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externalLinks/externalLink6.xml" ContentType="application/vnd.openxmlformats-officedocument.spreadsheetml.externalLink+xml"/>
  <Override PartName="/xl/drawings/drawing4.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comments4.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worksheets/sheet1.xml" ContentType="application/vnd.openxmlformats-officedocument.spreadsheetml.worksheet+xml"/>
  <Override PartName="/xl/externalLinks/externalLink1.xml" ContentType="application/vnd.openxmlformats-officedocument.spreadsheetml.externalLink+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Default Extension="bin" ContentType="application/vnd.openxmlformats-officedocument.spreadsheetml.printerSettings"/>
  <Default Extension="png" ContentType="image/png"/>
  <Override PartName="/xl/worksheets/sheet14.xml" ContentType="application/vnd.openxmlformats-officedocument.spreadsheetml.worksheet+xml"/>
  <Override PartName="/xl/worksheets/sheet23.xml" ContentType="application/vnd.openxmlformats-officedocument.spreadsheetml.worksheet+xml"/>
  <Override PartName="/xl/tables/table1.xml" ContentType="application/vnd.openxmlformats-officedocument.spreadsheetml.tabl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defaultThemeVersion="124226"/>
  <bookViews>
    <workbookView xWindow="480" yWindow="855" windowWidth="17400" windowHeight="7785" tabRatio="953" firstSheet="4" activeTab="16"/>
  </bookViews>
  <sheets>
    <sheet name="company " sheetId="30" r:id="rId1"/>
    <sheet name="CASH-C2" sheetId="1" r:id="rId2"/>
    <sheet name="DATA" sheetId="23" r:id="rId3"/>
    <sheet name="AP-AR" sheetId="4" r:id="rId4"/>
    <sheet name="AP-AR1" sheetId="35" r:id="rId5"/>
    <sheet name="AP-AR2" sheetId="36" r:id="rId6"/>
    <sheet name="TN" sheetId="20" r:id="rId7"/>
    <sheet name="RC" sheetId="21" r:id="rId8"/>
    <sheet name="T_or" sheetId="37" r:id="rId9"/>
    <sheet name="FIXED ASSET" sheetId="15" r:id="rId10"/>
    <sheet name="JURNAL" sheetId="33" r:id="rId11"/>
    <sheet name="TSALIN" sheetId="22" r:id="rId12"/>
    <sheet name="STAT1" sheetId="5" r:id="rId13"/>
    <sheet name="STAT2" sheetId="6" r:id="rId14"/>
    <sheet name="STAT3" sheetId="7" r:id="rId15"/>
    <sheet name="STAT4" sheetId="8" r:id="rId16"/>
    <sheet name="BS" sheetId="10" r:id="rId17"/>
    <sheet name="IS" sheetId="11" r:id="rId18"/>
    <sheet name="OC" sheetId="12" r:id="rId19"/>
    <sheet name="CF" sheetId="13" r:id="rId20"/>
    <sheet name="TT-02" sheetId="26" r:id="rId21"/>
    <sheet name="TT-02г" sheetId="27" r:id="rId22"/>
    <sheet name="TT-z" sheetId="29" r:id="rId23"/>
    <sheet name="TT-11" sheetId="28" r:id="rId24"/>
    <sheet name="TT-11(1)" sheetId="38" r:id="rId25"/>
    <sheet name="TT-03a" sheetId="39" r:id="rId26"/>
    <sheet name="nuur" sheetId="31" r:id="rId27"/>
    <sheet name="nuur1" sheetId="32" r:id="rId28"/>
    <sheet name="todruulga " sheetId="40" r:id="rId29"/>
  </sheets>
  <externalReferences>
    <externalReference r:id="rId30"/>
    <externalReference r:id="rId31"/>
    <externalReference r:id="rId32"/>
    <externalReference r:id="rId33"/>
    <externalReference r:id="rId34"/>
    <externalReference r:id="rId35"/>
  </externalReferences>
  <definedNames>
    <definedName name="_xlnm._FilterDatabase" localSheetId="3" hidden="1">'AP-AR'!$B$5:$R$5681</definedName>
    <definedName name="_xlnm._FilterDatabase" localSheetId="5" hidden="1">'AP-AR2'!$B$5:$R$5683</definedName>
    <definedName name="_xlnm._FilterDatabase" localSheetId="1" hidden="1">#REF!</definedName>
    <definedName name="_xlnm._FilterDatabase" localSheetId="2" hidden="1">DATA!$A$3:$J$148</definedName>
    <definedName name="_xlnm._FilterDatabase" localSheetId="10" hidden="1">JURNAL!$A$5:$Q$3124</definedName>
    <definedName name="_xlnm._FilterDatabase" localSheetId="7" hidden="1">'RC'!$A$5:$AJ$3305</definedName>
    <definedName name="_xlnm._FilterDatabase" localSheetId="12" hidden="1">STAT1!$B$3:$AA$222</definedName>
    <definedName name="_xlnm._FilterDatabase" localSheetId="13" hidden="1">STAT2!$A$3:$AF$220</definedName>
    <definedName name="_xlnm._FilterDatabase" localSheetId="14" hidden="1">STAT3!$B$3:$AA$220</definedName>
    <definedName name="_xlnm._FilterDatabase" localSheetId="15" hidden="1">STAT4!$B$3:$AC$222</definedName>
    <definedName name="_xlnm._FilterDatabase" localSheetId="6" hidden="1">TN!$A$7:$U$92</definedName>
    <definedName name="_xlnm.Print_Area" localSheetId="16">BS!$A$1:$H$72</definedName>
    <definedName name="_xlnm.Print_Area" localSheetId="19">CF!$A$1:$J$60</definedName>
    <definedName name="_xlnm.Print_Area" localSheetId="17">IS!$A$1:$I$40</definedName>
    <definedName name="_xlnm.Print_Area" localSheetId="18">OC!$A$1:$J$33</definedName>
    <definedName name="RC_Code">OFFSET(INDIRECT("RC!D5"),1,0,INDIRECT("RC!B3"),1)</definedName>
    <definedName name="RC_date">OFFSET(INDIRECT("RC!C5"),1,0,INDIRECT("RC!B3"),1)</definedName>
    <definedName name="RC_or_totol">OFFSET(INDIRECT("RC!I5"),1,0,INDIRECT("RC!B3"),1)</definedName>
    <definedName name="RC_or_unit">OFFSET(INDIRECT("RC!G5"),1,0,INDIRECT("RC!B3"),1)</definedName>
    <definedName name="RC_zar_totol">OFFSET(INDIRECT("RC!R5"),1,0,INDIRECT("RC!B3"),1)</definedName>
    <definedName name="RC_zar_unit">OFFSET(INDIRECT("RC!L5"),1,0,INDIRECT("RC!B3"),1)</definedName>
    <definedName name="TN_balC1_totol">OFFSET(INDIRECT("TN!G7"),1,0,INDIRECT("TN!A5"),1)</definedName>
    <definedName name="TN_balC1_unit">OFFSET(INDIRECT("TN!E7"),1,0,INDIRECT("TN!A5"),1)</definedName>
    <definedName name="TN_code">OFFSET(INDIRECT("TN!B7"),1,0,INDIRECT("TN!A5"),1)</definedName>
    <definedName name="TN_table">OFFSET(INDIRECT("TN!B7"),1,0,INDIRECT("TN!A5"),3)</definedName>
  </definedNames>
  <calcPr calcId="124519"/>
</workbook>
</file>

<file path=xl/calcChain.xml><?xml version="1.0" encoding="utf-8"?>
<calcChain xmlns="http://schemas.openxmlformats.org/spreadsheetml/2006/main">
  <c r="H8" i="10"/>
  <c r="AD111" i="8" l="1"/>
  <c r="L545" i="21"/>
  <c r="T549"/>
  <c r="T548"/>
  <c r="T547"/>
  <c r="T546"/>
  <c r="S545"/>
  <c r="T545" s="1"/>
  <c r="M15" i="39"/>
  <c r="U544" i="21"/>
  <c r="V543"/>
  <c r="S541"/>
  <c r="C168" i="36"/>
  <c r="H1370" i="39"/>
  <c r="H1371"/>
  <c r="H1248"/>
  <c r="H35" i="11"/>
  <c r="H1769" i="33"/>
  <c r="M1745"/>
  <c r="J1745"/>
  <c r="I1745"/>
  <c r="H535" i="21"/>
  <c r="R536"/>
  <c r="R535"/>
  <c r="R534"/>
  <c r="R532"/>
  <c r="B439"/>
  <c r="I439"/>
  <c r="J439"/>
  <c r="K439"/>
  <c r="N439"/>
  <c r="O439"/>
  <c r="P439" s="1"/>
  <c r="S439"/>
  <c r="T439" s="1"/>
  <c r="X439"/>
  <c r="A89" i="20"/>
  <c r="D9" i="27"/>
  <c r="H9" s="1"/>
  <c r="F1745" i="33"/>
  <c r="B1745"/>
  <c r="F439" i="21"/>
  <c r="E439"/>
  <c r="S526" l="1"/>
  <c r="S527"/>
  <c r="S528"/>
  <c r="S529"/>
  <c r="S530"/>
  <c r="S531"/>
  <c r="L489"/>
  <c r="L498"/>
  <c r="H1749" i="33"/>
  <c r="F1753"/>
  <c r="F1752"/>
  <c r="F1751"/>
  <c r="F1750"/>
  <c r="F1749"/>
  <c r="F1748"/>
  <c r="F1747"/>
  <c r="F1746"/>
  <c r="H523" i="21"/>
  <c r="N480" i="22"/>
  <c r="I480"/>
  <c r="O479"/>
  <c r="N479"/>
  <c r="M479"/>
  <c r="L479"/>
  <c r="K479"/>
  <c r="J479"/>
  <c r="I479"/>
  <c r="O478"/>
  <c r="N478"/>
  <c r="M478"/>
  <c r="L478"/>
  <c r="K478"/>
  <c r="J478"/>
  <c r="I478"/>
  <c r="H479"/>
  <c r="H478"/>
  <c r="O477"/>
  <c r="N477"/>
  <c r="M477"/>
  <c r="L477"/>
  <c r="K477"/>
  <c r="J477"/>
  <c r="I477"/>
  <c r="H477"/>
  <c r="Q167" i="35" l="1"/>
  <c r="Q166"/>
  <c r="Q165"/>
  <c r="Q164"/>
  <c r="Q163"/>
  <c r="P167"/>
  <c r="P166"/>
  <c r="P165"/>
  <c r="P164"/>
  <c r="P163"/>
  <c r="P162"/>
  <c r="M167"/>
  <c r="L167"/>
  <c r="H167"/>
  <c r="G167"/>
  <c r="X513" i="21"/>
  <c r="T513"/>
  <c r="S518"/>
  <c r="S515"/>
  <c r="S512"/>
  <c r="S509"/>
  <c r="B513"/>
  <c r="N167" i="35" l="1"/>
  <c r="I167"/>
  <c r="H1656" i="33"/>
  <c r="G1655"/>
  <c r="G503" i="21"/>
  <c r="F1660" i="33"/>
  <c r="F1659"/>
  <c r="M1658"/>
  <c r="J1658"/>
  <c r="I1658"/>
  <c r="F1658"/>
  <c r="M1657"/>
  <c r="J1657"/>
  <c r="I1657"/>
  <c r="F1657"/>
  <c r="O167" i="35" l="1"/>
  <c r="R167" s="1"/>
  <c r="G1608" i="33"/>
  <c r="G1616" l="1"/>
  <c r="K32" i="8"/>
  <c r="K31"/>
  <c r="K30"/>
  <c r="K29"/>
  <c r="K28"/>
  <c r="K27"/>
  <c r="K26"/>
  <c r="K25"/>
  <c r="K24"/>
  <c r="K23"/>
  <c r="K22"/>
  <c r="K21"/>
  <c r="K20"/>
  <c r="K19"/>
  <c r="K18"/>
  <c r="K17"/>
  <c r="K16"/>
  <c r="K15"/>
  <c r="K14"/>
  <c r="K13"/>
  <c r="K12"/>
  <c r="K11"/>
  <c r="K10"/>
  <c r="K9"/>
  <c r="K8"/>
  <c r="K7"/>
  <c r="K5"/>
  <c r="P12"/>
  <c r="F467" i="22"/>
  <c r="H378"/>
  <c r="I378" s="1"/>
  <c r="B379"/>
  <c r="H379"/>
  <c r="I379" s="1"/>
  <c r="B380"/>
  <c r="H380"/>
  <c r="I380" s="1"/>
  <c r="B381"/>
  <c r="H381"/>
  <c r="I381" s="1"/>
  <c r="B382"/>
  <c r="H382"/>
  <c r="I382" s="1"/>
  <c r="B383"/>
  <c r="H383"/>
  <c r="I383" s="1"/>
  <c r="B384"/>
  <c r="H384"/>
  <c r="I384" s="1"/>
  <c r="B385"/>
  <c r="H385"/>
  <c r="I385" s="1"/>
  <c r="B386"/>
  <c r="H386"/>
  <c r="I386" s="1"/>
  <c r="B387"/>
  <c r="H387"/>
  <c r="I387" s="1"/>
  <c r="B388"/>
  <c r="H388"/>
  <c r="I388" s="1"/>
  <c r="B389"/>
  <c r="H389"/>
  <c r="I389" s="1"/>
  <c r="B390"/>
  <c r="H390"/>
  <c r="I390" s="1"/>
  <c r="B391"/>
  <c r="H391"/>
  <c r="I391" s="1"/>
  <c r="B392"/>
  <c r="I392"/>
  <c r="J392" s="1"/>
  <c r="N392"/>
  <c r="F393"/>
  <c r="G393"/>
  <c r="H410"/>
  <c r="I410" s="1"/>
  <c r="B411"/>
  <c r="H411"/>
  <c r="I411" s="1"/>
  <c r="B412"/>
  <c r="H412"/>
  <c r="I412" s="1"/>
  <c r="B413"/>
  <c r="H413"/>
  <c r="I413" s="1"/>
  <c r="B414"/>
  <c r="H414"/>
  <c r="I414" s="1"/>
  <c r="B415"/>
  <c r="H415"/>
  <c r="I415" s="1"/>
  <c r="B416"/>
  <c r="H416"/>
  <c r="I416" s="1"/>
  <c r="B417"/>
  <c r="H417"/>
  <c r="I417" s="1"/>
  <c r="B418"/>
  <c r="H418"/>
  <c r="I418" s="1"/>
  <c r="B419"/>
  <c r="H419"/>
  <c r="I419" s="1"/>
  <c r="B420"/>
  <c r="H420"/>
  <c r="I420" s="1"/>
  <c r="B421"/>
  <c r="H421"/>
  <c r="I421" s="1"/>
  <c r="B422"/>
  <c r="H422"/>
  <c r="I422" s="1"/>
  <c r="N422"/>
  <c r="B423"/>
  <c r="I423"/>
  <c r="J423" s="1"/>
  <c r="N423"/>
  <c r="F424"/>
  <c r="G424"/>
  <c r="F278" i="28"/>
  <c r="F205"/>
  <c r="F271"/>
  <c r="D239"/>
  <c r="D240" s="1"/>
  <c r="D241" s="1"/>
  <c r="D242" s="1"/>
  <c r="D243" s="1"/>
  <c r="D244" s="1"/>
  <c r="D245" s="1"/>
  <c r="D246" s="1"/>
  <c r="D247" s="1"/>
  <c r="D248" s="1"/>
  <c r="D249" s="1"/>
  <c r="D250" s="1"/>
  <c r="D251" s="1"/>
  <c r="D252" s="1"/>
  <c r="D253" s="1"/>
  <c r="D254" s="1"/>
  <c r="D255" s="1"/>
  <c r="D257" s="1"/>
  <c r="D258" s="1"/>
  <c r="D259" s="1"/>
  <c r="D260" s="1"/>
  <c r="D261" s="1"/>
  <c r="D262" s="1"/>
  <c r="D263" s="1"/>
  <c r="D264" s="1"/>
  <c r="D265" s="1"/>
  <c r="D266" s="1"/>
  <c r="D267" s="1"/>
  <c r="D268" s="1"/>
  <c r="D269" s="1"/>
  <c r="D270" s="1"/>
  <c r="D271" s="1"/>
  <c r="D272" s="1"/>
  <c r="D273" s="1"/>
  <c r="D274" s="1"/>
  <c r="D275" s="1"/>
  <c r="J421" i="22" l="1"/>
  <c r="N421"/>
  <c r="J420"/>
  <c r="N420"/>
  <c r="J418"/>
  <c r="N418"/>
  <c r="J417"/>
  <c r="N417"/>
  <c r="J416"/>
  <c r="N416"/>
  <c r="J415"/>
  <c r="N415"/>
  <c r="J414"/>
  <c r="N414"/>
  <c r="J413"/>
  <c r="N413"/>
  <c r="J412"/>
  <c r="N412"/>
  <c r="J411"/>
  <c r="N411"/>
  <c r="J410"/>
  <c r="N410"/>
  <c r="I424"/>
  <c r="O392"/>
  <c r="J391"/>
  <c r="N391"/>
  <c r="J390"/>
  <c r="N390"/>
  <c r="J389"/>
  <c r="N389"/>
  <c r="J388"/>
  <c r="N388"/>
  <c r="J387"/>
  <c r="N387"/>
  <c r="J386"/>
  <c r="N386"/>
  <c r="J385"/>
  <c r="N385"/>
  <c r="J384"/>
  <c r="N384"/>
  <c r="J383"/>
  <c r="N383"/>
  <c r="J382"/>
  <c r="N382"/>
  <c r="J381"/>
  <c r="N381"/>
  <c r="J380"/>
  <c r="N380"/>
  <c r="J379"/>
  <c r="N379"/>
  <c r="J378"/>
  <c r="N378"/>
  <c r="I393"/>
  <c r="J422"/>
  <c r="O422" s="1"/>
  <c r="J419"/>
  <c r="N419"/>
  <c r="O423"/>
  <c r="O378" l="1"/>
  <c r="J393"/>
  <c r="N400" s="1"/>
  <c r="O410"/>
  <c r="J424"/>
  <c r="N431" s="1"/>
  <c r="O379"/>
  <c r="O383"/>
  <c r="O385"/>
  <c r="O419"/>
  <c r="N393"/>
  <c r="O380"/>
  <c r="O382"/>
  <c r="O384"/>
  <c r="O386"/>
  <c r="O388"/>
  <c r="O390"/>
  <c r="N424"/>
  <c r="O412"/>
  <c r="O414"/>
  <c r="O416"/>
  <c r="O418"/>
  <c r="O421"/>
  <c r="O381"/>
  <c r="O387"/>
  <c r="O389"/>
  <c r="O391"/>
  <c r="O411"/>
  <c r="O413"/>
  <c r="O415"/>
  <c r="O417"/>
  <c r="O420"/>
  <c r="M429" l="1"/>
  <c r="N430"/>
  <c r="M398"/>
  <c r="N399"/>
  <c r="O424"/>
  <c r="O393"/>
  <c r="H453" l="1"/>
  <c r="H452"/>
  <c r="I452" s="1"/>
  <c r="H451"/>
  <c r="H450"/>
  <c r="H449"/>
  <c r="H448"/>
  <c r="H447"/>
  <c r="H446"/>
  <c r="H445"/>
  <c r="H444"/>
  <c r="H443"/>
  <c r="H442"/>
  <c r="H441"/>
  <c r="H440"/>
  <c r="J29" i="12" l="1"/>
  <c r="H1644" i="33"/>
  <c r="G1374"/>
  <c r="G1613"/>
  <c r="H1629"/>
  <c r="G1628"/>
  <c r="M1627"/>
  <c r="J1627"/>
  <c r="I1627"/>
  <c r="F1627"/>
  <c r="M1626"/>
  <c r="J1626"/>
  <c r="I1626"/>
  <c r="F1626"/>
  <c r="M1618"/>
  <c r="J1618"/>
  <c r="I1618"/>
  <c r="F1618"/>
  <c r="M1617"/>
  <c r="J1617"/>
  <c r="I1617"/>
  <c r="F1617"/>
  <c r="M1616"/>
  <c r="J1616"/>
  <c r="I1616"/>
  <c r="F1616"/>
  <c r="M1615"/>
  <c r="J1615"/>
  <c r="I1615"/>
  <c r="F1615"/>
  <c r="M1614"/>
  <c r="J1614"/>
  <c r="I1614"/>
  <c r="F1614"/>
  <c r="M1613"/>
  <c r="J1613"/>
  <c r="I1613"/>
  <c r="F1613"/>
  <c r="M1612"/>
  <c r="J1612"/>
  <c r="I1612"/>
  <c r="F1612"/>
  <c r="M1611"/>
  <c r="J1611"/>
  <c r="I1611"/>
  <c r="F1611"/>
  <c r="O1610"/>
  <c r="M1610"/>
  <c r="J1610"/>
  <c r="I1610"/>
  <c r="F1610"/>
  <c r="O1609"/>
  <c r="M1609"/>
  <c r="J1609"/>
  <c r="I1609"/>
  <c r="F1609"/>
  <c r="F1603"/>
  <c r="F1602"/>
  <c r="F1601"/>
  <c r="F1600"/>
  <c r="M1599"/>
  <c r="J1599"/>
  <c r="I1599"/>
  <c r="F1599"/>
  <c r="M1598"/>
  <c r="J1598"/>
  <c r="I1598"/>
  <c r="F1598"/>
  <c r="M1597"/>
  <c r="J1597"/>
  <c r="I1597"/>
  <c r="F1597"/>
  <c r="M1596"/>
  <c r="J1596"/>
  <c r="I1596"/>
  <c r="F1596"/>
  <c r="J1592"/>
  <c r="I1592"/>
  <c r="F1592"/>
  <c r="J1591"/>
  <c r="I1591"/>
  <c r="F1591"/>
  <c r="J1590"/>
  <c r="I1590"/>
  <c r="F1590"/>
  <c r="J1589"/>
  <c r="I1589"/>
  <c r="F1589"/>
  <c r="C499" i="22"/>
  <c r="H454"/>
  <c r="G454"/>
  <c r="F454"/>
  <c r="N453"/>
  <c r="M14" i="28" l="1"/>
  <c r="O1588" i="33" l="1"/>
  <c r="J1588"/>
  <c r="I1588"/>
  <c r="F1588"/>
  <c r="O1587"/>
  <c r="J1587"/>
  <c r="I1587"/>
  <c r="F1587"/>
  <c r="O1586"/>
  <c r="J1586"/>
  <c r="I1586"/>
  <c r="F1586"/>
  <c r="O1585"/>
  <c r="J1585"/>
  <c r="I1585"/>
  <c r="F1585"/>
  <c r="O1582"/>
  <c r="J1582"/>
  <c r="I1582"/>
  <c r="P1582" s="1"/>
  <c r="F1582"/>
  <c r="O1581"/>
  <c r="J1581"/>
  <c r="I1581"/>
  <c r="P1581" s="1"/>
  <c r="F1581"/>
  <c r="J544" i="21"/>
  <c r="J543"/>
  <c r="J542"/>
  <c r="J541"/>
  <c r="J540"/>
  <c r="J538"/>
  <c r="J536"/>
  <c r="J534"/>
  <c r="J533"/>
  <c r="J532"/>
  <c r="J531"/>
  <c r="J530"/>
  <c r="J529"/>
  <c r="J528"/>
  <c r="J527"/>
  <c r="J526"/>
  <c r="J525"/>
  <c r="J524"/>
  <c r="J522"/>
  <c r="J520"/>
  <c r="J517"/>
  <c r="J516"/>
  <c r="J514"/>
  <c r="J511"/>
  <c r="J507"/>
  <c r="J505"/>
  <c r="J504"/>
  <c r="J502"/>
  <c r="J501"/>
  <c r="J499"/>
  <c r="J498"/>
  <c r="J497"/>
  <c r="J496"/>
  <c r="J495"/>
  <c r="J494"/>
  <c r="J493"/>
  <c r="J492"/>
  <c r="J491"/>
  <c r="J490"/>
  <c r="J489"/>
  <c r="J488"/>
  <c r="J487"/>
  <c r="J486"/>
  <c r="J485"/>
  <c r="J484"/>
  <c r="J483"/>
  <c r="J482"/>
  <c r="J481"/>
  <c r="J480"/>
  <c r="J479"/>
  <c r="J478"/>
  <c r="J477"/>
  <c r="J476"/>
  <c r="J475"/>
  <c r="J474"/>
  <c r="K543"/>
  <c r="I543"/>
  <c r="K542"/>
  <c r="I542"/>
  <c r="K541"/>
  <c r="I541"/>
  <c r="K540"/>
  <c r="I540"/>
  <c r="K538"/>
  <c r="I538"/>
  <c r="I537"/>
  <c r="J537" s="1"/>
  <c r="K536"/>
  <c r="I536"/>
  <c r="I535"/>
  <c r="K534"/>
  <c r="I534"/>
  <c r="K533"/>
  <c r="I533"/>
  <c r="K532"/>
  <c r="I532"/>
  <c r="K531"/>
  <c r="I531"/>
  <c r="K530"/>
  <c r="I530"/>
  <c r="K529"/>
  <c r="I529"/>
  <c r="K528"/>
  <c r="I528"/>
  <c r="K527"/>
  <c r="I527"/>
  <c r="K526"/>
  <c r="I526"/>
  <c r="K525"/>
  <c r="I525"/>
  <c r="K524"/>
  <c r="I524"/>
  <c r="I523"/>
  <c r="K522"/>
  <c r="I522"/>
  <c r="I521"/>
  <c r="J521" s="1"/>
  <c r="K520"/>
  <c r="I520"/>
  <c r="I519"/>
  <c r="J519" s="1"/>
  <c r="I518"/>
  <c r="K517"/>
  <c r="I517"/>
  <c r="K516"/>
  <c r="I516"/>
  <c r="I515"/>
  <c r="K514"/>
  <c r="I514"/>
  <c r="I512"/>
  <c r="K511"/>
  <c r="I511"/>
  <c r="I510"/>
  <c r="J510" s="1"/>
  <c r="I509"/>
  <c r="I508"/>
  <c r="J508" s="1"/>
  <c r="K507"/>
  <c r="I507"/>
  <c r="I506"/>
  <c r="K505"/>
  <c r="I505"/>
  <c r="K504"/>
  <c r="I504"/>
  <c r="I503"/>
  <c r="J503" s="1"/>
  <c r="K502"/>
  <c r="I502"/>
  <c r="K501"/>
  <c r="I501"/>
  <c r="K499"/>
  <c r="I499"/>
  <c r="K498"/>
  <c r="I498"/>
  <c r="K497"/>
  <c r="I497"/>
  <c r="K496"/>
  <c r="I496"/>
  <c r="K495"/>
  <c r="I495"/>
  <c r="K494"/>
  <c r="I494"/>
  <c r="K493"/>
  <c r="I493"/>
  <c r="K492"/>
  <c r="I492"/>
  <c r="K491"/>
  <c r="I491"/>
  <c r="K490"/>
  <c r="I490"/>
  <c r="K489"/>
  <c r="I489"/>
  <c r="K488"/>
  <c r="I488"/>
  <c r="K487"/>
  <c r="I487"/>
  <c r="K486"/>
  <c r="I486"/>
  <c r="K485"/>
  <c r="I485"/>
  <c r="K484"/>
  <c r="I484"/>
  <c r="K483"/>
  <c r="I483"/>
  <c r="K482"/>
  <c r="I482"/>
  <c r="K481"/>
  <c r="I481"/>
  <c r="K480"/>
  <c r="I480"/>
  <c r="K479"/>
  <c r="I479"/>
  <c r="K478"/>
  <c r="I478"/>
  <c r="K477"/>
  <c r="I477"/>
  <c r="K476"/>
  <c r="I476"/>
  <c r="K475"/>
  <c r="I475"/>
  <c r="K474"/>
  <c r="I474"/>
  <c r="G500"/>
  <c r="I500" s="1"/>
  <c r="J1575" i="33"/>
  <c r="I1575"/>
  <c r="F1575"/>
  <c r="J1574"/>
  <c r="I1574"/>
  <c r="F1574"/>
  <c r="J1573"/>
  <c r="I1573"/>
  <c r="F1573"/>
  <c r="K537" i="21" l="1"/>
  <c r="K535"/>
  <c r="J515"/>
  <c r="U516" s="1"/>
  <c r="U515"/>
  <c r="J509"/>
  <c r="U510" s="1"/>
  <c r="U509"/>
  <c r="J512"/>
  <c r="U513" s="1"/>
  <c r="U512"/>
  <c r="K523"/>
  <c r="K521"/>
  <c r="J506"/>
  <c r="U507" s="1"/>
  <c r="U506"/>
  <c r="J518"/>
  <c r="U519" s="1"/>
  <c r="U518"/>
  <c r="K518"/>
  <c r="V520" s="1"/>
  <c r="K519"/>
  <c r="K509"/>
  <c r="V511" s="1"/>
  <c r="K515"/>
  <c r="V517" s="1"/>
  <c r="K512"/>
  <c r="V514" s="1"/>
  <c r="K510"/>
  <c r="K508"/>
  <c r="K506"/>
  <c r="V508" s="1"/>
  <c r="K503"/>
  <c r="J500"/>
  <c r="K500" s="1"/>
  <c r="S498"/>
  <c r="S497"/>
  <c r="L497"/>
  <c r="L493" l="1"/>
  <c r="L492"/>
  <c r="L488"/>
  <c r="L494"/>
  <c r="L486" l="1"/>
  <c r="J1555" i="33" l="1"/>
  <c r="I1555"/>
  <c r="F1555"/>
  <c r="J1554"/>
  <c r="I1554"/>
  <c r="F1554"/>
  <c r="J1553"/>
  <c r="I1553"/>
  <c r="F1553"/>
  <c r="S480" i="21"/>
  <c r="T480" s="1"/>
  <c r="T481"/>
  <c r="T482"/>
  <c r="T483"/>
  <c r="T484"/>
  <c r="S485"/>
  <c r="T485" s="1"/>
  <c r="G1544" i="33"/>
  <c r="O1541"/>
  <c r="J1541"/>
  <c r="I1541"/>
  <c r="F1541"/>
  <c r="O1540"/>
  <c r="J1540"/>
  <c r="I1540"/>
  <c r="F1540"/>
  <c r="O1539"/>
  <c r="J1539"/>
  <c r="I1539"/>
  <c r="F1539"/>
  <c r="O1538"/>
  <c r="J1538"/>
  <c r="I1538"/>
  <c r="F1538"/>
  <c r="Q41" i="4"/>
  <c r="P41"/>
  <c r="M41"/>
  <c r="L41"/>
  <c r="K41"/>
  <c r="H41"/>
  <c r="G41"/>
  <c r="F41"/>
  <c r="Q56"/>
  <c r="P56"/>
  <c r="M56"/>
  <c r="L56"/>
  <c r="K56"/>
  <c r="H56"/>
  <c r="G56"/>
  <c r="F56"/>
  <c r="B1532" i="33"/>
  <c r="I453" i="22"/>
  <c r="N452"/>
  <c r="I451"/>
  <c r="N451" s="1"/>
  <c r="I450"/>
  <c r="N450" s="1"/>
  <c r="I449"/>
  <c r="N449" s="1"/>
  <c r="I448"/>
  <c r="I447"/>
  <c r="I446"/>
  <c r="I445"/>
  <c r="I444"/>
  <c r="N444" s="1"/>
  <c r="I443"/>
  <c r="I442"/>
  <c r="I441"/>
  <c r="B441"/>
  <c r="B442" s="1"/>
  <c r="B443" s="1"/>
  <c r="B444" s="1"/>
  <c r="B445" s="1"/>
  <c r="B446" s="1"/>
  <c r="B447" s="1"/>
  <c r="B448" s="1"/>
  <c r="B449" s="1"/>
  <c r="B450" s="1"/>
  <c r="B451" s="1"/>
  <c r="B452" s="1"/>
  <c r="B453" s="1"/>
  <c r="G1497" i="33"/>
  <c r="O1514"/>
  <c r="J1514"/>
  <c r="I1514"/>
  <c r="P1514" s="1"/>
  <c r="F1514"/>
  <c r="O1513"/>
  <c r="J1513"/>
  <c r="I1513"/>
  <c r="Q1513" s="1"/>
  <c r="F1513"/>
  <c r="T479" i="21"/>
  <c r="T478"/>
  <c r="T477"/>
  <c r="T476"/>
  <c r="S475"/>
  <c r="T475" s="1"/>
  <c r="I440" i="22" l="1"/>
  <c r="I56" i="4"/>
  <c r="N41"/>
  <c r="N56"/>
  <c r="I41"/>
  <c r="J441" i="22"/>
  <c r="N441"/>
  <c r="N443"/>
  <c r="J443"/>
  <c r="N445"/>
  <c r="J445"/>
  <c r="N447"/>
  <c r="J447"/>
  <c r="N442"/>
  <c r="J442"/>
  <c r="J444"/>
  <c r="N446"/>
  <c r="J446"/>
  <c r="N448"/>
  <c r="J448"/>
  <c r="J453"/>
  <c r="J449"/>
  <c r="J450"/>
  <c r="J451"/>
  <c r="J452"/>
  <c r="Q1514" i="33"/>
  <c r="P1513"/>
  <c r="O41" i="4" l="1"/>
  <c r="O452" i="22"/>
  <c r="O450"/>
  <c r="O453"/>
  <c r="O451"/>
  <c r="O449"/>
  <c r="O444"/>
  <c r="I454"/>
  <c r="I455" s="1"/>
  <c r="O56" i="4"/>
  <c r="O448" i="22"/>
  <c r="J440"/>
  <c r="N440"/>
  <c r="N454" s="1"/>
  <c r="N455" s="1"/>
  <c r="O447"/>
  <c r="O445"/>
  <c r="O443"/>
  <c r="O446"/>
  <c r="O441"/>
  <c r="O442"/>
  <c r="M459" l="1"/>
  <c r="J454"/>
  <c r="J455" s="1"/>
  <c r="O440"/>
  <c r="O454" s="1"/>
  <c r="O455" s="1"/>
  <c r="N460"/>
  <c r="G1510" i="33"/>
  <c r="N461" i="22" l="1"/>
  <c r="G1505" i="33"/>
  <c r="F1495"/>
  <c r="G1494"/>
  <c r="H1493"/>
  <c r="K6" i="8" s="1"/>
  <c r="J1478" i="33" l="1"/>
  <c r="I1478"/>
  <c r="F1478"/>
  <c r="J1477"/>
  <c r="I1477"/>
  <c r="F1477"/>
  <c r="G1472"/>
  <c r="T472" i="21" l="1"/>
  <c r="T471"/>
  <c r="T470"/>
  <c r="T469"/>
  <c r="S468"/>
  <c r="T468" s="1"/>
  <c r="T467"/>
  <c r="T466"/>
  <c r="T465"/>
  <c r="T464"/>
  <c r="S463"/>
  <c r="T463" s="1"/>
  <c r="G1463" i="33"/>
  <c r="G1460"/>
  <c r="H1455"/>
  <c r="G1454"/>
  <c r="G1449" l="1"/>
  <c r="G212" i="38"/>
  <c r="G214" s="1"/>
  <c r="B187"/>
  <c r="B188" s="1"/>
  <c r="B189" s="1"/>
  <c r="B179"/>
  <c r="B177"/>
  <c r="B175"/>
  <c r="B190" l="1"/>
  <c r="B191" s="1"/>
  <c r="B192" s="1"/>
  <c r="B193" s="1"/>
  <c r="B194" s="1"/>
  <c r="B195" s="1"/>
  <c r="B196" s="1"/>
  <c r="B197" s="1"/>
  <c r="B198" s="1"/>
  <c r="B199" s="1"/>
  <c r="B200" s="1"/>
  <c r="B201" s="1"/>
  <c r="B202" s="1"/>
  <c r="B203" s="1"/>
  <c r="B204" s="1"/>
  <c r="B205" s="1"/>
  <c r="B206" s="1"/>
  <c r="B207" s="1"/>
  <c r="B208" s="1"/>
  <c r="B209" s="1"/>
  <c r="B210" s="1"/>
  <c r="B211" s="1"/>
  <c r="B182" l="1"/>
  <c r="S458" i="21" l="1"/>
  <c r="N587"/>
  <c r="N586"/>
  <c r="N585"/>
  <c r="N584"/>
  <c r="N583"/>
  <c r="N582"/>
  <c r="N581"/>
  <c r="N580"/>
  <c r="N579"/>
  <c r="N578"/>
  <c r="N577"/>
  <c r="N576"/>
  <c r="N575"/>
  <c r="N574"/>
  <c r="N573"/>
  <c r="N572"/>
  <c r="N571"/>
  <c r="N570"/>
  <c r="N569"/>
  <c r="N568"/>
  <c r="N567"/>
  <c r="N566"/>
  <c r="N565"/>
  <c r="N564"/>
  <c r="N563"/>
  <c r="N562"/>
  <c r="N561"/>
  <c r="N560"/>
  <c r="N559"/>
  <c r="N558"/>
  <c r="N557"/>
  <c r="N556"/>
  <c r="N555"/>
  <c r="N554"/>
  <c r="N553"/>
  <c r="N552"/>
  <c r="N551"/>
  <c r="N550"/>
  <c r="N549"/>
  <c r="N548"/>
  <c r="N547"/>
  <c r="N546"/>
  <c r="N545"/>
  <c r="N544"/>
  <c r="N543"/>
  <c r="N542"/>
  <c r="N541"/>
  <c r="N540"/>
  <c r="N539"/>
  <c r="N538"/>
  <c r="N537"/>
  <c r="N536"/>
  <c r="N535"/>
  <c r="N534"/>
  <c r="N533"/>
  <c r="N532"/>
  <c r="N531"/>
  <c r="N530"/>
  <c r="N529"/>
  <c r="N528"/>
  <c r="N527"/>
  <c r="N526"/>
  <c r="N525"/>
  <c r="N524"/>
  <c r="N523"/>
  <c r="N522"/>
  <c r="N521"/>
  <c r="N520"/>
  <c r="N519"/>
  <c r="N518"/>
  <c r="N517"/>
  <c r="N516"/>
  <c r="N515"/>
  <c r="N514"/>
  <c r="N512"/>
  <c r="N511"/>
  <c r="N510"/>
  <c r="N509"/>
  <c r="N508"/>
  <c r="N507"/>
  <c r="N506"/>
  <c r="N505"/>
  <c r="N504"/>
  <c r="N503"/>
  <c r="N502"/>
  <c r="N501"/>
  <c r="N500"/>
  <c r="N499"/>
  <c r="N498"/>
  <c r="N497"/>
  <c r="N496"/>
  <c r="O496" s="1"/>
  <c r="P496" s="1"/>
  <c r="N495"/>
  <c r="N494"/>
  <c r="N493"/>
  <c r="N492"/>
  <c r="N491"/>
  <c r="N490"/>
  <c r="N489"/>
  <c r="N488"/>
  <c r="N487"/>
  <c r="N486"/>
  <c r="N485"/>
  <c r="N484"/>
  <c r="N483"/>
  <c r="N482"/>
  <c r="N481"/>
  <c r="N480"/>
  <c r="N479"/>
  <c r="N478"/>
  <c r="N477"/>
  <c r="N476"/>
  <c r="N475"/>
  <c r="N474"/>
  <c r="N473"/>
  <c r="N472"/>
  <c r="N471"/>
  <c r="N470"/>
  <c r="N469"/>
  <c r="N468"/>
  <c r="N467"/>
  <c r="N466"/>
  <c r="N465"/>
  <c r="N464"/>
  <c r="O464" s="1"/>
  <c r="P464" s="1"/>
  <c r="N463"/>
  <c r="N462"/>
  <c r="N461"/>
  <c r="N460"/>
  <c r="N459"/>
  <c r="N458"/>
  <c r="N457"/>
  <c r="N456"/>
  <c r="N455"/>
  <c r="N454"/>
  <c r="N453"/>
  <c r="N452"/>
  <c r="N451"/>
  <c r="N450"/>
  <c r="N449"/>
  <c r="N448"/>
  <c r="N447"/>
  <c r="N446"/>
  <c r="N445"/>
  <c r="N444"/>
  <c r="N443"/>
  <c r="N442"/>
  <c r="N441"/>
  <c r="R550"/>
  <c r="Q550"/>
  <c r="P550"/>
  <c r="O550"/>
  <c r="R549"/>
  <c r="Q549"/>
  <c r="P549"/>
  <c r="O549"/>
  <c r="R548"/>
  <c r="Q548"/>
  <c r="P548"/>
  <c r="O548"/>
  <c r="R547"/>
  <c r="Q547"/>
  <c r="P547"/>
  <c r="O547"/>
  <c r="R546"/>
  <c r="Q546"/>
  <c r="P546"/>
  <c r="O546"/>
  <c r="O545"/>
  <c r="P545" s="1"/>
  <c r="R544"/>
  <c r="Q544"/>
  <c r="P544"/>
  <c r="O544"/>
  <c r="R543"/>
  <c r="Q543"/>
  <c r="P543"/>
  <c r="O543"/>
  <c r="R542"/>
  <c r="Q542"/>
  <c r="P542"/>
  <c r="O542"/>
  <c r="P541"/>
  <c r="R540"/>
  <c r="Q540"/>
  <c r="P540"/>
  <c r="O540"/>
  <c r="R539"/>
  <c r="Q539"/>
  <c r="P539"/>
  <c r="O539"/>
  <c r="R538"/>
  <c r="Q538"/>
  <c r="P538"/>
  <c r="O538"/>
  <c r="O537"/>
  <c r="P537" s="1"/>
  <c r="Q536"/>
  <c r="P536"/>
  <c r="O536"/>
  <c r="Q535"/>
  <c r="P535"/>
  <c r="O535"/>
  <c r="Q534"/>
  <c r="P534"/>
  <c r="O534"/>
  <c r="O533"/>
  <c r="P533" s="1"/>
  <c r="Q532"/>
  <c r="P532"/>
  <c r="O532"/>
  <c r="O531"/>
  <c r="P531" s="1"/>
  <c r="O530"/>
  <c r="P530" s="1"/>
  <c r="O529"/>
  <c r="P529" s="1"/>
  <c r="O528"/>
  <c r="P528" s="1"/>
  <c r="O527"/>
  <c r="P527" s="1"/>
  <c r="O526"/>
  <c r="P526" s="1"/>
  <c r="O525"/>
  <c r="P525" s="1"/>
  <c r="R524"/>
  <c r="Q524"/>
  <c r="P524"/>
  <c r="O524"/>
  <c r="R523"/>
  <c r="Q523"/>
  <c r="P523"/>
  <c r="O523"/>
  <c r="R522"/>
  <c r="Q522"/>
  <c r="P522"/>
  <c r="O522"/>
  <c r="O521"/>
  <c r="P521" s="1"/>
  <c r="R520"/>
  <c r="Q520"/>
  <c r="P520"/>
  <c r="O520"/>
  <c r="R519"/>
  <c r="Q519"/>
  <c r="P519"/>
  <c r="O519"/>
  <c r="R518"/>
  <c r="Q518"/>
  <c r="P518"/>
  <c r="O518"/>
  <c r="R517"/>
  <c r="Q517"/>
  <c r="P517"/>
  <c r="O517"/>
  <c r="R516"/>
  <c r="Q516"/>
  <c r="P516"/>
  <c r="O516"/>
  <c r="R515"/>
  <c r="Q515"/>
  <c r="P515"/>
  <c r="O515"/>
  <c r="R514"/>
  <c r="Q514"/>
  <c r="P514"/>
  <c r="O514"/>
  <c r="R512"/>
  <c r="Q512"/>
  <c r="P512"/>
  <c r="O512"/>
  <c r="R511"/>
  <c r="Q511"/>
  <c r="P511"/>
  <c r="O511"/>
  <c r="R510"/>
  <c r="Q510"/>
  <c r="P510"/>
  <c r="O510"/>
  <c r="R509"/>
  <c r="Q509"/>
  <c r="P509"/>
  <c r="O509"/>
  <c r="R508"/>
  <c r="Q508"/>
  <c r="P508"/>
  <c r="O508"/>
  <c r="R507"/>
  <c r="Q507"/>
  <c r="P507"/>
  <c r="O507"/>
  <c r="R506"/>
  <c r="Q506"/>
  <c r="P506"/>
  <c r="O506"/>
  <c r="R505"/>
  <c r="Q505"/>
  <c r="P505"/>
  <c r="O505"/>
  <c r="R504"/>
  <c r="Q504"/>
  <c r="P504"/>
  <c r="O504"/>
  <c r="R503"/>
  <c r="Q503"/>
  <c r="P503"/>
  <c r="O503"/>
  <c r="R502"/>
  <c r="Q502"/>
  <c r="P502"/>
  <c r="O502"/>
  <c r="R501"/>
  <c r="Q501"/>
  <c r="P501"/>
  <c r="O501"/>
  <c r="R500"/>
  <c r="Q500"/>
  <c r="P500"/>
  <c r="O500"/>
  <c r="O499"/>
  <c r="P499" s="1"/>
  <c r="O498"/>
  <c r="P498" s="1"/>
  <c r="O497"/>
  <c r="P497" s="1"/>
  <c r="O495"/>
  <c r="P495" s="1"/>
  <c r="O494"/>
  <c r="P494" s="1"/>
  <c r="O493"/>
  <c r="P493" s="1"/>
  <c r="O492"/>
  <c r="P492" s="1"/>
  <c r="O491"/>
  <c r="P491" s="1"/>
  <c r="O490"/>
  <c r="P490" s="1"/>
  <c r="O489"/>
  <c r="P489" s="1"/>
  <c r="O488"/>
  <c r="P488" s="1"/>
  <c r="O487"/>
  <c r="P487" s="1"/>
  <c r="O486"/>
  <c r="P486" s="1"/>
  <c r="O485"/>
  <c r="P485" s="1"/>
  <c r="R484"/>
  <c r="Q484"/>
  <c r="P484"/>
  <c r="O484"/>
  <c r="R483"/>
  <c r="Q483"/>
  <c r="P483"/>
  <c r="O483"/>
  <c r="R482"/>
  <c r="Q482"/>
  <c r="P482"/>
  <c r="O482"/>
  <c r="R481"/>
  <c r="Q481"/>
  <c r="P481"/>
  <c r="O481"/>
  <c r="O480"/>
  <c r="P480" s="1"/>
  <c r="R479"/>
  <c r="Q479"/>
  <c r="P479"/>
  <c r="O479"/>
  <c r="R478"/>
  <c r="Q478"/>
  <c r="P478"/>
  <c r="O478"/>
  <c r="R477"/>
  <c r="Q477"/>
  <c r="P477"/>
  <c r="O477"/>
  <c r="R476"/>
  <c r="Q476"/>
  <c r="P476"/>
  <c r="O476"/>
  <c r="O475"/>
  <c r="P475" s="1"/>
  <c r="R474"/>
  <c r="Q474"/>
  <c r="P474"/>
  <c r="O474"/>
  <c r="R473"/>
  <c r="Q473"/>
  <c r="P473"/>
  <c r="O473"/>
  <c r="R472"/>
  <c r="Q472"/>
  <c r="P472"/>
  <c r="O472"/>
  <c r="R471"/>
  <c r="Q471"/>
  <c r="P471"/>
  <c r="O471"/>
  <c r="R470"/>
  <c r="Q470"/>
  <c r="P470"/>
  <c r="O470"/>
  <c r="R469"/>
  <c r="Q469"/>
  <c r="P469"/>
  <c r="O469"/>
  <c r="O468"/>
  <c r="R467"/>
  <c r="Q467"/>
  <c r="P467"/>
  <c r="O467"/>
  <c r="R466"/>
  <c r="Q466"/>
  <c r="P466"/>
  <c r="O466"/>
  <c r="R465"/>
  <c r="Q465"/>
  <c r="P465"/>
  <c r="O465"/>
  <c r="O463"/>
  <c r="P463" s="1"/>
  <c r="R462"/>
  <c r="Q462"/>
  <c r="P462"/>
  <c r="O462"/>
  <c r="R461"/>
  <c r="Q461"/>
  <c r="P461"/>
  <c r="O461"/>
  <c r="R460"/>
  <c r="Q460"/>
  <c r="P460"/>
  <c r="O460"/>
  <c r="R459"/>
  <c r="Q459"/>
  <c r="P459"/>
  <c r="O459"/>
  <c r="O458"/>
  <c r="R457"/>
  <c r="Q457"/>
  <c r="Q464"/>
  <c r="Q499"/>
  <c r="R499" l="1"/>
  <c r="P468"/>
  <c r="R464"/>
  <c r="P458"/>
  <c r="P457"/>
  <c r="O457"/>
  <c r="R456"/>
  <c r="Q456"/>
  <c r="P456"/>
  <c r="O456"/>
  <c r="R455"/>
  <c r="Q455"/>
  <c r="P455"/>
  <c r="O455"/>
  <c r="R454"/>
  <c r="Q454"/>
  <c r="P454"/>
  <c r="O454"/>
  <c r="O453"/>
  <c r="R452"/>
  <c r="Q452"/>
  <c r="P452"/>
  <c r="O452"/>
  <c r="R451"/>
  <c r="Q451"/>
  <c r="P451"/>
  <c r="O451"/>
  <c r="R450"/>
  <c r="Q450"/>
  <c r="P450"/>
  <c r="O450"/>
  <c r="R449"/>
  <c r="Q449"/>
  <c r="P449"/>
  <c r="O449"/>
  <c r="R448"/>
  <c r="Q448"/>
  <c r="P448"/>
  <c r="O448"/>
  <c r="R447"/>
  <c r="Q447"/>
  <c r="P447"/>
  <c r="O447"/>
  <c r="R446"/>
  <c r="Q446"/>
  <c r="P446"/>
  <c r="O446"/>
  <c r="R445"/>
  <c r="Q445"/>
  <c r="P445"/>
  <c r="O445"/>
  <c r="R444"/>
  <c r="Q444"/>
  <c r="P444"/>
  <c r="O444"/>
  <c r="R443"/>
  <c r="Q443"/>
  <c r="P443"/>
  <c r="O443"/>
  <c r="R442"/>
  <c r="Q442"/>
  <c r="P442"/>
  <c r="O442"/>
  <c r="R441"/>
  <c r="Q441"/>
  <c r="P441"/>
  <c r="O441"/>
  <c r="S453"/>
  <c r="P453" l="1"/>
  <c r="U457" s="1"/>
  <c r="G1321" i="33" l="1"/>
  <c r="G1315" l="1"/>
  <c r="J1314"/>
  <c r="I1314"/>
  <c r="F1314"/>
  <c r="B1352"/>
  <c r="B1315"/>
  <c r="B1314"/>
  <c r="B1313"/>
  <c r="B1321"/>
  <c r="J1421"/>
  <c r="I1421"/>
  <c r="F1421"/>
  <c r="J1420"/>
  <c r="I1420"/>
  <c r="F1420"/>
  <c r="J1419"/>
  <c r="I1419"/>
  <c r="F1419"/>
  <c r="J1418"/>
  <c r="I1418"/>
  <c r="F1418"/>
  <c r="G1430"/>
  <c r="O1417"/>
  <c r="J1417"/>
  <c r="I1417"/>
  <c r="P1417" s="1"/>
  <c r="F1417"/>
  <c r="O1416"/>
  <c r="J1416"/>
  <c r="I1416"/>
  <c r="P1416" s="1"/>
  <c r="F1416"/>
  <c r="A88" i="20"/>
  <c r="I473" i="21"/>
  <c r="K472"/>
  <c r="J472"/>
  <c r="I472"/>
  <c r="K471"/>
  <c r="J471"/>
  <c r="I471"/>
  <c r="K470"/>
  <c r="J470"/>
  <c r="I470"/>
  <c r="K469"/>
  <c r="J469"/>
  <c r="I469"/>
  <c r="K468"/>
  <c r="J468"/>
  <c r="I468"/>
  <c r="K467"/>
  <c r="J467"/>
  <c r="I467"/>
  <c r="K466"/>
  <c r="J466"/>
  <c r="I466"/>
  <c r="K465"/>
  <c r="J465"/>
  <c r="I465"/>
  <c r="K464"/>
  <c r="J464"/>
  <c r="I464"/>
  <c r="K463"/>
  <c r="J463"/>
  <c r="I463"/>
  <c r="K462"/>
  <c r="J462"/>
  <c r="I462"/>
  <c r="K461"/>
  <c r="J461"/>
  <c r="I461"/>
  <c r="K460"/>
  <c r="J460"/>
  <c r="I460"/>
  <c r="K459"/>
  <c r="J459"/>
  <c r="I459"/>
  <c r="K458"/>
  <c r="J458"/>
  <c r="I458"/>
  <c r="K457"/>
  <c r="J457"/>
  <c r="I457"/>
  <c r="K456"/>
  <c r="J456"/>
  <c r="I456"/>
  <c r="K455"/>
  <c r="J455"/>
  <c r="I455"/>
  <c r="K454"/>
  <c r="J454"/>
  <c r="I454"/>
  <c r="K453"/>
  <c r="J453"/>
  <c r="I453"/>
  <c r="K452"/>
  <c r="J452"/>
  <c r="I452"/>
  <c r="K451"/>
  <c r="J451"/>
  <c r="I451"/>
  <c r="I450"/>
  <c r="K449"/>
  <c r="J449"/>
  <c r="I449"/>
  <c r="I448"/>
  <c r="K447"/>
  <c r="J447"/>
  <c r="I447"/>
  <c r="K446"/>
  <c r="J446"/>
  <c r="I446"/>
  <c r="I445"/>
  <c r="I444"/>
  <c r="J444" s="1"/>
  <c r="I443"/>
  <c r="I442"/>
  <c r="J442" s="1"/>
  <c r="K441"/>
  <c r="J441"/>
  <c r="I441"/>
  <c r="K440"/>
  <c r="J440"/>
  <c r="I440"/>
  <c r="K438"/>
  <c r="J438"/>
  <c r="I438"/>
  <c r="K437"/>
  <c r="J437"/>
  <c r="I437"/>
  <c r="K436"/>
  <c r="J436"/>
  <c r="I436"/>
  <c r="K435"/>
  <c r="J435"/>
  <c r="I435"/>
  <c r="K434"/>
  <c r="J434"/>
  <c r="I434"/>
  <c r="K433"/>
  <c r="J433"/>
  <c r="I433"/>
  <c r="K432"/>
  <c r="J432"/>
  <c r="I432"/>
  <c r="K431"/>
  <c r="J431"/>
  <c r="I431"/>
  <c r="K430"/>
  <c r="J430"/>
  <c r="I430"/>
  <c r="K429"/>
  <c r="J429"/>
  <c r="I429"/>
  <c r="K428"/>
  <c r="J428"/>
  <c r="I428"/>
  <c r="K427"/>
  <c r="J427"/>
  <c r="I427"/>
  <c r="K426"/>
  <c r="J426"/>
  <c r="I426"/>
  <c r="K425"/>
  <c r="J425"/>
  <c r="I425"/>
  <c r="K424"/>
  <c r="J424"/>
  <c r="I424"/>
  <c r="K423"/>
  <c r="J423"/>
  <c r="I423"/>
  <c r="K422"/>
  <c r="J422"/>
  <c r="I422"/>
  <c r="K421"/>
  <c r="J421"/>
  <c r="I421"/>
  <c r="K420"/>
  <c r="J420"/>
  <c r="I420"/>
  <c r="K419"/>
  <c r="J419"/>
  <c r="I419"/>
  <c r="K418"/>
  <c r="J418"/>
  <c r="I418"/>
  <c r="K417"/>
  <c r="J417"/>
  <c r="I417"/>
  <c r="K416"/>
  <c r="J416"/>
  <c r="I416"/>
  <c r="K415"/>
  <c r="J415"/>
  <c r="I415"/>
  <c r="K414"/>
  <c r="J414"/>
  <c r="I414"/>
  <c r="K413"/>
  <c r="J413"/>
  <c r="I413"/>
  <c r="K412"/>
  <c r="J412"/>
  <c r="I412"/>
  <c r="K411"/>
  <c r="J411"/>
  <c r="I411"/>
  <c r="K410"/>
  <c r="J410"/>
  <c r="I410"/>
  <c r="K409"/>
  <c r="J409"/>
  <c r="I409"/>
  <c r="K408"/>
  <c r="J408"/>
  <c r="I408"/>
  <c r="K407"/>
  <c r="J407"/>
  <c r="I407"/>
  <c r="K406"/>
  <c r="J406"/>
  <c r="I406"/>
  <c r="K405"/>
  <c r="J405"/>
  <c r="I405"/>
  <c r="K404"/>
  <c r="J404"/>
  <c r="I404"/>
  <c r="K403"/>
  <c r="J403"/>
  <c r="I403"/>
  <c r="K402"/>
  <c r="J402"/>
  <c r="I402"/>
  <c r="K401"/>
  <c r="J401"/>
  <c r="I401"/>
  <c r="K400"/>
  <c r="J400"/>
  <c r="I400"/>
  <c r="K399"/>
  <c r="J399"/>
  <c r="I399"/>
  <c r="K398"/>
  <c r="J398"/>
  <c r="I398"/>
  <c r="K397"/>
  <c r="J397"/>
  <c r="I397"/>
  <c r="K396"/>
  <c r="J396"/>
  <c r="I396"/>
  <c r="S442"/>
  <c r="G1398" i="33"/>
  <c r="J1393"/>
  <c r="I1393"/>
  <c r="F1393"/>
  <c r="J1389"/>
  <c r="I1389"/>
  <c r="F1389"/>
  <c r="K473" i="21" l="1"/>
  <c r="J450"/>
  <c r="U451" s="1"/>
  <c r="U450"/>
  <c r="K448"/>
  <c r="J445"/>
  <c r="K445" s="1"/>
  <c r="K444"/>
  <c r="J443"/>
  <c r="K443" s="1"/>
  <c r="K442"/>
  <c r="G1381" i="33"/>
  <c r="F1381"/>
  <c r="K450" i="21" l="1"/>
  <c r="F470" i="22"/>
  <c r="A482" i="40" l="1"/>
  <c r="A481"/>
  <c r="A480"/>
  <c r="A479"/>
  <c r="A472"/>
  <c r="A471"/>
  <c r="H457"/>
  <c r="A457"/>
  <c r="A456"/>
  <c r="A444"/>
  <c r="A439"/>
  <c r="A438"/>
  <c r="A437"/>
  <c r="A436"/>
  <c r="J431"/>
  <c r="I431"/>
  <c r="H431"/>
  <c r="A431"/>
  <c r="A430"/>
  <c r="A429"/>
  <c r="A428"/>
  <c r="A427"/>
  <c r="A426"/>
  <c r="A425"/>
  <c r="A424"/>
  <c r="A423"/>
  <c r="A422"/>
  <c r="A421"/>
  <c r="A420"/>
  <c r="A419"/>
  <c r="A418"/>
  <c r="A417"/>
  <c r="A416"/>
  <c r="A415"/>
  <c r="A414"/>
  <c r="A413"/>
  <c r="A412"/>
  <c r="A411"/>
  <c r="A410"/>
  <c r="A402"/>
  <c r="A401"/>
  <c r="A400"/>
  <c r="A399"/>
  <c r="A394"/>
  <c r="A393"/>
  <c r="A392"/>
  <c r="A391"/>
  <c r="I390"/>
  <c r="H394" s="1"/>
  <c r="A386"/>
  <c r="A385"/>
  <c r="H384"/>
  <c r="H386" s="1"/>
  <c r="H375"/>
  <c r="H367"/>
  <c r="H363"/>
  <c r="A349"/>
  <c r="A348"/>
  <c r="A347"/>
  <c r="G338"/>
  <c r="G335"/>
  <c r="A335"/>
  <c r="G334"/>
  <c r="G342" s="1"/>
  <c r="H330"/>
  <c r="A330"/>
  <c r="A329"/>
  <c r="A328"/>
  <c r="H327"/>
  <c r="A327"/>
  <c r="H300"/>
  <c r="A300"/>
  <c r="H299"/>
  <c r="A299"/>
  <c r="A290"/>
  <c r="A289"/>
  <c r="A288"/>
  <c r="A283"/>
  <c r="A282"/>
  <c r="A281"/>
  <c r="H280"/>
  <c r="H283" s="1"/>
  <c r="A275"/>
  <c r="A274"/>
  <c r="H273"/>
  <c r="A273"/>
  <c r="H272"/>
  <c r="A272"/>
  <c r="H271"/>
  <c r="A271"/>
  <c r="H270"/>
  <c r="A270"/>
  <c r="H269"/>
  <c r="H275" s="1"/>
  <c r="H265"/>
  <c r="A265"/>
  <c r="A264"/>
  <c r="A263"/>
  <c r="H262"/>
  <c r="A251"/>
  <c r="A250"/>
  <c r="A227"/>
  <c r="A226"/>
  <c r="A225"/>
  <c r="A224"/>
  <c r="A213"/>
  <c r="A212"/>
  <c r="G164"/>
  <c r="G163"/>
  <c r="N162"/>
  <c r="G161"/>
  <c r="N160"/>
  <c r="N159"/>
  <c r="N158"/>
  <c r="N157"/>
  <c r="M157"/>
  <c r="L157"/>
  <c r="K157"/>
  <c r="J157"/>
  <c r="I157"/>
  <c r="H157"/>
  <c r="G157"/>
  <c r="N156"/>
  <c r="N155"/>
  <c r="G153"/>
  <c r="P152"/>
  <c r="M152"/>
  <c r="L152"/>
  <c r="K152"/>
  <c r="J152"/>
  <c r="I152"/>
  <c r="H152"/>
  <c r="N151"/>
  <c r="N149"/>
  <c r="N148"/>
  <c r="N147"/>
  <c r="N146"/>
  <c r="N145"/>
  <c r="N144"/>
  <c r="N143"/>
  <c r="M143"/>
  <c r="L143"/>
  <c r="K143"/>
  <c r="J143"/>
  <c r="I143"/>
  <c r="H143"/>
  <c r="G143"/>
  <c r="N142"/>
  <c r="N141"/>
  <c r="N140"/>
  <c r="N139"/>
  <c r="N138"/>
  <c r="M138"/>
  <c r="L138"/>
  <c r="K138"/>
  <c r="J138"/>
  <c r="I138"/>
  <c r="H138"/>
  <c r="G138"/>
  <c r="P137"/>
  <c r="M137"/>
  <c r="M150" s="1"/>
  <c r="L137"/>
  <c r="L163" s="1"/>
  <c r="K137"/>
  <c r="K150" s="1"/>
  <c r="J137"/>
  <c r="J163" s="1"/>
  <c r="I137"/>
  <c r="I150" s="1"/>
  <c r="H137"/>
  <c r="H163" s="1"/>
  <c r="A131"/>
  <c r="A130"/>
  <c r="A129"/>
  <c r="A128"/>
  <c r="H127"/>
  <c r="H131" s="1"/>
  <c r="C112"/>
  <c r="K111"/>
  <c r="K110"/>
  <c r="K109"/>
  <c r="M105"/>
  <c r="J105"/>
  <c r="I105"/>
  <c r="H105"/>
  <c r="G105"/>
  <c r="G112" s="1"/>
  <c r="E105"/>
  <c r="E112" s="1"/>
  <c r="C105"/>
  <c r="A89"/>
  <c r="H88"/>
  <c r="A88"/>
  <c r="H87"/>
  <c r="A87"/>
  <c r="A86"/>
  <c r="A85"/>
  <c r="A84"/>
  <c r="H83"/>
  <c r="A83"/>
  <c r="H82"/>
  <c r="H89" s="1"/>
  <c r="A78"/>
  <c r="H77"/>
  <c r="A77"/>
  <c r="H76"/>
  <c r="A76"/>
  <c r="H75"/>
  <c r="A75"/>
  <c r="H74"/>
  <c r="H78" s="1"/>
  <c r="J69"/>
  <c r="H67"/>
  <c r="A67"/>
  <c r="A66"/>
  <c r="J65"/>
  <c r="G65"/>
  <c r="H58"/>
  <c r="H57"/>
  <c r="H60" s="1"/>
  <c r="B9"/>
  <c r="I4"/>
  <c r="A4"/>
  <c r="H31" i="32"/>
  <c r="H29"/>
  <c r="C9"/>
  <c r="B9"/>
  <c r="K8"/>
  <c r="D8"/>
  <c r="B8"/>
  <c r="E6"/>
  <c r="C2"/>
  <c r="J12" i="31"/>
  <c r="A7"/>
  <c r="B5"/>
  <c r="D4"/>
  <c r="G1445" i="39"/>
  <c r="F1442"/>
  <c r="F1443" s="1"/>
  <c r="F1444" s="1"/>
  <c r="F1445" s="1"/>
  <c r="F1446" s="1"/>
  <c r="F1447" s="1"/>
  <c r="F1448" s="1"/>
  <c r="F1449" s="1"/>
  <c r="F1450" s="1"/>
  <c r="F1451" s="1"/>
  <c r="F1452" s="1"/>
  <c r="F1453" s="1"/>
  <c r="F1454" s="1"/>
  <c r="F1455" s="1"/>
  <c r="F1456" s="1"/>
  <c r="H1432"/>
  <c r="H1430"/>
  <c r="H1422"/>
  <c r="H1419"/>
  <c r="H1407"/>
  <c r="H1395"/>
  <c r="H1396" s="1"/>
  <c r="H1375"/>
  <c r="H1369"/>
  <c r="C1359"/>
  <c r="B1341"/>
  <c r="B1339"/>
  <c r="G1323"/>
  <c r="F1320"/>
  <c r="F1321" s="1"/>
  <c r="F1322" s="1"/>
  <c r="F1323" s="1"/>
  <c r="F1324" s="1"/>
  <c r="F1325" s="1"/>
  <c r="F1326" s="1"/>
  <c r="F1327" s="1"/>
  <c r="F1328" s="1"/>
  <c r="F1329" s="1"/>
  <c r="F1330" s="1"/>
  <c r="F1331" s="1"/>
  <c r="F1332" s="1"/>
  <c r="F1333" s="1"/>
  <c r="F1334" s="1"/>
  <c r="H1310"/>
  <c r="H1308"/>
  <c r="H1300"/>
  <c r="H1297"/>
  <c r="H1285"/>
  <c r="H1273"/>
  <c r="H1274" s="1"/>
  <c r="H1253"/>
  <c r="H1247"/>
  <c r="C1237"/>
  <c r="B1219"/>
  <c r="B1217"/>
  <c r="G1201"/>
  <c r="F1198"/>
  <c r="F1199" s="1"/>
  <c r="F1200" s="1"/>
  <c r="F1201" s="1"/>
  <c r="F1202" s="1"/>
  <c r="F1203" s="1"/>
  <c r="F1204" s="1"/>
  <c r="F1205" s="1"/>
  <c r="F1206" s="1"/>
  <c r="F1207" s="1"/>
  <c r="F1208" s="1"/>
  <c r="F1209" s="1"/>
  <c r="F1210" s="1"/>
  <c r="F1211" s="1"/>
  <c r="F1212" s="1"/>
  <c r="H1188"/>
  <c r="H1186"/>
  <c r="H1178"/>
  <c r="H1175"/>
  <c r="H1163"/>
  <c r="H1151"/>
  <c r="H1152" s="1"/>
  <c r="H1131"/>
  <c r="H1126"/>
  <c r="H1125" s="1"/>
  <c r="C1115"/>
  <c r="B1097"/>
  <c r="B1095"/>
  <c r="G1079"/>
  <c r="F1076"/>
  <c r="F1077" s="1"/>
  <c r="F1078" s="1"/>
  <c r="F1079" s="1"/>
  <c r="F1080" s="1"/>
  <c r="F1081" s="1"/>
  <c r="F1082" s="1"/>
  <c r="F1083" s="1"/>
  <c r="F1084" s="1"/>
  <c r="F1085" s="1"/>
  <c r="F1086" s="1"/>
  <c r="F1087" s="1"/>
  <c r="F1088" s="1"/>
  <c r="F1089" s="1"/>
  <c r="F1090" s="1"/>
  <c r="H1066"/>
  <c r="H1064"/>
  <c r="H1056"/>
  <c r="H1053"/>
  <c r="H1041"/>
  <c r="H1029"/>
  <c r="H1030" s="1"/>
  <c r="H1009"/>
  <c r="H1004"/>
  <c r="H1003" s="1"/>
  <c r="C993"/>
  <c r="B975"/>
  <c r="B973"/>
  <c r="F968"/>
  <c r="F967"/>
  <c r="F966"/>
  <c r="F965"/>
  <c r="F964"/>
  <c r="F963"/>
  <c r="F962"/>
  <c r="F961"/>
  <c r="F960"/>
  <c r="F959"/>
  <c r="F958"/>
  <c r="G957"/>
  <c r="F957"/>
  <c r="F956"/>
  <c r="F955"/>
  <c r="F954"/>
  <c r="H944"/>
  <c r="H942"/>
  <c r="H934"/>
  <c r="H931"/>
  <c r="H919"/>
  <c r="H908"/>
  <c r="H907"/>
  <c r="H887"/>
  <c r="H882"/>
  <c r="H881" s="1"/>
  <c r="C871"/>
  <c r="B853"/>
  <c r="B851"/>
  <c r="F846"/>
  <c r="F845"/>
  <c r="F844"/>
  <c r="F843"/>
  <c r="F842"/>
  <c r="F841"/>
  <c r="F840"/>
  <c r="F839"/>
  <c r="F838"/>
  <c r="F837"/>
  <c r="F836"/>
  <c r="G835"/>
  <c r="F835"/>
  <c r="F834"/>
  <c r="F833"/>
  <c r="F832"/>
  <c r="H822"/>
  <c r="H820"/>
  <c r="H812"/>
  <c r="H809"/>
  <c r="H797"/>
  <c r="H786"/>
  <c r="H785"/>
  <c r="H765"/>
  <c r="H760"/>
  <c r="H759" s="1"/>
  <c r="C749"/>
  <c r="B731"/>
  <c r="B729"/>
  <c r="F724"/>
  <c r="F723"/>
  <c r="F722"/>
  <c r="F721"/>
  <c r="F720"/>
  <c r="F719"/>
  <c r="F718"/>
  <c r="F717"/>
  <c r="F716"/>
  <c r="F715"/>
  <c r="F714"/>
  <c r="G713"/>
  <c r="F713"/>
  <c r="F712"/>
  <c r="F711"/>
  <c r="F710"/>
  <c r="H700"/>
  <c r="H698"/>
  <c r="H690"/>
  <c r="H687"/>
  <c r="H675"/>
  <c r="H664"/>
  <c r="H663"/>
  <c r="H643"/>
  <c r="H638"/>
  <c r="H637" s="1"/>
  <c r="C627"/>
  <c r="B609"/>
  <c r="B607"/>
  <c r="F602"/>
  <c r="F601"/>
  <c r="F600"/>
  <c r="F599"/>
  <c r="F598"/>
  <c r="F597"/>
  <c r="F596"/>
  <c r="F595"/>
  <c r="F594"/>
  <c r="F593"/>
  <c r="F592"/>
  <c r="G591"/>
  <c r="F591"/>
  <c r="F590"/>
  <c r="F589"/>
  <c r="F588"/>
  <c r="H578"/>
  <c r="H576"/>
  <c r="H568"/>
  <c r="H565"/>
  <c r="H553"/>
  <c r="H542"/>
  <c r="H541"/>
  <c r="H521"/>
  <c r="H516"/>
  <c r="H515" s="1"/>
  <c r="C505"/>
  <c r="B487"/>
  <c r="B485"/>
  <c r="F480"/>
  <c r="F479"/>
  <c r="F478"/>
  <c r="F477"/>
  <c r="F476"/>
  <c r="F475"/>
  <c r="F474"/>
  <c r="F473"/>
  <c r="F472"/>
  <c r="F471"/>
  <c r="F470"/>
  <c r="G469"/>
  <c r="F469"/>
  <c r="F468"/>
  <c r="F467"/>
  <c r="F466"/>
  <c r="H456"/>
  <c r="H454"/>
  <c r="H446"/>
  <c r="H443"/>
  <c r="H431"/>
  <c r="H420"/>
  <c r="H419"/>
  <c r="H399"/>
  <c r="H394"/>
  <c r="H393" s="1"/>
  <c r="H415" s="1"/>
  <c r="H416" s="1"/>
  <c r="H421" s="1"/>
  <c r="H449" s="1"/>
  <c r="H459" s="1"/>
  <c r="C383"/>
  <c r="B365"/>
  <c r="B363"/>
  <c r="F358"/>
  <c r="F357"/>
  <c r="F356"/>
  <c r="F355"/>
  <c r="F354"/>
  <c r="F353"/>
  <c r="F352"/>
  <c r="F351"/>
  <c r="F350"/>
  <c r="F349"/>
  <c r="F348"/>
  <c r="G347"/>
  <c r="F347"/>
  <c r="F346"/>
  <c r="F345"/>
  <c r="F344"/>
  <c r="H334"/>
  <c r="H332"/>
  <c r="H324"/>
  <c r="H321"/>
  <c r="H309"/>
  <c r="H298"/>
  <c r="H297"/>
  <c r="H277"/>
  <c r="H272"/>
  <c r="H271" s="1"/>
  <c r="C261"/>
  <c r="B243"/>
  <c r="B241"/>
  <c r="F236"/>
  <c r="F235"/>
  <c r="F234"/>
  <c r="F233"/>
  <c r="F232"/>
  <c r="F231"/>
  <c r="F230"/>
  <c r="F229"/>
  <c r="F228"/>
  <c r="F227"/>
  <c r="F226"/>
  <c r="G225"/>
  <c r="F225"/>
  <c r="F224"/>
  <c r="F223"/>
  <c r="F222"/>
  <c r="H212"/>
  <c r="H210"/>
  <c r="H202"/>
  <c r="H199"/>
  <c r="H187"/>
  <c r="H176"/>
  <c r="H175"/>
  <c r="H155"/>
  <c r="H150"/>
  <c r="H149" s="1"/>
  <c r="C139"/>
  <c r="E130"/>
  <c r="B130"/>
  <c r="E129"/>
  <c r="B129"/>
  <c r="B121"/>
  <c r="B119"/>
  <c r="G103"/>
  <c r="H100"/>
  <c r="F100"/>
  <c r="F101" s="1"/>
  <c r="F102" s="1"/>
  <c r="F103" s="1"/>
  <c r="F104" s="1"/>
  <c r="F105" s="1"/>
  <c r="F106" s="1"/>
  <c r="F107" s="1"/>
  <c r="F108" s="1"/>
  <c r="F109" s="1"/>
  <c r="F110" s="1"/>
  <c r="F111" s="1"/>
  <c r="F112" s="1"/>
  <c r="F113" s="1"/>
  <c r="F114" s="1"/>
  <c r="H90"/>
  <c r="H88"/>
  <c r="H80"/>
  <c r="H77"/>
  <c r="H65"/>
  <c r="H54"/>
  <c r="H53"/>
  <c r="H33"/>
  <c r="C17"/>
  <c r="L16"/>
  <c r="N15"/>
  <c r="N20" s="1"/>
  <c r="N14"/>
  <c r="M14"/>
  <c r="H1281" s="1"/>
  <c r="H1279" s="1"/>
  <c r="H1284" s="1"/>
  <c r="H1292" s="1"/>
  <c r="H1304" s="1"/>
  <c r="H1314" s="1"/>
  <c r="N13"/>
  <c r="M13"/>
  <c r="H1159" s="1"/>
  <c r="H1157" s="1"/>
  <c r="H1162" s="1"/>
  <c r="H1170" s="1"/>
  <c r="H1182" s="1"/>
  <c r="H1192" s="1"/>
  <c r="B13"/>
  <c r="N12"/>
  <c r="E12"/>
  <c r="B12"/>
  <c r="N11"/>
  <c r="E11"/>
  <c r="B11"/>
  <c r="N10"/>
  <c r="M10"/>
  <c r="H793" s="1"/>
  <c r="H791" s="1"/>
  <c r="H796" s="1"/>
  <c r="H804" s="1"/>
  <c r="H816" s="1"/>
  <c r="H826" s="1"/>
  <c r="E10"/>
  <c r="B10"/>
  <c r="N9"/>
  <c r="E9"/>
  <c r="B9"/>
  <c r="N8"/>
  <c r="M8"/>
  <c r="H549" s="1"/>
  <c r="H547" s="1"/>
  <c r="H552" s="1"/>
  <c r="H560" s="1"/>
  <c r="H572" s="1"/>
  <c r="H582" s="1"/>
  <c r="N7"/>
  <c r="E7"/>
  <c r="B7"/>
  <c r="N6"/>
  <c r="M6"/>
  <c r="H305" s="1"/>
  <c r="H303" s="1"/>
  <c r="H308" s="1"/>
  <c r="H316" s="1"/>
  <c r="H328" s="1"/>
  <c r="H338" s="1"/>
  <c r="N5"/>
  <c r="M5"/>
  <c r="H183" s="1"/>
  <c r="H181" s="1"/>
  <c r="H186" s="1"/>
  <c r="H194" s="1"/>
  <c r="H206" s="1"/>
  <c r="H216" s="1"/>
  <c r="N4"/>
  <c r="P3"/>
  <c r="O3"/>
  <c r="G99" s="1"/>
  <c r="N3"/>
  <c r="M3"/>
  <c r="G157" i="38"/>
  <c r="G159" s="1"/>
  <c r="B132"/>
  <c r="B133" s="1"/>
  <c r="B134" s="1"/>
  <c r="B124"/>
  <c r="B122"/>
  <c r="B120"/>
  <c r="G101"/>
  <c r="G103" s="1"/>
  <c r="B76"/>
  <c r="B77" s="1"/>
  <c r="B78" s="1"/>
  <c r="B66"/>
  <c r="B64"/>
  <c r="G46"/>
  <c r="G48" s="1"/>
  <c r="B21"/>
  <c r="B22" s="1"/>
  <c r="B23" s="1"/>
  <c r="B13"/>
  <c r="B11"/>
  <c r="B9"/>
  <c r="D202" i="28"/>
  <c r="D201"/>
  <c r="D200"/>
  <c r="D199"/>
  <c r="F198"/>
  <c r="D198"/>
  <c r="D197"/>
  <c r="D196"/>
  <c r="D195"/>
  <c r="D194"/>
  <c r="D193"/>
  <c r="D192"/>
  <c r="D191"/>
  <c r="D190"/>
  <c r="D189"/>
  <c r="D188"/>
  <c r="D187"/>
  <c r="D186"/>
  <c r="D185"/>
  <c r="D184"/>
  <c r="D182"/>
  <c r="D181"/>
  <c r="D180"/>
  <c r="D179"/>
  <c r="D178"/>
  <c r="D177"/>
  <c r="D176"/>
  <c r="D175"/>
  <c r="D174"/>
  <c r="D173"/>
  <c r="D172"/>
  <c r="D171"/>
  <c r="D170"/>
  <c r="D169"/>
  <c r="D168"/>
  <c r="D167"/>
  <c r="D166"/>
  <c r="F131"/>
  <c r="F124"/>
  <c r="D92"/>
  <c r="D93" s="1"/>
  <c r="D94" s="1"/>
  <c r="D95" s="1"/>
  <c r="D96" s="1"/>
  <c r="D97" s="1"/>
  <c r="D98" s="1"/>
  <c r="D99" s="1"/>
  <c r="D100" s="1"/>
  <c r="D101" s="1"/>
  <c r="D102" s="1"/>
  <c r="D103" s="1"/>
  <c r="D104" s="1"/>
  <c r="D105" s="1"/>
  <c r="D106" s="1"/>
  <c r="D107" s="1"/>
  <c r="D108" s="1"/>
  <c r="D110" s="1"/>
  <c r="D111" s="1"/>
  <c r="D112" s="1"/>
  <c r="D113" s="1"/>
  <c r="D114" s="1"/>
  <c r="D115" s="1"/>
  <c r="D116" s="1"/>
  <c r="D117" s="1"/>
  <c r="D118" s="1"/>
  <c r="D119" s="1"/>
  <c r="D120" s="1"/>
  <c r="D121" s="1"/>
  <c r="D122" s="1"/>
  <c r="D123" s="1"/>
  <c r="D124" s="1"/>
  <c r="D125" s="1"/>
  <c r="D126" s="1"/>
  <c r="D127" s="1"/>
  <c r="D128" s="1"/>
  <c r="F58"/>
  <c r="D55"/>
  <c r="D54"/>
  <c r="D53"/>
  <c r="D52"/>
  <c r="F51"/>
  <c r="D51"/>
  <c r="D50"/>
  <c r="D49"/>
  <c r="D48"/>
  <c r="D47"/>
  <c r="D46"/>
  <c r="D45"/>
  <c r="D44"/>
  <c r="D43"/>
  <c r="D42"/>
  <c r="D41"/>
  <c r="D40"/>
  <c r="D39"/>
  <c r="D38"/>
  <c r="D37"/>
  <c r="D35"/>
  <c r="D34"/>
  <c r="D33"/>
  <c r="D32"/>
  <c r="D31"/>
  <c r="D30"/>
  <c r="D29"/>
  <c r="D28"/>
  <c r="D27"/>
  <c r="D26"/>
  <c r="D25"/>
  <c r="D24"/>
  <c r="D23"/>
  <c r="D22"/>
  <c r="D21"/>
  <c r="D20"/>
  <c r="D19"/>
  <c r="K16"/>
  <c r="M15"/>
  <c r="L15"/>
  <c r="L14"/>
  <c r="M13"/>
  <c r="L13"/>
  <c r="M12"/>
  <c r="L12"/>
  <c r="M11"/>
  <c r="L11"/>
  <c r="M10"/>
  <c r="L10"/>
  <c r="M9"/>
  <c r="L9"/>
  <c r="M8"/>
  <c r="L8"/>
  <c r="A8"/>
  <c r="M7"/>
  <c r="L7"/>
  <c r="M6"/>
  <c r="L6"/>
  <c r="M5"/>
  <c r="L5"/>
  <c r="M4"/>
  <c r="L4"/>
  <c r="O3"/>
  <c r="N3"/>
  <c r="M3"/>
  <c r="L3"/>
  <c r="B168" i="27"/>
  <c r="A165"/>
  <c r="A163"/>
  <c r="H143"/>
  <c r="C143"/>
  <c r="A143"/>
  <c r="H142"/>
  <c r="C142"/>
  <c r="A142"/>
  <c r="H141"/>
  <c r="C141"/>
  <c r="A141"/>
  <c r="H140"/>
  <c r="C140"/>
  <c r="A140"/>
  <c r="H139"/>
  <c r="C139"/>
  <c r="A139"/>
  <c r="H138"/>
  <c r="C138"/>
  <c r="A138"/>
  <c r="H137"/>
  <c r="C137"/>
  <c r="A137"/>
  <c r="H136"/>
  <c r="C136"/>
  <c r="A136"/>
  <c r="H135"/>
  <c r="C135"/>
  <c r="A135"/>
  <c r="H134"/>
  <c r="C134"/>
  <c r="A134"/>
  <c r="H133"/>
  <c r="C133"/>
  <c r="A133"/>
  <c r="H132"/>
  <c r="C132"/>
  <c r="A132"/>
  <c r="H131"/>
  <c r="C131"/>
  <c r="A131"/>
  <c r="H130"/>
  <c r="C130"/>
  <c r="A130"/>
  <c r="H129"/>
  <c r="C129"/>
  <c r="A129"/>
  <c r="H128"/>
  <c r="C128"/>
  <c r="A128"/>
  <c r="H127"/>
  <c r="C127"/>
  <c r="A127"/>
  <c r="H126"/>
  <c r="C126"/>
  <c r="A126"/>
  <c r="H125"/>
  <c r="C125"/>
  <c r="A125"/>
  <c r="H124"/>
  <c r="C124"/>
  <c r="A124"/>
  <c r="H123"/>
  <c r="C123"/>
  <c r="A123"/>
  <c r="H122"/>
  <c r="C122"/>
  <c r="A122"/>
  <c r="H121"/>
  <c r="C121"/>
  <c r="A121"/>
  <c r="H120"/>
  <c r="C120"/>
  <c r="A120"/>
  <c r="H119"/>
  <c r="C119"/>
  <c r="A119"/>
  <c r="H118"/>
  <c r="C118"/>
  <c r="A118"/>
  <c r="H117"/>
  <c r="C117"/>
  <c r="A117"/>
  <c r="H116"/>
  <c r="C116"/>
  <c r="A116"/>
  <c r="H115"/>
  <c r="C115"/>
  <c r="A115"/>
  <c r="H114"/>
  <c r="G107"/>
  <c r="F107"/>
  <c r="E107"/>
  <c r="H106"/>
  <c r="C106"/>
  <c r="C105"/>
  <c r="H104"/>
  <c r="C104"/>
  <c r="H103"/>
  <c r="C103"/>
  <c r="H102"/>
  <c r="C102"/>
  <c r="H101"/>
  <c r="H100"/>
  <c r="H99"/>
  <c r="H98"/>
  <c r="H89"/>
  <c r="H75"/>
  <c r="H74"/>
  <c r="H73"/>
  <c r="H70"/>
  <c r="H69"/>
  <c r="H68"/>
  <c r="H67"/>
  <c r="H66"/>
  <c r="H64"/>
  <c r="H63"/>
  <c r="H62"/>
  <c r="H61"/>
  <c r="H60"/>
  <c r="H59"/>
  <c r="H58"/>
  <c r="H57"/>
  <c r="H56"/>
  <c r="H55"/>
  <c r="H52"/>
  <c r="H38"/>
  <c r="H37"/>
  <c r="H36"/>
  <c r="H35"/>
  <c r="H34"/>
  <c r="H33"/>
  <c r="H32"/>
  <c r="H31"/>
  <c r="H30"/>
  <c r="H29"/>
  <c r="H28"/>
  <c r="H27"/>
  <c r="H26"/>
  <c r="H25"/>
  <c r="B331" i="29"/>
  <c r="B329"/>
  <c r="H318"/>
  <c r="I318" s="1"/>
  <c r="I317" s="1"/>
  <c r="H317"/>
  <c r="B248"/>
  <c r="B246"/>
  <c r="I211"/>
  <c r="B166"/>
  <c r="B164"/>
  <c r="I116"/>
  <c r="B84"/>
  <c r="B80"/>
  <c r="B78"/>
  <c r="H67"/>
  <c r="I67" s="1"/>
  <c r="I66" s="1"/>
  <c r="H66"/>
  <c r="E38"/>
  <c r="E40" s="1"/>
  <c r="I30"/>
  <c r="F430" i="26"/>
  <c r="G439" s="1"/>
  <c r="E430"/>
  <c r="E431" s="1"/>
  <c r="E432" s="1"/>
  <c r="E433" s="1"/>
  <c r="E434" s="1"/>
  <c r="E435" s="1"/>
  <c r="E436" s="1"/>
  <c r="E437" s="1"/>
  <c r="E438" s="1"/>
  <c r="E439" s="1"/>
  <c r="F422"/>
  <c r="F420"/>
  <c r="F418"/>
  <c r="F416"/>
  <c r="F423" s="1"/>
  <c r="E416"/>
  <c r="E417" s="1"/>
  <c r="E418" s="1"/>
  <c r="E419" s="1"/>
  <c r="E420" s="1"/>
  <c r="E421" s="1"/>
  <c r="E422" s="1"/>
  <c r="E423" s="1"/>
  <c r="F406"/>
  <c r="F407" s="1"/>
  <c r="F404"/>
  <c r="F405" s="1"/>
  <c r="F400"/>
  <c r="E400"/>
  <c r="E401" s="1"/>
  <c r="E402" s="1"/>
  <c r="E403" s="1"/>
  <c r="E404" s="1"/>
  <c r="E405" s="1"/>
  <c r="E406" s="1"/>
  <c r="E407" s="1"/>
  <c r="E408" s="1"/>
  <c r="E409" s="1"/>
  <c r="E410" s="1"/>
  <c r="E411" s="1"/>
  <c r="F392"/>
  <c r="F390"/>
  <c r="F373"/>
  <c r="F368"/>
  <c r="E367"/>
  <c r="E368" s="1"/>
  <c r="E369" s="1"/>
  <c r="E370" s="1"/>
  <c r="E371" s="1"/>
  <c r="E372" s="1"/>
  <c r="E373" s="1"/>
  <c r="E374" s="1"/>
  <c r="E375" s="1"/>
  <c r="E376" s="1"/>
  <c r="E377" s="1"/>
  <c r="E378" s="1"/>
  <c r="E379" s="1"/>
  <c r="E380" s="1"/>
  <c r="E381" s="1"/>
  <c r="E382" s="1"/>
  <c r="E383" s="1"/>
  <c r="E384" s="1"/>
  <c r="E385" s="1"/>
  <c r="E386" s="1"/>
  <c r="E387" s="1"/>
  <c r="E388" s="1"/>
  <c r="E389" s="1"/>
  <c r="E390" s="1"/>
  <c r="E391" s="1"/>
  <c r="E392" s="1"/>
  <c r="E393" s="1"/>
  <c r="E394" s="1"/>
  <c r="E395" s="1"/>
  <c r="F318"/>
  <c r="G327" s="1"/>
  <c r="E318"/>
  <c r="E319" s="1"/>
  <c r="E320" s="1"/>
  <c r="E321" s="1"/>
  <c r="E322" s="1"/>
  <c r="E323" s="1"/>
  <c r="E324" s="1"/>
  <c r="E325" s="1"/>
  <c r="E326" s="1"/>
  <c r="E327" s="1"/>
  <c r="F310"/>
  <c r="F308"/>
  <c r="F306"/>
  <c r="F304"/>
  <c r="F311" s="1"/>
  <c r="E304"/>
  <c r="E305" s="1"/>
  <c r="E306" s="1"/>
  <c r="E307" s="1"/>
  <c r="E308" s="1"/>
  <c r="E309" s="1"/>
  <c r="E310" s="1"/>
  <c r="E311" s="1"/>
  <c r="F294"/>
  <c r="F295" s="1"/>
  <c r="F292"/>
  <c r="F293" s="1"/>
  <c r="F288"/>
  <c r="E288"/>
  <c r="E289" s="1"/>
  <c r="E290" s="1"/>
  <c r="E291" s="1"/>
  <c r="E292" s="1"/>
  <c r="E293" s="1"/>
  <c r="E294" s="1"/>
  <c r="E295" s="1"/>
  <c r="E296" s="1"/>
  <c r="E297" s="1"/>
  <c r="E298" s="1"/>
  <c r="E299" s="1"/>
  <c r="F280"/>
  <c r="F278"/>
  <c r="F256"/>
  <c r="E255"/>
  <c r="E256" s="1"/>
  <c r="E257" s="1"/>
  <c r="E258" s="1"/>
  <c r="E259" s="1"/>
  <c r="E260" s="1"/>
  <c r="E261" s="1"/>
  <c r="E262" s="1"/>
  <c r="E263" s="1"/>
  <c r="E264" s="1"/>
  <c r="E265" s="1"/>
  <c r="E266" s="1"/>
  <c r="E267" s="1"/>
  <c r="E268" s="1"/>
  <c r="E269" s="1"/>
  <c r="E270" s="1"/>
  <c r="E271" s="1"/>
  <c r="E272" s="1"/>
  <c r="E273" s="1"/>
  <c r="E274" s="1"/>
  <c r="E275" s="1"/>
  <c r="E276" s="1"/>
  <c r="E277" s="1"/>
  <c r="E278" s="1"/>
  <c r="E279" s="1"/>
  <c r="E280" s="1"/>
  <c r="E281" s="1"/>
  <c r="E282" s="1"/>
  <c r="E283" s="1"/>
  <c r="F205"/>
  <c r="G214" s="1"/>
  <c r="E205"/>
  <c r="E206" s="1"/>
  <c r="E207" s="1"/>
  <c r="E208" s="1"/>
  <c r="E209" s="1"/>
  <c r="E210" s="1"/>
  <c r="E211" s="1"/>
  <c r="E212" s="1"/>
  <c r="E213" s="1"/>
  <c r="E214" s="1"/>
  <c r="F197"/>
  <c r="F195"/>
  <c r="F193"/>
  <c r="F191"/>
  <c r="F198" s="1"/>
  <c r="E191"/>
  <c r="E192" s="1"/>
  <c r="E193" s="1"/>
  <c r="E194" s="1"/>
  <c r="E195" s="1"/>
  <c r="E196" s="1"/>
  <c r="E197" s="1"/>
  <c r="E198" s="1"/>
  <c r="F181"/>
  <c r="F182" s="1"/>
  <c r="F179"/>
  <c r="F180" s="1"/>
  <c r="F175"/>
  <c r="E175"/>
  <c r="E176" s="1"/>
  <c r="E177" s="1"/>
  <c r="E178" s="1"/>
  <c r="E179" s="1"/>
  <c r="E180" s="1"/>
  <c r="E181" s="1"/>
  <c r="E182" s="1"/>
  <c r="E183" s="1"/>
  <c r="E184" s="1"/>
  <c r="E185" s="1"/>
  <c r="E186" s="1"/>
  <c r="F167"/>
  <c r="F165"/>
  <c r="F143"/>
  <c r="E142"/>
  <c r="E143" s="1"/>
  <c r="E144" s="1"/>
  <c r="E145" s="1"/>
  <c r="E146" s="1"/>
  <c r="E147" s="1"/>
  <c r="E148" s="1"/>
  <c r="E149" s="1"/>
  <c r="E150" s="1"/>
  <c r="E151" s="1"/>
  <c r="E152" s="1"/>
  <c r="E153" s="1"/>
  <c r="E154" s="1"/>
  <c r="E155" s="1"/>
  <c r="E156" s="1"/>
  <c r="E157" s="1"/>
  <c r="E158" s="1"/>
  <c r="E159" s="1"/>
  <c r="E160" s="1"/>
  <c r="E161" s="1"/>
  <c r="E162" s="1"/>
  <c r="E163" s="1"/>
  <c r="E164" s="1"/>
  <c r="E165" s="1"/>
  <c r="E166" s="1"/>
  <c r="E167" s="1"/>
  <c r="E168" s="1"/>
  <c r="E169" s="1"/>
  <c r="E170" s="1"/>
  <c r="C110"/>
  <c r="C108"/>
  <c r="C106"/>
  <c r="F89"/>
  <c r="E89"/>
  <c r="E90" s="1"/>
  <c r="E91" s="1"/>
  <c r="E92" s="1"/>
  <c r="E93" s="1"/>
  <c r="E94" s="1"/>
  <c r="E95" s="1"/>
  <c r="E96" s="1"/>
  <c r="E97" s="1"/>
  <c r="E98" s="1"/>
  <c r="E99" s="1"/>
  <c r="E100" s="1"/>
  <c r="E101" s="1"/>
  <c r="E102" s="1"/>
  <c r="F81"/>
  <c r="F79"/>
  <c r="F77"/>
  <c r="F82" s="1"/>
  <c r="F75"/>
  <c r="E75"/>
  <c r="E76" s="1"/>
  <c r="E77" s="1"/>
  <c r="E78" s="1"/>
  <c r="E79" s="1"/>
  <c r="E80" s="1"/>
  <c r="E81" s="1"/>
  <c r="E82" s="1"/>
  <c r="F63"/>
  <c r="F64" s="1"/>
  <c r="F59"/>
  <c r="E59"/>
  <c r="E60" s="1"/>
  <c r="E61" s="1"/>
  <c r="E62" s="1"/>
  <c r="E63" s="1"/>
  <c r="E64" s="1"/>
  <c r="E65" s="1"/>
  <c r="E66" s="1"/>
  <c r="E67" s="1"/>
  <c r="E68" s="1"/>
  <c r="E69" s="1"/>
  <c r="E70" s="1"/>
  <c r="F51"/>
  <c r="F49"/>
  <c r="E26"/>
  <c r="E27" s="1"/>
  <c r="E28" s="1"/>
  <c r="E29" s="1"/>
  <c r="E30" s="1"/>
  <c r="E31" s="1"/>
  <c r="E32" s="1"/>
  <c r="E33" s="1"/>
  <c r="E34" s="1"/>
  <c r="E35" s="1"/>
  <c r="E36" s="1"/>
  <c r="E37" s="1"/>
  <c r="E38" s="1"/>
  <c r="E39" s="1"/>
  <c r="E40" s="1"/>
  <c r="E41" s="1"/>
  <c r="E42" s="1"/>
  <c r="E43" s="1"/>
  <c r="E44" s="1"/>
  <c r="E45" s="1"/>
  <c r="E46" s="1"/>
  <c r="E47" s="1"/>
  <c r="E48" s="1"/>
  <c r="E49" s="1"/>
  <c r="E50" s="1"/>
  <c r="E51" s="1"/>
  <c r="E52" s="1"/>
  <c r="E53" s="1"/>
  <c r="E54" s="1"/>
  <c r="L16"/>
  <c r="K16"/>
  <c r="M15"/>
  <c r="L15"/>
  <c r="M14"/>
  <c r="L14"/>
  <c r="E14"/>
  <c r="M13"/>
  <c r="L13"/>
  <c r="M12"/>
  <c r="L12"/>
  <c r="M11"/>
  <c r="L11"/>
  <c r="M10"/>
  <c r="L10"/>
  <c r="M9"/>
  <c r="L9"/>
  <c r="M8"/>
  <c r="L8"/>
  <c r="M7"/>
  <c r="L7"/>
  <c r="M6"/>
  <c r="L6"/>
  <c r="M5"/>
  <c r="L5"/>
  <c r="M4"/>
  <c r="L4"/>
  <c r="M3"/>
  <c r="L3"/>
  <c r="D58" i="13"/>
  <c r="A58"/>
  <c r="D56"/>
  <c r="A56"/>
  <c r="G51"/>
  <c r="F51"/>
  <c r="E51"/>
  <c r="H50"/>
  <c r="G50"/>
  <c r="F50"/>
  <c r="E50"/>
  <c r="H49"/>
  <c r="G49"/>
  <c r="F49"/>
  <c r="E49"/>
  <c r="H48"/>
  <c r="G48"/>
  <c r="F48"/>
  <c r="E48"/>
  <c r="H47"/>
  <c r="F47"/>
  <c r="E47"/>
  <c r="D46"/>
  <c r="H45"/>
  <c r="G45"/>
  <c r="F45"/>
  <c r="E45"/>
  <c r="H44"/>
  <c r="F44"/>
  <c r="E44"/>
  <c r="H43"/>
  <c r="F43"/>
  <c r="E43"/>
  <c r="H42"/>
  <c r="F42"/>
  <c r="E42"/>
  <c r="D41"/>
  <c r="D52" s="1"/>
  <c r="H38"/>
  <c r="G38"/>
  <c r="F38"/>
  <c r="H37"/>
  <c r="G37"/>
  <c r="F37"/>
  <c r="E37"/>
  <c r="H36"/>
  <c r="G36"/>
  <c r="F36"/>
  <c r="E36"/>
  <c r="H35"/>
  <c r="G35"/>
  <c r="F35"/>
  <c r="E35"/>
  <c r="H34"/>
  <c r="G34"/>
  <c r="F34"/>
  <c r="E34"/>
  <c r="E33" s="1"/>
  <c r="D33"/>
  <c r="H32"/>
  <c r="G32"/>
  <c r="F32"/>
  <c r="E32"/>
  <c r="H31"/>
  <c r="G31"/>
  <c r="F31"/>
  <c r="E31"/>
  <c r="H30"/>
  <c r="G30"/>
  <c r="F30"/>
  <c r="E30"/>
  <c r="H29"/>
  <c r="G29"/>
  <c r="F29"/>
  <c r="E29"/>
  <c r="H28"/>
  <c r="G28"/>
  <c r="F28"/>
  <c r="E28"/>
  <c r="H27"/>
  <c r="G27"/>
  <c r="F27"/>
  <c r="E27"/>
  <c r="H26"/>
  <c r="H25" s="1"/>
  <c r="G26"/>
  <c r="G25" s="1"/>
  <c r="F26"/>
  <c r="F25" s="1"/>
  <c r="E26"/>
  <c r="D25"/>
  <c r="D39" s="1"/>
  <c r="H24"/>
  <c r="H22"/>
  <c r="G22"/>
  <c r="F22"/>
  <c r="E22"/>
  <c r="H21"/>
  <c r="G21"/>
  <c r="F21"/>
  <c r="E21"/>
  <c r="H20"/>
  <c r="G20"/>
  <c r="F20"/>
  <c r="E20"/>
  <c r="H19"/>
  <c r="H18"/>
  <c r="G18"/>
  <c r="F18"/>
  <c r="E18"/>
  <c r="H17"/>
  <c r="G17"/>
  <c r="F17"/>
  <c r="H16"/>
  <c r="G16"/>
  <c r="F16"/>
  <c r="E16"/>
  <c r="H15"/>
  <c r="G15"/>
  <c r="F15"/>
  <c r="E15"/>
  <c r="H14"/>
  <c r="G14"/>
  <c r="F14"/>
  <c r="E14"/>
  <c r="D13"/>
  <c r="H12"/>
  <c r="G12"/>
  <c r="F12"/>
  <c r="E12"/>
  <c r="H11"/>
  <c r="G11"/>
  <c r="F11"/>
  <c r="E11"/>
  <c r="H10"/>
  <c r="G10"/>
  <c r="F10"/>
  <c r="E10"/>
  <c r="H9"/>
  <c r="G9"/>
  <c r="F9"/>
  <c r="E9"/>
  <c r="H8"/>
  <c r="G8"/>
  <c r="F8"/>
  <c r="E8"/>
  <c r="H7"/>
  <c r="G7"/>
  <c r="G6" s="1"/>
  <c r="F7"/>
  <c r="F6" s="1"/>
  <c r="E7"/>
  <c r="E6" s="1"/>
  <c r="H6"/>
  <c r="D6"/>
  <c r="D23" s="1"/>
  <c r="D53" s="1"/>
  <c r="I5"/>
  <c r="I2"/>
  <c r="A2"/>
  <c r="E32" i="12"/>
  <c r="A32"/>
  <c r="E30"/>
  <c r="A30"/>
  <c r="A27"/>
  <c r="J26"/>
  <c r="A26"/>
  <c r="J25"/>
  <c r="A25"/>
  <c r="J24"/>
  <c r="A24"/>
  <c r="J23"/>
  <c r="A23"/>
  <c r="A22"/>
  <c r="A21"/>
  <c r="A20"/>
  <c r="A19"/>
  <c r="J18"/>
  <c r="A18"/>
  <c r="J17"/>
  <c r="A17"/>
  <c r="A16"/>
  <c r="A15"/>
  <c r="A14"/>
  <c r="A13"/>
  <c r="A12"/>
  <c r="A11"/>
  <c r="A10"/>
  <c r="A9"/>
  <c r="A8"/>
  <c r="A7"/>
  <c r="A6"/>
  <c r="J5"/>
  <c r="I2"/>
  <c r="A2"/>
  <c r="D39" i="11"/>
  <c r="A39"/>
  <c r="D37"/>
  <c r="A37"/>
  <c r="G35"/>
  <c r="F35"/>
  <c r="E35"/>
  <c r="H32"/>
  <c r="G32"/>
  <c r="F32"/>
  <c r="E32"/>
  <c r="H31"/>
  <c r="G31"/>
  <c r="F31"/>
  <c r="E31"/>
  <c r="H30"/>
  <c r="G30"/>
  <c r="F30"/>
  <c r="E30"/>
  <c r="H29"/>
  <c r="G29"/>
  <c r="F29"/>
  <c r="E29"/>
  <c r="H27"/>
  <c r="G27"/>
  <c r="F27"/>
  <c r="E27"/>
  <c r="D9"/>
  <c r="I4"/>
  <c r="A3"/>
  <c r="H71" i="10"/>
  <c r="B71"/>
  <c r="H69"/>
  <c r="B69"/>
  <c r="D65"/>
  <c r="D64"/>
  <c r="I16" i="12" s="1"/>
  <c r="H63" i="10"/>
  <c r="G63"/>
  <c r="F63"/>
  <c r="E63"/>
  <c r="D63"/>
  <c r="D62"/>
  <c r="H16" i="12" s="1"/>
  <c r="H27" s="1"/>
  <c r="D61" i="10"/>
  <c r="G16" i="12" s="1"/>
  <c r="G27" s="1"/>
  <c r="D60" i="10"/>
  <c r="F16" i="12" s="1"/>
  <c r="F27" s="1"/>
  <c r="H59" i="10"/>
  <c r="G59"/>
  <c r="F59"/>
  <c r="E59"/>
  <c r="D59"/>
  <c r="E16" i="12" s="1"/>
  <c r="E27" s="1"/>
  <c r="H58" i="10"/>
  <c r="G58"/>
  <c r="F58"/>
  <c r="E58"/>
  <c r="D58"/>
  <c r="D16" i="12" s="1"/>
  <c r="D27" s="1"/>
  <c r="H57" i="10"/>
  <c r="G57"/>
  <c r="F57"/>
  <c r="E57"/>
  <c r="D57"/>
  <c r="D56"/>
  <c r="C16" i="12" s="1"/>
  <c r="H55" i="10"/>
  <c r="G55"/>
  <c r="F55"/>
  <c r="E55"/>
  <c r="D55"/>
  <c r="D66" s="1"/>
  <c r="K16" i="12" s="1"/>
  <c r="D54" i="10"/>
  <c r="H51"/>
  <c r="G51"/>
  <c r="F51"/>
  <c r="E51"/>
  <c r="D51"/>
  <c r="H50"/>
  <c r="G50"/>
  <c r="F50"/>
  <c r="E50"/>
  <c r="D50"/>
  <c r="D49"/>
  <c r="H48"/>
  <c r="G48"/>
  <c r="F48"/>
  <c r="E48"/>
  <c r="D48"/>
  <c r="D52" s="1"/>
  <c r="D47"/>
  <c r="D44"/>
  <c r="D43"/>
  <c r="H42"/>
  <c r="G42"/>
  <c r="F42"/>
  <c r="E42"/>
  <c r="D42"/>
  <c r="D41"/>
  <c r="D40"/>
  <c r="H39"/>
  <c r="G39"/>
  <c r="F39"/>
  <c r="E39"/>
  <c r="D39"/>
  <c r="D38"/>
  <c r="D37"/>
  <c r="D36"/>
  <c r="D35"/>
  <c r="D45" s="1"/>
  <c r="D53" s="1"/>
  <c r="D67" s="1"/>
  <c r="D34"/>
  <c r="D28"/>
  <c r="D27"/>
  <c r="D26"/>
  <c r="D25"/>
  <c r="H24"/>
  <c r="G24"/>
  <c r="F24"/>
  <c r="E24"/>
  <c r="D24"/>
  <c r="D23"/>
  <c r="D22"/>
  <c r="D21"/>
  <c r="D20"/>
  <c r="D29" s="1"/>
  <c r="E19"/>
  <c r="H17"/>
  <c r="G17"/>
  <c r="F17"/>
  <c r="E17"/>
  <c r="D17"/>
  <c r="D16"/>
  <c r="D15"/>
  <c r="D14"/>
  <c r="D13"/>
  <c r="D12"/>
  <c r="D11"/>
  <c r="D10"/>
  <c r="D18" s="1"/>
  <c r="D9"/>
  <c r="D8"/>
  <c r="D55" i="13" s="1"/>
  <c r="E54" s="1"/>
  <c r="I54" s="1"/>
  <c r="H3" i="10"/>
  <c r="A2"/>
  <c r="J220" i="8"/>
  <c r="Q220" s="1"/>
  <c r="X220" s="1"/>
  <c r="P219"/>
  <c r="W219" s="1"/>
  <c r="J219"/>
  <c r="Q219" s="1"/>
  <c r="X219" s="1"/>
  <c r="P218"/>
  <c r="W218" s="1"/>
  <c r="J218"/>
  <c r="Q218" s="1"/>
  <c r="X218" s="1"/>
  <c r="Q216"/>
  <c r="P216"/>
  <c r="O216"/>
  <c r="G216"/>
  <c r="F216"/>
  <c r="K215"/>
  <c r="J215"/>
  <c r="B215"/>
  <c r="K214"/>
  <c r="J214"/>
  <c r="B214"/>
  <c r="K213"/>
  <c r="J213"/>
  <c r="B213"/>
  <c r="K212"/>
  <c r="J212"/>
  <c r="B212"/>
  <c r="K211"/>
  <c r="J211"/>
  <c r="B211"/>
  <c r="K210"/>
  <c r="J210"/>
  <c r="B210"/>
  <c r="K209"/>
  <c r="J209"/>
  <c r="B209"/>
  <c r="K208"/>
  <c r="J208"/>
  <c r="B208"/>
  <c r="K207"/>
  <c r="J207"/>
  <c r="B207"/>
  <c r="K206"/>
  <c r="J206"/>
  <c r="B206"/>
  <c r="K205"/>
  <c r="J205"/>
  <c r="B205"/>
  <c r="K204"/>
  <c r="J204"/>
  <c r="B204"/>
  <c r="K203"/>
  <c r="J203"/>
  <c r="B203"/>
  <c r="K202"/>
  <c r="J202"/>
  <c r="B202"/>
  <c r="K201"/>
  <c r="J201"/>
  <c r="B201"/>
  <c r="K200"/>
  <c r="J200"/>
  <c r="B200"/>
  <c r="K199"/>
  <c r="J199"/>
  <c r="B199"/>
  <c r="K198"/>
  <c r="J198"/>
  <c r="B198"/>
  <c r="K197"/>
  <c r="J197"/>
  <c r="B197"/>
  <c r="K196"/>
  <c r="J196"/>
  <c r="B196"/>
  <c r="K195"/>
  <c r="J195"/>
  <c r="B195"/>
  <c r="K194"/>
  <c r="J194"/>
  <c r="B194"/>
  <c r="K193"/>
  <c r="J193"/>
  <c r="B193"/>
  <c r="K192"/>
  <c r="J192"/>
  <c r="B192"/>
  <c r="K191"/>
  <c r="J191"/>
  <c r="B191"/>
  <c r="K190"/>
  <c r="J190"/>
  <c r="B190"/>
  <c r="K189"/>
  <c r="J189"/>
  <c r="B189"/>
  <c r="K188"/>
  <c r="J188"/>
  <c r="B188"/>
  <c r="K187"/>
  <c r="J187"/>
  <c r="B187"/>
  <c r="K186"/>
  <c r="J186"/>
  <c r="B186"/>
  <c r="K185"/>
  <c r="J185"/>
  <c r="B185"/>
  <c r="K184"/>
  <c r="J184"/>
  <c r="B184"/>
  <c r="K183"/>
  <c r="J183"/>
  <c r="B183"/>
  <c r="K182"/>
  <c r="J182"/>
  <c r="B182"/>
  <c r="K181"/>
  <c r="J181"/>
  <c r="B181"/>
  <c r="K180"/>
  <c r="J180"/>
  <c r="B180"/>
  <c r="K179"/>
  <c r="J179"/>
  <c r="B179"/>
  <c r="K178"/>
  <c r="J178"/>
  <c r="B178"/>
  <c r="K177"/>
  <c r="J177"/>
  <c r="B177"/>
  <c r="K176"/>
  <c r="J176"/>
  <c r="B176"/>
  <c r="K175"/>
  <c r="J175"/>
  <c r="B175"/>
  <c r="K174"/>
  <c r="J174"/>
  <c r="B174"/>
  <c r="K173"/>
  <c r="J173"/>
  <c r="B173"/>
  <c r="K172"/>
  <c r="J172"/>
  <c r="B172"/>
  <c r="K171"/>
  <c r="B171"/>
  <c r="K170"/>
  <c r="B170"/>
  <c r="K169"/>
  <c r="B169"/>
  <c r="K168"/>
  <c r="J168"/>
  <c r="B168"/>
  <c r="K167"/>
  <c r="J167"/>
  <c r="B167"/>
  <c r="K166"/>
  <c r="J166"/>
  <c r="B166"/>
  <c r="K165"/>
  <c r="J165"/>
  <c r="B165"/>
  <c r="K164"/>
  <c r="J164"/>
  <c r="B164"/>
  <c r="K163"/>
  <c r="J163"/>
  <c r="B163"/>
  <c r="K162"/>
  <c r="J162"/>
  <c r="B162"/>
  <c r="K161"/>
  <c r="J161"/>
  <c r="B161"/>
  <c r="K160"/>
  <c r="J160"/>
  <c r="B160"/>
  <c r="K159"/>
  <c r="J159"/>
  <c r="B159"/>
  <c r="K158"/>
  <c r="J158"/>
  <c r="B158"/>
  <c r="K157"/>
  <c r="J157"/>
  <c r="B157"/>
  <c r="K156"/>
  <c r="J156"/>
  <c r="B156"/>
  <c r="K155"/>
  <c r="J155"/>
  <c r="B155"/>
  <c r="K154"/>
  <c r="J154"/>
  <c r="B154"/>
  <c r="K153"/>
  <c r="J153"/>
  <c r="B153"/>
  <c r="K152"/>
  <c r="J152"/>
  <c r="B152"/>
  <c r="K151"/>
  <c r="J151"/>
  <c r="B151"/>
  <c r="K150"/>
  <c r="J150"/>
  <c r="B150"/>
  <c r="K149"/>
  <c r="J149"/>
  <c r="B149"/>
  <c r="K148"/>
  <c r="J148"/>
  <c r="B148"/>
  <c r="K147"/>
  <c r="J147"/>
  <c r="B147"/>
  <c r="K146"/>
  <c r="J146"/>
  <c r="B146"/>
  <c r="K145"/>
  <c r="J145"/>
  <c r="B145"/>
  <c r="K144"/>
  <c r="J144"/>
  <c r="B144"/>
  <c r="K143"/>
  <c r="J143"/>
  <c r="B143"/>
  <c r="K142"/>
  <c r="J142"/>
  <c r="B142"/>
  <c r="K141"/>
  <c r="J141"/>
  <c r="B141"/>
  <c r="K140"/>
  <c r="J140"/>
  <c r="B140"/>
  <c r="Z139"/>
  <c r="Y139"/>
  <c r="U139"/>
  <c r="Q139"/>
  <c r="P139"/>
  <c r="P217" s="1"/>
  <c r="B139"/>
  <c r="K138"/>
  <c r="J138"/>
  <c r="B138"/>
  <c r="K137"/>
  <c r="J137"/>
  <c r="B137"/>
  <c r="K136"/>
  <c r="J136"/>
  <c r="B136"/>
  <c r="K135"/>
  <c r="J135"/>
  <c r="B135"/>
  <c r="K134"/>
  <c r="J134"/>
  <c r="B134"/>
  <c r="K133"/>
  <c r="J133"/>
  <c r="B133"/>
  <c r="K132"/>
  <c r="J132"/>
  <c r="B132"/>
  <c r="K131"/>
  <c r="J131"/>
  <c r="B131"/>
  <c r="K130"/>
  <c r="J130"/>
  <c r="B130"/>
  <c r="K129"/>
  <c r="J129"/>
  <c r="B129"/>
  <c r="K128"/>
  <c r="J128"/>
  <c r="B128"/>
  <c r="K127"/>
  <c r="J127"/>
  <c r="B127"/>
  <c r="K126"/>
  <c r="J126"/>
  <c r="B126"/>
  <c r="K125"/>
  <c r="J125"/>
  <c r="B125"/>
  <c r="K124"/>
  <c r="J124"/>
  <c r="B124"/>
  <c r="K123"/>
  <c r="J123"/>
  <c r="B123"/>
  <c r="K122"/>
  <c r="J122"/>
  <c r="B122"/>
  <c r="K121"/>
  <c r="J121"/>
  <c r="B121"/>
  <c r="K120"/>
  <c r="J120"/>
  <c r="B120"/>
  <c r="K119"/>
  <c r="J119"/>
  <c r="B119"/>
  <c r="K118"/>
  <c r="J118"/>
  <c r="B118"/>
  <c r="K117"/>
  <c r="J117"/>
  <c r="B117"/>
  <c r="K116"/>
  <c r="J116"/>
  <c r="B116"/>
  <c r="K115"/>
  <c r="J115"/>
  <c r="B115"/>
  <c r="K114"/>
  <c r="J114"/>
  <c r="B114"/>
  <c r="K113"/>
  <c r="J113"/>
  <c r="B113"/>
  <c r="K112"/>
  <c r="J112"/>
  <c r="B112"/>
  <c r="K111"/>
  <c r="J111"/>
  <c r="B111"/>
  <c r="K110"/>
  <c r="J110"/>
  <c r="B110"/>
  <c r="K109"/>
  <c r="J109"/>
  <c r="B109"/>
  <c r="K108"/>
  <c r="J108"/>
  <c r="B108"/>
  <c r="K107"/>
  <c r="J107"/>
  <c r="B107"/>
  <c r="K106"/>
  <c r="J106"/>
  <c r="B106"/>
  <c r="K105"/>
  <c r="J105"/>
  <c r="B105"/>
  <c r="K104"/>
  <c r="J104"/>
  <c r="B104"/>
  <c r="K103"/>
  <c r="J103"/>
  <c r="B103"/>
  <c r="K102"/>
  <c r="J102"/>
  <c r="B102"/>
  <c r="K101"/>
  <c r="J101"/>
  <c r="B101"/>
  <c r="K100"/>
  <c r="J100"/>
  <c r="B100"/>
  <c r="K99"/>
  <c r="J99"/>
  <c r="B99"/>
  <c r="K98"/>
  <c r="J98"/>
  <c r="B98"/>
  <c r="K97"/>
  <c r="J97"/>
  <c r="B97"/>
  <c r="K96"/>
  <c r="J96"/>
  <c r="B96"/>
  <c r="K95"/>
  <c r="J95"/>
  <c r="B95"/>
  <c r="K94"/>
  <c r="J94"/>
  <c r="B94"/>
  <c r="K93"/>
  <c r="J93"/>
  <c r="B93"/>
  <c r="K92"/>
  <c r="J92"/>
  <c r="B92"/>
  <c r="K91"/>
  <c r="J91"/>
  <c r="B91"/>
  <c r="K90"/>
  <c r="J90"/>
  <c r="B90"/>
  <c r="K89"/>
  <c r="J89"/>
  <c r="B89"/>
  <c r="K88"/>
  <c r="J88"/>
  <c r="B88"/>
  <c r="K87"/>
  <c r="J87"/>
  <c r="B87"/>
  <c r="K86"/>
  <c r="J86"/>
  <c r="B86"/>
  <c r="K85"/>
  <c r="J85"/>
  <c r="B85"/>
  <c r="K84"/>
  <c r="J84"/>
  <c r="B84"/>
  <c r="K83"/>
  <c r="J83"/>
  <c r="B83"/>
  <c r="K82"/>
  <c r="J82"/>
  <c r="B82"/>
  <c r="K81"/>
  <c r="J81"/>
  <c r="B81"/>
  <c r="K80"/>
  <c r="J80"/>
  <c r="B80"/>
  <c r="K79"/>
  <c r="J79"/>
  <c r="B79"/>
  <c r="K78"/>
  <c r="J78"/>
  <c r="B78"/>
  <c r="K77"/>
  <c r="J77"/>
  <c r="B77"/>
  <c r="K76"/>
  <c r="J76"/>
  <c r="B76"/>
  <c r="K75"/>
  <c r="J75"/>
  <c r="B75"/>
  <c r="K74"/>
  <c r="J74"/>
  <c r="B74"/>
  <c r="K73"/>
  <c r="J73"/>
  <c r="B73"/>
  <c r="K72"/>
  <c r="J72"/>
  <c r="B72"/>
  <c r="K71"/>
  <c r="J71"/>
  <c r="B71"/>
  <c r="K70"/>
  <c r="J70"/>
  <c r="B70"/>
  <c r="K69"/>
  <c r="J69"/>
  <c r="B69"/>
  <c r="K68"/>
  <c r="J68"/>
  <c r="B68"/>
  <c r="K67"/>
  <c r="J67"/>
  <c r="B67"/>
  <c r="K66"/>
  <c r="J66"/>
  <c r="B66"/>
  <c r="K65"/>
  <c r="J65"/>
  <c r="B65"/>
  <c r="K64"/>
  <c r="J64"/>
  <c r="B64"/>
  <c r="K63"/>
  <c r="J63"/>
  <c r="B63"/>
  <c r="K62"/>
  <c r="J62"/>
  <c r="B62"/>
  <c r="K61"/>
  <c r="J61"/>
  <c r="B61"/>
  <c r="K60"/>
  <c r="J60"/>
  <c r="B60"/>
  <c r="K59"/>
  <c r="J59"/>
  <c r="B59"/>
  <c r="K58"/>
  <c r="J58"/>
  <c r="B58"/>
  <c r="K57"/>
  <c r="J57"/>
  <c r="B57"/>
  <c r="K56"/>
  <c r="J56"/>
  <c r="B56"/>
  <c r="K55"/>
  <c r="J55"/>
  <c r="B55"/>
  <c r="K54"/>
  <c r="J54"/>
  <c r="B54"/>
  <c r="K53"/>
  <c r="J53"/>
  <c r="B53"/>
  <c r="K52"/>
  <c r="J52"/>
  <c r="B52"/>
  <c r="K51"/>
  <c r="J51"/>
  <c r="B51"/>
  <c r="K50"/>
  <c r="J50"/>
  <c r="B50"/>
  <c r="K49"/>
  <c r="J49"/>
  <c r="B49"/>
  <c r="K48"/>
  <c r="J48"/>
  <c r="B48"/>
  <c r="K47"/>
  <c r="J47"/>
  <c r="B47"/>
  <c r="K46"/>
  <c r="J46"/>
  <c r="B46"/>
  <c r="K45"/>
  <c r="J45"/>
  <c r="B45"/>
  <c r="K44"/>
  <c r="J44"/>
  <c r="G14" i="27" s="1"/>
  <c r="B44" i="8"/>
  <c r="K43"/>
  <c r="J43"/>
  <c r="B43"/>
  <c r="K42"/>
  <c r="J42"/>
  <c r="B42"/>
  <c r="K41"/>
  <c r="J41"/>
  <c r="B41"/>
  <c r="K40"/>
  <c r="J40"/>
  <c r="B40"/>
  <c r="K39"/>
  <c r="J39"/>
  <c r="B39"/>
  <c r="K38"/>
  <c r="J38"/>
  <c r="B38"/>
  <c r="K37"/>
  <c r="J37"/>
  <c r="B37"/>
  <c r="K36"/>
  <c r="J36"/>
  <c r="B36"/>
  <c r="K35"/>
  <c r="J35"/>
  <c r="B35"/>
  <c r="K34"/>
  <c r="J34"/>
  <c r="B34"/>
  <c r="K33"/>
  <c r="J33"/>
  <c r="B33"/>
  <c r="J32"/>
  <c r="B32"/>
  <c r="J31"/>
  <c r="B31"/>
  <c r="J30"/>
  <c r="B30"/>
  <c r="J29"/>
  <c r="B29"/>
  <c r="J28"/>
  <c r="B28"/>
  <c r="J27"/>
  <c r="B27"/>
  <c r="J26"/>
  <c r="B26"/>
  <c r="J25"/>
  <c r="B25"/>
  <c r="J24"/>
  <c r="B24"/>
  <c r="J23"/>
  <c r="B23"/>
  <c r="J22"/>
  <c r="B22"/>
  <c r="J21"/>
  <c r="B21"/>
  <c r="J20"/>
  <c r="B20"/>
  <c r="J19"/>
  <c r="B19"/>
  <c r="J18"/>
  <c r="B18"/>
  <c r="J17"/>
  <c r="B17"/>
  <c r="J16"/>
  <c r="G16"/>
  <c r="F16"/>
  <c r="B16"/>
  <c r="J15"/>
  <c r="G15"/>
  <c r="F15"/>
  <c r="B15"/>
  <c r="J14"/>
  <c r="G14"/>
  <c r="F14"/>
  <c r="B14"/>
  <c r="J13"/>
  <c r="G13"/>
  <c r="F13"/>
  <c r="B13"/>
  <c r="J12"/>
  <c r="G12"/>
  <c r="F12"/>
  <c r="B12"/>
  <c r="J11"/>
  <c r="G11"/>
  <c r="F11"/>
  <c r="B11"/>
  <c r="J10"/>
  <c r="G10"/>
  <c r="F10"/>
  <c r="B10"/>
  <c r="J9"/>
  <c r="G9"/>
  <c r="F9"/>
  <c r="B9"/>
  <c r="J8"/>
  <c r="G8"/>
  <c r="F8"/>
  <c r="B8"/>
  <c r="J7"/>
  <c r="G7"/>
  <c r="F7"/>
  <c r="B7"/>
  <c r="J6"/>
  <c r="G6"/>
  <c r="F6"/>
  <c r="B6"/>
  <c r="J5"/>
  <c r="G5"/>
  <c r="G139" s="1"/>
  <c r="G217" s="1"/>
  <c r="B5"/>
  <c r="K4"/>
  <c r="J4"/>
  <c r="B1"/>
  <c r="J220" i="7"/>
  <c r="Q220" s="1"/>
  <c r="X220" s="1"/>
  <c r="P219"/>
  <c r="W219" s="1"/>
  <c r="J219"/>
  <c r="Q219" s="1"/>
  <c r="X219" s="1"/>
  <c r="P218"/>
  <c r="W218" s="1"/>
  <c r="J218"/>
  <c r="Q218" s="1"/>
  <c r="X218" s="1"/>
  <c r="Q217"/>
  <c r="N217"/>
  <c r="G217"/>
  <c r="F217"/>
  <c r="Q216"/>
  <c r="P216"/>
  <c r="O216"/>
  <c r="N216"/>
  <c r="G216"/>
  <c r="F216"/>
  <c r="K215"/>
  <c r="J215"/>
  <c r="B215"/>
  <c r="K214"/>
  <c r="J214"/>
  <c r="B214"/>
  <c r="K213"/>
  <c r="J213"/>
  <c r="B213"/>
  <c r="K212"/>
  <c r="J212"/>
  <c r="B212"/>
  <c r="K211"/>
  <c r="J211"/>
  <c r="B211"/>
  <c r="K210"/>
  <c r="J210"/>
  <c r="B210"/>
  <c r="K209"/>
  <c r="J209"/>
  <c r="B209"/>
  <c r="K208"/>
  <c r="J208"/>
  <c r="B208"/>
  <c r="K207"/>
  <c r="J207"/>
  <c r="B207"/>
  <c r="K206"/>
  <c r="J206"/>
  <c r="B206"/>
  <c r="K205"/>
  <c r="J205"/>
  <c r="B205"/>
  <c r="K204"/>
  <c r="J204"/>
  <c r="B204"/>
  <c r="K203"/>
  <c r="J203"/>
  <c r="B203"/>
  <c r="K202"/>
  <c r="J202"/>
  <c r="B202"/>
  <c r="K201"/>
  <c r="J201"/>
  <c r="B201"/>
  <c r="K200"/>
  <c r="J200"/>
  <c r="B200"/>
  <c r="K199"/>
  <c r="J199"/>
  <c r="B199"/>
  <c r="K198"/>
  <c r="J198"/>
  <c r="B198"/>
  <c r="K197"/>
  <c r="J197"/>
  <c r="B197"/>
  <c r="K196"/>
  <c r="J196"/>
  <c r="B196"/>
  <c r="K195"/>
  <c r="B195"/>
  <c r="K194"/>
  <c r="J194"/>
  <c r="B194"/>
  <c r="K193"/>
  <c r="J193"/>
  <c r="B193"/>
  <c r="K192"/>
  <c r="J192"/>
  <c r="B192"/>
  <c r="K191"/>
  <c r="J191"/>
  <c r="B191"/>
  <c r="K190"/>
  <c r="J190"/>
  <c r="B190"/>
  <c r="K189"/>
  <c r="J189"/>
  <c r="B189"/>
  <c r="K188"/>
  <c r="J188"/>
  <c r="B188"/>
  <c r="K187"/>
  <c r="J187"/>
  <c r="B187"/>
  <c r="K186"/>
  <c r="J186"/>
  <c r="B186"/>
  <c r="K185"/>
  <c r="J185"/>
  <c r="B185"/>
  <c r="K184"/>
  <c r="J184"/>
  <c r="B184"/>
  <c r="K183"/>
  <c r="J183"/>
  <c r="B183"/>
  <c r="K182"/>
  <c r="J182"/>
  <c r="B182"/>
  <c r="K181"/>
  <c r="J181"/>
  <c r="B181"/>
  <c r="K180"/>
  <c r="B180"/>
  <c r="K179"/>
  <c r="J179"/>
  <c r="B179"/>
  <c r="K178"/>
  <c r="J178"/>
  <c r="B178"/>
  <c r="K177"/>
  <c r="J177"/>
  <c r="B177"/>
  <c r="K176"/>
  <c r="J176"/>
  <c r="B176"/>
  <c r="K175"/>
  <c r="J175"/>
  <c r="B175"/>
  <c r="K174"/>
  <c r="J174"/>
  <c r="B174"/>
  <c r="K173"/>
  <c r="B173"/>
  <c r="K172"/>
  <c r="J172"/>
  <c r="B172"/>
  <c r="K171"/>
  <c r="J171"/>
  <c r="B171"/>
  <c r="K170"/>
  <c r="B170"/>
  <c r="K169"/>
  <c r="B169"/>
  <c r="K168"/>
  <c r="J168"/>
  <c r="B168"/>
  <c r="K167"/>
  <c r="J167"/>
  <c r="B167"/>
  <c r="K166"/>
  <c r="J166"/>
  <c r="B166"/>
  <c r="K165"/>
  <c r="B165"/>
  <c r="K164"/>
  <c r="B164"/>
  <c r="K163"/>
  <c r="J163"/>
  <c r="B163"/>
  <c r="K162"/>
  <c r="J162"/>
  <c r="B162"/>
  <c r="K161"/>
  <c r="J161"/>
  <c r="B161"/>
  <c r="K160"/>
  <c r="J160"/>
  <c r="B160"/>
  <c r="K159"/>
  <c r="B159"/>
  <c r="K158"/>
  <c r="B158"/>
  <c r="K157"/>
  <c r="B157"/>
  <c r="K156"/>
  <c r="J156"/>
  <c r="B156"/>
  <c r="K155"/>
  <c r="J155"/>
  <c r="B155"/>
  <c r="K154"/>
  <c r="J154"/>
  <c r="B154"/>
  <c r="K153"/>
  <c r="J153"/>
  <c r="B153"/>
  <c r="K152"/>
  <c r="J152"/>
  <c r="B152"/>
  <c r="K151"/>
  <c r="J151"/>
  <c r="B151"/>
  <c r="K150"/>
  <c r="J150"/>
  <c r="B150"/>
  <c r="K149"/>
  <c r="J149"/>
  <c r="B149"/>
  <c r="K148"/>
  <c r="J148"/>
  <c r="B148"/>
  <c r="K147"/>
  <c r="J147"/>
  <c r="B147"/>
  <c r="K146"/>
  <c r="J146"/>
  <c r="B146"/>
  <c r="K145"/>
  <c r="J145"/>
  <c r="B145"/>
  <c r="K144"/>
  <c r="J144"/>
  <c r="B144"/>
  <c r="K143"/>
  <c r="J143"/>
  <c r="B143"/>
  <c r="K142"/>
  <c r="J142"/>
  <c r="B142"/>
  <c r="K141"/>
  <c r="J141"/>
  <c r="B141"/>
  <c r="K140"/>
  <c r="J140"/>
  <c r="B140"/>
  <c r="Z139"/>
  <c r="Y139"/>
  <c r="U139"/>
  <c r="T139"/>
  <c r="Q139"/>
  <c r="N139"/>
  <c r="F139"/>
  <c r="B139"/>
  <c r="K138"/>
  <c r="J138"/>
  <c r="B138"/>
  <c r="K137"/>
  <c r="J137"/>
  <c r="B137"/>
  <c r="K136"/>
  <c r="J136"/>
  <c r="B136"/>
  <c r="K135"/>
  <c r="J135"/>
  <c r="B135"/>
  <c r="K134"/>
  <c r="J134"/>
  <c r="B134"/>
  <c r="K133"/>
  <c r="J133"/>
  <c r="B133"/>
  <c r="K132"/>
  <c r="J132"/>
  <c r="B132"/>
  <c r="K131"/>
  <c r="J131"/>
  <c r="B131"/>
  <c r="K130"/>
  <c r="J130"/>
  <c r="B130"/>
  <c r="K129"/>
  <c r="J129"/>
  <c r="B129"/>
  <c r="K128"/>
  <c r="J128"/>
  <c r="B128"/>
  <c r="K127"/>
  <c r="J127"/>
  <c r="B127"/>
  <c r="K126"/>
  <c r="J126"/>
  <c r="B126"/>
  <c r="K125"/>
  <c r="J125"/>
  <c r="B125"/>
  <c r="K124"/>
  <c r="J124"/>
  <c r="B124"/>
  <c r="K123"/>
  <c r="J123"/>
  <c r="B123"/>
  <c r="K122"/>
  <c r="J122"/>
  <c r="B122"/>
  <c r="K121"/>
  <c r="J121"/>
  <c r="B121"/>
  <c r="K120"/>
  <c r="J120"/>
  <c r="B120"/>
  <c r="K119"/>
  <c r="J119"/>
  <c r="B119"/>
  <c r="K118"/>
  <c r="J118"/>
  <c r="B118"/>
  <c r="K117"/>
  <c r="B117"/>
  <c r="K116"/>
  <c r="J116"/>
  <c r="B116"/>
  <c r="K115"/>
  <c r="J115"/>
  <c r="B115"/>
  <c r="K114"/>
  <c r="J114"/>
  <c r="B114"/>
  <c r="K113"/>
  <c r="J113"/>
  <c r="B113"/>
  <c r="K112"/>
  <c r="J112"/>
  <c r="B112"/>
  <c r="K111"/>
  <c r="J111"/>
  <c r="B111"/>
  <c r="K110"/>
  <c r="J110"/>
  <c r="B110"/>
  <c r="K109"/>
  <c r="J109"/>
  <c r="B109"/>
  <c r="K108"/>
  <c r="J108"/>
  <c r="B108"/>
  <c r="K107"/>
  <c r="J107"/>
  <c r="B107"/>
  <c r="K106"/>
  <c r="J106"/>
  <c r="B106"/>
  <c r="J105"/>
  <c r="B105"/>
  <c r="K104"/>
  <c r="J104"/>
  <c r="B104"/>
  <c r="K103"/>
  <c r="J103"/>
  <c r="B103"/>
  <c r="K102"/>
  <c r="J102"/>
  <c r="B102"/>
  <c r="K101"/>
  <c r="J101"/>
  <c r="B101"/>
  <c r="K100"/>
  <c r="J100"/>
  <c r="B100"/>
  <c r="K99"/>
  <c r="J99"/>
  <c r="B99"/>
  <c r="K98"/>
  <c r="J98"/>
  <c r="B98"/>
  <c r="K97"/>
  <c r="J97"/>
  <c r="B97"/>
  <c r="K96"/>
  <c r="J96"/>
  <c r="B96"/>
  <c r="K95"/>
  <c r="J95"/>
  <c r="B95"/>
  <c r="K94"/>
  <c r="J94"/>
  <c r="B94"/>
  <c r="K93"/>
  <c r="J93"/>
  <c r="B93"/>
  <c r="K92"/>
  <c r="J92"/>
  <c r="B92"/>
  <c r="K91"/>
  <c r="J91"/>
  <c r="B91"/>
  <c r="K90"/>
  <c r="J90"/>
  <c r="B90"/>
  <c r="K89"/>
  <c r="J89"/>
  <c r="B89"/>
  <c r="K88"/>
  <c r="J88"/>
  <c r="B88"/>
  <c r="K87"/>
  <c r="J87"/>
  <c r="B87"/>
  <c r="K86"/>
  <c r="J86"/>
  <c r="B86"/>
  <c r="K85"/>
  <c r="J85"/>
  <c r="B85"/>
  <c r="K84"/>
  <c r="J84"/>
  <c r="B84"/>
  <c r="K83"/>
  <c r="J83"/>
  <c r="B83"/>
  <c r="K82"/>
  <c r="B82"/>
  <c r="K81"/>
  <c r="J81"/>
  <c r="B81"/>
  <c r="K80"/>
  <c r="J80"/>
  <c r="B80"/>
  <c r="K79"/>
  <c r="J79"/>
  <c r="B79"/>
  <c r="K78"/>
  <c r="J78"/>
  <c r="B78"/>
  <c r="K77"/>
  <c r="J77"/>
  <c r="B77"/>
  <c r="K76"/>
  <c r="J76"/>
  <c r="B76"/>
  <c r="K75"/>
  <c r="J75"/>
  <c r="B75"/>
  <c r="K74"/>
  <c r="J74"/>
  <c r="B74"/>
  <c r="K73"/>
  <c r="J73"/>
  <c r="B73"/>
  <c r="K72"/>
  <c r="J72"/>
  <c r="B72"/>
  <c r="K71"/>
  <c r="J71"/>
  <c r="B71"/>
  <c r="K70"/>
  <c r="J70"/>
  <c r="B70"/>
  <c r="K69"/>
  <c r="J69"/>
  <c r="B69"/>
  <c r="K68"/>
  <c r="J68"/>
  <c r="B68"/>
  <c r="K67"/>
  <c r="J67"/>
  <c r="B67"/>
  <c r="K66"/>
  <c r="J66"/>
  <c r="B66"/>
  <c r="K65"/>
  <c r="J65"/>
  <c r="B65"/>
  <c r="K64"/>
  <c r="J64"/>
  <c r="B64"/>
  <c r="K63"/>
  <c r="J63"/>
  <c r="B63"/>
  <c r="K62"/>
  <c r="J62"/>
  <c r="B62"/>
  <c r="K61"/>
  <c r="J61"/>
  <c r="B61"/>
  <c r="K60"/>
  <c r="J60"/>
  <c r="B60"/>
  <c r="K59"/>
  <c r="J59"/>
  <c r="B59"/>
  <c r="J58"/>
  <c r="B58"/>
  <c r="K57"/>
  <c r="J57"/>
  <c r="B57"/>
  <c r="K56"/>
  <c r="J56"/>
  <c r="B56"/>
  <c r="K55"/>
  <c r="J55"/>
  <c r="B55"/>
  <c r="K54"/>
  <c r="B54"/>
  <c r="K53"/>
  <c r="J53"/>
  <c r="B53"/>
  <c r="K52"/>
  <c r="J52"/>
  <c r="B52"/>
  <c r="K51"/>
  <c r="J51"/>
  <c r="B51"/>
  <c r="K50"/>
  <c r="J50"/>
  <c r="B50"/>
  <c r="K49"/>
  <c r="J49"/>
  <c r="B49"/>
  <c r="K48"/>
  <c r="J48"/>
  <c r="B48"/>
  <c r="K47"/>
  <c r="J47"/>
  <c r="B47"/>
  <c r="K46"/>
  <c r="J46"/>
  <c r="B46"/>
  <c r="K45"/>
  <c r="J45"/>
  <c r="B45"/>
  <c r="K44"/>
  <c r="J44"/>
  <c r="B44"/>
  <c r="K43"/>
  <c r="J43"/>
  <c r="B43"/>
  <c r="K42"/>
  <c r="J42"/>
  <c r="B42"/>
  <c r="K41"/>
  <c r="J41"/>
  <c r="B41"/>
  <c r="K40"/>
  <c r="J40"/>
  <c r="B40"/>
  <c r="K39"/>
  <c r="J39"/>
  <c r="B39"/>
  <c r="K38"/>
  <c r="J38"/>
  <c r="B38"/>
  <c r="K37"/>
  <c r="J37"/>
  <c r="B37"/>
  <c r="K36"/>
  <c r="J36"/>
  <c r="B36"/>
  <c r="K35"/>
  <c r="J35"/>
  <c r="B35"/>
  <c r="K34"/>
  <c r="J34"/>
  <c r="B34"/>
  <c r="K33"/>
  <c r="J33"/>
  <c r="B33"/>
  <c r="K32"/>
  <c r="J32"/>
  <c r="B32"/>
  <c r="K31"/>
  <c r="J31"/>
  <c r="B31"/>
  <c r="K30"/>
  <c r="J30"/>
  <c r="B30"/>
  <c r="K29"/>
  <c r="J29"/>
  <c r="B29"/>
  <c r="K28"/>
  <c r="J28"/>
  <c r="B28"/>
  <c r="K27"/>
  <c r="J27"/>
  <c r="B27"/>
  <c r="K26"/>
  <c r="J26"/>
  <c r="B26"/>
  <c r="K25"/>
  <c r="B25"/>
  <c r="K24"/>
  <c r="J24"/>
  <c r="B24"/>
  <c r="K23"/>
  <c r="J23"/>
  <c r="B23"/>
  <c r="K22"/>
  <c r="J22"/>
  <c r="B22"/>
  <c r="K21"/>
  <c r="J21"/>
  <c r="B21"/>
  <c r="K20"/>
  <c r="J20"/>
  <c r="B20"/>
  <c r="K19"/>
  <c r="J19"/>
  <c r="B19"/>
  <c r="K18"/>
  <c r="J18"/>
  <c r="B18"/>
  <c r="K17"/>
  <c r="J17"/>
  <c r="B17"/>
  <c r="P16"/>
  <c r="O16"/>
  <c r="O139" s="1"/>
  <c r="O217" s="1"/>
  <c r="K16"/>
  <c r="J16"/>
  <c r="B16"/>
  <c r="P15"/>
  <c r="K15"/>
  <c r="J15"/>
  <c r="B15"/>
  <c r="P14"/>
  <c r="K14"/>
  <c r="J14"/>
  <c r="B14"/>
  <c r="P13"/>
  <c r="K13"/>
  <c r="J13"/>
  <c r="B13"/>
  <c r="P12"/>
  <c r="K12"/>
  <c r="J12"/>
  <c r="B12"/>
  <c r="P11"/>
  <c r="K11"/>
  <c r="J11"/>
  <c r="B11"/>
  <c r="K10"/>
  <c r="J10"/>
  <c r="B10"/>
  <c r="K9"/>
  <c r="J9"/>
  <c r="B9"/>
  <c r="K8"/>
  <c r="J8"/>
  <c r="B8"/>
  <c r="K7"/>
  <c r="J7"/>
  <c r="B7"/>
  <c r="J6"/>
  <c r="B6"/>
  <c r="P5"/>
  <c r="K5"/>
  <c r="J5"/>
  <c r="B5"/>
  <c r="K4"/>
  <c r="J4"/>
  <c r="B1"/>
  <c r="J220" i="6"/>
  <c r="Q220" s="1"/>
  <c r="X220" s="1"/>
  <c r="P219"/>
  <c r="W219" s="1"/>
  <c r="J219"/>
  <c r="Q219" s="1"/>
  <c r="X219" s="1"/>
  <c r="P218"/>
  <c r="W218" s="1"/>
  <c r="J218"/>
  <c r="Q218" s="1"/>
  <c r="X218" s="1"/>
  <c r="Q217"/>
  <c r="P217"/>
  <c r="O217"/>
  <c r="G217"/>
  <c r="F217"/>
  <c r="Q216"/>
  <c r="P216"/>
  <c r="O216"/>
  <c r="N216"/>
  <c r="G216"/>
  <c r="F216"/>
  <c r="K215"/>
  <c r="J215"/>
  <c r="B215"/>
  <c r="K214"/>
  <c r="J214"/>
  <c r="B214"/>
  <c r="K213"/>
  <c r="J213"/>
  <c r="B213"/>
  <c r="K212"/>
  <c r="J212"/>
  <c r="B212"/>
  <c r="K211"/>
  <c r="J211"/>
  <c r="B211"/>
  <c r="K210"/>
  <c r="J210"/>
  <c r="B210"/>
  <c r="K209"/>
  <c r="J209"/>
  <c r="B209"/>
  <c r="K208"/>
  <c r="J208"/>
  <c r="B208"/>
  <c r="K207"/>
  <c r="J207"/>
  <c r="B207"/>
  <c r="K206"/>
  <c r="J206"/>
  <c r="B206"/>
  <c r="K205"/>
  <c r="J205"/>
  <c r="B205"/>
  <c r="K204"/>
  <c r="J204"/>
  <c r="B204"/>
  <c r="K203"/>
  <c r="J203"/>
  <c r="B203"/>
  <c r="K202"/>
  <c r="J202"/>
  <c r="B202"/>
  <c r="K201"/>
  <c r="J201"/>
  <c r="B201"/>
  <c r="K200"/>
  <c r="J200"/>
  <c r="B200"/>
  <c r="K199"/>
  <c r="J199"/>
  <c r="B199"/>
  <c r="K198"/>
  <c r="J198"/>
  <c r="B198"/>
  <c r="K197"/>
  <c r="J197"/>
  <c r="B197"/>
  <c r="K196"/>
  <c r="J196"/>
  <c r="B196"/>
  <c r="K195"/>
  <c r="J195"/>
  <c r="B195"/>
  <c r="K194"/>
  <c r="J194"/>
  <c r="B194"/>
  <c r="K193"/>
  <c r="J193"/>
  <c r="B193"/>
  <c r="K192"/>
  <c r="J192"/>
  <c r="B192"/>
  <c r="K191"/>
  <c r="J191"/>
  <c r="B191"/>
  <c r="K190"/>
  <c r="J190"/>
  <c r="B190"/>
  <c r="K189"/>
  <c r="J189"/>
  <c r="B189"/>
  <c r="K188"/>
  <c r="J188"/>
  <c r="B188"/>
  <c r="K187"/>
  <c r="J187"/>
  <c r="B187"/>
  <c r="K186"/>
  <c r="J186"/>
  <c r="B186"/>
  <c r="K185"/>
  <c r="J185"/>
  <c r="B185"/>
  <c r="K184"/>
  <c r="J184"/>
  <c r="B184"/>
  <c r="K183"/>
  <c r="J183"/>
  <c r="B183"/>
  <c r="K182"/>
  <c r="J182"/>
  <c r="B182"/>
  <c r="K181"/>
  <c r="J181"/>
  <c r="B181"/>
  <c r="K180"/>
  <c r="B180"/>
  <c r="K179"/>
  <c r="J179"/>
  <c r="B179"/>
  <c r="K178"/>
  <c r="J178"/>
  <c r="B178"/>
  <c r="K177"/>
  <c r="J177"/>
  <c r="B177"/>
  <c r="K176"/>
  <c r="J176"/>
  <c r="B176"/>
  <c r="K175"/>
  <c r="J175"/>
  <c r="B175"/>
  <c r="K174"/>
  <c r="J174"/>
  <c r="B174"/>
  <c r="K173"/>
  <c r="B173"/>
  <c r="K172"/>
  <c r="J172"/>
  <c r="B172"/>
  <c r="K171"/>
  <c r="J171"/>
  <c r="B171"/>
  <c r="K170"/>
  <c r="B170"/>
  <c r="K169"/>
  <c r="B169"/>
  <c r="K168"/>
  <c r="J168"/>
  <c r="B168"/>
  <c r="K167"/>
  <c r="J167"/>
  <c r="B167"/>
  <c r="K166"/>
  <c r="J166"/>
  <c r="B166"/>
  <c r="K165"/>
  <c r="B165"/>
  <c r="K164"/>
  <c r="J164"/>
  <c r="B164"/>
  <c r="K163"/>
  <c r="J163"/>
  <c r="B163"/>
  <c r="K162"/>
  <c r="J162"/>
  <c r="B162"/>
  <c r="K161"/>
  <c r="J161"/>
  <c r="B161"/>
  <c r="K160"/>
  <c r="J160"/>
  <c r="B160"/>
  <c r="B159"/>
  <c r="K158"/>
  <c r="J158"/>
  <c r="B158"/>
  <c r="K157"/>
  <c r="B157"/>
  <c r="K156"/>
  <c r="J156"/>
  <c r="B156"/>
  <c r="K155"/>
  <c r="J155"/>
  <c r="B155"/>
  <c r="K154"/>
  <c r="J154"/>
  <c r="B154"/>
  <c r="K153"/>
  <c r="J153"/>
  <c r="B153"/>
  <c r="K152"/>
  <c r="J152"/>
  <c r="B152"/>
  <c r="K151"/>
  <c r="J151"/>
  <c r="B151"/>
  <c r="K150"/>
  <c r="J150"/>
  <c r="B150"/>
  <c r="K149"/>
  <c r="J149"/>
  <c r="B149"/>
  <c r="K148"/>
  <c r="J148"/>
  <c r="B148"/>
  <c r="K147"/>
  <c r="J147"/>
  <c r="B147"/>
  <c r="K146"/>
  <c r="J146"/>
  <c r="B146"/>
  <c r="K145"/>
  <c r="J145"/>
  <c r="B145"/>
  <c r="K144"/>
  <c r="J144"/>
  <c r="B144"/>
  <c r="K143"/>
  <c r="J143"/>
  <c r="B143"/>
  <c r="K142"/>
  <c r="J142"/>
  <c r="B142"/>
  <c r="K141"/>
  <c r="J141"/>
  <c r="B141"/>
  <c r="K140"/>
  <c r="J140"/>
  <c r="B140"/>
  <c r="Z139"/>
  <c r="Y139"/>
  <c r="U139"/>
  <c r="T139"/>
  <c r="Q139"/>
  <c r="P139"/>
  <c r="O139"/>
  <c r="G139"/>
  <c r="F139"/>
  <c r="B139"/>
  <c r="K138"/>
  <c r="J138"/>
  <c r="B138"/>
  <c r="K137"/>
  <c r="J137"/>
  <c r="B137"/>
  <c r="K136"/>
  <c r="J136"/>
  <c r="B136"/>
  <c r="K135"/>
  <c r="J135"/>
  <c r="B135"/>
  <c r="K134"/>
  <c r="J134"/>
  <c r="B134"/>
  <c r="K133"/>
  <c r="J133"/>
  <c r="B133"/>
  <c r="K132"/>
  <c r="J132"/>
  <c r="B132"/>
  <c r="K131"/>
  <c r="J131"/>
  <c r="B131"/>
  <c r="K130"/>
  <c r="J130"/>
  <c r="B130"/>
  <c r="K129"/>
  <c r="J129"/>
  <c r="B129"/>
  <c r="K128"/>
  <c r="J128"/>
  <c r="B128"/>
  <c r="K127"/>
  <c r="J127"/>
  <c r="B127"/>
  <c r="K126"/>
  <c r="J126"/>
  <c r="B126"/>
  <c r="K125"/>
  <c r="J125"/>
  <c r="B125"/>
  <c r="K124"/>
  <c r="J124"/>
  <c r="B124"/>
  <c r="K123"/>
  <c r="J123"/>
  <c r="B123"/>
  <c r="K122"/>
  <c r="J122"/>
  <c r="B122"/>
  <c r="K121"/>
  <c r="J121"/>
  <c r="B121"/>
  <c r="K120"/>
  <c r="J120"/>
  <c r="B120"/>
  <c r="K119"/>
  <c r="J119"/>
  <c r="B119"/>
  <c r="K118"/>
  <c r="J118"/>
  <c r="B118"/>
  <c r="K117"/>
  <c r="J117"/>
  <c r="B117"/>
  <c r="K116"/>
  <c r="J116"/>
  <c r="B116"/>
  <c r="K115"/>
  <c r="J115"/>
  <c r="B115"/>
  <c r="K114"/>
  <c r="J114"/>
  <c r="B114"/>
  <c r="K113"/>
  <c r="J113"/>
  <c r="B113"/>
  <c r="K112"/>
  <c r="J112"/>
  <c r="B112"/>
  <c r="K111"/>
  <c r="J111"/>
  <c r="B111"/>
  <c r="K110"/>
  <c r="J110"/>
  <c r="B110"/>
  <c r="K109"/>
  <c r="J109"/>
  <c r="B109"/>
  <c r="K108"/>
  <c r="J108"/>
  <c r="B108"/>
  <c r="K107"/>
  <c r="J107"/>
  <c r="B107"/>
  <c r="K106"/>
  <c r="J106"/>
  <c r="B106"/>
  <c r="K105"/>
  <c r="J105"/>
  <c r="B105"/>
  <c r="K104"/>
  <c r="J104"/>
  <c r="B104"/>
  <c r="K103"/>
  <c r="J103"/>
  <c r="B103"/>
  <c r="K102"/>
  <c r="J102"/>
  <c r="B102"/>
  <c r="K101"/>
  <c r="J101"/>
  <c r="B101"/>
  <c r="K100"/>
  <c r="J100"/>
  <c r="B100"/>
  <c r="K99"/>
  <c r="J99"/>
  <c r="B99"/>
  <c r="K98"/>
  <c r="J98"/>
  <c r="B98"/>
  <c r="K97"/>
  <c r="J97"/>
  <c r="B97"/>
  <c r="K96"/>
  <c r="J96"/>
  <c r="B96"/>
  <c r="K95"/>
  <c r="J95"/>
  <c r="B95"/>
  <c r="K94"/>
  <c r="J94"/>
  <c r="B94"/>
  <c r="K93"/>
  <c r="J93"/>
  <c r="B93"/>
  <c r="K92"/>
  <c r="J92"/>
  <c r="B92"/>
  <c r="K91"/>
  <c r="J91"/>
  <c r="B91"/>
  <c r="K90"/>
  <c r="J90"/>
  <c r="B90"/>
  <c r="K89"/>
  <c r="J89"/>
  <c r="B89"/>
  <c r="K88"/>
  <c r="J88"/>
  <c r="B88"/>
  <c r="K87"/>
  <c r="J87"/>
  <c r="B87"/>
  <c r="K86"/>
  <c r="J86"/>
  <c r="B86"/>
  <c r="K85"/>
  <c r="J85"/>
  <c r="B85"/>
  <c r="K84"/>
  <c r="J84"/>
  <c r="B84"/>
  <c r="K83"/>
  <c r="J83"/>
  <c r="B83"/>
  <c r="K82"/>
  <c r="J82"/>
  <c r="B82"/>
  <c r="K81"/>
  <c r="J81"/>
  <c r="B81"/>
  <c r="K80"/>
  <c r="J80"/>
  <c r="B80"/>
  <c r="K79"/>
  <c r="J79"/>
  <c r="B79"/>
  <c r="K78"/>
  <c r="J78"/>
  <c r="B78"/>
  <c r="K77"/>
  <c r="J77"/>
  <c r="B77"/>
  <c r="K76"/>
  <c r="J76"/>
  <c r="B76"/>
  <c r="K75"/>
  <c r="J75"/>
  <c r="B75"/>
  <c r="K74"/>
  <c r="J74"/>
  <c r="B74"/>
  <c r="K73"/>
  <c r="J73"/>
  <c r="B73"/>
  <c r="K72"/>
  <c r="J72"/>
  <c r="B72"/>
  <c r="K71"/>
  <c r="J71"/>
  <c r="B71"/>
  <c r="K70"/>
  <c r="J70"/>
  <c r="B70"/>
  <c r="K69"/>
  <c r="J69"/>
  <c r="B69"/>
  <c r="K68"/>
  <c r="J68"/>
  <c r="B68"/>
  <c r="K67"/>
  <c r="J67"/>
  <c r="B67"/>
  <c r="K66"/>
  <c r="J66"/>
  <c r="B66"/>
  <c r="K65"/>
  <c r="J65"/>
  <c r="B65"/>
  <c r="K64"/>
  <c r="J64"/>
  <c r="B64"/>
  <c r="K63"/>
  <c r="J63"/>
  <c r="B63"/>
  <c r="K62"/>
  <c r="B62"/>
  <c r="K61"/>
  <c r="J61"/>
  <c r="B61"/>
  <c r="K60"/>
  <c r="J60"/>
  <c r="B60"/>
  <c r="K59"/>
  <c r="J59"/>
  <c r="B59"/>
  <c r="K58"/>
  <c r="J58"/>
  <c r="B58"/>
  <c r="K57"/>
  <c r="J57"/>
  <c r="B57"/>
  <c r="K56"/>
  <c r="J56"/>
  <c r="B56"/>
  <c r="K55"/>
  <c r="J55"/>
  <c r="B55"/>
  <c r="K54"/>
  <c r="J54"/>
  <c r="B54"/>
  <c r="K53"/>
  <c r="J53"/>
  <c r="B53"/>
  <c r="K52"/>
  <c r="J52"/>
  <c r="B52"/>
  <c r="K51"/>
  <c r="J51"/>
  <c r="B51"/>
  <c r="K50"/>
  <c r="J50"/>
  <c r="B50"/>
  <c r="K49"/>
  <c r="J49"/>
  <c r="B49"/>
  <c r="K48"/>
  <c r="J48"/>
  <c r="B48"/>
  <c r="K47"/>
  <c r="J47"/>
  <c r="B47"/>
  <c r="K46"/>
  <c r="J46"/>
  <c r="B46"/>
  <c r="K45"/>
  <c r="J45"/>
  <c r="B45"/>
  <c r="K44"/>
  <c r="B44"/>
  <c r="K43"/>
  <c r="J43"/>
  <c r="B43"/>
  <c r="K42"/>
  <c r="J42"/>
  <c r="B42"/>
  <c r="K41"/>
  <c r="J41"/>
  <c r="E13" i="27" s="1"/>
  <c r="B41" i="6"/>
  <c r="K40"/>
  <c r="J40"/>
  <c r="B40"/>
  <c r="K39"/>
  <c r="J39"/>
  <c r="B39"/>
  <c r="K38"/>
  <c r="J38"/>
  <c r="B38"/>
  <c r="K37"/>
  <c r="J37"/>
  <c r="B37"/>
  <c r="K36"/>
  <c r="J36"/>
  <c r="B36"/>
  <c r="K35"/>
  <c r="J35"/>
  <c r="B35"/>
  <c r="K34"/>
  <c r="J34"/>
  <c r="B34"/>
  <c r="K33"/>
  <c r="J33"/>
  <c r="B33"/>
  <c r="K32"/>
  <c r="J32"/>
  <c r="B32"/>
  <c r="K31"/>
  <c r="J31"/>
  <c r="B31"/>
  <c r="K30"/>
  <c r="J30"/>
  <c r="B30"/>
  <c r="K29"/>
  <c r="J29"/>
  <c r="B29"/>
  <c r="K28"/>
  <c r="J28"/>
  <c r="B28"/>
  <c r="K27"/>
  <c r="J27"/>
  <c r="B27"/>
  <c r="K26"/>
  <c r="J26"/>
  <c r="B26"/>
  <c r="K25"/>
  <c r="B25"/>
  <c r="K24"/>
  <c r="J24"/>
  <c r="B24"/>
  <c r="K23"/>
  <c r="J23"/>
  <c r="B23"/>
  <c r="K22"/>
  <c r="J22"/>
  <c r="B22"/>
  <c r="K21"/>
  <c r="J21"/>
  <c r="B21"/>
  <c r="K20"/>
  <c r="J20"/>
  <c r="B20"/>
  <c r="K19"/>
  <c r="J19"/>
  <c r="B19"/>
  <c r="J18"/>
  <c r="B18"/>
  <c r="K17"/>
  <c r="J17"/>
  <c r="B17"/>
  <c r="P16"/>
  <c r="K16"/>
  <c r="J16"/>
  <c r="B16"/>
  <c r="P15"/>
  <c r="K15"/>
  <c r="J15"/>
  <c r="F15"/>
  <c r="B15"/>
  <c r="P14"/>
  <c r="K14"/>
  <c r="J14"/>
  <c r="B14"/>
  <c r="P13"/>
  <c r="K13"/>
  <c r="J13"/>
  <c r="B13"/>
  <c r="P12"/>
  <c r="K12"/>
  <c r="J12"/>
  <c r="B12"/>
  <c r="P11"/>
  <c r="N11"/>
  <c r="N139" s="1"/>
  <c r="N217" s="1"/>
  <c r="K11"/>
  <c r="J11"/>
  <c r="B11"/>
  <c r="K10"/>
  <c r="J10"/>
  <c r="B10"/>
  <c r="K9"/>
  <c r="J9"/>
  <c r="B9"/>
  <c r="K8"/>
  <c r="J8"/>
  <c r="B8"/>
  <c r="K7"/>
  <c r="J7"/>
  <c r="B7"/>
  <c r="J6"/>
  <c r="B6"/>
  <c r="K5"/>
  <c r="J5"/>
  <c r="B5"/>
  <c r="K4"/>
  <c r="J4"/>
  <c r="B1"/>
  <c r="N222" i="5"/>
  <c r="X220"/>
  <c r="W220"/>
  <c r="J220"/>
  <c r="I220"/>
  <c r="X219"/>
  <c r="W219"/>
  <c r="J219"/>
  <c r="X218"/>
  <c r="W218"/>
  <c r="J218"/>
  <c r="Q217"/>
  <c r="P217"/>
  <c r="O217"/>
  <c r="N217"/>
  <c r="G217"/>
  <c r="F217"/>
  <c r="Q216"/>
  <c r="P216"/>
  <c r="O216"/>
  <c r="N216"/>
  <c r="I216"/>
  <c r="H216"/>
  <c r="G216"/>
  <c r="F216"/>
  <c r="K215"/>
  <c r="J215"/>
  <c r="B215"/>
  <c r="K214"/>
  <c r="J214"/>
  <c r="B214"/>
  <c r="K213"/>
  <c r="J213"/>
  <c r="B213"/>
  <c r="K212"/>
  <c r="J212"/>
  <c r="B212"/>
  <c r="K211"/>
  <c r="J211"/>
  <c r="B211"/>
  <c r="K210"/>
  <c r="J210"/>
  <c r="B210"/>
  <c r="K209"/>
  <c r="J209"/>
  <c r="B209"/>
  <c r="K208"/>
  <c r="J208"/>
  <c r="B208"/>
  <c r="K207"/>
  <c r="J207"/>
  <c r="B207"/>
  <c r="K206"/>
  <c r="J206"/>
  <c r="B206"/>
  <c r="K205"/>
  <c r="J205"/>
  <c r="B205"/>
  <c r="K204"/>
  <c r="J204"/>
  <c r="B204"/>
  <c r="K203"/>
  <c r="J203"/>
  <c r="B203"/>
  <c r="K202"/>
  <c r="J202"/>
  <c r="B202"/>
  <c r="K201"/>
  <c r="J201"/>
  <c r="B201"/>
  <c r="K200"/>
  <c r="J200"/>
  <c r="B200"/>
  <c r="K199"/>
  <c r="J199"/>
  <c r="B199"/>
  <c r="K198"/>
  <c r="J198"/>
  <c r="B198"/>
  <c r="K197"/>
  <c r="J197"/>
  <c r="B197"/>
  <c r="K196"/>
  <c r="J196"/>
  <c r="B196"/>
  <c r="K195"/>
  <c r="J195"/>
  <c r="B195"/>
  <c r="K194"/>
  <c r="J194"/>
  <c r="B194"/>
  <c r="K193"/>
  <c r="J193"/>
  <c r="B193"/>
  <c r="K192"/>
  <c r="J192"/>
  <c r="B192"/>
  <c r="K191"/>
  <c r="J191"/>
  <c r="B191"/>
  <c r="K190"/>
  <c r="J190"/>
  <c r="B190"/>
  <c r="AF189"/>
  <c r="AE189"/>
  <c r="AD189"/>
  <c r="K189"/>
  <c r="J189"/>
  <c r="B189"/>
  <c r="AF188"/>
  <c r="AE188"/>
  <c r="AD188"/>
  <c r="K188"/>
  <c r="J188"/>
  <c r="B188"/>
  <c r="AF187"/>
  <c r="AE187"/>
  <c r="AD187"/>
  <c r="K187"/>
  <c r="J187"/>
  <c r="B187"/>
  <c r="AF186"/>
  <c r="AE186"/>
  <c r="AD186"/>
  <c r="K186"/>
  <c r="J186"/>
  <c r="B186"/>
  <c r="AF185"/>
  <c r="AE185"/>
  <c r="AD185"/>
  <c r="K185"/>
  <c r="J185"/>
  <c r="B185"/>
  <c r="AF184"/>
  <c r="AE184"/>
  <c r="AD184"/>
  <c r="K184"/>
  <c r="J184"/>
  <c r="B184"/>
  <c r="AF183"/>
  <c r="AE183"/>
  <c r="AD183"/>
  <c r="K183"/>
  <c r="J183"/>
  <c r="B183"/>
  <c r="AF182"/>
  <c r="AE182"/>
  <c r="AD182"/>
  <c r="K182"/>
  <c r="J182"/>
  <c r="B182"/>
  <c r="AF181"/>
  <c r="AE181"/>
  <c r="AD181"/>
  <c r="K181"/>
  <c r="J181"/>
  <c r="B181"/>
  <c r="AF180"/>
  <c r="AE180"/>
  <c r="AD180"/>
  <c r="K180"/>
  <c r="B180"/>
  <c r="AF179"/>
  <c r="AE179"/>
  <c r="AD179"/>
  <c r="K179"/>
  <c r="J179"/>
  <c r="B179"/>
  <c r="AF178"/>
  <c r="AE178"/>
  <c r="AD178"/>
  <c r="K178"/>
  <c r="J178"/>
  <c r="B178"/>
  <c r="AF177"/>
  <c r="AE177"/>
  <c r="AD177"/>
  <c r="K177"/>
  <c r="J177"/>
  <c r="B177"/>
  <c r="AF176"/>
  <c r="AE176"/>
  <c r="AD176"/>
  <c r="K176"/>
  <c r="J176"/>
  <c r="B176"/>
  <c r="AF175"/>
  <c r="AE175"/>
  <c r="AD175"/>
  <c r="K175"/>
  <c r="J175"/>
  <c r="B175"/>
  <c r="AF174"/>
  <c r="AE174"/>
  <c r="AD174"/>
  <c r="K174"/>
  <c r="J174"/>
  <c r="B174"/>
  <c r="AF173"/>
  <c r="AE173"/>
  <c r="AD173"/>
  <c r="K173"/>
  <c r="B173"/>
  <c r="AF172"/>
  <c r="AE172"/>
  <c r="AD172"/>
  <c r="K172"/>
  <c r="J172"/>
  <c r="B172"/>
  <c r="AF171"/>
  <c r="AE171"/>
  <c r="AD171"/>
  <c r="K171"/>
  <c r="J171"/>
  <c r="B171"/>
  <c r="AF170"/>
  <c r="AE170"/>
  <c r="AD170"/>
  <c r="J170"/>
  <c r="B170"/>
  <c r="AF169"/>
  <c r="AE169"/>
  <c r="AD169"/>
  <c r="K169"/>
  <c r="B169"/>
  <c r="AF168"/>
  <c r="AE168"/>
  <c r="AD168"/>
  <c r="K168"/>
  <c r="J168"/>
  <c r="B168"/>
  <c r="AF167"/>
  <c r="AE167"/>
  <c r="AD167"/>
  <c r="K167"/>
  <c r="J167"/>
  <c r="B167"/>
  <c r="AF166"/>
  <c r="AE166"/>
  <c r="AD166"/>
  <c r="K166"/>
  <c r="J166"/>
  <c r="B166"/>
  <c r="AF165"/>
  <c r="AE165"/>
  <c r="AD165"/>
  <c r="K165"/>
  <c r="J165"/>
  <c r="B165"/>
  <c r="AF164"/>
  <c r="AE164"/>
  <c r="AD164"/>
  <c r="K164"/>
  <c r="J164"/>
  <c r="B164"/>
  <c r="AF163"/>
  <c r="AE163"/>
  <c r="AD163"/>
  <c r="K163"/>
  <c r="J163"/>
  <c r="B163"/>
  <c r="AF162"/>
  <c r="AE162"/>
  <c r="AD162"/>
  <c r="K162"/>
  <c r="J162"/>
  <c r="B162"/>
  <c r="AF161"/>
  <c r="AE161"/>
  <c r="AD161"/>
  <c r="K161"/>
  <c r="J161"/>
  <c r="B161"/>
  <c r="AF160"/>
  <c r="AE160"/>
  <c r="AD160"/>
  <c r="K160"/>
  <c r="J160"/>
  <c r="B160"/>
  <c r="AF159"/>
  <c r="AE159"/>
  <c r="AD159"/>
  <c r="B159"/>
  <c r="AF158"/>
  <c r="AE158"/>
  <c r="AD158"/>
  <c r="K158"/>
  <c r="B158"/>
  <c r="AF157"/>
  <c r="AE157"/>
  <c r="AD157"/>
  <c r="K157"/>
  <c r="B157"/>
  <c r="AF156"/>
  <c r="AE156"/>
  <c r="AD156"/>
  <c r="K156"/>
  <c r="J156"/>
  <c r="B156"/>
  <c r="AF155"/>
  <c r="AE155"/>
  <c r="AD155"/>
  <c r="K155"/>
  <c r="J155"/>
  <c r="B155"/>
  <c r="AF154"/>
  <c r="AE154"/>
  <c r="AD154"/>
  <c r="K154"/>
  <c r="J154"/>
  <c r="B154"/>
  <c r="AF153"/>
  <c r="AE153"/>
  <c r="AD153"/>
  <c r="K153"/>
  <c r="J153"/>
  <c r="B153"/>
  <c r="AF152"/>
  <c r="AE152"/>
  <c r="AD152"/>
  <c r="K152"/>
  <c r="J152"/>
  <c r="B152"/>
  <c r="AF151"/>
  <c r="AE151"/>
  <c r="AD151"/>
  <c r="K151"/>
  <c r="J151"/>
  <c r="B151"/>
  <c r="AF150"/>
  <c r="AE150"/>
  <c r="AD150"/>
  <c r="K150"/>
  <c r="J150"/>
  <c r="B150"/>
  <c r="AF149"/>
  <c r="AE149"/>
  <c r="AD149"/>
  <c r="K149"/>
  <c r="J149"/>
  <c r="B149"/>
  <c r="AF148"/>
  <c r="AE148"/>
  <c r="AD148"/>
  <c r="K148"/>
  <c r="J148"/>
  <c r="B148"/>
  <c r="AF147"/>
  <c r="AE147"/>
  <c r="AD147"/>
  <c r="K147"/>
  <c r="J147"/>
  <c r="B147"/>
  <c r="AF146"/>
  <c r="AE146"/>
  <c r="AD146"/>
  <c r="K146"/>
  <c r="J146"/>
  <c r="B146"/>
  <c r="AF145"/>
  <c r="AE145"/>
  <c r="AD145"/>
  <c r="K145"/>
  <c r="J145"/>
  <c r="B145"/>
  <c r="AF144"/>
  <c r="AE144"/>
  <c r="AD144"/>
  <c r="K144"/>
  <c r="J144"/>
  <c r="B144"/>
  <c r="AF143"/>
  <c r="AE143"/>
  <c r="AD143"/>
  <c r="K143"/>
  <c r="J143"/>
  <c r="B143"/>
  <c r="AF142"/>
  <c r="AE142"/>
  <c r="AD142"/>
  <c r="K142"/>
  <c r="J142"/>
  <c r="B142"/>
  <c r="AF141"/>
  <c r="AE141"/>
  <c r="AD141"/>
  <c r="J141"/>
  <c r="B141"/>
  <c r="AF140"/>
  <c r="AE140"/>
  <c r="AD140"/>
  <c r="K140"/>
  <c r="J140"/>
  <c r="B140"/>
  <c r="AF139"/>
  <c r="AE139"/>
  <c r="AD139"/>
  <c r="Z139"/>
  <c r="Y139"/>
  <c r="U139"/>
  <c r="T139"/>
  <c r="O139"/>
  <c r="N139"/>
  <c r="I139"/>
  <c r="H139"/>
  <c r="G139"/>
  <c r="F139"/>
  <c r="B139"/>
  <c r="AF138"/>
  <c r="AE138"/>
  <c r="AD138"/>
  <c r="K138"/>
  <c r="J138"/>
  <c r="B138"/>
  <c r="AF137"/>
  <c r="AE137"/>
  <c r="AD137"/>
  <c r="K137"/>
  <c r="J137"/>
  <c r="B137"/>
  <c r="AF136"/>
  <c r="AE136"/>
  <c r="AD136"/>
  <c r="K136"/>
  <c r="J136"/>
  <c r="B136"/>
  <c r="AF135"/>
  <c r="AE135"/>
  <c r="AD135"/>
  <c r="K135"/>
  <c r="J135"/>
  <c r="B135"/>
  <c r="AF134"/>
  <c r="AE134"/>
  <c r="AD134"/>
  <c r="K134"/>
  <c r="J134"/>
  <c r="B134"/>
  <c r="AF133"/>
  <c r="AE133"/>
  <c r="AD133"/>
  <c r="K133"/>
  <c r="J133"/>
  <c r="B133"/>
  <c r="AF132"/>
  <c r="AE132"/>
  <c r="AD132"/>
  <c r="K132"/>
  <c r="J132"/>
  <c r="B132"/>
  <c r="AF131"/>
  <c r="AE131"/>
  <c r="AD131"/>
  <c r="K131"/>
  <c r="J131"/>
  <c r="B131"/>
  <c r="AF130"/>
  <c r="AE130"/>
  <c r="AD130"/>
  <c r="K130"/>
  <c r="J130"/>
  <c r="B130"/>
  <c r="AF129"/>
  <c r="AE129"/>
  <c r="AD129"/>
  <c r="K129"/>
  <c r="J129"/>
  <c r="B129"/>
  <c r="AF128"/>
  <c r="AE128"/>
  <c r="AD128"/>
  <c r="K128"/>
  <c r="J128"/>
  <c r="B128"/>
  <c r="AF127"/>
  <c r="AE127"/>
  <c r="AD127"/>
  <c r="K127"/>
  <c r="J127"/>
  <c r="B127"/>
  <c r="AF126"/>
  <c r="AE126"/>
  <c r="AD126"/>
  <c r="K126"/>
  <c r="J126"/>
  <c r="B126"/>
  <c r="AF125"/>
  <c r="AE125"/>
  <c r="AD125"/>
  <c r="K125"/>
  <c r="B125"/>
  <c r="AF124"/>
  <c r="AE124"/>
  <c r="AD124"/>
  <c r="K124"/>
  <c r="J124"/>
  <c r="B124"/>
  <c r="AF123"/>
  <c r="AE123"/>
  <c r="AD123"/>
  <c r="K123"/>
  <c r="J123"/>
  <c r="B123"/>
  <c r="AF122"/>
  <c r="AE122"/>
  <c r="AD122"/>
  <c r="K122"/>
  <c r="J122"/>
  <c r="B122"/>
  <c r="AF121"/>
  <c r="AE121"/>
  <c r="AD121"/>
  <c r="K121"/>
  <c r="J121"/>
  <c r="B121"/>
  <c r="AF120"/>
  <c r="AE120"/>
  <c r="AD120"/>
  <c r="K120"/>
  <c r="J120"/>
  <c r="B120"/>
  <c r="AF119"/>
  <c r="AE119"/>
  <c r="AD119"/>
  <c r="K119"/>
  <c r="J119"/>
  <c r="B119"/>
  <c r="AF118"/>
  <c r="AE118"/>
  <c r="AD118"/>
  <c r="K118"/>
  <c r="J118"/>
  <c r="B118"/>
  <c r="AF117"/>
  <c r="AE117"/>
  <c r="AD117"/>
  <c r="K117"/>
  <c r="J117"/>
  <c r="B117"/>
  <c r="AF116"/>
  <c r="AE116"/>
  <c r="AD116"/>
  <c r="K116"/>
  <c r="J116"/>
  <c r="B116"/>
  <c r="AF115"/>
  <c r="AE115"/>
  <c r="AD115"/>
  <c r="K115"/>
  <c r="J115"/>
  <c r="B115"/>
  <c r="AF114"/>
  <c r="AE114"/>
  <c r="AD114"/>
  <c r="K114"/>
  <c r="J114"/>
  <c r="B114"/>
  <c r="AF113"/>
  <c r="AE113"/>
  <c r="AD113"/>
  <c r="K113"/>
  <c r="J113"/>
  <c r="B113"/>
  <c r="AF112"/>
  <c r="AE112"/>
  <c r="AD112"/>
  <c r="K112"/>
  <c r="J112"/>
  <c r="B112"/>
  <c r="AF111"/>
  <c r="AE111"/>
  <c r="AD111"/>
  <c r="K111"/>
  <c r="J111"/>
  <c r="B111"/>
  <c r="AF110"/>
  <c r="AE110"/>
  <c r="AD110"/>
  <c r="K110"/>
  <c r="J110"/>
  <c r="B110"/>
  <c r="AF109"/>
  <c r="AE109"/>
  <c r="AD109"/>
  <c r="K109"/>
  <c r="J109"/>
  <c r="B109"/>
  <c r="AF108"/>
  <c r="AE108"/>
  <c r="AD108"/>
  <c r="K108"/>
  <c r="J108"/>
  <c r="B108"/>
  <c r="K107"/>
  <c r="J107"/>
  <c r="B107"/>
  <c r="AF106"/>
  <c r="AE106"/>
  <c r="AD106"/>
  <c r="K106"/>
  <c r="J106"/>
  <c r="B106"/>
  <c r="AF105"/>
  <c r="AE105"/>
  <c r="AD105"/>
  <c r="K105"/>
  <c r="J105"/>
  <c r="B105"/>
  <c r="AF104"/>
  <c r="AE104"/>
  <c r="AD104"/>
  <c r="K104"/>
  <c r="J104"/>
  <c r="B104"/>
  <c r="AF103"/>
  <c r="AE103"/>
  <c r="AD103"/>
  <c r="K103"/>
  <c r="J103"/>
  <c r="B103"/>
  <c r="AF102"/>
  <c r="AE102"/>
  <c r="AD102"/>
  <c r="K102"/>
  <c r="J102"/>
  <c r="B102"/>
  <c r="AF101"/>
  <c r="AE101"/>
  <c r="AD101"/>
  <c r="K101"/>
  <c r="J101"/>
  <c r="B101"/>
  <c r="AF100"/>
  <c r="AE100"/>
  <c r="AD100"/>
  <c r="K100"/>
  <c r="J100"/>
  <c r="B100"/>
  <c r="AF99"/>
  <c r="AE99"/>
  <c r="AD99"/>
  <c r="K99"/>
  <c r="J99"/>
  <c r="B99"/>
  <c r="AF98"/>
  <c r="AE98"/>
  <c r="AD98"/>
  <c r="K98"/>
  <c r="J98"/>
  <c r="B98"/>
  <c r="AF97"/>
  <c r="AE97"/>
  <c r="AD97"/>
  <c r="K97"/>
  <c r="J97"/>
  <c r="B97"/>
  <c r="AF96"/>
  <c r="AE96"/>
  <c r="AD96"/>
  <c r="K96"/>
  <c r="J96"/>
  <c r="B96"/>
  <c r="AF95"/>
  <c r="AE95"/>
  <c r="AD95"/>
  <c r="K95"/>
  <c r="J95"/>
  <c r="B95"/>
  <c r="AF94"/>
  <c r="AE94"/>
  <c r="AD94"/>
  <c r="K94"/>
  <c r="J94"/>
  <c r="B94"/>
  <c r="AF93"/>
  <c r="AE93"/>
  <c r="AD93"/>
  <c r="K93"/>
  <c r="J93"/>
  <c r="B93"/>
  <c r="AF92"/>
  <c r="AE92"/>
  <c r="AD92"/>
  <c r="K92"/>
  <c r="J92"/>
  <c r="B92"/>
  <c r="AF91"/>
  <c r="AE91"/>
  <c r="AD91"/>
  <c r="K91"/>
  <c r="J91"/>
  <c r="B91"/>
  <c r="AF90"/>
  <c r="AE90"/>
  <c r="AD90"/>
  <c r="K90"/>
  <c r="J90"/>
  <c r="B90"/>
  <c r="AF89"/>
  <c r="AE89"/>
  <c r="AD89"/>
  <c r="K89"/>
  <c r="J89"/>
  <c r="B89"/>
  <c r="AF88"/>
  <c r="AE88"/>
  <c r="AD88"/>
  <c r="K88"/>
  <c r="J88"/>
  <c r="B88"/>
  <c r="AF87"/>
  <c r="AE87"/>
  <c r="AD87"/>
  <c r="K87"/>
  <c r="J87"/>
  <c r="B87"/>
  <c r="AF86"/>
  <c r="AE86"/>
  <c r="AD86"/>
  <c r="K86"/>
  <c r="J86"/>
  <c r="B86"/>
  <c r="K85"/>
  <c r="J85"/>
  <c r="B85"/>
  <c r="K84"/>
  <c r="J84"/>
  <c r="B84"/>
  <c r="AF83"/>
  <c r="AE83"/>
  <c r="AD83"/>
  <c r="K83"/>
  <c r="J83"/>
  <c r="B83"/>
  <c r="AF82"/>
  <c r="AE82"/>
  <c r="AD82"/>
  <c r="K82"/>
  <c r="J82"/>
  <c r="B82"/>
  <c r="AF81"/>
  <c r="AE81"/>
  <c r="AD81"/>
  <c r="K81"/>
  <c r="J81"/>
  <c r="B81"/>
  <c r="AF80"/>
  <c r="AE80"/>
  <c r="AD80"/>
  <c r="K80"/>
  <c r="J80"/>
  <c r="B80"/>
  <c r="AF79"/>
  <c r="AE79"/>
  <c r="AD79"/>
  <c r="K79"/>
  <c r="J79"/>
  <c r="B79"/>
  <c r="AF78"/>
  <c r="AE78"/>
  <c r="AD78"/>
  <c r="K78"/>
  <c r="M2" i="4" s="1"/>
  <c r="J78" i="5"/>
  <c r="L2" i="4" s="1"/>
  <c r="B78" i="5"/>
  <c r="AF77"/>
  <c r="AE77"/>
  <c r="AD77"/>
  <c r="K77"/>
  <c r="J77"/>
  <c r="B77"/>
  <c r="AF76"/>
  <c r="AE76"/>
  <c r="AD76"/>
  <c r="K76"/>
  <c r="J76"/>
  <c r="B76"/>
  <c r="AF75"/>
  <c r="AE75"/>
  <c r="AD75"/>
  <c r="K75"/>
  <c r="J75"/>
  <c r="B75"/>
  <c r="AF74"/>
  <c r="AE74"/>
  <c r="AD74"/>
  <c r="K74"/>
  <c r="J74"/>
  <c r="B74"/>
  <c r="AF73"/>
  <c r="AE73"/>
  <c r="AD73"/>
  <c r="K73"/>
  <c r="J73"/>
  <c r="B73"/>
  <c r="AF72"/>
  <c r="AE72"/>
  <c r="AD72"/>
  <c r="K72"/>
  <c r="J72"/>
  <c r="B72"/>
  <c r="AF71"/>
  <c r="AE71"/>
  <c r="AD71"/>
  <c r="K71"/>
  <c r="J71"/>
  <c r="B71"/>
  <c r="AF70"/>
  <c r="AE70"/>
  <c r="AD70"/>
  <c r="K70"/>
  <c r="J70"/>
  <c r="B70"/>
  <c r="AF69"/>
  <c r="AE69"/>
  <c r="AD69"/>
  <c r="K69"/>
  <c r="J69"/>
  <c r="B69"/>
  <c r="AF68"/>
  <c r="AE68"/>
  <c r="AD68"/>
  <c r="K68"/>
  <c r="J68"/>
  <c r="B68"/>
  <c r="AF67"/>
  <c r="AE67"/>
  <c r="AD67"/>
  <c r="K67"/>
  <c r="J67"/>
  <c r="B67"/>
  <c r="AF66"/>
  <c r="AE66"/>
  <c r="AD66"/>
  <c r="K66"/>
  <c r="J66"/>
  <c r="B66"/>
  <c r="AF65"/>
  <c r="AE65"/>
  <c r="AD65"/>
  <c r="K65"/>
  <c r="J65"/>
  <c r="B65"/>
  <c r="AF64"/>
  <c r="AE64"/>
  <c r="AD64"/>
  <c r="K64"/>
  <c r="J64"/>
  <c r="B64"/>
  <c r="AF63"/>
  <c r="AE63"/>
  <c r="AD63"/>
  <c r="K63"/>
  <c r="J63"/>
  <c r="B63"/>
  <c r="AF62"/>
  <c r="AE62"/>
  <c r="AD62"/>
  <c r="K62"/>
  <c r="J62"/>
  <c r="B62"/>
  <c r="AF61"/>
  <c r="AE61"/>
  <c r="AD61"/>
  <c r="K61"/>
  <c r="J61"/>
  <c r="B61"/>
  <c r="AF60"/>
  <c r="AE60"/>
  <c r="AD60"/>
  <c r="K60"/>
  <c r="J60"/>
  <c r="B60"/>
  <c r="AF59"/>
  <c r="AE59"/>
  <c r="AD59"/>
  <c r="K59"/>
  <c r="J59"/>
  <c r="B59"/>
  <c r="AF58"/>
  <c r="AE58"/>
  <c r="AD58"/>
  <c r="K58"/>
  <c r="J58"/>
  <c r="B58"/>
  <c r="AF57"/>
  <c r="AE57"/>
  <c r="AD57"/>
  <c r="K57"/>
  <c r="B57"/>
  <c r="AF56"/>
  <c r="AE56"/>
  <c r="AD56"/>
  <c r="K56"/>
  <c r="J56"/>
  <c r="B56"/>
  <c r="AF55"/>
  <c r="AE55"/>
  <c r="AD55"/>
  <c r="K55"/>
  <c r="J55"/>
  <c r="B55"/>
  <c r="AF54"/>
  <c r="AE54"/>
  <c r="AD54"/>
  <c r="K54"/>
  <c r="J54"/>
  <c r="B54"/>
  <c r="AF53"/>
  <c r="AE53"/>
  <c r="AD53"/>
  <c r="K53"/>
  <c r="J53"/>
  <c r="B53"/>
  <c r="AF52"/>
  <c r="AE52"/>
  <c r="AD52"/>
  <c r="K52"/>
  <c r="J52"/>
  <c r="B52"/>
  <c r="AF51"/>
  <c r="AE51"/>
  <c r="AD51"/>
  <c r="K51"/>
  <c r="J51"/>
  <c r="B51"/>
  <c r="AF50"/>
  <c r="AE50"/>
  <c r="AD50"/>
  <c r="K50"/>
  <c r="J50"/>
  <c r="B50"/>
  <c r="AF49"/>
  <c r="AE49"/>
  <c r="AD49"/>
  <c r="K49"/>
  <c r="J49"/>
  <c r="B49"/>
  <c r="AF48"/>
  <c r="AE48"/>
  <c r="AD48"/>
  <c r="K48"/>
  <c r="J48"/>
  <c r="B48"/>
  <c r="AF47"/>
  <c r="AE47"/>
  <c r="AD47"/>
  <c r="K47"/>
  <c r="J47"/>
  <c r="B47"/>
  <c r="AF46"/>
  <c r="AE46"/>
  <c r="AD46"/>
  <c r="K46"/>
  <c r="J46"/>
  <c r="B46"/>
  <c r="AF45"/>
  <c r="AE45"/>
  <c r="AD45"/>
  <c r="K45"/>
  <c r="J45"/>
  <c r="B45"/>
  <c r="AF44"/>
  <c r="AE44"/>
  <c r="AD44"/>
  <c r="K44"/>
  <c r="J44"/>
  <c r="D14" i="27" s="1"/>
  <c r="B44" i="5"/>
  <c r="AF43"/>
  <c r="AE43"/>
  <c r="AD43"/>
  <c r="K43"/>
  <c r="B43"/>
  <c r="AF42"/>
  <c r="AE42"/>
  <c r="AD42"/>
  <c r="K42"/>
  <c r="J42"/>
  <c r="B42"/>
  <c r="AF41"/>
  <c r="AE41"/>
  <c r="AD41"/>
  <c r="K41"/>
  <c r="J41"/>
  <c r="B41"/>
  <c r="AF40"/>
  <c r="AE40"/>
  <c r="AD40"/>
  <c r="K40"/>
  <c r="J40"/>
  <c r="B40"/>
  <c r="AF39"/>
  <c r="AE39"/>
  <c r="AD39"/>
  <c r="K39"/>
  <c r="J39"/>
  <c r="B39"/>
  <c r="AF38"/>
  <c r="AE38"/>
  <c r="AD38"/>
  <c r="K38"/>
  <c r="J38"/>
  <c r="B38"/>
  <c r="AF37"/>
  <c r="AE37"/>
  <c r="AD37"/>
  <c r="K37"/>
  <c r="J37"/>
  <c r="B37"/>
  <c r="AF36"/>
  <c r="AE36"/>
  <c r="AD36"/>
  <c r="K36"/>
  <c r="J36"/>
  <c r="B36"/>
  <c r="K35"/>
  <c r="J35"/>
  <c r="B35"/>
  <c r="AF34"/>
  <c r="AE34"/>
  <c r="AD34"/>
  <c r="K34"/>
  <c r="J34"/>
  <c r="B34"/>
  <c r="AF33"/>
  <c r="AE33"/>
  <c r="AD33"/>
  <c r="K33"/>
  <c r="J33"/>
  <c r="B33"/>
  <c r="AF32"/>
  <c r="AE32"/>
  <c r="AD32"/>
  <c r="K32"/>
  <c r="J32"/>
  <c r="B32"/>
  <c r="AF31"/>
  <c r="AE31"/>
  <c r="AD31"/>
  <c r="K31"/>
  <c r="J31"/>
  <c r="B31"/>
  <c r="AF30"/>
  <c r="AE30"/>
  <c r="AD30"/>
  <c r="K30"/>
  <c r="J30"/>
  <c r="B30"/>
  <c r="AF29"/>
  <c r="AE29"/>
  <c r="AD29"/>
  <c r="K29"/>
  <c r="J29"/>
  <c r="B29"/>
  <c r="AF28"/>
  <c r="AE28"/>
  <c r="AD28"/>
  <c r="K28"/>
  <c r="J28"/>
  <c r="B28"/>
  <c r="AF27"/>
  <c r="AE27"/>
  <c r="AD27"/>
  <c r="K27"/>
  <c r="J27"/>
  <c r="B27"/>
  <c r="AF26"/>
  <c r="AE26"/>
  <c r="AD26"/>
  <c r="K26"/>
  <c r="J26"/>
  <c r="B26"/>
  <c r="AF25"/>
  <c r="AE25"/>
  <c r="AD25"/>
  <c r="K25"/>
  <c r="B25"/>
  <c r="AF24"/>
  <c r="AE24"/>
  <c r="AD24"/>
  <c r="K24"/>
  <c r="J24"/>
  <c r="B24"/>
  <c r="AF23"/>
  <c r="AE23"/>
  <c r="AD23"/>
  <c r="K23"/>
  <c r="J23"/>
  <c r="B23"/>
  <c r="AF22"/>
  <c r="AE22"/>
  <c r="AD22"/>
  <c r="K22"/>
  <c r="J22"/>
  <c r="B22"/>
  <c r="AF21"/>
  <c r="AE21"/>
  <c r="AD21"/>
  <c r="K21"/>
  <c r="J21"/>
  <c r="B21"/>
  <c r="AF20"/>
  <c r="AE20"/>
  <c r="AD20"/>
  <c r="K20"/>
  <c r="J20"/>
  <c r="B20"/>
  <c r="AF19"/>
  <c r="AE19"/>
  <c r="AD19"/>
  <c r="K19"/>
  <c r="J19"/>
  <c r="B19"/>
  <c r="AF18"/>
  <c r="AE18"/>
  <c r="AD18"/>
  <c r="K18"/>
  <c r="J18"/>
  <c r="B18"/>
  <c r="AF17"/>
  <c r="AE17"/>
  <c r="AD17"/>
  <c r="K17"/>
  <c r="J17"/>
  <c r="B17"/>
  <c r="AF16"/>
  <c r="AE16"/>
  <c r="AD16"/>
  <c r="O16"/>
  <c r="K16"/>
  <c r="J16"/>
  <c r="B16"/>
  <c r="AF15"/>
  <c r="AE15"/>
  <c r="AD15"/>
  <c r="O15"/>
  <c r="K15"/>
  <c r="J15"/>
  <c r="B15"/>
  <c r="AF14"/>
  <c r="AE14"/>
  <c r="AD14"/>
  <c r="O14"/>
  <c r="K14"/>
  <c r="J14"/>
  <c r="B14"/>
  <c r="AF13"/>
  <c r="AE13"/>
  <c r="AD13"/>
  <c r="O13"/>
  <c r="K13"/>
  <c r="J13"/>
  <c r="B13"/>
  <c r="AF12"/>
  <c r="AE12"/>
  <c r="AD12"/>
  <c r="O12"/>
  <c r="K12"/>
  <c r="J12"/>
  <c r="B12"/>
  <c r="AF11"/>
  <c r="AE11"/>
  <c r="AD11"/>
  <c r="O11"/>
  <c r="K11"/>
  <c r="J11"/>
  <c r="B11"/>
  <c r="AF10"/>
  <c r="AE10"/>
  <c r="AD10"/>
  <c r="K10"/>
  <c r="J10"/>
  <c r="B10"/>
  <c r="AF9"/>
  <c r="AE9"/>
  <c r="AD9"/>
  <c r="K9"/>
  <c r="J9"/>
  <c r="B9"/>
  <c r="AF8"/>
  <c r="AE8"/>
  <c r="AD8"/>
  <c r="K8"/>
  <c r="J8"/>
  <c r="B8"/>
  <c r="AF7"/>
  <c r="AE7"/>
  <c r="AD7"/>
  <c r="K7"/>
  <c r="J7"/>
  <c r="B7"/>
  <c r="AF6"/>
  <c r="AE6"/>
  <c r="AD6"/>
  <c r="J6"/>
  <c r="B6"/>
  <c r="AF5"/>
  <c r="AE5"/>
  <c r="AD5"/>
  <c r="K5"/>
  <c r="J5"/>
  <c r="B5"/>
  <c r="AD4"/>
  <c r="J4"/>
  <c r="K1"/>
  <c r="B1"/>
  <c r="G341" i="22"/>
  <c r="G340"/>
  <c r="G343" s="1"/>
  <c r="G328"/>
  <c r="F328"/>
  <c r="N327"/>
  <c r="H327"/>
  <c r="I327" s="1"/>
  <c r="H326"/>
  <c r="I326" s="1"/>
  <c r="H325"/>
  <c r="I325" s="1"/>
  <c r="H324"/>
  <c r="I324" s="1"/>
  <c r="H323"/>
  <c r="I323" s="1"/>
  <c r="H322"/>
  <c r="I322" s="1"/>
  <c r="H321"/>
  <c r="I321" s="1"/>
  <c r="H320"/>
  <c r="I320" s="1"/>
  <c r="H319"/>
  <c r="I319" s="1"/>
  <c r="H318"/>
  <c r="I318" s="1"/>
  <c r="H317"/>
  <c r="I317" s="1"/>
  <c r="H316"/>
  <c r="I316" s="1"/>
  <c r="H315"/>
  <c r="I315" s="1"/>
  <c r="N314"/>
  <c r="H314"/>
  <c r="I314" s="1"/>
  <c r="H313"/>
  <c r="I313" s="1"/>
  <c r="B313"/>
  <c r="B314" s="1"/>
  <c r="B315" s="1"/>
  <c r="B316" s="1"/>
  <c r="B317" s="1"/>
  <c r="B318" s="1"/>
  <c r="B319" s="1"/>
  <c r="B320" s="1"/>
  <c r="B321" s="1"/>
  <c r="B322" s="1"/>
  <c r="B323" s="1"/>
  <c r="B324" s="1"/>
  <c r="B325" s="1"/>
  <c r="B326" s="1"/>
  <c r="B327" s="1"/>
  <c r="H312"/>
  <c r="G296"/>
  <c r="F296"/>
  <c r="N295"/>
  <c r="H295"/>
  <c r="I295" s="1"/>
  <c r="H294"/>
  <c r="I294" s="1"/>
  <c r="H293"/>
  <c r="I293" s="1"/>
  <c r="H292"/>
  <c r="I292" s="1"/>
  <c r="H291"/>
  <c r="I291" s="1"/>
  <c r="H290"/>
  <c r="I290" s="1"/>
  <c r="H289"/>
  <c r="I289" s="1"/>
  <c r="H288"/>
  <c r="I288" s="1"/>
  <c r="H287"/>
  <c r="I287" s="1"/>
  <c r="H286"/>
  <c r="I286" s="1"/>
  <c r="H285"/>
  <c r="I285" s="1"/>
  <c r="H284"/>
  <c r="I284" s="1"/>
  <c r="N283"/>
  <c r="H283"/>
  <c r="I283" s="1"/>
  <c r="H282"/>
  <c r="I282" s="1"/>
  <c r="N281"/>
  <c r="H281"/>
  <c r="I281" s="1"/>
  <c r="I280"/>
  <c r="H280"/>
  <c r="B280"/>
  <c r="B281" s="1"/>
  <c r="B282" s="1"/>
  <c r="B283" s="1"/>
  <c r="B284" s="1"/>
  <c r="B285" s="1"/>
  <c r="B286" s="1"/>
  <c r="B287" s="1"/>
  <c r="B288" s="1"/>
  <c r="B289" s="1"/>
  <c r="B290" s="1"/>
  <c r="B291" s="1"/>
  <c r="B292" s="1"/>
  <c r="B293" s="1"/>
  <c r="B294" s="1"/>
  <c r="B295" s="1"/>
  <c r="H279"/>
  <c r="I264"/>
  <c r="G263"/>
  <c r="F263"/>
  <c r="H262"/>
  <c r="I262" s="1"/>
  <c r="H261"/>
  <c r="I261" s="1"/>
  <c r="H260"/>
  <c r="I260" s="1"/>
  <c r="H259"/>
  <c r="I259" s="1"/>
  <c r="H258"/>
  <c r="I258" s="1"/>
  <c r="H257"/>
  <c r="I257" s="1"/>
  <c r="H256"/>
  <c r="I256" s="1"/>
  <c r="H255"/>
  <c r="I255" s="1"/>
  <c r="H254"/>
  <c r="I254" s="1"/>
  <c r="H253"/>
  <c r="I253" s="1"/>
  <c r="H252"/>
  <c r="I252" s="1"/>
  <c r="H251"/>
  <c r="I251" s="1"/>
  <c r="N250"/>
  <c r="H250"/>
  <c r="I250" s="1"/>
  <c r="H249"/>
  <c r="I249" s="1"/>
  <c r="N248"/>
  <c r="H248"/>
  <c r="I248" s="1"/>
  <c r="H247"/>
  <c r="I247" s="1"/>
  <c r="B247"/>
  <c r="B248" s="1"/>
  <c r="B249" s="1"/>
  <c r="B250" s="1"/>
  <c r="B251" s="1"/>
  <c r="B252" s="1"/>
  <c r="B253" s="1"/>
  <c r="B254" s="1"/>
  <c r="B255" s="1"/>
  <c r="B256" s="1"/>
  <c r="B257" s="1"/>
  <c r="B258" s="1"/>
  <c r="B259" s="1"/>
  <c r="B260" s="1"/>
  <c r="B261" s="1"/>
  <c r="B262" s="1"/>
  <c r="H246"/>
  <c r="F372"/>
  <c r="F371"/>
  <c r="F370"/>
  <c r="F368"/>
  <c r="F365"/>
  <c r="F363"/>
  <c r="F361"/>
  <c r="F358"/>
  <c r="F357"/>
  <c r="F354"/>
  <c r="F353"/>
  <c r="F352"/>
  <c r="F351"/>
  <c r="F350"/>
  <c r="F349"/>
  <c r="F348"/>
  <c r="G228"/>
  <c r="F228"/>
  <c r="H227"/>
  <c r="I227" s="1"/>
  <c r="H226"/>
  <c r="I226" s="1"/>
  <c r="H225"/>
  <c r="I225" s="1"/>
  <c r="H224"/>
  <c r="I224" s="1"/>
  <c r="H223"/>
  <c r="I223" s="1"/>
  <c r="H222"/>
  <c r="I222" s="1"/>
  <c r="H221"/>
  <c r="I221" s="1"/>
  <c r="H220"/>
  <c r="I220" s="1"/>
  <c r="H219"/>
  <c r="I219" s="1"/>
  <c r="H218"/>
  <c r="I218" s="1"/>
  <c r="H217"/>
  <c r="I217" s="1"/>
  <c r="H216"/>
  <c r="I216" s="1"/>
  <c r="H215"/>
  <c r="I215" s="1"/>
  <c r="H214"/>
  <c r="I214" s="1"/>
  <c r="H213"/>
  <c r="I213" s="1"/>
  <c r="H212"/>
  <c r="I212" s="1"/>
  <c r="H211"/>
  <c r="I211" s="1"/>
  <c r="H210"/>
  <c r="I210" s="1"/>
  <c r="N209"/>
  <c r="H209"/>
  <c r="I209" s="1"/>
  <c r="H208"/>
  <c r="I208" s="1"/>
  <c r="H207"/>
  <c r="I207" s="1"/>
  <c r="H206"/>
  <c r="I206" s="1"/>
  <c r="N205"/>
  <c r="I205"/>
  <c r="J205" s="1"/>
  <c r="H204"/>
  <c r="I204" s="1"/>
  <c r="H203"/>
  <c r="I203" s="1"/>
  <c r="B203"/>
  <c r="B204" s="1"/>
  <c r="B205" s="1"/>
  <c r="B206" s="1"/>
  <c r="B207" s="1"/>
  <c r="B208" s="1"/>
  <c r="B209" s="1"/>
  <c r="B210" s="1"/>
  <c r="B211" s="1"/>
  <c r="B212" s="1"/>
  <c r="B213" s="1"/>
  <c r="B214" s="1"/>
  <c r="B215" s="1"/>
  <c r="B216" s="1"/>
  <c r="B217" s="1"/>
  <c r="B218" s="1"/>
  <c r="B219" s="1"/>
  <c r="B220" s="1"/>
  <c r="B221" s="1"/>
  <c r="B222" s="1"/>
  <c r="B223" s="1"/>
  <c r="B224" s="1"/>
  <c r="B225" s="1"/>
  <c r="B226" s="1"/>
  <c r="B227" s="1"/>
  <c r="H202"/>
  <c r="I202" s="1"/>
  <c r="G187"/>
  <c r="F187"/>
  <c r="H186"/>
  <c r="I186" s="1"/>
  <c r="H185"/>
  <c r="I185" s="1"/>
  <c r="H184"/>
  <c r="I184" s="1"/>
  <c r="H183"/>
  <c r="I183" s="1"/>
  <c r="H182"/>
  <c r="I182" s="1"/>
  <c r="H181"/>
  <c r="I181" s="1"/>
  <c r="H180"/>
  <c r="I180" s="1"/>
  <c r="H179"/>
  <c r="I179" s="1"/>
  <c r="H178"/>
  <c r="I178" s="1"/>
  <c r="H177"/>
  <c r="I177" s="1"/>
  <c r="H176"/>
  <c r="I176" s="1"/>
  <c r="H175"/>
  <c r="I175" s="1"/>
  <c r="P174"/>
  <c r="H174"/>
  <c r="I174" s="1"/>
  <c r="U58" s="1"/>
  <c r="U59" s="1"/>
  <c r="H173"/>
  <c r="I173" s="1"/>
  <c r="H172"/>
  <c r="I172" s="1"/>
  <c r="H171"/>
  <c r="I171" s="1"/>
  <c r="H170"/>
  <c r="I170" s="1"/>
  <c r="H169"/>
  <c r="I169" s="1"/>
  <c r="N168"/>
  <c r="H168"/>
  <c r="I168" s="1"/>
  <c r="H167"/>
  <c r="I167" s="1"/>
  <c r="H166"/>
  <c r="I166" s="1"/>
  <c r="H165"/>
  <c r="I165" s="1"/>
  <c r="N164"/>
  <c r="H164"/>
  <c r="I164" s="1"/>
  <c r="H163"/>
  <c r="I163" s="1"/>
  <c r="H162"/>
  <c r="I162" s="1"/>
  <c r="B162"/>
  <c r="B163" s="1"/>
  <c r="B164" s="1"/>
  <c r="B165" s="1"/>
  <c r="B166" s="1"/>
  <c r="B167" s="1"/>
  <c r="B168" s="1"/>
  <c r="B169" s="1"/>
  <c r="B170" s="1"/>
  <c r="B171" s="1"/>
  <c r="B172" s="1"/>
  <c r="B173" s="1"/>
  <c r="B174" s="1"/>
  <c r="B175" s="1"/>
  <c r="B176" s="1"/>
  <c r="B177" s="1"/>
  <c r="B178" s="1"/>
  <c r="B179" s="1"/>
  <c r="B180" s="1"/>
  <c r="B181" s="1"/>
  <c r="B182" s="1"/>
  <c r="B183" s="1"/>
  <c r="B184" s="1"/>
  <c r="B185" s="1"/>
  <c r="B186" s="1"/>
  <c r="H161"/>
  <c r="F145"/>
  <c r="H144"/>
  <c r="I144" s="1"/>
  <c r="H143"/>
  <c r="I143" s="1"/>
  <c r="H142"/>
  <c r="I142" s="1"/>
  <c r="H141"/>
  <c r="I141" s="1"/>
  <c r="H140"/>
  <c r="I140" s="1"/>
  <c r="H139"/>
  <c r="I139" s="1"/>
  <c r="H138"/>
  <c r="G138"/>
  <c r="G145" s="1"/>
  <c r="H137"/>
  <c r="I137" s="1"/>
  <c r="N137" s="1"/>
  <c r="H136"/>
  <c r="I136" s="1"/>
  <c r="N136" s="1"/>
  <c r="H135"/>
  <c r="I135" s="1"/>
  <c r="N135" s="1"/>
  <c r="H134"/>
  <c r="I134" s="1"/>
  <c r="N134" s="1"/>
  <c r="H133"/>
  <c r="I133" s="1"/>
  <c r="N133" s="1"/>
  <c r="H132"/>
  <c r="I132" s="1"/>
  <c r="N132" s="1"/>
  <c r="H131"/>
  <c r="I131" s="1"/>
  <c r="N131" s="1"/>
  <c r="H130"/>
  <c r="I130" s="1"/>
  <c r="N130" s="1"/>
  <c r="H129"/>
  <c r="I129" s="1"/>
  <c r="N129" s="1"/>
  <c r="N128"/>
  <c r="H128"/>
  <c r="I128" s="1"/>
  <c r="H127"/>
  <c r="I127" s="1"/>
  <c r="H126"/>
  <c r="I126" s="1"/>
  <c r="H125"/>
  <c r="I125" s="1"/>
  <c r="N124"/>
  <c r="H124"/>
  <c r="I124" s="1"/>
  <c r="H123"/>
  <c r="I123" s="1"/>
  <c r="N123" s="1"/>
  <c r="H122"/>
  <c r="I122" s="1"/>
  <c r="N122" s="1"/>
  <c r="B122"/>
  <c r="B123" s="1"/>
  <c r="B124" s="1"/>
  <c r="B125" s="1"/>
  <c r="B126" s="1"/>
  <c r="B127" s="1"/>
  <c r="B128" s="1"/>
  <c r="B129" s="1"/>
  <c r="B130" s="1"/>
  <c r="B131" s="1"/>
  <c r="B132" s="1"/>
  <c r="B133" s="1"/>
  <c r="B134" s="1"/>
  <c r="B135" s="1"/>
  <c r="B136" s="1"/>
  <c r="B137" s="1"/>
  <c r="B138" s="1"/>
  <c r="B139" s="1"/>
  <c r="B140" s="1"/>
  <c r="B141" s="1"/>
  <c r="B142" s="1"/>
  <c r="B143" s="1"/>
  <c r="B144" s="1"/>
  <c r="H121"/>
  <c r="G106"/>
  <c r="F106"/>
  <c r="H105"/>
  <c r="I105" s="1"/>
  <c r="N105" s="1"/>
  <c r="H104"/>
  <c r="I104" s="1"/>
  <c r="H103"/>
  <c r="I103" s="1"/>
  <c r="N103" s="1"/>
  <c r="H102"/>
  <c r="I102" s="1"/>
  <c r="H101"/>
  <c r="I101" s="1"/>
  <c r="H100"/>
  <c r="I100" s="1"/>
  <c r="N100" s="1"/>
  <c r="H99"/>
  <c r="I99" s="1"/>
  <c r="N99" s="1"/>
  <c r="H98"/>
  <c r="I98" s="1"/>
  <c r="H97"/>
  <c r="I97" s="1"/>
  <c r="P96"/>
  <c r="H96"/>
  <c r="I96" s="1"/>
  <c r="N96" s="1"/>
  <c r="H95"/>
  <c r="I95" s="1"/>
  <c r="N95" s="1"/>
  <c r="H94"/>
  <c r="I94" s="1"/>
  <c r="H93"/>
  <c r="I93" s="1"/>
  <c r="H92"/>
  <c r="I92" s="1"/>
  <c r="N92" s="1"/>
  <c r="H91"/>
  <c r="I91" s="1"/>
  <c r="N91" s="1"/>
  <c r="H90"/>
  <c r="I90" s="1"/>
  <c r="N89"/>
  <c r="H89"/>
  <c r="I89" s="1"/>
  <c r="H88"/>
  <c r="I88" s="1"/>
  <c r="H87"/>
  <c r="I87" s="1"/>
  <c r="H86"/>
  <c r="I86" s="1"/>
  <c r="N85"/>
  <c r="H85"/>
  <c r="I85" s="1"/>
  <c r="H84"/>
  <c r="I84" s="1"/>
  <c r="N84" s="1"/>
  <c r="H83"/>
  <c r="I83" s="1"/>
  <c r="N83" s="1"/>
  <c r="B83"/>
  <c r="B84" s="1"/>
  <c r="B85" s="1"/>
  <c r="B86" s="1"/>
  <c r="B87" s="1"/>
  <c r="B88" s="1"/>
  <c r="B89" s="1"/>
  <c r="B90" s="1"/>
  <c r="B91" s="1"/>
  <c r="B92" s="1"/>
  <c r="B93" s="1"/>
  <c r="B94" s="1"/>
  <c r="B95" s="1"/>
  <c r="B96" s="1"/>
  <c r="B97" s="1"/>
  <c r="B98" s="1"/>
  <c r="B99" s="1"/>
  <c r="B100" s="1"/>
  <c r="B101" s="1"/>
  <c r="B102" s="1"/>
  <c r="B103" s="1"/>
  <c r="B104" s="1"/>
  <c r="B105" s="1"/>
  <c r="H82"/>
  <c r="G68"/>
  <c r="G69" s="1"/>
  <c r="F68"/>
  <c r="H67"/>
  <c r="I67" s="1"/>
  <c r="H66"/>
  <c r="I66" s="1"/>
  <c r="H65"/>
  <c r="I65" s="1"/>
  <c r="H64"/>
  <c r="I64" s="1"/>
  <c r="H63"/>
  <c r="I63" s="1"/>
  <c r="H62"/>
  <c r="I62" s="1"/>
  <c r="H61"/>
  <c r="I61" s="1"/>
  <c r="H60"/>
  <c r="I60" s="1"/>
  <c r="R59"/>
  <c r="R60" s="1"/>
  <c r="R61" s="1"/>
  <c r="R63" s="1"/>
  <c r="H59"/>
  <c r="I59" s="1"/>
  <c r="H58"/>
  <c r="I58" s="1"/>
  <c r="H57"/>
  <c r="I57" s="1"/>
  <c r="H56"/>
  <c r="I56" s="1"/>
  <c r="H55"/>
  <c r="I55" s="1"/>
  <c r="H54"/>
  <c r="I54" s="1"/>
  <c r="H53"/>
  <c r="I53" s="1"/>
  <c r="H52"/>
  <c r="I52" s="1"/>
  <c r="N51"/>
  <c r="H51"/>
  <c r="I51" s="1"/>
  <c r="H50"/>
  <c r="I50" s="1"/>
  <c r="N50" s="1"/>
  <c r="H49"/>
  <c r="I49" s="1"/>
  <c r="N49" s="1"/>
  <c r="H48"/>
  <c r="I48" s="1"/>
  <c r="N48" s="1"/>
  <c r="N47"/>
  <c r="H47"/>
  <c r="I47" s="1"/>
  <c r="H46"/>
  <c r="I46" s="1"/>
  <c r="H45"/>
  <c r="I45" s="1"/>
  <c r="B45"/>
  <c r="B46" s="1"/>
  <c r="B47" s="1"/>
  <c r="B48" s="1"/>
  <c r="B49" s="1"/>
  <c r="B50" s="1"/>
  <c r="B51" s="1"/>
  <c r="B52" s="1"/>
  <c r="B53" s="1"/>
  <c r="B54" s="1"/>
  <c r="B55" s="1"/>
  <c r="B56" s="1"/>
  <c r="B57" s="1"/>
  <c r="B58" s="1"/>
  <c r="B59" s="1"/>
  <c r="B60" s="1"/>
  <c r="B61" s="1"/>
  <c r="B62" s="1"/>
  <c r="B63" s="1"/>
  <c r="B64" s="1"/>
  <c r="B65" s="1"/>
  <c r="B66" s="1"/>
  <c r="B67" s="1"/>
  <c r="H44"/>
  <c r="I44" s="1"/>
  <c r="E37"/>
  <c r="E36"/>
  <c r="E35"/>
  <c r="E34"/>
  <c r="E33"/>
  <c r="E32"/>
  <c r="F30"/>
  <c r="H29"/>
  <c r="I29" s="1"/>
  <c r="A29"/>
  <c r="H28"/>
  <c r="I28" s="1"/>
  <c r="A28"/>
  <c r="H27"/>
  <c r="I27" s="1"/>
  <c r="A27"/>
  <c r="H26"/>
  <c r="I26" s="1"/>
  <c r="A26"/>
  <c r="H25"/>
  <c r="I25" s="1"/>
  <c r="A25"/>
  <c r="H24"/>
  <c r="I24" s="1"/>
  <c r="A24"/>
  <c r="H23"/>
  <c r="I23" s="1"/>
  <c r="A23"/>
  <c r="H22"/>
  <c r="I22" s="1"/>
  <c r="A22"/>
  <c r="H21"/>
  <c r="I21" s="1"/>
  <c r="A21"/>
  <c r="H20"/>
  <c r="I20" s="1"/>
  <c r="A20"/>
  <c r="H19"/>
  <c r="I19" s="1"/>
  <c r="A19"/>
  <c r="H18"/>
  <c r="I18" s="1"/>
  <c r="A18"/>
  <c r="S17"/>
  <c r="H17"/>
  <c r="I17" s="1"/>
  <c r="A17"/>
  <c r="V16"/>
  <c r="H16"/>
  <c r="I16" s="1"/>
  <c r="A16"/>
  <c r="X15"/>
  <c r="W15"/>
  <c r="H15"/>
  <c r="I15" s="1"/>
  <c r="A15"/>
  <c r="X14"/>
  <c r="W14"/>
  <c r="H14"/>
  <c r="I14" s="1"/>
  <c r="A14"/>
  <c r="X13"/>
  <c r="W13"/>
  <c r="Q13"/>
  <c r="N13"/>
  <c r="H13"/>
  <c r="I13" s="1"/>
  <c r="A13"/>
  <c r="X12"/>
  <c r="W12"/>
  <c r="Q12"/>
  <c r="H12"/>
  <c r="I12" s="1"/>
  <c r="A12"/>
  <c r="X11"/>
  <c r="W11"/>
  <c r="Q11"/>
  <c r="H11"/>
  <c r="I11" s="1"/>
  <c r="A11"/>
  <c r="X10"/>
  <c r="W10"/>
  <c r="Q10"/>
  <c r="H10"/>
  <c r="I10" s="1"/>
  <c r="A10"/>
  <c r="X9"/>
  <c r="W9"/>
  <c r="Q9"/>
  <c r="H9"/>
  <c r="I9" s="1"/>
  <c r="A9"/>
  <c r="X8"/>
  <c r="W8"/>
  <c r="Q8"/>
  <c r="H8"/>
  <c r="I8" s="1"/>
  <c r="A8"/>
  <c r="X7"/>
  <c r="W7"/>
  <c r="H7"/>
  <c r="I7" s="1"/>
  <c r="B7"/>
  <c r="B8" s="1"/>
  <c r="B9" s="1"/>
  <c r="B10" s="1"/>
  <c r="B11" s="1"/>
  <c r="B12" s="1"/>
  <c r="B13" s="1"/>
  <c r="B14" s="1"/>
  <c r="B15" s="1"/>
  <c r="B16" s="1"/>
  <c r="B17" s="1"/>
  <c r="B18" s="1"/>
  <c r="B19" s="1"/>
  <c r="B20" s="1"/>
  <c r="B21" s="1"/>
  <c r="B22" s="1"/>
  <c r="B23" s="1"/>
  <c r="B24" s="1"/>
  <c r="B25" s="1"/>
  <c r="B26" s="1"/>
  <c r="B27" s="1"/>
  <c r="B28" s="1"/>
  <c r="B29" s="1"/>
  <c r="A7"/>
  <c r="X6"/>
  <c r="W6"/>
  <c r="H6"/>
  <c r="I6" s="1"/>
  <c r="A6"/>
  <c r="X5"/>
  <c r="W5"/>
  <c r="X4"/>
  <c r="W4"/>
  <c r="Y3"/>
  <c r="X3"/>
  <c r="O3233" i="33"/>
  <c r="O3232"/>
  <c r="O3231"/>
  <c r="O3230"/>
  <c r="O3229"/>
  <c r="O3228"/>
  <c r="O3227"/>
  <c r="O3226"/>
  <c r="O3225"/>
  <c r="O3224"/>
  <c r="O3223"/>
  <c r="O3222"/>
  <c r="O3221"/>
  <c r="O3220"/>
  <c r="O3219"/>
  <c r="O3218"/>
  <c r="O3217"/>
  <c r="O3216"/>
  <c r="O3215"/>
  <c r="O3214"/>
  <c r="O3213"/>
  <c r="O3212"/>
  <c r="O3211"/>
  <c r="O3210"/>
  <c r="O3209"/>
  <c r="O3208"/>
  <c r="O3207"/>
  <c r="O3206"/>
  <c r="O3205"/>
  <c r="O3204"/>
  <c r="O3203"/>
  <c r="O3202"/>
  <c r="O3201"/>
  <c r="O3200"/>
  <c r="O3199"/>
  <c r="O3198"/>
  <c r="O3197"/>
  <c r="O3196"/>
  <c r="O3195"/>
  <c r="O3194"/>
  <c r="O3193"/>
  <c r="O3192"/>
  <c r="O3191"/>
  <c r="O3190"/>
  <c r="O3189"/>
  <c r="O3188"/>
  <c r="O3187"/>
  <c r="O3186"/>
  <c r="O3185"/>
  <c r="O3184"/>
  <c r="O3183"/>
  <c r="O3182"/>
  <c r="O3181"/>
  <c r="O3180"/>
  <c r="O3179"/>
  <c r="O3178"/>
  <c r="O3177"/>
  <c r="O3176"/>
  <c r="O3175"/>
  <c r="O3174"/>
  <c r="O3173"/>
  <c r="O3172"/>
  <c r="O3171"/>
  <c r="O3170"/>
  <c r="O3169"/>
  <c r="O3168"/>
  <c r="O3167"/>
  <c r="O3166"/>
  <c r="O3165"/>
  <c r="O3164"/>
  <c r="O3163"/>
  <c r="O3162"/>
  <c r="O3161"/>
  <c r="O3160"/>
  <c r="O3159"/>
  <c r="O3158"/>
  <c r="O3157"/>
  <c r="O3156"/>
  <c r="O3155"/>
  <c r="O3154"/>
  <c r="O3153"/>
  <c r="O3152"/>
  <c r="O3151"/>
  <c r="O3150"/>
  <c r="O3149"/>
  <c r="O3148"/>
  <c r="O3147"/>
  <c r="O3146"/>
  <c r="O3145"/>
  <c r="O3144"/>
  <c r="O3143"/>
  <c r="O3142"/>
  <c r="O3141"/>
  <c r="O3140"/>
  <c r="O3139"/>
  <c r="O3138"/>
  <c r="O3137"/>
  <c r="O3136"/>
  <c r="O3135"/>
  <c r="O3134"/>
  <c r="O3133"/>
  <c r="O3132"/>
  <c r="O3131"/>
  <c r="O3130"/>
  <c r="O3129"/>
  <c r="O3128"/>
  <c r="O3127"/>
  <c r="O3126"/>
  <c r="O3125"/>
  <c r="O3124"/>
  <c r="I3124"/>
  <c r="O3123"/>
  <c r="I3123"/>
  <c r="O3122"/>
  <c r="I3122"/>
  <c r="O3121"/>
  <c r="I3121"/>
  <c r="O3120"/>
  <c r="I3120"/>
  <c r="O3119"/>
  <c r="I3119"/>
  <c r="O3118"/>
  <c r="I3118"/>
  <c r="O3117"/>
  <c r="I3117"/>
  <c r="O3116"/>
  <c r="I3116"/>
  <c r="O3115"/>
  <c r="I3115"/>
  <c r="O3114"/>
  <c r="I3114"/>
  <c r="O3113"/>
  <c r="I3113"/>
  <c r="O3112"/>
  <c r="I3112"/>
  <c r="O3111"/>
  <c r="I3111"/>
  <c r="O3110"/>
  <c r="I3110"/>
  <c r="O3109"/>
  <c r="F3109"/>
  <c r="O3108"/>
  <c r="F3108"/>
  <c r="O3107"/>
  <c r="F3107"/>
  <c r="O3106"/>
  <c r="F3106"/>
  <c r="O3105"/>
  <c r="F3105"/>
  <c r="O3104"/>
  <c r="F3104"/>
  <c r="O3103"/>
  <c r="F3103"/>
  <c r="O3102"/>
  <c r="F3102"/>
  <c r="O3101"/>
  <c r="F3101"/>
  <c r="O3100"/>
  <c r="F3100"/>
  <c r="O3099"/>
  <c r="F3099"/>
  <c r="O3098"/>
  <c r="F3098"/>
  <c r="O3097"/>
  <c r="F3097"/>
  <c r="O3096"/>
  <c r="F3096"/>
  <c r="O3095"/>
  <c r="F3095"/>
  <c r="O3094"/>
  <c r="F3094"/>
  <c r="O3093"/>
  <c r="F3093"/>
  <c r="O3092"/>
  <c r="F3092"/>
  <c r="O3091"/>
  <c r="F3091"/>
  <c r="O3090"/>
  <c r="F3090"/>
  <c r="O3089"/>
  <c r="F3089"/>
  <c r="O3088"/>
  <c r="F3088"/>
  <c r="O3087"/>
  <c r="F3087"/>
  <c r="O3086"/>
  <c r="F3086"/>
  <c r="O3085"/>
  <c r="F3085"/>
  <c r="O3084"/>
  <c r="F3084"/>
  <c r="O3083"/>
  <c r="F3083"/>
  <c r="O3082"/>
  <c r="F3082"/>
  <c r="O3081"/>
  <c r="F3081"/>
  <c r="O3080"/>
  <c r="F3080"/>
  <c r="O3079"/>
  <c r="F3079"/>
  <c r="O3078"/>
  <c r="F3078"/>
  <c r="O3077"/>
  <c r="F3077"/>
  <c r="O3076"/>
  <c r="F3076"/>
  <c r="O3075"/>
  <c r="F3075"/>
  <c r="O3074"/>
  <c r="F3074"/>
  <c r="O3073"/>
  <c r="F3073"/>
  <c r="O3072"/>
  <c r="F3072"/>
  <c r="O3071"/>
  <c r="F3071"/>
  <c r="O3070"/>
  <c r="F3070"/>
  <c r="O3069"/>
  <c r="F3069"/>
  <c r="O3068"/>
  <c r="F3068"/>
  <c r="O3067"/>
  <c r="F3067"/>
  <c r="O3066"/>
  <c r="F3066"/>
  <c r="O3065"/>
  <c r="F3065"/>
  <c r="O3064"/>
  <c r="F3064"/>
  <c r="O3063"/>
  <c r="F3063"/>
  <c r="O3062"/>
  <c r="F3062"/>
  <c r="O3061"/>
  <c r="F3061"/>
  <c r="O3060"/>
  <c r="F3060"/>
  <c r="O3059"/>
  <c r="F3059"/>
  <c r="O3058"/>
  <c r="F3058"/>
  <c r="O3057"/>
  <c r="F3057"/>
  <c r="O3056"/>
  <c r="F3056"/>
  <c r="O3055"/>
  <c r="F3055"/>
  <c r="O3054"/>
  <c r="F3054"/>
  <c r="O3053"/>
  <c r="F3053"/>
  <c r="O3052"/>
  <c r="F3052"/>
  <c r="O3051"/>
  <c r="F3051"/>
  <c r="O3050"/>
  <c r="F3050"/>
  <c r="O3049"/>
  <c r="F3049"/>
  <c r="O3048"/>
  <c r="F3048"/>
  <c r="O3047"/>
  <c r="F3047"/>
  <c r="O3046"/>
  <c r="F3046"/>
  <c r="O3045"/>
  <c r="F3045"/>
  <c r="O3044"/>
  <c r="F3044"/>
  <c r="O3043"/>
  <c r="F3043"/>
  <c r="O3042"/>
  <c r="F3042"/>
  <c r="O3041"/>
  <c r="F3041"/>
  <c r="O3040"/>
  <c r="F3040"/>
  <c r="O3039"/>
  <c r="F3039"/>
  <c r="O3038"/>
  <c r="F3038"/>
  <c r="O3037"/>
  <c r="F3037"/>
  <c r="O3036"/>
  <c r="F3036"/>
  <c r="O3035"/>
  <c r="F3035"/>
  <c r="O3034"/>
  <c r="F3034"/>
  <c r="O3033"/>
  <c r="F3033"/>
  <c r="O3032"/>
  <c r="F3032"/>
  <c r="O3031"/>
  <c r="F3031"/>
  <c r="O3030"/>
  <c r="F3030"/>
  <c r="O3029"/>
  <c r="F3029"/>
  <c r="O3028"/>
  <c r="F3028"/>
  <c r="O3027"/>
  <c r="F3027"/>
  <c r="O3026"/>
  <c r="F3026"/>
  <c r="O3025"/>
  <c r="F3025"/>
  <c r="O3024"/>
  <c r="F3024"/>
  <c r="O3023"/>
  <c r="F3023"/>
  <c r="O3022"/>
  <c r="F3022"/>
  <c r="O3021"/>
  <c r="F3021"/>
  <c r="O3020"/>
  <c r="F3020"/>
  <c r="O3019"/>
  <c r="F3019"/>
  <c r="O3018"/>
  <c r="F3018"/>
  <c r="O3017"/>
  <c r="F3017"/>
  <c r="O3016"/>
  <c r="F3016"/>
  <c r="O3015"/>
  <c r="F3015"/>
  <c r="O3014"/>
  <c r="F3014"/>
  <c r="O3013"/>
  <c r="F3013"/>
  <c r="O3012"/>
  <c r="F3012"/>
  <c r="O3011"/>
  <c r="F3011"/>
  <c r="O3010"/>
  <c r="F3010"/>
  <c r="O3009"/>
  <c r="F3009"/>
  <c r="O3008"/>
  <c r="F3008"/>
  <c r="O3007"/>
  <c r="F3007"/>
  <c r="O3006"/>
  <c r="F3006"/>
  <c r="O3005"/>
  <c r="F3005"/>
  <c r="O3004"/>
  <c r="F3004"/>
  <c r="O3003"/>
  <c r="F3003"/>
  <c r="O3002"/>
  <c r="F3002"/>
  <c r="O3001"/>
  <c r="F3001"/>
  <c r="O3000"/>
  <c r="F3000"/>
  <c r="O2999"/>
  <c r="F2999"/>
  <c r="O2998"/>
  <c r="F2998"/>
  <c r="O2997"/>
  <c r="F2997"/>
  <c r="O2996"/>
  <c r="F2996"/>
  <c r="O2995"/>
  <c r="F2995"/>
  <c r="O2994"/>
  <c r="F2994"/>
  <c r="O2993"/>
  <c r="F2993"/>
  <c r="O2992"/>
  <c r="F2992"/>
  <c r="O2991"/>
  <c r="F2991"/>
  <c r="O2990"/>
  <c r="F2990"/>
  <c r="O2989"/>
  <c r="F2989"/>
  <c r="O2988"/>
  <c r="F2988"/>
  <c r="O2987"/>
  <c r="F2987"/>
  <c r="O2986"/>
  <c r="F2986"/>
  <c r="O2985"/>
  <c r="F2985"/>
  <c r="O2984"/>
  <c r="F2984"/>
  <c r="O2983"/>
  <c r="F2983"/>
  <c r="O2982"/>
  <c r="F2982"/>
  <c r="O2981"/>
  <c r="F2981"/>
  <c r="O2980"/>
  <c r="F2980"/>
  <c r="O2979"/>
  <c r="F2979"/>
  <c r="O2978"/>
  <c r="F2978"/>
  <c r="O2977"/>
  <c r="F2977"/>
  <c r="O2976"/>
  <c r="F2976"/>
  <c r="O2975"/>
  <c r="F2975"/>
  <c r="O2974"/>
  <c r="F2974"/>
  <c r="O2973"/>
  <c r="F2973"/>
  <c r="O2972"/>
  <c r="F2972"/>
  <c r="O2971"/>
  <c r="F2971"/>
  <c r="O2970"/>
  <c r="F2970"/>
  <c r="O2969"/>
  <c r="F2969"/>
  <c r="O2968"/>
  <c r="F2968"/>
  <c r="O2967"/>
  <c r="F2967"/>
  <c r="O2966"/>
  <c r="F2966"/>
  <c r="O2965"/>
  <c r="F2965"/>
  <c r="O2964"/>
  <c r="F2964"/>
  <c r="O2963"/>
  <c r="F2963"/>
  <c r="O2962"/>
  <c r="F2962"/>
  <c r="O2961"/>
  <c r="F2961"/>
  <c r="O2960"/>
  <c r="F2960"/>
  <c r="O2959"/>
  <c r="F2959"/>
  <c r="O2958"/>
  <c r="F2958"/>
  <c r="O2957"/>
  <c r="F2957"/>
  <c r="O2956"/>
  <c r="F2956"/>
  <c r="O2955"/>
  <c r="F2955"/>
  <c r="O2954"/>
  <c r="F2954"/>
  <c r="O2953"/>
  <c r="F2953"/>
  <c r="O2952"/>
  <c r="F2952"/>
  <c r="O2951"/>
  <c r="F2951"/>
  <c r="O2950"/>
  <c r="F2950"/>
  <c r="O2949"/>
  <c r="F2949"/>
  <c r="O2948"/>
  <c r="F2948"/>
  <c r="O2947"/>
  <c r="F2947"/>
  <c r="O2946"/>
  <c r="F2946"/>
  <c r="O2945"/>
  <c r="F2945"/>
  <c r="O2944"/>
  <c r="F2944"/>
  <c r="O2943"/>
  <c r="F2943"/>
  <c r="O2942"/>
  <c r="F2942"/>
  <c r="O2941"/>
  <c r="F2941"/>
  <c r="O2940"/>
  <c r="F2940"/>
  <c r="O2939"/>
  <c r="F2939"/>
  <c r="O2938"/>
  <c r="F2938"/>
  <c r="O2937"/>
  <c r="F2937"/>
  <c r="O2936"/>
  <c r="F2936"/>
  <c r="O2935"/>
  <c r="F2935"/>
  <c r="O2934"/>
  <c r="F2934"/>
  <c r="O2933"/>
  <c r="F2933"/>
  <c r="O2932"/>
  <c r="F2932"/>
  <c r="O2931"/>
  <c r="F2931"/>
  <c r="O2930"/>
  <c r="F2930"/>
  <c r="O2929"/>
  <c r="F2929"/>
  <c r="O2928"/>
  <c r="F2928"/>
  <c r="O2927"/>
  <c r="F2927"/>
  <c r="O2926"/>
  <c r="F2926"/>
  <c r="O2925"/>
  <c r="F2925"/>
  <c r="O2924"/>
  <c r="F2924"/>
  <c r="O2923"/>
  <c r="F2923"/>
  <c r="O2922"/>
  <c r="F2922"/>
  <c r="O2921"/>
  <c r="F2921"/>
  <c r="O2920"/>
  <c r="F2920"/>
  <c r="O2919"/>
  <c r="F2919"/>
  <c r="O2918"/>
  <c r="F2918"/>
  <c r="O2917"/>
  <c r="F2917"/>
  <c r="O2916"/>
  <c r="F2916"/>
  <c r="O2915"/>
  <c r="F2915"/>
  <c r="O2914"/>
  <c r="F2914"/>
  <c r="O2913"/>
  <c r="F2913"/>
  <c r="O2912"/>
  <c r="F2912"/>
  <c r="O2911"/>
  <c r="F2911"/>
  <c r="O2910"/>
  <c r="F2910"/>
  <c r="O2909"/>
  <c r="F2909"/>
  <c r="O2908"/>
  <c r="F2908"/>
  <c r="O2907"/>
  <c r="F2907"/>
  <c r="O2906"/>
  <c r="F2906"/>
  <c r="O2905"/>
  <c r="F2905"/>
  <c r="O2904"/>
  <c r="F2904"/>
  <c r="O2903"/>
  <c r="F2903"/>
  <c r="O2902"/>
  <c r="F2902"/>
  <c r="O2901"/>
  <c r="F2901"/>
  <c r="O2900"/>
  <c r="F2900"/>
  <c r="O2899"/>
  <c r="F2899"/>
  <c r="O2898"/>
  <c r="F2898"/>
  <c r="O2897"/>
  <c r="F2897"/>
  <c r="O2896"/>
  <c r="F2896"/>
  <c r="O2895"/>
  <c r="F2895"/>
  <c r="O2894"/>
  <c r="F2894"/>
  <c r="O2893"/>
  <c r="F2893"/>
  <c r="O2892"/>
  <c r="F2892"/>
  <c r="O2891"/>
  <c r="F2891"/>
  <c r="O2890"/>
  <c r="F2890"/>
  <c r="O2889"/>
  <c r="F2889"/>
  <c r="O2888"/>
  <c r="F2888"/>
  <c r="O2887"/>
  <c r="F2887"/>
  <c r="O2886"/>
  <c r="F2886"/>
  <c r="O2885"/>
  <c r="F2885"/>
  <c r="O2884"/>
  <c r="F2884"/>
  <c r="O2883"/>
  <c r="F2883"/>
  <c r="O2882"/>
  <c r="F2882"/>
  <c r="O2881"/>
  <c r="F2881"/>
  <c r="O2880"/>
  <c r="F2880"/>
  <c r="O2879"/>
  <c r="F2879"/>
  <c r="O2878"/>
  <c r="F2878"/>
  <c r="O2877"/>
  <c r="F2877"/>
  <c r="O2876"/>
  <c r="F2876"/>
  <c r="O2875"/>
  <c r="F2875"/>
  <c r="O2874"/>
  <c r="F2874"/>
  <c r="O2873"/>
  <c r="F2873"/>
  <c r="O2872"/>
  <c r="F2872"/>
  <c r="O2871"/>
  <c r="F2871"/>
  <c r="O2870"/>
  <c r="F2870"/>
  <c r="O2869"/>
  <c r="F2869"/>
  <c r="O2868"/>
  <c r="F2868"/>
  <c r="O2867"/>
  <c r="F2867"/>
  <c r="O2866"/>
  <c r="F2866"/>
  <c r="O2865"/>
  <c r="F2865"/>
  <c r="O2864"/>
  <c r="F2864"/>
  <c r="O2863"/>
  <c r="F2863"/>
  <c r="O2862"/>
  <c r="F2862"/>
  <c r="O2861"/>
  <c r="F2861"/>
  <c r="O2860"/>
  <c r="F2860"/>
  <c r="O2859"/>
  <c r="F2859"/>
  <c r="O2858"/>
  <c r="F2858"/>
  <c r="O2857"/>
  <c r="F2857"/>
  <c r="O2856"/>
  <c r="F2856"/>
  <c r="O2855"/>
  <c r="F2855"/>
  <c r="O2854"/>
  <c r="F2854"/>
  <c r="O2853"/>
  <c r="F2853"/>
  <c r="O2852"/>
  <c r="F2852"/>
  <c r="O2851"/>
  <c r="F2851"/>
  <c r="O2850"/>
  <c r="F2850"/>
  <c r="O2849"/>
  <c r="F2849"/>
  <c r="O2848"/>
  <c r="F2848"/>
  <c r="O2847"/>
  <c r="F2847"/>
  <c r="O2846"/>
  <c r="F2846"/>
  <c r="O2845"/>
  <c r="F2845"/>
  <c r="O2844"/>
  <c r="F2844"/>
  <c r="O2843"/>
  <c r="F2843"/>
  <c r="O2842"/>
  <c r="F2842"/>
  <c r="O2841"/>
  <c r="F2841"/>
  <c r="O2840"/>
  <c r="F2840"/>
  <c r="O2839"/>
  <c r="F2839"/>
  <c r="O2838"/>
  <c r="F2838"/>
  <c r="O2837"/>
  <c r="F2837"/>
  <c r="O2836"/>
  <c r="F2836"/>
  <c r="O2835"/>
  <c r="F2835"/>
  <c r="O2834"/>
  <c r="F2834"/>
  <c r="O2833"/>
  <c r="F2833"/>
  <c r="O2832"/>
  <c r="F2832"/>
  <c r="O2831"/>
  <c r="F2831"/>
  <c r="O2830"/>
  <c r="F2830"/>
  <c r="O2829"/>
  <c r="F2829"/>
  <c r="O2828"/>
  <c r="F2828"/>
  <c r="O2827"/>
  <c r="F2827"/>
  <c r="O2826"/>
  <c r="F2826"/>
  <c r="O2825"/>
  <c r="F2825"/>
  <c r="O2824"/>
  <c r="F2824"/>
  <c r="O2823"/>
  <c r="F2823"/>
  <c r="O2822"/>
  <c r="F2822"/>
  <c r="O2821"/>
  <c r="F2821"/>
  <c r="O2820"/>
  <c r="F2820"/>
  <c r="O2819"/>
  <c r="F2819"/>
  <c r="O2818"/>
  <c r="F2818"/>
  <c r="O2817"/>
  <c r="F2817"/>
  <c r="O2816"/>
  <c r="F2816"/>
  <c r="O2815"/>
  <c r="F2815"/>
  <c r="O2814"/>
  <c r="F2814"/>
  <c r="O2813"/>
  <c r="F2813"/>
  <c r="O2812"/>
  <c r="F2812"/>
  <c r="O2811"/>
  <c r="F2811"/>
  <c r="O2810"/>
  <c r="F2810"/>
  <c r="O2809"/>
  <c r="F2809"/>
  <c r="O2808"/>
  <c r="F2808"/>
  <c r="O2807"/>
  <c r="F2807"/>
  <c r="O2806"/>
  <c r="F2806"/>
  <c r="O2805"/>
  <c r="F2805"/>
  <c r="O2804"/>
  <c r="F2804"/>
  <c r="O2803"/>
  <c r="F2803"/>
  <c r="O2802"/>
  <c r="F2802"/>
  <c r="O2801"/>
  <c r="F2801"/>
  <c r="O2800"/>
  <c r="F2800"/>
  <c r="O2799"/>
  <c r="F2799"/>
  <c r="O2798"/>
  <c r="F2798"/>
  <c r="O2797"/>
  <c r="F2797"/>
  <c r="O2796"/>
  <c r="F2796"/>
  <c r="O2795"/>
  <c r="F2795"/>
  <c r="O2794"/>
  <c r="F2794"/>
  <c r="O2793"/>
  <c r="F2793"/>
  <c r="O2792"/>
  <c r="F2792"/>
  <c r="O2791"/>
  <c r="F2791"/>
  <c r="O2790"/>
  <c r="F2790"/>
  <c r="O2789"/>
  <c r="F2789"/>
  <c r="O2788"/>
  <c r="F2788"/>
  <c r="O2787"/>
  <c r="F2787"/>
  <c r="O2786"/>
  <c r="F2786"/>
  <c r="O2785"/>
  <c r="F2785"/>
  <c r="O2784"/>
  <c r="F2784"/>
  <c r="O2783"/>
  <c r="F2783"/>
  <c r="O2782"/>
  <c r="F2782"/>
  <c r="O2781"/>
  <c r="F2781"/>
  <c r="O2780"/>
  <c r="F2780"/>
  <c r="O2779"/>
  <c r="F2779"/>
  <c r="O2778"/>
  <c r="F2778"/>
  <c r="O2777"/>
  <c r="F2777"/>
  <c r="O2776"/>
  <c r="F2776"/>
  <c r="O2775"/>
  <c r="F2775"/>
  <c r="O2774"/>
  <c r="F2774"/>
  <c r="O2773"/>
  <c r="F2773"/>
  <c r="O2772"/>
  <c r="F2772"/>
  <c r="O2771"/>
  <c r="F2771"/>
  <c r="O2770"/>
  <c r="F2770"/>
  <c r="O2769"/>
  <c r="F2769"/>
  <c r="O2768"/>
  <c r="F2768"/>
  <c r="O2767"/>
  <c r="F2767"/>
  <c r="O2766"/>
  <c r="F2766"/>
  <c r="O2765"/>
  <c r="F2765"/>
  <c r="O2764"/>
  <c r="F2764"/>
  <c r="O2763"/>
  <c r="F2763"/>
  <c r="O2762"/>
  <c r="F2762"/>
  <c r="O2761"/>
  <c r="F2761"/>
  <c r="O2760"/>
  <c r="F2760"/>
  <c r="O2759"/>
  <c r="F2759"/>
  <c r="O2758"/>
  <c r="F2758"/>
  <c r="O2757"/>
  <c r="F2757"/>
  <c r="O2756"/>
  <c r="F2756"/>
  <c r="O2755"/>
  <c r="F2755"/>
  <c r="O2754"/>
  <c r="F2754"/>
  <c r="O2753"/>
  <c r="F2753"/>
  <c r="O2752"/>
  <c r="F2752"/>
  <c r="O2751"/>
  <c r="F2751"/>
  <c r="O2750"/>
  <c r="F2750"/>
  <c r="O2749"/>
  <c r="F2749"/>
  <c r="O2748"/>
  <c r="F2748"/>
  <c r="O2747"/>
  <c r="F2747"/>
  <c r="O2746"/>
  <c r="F2746"/>
  <c r="O2745"/>
  <c r="F2745"/>
  <c r="O2744"/>
  <c r="F2744"/>
  <c r="O2743"/>
  <c r="F2743"/>
  <c r="O2742"/>
  <c r="F2742"/>
  <c r="O2741"/>
  <c r="F2741"/>
  <c r="O2740"/>
  <c r="F2740"/>
  <c r="O2739"/>
  <c r="F2739"/>
  <c r="O2738"/>
  <c r="F2738"/>
  <c r="O2737"/>
  <c r="F2737"/>
  <c r="O2736"/>
  <c r="F2736"/>
  <c r="O2735"/>
  <c r="F2735"/>
  <c r="O2734"/>
  <c r="F2734"/>
  <c r="O2733"/>
  <c r="F2733"/>
  <c r="O2732"/>
  <c r="F2732"/>
  <c r="O2731"/>
  <c r="F2731"/>
  <c r="O2730"/>
  <c r="F2730"/>
  <c r="O2729"/>
  <c r="F2729"/>
  <c r="O2728"/>
  <c r="F2728"/>
  <c r="O2727"/>
  <c r="F2727"/>
  <c r="O2726"/>
  <c r="F2726"/>
  <c r="O2725"/>
  <c r="F2725"/>
  <c r="O2724"/>
  <c r="F2724"/>
  <c r="O2723"/>
  <c r="F2723"/>
  <c r="O2722"/>
  <c r="F2722"/>
  <c r="O2721"/>
  <c r="F2721"/>
  <c r="O2720"/>
  <c r="F2720"/>
  <c r="O2719"/>
  <c r="F2719"/>
  <c r="O2718"/>
  <c r="F2718"/>
  <c r="O2717"/>
  <c r="F2717"/>
  <c r="O2716"/>
  <c r="F2716"/>
  <c r="O2715"/>
  <c r="F2715"/>
  <c r="O2714"/>
  <c r="F2714"/>
  <c r="O2713"/>
  <c r="F2713"/>
  <c r="O2712"/>
  <c r="F2712"/>
  <c r="O2711"/>
  <c r="F2711"/>
  <c r="O2710"/>
  <c r="F2710"/>
  <c r="O2709"/>
  <c r="F2709"/>
  <c r="O2708"/>
  <c r="F2708"/>
  <c r="O2707"/>
  <c r="F2707"/>
  <c r="O2706"/>
  <c r="F2706"/>
  <c r="O2705"/>
  <c r="F2705"/>
  <c r="O2704"/>
  <c r="F2704"/>
  <c r="O2703"/>
  <c r="F2703"/>
  <c r="O2702"/>
  <c r="F2702"/>
  <c r="O2701"/>
  <c r="F2701"/>
  <c r="O2700"/>
  <c r="F2700"/>
  <c r="O2699"/>
  <c r="F2699"/>
  <c r="O2698"/>
  <c r="F2698"/>
  <c r="O2697"/>
  <c r="F2697"/>
  <c r="O2696"/>
  <c r="F2696"/>
  <c r="O2695"/>
  <c r="F2695"/>
  <c r="O2694"/>
  <c r="F2694"/>
  <c r="O2693"/>
  <c r="F2693"/>
  <c r="O2692"/>
  <c r="F2692"/>
  <c r="O2691"/>
  <c r="F2691"/>
  <c r="O2690"/>
  <c r="F2690"/>
  <c r="O2689"/>
  <c r="F2689"/>
  <c r="O2688"/>
  <c r="F2688"/>
  <c r="O2687"/>
  <c r="F2687"/>
  <c r="O2686"/>
  <c r="F2686"/>
  <c r="O2685"/>
  <c r="F2685"/>
  <c r="O2684"/>
  <c r="F2684"/>
  <c r="O2683"/>
  <c r="F2683"/>
  <c r="O2682"/>
  <c r="F2682"/>
  <c r="O2681"/>
  <c r="F2681"/>
  <c r="O2680"/>
  <c r="F2680"/>
  <c r="O2679"/>
  <c r="F2679"/>
  <c r="O2678"/>
  <c r="F2678"/>
  <c r="O2677"/>
  <c r="F2677"/>
  <c r="O2676"/>
  <c r="F2676"/>
  <c r="O2675"/>
  <c r="F2675"/>
  <c r="O2674"/>
  <c r="F2674"/>
  <c r="O2673"/>
  <c r="F2673"/>
  <c r="O2672"/>
  <c r="F2672"/>
  <c r="O2671"/>
  <c r="F2671"/>
  <c r="O2670"/>
  <c r="F2670"/>
  <c r="O2669"/>
  <c r="F2669"/>
  <c r="O2668"/>
  <c r="F2668"/>
  <c r="O2667"/>
  <c r="F2667"/>
  <c r="O2666"/>
  <c r="F2666"/>
  <c r="O2665"/>
  <c r="F2665"/>
  <c r="O2664"/>
  <c r="F2664"/>
  <c r="O2663"/>
  <c r="F2663"/>
  <c r="O2662"/>
  <c r="F2662"/>
  <c r="O2661"/>
  <c r="F2661"/>
  <c r="O2660"/>
  <c r="F2660"/>
  <c r="O2659"/>
  <c r="F2659"/>
  <c r="O2658"/>
  <c r="F2658"/>
  <c r="O2657"/>
  <c r="F2657"/>
  <c r="O2656"/>
  <c r="F2656"/>
  <c r="O2655"/>
  <c r="F2655"/>
  <c r="O2654"/>
  <c r="F2654"/>
  <c r="O2653"/>
  <c r="F2653"/>
  <c r="O2652"/>
  <c r="F2652"/>
  <c r="O2651"/>
  <c r="F2651"/>
  <c r="O2650"/>
  <c r="F2650"/>
  <c r="O2649"/>
  <c r="F2649"/>
  <c r="O2648"/>
  <c r="F2648"/>
  <c r="O2647"/>
  <c r="F2647"/>
  <c r="O2646"/>
  <c r="F2646"/>
  <c r="O2645"/>
  <c r="F2645"/>
  <c r="O2644"/>
  <c r="F2644"/>
  <c r="O2643"/>
  <c r="F2643"/>
  <c r="O2642"/>
  <c r="F2642"/>
  <c r="O2641"/>
  <c r="F2641"/>
  <c r="O2640"/>
  <c r="F2640"/>
  <c r="O2639"/>
  <c r="F2639"/>
  <c r="O2638"/>
  <c r="F2638"/>
  <c r="O2637"/>
  <c r="F2637"/>
  <c r="O2636"/>
  <c r="J2636"/>
  <c r="I2636"/>
  <c r="F2636"/>
  <c r="O2635"/>
  <c r="J2635"/>
  <c r="I2635"/>
  <c r="F2635"/>
  <c r="O2634"/>
  <c r="J2634"/>
  <c r="I2634"/>
  <c r="F2634"/>
  <c r="O2633"/>
  <c r="J2633"/>
  <c r="I2633"/>
  <c r="F2633"/>
  <c r="O2632"/>
  <c r="J2632"/>
  <c r="I2632"/>
  <c r="F2632"/>
  <c r="O2631"/>
  <c r="J2631"/>
  <c r="I2631"/>
  <c r="F2631"/>
  <c r="O2630"/>
  <c r="J2630"/>
  <c r="I2630"/>
  <c r="F2630"/>
  <c r="O2629"/>
  <c r="J2629"/>
  <c r="I2629"/>
  <c r="F2629"/>
  <c r="O2628"/>
  <c r="J2628"/>
  <c r="I2628"/>
  <c r="F2628"/>
  <c r="O2627"/>
  <c r="J2627"/>
  <c r="I2627"/>
  <c r="F2627"/>
  <c r="O2626"/>
  <c r="J2626"/>
  <c r="I2626"/>
  <c r="F2626"/>
  <c r="O2625"/>
  <c r="J2625"/>
  <c r="I2625"/>
  <c r="F2625"/>
  <c r="O2624"/>
  <c r="J2624"/>
  <c r="I2624"/>
  <c r="F2624"/>
  <c r="O2623"/>
  <c r="J2623"/>
  <c r="I2623"/>
  <c r="F2623"/>
  <c r="O2622"/>
  <c r="J2622"/>
  <c r="I2622"/>
  <c r="F2622"/>
  <c r="O2621"/>
  <c r="J2621"/>
  <c r="I2621"/>
  <c r="F2621"/>
  <c r="O2620"/>
  <c r="J2620"/>
  <c r="I2620"/>
  <c r="F2620"/>
  <c r="O2619"/>
  <c r="J2619"/>
  <c r="I2619"/>
  <c r="F2619"/>
  <c r="O2618"/>
  <c r="J2618"/>
  <c r="I2618"/>
  <c r="F2618"/>
  <c r="O2617"/>
  <c r="J2617"/>
  <c r="I2617"/>
  <c r="F2617"/>
  <c r="O2616"/>
  <c r="J2616"/>
  <c r="I2616"/>
  <c r="F2616"/>
  <c r="O2615"/>
  <c r="J2615"/>
  <c r="I2615"/>
  <c r="F2615"/>
  <c r="O2614"/>
  <c r="J2614"/>
  <c r="I2614"/>
  <c r="F2614"/>
  <c r="O2613"/>
  <c r="J2613"/>
  <c r="I2613"/>
  <c r="F2613"/>
  <c r="O2612"/>
  <c r="J2612"/>
  <c r="I2612"/>
  <c r="F2612"/>
  <c r="O2611"/>
  <c r="J2611"/>
  <c r="I2611"/>
  <c r="F2611"/>
  <c r="O2610"/>
  <c r="J2610"/>
  <c r="I2610"/>
  <c r="F2610"/>
  <c r="O2609"/>
  <c r="J2609"/>
  <c r="I2609"/>
  <c r="F2609"/>
  <c r="O2608"/>
  <c r="J2608"/>
  <c r="I2608"/>
  <c r="F2608"/>
  <c r="O2607"/>
  <c r="J2607"/>
  <c r="I2607"/>
  <c r="F2607"/>
  <c r="O2606"/>
  <c r="J2606"/>
  <c r="I2606"/>
  <c r="F2606"/>
  <c r="O2605"/>
  <c r="J2605"/>
  <c r="I2605"/>
  <c r="F2605"/>
  <c r="O2604"/>
  <c r="J2604"/>
  <c r="I2604"/>
  <c r="F2604"/>
  <c r="O2603"/>
  <c r="J2603"/>
  <c r="I2603"/>
  <c r="F2603"/>
  <c r="O2602"/>
  <c r="J2602"/>
  <c r="I2602"/>
  <c r="F2602"/>
  <c r="O2601"/>
  <c r="J2601"/>
  <c r="I2601"/>
  <c r="F2601"/>
  <c r="O2600"/>
  <c r="J2600"/>
  <c r="I2600"/>
  <c r="F2600"/>
  <c r="O2599"/>
  <c r="J2599"/>
  <c r="I2599"/>
  <c r="F2599"/>
  <c r="O2598"/>
  <c r="J2598"/>
  <c r="I2598"/>
  <c r="F2598"/>
  <c r="O2597"/>
  <c r="J2597"/>
  <c r="I2597"/>
  <c r="F2597"/>
  <c r="O2596"/>
  <c r="J2596"/>
  <c r="I2596"/>
  <c r="F2596"/>
  <c r="O2595"/>
  <c r="J2595"/>
  <c r="I2595"/>
  <c r="F2595"/>
  <c r="O2594"/>
  <c r="J2594"/>
  <c r="I2594"/>
  <c r="F2594"/>
  <c r="O2593"/>
  <c r="J2593"/>
  <c r="I2593"/>
  <c r="F2593"/>
  <c r="O2592"/>
  <c r="J2592"/>
  <c r="I2592"/>
  <c r="F2592"/>
  <c r="O2591"/>
  <c r="J2591"/>
  <c r="I2591"/>
  <c r="F2591"/>
  <c r="O2590"/>
  <c r="J2590"/>
  <c r="I2590"/>
  <c r="F2590"/>
  <c r="O2589"/>
  <c r="J2589"/>
  <c r="I2589"/>
  <c r="F2589"/>
  <c r="O2588"/>
  <c r="J2588"/>
  <c r="I2588"/>
  <c r="F2588"/>
  <c r="O2587"/>
  <c r="J2587"/>
  <c r="I2587"/>
  <c r="F2587"/>
  <c r="O2586"/>
  <c r="J2586"/>
  <c r="I2586"/>
  <c r="F2586"/>
  <c r="O2585"/>
  <c r="J2585"/>
  <c r="I2585"/>
  <c r="F2585"/>
  <c r="O2584"/>
  <c r="J2584"/>
  <c r="I2584"/>
  <c r="F2584"/>
  <c r="O2583"/>
  <c r="J2583"/>
  <c r="I2583"/>
  <c r="F2583"/>
  <c r="O2582"/>
  <c r="J2582"/>
  <c r="I2582"/>
  <c r="F2582"/>
  <c r="O2581"/>
  <c r="J2581"/>
  <c r="I2581"/>
  <c r="F2581"/>
  <c r="O2580"/>
  <c r="J2580"/>
  <c r="I2580"/>
  <c r="F2580"/>
  <c r="O2579"/>
  <c r="J2579"/>
  <c r="I2579"/>
  <c r="F2579"/>
  <c r="O2578"/>
  <c r="J2578"/>
  <c r="I2578"/>
  <c r="F2578"/>
  <c r="O2577"/>
  <c r="J2577"/>
  <c r="I2577"/>
  <c r="F2577"/>
  <c r="O2576"/>
  <c r="J2576"/>
  <c r="I2576"/>
  <c r="F2576"/>
  <c r="O2575"/>
  <c r="J2575"/>
  <c r="I2575"/>
  <c r="F2575"/>
  <c r="O2574"/>
  <c r="J2574"/>
  <c r="I2574"/>
  <c r="F2574"/>
  <c r="O2573"/>
  <c r="J2573"/>
  <c r="I2573"/>
  <c r="F2573"/>
  <c r="O2572"/>
  <c r="J2572"/>
  <c r="I2572"/>
  <c r="F2572"/>
  <c r="O2571"/>
  <c r="J2571"/>
  <c r="I2571"/>
  <c r="F2571"/>
  <c r="O2570"/>
  <c r="J2570"/>
  <c r="I2570"/>
  <c r="F2570"/>
  <c r="O2569"/>
  <c r="J2569"/>
  <c r="I2569"/>
  <c r="F2569"/>
  <c r="O2568"/>
  <c r="J2568"/>
  <c r="I2568"/>
  <c r="F2568"/>
  <c r="O2567"/>
  <c r="J2567"/>
  <c r="I2567"/>
  <c r="F2567"/>
  <c r="O2566"/>
  <c r="J2566"/>
  <c r="I2566"/>
  <c r="F2566"/>
  <c r="O2565"/>
  <c r="J2565"/>
  <c r="I2565"/>
  <c r="F2565"/>
  <c r="O2564"/>
  <c r="J2564"/>
  <c r="I2564"/>
  <c r="F2564"/>
  <c r="O2563"/>
  <c r="J2563"/>
  <c r="I2563"/>
  <c r="F2563"/>
  <c r="O2562"/>
  <c r="J2562"/>
  <c r="I2562"/>
  <c r="F2562"/>
  <c r="O2561"/>
  <c r="J2561"/>
  <c r="I2561"/>
  <c r="F2561"/>
  <c r="O2560"/>
  <c r="J2560"/>
  <c r="I2560"/>
  <c r="F2560"/>
  <c r="O2559"/>
  <c r="J2559"/>
  <c r="I2559"/>
  <c r="F2559"/>
  <c r="O2558"/>
  <c r="J2558"/>
  <c r="I2558"/>
  <c r="F2558"/>
  <c r="O2557"/>
  <c r="J2557"/>
  <c r="I2557"/>
  <c r="F2557"/>
  <c r="O2556"/>
  <c r="J2556"/>
  <c r="I2556"/>
  <c r="F2556"/>
  <c r="O2555"/>
  <c r="J2555"/>
  <c r="I2555"/>
  <c r="F2555"/>
  <c r="O2554"/>
  <c r="J2554"/>
  <c r="I2554"/>
  <c r="F2554"/>
  <c r="O2553"/>
  <c r="J2553"/>
  <c r="I2553"/>
  <c r="F2553"/>
  <c r="O2552"/>
  <c r="J2552"/>
  <c r="I2552"/>
  <c r="F2552"/>
  <c r="O2551"/>
  <c r="J2551"/>
  <c r="I2551"/>
  <c r="F2551"/>
  <c r="O2550"/>
  <c r="J2550"/>
  <c r="I2550"/>
  <c r="F2550"/>
  <c r="O2549"/>
  <c r="J2549"/>
  <c r="I2549"/>
  <c r="F2549"/>
  <c r="O2548"/>
  <c r="J2548"/>
  <c r="I2548"/>
  <c r="F2548"/>
  <c r="O2547"/>
  <c r="J2547"/>
  <c r="I2547"/>
  <c r="F2547"/>
  <c r="O2546"/>
  <c r="J2546"/>
  <c r="I2546"/>
  <c r="F2546"/>
  <c r="O2545"/>
  <c r="J2545"/>
  <c r="I2545"/>
  <c r="F2545"/>
  <c r="O2544"/>
  <c r="J2544"/>
  <c r="I2544"/>
  <c r="F2544"/>
  <c r="O2543"/>
  <c r="J2543"/>
  <c r="I2543"/>
  <c r="F2543"/>
  <c r="O2542"/>
  <c r="J2542"/>
  <c r="I2542"/>
  <c r="F2542"/>
  <c r="O2541"/>
  <c r="J2541"/>
  <c r="I2541"/>
  <c r="F2541"/>
  <c r="O2540"/>
  <c r="J2540"/>
  <c r="I2540"/>
  <c r="F2540"/>
  <c r="O2539"/>
  <c r="J2539"/>
  <c r="I2539"/>
  <c r="F2539"/>
  <c r="O2538"/>
  <c r="J2538"/>
  <c r="I2538"/>
  <c r="F2538"/>
  <c r="O2537"/>
  <c r="J2537"/>
  <c r="I2537"/>
  <c r="F2537"/>
  <c r="O2536"/>
  <c r="J2536"/>
  <c r="I2536"/>
  <c r="F2536"/>
  <c r="O2535"/>
  <c r="J2535"/>
  <c r="I2535"/>
  <c r="F2535"/>
  <c r="O2534"/>
  <c r="J2534"/>
  <c r="I2534"/>
  <c r="F2534"/>
  <c r="O2533"/>
  <c r="J2533"/>
  <c r="I2533"/>
  <c r="F2533"/>
  <c r="O2532"/>
  <c r="J2532"/>
  <c r="I2532"/>
  <c r="F2532"/>
  <c r="O2531"/>
  <c r="J2531"/>
  <c r="I2531"/>
  <c r="F2531"/>
  <c r="O2530"/>
  <c r="J2530"/>
  <c r="I2530"/>
  <c r="F2530"/>
  <c r="B2530"/>
  <c r="O2529"/>
  <c r="J2529"/>
  <c r="I2529"/>
  <c r="F2529"/>
  <c r="B2529"/>
  <c r="O2528"/>
  <c r="J2528"/>
  <c r="I2528"/>
  <c r="F2528"/>
  <c r="B2528"/>
  <c r="O2527"/>
  <c r="J2527"/>
  <c r="I2527"/>
  <c r="F2527"/>
  <c r="B2527"/>
  <c r="O2526"/>
  <c r="J2526"/>
  <c r="I2526"/>
  <c r="F2526"/>
  <c r="B2526"/>
  <c r="O2525"/>
  <c r="J2525"/>
  <c r="I2525"/>
  <c r="F2525"/>
  <c r="B2525"/>
  <c r="O2524"/>
  <c r="J2524"/>
  <c r="I2524"/>
  <c r="F2524"/>
  <c r="B2524"/>
  <c r="O2523"/>
  <c r="J2523"/>
  <c r="I2523"/>
  <c r="F2523"/>
  <c r="B2523"/>
  <c r="O2522"/>
  <c r="J2522"/>
  <c r="I2522"/>
  <c r="F2522"/>
  <c r="B2522"/>
  <c r="O2521"/>
  <c r="J2521"/>
  <c r="I2521"/>
  <c r="F2521"/>
  <c r="B2521"/>
  <c r="O2520"/>
  <c r="J2520"/>
  <c r="I2520"/>
  <c r="F2520"/>
  <c r="B2520"/>
  <c r="O2519"/>
  <c r="J2519"/>
  <c r="I2519"/>
  <c r="F2519"/>
  <c r="B2519"/>
  <c r="O2518"/>
  <c r="J2518"/>
  <c r="I2518"/>
  <c r="F2518"/>
  <c r="B2518"/>
  <c r="O2517"/>
  <c r="J2517"/>
  <c r="I2517"/>
  <c r="F2517"/>
  <c r="B2517"/>
  <c r="O2516"/>
  <c r="J2516"/>
  <c r="I2516"/>
  <c r="F2516"/>
  <c r="B2516"/>
  <c r="O2515"/>
  <c r="J2515"/>
  <c r="I2515"/>
  <c r="F2515"/>
  <c r="B2515"/>
  <c r="O2514"/>
  <c r="J2514"/>
  <c r="I2514"/>
  <c r="F2514"/>
  <c r="B2514"/>
  <c r="O2513"/>
  <c r="J2513"/>
  <c r="I2513"/>
  <c r="F2513"/>
  <c r="B2513"/>
  <c r="O2512"/>
  <c r="J2512"/>
  <c r="I2512"/>
  <c r="F2512"/>
  <c r="B2512"/>
  <c r="O2511"/>
  <c r="J2511"/>
  <c r="I2511"/>
  <c r="F2511"/>
  <c r="B2511"/>
  <c r="O2510"/>
  <c r="J2510"/>
  <c r="I2510"/>
  <c r="F2510"/>
  <c r="B2510"/>
  <c r="O2509"/>
  <c r="J2509"/>
  <c r="I2509"/>
  <c r="F2509"/>
  <c r="B2509"/>
  <c r="O2508"/>
  <c r="J2508"/>
  <c r="I2508"/>
  <c r="F2508"/>
  <c r="B2508"/>
  <c r="O2507"/>
  <c r="J2507"/>
  <c r="I2507"/>
  <c r="F2507"/>
  <c r="B2507"/>
  <c r="O2506"/>
  <c r="J2506"/>
  <c r="I2506"/>
  <c r="F2506"/>
  <c r="B2506"/>
  <c r="O2505"/>
  <c r="J2505"/>
  <c r="I2505"/>
  <c r="F2505"/>
  <c r="B2505"/>
  <c r="O2504"/>
  <c r="J2504"/>
  <c r="I2504"/>
  <c r="F2504"/>
  <c r="B2504"/>
  <c r="O2503"/>
  <c r="J2503"/>
  <c r="I2503"/>
  <c r="F2503"/>
  <c r="B2503"/>
  <c r="O2502"/>
  <c r="J2502"/>
  <c r="I2502"/>
  <c r="F2502"/>
  <c r="B2502"/>
  <c r="O2501"/>
  <c r="J2501"/>
  <c r="I2501"/>
  <c r="F2501"/>
  <c r="B2501"/>
  <c r="O2500"/>
  <c r="J2500"/>
  <c r="I2500"/>
  <c r="F2500"/>
  <c r="B2500"/>
  <c r="O2499"/>
  <c r="J2499"/>
  <c r="I2499"/>
  <c r="F2499"/>
  <c r="B2499"/>
  <c r="O2498"/>
  <c r="J2498"/>
  <c r="I2498"/>
  <c r="F2498"/>
  <c r="B2498"/>
  <c r="O2497"/>
  <c r="J2497"/>
  <c r="I2497"/>
  <c r="F2497"/>
  <c r="B2497"/>
  <c r="O2496"/>
  <c r="J2496"/>
  <c r="I2496"/>
  <c r="F2496"/>
  <c r="B2496"/>
  <c r="O2495"/>
  <c r="J2495"/>
  <c r="I2495"/>
  <c r="F2495"/>
  <c r="B2495"/>
  <c r="O2494"/>
  <c r="J2494"/>
  <c r="I2494"/>
  <c r="F2494"/>
  <c r="B2494"/>
  <c r="O2493"/>
  <c r="J2493"/>
  <c r="I2493"/>
  <c r="F2493"/>
  <c r="B2493"/>
  <c r="O2492"/>
  <c r="J2492"/>
  <c r="I2492"/>
  <c r="F2492"/>
  <c r="B2492"/>
  <c r="O2491"/>
  <c r="J2491"/>
  <c r="I2491"/>
  <c r="F2491"/>
  <c r="B2491"/>
  <c r="O2490"/>
  <c r="J2490"/>
  <c r="I2490"/>
  <c r="F2490"/>
  <c r="B2490"/>
  <c r="O2489"/>
  <c r="J2489"/>
  <c r="I2489"/>
  <c r="F2489"/>
  <c r="B2489"/>
  <c r="O2488"/>
  <c r="J2488"/>
  <c r="I2488"/>
  <c r="F2488"/>
  <c r="B2488"/>
  <c r="O2487"/>
  <c r="J2487"/>
  <c r="I2487"/>
  <c r="F2487"/>
  <c r="B2487"/>
  <c r="O2486"/>
  <c r="J2486"/>
  <c r="I2486"/>
  <c r="F2486"/>
  <c r="B2486"/>
  <c r="O2485"/>
  <c r="J2485"/>
  <c r="I2485"/>
  <c r="F2485"/>
  <c r="B2485"/>
  <c r="O2484"/>
  <c r="J2484"/>
  <c r="I2484"/>
  <c r="F2484"/>
  <c r="B2484"/>
  <c r="O2483"/>
  <c r="J2483"/>
  <c r="I2483"/>
  <c r="F2483"/>
  <c r="B2483"/>
  <c r="O2482"/>
  <c r="J2482"/>
  <c r="I2482"/>
  <c r="F2482"/>
  <c r="B2482"/>
  <c r="O2481"/>
  <c r="J2481"/>
  <c r="I2481"/>
  <c r="F2481"/>
  <c r="B2481"/>
  <c r="O2480"/>
  <c r="J2480"/>
  <c r="I2480"/>
  <c r="F2480"/>
  <c r="B2480"/>
  <c r="O2479"/>
  <c r="J2479"/>
  <c r="I2479"/>
  <c r="F2479"/>
  <c r="B2479"/>
  <c r="O2478"/>
  <c r="J2478"/>
  <c r="I2478"/>
  <c r="F2478"/>
  <c r="B2478"/>
  <c r="O2477"/>
  <c r="J2477"/>
  <c r="I2477"/>
  <c r="F2477"/>
  <c r="B2477"/>
  <c r="O2476"/>
  <c r="J2476"/>
  <c r="I2476"/>
  <c r="F2476"/>
  <c r="B2476"/>
  <c r="O2475"/>
  <c r="J2475"/>
  <c r="I2475"/>
  <c r="F2475"/>
  <c r="B2475"/>
  <c r="O2474"/>
  <c r="J2474"/>
  <c r="I2474"/>
  <c r="F2474"/>
  <c r="B2474"/>
  <c r="O2473"/>
  <c r="J2473"/>
  <c r="I2473"/>
  <c r="F2473"/>
  <c r="B2473"/>
  <c r="O2472"/>
  <c r="J2472"/>
  <c r="I2472"/>
  <c r="F2472"/>
  <c r="B2472"/>
  <c r="O2471"/>
  <c r="J2471"/>
  <c r="I2471"/>
  <c r="F2471"/>
  <c r="B2471"/>
  <c r="O2470"/>
  <c r="J2470"/>
  <c r="I2470"/>
  <c r="F2470"/>
  <c r="B2470"/>
  <c r="O2469"/>
  <c r="J2469"/>
  <c r="I2469"/>
  <c r="F2469"/>
  <c r="B2469"/>
  <c r="O2468"/>
  <c r="J2468"/>
  <c r="I2468"/>
  <c r="F2468"/>
  <c r="B2468"/>
  <c r="O2467"/>
  <c r="J2467"/>
  <c r="I2467"/>
  <c r="F2467"/>
  <c r="B2467"/>
  <c r="O2466"/>
  <c r="J2466"/>
  <c r="I2466"/>
  <c r="F2466"/>
  <c r="B2466"/>
  <c r="O2465"/>
  <c r="J2465"/>
  <c r="I2465"/>
  <c r="F2465"/>
  <c r="B2465"/>
  <c r="O2464"/>
  <c r="J2464"/>
  <c r="I2464"/>
  <c r="F2464"/>
  <c r="B2464"/>
  <c r="O2463"/>
  <c r="J2463"/>
  <c r="I2463"/>
  <c r="F2463"/>
  <c r="B2463"/>
  <c r="O2462"/>
  <c r="J2462"/>
  <c r="I2462"/>
  <c r="F2462"/>
  <c r="B2462"/>
  <c r="O2461"/>
  <c r="J2461"/>
  <c r="I2461"/>
  <c r="F2461"/>
  <c r="B2461"/>
  <c r="O2460"/>
  <c r="J2460"/>
  <c r="I2460"/>
  <c r="F2460"/>
  <c r="B2460"/>
  <c r="O2459"/>
  <c r="J2459"/>
  <c r="I2459"/>
  <c r="F2459"/>
  <c r="B2459"/>
  <c r="O2458"/>
  <c r="J2458"/>
  <c r="I2458"/>
  <c r="F2458"/>
  <c r="B2458"/>
  <c r="O2457"/>
  <c r="J2457"/>
  <c r="I2457"/>
  <c r="F2457"/>
  <c r="B2457"/>
  <c r="O2456"/>
  <c r="J2456"/>
  <c r="I2456"/>
  <c r="F2456"/>
  <c r="B2456"/>
  <c r="O2455"/>
  <c r="J2455"/>
  <c r="I2455"/>
  <c r="F2455"/>
  <c r="B2455"/>
  <c r="O2454"/>
  <c r="J2454"/>
  <c r="I2454"/>
  <c r="F2454"/>
  <c r="B2454"/>
  <c r="O2453"/>
  <c r="J2453"/>
  <c r="I2453"/>
  <c r="F2453"/>
  <c r="B2453"/>
  <c r="O2452"/>
  <c r="J2452"/>
  <c r="I2452"/>
  <c r="F2452"/>
  <c r="B2452"/>
  <c r="O2451"/>
  <c r="J2451"/>
  <c r="I2451"/>
  <c r="F2451"/>
  <c r="B2451"/>
  <c r="O2450"/>
  <c r="J2450"/>
  <c r="I2450"/>
  <c r="F2450"/>
  <c r="B2450"/>
  <c r="O2449"/>
  <c r="J2449"/>
  <c r="I2449"/>
  <c r="F2449"/>
  <c r="B2449"/>
  <c r="O2448"/>
  <c r="J2448"/>
  <c r="I2448"/>
  <c r="F2448"/>
  <c r="B2448"/>
  <c r="O2447"/>
  <c r="J2447"/>
  <c r="I2447"/>
  <c r="F2447"/>
  <c r="B2447"/>
  <c r="O2446"/>
  <c r="J2446"/>
  <c r="I2446"/>
  <c r="F2446"/>
  <c r="B2446"/>
  <c r="O2445"/>
  <c r="J2445"/>
  <c r="I2445"/>
  <c r="F2445"/>
  <c r="B2445"/>
  <c r="O2444"/>
  <c r="J2444"/>
  <c r="I2444"/>
  <c r="F2444"/>
  <c r="B2444"/>
  <c r="O2443"/>
  <c r="J2443"/>
  <c r="I2443"/>
  <c r="F2443"/>
  <c r="B2443"/>
  <c r="O2442"/>
  <c r="J2442"/>
  <c r="I2442"/>
  <c r="F2442"/>
  <c r="B2442"/>
  <c r="O2441"/>
  <c r="J2441"/>
  <c r="I2441"/>
  <c r="F2441"/>
  <c r="B2441"/>
  <c r="O2440"/>
  <c r="J2440"/>
  <c r="I2440"/>
  <c r="F2440"/>
  <c r="B2440"/>
  <c r="O2439"/>
  <c r="J2439"/>
  <c r="I2439"/>
  <c r="F2439"/>
  <c r="B2439"/>
  <c r="O2438"/>
  <c r="J2438"/>
  <c r="I2438"/>
  <c r="F2438"/>
  <c r="B2438"/>
  <c r="O2437"/>
  <c r="J2437"/>
  <c r="I2437"/>
  <c r="F2437"/>
  <c r="B2437"/>
  <c r="O2436"/>
  <c r="J2436"/>
  <c r="I2436"/>
  <c r="F2436"/>
  <c r="B2436"/>
  <c r="O2435"/>
  <c r="J2435"/>
  <c r="I2435"/>
  <c r="F2435"/>
  <c r="B2435"/>
  <c r="O2434"/>
  <c r="J2434"/>
  <c r="I2434"/>
  <c r="F2434"/>
  <c r="B2434"/>
  <c r="O2433"/>
  <c r="J2433"/>
  <c r="I2433"/>
  <c r="F2433"/>
  <c r="B2433"/>
  <c r="O2432"/>
  <c r="J2432"/>
  <c r="I2432"/>
  <c r="F2432"/>
  <c r="B2432"/>
  <c r="O2431"/>
  <c r="J2431"/>
  <c r="I2431"/>
  <c r="F2431"/>
  <c r="B2431"/>
  <c r="O2430"/>
  <c r="J2430"/>
  <c r="I2430"/>
  <c r="F2430"/>
  <c r="B2430"/>
  <c r="O2429"/>
  <c r="J2429"/>
  <c r="I2429"/>
  <c r="F2429"/>
  <c r="B2429"/>
  <c r="O2428"/>
  <c r="J2428"/>
  <c r="I2428"/>
  <c r="F2428"/>
  <c r="B2428"/>
  <c r="O2427"/>
  <c r="J2427"/>
  <c r="I2427"/>
  <c r="F2427"/>
  <c r="B2427"/>
  <c r="O2426"/>
  <c r="J2426"/>
  <c r="I2426"/>
  <c r="F2426"/>
  <c r="B2426"/>
  <c r="O2425"/>
  <c r="J2425"/>
  <c r="I2425"/>
  <c r="F2425"/>
  <c r="B2425"/>
  <c r="O2424"/>
  <c r="J2424"/>
  <c r="I2424"/>
  <c r="F2424"/>
  <c r="B2424"/>
  <c r="O2423"/>
  <c r="J2423"/>
  <c r="I2423"/>
  <c r="F2423"/>
  <c r="B2423"/>
  <c r="O2422"/>
  <c r="J2422"/>
  <c r="I2422"/>
  <c r="F2422"/>
  <c r="B2422"/>
  <c r="O2421"/>
  <c r="J2421"/>
  <c r="I2421"/>
  <c r="F2421"/>
  <c r="B2421"/>
  <c r="O2420"/>
  <c r="J2420"/>
  <c r="I2420"/>
  <c r="F2420"/>
  <c r="B2420"/>
  <c r="O2419"/>
  <c r="J2419"/>
  <c r="I2419"/>
  <c r="F2419"/>
  <c r="B2419"/>
  <c r="O2418"/>
  <c r="J2418"/>
  <c r="I2418"/>
  <c r="F2418"/>
  <c r="B2418"/>
  <c r="O2417"/>
  <c r="J2417"/>
  <c r="I2417"/>
  <c r="F2417"/>
  <c r="B2417"/>
  <c r="O2416"/>
  <c r="J2416"/>
  <c r="I2416"/>
  <c r="F2416"/>
  <c r="B2416"/>
  <c r="O2415"/>
  <c r="J2415"/>
  <c r="I2415"/>
  <c r="F2415"/>
  <c r="B2415"/>
  <c r="O2414"/>
  <c r="J2414"/>
  <c r="I2414"/>
  <c r="F2414"/>
  <c r="B2414"/>
  <c r="O2413"/>
  <c r="J2413"/>
  <c r="I2413"/>
  <c r="F2413"/>
  <c r="B2413"/>
  <c r="O2412"/>
  <c r="J2412"/>
  <c r="I2412"/>
  <c r="F2412"/>
  <c r="B2412"/>
  <c r="O2411"/>
  <c r="J2411"/>
  <c r="I2411"/>
  <c r="F2411"/>
  <c r="B2411"/>
  <c r="O2410"/>
  <c r="J2410"/>
  <c r="I2410"/>
  <c r="F2410"/>
  <c r="B2410"/>
  <c r="O2409"/>
  <c r="J2409"/>
  <c r="I2409"/>
  <c r="F2409"/>
  <c r="B2409"/>
  <c r="O2408"/>
  <c r="J2408"/>
  <c r="I2408"/>
  <c r="F2408"/>
  <c r="B2408"/>
  <c r="O2407"/>
  <c r="J2407"/>
  <c r="I2407"/>
  <c r="F2407"/>
  <c r="B2407"/>
  <c r="O2406"/>
  <c r="J2406"/>
  <c r="I2406"/>
  <c r="F2406"/>
  <c r="B2406"/>
  <c r="O2405"/>
  <c r="J2405"/>
  <c r="I2405"/>
  <c r="F2405"/>
  <c r="B2405"/>
  <c r="O2404"/>
  <c r="J2404"/>
  <c r="I2404"/>
  <c r="F2404"/>
  <c r="B2404"/>
  <c r="O2403"/>
  <c r="J2403"/>
  <c r="I2403"/>
  <c r="F2403"/>
  <c r="B2403"/>
  <c r="O2402"/>
  <c r="J2402"/>
  <c r="I2402"/>
  <c r="F2402"/>
  <c r="B2402"/>
  <c r="O2401"/>
  <c r="J2401"/>
  <c r="I2401"/>
  <c r="F2401"/>
  <c r="B2401"/>
  <c r="O2400"/>
  <c r="J2400"/>
  <c r="I2400"/>
  <c r="F2400"/>
  <c r="B2400"/>
  <c r="O2399"/>
  <c r="J2399"/>
  <c r="I2399"/>
  <c r="F2399"/>
  <c r="B2399"/>
  <c r="O2398"/>
  <c r="J2398"/>
  <c r="I2398"/>
  <c r="F2398"/>
  <c r="B2398"/>
  <c r="O2397"/>
  <c r="J2397"/>
  <c r="I2397"/>
  <c r="F2397"/>
  <c r="B2397"/>
  <c r="O2396"/>
  <c r="J2396"/>
  <c r="I2396"/>
  <c r="F2396"/>
  <c r="B2396"/>
  <c r="O2395"/>
  <c r="J2395"/>
  <c r="I2395"/>
  <c r="F2395"/>
  <c r="B2395"/>
  <c r="O2394"/>
  <c r="J2394"/>
  <c r="I2394"/>
  <c r="F2394"/>
  <c r="B2394"/>
  <c r="O2393"/>
  <c r="J2393"/>
  <c r="I2393"/>
  <c r="F2393"/>
  <c r="B2393"/>
  <c r="O2392"/>
  <c r="J2392"/>
  <c r="I2392"/>
  <c r="F2392"/>
  <c r="B2392"/>
  <c r="O2391"/>
  <c r="J2391"/>
  <c r="I2391"/>
  <c r="F2391"/>
  <c r="B2391"/>
  <c r="O2390"/>
  <c r="J2390"/>
  <c r="I2390"/>
  <c r="F2390"/>
  <c r="B2390"/>
  <c r="O2389"/>
  <c r="J2389"/>
  <c r="I2389"/>
  <c r="F2389"/>
  <c r="B2389"/>
  <c r="O2388"/>
  <c r="J2388"/>
  <c r="I2388"/>
  <c r="F2388"/>
  <c r="B2388"/>
  <c r="O2387"/>
  <c r="J2387"/>
  <c r="I2387"/>
  <c r="F2387"/>
  <c r="B2387"/>
  <c r="O2386"/>
  <c r="J2386"/>
  <c r="I2386"/>
  <c r="F2386"/>
  <c r="B2386"/>
  <c r="O2385"/>
  <c r="J2385"/>
  <c r="I2385"/>
  <c r="F2385"/>
  <c r="B2385"/>
  <c r="O2384"/>
  <c r="J2384"/>
  <c r="I2384"/>
  <c r="F2384"/>
  <c r="B2384"/>
  <c r="O2383"/>
  <c r="J2383"/>
  <c r="I2383"/>
  <c r="F2383"/>
  <c r="B2383"/>
  <c r="O2382"/>
  <c r="J2382"/>
  <c r="I2382"/>
  <c r="F2382"/>
  <c r="B2382"/>
  <c r="O2381"/>
  <c r="J2381"/>
  <c r="I2381"/>
  <c r="F2381"/>
  <c r="B2381"/>
  <c r="O2380"/>
  <c r="J2380"/>
  <c r="I2380"/>
  <c r="F2380"/>
  <c r="B2380"/>
  <c r="O2379"/>
  <c r="J2379"/>
  <c r="I2379"/>
  <c r="F2379"/>
  <c r="B2379"/>
  <c r="O2378"/>
  <c r="J2378"/>
  <c r="I2378"/>
  <c r="F2378"/>
  <c r="B2378"/>
  <c r="O2377"/>
  <c r="J2377"/>
  <c r="I2377"/>
  <c r="F2377"/>
  <c r="B2377"/>
  <c r="O2376"/>
  <c r="J2376"/>
  <c r="I2376"/>
  <c r="F2376"/>
  <c r="B2376"/>
  <c r="O2375"/>
  <c r="J2375"/>
  <c r="I2375"/>
  <c r="F2375"/>
  <c r="B2375"/>
  <c r="O2374"/>
  <c r="J2374"/>
  <c r="I2374"/>
  <c r="F2374"/>
  <c r="B2374"/>
  <c r="O2373"/>
  <c r="J2373"/>
  <c r="I2373"/>
  <c r="F2373"/>
  <c r="B2373"/>
  <c r="O2372"/>
  <c r="J2372"/>
  <c r="I2372"/>
  <c r="F2372"/>
  <c r="B2372"/>
  <c r="O2371"/>
  <c r="J2371"/>
  <c r="I2371"/>
  <c r="F2371"/>
  <c r="B2371"/>
  <c r="O2370"/>
  <c r="J2370"/>
  <c r="I2370"/>
  <c r="F2370"/>
  <c r="B2370"/>
  <c r="O2369"/>
  <c r="J2369"/>
  <c r="I2369"/>
  <c r="F2369"/>
  <c r="B2369"/>
  <c r="O2368"/>
  <c r="J2368"/>
  <c r="I2368"/>
  <c r="F2368"/>
  <c r="B2368"/>
  <c r="O2367"/>
  <c r="J2367"/>
  <c r="I2367"/>
  <c r="F2367"/>
  <c r="B2367"/>
  <c r="O2366"/>
  <c r="J2366"/>
  <c r="I2366"/>
  <c r="F2366"/>
  <c r="B2366"/>
  <c r="O2365"/>
  <c r="J2365"/>
  <c r="I2365"/>
  <c r="F2365"/>
  <c r="B2365"/>
  <c r="O2364"/>
  <c r="J2364"/>
  <c r="I2364"/>
  <c r="F2364"/>
  <c r="B2364"/>
  <c r="O2363"/>
  <c r="J2363"/>
  <c r="I2363"/>
  <c r="F2363"/>
  <c r="B2363"/>
  <c r="O2362"/>
  <c r="J2362"/>
  <c r="I2362"/>
  <c r="F2362"/>
  <c r="B2362"/>
  <c r="O2361"/>
  <c r="J2361"/>
  <c r="I2361"/>
  <c r="F2361"/>
  <c r="B2361"/>
  <c r="O2360"/>
  <c r="J2360"/>
  <c r="I2360"/>
  <c r="F2360"/>
  <c r="B2360"/>
  <c r="O2359"/>
  <c r="J2359"/>
  <c r="I2359"/>
  <c r="F2359"/>
  <c r="B2359"/>
  <c r="O2358"/>
  <c r="J2358"/>
  <c r="I2358"/>
  <c r="F2358"/>
  <c r="B2358"/>
  <c r="O2357"/>
  <c r="J2357"/>
  <c r="I2357"/>
  <c r="F2357"/>
  <c r="B2357"/>
  <c r="O2356"/>
  <c r="J2356"/>
  <c r="I2356"/>
  <c r="F2356"/>
  <c r="B2356"/>
  <c r="O2355"/>
  <c r="J2355"/>
  <c r="I2355"/>
  <c r="F2355"/>
  <c r="B2355"/>
  <c r="O2354"/>
  <c r="J2354"/>
  <c r="I2354"/>
  <c r="F2354"/>
  <c r="B2354"/>
  <c r="O2353"/>
  <c r="J2353"/>
  <c r="I2353"/>
  <c r="F2353"/>
  <c r="B2353"/>
  <c r="O2352"/>
  <c r="J2352"/>
  <c r="I2352"/>
  <c r="F2352"/>
  <c r="B2352"/>
  <c r="O2351"/>
  <c r="J2351"/>
  <c r="I2351"/>
  <c r="F2351"/>
  <c r="B2351"/>
  <c r="O2350"/>
  <c r="J2350"/>
  <c r="I2350"/>
  <c r="F2350"/>
  <c r="B2350"/>
  <c r="O2349"/>
  <c r="J2349"/>
  <c r="I2349"/>
  <c r="F2349"/>
  <c r="B2349"/>
  <c r="O2348"/>
  <c r="J2348"/>
  <c r="I2348"/>
  <c r="F2348"/>
  <c r="B2348"/>
  <c r="O2347"/>
  <c r="J2347"/>
  <c r="I2347"/>
  <c r="F2347"/>
  <c r="B2347"/>
  <c r="O2346"/>
  <c r="J2346"/>
  <c r="I2346"/>
  <c r="F2346"/>
  <c r="B2346"/>
  <c r="O2345"/>
  <c r="J2345"/>
  <c r="I2345"/>
  <c r="F2345"/>
  <c r="B2345"/>
  <c r="O2344"/>
  <c r="J2344"/>
  <c r="I2344"/>
  <c r="F2344"/>
  <c r="B2344"/>
  <c r="O2343"/>
  <c r="J2343"/>
  <c r="I2343"/>
  <c r="F2343"/>
  <c r="B2343"/>
  <c r="O2342"/>
  <c r="J2342"/>
  <c r="I2342"/>
  <c r="F2342"/>
  <c r="B2342"/>
  <c r="O2341"/>
  <c r="J2341"/>
  <c r="I2341"/>
  <c r="F2341"/>
  <c r="B2341"/>
  <c r="O2340"/>
  <c r="J2340"/>
  <c r="I2340"/>
  <c r="F2340"/>
  <c r="B2340"/>
  <c r="O2339"/>
  <c r="J2339"/>
  <c r="I2339"/>
  <c r="F2339"/>
  <c r="B2339"/>
  <c r="O2338"/>
  <c r="J2338"/>
  <c r="I2338"/>
  <c r="F2338"/>
  <c r="B2338"/>
  <c r="O2337"/>
  <c r="J2337"/>
  <c r="I2337"/>
  <c r="F2337"/>
  <c r="B2337"/>
  <c r="O2336"/>
  <c r="J2336"/>
  <c r="I2336"/>
  <c r="F2336"/>
  <c r="B2336"/>
  <c r="O2335"/>
  <c r="J2335"/>
  <c r="I2335"/>
  <c r="F2335"/>
  <c r="B2335"/>
  <c r="O2334"/>
  <c r="J2334"/>
  <c r="I2334"/>
  <c r="F2334"/>
  <c r="B2334"/>
  <c r="O2333"/>
  <c r="J2333"/>
  <c r="I2333"/>
  <c r="F2333"/>
  <c r="B2333"/>
  <c r="O2332"/>
  <c r="J2332"/>
  <c r="I2332"/>
  <c r="F2332"/>
  <c r="B2332"/>
  <c r="O2331"/>
  <c r="J2331"/>
  <c r="I2331"/>
  <c r="F2331"/>
  <c r="B2331"/>
  <c r="O2330"/>
  <c r="J2330"/>
  <c r="I2330"/>
  <c r="F2330"/>
  <c r="B2330"/>
  <c r="O2329"/>
  <c r="J2329"/>
  <c r="I2329"/>
  <c r="F2329"/>
  <c r="B2329"/>
  <c r="O2328"/>
  <c r="J2328"/>
  <c r="I2328"/>
  <c r="F2328"/>
  <c r="B2328"/>
  <c r="O2327"/>
  <c r="J2327"/>
  <c r="I2327"/>
  <c r="F2327"/>
  <c r="B2327"/>
  <c r="O2326"/>
  <c r="J2326"/>
  <c r="I2326"/>
  <c r="F2326"/>
  <c r="B2326"/>
  <c r="O2325"/>
  <c r="J2325"/>
  <c r="I2325"/>
  <c r="F2325"/>
  <c r="B2325"/>
  <c r="O2324"/>
  <c r="J2324"/>
  <c r="I2324"/>
  <c r="F2324"/>
  <c r="B2324"/>
  <c r="O2323"/>
  <c r="J2323"/>
  <c r="I2323"/>
  <c r="F2323"/>
  <c r="B2323"/>
  <c r="O2322"/>
  <c r="J2322"/>
  <c r="I2322"/>
  <c r="F2322"/>
  <c r="B2322"/>
  <c r="O2321"/>
  <c r="J2321"/>
  <c r="I2321"/>
  <c r="F2321"/>
  <c r="B2321"/>
  <c r="O2320"/>
  <c r="J2320"/>
  <c r="I2320"/>
  <c r="F2320"/>
  <c r="B2320"/>
  <c r="O2319"/>
  <c r="J2319"/>
  <c r="I2319"/>
  <c r="F2319"/>
  <c r="B2319"/>
  <c r="O2318"/>
  <c r="J2318"/>
  <c r="I2318"/>
  <c r="F2318"/>
  <c r="B2318"/>
  <c r="O2317"/>
  <c r="J2317"/>
  <c r="I2317"/>
  <c r="F2317"/>
  <c r="B2317"/>
  <c r="O2316"/>
  <c r="J2316"/>
  <c r="I2316"/>
  <c r="F2316"/>
  <c r="B2316"/>
  <c r="O2315"/>
  <c r="J2315"/>
  <c r="I2315"/>
  <c r="F2315"/>
  <c r="B2315"/>
  <c r="O2314"/>
  <c r="J2314"/>
  <c r="I2314"/>
  <c r="F2314"/>
  <c r="B2314"/>
  <c r="O2313"/>
  <c r="J2313"/>
  <c r="I2313"/>
  <c r="F2313"/>
  <c r="B2313"/>
  <c r="O2312"/>
  <c r="J2312"/>
  <c r="I2312"/>
  <c r="F2312"/>
  <c r="B2312"/>
  <c r="O2311"/>
  <c r="J2311"/>
  <c r="I2311"/>
  <c r="F2311"/>
  <c r="B2311"/>
  <c r="O2310"/>
  <c r="J2310"/>
  <c r="I2310"/>
  <c r="F2310"/>
  <c r="B2310"/>
  <c r="O2309"/>
  <c r="J2309"/>
  <c r="I2309"/>
  <c r="F2309"/>
  <c r="B2309"/>
  <c r="O2308"/>
  <c r="J2308"/>
  <c r="I2308"/>
  <c r="F2308"/>
  <c r="B2308"/>
  <c r="O2307"/>
  <c r="J2307"/>
  <c r="I2307"/>
  <c r="F2307"/>
  <c r="B2307"/>
  <c r="O2306"/>
  <c r="J2306"/>
  <c r="I2306"/>
  <c r="F2306"/>
  <c r="B2306"/>
  <c r="O2305"/>
  <c r="J2305"/>
  <c r="I2305"/>
  <c r="F2305"/>
  <c r="B2305"/>
  <c r="O2304"/>
  <c r="J2304"/>
  <c r="I2304"/>
  <c r="F2304"/>
  <c r="B2304"/>
  <c r="O2303"/>
  <c r="J2303"/>
  <c r="I2303"/>
  <c r="F2303"/>
  <c r="B2303"/>
  <c r="O2302"/>
  <c r="J2302"/>
  <c r="I2302"/>
  <c r="F2302"/>
  <c r="B2302"/>
  <c r="O2301"/>
  <c r="J2301"/>
  <c r="I2301"/>
  <c r="P2301" s="1"/>
  <c r="F2301"/>
  <c r="B2301"/>
  <c r="O2300"/>
  <c r="J2300"/>
  <c r="I2300"/>
  <c r="P2300" s="1"/>
  <c r="F2300"/>
  <c r="B2300"/>
  <c r="O2299"/>
  <c r="J2299"/>
  <c r="I2299"/>
  <c r="P2299" s="1"/>
  <c r="F2299"/>
  <c r="B2299"/>
  <c r="O2298"/>
  <c r="J2298"/>
  <c r="I2298"/>
  <c r="P2298" s="1"/>
  <c r="F2298"/>
  <c r="B2298"/>
  <c r="O2297"/>
  <c r="J2297"/>
  <c r="I2297"/>
  <c r="P2297" s="1"/>
  <c r="F2297"/>
  <c r="B2297"/>
  <c r="O2296"/>
  <c r="J2296"/>
  <c r="I2296"/>
  <c r="P2296" s="1"/>
  <c r="F2296"/>
  <c r="B2296"/>
  <c r="O2295"/>
  <c r="J2295"/>
  <c r="I2295"/>
  <c r="P2295" s="1"/>
  <c r="F2295"/>
  <c r="B2295"/>
  <c r="O2294"/>
  <c r="J2294"/>
  <c r="I2294"/>
  <c r="P2294" s="1"/>
  <c r="F2294"/>
  <c r="B2294"/>
  <c r="O2293"/>
  <c r="J2293"/>
  <c r="I2293"/>
  <c r="P2293" s="1"/>
  <c r="F2293"/>
  <c r="B2293"/>
  <c r="O2292"/>
  <c r="J2292"/>
  <c r="I2292"/>
  <c r="P2292" s="1"/>
  <c r="F2292"/>
  <c r="B2292"/>
  <c r="O2291"/>
  <c r="J2291"/>
  <c r="I2291"/>
  <c r="P2291" s="1"/>
  <c r="F2291"/>
  <c r="B2291"/>
  <c r="O2290"/>
  <c r="J2290"/>
  <c r="I2290"/>
  <c r="P2290" s="1"/>
  <c r="F2290"/>
  <c r="B2290"/>
  <c r="O2289"/>
  <c r="J2289"/>
  <c r="I2289"/>
  <c r="P2289" s="1"/>
  <c r="F2289"/>
  <c r="B2289"/>
  <c r="O2288"/>
  <c r="J2288"/>
  <c r="I2288"/>
  <c r="P2288" s="1"/>
  <c r="F2288"/>
  <c r="B2288"/>
  <c r="O2287"/>
  <c r="J2287"/>
  <c r="I2287"/>
  <c r="P2287" s="1"/>
  <c r="F2287"/>
  <c r="B2287"/>
  <c r="O2286"/>
  <c r="J2286"/>
  <c r="I2286"/>
  <c r="P2286" s="1"/>
  <c r="F2286"/>
  <c r="B2286"/>
  <c r="O2285"/>
  <c r="J2285"/>
  <c r="I2285"/>
  <c r="P2285" s="1"/>
  <c r="F2285"/>
  <c r="B2285"/>
  <c r="O2284"/>
  <c r="J2284"/>
  <c r="I2284"/>
  <c r="P2284" s="1"/>
  <c r="F2284"/>
  <c r="B2284"/>
  <c r="O2283"/>
  <c r="J2283"/>
  <c r="I2283"/>
  <c r="P2283" s="1"/>
  <c r="F2283"/>
  <c r="B2283"/>
  <c r="O2282"/>
  <c r="J2282"/>
  <c r="I2282"/>
  <c r="P2282" s="1"/>
  <c r="F2282"/>
  <c r="B2282"/>
  <c r="O2281"/>
  <c r="J2281"/>
  <c r="I2281"/>
  <c r="P2281" s="1"/>
  <c r="F2281"/>
  <c r="B2281"/>
  <c r="O2280"/>
  <c r="J2280"/>
  <c r="I2280"/>
  <c r="P2280" s="1"/>
  <c r="F2280"/>
  <c r="B2280"/>
  <c r="O2279"/>
  <c r="J2279"/>
  <c r="I2279"/>
  <c r="P2279" s="1"/>
  <c r="F2279"/>
  <c r="B2279"/>
  <c r="O2278"/>
  <c r="J2278"/>
  <c r="I2278"/>
  <c r="P2278" s="1"/>
  <c r="F2278"/>
  <c r="B2278"/>
  <c r="O2277"/>
  <c r="J2277"/>
  <c r="I2277"/>
  <c r="P2277" s="1"/>
  <c r="F2277"/>
  <c r="B2277"/>
  <c r="O2276"/>
  <c r="J2276"/>
  <c r="I2276"/>
  <c r="P2276" s="1"/>
  <c r="F2276"/>
  <c r="B2276"/>
  <c r="O2275"/>
  <c r="J2275"/>
  <c r="I2275"/>
  <c r="P2275" s="1"/>
  <c r="F2275"/>
  <c r="B2275"/>
  <c r="O2274"/>
  <c r="J2274"/>
  <c r="I2274"/>
  <c r="P2274" s="1"/>
  <c r="F2274"/>
  <c r="B2274"/>
  <c r="O2273"/>
  <c r="J2273"/>
  <c r="I2273"/>
  <c r="P2273" s="1"/>
  <c r="F2273"/>
  <c r="B2273"/>
  <c r="O2272"/>
  <c r="J2272"/>
  <c r="I2272"/>
  <c r="P2272" s="1"/>
  <c r="F2272"/>
  <c r="B2272"/>
  <c r="O2271"/>
  <c r="J2271"/>
  <c r="I2271"/>
  <c r="P2271" s="1"/>
  <c r="F2271"/>
  <c r="B2271"/>
  <c r="O2270"/>
  <c r="J2270"/>
  <c r="I2270"/>
  <c r="P2270" s="1"/>
  <c r="F2270"/>
  <c r="B2270"/>
  <c r="O2269"/>
  <c r="J2269"/>
  <c r="I2269"/>
  <c r="P2269" s="1"/>
  <c r="F2269"/>
  <c r="B2269"/>
  <c r="O2268"/>
  <c r="J2268"/>
  <c r="I2268"/>
  <c r="P2268" s="1"/>
  <c r="F2268"/>
  <c r="B2268"/>
  <c r="O2267"/>
  <c r="J2267"/>
  <c r="I2267"/>
  <c r="P2267" s="1"/>
  <c r="F2267"/>
  <c r="B2267"/>
  <c r="O2266"/>
  <c r="J2266"/>
  <c r="I2266"/>
  <c r="P2266" s="1"/>
  <c r="F2266"/>
  <c r="B2266"/>
  <c r="O2265"/>
  <c r="J2265"/>
  <c r="I2265"/>
  <c r="P2265" s="1"/>
  <c r="F2265"/>
  <c r="B2265"/>
  <c r="O2264"/>
  <c r="J2264"/>
  <c r="I2264"/>
  <c r="P2264" s="1"/>
  <c r="F2264"/>
  <c r="B2264"/>
  <c r="O2263"/>
  <c r="J2263"/>
  <c r="I2263"/>
  <c r="P2263" s="1"/>
  <c r="F2263"/>
  <c r="B2263"/>
  <c r="O2262"/>
  <c r="J2262"/>
  <c r="I2262"/>
  <c r="P2262" s="1"/>
  <c r="F2262"/>
  <c r="B2262"/>
  <c r="O2261"/>
  <c r="J2261"/>
  <c r="I2261"/>
  <c r="P2261" s="1"/>
  <c r="F2261"/>
  <c r="B2261"/>
  <c r="O2260"/>
  <c r="J2260"/>
  <c r="I2260"/>
  <c r="P2260" s="1"/>
  <c r="F2260"/>
  <c r="B2260"/>
  <c r="O2259"/>
  <c r="J2259"/>
  <c r="I2259"/>
  <c r="P2259" s="1"/>
  <c r="F2259"/>
  <c r="B2259"/>
  <c r="O2258"/>
  <c r="J2258"/>
  <c r="I2258"/>
  <c r="P2258" s="1"/>
  <c r="F2258"/>
  <c r="B2258"/>
  <c r="O2257"/>
  <c r="J2257"/>
  <c r="I2257"/>
  <c r="P2257" s="1"/>
  <c r="F2257"/>
  <c r="B2257"/>
  <c r="O2256"/>
  <c r="J2256"/>
  <c r="I2256"/>
  <c r="P2256" s="1"/>
  <c r="F2256"/>
  <c r="B2256"/>
  <c r="O2255"/>
  <c r="J2255"/>
  <c r="I2255"/>
  <c r="P2255" s="1"/>
  <c r="F2255"/>
  <c r="B2255"/>
  <c r="O2254"/>
  <c r="J2254"/>
  <c r="I2254"/>
  <c r="P2254" s="1"/>
  <c r="F2254"/>
  <c r="B2254"/>
  <c r="O2253"/>
  <c r="J2253"/>
  <c r="I2253"/>
  <c r="P2253" s="1"/>
  <c r="F2253"/>
  <c r="B2253"/>
  <c r="O2252"/>
  <c r="J2252"/>
  <c r="I2252"/>
  <c r="P2252" s="1"/>
  <c r="F2252"/>
  <c r="B2252"/>
  <c r="O2251"/>
  <c r="J2251"/>
  <c r="I2251"/>
  <c r="P2251" s="1"/>
  <c r="F2251"/>
  <c r="B2251"/>
  <c r="O2250"/>
  <c r="J2250"/>
  <c r="I2250"/>
  <c r="P2250" s="1"/>
  <c r="F2250"/>
  <c r="B2250"/>
  <c r="O2249"/>
  <c r="J2249"/>
  <c r="I2249"/>
  <c r="P2249" s="1"/>
  <c r="F2249"/>
  <c r="B2249"/>
  <c r="O2248"/>
  <c r="J2248"/>
  <c r="I2248"/>
  <c r="P2248" s="1"/>
  <c r="F2248"/>
  <c r="B2248"/>
  <c r="O2247"/>
  <c r="J2247"/>
  <c r="I2247"/>
  <c r="P2247" s="1"/>
  <c r="F2247"/>
  <c r="B2247"/>
  <c r="O2246"/>
  <c r="J2246"/>
  <c r="I2246"/>
  <c r="P2246" s="1"/>
  <c r="F2246"/>
  <c r="B2246"/>
  <c r="O2245"/>
  <c r="J2245"/>
  <c r="I2245"/>
  <c r="P2245" s="1"/>
  <c r="F2245"/>
  <c r="B2245"/>
  <c r="O2244"/>
  <c r="J2244"/>
  <c r="I2244"/>
  <c r="P2244" s="1"/>
  <c r="F2244"/>
  <c r="B2244"/>
  <c r="O2243"/>
  <c r="J2243"/>
  <c r="I2243"/>
  <c r="P2243" s="1"/>
  <c r="F2243"/>
  <c r="B2243"/>
  <c r="O2242"/>
  <c r="J2242"/>
  <c r="I2242"/>
  <c r="P2242" s="1"/>
  <c r="F2242"/>
  <c r="B2242"/>
  <c r="O2241"/>
  <c r="J2241"/>
  <c r="I2241"/>
  <c r="P2241" s="1"/>
  <c r="F2241"/>
  <c r="B2241"/>
  <c r="O2240"/>
  <c r="J2240"/>
  <c r="I2240"/>
  <c r="P2240" s="1"/>
  <c r="F2240"/>
  <c r="B2240"/>
  <c r="O2239"/>
  <c r="J2239"/>
  <c r="I2239"/>
  <c r="P2239" s="1"/>
  <c r="F2239"/>
  <c r="B2239"/>
  <c r="O2238"/>
  <c r="J2238"/>
  <c r="I2238"/>
  <c r="P2238" s="1"/>
  <c r="F2238"/>
  <c r="B2238"/>
  <c r="O2237"/>
  <c r="J2237"/>
  <c r="I2237"/>
  <c r="P2237" s="1"/>
  <c r="F2237"/>
  <c r="B2237"/>
  <c r="O2236"/>
  <c r="J2236"/>
  <c r="I2236"/>
  <c r="P2236" s="1"/>
  <c r="F2236"/>
  <c r="B2236"/>
  <c r="O2235"/>
  <c r="J2235"/>
  <c r="I2235"/>
  <c r="P2235" s="1"/>
  <c r="F2235"/>
  <c r="B2235"/>
  <c r="O2234"/>
  <c r="J2234"/>
  <c r="I2234"/>
  <c r="P2234" s="1"/>
  <c r="F2234"/>
  <c r="B2234"/>
  <c r="O2233"/>
  <c r="J2233"/>
  <c r="I2233"/>
  <c r="P2233" s="1"/>
  <c r="F2233"/>
  <c r="B2233"/>
  <c r="O2232"/>
  <c r="J2232"/>
  <c r="I2232"/>
  <c r="P2232" s="1"/>
  <c r="F2232"/>
  <c r="B2232"/>
  <c r="O2231"/>
  <c r="J2231"/>
  <c r="I2231"/>
  <c r="P2231" s="1"/>
  <c r="F2231"/>
  <c r="B2231"/>
  <c r="O2230"/>
  <c r="J2230"/>
  <c r="I2230"/>
  <c r="P2230" s="1"/>
  <c r="F2230"/>
  <c r="B2230"/>
  <c r="O2229"/>
  <c r="J2229"/>
  <c r="I2229"/>
  <c r="P2229" s="1"/>
  <c r="F2229"/>
  <c r="B2229"/>
  <c r="O2228"/>
  <c r="J2228"/>
  <c r="I2228"/>
  <c r="P2228" s="1"/>
  <c r="F2228"/>
  <c r="B2228"/>
  <c r="O2227"/>
  <c r="J2227"/>
  <c r="I2227"/>
  <c r="P2227" s="1"/>
  <c r="F2227"/>
  <c r="B2227"/>
  <c r="O2226"/>
  <c r="J2226"/>
  <c r="I2226"/>
  <c r="P2226" s="1"/>
  <c r="F2226"/>
  <c r="B2226"/>
  <c r="O2225"/>
  <c r="J2225"/>
  <c r="I2225"/>
  <c r="P2225" s="1"/>
  <c r="F2225"/>
  <c r="B2225"/>
  <c r="O2224"/>
  <c r="J2224"/>
  <c r="I2224"/>
  <c r="P2224" s="1"/>
  <c r="F2224"/>
  <c r="B2224"/>
  <c r="O2223"/>
  <c r="J2223"/>
  <c r="I2223"/>
  <c r="P2223" s="1"/>
  <c r="F2223"/>
  <c r="B2223"/>
  <c r="O2222"/>
  <c r="J2222"/>
  <c r="I2222"/>
  <c r="P2222" s="1"/>
  <c r="F2222"/>
  <c r="B2222"/>
  <c r="O2221"/>
  <c r="J2221"/>
  <c r="I2221"/>
  <c r="P2221" s="1"/>
  <c r="F2221"/>
  <c r="B2221"/>
  <c r="O2220"/>
  <c r="J2220"/>
  <c r="I2220"/>
  <c r="P2220" s="1"/>
  <c r="F2220"/>
  <c r="B2220"/>
  <c r="O2219"/>
  <c r="J2219"/>
  <c r="I2219"/>
  <c r="P2219" s="1"/>
  <c r="F2219"/>
  <c r="B2219"/>
  <c r="O2218"/>
  <c r="J2218"/>
  <c r="I2218"/>
  <c r="P2218" s="1"/>
  <c r="F2218"/>
  <c r="B2218"/>
  <c r="O2217"/>
  <c r="J2217"/>
  <c r="I2217"/>
  <c r="P2217" s="1"/>
  <c r="F2217"/>
  <c r="B2217"/>
  <c r="O2216"/>
  <c r="J2216"/>
  <c r="I2216"/>
  <c r="P2216" s="1"/>
  <c r="F2216"/>
  <c r="B2216"/>
  <c r="O2215"/>
  <c r="J2215"/>
  <c r="I2215"/>
  <c r="P2215" s="1"/>
  <c r="F2215"/>
  <c r="B2215"/>
  <c r="O2214"/>
  <c r="J2214"/>
  <c r="I2214"/>
  <c r="P2214" s="1"/>
  <c r="F2214"/>
  <c r="B2214"/>
  <c r="O2213"/>
  <c r="J2213"/>
  <c r="I2213"/>
  <c r="P2213" s="1"/>
  <c r="F2213"/>
  <c r="B2213"/>
  <c r="O2212"/>
  <c r="J2212"/>
  <c r="I2212"/>
  <c r="P2212" s="1"/>
  <c r="F2212"/>
  <c r="B2212"/>
  <c r="O2211"/>
  <c r="J2211"/>
  <c r="I2211"/>
  <c r="P2211" s="1"/>
  <c r="F2211"/>
  <c r="B2211"/>
  <c r="O2210"/>
  <c r="J2210"/>
  <c r="I2210"/>
  <c r="P2210" s="1"/>
  <c r="F2210"/>
  <c r="B2210"/>
  <c r="O2209"/>
  <c r="J2209"/>
  <c r="I2209"/>
  <c r="P2209" s="1"/>
  <c r="F2209"/>
  <c r="B2209"/>
  <c r="O2208"/>
  <c r="J2208"/>
  <c r="I2208"/>
  <c r="P2208" s="1"/>
  <c r="F2208"/>
  <c r="B2208"/>
  <c r="O2207"/>
  <c r="J2207"/>
  <c r="I2207"/>
  <c r="P2207" s="1"/>
  <c r="F2207"/>
  <c r="B2207"/>
  <c r="O2206"/>
  <c r="J2206"/>
  <c r="I2206"/>
  <c r="P2206" s="1"/>
  <c r="F2206"/>
  <c r="B2206"/>
  <c r="O2205"/>
  <c r="J2205"/>
  <c r="I2205"/>
  <c r="P2205" s="1"/>
  <c r="F2205"/>
  <c r="B2205"/>
  <c r="O2204"/>
  <c r="J2204"/>
  <c r="I2204"/>
  <c r="P2204" s="1"/>
  <c r="F2204"/>
  <c r="B2204"/>
  <c r="O2203"/>
  <c r="J2203"/>
  <c r="I2203"/>
  <c r="P2203" s="1"/>
  <c r="F2203"/>
  <c r="B2203"/>
  <c r="O2202"/>
  <c r="J2202"/>
  <c r="I2202"/>
  <c r="P2202" s="1"/>
  <c r="F2202"/>
  <c r="B2202"/>
  <c r="O2201"/>
  <c r="J2201"/>
  <c r="I2201"/>
  <c r="P2201" s="1"/>
  <c r="F2201"/>
  <c r="B2201"/>
  <c r="O2200"/>
  <c r="J2200"/>
  <c r="I2200"/>
  <c r="P2200" s="1"/>
  <c r="F2200"/>
  <c r="B2200"/>
  <c r="O2199"/>
  <c r="J2199"/>
  <c r="I2199"/>
  <c r="P2199" s="1"/>
  <c r="F2199"/>
  <c r="B2199"/>
  <c r="O2198"/>
  <c r="J2198"/>
  <c r="I2198"/>
  <c r="P2198" s="1"/>
  <c r="F2198"/>
  <c r="B2198"/>
  <c r="O2197"/>
  <c r="J2197"/>
  <c r="I2197"/>
  <c r="P2197" s="1"/>
  <c r="F2197"/>
  <c r="B2197"/>
  <c r="O2196"/>
  <c r="J2196"/>
  <c r="I2196"/>
  <c r="P2196" s="1"/>
  <c r="F2196"/>
  <c r="B2196"/>
  <c r="O2195"/>
  <c r="J2195"/>
  <c r="I2195"/>
  <c r="P2195" s="1"/>
  <c r="F2195"/>
  <c r="B2195"/>
  <c r="O2194"/>
  <c r="J2194"/>
  <c r="I2194"/>
  <c r="P2194" s="1"/>
  <c r="F2194"/>
  <c r="B2194"/>
  <c r="O2193"/>
  <c r="J2193"/>
  <c r="I2193"/>
  <c r="P2193" s="1"/>
  <c r="F2193"/>
  <c r="B2193"/>
  <c r="O2192"/>
  <c r="J2192"/>
  <c r="I2192"/>
  <c r="P2192" s="1"/>
  <c r="F2192"/>
  <c r="B2192"/>
  <c r="O2191"/>
  <c r="J2191"/>
  <c r="I2191"/>
  <c r="P2191" s="1"/>
  <c r="F2191"/>
  <c r="B2191"/>
  <c r="O2190"/>
  <c r="J2190"/>
  <c r="I2190"/>
  <c r="P2190" s="1"/>
  <c r="F2190"/>
  <c r="B2190"/>
  <c r="O2189"/>
  <c r="J2189"/>
  <c r="I2189"/>
  <c r="P2189" s="1"/>
  <c r="F2189"/>
  <c r="B2189"/>
  <c r="O2188"/>
  <c r="J2188"/>
  <c r="I2188"/>
  <c r="P2188" s="1"/>
  <c r="F2188"/>
  <c r="B2188"/>
  <c r="O2187"/>
  <c r="J2187"/>
  <c r="I2187"/>
  <c r="P2187" s="1"/>
  <c r="F2187"/>
  <c r="B2187"/>
  <c r="O2186"/>
  <c r="J2186"/>
  <c r="I2186"/>
  <c r="P2186" s="1"/>
  <c r="F2186"/>
  <c r="B2186"/>
  <c r="O2185"/>
  <c r="J2185"/>
  <c r="I2185"/>
  <c r="P2185" s="1"/>
  <c r="F2185"/>
  <c r="B2185"/>
  <c r="O2184"/>
  <c r="J2184"/>
  <c r="I2184"/>
  <c r="P2184" s="1"/>
  <c r="F2184"/>
  <c r="B2184"/>
  <c r="O2183"/>
  <c r="J2183"/>
  <c r="I2183"/>
  <c r="P2183" s="1"/>
  <c r="F2183"/>
  <c r="B2183"/>
  <c r="O2182"/>
  <c r="J2182"/>
  <c r="I2182"/>
  <c r="P2182" s="1"/>
  <c r="F2182"/>
  <c r="B2182"/>
  <c r="O2181"/>
  <c r="J2181"/>
  <c r="I2181"/>
  <c r="P2181" s="1"/>
  <c r="F2181"/>
  <c r="B2181"/>
  <c r="O2180"/>
  <c r="J2180"/>
  <c r="I2180"/>
  <c r="P2180" s="1"/>
  <c r="F2180"/>
  <c r="B2180"/>
  <c r="O2179"/>
  <c r="J2179"/>
  <c r="I2179"/>
  <c r="P2179" s="1"/>
  <c r="F2179"/>
  <c r="B2179"/>
  <c r="O2178"/>
  <c r="J2178"/>
  <c r="I2178"/>
  <c r="P2178" s="1"/>
  <c r="F2178"/>
  <c r="B2178"/>
  <c r="O2177"/>
  <c r="J2177"/>
  <c r="I2177"/>
  <c r="P2177" s="1"/>
  <c r="F2177"/>
  <c r="B2177"/>
  <c r="O2176"/>
  <c r="J2176"/>
  <c r="I2176"/>
  <c r="P2176" s="1"/>
  <c r="F2176"/>
  <c r="B2176"/>
  <c r="O2175"/>
  <c r="J2175"/>
  <c r="I2175"/>
  <c r="P2175" s="1"/>
  <c r="F2175"/>
  <c r="B2175"/>
  <c r="O2174"/>
  <c r="J2174"/>
  <c r="I2174"/>
  <c r="P2174" s="1"/>
  <c r="F2174"/>
  <c r="B2174"/>
  <c r="O2173"/>
  <c r="J2173"/>
  <c r="I2173"/>
  <c r="P2173" s="1"/>
  <c r="F2173"/>
  <c r="B2173"/>
  <c r="O2172"/>
  <c r="J2172"/>
  <c r="I2172"/>
  <c r="P2172" s="1"/>
  <c r="F2172"/>
  <c r="B2172"/>
  <c r="O2171"/>
  <c r="J2171"/>
  <c r="I2171"/>
  <c r="P2171" s="1"/>
  <c r="F2171"/>
  <c r="B2171"/>
  <c r="O2170"/>
  <c r="J2170"/>
  <c r="I2170"/>
  <c r="P2170" s="1"/>
  <c r="F2170"/>
  <c r="B2170"/>
  <c r="O2169"/>
  <c r="J2169"/>
  <c r="I2169"/>
  <c r="P2169" s="1"/>
  <c r="F2169"/>
  <c r="B2169"/>
  <c r="O2168"/>
  <c r="J2168"/>
  <c r="I2168"/>
  <c r="P2168" s="1"/>
  <c r="F2168"/>
  <c r="B2168"/>
  <c r="O2167"/>
  <c r="J2167"/>
  <c r="I2167"/>
  <c r="P2167" s="1"/>
  <c r="F2167"/>
  <c r="B2167"/>
  <c r="O2166"/>
  <c r="J2166"/>
  <c r="I2166"/>
  <c r="P2166" s="1"/>
  <c r="F2166"/>
  <c r="B2166"/>
  <c r="O2165"/>
  <c r="J2165"/>
  <c r="I2165"/>
  <c r="P2165" s="1"/>
  <c r="F2165"/>
  <c r="B2165"/>
  <c r="O2164"/>
  <c r="J2164"/>
  <c r="I2164"/>
  <c r="P2164" s="1"/>
  <c r="F2164"/>
  <c r="B2164"/>
  <c r="O2163"/>
  <c r="J2163"/>
  <c r="I2163"/>
  <c r="P2163" s="1"/>
  <c r="F2163"/>
  <c r="B2163"/>
  <c r="O2162"/>
  <c r="J2162"/>
  <c r="I2162"/>
  <c r="P2162" s="1"/>
  <c r="F2162"/>
  <c r="B2162"/>
  <c r="O2161"/>
  <c r="J2161"/>
  <c r="I2161"/>
  <c r="P2161" s="1"/>
  <c r="F2161"/>
  <c r="B2161"/>
  <c r="O2160"/>
  <c r="J2160"/>
  <c r="I2160"/>
  <c r="P2160" s="1"/>
  <c r="F2160"/>
  <c r="B2160"/>
  <c r="O2159"/>
  <c r="J2159"/>
  <c r="I2159"/>
  <c r="P2159" s="1"/>
  <c r="F2159"/>
  <c r="B2159"/>
  <c r="O2158"/>
  <c r="J2158"/>
  <c r="I2158"/>
  <c r="P2158" s="1"/>
  <c r="F2158"/>
  <c r="B2158"/>
  <c r="O2157"/>
  <c r="J2157"/>
  <c r="I2157"/>
  <c r="P2157" s="1"/>
  <c r="F2157"/>
  <c r="B2157"/>
  <c r="O2156"/>
  <c r="J2156"/>
  <c r="I2156"/>
  <c r="P2156" s="1"/>
  <c r="F2156"/>
  <c r="B2156"/>
  <c r="O2155"/>
  <c r="J2155"/>
  <c r="I2155"/>
  <c r="P2155" s="1"/>
  <c r="F2155"/>
  <c r="B2155"/>
  <c r="O2154"/>
  <c r="J2154"/>
  <c r="I2154"/>
  <c r="P2154" s="1"/>
  <c r="F2154"/>
  <c r="B2154"/>
  <c r="O2153"/>
  <c r="J2153"/>
  <c r="I2153"/>
  <c r="P2153" s="1"/>
  <c r="F2153"/>
  <c r="B2153"/>
  <c r="O2152"/>
  <c r="J2152"/>
  <c r="I2152"/>
  <c r="P2152" s="1"/>
  <c r="F2152"/>
  <c r="B2152"/>
  <c r="O2151"/>
  <c r="J2151"/>
  <c r="I2151"/>
  <c r="P2151" s="1"/>
  <c r="F2151"/>
  <c r="B2151"/>
  <c r="O2150"/>
  <c r="J2150"/>
  <c r="I2150"/>
  <c r="P2150" s="1"/>
  <c r="F2150"/>
  <c r="B2150"/>
  <c r="O2149"/>
  <c r="J2149"/>
  <c r="I2149"/>
  <c r="P2149" s="1"/>
  <c r="F2149"/>
  <c r="B2149"/>
  <c r="O2148"/>
  <c r="J2148"/>
  <c r="I2148"/>
  <c r="P2148" s="1"/>
  <c r="F2148"/>
  <c r="B2148"/>
  <c r="O2147"/>
  <c r="J2147"/>
  <c r="I2147"/>
  <c r="P2147" s="1"/>
  <c r="F2147"/>
  <c r="B2147"/>
  <c r="O2146"/>
  <c r="J2146"/>
  <c r="I2146"/>
  <c r="P2146" s="1"/>
  <c r="F2146"/>
  <c r="B2146"/>
  <c r="O2145"/>
  <c r="J2145"/>
  <c r="I2145"/>
  <c r="P2145" s="1"/>
  <c r="F2145"/>
  <c r="B2145"/>
  <c r="O2144"/>
  <c r="J2144"/>
  <c r="I2144"/>
  <c r="P2144" s="1"/>
  <c r="F2144"/>
  <c r="B2144"/>
  <c r="O2143"/>
  <c r="J2143"/>
  <c r="I2143"/>
  <c r="P2143" s="1"/>
  <c r="F2143"/>
  <c r="B2143"/>
  <c r="O2142"/>
  <c r="J2142"/>
  <c r="I2142"/>
  <c r="P2142" s="1"/>
  <c r="F2142"/>
  <c r="B2142"/>
  <c r="O2141"/>
  <c r="J2141"/>
  <c r="I2141"/>
  <c r="P2141" s="1"/>
  <c r="F2141"/>
  <c r="B2141"/>
  <c r="O2140"/>
  <c r="J2140"/>
  <c r="I2140"/>
  <c r="P2140" s="1"/>
  <c r="F2140"/>
  <c r="B2140"/>
  <c r="O2139"/>
  <c r="J2139"/>
  <c r="I2139"/>
  <c r="P2139" s="1"/>
  <c r="F2139"/>
  <c r="B2139"/>
  <c r="O2138"/>
  <c r="J2138"/>
  <c r="I2138"/>
  <c r="P2138" s="1"/>
  <c r="F2138"/>
  <c r="B2138"/>
  <c r="O2137"/>
  <c r="J2137"/>
  <c r="I2137"/>
  <c r="P2137" s="1"/>
  <c r="F2137"/>
  <c r="B2137"/>
  <c r="O2136"/>
  <c r="J2136"/>
  <c r="I2136"/>
  <c r="P2136" s="1"/>
  <c r="F2136"/>
  <c r="B2136"/>
  <c r="O2135"/>
  <c r="J2135"/>
  <c r="I2135"/>
  <c r="P2135" s="1"/>
  <c r="F2135"/>
  <c r="B2135"/>
  <c r="O2134"/>
  <c r="J2134"/>
  <c r="I2134"/>
  <c r="P2134" s="1"/>
  <c r="F2134"/>
  <c r="B2134"/>
  <c r="O2133"/>
  <c r="J2133"/>
  <c r="I2133"/>
  <c r="P2133" s="1"/>
  <c r="F2133"/>
  <c r="B2133"/>
  <c r="O2132"/>
  <c r="J2132"/>
  <c r="I2132"/>
  <c r="P2132" s="1"/>
  <c r="F2132"/>
  <c r="B2132"/>
  <c r="O2131"/>
  <c r="J2131"/>
  <c r="I2131"/>
  <c r="P2131" s="1"/>
  <c r="F2131"/>
  <c r="B2131"/>
  <c r="O2130"/>
  <c r="J2130"/>
  <c r="I2130"/>
  <c r="P2130" s="1"/>
  <c r="F2130"/>
  <c r="B2130"/>
  <c r="O2129"/>
  <c r="J2129"/>
  <c r="I2129"/>
  <c r="P2129" s="1"/>
  <c r="F2129"/>
  <c r="B2129"/>
  <c r="O2128"/>
  <c r="J2128"/>
  <c r="I2128"/>
  <c r="P2128" s="1"/>
  <c r="F2128"/>
  <c r="B2128"/>
  <c r="O2127"/>
  <c r="J2127"/>
  <c r="I2127"/>
  <c r="P2127" s="1"/>
  <c r="F2127"/>
  <c r="B2127"/>
  <c r="O2126"/>
  <c r="J2126"/>
  <c r="I2126"/>
  <c r="P2126" s="1"/>
  <c r="F2126"/>
  <c r="B2126"/>
  <c r="O2125"/>
  <c r="J2125"/>
  <c r="I2125"/>
  <c r="P2125" s="1"/>
  <c r="F2125"/>
  <c r="B2125"/>
  <c r="O2124"/>
  <c r="J2124"/>
  <c r="I2124"/>
  <c r="P2124" s="1"/>
  <c r="F2124"/>
  <c r="B2124"/>
  <c r="O2123"/>
  <c r="J2123"/>
  <c r="I2123"/>
  <c r="P2123" s="1"/>
  <c r="F2123"/>
  <c r="B2123"/>
  <c r="O2122"/>
  <c r="J2122"/>
  <c r="I2122"/>
  <c r="P2122" s="1"/>
  <c r="F2122"/>
  <c r="B2122"/>
  <c r="O2121"/>
  <c r="J2121"/>
  <c r="I2121"/>
  <c r="P2121" s="1"/>
  <c r="F2121"/>
  <c r="B2121"/>
  <c r="O2120"/>
  <c r="J2120"/>
  <c r="I2120"/>
  <c r="P2120" s="1"/>
  <c r="F2120"/>
  <c r="B2120"/>
  <c r="O2119"/>
  <c r="J2119"/>
  <c r="I2119"/>
  <c r="P2119" s="1"/>
  <c r="F2119"/>
  <c r="B2119"/>
  <c r="O2118"/>
  <c r="J2118"/>
  <c r="I2118"/>
  <c r="P2118" s="1"/>
  <c r="F2118"/>
  <c r="B2118"/>
  <c r="O2117"/>
  <c r="J2117"/>
  <c r="I2117"/>
  <c r="P2117" s="1"/>
  <c r="F2117"/>
  <c r="B2117"/>
  <c r="O2116"/>
  <c r="J2116"/>
  <c r="I2116"/>
  <c r="P2116" s="1"/>
  <c r="F2116"/>
  <c r="B2116"/>
  <c r="O2115"/>
  <c r="J2115"/>
  <c r="I2115"/>
  <c r="P2115" s="1"/>
  <c r="F2115"/>
  <c r="B2115"/>
  <c r="O2114"/>
  <c r="J2114"/>
  <c r="I2114"/>
  <c r="P2114" s="1"/>
  <c r="F2114"/>
  <c r="B2114"/>
  <c r="O2113"/>
  <c r="J2113"/>
  <c r="I2113"/>
  <c r="P2113" s="1"/>
  <c r="F2113"/>
  <c r="B2113"/>
  <c r="O2112"/>
  <c r="J2112"/>
  <c r="I2112"/>
  <c r="P2112" s="1"/>
  <c r="F2112"/>
  <c r="B2112"/>
  <c r="O2111"/>
  <c r="J2111"/>
  <c r="I2111"/>
  <c r="P2111" s="1"/>
  <c r="F2111"/>
  <c r="B2111"/>
  <c r="O2110"/>
  <c r="J2110"/>
  <c r="I2110"/>
  <c r="P2110" s="1"/>
  <c r="F2110"/>
  <c r="B2110"/>
  <c r="O2109"/>
  <c r="J2109"/>
  <c r="I2109"/>
  <c r="P2109" s="1"/>
  <c r="F2109"/>
  <c r="B2109"/>
  <c r="O2108"/>
  <c r="J2108"/>
  <c r="I2108"/>
  <c r="P2108" s="1"/>
  <c r="F2108"/>
  <c r="B2108"/>
  <c r="O2107"/>
  <c r="J2107"/>
  <c r="I2107"/>
  <c r="P2107" s="1"/>
  <c r="F2107"/>
  <c r="B2107"/>
  <c r="O2106"/>
  <c r="J2106"/>
  <c r="I2106"/>
  <c r="P2106" s="1"/>
  <c r="F2106"/>
  <c r="B2106"/>
  <c r="O2105"/>
  <c r="J2105"/>
  <c r="I2105"/>
  <c r="P2105" s="1"/>
  <c r="F2105"/>
  <c r="B2105"/>
  <c r="O2104"/>
  <c r="J2104"/>
  <c r="I2104"/>
  <c r="P2104" s="1"/>
  <c r="F2104"/>
  <c r="B2104"/>
  <c r="O2103"/>
  <c r="J2103"/>
  <c r="I2103"/>
  <c r="P2103" s="1"/>
  <c r="F2103"/>
  <c r="B2103"/>
  <c r="O2102"/>
  <c r="J2102"/>
  <c r="I2102"/>
  <c r="P2102" s="1"/>
  <c r="F2102"/>
  <c r="B2102"/>
  <c r="O2101"/>
  <c r="J2101"/>
  <c r="I2101"/>
  <c r="P2101" s="1"/>
  <c r="F2101"/>
  <c r="B2101"/>
  <c r="O2100"/>
  <c r="J2100"/>
  <c r="I2100"/>
  <c r="P2100" s="1"/>
  <c r="F2100"/>
  <c r="B2100"/>
  <c r="O2099"/>
  <c r="J2099"/>
  <c r="I2099"/>
  <c r="P2099" s="1"/>
  <c r="F2099"/>
  <c r="B2099"/>
  <c r="O2098"/>
  <c r="J2098"/>
  <c r="I2098"/>
  <c r="P2098" s="1"/>
  <c r="F2098"/>
  <c r="B2098"/>
  <c r="O2097"/>
  <c r="J2097"/>
  <c r="I2097"/>
  <c r="P2097" s="1"/>
  <c r="F2097"/>
  <c r="B2097"/>
  <c r="O2096"/>
  <c r="J2096"/>
  <c r="I2096"/>
  <c r="P2096" s="1"/>
  <c r="F2096"/>
  <c r="B2096"/>
  <c r="O2095"/>
  <c r="J2095"/>
  <c r="I2095"/>
  <c r="P2095" s="1"/>
  <c r="F2095"/>
  <c r="B2095"/>
  <c r="O2094"/>
  <c r="J2094"/>
  <c r="I2094"/>
  <c r="P2094" s="1"/>
  <c r="F2094"/>
  <c r="B2094"/>
  <c r="O2093"/>
  <c r="J2093"/>
  <c r="I2093"/>
  <c r="P2093" s="1"/>
  <c r="F2093"/>
  <c r="B2093"/>
  <c r="O2092"/>
  <c r="J2092"/>
  <c r="I2092"/>
  <c r="P2092" s="1"/>
  <c r="F2092"/>
  <c r="B2092"/>
  <c r="O2091"/>
  <c r="J2091"/>
  <c r="I2091"/>
  <c r="P2091" s="1"/>
  <c r="F2091"/>
  <c r="B2091"/>
  <c r="O2090"/>
  <c r="J2090"/>
  <c r="I2090"/>
  <c r="P2090" s="1"/>
  <c r="F2090"/>
  <c r="B2090"/>
  <c r="O2089"/>
  <c r="J2089"/>
  <c r="I2089"/>
  <c r="P2089" s="1"/>
  <c r="F2089"/>
  <c r="B2089"/>
  <c r="O2088"/>
  <c r="J2088"/>
  <c r="I2088"/>
  <c r="P2088" s="1"/>
  <c r="F2088"/>
  <c r="B2088"/>
  <c r="O2087"/>
  <c r="J2087"/>
  <c r="I2087"/>
  <c r="P2087" s="1"/>
  <c r="F2087"/>
  <c r="B2087"/>
  <c r="O2086"/>
  <c r="J2086"/>
  <c r="I2086"/>
  <c r="P2086" s="1"/>
  <c r="F2086"/>
  <c r="B2086"/>
  <c r="O2085"/>
  <c r="J2085"/>
  <c r="I2085"/>
  <c r="P2085" s="1"/>
  <c r="F2085"/>
  <c r="B2085"/>
  <c r="O2084"/>
  <c r="J2084"/>
  <c r="I2084"/>
  <c r="P2084" s="1"/>
  <c r="F2084"/>
  <c r="B2084"/>
  <c r="O2083"/>
  <c r="J2083"/>
  <c r="I2083"/>
  <c r="P2083" s="1"/>
  <c r="F2083"/>
  <c r="B2083"/>
  <c r="O2082"/>
  <c r="J2082"/>
  <c r="I2082"/>
  <c r="P2082" s="1"/>
  <c r="F2082"/>
  <c r="B2082"/>
  <c r="O2081"/>
  <c r="J2081"/>
  <c r="I2081"/>
  <c r="P2081" s="1"/>
  <c r="F2081"/>
  <c r="B2081"/>
  <c r="O2080"/>
  <c r="J2080"/>
  <c r="I2080"/>
  <c r="P2080" s="1"/>
  <c r="F2080"/>
  <c r="B2080"/>
  <c r="O2079"/>
  <c r="J2079"/>
  <c r="I2079"/>
  <c r="P2079" s="1"/>
  <c r="F2079"/>
  <c r="B2079"/>
  <c r="O2078"/>
  <c r="J2078"/>
  <c r="I2078"/>
  <c r="P2078" s="1"/>
  <c r="F2078"/>
  <c r="B2078"/>
  <c r="O2077"/>
  <c r="J2077"/>
  <c r="I2077"/>
  <c r="P2077" s="1"/>
  <c r="F2077"/>
  <c r="B2077"/>
  <c r="O2076"/>
  <c r="J2076"/>
  <c r="I2076"/>
  <c r="P2076" s="1"/>
  <c r="F2076"/>
  <c r="B2076"/>
  <c r="O2075"/>
  <c r="J2075"/>
  <c r="I2075"/>
  <c r="P2075" s="1"/>
  <c r="F2075"/>
  <c r="B2075"/>
  <c r="O2074"/>
  <c r="J2074"/>
  <c r="I2074"/>
  <c r="P2074" s="1"/>
  <c r="F2074"/>
  <c r="B2074"/>
  <c r="O2073"/>
  <c r="J2073"/>
  <c r="I2073"/>
  <c r="P2073" s="1"/>
  <c r="F2073"/>
  <c r="B2073"/>
  <c r="O2072"/>
  <c r="J2072"/>
  <c r="I2072"/>
  <c r="P2072" s="1"/>
  <c r="F2072"/>
  <c r="B2072"/>
  <c r="O2071"/>
  <c r="J2071"/>
  <c r="I2071"/>
  <c r="P2071" s="1"/>
  <c r="F2071"/>
  <c r="B2071"/>
  <c r="O2070"/>
  <c r="J2070"/>
  <c r="I2070"/>
  <c r="P2070" s="1"/>
  <c r="F2070"/>
  <c r="B2070"/>
  <c r="O2069"/>
  <c r="J2069"/>
  <c r="I2069"/>
  <c r="P2069" s="1"/>
  <c r="F2069"/>
  <c r="B2069"/>
  <c r="O2068"/>
  <c r="J2068"/>
  <c r="I2068"/>
  <c r="P2068" s="1"/>
  <c r="F2068"/>
  <c r="B2068"/>
  <c r="O2067"/>
  <c r="J2067"/>
  <c r="I2067"/>
  <c r="P2067" s="1"/>
  <c r="F2067"/>
  <c r="B2067"/>
  <c r="O2066"/>
  <c r="J2066"/>
  <c r="I2066"/>
  <c r="P2066" s="1"/>
  <c r="F2066"/>
  <c r="B2066"/>
  <c r="O2065"/>
  <c r="J2065"/>
  <c r="I2065"/>
  <c r="P2065" s="1"/>
  <c r="F2065"/>
  <c r="B2065"/>
  <c r="O2064"/>
  <c r="J2064"/>
  <c r="I2064"/>
  <c r="P2064" s="1"/>
  <c r="F2064"/>
  <c r="B2064"/>
  <c r="O2063"/>
  <c r="J2063"/>
  <c r="I2063"/>
  <c r="P2063" s="1"/>
  <c r="F2063"/>
  <c r="B2063"/>
  <c r="O2062"/>
  <c r="J2062"/>
  <c r="I2062"/>
  <c r="P2062" s="1"/>
  <c r="F2062"/>
  <c r="B2062"/>
  <c r="O2061"/>
  <c r="J2061"/>
  <c r="I2061"/>
  <c r="P2061" s="1"/>
  <c r="F2061"/>
  <c r="B2061"/>
  <c r="O2060"/>
  <c r="J2060"/>
  <c r="I2060"/>
  <c r="P2060" s="1"/>
  <c r="F2060"/>
  <c r="B2060"/>
  <c r="O2059"/>
  <c r="J2059"/>
  <c r="I2059"/>
  <c r="P2059" s="1"/>
  <c r="F2059"/>
  <c r="B2059"/>
  <c r="O2058"/>
  <c r="J2058"/>
  <c r="I2058"/>
  <c r="P2058" s="1"/>
  <c r="F2058"/>
  <c r="B2058"/>
  <c r="O2057"/>
  <c r="J2057"/>
  <c r="I2057"/>
  <c r="P2057" s="1"/>
  <c r="F2057"/>
  <c r="B2057"/>
  <c r="O2056"/>
  <c r="J2056"/>
  <c r="I2056"/>
  <c r="P2056" s="1"/>
  <c r="F2056"/>
  <c r="B2056"/>
  <c r="O2055"/>
  <c r="J2055"/>
  <c r="I2055"/>
  <c r="P2055" s="1"/>
  <c r="F2055"/>
  <c r="B2055"/>
  <c r="O2054"/>
  <c r="J2054"/>
  <c r="I2054"/>
  <c r="P2054" s="1"/>
  <c r="F2054"/>
  <c r="B2054"/>
  <c r="O2053"/>
  <c r="J2053"/>
  <c r="I2053"/>
  <c r="P2053" s="1"/>
  <c r="F2053"/>
  <c r="B2053"/>
  <c r="O2052"/>
  <c r="J2052"/>
  <c r="I2052"/>
  <c r="P2052" s="1"/>
  <c r="F2052"/>
  <c r="B2052"/>
  <c r="O2051"/>
  <c r="J2051"/>
  <c r="I2051"/>
  <c r="P2051" s="1"/>
  <c r="F2051"/>
  <c r="B2051"/>
  <c r="O2050"/>
  <c r="J2050"/>
  <c r="I2050"/>
  <c r="P2050" s="1"/>
  <c r="F2050"/>
  <c r="B2050"/>
  <c r="O2049"/>
  <c r="J2049"/>
  <c r="I2049"/>
  <c r="P2049" s="1"/>
  <c r="F2049"/>
  <c r="B2049"/>
  <c r="O2048"/>
  <c r="J2048"/>
  <c r="I2048"/>
  <c r="P2048" s="1"/>
  <c r="F2048"/>
  <c r="B2048"/>
  <c r="O2047"/>
  <c r="J2047"/>
  <c r="I2047"/>
  <c r="P2047" s="1"/>
  <c r="F2047"/>
  <c r="B2047"/>
  <c r="O2046"/>
  <c r="J2046"/>
  <c r="I2046"/>
  <c r="P2046" s="1"/>
  <c r="F2046"/>
  <c r="B2046"/>
  <c r="O2045"/>
  <c r="J2045"/>
  <c r="I2045"/>
  <c r="P2045" s="1"/>
  <c r="F2045"/>
  <c r="B2045"/>
  <c r="O2044"/>
  <c r="J2044"/>
  <c r="I2044"/>
  <c r="P2044" s="1"/>
  <c r="F2044"/>
  <c r="B2044"/>
  <c r="O2043"/>
  <c r="J2043"/>
  <c r="I2043"/>
  <c r="P2043" s="1"/>
  <c r="F2043"/>
  <c r="B2043"/>
  <c r="O2042"/>
  <c r="J2042"/>
  <c r="I2042"/>
  <c r="P2042" s="1"/>
  <c r="F2042"/>
  <c r="B2042"/>
  <c r="O2041"/>
  <c r="J2041"/>
  <c r="I2041"/>
  <c r="P2041" s="1"/>
  <c r="F2041"/>
  <c r="B2041"/>
  <c r="O2040"/>
  <c r="J2040"/>
  <c r="I2040"/>
  <c r="P2040" s="1"/>
  <c r="F2040"/>
  <c r="B2040"/>
  <c r="O2039"/>
  <c r="J2039"/>
  <c r="I2039"/>
  <c r="P2039" s="1"/>
  <c r="F2039"/>
  <c r="B2039"/>
  <c r="O2038"/>
  <c r="J2038"/>
  <c r="I2038"/>
  <c r="P2038" s="1"/>
  <c r="F2038"/>
  <c r="B2038"/>
  <c r="O2037"/>
  <c r="J2037"/>
  <c r="I2037"/>
  <c r="P2037" s="1"/>
  <c r="F2037"/>
  <c r="B2037"/>
  <c r="O2036"/>
  <c r="J2036"/>
  <c r="I2036"/>
  <c r="P2036" s="1"/>
  <c r="F2036"/>
  <c r="B2036"/>
  <c r="O2035"/>
  <c r="J2035"/>
  <c r="I2035"/>
  <c r="P2035" s="1"/>
  <c r="F2035"/>
  <c r="B2035"/>
  <c r="O2034"/>
  <c r="J2034"/>
  <c r="I2034"/>
  <c r="P2034" s="1"/>
  <c r="F2034"/>
  <c r="B2034"/>
  <c r="O2033"/>
  <c r="J2033"/>
  <c r="I2033"/>
  <c r="P2033" s="1"/>
  <c r="F2033"/>
  <c r="B2033"/>
  <c r="O2032"/>
  <c r="J2032"/>
  <c r="I2032"/>
  <c r="P2032" s="1"/>
  <c r="F2032"/>
  <c r="B2032"/>
  <c r="O2031"/>
  <c r="J2031"/>
  <c r="I2031"/>
  <c r="P2031" s="1"/>
  <c r="F2031"/>
  <c r="B2031"/>
  <c r="O2030"/>
  <c r="J2030"/>
  <c r="I2030"/>
  <c r="P2030" s="1"/>
  <c r="F2030"/>
  <c r="B2030"/>
  <c r="O2029"/>
  <c r="J2029"/>
  <c r="I2029"/>
  <c r="P2029" s="1"/>
  <c r="F2029"/>
  <c r="B2029"/>
  <c r="O2028"/>
  <c r="J2028"/>
  <c r="I2028"/>
  <c r="P2028" s="1"/>
  <c r="F2028"/>
  <c r="B2028"/>
  <c r="O2027"/>
  <c r="J2027"/>
  <c r="I2027"/>
  <c r="P2027" s="1"/>
  <c r="F2027"/>
  <c r="B2027"/>
  <c r="O2026"/>
  <c r="J2026"/>
  <c r="I2026"/>
  <c r="P2026" s="1"/>
  <c r="F2026"/>
  <c r="B2026"/>
  <c r="O2025"/>
  <c r="J2025"/>
  <c r="I2025"/>
  <c r="P2025" s="1"/>
  <c r="F2025"/>
  <c r="B2025"/>
  <c r="O2024"/>
  <c r="J2024"/>
  <c r="I2024"/>
  <c r="P2024" s="1"/>
  <c r="F2024"/>
  <c r="B2024"/>
  <c r="O2023"/>
  <c r="J2023"/>
  <c r="I2023"/>
  <c r="P2023" s="1"/>
  <c r="F2023"/>
  <c r="B2023"/>
  <c r="O2022"/>
  <c r="J2022"/>
  <c r="I2022"/>
  <c r="P2022" s="1"/>
  <c r="F2022"/>
  <c r="B2022"/>
  <c r="O2021"/>
  <c r="J2021"/>
  <c r="I2021"/>
  <c r="P2021" s="1"/>
  <c r="F2021"/>
  <c r="B2021"/>
  <c r="O2020"/>
  <c r="J2020"/>
  <c r="I2020"/>
  <c r="P2020" s="1"/>
  <c r="F2020"/>
  <c r="B2020"/>
  <c r="O2019"/>
  <c r="J2019"/>
  <c r="I2019"/>
  <c r="P2019" s="1"/>
  <c r="F2019"/>
  <c r="B2019"/>
  <c r="O2018"/>
  <c r="J2018"/>
  <c r="I2018"/>
  <c r="P2018" s="1"/>
  <c r="F2018"/>
  <c r="B2018"/>
  <c r="O2017"/>
  <c r="J2017"/>
  <c r="I2017"/>
  <c r="P2017" s="1"/>
  <c r="F2017"/>
  <c r="B2017"/>
  <c r="O2016"/>
  <c r="J2016"/>
  <c r="I2016"/>
  <c r="P2016" s="1"/>
  <c r="F2016"/>
  <c r="B2016"/>
  <c r="O2015"/>
  <c r="J2015"/>
  <c r="I2015"/>
  <c r="P2015" s="1"/>
  <c r="F2015"/>
  <c r="B2015"/>
  <c r="O2014"/>
  <c r="J2014"/>
  <c r="I2014"/>
  <c r="P2014" s="1"/>
  <c r="F2014"/>
  <c r="B2014"/>
  <c r="O2013"/>
  <c r="J2013"/>
  <c r="I2013"/>
  <c r="P2013" s="1"/>
  <c r="F2013"/>
  <c r="B2013"/>
  <c r="O2012"/>
  <c r="J2012"/>
  <c r="I2012"/>
  <c r="P2012" s="1"/>
  <c r="F2012"/>
  <c r="B2012"/>
  <c r="O2011"/>
  <c r="J2011"/>
  <c r="I2011"/>
  <c r="P2011" s="1"/>
  <c r="F2011"/>
  <c r="B2011"/>
  <c r="O2010"/>
  <c r="J2010"/>
  <c r="I2010"/>
  <c r="P2010" s="1"/>
  <c r="F2010"/>
  <c r="B2010"/>
  <c r="O2009"/>
  <c r="J2009"/>
  <c r="I2009"/>
  <c r="Q2009" s="1"/>
  <c r="F2009"/>
  <c r="B2009"/>
  <c r="O2008"/>
  <c r="J2008"/>
  <c r="I2008"/>
  <c r="Q2008" s="1"/>
  <c r="F2008"/>
  <c r="B2008"/>
  <c r="O2007"/>
  <c r="J2007"/>
  <c r="I2007"/>
  <c r="Q2007" s="1"/>
  <c r="F2007"/>
  <c r="B2007"/>
  <c r="O2006"/>
  <c r="J2006"/>
  <c r="I2006"/>
  <c r="Q2006" s="1"/>
  <c r="F2006"/>
  <c r="B2006"/>
  <c r="O2005"/>
  <c r="J2005"/>
  <c r="I2005"/>
  <c r="Q2005" s="1"/>
  <c r="F2005"/>
  <c r="B2005"/>
  <c r="O2004"/>
  <c r="J2004"/>
  <c r="I2004"/>
  <c r="Q2004" s="1"/>
  <c r="F2004"/>
  <c r="B2004"/>
  <c r="O2003"/>
  <c r="J2003"/>
  <c r="I2003"/>
  <c r="Q2003" s="1"/>
  <c r="F2003"/>
  <c r="B2003"/>
  <c r="O2002"/>
  <c r="J2002"/>
  <c r="I2002"/>
  <c r="Q2002" s="1"/>
  <c r="F2002"/>
  <c r="B2002"/>
  <c r="O2001"/>
  <c r="J2001"/>
  <c r="I2001"/>
  <c r="Q2001" s="1"/>
  <c r="F2001"/>
  <c r="B2001"/>
  <c r="O2000"/>
  <c r="J2000"/>
  <c r="I2000"/>
  <c r="Q2000" s="1"/>
  <c r="F2000"/>
  <c r="B2000"/>
  <c r="O1999"/>
  <c r="J1999"/>
  <c r="I1999"/>
  <c r="Q1999" s="1"/>
  <c r="F1999"/>
  <c r="B1999"/>
  <c r="O1998"/>
  <c r="J1998"/>
  <c r="I1998"/>
  <c r="Q1998" s="1"/>
  <c r="F1998"/>
  <c r="B1998"/>
  <c r="O1997"/>
  <c r="J1997"/>
  <c r="I1997"/>
  <c r="Q1997" s="1"/>
  <c r="F1997"/>
  <c r="B1997"/>
  <c r="O1996"/>
  <c r="J1996"/>
  <c r="I1996"/>
  <c r="Q1996" s="1"/>
  <c r="F1996"/>
  <c r="B1996"/>
  <c r="O1995"/>
  <c r="J1995"/>
  <c r="I1995"/>
  <c r="Q1995" s="1"/>
  <c r="F1995"/>
  <c r="B1995"/>
  <c r="O1994"/>
  <c r="J1994"/>
  <c r="I1994"/>
  <c r="Q1994" s="1"/>
  <c r="F1994"/>
  <c r="B1994"/>
  <c r="O1993"/>
  <c r="J1993"/>
  <c r="I1993"/>
  <c r="Q1993" s="1"/>
  <c r="F1993"/>
  <c r="B1993"/>
  <c r="O1992"/>
  <c r="J1992"/>
  <c r="I1992"/>
  <c r="Q1992" s="1"/>
  <c r="F1992"/>
  <c r="B1992"/>
  <c r="O1991"/>
  <c r="J1991"/>
  <c r="I1991"/>
  <c r="Q1991" s="1"/>
  <c r="F1991"/>
  <c r="B1991"/>
  <c r="O1990"/>
  <c r="J1990"/>
  <c r="I1990"/>
  <c r="Q1990" s="1"/>
  <c r="F1990"/>
  <c r="B1990"/>
  <c r="O1989"/>
  <c r="J1989"/>
  <c r="I1989"/>
  <c r="Q1989" s="1"/>
  <c r="F1989"/>
  <c r="B1989"/>
  <c r="O1988"/>
  <c r="J1988"/>
  <c r="I1988"/>
  <c r="Q1988" s="1"/>
  <c r="F1988"/>
  <c r="B1988"/>
  <c r="O1987"/>
  <c r="J1987"/>
  <c r="I1987"/>
  <c r="Q1987" s="1"/>
  <c r="F1987"/>
  <c r="B1987"/>
  <c r="O1986"/>
  <c r="J1986"/>
  <c r="I1986"/>
  <c r="Q1986" s="1"/>
  <c r="F1986"/>
  <c r="B1986"/>
  <c r="O1985"/>
  <c r="J1985"/>
  <c r="I1985"/>
  <c r="Q1985" s="1"/>
  <c r="F1985"/>
  <c r="B1985"/>
  <c r="O1984"/>
  <c r="J1984"/>
  <c r="I1984"/>
  <c r="Q1984" s="1"/>
  <c r="F1984"/>
  <c r="B1984"/>
  <c r="O1983"/>
  <c r="J1983"/>
  <c r="I1983"/>
  <c r="Q1983" s="1"/>
  <c r="F1983"/>
  <c r="B1983"/>
  <c r="O1982"/>
  <c r="J1982"/>
  <c r="I1982"/>
  <c r="Q1982" s="1"/>
  <c r="F1982"/>
  <c r="B1982"/>
  <c r="O1981"/>
  <c r="J1981"/>
  <c r="I1981"/>
  <c r="Q1981" s="1"/>
  <c r="F1981"/>
  <c r="B1981"/>
  <c r="O1980"/>
  <c r="J1980"/>
  <c r="I1980"/>
  <c r="Q1980" s="1"/>
  <c r="F1980"/>
  <c r="B1980"/>
  <c r="O1979"/>
  <c r="J1979"/>
  <c r="I1979"/>
  <c r="Q1979" s="1"/>
  <c r="F1979"/>
  <c r="B1979"/>
  <c r="O1978"/>
  <c r="J1978"/>
  <c r="I1978"/>
  <c r="Q1978" s="1"/>
  <c r="F1978"/>
  <c r="B1978"/>
  <c r="O1977"/>
  <c r="J1977"/>
  <c r="I1977"/>
  <c r="Q1977" s="1"/>
  <c r="F1977"/>
  <c r="B1977"/>
  <c r="O1976"/>
  <c r="J1976"/>
  <c r="I1976"/>
  <c r="Q1976" s="1"/>
  <c r="F1976"/>
  <c r="B1976"/>
  <c r="O1975"/>
  <c r="J1975"/>
  <c r="I1975"/>
  <c r="Q1975" s="1"/>
  <c r="F1975"/>
  <c r="B1975"/>
  <c r="O1974"/>
  <c r="J1974"/>
  <c r="I1974"/>
  <c r="Q1974" s="1"/>
  <c r="F1974"/>
  <c r="B1974"/>
  <c r="O1973"/>
  <c r="J1973"/>
  <c r="I1973"/>
  <c r="Q1973" s="1"/>
  <c r="F1973"/>
  <c r="B1973"/>
  <c r="O1972"/>
  <c r="J1972"/>
  <c r="I1972"/>
  <c r="Q1972" s="1"/>
  <c r="F1972"/>
  <c r="B1972"/>
  <c r="O1971"/>
  <c r="J1971"/>
  <c r="I1971"/>
  <c r="Q1971" s="1"/>
  <c r="F1971"/>
  <c r="B1971"/>
  <c r="O1970"/>
  <c r="J1970"/>
  <c r="I1970"/>
  <c r="Q1970" s="1"/>
  <c r="F1970"/>
  <c r="B1970"/>
  <c r="O1969"/>
  <c r="J1969"/>
  <c r="I1969"/>
  <c r="Q1969" s="1"/>
  <c r="F1969"/>
  <c r="B1969"/>
  <c r="O1968"/>
  <c r="J1968"/>
  <c r="I1968"/>
  <c r="Q1968" s="1"/>
  <c r="F1968"/>
  <c r="B1968"/>
  <c r="O1967"/>
  <c r="J1967"/>
  <c r="I1967"/>
  <c r="Q1967" s="1"/>
  <c r="F1967"/>
  <c r="B1967"/>
  <c r="O1966"/>
  <c r="J1966"/>
  <c r="I1966"/>
  <c r="Q1966" s="1"/>
  <c r="F1966"/>
  <c r="B1966"/>
  <c r="O1965"/>
  <c r="J1965"/>
  <c r="I1965"/>
  <c r="Q1965" s="1"/>
  <c r="F1965"/>
  <c r="B1965"/>
  <c r="O1964"/>
  <c r="J1964"/>
  <c r="I1964"/>
  <c r="Q1964" s="1"/>
  <c r="F1964"/>
  <c r="B1964"/>
  <c r="O1963"/>
  <c r="J1963"/>
  <c r="I1963"/>
  <c r="Q1963" s="1"/>
  <c r="F1963"/>
  <c r="B1963"/>
  <c r="O1962"/>
  <c r="J1962"/>
  <c r="I1962"/>
  <c r="Q1962" s="1"/>
  <c r="F1962"/>
  <c r="B1962"/>
  <c r="O1961"/>
  <c r="J1961"/>
  <c r="I1961"/>
  <c r="Q1961" s="1"/>
  <c r="F1961"/>
  <c r="B1961"/>
  <c r="O1960"/>
  <c r="J1960"/>
  <c r="I1960"/>
  <c r="Q1960" s="1"/>
  <c r="F1960"/>
  <c r="B1960"/>
  <c r="O1959"/>
  <c r="J1959"/>
  <c r="I1959"/>
  <c r="Q1959" s="1"/>
  <c r="F1959"/>
  <c r="B1959"/>
  <c r="O1958"/>
  <c r="J1958"/>
  <c r="I1958"/>
  <c r="Q1958" s="1"/>
  <c r="F1958"/>
  <c r="B1958"/>
  <c r="O1957"/>
  <c r="J1957"/>
  <c r="I1957"/>
  <c r="Q1957" s="1"/>
  <c r="F1957"/>
  <c r="B1957"/>
  <c r="O1956"/>
  <c r="J1956"/>
  <c r="I1956"/>
  <c r="Q1956" s="1"/>
  <c r="F1956"/>
  <c r="B1956"/>
  <c r="O1955"/>
  <c r="J1955"/>
  <c r="I1955"/>
  <c r="Q1955" s="1"/>
  <c r="F1955"/>
  <c r="B1955"/>
  <c r="O1954"/>
  <c r="J1954"/>
  <c r="I1954"/>
  <c r="Q1954" s="1"/>
  <c r="F1954"/>
  <c r="B1954"/>
  <c r="O1953"/>
  <c r="J1953"/>
  <c r="I1953"/>
  <c r="Q1953" s="1"/>
  <c r="F1953"/>
  <c r="B1953"/>
  <c r="O1952"/>
  <c r="J1952"/>
  <c r="I1952"/>
  <c r="Q1952" s="1"/>
  <c r="F1952"/>
  <c r="B1952"/>
  <c r="O1951"/>
  <c r="J1951"/>
  <c r="I1951"/>
  <c r="Q1951" s="1"/>
  <c r="F1951"/>
  <c r="B1951"/>
  <c r="O1950"/>
  <c r="J1950"/>
  <c r="I1950"/>
  <c r="Q1950" s="1"/>
  <c r="F1950"/>
  <c r="B1950"/>
  <c r="O1949"/>
  <c r="J1949"/>
  <c r="I1949"/>
  <c r="Q1949" s="1"/>
  <c r="F1949"/>
  <c r="B1949"/>
  <c r="O1948"/>
  <c r="J1948"/>
  <c r="I1948"/>
  <c r="Q1948" s="1"/>
  <c r="F1948"/>
  <c r="B1948"/>
  <c r="O1947"/>
  <c r="J1947"/>
  <c r="I1947"/>
  <c r="Q1947" s="1"/>
  <c r="F1947"/>
  <c r="B1947"/>
  <c r="O1946"/>
  <c r="J1946"/>
  <c r="I1946"/>
  <c r="Q1946" s="1"/>
  <c r="F1946"/>
  <c r="B1946"/>
  <c r="O1945"/>
  <c r="J1945"/>
  <c r="I1945"/>
  <c r="Q1945" s="1"/>
  <c r="F1945"/>
  <c r="B1945"/>
  <c r="O1944"/>
  <c r="J1944"/>
  <c r="I1944"/>
  <c r="Q1944" s="1"/>
  <c r="F1944"/>
  <c r="B1944"/>
  <c r="O1943"/>
  <c r="J1943"/>
  <c r="I1943"/>
  <c r="Q1943" s="1"/>
  <c r="F1943"/>
  <c r="B1943"/>
  <c r="O1942"/>
  <c r="J1942"/>
  <c r="I1942"/>
  <c r="Q1942" s="1"/>
  <c r="F1942"/>
  <c r="B1942"/>
  <c r="O1941"/>
  <c r="J1941"/>
  <c r="I1941"/>
  <c r="Q1941" s="1"/>
  <c r="F1941"/>
  <c r="B1941"/>
  <c r="O1940"/>
  <c r="J1940"/>
  <c r="I1940"/>
  <c r="Q1940" s="1"/>
  <c r="F1940"/>
  <c r="B1940"/>
  <c r="O1939"/>
  <c r="J1939"/>
  <c r="I1939"/>
  <c r="Q1939" s="1"/>
  <c r="F1939"/>
  <c r="B1939"/>
  <c r="O1938"/>
  <c r="J1938"/>
  <c r="I1938"/>
  <c r="Q1938" s="1"/>
  <c r="F1938"/>
  <c r="B1938"/>
  <c r="O1937"/>
  <c r="J1937"/>
  <c r="I1937"/>
  <c r="Q1937" s="1"/>
  <c r="F1937"/>
  <c r="B1937"/>
  <c r="O1936"/>
  <c r="J1936"/>
  <c r="I1936"/>
  <c r="Q1936" s="1"/>
  <c r="F1936"/>
  <c r="B1936"/>
  <c r="O1935"/>
  <c r="J1935"/>
  <c r="I1935"/>
  <c r="Q1935" s="1"/>
  <c r="F1935"/>
  <c r="B1935"/>
  <c r="O1934"/>
  <c r="J1934"/>
  <c r="I1934"/>
  <c r="Q1934" s="1"/>
  <c r="F1934"/>
  <c r="B1934"/>
  <c r="O1933"/>
  <c r="J1933"/>
  <c r="I1933"/>
  <c r="Q1933" s="1"/>
  <c r="F1933"/>
  <c r="B1933"/>
  <c r="O1932"/>
  <c r="J1932"/>
  <c r="I1932"/>
  <c r="Q1932" s="1"/>
  <c r="F1932"/>
  <c r="B1932"/>
  <c r="O1931"/>
  <c r="J1931"/>
  <c r="I1931"/>
  <c r="Q1931" s="1"/>
  <c r="F1931"/>
  <c r="B1931"/>
  <c r="O1930"/>
  <c r="J1930"/>
  <c r="I1930"/>
  <c r="Q1930" s="1"/>
  <c r="F1930"/>
  <c r="B1930"/>
  <c r="O1929"/>
  <c r="J1929"/>
  <c r="I1929"/>
  <c r="Q1929" s="1"/>
  <c r="F1929"/>
  <c r="B1929"/>
  <c r="O1928"/>
  <c r="J1928"/>
  <c r="I1928"/>
  <c r="Q1928" s="1"/>
  <c r="F1928"/>
  <c r="B1928"/>
  <c r="O1927"/>
  <c r="J1927"/>
  <c r="I1927"/>
  <c r="Q1927" s="1"/>
  <c r="F1927"/>
  <c r="B1927"/>
  <c r="O1926"/>
  <c r="J1926"/>
  <c r="I1926"/>
  <c r="Q1926" s="1"/>
  <c r="F1926"/>
  <c r="B1926"/>
  <c r="O1925"/>
  <c r="J1925"/>
  <c r="I1925"/>
  <c r="Q1925" s="1"/>
  <c r="F1925"/>
  <c r="B1925"/>
  <c r="O1924"/>
  <c r="J1924"/>
  <c r="I1924"/>
  <c r="Q1924" s="1"/>
  <c r="F1924"/>
  <c r="B1924"/>
  <c r="O1923"/>
  <c r="J1923"/>
  <c r="I1923"/>
  <c r="Q1923" s="1"/>
  <c r="F1923"/>
  <c r="B1923"/>
  <c r="O1922"/>
  <c r="J1922"/>
  <c r="I1922"/>
  <c r="Q1922" s="1"/>
  <c r="F1922"/>
  <c r="B1922"/>
  <c r="O1921"/>
  <c r="J1921"/>
  <c r="I1921"/>
  <c r="Q1921" s="1"/>
  <c r="F1921"/>
  <c r="B1921"/>
  <c r="O1920"/>
  <c r="J1920"/>
  <c r="I1920"/>
  <c r="Q1920" s="1"/>
  <c r="F1920"/>
  <c r="B1920"/>
  <c r="O1919"/>
  <c r="J1919"/>
  <c r="I1919"/>
  <c r="Q1919" s="1"/>
  <c r="F1919"/>
  <c r="B1919"/>
  <c r="O1918"/>
  <c r="J1918"/>
  <c r="I1918"/>
  <c r="Q1918" s="1"/>
  <c r="F1918"/>
  <c r="B1918"/>
  <c r="O1917"/>
  <c r="J1917"/>
  <c r="I1917"/>
  <c r="Q1917" s="1"/>
  <c r="F1917"/>
  <c r="B1917"/>
  <c r="O1916"/>
  <c r="J1916"/>
  <c r="I1916"/>
  <c r="Q1916" s="1"/>
  <c r="F1916"/>
  <c r="B1916"/>
  <c r="O1915"/>
  <c r="J1915"/>
  <c r="I1915"/>
  <c r="Q1915" s="1"/>
  <c r="F1915"/>
  <c r="B1915"/>
  <c r="O1914"/>
  <c r="J1914"/>
  <c r="I1914"/>
  <c r="Q1914" s="1"/>
  <c r="F1914"/>
  <c r="B1914"/>
  <c r="O1913"/>
  <c r="J1913"/>
  <c r="I1913"/>
  <c r="Q1913" s="1"/>
  <c r="F1913"/>
  <c r="B1913"/>
  <c r="O1912"/>
  <c r="J1912"/>
  <c r="I1912"/>
  <c r="Q1912" s="1"/>
  <c r="F1912"/>
  <c r="B1912"/>
  <c r="O1911"/>
  <c r="J1911"/>
  <c r="I1911"/>
  <c r="Q1911" s="1"/>
  <c r="F1911"/>
  <c r="B1911"/>
  <c r="O1910"/>
  <c r="J1910"/>
  <c r="I1910"/>
  <c r="Q1910" s="1"/>
  <c r="F1910"/>
  <c r="B1910"/>
  <c r="O1909"/>
  <c r="J1909"/>
  <c r="I1909"/>
  <c r="Q1909" s="1"/>
  <c r="F1909"/>
  <c r="B1909"/>
  <c r="O1908"/>
  <c r="J1908"/>
  <c r="I1908"/>
  <c r="Q1908" s="1"/>
  <c r="F1908"/>
  <c r="B1908"/>
  <c r="O1907"/>
  <c r="J1907"/>
  <c r="I1907"/>
  <c r="Q1907" s="1"/>
  <c r="F1907"/>
  <c r="B1907"/>
  <c r="O1906"/>
  <c r="J1906"/>
  <c r="I1906"/>
  <c r="Q1906" s="1"/>
  <c r="F1906"/>
  <c r="B1906"/>
  <c r="O1905"/>
  <c r="J1905"/>
  <c r="I1905"/>
  <c r="Q1905" s="1"/>
  <c r="F1905"/>
  <c r="B1905"/>
  <c r="O1904"/>
  <c r="J1904"/>
  <c r="I1904"/>
  <c r="Q1904" s="1"/>
  <c r="F1904"/>
  <c r="B1904"/>
  <c r="O1903"/>
  <c r="J1903"/>
  <c r="I1903"/>
  <c r="Q1903" s="1"/>
  <c r="F1903"/>
  <c r="B1903"/>
  <c r="O1902"/>
  <c r="J1902"/>
  <c r="I1902"/>
  <c r="Q1902" s="1"/>
  <c r="F1902"/>
  <c r="B1902"/>
  <c r="O1901"/>
  <c r="J1901"/>
  <c r="I1901"/>
  <c r="Q1901" s="1"/>
  <c r="F1901"/>
  <c r="B1901"/>
  <c r="O1900"/>
  <c r="J1900"/>
  <c r="I1900"/>
  <c r="Q1900" s="1"/>
  <c r="F1900"/>
  <c r="B1900"/>
  <c r="O1899"/>
  <c r="J1899"/>
  <c r="I1899"/>
  <c r="Q1899" s="1"/>
  <c r="F1899"/>
  <c r="B1899"/>
  <c r="O1898"/>
  <c r="J1898"/>
  <c r="I1898"/>
  <c r="Q1898" s="1"/>
  <c r="F1898"/>
  <c r="B1898"/>
  <c r="O1897"/>
  <c r="J1897"/>
  <c r="I1897"/>
  <c r="Q1897" s="1"/>
  <c r="F1897"/>
  <c r="B1897"/>
  <c r="O1896"/>
  <c r="J1896"/>
  <c r="I1896"/>
  <c r="Q1896" s="1"/>
  <c r="F1896"/>
  <c r="B1896"/>
  <c r="O1895"/>
  <c r="J1895"/>
  <c r="I1895"/>
  <c r="Q1895" s="1"/>
  <c r="F1895"/>
  <c r="B1895"/>
  <c r="O1894"/>
  <c r="J1894"/>
  <c r="I1894"/>
  <c r="Q1894" s="1"/>
  <c r="F1894"/>
  <c r="B1894"/>
  <c r="O1893"/>
  <c r="J1893"/>
  <c r="I1893"/>
  <c r="Q1893" s="1"/>
  <c r="F1893"/>
  <c r="B1893"/>
  <c r="O1892"/>
  <c r="J1892"/>
  <c r="I1892"/>
  <c r="Q1892" s="1"/>
  <c r="F1892"/>
  <c r="B1892"/>
  <c r="O1891"/>
  <c r="J1891"/>
  <c r="I1891"/>
  <c r="Q1891" s="1"/>
  <c r="F1891"/>
  <c r="B1891"/>
  <c r="O1890"/>
  <c r="J1890"/>
  <c r="I1890"/>
  <c r="Q1890" s="1"/>
  <c r="F1890"/>
  <c r="B1890"/>
  <c r="O1889"/>
  <c r="J1889"/>
  <c r="I1889"/>
  <c r="Q1889" s="1"/>
  <c r="F1889"/>
  <c r="B1889"/>
  <c r="O1888"/>
  <c r="J1888"/>
  <c r="I1888"/>
  <c r="Q1888" s="1"/>
  <c r="F1888"/>
  <c r="B1888"/>
  <c r="O1887"/>
  <c r="J1887"/>
  <c r="I1887"/>
  <c r="Q1887" s="1"/>
  <c r="F1887"/>
  <c r="B1887"/>
  <c r="O1886"/>
  <c r="J1886"/>
  <c r="I1886"/>
  <c r="Q1886" s="1"/>
  <c r="F1886"/>
  <c r="B1886"/>
  <c r="O1885"/>
  <c r="J1885"/>
  <c r="I1885"/>
  <c r="Q1885" s="1"/>
  <c r="F1885"/>
  <c r="B1885"/>
  <c r="O1884"/>
  <c r="J1884"/>
  <c r="I1884"/>
  <c r="Q1884" s="1"/>
  <c r="F1884"/>
  <c r="B1884"/>
  <c r="O1883"/>
  <c r="J1883"/>
  <c r="I1883"/>
  <c r="Q1883" s="1"/>
  <c r="F1883"/>
  <c r="B1883"/>
  <c r="O1882"/>
  <c r="J1882"/>
  <c r="I1882"/>
  <c r="Q1882" s="1"/>
  <c r="F1882"/>
  <c r="B1882"/>
  <c r="O1881"/>
  <c r="J1881"/>
  <c r="I1881"/>
  <c r="Q1881" s="1"/>
  <c r="F1881"/>
  <c r="B1881"/>
  <c r="O1880"/>
  <c r="J1880"/>
  <c r="I1880"/>
  <c r="Q1880" s="1"/>
  <c r="F1880"/>
  <c r="B1880"/>
  <c r="O1879"/>
  <c r="J1879"/>
  <c r="I1879"/>
  <c r="Q1879" s="1"/>
  <c r="F1879"/>
  <c r="B1879"/>
  <c r="O1878"/>
  <c r="J1878"/>
  <c r="I1878"/>
  <c r="Q1878" s="1"/>
  <c r="F1878"/>
  <c r="B1878"/>
  <c r="O1877"/>
  <c r="J1877"/>
  <c r="I1877"/>
  <c r="Q1877" s="1"/>
  <c r="F1877"/>
  <c r="B1877"/>
  <c r="O1876"/>
  <c r="J1876"/>
  <c r="I1876"/>
  <c r="Q1876" s="1"/>
  <c r="F1876"/>
  <c r="B1876"/>
  <c r="O1875"/>
  <c r="J1875"/>
  <c r="I1875"/>
  <c r="Q1875" s="1"/>
  <c r="F1875"/>
  <c r="B1875"/>
  <c r="O1874"/>
  <c r="J1874"/>
  <c r="I1874"/>
  <c r="Q1874" s="1"/>
  <c r="F1874"/>
  <c r="B1874"/>
  <c r="O1873"/>
  <c r="J1873"/>
  <c r="I1873"/>
  <c r="Q1873" s="1"/>
  <c r="F1873"/>
  <c r="B1873"/>
  <c r="O1872"/>
  <c r="J1872"/>
  <c r="I1872"/>
  <c r="Q1872" s="1"/>
  <c r="F1872"/>
  <c r="B1872"/>
  <c r="O1871"/>
  <c r="J1871"/>
  <c r="I1871"/>
  <c r="Q1871" s="1"/>
  <c r="F1871"/>
  <c r="B1871"/>
  <c r="O1870"/>
  <c r="J1870"/>
  <c r="I1870"/>
  <c r="Q1870" s="1"/>
  <c r="F1870"/>
  <c r="B1870"/>
  <c r="O1869"/>
  <c r="J1869"/>
  <c r="I1869"/>
  <c r="Q1869" s="1"/>
  <c r="F1869"/>
  <c r="B1869"/>
  <c r="O1868"/>
  <c r="J1868"/>
  <c r="I1868"/>
  <c r="Q1868" s="1"/>
  <c r="F1868"/>
  <c r="B1868"/>
  <c r="O1867"/>
  <c r="J1867"/>
  <c r="I1867"/>
  <c r="Q1867" s="1"/>
  <c r="F1867"/>
  <c r="B1867"/>
  <c r="O1866"/>
  <c r="J1866"/>
  <c r="I1866"/>
  <c r="Q1866" s="1"/>
  <c r="F1866"/>
  <c r="B1866"/>
  <c r="O1865"/>
  <c r="J1865"/>
  <c r="I1865"/>
  <c r="Q1865" s="1"/>
  <c r="F1865"/>
  <c r="B1865"/>
  <c r="O1864"/>
  <c r="J1864"/>
  <c r="I1864"/>
  <c r="Q1864" s="1"/>
  <c r="F1864"/>
  <c r="B1864"/>
  <c r="O1863"/>
  <c r="J1863"/>
  <c r="I1863"/>
  <c r="Q1863" s="1"/>
  <c r="F1863"/>
  <c r="B1863"/>
  <c r="O1862"/>
  <c r="J1862"/>
  <c r="I1862"/>
  <c r="Q1862" s="1"/>
  <c r="F1862"/>
  <c r="B1862"/>
  <c r="O1861"/>
  <c r="J1861"/>
  <c r="I1861"/>
  <c r="Q1861" s="1"/>
  <c r="F1861"/>
  <c r="B1861"/>
  <c r="O1860"/>
  <c r="J1860"/>
  <c r="I1860"/>
  <c r="Q1860" s="1"/>
  <c r="F1860"/>
  <c r="B1860"/>
  <c r="O1859"/>
  <c r="J1859"/>
  <c r="I1859"/>
  <c r="Q1859" s="1"/>
  <c r="F1859"/>
  <c r="B1859"/>
  <c r="O1858"/>
  <c r="J1858"/>
  <c r="I1858"/>
  <c r="Q1858" s="1"/>
  <c r="F1858"/>
  <c r="B1858"/>
  <c r="O1857"/>
  <c r="J1857"/>
  <c r="I1857"/>
  <c r="Q1857" s="1"/>
  <c r="F1857"/>
  <c r="B1857"/>
  <c r="O1856"/>
  <c r="J1856"/>
  <c r="I1856"/>
  <c r="Q1856" s="1"/>
  <c r="F1856"/>
  <c r="B1856"/>
  <c r="O1855"/>
  <c r="J1855"/>
  <c r="I1855"/>
  <c r="Q1855" s="1"/>
  <c r="F1855"/>
  <c r="B1855"/>
  <c r="O1854"/>
  <c r="J1854"/>
  <c r="I1854"/>
  <c r="Q1854" s="1"/>
  <c r="F1854"/>
  <c r="B1854"/>
  <c r="O1853"/>
  <c r="J1853"/>
  <c r="I1853"/>
  <c r="Q1853" s="1"/>
  <c r="F1853"/>
  <c r="B1853"/>
  <c r="O1852"/>
  <c r="J1852"/>
  <c r="I1852"/>
  <c r="Q1852" s="1"/>
  <c r="F1852"/>
  <c r="B1852"/>
  <c r="O1851"/>
  <c r="J1851"/>
  <c r="I1851"/>
  <c r="Q1851" s="1"/>
  <c r="F1851"/>
  <c r="B1851"/>
  <c r="O1850"/>
  <c r="J1850"/>
  <c r="I1850"/>
  <c r="Q1850" s="1"/>
  <c r="F1850"/>
  <c r="B1850"/>
  <c r="O1849"/>
  <c r="J1849"/>
  <c r="I1849"/>
  <c r="Q1849" s="1"/>
  <c r="F1849"/>
  <c r="B1849"/>
  <c r="O1848"/>
  <c r="J1848"/>
  <c r="I1848"/>
  <c r="Q1848" s="1"/>
  <c r="F1848"/>
  <c r="B1848"/>
  <c r="O1847"/>
  <c r="J1847"/>
  <c r="I1847"/>
  <c r="Q1847" s="1"/>
  <c r="F1847"/>
  <c r="B1847"/>
  <c r="O1846"/>
  <c r="J1846"/>
  <c r="I1846"/>
  <c r="Q1846" s="1"/>
  <c r="F1846"/>
  <c r="B1846"/>
  <c r="O1845"/>
  <c r="J1845"/>
  <c r="I1845"/>
  <c r="Q1845" s="1"/>
  <c r="F1845"/>
  <c r="B1845"/>
  <c r="O1844"/>
  <c r="J1844"/>
  <c r="I1844"/>
  <c r="Q1844" s="1"/>
  <c r="F1844"/>
  <c r="B1844"/>
  <c r="O1843"/>
  <c r="J1843"/>
  <c r="I1843"/>
  <c r="Q1843" s="1"/>
  <c r="F1843"/>
  <c r="B1843"/>
  <c r="O1842"/>
  <c r="J1842"/>
  <c r="I1842"/>
  <c r="Q1842" s="1"/>
  <c r="F1842"/>
  <c r="B1842"/>
  <c r="O1841"/>
  <c r="J1841"/>
  <c r="I1841"/>
  <c r="Q1841" s="1"/>
  <c r="F1841"/>
  <c r="B1841"/>
  <c r="O1840"/>
  <c r="J1840"/>
  <c r="I1840"/>
  <c r="Q1840" s="1"/>
  <c r="F1840"/>
  <c r="B1840"/>
  <c r="O1839"/>
  <c r="J1839"/>
  <c r="I1839"/>
  <c r="Q1839" s="1"/>
  <c r="F1839"/>
  <c r="B1839"/>
  <c r="O1838"/>
  <c r="J1838"/>
  <c r="I1838"/>
  <c r="Q1838" s="1"/>
  <c r="F1838"/>
  <c r="B1838"/>
  <c r="O1837"/>
  <c r="J1837"/>
  <c r="I1837"/>
  <c r="Q1837" s="1"/>
  <c r="F1837"/>
  <c r="B1837"/>
  <c r="O1836"/>
  <c r="J1836"/>
  <c r="I1836"/>
  <c r="Q1836" s="1"/>
  <c r="F1836"/>
  <c r="B1836"/>
  <c r="O1835"/>
  <c r="J1835"/>
  <c r="I1835"/>
  <c r="Q1835" s="1"/>
  <c r="F1835"/>
  <c r="B1835"/>
  <c r="O1834"/>
  <c r="J1834"/>
  <c r="I1834"/>
  <c r="Q1834" s="1"/>
  <c r="F1834"/>
  <c r="B1834"/>
  <c r="O1833"/>
  <c r="J1833"/>
  <c r="I1833"/>
  <c r="Q1833" s="1"/>
  <c r="F1833"/>
  <c r="B1833"/>
  <c r="O1832"/>
  <c r="J1832"/>
  <c r="I1832"/>
  <c r="Q1832" s="1"/>
  <c r="F1832"/>
  <c r="B1832"/>
  <c r="O1831"/>
  <c r="J1831"/>
  <c r="I1831"/>
  <c r="Q1831" s="1"/>
  <c r="F1831"/>
  <c r="B1831"/>
  <c r="O1830"/>
  <c r="J1830"/>
  <c r="I1830"/>
  <c r="Q1830" s="1"/>
  <c r="F1830"/>
  <c r="B1830"/>
  <c r="O1829"/>
  <c r="J1829"/>
  <c r="I1829"/>
  <c r="Q1829" s="1"/>
  <c r="F1829"/>
  <c r="B1829"/>
  <c r="O1828"/>
  <c r="J1828"/>
  <c r="I1828"/>
  <c r="Q1828" s="1"/>
  <c r="F1828"/>
  <c r="B1828"/>
  <c r="O1827"/>
  <c r="J1827"/>
  <c r="I1827"/>
  <c r="Q1827" s="1"/>
  <c r="F1827"/>
  <c r="B1827"/>
  <c r="O1826"/>
  <c r="J1826"/>
  <c r="I1826"/>
  <c r="Q1826" s="1"/>
  <c r="F1826"/>
  <c r="B1826"/>
  <c r="O1825"/>
  <c r="J1825"/>
  <c r="I1825"/>
  <c r="Q1825" s="1"/>
  <c r="F1825"/>
  <c r="B1825"/>
  <c r="O1824"/>
  <c r="J1824"/>
  <c r="I1824"/>
  <c r="Q1824" s="1"/>
  <c r="F1824"/>
  <c r="B1824"/>
  <c r="O1823"/>
  <c r="J1823"/>
  <c r="I1823"/>
  <c r="Q1823" s="1"/>
  <c r="F1823"/>
  <c r="B1823"/>
  <c r="O1822"/>
  <c r="J1822"/>
  <c r="I1822"/>
  <c r="Q1822" s="1"/>
  <c r="F1822"/>
  <c r="B1822"/>
  <c r="O1821"/>
  <c r="J1821"/>
  <c r="I1821"/>
  <c r="Q1821" s="1"/>
  <c r="F1821"/>
  <c r="B1821"/>
  <c r="O1820"/>
  <c r="J1820"/>
  <c r="I1820"/>
  <c r="Q1820" s="1"/>
  <c r="F1820"/>
  <c r="B1820"/>
  <c r="O1819"/>
  <c r="J1819"/>
  <c r="I1819"/>
  <c r="Q1819" s="1"/>
  <c r="F1819"/>
  <c r="B1819"/>
  <c r="O1818"/>
  <c r="J1818"/>
  <c r="I1818"/>
  <c r="Q1818" s="1"/>
  <c r="F1818"/>
  <c r="B1818"/>
  <c r="O1817"/>
  <c r="J1817"/>
  <c r="I1817"/>
  <c r="Q1817" s="1"/>
  <c r="F1817"/>
  <c r="B1817"/>
  <c r="O1816"/>
  <c r="J1816"/>
  <c r="I1816"/>
  <c r="Q1816" s="1"/>
  <c r="F1816"/>
  <c r="B1816"/>
  <c r="O1815"/>
  <c r="J1815"/>
  <c r="I1815"/>
  <c r="Q1815" s="1"/>
  <c r="F1815"/>
  <c r="B1815"/>
  <c r="O1814"/>
  <c r="J1814"/>
  <c r="I1814"/>
  <c r="Q1814" s="1"/>
  <c r="F1814"/>
  <c r="B1814"/>
  <c r="O1813"/>
  <c r="J1813"/>
  <c r="I1813"/>
  <c r="Q1813" s="1"/>
  <c r="F1813"/>
  <c r="B1813"/>
  <c r="O1812"/>
  <c r="J1812"/>
  <c r="I1812"/>
  <c r="Q1812" s="1"/>
  <c r="F1812"/>
  <c r="B1812"/>
  <c r="O1811"/>
  <c r="J1811"/>
  <c r="I1811"/>
  <c r="Q1811" s="1"/>
  <c r="F1811"/>
  <c r="B1811"/>
  <c r="O1810"/>
  <c r="J1810"/>
  <c r="I1810"/>
  <c r="Q1810" s="1"/>
  <c r="F1810"/>
  <c r="B1810"/>
  <c r="O1809"/>
  <c r="J1809"/>
  <c r="I1809"/>
  <c r="Q1809" s="1"/>
  <c r="F1809"/>
  <c r="B1809"/>
  <c r="O1808"/>
  <c r="J1808"/>
  <c r="I1808"/>
  <c r="Q1808" s="1"/>
  <c r="F1808"/>
  <c r="B1808"/>
  <c r="O1807"/>
  <c r="J1807"/>
  <c r="I1807"/>
  <c r="Q1807" s="1"/>
  <c r="F1807"/>
  <c r="B1807"/>
  <c r="O1806"/>
  <c r="J1806"/>
  <c r="I1806"/>
  <c r="Q1806" s="1"/>
  <c r="F1806"/>
  <c r="B1806"/>
  <c r="O1805"/>
  <c r="J1805"/>
  <c r="I1805"/>
  <c r="Q1805" s="1"/>
  <c r="F1805"/>
  <c r="B1805"/>
  <c r="O1804"/>
  <c r="J1804"/>
  <c r="I1804"/>
  <c r="Q1804" s="1"/>
  <c r="F1804"/>
  <c r="B1804"/>
  <c r="O1803"/>
  <c r="J1803"/>
  <c r="I1803"/>
  <c r="Q1803" s="1"/>
  <c r="F1803"/>
  <c r="B1803"/>
  <c r="O1802"/>
  <c r="J1802"/>
  <c r="I1802"/>
  <c r="Q1802" s="1"/>
  <c r="F1802"/>
  <c r="B1802"/>
  <c r="O1801"/>
  <c r="J1801"/>
  <c r="I1801"/>
  <c r="Q1801" s="1"/>
  <c r="F1801"/>
  <c r="B1801"/>
  <c r="O1800"/>
  <c r="J1800"/>
  <c r="I1800"/>
  <c r="Q1800" s="1"/>
  <c r="F1800"/>
  <c r="B1800"/>
  <c r="O1799"/>
  <c r="J1799"/>
  <c r="I1799"/>
  <c r="Q1799" s="1"/>
  <c r="F1799"/>
  <c r="B1799"/>
  <c r="O1798"/>
  <c r="J1798"/>
  <c r="I1798"/>
  <c r="Q1798" s="1"/>
  <c r="F1798"/>
  <c r="B1798"/>
  <c r="O1797"/>
  <c r="J1797"/>
  <c r="I1797"/>
  <c r="Q1797" s="1"/>
  <c r="F1797"/>
  <c r="B1797"/>
  <c r="O1796"/>
  <c r="J1796"/>
  <c r="I1796"/>
  <c r="Q1796" s="1"/>
  <c r="F1796"/>
  <c r="B1796"/>
  <c r="O1795"/>
  <c r="J1795"/>
  <c r="I1795"/>
  <c r="Q1795" s="1"/>
  <c r="F1795"/>
  <c r="B1795"/>
  <c r="O1794"/>
  <c r="J1794"/>
  <c r="I1794"/>
  <c r="Q1794" s="1"/>
  <c r="F1794"/>
  <c r="B1794"/>
  <c r="O1793"/>
  <c r="J1793"/>
  <c r="I1793"/>
  <c r="Q1793" s="1"/>
  <c r="F1793"/>
  <c r="B1793"/>
  <c r="O1792"/>
  <c r="J1792"/>
  <c r="I1792"/>
  <c r="Q1792" s="1"/>
  <c r="F1792"/>
  <c r="B1792"/>
  <c r="O1791"/>
  <c r="J1791"/>
  <c r="I1791"/>
  <c r="Q1791" s="1"/>
  <c r="F1791"/>
  <c r="B1791"/>
  <c r="O1790"/>
  <c r="J1790"/>
  <c r="I1790"/>
  <c r="Q1790" s="1"/>
  <c r="F1790"/>
  <c r="B1790"/>
  <c r="O1789"/>
  <c r="J1789"/>
  <c r="I1789"/>
  <c r="Q1789" s="1"/>
  <c r="F1789"/>
  <c r="B1789"/>
  <c r="O1788"/>
  <c r="J1788"/>
  <c r="I1788"/>
  <c r="Q1788" s="1"/>
  <c r="F1788"/>
  <c r="B1788"/>
  <c r="O1787"/>
  <c r="J1787"/>
  <c r="I1787"/>
  <c r="Q1787" s="1"/>
  <c r="F1787"/>
  <c r="B1787"/>
  <c r="O1786"/>
  <c r="J1786"/>
  <c r="I1786"/>
  <c r="Q1786" s="1"/>
  <c r="F1786"/>
  <c r="B1786"/>
  <c r="O1785"/>
  <c r="J1785"/>
  <c r="I1785"/>
  <c r="Q1785" s="1"/>
  <c r="F1785"/>
  <c r="B1785"/>
  <c r="O1784"/>
  <c r="J1784"/>
  <c r="I1784"/>
  <c r="Q1784" s="1"/>
  <c r="F1784"/>
  <c r="B1784"/>
  <c r="O1783"/>
  <c r="J1783"/>
  <c r="I1783"/>
  <c r="Q1783" s="1"/>
  <c r="F1783"/>
  <c r="B1783"/>
  <c r="O1782"/>
  <c r="J1782"/>
  <c r="I1782"/>
  <c r="Q1782" s="1"/>
  <c r="F1782"/>
  <c r="B1782"/>
  <c r="O1781"/>
  <c r="J1781"/>
  <c r="I1781"/>
  <c r="Q1781" s="1"/>
  <c r="F1781"/>
  <c r="B1781"/>
  <c r="O1780"/>
  <c r="J1780"/>
  <c r="I1780"/>
  <c r="Q1780" s="1"/>
  <c r="F1780"/>
  <c r="B1780"/>
  <c r="O1779"/>
  <c r="J1779"/>
  <c r="I1779"/>
  <c r="Q1779" s="1"/>
  <c r="F1779"/>
  <c r="B1779"/>
  <c r="O1778"/>
  <c r="J1778"/>
  <c r="I1778"/>
  <c r="Q1778" s="1"/>
  <c r="F1778"/>
  <c r="B1778"/>
  <c r="O1777"/>
  <c r="J1777"/>
  <c r="I1777"/>
  <c r="Q1777" s="1"/>
  <c r="F1777"/>
  <c r="B1777"/>
  <c r="O1776"/>
  <c r="J1776"/>
  <c r="I1776"/>
  <c r="Q1776" s="1"/>
  <c r="F1776"/>
  <c r="B1776"/>
  <c r="O1775"/>
  <c r="J1775"/>
  <c r="I1775"/>
  <c r="Q1775" s="1"/>
  <c r="F1775"/>
  <c r="B1775"/>
  <c r="O1774"/>
  <c r="J1774"/>
  <c r="I1774"/>
  <c r="Q1774" s="1"/>
  <c r="F1774"/>
  <c r="B1774"/>
  <c r="O1773"/>
  <c r="J1773"/>
  <c r="I1773"/>
  <c r="Q1773" s="1"/>
  <c r="F1773"/>
  <c r="B1773"/>
  <c r="O1772"/>
  <c r="J1772"/>
  <c r="I1772"/>
  <c r="Q1772" s="1"/>
  <c r="F1772"/>
  <c r="B1772"/>
  <c r="O1771"/>
  <c r="J1771"/>
  <c r="I1771"/>
  <c r="Q1771" s="1"/>
  <c r="F1771"/>
  <c r="B1771"/>
  <c r="O1770"/>
  <c r="J1770"/>
  <c r="I1770"/>
  <c r="Q1770" s="1"/>
  <c r="F1770"/>
  <c r="B1770"/>
  <c r="O1769"/>
  <c r="J1769"/>
  <c r="I1769"/>
  <c r="Q1769" s="1"/>
  <c r="F1769"/>
  <c r="B1769"/>
  <c r="O1768"/>
  <c r="J1768"/>
  <c r="I1768"/>
  <c r="Q1768" s="1"/>
  <c r="F1768"/>
  <c r="B1768"/>
  <c r="O1767"/>
  <c r="J1767"/>
  <c r="I1767"/>
  <c r="Q1767" s="1"/>
  <c r="F1767"/>
  <c r="B1767"/>
  <c r="O1766"/>
  <c r="J1766"/>
  <c r="I1766"/>
  <c r="Q1766" s="1"/>
  <c r="F1766"/>
  <c r="B1766"/>
  <c r="O1765"/>
  <c r="J1765"/>
  <c r="I1765"/>
  <c r="Q1765" s="1"/>
  <c r="F1765"/>
  <c r="B1765"/>
  <c r="O1764"/>
  <c r="J1764"/>
  <c r="I1764"/>
  <c r="Q1764" s="1"/>
  <c r="F1764"/>
  <c r="B1764"/>
  <c r="O1763"/>
  <c r="J1763"/>
  <c r="I1763"/>
  <c r="Q1763" s="1"/>
  <c r="F1763"/>
  <c r="B1763"/>
  <c r="O1762"/>
  <c r="J1762"/>
  <c r="I1762"/>
  <c r="Q1762" s="1"/>
  <c r="F1762"/>
  <c r="B1762"/>
  <c r="O1761"/>
  <c r="J1761"/>
  <c r="I1761"/>
  <c r="Q1761" s="1"/>
  <c r="F1761"/>
  <c r="B1761"/>
  <c r="O1760"/>
  <c r="J1760"/>
  <c r="I1760"/>
  <c r="Q1760" s="1"/>
  <c r="F1760"/>
  <c r="B1760"/>
  <c r="O1759"/>
  <c r="J1759"/>
  <c r="I1759"/>
  <c r="Q1759" s="1"/>
  <c r="F1759"/>
  <c r="B1759"/>
  <c r="O1758"/>
  <c r="J1758"/>
  <c r="I1758"/>
  <c r="Q1758" s="1"/>
  <c r="F1758"/>
  <c r="B1758"/>
  <c r="O1757"/>
  <c r="J1757"/>
  <c r="I1757"/>
  <c r="Q1757" s="1"/>
  <c r="F1757"/>
  <c r="B1757"/>
  <c r="O1756"/>
  <c r="J1756"/>
  <c r="I1756"/>
  <c r="Q1756" s="1"/>
  <c r="F1756"/>
  <c r="B1756"/>
  <c r="O1755"/>
  <c r="J1755"/>
  <c r="I1755"/>
  <c r="Q1755" s="1"/>
  <c r="F1755"/>
  <c r="B1755"/>
  <c r="O1754"/>
  <c r="J1754"/>
  <c r="I1754"/>
  <c r="Q1754" s="1"/>
  <c r="F1754"/>
  <c r="B1754"/>
  <c r="O1753"/>
  <c r="J1753"/>
  <c r="I1753"/>
  <c r="Q1753" s="1"/>
  <c r="B1753"/>
  <c r="O1752"/>
  <c r="J1752"/>
  <c r="I1752"/>
  <c r="Q1752" s="1"/>
  <c r="B1752"/>
  <c r="O1751"/>
  <c r="J1751"/>
  <c r="I1751"/>
  <c r="Q1751" s="1"/>
  <c r="B1751"/>
  <c r="O1750"/>
  <c r="J1750"/>
  <c r="I1750"/>
  <c r="Q1750" s="1"/>
  <c r="B1750"/>
  <c r="O1749"/>
  <c r="J1749"/>
  <c r="I1749"/>
  <c r="Q1749" s="1"/>
  <c r="B1749"/>
  <c r="O1748"/>
  <c r="J1748"/>
  <c r="I1748"/>
  <c r="Q1748" s="1"/>
  <c r="B1748"/>
  <c r="O1747"/>
  <c r="J1747"/>
  <c r="I1747"/>
  <c r="Q1747" s="1"/>
  <c r="B1747"/>
  <c r="O1746"/>
  <c r="J1746"/>
  <c r="I1746"/>
  <c r="Q1746" s="1"/>
  <c r="B1746"/>
  <c r="O1744"/>
  <c r="J1744"/>
  <c r="I1744"/>
  <c r="Q1744" s="1"/>
  <c r="F1744"/>
  <c r="B1744"/>
  <c r="O1743"/>
  <c r="J1743"/>
  <c r="I1743"/>
  <c r="Q1743" s="1"/>
  <c r="F1743"/>
  <c r="B1743"/>
  <c r="O1742"/>
  <c r="J1742"/>
  <c r="I1742"/>
  <c r="Q1742" s="1"/>
  <c r="F1742"/>
  <c r="B1742"/>
  <c r="O1741"/>
  <c r="J1741"/>
  <c r="I1741"/>
  <c r="Q1741" s="1"/>
  <c r="F1741"/>
  <c r="B1741"/>
  <c r="O1740"/>
  <c r="J1740"/>
  <c r="I1740"/>
  <c r="Q1740" s="1"/>
  <c r="F1740"/>
  <c r="B1740"/>
  <c r="O1739"/>
  <c r="J1739"/>
  <c r="I1739"/>
  <c r="Q1739" s="1"/>
  <c r="F1739"/>
  <c r="B1739"/>
  <c r="O1738"/>
  <c r="J1738"/>
  <c r="I1738"/>
  <c r="Q1738" s="1"/>
  <c r="F1738"/>
  <c r="B1738"/>
  <c r="O1737"/>
  <c r="J1737"/>
  <c r="I1737"/>
  <c r="Q1737" s="1"/>
  <c r="F1737"/>
  <c r="B1737"/>
  <c r="O1736"/>
  <c r="J1736"/>
  <c r="I1736"/>
  <c r="Q1736" s="1"/>
  <c r="F1736"/>
  <c r="B1736"/>
  <c r="O1735"/>
  <c r="J1735"/>
  <c r="I1735"/>
  <c r="Q1735" s="1"/>
  <c r="F1735"/>
  <c r="B1735"/>
  <c r="O1734"/>
  <c r="J1734"/>
  <c r="I1734"/>
  <c r="Q1734" s="1"/>
  <c r="F1734"/>
  <c r="B1734"/>
  <c r="O1733"/>
  <c r="J1733"/>
  <c r="I1733"/>
  <c r="Q1733" s="1"/>
  <c r="F1733"/>
  <c r="B1733"/>
  <c r="O1732"/>
  <c r="J1732"/>
  <c r="I1732"/>
  <c r="Q1732" s="1"/>
  <c r="F1732"/>
  <c r="B1732"/>
  <c r="O1731"/>
  <c r="J1731"/>
  <c r="I1731"/>
  <c r="Q1731" s="1"/>
  <c r="F1731"/>
  <c r="B1731"/>
  <c r="O1730"/>
  <c r="J1730"/>
  <c r="I1730"/>
  <c r="Q1730" s="1"/>
  <c r="F1730"/>
  <c r="B1730"/>
  <c r="O1729"/>
  <c r="J1729"/>
  <c r="I1729"/>
  <c r="Q1729" s="1"/>
  <c r="F1729"/>
  <c r="B1729"/>
  <c r="O1728"/>
  <c r="J1728"/>
  <c r="I1728"/>
  <c r="Q1728" s="1"/>
  <c r="F1728"/>
  <c r="B1728"/>
  <c r="O1727"/>
  <c r="J1727"/>
  <c r="I1727"/>
  <c r="Q1727" s="1"/>
  <c r="F1727"/>
  <c r="B1727"/>
  <c r="O1726"/>
  <c r="J1726"/>
  <c r="I1726"/>
  <c r="Q1726" s="1"/>
  <c r="F1726"/>
  <c r="B1726"/>
  <c r="O1725"/>
  <c r="J1725"/>
  <c r="I1725"/>
  <c r="Q1725" s="1"/>
  <c r="F1725"/>
  <c r="B1725"/>
  <c r="O1724"/>
  <c r="J1724"/>
  <c r="I1724"/>
  <c r="Q1724" s="1"/>
  <c r="F1724"/>
  <c r="B1724"/>
  <c r="O1723"/>
  <c r="J1723"/>
  <c r="I1723"/>
  <c r="Q1723" s="1"/>
  <c r="F1723"/>
  <c r="B1723"/>
  <c r="O1722"/>
  <c r="J1722"/>
  <c r="I1722"/>
  <c r="Q1722" s="1"/>
  <c r="F1722"/>
  <c r="B1722"/>
  <c r="O1721"/>
  <c r="J1721"/>
  <c r="I1721"/>
  <c r="Q1721" s="1"/>
  <c r="F1721"/>
  <c r="B1721"/>
  <c r="O1720"/>
  <c r="J1720"/>
  <c r="I1720"/>
  <c r="Q1720" s="1"/>
  <c r="F1720"/>
  <c r="B1720"/>
  <c r="O1719"/>
  <c r="J1719"/>
  <c r="I1719"/>
  <c r="Q1719" s="1"/>
  <c r="F1719"/>
  <c r="B1719"/>
  <c r="O1718"/>
  <c r="J1718"/>
  <c r="I1718"/>
  <c r="Q1718" s="1"/>
  <c r="F1718"/>
  <c r="B1718"/>
  <c r="O1717"/>
  <c r="J1717"/>
  <c r="I1717"/>
  <c r="Q1717" s="1"/>
  <c r="F1717"/>
  <c r="B1717"/>
  <c r="O1716"/>
  <c r="J1716"/>
  <c r="I1716"/>
  <c r="Q1716" s="1"/>
  <c r="F1716"/>
  <c r="B1716"/>
  <c r="O1715"/>
  <c r="J1715"/>
  <c r="I1715"/>
  <c r="Q1715" s="1"/>
  <c r="F1715"/>
  <c r="B1715"/>
  <c r="O1714"/>
  <c r="J1714"/>
  <c r="I1714"/>
  <c r="Q1714" s="1"/>
  <c r="F1714"/>
  <c r="B1714"/>
  <c r="O1713"/>
  <c r="J1713"/>
  <c r="I1713"/>
  <c r="Q1713" s="1"/>
  <c r="F1713"/>
  <c r="B1713"/>
  <c r="O1712"/>
  <c r="J1712"/>
  <c r="I1712"/>
  <c r="Q1712" s="1"/>
  <c r="F1712"/>
  <c r="B1712"/>
  <c r="O1711"/>
  <c r="J1711"/>
  <c r="I1711"/>
  <c r="Q1711" s="1"/>
  <c r="F1711"/>
  <c r="B1711"/>
  <c r="O1710"/>
  <c r="J1710"/>
  <c r="I1710"/>
  <c r="Q1710" s="1"/>
  <c r="F1710"/>
  <c r="B1710"/>
  <c r="O1709"/>
  <c r="J1709"/>
  <c r="I1709"/>
  <c r="Q1709" s="1"/>
  <c r="F1709"/>
  <c r="B1709"/>
  <c r="O1708"/>
  <c r="J1708"/>
  <c r="I1708"/>
  <c r="Q1708" s="1"/>
  <c r="F1708"/>
  <c r="B1708"/>
  <c r="O1707"/>
  <c r="J1707"/>
  <c r="I1707"/>
  <c r="Q1707" s="1"/>
  <c r="F1707"/>
  <c r="B1707"/>
  <c r="O1706"/>
  <c r="J1706"/>
  <c r="I1706"/>
  <c r="Q1706" s="1"/>
  <c r="F1706"/>
  <c r="B1706"/>
  <c r="O1705"/>
  <c r="J1705"/>
  <c r="I1705"/>
  <c r="Q1705" s="1"/>
  <c r="F1705"/>
  <c r="B1705"/>
  <c r="O1704"/>
  <c r="J1704"/>
  <c r="I1704"/>
  <c r="Q1704" s="1"/>
  <c r="F1704"/>
  <c r="B1704"/>
  <c r="O1703"/>
  <c r="J1703"/>
  <c r="I1703"/>
  <c r="Q1703" s="1"/>
  <c r="F1703"/>
  <c r="B1703"/>
  <c r="O1702"/>
  <c r="J1702"/>
  <c r="I1702"/>
  <c r="Q1702" s="1"/>
  <c r="F1702"/>
  <c r="B1702"/>
  <c r="O1701"/>
  <c r="J1701"/>
  <c r="I1701"/>
  <c r="Q1701" s="1"/>
  <c r="F1701"/>
  <c r="B1701"/>
  <c r="O1700"/>
  <c r="J1700"/>
  <c r="I1700"/>
  <c r="Q1700" s="1"/>
  <c r="F1700"/>
  <c r="B1700"/>
  <c r="O1699"/>
  <c r="J1699"/>
  <c r="I1699"/>
  <c r="Q1699" s="1"/>
  <c r="F1699"/>
  <c r="B1699"/>
  <c r="O1698"/>
  <c r="J1698"/>
  <c r="I1698"/>
  <c r="Q1698" s="1"/>
  <c r="F1698"/>
  <c r="B1698"/>
  <c r="O1697"/>
  <c r="J1697"/>
  <c r="I1697"/>
  <c r="Q1697" s="1"/>
  <c r="F1697"/>
  <c r="B1697"/>
  <c r="O1696"/>
  <c r="J1696"/>
  <c r="I1696"/>
  <c r="Q1696" s="1"/>
  <c r="F1696"/>
  <c r="B1696"/>
  <c r="O1695"/>
  <c r="J1695"/>
  <c r="I1695"/>
  <c r="Q1695" s="1"/>
  <c r="F1695"/>
  <c r="B1695"/>
  <c r="O1694"/>
  <c r="J1694"/>
  <c r="I1694"/>
  <c r="Q1694" s="1"/>
  <c r="F1694"/>
  <c r="B1694"/>
  <c r="O1693"/>
  <c r="J1693"/>
  <c r="I1693"/>
  <c r="Q1693" s="1"/>
  <c r="F1693"/>
  <c r="B1693"/>
  <c r="O1692"/>
  <c r="J1692"/>
  <c r="I1692"/>
  <c r="Q1692" s="1"/>
  <c r="F1692"/>
  <c r="B1692"/>
  <c r="O1691"/>
  <c r="J1691"/>
  <c r="I1691"/>
  <c r="Q1691" s="1"/>
  <c r="F1691"/>
  <c r="B1691"/>
  <c r="O1690"/>
  <c r="J1690"/>
  <c r="I1690"/>
  <c r="Q1690" s="1"/>
  <c r="F1690"/>
  <c r="B1690"/>
  <c r="O1689"/>
  <c r="J1689"/>
  <c r="I1689"/>
  <c r="Q1689" s="1"/>
  <c r="F1689"/>
  <c r="B1689"/>
  <c r="O1688"/>
  <c r="J1688"/>
  <c r="I1688"/>
  <c r="Q1688" s="1"/>
  <c r="F1688"/>
  <c r="B1688"/>
  <c r="O1687"/>
  <c r="J1687"/>
  <c r="I1687"/>
  <c r="Q1687" s="1"/>
  <c r="F1687"/>
  <c r="B1687"/>
  <c r="O1686"/>
  <c r="J1686"/>
  <c r="I1686"/>
  <c r="Q1686" s="1"/>
  <c r="F1686"/>
  <c r="B1686"/>
  <c r="O1685"/>
  <c r="J1685"/>
  <c r="I1685"/>
  <c r="Q1685" s="1"/>
  <c r="F1685"/>
  <c r="B1685"/>
  <c r="O1684"/>
  <c r="J1684"/>
  <c r="I1684"/>
  <c r="Q1684" s="1"/>
  <c r="F1684"/>
  <c r="B1684"/>
  <c r="O1683"/>
  <c r="J1683"/>
  <c r="I1683"/>
  <c r="Q1683" s="1"/>
  <c r="F1683"/>
  <c r="B1683"/>
  <c r="O1682"/>
  <c r="J1682"/>
  <c r="I1682"/>
  <c r="Q1682" s="1"/>
  <c r="F1682"/>
  <c r="B1682"/>
  <c r="O1681"/>
  <c r="J1681"/>
  <c r="I1681"/>
  <c r="Q1681" s="1"/>
  <c r="F1681"/>
  <c r="B1681"/>
  <c r="O1680"/>
  <c r="J1680"/>
  <c r="I1680"/>
  <c r="Q1680" s="1"/>
  <c r="F1680"/>
  <c r="B1680"/>
  <c r="O1679"/>
  <c r="J1679"/>
  <c r="I1679"/>
  <c r="Q1679" s="1"/>
  <c r="F1679"/>
  <c r="B1679"/>
  <c r="O1678"/>
  <c r="J1678"/>
  <c r="I1678"/>
  <c r="Q1678" s="1"/>
  <c r="F1678"/>
  <c r="B1678"/>
  <c r="O1677"/>
  <c r="J1677"/>
  <c r="I1677"/>
  <c r="Q1677" s="1"/>
  <c r="F1677"/>
  <c r="B1677"/>
  <c r="O1676"/>
  <c r="J1676"/>
  <c r="I1676"/>
  <c r="Q1676" s="1"/>
  <c r="F1676"/>
  <c r="B1676"/>
  <c r="O1675"/>
  <c r="J1675"/>
  <c r="I1675"/>
  <c r="Q1675" s="1"/>
  <c r="F1675"/>
  <c r="B1675"/>
  <c r="O1674"/>
  <c r="J1674"/>
  <c r="I1674"/>
  <c r="Q1674" s="1"/>
  <c r="F1674"/>
  <c r="B1674"/>
  <c r="O1673"/>
  <c r="J1673"/>
  <c r="I1673"/>
  <c r="Q1673" s="1"/>
  <c r="F1673"/>
  <c r="B1673"/>
  <c r="O1672"/>
  <c r="J1672"/>
  <c r="I1672"/>
  <c r="Q1672" s="1"/>
  <c r="F1672"/>
  <c r="B1672"/>
  <c r="O1671"/>
  <c r="J1671"/>
  <c r="I1671"/>
  <c r="Q1671" s="1"/>
  <c r="F1671"/>
  <c r="B1671"/>
  <c r="O1670"/>
  <c r="J1670"/>
  <c r="I1670"/>
  <c r="Q1670" s="1"/>
  <c r="F1670"/>
  <c r="B1670"/>
  <c r="O1669"/>
  <c r="J1669"/>
  <c r="I1669"/>
  <c r="Q1669" s="1"/>
  <c r="F1669"/>
  <c r="B1669"/>
  <c r="O1668"/>
  <c r="J1668"/>
  <c r="I1668"/>
  <c r="Q1668" s="1"/>
  <c r="F1668"/>
  <c r="B1668"/>
  <c r="O1667"/>
  <c r="J1667"/>
  <c r="I1667"/>
  <c r="Q1667" s="1"/>
  <c r="F1667"/>
  <c r="B1667"/>
  <c r="O1666"/>
  <c r="J1666"/>
  <c r="I1666"/>
  <c r="P1666" s="1"/>
  <c r="F1666"/>
  <c r="B1666"/>
  <c r="O1665"/>
  <c r="J1665"/>
  <c r="I1665"/>
  <c r="P1665" s="1"/>
  <c r="F1665"/>
  <c r="B1665"/>
  <c r="O1664"/>
  <c r="J1664"/>
  <c r="I1664"/>
  <c r="P1664" s="1"/>
  <c r="F1664"/>
  <c r="B1664"/>
  <c r="O1663"/>
  <c r="J1663"/>
  <c r="I1663"/>
  <c r="P1663" s="1"/>
  <c r="F1663"/>
  <c r="B1663"/>
  <c r="O1662"/>
  <c r="J1662"/>
  <c r="I1662"/>
  <c r="P1662" s="1"/>
  <c r="F1662"/>
  <c r="B1662"/>
  <c r="O1661"/>
  <c r="J1661"/>
  <c r="I1661"/>
  <c r="P1661" s="1"/>
  <c r="F1661"/>
  <c r="B1661"/>
  <c r="O1660"/>
  <c r="J1660"/>
  <c r="I1660"/>
  <c r="P1660" s="1"/>
  <c r="B1660"/>
  <c r="O1659"/>
  <c r="J1659"/>
  <c r="I1659"/>
  <c r="P1659" s="1"/>
  <c r="B1659"/>
  <c r="O1658"/>
  <c r="P1658"/>
  <c r="B1658"/>
  <c r="O1657"/>
  <c r="P1657"/>
  <c r="B1657"/>
  <c r="O1656"/>
  <c r="J1656"/>
  <c r="I1656"/>
  <c r="P1656" s="1"/>
  <c r="F1656"/>
  <c r="B1656"/>
  <c r="O1655"/>
  <c r="J1655"/>
  <c r="I1655"/>
  <c r="P1655" s="1"/>
  <c r="F1655"/>
  <c r="B1655"/>
  <c r="O1654"/>
  <c r="J1654"/>
  <c r="I1654"/>
  <c r="P1654" s="1"/>
  <c r="F1654"/>
  <c r="B1654"/>
  <c r="O1653"/>
  <c r="J1653"/>
  <c r="I1653"/>
  <c r="P1653" s="1"/>
  <c r="F1653"/>
  <c r="B1653"/>
  <c r="O1652"/>
  <c r="J1652"/>
  <c r="I1652"/>
  <c r="P1652" s="1"/>
  <c r="F1652"/>
  <c r="B1652"/>
  <c r="O1651"/>
  <c r="J1651"/>
  <c r="I1651"/>
  <c r="P1651" s="1"/>
  <c r="F1651"/>
  <c r="B1651"/>
  <c r="O1650"/>
  <c r="J1650"/>
  <c r="I1650"/>
  <c r="P1650" s="1"/>
  <c r="F1650"/>
  <c r="B1650"/>
  <c r="O1649"/>
  <c r="J1649"/>
  <c r="I1649"/>
  <c r="P1649" s="1"/>
  <c r="F1649"/>
  <c r="B1649"/>
  <c r="O1648"/>
  <c r="J1648"/>
  <c r="I1648"/>
  <c r="P1648" s="1"/>
  <c r="F1648"/>
  <c r="B1648"/>
  <c r="O1647"/>
  <c r="J1647"/>
  <c r="I1647"/>
  <c r="P1647" s="1"/>
  <c r="F1647"/>
  <c r="B1647"/>
  <c r="O1646"/>
  <c r="J1646"/>
  <c r="I1646"/>
  <c r="P1646" s="1"/>
  <c r="F1646"/>
  <c r="B1646"/>
  <c r="O1645"/>
  <c r="J1645"/>
  <c r="I1645"/>
  <c r="P1645" s="1"/>
  <c r="F1645"/>
  <c r="B1645"/>
  <c r="O1644"/>
  <c r="J1644"/>
  <c r="I1644"/>
  <c r="P1644" s="1"/>
  <c r="F1644"/>
  <c r="B1644"/>
  <c r="O1643"/>
  <c r="J1643"/>
  <c r="I1643"/>
  <c r="P1643" s="1"/>
  <c r="F1643"/>
  <c r="B1643"/>
  <c r="O1642"/>
  <c r="J1642"/>
  <c r="I1642"/>
  <c r="P1642" s="1"/>
  <c r="F1642"/>
  <c r="B1642"/>
  <c r="O1641"/>
  <c r="J1641"/>
  <c r="I1641"/>
  <c r="P1641" s="1"/>
  <c r="F1641"/>
  <c r="B1641"/>
  <c r="O1640"/>
  <c r="J1640"/>
  <c r="I1640"/>
  <c r="P1640" s="1"/>
  <c r="F1640"/>
  <c r="B1640"/>
  <c r="O1639"/>
  <c r="J1639"/>
  <c r="I1639"/>
  <c r="P1639" s="1"/>
  <c r="F1639"/>
  <c r="B1639"/>
  <c r="O1638"/>
  <c r="J1638"/>
  <c r="I1638"/>
  <c r="P1638" s="1"/>
  <c r="F1638"/>
  <c r="B1638"/>
  <c r="O1637"/>
  <c r="J1637"/>
  <c r="I1637"/>
  <c r="P1637" s="1"/>
  <c r="F1637"/>
  <c r="B1637"/>
  <c r="O1636"/>
  <c r="J1636"/>
  <c r="I1636"/>
  <c r="P1636" s="1"/>
  <c r="F1636"/>
  <c r="B1636"/>
  <c r="O1635"/>
  <c r="J1635"/>
  <c r="I1635"/>
  <c r="P1635" s="1"/>
  <c r="F1635"/>
  <c r="B1635"/>
  <c r="O1634"/>
  <c r="J1634"/>
  <c r="I1634"/>
  <c r="P1634" s="1"/>
  <c r="F1634"/>
  <c r="B1634"/>
  <c r="O1633"/>
  <c r="J1633"/>
  <c r="I1633"/>
  <c r="P1633" s="1"/>
  <c r="F1633"/>
  <c r="B1633"/>
  <c r="O1632"/>
  <c r="J1632"/>
  <c r="I1632"/>
  <c r="P1632" s="1"/>
  <c r="F1632"/>
  <c r="B1632"/>
  <c r="O1631"/>
  <c r="J1631"/>
  <c r="I1631"/>
  <c r="P1631" s="1"/>
  <c r="F1631"/>
  <c r="B1631"/>
  <c r="O1630"/>
  <c r="J1630"/>
  <c r="I1630"/>
  <c r="P1630" s="1"/>
  <c r="F1630"/>
  <c r="B1630"/>
  <c r="O1629"/>
  <c r="J1629"/>
  <c r="I1629"/>
  <c r="P1629" s="1"/>
  <c r="F1629"/>
  <c r="B1629"/>
  <c r="O1628"/>
  <c r="J1628"/>
  <c r="I1628"/>
  <c r="P1628" s="1"/>
  <c r="F1628"/>
  <c r="B1628"/>
  <c r="O1627"/>
  <c r="P1627"/>
  <c r="B1627"/>
  <c r="O1626"/>
  <c r="P1626"/>
  <c r="B1626"/>
  <c r="O1625"/>
  <c r="J1625"/>
  <c r="I1625"/>
  <c r="P1625" s="1"/>
  <c r="F1625"/>
  <c r="B1625"/>
  <c r="O1624"/>
  <c r="J1624"/>
  <c r="I1624"/>
  <c r="P1624" s="1"/>
  <c r="F1624"/>
  <c r="B1624"/>
  <c r="O1623"/>
  <c r="J1623"/>
  <c r="I1623"/>
  <c r="P1623" s="1"/>
  <c r="F1623"/>
  <c r="B1623"/>
  <c r="O1622"/>
  <c r="J1622"/>
  <c r="I1622"/>
  <c r="P1622" s="1"/>
  <c r="F1622"/>
  <c r="B1622"/>
  <c r="O1621"/>
  <c r="J1621"/>
  <c r="I1621"/>
  <c r="P1621" s="1"/>
  <c r="F1621"/>
  <c r="B1621"/>
  <c r="O1620"/>
  <c r="J1620"/>
  <c r="I1620"/>
  <c r="P1620" s="1"/>
  <c r="F1620"/>
  <c r="B1620"/>
  <c r="O1619"/>
  <c r="J1619"/>
  <c r="I1619"/>
  <c r="P1619" s="1"/>
  <c r="F1619"/>
  <c r="B1619"/>
  <c r="O1618"/>
  <c r="P1618"/>
  <c r="B1618"/>
  <c r="O1617"/>
  <c r="P1617"/>
  <c r="B1617"/>
  <c r="O1616"/>
  <c r="P1616"/>
  <c r="B1616"/>
  <c r="O1615"/>
  <c r="P1615"/>
  <c r="B1615"/>
  <c r="O1614"/>
  <c r="P1614"/>
  <c r="B1614"/>
  <c r="O1613"/>
  <c r="P1613"/>
  <c r="B1613"/>
  <c r="O1612"/>
  <c r="P1612"/>
  <c r="B1612"/>
  <c r="O1611"/>
  <c r="P1611"/>
  <c r="B1611"/>
  <c r="P1610"/>
  <c r="B1610"/>
  <c r="P1609"/>
  <c r="B1609"/>
  <c r="O1608"/>
  <c r="J1608"/>
  <c r="I1608"/>
  <c r="P1608" s="1"/>
  <c r="F1608"/>
  <c r="B1608"/>
  <c r="O1607"/>
  <c r="J1607"/>
  <c r="I1607"/>
  <c r="P1607" s="1"/>
  <c r="F1607"/>
  <c r="B1607"/>
  <c r="O1606"/>
  <c r="J1606"/>
  <c r="I1606"/>
  <c r="P1606" s="1"/>
  <c r="F1606"/>
  <c r="B1606"/>
  <c r="O1605"/>
  <c r="J1605"/>
  <c r="I1605"/>
  <c r="P1605" s="1"/>
  <c r="F1605"/>
  <c r="B1605"/>
  <c r="O1604"/>
  <c r="J1604"/>
  <c r="I1604"/>
  <c r="P1604" s="1"/>
  <c r="F1604"/>
  <c r="B1604"/>
  <c r="O1603"/>
  <c r="J1603"/>
  <c r="I1603"/>
  <c r="P1603" s="1"/>
  <c r="B1603"/>
  <c r="O1602"/>
  <c r="J1602"/>
  <c r="I1602"/>
  <c r="P1602" s="1"/>
  <c r="B1602"/>
  <c r="O1601"/>
  <c r="J1601"/>
  <c r="I1601"/>
  <c r="P1601" s="1"/>
  <c r="B1601"/>
  <c r="O1600"/>
  <c r="J1600"/>
  <c r="I1600"/>
  <c r="P1600" s="1"/>
  <c r="B1600"/>
  <c r="O1599"/>
  <c r="P1599"/>
  <c r="B1599"/>
  <c r="O1598"/>
  <c r="P1598"/>
  <c r="B1598"/>
  <c r="O1597"/>
  <c r="P1597"/>
  <c r="B1597"/>
  <c r="O1596"/>
  <c r="P1596"/>
  <c r="B1596"/>
  <c r="O1595"/>
  <c r="J1595"/>
  <c r="I1595"/>
  <c r="P1595" s="1"/>
  <c r="F1595"/>
  <c r="B1595"/>
  <c r="O1594"/>
  <c r="J1594"/>
  <c r="I1594"/>
  <c r="P1594" s="1"/>
  <c r="F1594"/>
  <c r="B1594"/>
  <c r="O1593"/>
  <c r="J1593"/>
  <c r="I1593"/>
  <c r="P1593" s="1"/>
  <c r="F1593"/>
  <c r="B1593"/>
  <c r="O1592"/>
  <c r="P1592"/>
  <c r="B1592"/>
  <c r="O1591"/>
  <c r="P1591"/>
  <c r="B1591"/>
  <c r="O1590"/>
  <c r="P1590"/>
  <c r="B1590"/>
  <c r="O1589"/>
  <c r="P1589"/>
  <c r="B1589"/>
  <c r="P1588"/>
  <c r="B1588"/>
  <c r="P1587"/>
  <c r="B1587"/>
  <c r="P1586"/>
  <c r="B1586"/>
  <c r="P1585"/>
  <c r="B1585"/>
  <c r="O1584"/>
  <c r="J1584"/>
  <c r="I1584"/>
  <c r="P1584" s="1"/>
  <c r="F1584"/>
  <c r="B1584"/>
  <c r="O1583"/>
  <c r="J1583"/>
  <c r="I1583"/>
  <c r="P1583" s="1"/>
  <c r="F1583"/>
  <c r="B1583"/>
  <c r="B1582"/>
  <c r="B1581"/>
  <c r="O1580"/>
  <c r="J1580"/>
  <c r="I1580"/>
  <c r="P1580" s="1"/>
  <c r="F1580"/>
  <c r="B1580"/>
  <c r="O1579"/>
  <c r="J1579"/>
  <c r="I1579"/>
  <c r="P1579" s="1"/>
  <c r="F1579"/>
  <c r="B1579"/>
  <c r="O1578"/>
  <c r="J1578"/>
  <c r="I1578"/>
  <c r="P1578" s="1"/>
  <c r="F1578"/>
  <c r="B1578"/>
  <c r="O1577"/>
  <c r="J1577"/>
  <c r="I1577"/>
  <c r="P1577" s="1"/>
  <c r="F1577"/>
  <c r="B1577"/>
  <c r="O1576"/>
  <c r="J1576"/>
  <c r="I1576"/>
  <c r="P1576" s="1"/>
  <c r="F1576"/>
  <c r="B1576"/>
  <c r="O1575"/>
  <c r="P1575"/>
  <c r="B1575"/>
  <c r="O1574"/>
  <c r="P1574"/>
  <c r="B1574"/>
  <c r="O1573"/>
  <c r="P1573"/>
  <c r="B1573"/>
  <c r="O1572"/>
  <c r="J1572"/>
  <c r="I1572"/>
  <c r="P1572" s="1"/>
  <c r="F1572"/>
  <c r="B1572"/>
  <c r="O1571"/>
  <c r="J1571"/>
  <c r="I1571"/>
  <c r="P1571" s="1"/>
  <c r="F1571"/>
  <c r="B1571"/>
  <c r="O1570"/>
  <c r="J1570"/>
  <c r="I1570"/>
  <c r="P1570" s="1"/>
  <c r="F1570"/>
  <c r="B1570"/>
  <c r="O1569"/>
  <c r="J1569"/>
  <c r="I1569"/>
  <c r="P1569" s="1"/>
  <c r="F1569"/>
  <c r="B1569"/>
  <c r="O1568"/>
  <c r="J1568"/>
  <c r="I1568"/>
  <c r="P1568" s="1"/>
  <c r="F1568"/>
  <c r="B1568"/>
  <c r="O1567"/>
  <c r="J1567"/>
  <c r="I1567"/>
  <c r="P1567" s="1"/>
  <c r="F1567"/>
  <c r="B1567"/>
  <c r="O1566"/>
  <c r="J1566"/>
  <c r="I1566"/>
  <c r="P1566" s="1"/>
  <c r="F1566"/>
  <c r="B1566"/>
  <c r="O1565"/>
  <c r="J1565"/>
  <c r="I1565"/>
  <c r="P1565" s="1"/>
  <c r="F1565"/>
  <c r="B1565"/>
  <c r="O1564"/>
  <c r="J1564"/>
  <c r="I1564"/>
  <c r="P1564" s="1"/>
  <c r="F1564"/>
  <c r="B1564"/>
  <c r="O1563"/>
  <c r="J1563"/>
  <c r="I1563"/>
  <c r="P1563" s="1"/>
  <c r="F1563"/>
  <c r="B1563"/>
  <c r="O1562"/>
  <c r="J1562"/>
  <c r="I1562"/>
  <c r="P1562" s="1"/>
  <c r="F1562"/>
  <c r="B1562"/>
  <c r="O1561"/>
  <c r="J1561"/>
  <c r="I1561"/>
  <c r="P1561" s="1"/>
  <c r="F1561"/>
  <c r="B1561"/>
  <c r="O1560"/>
  <c r="J1560"/>
  <c r="I1560"/>
  <c r="P1560" s="1"/>
  <c r="F1560"/>
  <c r="B1560"/>
  <c r="O1559"/>
  <c r="J1559"/>
  <c r="I1559"/>
  <c r="P1559" s="1"/>
  <c r="F1559"/>
  <c r="B1559"/>
  <c r="O1558"/>
  <c r="J1558"/>
  <c r="I1558"/>
  <c r="P1558" s="1"/>
  <c r="F1558"/>
  <c r="B1558"/>
  <c r="O1557"/>
  <c r="J1557"/>
  <c r="I1557"/>
  <c r="P1557" s="1"/>
  <c r="F1557"/>
  <c r="B1557"/>
  <c r="O1556"/>
  <c r="J1556"/>
  <c r="I1556"/>
  <c r="P1556" s="1"/>
  <c r="F1556"/>
  <c r="B1556"/>
  <c r="O1555"/>
  <c r="P1555"/>
  <c r="B1555"/>
  <c r="O1554"/>
  <c r="P1554"/>
  <c r="B1554"/>
  <c r="O1553"/>
  <c r="P1553"/>
  <c r="B1553"/>
  <c r="O1552"/>
  <c r="J1552"/>
  <c r="I1552"/>
  <c r="P1552" s="1"/>
  <c r="F1552"/>
  <c r="B1552"/>
  <c r="O1551"/>
  <c r="J1551"/>
  <c r="I1551"/>
  <c r="P1551" s="1"/>
  <c r="F1551"/>
  <c r="B1551"/>
  <c r="O1550"/>
  <c r="J1550"/>
  <c r="I1550"/>
  <c r="P1550" s="1"/>
  <c r="F1550"/>
  <c r="B1550"/>
  <c r="O1549"/>
  <c r="J1549"/>
  <c r="I1549"/>
  <c r="P1549" s="1"/>
  <c r="F1549"/>
  <c r="B1549"/>
  <c r="O1548"/>
  <c r="J1548"/>
  <c r="I1548"/>
  <c r="P1548" s="1"/>
  <c r="F1548"/>
  <c r="B1548"/>
  <c r="O1547"/>
  <c r="J1547"/>
  <c r="I1547"/>
  <c r="P1547" s="1"/>
  <c r="F1547"/>
  <c r="B1547"/>
  <c r="O1546"/>
  <c r="J1546"/>
  <c r="I1546"/>
  <c r="P1546" s="1"/>
  <c r="F1546"/>
  <c r="B1546"/>
  <c r="O1545"/>
  <c r="J1545"/>
  <c r="I1545"/>
  <c r="P1545" s="1"/>
  <c r="F1545"/>
  <c r="B1545"/>
  <c r="O1544"/>
  <c r="J1544"/>
  <c r="I1544"/>
  <c r="P1544" s="1"/>
  <c r="F1544"/>
  <c r="B1544"/>
  <c r="O1543"/>
  <c r="J1543"/>
  <c r="I1543"/>
  <c r="P1543" s="1"/>
  <c r="F1543"/>
  <c r="B1543"/>
  <c r="O1542"/>
  <c r="J1542"/>
  <c r="I1542"/>
  <c r="P1542" s="1"/>
  <c r="F1542"/>
  <c r="B1542"/>
  <c r="P1541"/>
  <c r="B1541"/>
  <c r="P1540"/>
  <c r="B1540"/>
  <c r="P1539"/>
  <c r="B1539"/>
  <c r="P1538"/>
  <c r="B1538"/>
  <c r="O1537"/>
  <c r="J1537"/>
  <c r="I1537"/>
  <c r="P1537" s="1"/>
  <c r="F1537"/>
  <c r="B1537"/>
  <c r="O1536"/>
  <c r="J1536"/>
  <c r="I1536"/>
  <c r="P1536" s="1"/>
  <c r="F1536"/>
  <c r="B1536"/>
  <c r="O1535"/>
  <c r="J1535"/>
  <c r="I1535"/>
  <c r="P1535" s="1"/>
  <c r="F1535"/>
  <c r="B1535"/>
  <c r="O1534"/>
  <c r="J1534"/>
  <c r="I1534"/>
  <c r="P1534" s="1"/>
  <c r="F1534"/>
  <c r="B1534"/>
  <c r="O1533"/>
  <c r="J1533"/>
  <c r="I1533"/>
  <c r="P1533" s="1"/>
  <c r="F1533"/>
  <c r="B1533"/>
  <c r="O1532"/>
  <c r="J1532"/>
  <c r="I1532"/>
  <c r="P1532" s="1"/>
  <c r="F1532"/>
  <c r="O1531"/>
  <c r="J1531"/>
  <c r="I1531"/>
  <c r="P1531" s="1"/>
  <c r="F1531"/>
  <c r="B1531"/>
  <c r="O1530"/>
  <c r="J1530"/>
  <c r="I1530"/>
  <c r="P1530" s="1"/>
  <c r="F1530"/>
  <c r="B1530"/>
  <c r="O1529"/>
  <c r="J1529"/>
  <c r="I1529"/>
  <c r="P1529" s="1"/>
  <c r="F1529"/>
  <c r="B1529"/>
  <c r="O1528"/>
  <c r="J1528"/>
  <c r="I1528"/>
  <c r="P1528" s="1"/>
  <c r="F1528"/>
  <c r="B1528"/>
  <c r="O1527"/>
  <c r="J1527"/>
  <c r="I1527"/>
  <c r="P1527" s="1"/>
  <c r="F1527"/>
  <c r="B1527"/>
  <c r="O1526"/>
  <c r="J1526"/>
  <c r="I1526"/>
  <c r="P1526" s="1"/>
  <c r="F1526"/>
  <c r="B1526"/>
  <c r="O1525"/>
  <c r="J1525"/>
  <c r="I1525"/>
  <c r="P1525" s="1"/>
  <c r="F1525"/>
  <c r="B1525"/>
  <c r="O1524"/>
  <c r="J1524"/>
  <c r="I1524"/>
  <c r="P1524" s="1"/>
  <c r="F1524"/>
  <c r="B1524"/>
  <c r="O1523"/>
  <c r="J1523"/>
  <c r="I1523"/>
  <c r="P1523" s="1"/>
  <c r="F1523"/>
  <c r="B1523"/>
  <c r="O1522"/>
  <c r="J1522"/>
  <c r="I1522"/>
  <c r="P1522" s="1"/>
  <c r="F1522"/>
  <c r="B1522"/>
  <c r="O1521"/>
  <c r="J1521"/>
  <c r="I1521"/>
  <c r="P1521" s="1"/>
  <c r="F1521"/>
  <c r="B1521"/>
  <c r="O1520"/>
  <c r="J1520"/>
  <c r="I1520"/>
  <c r="P1520" s="1"/>
  <c r="F1520"/>
  <c r="B1520"/>
  <c r="O1519"/>
  <c r="J1519"/>
  <c r="I1519"/>
  <c r="P1519" s="1"/>
  <c r="F1519"/>
  <c r="B1519"/>
  <c r="O1518"/>
  <c r="J1518"/>
  <c r="I1518"/>
  <c r="P1518" s="1"/>
  <c r="F1518"/>
  <c r="B1518"/>
  <c r="O1517"/>
  <c r="J1517"/>
  <c r="I1517"/>
  <c r="P1517" s="1"/>
  <c r="F1517"/>
  <c r="B1517"/>
  <c r="O1516"/>
  <c r="J1516"/>
  <c r="I1516"/>
  <c r="P1516" s="1"/>
  <c r="F1516"/>
  <c r="B1516"/>
  <c r="O1515"/>
  <c r="J1515"/>
  <c r="I1515"/>
  <c r="P1515" s="1"/>
  <c r="F1515"/>
  <c r="B1515"/>
  <c r="B1514"/>
  <c r="B1513"/>
  <c r="O1512"/>
  <c r="J1512"/>
  <c r="I1512"/>
  <c r="P1512" s="1"/>
  <c r="F1512"/>
  <c r="B1512"/>
  <c r="O1511"/>
  <c r="J1511"/>
  <c r="I1511"/>
  <c r="P1511" s="1"/>
  <c r="F1511"/>
  <c r="B1511"/>
  <c r="O1510"/>
  <c r="J1510"/>
  <c r="I1510"/>
  <c r="P1510" s="1"/>
  <c r="F1510"/>
  <c r="B1510"/>
  <c r="O1509"/>
  <c r="J1509"/>
  <c r="I1509"/>
  <c r="P1509" s="1"/>
  <c r="F1509"/>
  <c r="B1509"/>
  <c r="O1508"/>
  <c r="J1508"/>
  <c r="I1508"/>
  <c r="Q1508" s="1"/>
  <c r="F1508"/>
  <c r="B1508"/>
  <c r="O1507"/>
  <c r="J1507"/>
  <c r="I1507"/>
  <c r="Q1507" s="1"/>
  <c r="F1507"/>
  <c r="B1507"/>
  <c r="O1506"/>
  <c r="J1506"/>
  <c r="I1506"/>
  <c r="Q1506" s="1"/>
  <c r="F1506"/>
  <c r="B1506"/>
  <c r="O1505"/>
  <c r="J1505"/>
  <c r="I1505"/>
  <c r="Q1505" s="1"/>
  <c r="F1505"/>
  <c r="B1505"/>
  <c r="O1504"/>
  <c r="J1504"/>
  <c r="I1504"/>
  <c r="Q1504" s="1"/>
  <c r="F1504"/>
  <c r="B1504"/>
  <c r="O1503"/>
  <c r="J1503"/>
  <c r="I1503"/>
  <c r="Q1503" s="1"/>
  <c r="F1503"/>
  <c r="B1503"/>
  <c r="O1502"/>
  <c r="J1502"/>
  <c r="I1502"/>
  <c r="Q1502" s="1"/>
  <c r="F1502"/>
  <c r="B1502"/>
  <c r="O1501"/>
  <c r="J1501"/>
  <c r="I1501"/>
  <c r="Q1501" s="1"/>
  <c r="F1501"/>
  <c r="B1501"/>
  <c r="O1500"/>
  <c r="J1500"/>
  <c r="I1500"/>
  <c r="Q1500" s="1"/>
  <c r="F1500"/>
  <c r="B1500"/>
  <c r="O1499"/>
  <c r="J1499"/>
  <c r="I1499"/>
  <c r="Q1499" s="1"/>
  <c r="F1499"/>
  <c r="B1499"/>
  <c r="O1498"/>
  <c r="J1498"/>
  <c r="I1498"/>
  <c r="Q1498" s="1"/>
  <c r="F1498"/>
  <c r="B1498"/>
  <c r="O1497"/>
  <c r="J1497"/>
  <c r="I1497"/>
  <c r="Q1497" s="1"/>
  <c r="F1497"/>
  <c r="B1497"/>
  <c r="O1496"/>
  <c r="J1496"/>
  <c r="I1496"/>
  <c r="Q1496" s="1"/>
  <c r="F1496"/>
  <c r="B1496"/>
  <c r="O1495"/>
  <c r="J1495"/>
  <c r="I1495"/>
  <c r="Q1495" s="1"/>
  <c r="B1495"/>
  <c r="O1494"/>
  <c r="J1494"/>
  <c r="I1494"/>
  <c r="Q1494" s="1"/>
  <c r="F1494"/>
  <c r="B1494"/>
  <c r="O1493"/>
  <c r="J1493"/>
  <c r="I1493"/>
  <c r="Q1493" s="1"/>
  <c r="F1493"/>
  <c r="B1493"/>
  <c r="O1492"/>
  <c r="J1492"/>
  <c r="I1492"/>
  <c r="Q1492" s="1"/>
  <c r="F1492"/>
  <c r="B1492"/>
  <c r="O1491"/>
  <c r="J1491"/>
  <c r="I1491"/>
  <c r="Q1491" s="1"/>
  <c r="F1491"/>
  <c r="B1491"/>
  <c r="O1490"/>
  <c r="J1490"/>
  <c r="I1490"/>
  <c r="Q1490" s="1"/>
  <c r="F1490"/>
  <c r="B1490"/>
  <c r="O1489"/>
  <c r="J1489"/>
  <c r="I1489"/>
  <c r="Q1489" s="1"/>
  <c r="F1489"/>
  <c r="B1489"/>
  <c r="O1488"/>
  <c r="J1488"/>
  <c r="I1488"/>
  <c r="Q1488" s="1"/>
  <c r="F1488"/>
  <c r="B1488"/>
  <c r="O1487"/>
  <c r="J1487"/>
  <c r="I1487"/>
  <c r="Q1487" s="1"/>
  <c r="F1487"/>
  <c r="B1487"/>
  <c r="O1486"/>
  <c r="J1486"/>
  <c r="I1486"/>
  <c r="Q1486" s="1"/>
  <c r="F1486"/>
  <c r="B1486"/>
  <c r="O1485"/>
  <c r="J1485"/>
  <c r="I1485"/>
  <c r="Q1485" s="1"/>
  <c r="F1485"/>
  <c r="B1485"/>
  <c r="O1484"/>
  <c r="J1484"/>
  <c r="I1484"/>
  <c r="Q1484" s="1"/>
  <c r="F1484"/>
  <c r="B1484"/>
  <c r="O1483"/>
  <c r="J1483"/>
  <c r="I1483"/>
  <c r="Q1483" s="1"/>
  <c r="F1483"/>
  <c r="B1483"/>
  <c r="O1482"/>
  <c r="J1482"/>
  <c r="I1482"/>
  <c r="Q1482" s="1"/>
  <c r="F1482"/>
  <c r="B1482"/>
  <c r="O1481"/>
  <c r="J1481"/>
  <c r="I1481"/>
  <c r="Q1481" s="1"/>
  <c r="F1481"/>
  <c r="B1481"/>
  <c r="O1480"/>
  <c r="J1480"/>
  <c r="I1480"/>
  <c r="Q1480" s="1"/>
  <c r="F1480"/>
  <c r="B1480"/>
  <c r="O1479"/>
  <c r="J1479"/>
  <c r="I1479"/>
  <c r="Q1479" s="1"/>
  <c r="F1479"/>
  <c r="B1479"/>
  <c r="O1478"/>
  <c r="Q1478"/>
  <c r="B1478"/>
  <c r="O1477"/>
  <c r="Q1477"/>
  <c r="B1477"/>
  <c r="O1476"/>
  <c r="J1476"/>
  <c r="I1476"/>
  <c r="Q1476" s="1"/>
  <c r="F1476"/>
  <c r="B1476"/>
  <c r="O1475"/>
  <c r="J1475"/>
  <c r="I1475"/>
  <c r="Q1475" s="1"/>
  <c r="F1475"/>
  <c r="B1475"/>
  <c r="O1474"/>
  <c r="J1474"/>
  <c r="I1474"/>
  <c r="Q1474" s="1"/>
  <c r="F1474"/>
  <c r="B1474"/>
  <c r="O1473"/>
  <c r="J1473"/>
  <c r="I1473"/>
  <c r="Q1473" s="1"/>
  <c r="F1473"/>
  <c r="B1473"/>
  <c r="O1472"/>
  <c r="J1472"/>
  <c r="I1472"/>
  <c r="Q1472" s="1"/>
  <c r="F1472"/>
  <c r="B1472"/>
  <c r="O1471"/>
  <c r="J1471"/>
  <c r="I1471"/>
  <c r="Q1471" s="1"/>
  <c r="F1471"/>
  <c r="B1471"/>
  <c r="O1470"/>
  <c r="J1470"/>
  <c r="I1470"/>
  <c r="Q1470" s="1"/>
  <c r="F1470"/>
  <c r="B1470"/>
  <c r="O1469"/>
  <c r="J1469"/>
  <c r="I1469"/>
  <c r="Q1469" s="1"/>
  <c r="F1469"/>
  <c r="B1469"/>
  <c r="O1468"/>
  <c r="J1468"/>
  <c r="I1468"/>
  <c r="Q1468" s="1"/>
  <c r="F1468"/>
  <c r="B1468"/>
  <c r="O1467"/>
  <c r="J1467"/>
  <c r="I1467"/>
  <c r="Q1467" s="1"/>
  <c r="F1467"/>
  <c r="B1467"/>
  <c r="O1466"/>
  <c r="J1466"/>
  <c r="I1466"/>
  <c r="Q1466" s="1"/>
  <c r="F1466"/>
  <c r="B1466"/>
  <c r="O1465"/>
  <c r="J1465"/>
  <c r="I1465"/>
  <c r="Q1465" s="1"/>
  <c r="F1465"/>
  <c r="B1465"/>
  <c r="O1464"/>
  <c r="J1464"/>
  <c r="I1464"/>
  <c r="Q1464" s="1"/>
  <c r="F1464"/>
  <c r="B1464"/>
  <c r="O1463"/>
  <c r="J1463"/>
  <c r="I1463"/>
  <c r="Q1463" s="1"/>
  <c r="F1463"/>
  <c r="B1463"/>
  <c r="O1462"/>
  <c r="J1462"/>
  <c r="I1462"/>
  <c r="Q1462" s="1"/>
  <c r="F1462"/>
  <c r="B1462"/>
  <c r="O1461"/>
  <c r="J1461"/>
  <c r="I1461"/>
  <c r="Q1461" s="1"/>
  <c r="F1461"/>
  <c r="B1461"/>
  <c r="O1460"/>
  <c r="J1460"/>
  <c r="I1460"/>
  <c r="Q1460" s="1"/>
  <c r="F1460"/>
  <c r="B1460"/>
  <c r="O1459"/>
  <c r="J1459"/>
  <c r="I1459"/>
  <c r="Q1459" s="1"/>
  <c r="F1459"/>
  <c r="B1459"/>
  <c r="O1458"/>
  <c r="J1458"/>
  <c r="I1458"/>
  <c r="Q1458" s="1"/>
  <c r="F1458"/>
  <c r="B1458"/>
  <c r="O1457"/>
  <c r="J1457"/>
  <c r="I1457"/>
  <c r="Q1457" s="1"/>
  <c r="F1457"/>
  <c r="B1457"/>
  <c r="O1456"/>
  <c r="J1456"/>
  <c r="I1456"/>
  <c r="Q1456" s="1"/>
  <c r="F1456"/>
  <c r="B1456"/>
  <c r="O1455"/>
  <c r="J1455"/>
  <c r="I1455"/>
  <c r="Q1455" s="1"/>
  <c r="F1455"/>
  <c r="B1455"/>
  <c r="O1454"/>
  <c r="J1454"/>
  <c r="I1454"/>
  <c r="Q1454" s="1"/>
  <c r="F1454"/>
  <c r="B1454"/>
  <c r="O1453"/>
  <c r="J1453"/>
  <c r="I1453"/>
  <c r="Q1453" s="1"/>
  <c r="F1453"/>
  <c r="B1453"/>
  <c r="O1452"/>
  <c r="J1452"/>
  <c r="I1452"/>
  <c r="Q1452" s="1"/>
  <c r="F1452"/>
  <c r="B1452"/>
  <c r="O1451"/>
  <c r="J1451"/>
  <c r="I1451"/>
  <c r="Q1451" s="1"/>
  <c r="F1451"/>
  <c r="B1451"/>
  <c r="O1450"/>
  <c r="J1450"/>
  <c r="I1450"/>
  <c r="Q1450" s="1"/>
  <c r="F1450"/>
  <c r="B1450"/>
  <c r="O1449"/>
  <c r="J1449"/>
  <c r="I1449"/>
  <c r="Q1449" s="1"/>
  <c r="F1449"/>
  <c r="B1449"/>
  <c r="O1448"/>
  <c r="J1448"/>
  <c r="I1448"/>
  <c r="Q1448" s="1"/>
  <c r="F1448"/>
  <c r="B1448"/>
  <c r="O1447"/>
  <c r="J1447"/>
  <c r="I1447"/>
  <c r="Q1447" s="1"/>
  <c r="F1447"/>
  <c r="B1447"/>
  <c r="O1441"/>
  <c r="J1441"/>
  <c r="I1441"/>
  <c r="Q1441" s="1"/>
  <c r="F1441"/>
  <c r="B1441"/>
  <c r="O1440"/>
  <c r="J1440"/>
  <c r="I1440"/>
  <c r="Q1440" s="1"/>
  <c r="F1440"/>
  <c r="B1440"/>
  <c r="O1439"/>
  <c r="J1439"/>
  <c r="I1439"/>
  <c r="Q1439" s="1"/>
  <c r="F1439"/>
  <c r="B1439"/>
  <c r="O1438"/>
  <c r="J1438"/>
  <c r="I1438"/>
  <c r="Q1438" s="1"/>
  <c r="F1438"/>
  <c r="B1438"/>
  <c r="O1437"/>
  <c r="J1437"/>
  <c r="I1437"/>
  <c r="Q1437" s="1"/>
  <c r="F1437"/>
  <c r="B1437"/>
  <c r="O1425"/>
  <c r="J1425"/>
  <c r="I1425"/>
  <c r="Q1425" s="1"/>
  <c r="F1425"/>
  <c r="B1425"/>
  <c r="O1424"/>
  <c r="J1424"/>
  <c r="I1424"/>
  <c r="Q1424" s="1"/>
  <c r="F1424"/>
  <c r="B1424"/>
  <c r="O1360"/>
  <c r="J1360"/>
  <c r="I1360"/>
  <c r="Q1360" s="1"/>
  <c r="F1360"/>
  <c r="B1360"/>
  <c r="O1359"/>
  <c r="J1359"/>
  <c r="I1359"/>
  <c r="Q1359" s="1"/>
  <c r="F1359"/>
  <c r="B1359"/>
  <c r="O1358"/>
  <c r="J1358"/>
  <c r="I1358"/>
  <c r="Q1358" s="1"/>
  <c r="F1358"/>
  <c r="B1358"/>
  <c r="O1423"/>
  <c r="J1423"/>
  <c r="I1423"/>
  <c r="Q1423" s="1"/>
  <c r="F1423"/>
  <c r="B1423"/>
  <c r="O1422"/>
  <c r="J1422"/>
  <c r="I1422"/>
  <c r="Q1422" s="1"/>
  <c r="F1422"/>
  <c r="B1422"/>
  <c r="O1421"/>
  <c r="Q1421"/>
  <c r="B1421"/>
  <c r="O1420"/>
  <c r="Q1420"/>
  <c r="B1420"/>
  <c r="O1419"/>
  <c r="Q1419"/>
  <c r="B1419"/>
  <c r="O1418"/>
  <c r="Q1418"/>
  <c r="B1418"/>
  <c r="O1436"/>
  <c r="J1436"/>
  <c r="I1436"/>
  <c r="Q1436" s="1"/>
  <c r="F1436"/>
  <c r="B1436"/>
  <c r="O1435"/>
  <c r="J1435"/>
  <c r="I1435"/>
  <c r="Q1435" s="1"/>
  <c r="F1435"/>
  <c r="B1435"/>
  <c r="O1434"/>
  <c r="J1434"/>
  <c r="I1434"/>
  <c r="Q1434" s="1"/>
  <c r="F1434"/>
  <c r="B1434"/>
  <c r="O1433"/>
  <c r="J1433"/>
  <c r="I1433"/>
  <c r="Q1433" s="1"/>
  <c r="F1433"/>
  <c r="B1433"/>
  <c r="O1427"/>
  <c r="J1427"/>
  <c r="I1427"/>
  <c r="Q1427" s="1"/>
  <c r="F1427"/>
  <c r="B1427"/>
  <c r="O1426"/>
  <c r="J1426"/>
  <c r="I1426"/>
  <c r="Q1426" s="1"/>
  <c r="F1426"/>
  <c r="B1426"/>
  <c r="O1432"/>
  <c r="J1432"/>
  <c r="I1432"/>
  <c r="Q1432" s="1"/>
  <c r="F1432"/>
  <c r="B1432"/>
  <c r="O1431"/>
  <c r="J1431"/>
  <c r="I1431"/>
  <c r="Q1431" s="1"/>
  <c r="F1431"/>
  <c r="B1431"/>
  <c r="O1430"/>
  <c r="J1430"/>
  <c r="I1430"/>
  <c r="Q1430" s="1"/>
  <c r="F1430"/>
  <c r="B1430"/>
  <c r="O1429"/>
  <c r="J1429"/>
  <c r="I1429"/>
  <c r="Q1429" s="1"/>
  <c r="F1429"/>
  <c r="B1429"/>
  <c r="O1428"/>
  <c r="J1428"/>
  <c r="I1428"/>
  <c r="Q1428" s="1"/>
  <c r="F1428"/>
  <c r="B1428"/>
  <c r="Q1417"/>
  <c r="B1417"/>
  <c r="Q1416"/>
  <c r="B1416"/>
  <c r="O1415"/>
  <c r="J1415"/>
  <c r="I1415"/>
  <c r="Q1415" s="1"/>
  <c r="F1415"/>
  <c r="B1415"/>
  <c r="O1414"/>
  <c r="J1414"/>
  <c r="I1414"/>
  <c r="Q1414" s="1"/>
  <c r="F1414"/>
  <c r="B1414"/>
  <c r="O1413"/>
  <c r="J1413"/>
  <c r="I1413"/>
  <c r="Q1413" s="1"/>
  <c r="F1413"/>
  <c r="B1413"/>
  <c r="O1412"/>
  <c r="J1412"/>
  <c r="I1412"/>
  <c r="Q1412" s="1"/>
  <c r="F1412"/>
  <c r="B1412"/>
  <c r="O1411"/>
  <c r="J1411"/>
  <c r="I1411"/>
  <c r="Q1411" s="1"/>
  <c r="F1411"/>
  <c r="B1411"/>
  <c r="O1410"/>
  <c r="J1410"/>
  <c r="I1410"/>
  <c r="Q1410" s="1"/>
  <c r="F1410"/>
  <c r="B1410"/>
  <c r="O1409"/>
  <c r="J1409"/>
  <c r="I1409"/>
  <c r="Q1409" s="1"/>
  <c r="F1409"/>
  <c r="B1409"/>
  <c r="O1400"/>
  <c r="J1400"/>
  <c r="I1400"/>
  <c r="Q1400" s="1"/>
  <c r="F1400"/>
  <c r="B1400"/>
  <c r="O1399"/>
  <c r="J1399"/>
  <c r="I1399"/>
  <c r="Q1399" s="1"/>
  <c r="F1399"/>
  <c r="B1399"/>
  <c r="O1392"/>
  <c r="J1392"/>
  <c r="I1392"/>
  <c r="Q1392" s="1"/>
  <c r="F1392"/>
  <c r="B1392"/>
  <c r="O1391"/>
  <c r="J1391"/>
  <c r="I1391"/>
  <c r="Q1391" s="1"/>
  <c r="F1391"/>
  <c r="B1391"/>
  <c r="O1390"/>
  <c r="J1390"/>
  <c r="I1390"/>
  <c r="Q1390" s="1"/>
  <c r="F1390"/>
  <c r="B1390"/>
  <c r="O1398"/>
  <c r="J1398"/>
  <c r="I1398"/>
  <c r="Q1398" s="1"/>
  <c r="F1398"/>
  <c r="B1398"/>
  <c r="O1397"/>
  <c r="J1397"/>
  <c r="I1397"/>
  <c r="Q1397" s="1"/>
  <c r="F1397"/>
  <c r="B1397"/>
  <c r="O1396"/>
  <c r="J1396"/>
  <c r="I1396"/>
  <c r="Q1396" s="1"/>
  <c r="F1396"/>
  <c r="B1396"/>
  <c r="O1395"/>
  <c r="J1395"/>
  <c r="I1395"/>
  <c r="Q1395" s="1"/>
  <c r="F1395"/>
  <c r="B1395"/>
  <c r="O1394"/>
  <c r="J1394"/>
  <c r="I1394"/>
  <c r="Q1394" s="1"/>
  <c r="F1394"/>
  <c r="B1394"/>
  <c r="O1393"/>
  <c r="Q1393"/>
  <c r="B1393"/>
  <c r="O1389"/>
  <c r="Q1389"/>
  <c r="B1389"/>
  <c r="O1388"/>
  <c r="J1388"/>
  <c r="I1388"/>
  <c r="Q1388" s="1"/>
  <c r="F1388"/>
  <c r="B1388"/>
  <c r="O1387"/>
  <c r="J1387"/>
  <c r="I1387"/>
  <c r="Q1387" s="1"/>
  <c r="F1387"/>
  <c r="B1387"/>
  <c r="O1386"/>
  <c r="J1386"/>
  <c r="I1386"/>
  <c r="Q1386" s="1"/>
  <c r="F1386"/>
  <c r="B1386"/>
  <c r="O1385"/>
  <c r="J1385"/>
  <c r="I1385"/>
  <c r="Q1385" s="1"/>
  <c r="F1385"/>
  <c r="B1385"/>
  <c r="O1408"/>
  <c r="J1408"/>
  <c r="I1408"/>
  <c r="Q1408" s="1"/>
  <c r="F1408"/>
  <c r="B1408"/>
  <c r="O1407"/>
  <c r="J1407"/>
  <c r="I1407"/>
  <c r="Q1407" s="1"/>
  <c r="F1407"/>
  <c r="B1407"/>
  <c r="O1406"/>
  <c r="J1406"/>
  <c r="I1406"/>
  <c r="Q1406" s="1"/>
  <c r="F1406"/>
  <c r="B1406"/>
  <c r="O1405"/>
  <c r="J1405"/>
  <c r="I1405"/>
  <c r="Q1405" s="1"/>
  <c r="F1405"/>
  <c r="B1405"/>
  <c r="O1404"/>
  <c r="J1404"/>
  <c r="I1404"/>
  <c r="Q1404" s="1"/>
  <c r="F1404"/>
  <c r="B1404"/>
  <c r="O1403"/>
  <c r="J1403"/>
  <c r="I1403"/>
  <c r="Q1403" s="1"/>
  <c r="F1403"/>
  <c r="B1403"/>
  <c r="O1402"/>
  <c r="J1402"/>
  <c r="I1402"/>
  <c r="Q1402" s="1"/>
  <c r="F1402"/>
  <c r="B1402"/>
  <c r="O1401"/>
  <c r="J1401"/>
  <c r="I1401"/>
  <c r="Q1401" s="1"/>
  <c r="F1401"/>
  <c r="B1401"/>
  <c r="O1384"/>
  <c r="J1384"/>
  <c r="I1384"/>
  <c r="Q1384" s="1"/>
  <c r="F1384"/>
  <c r="B1384"/>
  <c r="O1383"/>
  <c r="J1383"/>
  <c r="I1383"/>
  <c r="Q1383" s="1"/>
  <c r="F1383"/>
  <c r="B1383"/>
  <c r="O1382"/>
  <c r="J1382"/>
  <c r="I1382"/>
  <c r="Q1382" s="1"/>
  <c r="F1382"/>
  <c r="B1382"/>
  <c r="O1381"/>
  <c r="J1381"/>
  <c r="I1381"/>
  <c r="Q1381" s="1"/>
  <c r="B1381"/>
  <c r="O1380"/>
  <c r="J1380"/>
  <c r="I1380"/>
  <c r="Q1380" s="1"/>
  <c r="F1380"/>
  <c r="B1380"/>
  <c r="O1379"/>
  <c r="J1379"/>
  <c r="I1379"/>
  <c r="Q1379" s="1"/>
  <c r="F1379"/>
  <c r="B1379"/>
  <c r="O1378"/>
  <c r="J1378"/>
  <c r="I1378"/>
  <c r="Q1378" s="1"/>
  <c r="F1378"/>
  <c r="B1378"/>
  <c r="O1377"/>
  <c r="J1377"/>
  <c r="I1377"/>
  <c r="Q1377" s="1"/>
  <c r="F1377"/>
  <c r="B1377"/>
  <c r="O1376"/>
  <c r="J1376"/>
  <c r="I1376"/>
  <c r="Q1376" s="1"/>
  <c r="F1376"/>
  <c r="B1376"/>
  <c r="O1375"/>
  <c r="J1375"/>
  <c r="I1375"/>
  <c r="Q1375" s="1"/>
  <c r="F1375"/>
  <c r="B1375"/>
  <c r="O1374"/>
  <c r="J1374"/>
  <c r="I1374"/>
  <c r="Q1374" s="1"/>
  <c r="F1374"/>
  <c r="B1374"/>
  <c r="O1373"/>
  <c r="J1373"/>
  <c r="I1373"/>
  <c r="Q1373" s="1"/>
  <c r="F1373"/>
  <c r="B1373"/>
  <c r="O1372"/>
  <c r="J1372"/>
  <c r="I1372"/>
  <c r="P1372" s="1"/>
  <c r="F1372"/>
  <c r="B1372"/>
  <c r="O1296"/>
  <c r="J1296"/>
  <c r="I1296"/>
  <c r="Q1296" s="1"/>
  <c r="F1296"/>
  <c r="B1296"/>
  <c r="O1295"/>
  <c r="J1295"/>
  <c r="I1295"/>
  <c r="Q1295" s="1"/>
  <c r="F1295"/>
  <c r="B1295"/>
  <c r="O1294"/>
  <c r="J1294"/>
  <c r="I1294"/>
  <c r="Q1294" s="1"/>
  <c r="F1294"/>
  <c r="B1294"/>
  <c r="O1293"/>
  <c r="I1293"/>
  <c r="F1293"/>
  <c r="B1293"/>
  <c r="O1292"/>
  <c r="J1292"/>
  <c r="I1292"/>
  <c r="Q1292" s="1"/>
  <c r="F1292"/>
  <c r="B1292"/>
  <c r="O1291"/>
  <c r="I1291"/>
  <c r="P1291" s="1"/>
  <c r="F1291"/>
  <c r="B1291"/>
  <c r="O1290"/>
  <c r="J1290"/>
  <c r="I1290"/>
  <c r="Q1290" s="1"/>
  <c r="F1290"/>
  <c r="B1290"/>
  <c r="O1289"/>
  <c r="I1289"/>
  <c r="F1289"/>
  <c r="B1289"/>
  <c r="O1288"/>
  <c r="J1288"/>
  <c r="I1288"/>
  <c r="Q1288" s="1"/>
  <c r="F1288"/>
  <c r="B1288"/>
  <c r="O1287"/>
  <c r="J1287"/>
  <c r="I1287"/>
  <c r="Q1287" s="1"/>
  <c r="F1287"/>
  <c r="B1287"/>
  <c r="O1286"/>
  <c r="J1286"/>
  <c r="I1286"/>
  <c r="Q1286" s="1"/>
  <c r="F1286"/>
  <c r="B1286"/>
  <c r="O1285"/>
  <c r="J1285"/>
  <c r="I1285"/>
  <c r="Q1285" s="1"/>
  <c r="F1285"/>
  <c r="B1285"/>
  <c r="O1284"/>
  <c r="J1284"/>
  <c r="I1284"/>
  <c r="Q1284" s="1"/>
  <c r="F1284"/>
  <c r="B1284"/>
  <c r="O1283"/>
  <c r="J1283"/>
  <c r="I1283"/>
  <c r="Q1283" s="1"/>
  <c r="F1283"/>
  <c r="B1283"/>
  <c r="O1330"/>
  <c r="J1330"/>
  <c r="I1330"/>
  <c r="Q1330" s="1"/>
  <c r="F1330"/>
  <c r="B1330"/>
  <c r="O1329"/>
  <c r="J1329"/>
  <c r="I1329"/>
  <c r="Q1329" s="1"/>
  <c r="F1329"/>
  <c r="B1329"/>
  <c r="O1328"/>
  <c r="J1328"/>
  <c r="I1328"/>
  <c r="Q1328" s="1"/>
  <c r="F1328"/>
  <c r="B1328"/>
  <c r="O1446"/>
  <c r="J1446"/>
  <c r="I1446"/>
  <c r="Q1446" s="1"/>
  <c r="F1446"/>
  <c r="B1446"/>
  <c r="O1445"/>
  <c r="J1445"/>
  <c r="I1445"/>
  <c r="Q1445" s="1"/>
  <c r="F1445"/>
  <c r="B1445"/>
  <c r="O1444"/>
  <c r="J1444"/>
  <c r="I1444"/>
  <c r="Q1444" s="1"/>
  <c r="F1444"/>
  <c r="B1444"/>
  <c r="O1443"/>
  <c r="J1443"/>
  <c r="I1443"/>
  <c r="Q1443" s="1"/>
  <c r="F1443"/>
  <c r="B1443"/>
  <c r="O1442"/>
  <c r="J1442"/>
  <c r="I1442"/>
  <c r="Q1442" s="1"/>
  <c r="F1442"/>
  <c r="B1442"/>
  <c r="O1371"/>
  <c r="J1371"/>
  <c r="I1371"/>
  <c r="Q1371" s="1"/>
  <c r="G1371"/>
  <c r="J170" i="8" s="1"/>
  <c r="F1371" i="33"/>
  <c r="B1371"/>
  <c r="O1370"/>
  <c r="J1370"/>
  <c r="I1370"/>
  <c r="P1370" s="1"/>
  <c r="F1370"/>
  <c r="B1370"/>
  <c r="O1369"/>
  <c r="J1369"/>
  <c r="I1369"/>
  <c r="P1369" s="1"/>
  <c r="F1369"/>
  <c r="B1369"/>
  <c r="O1357"/>
  <c r="J1357"/>
  <c r="I1357"/>
  <c r="P1357" s="1"/>
  <c r="F1357"/>
  <c r="B1357"/>
  <c r="O1356"/>
  <c r="J1356"/>
  <c r="I1356"/>
  <c r="P1356" s="1"/>
  <c r="F1356"/>
  <c r="B1356"/>
  <c r="O1323"/>
  <c r="J1323"/>
  <c r="I1323"/>
  <c r="P1323" s="1"/>
  <c r="F1323"/>
  <c r="B1323"/>
  <c r="O1322"/>
  <c r="J1322"/>
  <c r="I1322"/>
  <c r="P1322" s="1"/>
  <c r="F1322"/>
  <c r="B1322"/>
  <c r="O1282"/>
  <c r="J1282"/>
  <c r="I1282"/>
  <c r="P1282" s="1"/>
  <c r="F1282"/>
  <c r="B1282"/>
  <c r="O1281"/>
  <c r="I1281"/>
  <c r="Q1281" s="1"/>
  <c r="F1281"/>
  <c r="B1281"/>
  <c r="O1368"/>
  <c r="J1368"/>
  <c r="I1368"/>
  <c r="P1368" s="1"/>
  <c r="F1368"/>
  <c r="B1368"/>
  <c r="O1367"/>
  <c r="J1367"/>
  <c r="I1367"/>
  <c r="P1367" s="1"/>
  <c r="F1367"/>
  <c r="B1367"/>
  <c r="O1366"/>
  <c r="J1366"/>
  <c r="I1366"/>
  <c r="P1366" s="1"/>
  <c r="F1366"/>
  <c r="B1366"/>
  <c r="O1365"/>
  <c r="J1365"/>
  <c r="I1365"/>
  <c r="P1365" s="1"/>
  <c r="F1365"/>
  <c r="B1365"/>
  <c r="O1362"/>
  <c r="J1362"/>
  <c r="I1362"/>
  <c r="P1362" s="1"/>
  <c r="F1362"/>
  <c r="B1362"/>
  <c r="O1361"/>
  <c r="J1361"/>
  <c r="I1361"/>
  <c r="P1361" s="1"/>
  <c r="F1361"/>
  <c r="B1361"/>
  <c r="O1355"/>
  <c r="J1355"/>
  <c r="I1355"/>
  <c r="P1355" s="1"/>
  <c r="F1355"/>
  <c r="B1355"/>
  <c r="O1354"/>
  <c r="J1354"/>
  <c r="I1354"/>
  <c r="P1354" s="1"/>
  <c r="F1354"/>
  <c r="B1354"/>
  <c r="O1364"/>
  <c r="J1364"/>
  <c r="I1364"/>
  <c r="P1364" s="1"/>
  <c r="F1364"/>
  <c r="B1364"/>
  <c r="O1363"/>
  <c r="J1363"/>
  <c r="I1363"/>
  <c r="P1363" s="1"/>
  <c r="F1363"/>
  <c r="B1363"/>
  <c r="O1334"/>
  <c r="J1334"/>
  <c r="I1334"/>
  <c r="P1334" s="1"/>
  <c r="F1334"/>
  <c r="B1334"/>
  <c r="O1333"/>
  <c r="J1333"/>
  <c r="I1333"/>
  <c r="P1333" s="1"/>
  <c r="F1333"/>
  <c r="B1333"/>
  <c r="O1353"/>
  <c r="J1353"/>
  <c r="I1353"/>
  <c r="P1353" s="1"/>
  <c r="F1353"/>
  <c r="B1353"/>
  <c r="O1352"/>
  <c r="J1352"/>
  <c r="I1352"/>
  <c r="P1352" s="1"/>
  <c r="F1352"/>
  <c r="O1315"/>
  <c r="J1315"/>
  <c r="I1315"/>
  <c r="P1315" s="1"/>
  <c r="F1315"/>
  <c r="O1313"/>
  <c r="J1313"/>
  <c r="I1313"/>
  <c r="P1313" s="1"/>
  <c r="F1313"/>
  <c r="O1321"/>
  <c r="J1321"/>
  <c r="I1321"/>
  <c r="P1321" s="1"/>
  <c r="F1321"/>
  <c r="O1320"/>
  <c r="J1320"/>
  <c r="I1320"/>
  <c r="Q1320" s="1"/>
  <c r="F1320"/>
  <c r="B1320"/>
  <c r="O1319"/>
  <c r="J1319"/>
  <c r="I1319"/>
  <c r="Q1319" s="1"/>
  <c r="F1319"/>
  <c r="B1319"/>
  <c r="O1312"/>
  <c r="J1312"/>
  <c r="I1312"/>
  <c r="Q1312" s="1"/>
  <c r="F1312"/>
  <c r="B1312"/>
  <c r="O1311"/>
  <c r="J1311"/>
  <c r="I1311"/>
  <c r="Q1311" s="1"/>
  <c r="F1311"/>
  <c r="B1311"/>
  <c r="O1310"/>
  <c r="J1310"/>
  <c r="I1310"/>
  <c r="Q1310" s="1"/>
  <c r="F1310"/>
  <c r="B1310"/>
  <c r="O1309"/>
  <c r="J1309"/>
  <c r="I1309"/>
  <c r="Q1309" s="1"/>
  <c r="F1309"/>
  <c r="B1309"/>
  <c r="O1308"/>
  <c r="J1308"/>
  <c r="I1308"/>
  <c r="Q1308" s="1"/>
  <c r="F1308"/>
  <c r="B1308"/>
  <c r="O1307"/>
  <c r="J1307"/>
  <c r="I1307"/>
  <c r="Q1307" s="1"/>
  <c r="F1307"/>
  <c r="B1307"/>
  <c r="O1298"/>
  <c r="J1298"/>
  <c r="I1298"/>
  <c r="Q1298" s="1"/>
  <c r="F1298"/>
  <c r="B1298"/>
  <c r="O1297"/>
  <c r="J1297"/>
  <c r="I1297"/>
  <c r="Q1297" s="1"/>
  <c r="F1297"/>
  <c r="B1297"/>
  <c r="O1325"/>
  <c r="J1325"/>
  <c r="I1325"/>
  <c r="Q1325" s="1"/>
  <c r="F1325"/>
  <c r="B1325"/>
  <c r="O1324"/>
  <c r="J1324"/>
  <c r="I1324"/>
  <c r="Q1324" s="1"/>
  <c r="F1324"/>
  <c r="B1324"/>
  <c r="O1327"/>
  <c r="J1327"/>
  <c r="I1327"/>
  <c r="Q1327" s="1"/>
  <c r="F1327"/>
  <c r="B1327"/>
  <c r="O1326"/>
  <c r="J1326"/>
  <c r="I1326"/>
  <c r="Q1326" s="1"/>
  <c r="F1326"/>
  <c r="B1326"/>
  <c r="O1336"/>
  <c r="J1336"/>
  <c r="I1336"/>
  <c r="Q1336" s="1"/>
  <c r="F1336"/>
  <c r="B1336"/>
  <c r="O1335"/>
  <c r="J1335"/>
  <c r="I1335"/>
  <c r="Q1335" s="1"/>
  <c r="F1335"/>
  <c r="B1335"/>
  <c r="O1347"/>
  <c r="J1347"/>
  <c r="I1347"/>
  <c r="Q1347" s="1"/>
  <c r="F1347"/>
  <c r="B1347"/>
  <c r="O1346"/>
  <c r="J1346"/>
  <c r="I1346"/>
  <c r="Q1346" s="1"/>
  <c r="F1346"/>
  <c r="B1346"/>
  <c r="O1345"/>
  <c r="J1345"/>
  <c r="I1345"/>
  <c r="Q1345" s="1"/>
  <c r="G1345"/>
  <c r="J171" i="8" s="1"/>
  <c r="F1345" i="33"/>
  <c r="B1345"/>
  <c r="O1344"/>
  <c r="J1344"/>
  <c r="I1344"/>
  <c r="P1344" s="1"/>
  <c r="F1344"/>
  <c r="B1344"/>
  <c r="O1343"/>
  <c r="J1343"/>
  <c r="I1343"/>
  <c r="P1343" s="1"/>
  <c r="F1343"/>
  <c r="B1343"/>
  <c r="O1351"/>
  <c r="J1351"/>
  <c r="I1351"/>
  <c r="P1351" s="1"/>
  <c r="F1351"/>
  <c r="B1351"/>
  <c r="O1350"/>
  <c r="J1350"/>
  <c r="I1350"/>
  <c r="P1350" s="1"/>
  <c r="F1350"/>
  <c r="B1350"/>
  <c r="O1349"/>
  <c r="J1349"/>
  <c r="I1349"/>
  <c r="P1349" s="1"/>
  <c r="F1349"/>
  <c r="B1349"/>
  <c r="O1348"/>
  <c r="J1348"/>
  <c r="I1348"/>
  <c r="P1348" s="1"/>
  <c r="F1348"/>
  <c r="B1348"/>
  <c r="O1342"/>
  <c r="J1342"/>
  <c r="I1342"/>
  <c r="P1342" s="1"/>
  <c r="F1342"/>
  <c r="B1342"/>
  <c r="O1341"/>
  <c r="J1341"/>
  <c r="I1341"/>
  <c r="P1341" s="1"/>
  <c r="F1341"/>
  <c r="B1341"/>
  <c r="O1340"/>
  <c r="J1340"/>
  <c r="I1340"/>
  <c r="P1340" s="1"/>
  <c r="F1340"/>
  <c r="B1340"/>
  <c r="O1339"/>
  <c r="J1339"/>
  <c r="I1339"/>
  <c r="P1339" s="1"/>
  <c r="F1339"/>
  <c r="B1339"/>
  <c r="O1338"/>
  <c r="J1338"/>
  <c r="I1338"/>
  <c r="P1338" s="1"/>
  <c r="F1338"/>
  <c r="B1338"/>
  <c r="O1337"/>
  <c r="J1337"/>
  <c r="I1337"/>
  <c r="P1337" s="1"/>
  <c r="F1337"/>
  <c r="B1337"/>
  <c r="O1332"/>
  <c r="J1332"/>
  <c r="I1332"/>
  <c r="P1332" s="1"/>
  <c r="F1332"/>
  <c r="B1332"/>
  <c r="O1331"/>
  <c r="J1331"/>
  <c r="I1331"/>
  <c r="P1331" s="1"/>
  <c r="F1331"/>
  <c r="B1331"/>
  <c r="O1318"/>
  <c r="J1318"/>
  <c r="I1318"/>
  <c r="P1318" s="1"/>
  <c r="G1318"/>
  <c r="J169" i="8" s="1"/>
  <c r="F1318" i="33"/>
  <c r="B1318"/>
  <c r="O1317"/>
  <c r="J1317"/>
  <c r="I1317"/>
  <c r="Q1317" s="1"/>
  <c r="F1317"/>
  <c r="B1317"/>
  <c r="O1316"/>
  <c r="J1316"/>
  <c r="I1316"/>
  <c r="Q1316" s="1"/>
  <c r="F1316"/>
  <c r="B1316"/>
  <c r="O1306"/>
  <c r="J1306"/>
  <c r="I1306"/>
  <c r="Q1306" s="1"/>
  <c r="F1306"/>
  <c r="B1306"/>
  <c r="O1305"/>
  <c r="J1305"/>
  <c r="I1305"/>
  <c r="Q1305" s="1"/>
  <c r="F1305"/>
  <c r="B1305"/>
  <c r="O1304"/>
  <c r="J1304"/>
  <c r="I1304"/>
  <c r="Q1304" s="1"/>
  <c r="F1304"/>
  <c r="B1304"/>
  <c r="O1303"/>
  <c r="J1303"/>
  <c r="I1303"/>
  <c r="Q1303" s="1"/>
  <c r="F1303"/>
  <c r="B1303"/>
  <c r="O1302"/>
  <c r="J1302"/>
  <c r="I1302"/>
  <c r="Q1302" s="1"/>
  <c r="F1302"/>
  <c r="B1302"/>
  <c r="O1301"/>
  <c r="J1301"/>
  <c r="I1301"/>
  <c r="Q1301" s="1"/>
  <c r="F1301"/>
  <c r="B1301"/>
  <c r="O1300"/>
  <c r="J1300"/>
  <c r="I1300"/>
  <c r="Q1300" s="1"/>
  <c r="F1300"/>
  <c r="B1300"/>
  <c r="O1299"/>
  <c r="J1299"/>
  <c r="I1299"/>
  <c r="Q1299" s="1"/>
  <c r="F1299"/>
  <c r="B1299"/>
  <c r="O1028"/>
  <c r="J1028"/>
  <c r="I1028"/>
  <c r="Q1028" s="1"/>
  <c r="F1028"/>
  <c r="B1028"/>
  <c r="O1027"/>
  <c r="J1027"/>
  <c r="I1027"/>
  <c r="Q1027" s="1"/>
  <c r="F1027"/>
  <c r="B1027"/>
  <c r="O1235"/>
  <c r="J1235"/>
  <c r="I1235"/>
  <c r="Q1235" s="1"/>
  <c r="G1235"/>
  <c r="F1235"/>
  <c r="B1235"/>
  <c r="O1234"/>
  <c r="J1234"/>
  <c r="I1234"/>
  <c r="P1234" s="1"/>
  <c r="F1234"/>
  <c r="B1234"/>
  <c r="O1233"/>
  <c r="J1233"/>
  <c r="I1233"/>
  <c r="P1233" s="1"/>
  <c r="F1233"/>
  <c r="B1233"/>
  <c r="O1119"/>
  <c r="J1119"/>
  <c r="I1119"/>
  <c r="P1119" s="1"/>
  <c r="G1119"/>
  <c r="F1119"/>
  <c r="B1119"/>
  <c r="O1118"/>
  <c r="J1118"/>
  <c r="I1118"/>
  <c r="Q1118" s="1"/>
  <c r="F1118"/>
  <c r="B1118"/>
  <c r="O1117"/>
  <c r="J1117"/>
  <c r="I1117"/>
  <c r="Q1117" s="1"/>
  <c r="F1117"/>
  <c r="B1117"/>
  <c r="O986"/>
  <c r="J986"/>
  <c r="I986"/>
  <c r="Q986" s="1"/>
  <c r="G986"/>
  <c r="F986"/>
  <c r="B986"/>
  <c r="O985"/>
  <c r="J985"/>
  <c r="I985"/>
  <c r="P985" s="1"/>
  <c r="F985"/>
  <c r="B985"/>
  <c r="O984"/>
  <c r="J984"/>
  <c r="I984"/>
  <c r="P984" s="1"/>
  <c r="F984"/>
  <c r="B984"/>
  <c r="O1167"/>
  <c r="J1167"/>
  <c r="I1167"/>
  <c r="P1167" s="1"/>
  <c r="F1167"/>
  <c r="B1167"/>
  <c r="O1166"/>
  <c r="J1166"/>
  <c r="I1166"/>
  <c r="P1166" s="1"/>
  <c r="F1166"/>
  <c r="B1166"/>
  <c r="O1207"/>
  <c r="J1207"/>
  <c r="I1207"/>
  <c r="P1207" s="1"/>
  <c r="F1207"/>
  <c r="B1207"/>
  <c r="O1206"/>
  <c r="J1206"/>
  <c r="I1206"/>
  <c r="P1206" s="1"/>
  <c r="F1206"/>
  <c r="B1206"/>
  <c r="O1189"/>
  <c r="J1189"/>
  <c r="I1189"/>
  <c r="P1189" s="1"/>
  <c r="F1189"/>
  <c r="B1189"/>
  <c r="O1188"/>
  <c r="J1188"/>
  <c r="I1188"/>
  <c r="P1188" s="1"/>
  <c r="F1188"/>
  <c r="B1188"/>
  <c r="O915"/>
  <c r="J915"/>
  <c r="I915"/>
  <c r="P915" s="1"/>
  <c r="F915"/>
  <c r="B915"/>
  <c r="O914"/>
  <c r="J914"/>
  <c r="I914"/>
  <c r="P914" s="1"/>
  <c r="F914"/>
  <c r="B914"/>
  <c r="J996"/>
  <c r="I996"/>
  <c r="P996" s="1"/>
  <c r="F996"/>
  <c r="B996"/>
  <c r="O995"/>
  <c r="J995"/>
  <c r="I995"/>
  <c r="Q995" s="1"/>
  <c r="F995"/>
  <c r="B995"/>
  <c r="O994"/>
  <c r="J994"/>
  <c r="I994"/>
  <c r="Q994" s="1"/>
  <c r="F994"/>
  <c r="B994"/>
  <c r="O993"/>
  <c r="J993"/>
  <c r="I993"/>
  <c r="Q993" s="1"/>
  <c r="F993"/>
  <c r="B993"/>
  <c r="O992"/>
  <c r="J992"/>
  <c r="I992"/>
  <c r="Q992" s="1"/>
  <c r="F992"/>
  <c r="B992"/>
  <c r="O1280"/>
  <c r="J1280"/>
  <c r="I1280"/>
  <c r="Q1280" s="1"/>
  <c r="F1280"/>
  <c r="B1280"/>
  <c r="O1279"/>
  <c r="J1279"/>
  <c r="I1279"/>
  <c r="Q1279" s="1"/>
  <c r="K58" i="7"/>
  <c r="F1279" i="33"/>
  <c r="B1279"/>
  <c r="O1278"/>
  <c r="J1278"/>
  <c r="I1278"/>
  <c r="P1278" s="1"/>
  <c r="F1278"/>
  <c r="B1278"/>
  <c r="O1277"/>
  <c r="J1277"/>
  <c r="I1277"/>
  <c r="P1277" s="1"/>
  <c r="F1277"/>
  <c r="B1277"/>
  <c r="O1124"/>
  <c r="J1124"/>
  <c r="I1124"/>
  <c r="P1124" s="1"/>
  <c r="F1124"/>
  <c r="B1124"/>
  <c r="O1123"/>
  <c r="J1123"/>
  <c r="I1123"/>
  <c r="P1123" s="1"/>
  <c r="F1123"/>
  <c r="B1123"/>
  <c r="O1122"/>
  <c r="J1122"/>
  <c r="I1122"/>
  <c r="P1122" s="1"/>
  <c r="F1122"/>
  <c r="B1122"/>
  <c r="O1121"/>
  <c r="J1121"/>
  <c r="I1121"/>
  <c r="P1121" s="1"/>
  <c r="F1121"/>
  <c r="B1121"/>
  <c r="O1120"/>
  <c r="J1120"/>
  <c r="I1120"/>
  <c r="P1120" s="1"/>
  <c r="F1120"/>
  <c r="B1120"/>
  <c r="O1165"/>
  <c r="J1165"/>
  <c r="I1165"/>
  <c r="P1165" s="1"/>
  <c r="F1165"/>
  <c r="B1165"/>
  <c r="O1164"/>
  <c r="J1164"/>
  <c r="I1164"/>
  <c r="P1164" s="1"/>
  <c r="F1164"/>
  <c r="B1164"/>
  <c r="O1163"/>
  <c r="J1163"/>
  <c r="I1163"/>
  <c r="P1163" s="1"/>
  <c r="F1163"/>
  <c r="B1163"/>
  <c r="O1162"/>
  <c r="J1162"/>
  <c r="I1162"/>
  <c r="P1162" s="1"/>
  <c r="F1162"/>
  <c r="B1162"/>
  <c r="O1161"/>
  <c r="J1161"/>
  <c r="I1161"/>
  <c r="P1161" s="1"/>
  <c r="F1161"/>
  <c r="B1161"/>
  <c r="O1229"/>
  <c r="J1229"/>
  <c r="I1229"/>
  <c r="P1229" s="1"/>
  <c r="F1229"/>
  <c r="B1229"/>
  <c r="O1228"/>
  <c r="J1228"/>
  <c r="I1228"/>
  <c r="P1228" s="1"/>
  <c r="F1228"/>
  <c r="B1228"/>
  <c r="O1227"/>
  <c r="J1227"/>
  <c r="I1227"/>
  <c r="P1227" s="1"/>
  <c r="F1227"/>
  <c r="B1227"/>
  <c r="O1226"/>
  <c r="J1226"/>
  <c r="I1226"/>
  <c r="P1226" s="1"/>
  <c r="F1226"/>
  <c r="B1226"/>
  <c r="O1225"/>
  <c r="J1225"/>
  <c r="I1225"/>
  <c r="P1225" s="1"/>
  <c r="F1225"/>
  <c r="B1225"/>
  <c r="O1187"/>
  <c r="J1187"/>
  <c r="I1187"/>
  <c r="P1187" s="1"/>
  <c r="F1187"/>
  <c r="B1187"/>
  <c r="O1186"/>
  <c r="J1186"/>
  <c r="I1186"/>
  <c r="P1186" s="1"/>
  <c r="F1186"/>
  <c r="B1186"/>
  <c r="O1185"/>
  <c r="J1185"/>
  <c r="I1185"/>
  <c r="P1185" s="1"/>
  <c r="F1185"/>
  <c r="B1185"/>
  <c r="O1184"/>
  <c r="J1184"/>
  <c r="I1184"/>
  <c r="P1184" s="1"/>
  <c r="F1184"/>
  <c r="B1184"/>
  <c r="O1183"/>
  <c r="J1183"/>
  <c r="I1183"/>
  <c r="P1183" s="1"/>
  <c r="F1183"/>
  <c r="B1183"/>
  <c r="O1205"/>
  <c r="J1205"/>
  <c r="I1205"/>
  <c r="P1205" s="1"/>
  <c r="F1205"/>
  <c r="B1205"/>
  <c r="J1204"/>
  <c r="I1204"/>
  <c r="P1204" s="1"/>
  <c r="F1204"/>
  <c r="B1204"/>
  <c r="O1203"/>
  <c r="J1203"/>
  <c r="I1203"/>
  <c r="Q1203" s="1"/>
  <c r="F1203"/>
  <c r="B1203"/>
  <c r="O1202"/>
  <c r="J1202"/>
  <c r="I1202"/>
  <c r="Q1202" s="1"/>
  <c r="F1202"/>
  <c r="B1202"/>
  <c r="O1201"/>
  <c r="J1201"/>
  <c r="I1201"/>
  <c r="Q1201" s="1"/>
  <c r="F1201"/>
  <c r="B1201"/>
  <c r="O1072"/>
  <c r="J1072"/>
  <c r="I1072"/>
  <c r="Q1072" s="1"/>
  <c r="F1072"/>
  <c r="B1072"/>
  <c r="O1071"/>
  <c r="J1071"/>
  <c r="I1071"/>
  <c r="Q1071" s="1"/>
  <c r="F1071"/>
  <c r="B1071"/>
  <c r="O1070"/>
  <c r="J1070"/>
  <c r="I1070"/>
  <c r="Q1070" s="1"/>
  <c r="F1070"/>
  <c r="B1070"/>
  <c r="O1069"/>
  <c r="J1069"/>
  <c r="I1069"/>
  <c r="Q1069" s="1"/>
  <c r="F1069"/>
  <c r="B1069"/>
  <c r="O1068"/>
  <c r="J1068"/>
  <c r="I1068"/>
  <c r="Q1068" s="1"/>
  <c r="F1068"/>
  <c r="B1068"/>
  <c r="O1067"/>
  <c r="J1067"/>
  <c r="I1067"/>
  <c r="Q1067" s="1"/>
  <c r="F1067"/>
  <c r="B1067"/>
  <c r="O1066"/>
  <c r="J1066"/>
  <c r="I1066"/>
  <c r="Q1066" s="1"/>
  <c r="F1066"/>
  <c r="B1066"/>
  <c r="O1065"/>
  <c r="J1065"/>
  <c r="I1065"/>
  <c r="Q1065" s="1"/>
  <c r="F1065"/>
  <c r="B1065"/>
  <c r="O1064"/>
  <c r="J1064"/>
  <c r="I1064"/>
  <c r="Q1064" s="1"/>
  <c r="F1064"/>
  <c r="B1064"/>
  <c r="O1063"/>
  <c r="J1063"/>
  <c r="I1063"/>
  <c r="Q1063" s="1"/>
  <c r="F1063"/>
  <c r="B1063"/>
  <c r="O928"/>
  <c r="J928"/>
  <c r="I928"/>
  <c r="Q928" s="1"/>
  <c r="F928"/>
  <c r="B928"/>
  <c r="O927"/>
  <c r="J927"/>
  <c r="I927"/>
  <c r="Q927" s="1"/>
  <c r="F927"/>
  <c r="B927"/>
  <c r="O926"/>
  <c r="J926"/>
  <c r="I926"/>
  <c r="Q926" s="1"/>
  <c r="F926"/>
  <c r="B926"/>
  <c r="O925"/>
  <c r="J925"/>
  <c r="I925"/>
  <c r="Q925" s="1"/>
  <c r="F925"/>
  <c r="B925"/>
  <c r="O924"/>
  <c r="J924"/>
  <c r="I924"/>
  <c r="Q924" s="1"/>
  <c r="F924"/>
  <c r="B924"/>
  <c r="O965"/>
  <c r="J965"/>
  <c r="I965"/>
  <c r="Q965" s="1"/>
  <c r="F965"/>
  <c r="B965"/>
  <c r="O964"/>
  <c r="J964"/>
  <c r="I964"/>
  <c r="Q964" s="1"/>
  <c r="F964"/>
  <c r="B964"/>
  <c r="O963"/>
  <c r="J963"/>
  <c r="I963"/>
  <c r="Q963" s="1"/>
  <c r="F963"/>
  <c r="B963"/>
  <c r="O962"/>
  <c r="J962"/>
  <c r="I962"/>
  <c r="Q962" s="1"/>
  <c r="F962"/>
  <c r="B962"/>
  <c r="O961"/>
  <c r="J961"/>
  <c r="I961"/>
  <c r="Q961" s="1"/>
  <c r="F961"/>
  <c r="B961"/>
  <c r="O1116"/>
  <c r="J1116"/>
  <c r="I1116"/>
  <c r="Q1116" s="1"/>
  <c r="F1116"/>
  <c r="B1116"/>
  <c r="O1115"/>
  <c r="J1115"/>
  <c r="I1115"/>
  <c r="Q1115" s="1"/>
  <c r="F1115"/>
  <c r="B1115"/>
  <c r="O1114"/>
  <c r="J1114"/>
  <c r="I1114"/>
  <c r="Q1114" s="1"/>
  <c r="F1114"/>
  <c r="B1114"/>
  <c r="O1113"/>
  <c r="J1113"/>
  <c r="I1113"/>
  <c r="Q1113" s="1"/>
  <c r="F1113"/>
  <c r="B1113"/>
  <c r="O1112"/>
  <c r="J1112"/>
  <c r="I1112"/>
  <c r="Q1112" s="1"/>
  <c r="F1112"/>
  <c r="B1112"/>
  <c r="O903"/>
  <c r="J903"/>
  <c r="I903"/>
  <c r="Q903" s="1"/>
  <c r="F903"/>
  <c r="B903"/>
  <c r="O902"/>
  <c r="J902"/>
  <c r="I902"/>
  <c r="Q902" s="1"/>
  <c r="F902"/>
  <c r="B902"/>
  <c r="O901"/>
  <c r="J901"/>
  <c r="I901"/>
  <c r="Q901" s="1"/>
  <c r="F901"/>
  <c r="B901"/>
  <c r="O900"/>
  <c r="J900"/>
  <c r="I900"/>
  <c r="Q900" s="1"/>
  <c r="F900"/>
  <c r="B900"/>
  <c r="O899"/>
  <c r="J899"/>
  <c r="I899"/>
  <c r="Q899" s="1"/>
  <c r="F899"/>
  <c r="B899"/>
  <c r="O942"/>
  <c r="J942"/>
  <c r="I942"/>
  <c r="Q942" s="1"/>
  <c r="F942"/>
  <c r="B942"/>
  <c r="O941"/>
  <c r="J941"/>
  <c r="I941"/>
  <c r="Q941" s="1"/>
  <c r="F941"/>
  <c r="B941"/>
  <c r="O940"/>
  <c r="J940"/>
  <c r="I940"/>
  <c r="Q940" s="1"/>
  <c r="F940"/>
  <c r="B940"/>
  <c r="O939"/>
  <c r="J939"/>
  <c r="I939"/>
  <c r="Q939" s="1"/>
  <c r="F939"/>
  <c r="B939"/>
  <c r="O938"/>
  <c r="J938"/>
  <c r="I938"/>
  <c r="Q938" s="1"/>
  <c r="F938"/>
  <c r="B938"/>
  <c r="O913"/>
  <c r="J913"/>
  <c r="I913"/>
  <c r="Q913" s="1"/>
  <c r="F913"/>
  <c r="B913"/>
  <c r="O912"/>
  <c r="J912"/>
  <c r="I912"/>
  <c r="Q912" s="1"/>
  <c r="F912"/>
  <c r="B912"/>
  <c r="O911"/>
  <c r="J911"/>
  <c r="I911"/>
  <c r="Q911" s="1"/>
  <c r="F911"/>
  <c r="B911"/>
  <c r="O910"/>
  <c r="J910"/>
  <c r="I910"/>
  <c r="Q910" s="1"/>
  <c r="F910"/>
  <c r="B910"/>
  <c r="O909"/>
  <c r="J909"/>
  <c r="I909"/>
  <c r="Q909" s="1"/>
  <c r="F909"/>
  <c r="B909"/>
  <c r="O1276"/>
  <c r="J1276"/>
  <c r="I1276"/>
  <c r="Q1276" s="1"/>
  <c r="F1276"/>
  <c r="B1276"/>
  <c r="O1275"/>
  <c r="J1275"/>
  <c r="I1275"/>
  <c r="Q1275" s="1"/>
  <c r="F1275"/>
  <c r="B1275"/>
  <c r="O1274"/>
  <c r="J1274"/>
  <c r="I1274"/>
  <c r="Q1274" s="1"/>
  <c r="F1274"/>
  <c r="B1274"/>
  <c r="O1273"/>
  <c r="J1273"/>
  <c r="I1273"/>
  <c r="Q1273" s="1"/>
  <c r="F1273"/>
  <c r="B1273"/>
  <c r="O1272"/>
  <c r="J1272"/>
  <c r="I1272"/>
  <c r="Q1272" s="1"/>
  <c r="F1272"/>
  <c r="B1272"/>
  <c r="O1271"/>
  <c r="J1271"/>
  <c r="I1271"/>
  <c r="Q1271" s="1"/>
  <c r="F1271"/>
  <c r="B1271"/>
  <c r="O1270"/>
  <c r="J1270"/>
  <c r="I1270"/>
  <c r="Q1270" s="1"/>
  <c r="F1270"/>
  <c r="B1270"/>
  <c r="O1269"/>
  <c r="J1269"/>
  <c r="I1269"/>
  <c r="Q1269" s="1"/>
  <c r="F1269"/>
  <c r="B1269"/>
  <c r="O1268"/>
  <c r="J1268"/>
  <c r="I1268"/>
  <c r="Q1268" s="1"/>
  <c r="F1268"/>
  <c r="B1268"/>
  <c r="O1267"/>
  <c r="J1267"/>
  <c r="I1267"/>
  <c r="Q1267" s="1"/>
  <c r="F1267"/>
  <c r="B1267"/>
  <c r="O1266"/>
  <c r="J1266"/>
  <c r="I1266"/>
  <c r="Q1266" s="1"/>
  <c r="F1266"/>
  <c r="B1266"/>
  <c r="O1265"/>
  <c r="J1265"/>
  <c r="I1265"/>
  <c r="Q1265" s="1"/>
  <c r="F1265"/>
  <c r="B1265"/>
  <c r="O1264"/>
  <c r="J1264"/>
  <c r="I1264"/>
  <c r="Q1264" s="1"/>
  <c r="F1264"/>
  <c r="B1264"/>
  <c r="O1263"/>
  <c r="J1263"/>
  <c r="I1263"/>
  <c r="Q1263" s="1"/>
  <c r="F1263"/>
  <c r="B1263"/>
  <c r="O1262"/>
  <c r="J1262"/>
  <c r="I1262"/>
  <c r="Q1262" s="1"/>
  <c r="F1262"/>
  <c r="B1262"/>
  <c r="O1261"/>
  <c r="J1261"/>
  <c r="I1261"/>
  <c r="Q1261" s="1"/>
  <c r="F1261"/>
  <c r="B1261"/>
  <c r="O1260"/>
  <c r="J1260"/>
  <c r="I1260"/>
  <c r="Q1260" s="1"/>
  <c r="F1260"/>
  <c r="B1260"/>
  <c r="O1020"/>
  <c r="J1020"/>
  <c r="I1020"/>
  <c r="Q1020" s="1"/>
  <c r="F1020"/>
  <c r="B1020"/>
  <c r="O1019"/>
  <c r="J1019"/>
  <c r="I1019"/>
  <c r="Q1019" s="1"/>
  <c r="F1019"/>
  <c r="B1019"/>
  <c r="O1160"/>
  <c r="J1160"/>
  <c r="I1160"/>
  <c r="Q1160" s="1"/>
  <c r="F1160"/>
  <c r="B1160"/>
  <c r="O1159"/>
  <c r="J1159"/>
  <c r="I1159"/>
  <c r="Q1159" s="1"/>
  <c r="F1159"/>
  <c r="B1159"/>
  <c r="O1158"/>
  <c r="J1158"/>
  <c r="I1158"/>
  <c r="Q1158" s="1"/>
  <c r="F1158"/>
  <c r="B1158"/>
  <c r="O1157"/>
  <c r="J1157"/>
  <c r="I1157"/>
  <c r="Q1157" s="1"/>
  <c r="F1157"/>
  <c r="B1157"/>
  <c r="O1156"/>
  <c r="J1156"/>
  <c r="I1156"/>
  <c r="Q1156" s="1"/>
  <c r="F1156"/>
  <c r="B1156"/>
  <c r="O923"/>
  <c r="J923"/>
  <c r="I923"/>
  <c r="Q923" s="1"/>
  <c r="F923"/>
  <c r="B923"/>
  <c r="O922"/>
  <c r="J922"/>
  <c r="I922"/>
  <c r="Q922" s="1"/>
  <c r="F922"/>
  <c r="B922"/>
  <c r="O960"/>
  <c r="J960"/>
  <c r="I960"/>
  <c r="Q960" s="1"/>
  <c r="F960"/>
  <c r="B960"/>
  <c r="O959"/>
  <c r="J959"/>
  <c r="I959"/>
  <c r="Q959" s="1"/>
  <c r="F959"/>
  <c r="B959"/>
  <c r="O1182"/>
  <c r="J1182"/>
  <c r="I1182"/>
  <c r="Q1182" s="1"/>
  <c r="G1182"/>
  <c r="J195" i="7" s="1"/>
  <c r="F1182" i="33"/>
  <c r="B1182"/>
  <c r="O1181"/>
  <c r="J1181"/>
  <c r="I1181"/>
  <c r="P1181" s="1"/>
  <c r="F1181"/>
  <c r="B1181"/>
  <c r="O1180"/>
  <c r="J1180"/>
  <c r="I1180"/>
  <c r="P1180" s="1"/>
  <c r="F1180"/>
  <c r="B1180"/>
  <c r="O1177"/>
  <c r="J1177"/>
  <c r="I1177"/>
  <c r="P1177" s="1"/>
  <c r="F1177"/>
  <c r="B1177"/>
  <c r="O1176"/>
  <c r="J1176"/>
  <c r="I1176"/>
  <c r="P1176" s="1"/>
  <c r="F1176"/>
  <c r="B1176"/>
  <c r="O1155"/>
  <c r="J1155"/>
  <c r="I1155"/>
  <c r="P1155" s="1"/>
  <c r="G1155"/>
  <c r="F1155"/>
  <c r="B1155"/>
  <c r="O1154"/>
  <c r="J1154"/>
  <c r="I1154"/>
  <c r="Q1154" s="1"/>
  <c r="G1154"/>
  <c r="F1154"/>
  <c r="B1154"/>
  <c r="O1153"/>
  <c r="J1153"/>
  <c r="I1153"/>
  <c r="P1153" s="1"/>
  <c r="H1153"/>
  <c r="K105" i="7" s="1"/>
  <c r="F1153" i="33"/>
  <c r="B1153"/>
  <c r="O1200"/>
  <c r="J1200"/>
  <c r="I1200"/>
  <c r="Q1200" s="1"/>
  <c r="G1200"/>
  <c r="F1200"/>
  <c r="B1200"/>
  <c r="O1199"/>
  <c r="J1199"/>
  <c r="I1199"/>
  <c r="P1199" s="1"/>
  <c r="F1199"/>
  <c r="B1199"/>
  <c r="O1198"/>
  <c r="J1198"/>
  <c r="I1198"/>
  <c r="P1198" s="1"/>
  <c r="F1198"/>
  <c r="B1198"/>
  <c r="O1215"/>
  <c r="J1215"/>
  <c r="I1215"/>
  <c r="P1215" s="1"/>
  <c r="G1215"/>
  <c r="J180" i="7" s="1"/>
  <c r="F1215" i="33"/>
  <c r="B1215"/>
  <c r="O1214"/>
  <c r="J1214"/>
  <c r="I1214"/>
  <c r="Q1214" s="1"/>
  <c r="F1214"/>
  <c r="B1214"/>
  <c r="O1213"/>
  <c r="J1213"/>
  <c r="I1213"/>
  <c r="Q1213" s="1"/>
  <c r="F1213"/>
  <c r="B1213"/>
  <c r="O1212"/>
  <c r="J1212"/>
  <c r="I1212"/>
  <c r="Q1212" s="1"/>
  <c r="G1212"/>
  <c r="F1212"/>
  <c r="B1212"/>
  <c r="O1211"/>
  <c r="J1211"/>
  <c r="I1211"/>
  <c r="P1211" s="1"/>
  <c r="F1211"/>
  <c r="B1211"/>
  <c r="O1210"/>
  <c r="J1210"/>
  <c r="I1210"/>
  <c r="P1210" s="1"/>
  <c r="F1210"/>
  <c r="B1210"/>
  <c r="O1222"/>
  <c r="J1222"/>
  <c r="I1222"/>
  <c r="P1222" s="1"/>
  <c r="G1222"/>
  <c r="F1222"/>
  <c r="B1222"/>
  <c r="O1221"/>
  <c r="J1221"/>
  <c r="I1221"/>
  <c r="Q1221" s="1"/>
  <c r="F1221"/>
  <c r="B1221"/>
  <c r="O1220"/>
  <c r="J1220"/>
  <c r="I1220"/>
  <c r="Q1220" s="1"/>
  <c r="F1220"/>
  <c r="B1220"/>
  <c r="O1239"/>
  <c r="J1239"/>
  <c r="I1239"/>
  <c r="Q1239" s="1"/>
  <c r="F1239"/>
  <c r="B1239"/>
  <c r="O1238"/>
  <c r="J1238"/>
  <c r="I1238"/>
  <c r="Q1238" s="1"/>
  <c r="F1238"/>
  <c r="B1238"/>
  <c r="O1245"/>
  <c r="J1245"/>
  <c r="I1245"/>
  <c r="Q1245" s="1"/>
  <c r="G1245"/>
  <c r="J158" i="7" s="1"/>
  <c r="F1245" i="33"/>
  <c r="B1245"/>
  <c r="O1244"/>
  <c r="J1244"/>
  <c r="I1244"/>
  <c r="P1244" s="1"/>
  <c r="G1244"/>
  <c r="M12" i="39" s="1"/>
  <c r="H1037" s="1"/>
  <c r="H1035" s="1"/>
  <c r="H1040" s="1"/>
  <c r="H1048" s="1"/>
  <c r="H1060" s="1"/>
  <c r="H1070" s="1"/>
  <c r="F1244" i="33"/>
  <c r="B1244"/>
  <c r="O1243"/>
  <c r="J1243"/>
  <c r="I1243"/>
  <c r="Q1243" s="1"/>
  <c r="F1243"/>
  <c r="B1243"/>
  <c r="O1242"/>
  <c r="J1242"/>
  <c r="I1242"/>
  <c r="Q1242" s="1"/>
  <c r="G1242"/>
  <c r="F1242"/>
  <c r="B1242"/>
  <c r="O1241"/>
  <c r="J1241"/>
  <c r="I1241"/>
  <c r="P1241" s="1"/>
  <c r="F1241"/>
  <c r="B1241"/>
  <c r="O1240"/>
  <c r="J1240"/>
  <c r="I1240"/>
  <c r="P1240" s="1"/>
  <c r="F1240"/>
  <c r="B1240"/>
  <c r="O1219"/>
  <c r="J1219"/>
  <c r="I1219"/>
  <c r="P1219" s="1"/>
  <c r="F1219"/>
  <c r="B1219"/>
  <c r="O1218"/>
  <c r="J1218"/>
  <c r="I1218"/>
  <c r="P1218" s="1"/>
  <c r="F1218"/>
  <c r="B1218"/>
  <c r="O1217"/>
  <c r="J1217"/>
  <c r="I1217"/>
  <c r="P1217" s="1"/>
  <c r="F1217"/>
  <c r="B1217"/>
  <c r="O1216"/>
  <c r="J1216"/>
  <c r="I1216"/>
  <c r="P1216" s="1"/>
  <c r="F1216"/>
  <c r="B1216"/>
  <c r="O1224"/>
  <c r="J1224"/>
  <c r="I1224"/>
  <c r="P1224" s="1"/>
  <c r="F1224"/>
  <c r="B1224"/>
  <c r="O1223"/>
  <c r="J1223"/>
  <c r="I1223"/>
  <c r="P1223" s="1"/>
  <c r="F1223"/>
  <c r="B1223"/>
  <c r="O1259"/>
  <c r="J1259"/>
  <c r="I1259"/>
  <c r="P1259" s="1"/>
  <c r="F1259"/>
  <c r="B1259"/>
  <c r="O1258"/>
  <c r="J1258"/>
  <c r="I1258"/>
  <c r="P1258" s="1"/>
  <c r="F1258"/>
  <c r="B1258"/>
  <c r="O1257"/>
  <c r="J1257"/>
  <c r="I1257"/>
  <c r="P1257" s="1"/>
  <c r="F1257"/>
  <c r="B1257"/>
  <c r="O1256"/>
  <c r="J1256"/>
  <c r="I1256"/>
  <c r="P1256" s="1"/>
  <c r="F1256"/>
  <c r="B1256"/>
  <c r="O1237"/>
  <c r="J1237"/>
  <c r="I1237"/>
  <c r="P1237" s="1"/>
  <c r="F1237"/>
  <c r="B1237"/>
  <c r="O1236"/>
  <c r="J1236"/>
  <c r="I1236"/>
  <c r="P1236" s="1"/>
  <c r="F1236"/>
  <c r="B1236"/>
  <c r="O1232"/>
  <c r="J1232"/>
  <c r="I1232"/>
  <c r="P1232" s="1"/>
  <c r="G1232"/>
  <c r="F1232"/>
  <c r="B1232"/>
  <c r="O1231"/>
  <c r="J1231"/>
  <c r="I1231"/>
  <c r="Q1231" s="1"/>
  <c r="F1231"/>
  <c r="B1231"/>
  <c r="O1230"/>
  <c r="J1230"/>
  <c r="I1230"/>
  <c r="Q1230" s="1"/>
  <c r="F1230"/>
  <c r="B1230"/>
  <c r="O1209"/>
  <c r="J1209"/>
  <c r="I1209"/>
  <c r="Q1209" s="1"/>
  <c r="F1209"/>
  <c r="B1209"/>
  <c r="O1208"/>
  <c r="J1208"/>
  <c r="I1208"/>
  <c r="Q1208" s="1"/>
  <c r="F1208"/>
  <c r="B1208"/>
  <c r="O1197"/>
  <c r="J1197"/>
  <c r="I1197"/>
  <c r="Q1197" s="1"/>
  <c r="F1197"/>
  <c r="B1197"/>
  <c r="O1196"/>
  <c r="J1196"/>
  <c r="I1196"/>
  <c r="Q1196" s="1"/>
  <c r="F1196"/>
  <c r="B1196"/>
  <c r="O1195"/>
  <c r="J1195"/>
  <c r="I1195"/>
  <c r="Q1195" s="1"/>
  <c r="F1195"/>
  <c r="B1195"/>
  <c r="O1194"/>
  <c r="J1194"/>
  <c r="I1194"/>
  <c r="Q1194" s="1"/>
  <c r="F1194"/>
  <c r="B1194"/>
  <c r="O1193"/>
  <c r="J1193"/>
  <c r="I1193"/>
  <c r="Q1193" s="1"/>
  <c r="F1193"/>
  <c r="B1193"/>
  <c r="O1192"/>
  <c r="J1192"/>
  <c r="I1192"/>
  <c r="Q1192" s="1"/>
  <c r="F1192"/>
  <c r="B1192"/>
  <c r="O1191"/>
  <c r="J1191"/>
  <c r="I1191"/>
  <c r="Q1191" s="1"/>
  <c r="F1191"/>
  <c r="B1191"/>
  <c r="O1190"/>
  <c r="J1190"/>
  <c r="I1190"/>
  <c r="Q1190" s="1"/>
  <c r="F1190"/>
  <c r="B1190"/>
  <c r="O1179"/>
  <c r="J1179"/>
  <c r="I1179"/>
  <c r="Q1179" s="1"/>
  <c r="F1179"/>
  <c r="B1179"/>
  <c r="O1178"/>
  <c r="J1178"/>
  <c r="I1178"/>
  <c r="Q1178" s="1"/>
  <c r="F1178"/>
  <c r="B1178"/>
  <c r="O1175"/>
  <c r="J1175"/>
  <c r="I1175"/>
  <c r="Q1175" s="1"/>
  <c r="G1175"/>
  <c r="F1175"/>
  <c r="B1175"/>
  <c r="O1174"/>
  <c r="J1174"/>
  <c r="I1174"/>
  <c r="P1174" s="1"/>
  <c r="F1174"/>
  <c r="B1174"/>
  <c r="O1173"/>
  <c r="J1173"/>
  <c r="I1173"/>
  <c r="P1173" s="1"/>
  <c r="F1173"/>
  <c r="B1173"/>
  <c r="O1255"/>
  <c r="J1255"/>
  <c r="I1255"/>
  <c r="P1255" s="1"/>
  <c r="F1255"/>
  <c r="B1255"/>
  <c r="O1254"/>
  <c r="J1254"/>
  <c r="I1254"/>
  <c r="P1254" s="1"/>
  <c r="F1254"/>
  <c r="B1254"/>
  <c r="O1253"/>
  <c r="J1253"/>
  <c r="I1253"/>
  <c r="P1253" s="1"/>
  <c r="F1253"/>
  <c r="B1253"/>
  <c r="O1252"/>
  <c r="J1252"/>
  <c r="I1252"/>
  <c r="P1252" s="1"/>
  <c r="F1252"/>
  <c r="B1252"/>
  <c r="O1251"/>
  <c r="J1251"/>
  <c r="I1251"/>
  <c r="P1251" s="1"/>
  <c r="F1251"/>
  <c r="B1251"/>
  <c r="O1250"/>
  <c r="J1250"/>
  <c r="I1250"/>
  <c r="P1250" s="1"/>
  <c r="F1250"/>
  <c r="B1250"/>
  <c r="O1249"/>
  <c r="J1249"/>
  <c r="I1249"/>
  <c r="P1249" s="1"/>
  <c r="F1249"/>
  <c r="B1249"/>
  <c r="O1248"/>
  <c r="J1248"/>
  <c r="I1248"/>
  <c r="P1248" s="1"/>
  <c r="F1248"/>
  <c r="B1248"/>
  <c r="O1247"/>
  <c r="J1247"/>
  <c r="I1247"/>
  <c r="P1247" s="1"/>
  <c r="F1247"/>
  <c r="B1247"/>
  <c r="O1246"/>
  <c r="J1246"/>
  <c r="I1246"/>
  <c r="P1246" s="1"/>
  <c r="F1246"/>
  <c r="B1246"/>
  <c r="O1152"/>
  <c r="J1152"/>
  <c r="I1152"/>
  <c r="P1152" s="1"/>
  <c r="F1152"/>
  <c r="B1152"/>
  <c r="O1151"/>
  <c r="J1151"/>
  <c r="I1151"/>
  <c r="P1151" s="1"/>
  <c r="F1151"/>
  <c r="B1151"/>
  <c r="O1150"/>
  <c r="J1150"/>
  <c r="I1150"/>
  <c r="P1150" s="1"/>
  <c r="F1150"/>
  <c r="B1150"/>
  <c r="O1149"/>
  <c r="J1149"/>
  <c r="I1149"/>
  <c r="P1149" s="1"/>
  <c r="F1149"/>
  <c r="B1149"/>
  <c r="O1148"/>
  <c r="J1148"/>
  <c r="I1148"/>
  <c r="P1148" s="1"/>
  <c r="F1148"/>
  <c r="B1148"/>
  <c r="O1147"/>
  <c r="J1147"/>
  <c r="I1147"/>
  <c r="P1147" s="1"/>
  <c r="F1147"/>
  <c r="B1147"/>
  <c r="O1146"/>
  <c r="J1146"/>
  <c r="I1146"/>
  <c r="P1146" s="1"/>
  <c r="F1146"/>
  <c r="B1146"/>
  <c r="O1145"/>
  <c r="J1145"/>
  <c r="I1145"/>
  <c r="P1145" s="1"/>
  <c r="F1145"/>
  <c r="B1145"/>
  <c r="O1018"/>
  <c r="J1018"/>
  <c r="I1018"/>
  <c r="P1018" s="1"/>
  <c r="F1018"/>
  <c r="B1018"/>
  <c r="O1017"/>
  <c r="J1017"/>
  <c r="I1017"/>
  <c r="P1017" s="1"/>
  <c r="F1017"/>
  <c r="B1017"/>
  <c r="O1016"/>
  <c r="J1016"/>
  <c r="I1016"/>
  <c r="P1016" s="1"/>
  <c r="F1016"/>
  <c r="B1016"/>
  <c r="O1015"/>
  <c r="J1015"/>
  <c r="I1015"/>
  <c r="P1015" s="1"/>
  <c r="F1015"/>
  <c r="B1015"/>
  <c r="O1014"/>
  <c r="J1014"/>
  <c r="I1014"/>
  <c r="P1014" s="1"/>
  <c r="F1014"/>
  <c r="B1014"/>
  <c r="O1013"/>
  <c r="J1013"/>
  <c r="I1013"/>
  <c r="P1013" s="1"/>
  <c r="F1013"/>
  <c r="B1013"/>
  <c r="O1012"/>
  <c r="J1012"/>
  <c r="I1012"/>
  <c r="P1012" s="1"/>
  <c r="F1012"/>
  <c r="B1012"/>
  <c r="O1011"/>
  <c r="J1011"/>
  <c r="I1011"/>
  <c r="P1011" s="1"/>
  <c r="F1011"/>
  <c r="B1011"/>
  <c r="O953"/>
  <c r="J953"/>
  <c r="I953"/>
  <c r="P953" s="1"/>
  <c r="F953"/>
  <c r="B953"/>
  <c r="O952"/>
  <c r="J952"/>
  <c r="I952"/>
  <c r="P952" s="1"/>
  <c r="F952"/>
  <c r="B952"/>
  <c r="O951"/>
  <c r="J951"/>
  <c r="I951"/>
  <c r="P951" s="1"/>
  <c r="F951"/>
  <c r="B951"/>
  <c r="O974"/>
  <c r="J974"/>
  <c r="I974"/>
  <c r="P974" s="1"/>
  <c r="F974"/>
  <c r="B974"/>
  <c r="O973"/>
  <c r="J973"/>
  <c r="I973"/>
  <c r="P973" s="1"/>
  <c r="F973"/>
  <c r="B973"/>
  <c r="O972"/>
  <c r="J972"/>
  <c r="I972"/>
  <c r="P972" s="1"/>
  <c r="F972"/>
  <c r="B972"/>
  <c r="O971"/>
  <c r="J971"/>
  <c r="I971"/>
  <c r="P971" s="1"/>
  <c r="F971"/>
  <c r="B971"/>
  <c r="O970"/>
  <c r="J970"/>
  <c r="I970"/>
  <c r="P970" s="1"/>
  <c r="F970"/>
  <c r="B970"/>
  <c r="O950"/>
  <c r="J950"/>
  <c r="I950"/>
  <c r="P950" s="1"/>
  <c r="F950"/>
  <c r="B950"/>
  <c r="O949"/>
  <c r="J949"/>
  <c r="I949"/>
  <c r="P949" s="1"/>
  <c r="F949"/>
  <c r="B949"/>
  <c r="O948"/>
  <c r="J948"/>
  <c r="I948"/>
  <c r="P948" s="1"/>
  <c r="F948"/>
  <c r="B948"/>
  <c r="O1033"/>
  <c r="J1033"/>
  <c r="I1033"/>
  <c r="P1033" s="1"/>
  <c r="F1033"/>
  <c r="B1033"/>
  <c r="O1032"/>
  <c r="J1032"/>
  <c r="I1032"/>
  <c r="P1032" s="1"/>
  <c r="F1032"/>
  <c r="B1032"/>
  <c r="O1031"/>
  <c r="J1031"/>
  <c r="I1031"/>
  <c r="P1031" s="1"/>
  <c r="F1031"/>
  <c r="B1031"/>
  <c r="O1098"/>
  <c r="J1098"/>
  <c r="I1098"/>
  <c r="P1098" s="1"/>
  <c r="F1098"/>
  <c r="B1098"/>
  <c r="O1097"/>
  <c r="J1097"/>
  <c r="I1097"/>
  <c r="P1097" s="1"/>
  <c r="F1097"/>
  <c r="B1097"/>
  <c r="O1096"/>
  <c r="J1096"/>
  <c r="I1096"/>
  <c r="P1096" s="1"/>
  <c r="F1096"/>
  <c r="B1096"/>
  <c r="O1095"/>
  <c r="J1095"/>
  <c r="I1095"/>
  <c r="P1095" s="1"/>
  <c r="F1095"/>
  <c r="B1095"/>
  <c r="O1094"/>
  <c r="J1094"/>
  <c r="I1094"/>
  <c r="P1094" s="1"/>
  <c r="F1094"/>
  <c r="B1094"/>
  <c r="O1093"/>
  <c r="J1093"/>
  <c r="I1093"/>
  <c r="P1093" s="1"/>
  <c r="F1093"/>
  <c r="B1093"/>
  <c r="O1172"/>
  <c r="J1172"/>
  <c r="I1172"/>
  <c r="P1172" s="1"/>
  <c r="F1172"/>
  <c r="B1172"/>
  <c r="O1171"/>
  <c r="J1171"/>
  <c r="I1171"/>
  <c r="P1171" s="1"/>
  <c r="F1171"/>
  <c r="B1171"/>
  <c r="O1170"/>
  <c r="J1170"/>
  <c r="I1170"/>
  <c r="P1170" s="1"/>
  <c r="F1170"/>
  <c r="B1170"/>
  <c r="O1092"/>
  <c r="J1092"/>
  <c r="I1092"/>
  <c r="P1092" s="1"/>
  <c r="F1092"/>
  <c r="B1092"/>
  <c r="O1091"/>
  <c r="J1091"/>
  <c r="I1091"/>
  <c r="P1091" s="1"/>
  <c r="F1091"/>
  <c r="B1091"/>
  <c r="O937"/>
  <c r="J937"/>
  <c r="I937"/>
  <c r="P937" s="1"/>
  <c r="F937"/>
  <c r="B937"/>
  <c r="O936"/>
  <c r="J936"/>
  <c r="I936"/>
  <c r="P936" s="1"/>
  <c r="F936"/>
  <c r="B936"/>
  <c r="O906"/>
  <c r="J906"/>
  <c r="I906"/>
  <c r="P906" s="1"/>
  <c r="G906"/>
  <c r="J164" i="7" s="1"/>
  <c r="F906" i="33"/>
  <c r="B906"/>
  <c r="O905"/>
  <c r="J905"/>
  <c r="I905"/>
  <c r="Q905" s="1"/>
  <c r="F905"/>
  <c r="B905"/>
  <c r="O904"/>
  <c r="J904"/>
  <c r="I904"/>
  <c r="Q904" s="1"/>
  <c r="F904"/>
  <c r="B904"/>
  <c r="O933"/>
  <c r="J933"/>
  <c r="I933"/>
  <c r="Q933" s="1"/>
  <c r="G933"/>
  <c r="F933"/>
  <c r="B933"/>
  <c r="O932"/>
  <c r="J932"/>
  <c r="I932"/>
  <c r="P932" s="1"/>
  <c r="F932"/>
  <c r="B932"/>
  <c r="O931"/>
  <c r="J931"/>
  <c r="I931"/>
  <c r="P931" s="1"/>
  <c r="F931"/>
  <c r="B931"/>
  <c r="O1081"/>
  <c r="J1081"/>
  <c r="I1081"/>
  <c r="P1081" s="1"/>
  <c r="G1081"/>
  <c r="J82" i="7" s="1"/>
  <c r="F1081" i="33"/>
  <c r="B1081"/>
  <c r="O1080"/>
  <c r="J1080"/>
  <c r="I1080"/>
  <c r="Q1080" s="1"/>
  <c r="F1080"/>
  <c r="B1080"/>
  <c r="O1079"/>
  <c r="J1079"/>
  <c r="I1079"/>
  <c r="Q1079" s="1"/>
  <c r="F1079"/>
  <c r="B1079"/>
  <c r="O947"/>
  <c r="J947"/>
  <c r="I947"/>
  <c r="Q947" s="1"/>
  <c r="F947"/>
  <c r="B947"/>
  <c r="O946"/>
  <c r="J946"/>
  <c r="I946"/>
  <c r="Q946" s="1"/>
  <c r="F946"/>
  <c r="B946"/>
  <c r="O945"/>
  <c r="J945"/>
  <c r="I945"/>
  <c r="Q945" s="1"/>
  <c r="G945"/>
  <c r="F945"/>
  <c r="B945"/>
  <c r="O944"/>
  <c r="J944"/>
  <c r="I944"/>
  <c r="P944" s="1"/>
  <c r="F944"/>
  <c r="B944"/>
  <c r="O943"/>
  <c r="J943"/>
  <c r="I943"/>
  <c r="P943" s="1"/>
  <c r="F943"/>
  <c r="B943"/>
  <c r="O958"/>
  <c r="J958"/>
  <c r="I958"/>
  <c r="P958" s="1"/>
  <c r="F958"/>
  <c r="B958"/>
  <c r="O957"/>
  <c r="J957"/>
  <c r="I957"/>
  <c r="P957" s="1"/>
  <c r="F957"/>
  <c r="B957"/>
  <c r="O956"/>
  <c r="J956"/>
  <c r="I956"/>
  <c r="P956" s="1"/>
  <c r="F956"/>
  <c r="B956"/>
  <c r="O969"/>
  <c r="J969"/>
  <c r="I969"/>
  <c r="P969" s="1"/>
  <c r="F969"/>
  <c r="B969"/>
  <c r="O968"/>
  <c r="J968"/>
  <c r="I968"/>
  <c r="P968" s="1"/>
  <c r="F968"/>
  <c r="B968"/>
  <c r="O983"/>
  <c r="J983"/>
  <c r="I983"/>
  <c r="P983" s="1"/>
  <c r="G983"/>
  <c r="F983"/>
  <c r="B983"/>
  <c r="O982"/>
  <c r="J982"/>
  <c r="I982"/>
  <c r="Q982" s="1"/>
  <c r="F982"/>
  <c r="B982"/>
  <c r="O981"/>
  <c r="J981"/>
  <c r="I981"/>
  <c r="Q981" s="1"/>
  <c r="F981"/>
  <c r="B981"/>
  <c r="O991"/>
  <c r="J991"/>
  <c r="I991"/>
  <c r="Q991" s="1"/>
  <c r="G991"/>
  <c r="F991"/>
  <c r="B991"/>
  <c r="O990"/>
  <c r="J990"/>
  <c r="I990"/>
  <c r="P990" s="1"/>
  <c r="F990"/>
  <c r="B990"/>
  <c r="O989"/>
  <c r="J989"/>
  <c r="I989"/>
  <c r="P989" s="1"/>
  <c r="F989"/>
  <c r="B989"/>
  <c r="O967"/>
  <c r="J967"/>
  <c r="I967"/>
  <c r="P967" s="1"/>
  <c r="F967"/>
  <c r="B967"/>
  <c r="O966"/>
  <c r="J966"/>
  <c r="I966"/>
  <c r="P966" s="1"/>
  <c r="F966"/>
  <c r="B966"/>
  <c r="O1010"/>
  <c r="J1010"/>
  <c r="I1010"/>
  <c r="P1010" s="1"/>
  <c r="G1010"/>
  <c r="F1010"/>
  <c r="B1010"/>
  <c r="J1009"/>
  <c r="I1009"/>
  <c r="F1009"/>
  <c r="B1009"/>
  <c r="O1008"/>
  <c r="J1008"/>
  <c r="I1008"/>
  <c r="P1008" s="1"/>
  <c r="F1008"/>
  <c r="B1008"/>
  <c r="O1023"/>
  <c r="J1023"/>
  <c r="I1023"/>
  <c r="P1023" s="1"/>
  <c r="G1023"/>
  <c r="F1023"/>
  <c r="B1023"/>
  <c r="O1022"/>
  <c r="J1022"/>
  <c r="I1022"/>
  <c r="Q1022" s="1"/>
  <c r="F1022"/>
  <c r="B1022"/>
  <c r="O1021"/>
  <c r="J1021"/>
  <c r="I1021"/>
  <c r="Q1021" s="1"/>
  <c r="F1021"/>
  <c r="B1021"/>
  <c r="O1026"/>
  <c r="J1026"/>
  <c r="I1026"/>
  <c r="Q1026" s="1"/>
  <c r="F1026"/>
  <c r="B1026"/>
  <c r="O1025"/>
  <c r="J1025"/>
  <c r="I1025"/>
  <c r="Q1025" s="1"/>
  <c r="F1025"/>
  <c r="B1025"/>
  <c r="O1024"/>
  <c r="J1024"/>
  <c r="I1024"/>
  <c r="Q1024" s="1"/>
  <c r="F1024"/>
  <c r="B1024"/>
  <c r="O1030"/>
  <c r="J1030"/>
  <c r="I1030"/>
  <c r="Q1030" s="1"/>
  <c r="F1030"/>
  <c r="B1030"/>
  <c r="O1029"/>
  <c r="J1029"/>
  <c r="I1029"/>
  <c r="Q1029" s="1"/>
  <c r="F1029"/>
  <c r="B1029"/>
  <c r="O1036"/>
  <c r="J1036"/>
  <c r="I1036"/>
  <c r="Q1036" s="1"/>
  <c r="G1036"/>
  <c r="J165" i="7" s="1"/>
  <c r="F1036" i="33"/>
  <c r="B1036"/>
  <c r="O1035"/>
  <c r="J1035"/>
  <c r="I1035"/>
  <c r="P1035" s="1"/>
  <c r="F1035"/>
  <c r="B1035"/>
  <c r="O1034"/>
  <c r="J1034"/>
  <c r="I1034"/>
  <c r="P1034" s="1"/>
  <c r="F1034"/>
  <c r="B1034"/>
  <c r="O1044"/>
  <c r="J1044"/>
  <c r="I1044"/>
  <c r="P1044" s="1"/>
  <c r="G1044"/>
  <c r="F1044"/>
  <c r="B1044"/>
  <c r="O1043"/>
  <c r="J1043"/>
  <c r="I1043"/>
  <c r="Q1043" s="1"/>
  <c r="F1043"/>
  <c r="B1043"/>
  <c r="O1042"/>
  <c r="J1042"/>
  <c r="I1042"/>
  <c r="Q1042" s="1"/>
  <c r="F1042"/>
  <c r="B1042"/>
  <c r="O1041"/>
  <c r="J1041"/>
  <c r="I1041"/>
  <c r="Q1041" s="1"/>
  <c r="G1041"/>
  <c r="F1041"/>
  <c r="B1041"/>
  <c r="O1040"/>
  <c r="J1040"/>
  <c r="I1040"/>
  <c r="P1040" s="1"/>
  <c r="F1040"/>
  <c r="B1040"/>
  <c r="O1057"/>
  <c r="J1057"/>
  <c r="I1057"/>
  <c r="P1057" s="1"/>
  <c r="F1057"/>
  <c r="B1057"/>
  <c r="O1056"/>
  <c r="J1056"/>
  <c r="I1056"/>
  <c r="P1056" s="1"/>
  <c r="F1056"/>
  <c r="B1056"/>
  <c r="O1055"/>
  <c r="J1055"/>
  <c r="I1055"/>
  <c r="P1055" s="1"/>
  <c r="F1055"/>
  <c r="B1055"/>
  <c r="O1054"/>
  <c r="J1054"/>
  <c r="I1054"/>
  <c r="P1054" s="1"/>
  <c r="F1054"/>
  <c r="B1054"/>
  <c r="O1053"/>
  <c r="J1053"/>
  <c r="I1053"/>
  <c r="P1053" s="1"/>
  <c r="F1053"/>
  <c r="B1053"/>
  <c r="O1052"/>
  <c r="J1052"/>
  <c r="I1052"/>
  <c r="P1052" s="1"/>
  <c r="G1052"/>
  <c r="F1052"/>
  <c r="B1052"/>
  <c r="O1051"/>
  <c r="J1051"/>
  <c r="I1051"/>
  <c r="Q1051" s="1"/>
  <c r="G1051"/>
  <c r="F1051"/>
  <c r="B1051"/>
  <c r="O1050"/>
  <c r="J1050"/>
  <c r="I1050"/>
  <c r="P1050" s="1"/>
  <c r="F1050"/>
  <c r="B1050"/>
  <c r="O1049"/>
  <c r="J1049"/>
  <c r="I1049"/>
  <c r="P1049" s="1"/>
  <c r="G1049"/>
  <c r="F1049"/>
  <c r="B1049"/>
  <c r="O1048"/>
  <c r="J1048"/>
  <c r="I1048"/>
  <c r="Q1048" s="1"/>
  <c r="F1048"/>
  <c r="B1048"/>
  <c r="O1047"/>
  <c r="J1047"/>
  <c r="I1047"/>
  <c r="Q1047" s="1"/>
  <c r="F1047"/>
  <c r="B1047"/>
  <c r="O1090"/>
  <c r="J1090"/>
  <c r="I1090"/>
  <c r="Q1090" s="1"/>
  <c r="F1090"/>
  <c r="B1090"/>
  <c r="O1089"/>
  <c r="J1089"/>
  <c r="I1089"/>
  <c r="Q1089" s="1"/>
  <c r="F1089"/>
  <c r="B1089"/>
  <c r="O1088"/>
  <c r="J1088"/>
  <c r="I1088"/>
  <c r="Q1088" s="1"/>
  <c r="G1088"/>
  <c r="F1088"/>
  <c r="B1088"/>
  <c r="O1087"/>
  <c r="J1087"/>
  <c r="I1087"/>
  <c r="P1087" s="1"/>
  <c r="F1087"/>
  <c r="B1087"/>
  <c r="O1086"/>
  <c r="J1086"/>
  <c r="I1086"/>
  <c r="P1086" s="1"/>
  <c r="F1086"/>
  <c r="B1086"/>
  <c r="O1111"/>
  <c r="J1111"/>
  <c r="I1111"/>
  <c r="P1111" s="1"/>
  <c r="G1111"/>
  <c r="F1111"/>
  <c r="B1111"/>
  <c r="O1110"/>
  <c r="J1110"/>
  <c r="I1110"/>
  <c r="Q1110" s="1"/>
  <c r="F1110"/>
  <c r="B1110"/>
  <c r="O1109"/>
  <c r="J1109"/>
  <c r="I1109"/>
  <c r="Q1109" s="1"/>
  <c r="F1109"/>
  <c r="B1109"/>
  <c r="O1108"/>
  <c r="J1108"/>
  <c r="I1108"/>
  <c r="Q1108" s="1"/>
  <c r="F1108"/>
  <c r="B1108"/>
  <c r="O1107"/>
  <c r="J1107"/>
  <c r="I1107"/>
  <c r="Q1107" s="1"/>
  <c r="F1107"/>
  <c r="B1107"/>
  <c r="O1106"/>
  <c r="J1106"/>
  <c r="I1106"/>
  <c r="Q1106" s="1"/>
  <c r="F1106"/>
  <c r="B1106"/>
  <c r="O1105"/>
  <c r="J1105"/>
  <c r="I1105"/>
  <c r="Q1105" s="1"/>
  <c r="G1105"/>
  <c r="F1105"/>
  <c r="B1105"/>
  <c r="O1104"/>
  <c r="J1104"/>
  <c r="I1104"/>
  <c r="P1104" s="1"/>
  <c r="F1104"/>
  <c r="B1104"/>
  <c r="O1103"/>
  <c r="J1103"/>
  <c r="I1103"/>
  <c r="P1103" s="1"/>
  <c r="F1103"/>
  <c r="B1103"/>
  <c r="O1127"/>
  <c r="J1127"/>
  <c r="I1127"/>
  <c r="P1127" s="1"/>
  <c r="F1127"/>
  <c r="B1127"/>
  <c r="O1126"/>
  <c r="J1126"/>
  <c r="I1126"/>
  <c r="P1126" s="1"/>
  <c r="F1126"/>
  <c r="B1126"/>
  <c r="O1125"/>
  <c r="J1125"/>
  <c r="I1125"/>
  <c r="P1125" s="1"/>
  <c r="F1125"/>
  <c r="B1125"/>
  <c r="O1132"/>
  <c r="J1132"/>
  <c r="I1132"/>
  <c r="P1132" s="1"/>
  <c r="F1132"/>
  <c r="B1132"/>
  <c r="O1131"/>
  <c r="J1131"/>
  <c r="I1131"/>
  <c r="P1131" s="1"/>
  <c r="F1131"/>
  <c r="B1131"/>
  <c r="O1130"/>
  <c r="J1130"/>
  <c r="I1130"/>
  <c r="P1130" s="1"/>
  <c r="F1130"/>
  <c r="B1130"/>
  <c r="O1137"/>
  <c r="J1137"/>
  <c r="I1137"/>
  <c r="P1137" s="1"/>
  <c r="G1137"/>
  <c r="F1137"/>
  <c r="B1137"/>
  <c r="O1136"/>
  <c r="J1136"/>
  <c r="I1136"/>
  <c r="Q1136" s="1"/>
  <c r="F1136"/>
  <c r="B1136"/>
  <c r="O1135"/>
  <c r="J1135"/>
  <c r="I1135"/>
  <c r="Q1135" s="1"/>
  <c r="F1135"/>
  <c r="B1135"/>
  <c r="O1144"/>
  <c r="J1144"/>
  <c r="I1144"/>
  <c r="Q1144" s="1"/>
  <c r="G1144"/>
  <c r="F1144"/>
  <c r="B1144"/>
  <c r="O1143"/>
  <c r="J1143"/>
  <c r="I1143"/>
  <c r="F1143"/>
  <c r="B1143"/>
  <c r="O1142"/>
  <c r="J1142"/>
  <c r="I1142"/>
  <c r="P1142" s="1"/>
  <c r="F1142"/>
  <c r="B1142"/>
  <c r="O1169"/>
  <c r="J1169"/>
  <c r="I1169"/>
  <c r="P1169" s="1"/>
  <c r="F1169"/>
  <c r="B1169"/>
  <c r="O1168"/>
  <c r="J1168"/>
  <c r="I1168"/>
  <c r="P1168" s="1"/>
  <c r="F1168"/>
  <c r="B1168"/>
  <c r="O1141"/>
  <c r="J1141"/>
  <c r="I1141"/>
  <c r="P1141" s="1"/>
  <c r="F1141"/>
  <c r="B1141"/>
  <c r="O1140"/>
  <c r="J1140"/>
  <c r="I1140"/>
  <c r="P1140" s="1"/>
  <c r="F1140"/>
  <c r="B1140"/>
  <c r="O1139"/>
  <c r="J1139"/>
  <c r="I1139"/>
  <c r="P1139" s="1"/>
  <c r="F1139"/>
  <c r="B1139"/>
  <c r="O1138"/>
  <c r="J1138"/>
  <c r="I1138"/>
  <c r="P1138" s="1"/>
  <c r="F1138"/>
  <c r="B1138"/>
  <c r="O1129"/>
  <c r="J1129"/>
  <c r="I1129"/>
  <c r="P1129" s="1"/>
  <c r="F1129"/>
  <c r="B1129"/>
  <c r="O1128"/>
  <c r="J1128"/>
  <c r="I1128"/>
  <c r="P1128" s="1"/>
  <c r="F1128"/>
  <c r="B1128"/>
  <c r="O1102"/>
  <c r="J1102"/>
  <c r="I1102"/>
  <c r="P1102" s="1"/>
  <c r="F1102"/>
  <c r="B1102"/>
  <c r="O1101"/>
  <c r="J1101"/>
  <c r="I1101"/>
  <c r="P1101" s="1"/>
  <c r="F1101"/>
  <c r="B1101"/>
  <c r="O1100"/>
  <c r="J1100"/>
  <c r="I1100"/>
  <c r="P1100" s="1"/>
  <c r="F1100"/>
  <c r="B1100"/>
  <c r="O1099"/>
  <c r="J1099"/>
  <c r="I1099"/>
  <c r="P1099" s="1"/>
  <c r="F1099"/>
  <c r="B1099"/>
  <c r="O1085"/>
  <c r="J1085"/>
  <c r="I1085"/>
  <c r="P1085" s="1"/>
  <c r="F1085"/>
  <c r="B1085"/>
  <c r="O1084"/>
  <c r="J1084"/>
  <c r="I1084"/>
  <c r="P1084" s="1"/>
  <c r="F1084"/>
  <c r="B1084"/>
  <c r="O1083"/>
  <c r="J1083"/>
  <c r="I1083"/>
  <c r="P1083" s="1"/>
  <c r="F1083"/>
  <c r="B1083"/>
  <c r="O1082"/>
  <c r="J1082"/>
  <c r="I1082"/>
  <c r="P1082" s="1"/>
  <c r="F1082"/>
  <c r="B1082"/>
  <c r="O1078"/>
  <c r="J1078"/>
  <c r="I1078"/>
  <c r="P1078" s="1"/>
  <c r="F1078"/>
  <c r="B1078"/>
  <c r="O1077"/>
  <c r="J1077"/>
  <c r="I1077"/>
  <c r="P1077" s="1"/>
  <c r="F1077"/>
  <c r="B1077"/>
  <c r="O1076"/>
  <c r="J1076"/>
  <c r="I1076"/>
  <c r="P1076" s="1"/>
  <c r="F1076"/>
  <c r="B1076"/>
  <c r="O1075"/>
  <c r="J1075"/>
  <c r="I1075"/>
  <c r="P1075" s="1"/>
  <c r="F1075"/>
  <c r="B1075"/>
  <c r="J1074"/>
  <c r="I1074"/>
  <c r="P1074" s="1"/>
  <c r="F1074"/>
  <c r="B1074"/>
  <c r="O1073"/>
  <c r="J1073"/>
  <c r="I1073"/>
  <c r="Q1073" s="1"/>
  <c r="F1073"/>
  <c r="B1073"/>
  <c r="O1062"/>
  <c r="J1062"/>
  <c r="I1062"/>
  <c r="Q1062" s="1"/>
  <c r="F1062"/>
  <c r="B1062"/>
  <c r="O1061"/>
  <c r="J1061"/>
  <c r="I1061"/>
  <c r="Q1061" s="1"/>
  <c r="F1061"/>
  <c r="B1061"/>
  <c r="O1060"/>
  <c r="J1060"/>
  <c r="I1060"/>
  <c r="Q1060" s="1"/>
  <c r="F1060"/>
  <c r="B1060"/>
  <c r="O1059"/>
  <c r="J1059"/>
  <c r="I1059"/>
  <c r="Q1059" s="1"/>
  <c r="F1059"/>
  <c r="B1059"/>
  <c r="O1058"/>
  <c r="J1058"/>
  <c r="I1058"/>
  <c r="Q1058" s="1"/>
  <c r="F1058"/>
  <c r="B1058"/>
  <c r="O1046"/>
  <c r="J1046"/>
  <c r="I1046"/>
  <c r="Q1046" s="1"/>
  <c r="F1046"/>
  <c r="B1046"/>
  <c r="O1045"/>
  <c r="J1045"/>
  <c r="I1045"/>
  <c r="Q1045" s="1"/>
  <c r="F1045"/>
  <c r="B1045"/>
  <c r="O1039"/>
  <c r="J1039"/>
  <c r="I1039"/>
  <c r="Q1039" s="1"/>
  <c r="G1039"/>
  <c r="F1039"/>
  <c r="B1039"/>
  <c r="O1038"/>
  <c r="J1038"/>
  <c r="I1038"/>
  <c r="P1038" s="1"/>
  <c r="F1038"/>
  <c r="B1038"/>
  <c r="O1037"/>
  <c r="J1037"/>
  <c r="I1037"/>
  <c r="P1037" s="1"/>
  <c r="F1037"/>
  <c r="B1037"/>
  <c r="O1134"/>
  <c r="J1134"/>
  <c r="I1134"/>
  <c r="P1134" s="1"/>
  <c r="F1134"/>
  <c r="B1134"/>
  <c r="O1133"/>
  <c r="J1133"/>
  <c r="I1133"/>
  <c r="P1133" s="1"/>
  <c r="F1133"/>
  <c r="B1133"/>
  <c r="O1007"/>
  <c r="J1007"/>
  <c r="I1007"/>
  <c r="P1007" s="1"/>
  <c r="F1007"/>
  <c r="B1007"/>
  <c r="O1006"/>
  <c r="J1006"/>
  <c r="I1006"/>
  <c r="P1006" s="1"/>
  <c r="F1006"/>
  <c r="B1006"/>
  <c r="O1005"/>
  <c r="J1005"/>
  <c r="I1005"/>
  <c r="P1005" s="1"/>
  <c r="F1005"/>
  <c r="B1005"/>
  <c r="O1004"/>
  <c r="J1004"/>
  <c r="I1004"/>
  <c r="P1004" s="1"/>
  <c r="F1004"/>
  <c r="B1004"/>
  <c r="O1003"/>
  <c r="J1003"/>
  <c r="I1003"/>
  <c r="P1003" s="1"/>
  <c r="F1003"/>
  <c r="B1003"/>
  <c r="O1002"/>
  <c r="J1002"/>
  <c r="I1002"/>
  <c r="P1002" s="1"/>
  <c r="F1002"/>
  <c r="B1002"/>
  <c r="O1001"/>
  <c r="J1001"/>
  <c r="I1001"/>
  <c r="P1001" s="1"/>
  <c r="G1001"/>
  <c r="J157" i="7" s="1"/>
  <c r="F1001" i="33"/>
  <c r="B1001"/>
  <c r="O1000"/>
  <c r="J1000"/>
  <c r="I1000"/>
  <c r="Q1000" s="1"/>
  <c r="F1000"/>
  <c r="B1000"/>
  <c r="O999"/>
  <c r="J999"/>
  <c r="I999"/>
  <c r="Q999" s="1"/>
  <c r="F999"/>
  <c r="B999"/>
  <c r="O998"/>
  <c r="J998"/>
  <c r="I998"/>
  <c r="Q998" s="1"/>
  <c r="F998"/>
  <c r="B998"/>
  <c r="O997"/>
  <c r="J997"/>
  <c r="I997"/>
  <c r="Q997" s="1"/>
  <c r="F997"/>
  <c r="B997"/>
  <c r="O988"/>
  <c r="J988"/>
  <c r="I988"/>
  <c r="Q988" s="1"/>
  <c r="F988"/>
  <c r="B988"/>
  <c r="O987"/>
  <c r="J987"/>
  <c r="I987"/>
  <c r="Q987" s="1"/>
  <c r="F987"/>
  <c r="B987"/>
  <c r="O980"/>
  <c r="J980"/>
  <c r="I980"/>
  <c r="Q980" s="1"/>
  <c r="G980"/>
  <c r="J173" i="7" s="1"/>
  <c r="F980" i="33"/>
  <c r="B980"/>
  <c r="O979"/>
  <c r="J979"/>
  <c r="H979"/>
  <c r="G19" i="13" s="1"/>
  <c r="G13" s="1"/>
  <c r="F979" i="33"/>
  <c r="B979"/>
  <c r="O978"/>
  <c r="J978"/>
  <c r="I978"/>
  <c r="Q978" s="1"/>
  <c r="G978"/>
  <c r="J117" i="7" s="1"/>
  <c r="F978" i="33"/>
  <c r="B978"/>
  <c r="O977"/>
  <c r="J977"/>
  <c r="H977"/>
  <c r="G47" i="13" s="1"/>
  <c r="G46" s="1"/>
  <c r="F977" i="33"/>
  <c r="B977"/>
  <c r="O976"/>
  <c r="J976"/>
  <c r="I976"/>
  <c r="Q976" s="1"/>
  <c r="F976"/>
  <c r="B976"/>
  <c r="O975"/>
  <c r="J975"/>
  <c r="I975"/>
  <c r="Q975" s="1"/>
  <c r="F975"/>
  <c r="B975"/>
  <c r="O955"/>
  <c r="J955"/>
  <c r="I955"/>
  <c r="Q955" s="1"/>
  <c r="F955"/>
  <c r="B955"/>
  <c r="O954"/>
  <c r="J954"/>
  <c r="I954"/>
  <c r="Q954" s="1"/>
  <c r="F954"/>
  <c r="B954"/>
  <c r="O935"/>
  <c r="J935"/>
  <c r="I935"/>
  <c r="Q935" s="1"/>
  <c r="F935"/>
  <c r="B935"/>
  <c r="O934"/>
  <c r="J934"/>
  <c r="I934"/>
  <c r="Q934" s="1"/>
  <c r="F934"/>
  <c r="B934"/>
  <c r="O930"/>
  <c r="J930"/>
  <c r="I930"/>
  <c r="Q930" s="1"/>
  <c r="F930"/>
  <c r="B930"/>
  <c r="O929"/>
  <c r="J929"/>
  <c r="I929"/>
  <c r="Q929" s="1"/>
  <c r="F929"/>
  <c r="B929"/>
  <c r="O921"/>
  <c r="J921"/>
  <c r="I921"/>
  <c r="Q921" s="1"/>
  <c r="G921"/>
  <c r="F921"/>
  <c r="B921"/>
  <c r="O920"/>
  <c r="J920"/>
  <c r="I920"/>
  <c r="P920" s="1"/>
  <c r="F920"/>
  <c r="B920"/>
  <c r="O919"/>
  <c r="J919"/>
  <c r="I919"/>
  <c r="P919" s="1"/>
  <c r="F919"/>
  <c r="B919"/>
  <c r="O918"/>
  <c r="J918"/>
  <c r="I918"/>
  <c r="P918" s="1"/>
  <c r="F918"/>
  <c r="B918"/>
  <c r="O917"/>
  <c r="J917"/>
  <c r="I917"/>
  <c r="P917" s="1"/>
  <c r="F917"/>
  <c r="B917"/>
  <c r="O916"/>
  <c r="J916"/>
  <c r="I916"/>
  <c r="P916" s="1"/>
  <c r="F916"/>
  <c r="B916"/>
  <c r="O908"/>
  <c r="J908"/>
  <c r="I908"/>
  <c r="P908" s="1"/>
  <c r="F908"/>
  <c r="B908"/>
  <c r="O907"/>
  <c r="J907"/>
  <c r="I907"/>
  <c r="P907" s="1"/>
  <c r="F907"/>
  <c r="B907"/>
  <c r="O898"/>
  <c r="J898"/>
  <c r="I898"/>
  <c r="P898" s="1"/>
  <c r="F898"/>
  <c r="B898"/>
  <c r="O897"/>
  <c r="J897"/>
  <c r="I897"/>
  <c r="P897" s="1"/>
  <c r="F897"/>
  <c r="B897"/>
  <c r="O896"/>
  <c r="J896"/>
  <c r="I896"/>
  <c r="P896" s="1"/>
  <c r="F896"/>
  <c r="B896"/>
  <c r="O895"/>
  <c r="J895"/>
  <c r="I895"/>
  <c r="P895" s="1"/>
  <c r="F895"/>
  <c r="B895"/>
  <c r="O894"/>
  <c r="J894"/>
  <c r="I894"/>
  <c r="P894" s="1"/>
  <c r="F894"/>
  <c r="B894"/>
  <c r="O893"/>
  <c r="J893"/>
  <c r="I893"/>
  <c r="P893" s="1"/>
  <c r="F893"/>
  <c r="B893"/>
  <c r="O892"/>
  <c r="J892"/>
  <c r="I892"/>
  <c r="P892" s="1"/>
  <c r="F892"/>
  <c r="B892"/>
  <c r="O891"/>
  <c r="J891"/>
  <c r="I891"/>
  <c r="P891" s="1"/>
  <c r="F891"/>
  <c r="B891"/>
  <c r="O890"/>
  <c r="J890"/>
  <c r="I890"/>
  <c r="P890" s="1"/>
  <c r="F890"/>
  <c r="B890"/>
  <c r="O889"/>
  <c r="J889"/>
  <c r="I889"/>
  <c r="P889" s="1"/>
  <c r="F889"/>
  <c r="B889"/>
  <c r="O888"/>
  <c r="J888"/>
  <c r="I888"/>
  <c r="P888" s="1"/>
  <c r="F888"/>
  <c r="B888"/>
  <c r="O887"/>
  <c r="J887"/>
  <c r="I887"/>
  <c r="P887" s="1"/>
  <c r="F887"/>
  <c r="B887"/>
  <c r="O886"/>
  <c r="J886"/>
  <c r="I886"/>
  <c r="P886" s="1"/>
  <c r="F886"/>
  <c r="B886"/>
  <c r="O885"/>
  <c r="J885"/>
  <c r="I885"/>
  <c r="P885" s="1"/>
  <c r="F885"/>
  <c r="B885"/>
  <c r="O884"/>
  <c r="J884"/>
  <c r="I884"/>
  <c r="P884" s="1"/>
  <c r="F884"/>
  <c r="B884"/>
  <c r="O883"/>
  <c r="J883"/>
  <c r="I883"/>
  <c r="P883" s="1"/>
  <c r="F883"/>
  <c r="B883"/>
  <c r="O882"/>
  <c r="J882"/>
  <c r="I882"/>
  <c r="P882" s="1"/>
  <c r="F882"/>
  <c r="B882"/>
  <c r="O881"/>
  <c r="J881"/>
  <c r="I881"/>
  <c r="P881" s="1"/>
  <c r="F881"/>
  <c r="B881"/>
  <c r="O880"/>
  <c r="J880"/>
  <c r="I880"/>
  <c r="P880" s="1"/>
  <c r="F880"/>
  <c r="B880"/>
  <c r="O879"/>
  <c r="J879"/>
  <c r="I879"/>
  <c r="P879" s="1"/>
  <c r="F879"/>
  <c r="B879"/>
  <c r="O878"/>
  <c r="J878"/>
  <c r="I878"/>
  <c r="P878" s="1"/>
  <c r="F878"/>
  <c r="B878"/>
  <c r="O877"/>
  <c r="J877"/>
  <c r="I877"/>
  <c r="P877" s="1"/>
  <c r="F877"/>
  <c r="B877"/>
  <c r="O876"/>
  <c r="J876"/>
  <c r="I876"/>
  <c r="P876" s="1"/>
  <c r="F876"/>
  <c r="B876"/>
  <c r="O875"/>
  <c r="J875"/>
  <c r="I875"/>
  <c r="P875" s="1"/>
  <c r="F875"/>
  <c r="B875"/>
  <c r="O874"/>
  <c r="J874"/>
  <c r="I874"/>
  <c r="P874" s="1"/>
  <c r="F874"/>
  <c r="B874"/>
  <c r="O873"/>
  <c r="J873"/>
  <c r="I873"/>
  <c r="P873" s="1"/>
  <c r="F873"/>
  <c r="B873"/>
  <c r="O872"/>
  <c r="J872"/>
  <c r="I872"/>
  <c r="P872" s="1"/>
  <c r="F872"/>
  <c r="B872"/>
  <c r="O871"/>
  <c r="J871"/>
  <c r="I871"/>
  <c r="P871" s="1"/>
  <c r="F871"/>
  <c r="B871"/>
  <c r="O870"/>
  <c r="J870"/>
  <c r="I870"/>
  <c r="P870" s="1"/>
  <c r="F870"/>
  <c r="B870"/>
  <c r="O869"/>
  <c r="J869"/>
  <c r="I869"/>
  <c r="P869" s="1"/>
  <c r="F869"/>
  <c r="B869"/>
  <c r="O868"/>
  <c r="J868"/>
  <c r="I868"/>
  <c r="P868" s="1"/>
  <c r="F868"/>
  <c r="B868"/>
  <c r="O867"/>
  <c r="J867"/>
  <c r="I867"/>
  <c r="P867" s="1"/>
  <c r="F867"/>
  <c r="B867"/>
  <c r="O866"/>
  <c r="J866"/>
  <c r="I866"/>
  <c r="P866" s="1"/>
  <c r="F866"/>
  <c r="B866"/>
  <c r="O865"/>
  <c r="J865"/>
  <c r="I865"/>
  <c r="P865" s="1"/>
  <c r="F865"/>
  <c r="B865"/>
  <c r="O864"/>
  <c r="J864"/>
  <c r="I864"/>
  <c r="P864" s="1"/>
  <c r="F864"/>
  <c r="B864"/>
  <c r="O863"/>
  <c r="J863"/>
  <c r="I863"/>
  <c r="P863" s="1"/>
  <c r="F863"/>
  <c r="B863"/>
  <c r="O862"/>
  <c r="J862"/>
  <c r="I862"/>
  <c r="P862" s="1"/>
  <c r="F862"/>
  <c r="B862"/>
  <c r="J861"/>
  <c r="I861"/>
  <c r="Q861" s="1"/>
  <c r="F861"/>
  <c r="B861"/>
  <c r="O756"/>
  <c r="J756"/>
  <c r="I756"/>
  <c r="P756" s="1"/>
  <c r="F756"/>
  <c r="B756"/>
  <c r="O755"/>
  <c r="J755"/>
  <c r="I755"/>
  <c r="P755" s="1"/>
  <c r="F755"/>
  <c r="B755"/>
  <c r="O754"/>
  <c r="J754"/>
  <c r="I754"/>
  <c r="P754" s="1"/>
  <c r="F754"/>
  <c r="B754"/>
  <c r="O753"/>
  <c r="J753"/>
  <c r="I753"/>
  <c r="P753" s="1"/>
  <c r="F753"/>
  <c r="B753"/>
  <c r="O752"/>
  <c r="J752"/>
  <c r="I752"/>
  <c r="P752" s="1"/>
  <c r="F752"/>
  <c r="B752"/>
  <c r="O860"/>
  <c r="J860"/>
  <c r="I860"/>
  <c r="P860" s="1"/>
  <c r="F860"/>
  <c r="B860"/>
  <c r="O859"/>
  <c r="J859"/>
  <c r="I859"/>
  <c r="Q859" s="1"/>
  <c r="F859"/>
  <c r="B859"/>
  <c r="O858"/>
  <c r="J858"/>
  <c r="I858"/>
  <c r="Q858" s="1"/>
  <c r="F858"/>
  <c r="B858"/>
  <c r="O857"/>
  <c r="J857"/>
  <c r="I857"/>
  <c r="Q857" s="1"/>
  <c r="F857"/>
  <c r="B857"/>
  <c r="O856"/>
  <c r="J856"/>
  <c r="I856"/>
  <c r="Q856" s="1"/>
  <c r="F856"/>
  <c r="B856"/>
  <c r="O749"/>
  <c r="J749"/>
  <c r="I749"/>
  <c r="Q749" s="1"/>
  <c r="F749"/>
  <c r="B749"/>
  <c r="O748"/>
  <c r="J748"/>
  <c r="I748"/>
  <c r="Q748" s="1"/>
  <c r="F748"/>
  <c r="B748"/>
  <c r="O747"/>
  <c r="J747"/>
  <c r="I747"/>
  <c r="Q747" s="1"/>
  <c r="F747"/>
  <c r="B747"/>
  <c r="O746"/>
  <c r="J746"/>
  <c r="I746"/>
  <c r="Q746" s="1"/>
  <c r="F746"/>
  <c r="B746"/>
  <c r="O745"/>
  <c r="J745"/>
  <c r="I745"/>
  <c r="Q745" s="1"/>
  <c r="F745"/>
  <c r="B745"/>
  <c r="O744"/>
  <c r="J744"/>
  <c r="I744"/>
  <c r="Q744" s="1"/>
  <c r="F744"/>
  <c r="B744"/>
  <c r="O743"/>
  <c r="J743"/>
  <c r="I743"/>
  <c r="Q743" s="1"/>
  <c r="F743"/>
  <c r="B743"/>
  <c r="O742"/>
  <c r="J742"/>
  <c r="I742"/>
  <c r="Q742" s="1"/>
  <c r="F742"/>
  <c r="B742"/>
  <c r="O741"/>
  <c r="J741"/>
  <c r="I741"/>
  <c r="Q741" s="1"/>
  <c r="F741"/>
  <c r="B741"/>
  <c r="O740"/>
  <c r="J740"/>
  <c r="I740"/>
  <c r="Q740" s="1"/>
  <c r="F740"/>
  <c r="B740"/>
  <c r="O739"/>
  <c r="J739"/>
  <c r="I739"/>
  <c r="P739" s="1"/>
  <c r="F739"/>
  <c r="B739"/>
  <c r="O738"/>
  <c r="J738"/>
  <c r="I738"/>
  <c r="P738" s="1"/>
  <c r="F738"/>
  <c r="B738"/>
  <c r="O737"/>
  <c r="J737"/>
  <c r="I737"/>
  <c r="P737" s="1"/>
  <c r="F737"/>
  <c r="B737"/>
  <c r="O736"/>
  <c r="J736"/>
  <c r="I736"/>
  <c r="P736" s="1"/>
  <c r="F736"/>
  <c r="B736"/>
  <c r="O735"/>
  <c r="J735"/>
  <c r="I735"/>
  <c r="P735" s="1"/>
  <c r="F735"/>
  <c r="B735"/>
  <c r="O734"/>
  <c r="J734"/>
  <c r="I734"/>
  <c r="P734" s="1"/>
  <c r="F734"/>
  <c r="B734"/>
  <c r="O733"/>
  <c r="J733"/>
  <c r="I733"/>
  <c r="P733" s="1"/>
  <c r="F733"/>
  <c r="B733"/>
  <c r="O732"/>
  <c r="J732"/>
  <c r="I732"/>
  <c r="P732" s="1"/>
  <c r="F732"/>
  <c r="B732"/>
  <c r="O731"/>
  <c r="J731"/>
  <c r="I731"/>
  <c r="P731" s="1"/>
  <c r="F731"/>
  <c r="B731"/>
  <c r="O730"/>
  <c r="J730"/>
  <c r="I730"/>
  <c r="P730" s="1"/>
  <c r="F730"/>
  <c r="B730"/>
  <c r="O772"/>
  <c r="J772"/>
  <c r="I772"/>
  <c r="P772" s="1"/>
  <c r="F772"/>
  <c r="B772"/>
  <c r="O771"/>
  <c r="J771"/>
  <c r="I771"/>
  <c r="P771" s="1"/>
  <c r="F771"/>
  <c r="B771"/>
  <c r="O770"/>
  <c r="J770"/>
  <c r="I770"/>
  <c r="P770" s="1"/>
  <c r="F770"/>
  <c r="B770"/>
  <c r="O769"/>
  <c r="J769"/>
  <c r="I769"/>
  <c r="P769" s="1"/>
  <c r="F769"/>
  <c r="B769"/>
  <c r="O768"/>
  <c r="J768"/>
  <c r="I768"/>
  <c r="P768" s="1"/>
  <c r="F768"/>
  <c r="B768"/>
  <c r="O767"/>
  <c r="J767"/>
  <c r="I767"/>
  <c r="P767" s="1"/>
  <c r="F767"/>
  <c r="B767"/>
  <c r="O766"/>
  <c r="J766"/>
  <c r="I766"/>
  <c r="P766" s="1"/>
  <c r="F766"/>
  <c r="B766"/>
  <c r="O765"/>
  <c r="J765"/>
  <c r="I765"/>
  <c r="P765" s="1"/>
  <c r="F765"/>
  <c r="B765"/>
  <c r="O764"/>
  <c r="J764"/>
  <c r="I764"/>
  <c r="P764" s="1"/>
  <c r="F764"/>
  <c r="B764"/>
  <c r="O763"/>
  <c r="J763"/>
  <c r="I763"/>
  <c r="P763" s="1"/>
  <c r="F763"/>
  <c r="B763"/>
  <c r="O698"/>
  <c r="J698"/>
  <c r="I698"/>
  <c r="P698" s="1"/>
  <c r="F698"/>
  <c r="B698"/>
  <c r="O697"/>
  <c r="J697"/>
  <c r="I697"/>
  <c r="P697" s="1"/>
  <c r="F697"/>
  <c r="B697"/>
  <c r="O696"/>
  <c r="J696"/>
  <c r="I696"/>
  <c r="P696" s="1"/>
  <c r="F696"/>
  <c r="B696"/>
  <c r="O695"/>
  <c r="J695"/>
  <c r="I695"/>
  <c r="P695" s="1"/>
  <c r="F695"/>
  <c r="B695"/>
  <c r="J694"/>
  <c r="I694"/>
  <c r="Q694" s="1"/>
  <c r="F694"/>
  <c r="B694"/>
  <c r="O693"/>
  <c r="J693"/>
  <c r="I693"/>
  <c r="P693" s="1"/>
  <c r="F693"/>
  <c r="B693"/>
  <c r="O692"/>
  <c r="J692"/>
  <c r="I692"/>
  <c r="P692" s="1"/>
  <c r="F692"/>
  <c r="B692"/>
  <c r="O691"/>
  <c r="J691"/>
  <c r="I691"/>
  <c r="P691" s="1"/>
  <c r="F691"/>
  <c r="B691"/>
  <c r="O690"/>
  <c r="J690"/>
  <c r="I690"/>
  <c r="P690" s="1"/>
  <c r="F690"/>
  <c r="B690"/>
  <c r="O689"/>
  <c r="J689"/>
  <c r="I689"/>
  <c r="P689" s="1"/>
  <c r="F689"/>
  <c r="B689"/>
  <c r="O680"/>
  <c r="J680"/>
  <c r="I680"/>
  <c r="P680" s="1"/>
  <c r="F680"/>
  <c r="B680"/>
  <c r="O679"/>
  <c r="J679"/>
  <c r="I679"/>
  <c r="P679" s="1"/>
  <c r="F679"/>
  <c r="B679"/>
  <c r="O678"/>
  <c r="J678"/>
  <c r="I678"/>
  <c r="P678" s="1"/>
  <c r="F678"/>
  <c r="B678"/>
  <c r="O677"/>
  <c r="J677"/>
  <c r="I677"/>
  <c r="P677" s="1"/>
  <c r="F677"/>
  <c r="B677"/>
  <c r="O676"/>
  <c r="J676"/>
  <c r="I676"/>
  <c r="P676" s="1"/>
  <c r="F676"/>
  <c r="B676"/>
  <c r="O641"/>
  <c r="J641"/>
  <c r="I641"/>
  <c r="P641" s="1"/>
  <c r="F641"/>
  <c r="B641"/>
  <c r="O640"/>
  <c r="J640"/>
  <c r="I640"/>
  <c r="P640" s="1"/>
  <c r="F640"/>
  <c r="B640"/>
  <c r="O639"/>
  <c r="J639"/>
  <c r="I639"/>
  <c r="P639" s="1"/>
  <c r="F639"/>
  <c r="B639"/>
  <c r="O638"/>
  <c r="J638"/>
  <c r="I638"/>
  <c r="P638" s="1"/>
  <c r="F638"/>
  <c r="B638"/>
  <c r="O637"/>
  <c r="J637"/>
  <c r="I637"/>
  <c r="P637" s="1"/>
  <c r="F637"/>
  <c r="B637"/>
  <c r="O670"/>
  <c r="J670"/>
  <c r="I670"/>
  <c r="P670" s="1"/>
  <c r="F670"/>
  <c r="B670"/>
  <c r="O669"/>
  <c r="J669"/>
  <c r="I669"/>
  <c r="P669" s="1"/>
  <c r="F669"/>
  <c r="B669"/>
  <c r="O668"/>
  <c r="J668"/>
  <c r="I668"/>
  <c r="P668" s="1"/>
  <c r="F668"/>
  <c r="B668"/>
  <c r="O667"/>
  <c r="J667"/>
  <c r="I667"/>
  <c r="P667" s="1"/>
  <c r="F667"/>
  <c r="B667"/>
  <c r="O666"/>
  <c r="J666"/>
  <c r="I666"/>
  <c r="P666" s="1"/>
  <c r="F666"/>
  <c r="B666"/>
  <c r="O659"/>
  <c r="J659"/>
  <c r="I659"/>
  <c r="P659" s="1"/>
  <c r="F659"/>
  <c r="B659"/>
  <c r="O658"/>
  <c r="J658"/>
  <c r="I658"/>
  <c r="P658" s="1"/>
  <c r="F658"/>
  <c r="B658"/>
  <c r="O657"/>
  <c r="J657"/>
  <c r="I657"/>
  <c r="P657" s="1"/>
  <c r="F657"/>
  <c r="B657"/>
  <c r="O656"/>
  <c r="J656"/>
  <c r="I656"/>
  <c r="P656" s="1"/>
  <c r="F656"/>
  <c r="B656"/>
  <c r="O655"/>
  <c r="J655"/>
  <c r="I655"/>
  <c r="P655" s="1"/>
  <c r="F655"/>
  <c r="B655"/>
  <c r="O636"/>
  <c r="J636"/>
  <c r="I636"/>
  <c r="P636" s="1"/>
  <c r="F636"/>
  <c r="B636"/>
  <c r="O635"/>
  <c r="J635"/>
  <c r="I635"/>
  <c r="P635" s="1"/>
  <c r="F635"/>
  <c r="B635"/>
  <c r="O634"/>
  <c r="J634"/>
  <c r="I634"/>
  <c r="P634" s="1"/>
  <c r="F634"/>
  <c r="B634"/>
  <c r="O633"/>
  <c r="J633"/>
  <c r="I633"/>
  <c r="P633" s="1"/>
  <c r="F633"/>
  <c r="B633"/>
  <c r="O632"/>
  <c r="J632"/>
  <c r="I632"/>
  <c r="P632" s="1"/>
  <c r="F632"/>
  <c r="B632"/>
  <c r="O631"/>
  <c r="J631"/>
  <c r="I631"/>
  <c r="P631" s="1"/>
  <c r="F631"/>
  <c r="B631"/>
  <c r="O604"/>
  <c r="J604"/>
  <c r="I604"/>
  <c r="P604" s="1"/>
  <c r="F604"/>
  <c r="B604"/>
  <c r="O603"/>
  <c r="J603"/>
  <c r="I603"/>
  <c r="P603" s="1"/>
  <c r="F603"/>
  <c r="B603"/>
  <c r="O602"/>
  <c r="J602"/>
  <c r="I602"/>
  <c r="P602" s="1"/>
  <c r="F602"/>
  <c r="B602"/>
  <c r="O601"/>
  <c r="J601"/>
  <c r="I601"/>
  <c r="P601" s="1"/>
  <c r="F601"/>
  <c r="B601"/>
  <c r="O597"/>
  <c r="J597"/>
  <c r="I597"/>
  <c r="Q597" s="1"/>
  <c r="F597"/>
  <c r="B597"/>
  <c r="O596"/>
  <c r="J596"/>
  <c r="I596"/>
  <c r="Q596" s="1"/>
  <c r="F596"/>
  <c r="B596"/>
  <c r="O595"/>
  <c r="J595"/>
  <c r="I595"/>
  <c r="Q595" s="1"/>
  <c r="F595"/>
  <c r="B595"/>
  <c r="O594"/>
  <c r="J594"/>
  <c r="I594"/>
  <c r="Q594" s="1"/>
  <c r="F594"/>
  <c r="B594"/>
  <c r="O593"/>
  <c r="J593"/>
  <c r="I593"/>
  <c r="Q593" s="1"/>
  <c r="F593"/>
  <c r="B593"/>
  <c r="O592"/>
  <c r="J592"/>
  <c r="I592"/>
  <c r="Q592" s="1"/>
  <c r="F592"/>
  <c r="B592"/>
  <c r="O591"/>
  <c r="J591"/>
  <c r="I591"/>
  <c r="Q591" s="1"/>
  <c r="F591"/>
  <c r="B591"/>
  <c r="O590"/>
  <c r="J590"/>
  <c r="I590"/>
  <c r="Q590" s="1"/>
  <c r="F590"/>
  <c r="B590"/>
  <c r="O589"/>
  <c r="J589"/>
  <c r="I589"/>
  <c r="Q589" s="1"/>
  <c r="F589"/>
  <c r="B589"/>
  <c r="O588"/>
  <c r="J588"/>
  <c r="I588"/>
  <c r="Q588" s="1"/>
  <c r="F588"/>
  <c r="B588"/>
  <c r="O587"/>
  <c r="J587"/>
  <c r="I587"/>
  <c r="Q587" s="1"/>
  <c r="F587"/>
  <c r="B587"/>
  <c r="O586"/>
  <c r="J586"/>
  <c r="I586"/>
  <c r="Q586" s="1"/>
  <c r="F586"/>
  <c r="B586"/>
  <c r="O585"/>
  <c r="J585"/>
  <c r="I585"/>
  <c r="Q585" s="1"/>
  <c r="F585"/>
  <c r="B585"/>
  <c r="O563"/>
  <c r="J563"/>
  <c r="I563"/>
  <c r="Q563" s="1"/>
  <c r="F563"/>
  <c r="B563"/>
  <c r="O562"/>
  <c r="J562"/>
  <c r="I562"/>
  <c r="Q562" s="1"/>
  <c r="F562"/>
  <c r="B562"/>
  <c r="O561"/>
  <c r="J561"/>
  <c r="I561"/>
  <c r="Q561" s="1"/>
  <c r="F561"/>
  <c r="B561"/>
  <c r="O560"/>
  <c r="J560"/>
  <c r="I560"/>
  <c r="Q560" s="1"/>
  <c r="F560"/>
  <c r="B560"/>
  <c r="O559"/>
  <c r="J559"/>
  <c r="I559"/>
  <c r="Q559" s="1"/>
  <c r="F559"/>
  <c r="B559"/>
  <c r="O558"/>
  <c r="J558"/>
  <c r="I558"/>
  <c r="Q558" s="1"/>
  <c r="F558"/>
  <c r="B558"/>
  <c r="O557"/>
  <c r="J557"/>
  <c r="I557"/>
  <c r="Q557" s="1"/>
  <c r="F557"/>
  <c r="B557"/>
  <c r="O556"/>
  <c r="J556"/>
  <c r="I556"/>
  <c r="Q556" s="1"/>
  <c r="F556"/>
  <c r="B556"/>
  <c r="O555"/>
  <c r="J555"/>
  <c r="I555"/>
  <c r="Q555" s="1"/>
  <c r="F555"/>
  <c r="B555"/>
  <c r="O554"/>
  <c r="J554"/>
  <c r="I554"/>
  <c r="Q554" s="1"/>
  <c r="F554"/>
  <c r="B554"/>
  <c r="O549"/>
  <c r="J549"/>
  <c r="I549"/>
  <c r="Q549" s="1"/>
  <c r="F549"/>
  <c r="B549"/>
  <c r="O548"/>
  <c r="J548"/>
  <c r="I548"/>
  <c r="Q548" s="1"/>
  <c r="F548"/>
  <c r="B548"/>
  <c r="O547"/>
  <c r="J547"/>
  <c r="I547"/>
  <c r="Q547" s="1"/>
  <c r="F547"/>
  <c r="B547"/>
  <c r="O546"/>
  <c r="J546"/>
  <c r="I546"/>
  <c r="Q546" s="1"/>
  <c r="F546"/>
  <c r="B546"/>
  <c r="O545"/>
  <c r="J545"/>
  <c r="I545"/>
  <c r="Q545" s="1"/>
  <c r="F545"/>
  <c r="B545"/>
  <c r="O532"/>
  <c r="J532"/>
  <c r="I532"/>
  <c r="Q532" s="1"/>
  <c r="F532"/>
  <c r="B532"/>
  <c r="O531"/>
  <c r="J531"/>
  <c r="I531"/>
  <c r="Q531" s="1"/>
  <c r="F531"/>
  <c r="B531"/>
  <c r="O530"/>
  <c r="J530"/>
  <c r="I530"/>
  <c r="Q530" s="1"/>
  <c r="F530"/>
  <c r="B530"/>
  <c r="O529"/>
  <c r="J529"/>
  <c r="I529"/>
  <c r="Q529" s="1"/>
  <c r="F529"/>
  <c r="B529"/>
  <c r="O540"/>
  <c r="J540"/>
  <c r="I540"/>
  <c r="Q540" s="1"/>
  <c r="F540"/>
  <c r="B540"/>
  <c r="O539"/>
  <c r="J539"/>
  <c r="I539"/>
  <c r="Q539" s="1"/>
  <c r="F539"/>
  <c r="B539"/>
  <c r="O528"/>
  <c r="J528"/>
  <c r="I528"/>
  <c r="Q528" s="1"/>
  <c r="F528"/>
  <c r="B528"/>
  <c r="O527"/>
  <c r="J527"/>
  <c r="I527"/>
  <c r="Q527" s="1"/>
  <c r="F527"/>
  <c r="B527"/>
  <c r="O526"/>
  <c r="J526"/>
  <c r="I526"/>
  <c r="Q526" s="1"/>
  <c r="F526"/>
  <c r="B526"/>
  <c r="O525"/>
  <c r="J525"/>
  <c r="I525"/>
  <c r="Q525" s="1"/>
  <c r="F525"/>
  <c r="B525"/>
  <c r="O524"/>
  <c r="J524"/>
  <c r="I524"/>
  <c r="Q524" s="1"/>
  <c r="F524"/>
  <c r="B524"/>
  <c r="O523"/>
  <c r="J523"/>
  <c r="I523"/>
  <c r="Q523" s="1"/>
  <c r="F523"/>
  <c r="B523"/>
  <c r="O522"/>
  <c r="J522"/>
  <c r="I522"/>
  <c r="Q522" s="1"/>
  <c r="F522"/>
  <c r="B522"/>
  <c r="O521"/>
  <c r="J521"/>
  <c r="I521"/>
  <c r="Q521" s="1"/>
  <c r="F521"/>
  <c r="B521"/>
  <c r="O520"/>
  <c r="J520"/>
  <c r="I520"/>
  <c r="Q520" s="1"/>
  <c r="F520"/>
  <c r="B520"/>
  <c r="O519"/>
  <c r="J519"/>
  <c r="I519"/>
  <c r="Q519" s="1"/>
  <c r="F519"/>
  <c r="B519"/>
  <c r="O518"/>
  <c r="J518"/>
  <c r="I518"/>
  <c r="Q518" s="1"/>
  <c r="F518"/>
  <c r="B518"/>
  <c r="O517"/>
  <c r="J517"/>
  <c r="I517"/>
  <c r="Q517" s="1"/>
  <c r="F517"/>
  <c r="B517"/>
  <c r="O516"/>
  <c r="J516"/>
  <c r="I516"/>
  <c r="Q516" s="1"/>
  <c r="F516"/>
  <c r="B516"/>
  <c r="O515"/>
  <c r="J515"/>
  <c r="I515"/>
  <c r="Q515" s="1"/>
  <c r="F515"/>
  <c r="B515"/>
  <c r="O514"/>
  <c r="J514"/>
  <c r="I514"/>
  <c r="Q514" s="1"/>
  <c r="F514"/>
  <c r="B514"/>
  <c r="O485"/>
  <c r="J485"/>
  <c r="I485"/>
  <c r="Q485" s="1"/>
  <c r="F485"/>
  <c r="B485"/>
  <c r="O484"/>
  <c r="J484"/>
  <c r="I484"/>
  <c r="Q484" s="1"/>
  <c r="F484"/>
  <c r="B484"/>
  <c r="O483"/>
  <c r="J483"/>
  <c r="I483"/>
  <c r="Q483" s="1"/>
  <c r="F483"/>
  <c r="B483"/>
  <c r="O482"/>
  <c r="J482"/>
  <c r="I482"/>
  <c r="Q482" s="1"/>
  <c r="F482"/>
  <c r="B482"/>
  <c r="O481"/>
  <c r="J481"/>
  <c r="I481"/>
  <c r="Q481" s="1"/>
  <c r="F481"/>
  <c r="B481"/>
  <c r="O480"/>
  <c r="J480"/>
  <c r="I480"/>
  <c r="Q480" s="1"/>
  <c r="F480"/>
  <c r="B480"/>
  <c r="O479"/>
  <c r="J479"/>
  <c r="I479"/>
  <c r="Q479" s="1"/>
  <c r="F479"/>
  <c r="B479"/>
  <c r="O478"/>
  <c r="J478"/>
  <c r="I478"/>
  <c r="Q478" s="1"/>
  <c r="F478"/>
  <c r="B478"/>
  <c r="O477"/>
  <c r="J477"/>
  <c r="I477"/>
  <c r="Q477" s="1"/>
  <c r="F477"/>
  <c r="B477"/>
  <c r="O476"/>
  <c r="J476"/>
  <c r="I476"/>
  <c r="Q476" s="1"/>
  <c r="F476"/>
  <c r="B476"/>
  <c r="O475"/>
  <c r="J475"/>
  <c r="I475"/>
  <c r="Q475" s="1"/>
  <c r="F475"/>
  <c r="B475"/>
  <c r="O474"/>
  <c r="J474"/>
  <c r="I474"/>
  <c r="Q474" s="1"/>
  <c r="F474"/>
  <c r="B474"/>
  <c r="O473"/>
  <c r="J473"/>
  <c r="I473"/>
  <c r="Q473" s="1"/>
  <c r="F473"/>
  <c r="B473"/>
  <c r="O472"/>
  <c r="J472"/>
  <c r="I472"/>
  <c r="Q472" s="1"/>
  <c r="F472"/>
  <c r="B472"/>
  <c r="O471"/>
  <c r="J471"/>
  <c r="I471"/>
  <c r="Q471" s="1"/>
  <c r="F471"/>
  <c r="B471"/>
  <c r="O438"/>
  <c r="J438"/>
  <c r="I438"/>
  <c r="Q438" s="1"/>
  <c r="F438"/>
  <c r="B438"/>
  <c r="J437"/>
  <c r="I437"/>
  <c r="Q437" s="1"/>
  <c r="F437"/>
  <c r="B437"/>
  <c r="O855"/>
  <c r="J855"/>
  <c r="I855"/>
  <c r="P855" s="1"/>
  <c r="F855"/>
  <c r="B855"/>
  <c r="O854"/>
  <c r="J854"/>
  <c r="I854"/>
  <c r="P854" s="1"/>
  <c r="F854"/>
  <c r="B854"/>
  <c r="O853"/>
  <c r="J853"/>
  <c r="I853"/>
  <c r="P853" s="1"/>
  <c r="F853"/>
  <c r="B853"/>
  <c r="O852"/>
  <c r="J852"/>
  <c r="I852"/>
  <c r="P852" s="1"/>
  <c r="F852"/>
  <c r="B852"/>
  <c r="O851"/>
  <c r="J851"/>
  <c r="I851"/>
  <c r="P851" s="1"/>
  <c r="F851"/>
  <c r="B851"/>
  <c r="O850"/>
  <c r="J850"/>
  <c r="I850"/>
  <c r="P850" s="1"/>
  <c r="F850"/>
  <c r="B850"/>
  <c r="O849"/>
  <c r="J849"/>
  <c r="I849"/>
  <c r="P849" s="1"/>
  <c r="F849"/>
  <c r="B849"/>
  <c r="O848"/>
  <c r="J848"/>
  <c r="I848"/>
  <c r="P848" s="1"/>
  <c r="G848"/>
  <c r="F848"/>
  <c r="B848"/>
  <c r="O847"/>
  <c r="J847"/>
  <c r="I847"/>
  <c r="Q847" s="1"/>
  <c r="F847"/>
  <c r="B847"/>
  <c r="O846"/>
  <c r="J846"/>
  <c r="I846"/>
  <c r="Q846" s="1"/>
  <c r="F846"/>
  <c r="B846"/>
  <c r="O845"/>
  <c r="J845"/>
  <c r="I845"/>
  <c r="Q845" s="1"/>
  <c r="F845"/>
  <c r="B845"/>
  <c r="O436"/>
  <c r="J436"/>
  <c r="I436"/>
  <c r="Q436" s="1"/>
  <c r="F436"/>
  <c r="B436"/>
  <c r="O435"/>
  <c r="J435"/>
  <c r="I435"/>
  <c r="Q435" s="1"/>
  <c r="F435"/>
  <c r="B435"/>
  <c r="O844"/>
  <c r="J844"/>
  <c r="I844"/>
  <c r="Q844" s="1"/>
  <c r="G844"/>
  <c r="F844"/>
  <c r="B844"/>
  <c r="O843"/>
  <c r="J843"/>
  <c r="I843"/>
  <c r="P843" s="1"/>
  <c r="H843"/>
  <c r="K159" i="6" s="1"/>
  <c r="F843" i="33"/>
  <c r="B843"/>
  <c r="O842"/>
  <c r="J842"/>
  <c r="I842"/>
  <c r="Q842" s="1"/>
  <c r="F842"/>
  <c r="B842"/>
  <c r="O841"/>
  <c r="J841"/>
  <c r="I841"/>
  <c r="Q841" s="1"/>
  <c r="F841"/>
  <c r="B841"/>
  <c r="O716"/>
  <c r="J716"/>
  <c r="I716"/>
  <c r="Q716" s="1"/>
  <c r="F716"/>
  <c r="B716"/>
  <c r="O715"/>
  <c r="J715"/>
  <c r="I715"/>
  <c r="Q715" s="1"/>
  <c r="F715"/>
  <c r="B715"/>
  <c r="O805"/>
  <c r="J805"/>
  <c r="I805"/>
  <c r="Q805" s="1"/>
  <c r="G805"/>
  <c r="F805"/>
  <c r="B805"/>
  <c r="O804"/>
  <c r="J804"/>
  <c r="I804"/>
  <c r="P804" s="1"/>
  <c r="F804"/>
  <c r="B804"/>
  <c r="O803"/>
  <c r="J803"/>
  <c r="I803"/>
  <c r="P803" s="1"/>
  <c r="F803"/>
  <c r="B803"/>
  <c r="O840"/>
  <c r="J840"/>
  <c r="I840"/>
  <c r="P840" s="1"/>
  <c r="F840"/>
  <c r="B840"/>
  <c r="O839"/>
  <c r="J839"/>
  <c r="I839"/>
  <c r="P839" s="1"/>
  <c r="F839"/>
  <c r="B839"/>
  <c r="O838"/>
  <c r="J838"/>
  <c r="I838"/>
  <c r="P838" s="1"/>
  <c r="F838"/>
  <c r="B838"/>
  <c r="O837"/>
  <c r="J837"/>
  <c r="I837"/>
  <c r="P837" s="1"/>
  <c r="F837"/>
  <c r="B837"/>
  <c r="O836"/>
  <c r="J836"/>
  <c r="I836"/>
  <c r="P836" s="1"/>
  <c r="F836"/>
  <c r="B836"/>
  <c r="O835"/>
  <c r="J835"/>
  <c r="I835"/>
  <c r="P835" s="1"/>
  <c r="F835"/>
  <c r="B835"/>
  <c r="O834"/>
  <c r="J834"/>
  <c r="I834"/>
  <c r="P834" s="1"/>
  <c r="F834"/>
  <c r="B834"/>
  <c r="O833"/>
  <c r="J833"/>
  <c r="I833"/>
  <c r="P833" s="1"/>
  <c r="F833"/>
  <c r="B833"/>
  <c r="O802"/>
  <c r="J802"/>
  <c r="I802"/>
  <c r="P802" s="1"/>
  <c r="G802"/>
  <c r="F802"/>
  <c r="B802"/>
  <c r="O801"/>
  <c r="J801"/>
  <c r="I801"/>
  <c r="Q801" s="1"/>
  <c r="F801"/>
  <c r="B801"/>
  <c r="O800"/>
  <c r="J800"/>
  <c r="I800"/>
  <c r="Q800" s="1"/>
  <c r="F800"/>
  <c r="B800"/>
  <c r="O799"/>
  <c r="J799"/>
  <c r="I799"/>
  <c r="Q799" s="1"/>
  <c r="F799"/>
  <c r="B799"/>
  <c r="O798"/>
  <c r="J798"/>
  <c r="I798"/>
  <c r="Q798" s="1"/>
  <c r="F798"/>
  <c r="B798"/>
  <c r="O797"/>
  <c r="J797"/>
  <c r="I797"/>
  <c r="Q797" s="1"/>
  <c r="F797"/>
  <c r="B797"/>
  <c r="O796"/>
  <c r="J796"/>
  <c r="I796"/>
  <c r="Q796" s="1"/>
  <c r="F796"/>
  <c r="B796"/>
  <c r="O812"/>
  <c r="J812"/>
  <c r="I812"/>
  <c r="Q812" s="1"/>
  <c r="F812"/>
  <c r="B812"/>
  <c r="O811"/>
  <c r="J811"/>
  <c r="I811"/>
  <c r="Q811" s="1"/>
  <c r="F811"/>
  <c r="B811"/>
  <c r="O815"/>
  <c r="J815"/>
  <c r="I815"/>
  <c r="Q815" s="1"/>
  <c r="G815"/>
  <c r="F815"/>
  <c r="B815"/>
  <c r="O814"/>
  <c r="J814"/>
  <c r="I814"/>
  <c r="P814" s="1"/>
  <c r="F814"/>
  <c r="B814"/>
  <c r="O813"/>
  <c r="J813"/>
  <c r="I813"/>
  <c r="P813" s="1"/>
  <c r="F813"/>
  <c r="B813"/>
  <c r="O823"/>
  <c r="J823"/>
  <c r="I823"/>
  <c r="P823" s="1"/>
  <c r="G823"/>
  <c r="F823"/>
  <c r="B823"/>
  <c r="O822"/>
  <c r="J822"/>
  <c r="I822"/>
  <c r="Q822" s="1"/>
  <c r="G822"/>
  <c r="F822"/>
  <c r="B822"/>
  <c r="O821"/>
  <c r="J821"/>
  <c r="I821"/>
  <c r="P821" s="1"/>
  <c r="F821"/>
  <c r="B821"/>
  <c r="O820"/>
  <c r="J820"/>
  <c r="I820"/>
  <c r="P820" s="1"/>
  <c r="G820"/>
  <c r="F820"/>
  <c r="B820"/>
  <c r="O819"/>
  <c r="J819"/>
  <c r="I819"/>
  <c r="Q819" s="1"/>
  <c r="F819"/>
  <c r="B819"/>
  <c r="O818"/>
  <c r="J818"/>
  <c r="I818"/>
  <c r="Q818" s="1"/>
  <c r="F818"/>
  <c r="B818"/>
  <c r="O817"/>
  <c r="J817"/>
  <c r="I817"/>
  <c r="Q817" s="1"/>
  <c r="F817"/>
  <c r="B817"/>
  <c r="O816"/>
  <c r="J816"/>
  <c r="I816"/>
  <c r="Q816" s="1"/>
  <c r="F816"/>
  <c r="B816"/>
  <c r="O832"/>
  <c r="J832"/>
  <c r="I832"/>
  <c r="Q832" s="1"/>
  <c r="F832"/>
  <c r="B832"/>
  <c r="O831"/>
  <c r="J831"/>
  <c r="I831"/>
  <c r="Q831" s="1"/>
  <c r="F831"/>
  <c r="B831"/>
  <c r="O810"/>
  <c r="J810"/>
  <c r="I810"/>
  <c r="Q810" s="1"/>
  <c r="F810"/>
  <c r="B810"/>
  <c r="O809"/>
  <c r="J809"/>
  <c r="I809"/>
  <c r="Q809" s="1"/>
  <c r="F809"/>
  <c r="B809"/>
  <c r="O808"/>
  <c r="J808"/>
  <c r="I808"/>
  <c r="Q808" s="1"/>
  <c r="G808"/>
  <c r="F808"/>
  <c r="B808"/>
  <c r="O807"/>
  <c r="J807"/>
  <c r="I807"/>
  <c r="P807" s="1"/>
  <c r="F807"/>
  <c r="B807"/>
  <c r="O806"/>
  <c r="J806"/>
  <c r="I806"/>
  <c r="P806" s="1"/>
  <c r="F806"/>
  <c r="B806"/>
  <c r="O714"/>
  <c r="J714"/>
  <c r="I714"/>
  <c r="P714" s="1"/>
  <c r="F714"/>
  <c r="B714"/>
  <c r="O713"/>
  <c r="J713"/>
  <c r="I713"/>
  <c r="P713" s="1"/>
  <c r="F713"/>
  <c r="B713"/>
  <c r="O795"/>
  <c r="J795"/>
  <c r="I795"/>
  <c r="P795" s="1"/>
  <c r="G795"/>
  <c r="F795"/>
  <c r="B795"/>
  <c r="O794"/>
  <c r="J794"/>
  <c r="I794"/>
  <c r="Q794" s="1"/>
  <c r="F794"/>
  <c r="B794"/>
  <c r="O793"/>
  <c r="J793"/>
  <c r="I793"/>
  <c r="Q793" s="1"/>
  <c r="F793"/>
  <c r="B793"/>
  <c r="O787"/>
  <c r="J787"/>
  <c r="I787"/>
  <c r="Q787" s="1"/>
  <c r="G787"/>
  <c r="F787"/>
  <c r="B787"/>
  <c r="O786"/>
  <c r="J786"/>
  <c r="I786"/>
  <c r="P786" s="1"/>
  <c r="F786"/>
  <c r="B786"/>
  <c r="O785"/>
  <c r="J785"/>
  <c r="I785"/>
  <c r="P785" s="1"/>
  <c r="F785"/>
  <c r="B785"/>
  <c r="O759"/>
  <c r="J759"/>
  <c r="I759"/>
  <c r="P759" s="1"/>
  <c r="G759"/>
  <c r="F759"/>
  <c r="B759"/>
  <c r="O758"/>
  <c r="J758"/>
  <c r="I758"/>
  <c r="Q758" s="1"/>
  <c r="F758"/>
  <c r="B758"/>
  <c r="O757"/>
  <c r="J757"/>
  <c r="I757"/>
  <c r="Q757" s="1"/>
  <c r="F757"/>
  <c r="B757"/>
  <c r="O762"/>
  <c r="J762"/>
  <c r="I762"/>
  <c r="Q762" s="1"/>
  <c r="G762"/>
  <c r="F762"/>
  <c r="B762"/>
  <c r="O761"/>
  <c r="J761"/>
  <c r="I761"/>
  <c r="P761" s="1"/>
  <c r="F761"/>
  <c r="B761"/>
  <c r="O760"/>
  <c r="J760"/>
  <c r="I760"/>
  <c r="P760" s="1"/>
  <c r="F760"/>
  <c r="B760"/>
  <c r="O727"/>
  <c r="J727"/>
  <c r="I727"/>
  <c r="P727" s="1"/>
  <c r="F727"/>
  <c r="B727"/>
  <c r="O726"/>
  <c r="J726"/>
  <c r="I726"/>
  <c r="P726" s="1"/>
  <c r="G726"/>
  <c r="M9" i="39" s="1"/>
  <c r="H671" s="1"/>
  <c r="H669" s="1"/>
  <c r="H674" s="1"/>
  <c r="H682" s="1"/>
  <c r="H694" s="1"/>
  <c r="H704" s="1"/>
  <c r="F726" i="33"/>
  <c r="B726"/>
  <c r="O725"/>
  <c r="J725"/>
  <c r="I725"/>
  <c r="Q725" s="1"/>
  <c r="F725"/>
  <c r="B725"/>
  <c r="O792"/>
  <c r="J792"/>
  <c r="I792"/>
  <c r="Q792" s="1"/>
  <c r="F792"/>
  <c r="B792"/>
  <c r="O791"/>
  <c r="J791"/>
  <c r="I791"/>
  <c r="Q791" s="1"/>
  <c r="F791"/>
  <c r="B791"/>
  <c r="O782"/>
  <c r="J782"/>
  <c r="I782"/>
  <c r="Q782" s="1"/>
  <c r="G782"/>
  <c r="I781" s="1"/>
  <c r="P781" s="1"/>
  <c r="F782"/>
  <c r="B782"/>
  <c r="O781"/>
  <c r="J781"/>
  <c r="H781"/>
  <c r="F781"/>
  <c r="B781"/>
  <c r="O790"/>
  <c r="J790"/>
  <c r="I790"/>
  <c r="Q790" s="1"/>
  <c r="G790"/>
  <c r="F790"/>
  <c r="B790"/>
  <c r="O789"/>
  <c r="J789"/>
  <c r="I789"/>
  <c r="P789" s="1"/>
  <c r="F789"/>
  <c r="B789"/>
  <c r="O788"/>
  <c r="J788"/>
  <c r="I788"/>
  <c r="P788" s="1"/>
  <c r="F788"/>
  <c r="B788"/>
  <c r="O784"/>
  <c r="J784"/>
  <c r="I784"/>
  <c r="P784" s="1"/>
  <c r="F784"/>
  <c r="B784"/>
  <c r="O783"/>
  <c r="J783"/>
  <c r="I783"/>
  <c r="P783" s="1"/>
  <c r="F783"/>
  <c r="B783"/>
  <c r="O780"/>
  <c r="J780"/>
  <c r="I780"/>
  <c r="P780" s="1"/>
  <c r="F780"/>
  <c r="B780"/>
  <c r="O779"/>
  <c r="J779"/>
  <c r="I779"/>
  <c r="P779" s="1"/>
  <c r="F779"/>
  <c r="B779"/>
  <c r="O778"/>
  <c r="J778"/>
  <c r="I778"/>
  <c r="P778" s="1"/>
  <c r="F778"/>
  <c r="B778"/>
  <c r="O777"/>
  <c r="J777"/>
  <c r="I777"/>
  <c r="P777" s="1"/>
  <c r="F777"/>
  <c r="B777"/>
  <c r="O776"/>
  <c r="J776"/>
  <c r="I776"/>
  <c r="P776" s="1"/>
  <c r="F776"/>
  <c r="B776"/>
  <c r="O775"/>
  <c r="J775"/>
  <c r="I775"/>
  <c r="P775" s="1"/>
  <c r="F775"/>
  <c r="B775"/>
  <c r="O774"/>
  <c r="J774"/>
  <c r="I774"/>
  <c r="P774" s="1"/>
  <c r="F774"/>
  <c r="B774"/>
  <c r="O773"/>
  <c r="J773"/>
  <c r="I773"/>
  <c r="P773" s="1"/>
  <c r="F773"/>
  <c r="B773"/>
  <c r="O751"/>
  <c r="J751"/>
  <c r="I751"/>
  <c r="P751" s="1"/>
  <c r="F751"/>
  <c r="B751"/>
  <c r="O750"/>
  <c r="J750"/>
  <c r="I750"/>
  <c r="P750" s="1"/>
  <c r="F750"/>
  <c r="B750"/>
  <c r="O729"/>
  <c r="J729"/>
  <c r="I729"/>
  <c r="P729" s="1"/>
  <c r="F729"/>
  <c r="B729"/>
  <c r="O728"/>
  <c r="J728"/>
  <c r="I728"/>
  <c r="P728" s="1"/>
  <c r="F728"/>
  <c r="B728"/>
  <c r="O830"/>
  <c r="J830"/>
  <c r="I830"/>
  <c r="P830" s="1"/>
  <c r="F830"/>
  <c r="B830"/>
  <c r="O829"/>
  <c r="J829"/>
  <c r="I829"/>
  <c r="P829" s="1"/>
  <c r="F829"/>
  <c r="B829"/>
  <c r="O828"/>
  <c r="J828"/>
  <c r="I828"/>
  <c r="P828" s="1"/>
  <c r="F828"/>
  <c r="B828"/>
  <c r="O827"/>
  <c r="J827"/>
  <c r="I827"/>
  <c r="P827" s="1"/>
  <c r="F827"/>
  <c r="B827"/>
  <c r="O826"/>
  <c r="J826"/>
  <c r="I826"/>
  <c r="P826" s="1"/>
  <c r="F826"/>
  <c r="B826"/>
  <c r="O724"/>
  <c r="J724"/>
  <c r="I724"/>
  <c r="P724" s="1"/>
  <c r="F724"/>
  <c r="B724"/>
  <c r="O723"/>
  <c r="J723"/>
  <c r="I723"/>
  <c r="P723" s="1"/>
  <c r="F723"/>
  <c r="B723"/>
  <c r="O722"/>
  <c r="J722"/>
  <c r="I722"/>
  <c r="P722" s="1"/>
  <c r="F722"/>
  <c r="B722"/>
  <c r="O630"/>
  <c r="J630"/>
  <c r="I630"/>
  <c r="P630" s="1"/>
  <c r="G630"/>
  <c r="F630"/>
  <c r="B630"/>
  <c r="O629"/>
  <c r="J629"/>
  <c r="I629"/>
  <c r="Q629" s="1"/>
  <c r="F629"/>
  <c r="B629"/>
  <c r="O628"/>
  <c r="J628"/>
  <c r="I628"/>
  <c r="Q628" s="1"/>
  <c r="F628"/>
  <c r="B628"/>
  <c r="O688"/>
  <c r="J688"/>
  <c r="I688"/>
  <c r="Q688" s="1"/>
  <c r="F688"/>
  <c r="B688"/>
  <c r="O687"/>
  <c r="J687"/>
  <c r="I687"/>
  <c r="Q687" s="1"/>
  <c r="F687"/>
  <c r="B687"/>
  <c r="O686"/>
  <c r="J686"/>
  <c r="I686"/>
  <c r="Q686" s="1"/>
  <c r="G686"/>
  <c r="J62" i="6" s="1"/>
  <c r="F686" i="33"/>
  <c r="B686"/>
  <c r="O685"/>
  <c r="J685"/>
  <c r="I685"/>
  <c r="P685" s="1"/>
  <c r="F685"/>
  <c r="B685"/>
  <c r="O684"/>
  <c r="J684"/>
  <c r="I684"/>
  <c r="P684" s="1"/>
  <c r="F684"/>
  <c r="B684"/>
  <c r="O654"/>
  <c r="J654"/>
  <c r="I654"/>
  <c r="P654" s="1"/>
  <c r="F654"/>
  <c r="B654"/>
  <c r="O653"/>
  <c r="J653"/>
  <c r="I653"/>
  <c r="P653" s="1"/>
  <c r="F653"/>
  <c r="B653"/>
  <c r="O652"/>
  <c r="J652"/>
  <c r="I652"/>
  <c r="P652" s="1"/>
  <c r="F652"/>
  <c r="B652"/>
  <c r="O619"/>
  <c r="J619"/>
  <c r="I619"/>
  <c r="P619" s="1"/>
  <c r="G619"/>
  <c r="F619"/>
  <c r="B619"/>
  <c r="O618"/>
  <c r="J618"/>
  <c r="I618"/>
  <c r="Q618" s="1"/>
  <c r="F618"/>
  <c r="B618"/>
  <c r="O617"/>
  <c r="J617"/>
  <c r="I617"/>
  <c r="Q617" s="1"/>
  <c r="F617"/>
  <c r="B617"/>
  <c r="O712"/>
  <c r="J712"/>
  <c r="I712"/>
  <c r="Q712" s="1"/>
  <c r="F712"/>
  <c r="B712"/>
  <c r="O711"/>
  <c r="J711"/>
  <c r="I711"/>
  <c r="Q711" s="1"/>
  <c r="F711"/>
  <c r="B711"/>
  <c r="O538"/>
  <c r="J538"/>
  <c r="I538"/>
  <c r="Q538" s="1"/>
  <c r="F538"/>
  <c r="B538"/>
  <c r="O537"/>
  <c r="J537"/>
  <c r="I537"/>
  <c r="Q537" s="1"/>
  <c r="F537"/>
  <c r="B537"/>
  <c r="O536"/>
  <c r="J536"/>
  <c r="I536"/>
  <c r="Q536" s="1"/>
  <c r="F536"/>
  <c r="B536"/>
  <c r="O535"/>
  <c r="J535"/>
  <c r="I535"/>
  <c r="Q535" s="1"/>
  <c r="F535"/>
  <c r="B535"/>
  <c r="O534"/>
  <c r="J534"/>
  <c r="I534"/>
  <c r="Q534" s="1"/>
  <c r="F534"/>
  <c r="B534"/>
  <c r="O533"/>
  <c r="J533"/>
  <c r="I533"/>
  <c r="Q533" s="1"/>
  <c r="F533"/>
  <c r="B533"/>
  <c r="O584"/>
  <c r="J584"/>
  <c r="I584"/>
  <c r="Q584" s="1"/>
  <c r="F584"/>
  <c r="B584"/>
  <c r="O583"/>
  <c r="J583"/>
  <c r="I583"/>
  <c r="Q583" s="1"/>
  <c r="F583"/>
  <c r="B583"/>
  <c r="O616"/>
  <c r="J616"/>
  <c r="I616"/>
  <c r="Q616" s="1"/>
  <c r="F616"/>
  <c r="B616"/>
  <c r="O615"/>
  <c r="J615"/>
  <c r="I615"/>
  <c r="Q615" s="1"/>
  <c r="F615"/>
  <c r="B615"/>
  <c r="O493"/>
  <c r="J493"/>
  <c r="I493"/>
  <c r="Q493" s="1"/>
  <c r="F493"/>
  <c r="B493"/>
  <c r="O492"/>
  <c r="J492"/>
  <c r="I492"/>
  <c r="Q492" s="1"/>
  <c r="F492"/>
  <c r="B492"/>
  <c r="O502"/>
  <c r="J502"/>
  <c r="I502"/>
  <c r="Q502" s="1"/>
  <c r="F502"/>
  <c r="B502"/>
  <c r="O501"/>
  <c r="J501"/>
  <c r="I501"/>
  <c r="Q501" s="1"/>
  <c r="F501"/>
  <c r="B501"/>
  <c r="O500"/>
  <c r="J500"/>
  <c r="I500"/>
  <c r="Q500" s="1"/>
  <c r="F500"/>
  <c r="B500"/>
  <c r="O491"/>
  <c r="J491"/>
  <c r="I491"/>
  <c r="Q491" s="1"/>
  <c r="H491"/>
  <c r="K18" i="6" s="1"/>
  <c r="F491" i="33"/>
  <c r="B491"/>
  <c r="O490"/>
  <c r="J490"/>
  <c r="I490"/>
  <c r="P490" s="1"/>
  <c r="F490"/>
  <c r="B490"/>
  <c r="O489"/>
  <c r="J489"/>
  <c r="I489"/>
  <c r="P489" s="1"/>
  <c r="F489"/>
  <c r="B489"/>
  <c r="O647"/>
  <c r="J647"/>
  <c r="I647"/>
  <c r="P647" s="1"/>
  <c r="G647"/>
  <c r="F647"/>
  <c r="B647"/>
  <c r="O646"/>
  <c r="J646"/>
  <c r="I646"/>
  <c r="Q646" s="1"/>
  <c r="F646"/>
  <c r="B646"/>
  <c r="O645"/>
  <c r="J645"/>
  <c r="I645"/>
  <c r="Q645" s="1"/>
  <c r="F645"/>
  <c r="B645"/>
  <c r="O683"/>
  <c r="J683"/>
  <c r="I683"/>
  <c r="Q683" s="1"/>
  <c r="F683"/>
  <c r="B683"/>
  <c r="J682"/>
  <c r="I682"/>
  <c r="F682"/>
  <c r="B682"/>
  <c r="O681"/>
  <c r="J681"/>
  <c r="I681"/>
  <c r="P681" s="1"/>
  <c r="F681"/>
  <c r="B681"/>
  <c r="O644"/>
  <c r="J644"/>
  <c r="I644"/>
  <c r="P644" s="1"/>
  <c r="G644"/>
  <c r="F644"/>
  <c r="B644"/>
  <c r="O643"/>
  <c r="J643"/>
  <c r="I643"/>
  <c r="Q643" s="1"/>
  <c r="F643"/>
  <c r="B643"/>
  <c r="O642"/>
  <c r="J642"/>
  <c r="I642"/>
  <c r="Q642" s="1"/>
  <c r="F642"/>
  <c r="B642"/>
  <c r="O721"/>
  <c r="J721"/>
  <c r="I721"/>
  <c r="Q721" s="1"/>
  <c r="F721"/>
  <c r="B721"/>
  <c r="O720"/>
  <c r="J720"/>
  <c r="I720"/>
  <c r="Q720" s="1"/>
  <c r="F720"/>
  <c r="B720"/>
  <c r="O719"/>
  <c r="J719"/>
  <c r="I719"/>
  <c r="Q719" s="1"/>
  <c r="G719"/>
  <c r="F719"/>
  <c r="B719"/>
  <c r="O718"/>
  <c r="J718"/>
  <c r="I718"/>
  <c r="P718" s="1"/>
  <c r="F718"/>
  <c r="B718"/>
  <c r="O717"/>
  <c r="J717"/>
  <c r="I717"/>
  <c r="P717" s="1"/>
  <c r="F717"/>
  <c r="B717"/>
  <c r="O710"/>
  <c r="J710"/>
  <c r="I710"/>
  <c r="P710" s="1"/>
  <c r="F710"/>
  <c r="B710"/>
  <c r="O709"/>
  <c r="J709"/>
  <c r="I709"/>
  <c r="P709" s="1"/>
  <c r="F709"/>
  <c r="B709"/>
  <c r="O708"/>
  <c r="J708"/>
  <c r="I708"/>
  <c r="P708" s="1"/>
  <c r="F708"/>
  <c r="B708"/>
  <c r="O707"/>
  <c r="J707"/>
  <c r="I707"/>
  <c r="P707" s="1"/>
  <c r="F707"/>
  <c r="B707"/>
  <c r="O675"/>
  <c r="J675"/>
  <c r="I675"/>
  <c r="P675" s="1"/>
  <c r="G675"/>
  <c r="F675"/>
  <c r="B675"/>
  <c r="O674"/>
  <c r="J674"/>
  <c r="I674"/>
  <c r="Q674" s="1"/>
  <c r="F674"/>
  <c r="B674"/>
  <c r="O673"/>
  <c r="J673"/>
  <c r="I673"/>
  <c r="Q673" s="1"/>
  <c r="F673"/>
  <c r="B673"/>
  <c r="O672"/>
  <c r="J672"/>
  <c r="I672"/>
  <c r="Q672" s="1"/>
  <c r="F672"/>
  <c r="B672"/>
  <c r="O671"/>
  <c r="J671"/>
  <c r="I671"/>
  <c r="Q671" s="1"/>
  <c r="F671"/>
  <c r="B671"/>
  <c r="O665"/>
  <c r="J665"/>
  <c r="I665"/>
  <c r="Q665" s="1"/>
  <c r="F665"/>
  <c r="B665"/>
  <c r="O664"/>
  <c r="J664"/>
  <c r="I664"/>
  <c r="Q664" s="1"/>
  <c r="F664"/>
  <c r="B664"/>
  <c r="O663"/>
  <c r="J663"/>
  <c r="I663"/>
  <c r="Q663" s="1"/>
  <c r="F663"/>
  <c r="B663"/>
  <c r="O662"/>
  <c r="J662"/>
  <c r="I662"/>
  <c r="Q662" s="1"/>
  <c r="F662"/>
  <c r="B662"/>
  <c r="O706"/>
  <c r="J706"/>
  <c r="I706"/>
  <c r="Q706" s="1"/>
  <c r="F706"/>
  <c r="B706"/>
  <c r="O705"/>
  <c r="J705"/>
  <c r="I705"/>
  <c r="Q705" s="1"/>
  <c r="F705"/>
  <c r="B705"/>
  <c r="O704"/>
  <c r="J704"/>
  <c r="I704"/>
  <c r="Q704" s="1"/>
  <c r="F704"/>
  <c r="B704"/>
  <c r="O703"/>
  <c r="J703"/>
  <c r="I703"/>
  <c r="Q703" s="1"/>
  <c r="F703"/>
  <c r="B703"/>
  <c r="O702"/>
  <c r="J702"/>
  <c r="I702"/>
  <c r="Q702" s="1"/>
  <c r="F702"/>
  <c r="B702"/>
  <c r="O701"/>
  <c r="J701"/>
  <c r="I701"/>
  <c r="Q701" s="1"/>
  <c r="F701"/>
  <c r="B701"/>
  <c r="O700"/>
  <c r="J700"/>
  <c r="I700"/>
  <c r="Q700" s="1"/>
  <c r="F700"/>
  <c r="B700"/>
  <c r="O699"/>
  <c r="J699"/>
  <c r="I699"/>
  <c r="Q699" s="1"/>
  <c r="F699"/>
  <c r="B699"/>
  <c r="O582"/>
  <c r="J582"/>
  <c r="I582"/>
  <c r="Q582" s="1"/>
  <c r="F582"/>
  <c r="B582"/>
  <c r="O581"/>
  <c r="J581"/>
  <c r="I581"/>
  <c r="Q581" s="1"/>
  <c r="F581"/>
  <c r="B581"/>
  <c r="O580"/>
  <c r="J580"/>
  <c r="I580"/>
  <c r="Q580" s="1"/>
  <c r="F580"/>
  <c r="B580"/>
  <c r="O579"/>
  <c r="J579"/>
  <c r="I579"/>
  <c r="Q579" s="1"/>
  <c r="F579"/>
  <c r="B579"/>
  <c r="O578"/>
  <c r="J578"/>
  <c r="I578"/>
  <c r="Q578" s="1"/>
  <c r="F578"/>
  <c r="B578"/>
  <c r="O577"/>
  <c r="J577"/>
  <c r="I577"/>
  <c r="Q577" s="1"/>
  <c r="F577"/>
  <c r="B577"/>
  <c r="O576"/>
  <c r="J576"/>
  <c r="I576"/>
  <c r="Q576" s="1"/>
  <c r="F576"/>
  <c r="B576"/>
  <c r="O575"/>
  <c r="J575"/>
  <c r="I575"/>
  <c r="Q575" s="1"/>
  <c r="F575"/>
  <c r="B575"/>
  <c r="O661"/>
  <c r="J661"/>
  <c r="I661"/>
  <c r="Q661" s="1"/>
  <c r="F661"/>
  <c r="B661"/>
  <c r="O660"/>
  <c r="J660"/>
  <c r="I660"/>
  <c r="Q660" s="1"/>
  <c r="F660"/>
  <c r="B660"/>
  <c r="O651"/>
  <c r="J651"/>
  <c r="I651"/>
  <c r="Q651" s="1"/>
  <c r="F651"/>
  <c r="B651"/>
  <c r="O650"/>
  <c r="J650"/>
  <c r="I650"/>
  <c r="Q650" s="1"/>
  <c r="F650"/>
  <c r="B650"/>
  <c r="O627"/>
  <c r="J627"/>
  <c r="I627"/>
  <c r="Q627" s="1"/>
  <c r="F627"/>
  <c r="B627"/>
  <c r="O626"/>
  <c r="J626"/>
  <c r="I626"/>
  <c r="Q626" s="1"/>
  <c r="F626"/>
  <c r="B626"/>
  <c r="J625"/>
  <c r="I625"/>
  <c r="Q625" s="1"/>
  <c r="F625"/>
  <c r="B625"/>
  <c r="O825"/>
  <c r="J825"/>
  <c r="I825"/>
  <c r="P825" s="1"/>
  <c r="F825"/>
  <c r="B825"/>
  <c r="O824"/>
  <c r="J824"/>
  <c r="I824"/>
  <c r="P824" s="1"/>
  <c r="F824"/>
  <c r="B824"/>
  <c r="O649"/>
  <c r="J649"/>
  <c r="I649"/>
  <c r="P649" s="1"/>
  <c r="F649"/>
  <c r="B649"/>
  <c r="O648"/>
  <c r="J648"/>
  <c r="I648"/>
  <c r="P648" s="1"/>
  <c r="F648"/>
  <c r="B648"/>
  <c r="O513"/>
  <c r="J513"/>
  <c r="I513"/>
  <c r="P513" s="1"/>
  <c r="F513"/>
  <c r="B513"/>
  <c r="O512"/>
  <c r="J512"/>
  <c r="I512"/>
  <c r="P512" s="1"/>
  <c r="F512"/>
  <c r="B512"/>
  <c r="O544"/>
  <c r="J544"/>
  <c r="I544"/>
  <c r="P544" s="1"/>
  <c r="F544"/>
  <c r="B544"/>
  <c r="O543"/>
  <c r="J543"/>
  <c r="I543"/>
  <c r="P543" s="1"/>
  <c r="F543"/>
  <c r="B543"/>
  <c r="O542"/>
  <c r="J542"/>
  <c r="I542"/>
  <c r="P542" s="1"/>
  <c r="F542"/>
  <c r="B542"/>
  <c r="O541"/>
  <c r="J541"/>
  <c r="I541"/>
  <c r="P541" s="1"/>
  <c r="F541"/>
  <c r="B541"/>
  <c r="O434"/>
  <c r="J434"/>
  <c r="I434"/>
  <c r="P434" s="1"/>
  <c r="F434"/>
  <c r="B434"/>
  <c r="O433"/>
  <c r="J433"/>
  <c r="I433"/>
  <c r="P433" s="1"/>
  <c r="F433"/>
  <c r="B433"/>
  <c r="O470"/>
  <c r="J470"/>
  <c r="I470"/>
  <c r="P470" s="1"/>
  <c r="F470"/>
  <c r="B470"/>
  <c r="O469"/>
  <c r="J469"/>
  <c r="I469"/>
  <c r="P469" s="1"/>
  <c r="F469"/>
  <c r="B469"/>
  <c r="O565"/>
  <c r="J565"/>
  <c r="I565"/>
  <c r="P565" s="1"/>
  <c r="F565"/>
  <c r="B565"/>
  <c r="O564"/>
  <c r="J564"/>
  <c r="I564"/>
  <c r="P564" s="1"/>
  <c r="F564"/>
  <c r="B564"/>
  <c r="O600"/>
  <c r="J600"/>
  <c r="I600"/>
  <c r="P600" s="1"/>
  <c r="F600"/>
  <c r="B600"/>
  <c r="O599"/>
  <c r="J599"/>
  <c r="I599"/>
  <c r="P599" s="1"/>
  <c r="F599"/>
  <c r="B599"/>
  <c r="O598"/>
  <c r="J598"/>
  <c r="I598"/>
  <c r="P598" s="1"/>
  <c r="F598"/>
  <c r="B598"/>
  <c r="O499"/>
  <c r="J499"/>
  <c r="I499"/>
  <c r="P499" s="1"/>
  <c r="F499"/>
  <c r="B499"/>
  <c r="O498"/>
  <c r="J498"/>
  <c r="I498"/>
  <c r="P498" s="1"/>
  <c r="F498"/>
  <c r="B498"/>
  <c r="O614"/>
  <c r="J614"/>
  <c r="I614"/>
  <c r="P614" s="1"/>
  <c r="F614"/>
  <c r="B614"/>
  <c r="O613"/>
  <c r="J613"/>
  <c r="I613"/>
  <c r="P613" s="1"/>
  <c r="F613"/>
  <c r="B613"/>
  <c r="J511"/>
  <c r="I511"/>
  <c r="P511" s="1"/>
  <c r="F511"/>
  <c r="B511"/>
  <c r="O510"/>
  <c r="J510"/>
  <c r="I510"/>
  <c r="Q510" s="1"/>
  <c r="F510"/>
  <c r="B510"/>
  <c r="O509"/>
  <c r="J509"/>
  <c r="I509"/>
  <c r="Q509" s="1"/>
  <c r="F509"/>
  <c r="B509"/>
  <c r="O612"/>
  <c r="J612"/>
  <c r="I612"/>
  <c r="Q612" s="1"/>
  <c r="F612"/>
  <c r="B612"/>
  <c r="O611"/>
  <c r="J611"/>
  <c r="I611"/>
  <c r="Q611" s="1"/>
  <c r="F611"/>
  <c r="B611"/>
  <c r="J610"/>
  <c r="I610"/>
  <c r="Q610" s="1"/>
  <c r="F610"/>
  <c r="B610"/>
  <c r="O574"/>
  <c r="J574"/>
  <c r="I574"/>
  <c r="P574" s="1"/>
  <c r="F574"/>
  <c r="B574"/>
  <c r="O573"/>
  <c r="J573"/>
  <c r="I573"/>
  <c r="P573" s="1"/>
  <c r="F573"/>
  <c r="B573"/>
  <c r="O446"/>
  <c r="J446"/>
  <c r="I446"/>
  <c r="P446" s="1"/>
  <c r="F446"/>
  <c r="B446"/>
  <c r="O445"/>
  <c r="J445"/>
  <c r="I445"/>
  <c r="P445" s="1"/>
  <c r="F445"/>
  <c r="B445"/>
  <c r="J444"/>
  <c r="I444"/>
  <c r="P444" s="1"/>
  <c r="F444"/>
  <c r="B444"/>
  <c r="O432"/>
  <c r="J432"/>
  <c r="I432"/>
  <c r="Q432" s="1"/>
  <c r="F432"/>
  <c r="B432"/>
  <c r="O431"/>
  <c r="J431"/>
  <c r="I431"/>
  <c r="Q431" s="1"/>
  <c r="F431"/>
  <c r="B431"/>
  <c r="O430"/>
  <c r="J430"/>
  <c r="I430"/>
  <c r="Q430" s="1"/>
  <c r="F430"/>
  <c r="B430"/>
  <c r="O429"/>
  <c r="J429"/>
  <c r="I429"/>
  <c r="Q429" s="1"/>
  <c r="F429"/>
  <c r="B429"/>
  <c r="O428"/>
  <c r="J428"/>
  <c r="I428"/>
  <c r="Q428" s="1"/>
  <c r="F428"/>
  <c r="B428"/>
  <c r="O443"/>
  <c r="J443"/>
  <c r="I443"/>
  <c r="Q443" s="1"/>
  <c r="F443"/>
  <c r="B443"/>
  <c r="O442"/>
  <c r="J442"/>
  <c r="I442"/>
  <c r="Q442" s="1"/>
  <c r="F442"/>
  <c r="B442"/>
  <c r="O441"/>
  <c r="J441"/>
  <c r="I441"/>
  <c r="Q441" s="1"/>
  <c r="F441"/>
  <c r="B441"/>
  <c r="O449"/>
  <c r="J449"/>
  <c r="I449"/>
  <c r="Q449" s="1"/>
  <c r="F449"/>
  <c r="B449"/>
  <c r="O448"/>
  <c r="J448"/>
  <c r="I448"/>
  <c r="Q448" s="1"/>
  <c r="F448"/>
  <c r="B448"/>
  <c r="O447"/>
  <c r="J447"/>
  <c r="I447"/>
  <c r="Q447" s="1"/>
  <c r="F447"/>
  <c r="B447"/>
  <c r="O463"/>
  <c r="J463"/>
  <c r="I463"/>
  <c r="Q463" s="1"/>
  <c r="F463"/>
  <c r="B463"/>
  <c r="O462"/>
  <c r="J462"/>
  <c r="I462"/>
  <c r="Q462" s="1"/>
  <c r="F462"/>
  <c r="B462"/>
  <c r="O461"/>
  <c r="J461"/>
  <c r="I461"/>
  <c r="Q461" s="1"/>
  <c r="F461"/>
  <c r="B461"/>
  <c r="O468"/>
  <c r="J468"/>
  <c r="I468"/>
  <c r="Q468" s="1"/>
  <c r="F468"/>
  <c r="B468"/>
  <c r="O467"/>
  <c r="J467"/>
  <c r="I467"/>
  <c r="Q467" s="1"/>
  <c r="F467"/>
  <c r="B467"/>
  <c r="O466"/>
  <c r="J466"/>
  <c r="I466"/>
  <c r="Q466" s="1"/>
  <c r="F466"/>
  <c r="B466"/>
  <c r="O488"/>
  <c r="J488"/>
  <c r="I488"/>
  <c r="Q488" s="1"/>
  <c r="F488"/>
  <c r="B488"/>
  <c r="O487"/>
  <c r="J487"/>
  <c r="I487"/>
  <c r="Q487" s="1"/>
  <c r="F487"/>
  <c r="B487"/>
  <c r="O486"/>
  <c r="J486"/>
  <c r="I486"/>
  <c r="Q486" s="1"/>
  <c r="F486"/>
  <c r="B486"/>
  <c r="O572"/>
  <c r="J572"/>
  <c r="I572"/>
  <c r="Q572" s="1"/>
  <c r="G572"/>
  <c r="F572"/>
  <c r="B572"/>
  <c r="O571"/>
  <c r="J571"/>
  <c r="I571"/>
  <c r="P571" s="1"/>
  <c r="G571"/>
  <c r="M7" i="39" s="1"/>
  <c r="H427" s="1"/>
  <c r="H425" s="1"/>
  <c r="H430" s="1"/>
  <c r="H438" s="1"/>
  <c r="H450" s="1"/>
  <c r="H460" s="1"/>
  <c r="F571" i="33"/>
  <c r="B571"/>
  <c r="O570"/>
  <c r="J570"/>
  <c r="I570"/>
  <c r="Q570" s="1"/>
  <c r="F570"/>
  <c r="B570"/>
  <c r="O607"/>
  <c r="J607"/>
  <c r="I607"/>
  <c r="Q607" s="1"/>
  <c r="F607"/>
  <c r="B607"/>
  <c r="O606"/>
  <c r="J606"/>
  <c r="I606"/>
  <c r="Q606" s="1"/>
  <c r="F606"/>
  <c r="B606"/>
  <c r="O605"/>
  <c r="J605"/>
  <c r="I605"/>
  <c r="Q605" s="1"/>
  <c r="F605"/>
  <c r="B605"/>
  <c r="O624"/>
  <c r="J624"/>
  <c r="I624"/>
  <c r="Q624" s="1"/>
  <c r="F624"/>
  <c r="B624"/>
  <c r="O623"/>
  <c r="J623"/>
  <c r="I623"/>
  <c r="Q623" s="1"/>
  <c r="F623"/>
  <c r="B623"/>
  <c r="O622"/>
  <c r="J622"/>
  <c r="I622"/>
  <c r="Q622" s="1"/>
  <c r="F622"/>
  <c r="B622"/>
  <c r="O621"/>
  <c r="J621"/>
  <c r="I621"/>
  <c r="Q621" s="1"/>
  <c r="F621"/>
  <c r="B621"/>
  <c r="O620"/>
  <c r="J620"/>
  <c r="I620"/>
  <c r="Q620" s="1"/>
  <c r="F620"/>
  <c r="B620"/>
  <c r="J609"/>
  <c r="I609"/>
  <c r="Q609" s="1"/>
  <c r="F609"/>
  <c r="B609"/>
  <c r="O608"/>
  <c r="J608"/>
  <c r="I608"/>
  <c r="P608" s="1"/>
  <c r="F608"/>
  <c r="B608"/>
  <c r="O569"/>
  <c r="J569"/>
  <c r="I569"/>
  <c r="P569" s="1"/>
  <c r="F569"/>
  <c r="B569"/>
  <c r="O568"/>
  <c r="J568"/>
  <c r="I568"/>
  <c r="P568" s="1"/>
  <c r="F568"/>
  <c r="B568"/>
  <c r="O567"/>
  <c r="J567"/>
  <c r="I567"/>
  <c r="P567" s="1"/>
  <c r="F567"/>
  <c r="B567"/>
  <c r="O566"/>
  <c r="J566"/>
  <c r="I566"/>
  <c r="P566" s="1"/>
  <c r="F566"/>
  <c r="B566"/>
  <c r="O553"/>
  <c r="J553"/>
  <c r="I553"/>
  <c r="P553" s="1"/>
  <c r="F553"/>
  <c r="B553"/>
  <c r="O552"/>
  <c r="J552"/>
  <c r="I552"/>
  <c r="P552" s="1"/>
  <c r="F552"/>
  <c r="B552"/>
  <c r="O551"/>
  <c r="J551"/>
  <c r="I551"/>
  <c r="P551" s="1"/>
  <c r="F551"/>
  <c r="B551"/>
  <c r="O550"/>
  <c r="J550"/>
  <c r="I550"/>
  <c r="P550" s="1"/>
  <c r="F550"/>
  <c r="B550"/>
  <c r="O508"/>
  <c r="J508"/>
  <c r="I508"/>
  <c r="P508" s="1"/>
  <c r="G508"/>
  <c r="J173" i="6" s="1"/>
  <c r="F508" i="33"/>
  <c r="B508"/>
  <c r="O507"/>
  <c r="J507"/>
  <c r="H507"/>
  <c r="F19" i="13" s="1"/>
  <c r="F13" s="1"/>
  <c r="F507" i="33"/>
  <c r="B507"/>
  <c r="O506"/>
  <c r="J506"/>
  <c r="I506"/>
  <c r="P506" s="1"/>
  <c r="F506"/>
  <c r="B506"/>
  <c r="O505"/>
  <c r="J505"/>
  <c r="I505"/>
  <c r="P505" s="1"/>
  <c r="F505"/>
  <c r="B505"/>
  <c r="O504"/>
  <c r="J504"/>
  <c r="I504"/>
  <c r="P504" s="1"/>
  <c r="F504"/>
  <c r="B504"/>
  <c r="O503"/>
  <c r="J503"/>
  <c r="I503"/>
  <c r="P503" s="1"/>
  <c r="F503"/>
  <c r="B503"/>
  <c r="O465"/>
  <c r="J465"/>
  <c r="I465"/>
  <c r="P465" s="1"/>
  <c r="F465"/>
  <c r="B465"/>
  <c r="O464"/>
  <c r="J464"/>
  <c r="I464"/>
  <c r="P464" s="1"/>
  <c r="F464"/>
  <c r="B464"/>
  <c r="J497"/>
  <c r="I497"/>
  <c r="P497" s="1"/>
  <c r="F497"/>
  <c r="B497"/>
  <c r="O496"/>
  <c r="J496"/>
  <c r="I496"/>
  <c r="Q496" s="1"/>
  <c r="F496"/>
  <c r="B496"/>
  <c r="O495"/>
  <c r="J495"/>
  <c r="I495"/>
  <c r="Q495" s="1"/>
  <c r="F495"/>
  <c r="B495"/>
  <c r="O494"/>
  <c r="J494"/>
  <c r="I494"/>
  <c r="Q494" s="1"/>
  <c r="F494"/>
  <c r="B494"/>
  <c r="O460"/>
  <c r="J460"/>
  <c r="I460"/>
  <c r="Q460" s="1"/>
  <c r="F460"/>
  <c r="B460"/>
  <c r="O459"/>
  <c r="J459"/>
  <c r="I459"/>
  <c r="Q459" s="1"/>
  <c r="F459"/>
  <c r="B459"/>
  <c r="O458"/>
  <c r="J458"/>
  <c r="I458"/>
  <c r="Q458" s="1"/>
  <c r="F458"/>
  <c r="B458"/>
  <c r="O457"/>
  <c r="J457"/>
  <c r="I457"/>
  <c r="Q457" s="1"/>
  <c r="F457"/>
  <c r="B457"/>
  <c r="O456"/>
  <c r="J456"/>
  <c r="I456"/>
  <c r="Q456" s="1"/>
  <c r="F456"/>
  <c r="B456"/>
  <c r="O455"/>
  <c r="J455"/>
  <c r="I455"/>
  <c r="Q455" s="1"/>
  <c r="F455"/>
  <c r="B455"/>
  <c r="O454"/>
  <c r="J454"/>
  <c r="I454"/>
  <c r="Q454" s="1"/>
  <c r="F454"/>
  <c r="B454"/>
  <c r="O453"/>
  <c r="J453"/>
  <c r="I453"/>
  <c r="Q453" s="1"/>
  <c r="F453"/>
  <c r="B453"/>
  <c r="O452"/>
  <c r="J452"/>
  <c r="I452"/>
  <c r="Q452" s="1"/>
  <c r="F452"/>
  <c r="B452"/>
  <c r="J451"/>
  <c r="I451"/>
  <c r="Q451" s="1"/>
  <c r="F451"/>
  <c r="B451"/>
  <c r="O450"/>
  <c r="J450"/>
  <c r="I450"/>
  <c r="P450" s="1"/>
  <c r="F450"/>
  <c r="B450"/>
  <c r="O440"/>
  <c r="J440"/>
  <c r="I440"/>
  <c r="P440" s="1"/>
  <c r="F440"/>
  <c r="B440"/>
  <c r="O439"/>
  <c r="J439"/>
  <c r="I439"/>
  <c r="P439" s="1"/>
  <c r="F439"/>
  <c r="B439"/>
  <c r="O333"/>
  <c r="J333"/>
  <c r="I333"/>
  <c r="P333" s="1"/>
  <c r="F333"/>
  <c r="B333"/>
  <c r="O332"/>
  <c r="J332"/>
  <c r="I332"/>
  <c r="P332" s="1"/>
  <c r="F332"/>
  <c r="B332"/>
  <c r="O9"/>
  <c r="J9"/>
  <c r="I9"/>
  <c r="P9" s="1"/>
  <c r="F9"/>
  <c r="B9"/>
  <c r="O8"/>
  <c r="J8"/>
  <c r="I8"/>
  <c r="P8" s="1"/>
  <c r="F8"/>
  <c r="B8"/>
  <c r="O278"/>
  <c r="J278"/>
  <c r="I278"/>
  <c r="P278" s="1"/>
  <c r="F278"/>
  <c r="B278"/>
  <c r="O277"/>
  <c r="J277"/>
  <c r="I277"/>
  <c r="P277" s="1"/>
  <c r="F277"/>
  <c r="B277"/>
  <c r="O350"/>
  <c r="J350"/>
  <c r="I350"/>
  <c r="P350" s="1"/>
  <c r="F350"/>
  <c r="B350"/>
  <c r="O349"/>
  <c r="J349"/>
  <c r="I349"/>
  <c r="P349" s="1"/>
  <c r="F349"/>
  <c r="B349"/>
  <c r="O323"/>
  <c r="J323"/>
  <c r="I323"/>
  <c r="P323" s="1"/>
  <c r="F323"/>
  <c r="B323"/>
  <c r="O322"/>
  <c r="J322"/>
  <c r="I322"/>
  <c r="P322" s="1"/>
  <c r="F322"/>
  <c r="B322"/>
  <c r="J371"/>
  <c r="I371"/>
  <c r="P371" s="1"/>
  <c r="F371"/>
  <c r="B371"/>
  <c r="O370"/>
  <c r="J370"/>
  <c r="I370"/>
  <c r="Q370" s="1"/>
  <c r="F370"/>
  <c r="B370"/>
  <c r="O381"/>
  <c r="J381"/>
  <c r="I381"/>
  <c r="Q381" s="1"/>
  <c r="F381"/>
  <c r="B381"/>
  <c r="O380"/>
  <c r="J380"/>
  <c r="I380"/>
  <c r="Q380" s="1"/>
  <c r="F380"/>
  <c r="B380"/>
  <c r="O379"/>
  <c r="J379"/>
  <c r="I379"/>
  <c r="Q379" s="1"/>
  <c r="F379"/>
  <c r="B379"/>
  <c r="O378"/>
  <c r="J378"/>
  <c r="I378"/>
  <c r="Q378" s="1"/>
  <c r="F378"/>
  <c r="B378"/>
  <c r="O377"/>
  <c r="J377"/>
  <c r="I377"/>
  <c r="Q377" s="1"/>
  <c r="F377"/>
  <c r="B377"/>
  <c r="O376"/>
  <c r="J376"/>
  <c r="I376"/>
  <c r="Q376" s="1"/>
  <c r="F376"/>
  <c r="B376"/>
  <c r="O375"/>
  <c r="J375"/>
  <c r="I375"/>
  <c r="Q375" s="1"/>
  <c r="F375"/>
  <c r="B375"/>
  <c r="O369"/>
  <c r="J369"/>
  <c r="I369"/>
  <c r="Q369" s="1"/>
  <c r="F369"/>
  <c r="B369"/>
  <c r="O368"/>
  <c r="J368"/>
  <c r="I368"/>
  <c r="Q368" s="1"/>
  <c r="F368"/>
  <c r="B368"/>
  <c r="J367"/>
  <c r="I367"/>
  <c r="Q367" s="1"/>
  <c r="F367"/>
  <c r="B367"/>
  <c r="O366"/>
  <c r="J366"/>
  <c r="I366"/>
  <c r="P366" s="1"/>
  <c r="F366"/>
  <c r="B366"/>
  <c r="O365"/>
  <c r="J365"/>
  <c r="I365"/>
  <c r="P365" s="1"/>
  <c r="F365"/>
  <c r="B365"/>
  <c r="O364"/>
  <c r="J364"/>
  <c r="I364"/>
  <c r="P364" s="1"/>
  <c r="F364"/>
  <c r="B364"/>
  <c r="O363"/>
  <c r="J363"/>
  <c r="I363"/>
  <c r="P363" s="1"/>
  <c r="F363"/>
  <c r="B363"/>
  <c r="O362"/>
  <c r="J362"/>
  <c r="I362"/>
  <c r="P362" s="1"/>
  <c r="F362"/>
  <c r="B362"/>
  <c r="O361"/>
  <c r="J361"/>
  <c r="I361"/>
  <c r="P361" s="1"/>
  <c r="F361"/>
  <c r="B361"/>
  <c r="O360"/>
  <c r="J360"/>
  <c r="I360"/>
  <c r="P360" s="1"/>
  <c r="F360"/>
  <c r="B360"/>
  <c r="O348"/>
  <c r="J348"/>
  <c r="I348"/>
  <c r="P348" s="1"/>
  <c r="F348"/>
  <c r="B348"/>
  <c r="O347"/>
  <c r="J347"/>
  <c r="I347"/>
  <c r="P347" s="1"/>
  <c r="F347"/>
  <c r="B347"/>
  <c r="O346"/>
  <c r="J346"/>
  <c r="I346"/>
  <c r="P346" s="1"/>
  <c r="F346"/>
  <c r="B346"/>
  <c r="O345"/>
  <c r="J345"/>
  <c r="I345"/>
  <c r="P345" s="1"/>
  <c r="F345"/>
  <c r="B345"/>
  <c r="O344"/>
  <c r="J344"/>
  <c r="I344"/>
  <c r="P344" s="1"/>
  <c r="F344"/>
  <c r="B344"/>
  <c r="O343"/>
  <c r="J343"/>
  <c r="I343"/>
  <c r="P343" s="1"/>
  <c r="F343"/>
  <c r="B343"/>
  <c r="O342"/>
  <c r="J342"/>
  <c r="I342"/>
  <c r="P342" s="1"/>
  <c r="F342"/>
  <c r="B342"/>
  <c r="O341"/>
  <c r="J341"/>
  <c r="I341"/>
  <c r="P341" s="1"/>
  <c r="F341"/>
  <c r="B341"/>
  <c r="O340"/>
  <c r="J340"/>
  <c r="I340"/>
  <c r="P340" s="1"/>
  <c r="F340"/>
  <c r="B340"/>
  <c r="O339"/>
  <c r="J339"/>
  <c r="I339"/>
  <c r="P339" s="1"/>
  <c r="F339"/>
  <c r="B339"/>
  <c r="O321"/>
  <c r="J321"/>
  <c r="I321"/>
  <c r="P321" s="1"/>
  <c r="F321"/>
  <c r="B321"/>
  <c r="J320"/>
  <c r="I320"/>
  <c r="P320" s="1"/>
  <c r="F320"/>
  <c r="B320"/>
  <c r="O319"/>
  <c r="J319"/>
  <c r="I319"/>
  <c r="Q319" s="1"/>
  <c r="F319"/>
  <c r="B319"/>
  <c r="O318"/>
  <c r="J318"/>
  <c r="I318"/>
  <c r="Q318" s="1"/>
  <c r="F318"/>
  <c r="B318"/>
  <c r="O317"/>
  <c r="J317"/>
  <c r="I317"/>
  <c r="Q317" s="1"/>
  <c r="F317"/>
  <c r="B317"/>
  <c r="O299"/>
  <c r="J299"/>
  <c r="I299"/>
  <c r="Q299" s="1"/>
  <c r="F299"/>
  <c r="B299"/>
  <c r="J298"/>
  <c r="I298"/>
  <c r="Q298" s="1"/>
  <c r="F298"/>
  <c r="B298"/>
  <c r="O297"/>
  <c r="J297"/>
  <c r="I297"/>
  <c r="P297" s="1"/>
  <c r="F297"/>
  <c r="B297"/>
  <c r="O296"/>
  <c r="J296"/>
  <c r="I296"/>
  <c r="P296" s="1"/>
  <c r="F296"/>
  <c r="B296"/>
  <c r="O295"/>
  <c r="J295"/>
  <c r="I295"/>
  <c r="P295" s="1"/>
  <c r="F295"/>
  <c r="B295"/>
  <c r="O359"/>
  <c r="J359"/>
  <c r="I359"/>
  <c r="P359" s="1"/>
  <c r="F359"/>
  <c r="B359"/>
  <c r="O358"/>
  <c r="J358"/>
  <c r="I358"/>
  <c r="P358" s="1"/>
  <c r="F358"/>
  <c r="B358"/>
  <c r="O357"/>
  <c r="J357"/>
  <c r="I357"/>
  <c r="P357" s="1"/>
  <c r="F357"/>
  <c r="B357"/>
  <c r="O356"/>
  <c r="J356"/>
  <c r="I356"/>
  <c r="P356" s="1"/>
  <c r="F356"/>
  <c r="B356"/>
  <c r="O255"/>
  <c r="J255"/>
  <c r="I255"/>
  <c r="P255" s="1"/>
  <c r="F255"/>
  <c r="B255"/>
  <c r="O254"/>
  <c r="J254"/>
  <c r="I254"/>
  <c r="P254" s="1"/>
  <c r="F254"/>
  <c r="B254"/>
  <c r="O253"/>
  <c r="J253"/>
  <c r="I253"/>
  <c r="P253" s="1"/>
  <c r="F253"/>
  <c r="B253"/>
  <c r="O252"/>
  <c r="J252"/>
  <c r="I252"/>
  <c r="P252" s="1"/>
  <c r="F252"/>
  <c r="B252"/>
  <c r="J251"/>
  <c r="I251"/>
  <c r="P251" s="1"/>
  <c r="F251"/>
  <c r="B251"/>
  <c r="O268"/>
  <c r="J268"/>
  <c r="I268"/>
  <c r="Q268" s="1"/>
  <c r="F268"/>
  <c r="B268"/>
  <c r="O267"/>
  <c r="J267"/>
  <c r="I267"/>
  <c r="Q267" s="1"/>
  <c r="F267"/>
  <c r="B267"/>
  <c r="O266"/>
  <c r="J266"/>
  <c r="I266"/>
  <c r="Q266" s="1"/>
  <c r="F266"/>
  <c r="B266"/>
  <c r="O331"/>
  <c r="J331"/>
  <c r="I331"/>
  <c r="Q331" s="1"/>
  <c r="F331"/>
  <c r="B331"/>
  <c r="O330"/>
  <c r="J330"/>
  <c r="I330"/>
  <c r="Q330" s="1"/>
  <c r="F330"/>
  <c r="B330"/>
  <c r="O329"/>
  <c r="J329"/>
  <c r="I329"/>
  <c r="Q329" s="1"/>
  <c r="F329"/>
  <c r="B329"/>
  <c r="O387"/>
  <c r="J387"/>
  <c r="I387"/>
  <c r="Q387" s="1"/>
  <c r="F387"/>
  <c r="B387"/>
  <c r="O386"/>
  <c r="J386"/>
  <c r="I386"/>
  <c r="Q386" s="1"/>
  <c r="F386"/>
  <c r="B386"/>
  <c r="J385"/>
  <c r="I385"/>
  <c r="Q385" s="1"/>
  <c r="F385"/>
  <c r="B385"/>
  <c r="O384"/>
  <c r="J384"/>
  <c r="I384"/>
  <c r="P384" s="1"/>
  <c r="F384"/>
  <c r="B384"/>
  <c r="O309"/>
  <c r="J309"/>
  <c r="I309"/>
  <c r="P309" s="1"/>
  <c r="F309"/>
  <c r="B309"/>
  <c r="O308"/>
  <c r="J308"/>
  <c r="I308"/>
  <c r="P308" s="1"/>
  <c r="F308"/>
  <c r="B308"/>
  <c r="O307"/>
  <c r="J307"/>
  <c r="I307"/>
  <c r="P307" s="1"/>
  <c r="F307"/>
  <c r="B307"/>
  <c r="J306"/>
  <c r="I306"/>
  <c r="P306" s="1"/>
  <c r="F306"/>
  <c r="B306"/>
  <c r="O305"/>
  <c r="J305"/>
  <c r="I305"/>
  <c r="Q305" s="1"/>
  <c r="F305"/>
  <c r="B305"/>
  <c r="O241"/>
  <c r="J241"/>
  <c r="I241"/>
  <c r="Q241" s="1"/>
  <c r="F241"/>
  <c r="B241"/>
  <c r="O240"/>
  <c r="J240"/>
  <c r="I240"/>
  <c r="Q240" s="1"/>
  <c r="F240"/>
  <c r="B240"/>
  <c r="O239"/>
  <c r="J239"/>
  <c r="I239"/>
  <c r="Q239" s="1"/>
  <c r="F239"/>
  <c r="B239"/>
  <c r="O238"/>
  <c r="J238"/>
  <c r="I238"/>
  <c r="Q238" s="1"/>
  <c r="F238"/>
  <c r="B238"/>
  <c r="O237"/>
  <c r="J237"/>
  <c r="I237"/>
  <c r="Q237" s="1"/>
  <c r="F237"/>
  <c r="B237"/>
  <c r="O206"/>
  <c r="J206"/>
  <c r="I206"/>
  <c r="Q206" s="1"/>
  <c r="F206"/>
  <c r="B206"/>
  <c r="O205"/>
  <c r="J205"/>
  <c r="I205"/>
  <c r="Q205" s="1"/>
  <c r="F205"/>
  <c r="B205"/>
  <c r="O204"/>
  <c r="J204"/>
  <c r="I204"/>
  <c r="Q204" s="1"/>
  <c r="F204"/>
  <c r="B204"/>
  <c r="O203"/>
  <c r="J203"/>
  <c r="I203"/>
  <c r="Q203" s="1"/>
  <c r="F203"/>
  <c r="B203"/>
  <c r="O202"/>
  <c r="J202"/>
  <c r="I202"/>
  <c r="Q202" s="1"/>
  <c r="F202"/>
  <c r="B202"/>
  <c r="O201"/>
  <c r="J201"/>
  <c r="I201"/>
  <c r="Q201" s="1"/>
  <c r="F201"/>
  <c r="B201"/>
  <c r="O200"/>
  <c r="J200"/>
  <c r="I200"/>
  <c r="Q200" s="1"/>
  <c r="F200"/>
  <c r="B200"/>
  <c r="O199"/>
  <c r="J199"/>
  <c r="I199"/>
  <c r="Q199" s="1"/>
  <c r="F199"/>
  <c r="B199"/>
  <c r="O169"/>
  <c r="J169"/>
  <c r="I169"/>
  <c r="Q169" s="1"/>
  <c r="F169"/>
  <c r="B169"/>
  <c r="O168"/>
  <c r="J168"/>
  <c r="I168"/>
  <c r="Q168" s="1"/>
  <c r="F168"/>
  <c r="B168"/>
  <c r="J167"/>
  <c r="I167"/>
  <c r="Q167" s="1"/>
  <c r="F167"/>
  <c r="B167"/>
  <c r="O137"/>
  <c r="J137"/>
  <c r="I137"/>
  <c r="P137" s="1"/>
  <c r="F137"/>
  <c r="B137"/>
  <c r="O136"/>
  <c r="J136"/>
  <c r="I136"/>
  <c r="P136" s="1"/>
  <c r="F136"/>
  <c r="B136"/>
  <c r="O135"/>
  <c r="J135"/>
  <c r="I135"/>
  <c r="P135" s="1"/>
  <c r="F135"/>
  <c r="B135"/>
  <c r="O134"/>
  <c r="J134"/>
  <c r="I134"/>
  <c r="P134" s="1"/>
  <c r="F134"/>
  <c r="B134"/>
  <c r="O133"/>
  <c r="J133"/>
  <c r="I133"/>
  <c r="P133" s="1"/>
  <c r="F133"/>
  <c r="B133"/>
  <c r="O106"/>
  <c r="J106"/>
  <c r="I106"/>
  <c r="P106" s="1"/>
  <c r="F106"/>
  <c r="B106"/>
  <c r="O105"/>
  <c r="J105"/>
  <c r="I105"/>
  <c r="P105" s="1"/>
  <c r="F105"/>
  <c r="B105"/>
  <c r="O104"/>
  <c r="J104"/>
  <c r="I104"/>
  <c r="P104" s="1"/>
  <c r="F104"/>
  <c r="B104"/>
  <c r="O103"/>
  <c r="J103"/>
  <c r="I103"/>
  <c r="P103" s="1"/>
  <c r="F103"/>
  <c r="B103"/>
  <c r="O102"/>
  <c r="J102"/>
  <c r="I102"/>
  <c r="P102" s="1"/>
  <c r="F102"/>
  <c r="B102"/>
  <c r="O91"/>
  <c r="J91"/>
  <c r="I91"/>
  <c r="P91" s="1"/>
  <c r="F91"/>
  <c r="B91"/>
  <c r="O90"/>
  <c r="J90"/>
  <c r="I90"/>
  <c r="P90" s="1"/>
  <c r="F90"/>
  <c r="B90"/>
  <c r="O89"/>
  <c r="J89"/>
  <c r="I89"/>
  <c r="P89" s="1"/>
  <c r="F89"/>
  <c r="B89"/>
  <c r="O88"/>
  <c r="J88"/>
  <c r="I88"/>
  <c r="P88" s="1"/>
  <c r="F88"/>
  <c r="B88"/>
  <c r="O87"/>
  <c r="J87"/>
  <c r="I87"/>
  <c r="P87" s="1"/>
  <c r="F87"/>
  <c r="B87"/>
  <c r="O68"/>
  <c r="J68"/>
  <c r="I68"/>
  <c r="P68" s="1"/>
  <c r="F68"/>
  <c r="B68"/>
  <c r="O67"/>
  <c r="J67"/>
  <c r="I67"/>
  <c r="P67" s="1"/>
  <c r="F67"/>
  <c r="B67"/>
  <c r="O66"/>
  <c r="J66"/>
  <c r="I66"/>
  <c r="P66" s="1"/>
  <c r="F66"/>
  <c r="B66"/>
  <c r="O65"/>
  <c r="J65"/>
  <c r="I65"/>
  <c r="P65" s="1"/>
  <c r="F65"/>
  <c r="B65"/>
  <c r="O64"/>
  <c r="J64"/>
  <c r="I64"/>
  <c r="P64" s="1"/>
  <c r="F64"/>
  <c r="B64"/>
  <c r="O51"/>
  <c r="J51"/>
  <c r="I51"/>
  <c r="P51" s="1"/>
  <c r="F51"/>
  <c r="B51"/>
  <c r="O50"/>
  <c r="J50"/>
  <c r="I50"/>
  <c r="P50" s="1"/>
  <c r="F50"/>
  <c r="B50"/>
  <c r="O49"/>
  <c r="J49"/>
  <c r="I49"/>
  <c r="P49" s="1"/>
  <c r="F49"/>
  <c r="B49"/>
  <c r="O48"/>
  <c r="J48"/>
  <c r="I48"/>
  <c r="P48" s="1"/>
  <c r="F48"/>
  <c r="B48"/>
  <c r="O47"/>
  <c r="J47"/>
  <c r="I47"/>
  <c r="P47" s="1"/>
  <c r="F47"/>
  <c r="B47"/>
  <c r="O46"/>
  <c r="J46"/>
  <c r="I46"/>
  <c r="P46" s="1"/>
  <c r="F46"/>
  <c r="B46"/>
  <c r="O25"/>
  <c r="J25"/>
  <c r="I25"/>
  <c r="P25" s="1"/>
  <c r="F25"/>
  <c r="B25"/>
  <c r="J24"/>
  <c r="I24"/>
  <c r="P24" s="1"/>
  <c r="F24"/>
  <c r="B24"/>
  <c r="O23"/>
  <c r="J23"/>
  <c r="I23"/>
  <c r="Q23" s="1"/>
  <c r="F23"/>
  <c r="B23"/>
  <c r="O22"/>
  <c r="J22"/>
  <c r="I22"/>
  <c r="Q22" s="1"/>
  <c r="F22"/>
  <c r="B22"/>
  <c r="O21"/>
  <c r="J21"/>
  <c r="I21"/>
  <c r="Q21" s="1"/>
  <c r="F21"/>
  <c r="B21"/>
  <c r="O20"/>
  <c r="J20"/>
  <c r="I20"/>
  <c r="Q20" s="1"/>
  <c r="F20"/>
  <c r="B20"/>
  <c r="O7"/>
  <c r="J7"/>
  <c r="I7"/>
  <c r="Q7" s="1"/>
  <c r="F7"/>
  <c r="B7"/>
  <c r="J6"/>
  <c r="I6"/>
  <c r="Q6" s="1"/>
  <c r="F6"/>
  <c r="B6"/>
  <c r="O427"/>
  <c r="J427"/>
  <c r="I427"/>
  <c r="P427" s="1"/>
  <c r="F427"/>
  <c r="B427"/>
  <c r="O426"/>
  <c r="J426"/>
  <c r="I426"/>
  <c r="P426" s="1"/>
  <c r="F426"/>
  <c r="B426"/>
  <c r="O425"/>
  <c r="J425"/>
  <c r="I425"/>
  <c r="P425" s="1"/>
  <c r="F425"/>
  <c r="B425"/>
  <c r="O424"/>
  <c r="J424"/>
  <c r="I424"/>
  <c r="P424" s="1"/>
  <c r="F424"/>
  <c r="B424"/>
  <c r="O128"/>
  <c r="J128"/>
  <c r="I128"/>
  <c r="P128" s="1"/>
  <c r="F128"/>
  <c r="B128"/>
  <c r="O127"/>
  <c r="J127"/>
  <c r="I127"/>
  <c r="P127" s="1"/>
  <c r="F127"/>
  <c r="B127"/>
  <c r="O423"/>
  <c r="J423"/>
  <c r="I423"/>
  <c r="P423" s="1"/>
  <c r="F423"/>
  <c r="B423"/>
  <c r="O422"/>
  <c r="J422"/>
  <c r="I422"/>
  <c r="P422" s="1"/>
  <c r="F422"/>
  <c r="B422"/>
  <c r="O421"/>
  <c r="J421"/>
  <c r="I421"/>
  <c r="P421" s="1"/>
  <c r="F421"/>
  <c r="B421"/>
  <c r="O420"/>
  <c r="J420"/>
  <c r="I420"/>
  <c r="P420" s="1"/>
  <c r="F420"/>
  <c r="B420"/>
  <c r="O419"/>
  <c r="J419"/>
  <c r="I419"/>
  <c r="P419" s="1"/>
  <c r="F419"/>
  <c r="B419"/>
  <c r="O418"/>
  <c r="J418"/>
  <c r="I418"/>
  <c r="P418" s="1"/>
  <c r="F418"/>
  <c r="B418"/>
  <c r="O417"/>
  <c r="J417"/>
  <c r="I417"/>
  <c r="P417" s="1"/>
  <c r="F417"/>
  <c r="B417"/>
  <c r="O416"/>
  <c r="J416"/>
  <c r="I416"/>
  <c r="P416" s="1"/>
  <c r="F416"/>
  <c r="B416"/>
  <c r="O415"/>
  <c r="J415"/>
  <c r="I415"/>
  <c r="P415" s="1"/>
  <c r="F415"/>
  <c r="B415"/>
  <c r="O414"/>
  <c r="J414"/>
  <c r="I414"/>
  <c r="P414" s="1"/>
  <c r="F414"/>
  <c r="B414"/>
  <c r="O316"/>
  <c r="J316"/>
  <c r="I316"/>
  <c r="P316" s="1"/>
  <c r="F316"/>
  <c r="B316"/>
  <c r="O315"/>
  <c r="J315"/>
  <c r="I315"/>
  <c r="P315" s="1"/>
  <c r="F315"/>
  <c r="B315"/>
  <c r="O314"/>
  <c r="J314"/>
  <c r="I314"/>
  <c r="P314" s="1"/>
  <c r="F314"/>
  <c r="B314"/>
  <c r="O265"/>
  <c r="J265"/>
  <c r="I265"/>
  <c r="P265" s="1"/>
  <c r="F265"/>
  <c r="B265"/>
  <c r="O264"/>
  <c r="J264"/>
  <c r="I264"/>
  <c r="P264" s="1"/>
  <c r="F264"/>
  <c r="B264"/>
  <c r="O263"/>
  <c r="J263"/>
  <c r="I263"/>
  <c r="P263" s="1"/>
  <c r="F263"/>
  <c r="B263"/>
  <c r="O355"/>
  <c r="J355"/>
  <c r="I355"/>
  <c r="P355" s="1"/>
  <c r="F355"/>
  <c r="B355"/>
  <c r="O354"/>
  <c r="J354"/>
  <c r="I354"/>
  <c r="P354" s="1"/>
  <c r="F354"/>
  <c r="B354"/>
  <c r="O284"/>
  <c r="J284"/>
  <c r="I284"/>
  <c r="P284" s="1"/>
  <c r="F284"/>
  <c r="B284"/>
  <c r="O283"/>
  <c r="J283"/>
  <c r="I283"/>
  <c r="P283" s="1"/>
  <c r="F283"/>
  <c r="B283"/>
  <c r="O282"/>
  <c r="J282"/>
  <c r="I282"/>
  <c r="P282" s="1"/>
  <c r="F282"/>
  <c r="B282"/>
  <c r="O126"/>
  <c r="J126"/>
  <c r="I126"/>
  <c r="P126" s="1"/>
  <c r="F126"/>
  <c r="B126"/>
  <c r="O125"/>
  <c r="J125"/>
  <c r="I125"/>
  <c r="P125" s="1"/>
  <c r="F125"/>
  <c r="B125"/>
  <c r="O236"/>
  <c r="J236"/>
  <c r="I236"/>
  <c r="P236" s="1"/>
  <c r="F236"/>
  <c r="B236"/>
  <c r="O235"/>
  <c r="J235"/>
  <c r="I235"/>
  <c r="P235" s="1"/>
  <c r="F235"/>
  <c r="B235"/>
  <c r="O392"/>
  <c r="J392"/>
  <c r="I392"/>
  <c r="P392" s="1"/>
  <c r="F392"/>
  <c r="B392"/>
  <c r="O391"/>
  <c r="J391"/>
  <c r="I391"/>
  <c r="P391" s="1"/>
  <c r="F391"/>
  <c r="B391"/>
  <c r="O304"/>
  <c r="J304"/>
  <c r="I304"/>
  <c r="P304" s="1"/>
  <c r="F304"/>
  <c r="B304"/>
  <c r="O303"/>
  <c r="J303"/>
  <c r="I303"/>
  <c r="P303" s="1"/>
  <c r="F303"/>
  <c r="B303"/>
  <c r="O302"/>
  <c r="J302"/>
  <c r="I302"/>
  <c r="P302" s="1"/>
  <c r="F302"/>
  <c r="B302"/>
  <c r="O338"/>
  <c r="J338"/>
  <c r="I338"/>
  <c r="P338" s="1"/>
  <c r="F338"/>
  <c r="B338"/>
  <c r="O337"/>
  <c r="J337"/>
  <c r="I337"/>
  <c r="P337" s="1"/>
  <c r="F337"/>
  <c r="B337"/>
  <c r="O336"/>
  <c r="J336"/>
  <c r="I336"/>
  <c r="P336" s="1"/>
  <c r="F336"/>
  <c r="B336"/>
  <c r="O383"/>
  <c r="J383"/>
  <c r="I383"/>
  <c r="P383" s="1"/>
  <c r="F383"/>
  <c r="B383"/>
  <c r="O382"/>
  <c r="J382"/>
  <c r="I382"/>
  <c r="P382" s="1"/>
  <c r="F382"/>
  <c r="B382"/>
  <c r="O390"/>
  <c r="J390"/>
  <c r="I390"/>
  <c r="P390" s="1"/>
  <c r="G390"/>
  <c r="F390"/>
  <c r="B390"/>
  <c r="O389"/>
  <c r="J389"/>
  <c r="I389"/>
  <c r="Q389" s="1"/>
  <c r="F389"/>
  <c r="B389"/>
  <c r="O388"/>
  <c r="J388"/>
  <c r="I388"/>
  <c r="Q388" s="1"/>
  <c r="F388"/>
  <c r="B388"/>
  <c r="O124"/>
  <c r="J124"/>
  <c r="I124"/>
  <c r="Q124" s="1"/>
  <c r="F124"/>
  <c r="B124"/>
  <c r="O123"/>
  <c r="J123"/>
  <c r="I123"/>
  <c r="Q123" s="1"/>
  <c r="F123"/>
  <c r="B123"/>
  <c r="O413"/>
  <c r="J413"/>
  <c r="I413"/>
  <c r="Q413" s="1"/>
  <c r="F413"/>
  <c r="B413"/>
  <c r="O412"/>
  <c r="J412"/>
  <c r="I412"/>
  <c r="Q412" s="1"/>
  <c r="F412"/>
  <c r="B412"/>
  <c r="O411"/>
  <c r="J411"/>
  <c r="I411"/>
  <c r="Q411" s="1"/>
  <c r="F411"/>
  <c r="B411"/>
  <c r="O250"/>
  <c r="J250"/>
  <c r="I250"/>
  <c r="Q250" s="1"/>
  <c r="F250"/>
  <c r="B250"/>
  <c r="O249"/>
  <c r="J249"/>
  <c r="I249"/>
  <c r="Q249" s="1"/>
  <c r="F249"/>
  <c r="B249"/>
  <c r="O248"/>
  <c r="J248"/>
  <c r="I248"/>
  <c r="P248" s="1"/>
  <c r="G248"/>
  <c r="G249" s="1"/>
  <c r="J57" i="5" s="1"/>
  <c r="F248" i="33"/>
  <c r="B248"/>
  <c r="O247"/>
  <c r="J247"/>
  <c r="I247"/>
  <c r="Q247" s="1"/>
  <c r="H247"/>
  <c r="K159" i="5" s="1"/>
  <c r="F247" i="33"/>
  <c r="B247"/>
  <c r="O246"/>
  <c r="J246"/>
  <c r="I246"/>
  <c r="P246" s="1"/>
  <c r="F246"/>
  <c r="B246"/>
  <c r="O245"/>
  <c r="J245"/>
  <c r="I245"/>
  <c r="P245" s="1"/>
  <c r="F245"/>
  <c r="B245"/>
  <c r="O234"/>
  <c r="J234"/>
  <c r="I234"/>
  <c r="P234" s="1"/>
  <c r="F234"/>
  <c r="B234"/>
  <c r="O233"/>
  <c r="J233"/>
  <c r="I233"/>
  <c r="P233" s="1"/>
  <c r="F233"/>
  <c r="B233"/>
  <c r="O232"/>
  <c r="J232"/>
  <c r="I232"/>
  <c r="P232" s="1"/>
  <c r="F232"/>
  <c r="B232"/>
  <c r="O231"/>
  <c r="J231"/>
  <c r="I231"/>
  <c r="P231" s="1"/>
  <c r="F231"/>
  <c r="B231"/>
  <c r="O230"/>
  <c r="J230"/>
  <c r="I230"/>
  <c r="P230" s="1"/>
  <c r="F230"/>
  <c r="B230"/>
  <c r="O229"/>
  <c r="J229"/>
  <c r="I229"/>
  <c r="P229" s="1"/>
  <c r="F229"/>
  <c r="B229"/>
  <c r="O228"/>
  <c r="J228"/>
  <c r="I228"/>
  <c r="P228" s="1"/>
  <c r="F228"/>
  <c r="B228"/>
  <c r="O132"/>
  <c r="J132"/>
  <c r="I132"/>
  <c r="P132" s="1"/>
  <c r="F132"/>
  <c r="B132"/>
  <c r="O131"/>
  <c r="J131"/>
  <c r="I131"/>
  <c r="P131" s="1"/>
  <c r="F131"/>
  <c r="B131"/>
  <c r="O227"/>
  <c r="J227"/>
  <c r="I227"/>
  <c r="P227" s="1"/>
  <c r="F227"/>
  <c r="B227"/>
  <c r="O226"/>
  <c r="J226"/>
  <c r="I226"/>
  <c r="P226" s="1"/>
  <c r="F226"/>
  <c r="B226"/>
  <c r="O410"/>
  <c r="J410"/>
  <c r="I410"/>
  <c r="P410" s="1"/>
  <c r="G410"/>
  <c r="F410"/>
  <c r="B410"/>
  <c r="O409"/>
  <c r="J409"/>
  <c r="I409"/>
  <c r="Q409" s="1"/>
  <c r="F409"/>
  <c r="B409"/>
  <c r="O408"/>
  <c r="J408"/>
  <c r="I408"/>
  <c r="Q408" s="1"/>
  <c r="F408"/>
  <c r="B408"/>
  <c r="J407"/>
  <c r="I407"/>
  <c r="Q407" s="1"/>
  <c r="F407"/>
  <c r="B407"/>
  <c r="O406"/>
  <c r="J406"/>
  <c r="I406"/>
  <c r="P406" s="1"/>
  <c r="F406"/>
  <c r="B406"/>
  <c r="O405"/>
  <c r="J405"/>
  <c r="I405"/>
  <c r="P405" s="1"/>
  <c r="F405"/>
  <c r="B405"/>
  <c r="O404"/>
  <c r="J404"/>
  <c r="I404"/>
  <c r="P404" s="1"/>
  <c r="F404"/>
  <c r="B404"/>
  <c r="O403"/>
  <c r="J403"/>
  <c r="I403"/>
  <c r="P403" s="1"/>
  <c r="F403"/>
  <c r="B403"/>
  <c r="O402"/>
  <c r="J402"/>
  <c r="I402"/>
  <c r="P402" s="1"/>
  <c r="F402"/>
  <c r="B402"/>
  <c r="O401"/>
  <c r="J401"/>
  <c r="I401"/>
  <c r="P401" s="1"/>
  <c r="F401"/>
  <c r="B401"/>
  <c r="O400"/>
  <c r="J400"/>
  <c r="I400"/>
  <c r="F400"/>
  <c r="B400"/>
  <c r="O225"/>
  <c r="J225"/>
  <c r="I225"/>
  <c r="P225" s="1"/>
  <c r="F225"/>
  <c r="B225"/>
  <c r="O224"/>
  <c r="J224"/>
  <c r="I224"/>
  <c r="P224" s="1"/>
  <c r="F224"/>
  <c r="B224"/>
  <c r="O223"/>
  <c r="J223"/>
  <c r="I223"/>
  <c r="P223" s="1"/>
  <c r="F223"/>
  <c r="B223"/>
  <c r="O222"/>
  <c r="J222"/>
  <c r="I222"/>
  <c r="P222" s="1"/>
  <c r="F222"/>
  <c r="B222"/>
  <c r="O221"/>
  <c r="J221"/>
  <c r="I221"/>
  <c r="P221" s="1"/>
  <c r="F221"/>
  <c r="B221"/>
  <c r="O220"/>
  <c r="J220"/>
  <c r="I220"/>
  <c r="P220" s="1"/>
  <c r="F220"/>
  <c r="B220"/>
  <c r="O219"/>
  <c r="J219"/>
  <c r="I219"/>
  <c r="P219" s="1"/>
  <c r="F219"/>
  <c r="B219"/>
  <c r="O218"/>
  <c r="J218"/>
  <c r="I218"/>
  <c r="P218" s="1"/>
  <c r="F218"/>
  <c r="B218"/>
  <c r="O122"/>
  <c r="J122"/>
  <c r="I122"/>
  <c r="P122" s="1"/>
  <c r="F122"/>
  <c r="B122"/>
  <c r="O121"/>
  <c r="J121"/>
  <c r="I121"/>
  <c r="P121" s="1"/>
  <c r="F121"/>
  <c r="B121"/>
  <c r="O120"/>
  <c r="J120"/>
  <c r="I120"/>
  <c r="P120" s="1"/>
  <c r="F120"/>
  <c r="B120"/>
  <c r="O119"/>
  <c r="J119"/>
  <c r="I119"/>
  <c r="P119" s="1"/>
  <c r="F119"/>
  <c r="B119"/>
  <c r="O118"/>
  <c r="J118"/>
  <c r="I118"/>
  <c r="P118" s="1"/>
  <c r="F118"/>
  <c r="B118"/>
  <c r="O117"/>
  <c r="J117"/>
  <c r="I117"/>
  <c r="P117" s="1"/>
  <c r="F117"/>
  <c r="B117"/>
  <c r="O116"/>
  <c r="J116"/>
  <c r="I116"/>
  <c r="P116" s="1"/>
  <c r="F116"/>
  <c r="B116"/>
  <c r="O115"/>
  <c r="J115"/>
  <c r="I115"/>
  <c r="P115" s="1"/>
  <c r="F115"/>
  <c r="B115"/>
  <c r="O399"/>
  <c r="J399"/>
  <c r="I399"/>
  <c r="P399" s="1"/>
  <c r="F399"/>
  <c r="B399"/>
  <c r="O398"/>
  <c r="J398"/>
  <c r="I398"/>
  <c r="P398" s="1"/>
  <c r="F398"/>
  <c r="B398"/>
  <c r="O374"/>
  <c r="J374"/>
  <c r="I374"/>
  <c r="P374" s="1"/>
  <c r="F374"/>
  <c r="B374"/>
  <c r="O373"/>
  <c r="J373"/>
  <c r="I373"/>
  <c r="P373" s="1"/>
  <c r="F373"/>
  <c r="B373"/>
  <c r="O372"/>
  <c r="J372"/>
  <c r="I372"/>
  <c r="P372" s="1"/>
  <c r="F372"/>
  <c r="B372"/>
  <c r="O335"/>
  <c r="J335"/>
  <c r="I335"/>
  <c r="P335" s="1"/>
  <c r="F335"/>
  <c r="B335"/>
  <c r="O334"/>
  <c r="J334"/>
  <c r="I334"/>
  <c r="P334" s="1"/>
  <c r="F334"/>
  <c r="B334"/>
  <c r="O353"/>
  <c r="J353"/>
  <c r="I353"/>
  <c r="P353" s="1"/>
  <c r="G353"/>
  <c r="F353"/>
  <c r="B353"/>
  <c r="O352"/>
  <c r="J352"/>
  <c r="I352"/>
  <c r="Q352" s="1"/>
  <c r="F352"/>
  <c r="B352"/>
  <c r="O351"/>
  <c r="J351"/>
  <c r="I351"/>
  <c r="Q351" s="1"/>
  <c r="F351"/>
  <c r="B351"/>
  <c r="J328"/>
  <c r="I328"/>
  <c r="Q328" s="1"/>
  <c r="G328"/>
  <c r="F328"/>
  <c r="B328"/>
  <c r="O327"/>
  <c r="J327"/>
  <c r="I327"/>
  <c r="Q327" s="1"/>
  <c r="F327"/>
  <c r="B327"/>
  <c r="O326"/>
  <c r="J326"/>
  <c r="I326"/>
  <c r="Q326" s="1"/>
  <c r="F326"/>
  <c r="B326"/>
  <c r="J325"/>
  <c r="I325"/>
  <c r="F325"/>
  <c r="B325"/>
  <c r="O324"/>
  <c r="J324"/>
  <c r="I324"/>
  <c r="P324" s="1"/>
  <c r="F324"/>
  <c r="B324"/>
  <c r="O313"/>
  <c r="J313"/>
  <c r="I313"/>
  <c r="P313" s="1"/>
  <c r="F313"/>
  <c r="B313"/>
  <c r="O312"/>
  <c r="J312"/>
  <c r="I312"/>
  <c r="P312" s="1"/>
  <c r="F312"/>
  <c r="B312"/>
  <c r="J311"/>
  <c r="I311"/>
  <c r="F311"/>
  <c r="B311"/>
  <c r="O310"/>
  <c r="J310"/>
  <c r="I310"/>
  <c r="Q310" s="1"/>
  <c r="F310"/>
  <c r="B310"/>
  <c r="O301"/>
  <c r="J301"/>
  <c r="I301"/>
  <c r="Q301" s="1"/>
  <c r="F301"/>
  <c r="B301"/>
  <c r="O300"/>
  <c r="J300"/>
  <c r="I300"/>
  <c r="Q300" s="1"/>
  <c r="F300"/>
  <c r="B300"/>
  <c r="O294"/>
  <c r="J294"/>
  <c r="I294"/>
  <c r="Q294" s="1"/>
  <c r="F294"/>
  <c r="B294"/>
  <c r="O293"/>
  <c r="J293"/>
  <c r="I293"/>
  <c r="Q293" s="1"/>
  <c r="F293"/>
  <c r="B293"/>
  <c r="J292"/>
  <c r="I292"/>
  <c r="F292"/>
  <c r="B292"/>
  <c r="O291"/>
  <c r="J291"/>
  <c r="I291"/>
  <c r="P291" s="1"/>
  <c r="F291"/>
  <c r="B291"/>
  <c r="O290"/>
  <c r="J290"/>
  <c r="I290"/>
  <c r="P290" s="1"/>
  <c r="F290"/>
  <c r="B290"/>
  <c r="O289"/>
  <c r="J289"/>
  <c r="I289"/>
  <c r="P289" s="1"/>
  <c r="F289"/>
  <c r="B289"/>
  <c r="O288"/>
  <c r="J288"/>
  <c r="I288"/>
  <c r="P288" s="1"/>
  <c r="F288"/>
  <c r="B288"/>
  <c r="O287"/>
  <c r="J287"/>
  <c r="I287"/>
  <c r="P287" s="1"/>
  <c r="F287"/>
  <c r="B287"/>
  <c r="J286"/>
  <c r="I286"/>
  <c r="F286"/>
  <c r="B286"/>
  <c r="O285"/>
  <c r="J285"/>
  <c r="I285"/>
  <c r="Q285" s="1"/>
  <c r="F285"/>
  <c r="B285"/>
  <c r="O281"/>
  <c r="J281"/>
  <c r="I281"/>
  <c r="Q281" s="1"/>
  <c r="F281"/>
  <c r="B281"/>
  <c r="O280"/>
  <c r="J280"/>
  <c r="I280"/>
  <c r="Q280" s="1"/>
  <c r="F280"/>
  <c r="B280"/>
  <c r="O279"/>
  <c r="J279"/>
  <c r="I279"/>
  <c r="Q279" s="1"/>
  <c r="F279"/>
  <c r="B279"/>
  <c r="O276"/>
  <c r="J276"/>
  <c r="I276"/>
  <c r="Q276" s="1"/>
  <c r="F276"/>
  <c r="B276"/>
  <c r="O275"/>
  <c r="J275"/>
  <c r="I275"/>
  <c r="Q275" s="1"/>
  <c r="F275"/>
  <c r="B275"/>
  <c r="O274"/>
  <c r="J274"/>
  <c r="I274"/>
  <c r="Q274" s="1"/>
  <c r="F274"/>
  <c r="B274"/>
  <c r="O273"/>
  <c r="J273"/>
  <c r="I273"/>
  <c r="Q273" s="1"/>
  <c r="F273"/>
  <c r="B273"/>
  <c r="O272"/>
  <c r="J272"/>
  <c r="I272"/>
  <c r="Q272" s="1"/>
  <c r="F272"/>
  <c r="B272"/>
  <c r="O271"/>
  <c r="J271"/>
  <c r="I271"/>
  <c r="Q271" s="1"/>
  <c r="F271"/>
  <c r="B271"/>
  <c r="O270"/>
  <c r="J270"/>
  <c r="I270"/>
  <c r="Q270" s="1"/>
  <c r="F270"/>
  <c r="B270"/>
  <c r="O269"/>
  <c r="J269"/>
  <c r="I269"/>
  <c r="Q269" s="1"/>
  <c r="F269"/>
  <c r="B269"/>
  <c r="O262"/>
  <c r="J262"/>
  <c r="I262"/>
  <c r="Q262" s="1"/>
  <c r="F262"/>
  <c r="B262"/>
  <c r="O261"/>
  <c r="J261"/>
  <c r="I261"/>
  <c r="Q261" s="1"/>
  <c r="F261"/>
  <c r="B261"/>
  <c r="O260"/>
  <c r="J260"/>
  <c r="I260"/>
  <c r="Q260" s="1"/>
  <c r="F260"/>
  <c r="B260"/>
  <c r="O259"/>
  <c r="J259"/>
  <c r="I259"/>
  <c r="Q259" s="1"/>
  <c r="F259"/>
  <c r="B259"/>
  <c r="O258"/>
  <c r="J258"/>
  <c r="I258"/>
  <c r="Q258" s="1"/>
  <c r="F258"/>
  <c r="B258"/>
  <c r="O257"/>
  <c r="J257"/>
  <c r="I257"/>
  <c r="Q257" s="1"/>
  <c r="F257"/>
  <c r="B257"/>
  <c r="O256"/>
  <c r="J256"/>
  <c r="I256"/>
  <c r="Q256" s="1"/>
  <c r="F256"/>
  <c r="B256"/>
  <c r="O244"/>
  <c r="J244"/>
  <c r="I244"/>
  <c r="Q244" s="1"/>
  <c r="F244"/>
  <c r="B244"/>
  <c r="J243"/>
  <c r="I243"/>
  <c r="F243"/>
  <c r="B243"/>
  <c r="O242"/>
  <c r="J242"/>
  <c r="I242"/>
  <c r="P242" s="1"/>
  <c r="F242"/>
  <c r="B242"/>
  <c r="O217"/>
  <c r="J217"/>
  <c r="I217"/>
  <c r="P217" s="1"/>
  <c r="F217"/>
  <c r="B217"/>
  <c r="O216"/>
  <c r="J216"/>
  <c r="I216"/>
  <c r="P216" s="1"/>
  <c r="F216"/>
  <c r="B216"/>
  <c r="O215"/>
  <c r="J215"/>
  <c r="I215"/>
  <c r="P215" s="1"/>
  <c r="F215"/>
  <c r="B215"/>
  <c r="O214"/>
  <c r="J214"/>
  <c r="I214"/>
  <c r="P214" s="1"/>
  <c r="F214"/>
  <c r="B214"/>
  <c r="O213"/>
  <c r="J213"/>
  <c r="I213"/>
  <c r="P213" s="1"/>
  <c r="F213"/>
  <c r="B213"/>
  <c r="O212"/>
  <c r="J212"/>
  <c r="I212"/>
  <c r="P212" s="1"/>
  <c r="F212"/>
  <c r="B212"/>
  <c r="O211"/>
  <c r="J211"/>
  <c r="I211"/>
  <c r="P211" s="1"/>
  <c r="F211"/>
  <c r="B211"/>
  <c r="O210"/>
  <c r="J210"/>
  <c r="I210"/>
  <c r="P210" s="1"/>
  <c r="F210"/>
  <c r="B210"/>
  <c r="O209"/>
  <c r="J209"/>
  <c r="I209"/>
  <c r="P209" s="1"/>
  <c r="F209"/>
  <c r="B209"/>
  <c r="O208"/>
  <c r="J208"/>
  <c r="I208"/>
  <c r="P208" s="1"/>
  <c r="F208"/>
  <c r="B208"/>
  <c r="O207"/>
  <c r="J207"/>
  <c r="I207"/>
  <c r="P207" s="1"/>
  <c r="F207"/>
  <c r="B207"/>
  <c r="O198"/>
  <c r="J198"/>
  <c r="I198"/>
  <c r="P198" s="1"/>
  <c r="F198"/>
  <c r="B198"/>
  <c r="O197"/>
  <c r="J197"/>
  <c r="I197"/>
  <c r="P197" s="1"/>
  <c r="F197"/>
  <c r="B197"/>
  <c r="J196"/>
  <c r="I196"/>
  <c r="P196" s="1"/>
  <c r="F196"/>
  <c r="B196"/>
  <c r="O195"/>
  <c r="J195"/>
  <c r="I195"/>
  <c r="Q195" s="1"/>
  <c r="F195"/>
  <c r="B195"/>
  <c r="O194"/>
  <c r="J194"/>
  <c r="I194"/>
  <c r="Q194" s="1"/>
  <c r="F194"/>
  <c r="B194"/>
  <c r="O193"/>
  <c r="J193"/>
  <c r="I193"/>
  <c r="Q193" s="1"/>
  <c r="F193"/>
  <c r="B193"/>
  <c r="O192"/>
  <c r="J192"/>
  <c r="I192"/>
  <c r="Q192" s="1"/>
  <c r="F192"/>
  <c r="B192"/>
  <c r="O114"/>
  <c r="J114"/>
  <c r="I114"/>
  <c r="Q114" s="1"/>
  <c r="F114"/>
  <c r="B114"/>
  <c r="O113"/>
  <c r="J113"/>
  <c r="I113"/>
  <c r="Q113" s="1"/>
  <c r="F113"/>
  <c r="B113"/>
  <c r="O112"/>
  <c r="J112"/>
  <c r="I112"/>
  <c r="Q112" s="1"/>
  <c r="F112"/>
  <c r="B112"/>
  <c r="O111"/>
  <c r="J111"/>
  <c r="I111"/>
  <c r="Q111" s="1"/>
  <c r="F111"/>
  <c r="B111"/>
  <c r="O191"/>
  <c r="J191"/>
  <c r="I191"/>
  <c r="Q191" s="1"/>
  <c r="F191"/>
  <c r="B191"/>
  <c r="O190"/>
  <c r="J190"/>
  <c r="I190"/>
  <c r="Q190" s="1"/>
  <c r="F190"/>
  <c r="B190"/>
  <c r="O189"/>
  <c r="J189"/>
  <c r="I189"/>
  <c r="Q189" s="1"/>
  <c r="F189"/>
  <c r="B189"/>
  <c r="O188"/>
  <c r="J188"/>
  <c r="I188"/>
  <c r="Q188" s="1"/>
  <c r="F188"/>
  <c r="B188"/>
  <c r="O187"/>
  <c r="J187"/>
  <c r="I187"/>
  <c r="Q187" s="1"/>
  <c r="F187"/>
  <c r="B187"/>
  <c r="O186"/>
  <c r="J186"/>
  <c r="I186"/>
  <c r="Q186" s="1"/>
  <c r="F186"/>
  <c r="B186"/>
  <c r="O185"/>
  <c r="J185"/>
  <c r="I185"/>
  <c r="Q185" s="1"/>
  <c r="F185"/>
  <c r="B185"/>
  <c r="O184"/>
  <c r="J184"/>
  <c r="I184"/>
  <c r="Q184" s="1"/>
  <c r="G184"/>
  <c r="F184"/>
  <c r="B184"/>
  <c r="O183"/>
  <c r="J183"/>
  <c r="H183"/>
  <c r="I183" s="1"/>
  <c r="P183" s="1"/>
  <c r="F183"/>
  <c r="B183"/>
  <c r="O182"/>
  <c r="J182"/>
  <c r="I182"/>
  <c r="Q182" s="1"/>
  <c r="F182"/>
  <c r="B182"/>
  <c r="O181"/>
  <c r="J181"/>
  <c r="I181"/>
  <c r="Q181" s="1"/>
  <c r="F181"/>
  <c r="B181"/>
  <c r="O180"/>
  <c r="J180"/>
  <c r="I180"/>
  <c r="Q180" s="1"/>
  <c r="F180"/>
  <c r="B180"/>
  <c r="O179"/>
  <c r="J179"/>
  <c r="I179"/>
  <c r="Q179" s="1"/>
  <c r="F179"/>
  <c r="B179"/>
  <c r="O147"/>
  <c r="J147"/>
  <c r="I147"/>
  <c r="Q147" s="1"/>
  <c r="G147"/>
  <c r="F147"/>
  <c r="B147"/>
  <c r="O146"/>
  <c r="J146"/>
  <c r="H146"/>
  <c r="I146" s="1"/>
  <c r="P146" s="1"/>
  <c r="F146"/>
  <c r="B146"/>
  <c r="O145"/>
  <c r="J145"/>
  <c r="I145"/>
  <c r="Q145" s="1"/>
  <c r="F145"/>
  <c r="B145"/>
  <c r="O144"/>
  <c r="J144"/>
  <c r="I144"/>
  <c r="Q144" s="1"/>
  <c r="F144"/>
  <c r="B144"/>
  <c r="O143"/>
  <c r="J143"/>
  <c r="I143"/>
  <c r="Q143" s="1"/>
  <c r="G143"/>
  <c r="F143"/>
  <c r="B143"/>
  <c r="O142"/>
  <c r="J142"/>
  <c r="H142"/>
  <c r="F142"/>
  <c r="B142"/>
  <c r="O141"/>
  <c r="J141"/>
  <c r="I141"/>
  <c r="Q141" s="1"/>
  <c r="F141"/>
  <c r="B141"/>
  <c r="O140"/>
  <c r="J140"/>
  <c r="I140"/>
  <c r="Q140" s="1"/>
  <c r="F140"/>
  <c r="B140"/>
  <c r="O178"/>
  <c r="J178"/>
  <c r="I178"/>
  <c r="Q178" s="1"/>
  <c r="G178"/>
  <c r="F178"/>
  <c r="B178"/>
  <c r="O177"/>
  <c r="J177"/>
  <c r="H177"/>
  <c r="I177" s="1"/>
  <c r="P177" s="1"/>
  <c r="F177"/>
  <c r="B177"/>
  <c r="O176"/>
  <c r="J176"/>
  <c r="I176"/>
  <c r="Q176" s="1"/>
  <c r="F176"/>
  <c r="B176"/>
  <c r="O175"/>
  <c r="J175"/>
  <c r="I175"/>
  <c r="Q175" s="1"/>
  <c r="F175"/>
  <c r="B175"/>
  <c r="O139"/>
  <c r="J139"/>
  <c r="I139"/>
  <c r="Q139" s="1"/>
  <c r="F139"/>
  <c r="B139"/>
  <c r="O138"/>
  <c r="J138"/>
  <c r="I138"/>
  <c r="Q138" s="1"/>
  <c r="F138"/>
  <c r="B138"/>
  <c r="O158"/>
  <c r="J158"/>
  <c r="I158"/>
  <c r="Q158" s="1"/>
  <c r="F158"/>
  <c r="B158"/>
  <c r="O157"/>
  <c r="J157"/>
  <c r="I157"/>
  <c r="Q157" s="1"/>
  <c r="F157"/>
  <c r="B157"/>
  <c r="O174"/>
  <c r="J174"/>
  <c r="I174"/>
  <c r="Q174" s="1"/>
  <c r="F174"/>
  <c r="B174"/>
  <c r="O173"/>
  <c r="J173"/>
  <c r="I173"/>
  <c r="Q173" s="1"/>
  <c r="F173"/>
  <c r="B173"/>
  <c r="O172"/>
  <c r="J172"/>
  <c r="I172"/>
  <c r="Q172" s="1"/>
  <c r="F172"/>
  <c r="B172"/>
  <c r="O171"/>
  <c r="J171"/>
  <c r="I171"/>
  <c r="Q171" s="1"/>
  <c r="F171"/>
  <c r="B171"/>
  <c r="O170"/>
  <c r="J170"/>
  <c r="I170"/>
  <c r="Q170" s="1"/>
  <c r="F170"/>
  <c r="B170"/>
  <c r="O166"/>
  <c r="J166"/>
  <c r="I166"/>
  <c r="Q166" s="1"/>
  <c r="F166"/>
  <c r="B166"/>
  <c r="O165"/>
  <c r="J165"/>
  <c r="I165"/>
  <c r="Q165" s="1"/>
  <c r="F165"/>
  <c r="B165"/>
  <c r="O164"/>
  <c r="J164"/>
  <c r="I164"/>
  <c r="Q164" s="1"/>
  <c r="F164"/>
  <c r="B164"/>
  <c r="O163"/>
  <c r="J163"/>
  <c r="I163"/>
  <c r="Q163" s="1"/>
  <c r="F163"/>
  <c r="B163"/>
  <c r="O162"/>
  <c r="J162"/>
  <c r="I162"/>
  <c r="Q162" s="1"/>
  <c r="F162"/>
  <c r="B162"/>
  <c r="O161"/>
  <c r="J161"/>
  <c r="I161"/>
  <c r="Q161" s="1"/>
  <c r="F161"/>
  <c r="B161"/>
  <c r="O160"/>
  <c r="J160"/>
  <c r="I160"/>
  <c r="Q160" s="1"/>
  <c r="F160"/>
  <c r="B160"/>
  <c r="O159"/>
  <c r="J159"/>
  <c r="I159"/>
  <c r="Q159" s="1"/>
  <c r="F159"/>
  <c r="B159"/>
  <c r="O156"/>
  <c r="J156"/>
  <c r="I156"/>
  <c r="Q156" s="1"/>
  <c r="F156"/>
  <c r="B156"/>
  <c r="O155"/>
  <c r="J155"/>
  <c r="I155"/>
  <c r="Q155" s="1"/>
  <c r="F155"/>
  <c r="B155"/>
  <c r="O154"/>
  <c r="J154"/>
  <c r="I154"/>
  <c r="Q154" s="1"/>
  <c r="F154"/>
  <c r="B154"/>
  <c r="O153"/>
  <c r="J153"/>
  <c r="I153"/>
  <c r="Q153" s="1"/>
  <c r="F153"/>
  <c r="B153"/>
  <c r="O152"/>
  <c r="J152"/>
  <c r="I152"/>
  <c r="Q152" s="1"/>
  <c r="F152"/>
  <c r="B152"/>
  <c r="O151"/>
  <c r="J151"/>
  <c r="I151"/>
  <c r="Q151" s="1"/>
  <c r="F151"/>
  <c r="B151"/>
  <c r="O150"/>
  <c r="J150"/>
  <c r="I150"/>
  <c r="Q150" s="1"/>
  <c r="F150"/>
  <c r="B150"/>
  <c r="O149"/>
  <c r="J149"/>
  <c r="I149"/>
  <c r="Q149" s="1"/>
  <c r="F149"/>
  <c r="B149"/>
  <c r="O148"/>
  <c r="J148"/>
  <c r="I148"/>
  <c r="Q148" s="1"/>
  <c r="F148"/>
  <c r="B148"/>
  <c r="O130"/>
  <c r="J130"/>
  <c r="I130"/>
  <c r="Q130" s="1"/>
  <c r="F130"/>
  <c r="B130"/>
  <c r="O129"/>
  <c r="J129"/>
  <c r="I129"/>
  <c r="Q129" s="1"/>
  <c r="F129"/>
  <c r="B129"/>
  <c r="O110"/>
  <c r="J110"/>
  <c r="I110"/>
  <c r="Q110" s="1"/>
  <c r="F110"/>
  <c r="B110"/>
  <c r="O109"/>
  <c r="J109"/>
  <c r="I109"/>
  <c r="Q109" s="1"/>
  <c r="F109"/>
  <c r="B109"/>
  <c r="O108"/>
  <c r="J108"/>
  <c r="I108"/>
  <c r="Q108" s="1"/>
  <c r="G108"/>
  <c r="F108"/>
  <c r="B108"/>
  <c r="O107"/>
  <c r="J107"/>
  <c r="I107"/>
  <c r="P107" s="1"/>
  <c r="H107"/>
  <c r="K170" i="5" s="1"/>
  <c r="F107" i="33"/>
  <c r="B107"/>
  <c r="O86"/>
  <c r="J86"/>
  <c r="I86"/>
  <c r="Q86" s="1"/>
  <c r="F86"/>
  <c r="B86"/>
  <c r="O85"/>
  <c r="J85"/>
  <c r="I85"/>
  <c r="Q85" s="1"/>
  <c r="F85"/>
  <c r="B85"/>
  <c r="O38"/>
  <c r="J38"/>
  <c r="I38"/>
  <c r="Q38" s="1"/>
  <c r="F38"/>
  <c r="B38"/>
  <c r="O37"/>
  <c r="J37"/>
  <c r="I37"/>
  <c r="Q37" s="1"/>
  <c r="F37"/>
  <c r="B37"/>
  <c r="O63"/>
  <c r="J63"/>
  <c r="I63"/>
  <c r="Q63" s="1"/>
  <c r="F63"/>
  <c r="B63"/>
  <c r="O62"/>
  <c r="J62"/>
  <c r="I62"/>
  <c r="Q62" s="1"/>
  <c r="F62"/>
  <c r="B62"/>
  <c r="O61"/>
  <c r="J61"/>
  <c r="I61"/>
  <c r="Q61" s="1"/>
  <c r="F61"/>
  <c r="B61"/>
  <c r="O19"/>
  <c r="J19"/>
  <c r="I19"/>
  <c r="Q19" s="1"/>
  <c r="F19"/>
  <c r="B19"/>
  <c r="O18"/>
  <c r="J18"/>
  <c r="I18"/>
  <c r="Q18" s="1"/>
  <c r="F18"/>
  <c r="B18"/>
  <c r="O17"/>
  <c r="J17"/>
  <c r="I17"/>
  <c r="Q17" s="1"/>
  <c r="F17"/>
  <c r="B17"/>
  <c r="O16"/>
  <c r="J16"/>
  <c r="I16"/>
  <c r="Q16" s="1"/>
  <c r="F16"/>
  <c r="B16"/>
  <c r="O101"/>
  <c r="J101"/>
  <c r="I101"/>
  <c r="Q101" s="1"/>
  <c r="G101"/>
  <c r="J157" i="5" s="1"/>
  <c r="F101" i="33"/>
  <c r="B101"/>
  <c r="O100"/>
  <c r="J100"/>
  <c r="I100"/>
  <c r="P100" s="1"/>
  <c r="F100"/>
  <c r="B100"/>
  <c r="O99"/>
  <c r="J99"/>
  <c r="I99"/>
  <c r="P99" s="1"/>
  <c r="F99"/>
  <c r="B99"/>
  <c r="O98"/>
  <c r="J98"/>
  <c r="I98"/>
  <c r="P98" s="1"/>
  <c r="G98"/>
  <c r="F98"/>
  <c r="B98"/>
  <c r="O97"/>
  <c r="J97"/>
  <c r="H97"/>
  <c r="E17" i="13" s="1"/>
  <c r="F97" i="33"/>
  <c r="B97"/>
  <c r="O96"/>
  <c r="J96"/>
  <c r="I96"/>
  <c r="P96" s="1"/>
  <c r="G96"/>
  <c r="F96"/>
  <c r="B96"/>
  <c r="O95"/>
  <c r="J95"/>
  <c r="I95"/>
  <c r="Q95" s="1"/>
  <c r="F95"/>
  <c r="B95"/>
  <c r="O94"/>
  <c r="J94"/>
  <c r="I94"/>
  <c r="Q94" s="1"/>
  <c r="F94"/>
  <c r="B94"/>
  <c r="O93"/>
  <c r="J93"/>
  <c r="I93"/>
  <c r="Q93" s="1"/>
  <c r="F93"/>
  <c r="B93"/>
  <c r="O92"/>
  <c r="J92"/>
  <c r="I92"/>
  <c r="Q92" s="1"/>
  <c r="F92"/>
  <c r="B92"/>
  <c r="O15"/>
  <c r="J15"/>
  <c r="I15"/>
  <c r="Q15" s="1"/>
  <c r="F15"/>
  <c r="B15"/>
  <c r="O14"/>
  <c r="J14"/>
  <c r="I14"/>
  <c r="Q14" s="1"/>
  <c r="F14"/>
  <c r="B14"/>
  <c r="O45"/>
  <c r="J45"/>
  <c r="I45"/>
  <c r="Q45" s="1"/>
  <c r="F45"/>
  <c r="B45"/>
  <c r="O44"/>
  <c r="J44"/>
  <c r="I44"/>
  <c r="Q44" s="1"/>
  <c r="F44"/>
  <c r="B44"/>
  <c r="O43"/>
  <c r="J43"/>
  <c r="I43"/>
  <c r="Q43" s="1"/>
  <c r="H43"/>
  <c r="K141" i="5" s="1"/>
  <c r="F43" i="33"/>
  <c r="B43"/>
  <c r="O42"/>
  <c r="J42"/>
  <c r="I42"/>
  <c r="P42" s="1"/>
  <c r="F42"/>
  <c r="B42"/>
  <c r="O41"/>
  <c r="J41"/>
  <c r="I41"/>
  <c r="P41" s="1"/>
  <c r="G41"/>
  <c r="J125" i="5" s="1"/>
  <c r="F41" i="33"/>
  <c r="B41"/>
  <c r="O397"/>
  <c r="J397"/>
  <c r="I397"/>
  <c r="Q397" s="1"/>
  <c r="F397"/>
  <c r="B397"/>
  <c r="O396"/>
  <c r="J396"/>
  <c r="I396"/>
  <c r="Q396" s="1"/>
  <c r="F396"/>
  <c r="B396"/>
  <c r="O395"/>
  <c r="J395"/>
  <c r="I395"/>
  <c r="Q395" s="1"/>
  <c r="F395"/>
  <c r="B395"/>
  <c r="O394"/>
  <c r="J394"/>
  <c r="I394"/>
  <c r="Q394" s="1"/>
  <c r="F394"/>
  <c r="B394"/>
  <c r="O393"/>
  <c r="J393"/>
  <c r="I393"/>
  <c r="Q393" s="1"/>
  <c r="F393"/>
  <c r="B393"/>
  <c r="O84"/>
  <c r="J84"/>
  <c r="I84"/>
  <c r="Q84" s="1"/>
  <c r="F84"/>
  <c r="B84"/>
  <c r="O83"/>
  <c r="J83"/>
  <c r="I83"/>
  <c r="Q83" s="1"/>
  <c r="F83"/>
  <c r="B83"/>
  <c r="O74"/>
  <c r="J74"/>
  <c r="I74"/>
  <c r="Q74" s="1"/>
  <c r="F74"/>
  <c r="B74"/>
  <c r="O73"/>
  <c r="J73"/>
  <c r="I73"/>
  <c r="Q73" s="1"/>
  <c r="F73"/>
  <c r="B73"/>
  <c r="O60"/>
  <c r="J60"/>
  <c r="I60"/>
  <c r="Q60" s="1"/>
  <c r="F60"/>
  <c r="B60"/>
  <c r="O59"/>
  <c r="J59"/>
  <c r="I59"/>
  <c r="Q59" s="1"/>
  <c r="F59"/>
  <c r="B59"/>
  <c r="O72"/>
  <c r="J72"/>
  <c r="I72"/>
  <c r="Q72" s="1"/>
  <c r="F72"/>
  <c r="B72"/>
  <c r="O71"/>
  <c r="J71"/>
  <c r="I71"/>
  <c r="Q71" s="1"/>
  <c r="F71"/>
  <c r="B71"/>
  <c r="O70"/>
  <c r="J70"/>
  <c r="I70"/>
  <c r="Q70" s="1"/>
  <c r="F70"/>
  <c r="B70"/>
  <c r="O69"/>
  <c r="J69"/>
  <c r="I69"/>
  <c r="Q69" s="1"/>
  <c r="F69"/>
  <c r="B69"/>
  <c r="O82"/>
  <c r="J82"/>
  <c r="I82"/>
  <c r="Q82" s="1"/>
  <c r="F82"/>
  <c r="B82"/>
  <c r="O81"/>
  <c r="J81"/>
  <c r="I81"/>
  <c r="Q81" s="1"/>
  <c r="F81"/>
  <c r="B81"/>
  <c r="O80"/>
  <c r="J80"/>
  <c r="I80"/>
  <c r="Q80" s="1"/>
  <c r="F80"/>
  <c r="B80"/>
  <c r="O79"/>
  <c r="J79"/>
  <c r="I79"/>
  <c r="Q79" s="1"/>
  <c r="F79"/>
  <c r="B79"/>
  <c r="O78"/>
  <c r="J78"/>
  <c r="I78"/>
  <c r="Q78" s="1"/>
  <c r="F78"/>
  <c r="B78"/>
  <c r="O77"/>
  <c r="J77"/>
  <c r="I77"/>
  <c r="Q77" s="1"/>
  <c r="F77"/>
  <c r="B77"/>
  <c r="O76"/>
  <c r="J76"/>
  <c r="I76"/>
  <c r="Q76" s="1"/>
  <c r="F76"/>
  <c r="B76"/>
  <c r="O75"/>
  <c r="J75"/>
  <c r="I75"/>
  <c r="Q75" s="1"/>
  <c r="F75"/>
  <c r="B75"/>
  <c r="O58"/>
  <c r="J58"/>
  <c r="I58"/>
  <c r="Q58" s="1"/>
  <c r="F58"/>
  <c r="B58"/>
  <c r="O57"/>
  <c r="J57"/>
  <c r="I57"/>
  <c r="Q57" s="1"/>
  <c r="F57"/>
  <c r="B57"/>
  <c r="O56"/>
  <c r="J56"/>
  <c r="I56"/>
  <c r="Q56" s="1"/>
  <c r="F56"/>
  <c r="B56"/>
  <c r="O55"/>
  <c r="J55"/>
  <c r="I55"/>
  <c r="Q55" s="1"/>
  <c r="F55"/>
  <c r="B55"/>
  <c r="O40"/>
  <c r="J40"/>
  <c r="I40"/>
  <c r="Q40" s="1"/>
  <c r="F40"/>
  <c r="B40"/>
  <c r="O39"/>
  <c r="J39"/>
  <c r="I39"/>
  <c r="Q39" s="1"/>
  <c r="F39"/>
  <c r="B39"/>
  <c r="O31"/>
  <c r="J31"/>
  <c r="I31"/>
  <c r="Q31" s="1"/>
  <c r="G31"/>
  <c r="J169" i="5" s="1"/>
  <c r="F31" i="33"/>
  <c r="B31"/>
  <c r="O30"/>
  <c r="J30"/>
  <c r="I30"/>
  <c r="P30" s="1"/>
  <c r="G30"/>
  <c r="F30"/>
  <c r="B30"/>
  <c r="O29"/>
  <c r="J29"/>
  <c r="I29"/>
  <c r="Q29" s="1"/>
  <c r="F29"/>
  <c r="B29"/>
  <c r="O13"/>
  <c r="J13"/>
  <c r="I13"/>
  <c r="Q13" s="1"/>
  <c r="F13"/>
  <c r="B13"/>
  <c r="O12"/>
  <c r="J12"/>
  <c r="I12"/>
  <c r="Q12" s="1"/>
  <c r="F12"/>
  <c r="B12"/>
  <c r="O54"/>
  <c r="J54"/>
  <c r="I54"/>
  <c r="Q54" s="1"/>
  <c r="G54"/>
  <c r="F54"/>
  <c r="B54"/>
  <c r="O53"/>
  <c r="J53"/>
  <c r="I53"/>
  <c r="P53" s="1"/>
  <c r="F53"/>
  <c r="B53"/>
  <c r="O52"/>
  <c r="J52"/>
  <c r="I52"/>
  <c r="P52" s="1"/>
  <c r="F52"/>
  <c r="B52"/>
  <c r="O36"/>
  <c r="J36"/>
  <c r="I36"/>
  <c r="P36" s="1"/>
  <c r="F36"/>
  <c r="B36"/>
  <c r="O35"/>
  <c r="J35"/>
  <c r="I35"/>
  <c r="P35" s="1"/>
  <c r="F35"/>
  <c r="B35"/>
  <c r="O34"/>
  <c r="J34"/>
  <c r="I34"/>
  <c r="P34" s="1"/>
  <c r="F34"/>
  <c r="B34"/>
  <c r="O33"/>
  <c r="J33"/>
  <c r="I33"/>
  <c r="P33" s="1"/>
  <c r="F33"/>
  <c r="B33"/>
  <c r="O32"/>
  <c r="J32"/>
  <c r="I32"/>
  <c r="P32" s="1"/>
  <c r="F32"/>
  <c r="B32"/>
  <c r="O28"/>
  <c r="J28"/>
  <c r="I28"/>
  <c r="P28" s="1"/>
  <c r="G28"/>
  <c r="J180" i="5" s="1"/>
  <c r="F28" i="33"/>
  <c r="B28"/>
  <c r="O27"/>
  <c r="J27"/>
  <c r="I27"/>
  <c r="Q27" s="1"/>
  <c r="F27"/>
  <c r="B27"/>
  <c r="O26"/>
  <c r="J26"/>
  <c r="I26"/>
  <c r="Q26" s="1"/>
  <c r="F26"/>
  <c r="B26"/>
  <c r="O11"/>
  <c r="J11"/>
  <c r="I11"/>
  <c r="Q11" s="1"/>
  <c r="F11"/>
  <c r="B11"/>
  <c r="O10"/>
  <c r="J10"/>
  <c r="I10"/>
  <c r="Q10" s="1"/>
  <c r="F10"/>
  <c r="B10"/>
  <c r="M1"/>
  <c r="P64" i="15"/>
  <c r="Q64" s="1"/>
  <c r="R63"/>
  <c r="P63"/>
  <c r="O63"/>
  <c r="N63"/>
  <c r="M63"/>
  <c r="L63"/>
  <c r="K63"/>
  <c r="J63"/>
  <c r="I63"/>
  <c r="H63"/>
  <c r="B61"/>
  <c r="B60"/>
  <c r="B59"/>
  <c r="B58"/>
  <c r="B57"/>
  <c r="B56"/>
  <c r="T55"/>
  <c r="S55"/>
  <c r="O55"/>
  <c r="N55"/>
  <c r="B55"/>
  <c r="T54"/>
  <c r="S54"/>
  <c r="O54"/>
  <c r="N54"/>
  <c r="B54"/>
  <c r="T53"/>
  <c r="S53"/>
  <c r="O53"/>
  <c r="N53"/>
  <c r="B53"/>
  <c r="T52"/>
  <c r="S52"/>
  <c r="O52"/>
  <c r="N52"/>
  <c r="B52"/>
  <c r="T51"/>
  <c r="S51"/>
  <c r="O51"/>
  <c r="N51"/>
  <c r="B51"/>
  <c r="T50"/>
  <c r="S50"/>
  <c r="O50"/>
  <c r="N50"/>
  <c r="B50"/>
  <c r="T49"/>
  <c r="S49"/>
  <c r="O49"/>
  <c r="N49"/>
  <c r="B49"/>
  <c r="T48"/>
  <c r="S48"/>
  <c r="O48"/>
  <c r="N48"/>
  <c r="B48"/>
  <c r="T47"/>
  <c r="S47"/>
  <c r="O47"/>
  <c r="N47"/>
  <c r="B47"/>
  <c r="T46"/>
  <c r="S46"/>
  <c r="O46"/>
  <c r="N46"/>
  <c r="B46"/>
  <c r="T45"/>
  <c r="S45"/>
  <c r="O45"/>
  <c r="N45"/>
  <c r="B45"/>
  <c r="T44"/>
  <c r="S44"/>
  <c r="O44"/>
  <c r="N44"/>
  <c r="B44"/>
  <c r="T43"/>
  <c r="S43"/>
  <c r="O43"/>
  <c r="N43"/>
  <c r="B43"/>
  <c r="T42"/>
  <c r="S42"/>
  <c r="O42"/>
  <c r="N42"/>
  <c r="B42"/>
  <c r="T41"/>
  <c r="S41"/>
  <c r="O41"/>
  <c r="N41"/>
  <c r="B41"/>
  <c r="T40"/>
  <c r="S40"/>
  <c r="O40"/>
  <c r="N40"/>
  <c r="B40"/>
  <c r="T39"/>
  <c r="S39"/>
  <c r="O39"/>
  <c r="N39"/>
  <c r="B39"/>
  <c r="T38"/>
  <c r="S38"/>
  <c r="O38"/>
  <c r="N38"/>
  <c r="B38"/>
  <c r="T37"/>
  <c r="S37"/>
  <c r="O37"/>
  <c r="N37"/>
  <c r="B37"/>
  <c r="T36"/>
  <c r="S36"/>
  <c r="O36"/>
  <c r="N36"/>
  <c r="B36"/>
  <c r="T35"/>
  <c r="S35"/>
  <c r="O35"/>
  <c r="N35"/>
  <c r="B35"/>
  <c r="T34"/>
  <c r="S34"/>
  <c r="O34"/>
  <c r="N34"/>
  <c r="B34"/>
  <c r="T33"/>
  <c r="S33"/>
  <c r="O33"/>
  <c r="N33"/>
  <c r="B33"/>
  <c r="T32"/>
  <c r="S32"/>
  <c r="O32"/>
  <c r="N32"/>
  <c r="B32"/>
  <c r="T31"/>
  <c r="S31"/>
  <c r="O31"/>
  <c r="N31"/>
  <c r="B31"/>
  <c r="T30"/>
  <c r="S30"/>
  <c r="O30"/>
  <c r="N30"/>
  <c r="B30"/>
  <c r="T29"/>
  <c r="S29"/>
  <c r="O29"/>
  <c r="N29"/>
  <c r="B29"/>
  <c r="T28"/>
  <c r="S28"/>
  <c r="O28"/>
  <c r="N28"/>
  <c r="B28"/>
  <c r="T27"/>
  <c r="S27"/>
  <c r="O27"/>
  <c r="N27"/>
  <c r="B27"/>
  <c r="T26"/>
  <c r="S26"/>
  <c r="O26"/>
  <c r="N26"/>
  <c r="B26"/>
  <c r="T25"/>
  <c r="S25"/>
  <c r="O25"/>
  <c r="N25"/>
  <c r="B25"/>
  <c r="T24"/>
  <c r="S24"/>
  <c r="O24"/>
  <c r="N24"/>
  <c r="B24"/>
  <c r="T23"/>
  <c r="S23"/>
  <c r="O23"/>
  <c r="N23"/>
  <c r="B23"/>
  <c r="T22"/>
  <c r="S22"/>
  <c r="O22"/>
  <c r="N22"/>
  <c r="B22"/>
  <c r="T21"/>
  <c r="S21"/>
  <c r="O21"/>
  <c r="N21"/>
  <c r="B21"/>
  <c r="T20"/>
  <c r="S20"/>
  <c r="O20"/>
  <c r="N20"/>
  <c r="B20"/>
  <c r="T19"/>
  <c r="S19"/>
  <c r="O19"/>
  <c r="N19"/>
  <c r="B19"/>
  <c r="T18"/>
  <c r="S18"/>
  <c r="O18"/>
  <c r="N18"/>
  <c r="B18"/>
  <c r="T17"/>
  <c r="S17"/>
  <c r="O17"/>
  <c r="N17"/>
  <c r="B17"/>
  <c r="Q16"/>
  <c r="S16" s="1"/>
  <c r="T16" s="1"/>
  <c r="O16"/>
  <c r="N16"/>
  <c r="B16"/>
  <c r="Q15"/>
  <c r="S15" s="1"/>
  <c r="T15" s="1"/>
  <c r="O15"/>
  <c r="N15"/>
  <c r="B15"/>
  <c r="S14"/>
  <c r="T14" s="1"/>
  <c r="Q14"/>
  <c r="B14"/>
  <c r="S13"/>
  <c r="T13" s="1"/>
  <c r="Q13"/>
  <c r="O13"/>
  <c r="N13"/>
  <c r="B13"/>
  <c r="S12"/>
  <c r="T12" s="1"/>
  <c r="Q12"/>
  <c r="O12"/>
  <c r="N12"/>
  <c r="B12"/>
  <c r="S11"/>
  <c r="T11" s="1"/>
  <c r="Q11"/>
  <c r="O11"/>
  <c r="N11"/>
  <c r="B11"/>
  <c r="S10"/>
  <c r="T10" s="1"/>
  <c r="Q10"/>
  <c r="O10"/>
  <c r="N10"/>
  <c r="B10"/>
  <c r="S9"/>
  <c r="T9" s="1"/>
  <c r="Q9"/>
  <c r="O9"/>
  <c r="N9"/>
  <c r="B9"/>
  <c r="T8"/>
  <c r="S8"/>
  <c r="O8"/>
  <c r="N8"/>
  <c r="B8"/>
  <c r="V7"/>
  <c r="U7"/>
  <c r="Q7"/>
  <c r="Q63" s="1"/>
  <c r="O7"/>
  <c r="N7"/>
  <c r="B4"/>
  <c r="D116" i="37"/>
  <c r="F116" s="1"/>
  <c r="B116"/>
  <c r="D115"/>
  <c r="F115" s="1"/>
  <c r="B115"/>
  <c r="D114"/>
  <c r="F114" s="1"/>
  <c r="D113"/>
  <c r="F113" s="1"/>
  <c r="F112"/>
  <c r="B111"/>
  <c r="B110"/>
  <c r="B109"/>
  <c r="B102"/>
  <c r="B101"/>
  <c r="G100"/>
  <c r="F100"/>
  <c r="F99"/>
  <c r="B99"/>
  <c r="B100" s="1"/>
  <c r="F98"/>
  <c r="F97"/>
  <c r="B97"/>
  <c r="B96"/>
  <c r="B95"/>
  <c r="G84"/>
  <c r="O83"/>
  <c r="L83"/>
  <c r="K83"/>
  <c r="J83"/>
  <c r="G83"/>
  <c r="D83"/>
  <c r="C83"/>
  <c r="A83"/>
  <c r="O82"/>
  <c r="N82"/>
  <c r="M82"/>
  <c r="L82"/>
  <c r="K82"/>
  <c r="G82"/>
  <c r="D82"/>
  <c r="C82"/>
  <c r="A82"/>
  <c r="O81"/>
  <c r="N81"/>
  <c r="M81"/>
  <c r="L81"/>
  <c r="K81"/>
  <c r="G81"/>
  <c r="D81"/>
  <c r="C81"/>
  <c r="A81"/>
  <c r="O80"/>
  <c r="N80"/>
  <c r="M80"/>
  <c r="L80"/>
  <c r="K80"/>
  <c r="G80"/>
  <c r="D80"/>
  <c r="C80"/>
  <c r="A80"/>
  <c r="O79"/>
  <c r="N79"/>
  <c r="M79"/>
  <c r="L79"/>
  <c r="K79"/>
  <c r="G79"/>
  <c r="D79"/>
  <c r="C79"/>
  <c r="A79"/>
  <c r="O78"/>
  <c r="N78"/>
  <c r="M78"/>
  <c r="L78"/>
  <c r="K78"/>
  <c r="G78"/>
  <c r="D78"/>
  <c r="C78"/>
  <c r="A78"/>
  <c r="O77"/>
  <c r="N77"/>
  <c r="M77"/>
  <c r="L77"/>
  <c r="K77"/>
  <c r="G77"/>
  <c r="D77"/>
  <c r="C77"/>
  <c r="A77"/>
  <c r="O76"/>
  <c r="N76"/>
  <c r="M76"/>
  <c r="L76"/>
  <c r="K76"/>
  <c r="G76"/>
  <c r="D76"/>
  <c r="C76"/>
  <c r="A76"/>
  <c r="O75"/>
  <c r="N75"/>
  <c r="M75"/>
  <c r="L75"/>
  <c r="K75"/>
  <c r="G75"/>
  <c r="D75"/>
  <c r="C75"/>
  <c r="A75"/>
  <c r="O73"/>
  <c r="M73"/>
  <c r="P73" s="1"/>
  <c r="A73"/>
  <c r="G66"/>
  <c r="O65"/>
  <c r="L65"/>
  <c r="K65"/>
  <c r="J65"/>
  <c r="G65"/>
  <c r="D65"/>
  <c r="C65"/>
  <c r="A65"/>
  <c r="O64"/>
  <c r="K64"/>
  <c r="J64"/>
  <c r="G64"/>
  <c r="D64"/>
  <c r="C64"/>
  <c r="A64"/>
  <c r="O63"/>
  <c r="N63"/>
  <c r="M63"/>
  <c r="L63"/>
  <c r="K63"/>
  <c r="G63"/>
  <c r="D63"/>
  <c r="C63"/>
  <c r="A63"/>
  <c r="O62"/>
  <c r="N62"/>
  <c r="M62"/>
  <c r="L62"/>
  <c r="K62"/>
  <c r="G62"/>
  <c r="D62"/>
  <c r="C62"/>
  <c r="A62"/>
  <c r="O61"/>
  <c r="N61"/>
  <c r="M61"/>
  <c r="L61"/>
  <c r="K61"/>
  <c r="G61"/>
  <c r="D61"/>
  <c r="C61"/>
  <c r="A61"/>
  <c r="O60"/>
  <c r="N60"/>
  <c r="M60"/>
  <c r="L60"/>
  <c r="K60"/>
  <c r="G60"/>
  <c r="D60"/>
  <c r="C60"/>
  <c r="A60"/>
  <c r="O59"/>
  <c r="N59"/>
  <c r="M59"/>
  <c r="M55" s="1"/>
  <c r="L59"/>
  <c r="K59"/>
  <c r="G59"/>
  <c r="D59"/>
  <c r="C59"/>
  <c r="A59"/>
  <c r="O58"/>
  <c r="N58"/>
  <c r="M58"/>
  <c r="L58"/>
  <c r="K58"/>
  <c r="G58"/>
  <c r="D58"/>
  <c r="C58"/>
  <c r="A58"/>
  <c r="O57"/>
  <c r="N57"/>
  <c r="M57"/>
  <c r="L57"/>
  <c r="K57"/>
  <c r="G57"/>
  <c r="D57"/>
  <c r="C57"/>
  <c r="A57"/>
  <c r="O55"/>
  <c r="A55"/>
  <c r="H48"/>
  <c r="N44"/>
  <c r="O44" s="1"/>
  <c r="L44"/>
  <c r="K44"/>
  <c r="D44"/>
  <c r="E44" s="1"/>
  <c r="G44" s="1"/>
  <c r="C44"/>
  <c r="A44"/>
  <c r="O43"/>
  <c r="E43" s="1"/>
  <c r="G43" s="1"/>
  <c r="N43"/>
  <c r="M43"/>
  <c r="L43"/>
  <c r="K43"/>
  <c r="D43"/>
  <c r="C43"/>
  <c r="A43"/>
  <c r="N42"/>
  <c r="O42" s="1"/>
  <c r="E42" s="1"/>
  <c r="G42" s="1"/>
  <c r="L42"/>
  <c r="K42"/>
  <c r="D42"/>
  <c r="C42"/>
  <c r="A42"/>
  <c r="O41"/>
  <c r="E41" s="1"/>
  <c r="G41" s="1"/>
  <c r="N41"/>
  <c r="M41"/>
  <c r="L41"/>
  <c r="K41"/>
  <c r="D41"/>
  <c r="C41"/>
  <c r="A41"/>
  <c r="N40"/>
  <c r="O40" s="1"/>
  <c r="E40" s="1"/>
  <c r="G40" s="1"/>
  <c r="L40"/>
  <c r="K40"/>
  <c r="D40"/>
  <c r="C40"/>
  <c r="A40"/>
  <c r="O39"/>
  <c r="E39" s="1"/>
  <c r="G39" s="1"/>
  <c r="N39"/>
  <c r="M39"/>
  <c r="L39"/>
  <c r="K39"/>
  <c r="D39"/>
  <c r="C39"/>
  <c r="A39"/>
  <c r="N38"/>
  <c r="O38" s="1"/>
  <c r="E38" s="1"/>
  <c r="G38" s="1"/>
  <c r="L38"/>
  <c r="K38"/>
  <c r="D38"/>
  <c r="C38"/>
  <c r="A38"/>
  <c r="O37"/>
  <c r="N37"/>
  <c r="M37"/>
  <c r="L37"/>
  <c r="K37"/>
  <c r="G37"/>
  <c r="E37"/>
  <c r="D37"/>
  <c r="C37"/>
  <c r="A37"/>
  <c r="O36"/>
  <c r="N36"/>
  <c r="M36"/>
  <c r="L36"/>
  <c r="K36"/>
  <c r="G36"/>
  <c r="E36"/>
  <c r="D36"/>
  <c r="C36"/>
  <c r="A36"/>
  <c r="O34"/>
  <c r="A34"/>
  <c r="X33"/>
  <c r="X32"/>
  <c r="X31"/>
  <c r="X30"/>
  <c r="K30"/>
  <c r="G30"/>
  <c r="D30"/>
  <c r="C30"/>
  <c r="A30"/>
  <c r="X29"/>
  <c r="K29"/>
  <c r="G29"/>
  <c r="D29"/>
  <c r="C29"/>
  <c r="A29"/>
  <c r="X28"/>
  <c r="W28"/>
  <c r="K28"/>
  <c r="G28"/>
  <c r="D28"/>
  <c r="C28"/>
  <c r="A28"/>
  <c r="X27"/>
  <c r="R27"/>
  <c r="K27"/>
  <c r="G27"/>
  <c r="D27"/>
  <c r="C27"/>
  <c r="A27"/>
  <c r="X26"/>
  <c r="R26"/>
  <c r="K26"/>
  <c r="G26"/>
  <c r="D26"/>
  <c r="C26"/>
  <c r="A26"/>
  <c r="X25"/>
  <c r="R25"/>
  <c r="K25"/>
  <c r="G25"/>
  <c r="D25"/>
  <c r="C25"/>
  <c r="A25"/>
  <c r="X24"/>
  <c r="R24"/>
  <c r="K24"/>
  <c r="G24"/>
  <c r="D24"/>
  <c r="C24"/>
  <c r="A24"/>
  <c r="X23"/>
  <c r="R23"/>
  <c r="Q23"/>
  <c r="P23"/>
  <c r="O23"/>
  <c r="M23"/>
  <c r="L23"/>
  <c r="K23"/>
  <c r="J23"/>
  <c r="I23"/>
  <c r="G23"/>
  <c r="D23"/>
  <c r="C23"/>
  <c r="A23"/>
  <c r="O17"/>
  <c r="L17"/>
  <c r="K17"/>
  <c r="G17"/>
  <c r="D17"/>
  <c r="C17"/>
  <c r="A17"/>
  <c r="O16"/>
  <c r="L16"/>
  <c r="K16"/>
  <c r="G16"/>
  <c r="D16"/>
  <c r="C16"/>
  <c r="A16"/>
  <c r="O15"/>
  <c r="N15"/>
  <c r="M15"/>
  <c r="L15"/>
  <c r="K15"/>
  <c r="G15"/>
  <c r="D15"/>
  <c r="C15"/>
  <c r="A15"/>
  <c r="O14"/>
  <c r="N14"/>
  <c r="M14"/>
  <c r="L14"/>
  <c r="K14"/>
  <c r="G14"/>
  <c r="D14"/>
  <c r="C14"/>
  <c r="A14"/>
  <c r="O13"/>
  <c r="N13"/>
  <c r="M13"/>
  <c r="L13"/>
  <c r="K13"/>
  <c r="G13"/>
  <c r="D13"/>
  <c r="C13"/>
  <c r="A13"/>
  <c r="O12"/>
  <c r="N12"/>
  <c r="M12"/>
  <c r="L12"/>
  <c r="K12"/>
  <c r="G12"/>
  <c r="D12"/>
  <c r="C12"/>
  <c r="A12"/>
  <c r="O11"/>
  <c r="N11"/>
  <c r="M11"/>
  <c r="L11"/>
  <c r="K11"/>
  <c r="G11"/>
  <c r="D11"/>
  <c r="C11"/>
  <c r="A11"/>
  <c r="O10"/>
  <c r="N10"/>
  <c r="M10"/>
  <c r="L10"/>
  <c r="K10"/>
  <c r="G10"/>
  <c r="D10"/>
  <c r="C10"/>
  <c r="A10"/>
  <c r="O9"/>
  <c r="N9"/>
  <c r="M9"/>
  <c r="L9"/>
  <c r="K9"/>
  <c r="G9"/>
  <c r="D9"/>
  <c r="C9"/>
  <c r="A9"/>
  <c r="R8"/>
  <c r="O8"/>
  <c r="N8"/>
  <c r="M8"/>
  <c r="L8"/>
  <c r="K8"/>
  <c r="G8"/>
  <c r="D8"/>
  <c r="C8"/>
  <c r="A8"/>
  <c r="R7"/>
  <c r="O7"/>
  <c r="N7"/>
  <c r="M7"/>
  <c r="L7"/>
  <c r="K7"/>
  <c r="G7"/>
  <c r="D7"/>
  <c r="C7"/>
  <c r="A7"/>
  <c r="R6"/>
  <c r="O6"/>
  <c r="N6"/>
  <c r="M6"/>
  <c r="L6"/>
  <c r="K6"/>
  <c r="G6"/>
  <c r="D6"/>
  <c r="C6"/>
  <c r="A6"/>
  <c r="M4"/>
  <c r="P4" s="1"/>
  <c r="A4"/>
  <c r="B3305" i="21"/>
  <c r="B3304"/>
  <c r="B3303"/>
  <c r="B3302"/>
  <c r="B3301"/>
  <c r="B3300"/>
  <c r="B3299"/>
  <c r="B3298"/>
  <c r="B3297"/>
  <c r="B3296"/>
  <c r="B3295"/>
  <c r="B3294"/>
  <c r="B3293"/>
  <c r="B3292"/>
  <c r="B3291"/>
  <c r="B3290"/>
  <c r="B3289"/>
  <c r="B3288"/>
  <c r="B3287"/>
  <c r="B3286"/>
  <c r="B3285"/>
  <c r="B3284"/>
  <c r="B3283"/>
  <c r="B3282"/>
  <c r="B3281"/>
  <c r="B3280"/>
  <c r="B3279"/>
  <c r="B3278"/>
  <c r="B3277"/>
  <c r="B3276"/>
  <c r="B3275"/>
  <c r="B3274"/>
  <c r="B3273"/>
  <c r="B3272"/>
  <c r="B3271"/>
  <c r="B3270"/>
  <c r="B3269"/>
  <c r="B3268"/>
  <c r="B3267"/>
  <c r="B3266"/>
  <c r="B3265"/>
  <c r="B3264"/>
  <c r="B3263"/>
  <c r="B3262"/>
  <c r="B3261"/>
  <c r="B3260"/>
  <c r="B3259"/>
  <c r="B3258"/>
  <c r="B3257"/>
  <c r="B3256"/>
  <c r="B3255"/>
  <c r="B3254"/>
  <c r="B3253"/>
  <c r="B3252"/>
  <c r="B3251"/>
  <c r="B3250"/>
  <c r="B3249"/>
  <c r="B3248"/>
  <c r="B3247"/>
  <c r="B3246"/>
  <c r="B3245"/>
  <c r="B3244"/>
  <c r="B3243"/>
  <c r="B3242"/>
  <c r="B3241"/>
  <c r="B3240"/>
  <c r="B3239"/>
  <c r="B3238"/>
  <c r="B3237"/>
  <c r="B3236"/>
  <c r="B3235"/>
  <c r="B3234"/>
  <c r="B3233"/>
  <c r="B3232"/>
  <c r="B3231"/>
  <c r="B3230"/>
  <c r="B3229"/>
  <c r="B3228"/>
  <c r="B3227"/>
  <c r="B3226"/>
  <c r="B3225"/>
  <c r="B3224"/>
  <c r="B3223"/>
  <c r="B3222"/>
  <c r="B3221"/>
  <c r="B3220"/>
  <c r="B3219"/>
  <c r="B3218"/>
  <c r="B3217"/>
  <c r="B3216"/>
  <c r="B3215"/>
  <c r="B3214"/>
  <c r="B3213"/>
  <c r="B3212"/>
  <c r="B3211"/>
  <c r="B3210"/>
  <c r="B3209"/>
  <c r="B3208"/>
  <c r="B3207"/>
  <c r="B3206"/>
  <c r="B3205"/>
  <c r="B3204"/>
  <c r="B3203"/>
  <c r="B3202"/>
  <c r="B3201"/>
  <c r="B3200"/>
  <c r="B3199"/>
  <c r="B3198"/>
  <c r="B3197"/>
  <c r="B3196"/>
  <c r="B3195"/>
  <c r="B3194"/>
  <c r="B3193"/>
  <c r="B3192"/>
  <c r="B3191"/>
  <c r="B3190"/>
  <c r="B3189"/>
  <c r="B3188"/>
  <c r="B3187"/>
  <c r="B3186"/>
  <c r="B3185"/>
  <c r="B3184"/>
  <c r="B3183"/>
  <c r="B3182"/>
  <c r="B3181"/>
  <c r="B3180"/>
  <c r="B3179"/>
  <c r="B3178"/>
  <c r="B3177"/>
  <c r="B3176"/>
  <c r="B3175"/>
  <c r="B3174"/>
  <c r="B3173"/>
  <c r="B3172"/>
  <c r="B3171"/>
  <c r="B3170"/>
  <c r="B3169"/>
  <c r="B3168"/>
  <c r="B3167"/>
  <c r="B3166"/>
  <c r="B3165"/>
  <c r="B3164"/>
  <c r="B3163"/>
  <c r="B3162"/>
  <c r="B3161"/>
  <c r="B3160"/>
  <c r="B3159"/>
  <c r="B3158"/>
  <c r="B3157"/>
  <c r="B3156"/>
  <c r="B3155"/>
  <c r="B3154"/>
  <c r="B3153"/>
  <c r="B3152"/>
  <c r="B3151"/>
  <c r="B3150"/>
  <c r="B3149"/>
  <c r="B3148"/>
  <c r="B3147"/>
  <c r="B3146"/>
  <c r="B3145"/>
  <c r="B3144"/>
  <c r="B3143"/>
  <c r="B3142"/>
  <c r="B3141"/>
  <c r="B3140"/>
  <c r="B3139"/>
  <c r="B3138"/>
  <c r="B3137"/>
  <c r="B3136"/>
  <c r="B3135"/>
  <c r="B3134"/>
  <c r="B3133"/>
  <c r="B3132"/>
  <c r="B3131"/>
  <c r="B3130"/>
  <c r="B3129"/>
  <c r="B3128"/>
  <c r="B3127"/>
  <c r="B3126"/>
  <c r="B3125"/>
  <c r="B3124"/>
  <c r="B3123"/>
  <c r="B3122"/>
  <c r="B3121"/>
  <c r="B3120"/>
  <c r="B3119"/>
  <c r="B3118"/>
  <c r="B3117"/>
  <c r="B3116"/>
  <c r="B3115"/>
  <c r="B3114"/>
  <c r="B3113"/>
  <c r="B3112"/>
  <c r="B3111"/>
  <c r="B3110"/>
  <c r="B3109"/>
  <c r="B3108"/>
  <c r="B3107"/>
  <c r="B3106"/>
  <c r="B3105"/>
  <c r="B3104"/>
  <c r="B3103"/>
  <c r="B3102"/>
  <c r="B3101"/>
  <c r="B3100"/>
  <c r="B3099"/>
  <c r="B3098"/>
  <c r="B3097"/>
  <c r="B3096"/>
  <c r="B3095"/>
  <c r="B3094"/>
  <c r="B3093"/>
  <c r="B3092"/>
  <c r="B3091"/>
  <c r="B3090"/>
  <c r="B3089"/>
  <c r="B3088"/>
  <c r="B3087"/>
  <c r="B3086"/>
  <c r="B3085"/>
  <c r="B3084"/>
  <c r="B3083"/>
  <c r="B3082"/>
  <c r="B3081"/>
  <c r="B3080"/>
  <c r="B3079"/>
  <c r="B3078"/>
  <c r="B3077"/>
  <c r="B3076"/>
  <c r="B3075"/>
  <c r="B3074"/>
  <c r="B3073"/>
  <c r="B3072"/>
  <c r="B3071"/>
  <c r="B3070"/>
  <c r="B3069"/>
  <c r="B3068"/>
  <c r="B3067"/>
  <c r="B3066"/>
  <c r="B3065"/>
  <c r="B3064"/>
  <c r="B3063"/>
  <c r="B3062"/>
  <c r="B3061"/>
  <c r="B3060"/>
  <c r="B3059"/>
  <c r="B3058"/>
  <c r="B3057"/>
  <c r="B3056"/>
  <c r="B3055"/>
  <c r="B3054"/>
  <c r="B3053"/>
  <c r="B3052"/>
  <c r="B3051"/>
  <c r="B3050"/>
  <c r="B3049"/>
  <c r="B3048"/>
  <c r="B3047"/>
  <c r="B3046"/>
  <c r="B3045"/>
  <c r="B3044"/>
  <c r="B3043"/>
  <c r="B3042"/>
  <c r="B3041"/>
  <c r="B3040"/>
  <c r="B3039"/>
  <c r="B3038"/>
  <c r="B3037"/>
  <c r="B3036"/>
  <c r="B3035"/>
  <c r="B3034"/>
  <c r="B3033"/>
  <c r="B3032"/>
  <c r="B3031"/>
  <c r="B3030"/>
  <c r="B3029"/>
  <c r="B3028"/>
  <c r="B3027"/>
  <c r="B3026"/>
  <c r="B3025"/>
  <c r="B3024"/>
  <c r="B3023"/>
  <c r="B3022"/>
  <c r="B3021"/>
  <c r="B3020"/>
  <c r="B3019"/>
  <c r="B3018"/>
  <c r="B3017"/>
  <c r="B3016"/>
  <c r="B3015"/>
  <c r="B3014"/>
  <c r="B3013"/>
  <c r="B3012"/>
  <c r="B3011"/>
  <c r="B3010"/>
  <c r="B3009"/>
  <c r="B3008"/>
  <c r="B3007"/>
  <c r="B3006"/>
  <c r="B3005"/>
  <c r="B3004"/>
  <c r="B3003"/>
  <c r="B3002"/>
  <c r="B3001"/>
  <c r="B3000"/>
  <c r="B2999"/>
  <c r="B2998"/>
  <c r="B2997"/>
  <c r="B2996"/>
  <c r="B2995"/>
  <c r="B2994"/>
  <c r="B2993"/>
  <c r="B2992"/>
  <c r="B2991"/>
  <c r="B2990"/>
  <c r="B2989"/>
  <c r="B2988"/>
  <c r="B2987"/>
  <c r="B2986"/>
  <c r="B2985"/>
  <c r="B2984"/>
  <c r="B2983"/>
  <c r="B2982"/>
  <c r="B2981"/>
  <c r="B2980"/>
  <c r="B2979"/>
  <c r="B2978"/>
  <c r="B2977"/>
  <c r="B2976"/>
  <c r="B2975"/>
  <c r="B2974"/>
  <c r="B2973"/>
  <c r="B2972"/>
  <c r="B2971"/>
  <c r="B2970"/>
  <c r="B2969"/>
  <c r="B2968"/>
  <c r="B2967"/>
  <c r="B2966"/>
  <c r="B2965"/>
  <c r="B2964"/>
  <c r="B2963"/>
  <c r="B2962"/>
  <c r="B2961"/>
  <c r="B2960"/>
  <c r="B2959"/>
  <c r="B2958"/>
  <c r="B2957"/>
  <c r="B2956"/>
  <c r="B2955"/>
  <c r="B2954"/>
  <c r="B2953"/>
  <c r="B2952"/>
  <c r="B2951"/>
  <c r="B2950"/>
  <c r="B2949"/>
  <c r="B2948"/>
  <c r="B2947"/>
  <c r="B2946"/>
  <c r="B2945"/>
  <c r="B2944"/>
  <c r="B2943"/>
  <c r="B2942"/>
  <c r="B2941"/>
  <c r="B2940"/>
  <c r="B2939"/>
  <c r="B2938"/>
  <c r="B2937"/>
  <c r="B2936"/>
  <c r="B2935"/>
  <c r="B2934"/>
  <c r="B2933"/>
  <c r="B2932"/>
  <c r="B2931"/>
  <c r="B2930"/>
  <c r="B2929"/>
  <c r="B2928"/>
  <c r="B2927"/>
  <c r="B2926"/>
  <c r="B2925"/>
  <c r="B2924"/>
  <c r="B2923"/>
  <c r="B2922"/>
  <c r="B2921"/>
  <c r="B2920"/>
  <c r="B2919"/>
  <c r="B2918"/>
  <c r="B2917"/>
  <c r="B2916"/>
  <c r="B2915"/>
  <c r="B2914"/>
  <c r="B2913"/>
  <c r="B2912"/>
  <c r="B2911"/>
  <c r="B2910"/>
  <c r="B2909"/>
  <c r="B2908"/>
  <c r="B2907"/>
  <c r="B2906"/>
  <c r="B2905"/>
  <c r="B2904"/>
  <c r="B2903"/>
  <c r="B2902"/>
  <c r="B2901"/>
  <c r="B2900"/>
  <c r="B2899"/>
  <c r="B2898"/>
  <c r="B2897"/>
  <c r="B2896"/>
  <c r="B2895"/>
  <c r="B2894"/>
  <c r="B2893"/>
  <c r="B2892"/>
  <c r="B2891"/>
  <c r="B2890"/>
  <c r="B2889"/>
  <c r="B2888"/>
  <c r="B2887"/>
  <c r="B2886"/>
  <c r="B2885"/>
  <c r="B2884"/>
  <c r="B2883"/>
  <c r="B2882"/>
  <c r="B2881"/>
  <c r="B2880"/>
  <c r="B2879"/>
  <c r="B2878"/>
  <c r="B2877"/>
  <c r="B2876"/>
  <c r="B2875"/>
  <c r="B2874"/>
  <c r="B2873"/>
  <c r="B2872"/>
  <c r="B2871"/>
  <c r="B2870"/>
  <c r="B2869"/>
  <c r="B2868"/>
  <c r="B2867"/>
  <c r="B2866"/>
  <c r="B2865"/>
  <c r="B2864"/>
  <c r="B2863"/>
  <c r="B2862"/>
  <c r="B2861"/>
  <c r="B2860"/>
  <c r="B2859"/>
  <c r="B2858"/>
  <c r="B2857"/>
  <c r="B2856"/>
  <c r="B2855"/>
  <c r="B2854"/>
  <c r="B2853"/>
  <c r="B2852"/>
  <c r="B2851"/>
  <c r="B2850"/>
  <c r="B2849"/>
  <c r="B2848"/>
  <c r="B2847"/>
  <c r="B2846"/>
  <c r="B2845"/>
  <c r="B2844"/>
  <c r="B2843"/>
  <c r="B2842"/>
  <c r="B2841"/>
  <c r="B2840"/>
  <c r="B2839"/>
  <c r="B2838"/>
  <c r="B2837"/>
  <c r="B2836"/>
  <c r="B2835"/>
  <c r="B2834"/>
  <c r="B2833"/>
  <c r="B2832"/>
  <c r="B2831"/>
  <c r="B2830"/>
  <c r="B2829"/>
  <c r="B2828"/>
  <c r="B2827"/>
  <c r="B2826"/>
  <c r="B2825"/>
  <c r="B2824"/>
  <c r="B2823"/>
  <c r="B2822"/>
  <c r="B2821"/>
  <c r="B2820"/>
  <c r="B2819"/>
  <c r="B2818"/>
  <c r="B2817"/>
  <c r="B2816"/>
  <c r="B2815"/>
  <c r="B2814"/>
  <c r="B2813"/>
  <c r="B2812"/>
  <c r="B2811"/>
  <c r="B2810"/>
  <c r="B2809"/>
  <c r="B2808"/>
  <c r="B2807"/>
  <c r="B2806"/>
  <c r="B2805"/>
  <c r="B2804"/>
  <c r="B2803"/>
  <c r="B2802"/>
  <c r="B2801"/>
  <c r="B2800"/>
  <c r="B2799"/>
  <c r="B2798"/>
  <c r="B2797"/>
  <c r="B2796"/>
  <c r="B2795"/>
  <c r="B2794"/>
  <c r="B2793"/>
  <c r="B2792"/>
  <c r="B2791"/>
  <c r="B2790"/>
  <c r="B2789"/>
  <c r="B2788"/>
  <c r="B2787"/>
  <c r="B2786"/>
  <c r="B2785"/>
  <c r="B2784"/>
  <c r="B2783"/>
  <c r="B2782"/>
  <c r="B2781"/>
  <c r="B2780"/>
  <c r="B2779"/>
  <c r="B2778"/>
  <c r="B2777"/>
  <c r="B2776"/>
  <c r="B2775"/>
  <c r="B2774"/>
  <c r="B2773"/>
  <c r="B2772"/>
  <c r="B2771"/>
  <c r="B2770"/>
  <c r="B2769"/>
  <c r="B2768"/>
  <c r="B2767"/>
  <c r="B2766"/>
  <c r="B2765"/>
  <c r="B2764"/>
  <c r="B2763"/>
  <c r="B2762"/>
  <c r="B2761"/>
  <c r="B2760"/>
  <c r="B2759"/>
  <c r="B2758"/>
  <c r="B2757"/>
  <c r="B2756"/>
  <c r="B2755"/>
  <c r="B2754"/>
  <c r="B2753"/>
  <c r="B2752"/>
  <c r="B2751"/>
  <c r="B2750"/>
  <c r="B2749"/>
  <c r="B2748"/>
  <c r="B2747"/>
  <c r="B2746"/>
  <c r="B2745"/>
  <c r="B2744"/>
  <c r="B2743"/>
  <c r="B2742"/>
  <c r="B2741"/>
  <c r="B2740"/>
  <c r="B2739"/>
  <c r="B2738"/>
  <c r="B2737"/>
  <c r="B2736"/>
  <c r="B2735"/>
  <c r="B2734"/>
  <c r="B2733"/>
  <c r="B2732"/>
  <c r="B2731"/>
  <c r="B2730"/>
  <c r="B2729"/>
  <c r="B2728"/>
  <c r="B2727"/>
  <c r="B2726"/>
  <c r="B2725"/>
  <c r="B2724"/>
  <c r="B2723"/>
  <c r="B2722"/>
  <c r="B2721"/>
  <c r="B2720"/>
  <c r="B2719"/>
  <c r="B2718"/>
  <c r="B2717"/>
  <c r="B2716"/>
  <c r="B2715"/>
  <c r="B2714"/>
  <c r="B2713"/>
  <c r="B2712"/>
  <c r="B2711"/>
  <c r="B2710"/>
  <c r="B2709"/>
  <c r="B2708"/>
  <c r="B2707"/>
  <c r="B2706"/>
  <c r="B2705"/>
  <c r="B2704"/>
  <c r="B2703"/>
  <c r="B2702"/>
  <c r="B2701"/>
  <c r="B2700"/>
  <c r="B2699"/>
  <c r="B2698"/>
  <c r="B2697"/>
  <c r="B2696"/>
  <c r="B2695"/>
  <c r="B2694"/>
  <c r="B2693"/>
  <c r="B2692"/>
  <c r="B2691"/>
  <c r="B2690"/>
  <c r="B2689"/>
  <c r="B2688"/>
  <c r="B2687"/>
  <c r="B2686"/>
  <c r="B2685"/>
  <c r="B2684"/>
  <c r="B2683"/>
  <c r="B2682"/>
  <c r="B2681"/>
  <c r="B2680"/>
  <c r="B2679"/>
  <c r="B2678"/>
  <c r="B2677"/>
  <c r="B2676"/>
  <c r="B2675"/>
  <c r="B2674"/>
  <c r="B2673"/>
  <c r="B2672"/>
  <c r="B2671"/>
  <c r="B2670"/>
  <c r="B2669"/>
  <c r="B2668"/>
  <c r="B2667"/>
  <c r="B2666"/>
  <c r="B2665"/>
  <c r="B2664"/>
  <c r="B2663"/>
  <c r="B2662"/>
  <c r="B2661"/>
  <c r="B2660"/>
  <c r="B2659"/>
  <c r="B2658"/>
  <c r="B2657"/>
  <c r="B2656"/>
  <c r="B2655"/>
  <c r="B2654"/>
  <c r="B2653"/>
  <c r="B2652"/>
  <c r="B2651"/>
  <c r="B2650"/>
  <c r="B2649"/>
  <c r="B2648"/>
  <c r="B2647"/>
  <c r="B2646"/>
  <c r="B2645"/>
  <c r="B2644"/>
  <c r="B2643"/>
  <c r="B2642"/>
  <c r="B2641"/>
  <c r="B2640"/>
  <c r="B2639"/>
  <c r="B2638"/>
  <c r="B2637"/>
  <c r="B2636"/>
  <c r="B2635"/>
  <c r="B2634"/>
  <c r="B2633"/>
  <c r="B2632"/>
  <c r="B2631"/>
  <c r="B2630"/>
  <c r="B2629"/>
  <c r="B2628"/>
  <c r="B2627"/>
  <c r="B2626"/>
  <c r="B2625"/>
  <c r="B2624"/>
  <c r="B2623"/>
  <c r="B2622"/>
  <c r="B2621"/>
  <c r="B2620"/>
  <c r="B2619"/>
  <c r="B2618"/>
  <c r="B2617"/>
  <c r="B2616"/>
  <c r="B2615"/>
  <c r="B2614"/>
  <c r="B2613"/>
  <c r="B2612"/>
  <c r="B2611"/>
  <c r="B2610"/>
  <c r="B2609"/>
  <c r="B2608"/>
  <c r="B2607"/>
  <c r="B2606"/>
  <c r="B2605"/>
  <c r="B2604"/>
  <c r="B2603"/>
  <c r="B2602"/>
  <c r="B2601"/>
  <c r="B2600"/>
  <c r="B2599"/>
  <c r="B2598"/>
  <c r="B2597"/>
  <c r="B2596"/>
  <c r="B2595"/>
  <c r="B2594"/>
  <c r="B2593"/>
  <c r="B2592"/>
  <c r="B2591"/>
  <c r="B2590"/>
  <c r="B2589"/>
  <c r="B2588"/>
  <c r="B2587"/>
  <c r="B2586"/>
  <c r="B2585"/>
  <c r="B2584"/>
  <c r="B2583"/>
  <c r="B2582"/>
  <c r="B2581"/>
  <c r="B2580"/>
  <c r="B2579"/>
  <c r="B2578"/>
  <c r="B2577"/>
  <c r="B2576"/>
  <c r="B2575"/>
  <c r="B2574"/>
  <c r="B2573"/>
  <c r="B2572"/>
  <c r="B2571"/>
  <c r="B2570"/>
  <c r="B2569"/>
  <c r="B2568"/>
  <c r="B2567"/>
  <c r="B2566"/>
  <c r="B2565"/>
  <c r="B2564"/>
  <c r="B2563"/>
  <c r="B2562"/>
  <c r="B2561"/>
  <c r="B2560"/>
  <c r="B2559"/>
  <c r="B2558"/>
  <c r="B2557"/>
  <c r="B2556"/>
  <c r="B2555"/>
  <c r="B2554"/>
  <c r="B2553"/>
  <c r="B2552"/>
  <c r="B2551"/>
  <c r="B2550"/>
  <c r="B2549"/>
  <c r="B2548"/>
  <c r="B2547"/>
  <c r="B2546"/>
  <c r="B2545"/>
  <c r="B2544"/>
  <c r="B2543"/>
  <c r="B2542"/>
  <c r="B2541"/>
  <c r="B2540"/>
  <c r="B2539"/>
  <c r="B2538"/>
  <c r="B2537"/>
  <c r="B2536"/>
  <c r="B2535"/>
  <c r="B2534"/>
  <c r="B2533"/>
  <c r="B2532"/>
  <c r="B2531"/>
  <c r="B2530"/>
  <c r="B2529"/>
  <c r="B2528"/>
  <c r="B2527"/>
  <c r="B2526"/>
  <c r="B2525"/>
  <c r="B2524"/>
  <c r="B2523"/>
  <c r="B2522"/>
  <c r="B2521"/>
  <c r="B2520"/>
  <c r="B2519"/>
  <c r="B2518"/>
  <c r="B2517"/>
  <c r="B2516"/>
  <c r="B2515"/>
  <c r="B2514"/>
  <c r="B2513"/>
  <c r="B2512"/>
  <c r="B2511"/>
  <c r="B2510"/>
  <c r="B2509"/>
  <c r="B2508"/>
  <c r="B2507"/>
  <c r="B2506"/>
  <c r="B2505"/>
  <c r="B2504"/>
  <c r="B2503"/>
  <c r="B2502"/>
  <c r="B2501"/>
  <c r="B2500"/>
  <c r="B2499"/>
  <c r="B2498"/>
  <c r="B2497"/>
  <c r="B2496"/>
  <c r="B2495"/>
  <c r="B2494"/>
  <c r="B2493"/>
  <c r="B2492"/>
  <c r="B2491"/>
  <c r="B2490"/>
  <c r="B2489"/>
  <c r="B2488"/>
  <c r="B2487"/>
  <c r="B2486"/>
  <c r="B2485"/>
  <c r="B2484"/>
  <c r="B2483"/>
  <c r="B2482"/>
  <c r="B2481"/>
  <c r="B2480"/>
  <c r="B2479"/>
  <c r="B2478"/>
  <c r="B2477"/>
  <c r="B2476"/>
  <c r="B2475"/>
  <c r="B2474"/>
  <c r="B2473"/>
  <c r="B2472"/>
  <c r="B2471"/>
  <c r="B2470"/>
  <c r="B2469"/>
  <c r="B2468"/>
  <c r="B2467"/>
  <c r="B2466"/>
  <c r="B2465"/>
  <c r="B2464"/>
  <c r="B2463"/>
  <c r="B2462"/>
  <c r="B2461"/>
  <c r="B2460"/>
  <c r="B2459"/>
  <c r="B2458"/>
  <c r="B2457"/>
  <c r="B2456"/>
  <c r="B2455"/>
  <c r="B2454"/>
  <c r="B2453"/>
  <c r="B2452"/>
  <c r="B2451"/>
  <c r="B2450"/>
  <c r="B2449"/>
  <c r="B2448"/>
  <c r="B2447"/>
  <c r="B2446"/>
  <c r="B2445"/>
  <c r="B2444"/>
  <c r="B2443"/>
  <c r="B2442"/>
  <c r="B2441"/>
  <c r="B2440"/>
  <c r="B2439"/>
  <c r="B2438"/>
  <c r="B2437"/>
  <c r="B2436"/>
  <c r="B2435"/>
  <c r="B2434"/>
  <c r="B2433"/>
  <c r="B2432"/>
  <c r="B2431"/>
  <c r="B2430"/>
  <c r="B2429"/>
  <c r="B2428"/>
  <c r="B2427"/>
  <c r="B2426"/>
  <c r="B2425"/>
  <c r="B2424"/>
  <c r="B2423"/>
  <c r="B2422"/>
  <c r="B2421"/>
  <c r="B2420"/>
  <c r="B2419"/>
  <c r="B2418"/>
  <c r="B2417"/>
  <c r="B2416"/>
  <c r="B2415"/>
  <c r="B2414"/>
  <c r="B2413"/>
  <c r="B2412"/>
  <c r="B2411"/>
  <c r="B2410"/>
  <c r="B2409"/>
  <c r="B2408"/>
  <c r="B2407"/>
  <c r="B2406"/>
  <c r="B2405"/>
  <c r="B2404"/>
  <c r="B2403"/>
  <c r="B2402"/>
  <c r="B2401"/>
  <c r="B2400"/>
  <c r="B2399"/>
  <c r="B2398"/>
  <c r="B2397"/>
  <c r="B2396"/>
  <c r="B2395"/>
  <c r="B2394"/>
  <c r="B2393"/>
  <c r="B2392"/>
  <c r="B2391"/>
  <c r="B2390"/>
  <c r="B2389"/>
  <c r="B2388"/>
  <c r="B2387"/>
  <c r="B2386"/>
  <c r="B2385"/>
  <c r="B2384"/>
  <c r="B2383"/>
  <c r="B2382"/>
  <c r="B2381"/>
  <c r="B2380"/>
  <c r="B2379"/>
  <c r="B2378"/>
  <c r="B2377"/>
  <c r="B2376"/>
  <c r="B2375"/>
  <c r="B2374"/>
  <c r="B2373"/>
  <c r="B2372"/>
  <c r="B2371"/>
  <c r="B2370"/>
  <c r="B2369"/>
  <c r="B2368"/>
  <c r="B2367"/>
  <c r="B2366"/>
  <c r="B2365"/>
  <c r="B2364"/>
  <c r="B2363"/>
  <c r="B2362"/>
  <c r="B2361"/>
  <c r="B2360"/>
  <c r="B2359"/>
  <c r="B2358"/>
  <c r="B2357"/>
  <c r="B2356"/>
  <c r="B2355"/>
  <c r="B2354"/>
  <c r="B2353"/>
  <c r="B2352"/>
  <c r="B2351"/>
  <c r="B2350"/>
  <c r="B2349"/>
  <c r="B2348"/>
  <c r="B2347"/>
  <c r="B2346"/>
  <c r="B2345"/>
  <c r="B2344"/>
  <c r="B2343"/>
  <c r="B2342"/>
  <c r="B2341"/>
  <c r="B2340"/>
  <c r="B2339"/>
  <c r="B2338"/>
  <c r="B2337"/>
  <c r="B2336"/>
  <c r="B2335"/>
  <c r="B2334"/>
  <c r="B2333"/>
  <c r="B2332"/>
  <c r="B2331"/>
  <c r="B2330"/>
  <c r="B2329"/>
  <c r="B2328"/>
  <c r="B2327"/>
  <c r="B2326"/>
  <c r="B2325"/>
  <c r="B2324"/>
  <c r="B2323"/>
  <c r="B2322"/>
  <c r="B2321"/>
  <c r="B2320"/>
  <c r="B2319"/>
  <c r="B2318"/>
  <c r="B2317"/>
  <c r="B2316"/>
  <c r="B2315"/>
  <c r="B2314"/>
  <c r="B2313"/>
  <c r="B2312"/>
  <c r="B2311"/>
  <c r="B2310"/>
  <c r="B2309"/>
  <c r="B2308"/>
  <c r="B2307"/>
  <c r="B2306"/>
  <c r="B2305"/>
  <c r="B2304"/>
  <c r="B2303"/>
  <c r="B2302"/>
  <c r="B2301"/>
  <c r="B2300"/>
  <c r="B2299"/>
  <c r="B2298"/>
  <c r="B2297"/>
  <c r="B2296"/>
  <c r="B2295"/>
  <c r="B2294"/>
  <c r="B2293"/>
  <c r="B2292"/>
  <c r="B2291"/>
  <c r="B2290"/>
  <c r="B2289"/>
  <c r="B2288"/>
  <c r="B2287"/>
  <c r="B2286"/>
  <c r="B2285"/>
  <c r="B2284"/>
  <c r="B2283"/>
  <c r="B2282"/>
  <c r="B2281"/>
  <c r="B2280"/>
  <c r="B2279"/>
  <c r="B2278"/>
  <c r="B2277"/>
  <c r="B2276"/>
  <c r="B2275"/>
  <c r="B2274"/>
  <c r="B2273"/>
  <c r="B2272"/>
  <c r="B2271"/>
  <c r="B2270"/>
  <c r="B2269"/>
  <c r="B2268"/>
  <c r="B2267"/>
  <c r="B2266"/>
  <c r="B2265"/>
  <c r="B2264"/>
  <c r="B2263"/>
  <c r="B2262"/>
  <c r="B2261"/>
  <c r="B2260"/>
  <c r="B2259"/>
  <c r="B2258"/>
  <c r="B2257"/>
  <c r="B2256"/>
  <c r="B2255"/>
  <c r="B2254"/>
  <c r="B2253"/>
  <c r="B2252"/>
  <c r="B2251"/>
  <c r="B2250"/>
  <c r="B2249"/>
  <c r="B2248"/>
  <c r="B2247"/>
  <c r="B2246"/>
  <c r="B2245"/>
  <c r="B2244"/>
  <c r="B2243"/>
  <c r="B2242"/>
  <c r="B2241"/>
  <c r="B2240"/>
  <c r="B2239"/>
  <c r="B2238"/>
  <c r="B2237"/>
  <c r="B2236"/>
  <c r="B2235"/>
  <c r="B2234"/>
  <c r="B2233"/>
  <c r="B2232"/>
  <c r="B2231"/>
  <c r="B2230"/>
  <c r="B2229"/>
  <c r="B2228"/>
  <c r="B2227"/>
  <c r="B2226"/>
  <c r="B2225"/>
  <c r="B2224"/>
  <c r="B2223"/>
  <c r="B2222"/>
  <c r="B2221"/>
  <c r="B2220"/>
  <c r="B2219"/>
  <c r="B2218"/>
  <c r="B2217"/>
  <c r="B2216"/>
  <c r="B2215"/>
  <c r="B2214"/>
  <c r="B2213"/>
  <c r="B2212"/>
  <c r="B2211"/>
  <c r="B2210"/>
  <c r="B2209"/>
  <c r="B2208"/>
  <c r="B2207"/>
  <c r="B2206"/>
  <c r="B2205"/>
  <c r="B2204"/>
  <c r="B2203"/>
  <c r="B2202"/>
  <c r="B2201"/>
  <c r="B2200"/>
  <c r="B2199"/>
  <c r="B2198"/>
  <c r="B2197"/>
  <c r="B2196"/>
  <c r="B2195"/>
  <c r="B2194"/>
  <c r="B2193"/>
  <c r="B2192"/>
  <c r="B2191"/>
  <c r="B2190"/>
  <c r="B2189"/>
  <c r="B2188"/>
  <c r="B2187"/>
  <c r="B2186"/>
  <c r="B2185"/>
  <c r="B2184"/>
  <c r="B2183"/>
  <c r="B2182"/>
  <c r="B2181"/>
  <c r="B2180"/>
  <c r="B2179"/>
  <c r="B2178"/>
  <c r="B2177"/>
  <c r="B2176"/>
  <c r="B2175"/>
  <c r="B2174"/>
  <c r="B2173"/>
  <c r="B2172"/>
  <c r="B2171"/>
  <c r="B2170"/>
  <c r="B2169"/>
  <c r="B2168"/>
  <c r="B2167"/>
  <c r="B2166"/>
  <c r="B2165"/>
  <c r="B2164"/>
  <c r="B2163"/>
  <c r="B2162"/>
  <c r="B2161"/>
  <c r="B2160"/>
  <c r="B2159"/>
  <c r="B2158"/>
  <c r="B2157"/>
  <c r="B2156"/>
  <c r="B2155"/>
  <c r="B2154"/>
  <c r="B2153"/>
  <c r="B2152"/>
  <c r="B2151"/>
  <c r="B2150"/>
  <c r="B2149"/>
  <c r="B2148"/>
  <c r="B2147"/>
  <c r="B2146"/>
  <c r="B2145"/>
  <c r="B2144"/>
  <c r="B2143"/>
  <c r="B2142"/>
  <c r="B2141"/>
  <c r="B2140"/>
  <c r="B2139"/>
  <c r="B2138"/>
  <c r="B2137"/>
  <c r="B2136"/>
  <c r="B2135"/>
  <c r="B2134"/>
  <c r="B2133"/>
  <c r="B2132"/>
  <c r="B2131"/>
  <c r="B2130"/>
  <c r="B2129"/>
  <c r="B2128"/>
  <c r="B2127"/>
  <c r="B2126"/>
  <c r="B2125"/>
  <c r="B2124"/>
  <c r="B2123"/>
  <c r="B2122"/>
  <c r="B2121"/>
  <c r="B2120"/>
  <c r="B2119"/>
  <c r="B2118"/>
  <c r="B2117"/>
  <c r="B2116"/>
  <c r="B2115"/>
  <c r="B2114"/>
  <c r="B2113"/>
  <c r="B2112"/>
  <c r="B2111"/>
  <c r="B2110"/>
  <c r="B2109"/>
  <c r="B2108"/>
  <c r="B2107"/>
  <c r="B2106"/>
  <c r="B2105"/>
  <c r="B2104"/>
  <c r="B2103"/>
  <c r="B2102"/>
  <c r="B2101"/>
  <c r="B2100"/>
  <c r="B2099"/>
  <c r="B2098"/>
  <c r="B2097"/>
  <c r="B2096"/>
  <c r="B2095"/>
  <c r="B2094"/>
  <c r="B2093"/>
  <c r="B2092"/>
  <c r="B2091"/>
  <c r="B2090"/>
  <c r="B2089"/>
  <c r="B2088"/>
  <c r="B2087"/>
  <c r="B2086"/>
  <c r="B2085"/>
  <c r="B2084"/>
  <c r="B2083"/>
  <c r="B2082"/>
  <c r="B2081"/>
  <c r="B2080"/>
  <c r="B2079"/>
  <c r="B2078"/>
  <c r="B2077"/>
  <c r="B2076"/>
  <c r="B2075"/>
  <c r="B2074"/>
  <c r="B2073"/>
  <c r="B2072"/>
  <c r="B2071"/>
  <c r="B2070"/>
  <c r="B2069"/>
  <c r="B2068"/>
  <c r="B2067"/>
  <c r="B2066"/>
  <c r="B2065"/>
  <c r="B2064"/>
  <c r="B2063"/>
  <c r="B2062"/>
  <c r="B2061"/>
  <c r="B2060"/>
  <c r="B2059"/>
  <c r="B2058"/>
  <c r="B2057"/>
  <c r="B2056"/>
  <c r="B2055"/>
  <c r="B2054"/>
  <c r="B2053"/>
  <c r="B2052"/>
  <c r="B2051"/>
  <c r="B2050"/>
  <c r="B2049"/>
  <c r="B2048"/>
  <c r="B2047"/>
  <c r="B2046"/>
  <c r="B2045"/>
  <c r="B2044"/>
  <c r="B2043"/>
  <c r="B2042"/>
  <c r="B2041"/>
  <c r="B2040"/>
  <c r="B2039"/>
  <c r="B2038"/>
  <c r="B2037"/>
  <c r="B2036"/>
  <c r="B2035"/>
  <c r="B2034"/>
  <c r="B2033"/>
  <c r="B2032"/>
  <c r="B2031"/>
  <c r="B2030"/>
  <c r="B2029"/>
  <c r="B2028"/>
  <c r="B2027"/>
  <c r="B2026"/>
  <c r="B2025"/>
  <c r="B2024"/>
  <c r="B2023"/>
  <c r="B2022"/>
  <c r="B2021"/>
  <c r="B2020"/>
  <c r="B2019"/>
  <c r="B2018"/>
  <c r="B2017"/>
  <c r="B2016"/>
  <c r="B2015"/>
  <c r="B2014"/>
  <c r="B2013"/>
  <c r="B2012"/>
  <c r="B2011"/>
  <c r="B2010"/>
  <c r="B2009"/>
  <c r="B2008"/>
  <c r="B2007"/>
  <c r="B2006"/>
  <c r="B2005"/>
  <c r="B2004"/>
  <c r="B2003"/>
  <c r="B2002"/>
  <c r="B2001"/>
  <c r="B2000"/>
  <c r="B1999"/>
  <c r="B1998"/>
  <c r="B1997"/>
  <c r="B1996"/>
  <c r="B1995"/>
  <c r="B1994"/>
  <c r="B1993"/>
  <c r="B1992"/>
  <c r="B1991"/>
  <c r="B1990"/>
  <c r="B1989"/>
  <c r="B1988"/>
  <c r="B1987"/>
  <c r="B1986"/>
  <c r="B1985"/>
  <c r="B1984"/>
  <c r="B1983"/>
  <c r="B1982"/>
  <c r="B1981"/>
  <c r="B1980"/>
  <c r="B1979"/>
  <c r="B1978"/>
  <c r="B1977"/>
  <c r="B1976"/>
  <c r="B1975"/>
  <c r="B1974"/>
  <c r="B1973"/>
  <c r="B1972"/>
  <c r="B1971"/>
  <c r="B1970"/>
  <c r="B1969"/>
  <c r="B1968"/>
  <c r="B1967"/>
  <c r="B1966"/>
  <c r="B1965"/>
  <c r="B1964"/>
  <c r="B1963"/>
  <c r="B1962"/>
  <c r="B1961"/>
  <c r="B1960"/>
  <c r="B1959"/>
  <c r="B1958"/>
  <c r="B1957"/>
  <c r="B1956"/>
  <c r="B1955"/>
  <c r="B1954"/>
  <c r="B1953"/>
  <c r="B1952"/>
  <c r="B1951"/>
  <c r="B1950"/>
  <c r="B1949"/>
  <c r="B1948"/>
  <c r="B1947"/>
  <c r="B1946"/>
  <c r="B1945"/>
  <c r="B1944"/>
  <c r="B1943"/>
  <c r="B1942"/>
  <c r="B1941"/>
  <c r="B1940"/>
  <c r="B1939"/>
  <c r="B1938"/>
  <c r="B1937"/>
  <c r="B1936"/>
  <c r="B1935"/>
  <c r="B1934"/>
  <c r="B1933"/>
  <c r="B1932"/>
  <c r="B1931"/>
  <c r="B1930"/>
  <c r="B1929"/>
  <c r="B1928"/>
  <c r="B1927"/>
  <c r="B1926"/>
  <c r="B1925"/>
  <c r="B1924"/>
  <c r="B1923"/>
  <c r="B1922"/>
  <c r="B1921"/>
  <c r="B1920"/>
  <c r="B1919"/>
  <c r="B1918"/>
  <c r="B1917"/>
  <c r="B1916"/>
  <c r="B1915"/>
  <c r="B1914"/>
  <c r="B1913"/>
  <c r="B1912"/>
  <c r="B1911"/>
  <c r="B1910"/>
  <c r="B1909"/>
  <c r="B1908"/>
  <c r="B1907"/>
  <c r="B1906"/>
  <c r="B1905"/>
  <c r="B1904"/>
  <c r="B1903"/>
  <c r="B1902"/>
  <c r="B1901"/>
  <c r="B1900"/>
  <c r="B1899"/>
  <c r="B1898"/>
  <c r="B1897"/>
  <c r="B1896"/>
  <c r="B1895"/>
  <c r="B1894"/>
  <c r="B1893"/>
  <c r="B1892"/>
  <c r="B1891"/>
  <c r="B1890"/>
  <c r="B1889"/>
  <c r="B1888"/>
  <c r="B1887"/>
  <c r="B1886"/>
  <c r="B1885"/>
  <c r="B1884"/>
  <c r="B1883"/>
  <c r="B1882"/>
  <c r="B1881"/>
  <c r="B1880"/>
  <c r="B1879"/>
  <c r="B1878"/>
  <c r="B1877"/>
  <c r="B1876"/>
  <c r="B1875"/>
  <c r="B1874"/>
  <c r="B1873"/>
  <c r="B1872"/>
  <c r="B1871"/>
  <c r="B1870"/>
  <c r="B1869"/>
  <c r="B1868"/>
  <c r="B1867"/>
  <c r="B1866"/>
  <c r="B1865"/>
  <c r="B1864"/>
  <c r="B1863"/>
  <c r="B1862"/>
  <c r="B1861"/>
  <c r="B1860"/>
  <c r="B1859"/>
  <c r="B1858"/>
  <c r="B1857"/>
  <c r="B1856"/>
  <c r="B1855"/>
  <c r="B1854"/>
  <c r="B1853"/>
  <c r="B1852"/>
  <c r="B1851"/>
  <c r="B1850"/>
  <c r="B1849"/>
  <c r="B1848"/>
  <c r="B1847"/>
  <c r="B1846"/>
  <c r="B1845"/>
  <c r="B1844"/>
  <c r="B1843"/>
  <c r="B1842"/>
  <c r="B1841"/>
  <c r="B1840"/>
  <c r="B1839"/>
  <c r="B1838"/>
  <c r="B1837"/>
  <c r="B1836"/>
  <c r="B1835"/>
  <c r="B1834"/>
  <c r="B1833"/>
  <c r="B1832"/>
  <c r="B1831"/>
  <c r="B1830"/>
  <c r="B1829"/>
  <c r="B1828"/>
  <c r="B1827"/>
  <c r="B1826"/>
  <c r="B1825"/>
  <c r="B1824"/>
  <c r="B1823"/>
  <c r="B1822"/>
  <c r="B1821"/>
  <c r="B1820"/>
  <c r="B1819"/>
  <c r="B1818"/>
  <c r="B1817"/>
  <c r="B1816"/>
  <c r="B1815"/>
  <c r="B1814"/>
  <c r="B1813"/>
  <c r="B1812"/>
  <c r="B1811"/>
  <c r="B1810"/>
  <c r="B1809"/>
  <c r="B1808"/>
  <c r="B1807"/>
  <c r="B1806"/>
  <c r="B1805"/>
  <c r="B1804"/>
  <c r="B1803"/>
  <c r="B1802"/>
  <c r="B1801"/>
  <c r="B1800"/>
  <c r="K1799"/>
  <c r="J1799"/>
  <c r="I1799"/>
  <c r="B1799"/>
  <c r="K1798"/>
  <c r="J1798"/>
  <c r="I1798"/>
  <c r="B1798"/>
  <c r="K1797"/>
  <c r="J1797"/>
  <c r="I1797"/>
  <c r="B1797"/>
  <c r="K1796"/>
  <c r="J1796"/>
  <c r="I1796"/>
  <c r="B1796"/>
  <c r="K1795"/>
  <c r="J1795"/>
  <c r="I1795"/>
  <c r="B1795"/>
  <c r="K1794"/>
  <c r="J1794"/>
  <c r="I1794"/>
  <c r="B1794"/>
  <c r="K1793"/>
  <c r="J1793"/>
  <c r="I1793"/>
  <c r="B1793"/>
  <c r="K1792"/>
  <c r="J1792"/>
  <c r="I1792"/>
  <c r="B1792"/>
  <c r="K1791"/>
  <c r="J1791"/>
  <c r="I1791"/>
  <c r="B1791"/>
  <c r="K1790"/>
  <c r="J1790"/>
  <c r="I1790"/>
  <c r="B1790"/>
  <c r="K1789"/>
  <c r="J1789"/>
  <c r="I1789"/>
  <c r="B1789"/>
  <c r="K1788"/>
  <c r="J1788"/>
  <c r="I1788"/>
  <c r="B1788"/>
  <c r="K1787"/>
  <c r="J1787"/>
  <c r="I1787"/>
  <c r="B1787"/>
  <c r="K1786"/>
  <c r="J1786"/>
  <c r="I1786"/>
  <c r="B1786"/>
  <c r="K1785"/>
  <c r="J1785"/>
  <c r="I1785"/>
  <c r="B1785"/>
  <c r="K1784"/>
  <c r="J1784"/>
  <c r="I1784"/>
  <c r="B1784"/>
  <c r="K1783"/>
  <c r="J1783"/>
  <c r="I1783"/>
  <c r="B1783"/>
  <c r="K1782"/>
  <c r="J1782"/>
  <c r="I1782"/>
  <c r="B1782"/>
  <c r="K1781"/>
  <c r="J1781"/>
  <c r="I1781"/>
  <c r="B1781"/>
  <c r="K1780"/>
  <c r="J1780"/>
  <c r="I1780"/>
  <c r="B1780"/>
  <c r="K1779"/>
  <c r="J1779"/>
  <c r="I1779"/>
  <c r="B1779"/>
  <c r="K1778"/>
  <c r="J1778"/>
  <c r="I1778"/>
  <c r="B1778"/>
  <c r="K1777"/>
  <c r="J1777"/>
  <c r="I1777"/>
  <c r="B1777"/>
  <c r="K1776"/>
  <c r="J1776"/>
  <c r="I1776"/>
  <c r="B1776"/>
  <c r="K1775"/>
  <c r="J1775"/>
  <c r="I1775"/>
  <c r="B1775"/>
  <c r="K1774"/>
  <c r="J1774"/>
  <c r="I1774"/>
  <c r="B1774"/>
  <c r="K1773"/>
  <c r="J1773"/>
  <c r="I1773"/>
  <c r="B1773"/>
  <c r="K1772"/>
  <c r="J1772"/>
  <c r="I1772"/>
  <c r="B1772"/>
  <c r="K1771"/>
  <c r="J1771"/>
  <c r="I1771"/>
  <c r="B1771"/>
  <c r="K1770"/>
  <c r="J1770"/>
  <c r="I1770"/>
  <c r="B1770"/>
  <c r="K1769"/>
  <c r="J1769"/>
  <c r="I1769"/>
  <c r="B1769"/>
  <c r="K1768"/>
  <c r="J1768"/>
  <c r="I1768"/>
  <c r="B1768"/>
  <c r="K1767"/>
  <c r="J1767"/>
  <c r="I1767"/>
  <c r="B1767"/>
  <c r="K1766"/>
  <c r="J1766"/>
  <c r="I1766"/>
  <c r="B1766"/>
  <c r="K1765"/>
  <c r="J1765"/>
  <c r="I1765"/>
  <c r="B1765"/>
  <c r="K1764"/>
  <c r="J1764"/>
  <c r="I1764"/>
  <c r="B1764"/>
  <c r="K1763"/>
  <c r="J1763"/>
  <c r="I1763"/>
  <c r="B1763"/>
  <c r="K1762"/>
  <c r="J1762"/>
  <c r="I1762"/>
  <c r="B1762"/>
  <c r="K1761"/>
  <c r="J1761"/>
  <c r="I1761"/>
  <c r="B1761"/>
  <c r="K1760"/>
  <c r="J1760"/>
  <c r="I1760"/>
  <c r="B1760"/>
  <c r="K1759"/>
  <c r="J1759"/>
  <c r="I1759"/>
  <c r="B1759"/>
  <c r="K1758"/>
  <c r="J1758"/>
  <c r="I1758"/>
  <c r="B1758"/>
  <c r="K1757"/>
  <c r="J1757"/>
  <c r="I1757"/>
  <c r="B1757"/>
  <c r="K1756"/>
  <c r="J1756"/>
  <c r="I1756"/>
  <c r="B1756"/>
  <c r="K1755"/>
  <c r="J1755"/>
  <c r="I1755"/>
  <c r="B1755"/>
  <c r="K1754"/>
  <c r="J1754"/>
  <c r="I1754"/>
  <c r="B1754"/>
  <c r="K1753"/>
  <c r="J1753"/>
  <c r="I1753"/>
  <c r="B1753"/>
  <c r="K1752"/>
  <c r="J1752"/>
  <c r="I1752"/>
  <c r="B1752"/>
  <c r="K1751"/>
  <c r="J1751"/>
  <c r="I1751"/>
  <c r="B1751"/>
  <c r="K1750"/>
  <c r="J1750"/>
  <c r="I1750"/>
  <c r="B1750"/>
  <c r="K1749"/>
  <c r="J1749"/>
  <c r="I1749"/>
  <c r="B1749"/>
  <c r="K1748"/>
  <c r="J1748"/>
  <c r="I1748"/>
  <c r="B1748"/>
  <c r="K1747"/>
  <c r="J1747"/>
  <c r="I1747"/>
  <c r="B1747"/>
  <c r="K1746"/>
  <c r="J1746"/>
  <c r="I1746"/>
  <c r="B1746"/>
  <c r="K1745"/>
  <c r="J1745"/>
  <c r="I1745"/>
  <c r="B1745"/>
  <c r="K1744"/>
  <c r="J1744"/>
  <c r="I1744"/>
  <c r="B1744"/>
  <c r="K1743"/>
  <c r="J1743"/>
  <c r="I1743"/>
  <c r="B1743"/>
  <c r="K1742"/>
  <c r="J1742"/>
  <c r="I1742"/>
  <c r="B1742"/>
  <c r="K1741"/>
  <c r="J1741"/>
  <c r="I1741"/>
  <c r="B1741"/>
  <c r="K1740"/>
  <c r="J1740"/>
  <c r="I1740"/>
  <c r="B1740"/>
  <c r="K1739"/>
  <c r="J1739"/>
  <c r="I1739"/>
  <c r="B1739"/>
  <c r="K1738"/>
  <c r="J1738"/>
  <c r="I1738"/>
  <c r="B1738"/>
  <c r="K1737"/>
  <c r="J1737"/>
  <c r="I1737"/>
  <c r="B1737"/>
  <c r="K1736"/>
  <c r="J1736"/>
  <c r="I1736"/>
  <c r="B1736"/>
  <c r="K1735"/>
  <c r="J1735"/>
  <c r="I1735"/>
  <c r="B1735"/>
  <c r="K1734"/>
  <c r="J1734"/>
  <c r="I1734"/>
  <c r="B1734"/>
  <c r="K1733"/>
  <c r="J1733"/>
  <c r="I1733"/>
  <c r="B1733"/>
  <c r="K1732"/>
  <c r="J1732"/>
  <c r="I1732"/>
  <c r="B1732"/>
  <c r="K1731"/>
  <c r="J1731"/>
  <c r="I1731"/>
  <c r="B1731"/>
  <c r="K1730"/>
  <c r="J1730"/>
  <c r="I1730"/>
  <c r="B1730"/>
  <c r="K1729"/>
  <c r="J1729"/>
  <c r="I1729"/>
  <c r="B1729"/>
  <c r="K1728"/>
  <c r="J1728"/>
  <c r="I1728"/>
  <c r="B1728"/>
  <c r="K1727"/>
  <c r="J1727"/>
  <c r="I1727"/>
  <c r="B1727"/>
  <c r="K1726"/>
  <c r="J1726"/>
  <c r="I1726"/>
  <c r="B1726"/>
  <c r="K1725"/>
  <c r="J1725"/>
  <c r="I1725"/>
  <c r="B1725"/>
  <c r="K1724"/>
  <c r="J1724"/>
  <c r="I1724"/>
  <c r="B1724"/>
  <c r="K1723"/>
  <c r="J1723"/>
  <c r="I1723"/>
  <c r="B1723"/>
  <c r="K1722"/>
  <c r="J1722"/>
  <c r="I1722"/>
  <c r="B1722"/>
  <c r="K1721"/>
  <c r="J1721"/>
  <c r="I1721"/>
  <c r="B1721"/>
  <c r="K1720"/>
  <c r="J1720"/>
  <c r="I1720"/>
  <c r="B1720"/>
  <c r="K1719"/>
  <c r="J1719"/>
  <c r="I1719"/>
  <c r="B1719"/>
  <c r="K1718"/>
  <c r="J1718"/>
  <c r="I1718"/>
  <c r="B1718"/>
  <c r="K1717"/>
  <c r="J1717"/>
  <c r="I1717"/>
  <c r="B1717"/>
  <c r="K1716"/>
  <c r="J1716"/>
  <c r="I1716"/>
  <c r="B1716"/>
  <c r="K1715"/>
  <c r="J1715"/>
  <c r="I1715"/>
  <c r="B1715"/>
  <c r="K1714"/>
  <c r="J1714"/>
  <c r="I1714"/>
  <c r="B1714"/>
  <c r="K1713"/>
  <c r="J1713"/>
  <c r="I1713"/>
  <c r="B1713"/>
  <c r="K1712"/>
  <c r="J1712"/>
  <c r="I1712"/>
  <c r="B1712"/>
  <c r="K1711"/>
  <c r="J1711"/>
  <c r="I1711"/>
  <c r="B1711"/>
  <c r="K1710"/>
  <c r="J1710"/>
  <c r="I1710"/>
  <c r="B1710"/>
  <c r="K1709"/>
  <c r="J1709"/>
  <c r="I1709"/>
  <c r="B1709"/>
  <c r="K1708"/>
  <c r="J1708"/>
  <c r="I1708"/>
  <c r="B1708"/>
  <c r="K1707"/>
  <c r="J1707"/>
  <c r="I1707"/>
  <c r="B1707"/>
  <c r="K1706"/>
  <c r="J1706"/>
  <c r="I1706"/>
  <c r="B1706"/>
  <c r="K1705"/>
  <c r="J1705"/>
  <c r="I1705"/>
  <c r="B1705"/>
  <c r="K1704"/>
  <c r="J1704"/>
  <c r="I1704"/>
  <c r="B1704"/>
  <c r="K1703"/>
  <c r="J1703"/>
  <c r="I1703"/>
  <c r="B1703"/>
  <c r="K1702"/>
  <c r="J1702"/>
  <c r="I1702"/>
  <c r="B1702"/>
  <c r="K1701"/>
  <c r="J1701"/>
  <c r="I1701"/>
  <c r="B1701"/>
  <c r="K1700"/>
  <c r="J1700"/>
  <c r="I1700"/>
  <c r="B1700"/>
  <c r="K1699"/>
  <c r="J1699"/>
  <c r="I1699"/>
  <c r="B1699"/>
  <c r="K1698"/>
  <c r="J1698"/>
  <c r="I1698"/>
  <c r="B1698"/>
  <c r="K1697"/>
  <c r="J1697"/>
  <c r="I1697"/>
  <c r="B1697"/>
  <c r="K1696"/>
  <c r="J1696"/>
  <c r="I1696"/>
  <c r="B1696"/>
  <c r="K1695"/>
  <c r="J1695"/>
  <c r="I1695"/>
  <c r="B1695"/>
  <c r="K1694"/>
  <c r="J1694"/>
  <c r="I1694"/>
  <c r="B1694"/>
  <c r="K1693"/>
  <c r="J1693"/>
  <c r="I1693"/>
  <c r="B1693"/>
  <c r="K1692"/>
  <c r="J1692"/>
  <c r="I1692"/>
  <c r="B1692"/>
  <c r="K1691"/>
  <c r="J1691"/>
  <c r="I1691"/>
  <c r="B1691"/>
  <c r="K1690"/>
  <c r="J1690"/>
  <c r="I1690"/>
  <c r="B1690"/>
  <c r="K1689"/>
  <c r="J1689"/>
  <c r="I1689"/>
  <c r="B1689"/>
  <c r="K1688"/>
  <c r="J1688"/>
  <c r="I1688"/>
  <c r="B1688"/>
  <c r="K1687"/>
  <c r="J1687"/>
  <c r="I1687"/>
  <c r="B1687"/>
  <c r="K1686"/>
  <c r="J1686"/>
  <c r="I1686"/>
  <c r="B1686"/>
  <c r="K1685"/>
  <c r="J1685"/>
  <c r="I1685"/>
  <c r="B1685"/>
  <c r="K1684"/>
  <c r="J1684"/>
  <c r="I1684"/>
  <c r="B1684"/>
  <c r="K1683"/>
  <c r="J1683"/>
  <c r="I1683"/>
  <c r="B1683"/>
  <c r="K1682"/>
  <c r="J1682"/>
  <c r="I1682"/>
  <c r="B1682"/>
  <c r="K1681"/>
  <c r="J1681"/>
  <c r="I1681"/>
  <c r="B1681"/>
  <c r="K1680"/>
  <c r="J1680"/>
  <c r="I1680"/>
  <c r="B1680"/>
  <c r="K1679"/>
  <c r="J1679"/>
  <c r="I1679"/>
  <c r="B1679"/>
  <c r="K1678"/>
  <c r="J1678"/>
  <c r="I1678"/>
  <c r="B1678"/>
  <c r="K1677"/>
  <c r="J1677"/>
  <c r="I1677"/>
  <c r="B1677"/>
  <c r="K1676"/>
  <c r="J1676"/>
  <c r="I1676"/>
  <c r="B1676"/>
  <c r="K1675"/>
  <c r="J1675"/>
  <c r="I1675"/>
  <c r="B1675"/>
  <c r="K1674"/>
  <c r="J1674"/>
  <c r="I1674"/>
  <c r="B1674"/>
  <c r="K1673"/>
  <c r="J1673"/>
  <c r="I1673"/>
  <c r="B1673"/>
  <c r="K1672"/>
  <c r="J1672"/>
  <c r="I1672"/>
  <c r="B1672"/>
  <c r="K1671"/>
  <c r="J1671"/>
  <c r="I1671"/>
  <c r="B1671"/>
  <c r="K1670"/>
  <c r="J1670"/>
  <c r="I1670"/>
  <c r="B1670"/>
  <c r="K1669"/>
  <c r="J1669"/>
  <c r="I1669"/>
  <c r="B1669"/>
  <c r="K1668"/>
  <c r="J1668"/>
  <c r="I1668"/>
  <c r="B1668"/>
  <c r="K1667"/>
  <c r="J1667"/>
  <c r="I1667"/>
  <c r="B1667"/>
  <c r="K1666"/>
  <c r="J1666"/>
  <c r="I1666"/>
  <c r="B1666"/>
  <c r="K1665"/>
  <c r="J1665"/>
  <c r="I1665"/>
  <c r="B1665"/>
  <c r="K1664"/>
  <c r="J1664"/>
  <c r="I1664"/>
  <c r="B1664"/>
  <c r="K1663"/>
  <c r="J1663"/>
  <c r="I1663"/>
  <c r="B1663"/>
  <c r="K1662"/>
  <c r="J1662"/>
  <c r="I1662"/>
  <c r="B1662"/>
  <c r="K1661"/>
  <c r="J1661"/>
  <c r="I1661"/>
  <c r="B1661"/>
  <c r="K1660"/>
  <c r="J1660"/>
  <c r="I1660"/>
  <c r="B1660"/>
  <c r="K1659"/>
  <c r="J1659"/>
  <c r="I1659"/>
  <c r="B1659"/>
  <c r="K1658"/>
  <c r="J1658"/>
  <c r="I1658"/>
  <c r="B1658"/>
  <c r="K1657"/>
  <c r="J1657"/>
  <c r="I1657"/>
  <c r="B1657"/>
  <c r="K1656"/>
  <c r="J1656"/>
  <c r="I1656"/>
  <c r="B1656"/>
  <c r="K1655"/>
  <c r="J1655"/>
  <c r="I1655"/>
  <c r="B1655"/>
  <c r="K1654"/>
  <c r="J1654"/>
  <c r="I1654"/>
  <c r="B1654"/>
  <c r="K1653"/>
  <c r="J1653"/>
  <c r="I1653"/>
  <c r="B1653"/>
  <c r="K1652"/>
  <c r="J1652"/>
  <c r="I1652"/>
  <c r="B1652"/>
  <c r="K1651"/>
  <c r="J1651"/>
  <c r="I1651"/>
  <c r="B1651"/>
  <c r="K1650"/>
  <c r="J1650"/>
  <c r="I1650"/>
  <c r="B1650"/>
  <c r="K1649"/>
  <c r="J1649"/>
  <c r="I1649"/>
  <c r="B1649"/>
  <c r="K1648"/>
  <c r="J1648"/>
  <c r="I1648"/>
  <c r="B1648"/>
  <c r="K1647"/>
  <c r="J1647"/>
  <c r="I1647"/>
  <c r="B1647"/>
  <c r="K1646"/>
  <c r="J1646"/>
  <c r="I1646"/>
  <c r="B1646"/>
  <c r="K1645"/>
  <c r="J1645"/>
  <c r="I1645"/>
  <c r="B1645"/>
  <c r="K1644"/>
  <c r="J1644"/>
  <c r="I1644"/>
  <c r="B1644"/>
  <c r="K1643"/>
  <c r="J1643"/>
  <c r="I1643"/>
  <c r="B1643"/>
  <c r="K1642"/>
  <c r="J1642"/>
  <c r="I1642"/>
  <c r="B1642"/>
  <c r="K1641"/>
  <c r="J1641"/>
  <c r="I1641"/>
  <c r="B1641"/>
  <c r="K1640"/>
  <c r="J1640"/>
  <c r="I1640"/>
  <c r="B1640"/>
  <c r="K1639"/>
  <c r="J1639"/>
  <c r="I1639"/>
  <c r="B1639"/>
  <c r="K1638"/>
  <c r="J1638"/>
  <c r="I1638"/>
  <c r="B1638"/>
  <c r="K1637"/>
  <c r="J1637"/>
  <c r="I1637"/>
  <c r="B1637"/>
  <c r="K1636"/>
  <c r="J1636"/>
  <c r="I1636"/>
  <c r="B1636"/>
  <c r="K1635"/>
  <c r="J1635"/>
  <c r="I1635"/>
  <c r="B1635"/>
  <c r="K1634"/>
  <c r="J1634"/>
  <c r="I1634"/>
  <c r="B1634"/>
  <c r="K1633"/>
  <c r="J1633"/>
  <c r="I1633"/>
  <c r="B1633"/>
  <c r="K1632"/>
  <c r="J1632"/>
  <c r="I1632"/>
  <c r="B1632"/>
  <c r="K1631"/>
  <c r="J1631"/>
  <c r="I1631"/>
  <c r="B1631"/>
  <c r="K1630"/>
  <c r="J1630"/>
  <c r="I1630"/>
  <c r="B1630"/>
  <c r="K1629"/>
  <c r="J1629"/>
  <c r="I1629"/>
  <c r="B1629"/>
  <c r="K1628"/>
  <c r="J1628"/>
  <c r="I1628"/>
  <c r="B1628"/>
  <c r="K1627"/>
  <c r="J1627"/>
  <c r="I1627"/>
  <c r="B1627"/>
  <c r="K1626"/>
  <c r="J1626"/>
  <c r="I1626"/>
  <c r="B1626"/>
  <c r="K1625"/>
  <c r="J1625"/>
  <c r="I1625"/>
  <c r="B1625"/>
  <c r="K1624"/>
  <c r="J1624"/>
  <c r="I1624"/>
  <c r="B1624"/>
  <c r="K1623"/>
  <c r="J1623"/>
  <c r="I1623"/>
  <c r="B1623"/>
  <c r="K1622"/>
  <c r="J1622"/>
  <c r="I1622"/>
  <c r="B1622"/>
  <c r="K1621"/>
  <c r="J1621"/>
  <c r="I1621"/>
  <c r="B1621"/>
  <c r="K1620"/>
  <c r="J1620"/>
  <c r="I1620"/>
  <c r="B1620"/>
  <c r="K1619"/>
  <c r="J1619"/>
  <c r="I1619"/>
  <c r="B1619"/>
  <c r="K1618"/>
  <c r="J1618"/>
  <c r="I1618"/>
  <c r="B1618"/>
  <c r="K1617"/>
  <c r="J1617"/>
  <c r="I1617"/>
  <c r="B1617"/>
  <c r="K1616"/>
  <c r="J1616"/>
  <c r="I1616"/>
  <c r="B1616"/>
  <c r="K1615"/>
  <c r="J1615"/>
  <c r="I1615"/>
  <c r="B1615"/>
  <c r="K1614"/>
  <c r="J1614"/>
  <c r="I1614"/>
  <c r="B1614"/>
  <c r="K1613"/>
  <c r="J1613"/>
  <c r="I1613"/>
  <c r="B1613"/>
  <c r="K1612"/>
  <c r="J1612"/>
  <c r="I1612"/>
  <c r="B1612"/>
  <c r="K1611"/>
  <c r="J1611"/>
  <c r="I1611"/>
  <c r="B1611"/>
  <c r="K1610"/>
  <c r="J1610"/>
  <c r="I1610"/>
  <c r="B1610"/>
  <c r="K1609"/>
  <c r="J1609"/>
  <c r="I1609"/>
  <c r="B1609"/>
  <c r="K1608"/>
  <c r="J1608"/>
  <c r="I1608"/>
  <c r="B1608"/>
  <c r="K1607"/>
  <c r="J1607"/>
  <c r="I1607"/>
  <c r="B1607"/>
  <c r="K1606"/>
  <c r="J1606"/>
  <c r="I1606"/>
  <c r="B1606"/>
  <c r="K1605"/>
  <c r="J1605"/>
  <c r="I1605"/>
  <c r="B1605"/>
  <c r="K1604"/>
  <c r="J1604"/>
  <c r="I1604"/>
  <c r="B1604"/>
  <c r="K1603"/>
  <c r="J1603"/>
  <c r="I1603"/>
  <c r="B1603"/>
  <c r="K1602"/>
  <c r="J1602"/>
  <c r="I1602"/>
  <c r="B1602"/>
  <c r="K1601"/>
  <c r="J1601"/>
  <c r="I1601"/>
  <c r="B1601"/>
  <c r="K1600"/>
  <c r="J1600"/>
  <c r="I1600"/>
  <c r="B1600"/>
  <c r="K1599"/>
  <c r="J1599"/>
  <c r="I1599"/>
  <c r="B1599"/>
  <c r="K1598"/>
  <c r="J1598"/>
  <c r="I1598"/>
  <c r="B1598"/>
  <c r="K1597"/>
  <c r="J1597"/>
  <c r="I1597"/>
  <c r="B1597"/>
  <c r="K1596"/>
  <c r="J1596"/>
  <c r="I1596"/>
  <c r="B1596"/>
  <c r="K1595"/>
  <c r="J1595"/>
  <c r="I1595"/>
  <c r="B1595"/>
  <c r="K1594"/>
  <c r="J1594"/>
  <c r="I1594"/>
  <c r="B1594"/>
  <c r="K1593"/>
  <c r="J1593"/>
  <c r="I1593"/>
  <c r="B1593"/>
  <c r="K1592"/>
  <c r="J1592"/>
  <c r="I1592"/>
  <c r="B1592"/>
  <c r="K1591"/>
  <c r="J1591"/>
  <c r="I1591"/>
  <c r="B1591"/>
  <c r="K1590"/>
  <c r="J1590"/>
  <c r="I1590"/>
  <c r="B1590"/>
  <c r="K1589"/>
  <c r="J1589"/>
  <c r="I1589"/>
  <c r="B1589"/>
  <c r="K1588"/>
  <c r="J1588"/>
  <c r="I1588"/>
  <c r="B1588"/>
  <c r="K1587"/>
  <c r="J1587"/>
  <c r="I1587"/>
  <c r="B1587"/>
  <c r="K1586"/>
  <c r="J1586"/>
  <c r="I1586"/>
  <c r="B1586"/>
  <c r="K1585"/>
  <c r="J1585"/>
  <c r="I1585"/>
  <c r="B1585"/>
  <c r="K1584"/>
  <c r="J1584"/>
  <c r="I1584"/>
  <c r="B1584"/>
  <c r="K1583"/>
  <c r="J1583"/>
  <c r="I1583"/>
  <c r="B1583"/>
  <c r="K1582"/>
  <c r="J1582"/>
  <c r="I1582"/>
  <c r="B1582"/>
  <c r="K1581"/>
  <c r="J1581"/>
  <c r="I1581"/>
  <c r="B1581"/>
  <c r="K1580"/>
  <c r="J1580"/>
  <c r="I1580"/>
  <c r="B1580"/>
  <c r="K1579"/>
  <c r="J1579"/>
  <c r="I1579"/>
  <c r="B1579"/>
  <c r="K1578"/>
  <c r="J1578"/>
  <c r="I1578"/>
  <c r="B1578"/>
  <c r="K1577"/>
  <c r="J1577"/>
  <c r="I1577"/>
  <c r="B1577"/>
  <c r="K1576"/>
  <c r="J1576"/>
  <c r="I1576"/>
  <c r="B1576"/>
  <c r="K1575"/>
  <c r="J1575"/>
  <c r="I1575"/>
  <c r="B1575"/>
  <c r="K1574"/>
  <c r="J1574"/>
  <c r="I1574"/>
  <c r="B1574"/>
  <c r="K1573"/>
  <c r="J1573"/>
  <c r="I1573"/>
  <c r="B1573"/>
  <c r="K1572"/>
  <c r="J1572"/>
  <c r="I1572"/>
  <c r="B1572"/>
  <c r="K1571"/>
  <c r="J1571"/>
  <c r="I1571"/>
  <c r="B1571"/>
  <c r="K1570"/>
  <c r="J1570"/>
  <c r="I1570"/>
  <c r="B1570"/>
  <c r="K1569"/>
  <c r="J1569"/>
  <c r="I1569"/>
  <c r="B1569"/>
  <c r="K1568"/>
  <c r="J1568"/>
  <c r="I1568"/>
  <c r="B1568"/>
  <c r="K1567"/>
  <c r="J1567"/>
  <c r="I1567"/>
  <c r="B1567"/>
  <c r="K1566"/>
  <c r="J1566"/>
  <c r="I1566"/>
  <c r="B1566"/>
  <c r="K1565"/>
  <c r="J1565"/>
  <c r="I1565"/>
  <c r="B1565"/>
  <c r="K1564"/>
  <c r="J1564"/>
  <c r="I1564"/>
  <c r="B1564"/>
  <c r="K1563"/>
  <c r="J1563"/>
  <c r="I1563"/>
  <c r="B1563"/>
  <c r="K1562"/>
  <c r="J1562"/>
  <c r="I1562"/>
  <c r="B1562"/>
  <c r="K1561"/>
  <c r="J1561"/>
  <c r="I1561"/>
  <c r="B1561"/>
  <c r="K1560"/>
  <c r="J1560"/>
  <c r="I1560"/>
  <c r="B1560"/>
  <c r="K1559"/>
  <c r="J1559"/>
  <c r="I1559"/>
  <c r="B1559"/>
  <c r="K1558"/>
  <c r="J1558"/>
  <c r="I1558"/>
  <c r="B1558"/>
  <c r="K1557"/>
  <c r="J1557"/>
  <c r="I1557"/>
  <c r="B1557"/>
  <c r="K1556"/>
  <c r="J1556"/>
  <c r="I1556"/>
  <c r="B1556"/>
  <c r="K1555"/>
  <c r="J1555"/>
  <c r="I1555"/>
  <c r="B1555"/>
  <c r="K1554"/>
  <c r="J1554"/>
  <c r="I1554"/>
  <c r="B1554"/>
  <c r="K1553"/>
  <c r="J1553"/>
  <c r="I1553"/>
  <c r="B1553"/>
  <c r="K1552"/>
  <c r="J1552"/>
  <c r="I1552"/>
  <c r="B1552"/>
  <c r="K1551"/>
  <c r="J1551"/>
  <c r="I1551"/>
  <c r="B1551"/>
  <c r="K1550"/>
  <c r="J1550"/>
  <c r="I1550"/>
  <c r="B1550"/>
  <c r="K1549"/>
  <c r="J1549"/>
  <c r="I1549"/>
  <c r="B1549"/>
  <c r="K1548"/>
  <c r="J1548"/>
  <c r="I1548"/>
  <c r="B1548"/>
  <c r="K1547"/>
  <c r="J1547"/>
  <c r="I1547"/>
  <c r="B1547"/>
  <c r="K1546"/>
  <c r="J1546"/>
  <c r="I1546"/>
  <c r="B1546"/>
  <c r="K1545"/>
  <c r="J1545"/>
  <c r="I1545"/>
  <c r="B1545"/>
  <c r="K1544"/>
  <c r="J1544"/>
  <c r="I1544"/>
  <c r="B1544"/>
  <c r="K1543"/>
  <c r="J1543"/>
  <c r="I1543"/>
  <c r="B1543"/>
  <c r="K1542"/>
  <c r="J1542"/>
  <c r="I1542"/>
  <c r="B1542"/>
  <c r="K1541"/>
  <c r="J1541"/>
  <c r="I1541"/>
  <c r="B1541"/>
  <c r="K1540"/>
  <c r="J1540"/>
  <c r="I1540"/>
  <c r="B1540"/>
  <c r="K1539"/>
  <c r="J1539"/>
  <c r="I1539"/>
  <c r="B1539"/>
  <c r="K1538"/>
  <c r="J1538"/>
  <c r="I1538"/>
  <c r="B1538"/>
  <c r="K1537"/>
  <c r="J1537"/>
  <c r="I1537"/>
  <c r="B1537"/>
  <c r="K1536"/>
  <c r="J1536"/>
  <c r="I1536"/>
  <c r="B1536"/>
  <c r="K1535"/>
  <c r="J1535"/>
  <c r="I1535"/>
  <c r="B1535"/>
  <c r="K1534"/>
  <c r="J1534"/>
  <c r="I1534"/>
  <c r="B1534"/>
  <c r="K1533"/>
  <c r="J1533"/>
  <c r="I1533"/>
  <c r="B1533"/>
  <c r="K1532"/>
  <c r="J1532"/>
  <c r="I1532"/>
  <c r="B1532"/>
  <c r="K1531"/>
  <c r="J1531"/>
  <c r="I1531"/>
  <c r="B1531"/>
  <c r="K1530"/>
  <c r="J1530"/>
  <c r="I1530"/>
  <c r="B1530"/>
  <c r="K1529"/>
  <c r="J1529"/>
  <c r="I1529"/>
  <c r="B1529"/>
  <c r="K1528"/>
  <c r="J1528"/>
  <c r="I1528"/>
  <c r="B1528"/>
  <c r="K1527"/>
  <c r="J1527"/>
  <c r="I1527"/>
  <c r="B1527"/>
  <c r="K1526"/>
  <c r="J1526"/>
  <c r="I1526"/>
  <c r="B1526"/>
  <c r="K1525"/>
  <c r="J1525"/>
  <c r="I1525"/>
  <c r="B1525"/>
  <c r="K1524"/>
  <c r="J1524"/>
  <c r="I1524"/>
  <c r="B1524"/>
  <c r="K1523"/>
  <c r="J1523"/>
  <c r="I1523"/>
  <c r="B1523"/>
  <c r="K1522"/>
  <c r="J1522"/>
  <c r="I1522"/>
  <c r="B1522"/>
  <c r="K1521"/>
  <c r="J1521"/>
  <c r="I1521"/>
  <c r="B1521"/>
  <c r="K1520"/>
  <c r="J1520"/>
  <c r="I1520"/>
  <c r="B1520"/>
  <c r="K1519"/>
  <c r="J1519"/>
  <c r="I1519"/>
  <c r="B1519"/>
  <c r="K1518"/>
  <c r="J1518"/>
  <c r="I1518"/>
  <c r="B1518"/>
  <c r="K1517"/>
  <c r="J1517"/>
  <c r="I1517"/>
  <c r="B1517"/>
  <c r="K1516"/>
  <c r="J1516"/>
  <c r="I1516"/>
  <c r="B1516"/>
  <c r="K1515"/>
  <c r="J1515"/>
  <c r="I1515"/>
  <c r="B1515"/>
  <c r="K1514"/>
  <c r="J1514"/>
  <c r="I1514"/>
  <c r="B1514"/>
  <c r="K1513"/>
  <c r="J1513"/>
  <c r="I1513"/>
  <c r="B1513"/>
  <c r="K1512"/>
  <c r="J1512"/>
  <c r="I1512"/>
  <c r="B1512"/>
  <c r="K1511"/>
  <c r="J1511"/>
  <c r="I1511"/>
  <c r="B1511"/>
  <c r="K1510"/>
  <c r="J1510"/>
  <c r="I1510"/>
  <c r="B1510"/>
  <c r="K1509"/>
  <c r="J1509"/>
  <c r="I1509"/>
  <c r="B1509"/>
  <c r="K1508"/>
  <c r="J1508"/>
  <c r="I1508"/>
  <c r="B1508"/>
  <c r="K1507"/>
  <c r="J1507"/>
  <c r="I1507"/>
  <c r="B1507"/>
  <c r="K1506"/>
  <c r="J1506"/>
  <c r="I1506"/>
  <c r="B1506"/>
  <c r="K1505"/>
  <c r="J1505"/>
  <c r="I1505"/>
  <c r="B1505"/>
  <c r="K1504"/>
  <c r="J1504"/>
  <c r="I1504"/>
  <c r="B1504"/>
  <c r="K1503"/>
  <c r="J1503"/>
  <c r="I1503"/>
  <c r="B1503"/>
  <c r="K1502"/>
  <c r="J1502"/>
  <c r="I1502"/>
  <c r="B1502"/>
  <c r="K1501"/>
  <c r="J1501"/>
  <c r="I1501"/>
  <c r="B1501"/>
  <c r="K1500"/>
  <c r="J1500"/>
  <c r="I1500"/>
  <c r="B1500"/>
  <c r="K1499"/>
  <c r="J1499"/>
  <c r="I1499"/>
  <c r="B1499"/>
  <c r="K1498"/>
  <c r="J1498"/>
  <c r="I1498"/>
  <c r="B1498"/>
  <c r="K1497"/>
  <c r="J1497"/>
  <c r="I1497"/>
  <c r="B1497"/>
  <c r="K1496"/>
  <c r="J1496"/>
  <c r="I1496"/>
  <c r="B1496"/>
  <c r="K1495"/>
  <c r="J1495"/>
  <c r="I1495"/>
  <c r="B1495"/>
  <c r="K1494"/>
  <c r="J1494"/>
  <c r="I1494"/>
  <c r="B1494"/>
  <c r="K1493"/>
  <c r="J1493"/>
  <c r="I1493"/>
  <c r="B1493"/>
  <c r="K1492"/>
  <c r="J1492"/>
  <c r="I1492"/>
  <c r="B1492"/>
  <c r="K1491"/>
  <c r="J1491"/>
  <c r="I1491"/>
  <c r="B1491"/>
  <c r="K1490"/>
  <c r="J1490"/>
  <c r="I1490"/>
  <c r="B1490"/>
  <c r="K1489"/>
  <c r="J1489"/>
  <c r="I1489"/>
  <c r="B1489"/>
  <c r="K1488"/>
  <c r="J1488"/>
  <c r="I1488"/>
  <c r="B1488"/>
  <c r="K1487"/>
  <c r="J1487"/>
  <c r="I1487"/>
  <c r="B1487"/>
  <c r="K1486"/>
  <c r="J1486"/>
  <c r="I1486"/>
  <c r="B1486"/>
  <c r="K1485"/>
  <c r="J1485"/>
  <c r="I1485"/>
  <c r="B1485"/>
  <c r="K1484"/>
  <c r="J1484"/>
  <c r="I1484"/>
  <c r="B1484"/>
  <c r="K1483"/>
  <c r="J1483"/>
  <c r="I1483"/>
  <c r="B1483"/>
  <c r="K1482"/>
  <c r="J1482"/>
  <c r="I1482"/>
  <c r="B1482"/>
  <c r="K1481"/>
  <c r="J1481"/>
  <c r="I1481"/>
  <c r="B1481"/>
  <c r="K1480"/>
  <c r="J1480"/>
  <c r="I1480"/>
  <c r="B1480"/>
  <c r="K1479"/>
  <c r="J1479"/>
  <c r="I1479"/>
  <c r="B1479"/>
  <c r="K1478"/>
  <c r="J1478"/>
  <c r="I1478"/>
  <c r="B1478"/>
  <c r="K1477"/>
  <c r="J1477"/>
  <c r="I1477"/>
  <c r="B1477"/>
  <c r="K1476"/>
  <c r="J1476"/>
  <c r="I1476"/>
  <c r="B1476"/>
  <c r="K1475"/>
  <c r="J1475"/>
  <c r="I1475"/>
  <c r="B1475"/>
  <c r="K1474"/>
  <c r="J1474"/>
  <c r="I1474"/>
  <c r="B1474"/>
  <c r="K1473"/>
  <c r="J1473"/>
  <c r="I1473"/>
  <c r="B1473"/>
  <c r="K1472"/>
  <c r="J1472"/>
  <c r="I1472"/>
  <c r="B1472"/>
  <c r="K1471"/>
  <c r="J1471"/>
  <c r="I1471"/>
  <c r="B1471"/>
  <c r="K1470"/>
  <c r="J1470"/>
  <c r="I1470"/>
  <c r="B1470"/>
  <c r="K1469"/>
  <c r="J1469"/>
  <c r="I1469"/>
  <c r="B1469"/>
  <c r="K1468"/>
  <c r="J1468"/>
  <c r="I1468"/>
  <c r="B1468"/>
  <c r="K1467"/>
  <c r="J1467"/>
  <c r="I1467"/>
  <c r="B1467"/>
  <c r="K1466"/>
  <c r="J1466"/>
  <c r="I1466"/>
  <c r="B1466"/>
  <c r="K1465"/>
  <c r="J1465"/>
  <c r="I1465"/>
  <c r="B1465"/>
  <c r="K1464"/>
  <c r="J1464"/>
  <c r="I1464"/>
  <c r="B1464"/>
  <c r="K1463"/>
  <c r="J1463"/>
  <c r="I1463"/>
  <c r="B1463"/>
  <c r="K1462"/>
  <c r="J1462"/>
  <c r="I1462"/>
  <c r="B1462"/>
  <c r="K1461"/>
  <c r="J1461"/>
  <c r="I1461"/>
  <c r="B1461"/>
  <c r="K1460"/>
  <c r="J1460"/>
  <c r="I1460"/>
  <c r="B1460"/>
  <c r="K1459"/>
  <c r="J1459"/>
  <c r="I1459"/>
  <c r="B1459"/>
  <c r="K1458"/>
  <c r="J1458"/>
  <c r="I1458"/>
  <c r="B1458"/>
  <c r="K1457"/>
  <c r="J1457"/>
  <c r="I1457"/>
  <c r="B1457"/>
  <c r="K1456"/>
  <c r="J1456"/>
  <c r="I1456"/>
  <c r="B1456"/>
  <c r="K1455"/>
  <c r="J1455"/>
  <c r="I1455"/>
  <c r="B1455"/>
  <c r="K1454"/>
  <c r="J1454"/>
  <c r="I1454"/>
  <c r="B1454"/>
  <c r="K1453"/>
  <c r="J1453"/>
  <c r="I1453"/>
  <c r="B1453"/>
  <c r="K1452"/>
  <c r="J1452"/>
  <c r="I1452"/>
  <c r="B1452"/>
  <c r="K1451"/>
  <c r="J1451"/>
  <c r="I1451"/>
  <c r="B1451"/>
  <c r="K1450"/>
  <c r="J1450"/>
  <c r="I1450"/>
  <c r="B1450"/>
  <c r="K1449"/>
  <c r="J1449"/>
  <c r="I1449"/>
  <c r="B1449"/>
  <c r="K1448"/>
  <c r="J1448"/>
  <c r="I1448"/>
  <c r="B1448"/>
  <c r="K1447"/>
  <c r="J1447"/>
  <c r="I1447"/>
  <c r="B1447"/>
  <c r="K1446"/>
  <c r="J1446"/>
  <c r="I1446"/>
  <c r="B1446"/>
  <c r="K1445"/>
  <c r="J1445"/>
  <c r="I1445"/>
  <c r="B1445"/>
  <c r="K1444"/>
  <c r="J1444"/>
  <c r="I1444"/>
  <c r="B1444"/>
  <c r="K1443"/>
  <c r="J1443"/>
  <c r="I1443"/>
  <c r="B1443"/>
  <c r="K1442"/>
  <c r="J1442"/>
  <c r="I1442"/>
  <c r="B1442"/>
  <c r="K1441"/>
  <c r="J1441"/>
  <c r="I1441"/>
  <c r="B1441"/>
  <c r="K1440"/>
  <c r="J1440"/>
  <c r="I1440"/>
  <c r="B1440"/>
  <c r="K1439"/>
  <c r="J1439"/>
  <c r="I1439"/>
  <c r="B1439"/>
  <c r="K1438"/>
  <c r="J1438"/>
  <c r="I1438"/>
  <c r="B1438"/>
  <c r="K1437"/>
  <c r="J1437"/>
  <c r="I1437"/>
  <c r="B1437"/>
  <c r="K1436"/>
  <c r="J1436"/>
  <c r="I1436"/>
  <c r="B1436"/>
  <c r="K1435"/>
  <c r="J1435"/>
  <c r="I1435"/>
  <c r="B1435"/>
  <c r="K1434"/>
  <c r="J1434"/>
  <c r="I1434"/>
  <c r="B1434"/>
  <c r="K1433"/>
  <c r="J1433"/>
  <c r="I1433"/>
  <c r="B1433"/>
  <c r="K1432"/>
  <c r="J1432"/>
  <c r="I1432"/>
  <c r="B1432"/>
  <c r="K1431"/>
  <c r="J1431"/>
  <c r="I1431"/>
  <c r="B1431"/>
  <c r="K1430"/>
  <c r="J1430"/>
  <c r="I1430"/>
  <c r="B1430"/>
  <c r="K1429"/>
  <c r="J1429"/>
  <c r="I1429"/>
  <c r="B1429"/>
  <c r="K1428"/>
  <c r="J1428"/>
  <c r="I1428"/>
  <c r="B1428"/>
  <c r="K1427"/>
  <c r="J1427"/>
  <c r="I1427"/>
  <c r="B1427"/>
  <c r="K1426"/>
  <c r="J1426"/>
  <c r="I1426"/>
  <c r="B1426"/>
  <c r="K1425"/>
  <c r="J1425"/>
  <c r="I1425"/>
  <c r="B1425"/>
  <c r="K1424"/>
  <c r="J1424"/>
  <c r="I1424"/>
  <c r="B1424"/>
  <c r="K1423"/>
  <c r="J1423"/>
  <c r="I1423"/>
  <c r="B1423"/>
  <c r="K1422"/>
  <c r="J1422"/>
  <c r="I1422"/>
  <c r="B1422"/>
  <c r="K1421"/>
  <c r="J1421"/>
  <c r="I1421"/>
  <c r="B1421"/>
  <c r="K1420"/>
  <c r="J1420"/>
  <c r="I1420"/>
  <c r="B1420"/>
  <c r="K1419"/>
  <c r="J1419"/>
  <c r="I1419"/>
  <c r="B1419"/>
  <c r="K1418"/>
  <c r="J1418"/>
  <c r="I1418"/>
  <c r="B1418"/>
  <c r="K1417"/>
  <c r="J1417"/>
  <c r="I1417"/>
  <c r="B1417"/>
  <c r="K1416"/>
  <c r="J1416"/>
  <c r="I1416"/>
  <c r="B1416"/>
  <c r="K1415"/>
  <c r="J1415"/>
  <c r="I1415"/>
  <c r="B1415"/>
  <c r="K1414"/>
  <c r="J1414"/>
  <c r="I1414"/>
  <c r="B1414"/>
  <c r="K1413"/>
  <c r="J1413"/>
  <c r="I1413"/>
  <c r="B1413"/>
  <c r="K1412"/>
  <c r="J1412"/>
  <c r="I1412"/>
  <c r="B1412"/>
  <c r="K1411"/>
  <c r="J1411"/>
  <c r="I1411"/>
  <c r="B1411"/>
  <c r="K1410"/>
  <c r="J1410"/>
  <c r="I1410"/>
  <c r="B1410"/>
  <c r="K1409"/>
  <c r="J1409"/>
  <c r="I1409"/>
  <c r="B1409"/>
  <c r="K1408"/>
  <c r="J1408"/>
  <c r="I1408"/>
  <c r="B1408"/>
  <c r="K1407"/>
  <c r="J1407"/>
  <c r="I1407"/>
  <c r="B1407"/>
  <c r="K1406"/>
  <c r="J1406"/>
  <c r="I1406"/>
  <c r="B1406"/>
  <c r="K1405"/>
  <c r="J1405"/>
  <c r="I1405"/>
  <c r="B1405"/>
  <c r="K1404"/>
  <c r="J1404"/>
  <c r="I1404"/>
  <c r="B1404"/>
  <c r="K1403"/>
  <c r="J1403"/>
  <c r="I1403"/>
  <c r="B1403"/>
  <c r="K1402"/>
  <c r="J1402"/>
  <c r="I1402"/>
  <c r="B1402"/>
  <c r="K1401"/>
  <c r="J1401"/>
  <c r="I1401"/>
  <c r="B1401"/>
  <c r="K1400"/>
  <c r="J1400"/>
  <c r="I1400"/>
  <c r="B1400"/>
  <c r="K1399"/>
  <c r="J1399"/>
  <c r="I1399"/>
  <c r="B1399"/>
  <c r="K1398"/>
  <c r="J1398"/>
  <c r="I1398"/>
  <c r="B1398"/>
  <c r="K1397"/>
  <c r="J1397"/>
  <c r="I1397"/>
  <c r="B1397"/>
  <c r="K1396"/>
  <c r="J1396"/>
  <c r="I1396"/>
  <c r="B1396"/>
  <c r="K1395"/>
  <c r="J1395"/>
  <c r="I1395"/>
  <c r="B1395"/>
  <c r="K1394"/>
  <c r="J1394"/>
  <c r="I1394"/>
  <c r="B1394"/>
  <c r="K1393"/>
  <c r="J1393"/>
  <c r="I1393"/>
  <c r="B1393"/>
  <c r="K1392"/>
  <c r="J1392"/>
  <c r="I1392"/>
  <c r="B1392"/>
  <c r="K1391"/>
  <c r="J1391"/>
  <c r="I1391"/>
  <c r="B1391"/>
  <c r="K1390"/>
  <c r="J1390"/>
  <c r="I1390"/>
  <c r="B1390"/>
  <c r="K1389"/>
  <c r="J1389"/>
  <c r="I1389"/>
  <c r="B1389"/>
  <c r="K1388"/>
  <c r="J1388"/>
  <c r="I1388"/>
  <c r="B1388"/>
  <c r="K1387"/>
  <c r="J1387"/>
  <c r="I1387"/>
  <c r="B1387"/>
  <c r="K1386"/>
  <c r="J1386"/>
  <c r="I1386"/>
  <c r="B1386"/>
  <c r="K1385"/>
  <c r="J1385"/>
  <c r="I1385"/>
  <c r="B1385"/>
  <c r="K1384"/>
  <c r="J1384"/>
  <c r="I1384"/>
  <c r="B1384"/>
  <c r="K1383"/>
  <c r="J1383"/>
  <c r="I1383"/>
  <c r="B1383"/>
  <c r="K1382"/>
  <c r="J1382"/>
  <c r="I1382"/>
  <c r="B1382"/>
  <c r="K1381"/>
  <c r="J1381"/>
  <c r="I1381"/>
  <c r="B1381"/>
  <c r="K1380"/>
  <c r="J1380"/>
  <c r="I1380"/>
  <c r="B1380"/>
  <c r="K1379"/>
  <c r="J1379"/>
  <c r="I1379"/>
  <c r="B1379"/>
  <c r="K1378"/>
  <c r="J1378"/>
  <c r="I1378"/>
  <c r="B1378"/>
  <c r="K1377"/>
  <c r="J1377"/>
  <c r="I1377"/>
  <c r="B1377"/>
  <c r="K1376"/>
  <c r="J1376"/>
  <c r="I1376"/>
  <c r="B1376"/>
  <c r="K1375"/>
  <c r="J1375"/>
  <c r="I1375"/>
  <c r="B1375"/>
  <c r="K1374"/>
  <c r="J1374"/>
  <c r="I1374"/>
  <c r="B1374"/>
  <c r="K1373"/>
  <c r="J1373"/>
  <c r="I1373"/>
  <c r="B1373"/>
  <c r="K1372"/>
  <c r="J1372"/>
  <c r="I1372"/>
  <c r="B1372"/>
  <c r="K1371"/>
  <c r="J1371"/>
  <c r="I1371"/>
  <c r="B1371"/>
  <c r="K1370"/>
  <c r="J1370"/>
  <c r="I1370"/>
  <c r="B1370"/>
  <c r="K1369"/>
  <c r="J1369"/>
  <c r="I1369"/>
  <c r="B1369"/>
  <c r="K1368"/>
  <c r="J1368"/>
  <c r="I1368"/>
  <c r="B1368"/>
  <c r="K1367"/>
  <c r="J1367"/>
  <c r="I1367"/>
  <c r="B1367"/>
  <c r="K1366"/>
  <c r="J1366"/>
  <c r="I1366"/>
  <c r="B1366"/>
  <c r="K1365"/>
  <c r="J1365"/>
  <c r="I1365"/>
  <c r="B1365"/>
  <c r="K1364"/>
  <c r="J1364"/>
  <c r="I1364"/>
  <c r="B1364"/>
  <c r="K1363"/>
  <c r="J1363"/>
  <c r="I1363"/>
  <c r="B1363"/>
  <c r="K1362"/>
  <c r="J1362"/>
  <c r="I1362"/>
  <c r="B1362"/>
  <c r="K1361"/>
  <c r="J1361"/>
  <c r="I1361"/>
  <c r="B1361"/>
  <c r="K1360"/>
  <c r="J1360"/>
  <c r="I1360"/>
  <c r="B1360"/>
  <c r="K1359"/>
  <c r="J1359"/>
  <c r="I1359"/>
  <c r="B1359"/>
  <c r="K1358"/>
  <c r="J1358"/>
  <c r="I1358"/>
  <c r="B1358"/>
  <c r="K1357"/>
  <c r="J1357"/>
  <c r="I1357"/>
  <c r="B1357"/>
  <c r="K1356"/>
  <c r="J1356"/>
  <c r="I1356"/>
  <c r="B1356"/>
  <c r="K1355"/>
  <c r="J1355"/>
  <c r="I1355"/>
  <c r="B1355"/>
  <c r="K1354"/>
  <c r="J1354"/>
  <c r="I1354"/>
  <c r="B1354"/>
  <c r="K1353"/>
  <c r="J1353"/>
  <c r="I1353"/>
  <c r="B1353"/>
  <c r="K1352"/>
  <c r="J1352"/>
  <c r="I1352"/>
  <c r="B1352"/>
  <c r="K1351"/>
  <c r="J1351"/>
  <c r="I1351"/>
  <c r="B1351"/>
  <c r="K1350"/>
  <c r="J1350"/>
  <c r="I1350"/>
  <c r="B1350"/>
  <c r="K1349"/>
  <c r="J1349"/>
  <c r="I1349"/>
  <c r="B1349"/>
  <c r="K1348"/>
  <c r="J1348"/>
  <c r="I1348"/>
  <c r="B1348"/>
  <c r="K1347"/>
  <c r="J1347"/>
  <c r="I1347"/>
  <c r="B1347"/>
  <c r="K1346"/>
  <c r="J1346"/>
  <c r="I1346"/>
  <c r="B1346"/>
  <c r="K1345"/>
  <c r="J1345"/>
  <c r="I1345"/>
  <c r="B1345"/>
  <c r="K1344"/>
  <c r="J1344"/>
  <c r="I1344"/>
  <c r="B1344"/>
  <c r="K1343"/>
  <c r="J1343"/>
  <c r="I1343"/>
  <c r="B1343"/>
  <c r="K1342"/>
  <c r="J1342"/>
  <c r="I1342"/>
  <c r="B1342"/>
  <c r="K1341"/>
  <c r="J1341"/>
  <c r="I1341"/>
  <c r="B1341"/>
  <c r="K1340"/>
  <c r="J1340"/>
  <c r="I1340"/>
  <c r="B1340"/>
  <c r="K1339"/>
  <c r="J1339"/>
  <c r="I1339"/>
  <c r="B1339"/>
  <c r="K1338"/>
  <c r="J1338"/>
  <c r="I1338"/>
  <c r="B1338"/>
  <c r="K1337"/>
  <c r="J1337"/>
  <c r="I1337"/>
  <c r="B1337"/>
  <c r="K1336"/>
  <c r="J1336"/>
  <c r="I1336"/>
  <c r="B1336"/>
  <c r="K1335"/>
  <c r="J1335"/>
  <c r="I1335"/>
  <c r="B1335"/>
  <c r="K1334"/>
  <c r="J1334"/>
  <c r="I1334"/>
  <c r="B1334"/>
  <c r="K1333"/>
  <c r="J1333"/>
  <c r="I1333"/>
  <c r="B1333"/>
  <c r="K1332"/>
  <c r="J1332"/>
  <c r="I1332"/>
  <c r="B1332"/>
  <c r="K1331"/>
  <c r="J1331"/>
  <c r="I1331"/>
  <c r="B1331"/>
  <c r="K1330"/>
  <c r="J1330"/>
  <c r="I1330"/>
  <c r="B1330"/>
  <c r="K1329"/>
  <c r="J1329"/>
  <c r="I1329"/>
  <c r="B1329"/>
  <c r="K1328"/>
  <c r="J1328"/>
  <c r="I1328"/>
  <c r="B1328"/>
  <c r="K1327"/>
  <c r="J1327"/>
  <c r="I1327"/>
  <c r="B1327"/>
  <c r="K1326"/>
  <c r="J1326"/>
  <c r="I1326"/>
  <c r="B1326"/>
  <c r="K1325"/>
  <c r="J1325"/>
  <c r="I1325"/>
  <c r="B1325"/>
  <c r="K1324"/>
  <c r="J1324"/>
  <c r="I1324"/>
  <c r="B1324"/>
  <c r="K1323"/>
  <c r="J1323"/>
  <c r="I1323"/>
  <c r="B1323"/>
  <c r="K1322"/>
  <c r="J1322"/>
  <c r="I1322"/>
  <c r="B1322"/>
  <c r="K1321"/>
  <c r="J1321"/>
  <c r="I1321"/>
  <c r="B1321"/>
  <c r="K1320"/>
  <c r="J1320"/>
  <c r="I1320"/>
  <c r="B1320"/>
  <c r="K1319"/>
  <c r="J1319"/>
  <c r="I1319"/>
  <c r="B1319"/>
  <c r="K1318"/>
  <c r="J1318"/>
  <c r="I1318"/>
  <c r="B1318"/>
  <c r="K1317"/>
  <c r="J1317"/>
  <c r="I1317"/>
  <c r="B1317"/>
  <c r="K1316"/>
  <c r="J1316"/>
  <c r="I1316"/>
  <c r="B1316"/>
  <c r="K1315"/>
  <c r="J1315"/>
  <c r="I1315"/>
  <c r="B1315"/>
  <c r="K1314"/>
  <c r="J1314"/>
  <c r="I1314"/>
  <c r="B1314"/>
  <c r="K1313"/>
  <c r="J1313"/>
  <c r="I1313"/>
  <c r="B1313"/>
  <c r="K1312"/>
  <c r="J1312"/>
  <c r="I1312"/>
  <c r="B1312"/>
  <c r="K1311"/>
  <c r="J1311"/>
  <c r="I1311"/>
  <c r="B1311"/>
  <c r="K1310"/>
  <c r="J1310"/>
  <c r="I1310"/>
  <c r="B1310"/>
  <c r="K1309"/>
  <c r="J1309"/>
  <c r="I1309"/>
  <c r="B1309"/>
  <c r="K1308"/>
  <c r="J1308"/>
  <c r="I1308"/>
  <c r="B1308"/>
  <c r="K1307"/>
  <c r="J1307"/>
  <c r="I1307"/>
  <c r="B1307"/>
  <c r="K1306"/>
  <c r="J1306"/>
  <c r="I1306"/>
  <c r="B1306"/>
  <c r="K1305"/>
  <c r="J1305"/>
  <c r="I1305"/>
  <c r="B1305"/>
  <c r="K1304"/>
  <c r="J1304"/>
  <c r="I1304"/>
  <c r="B1304"/>
  <c r="K1303"/>
  <c r="J1303"/>
  <c r="I1303"/>
  <c r="B1303"/>
  <c r="K1302"/>
  <c r="J1302"/>
  <c r="I1302"/>
  <c r="B1302"/>
  <c r="K1301"/>
  <c r="J1301"/>
  <c r="I1301"/>
  <c r="B1301"/>
  <c r="K1300"/>
  <c r="J1300"/>
  <c r="I1300"/>
  <c r="B1300"/>
  <c r="K1299"/>
  <c r="J1299"/>
  <c r="I1299"/>
  <c r="B1299"/>
  <c r="K1298"/>
  <c r="J1298"/>
  <c r="I1298"/>
  <c r="B1298"/>
  <c r="K1297"/>
  <c r="J1297"/>
  <c r="I1297"/>
  <c r="B1297"/>
  <c r="K1296"/>
  <c r="J1296"/>
  <c r="I1296"/>
  <c r="B1296"/>
  <c r="K1295"/>
  <c r="J1295"/>
  <c r="I1295"/>
  <c r="B1295"/>
  <c r="K1294"/>
  <c r="J1294"/>
  <c r="I1294"/>
  <c r="B1294"/>
  <c r="K1293"/>
  <c r="J1293"/>
  <c r="I1293"/>
  <c r="B1293"/>
  <c r="K1292"/>
  <c r="J1292"/>
  <c r="I1292"/>
  <c r="B1292"/>
  <c r="K1291"/>
  <c r="J1291"/>
  <c r="I1291"/>
  <c r="B1291"/>
  <c r="K1290"/>
  <c r="J1290"/>
  <c r="I1290"/>
  <c r="B1290"/>
  <c r="K1289"/>
  <c r="J1289"/>
  <c r="I1289"/>
  <c r="B1289"/>
  <c r="K1288"/>
  <c r="J1288"/>
  <c r="I1288"/>
  <c r="B1288"/>
  <c r="K1287"/>
  <c r="J1287"/>
  <c r="I1287"/>
  <c r="B1287"/>
  <c r="K1286"/>
  <c r="J1286"/>
  <c r="I1286"/>
  <c r="B1286"/>
  <c r="K1285"/>
  <c r="J1285"/>
  <c r="I1285"/>
  <c r="B1285"/>
  <c r="K1284"/>
  <c r="J1284"/>
  <c r="I1284"/>
  <c r="B1284"/>
  <c r="K1283"/>
  <c r="J1283"/>
  <c r="I1283"/>
  <c r="B1283"/>
  <c r="K1282"/>
  <c r="J1282"/>
  <c r="I1282"/>
  <c r="B1282"/>
  <c r="K1281"/>
  <c r="J1281"/>
  <c r="I1281"/>
  <c r="B1281"/>
  <c r="K1280"/>
  <c r="J1280"/>
  <c r="I1280"/>
  <c r="B1280"/>
  <c r="K1279"/>
  <c r="J1279"/>
  <c r="I1279"/>
  <c r="B1279"/>
  <c r="K1278"/>
  <c r="J1278"/>
  <c r="I1278"/>
  <c r="B1278"/>
  <c r="K1277"/>
  <c r="J1277"/>
  <c r="I1277"/>
  <c r="B1277"/>
  <c r="K1276"/>
  <c r="J1276"/>
  <c r="I1276"/>
  <c r="B1276"/>
  <c r="K1275"/>
  <c r="J1275"/>
  <c r="I1275"/>
  <c r="B1275"/>
  <c r="K1274"/>
  <c r="J1274"/>
  <c r="I1274"/>
  <c r="B1274"/>
  <c r="K1273"/>
  <c r="J1273"/>
  <c r="I1273"/>
  <c r="B1273"/>
  <c r="K1272"/>
  <c r="J1272"/>
  <c r="I1272"/>
  <c r="B1272"/>
  <c r="K1271"/>
  <c r="J1271"/>
  <c r="I1271"/>
  <c r="B1271"/>
  <c r="K1270"/>
  <c r="J1270"/>
  <c r="I1270"/>
  <c r="B1270"/>
  <c r="K1269"/>
  <c r="J1269"/>
  <c r="I1269"/>
  <c r="B1269"/>
  <c r="K1268"/>
  <c r="J1268"/>
  <c r="I1268"/>
  <c r="B1268"/>
  <c r="K1267"/>
  <c r="J1267"/>
  <c r="I1267"/>
  <c r="B1267"/>
  <c r="K1266"/>
  <c r="J1266"/>
  <c r="I1266"/>
  <c r="B1266"/>
  <c r="K1265"/>
  <c r="J1265"/>
  <c r="I1265"/>
  <c r="B1265"/>
  <c r="K1264"/>
  <c r="J1264"/>
  <c r="I1264"/>
  <c r="B1264"/>
  <c r="K1263"/>
  <c r="J1263"/>
  <c r="I1263"/>
  <c r="B1263"/>
  <c r="K1262"/>
  <c r="J1262"/>
  <c r="I1262"/>
  <c r="B1262"/>
  <c r="K1261"/>
  <c r="J1261"/>
  <c r="I1261"/>
  <c r="B1261"/>
  <c r="K1260"/>
  <c r="J1260"/>
  <c r="I1260"/>
  <c r="B1260"/>
  <c r="K1259"/>
  <c r="J1259"/>
  <c r="I1259"/>
  <c r="B1259"/>
  <c r="K1258"/>
  <c r="J1258"/>
  <c r="I1258"/>
  <c r="B1258"/>
  <c r="K1257"/>
  <c r="J1257"/>
  <c r="I1257"/>
  <c r="B1257"/>
  <c r="K1256"/>
  <c r="J1256"/>
  <c r="I1256"/>
  <c r="B1256"/>
  <c r="K1255"/>
  <c r="J1255"/>
  <c r="I1255"/>
  <c r="B1255"/>
  <c r="K1254"/>
  <c r="J1254"/>
  <c r="I1254"/>
  <c r="B1254"/>
  <c r="K1253"/>
  <c r="J1253"/>
  <c r="I1253"/>
  <c r="B1253"/>
  <c r="K1252"/>
  <c r="J1252"/>
  <c r="I1252"/>
  <c r="B1252"/>
  <c r="K1251"/>
  <c r="J1251"/>
  <c r="I1251"/>
  <c r="B1251"/>
  <c r="K1250"/>
  <c r="J1250"/>
  <c r="I1250"/>
  <c r="B1250"/>
  <c r="K1249"/>
  <c r="J1249"/>
  <c r="I1249"/>
  <c r="B1249"/>
  <c r="K1248"/>
  <c r="J1248"/>
  <c r="I1248"/>
  <c r="B1248"/>
  <c r="K1247"/>
  <c r="J1247"/>
  <c r="I1247"/>
  <c r="B1247"/>
  <c r="K1246"/>
  <c r="J1246"/>
  <c r="I1246"/>
  <c r="B1246"/>
  <c r="K1245"/>
  <c r="J1245"/>
  <c r="I1245"/>
  <c r="B1245"/>
  <c r="K1244"/>
  <c r="J1244"/>
  <c r="I1244"/>
  <c r="B1244"/>
  <c r="K1243"/>
  <c r="J1243"/>
  <c r="I1243"/>
  <c r="B1243"/>
  <c r="K1242"/>
  <c r="J1242"/>
  <c r="I1242"/>
  <c r="B1242"/>
  <c r="K1241"/>
  <c r="J1241"/>
  <c r="I1241"/>
  <c r="B1241"/>
  <c r="K1240"/>
  <c r="J1240"/>
  <c r="I1240"/>
  <c r="B1240"/>
  <c r="K1239"/>
  <c r="J1239"/>
  <c r="I1239"/>
  <c r="B1239"/>
  <c r="K1238"/>
  <c r="J1238"/>
  <c r="I1238"/>
  <c r="B1238"/>
  <c r="K1237"/>
  <c r="J1237"/>
  <c r="I1237"/>
  <c r="B1237"/>
  <c r="K1236"/>
  <c r="J1236"/>
  <c r="I1236"/>
  <c r="B1236"/>
  <c r="K1235"/>
  <c r="J1235"/>
  <c r="I1235"/>
  <c r="B1235"/>
  <c r="K1234"/>
  <c r="J1234"/>
  <c r="I1234"/>
  <c r="B1234"/>
  <c r="K1233"/>
  <c r="J1233"/>
  <c r="I1233"/>
  <c r="B1233"/>
  <c r="K1232"/>
  <c r="J1232"/>
  <c r="I1232"/>
  <c r="B1232"/>
  <c r="K1231"/>
  <c r="J1231"/>
  <c r="I1231"/>
  <c r="B1231"/>
  <c r="K1230"/>
  <c r="J1230"/>
  <c r="I1230"/>
  <c r="B1230"/>
  <c r="K1229"/>
  <c r="J1229"/>
  <c r="I1229"/>
  <c r="B1229"/>
  <c r="K1228"/>
  <c r="J1228"/>
  <c r="I1228"/>
  <c r="B1228"/>
  <c r="K1227"/>
  <c r="J1227"/>
  <c r="I1227"/>
  <c r="B1227"/>
  <c r="K1226"/>
  <c r="J1226"/>
  <c r="I1226"/>
  <c r="B1226"/>
  <c r="K1225"/>
  <c r="J1225"/>
  <c r="I1225"/>
  <c r="B1225"/>
  <c r="K1224"/>
  <c r="J1224"/>
  <c r="I1224"/>
  <c r="B1224"/>
  <c r="K1223"/>
  <c r="J1223"/>
  <c r="I1223"/>
  <c r="B1223"/>
  <c r="K1222"/>
  <c r="J1222"/>
  <c r="I1222"/>
  <c r="B1222"/>
  <c r="K1221"/>
  <c r="J1221"/>
  <c r="I1221"/>
  <c r="B1221"/>
  <c r="K1220"/>
  <c r="J1220"/>
  <c r="I1220"/>
  <c r="B1220"/>
  <c r="K1219"/>
  <c r="J1219"/>
  <c r="I1219"/>
  <c r="B1219"/>
  <c r="K1218"/>
  <c r="J1218"/>
  <c r="I1218"/>
  <c r="B1218"/>
  <c r="K1217"/>
  <c r="J1217"/>
  <c r="I1217"/>
  <c r="B1217"/>
  <c r="K1216"/>
  <c r="J1216"/>
  <c r="I1216"/>
  <c r="B1216"/>
  <c r="K1215"/>
  <c r="J1215"/>
  <c r="I1215"/>
  <c r="B1215"/>
  <c r="K1214"/>
  <c r="J1214"/>
  <c r="I1214"/>
  <c r="B1214"/>
  <c r="K1213"/>
  <c r="J1213"/>
  <c r="I1213"/>
  <c r="B1213"/>
  <c r="K1212"/>
  <c r="J1212"/>
  <c r="I1212"/>
  <c r="B1212"/>
  <c r="K1211"/>
  <c r="J1211"/>
  <c r="I1211"/>
  <c r="B1211"/>
  <c r="K1210"/>
  <c r="J1210"/>
  <c r="I1210"/>
  <c r="B1210"/>
  <c r="K1209"/>
  <c r="J1209"/>
  <c r="I1209"/>
  <c r="B1209"/>
  <c r="K1208"/>
  <c r="J1208"/>
  <c r="I1208"/>
  <c r="B1208"/>
  <c r="K1207"/>
  <c r="J1207"/>
  <c r="I1207"/>
  <c r="B1207"/>
  <c r="K1206"/>
  <c r="J1206"/>
  <c r="I1206"/>
  <c r="B1206"/>
  <c r="K1205"/>
  <c r="J1205"/>
  <c r="I1205"/>
  <c r="B1205"/>
  <c r="K1204"/>
  <c r="J1204"/>
  <c r="I1204"/>
  <c r="B1204"/>
  <c r="K1203"/>
  <c r="J1203"/>
  <c r="I1203"/>
  <c r="B1203"/>
  <c r="K1202"/>
  <c r="J1202"/>
  <c r="I1202"/>
  <c r="B1202"/>
  <c r="K1201"/>
  <c r="J1201"/>
  <c r="I1201"/>
  <c r="B1201"/>
  <c r="K1200"/>
  <c r="J1200"/>
  <c r="I1200"/>
  <c r="B1200"/>
  <c r="K1199"/>
  <c r="J1199"/>
  <c r="I1199"/>
  <c r="B1199"/>
  <c r="K1198"/>
  <c r="J1198"/>
  <c r="I1198"/>
  <c r="B1198"/>
  <c r="K1197"/>
  <c r="J1197"/>
  <c r="I1197"/>
  <c r="B1197"/>
  <c r="K1196"/>
  <c r="J1196"/>
  <c r="I1196"/>
  <c r="B1196"/>
  <c r="K1195"/>
  <c r="J1195"/>
  <c r="I1195"/>
  <c r="B1195"/>
  <c r="K1194"/>
  <c r="J1194"/>
  <c r="I1194"/>
  <c r="B1194"/>
  <c r="K1193"/>
  <c r="J1193"/>
  <c r="I1193"/>
  <c r="B1193"/>
  <c r="K1192"/>
  <c r="J1192"/>
  <c r="I1192"/>
  <c r="B1192"/>
  <c r="K1191"/>
  <c r="J1191"/>
  <c r="I1191"/>
  <c r="B1191"/>
  <c r="K1190"/>
  <c r="J1190"/>
  <c r="I1190"/>
  <c r="B1190"/>
  <c r="K1189"/>
  <c r="J1189"/>
  <c r="I1189"/>
  <c r="B1189"/>
  <c r="K1188"/>
  <c r="J1188"/>
  <c r="I1188"/>
  <c r="B1188"/>
  <c r="K1187"/>
  <c r="J1187"/>
  <c r="I1187"/>
  <c r="B1187"/>
  <c r="K1186"/>
  <c r="J1186"/>
  <c r="I1186"/>
  <c r="B1186"/>
  <c r="K1185"/>
  <c r="J1185"/>
  <c r="I1185"/>
  <c r="B1185"/>
  <c r="K1184"/>
  <c r="J1184"/>
  <c r="I1184"/>
  <c r="B1184"/>
  <c r="K1183"/>
  <c r="J1183"/>
  <c r="I1183"/>
  <c r="B1183"/>
  <c r="K1182"/>
  <c r="J1182"/>
  <c r="I1182"/>
  <c r="B1182"/>
  <c r="K1181"/>
  <c r="J1181"/>
  <c r="I1181"/>
  <c r="B1181"/>
  <c r="K1180"/>
  <c r="J1180"/>
  <c r="I1180"/>
  <c r="B1180"/>
  <c r="K1179"/>
  <c r="J1179"/>
  <c r="I1179"/>
  <c r="B1179"/>
  <c r="K1178"/>
  <c r="J1178"/>
  <c r="I1178"/>
  <c r="B1178"/>
  <c r="K1177"/>
  <c r="J1177"/>
  <c r="I1177"/>
  <c r="B1177"/>
  <c r="K1176"/>
  <c r="J1176"/>
  <c r="I1176"/>
  <c r="B1176"/>
  <c r="K1175"/>
  <c r="J1175"/>
  <c r="I1175"/>
  <c r="B1175"/>
  <c r="K1174"/>
  <c r="J1174"/>
  <c r="I1174"/>
  <c r="B1174"/>
  <c r="K1173"/>
  <c r="J1173"/>
  <c r="I1173"/>
  <c r="B1173"/>
  <c r="K1172"/>
  <c r="J1172"/>
  <c r="I1172"/>
  <c r="B1172"/>
  <c r="K1171"/>
  <c r="J1171"/>
  <c r="I1171"/>
  <c r="B1171"/>
  <c r="K1170"/>
  <c r="J1170"/>
  <c r="I1170"/>
  <c r="B1170"/>
  <c r="K1169"/>
  <c r="J1169"/>
  <c r="I1169"/>
  <c r="B1169"/>
  <c r="K1168"/>
  <c r="J1168"/>
  <c r="I1168"/>
  <c r="B1168"/>
  <c r="K1167"/>
  <c r="J1167"/>
  <c r="I1167"/>
  <c r="B1167"/>
  <c r="K1166"/>
  <c r="J1166"/>
  <c r="I1166"/>
  <c r="B1166"/>
  <c r="K1165"/>
  <c r="J1165"/>
  <c r="I1165"/>
  <c r="B1165"/>
  <c r="K1164"/>
  <c r="J1164"/>
  <c r="I1164"/>
  <c r="B1164"/>
  <c r="K1163"/>
  <c r="J1163"/>
  <c r="I1163"/>
  <c r="B1163"/>
  <c r="K1162"/>
  <c r="J1162"/>
  <c r="I1162"/>
  <c r="B1162"/>
  <c r="K1161"/>
  <c r="J1161"/>
  <c r="I1161"/>
  <c r="B1161"/>
  <c r="K1160"/>
  <c r="J1160"/>
  <c r="I1160"/>
  <c r="B1160"/>
  <c r="K1159"/>
  <c r="J1159"/>
  <c r="I1159"/>
  <c r="B1159"/>
  <c r="K1158"/>
  <c r="J1158"/>
  <c r="I1158"/>
  <c r="B1158"/>
  <c r="K1157"/>
  <c r="J1157"/>
  <c r="I1157"/>
  <c r="B1157"/>
  <c r="K1156"/>
  <c r="J1156"/>
  <c r="I1156"/>
  <c r="B1156"/>
  <c r="K1155"/>
  <c r="J1155"/>
  <c r="I1155"/>
  <c r="B1155"/>
  <c r="K1154"/>
  <c r="J1154"/>
  <c r="I1154"/>
  <c r="B1154"/>
  <c r="K1153"/>
  <c r="J1153"/>
  <c r="I1153"/>
  <c r="B1153"/>
  <c r="K1152"/>
  <c r="J1152"/>
  <c r="I1152"/>
  <c r="B1152"/>
  <c r="K1151"/>
  <c r="J1151"/>
  <c r="I1151"/>
  <c r="B1151"/>
  <c r="K1150"/>
  <c r="J1150"/>
  <c r="I1150"/>
  <c r="B1150"/>
  <c r="K1149"/>
  <c r="J1149"/>
  <c r="I1149"/>
  <c r="B1149"/>
  <c r="K1148"/>
  <c r="J1148"/>
  <c r="I1148"/>
  <c r="B1148"/>
  <c r="K1147"/>
  <c r="J1147"/>
  <c r="I1147"/>
  <c r="B1147"/>
  <c r="K1146"/>
  <c r="J1146"/>
  <c r="I1146"/>
  <c r="B1146"/>
  <c r="K1145"/>
  <c r="J1145"/>
  <c r="I1145"/>
  <c r="B1145"/>
  <c r="K1144"/>
  <c r="J1144"/>
  <c r="I1144"/>
  <c r="B1144"/>
  <c r="K1143"/>
  <c r="J1143"/>
  <c r="I1143"/>
  <c r="B1143"/>
  <c r="K1142"/>
  <c r="J1142"/>
  <c r="I1142"/>
  <c r="B1142"/>
  <c r="K1141"/>
  <c r="J1141"/>
  <c r="I1141"/>
  <c r="B1141"/>
  <c r="K1140"/>
  <c r="J1140"/>
  <c r="I1140"/>
  <c r="B1140"/>
  <c r="K1139"/>
  <c r="J1139"/>
  <c r="I1139"/>
  <c r="B1139"/>
  <c r="K1138"/>
  <c r="J1138"/>
  <c r="I1138"/>
  <c r="B1138"/>
  <c r="K1137"/>
  <c r="J1137"/>
  <c r="I1137"/>
  <c r="B1137"/>
  <c r="K1136"/>
  <c r="J1136"/>
  <c r="I1136"/>
  <c r="B1136"/>
  <c r="K1135"/>
  <c r="J1135"/>
  <c r="I1135"/>
  <c r="B1135"/>
  <c r="K1134"/>
  <c r="J1134"/>
  <c r="I1134"/>
  <c r="B1134"/>
  <c r="K1133"/>
  <c r="J1133"/>
  <c r="I1133"/>
  <c r="B1133"/>
  <c r="K1132"/>
  <c r="J1132"/>
  <c r="I1132"/>
  <c r="B1132"/>
  <c r="K1131"/>
  <c r="J1131"/>
  <c r="I1131"/>
  <c r="B1131"/>
  <c r="K1130"/>
  <c r="J1130"/>
  <c r="I1130"/>
  <c r="B1130"/>
  <c r="K1129"/>
  <c r="J1129"/>
  <c r="I1129"/>
  <c r="B1129"/>
  <c r="K1128"/>
  <c r="J1128"/>
  <c r="I1128"/>
  <c r="B1128"/>
  <c r="K1127"/>
  <c r="J1127"/>
  <c r="I1127"/>
  <c r="B1127"/>
  <c r="K1126"/>
  <c r="J1126"/>
  <c r="I1126"/>
  <c r="B1126"/>
  <c r="K1125"/>
  <c r="J1125"/>
  <c r="I1125"/>
  <c r="B1125"/>
  <c r="K1124"/>
  <c r="J1124"/>
  <c r="I1124"/>
  <c r="B1124"/>
  <c r="K1123"/>
  <c r="J1123"/>
  <c r="I1123"/>
  <c r="B1123"/>
  <c r="K1122"/>
  <c r="J1122"/>
  <c r="I1122"/>
  <c r="B1122"/>
  <c r="K1121"/>
  <c r="J1121"/>
  <c r="I1121"/>
  <c r="B1121"/>
  <c r="K1120"/>
  <c r="J1120"/>
  <c r="I1120"/>
  <c r="B1120"/>
  <c r="K1119"/>
  <c r="J1119"/>
  <c r="I1119"/>
  <c r="B1119"/>
  <c r="K1118"/>
  <c r="J1118"/>
  <c r="I1118"/>
  <c r="B1118"/>
  <c r="K1117"/>
  <c r="J1117"/>
  <c r="I1117"/>
  <c r="B1117"/>
  <c r="K1116"/>
  <c r="J1116"/>
  <c r="I1116"/>
  <c r="B1116"/>
  <c r="K1115"/>
  <c r="J1115"/>
  <c r="I1115"/>
  <c r="B1115"/>
  <c r="K1114"/>
  <c r="J1114"/>
  <c r="I1114"/>
  <c r="B1114"/>
  <c r="K1113"/>
  <c r="J1113"/>
  <c r="I1113"/>
  <c r="B1113"/>
  <c r="K1112"/>
  <c r="J1112"/>
  <c r="I1112"/>
  <c r="B1112"/>
  <c r="K1111"/>
  <c r="J1111"/>
  <c r="I1111"/>
  <c r="B1111"/>
  <c r="K1110"/>
  <c r="J1110"/>
  <c r="I1110"/>
  <c r="B1110"/>
  <c r="K1109"/>
  <c r="J1109"/>
  <c r="I1109"/>
  <c r="B1109"/>
  <c r="K1108"/>
  <c r="J1108"/>
  <c r="I1108"/>
  <c r="B1108"/>
  <c r="K1107"/>
  <c r="J1107"/>
  <c r="I1107"/>
  <c r="B1107"/>
  <c r="K1106"/>
  <c r="J1106"/>
  <c r="I1106"/>
  <c r="B1106"/>
  <c r="K1105"/>
  <c r="J1105"/>
  <c r="I1105"/>
  <c r="B1105"/>
  <c r="K1104"/>
  <c r="J1104"/>
  <c r="I1104"/>
  <c r="B1104"/>
  <c r="K1103"/>
  <c r="J1103"/>
  <c r="I1103"/>
  <c r="B1103"/>
  <c r="K1102"/>
  <c r="J1102"/>
  <c r="I1102"/>
  <c r="B1102"/>
  <c r="K1101"/>
  <c r="J1101"/>
  <c r="I1101"/>
  <c r="B1101"/>
  <c r="K1100"/>
  <c r="J1100"/>
  <c r="I1100"/>
  <c r="B1100"/>
  <c r="K1099"/>
  <c r="J1099"/>
  <c r="I1099"/>
  <c r="B1099"/>
  <c r="K1098"/>
  <c r="J1098"/>
  <c r="I1098"/>
  <c r="B1098"/>
  <c r="K1097"/>
  <c r="J1097"/>
  <c r="I1097"/>
  <c r="B1097"/>
  <c r="K1096"/>
  <c r="J1096"/>
  <c r="I1096"/>
  <c r="B1096"/>
  <c r="K1095"/>
  <c r="J1095"/>
  <c r="I1095"/>
  <c r="B1095"/>
  <c r="K1094"/>
  <c r="J1094"/>
  <c r="I1094"/>
  <c r="B1094"/>
  <c r="K1093"/>
  <c r="J1093"/>
  <c r="I1093"/>
  <c r="B1093"/>
  <c r="K1092"/>
  <c r="J1092"/>
  <c r="I1092"/>
  <c r="B1092"/>
  <c r="K1091"/>
  <c r="J1091"/>
  <c r="I1091"/>
  <c r="B1091"/>
  <c r="K1090"/>
  <c r="J1090"/>
  <c r="I1090"/>
  <c r="B1090"/>
  <c r="K1089"/>
  <c r="J1089"/>
  <c r="I1089"/>
  <c r="B1089"/>
  <c r="K1088"/>
  <c r="J1088"/>
  <c r="I1088"/>
  <c r="B1088"/>
  <c r="K1087"/>
  <c r="J1087"/>
  <c r="I1087"/>
  <c r="B1087"/>
  <c r="K1086"/>
  <c r="J1086"/>
  <c r="I1086"/>
  <c r="B1086"/>
  <c r="K1085"/>
  <c r="J1085"/>
  <c r="I1085"/>
  <c r="B1085"/>
  <c r="K1084"/>
  <c r="J1084"/>
  <c r="I1084"/>
  <c r="B1084"/>
  <c r="K1083"/>
  <c r="J1083"/>
  <c r="I1083"/>
  <c r="B1083"/>
  <c r="K1082"/>
  <c r="J1082"/>
  <c r="I1082"/>
  <c r="B1082"/>
  <c r="K1081"/>
  <c r="J1081"/>
  <c r="I1081"/>
  <c r="B1081"/>
  <c r="K1080"/>
  <c r="J1080"/>
  <c r="I1080"/>
  <c r="B1080"/>
  <c r="K1079"/>
  <c r="J1079"/>
  <c r="I1079"/>
  <c r="B1079"/>
  <c r="K1078"/>
  <c r="J1078"/>
  <c r="I1078"/>
  <c r="B1078"/>
  <c r="K1077"/>
  <c r="J1077"/>
  <c r="I1077"/>
  <c r="B1077"/>
  <c r="K1076"/>
  <c r="J1076"/>
  <c r="I1076"/>
  <c r="B1076"/>
  <c r="K1075"/>
  <c r="J1075"/>
  <c r="I1075"/>
  <c r="B1075"/>
  <c r="K1074"/>
  <c r="J1074"/>
  <c r="I1074"/>
  <c r="B1074"/>
  <c r="K1073"/>
  <c r="J1073"/>
  <c r="I1073"/>
  <c r="B1073"/>
  <c r="K1072"/>
  <c r="J1072"/>
  <c r="I1072"/>
  <c r="B1072"/>
  <c r="K1071"/>
  <c r="J1071"/>
  <c r="I1071"/>
  <c r="B1071"/>
  <c r="K1070"/>
  <c r="J1070"/>
  <c r="I1070"/>
  <c r="B1070"/>
  <c r="K1069"/>
  <c r="J1069"/>
  <c r="I1069"/>
  <c r="B1069"/>
  <c r="K1068"/>
  <c r="J1068"/>
  <c r="I1068"/>
  <c r="B1068"/>
  <c r="K1067"/>
  <c r="J1067"/>
  <c r="I1067"/>
  <c r="B1067"/>
  <c r="K1066"/>
  <c r="J1066"/>
  <c r="I1066"/>
  <c r="B1066"/>
  <c r="K1065"/>
  <c r="J1065"/>
  <c r="I1065"/>
  <c r="B1065"/>
  <c r="K1064"/>
  <c r="J1064"/>
  <c r="I1064"/>
  <c r="B1064"/>
  <c r="K1063"/>
  <c r="J1063"/>
  <c r="I1063"/>
  <c r="B1063"/>
  <c r="K1062"/>
  <c r="J1062"/>
  <c r="I1062"/>
  <c r="B1062"/>
  <c r="K1061"/>
  <c r="J1061"/>
  <c r="I1061"/>
  <c r="B1061"/>
  <c r="K1060"/>
  <c r="J1060"/>
  <c r="I1060"/>
  <c r="B1060"/>
  <c r="K1059"/>
  <c r="J1059"/>
  <c r="I1059"/>
  <c r="B1059"/>
  <c r="K1058"/>
  <c r="J1058"/>
  <c r="I1058"/>
  <c r="B1058"/>
  <c r="K1057"/>
  <c r="J1057"/>
  <c r="I1057"/>
  <c r="B1057"/>
  <c r="K1056"/>
  <c r="J1056"/>
  <c r="I1056"/>
  <c r="B1056"/>
  <c r="K1055"/>
  <c r="J1055"/>
  <c r="I1055"/>
  <c r="B1055"/>
  <c r="K1054"/>
  <c r="J1054"/>
  <c r="I1054"/>
  <c r="B1054"/>
  <c r="K1053"/>
  <c r="J1053"/>
  <c r="I1053"/>
  <c r="B1053"/>
  <c r="K1052"/>
  <c r="J1052"/>
  <c r="I1052"/>
  <c r="B1052"/>
  <c r="K1051"/>
  <c r="J1051"/>
  <c r="I1051"/>
  <c r="B1051"/>
  <c r="K1050"/>
  <c r="J1050"/>
  <c r="I1050"/>
  <c r="B1050"/>
  <c r="K1049"/>
  <c r="J1049"/>
  <c r="I1049"/>
  <c r="B1049"/>
  <c r="K1048"/>
  <c r="J1048"/>
  <c r="I1048"/>
  <c r="B1048"/>
  <c r="K1047"/>
  <c r="J1047"/>
  <c r="I1047"/>
  <c r="B1047"/>
  <c r="K1046"/>
  <c r="J1046"/>
  <c r="I1046"/>
  <c r="B1046"/>
  <c r="K1045"/>
  <c r="J1045"/>
  <c r="I1045"/>
  <c r="B1045"/>
  <c r="K1044"/>
  <c r="J1044"/>
  <c r="I1044"/>
  <c r="B1044"/>
  <c r="K1043"/>
  <c r="J1043"/>
  <c r="I1043"/>
  <c r="B1043"/>
  <c r="K1042"/>
  <c r="J1042"/>
  <c r="I1042"/>
  <c r="B1042"/>
  <c r="K1041"/>
  <c r="J1041"/>
  <c r="I1041"/>
  <c r="B1041"/>
  <c r="K1040"/>
  <c r="J1040"/>
  <c r="I1040"/>
  <c r="B1040"/>
  <c r="K1039"/>
  <c r="J1039"/>
  <c r="I1039"/>
  <c r="B1039"/>
  <c r="K1038"/>
  <c r="J1038"/>
  <c r="I1038"/>
  <c r="B1038"/>
  <c r="K1037"/>
  <c r="J1037"/>
  <c r="I1037"/>
  <c r="B1037"/>
  <c r="K1036"/>
  <c r="J1036"/>
  <c r="I1036"/>
  <c r="B1036"/>
  <c r="K1035"/>
  <c r="J1035"/>
  <c r="I1035"/>
  <c r="B1035"/>
  <c r="K1034"/>
  <c r="J1034"/>
  <c r="I1034"/>
  <c r="B1034"/>
  <c r="K1033"/>
  <c r="J1033"/>
  <c r="I1033"/>
  <c r="B1033"/>
  <c r="K1032"/>
  <c r="J1032"/>
  <c r="I1032"/>
  <c r="B1032"/>
  <c r="K1031"/>
  <c r="J1031"/>
  <c r="I1031"/>
  <c r="B1031"/>
  <c r="K1030"/>
  <c r="J1030"/>
  <c r="I1030"/>
  <c r="B1030"/>
  <c r="K1029"/>
  <c r="J1029"/>
  <c r="I1029"/>
  <c r="B1029"/>
  <c r="K1028"/>
  <c r="J1028"/>
  <c r="I1028"/>
  <c r="B1028"/>
  <c r="K1027"/>
  <c r="J1027"/>
  <c r="I1027"/>
  <c r="B1027"/>
  <c r="K1026"/>
  <c r="J1026"/>
  <c r="I1026"/>
  <c r="B1026"/>
  <c r="K1025"/>
  <c r="J1025"/>
  <c r="I1025"/>
  <c r="B1025"/>
  <c r="K1024"/>
  <c r="J1024"/>
  <c r="I1024"/>
  <c r="B1024"/>
  <c r="K1023"/>
  <c r="J1023"/>
  <c r="I1023"/>
  <c r="B1023"/>
  <c r="K1022"/>
  <c r="J1022"/>
  <c r="I1022"/>
  <c r="B1022"/>
  <c r="K1021"/>
  <c r="J1021"/>
  <c r="I1021"/>
  <c r="B1021"/>
  <c r="K1020"/>
  <c r="J1020"/>
  <c r="I1020"/>
  <c r="B1020"/>
  <c r="K1019"/>
  <c r="J1019"/>
  <c r="I1019"/>
  <c r="B1019"/>
  <c r="K1018"/>
  <c r="J1018"/>
  <c r="I1018"/>
  <c r="B1018"/>
  <c r="K1017"/>
  <c r="J1017"/>
  <c r="I1017"/>
  <c r="B1017"/>
  <c r="K1016"/>
  <c r="J1016"/>
  <c r="I1016"/>
  <c r="B1016"/>
  <c r="K1015"/>
  <c r="J1015"/>
  <c r="I1015"/>
  <c r="B1015"/>
  <c r="K1014"/>
  <c r="J1014"/>
  <c r="I1014"/>
  <c r="B1014"/>
  <c r="K1013"/>
  <c r="J1013"/>
  <c r="I1013"/>
  <c r="B1013"/>
  <c r="K1012"/>
  <c r="J1012"/>
  <c r="I1012"/>
  <c r="B1012"/>
  <c r="K1011"/>
  <c r="J1011"/>
  <c r="I1011"/>
  <c r="B1011"/>
  <c r="K1010"/>
  <c r="J1010"/>
  <c r="I1010"/>
  <c r="B1010"/>
  <c r="K1009"/>
  <c r="J1009"/>
  <c r="I1009"/>
  <c r="B1009"/>
  <c r="K1008"/>
  <c r="J1008"/>
  <c r="I1008"/>
  <c r="B1008"/>
  <c r="K1007"/>
  <c r="J1007"/>
  <c r="I1007"/>
  <c r="B1007"/>
  <c r="K1006"/>
  <c r="J1006"/>
  <c r="I1006"/>
  <c r="B1006"/>
  <c r="K1005"/>
  <c r="J1005"/>
  <c r="I1005"/>
  <c r="B1005"/>
  <c r="K1004"/>
  <c r="J1004"/>
  <c r="I1004"/>
  <c r="B1004"/>
  <c r="K1003"/>
  <c r="J1003"/>
  <c r="I1003"/>
  <c r="B1003"/>
  <c r="K1002"/>
  <c r="J1002"/>
  <c r="I1002"/>
  <c r="B1002"/>
  <c r="K1001"/>
  <c r="J1001"/>
  <c r="I1001"/>
  <c r="B1001"/>
  <c r="K1000"/>
  <c r="J1000"/>
  <c r="I1000"/>
  <c r="B1000"/>
  <c r="K999"/>
  <c r="J999"/>
  <c r="I999"/>
  <c r="B999"/>
  <c r="K998"/>
  <c r="J998"/>
  <c r="I998"/>
  <c r="B998"/>
  <c r="K997"/>
  <c r="J997"/>
  <c r="I997"/>
  <c r="B997"/>
  <c r="K996"/>
  <c r="J996"/>
  <c r="I996"/>
  <c r="B996"/>
  <c r="K995"/>
  <c r="J995"/>
  <c r="I995"/>
  <c r="B995"/>
  <c r="K994"/>
  <c r="J994"/>
  <c r="I994"/>
  <c r="B994"/>
  <c r="K993"/>
  <c r="J993"/>
  <c r="I993"/>
  <c r="B993"/>
  <c r="K992"/>
  <c r="J992"/>
  <c r="I992"/>
  <c r="B992"/>
  <c r="K991"/>
  <c r="J991"/>
  <c r="I991"/>
  <c r="B991"/>
  <c r="K990"/>
  <c r="J990"/>
  <c r="I990"/>
  <c r="B990"/>
  <c r="K989"/>
  <c r="J989"/>
  <c r="I989"/>
  <c r="B989"/>
  <c r="K988"/>
  <c r="J988"/>
  <c r="I988"/>
  <c r="B988"/>
  <c r="K987"/>
  <c r="J987"/>
  <c r="I987"/>
  <c r="B987"/>
  <c r="K986"/>
  <c r="J986"/>
  <c r="I986"/>
  <c r="B986"/>
  <c r="K985"/>
  <c r="J985"/>
  <c r="I985"/>
  <c r="B985"/>
  <c r="K984"/>
  <c r="J984"/>
  <c r="I984"/>
  <c r="B984"/>
  <c r="K983"/>
  <c r="J983"/>
  <c r="I983"/>
  <c r="B983"/>
  <c r="K982"/>
  <c r="J982"/>
  <c r="I982"/>
  <c r="B982"/>
  <c r="K981"/>
  <c r="J981"/>
  <c r="I981"/>
  <c r="B981"/>
  <c r="K980"/>
  <c r="J980"/>
  <c r="I980"/>
  <c r="B980"/>
  <c r="K979"/>
  <c r="J979"/>
  <c r="I979"/>
  <c r="B979"/>
  <c r="K978"/>
  <c r="J978"/>
  <c r="I978"/>
  <c r="B978"/>
  <c r="K977"/>
  <c r="J977"/>
  <c r="I977"/>
  <c r="B977"/>
  <c r="K976"/>
  <c r="J976"/>
  <c r="I976"/>
  <c r="B976"/>
  <c r="K975"/>
  <c r="J975"/>
  <c r="I975"/>
  <c r="B975"/>
  <c r="K974"/>
  <c r="J974"/>
  <c r="I974"/>
  <c r="B974"/>
  <c r="K973"/>
  <c r="J973"/>
  <c r="I973"/>
  <c r="B973"/>
  <c r="K972"/>
  <c r="J972"/>
  <c r="I972"/>
  <c r="B972"/>
  <c r="K971"/>
  <c r="J971"/>
  <c r="I971"/>
  <c r="B971"/>
  <c r="K970"/>
  <c r="J970"/>
  <c r="I970"/>
  <c r="B970"/>
  <c r="K969"/>
  <c r="J969"/>
  <c r="I969"/>
  <c r="B969"/>
  <c r="K968"/>
  <c r="J968"/>
  <c r="I968"/>
  <c r="B968"/>
  <c r="K967"/>
  <c r="J967"/>
  <c r="I967"/>
  <c r="B967"/>
  <c r="K966"/>
  <c r="J966"/>
  <c r="I966"/>
  <c r="B966"/>
  <c r="K965"/>
  <c r="J965"/>
  <c r="I965"/>
  <c r="B965"/>
  <c r="K964"/>
  <c r="J964"/>
  <c r="I964"/>
  <c r="B964"/>
  <c r="K963"/>
  <c r="J963"/>
  <c r="I963"/>
  <c r="B963"/>
  <c r="K962"/>
  <c r="J962"/>
  <c r="I962"/>
  <c r="B962"/>
  <c r="K961"/>
  <c r="J961"/>
  <c r="I961"/>
  <c r="B961"/>
  <c r="K960"/>
  <c r="J960"/>
  <c r="I960"/>
  <c r="B960"/>
  <c r="K959"/>
  <c r="J959"/>
  <c r="I959"/>
  <c r="B959"/>
  <c r="K958"/>
  <c r="J958"/>
  <c r="I958"/>
  <c r="B958"/>
  <c r="K957"/>
  <c r="J957"/>
  <c r="I957"/>
  <c r="B957"/>
  <c r="K956"/>
  <c r="J956"/>
  <c r="I956"/>
  <c r="B956"/>
  <c r="K955"/>
  <c r="J955"/>
  <c r="I955"/>
  <c r="B955"/>
  <c r="K954"/>
  <c r="J954"/>
  <c r="I954"/>
  <c r="B954"/>
  <c r="K953"/>
  <c r="J953"/>
  <c r="I953"/>
  <c r="B953"/>
  <c r="K952"/>
  <c r="J952"/>
  <c r="I952"/>
  <c r="B952"/>
  <c r="K951"/>
  <c r="J951"/>
  <c r="I951"/>
  <c r="B951"/>
  <c r="K950"/>
  <c r="J950"/>
  <c r="I950"/>
  <c r="B950"/>
  <c r="K949"/>
  <c r="J949"/>
  <c r="I949"/>
  <c r="B949"/>
  <c r="K948"/>
  <c r="J948"/>
  <c r="I948"/>
  <c r="B948"/>
  <c r="K947"/>
  <c r="J947"/>
  <c r="I947"/>
  <c r="B947"/>
  <c r="K946"/>
  <c r="J946"/>
  <c r="I946"/>
  <c r="B946"/>
  <c r="K945"/>
  <c r="J945"/>
  <c r="I945"/>
  <c r="B945"/>
  <c r="K944"/>
  <c r="J944"/>
  <c r="I944"/>
  <c r="B944"/>
  <c r="K943"/>
  <c r="J943"/>
  <c r="I943"/>
  <c r="B943"/>
  <c r="K942"/>
  <c r="J942"/>
  <c r="I942"/>
  <c r="B942"/>
  <c r="K941"/>
  <c r="J941"/>
  <c r="I941"/>
  <c r="B941"/>
  <c r="K940"/>
  <c r="J940"/>
  <c r="I940"/>
  <c r="B940"/>
  <c r="K939"/>
  <c r="J939"/>
  <c r="I939"/>
  <c r="B939"/>
  <c r="K938"/>
  <c r="J938"/>
  <c r="I938"/>
  <c r="B938"/>
  <c r="K937"/>
  <c r="J937"/>
  <c r="I937"/>
  <c r="B937"/>
  <c r="K936"/>
  <c r="J936"/>
  <c r="I936"/>
  <c r="B936"/>
  <c r="K935"/>
  <c r="J935"/>
  <c r="I935"/>
  <c r="B935"/>
  <c r="K934"/>
  <c r="J934"/>
  <c r="I934"/>
  <c r="B934"/>
  <c r="K933"/>
  <c r="J933"/>
  <c r="I933"/>
  <c r="B933"/>
  <c r="K932"/>
  <c r="J932"/>
  <c r="I932"/>
  <c r="B932"/>
  <c r="K931"/>
  <c r="J931"/>
  <c r="I931"/>
  <c r="B931"/>
  <c r="K930"/>
  <c r="J930"/>
  <c r="I930"/>
  <c r="B930"/>
  <c r="K929"/>
  <c r="J929"/>
  <c r="I929"/>
  <c r="B929"/>
  <c r="K928"/>
  <c r="J928"/>
  <c r="I928"/>
  <c r="B928"/>
  <c r="K927"/>
  <c r="J927"/>
  <c r="I927"/>
  <c r="B927"/>
  <c r="K926"/>
  <c r="J926"/>
  <c r="I926"/>
  <c r="B926"/>
  <c r="K925"/>
  <c r="J925"/>
  <c r="I925"/>
  <c r="B925"/>
  <c r="K924"/>
  <c r="J924"/>
  <c r="I924"/>
  <c r="B924"/>
  <c r="K923"/>
  <c r="J923"/>
  <c r="I923"/>
  <c r="B923"/>
  <c r="K922"/>
  <c r="J922"/>
  <c r="I922"/>
  <c r="B922"/>
  <c r="K921"/>
  <c r="J921"/>
  <c r="I921"/>
  <c r="B921"/>
  <c r="K920"/>
  <c r="J920"/>
  <c r="I920"/>
  <c r="B920"/>
  <c r="K919"/>
  <c r="J919"/>
  <c r="I919"/>
  <c r="B919"/>
  <c r="K918"/>
  <c r="J918"/>
  <c r="I918"/>
  <c r="B918"/>
  <c r="K917"/>
  <c r="J917"/>
  <c r="I917"/>
  <c r="B917"/>
  <c r="K916"/>
  <c r="J916"/>
  <c r="I916"/>
  <c r="B916"/>
  <c r="K915"/>
  <c r="J915"/>
  <c r="I915"/>
  <c r="B915"/>
  <c r="K914"/>
  <c r="J914"/>
  <c r="I914"/>
  <c r="B914"/>
  <c r="K913"/>
  <c r="J913"/>
  <c r="I913"/>
  <c r="B913"/>
  <c r="K912"/>
  <c r="J912"/>
  <c r="I912"/>
  <c r="B912"/>
  <c r="K911"/>
  <c r="J911"/>
  <c r="I911"/>
  <c r="B911"/>
  <c r="K910"/>
  <c r="J910"/>
  <c r="I910"/>
  <c r="B910"/>
  <c r="K909"/>
  <c r="J909"/>
  <c r="I909"/>
  <c r="B909"/>
  <c r="K908"/>
  <c r="J908"/>
  <c r="I908"/>
  <c r="B908"/>
  <c r="K907"/>
  <c r="J907"/>
  <c r="I907"/>
  <c r="B907"/>
  <c r="K906"/>
  <c r="J906"/>
  <c r="I906"/>
  <c r="B906"/>
  <c r="K905"/>
  <c r="J905"/>
  <c r="I905"/>
  <c r="B905"/>
  <c r="K904"/>
  <c r="J904"/>
  <c r="I904"/>
  <c r="B904"/>
  <c r="K903"/>
  <c r="J903"/>
  <c r="I903"/>
  <c r="B903"/>
  <c r="K902"/>
  <c r="J902"/>
  <c r="I902"/>
  <c r="B902"/>
  <c r="K901"/>
  <c r="J901"/>
  <c r="I901"/>
  <c r="B901"/>
  <c r="K900"/>
  <c r="J900"/>
  <c r="I900"/>
  <c r="B900"/>
  <c r="K899"/>
  <c r="J899"/>
  <c r="I899"/>
  <c r="B899"/>
  <c r="K898"/>
  <c r="J898"/>
  <c r="I898"/>
  <c r="B898"/>
  <c r="K897"/>
  <c r="J897"/>
  <c r="I897"/>
  <c r="B897"/>
  <c r="K896"/>
  <c r="J896"/>
  <c r="I896"/>
  <c r="B896"/>
  <c r="K895"/>
  <c r="J895"/>
  <c r="I895"/>
  <c r="B895"/>
  <c r="K894"/>
  <c r="J894"/>
  <c r="I894"/>
  <c r="B894"/>
  <c r="K893"/>
  <c r="J893"/>
  <c r="I893"/>
  <c r="B893"/>
  <c r="K892"/>
  <c r="J892"/>
  <c r="I892"/>
  <c r="B892"/>
  <c r="K891"/>
  <c r="J891"/>
  <c r="I891"/>
  <c r="B891"/>
  <c r="K890"/>
  <c r="J890"/>
  <c r="I890"/>
  <c r="B890"/>
  <c r="K889"/>
  <c r="J889"/>
  <c r="I889"/>
  <c r="B889"/>
  <c r="K888"/>
  <c r="J888"/>
  <c r="I888"/>
  <c r="B888"/>
  <c r="K887"/>
  <c r="J887"/>
  <c r="I887"/>
  <c r="B887"/>
  <c r="K886"/>
  <c r="J886"/>
  <c r="I886"/>
  <c r="B886"/>
  <c r="S885"/>
  <c r="T885" s="1"/>
  <c r="R885"/>
  <c r="Q885"/>
  <c r="P885"/>
  <c r="O885"/>
  <c r="N885"/>
  <c r="K885"/>
  <c r="J885"/>
  <c r="I885"/>
  <c r="B885"/>
  <c r="S884"/>
  <c r="T884" s="1"/>
  <c r="R884"/>
  <c r="Q884"/>
  <c r="P884"/>
  <c r="O884"/>
  <c r="N884"/>
  <c r="K884"/>
  <c r="J884"/>
  <c r="I884"/>
  <c r="B884"/>
  <c r="S883"/>
  <c r="T883" s="1"/>
  <c r="R883"/>
  <c r="Q883"/>
  <c r="P883"/>
  <c r="O883"/>
  <c r="N883"/>
  <c r="K883"/>
  <c r="J883"/>
  <c r="I883"/>
  <c r="B883"/>
  <c r="S882"/>
  <c r="T882" s="1"/>
  <c r="R882"/>
  <c r="Q882"/>
  <c r="P882"/>
  <c r="O882"/>
  <c r="N882"/>
  <c r="K882"/>
  <c r="J882"/>
  <c r="I882"/>
  <c r="B882"/>
  <c r="S881"/>
  <c r="T881" s="1"/>
  <c r="R881"/>
  <c r="Q881"/>
  <c r="P881"/>
  <c r="O881"/>
  <c r="N881"/>
  <c r="K881"/>
  <c r="J881"/>
  <c r="I881"/>
  <c r="B881"/>
  <c r="S880"/>
  <c r="T880" s="1"/>
  <c r="R880"/>
  <c r="Q880"/>
  <c r="P880"/>
  <c r="O880"/>
  <c r="N880"/>
  <c r="K880"/>
  <c r="J880"/>
  <c r="I880"/>
  <c r="B880"/>
  <c r="S879"/>
  <c r="T879" s="1"/>
  <c r="R879"/>
  <c r="Q879"/>
  <c r="P879"/>
  <c r="O879"/>
  <c r="N879"/>
  <c r="K879"/>
  <c r="J879"/>
  <c r="I879"/>
  <c r="B879"/>
  <c r="S878"/>
  <c r="T878" s="1"/>
  <c r="R878"/>
  <c r="Q878"/>
  <c r="P878"/>
  <c r="O878"/>
  <c r="N878"/>
  <c r="K878"/>
  <c r="J878"/>
  <c r="I878"/>
  <c r="B878"/>
  <c r="S877"/>
  <c r="T877" s="1"/>
  <c r="R877"/>
  <c r="Q877"/>
  <c r="P877"/>
  <c r="O877"/>
  <c r="N877"/>
  <c r="K877"/>
  <c r="J877"/>
  <c r="I877"/>
  <c r="B877"/>
  <c r="S876"/>
  <c r="T876" s="1"/>
  <c r="R876"/>
  <c r="Q876"/>
  <c r="P876"/>
  <c r="O876"/>
  <c r="N876"/>
  <c r="K876"/>
  <c r="J876"/>
  <c r="I876"/>
  <c r="B876"/>
  <c r="S875"/>
  <c r="T875" s="1"/>
  <c r="R875"/>
  <c r="Q875"/>
  <c r="P875"/>
  <c r="O875"/>
  <c r="N875"/>
  <c r="K875"/>
  <c r="J875"/>
  <c r="I875"/>
  <c r="B875"/>
  <c r="S874"/>
  <c r="T874" s="1"/>
  <c r="R874"/>
  <c r="Q874"/>
  <c r="P874"/>
  <c r="O874"/>
  <c r="N874"/>
  <c r="K874"/>
  <c r="J874"/>
  <c r="I874"/>
  <c r="B874"/>
  <c r="S873"/>
  <c r="T873" s="1"/>
  <c r="R873"/>
  <c r="Q873"/>
  <c r="P873"/>
  <c r="O873"/>
  <c r="N873"/>
  <c r="K873"/>
  <c r="J873"/>
  <c r="I873"/>
  <c r="B873"/>
  <c r="S872"/>
  <c r="T872" s="1"/>
  <c r="R872"/>
  <c r="Q872"/>
  <c r="P872"/>
  <c r="O872"/>
  <c r="N872"/>
  <c r="K872"/>
  <c r="J872"/>
  <c r="I872"/>
  <c r="B872"/>
  <c r="S871"/>
  <c r="T871" s="1"/>
  <c r="R871"/>
  <c r="Q871"/>
  <c r="P871"/>
  <c r="O871"/>
  <c r="N871"/>
  <c r="K871"/>
  <c r="J871"/>
  <c r="I871"/>
  <c r="B871"/>
  <c r="S870"/>
  <c r="T870" s="1"/>
  <c r="R870"/>
  <c r="Q870"/>
  <c r="P870"/>
  <c r="O870"/>
  <c r="N870"/>
  <c r="K870"/>
  <c r="J870"/>
  <c r="I870"/>
  <c r="B870"/>
  <c r="S869"/>
  <c r="T869" s="1"/>
  <c r="R869"/>
  <c r="Q869"/>
  <c r="P869"/>
  <c r="O869"/>
  <c r="N869"/>
  <c r="K869"/>
  <c r="J869"/>
  <c r="I869"/>
  <c r="B869"/>
  <c r="S868"/>
  <c r="T868" s="1"/>
  <c r="R868"/>
  <c r="Q868"/>
  <c r="P868"/>
  <c r="O868"/>
  <c r="N868"/>
  <c r="K868"/>
  <c r="J868"/>
  <c r="I868"/>
  <c r="B868"/>
  <c r="S867"/>
  <c r="T867" s="1"/>
  <c r="R867"/>
  <c r="Q867"/>
  <c r="P867"/>
  <c r="O867"/>
  <c r="N867"/>
  <c r="K867"/>
  <c r="J867"/>
  <c r="I867"/>
  <c r="B867"/>
  <c r="S866"/>
  <c r="T866" s="1"/>
  <c r="R866"/>
  <c r="Q866"/>
  <c r="P866"/>
  <c r="O866"/>
  <c r="N866"/>
  <c r="K866"/>
  <c r="J866"/>
  <c r="I866"/>
  <c r="B866"/>
  <c r="S865"/>
  <c r="T865" s="1"/>
  <c r="R865"/>
  <c r="Q865"/>
  <c r="P865"/>
  <c r="O865"/>
  <c r="N865"/>
  <c r="K865"/>
  <c r="J865"/>
  <c r="I865"/>
  <c r="B865"/>
  <c r="S864"/>
  <c r="T864" s="1"/>
  <c r="R864"/>
  <c r="Q864"/>
  <c r="P864"/>
  <c r="O864"/>
  <c r="N864"/>
  <c r="K864"/>
  <c r="J864"/>
  <c r="I864"/>
  <c r="B864"/>
  <c r="S863"/>
  <c r="T863" s="1"/>
  <c r="R863"/>
  <c r="Q863"/>
  <c r="P863"/>
  <c r="O863"/>
  <c r="N863"/>
  <c r="K863"/>
  <c r="J863"/>
  <c r="I863"/>
  <c r="B863"/>
  <c r="S862"/>
  <c r="T862" s="1"/>
  <c r="R862"/>
  <c r="Q862"/>
  <c r="P862"/>
  <c r="O862"/>
  <c r="N862"/>
  <c r="K862"/>
  <c r="J862"/>
  <c r="I862"/>
  <c r="B862"/>
  <c r="S861"/>
  <c r="T861" s="1"/>
  <c r="R861"/>
  <c r="Q861"/>
  <c r="P861"/>
  <c r="O861"/>
  <c r="N861"/>
  <c r="K861"/>
  <c r="J861"/>
  <c r="I861"/>
  <c r="B861"/>
  <c r="S860"/>
  <c r="T860" s="1"/>
  <c r="R860"/>
  <c r="Q860"/>
  <c r="P860"/>
  <c r="O860"/>
  <c r="N860"/>
  <c r="K860"/>
  <c r="J860"/>
  <c r="I860"/>
  <c r="B860"/>
  <c r="S859"/>
  <c r="T859" s="1"/>
  <c r="R859"/>
  <c r="Q859"/>
  <c r="P859"/>
  <c r="O859"/>
  <c r="N859"/>
  <c r="K859"/>
  <c r="J859"/>
  <c r="I859"/>
  <c r="B859"/>
  <c r="S858"/>
  <c r="T858" s="1"/>
  <c r="R858"/>
  <c r="Q858"/>
  <c r="P858"/>
  <c r="O858"/>
  <c r="N858"/>
  <c r="K858"/>
  <c r="J858"/>
  <c r="I858"/>
  <c r="B858"/>
  <c r="S857"/>
  <c r="T857" s="1"/>
  <c r="R857"/>
  <c r="Q857"/>
  <c r="P857"/>
  <c r="O857"/>
  <c r="N857"/>
  <c r="K857"/>
  <c r="J857"/>
  <c r="I857"/>
  <c r="B857"/>
  <c r="S856"/>
  <c r="T856" s="1"/>
  <c r="R856"/>
  <c r="Q856"/>
  <c r="P856"/>
  <c r="O856"/>
  <c r="N856"/>
  <c r="K856"/>
  <c r="J856"/>
  <c r="I856"/>
  <c r="B856"/>
  <c r="S855"/>
  <c r="T855" s="1"/>
  <c r="R855"/>
  <c r="Q855"/>
  <c r="P855"/>
  <c r="O855"/>
  <c r="N855"/>
  <c r="K855"/>
  <c r="J855"/>
  <c r="I855"/>
  <c r="B855"/>
  <c r="S854"/>
  <c r="T854" s="1"/>
  <c r="R854"/>
  <c r="Q854"/>
  <c r="P854"/>
  <c r="O854"/>
  <c r="N854"/>
  <c r="K854"/>
  <c r="J854"/>
  <c r="I854"/>
  <c r="B854"/>
  <c r="S853"/>
  <c r="T853" s="1"/>
  <c r="R853"/>
  <c r="Q853"/>
  <c r="P853"/>
  <c r="O853"/>
  <c r="N853"/>
  <c r="K853"/>
  <c r="J853"/>
  <c r="I853"/>
  <c r="B853"/>
  <c r="S852"/>
  <c r="T852" s="1"/>
  <c r="R852"/>
  <c r="Q852"/>
  <c r="P852"/>
  <c r="O852"/>
  <c r="N852"/>
  <c r="K852"/>
  <c r="J852"/>
  <c r="I852"/>
  <c r="B852"/>
  <c r="S851"/>
  <c r="T851" s="1"/>
  <c r="R851"/>
  <c r="Q851"/>
  <c r="P851"/>
  <c r="O851"/>
  <c r="N851"/>
  <c r="K851"/>
  <c r="J851"/>
  <c r="I851"/>
  <c r="B851"/>
  <c r="S850"/>
  <c r="T850" s="1"/>
  <c r="R850"/>
  <c r="Q850"/>
  <c r="P850"/>
  <c r="O850"/>
  <c r="N850"/>
  <c r="K850"/>
  <c r="J850"/>
  <c r="I850"/>
  <c r="B850"/>
  <c r="S849"/>
  <c r="T849" s="1"/>
  <c r="R849"/>
  <c r="Q849"/>
  <c r="P849"/>
  <c r="O849"/>
  <c r="N849"/>
  <c r="K849"/>
  <c r="J849"/>
  <c r="I849"/>
  <c r="B849"/>
  <c r="S848"/>
  <c r="T848" s="1"/>
  <c r="R848"/>
  <c r="Q848"/>
  <c r="P848"/>
  <c r="O848"/>
  <c r="N848"/>
  <c r="K848"/>
  <c r="J848"/>
  <c r="I848"/>
  <c r="B848"/>
  <c r="S847"/>
  <c r="T847" s="1"/>
  <c r="R847"/>
  <c r="Q847"/>
  <c r="P847"/>
  <c r="O847"/>
  <c r="N847"/>
  <c r="K847"/>
  <c r="J847"/>
  <c r="I847"/>
  <c r="B847"/>
  <c r="S846"/>
  <c r="T846" s="1"/>
  <c r="R846"/>
  <c r="Q846"/>
  <c r="P846"/>
  <c r="O846"/>
  <c r="N846"/>
  <c r="K846"/>
  <c r="J846"/>
  <c r="I846"/>
  <c r="B846"/>
  <c r="S845"/>
  <c r="T845" s="1"/>
  <c r="R845"/>
  <c r="Q845"/>
  <c r="P845"/>
  <c r="O845"/>
  <c r="N845"/>
  <c r="K845"/>
  <c r="J845"/>
  <c r="I845"/>
  <c r="B845"/>
  <c r="S844"/>
  <c r="T844" s="1"/>
  <c r="R844"/>
  <c r="Q844"/>
  <c r="P844"/>
  <c r="O844"/>
  <c r="N844"/>
  <c r="K844"/>
  <c r="J844"/>
  <c r="I844"/>
  <c r="B844"/>
  <c r="S843"/>
  <c r="T843" s="1"/>
  <c r="R843"/>
  <c r="Q843"/>
  <c r="P843"/>
  <c r="O843"/>
  <c r="N843"/>
  <c r="K843"/>
  <c r="J843"/>
  <c r="I843"/>
  <c r="B843"/>
  <c r="S842"/>
  <c r="T842" s="1"/>
  <c r="R842"/>
  <c r="Q842"/>
  <c r="P842"/>
  <c r="O842"/>
  <c r="N842"/>
  <c r="K842"/>
  <c r="J842"/>
  <c r="I842"/>
  <c r="B842"/>
  <c r="S841"/>
  <c r="T841" s="1"/>
  <c r="R841"/>
  <c r="Q841"/>
  <c r="P841"/>
  <c r="O841"/>
  <c r="N841"/>
  <c r="K841"/>
  <c r="J841"/>
  <c r="I841"/>
  <c r="B841"/>
  <c r="S840"/>
  <c r="T840" s="1"/>
  <c r="R840"/>
  <c r="Q840"/>
  <c r="P840"/>
  <c r="O840"/>
  <c r="N840"/>
  <c r="K840"/>
  <c r="J840"/>
  <c r="I840"/>
  <c r="B840"/>
  <c r="S839"/>
  <c r="T839" s="1"/>
  <c r="R839"/>
  <c r="Q839"/>
  <c r="P839"/>
  <c r="O839"/>
  <c r="N839"/>
  <c r="K839"/>
  <c r="J839"/>
  <c r="I839"/>
  <c r="B839"/>
  <c r="S838"/>
  <c r="T838" s="1"/>
  <c r="R838"/>
  <c r="Q838"/>
  <c r="P838"/>
  <c r="O838"/>
  <c r="N838"/>
  <c r="K838"/>
  <c r="J838"/>
  <c r="I838"/>
  <c r="B838"/>
  <c r="S837"/>
  <c r="T837" s="1"/>
  <c r="R837"/>
  <c r="Q837"/>
  <c r="P837"/>
  <c r="O837"/>
  <c r="N837"/>
  <c r="K837"/>
  <c r="J837"/>
  <c r="I837"/>
  <c r="B837"/>
  <c r="S836"/>
  <c r="T836" s="1"/>
  <c r="R836"/>
  <c r="Q836"/>
  <c r="P836"/>
  <c r="O836"/>
  <c r="N836"/>
  <c r="K836"/>
  <c r="J836"/>
  <c r="I836"/>
  <c r="B836"/>
  <c r="S835"/>
  <c r="T835" s="1"/>
  <c r="R835"/>
  <c r="Q835"/>
  <c r="P835"/>
  <c r="O835"/>
  <c r="N835"/>
  <c r="K835"/>
  <c r="J835"/>
  <c r="I835"/>
  <c r="B835"/>
  <c r="S834"/>
  <c r="T834" s="1"/>
  <c r="R834"/>
  <c r="Q834"/>
  <c r="P834"/>
  <c r="O834"/>
  <c r="N834"/>
  <c r="K834"/>
  <c r="J834"/>
  <c r="I834"/>
  <c r="B834"/>
  <c r="S833"/>
  <c r="T833" s="1"/>
  <c r="R833"/>
  <c r="Q833"/>
  <c r="P833"/>
  <c r="O833"/>
  <c r="N833"/>
  <c r="K833"/>
  <c r="J833"/>
  <c r="I833"/>
  <c r="B833"/>
  <c r="S832"/>
  <c r="T832" s="1"/>
  <c r="R832"/>
  <c r="Q832"/>
  <c r="P832"/>
  <c r="O832"/>
  <c r="N832"/>
  <c r="K832"/>
  <c r="J832"/>
  <c r="I832"/>
  <c r="B832"/>
  <c r="S831"/>
  <c r="T831" s="1"/>
  <c r="R831"/>
  <c r="Q831"/>
  <c r="P831"/>
  <c r="O831"/>
  <c r="N831"/>
  <c r="K831"/>
  <c r="J831"/>
  <c r="I831"/>
  <c r="B831"/>
  <c r="S830"/>
  <c r="T830" s="1"/>
  <c r="R830"/>
  <c r="Q830"/>
  <c r="P830"/>
  <c r="O830"/>
  <c r="N830"/>
  <c r="K830"/>
  <c r="J830"/>
  <c r="I830"/>
  <c r="B830"/>
  <c r="S829"/>
  <c r="T829" s="1"/>
  <c r="R829"/>
  <c r="Q829"/>
  <c r="P829"/>
  <c r="O829"/>
  <c r="N829"/>
  <c r="K829"/>
  <c r="J829"/>
  <c r="I829"/>
  <c r="B829"/>
  <c r="S828"/>
  <c r="T828" s="1"/>
  <c r="R828"/>
  <c r="Q828"/>
  <c r="P828"/>
  <c r="O828"/>
  <c r="N828"/>
  <c r="K828"/>
  <c r="J828"/>
  <c r="I828"/>
  <c r="B828"/>
  <c r="S827"/>
  <c r="T827" s="1"/>
  <c r="R827"/>
  <c r="Q827"/>
  <c r="P827"/>
  <c r="O827"/>
  <c r="N827"/>
  <c r="K827"/>
  <c r="J827"/>
  <c r="I827"/>
  <c r="B827"/>
  <c r="S826"/>
  <c r="T826" s="1"/>
  <c r="R826"/>
  <c r="Q826"/>
  <c r="P826"/>
  <c r="O826"/>
  <c r="N826"/>
  <c r="K826"/>
  <c r="J826"/>
  <c r="I826"/>
  <c r="B826"/>
  <c r="S825"/>
  <c r="T825" s="1"/>
  <c r="R825"/>
  <c r="Q825"/>
  <c r="P825"/>
  <c r="O825"/>
  <c r="N825"/>
  <c r="K825"/>
  <c r="J825"/>
  <c r="I825"/>
  <c r="B825"/>
  <c r="S824"/>
  <c r="T824" s="1"/>
  <c r="R824"/>
  <c r="Q824"/>
  <c r="P824"/>
  <c r="O824"/>
  <c r="N824"/>
  <c r="K824"/>
  <c r="J824"/>
  <c r="I824"/>
  <c r="B824"/>
  <c r="S823"/>
  <c r="T823" s="1"/>
  <c r="R823"/>
  <c r="Q823"/>
  <c r="P823"/>
  <c r="O823"/>
  <c r="N823"/>
  <c r="K823"/>
  <c r="J823"/>
  <c r="I823"/>
  <c r="B823"/>
  <c r="S822"/>
  <c r="T822" s="1"/>
  <c r="R822"/>
  <c r="Q822"/>
  <c r="P822"/>
  <c r="O822"/>
  <c r="N822"/>
  <c r="K822"/>
  <c r="J822"/>
  <c r="I822"/>
  <c r="B822"/>
  <c r="S821"/>
  <c r="T821" s="1"/>
  <c r="R821"/>
  <c r="Q821"/>
  <c r="P821"/>
  <c r="O821"/>
  <c r="N821"/>
  <c r="K821"/>
  <c r="J821"/>
  <c r="I821"/>
  <c r="B821"/>
  <c r="S820"/>
  <c r="T820" s="1"/>
  <c r="R820"/>
  <c r="Q820"/>
  <c r="P820"/>
  <c r="O820"/>
  <c r="N820"/>
  <c r="K820"/>
  <c r="J820"/>
  <c r="I820"/>
  <c r="B820"/>
  <c r="S819"/>
  <c r="T819" s="1"/>
  <c r="R819"/>
  <c r="Q819"/>
  <c r="P819"/>
  <c r="O819"/>
  <c r="N819"/>
  <c r="K819"/>
  <c r="J819"/>
  <c r="I819"/>
  <c r="B819"/>
  <c r="S818"/>
  <c r="T818" s="1"/>
  <c r="R818"/>
  <c r="Q818"/>
  <c r="P818"/>
  <c r="O818"/>
  <c r="N818"/>
  <c r="K818"/>
  <c r="J818"/>
  <c r="I818"/>
  <c r="B818"/>
  <c r="S817"/>
  <c r="T817" s="1"/>
  <c r="R817"/>
  <c r="Q817"/>
  <c r="P817"/>
  <c r="O817"/>
  <c r="N817"/>
  <c r="K817"/>
  <c r="J817"/>
  <c r="I817"/>
  <c r="B817"/>
  <c r="S816"/>
  <c r="T816" s="1"/>
  <c r="R816"/>
  <c r="Q816"/>
  <c r="P816"/>
  <c r="O816"/>
  <c r="N816"/>
  <c r="K816"/>
  <c r="J816"/>
  <c r="I816"/>
  <c r="B816"/>
  <c r="S815"/>
  <c r="T815" s="1"/>
  <c r="R815"/>
  <c r="Q815"/>
  <c r="P815"/>
  <c r="O815"/>
  <c r="N815"/>
  <c r="K815"/>
  <c r="J815"/>
  <c r="I815"/>
  <c r="B815"/>
  <c r="S814"/>
  <c r="T814" s="1"/>
  <c r="R814"/>
  <c r="Q814"/>
  <c r="P814"/>
  <c r="O814"/>
  <c r="N814"/>
  <c r="K814"/>
  <c r="J814"/>
  <c r="I814"/>
  <c r="B814"/>
  <c r="S813"/>
  <c r="T813" s="1"/>
  <c r="R813"/>
  <c r="Q813"/>
  <c r="P813"/>
  <c r="O813"/>
  <c r="N813"/>
  <c r="K813"/>
  <c r="J813"/>
  <c r="I813"/>
  <c r="B813"/>
  <c r="S812"/>
  <c r="T812" s="1"/>
  <c r="R812"/>
  <c r="Q812"/>
  <c r="P812"/>
  <c r="O812"/>
  <c r="N812"/>
  <c r="K812"/>
  <c r="J812"/>
  <c r="I812"/>
  <c r="B812"/>
  <c r="S811"/>
  <c r="T811" s="1"/>
  <c r="R811"/>
  <c r="Q811"/>
  <c r="P811"/>
  <c r="O811"/>
  <c r="N811"/>
  <c r="K811"/>
  <c r="J811"/>
  <c r="I811"/>
  <c r="B811"/>
  <c r="S810"/>
  <c r="T810" s="1"/>
  <c r="R810"/>
  <c r="Q810"/>
  <c r="P810"/>
  <c r="O810"/>
  <c r="N810"/>
  <c r="K810"/>
  <c r="J810"/>
  <c r="I810"/>
  <c r="B810"/>
  <c r="S809"/>
  <c r="T809" s="1"/>
  <c r="R809"/>
  <c r="Q809"/>
  <c r="P809"/>
  <c r="O809"/>
  <c r="N809"/>
  <c r="K809"/>
  <c r="J809"/>
  <c r="I809"/>
  <c r="B809"/>
  <c r="S808"/>
  <c r="T808" s="1"/>
  <c r="R808"/>
  <c r="Q808"/>
  <c r="P808"/>
  <c r="O808"/>
  <c r="N808"/>
  <c r="K808"/>
  <c r="J808"/>
  <c r="I808"/>
  <c r="B808"/>
  <c r="S807"/>
  <c r="T807" s="1"/>
  <c r="R807"/>
  <c r="Q807"/>
  <c r="P807"/>
  <c r="O807"/>
  <c r="N807"/>
  <c r="K807"/>
  <c r="J807"/>
  <c r="I807"/>
  <c r="B807"/>
  <c r="S806"/>
  <c r="T806" s="1"/>
  <c r="R806"/>
  <c r="Q806"/>
  <c r="P806"/>
  <c r="O806"/>
  <c r="N806"/>
  <c r="K806"/>
  <c r="J806"/>
  <c r="I806"/>
  <c r="B806"/>
  <c r="S805"/>
  <c r="T805" s="1"/>
  <c r="R805"/>
  <c r="Q805"/>
  <c r="P805"/>
  <c r="O805"/>
  <c r="N805"/>
  <c r="K805"/>
  <c r="J805"/>
  <c r="I805"/>
  <c r="B805"/>
  <c r="S804"/>
  <c r="T804" s="1"/>
  <c r="R804"/>
  <c r="Q804"/>
  <c r="P804"/>
  <c r="O804"/>
  <c r="N804"/>
  <c r="K804"/>
  <c r="J804"/>
  <c r="I804"/>
  <c r="B804"/>
  <c r="S803"/>
  <c r="T803" s="1"/>
  <c r="R803"/>
  <c r="Q803"/>
  <c r="P803"/>
  <c r="O803"/>
  <c r="N803"/>
  <c r="K803"/>
  <c r="J803"/>
  <c r="I803"/>
  <c r="B803"/>
  <c r="S802"/>
  <c r="T802" s="1"/>
  <c r="R802"/>
  <c r="Q802"/>
  <c r="P802"/>
  <c r="O802"/>
  <c r="N802"/>
  <c r="K802"/>
  <c r="J802"/>
  <c r="I802"/>
  <c r="B802"/>
  <c r="S801"/>
  <c r="T801" s="1"/>
  <c r="R801"/>
  <c r="Q801"/>
  <c r="P801"/>
  <c r="O801"/>
  <c r="N801"/>
  <c r="K801"/>
  <c r="J801"/>
  <c r="I801"/>
  <c r="B801"/>
  <c r="S800"/>
  <c r="T800" s="1"/>
  <c r="R800"/>
  <c r="Q800"/>
  <c r="P800"/>
  <c r="O800"/>
  <c r="N800"/>
  <c r="K800"/>
  <c r="J800"/>
  <c r="I800"/>
  <c r="B800"/>
  <c r="S799"/>
  <c r="T799" s="1"/>
  <c r="R799"/>
  <c r="Q799"/>
  <c r="P799"/>
  <c r="O799"/>
  <c r="N799"/>
  <c r="K799"/>
  <c r="J799"/>
  <c r="I799"/>
  <c r="B799"/>
  <c r="S798"/>
  <c r="T798" s="1"/>
  <c r="R798"/>
  <c r="Q798"/>
  <c r="P798"/>
  <c r="O798"/>
  <c r="N798"/>
  <c r="K798"/>
  <c r="J798"/>
  <c r="I798"/>
  <c r="B798"/>
  <c r="S797"/>
  <c r="T797" s="1"/>
  <c r="R797"/>
  <c r="Q797"/>
  <c r="P797"/>
  <c r="O797"/>
  <c r="N797"/>
  <c r="K797"/>
  <c r="J797"/>
  <c r="I797"/>
  <c r="B797"/>
  <c r="S796"/>
  <c r="T796" s="1"/>
  <c r="R796"/>
  <c r="Q796"/>
  <c r="P796"/>
  <c r="O796"/>
  <c r="N796"/>
  <c r="K796"/>
  <c r="J796"/>
  <c r="I796"/>
  <c r="B796"/>
  <c r="S795"/>
  <c r="T795" s="1"/>
  <c r="R795"/>
  <c r="Q795"/>
  <c r="P795"/>
  <c r="O795"/>
  <c r="N795"/>
  <c r="K795"/>
  <c r="J795"/>
  <c r="I795"/>
  <c r="B795"/>
  <c r="S794"/>
  <c r="T794" s="1"/>
  <c r="R794"/>
  <c r="Q794"/>
  <c r="P794"/>
  <c r="O794"/>
  <c r="N794"/>
  <c r="K794"/>
  <c r="J794"/>
  <c r="I794"/>
  <c r="B794"/>
  <c r="S793"/>
  <c r="T793" s="1"/>
  <c r="R793"/>
  <c r="Q793"/>
  <c r="P793"/>
  <c r="O793"/>
  <c r="N793"/>
  <c r="K793"/>
  <c r="J793"/>
  <c r="I793"/>
  <c r="B793"/>
  <c r="S792"/>
  <c r="T792" s="1"/>
  <c r="R792"/>
  <c r="Q792"/>
  <c r="P792"/>
  <c r="O792"/>
  <c r="N792"/>
  <c r="K792"/>
  <c r="J792"/>
  <c r="I792"/>
  <c r="B792"/>
  <c r="S791"/>
  <c r="T791" s="1"/>
  <c r="R791"/>
  <c r="Q791"/>
  <c r="P791"/>
  <c r="O791"/>
  <c r="N791"/>
  <c r="K791"/>
  <c r="J791"/>
  <c r="I791"/>
  <c r="B791"/>
  <c r="S790"/>
  <c r="T790" s="1"/>
  <c r="R790"/>
  <c r="Q790"/>
  <c r="P790"/>
  <c r="O790"/>
  <c r="N790"/>
  <c r="K790"/>
  <c r="J790"/>
  <c r="I790"/>
  <c r="B790"/>
  <c r="S789"/>
  <c r="T789" s="1"/>
  <c r="R789"/>
  <c r="Q789"/>
  <c r="P789"/>
  <c r="O789"/>
  <c r="N789"/>
  <c r="K789"/>
  <c r="J789"/>
  <c r="I789"/>
  <c r="B789"/>
  <c r="S788"/>
  <c r="T788" s="1"/>
  <c r="R788"/>
  <c r="Q788"/>
  <c r="P788"/>
  <c r="O788"/>
  <c r="N788"/>
  <c r="K788"/>
  <c r="J788"/>
  <c r="I788"/>
  <c r="B788"/>
  <c r="S787"/>
  <c r="T787" s="1"/>
  <c r="R787"/>
  <c r="Q787"/>
  <c r="P787"/>
  <c r="O787"/>
  <c r="N787"/>
  <c r="K787"/>
  <c r="J787"/>
  <c r="I787"/>
  <c r="B787"/>
  <c r="S786"/>
  <c r="T786" s="1"/>
  <c r="R786"/>
  <c r="Q786"/>
  <c r="P786"/>
  <c r="O786"/>
  <c r="N786"/>
  <c r="K786"/>
  <c r="J786"/>
  <c r="I786"/>
  <c r="B786"/>
  <c r="S785"/>
  <c r="T785" s="1"/>
  <c r="R785"/>
  <c r="Q785"/>
  <c r="P785"/>
  <c r="O785"/>
  <c r="N785"/>
  <c r="K785"/>
  <c r="J785"/>
  <c r="I785"/>
  <c r="B785"/>
  <c r="S784"/>
  <c r="T784" s="1"/>
  <c r="R784"/>
  <c r="Q784"/>
  <c r="P784"/>
  <c r="O784"/>
  <c r="N784"/>
  <c r="K784"/>
  <c r="J784"/>
  <c r="I784"/>
  <c r="B784"/>
  <c r="S783"/>
  <c r="T783" s="1"/>
  <c r="R783"/>
  <c r="Q783"/>
  <c r="P783"/>
  <c r="O783"/>
  <c r="N783"/>
  <c r="K783"/>
  <c r="J783"/>
  <c r="I783"/>
  <c r="B783"/>
  <c r="S782"/>
  <c r="T782" s="1"/>
  <c r="R782"/>
  <c r="Q782"/>
  <c r="P782"/>
  <c r="O782"/>
  <c r="N782"/>
  <c r="K782"/>
  <c r="J782"/>
  <c r="I782"/>
  <c r="B782"/>
  <c r="S781"/>
  <c r="T781" s="1"/>
  <c r="R781"/>
  <c r="Q781"/>
  <c r="P781"/>
  <c r="O781"/>
  <c r="N781"/>
  <c r="K781"/>
  <c r="J781"/>
  <c r="I781"/>
  <c r="B781"/>
  <c r="S780"/>
  <c r="T780" s="1"/>
  <c r="R780"/>
  <c r="Q780"/>
  <c r="P780"/>
  <c r="O780"/>
  <c r="N780"/>
  <c r="K780"/>
  <c r="J780"/>
  <c r="I780"/>
  <c r="B780"/>
  <c r="S779"/>
  <c r="T779" s="1"/>
  <c r="R779"/>
  <c r="Q779"/>
  <c r="P779"/>
  <c r="O779"/>
  <c r="N779"/>
  <c r="K779"/>
  <c r="J779"/>
  <c r="I779"/>
  <c r="B779"/>
  <c r="S778"/>
  <c r="T778" s="1"/>
  <c r="R778"/>
  <c r="Q778"/>
  <c r="P778"/>
  <c r="O778"/>
  <c r="N778"/>
  <c r="K778"/>
  <c r="J778"/>
  <c r="I778"/>
  <c r="B778"/>
  <c r="S777"/>
  <c r="T777" s="1"/>
  <c r="R777"/>
  <c r="Q777"/>
  <c r="P777"/>
  <c r="O777"/>
  <c r="N777"/>
  <c r="K777"/>
  <c r="J777"/>
  <c r="I777"/>
  <c r="B777"/>
  <c r="S776"/>
  <c r="T776" s="1"/>
  <c r="R776"/>
  <c r="Q776"/>
  <c r="P776"/>
  <c r="O776"/>
  <c r="N776"/>
  <c r="K776"/>
  <c r="J776"/>
  <c r="I776"/>
  <c r="B776"/>
  <c r="S775"/>
  <c r="T775" s="1"/>
  <c r="R775"/>
  <c r="Q775"/>
  <c r="P775"/>
  <c r="O775"/>
  <c r="N775"/>
  <c r="K775"/>
  <c r="J775"/>
  <c r="I775"/>
  <c r="B775"/>
  <c r="S774"/>
  <c r="T774" s="1"/>
  <c r="R774"/>
  <c r="Q774"/>
  <c r="P774"/>
  <c r="O774"/>
  <c r="N774"/>
  <c r="K774"/>
  <c r="J774"/>
  <c r="I774"/>
  <c r="B774"/>
  <c r="S773"/>
  <c r="T773" s="1"/>
  <c r="R773"/>
  <c r="Q773"/>
  <c r="P773"/>
  <c r="O773"/>
  <c r="N773"/>
  <c r="K773"/>
  <c r="J773"/>
  <c r="I773"/>
  <c r="B773"/>
  <c r="S772"/>
  <c r="T772" s="1"/>
  <c r="R772"/>
  <c r="Q772"/>
  <c r="P772"/>
  <c r="O772"/>
  <c r="N772"/>
  <c r="K772"/>
  <c r="J772"/>
  <c r="I772"/>
  <c r="B772"/>
  <c r="S771"/>
  <c r="T771" s="1"/>
  <c r="R771"/>
  <c r="Q771"/>
  <c r="P771"/>
  <c r="O771"/>
  <c r="N771"/>
  <c r="K771"/>
  <c r="J771"/>
  <c r="I771"/>
  <c r="B771"/>
  <c r="S770"/>
  <c r="T770" s="1"/>
  <c r="R770"/>
  <c r="Q770"/>
  <c r="P770"/>
  <c r="O770"/>
  <c r="N770"/>
  <c r="K770"/>
  <c r="J770"/>
  <c r="I770"/>
  <c r="B770"/>
  <c r="S769"/>
  <c r="T769" s="1"/>
  <c r="R769"/>
  <c r="Q769"/>
  <c r="P769"/>
  <c r="O769"/>
  <c r="N769"/>
  <c r="K769"/>
  <c r="J769"/>
  <c r="I769"/>
  <c r="B769"/>
  <c r="S768"/>
  <c r="T768" s="1"/>
  <c r="R768"/>
  <c r="Q768"/>
  <c r="P768"/>
  <c r="O768"/>
  <c r="N768"/>
  <c r="K768"/>
  <c r="J768"/>
  <c r="I768"/>
  <c r="B768"/>
  <c r="S767"/>
  <c r="T767" s="1"/>
  <c r="R767"/>
  <c r="Q767"/>
  <c r="P767"/>
  <c r="O767"/>
  <c r="N767"/>
  <c r="K767"/>
  <c r="J767"/>
  <c r="I767"/>
  <c r="B767"/>
  <c r="S766"/>
  <c r="T766" s="1"/>
  <c r="R766"/>
  <c r="Q766"/>
  <c r="P766"/>
  <c r="O766"/>
  <c r="N766"/>
  <c r="K766"/>
  <c r="J766"/>
  <c r="I766"/>
  <c r="B766"/>
  <c r="S765"/>
  <c r="T765" s="1"/>
  <c r="R765"/>
  <c r="Q765"/>
  <c r="P765"/>
  <c r="O765"/>
  <c r="N765"/>
  <c r="K765"/>
  <c r="J765"/>
  <c r="I765"/>
  <c r="B765"/>
  <c r="S764"/>
  <c r="T764" s="1"/>
  <c r="R764"/>
  <c r="Q764"/>
  <c r="P764"/>
  <c r="O764"/>
  <c r="N764"/>
  <c r="K764"/>
  <c r="J764"/>
  <c r="I764"/>
  <c r="B764"/>
  <c r="S763"/>
  <c r="T763" s="1"/>
  <c r="R763"/>
  <c r="Q763"/>
  <c r="P763"/>
  <c r="O763"/>
  <c r="N763"/>
  <c r="K763"/>
  <c r="J763"/>
  <c r="I763"/>
  <c r="B763"/>
  <c r="S762"/>
  <c r="T762" s="1"/>
  <c r="R762"/>
  <c r="Q762"/>
  <c r="P762"/>
  <c r="O762"/>
  <c r="N762"/>
  <c r="K762"/>
  <c r="J762"/>
  <c r="I762"/>
  <c r="B762"/>
  <c r="S761"/>
  <c r="T761" s="1"/>
  <c r="R761"/>
  <c r="Q761"/>
  <c r="P761"/>
  <c r="O761"/>
  <c r="N761"/>
  <c r="K761"/>
  <c r="J761"/>
  <c r="I761"/>
  <c r="B761"/>
  <c r="S760"/>
  <c r="T760" s="1"/>
  <c r="R760"/>
  <c r="Q760"/>
  <c r="P760"/>
  <c r="O760"/>
  <c r="N760"/>
  <c r="K760"/>
  <c r="J760"/>
  <c r="I760"/>
  <c r="B760"/>
  <c r="S759"/>
  <c r="T759" s="1"/>
  <c r="R759"/>
  <c r="Q759"/>
  <c r="P759"/>
  <c r="O759"/>
  <c r="N759"/>
  <c r="K759"/>
  <c r="J759"/>
  <c r="I759"/>
  <c r="B759"/>
  <c r="S758"/>
  <c r="T758" s="1"/>
  <c r="R758"/>
  <c r="Q758"/>
  <c r="P758"/>
  <c r="O758"/>
  <c r="N758"/>
  <c r="K758"/>
  <c r="J758"/>
  <c r="I758"/>
  <c r="B758"/>
  <c r="S757"/>
  <c r="T757" s="1"/>
  <c r="R757"/>
  <c r="Q757"/>
  <c r="P757"/>
  <c r="O757"/>
  <c r="N757"/>
  <c r="K757"/>
  <c r="J757"/>
  <c r="I757"/>
  <c r="B757"/>
  <c r="S756"/>
  <c r="T756" s="1"/>
  <c r="R756"/>
  <c r="Q756"/>
  <c r="P756"/>
  <c r="O756"/>
  <c r="N756"/>
  <c r="K756"/>
  <c r="J756"/>
  <c r="I756"/>
  <c r="B756"/>
  <c r="S755"/>
  <c r="T755" s="1"/>
  <c r="R755"/>
  <c r="Q755"/>
  <c r="P755"/>
  <c r="O755"/>
  <c r="N755"/>
  <c r="K755"/>
  <c r="J755"/>
  <c r="I755"/>
  <c r="B755"/>
  <c r="S754"/>
  <c r="T754" s="1"/>
  <c r="R754"/>
  <c r="Q754"/>
  <c r="P754"/>
  <c r="O754"/>
  <c r="N754"/>
  <c r="K754"/>
  <c r="J754"/>
  <c r="I754"/>
  <c r="B754"/>
  <c r="S753"/>
  <c r="T753" s="1"/>
  <c r="R753"/>
  <c r="Q753"/>
  <c r="P753"/>
  <c r="O753"/>
  <c r="N753"/>
  <c r="K753"/>
  <c r="J753"/>
  <c r="I753"/>
  <c r="B753"/>
  <c r="S752"/>
  <c r="T752" s="1"/>
  <c r="R752"/>
  <c r="Q752"/>
  <c r="P752"/>
  <c r="O752"/>
  <c r="N752"/>
  <c r="K752"/>
  <c r="J752"/>
  <c r="I752"/>
  <c r="B752"/>
  <c r="S751"/>
  <c r="T751" s="1"/>
  <c r="R751"/>
  <c r="Q751"/>
  <c r="P751"/>
  <c r="O751"/>
  <c r="N751"/>
  <c r="K751"/>
  <c r="J751"/>
  <c r="I751"/>
  <c r="B751"/>
  <c r="S750"/>
  <c r="T750" s="1"/>
  <c r="R750"/>
  <c r="Q750"/>
  <c r="P750"/>
  <c r="O750"/>
  <c r="N750"/>
  <c r="K750"/>
  <c r="J750"/>
  <c r="I750"/>
  <c r="B750"/>
  <c r="S749"/>
  <c r="T749" s="1"/>
  <c r="R749"/>
  <c r="Q749"/>
  <c r="P749"/>
  <c r="O749"/>
  <c r="N749"/>
  <c r="K749"/>
  <c r="J749"/>
  <c r="I749"/>
  <c r="B749"/>
  <c r="S748"/>
  <c r="T748" s="1"/>
  <c r="R748"/>
  <c r="Q748"/>
  <c r="P748"/>
  <c r="O748"/>
  <c r="N748"/>
  <c r="K748"/>
  <c r="J748"/>
  <c r="I748"/>
  <c r="B748"/>
  <c r="S747"/>
  <c r="T747" s="1"/>
  <c r="R747"/>
  <c r="Q747"/>
  <c r="P747"/>
  <c r="O747"/>
  <c r="N747"/>
  <c r="K747"/>
  <c r="J747"/>
  <c r="I747"/>
  <c r="B747"/>
  <c r="S746"/>
  <c r="T746" s="1"/>
  <c r="R746"/>
  <c r="Q746"/>
  <c r="P746"/>
  <c r="O746"/>
  <c r="N746"/>
  <c r="K746"/>
  <c r="J746"/>
  <c r="I746"/>
  <c r="B746"/>
  <c r="S745"/>
  <c r="T745" s="1"/>
  <c r="R745"/>
  <c r="Q745"/>
  <c r="P745"/>
  <c r="O745"/>
  <c r="N745"/>
  <c r="K745"/>
  <c r="J745"/>
  <c r="I745"/>
  <c r="B745"/>
  <c r="S744"/>
  <c r="T744" s="1"/>
  <c r="R744"/>
  <c r="Q744"/>
  <c r="P744"/>
  <c r="O744"/>
  <c r="N744"/>
  <c r="K744"/>
  <c r="J744"/>
  <c r="I744"/>
  <c r="B744"/>
  <c r="S743"/>
  <c r="T743" s="1"/>
  <c r="R743"/>
  <c r="Q743"/>
  <c r="P743"/>
  <c r="O743"/>
  <c r="N743"/>
  <c r="K743"/>
  <c r="J743"/>
  <c r="I743"/>
  <c r="B743"/>
  <c r="S742"/>
  <c r="T742" s="1"/>
  <c r="R742"/>
  <c r="Q742"/>
  <c r="P742"/>
  <c r="O742"/>
  <c r="N742"/>
  <c r="K742"/>
  <c r="J742"/>
  <c r="I742"/>
  <c r="B742"/>
  <c r="S741"/>
  <c r="T741" s="1"/>
  <c r="R741"/>
  <c r="Q741"/>
  <c r="P741"/>
  <c r="O741"/>
  <c r="N741"/>
  <c r="K741"/>
  <c r="J741"/>
  <c r="I741"/>
  <c r="B741"/>
  <c r="S740"/>
  <c r="T740" s="1"/>
  <c r="R740"/>
  <c r="Q740"/>
  <c r="P740"/>
  <c r="O740"/>
  <c r="N740"/>
  <c r="K740"/>
  <c r="J740"/>
  <c r="I740"/>
  <c r="B740"/>
  <c r="S739"/>
  <c r="T739" s="1"/>
  <c r="R739"/>
  <c r="Q739"/>
  <c r="P739"/>
  <c r="O739"/>
  <c r="N739"/>
  <c r="K739"/>
  <c r="J739"/>
  <c r="I739"/>
  <c r="B739"/>
  <c r="S738"/>
  <c r="T738" s="1"/>
  <c r="R738"/>
  <c r="Q738"/>
  <c r="P738"/>
  <c r="O738"/>
  <c r="N738"/>
  <c r="K738"/>
  <c r="J738"/>
  <c r="I738"/>
  <c r="B738"/>
  <c r="S737"/>
  <c r="T737" s="1"/>
  <c r="R737"/>
  <c r="Q737"/>
  <c r="P737"/>
  <c r="O737"/>
  <c r="N737"/>
  <c r="K737"/>
  <c r="J737"/>
  <c r="I737"/>
  <c r="B737"/>
  <c r="S736"/>
  <c r="T736" s="1"/>
  <c r="R736"/>
  <c r="Q736"/>
  <c r="P736"/>
  <c r="O736"/>
  <c r="N736"/>
  <c r="K736"/>
  <c r="J736"/>
  <c r="I736"/>
  <c r="B736"/>
  <c r="S735"/>
  <c r="T735" s="1"/>
  <c r="R735"/>
  <c r="Q735"/>
  <c r="P735"/>
  <c r="O735"/>
  <c r="N735"/>
  <c r="K735"/>
  <c r="J735"/>
  <c r="I735"/>
  <c r="B735"/>
  <c r="S734"/>
  <c r="T734" s="1"/>
  <c r="R734"/>
  <c r="Q734"/>
  <c r="P734"/>
  <c r="O734"/>
  <c r="N734"/>
  <c r="K734"/>
  <c r="J734"/>
  <c r="I734"/>
  <c r="B734"/>
  <c r="S733"/>
  <c r="T733" s="1"/>
  <c r="R733"/>
  <c r="Q733"/>
  <c r="P733"/>
  <c r="O733"/>
  <c r="N733"/>
  <c r="K733"/>
  <c r="J733"/>
  <c r="I733"/>
  <c r="B733"/>
  <c r="S732"/>
  <c r="T732" s="1"/>
  <c r="R732"/>
  <c r="Q732"/>
  <c r="P732"/>
  <c r="O732"/>
  <c r="N732"/>
  <c r="K732"/>
  <c r="J732"/>
  <c r="I732"/>
  <c r="B732"/>
  <c r="S731"/>
  <c r="T731" s="1"/>
  <c r="R731"/>
  <c r="Q731"/>
  <c r="P731"/>
  <c r="O731"/>
  <c r="N731"/>
  <c r="K731"/>
  <c r="J731"/>
  <c r="I731"/>
  <c r="B731"/>
  <c r="S730"/>
  <c r="T730" s="1"/>
  <c r="R730"/>
  <c r="Q730"/>
  <c r="P730"/>
  <c r="O730"/>
  <c r="N730"/>
  <c r="K730"/>
  <c r="J730"/>
  <c r="I730"/>
  <c r="B730"/>
  <c r="S729"/>
  <c r="T729" s="1"/>
  <c r="R729"/>
  <c r="Q729"/>
  <c r="P729"/>
  <c r="O729"/>
  <c r="N729"/>
  <c r="K729"/>
  <c r="J729"/>
  <c r="I729"/>
  <c r="B729"/>
  <c r="S728"/>
  <c r="T728" s="1"/>
  <c r="R728"/>
  <c r="Q728"/>
  <c r="P728"/>
  <c r="O728"/>
  <c r="N728"/>
  <c r="K728"/>
  <c r="J728"/>
  <c r="I728"/>
  <c r="B728"/>
  <c r="S727"/>
  <c r="T727" s="1"/>
  <c r="R727"/>
  <c r="Q727"/>
  <c r="P727"/>
  <c r="O727"/>
  <c r="N727"/>
  <c r="K727"/>
  <c r="J727"/>
  <c r="I727"/>
  <c r="B727"/>
  <c r="S726"/>
  <c r="T726" s="1"/>
  <c r="R726"/>
  <c r="Q726"/>
  <c r="P726"/>
  <c r="O726"/>
  <c r="N726"/>
  <c r="K726"/>
  <c r="J726"/>
  <c r="I726"/>
  <c r="B726"/>
  <c r="S725"/>
  <c r="T725" s="1"/>
  <c r="R725"/>
  <c r="Q725"/>
  <c r="P725"/>
  <c r="O725"/>
  <c r="N725"/>
  <c r="K725"/>
  <c r="J725"/>
  <c r="I725"/>
  <c r="B725"/>
  <c r="S724"/>
  <c r="T724" s="1"/>
  <c r="R724"/>
  <c r="Q724"/>
  <c r="P724"/>
  <c r="O724"/>
  <c r="N724"/>
  <c r="K724"/>
  <c r="J724"/>
  <c r="I724"/>
  <c r="B724"/>
  <c r="S723"/>
  <c r="T723" s="1"/>
  <c r="R723"/>
  <c r="Q723"/>
  <c r="P723"/>
  <c r="O723"/>
  <c r="N723"/>
  <c r="K723"/>
  <c r="J723"/>
  <c r="I723"/>
  <c r="B723"/>
  <c r="S722"/>
  <c r="T722" s="1"/>
  <c r="R722"/>
  <c r="Q722"/>
  <c r="P722"/>
  <c r="O722"/>
  <c r="N722"/>
  <c r="K722"/>
  <c r="J722"/>
  <c r="I722"/>
  <c r="B722"/>
  <c r="S721"/>
  <c r="T721" s="1"/>
  <c r="R721"/>
  <c r="Q721"/>
  <c r="P721"/>
  <c r="O721"/>
  <c r="N721"/>
  <c r="K721"/>
  <c r="J721"/>
  <c r="I721"/>
  <c r="B721"/>
  <c r="S720"/>
  <c r="T720" s="1"/>
  <c r="R720"/>
  <c r="Q720"/>
  <c r="P720"/>
  <c r="O720"/>
  <c r="N720"/>
  <c r="K720"/>
  <c r="J720"/>
  <c r="I720"/>
  <c r="B720"/>
  <c r="S719"/>
  <c r="T719" s="1"/>
  <c r="R719"/>
  <c r="Q719"/>
  <c r="P719"/>
  <c r="O719"/>
  <c r="N719"/>
  <c r="K719"/>
  <c r="J719"/>
  <c r="I719"/>
  <c r="B719"/>
  <c r="S718"/>
  <c r="T718" s="1"/>
  <c r="R718"/>
  <c r="Q718"/>
  <c r="P718"/>
  <c r="O718"/>
  <c r="N718"/>
  <c r="K718"/>
  <c r="J718"/>
  <c r="I718"/>
  <c r="B718"/>
  <c r="S717"/>
  <c r="T717" s="1"/>
  <c r="R717"/>
  <c r="Q717"/>
  <c r="P717"/>
  <c r="O717"/>
  <c r="N717"/>
  <c r="K717"/>
  <c r="J717"/>
  <c r="I717"/>
  <c r="B717"/>
  <c r="S716"/>
  <c r="T716" s="1"/>
  <c r="R716"/>
  <c r="Q716"/>
  <c r="P716"/>
  <c r="O716"/>
  <c r="N716"/>
  <c r="K716"/>
  <c r="J716"/>
  <c r="I716"/>
  <c r="B716"/>
  <c r="S715"/>
  <c r="T715" s="1"/>
  <c r="R715"/>
  <c r="Q715"/>
  <c r="P715"/>
  <c r="O715"/>
  <c r="N715"/>
  <c r="K715"/>
  <c r="J715"/>
  <c r="I715"/>
  <c r="B715"/>
  <c r="S714"/>
  <c r="T714" s="1"/>
  <c r="R714"/>
  <c r="Q714"/>
  <c r="P714"/>
  <c r="O714"/>
  <c r="N714"/>
  <c r="K714"/>
  <c r="J714"/>
  <c r="I714"/>
  <c r="B714"/>
  <c r="S713"/>
  <c r="T713" s="1"/>
  <c r="R713"/>
  <c r="Q713"/>
  <c r="P713"/>
  <c r="O713"/>
  <c r="N713"/>
  <c r="K713"/>
  <c r="J713"/>
  <c r="I713"/>
  <c r="B713"/>
  <c r="S712"/>
  <c r="T712" s="1"/>
  <c r="R712"/>
  <c r="Q712"/>
  <c r="P712"/>
  <c r="O712"/>
  <c r="N712"/>
  <c r="K712"/>
  <c r="J712"/>
  <c r="I712"/>
  <c r="B712"/>
  <c r="S711"/>
  <c r="T711" s="1"/>
  <c r="R711"/>
  <c r="Q711"/>
  <c r="P711"/>
  <c r="O711"/>
  <c r="N711"/>
  <c r="K711"/>
  <c r="J711"/>
  <c r="I711"/>
  <c r="B711"/>
  <c r="S710"/>
  <c r="T710" s="1"/>
  <c r="R710"/>
  <c r="Q710"/>
  <c r="P710"/>
  <c r="O710"/>
  <c r="N710"/>
  <c r="K710"/>
  <c r="J710"/>
  <c r="I710"/>
  <c r="B710"/>
  <c r="S709"/>
  <c r="T709" s="1"/>
  <c r="R709"/>
  <c r="Q709"/>
  <c r="P709"/>
  <c r="O709"/>
  <c r="N709"/>
  <c r="K709"/>
  <c r="J709"/>
  <c r="I709"/>
  <c r="B709"/>
  <c r="S708"/>
  <c r="T708" s="1"/>
  <c r="R708"/>
  <c r="Q708"/>
  <c r="P708"/>
  <c r="O708"/>
  <c r="N708"/>
  <c r="K708"/>
  <c r="J708"/>
  <c r="I708"/>
  <c r="B708"/>
  <c r="S707"/>
  <c r="T707" s="1"/>
  <c r="R707"/>
  <c r="Q707"/>
  <c r="P707"/>
  <c r="O707"/>
  <c r="N707"/>
  <c r="K707"/>
  <c r="J707"/>
  <c r="I707"/>
  <c r="B707"/>
  <c r="S706"/>
  <c r="T706" s="1"/>
  <c r="R706"/>
  <c r="Q706"/>
  <c r="P706"/>
  <c r="O706"/>
  <c r="N706"/>
  <c r="K706"/>
  <c r="J706"/>
  <c r="I706"/>
  <c r="B706"/>
  <c r="S705"/>
  <c r="T705" s="1"/>
  <c r="R705"/>
  <c r="Q705"/>
  <c r="P705"/>
  <c r="O705"/>
  <c r="N705"/>
  <c r="K705"/>
  <c r="J705"/>
  <c r="I705"/>
  <c r="B705"/>
  <c r="S704"/>
  <c r="T704" s="1"/>
  <c r="R704"/>
  <c r="Q704"/>
  <c r="P704"/>
  <c r="O704"/>
  <c r="N704"/>
  <c r="K704"/>
  <c r="J704"/>
  <c r="I704"/>
  <c r="B704"/>
  <c r="S703"/>
  <c r="T703" s="1"/>
  <c r="R703"/>
  <c r="Q703"/>
  <c r="P703"/>
  <c r="O703"/>
  <c r="N703"/>
  <c r="K703"/>
  <c r="J703"/>
  <c r="I703"/>
  <c r="B703"/>
  <c r="S702"/>
  <c r="T702" s="1"/>
  <c r="R702"/>
  <c r="Q702"/>
  <c r="P702"/>
  <c r="O702"/>
  <c r="N702"/>
  <c r="K702"/>
  <c r="J702"/>
  <c r="I702"/>
  <c r="B702"/>
  <c r="S701"/>
  <c r="T701" s="1"/>
  <c r="R701"/>
  <c r="Q701"/>
  <c r="P701"/>
  <c r="O701"/>
  <c r="N701"/>
  <c r="K701"/>
  <c r="J701"/>
  <c r="I701"/>
  <c r="B701"/>
  <c r="S700"/>
  <c r="T700" s="1"/>
  <c r="R700"/>
  <c r="Q700"/>
  <c r="P700"/>
  <c r="O700"/>
  <c r="N700"/>
  <c r="K700"/>
  <c r="J700"/>
  <c r="I700"/>
  <c r="B700"/>
  <c r="S699"/>
  <c r="T699" s="1"/>
  <c r="R699"/>
  <c r="Q699"/>
  <c r="P699"/>
  <c r="O699"/>
  <c r="N699"/>
  <c r="K699"/>
  <c r="J699"/>
  <c r="I699"/>
  <c r="B699"/>
  <c r="S698"/>
  <c r="T698" s="1"/>
  <c r="R698"/>
  <c r="Q698"/>
  <c r="P698"/>
  <c r="O698"/>
  <c r="N698"/>
  <c r="K698"/>
  <c r="J698"/>
  <c r="I698"/>
  <c r="B698"/>
  <c r="S697"/>
  <c r="T697" s="1"/>
  <c r="R697"/>
  <c r="Q697"/>
  <c r="P697"/>
  <c r="O697"/>
  <c r="N697"/>
  <c r="K697"/>
  <c r="J697"/>
  <c r="I697"/>
  <c r="B697"/>
  <c r="S696"/>
  <c r="T696" s="1"/>
  <c r="R696"/>
  <c r="Q696"/>
  <c r="P696"/>
  <c r="O696"/>
  <c r="N696"/>
  <c r="K696"/>
  <c r="J696"/>
  <c r="I696"/>
  <c r="B696"/>
  <c r="S695"/>
  <c r="T695" s="1"/>
  <c r="R695"/>
  <c r="Q695"/>
  <c r="P695"/>
  <c r="O695"/>
  <c r="N695"/>
  <c r="K695"/>
  <c r="J695"/>
  <c r="I695"/>
  <c r="B695"/>
  <c r="S694"/>
  <c r="T694" s="1"/>
  <c r="R694"/>
  <c r="Q694"/>
  <c r="P694"/>
  <c r="O694"/>
  <c r="N694"/>
  <c r="K694"/>
  <c r="J694"/>
  <c r="I694"/>
  <c r="B694"/>
  <c r="S693"/>
  <c r="T693" s="1"/>
  <c r="R693"/>
  <c r="Q693"/>
  <c r="P693"/>
  <c r="O693"/>
  <c r="N693"/>
  <c r="K693"/>
  <c r="J693"/>
  <c r="I693"/>
  <c r="B693"/>
  <c r="S692"/>
  <c r="T692" s="1"/>
  <c r="R692"/>
  <c r="Q692"/>
  <c r="P692"/>
  <c r="O692"/>
  <c r="N692"/>
  <c r="K692"/>
  <c r="J692"/>
  <c r="I692"/>
  <c r="B692"/>
  <c r="S691"/>
  <c r="T691" s="1"/>
  <c r="R691"/>
  <c r="Q691"/>
  <c r="P691"/>
  <c r="O691"/>
  <c r="N691"/>
  <c r="K691"/>
  <c r="J691"/>
  <c r="I691"/>
  <c r="B691"/>
  <c r="S690"/>
  <c r="T690" s="1"/>
  <c r="R690"/>
  <c r="Q690"/>
  <c r="P690"/>
  <c r="O690"/>
  <c r="N690"/>
  <c r="K690"/>
  <c r="J690"/>
  <c r="I690"/>
  <c r="B690"/>
  <c r="S689"/>
  <c r="T689" s="1"/>
  <c r="R689"/>
  <c r="Q689"/>
  <c r="P689"/>
  <c r="O689"/>
  <c r="N689"/>
  <c r="K689"/>
  <c r="J689"/>
  <c r="I689"/>
  <c r="B689"/>
  <c r="S688"/>
  <c r="T688" s="1"/>
  <c r="R688"/>
  <c r="Q688"/>
  <c r="P688"/>
  <c r="O688"/>
  <c r="N688"/>
  <c r="K688"/>
  <c r="J688"/>
  <c r="I688"/>
  <c r="B688"/>
  <c r="S687"/>
  <c r="T687" s="1"/>
  <c r="R687"/>
  <c r="Q687"/>
  <c r="P687"/>
  <c r="O687"/>
  <c r="N687"/>
  <c r="K687"/>
  <c r="J687"/>
  <c r="I687"/>
  <c r="B687"/>
  <c r="S686"/>
  <c r="T686" s="1"/>
  <c r="R686"/>
  <c r="Q686"/>
  <c r="P686"/>
  <c r="O686"/>
  <c r="N686"/>
  <c r="K686"/>
  <c r="J686"/>
  <c r="I686"/>
  <c r="B686"/>
  <c r="S685"/>
  <c r="T685" s="1"/>
  <c r="R685"/>
  <c r="Q685"/>
  <c r="P685"/>
  <c r="O685"/>
  <c r="N685"/>
  <c r="K685"/>
  <c r="J685"/>
  <c r="I685"/>
  <c r="B685"/>
  <c r="S684"/>
  <c r="T684" s="1"/>
  <c r="R684"/>
  <c r="Q684"/>
  <c r="P684"/>
  <c r="O684"/>
  <c r="N684"/>
  <c r="K684"/>
  <c r="J684"/>
  <c r="I684"/>
  <c r="B684"/>
  <c r="S683"/>
  <c r="T683" s="1"/>
  <c r="R683"/>
  <c r="Q683"/>
  <c r="P683"/>
  <c r="O683"/>
  <c r="N683"/>
  <c r="K683"/>
  <c r="J683"/>
  <c r="I683"/>
  <c r="B683"/>
  <c r="S682"/>
  <c r="T682" s="1"/>
  <c r="R682"/>
  <c r="Q682"/>
  <c r="P682"/>
  <c r="O682"/>
  <c r="N682"/>
  <c r="K682"/>
  <c r="J682"/>
  <c r="I682"/>
  <c r="B682"/>
  <c r="S681"/>
  <c r="T681" s="1"/>
  <c r="R681"/>
  <c r="Q681"/>
  <c r="P681"/>
  <c r="O681"/>
  <c r="N681"/>
  <c r="K681"/>
  <c r="J681"/>
  <c r="I681"/>
  <c r="B681"/>
  <c r="S680"/>
  <c r="T680" s="1"/>
  <c r="R680"/>
  <c r="Q680"/>
  <c r="P680"/>
  <c r="O680"/>
  <c r="N680"/>
  <c r="K680"/>
  <c r="J680"/>
  <c r="I680"/>
  <c r="B680"/>
  <c r="S679"/>
  <c r="T679" s="1"/>
  <c r="R679"/>
  <c r="Q679"/>
  <c r="P679"/>
  <c r="O679"/>
  <c r="N679"/>
  <c r="K679"/>
  <c r="J679"/>
  <c r="I679"/>
  <c r="B679"/>
  <c r="S678"/>
  <c r="T678" s="1"/>
  <c r="R678"/>
  <c r="Q678"/>
  <c r="P678"/>
  <c r="O678"/>
  <c r="N678"/>
  <c r="K678"/>
  <c r="J678"/>
  <c r="I678"/>
  <c r="B678"/>
  <c r="S677"/>
  <c r="T677" s="1"/>
  <c r="R677"/>
  <c r="Q677"/>
  <c r="P677"/>
  <c r="O677"/>
  <c r="N677"/>
  <c r="K677"/>
  <c r="J677"/>
  <c r="I677"/>
  <c r="B677"/>
  <c r="S676"/>
  <c r="T676" s="1"/>
  <c r="R676"/>
  <c r="Q676"/>
  <c r="P676"/>
  <c r="O676"/>
  <c r="N676"/>
  <c r="K676"/>
  <c r="J676"/>
  <c r="I676"/>
  <c r="B676"/>
  <c r="S675"/>
  <c r="T675" s="1"/>
  <c r="R675"/>
  <c r="Q675"/>
  <c r="P675"/>
  <c r="O675"/>
  <c r="N675"/>
  <c r="K675"/>
  <c r="I675"/>
  <c r="B675"/>
  <c r="S674"/>
  <c r="T674" s="1"/>
  <c r="R674"/>
  <c r="Q674"/>
  <c r="P674"/>
  <c r="O674"/>
  <c r="N674"/>
  <c r="K674"/>
  <c r="J674"/>
  <c r="I674"/>
  <c r="B674"/>
  <c r="S673"/>
  <c r="T673" s="1"/>
  <c r="R673"/>
  <c r="Q673"/>
  <c r="P673"/>
  <c r="O673"/>
  <c r="N673"/>
  <c r="K673"/>
  <c r="J673"/>
  <c r="I673"/>
  <c r="B673"/>
  <c r="S672"/>
  <c r="T672" s="1"/>
  <c r="R672"/>
  <c r="Q672"/>
  <c r="P672"/>
  <c r="O672"/>
  <c r="N672"/>
  <c r="K672"/>
  <c r="J672"/>
  <c r="I672"/>
  <c r="B672"/>
  <c r="S671"/>
  <c r="T671" s="1"/>
  <c r="R671"/>
  <c r="Q671"/>
  <c r="P671"/>
  <c r="O671"/>
  <c r="N671"/>
  <c r="K671"/>
  <c r="J671"/>
  <c r="I671"/>
  <c r="B671"/>
  <c r="S670"/>
  <c r="T670" s="1"/>
  <c r="R670"/>
  <c r="Q670"/>
  <c r="P670"/>
  <c r="O670"/>
  <c r="N670"/>
  <c r="K670"/>
  <c r="J670"/>
  <c r="I670"/>
  <c r="B670"/>
  <c r="S669"/>
  <c r="T669" s="1"/>
  <c r="R669"/>
  <c r="Q669"/>
  <c r="P669"/>
  <c r="O669"/>
  <c r="N669"/>
  <c r="K669"/>
  <c r="J669"/>
  <c r="I669"/>
  <c r="B669"/>
  <c r="S668"/>
  <c r="T668" s="1"/>
  <c r="R668"/>
  <c r="Q668"/>
  <c r="P668"/>
  <c r="O668"/>
  <c r="N668"/>
  <c r="K668"/>
  <c r="J668"/>
  <c r="I668"/>
  <c r="B668"/>
  <c r="S667"/>
  <c r="T667" s="1"/>
  <c r="R667"/>
  <c r="Q667"/>
  <c r="P667"/>
  <c r="O667"/>
  <c r="N667"/>
  <c r="K667"/>
  <c r="J667"/>
  <c r="I667"/>
  <c r="B667"/>
  <c r="S666"/>
  <c r="T666" s="1"/>
  <c r="R666"/>
  <c r="Q666"/>
  <c r="P666"/>
  <c r="O666"/>
  <c r="N666"/>
  <c r="K666"/>
  <c r="J666"/>
  <c r="I666"/>
  <c r="B666"/>
  <c r="S665"/>
  <c r="T665" s="1"/>
  <c r="R665"/>
  <c r="Q665"/>
  <c r="P665"/>
  <c r="O665"/>
  <c r="N665"/>
  <c r="K665"/>
  <c r="J665"/>
  <c r="I665"/>
  <c r="B665"/>
  <c r="S664"/>
  <c r="T664" s="1"/>
  <c r="R664"/>
  <c r="Q664"/>
  <c r="P664"/>
  <c r="O664"/>
  <c r="N664"/>
  <c r="K664"/>
  <c r="J664"/>
  <c r="I664"/>
  <c r="B664"/>
  <c r="S663"/>
  <c r="T663" s="1"/>
  <c r="R663"/>
  <c r="Q663"/>
  <c r="P663"/>
  <c r="O663"/>
  <c r="N663"/>
  <c r="K663"/>
  <c r="J663"/>
  <c r="I663"/>
  <c r="B663"/>
  <c r="S662"/>
  <c r="T662" s="1"/>
  <c r="R662"/>
  <c r="Q662"/>
  <c r="P662"/>
  <c r="O662"/>
  <c r="N662"/>
  <c r="K662"/>
  <c r="J662"/>
  <c r="I662"/>
  <c r="B662"/>
  <c r="S661"/>
  <c r="T661" s="1"/>
  <c r="R661"/>
  <c r="Q661"/>
  <c r="P661"/>
  <c r="O661"/>
  <c r="N661"/>
  <c r="K661"/>
  <c r="J661"/>
  <c r="I661"/>
  <c r="B661"/>
  <c r="S660"/>
  <c r="T660" s="1"/>
  <c r="R660"/>
  <c r="Q660"/>
  <c r="P660"/>
  <c r="O660"/>
  <c r="N660"/>
  <c r="K660"/>
  <c r="J660"/>
  <c r="I660"/>
  <c r="B660"/>
  <c r="S659"/>
  <c r="T659" s="1"/>
  <c r="R659"/>
  <c r="Q659"/>
  <c r="P659"/>
  <c r="O659"/>
  <c r="N659"/>
  <c r="K659"/>
  <c r="J659"/>
  <c r="I659"/>
  <c r="B659"/>
  <c r="S658"/>
  <c r="T658" s="1"/>
  <c r="R658"/>
  <c r="Q658"/>
  <c r="P658"/>
  <c r="O658"/>
  <c r="N658"/>
  <c r="K658"/>
  <c r="J658"/>
  <c r="I658"/>
  <c r="B658"/>
  <c r="S657"/>
  <c r="T657" s="1"/>
  <c r="R657"/>
  <c r="Q657"/>
  <c r="P657"/>
  <c r="O657"/>
  <c r="N657"/>
  <c r="K657"/>
  <c r="J657"/>
  <c r="I657"/>
  <c r="B657"/>
  <c r="S656"/>
  <c r="T656" s="1"/>
  <c r="R656"/>
  <c r="Q656"/>
  <c r="P656"/>
  <c r="O656"/>
  <c r="N656"/>
  <c r="K656"/>
  <c r="J656"/>
  <c r="I656"/>
  <c r="B656"/>
  <c r="S655"/>
  <c r="T655" s="1"/>
  <c r="R655"/>
  <c r="Q655"/>
  <c r="P655"/>
  <c r="O655"/>
  <c r="N655"/>
  <c r="K655"/>
  <c r="J655"/>
  <c r="I655"/>
  <c r="B655"/>
  <c r="S654"/>
  <c r="T654" s="1"/>
  <c r="R654"/>
  <c r="Q654"/>
  <c r="P654"/>
  <c r="O654"/>
  <c r="N654"/>
  <c r="K654"/>
  <c r="J654"/>
  <c r="I654"/>
  <c r="B654"/>
  <c r="S653"/>
  <c r="T653" s="1"/>
  <c r="R653"/>
  <c r="Q653"/>
  <c r="P653"/>
  <c r="O653"/>
  <c r="N653"/>
  <c r="K653"/>
  <c r="J653"/>
  <c r="I653"/>
  <c r="B653"/>
  <c r="S652"/>
  <c r="T652" s="1"/>
  <c r="R652"/>
  <c r="Q652"/>
  <c r="P652"/>
  <c r="O652"/>
  <c r="N652"/>
  <c r="K652"/>
  <c r="J652"/>
  <c r="I652"/>
  <c r="B652"/>
  <c r="S651"/>
  <c r="T651" s="1"/>
  <c r="R651"/>
  <c r="Q651"/>
  <c r="P651"/>
  <c r="O651"/>
  <c r="N651"/>
  <c r="K651"/>
  <c r="J651"/>
  <c r="I651"/>
  <c r="B651"/>
  <c r="S650"/>
  <c r="T650" s="1"/>
  <c r="R650"/>
  <c r="Q650"/>
  <c r="P650"/>
  <c r="O650"/>
  <c r="N650"/>
  <c r="K650"/>
  <c r="J650"/>
  <c r="I650"/>
  <c r="B650"/>
  <c r="S649"/>
  <c r="T649" s="1"/>
  <c r="R649"/>
  <c r="Q649"/>
  <c r="P649"/>
  <c r="O649"/>
  <c r="N649"/>
  <c r="K649"/>
  <c r="J649"/>
  <c r="I649"/>
  <c r="B649"/>
  <c r="S648"/>
  <c r="T648" s="1"/>
  <c r="R648"/>
  <c r="Q648"/>
  <c r="P648"/>
  <c r="O648"/>
  <c r="N648"/>
  <c r="K648"/>
  <c r="J648"/>
  <c r="I648"/>
  <c r="B648"/>
  <c r="S647"/>
  <c r="T647" s="1"/>
  <c r="R647"/>
  <c r="Q647"/>
  <c r="P647"/>
  <c r="O647"/>
  <c r="N647"/>
  <c r="K647"/>
  <c r="J647"/>
  <c r="I647"/>
  <c r="B647"/>
  <c r="S646"/>
  <c r="T646" s="1"/>
  <c r="R646"/>
  <c r="Q646"/>
  <c r="P646"/>
  <c r="O646"/>
  <c r="N646"/>
  <c r="K646"/>
  <c r="J646"/>
  <c r="I646"/>
  <c r="B646"/>
  <c r="S645"/>
  <c r="T645" s="1"/>
  <c r="R645"/>
  <c r="Q645"/>
  <c r="P645"/>
  <c r="O645"/>
  <c r="N645"/>
  <c r="K645"/>
  <c r="J645"/>
  <c r="I645"/>
  <c r="B645"/>
  <c r="S644"/>
  <c r="T644" s="1"/>
  <c r="R644"/>
  <c r="Q644"/>
  <c r="P644"/>
  <c r="O644"/>
  <c r="N644"/>
  <c r="K644"/>
  <c r="J644"/>
  <c r="I644"/>
  <c r="B644"/>
  <c r="S643"/>
  <c r="T643" s="1"/>
  <c r="R643"/>
  <c r="Q643"/>
  <c r="P643"/>
  <c r="O643"/>
  <c r="N643"/>
  <c r="K643"/>
  <c r="J643"/>
  <c r="I643"/>
  <c r="B643"/>
  <c r="S642"/>
  <c r="T642" s="1"/>
  <c r="R642"/>
  <c r="Q642"/>
  <c r="P642"/>
  <c r="O642"/>
  <c r="N642"/>
  <c r="K642"/>
  <c r="J642"/>
  <c r="I642"/>
  <c r="B642"/>
  <c r="S641"/>
  <c r="T641" s="1"/>
  <c r="R641"/>
  <c r="Q641"/>
  <c r="P641"/>
  <c r="O641"/>
  <c r="N641"/>
  <c r="K641"/>
  <c r="J641"/>
  <c r="I641"/>
  <c r="B641"/>
  <c r="S640"/>
  <c r="T640" s="1"/>
  <c r="R640"/>
  <c r="Q640"/>
  <c r="P640"/>
  <c r="O640"/>
  <c r="N640"/>
  <c r="K640"/>
  <c r="J640"/>
  <c r="I640"/>
  <c r="B640"/>
  <c r="S639"/>
  <c r="T639" s="1"/>
  <c r="R639"/>
  <c r="Q639"/>
  <c r="P639"/>
  <c r="O639"/>
  <c r="N639"/>
  <c r="K639"/>
  <c r="J639"/>
  <c r="I639"/>
  <c r="B639"/>
  <c r="S638"/>
  <c r="T638" s="1"/>
  <c r="R638"/>
  <c r="Q638"/>
  <c r="P638"/>
  <c r="O638"/>
  <c r="N638"/>
  <c r="K638"/>
  <c r="J638"/>
  <c r="I638"/>
  <c r="B638"/>
  <c r="S637"/>
  <c r="T637" s="1"/>
  <c r="R637"/>
  <c r="Q637"/>
  <c r="P637"/>
  <c r="O637"/>
  <c r="N637"/>
  <c r="K637"/>
  <c r="J637"/>
  <c r="I637"/>
  <c r="B637"/>
  <c r="S636"/>
  <c r="T636" s="1"/>
  <c r="R636"/>
  <c r="Q636"/>
  <c r="P636"/>
  <c r="O636"/>
  <c r="N636"/>
  <c r="K636"/>
  <c r="J636"/>
  <c r="I636"/>
  <c r="B636"/>
  <c r="S635"/>
  <c r="T635" s="1"/>
  <c r="R635"/>
  <c r="Q635"/>
  <c r="P635"/>
  <c r="O635"/>
  <c r="N635"/>
  <c r="K635"/>
  <c r="J635"/>
  <c r="I635"/>
  <c r="B635"/>
  <c r="S634"/>
  <c r="T634" s="1"/>
  <c r="R634"/>
  <c r="Q634"/>
  <c r="P634"/>
  <c r="O634"/>
  <c r="N634"/>
  <c r="K634"/>
  <c r="J634"/>
  <c r="I634"/>
  <c r="B634"/>
  <c r="S633"/>
  <c r="T633" s="1"/>
  <c r="R633"/>
  <c r="Q633"/>
  <c r="P633"/>
  <c r="O633"/>
  <c r="N633"/>
  <c r="K633"/>
  <c r="J633"/>
  <c r="I633"/>
  <c r="B633"/>
  <c r="S632"/>
  <c r="T632" s="1"/>
  <c r="R632"/>
  <c r="Q632"/>
  <c r="P632"/>
  <c r="O632"/>
  <c r="N632"/>
  <c r="K632"/>
  <c r="J632"/>
  <c r="I632"/>
  <c r="B632"/>
  <c r="S631"/>
  <c r="T631" s="1"/>
  <c r="N631"/>
  <c r="K631"/>
  <c r="J631"/>
  <c r="I631"/>
  <c r="B631"/>
  <c r="S630"/>
  <c r="T630" s="1"/>
  <c r="N630"/>
  <c r="B630"/>
  <c r="S629"/>
  <c r="T629" s="1"/>
  <c r="R629"/>
  <c r="Q629"/>
  <c r="P629"/>
  <c r="O629"/>
  <c r="N629"/>
  <c r="K629"/>
  <c r="J629"/>
  <c r="I629"/>
  <c r="B629"/>
  <c r="S628"/>
  <c r="T628" s="1"/>
  <c r="R628"/>
  <c r="Q628"/>
  <c r="P628"/>
  <c r="O628"/>
  <c r="N628"/>
  <c r="K628"/>
  <c r="I628"/>
  <c r="B628"/>
  <c r="S627"/>
  <c r="T627" s="1"/>
  <c r="R627"/>
  <c r="Q627"/>
  <c r="P627"/>
  <c r="O627"/>
  <c r="N627"/>
  <c r="K627"/>
  <c r="I627"/>
  <c r="B627"/>
  <c r="S626"/>
  <c r="T626" s="1"/>
  <c r="R626"/>
  <c r="Q626"/>
  <c r="P626"/>
  <c r="O626"/>
  <c r="N626"/>
  <c r="K626"/>
  <c r="I626"/>
  <c r="B626"/>
  <c r="S625"/>
  <c r="T625" s="1"/>
  <c r="R625"/>
  <c r="Q625"/>
  <c r="P625"/>
  <c r="O625"/>
  <c r="N625"/>
  <c r="K625"/>
  <c r="I625"/>
  <c r="B625"/>
  <c r="S624"/>
  <c r="T624" s="1"/>
  <c r="R624"/>
  <c r="Q624"/>
  <c r="P624"/>
  <c r="O624"/>
  <c r="N624"/>
  <c r="K624"/>
  <c r="I624"/>
  <c r="B624"/>
  <c r="S623"/>
  <c r="T623" s="1"/>
  <c r="R623"/>
  <c r="Q623"/>
  <c r="P623"/>
  <c r="O623"/>
  <c r="N623"/>
  <c r="K623"/>
  <c r="I623"/>
  <c r="B623"/>
  <c r="S622"/>
  <c r="T622" s="1"/>
  <c r="R622"/>
  <c r="Q622"/>
  <c r="P622"/>
  <c r="O622"/>
  <c r="N622"/>
  <c r="K622"/>
  <c r="I622"/>
  <c r="B622"/>
  <c r="S621"/>
  <c r="T621" s="1"/>
  <c r="R621"/>
  <c r="Q621"/>
  <c r="P621"/>
  <c r="O621"/>
  <c r="N621"/>
  <c r="K621"/>
  <c r="J621"/>
  <c r="I621"/>
  <c r="B621"/>
  <c r="S620"/>
  <c r="T620" s="1"/>
  <c r="R620"/>
  <c r="Q620"/>
  <c r="P620"/>
  <c r="O620"/>
  <c r="N620"/>
  <c r="K620"/>
  <c r="J620"/>
  <c r="I620"/>
  <c r="B620"/>
  <c r="S619"/>
  <c r="T619" s="1"/>
  <c r="R619"/>
  <c r="Q619"/>
  <c r="P619"/>
  <c r="O619"/>
  <c r="N619"/>
  <c r="K619"/>
  <c r="J619"/>
  <c r="I619"/>
  <c r="B619"/>
  <c r="S618"/>
  <c r="T618" s="1"/>
  <c r="R618"/>
  <c r="Q618"/>
  <c r="P618"/>
  <c r="O618"/>
  <c r="N618"/>
  <c r="K618"/>
  <c r="J618"/>
  <c r="I618"/>
  <c r="B618"/>
  <c r="S617"/>
  <c r="T617" s="1"/>
  <c r="R617"/>
  <c r="Q617"/>
  <c r="P617"/>
  <c r="O617"/>
  <c r="N617"/>
  <c r="K617"/>
  <c r="J617"/>
  <c r="I617"/>
  <c r="B617"/>
  <c r="S616"/>
  <c r="R616"/>
  <c r="Q616"/>
  <c r="P616"/>
  <c r="O616"/>
  <c r="N616"/>
  <c r="B616"/>
  <c r="S615"/>
  <c r="T615" s="1"/>
  <c r="R615"/>
  <c r="Q615"/>
  <c r="P615"/>
  <c r="O615"/>
  <c r="N615"/>
  <c r="K615"/>
  <c r="J615"/>
  <c r="I615"/>
  <c r="B615"/>
  <c r="S614"/>
  <c r="T614" s="1"/>
  <c r="R614"/>
  <c r="Q614"/>
  <c r="P614"/>
  <c r="O614"/>
  <c r="N614"/>
  <c r="K614"/>
  <c r="J614"/>
  <c r="I614"/>
  <c r="B614"/>
  <c r="S613"/>
  <c r="T613" s="1"/>
  <c r="R613"/>
  <c r="Q613"/>
  <c r="P613"/>
  <c r="O613"/>
  <c r="N613"/>
  <c r="K613"/>
  <c r="J613"/>
  <c r="I613"/>
  <c r="B613"/>
  <c r="S612"/>
  <c r="T612" s="1"/>
  <c r="R612"/>
  <c r="Q612"/>
  <c r="P612"/>
  <c r="O612"/>
  <c r="N612"/>
  <c r="K612"/>
  <c r="J612"/>
  <c r="I612"/>
  <c r="B612"/>
  <c r="S611"/>
  <c r="T611" s="1"/>
  <c r="R611"/>
  <c r="Q611"/>
  <c r="P611"/>
  <c r="O611"/>
  <c r="N611"/>
  <c r="K611"/>
  <c r="J611"/>
  <c r="I611"/>
  <c r="B611"/>
  <c r="S610"/>
  <c r="T610" s="1"/>
  <c r="R610"/>
  <c r="Q610"/>
  <c r="P610"/>
  <c r="O610"/>
  <c r="N610"/>
  <c r="K610"/>
  <c r="J610"/>
  <c r="I610"/>
  <c r="B610"/>
  <c r="S609"/>
  <c r="T609" s="1"/>
  <c r="R609"/>
  <c r="Q609"/>
  <c r="P609"/>
  <c r="O609"/>
  <c r="N609"/>
  <c r="K609"/>
  <c r="J609"/>
  <c r="I609"/>
  <c r="B609"/>
  <c r="S608"/>
  <c r="T608" s="1"/>
  <c r="R608"/>
  <c r="Q608"/>
  <c r="P608"/>
  <c r="O608"/>
  <c r="N608"/>
  <c r="K608"/>
  <c r="J608"/>
  <c r="I608"/>
  <c r="B608"/>
  <c r="S607"/>
  <c r="T607" s="1"/>
  <c r="B607"/>
  <c r="S606"/>
  <c r="T606" s="1"/>
  <c r="R606"/>
  <c r="Q606"/>
  <c r="P606"/>
  <c r="O606"/>
  <c r="N606"/>
  <c r="B606"/>
  <c r="S605"/>
  <c r="T605" s="1"/>
  <c r="R605"/>
  <c r="Q605"/>
  <c r="P605"/>
  <c r="O605"/>
  <c r="N605"/>
  <c r="B605"/>
  <c r="S604"/>
  <c r="T604" s="1"/>
  <c r="R604"/>
  <c r="Q604"/>
  <c r="P604"/>
  <c r="O604"/>
  <c r="N604"/>
  <c r="B604"/>
  <c r="S603"/>
  <c r="T603" s="1"/>
  <c r="R603"/>
  <c r="Q603"/>
  <c r="P603"/>
  <c r="O603"/>
  <c r="N603"/>
  <c r="B603"/>
  <c r="S602"/>
  <c r="T602" s="1"/>
  <c r="R602"/>
  <c r="Q602"/>
  <c r="P602"/>
  <c r="O602"/>
  <c r="N602"/>
  <c r="B602"/>
  <c r="S601"/>
  <c r="T601" s="1"/>
  <c r="R601"/>
  <c r="Q601"/>
  <c r="P601"/>
  <c r="O601"/>
  <c r="N601"/>
  <c r="B601"/>
  <c r="S600"/>
  <c r="T600" s="1"/>
  <c r="R600"/>
  <c r="Q600"/>
  <c r="P600"/>
  <c r="O600"/>
  <c r="N600"/>
  <c r="B600"/>
  <c r="S599"/>
  <c r="T599" s="1"/>
  <c r="R599"/>
  <c r="Q599"/>
  <c r="P599"/>
  <c r="O599"/>
  <c r="N599"/>
  <c r="B599"/>
  <c r="S598"/>
  <c r="T598" s="1"/>
  <c r="R598"/>
  <c r="Q598"/>
  <c r="P598"/>
  <c r="O598"/>
  <c r="N598"/>
  <c r="B598"/>
  <c r="S597"/>
  <c r="T597" s="1"/>
  <c r="R597"/>
  <c r="Q597"/>
  <c r="P597"/>
  <c r="O597"/>
  <c r="N597"/>
  <c r="B597"/>
  <c r="S596"/>
  <c r="T596" s="1"/>
  <c r="R596"/>
  <c r="Q596"/>
  <c r="P596"/>
  <c r="O596"/>
  <c r="N596"/>
  <c r="B596"/>
  <c r="S595"/>
  <c r="T595" s="1"/>
  <c r="R595"/>
  <c r="Q595"/>
  <c r="P595"/>
  <c r="O595"/>
  <c r="N595"/>
  <c r="B595"/>
  <c r="S594"/>
  <c r="T594" s="1"/>
  <c r="R594"/>
  <c r="Q594"/>
  <c r="P594"/>
  <c r="O594"/>
  <c r="N594"/>
  <c r="B594"/>
  <c r="S593"/>
  <c r="T593" s="1"/>
  <c r="R593"/>
  <c r="Q593"/>
  <c r="P593"/>
  <c r="O593"/>
  <c r="N593"/>
  <c r="B593"/>
  <c r="S592"/>
  <c r="T592" s="1"/>
  <c r="R592"/>
  <c r="Q592"/>
  <c r="P592"/>
  <c r="O592"/>
  <c r="N592"/>
  <c r="B592"/>
  <c r="S591"/>
  <c r="T591" s="1"/>
  <c r="R591"/>
  <c r="Q591"/>
  <c r="P591"/>
  <c r="O591"/>
  <c r="N591"/>
  <c r="B591"/>
  <c r="S590"/>
  <c r="T590" s="1"/>
  <c r="R590"/>
  <c r="Q590"/>
  <c r="P590"/>
  <c r="O590"/>
  <c r="N590"/>
  <c r="K590"/>
  <c r="J590"/>
  <c r="I590"/>
  <c r="B590"/>
  <c r="S589"/>
  <c r="T589" s="1"/>
  <c r="R589"/>
  <c r="Q589"/>
  <c r="P589"/>
  <c r="O589"/>
  <c r="N589"/>
  <c r="K589"/>
  <c r="J589"/>
  <c r="I589"/>
  <c r="B589"/>
  <c r="S588"/>
  <c r="T588" s="1"/>
  <c r="R588"/>
  <c r="Q588"/>
  <c r="P588"/>
  <c r="O588"/>
  <c r="N588"/>
  <c r="K588"/>
  <c r="J588"/>
  <c r="I588"/>
  <c r="B588"/>
  <c r="S587"/>
  <c r="T587" s="1"/>
  <c r="R587"/>
  <c r="Q587"/>
  <c r="P587"/>
  <c r="O587"/>
  <c r="B587"/>
  <c r="S586"/>
  <c r="T586" s="1"/>
  <c r="R586"/>
  <c r="Q586"/>
  <c r="P586"/>
  <c r="O586"/>
  <c r="B586"/>
  <c r="S585"/>
  <c r="T585" s="1"/>
  <c r="R585"/>
  <c r="Q585"/>
  <c r="P585"/>
  <c r="O585"/>
  <c r="B585"/>
  <c r="S584"/>
  <c r="T584" s="1"/>
  <c r="R584"/>
  <c r="Q584"/>
  <c r="P584"/>
  <c r="O584"/>
  <c r="B584"/>
  <c r="S583"/>
  <c r="T583" s="1"/>
  <c r="R583"/>
  <c r="Q583"/>
  <c r="P583"/>
  <c r="O583"/>
  <c r="B583"/>
  <c r="S582"/>
  <c r="T582" s="1"/>
  <c r="R582"/>
  <c r="Q582"/>
  <c r="P582"/>
  <c r="O582"/>
  <c r="B582"/>
  <c r="S581"/>
  <c r="T581" s="1"/>
  <c r="R581"/>
  <c r="Q581"/>
  <c r="P581"/>
  <c r="O581"/>
  <c r="B581"/>
  <c r="S580"/>
  <c r="T580" s="1"/>
  <c r="R580"/>
  <c r="Q580"/>
  <c r="P580"/>
  <c r="O580"/>
  <c r="B580"/>
  <c r="S579"/>
  <c r="T579" s="1"/>
  <c r="R579"/>
  <c r="Q579"/>
  <c r="P579"/>
  <c r="O579"/>
  <c r="B579"/>
  <c r="S578"/>
  <c r="T578" s="1"/>
  <c r="R578"/>
  <c r="Q578"/>
  <c r="P578"/>
  <c r="O578"/>
  <c r="B578"/>
  <c r="S577"/>
  <c r="T577" s="1"/>
  <c r="R577"/>
  <c r="Q577"/>
  <c r="P577"/>
  <c r="O577"/>
  <c r="B577"/>
  <c r="S576"/>
  <c r="T576" s="1"/>
  <c r="R576"/>
  <c r="Q576"/>
  <c r="P576"/>
  <c r="O576"/>
  <c r="B576"/>
  <c r="S575"/>
  <c r="T575" s="1"/>
  <c r="R575"/>
  <c r="Q575"/>
  <c r="P575"/>
  <c r="O575"/>
  <c r="B575"/>
  <c r="S574"/>
  <c r="T574" s="1"/>
  <c r="R574"/>
  <c r="Q574"/>
  <c r="P574"/>
  <c r="O574"/>
  <c r="B574"/>
  <c r="S573"/>
  <c r="T573" s="1"/>
  <c r="R573"/>
  <c r="Q573"/>
  <c r="P573"/>
  <c r="O573"/>
  <c r="B573"/>
  <c r="S572"/>
  <c r="T572" s="1"/>
  <c r="R572"/>
  <c r="Q572"/>
  <c r="P572"/>
  <c r="O572"/>
  <c r="B572"/>
  <c r="S571"/>
  <c r="T571" s="1"/>
  <c r="R571"/>
  <c r="Q571"/>
  <c r="P571"/>
  <c r="O571"/>
  <c r="B571"/>
  <c r="S570"/>
  <c r="T570" s="1"/>
  <c r="R570"/>
  <c r="Q570"/>
  <c r="P570"/>
  <c r="O570"/>
  <c r="B570"/>
  <c r="S569"/>
  <c r="T569" s="1"/>
  <c r="R569"/>
  <c r="Q569"/>
  <c r="P569"/>
  <c r="O569"/>
  <c r="B569"/>
  <c r="S568"/>
  <c r="T568" s="1"/>
  <c r="R568"/>
  <c r="Q568"/>
  <c r="P568"/>
  <c r="O568"/>
  <c r="B568"/>
  <c r="S567"/>
  <c r="T567" s="1"/>
  <c r="R567"/>
  <c r="Q567"/>
  <c r="P567"/>
  <c r="O567"/>
  <c r="B567"/>
  <c r="S566"/>
  <c r="T566" s="1"/>
  <c r="R566"/>
  <c r="Q566"/>
  <c r="P566"/>
  <c r="O566"/>
  <c r="B566"/>
  <c r="S565"/>
  <c r="T565" s="1"/>
  <c r="R565"/>
  <c r="Q565"/>
  <c r="P565"/>
  <c r="O565"/>
  <c r="B565"/>
  <c r="S564"/>
  <c r="T564" s="1"/>
  <c r="R564"/>
  <c r="Q564"/>
  <c r="P564"/>
  <c r="O564"/>
  <c r="B564"/>
  <c r="S563"/>
  <c r="T563" s="1"/>
  <c r="R563"/>
  <c r="Q563"/>
  <c r="P563"/>
  <c r="O563"/>
  <c r="B563"/>
  <c r="S562"/>
  <c r="T562" s="1"/>
  <c r="R562"/>
  <c r="Q562"/>
  <c r="P562"/>
  <c r="O562"/>
  <c r="B562"/>
  <c r="S561"/>
  <c r="T561" s="1"/>
  <c r="R561"/>
  <c r="Q561"/>
  <c r="P561"/>
  <c r="O561"/>
  <c r="B561"/>
  <c r="S560"/>
  <c r="T560" s="1"/>
  <c r="R560"/>
  <c r="Q560"/>
  <c r="P560"/>
  <c r="O560"/>
  <c r="B560"/>
  <c r="S559"/>
  <c r="T559" s="1"/>
  <c r="R559"/>
  <c r="Q559"/>
  <c r="P559"/>
  <c r="O559"/>
  <c r="B559"/>
  <c r="S558"/>
  <c r="T558" s="1"/>
  <c r="R558"/>
  <c r="Q558"/>
  <c r="P558"/>
  <c r="O558"/>
  <c r="B558"/>
  <c r="S557"/>
  <c r="T557" s="1"/>
  <c r="R557"/>
  <c r="Q557"/>
  <c r="P557"/>
  <c r="O557"/>
  <c r="B557"/>
  <c r="S556"/>
  <c r="T556" s="1"/>
  <c r="R556"/>
  <c r="Q556"/>
  <c r="P556"/>
  <c r="O556"/>
  <c r="B556"/>
  <c r="S555"/>
  <c r="T555" s="1"/>
  <c r="R555"/>
  <c r="Q555"/>
  <c r="P555"/>
  <c r="O555"/>
  <c r="B555"/>
  <c r="S554"/>
  <c r="T554" s="1"/>
  <c r="R554"/>
  <c r="Q554"/>
  <c r="P554"/>
  <c r="O554"/>
  <c r="B554"/>
  <c r="S553"/>
  <c r="T553" s="1"/>
  <c r="R553"/>
  <c r="Q553"/>
  <c r="P553"/>
  <c r="O553"/>
  <c r="B553"/>
  <c r="S552"/>
  <c r="T552" s="1"/>
  <c r="R552"/>
  <c r="Q552"/>
  <c r="P552"/>
  <c r="O552"/>
  <c r="B552"/>
  <c r="S551"/>
  <c r="T551" s="1"/>
  <c r="R551"/>
  <c r="Q551"/>
  <c r="P551"/>
  <c r="O551"/>
  <c r="B551"/>
  <c r="S550"/>
  <c r="T550" s="1"/>
  <c r="B550"/>
  <c r="B549"/>
  <c r="B548"/>
  <c r="K547"/>
  <c r="J547"/>
  <c r="I547"/>
  <c r="B547"/>
  <c r="K546"/>
  <c r="J546"/>
  <c r="I546"/>
  <c r="B546"/>
  <c r="I545"/>
  <c r="J545" s="1"/>
  <c r="B545"/>
  <c r="T544"/>
  <c r="B544"/>
  <c r="T543"/>
  <c r="B543"/>
  <c r="T542"/>
  <c r="B542"/>
  <c r="T541"/>
  <c r="B541"/>
  <c r="T540"/>
  <c r="B540"/>
  <c r="T539"/>
  <c r="B539"/>
  <c r="T538"/>
  <c r="B538"/>
  <c r="S537"/>
  <c r="T537" s="1"/>
  <c r="B537"/>
  <c r="T536"/>
  <c r="B536"/>
  <c r="S535"/>
  <c r="T535" s="1"/>
  <c r="B535"/>
  <c r="T534"/>
  <c r="B534"/>
  <c r="S533"/>
  <c r="T533" s="1"/>
  <c r="B533"/>
  <c r="T532"/>
  <c r="B532"/>
  <c r="T531"/>
  <c r="B531"/>
  <c r="T530"/>
  <c r="B530"/>
  <c r="T529"/>
  <c r="B529"/>
  <c r="T528"/>
  <c r="B528"/>
  <c r="T527"/>
  <c r="B527"/>
  <c r="T526"/>
  <c r="B526"/>
  <c r="S525"/>
  <c r="T525" s="1"/>
  <c r="B525"/>
  <c r="T524"/>
  <c r="B524"/>
  <c r="S523"/>
  <c r="T523" s="1"/>
  <c r="B523"/>
  <c r="T522"/>
  <c r="B522"/>
  <c r="S521"/>
  <c r="T521" s="1"/>
  <c r="B521"/>
  <c r="T520"/>
  <c r="B520"/>
  <c r="T519"/>
  <c r="B519"/>
  <c r="T518"/>
  <c r="B518"/>
  <c r="T517"/>
  <c r="B517"/>
  <c r="T516"/>
  <c r="B516"/>
  <c r="T515"/>
  <c r="B515"/>
  <c r="T514"/>
  <c r="B514"/>
  <c r="T512"/>
  <c r="B512"/>
  <c r="T511"/>
  <c r="B511"/>
  <c r="T510"/>
  <c r="B510"/>
  <c r="T509"/>
  <c r="B509"/>
  <c r="T508"/>
  <c r="B508"/>
  <c r="T507"/>
  <c r="B507"/>
  <c r="S506"/>
  <c r="T506" s="1"/>
  <c r="B506"/>
  <c r="T505"/>
  <c r="B505"/>
  <c r="T504"/>
  <c r="B504"/>
  <c r="S503"/>
  <c r="T503" s="1"/>
  <c r="B503"/>
  <c r="T502"/>
  <c r="B502"/>
  <c r="T501"/>
  <c r="B501"/>
  <c r="S500"/>
  <c r="T500" s="1"/>
  <c r="B500"/>
  <c r="T499"/>
  <c r="B499"/>
  <c r="T498"/>
  <c r="B498"/>
  <c r="T497"/>
  <c r="B497"/>
  <c r="S496"/>
  <c r="T496" s="1"/>
  <c r="B496"/>
  <c r="S495"/>
  <c r="T495" s="1"/>
  <c r="B495"/>
  <c r="S494"/>
  <c r="T494" s="1"/>
  <c r="B494"/>
  <c r="S493"/>
  <c r="T493" s="1"/>
  <c r="B493"/>
  <c r="S492"/>
  <c r="T492" s="1"/>
  <c r="B492"/>
  <c r="S491"/>
  <c r="T491" s="1"/>
  <c r="B491"/>
  <c r="T490"/>
  <c r="B490"/>
  <c r="S489"/>
  <c r="T489" s="1"/>
  <c r="B489"/>
  <c r="S488"/>
  <c r="T488" s="1"/>
  <c r="B488"/>
  <c r="S487"/>
  <c r="T487" s="1"/>
  <c r="B487"/>
  <c r="S486"/>
  <c r="T486" s="1"/>
  <c r="B486"/>
  <c r="B485"/>
  <c r="B484"/>
  <c r="B483"/>
  <c r="B482"/>
  <c r="B481"/>
  <c r="B480"/>
  <c r="B479"/>
  <c r="B478"/>
  <c r="B477"/>
  <c r="B476"/>
  <c r="B475"/>
  <c r="T474"/>
  <c r="B474"/>
  <c r="S473"/>
  <c r="T473" s="1"/>
  <c r="B473"/>
  <c r="B472"/>
  <c r="B471"/>
  <c r="B470"/>
  <c r="B469"/>
  <c r="B468"/>
  <c r="B467"/>
  <c r="B466"/>
  <c r="B465"/>
  <c r="B464"/>
  <c r="B463"/>
  <c r="T462"/>
  <c r="B462"/>
  <c r="T461"/>
  <c r="B461"/>
  <c r="T460"/>
  <c r="B460"/>
  <c r="T459"/>
  <c r="B459"/>
  <c r="T458"/>
  <c r="B458"/>
  <c r="T457"/>
  <c r="B457"/>
  <c r="T456"/>
  <c r="B456"/>
  <c r="T455"/>
  <c r="B455"/>
  <c r="T454"/>
  <c r="B454"/>
  <c r="T453"/>
  <c r="B453"/>
  <c r="T452"/>
  <c r="B452"/>
  <c r="T451"/>
  <c r="B451"/>
  <c r="S450"/>
  <c r="T450" s="1"/>
  <c r="B450"/>
  <c r="T449"/>
  <c r="B449"/>
  <c r="S448"/>
  <c r="T448" s="1"/>
  <c r="B448"/>
  <c r="T447"/>
  <c r="B447"/>
  <c r="T446"/>
  <c r="B446"/>
  <c r="S445"/>
  <c r="T445" s="1"/>
  <c r="B445"/>
  <c r="S444"/>
  <c r="T444" s="1"/>
  <c r="B444"/>
  <c r="S443"/>
  <c r="T443" s="1"/>
  <c r="B443"/>
  <c r="T442"/>
  <c r="B442"/>
  <c r="T441"/>
  <c r="B441"/>
  <c r="S440"/>
  <c r="T440" s="1"/>
  <c r="N440"/>
  <c r="O440" s="1"/>
  <c r="B440"/>
  <c r="S438"/>
  <c r="T438" s="1"/>
  <c r="N438"/>
  <c r="O438" s="1"/>
  <c r="B438"/>
  <c r="S437"/>
  <c r="T437" s="1"/>
  <c r="L437"/>
  <c r="N437" s="1"/>
  <c r="O437" s="1"/>
  <c r="B437"/>
  <c r="S436"/>
  <c r="T436" s="1"/>
  <c r="N436"/>
  <c r="O436" s="1"/>
  <c r="B436"/>
  <c r="S435"/>
  <c r="T435" s="1"/>
  <c r="L435"/>
  <c r="B435"/>
  <c r="S434"/>
  <c r="T434" s="1"/>
  <c r="N434"/>
  <c r="O434" s="1"/>
  <c r="B434"/>
  <c r="S433"/>
  <c r="T433" s="1"/>
  <c r="N433"/>
  <c r="O433" s="1"/>
  <c r="B433"/>
  <c r="T432"/>
  <c r="R432"/>
  <c r="Q432"/>
  <c r="P432"/>
  <c r="O432"/>
  <c r="N432"/>
  <c r="B432"/>
  <c r="S431"/>
  <c r="T431" s="1"/>
  <c r="N431"/>
  <c r="O431" s="1"/>
  <c r="B431"/>
  <c r="S430"/>
  <c r="T430" s="1"/>
  <c r="N430"/>
  <c r="O430" s="1"/>
  <c r="B430"/>
  <c r="S429"/>
  <c r="T429" s="1"/>
  <c r="L429"/>
  <c r="B429"/>
  <c r="S428"/>
  <c r="T428" s="1"/>
  <c r="N428"/>
  <c r="O428" s="1"/>
  <c r="B428"/>
  <c r="S427"/>
  <c r="T427" s="1"/>
  <c r="N427"/>
  <c r="O427" s="1"/>
  <c r="B427"/>
  <c r="S426"/>
  <c r="T426" s="1"/>
  <c r="N426"/>
  <c r="O426" s="1"/>
  <c r="B426"/>
  <c r="S425"/>
  <c r="T425" s="1"/>
  <c r="N425"/>
  <c r="O425" s="1"/>
  <c r="B425"/>
  <c r="S424"/>
  <c r="T424" s="1"/>
  <c r="N424"/>
  <c r="O424" s="1"/>
  <c r="B424"/>
  <c r="S423"/>
  <c r="T423" s="1"/>
  <c r="N423"/>
  <c r="O423" s="1"/>
  <c r="B423"/>
  <c r="T422"/>
  <c r="R422"/>
  <c r="Q422"/>
  <c r="P422"/>
  <c r="O422"/>
  <c r="N422"/>
  <c r="B422"/>
  <c r="T421"/>
  <c r="R421"/>
  <c r="Q421"/>
  <c r="P421"/>
  <c r="O421"/>
  <c r="N421"/>
  <c r="B421"/>
  <c r="T420"/>
  <c r="R420"/>
  <c r="Q420"/>
  <c r="P420"/>
  <c r="O420"/>
  <c r="N420"/>
  <c r="B420"/>
  <c r="T419"/>
  <c r="R419"/>
  <c r="Q419"/>
  <c r="P419"/>
  <c r="O419"/>
  <c r="N419"/>
  <c r="B419"/>
  <c r="S418"/>
  <c r="T418" s="1"/>
  <c r="N418"/>
  <c r="O418" s="1"/>
  <c r="B418"/>
  <c r="T417"/>
  <c r="R417"/>
  <c r="Q417"/>
  <c r="P417"/>
  <c r="O417"/>
  <c r="N417"/>
  <c r="B417"/>
  <c r="T416"/>
  <c r="R416"/>
  <c r="Q416"/>
  <c r="P416"/>
  <c r="O416"/>
  <c r="N416"/>
  <c r="B416"/>
  <c r="T415"/>
  <c r="R415"/>
  <c r="Q415"/>
  <c r="P415"/>
  <c r="O415"/>
  <c r="N415"/>
  <c r="B415"/>
  <c r="T414"/>
  <c r="R414"/>
  <c r="Q414"/>
  <c r="P414"/>
  <c r="O414"/>
  <c r="N414"/>
  <c r="B414"/>
  <c r="S413"/>
  <c r="T413" s="1"/>
  <c r="N413"/>
  <c r="O413" s="1"/>
  <c r="B413"/>
  <c r="T412"/>
  <c r="R412"/>
  <c r="Q412"/>
  <c r="P412"/>
  <c r="O412"/>
  <c r="N412"/>
  <c r="B412"/>
  <c r="T411"/>
  <c r="R411"/>
  <c r="Q411"/>
  <c r="P411"/>
  <c r="O411"/>
  <c r="N411"/>
  <c r="B411"/>
  <c r="T410"/>
  <c r="N410"/>
  <c r="O410" s="1"/>
  <c r="B410"/>
  <c r="T409"/>
  <c r="N409"/>
  <c r="O409" s="1"/>
  <c r="B409"/>
  <c r="S408"/>
  <c r="T408" s="1"/>
  <c r="N408"/>
  <c r="O408" s="1"/>
  <c r="B408"/>
  <c r="T407"/>
  <c r="R407"/>
  <c r="Q407"/>
  <c r="P407"/>
  <c r="O407"/>
  <c r="N407"/>
  <c r="B407"/>
  <c r="T406"/>
  <c r="R406"/>
  <c r="Q406"/>
  <c r="P406"/>
  <c r="O406"/>
  <c r="N406"/>
  <c r="B406"/>
  <c r="T405"/>
  <c r="R405"/>
  <c r="Q405"/>
  <c r="P405"/>
  <c r="O405"/>
  <c r="N405"/>
  <c r="B405"/>
  <c r="T404"/>
  <c r="R404"/>
  <c r="Q404"/>
  <c r="P404"/>
  <c r="O404"/>
  <c r="N404"/>
  <c r="B404"/>
  <c r="S403"/>
  <c r="T403" s="1"/>
  <c r="N403"/>
  <c r="O403" s="1"/>
  <c r="B403"/>
  <c r="T402"/>
  <c r="R402"/>
  <c r="Q402"/>
  <c r="P402"/>
  <c r="O402"/>
  <c r="N402"/>
  <c r="B402"/>
  <c r="T401"/>
  <c r="B401"/>
  <c r="T400"/>
  <c r="R400"/>
  <c r="Q400"/>
  <c r="P400"/>
  <c r="O400"/>
  <c r="N400"/>
  <c r="B400"/>
  <c r="T399"/>
  <c r="R399"/>
  <c r="Q399"/>
  <c r="P399"/>
  <c r="O399"/>
  <c r="N399"/>
  <c r="B399"/>
  <c r="S398"/>
  <c r="T398" s="1"/>
  <c r="N398"/>
  <c r="O398" s="1"/>
  <c r="B398"/>
  <c r="T397"/>
  <c r="R397"/>
  <c r="Q397"/>
  <c r="P397"/>
  <c r="O397"/>
  <c r="N397"/>
  <c r="B397"/>
  <c r="T396"/>
  <c r="R396"/>
  <c r="Q396"/>
  <c r="P396"/>
  <c r="O396"/>
  <c r="N396"/>
  <c r="B396"/>
  <c r="S395"/>
  <c r="T395" s="1"/>
  <c r="R395"/>
  <c r="Q395"/>
  <c r="P395"/>
  <c r="O395"/>
  <c r="N395"/>
  <c r="H395"/>
  <c r="I395" s="1"/>
  <c r="J395" s="1"/>
  <c r="B395"/>
  <c r="T394"/>
  <c r="R394"/>
  <c r="Q394"/>
  <c r="P394"/>
  <c r="O394"/>
  <c r="N394"/>
  <c r="K394"/>
  <c r="J394"/>
  <c r="I394"/>
  <c r="B394"/>
  <c r="T393"/>
  <c r="R393"/>
  <c r="Q393"/>
  <c r="P393"/>
  <c r="O393"/>
  <c r="N393"/>
  <c r="K393"/>
  <c r="J393"/>
  <c r="I393"/>
  <c r="B393"/>
  <c r="T392"/>
  <c r="R392"/>
  <c r="Q392"/>
  <c r="P392"/>
  <c r="O392"/>
  <c r="N392"/>
  <c r="K392"/>
  <c r="J392"/>
  <c r="I392"/>
  <c r="B392"/>
  <c r="T391"/>
  <c r="R391"/>
  <c r="Q391"/>
  <c r="P391"/>
  <c r="O391"/>
  <c r="N391"/>
  <c r="K391"/>
  <c r="J391"/>
  <c r="I391"/>
  <c r="B391"/>
  <c r="S390"/>
  <c r="T390" s="1"/>
  <c r="N390"/>
  <c r="O390" s="1"/>
  <c r="K390"/>
  <c r="J390"/>
  <c r="I390"/>
  <c r="B390"/>
  <c r="T389"/>
  <c r="R389"/>
  <c r="Q389"/>
  <c r="P389"/>
  <c r="O389"/>
  <c r="N389"/>
  <c r="K389"/>
  <c r="J389"/>
  <c r="I389"/>
  <c r="B389"/>
  <c r="T388"/>
  <c r="R388"/>
  <c r="Q388"/>
  <c r="P388"/>
  <c r="O388"/>
  <c r="N388"/>
  <c r="K388"/>
  <c r="J388"/>
  <c r="I388"/>
  <c r="B388"/>
  <c r="T387"/>
  <c r="R387"/>
  <c r="Q387"/>
  <c r="P387"/>
  <c r="O387"/>
  <c r="N387"/>
  <c r="K387"/>
  <c r="J387"/>
  <c r="I387"/>
  <c r="B387"/>
  <c r="T386"/>
  <c r="R386"/>
  <c r="Q386"/>
  <c r="P386"/>
  <c r="O386"/>
  <c r="N386"/>
  <c r="K386"/>
  <c r="J386"/>
  <c r="I386"/>
  <c r="B386"/>
  <c r="S385"/>
  <c r="T385" s="1"/>
  <c r="N385"/>
  <c r="O385" s="1"/>
  <c r="K385"/>
  <c r="J385"/>
  <c r="I385"/>
  <c r="B385"/>
  <c r="T384"/>
  <c r="R384"/>
  <c r="Q384"/>
  <c r="P384"/>
  <c r="O384"/>
  <c r="N384"/>
  <c r="K384"/>
  <c r="J384"/>
  <c r="I384"/>
  <c r="B384"/>
  <c r="T383"/>
  <c r="R383"/>
  <c r="Q383"/>
  <c r="P383"/>
  <c r="O383"/>
  <c r="N383"/>
  <c r="K383"/>
  <c r="J383"/>
  <c r="I383"/>
  <c r="B383"/>
  <c r="T382"/>
  <c r="R382"/>
  <c r="Q382"/>
  <c r="P382"/>
  <c r="O382"/>
  <c r="N382"/>
  <c r="K382"/>
  <c r="J382"/>
  <c r="I382"/>
  <c r="B382"/>
  <c r="T381"/>
  <c r="R381"/>
  <c r="Q381"/>
  <c r="P381"/>
  <c r="O381"/>
  <c r="N381"/>
  <c r="K381"/>
  <c r="J381"/>
  <c r="I381"/>
  <c r="B381"/>
  <c r="S380"/>
  <c r="T380" s="1"/>
  <c r="N380"/>
  <c r="O380" s="1"/>
  <c r="K380"/>
  <c r="J380"/>
  <c r="I380"/>
  <c r="B380"/>
  <c r="T379"/>
  <c r="R379"/>
  <c r="Q379"/>
  <c r="P379"/>
  <c r="O379"/>
  <c r="N379"/>
  <c r="K379"/>
  <c r="J379"/>
  <c r="I379"/>
  <c r="B379"/>
  <c r="T378"/>
  <c r="R378"/>
  <c r="Q378"/>
  <c r="P378"/>
  <c r="O378"/>
  <c r="N378"/>
  <c r="K378"/>
  <c r="J378"/>
  <c r="I378"/>
  <c r="B378"/>
  <c r="T377"/>
  <c r="M377"/>
  <c r="N377" s="1"/>
  <c r="O377" s="1"/>
  <c r="K377"/>
  <c r="J377"/>
  <c r="I377"/>
  <c r="B377"/>
  <c r="T376"/>
  <c r="N376"/>
  <c r="O376" s="1"/>
  <c r="K376"/>
  <c r="J376"/>
  <c r="I376"/>
  <c r="B376"/>
  <c r="S375"/>
  <c r="T375" s="1"/>
  <c r="N375"/>
  <c r="O375" s="1"/>
  <c r="K375"/>
  <c r="J375"/>
  <c r="I375"/>
  <c r="B375"/>
  <c r="T374"/>
  <c r="R374"/>
  <c r="Q374"/>
  <c r="P374"/>
  <c r="O374"/>
  <c r="N374"/>
  <c r="K374"/>
  <c r="J374"/>
  <c r="I374"/>
  <c r="B374"/>
  <c r="T373"/>
  <c r="R373"/>
  <c r="Q373"/>
  <c r="P373"/>
  <c r="O373"/>
  <c r="N373"/>
  <c r="K373"/>
  <c r="J373"/>
  <c r="I373"/>
  <c r="B373"/>
  <c r="T372"/>
  <c r="R372"/>
  <c r="Q372"/>
  <c r="P372"/>
  <c r="O372"/>
  <c r="N372"/>
  <c r="K372"/>
  <c r="J372"/>
  <c r="I372"/>
  <c r="B372"/>
  <c r="T371"/>
  <c r="R371"/>
  <c r="Q371"/>
  <c r="P371"/>
  <c r="O371"/>
  <c r="N371"/>
  <c r="K371"/>
  <c r="J371"/>
  <c r="I371"/>
  <c r="B371"/>
  <c r="S370"/>
  <c r="T370" s="1"/>
  <c r="N370"/>
  <c r="O370" s="1"/>
  <c r="K370"/>
  <c r="J370"/>
  <c r="I370"/>
  <c r="B370"/>
  <c r="T369"/>
  <c r="R369"/>
  <c r="Q369"/>
  <c r="P369"/>
  <c r="O369"/>
  <c r="N369"/>
  <c r="K369"/>
  <c r="J369"/>
  <c r="I369"/>
  <c r="B369"/>
  <c r="T368"/>
  <c r="R368"/>
  <c r="Q368"/>
  <c r="P368"/>
  <c r="O368"/>
  <c r="N368"/>
  <c r="K368"/>
  <c r="J368"/>
  <c r="I368"/>
  <c r="B368"/>
  <c r="T367"/>
  <c r="N367"/>
  <c r="O367" s="1"/>
  <c r="K367"/>
  <c r="J367"/>
  <c r="I367"/>
  <c r="B367"/>
  <c r="T366"/>
  <c r="N366"/>
  <c r="O366" s="1"/>
  <c r="K366"/>
  <c r="J366"/>
  <c r="I366"/>
  <c r="B366"/>
  <c r="S365"/>
  <c r="T365" s="1"/>
  <c r="N365"/>
  <c r="O365" s="1"/>
  <c r="K365"/>
  <c r="J365"/>
  <c r="I365"/>
  <c r="B365"/>
  <c r="T364"/>
  <c r="R364"/>
  <c r="Q364"/>
  <c r="P364"/>
  <c r="O364"/>
  <c r="N364"/>
  <c r="K364"/>
  <c r="J364"/>
  <c r="I364"/>
  <c r="B364"/>
  <c r="T363"/>
  <c r="R363"/>
  <c r="Q363"/>
  <c r="P363"/>
  <c r="O363"/>
  <c r="N363"/>
  <c r="K363"/>
  <c r="J363"/>
  <c r="I363"/>
  <c r="B363"/>
  <c r="T362"/>
  <c r="R362"/>
  <c r="Q362"/>
  <c r="P362"/>
  <c r="O362"/>
  <c r="N362"/>
  <c r="K362"/>
  <c r="J362"/>
  <c r="I362"/>
  <c r="B362"/>
  <c r="T361"/>
  <c r="R361"/>
  <c r="Q361"/>
  <c r="P361"/>
  <c r="O361"/>
  <c r="N361"/>
  <c r="K361"/>
  <c r="J361"/>
  <c r="I361"/>
  <c r="B361"/>
  <c r="S360"/>
  <c r="T360" s="1"/>
  <c r="N360"/>
  <c r="O360" s="1"/>
  <c r="K360"/>
  <c r="J360"/>
  <c r="I360"/>
  <c r="B360"/>
  <c r="T359"/>
  <c r="K359"/>
  <c r="J359"/>
  <c r="I359"/>
  <c r="B359"/>
  <c r="T358"/>
  <c r="R358"/>
  <c r="Q358"/>
  <c r="P358"/>
  <c r="O358"/>
  <c r="N358"/>
  <c r="K358"/>
  <c r="J358"/>
  <c r="I358"/>
  <c r="B358"/>
  <c r="T357"/>
  <c r="K357"/>
  <c r="J357"/>
  <c r="I357"/>
  <c r="B357"/>
  <c r="T356"/>
  <c r="R356"/>
  <c r="Q356"/>
  <c r="P356"/>
  <c r="O356"/>
  <c r="N356"/>
  <c r="K356"/>
  <c r="J356"/>
  <c r="I356"/>
  <c r="B356"/>
  <c r="S355"/>
  <c r="T355" s="1"/>
  <c r="N355"/>
  <c r="O355" s="1"/>
  <c r="K355"/>
  <c r="J355"/>
  <c r="I355"/>
  <c r="B355"/>
  <c r="T354"/>
  <c r="R354"/>
  <c r="Q354"/>
  <c r="P354"/>
  <c r="O354"/>
  <c r="N354"/>
  <c r="K354"/>
  <c r="J354"/>
  <c r="I354"/>
  <c r="B354"/>
  <c r="T353"/>
  <c r="R353"/>
  <c r="Q353"/>
  <c r="P353"/>
  <c r="O353"/>
  <c r="N353"/>
  <c r="K353"/>
  <c r="J353"/>
  <c r="I353"/>
  <c r="B353"/>
  <c r="T352"/>
  <c r="R352"/>
  <c r="Q352"/>
  <c r="P352"/>
  <c r="O352"/>
  <c r="N352"/>
  <c r="K352"/>
  <c r="J352"/>
  <c r="I352"/>
  <c r="B352"/>
  <c r="T351"/>
  <c r="R351"/>
  <c r="Q351"/>
  <c r="P351"/>
  <c r="O351"/>
  <c r="N351"/>
  <c r="K351"/>
  <c r="J351"/>
  <c r="I351"/>
  <c r="B351"/>
  <c r="S350"/>
  <c r="T350" s="1"/>
  <c r="N350"/>
  <c r="O350" s="1"/>
  <c r="K350"/>
  <c r="J350"/>
  <c r="I350"/>
  <c r="B350"/>
  <c r="T349"/>
  <c r="R349"/>
  <c r="Q349"/>
  <c r="P349"/>
  <c r="O349"/>
  <c r="N349"/>
  <c r="K349"/>
  <c r="J349"/>
  <c r="I349"/>
  <c r="B349"/>
  <c r="T348"/>
  <c r="R348"/>
  <c r="Q348"/>
  <c r="P348"/>
  <c r="O348"/>
  <c r="N348"/>
  <c r="K348"/>
  <c r="J348"/>
  <c r="I348"/>
  <c r="B348"/>
  <c r="S347"/>
  <c r="T347" s="1"/>
  <c r="R347"/>
  <c r="Q347"/>
  <c r="P347"/>
  <c r="O347"/>
  <c r="N347"/>
  <c r="H347"/>
  <c r="I347" s="1"/>
  <c r="J347" s="1"/>
  <c r="B347"/>
  <c r="T346"/>
  <c r="R346"/>
  <c r="Q346"/>
  <c r="P346"/>
  <c r="O346"/>
  <c r="N346"/>
  <c r="K346"/>
  <c r="J346"/>
  <c r="I346"/>
  <c r="B346"/>
  <c r="T345"/>
  <c r="R345"/>
  <c r="Q345"/>
  <c r="P345"/>
  <c r="O345"/>
  <c r="N345"/>
  <c r="K345"/>
  <c r="J345"/>
  <c r="I345"/>
  <c r="B345"/>
  <c r="S344"/>
  <c r="T344" s="1"/>
  <c r="I344"/>
  <c r="J344" s="1"/>
  <c r="B344"/>
  <c r="S343"/>
  <c r="T343" s="1"/>
  <c r="R343"/>
  <c r="Q343"/>
  <c r="P343"/>
  <c r="O343"/>
  <c r="N343"/>
  <c r="I343"/>
  <c r="J343" s="1"/>
  <c r="B343"/>
  <c r="S342"/>
  <c r="T342" s="1"/>
  <c r="R342"/>
  <c r="Q342"/>
  <c r="P342"/>
  <c r="O342"/>
  <c r="N342"/>
  <c r="G342"/>
  <c r="I342" s="1"/>
  <c r="J342" s="1"/>
  <c r="B342"/>
  <c r="T341"/>
  <c r="R341"/>
  <c r="Q341"/>
  <c r="P341"/>
  <c r="O341"/>
  <c r="N341"/>
  <c r="K341"/>
  <c r="J341"/>
  <c r="I341"/>
  <c r="B341"/>
  <c r="T340"/>
  <c r="R340"/>
  <c r="Q340"/>
  <c r="P340"/>
  <c r="O340"/>
  <c r="N340"/>
  <c r="K340"/>
  <c r="J340"/>
  <c r="I340"/>
  <c r="B340"/>
  <c r="S339"/>
  <c r="T339" s="1"/>
  <c r="R339"/>
  <c r="Q339"/>
  <c r="P339"/>
  <c r="O339"/>
  <c r="N339"/>
  <c r="I339"/>
  <c r="J339" s="1"/>
  <c r="B339"/>
  <c r="T338"/>
  <c r="R338"/>
  <c r="Q338"/>
  <c r="P338"/>
  <c r="O338"/>
  <c r="N338"/>
  <c r="K338"/>
  <c r="J338"/>
  <c r="I338"/>
  <c r="B338"/>
  <c r="T337"/>
  <c r="R337"/>
  <c r="Q337"/>
  <c r="P337"/>
  <c r="O337"/>
  <c r="N337"/>
  <c r="K337"/>
  <c r="J337"/>
  <c r="I337"/>
  <c r="B337"/>
  <c r="S336"/>
  <c r="T336" s="1"/>
  <c r="R336"/>
  <c r="Q336"/>
  <c r="P336"/>
  <c r="O336"/>
  <c r="N336"/>
  <c r="I336"/>
  <c r="J336" s="1"/>
  <c r="B336"/>
  <c r="T335"/>
  <c r="R335"/>
  <c r="Q335"/>
  <c r="P335"/>
  <c r="O335"/>
  <c r="N335"/>
  <c r="K335"/>
  <c r="J335"/>
  <c r="I335"/>
  <c r="B335"/>
  <c r="T334"/>
  <c r="R334"/>
  <c r="Q334"/>
  <c r="P334"/>
  <c r="O334"/>
  <c r="N334"/>
  <c r="K334"/>
  <c r="J334"/>
  <c r="I334"/>
  <c r="B334"/>
  <c r="S333"/>
  <c r="T333" s="1"/>
  <c r="R333"/>
  <c r="Q333"/>
  <c r="P333"/>
  <c r="O333"/>
  <c r="N333"/>
  <c r="I333"/>
  <c r="J333" s="1"/>
  <c r="B333"/>
  <c r="T332"/>
  <c r="R332"/>
  <c r="Q332"/>
  <c r="P332"/>
  <c r="O332"/>
  <c r="N332"/>
  <c r="K332"/>
  <c r="J332"/>
  <c r="I332"/>
  <c r="B332"/>
  <c r="T331"/>
  <c r="R331"/>
  <c r="Q331"/>
  <c r="P331"/>
  <c r="O331"/>
  <c r="N331"/>
  <c r="K331"/>
  <c r="J331"/>
  <c r="I331"/>
  <c r="B331"/>
  <c r="S330"/>
  <c r="T330" s="1"/>
  <c r="R330"/>
  <c r="Q330"/>
  <c r="P330"/>
  <c r="O330"/>
  <c r="N330"/>
  <c r="I330"/>
  <c r="J330" s="1"/>
  <c r="B330"/>
  <c r="T329"/>
  <c r="R329"/>
  <c r="Q329"/>
  <c r="P329"/>
  <c r="O329"/>
  <c r="N329"/>
  <c r="K329"/>
  <c r="J329"/>
  <c r="I329"/>
  <c r="B329"/>
  <c r="T328"/>
  <c r="R328"/>
  <c r="Q328"/>
  <c r="P328"/>
  <c r="O328"/>
  <c r="N328"/>
  <c r="K328"/>
  <c r="J328"/>
  <c r="I328"/>
  <c r="B328"/>
  <c r="S327"/>
  <c r="T327" s="1"/>
  <c r="R327"/>
  <c r="Q327"/>
  <c r="P327"/>
  <c r="O327"/>
  <c r="N327"/>
  <c r="I327"/>
  <c r="J327" s="1"/>
  <c r="B327"/>
  <c r="T326"/>
  <c r="R326"/>
  <c r="Q326"/>
  <c r="P326"/>
  <c r="O326"/>
  <c r="N326"/>
  <c r="K326"/>
  <c r="J326"/>
  <c r="I326"/>
  <c r="B326"/>
  <c r="S325"/>
  <c r="T325" s="1"/>
  <c r="R325"/>
  <c r="Q325"/>
  <c r="P325"/>
  <c r="O325"/>
  <c r="N325"/>
  <c r="I325"/>
  <c r="K325" s="1"/>
  <c r="B325"/>
  <c r="S324"/>
  <c r="T324" s="1"/>
  <c r="R324"/>
  <c r="Q324"/>
  <c r="P324"/>
  <c r="O324"/>
  <c r="N324"/>
  <c r="I324"/>
  <c r="K324" s="1"/>
  <c r="B324"/>
  <c r="S323"/>
  <c r="T323" s="1"/>
  <c r="R323"/>
  <c r="Q323"/>
  <c r="P323"/>
  <c r="O323"/>
  <c r="N323"/>
  <c r="I323"/>
  <c r="K323" s="1"/>
  <c r="B323"/>
  <c r="S322"/>
  <c r="T322" s="1"/>
  <c r="R322"/>
  <c r="Q322"/>
  <c r="P322"/>
  <c r="O322"/>
  <c r="N322"/>
  <c r="I322"/>
  <c r="K322" s="1"/>
  <c r="B322"/>
  <c r="S321"/>
  <c r="T321" s="1"/>
  <c r="R321"/>
  <c r="Q321"/>
  <c r="P321"/>
  <c r="O321"/>
  <c r="N321"/>
  <c r="I321"/>
  <c r="K321" s="1"/>
  <c r="B321"/>
  <c r="S320"/>
  <c r="T320" s="1"/>
  <c r="R320"/>
  <c r="Q320"/>
  <c r="P320"/>
  <c r="O320"/>
  <c r="N320"/>
  <c r="I320"/>
  <c r="K320" s="1"/>
  <c r="B320"/>
  <c r="S319"/>
  <c r="T319" s="1"/>
  <c r="R319"/>
  <c r="Q319"/>
  <c r="P319"/>
  <c r="O319"/>
  <c r="N319"/>
  <c r="K319"/>
  <c r="I319"/>
  <c r="B319"/>
  <c r="S318"/>
  <c r="T318" s="1"/>
  <c r="R318"/>
  <c r="Q318"/>
  <c r="P318"/>
  <c r="O318"/>
  <c r="N318"/>
  <c r="I318"/>
  <c r="K318" s="1"/>
  <c r="B318"/>
  <c r="T317"/>
  <c r="R317"/>
  <c r="Q317"/>
  <c r="P317"/>
  <c r="O317"/>
  <c r="N317"/>
  <c r="K317"/>
  <c r="J317"/>
  <c r="I317"/>
  <c r="B317"/>
  <c r="S316"/>
  <c r="T316" s="1"/>
  <c r="N316"/>
  <c r="O316" s="1"/>
  <c r="K316"/>
  <c r="J316"/>
  <c r="I316"/>
  <c r="B316"/>
  <c r="S315"/>
  <c r="T315" s="1"/>
  <c r="N315"/>
  <c r="O315" s="1"/>
  <c r="K315"/>
  <c r="J315"/>
  <c r="I315"/>
  <c r="B315"/>
  <c r="T314"/>
  <c r="R314"/>
  <c r="Q314"/>
  <c r="P314"/>
  <c r="O314"/>
  <c r="N314"/>
  <c r="K314"/>
  <c r="J314"/>
  <c r="I314"/>
  <c r="B314"/>
  <c r="T313"/>
  <c r="R313"/>
  <c r="Q313"/>
  <c r="P313"/>
  <c r="O313"/>
  <c r="N313"/>
  <c r="K313"/>
  <c r="J313"/>
  <c r="I313"/>
  <c r="B313"/>
  <c r="T312"/>
  <c r="R312"/>
  <c r="Q312"/>
  <c r="P312"/>
  <c r="O312"/>
  <c r="N312"/>
  <c r="K312"/>
  <c r="J312"/>
  <c r="I312"/>
  <c r="B312"/>
  <c r="T311"/>
  <c r="R311"/>
  <c r="Q311"/>
  <c r="P311"/>
  <c r="O311"/>
  <c r="N311"/>
  <c r="K311"/>
  <c r="J311"/>
  <c r="I311"/>
  <c r="B311"/>
  <c r="S310"/>
  <c r="T310" s="1"/>
  <c r="N310"/>
  <c r="O310" s="1"/>
  <c r="K310"/>
  <c r="J310"/>
  <c r="I310"/>
  <c r="B310"/>
  <c r="T309"/>
  <c r="R309"/>
  <c r="Q309"/>
  <c r="P309"/>
  <c r="O309"/>
  <c r="N309"/>
  <c r="K309"/>
  <c r="J309"/>
  <c r="I309"/>
  <c r="B309"/>
  <c r="T308"/>
  <c r="R308"/>
  <c r="Q308"/>
  <c r="P308"/>
  <c r="O308"/>
  <c r="N308"/>
  <c r="K308"/>
  <c r="J308"/>
  <c r="I308"/>
  <c r="B308"/>
  <c r="T307"/>
  <c r="R307"/>
  <c r="Q307"/>
  <c r="P307"/>
  <c r="O307"/>
  <c r="N307"/>
  <c r="K307"/>
  <c r="J307"/>
  <c r="I307"/>
  <c r="B307"/>
  <c r="T306"/>
  <c r="N306"/>
  <c r="O306" s="1"/>
  <c r="K306"/>
  <c r="J306"/>
  <c r="I306"/>
  <c r="B306"/>
  <c r="S305"/>
  <c r="T305" s="1"/>
  <c r="N305"/>
  <c r="O305" s="1"/>
  <c r="K305"/>
  <c r="J305"/>
  <c r="I305"/>
  <c r="B305"/>
  <c r="T304"/>
  <c r="R304"/>
  <c r="Q304"/>
  <c r="P304"/>
  <c r="O304"/>
  <c r="N304"/>
  <c r="K304"/>
  <c r="J304"/>
  <c r="I304"/>
  <c r="B304"/>
  <c r="T303"/>
  <c r="R303"/>
  <c r="Q303"/>
  <c r="P303"/>
  <c r="O303"/>
  <c r="N303"/>
  <c r="K303"/>
  <c r="J303"/>
  <c r="I303"/>
  <c r="B303"/>
  <c r="T302"/>
  <c r="R302"/>
  <c r="Q302"/>
  <c r="P302"/>
  <c r="O302"/>
  <c r="N302"/>
  <c r="K302"/>
  <c r="J302"/>
  <c r="I302"/>
  <c r="B302"/>
  <c r="T301"/>
  <c r="R301"/>
  <c r="Q301"/>
  <c r="P301"/>
  <c r="O301"/>
  <c r="N301"/>
  <c r="K301"/>
  <c r="J301"/>
  <c r="I301"/>
  <c r="B301"/>
  <c r="S300"/>
  <c r="T300" s="1"/>
  <c r="N300"/>
  <c r="O300" s="1"/>
  <c r="K300"/>
  <c r="J300"/>
  <c r="I300"/>
  <c r="B300"/>
  <c r="T299"/>
  <c r="R299"/>
  <c r="Q299"/>
  <c r="P299"/>
  <c r="O299"/>
  <c r="N299"/>
  <c r="K299"/>
  <c r="J299"/>
  <c r="I299"/>
  <c r="B299"/>
  <c r="T298"/>
  <c r="R298"/>
  <c r="Q298"/>
  <c r="P298"/>
  <c r="O298"/>
  <c r="N298"/>
  <c r="K298"/>
  <c r="J298"/>
  <c r="I298"/>
  <c r="B298"/>
  <c r="T297"/>
  <c r="R297"/>
  <c r="Q297"/>
  <c r="P297"/>
  <c r="O297"/>
  <c r="N297"/>
  <c r="K297"/>
  <c r="J297"/>
  <c r="I297"/>
  <c r="B297"/>
  <c r="T296"/>
  <c r="R296"/>
  <c r="Q296"/>
  <c r="P296"/>
  <c r="O296"/>
  <c r="N296"/>
  <c r="K296"/>
  <c r="J296"/>
  <c r="I296"/>
  <c r="B296"/>
  <c r="S295"/>
  <c r="T295" s="1"/>
  <c r="N295"/>
  <c r="O295" s="1"/>
  <c r="K295"/>
  <c r="J295"/>
  <c r="I295"/>
  <c r="B295"/>
  <c r="T294"/>
  <c r="R294"/>
  <c r="Q294"/>
  <c r="P294"/>
  <c r="O294"/>
  <c r="N294"/>
  <c r="K294"/>
  <c r="J294"/>
  <c r="I294"/>
  <c r="B294"/>
  <c r="T293"/>
  <c r="R293"/>
  <c r="Q293"/>
  <c r="P293"/>
  <c r="O293"/>
  <c r="N293"/>
  <c r="K293"/>
  <c r="J293"/>
  <c r="I293"/>
  <c r="B293"/>
  <c r="T292"/>
  <c r="R292"/>
  <c r="Q292"/>
  <c r="P292"/>
  <c r="O292"/>
  <c r="N292"/>
  <c r="K292"/>
  <c r="J292"/>
  <c r="I292"/>
  <c r="B292"/>
  <c r="T291"/>
  <c r="R291"/>
  <c r="Q291"/>
  <c r="P291"/>
  <c r="O291"/>
  <c r="N291"/>
  <c r="K291"/>
  <c r="J291"/>
  <c r="I291"/>
  <c r="B291"/>
  <c r="S290"/>
  <c r="T290" s="1"/>
  <c r="N290"/>
  <c r="O290" s="1"/>
  <c r="K290"/>
  <c r="J290"/>
  <c r="I290"/>
  <c r="B290"/>
  <c r="T289"/>
  <c r="R289"/>
  <c r="Q289"/>
  <c r="P289"/>
  <c r="O289"/>
  <c r="N289"/>
  <c r="K289"/>
  <c r="J289"/>
  <c r="I289"/>
  <c r="B289"/>
  <c r="T288"/>
  <c r="R288"/>
  <c r="Q288"/>
  <c r="P288"/>
  <c r="O288"/>
  <c r="N288"/>
  <c r="K288"/>
  <c r="J288"/>
  <c r="I288"/>
  <c r="B288"/>
  <c r="T287"/>
  <c r="R287"/>
  <c r="Q287"/>
  <c r="P287"/>
  <c r="O287"/>
  <c r="N287"/>
  <c r="K287"/>
  <c r="J287"/>
  <c r="I287"/>
  <c r="B287"/>
  <c r="T286"/>
  <c r="R286"/>
  <c r="Q286"/>
  <c r="P286"/>
  <c r="O286"/>
  <c r="N286"/>
  <c r="K286"/>
  <c r="J286"/>
  <c r="I286"/>
  <c r="B286"/>
  <c r="S285"/>
  <c r="T285" s="1"/>
  <c r="N285"/>
  <c r="O285" s="1"/>
  <c r="K285"/>
  <c r="J285"/>
  <c r="I285"/>
  <c r="B285"/>
  <c r="T284"/>
  <c r="R284"/>
  <c r="Q284"/>
  <c r="P284"/>
  <c r="O284"/>
  <c r="N284"/>
  <c r="K284"/>
  <c r="J284"/>
  <c r="I284"/>
  <c r="B284"/>
  <c r="T283"/>
  <c r="R283"/>
  <c r="Q283"/>
  <c r="P283"/>
  <c r="O283"/>
  <c r="N283"/>
  <c r="K283"/>
  <c r="J283"/>
  <c r="I283"/>
  <c r="B283"/>
  <c r="T282"/>
  <c r="R282"/>
  <c r="Q282"/>
  <c r="P282"/>
  <c r="O282"/>
  <c r="N282"/>
  <c r="K282"/>
  <c r="J282"/>
  <c r="I282"/>
  <c r="B282"/>
  <c r="T281"/>
  <c r="R281"/>
  <c r="Q281"/>
  <c r="P281"/>
  <c r="O281"/>
  <c r="N281"/>
  <c r="K281"/>
  <c r="J281"/>
  <c r="I281"/>
  <c r="B281"/>
  <c r="S280"/>
  <c r="T280" s="1"/>
  <c r="N280"/>
  <c r="O280" s="1"/>
  <c r="K280"/>
  <c r="J280"/>
  <c r="I280"/>
  <c r="B280"/>
  <c r="T279"/>
  <c r="R279"/>
  <c r="Q279"/>
  <c r="P279"/>
  <c r="O279"/>
  <c r="N279"/>
  <c r="K279"/>
  <c r="J279"/>
  <c r="I279"/>
  <c r="B279"/>
  <c r="T278"/>
  <c r="R278"/>
  <c r="Q278"/>
  <c r="P278"/>
  <c r="O278"/>
  <c r="N278"/>
  <c r="K278"/>
  <c r="J278"/>
  <c r="I278"/>
  <c r="B278"/>
  <c r="T277"/>
  <c r="R277"/>
  <c r="Q277"/>
  <c r="P277"/>
  <c r="O277"/>
  <c r="N277"/>
  <c r="K277"/>
  <c r="J277"/>
  <c r="I277"/>
  <c r="B277"/>
  <c r="T276"/>
  <c r="R276"/>
  <c r="Q276"/>
  <c r="P276"/>
  <c r="O276"/>
  <c r="N276"/>
  <c r="K276"/>
  <c r="J276"/>
  <c r="I276"/>
  <c r="B276"/>
  <c r="S275"/>
  <c r="T275" s="1"/>
  <c r="N275"/>
  <c r="O275" s="1"/>
  <c r="K275"/>
  <c r="J275"/>
  <c r="I275"/>
  <c r="B275"/>
  <c r="T274"/>
  <c r="R274"/>
  <c r="Q274"/>
  <c r="P274"/>
  <c r="O274"/>
  <c r="N274"/>
  <c r="K274"/>
  <c r="J274"/>
  <c r="I274"/>
  <c r="B274"/>
  <c r="T273"/>
  <c r="R273"/>
  <c r="Q273"/>
  <c r="P273"/>
  <c r="O273"/>
  <c r="N273"/>
  <c r="K273"/>
  <c r="J273"/>
  <c r="I273"/>
  <c r="B273"/>
  <c r="T272"/>
  <c r="R272"/>
  <c r="Q272"/>
  <c r="P272"/>
  <c r="O272"/>
  <c r="N272"/>
  <c r="K272"/>
  <c r="J272"/>
  <c r="I272"/>
  <c r="B272"/>
  <c r="T271"/>
  <c r="R271"/>
  <c r="Q271"/>
  <c r="P271"/>
  <c r="O271"/>
  <c r="N271"/>
  <c r="K271"/>
  <c r="J271"/>
  <c r="I271"/>
  <c r="B271"/>
  <c r="S270"/>
  <c r="T270" s="1"/>
  <c r="N270"/>
  <c r="O270" s="1"/>
  <c r="K270"/>
  <c r="J270"/>
  <c r="I270"/>
  <c r="B270"/>
  <c r="T269"/>
  <c r="R269"/>
  <c r="Q269"/>
  <c r="P269"/>
  <c r="O269"/>
  <c r="N269"/>
  <c r="K269"/>
  <c r="J269"/>
  <c r="I269"/>
  <c r="B269"/>
  <c r="T268"/>
  <c r="R268"/>
  <c r="Q268"/>
  <c r="P268"/>
  <c r="O268"/>
  <c r="N268"/>
  <c r="K268"/>
  <c r="J268"/>
  <c r="I268"/>
  <c r="B268"/>
  <c r="T267"/>
  <c r="R267"/>
  <c r="Q267"/>
  <c r="P267"/>
  <c r="O267"/>
  <c r="N267"/>
  <c r="K267"/>
  <c r="J267"/>
  <c r="I267"/>
  <c r="B267"/>
  <c r="T266"/>
  <c r="R266"/>
  <c r="Q266"/>
  <c r="P266"/>
  <c r="O266"/>
  <c r="N266"/>
  <c r="K266"/>
  <c r="J266"/>
  <c r="I266"/>
  <c r="B266"/>
  <c r="S265"/>
  <c r="T265" s="1"/>
  <c r="N265"/>
  <c r="O265" s="1"/>
  <c r="K265"/>
  <c r="J265"/>
  <c r="I265"/>
  <c r="B265"/>
  <c r="T264"/>
  <c r="R264"/>
  <c r="Q264"/>
  <c r="P264"/>
  <c r="O264"/>
  <c r="N264"/>
  <c r="K264"/>
  <c r="J264"/>
  <c r="I264"/>
  <c r="B264"/>
  <c r="T263"/>
  <c r="R263"/>
  <c r="Q263"/>
  <c r="P263"/>
  <c r="O263"/>
  <c r="N263"/>
  <c r="K263"/>
  <c r="J263"/>
  <c r="I263"/>
  <c r="B263"/>
  <c r="S262"/>
  <c r="T262" s="1"/>
  <c r="R262"/>
  <c r="Q262"/>
  <c r="P262"/>
  <c r="O262"/>
  <c r="N262"/>
  <c r="I262"/>
  <c r="J262" s="1"/>
  <c r="B262"/>
  <c r="S261"/>
  <c r="T261" s="1"/>
  <c r="R261"/>
  <c r="Q261"/>
  <c r="P261"/>
  <c r="O261"/>
  <c r="N261"/>
  <c r="I261"/>
  <c r="J261" s="1"/>
  <c r="B261"/>
  <c r="T260"/>
  <c r="R260"/>
  <c r="Q260"/>
  <c r="P260"/>
  <c r="O260"/>
  <c r="N260"/>
  <c r="K260"/>
  <c r="J260"/>
  <c r="I260"/>
  <c r="B260"/>
  <c r="T259"/>
  <c r="R259"/>
  <c r="Q259"/>
  <c r="P259"/>
  <c r="O259"/>
  <c r="N259"/>
  <c r="K259"/>
  <c r="J259"/>
  <c r="I259"/>
  <c r="B259"/>
  <c r="T258"/>
  <c r="R258"/>
  <c r="Q258"/>
  <c r="P258"/>
  <c r="O258"/>
  <c r="N258"/>
  <c r="K258"/>
  <c r="J258"/>
  <c r="I258"/>
  <c r="B258"/>
  <c r="T257"/>
  <c r="R257"/>
  <c r="Q257"/>
  <c r="P257"/>
  <c r="O257"/>
  <c r="N257"/>
  <c r="K257"/>
  <c r="J257"/>
  <c r="I257"/>
  <c r="B257"/>
  <c r="S256"/>
  <c r="T256" s="1"/>
  <c r="N256"/>
  <c r="O256" s="1"/>
  <c r="K256"/>
  <c r="J256"/>
  <c r="I256"/>
  <c r="B256"/>
  <c r="T255"/>
  <c r="R255"/>
  <c r="Q255"/>
  <c r="P255"/>
  <c r="O255"/>
  <c r="N255"/>
  <c r="K255"/>
  <c r="J255"/>
  <c r="I255"/>
  <c r="B255"/>
  <c r="T254"/>
  <c r="R254"/>
  <c r="Q254"/>
  <c r="P254"/>
  <c r="O254"/>
  <c r="N254"/>
  <c r="K254"/>
  <c r="J254"/>
  <c r="I254"/>
  <c r="B254"/>
  <c r="T253"/>
  <c r="R253"/>
  <c r="Q253"/>
  <c r="P253"/>
  <c r="O253"/>
  <c r="N253"/>
  <c r="K253"/>
  <c r="J253"/>
  <c r="I253"/>
  <c r="B253"/>
  <c r="T252"/>
  <c r="R252"/>
  <c r="Q252"/>
  <c r="P252"/>
  <c r="O252"/>
  <c r="N252"/>
  <c r="K252"/>
  <c r="J252"/>
  <c r="I252"/>
  <c r="B252"/>
  <c r="S251"/>
  <c r="T251" s="1"/>
  <c r="N251"/>
  <c r="O251" s="1"/>
  <c r="K251"/>
  <c r="J251"/>
  <c r="I251"/>
  <c r="B251"/>
  <c r="T250"/>
  <c r="R250"/>
  <c r="Q250"/>
  <c r="P250"/>
  <c r="O250"/>
  <c r="N250"/>
  <c r="K250"/>
  <c r="J250"/>
  <c r="I250"/>
  <c r="B250"/>
  <c r="T249"/>
  <c r="R249"/>
  <c r="Q249"/>
  <c r="P249"/>
  <c r="O249"/>
  <c r="N249"/>
  <c r="K249"/>
  <c r="J249"/>
  <c r="I249"/>
  <c r="B249"/>
  <c r="T248"/>
  <c r="R248"/>
  <c r="Q248"/>
  <c r="P248"/>
  <c r="O248"/>
  <c r="N248"/>
  <c r="K248"/>
  <c r="J248"/>
  <c r="I248"/>
  <c r="B248"/>
  <c r="T247"/>
  <c r="R247"/>
  <c r="Q247"/>
  <c r="P247"/>
  <c r="O247"/>
  <c r="N247"/>
  <c r="K247"/>
  <c r="J247"/>
  <c r="I247"/>
  <c r="B247"/>
  <c r="S246"/>
  <c r="T246" s="1"/>
  <c r="N246"/>
  <c r="O246" s="1"/>
  <c r="K246"/>
  <c r="J246"/>
  <c r="I246"/>
  <c r="B246"/>
  <c r="T245"/>
  <c r="R245"/>
  <c r="Q245"/>
  <c r="P245"/>
  <c r="O245"/>
  <c r="N245"/>
  <c r="K245"/>
  <c r="J245"/>
  <c r="I245"/>
  <c r="B245"/>
  <c r="T244"/>
  <c r="R244"/>
  <c r="Q244"/>
  <c r="P244"/>
  <c r="O244"/>
  <c r="N244"/>
  <c r="K244"/>
  <c r="J244"/>
  <c r="I244"/>
  <c r="B244"/>
  <c r="T243"/>
  <c r="R243"/>
  <c r="Q243"/>
  <c r="P243"/>
  <c r="O243"/>
  <c r="N243"/>
  <c r="K243"/>
  <c r="J243"/>
  <c r="I243"/>
  <c r="B243"/>
  <c r="T242"/>
  <c r="R242"/>
  <c r="Q242"/>
  <c r="P242"/>
  <c r="O242"/>
  <c r="N242"/>
  <c r="K242"/>
  <c r="J242"/>
  <c r="I242"/>
  <c r="B242"/>
  <c r="S241"/>
  <c r="T241" s="1"/>
  <c r="N241"/>
  <c r="O241" s="1"/>
  <c r="K241"/>
  <c r="J241"/>
  <c r="I241"/>
  <c r="B241"/>
  <c r="T240"/>
  <c r="R240"/>
  <c r="Q240"/>
  <c r="P240"/>
  <c r="O240"/>
  <c r="N240"/>
  <c r="K240"/>
  <c r="J240"/>
  <c r="I240"/>
  <c r="B240"/>
  <c r="T239"/>
  <c r="R239"/>
  <c r="Q239"/>
  <c r="P239"/>
  <c r="O239"/>
  <c r="N239"/>
  <c r="K239"/>
  <c r="J239"/>
  <c r="I239"/>
  <c r="B239"/>
  <c r="T238"/>
  <c r="R238"/>
  <c r="Q238"/>
  <c r="P238"/>
  <c r="O238"/>
  <c r="N238"/>
  <c r="K238"/>
  <c r="J238"/>
  <c r="I238"/>
  <c r="B238"/>
  <c r="T237"/>
  <c r="R237"/>
  <c r="Q237"/>
  <c r="P237"/>
  <c r="O237"/>
  <c r="N237"/>
  <c r="K237"/>
  <c r="J237"/>
  <c r="I237"/>
  <c r="B237"/>
  <c r="S236"/>
  <c r="T236" s="1"/>
  <c r="M236"/>
  <c r="L236"/>
  <c r="K236"/>
  <c r="J236"/>
  <c r="I236"/>
  <c r="B236"/>
  <c r="T235"/>
  <c r="R235"/>
  <c r="Q235"/>
  <c r="P235"/>
  <c r="O235"/>
  <c r="N235"/>
  <c r="K235"/>
  <c r="J235"/>
  <c r="I235"/>
  <c r="B235"/>
  <c r="T234"/>
  <c r="R234"/>
  <c r="Q234"/>
  <c r="P234"/>
  <c r="O234"/>
  <c r="N234"/>
  <c r="K234"/>
  <c r="J234"/>
  <c r="I234"/>
  <c r="B234"/>
  <c r="T233"/>
  <c r="R233"/>
  <c r="Q233"/>
  <c r="P233"/>
  <c r="O233"/>
  <c r="N233"/>
  <c r="K233"/>
  <c r="J233"/>
  <c r="I233"/>
  <c r="B233"/>
  <c r="T232"/>
  <c r="R232"/>
  <c r="Q232"/>
  <c r="P232"/>
  <c r="O232"/>
  <c r="N232"/>
  <c r="K232"/>
  <c r="J232"/>
  <c r="I232"/>
  <c r="B232"/>
  <c r="S231"/>
  <c r="T231" s="1"/>
  <c r="N231"/>
  <c r="O231" s="1"/>
  <c r="K231"/>
  <c r="J231"/>
  <c r="I231"/>
  <c r="B231"/>
  <c r="T230"/>
  <c r="R230"/>
  <c r="Q230"/>
  <c r="P230"/>
  <c r="O230"/>
  <c r="N230"/>
  <c r="K230"/>
  <c r="J230"/>
  <c r="I230"/>
  <c r="B230"/>
  <c r="T229"/>
  <c r="R229"/>
  <c r="Q229"/>
  <c r="P229"/>
  <c r="O229"/>
  <c r="N229"/>
  <c r="K229"/>
  <c r="J229"/>
  <c r="I229"/>
  <c r="B229"/>
  <c r="T228"/>
  <c r="R228"/>
  <c r="Q228"/>
  <c r="P228"/>
  <c r="O228"/>
  <c r="N228"/>
  <c r="K228"/>
  <c r="J228"/>
  <c r="I228"/>
  <c r="B228"/>
  <c r="T227"/>
  <c r="R227"/>
  <c r="Q227"/>
  <c r="P227"/>
  <c r="O227"/>
  <c r="N227"/>
  <c r="K227"/>
  <c r="J227"/>
  <c r="I227"/>
  <c r="B227"/>
  <c r="S226"/>
  <c r="T226" s="1"/>
  <c r="N226"/>
  <c r="O226" s="1"/>
  <c r="K226"/>
  <c r="J226"/>
  <c r="I226"/>
  <c r="B226"/>
  <c r="S225"/>
  <c r="T225" s="1"/>
  <c r="N225"/>
  <c r="O225" s="1"/>
  <c r="K225"/>
  <c r="J225"/>
  <c r="I225"/>
  <c r="B225"/>
  <c r="T224"/>
  <c r="R224"/>
  <c r="Q224"/>
  <c r="P224"/>
  <c r="O224"/>
  <c r="N224"/>
  <c r="K224"/>
  <c r="J224"/>
  <c r="I224"/>
  <c r="B224"/>
  <c r="T223"/>
  <c r="R223"/>
  <c r="Q223"/>
  <c r="P223"/>
  <c r="O223"/>
  <c r="N223"/>
  <c r="K223"/>
  <c r="J223"/>
  <c r="I223"/>
  <c r="B223"/>
  <c r="T222"/>
  <c r="R222"/>
  <c r="Q222"/>
  <c r="P222"/>
  <c r="O222"/>
  <c r="N222"/>
  <c r="K222"/>
  <c r="J222"/>
  <c r="I222"/>
  <c r="B222"/>
  <c r="T221"/>
  <c r="R221"/>
  <c r="Q221"/>
  <c r="P221"/>
  <c r="O221"/>
  <c r="N221"/>
  <c r="K221"/>
  <c r="J221"/>
  <c r="I221"/>
  <c r="B221"/>
  <c r="S220"/>
  <c r="T220" s="1"/>
  <c r="N220"/>
  <c r="O220" s="1"/>
  <c r="K220"/>
  <c r="J220"/>
  <c r="I220"/>
  <c r="B220"/>
  <c r="S219"/>
  <c r="T219" s="1"/>
  <c r="N219"/>
  <c r="O219" s="1"/>
  <c r="K219"/>
  <c r="J219"/>
  <c r="I219"/>
  <c r="B219"/>
  <c r="T218"/>
  <c r="R218"/>
  <c r="Q218"/>
  <c r="P218"/>
  <c r="O218"/>
  <c r="N218"/>
  <c r="K218"/>
  <c r="J218"/>
  <c r="I218"/>
  <c r="B218"/>
  <c r="T217"/>
  <c r="R217"/>
  <c r="Q217"/>
  <c r="P217"/>
  <c r="O217"/>
  <c r="N217"/>
  <c r="K217"/>
  <c r="J217"/>
  <c r="I217"/>
  <c r="B217"/>
  <c r="T216"/>
  <c r="R216"/>
  <c r="Q216"/>
  <c r="P216"/>
  <c r="O216"/>
  <c r="N216"/>
  <c r="K216"/>
  <c r="J216"/>
  <c r="I216"/>
  <c r="B216"/>
  <c r="T215"/>
  <c r="R215"/>
  <c r="Q215"/>
  <c r="P215"/>
  <c r="O215"/>
  <c r="N215"/>
  <c r="K215"/>
  <c r="J215"/>
  <c r="I215"/>
  <c r="B215"/>
  <c r="S214"/>
  <c r="T214" s="1"/>
  <c r="N214"/>
  <c r="O214" s="1"/>
  <c r="K214"/>
  <c r="J214"/>
  <c r="I214"/>
  <c r="B214"/>
  <c r="S213"/>
  <c r="T213" s="1"/>
  <c r="N213"/>
  <c r="O213" s="1"/>
  <c r="K213"/>
  <c r="J213"/>
  <c r="I213"/>
  <c r="B213"/>
  <c r="T212"/>
  <c r="R212"/>
  <c r="Q212"/>
  <c r="P212"/>
  <c r="O212"/>
  <c r="N212"/>
  <c r="K212"/>
  <c r="J212"/>
  <c r="I212"/>
  <c r="B212"/>
  <c r="T211"/>
  <c r="R211"/>
  <c r="Q211"/>
  <c r="P211"/>
  <c r="O211"/>
  <c r="N211"/>
  <c r="K211"/>
  <c r="J211"/>
  <c r="I211"/>
  <c r="B211"/>
  <c r="T210"/>
  <c r="R210"/>
  <c r="Q210"/>
  <c r="P210"/>
  <c r="O210"/>
  <c r="N210"/>
  <c r="K210"/>
  <c r="J210"/>
  <c r="I210"/>
  <c r="B210"/>
  <c r="T209"/>
  <c r="R209"/>
  <c r="Q209"/>
  <c r="P209"/>
  <c r="O209"/>
  <c r="N209"/>
  <c r="K209"/>
  <c r="J209"/>
  <c r="I209"/>
  <c r="B209"/>
  <c r="S208"/>
  <c r="T208" s="1"/>
  <c r="N208"/>
  <c r="O208" s="1"/>
  <c r="K208"/>
  <c r="J208"/>
  <c r="I208"/>
  <c r="B208"/>
  <c r="T207"/>
  <c r="R207"/>
  <c r="Q207"/>
  <c r="P207"/>
  <c r="O207"/>
  <c r="N207"/>
  <c r="K207"/>
  <c r="J207"/>
  <c r="I207"/>
  <c r="B207"/>
  <c r="T206"/>
  <c r="R206"/>
  <c r="Q206"/>
  <c r="P206"/>
  <c r="O206"/>
  <c r="N206"/>
  <c r="K206"/>
  <c r="J206"/>
  <c r="I206"/>
  <c r="B206"/>
  <c r="T205"/>
  <c r="R205"/>
  <c r="Q205"/>
  <c r="P205"/>
  <c r="O205"/>
  <c r="N205"/>
  <c r="K205"/>
  <c r="J205"/>
  <c r="I205"/>
  <c r="B205"/>
  <c r="T204"/>
  <c r="R204"/>
  <c r="Q204"/>
  <c r="P204"/>
  <c r="O204"/>
  <c r="N204"/>
  <c r="K204"/>
  <c r="J204"/>
  <c r="I204"/>
  <c r="B204"/>
  <c r="S203"/>
  <c r="T203" s="1"/>
  <c r="N203"/>
  <c r="O203" s="1"/>
  <c r="K203"/>
  <c r="J203"/>
  <c r="I203"/>
  <c r="B203"/>
  <c r="T202"/>
  <c r="R202"/>
  <c r="Q202"/>
  <c r="P202"/>
  <c r="O202"/>
  <c r="N202"/>
  <c r="K202"/>
  <c r="J202"/>
  <c r="I202"/>
  <c r="B202"/>
  <c r="T201"/>
  <c r="R201"/>
  <c r="Q201"/>
  <c r="P201"/>
  <c r="O201"/>
  <c r="N201"/>
  <c r="K201"/>
  <c r="J201"/>
  <c r="I201"/>
  <c r="B201"/>
  <c r="T200"/>
  <c r="R200"/>
  <c r="Q200"/>
  <c r="P200"/>
  <c r="O200"/>
  <c r="N200"/>
  <c r="K200"/>
  <c r="J200"/>
  <c r="I200"/>
  <c r="B200"/>
  <c r="T199"/>
  <c r="R199"/>
  <c r="Q199"/>
  <c r="P199"/>
  <c r="O199"/>
  <c r="N199"/>
  <c r="K199"/>
  <c r="J199"/>
  <c r="I199"/>
  <c r="B199"/>
  <c r="S198"/>
  <c r="T198" s="1"/>
  <c r="N198"/>
  <c r="O198" s="1"/>
  <c r="K198"/>
  <c r="J198"/>
  <c r="I198"/>
  <c r="B198"/>
  <c r="T197"/>
  <c r="R197"/>
  <c r="Q197"/>
  <c r="P197"/>
  <c r="O197"/>
  <c r="N197"/>
  <c r="K197"/>
  <c r="J197"/>
  <c r="I197"/>
  <c r="B197"/>
  <c r="T196"/>
  <c r="R196"/>
  <c r="Q196"/>
  <c r="P196"/>
  <c r="O196"/>
  <c r="N196"/>
  <c r="K196"/>
  <c r="J196"/>
  <c r="I196"/>
  <c r="B196"/>
  <c r="T195"/>
  <c r="R195"/>
  <c r="Q195"/>
  <c r="P195"/>
  <c r="O195"/>
  <c r="N195"/>
  <c r="K195"/>
  <c r="J195"/>
  <c r="I195"/>
  <c r="B195"/>
  <c r="T194"/>
  <c r="R194"/>
  <c r="Q194"/>
  <c r="P194"/>
  <c r="O194"/>
  <c r="N194"/>
  <c r="K194"/>
  <c r="J194"/>
  <c r="I194"/>
  <c r="B194"/>
  <c r="S193"/>
  <c r="T193" s="1"/>
  <c r="N193"/>
  <c r="O193" s="1"/>
  <c r="K193"/>
  <c r="J193"/>
  <c r="I193"/>
  <c r="B193"/>
  <c r="T192"/>
  <c r="R192"/>
  <c r="Q192"/>
  <c r="P192"/>
  <c r="O192"/>
  <c r="N192"/>
  <c r="K192"/>
  <c r="J192"/>
  <c r="I192"/>
  <c r="B192"/>
  <c r="T191"/>
  <c r="R191"/>
  <c r="Q191"/>
  <c r="P191"/>
  <c r="O191"/>
  <c r="N191"/>
  <c r="K191"/>
  <c r="J191"/>
  <c r="I191"/>
  <c r="B191"/>
  <c r="T190"/>
  <c r="R190"/>
  <c r="Q190"/>
  <c r="P190"/>
  <c r="O190"/>
  <c r="N190"/>
  <c r="K190"/>
  <c r="J190"/>
  <c r="I190"/>
  <c r="B190"/>
  <c r="T189"/>
  <c r="R189"/>
  <c r="Q189"/>
  <c r="P189"/>
  <c r="O189"/>
  <c r="N189"/>
  <c r="K189"/>
  <c r="J189"/>
  <c r="I189"/>
  <c r="B189"/>
  <c r="S188"/>
  <c r="T188" s="1"/>
  <c r="N188"/>
  <c r="O188" s="1"/>
  <c r="K188"/>
  <c r="J188"/>
  <c r="I188"/>
  <c r="B188"/>
  <c r="S187"/>
  <c r="T187" s="1"/>
  <c r="N187"/>
  <c r="O187" s="1"/>
  <c r="K187"/>
  <c r="J187"/>
  <c r="I187"/>
  <c r="B187"/>
  <c r="T186"/>
  <c r="R186"/>
  <c r="Q186"/>
  <c r="P186"/>
  <c r="O186"/>
  <c r="N186"/>
  <c r="K186"/>
  <c r="J186"/>
  <c r="I186"/>
  <c r="B186"/>
  <c r="T185"/>
  <c r="R185"/>
  <c r="Q185"/>
  <c r="P185"/>
  <c r="O185"/>
  <c r="N185"/>
  <c r="K185"/>
  <c r="J185"/>
  <c r="I185"/>
  <c r="B185"/>
  <c r="T184"/>
  <c r="R184"/>
  <c r="Q184"/>
  <c r="P184"/>
  <c r="O184"/>
  <c r="N184"/>
  <c r="K184"/>
  <c r="J184"/>
  <c r="I184"/>
  <c r="B184"/>
  <c r="T183"/>
  <c r="R183"/>
  <c r="Q183"/>
  <c r="P183"/>
  <c r="O183"/>
  <c r="N183"/>
  <c r="K183"/>
  <c r="J183"/>
  <c r="I183"/>
  <c r="B183"/>
  <c r="S182"/>
  <c r="T182" s="1"/>
  <c r="N182"/>
  <c r="O182" s="1"/>
  <c r="K182"/>
  <c r="J182"/>
  <c r="I182"/>
  <c r="B182"/>
  <c r="T181"/>
  <c r="R181"/>
  <c r="Q181"/>
  <c r="P181"/>
  <c r="O181"/>
  <c r="N181"/>
  <c r="K181"/>
  <c r="J181"/>
  <c r="I181"/>
  <c r="B181"/>
  <c r="T180"/>
  <c r="R180"/>
  <c r="Q180"/>
  <c r="P180"/>
  <c r="O180"/>
  <c r="N180"/>
  <c r="K180"/>
  <c r="J180"/>
  <c r="I180"/>
  <c r="B180"/>
  <c r="T179"/>
  <c r="R179"/>
  <c r="Q179"/>
  <c r="P179"/>
  <c r="O179"/>
  <c r="N179"/>
  <c r="K179"/>
  <c r="J179"/>
  <c r="I179"/>
  <c r="B179"/>
  <c r="T178"/>
  <c r="R178"/>
  <c r="Q178"/>
  <c r="P178"/>
  <c r="O178"/>
  <c r="N178"/>
  <c r="K178"/>
  <c r="J178"/>
  <c r="I178"/>
  <c r="B178"/>
  <c r="S177"/>
  <c r="T177" s="1"/>
  <c r="N177"/>
  <c r="O177" s="1"/>
  <c r="K177"/>
  <c r="J177"/>
  <c r="I177"/>
  <c r="B177"/>
  <c r="T176"/>
  <c r="R176"/>
  <c r="Q176"/>
  <c r="P176"/>
  <c r="O176"/>
  <c r="N176"/>
  <c r="K176"/>
  <c r="J176"/>
  <c r="I176"/>
  <c r="B176"/>
  <c r="T175"/>
  <c r="R175"/>
  <c r="Q175"/>
  <c r="P175"/>
  <c r="O175"/>
  <c r="N175"/>
  <c r="K175"/>
  <c r="J175"/>
  <c r="I175"/>
  <c r="B175"/>
  <c r="T174"/>
  <c r="R174"/>
  <c r="Q174"/>
  <c r="P174"/>
  <c r="O174"/>
  <c r="N174"/>
  <c r="K174"/>
  <c r="J174"/>
  <c r="I174"/>
  <c r="B174"/>
  <c r="T173"/>
  <c r="R173"/>
  <c r="Q173"/>
  <c r="P173"/>
  <c r="O173"/>
  <c r="N173"/>
  <c r="K173"/>
  <c r="J173"/>
  <c r="I173"/>
  <c r="B173"/>
  <c r="S172"/>
  <c r="T172" s="1"/>
  <c r="N172"/>
  <c r="O172" s="1"/>
  <c r="K172"/>
  <c r="J172"/>
  <c r="I172"/>
  <c r="B172"/>
  <c r="T171"/>
  <c r="R171"/>
  <c r="Q171"/>
  <c r="P171"/>
  <c r="O171"/>
  <c r="N171"/>
  <c r="K171"/>
  <c r="J171"/>
  <c r="I171"/>
  <c r="B171"/>
  <c r="T170"/>
  <c r="R170"/>
  <c r="Q170"/>
  <c r="P170"/>
  <c r="O170"/>
  <c r="N170"/>
  <c r="K170"/>
  <c r="J170"/>
  <c r="I170"/>
  <c r="B170"/>
  <c r="T169"/>
  <c r="R169"/>
  <c r="Q169"/>
  <c r="P169"/>
  <c r="O169"/>
  <c r="N169"/>
  <c r="K169"/>
  <c r="J169"/>
  <c r="I169"/>
  <c r="B169"/>
  <c r="T168"/>
  <c r="R168"/>
  <c r="Q168"/>
  <c r="P168"/>
  <c r="O168"/>
  <c r="N168"/>
  <c r="K168"/>
  <c r="J168"/>
  <c r="I168"/>
  <c r="B168"/>
  <c r="S167"/>
  <c r="T167" s="1"/>
  <c r="N167"/>
  <c r="O167" s="1"/>
  <c r="K167"/>
  <c r="J167"/>
  <c r="I167"/>
  <c r="B167"/>
  <c r="T166"/>
  <c r="R166"/>
  <c r="Q166"/>
  <c r="P166"/>
  <c r="O166"/>
  <c r="N166"/>
  <c r="K166"/>
  <c r="J166"/>
  <c r="I166"/>
  <c r="B166"/>
  <c r="T165"/>
  <c r="R165"/>
  <c r="Q165"/>
  <c r="P165"/>
  <c r="O165"/>
  <c r="N165"/>
  <c r="K165"/>
  <c r="J165"/>
  <c r="I165"/>
  <c r="B165"/>
  <c r="T164"/>
  <c r="R164"/>
  <c r="Q164"/>
  <c r="P164"/>
  <c r="O164"/>
  <c r="N164"/>
  <c r="K164"/>
  <c r="J164"/>
  <c r="I164"/>
  <c r="B164"/>
  <c r="T163"/>
  <c r="R163"/>
  <c r="Q163"/>
  <c r="P163"/>
  <c r="O163"/>
  <c r="N163"/>
  <c r="K163"/>
  <c r="J163"/>
  <c r="I163"/>
  <c r="B163"/>
  <c r="S162"/>
  <c r="T162" s="1"/>
  <c r="N162"/>
  <c r="O162" s="1"/>
  <c r="K162"/>
  <c r="J162"/>
  <c r="I162"/>
  <c r="B162"/>
  <c r="T161"/>
  <c r="K161"/>
  <c r="J161"/>
  <c r="I161"/>
  <c r="B161"/>
  <c r="T160"/>
  <c r="R160"/>
  <c r="Q160"/>
  <c r="P160"/>
  <c r="O160"/>
  <c r="N160"/>
  <c r="K160"/>
  <c r="J160"/>
  <c r="I160"/>
  <c r="B160"/>
  <c r="T159"/>
  <c r="R159"/>
  <c r="Q159"/>
  <c r="P159"/>
  <c r="O159"/>
  <c r="N159"/>
  <c r="K159"/>
  <c r="J159"/>
  <c r="I159"/>
  <c r="B159"/>
  <c r="T158"/>
  <c r="R158"/>
  <c r="Q158"/>
  <c r="P158"/>
  <c r="O158"/>
  <c r="N158"/>
  <c r="K158"/>
  <c r="J158"/>
  <c r="I158"/>
  <c r="B158"/>
  <c r="S157"/>
  <c r="T157" s="1"/>
  <c r="N157"/>
  <c r="K157"/>
  <c r="J157"/>
  <c r="I157"/>
  <c r="B157"/>
  <c r="T156"/>
  <c r="R156"/>
  <c r="Q156"/>
  <c r="P156"/>
  <c r="O156"/>
  <c r="N156"/>
  <c r="K156"/>
  <c r="J156"/>
  <c r="I156"/>
  <c r="B156"/>
  <c r="T155"/>
  <c r="R155"/>
  <c r="Q155"/>
  <c r="P155"/>
  <c r="O155"/>
  <c r="N155"/>
  <c r="K155"/>
  <c r="J155"/>
  <c r="I155"/>
  <c r="B155"/>
  <c r="S154"/>
  <c r="T154" s="1"/>
  <c r="R154"/>
  <c r="Q154"/>
  <c r="P154"/>
  <c r="O154"/>
  <c r="N154"/>
  <c r="I154"/>
  <c r="J154" s="1"/>
  <c r="B154"/>
  <c r="S153"/>
  <c r="T153" s="1"/>
  <c r="R153"/>
  <c r="Q153"/>
  <c r="P153"/>
  <c r="O153"/>
  <c r="N153"/>
  <c r="H153"/>
  <c r="I153" s="1"/>
  <c r="B153"/>
  <c r="S152"/>
  <c r="T152" s="1"/>
  <c r="R152"/>
  <c r="Q152"/>
  <c r="P152"/>
  <c r="O152"/>
  <c r="N152"/>
  <c r="I152"/>
  <c r="B152"/>
  <c r="T151"/>
  <c r="R151"/>
  <c r="Q151"/>
  <c r="P151"/>
  <c r="O151"/>
  <c r="N151"/>
  <c r="K151"/>
  <c r="J151"/>
  <c r="I151"/>
  <c r="B151"/>
  <c r="T150"/>
  <c r="R150"/>
  <c r="Q150"/>
  <c r="P150"/>
  <c r="O150"/>
  <c r="N150"/>
  <c r="K150"/>
  <c r="J150"/>
  <c r="I150"/>
  <c r="B150"/>
  <c r="S149"/>
  <c r="T149" s="1"/>
  <c r="R149"/>
  <c r="Q149"/>
  <c r="P149"/>
  <c r="O149"/>
  <c r="N149"/>
  <c r="I149"/>
  <c r="B149"/>
  <c r="S148"/>
  <c r="T148" s="1"/>
  <c r="R148"/>
  <c r="Q148"/>
  <c r="P148"/>
  <c r="O148"/>
  <c r="N148"/>
  <c r="I148"/>
  <c r="B148"/>
  <c r="T147"/>
  <c r="K147"/>
  <c r="J147"/>
  <c r="I147"/>
  <c r="B147"/>
  <c r="T146"/>
  <c r="R146"/>
  <c r="Q146"/>
  <c r="P146"/>
  <c r="O146"/>
  <c r="N146"/>
  <c r="K146"/>
  <c r="J146"/>
  <c r="I146"/>
  <c r="B146"/>
  <c r="S145"/>
  <c r="T145" s="1"/>
  <c r="R145"/>
  <c r="Q145"/>
  <c r="P145"/>
  <c r="O145"/>
  <c r="N145"/>
  <c r="I145"/>
  <c r="J145" s="1"/>
  <c r="B145"/>
  <c r="S144"/>
  <c r="T144" s="1"/>
  <c r="R144"/>
  <c r="Q144"/>
  <c r="P144"/>
  <c r="O144"/>
  <c r="N144"/>
  <c r="I144"/>
  <c r="J144" s="1"/>
  <c r="B144"/>
  <c r="T143"/>
  <c r="R143"/>
  <c r="Q143"/>
  <c r="P143"/>
  <c r="O143"/>
  <c r="N143"/>
  <c r="K143"/>
  <c r="J143"/>
  <c r="I143"/>
  <c r="B143"/>
  <c r="T142"/>
  <c r="R142"/>
  <c r="Q142"/>
  <c r="P142"/>
  <c r="O142"/>
  <c r="N142"/>
  <c r="K142"/>
  <c r="J142"/>
  <c r="I142"/>
  <c r="B142"/>
  <c r="S141"/>
  <c r="T141" s="1"/>
  <c r="R141"/>
  <c r="Q141"/>
  <c r="P141"/>
  <c r="O141"/>
  <c r="N141"/>
  <c r="I141"/>
  <c r="J141" s="1"/>
  <c r="B141"/>
  <c r="S140"/>
  <c r="T140" s="1"/>
  <c r="R140"/>
  <c r="Q140"/>
  <c r="P140"/>
  <c r="O140"/>
  <c r="N140"/>
  <c r="I140"/>
  <c r="J140" s="1"/>
  <c r="B140"/>
  <c r="T139"/>
  <c r="K139"/>
  <c r="J139"/>
  <c r="I139"/>
  <c r="B139"/>
  <c r="S138"/>
  <c r="T138" s="1"/>
  <c r="N138"/>
  <c r="K138"/>
  <c r="J138"/>
  <c r="I138"/>
  <c r="B138"/>
  <c r="T137"/>
  <c r="R137"/>
  <c r="Q137"/>
  <c r="P137"/>
  <c r="O137"/>
  <c r="N137"/>
  <c r="K137"/>
  <c r="J137"/>
  <c r="I137"/>
  <c r="B137"/>
  <c r="S136"/>
  <c r="T136" s="1"/>
  <c r="R136"/>
  <c r="Q136"/>
  <c r="P136"/>
  <c r="O136"/>
  <c r="N136"/>
  <c r="I136"/>
  <c r="K136" s="1"/>
  <c r="B136"/>
  <c r="S135"/>
  <c r="T135" s="1"/>
  <c r="R135"/>
  <c r="Q135"/>
  <c r="P135"/>
  <c r="O135"/>
  <c r="N135"/>
  <c r="I135"/>
  <c r="K135" s="1"/>
  <c r="B135"/>
  <c r="S134"/>
  <c r="T134" s="1"/>
  <c r="I134"/>
  <c r="K134" s="1"/>
  <c r="B134"/>
  <c r="S133"/>
  <c r="T133" s="1"/>
  <c r="R133"/>
  <c r="Q133"/>
  <c r="P133"/>
  <c r="O133"/>
  <c r="N133"/>
  <c r="I133"/>
  <c r="K133" s="1"/>
  <c r="B133"/>
  <c r="S132"/>
  <c r="T132" s="1"/>
  <c r="R132"/>
  <c r="Q132"/>
  <c r="P132"/>
  <c r="O132"/>
  <c r="N132"/>
  <c r="I132"/>
  <c r="K132" s="1"/>
  <c r="B132"/>
  <c r="S131"/>
  <c r="T131" s="1"/>
  <c r="R131"/>
  <c r="Q131"/>
  <c r="P131"/>
  <c r="O131"/>
  <c r="N131"/>
  <c r="I131"/>
  <c r="K131" s="1"/>
  <c r="B131"/>
  <c r="S130"/>
  <c r="T130" s="1"/>
  <c r="R130"/>
  <c r="Q130"/>
  <c r="P130"/>
  <c r="O130"/>
  <c r="N130"/>
  <c r="I130"/>
  <c r="K130" s="1"/>
  <c r="B130"/>
  <c r="S129"/>
  <c r="T129" s="1"/>
  <c r="I129"/>
  <c r="K129" s="1"/>
  <c r="B129"/>
  <c r="S128"/>
  <c r="T128" s="1"/>
  <c r="R128"/>
  <c r="Q128"/>
  <c r="P128"/>
  <c r="O128"/>
  <c r="N128"/>
  <c r="I128"/>
  <c r="K128" s="1"/>
  <c r="B128"/>
  <c r="S127"/>
  <c r="T127" s="1"/>
  <c r="R127"/>
  <c r="Q127"/>
  <c r="P127"/>
  <c r="O127"/>
  <c r="N127"/>
  <c r="I127"/>
  <c r="K127" s="1"/>
  <c r="B127"/>
  <c r="T126"/>
  <c r="R126"/>
  <c r="Q126"/>
  <c r="P126"/>
  <c r="O126"/>
  <c r="N126"/>
  <c r="K126"/>
  <c r="J126"/>
  <c r="I126"/>
  <c r="B126"/>
  <c r="S125"/>
  <c r="T125" s="1"/>
  <c r="N125"/>
  <c r="K125"/>
  <c r="J125"/>
  <c r="I125"/>
  <c r="B125"/>
  <c r="T124"/>
  <c r="K124"/>
  <c r="J124"/>
  <c r="B124"/>
  <c r="T123"/>
  <c r="R123"/>
  <c r="Q123"/>
  <c r="P123"/>
  <c r="O123"/>
  <c r="N123"/>
  <c r="K123"/>
  <c r="J123"/>
  <c r="I123"/>
  <c r="B123"/>
  <c r="T122"/>
  <c r="R122"/>
  <c r="Q122"/>
  <c r="P122"/>
  <c r="O122"/>
  <c r="N122"/>
  <c r="K122"/>
  <c r="J122"/>
  <c r="I122"/>
  <c r="B122"/>
  <c r="T121"/>
  <c r="R121"/>
  <c r="Q121"/>
  <c r="P121"/>
  <c r="O121"/>
  <c r="N121"/>
  <c r="K121"/>
  <c r="J121"/>
  <c r="I121"/>
  <c r="B121"/>
  <c r="S120"/>
  <c r="T120" s="1"/>
  <c r="N120"/>
  <c r="K120"/>
  <c r="J120"/>
  <c r="I120"/>
  <c r="B120"/>
  <c r="T119"/>
  <c r="R119"/>
  <c r="Q119"/>
  <c r="P119"/>
  <c r="O119"/>
  <c r="N119"/>
  <c r="K119"/>
  <c r="J119"/>
  <c r="B119"/>
  <c r="T118"/>
  <c r="R118"/>
  <c r="Q118"/>
  <c r="P118"/>
  <c r="O118"/>
  <c r="N118"/>
  <c r="K118"/>
  <c r="J118"/>
  <c r="B118"/>
  <c r="T117"/>
  <c r="R117"/>
  <c r="Q117"/>
  <c r="P117"/>
  <c r="O117"/>
  <c r="N117"/>
  <c r="K117"/>
  <c r="J117"/>
  <c r="B117"/>
  <c r="T116"/>
  <c r="K116"/>
  <c r="J116"/>
  <c r="B116"/>
  <c r="S115"/>
  <c r="T115" s="1"/>
  <c r="M115"/>
  <c r="N115" s="1"/>
  <c r="K115"/>
  <c r="J115"/>
  <c r="B115"/>
  <c r="T114"/>
  <c r="R114"/>
  <c r="Q114"/>
  <c r="P114"/>
  <c r="O114"/>
  <c r="N114"/>
  <c r="K114"/>
  <c r="J114"/>
  <c r="I114"/>
  <c r="B114"/>
  <c r="T113"/>
  <c r="R113"/>
  <c r="Q113"/>
  <c r="P113"/>
  <c r="O113"/>
  <c r="N113"/>
  <c r="K113"/>
  <c r="J113"/>
  <c r="I113"/>
  <c r="B113"/>
  <c r="T112"/>
  <c r="R112"/>
  <c r="Q112"/>
  <c r="P112"/>
  <c r="O112"/>
  <c r="N112"/>
  <c r="K112"/>
  <c r="J112"/>
  <c r="I112"/>
  <c r="B112"/>
  <c r="T111"/>
  <c r="R111"/>
  <c r="Q111"/>
  <c r="P111"/>
  <c r="O111"/>
  <c r="N111"/>
  <c r="K111"/>
  <c r="J111"/>
  <c r="I111"/>
  <c r="B111"/>
  <c r="S110"/>
  <c r="T110" s="1"/>
  <c r="M110"/>
  <c r="N110" s="1"/>
  <c r="K110"/>
  <c r="J110"/>
  <c r="I110"/>
  <c r="B110"/>
  <c r="T109"/>
  <c r="R109"/>
  <c r="Q109"/>
  <c r="P109"/>
  <c r="O109"/>
  <c r="N109"/>
  <c r="K109"/>
  <c r="J109"/>
  <c r="I109"/>
  <c r="B109"/>
  <c r="T108"/>
  <c r="R108"/>
  <c r="Q108"/>
  <c r="P108"/>
  <c r="O108"/>
  <c r="N108"/>
  <c r="K108"/>
  <c r="J108"/>
  <c r="I108"/>
  <c r="B108"/>
  <c r="T107"/>
  <c r="R107"/>
  <c r="Q107"/>
  <c r="P107"/>
  <c r="O107"/>
  <c r="N107"/>
  <c r="K107"/>
  <c r="J107"/>
  <c r="I107"/>
  <c r="B107"/>
  <c r="T106"/>
  <c r="R106"/>
  <c r="Q106"/>
  <c r="P106"/>
  <c r="O106"/>
  <c r="N106"/>
  <c r="K106"/>
  <c r="J106"/>
  <c r="I106"/>
  <c r="B106"/>
  <c r="S105"/>
  <c r="T105" s="1"/>
  <c r="M105"/>
  <c r="N105" s="1"/>
  <c r="K105"/>
  <c r="J105"/>
  <c r="B105"/>
  <c r="T104"/>
  <c r="R104"/>
  <c r="Q104"/>
  <c r="P104"/>
  <c r="O104"/>
  <c r="N104"/>
  <c r="K104"/>
  <c r="J104"/>
  <c r="B104"/>
  <c r="T103"/>
  <c r="R103"/>
  <c r="Q103"/>
  <c r="P103"/>
  <c r="O103"/>
  <c r="N103"/>
  <c r="K103"/>
  <c r="J103"/>
  <c r="B103"/>
  <c r="T102"/>
  <c r="K102"/>
  <c r="J102"/>
  <c r="B102"/>
  <c r="T101"/>
  <c r="R101"/>
  <c r="Q101"/>
  <c r="P101"/>
  <c r="O101"/>
  <c r="N101"/>
  <c r="K101"/>
  <c r="J101"/>
  <c r="B101"/>
  <c r="S100"/>
  <c r="T100" s="1"/>
  <c r="M100"/>
  <c r="N100" s="1"/>
  <c r="K100"/>
  <c r="J100"/>
  <c r="B100"/>
  <c r="T99"/>
  <c r="R99"/>
  <c r="Q99"/>
  <c r="P99"/>
  <c r="O99"/>
  <c r="N99"/>
  <c r="K99"/>
  <c r="J99"/>
  <c r="B99"/>
  <c r="T98"/>
  <c r="R98"/>
  <c r="Q98"/>
  <c r="P98"/>
  <c r="O98"/>
  <c r="N98"/>
  <c r="K98"/>
  <c r="J98"/>
  <c r="B98"/>
  <c r="T97"/>
  <c r="K97"/>
  <c r="J97"/>
  <c r="B97"/>
  <c r="T96"/>
  <c r="R96"/>
  <c r="Q96"/>
  <c r="P96"/>
  <c r="O96"/>
  <c r="N96"/>
  <c r="K96"/>
  <c r="J96"/>
  <c r="B96"/>
  <c r="S95"/>
  <c r="T95" s="1"/>
  <c r="N95"/>
  <c r="K95"/>
  <c r="J95"/>
  <c r="B95"/>
  <c r="T94"/>
  <c r="R94"/>
  <c r="Q94"/>
  <c r="P94"/>
  <c r="O94"/>
  <c r="N94"/>
  <c r="K94"/>
  <c r="J94"/>
  <c r="B94"/>
  <c r="T93"/>
  <c r="R93"/>
  <c r="Q93"/>
  <c r="P93"/>
  <c r="O93"/>
  <c r="N93"/>
  <c r="K93"/>
  <c r="J93"/>
  <c r="B93"/>
  <c r="T92"/>
  <c r="K92"/>
  <c r="J92"/>
  <c r="B92"/>
  <c r="T91"/>
  <c r="R91"/>
  <c r="Q91"/>
  <c r="P91"/>
  <c r="O91"/>
  <c r="N91"/>
  <c r="K91"/>
  <c r="J91"/>
  <c r="I91"/>
  <c r="B91"/>
  <c r="S90"/>
  <c r="T90" s="1"/>
  <c r="N90"/>
  <c r="O90" s="1"/>
  <c r="K90"/>
  <c r="J90"/>
  <c r="I90"/>
  <c r="B90"/>
  <c r="T89"/>
  <c r="R89"/>
  <c r="Q89"/>
  <c r="P89"/>
  <c r="O89"/>
  <c r="N89"/>
  <c r="K89"/>
  <c r="J89"/>
  <c r="I89"/>
  <c r="B89"/>
  <c r="T88"/>
  <c r="R88"/>
  <c r="Q88"/>
  <c r="P88"/>
  <c r="O88"/>
  <c r="N88"/>
  <c r="K88"/>
  <c r="J88"/>
  <c r="I88"/>
  <c r="B88"/>
  <c r="S87"/>
  <c r="T87" s="1"/>
  <c r="R87"/>
  <c r="Q87"/>
  <c r="P87"/>
  <c r="O87"/>
  <c r="N87"/>
  <c r="G87"/>
  <c r="I87" s="1"/>
  <c r="B87"/>
  <c r="S86"/>
  <c r="T86" s="1"/>
  <c r="R86"/>
  <c r="Q86"/>
  <c r="P86"/>
  <c r="O86"/>
  <c r="N86"/>
  <c r="I86"/>
  <c r="J86" s="1"/>
  <c r="B86"/>
  <c r="T85"/>
  <c r="R85"/>
  <c r="Q85"/>
  <c r="P85"/>
  <c r="O85"/>
  <c r="N85"/>
  <c r="K85"/>
  <c r="J85"/>
  <c r="I85"/>
  <c r="B85"/>
  <c r="T84"/>
  <c r="R84"/>
  <c r="Q84"/>
  <c r="P84"/>
  <c r="O84"/>
  <c r="N84"/>
  <c r="K84"/>
  <c r="J84"/>
  <c r="I84"/>
  <c r="B84"/>
  <c r="S83"/>
  <c r="T83" s="1"/>
  <c r="R83"/>
  <c r="Q83"/>
  <c r="P83"/>
  <c r="O83"/>
  <c r="N83"/>
  <c r="I83"/>
  <c r="J83" s="1"/>
  <c r="B83"/>
  <c r="S82"/>
  <c r="T82" s="1"/>
  <c r="R82"/>
  <c r="Q82"/>
  <c r="P82"/>
  <c r="O82"/>
  <c r="N82"/>
  <c r="H82"/>
  <c r="I82" s="1"/>
  <c r="B82"/>
  <c r="S81"/>
  <c r="T81" s="1"/>
  <c r="R81"/>
  <c r="Q81"/>
  <c r="P81"/>
  <c r="O81"/>
  <c r="N81"/>
  <c r="H81"/>
  <c r="I81" s="1"/>
  <c r="B81"/>
  <c r="T80"/>
  <c r="R80"/>
  <c r="Q80"/>
  <c r="P80"/>
  <c r="O80"/>
  <c r="N80"/>
  <c r="K80"/>
  <c r="J80"/>
  <c r="I80"/>
  <c r="B80"/>
  <c r="T79"/>
  <c r="R79"/>
  <c r="Q79"/>
  <c r="P79"/>
  <c r="O79"/>
  <c r="N79"/>
  <c r="K79"/>
  <c r="J79"/>
  <c r="I79"/>
  <c r="B79"/>
  <c r="S78"/>
  <c r="T78" s="1"/>
  <c r="R78"/>
  <c r="Q78"/>
  <c r="P78"/>
  <c r="O78"/>
  <c r="N78"/>
  <c r="H78"/>
  <c r="I78" s="1"/>
  <c r="B78"/>
  <c r="T77"/>
  <c r="R77"/>
  <c r="Q77"/>
  <c r="P77"/>
  <c r="O77"/>
  <c r="N77"/>
  <c r="K77"/>
  <c r="J77"/>
  <c r="I77"/>
  <c r="B77"/>
  <c r="T76"/>
  <c r="R76"/>
  <c r="Q76"/>
  <c r="P76"/>
  <c r="O76"/>
  <c r="N76"/>
  <c r="K76"/>
  <c r="J76"/>
  <c r="I76"/>
  <c r="B76"/>
  <c r="S75"/>
  <c r="T75" s="1"/>
  <c r="R75"/>
  <c r="Q75"/>
  <c r="P75"/>
  <c r="O75"/>
  <c r="N75"/>
  <c r="I75"/>
  <c r="H75"/>
  <c r="B75"/>
  <c r="T74"/>
  <c r="R74"/>
  <c r="Q74"/>
  <c r="P74"/>
  <c r="O74"/>
  <c r="N74"/>
  <c r="K74"/>
  <c r="J74"/>
  <c r="I74"/>
  <c r="B74"/>
  <c r="T73"/>
  <c r="R73"/>
  <c r="Q73"/>
  <c r="P73"/>
  <c r="O73"/>
  <c r="N73"/>
  <c r="K73"/>
  <c r="J73"/>
  <c r="I73"/>
  <c r="B73"/>
  <c r="S72"/>
  <c r="T72" s="1"/>
  <c r="R72"/>
  <c r="Q72"/>
  <c r="P72"/>
  <c r="O72"/>
  <c r="N72"/>
  <c r="I72"/>
  <c r="J72" s="1"/>
  <c r="B72"/>
  <c r="S71"/>
  <c r="T71" s="1"/>
  <c r="R71"/>
  <c r="Q71"/>
  <c r="P71"/>
  <c r="O71"/>
  <c r="N71"/>
  <c r="I71"/>
  <c r="J71" s="1"/>
  <c r="B71"/>
  <c r="T70"/>
  <c r="R70"/>
  <c r="Q70"/>
  <c r="P70"/>
  <c r="O70"/>
  <c r="N70"/>
  <c r="K70"/>
  <c r="J70"/>
  <c r="I70"/>
  <c r="B70"/>
  <c r="S69"/>
  <c r="T69" s="1"/>
  <c r="R69"/>
  <c r="Q69"/>
  <c r="P69"/>
  <c r="O69"/>
  <c r="N69"/>
  <c r="I69"/>
  <c r="K69" s="1"/>
  <c r="B69"/>
  <c r="T68"/>
  <c r="R68"/>
  <c r="Q68"/>
  <c r="P68"/>
  <c r="O68"/>
  <c r="N68"/>
  <c r="K68"/>
  <c r="I68"/>
  <c r="B68"/>
  <c r="S67"/>
  <c r="T67" s="1"/>
  <c r="R67"/>
  <c r="Q67"/>
  <c r="P67"/>
  <c r="O67"/>
  <c r="N67"/>
  <c r="I67"/>
  <c r="K67" s="1"/>
  <c r="H67"/>
  <c r="B67"/>
  <c r="T66"/>
  <c r="R66"/>
  <c r="Q66"/>
  <c r="P66"/>
  <c r="O66"/>
  <c r="N66"/>
  <c r="K66"/>
  <c r="J66"/>
  <c r="I66"/>
  <c r="B66"/>
  <c r="S65"/>
  <c r="T65" s="1"/>
  <c r="N65"/>
  <c r="O65" s="1"/>
  <c r="K65"/>
  <c r="J65"/>
  <c r="I65"/>
  <c r="B65"/>
  <c r="T64"/>
  <c r="R64"/>
  <c r="Q64"/>
  <c r="P64"/>
  <c r="O64"/>
  <c r="N64"/>
  <c r="K64"/>
  <c r="J64"/>
  <c r="I64"/>
  <c r="B64"/>
  <c r="S63"/>
  <c r="T63" s="1"/>
  <c r="N63"/>
  <c r="K63"/>
  <c r="J63"/>
  <c r="I63"/>
  <c r="B63"/>
  <c r="T62"/>
  <c r="R62"/>
  <c r="Q62"/>
  <c r="P62"/>
  <c r="O62"/>
  <c r="N62"/>
  <c r="K62"/>
  <c r="I62"/>
  <c r="B62"/>
  <c r="T61"/>
  <c r="R61"/>
  <c r="Q61"/>
  <c r="P61"/>
  <c r="O61"/>
  <c r="N61"/>
  <c r="K61"/>
  <c r="I61"/>
  <c r="B61"/>
  <c r="T60"/>
  <c r="R60"/>
  <c r="Q60"/>
  <c r="P60"/>
  <c r="O60"/>
  <c r="N60"/>
  <c r="K60"/>
  <c r="I60"/>
  <c r="B60"/>
  <c r="T59"/>
  <c r="R59"/>
  <c r="Q59"/>
  <c r="P59"/>
  <c r="O59"/>
  <c r="N59"/>
  <c r="K59"/>
  <c r="I59"/>
  <c r="B59"/>
  <c r="S58"/>
  <c r="T58" s="1"/>
  <c r="N58"/>
  <c r="K58"/>
  <c r="I58"/>
  <c r="B58"/>
  <c r="T57"/>
  <c r="R57"/>
  <c r="Q57"/>
  <c r="P57"/>
  <c r="O57"/>
  <c r="N57"/>
  <c r="K57"/>
  <c r="I57"/>
  <c r="B57"/>
  <c r="T56"/>
  <c r="R56"/>
  <c r="Q56"/>
  <c r="P56"/>
  <c r="O56"/>
  <c r="N56"/>
  <c r="K56"/>
  <c r="I56"/>
  <c r="B56"/>
  <c r="T55"/>
  <c r="R55"/>
  <c r="Q55"/>
  <c r="P55"/>
  <c r="O55"/>
  <c r="N55"/>
  <c r="K55"/>
  <c r="I55"/>
  <c r="B55"/>
  <c r="T54"/>
  <c r="R54"/>
  <c r="Q54"/>
  <c r="P54"/>
  <c r="O54"/>
  <c r="N54"/>
  <c r="K54"/>
  <c r="I54"/>
  <c r="B54"/>
  <c r="S53"/>
  <c r="T53" s="1"/>
  <c r="N53"/>
  <c r="O53" s="1"/>
  <c r="K53"/>
  <c r="I53"/>
  <c r="B53"/>
  <c r="T52"/>
  <c r="R52"/>
  <c r="Q52"/>
  <c r="P52"/>
  <c r="O52"/>
  <c r="N52"/>
  <c r="K52"/>
  <c r="J52"/>
  <c r="I52"/>
  <c r="B52"/>
  <c r="T51"/>
  <c r="R51"/>
  <c r="Q51"/>
  <c r="P51"/>
  <c r="O51"/>
  <c r="N51"/>
  <c r="K51"/>
  <c r="J51"/>
  <c r="I51"/>
  <c r="B51"/>
  <c r="S50"/>
  <c r="T50" s="1"/>
  <c r="R50"/>
  <c r="Q50"/>
  <c r="P50"/>
  <c r="O50"/>
  <c r="N50"/>
  <c r="I50"/>
  <c r="J50" s="1"/>
  <c r="B50"/>
  <c r="T49"/>
  <c r="R49"/>
  <c r="Q49"/>
  <c r="P49"/>
  <c r="O49"/>
  <c r="N49"/>
  <c r="K49"/>
  <c r="I49"/>
  <c r="B49"/>
  <c r="T48"/>
  <c r="R48"/>
  <c r="Q48"/>
  <c r="P48"/>
  <c r="O48"/>
  <c r="N48"/>
  <c r="K48"/>
  <c r="I48"/>
  <c r="B48"/>
  <c r="T47"/>
  <c r="R47"/>
  <c r="Q47"/>
  <c r="P47"/>
  <c r="O47"/>
  <c r="N47"/>
  <c r="K47"/>
  <c r="I47"/>
  <c r="B47"/>
  <c r="T46"/>
  <c r="R46"/>
  <c r="Q46"/>
  <c r="P46"/>
  <c r="O46"/>
  <c r="N46"/>
  <c r="K46"/>
  <c r="I46"/>
  <c r="B46"/>
  <c r="S45"/>
  <c r="T45" s="1"/>
  <c r="N45"/>
  <c r="K45"/>
  <c r="I45"/>
  <c r="B45"/>
  <c r="T44"/>
  <c r="B44"/>
  <c r="T43"/>
  <c r="B43"/>
  <c r="S42"/>
  <c r="T42" s="1"/>
  <c r="R42"/>
  <c r="Q42"/>
  <c r="P42"/>
  <c r="O42"/>
  <c r="N42"/>
  <c r="I42"/>
  <c r="B42"/>
  <c r="T41"/>
  <c r="K41"/>
  <c r="I41"/>
  <c r="B41"/>
  <c r="T40"/>
  <c r="K40"/>
  <c r="I40"/>
  <c r="B40"/>
  <c r="T39"/>
  <c r="K39"/>
  <c r="I39"/>
  <c r="B39"/>
  <c r="T38"/>
  <c r="K38"/>
  <c r="I38"/>
  <c r="B38"/>
  <c r="S37"/>
  <c r="T37" s="1"/>
  <c r="N37"/>
  <c r="O37" s="1"/>
  <c r="K37"/>
  <c r="I37"/>
  <c r="B37"/>
  <c r="T36"/>
  <c r="R36"/>
  <c r="Q36"/>
  <c r="P36"/>
  <c r="O36"/>
  <c r="N36"/>
  <c r="K36"/>
  <c r="J36"/>
  <c r="I36"/>
  <c r="B36"/>
  <c r="T35"/>
  <c r="R35"/>
  <c r="Q35"/>
  <c r="P35"/>
  <c r="O35"/>
  <c r="N35"/>
  <c r="K35"/>
  <c r="J35"/>
  <c r="I35"/>
  <c r="B35"/>
  <c r="T34"/>
  <c r="K34"/>
  <c r="J34"/>
  <c r="I34"/>
  <c r="B34"/>
  <c r="T33"/>
  <c r="R33"/>
  <c r="Q33"/>
  <c r="P33"/>
  <c r="O33"/>
  <c r="N33"/>
  <c r="K33"/>
  <c r="J33"/>
  <c r="I33"/>
  <c r="B33"/>
  <c r="S32"/>
  <c r="T32" s="1"/>
  <c r="N32"/>
  <c r="K32"/>
  <c r="J32"/>
  <c r="I32"/>
  <c r="B32"/>
  <c r="T31"/>
  <c r="R31"/>
  <c r="Q31"/>
  <c r="P31"/>
  <c r="O31"/>
  <c r="N31"/>
  <c r="K31"/>
  <c r="J31"/>
  <c r="I31"/>
  <c r="B31"/>
  <c r="T30"/>
  <c r="R30"/>
  <c r="Q30"/>
  <c r="P30"/>
  <c r="O30"/>
  <c r="N30"/>
  <c r="K30"/>
  <c r="I30"/>
  <c r="B30"/>
  <c r="T29"/>
  <c r="R29"/>
  <c r="Q29"/>
  <c r="P29"/>
  <c r="O29"/>
  <c r="N29"/>
  <c r="K29"/>
  <c r="I29"/>
  <c r="B29"/>
  <c r="T28"/>
  <c r="R28"/>
  <c r="Q28"/>
  <c r="P28"/>
  <c r="O28"/>
  <c r="N28"/>
  <c r="K28"/>
  <c r="I28"/>
  <c r="B28"/>
  <c r="S27"/>
  <c r="T27" s="1"/>
  <c r="N27"/>
  <c r="K27"/>
  <c r="I27"/>
  <c r="B27"/>
  <c r="T26"/>
  <c r="R26"/>
  <c r="Q26"/>
  <c r="P26"/>
  <c r="O26"/>
  <c r="N26"/>
  <c r="K26"/>
  <c r="I26"/>
  <c r="B26"/>
  <c r="S25"/>
  <c r="T25" s="1"/>
  <c r="R25"/>
  <c r="Q25"/>
  <c r="P25"/>
  <c r="O25"/>
  <c r="N25"/>
  <c r="I25"/>
  <c r="K25" s="1"/>
  <c r="B25"/>
  <c r="T24"/>
  <c r="R24"/>
  <c r="Q24"/>
  <c r="P24"/>
  <c r="O24"/>
  <c r="N24"/>
  <c r="K24"/>
  <c r="J24"/>
  <c r="I24"/>
  <c r="B24"/>
  <c r="T23"/>
  <c r="R23"/>
  <c r="Q23"/>
  <c r="P23"/>
  <c r="O23"/>
  <c r="N23"/>
  <c r="K23"/>
  <c r="J23"/>
  <c r="I23"/>
  <c r="B23"/>
  <c r="T22"/>
  <c r="R22"/>
  <c r="Q22"/>
  <c r="P22"/>
  <c r="O22"/>
  <c r="N22"/>
  <c r="K22"/>
  <c r="J22"/>
  <c r="I22"/>
  <c r="B22"/>
  <c r="T21"/>
  <c r="R21"/>
  <c r="Q21"/>
  <c r="P21"/>
  <c r="O21"/>
  <c r="N21"/>
  <c r="K21"/>
  <c r="J21"/>
  <c r="I21"/>
  <c r="B21"/>
  <c r="S20"/>
  <c r="T20" s="1"/>
  <c r="N20"/>
  <c r="K20"/>
  <c r="J20"/>
  <c r="I20"/>
  <c r="B20"/>
  <c r="T19"/>
  <c r="K19"/>
  <c r="J19"/>
  <c r="I19"/>
  <c r="B19"/>
  <c r="S18"/>
  <c r="T18" s="1"/>
  <c r="N18"/>
  <c r="K18"/>
  <c r="J18"/>
  <c r="I18"/>
  <c r="B18"/>
  <c r="S17"/>
  <c r="T17" s="1"/>
  <c r="N17"/>
  <c r="K17"/>
  <c r="J17"/>
  <c r="I17"/>
  <c r="B17"/>
  <c r="S16"/>
  <c r="T16" s="1"/>
  <c r="N16"/>
  <c r="K16"/>
  <c r="J16"/>
  <c r="I16"/>
  <c r="B16"/>
  <c r="S15"/>
  <c r="T15" s="1"/>
  <c r="N15"/>
  <c r="K15"/>
  <c r="J15"/>
  <c r="I15"/>
  <c r="B15"/>
  <c r="S14"/>
  <c r="T14" s="1"/>
  <c r="N14"/>
  <c r="K14"/>
  <c r="J14"/>
  <c r="I14"/>
  <c r="B14"/>
  <c r="T13"/>
  <c r="R13"/>
  <c r="Q13"/>
  <c r="P13"/>
  <c r="O13"/>
  <c r="N13"/>
  <c r="K13"/>
  <c r="I13"/>
  <c r="B13"/>
  <c r="T12"/>
  <c r="R12"/>
  <c r="Q12"/>
  <c r="P12"/>
  <c r="O12"/>
  <c r="N12"/>
  <c r="K12"/>
  <c r="J12"/>
  <c r="I12"/>
  <c r="B12"/>
  <c r="S11"/>
  <c r="T11" s="1"/>
  <c r="N11"/>
  <c r="K11"/>
  <c r="J11"/>
  <c r="I11"/>
  <c r="B11"/>
  <c r="T10"/>
  <c r="R10"/>
  <c r="Q10"/>
  <c r="P10"/>
  <c r="O10"/>
  <c r="N10"/>
  <c r="K10"/>
  <c r="J10"/>
  <c r="I10"/>
  <c r="B10"/>
  <c r="T9"/>
  <c r="R9"/>
  <c r="Q9"/>
  <c r="P9"/>
  <c r="O9"/>
  <c r="N9"/>
  <c r="K9"/>
  <c r="I9"/>
  <c r="B9"/>
  <c r="T8"/>
  <c r="I8"/>
  <c r="B8"/>
  <c r="S7"/>
  <c r="T7" s="1"/>
  <c r="N7"/>
  <c r="K7"/>
  <c r="J7"/>
  <c r="I7"/>
  <c r="B7"/>
  <c r="S6"/>
  <c r="T6" s="1"/>
  <c r="N6"/>
  <c r="K6"/>
  <c r="I6"/>
  <c r="B6"/>
  <c r="T92" i="20"/>
  <c r="S92"/>
  <c r="R92"/>
  <c r="Q92"/>
  <c r="P92"/>
  <c r="O92"/>
  <c r="N92"/>
  <c r="M92"/>
  <c r="L92"/>
  <c r="K92"/>
  <c r="J92"/>
  <c r="I92"/>
  <c r="H92"/>
  <c r="G92"/>
  <c r="T91"/>
  <c r="S91"/>
  <c r="R91"/>
  <c r="Q91"/>
  <c r="P91"/>
  <c r="O91"/>
  <c r="N91"/>
  <c r="M91"/>
  <c r="L91"/>
  <c r="K91"/>
  <c r="J91"/>
  <c r="I91"/>
  <c r="H91"/>
  <c r="G91"/>
  <c r="T90"/>
  <c r="S90"/>
  <c r="R90"/>
  <c r="Q90"/>
  <c r="P90"/>
  <c r="O90"/>
  <c r="N90"/>
  <c r="M90"/>
  <c r="L90"/>
  <c r="K90"/>
  <c r="J90"/>
  <c r="I90"/>
  <c r="H90"/>
  <c r="G90"/>
  <c r="T89"/>
  <c r="G89"/>
  <c r="T88"/>
  <c r="G88"/>
  <c r="T87"/>
  <c r="A87"/>
  <c r="G87" s="1"/>
  <c r="T86"/>
  <c r="G86"/>
  <c r="A86"/>
  <c r="T85"/>
  <c r="G85"/>
  <c r="A85"/>
  <c r="T84"/>
  <c r="G84"/>
  <c r="A84"/>
  <c r="T83"/>
  <c r="G83"/>
  <c r="A83"/>
  <c r="T82"/>
  <c r="G82"/>
  <c r="A82"/>
  <c r="T81"/>
  <c r="G81"/>
  <c r="A81"/>
  <c r="T80"/>
  <c r="G80"/>
  <c r="A80"/>
  <c r="T79"/>
  <c r="G79"/>
  <c r="A79"/>
  <c r="T78"/>
  <c r="G78"/>
  <c r="A78"/>
  <c r="T77"/>
  <c r="G77"/>
  <c r="A77"/>
  <c r="T76"/>
  <c r="G76"/>
  <c r="A76"/>
  <c r="T75"/>
  <c r="G75"/>
  <c r="A75"/>
  <c r="T74"/>
  <c r="G74"/>
  <c r="A74"/>
  <c r="T73"/>
  <c r="G73"/>
  <c r="A73"/>
  <c r="T72"/>
  <c r="G72"/>
  <c r="A72"/>
  <c r="T71"/>
  <c r="G71"/>
  <c r="A71"/>
  <c r="T70"/>
  <c r="G70"/>
  <c r="A70"/>
  <c r="T69"/>
  <c r="G69"/>
  <c r="A69"/>
  <c r="T68"/>
  <c r="G68"/>
  <c r="A68"/>
  <c r="T67"/>
  <c r="G67"/>
  <c r="A67"/>
  <c r="T66"/>
  <c r="G66"/>
  <c r="A66"/>
  <c r="T65"/>
  <c r="G65"/>
  <c r="A65"/>
  <c r="T64"/>
  <c r="G64"/>
  <c r="A64"/>
  <c r="T63"/>
  <c r="G63"/>
  <c r="A63"/>
  <c r="T62"/>
  <c r="G62"/>
  <c r="A62"/>
  <c r="T61"/>
  <c r="G61"/>
  <c r="A61"/>
  <c r="T60"/>
  <c r="G60"/>
  <c r="A60"/>
  <c r="T59"/>
  <c r="G59"/>
  <c r="A59"/>
  <c r="T58"/>
  <c r="G58"/>
  <c r="A58"/>
  <c r="T57"/>
  <c r="G57"/>
  <c r="A57"/>
  <c r="T56"/>
  <c r="G56"/>
  <c r="A56"/>
  <c r="T55"/>
  <c r="G55"/>
  <c r="A55"/>
  <c r="T54"/>
  <c r="G54"/>
  <c r="A54"/>
  <c r="T53"/>
  <c r="G53"/>
  <c r="A53"/>
  <c r="T52"/>
  <c r="G52"/>
  <c r="A52"/>
  <c r="T51"/>
  <c r="G51"/>
  <c r="A51"/>
  <c r="T50"/>
  <c r="G50"/>
  <c r="A50"/>
  <c r="T49"/>
  <c r="G49"/>
  <c r="A49"/>
  <c r="T48"/>
  <c r="G48"/>
  <c r="A48"/>
  <c r="T47"/>
  <c r="G47"/>
  <c r="A47"/>
  <c r="T46"/>
  <c r="G46"/>
  <c r="A46"/>
  <c r="T45"/>
  <c r="G45"/>
  <c r="A45"/>
  <c r="T44"/>
  <c r="G44"/>
  <c r="A44"/>
  <c r="T43"/>
  <c r="G43"/>
  <c r="A43"/>
  <c r="T42"/>
  <c r="G42"/>
  <c r="A42"/>
  <c r="T41"/>
  <c r="G41"/>
  <c r="A41"/>
  <c r="T40"/>
  <c r="G40"/>
  <c r="A40"/>
  <c r="T39"/>
  <c r="G39"/>
  <c r="A39"/>
  <c r="T38"/>
  <c r="G38"/>
  <c r="A38"/>
  <c r="T37"/>
  <c r="G37"/>
  <c r="A37"/>
  <c r="T36"/>
  <c r="G36"/>
  <c r="A36"/>
  <c r="T35"/>
  <c r="G35"/>
  <c r="A35"/>
  <c r="T34"/>
  <c r="G34"/>
  <c r="A34"/>
  <c r="T33"/>
  <c r="A33"/>
  <c r="G33" s="1"/>
  <c r="T32"/>
  <c r="G32"/>
  <c r="A32"/>
  <c r="T31"/>
  <c r="G31"/>
  <c r="A31"/>
  <c r="T30"/>
  <c r="G30"/>
  <c r="A30"/>
  <c r="T29"/>
  <c r="G29"/>
  <c r="A29"/>
  <c r="T28"/>
  <c r="G28"/>
  <c r="A28"/>
  <c r="T27"/>
  <c r="G27"/>
  <c r="A27"/>
  <c r="T26"/>
  <c r="G26"/>
  <c r="A26"/>
  <c r="T25"/>
  <c r="G25"/>
  <c r="A25"/>
  <c r="T24"/>
  <c r="G24"/>
  <c r="A24"/>
  <c r="T23"/>
  <c r="G23"/>
  <c r="A23"/>
  <c r="T22"/>
  <c r="G22"/>
  <c r="A22"/>
  <c r="T21"/>
  <c r="G21"/>
  <c r="A21"/>
  <c r="T20"/>
  <c r="G20"/>
  <c r="A20"/>
  <c r="T19"/>
  <c r="G19"/>
  <c r="A19"/>
  <c r="T18"/>
  <c r="G18"/>
  <c r="A18"/>
  <c r="T17"/>
  <c r="G17"/>
  <c r="A17"/>
  <c r="T16"/>
  <c r="G16"/>
  <c r="A16"/>
  <c r="T15"/>
  <c r="G15"/>
  <c r="A15"/>
  <c r="T14"/>
  <c r="A14"/>
  <c r="G14" s="1"/>
  <c r="T13"/>
  <c r="A13"/>
  <c r="G13" s="1"/>
  <c r="T12"/>
  <c r="G12"/>
  <c r="A12"/>
  <c r="T11"/>
  <c r="G11"/>
  <c r="A11"/>
  <c r="T10"/>
  <c r="G10"/>
  <c r="A10"/>
  <c r="T9"/>
  <c r="G9"/>
  <c r="A9"/>
  <c r="T8"/>
  <c r="G8"/>
  <c r="A8"/>
  <c r="A5"/>
  <c r="J2"/>
  <c r="G2"/>
  <c r="X9" s="1"/>
  <c r="F1"/>
  <c r="E1"/>
  <c r="C5683" i="36"/>
  <c r="D5683" s="1"/>
  <c r="C5682"/>
  <c r="D5682" s="1"/>
  <c r="C5681"/>
  <c r="D5681" s="1"/>
  <c r="C5680"/>
  <c r="D5680" s="1"/>
  <c r="C5679"/>
  <c r="D5679" s="1"/>
  <c r="C5678"/>
  <c r="D5678" s="1"/>
  <c r="C5677"/>
  <c r="D5677" s="1"/>
  <c r="C5676"/>
  <c r="D5676" s="1"/>
  <c r="C5675"/>
  <c r="D5675" s="1"/>
  <c r="C5674"/>
  <c r="D5674" s="1"/>
  <c r="C5673"/>
  <c r="D5673" s="1"/>
  <c r="C5672"/>
  <c r="D5672" s="1"/>
  <c r="C5671"/>
  <c r="D5671" s="1"/>
  <c r="C5670"/>
  <c r="D5670" s="1"/>
  <c r="C5669"/>
  <c r="D5669" s="1"/>
  <c r="C5668"/>
  <c r="D5668" s="1"/>
  <c r="C5667"/>
  <c r="D5667" s="1"/>
  <c r="C5666"/>
  <c r="D5666" s="1"/>
  <c r="C5665"/>
  <c r="D5665" s="1"/>
  <c r="C5664"/>
  <c r="D5664" s="1"/>
  <c r="C5663"/>
  <c r="D5663" s="1"/>
  <c r="C5662"/>
  <c r="D5662" s="1"/>
  <c r="C5661"/>
  <c r="D5661" s="1"/>
  <c r="C5660"/>
  <c r="D5660" s="1"/>
  <c r="C5659"/>
  <c r="D5659" s="1"/>
  <c r="C5658"/>
  <c r="D5658" s="1"/>
  <c r="C5657"/>
  <c r="D5657" s="1"/>
  <c r="C5656"/>
  <c r="D5656" s="1"/>
  <c r="C5655"/>
  <c r="D5655" s="1"/>
  <c r="C5654"/>
  <c r="D5654" s="1"/>
  <c r="C5653"/>
  <c r="D5653" s="1"/>
  <c r="C5652"/>
  <c r="D5652" s="1"/>
  <c r="C5651"/>
  <c r="D5651" s="1"/>
  <c r="C5650"/>
  <c r="D5650" s="1"/>
  <c r="C5649"/>
  <c r="D5649" s="1"/>
  <c r="C5648"/>
  <c r="D5648" s="1"/>
  <c r="C5647"/>
  <c r="D5647" s="1"/>
  <c r="C5646"/>
  <c r="D5646" s="1"/>
  <c r="C5645"/>
  <c r="D5645" s="1"/>
  <c r="C5644"/>
  <c r="D5644" s="1"/>
  <c r="C5643"/>
  <c r="D5643" s="1"/>
  <c r="C5642"/>
  <c r="D5642" s="1"/>
  <c r="C5641"/>
  <c r="D5641" s="1"/>
  <c r="C5640"/>
  <c r="D5640" s="1"/>
  <c r="C5639"/>
  <c r="D5639" s="1"/>
  <c r="C5638"/>
  <c r="D5638" s="1"/>
  <c r="C5637"/>
  <c r="D5637" s="1"/>
  <c r="C5636"/>
  <c r="D5636" s="1"/>
  <c r="C5635"/>
  <c r="D5635" s="1"/>
  <c r="C5634"/>
  <c r="D5634" s="1"/>
  <c r="C5633"/>
  <c r="D5633" s="1"/>
  <c r="C5632"/>
  <c r="D5632" s="1"/>
  <c r="C5631"/>
  <c r="D5631" s="1"/>
  <c r="C5630"/>
  <c r="D5630" s="1"/>
  <c r="C5629"/>
  <c r="D5629" s="1"/>
  <c r="C5628"/>
  <c r="D5628" s="1"/>
  <c r="C5627"/>
  <c r="D5627" s="1"/>
  <c r="C5626"/>
  <c r="D5626" s="1"/>
  <c r="C5625"/>
  <c r="D5625" s="1"/>
  <c r="C5624"/>
  <c r="D5624" s="1"/>
  <c r="C5623"/>
  <c r="D5623" s="1"/>
  <c r="C5622"/>
  <c r="D5622" s="1"/>
  <c r="C5621"/>
  <c r="D5621" s="1"/>
  <c r="C5620"/>
  <c r="D5620" s="1"/>
  <c r="C5619"/>
  <c r="D5619" s="1"/>
  <c r="C5618"/>
  <c r="D5618" s="1"/>
  <c r="C5617"/>
  <c r="D5617" s="1"/>
  <c r="C5616"/>
  <c r="D5616" s="1"/>
  <c r="C5615"/>
  <c r="D5615" s="1"/>
  <c r="C5614"/>
  <c r="D5614" s="1"/>
  <c r="C5613"/>
  <c r="D5613" s="1"/>
  <c r="C5612"/>
  <c r="D5612" s="1"/>
  <c r="C5611"/>
  <c r="D5611" s="1"/>
  <c r="C5610"/>
  <c r="D5610" s="1"/>
  <c r="C5609"/>
  <c r="D5609" s="1"/>
  <c r="C5608"/>
  <c r="D5608" s="1"/>
  <c r="C5607"/>
  <c r="D5607" s="1"/>
  <c r="C5606"/>
  <c r="D5606" s="1"/>
  <c r="C5605"/>
  <c r="D5605" s="1"/>
  <c r="C5604"/>
  <c r="D5604" s="1"/>
  <c r="C5603"/>
  <c r="D5603" s="1"/>
  <c r="C5602"/>
  <c r="D5602" s="1"/>
  <c r="C5601"/>
  <c r="D5601" s="1"/>
  <c r="C5600"/>
  <c r="D5600" s="1"/>
  <c r="C5599"/>
  <c r="D5599" s="1"/>
  <c r="C5598"/>
  <c r="D5598" s="1"/>
  <c r="C5597"/>
  <c r="D5597" s="1"/>
  <c r="C5596"/>
  <c r="D5596" s="1"/>
  <c r="C5595"/>
  <c r="D5595" s="1"/>
  <c r="C5594"/>
  <c r="D5594" s="1"/>
  <c r="C5593"/>
  <c r="D5593" s="1"/>
  <c r="C5592"/>
  <c r="D5592" s="1"/>
  <c r="C5591"/>
  <c r="D5591" s="1"/>
  <c r="C5590"/>
  <c r="D5590" s="1"/>
  <c r="C5589"/>
  <c r="D5589" s="1"/>
  <c r="C5588"/>
  <c r="D5588" s="1"/>
  <c r="C5587"/>
  <c r="D5587" s="1"/>
  <c r="C5586"/>
  <c r="D5586" s="1"/>
  <c r="C5585"/>
  <c r="D5585" s="1"/>
  <c r="C5584"/>
  <c r="D5584" s="1"/>
  <c r="C5583"/>
  <c r="D5583" s="1"/>
  <c r="C5582"/>
  <c r="D5582" s="1"/>
  <c r="C5581"/>
  <c r="D5581" s="1"/>
  <c r="C5580"/>
  <c r="D5580" s="1"/>
  <c r="C5579"/>
  <c r="D5579" s="1"/>
  <c r="C5578"/>
  <c r="D5578" s="1"/>
  <c r="C5577"/>
  <c r="D5577" s="1"/>
  <c r="C5576"/>
  <c r="D5576" s="1"/>
  <c r="C5575"/>
  <c r="D5575" s="1"/>
  <c r="C5574"/>
  <c r="D5574" s="1"/>
  <c r="C5573"/>
  <c r="D5573" s="1"/>
  <c r="C5572"/>
  <c r="D5572" s="1"/>
  <c r="C5571"/>
  <c r="D5571" s="1"/>
  <c r="C5570"/>
  <c r="D5570" s="1"/>
  <c r="C5569"/>
  <c r="D5569" s="1"/>
  <c r="C5568"/>
  <c r="D5568" s="1"/>
  <c r="C5567"/>
  <c r="D5567" s="1"/>
  <c r="C5566"/>
  <c r="D5566" s="1"/>
  <c r="C5565"/>
  <c r="D5565" s="1"/>
  <c r="C5564"/>
  <c r="D5564" s="1"/>
  <c r="C5563"/>
  <c r="D5563" s="1"/>
  <c r="C5562"/>
  <c r="D5562" s="1"/>
  <c r="C5561"/>
  <c r="D5561" s="1"/>
  <c r="C5560"/>
  <c r="D5560" s="1"/>
  <c r="C5559"/>
  <c r="D5559" s="1"/>
  <c r="C5558"/>
  <c r="D5558" s="1"/>
  <c r="C5557"/>
  <c r="D5557" s="1"/>
  <c r="C5556"/>
  <c r="D5556" s="1"/>
  <c r="C5555"/>
  <c r="D5555" s="1"/>
  <c r="C5554"/>
  <c r="D5554" s="1"/>
  <c r="C5553"/>
  <c r="D5553" s="1"/>
  <c r="C5552"/>
  <c r="D5552" s="1"/>
  <c r="C5551"/>
  <c r="D5551" s="1"/>
  <c r="C5550"/>
  <c r="D5550" s="1"/>
  <c r="C5549"/>
  <c r="D5549" s="1"/>
  <c r="C5548"/>
  <c r="D5548" s="1"/>
  <c r="C5547"/>
  <c r="D5547" s="1"/>
  <c r="C5546"/>
  <c r="D5546" s="1"/>
  <c r="C5545"/>
  <c r="D5545" s="1"/>
  <c r="C5544"/>
  <c r="D5544" s="1"/>
  <c r="C5543"/>
  <c r="D5543" s="1"/>
  <c r="C5542"/>
  <c r="D5542" s="1"/>
  <c r="C5541"/>
  <c r="D5541" s="1"/>
  <c r="C5540"/>
  <c r="D5540" s="1"/>
  <c r="C5539"/>
  <c r="D5539" s="1"/>
  <c r="C5538"/>
  <c r="D5538" s="1"/>
  <c r="C5537"/>
  <c r="D5537" s="1"/>
  <c r="C5536"/>
  <c r="D5536" s="1"/>
  <c r="C5535"/>
  <c r="D5535" s="1"/>
  <c r="C5534"/>
  <c r="D5534" s="1"/>
  <c r="C5533"/>
  <c r="D5533" s="1"/>
  <c r="C5532"/>
  <c r="D5532" s="1"/>
  <c r="C5531"/>
  <c r="D5531" s="1"/>
  <c r="C5530"/>
  <c r="D5530" s="1"/>
  <c r="C5529"/>
  <c r="D5529" s="1"/>
  <c r="C5528"/>
  <c r="D5528" s="1"/>
  <c r="C5527"/>
  <c r="D5527" s="1"/>
  <c r="C5526"/>
  <c r="D5526" s="1"/>
  <c r="C5525"/>
  <c r="D5525" s="1"/>
  <c r="C5524"/>
  <c r="D5524" s="1"/>
  <c r="C5523"/>
  <c r="D5523" s="1"/>
  <c r="C5522"/>
  <c r="D5522" s="1"/>
  <c r="C5521"/>
  <c r="D5521" s="1"/>
  <c r="C5520"/>
  <c r="D5520" s="1"/>
  <c r="C5519"/>
  <c r="D5519" s="1"/>
  <c r="C5518"/>
  <c r="D5518" s="1"/>
  <c r="C5517"/>
  <c r="D5517" s="1"/>
  <c r="C5516"/>
  <c r="D5516" s="1"/>
  <c r="C5515"/>
  <c r="D5515" s="1"/>
  <c r="C5514"/>
  <c r="D5514" s="1"/>
  <c r="C5513"/>
  <c r="D5513" s="1"/>
  <c r="C5512"/>
  <c r="D5512" s="1"/>
  <c r="C5511"/>
  <c r="D5511" s="1"/>
  <c r="C5510"/>
  <c r="D5510" s="1"/>
  <c r="C5509"/>
  <c r="D5509" s="1"/>
  <c r="C5508"/>
  <c r="D5508" s="1"/>
  <c r="C5507"/>
  <c r="D5507" s="1"/>
  <c r="C5506"/>
  <c r="D5506" s="1"/>
  <c r="C5505"/>
  <c r="D5505" s="1"/>
  <c r="C5504"/>
  <c r="D5504" s="1"/>
  <c r="C5503"/>
  <c r="D5503" s="1"/>
  <c r="C5502"/>
  <c r="D5502" s="1"/>
  <c r="C5501"/>
  <c r="D5501" s="1"/>
  <c r="C5500"/>
  <c r="D5500" s="1"/>
  <c r="C5499"/>
  <c r="D5499" s="1"/>
  <c r="C5498"/>
  <c r="D5498" s="1"/>
  <c r="C5497"/>
  <c r="D5497" s="1"/>
  <c r="C5496"/>
  <c r="D5496" s="1"/>
  <c r="C5495"/>
  <c r="D5495" s="1"/>
  <c r="C5494"/>
  <c r="D5494" s="1"/>
  <c r="C5493"/>
  <c r="D5493" s="1"/>
  <c r="C5492"/>
  <c r="D5492" s="1"/>
  <c r="C5491"/>
  <c r="D5491" s="1"/>
  <c r="C5490"/>
  <c r="D5490" s="1"/>
  <c r="C5489"/>
  <c r="D5489" s="1"/>
  <c r="C5488"/>
  <c r="D5488" s="1"/>
  <c r="C5487"/>
  <c r="D5487" s="1"/>
  <c r="C5486"/>
  <c r="D5486" s="1"/>
  <c r="C5485"/>
  <c r="D5485" s="1"/>
  <c r="C5484"/>
  <c r="D5484" s="1"/>
  <c r="C5483"/>
  <c r="D5483" s="1"/>
  <c r="C5482"/>
  <c r="D5482" s="1"/>
  <c r="C5481"/>
  <c r="D5481" s="1"/>
  <c r="C5480"/>
  <c r="D5480" s="1"/>
  <c r="C5479"/>
  <c r="D5479" s="1"/>
  <c r="C5478"/>
  <c r="D5478" s="1"/>
  <c r="C5477"/>
  <c r="D5477" s="1"/>
  <c r="C5476"/>
  <c r="D5476" s="1"/>
  <c r="C5475"/>
  <c r="D5475" s="1"/>
  <c r="C5474"/>
  <c r="D5474" s="1"/>
  <c r="C5473"/>
  <c r="D5473" s="1"/>
  <c r="C5472"/>
  <c r="D5472" s="1"/>
  <c r="C5471"/>
  <c r="D5471" s="1"/>
  <c r="C5470"/>
  <c r="D5470" s="1"/>
  <c r="C5469"/>
  <c r="D5469" s="1"/>
  <c r="C5468"/>
  <c r="D5468" s="1"/>
  <c r="C5467"/>
  <c r="D5467" s="1"/>
  <c r="C5466"/>
  <c r="D5466" s="1"/>
  <c r="C5465"/>
  <c r="D5465" s="1"/>
  <c r="C5464"/>
  <c r="D5464" s="1"/>
  <c r="C5463"/>
  <c r="D5463" s="1"/>
  <c r="C5462"/>
  <c r="D5462" s="1"/>
  <c r="C5461"/>
  <c r="D5461" s="1"/>
  <c r="C5460"/>
  <c r="D5460" s="1"/>
  <c r="C5459"/>
  <c r="D5459" s="1"/>
  <c r="C5458"/>
  <c r="D5458" s="1"/>
  <c r="C5457"/>
  <c r="D5457" s="1"/>
  <c r="C5456"/>
  <c r="D5456" s="1"/>
  <c r="C5455"/>
  <c r="D5455" s="1"/>
  <c r="C5454"/>
  <c r="D5454" s="1"/>
  <c r="C5453"/>
  <c r="D5453" s="1"/>
  <c r="C5452"/>
  <c r="D5452" s="1"/>
  <c r="C5451"/>
  <c r="D5451" s="1"/>
  <c r="C5450"/>
  <c r="D5450" s="1"/>
  <c r="C5449"/>
  <c r="D5449" s="1"/>
  <c r="C5448"/>
  <c r="D5448" s="1"/>
  <c r="C5447"/>
  <c r="D5447" s="1"/>
  <c r="C5446"/>
  <c r="D5446" s="1"/>
  <c r="C5445"/>
  <c r="D5445" s="1"/>
  <c r="C5444"/>
  <c r="D5444" s="1"/>
  <c r="C5443"/>
  <c r="D5443" s="1"/>
  <c r="C5442"/>
  <c r="D5442" s="1"/>
  <c r="C5441"/>
  <c r="D5441" s="1"/>
  <c r="C5440"/>
  <c r="D5440" s="1"/>
  <c r="C5439"/>
  <c r="D5439" s="1"/>
  <c r="C5438"/>
  <c r="D5438" s="1"/>
  <c r="C5437"/>
  <c r="D5437" s="1"/>
  <c r="C5436"/>
  <c r="D5436" s="1"/>
  <c r="C5435"/>
  <c r="D5435" s="1"/>
  <c r="C5434"/>
  <c r="D5434" s="1"/>
  <c r="C5433"/>
  <c r="D5433" s="1"/>
  <c r="C5432"/>
  <c r="D5432" s="1"/>
  <c r="C5431"/>
  <c r="D5431" s="1"/>
  <c r="C5430"/>
  <c r="D5430" s="1"/>
  <c r="C5429"/>
  <c r="D5429" s="1"/>
  <c r="C5428"/>
  <c r="D5428" s="1"/>
  <c r="C5427"/>
  <c r="D5427" s="1"/>
  <c r="C5426"/>
  <c r="D5426" s="1"/>
  <c r="C5425"/>
  <c r="D5425" s="1"/>
  <c r="C5424"/>
  <c r="D5424" s="1"/>
  <c r="C5423"/>
  <c r="D5423" s="1"/>
  <c r="C5422"/>
  <c r="D5422" s="1"/>
  <c r="C5421"/>
  <c r="D5421" s="1"/>
  <c r="C5420"/>
  <c r="D5420" s="1"/>
  <c r="C5419"/>
  <c r="D5419" s="1"/>
  <c r="C5418"/>
  <c r="D5418" s="1"/>
  <c r="C5417"/>
  <c r="D5417" s="1"/>
  <c r="C5416"/>
  <c r="D5416" s="1"/>
  <c r="C5415"/>
  <c r="D5415" s="1"/>
  <c r="C5414"/>
  <c r="D5414" s="1"/>
  <c r="C5413"/>
  <c r="D5413" s="1"/>
  <c r="C5412"/>
  <c r="D5412" s="1"/>
  <c r="C5411"/>
  <c r="D5411" s="1"/>
  <c r="C5410"/>
  <c r="D5410" s="1"/>
  <c r="C5409"/>
  <c r="D5409" s="1"/>
  <c r="C5408"/>
  <c r="D5408" s="1"/>
  <c r="C5407"/>
  <c r="D5407" s="1"/>
  <c r="C5406"/>
  <c r="D5406" s="1"/>
  <c r="C5405"/>
  <c r="D5405" s="1"/>
  <c r="C5404"/>
  <c r="D5404" s="1"/>
  <c r="C5403"/>
  <c r="D5403" s="1"/>
  <c r="C5402"/>
  <c r="D5402" s="1"/>
  <c r="C5401"/>
  <c r="D5401" s="1"/>
  <c r="C5400"/>
  <c r="D5400" s="1"/>
  <c r="C5399"/>
  <c r="D5399" s="1"/>
  <c r="C5398"/>
  <c r="D5398" s="1"/>
  <c r="C5397"/>
  <c r="D5397" s="1"/>
  <c r="C5396"/>
  <c r="D5396" s="1"/>
  <c r="C5395"/>
  <c r="D5395" s="1"/>
  <c r="C5394"/>
  <c r="D5394" s="1"/>
  <c r="C5393"/>
  <c r="D5393" s="1"/>
  <c r="C5392"/>
  <c r="D5392" s="1"/>
  <c r="C5391"/>
  <c r="D5391" s="1"/>
  <c r="C5390"/>
  <c r="D5390" s="1"/>
  <c r="C5389"/>
  <c r="D5389" s="1"/>
  <c r="C5388"/>
  <c r="D5388" s="1"/>
  <c r="C5387"/>
  <c r="D5387" s="1"/>
  <c r="C5386"/>
  <c r="D5386" s="1"/>
  <c r="C5385"/>
  <c r="D5385" s="1"/>
  <c r="C5384"/>
  <c r="D5384" s="1"/>
  <c r="C5383"/>
  <c r="D5383" s="1"/>
  <c r="C5382"/>
  <c r="D5382" s="1"/>
  <c r="C5381"/>
  <c r="D5381" s="1"/>
  <c r="C5380"/>
  <c r="D5380" s="1"/>
  <c r="C5379"/>
  <c r="D5379" s="1"/>
  <c r="C5378"/>
  <c r="D5378" s="1"/>
  <c r="C5377"/>
  <c r="D5377" s="1"/>
  <c r="C5376"/>
  <c r="D5376" s="1"/>
  <c r="C5375"/>
  <c r="D5375" s="1"/>
  <c r="C5374"/>
  <c r="D5374" s="1"/>
  <c r="C5373"/>
  <c r="D5373" s="1"/>
  <c r="C5372"/>
  <c r="D5372" s="1"/>
  <c r="C5371"/>
  <c r="D5371" s="1"/>
  <c r="C5370"/>
  <c r="D5370" s="1"/>
  <c r="C5369"/>
  <c r="D5369" s="1"/>
  <c r="C5368"/>
  <c r="D5368" s="1"/>
  <c r="C5367"/>
  <c r="D5367" s="1"/>
  <c r="C5366"/>
  <c r="D5366" s="1"/>
  <c r="C5365"/>
  <c r="D5365" s="1"/>
  <c r="C5364"/>
  <c r="D5364" s="1"/>
  <c r="C5363"/>
  <c r="D5363" s="1"/>
  <c r="C5362"/>
  <c r="D5362" s="1"/>
  <c r="C5361"/>
  <c r="D5361" s="1"/>
  <c r="C5360"/>
  <c r="D5360" s="1"/>
  <c r="C5359"/>
  <c r="D5359" s="1"/>
  <c r="C5358"/>
  <c r="D5358" s="1"/>
  <c r="C5357"/>
  <c r="D5357" s="1"/>
  <c r="C5356"/>
  <c r="D5356" s="1"/>
  <c r="C5355"/>
  <c r="D5355" s="1"/>
  <c r="C5354"/>
  <c r="D5354" s="1"/>
  <c r="C5353"/>
  <c r="D5353" s="1"/>
  <c r="C5352"/>
  <c r="D5352" s="1"/>
  <c r="C5351"/>
  <c r="D5351" s="1"/>
  <c r="C5350"/>
  <c r="D5350" s="1"/>
  <c r="C5349"/>
  <c r="D5349" s="1"/>
  <c r="C5348"/>
  <c r="D5348" s="1"/>
  <c r="C5347"/>
  <c r="D5347" s="1"/>
  <c r="C5346"/>
  <c r="D5346" s="1"/>
  <c r="C5345"/>
  <c r="D5345" s="1"/>
  <c r="C5344"/>
  <c r="D5344" s="1"/>
  <c r="C5343"/>
  <c r="D5343" s="1"/>
  <c r="C5342"/>
  <c r="D5342" s="1"/>
  <c r="C5341"/>
  <c r="D5341" s="1"/>
  <c r="C5340"/>
  <c r="D5340" s="1"/>
  <c r="C5339"/>
  <c r="D5339" s="1"/>
  <c r="C5338"/>
  <c r="D5338" s="1"/>
  <c r="C5337"/>
  <c r="D5337" s="1"/>
  <c r="C5336"/>
  <c r="D5336" s="1"/>
  <c r="C5335"/>
  <c r="D5335" s="1"/>
  <c r="C5334"/>
  <c r="D5334" s="1"/>
  <c r="C5333"/>
  <c r="D5333" s="1"/>
  <c r="C5332"/>
  <c r="D5332" s="1"/>
  <c r="C5331"/>
  <c r="D5331" s="1"/>
  <c r="C5330"/>
  <c r="D5330" s="1"/>
  <c r="C5329"/>
  <c r="D5329" s="1"/>
  <c r="C5328"/>
  <c r="D5328" s="1"/>
  <c r="C5327"/>
  <c r="D5327" s="1"/>
  <c r="C5326"/>
  <c r="D5326" s="1"/>
  <c r="C5325"/>
  <c r="D5325" s="1"/>
  <c r="C5324"/>
  <c r="D5324" s="1"/>
  <c r="C5323"/>
  <c r="D5323" s="1"/>
  <c r="C5322"/>
  <c r="D5322" s="1"/>
  <c r="C5321"/>
  <c r="D5321" s="1"/>
  <c r="C5320"/>
  <c r="D5320" s="1"/>
  <c r="C5319"/>
  <c r="D5319" s="1"/>
  <c r="C5318"/>
  <c r="D5318" s="1"/>
  <c r="C5317"/>
  <c r="D5317" s="1"/>
  <c r="C5316"/>
  <c r="D5316" s="1"/>
  <c r="C5315"/>
  <c r="D5315" s="1"/>
  <c r="C5314"/>
  <c r="D5314" s="1"/>
  <c r="C5313"/>
  <c r="D5313" s="1"/>
  <c r="C5312"/>
  <c r="D5312" s="1"/>
  <c r="C5311"/>
  <c r="D5311" s="1"/>
  <c r="C5310"/>
  <c r="D5310" s="1"/>
  <c r="C5309"/>
  <c r="D5309" s="1"/>
  <c r="C5308"/>
  <c r="D5308" s="1"/>
  <c r="C5307"/>
  <c r="D5307" s="1"/>
  <c r="C5306"/>
  <c r="D5306" s="1"/>
  <c r="C5305"/>
  <c r="D5305" s="1"/>
  <c r="C5304"/>
  <c r="D5304" s="1"/>
  <c r="C5303"/>
  <c r="D5303" s="1"/>
  <c r="C5302"/>
  <c r="D5302" s="1"/>
  <c r="C5301"/>
  <c r="D5301" s="1"/>
  <c r="C5300"/>
  <c r="D5300" s="1"/>
  <c r="C5299"/>
  <c r="D5299" s="1"/>
  <c r="C5298"/>
  <c r="D5298" s="1"/>
  <c r="C5297"/>
  <c r="D5297" s="1"/>
  <c r="C5296"/>
  <c r="D5296" s="1"/>
  <c r="C5295"/>
  <c r="D5295" s="1"/>
  <c r="C5294"/>
  <c r="D5294" s="1"/>
  <c r="C5293"/>
  <c r="D5293" s="1"/>
  <c r="C5292"/>
  <c r="D5292" s="1"/>
  <c r="C5291"/>
  <c r="D5291" s="1"/>
  <c r="C5290"/>
  <c r="D5290" s="1"/>
  <c r="C5289"/>
  <c r="D5289" s="1"/>
  <c r="C5288"/>
  <c r="D5288" s="1"/>
  <c r="C5287"/>
  <c r="D5287" s="1"/>
  <c r="C5286"/>
  <c r="D5286" s="1"/>
  <c r="C5285"/>
  <c r="D5285" s="1"/>
  <c r="C5284"/>
  <c r="D5284" s="1"/>
  <c r="C5283"/>
  <c r="D5283" s="1"/>
  <c r="C5282"/>
  <c r="D5282" s="1"/>
  <c r="C5281"/>
  <c r="D5281" s="1"/>
  <c r="C5280"/>
  <c r="D5280" s="1"/>
  <c r="C5279"/>
  <c r="D5279" s="1"/>
  <c r="C5278"/>
  <c r="D5278" s="1"/>
  <c r="C5277"/>
  <c r="D5277" s="1"/>
  <c r="C5276"/>
  <c r="D5276" s="1"/>
  <c r="C5275"/>
  <c r="D5275" s="1"/>
  <c r="C5274"/>
  <c r="D5274" s="1"/>
  <c r="C5273"/>
  <c r="D5273" s="1"/>
  <c r="C5272"/>
  <c r="D5272" s="1"/>
  <c r="C5271"/>
  <c r="D5271" s="1"/>
  <c r="C5270"/>
  <c r="D5270" s="1"/>
  <c r="C5269"/>
  <c r="D5269" s="1"/>
  <c r="C5268"/>
  <c r="D5268" s="1"/>
  <c r="C5267"/>
  <c r="D5267" s="1"/>
  <c r="C5266"/>
  <c r="D5266" s="1"/>
  <c r="C5265"/>
  <c r="D5265" s="1"/>
  <c r="C5264"/>
  <c r="D5264" s="1"/>
  <c r="C5263"/>
  <c r="D5263" s="1"/>
  <c r="C5262"/>
  <c r="D5262" s="1"/>
  <c r="C5261"/>
  <c r="D5261" s="1"/>
  <c r="C5260"/>
  <c r="D5260" s="1"/>
  <c r="C5259"/>
  <c r="D5259" s="1"/>
  <c r="C5258"/>
  <c r="D5258" s="1"/>
  <c r="C5257"/>
  <c r="D5257" s="1"/>
  <c r="C5256"/>
  <c r="D5256" s="1"/>
  <c r="C5255"/>
  <c r="D5255" s="1"/>
  <c r="C5254"/>
  <c r="D5254" s="1"/>
  <c r="C5253"/>
  <c r="D5253" s="1"/>
  <c r="C5252"/>
  <c r="D5252" s="1"/>
  <c r="C5251"/>
  <c r="D5251" s="1"/>
  <c r="C5250"/>
  <c r="D5250" s="1"/>
  <c r="C5249"/>
  <c r="D5249" s="1"/>
  <c r="C5248"/>
  <c r="D5248" s="1"/>
  <c r="C5247"/>
  <c r="D5247" s="1"/>
  <c r="C5246"/>
  <c r="D5246" s="1"/>
  <c r="C5245"/>
  <c r="D5245" s="1"/>
  <c r="C5244"/>
  <c r="D5244" s="1"/>
  <c r="C5243"/>
  <c r="D5243" s="1"/>
  <c r="C5242"/>
  <c r="D5242" s="1"/>
  <c r="C5241"/>
  <c r="D5241" s="1"/>
  <c r="C5240"/>
  <c r="D5240" s="1"/>
  <c r="C5239"/>
  <c r="D5239" s="1"/>
  <c r="C5238"/>
  <c r="D5238" s="1"/>
  <c r="C5237"/>
  <c r="D5237" s="1"/>
  <c r="C5236"/>
  <c r="D5236" s="1"/>
  <c r="C5235"/>
  <c r="D5235" s="1"/>
  <c r="C5234"/>
  <c r="D5234" s="1"/>
  <c r="C5233"/>
  <c r="D5233" s="1"/>
  <c r="C5232"/>
  <c r="D5232" s="1"/>
  <c r="C5231"/>
  <c r="D5231" s="1"/>
  <c r="C5230"/>
  <c r="D5230" s="1"/>
  <c r="C5229"/>
  <c r="D5229" s="1"/>
  <c r="C5228"/>
  <c r="D5228" s="1"/>
  <c r="C5227"/>
  <c r="D5227" s="1"/>
  <c r="C5226"/>
  <c r="D5226" s="1"/>
  <c r="C5225"/>
  <c r="D5225" s="1"/>
  <c r="C5224"/>
  <c r="D5224" s="1"/>
  <c r="C5223"/>
  <c r="D5223" s="1"/>
  <c r="C5222"/>
  <c r="D5222" s="1"/>
  <c r="C5221"/>
  <c r="D5221" s="1"/>
  <c r="C5220"/>
  <c r="D5220" s="1"/>
  <c r="C5219"/>
  <c r="D5219" s="1"/>
  <c r="C5218"/>
  <c r="D5218" s="1"/>
  <c r="C5217"/>
  <c r="D5217" s="1"/>
  <c r="C5216"/>
  <c r="D5216" s="1"/>
  <c r="C5215"/>
  <c r="D5215" s="1"/>
  <c r="C5214"/>
  <c r="D5214" s="1"/>
  <c r="C5213"/>
  <c r="D5213" s="1"/>
  <c r="C5212"/>
  <c r="D5212" s="1"/>
  <c r="C5211"/>
  <c r="D5211" s="1"/>
  <c r="C5210"/>
  <c r="D5210" s="1"/>
  <c r="C5209"/>
  <c r="D5209" s="1"/>
  <c r="C5208"/>
  <c r="D5208" s="1"/>
  <c r="C5207"/>
  <c r="D5207" s="1"/>
  <c r="C5206"/>
  <c r="D5206" s="1"/>
  <c r="C5205"/>
  <c r="D5205" s="1"/>
  <c r="C5204"/>
  <c r="D5204" s="1"/>
  <c r="C5203"/>
  <c r="D5203" s="1"/>
  <c r="C5202"/>
  <c r="D5202" s="1"/>
  <c r="C5201"/>
  <c r="D5201" s="1"/>
  <c r="C5200"/>
  <c r="D5200" s="1"/>
  <c r="C5199"/>
  <c r="D5199" s="1"/>
  <c r="C5198"/>
  <c r="D5198" s="1"/>
  <c r="C5197"/>
  <c r="D5197" s="1"/>
  <c r="C5196"/>
  <c r="D5196" s="1"/>
  <c r="C5195"/>
  <c r="D5195" s="1"/>
  <c r="C5194"/>
  <c r="D5194" s="1"/>
  <c r="C5193"/>
  <c r="D5193" s="1"/>
  <c r="C5192"/>
  <c r="D5192" s="1"/>
  <c r="C5191"/>
  <c r="D5191" s="1"/>
  <c r="C5190"/>
  <c r="D5190" s="1"/>
  <c r="C5189"/>
  <c r="D5189" s="1"/>
  <c r="C5188"/>
  <c r="D5188" s="1"/>
  <c r="C5187"/>
  <c r="D5187" s="1"/>
  <c r="C5186"/>
  <c r="D5186" s="1"/>
  <c r="C5185"/>
  <c r="D5185" s="1"/>
  <c r="C5184"/>
  <c r="D5184" s="1"/>
  <c r="C5183"/>
  <c r="D5183" s="1"/>
  <c r="C5182"/>
  <c r="D5182" s="1"/>
  <c r="C5181"/>
  <c r="D5181" s="1"/>
  <c r="C5180"/>
  <c r="D5180" s="1"/>
  <c r="C5179"/>
  <c r="D5179" s="1"/>
  <c r="C5178"/>
  <c r="D5178" s="1"/>
  <c r="C5177"/>
  <c r="D5177" s="1"/>
  <c r="C5176"/>
  <c r="D5176" s="1"/>
  <c r="C5175"/>
  <c r="D5175" s="1"/>
  <c r="C5174"/>
  <c r="D5174" s="1"/>
  <c r="C5173"/>
  <c r="D5173" s="1"/>
  <c r="C5172"/>
  <c r="D5172" s="1"/>
  <c r="C5171"/>
  <c r="D5171" s="1"/>
  <c r="C5170"/>
  <c r="D5170" s="1"/>
  <c r="C5169"/>
  <c r="D5169" s="1"/>
  <c r="C5168"/>
  <c r="D5168" s="1"/>
  <c r="C5167"/>
  <c r="D5167" s="1"/>
  <c r="C5166"/>
  <c r="D5166" s="1"/>
  <c r="C5165"/>
  <c r="D5165" s="1"/>
  <c r="C5164"/>
  <c r="D5164" s="1"/>
  <c r="C5163"/>
  <c r="D5163" s="1"/>
  <c r="C5162"/>
  <c r="D5162" s="1"/>
  <c r="C5161"/>
  <c r="D5161" s="1"/>
  <c r="C5160"/>
  <c r="D5160" s="1"/>
  <c r="C5159"/>
  <c r="D5159" s="1"/>
  <c r="C5158"/>
  <c r="D5158" s="1"/>
  <c r="C5157"/>
  <c r="D5157" s="1"/>
  <c r="C5156"/>
  <c r="D5156" s="1"/>
  <c r="C5155"/>
  <c r="D5155" s="1"/>
  <c r="C5154"/>
  <c r="D5154" s="1"/>
  <c r="C5153"/>
  <c r="D5153" s="1"/>
  <c r="C5152"/>
  <c r="D5152" s="1"/>
  <c r="C5151"/>
  <c r="D5151" s="1"/>
  <c r="C5150"/>
  <c r="D5150" s="1"/>
  <c r="C5149"/>
  <c r="D5149" s="1"/>
  <c r="C5148"/>
  <c r="D5148" s="1"/>
  <c r="C5147"/>
  <c r="D5147" s="1"/>
  <c r="C5146"/>
  <c r="D5146" s="1"/>
  <c r="C5145"/>
  <c r="D5145" s="1"/>
  <c r="C5144"/>
  <c r="D5144" s="1"/>
  <c r="C5143"/>
  <c r="D5143" s="1"/>
  <c r="C5142"/>
  <c r="D5142" s="1"/>
  <c r="C5141"/>
  <c r="D5141" s="1"/>
  <c r="C5140"/>
  <c r="D5140" s="1"/>
  <c r="C5139"/>
  <c r="D5139" s="1"/>
  <c r="C5138"/>
  <c r="D5138" s="1"/>
  <c r="C5137"/>
  <c r="D5137" s="1"/>
  <c r="C5136"/>
  <c r="D5136" s="1"/>
  <c r="C5135"/>
  <c r="D5135" s="1"/>
  <c r="C5134"/>
  <c r="D5134" s="1"/>
  <c r="C5133"/>
  <c r="D5133" s="1"/>
  <c r="C5132"/>
  <c r="D5132" s="1"/>
  <c r="C5131"/>
  <c r="D5131" s="1"/>
  <c r="C5130"/>
  <c r="D5130" s="1"/>
  <c r="C5129"/>
  <c r="D5129" s="1"/>
  <c r="C5128"/>
  <c r="D5128" s="1"/>
  <c r="C5127"/>
  <c r="D5127" s="1"/>
  <c r="C5126"/>
  <c r="D5126" s="1"/>
  <c r="C5125"/>
  <c r="D5125" s="1"/>
  <c r="C5124"/>
  <c r="D5124" s="1"/>
  <c r="C5123"/>
  <c r="D5123" s="1"/>
  <c r="C5122"/>
  <c r="D5122" s="1"/>
  <c r="C5121"/>
  <c r="D5121" s="1"/>
  <c r="C5120"/>
  <c r="D5120" s="1"/>
  <c r="C5119"/>
  <c r="D5119" s="1"/>
  <c r="C5118"/>
  <c r="D5118" s="1"/>
  <c r="C5117"/>
  <c r="D5117" s="1"/>
  <c r="C5116"/>
  <c r="D5116" s="1"/>
  <c r="C5115"/>
  <c r="D5115" s="1"/>
  <c r="C5114"/>
  <c r="D5114" s="1"/>
  <c r="C5113"/>
  <c r="D5113" s="1"/>
  <c r="C5112"/>
  <c r="D5112" s="1"/>
  <c r="C5111"/>
  <c r="D5111" s="1"/>
  <c r="C5110"/>
  <c r="D5110" s="1"/>
  <c r="C5109"/>
  <c r="D5109" s="1"/>
  <c r="C5108"/>
  <c r="D5108" s="1"/>
  <c r="C5107"/>
  <c r="D5107" s="1"/>
  <c r="C5106"/>
  <c r="D5106" s="1"/>
  <c r="C5105"/>
  <c r="D5105" s="1"/>
  <c r="C5104"/>
  <c r="D5104" s="1"/>
  <c r="C5103"/>
  <c r="D5103" s="1"/>
  <c r="C5102"/>
  <c r="D5102" s="1"/>
  <c r="C5101"/>
  <c r="D5101" s="1"/>
  <c r="C5100"/>
  <c r="D5100" s="1"/>
  <c r="C5099"/>
  <c r="D5099" s="1"/>
  <c r="C5098"/>
  <c r="D5098" s="1"/>
  <c r="C5097"/>
  <c r="D5097" s="1"/>
  <c r="C5096"/>
  <c r="D5096" s="1"/>
  <c r="C5095"/>
  <c r="D5095" s="1"/>
  <c r="C5094"/>
  <c r="D5094" s="1"/>
  <c r="C5093"/>
  <c r="D5093" s="1"/>
  <c r="C5092"/>
  <c r="D5092" s="1"/>
  <c r="C5091"/>
  <c r="D5091" s="1"/>
  <c r="C5090"/>
  <c r="D5090" s="1"/>
  <c r="C5089"/>
  <c r="D5089" s="1"/>
  <c r="C5088"/>
  <c r="D5088" s="1"/>
  <c r="C5087"/>
  <c r="D5087" s="1"/>
  <c r="C5086"/>
  <c r="D5086" s="1"/>
  <c r="C5085"/>
  <c r="D5085" s="1"/>
  <c r="C5084"/>
  <c r="D5084" s="1"/>
  <c r="C5083"/>
  <c r="D5083" s="1"/>
  <c r="C5082"/>
  <c r="D5082" s="1"/>
  <c r="C5081"/>
  <c r="D5081" s="1"/>
  <c r="C5080"/>
  <c r="D5080" s="1"/>
  <c r="C5079"/>
  <c r="D5079" s="1"/>
  <c r="C5078"/>
  <c r="D5078" s="1"/>
  <c r="C5077"/>
  <c r="D5077" s="1"/>
  <c r="C5076"/>
  <c r="D5076" s="1"/>
  <c r="C5075"/>
  <c r="D5075" s="1"/>
  <c r="C5074"/>
  <c r="D5074" s="1"/>
  <c r="C5073"/>
  <c r="D5073" s="1"/>
  <c r="C5072"/>
  <c r="D5072" s="1"/>
  <c r="C5071"/>
  <c r="D5071" s="1"/>
  <c r="C5070"/>
  <c r="D5070" s="1"/>
  <c r="C5069"/>
  <c r="D5069" s="1"/>
  <c r="C5068"/>
  <c r="D5068" s="1"/>
  <c r="C5067"/>
  <c r="D5067" s="1"/>
  <c r="C5066"/>
  <c r="D5066" s="1"/>
  <c r="C5065"/>
  <c r="D5065" s="1"/>
  <c r="C5064"/>
  <c r="D5064" s="1"/>
  <c r="C5063"/>
  <c r="D5063" s="1"/>
  <c r="C5062"/>
  <c r="D5062" s="1"/>
  <c r="C5061"/>
  <c r="D5061" s="1"/>
  <c r="C5060"/>
  <c r="D5060" s="1"/>
  <c r="C5059"/>
  <c r="D5059" s="1"/>
  <c r="C5058"/>
  <c r="D5058" s="1"/>
  <c r="C5057"/>
  <c r="D5057" s="1"/>
  <c r="C5056"/>
  <c r="D5056" s="1"/>
  <c r="C5055"/>
  <c r="D5055" s="1"/>
  <c r="C5054"/>
  <c r="D5054" s="1"/>
  <c r="C5053"/>
  <c r="D5053" s="1"/>
  <c r="C5052"/>
  <c r="D5052" s="1"/>
  <c r="C5051"/>
  <c r="D5051" s="1"/>
  <c r="C5050"/>
  <c r="D5050" s="1"/>
  <c r="C5049"/>
  <c r="D5049" s="1"/>
  <c r="C5048"/>
  <c r="D5048" s="1"/>
  <c r="C5047"/>
  <c r="D5047" s="1"/>
  <c r="C5046"/>
  <c r="D5046" s="1"/>
  <c r="C5045"/>
  <c r="D5045" s="1"/>
  <c r="C5044"/>
  <c r="D5044" s="1"/>
  <c r="C5043"/>
  <c r="D5043" s="1"/>
  <c r="C5042"/>
  <c r="D5042" s="1"/>
  <c r="C5041"/>
  <c r="D5041" s="1"/>
  <c r="C5040"/>
  <c r="D5040" s="1"/>
  <c r="C5039"/>
  <c r="D5039" s="1"/>
  <c r="C5038"/>
  <c r="D5038" s="1"/>
  <c r="C5037"/>
  <c r="D5037" s="1"/>
  <c r="C5036"/>
  <c r="D5036" s="1"/>
  <c r="C5035"/>
  <c r="D5035" s="1"/>
  <c r="C5034"/>
  <c r="D5034" s="1"/>
  <c r="C5033"/>
  <c r="D5033" s="1"/>
  <c r="C5032"/>
  <c r="D5032" s="1"/>
  <c r="C5031"/>
  <c r="D5031" s="1"/>
  <c r="C5030"/>
  <c r="D5030" s="1"/>
  <c r="C5029"/>
  <c r="D5029" s="1"/>
  <c r="C5028"/>
  <c r="D5028" s="1"/>
  <c r="C5027"/>
  <c r="D5027" s="1"/>
  <c r="C5026"/>
  <c r="D5026" s="1"/>
  <c r="C5025"/>
  <c r="D5025" s="1"/>
  <c r="C5024"/>
  <c r="D5024" s="1"/>
  <c r="C5023"/>
  <c r="D5023" s="1"/>
  <c r="C5022"/>
  <c r="D5022" s="1"/>
  <c r="C5021"/>
  <c r="D5021" s="1"/>
  <c r="C5020"/>
  <c r="D5020" s="1"/>
  <c r="C5019"/>
  <c r="D5019" s="1"/>
  <c r="C5018"/>
  <c r="D5018" s="1"/>
  <c r="C5017"/>
  <c r="D5017" s="1"/>
  <c r="C5016"/>
  <c r="D5016" s="1"/>
  <c r="C5015"/>
  <c r="D5015" s="1"/>
  <c r="C5014"/>
  <c r="D5014" s="1"/>
  <c r="C5013"/>
  <c r="D5013" s="1"/>
  <c r="C5012"/>
  <c r="D5012" s="1"/>
  <c r="C5011"/>
  <c r="D5011" s="1"/>
  <c r="C5010"/>
  <c r="D5010" s="1"/>
  <c r="C5009"/>
  <c r="D5009" s="1"/>
  <c r="C5008"/>
  <c r="D5008" s="1"/>
  <c r="C5007"/>
  <c r="D5007" s="1"/>
  <c r="C5006"/>
  <c r="D5006" s="1"/>
  <c r="C5005"/>
  <c r="D5005" s="1"/>
  <c r="C5004"/>
  <c r="D5004" s="1"/>
  <c r="C5003"/>
  <c r="D5003" s="1"/>
  <c r="C5002"/>
  <c r="D5002" s="1"/>
  <c r="C5001"/>
  <c r="D5001" s="1"/>
  <c r="C5000"/>
  <c r="D5000" s="1"/>
  <c r="C4999"/>
  <c r="D4999" s="1"/>
  <c r="C4998"/>
  <c r="D4998" s="1"/>
  <c r="C4997"/>
  <c r="D4997" s="1"/>
  <c r="C4996"/>
  <c r="D4996" s="1"/>
  <c r="C4995"/>
  <c r="D4995" s="1"/>
  <c r="C4994"/>
  <c r="D4994" s="1"/>
  <c r="C4993"/>
  <c r="D4993" s="1"/>
  <c r="C4992"/>
  <c r="D4992" s="1"/>
  <c r="C4991"/>
  <c r="D4991" s="1"/>
  <c r="C4990"/>
  <c r="D4990" s="1"/>
  <c r="C4989"/>
  <c r="D4989" s="1"/>
  <c r="C4988"/>
  <c r="D4988" s="1"/>
  <c r="C4987"/>
  <c r="D4987" s="1"/>
  <c r="C4986"/>
  <c r="D4986" s="1"/>
  <c r="C4985"/>
  <c r="D4985" s="1"/>
  <c r="C4984"/>
  <c r="D4984" s="1"/>
  <c r="C4983"/>
  <c r="D4983" s="1"/>
  <c r="C4982"/>
  <c r="D4982" s="1"/>
  <c r="C4981"/>
  <c r="D4981" s="1"/>
  <c r="C4980"/>
  <c r="D4980" s="1"/>
  <c r="C4979"/>
  <c r="D4979" s="1"/>
  <c r="C4978"/>
  <c r="D4978" s="1"/>
  <c r="C4977"/>
  <c r="D4977" s="1"/>
  <c r="C4976"/>
  <c r="D4976" s="1"/>
  <c r="C4975"/>
  <c r="D4975" s="1"/>
  <c r="C4974"/>
  <c r="D4974" s="1"/>
  <c r="C4973"/>
  <c r="D4973" s="1"/>
  <c r="C4972"/>
  <c r="D4972" s="1"/>
  <c r="C4971"/>
  <c r="D4971" s="1"/>
  <c r="C4970"/>
  <c r="D4970" s="1"/>
  <c r="C4969"/>
  <c r="D4969" s="1"/>
  <c r="C4968"/>
  <c r="D4968" s="1"/>
  <c r="C4967"/>
  <c r="D4967" s="1"/>
  <c r="C4966"/>
  <c r="D4966" s="1"/>
  <c r="C4965"/>
  <c r="D4965" s="1"/>
  <c r="C4964"/>
  <c r="D4964" s="1"/>
  <c r="C4963"/>
  <c r="D4963" s="1"/>
  <c r="C4962"/>
  <c r="D4962" s="1"/>
  <c r="C4961"/>
  <c r="D4961" s="1"/>
  <c r="C4960"/>
  <c r="D4960" s="1"/>
  <c r="C4959"/>
  <c r="D4959" s="1"/>
  <c r="C4958"/>
  <c r="D4958" s="1"/>
  <c r="C4957"/>
  <c r="D4957" s="1"/>
  <c r="C4956"/>
  <c r="D4956" s="1"/>
  <c r="C4955"/>
  <c r="D4955" s="1"/>
  <c r="C4954"/>
  <c r="D4954" s="1"/>
  <c r="C4953"/>
  <c r="D4953" s="1"/>
  <c r="C4952"/>
  <c r="D4952" s="1"/>
  <c r="C4951"/>
  <c r="D4951" s="1"/>
  <c r="C4950"/>
  <c r="D4950" s="1"/>
  <c r="C4949"/>
  <c r="D4949" s="1"/>
  <c r="C4948"/>
  <c r="D4948" s="1"/>
  <c r="C4947"/>
  <c r="D4947" s="1"/>
  <c r="C4946"/>
  <c r="D4946" s="1"/>
  <c r="C4945"/>
  <c r="D4945" s="1"/>
  <c r="C4944"/>
  <c r="D4944" s="1"/>
  <c r="C4943"/>
  <c r="D4943" s="1"/>
  <c r="C4942"/>
  <c r="D4942" s="1"/>
  <c r="C4941"/>
  <c r="D4941" s="1"/>
  <c r="C4940"/>
  <c r="D4940" s="1"/>
  <c r="C4939"/>
  <c r="D4939" s="1"/>
  <c r="C4938"/>
  <c r="D4938" s="1"/>
  <c r="C4937"/>
  <c r="D4937" s="1"/>
  <c r="C4936"/>
  <c r="D4936" s="1"/>
  <c r="C4935"/>
  <c r="D4935" s="1"/>
  <c r="C4934"/>
  <c r="D4934" s="1"/>
  <c r="C4933"/>
  <c r="D4933" s="1"/>
  <c r="C4932"/>
  <c r="D4932" s="1"/>
  <c r="C4931"/>
  <c r="D4931" s="1"/>
  <c r="C4930"/>
  <c r="D4930" s="1"/>
  <c r="C4929"/>
  <c r="D4929" s="1"/>
  <c r="C4928"/>
  <c r="D4928" s="1"/>
  <c r="C4927"/>
  <c r="D4927" s="1"/>
  <c r="C4926"/>
  <c r="D4926" s="1"/>
  <c r="C4925"/>
  <c r="D4925" s="1"/>
  <c r="C4924"/>
  <c r="D4924" s="1"/>
  <c r="C4923"/>
  <c r="D4923" s="1"/>
  <c r="C4922"/>
  <c r="D4922" s="1"/>
  <c r="C4921"/>
  <c r="D4921" s="1"/>
  <c r="C4920"/>
  <c r="D4920" s="1"/>
  <c r="C4919"/>
  <c r="D4919" s="1"/>
  <c r="C4918"/>
  <c r="D4918" s="1"/>
  <c r="C4917"/>
  <c r="D4917" s="1"/>
  <c r="C4916"/>
  <c r="D4916" s="1"/>
  <c r="C4915"/>
  <c r="D4915" s="1"/>
  <c r="C4914"/>
  <c r="D4914" s="1"/>
  <c r="C4913"/>
  <c r="D4913" s="1"/>
  <c r="C4912"/>
  <c r="D4912" s="1"/>
  <c r="C4911"/>
  <c r="D4911" s="1"/>
  <c r="C4910"/>
  <c r="D4910" s="1"/>
  <c r="C4909"/>
  <c r="D4909" s="1"/>
  <c r="C4908"/>
  <c r="D4908" s="1"/>
  <c r="C4907"/>
  <c r="D4907" s="1"/>
  <c r="C4906"/>
  <c r="D4906" s="1"/>
  <c r="C4905"/>
  <c r="D4905" s="1"/>
  <c r="C4904"/>
  <c r="D4904" s="1"/>
  <c r="C4903"/>
  <c r="D4903" s="1"/>
  <c r="C4902"/>
  <c r="D4902" s="1"/>
  <c r="C4901"/>
  <c r="D4901" s="1"/>
  <c r="C4900"/>
  <c r="D4900" s="1"/>
  <c r="C4899"/>
  <c r="D4899" s="1"/>
  <c r="C4898"/>
  <c r="D4898" s="1"/>
  <c r="C4897"/>
  <c r="D4897" s="1"/>
  <c r="C4896"/>
  <c r="D4896" s="1"/>
  <c r="C4895"/>
  <c r="D4895" s="1"/>
  <c r="C4894"/>
  <c r="D4894" s="1"/>
  <c r="C4893"/>
  <c r="D4893" s="1"/>
  <c r="C4892"/>
  <c r="D4892" s="1"/>
  <c r="C4891"/>
  <c r="D4891" s="1"/>
  <c r="C4890"/>
  <c r="D4890" s="1"/>
  <c r="C4889"/>
  <c r="D4889" s="1"/>
  <c r="C4888"/>
  <c r="D4888" s="1"/>
  <c r="C4887"/>
  <c r="D4887" s="1"/>
  <c r="C4886"/>
  <c r="D4886" s="1"/>
  <c r="C4885"/>
  <c r="D4885" s="1"/>
  <c r="C4884"/>
  <c r="D4884" s="1"/>
  <c r="C4883"/>
  <c r="D4883" s="1"/>
  <c r="C4882"/>
  <c r="D4882" s="1"/>
  <c r="C4881"/>
  <c r="D4881" s="1"/>
  <c r="C4880"/>
  <c r="D4880" s="1"/>
  <c r="C4879"/>
  <c r="D4879" s="1"/>
  <c r="C4878"/>
  <c r="D4878" s="1"/>
  <c r="C4877"/>
  <c r="D4877" s="1"/>
  <c r="C4876"/>
  <c r="D4876" s="1"/>
  <c r="C4875"/>
  <c r="D4875" s="1"/>
  <c r="C4874"/>
  <c r="D4874" s="1"/>
  <c r="C4873"/>
  <c r="D4873" s="1"/>
  <c r="C4872"/>
  <c r="D4872" s="1"/>
  <c r="C4871"/>
  <c r="D4871" s="1"/>
  <c r="C4870"/>
  <c r="D4870" s="1"/>
  <c r="C4869"/>
  <c r="D4869" s="1"/>
  <c r="C4868"/>
  <c r="D4868" s="1"/>
  <c r="C4867"/>
  <c r="D4867" s="1"/>
  <c r="C4866"/>
  <c r="D4866" s="1"/>
  <c r="C4865"/>
  <c r="D4865" s="1"/>
  <c r="C4864"/>
  <c r="D4864" s="1"/>
  <c r="C4863"/>
  <c r="D4863" s="1"/>
  <c r="C4862"/>
  <c r="D4862" s="1"/>
  <c r="C4861"/>
  <c r="D4861" s="1"/>
  <c r="C4860"/>
  <c r="D4860" s="1"/>
  <c r="C4859"/>
  <c r="D4859" s="1"/>
  <c r="C4858"/>
  <c r="D4858" s="1"/>
  <c r="C4857"/>
  <c r="D4857" s="1"/>
  <c r="C4856"/>
  <c r="D4856" s="1"/>
  <c r="C4855"/>
  <c r="D4855" s="1"/>
  <c r="C4854"/>
  <c r="D4854" s="1"/>
  <c r="C4853"/>
  <c r="D4853" s="1"/>
  <c r="C4852"/>
  <c r="D4852" s="1"/>
  <c r="C4851"/>
  <c r="D4851" s="1"/>
  <c r="C4850"/>
  <c r="D4850" s="1"/>
  <c r="C4849"/>
  <c r="D4849" s="1"/>
  <c r="C4848"/>
  <c r="D4848" s="1"/>
  <c r="C4847"/>
  <c r="D4847" s="1"/>
  <c r="C4846"/>
  <c r="D4846" s="1"/>
  <c r="C4845"/>
  <c r="D4845" s="1"/>
  <c r="C4844"/>
  <c r="D4844" s="1"/>
  <c r="C4843"/>
  <c r="D4843" s="1"/>
  <c r="C4842"/>
  <c r="D4842" s="1"/>
  <c r="C4841"/>
  <c r="D4841" s="1"/>
  <c r="C4840"/>
  <c r="D4840" s="1"/>
  <c r="C4839"/>
  <c r="D4839" s="1"/>
  <c r="C4838"/>
  <c r="D4838" s="1"/>
  <c r="C4837"/>
  <c r="D4837" s="1"/>
  <c r="C4836"/>
  <c r="D4836" s="1"/>
  <c r="C4835"/>
  <c r="D4835" s="1"/>
  <c r="C4834"/>
  <c r="D4834" s="1"/>
  <c r="C4833"/>
  <c r="D4833" s="1"/>
  <c r="C4832"/>
  <c r="D4832" s="1"/>
  <c r="C4831"/>
  <c r="D4831" s="1"/>
  <c r="C4830"/>
  <c r="D4830" s="1"/>
  <c r="C4829"/>
  <c r="D4829" s="1"/>
  <c r="C4828"/>
  <c r="D4828" s="1"/>
  <c r="C4827"/>
  <c r="D4827" s="1"/>
  <c r="C4826"/>
  <c r="D4826" s="1"/>
  <c r="C4825"/>
  <c r="D4825" s="1"/>
  <c r="C4824"/>
  <c r="D4824" s="1"/>
  <c r="C4823"/>
  <c r="D4823" s="1"/>
  <c r="C4822"/>
  <c r="D4822" s="1"/>
  <c r="C4821"/>
  <c r="D4821" s="1"/>
  <c r="C4820"/>
  <c r="D4820" s="1"/>
  <c r="C4819"/>
  <c r="D4819" s="1"/>
  <c r="C4818"/>
  <c r="D4818" s="1"/>
  <c r="C4817"/>
  <c r="D4817" s="1"/>
  <c r="C4816"/>
  <c r="D4816" s="1"/>
  <c r="C4815"/>
  <c r="D4815" s="1"/>
  <c r="C4814"/>
  <c r="D4814" s="1"/>
  <c r="C4813"/>
  <c r="D4813" s="1"/>
  <c r="C4812"/>
  <c r="D4812" s="1"/>
  <c r="C4811"/>
  <c r="D4811" s="1"/>
  <c r="C4810"/>
  <c r="D4810" s="1"/>
  <c r="C4809"/>
  <c r="D4809" s="1"/>
  <c r="C4808"/>
  <c r="D4808" s="1"/>
  <c r="C4807"/>
  <c r="D4807" s="1"/>
  <c r="C4806"/>
  <c r="D4806" s="1"/>
  <c r="C4805"/>
  <c r="D4805" s="1"/>
  <c r="C4804"/>
  <c r="D4804" s="1"/>
  <c r="C4803"/>
  <c r="D4803" s="1"/>
  <c r="C4802"/>
  <c r="D4802" s="1"/>
  <c r="C4801"/>
  <c r="D4801" s="1"/>
  <c r="C4800"/>
  <c r="D4800" s="1"/>
  <c r="C4799"/>
  <c r="D4799" s="1"/>
  <c r="C4798"/>
  <c r="D4798" s="1"/>
  <c r="C4797"/>
  <c r="D4797" s="1"/>
  <c r="C4796"/>
  <c r="D4796" s="1"/>
  <c r="C4795"/>
  <c r="D4795" s="1"/>
  <c r="C4794"/>
  <c r="D4794" s="1"/>
  <c r="C4793"/>
  <c r="D4793" s="1"/>
  <c r="C4792"/>
  <c r="D4792" s="1"/>
  <c r="C4791"/>
  <c r="D4791" s="1"/>
  <c r="C4790"/>
  <c r="D4790" s="1"/>
  <c r="C4789"/>
  <c r="D4789" s="1"/>
  <c r="C4788"/>
  <c r="D4788" s="1"/>
  <c r="C4787"/>
  <c r="D4787" s="1"/>
  <c r="C4786"/>
  <c r="D4786" s="1"/>
  <c r="C4785"/>
  <c r="D4785" s="1"/>
  <c r="C4784"/>
  <c r="D4784" s="1"/>
  <c r="C4783"/>
  <c r="D4783" s="1"/>
  <c r="C4782"/>
  <c r="D4782" s="1"/>
  <c r="C4781"/>
  <c r="D4781" s="1"/>
  <c r="C4780"/>
  <c r="D4780" s="1"/>
  <c r="C4779"/>
  <c r="D4779" s="1"/>
  <c r="C4778"/>
  <c r="D4778" s="1"/>
  <c r="C4777"/>
  <c r="D4777" s="1"/>
  <c r="C4776"/>
  <c r="D4776" s="1"/>
  <c r="C4775"/>
  <c r="D4775" s="1"/>
  <c r="C4774"/>
  <c r="D4774" s="1"/>
  <c r="C4773"/>
  <c r="D4773" s="1"/>
  <c r="C4772"/>
  <c r="D4772" s="1"/>
  <c r="C4771"/>
  <c r="D4771" s="1"/>
  <c r="C4770"/>
  <c r="D4770" s="1"/>
  <c r="C4769"/>
  <c r="D4769" s="1"/>
  <c r="C4768"/>
  <c r="D4768" s="1"/>
  <c r="C4767"/>
  <c r="D4767" s="1"/>
  <c r="C4766"/>
  <c r="D4766" s="1"/>
  <c r="C4765"/>
  <c r="D4765" s="1"/>
  <c r="C4764"/>
  <c r="D4764" s="1"/>
  <c r="C4763"/>
  <c r="D4763" s="1"/>
  <c r="C4762"/>
  <c r="D4762" s="1"/>
  <c r="C4761"/>
  <c r="D4761" s="1"/>
  <c r="C4760"/>
  <c r="D4760" s="1"/>
  <c r="C4759"/>
  <c r="D4759" s="1"/>
  <c r="C4758"/>
  <c r="D4758" s="1"/>
  <c r="C4757"/>
  <c r="D4757" s="1"/>
  <c r="C4756"/>
  <c r="D4756" s="1"/>
  <c r="C4755"/>
  <c r="D4755" s="1"/>
  <c r="C4754"/>
  <c r="D4754" s="1"/>
  <c r="C4753"/>
  <c r="D4753" s="1"/>
  <c r="C4752"/>
  <c r="D4752" s="1"/>
  <c r="C4751"/>
  <c r="D4751" s="1"/>
  <c r="C4750"/>
  <c r="D4750" s="1"/>
  <c r="C4749"/>
  <c r="D4749" s="1"/>
  <c r="C4748"/>
  <c r="D4748" s="1"/>
  <c r="C4747"/>
  <c r="D4747" s="1"/>
  <c r="C4746"/>
  <c r="D4746" s="1"/>
  <c r="C4745"/>
  <c r="D4745" s="1"/>
  <c r="C4744"/>
  <c r="D4744" s="1"/>
  <c r="C4743"/>
  <c r="D4743" s="1"/>
  <c r="C4742"/>
  <c r="D4742" s="1"/>
  <c r="C4741"/>
  <c r="D4741" s="1"/>
  <c r="C4740"/>
  <c r="D4740" s="1"/>
  <c r="C4739"/>
  <c r="D4739" s="1"/>
  <c r="C4738"/>
  <c r="D4738" s="1"/>
  <c r="C4737"/>
  <c r="D4737" s="1"/>
  <c r="C4736"/>
  <c r="D4736" s="1"/>
  <c r="C4735"/>
  <c r="D4735" s="1"/>
  <c r="C4734"/>
  <c r="D4734" s="1"/>
  <c r="C4733"/>
  <c r="D4733" s="1"/>
  <c r="C4732"/>
  <c r="D4732" s="1"/>
  <c r="C4731"/>
  <c r="D4731" s="1"/>
  <c r="C4730"/>
  <c r="D4730" s="1"/>
  <c r="C4729"/>
  <c r="D4729" s="1"/>
  <c r="C4728"/>
  <c r="D4728" s="1"/>
  <c r="C4727"/>
  <c r="D4727" s="1"/>
  <c r="C4726"/>
  <c r="D4726" s="1"/>
  <c r="C4725"/>
  <c r="D4725" s="1"/>
  <c r="C4724"/>
  <c r="D4724" s="1"/>
  <c r="C4723"/>
  <c r="D4723" s="1"/>
  <c r="C4722"/>
  <c r="D4722" s="1"/>
  <c r="C4721"/>
  <c r="D4721" s="1"/>
  <c r="C4720"/>
  <c r="D4720" s="1"/>
  <c r="C4719"/>
  <c r="D4719" s="1"/>
  <c r="C4718"/>
  <c r="D4718" s="1"/>
  <c r="C4717"/>
  <c r="D4717" s="1"/>
  <c r="C4716"/>
  <c r="D4716" s="1"/>
  <c r="C4715"/>
  <c r="D4715" s="1"/>
  <c r="C4714"/>
  <c r="D4714" s="1"/>
  <c r="C4713"/>
  <c r="D4713" s="1"/>
  <c r="C4712"/>
  <c r="D4712" s="1"/>
  <c r="C4711"/>
  <c r="D4711" s="1"/>
  <c r="C4710"/>
  <c r="D4710" s="1"/>
  <c r="C4709"/>
  <c r="D4709" s="1"/>
  <c r="C4708"/>
  <c r="D4708" s="1"/>
  <c r="C4707"/>
  <c r="D4707" s="1"/>
  <c r="C4706"/>
  <c r="D4706" s="1"/>
  <c r="C4705"/>
  <c r="D4705" s="1"/>
  <c r="C4704"/>
  <c r="D4704" s="1"/>
  <c r="C4703"/>
  <c r="D4703" s="1"/>
  <c r="C4702"/>
  <c r="D4702" s="1"/>
  <c r="C4701"/>
  <c r="D4701" s="1"/>
  <c r="C4700"/>
  <c r="D4700" s="1"/>
  <c r="C4699"/>
  <c r="D4699" s="1"/>
  <c r="C4698"/>
  <c r="D4698" s="1"/>
  <c r="C4697"/>
  <c r="D4697" s="1"/>
  <c r="C4696"/>
  <c r="D4696" s="1"/>
  <c r="C4695"/>
  <c r="D4695" s="1"/>
  <c r="C4694"/>
  <c r="D4694" s="1"/>
  <c r="C4693"/>
  <c r="D4693" s="1"/>
  <c r="C4692"/>
  <c r="D4692" s="1"/>
  <c r="C4691"/>
  <c r="D4691" s="1"/>
  <c r="C4690"/>
  <c r="D4690" s="1"/>
  <c r="C4689"/>
  <c r="D4689" s="1"/>
  <c r="C4688"/>
  <c r="D4688" s="1"/>
  <c r="C4687"/>
  <c r="D4687" s="1"/>
  <c r="C4686"/>
  <c r="D4686" s="1"/>
  <c r="C4685"/>
  <c r="D4685" s="1"/>
  <c r="C4684"/>
  <c r="D4684" s="1"/>
  <c r="C4683"/>
  <c r="D4683" s="1"/>
  <c r="C4682"/>
  <c r="D4682" s="1"/>
  <c r="C4681"/>
  <c r="D4681" s="1"/>
  <c r="C4680"/>
  <c r="D4680" s="1"/>
  <c r="C4679"/>
  <c r="D4679" s="1"/>
  <c r="C4678"/>
  <c r="D4678" s="1"/>
  <c r="C4677"/>
  <c r="D4677" s="1"/>
  <c r="C4676"/>
  <c r="D4676" s="1"/>
  <c r="C4675"/>
  <c r="D4675" s="1"/>
  <c r="C4674"/>
  <c r="D4674" s="1"/>
  <c r="C4673"/>
  <c r="D4673" s="1"/>
  <c r="C4672"/>
  <c r="D4672" s="1"/>
  <c r="C4671"/>
  <c r="D4671" s="1"/>
  <c r="C4670"/>
  <c r="D4670" s="1"/>
  <c r="C4669"/>
  <c r="D4669" s="1"/>
  <c r="C4668"/>
  <c r="D4668" s="1"/>
  <c r="C4667"/>
  <c r="D4667" s="1"/>
  <c r="C4666"/>
  <c r="D4666" s="1"/>
  <c r="C4665"/>
  <c r="D4665" s="1"/>
  <c r="C4664"/>
  <c r="D4664" s="1"/>
  <c r="C4663"/>
  <c r="D4663" s="1"/>
  <c r="C4662"/>
  <c r="D4662" s="1"/>
  <c r="C4661"/>
  <c r="D4661" s="1"/>
  <c r="C4660"/>
  <c r="D4660" s="1"/>
  <c r="C4659"/>
  <c r="D4659" s="1"/>
  <c r="C4658"/>
  <c r="D4658" s="1"/>
  <c r="C4657"/>
  <c r="D4657" s="1"/>
  <c r="C4656"/>
  <c r="D4656" s="1"/>
  <c r="C4655"/>
  <c r="D4655" s="1"/>
  <c r="C4654"/>
  <c r="D4654" s="1"/>
  <c r="C4653"/>
  <c r="D4653" s="1"/>
  <c r="C4652"/>
  <c r="D4652" s="1"/>
  <c r="C4651"/>
  <c r="D4651" s="1"/>
  <c r="C4650"/>
  <c r="D4650" s="1"/>
  <c r="C4649"/>
  <c r="D4649" s="1"/>
  <c r="C4648"/>
  <c r="D4648" s="1"/>
  <c r="C4647"/>
  <c r="D4647" s="1"/>
  <c r="C4646"/>
  <c r="D4646" s="1"/>
  <c r="C4645"/>
  <c r="D4645" s="1"/>
  <c r="C4644"/>
  <c r="D4644" s="1"/>
  <c r="C4643"/>
  <c r="D4643" s="1"/>
  <c r="C4642"/>
  <c r="D4642" s="1"/>
  <c r="C4641"/>
  <c r="D4641" s="1"/>
  <c r="C4640"/>
  <c r="D4640" s="1"/>
  <c r="C4639"/>
  <c r="D4639" s="1"/>
  <c r="C4638"/>
  <c r="D4638" s="1"/>
  <c r="C4637"/>
  <c r="D4637" s="1"/>
  <c r="C4636"/>
  <c r="D4636" s="1"/>
  <c r="C4635"/>
  <c r="D4635" s="1"/>
  <c r="C4634"/>
  <c r="D4634" s="1"/>
  <c r="C4633"/>
  <c r="D4633" s="1"/>
  <c r="C4632"/>
  <c r="D4632" s="1"/>
  <c r="C4631"/>
  <c r="D4631" s="1"/>
  <c r="C4630"/>
  <c r="D4630" s="1"/>
  <c r="C4629"/>
  <c r="D4629" s="1"/>
  <c r="C4628"/>
  <c r="D4628" s="1"/>
  <c r="C4627"/>
  <c r="D4627" s="1"/>
  <c r="C4626"/>
  <c r="D4626" s="1"/>
  <c r="C4625"/>
  <c r="D4625" s="1"/>
  <c r="C4624"/>
  <c r="D4624" s="1"/>
  <c r="C4623"/>
  <c r="D4623" s="1"/>
  <c r="C4622"/>
  <c r="D4622" s="1"/>
  <c r="C4621"/>
  <c r="D4621" s="1"/>
  <c r="C4620"/>
  <c r="D4620" s="1"/>
  <c r="C4619"/>
  <c r="D4619" s="1"/>
  <c r="C4618"/>
  <c r="D4618" s="1"/>
  <c r="C4617"/>
  <c r="D4617" s="1"/>
  <c r="C4616"/>
  <c r="D4616" s="1"/>
  <c r="C4615"/>
  <c r="D4615" s="1"/>
  <c r="C4614"/>
  <c r="D4614" s="1"/>
  <c r="C4613"/>
  <c r="D4613" s="1"/>
  <c r="C4612"/>
  <c r="D4612" s="1"/>
  <c r="C4611"/>
  <c r="D4611" s="1"/>
  <c r="C4610"/>
  <c r="D4610" s="1"/>
  <c r="C4609"/>
  <c r="D4609" s="1"/>
  <c r="C4608"/>
  <c r="D4608" s="1"/>
  <c r="C4607"/>
  <c r="D4607" s="1"/>
  <c r="C4606"/>
  <c r="D4606" s="1"/>
  <c r="C4605"/>
  <c r="D4605" s="1"/>
  <c r="C4604"/>
  <c r="D4604" s="1"/>
  <c r="C4603"/>
  <c r="D4603" s="1"/>
  <c r="C4602"/>
  <c r="D4602" s="1"/>
  <c r="C4601"/>
  <c r="D4601" s="1"/>
  <c r="C4600"/>
  <c r="D4600" s="1"/>
  <c r="C4599"/>
  <c r="D4599" s="1"/>
  <c r="C4598"/>
  <c r="D4598" s="1"/>
  <c r="C4597"/>
  <c r="D4597" s="1"/>
  <c r="C4596"/>
  <c r="D4596" s="1"/>
  <c r="C4595"/>
  <c r="D4595" s="1"/>
  <c r="C4594"/>
  <c r="D4594" s="1"/>
  <c r="C4593"/>
  <c r="D4593" s="1"/>
  <c r="C4592"/>
  <c r="D4592" s="1"/>
  <c r="C4591"/>
  <c r="D4591" s="1"/>
  <c r="C4590"/>
  <c r="D4590" s="1"/>
  <c r="C4589"/>
  <c r="D4589" s="1"/>
  <c r="C4588"/>
  <c r="D4588" s="1"/>
  <c r="C4587"/>
  <c r="D4587" s="1"/>
  <c r="C4586"/>
  <c r="D4586" s="1"/>
  <c r="C4585"/>
  <c r="D4585" s="1"/>
  <c r="C4584"/>
  <c r="D4584" s="1"/>
  <c r="C4583"/>
  <c r="D4583" s="1"/>
  <c r="C4582"/>
  <c r="D4582" s="1"/>
  <c r="C4581"/>
  <c r="D4581" s="1"/>
  <c r="C4580"/>
  <c r="D4580" s="1"/>
  <c r="C4579"/>
  <c r="D4579" s="1"/>
  <c r="C4578"/>
  <c r="D4578" s="1"/>
  <c r="C4577"/>
  <c r="D4577" s="1"/>
  <c r="C4576"/>
  <c r="D4576" s="1"/>
  <c r="C4575"/>
  <c r="D4575" s="1"/>
  <c r="C4574"/>
  <c r="D4574" s="1"/>
  <c r="C4573"/>
  <c r="D4573" s="1"/>
  <c r="C4572"/>
  <c r="D4572" s="1"/>
  <c r="C4571"/>
  <c r="D4571" s="1"/>
  <c r="C4570"/>
  <c r="D4570" s="1"/>
  <c r="C4569"/>
  <c r="D4569" s="1"/>
  <c r="C4568"/>
  <c r="D4568" s="1"/>
  <c r="C4567"/>
  <c r="D4567" s="1"/>
  <c r="C4566"/>
  <c r="D4566" s="1"/>
  <c r="C4565"/>
  <c r="D4565" s="1"/>
  <c r="C4564"/>
  <c r="D4564" s="1"/>
  <c r="C4563"/>
  <c r="D4563" s="1"/>
  <c r="C4562"/>
  <c r="D4562" s="1"/>
  <c r="C4561"/>
  <c r="D4561" s="1"/>
  <c r="C4560"/>
  <c r="D4560" s="1"/>
  <c r="C4559"/>
  <c r="D4559" s="1"/>
  <c r="C4558"/>
  <c r="D4558" s="1"/>
  <c r="C4557"/>
  <c r="D4557" s="1"/>
  <c r="C4556"/>
  <c r="D4556" s="1"/>
  <c r="C4555"/>
  <c r="D4555" s="1"/>
  <c r="C4554"/>
  <c r="D4554" s="1"/>
  <c r="C4553"/>
  <c r="D4553" s="1"/>
  <c r="C4552"/>
  <c r="D4552" s="1"/>
  <c r="C4551"/>
  <c r="D4551" s="1"/>
  <c r="C4550"/>
  <c r="D4550" s="1"/>
  <c r="C4549"/>
  <c r="D4549" s="1"/>
  <c r="C4548"/>
  <c r="D4548" s="1"/>
  <c r="C4547"/>
  <c r="D4547" s="1"/>
  <c r="C4546"/>
  <c r="D4546" s="1"/>
  <c r="C4545"/>
  <c r="D4545" s="1"/>
  <c r="C4544"/>
  <c r="D4544" s="1"/>
  <c r="C4543"/>
  <c r="D4543" s="1"/>
  <c r="C4542"/>
  <c r="D4542" s="1"/>
  <c r="C4541"/>
  <c r="D4541" s="1"/>
  <c r="C4540"/>
  <c r="D4540" s="1"/>
  <c r="C4539"/>
  <c r="D4539" s="1"/>
  <c r="C4538"/>
  <c r="D4538" s="1"/>
  <c r="C4537"/>
  <c r="D4537" s="1"/>
  <c r="C4536"/>
  <c r="D4536" s="1"/>
  <c r="C4535"/>
  <c r="D4535" s="1"/>
  <c r="C4534"/>
  <c r="D4534" s="1"/>
  <c r="C4533"/>
  <c r="D4533" s="1"/>
  <c r="C4532"/>
  <c r="D4532" s="1"/>
  <c r="C4531"/>
  <c r="D4531" s="1"/>
  <c r="C4530"/>
  <c r="D4530" s="1"/>
  <c r="C4529"/>
  <c r="D4529" s="1"/>
  <c r="C4528"/>
  <c r="D4528" s="1"/>
  <c r="C4527"/>
  <c r="D4527" s="1"/>
  <c r="C4526"/>
  <c r="D4526" s="1"/>
  <c r="C4525"/>
  <c r="D4525" s="1"/>
  <c r="C4524"/>
  <c r="D4524" s="1"/>
  <c r="C4523"/>
  <c r="D4523" s="1"/>
  <c r="C4522"/>
  <c r="D4522" s="1"/>
  <c r="C4521"/>
  <c r="D4521" s="1"/>
  <c r="C4520"/>
  <c r="D4520" s="1"/>
  <c r="C4519"/>
  <c r="D4519" s="1"/>
  <c r="C4518"/>
  <c r="D4518" s="1"/>
  <c r="C4517"/>
  <c r="D4517" s="1"/>
  <c r="C4516"/>
  <c r="D4516" s="1"/>
  <c r="C4515"/>
  <c r="D4515" s="1"/>
  <c r="C4514"/>
  <c r="D4514" s="1"/>
  <c r="C4513"/>
  <c r="D4513" s="1"/>
  <c r="C4512"/>
  <c r="D4512" s="1"/>
  <c r="C4511"/>
  <c r="D4511" s="1"/>
  <c r="C4510"/>
  <c r="D4510" s="1"/>
  <c r="C4509"/>
  <c r="D4509" s="1"/>
  <c r="C4508"/>
  <c r="D4508" s="1"/>
  <c r="C4507"/>
  <c r="D4507" s="1"/>
  <c r="C4506"/>
  <c r="D4506" s="1"/>
  <c r="C4505"/>
  <c r="D4505" s="1"/>
  <c r="C4504"/>
  <c r="D4504" s="1"/>
  <c r="C4503"/>
  <c r="D4503" s="1"/>
  <c r="C4502"/>
  <c r="D4502" s="1"/>
  <c r="C4501"/>
  <c r="D4501" s="1"/>
  <c r="C4500"/>
  <c r="D4500" s="1"/>
  <c r="C4499"/>
  <c r="D4499" s="1"/>
  <c r="C4498"/>
  <c r="D4498" s="1"/>
  <c r="C4497"/>
  <c r="D4497" s="1"/>
  <c r="C4496"/>
  <c r="D4496" s="1"/>
  <c r="C4495"/>
  <c r="D4495" s="1"/>
  <c r="C4494"/>
  <c r="D4494" s="1"/>
  <c r="C4493"/>
  <c r="D4493" s="1"/>
  <c r="C4492"/>
  <c r="D4492" s="1"/>
  <c r="C4491"/>
  <c r="D4491" s="1"/>
  <c r="C4490"/>
  <c r="D4490" s="1"/>
  <c r="C4489"/>
  <c r="D4489" s="1"/>
  <c r="C4488"/>
  <c r="D4488" s="1"/>
  <c r="C4487"/>
  <c r="D4487" s="1"/>
  <c r="C4486"/>
  <c r="D4486" s="1"/>
  <c r="C4485"/>
  <c r="D4485" s="1"/>
  <c r="C4484"/>
  <c r="D4484" s="1"/>
  <c r="C4483"/>
  <c r="D4483" s="1"/>
  <c r="C4482"/>
  <c r="D4482" s="1"/>
  <c r="C4481"/>
  <c r="D4481" s="1"/>
  <c r="C4480"/>
  <c r="D4480" s="1"/>
  <c r="C4479"/>
  <c r="D4479" s="1"/>
  <c r="C4478"/>
  <c r="D4478" s="1"/>
  <c r="C4477"/>
  <c r="D4477" s="1"/>
  <c r="C4476"/>
  <c r="D4476" s="1"/>
  <c r="C4475"/>
  <c r="D4475" s="1"/>
  <c r="C4474"/>
  <c r="D4474" s="1"/>
  <c r="C4473"/>
  <c r="D4473" s="1"/>
  <c r="C4472"/>
  <c r="D4472" s="1"/>
  <c r="C4471"/>
  <c r="D4471" s="1"/>
  <c r="C4470"/>
  <c r="D4470" s="1"/>
  <c r="C4469"/>
  <c r="D4469" s="1"/>
  <c r="C4468"/>
  <c r="D4468" s="1"/>
  <c r="C4467"/>
  <c r="D4467" s="1"/>
  <c r="C4466"/>
  <c r="D4466" s="1"/>
  <c r="C4465"/>
  <c r="D4465" s="1"/>
  <c r="C4464"/>
  <c r="D4464" s="1"/>
  <c r="C4463"/>
  <c r="D4463" s="1"/>
  <c r="C4462"/>
  <c r="D4462" s="1"/>
  <c r="C4461"/>
  <c r="D4461" s="1"/>
  <c r="C4460"/>
  <c r="D4460" s="1"/>
  <c r="C4459"/>
  <c r="D4459" s="1"/>
  <c r="C4458"/>
  <c r="D4458" s="1"/>
  <c r="C4457"/>
  <c r="D4457" s="1"/>
  <c r="C4456"/>
  <c r="D4456" s="1"/>
  <c r="C4455"/>
  <c r="D4455" s="1"/>
  <c r="C4454"/>
  <c r="D4454" s="1"/>
  <c r="C4453"/>
  <c r="D4453" s="1"/>
  <c r="C4452"/>
  <c r="D4452" s="1"/>
  <c r="C4451"/>
  <c r="D4451" s="1"/>
  <c r="C4450"/>
  <c r="D4450" s="1"/>
  <c r="C4449"/>
  <c r="D4449" s="1"/>
  <c r="C4448"/>
  <c r="D4448" s="1"/>
  <c r="C4447"/>
  <c r="D4447" s="1"/>
  <c r="C4446"/>
  <c r="D4446" s="1"/>
  <c r="C4445"/>
  <c r="D4445" s="1"/>
  <c r="C4444"/>
  <c r="D4444" s="1"/>
  <c r="C4443"/>
  <c r="D4443" s="1"/>
  <c r="C4442"/>
  <c r="D4442" s="1"/>
  <c r="C4441"/>
  <c r="D4441" s="1"/>
  <c r="C4440"/>
  <c r="D4440" s="1"/>
  <c r="C4439"/>
  <c r="D4439" s="1"/>
  <c r="C4438"/>
  <c r="D4438" s="1"/>
  <c r="C4437"/>
  <c r="D4437" s="1"/>
  <c r="C4436"/>
  <c r="D4436" s="1"/>
  <c r="C4435"/>
  <c r="D4435" s="1"/>
  <c r="C4434"/>
  <c r="D4434" s="1"/>
  <c r="C4433"/>
  <c r="D4433" s="1"/>
  <c r="C4432"/>
  <c r="D4432" s="1"/>
  <c r="C4431"/>
  <c r="D4431" s="1"/>
  <c r="C4430"/>
  <c r="D4430" s="1"/>
  <c r="C4429"/>
  <c r="D4429" s="1"/>
  <c r="C4428"/>
  <c r="D4428" s="1"/>
  <c r="C4427"/>
  <c r="D4427" s="1"/>
  <c r="C4426"/>
  <c r="D4426" s="1"/>
  <c r="C4425"/>
  <c r="D4425" s="1"/>
  <c r="C4424"/>
  <c r="D4424" s="1"/>
  <c r="C4423"/>
  <c r="D4423" s="1"/>
  <c r="C4422"/>
  <c r="D4422" s="1"/>
  <c r="C4421"/>
  <c r="D4421" s="1"/>
  <c r="C4420"/>
  <c r="D4420" s="1"/>
  <c r="C4419"/>
  <c r="D4419" s="1"/>
  <c r="C4418"/>
  <c r="D4418" s="1"/>
  <c r="C4417"/>
  <c r="D4417" s="1"/>
  <c r="C4416"/>
  <c r="D4416" s="1"/>
  <c r="C4415"/>
  <c r="D4415" s="1"/>
  <c r="C4414"/>
  <c r="D4414" s="1"/>
  <c r="C4413"/>
  <c r="D4413" s="1"/>
  <c r="C4412"/>
  <c r="D4412" s="1"/>
  <c r="C4411"/>
  <c r="D4411" s="1"/>
  <c r="C4410"/>
  <c r="D4410" s="1"/>
  <c r="C4409"/>
  <c r="D4409" s="1"/>
  <c r="C4408"/>
  <c r="D4408" s="1"/>
  <c r="C4407"/>
  <c r="D4407" s="1"/>
  <c r="C4406"/>
  <c r="D4406" s="1"/>
  <c r="C4405"/>
  <c r="D4405" s="1"/>
  <c r="C4404"/>
  <c r="D4404" s="1"/>
  <c r="C4403"/>
  <c r="D4403" s="1"/>
  <c r="C4402"/>
  <c r="D4402" s="1"/>
  <c r="C4401"/>
  <c r="D4401" s="1"/>
  <c r="C4400"/>
  <c r="D4400" s="1"/>
  <c r="C4399"/>
  <c r="D4399" s="1"/>
  <c r="C4398"/>
  <c r="D4398" s="1"/>
  <c r="C4397"/>
  <c r="D4397" s="1"/>
  <c r="C4396"/>
  <c r="D4396" s="1"/>
  <c r="C4395"/>
  <c r="D4395" s="1"/>
  <c r="C4394"/>
  <c r="D4394" s="1"/>
  <c r="C4393"/>
  <c r="D4393" s="1"/>
  <c r="C4392"/>
  <c r="D4392" s="1"/>
  <c r="C4391"/>
  <c r="D4391" s="1"/>
  <c r="C4390"/>
  <c r="D4390" s="1"/>
  <c r="C4389"/>
  <c r="D4389" s="1"/>
  <c r="C4388"/>
  <c r="D4388" s="1"/>
  <c r="C4387"/>
  <c r="D4387" s="1"/>
  <c r="C4386"/>
  <c r="D4386" s="1"/>
  <c r="C4385"/>
  <c r="D4385" s="1"/>
  <c r="C4384"/>
  <c r="D4384" s="1"/>
  <c r="C4383"/>
  <c r="D4383" s="1"/>
  <c r="C4382"/>
  <c r="D4382" s="1"/>
  <c r="C4381"/>
  <c r="D4381" s="1"/>
  <c r="C4380"/>
  <c r="D4380" s="1"/>
  <c r="C4379"/>
  <c r="D4379" s="1"/>
  <c r="C4378"/>
  <c r="D4378" s="1"/>
  <c r="C4377"/>
  <c r="D4377" s="1"/>
  <c r="C4376"/>
  <c r="D4376" s="1"/>
  <c r="C4375"/>
  <c r="D4375" s="1"/>
  <c r="C4374"/>
  <c r="D4374" s="1"/>
  <c r="C4373"/>
  <c r="D4373" s="1"/>
  <c r="C4372"/>
  <c r="D4372" s="1"/>
  <c r="C4371"/>
  <c r="D4371" s="1"/>
  <c r="C4370"/>
  <c r="D4370" s="1"/>
  <c r="C4369"/>
  <c r="D4369" s="1"/>
  <c r="C4368"/>
  <c r="D4368" s="1"/>
  <c r="C4367"/>
  <c r="D4367" s="1"/>
  <c r="C4366"/>
  <c r="D4366" s="1"/>
  <c r="C4365"/>
  <c r="D4365" s="1"/>
  <c r="C4364"/>
  <c r="D4364" s="1"/>
  <c r="C4363"/>
  <c r="D4363" s="1"/>
  <c r="C4362"/>
  <c r="D4362" s="1"/>
  <c r="C4361"/>
  <c r="D4361" s="1"/>
  <c r="C4360"/>
  <c r="D4360" s="1"/>
  <c r="C4359"/>
  <c r="D4359" s="1"/>
  <c r="C4358"/>
  <c r="D4358" s="1"/>
  <c r="C4357"/>
  <c r="D4357" s="1"/>
  <c r="C4356"/>
  <c r="D4356" s="1"/>
  <c r="C4355"/>
  <c r="D4355" s="1"/>
  <c r="C4354"/>
  <c r="D4354" s="1"/>
  <c r="C4353"/>
  <c r="D4353" s="1"/>
  <c r="C4352"/>
  <c r="D4352" s="1"/>
  <c r="C4351"/>
  <c r="D4351" s="1"/>
  <c r="C4350"/>
  <c r="D4350" s="1"/>
  <c r="C4349"/>
  <c r="D4349" s="1"/>
  <c r="C4348"/>
  <c r="D4348" s="1"/>
  <c r="C4347"/>
  <c r="D4347" s="1"/>
  <c r="C4346"/>
  <c r="D4346" s="1"/>
  <c r="C4345"/>
  <c r="D4345" s="1"/>
  <c r="C4344"/>
  <c r="D4344" s="1"/>
  <c r="C4343"/>
  <c r="D4343" s="1"/>
  <c r="C4342"/>
  <c r="D4342" s="1"/>
  <c r="C4341"/>
  <c r="D4341" s="1"/>
  <c r="C4340"/>
  <c r="D4340" s="1"/>
  <c r="C4339"/>
  <c r="D4339" s="1"/>
  <c r="C4338"/>
  <c r="D4338" s="1"/>
  <c r="C4337"/>
  <c r="D4337" s="1"/>
  <c r="C4336"/>
  <c r="D4336" s="1"/>
  <c r="C4335"/>
  <c r="D4335" s="1"/>
  <c r="C4334"/>
  <c r="D4334" s="1"/>
  <c r="C4333"/>
  <c r="D4333" s="1"/>
  <c r="C4332"/>
  <c r="D4332" s="1"/>
  <c r="C4331"/>
  <c r="D4331" s="1"/>
  <c r="C4330"/>
  <c r="D4330" s="1"/>
  <c r="C4329"/>
  <c r="D4329" s="1"/>
  <c r="C4328"/>
  <c r="D4328" s="1"/>
  <c r="C4327"/>
  <c r="D4327" s="1"/>
  <c r="C4326"/>
  <c r="D4326" s="1"/>
  <c r="C4325"/>
  <c r="D4325" s="1"/>
  <c r="C4324"/>
  <c r="D4324" s="1"/>
  <c r="C4323"/>
  <c r="D4323" s="1"/>
  <c r="C4322"/>
  <c r="D4322" s="1"/>
  <c r="C4321"/>
  <c r="D4321" s="1"/>
  <c r="C4320"/>
  <c r="D4320" s="1"/>
  <c r="C4319"/>
  <c r="D4319" s="1"/>
  <c r="C4318"/>
  <c r="D4318" s="1"/>
  <c r="C4317"/>
  <c r="D4317" s="1"/>
  <c r="C4316"/>
  <c r="D4316" s="1"/>
  <c r="C4315"/>
  <c r="D4315" s="1"/>
  <c r="C4314"/>
  <c r="D4314" s="1"/>
  <c r="C4313"/>
  <c r="D4313" s="1"/>
  <c r="C4312"/>
  <c r="D4312" s="1"/>
  <c r="C4311"/>
  <c r="D4311" s="1"/>
  <c r="C4310"/>
  <c r="D4310" s="1"/>
  <c r="C4309"/>
  <c r="D4309" s="1"/>
  <c r="C4308"/>
  <c r="D4308" s="1"/>
  <c r="C4307"/>
  <c r="D4307" s="1"/>
  <c r="C4306"/>
  <c r="D4306" s="1"/>
  <c r="C4305"/>
  <c r="D4305" s="1"/>
  <c r="C4304"/>
  <c r="D4304" s="1"/>
  <c r="C4303"/>
  <c r="D4303" s="1"/>
  <c r="C4302"/>
  <c r="D4302" s="1"/>
  <c r="C4301"/>
  <c r="D4301" s="1"/>
  <c r="C4300"/>
  <c r="D4300" s="1"/>
  <c r="C4299"/>
  <c r="D4299" s="1"/>
  <c r="C4298"/>
  <c r="D4298" s="1"/>
  <c r="C4297"/>
  <c r="D4297" s="1"/>
  <c r="C4296"/>
  <c r="D4296" s="1"/>
  <c r="C4295"/>
  <c r="D4295" s="1"/>
  <c r="C4294"/>
  <c r="D4294" s="1"/>
  <c r="C4293"/>
  <c r="D4293" s="1"/>
  <c r="C4292"/>
  <c r="D4292" s="1"/>
  <c r="C4291"/>
  <c r="D4291" s="1"/>
  <c r="C4290"/>
  <c r="D4290" s="1"/>
  <c r="C4289"/>
  <c r="D4289" s="1"/>
  <c r="C4288"/>
  <c r="D4288" s="1"/>
  <c r="C4287"/>
  <c r="D4287" s="1"/>
  <c r="C4286"/>
  <c r="D4286" s="1"/>
  <c r="C4285"/>
  <c r="D4285" s="1"/>
  <c r="C4284"/>
  <c r="D4284" s="1"/>
  <c r="C4283"/>
  <c r="D4283" s="1"/>
  <c r="C4282"/>
  <c r="D4282" s="1"/>
  <c r="C4281"/>
  <c r="D4281" s="1"/>
  <c r="C4280"/>
  <c r="D4280" s="1"/>
  <c r="C4279"/>
  <c r="D4279" s="1"/>
  <c r="C4278"/>
  <c r="D4278" s="1"/>
  <c r="C4277"/>
  <c r="D4277" s="1"/>
  <c r="C4276"/>
  <c r="D4276" s="1"/>
  <c r="C4275"/>
  <c r="D4275" s="1"/>
  <c r="C4274"/>
  <c r="D4274" s="1"/>
  <c r="C4273"/>
  <c r="D4273" s="1"/>
  <c r="C4272"/>
  <c r="D4272" s="1"/>
  <c r="C4271"/>
  <c r="D4271" s="1"/>
  <c r="C4270"/>
  <c r="D4270" s="1"/>
  <c r="C4269"/>
  <c r="D4269" s="1"/>
  <c r="C4268"/>
  <c r="D4268" s="1"/>
  <c r="C4267"/>
  <c r="D4267" s="1"/>
  <c r="C4266"/>
  <c r="D4266" s="1"/>
  <c r="C4265"/>
  <c r="D4265" s="1"/>
  <c r="C4264"/>
  <c r="D4264" s="1"/>
  <c r="C4263"/>
  <c r="D4263" s="1"/>
  <c r="C4262"/>
  <c r="D4262" s="1"/>
  <c r="C4261"/>
  <c r="D4261" s="1"/>
  <c r="C4260"/>
  <c r="D4260" s="1"/>
  <c r="C4259"/>
  <c r="D4259" s="1"/>
  <c r="C4258"/>
  <c r="D4258" s="1"/>
  <c r="C4257"/>
  <c r="D4257" s="1"/>
  <c r="C4256"/>
  <c r="D4256" s="1"/>
  <c r="C4255"/>
  <c r="D4255" s="1"/>
  <c r="C4254"/>
  <c r="D4254" s="1"/>
  <c r="C4253"/>
  <c r="D4253" s="1"/>
  <c r="C4252"/>
  <c r="D4252" s="1"/>
  <c r="C4251"/>
  <c r="D4251" s="1"/>
  <c r="C4250"/>
  <c r="D4250" s="1"/>
  <c r="C4249"/>
  <c r="D4249" s="1"/>
  <c r="C4248"/>
  <c r="D4248" s="1"/>
  <c r="C4247"/>
  <c r="D4247" s="1"/>
  <c r="C4246"/>
  <c r="D4246" s="1"/>
  <c r="C4245"/>
  <c r="D4245" s="1"/>
  <c r="C4244"/>
  <c r="D4244" s="1"/>
  <c r="C4243"/>
  <c r="D4243" s="1"/>
  <c r="C4242"/>
  <c r="D4242" s="1"/>
  <c r="C4241"/>
  <c r="D4241" s="1"/>
  <c r="C4240"/>
  <c r="D4240" s="1"/>
  <c r="C4239"/>
  <c r="D4239" s="1"/>
  <c r="C4238"/>
  <c r="D4238" s="1"/>
  <c r="C4237"/>
  <c r="D4237" s="1"/>
  <c r="C4236"/>
  <c r="D4236" s="1"/>
  <c r="C4235"/>
  <c r="D4235" s="1"/>
  <c r="C4234"/>
  <c r="D4234" s="1"/>
  <c r="C4233"/>
  <c r="D4233" s="1"/>
  <c r="C4232"/>
  <c r="D4232" s="1"/>
  <c r="C4231"/>
  <c r="D4231" s="1"/>
  <c r="C4230"/>
  <c r="D4230" s="1"/>
  <c r="C4229"/>
  <c r="D4229" s="1"/>
  <c r="C4228"/>
  <c r="D4228" s="1"/>
  <c r="C4227"/>
  <c r="D4227" s="1"/>
  <c r="C4226"/>
  <c r="D4226" s="1"/>
  <c r="C4225"/>
  <c r="D4225" s="1"/>
  <c r="C4224"/>
  <c r="D4224" s="1"/>
  <c r="C4223"/>
  <c r="D4223" s="1"/>
  <c r="C4222"/>
  <c r="D4222" s="1"/>
  <c r="C4221"/>
  <c r="D4221" s="1"/>
  <c r="C4220"/>
  <c r="D4220" s="1"/>
  <c r="C4219"/>
  <c r="D4219" s="1"/>
  <c r="C4218"/>
  <c r="D4218" s="1"/>
  <c r="C4217"/>
  <c r="D4217" s="1"/>
  <c r="C4216"/>
  <c r="D4216" s="1"/>
  <c r="C4215"/>
  <c r="D4215" s="1"/>
  <c r="C4214"/>
  <c r="D4214" s="1"/>
  <c r="C4213"/>
  <c r="D4213" s="1"/>
  <c r="C4212"/>
  <c r="D4212" s="1"/>
  <c r="C4211"/>
  <c r="D4211" s="1"/>
  <c r="C4210"/>
  <c r="D4210" s="1"/>
  <c r="C4209"/>
  <c r="D4209" s="1"/>
  <c r="C4208"/>
  <c r="D4208" s="1"/>
  <c r="C4207"/>
  <c r="D4207" s="1"/>
  <c r="C4206"/>
  <c r="D4206" s="1"/>
  <c r="C4205"/>
  <c r="D4205" s="1"/>
  <c r="C4204"/>
  <c r="D4204" s="1"/>
  <c r="C4203"/>
  <c r="D4203" s="1"/>
  <c r="C4202"/>
  <c r="D4202" s="1"/>
  <c r="C4201"/>
  <c r="D4201" s="1"/>
  <c r="C4200"/>
  <c r="D4200" s="1"/>
  <c r="C4199"/>
  <c r="D4199" s="1"/>
  <c r="C4198"/>
  <c r="D4198" s="1"/>
  <c r="C4197"/>
  <c r="D4197" s="1"/>
  <c r="C4196"/>
  <c r="D4196" s="1"/>
  <c r="C4195"/>
  <c r="D4195" s="1"/>
  <c r="C4194"/>
  <c r="D4194" s="1"/>
  <c r="C4193"/>
  <c r="D4193" s="1"/>
  <c r="C4192"/>
  <c r="D4192" s="1"/>
  <c r="C4191"/>
  <c r="D4191" s="1"/>
  <c r="C4190"/>
  <c r="D4190" s="1"/>
  <c r="C4189"/>
  <c r="D4189" s="1"/>
  <c r="C4188"/>
  <c r="D4188" s="1"/>
  <c r="C4187"/>
  <c r="D4187" s="1"/>
  <c r="C4186"/>
  <c r="D4186" s="1"/>
  <c r="C4185"/>
  <c r="D4185" s="1"/>
  <c r="C4184"/>
  <c r="D4184" s="1"/>
  <c r="C4183"/>
  <c r="D4183" s="1"/>
  <c r="C4182"/>
  <c r="D4182" s="1"/>
  <c r="C4181"/>
  <c r="D4181" s="1"/>
  <c r="C4180"/>
  <c r="D4180" s="1"/>
  <c r="C4179"/>
  <c r="D4179" s="1"/>
  <c r="C4178"/>
  <c r="D4178" s="1"/>
  <c r="C4177"/>
  <c r="D4177" s="1"/>
  <c r="C4176"/>
  <c r="D4176" s="1"/>
  <c r="C4175"/>
  <c r="D4175" s="1"/>
  <c r="C4174"/>
  <c r="D4174" s="1"/>
  <c r="C4173"/>
  <c r="D4173" s="1"/>
  <c r="C4172"/>
  <c r="D4172" s="1"/>
  <c r="C4171"/>
  <c r="D4171" s="1"/>
  <c r="C4170"/>
  <c r="D4170" s="1"/>
  <c r="C4169"/>
  <c r="D4169" s="1"/>
  <c r="C4168"/>
  <c r="D4168" s="1"/>
  <c r="C4167"/>
  <c r="D4167" s="1"/>
  <c r="C4166"/>
  <c r="D4166" s="1"/>
  <c r="C4165"/>
  <c r="D4165" s="1"/>
  <c r="C4164"/>
  <c r="D4164" s="1"/>
  <c r="C4163"/>
  <c r="D4163" s="1"/>
  <c r="C4162"/>
  <c r="D4162" s="1"/>
  <c r="C4161"/>
  <c r="D4161" s="1"/>
  <c r="C4160"/>
  <c r="D4160" s="1"/>
  <c r="C4159"/>
  <c r="D4159" s="1"/>
  <c r="C4158"/>
  <c r="D4158" s="1"/>
  <c r="C4157"/>
  <c r="D4157" s="1"/>
  <c r="C4156"/>
  <c r="D4156" s="1"/>
  <c r="C4155"/>
  <c r="D4155" s="1"/>
  <c r="C4154"/>
  <c r="D4154" s="1"/>
  <c r="C4153"/>
  <c r="D4153" s="1"/>
  <c r="C4152"/>
  <c r="D4152" s="1"/>
  <c r="C4151"/>
  <c r="D4151" s="1"/>
  <c r="C4150"/>
  <c r="D4150" s="1"/>
  <c r="C4149"/>
  <c r="D4149" s="1"/>
  <c r="C4148"/>
  <c r="D4148" s="1"/>
  <c r="C4147"/>
  <c r="D4147" s="1"/>
  <c r="C4146"/>
  <c r="D4146" s="1"/>
  <c r="C4145"/>
  <c r="D4145" s="1"/>
  <c r="C4144"/>
  <c r="D4144" s="1"/>
  <c r="C4143"/>
  <c r="D4143" s="1"/>
  <c r="C4142"/>
  <c r="D4142" s="1"/>
  <c r="C4141"/>
  <c r="D4141" s="1"/>
  <c r="C4140"/>
  <c r="D4140" s="1"/>
  <c r="C4139"/>
  <c r="D4139" s="1"/>
  <c r="C4138"/>
  <c r="D4138" s="1"/>
  <c r="C4137"/>
  <c r="D4137" s="1"/>
  <c r="C4136"/>
  <c r="D4136" s="1"/>
  <c r="C4135"/>
  <c r="D4135" s="1"/>
  <c r="C4134"/>
  <c r="D4134" s="1"/>
  <c r="C4133"/>
  <c r="D4133" s="1"/>
  <c r="C4132"/>
  <c r="D4132" s="1"/>
  <c r="C4131"/>
  <c r="D4131" s="1"/>
  <c r="C4130"/>
  <c r="D4130" s="1"/>
  <c r="C4129"/>
  <c r="D4129" s="1"/>
  <c r="C4128"/>
  <c r="D4128" s="1"/>
  <c r="C4127"/>
  <c r="D4127" s="1"/>
  <c r="C4126"/>
  <c r="D4126" s="1"/>
  <c r="C4125"/>
  <c r="D4125" s="1"/>
  <c r="C4124"/>
  <c r="D4124" s="1"/>
  <c r="C4123"/>
  <c r="D4123" s="1"/>
  <c r="C4122"/>
  <c r="D4122" s="1"/>
  <c r="C4121"/>
  <c r="D4121" s="1"/>
  <c r="C4120"/>
  <c r="D4120" s="1"/>
  <c r="C4119"/>
  <c r="D4119" s="1"/>
  <c r="C4118"/>
  <c r="D4118" s="1"/>
  <c r="C4117"/>
  <c r="D4117" s="1"/>
  <c r="C4116"/>
  <c r="D4116" s="1"/>
  <c r="C4115"/>
  <c r="D4115" s="1"/>
  <c r="C4114"/>
  <c r="D4114" s="1"/>
  <c r="C4113"/>
  <c r="D4113" s="1"/>
  <c r="C4112"/>
  <c r="D4112" s="1"/>
  <c r="C4111"/>
  <c r="D4111" s="1"/>
  <c r="C4110"/>
  <c r="D4110" s="1"/>
  <c r="C4109"/>
  <c r="D4109" s="1"/>
  <c r="C4108"/>
  <c r="D4108" s="1"/>
  <c r="C4107"/>
  <c r="D4107" s="1"/>
  <c r="C4106"/>
  <c r="D4106" s="1"/>
  <c r="C4105"/>
  <c r="D4105" s="1"/>
  <c r="C4104"/>
  <c r="D4104" s="1"/>
  <c r="C4103"/>
  <c r="D4103" s="1"/>
  <c r="C4102"/>
  <c r="D4102" s="1"/>
  <c r="C4101"/>
  <c r="D4101" s="1"/>
  <c r="C4100"/>
  <c r="D4100" s="1"/>
  <c r="C4099"/>
  <c r="D4099" s="1"/>
  <c r="C4098"/>
  <c r="D4098" s="1"/>
  <c r="C4097"/>
  <c r="D4097" s="1"/>
  <c r="C4096"/>
  <c r="D4096" s="1"/>
  <c r="C4095"/>
  <c r="D4095" s="1"/>
  <c r="C4094"/>
  <c r="D4094" s="1"/>
  <c r="C4093"/>
  <c r="D4093" s="1"/>
  <c r="C4092"/>
  <c r="D4092" s="1"/>
  <c r="C4091"/>
  <c r="D4091" s="1"/>
  <c r="C4090"/>
  <c r="D4090" s="1"/>
  <c r="C4089"/>
  <c r="D4089" s="1"/>
  <c r="C4088"/>
  <c r="D4088" s="1"/>
  <c r="C4087"/>
  <c r="D4087" s="1"/>
  <c r="C4086"/>
  <c r="D4086" s="1"/>
  <c r="C4085"/>
  <c r="D4085" s="1"/>
  <c r="C4084"/>
  <c r="D4084" s="1"/>
  <c r="C4083"/>
  <c r="D4083" s="1"/>
  <c r="C4082"/>
  <c r="D4082" s="1"/>
  <c r="C4081"/>
  <c r="D4081" s="1"/>
  <c r="C4080"/>
  <c r="D4080" s="1"/>
  <c r="C4079"/>
  <c r="D4079" s="1"/>
  <c r="C4078"/>
  <c r="D4078" s="1"/>
  <c r="C4077"/>
  <c r="D4077" s="1"/>
  <c r="C4076"/>
  <c r="D4076" s="1"/>
  <c r="C4075"/>
  <c r="D4075" s="1"/>
  <c r="C4074"/>
  <c r="D4074" s="1"/>
  <c r="C4073"/>
  <c r="D4073" s="1"/>
  <c r="C4072"/>
  <c r="D4072" s="1"/>
  <c r="C4071"/>
  <c r="D4071" s="1"/>
  <c r="C4070"/>
  <c r="D4070" s="1"/>
  <c r="C4069"/>
  <c r="D4069" s="1"/>
  <c r="C4068"/>
  <c r="D4068" s="1"/>
  <c r="C4067"/>
  <c r="D4067" s="1"/>
  <c r="C4066"/>
  <c r="D4066" s="1"/>
  <c r="C4065"/>
  <c r="D4065" s="1"/>
  <c r="C4064"/>
  <c r="D4064" s="1"/>
  <c r="C4063"/>
  <c r="D4063" s="1"/>
  <c r="C4062"/>
  <c r="D4062" s="1"/>
  <c r="C4061"/>
  <c r="D4061" s="1"/>
  <c r="C4060"/>
  <c r="D4060" s="1"/>
  <c r="C4059"/>
  <c r="D4059" s="1"/>
  <c r="C4058"/>
  <c r="D4058" s="1"/>
  <c r="C4057"/>
  <c r="D4057" s="1"/>
  <c r="C4056"/>
  <c r="D4056" s="1"/>
  <c r="C4055"/>
  <c r="D4055" s="1"/>
  <c r="C4054"/>
  <c r="D4054" s="1"/>
  <c r="C4053"/>
  <c r="D4053" s="1"/>
  <c r="C4052"/>
  <c r="D4052" s="1"/>
  <c r="C4051"/>
  <c r="D4051" s="1"/>
  <c r="C4050"/>
  <c r="D4050" s="1"/>
  <c r="C4049"/>
  <c r="D4049" s="1"/>
  <c r="C4048"/>
  <c r="D4048" s="1"/>
  <c r="C4047"/>
  <c r="D4047" s="1"/>
  <c r="C4046"/>
  <c r="D4046" s="1"/>
  <c r="C4045"/>
  <c r="D4045" s="1"/>
  <c r="C4044"/>
  <c r="D4044" s="1"/>
  <c r="C4043"/>
  <c r="D4043" s="1"/>
  <c r="C4042"/>
  <c r="D4042" s="1"/>
  <c r="C4041"/>
  <c r="D4041" s="1"/>
  <c r="C4040"/>
  <c r="D4040" s="1"/>
  <c r="C4039"/>
  <c r="D4039" s="1"/>
  <c r="C4038"/>
  <c r="D4038" s="1"/>
  <c r="C4037"/>
  <c r="D4037" s="1"/>
  <c r="C4036"/>
  <c r="D4036" s="1"/>
  <c r="C4035"/>
  <c r="D4035" s="1"/>
  <c r="C4034"/>
  <c r="D4034" s="1"/>
  <c r="C4033"/>
  <c r="D4033" s="1"/>
  <c r="C4032"/>
  <c r="D4032" s="1"/>
  <c r="C4031"/>
  <c r="D4031" s="1"/>
  <c r="C4030"/>
  <c r="D4030" s="1"/>
  <c r="C4029"/>
  <c r="D4029" s="1"/>
  <c r="C4028"/>
  <c r="D4028" s="1"/>
  <c r="C4027"/>
  <c r="D4027" s="1"/>
  <c r="C4026"/>
  <c r="D4026" s="1"/>
  <c r="C4025"/>
  <c r="D4025" s="1"/>
  <c r="C4024"/>
  <c r="D4024" s="1"/>
  <c r="C4023"/>
  <c r="D4023" s="1"/>
  <c r="C4022"/>
  <c r="D4022" s="1"/>
  <c r="C4021"/>
  <c r="D4021" s="1"/>
  <c r="C4020"/>
  <c r="D4020" s="1"/>
  <c r="C4019"/>
  <c r="D4019" s="1"/>
  <c r="C4018"/>
  <c r="D4018" s="1"/>
  <c r="C4017"/>
  <c r="D4017" s="1"/>
  <c r="C4016"/>
  <c r="D4016" s="1"/>
  <c r="C4015"/>
  <c r="D4015" s="1"/>
  <c r="C4014"/>
  <c r="D4014" s="1"/>
  <c r="C4013"/>
  <c r="D4013" s="1"/>
  <c r="C4012"/>
  <c r="D4012" s="1"/>
  <c r="C4011"/>
  <c r="D4011" s="1"/>
  <c r="C4010"/>
  <c r="D4010" s="1"/>
  <c r="C4009"/>
  <c r="D4009" s="1"/>
  <c r="C4008"/>
  <c r="D4008" s="1"/>
  <c r="C4007"/>
  <c r="D4007" s="1"/>
  <c r="C4006"/>
  <c r="D4006" s="1"/>
  <c r="C4005"/>
  <c r="D4005" s="1"/>
  <c r="C4004"/>
  <c r="D4004" s="1"/>
  <c r="C4003"/>
  <c r="D4003" s="1"/>
  <c r="C4002"/>
  <c r="D4002" s="1"/>
  <c r="C4001"/>
  <c r="D4001" s="1"/>
  <c r="C4000"/>
  <c r="D4000" s="1"/>
  <c r="C3999"/>
  <c r="D3999" s="1"/>
  <c r="C3998"/>
  <c r="D3998" s="1"/>
  <c r="C3997"/>
  <c r="D3997" s="1"/>
  <c r="C3996"/>
  <c r="D3996" s="1"/>
  <c r="C3995"/>
  <c r="D3995" s="1"/>
  <c r="C3994"/>
  <c r="D3994" s="1"/>
  <c r="C3993"/>
  <c r="D3993" s="1"/>
  <c r="C3992"/>
  <c r="D3992" s="1"/>
  <c r="C3991"/>
  <c r="D3991" s="1"/>
  <c r="C3990"/>
  <c r="D3990" s="1"/>
  <c r="C3989"/>
  <c r="D3989" s="1"/>
  <c r="C3988"/>
  <c r="D3988" s="1"/>
  <c r="C3987"/>
  <c r="D3987" s="1"/>
  <c r="C3986"/>
  <c r="D3986" s="1"/>
  <c r="C3985"/>
  <c r="D3985" s="1"/>
  <c r="C3984"/>
  <c r="D3984" s="1"/>
  <c r="C3983"/>
  <c r="D3983" s="1"/>
  <c r="C3982"/>
  <c r="D3982" s="1"/>
  <c r="C3981"/>
  <c r="D3981" s="1"/>
  <c r="C3980"/>
  <c r="D3980" s="1"/>
  <c r="C3979"/>
  <c r="D3979" s="1"/>
  <c r="C3978"/>
  <c r="D3978" s="1"/>
  <c r="C3977"/>
  <c r="D3977" s="1"/>
  <c r="C3976"/>
  <c r="D3976" s="1"/>
  <c r="C3975"/>
  <c r="D3975" s="1"/>
  <c r="C3974"/>
  <c r="D3974" s="1"/>
  <c r="C3973"/>
  <c r="D3973" s="1"/>
  <c r="C3972"/>
  <c r="D3972" s="1"/>
  <c r="C3971"/>
  <c r="D3971" s="1"/>
  <c r="C3970"/>
  <c r="D3970" s="1"/>
  <c r="C3969"/>
  <c r="D3969" s="1"/>
  <c r="C3968"/>
  <c r="D3968" s="1"/>
  <c r="C3967"/>
  <c r="D3967" s="1"/>
  <c r="C3966"/>
  <c r="D3966" s="1"/>
  <c r="C3965"/>
  <c r="D3965" s="1"/>
  <c r="C3964"/>
  <c r="D3964" s="1"/>
  <c r="C3963"/>
  <c r="D3963" s="1"/>
  <c r="C3962"/>
  <c r="D3962" s="1"/>
  <c r="C3961"/>
  <c r="D3961" s="1"/>
  <c r="C3960"/>
  <c r="D3960" s="1"/>
  <c r="C3959"/>
  <c r="D3959" s="1"/>
  <c r="C3958"/>
  <c r="D3958" s="1"/>
  <c r="C3957"/>
  <c r="D3957" s="1"/>
  <c r="C3956"/>
  <c r="D3956" s="1"/>
  <c r="C3955"/>
  <c r="D3955" s="1"/>
  <c r="C3954"/>
  <c r="D3954" s="1"/>
  <c r="C3953"/>
  <c r="D3953" s="1"/>
  <c r="C3952"/>
  <c r="D3952" s="1"/>
  <c r="C3951"/>
  <c r="D3951" s="1"/>
  <c r="C3950"/>
  <c r="D3950" s="1"/>
  <c r="C3949"/>
  <c r="D3949" s="1"/>
  <c r="C3948"/>
  <c r="D3948" s="1"/>
  <c r="C3947"/>
  <c r="D3947" s="1"/>
  <c r="C3946"/>
  <c r="D3946" s="1"/>
  <c r="C3945"/>
  <c r="D3945" s="1"/>
  <c r="C3944"/>
  <c r="D3944" s="1"/>
  <c r="C3943"/>
  <c r="D3943" s="1"/>
  <c r="C3942"/>
  <c r="D3942" s="1"/>
  <c r="C3941"/>
  <c r="D3941" s="1"/>
  <c r="C3940"/>
  <c r="D3940" s="1"/>
  <c r="C3939"/>
  <c r="D3939" s="1"/>
  <c r="C3938"/>
  <c r="D3938" s="1"/>
  <c r="C3937"/>
  <c r="D3937" s="1"/>
  <c r="C3936"/>
  <c r="D3936" s="1"/>
  <c r="C3935"/>
  <c r="D3935" s="1"/>
  <c r="C3934"/>
  <c r="D3934" s="1"/>
  <c r="C3933"/>
  <c r="D3933" s="1"/>
  <c r="C3932"/>
  <c r="D3932" s="1"/>
  <c r="C3931"/>
  <c r="D3931" s="1"/>
  <c r="C3930"/>
  <c r="D3930" s="1"/>
  <c r="C3929"/>
  <c r="D3929" s="1"/>
  <c r="C3928"/>
  <c r="D3928" s="1"/>
  <c r="C3927"/>
  <c r="D3927" s="1"/>
  <c r="C3926"/>
  <c r="D3926" s="1"/>
  <c r="C3925"/>
  <c r="D3925" s="1"/>
  <c r="C3924"/>
  <c r="D3924" s="1"/>
  <c r="C3923"/>
  <c r="D3923" s="1"/>
  <c r="C3922"/>
  <c r="D3922" s="1"/>
  <c r="C3921"/>
  <c r="D3921" s="1"/>
  <c r="C3920"/>
  <c r="D3920" s="1"/>
  <c r="C3919"/>
  <c r="D3919" s="1"/>
  <c r="C3918"/>
  <c r="D3918" s="1"/>
  <c r="C3917"/>
  <c r="D3917" s="1"/>
  <c r="C3916"/>
  <c r="D3916" s="1"/>
  <c r="C3915"/>
  <c r="D3915" s="1"/>
  <c r="C3914"/>
  <c r="D3914" s="1"/>
  <c r="C3913"/>
  <c r="D3913" s="1"/>
  <c r="C3912"/>
  <c r="D3912" s="1"/>
  <c r="C3911"/>
  <c r="D3911" s="1"/>
  <c r="C3910"/>
  <c r="D3910" s="1"/>
  <c r="C3909"/>
  <c r="D3909" s="1"/>
  <c r="C3908"/>
  <c r="D3908" s="1"/>
  <c r="C3907"/>
  <c r="D3907" s="1"/>
  <c r="C3906"/>
  <c r="D3906" s="1"/>
  <c r="C3905"/>
  <c r="D3905" s="1"/>
  <c r="C3904"/>
  <c r="D3904" s="1"/>
  <c r="C3903"/>
  <c r="D3903" s="1"/>
  <c r="C3902"/>
  <c r="D3902" s="1"/>
  <c r="C3901"/>
  <c r="D3901" s="1"/>
  <c r="C3900"/>
  <c r="D3900" s="1"/>
  <c r="C3899"/>
  <c r="D3899" s="1"/>
  <c r="C3898"/>
  <c r="D3898" s="1"/>
  <c r="C3897"/>
  <c r="D3897" s="1"/>
  <c r="C3896"/>
  <c r="D3896" s="1"/>
  <c r="C3895"/>
  <c r="D3895" s="1"/>
  <c r="C3894"/>
  <c r="D3894" s="1"/>
  <c r="C3893"/>
  <c r="D3893" s="1"/>
  <c r="C3892"/>
  <c r="D3892" s="1"/>
  <c r="C3891"/>
  <c r="D3891" s="1"/>
  <c r="C3890"/>
  <c r="D3890" s="1"/>
  <c r="C3889"/>
  <c r="D3889" s="1"/>
  <c r="C3888"/>
  <c r="D3888" s="1"/>
  <c r="C3887"/>
  <c r="D3887" s="1"/>
  <c r="C3886"/>
  <c r="D3886" s="1"/>
  <c r="C3885"/>
  <c r="D3885" s="1"/>
  <c r="C3884"/>
  <c r="D3884" s="1"/>
  <c r="C3883"/>
  <c r="D3883" s="1"/>
  <c r="C3882"/>
  <c r="D3882" s="1"/>
  <c r="C3881"/>
  <c r="D3881" s="1"/>
  <c r="C3880"/>
  <c r="D3880" s="1"/>
  <c r="C3879"/>
  <c r="D3879" s="1"/>
  <c r="C3878"/>
  <c r="D3878" s="1"/>
  <c r="C3877"/>
  <c r="D3877" s="1"/>
  <c r="C3876"/>
  <c r="D3876" s="1"/>
  <c r="C3875"/>
  <c r="D3875" s="1"/>
  <c r="C3874"/>
  <c r="D3874" s="1"/>
  <c r="C3873"/>
  <c r="D3873" s="1"/>
  <c r="C3872"/>
  <c r="D3872" s="1"/>
  <c r="C3871"/>
  <c r="D3871" s="1"/>
  <c r="C3870"/>
  <c r="D3870" s="1"/>
  <c r="C3869"/>
  <c r="D3869" s="1"/>
  <c r="C3868"/>
  <c r="D3868" s="1"/>
  <c r="C3867"/>
  <c r="D3867" s="1"/>
  <c r="C3866"/>
  <c r="D3866" s="1"/>
  <c r="C3865"/>
  <c r="D3865" s="1"/>
  <c r="C3864"/>
  <c r="D3864" s="1"/>
  <c r="C3863"/>
  <c r="D3863" s="1"/>
  <c r="C3862"/>
  <c r="D3862" s="1"/>
  <c r="C3861"/>
  <c r="D3861" s="1"/>
  <c r="C3860"/>
  <c r="D3860" s="1"/>
  <c r="C3859"/>
  <c r="D3859" s="1"/>
  <c r="C3858"/>
  <c r="D3858" s="1"/>
  <c r="C3857"/>
  <c r="D3857" s="1"/>
  <c r="C3856"/>
  <c r="D3856" s="1"/>
  <c r="C3855"/>
  <c r="D3855" s="1"/>
  <c r="C3854"/>
  <c r="D3854" s="1"/>
  <c r="C3853"/>
  <c r="D3853" s="1"/>
  <c r="C3852"/>
  <c r="D3852" s="1"/>
  <c r="C3851"/>
  <c r="D3851" s="1"/>
  <c r="C3850"/>
  <c r="D3850" s="1"/>
  <c r="C3849"/>
  <c r="D3849" s="1"/>
  <c r="C3848"/>
  <c r="D3848" s="1"/>
  <c r="C3847"/>
  <c r="D3847" s="1"/>
  <c r="C3846"/>
  <c r="D3846" s="1"/>
  <c r="C3845"/>
  <c r="D3845" s="1"/>
  <c r="C3844"/>
  <c r="D3844" s="1"/>
  <c r="C3843"/>
  <c r="D3843" s="1"/>
  <c r="C3842"/>
  <c r="D3842" s="1"/>
  <c r="C3841"/>
  <c r="D3841" s="1"/>
  <c r="C3840"/>
  <c r="D3840" s="1"/>
  <c r="C3839"/>
  <c r="D3839" s="1"/>
  <c r="C3838"/>
  <c r="D3838" s="1"/>
  <c r="C3837"/>
  <c r="D3837" s="1"/>
  <c r="C3836"/>
  <c r="D3836" s="1"/>
  <c r="C3835"/>
  <c r="D3835" s="1"/>
  <c r="C3834"/>
  <c r="D3834" s="1"/>
  <c r="C3833"/>
  <c r="D3833" s="1"/>
  <c r="C3832"/>
  <c r="D3832" s="1"/>
  <c r="C3831"/>
  <c r="D3831" s="1"/>
  <c r="C3830"/>
  <c r="D3830" s="1"/>
  <c r="C3829"/>
  <c r="D3829" s="1"/>
  <c r="C3828"/>
  <c r="D3828" s="1"/>
  <c r="C3827"/>
  <c r="D3827" s="1"/>
  <c r="C3826"/>
  <c r="D3826" s="1"/>
  <c r="C3825"/>
  <c r="D3825" s="1"/>
  <c r="C3824"/>
  <c r="D3824" s="1"/>
  <c r="C3823"/>
  <c r="D3823" s="1"/>
  <c r="C3822"/>
  <c r="D3822" s="1"/>
  <c r="C3821"/>
  <c r="D3821" s="1"/>
  <c r="C3820"/>
  <c r="D3820" s="1"/>
  <c r="C3819"/>
  <c r="D3819" s="1"/>
  <c r="C3818"/>
  <c r="D3818" s="1"/>
  <c r="C3817"/>
  <c r="D3817" s="1"/>
  <c r="C3816"/>
  <c r="D3816" s="1"/>
  <c r="C3815"/>
  <c r="D3815" s="1"/>
  <c r="C3814"/>
  <c r="D3814" s="1"/>
  <c r="C3813"/>
  <c r="D3813" s="1"/>
  <c r="C3812"/>
  <c r="D3812" s="1"/>
  <c r="C3811"/>
  <c r="D3811" s="1"/>
  <c r="C3810"/>
  <c r="D3810" s="1"/>
  <c r="C3809"/>
  <c r="D3809" s="1"/>
  <c r="C3808"/>
  <c r="D3808" s="1"/>
  <c r="C3807"/>
  <c r="D3807" s="1"/>
  <c r="C3806"/>
  <c r="D3806" s="1"/>
  <c r="C3805"/>
  <c r="D3805" s="1"/>
  <c r="C3804"/>
  <c r="D3804" s="1"/>
  <c r="C3803"/>
  <c r="D3803" s="1"/>
  <c r="C3802"/>
  <c r="D3802" s="1"/>
  <c r="C3801"/>
  <c r="D3801" s="1"/>
  <c r="C3800"/>
  <c r="D3800" s="1"/>
  <c r="C3799"/>
  <c r="D3799" s="1"/>
  <c r="C3798"/>
  <c r="D3798" s="1"/>
  <c r="C3797"/>
  <c r="D3797" s="1"/>
  <c r="C3796"/>
  <c r="D3796" s="1"/>
  <c r="C3795"/>
  <c r="D3795" s="1"/>
  <c r="C3794"/>
  <c r="D3794" s="1"/>
  <c r="C3793"/>
  <c r="D3793" s="1"/>
  <c r="C3792"/>
  <c r="D3792" s="1"/>
  <c r="C3791"/>
  <c r="D3791" s="1"/>
  <c r="C3790"/>
  <c r="D3790" s="1"/>
  <c r="C3789"/>
  <c r="D3789" s="1"/>
  <c r="C3788"/>
  <c r="D3788" s="1"/>
  <c r="C3787"/>
  <c r="D3787" s="1"/>
  <c r="C3786"/>
  <c r="D3786" s="1"/>
  <c r="C3785"/>
  <c r="D3785" s="1"/>
  <c r="C3784"/>
  <c r="D3784" s="1"/>
  <c r="C3783"/>
  <c r="D3783" s="1"/>
  <c r="C3782"/>
  <c r="D3782" s="1"/>
  <c r="C3781"/>
  <c r="D3781" s="1"/>
  <c r="C3780"/>
  <c r="D3780" s="1"/>
  <c r="C3779"/>
  <c r="D3779" s="1"/>
  <c r="C3778"/>
  <c r="D3778" s="1"/>
  <c r="C3777"/>
  <c r="D3777" s="1"/>
  <c r="C3776"/>
  <c r="D3776" s="1"/>
  <c r="C3775"/>
  <c r="D3775" s="1"/>
  <c r="C3774"/>
  <c r="D3774" s="1"/>
  <c r="C3773"/>
  <c r="D3773" s="1"/>
  <c r="C3772"/>
  <c r="D3772" s="1"/>
  <c r="C3771"/>
  <c r="D3771" s="1"/>
  <c r="C3770"/>
  <c r="D3770" s="1"/>
  <c r="C3769"/>
  <c r="D3769" s="1"/>
  <c r="C3768"/>
  <c r="D3768" s="1"/>
  <c r="C3767"/>
  <c r="D3767" s="1"/>
  <c r="C3766"/>
  <c r="D3766" s="1"/>
  <c r="C3765"/>
  <c r="D3765" s="1"/>
  <c r="C3764"/>
  <c r="D3764" s="1"/>
  <c r="C3763"/>
  <c r="D3763" s="1"/>
  <c r="C3762"/>
  <c r="D3762" s="1"/>
  <c r="C3761"/>
  <c r="D3761" s="1"/>
  <c r="C3760"/>
  <c r="D3760" s="1"/>
  <c r="C3759"/>
  <c r="D3759" s="1"/>
  <c r="C3758"/>
  <c r="D3758" s="1"/>
  <c r="C3757"/>
  <c r="D3757" s="1"/>
  <c r="C3756"/>
  <c r="D3756" s="1"/>
  <c r="C3755"/>
  <c r="D3755" s="1"/>
  <c r="C3754"/>
  <c r="D3754" s="1"/>
  <c r="C3753"/>
  <c r="D3753" s="1"/>
  <c r="C3752"/>
  <c r="D3752" s="1"/>
  <c r="C3751"/>
  <c r="D3751" s="1"/>
  <c r="C3750"/>
  <c r="D3750" s="1"/>
  <c r="C3749"/>
  <c r="D3749" s="1"/>
  <c r="C3748"/>
  <c r="D3748" s="1"/>
  <c r="C3747"/>
  <c r="D3747" s="1"/>
  <c r="C3746"/>
  <c r="D3746" s="1"/>
  <c r="C3745"/>
  <c r="D3745" s="1"/>
  <c r="C3744"/>
  <c r="D3744" s="1"/>
  <c r="C3743"/>
  <c r="D3743" s="1"/>
  <c r="C3742"/>
  <c r="D3742" s="1"/>
  <c r="C3741"/>
  <c r="D3741" s="1"/>
  <c r="C3740"/>
  <c r="D3740" s="1"/>
  <c r="C3739"/>
  <c r="D3739" s="1"/>
  <c r="C3738"/>
  <c r="D3738" s="1"/>
  <c r="C3737"/>
  <c r="D3737" s="1"/>
  <c r="C3736"/>
  <c r="D3736" s="1"/>
  <c r="C3735"/>
  <c r="D3735" s="1"/>
  <c r="C3734"/>
  <c r="D3734" s="1"/>
  <c r="C3733"/>
  <c r="D3733" s="1"/>
  <c r="C3732"/>
  <c r="D3732" s="1"/>
  <c r="C3731"/>
  <c r="D3731" s="1"/>
  <c r="C3730"/>
  <c r="D3730" s="1"/>
  <c r="C3729"/>
  <c r="D3729" s="1"/>
  <c r="C3728"/>
  <c r="D3728" s="1"/>
  <c r="C3727"/>
  <c r="D3727" s="1"/>
  <c r="C3726"/>
  <c r="D3726" s="1"/>
  <c r="C3725"/>
  <c r="D3725" s="1"/>
  <c r="C3724"/>
  <c r="D3724" s="1"/>
  <c r="C3723"/>
  <c r="D3723" s="1"/>
  <c r="C3722"/>
  <c r="D3722" s="1"/>
  <c r="C3721"/>
  <c r="D3721" s="1"/>
  <c r="C3720"/>
  <c r="D3720" s="1"/>
  <c r="C3719"/>
  <c r="D3719" s="1"/>
  <c r="C3718"/>
  <c r="D3718" s="1"/>
  <c r="C3717"/>
  <c r="D3717" s="1"/>
  <c r="C3716"/>
  <c r="D3716" s="1"/>
  <c r="C3715"/>
  <c r="D3715" s="1"/>
  <c r="C3714"/>
  <c r="D3714" s="1"/>
  <c r="C3713"/>
  <c r="D3713" s="1"/>
  <c r="C3712"/>
  <c r="D3712" s="1"/>
  <c r="C3711"/>
  <c r="D3711" s="1"/>
  <c r="C3710"/>
  <c r="D3710" s="1"/>
  <c r="C3709"/>
  <c r="D3709" s="1"/>
  <c r="C3708"/>
  <c r="D3708" s="1"/>
  <c r="C3707"/>
  <c r="D3707" s="1"/>
  <c r="C3706"/>
  <c r="D3706" s="1"/>
  <c r="C3705"/>
  <c r="D3705" s="1"/>
  <c r="C3704"/>
  <c r="D3704" s="1"/>
  <c r="C3703"/>
  <c r="D3703" s="1"/>
  <c r="C3702"/>
  <c r="D3702" s="1"/>
  <c r="C3701"/>
  <c r="D3701" s="1"/>
  <c r="C3700"/>
  <c r="D3700" s="1"/>
  <c r="C3699"/>
  <c r="D3699" s="1"/>
  <c r="C3698"/>
  <c r="D3698" s="1"/>
  <c r="C3697"/>
  <c r="D3697" s="1"/>
  <c r="C3696"/>
  <c r="D3696" s="1"/>
  <c r="C3695"/>
  <c r="D3695" s="1"/>
  <c r="C3694"/>
  <c r="D3694" s="1"/>
  <c r="C3693"/>
  <c r="D3693" s="1"/>
  <c r="C3692"/>
  <c r="D3692" s="1"/>
  <c r="C3691"/>
  <c r="D3691" s="1"/>
  <c r="C3690"/>
  <c r="D3690" s="1"/>
  <c r="C3689"/>
  <c r="D3689" s="1"/>
  <c r="C3688"/>
  <c r="D3688" s="1"/>
  <c r="C3687"/>
  <c r="D3687" s="1"/>
  <c r="C3686"/>
  <c r="D3686" s="1"/>
  <c r="C3685"/>
  <c r="D3685" s="1"/>
  <c r="C3684"/>
  <c r="D3684" s="1"/>
  <c r="C3683"/>
  <c r="D3683" s="1"/>
  <c r="C3682"/>
  <c r="D3682" s="1"/>
  <c r="C3681"/>
  <c r="D3681" s="1"/>
  <c r="C3680"/>
  <c r="D3680" s="1"/>
  <c r="C3679"/>
  <c r="D3679" s="1"/>
  <c r="C3678"/>
  <c r="D3678" s="1"/>
  <c r="C3677"/>
  <c r="D3677" s="1"/>
  <c r="C3676"/>
  <c r="D3676" s="1"/>
  <c r="C3675"/>
  <c r="D3675" s="1"/>
  <c r="C3674"/>
  <c r="D3674" s="1"/>
  <c r="C3673"/>
  <c r="D3673" s="1"/>
  <c r="C3672"/>
  <c r="D3672" s="1"/>
  <c r="C3671"/>
  <c r="D3671" s="1"/>
  <c r="C3670"/>
  <c r="D3670" s="1"/>
  <c r="C3669"/>
  <c r="D3669" s="1"/>
  <c r="C3668"/>
  <c r="D3668" s="1"/>
  <c r="C3667"/>
  <c r="D3667" s="1"/>
  <c r="C3666"/>
  <c r="D3666" s="1"/>
  <c r="C3665"/>
  <c r="D3665" s="1"/>
  <c r="C3664"/>
  <c r="D3664" s="1"/>
  <c r="C3663"/>
  <c r="D3663" s="1"/>
  <c r="C3662"/>
  <c r="D3662" s="1"/>
  <c r="C3661"/>
  <c r="D3661" s="1"/>
  <c r="C3660"/>
  <c r="D3660" s="1"/>
  <c r="C3659"/>
  <c r="D3659" s="1"/>
  <c r="C3658"/>
  <c r="D3658" s="1"/>
  <c r="C3657"/>
  <c r="D3657" s="1"/>
  <c r="C3656"/>
  <c r="D3656" s="1"/>
  <c r="C3655"/>
  <c r="D3655" s="1"/>
  <c r="C3654"/>
  <c r="D3654" s="1"/>
  <c r="C3653"/>
  <c r="D3653" s="1"/>
  <c r="C3652"/>
  <c r="D3652" s="1"/>
  <c r="C3651"/>
  <c r="D3651" s="1"/>
  <c r="C3650"/>
  <c r="D3650" s="1"/>
  <c r="C3649"/>
  <c r="D3649" s="1"/>
  <c r="C3648"/>
  <c r="D3648" s="1"/>
  <c r="C3647"/>
  <c r="D3647" s="1"/>
  <c r="C3646"/>
  <c r="D3646" s="1"/>
  <c r="C3645"/>
  <c r="D3645" s="1"/>
  <c r="C3644"/>
  <c r="D3644" s="1"/>
  <c r="C3643"/>
  <c r="D3643" s="1"/>
  <c r="C3642"/>
  <c r="D3642" s="1"/>
  <c r="C3641"/>
  <c r="D3641" s="1"/>
  <c r="C3640"/>
  <c r="D3640" s="1"/>
  <c r="C3639"/>
  <c r="D3639" s="1"/>
  <c r="C3638"/>
  <c r="D3638" s="1"/>
  <c r="C3637"/>
  <c r="D3637" s="1"/>
  <c r="C3636"/>
  <c r="D3636" s="1"/>
  <c r="C3635"/>
  <c r="D3635" s="1"/>
  <c r="C3634"/>
  <c r="D3634" s="1"/>
  <c r="C3633"/>
  <c r="D3633" s="1"/>
  <c r="C3632"/>
  <c r="D3632" s="1"/>
  <c r="C3631"/>
  <c r="D3631" s="1"/>
  <c r="C3630"/>
  <c r="D3630" s="1"/>
  <c r="C3629"/>
  <c r="D3629" s="1"/>
  <c r="C3628"/>
  <c r="D3628" s="1"/>
  <c r="C3627"/>
  <c r="D3627" s="1"/>
  <c r="C3626"/>
  <c r="D3626" s="1"/>
  <c r="C3625"/>
  <c r="D3625" s="1"/>
  <c r="C3624"/>
  <c r="D3624" s="1"/>
  <c r="C3623"/>
  <c r="D3623" s="1"/>
  <c r="C3622"/>
  <c r="D3622" s="1"/>
  <c r="C3621"/>
  <c r="D3621" s="1"/>
  <c r="C3620"/>
  <c r="D3620" s="1"/>
  <c r="C3619"/>
  <c r="D3619" s="1"/>
  <c r="C3618"/>
  <c r="D3618" s="1"/>
  <c r="C3617"/>
  <c r="D3617" s="1"/>
  <c r="C3616"/>
  <c r="D3616" s="1"/>
  <c r="C3615"/>
  <c r="D3615" s="1"/>
  <c r="C3614"/>
  <c r="D3614" s="1"/>
  <c r="C3613"/>
  <c r="D3613" s="1"/>
  <c r="C3612"/>
  <c r="D3612" s="1"/>
  <c r="C3611"/>
  <c r="D3611" s="1"/>
  <c r="C3610"/>
  <c r="D3610" s="1"/>
  <c r="C3609"/>
  <c r="D3609" s="1"/>
  <c r="C3608"/>
  <c r="D3608" s="1"/>
  <c r="C3607"/>
  <c r="D3607" s="1"/>
  <c r="C3606"/>
  <c r="D3606" s="1"/>
  <c r="C3605"/>
  <c r="D3605" s="1"/>
  <c r="C3604"/>
  <c r="D3604" s="1"/>
  <c r="C3603"/>
  <c r="D3603" s="1"/>
  <c r="C3602"/>
  <c r="D3602" s="1"/>
  <c r="C3601"/>
  <c r="D3601" s="1"/>
  <c r="C3600"/>
  <c r="D3600" s="1"/>
  <c r="C3599"/>
  <c r="D3599" s="1"/>
  <c r="C3598"/>
  <c r="D3598" s="1"/>
  <c r="C3597"/>
  <c r="D3597" s="1"/>
  <c r="C3596"/>
  <c r="D3596" s="1"/>
  <c r="C3595"/>
  <c r="D3595" s="1"/>
  <c r="C3594"/>
  <c r="D3594" s="1"/>
  <c r="C3593"/>
  <c r="D3593" s="1"/>
  <c r="C3592"/>
  <c r="D3592" s="1"/>
  <c r="C3591"/>
  <c r="D3591" s="1"/>
  <c r="C3590"/>
  <c r="D3590" s="1"/>
  <c r="C3589"/>
  <c r="D3589" s="1"/>
  <c r="C3588"/>
  <c r="D3588" s="1"/>
  <c r="C3587"/>
  <c r="D3587" s="1"/>
  <c r="C3586"/>
  <c r="D3586" s="1"/>
  <c r="C3585"/>
  <c r="D3585" s="1"/>
  <c r="C3584"/>
  <c r="D3584" s="1"/>
  <c r="C3583"/>
  <c r="D3583" s="1"/>
  <c r="C3582"/>
  <c r="D3582" s="1"/>
  <c r="C3581"/>
  <c r="D3581" s="1"/>
  <c r="C3580"/>
  <c r="D3580" s="1"/>
  <c r="C3579"/>
  <c r="D3579" s="1"/>
  <c r="C3578"/>
  <c r="D3578" s="1"/>
  <c r="C3577"/>
  <c r="D3577" s="1"/>
  <c r="C3576"/>
  <c r="D3576" s="1"/>
  <c r="C3575"/>
  <c r="D3575" s="1"/>
  <c r="C3574"/>
  <c r="D3574" s="1"/>
  <c r="C3573"/>
  <c r="D3573" s="1"/>
  <c r="C3572"/>
  <c r="D3572" s="1"/>
  <c r="C3571"/>
  <c r="D3571" s="1"/>
  <c r="C3570"/>
  <c r="D3570" s="1"/>
  <c r="C3569"/>
  <c r="D3569" s="1"/>
  <c r="C3568"/>
  <c r="D3568" s="1"/>
  <c r="C3567"/>
  <c r="D3567" s="1"/>
  <c r="C3566"/>
  <c r="D3566" s="1"/>
  <c r="C3565"/>
  <c r="D3565" s="1"/>
  <c r="C3564"/>
  <c r="D3564" s="1"/>
  <c r="C3563"/>
  <c r="D3563" s="1"/>
  <c r="C3562"/>
  <c r="D3562" s="1"/>
  <c r="C3561"/>
  <c r="D3561" s="1"/>
  <c r="C3560"/>
  <c r="D3560" s="1"/>
  <c r="C3559"/>
  <c r="D3559" s="1"/>
  <c r="C3558"/>
  <c r="D3558" s="1"/>
  <c r="C3557"/>
  <c r="D3557" s="1"/>
  <c r="C3556"/>
  <c r="D3556" s="1"/>
  <c r="C3555"/>
  <c r="D3555" s="1"/>
  <c r="C3554"/>
  <c r="D3554" s="1"/>
  <c r="C3553"/>
  <c r="D3553" s="1"/>
  <c r="C3552"/>
  <c r="D3552" s="1"/>
  <c r="C3551"/>
  <c r="D3551" s="1"/>
  <c r="C3550"/>
  <c r="D3550" s="1"/>
  <c r="C3549"/>
  <c r="D3549" s="1"/>
  <c r="C3548"/>
  <c r="D3548" s="1"/>
  <c r="C3547"/>
  <c r="D3547" s="1"/>
  <c r="C3546"/>
  <c r="D3546" s="1"/>
  <c r="C3545"/>
  <c r="D3545" s="1"/>
  <c r="C3544"/>
  <c r="D3544" s="1"/>
  <c r="C3543"/>
  <c r="D3543" s="1"/>
  <c r="C3542"/>
  <c r="D3542" s="1"/>
  <c r="C3541"/>
  <c r="D3541" s="1"/>
  <c r="C3540"/>
  <c r="D3540" s="1"/>
  <c r="C3539"/>
  <c r="D3539" s="1"/>
  <c r="C3538"/>
  <c r="D3538" s="1"/>
  <c r="C3537"/>
  <c r="D3537" s="1"/>
  <c r="C3536"/>
  <c r="D3536" s="1"/>
  <c r="C3535"/>
  <c r="D3535" s="1"/>
  <c r="C3534"/>
  <c r="D3534" s="1"/>
  <c r="C3533"/>
  <c r="D3533" s="1"/>
  <c r="C3532"/>
  <c r="D3532" s="1"/>
  <c r="C3531"/>
  <c r="D3531" s="1"/>
  <c r="C3530"/>
  <c r="D3530" s="1"/>
  <c r="C3529"/>
  <c r="D3529" s="1"/>
  <c r="C3528"/>
  <c r="D3528" s="1"/>
  <c r="C3527"/>
  <c r="D3527" s="1"/>
  <c r="C3526"/>
  <c r="D3526" s="1"/>
  <c r="C3525"/>
  <c r="D3525" s="1"/>
  <c r="C3524"/>
  <c r="D3524" s="1"/>
  <c r="C3523"/>
  <c r="D3523" s="1"/>
  <c r="C3522"/>
  <c r="D3522" s="1"/>
  <c r="C3521"/>
  <c r="D3521" s="1"/>
  <c r="C3520"/>
  <c r="D3520" s="1"/>
  <c r="C3519"/>
  <c r="D3519" s="1"/>
  <c r="C3518"/>
  <c r="D3518" s="1"/>
  <c r="C3517"/>
  <c r="D3517" s="1"/>
  <c r="C3516"/>
  <c r="D3516" s="1"/>
  <c r="C3515"/>
  <c r="D3515" s="1"/>
  <c r="C3514"/>
  <c r="D3514" s="1"/>
  <c r="C3513"/>
  <c r="D3513" s="1"/>
  <c r="C3512"/>
  <c r="D3512" s="1"/>
  <c r="C3511"/>
  <c r="D3511" s="1"/>
  <c r="C3510"/>
  <c r="D3510" s="1"/>
  <c r="C3509"/>
  <c r="D3509" s="1"/>
  <c r="C3508"/>
  <c r="D3508" s="1"/>
  <c r="C3507"/>
  <c r="D3507" s="1"/>
  <c r="C3506"/>
  <c r="D3506" s="1"/>
  <c r="C3505"/>
  <c r="D3505" s="1"/>
  <c r="C3504"/>
  <c r="D3504" s="1"/>
  <c r="C3503"/>
  <c r="D3503" s="1"/>
  <c r="C3502"/>
  <c r="D3502" s="1"/>
  <c r="C3501"/>
  <c r="D3501" s="1"/>
  <c r="C3500"/>
  <c r="D3500" s="1"/>
  <c r="C3499"/>
  <c r="D3499" s="1"/>
  <c r="C3498"/>
  <c r="D3498" s="1"/>
  <c r="C3497"/>
  <c r="D3497" s="1"/>
  <c r="C3496"/>
  <c r="D3496" s="1"/>
  <c r="C3495"/>
  <c r="D3495" s="1"/>
  <c r="C3494"/>
  <c r="D3494" s="1"/>
  <c r="C3493"/>
  <c r="D3493" s="1"/>
  <c r="C3492"/>
  <c r="D3492" s="1"/>
  <c r="C3491"/>
  <c r="D3491" s="1"/>
  <c r="C3490"/>
  <c r="D3490" s="1"/>
  <c r="C3489"/>
  <c r="D3489" s="1"/>
  <c r="C3488"/>
  <c r="D3488" s="1"/>
  <c r="C3487"/>
  <c r="D3487" s="1"/>
  <c r="C3486"/>
  <c r="D3486" s="1"/>
  <c r="C3485"/>
  <c r="D3485" s="1"/>
  <c r="C3484"/>
  <c r="D3484" s="1"/>
  <c r="C3483"/>
  <c r="D3483" s="1"/>
  <c r="C3482"/>
  <c r="D3482" s="1"/>
  <c r="C3481"/>
  <c r="D3481" s="1"/>
  <c r="C3480"/>
  <c r="D3480" s="1"/>
  <c r="C3479"/>
  <c r="D3479" s="1"/>
  <c r="C3478"/>
  <c r="D3478" s="1"/>
  <c r="C3477"/>
  <c r="D3477" s="1"/>
  <c r="C3476"/>
  <c r="D3476" s="1"/>
  <c r="C3475"/>
  <c r="D3475" s="1"/>
  <c r="C3474"/>
  <c r="D3474" s="1"/>
  <c r="C3473"/>
  <c r="D3473" s="1"/>
  <c r="C3472"/>
  <c r="D3472" s="1"/>
  <c r="C3471"/>
  <c r="D3471" s="1"/>
  <c r="C3470"/>
  <c r="D3470" s="1"/>
  <c r="C3469"/>
  <c r="D3469" s="1"/>
  <c r="C3468"/>
  <c r="D3468" s="1"/>
  <c r="C3467"/>
  <c r="D3467" s="1"/>
  <c r="C3466"/>
  <c r="D3466" s="1"/>
  <c r="C3465"/>
  <c r="D3465" s="1"/>
  <c r="C3464"/>
  <c r="D3464" s="1"/>
  <c r="C3463"/>
  <c r="D3463" s="1"/>
  <c r="C3462"/>
  <c r="D3462" s="1"/>
  <c r="C3461"/>
  <c r="D3461" s="1"/>
  <c r="C3460"/>
  <c r="D3460" s="1"/>
  <c r="C3459"/>
  <c r="D3459" s="1"/>
  <c r="C3458"/>
  <c r="D3458" s="1"/>
  <c r="C3457"/>
  <c r="D3457" s="1"/>
  <c r="C3456"/>
  <c r="D3456" s="1"/>
  <c r="C3455"/>
  <c r="D3455" s="1"/>
  <c r="C3454"/>
  <c r="D3454" s="1"/>
  <c r="C3453"/>
  <c r="D3453" s="1"/>
  <c r="C3452"/>
  <c r="D3452" s="1"/>
  <c r="C3451"/>
  <c r="D3451" s="1"/>
  <c r="C3450"/>
  <c r="D3450" s="1"/>
  <c r="C3449"/>
  <c r="D3449" s="1"/>
  <c r="C3448"/>
  <c r="D3448" s="1"/>
  <c r="C3447"/>
  <c r="D3447" s="1"/>
  <c r="C3446"/>
  <c r="D3446" s="1"/>
  <c r="C3445"/>
  <c r="D3445" s="1"/>
  <c r="C3444"/>
  <c r="D3444" s="1"/>
  <c r="C3443"/>
  <c r="D3443" s="1"/>
  <c r="C3442"/>
  <c r="D3442" s="1"/>
  <c r="C3441"/>
  <c r="D3441" s="1"/>
  <c r="C3440"/>
  <c r="D3440" s="1"/>
  <c r="C3439"/>
  <c r="D3439" s="1"/>
  <c r="C3438"/>
  <c r="D3438" s="1"/>
  <c r="C3437"/>
  <c r="D3437" s="1"/>
  <c r="C3436"/>
  <c r="D3436" s="1"/>
  <c r="C3435"/>
  <c r="D3435" s="1"/>
  <c r="C3434"/>
  <c r="D3434" s="1"/>
  <c r="C3433"/>
  <c r="D3433" s="1"/>
  <c r="C3432"/>
  <c r="D3432" s="1"/>
  <c r="C3431"/>
  <c r="D3431" s="1"/>
  <c r="C3430"/>
  <c r="D3430" s="1"/>
  <c r="C3429"/>
  <c r="D3429" s="1"/>
  <c r="C3428"/>
  <c r="D3428" s="1"/>
  <c r="C3427"/>
  <c r="D3427" s="1"/>
  <c r="C3426"/>
  <c r="D3426" s="1"/>
  <c r="C3425"/>
  <c r="D3425" s="1"/>
  <c r="C3424"/>
  <c r="D3424" s="1"/>
  <c r="C3423"/>
  <c r="D3423" s="1"/>
  <c r="C3422"/>
  <c r="D3422" s="1"/>
  <c r="C3421"/>
  <c r="D3421" s="1"/>
  <c r="C3420"/>
  <c r="D3420" s="1"/>
  <c r="C3419"/>
  <c r="D3419" s="1"/>
  <c r="C3418"/>
  <c r="D3418" s="1"/>
  <c r="C3417"/>
  <c r="D3417" s="1"/>
  <c r="C3416"/>
  <c r="D3416" s="1"/>
  <c r="C3415"/>
  <c r="D3415" s="1"/>
  <c r="C3414"/>
  <c r="D3414" s="1"/>
  <c r="C3413"/>
  <c r="D3413" s="1"/>
  <c r="C3412"/>
  <c r="D3412" s="1"/>
  <c r="C3411"/>
  <c r="D3411" s="1"/>
  <c r="C3410"/>
  <c r="D3410" s="1"/>
  <c r="C3409"/>
  <c r="D3409" s="1"/>
  <c r="C3408"/>
  <c r="D3408" s="1"/>
  <c r="C3407"/>
  <c r="D3407" s="1"/>
  <c r="C3406"/>
  <c r="D3406" s="1"/>
  <c r="C3405"/>
  <c r="D3405" s="1"/>
  <c r="C3404"/>
  <c r="D3404" s="1"/>
  <c r="C3403"/>
  <c r="D3403" s="1"/>
  <c r="C3402"/>
  <c r="D3402" s="1"/>
  <c r="C3401"/>
  <c r="D3401" s="1"/>
  <c r="C3400"/>
  <c r="D3400" s="1"/>
  <c r="C3399"/>
  <c r="D3399" s="1"/>
  <c r="C3398"/>
  <c r="D3398" s="1"/>
  <c r="C3397"/>
  <c r="D3397" s="1"/>
  <c r="C3396"/>
  <c r="D3396" s="1"/>
  <c r="C3395"/>
  <c r="D3395" s="1"/>
  <c r="C3394"/>
  <c r="D3394" s="1"/>
  <c r="C3393"/>
  <c r="D3393" s="1"/>
  <c r="C3392"/>
  <c r="D3392" s="1"/>
  <c r="C3391"/>
  <c r="D3391" s="1"/>
  <c r="C3390"/>
  <c r="D3390" s="1"/>
  <c r="C3389"/>
  <c r="D3389" s="1"/>
  <c r="C3388"/>
  <c r="D3388" s="1"/>
  <c r="C3387"/>
  <c r="D3387" s="1"/>
  <c r="C3386"/>
  <c r="D3386" s="1"/>
  <c r="C3385"/>
  <c r="D3385" s="1"/>
  <c r="C3384"/>
  <c r="D3384" s="1"/>
  <c r="C3383"/>
  <c r="D3383" s="1"/>
  <c r="C3382"/>
  <c r="D3382" s="1"/>
  <c r="C3381"/>
  <c r="D3381" s="1"/>
  <c r="C3380"/>
  <c r="D3380" s="1"/>
  <c r="C3379"/>
  <c r="D3379" s="1"/>
  <c r="C3378"/>
  <c r="D3378" s="1"/>
  <c r="C3377"/>
  <c r="D3377" s="1"/>
  <c r="C3376"/>
  <c r="D3376" s="1"/>
  <c r="C3375"/>
  <c r="D3375" s="1"/>
  <c r="C3374"/>
  <c r="D3374" s="1"/>
  <c r="C3373"/>
  <c r="D3373" s="1"/>
  <c r="C3372"/>
  <c r="D3372" s="1"/>
  <c r="C3371"/>
  <c r="D3371" s="1"/>
  <c r="C3370"/>
  <c r="D3370" s="1"/>
  <c r="C3369"/>
  <c r="D3369" s="1"/>
  <c r="C3368"/>
  <c r="D3368" s="1"/>
  <c r="C3367"/>
  <c r="D3367" s="1"/>
  <c r="C3366"/>
  <c r="D3366" s="1"/>
  <c r="C3365"/>
  <c r="D3365" s="1"/>
  <c r="C3364"/>
  <c r="D3364" s="1"/>
  <c r="C3363"/>
  <c r="D3363" s="1"/>
  <c r="C3362"/>
  <c r="D3362" s="1"/>
  <c r="C3361"/>
  <c r="D3361" s="1"/>
  <c r="C3360"/>
  <c r="D3360" s="1"/>
  <c r="C3359"/>
  <c r="D3359" s="1"/>
  <c r="C3358"/>
  <c r="D3358" s="1"/>
  <c r="C3357"/>
  <c r="D3357" s="1"/>
  <c r="C3356"/>
  <c r="D3356" s="1"/>
  <c r="C3355"/>
  <c r="D3355" s="1"/>
  <c r="C3354"/>
  <c r="D3354" s="1"/>
  <c r="C3353"/>
  <c r="D3353" s="1"/>
  <c r="C3352"/>
  <c r="D3352" s="1"/>
  <c r="C3351"/>
  <c r="D3351" s="1"/>
  <c r="C3350"/>
  <c r="D3350" s="1"/>
  <c r="C3349"/>
  <c r="D3349" s="1"/>
  <c r="C3348"/>
  <c r="D3348" s="1"/>
  <c r="C3347"/>
  <c r="D3347" s="1"/>
  <c r="C3346"/>
  <c r="D3346" s="1"/>
  <c r="C3345"/>
  <c r="D3345" s="1"/>
  <c r="C3344"/>
  <c r="D3344" s="1"/>
  <c r="C3343"/>
  <c r="D3343" s="1"/>
  <c r="C3342"/>
  <c r="D3342" s="1"/>
  <c r="C3341"/>
  <c r="D3341" s="1"/>
  <c r="C3340"/>
  <c r="D3340" s="1"/>
  <c r="C3339"/>
  <c r="D3339" s="1"/>
  <c r="C3338"/>
  <c r="D3338" s="1"/>
  <c r="C3337"/>
  <c r="D3337" s="1"/>
  <c r="C3336"/>
  <c r="D3336" s="1"/>
  <c r="C3335"/>
  <c r="D3335" s="1"/>
  <c r="C3334"/>
  <c r="D3334" s="1"/>
  <c r="C3333"/>
  <c r="D3333" s="1"/>
  <c r="C3332"/>
  <c r="D3332" s="1"/>
  <c r="C3331"/>
  <c r="D3331" s="1"/>
  <c r="C3330"/>
  <c r="D3330" s="1"/>
  <c r="C3329"/>
  <c r="D3329" s="1"/>
  <c r="C3328"/>
  <c r="D3328" s="1"/>
  <c r="C3327"/>
  <c r="D3327" s="1"/>
  <c r="C3326"/>
  <c r="D3326" s="1"/>
  <c r="C3325"/>
  <c r="D3325" s="1"/>
  <c r="C3324"/>
  <c r="D3324" s="1"/>
  <c r="C3323"/>
  <c r="D3323" s="1"/>
  <c r="C3322"/>
  <c r="D3322" s="1"/>
  <c r="C3321"/>
  <c r="D3321" s="1"/>
  <c r="C3320"/>
  <c r="D3320" s="1"/>
  <c r="C3319"/>
  <c r="D3319" s="1"/>
  <c r="C3318"/>
  <c r="D3318" s="1"/>
  <c r="C3317"/>
  <c r="D3317" s="1"/>
  <c r="C3316"/>
  <c r="D3316" s="1"/>
  <c r="C3315"/>
  <c r="D3315" s="1"/>
  <c r="C3314"/>
  <c r="D3314" s="1"/>
  <c r="C3313"/>
  <c r="D3313" s="1"/>
  <c r="C3312"/>
  <c r="D3312" s="1"/>
  <c r="C3311"/>
  <c r="D3311" s="1"/>
  <c r="C3310"/>
  <c r="D3310" s="1"/>
  <c r="C3309"/>
  <c r="D3309" s="1"/>
  <c r="C3308"/>
  <c r="D3308" s="1"/>
  <c r="C3307"/>
  <c r="D3307" s="1"/>
  <c r="C3306"/>
  <c r="D3306" s="1"/>
  <c r="C3305"/>
  <c r="D3305" s="1"/>
  <c r="C3304"/>
  <c r="D3304" s="1"/>
  <c r="C3303"/>
  <c r="D3303" s="1"/>
  <c r="C3302"/>
  <c r="D3302" s="1"/>
  <c r="C3301"/>
  <c r="D3301" s="1"/>
  <c r="C3300"/>
  <c r="D3300" s="1"/>
  <c r="C3299"/>
  <c r="D3299" s="1"/>
  <c r="C3298"/>
  <c r="D3298" s="1"/>
  <c r="C3297"/>
  <c r="D3297" s="1"/>
  <c r="C3296"/>
  <c r="D3296" s="1"/>
  <c r="C3295"/>
  <c r="D3295" s="1"/>
  <c r="C3294"/>
  <c r="D3294" s="1"/>
  <c r="C3293"/>
  <c r="D3293" s="1"/>
  <c r="C3292"/>
  <c r="D3292" s="1"/>
  <c r="C3291"/>
  <c r="D3291" s="1"/>
  <c r="C3290"/>
  <c r="D3290" s="1"/>
  <c r="C3289"/>
  <c r="D3289" s="1"/>
  <c r="C3288"/>
  <c r="D3288" s="1"/>
  <c r="C3287"/>
  <c r="D3287" s="1"/>
  <c r="C3286"/>
  <c r="D3286" s="1"/>
  <c r="C3285"/>
  <c r="D3285" s="1"/>
  <c r="C3284"/>
  <c r="D3284" s="1"/>
  <c r="C3283"/>
  <c r="D3283" s="1"/>
  <c r="C3282"/>
  <c r="D3282" s="1"/>
  <c r="C3281"/>
  <c r="D3281" s="1"/>
  <c r="C3280"/>
  <c r="D3280" s="1"/>
  <c r="C3279"/>
  <c r="D3279" s="1"/>
  <c r="C3278"/>
  <c r="D3278" s="1"/>
  <c r="C3277"/>
  <c r="D3277" s="1"/>
  <c r="C3276"/>
  <c r="D3276" s="1"/>
  <c r="C3275"/>
  <c r="D3275" s="1"/>
  <c r="C3274"/>
  <c r="D3274" s="1"/>
  <c r="C3273"/>
  <c r="D3273" s="1"/>
  <c r="C3272"/>
  <c r="D3272" s="1"/>
  <c r="C3271"/>
  <c r="D3271" s="1"/>
  <c r="C3270"/>
  <c r="D3270" s="1"/>
  <c r="C3269"/>
  <c r="D3269" s="1"/>
  <c r="C3268"/>
  <c r="D3268" s="1"/>
  <c r="C3267"/>
  <c r="D3267" s="1"/>
  <c r="C3266"/>
  <c r="D3266" s="1"/>
  <c r="C3265"/>
  <c r="D3265" s="1"/>
  <c r="C3264"/>
  <c r="D3264" s="1"/>
  <c r="C3263"/>
  <c r="D3263" s="1"/>
  <c r="C3262"/>
  <c r="D3262" s="1"/>
  <c r="C3261"/>
  <c r="D3261" s="1"/>
  <c r="C3260"/>
  <c r="D3260" s="1"/>
  <c r="C3259"/>
  <c r="D3259" s="1"/>
  <c r="C3258"/>
  <c r="D3258" s="1"/>
  <c r="C3257"/>
  <c r="D3257" s="1"/>
  <c r="C3256"/>
  <c r="D3256" s="1"/>
  <c r="C3255"/>
  <c r="D3255" s="1"/>
  <c r="C3254"/>
  <c r="D3254" s="1"/>
  <c r="C3253"/>
  <c r="D3253" s="1"/>
  <c r="C3252"/>
  <c r="D3252" s="1"/>
  <c r="C3251"/>
  <c r="D3251" s="1"/>
  <c r="C3250"/>
  <c r="D3250" s="1"/>
  <c r="C3249"/>
  <c r="D3249" s="1"/>
  <c r="C3248"/>
  <c r="D3248" s="1"/>
  <c r="C3247"/>
  <c r="D3247" s="1"/>
  <c r="C3246"/>
  <c r="D3246" s="1"/>
  <c r="C3245"/>
  <c r="D3245" s="1"/>
  <c r="C3244"/>
  <c r="D3244" s="1"/>
  <c r="C3243"/>
  <c r="D3243" s="1"/>
  <c r="C3242"/>
  <c r="D3242" s="1"/>
  <c r="C3241"/>
  <c r="D3241" s="1"/>
  <c r="C3240"/>
  <c r="D3240" s="1"/>
  <c r="C3239"/>
  <c r="D3239" s="1"/>
  <c r="C3238"/>
  <c r="D3238" s="1"/>
  <c r="C3237"/>
  <c r="D3237" s="1"/>
  <c r="C3236"/>
  <c r="D3236" s="1"/>
  <c r="C3235"/>
  <c r="D3235" s="1"/>
  <c r="C3234"/>
  <c r="D3234" s="1"/>
  <c r="C3233"/>
  <c r="D3233" s="1"/>
  <c r="C3232"/>
  <c r="D3232" s="1"/>
  <c r="C3231"/>
  <c r="D3231" s="1"/>
  <c r="C3230"/>
  <c r="D3230" s="1"/>
  <c r="C3229"/>
  <c r="D3229" s="1"/>
  <c r="C3228"/>
  <c r="D3228" s="1"/>
  <c r="C3227"/>
  <c r="D3227" s="1"/>
  <c r="C3226"/>
  <c r="D3226" s="1"/>
  <c r="C3225"/>
  <c r="D3225" s="1"/>
  <c r="C3224"/>
  <c r="D3224" s="1"/>
  <c r="C3223"/>
  <c r="D3223" s="1"/>
  <c r="C3222"/>
  <c r="D3222" s="1"/>
  <c r="C3221"/>
  <c r="D3221" s="1"/>
  <c r="C3220"/>
  <c r="D3220" s="1"/>
  <c r="C3219"/>
  <c r="D3219" s="1"/>
  <c r="C3218"/>
  <c r="D3218" s="1"/>
  <c r="C3217"/>
  <c r="D3217" s="1"/>
  <c r="C3216"/>
  <c r="D3216" s="1"/>
  <c r="C3215"/>
  <c r="D3215" s="1"/>
  <c r="C3214"/>
  <c r="D3214" s="1"/>
  <c r="C3213"/>
  <c r="D3213" s="1"/>
  <c r="C3212"/>
  <c r="D3212" s="1"/>
  <c r="C3211"/>
  <c r="D3211" s="1"/>
  <c r="C3210"/>
  <c r="D3210" s="1"/>
  <c r="C3209"/>
  <c r="D3209" s="1"/>
  <c r="C3208"/>
  <c r="D3208" s="1"/>
  <c r="C3207"/>
  <c r="D3207" s="1"/>
  <c r="C3206"/>
  <c r="D3206" s="1"/>
  <c r="C3205"/>
  <c r="D3205" s="1"/>
  <c r="C3204"/>
  <c r="D3204" s="1"/>
  <c r="C3203"/>
  <c r="D3203" s="1"/>
  <c r="C3202"/>
  <c r="D3202" s="1"/>
  <c r="C3201"/>
  <c r="D3201" s="1"/>
  <c r="C3200"/>
  <c r="D3200" s="1"/>
  <c r="C3199"/>
  <c r="D3199" s="1"/>
  <c r="C3198"/>
  <c r="D3198" s="1"/>
  <c r="C3197"/>
  <c r="D3197" s="1"/>
  <c r="C3196"/>
  <c r="D3196" s="1"/>
  <c r="C3195"/>
  <c r="D3195" s="1"/>
  <c r="C3194"/>
  <c r="D3194" s="1"/>
  <c r="C3193"/>
  <c r="D3193" s="1"/>
  <c r="C3192"/>
  <c r="D3192" s="1"/>
  <c r="C3191"/>
  <c r="D3191" s="1"/>
  <c r="C3190"/>
  <c r="D3190" s="1"/>
  <c r="C3189"/>
  <c r="D3189" s="1"/>
  <c r="C3188"/>
  <c r="D3188" s="1"/>
  <c r="C3187"/>
  <c r="D3187" s="1"/>
  <c r="C3186"/>
  <c r="D3186" s="1"/>
  <c r="C3185"/>
  <c r="D3185" s="1"/>
  <c r="C3184"/>
  <c r="D3184" s="1"/>
  <c r="C3183"/>
  <c r="D3183" s="1"/>
  <c r="C3182"/>
  <c r="D3182" s="1"/>
  <c r="C3181"/>
  <c r="D3181" s="1"/>
  <c r="C3180"/>
  <c r="D3180" s="1"/>
  <c r="C3179"/>
  <c r="D3179" s="1"/>
  <c r="C3178"/>
  <c r="D3178" s="1"/>
  <c r="C3177"/>
  <c r="D3177" s="1"/>
  <c r="C3176"/>
  <c r="D3176" s="1"/>
  <c r="C3175"/>
  <c r="D3175" s="1"/>
  <c r="C3174"/>
  <c r="D3174" s="1"/>
  <c r="C3173"/>
  <c r="D3173" s="1"/>
  <c r="C3172"/>
  <c r="D3172" s="1"/>
  <c r="C3171"/>
  <c r="D3171" s="1"/>
  <c r="C3170"/>
  <c r="D3170" s="1"/>
  <c r="C3169"/>
  <c r="D3169" s="1"/>
  <c r="C3168"/>
  <c r="D3168" s="1"/>
  <c r="C3167"/>
  <c r="D3167" s="1"/>
  <c r="C3166"/>
  <c r="D3166" s="1"/>
  <c r="C3165"/>
  <c r="D3165" s="1"/>
  <c r="C3164"/>
  <c r="D3164" s="1"/>
  <c r="C3163"/>
  <c r="D3163" s="1"/>
  <c r="C3162"/>
  <c r="D3162" s="1"/>
  <c r="C3161"/>
  <c r="D3161" s="1"/>
  <c r="C3160"/>
  <c r="D3160" s="1"/>
  <c r="C3159"/>
  <c r="D3159" s="1"/>
  <c r="C3158"/>
  <c r="D3158" s="1"/>
  <c r="C3157"/>
  <c r="D3157" s="1"/>
  <c r="C3156"/>
  <c r="D3156" s="1"/>
  <c r="C3155"/>
  <c r="D3155" s="1"/>
  <c r="C3154"/>
  <c r="D3154" s="1"/>
  <c r="C3153"/>
  <c r="D3153" s="1"/>
  <c r="C3152"/>
  <c r="D3152" s="1"/>
  <c r="C3151"/>
  <c r="D3151" s="1"/>
  <c r="C3150"/>
  <c r="D3150" s="1"/>
  <c r="C3149"/>
  <c r="D3149" s="1"/>
  <c r="C3148"/>
  <c r="D3148" s="1"/>
  <c r="C3147"/>
  <c r="D3147" s="1"/>
  <c r="C3146"/>
  <c r="D3146" s="1"/>
  <c r="C3145"/>
  <c r="D3145" s="1"/>
  <c r="C3144"/>
  <c r="D3144" s="1"/>
  <c r="C3143"/>
  <c r="D3143" s="1"/>
  <c r="C3142"/>
  <c r="D3142" s="1"/>
  <c r="C3141"/>
  <c r="D3141" s="1"/>
  <c r="C3140"/>
  <c r="D3140" s="1"/>
  <c r="C3139"/>
  <c r="D3139" s="1"/>
  <c r="C3138"/>
  <c r="D3138" s="1"/>
  <c r="C3137"/>
  <c r="D3137" s="1"/>
  <c r="C3136"/>
  <c r="D3136" s="1"/>
  <c r="C3135"/>
  <c r="D3135" s="1"/>
  <c r="C3134"/>
  <c r="D3134" s="1"/>
  <c r="C3133"/>
  <c r="D3133" s="1"/>
  <c r="C3132"/>
  <c r="D3132" s="1"/>
  <c r="C3131"/>
  <c r="D3131" s="1"/>
  <c r="C3130"/>
  <c r="D3130" s="1"/>
  <c r="C3129"/>
  <c r="D3129" s="1"/>
  <c r="C3128"/>
  <c r="D3128" s="1"/>
  <c r="C3127"/>
  <c r="D3127" s="1"/>
  <c r="C3126"/>
  <c r="D3126" s="1"/>
  <c r="C3125"/>
  <c r="D3125" s="1"/>
  <c r="C3124"/>
  <c r="D3124" s="1"/>
  <c r="C3123"/>
  <c r="D3123" s="1"/>
  <c r="C3122"/>
  <c r="D3122" s="1"/>
  <c r="C3121"/>
  <c r="D3121" s="1"/>
  <c r="C3120"/>
  <c r="D3120" s="1"/>
  <c r="C3119"/>
  <c r="D3119" s="1"/>
  <c r="C3118"/>
  <c r="D3118" s="1"/>
  <c r="C3117"/>
  <c r="D3117" s="1"/>
  <c r="C3116"/>
  <c r="D3116" s="1"/>
  <c r="C3115"/>
  <c r="D3115" s="1"/>
  <c r="C3114"/>
  <c r="D3114" s="1"/>
  <c r="C3113"/>
  <c r="D3113" s="1"/>
  <c r="C3112"/>
  <c r="D3112" s="1"/>
  <c r="C3111"/>
  <c r="D3111" s="1"/>
  <c r="C3110"/>
  <c r="D3110" s="1"/>
  <c r="C3109"/>
  <c r="D3109" s="1"/>
  <c r="C3108"/>
  <c r="D3108" s="1"/>
  <c r="C3107"/>
  <c r="D3107" s="1"/>
  <c r="C3106"/>
  <c r="D3106" s="1"/>
  <c r="C3105"/>
  <c r="D3105" s="1"/>
  <c r="C3104"/>
  <c r="D3104" s="1"/>
  <c r="C3103"/>
  <c r="D3103" s="1"/>
  <c r="C3102"/>
  <c r="D3102" s="1"/>
  <c r="C3101"/>
  <c r="D3101" s="1"/>
  <c r="C3100"/>
  <c r="D3100" s="1"/>
  <c r="C3099"/>
  <c r="D3099" s="1"/>
  <c r="C3098"/>
  <c r="D3098" s="1"/>
  <c r="C3097"/>
  <c r="D3097" s="1"/>
  <c r="C3096"/>
  <c r="D3096" s="1"/>
  <c r="C3095"/>
  <c r="D3095" s="1"/>
  <c r="C3094"/>
  <c r="D3094" s="1"/>
  <c r="C3093"/>
  <c r="D3093" s="1"/>
  <c r="C3092"/>
  <c r="D3092" s="1"/>
  <c r="C3091"/>
  <c r="D3091" s="1"/>
  <c r="C3090"/>
  <c r="D3090" s="1"/>
  <c r="C3089"/>
  <c r="D3089" s="1"/>
  <c r="C3088"/>
  <c r="D3088" s="1"/>
  <c r="C3087"/>
  <c r="D3087" s="1"/>
  <c r="C3086"/>
  <c r="D3086" s="1"/>
  <c r="C3085"/>
  <c r="D3085" s="1"/>
  <c r="C3084"/>
  <c r="D3084" s="1"/>
  <c r="C3083"/>
  <c r="D3083" s="1"/>
  <c r="C3082"/>
  <c r="D3082" s="1"/>
  <c r="C3081"/>
  <c r="D3081" s="1"/>
  <c r="C3080"/>
  <c r="D3080" s="1"/>
  <c r="C3079"/>
  <c r="D3079" s="1"/>
  <c r="C3078"/>
  <c r="D3078" s="1"/>
  <c r="C3077"/>
  <c r="D3077" s="1"/>
  <c r="C3076"/>
  <c r="D3076" s="1"/>
  <c r="C3075"/>
  <c r="D3075" s="1"/>
  <c r="C3074"/>
  <c r="D3074" s="1"/>
  <c r="C3073"/>
  <c r="D3073" s="1"/>
  <c r="C3072"/>
  <c r="D3072" s="1"/>
  <c r="C3071"/>
  <c r="D3071" s="1"/>
  <c r="C3070"/>
  <c r="D3070" s="1"/>
  <c r="C3069"/>
  <c r="D3069" s="1"/>
  <c r="C3068"/>
  <c r="D3068" s="1"/>
  <c r="C3067"/>
  <c r="D3067" s="1"/>
  <c r="C3066"/>
  <c r="D3066" s="1"/>
  <c r="C3065"/>
  <c r="D3065" s="1"/>
  <c r="C3064"/>
  <c r="D3064" s="1"/>
  <c r="C3063"/>
  <c r="D3063" s="1"/>
  <c r="C3062"/>
  <c r="D3062" s="1"/>
  <c r="C3061"/>
  <c r="D3061" s="1"/>
  <c r="C3060"/>
  <c r="D3060" s="1"/>
  <c r="C3059"/>
  <c r="D3059" s="1"/>
  <c r="C3058"/>
  <c r="D3058" s="1"/>
  <c r="C3057"/>
  <c r="D3057" s="1"/>
  <c r="C3056"/>
  <c r="D3056" s="1"/>
  <c r="C3055"/>
  <c r="D3055" s="1"/>
  <c r="C3054"/>
  <c r="D3054" s="1"/>
  <c r="C3053"/>
  <c r="D3053" s="1"/>
  <c r="C3052"/>
  <c r="D3052" s="1"/>
  <c r="C3051"/>
  <c r="D3051" s="1"/>
  <c r="C3050"/>
  <c r="D3050" s="1"/>
  <c r="C3049"/>
  <c r="D3049" s="1"/>
  <c r="C3048"/>
  <c r="D3048" s="1"/>
  <c r="C3047"/>
  <c r="D3047" s="1"/>
  <c r="C3046"/>
  <c r="D3046" s="1"/>
  <c r="C3045"/>
  <c r="D3045" s="1"/>
  <c r="C3044"/>
  <c r="D3044" s="1"/>
  <c r="C3043"/>
  <c r="D3043" s="1"/>
  <c r="C3042"/>
  <c r="D3042" s="1"/>
  <c r="C3041"/>
  <c r="D3041" s="1"/>
  <c r="C3040"/>
  <c r="D3040" s="1"/>
  <c r="C3039"/>
  <c r="D3039" s="1"/>
  <c r="C3038"/>
  <c r="D3038" s="1"/>
  <c r="C3037"/>
  <c r="D3037" s="1"/>
  <c r="C3036"/>
  <c r="D3036" s="1"/>
  <c r="C3035"/>
  <c r="D3035" s="1"/>
  <c r="C3034"/>
  <c r="D3034" s="1"/>
  <c r="C3033"/>
  <c r="D3033" s="1"/>
  <c r="C3032"/>
  <c r="D3032" s="1"/>
  <c r="C3031"/>
  <c r="D3031" s="1"/>
  <c r="C3030"/>
  <c r="D3030" s="1"/>
  <c r="C3029"/>
  <c r="D3029" s="1"/>
  <c r="C3028"/>
  <c r="D3028" s="1"/>
  <c r="C3027"/>
  <c r="D3027" s="1"/>
  <c r="C3026"/>
  <c r="D3026" s="1"/>
  <c r="C3025"/>
  <c r="D3025" s="1"/>
  <c r="C3024"/>
  <c r="D3024" s="1"/>
  <c r="C3023"/>
  <c r="D3023" s="1"/>
  <c r="C3022"/>
  <c r="D3022" s="1"/>
  <c r="C3021"/>
  <c r="D3021" s="1"/>
  <c r="C3020"/>
  <c r="D3020" s="1"/>
  <c r="C3019"/>
  <c r="D3019" s="1"/>
  <c r="C3018"/>
  <c r="D3018" s="1"/>
  <c r="C3017"/>
  <c r="D3017" s="1"/>
  <c r="C3016"/>
  <c r="D3016" s="1"/>
  <c r="C3015"/>
  <c r="D3015" s="1"/>
  <c r="C3014"/>
  <c r="D3014" s="1"/>
  <c r="C3013"/>
  <c r="D3013" s="1"/>
  <c r="C3012"/>
  <c r="D3012" s="1"/>
  <c r="C3011"/>
  <c r="D3011" s="1"/>
  <c r="C3010"/>
  <c r="D3010" s="1"/>
  <c r="C3009"/>
  <c r="D3009" s="1"/>
  <c r="C3008"/>
  <c r="D3008" s="1"/>
  <c r="C3007"/>
  <c r="D3007" s="1"/>
  <c r="C3006"/>
  <c r="D3006" s="1"/>
  <c r="C3005"/>
  <c r="D3005" s="1"/>
  <c r="C3004"/>
  <c r="D3004" s="1"/>
  <c r="C3003"/>
  <c r="D3003" s="1"/>
  <c r="C3002"/>
  <c r="D3002" s="1"/>
  <c r="C3001"/>
  <c r="D3001" s="1"/>
  <c r="C3000"/>
  <c r="D3000" s="1"/>
  <c r="C2999"/>
  <c r="D2999" s="1"/>
  <c r="C2998"/>
  <c r="D2998" s="1"/>
  <c r="C2997"/>
  <c r="D2997" s="1"/>
  <c r="C2996"/>
  <c r="D2996" s="1"/>
  <c r="C2995"/>
  <c r="D2995" s="1"/>
  <c r="C2994"/>
  <c r="D2994" s="1"/>
  <c r="C2993"/>
  <c r="D2993" s="1"/>
  <c r="C2992"/>
  <c r="D2992" s="1"/>
  <c r="C2991"/>
  <c r="D2991" s="1"/>
  <c r="C2990"/>
  <c r="D2990" s="1"/>
  <c r="C2989"/>
  <c r="D2989" s="1"/>
  <c r="C2988"/>
  <c r="D2988" s="1"/>
  <c r="C2987"/>
  <c r="D2987" s="1"/>
  <c r="C2986"/>
  <c r="D2986" s="1"/>
  <c r="C2985"/>
  <c r="D2985" s="1"/>
  <c r="C2984"/>
  <c r="D2984" s="1"/>
  <c r="C2983"/>
  <c r="D2983" s="1"/>
  <c r="C2982"/>
  <c r="D2982" s="1"/>
  <c r="C2981"/>
  <c r="D2981" s="1"/>
  <c r="C2980"/>
  <c r="D2980" s="1"/>
  <c r="C2979"/>
  <c r="D2979" s="1"/>
  <c r="C2978"/>
  <c r="D2978" s="1"/>
  <c r="C2977"/>
  <c r="D2977" s="1"/>
  <c r="C2976"/>
  <c r="D2976" s="1"/>
  <c r="C2975"/>
  <c r="D2975" s="1"/>
  <c r="C2974"/>
  <c r="D2974" s="1"/>
  <c r="C2973"/>
  <c r="D2973" s="1"/>
  <c r="C2972"/>
  <c r="D2972" s="1"/>
  <c r="C2971"/>
  <c r="D2971" s="1"/>
  <c r="C2970"/>
  <c r="D2970" s="1"/>
  <c r="C2969"/>
  <c r="D2969" s="1"/>
  <c r="C2968"/>
  <c r="D2968" s="1"/>
  <c r="C2967"/>
  <c r="D2967" s="1"/>
  <c r="C2966"/>
  <c r="D2966" s="1"/>
  <c r="C2965"/>
  <c r="D2965" s="1"/>
  <c r="C2964"/>
  <c r="D2964" s="1"/>
  <c r="C2963"/>
  <c r="D2963" s="1"/>
  <c r="C2962"/>
  <c r="D2962" s="1"/>
  <c r="C2961"/>
  <c r="D2961" s="1"/>
  <c r="C2960"/>
  <c r="D2960" s="1"/>
  <c r="C2959"/>
  <c r="D2959" s="1"/>
  <c r="C2958"/>
  <c r="D2958" s="1"/>
  <c r="C2957"/>
  <c r="D2957" s="1"/>
  <c r="C2956"/>
  <c r="D2956" s="1"/>
  <c r="C2955"/>
  <c r="D2955" s="1"/>
  <c r="C2954"/>
  <c r="D2954" s="1"/>
  <c r="C2953"/>
  <c r="D2953" s="1"/>
  <c r="C2952"/>
  <c r="D2952" s="1"/>
  <c r="C2951"/>
  <c r="D2951" s="1"/>
  <c r="C2950"/>
  <c r="D2950" s="1"/>
  <c r="C2949"/>
  <c r="D2949" s="1"/>
  <c r="C2948"/>
  <c r="D2948" s="1"/>
  <c r="C2947"/>
  <c r="D2947" s="1"/>
  <c r="C2946"/>
  <c r="D2946" s="1"/>
  <c r="C2945"/>
  <c r="D2945" s="1"/>
  <c r="C2944"/>
  <c r="D2944" s="1"/>
  <c r="C2943"/>
  <c r="D2943" s="1"/>
  <c r="C2942"/>
  <c r="D2942" s="1"/>
  <c r="C2941"/>
  <c r="D2941" s="1"/>
  <c r="C2940"/>
  <c r="D2940" s="1"/>
  <c r="C2939"/>
  <c r="D2939" s="1"/>
  <c r="C2938"/>
  <c r="D2938" s="1"/>
  <c r="C2937"/>
  <c r="D2937" s="1"/>
  <c r="C2936"/>
  <c r="D2936" s="1"/>
  <c r="C2935"/>
  <c r="D2935" s="1"/>
  <c r="C2934"/>
  <c r="D2934" s="1"/>
  <c r="C2933"/>
  <c r="D2933" s="1"/>
  <c r="C2932"/>
  <c r="D2932" s="1"/>
  <c r="C2931"/>
  <c r="D2931" s="1"/>
  <c r="C2930"/>
  <c r="D2930" s="1"/>
  <c r="C2929"/>
  <c r="D2929" s="1"/>
  <c r="C2928"/>
  <c r="D2928" s="1"/>
  <c r="C2927"/>
  <c r="D2927" s="1"/>
  <c r="C2926"/>
  <c r="D2926" s="1"/>
  <c r="C2925"/>
  <c r="D2925" s="1"/>
  <c r="C2924"/>
  <c r="D2924" s="1"/>
  <c r="C2923"/>
  <c r="D2923" s="1"/>
  <c r="C2922"/>
  <c r="D2922" s="1"/>
  <c r="C2921"/>
  <c r="D2921" s="1"/>
  <c r="C2920"/>
  <c r="D2920" s="1"/>
  <c r="C2919"/>
  <c r="D2919" s="1"/>
  <c r="C2918"/>
  <c r="D2918" s="1"/>
  <c r="C2917"/>
  <c r="D2917" s="1"/>
  <c r="C2916"/>
  <c r="D2916" s="1"/>
  <c r="C2915"/>
  <c r="D2915" s="1"/>
  <c r="C2914"/>
  <c r="D2914" s="1"/>
  <c r="C2913"/>
  <c r="D2913" s="1"/>
  <c r="C2912"/>
  <c r="D2912" s="1"/>
  <c r="C2911"/>
  <c r="D2911" s="1"/>
  <c r="C2910"/>
  <c r="D2910" s="1"/>
  <c r="C2909"/>
  <c r="D2909" s="1"/>
  <c r="C2908"/>
  <c r="D2908" s="1"/>
  <c r="C2907"/>
  <c r="D2907" s="1"/>
  <c r="C2906"/>
  <c r="D2906" s="1"/>
  <c r="C2905"/>
  <c r="D2905" s="1"/>
  <c r="C2904"/>
  <c r="D2904" s="1"/>
  <c r="C2903"/>
  <c r="D2903" s="1"/>
  <c r="C2902"/>
  <c r="D2902" s="1"/>
  <c r="C2901"/>
  <c r="D2901" s="1"/>
  <c r="C2900"/>
  <c r="D2900" s="1"/>
  <c r="C2899"/>
  <c r="D2899" s="1"/>
  <c r="C2898"/>
  <c r="D2898" s="1"/>
  <c r="C2897"/>
  <c r="D2897" s="1"/>
  <c r="C2896"/>
  <c r="D2896" s="1"/>
  <c r="C2895"/>
  <c r="D2895" s="1"/>
  <c r="C2894"/>
  <c r="D2894" s="1"/>
  <c r="C2893"/>
  <c r="D2893" s="1"/>
  <c r="C2892"/>
  <c r="D2892" s="1"/>
  <c r="C2891"/>
  <c r="D2891" s="1"/>
  <c r="C2890"/>
  <c r="D2890" s="1"/>
  <c r="C2889"/>
  <c r="D2889" s="1"/>
  <c r="C2888"/>
  <c r="D2888" s="1"/>
  <c r="C2887"/>
  <c r="D2887" s="1"/>
  <c r="C2886"/>
  <c r="D2886" s="1"/>
  <c r="C2885"/>
  <c r="D2885" s="1"/>
  <c r="C2884"/>
  <c r="D2884" s="1"/>
  <c r="C2883"/>
  <c r="D2883" s="1"/>
  <c r="C2882"/>
  <c r="D2882" s="1"/>
  <c r="C2881"/>
  <c r="D2881" s="1"/>
  <c r="C2880"/>
  <c r="D2880" s="1"/>
  <c r="C2879"/>
  <c r="D2879" s="1"/>
  <c r="C2878"/>
  <c r="D2878" s="1"/>
  <c r="C2877"/>
  <c r="D2877" s="1"/>
  <c r="C2876"/>
  <c r="D2876" s="1"/>
  <c r="C2875"/>
  <c r="D2875" s="1"/>
  <c r="C2874"/>
  <c r="D2874" s="1"/>
  <c r="C2873"/>
  <c r="D2873" s="1"/>
  <c r="C2872"/>
  <c r="D2872" s="1"/>
  <c r="C2871"/>
  <c r="D2871" s="1"/>
  <c r="C2870"/>
  <c r="D2870" s="1"/>
  <c r="C2869"/>
  <c r="D2869" s="1"/>
  <c r="C2868"/>
  <c r="D2868" s="1"/>
  <c r="C2867"/>
  <c r="D2867" s="1"/>
  <c r="C2866"/>
  <c r="D2866" s="1"/>
  <c r="C2865"/>
  <c r="D2865" s="1"/>
  <c r="C2864"/>
  <c r="D2864" s="1"/>
  <c r="C2863"/>
  <c r="D2863" s="1"/>
  <c r="C2862"/>
  <c r="D2862" s="1"/>
  <c r="C2861"/>
  <c r="D2861" s="1"/>
  <c r="C2860"/>
  <c r="D2860" s="1"/>
  <c r="C2859"/>
  <c r="D2859" s="1"/>
  <c r="C2858"/>
  <c r="D2858" s="1"/>
  <c r="C2857"/>
  <c r="D2857" s="1"/>
  <c r="C2856"/>
  <c r="D2856" s="1"/>
  <c r="C2855"/>
  <c r="D2855" s="1"/>
  <c r="C2854"/>
  <c r="D2854" s="1"/>
  <c r="C2853"/>
  <c r="D2853" s="1"/>
  <c r="C2852"/>
  <c r="D2852" s="1"/>
  <c r="C2851"/>
  <c r="D2851" s="1"/>
  <c r="C2850"/>
  <c r="D2850" s="1"/>
  <c r="C2849"/>
  <c r="D2849" s="1"/>
  <c r="C2848"/>
  <c r="D2848" s="1"/>
  <c r="C2847"/>
  <c r="D2847" s="1"/>
  <c r="C2846"/>
  <c r="D2846" s="1"/>
  <c r="C2845"/>
  <c r="D2845" s="1"/>
  <c r="C2844"/>
  <c r="D2844" s="1"/>
  <c r="C2843"/>
  <c r="D2843" s="1"/>
  <c r="C2842"/>
  <c r="D2842" s="1"/>
  <c r="C2841"/>
  <c r="D2841" s="1"/>
  <c r="C2840"/>
  <c r="D2840" s="1"/>
  <c r="C2839"/>
  <c r="D2839" s="1"/>
  <c r="C2838"/>
  <c r="D2838" s="1"/>
  <c r="C2837"/>
  <c r="D2837" s="1"/>
  <c r="C2836"/>
  <c r="D2836" s="1"/>
  <c r="C2835"/>
  <c r="D2835" s="1"/>
  <c r="C2834"/>
  <c r="D2834" s="1"/>
  <c r="C2833"/>
  <c r="D2833" s="1"/>
  <c r="C2832"/>
  <c r="D2832" s="1"/>
  <c r="C2831"/>
  <c r="D2831" s="1"/>
  <c r="C2830"/>
  <c r="D2830" s="1"/>
  <c r="C2829"/>
  <c r="D2829" s="1"/>
  <c r="C2828"/>
  <c r="D2828" s="1"/>
  <c r="C2827"/>
  <c r="D2827" s="1"/>
  <c r="C2826"/>
  <c r="D2826" s="1"/>
  <c r="C2825"/>
  <c r="D2825" s="1"/>
  <c r="C2824"/>
  <c r="D2824" s="1"/>
  <c r="C2823"/>
  <c r="D2823" s="1"/>
  <c r="C2822"/>
  <c r="D2822" s="1"/>
  <c r="C2821"/>
  <c r="D2821" s="1"/>
  <c r="C2820"/>
  <c r="D2820" s="1"/>
  <c r="C2819"/>
  <c r="D2819" s="1"/>
  <c r="C2818"/>
  <c r="D2818" s="1"/>
  <c r="C2817"/>
  <c r="D2817" s="1"/>
  <c r="C2816"/>
  <c r="D2816" s="1"/>
  <c r="C2815"/>
  <c r="D2815" s="1"/>
  <c r="C2814"/>
  <c r="D2814" s="1"/>
  <c r="C2813"/>
  <c r="D2813" s="1"/>
  <c r="C2812"/>
  <c r="D2812" s="1"/>
  <c r="C2811"/>
  <c r="D2811" s="1"/>
  <c r="C2810"/>
  <c r="D2810" s="1"/>
  <c r="C2809"/>
  <c r="D2809" s="1"/>
  <c r="C2808"/>
  <c r="D2808" s="1"/>
  <c r="C2807"/>
  <c r="D2807" s="1"/>
  <c r="C2806"/>
  <c r="D2806" s="1"/>
  <c r="C2805"/>
  <c r="D2805" s="1"/>
  <c r="C2804"/>
  <c r="D2804" s="1"/>
  <c r="C2803"/>
  <c r="D2803" s="1"/>
  <c r="C2802"/>
  <c r="D2802" s="1"/>
  <c r="C2801"/>
  <c r="D2801" s="1"/>
  <c r="C2800"/>
  <c r="D2800" s="1"/>
  <c r="C2799"/>
  <c r="D2799" s="1"/>
  <c r="C2798"/>
  <c r="D2798" s="1"/>
  <c r="C2797"/>
  <c r="D2797" s="1"/>
  <c r="C2796"/>
  <c r="D2796" s="1"/>
  <c r="C2795"/>
  <c r="D2795" s="1"/>
  <c r="C2794"/>
  <c r="D2794" s="1"/>
  <c r="C2793"/>
  <c r="D2793" s="1"/>
  <c r="C2792"/>
  <c r="D2792" s="1"/>
  <c r="C2791"/>
  <c r="D2791" s="1"/>
  <c r="C2790"/>
  <c r="D2790" s="1"/>
  <c r="C2789"/>
  <c r="D2789" s="1"/>
  <c r="C2788"/>
  <c r="D2788" s="1"/>
  <c r="C2787"/>
  <c r="D2787" s="1"/>
  <c r="C2786"/>
  <c r="D2786" s="1"/>
  <c r="C2785"/>
  <c r="D2785" s="1"/>
  <c r="C2784"/>
  <c r="D2784" s="1"/>
  <c r="C2783"/>
  <c r="D2783" s="1"/>
  <c r="C2782"/>
  <c r="D2782" s="1"/>
  <c r="C2781"/>
  <c r="D2781" s="1"/>
  <c r="C2780"/>
  <c r="D2780" s="1"/>
  <c r="C2779"/>
  <c r="D2779" s="1"/>
  <c r="C2778"/>
  <c r="D2778" s="1"/>
  <c r="C2777"/>
  <c r="D2777" s="1"/>
  <c r="C2776"/>
  <c r="D2776" s="1"/>
  <c r="C2775"/>
  <c r="D2775" s="1"/>
  <c r="C2774"/>
  <c r="D2774" s="1"/>
  <c r="C2773"/>
  <c r="D2773" s="1"/>
  <c r="C2772"/>
  <c r="D2772" s="1"/>
  <c r="C2771"/>
  <c r="D2771" s="1"/>
  <c r="C2770"/>
  <c r="D2770" s="1"/>
  <c r="C2769"/>
  <c r="D2769" s="1"/>
  <c r="C2768"/>
  <c r="D2768" s="1"/>
  <c r="C2767"/>
  <c r="D2767" s="1"/>
  <c r="C2766"/>
  <c r="D2766" s="1"/>
  <c r="C2765"/>
  <c r="D2765" s="1"/>
  <c r="C2764"/>
  <c r="D2764" s="1"/>
  <c r="C2763"/>
  <c r="D2763" s="1"/>
  <c r="C2762"/>
  <c r="D2762" s="1"/>
  <c r="C2761"/>
  <c r="D2761" s="1"/>
  <c r="C2760"/>
  <c r="D2760" s="1"/>
  <c r="C2759"/>
  <c r="D2759" s="1"/>
  <c r="C2758"/>
  <c r="D2758" s="1"/>
  <c r="C2757"/>
  <c r="D2757" s="1"/>
  <c r="C2756"/>
  <c r="D2756" s="1"/>
  <c r="C2755"/>
  <c r="D2755" s="1"/>
  <c r="C2754"/>
  <c r="D2754" s="1"/>
  <c r="C2753"/>
  <c r="D2753" s="1"/>
  <c r="C2752"/>
  <c r="D2752" s="1"/>
  <c r="C2751"/>
  <c r="D2751" s="1"/>
  <c r="C2750"/>
  <c r="D2750" s="1"/>
  <c r="C2749"/>
  <c r="D2749" s="1"/>
  <c r="C2748"/>
  <c r="D2748" s="1"/>
  <c r="C2747"/>
  <c r="D2747" s="1"/>
  <c r="C2746"/>
  <c r="D2746" s="1"/>
  <c r="C2745"/>
  <c r="D2745" s="1"/>
  <c r="C2744"/>
  <c r="D2744" s="1"/>
  <c r="C2743"/>
  <c r="D2743" s="1"/>
  <c r="C2742"/>
  <c r="D2742" s="1"/>
  <c r="C2741"/>
  <c r="D2741" s="1"/>
  <c r="C2740"/>
  <c r="D2740" s="1"/>
  <c r="C2739"/>
  <c r="D2739" s="1"/>
  <c r="C2738"/>
  <c r="D2738" s="1"/>
  <c r="C2737"/>
  <c r="D2737" s="1"/>
  <c r="C2736"/>
  <c r="D2736" s="1"/>
  <c r="C2735"/>
  <c r="D2735" s="1"/>
  <c r="C2734"/>
  <c r="D2734" s="1"/>
  <c r="C2733"/>
  <c r="D2733" s="1"/>
  <c r="C2732"/>
  <c r="D2732" s="1"/>
  <c r="C2731"/>
  <c r="D2731" s="1"/>
  <c r="C2730"/>
  <c r="D2730" s="1"/>
  <c r="C2729"/>
  <c r="D2729" s="1"/>
  <c r="C2728"/>
  <c r="D2728" s="1"/>
  <c r="C2727"/>
  <c r="D2727" s="1"/>
  <c r="C2726"/>
  <c r="D2726" s="1"/>
  <c r="C2725"/>
  <c r="D2725" s="1"/>
  <c r="C2724"/>
  <c r="D2724" s="1"/>
  <c r="C2723"/>
  <c r="D2723" s="1"/>
  <c r="C2722"/>
  <c r="D2722" s="1"/>
  <c r="C2721"/>
  <c r="D2721" s="1"/>
  <c r="C2720"/>
  <c r="D2720" s="1"/>
  <c r="C2719"/>
  <c r="D2719" s="1"/>
  <c r="C2718"/>
  <c r="D2718" s="1"/>
  <c r="C2717"/>
  <c r="D2717" s="1"/>
  <c r="C2716"/>
  <c r="D2716" s="1"/>
  <c r="C2715"/>
  <c r="D2715" s="1"/>
  <c r="C2714"/>
  <c r="D2714" s="1"/>
  <c r="C2713"/>
  <c r="D2713" s="1"/>
  <c r="C2712"/>
  <c r="D2712" s="1"/>
  <c r="C2711"/>
  <c r="D2711" s="1"/>
  <c r="C2710"/>
  <c r="D2710" s="1"/>
  <c r="C2709"/>
  <c r="D2709" s="1"/>
  <c r="C2708"/>
  <c r="D2708" s="1"/>
  <c r="C2707"/>
  <c r="D2707" s="1"/>
  <c r="C2706"/>
  <c r="D2706" s="1"/>
  <c r="C2705"/>
  <c r="D2705" s="1"/>
  <c r="C2704"/>
  <c r="D2704" s="1"/>
  <c r="C2703"/>
  <c r="D2703" s="1"/>
  <c r="C2702"/>
  <c r="D2702" s="1"/>
  <c r="C2701"/>
  <c r="D2701" s="1"/>
  <c r="C2700"/>
  <c r="D2700" s="1"/>
  <c r="C2699"/>
  <c r="D2699" s="1"/>
  <c r="C2698"/>
  <c r="D2698" s="1"/>
  <c r="C2697"/>
  <c r="D2697" s="1"/>
  <c r="C2696"/>
  <c r="D2696" s="1"/>
  <c r="C2695"/>
  <c r="D2695" s="1"/>
  <c r="C2694"/>
  <c r="D2694" s="1"/>
  <c r="C2693"/>
  <c r="D2693" s="1"/>
  <c r="C2692"/>
  <c r="D2692" s="1"/>
  <c r="C2691"/>
  <c r="D2691" s="1"/>
  <c r="C2690"/>
  <c r="D2690" s="1"/>
  <c r="C2689"/>
  <c r="D2689" s="1"/>
  <c r="C2688"/>
  <c r="D2688" s="1"/>
  <c r="C2687"/>
  <c r="D2687" s="1"/>
  <c r="C2686"/>
  <c r="D2686" s="1"/>
  <c r="C2685"/>
  <c r="D2685" s="1"/>
  <c r="C2684"/>
  <c r="D2684" s="1"/>
  <c r="C2683"/>
  <c r="D2683" s="1"/>
  <c r="C2682"/>
  <c r="D2682" s="1"/>
  <c r="C2681"/>
  <c r="D2681" s="1"/>
  <c r="C2680"/>
  <c r="D2680" s="1"/>
  <c r="C2679"/>
  <c r="D2679" s="1"/>
  <c r="C2678"/>
  <c r="D2678" s="1"/>
  <c r="C2677"/>
  <c r="D2677" s="1"/>
  <c r="C2676"/>
  <c r="D2676" s="1"/>
  <c r="C2675"/>
  <c r="D2675" s="1"/>
  <c r="C2674"/>
  <c r="D2674" s="1"/>
  <c r="C2673"/>
  <c r="D2673" s="1"/>
  <c r="C2672"/>
  <c r="D2672" s="1"/>
  <c r="C2671"/>
  <c r="D2671" s="1"/>
  <c r="C2670"/>
  <c r="D2670" s="1"/>
  <c r="C2669"/>
  <c r="D2669" s="1"/>
  <c r="C2668"/>
  <c r="D2668" s="1"/>
  <c r="C2667"/>
  <c r="D2667" s="1"/>
  <c r="C2666"/>
  <c r="D2666" s="1"/>
  <c r="C2665"/>
  <c r="D2665" s="1"/>
  <c r="C2664"/>
  <c r="D2664" s="1"/>
  <c r="C2663"/>
  <c r="D2663" s="1"/>
  <c r="C2662"/>
  <c r="D2662" s="1"/>
  <c r="C2661"/>
  <c r="D2661" s="1"/>
  <c r="C2660"/>
  <c r="D2660" s="1"/>
  <c r="C2659"/>
  <c r="D2659" s="1"/>
  <c r="C2658"/>
  <c r="D2658" s="1"/>
  <c r="C2657"/>
  <c r="D2657" s="1"/>
  <c r="C2656"/>
  <c r="D2656" s="1"/>
  <c r="C2655"/>
  <c r="D2655" s="1"/>
  <c r="C2654"/>
  <c r="D2654" s="1"/>
  <c r="C2653"/>
  <c r="D2653" s="1"/>
  <c r="C2652"/>
  <c r="D2652" s="1"/>
  <c r="C2651"/>
  <c r="D2651" s="1"/>
  <c r="C2650"/>
  <c r="D2650" s="1"/>
  <c r="C2649"/>
  <c r="D2649" s="1"/>
  <c r="C2648"/>
  <c r="D2648" s="1"/>
  <c r="C2647"/>
  <c r="D2647" s="1"/>
  <c r="C2646"/>
  <c r="D2646" s="1"/>
  <c r="C2645"/>
  <c r="D2645" s="1"/>
  <c r="C2644"/>
  <c r="D2644" s="1"/>
  <c r="C2643"/>
  <c r="D2643" s="1"/>
  <c r="C2642"/>
  <c r="D2642" s="1"/>
  <c r="C2641"/>
  <c r="D2641" s="1"/>
  <c r="C2640"/>
  <c r="D2640" s="1"/>
  <c r="C2639"/>
  <c r="D2639" s="1"/>
  <c r="C2638"/>
  <c r="D2638" s="1"/>
  <c r="C2637"/>
  <c r="D2637" s="1"/>
  <c r="C2636"/>
  <c r="D2636" s="1"/>
  <c r="C2635"/>
  <c r="D2635" s="1"/>
  <c r="C2634"/>
  <c r="D2634" s="1"/>
  <c r="C2633"/>
  <c r="D2633" s="1"/>
  <c r="C2632"/>
  <c r="D2632" s="1"/>
  <c r="C2631"/>
  <c r="D2631" s="1"/>
  <c r="C2630"/>
  <c r="D2630" s="1"/>
  <c r="C2629"/>
  <c r="D2629" s="1"/>
  <c r="C2628"/>
  <c r="D2628" s="1"/>
  <c r="C2627"/>
  <c r="D2627" s="1"/>
  <c r="C2626"/>
  <c r="D2626" s="1"/>
  <c r="C2625"/>
  <c r="D2625" s="1"/>
  <c r="C2624"/>
  <c r="D2624" s="1"/>
  <c r="C2623"/>
  <c r="D2623" s="1"/>
  <c r="C2622"/>
  <c r="D2622" s="1"/>
  <c r="C2621"/>
  <c r="D2621" s="1"/>
  <c r="C2620"/>
  <c r="D2620" s="1"/>
  <c r="C2619"/>
  <c r="D2619" s="1"/>
  <c r="C2618"/>
  <c r="D2618" s="1"/>
  <c r="C2617"/>
  <c r="D2617" s="1"/>
  <c r="C2616"/>
  <c r="D2616" s="1"/>
  <c r="C2615"/>
  <c r="D2615" s="1"/>
  <c r="C2614"/>
  <c r="D2614" s="1"/>
  <c r="C2613"/>
  <c r="D2613" s="1"/>
  <c r="C2612"/>
  <c r="D2612" s="1"/>
  <c r="C2611"/>
  <c r="D2611" s="1"/>
  <c r="C2610"/>
  <c r="D2610" s="1"/>
  <c r="C2609"/>
  <c r="D2609" s="1"/>
  <c r="C2608"/>
  <c r="D2608" s="1"/>
  <c r="C2607"/>
  <c r="D2607" s="1"/>
  <c r="C2606"/>
  <c r="D2606" s="1"/>
  <c r="C2605"/>
  <c r="D2605" s="1"/>
  <c r="C2604"/>
  <c r="D2604" s="1"/>
  <c r="C2603"/>
  <c r="D2603" s="1"/>
  <c r="C2602"/>
  <c r="D2602" s="1"/>
  <c r="C2601"/>
  <c r="D2601" s="1"/>
  <c r="C2600"/>
  <c r="D2600" s="1"/>
  <c r="C2599"/>
  <c r="D2599" s="1"/>
  <c r="C2598"/>
  <c r="D2598" s="1"/>
  <c r="C2597"/>
  <c r="D2597" s="1"/>
  <c r="C2596"/>
  <c r="D2596" s="1"/>
  <c r="C2595"/>
  <c r="D2595" s="1"/>
  <c r="C2594"/>
  <c r="D2594" s="1"/>
  <c r="C2593"/>
  <c r="D2593" s="1"/>
  <c r="C2592"/>
  <c r="D2592" s="1"/>
  <c r="C2591"/>
  <c r="D2591" s="1"/>
  <c r="C2590"/>
  <c r="D2590" s="1"/>
  <c r="C2589"/>
  <c r="D2589" s="1"/>
  <c r="C2588"/>
  <c r="D2588" s="1"/>
  <c r="C2587"/>
  <c r="D2587" s="1"/>
  <c r="C2586"/>
  <c r="D2586" s="1"/>
  <c r="C2585"/>
  <c r="D2585" s="1"/>
  <c r="C2584"/>
  <c r="D2584" s="1"/>
  <c r="C2583"/>
  <c r="D2583" s="1"/>
  <c r="C2582"/>
  <c r="D2582" s="1"/>
  <c r="C2581"/>
  <c r="D2581" s="1"/>
  <c r="C2580"/>
  <c r="D2580" s="1"/>
  <c r="C2579"/>
  <c r="D2579" s="1"/>
  <c r="C2578"/>
  <c r="D2578" s="1"/>
  <c r="C2577"/>
  <c r="D2577" s="1"/>
  <c r="C2576"/>
  <c r="D2576" s="1"/>
  <c r="C2575"/>
  <c r="D2575" s="1"/>
  <c r="C2574"/>
  <c r="D2574" s="1"/>
  <c r="C2573"/>
  <c r="D2573" s="1"/>
  <c r="C2572"/>
  <c r="D2572" s="1"/>
  <c r="C2571"/>
  <c r="D2571" s="1"/>
  <c r="C2570"/>
  <c r="D2570" s="1"/>
  <c r="C2569"/>
  <c r="D2569" s="1"/>
  <c r="C2568"/>
  <c r="D2568" s="1"/>
  <c r="C2567"/>
  <c r="D2567" s="1"/>
  <c r="C2566"/>
  <c r="D2566" s="1"/>
  <c r="C2565"/>
  <c r="D2565" s="1"/>
  <c r="C2564"/>
  <c r="D2564" s="1"/>
  <c r="C2563"/>
  <c r="D2563" s="1"/>
  <c r="C2562"/>
  <c r="D2562" s="1"/>
  <c r="C2561"/>
  <c r="D2561" s="1"/>
  <c r="C2560"/>
  <c r="D2560" s="1"/>
  <c r="C2559"/>
  <c r="D2559" s="1"/>
  <c r="C2558"/>
  <c r="D2558" s="1"/>
  <c r="C2557"/>
  <c r="D2557" s="1"/>
  <c r="C2556"/>
  <c r="D2556" s="1"/>
  <c r="C2555"/>
  <c r="D2555" s="1"/>
  <c r="C2554"/>
  <c r="D2554" s="1"/>
  <c r="C2553"/>
  <c r="D2553" s="1"/>
  <c r="C2552"/>
  <c r="D2552" s="1"/>
  <c r="C2551"/>
  <c r="D2551" s="1"/>
  <c r="C2550"/>
  <c r="D2550" s="1"/>
  <c r="C2549"/>
  <c r="D2549" s="1"/>
  <c r="C2548"/>
  <c r="D2548" s="1"/>
  <c r="C2547"/>
  <c r="D2547" s="1"/>
  <c r="C2546"/>
  <c r="D2546" s="1"/>
  <c r="C2545"/>
  <c r="D2545" s="1"/>
  <c r="C2544"/>
  <c r="D2544" s="1"/>
  <c r="C2543"/>
  <c r="D2543" s="1"/>
  <c r="C2542"/>
  <c r="D2542" s="1"/>
  <c r="C2541"/>
  <c r="D2541" s="1"/>
  <c r="C2540"/>
  <c r="D2540" s="1"/>
  <c r="C2539"/>
  <c r="D2539" s="1"/>
  <c r="C2538"/>
  <c r="D2538" s="1"/>
  <c r="C2537"/>
  <c r="D2537" s="1"/>
  <c r="C2536"/>
  <c r="D2536" s="1"/>
  <c r="C2535"/>
  <c r="D2535" s="1"/>
  <c r="C2534"/>
  <c r="D2534" s="1"/>
  <c r="C2533"/>
  <c r="D2533" s="1"/>
  <c r="C2532"/>
  <c r="D2532" s="1"/>
  <c r="C2531"/>
  <c r="D2531" s="1"/>
  <c r="C2530"/>
  <c r="D2530" s="1"/>
  <c r="C2529"/>
  <c r="D2529" s="1"/>
  <c r="C2528"/>
  <c r="D2528" s="1"/>
  <c r="C2527"/>
  <c r="D2527" s="1"/>
  <c r="C2526"/>
  <c r="D2526" s="1"/>
  <c r="C2525"/>
  <c r="D2525" s="1"/>
  <c r="C2524"/>
  <c r="D2524" s="1"/>
  <c r="C2523"/>
  <c r="D2523" s="1"/>
  <c r="C2522"/>
  <c r="D2522" s="1"/>
  <c r="C2521"/>
  <c r="D2521" s="1"/>
  <c r="C2520"/>
  <c r="D2520" s="1"/>
  <c r="C2519"/>
  <c r="D2519" s="1"/>
  <c r="C2518"/>
  <c r="D2518" s="1"/>
  <c r="C2517"/>
  <c r="D2517" s="1"/>
  <c r="C2516"/>
  <c r="D2516" s="1"/>
  <c r="C2515"/>
  <c r="D2515" s="1"/>
  <c r="C2514"/>
  <c r="D2514" s="1"/>
  <c r="C2513"/>
  <c r="D2513" s="1"/>
  <c r="C2512"/>
  <c r="D2512" s="1"/>
  <c r="C2511"/>
  <c r="D2511" s="1"/>
  <c r="C2510"/>
  <c r="D2510" s="1"/>
  <c r="C2509"/>
  <c r="D2509" s="1"/>
  <c r="C2508"/>
  <c r="D2508" s="1"/>
  <c r="C2507"/>
  <c r="D2507" s="1"/>
  <c r="C2506"/>
  <c r="D2506" s="1"/>
  <c r="C2505"/>
  <c r="D2505" s="1"/>
  <c r="C2504"/>
  <c r="D2504" s="1"/>
  <c r="C2503"/>
  <c r="D2503" s="1"/>
  <c r="C2502"/>
  <c r="D2502" s="1"/>
  <c r="C2501"/>
  <c r="D2501" s="1"/>
  <c r="C2500"/>
  <c r="D2500" s="1"/>
  <c r="C2499"/>
  <c r="D2499" s="1"/>
  <c r="C2498"/>
  <c r="D2498" s="1"/>
  <c r="C2497"/>
  <c r="D2497" s="1"/>
  <c r="C2496"/>
  <c r="D2496" s="1"/>
  <c r="C2495"/>
  <c r="D2495" s="1"/>
  <c r="C2494"/>
  <c r="D2494" s="1"/>
  <c r="C2493"/>
  <c r="D2493" s="1"/>
  <c r="C2492"/>
  <c r="D2492" s="1"/>
  <c r="C2491"/>
  <c r="D2491" s="1"/>
  <c r="C2490"/>
  <c r="D2490" s="1"/>
  <c r="C2489"/>
  <c r="D2489" s="1"/>
  <c r="C2488"/>
  <c r="D2488" s="1"/>
  <c r="C2487"/>
  <c r="D2487" s="1"/>
  <c r="C2486"/>
  <c r="D2486" s="1"/>
  <c r="C2485"/>
  <c r="D2485" s="1"/>
  <c r="C2484"/>
  <c r="D2484" s="1"/>
  <c r="C2483"/>
  <c r="D2483" s="1"/>
  <c r="C2482"/>
  <c r="D2482" s="1"/>
  <c r="C2481"/>
  <c r="D2481" s="1"/>
  <c r="C2480"/>
  <c r="D2480" s="1"/>
  <c r="C2479"/>
  <c r="D2479" s="1"/>
  <c r="C2478"/>
  <c r="D2478" s="1"/>
  <c r="C2477"/>
  <c r="D2477" s="1"/>
  <c r="C2476"/>
  <c r="D2476" s="1"/>
  <c r="C2475"/>
  <c r="D2475" s="1"/>
  <c r="C2474"/>
  <c r="D2474" s="1"/>
  <c r="C2473"/>
  <c r="D2473" s="1"/>
  <c r="C2472"/>
  <c r="D2472" s="1"/>
  <c r="C2471"/>
  <c r="D2471" s="1"/>
  <c r="C2470"/>
  <c r="D2470" s="1"/>
  <c r="C2469"/>
  <c r="D2469" s="1"/>
  <c r="C2468"/>
  <c r="D2468" s="1"/>
  <c r="C2467"/>
  <c r="D2467" s="1"/>
  <c r="C2466"/>
  <c r="D2466" s="1"/>
  <c r="C2465"/>
  <c r="D2465" s="1"/>
  <c r="C2464"/>
  <c r="D2464" s="1"/>
  <c r="C2463"/>
  <c r="D2463" s="1"/>
  <c r="C2462"/>
  <c r="D2462" s="1"/>
  <c r="C2461"/>
  <c r="D2461" s="1"/>
  <c r="C2460"/>
  <c r="D2460" s="1"/>
  <c r="C2459"/>
  <c r="D2459" s="1"/>
  <c r="C2458"/>
  <c r="D2458" s="1"/>
  <c r="C2457"/>
  <c r="D2457" s="1"/>
  <c r="C2456"/>
  <c r="D2456" s="1"/>
  <c r="C2455"/>
  <c r="D2455" s="1"/>
  <c r="C2454"/>
  <c r="D2454" s="1"/>
  <c r="C2453"/>
  <c r="D2453" s="1"/>
  <c r="C2452"/>
  <c r="D2452" s="1"/>
  <c r="C2451"/>
  <c r="D2451" s="1"/>
  <c r="C2450"/>
  <c r="D2450" s="1"/>
  <c r="C2449"/>
  <c r="D2449" s="1"/>
  <c r="C2448"/>
  <c r="D2448" s="1"/>
  <c r="C2447"/>
  <c r="D2447" s="1"/>
  <c r="C2446"/>
  <c r="D2446" s="1"/>
  <c r="C2445"/>
  <c r="D2445" s="1"/>
  <c r="C2444"/>
  <c r="D2444" s="1"/>
  <c r="C2443"/>
  <c r="D2443" s="1"/>
  <c r="C2442"/>
  <c r="D2442" s="1"/>
  <c r="C2441"/>
  <c r="D2441" s="1"/>
  <c r="C2440"/>
  <c r="D2440" s="1"/>
  <c r="C2439"/>
  <c r="D2439" s="1"/>
  <c r="C2438"/>
  <c r="D2438" s="1"/>
  <c r="C2437"/>
  <c r="D2437" s="1"/>
  <c r="C2436"/>
  <c r="D2436" s="1"/>
  <c r="C2435"/>
  <c r="D2435" s="1"/>
  <c r="C2434"/>
  <c r="D2434" s="1"/>
  <c r="C2433"/>
  <c r="D2433" s="1"/>
  <c r="C2432"/>
  <c r="D2432" s="1"/>
  <c r="C2431"/>
  <c r="D2431" s="1"/>
  <c r="C2430"/>
  <c r="D2430" s="1"/>
  <c r="C2429"/>
  <c r="D2429" s="1"/>
  <c r="C2428"/>
  <c r="D2428" s="1"/>
  <c r="C2427"/>
  <c r="D2427" s="1"/>
  <c r="C2426"/>
  <c r="D2426" s="1"/>
  <c r="C2425"/>
  <c r="D2425" s="1"/>
  <c r="C2424"/>
  <c r="D2424" s="1"/>
  <c r="C2423"/>
  <c r="D2423" s="1"/>
  <c r="C2422"/>
  <c r="D2422" s="1"/>
  <c r="C2421"/>
  <c r="D2421" s="1"/>
  <c r="C2420"/>
  <c r="D2420" s="1"/>
  <c r="C2419"/>
  <c r="D2419" s="1"/>
  <c r="C2418"/>
  <c r="D2418" s="1"/>
  <c r="C2417"/>
  <c r="D2417" s="1"/>
  <c r="C2416"/>
  <c r="D2416" s="1"/>
  <c r="C2415"/>
  <c r="D2415" s="1"/>
  <c r="C2414"/>
  <c r="D2414" s="1"/>
  <c r="C2413"/>
  <c r="D2413" s="1"/>
  <c r="C2412"/>
  <c r="D2412" s="1"/>
  <c r="C2411"/>
  <c r="D2411" s="1"/>
  <c r="C2410"/>
  <c r="D2410" s="1"/>
  <c r="C2409"/>
  <c r="D2409" s="1"/>
  <c r="C2408"/>
  <c r="D2408" s="1"/>
  <c r="C2407"/>
  <c r="D2407" s="1"/>
  <c r="C2406"/>
  <c r="D2406" s="1"/>
  <c r="C2405"/>
  <c r="D2405" s="1"/>
  <c r="C2404"/>
  <c r="D2404" s="1"/>
  <c r="C2403"/>
  <c r="D2403" s="1"/>
  <c r="C2402"/>
  <c r="D2402" s="1"/>
  <c r="C2401"/>
  <c r="D2401" s="1"/>
  <c r="C2400"/>
  <c r="D2400" s="1"/>
  <c r="C2399"/>
  <c r="D2399" s="1"/>
  <c r="C2398"/>
  <c r="D2398" s="1"/>
  <c r="C2397"/>
  <c r="D2397" s="1"/>
  <c r="C2396"/>
  <c r="D2396" s="1"/>
  <c r="C2395"/>
  <c r="D2395" s="1"/>
  <c r="C2394"/>
  <c r="D2394" s="1"/>
  <c r="C2393"/>
  <c r="D2393" s="1"/>
  <c r="C2392"/>
  <c r="D2392" s="1"/>
  <c r="C2391"/>
  <c r="D2391" s="1"/>
  <c r="C2390"/>
  <c r="D2390" s="1"/>
  <c r="C2389"/>
  <c r="D2389" s="1"/>
  <c r="C2388"/>
  <c r="D2388" s="1"/>
  <c r="C2387"/>
  <c r="D2387" s="1"/>
  <c r="C2386"/>
  <c r="D2386" s="1"/>
  <c r="C2385"/>
  <c r="D2385" s="1"/>
  <c r="C2384"/>
  <c r="D2384" s="1"/>
  <c r="C2383"/>
  <c r="D2383" s="1"/>
  <c r="C2382"/>
  <c r="D2382" s="1"/>
  <c r="C2381"/>
  <c r="D2381" s="1"/>
  <c r="C2380"/>
  <c r="D2380" s="1"/>
  <c r="C2379"/>
  <c r="D2379" s="1"/>
  <c r="C2378"/>
  <c r="D2378" s="1"/>
  <c r="C2377"/>
  <c r="D2377" s="1"/>
  <c r="C2376"/>
  <c r="D2376" s="1"/>
  <c r="C2375"/>
  <c r="D2375" s="1"/>
  <c r="C2374"/>
  <c r="D2374" s="1"/>
  <c r="C2373"/>
  <c r="D2373" s="1"/>
  <c r="C2372"/>
  <c r="D2372" s="1"/>
  <c r="C2371"/>
  <c r="D2371" s="1"/>
  <c r="C2370"/>
  <c r="D2370" s="1"/>
  <c r="C2369"/>
  <c r="D2369" s="1"/>
  <c r="C2368"/>
  <c r="D2368" s="1"/>
  <c r="C2367"/>
  <c r="D2367" s="1"/>
  <c r="C2366"/>
  <c r="D2366" s="1"/>
  <c r="C2365"/>
  <c r="D2365" s="1"/>
  <c r="C2364"/>
  <c r="D2364" s="1"/>
  <c r="C2363"/>
  <c r="D2363" s="1"/>
  <c r="C2362"/>
  <c r="D2362" s="1"/>
  <c r="C2361"/>
  <c r="D2361" s="1"/>
  <c r="C2360"/>
  <c r="D2360" s="1"/>
  <c r="C2359"/>
  <c r="D2359" s="1"/>
  <c r="C2358"/>
  <c r="D2358" s="1"/>
  <c r="C2357"/>
  <c r="D2357" s="1"/>
  <c r="C2356"/>
  <c r="D2356" s="1"/>
  <c r="C2355"/>
  <c r="D2355" s="1"/>
  <c r="C2354"/>
  <c r="D2354" s="1"/>
  <c r="C2353"/>
  <c r="D2353" s="1"/>
  <c r="C2352"/>
  <c r="D2352" s="1"/>
  <c r="C2351"/>
  <c r="D2351" s="1"/>
  <c r="C2350"/>
  <c r="D2350" s="1"/>
  <c r="C2349"/>
  <c r="D2349" s="1"/>
  <c r="C2348"/>
  <c r="D2348" s="1"/>
  <c r="C2347"/>
  <c r="D2347" s="1"/>
  <c r="C2346"/>
  <c r="D2346" s="1"/>
  <c r="C2345"/>
  <c r="D2345" s="1"/>
  <c r="C2344"/>
  <c r="D2344" s="1"/>
  <c r="C2343"/>
  <c r="D2343" s="1"/>
  <c r="C2342"/>
  <c r="D2342" s="1"/>
  <c r="C2341"/>
  <c r="D2341" s="1"/>
  <c r="C2340"/>
  <c r="D2340" s="1"/>
  <c r="C2339"/>
  <c r="D2339" s="1"/>
  <c r="C2338"/>
  <c r="D2338" s="1"/>
  <c r="C2337"/>
  <c r="D2337" s="1"/>
  <c r="C2336"/>
  <c r="D2336" s="1"/>
  <c r="C2335"/>
  <c r="D2335" s="1"/>
  <c r="C2334"/>
  <c r="D2334" s="1"/>
  <c r="C2333"/>
  <c r="D2333" s="1"/>
  <c r="C2332"/>
  <c r="D2332" s="1"/>
  <c r="C2331"/>
  <c r="D2331" s="1"/>
  <c r="C2330"/>
  <c r="D2330" s="1"/>
  <c r="C2329"/>
  <c r="D2329" s="1"/>
  <c r="C2328"/>
  <c r="D2328" s="1"/>
  <c r="C2327"/>
  <c r="D2327" s="1"/>
  <c r="C2326"/>
  <c r="D2326" s="1"/>
  <c r="C2325"/>
  <c r="D2325" s="1"/>
  <c r="C2324"/>
  <c r="D2324" s="1"/>
  <c r="C2323"/>
  <c r="D2323" s="1"/>
  <c r="C2322"/>
  <c r="D2322" s="1"/>
  <c r="C2321"/>
  <c r="D2321" s="1"/>
  <c r="C2320"/>
  <c r="D2320" s="1"/>
  <c r="C2319"/>
  <c r="D2319" s="1"/>
  <c r="C2318"/>
  <c r="D2318" s="1"/>
  <c r="C2317"/>
  <c r="D2317" s="1"/>
  <c r="C2316"/>
  <c r="D2316" s="1"/>
  <c r="C2315"/>
  <c r="D2315" s="1"/>
  <c r="C2314"/>
  <c r="D2314" s="1"/>
  <c r="C2313"/>
  <c r="D2313" s="1"/>
  <c r="C2312"/>
  <c r="D2312" s="1"/>
  <c r="C2311"/>
  <c r="D2311" s="1"/>
  <c r="C2310"/>
  <c r="D2310" s="1"/>
  <c r="C2309"/>
  <c r="D2309" s="1"/>
  <c r="C2308"/>
  <c r="D2308" s="1"/>
  <c r="C2307"/>
  <c r="D2307" s="1"/>
  <c r="C2306"/>
  <c r="D2306" s="1"/>
  <c r="C2305"/>
  <c r="D2305" s="1"/>
  <c r="C2304"/>
  <c r="D2304" s="1"/>
  <c r="C2303"/>
  <c r="D2303" s="1"/>
  <c r="C2302"/>
  <c r="D2302" s="1"/>
  <c r="C2301"/>
  <c r="D2301" s="1"/>
  <c r="C2300"/>
  <c r="D2300" s="1"/>
  <c r="C2299"/>
  <c r="D2299" s="1"/>
  <c r="C2298"/>
  <c r="D2298" s="1"/>
  <c r="C2297"/>
  <c r="D2297" s="1"/>
  <c r="C2296"/>
  <c r="D2296" s="1"/>
  <c r="C2295"/>
  <c r="D2295" s="1"/>
  <c r="C2294"/>
  <c r="D2294" s="1"/>
  <c r="C2293"/>
  <c r="D2293" s="1"/>
  <c r="C2292"/>
  <c r="D2292" s="1"/>
  <c r="C2291"/>
  <c r="D2291" s="1"/>
  <c r="C2290"/>
  <c r="D2290" s="1"/>
  <c r="C2289"/>
  <c r="D2289" s="1"/>
  <c r="C2288"/>
  <c r="D2288" s="1"/>
  <c r="C2287"/>
  <c r="D2287" s="1"/>
  <c r="C2286"/>
  <c r="D2286" s="1"/>
  <c r="C2285"/>
  <c r="D2285" s="1"/>
  <c r="C2284"/>
  <c r="D2284" s="1"/>
  <c r="C2283"/>
  <c r="D2283" s="1"/>
  <c r="C2282"/>
  <c r="D2282" s="1"/>
  <c r="C2281"/>
  <c r="D2281" s="1"/>
  <c r="C2280"/>
  <c r="D2280" s="1"/>
  <c r="C2279"/>
  <c r="D2279" s="1"/>
  <c r="C2278"/>
  <c r="D2278" s="1"/>
  <c r="C2277"/>
  <c r="D2277" s="1"/>
  <c r="C2276"/>
  <c r="D2276" s="1"/>
  <c r="C2275"/>
  <c r="D2275" s="1"/>
  <c r="C2274"/>
  <c r="D2274" s="1"/>
  <c r="C2273"/>
  <c r="D2273" s="1"/>
  <c r="C2272"/>
  <c r="D2272" s="1"/>
  <c r="C2271"/>
  <c r="D2271" s="1"/>
  <c r="C2270"/>
  <c r="D2270" s="1"/>
  <c r="C2269"/>
  <c r="D2269" s="1"/>
  <c r="C2268"/>
  <c r="D2268" s="1"/>
  <c r="C2267"/>
  <c r="D2267" s="1"/>
  <c r="C2266"/>
  <c r="D2266" s="1"/>
  <c r="C2265"/>
  <c r="D2265" s="1"/>
  <c r="C2264"/>
  <c r="D2264" s="1"/>
  <c r="C2263"/>
  <c r="D2263" s="1"/>
  <c r="C2262"/>
  <c r="D2262" s="1"/>
  <c r="C2261"/>
  <c r="D2261" s="1"/>
  <c r="C2260"/>
  <c r="D2260" s="1"/>
  <c r="C2259"/>
  <c r="D2259" s="1"/>
  <c r="C2258"/>
  <c r="D2258" s="1"/>
  <c r="C2257"/>
  <c r="D2257" s="1"/>
  <c r="C2256"/>
  <c r="D2256" s="1"/>
  <c r="C2255"/>
  <c r="D2255" s="1"/>
  <c r="C2254"/>
  <c r="D2254" s="1"/>
  <c r="C2253"/>
  <c r="D2253" s="1"/>
  <c r="C2252"/>
  <c r="D2252" s="1"/>
  <c r="C2251"/>
  <c r="D2251" s="1"/>
  <c r="C2250"/>
  <c r="D2250" s="1"/>
  <c r="C2249"/>
  <c r="D2249" s="1"/>
  <c r="C2248"/>
  <c r="D2248" s="1"/>
  <c r="C2247"/>
  <c r="D2247" s="1"/>
  <c r="C2246"/>
  <c r="D2246" s="1"/>
  <c r="C2245"/>
  <c r="D2245" s="1"/>
  <c r="C2244"/>
  <c r="D2244" s="1"/>
  <c r="C2243"/>
  <c r="D2243" s="1"/>
  <c r="C2242"/>
  <c r="D2242" s="1"/>
  <c r="C2241"/>
  <c r="D2241" s="1"/>
  <c r="C2240"/>
  <c r="D2240" s="1"/>
  <c r="C2239"/>
  <c r="D2239" s="1"/>
  <c r="C2238"/>
  <c r="D2238" s="1"/>
  <c r="C2237"/>
  <c r="D2237" s="1"/>
  <c r="C2236"/>
  <c r="D2236" s="1"/>
  <c r="C2235"/>
  <c r="D2235" s="1"/>
  <c r="C2234"/>
  <c r="D2234" s="1"/>
  <c r="C2233"/>
  <c r="D2233" s="1"/>
  <c r="C2232"/>
  <c r="D2232" s="1"/>
  <c r="C2231"/>
  <c r="D2231" s="1"/>
  <c r="C2230"/>
  <c r="D2230" s="1"/>
  <c r="C2229"/>
  <c r="D2229" s="1"/>
  <c r="C2228"/>
  <c r="D2228" s="1"/>
  <c r="C2227"/>
  <c r="D2227" s="1"/>
  <c r="C2226"/>
  <c r="D2226" s="1"/>
  <c r="C2225"/>
  <c r="D2225" s="1"/>
  <c r="C2224"/>
  <c r="D2224" s="1"/>
  <c r="C2223"/>
  <c r="D2223" s="1"/>
  <c r="C2222"/>
  <c r="D2222" s="1"/>
  <c r="C2221"/>
  <c r="D2221" s="1"/>
  <c r="C2220"/>
  <c r="D2220" s="1"/>
  <c r="C2219"/>
  <c r="D2219" s="1"/>
  <c r="C2218"/>
  <c r="D2218" s="1"/>
  <c r="C2217"/>
  <c r="D2217" s="1"/>
  <c r="C2216"/>
  <c r="D2216" s="1"/>
  <c r="C2215"/>
  <c r="D2215" s="1"/>
  <c r="C2214"/>
  <c r="D2214" s="1"/>
  <c r="C2213"/>
  <c r="D2213" s="1"/>
  <c r="C2212"/>
  <c r="D2212" s="1"/>
  <c r="C2211"/>
  <c r="D2211" s="1"/>
  <c r="C2210"/>
  <c r="D2210" s="1"/>
  <c r="C2209"/>
  <c r="D2209" s="1"/>
  <c r="C2208"/>
  <c r="D2208" s="1"/>
  <c r="C2207"/>
  <c r="D2207" s="1"/>
  <c r="C2206"/>
  <c r="D2206" s="1"/>
  <c r="C2205"/>
  <c r="D2205" s="1"/>
  <c r="C2204"/>
  <c r="D2204" s="1"/>
  <c r="C2203"/>
  <c r="D2203" s="1"/>
  <c r="C2202"/>
  <c r="D2202" s="1"/>
  <c r="C2201"/>
  <c r="D2201" s="1"/>
  <c r="C2200"/>
  <c r="D2200" s="1"/>
  <c r="C2199"/>
  <c r="D2199" s="1"/>
  <c r="C2198"/>
  <c r="D2198" s="1"/>
  <c r="C2197"/>
  <c r="D2196"/>
  <c r="C2196"/>
  <c r="B2196"/>
  <c r="C2195"/>
  <c r="D2194"/>
  <c r="C2194"/>
  <c r="B2194"/>
  <c r="C2193"/>
  <c r="D2192"/>
  <c r="C2192"/>
  <c r="B2192"/>
  <c r="C2191"/>
  <c r="D2190"/>
  <c r="C2190"/>
  <c r="B2190"/>
  <c r="C2189"/>
  <c r="D2188"/>
  <c r="C2188"/>
  <c r="B2188"/>
  <c r="C2187"/>
  <c r="D2186"/>
  <c r="C2186"/>
  <c r="B2186"/>
  <c r="C2185"/>
  <c r="D2184"/>
  <c r="C2184"/>
  <c r="B2184"/>
  <c r="C2183"/>
  <c r="D2182"/>
  <c r="C2182"/>
  <c r="B2182"/>
  <c r="C2181"/>
  <c r="D2180"/>
  <c r="C2180"/>
  <c r="B2180"/>
  <c r="C2179"/>
  <c r="D2178"/>
  <c r="C2178"/>
  <c r="B2178"/>
  <c r="C2177"/>
  <c r="D2176"/>
  <c r="C2176"/>
  <c r="B2176"/>
  <c r="C2175"/>
  <c r="D2174"/>
  <c r="C2174"/>
  <c r="B2174"/>
  <c r="C2173"/>
  <c r="D2172"/>
  <c r="C2172"/>
  <c r="B2172"/>
  <c r="C2171"/>
  <c r="D2170"/>
  <c r="C2170"/>
  <c r="B2170"/>
  <c r="C2169"/>
  <c r="D2168"/>
  <c r="C2168"/>
  <c r="B2168"/>
  <c r="C2167"/>
  <c r="D2166"/>
  <c r="C2166"/>
  <c r="B2166"/>
  <c r="C2165"/>
  <c r="D2164"/>
  <c r="C2164"/>
  <c r="B2164"/>
  <c r="C2163"/>
  <c r="D2162"/>
  <c r="C2162"/>
  <c r="B2162"/>
  <c r="C2161"/>
  <c r="D2160"/>
  <c r="C2160"/>
  <c r="B2160"/>
  <c r="C2159"/>
  <c r="D2158"/>
  <c r="C2158"/>
  <c r="B2158"/>
  <c r="C2157"/>
  <c r="D2156"/>
  <c r="C2156"/>
  <c r="B2156"/>
  <c r="C2155"/>
  <c r="D2154"/>
  <c r="C2154"/>
  <c r="B2154"/>
  <c r="C2153"/>
  <c r="D2152"/>
  <c r="C2152"/>
  <c r="B2152"/>
  <c r="C2151"/>
  <c r="D2150"/>
  <c r="C2150"/>
  <c r="B2150"/>
  <c r="C2149"/>
  <c r="D2148"/>
  <c r="C2148"/>
  <c r="B2148"/>
  <c r="C2147"/>
  <c r="D2146"/>
  <c r="C2146"/>
  <c r="B2146"/>
  <c r="C2145"/>
  <c r="D2144"/>
  <c r="C2144"/>
  <c r="B2144"/>
  <c r="C2143"/>
  <c r="D2142"/>
  <c r="C2142"/>
  <c r="B2142"/>
  <c r="C2141"/>
  <c r="D2140"/>
  <c r="C2140"/>
  <c r="B2140"/>
  <c r="C2139"/>
  <c r="D2138"/>
  <c r="C2138"/>
  <c r="B2138"/>
  <c r="C2137"/>
  <c r="D2136"/>
  <c r="C2136"/>
  <c r="B2136"/>
  <c r="C2135"/>
  <c r="D2134"/>
  <c r="C2134"/>
  <c r="B2134"/>
  <c r="C2133"/>
  <c r="D2132"/>
  <c r="C2132"/>
  <c r="B2132"/>
  <c r="C2131"/>
  <c r="D2130"/>
  <c r="C2130"/>
  <c r="B2130"/>
  <c r="C2129"/>
  <c r="D2128"/>
  <c r="C2128"/>
  <c r="B2128"/>
  <c r="C2127"/>
  <c r="D2126"/>
  <c r="C2126"/>
  <c r="B2126"/>
  <c r="C2125"/>
  <c r="D2124"/>
  <c r="C2124"/>
  <c r="B2124"/>
  <c r="C2123"/>
  <c r="D2122"/>
  <c r="C2122"/>
  <c r="B2122"/>
  <c r="C2121"/>
  <c r="D2120"/>
  <c r="C2120"/>
  <c r="B2120"/>
  <c r="C2119"/>
  <c r="D2118"/>
  <c r="C2118"/>
  <c r="B2118"/>
  <c r="C2117"/>
  <c r="D2116"/>
  <c r="C2116"/>
  <c r="B2116"/>
  <c r="C2115"/>
  <c r="D2114"/>
  <c r="C2114"/>
  <c r="B2114"/>
  <c r="C2113"/>
  <c r="D2112"/>
  <c r="C2112"/>
  <c r="B2112"/>
  <c r="C2111"/>
  <c r="D2110"/>
  <c r="C2110"/>
  <c r="B2110"/>
  <c r="C2109"/>
  <c r="D2108"/>
  <c r="C2108"/>
  <c r="B2108"/>
  <c r="C2107"/>
  <c r="D2106"/>
  <c r="C2106"/>
  <c r="B2106"/>
  <c r="C2105"/>
  <c r="D2104"/>
  <c r="C2104"/>
  <c r="B2104"/>
  <c r="C2103"/>
  <c r="D2102"/>
  <c r="C2102"/>
  <c r="B2102"/>
  <c r="C2101"/>
  <c r="D2100"/>
  <c r="C2100"/>
  <c r="B2100"/>
  <c r="C2099"/>
  <c r="D2098"/>
  <c r="C2098"/>
  <c r="B2098"/>
  <c r="C2097"/>
  <c r="D2096"/>
  <c r="C2096"/>
  <c r="B2096"/>
  <c r="C2095"/>
  <c r="D2094"/>
  <c r="C2094"/>
  <c r="B2094"/>
  <c r="C2093"/>
  <c r="D2092"/>
  <c r="C2092"/>
  <c r="B2092"/>
  <c r="C2091"/>
  <c r="D2090"/>
  <c r="C2090"/>
  <c r="B2090"/>
  <c r="C2089"/>
  <c r="D2088"/>
  <c r="C2088"/>
  <c r="B2088"/>
  <c r="C2087"/>
  <c r="D2086"/>
  <c r="C2086"/>
  <c r="B2086"/>
  <c r="C2085"/>
  <c r="D2084"/>
  <c r="C2084"/>
  <c r="B2084"/>
  <c r="C2083"/>
  <c r="D2082"/>
  <c r="C2082"/>
  <c r="B2082"/>
  <c r="C2081"/>
  <c r="D2080"/>
  <c r="C2080"/>
  <c r="B2080"/>
  <c r="C2079"/>
  <c r="D2078"/>
  <c r="C2078"/>
  <c r="B2078"/>
  <c r="C2077"/>
  <c r="D2076"/>
  <c r="C2076"/>
  <c r="B2076"/>
  <c r="C2075"/>
  <c r="D2074"/>
  <c r="C2074"/>
  <c r="B2074"/>
  <c r="C2073"/>
  <c r="D2072"/>
  <c r="C2072"/>
  <c r="B2072"/>
  <c r="C2071"/>
  <c r="D2070"/>
  <c r="C2070"/>
  <c r="B2070"/>
  <c r="C2069"/>
  <c r="D2068"/>
  <c r="C2068"/>
  <c r="B2068"/>
  <c r="C2067"/>
  <c r="D2066"/>
  <c r="C2066"/>
  <c r="B2066"/>
  <c r="C2065"/>
  <c r="D2064"/>
  <c r="C2064"/>
  <c r="B2064"/>
  <c r="C2063"/>
  <c r="D2062"/>
  <c r="C2062"/>
  <c r="B2062"/>
  <c r="C2061"/>
  <c r="D2060"/>
  <c r="C2060"/>
  <c r="B2060"/>
  <c r="C2059"/>
  <c r="D2058"/>
  <c r="C2058"/>
  <c r="B2058"/>
  <c r="C2057"/>
  <c r="D2056"/>
  <c r="C2056"/>
  <c r="B2056"/>
  <c r="C2055"/>
  <c r="D2054"/>
  <c r="C2054"/>
  <c r="B2054"/>
  <c r="C2053"/>
  <c r="D2052"/>
  <c r="C2052"/>
  <c r="B2052"/>
  <c r="C2051"/>
  <c r="D2050"/>
  <c r="C2050"/>
  <c r="B2050"/>
  <c r="C2049"/>
  <c r="D2048"/>
  <c r="C2048"/>
  <c r="B2048"/>
  <c r="C2047"/>
  <c r="D2046"/>
  <c r="C2046"/>
  <c r="B2046"/>
  <c r="C2045"/>
  <c r="D2044"/>
  <c r="C2044"/>
  <c r="B2044"/>
  <c r="C2043"/>
  <c r="D2042"/>
  <c r="C2042"/>
  <c r="B2042"/>
  <c r="C2041"/>
  <c r="D2040"/>
  <c r="C2040"/>
  <c r="B2040"/>
  <c r="C2039"/>
  <c r="D2038"/>
  <c r="C2038"/>
  <c r="B2038"/>
  <c r="C2037"/>
  <c r="D2036"/>
  <c r="C2036"/>
  <c r="B2036"/>
  <c r="C2035"/>
  <c r="D2034"/>
  <c r="C2034"/>
  <c r="B2034"/>
  <c r="C2033"/>
  <c r="D2032"/>
  <c r="C2032"/>
  <c r="B2032"/>
  <c r="C2031"/>
  <c r="D2030"/>
  <c r="C2030"/>
  <c r="B2030"/>
  <c r="C2029"/>
  <c r="D2028"/>
  <c r="C2028"/>
  <c r="B2028"/>
  <c r="C2027"/>
  <c r="D2026"/>
  <c r="C2026"/>
  <c r="B2026"/>
  <c r="C2025"/>
  <c r="D2024"/>
  <c r="C2024"/>
  <c r="B2024"/>
  <c r="C2023"/>
  <c r="D2022"/>
  <c r="C2022"/>
  <c r="B2022"/>
  <c r="C2021"/>
  <c r="D2020"/>
  <c r="C2020"/>
  <c r="B2020"/>
  <c r="C2019"/>
  <c r="D2018"/>
  <c r="C2018"/>
  <c r="B2018"/>
  <c r="C2017"/>
  <c r="D2016"/>
  <c r="C2016"/>
  <c r="B2016"/>
  <c r="C2015"/>
  <c r="D2014"/>
  <c r="C2014"/>
  <c r="B2014"/>
  <c r="C2013"/>
  <c r="D2012"/>
  <c r="C2012"/>
  <c r="B2012"/>
  <c r="C2011"/>
  <c r="D2010"/>
  <c r="C2010"/>
  <c r="B2010"/>
  <c r="C2009"/>
  <c r="D2008"/>
  <c r="C2008"/>
  <c r="B2008"/>
  <c r="C2007"/>
  <c r="D2006"/>
  <c r="C2006"/>
  <c r="B2006"/>
  <c r="C2005"/>
  <c r="D2004"/>
  <c r="C2004"/>
  <c r="B2004"/>
  <c r="C2003"/>
  <c r="D2002"/>
  <c r="C2002"/>
  <c r="B2002"/>
  <c r="C2001"/>
  <c r="D2000"/>
  <c r="C2000"/>
  <c r="B2000"/>
  <c r="C1999"/>
  <c r="D1998"/>
  <c r="C1998"/>
  <c r="B1998"/>
  <c r="C1997"/>
  <c r="D1996"/>
  <c r="C1996"/>
  <c r="B1996"/>
  <c r="C1995"/>
  <c r="D1994"/>
  <c r="C1994"/>
  <c r="B1994"/>
  <c r="C1993"/>
  <c r="D1992"/>
  <c r="C1992"/>
  <c r="B1992"/>
  <c r="C1991"/>
  <c r="D1990"/>
  <c r="C1990"/>
  <c r="B1990"/>
  <c r="C1989"/>
  <c r="D1988"/>
  <c r="C1988"/>
  <c r="B1988"/>
  <c r="C1987"/>
  <c r="D1986"/>
  <c r="C1986"/>
  <c r="B1986"/>
  <c r="C1985"/>
  <c r="D1984"/>
  <c r="C1984"/>
  <c r="B1984"/>
  <c r="C1983"/>
  <c r="D1982"/>
  <c r="C1982"/>
  <c r="B1982"/>
  <c r="C1981"/>
  <c r="D1980"/>
  <c r="C1980"/>
  <c r="B1980"/>
  <c r="C1979"/>
  <c r="D1978"/>
  <c r="C1978"/>
  <c r="B1978"/>
  <c r="C1977"/>
  <c r="D1976"/>
  <c r="C1976"/>
  <c r="B1976"/>
  <c r="C1975"/>
  <c r="D1974"/>
  <c r="C1974"/>
  <c r="B1974"/>
  <c r="C1973"/>
  <c r="D1972"/>
  <c r="C1972"/>
  <c r="B1972"/>
  <c r="C1971"/>
  <c r="D1970"/>
  <c r="C1970"/>
  <c r="B1970"/>
  <c r="C1969"/>
  <c r="D1968"/>
  <c r="C1968"/>
  <c r="B1968"/>
  <c r="C1967"/>
  <c r="D1966"/>
  <c r="C1966"/>
  <c r="B1966"/>
  <c r="C1965"/>
  <c r="D1964"/>
  <c r="C1964"/>
  <c r="B1964"/>
  <c r="C1963"/>
  <c r="D1962"/>
  <c r="C1962"/>
  <c r="B1962"/>
  <c r="C1961"/>
  <c r="D1960"/>
  <c r="C1960"/>
  <c r="B1960"/>
  <c r="C1959"/>
  <c r="D1958"/>
  <c r="C1958"/>
  <c r="B1958"/>
  <c r="C1957"/>
  <c r="D1956"/>
  <c r="C1956"/>
  <c r="B1956"/>
  <c r="C1955"/>
  <c r="D1954"/>
  <c r="C1954"/>
  <c r="B1954"/>
  <c r="C1953"/>
  <c r="D1952"/>
  <c r="C1952"/>
  <c r="B1952"/>
  <c r="C1951"/>
  <c r="D1950"/>
  <c r="C1950"/>
  <c r="B1950"/>
  <c r="C1949"/>
  <c r="D1948"/>
  <c r="C1948"/>
  <c r="B1948"/>
  <c r="C1947"/>
  <c r="D1946"/>
  <c r="C1946"/>
  <c r="B1946"/>
  <c r="C1945"/>
  <c r="D1944"/>
  <c r="C1944"/>
  <c r="B1944"/>
  <c r="C1943"/>
  <c r="D1942"/>
  <c r="C1942"/>
  <c r="B1942"/>
  <c r="C1941"/>
  <c r="D1940"/>
  <c r="C1940"/>
  <c r="B1940"/>
  <c r="C1939"/>
  <c r="D1938"/>
  <c r="C1938"/>
  <c r="B1938"/>
  <c r="C1937"/>
  <c r="D1936"/>
  <c r="C1936"/>
  <c r="B1936"/>
  <c r="C1935"/>
  <c r="D1934"/>
  <c r="C1934"/>
  <c r="B1934"/>
  <c r="C1933"/>
  <c r="D1932"/>
  <c r="C1932"/>
  <c r="B1932"/>
  <c r="C1931"/>
  <c r="D1930"/>
  <c r="C1930"/>
  <c r="B1930"/>
  <c r="C1929"/>
  <c r="D1928"/>
  <c r="C1928"/>
  <c r="B1928"/>
  <c r="C1927"/>
  <c r="D1926"/>
  <c r="C1926"/>
  <c r="B1926"/>
  <c r="C1925"/>
  <c r="D1924"/>
  <c r="C1924"/>
  <c r="B1924"/>
  <c r="C1923"/>
  <c r="D1922"/>
  <c r="C1922"/>
  <c r="B1922"/>
  <c r="C1921"/>
  <c r="D1920"/>
  <c r="C1920"/>
  <c r="B1920"/>
  <c r="C1919"/>
  <c r="D1918"/>
  <c r="C1918"/>
  <c r="B1918"/>
  <c r="C1917"/>
  <c r="D1916"/>
  <c r="C1916"/>
  <c r="B1916"/>
  <c r="C1915"/>
  <c r="D1914"/>
  <c r="C1914"/>
  <c r="B1914"/>
  <c r="C1913"/>
  <c r="D1912"/>
  <c r="C1912"/>
  <c r="B1912"/>
  <c r="C1911"/>
  <c r="D1910"/>
  <c r="C1910"/>
  <c r="B1910"/>
  <c r="C1909"/>
  <c r="D1908"/>
  <c r="C1908"/>
  <c r="B1908"/>
  <c r="C1907"/>
  <c r="D1906"/>
  <c r="C1906"/>
  <c r="B1906"/>
  <c r="C1905"/>
  <c r="D1904"/>
  <c r="C1904"/>
  <c r="B1904"/>
  <c r="C1903"/>
  <c r="D1902"/>
  <c r="C1902"/>
  <c r="B1902"/>
  <c r="C1901"/>
  <c r="D1900"/>
  <c r="C1900"/>
  <c r="B1900"/>
  <c r="C1899"/>
  <c r="D1898"/>
  <c r="C1898"/>
  <c r="B1898"/>
  <c r="C1897"/>
  <c r="D1896"/>
  <c r="C1896"/>
  <c r="B1896"/>
  <c r="C1895"/>
  <c r="D1894"/>
  <c r="C1894"/>
  <c r="B1894"/>
  <c r="C1893"/>
  <c r="D1892"/>
  <c r="C1892"/>
  <c r="B1892"/>
  <c r="C1891"/>
  <c r="D1890"/>
  <c r="C1890"/>
  <c r="B1890"/>
  <c r="C1889"/>
  <c r="D1888"/>
  <c r="C1888"/>
  <c r="B1888"/>
  <c r="C1887"/>
  <c r="D1886"/>
  <c r="C1886"/>
  <c r="B1886"/>
  <c r="C1885"/>
  <c r="D1884"/>
  <c r="C1884"/>
  <c r="B1884"/>
  <c r="C1883"/>
  <c r="D1882"/>
  <c r="C1882"/>
  <c r="B1882"/>
  <c r="C1881"/>
  <c r="D1881" s="1"/>
  <c r="B1881"/>
  <c r="C1880"/>
  <c r="D1880" s="1"/>
  <c r="D1879"/>
  <c r="C1879"/>
  <c r="B1879"/>
  <c r="C1878"/>
  <c r="D1878" s="1"/>
  <c r="D1877"/>
  <c r="C1877"/>
  <c r="B1877"/>
  <c r="C1876"/>
  <c r="D1876" s="1"/>
  <c r="D1875"/>
  <c r="C1875"/>
  <c r="B1875"/>
  <c r="C1874"/>
  <c r="D1874" s="1"/>
  <c r="D1873"/>
  <c r="C1873"/>
  <c r="B1873"/>
  <c r="C1872"/>
  <c r="D1872" s="1"/>
  <c r="D1871"/>
  <c r="C1871"/>
  <c r="B1871"/>
  <c r="C1870"/>
  <c r="D1870" s="1"/>
  <c r="D1869"/>
  <c r="C1869"/>
  <c r="B1869"/>
  <c r="C1868"/>
  <c r="D1868" s="1"/>
  <c r="D1867"/>
  <c r="C1867"/>
  <c r="B1867"/>
  <c r="C1866"/>
  <c r="D1866" s="1"/>
  <c r="D1865"/>
  <c r="C1865"/>
  <c r="B1865"/>
  <c r="C1864"/>
  <c r="D1864" s="1"/>
  <c r="D1863"/>
  <c r="C1863"/>
  <c r="B1863"/>
  <c r="C1862"/>
  <c r="D1862" s="1"/>
  <c r="D1861"/>
  <c r="C1861"/>
  <c r="B1861"/>
  <c r="C1860"/>
  <c r="D1860" s="1"/>
  <c r="D1859"/>
  <c r="C1859"/>
  <c r="B1859"/>
  <c r="C1858"/>
  <c r="D1858" s="1"/>
  <c r="D1857"/>
  <c r="C1857"/>
  <c r="B1857"/>
  <c r="C1856"/>
  <c r="D1856" s="1"/>
  <c r="D1855"/>
  <c r="C1855"/>
  <c r="B1855"/>
  <c r="C1854"/>
  <c r="D1854" s="1"/>
  <c r="D1853"/>
  <c r="C1853"/>
  <c r="B1853"/>
  <c r="C1852"/>
  <c r="D1852" s="1"/>
  <c r="D1851"/>
  <c r="C1851"/>
  <c r="B1851"/>
  <c r="C1850"/>
  <c r="D1850" s="1"/>
  <c r="D1849"/>
  <c r="C1849"/>
  <c r="B1849"/>
  <c r="C1848"/>
  <c r="D1848" s="1"/>
  <c r="D1847"/>
  <c r="C1847"/>
  <c r="B1847"/>
  <c r="C1846"/>
  <c r="D1846" s="1"/>
  <c r="D1845"/>
  <c r="C1845"/>
  <c r="B1845"/>
  <c r="C1844"/>
  <c r="D1844" s="1"/>
  <c r="D1843"/>
  <c r="C1843"/>
  <c r="B1843"/>
  <c r="C1842"/>
  <c r="D1842" s="1"/>
  <c r="D1841"/>
  <c r="C1841"/>
  <c r="B1841"/>
  <c r="C1840"/>
  <c r="D1840" s="1"/>
  <c r="D1839"/>
  <c r="C1839"/>
  <c r="B1839"/>
  <c r="C1838"/>
  <c r="D1838" s="1"/>
  <c r="D1837"/>
  <c r="C1837"/>
  <c r="B1837"/>
  <c r="C1836"/>
  <c r="D1836" s="1"/>
  <c r="D1835"/>
  <c r="C1835"/>
  <c r="B1835"/>
  <c r="C1834"/>
  <c r="D1834" s="1"/>
  <c r="D1833"/>
  <c r="C1833"/>
  <c r="B1833"/>
  <c r="C1832"/>
  <c r="D1832" s="1"/>
  <c r="D1831"/>
  <c r="C1831"/>
  <c r="B1831"/>
  <c r="C1830"/>
  <c r="D1830" s="1"/>
  <c r="D1829"/>
  <c r="C1829"/>
  <c r="B1829"/>
  <c r="C1828"/>
  <c r="D1828" s="1"/>
  <c r="D1827"/>
  <c r="C1827"/>
  <c r="B1827"/>
  <c r="C1826"/>
  <c r="D1826" s="1"/>
  <c r="D1825"/>
  <c r="C1825"/>
  <c r="B1825"/>
  <c r="C1824"/>
  <c r="D1824" s="1"/>
  <c r="D1823"/>
  <c r="C1823"/>
  <c r="B1823"/>
  <c r="C1822"/>
  <c r="D1822" s="1"/>
  <c r="D1821"/>
  <c r="C1821"/>
  <c r="B1821"/>
  <c r="C1820"/>
  <c r="D1820" s="1"/>
  <c r="D1819"/>
  <c r="C1819"/>
  <c r="B1819"/>
  <c r="C1818"/>
  <c r="D1818" s="1"/>
  <c r="D1817"/>
  <c r="C1817"/>
  <c r="B1817"/>
  <c r="C1816"/>
  <c r="D1816" s="1"/>
  <c r="D1815"/>
  <c r="C1815"/>
  <c r="B1815"/>
  <c r="C1814"/>
  <c r="D1814" s="1"/>
  <c r="D1813"/>
  <c r="C1813"/>
  <c r="B1813"/>
  <c r="C1812"/>
  <c r="D1812" s="1"/>
  <c r="D1811"/>
  <c r="C1811"/>
  <c r="B1811"/>
  <c r="C1810"/>
  <c r="D1810" s="1"/>
  <c r="D1809"/>
  <c r="C1809"/>
  <c r="B1809"/>
  <c r="C1808"/>
  <c r="D1808" s="1"/>
  <c r="D1807"/>
  <c r="C1807"/>
  <c r="B1807"/>
  <c r="C1806"/>
  <c r="D1806" s="1"/>
  <c r="D1805"/>
  <c r="C1805"/>
  <c r="B1805"/>
  <c r="C1804"/>
  <c r="D1804" s="1"/>
  <c r="D1803"/>
  <c r="C1803"/>
  <c r="B1803"/>
  <c r="C1802"/>
  <c r="D1802" s="1"/>
  <c r="D1801"/>
  <c r="C1801"/>
  <c r="B1801"/>
  <c r="C1800"/>
  <c r="D1800" s="1"/>
  <c r="D1799"/>
  <c r="C1799"/>
  <c r="B1799"/>
  <c r="C1798"/>
  <c r="D1798" s="1"/>
  <c r="D1797"/>
  <c r="C1797"/>
  <c r="B1797"/>
  <c r="C1796"/>
  <c r="D1796" s="1"/>
  <c r="D1795"/>
  <c r="C1795"/>
  <c r="B1795"/>
  <c r="C1794"/>
  <c r="D1794" s="1"/>
  <c r="D1793"/>
  <c r="C1793"/>
  <c r="B1793"/>
  <c r="C1792"/>
  <c r="D1792" s="1"/>
  <c r="D1791"/>
  <c r="C1791"/>
  <c r="B1791"/>
  <c r="C1790"/>
  <c r="D1790" s="1"/>
  <c r="D1789"/>
  <c r="C1789"/>
  <c r="B1789"/>
  <c r="C1788"/>
  <c r="D1788" s="1"/>
  <c r="D1787"/>
  <c r="C1787"/>
  <c r="B1787"/>
  <c r="C1786"/>
  <c r="D1786" s="1"/>
  <c r="D1785"/>
  <c r="C1785"/>
  <c r="B1785"/>
  <c r="C1784"/>
  <c r="D1784" s="1"/>
  <c r="D1783"/>
  <c r="C1783"/>
  <c r="B1783"/>
  <c r="C1782"/>
  <c r="D1782" s="1"/>
  <c r="D1781"/>
  <c r="C1781"/>
  <c r="B1781"/>
  <c r="C1780"/>
  <c r="D1780" s="1"/>
  <c r="D1779"/>
  <c r="C1779"/>
  <c r="B1779"/>
  <c r="C1778"/>
  <c r="D1778" s="1"/>
  <c r="D1777"/>
  <c r="C1777"/>
  <c r="B1777"/>
  <c r="C1776"/>
  <c r="D1776" s="1"/>
  <c r="D1775"/>
  <c r="C1775"/>
  <c r="B1775"/>
  <c r="C1774"/>
  <c r="D1774" s="1"/>
  <c r="D1773"/>
  <c r="C1773"/>
  <c r="B1773"/>
  <c r="C1772"/>
  <c r="D1772" s="1"/>
  <c r="D1771"/>
  <c r="C1771"/>
  <c r="B1771"/>
  <c r="C1770"/>
  <c r="D1770" s="1"/>
  <c r="D1769"/>
  <c r="C1769"/>
  <c r="B1769"/>
  <c r="C1768"/>
  <c r="D1768" s="1"/>
  <c r="D1767"/>
  <c r="C1767"/>
  <c r="B1767"/>
  <c r="C1766"/>
  <c r="D1766" s="1"/>
  <c r="D1765"/>
  <c r="C1765"/>
  <c r="B1765"/>
  <c r="C1764"/>
  <c r="D1764" s="1"/>
  <c r="D1763"/>
  <c r="C1763"/>
  <c r="B1763"/>
  <c r="C1762"/>
  <c r="D1762" s="1"/>
  <c r="D1761"/>
  <c r="C1761"/>
  <c r="B1761"/>
  <c r="C1760"/>
  <c r="D1760" s="1"/>
  <c r="D1759"/>
  <c r="C1759"/>
  <c r="B1759"/>
  <c r="C1758"/>
  <c r="D1758" s="1"/>
  <c r="D1757"/>
  <c r="C1757"/>
  <c r="B1757"/>
  <c r="C1756"/>
  <c r="D1756" s="1"/>
  <c r="D1755"/>
  <c r="C1755"/>
  <c r="B1755"/>
  <c r="C1754"/>
  <c r="D1754" s="1"/>
  <c r="D1753"/>
  <c r="C1753"/>
  <c r="B1753"/>
  <c r="C1752"/>
  <c r="D1752" s="1"/>
  <c r="D1751"/>
  <c r="C1751"/>
  <c r="B1751"/>
  <c r="C1750"/>
  <c r="D1750" s="1"/>
  <c r="D1749"/>
  <c r="C1749"/>
  <c r="B1749"/>
  <c r="C1748"/>
  <c r="D1748" s="1"/>
  <c r="D1747"/>
  <c r="C1747"/>
  <c r="B1747"/>
  <c r="C1746"/>
  <c r="D1746" s="1"/>
  <c r="D1745"/>
  <c r="C1745"/>
  <c r="B1745"/>
  <c r="C1744"/>
  <c r="D1744" s="1"/>
  <c r="D1743"/>
  <c r="C1743"/>
  <c r="B1743"/>
  <c r="C1742"/>
  <c r="D1742" s="1"/>
  <c r="D1741"/>
  <c r="C1741"/>
  <c r="B1741"/>
  <c r="C1740"/>
  <c r="D1740" s="1"/>
  <c r="D1739"/>
  <c r="C1739"/>
  <c r="B1739"/>
  <c r="C1738"/>
  <c r="D1738" s="1"/>
  <c r="D1737"/>
  <c r="C1737"/>
  <c r="B1737"/>
  <c r="C1736"/>
  <c r="D1736" s="1"/>
  <c r="D1735"/>
  <c r="C1735"/>
  <c r="B1735"/>
  <c r="C1734"/>
  <c r="D1734" s="1"/>
  <c r="D1733"/>
  <c r="C1733"/>
  <c r="B1733"/>
  <c r="C1732"/>
  <c r="D1732" s="1"/>
  <c r="D1731"/>
  <c r="C1731"/>
  <c r="B1731"/>
  <c r="C1730"/>
  <c r="D1730" s="1"/>
  <c r="D1729"/>
  <c r="C1729"/>
  <c r="B1729"/>
  <c r="C1728"/>
  <c r="D1728" s="1"/>
  <c r="D1727"/>
  <c r="C1727"/>
  <c r="B1727"/>
  <c r="C1726"/>
  <c r="D1726" s="1"/>
  <c r="D1725"/>
  <c r="C1725"/>
  <c r="B1725"/>
  <c r="C1724"/>
  <c r="D1724" s="1"/>
  <c r="D1723"/>
  <c r="C1723"/>
  <c r="B1723"/>
  <c r="C1722"/>
  <c r="D1722" s="1"/>
  <c r="D1721"/>
  <c r="C1721"/>
  <c r="B1721"/>
  <c r="C1720"/>
  <c r="D1720" s="1"/>
  <c r="D1719"/>
  <c r="C1719"/>
  <c r="B1719"/>
  <c r="C1718"/>
  <c r="D1718" s="1"/>
  <c r="D1717"/>
  <c r="C1717"/>
  <c r="B1717"/>
  <c r="C1716"/>
  <c r="D1716" s="1"/>
  <c r="D1715"/>
  <c r="C1715"/>
  <c r="B1715"/>
  <c r="C1714"/>
  <c r="D1714" s="1"/>
  <c r="D1713"/>
  <c r="C1713"/>
  <c r="B1713"/>
  <c r="C1712"/>
  <c r="D1712" s="1"/>
  <c r="D1711"/>
  <c r="C1711"/>
  <c r="B1711"/>
  <c r="C1710"/>
  <c r="D1710" s="1"/>
  <c r="D1709"/>
  <c r="C1709"/>
  <c r="B1709"/>
  <c r="C1708"/>
  <c r="D1708" s="1"/>
  <c r="D1707"/>
  <c r="C1707"/>
  <c r="B1707"/>
  <c r="C1706"/>
  <c r="D1706" s="1"/>
  <c r="D1705"/>
  <c r="C1705"/>
  <c r="B1705"/>
  <c r="C1704"/>
  <c r="D1704" s="1"/>
  <c r="D1703"/>
  <c r="C1703"/>
  <c r="B1703"/>
  <c r="C1702"/>
  <c r="D1702" s="1"/>
  <c r="D1701"/>
  <c r="C1701"/>
  <c r="B1701"/>
  <c r="C1700"/>
  <c r="D1700" s="1"/>
  <c r="D1699"/>
  <c r="C1699"/>
  <c r="B1699"/>
  <c r="C1698"/>
  <c r="D1698" s="1"/>
  <c r="D1697"/>
  <c r="C1697"/>
  <c r="B1697"/>
  <c r="C1696"/>
  <c r="D1696" s="1"/>
  <c r="D1695"/>
  <c r="C1695"/>
  <c r="B1695"/>
  <c r="C1694"/>
  <c r="D1694" s="1"/>
  <c r="D1693"/>
  <c r="C1693"/>
  <c r="B1693"/>
  <c r="C1692"/>
  <c r="D1692" s="1"/>
  <c r="D1691"/>
  <c r="C1691"/>
  <c r="B1691"/>
  <c r="C1690"/>
  <c r="D1690" s="1"/>
  <c r="D1689"/>
  <c r="C1689"/>
  <c r="B1689"/>
  <c r="C1688"/>
  <c r="D1688" s="1"/>
  <c r="D1687"/>
  <c r="C1687"/>
  <c r="B1687"/>
  <c r="C1686"/>
  <c r="D1686" s="1"/>
  <c r="D1685"/>
  <c r="C1685"/>
  <c r="B1685"/>
  <c r="C1684"/>
  <c r="D1684" s="1"/>
  <c r="D1683"/>
  <c r="C1683"/>
  <c r="B1683"/>
  <c r="C1682"/>
  <c r="D1682" s="1"/>
  <c r="D1681"/>
  <c r="C1681"/>
  <c r="B1681"/>
  <c r="C1680"/>
  <c r="D1680" s="1"/>
  <c r="D1679"/>
  <c r="C1679"/>
  <c r="B1679"/>
  <c r="C1678"/>
  <c r="D1678" s="1"/>
  <c r="D1677"/>
  <c r="C1677"/>
  <c r="B1677"/>
  <c r="C1676"/>
  <c r="D1676" s="1"/>
  <c r="D1675"/>
  <c r="C1675"/>
  <c r="B1675"/>
  <c r="C1674"/>
  <c r="D1674" s="1"/>
  <c r="D1673"/>
  <c r="C1673"/>
  <c r="B1673"/>
  <c r="C1672"/>
  <c r="D1672" s="1"/>
  <c r="D1671"/>
  <c r="C1671"/>
  <c r="B1671"/>
  <c r="C1670"/>
  <c r="D1670" s="1"/>
  <c r="D1669"/>
  <c r="C1669"/>
  <c r="B1669"/>
  <c r="C1668"/>
  <c r="D1668" s="1"/>
  <c r="D1667"/>
  <c r="C1667"/>
  <c r="B1667"/>
  <c r="C1666"/>
  <c r="D1666" s="1"/>
  <c r="D1665"/>
  <c r="C1665"/>
  <c r="B1665"/>
  <c r="C1664"/>
  <c r="D1664" s="1"/>
  <c r="D1663"/>
  <c r="C1663"/>
  <c r="B1663"/>
  <c r="C1662"/>
  <c r="D1662" s="1"/>
  <c r="D1661"/>
  <c r="C1661"/>
  <c r="B1661"/>
  <c r="C1660"/>
  <c r="D1660" s="1"/>
  <c r="D1659"/>
  <c r="C1659"/>
  <c r="B1659"/>
  <c r="C1658"/>
  <c r="D1658" s="1"/>
  <c r="D1657"/>
  <c r="C1657"/>
  <c r="B1657"/>
  <c r="C1656"/>
  <c r="D1656" s="1"/>
  <c r="D1655"/>
  <c r="C1655"/>
  <c r="B1655"/>
  <c r="C1654"/>
  <c r="D1654" s="1"/>
  <c r="D1653"/>
  <c r="C1653"/>
  <c r="B1653"/>
  <c r="C1652"/>
  <c r="D1652" s="1"/>
  <c r="D1651"/>
  <c r="C1651"/>
  <c r="B1651"/>
  <c r="C1650"/>
  <c r="D1650" s="1"/>
  <c r="D1649"/>
  <c r="C1649"/>
  <c r="B1649"/>
  <c r="C1648"/>
  <c r="D1648" s="1"/>
  <c r="D1647"/>
  <c r="C1647"/>
  <c r="B1647"/>
  <c r="C1646"/>
  <c r="D1646" s="1"/>
  <c r="D1645"/>
  <c r="C1645"/>
  <c r="B1645"/>
  <c r="C1644"/>
  <c r="D1644" s="1"/>
  <c r="D1643"/>
  <c r="C1643"/>
  <c r="B1643"/>
  <c r="C1642"/>
  <c r="D1642" s="1"/>
  <c r="D1641"/>
  <c r="C1641"/>
  <c r="B1641"/>
  <c r="C1640"/>
  <c r="D1640" s="1"/>
  <c r="D1639"/>
  <c r="C1639"/>
  <c r="B1639"/>
  <c r="C1638"/>
  <c r="D1638" s="1"/>
  <c r="D1637"/>
  <c r="C1637"/>
  <c r="B1637"/>
  <c r="C1636"/>
  <c r="D1636" s="1"/>
  <c r="D1635"/>
  <c r="C1635"/>
  <c r="B1635"/>
  <c r="C1634"/>
  <c r="D1634" s="1"/>
  <c r="D1633"/>
  <c r="C1633"/>
  <c r="B1633"/>
  <c r="C1632"/>
  <c r="D1632" s="1"/>
  <c r="D1631"/>
  <c r="C1631"/>
  <c r="B1631"/>
  <c r="C1630"/>
  <c r="D1630" s="1"/>
  <c r="D1629"/>
  <c r="C1629"/>
  <c r="B1629"/>
  <c r="C1628"/>
  <c r="D1628" s="1"/>
  <c r="D1627"/>
  <c r="C1627"/>
  <c r="B1627"/>
  <c r="C1626"/>
  <c r="D1626" s="1"/>
  <c r="D1625"/>
  <c r="C1625"/>
  <c r="B1625"/>
  <c r="C1624"/>
  <c r="D1624" s="1"/>
  <c r="D1623"/>
  <c r="C1623"/>
  <c r="B1623"/>
  <c r="C1622"/>
  <c r="D1622" s="1"/>
  <c r="D1621"/>
  <c r="C1621"/>
  <c r="B1621"/>
  <c r="C1620"/>
  <c r="D1620" s="1"/>
  <c r="D1619"/>
  <c r="C1619"/>
  <c r="B1619"/>
  <c r="C1618"/>
  <c r="D1618" s="1"/>
  <c r="D1617"/>
  <c r="C1617"/>
  <c r="B1617"/>
  <c r="C1616"/>
  <c r="D1616" s="1"/>
  <c r="D1615"/>
  <c r="C1615"/>
  <c r="B1615"/>
  <c r="C1614"/>
  <c r="D1614" s="1"/>
  <c r="D1613"/>
  <c r="C1613"/>
  <c r="B1613"/>
  <c r="C1612"/>
  <c r="D1612" s="1"/>
  <c r="D1611"/>
  <c r="C1611"/>
  <c r="B1611"/>
  <c r="C1610"/>
  <c r="D1610" s="1"/>
  <c r="D1609"/>
  <c r="C1609"/>
  <c r="B1609"/>
  <c r="C1608"/>
  <c r="D1608" s="1"/>
  <c r="D1607"/>
  <c r="C1607"/>
  <c r="B1607"/>
  <c r="C1606"/>
  <c r="D1606" s="1"/>
  <c r="D1605"/>
  <c r="C1605"/>
  <c r="B1605"/>
  <c r="C1604"/>
  <c r="D1604" s="1"/>
  <c r="D1603"/>
  <c r="C1603"/>
  <c r="B1603"/>
  <c r="C1602"/>
  <c r="D1602" s="1"/>
  <c r="D1601"/>
  <c r="C1601"/>
  <c r="B1601"/>
  <c r="C1600"/>
  <c r="D1600" s="1"/>
  <c r="D1599"/>
  <c r="C1599"/>
  <c r="B1599"/>
  <c r="C1598"/>
  <c r="D1598" s="1"/>
  <c r="D1597"/>
  <c r="C1597"/>
  <c r="B1597"/>
  <c r="C1596"/>
  <c r="D1596" s="1"/>
  <c r="D1595"/>
  <c r="C1595"/>
  <c r="B1595"/>
  <c r="C1594"/>
  <c r="D1594" s="1"/>
  <c r="D1593"/>
  <c r="C1593"/>
  <c r="B1593"/>
  <c r="C1592"/>
  <c r="D1592" s="1"/>
  <c r="D1591"/>
  <c r="C1591"/>
  <c r="B1591"/>
  <c r="C1590"/>
  <c r="D1590" s="1"/>
  <c r="D1589"/>
  <c r="C1589"/>
  <c r="B1589"/>
  <c r="C1588"/>
  <c r="D1588" s="1"/>
  <c r="D1587"/>
  <c r="C1587"/>
  <c r="B1587"/>
  <c r="C1586"/>
  <c r="D1586" s="1"/>
  <c r="D1585"/>
  <c r="C1585"/>
  <c r="B1585"/>
  <c r="C1584"/>
  <c r="D1584" s="1"/>
  <c r="D1583"/>
  <c r="C1583"/>
  <c r="B1583"/>
  <c r="C1582"/>
  <c r="D1582" s="1"/>
  <c r="D1581"/>
  <c r="C1581"/>
  <c r="B1581"/>
  <c r="C1580"/>
  <c r="D1580" s="1"/>
  <c r="D1579"/>
  <c r="C1579"/>
  <c r="B1579"/>
  <c r="C1578"/>
  <c r="D1578" s="1"/>
  <c r="D1577"/>
  <c r="C1577"/>
  <c r="B1577"/>
  <c r="C1576"/>
  <c r="D1576" s="1"/>
  <c r="D1575"/>
  <c r="C1575"/>
  <c r="B1575"/>
  <c r="C1574"/>
  <c r="D1574" s="1"/>
  <c r="D1573"/>
  <c r="C1573"/>
  <c r="B1573"/>
  <c r="C1572"/>
  <c r="D1572" s="1"/>
  <c r="D1571"/>
  <c r="C1571"/>
  <c r="B1571"/>
  <c r="C1570"/>
  <c r="D1570" s="1"/>
  <c r="D1569"/>
  <c r="C1569"/>
  <c r="B1569"/>
  <c r="C1568"/>
  <c r="D1568" s="1"/>
  <c r="D1567"/>
  <c r="C1567"/>
  <c r="B1567"/>
  <c r="C1566"/>
  <c r="D1566" s="1"/>
  <c r="D1565"/>
  <c r="C1565"/>
  <c r="B1565"/>
  <c r="C1564"/>
  <c r="D1564" s="1"/>
  <c r="D1563"/>
  <c r="C1563"/>
  <c r="B1563"/>
  <c r="C1562"/>
  <c r="D1562" s="1"/>
  <c r="D1561"/>
  <c r="C1561"/>
  <c r="B1561"/>
  <c r="C1560"/>
  <c r="D1560" s="1"/>
  <c r="D1559"/>
  <c r="C1559"/>
  <c r="B1559"/>
  <c r="C1558"/>
  <c r="D1558" s="1"/>
  <c r="D1557"/>
  <c r="C1557"/>
  <c r="B1557"/>
  <c r="C1556"/>
  <c r="D1556" s="1"/>
  <c r="D1555"/>
  <c r="C1555"/>
  <c r="B1555"/>
  <c r="C1554"/>
  <c r="D1554" s="1"/>
  <c r="D1553"/>
  <c r="C1553"/>
  <c r="B1553"/>
  <c r="C1552"/>
  <c r="D1552" s="1"/>
  <c r="D1551"/>
  <c r="C1551"/>
  <c r="B1551"/>
  <c r="C1550"/>
  <c r="D1550" s="1"/>
  <c r="D1549"/>
  <c r="C1549"/>
  <c r="B1549"/>
  <c r="C1548"/>
  <c r="D1548" s="1"/>
  <c r="D1547"/>
  <c r="C1547"/>
  <c r="B1547"/>
  <c r="C1546"/>
  <c r="D1546" s="1"/>
  <c r="D1545"/>
  <c r="C1545"/>
  <c r="B1545"/>
  <c r="C1544"/>
  <c r="D1544" s="1"/>
  <c r="D1543"/>
  <c r="C1543"/>
  <c r="B1543"/>
  <c r="C1542"/>
  <c r="D1542" s="1"/>
  <c r="D1541"/>
  <c r="C1541"/>
  <c r="B1541"/>
  <c r="C1540"/>
  <c r="D1540" s="1"/>
  <c r="D1539"/>
  <c r="C1539"/>
  <c r="B1539"/>
  <c r="C1538"/>
  <c r="D1538" s="1"/>
  <c r="D1537"/>
  <c r="C1537"/>
  <c r="B1537"/>
  <c r="C1536"/>
  <c r="D1536" s="1"/>
  <c r="D1535"/>
  <c r="C1535"/>
  <c r="B1535"/>
  <c r="C1534"/>
  <c r="D1534" s="1"/>
  <c r="D1533"/>
  <c r="C1533"/>
  <c r="B1533"/>
  <c r="C1532"/>
  <c r="D1532" s="1"/>
  <c r="D1531"/>
  <c r="C1531"/>
  <c r="B1531"/>
  <c r="C1530"/>
  <c r="D1530" s="1"/>
  <c r="D1529"/>
  <c r="C1529"/>
  <c r="B1529"/>
  <c r="C1528"/>
  <c r="D1528" s="1"/>
  <c r="D1527"/>
  <c r="C1527"/>
  <c r="B1527"/>
  <c r="C1526"/>
  <c r="D1526" s="1"/>
  <c r="D1525"/>
  <c r="C1525"/>
  <c r="B1525"/>
  <c r="C1524"/>
  <c r="D1524" s="1"/>
  <c r="D1523"/>
  <c r="C1523"/>
  <c r="B1523"/>
  <c r="C1522"/>
  <c r="D1522" s="1"/>
  <c r="D1521"/>
  <c r="C1521"/>
  <c r="B1521"/>
  <c r="C1520"/>
  <c r="D1520" s="1"/>
  <c r="D1519"/>
  <c r="C1519"/>
  <c r="B1519"/>
  <c r="C1518"/>
  <c r="D1518" s="1"/>
  <c r="D1517"/>
  <c r="C1517"/>
  <c r="B1517"/>
  <c r="C1516"/>
  <c r="D1516" s="1"/>
  <c r="D1515"/>
  <c r="C1515"/>
  <c r="B1515"/>
  <c r="C1514"/>
  <c r="D1514" s="1"/>
  <c r="D1513"/>
  <c r="C1513"/>
  <c r="B1513"/>
  <c r="C1512"/>
  <c r="D1512" s="1"/>
  <c r="D1511"/>
  <c r="C1511"/>
  <c r="B1511"/>
  <c r="C1510"/>
  <c r="D1510" s="1"/>
  <c r="D1509"/>
  <c r="C1509"/>
  <c r="B1509"/>
  <c r="C1508"/>
  <c r="D1508" s="1"/>
  <c r="D1507"/>
  <c r="C1507"/>
  <c r="B1507"/>
  <c r="C1506"/>
  <c r="D1506" s="1"/>
  <c r="D1505"/>
  <c r="C1505"/>
  <c r="B1505"/>
  <c r="C1504"/>
  <c r="D1504" s="1"/>
  <c r="D1503"/>
  <c r="C1503"/>
  <c r="B1503"/>
  <c r="C1502"/>
  <c r="D1502" s="1"/>
  <c r="D1501"/>
  <c r="C1501"/>
  <c r="B1501"/>
  <c r="C1500"/>
  <c r="D1500" s="1"/>
  <c r="D1499"/>
  <c r="C1499"/>
  <c r="B1499"/>
  <c r="C1498"/>
  <c r="D1498" s="1"/>
  <c r="D1497"/>
  <c r="C1497"/>
  <c r="B1497"/>
  <c r="C1496"/>
  <c r="D1496" s="1"/>
  <c r="D1495"/>
  <c r="C1495"/>
  <c r="B1495"/>
  <c r="C1494"/>
  <c r="D1494" s="1"/>
  <c r="D1493"/>
  <c r="C1493"/>
  <c r="B1493"/>
  <c r="C1492"/>
  <c r="D1492" s="1"/>
  <c r="D1491"/>
  <c r="C1491"/>
  <c r="B1491"/>
  <c r="C1490"/>
  <c r="D1490" s="1"/>
  <c r="D1489"/>
  <c r="C1489"/>
  <c r="B1489"/>
  <c r="C1488"/>
  <c r="D1488" s="1"/>
  <c r="D1487"/>
  <c r="C1487"/>
  <c r="B1487"/>
  <c r="C1486"/>
  <c r="D1486" s="1"/>
  <c r="D1485"/>
  <c r="C1485"/>
  <c r="B1485"/>
  <c r="C1484"/>
  <c r="D1484" s="1"/>
  <c r="D1483"/>
  <c r="C1483"/>
  <c r="B1483"/>
  <c r="C1482"/>
  <c r="D1482" s="1"/>
  <c r="D1481"/>
  <c r="C1481"/>
  <c r="B1481"/>
  <c r="C1480"/>
  <c r="D1480" s="1"/>
  <c r="D1479"/>
  <c r="C1479"/>
  <c r="B1479"/>
  <c r="C1478"/>
  <c r="D1478" s="1"/>
  <c r="D1477"/>
  <c r="C1477"/>
  <c r="B1477"/>
  <c r="C1476"/>
  <c r="D1476" s="1"/>
  <c r="D1475"/>
  <c r="C1475"/>
  <c r="B1475"/>
  <c r="C1474"/>
  <c r="D1474" s="1"/>
  <c r="D1473"/>
  <c r="C1473"/>
  <c r="B1473"/>
  <c r="C1472"/>
  <c r="D1472" s="1"/>
  <c r="D1471"/>
  <c r="C1471"/>
  <c r="B1471"/>
  <c r="C1470"/>
  <c r="D1470" s="1"/>
  <c r="D1469"/>
  <c r="C1469"/>
  <c r="B1469"/>
  <c r="C1468"/>
  <c r="D1468" s="1"/>
  <c r="D1467"/>
  <c r="C1467"/>
  <c r="B1467"/>
  <c r="C1466"/>
  <c r="D1466" s="1"/>
  <c r="D1465"/>
  <c r="C1465"/>
  <c r="B1465"/>
  <c r="C1464"/>
  <c r="D1464" s="1"/>
  <c r="D1463"/>
  <c r="C1463"/>
  <c r="B1463"/>
  <c r="C1462"/>
  <c r="D1462" s="1"/>
  <c r="D1461"/>
  <c r="C1461"/>
  <c r="B1461"/>
  <c r="C1460"/>
  <c r="D1460" s="1"/>
  <c r="D1459"/>
  <c r="C1459"/>
  <c r="B1459"/>
  <c r="C1458"/>
  <c r="D1458" s="1"/>
  <c r="D1457"/>
  <c r="C1457"/>
  <c r="B1457"/>
  <c r="C1456"/>
  <c r="D1456" s="1"/>
  <c r="D1455"/>
  <c r="C1455"/>
  <c r="B1455"/>
  <c r="C1454"/>
  <c r="D1454" s="1"/>
  <c r="D1453"/>
  <c r="C1453"/>
  <c r="B1453"/>
  <c r="C1452"/>
  <c r="D1452" s="1"/>
  <c r="D1451"/>
  <c r="C1451"/>
  <c r="B1451"/>
  <c r="C1450"/>
  <c r="D1450" s="1"/>
  <c r="D1449"/>
  <c r="C1449"/>
  <c r="B1449"/>
  <c r="C1448"/>
  <c r="D1448" s="1"/>
  <c r="D1447"/>
  <c r="C1447"/>
  <c r="B1447"/>
  <c r="C1446"/>
  <c r="D1446" s="1"/>
  <c r="D1445"/>
  <c r="C1445"/>
  <c r="B1445"/>
  <c r="C1444"/>
  <c r="D1444" s="1"/>
  <c r="D1443"/>
  <c r="C1443"/>
  <c r="B1443"/>
  <c r="C1442"/>
  <c r="D1442" s="1"/>
  <c r="D1441"/>
  <c r="C1441"/>
  <c r="B1441"/>
  <c r="C1440"/>
  <c r="D1440" s="1"/>
  <c r="D1439"/>
  <c r="C1439"/>
  <c r="B1439"/>
  <c r="C1438"/>
  <c r="D1438" s="1"/>
  <c r="D1437"/>
  <c r="C1437"/>
  <c r="B1437"/>
  <c r="C1436"/>
  <c r="D1436" s="1"/>
  <c r="D1435"/>
  <c r="C1435"/>
  <c r="B1435"/>
  <c r="C1434"/>
  <c r="D1434" s="1"/>
  <c r="D1433"/>
  <c r="C1433"/>
  <c r="B1433"/>
  <c r="C1432"/>
  <c r="D1432" s="1"/>
  <c r="D1431"/>
  <c r="C1431"/>
  <c r="B1431"/>
  <c r="C1430"/>
  <c r="D1430" s="1"/>
  <c r="D1429"/>
  <c r="C1429"/>
  <c r="B1429"/>
  <c r="C1428"/>
  <c r="D1428" s="1"/>
  <c r="D1427"/>
  <c r="C1427"/>
  <c r="B1427"/>
  <c r="C1426"/>
  <c r="D1426" s="1"/>
  <c r="D1425"/>
  <c r="C1425"/>
  <c r="B1425"/>
  <c r="C1424"/>
  <c r="D1424" s="1"/>
  <c r="D1423"/>
  <c r="C1423"/>
  <c r="B1423"/>
  <c r="C1422"/>
  <c r="D1422" s="1"/>
  <c r="D1421"/>
  <c r="C1421"/>
  <c r="B1421"/>
  <c r="C1420"/>
  <c r="D1420" s="1"/>
  <c r="D1419"/>
  <c r="C1419"/>
  <c r="B1419"/>
  <c r="C1418"/>
  <c r="D1418" s="1"/>
  <c r="D1417"/>
  <c r="C1417"/>
  <c r="B1417"/>
  <c r="C1416"/>
  <c r="D1416" s="1"/>
  <c r="D1415"/>
  <c r="C1415"/>
  <c r="B1415"/>
  <c r="C1414"/>
  <c r="D1414" s="1"/>
  <c r="D1413"/>
  <c r="C1413"/>
  <c r="B1413"/>
  <c r="C1412"/>
  <c r="D1412" s="1"/>
  <c r="D1411"/>
  <c r="C1411"/>
  <c r="B1411"/>
  <c r="C1410"/>
  <c r="D1410" s="1"/>
  <c r="D1409"/>
  <c r="C1409"/>
  <c r="B1409"/>
  <c r="C1408"/>
  <c r="D1408" s="1"/>
  <c r="D1407"/>
  <c r="C1407"/>
  <c r="B1407"/>
  <c r="C1406"/>
  <c r="D1406" s="1"/>
  <c r="D1405"/>
  <c r="C1405"/>
  <c r="B1405"/>
  <c r="C1404"/>
  <c r="D1404" s="1"/>
  <c r="D1403"/>
  <c r="C1403"/>
  <c r="B1403"/>
  <c r="C1402"/>
  <c r="D1402" s="1"/>
  <c r="D1401"/>
  <c r="C1401"/>
  <c r="B1401"/>
  <c r="C1400"/>
  <c r="D1400" s="1"/>
  <c r="D1399"/>
  <c r="C1399"/>
  <c r="B1399"/>
  <c r="C1398"/>
  <c r="D1398" s="1"/>
  <c r="D1397"/>
  <c r="C1397"/>
  <c r="B1397"/>
  <c r="C1396"/>
  <c r="D1396" s="1"/>
  <c r="D1395"/>
  <c r="C1395"/>
  <c r="B1395"/>
  <c r="C1394"/>
  <c r="D1394" s="1"/>
  <c r="D1393"/>
  <c r="C1393"/>
  <c r="B1393"/>
  <c r="C1392"/>
  <c r="D1392" s="1"/>
  <c r="D1391"/>
  <c r="C1391"/>
  <c r="B1391"/>
  <c r="C1390"/>
  <c r="D1390" s="1"/>
  <c r="D1389"/>
  <c r="C1389"/>
  <c r="B1389"/>
  <c r="C1388"/>
  <c r="D1388" s="1"/>
  <c r="D1387"/>
  <c r="C1387"/>
  <c r="B1387"/>
  <c r="C1386"/>
  <c r="D1386" s="1"/>
  <c r="D1385"/>
  <c r="C1385"/>
  <c r="B1385"/>
  <c r="C1384"/>
  <c r="D1384" s="1"/>
  <c r="D1383"/>
  <c r="C1383"/>
  <c r="B1383"/>
  <c r="C1382"/>
  <c r="D1382" s="1"/>
  <c r="D1381"/>
  <c r="C1381"/>
  <c r="B1381"/>
  <c r="C1380"/>
  <c r="D1380" s="1"/>
  <c r="D1379"/>
  <c r="C1379"/>
  <c r="B1379"/>
  <c r="C1378"/>
  <c r="D1378" s="1"/>
  <c r="D1377"/>
  <c r="C1377"/>
  <c r="B1377"/>
  <c r="C1376"/>
  <c r="D1376" s="1"/>
  <c r="D1375"/>
  <c r="C1375"/>
  <c r="B1375"/>
  <c r="C1374"/>
  <c r="D1374" s="1"/>
  <c r="D1373"/>
  <c r="C1373"/>
  <c r="B1373"/>
  <c r="C1372"/>
  <c r="D1372" s="1"/>
  <c r="D1371"/>
  <c r="C1371"/>
  <c r="B1371"/>
  <c r="C1370"/>
  <c r="D1370" s="1"/>
  <c r="D1369"/>
  <c r="C1369"/>
  <c r="B1369"/>
  <c r="C1368"/>
  <c r="D1368" s="1"/>
  <c r="D1367"/>
  <c r="C1367"/>
  <c r="B1367"/>
  <c r="C1366"/>
  <c r="D1366" s="1"/>
  <c r="D1365"/>
  <c r="C1365"/>
  <c r="B1365"/>
  <c r="C1364"/>
  <c r="D1364" s="1"/>
  <c r="D1363"/>
  <c r="C1363"/>
  <c r="B1363"/>
  <c r="C1362"/>
  <c r="D1362" s="1"/>
  <c r="D1361"/>
  <c r="C1361"/>
  <c r="B1361"/>
  <c r="C1360"/>
  <c r="D1360" s="1"/>
  <c r="D1359"/>
  <c r="C1359"/>
  <c r="B1359"/>
  <c r="C1358"/>
  <c r="D1358" s="1"/>
  <c r="D1357"/>
  <c r="C1357"/>
  <c r="B1357"/>
  <c r="C1356"/>
  <c r="D1356" s="1"/>
  <c r="D1355"/>
  <c r="C1355"/>
  <c r="B1355"/>
  <c r="C1354"/>
  <c r="D1354" s="1"/>
  <c r="D1353"/>
  <c r="C1353"/>
  <c r="B1353"/>
  <c r="C1352"/>
  <c r="D1352" s="1"/>
  <c r="D1351"/>
  <c r="C1351"/>
  <c r="B1351"/>
  <c r="C1350"/>
  <c r="D1350" s="1"/>
  <c r="D1349"/>
  <c r="C1349"/>
  <c r="B1349"/>
  <c r="C1348"/>
  <c r="D1348" s="1"/>
  <c r="D1347"/>
  <c r="C1347"/>
  <c r="B1347"/>
  <c r="C1346"/>
  <c r="D1346" s="1"/>
  <c r="D1345"/>
  <c r="C1345"/>
  <c r="B1345"/>
  <c r="C1344"/>
  <c r="D1344" s="1"/>
  <c r="D1343"/>
  <c r="C1343"/>
  <c r="B1343"/>
  <c r="C1342"/>
  <c r="D1342" s="1"/>
  <c r="D1341"/>
  <c r="C1341"/>
  <c r="B1341"/>
  <c r="C1340"/>
  <c r="D1340" s="1"/>
  <c r="D1339"/>
  <c r="C1339"/>
  <c r="B1339"/>
  <c r="C1338"/>
  <c r="D1338" s="1"/>
  <c r="D1337"/>
  <c r="C1337"/>
  <c r="B1337"/>
  <c r="C1336"/>
  <c r="D1336" s="1"/>
  <c r="D1335"/>
  <c r="C1335"/>
  <c r="B1335"/>
  <c r="C1334"/>
  <c r="D1334" s="1"/>
  <c r="D1333"/>
  <c r="C1333"/>
  <c r="B1333"/>
  <c r="C1332"/>
  <c r="D1332" s="1"/>
  <c r="D1331"/>
  <c r="C1331"/>
  <c r="B1331"/>
  <c r="C1330"/>
  <c r="D1330" s="1"/>
  <c r="D1329"/>
  <c r="C1329"/>
  <c r="B1329"/>
  <c r="C1328"/>
  <c r="D1328" s="1"/>
  <c r="D1327"/>
  <c r="C1327"/>
  <c r="B1327"/>
  <c r="C1326"/>
  <c r="D1326" s="1"/>
  <c r="D1325"/>
  <c r="C1325"/>
  <c r="B1325"/>
  <c r="C1324"/>
  <c r="D1324" s="1"/>
  <c r="D1323"/>
  <c r="C1323"/>
  <c r="B1323"/>
  <c r="C1322"/>
  <c r="D1322" s="1"/>
  <c r="D1321"/>
  <c r="C1321"/>
  <c r="B1321"/>
  <c r="C1320"/>
  <c r="D1320" s="1"/>
  <c r="D1319"/>
  <c r="C1319"/>
  <c r="B1319"/>
  <c r="C1318"/>
  <c r="D1318" s="1"/>
  <c r="D1317"/>
  <c r="C1317"/>
  <c r="B1317"/>
  <c r="C1316"/>
  <c r="D1316" s="1"/>
  <c r="D1315"/>
  <c r="C1315"/>
  <c r="B1315"/>
  <c r="C1314"/>
  <c r="D1314" s="1"/>
  <c r="D1313"/>
  <c r="C1313"/>
  <c r="B1313"/>
  <c r="C1312"/>
  <c r="D1312" s="1"/>
  <c r="D1311"/>
  <c r="C1311"/>
  <c r="B1311"/>
  <c r="C1310"/>
  <c r="D1310" s="1"/>
  <c r="D1309"/>
  <c r="C1309"/>
  <c r="B1309"/>
  <c r="C1308"/>
  <c r="D1308" s="1"/>
  <c r="D1307"/>
  <c r="C1307"/>
  <c r="B1307"/>
  <c r="C1306"/>
  <c r="D1306" s="1"/>
  <c r="D1305"/>
  <c r="C1305"/>
  <c r="B1305"/>
  <c r="C1304"/>
  <c r="D1304" s="1"/>
  <c r="D1303"/>
  <c r="C1303"/>
  <c r="B1303"/>
  <c r="C1302"/>
  <c r="D1302" s="1"/>
  <c r="D1301"/>
  <c r="C1301"/>
  <c r="B1301"/>
  <c r="C1300"/>
  <c r="D1300" s="1"/>
  <c r="D1299"/>
  <c r="C1299"/>
  <c r="B1299"/>
  <c r="C1298"/>
  <c r="D1298" s="1"/>
  <c r="D1297"/>
  <c r="C1297"/>
  <c r="B1297"/>
  <c r="C1296"/>
  <c r="D1296" s="1"/>
  <c r="D1295"/>
  <c r="C1295"/>
  <c r="B1295"/>
  <c r="C1294"/>
  <c r="D1294" s="1"/>
  <c r="D1293"/>
  <c r="C1293"/>
  <c r="B1293"/>
  <c r="C1292"/>
  <c r="D1292" s="1"/>
  <c r="D1291"/>
  <c r="C1291"/>
  <c r="B1291"/>
  <c r="C1290"/>
  <c r="D1290" s="1"/>
  <c r="D1289"/>
  <c r="C1289"/>
  <c r="B1289"/>
  <c r="C1288"/>
  <c r="D1288" s="1"/>
  <c r="D1287"/>
  <c r="C1287"/>
  <c r="B1287"/>
  <c r="C1286"/>
  <c r="D1286" s="1"/>
  <c r="D1285"/>
  <c r="C1285"/>
  <c r="B1285"/>
  <c r="C1284"/>
  <c r="D1284" s="1"/>
  <c r="D1283"/>
  <c r="C1283"/>
  <c r="B1283"/>
  <c r="C1282"/>
  <c r="D1282" s="1"/>
  <c r="D1281"/>
  <c r="C1281"/>
  <c r="B1281"/>
  <c r="C1280"/>
  <c r="D1280" s="1"/>
  <c r="D1279"/>
  <c r="C1279"/>
  <c r="B1279"/>
  <c r="C1278"/>
  <c r="D1278" s="1"/>
  <c r="D1277"/>
  <c r="C1277"/>
  <c r="B1277"/>
  <c r="C1276"/>
  <c r="D1276" s="1"/>
  <c r="D1275"/>
  <c r="C1275"/>
  <c r="B1275"/>
  <c r="C1274"/>
  <c r="D1274" s="1"/>
  <c r="D1273"/>
  <c r="C1273"/>
  <c r="B1273"/>
  <c r="C1272"/>
  <c r="D1272" s="1"/>
  <c r="D1271"/>
  <c r="C1271"/>
  <c r="B1271"/>
  <c r="C1270"/>
  <c r="D1270" s="1"/>
  <c r="D1269"/>
  <c r="C1269"/>
  <c r="B1269"/>
  <c r="C1268"/>
  <c r="D1268" s="1"/>
  <c r="D1267"/>
  <c r="C1267"/>
  <c r="B1267"/>
  <c r="C1266"/>
  <c r="D1266" s="1"/>
  <c r="D1265"/>
  <c r="C1265"/>
  <c r="B1265"/>
  <c r="C1264"/>
  <c r="D1264" s="1"/>
  <c r="D1263"/>
  <c r="C1263"/>
  <c r="B1263"/>
  <c r="C1262"/>
  <c r="D1262" s="1"/>
  <c r="D1261"/>
  <c r="C1261"/>
  <c r="B1261"/>
  <c r="C1260"/>
  <c r="D1260" s="1"/>
  <c r="D1259"/>
  <c r="C1259"/>
  <c r="B1259"/>
  <c r="C1258"/>
  <c r="D1258" s="1"/>
  <c r="D1257"/>
  <c r="C1257"/>
  <c r="B1257"/>
  <c r="C1256"/>
  <c r="D1256" s="1"/>
  <c r="D1255"/>
  <c r="C1255"/>
  <c r="B1255"/>
  <c r="C1254"/>
  <c r="D1254" s="1"/>
  <c r="D1253"/>
  <c r="C1253"/>
  <c r="B1253"/>
  <c r="C1252"/>
  <c r="D1252" s="1"/>
  <c r="D1251"/>
  <c r="C1251"/>
  <c r="B1251"/>
  <c r="C1250"/>
  <c r="D1250" s="1"/>
  <c r="D1249"/>
  <c r="C1249"/>
  <c r="B1249"/>
  <c r="C1248"/>
  <c r="D1248" s="1"/>
  <c r="D1247"/>
  <c r="C1247"/>
  <c r="B1247"/>
  <c r="C1246"/>
  <c r="D1246" s="1"/>
  <c r="D1245"/>
  <c r="C1245"/>
  <c r="B1245"/>
  <c r="C1244"/>
  <c r="D1244" s="1"/>
  <c r="D1243"/>
  <c r="C1243"/>
  <c r="B1243"/>
  <c r="C1242"/>
  <c r="D1242" s="1"/>
  <c r="D1241"/>
  <c r="C1241"/>
  <c r="B1241"/>
  <c r="C1240"/>
  <c r="D1240" s="1"/>
  <c r="D1239"/>
  <c r="C1239"/>
  <c r="B1239"/>
  <c r="C1238"/>
  <c r="D1238" s="1"/>
  <c r="D1237"/>
  <c r="C1237"/>
  <c r="B1237"/>
  <c r="C1236"/>
  <c r="D1236" s="1"/>
  <c r="D1235"/>
  <c r="C1235"/>
  <c r="B1235"/>
  <c r="C1234"/>
  <c r="D1234" s="1"/>
  <c r="D1233"/>
  <c r="C1233"/>
  <c r="B1233"/>
  <c r="C1232"/>
  <c r="D1232" s="1"/>
  <c r="D1231"/>
  <c r="C1231"/>
  <c r="B1231"/>
  <c r="C1230"/>
  <c r="D1230" s="1"/>
  <c r="D1229"/>
  <c r="C1229"/>
  <c r="B1229"/>
  <c r="C1228"/>
  <c r="D1228" s="1"/>
  <c r="D1227"/>
  <c r="C1227"/>
  <c r="B1227"/>
  <c r="C1226"/>
  <c r="D1226" s="1"/>
  <c r="D1225"/>
  <c r="C1225"/>
  <c r="B1225"/>
  <c r="C1224"/>
  <c r="D1224" s="1"/>
  <c r="D1223"/>
  <c r="C1223"/>
  <c r="B1223"/>
  <c r="C1222"/>
  <c r="D1222" s="1"/>
  <c r="D1221"/>
  <c r="C1221"/>
  <c r="B1221"/>
  <c r="C1220"/>
  <c r="D1220" s="1"/>
  <c r="D1219"/>
  <c r="C1219"/>
  <c r="B1219"/>
  <c r="C1218"/>
  <c r="D1218" s="1"/>
  <c r="D1217"/>
  <c r="C1217"/>
  <c r="B1217"/>
  <c r="C1216"/>
  <c r="D1216" s="1"/>
  <c r="D1215"/>
  <c r="C1215"/>
  <c r="B1215"/>
  <c r="C1214"/>
  <c r="D1214" s="1"/>
  <c r="D1213"/>
  <c r="C1213"/>
  <c r="B1213"/>
  <c r="C1212"/>
  <c r="D1212" s="1"/>
  <c r="D1211"/>
  <c r="C1211"/>
  <c r="B1211"/>
  <c r="C1210"/>
  <c r="D1210" s="1"/>
  <c r="D1209"/>
  <c r="C1209"/>
  <c r="B1209"/>
  <c r="C1208"/>
  <c r="D1208" s="1"/>
  <c r="D1207"/>
  <c r="C1207"/>
  <c r="B1207"/>
  <c r="C1206"/>
  <c r="D1206" s="1"/>
  <c r="D1205"/>
  <c r="C1205"/>
  <c r="B1205"/>
  <c r="C1204"/>
  <c r="D1204" s="1"/>
  <c r="D1203"/>
  <c r="C1203"/>
  <c r="B1203"/>
  <c r="C1202"/>
  <c r="D1202" s="1"/>
  <c r="D1201"/>
  <c r="C1201"/>
  <c r="B1201"/>
  <c r="C1200"/>
  <c r="D1200" s="1"/>
  <c r="D1199"/>
  <c r="C1199"/>
  <c r="B1199"/>
  <c r="C1198"/>
  <c r="D1198" s="1"/>
  <c r="D1197"/>
  <c r="C1197"/>
  <c r="B1197"/>
  <c r="C1196"/>
  <c r="D1196" s="1"/>
  <c r="D1195"/>
  <c r="C1195"/>
  <c r="B1195"/>
  <c r="C1194"/>
  <c r="D1194" s="1"/>
  <c r="D1193"/>
  <c r="C1193"/>
  <c r="B1193"/>
  <c r="C1192"/>
  <c r="D1192" s="1"/>
  <c r="D1191"/>
  <c r="C1191"/>
  <c r="B1191"/>
  <c r="C1190"/>
  <c r="D1190" s="1"/>
  <c r="D1189"/>
  <c r="C1189"/>
  <c r="B1189"/>
  <c r="C1188"/>
  <c r="D1188" s="1"/>
  <c r="D1187"/>
  <c r="C1187"/>
  <c r="B1187"/>
  <c r="C1186"/>
  <c r="D1186" s="1"/>
  <c r="D1185"/>
  <c r="C1185"/>
  <c r="B1185"/>
  <c r="C1184"/>
  <c r="D1184" s="1"/>
  <c r="D1183"/>
  <c r="C1183"/>
  <c r="B1183"/>
  <c r="C1182"/>
  <c r="D1182" s="1"/>
  <c r="D1181"/>
  <c r="C1181"/>
  <c r="B1181"/>
  <c r="C1180"/>
  <c r="D1180" s="1"/>
  <c r="D1179"/>
  <c r="C1179"/>
  <c r="B1179"/>
  <c r="C1178"/>
  <c r="D1178" s="1"/>
  <c r="D1177"/>
  <c r="C1177"/>
  <c r="B1177"/>
  <c r="C1176"/>
  <c r="D1176" s="1"/>
  <c r="D1175"/>
  <c r="C1175"/>
  <c r="B1175"/>
  <c r="C1174"/>
  <c r="D1174" s="1"/>
  <c r="D1173"/>
  <c r="C1173"/>
  <c r="B1173"/>
  <c r="C1172"/>
  <c r="D1172" s="1"/>
  <c r="D1171"/>
  <c r="C1171"/>
  <c r="B1171"/>
  <c r="C1170"/>
  <c r="D1170" s="1"/>
  <c r="D1169"/>
  <c r="C1169"/>
  <c r="B1169"/>
  <c r="C1168"/>
  <c r="D1168" s="1"/>
  <c r="D1167"/>
  <c r="C1167"/>
  <c r="B1167"/>
  <c r="C1166"/>
  <c r="D1166" s="1"/>
  <c r="D1165"/>
  <c r="C1165"/>
  <c r="B1165"/>
  <c r="C1164"/>
  <c r="D1164" s="1"/>
  <c r="D1163"/>
  <c r="C1163"/>
  <c r="B1163"/>
  <c r="C1162"/>
  <c r="D1162" s="1"/>
  <c r="D1161"/>
  <c r="C1161"/>
  <c r="B1161"/>
  <c r="C1160"/>
  <c r="D1160" s="1"/>
  <c r="D1159"/>
  <c r="C1159"/>
  <c r="B1159"/>
  <c r="C1158"/>
  <c r="D1158" s="1"/>
  <c r="D1157"/>
  <c r="C1157"/>
  <c r="B1157"/>
  <c r="C1156"/>
  <c r="D1156" s="1"/>
  <c r="D1155"/>
  <c r="C1155"/>
  <c r="B1155"/>
  <c r="C1154"/>
  <c r="D1154" s="1"/>
  <c r="D1153"/>
  <c r="C1153"/>
  <c r="B1153"/>
  <c r="C1152"/>
  <c r="D1152" s="1"/>
  <c r="D1151"/>
  <c r="C1151"/>
  <c r="B1151"/>
  <c r="C1150"/>
  <c r="D1150" s="1"/>
  <c r="D1149"/>
  <c r="C1149"/>
  <c r="B1149"/>
  <c r="C1148"/>
  <c r="D1148" s="1"/>
  <c r="D1147"/>
  <c r="C1147"/>
  <c r="B1147"/>
  <c r="C1146"/>
  <c r="D1146" s="1"/>
  <c r="D1145"/>
  <c r="C1145"/>
  <c r="B1145"/>
  <c r="C1144"/>
  <c r="D1144" s="1"/>
  <c r="D1143"/>
  <c r="C1143"/>
  <c r="B1143"/>
  <c r="C1142"/>
  <c r="D1142" s="1"/>
  <c r="D1141"/>
  <c r="C1141"/>
  <c r="B1141"/>
  <c r="C1140"/>
  <c r="D1140" s="1"/>
  <c r="D1139"/>
  <c r="C1139"/>
  <c r="B1139"/>
  <c r="C1138"/>
  <c r="D1138" s="1"/>
  <c r="D1137"/>
  <c r="C1137"/>
  <c r="B1137"/>
  <c r="C1136"/>
  <c r="D1136" s="1"/>
  <c r="D1135"/>
  <c r="C1135"/>
  <c r="B1135"/>
  <c r="C1134"/>
  <c r="D1134" s="1"/>
  <c r="D1133"/>
  <c r="C1133"/>
  <c r="B1133"/>
  <c r="C1132"/>
  <c r="D1132" s="1"/>
  <c r="D1131"/>
  <c r="C1131"/>
  <c r="B1131"/>
  <c r="C1130"/>
  <c r="D1130" s="1"/>
  <c r="D1129"/>
  <c r="C1129"/>
  <c r="B1129"/>
  <c r="C1128"/>
  <c r="D1128" s="1"/>
  <c r="D1127"/>
  <c r="C1127"/>
  <c r="B1127"/>
  <c r="C1126"/>
  <c r="D1126" s="1"/>
  <c r="D1125"/>
  <c r="C1125"/>
  <c r="B1125"/>
  <c r="C1124"/>
  <c r="D1124" s="1"/>
  <c r="D1123"/>
  <c r="C1123"/>
  <c r="B1123"/>
  <c r="C1122"/>
  <c r="D1122" s="1"/>
  <c r="D1121"/>
  <c r="C1121"/>
  <c r="B1121"/>
  <c r="C1120"/>
  <c r="D1120" s="1"/>
  <c r="D1119"/>
  <c r="C1119"/>
  <c r="B1119"/>
  <c r="C1118"/>
  <c r="D1118" s="1"/>
  <c r="D1117"/>
  <c r="C1117"/>
  <c r="B1117"/>
  <c r="C1116"/>
  <c r="D1116" s="1"/>
  <c r="D1115"/>
  <c r="C1115"/>
  <c r="B1115"/>
  <c r="C1114"/>
  <c r="D1114" s="1"/>
  <c r="D1113"/>
  <c r="C1113"/>
  <c r="B1113"/>
  <c r="C1112"/>
  <c r="D1112" s="1"/>
  <c r="D1111"/>
  <c r="C1111"/>
  <c r="B1111"/>
  <c r="C1110"/>
  <c r="D1110" s="1"/>
  <c r="D1109"/>
  <c r="C1109"/>
  <c r="B1109"/>
  <c r="C1108"/>
  <c r="D1108" s="1"/>
  <c r="D1107"/>
  <c r="C1107"/>
  <c r="B1107"/>
  <c r="C1106"/>
  <c r="D1106" s="1"/>
  <c r="D1105"/>
  <c r="C1105"/>
  <c r="B1105"/>
  <c r="C1104"/>
  <c r="D1104" s="1"/>
  <c r="D1103"/>
  <c r="C1103"/>
  <c r="B1103"/>
  <c r="C1102"/>
  <c r="D1102" s="1"/>
  <c r="D1101"/>
  <c r="C1101"/>
  <c r="B1101"/>
  <c r="C1100"/>
  <c r="D1100" s="1"/>
  <c r="D1099"/>
  <c r="C1099"/>
  <c r="B1099"/>
  <c r="C1098"/>
  <c r="D1098" s="1"/>
  <c r="D1097"/>
  <c r="C1097"/>
  <c r="B1097"/>
  <c r="C1096"/>
  <c r="D1096" s="1"/>
  <c r="D1095"/>
  <c r="C1095"/>
  <c r="B1095"/>
  <c r="C1094"/>
  <c r="D1094" s="1"/>
  <c r="D1093"/>
  <c r="C1093"/>
  <c r="B1093"/>
  <c r="C1092"/>
  <c r="D1092" s="1"/>
  <c r="D1091"/>
  <c r="C1091"/>
  <c r="B1091"/>
  <c r="C1090"/>
  <c r="D1090" s="1"/>
  <c r="D1089"/>
  <c r="C1089"/>
  <c r="B1089"/>
  <c r="C1088"/>
  <c r="D1088" s="1"/>
  <c r="D1087"/>
  <c r="C1087"/>
  <c r="B1087"/>
  <c r="C1086"/>
  <c r="D1086" s="1"/>
  <c r="D1085"/>
  <c r="C1085"/>
  <c r="B1085"/>
  <c r="C1084"/>
  <c r="D1084" s="1"/>
  <c r="D1083"/>
  <c r="C1083"/>
  <c r="B1083"/>
  <c r="C1082"/>
  <c r="D1082" s="1"/>
  <c r="D1081"/>
  <c r="C1081"/>
  <c r="B1081"/>
  <c r="C1080"/>
  <c r="D1080" s="1"/>
  <c r="D1079"/>
  <c r="C1079"/>
  <c r="B1079"/>
  <c r="C1078"/>
  <c r="D1078" s="1"/>
  <c r="D1077"/>
  <c r="C1077"/>
  <c r="B1077"/>
  <c r="C1076"/>
  <c r="D1076" s="1"/>
  <c r="D1075"/>
  <c r="C1075"/>
  <c r="B1075"/>
  <c r="C1074"/>
  <c r="D1074" s="1"/>
  <c r="D1073"/>
  <c r="C1073"/>
  <c r="B1073"/>
  <c r="C1072"/>
  <c r="D1072" s="1"/>
  <c r="D1071"/>
  <c r="C1071"/>
  <c r="B1071"/>
  <c r="C1070"/>
  <c r="D1070" s="1"/>
  <c r="D1069"/>
  <c r="C1069"/>
  <c r="B1069"/>
  <c r="C1068"/>
  <c r="D1068" s="1"/>
  <c r="D1067"/>
  <c r="C1067"/>
  <c r="B1067"/>
  <c r="C1066"/>
  <c r="D1066" s="1"/>
  <c r="D1065"/>
  <c r="C1065"/>
  <c r="B1065"/>
  <c r="C1064"/>
  <c r="D1064" s="1"/>
  <c r="D1063"/>
  <c r="C1063"/>
  <c r="B1063"/>
  <c r="C1062"/>
  <c r="D1062" s="1"/>
  <c r="D1061"/>
  <c r="C1061"/>
  <c r="B1061"/>
  <c r="C1060"/>
  <c r="D1060" s="1"/>
  <c r="D1059"/>
  <c r="C1059"/>
  <c r="B1059"/>
  <c r="C1058"/>
  <c r="D1058" s="1"/>
  <c r="D1057"/>
  <c r="C1057"/>
  <c r="B1057"/>
  <c r="C1056"/>
  <c r="D1056" s="1"/>
  <c r="D1055"/>
  <c r="C1055"/>
  <c r="B1055"/>
  <c r="C1054"/>
  <c r="D1054" s="1"/>
  <c r="D1053"/>
  <c r="C1053"/>
  <c r="B1053"/>
  <c r="C1052"/>
  <c r="D1052" s="1"/>
  <c r="D1051"/>
  <c r="C1051"/>
  <c r="B1051"/>
  <c r="C1050"/>
  <c r="D1050" s="1"/>
  <c r="D1049"/>
  <c r="C1049"/>
  <c r="B1049"/>
  <c r="C1048"/>
  <c r="D1048" s="1"/>
  <c r="D1047"/>
  <c r="C1047"/>
  <c r="B1047"/>
  <c r="C1046"/>
  <c r="D1046" s="1"/>
  <c r="D1045"/>
  <c r="C1045"/>
  <c r="B1045"/>
  <c r="C1044"/>
  <c r="D1044" s="1"/>
  <c r="D1043"/>
  <c r="C1043"/>
  <c r="B1043"/>
  <c r="C1042"/>
  <c r="D1042" s="1"/>
  <c r="D1041"/>
  <c r="C1041"/>
  <c r="B1041"/>
  <c r="C1040"/>
  <c r="D1040" s="1"/>
  <c r="D1039"/>
  <c r="C1039"/>
  <c r="B1039"/>
  <c r="C1038"/>
  <c r="D1038" s="1"/>
  <c r="D1037"/>
  <c r="C1037"/>
  <c r="B1037"/>
  <c r="C1036"/>
  <c r="D1036" s="1"/>
  <c r="D1035"/>
  <c r="C1035"/>
  <c r="B1035"/>
  <c r="C1034"/>
  <c r="D1034" s="1"/>
  <c r="D1033"/>
  <c r="C1033"/>
  <c r="B1033"/>
  <c r="C1032"/>
  <c r="D1032" s="1"/>
  <c r="D1031"/>
  <c r="C1031"/>
  <c r="B1031"/>
  <c r="C1030"/>
  <c r="D1030" s="1"/>
  <c r="D1029"/>
  <c r="C1029"/>
  <c r="B1029"/>
  <c r="C1028"/>
  <c r="D1028" s="1"/>
  <c r="D1027"/>
  <c r="C1027"/>
  <c r="B1027"/>
  <c r="C1026"/>
  <c r="D1026" s="1"/>
  <c r="D1025"/>
  <c r="C1025"/>
  <c r="B1025"/>
  <c r="C1024"/>
  <c r="D1024" s="1"/>
  <c r="D1023"/>
  <c r="C1023"/>
  <c r="B1023"/>
  <c r="C1022"/>
  <c r="D1022" s="1"/>
  <c r="D1021"/>
  <c r="C1021"/>
  <c r="B1021"/>
  <c r="C1020"/>
  <c r="D1020" s="1"/>
  <c r="D1019"/>
  <c r="C1019"/>
  <c r="B1019"/>
  <c r="C1018"/>
  <c r="D1018" s="1"/>
  <c r="D1017"/>
  <c r="C1017"/>
  <c r="B1017"/>
  <c r="C1016"/>
  <c r="D1016" s="1"/>
  <c r="D1015"/>
  <c r="C1015"/>
  <c r="B1015"/>
  <c r="C1014"/>
  <c r="D1014" s="1"/>
  <c r="D1013"/>
  <c r="C1013"/>
  <c r="B1013"/>
  <c r="C1012"/>
  <c r="D1012" s="1"/>
  <c r="D1011"/>
  <c r="C1011"/>
  <c r="B1011"/>
  <c r="C1010"/>
  <c r="D1010" s="1"/>
  <c r="D1009"/>
  <c r="C1009"/>
  <c r="B1009"/>
  <c r="C1008"/>
  <c r="D1008" s="1"/>
  <c r="D1007"/>
  <c r="C1007"/>
  <c r="B1007"/>
  <c r="C1006"/>
  <c r="D1006" s="1"/>
  <c r="D1005"/>
  <c r="C1005"/>
  <c r="B1005"/>
  <c r="C1004"/>
  <c r="D1004" s="1"/>
  <c r="D1003"/>
  <c r="C1003"/>
  <c r="B1003"/>
  <c r="C1002"/>
  <c r="D1002" s="1"/>
  <c r="D1001"/>
  <c r="C1001"/>
  <c r="B1001"/>
  <c r="C1000"/>
  <c r="D1000" s="1"/>
  <c r="D999"/>
  <c r="C999"/>
  <c r="B999"/>
  <c r="C998"/>
  <c r="D998" s="1"/>
  <c r="D997"/>
  <c r="C997"/>
  <c r="B997"/>
  <c r="C996"/>
  <c r="D996" s="1"/>
  <c r="D995"/>
  <c r="C995"/>
  <c r="B995"/>
  <c r="C994"/>
  <c r="D994" s="1"/>
  <c r="D993"/>
  <c r="C993"/>
  <c r="B993"/>
  <c r="C992"/>
  <c r="D992" s="1"/>
  <c r="D991"/>
  <c r="C991"/>
  <c r="B991"/>
  <c r="C990"/>
  <c r="D990" s="1"/>
  <c r="D989"/>
  <c r="C989"/>
  <c r="B989"/>
  <c r="C988"/>
  <c r="D988" s="1"/>
  <c r="D987"/>
  <c r="C987"/>
  <c r="B987"/>
  <c r="C986"/>
  <c r="D986" s="1"/>
  <c r="D985"/>
  <c r="C985"/>
  <c r="B985"/>
  <c r="C984"/>
  <c r="D984" s="1"/>
  <c r="D983"/>
  <c r="C983"/>
  <c r="B983"/>
  <c r="C982"/>
  <c r="D982" s="1"/>
  <c r="D981"/>
  <c r="C981"/>
  <c r="B981"/>
  <c r="C980"/>
  <c r="D980" s="1"/>
  <c r="D979"/>
  <c r="C979"/>
  <c r="B979"/>
  <c r="C978"/>
  <c r="D978" s="1"/>
  <c r="D977"/>
  <c r="C977"/>
  <c r="B977"/>
  <c r="C976"/>
  <c r="D976" s="1"/>
  <c r="D975"/>
  <c r="C975"/>
  <c r="B975"/>
  <c r="C974"/>
  <c r="D974" s="1"/>
  <c r="D973"/>
  <c r="C973"/>
  <c r="B973"/>
  <c r="C972"/>
  <c r="D972" s="1"/>
  <c r="D971"/>
  <c r="C971"/>
  <c r="B971"/>
  <c r="C970"/>
  <c r="D970" s="1"/>
  <c r="D969"/>
  <c r="C969"/>
  <c r="B969"/>
  <c r="C968"/>
  <c r="D968" s="1"/>
  <c r="D967"/>
  <c r="C967"/>
  <c r="B967"/>
  <c r="C966"/>
  <c r="D966" s="1"/>
  <c r="D965"/>
  <c r="C965"/>
  <c r="B965"/>
  <c r="C964"/>
  <c r="D964" s="1"/>
  <c r="D963"/>
  <c r="C963"/>
  <c r="B963"/>
  <c r="C962"/>
  <c r="D962" s="1"/>
  <c r="D961"/>
  <c r="C961"/>
  <c r="B961"/>
  <c r="C960"/>
  <c r="D960" s="1"/>
  <c r="D959"/>
  <c r="C959"/>
  <c r="B959"/>
  <c r="C958"/>
  <c r="D958" s="1"/>
  <c r="D957"/>
  <c r="C957"/>
  <c r="B957"/>
  <c r="C956"/>
  <c r="D956" s="1"/>
  <c r="D955"/>
  <c r="C955"/>
  <c r="B955"/>
  <c r="C954"/>
  <c r="D954" s="1"/>
  <c r="D953"/>
  <c r="C953"/>
  <c r="B953"/>
  <c r="C952"/>
  <c r="D952" s="1"/>
  <c r="D951"/>
  <c r="C951"/>
  <c r="B951"/>
  <c r="C950"/>
  <c r="D950" s="1"/>
  <c r="D949"/>
  <c r="C949"/>
  <c r="B949"/>
  <c r="C948"/>
  <c r="D948" s="1"/>
  <c r="D947"/>
  <c r="C947"/>
  <c r="B947"/>
  <c r="C946"/>
  <c r="D946" s="1"/>
  <c r="D945"/>
  <c r="C945"/>
  <c r="B945"/>
  <c r="C944"/>
  <c r="D944" s="1"/>
  <c r="D943"/>
  <c r="C943"/>
  <c r="B943"/>
  <c r="C942"/>
  <c r="D942" s="1"/>
  <c r="D941"/>
  <c r="C941"/>
  <c r="B941"/>
  <c r="C940"/>
  <c r="D940" s="1"/>
  <c r="D939"/>
  <c r="C939"/>
  <c r="B939"/>
  <c r="C938"/>
  <c r="D938" s="1"/>
  <c r="D937"/>
  <c r="C937"/>
  <c r="B937"/>
  <c r="C936"/>
  <c r="D936" s="1"/>
  <c r="D935"/>
  <c r="C935"/>
  <c r="B935"/>
  <c r="C934"/>
  <c r="D934" s="1"/>
  <c r="D933"/>
  <c r="C933"/>
  <c r="B933"/>
  <c r="C932"/>
  <c r="D932" s="1"/>
  <c r="D931"/>
  <c r="C931"/>
  <c r="B931"/>
  <c r="C930"/>
  <c r="D930" s="1"/>
  <c r="D929"/>
  <c r="C929"/>
  <c r="B929"/>
  <c r="C928"/>
  <c r="D928" s="1"/>
  <c r="D927"/>
  <c r="C927"/>
  <c r="B927"/>
  <c r="C926"/>
  <c r="D926" s="1"/>
  <c r="D925"/>
  <c r="C925"/>
  <c r="B925"/>
  <c r="C924"/>
  <c r="D924" s="1"/>
  <c r="D923"/>
  <c r="C923"/>
  <c r="B923"/>
  <c r="C922"/>
  <c r="D922" s="1"/>
  <c r="D921"/>
  <c r="C921"/>
  <c r="B921"/>
  <c r="C920"/>
  <c r="D920" s="1"/>
  <c r="D919"/>
  <c r="C919"/>
  <c r="B919"/>
  <c r="C918"/>
  <c r="D918" s="1"/>
  <c r="D917"/>
  <c r="C917"/>
  <c r="B917"/>
  <c r="C916"/>
  <c r="D916" s="1"/>
  <c r="D915"/>
  <c r="C915"/>
  <c r="B915"/>
  <c r="C914"/>
  <c r="D914" s="1"/>
  <c r="D913"/>
  <c r="C913"/>
  <c r="B913"/>
  <c r="C912"/>
  <c r="D912" s="1"/>
  <c r="D911"/>
  <c r="C911"/>
  <c r="B911"/>
  <c r="C910"/>
  <c r="D910" s="1"/>
  <c r="D909"/>
  <c r="C909"/>
  <c r="B909"/>
  <c r="C908"/>
  <c r="D908" s="1"/>
  <c r="D907"/>
  <c r="C907"/>
  <c r="B907"/>
  <c r="C906"/>
  <c r="D906" s="1"/>
  <c r="D905"/>
  <c r="C905"/>
  <c r="B905"/>
  <c r="C904"/>
  <c r="D904" s="1"/>
  <c r="D903"/>
  <c r="C903"/>
  <c r="B903"/>
  <c r="C902"/>
  <c r="D902" s="1"/>
  <c r="D901"/>
  <c r="C901"/>
  <c r="B901"/>
  <c r="C900"/>
  <c r="D900" s="1"/>
  <c r="D899"/>
  <c r="C899"/>
  <c r="B899"/>
  <c r="C898"/>
  <c r="D898" s="1"/>
  <c r="D897"/>
  <c r="C897"/>
  <c r="B897"/>
  <c r="C896"/>
  <c r="D896" s="1"/>
  <c r="D895"/>
  <c r="C895"/>
  <c r="B895"/>
  <c r="C894"/>
  <c r="D894" s="1"/>
  <c r="D893"/>
  <c r="C893"/>
  <c r="B893"/>
  <c r="C892"/>
  <c r="D892" s="1"/>
  <c r="D891"/>
  <c r="C891"/>
  <c r="B891"/>
  <c r="C890"/>
  <c r="D890" s="1"/>
  <c r="D889"/>
  <c r="C889"/>
  <c r="B889"/>
  <c r="C888"/>
  <c r="D888" s="1"/>
  <c r="D887"/>
  <c r="C887"/>
  <c r="B887"/>
  <c r="C886"/>
  <c r="D886" s="1"/>
  <c r="D885"/>
  <c r="C885"/>
  <c r="B885"/>
  <c r="C884"/>
  <c r="D884" s="1"/>
  <c r="D883"/>
  <c r="C883"/>
  <c r="B883"/>
  <c r="C882"/>
  <c r="D882" s="1"/>
  <c r="D881"/>
  <c r="C881"/>
  <c r="B881"/>
  <c r="C880"/>
  <c r="D880" s="1"/>
  <c r="D879"/>
  <c r="C879"/>
  <c r="B879"/>
  <c r="C878"/>
  <c r="D878" s="1"/>
  <c r="D877"/>
  <c r="C877"/>
  <c r="B877"/>
  <c r="C876"/>
  <c r="D876" s="1"/>
  <c r="D875"/>
  <c r="C875"/>
  <c r="B875"/>
  <c r="C874"/>
  <c r="D874" s="1"/>
  <c r="D873"/>
  <c r="C873"/>
  <c r="B873"/>
  <c r="C872"/>
  <c r="D872" s="1"/>
  <c r="D871"/>
  <c r="C871"/>
  <c r="B871"/>
  <c r="C870"/>
  <c r="D870" s="1"/>
  <c r="D869"/>
  <c r="C869"/>
  <c r="B869"/>
  <c r="C868"/>
  <c r="D868" s="1"/>
  <c r="D867"/>
  <c r="C867"/>
  <c r="B867"/>
  <c r="C866"/>
  <c r="D866" s="1"/>
  <c r="D865"/>
  <c r="C865"/>
  <c r="B865"/>
  <c r="C864"/>
  <c r="D864" s="1"/>
  <c r="D863"/>
  <c r="C863"/>
  <c r="B863"/>
  <c r="C862"/>
  <c r="D862" s="1"/>
  <c r="D861"/>
  <c r="C861"/>
  <c r="B861"/>
  <c r="C860"/>
  <c r="D860" s="1"/>
  <c r="D859"/>
  <c r="C859"/>
  <c r="B859"/>
  <c r="C858"/>
  <c r="D858" s="1"/>
  <c r="D857"/>
  <c r="C857"/>
  <c r="B857"/>
  <c r="C856"/>
  <c r="D856" s="1"/>
  <c r="D855"/>
  <c r="C855"/>
  <c r="B855"/>
  <c r="C854"/>
  <c r="D854" s="1"/>
  <c r="D853"/>
  <c r="C853"/>
  <c r="B853"/>
  <c r="C852"/>
  <c r="D852" s="1"/>
  <c r="D851"/>
  <c r="C851"/>
  <c r="B851"/>
  <c r="C850"/>
  <c r="D850" s="1"/>
  <c r="D849"/>
  <c r="C849"/>
  <c r="B849"/>
  <c r="C848"/>
  <c r="D848" s="1"/>
  <c r="D847"/>
  <c r="C847"/>
  <c r="B847"/>
  <c r="C846"/>
  <c r="D846" s="1"/>
  <c r="D845"/>
  <c r="C845"/>
  <c r="B845"/>
  <c r="C844"/>
  <c r="D844" s="1"/>
  <c r="D843"/>
  <c r="C843"/>
  <c r="B843"/>
  <c r="C842"/>
  <c r="D842" s="1"/>
  <c r="D841"/>
  <c r="C841"/>
  <c r="B841"/>
  <c r="C840"/>
  <c r="D840" s="1"/>
  <c r="D839"/>
  <c r="C839"/>
  <c r="B839"/>
  <c r="C838"/>
  <c r="D838" s="1"/>
  <c r="D837"/>
  <c r="C837"/>
  <c r="B837"/>
  <c r="C836"/>
  <c r="D836" s="1"/>
  <c r="D835"/>
  <c r="C835"/>
  <c r="B835"/>
  <c r="C834"/>
  <c r="D834" s="1"/>
  <c r="D833"/>
  <c r="C833"/>
  <c r="B833"/>
  <c r="C832"/>
  <c r="D832" s="1"/>
  <c r="D831"/>
  <c r="C831"/>
  <c r="B831"/>
  <c r="C830"/>
  <c r="D830" s="1"/>
  <c r="D829"/>
  <c r="C829"/>
  <c r="B829"/>
  <c r="C828"/>
  <c r="D828" s="1"/>
  <c r="D827"/>
  <c r="C827"/>
  <c r="B827"/>
  <c r="C826"/>
  <c r="D826" s="1"/>
  <c r="D825"/>
  <c r="C825"/>
  <c r="B825"/>
  <c r="C824"/>
  <c r="D824" s="1"/>
  <c r="D823"/>
  <c r="C823"/>
  <c r="B823"/>
  <c r="C822"/>
  <c r="D822" s="1"/>
  <c r="D821"/>
  <c r="C821"/>
  <c r="B821"/>
  <c r="C820"/>
  <c r="D820" s="1"/>
  <c r="D819"/>
  <c r="C819"/>
  <c r="B819"/>
  <c r="C818"/>
  <c r="D818" s="1"/>
  <c r="D817"/>
  <c r="C817"/>
  <c r="B817"/>
  <c r="C816"/>
  <c r="D816" s="1"/>
  <c r="D815"/>
  <c r="C815"/>
  <c r="B815"/>
  <c r="C814"/>
  <c r="D814" s="1"/>
  <c r="D813"/>
  <c r="C813"/>
  <c r="B813"/>
  <c r="C812"/>
  <c r="D812" s="1"/>
  <c r="D811"/>
  <c r="C811"/>
  <c r="B811"/>
  <c r="C810"/>
  <c r="D810" s="1"/>
  <c r="D809"/>
  <c r="C809"/>
  <c r="B809"/>
  <c r="C808"/>
  <c r="D808" s="1"/>
  <c r="D807"/>
  <c r="C807"/>
  <c r="B807"/>
  <c r="C806"/>
  <c r="D806" s="1"/>
  <c r="D805"/>
  <c r="C805"/>
  <c r="B805"/>
  <c r="C804"/>
  <c r="D804" s="1"/>
  <c r="D803"/>
  <c r="C803"/>
  <c r="B803"/>
  <c r="C802"/>
  <c r="D802" s="1"/>
  <c r="D801"/>
  <c r="C801"/>
  <c r="B801"/>
  <c r="C800"/>
  <c r="D800" s="1"/>
  <c r="D799"/>
  <c r="C799"/>
  <c r="B799"/>
  <c r="C798"/>
  <c r="D798" s="1"/>
  <c r="D797"/>
  <c r="C797"/>
  <c r="B797"/>
  <c r="C796"/>
  <c r="D796" s="1"/>
  <c r="D795"/>
  <c r="C795"/>
  <c r="B795"/>
  <c r="C794"/>
  <c r="D794" s="1"/>
  <c r="D793"/>
  <c r="C793"/>
  <c r="B793"/>
  <c r="C792"/>
  <c r="D792" s="1"/>
  <c r="D791"/>
  <c r="C791"/>
  <c r="B791"/>
  <c r="C790"/>
  <c r="D790" s="1"/>
  <c r="D789"/>
  <c r="C789"/>
  <c r="B789"/>
  <c r="C788"/>
  <c r="D788" s="1"/>
  <c r="D787"/>
  <c r="C787"/>
  <c r="B787"/>
  <c r="C786"/>
  <c r="D786" s="1"/>
  <c r="D785"/>
  <c r="C785"/>
  <c r="B785"/>
  <c r="C784"/>
  <c r="D784" s="1"/>
  <c r="D783"/>
  <c r="C783"/>
  <c r="B783"/>
  <c r="C782"/>
  <c r="D782" s="1"/>
  <c r="D781"/>
  <c r="C781"/>
  <c r="B781"/>
  <c r="C780"/>
  <c r="D780" s="1"/>
  <c r="D779"/>
  <c r="C779"/>
  <c r="B779"/>
  <c r="C778"/>
  <c r="D778" s="1"/>
  <c r="D777"/>
  <c r="C777"/>
  <c r="B777"/>
  <c r="C776"/>
  <c r="D776" s="1"/>
  <c r="D775"/>
  <c r="C775"/>
  <c r="B775"/>
  <c r="C774"/>
  <c r="D774" s="1"/>
  <c r="D773"/>
  <c r="C773"/>
  <c r="B773"/>
  <c r="C772"/>
  <c r="D772" s="1"/>
  <c r="D771"/>
  <c r="C771"/>
  <c r="B771"/>
  <c r="C770"/>
  <c r="D770" s="1"/>
  <c r="D769"/>
  <c r="C769"/>
  <c r="B769"/>
  <c r="C768"/>
  <c r="D768" s="1"/>
  <c r="D767"/>
  <c r="C767"/>
  <c r="B767"/>
  <c r="C766"/>
  <c r="D766" s="1"/>
  <c r="D765"/>
  <c r="C765"/>
  <c r="B765"/>
  <c r="C764"/>
  <c r="D764" s="1"/>
  <c r="D763"/>
  <c r="C763"/>
  <c r="B763"/>
  <c r="C762"/>
  <c r="D762" s="1"/>
  <c r="D761"/>
  <c r="C761"/>
  <c r="B761"/>
  <c r="C760"/>
  <c r="D760" s="1"/>
  <c r="D759"/>
  <c r="C759"/>
  <c r="B759"/>
  <c r="C758"/>
  <c r="D758" s="1"/>
  <c r="D757"/>
  <c r="C757"/>
  <c r="B757"/>
  <c r="C756"/>
  <c r="D756" s="1"/>
  <c r="D755"/>
  <c r="C755"/>
  <c r="B755"/>
  <c r="C754"/>
  <c r="D754" s="1"/>
  <c r="D753"/>
  <c r="C753"/>
  <c r="B753"/>
  <c r="C752"/>
  <c r="D752" s="1"/>
  <c r="D751"/>
  <c r="C751"/>
  <c r="B751"/>
  <c r="C750"/>
  <c r="D750" s="1"/>
  <c r="D749"/>
  <c r="C749"/>
  <c r="B749"/>
  <c r="C748"/>
  <c r="D748" s="1"/>
  <c r="D747"/>
  <c r="C747"/>
  <c r="B747"/>
  <c r="C746"/>
  <c r="D746" s="1"/>
  <c r="D745"/>
  <c r="C745"/>
  <c r="B745"/>
  <c r="C744"/>
  <c r="D744" s="1"/>
  <c r="D743"/>
  <c r="C743"/>
  <c r="B743"/>
  <c r="C742"/>
  <c r="D742" s="1"/>
  <c r="D741"/>
  <c r="C741"/>
  <c r="B741"/>
  <c r="C740"/>
  <c r="D740" s="1"/>
  <c r="D739"/>
  <c r="C739"/>
  <c r="B739"/>
  <c r="C738"/>
  <c r="D738" s="1"/>
  <c r="D737"/>
  <c r="C737"/>
  <c r="B737"/>
  <c r="C736"/>
  <c r="D736" s="1"/>
  <c r="D735"/>
  <c r="C735"/>
  <c r="B735"/>
  <c r="C734"/>
  <c r="D734" s="1"/>
  <c r="D733"/>
  <c r="C733"/>
  <c r="B733"/>
  <c r="C732"/>
  <c r="D732" s="1"/>
  <c r="D731"/>
  <c r="C731"/>
  <c r="B731"/>
  <c r="C730"/>
  <c r="D730" s="1"/>
  <c r="D729"/>
  <c r="C729"/>
  <c r="B729"/>
  <c r="C728"/>
  <c r="D728" s="1"/>
  <c r="D727"/>
  <c r="C727"/>
  <c r="B727"/>
  <c r="C726"/>
  <c r="D726" s="1"/>
  <c r="D725"/>
  <c r="C725"/>
  <c r="B725"/>
  <c r="C724"/>
  <c r="D724" s="1"/>
  <c r="D723"/>
  <c r="C723"/>
  <c r="B723"/>
  <c r="C722"/>
  <c r="D722" s="1"/>
  <c r="D721"/>
  <c r="C721"/>
  <c r="B721"/>
  <c r="C720"/>
  <c r="D720" s="1"/>
  <c r="D719"/>
  <c r="C719"/>
  <c r="B719"/>
  <c r="C718"/>
  <c r="D718" s="1"/>
  <c r="D717"/>
  <c r="C717"/>
  <c r="B717"/>
  <c r="C716"/>
  <c r="D716" s="1"/>
  <c r="D715"/>
  <c r="C715"/>
  <c r="B715"/>
  <c r="C714"/>
  <c r="D714" s="1"/>
  <c r="D713"/>
  <c r="C713"/>
  <c r="B713"/>
  <c r="C712"/>
  <c r="D712" s="1"/>
  <c r="D711"/>
  <c r="C711"/>
  <c r="B711"/>
  <c r="C710"/>
  <c r="D710" s="1"/>
  <c r="D709"/>
  <c r="C709"/>
  <c r="B709"/>
  <c r="C708"/>
  <c r="D708" s="1"/>
  <c r="D707"/>
  <c r="C707"/>
  <c r="B707"/>
  <c r="C706"/>
  <c r="D706" s="1"/>
  <c r="D705"/>
  <c r="C705"/>
  <c r="B705"/>
  <c r="C704"/>
  <c r="D704" s="1"/>
  <c r="D703"/>
  <c r="C703"/>
  <c r="B703"/>
  <c r="C702"/>
  <c r="D702" s="1"/>
  <c r="D701"/>
  <c r="C701"/>
  <c r="B701"/>
  <c r="C700"/>
  <c r="D700" s="1"/>
  <c r="D699"/>
  <c r="C699"/>
  <c r="B699"/>
  <c r="C698"/>
  <c r="D698" s="1"/>
  <c r="D697"/>
  <c r="C697"/>
  <c r="B697"/>
  <c r="C696"/>
  <c r="D696" s="1"/>
  <c r="D695"/>
  <c r="C695"/>
  <c r="B695"/>
  <c r="C694"/>
  <c r="D694" s="1"/>
  <c r="D693"/>
  <c r="C693"/>
  <c r="B693"/>
  <c r="C692"/>
  <c r="D692" s="1"/>
  <c r="D691"/>
  <c r="C691"/>
  <c r="B691"/>
  <c r="C690"/>
  <c r="D690" s="1"/>
  <c r="D689"/>
  <c r="C689"/>
  <c r="B689"/>
  <c r="C688"/>
  <c r="D688" s="1"/>
  <c r="D687"/>
  <c r="C687"/>
  <c r="B687"/>
  <c r="C686"/>
  <c r="D686" s="1"/>
  <c r="D685"/>
  <c r="C685"/>
  <c r="B685"/>
  <c r="C684"/>
  <c r="D684" s="1"/>
  <c r="D683"/>
  <c r="C683"/>
  <c r="B683"/>
  <c r="C682"/>
  <c r="D682" s="1"/>
  <c r="D681"/>
  <c r="C681"/>
  <c r="B681"/>
  <c r="C680"/>
  <c r="D680" s="1"/>
  <c r="D679"/>
  <c r="C679"/>
  <c r="B679"/>
  <c r="C678"/>
  <c r="D678" s="1"/>
  <c r="D677"/>
  <c r="C677"/>
  <c r="B677"/>
  <c r="C676"/>
  <c r="D676" s="1"/>
  <c r="D675"/>
  <c r="C675"/>
  <c r="B675"/>
  <c r="C674"/>
  <c r="D674" s="1"/>
  <c r="D673"/>
  <c r="C673"/>
  <c r="B673"/>
  <c r="C672"/>
  <c r="D672" s="1"/>
  <c r="D671"/>
  <c r="C671"/>
  <c r="B671"/>
  <c r="C670"/>
  <c r="D670" s="1"/>
  <c r="D669"/>
  <c r="C669"/>
  <c r="B669"/>
  <c r="C668"/>
  <c r="D668" s="1"/>
  <c r="D667"/>
  <c r="C667"/>
  <c r="B667"/>
  <c r="C666"/>
  <c r="D666" s="1"/>
  <c r="D665"/>
  <c r="C665"/>
  <c r="B665"/>
  <c r="C664"/>
  <c r="D664" s="1"/>
  <c r="D663"/>
  <c r="C663"/>
  <c r="B663"/>
  <c r="C662"/>
  <c r="D662" s="1"/>
  <c r="D661"/>
  <c r="C661"/>
  <c r="B661"/>
  <c r="C660"/>
  <c r="D660" s="1"/>
  <c r="D659"/>
  <c r="C659"/>
  <c r="B659"/>
  <c r="C658"/>
  <c r="D658" s="1"/>
  <c r="D657"/>
  <c r="C657"/>
  <c r="B657"/>
  <c r="C656"/>
  <c r="D656" s="1"/>
  <c r="D655"/>
  <c r="C655"/>
  <c r="B655"/>
  <c r="C654"/>
  <c r="D654" s="1"/>
  <c r="D653"/>
  <c r="C653"/>
  <c r="B653"/>
  <c r="C652"/>
  <c r="D652" s="1"/>
  <c r="D651"/>
  <c r="C651"/>
  <c r="B651"/>
  <c r="C650"/>
  <c r="D650" s="1"/>
  <c r="D649"/>
  <c r="C649"/>
  <c r="B649"/>
  <c r="C648"/>
  <c r="D648" s="1"/>
  <c r="D647"/>
  <c r="C647"/>
  <c r="B647"/>
  <c r="C646"/>
  <c r="D646" s="1"/>
  <c r="D645"/>
  <c r="C645"/>
  <c r="B645"/>
  <c r="C644"/>
  <c r="D644" s="1"/>
  <c r="D643"/>
  <c r="C643"/>
  <c r="B643"/>
  <c r="C642"/>
  <c r="D642" s="1"/>
  <c r="D641"/>
  <c r="C641"/>
  <c r="B641"/>
  <c r="C640"/>
  <c r="D640" s="1"/>
  <c r="D639"/>
  <c r="C639"/>
  <c r="B639"/>
  <c r="C638"/>
  <c r="D638" s="1"/>
  <c r="D637"/>
  <c r="C637"/>
  <c r="B637"/>
  <c r="C636"/>
  <c r="D636" s="1"/>
  <c r="D635"/>
  <c r="C635"/>
  <c r="B635"/>
  <c r="C634"/>
  <c r="D634" s="1"/>
  <c r="D633"/>
  <c r="C633"/>
  <c r="B633"/>
  <c r="C632"/>
  <c r="D632" s="1"/>
  <c r="D631"/>
  <c r="C631"/>
  <c r="B631"/>
  <c r="C630"/>
  <c r="D630" s="1"/>
  <c r="D629"/>
  <c r="C629"/>
  <c r="B629"/>
  <c r="C628"/>
  <c r="D628" s="1"/>
  <c r="D627"/>
  <c r="C627"/>
  <c r="B627"/>
  <c r="C626"/>
  <c r="D626" s="1"/>
  <c r="D625"/>
  <c r="C625"/>
  <c r="B625"/>
  <c r="C624"/>
  <c r="D624" s="1"/>
  <c r="D623"/>
  <c r="C623"/>
  <c r="B623"/>
  <c r="C622"/>
  <c r="D622" s="1"/>
  <c r="D621"/>
  <c r="C621"/>
  <c r="B621"/>
  <c r="C620"/>
  <c r="D620" s="1"/>
  <c r="D619"/>
  <c r="C619"/>
  <c r="B619"/>
  <c r="C618"/>
  <c r="D618" s="1"/>
  <c r="D617"/>
  <c r="C617"/>
  <c r="B617"/>
  <c r="C616"/>
  <c r="D616" s="1"/>
  <c r="D615"/>
  <c r="C615"/>
  <c r="B615"/>
  <c r="C614"/>
  <c r="D614" s="1"/>
  <c r="D613"/>
  <c r="C613"/>
  <c r="B613"/>
  <c r="C612"/>
  <c r="D612" s="1"/>
  <c r="D611"/>
  <c r="C611"/>
  <c r="B611"/>
  <c r="C610"/>
  <c r="D610" s="1"/>
  <c r="D609"/>
  <c r="C609"/>
  <c r="B609"/>
  <c r="C608"/>
  <c r="D608" s="1"/>
  <c r="D607"/>
  <c r="C607"/>
  <c r="B607"/>
  <c r="C606"/>
  <c r="D606" s="1"/>
  <c r="D605"/>
  <c r="C605"/>
  <c r="B605"/>
  <c r="C604"/>
  <c r="D604" s="1"/>
  <c r="D603"/>
  <c r="C603"/>
  <c r="B603"/>
  <c r="C602"/>
  <c r="D602" s="1"/>
  <c r="D601"/>
  <c r="C601"/>
  <c r="B601"/>
  <c r="C600"/>
  <c r="D600" s="1"/>
  <c r="D599"/>
  <c r="C599"/>
  <c r="B599"/>
  <c r="C598"/>
  <c r="D598" s="1"/>
  <c r="D597"/>
  <c r="C597"/>
  <c r="B597"/>
  <c r="C596"/>
  <c r="D596" s="1"/>
  <c r="D595"/>
  <c r="C595"/>
  <c r="B595"/>
  <c r="C594"/>
  <c r="D594" s="1"/>
  <c r="D593"/>
  <c r="C593"/>
  <c r="B593"/>
  <c r="C592"/>
  <c r="D592" s="1"/>
  <c r="D591"/>
  <c r="C591"/>
  <c r="B591"/>
  <c r="C590"/>
  <c r="D590" s="1"/>
  <c r="D589"/>
  <c r="C589"/>
  <c r="B589"/>
  <c r="C588"/>
  <c r="D588" s="1"/>
  <c r="D587"/>
  <c r="C587"/>
  <c r="B587"/>
  <c r="C586"/>
  <c r="D586" s="1"/>
  <c r="D585"/>
  <c r="C585"/>
  <c r="B585"/>
  <c r="C584"/>
  <c r="D584" s="1"/>
  <c r="D583"/>
  <c r="C583"/>
  <c r="B583"/>
  <c r="C582"/>
  <c r="D582" s="1"/>
  <c r="D581"/>
  <c r="C581"/>
  <c r="B581"/>
  <c r="C580"/>
  <c r="D580" s="1"/>
  <c r="D579"/>
  <c r="C579"/>
  <c r="B579"/>
  <c r="C578"/>
  <c r="D578" s="1"/>
  <c r="D577"/>
  <c r="C577"/>
  <c r="B577"/>
  <c r="C576"/>
  <c r="D576" s="1"/>
  <c r="D575"/>
  <c r="C575"/>
  <c r="B575"/>
  <c r="C574"/>
  <c r="D574" s="1"/>
  <c r="D573"/>
  <c r="C573"/>
  <c r="B573"/>
  <c r="C572"/>
  <c r="D572" s="1"/>
  <c r="D571"/>
  <c r="C571"/>
  <c r="B571"/>
  <c r="C570"/>
  <c r="D570" s="1"/>
  <c r="D569"/>
  <c r="C569"/>
  <c r="B569"/>
  <c r="C568"/>
  <c r="D568" s="1"/>
  <c r="D567"/>
  <c r="C567"/>
  <c r="B567"/>
  <c r="C566"/>
  <c r="D566" s="1"/>
  <c r="D565"/>
  <c r="C565"/>
  <c r="B565"/>
  <c r="C564"/>
  <c r="D564" s="1"/>
  <c r="D563"/>
  <c r="C563"/>
  <c r="B563"/>
  <c r="C562"/>
  <c r="D562" s="1"/>
  <c r="D561"/>
  <c r="C561"/>
  <c r="B561"/>
  <c r="C560"/>
  <c r="D560" s="1"/>
  <c r="D559"/>
  <c r="C559"/>
  <c r="B559"/>
  <c r="C558"/>
  <c r="D558" s="1"/>
  <c r="D557"/>
  <c r="C557"/>
  <c r="B557"/>
  <c r="C556"/>
  <c r="D556" s="1"/>
  <c r="D555"/>
  <c r="C555"/>
  <c r="B555"/>
  <c r="C554"/>
  <c r="D554" s="1"/>
  <c r="D553"/>
  <c r="C553"/>
  <c r="B553"/>
  <c r="C552"/>
  <c r="D552" s="1"/>
  <c r="D551"/>
  <c r="C551"/>
  <c r="B551"/>
  <c r="C550"/>
  <c r="D550" s="1"/>
  <c r="D549"/>
  <c r="C549"/>
  <c r="B549"/>
  <c r="C548"/>
  <c r="D548" s="1"/>
  <c r="D547"/>
  <c r="C547"/>
  <c r="B547"/>
  <c r="C546"/>
  <c r="D546" s="1"/>
  <c r="D545"/>
  <c r="C545"/>
  <c r="B545"/>
  <c r="C544"/>
  <c r="D544" s="1"/>
  <c r="D543"/>
  <c r="C543"/>
  <c r="B543"/>
  <c r="C542"/>
  <c r="D542" s="1"/>
  <c r="D541"/>
  <c r="C541"/>
  <c r="B541"/>
  <c r="C540"/>
  <c r="D540" s="1"/>
  <c r="D539"/>
  <c r="C539"/>
  <c r="B539"/>
  <c r="C538"/>
  <c r="D538" s="1"/>
  <c r="D537"/>
  <c r="C537"/>
  <c r="B537"/>
  <c r="C536"/>
  <c r="D536" s="1"/>
  <c r="D535"/>
  <c r="C535"/>
  <c r="B535"/>
  <c r="C534"/>
  <c r="D534" s="1"/>
  <c r="D533"/>
  <c r="C533"/>
  <c r="B533"/>
  <c r="C532"/>
  <c r="D532" s="1"/>
  <c r="D531"/>
  <c r="C531"/>
  <c r="B531"/>
  <c r="C530"/>
  <c r="D530" s="1"/>
  <c r="D529"/>
  <c r="C529"/>
  <c r="B529"/>
  <c r="C528"/>
  <c r="D528" s="1"/>
  <c r="D527"/>
  <c r="C527"/>
  <c r="B527"/>
  <c r="C526"/>
  <c r="D526" s="1"/>
  <c r="D525"/>
  <c r="C525"/>
  <c r="B525"/>
  <c r="C524"/>
  <c r="D524" s="1"/>
  <c r="D523"/>
  <c r="C523"/>
  <c r="B523"/>
  <c r="C522"/>
  <c r="D522" s="1"/>
  <c r="D521"/>
  <c r="C521"/>
  <c r="B521"/>
  <c r="C520"/>
  <c r="D520" s="1"/>
  <c r="D519"/>
  <c r="C519"/>
  <c r="B519"/>
  <c r="C518"/>
  <c r="D518" s="1"/>
  <c r="D517"/>
  <c r="C517"/>
  <c r="B517"/>
  <c r="C516"/>
  <c r="D516" s="1"/>
  <c r="D515"/>
  <c r="C515"/>
  <c r="B515"/>
  <c r="C514"/>
  <c r="D514" s="1"/>
  <c r="D513"/>
  <c r="C513"/>
  <c r="B513"/>
  <c r="C512"/>
  <c r="D512" s="1"/>
  <c r="D511"/>
  <c r="C511"/>
  <c r="B511"/>
  <c r="C510"/>
  <c r="D510" s="1"/>
  <c r="D509"/>
  <c r="C509"/>
  <c r="B509"/>
  <c r="C508"/>
  <c r="D508" s="1"/>
  <c r="D507"/>
  <c r="C507"/>
  <c r="B507"/>
  <c r="C506"/>
  <c r="D506" s="1"/>
  <c r="D505"/>
  <c r="C505"/>
  <c r="B505"/>
  <c r="C504"/>
  <c r="D504" s="1"/>
  <c r="D503"/>
  <c r="C503"/>
  <c r="B503"/>
  <c r="C502"/>
  <c r="D502" s="1"/>
  <c r="D501"/>
  <c r="C501"/>
  <c r="B501"/>
  <c r="C500"/>
  <c r="D500" s="1"/>
  <c r="D499"/>
  <c r="C499"/>
  <c r="B499"/>
  <c r="C498"/>
  <c r="D498" s="1"/>
  <c r="D497"/>
  <c r="C497"/>
  <c r="B497"/>
  <c r="C496"/>
  <c r="D496" s="1"/>
  <c r="D495"/>
  <c r="C495"/>
  <c r="B495"/>
  <c r="C494"/>
  <c r="D494" s="1"/>
  <c r="D493"/>
  <c r="C493"/>
  <c r="B493"/>
  <c r="C492"/>
  <c r="D492" s="1"/>
  <c r="D491"/>
  <c r="C491"/>
  <c r="B491"/>
  <c r="C490"/>
  <c r="D490" s="1"/>
  <c r="D489"/>
  <c r="C489"/>
  <c r="B489"/>
  <c r="C488"/>
  <c r="D488" s="1"/>
  <c r="D487"/>
  <c r="C487"/>
  <c r="B487"/>
  <c r="C486"/>
  <c r="D486" s="1"/>
  <c r="D485"/>
  <c r="C485"/>
  <c r="B485"/>
  <c r="C484"/>
  <c r="D484" s="1"/>
  <c r="D483"/>
  <c r="C483"/>
  <c r="B483"/>
  <c r="C482"/>
  <c r="D482" s="1"/>
  <c r="D481"/>
  <c r="C481"/>
  <c r="B481"/>
  <c r="C480"/>
  <c r="D480" s="1"/>
  <c r="D479"/>
  <c r="C479"/>
  <c r="B479"/>
  <c r="C478"/>
  <c r="D478" s="1"/>
  <c r="D477"/>
  <c r="C477"/>
  <c r="B477"/>
  <c r="C476"/>
  <c r="D476" s="1"/>
  <c r="D475"/>
  <c r="C475"/>
  <c r="B475"/>
  <c r="C474"/>
  <c r="D474" s="1"/>
  <c r="D473"/>
  <c r="C473"/>
  <c r="B473"/>
  <c r="C472"/>
  <c r="D472" s="1"/>
  <c r="D471"/>
  <c r="C471"/>
  <c r="B471"/>
  <c r="C470"/>
  <c r="D470" s="1"/>
  <c r="D469"/>
  <c r="C469"/>
  <c r="B469"/>
  <c r="C468"/>
  <c r="D468" s="1"/>
  <c r="D467"/>
  <c r="C467"/>
  <c r="B467"/>
  <c r="C466"/>
  <c r="D466" s="1"/>
  <c r="D465"/>
  <c r="C465"/>
  <c r="B465"/>
  <c r="C464"/>
  <c r="D464" s="1"/>
  <c r="D463"/>
  <c r="C463"/>
  <c r="B463"/>
  <c r="C462"/>
  <c r="D462" s="1"/>
  <c r="D461"/>
  <c r="C461"/>
  <c r="B461"/>
  <c r="C460"/>
  <c r="D460" s="1"/>
  <c r="D459"/>
  <c r="C459"/>
  <c r="B459"/>
  <c r="C458"/>
  <c r="D458" s="1"/>
  <c r="D457"/>
  <c r="C457"/>
  <c r="B457"/>
  <c r="C456"/>
  <c r="D456" s="1"/>
  <c r="D455"/>
  <c r="C455"/>
  <c r="B455"/>
  <c r="C454"/>
  <c r="D454" s="1"/>
  <c r="D453"/>
  <c r="C453"/>
  <c r="B453"/>
  <c r="C452"/>
  <c r="D452" s="1"/>
  <c r="D451"/>
  <c r="C451"/>
  <c r="B451"/>
  <c r="C450"/>
  <c r="D450" s="1"/>
  <c r="D449"/>
  <c r="C449"/>
  <c r="B449"/>
  <c r="C448"/>
  <c r="D448" s="1"/>
  <c r="D447"/>
  <c r="C447"/>
  <c r="B447"/>
  <c r="C446"/>
  <c r="D446" s="1"/>
  <c r="D445"/>
  <c r="C445"/>
  <c r="B445"/>
  <c r="C444"/>
  <c r="D444" s="1"/>
  <c r="D443"/>
  <c r="C443"/>
  <c r="B443"/>
  <c r="C442"/>
  <c r="D442" s="1"/>
  <c r="D441"/>
  <c r="C441"/>
  <c r="B441"/>
  <c r="C440"/>
  <c r="D440" s="1"/>
  <c r="D439"/>
  <c r="C439"/>
  <c r="B439"/>
  <c r="C438"/>
  <c r="D438" s="1"/>
  <c r="D437"/>
  <c r="C437"/>
  <c r="B437"/>
  <c r="C436"/>
  <c r="D436" s="1"/>
  <c r="D435"/>
  <c r="C435"/>
  <c r="B435"/>
  <c r="C434"/>
  <c r="D434" s="1"/>
  <c r="D433"/>
  <c r="C433"/>
  <c r="B433"/>
  <c r="C432"/>
  <c r="D432" s="1"/>
  <c r="D431"/>
  <c r="C431"/>
  <c r="B431"/>
  <c r="C430"/>
  <c r="D430" s="1"/>
  <c r="D429"/>
  <c r="C429"/>
  <c r="B429"/>
  <c r="C428"/>
  <c r="D428" s="1"/>
  <c r="D427"/>
  <c r="C427"/>
  <c r="B427"/>
  <c r="C426"/>
  <c r="D426" s="1"/>
  <c r="D425"/>
  <c r="C425"/>
  <c r="B425"/>
  <c r="C424"/>
  <c r="D424" s="1"/>
  <c r="D423"/>
  <c r="C423"/>
  <c r="B423"/>
  <c r="C422"/>
  <c r="D422" s="1"/>
  <c r="D421"/>
  <c r="C421"/>
  <c r="B421"/>
  <c r="C420"/>
  <c r="D420" s="1"/>
  <c r="D419"/>
  <c r="C419"/>
  <c r="B419"/>
  <c r="C418"/>
  <c r="D418" s="1"/>
  <c r="D417"/>
  <c r="C417"/>
  <c r="B417"/>
  <c r="C416"/>
  <c r="D416" s="1"/>
  <c r="D415"/>
  <c r="C415"/>
  <c r="B415"/>
  <c r="C414"/>
  <c r="D414" s="1"/>
  <c r="D413"/>
  <c r="C413"/>
  <c r="B413"/>
  <c r="C412"/>
  <c r="D412" s="1"/>
  <c r="D411"/>
  <c r="C411"/>
  <c r="B411"/>
  <c r="C410"/>
  <c r="D410" s="1"/>
  <c r="D409"/>
  <c r="C409"/>
  <c r="B409"/>
  <c r="C408"/>
  <c r="D408" s="1"/>
  <c r="D407"/>
  <c r="C407"/>
  <c r="B407"/>
  <c r="C406"/>
  <c r="D406" s="1"/>
  <c r="D405"/>
  <c r="C405"/>
  <c r="B405"/>
  <c r="C404"/>
  <c r="D404" s="1"/>
  <c r="D403"/>
  <c r="C403"/>
  <c r="B403"/>
  <c r="C402"/>
  <c r="D402" s="1"/>
  <c r="D401"/>
  <c r="C401"/>
  <c r="B401"/>
  <c r="C400"/>
  <c r="D400" s="1"/>
  <c r="D399"/>
  <c r="C399"/>
  <c r="B399"/>
  <c r="C398"/>
  <c r="D398" s="1"/>
  <c r="D397"/>
  <c r="C397"/>
  <c r="B397"/>
  <c r="C396"/>
  <c r="D396" s="1"/>
  <c r="D395"/>
  <c r="C395"/>
  <c r="B395"/>
  <c r="C394"/>
  <c r="D394" s="1"/>
  <c r="D393"/>
  <c r="C393"/>
  <c r="B393"/>
  <c r="C392"/>
  <c r="D392" s="1"/>
  <c r="D391"/>
  <c r="C391"/>
  <c r="B391"/>
  <c r="C390"/>
  <c r="D390" s="1"/>
  <c r="D389"/>
  <c r="C389"/>
  <c r="B389"/>
  <c r="C388"/>
  <c r="D388" s="1"/>
  <c r="D387"/>
  <c r="C387"/>
  <c r="B387"/>
  <c r="C386"/>
  <c r="D386" s="1"/>
  <c r="D385"/>
  <c r="C385"/>
  <c r="B385"/>
  <c r="C384"/>
  <c r="D384" s="1"/>
  <c r="D383"/>
  <c r="C383"/>
  <c r="B383"/>
  <c r="C382"/>
  <c r="D382" s="1"/>
  <c r="D381"/>
  <c r="C381"/>
  <c r="B381"/>
  <c r="C380"/>
  <c r="D380" s="1"/>
  <c r="D379"/>
  <c r="C379"/>
  <c r="B379"/>
  <c r="C378"/>
  <c r="D378" s="1"/>
  <c r="D377"/>
  <c r="C377"/>
  <c r="B377"/>
  <c r="C376"/>
  <c r="D376" s="1"/>
  <c r="D375"/>
  <c r="C375"/>
  <c r="B375"/>
  <c r="C374"/>
  <c r="D374" s="1"/>
  <c r="D373"/>
  <c r="C373"/>
  <c r="B373"/>
  <c r="C372"/>
  <c r="D372" s="1"/>
  <c r="D371"/>
  <c r="C371"/>
  <c r="B371"/>
  <c r="C370"/>
  <c r="D370" s="1"/>
  <c r="D369"/>
  <c r="C369"/>
  <c r="B369"/>
  <c r="C368"/>
  <c r="D368" s="1"/>
  <c r="D367"/>
  <c r="C367"/>
  <c r="B367"/>
  <c r="C366"/>
  <c r="D366" s="1"/>
  <c r="D365"/>
  <c r="C365"/>
  <c r="B365"/>
  <c r="C364"/>
  <c r="D364" s="1"/>
  <c r="D363"/>
  <c r="C363"/>
  <c r="B363"/>
  <c r="C362"/>
  <c r="D362" s="1"/>
  <c r="D361"/>
  <c r="C361"/>
  <c r="B361"/>
  <c r="C360"/>
  <c r="D360" s="1"/>
  <c r="D359"/>
  <c r="C359"/>
  <c r="B359"/>
  <c r="C358"/>
  <c r="D358" s="1"/>
  <c r="D357"/>
  <c r="C357"/>
  <c r="B357"/>
  <c r="C356"/>
  <c r="D356" s="1"/>
  <c r="D355"/>
  <c r="C355"/>
  <c r="B355"/>
  <c r="C354"/>
  <c r="D354" s="1"/>
  <c r="D353"/>
  <c r="C353"/>
  <c r="B353"/>
  <c r="C352"/>
  <c r="D352" s="1"/>
  <c r="D351"/>
  <c r="C351"/>
  <c r="B351"/>
  <c r="C350"/>
  <c r="D350" s="1"/>
  <c r="D349"/>
  <c r="C349"/>
  <c r="B349"/>
  <c r="C348"/>
  <c r="D348" s="1"/>
  <c r="D347"/>
  <c r="C347"/>
  <c r="B347"/>
  <c r="C346"/>
  <c r="D346" s="1"/>
  <c r="D345"/>
  <c r="C345"/>
  <c r="B345"/>
  <c r="C344"/>
  <c r="D344" s="1"/>
  <c r="D343"/>
  <c r="C343"/>
  <c r="B343"/>
  <c r="C342"/>
  <c r="D342" s="1"/>
  <c r="D341"/>
  <c r="C341"/>
  <c r="B341"/>
  <c r="C340"/>
  <c r="D340" s="1"/>
  <c r="D339"/>
  <c r="C339"/>
  <c r="B339"/>
  <c r="C338"/>
  <c r="D338" s="1"/>
  <c r="D337"/>
  <c r="C337"/>
  <c r="B337"/>
  <c r="C336"/>
  <c r="D336" s="1"/>
  <c r="D335"/>
  <c r="C335"/>
  <c r="B335"/>
  <c r="C334"/>
  <c r="D334" s="1"/>
  <c r="D333"/>
  <c r="C333"/>
  <c r="B333"/>
  <c r="C332"/>
  <c r="D332" s="1"/>
  <c r="D331"/>
  <c r="C331"/>
  <c r="B331"/>
  <c r="C330"/>
  <c r="D330" s="1"/>
  <c r="D329"/>
  <c r="C329"/>
  <c r="B329"/>
  <c r="C328"/>
  <c r="D328" s="1"/>
  <c r="D327"/>
  <c r="C327"/>
  <c r="B327"/>
  <c r="C326"/>
  <c r="D326" s="1"/>
  <c r="D325"/>
  <c r="C325"/>
  <c r="B325"/>
  <c r="C324"/>
  <c r="D324" s="1"/>
  <c r="D323"/>
  <c r="C323"/>
  <c r="B323"/>
  <c r="C322"/>
  <c r="D322" s="1"/>
  <c r="D321"/>
  <c r="C321"/>
  <c r="B321"/>
  <c r="C320"/>
  <c r="D320" s="1"/>
  <c r="D319"/>
  <c r="C319"/>
  <c r="B319"/>
  <c r="C318"/>
  <c r="D318" s="1"/>
  <c r="D317"/>
  <c r="C317"/>
  <c r="B317"/>
  <c r="C316"/>
  <c r="D316" s="1"/>
  <c r="D315"/>
  <c r="C315"/>
  <c r="B315"/>
  <c r="C314"/>
  <c r="D314" s="1"/>
  <c r="D313"/>
  <c r="C313"/>
  <c r="B313"/>
  <c r="C312"/>
  <c r="D312" s="1"/>
  <c r="D311"/>
  <c r="C311"/>
  <c r="B311"/>
  <c r="C310"/>
  <c r="D310" s="1"/>
  <c r="D309"/>
  <c r="C309"/>
  <c r="B309"/>
  <c r="C308"/>
  <c r="D308" s="1"/>
  <c r="D307"/>
  <c r="C307"/>
  <c r="B307"/>
  <c r="C306"/>
  <c r="D306" s="1"/>
  <c r="D305"/>
  <c r="C305"/>
  <c r="B305"/>
  <c r="C304"/>
  <c r="D304" s="1"/>
  <c r="D303"/>
  <c r="C303"/>
  <c r="B303"/>
  <c r="C302"/>
  <c r="C301"/>
  <c r="B301"/>
  <c r="C300"/>
  <c r="C299"/>
  <c r="B299"/>
  <c r="C298"/>
  <c r="Q167"/>
  <c r="P167"/>
  <c r="Q166"/>
  <c r="P166"/>
  <c r="Q165"/>
  <c r="P165"/>
  <c r="Q164"/>
  <c r="P164"/>
  <c r="Q163"/>
  <c r="P163"/>
  <c r="Q162"/>
  <c r="P162"/>
  <c r="Q161"/>
  <c r="P161"/>
  <c r="Q160"/>
  <c r="P160"/>
  <c r="Q159"/>
  <c r="P159"/>
  <c r="Q158"/>
  <c r="P158"/>
  <c r="Q157"/>
  <c r="P157"/>
  <c r="Q156"/>
  <c r="P156"/>
  <c r="Q155"/>
  <c r="P155"/>
  <c r="Q154"/>
  <c r="P154"/>
  <c r="Q153"/>
  <c r="P153"/>
  <c r="Q152"/>
  <c r="P152"/>
  <c r="Q151"/>
  <c r="P151"/>
  <c r="Q150"/>
  <c r="P150"/>
  <c r="Q149"/>
  <c r="P149"/>
  <c r="Q148"/>
  <c r="P148"/>
  <c r="Q147"/>
  <c r="P147"/>
  <c r="Q146"/>
  <c r="P146"/>
  <c r="Q145"/>
  <c r="P145"/>
  <c r="Q144"/>
  <c r="P144"/>
  <c r="Q143"/>
  <c r="P143"/>
  <c r="Q142"/>
  <c r="P142"/>
  <c r="Q141"/>
  <c r="P141"/>
  <c r="Q140"/>
  <c r="P140"/>
  <c r="Q139"/>
  <c r="P139"/>
  <c r="Q138"/>
  <c r="P138"/>
  <c r="Q137"/>
  <c r="P137"/>
  <c r="Q136"/>
  <c r="P136"/>
  <c r="Q135"/>
  <c r="P135"/>
  <c r="Q134"/>
  <c r="P134"/>
  <c r="Q133"/>
  <c r="P133"/>
  <c r="Q132"/>
  <c r="P132"/>
  <c r="Q131"/>
  <c r="P131"/>
  <c r="Q130"/>
  <c r="P130"/>
  <c r="Q129"/>
  <c r="P129"/>
  <c r="Q128"/>
  <c r="P128"/>
  <c r="Q127"/>
  <c r="P127"/>
  <c r="Q126"/>
  <c r="P126"/>
  <c r="Q125"/>
  <c r="P125"/>
  <c r="Q124"/>
  <c r="P124"/>
  <c r="Q123"/>
  <c r="P123"/>
  <c r="Q122"/>
  <c r="P122"/>
  <c r="Q121"/>
  <c r="P121"/>
  <c r="Q120"/>
  <c r="P120"/>
  <c r="Q119"/>
  <c r="P119"/>
  <c r="Q118"/>
  <c r="P118"/>
  <c r="Q117"/>
  <c r="P117"/>
  <c r="Q116"/>
  <c r="P116"/>
  <c r="Q115"/>
  <c r="P115"/>
  <c r="Q114"/>
  <c r="P114"/>
  <c r="Q113"/>
  <c r="P113"/>
  <c r="Q112"/>
  <c r="P112"/>
  <c r="Q111"/>
  <c r="P111"/>
  <c r="Q110"/>
  <c r="P110"/>
  <c r="Q109"/>
  <c r="P109"/>
  <c r="Q108"/>
  <c r="P108"/>
  <c r="Q107"/>
  <c r="P107"/>
  <c r="Q106"/>
  <c r="P106"/>
  <c r="Q105"/>
  <c r="P105"/>
  <c r="Q104"/>
  <c r="P104"/>
  <c r="Q103"/>
  <c r="P103"/>
  <c r="Q102"/>
  <c r="P102"/>
  <c r="Q101"/>
  <c r="P101"/>
  <c r="Q100"/>
  <c r="P100"/>
  <c r="Q99"/>
  <c r="P99"/>
  <c r="Q98"/>
  <c r="P98"/>
  <c r="Q97"/>
  <c r="P97"/>
  <c r="Q96"/>
  <c r="P96"/>
  <c r="Q95"/>
  <c r="P95"/>
  <c r="Q94"/>
  <c r="P94"/>
  <c r="Q93"/>
  <c r="P93"/>
  <c r="Q92"/>
  <c r="P92"/>
  <c r="Q91"/>
  <c r="P91"/>
  <c r="Q90"/>
  <c r="P90"/>
  <c r="Q89"/>
  <c r="P89"/>
  <c r="Q88"/>
  <c r="P88"/>
  <c r="Q87"/>
  <c r="P87"/>
  <c r="Q86"/>
  <c r="P86"/>
  <c r="Q85"/>
  <c r="P85"/>
  <c r="Q84"/>
  <c r="P84"/>
  <c r="Q83"/>
  <c r="P83"/>
  <c r="Q82"/>
  <c r="P82"/>
  <c r="Q81"/>
  <c r="P81"/>
  <c r="Q80"/>
  <c r="P80"/>
  <c r="Q79"/>
  <c r="P79"/>
  <c r="Q78"/>
  <c r="P78"/>
  <c r="Q77"/>
  <c r="P77"/>
  <c r="Q76"/>
  <c r="P76"/>
  <c r="Q75"/>
  <c r="P75"/>
  <c r="Q74"/>
  <c r="P74"/>
  <c r="Q73"/>
  <c r="P73"/>
  <c r="Q72"/>
  <c r="P72"/>
  <c r="Q71"/>
  <c r="P71"/>
  <c r="Q70"/>
  <c r="P70"/>
  <c r="Q69"/>
  <c r="P69"/>
  <c r="Q68"/>
  <c r="P68"/>
  <c r="Q67"/>
  <c r="P67"/>
  <c r="Q66"/>
  <c r="P66"/>
  <c r="Q65"/>
  <c r="P65"/>
  <c r="Q64"/>
  <c r="P64"/>
  <c r="Q63"/>
  <c r="P63"/>
  <c r="Q62"/>
  <c r="P62"/>
  <c r="Q61"/>
  <c r="P61"/>
  <c r="Q60"/>
  <c r="P60"/>
  <c r="Q59"/>
  <c r="P59"/>
  <c r="Q58"/>
  <c r="P58"/>
  <c r="Q57"/>
  <c r="P57"/>
  <c r="Q56"/>
  <c r="P56"/>
  <c r="Q55"/>
  <c r="P55"/>
  <c r="Q54"/>
  <c r="P54"/>
  <c r="Q53"/>
  <c r="P53"/>
  <c r="Q52"/>
  <c r="P52"/>
  <c r="Q51"/>
  <c r="P51"/>
  <c r="Q50"/>
  <c r="P50"/>
  <c r="Q49"/>
  <c r="P49"/>
  <c r="Q48"/>
  <c r="P48"/>
  <c r="Q47"/>
  <c r="P47"/>
  <c r="Q46"/>
  <c r="P46"/>
  <c r="Q45"/>
  <c r="P45"/>
  <c r="Q44"/>
  <c r="P44"/>
  <c r="Q43"/>
  <c r="P43"/>
  <c r="Q42"/>
  <c r="P42"/>
  <c r="Q41"/>
  <c r="P41"/>
  <c r="Q40"/>
  <c r="P40"/>
  <c r="Q39"/>
  <c r="P39"/>
  <c r="Q38"/>
  <c r="P38"/>
  <c r="Q37"/>
  <c r="P37"/>
  <c r="Q36"/>
  <c r="P36"/>
  <c r="Q35"/>
  <c r="P35"/>
  <c r="Q34"/>
  <c r="P34"/>
  <c r="Q33"/>
  <c r="P33"/>
  <c r="Q32"/>
  <c r="P32"/>
  <c r="Q31"/>
  <c r="P31"/>
  <c r="Q30"/>
  <c r="P30"/>
  <c r="Q29"/>
  <c r="P29"/>
  <c r="Q28"/>
  <c r="P28"/>
  <c r="Q27"/>
  <c r="P27"/>
  <c r="Q26"/>
  <c r="P26"/>
  <c r="Q25"/>
  <c r="P25"/>
  <c r="Q24"/>
  <c r="P24"/>
  <c r="Q23"/>
  <c r="P23"/>
  <c r="Q22"/>
  <c r="P22"/>
  <c r="Q21"/>
  <c r="P21"/>
  <c r="Q20"/>
  <c r="P20"/>
  <c r="Q19"/>
  <c r="P19"/>
  <c r="Q18"/>
  <c r="P18"/>
  <c r="Q17"/>
  <c r="P17"/>
  <c r="Q16"/>
  <c r="P16"/>
  <c r="Q15"/>
  <c r="P15"/>
  <c r="Q14"/>
  <c r="P14"/>
  <c r="Q13"/>
  <c r="P13"/>
  <c r="Q12"/>
  <c r="P12"/>
  <c r="Q11"/>
  <c r="P11"/>
  <c r="Q10"/>
  <c r="P10"/>
  <c r="Q9"/>
  <c r="P9"/>
  <c r="Q8"/>
  <c r="P8"/>
  <c r="Q7"/>
  <c r="P7"/>
  <c r="Q6"/>
  <c r="P6"/>
  <c r="C6"/>
  <c r="K3"/>
  <c r="F3"/>
  <c r="K2"/>
  <c r="F2"/>
  <c r="K1"/>
  <c r="F1"/>
  <c r="C5683" i="35"/>
  <c r="D5683" s="1"/>
  <c r="C5682"/>
  <c r="D5682" s="1"/>
  <c r="C5681"/>
  <c r="D5681" s="1"/>
  <c r="C5680"/>
  <c r="D5680" s="1"/>
  <c r="C5679"/>
  <c r="D5679" s="1"/>
  <c r="C5678"/>
  <c r="D5678" s="1"/>
  <c r="C5677"/>
  <c r="D5677" s="1"/>
  <c r="C5676"/>
  <c r="D5676" s="1"/>
  <c r="C5675"/>
  <c r="D5675" s="1"/>
  <c r="C5674"/>
  <c r="D5674" s="1"/>
  <c r="C5673"/>
  <c r="D5673" s="1"/>
  <c r="C5672"/>
  <c r="D5672" s="1"/>
  <c r="C5671"/>
  <c r="D5671" s="1"/>
  <c r="C5670"/>
  <c r="D5670" s="1"/>
  <c r="C5669"/>
  <c r="D5669" s="1"/>
  <c r="C5668"/>
  <c r="D5668" s="1"/>
  <c r="C5667"/>
  <c r="D5667" s="1"/>
  <c r="C5666"/>
  <c r="D5666" s="1"/>
  <c r="C5665"/>
  <c r="D5665" s="1"/>
  <c r="C5664"/>
  <c r="D5664" s="1"/>
  <c r="C5663"/>
  <c r="D5663" s="1"/>
  <c r="C5662"/>
  <c r="D5662" s="1"/>
  <c r="C5661"/>
  <c r="D5661" s="1"/>
  <c r="C5660"/>
  <c r="D5660" s="1"/>
  <c r="C5659"/>
  <c r="D5659" s="1"/>
  <c r="C5658"/>
  <c r="D5658" s="1"/>
  <c r="C5657"/>
  <c r="D5657" s="1"/>
  <c r="C5656"/>
  <c r="D5656" s="1"/>
  <c r="C5655"/>
  <c r="D5655" s="1"/>
  <c r="C5654"/>
  <c r="D5654" s="1"/>
  <c r="C5653"/>
  <c r="D5653" s="1"/>
  <c r="C5652"/>
  <c r="D5652" s="1"/>
  <c r="C5651"/>
  <c r="D5651" s="1"/>
  <c r="C5650"/>
  <c r="D5650" s="1"/>
  <c r="C5649"/>
  <c r="D5649" s="1"/>
  <c r="C5648"/>
  <c r="D5648" s="1"/>
  <c r="C5647"/>
  <c r="D5647" s="1"/>
  <c r="C5646"/>
  <c r="D5646" s="1"/>
  <c r="C5645"/>
  <c r="D5645" s="1"/>
  <c r="C5644"/>
  <c r="D5644" s="1"/>
  <c r="C5643"/>
  <c r="D5643" s="1"/>
  <c r="C5642"/>
  <c r="D5642" s="1"/>
  <c r="C5641"/>
  <c r="D5641" s="1"/>
  <c r="C5640"/>
  <c r="D5640" s="1"/>
  <c r="C5639"/>
  <c r="D5639" s="1"/>
  <c r="C5638"/>
  <c r="D5638" s="1"/>
  <c r="C5637"/>
  <c r="D5637" s="1"/>
  <c r="C5636"/>
  <c r="D5636" s="1"/>
  <c r="C5635"/>
  <c r="D5635" s="1"/>
  <c r="C5634"/>
  <c r="D5634" s="1"/>
  <c r="C5633"/>
  <c r="D5633" s="1"/>
  <c r="C5632"/>
  <c r="D5632" s="1"/>
  <c r="C5631"/>
  <c r="D5631" s="1"/>
  <c r="C5630"/>
  <c r="D5630" s="1"/>
  <c r="C5629"/>
  <c r="D5629" s="1"/>
  <c r="C5628"/>
  <c r="D5628" s="1"/>
  <c r="C5627"/>
  <c r="D5627" s="1"/>
  <c r="C5626"/>
  <c r="D5626" s="1"/>
  <c r="C5625"/>
  <c r="D5625" s="1"/>
  <c r="C5624"/>
  <c r="D5624" s="1"/>
  <c r="C5623"/>
  <c r="D5623" s="1"/>
  <c r="C5622"/>
  <c r="D5622" s="1"/>
  <c r="C5621"/>
  <c r="D5621" s="1"/>
  <c r="C5620"/>
  <c r="D5620" s="1"/>
  <c r="C5619"/>
  <c r="D5619" s="1"/>
  <c r="C5618"/>
  <c r="D5618" s="1"/>
  <c r="C5617"/>
  <c r="D5617" s="1"/>
  <c r="C5616"/>
  <c r="D5616" s="1"/>
  <c r="C5615"/>
  <c r="D5615" s="1"/>
  <c r="C5614"/>
  <c r="D5614" s="1"/>
  <c r="C5613"/>
  <c r="D5613" s="1"/>
  <c r="C5612"/>
  <c r="D5612" s="1"/>
  <c r="C5611"/>
  <c r="D5611" s="1"/>
  <c r="C5610"/>
  <c r="D5610" s="1"/>
  <c r="C5609"/>
  <c r="D5609" s="1"/>
  <c r="C5608"/>
  <c r="D5608" s="1"/>
  <c r="C5607"/>
  <c r="D5607" s="1"/>
  <c r="C5606"/>
  <c r="D5606" s="1"/>
  <c r="C5605"/>
  <c r="D5605" s="1"/>
  <c r="C5604"/>
  <c r="D5604" s="1"/>
  <c r="C5603"/>
  <c r="D5603" s="1"/>
  <c r="C5602"/>
  <c r="D5602" s="1"/>
  <c r="C5601"/>
  <c r="D5601" s="1"/>
  <c r="C5600"/>
  <c r="D5600" s="1"/>
  <c r="C5599"/>
  <c r="D5599" s="1"/>
  <c r="C5598"/>
  <c r="D5598" s="1"/>
  <c r="C5597"/>
  <c r="D5597" s="1"/>
  <c r="C5596"/>
  <c r="D5596" s="1"/>
  <c r="C5595"/>
  <c r="D5595" s="1"/>
  <c r="C5594"/>
  <c r="D5594" s="1"/>
  <c r="C5593"/>
  <c r="D5593" s="1"/>
  <c r="C5592"/>
  <c r="D5592" s="1"/>
  <c r="C5591"/>
  <c r="D5591" s="1"/>
  <c r="C5590"/>
  <c r="D5590" s="1"/>
  <c r="C5589"/>
  <c r="D5589" s="1"/>
  <c r="C5588"/>
  <c r="D5588" s="1"/>
  <c r="C5587"/>
  <c r="D5587" s="1"/>
  <c r="C5586"/>
  <c r="D5586" s="1"/>
  <c r="C5585"/>
  <c r="D5585" s="1"/>
  <c r="C5584"/>
  <c r="D5584" s="1"/>
  <c r="C5583"/>
  <c r="D5583" s="1"/>
  <c r="C5582"/>
  <c r="D5582" s="1"/>
  <c r="C5581"/>
  <c r="D5581" s="1"/>
  <c r="C5580"/>
  <c r="D5580" s="1"/>
  <c r="C5579"/>
  <c r="D5579" s="1"/>
  <c r="C5578"/>
  <c r="D5578" s="1"/>
  <c r="C5577"/>
  <c r="D5577" s="1"/>
  <c r="C5576"/>
  <c r="D5576" s="1"/>
  <c r="C5575"/>
  <c r="D5575" s="1"/>
  <c r="C5574"/>
  <c r="D5574" s="1"/>
  <c r="C5573"/>
  <c r="D5573" s="1"/>
  <c r="C5572"/>
  <c r="D5572" s="1"/>
  <c r="C5571"/>
  <c r="D5571" s="1"/>
  <c r="C5570"/>
  <c r="D5570" s="1"/>
  <c r="C5569"/>
  <c r="D5569" s="1"/>
  <c r="C5568"/>
  <c r="D5568" s="1"/>
  <c r="C5567"/>
  <c r="D5567" s="1"/>
  <c r="C5566"/>
  <c r="D5566" s="1"/>
  <c r="C5565"/>
  <c r="D5565" s="1"/>
  <c r="C5564"/>
  <c r="D5564" s="1"/>
  <c r="C5563"/>
  <c r="D5563" s="1"/>
  <c r="C5562"/>
  <c r="D5562" s="1"/>
  <c r="C5561"/>
  <c r="D5561" s="1"/>
  <c r="C5560"/>
  <c r="D5560" s="1"/>
  <c r="C5559"/>
  <c r="D5559" s="1"/>
  <c r="C5558"/>
  <c r="D5558" s="1"/>
  <c r="C5557"/>
  <c r="D5557" s="1"/>
  <c r="C5556"/>
  <c r="D5556" s="1"/>
  <c r="C5555"/>
  <c r="D5555" s="1"/>
  <c r="C5554"/>
  <c r="D5554" s="1"/>
  <c r="C5553"/>
  <c r="D5553" s="1"/>
  <c r="C5552"/>
  <c r="D5552" s="1"/>
  <c r="C5551"/>
  <c r="D5551" s="1"/>
  <c r="C5550"/>
  <c r="D5550" s="1"/>
  <c r="C5549"/>
  <c r="D5549" s="1"/>
  <c r="C5548"/>
  <c r="D5548" s="1"/>
  <c r="C5547"/>
  <c r="D5547" s="1"/>
  <c r="C5546"/>
  <c r="D5546" s="1"/>
  <c r="C5545"/>
  <c r="D5545" s="1"/>
  <c r="C5544"/>
  <c r="D5544" s="1"/>
  <c r="C5543"/>
  <c r="D5543" s="1"/>
  <c r="C5542"/>
  <c r="D5542" s="1"/>
  <c r="C5541"/>
  <c r="D5541" s="1"/>
  <c r="C5540"/>
  <c r="D5540" s="1"/>
  <c r="C5539"/>
  <c r="D5539" s="1"/>
  <c r="C5538"/>
  <c r="D5538" s="1"/>
  <c r="C5537"/>
  <c r="D5537" s="1"/>
  <c r="C5536"/>
  <c r="D5536" s="1"/>
  <c r="C5535"/>
  <c r="D5535" s="1"/>
  <c r="C5534"/>
  <c r="D5534" s="1"/>
  <c r="C5533"/>
  <c r="D5533" s="1"/>
  <c r="C5532"/>
  <c r="D5532" s="1"/>
  <c r="C5531"/>
  <c r="D5531" s="1"/>
  <c r="C5530"/>
  <c r="D5530" s="1"/>
  <c r="C5529"/>
  <c r="D5529" s="1"/>
  <c r="C5528"/>
  <c r="D5528" s="1"/>
  <c r="C5527"/>
  <c r="D5527" s="1"/>
  <c r="C5526"/>
  <c r="D5526" s="1"/>
  <c r="C5525"/>
  <c r="D5525" s="1"/>
  <c r="C5524"/>
  <c r="D5524" s="1"/>
  <c r="C5523"/>
  <c r="D5523" s="1"/>
  <c r="C5522"/>
  <c r="D5522" s="1"/>
  <c r="C5521"/>
  <c r="D5521" s="1"/>
  <c r="C5520"/>
  <c r="D5520" s="1"/>
  <c r="C5519"/>
  <c r="D5519" s="1"/>
  <c r="C5518"/>
  <c r="D5518" s="1"/>
  <c r="C5517"/>
  <c r="D5517" s="1"/>
  <c r="C5516"/>
  <c r="D5516" s="1"/>
  <c r="C5515"/>
  <c r="D5515" s="1"/>
  <c r="C5514"/>
  <c r="D5514" s="1"/>
  <c r="C5513"/>
  <c r="D5513" s="1"/>
  <c r="C5512"/>
  <c r="D5512" s="1"/>
  <c r="C5511"/>
  <c r="D5511" s="1"/>
  <c r="C5510"/>
  <c r="D5510" s="1"/>
  <c r="C5509"/>
  <c r="D5509" s="1"/>
  <c r="C5508"/>
  <c r="D5508" s="1"/>
  <c r="C5507"/>
  <c r="D5507" s="1"/>
  <c r="C5506"/>
  <c r="D5506" s="1"/>
  <c r="C5505"/>
  <c r="D5505" s="1"/>
  <c r="C5504"/>
  <c r="D5504" s="1"/>
  <c r="C5503"/>
  <c r="D5503" s="1"/>
  <c r="C5502"/>
  <c r="D5502" s="1"/>
  <c r="C5501"/>
  <c r="D5501" s="1"/>
  <c r="C5500"/>
  <c r="D5500" s="1"/>
  <c r="C5499"/>
  <c r="D5499" s="1"/>
  <c r="C5498"/>
  <c r="D5498" s="1"/>
  <c r="C5497"/>
  <c r="D5497" s="1"/>
  <c r="C5496"/>
  <c r="D5496" s="1"/>
  <c r="C5495"/>
  <c r="D5495" s="1"/>
  <c r="C5494"/>
  <c r="D5494" s="1"/>
  <c r="C5493"/>
  <c r="D5493" s="1"/>
  <c r="C5492"/>
  <c r="D5492" s="1"/>
  <c r="C5491"/>
  <c r="D5491" s="1"/>
  <c r="C5490"/>
  <c r="D5490" s="1"/>
  <c r="C5489"/>
  <c r="D5489" s="1"/>
  <c r="C5488"/>
  <c r="D5488" s="1"/>
  <c r="C5487"/>
  <c r="D5487" s="1"/>
  <c r="C5486"/>
  <c r="D5486" s="1"/>
  <c r="C5485"/>
  <c r="D5485" s="1"/>
  <c r="C5484"/>
  <c r="D5484" s="1"/>
  <c r="C5483"/>
  <c r="D5483" s="1"/>
  <c r="C5482"/>
  <c r="D5482" s="1"/>
  <c r="C5481"/>
  <c r="D5481" s="1"/>
  <c r="C5480"/>
  <c r="D5480" s="1"/>
  <c r="C5479"/>
  <c r="D5479" s="1"/>
  <c r="C5478"/>
  <c r="D5478" s="1"/>
  <c r="C5477"/>
  <c r="D5477" s="1"/>
  <c r="C5476"/>
  <c r="D5476" s="1"/>
  <c r="C5475"/>
  <c r="D5475" s="1"/>
  <c r="C5474"/>
  <c r="D5474" s="1"/>
  <c r="C5473"/>
  <c r="D5473" s="1"/>
  <c r="C5472"/>
  <c r="D5472" s="1"/>
  <c r="C5471"/>
  <c r="D5471" s="1"/>
  <c r="C5470"/>
  <c r="D5470" s="1"/>
  <c r="C5469"/>
  <c r="D5469" s="1"/>
  <c r="C5468"/>
  <c r="D5468" s="1"/>
  <c r="C5467"/>
  <c r="D5467" s="1"/>
  <c r="C5466"/>
  <c r="D5466" s="1"/>
  <c r="C5465"/>
  <c r="D5465" s="1"/>
  <c r="C5464"/>
  <c r="D5464" s="1"/>
  <c r="C5463"/>
  <c r="D5463" s="1"/>
  <c r="C5462"/>
  <c r="D5462" s="1"/>
  <c r="C5461"/>
  <c r="D5461" s="1"/>
  <c r="C5460"/>
  <c r="D5460" s="1"/>
  <c r="C5459"/>
  <c r="D5459" s="1"/>
  <c r="C5458"/>
  <c r="D5458" s="1"/>
  <c r="C5457"/>
  <c r="D5457" s="1"/>
  <c r="C5456"/>
  <c r="D5456" s="1"/>
  <c r="C5455"/>
  <c r="D5455" s="1"/>
  <c r="C5454"/>
  <c r="D5454" s="1"/>
  <c r="C5453"/>
  <c r="D5453" s="1"/>
  <c r="C5452"/>
  <c r="D5452" s="1"/>
  <c r="C5451"/>
  <c r="D5451" s="1"/>
  <c r="C5450"/>
  <c r="D5450" s="1"/>
  <c r="C5449"/>
  <c r="D5449" s="1"/>
  <c r="C5448"/>
  <c r="D5448" s="1"/>
  <c r="C5447"/>
  <c r="D5447" s="1"/>
  <c r="C5446"/>
  <c r="D5446" s="1"/>
  <c r="C5445"/>
  <c r="D5445" s="1"/>
  <c r="C5444"/>
  <c r="D5444" s="1"/>
  <c r="C5443"/>
  <c r="D5443" s="1"/>
  <c r="C5442"/>
  <c r="D5442" s="1"/>
  <c r="C5441"/>
  <c r="D5441" s="1"/>
  <c r="C5440"/>
  <c r="D5440" s="1"/>
  <c r="C5439"/>
  <c r="D5439" s="1"/>
  <c r="C5438"/>
  <c r="D5438" s="1"/>
  <c r="C5437"/>
  <c r="D5437" s="1"/>
  <c r="C5436"/>
  <c r="D5436" s="1"/>
  <c r="C5435"/>
  <c r="D5435" s="1"/>
  <c r="C5434"/>
  <c r="D5434" s="1"/>
  <c r="C5433"/>
  <c r="D5433" s="1"/>
  <c r="C5432"/>
  <c r="D5432" s="1"/>
  <c r="C5431"/>
  <c r="D5431" s="1"/>
  <c r="C5430"/>
  <c r="D5430" s="1"/>
  <c r="C5429"/>
  <c r="D5429" s="1"/>
  <c r="C5428"/>
  <c r="D5428" s="1"/>
  <c r="C5427"/>
  <c r="D5427" s="1"/>
  <c r="C5426"/>
  <c r="D5426" s="1"/>
  <c r="C5425"/>
  <c r="D5425" s="1"/>
  <c r="C5424"/>
  <c r="D5424" s="1"/>
  <c r="C5423"/>
  <c r="D5423" s="1"/>
  <c r="C5422"/>
  <c r="D5422" s="1"/>
  <c r="C5421"/>
  <c r="D5421" s="1"/>
  <c r="C5420"/>
  <c r="D5420" s="1"/>
  <c r="C5419"/>
  <c r="D5419" s="1"/>
  <c r="C5418"/>
  <c r="D5418" s="1"/>
  <c r="C5417"/>
  <c r="D5417" s="1"/>
  <c r="C5416"/>
  <c r="D5416" s="1"/>
  <c r="C5415"/>
  <c r="D5415" s="1"/>
  <c r="C5414"/>
  <c r="D5414" s="1"/>
  <c r="C5413"/>
  <c r="D5413" s="1"/>
  <c r="C5412"/>
  <c r="D5412" s="1"/>
  <c r="C5411"/>
  <c r="D5411" s="1"/>
  <c r="C5410"/>
  <c r="D5410" s="1"/>
  <c r="C5409"/>
  <c r="D5409" s="1"/>
  <c r="C5408"/>
  <c r="D5408" s="1"/>
  <c r="C5407"/>
  <c r="D5407" s="1"/>
  <c r="C5406"/>
  <c r="D5406" s="1"/>
  <c r="C5405"/>
  <c r="D5405" s="1"/>
  <c r="C5404"/>
  <c r="D5404" s="1"/>
  <c r="C5403"/>
  <c r="D5403" s="1"/>
  <c r="C5402"/>
  <c r="D5402" s="1"/>
  <c r="C5401"/>
  <c r="D5401" s="1"/>
  <c r="C5400"/>
  <c r="D5400" s="1"/>
  <c r="C5399"/>
  <c r="D5399" s="1"/>
  <c r="C5398"/>
  <c r="D5398" s="1"/>
  <c r="C5397"/>
  <c r="D5397" s="1"/>
  <c r="C5396"/>
  <c r="D5396" s="1"/>
  <c r="C5395"/>
  <c r="D5395" s="1"/>
  <c r="C5394"/>
  <c r="D5394" s="1"/>
  <c r="C5393"/>
  <c r="D5393" s="1"/>
  <c r="C5392"/>
  <c r="D5392" s="1"/>
  <c r="C5391"/>
  <c r="D5391" s="1"/>
  <c r="C5390"/>
  <c r="D5390" s="1"/>
  <c r="C5389"/>
  <c r="D5389" s="1"/>
  <c r="C5388"/>
  <c r="D5388" s="1"/>
  <c r="C5387"/>
  <c r="D5387" s="1"/>
  <c r="C5386"/>
  <c r="D5386" s="1"/>
  <c r="C5385"/>
  <c r="D5385" s="1"/>
  <c r="C5384"/>
  <c r="D5384" s="1"/>
  <c r="C5383"/>
  <c r="D5383" s="1"/>
  <c r="C5382"/>
  <c r="D5382" s="1"/>
  <c r="C5381"/>
  <c r="D5381" s="1"/>
  <c r="C5380"/>
  <c r="D5380" s="1"/>
  <c r="C5379"/>
  <c r="D5379" s="1"/>
  <c r="C5378"/>
  <c r="D5378" s="1"/>
  <c r="C5377"/>
  <c r="D5377" s="1"/>
  <c r="C5376"/>
  <c r="D5376" s="1"/>
  <c r="C5375"/>
  <c r="D5375" s="1"/>
  <c r="C5374"/>
  <c r="D5374" s="1"/>
  <c r="C5373"/>
  <c r="D5373" s="1"/>
  <c r="C5372"/>
  <c r="D5372" s="1"/>
  <c r="C5371"/>
  <c r="D5371" s="1"/>
  <c r="C5370"/>
  <c r="D5370" s="1"/>
  <c r="C5369"/>
  <c r="D5369" s="1"/>
  <c r="C5368"/>
  <c r="D5368" s="1"/>
  <c r="C5367"/>
  <c r="D5367" s="1"/>
  <c r="C5366"/>
  <c r="D5366" s="1"/>
  <c r="C5365"/>
  <c r="D5365" s="1"/>
  <c r="C5364"/>
  <c r="D5364" s="1"/>
  <c r="C5363"/>
  <c r="D5363" s="1"/>
  <c r="C5362"/>
  <c r="D5362" s="1"/>
  <c r="C5361"/>
  <c r="D5361" s="1"/>
  <c r="C5360"/>
  <c r="D5360" s="1"/>
  <c r="C5359"/>
  <c r="D5359" s="1"/>
  <c r="C5358"/>
  <c r="D5358" s="1"/>
  <c r="C5357"/>
  <c r="D5357" s="1"/>
  <c r="C5356"/>
  <c r="D5356" s="1"/>
  <c r="C5355"/>
  <c r="D5355" s="1"/>
  <c r="C5354"/>
  <c r="D5354" s="1"/>
  <c r="C5353"/>
  <c r="D5353" s="1"/>
  <c r="C5352"/>
  <c r="D5352" s="1"/>
  <c r="C5351"/>
  <c r="D5351" s="1"/>
  <c r="C5350"/>
  <c r="D5350" s="1"/>
  <c r="C5349"/>
  <c r="D5349" s="1"/>
  <c r="C5348"/>
  <c r="D5348" s="1"/>
  <c r="C5347"/>
  <c r="D5347" s="1"/>
  <c r="C5346"/>
  <c r="D5346" s="1"/>
  <c r="C5345"/>
  <c r="D5345" s="1"/>
  <c r="C5344"/>
  <c r="D5344" s="1"/>
  <c r="C5343"/>
  <c r="D5343" s="1"/>
  <c r="C5342"/>
  <c r="D5342" s="1"/>
  <c r="C5341"/>
  <c r="D5341" s="1"/>
  <c r="C5340"/>
  <c r="D5340" s="1"/>
  <c r="C5339"/>
  <c r="D5339" s="1"/>
  <c r="C5338"/>
  <c r="D5338" s="1"/>
  <c r="C5337"/>
  <c r="D5337" s="1"/>
  <c r="C5336"/>
  <c r="D5336" s="1"/>
  <c r="C5335"/>
  <c r="D5335" s="1"/>
  <c r="C5334"/>
  <c r="D5334" s="1"/>
  <c r="C5333"/>
  <c r="D5333" s="1"/>
  <c r="C5332"/>
  <c r="D5332" s="1"/>
  <c r="C5331"/>
  <c r="D5331" s="1"/>
  <c r="C5330"/>
  <c r="D5330" s="1"/>
  <c r="C5329"/>
  <c r="D5329" s="1"/>
  <c r="C5328"/>
  <c r="D5328" s="1"/>
  <c r="C5327"/>
  <c r="D5327" s="1"/>
  <c r="C5326"/>
  <c r="D5326" s="1"/>
  <c r="C5325"/>
  <c r="D5325" s="1"/>
  <c r="C5324"/>
  <c r="D5324" s="1"/>
  <c r="C5323"/>
  <c r="D5323" s="1"/>
  <c r="C5322"/>
  <c r="D5322" s="1"/>
  <c r="C5321"/>
  <c r="D5321" s="1"/>
  <c r="C5320"/>
  <c r="D5320" s="1"/>
  <c r="C5319"/>
  <c r="D5319" s="1"/>
  <c r="C5318"/>
  <c r="D5318" s="1"/>
  <c r="C5317"/>
  <c r="D5317" s="1"/>
  <c r="C5316"/>
  <c r="D5316" s="1"/>
  <c r="C5315"/>
  <c r="D5315" s="1"/>
  <c r="C5314"/>
  <c r="D5314" s="1"/>
  <c r="C5313"/>
  <c r="D5313" s="1"/>
  <c r="C5312"/>
  <c r="D5312" s="1"/>
  <c r="C5311"/>
  <c r="D5311" s="1"/>
  <c r="C5310"/>
  <c r="D5310" s="1"/>
  <c r="C5309"/>
  <c r="D5309" s="1"/>
  <c r="C5308"/>
  <c r="D5308" s="1"/>
  <c r="C5307"/>
  <c r="D5307" s="1"/>
  <c r="C5306"/>
  <c r="D5306" s="1"/>
  <c r="C5305"/>
  <c r="D5305" s="1"/>
  <c r="C5304"/>
  <c r="D5304" s="1"/>
  <c r="C5303"/>
  <c r="D5303" s="1"/>
  <c r="C5302"/>
  <c r="D5302" s="1"/>
  <c r="C5301"/>
  <c r="D5301" s="1"/>
  <c r="C5300"/>
  <c r="D5300" s="1"/>
  <c r="C5299"/>
  <c r="D5299" s="1"/>
  <c r="C5298"/>
  <c r="D5298" s="1"/>
  <c r="C5297"/>
  <c r="D5297" s="1"/>
  <c r="C5296"/>
  <c r="D5296" s="1"/>
  <c r="C5295"/>
  <c r="D5295" s="1"/>
  <c r="C5294"/>
  <c r="D5294" s="1"/>
  <c r="C5293"/>
  <c r="D5293" s="1"/>
  <c r="C5292"/>
  <c r="D5292" s="1"/>
  <c r="C5291"/>
  <c r="D5291" s="1"/>
  <c r="C5290"/>
  <c r="D5290" s="1"/>
  <c r="C5289"/>
  <c r="D5289" s="1"/>
  <c r="C5288"/>
  <c r="D5288" s="1"/>
  <c r="C5287"/>
  <c r="D5287" s="1"/>
  <c r="C5286"/>
  <c r="D5286" s="1"/>
  <c r="C5285"/>
  <c r="D5285" s="1"/>
  <c r="C5284"/>
  <c r="D5284" s="1"/>
  <c r="C5283"/>
  <c r="D5283" s="1"/>
  <c r="C5282"/>
  <c r="D5282" s="1"/>
  <c r="C5281"/>
  <c r="D5281" s="1"/>
  <c r="C5280"/>
  <c r="D5280" s="1"/>
  <c r="C5279"/>
  <c r="D5279" s="1"/>
  <c r="C5278"/>
  <c r="D5278" s="1"/>
  <c r="C5277"/>
  <c r="D5277" s="1"/>
  <c r="C5276"/>
  <c r="D5276" s="1"/>
  <c r="C5275"/>
  <c r="D5275" s="1"/>
  <c r="C5274"/>
  <c r="D5274" s="1"/>
  <c r="C5273"/>
  <c r="D5273" s="1"/>
  <c r="C5272"/>
  <c r="D5272" s="1"/>
  <c r="C5271"/>
  <c r="D5271" s="1"/>
  <c r="C5270"/>
  <c r="D5270" s="1"/>
  <c r="C5269"/>
  <c r="D5269" s="1"/>
  <c r="C5268"/>
  <c r="D5268" s="1"/>
  <c r="C5267"/>
  <c r="D5267" s="1"/>
  <c r="C5266"/>
  <c r="D5266" s="1"/>
  <c r="C5265"/>
  <c r="D5265" s="1"/>
  <c r="C5264"/>
  <c r="D5264" s="1"/>
  <c r="C5263"/>
  <c r="D5263" s="1"/>
  <c r="C5262"/>
  <c r="D5262" s="1"/>
  <c r="C5261"/>
  <c r="D5261" s="1"/>
  <c r="C5260"/>
  <c r="D5260" s="1"/>
  <c r="C5259"/>
  <c r="D5259" s="1"/>
  <c r="C5258"/>
  <c r="D5258" s="1"/>
  <c r="C5257"/>
  <c r="D5257" s="1"/>
  <c r="C5256"/>
  <c r="D5256" s="1"/>
  <c r="C5255"/>
  <c r="D5255" s="1"/>
  <c r="C5254"/>
  <c r="D5254" s="1"/>
  <c r="C5253"/>
  <c r="D5253" s="1"/>
  <c r="C5252"/>
  <c r="D5252" s="1"/>
  <c r="C5251"/>
  <c r="D5251" s="1"/>
  <c r="C5250"/>
  <c r="D5250" s="1"/>
  <c r="C5249"/>
  <c r="D5249" s="1"/>
  <c r="C5248"/>
  <c r="D5248" s="1"/>
  <c r="C5247"/>
  <c r="D5247" s="1"/>
  <c r="C5246"/>
  <c r="D5246" s="1"/>
  <c r="C5245"/>
  <c r="D5245" s="1"/>
  <c r="C5244"/>
  <c r="D5244" s="1"/>
  <c r="C5243"/>
  <c r="D5243" s="1"/>
  <c r="C5242"/>
  <c r="D5242" s="1"/>
  <c r="C5241"/>
  <c r="D5241" s="1"/>
  <c r="C5240"/>
  <c r="D5240" s="1"/>
  <c r="C5239"/>
  <c r="D5239" s="1"/>
  <c r="C5238"/>
  <c r="D5238" s="1"/>
  <c r="C5237"/>
  <c r="D5237" s="1"/>
  <c r="C5236"/>
  <c r="D5236" s="1"/>
  <c r="C5235"/>
  <c r="D5235" s="1"/>
  <c r="C5234"/>
  <c r="D5234" s="1"/>
  <c r="C5233"/>
  <c r="D5233" s="1"/>
  <c r="C5232"/>
  <c r="D5232" s="1"/>
  <c r="C5231"/>
  <c r="D5231" s="1"/>
  <c r="C5230"/>
  <c r="D5230" s="1"/>
  <c r="C5229"/>
  <c r="D5229" s="1"/>
  <c r="C5228"/>
  <c r="D5228" s="1"/>
  <c r="C5227"/>
  <c r="D5227" s="1"/>
  <c r="C5226"/>
  <c r="D5226" s="1"/>
  <c r="C5225"/>
  <c r="D5225" s="1"/>
  <c r="C5224"/>
  <c r="D5224" s="1"/>
  <c r="C5223"/>
  <c r="D5223" s="1"/>
  <c r="C5222"/>
  <c r="D5222" s="1"/>
  <c r="C5221"/>
  <c r="D5221" s="1"/>
  <c r="C5220"/>
  <c r="D5220" s="1"/>
  <c r="C5219"/>
  <c r="D5219" s="1"/>
  <c r="C5218"/>
  <c r="D5218" s="1"/>
  <c r="C5217"/>
  <c r="D5217" s="1"/>
  <c r="C5216"/>
  <c r="D5216" s="1"/>
  <c r="C5215"/>
  <c r="D5215" s="1"/>
  <c r="C5214"/>
  <c r="D5214" s="1"/>
  <c r="C5213"/>
  <c r="D5213" s="1"/>
  <c r="C5212"/>
  <c r="D5212" s="1"/>
  <c r="C5211"/>
  <c r="D5211" s="1"/>
  <c r="C5210"/>
  <c r="D5210" s="1"/>
  <c r="C5209"/>
  <c r="D5209" s="1"/>
  <c r="C5208"/>
  <c r="D5208" s="1"/>
  <c r="C5207"/>
  <c r="D5207" s="1"/>
  <c r="C5206"/>
  <c r="D5206" s="1"/>
  <c r="C5205"/>
  <c r="D5205" s="1"/>
  <c r="C5204"/>
  <c r="D5204" s="1"/>
  <c r="C5203"/>
  <c r="D5203" s="1"/>
  <c r="C5202"/>
  <c r="D5202" s="1"/>
  <c r="C5201"/>
  <c r="D5201" s="1"/>
  <c r="C5200"/>
  <c r="D5200" s="1"/>
  <c r="C5199"/>
  <c r="D5199" s="1"/>
  <c r="C5198"/>
  <c r="D5198" s="1"/>
  <c r="C5197"/>
  <c r="D5197" s="1"/>
  <c r="C5196"/>
  <c r="D5196" s="1"/>
  <c r="C5195"/>
  <c r="D5195" s="1"/>
  <c r="C5194"/>
  <c r="D5194" s="1"/>
  <c r="C5193"/>
  <c r="D5193" s="1"/>
  <c r="C5192"/>
  <c r="D5192" s="1"/>
  <c r="C5191"/>
  <c r="D5191" s="1"/>
  <c r="C5190"/>
  <c r="D5190" s="1"/>
  <c r="C5189"/>
  <c r="D5189" s="1"/>
  <c r="C5188"/>
  <c r="D5188" s="1"/>
  <c r="C5187"/>
  <c r="D5187" s="1"/>
  <c r="C5186"/>
  <c r="D5186" s="1"/>
  <c r="C5185"/>
  <c r="D5185" s="1"/>
  <c r="C5184"/>
  <c r="D5184" s="1"/>
  <c r="C5183"/>
  <c r="D5183" s="1"/>
  <c r="C5182"/>
  <c r="D5182" s="1"/>
  <c r="C5181"/>
  <c r="D5181" s="1"/>
  <c r="C5180"/>
  <c r="D5180" s="1"/>
  <c r="C5179"/>
  <c r="D5179" s="1"/>
  <c r="C5178"/>
  <c r="D5178" s="1"/>
  <c r="C5177"/>
  <c r="D5177" s="1"/>
  <c r="C5176"/>
  <c r="D5176" s="1"/>
  <c r="C5175"/>
  <c r="D5175" s="1"/>
  <c r="C5174"/>
  <c r="D5174" s="1"/>
  <c r="C5173"/>
  <c r="D5173" s="1"/>
  <c r="C5172"/>
  <c r="D5172" s="1"/>
  <c r="C5171"/>
  <c r="D5171" s="1"/>
  <c r="C5170"/>
  <c r="D5170" s="1"/>
  <c r="C5169"/>
  <c r="D5169" s="1"/>
  <c r="C5168"/>
  <c r="D5168" s="1"/>
  <c r="C5167"/>
  <c r="D5167" s="1"/>
  <c r="C5166"/>
  <c r="D5166" s="1"/>
  <c r="C5165"/>
  <c r="D5165" s="1"/>
  <c r="C5164"/>
  <c r="D5164" s="1"/>
  <c r="C5163"/>
  <c r="D5163" s="1"/>
  <c r="C5162"/>
  <c r="D5162" s="1"/>
  <c r="C5161"/>
  <c r="D5161" s="1"/>
  <c r="C5160"/>
  <c r="D5160" s="1"/>
  <c r="C5159"/>
  <c r="D5159" s="1"/>
  <c r="C5158"/>
  <c r="D5158" s="1"/>
  <c r="C5157"/>
  <c r="D5157" s="1"/>
  <c r="C5156"/>
  <c r="D5156" s="1"/>
  <c r="C5155"/>
  <c r="D5155" s="1"/>
  <c r="C5154"/>
  <c r="D5154" s="1"/>
  <c r="C5153"/>
  <c r="D5153" s="1"/>
  <c r="C5152"/>
  <c r="D5152" s="1"/>
  <c r="C5151"/>
  <c r="D5151" s="1"/>
  <c r="C5150"/>
  <c r="D5150" s="1"/>
  <c r="C5149"/>
  <c r="D5149" s="1"/>
  <c r="C5148"/>
  <c r="D5148" s="1"/>
  <c r="C5147"/>
  <c r="D5147" s="1"/>
  <c r="C5146"/>
  <c r="D5146" s="1"/>
  <c r="C5145"/>
  <c r="D5145" s="1"/>
  <c r="C5144"/>
  <c r="D5144" s="1"/>
  <c r="C5143"/>
  <c r="D5143" s="1"/>
  <c r="C5142"/>
  <c r="D5142" s="1"/>
  <c r="C5141"/>
  <c r="D5141" s="1"/>
  <c r="C5140"/>
  <c r="D5140" s="1"/>
  <c r="C5139"/>
  <c r="D5139" s="1"/>
  <c r="C5138"/>
  <c r="D5138" s="1"/>
  <c r="C5137"/>
  <c r="D5137" s="1"/>
  <c r="C5136"/>
  <c r="D5136" s="1"/>
  <c r="C5135"/>
  <c r="D5135" s="1"/>
  <c r="C5134"/>
  <c r="D5134" s="1"/>
  <c r="C5133"/>
  <c r="D5133" s="1"/>
  <c r="C5132"/>
  <c r="D5132" s="1"/>
  <c r="C5131"/>
  <c r="D5131" s="1"/>
  <c r="C5130"/>
  <c r="D5130" s="1"/>
  <c r="C5129"/>
  <c r="D5129" s="1"/>
  <c r="C5128"/>
  <c r="D5128" s="1"/>
  <c r="C5127"/>
  <c r="D5127" s="1"/>
  <c r="C5126"/>
  <c r="D5126" s="1"/>
  <c r="C5125"/>
  <c r="D5125" s="1"/>
  <c r="C5124"/>
  <c r="D5124" s="1"/>
  <c r="C5123"/>
  <c r="D5123" s="1"/>
  <c r="C5122"/>
  <c r="D5122" s="1"/>
  <c r="C5121"/>
  <c r="D5121" s="1"/>
  <c r="C5120"/>
  <c r="D5120" s="1"/>
  <c r="C5119"/>
  <c r="D5119" s="1"/>
  <c r="C5118"/>
  <c r="D5118" s="1"/>
  <c r="C5117"/>
  <c r="D5117" s="1"/>
  <c r="C5116"/>
  <c r="D5116" s="1"/>
  <c r="C5115"/>
  <c r="D5115" s="1"/>
  <c r="C5114"/>
  <c r="D5114" s="1"/>
  <c r="C5113"/>
  <c r="D5113" s="1"/>
  <c r="C5112"/>
  <c r="D5112" s="1"/>
  <c r="C5111"/>
  <c r="D5111" s="1"/>
  <c r="C5110"/>
  <c r="D5110" s="1"/>
  <c r="C5109"/>
  <c r="D5109" s="1"/>
  <c r="C5108"/>
  <c r="D5108" s="1"/>
  <c r="C5107"/>
  <c r="D5107" s="1"/>
  <c r="C5106"/>
  <c r="D5106" s="1"/>
  <c r="C5105"/>
  <c r="D5105" s="1"/>
  <c r="C5104"/>
  <c r="D5104" s="1"/>
  <c r="C5103"/>
  <c r="D5103" s="1"/>
  <c r="C5102"/>
  <c r="D5102" s="1"/>
  <c r="C5101"/>
  <c r="D5101" s="1"/>
  <c r="C5100"/>
  <c r="D5100" s="1"/>
  <c r="C5099"/>
  <c r="D5099" s="1"/>
  <c r="C5098"/>
  <c r="D5098" s="1"/>
  <c r="C5097"/>
  <c r="D5097" s="1"/>
  <c r="C5096"/>
  <c r="D5096" s="1"/>
  <c r="C5095"/>
  <c r="D5095" s="1"/>
  <c r="C5094"/>
  <c r="D5094" s="1"/>
  <c r="C5093"/>
  <c r="D5093" s="1"/>
  <c r="C5092"/>
  <c r="D5092" s="1"/>
  <c r="C5091"/>
  <c r="D5091" s="1"/>
  <c r="C5090"/>
  <c r="D5090" s="1"/>
  <c r="C5089"/>
  <c r="D5089" s="1"/>
  <c r="C5088"/>
  <c r="D5088" s="1"/>
  <c r="C5087"/>
  <c r="D5087" s="1"/>
  <c r="C5086"/>
  <c r="D5086" s="1"/>
  <c r="C5085"/>
  <c r="D5085" s="1"/>
  <c r="C5084"/>
  <c r="D5084" s="1"/>
  <c r="C5083"/>
  <c r="D5083" s="1"/>
  <c r="C5082"/>
  <c r="D5082" s="1"/>
  <c r="C5081"/>
  <c r="D5081" s="1"/>
  <c r="C5080"/>
  <c r="D5080" s="1"/>
  <c r="C5079"/>
  <c r="D5079" s="1"/>
  <c r="C5078"/>
  <c r="D5078" s="1"/>
  <c r="C5077"/>
  <c r="D5077" s="1"/>
  <c r="C5076"/>
  <c r="D5076" s="1"/>
  <c r="C5075"/>
  <c r="D5075" s="1"/>
  <c r="C5074"/>
  <c r="D5074" s="1"/>
  <c r="C5073"/>
  <c r="D5073" s="1"/>
  <c r="C5072"/>
  <c r="D5072" s="1"/>
  <c r="C5071"/>
  <c r="D5071" s="1"/>
  <c r="C5070"/>
  <c r="D5070" s="1"/>
  <c r="C5069"/>
  <c r="D5069" s="1"/>
  <c r="C5068"/>
  <c r="D5068" s="1"/>
  <c r="C5067"/>
  <c r="D5067" s="1"/>
  <c r="C5066"/>
  <c r="D5066" s="1"/>
  <c r="C5065"/>
  <c r="D5065" s="1"/>
  <c r="C5064"/>
  <c r="D5064" s="1"/>
  <c r="C5063"/>
  <c r="D5063" s="1"/>
  <c r="C5062"/>
  <c r="D5062" s="1"/>
  <c r="C5061"/>
  <c r="D5061" s="1"/>
  <c r="C5060"/>
  <c r="D5060" s="1"/>
  <c r="C5059"/>
  <c r="D5059" s="1"/>
  <c r="C5058"/>
  <c r="D5058" s="1"/>
  <c r="C5057"/>
  <c r="D5057" s="1"/>
  <c r="C5056"/>
  <c r="D5056" s="1"/>
  <c r="C5055"/>
  <c r="D5055" s="1"/>
  <c r="C5054"/>
  <c r="D5054" s="1"/>
  <c r="C5053"/>
  <c r="D5053" s="1"/>
  <c r="C5052"/>
  <c r="D5052" s="1"/>
  <c r="C5051"/>
  <c r="D5051" s="1"/>
  <c r="C5050"/>
  <c r="D5050" s="1"/>
  <c r="C5049"/>
  <c r="D5049" s="1"/>
  <c r="C5048"/>
  <c r="D5048" s="1"/>
  <c r="C5047"/>
  <c r="D5047" s="1"/>
  <c r="C5046"/>
  <c r="D5046" s="1"/>
  <c r="C5045"/>
  <c r="D5045" s="1"/>
  <c r="C5044"/>
  <c r="D5044" s="1"/>
  <c r="C5043"/>
  <c r="D5043" s="1"/>
  <c r="C5042"/>
  <c r="D5042" s="1"/>
  <c r="C5041"/>
  <c r="D5041" s="1"/>
  <c r="C5040"/>
  <c r="D5040" s="1"/>
  <c r="C5039"/>
  <c r="D5039" s="1"/>
  <c r="C5038"/>
  <c r="D5038" s="1"/>
  <c r="C5037"/>
  <c r="D5037" s="1"/>
  <c r="C5036"/>
  <c r="D5036" s="1"/>
  <c r="C5035"/>
  <c r="D5035" s="1"/>
  <c r="C5034"/>
  <c r="D5034" s="1"/>
  <c r="C5033"/>
  <c r="D5033" s="1"/>
  <c r="C5032"/>
  <c r="D5032" s="1"/>
  <c r="C5031"/>
  <c r="D5031" s="1"/>
  <c r="C5030"/>
  <c r="D5030" s="1"/>
  <c r="C5029"/>
  <c r="D5029" s="1"/>
  <c r="C5028"/>
  <c r="D5028" s="1"/>
  <c r="C5027"/>
  <c r="D5027" s="1"/>
  <c r="C5026"/>
  <c r="D5026" s="1"/>
  <c r="C5025"/>
  <c r="D5025" s="1"/>
  <c r="C5024"/>
  <c r="D5024" s="1"/>
  <c r="C5023"/>
  <c r="D5023" s="1"/>
  <c r="C5022"/>
  <c r="D5022" s="1"/>
  <c r="C5021"/>
  <c r="D5021" s="1"/>
  <c r="C5020"/>
  <c r="D5020" s="1"/>
  <c r="C5019"/>
  <c r="D5019" s="1"/>
  <c r="C5018"/>
  <c r="D5018" s="1"/>
  <c r="C5017"/>
  <c r="D5017" s="1"/>
  <c r="C5016"/>
  <c r="D5016" s="1"/>
  <c r="C5015"/>
  <c r="D5015" s="1"/>
  <c r="C5014"/>
  <c r="D5014" s="1"/>
  <c r="C5013"/>
  <c r="D5013" s="1"/>
  <c r="C5012"/>
  <c r="D5012" s="1"/>
  <c r="C5011"/>
  <c r="D5011" s="1"/>
  <c r="C5010"/>
  <c r="D5010" s="1"/>
  <c r="C5009"/>
  <c r="D5009" s="1"/>
  <c r="C5008"/>
  <c r="D5008" s="1"/>
  <c r="C5007"/>
  <c r="D5007" s="1"/>
  <c r="C5006"/>
  <c r="D5006" s="1"/>
  <c r="C5005"/>
  <c r="D5005" s="1"/>
  <c r="C5004"/>
  <c r="D5004" s="1"/>
  <c r="C5003"/>
  <c r="D5003" s="1"/>
  <c r="C5002"/>
  <c r="D5002" s="1"/>
  <c r="C5001"/>
  <c r="D5001" s="1"/>
  <c r="C5000"/>
  <c r="D5000" s="1"/>
  <c r="C4999"/>
  <c r="D4999" s="1"/>
  <c r="C4998"/>
  <c r="D4998" s="1"/>
  <c r="C4997"/>
  <c r="D4997" s="1"/>
  <c r="C4996"/>
  <c r="D4996" s="1"/>
  <c r="C4995"/>
  <c r="D4995" s="1"/>
  <c r="C4994"/>
  <c r="D4994" s="1"/>
  <c r="C4993"/>
  <c r="D4993" s="1"/>
  <c r="C4992"/>
  <c r="D4992" s="1"/>
  <c r="C4991"/>
  <c r="D4991" s="1"/>
  <c r="C4990"/>
  <c r="D4990" s="1"/>
  <c r="C4989"/>
  <c r="D4989" s="1"/>
  <c r="C4988"/>
  <c r="D4988" s="1"/>
  <c r="C4987"/>
  <c r="D4987" s="1"/>
  <c r="C4986"/>
  <c r="D4986" s="1"/>
  <c r="C4985"/>
  <c r="D4985" s="1"/>
  <c r="C4984"/>
  <c r="D4984" s="1"/>
  <c r="C4983"/>
  <c r="D4983" s="1"/>
  <c r="C4982"/>
  <c r="D4982" s="1"/>
  <c r="C4981"/>
  <c r="D4981" s="1"/>
  <c r="C4980"/>
  <c r="D4980" s="1"/>
  <c r="C4979"/>
  <c r="D4979" s="1"/>
  <c r="C4978"/>
  <c r="D4978" s="1"/>
  <c r="C4977"/>
  <c r="D4977" s="1"/>
  <c r="C4976"/>
  <c r="D4976" s="1"/>
  <c r="C4975"/>
  <c r="D4975" s="1"/>
  <c r="C4974"/>
  <c r="D4974" s="1"/>
  <c r="C4973"/>
  <c r="D4973" s="1"/>
  <c r="C4972"/>
  <c r="D4972" s="1"/>
  <c r="C4971"/>
  <c r="D4971" s="1"/>
  <c r="C4970"/>
  <c r="D4970" s="1"/>
  <c r="C4969"/>
  <c r="D4969" s="1"/>
  <c r="C4968"/>
  <c r="D4968" s="1"/>
  <c r="C4967"/>
  <c r="D4967" s="1"/>
  <c r="C4966"/>
  <c r="D4966" s="1"/>
  <c r="C4965"/>
  <c r="D4965" s="1"/>
  <c r="C4964"/>
  <c r="D4964" s="1"/>
  <c r="C4963"/>
  <c r="D4963" s="1"/>
  <c r="C4962"/>
  <c r="D4962" s="1"/>
  <c r="C4961"/>
  <c r="D4961" s="1"/>
  <c r="C4960"/>
  <c r="D4960" s="1"/>
  <c r="C4959"/>
  <c r="D4959" s="1"/>
  <c r="C4958"/>
  <c r="D4958" s="1"/>
  <c r="C4957"/>
  <c r="D4957" s="1"/>
  <c r="C4956"/>
  <c r="D4956" s="1"/>
  <c r="C4955"/>
  <c r="D4955" s="1"/>
  <c r="C4954"/>
  <c r="D4954" s="1"/>
  <c r="C4953"/>
  <c r="D4953" s="1"/>
  <c r="C4952"/>
  <c r="D4952" s="1"/>
  <c r="C4951"/>
  <c r="D4951" s="1"/>
  <c r="C4950"/>
  <c r="D4950" s="1"/>
  <c r="C4949"/>
  <c r="D4949" s="1"/>
  <c r="C4948"/>
  <c r="D4948" s="1"/>
  <c r="C4947"/>
  <c r="D4947" s="1"/>
  <c r="C4946"/>
  <c r="D4946" s="1"/>
  <c r="C4945"/>
  <c r="D4945" s="1"/>
  <c r="C4944"/>
  <c r="D4944" s="1"/>
  <c r="C4943"/>
  <c r="D4943" s="1"/>
  <c r="C4942"/>
  <c r="D4942" s="1"/>
  <c r="C4941"/>
  <c r="D4941" s="1"/>
  <c r="C4940"/>
  <c r="D4940" s="1"/>
  <c r="C4939"/>
  <c r="D4939" s="1"/>
  <c r="C4938"/>
  <c r="D4938" s="1"/>
  <c r="C4937"/>
  <c r="D4937" s="1"/>
  <c r="C4936"/>
  <c r="D4936" s="1"/>
  <c r="C4935"/>
  <c r="D4935" s="1"/>
  <c r="C4934"/>
  <c r="D4934" s="1"/>
  <c r="C4933"/>
  <c r="D4933" s="1"/>
  <c r="C4932"/>
  <c r="D4932" s="1"/>
  <c r="C4931"/>
  <c r="D4931" s="1"/>
  <c r="C4930"/>
  <c r="D4930" s="1"/>
  <c r="C4929"/>
  <c r="D4929" s="1"/>
  <c r="C4928"/>
  <c r="D4928" s="1"/>
  <c r="C4927"/>
  <c r="D4927" s="1"/>
  <c r="C4926"/>
  <c r="D4926" s="1"/>
  <c r="C4925"/>
  <c r="D4925" s="1"/>
  <c r="C4924"/>
  <c r="D4924" s="1"/>
  <c r="C4923"/>
  <c r="D4923" s="1"/>
  <c r="C4922"/>
  <c r="D4922" s="1"/>
  <c r="C4921"/>
  <c r="D4921" s="1"/>
  <c r="C4920"/>
  <c r="D4920" s="1"/>
  <c r="C4919"/>
  <c r="D4919" s="1"/>
  <c r="C4918"/>
  <c r="D4918" s="1"/>
  <c r="C4917"/>
  <c r="D4917" s="1"/>
  <c r="C4916"/>
  <c r="D4916" s="1"/>
  <c r="C4915"/>
  <c r="D4915" s="1"/>
  <c r="C4914"/>
  <c r="D4914" s="1"/>
  <c r="C4913"/>
  <c r="D4913" s="1"/>
  <c r="C4912"/>
  <c r="D4912" s="1"/>
  <c r="C4911"/>
  <c r="D4911" s="1"/>
  <c r="C4910"/>
  <c r="D4910" s="1"/>
  <c r="C4909"/>
  <c r="D4909" s="1"/>
  <c r="C4908"/>
  <c r="D4908" s="1"/>
  <c r="C4907"/>
  <c r="D4907" s="1"/>
  <c r="C4906"/>
  <c r="D4906" s="1"/>
  <c r="C4905"/>
  <c r="D4905" s="1"/>
  <c r="C4904"/>
  <c r="D4904" s="1"/>
  <c r="C4903"/>
  <c r="D4903" s="1"/>
  <c r="C4902"/>
  <c r="D4902" s="1"/>
  <c r="C4901"/>
  <c r="D4901" s="1"/>
  <c r="C4900"/>
  <c r="D4900" s="1"/>
  <c r="C4899"/>
  <c r="D4899" s="1"/>
  <c r="C4898"/>
  <c r="D4898" s="1"/>
  <c r="C4897"/>
  <c r="D4897" s="1"/>
  <c r="C4896"/>
  <c r="D4896" s="1"/>
  <c r="C4895"/>
  <c r="D4895" s="1"/>
  <c r="C4894"/>
  <c r="D4894" s="1"/>
  <c r="C4893"/>
  <c r="D4893" s="1"/>
  <c r="C4892"/>
  <c r="D4892" s="1"/>
  <c r="C4891"/>
  <c r="D4891" s="1"/>
  <c r="C4890"/>
  <c r="D4890" s="1"/>
  <c r="C4889"/>
  <c r="D4889" s="1"/>
  <c r="C4888"/>
  <c r="D4888" s="1"/>
  <c r="C4887"/>
  <c r="D4887" s="1"/>
  <c r="C4886"/>
  <c r="D4886" s="1"/>
  <c r="C4885"/>
  <c r="D4885" s="1"/>
  <c r="C4884"/>
  <c r="D4884" s="1"/>
  <c r="C4883"/>
  <c r="D4883" s="1"/>
  <c r="C4882"/>
  <c r="D4882" s="1"/>
  <c r="C4881"/>
  <c r="D4881" s="1"/>
  <c r="C4880"/>
  <c r="D4880" s="1"/>
  <c r="C4879"/>
  <c r="D4879" s="1"/>
  <c r="C4878"/>
  <c r="D4878" s="1"/>
  <c r="C4877"/>
  <c r="D4877" s="1"/>
  <c r="C4876"/>
  <c r="D4876" s="1"/>
  <c r="C4875"/>
  <c r="D4875" s="1"/>
  <c r="C4874"/>
  <c r="D4874" s="1"/>
  <c r="C4873"/>
  <c r="D4873" s="1"/>
  <c r="C4872"/>
  <c r="D4872" s="1"/>
  <c r="C4871"/>
  <c r="D4871" s="1"/>
  <c r="C4870"/>
  <c r="D4870" s="1"/>
  <c r="C4869"/>
  <c r="D4869" s="1"/>
  <c r="C4868"/>
  <c r="D4868" s="1"/>
  <c r="C4867"/>
  <c r="D4867" s="1"/>
  <c r="C4866"/>
  <c r="D4866" s="1"/>
  <c r="C4865"/>
  <c r="D4865" s="1"/>
  <c r="C4864"/>
  <c r="D4864" s="1"/>
  <c r="C4863"/>
  <c r="D4863" s="1"/>
  <c r="C4862"/>
  <c r="D4862" s="1"/>
  <c r="C4861"/>
  <c r="D4861" s="1"/>
  <c r="C4860"/>
  <c r="D4860" s="1"/>
  <c r="C4859"/>
  <c r="D4859" s="1"/>
  <c r="C4858"/>
  <c r="D4858" s="1"/>
  <c r="C4857"/>
  <c r="D4857" s="1"/>
  <c r="C4856"/>
  <c r="D4856" s="1"/>
  <c r="C4855"/>
  <c r="D4855" s="1"/>
  <c r="C4854"/>
  <c r="D4854" s="1"/>
  <c r="C4853"/>
  <c r="D4853" s="1"/>
  <c r="C4852"/>
  <c r="D4852" s="1"/>
  <c r="C4851"/>
  <c r="D4851" s="1"/>
  <c r="C4850"/>
  <c r="D4850" s="1"/>
  <c r="C4849"/>
  <c r="D4849" s="1"/>
  <c r="C4848"/>
  <c r="D4848" s="1"/>
  <c r="C4847"/>
  <c r="D4847" s="1"/>
  <c r="C4846"/>
  <c r="D4846" s="1"/>
  <c r="C4845"/>
  <c r="D4845" s="1"/>
  <c r="C4844"/>
  <c r="D4844" s="1"/>
  <c r="C4843"/>
  <c r="D4843" s="1"/>
  <c r="C4842"/>
  <c r="D4842" s="1"/>
  <c r="C4841"/>
  <c r="D4841" s="1"/>
  <c r="C4840"/>
  <c r="D4840" s="1"/>
  <c r="C4839"/>
  <c r="D4839" s="1"/>
  <c r="C4838"/>
  <c r="D4838" s="1"/>
  <c r="C4837"/>
  <c r="D4837" s="1"/>
  <c r="C4836"/>
  <c r="D4836" s="1"/>
  <c r="C4835"/>
  <c r="D4835" s="1"/>
  <c r="C4834"/>
  <c r="D4834" s="1"/>
  <c r="C4833"/>
  <c r="D4833" s="1"/>
  <c r="C4832"/>
  <c r="D4832" s="1"/>
  <c r="C4831"/>
  <c r="D4831" s="1"/>
  <c r="C4830"/>
  <c r="D4830" s="1"/>
  <c r="C4829"/>
  <c r="D4829" s="1"/>
  <c r="C4828"/>
  <c r="D4828" s="1"/>
  <c r="C4827"/>
  <c r="D4827" s="1"/>
  <c r="C4826"/>
  <c r="D4826" s="1"/>
  <c r="C4825"/>
  <c r="D4825" s="1"/>
  <c r="C4824"/>
  <c r="D4824" s="1"/>
  <c r="C4823"/>
  <c r="D4823" s="1"/>
  <c r="C4822"/>
  <c r="D4822" s="1"/>
  <c r="C4821"/>
  <c r="D4821" s="1"/>
  <c r="C4820"/>
  <c r="D4820" s="1"/>
  <c r="C4819"/>
  <c r="D4819" s="1"/>
  <c r="C4818"/>
  <c r="D4818" s="1"/>
  <c r="C4817"/>
  <c r="D4817" s="1"/>
  <c r="C4816"/>
  <c r="D4816" s="1"/>
  <c r="C4815"/>
  <c r="D4815" s="1"/>
  <c r="C4814"/>
  <c r="D4814" s="1"/>
  <c r="C4813"/>
  <c r="D4813" s="1"/>
  <c r="C4812"/>
  <c r="D4812" s="1"/>
  <c r="C4811"/>
  <c r="D4811" s="1"/>
  <c r="C4810"/>
  <c r="D4810" s="1"/>
  <c r="C4809"/>
  <c r="D4809" s="1"/>
  <c r="C4808"/>
  <c r="D4808" s="1"/>
  <c r="C4807"/>
  <c r="D4807" s="1"/>
  <c r="C4806"/>
  <c r="D4806" s="1"/>
  <c r="C4805"/>
  <c r="D4805" s="1"/>
  <c r="C4804"/>
  <c r="D4804" s="1"/>
  <c r="C4803"/>
  <c r="D4803" s="1"/>
  <c r="C4802"/>
  <c r="D4802" s="1"/>
  <c r="C4801"/>
  <c r="D4801" s="1"/>
  <c r="C4800"/>
  <c r="D4800" s="1"/>
  <c r="C4799"/>
  <c r="D4799" s="1"/>
  <c r="C4798"/>
  <c r="D4798" s="1"/>
  <c r="C4797"/>
  <c r="D4797" s="1"/>
  <c r="C4796"/>
  <c r="D4796" s="1"/>
  <c r="C4795"/>
  <c r="D4795" s="1"/>
  <c r="C4794"/>
  <c r="D4794" s="1"/>
  <c r="C4793"/>
  <c r="D4793" s="1"/>
  <c r="C4792"/>
  <c r="D4792" s="1"/>
  <c r="C4791"/>
  <c r="D4791" s="1"/>
  <c r="C4790"/>
  <c r="D4790" s="1"/>
  <c r="C4789"/>
  <c r="D4789" s="1"/>
  <c r="C4788"/>
  <c r="D4788" s="1"/>
  <c r="C4787"/>
  <c r="D4787" s="1"/>
  <c r="C4786"/>
  <c r="D4786" s="1"/>
  <c r="C4785"/>
  <c r="D4785" s="1"/>
  <c r="C4784"/>
  <c r="D4784" s="1"/>
  <c r="C4783"/>
  <c r="D4783" s="1"/>
  <c r="C4782"/>
  <c r="D4782" s="1"/>
  <c r="C4781"/>
  <c r="D4781" s="1"/>
  <c r="C4780"/>
  <c r="D4780" s="1"/>
  <c r="C4779"/>
  <c r="D4779" s="1"/>
  <c r="C4778"/>
  <c r="D4778" s="1"/>
  <c r="C4777"/>
  <c r="D4777" s="1"/>
  <c r="C4776"/>
  <c r="D4776" s="1"/>
  <c r="C4775"/>
  <c r="D4775" s="1"/>
  <c r="C4774"/>
  <c r="D4774" s="1"/>
  <c r="C4773"/>
  <c r="D4773" s="1"/>
  <c r="C4772"/>
  <c r="D4772" s="1"/>
  <c r="C4771"/>
  <c r="D4771" s="1"/>
  <c r="C4770"/>
  <c r="D4770" s="1"/>
  <c r="C4769"/>
  <c r="D4769" s="1"/>
  <c r="C4768"/>
  <c r="D4768" s="1"/>
  <c r="C4767"/>
  <c r="D4767" s="1"/>
  <c r="C4766"/>
  <c r="D4766" s="1"/>
  <c r="C4765"/>
  <c r="D4765" s="1"/>
  <c r="C4764"/>
  <c r="D4764" s="1"/>
  <c r="C4763"/>
  <c r="D4763" s="1"/>
  <c r="C4762"/>
  <c r="D4762" s="1"/>
  <c r="C4761"/>
  <c r="D4761" s="1"/>
  <c r="C4760"/>
  <c r="D4760" s="1"/>
  <c r="C4759"/>
  <c r="D4759" s="1"/>
  <c r="C4758"/>
  <c r="D4758" s="1"/>
  <c r="C4757"/>
  <c r="D4757" s="1"/>
  <c r="C4756"/>
  <c r="D4756" s="1"/>
  <c r="C4755"/>
  <c r="D4755" s="1"/>
  <c r="C4754"/>
  <c r="D4754" s="1"/>
  <c r="C4753"/>
  <c r="D4753" s="1"/>
  <c r="C4752"/>
  <c r="D4752" s="1"/>
  <c r="C4751"/>
  <c r="D4751" s="1"/>
  <c r="C4750"/>
  <c r="D4750" s="1"/>
  <c r="C4749"/>
  <c r="D4749" s="1"/>
  <c r="C4748"/>
  <c r="D4748" s="1"/>
  <c r="C4747"/>
  <c r="D4747" s="1"/>
  <c r="C4746"/>
  <c r="D4746" s="1"/>
  <c r="C4745"/>
  <c r="D4745" s="1"/>
  <c r="C4744"/>
  <c r="D4744" s="1"/>
  <c r="C4743"/>
  <c r="D4743" s="1"/>
  <c r="C4742"/>
  <c r="D4742" s="1"/>
  <c r="C4741"/>
  <c r="D4741" s="1"/>
  <c r="C4740"/>
  <c r="D4740" s="1"/>
  <c r="C4739"/>
  <c r="D4739" s="1"/>
  <c r="C4738"/>
  <c r="D4738" s="1"/>
  <c r="C4737"/>
  <c r="D4737" s="1"/>
  <c r="C4736"/>
  <c r="D4736" s="1"/>
  <c r="C4735"/>
  <c r="D4735" s="1"/>
  <c r="C4734"/>
  <c r="D4734" s="1"/>
  <c r="C4733"/>
  <c r="D4733" s="1"/>
  <c r="C4732"/>
  <c r="D4732" s="1"/>
  <c r="C4731"/>
  <c r="D4731" s="1"/>
  <c r="C4730"/>
  <c r="D4730" s="1"/>
  <c r="C4729"/>
  <c r="D4729" s="1"/>
  <c r="C4728"/>
  <c r="D4728" s="1"/>
  <c r="C4727"/>
  <c r="D4727" s="1"/>
  <c r="C4726"/>
  <c r="D4726" s="1"/>
  <c r="C4725"/>
  <c r="D4725" s="1"/>
  <c r="C4724"/>
  <c r="D4724" s="1"/>
  <c r="C4723"/>
  <c r="D4723" s="1"/>
  <c r="C4722"/>
  <c r="D4722" s="1"/>
  <c r="C4721"/>
  <c r="D4721" s="1"/>
  <c r="C4720"/>
  <c r="D4720" s="1"/>
  <c r="C4719"/>
  <c r="D4719" s="1"/>
  <c r="C4718"/>
  <c r="D4718" s="1"/>
  <c r="C4717"/>
  <c r="D4717" s="1"/>
  <c r="C4716"/>
  <c r="D4716" s="1"/>
  <c r="C4715"/>
  <c r="D4715" s="1"/>
  <c r="C4714"/>
  <c r="D4714" s="1"/>
  <c r="C4713"/>
  <c r="D4713" s="1"/>
  <c r="C4712"/>
  <c r="D4712" s="1"/>
  <c r="C4711"/>
  <c r="D4711" s="1"/>
  <c r="C4710"/>
  <c r="D4710" s="1"/>
  <c r="C4709"/>
  <c r="D4709" s="1"/>
  <c r="C4708"/>
  <c r="D4708" s="1"/>
  <c r="C4707"/>
  <c r="D4707" s="1"/>
  <c r="C4706"/>
  <c r="D4706" s="1"/>
  <c r="C4705"/>
  <c r="D4705" s="1"/>
  <c r="C4704"/>
  <c r="D4704" s="1"/>
  <c r="C4703"/>
  <c r="D4703" s="1"/>
  <c r="C4702"/>
  <c r="D4702" s="1"/>
  <c r="C4701"/>
  <c r="D4701" s="1"/>
  <c r="C4700"/>
  <c r="D4700" s="1"/>
  <c r="C4699"/>
  <c r="D4699" s="1"/>
  <c r="C4698"/>
  <c r="D4698" s="1"/>
  <c r="C4697"/>
  <c r="D4697" s="1"/>
  <c r="C4696"/>
  <c r="D4696" s="1"/>
  <c r="C4695"/>
  <c r="D4695" s="1"/>
  <c r="C4694"/>
  <c r="D4694" s="1"/>
  <c r="C4693"/>
  <c r="D4693" s="1"/>
  <c r="C4692"/>
  <c r="D4692" s="1"/>
  <c r="C4691"/>
  <c r="D4691" s="1"/>
  <c r="C4690"/>
  <c r="D4690" s="1"/>
  <c r="C4689"/>
  <c r="D4689" s="1"/>
  <c r="C4688"/>
  <c r="D4688" s="1"/>
  <c r="C4687"/>
  <c r="D4687" s="1"/>
  <c r="C4686"/>
  <c r="D4686" s="1"/>
  <c r="C4685"/>
  <c r="D4685" s="1"/>
  <c r="C4684"/>
  <c r="D4684" s="1"/>
  <c r="C4683"/>
  <c r="D4683" s="1"/>
  <c r="C4682"/>
  <c r="D4682" s="1"/>
  <c r="C4681"/>
  <c r="D4681" s="1"/>
  <c r="C4680"/>
  <c r="D4680" s="1"/>
  <c r="C4679"/>
  <c r="D4679" s="1"/>
  <c r="C4678"/>
  <c r="D4678" s="1"/>
  <c r="C4677"/>
  <c r="D4677" s="1"/>
  <c r="C4676"/>
  <c r="D4676" s="1"/>
  <c r="C4675"/>
  <c r="D4675" s="1"/>
  <c r="C4674"/>
  <c r="D4674" s="1"/>
  <c r="C4673"/>
  <c r="D4673" s="1"/>
  <c r="C4672"/>
  <c r="D4672" s="1"/>
  <c r="C4671"/>
  <c r="D4671" s="1"/>
  <c r="C4670"/>
  <c r="D4670" s="1"/>
  <c r="C4669"/>
  <c r="D4669" s="1"/>
  <c r="C4668"/>
  <c r="D4668" s="1"/>
  <c r="C4667"/>
  <c r="D4667" s="1"/>
  <c r="C4666"/>
  <c r="D4666" s="1"/>
  <c r="C4665"/>
  <c r="D4665" s="1"/>
  <c r="C4664"/>
  <c r="D4664" s="1"/>
  <c r="C4663"/>
  <c r="D4663" s="1"/>
  <c r="C4662"/>
  <c r="D4662" s="1"/>
  <c r="C4661"/>
  <c r="D4661" s="1"/>
  <c r="C4660"/>
  <c r="D4660" s="1"/>
  <c r="C4659"/>
  <c r="D4659" s="1"/>
  <c r="C4658"/>
  <c r="D4658" s="1"/>
  <c r="C4657"/>
  <c r="D4657" s="1"/>
  <c r="C4656"/>
  <c r="D4656" s="1"/>
  <c r="C4655"/>
  <c r="D4655" s="1"/>
  <c r="C4654"/>
  <c r="D4654" s="1"/>
  <c r="C4653"/>
  <c r="D4653" s="1"/>
  <c r="C4652"/>
  <c r="D4652" s="1"/>
  <c r="C4651"/>
  <c r="D4651" s="1"/>
  <c r="C4650"/>
  <c r="D4650" s="1"/>
  <c r="C4649"/>
  <c r="D4649" s="1"/>
  <c r="C4648"/>
  <c r="D4648" s="1"/>
  <c r="C4647"/>
  <c r="D4647" s="1"/>
  <c r="C4646"/>
  <c r="D4646" s="1"/>
  <c r="C4645"/>
  <c r="D4645" s="1"/>
  <c r="C4644"/>
  <c r="D4644" s="1"/>
  <c r="C4643"/>
  <c r="D4643" s="1"/>
  <c r="C4642"/>
  <c r="D4642" s="1"/>
  <c r="C4641"/>
  <c r="D4641" s="1"/>
  <c r="C4640"/>
  <c r="D4640" s="1"/>
  <c r="C4639"/>
  <c r="D4639" s="1"/>
  <c r="C4638"/>
  <c r="D4638" s="1"/>
  <c r="C4637"/>
  <c r="D4637" s="1"/>
  <c r="C4636"/>
  <c r="D4636" s="1"/>
  <c r="C4635"/>
  <c r="D4635" s="1"/>
  <c r="C4634"/>
  <c r="D4634" s="1"/>
  <c r="C4633"/>
  <c r="D4633" s="1"/>
  <c r="C4632"/>
  <c r="D4632" s="1"/>
  <c r="C4631"/>
  <c r="D4631" s="1"/>
  <c r="C4630"/>
  <c r="D4630" s="1"/>
  <c r="C4629"/>
  <c r="D4629" s="1"/>
  <c r="C4628"/>
  <c r="D4628" s="1"/>
  <c r="C4627"/>
  <c r="D4627" s="1"/>
  <c r="C4626"/>
  <c r="D4626" s="1"/>
  <c r="C4625"/>
  <c r="D4625" s="1"/>
  <c r="C4624"/>
  <c r="D4624" s="1"/>
  <c r="C4623"/>
  <c r="D4623" s="1"/>
  <c r="C4622"/>
  <c r="D4622" s="1"/>
  <c r="C4621"/>
  <c r="D4621" s="1"/>
  <c r="C4620"/>
  <c r="D4620" s="1"/>
  <c r="C4619"/>
  <c r="D4619" s="1"/>
  <c r="C4618"/>
  <c r="D4618" s="1"/>
  <c r="C4617"/>
  <c r="D4617" s="1"/>
  <c r="C4616"/>
  <c r="D4616" s="1"/>
  <c r="C4615"/>
  <c r="D4615" s="1"/>
  <c r="C4614"/>
  <c r="D4614" s="1"/>
  <c r="C4613"/>
  <c r="D4613" s="1"/>
  <c r="C4612"/>
  <c r="D4612" s="1"/>
  <c r="C4611"/>
  <c r="D4611" s="1"/>
  <c r="C4610"/>
  <c r="D4610" s="1"/>
  <c r="C4609"/>
  <c r="D4609" s="1"/>
  <c r="C4608"/>
  <c r="D4608" s="1"/>
  <c r="C4607"/>
  <c r="D4607" s="1"/>
  <c r="C4606"/>
  <c r="D4606" s="1"/>
  <c r="C4605"/>
  <c r="D4605" s="1"/>
  <c r="C4604"/>
  <c r="D4604" s="1"/>
  <c r="C4603"/>
  <c r="D4603" s="1"/>
  <c r="C4602"/>
  <c r="D4602" s="1"/>
  <c r="C4601"/>
  <c r="D4601" s="1"/>
  <c r="C4600"/>
  <c r="D4600" s="1"/>
  <c r="C4599"/>
  <c r="D4599" s="1"/>
  <c r="C4598"/>
  <c r="D4598" s="1"/>
  <c r="C4597"/>
  <c r="D4597" s="1"/>
  <c r="C4596"/>
  <c r="D4596" s="1"/>
  <c r="C4595"/>
  <c r="D4595" s="1"/>
  <c r="C4594"/>
  <c r="D4594" s="1"/>
  <c r="C4593"/>
  <c r="D4593" s="1"/>
  <c r="C4592"/>
  <c r="D4592" s="1"/>
  <c r="C4591"/>
  <c r="D4591" s="1"/>
  <c r="C4590"/>
  <c r="D4590" s="1"/>
  <c r="C4589"/>
  <c r="D4589" s="1"/>
  <c r="C4588"/>
  <c r="D4588" s="1"/>
  <c r="C4587"/>
  <c r="D4587" s="1"/>
  <c r="C4586"/>
  <c r="D4586" s="1"/>
  <c r="C4585"/>
  <c r="D4585" s="1"/>
  <c r="C4584"/>
  <c r="D4584" s="1"/>
  <c r="C4583"/>
  <c r="D4583" s="1"/>
  <c r="C4582"/>
  <c r="D4582" s="1"/>
  <c r="C4581"/>
  <c r="D4581" s="1"/>
  <c r="C4580"/>
  <c r="D4580" s="1"/>
  <c r="C4579"/>
  <c r="D4579" s="1"/>
  <c r="C4578"/>
  <c r="D4578" s="1"/>
  <c r="C4577"/>
  <c r="D4577" s="1"/>
  <c r="C4576"/>
  <c r="D4576" s="1"/>
  <c r="C4575"/>
  <c r="D4575" s="1"/>
  <c r="C4574"/>
  <c r="D4574" s="1"/>
  <c r="C4573"/>
  <c r="D4573" s="1"/>
  <c r="C4572"/>
  <c r="D4572" s="1"/>
  <c r="C4571"/>
  <c r="D4571" s="1"/>
  <c r="C4570"/>
  <c r="D4570" s="1"/>
  <c r="C4569"/>
  <c r="D4569" s="1"/>
  <c r="C4568"/>
  <c r="D4568" s="1"/>
  <c r="C4567"/>
  <c r="D4567" s="1"/>
  <c r="C4566"/>
  <c r="D4566" s="1"/>
  <c r="C4565"/>
  <c r="D4565" s="1"/>
  <c r="C4564"/>
  <c r="D4564" s="1"/>
  <c r="C4563"/>
  <c r="D4563" s="1"/>
  <c r="C4562"/>
  <c r="D4562" s="1"/>
  <c r="C4561"/>
  <c r="D4561" s="1"/>
  <c r="C4560"/>
  <c r="D4560" s="1"/>
  <c r="C4559"/>
  <c r="D4559" s="1"/>
  <c r="C4558"/>
  <c r="D4558" s="1"/>
  <c r="C4557"/>
  <c r="D4557" s="1"/>
  <c r="C4556"/>
  <c r="D4556" s="1"/>
  <c r="C4555"/>
  <c r="D4555" s="1"/>
  <c r="C4554"/>
  <c r="D4554" s="1"/>
  <c r="C4553"/>
  <c r="D4553" s="1"/>
  <c r="C4552"/>
  <c r="D4552" s="1"/>
  <c r="C4551"/>
  <c r="D4551" s="1"/>
  <c r="C4550"/>
  <c r="D4550" s="1"/>
  <c r="C4549"/>
  <c r="D4549" s="1"/>
  <c r="C4548"/>
  <c r="D4548" s="1"/>
  <c r="C4547"/>
  <c r="D4547" s="1"/>
  <c r="C4546"/>
  <c r="D4546" s="1"/>
  <c r="C4545"/>
  <c r="D4545" s="1"/>
  <c r="C4544"/>
  <c r="D4544" s="1"/>
  <c r="C4543"/>
  <c r="D4543" s="1"/>
  <c r="C4542"/>
  <c r="D4542" s="1"/>
  <c r="C4541"/>
  <c r="D4541" s="1"/>
  <c r="C4540"/>
  <c r="D4540" s="1"/>
  <c r="C4539"/>
  <c r="D4539" s="1"/>
  <c r="C4538"/>
  <c r="D4538" s="1"/>
  <c r="C4537"/>
  <c r="D4537" s="1"/>
  <c r="C4536"/>
  <c r="D4536" s="1"/>
  <c r="C4535"/>
  <c r="D4535" s="1"/>
  <c r="C4534"/>
  <c r="D4534" s="1"/>
  <c r="C4533"/>
  <c r="D4533" s="1"/>
  <c r="C4532"/>
  <c r="D4532" s="1"/>
  <c r="C4531"/>
  <c r="D4531" s="1"/>
  <c r="C4530"/>
  <c r="D4530" s="1"/>
  <c r="C4529"/>
  <c r="D4529" s="1"/>
  <c r="C4528"/>
  <c r="D4528" s="1"/>
  <c r="C4527"/>
  <c r="D4527" s="1"/>
  <c r="C4526"/>
  <c r="D4526" s="1"/>
  <c r="C4525"/>
  <c r="D4525" s="1"/>
  <c r="C4524"/>
  <c r="D4524" s="1"/>
  <c r="C4523"/>
  <c r="D4523" s="1"/>
  <c r="C4522"/>
  <c r="D4522" s="1"/>
  <c r="C4521"/>
  <c r="D4521" s="1"/>
  <c r="C4520"/>
  <c r="D4520" s="1"/>
  <c r="C4519"/>
  <c r="D4519" s="1"/>
  <c r="C4518"/>
  <c r="D4518" s="1"/>
  <c r="C4517"/>
  <c r="D4517" s="1"/>
  <c r="C4516"/>
  <c r="D4516" s="1"/>
  <c r="C4515"/>
  <c r="D4515" s="1"/>
  <c r="C4514"/>
  <c r="D4514" s="1"/>
  <c r="C4513"/>
  <c r="D4513" s="1"/>
  <c r="C4512"/>
  <c r="D4512" s="1"/>
  <c r="C4511"/>
  <c r="D4511" s="1"/>
  <c r="C4510"/>
  <c r="D4510" s="1"/>
  <c r="C4509"/>
  <c r="D4509" s="1"/>
  <c r="C4508"/>
  <c r="D4508" s="1"/>
  <c r="C4507"/>
  <c r="D4507" s="1"/>
  <c r="C4506"/>
  <c r="D4506" s="1"/>
  <c r="C4505"/>
  <c r="D4505" s="1"/>
  <c r="C4504"/>
  <c r="D4504" s="1"/>
  <c r="C4503"/>
  <c r="D4503" s="1"/>
  <c r="C4502"/>
  <c r="D4502" s="1"/>
  <c r="C4501"/>
  <c r="D4501" s="1"/>
  <c r="C4500"/>
  <c r="D4500" s="1"/>
  <c r="C4499"/>
  <c r="D4499" s="1"/>
  <c r="C4498"/>
  <c r="D4498" s="1"/>
  <c r="C4497"/>
  <c r="D4497" s="1"/>
  <c r="C4496"/>
  <c r="D4496" s="1"/>
  <c r="C4495"/>
  <c r="D4495" s="1"/>
  <c r="C4494"/>
  <c r="D4494" s="1"/>
  <c r="C4493"/>
  <c r="D4493" s="1"/>
  <c r="C4492"/>
  <c r="D4492" s="1"/>
  <c r="C4491"/>
  <c r="D4491" s="1"/>
  <c r="C4490"/>
  <c r="D4490" s="1"/>
  <c r="C4489"/>
  <c r="D4489" s="1"/>
  <c r="C4488"/>
  <c r="D4488" s="1"/>
  <c r="C4487"/>
  <c r="D4487" s="1"/>
  <c r="C4486"/>
  <c r="D4486" s="1"/>
  <c r="C4485"/>
  <c r="D4485" s="1"/>
  <c r="C4484"/>
  <c r="D4484" s="1"/>
  <c r="C4483"/>
  <c r="D4483" s="1"/>
  <c r="C4482"/>
  <c r="D4482" s="1"/>
  <c r="C4481"/>
  <c r="D4481" s="1"/>
  <c r="C4480"/>
  <c r="D4480" s="1"/>
  <c r="C4479"/>
  <c r="D4479" s="1"/>
  <c r="C4478"/>
  <c r="D4478" s="1"/>
  <c r="C4477"/>
  <c r="D4477" s="1"/>
  <c r="C4476"/>
  <c r="D4476" s="1"/>
  <c r="C4475"/>
  <c r="D4475" s="1"/>
  <c r="C4474"/>
  <c r="D4474" s="1"/>
  <c r="C4473"/>
  <c r="D4473" s="1"/>
  <c r="C4472"/>
  <c r="D4472" s="1"/>
  <c r="C4471"/>
  <c r="D4471" s="1"/>
  <c r="C4470"/>
  <c r="D4470" s="1"/>
  <c r="C4469"/>
  <c r="D4469" s="1"/>
  <c r="C4468"/>
  <c r="D4468" s="1"/>
  <c r="C4467"/>
  <c r="D4467" s="1"/>
  <c r="C4466"/>
  <c r="D4466" s="1"/>
  <c r="C4465"/>
  <c r="D4465" s="1"/>
  <c r="C4464"/>
  <c r="D4464" s="1"/>
  <c r="C4463"/>
  <c r="D4463" s="1"/>
  <c r="C4462"/>
  <c r="D4462" s="1"/>
  <c r="C4461"/>
  <c r="D4461" s="1"/>
  <c r="C4460"/>
  <c r="D4460" s="1"/>
  <c r="C4459"/>
  <c r="D4459" s="1"/>
  <c r="C4458"/>
  <c r="D4458" s="1"/>
  <c r="C4457"/>
  <c r="D4457" s="1"/>
  <c r="C4456"/>
  <c r="D4456" s="1"/>
  <c r="C4455"/>
  <c r="D4455" s="1"/>
  <c r="C4454"/>
  <c r="D4454" s="1"/>
  <c r="C4453"/>
  <c r="D4453" s="1"/>
  <c r="C4452"/>
  <c r="D4452" s="1"/>
  <c r="C4451"/>
  <c r="D4451" s="1"/>
  <c r="C4450"/>
  <c r="D4450" s="1"/>
  <c r="C4449"/>
  <c r="D4449" s="1"/>
  <c r="C4448"/>
  <c r="D4448" s="1"/>
  <c r="C4447"/>
  <c r="D4447" s="1"/>
  <c r="C4446"/>
  <c r="D4446" s="1"/>
  <c r="C4445"/>
  <c r="D4445" s="1"/>
  <c r="C4444"/>
  <c r="D4444" s="1"/>
  <c r="C4443"/>
  <c r="D4443" s="1"/>
  <c r="C4442"/>
  <c r="D4442" s="1"/>
  <c r="C4441"/>
  <c r="D4441" s="1"/>
  <c r="C4440"/>
  <c r="D4440" s="1"/>
  <c r="C4439"/>
  <c r="D4439" s="1"/>
  <c r="C4438"/>
  <c r="D4438" s="1"/>
  <c r="C4437"/>
  <c r="D4437" s="1"/>
  <c r="C4436"/>
  <c r="D4436" s="1"/>
  <c r="C4435"/>
  <c r="D4435" s="1"/>
  <c r="C4434"/>
  <c r="D4434" s="1"/>
  <c r="C4433"/>
  <c r="D4433" s="1"/>
  <c r="C4432"/>
  <c r="D4432" s="1"/>
  <c r="C4431"/>
  <c r="D4431" s="1"/>
  <c r="C4430"/>
  <c r="D4430" s="1"/>
  <c r="C4429"/>
  <c r="D4429" s="1"/>
  <c r="C4428"/>
  <c r="D4428" s="1"/>
  <c r="C4427"/>
  <c r="D4427" s="1"/>
  <c r="C4426"/>
  <c r="D4426" s="1"/>
  <c r="C4425"/>
  <c r="D4425" s="1"/>
  <c r="C4424"/>
  <c r="D4424" s="1"/>
  <c r="C4423"/>
  <c r="D4423" s="1"/>
  <c r="C4422"/>
  <c r="D4422" s="1"/>
  <c r="C4421"/>
  <c r="D4421" s="1"/>
  <c r="C4420"/>
  <c r="D4420" s="1"/>
  <c r="C4419"/>
  <c r="D4419" s="1"/>
  <c r="C4418"/>
  <c r="D4418" s="1"/>
  <c r="C4417"/>
  <c r="D4417" s="1"/>
  <c r="C4416"/>
  <c r="D4416" s="1"/>
  <c r="C4415"/>
  <c r="D4415" s="1"/>
  <c r="C4414"/>
  <c r="D4414" s="1"/>
  <c r="C4413"/>
  <c r="D4413" s="1"/>
  <c r="C4412"/>
  <c r="D4412" s="1"/>
  <c r="C4411"/>
  <c r="D4411" s="1"/>
  <c r="C4410"/>
  <c r="D4410" s="1"/>
  <c r="C4409"/>
  <c r="D4409" s="1"/>
  <c r="C4408"/>
  <c r="D4408" s="1"/>
  <c r="C4407"/>
  <c r="D4407" s="1"/>
  <c r="C4406"/>
  <c r="D4406" s="1"/>
  <c r="C4405"/>
  <c r="D4405" s="1"/>
  <c r="C4404"/>
  <c r="D4404" s="1"/>
  <c r="C4403"/>
  <c r="D4403" s="1"/>
  <c r="C4402"/>
  <c r="D4402" s="1"/>
  <c r="C4401"/>
  <c r="D4401" s="1"/>
  <c r="C4400"/>
  <c r="D4400" s="1"/>
  <c r="C4399"/>
  <c r="D4399" s="1"/>
  <c r="C4398"/>
  <c r="D4398" s="1"/>
  <c r="C4397"/>
  <c r="D4397" s="1"/>
  <c r="C4396"/>
  <c r="D4396" s="1"/>
  <c r="C4395"/>
  <c r="D4395" s="1"/>
  <c r="C4394"/>
  <c r="D4394" s="1"/>
  <c r="C4393"/>
  <c r="D4393" s="1"/>
  <c r="C4392"/>
  <c r="D4392" s="1"/>
  <c r="C4391"/>
  <c r="D4391" s="1"/>
  <c r="C4390"/>
  <c r="D4390" s="1"/>
  <c r="C4389"/>
  <c r="D4389" s="1"/>
  <c r="C4388"/>
  <c r="D4388" s="1"/>
  <c r="C4387"/>
  <c r="D4387" s="1"/>
  <c r="C4386"/>
  <c r="D4386" s="1"/>
  <c r="C4385"/>
  <c r="D4385" s="1"/>
  <c r="C4384"/>
  <c r="D4384" s="1"/>
  <c r="C4383"/>
  <c r="D4383" s="1"/>
  <c r="C4382"/>
  <c r="D4382" s="1"/>
  <c r="C4381"/>
  <c r="D4381" s="1"/>
  <c r="C4380"/>
  <c r="D4380" s="1"/>
  <c r="C4379"/>
  <c r="D4379" s="1"/>
  <c r="C4378"/>
  <c r="D4378" s="1"/>
  <c r="C4377"/>
  <c r="D4377" s="1"/>
  <c r="C4376"/>
  <c r="D4376" s="1"/>
  <c r="C4375"/>
  <c r="D4375" s="1"/>
  <c r="C4374"/>
  <c r="D4374" s="1"/>
  <c r="C4373"/>
  <c r="D4373" s="1"/>
  <c r="C4372"/>
  <c r="D4372" s="1"/>
  <c r="C4371"/>
  <c r="D4371" s="1"/>
  <c r="C4370"/>
  <c r="D4370" s="1"/>
  <c r="C4369"/>
  <c r="D4369" s="1"/>
  <c r="C4368"/>
  <c r="D4368" s="1"/>
  <c r="C4367"/>
  <c r="D4367" s="1"/>
  <c r="C4366"/>
  <c r="D4366" s="1"/>
  <c r="C4365"/>
  <c r="D4365" s="1"/>
  <c r="C4364"/>
  <c r="D4364" s="1"/>
  <c r="C4363"/>
  <c r="D4363" s="1"/>
  <c r="C4362"/>
  <c r="D4362" s="1"/>
  <c r="C4361"/>
  <c r="D4361" s="1"/>
  <c r="C4360"/>
  <c r="D4360" s="1"/>
  <c r="C4359"/>
  <c r="D4359" s="1"/>
  <c r="C4358"/>
  <c r="D4358" s="1"/>
  <c r="C4357"/>
  <c r="D4357" s="1"/>
  <c r="C4356"/>
  <c r="D4356" s="1"/>
  <c r="C4355"/>
  <c r="D4355" s="1"/>
  <c r="C4354"/>
  <c r="D4354" s="1"/>
  <c r="C4353"/>
  <c r="D4353" s="1"/>
  <c r="C4352"/>
  <c r="D4352" s="1"/>
  <c r="C4351"/>
  <c r="D4351" s="1"/>
  <c r="C4350"/>
  <c r="D4350" s="1"/>
  <c r="C4349"/>
  <c r="D4349" s="1"/>
  <c r="C4348"/>
  <c r="D4348" s="1"/>
  <c r="C4347"/>
  <c r="D4347" s="1"/>
  <c r="C4346"/>
  <c r="D4346" s="1"/>
  <c r="C4345"/>
  <c r="D4345" s="1"/>
  <c r="C4344"/>
  <c r="D4344" s="1"/>
  <c r="C4343"/>
  <c r="D4343" s="1"/>
  <c r="C4342"/>
  <c r="D4342" s="1"/>
  <c r="C4341"/>
  <c r="D4341" s="1"/>
  <c r="C4340"/>
  <c r="D4340" s="1"/>
  <c r="C4339"/>
  <c r="D4339" s="1"/>
  <c r="C4338"/>
  <c r="D4338" s="1"/>
  <c r="C4337"/>
  <c r="D4337" s="1"/>
  <c r="C4336"/>
  <c r="D4336" s="1"/>
  <c r="C4335"/>
  <c r="D4335" s="1"/>
  <c r="C4334"/>
  <c r="D4334" s="1"/>
  <c r="C4333"/>
  <c r="D4333" s="1"/>
  <c r="C4332"/>
  <c r="D4332" s="1"/>
  <c r="C4331"/>
  <c r="D4331" s="1"/>
  <c r="C4330"/>
  <c r="D4330" s="1"/>
  <c r="C4329"/>
  <c r="D4329" s="1"/>
  <c r="C4328"/>
  <c r="D4328" s="1"/>
  <c r="C4327"/>
  <c r="D4327" s="1"/>
  <c r="C4326"/>
  <c r="D4326" s="1"/>
  <c r="C4325"/>
  <c r="D4325" s="1"/>
  <c r="C4324"/>
  <c r="D4324" s="1"/>
  <c r="C4323"/>
  <c r="D4323" s="1"/>
  <c r="C4322"/>
  <c r="D4322" s="1"/>
  <c r="C4321"/>
  <c r="D4321" s="1"/>
  <c r="C4320"/>
  <c r="D4320" s="1"/>
  <c r="C4319"/>
  <c r="D4319" s="1"/>
  <c r="C4318"/>
  <c r="D4318" s="1"/>
  <c r="C4317"/>
  <c r="D4317" s="1"/>
  <c r="C4316"/>
  <c r="D4316" s="1"/>
  <c r="C4315"/>
  <c r="D4315" s="1"/>
  <c r="C4314"/>
  <c r="D4314" s="1"/>
  <c r="C4313"/>
  <c r="D4313" s="1"/>
  <c r="C4312"/>
  <c r="D4312" s="1"/>
  <c r="C4311"/>
  <c r="D4311" s="1"/>
  <c r="C4310"/>
  <c r="D4310" s="1"/>
  <c r="C4309"/>
  <c r="D4309" s="1"/>
  <c r="C4308"/>
  <c r="D4308" s="1"/>
  <c r="C4307"/>
  <c r="D4307" s="1"/>
  <c r="C4306"/>
  <c r="D4306" s="1"/>
  <c r="C4305"/>
  <c r="D4305" s="1"/>
  <c r="C4304"/>
  <c r="D4304" s="1"/>
  <c r="C4303"/>
  <c r="D4303" s="1"/>
  <c r="C4302"/>
  <c r="D4302" s="1"/>
  <c r="C4301"/>
  <c r="D4301" s="1"/>
  <c r="C4300"/>
  <c r="D4300" s="1"/>
  <c r="C4299"/>
  <c r="D4299" s="1"/>
  <c r="C4298"/>
  <c r="D4298" s="1"/>
  <c r="C4297"/>
  <c r="D4297" s="1"/>
  <c r="C4296"/>
  <c r="D4296" s="1"/>
  <c r="C4295"/>
  <c r="D4295" s="1"/>
  <c r="C4294"/>
  <c r="D4294" s="1"/>
  <c r="C4293"/>
  <c r="D4293" s="1"/>
  <c r="C4292"/>
  <c r="D4292" s="1"/>
  <c r="C4291"/>
  <c r="D4291" s="1"/>
  <c r="C4290"/>
  <c r="D4290" s="1"/>
  <c r="C4289"/>
  <c r="D4289" s="1"/>
  <c r="C4288"/>
  <c r="D4288" s="1"/>
  <c r="C4287"/>
  <c r="D4287" s="1"/>
  <c r="C4286"/>
  <c r="D4286" s="1"/>
  <c r="C4285"/>
  <c r="D4285" s="1"/>
  <c r="C4284"/>
  <c r="D4284" s="1"/>
  <c r="C4283"/>
  <c r="D4283" s="1"/>
  <c r="C4282"/>
  <c r="D4282" s="1"/>
  <c r="C4281"/>
  <c r="D4281" s="1"/>
  <c r="C4280"/>
  <c r="D4280" s="1"/>
  <c r="C4279"/>
  <c r="D4279" s="1"/>
  <c r="C4278"/>
  <c r="D4278" s="1"/>
  <c r="C4277"/>
  <c r="D4277" s="1"/>
  <c r="C4276"/>
  <c r="D4276" s="1"/>
  <c r="C4275"/>
  <c r="D4275" s="1"/>
  <c r="C4274"/>
  <c r="D4274" s="1"/>
  <c r="C4273"/>
  <c r="D4273" s="1"/>
  <c r="C4272"/>
  <c r="D4272" s="1"/>
  <c r="C4271"/>
  <c r="D4271" s="1"/>
  <c r="C4270"/>
  <c r="D4270" s="1"/>
  <c r="C4269"/>
  <c r="D4269" s="1"/>
  <c r="C4268"/>
  <c r="D4268" s="1"/>
  <c r="C4267"/>
  <c r="D4267" s="1"/>
  <c r="C4266"/>
  <c r="D4266" s="1"/>
  <c r="C4265"/>
  <c r="D4265" s="1"/>
  <c r="C4264"/>
  <c r="D4264" s="1"/>
  <c r="C4263"/>
  <c r="D4263" s="1"/>
  <c r="C4262"/>
  <c r="D4262" s="1"/>
  <c r="C4261"/>
  <c r="D4261" s="1"/>
  <c r="C4260"/>
  <c r="D4260" s="1"/>
  <c r="C4259"/>
  <c r="D4259" s="1"/>
  <c r="C4258"/>
  <c r="D4258" s="1"/>
  <c r="C4257"/>
  <c r="D4257" s="1"/>
  <c r="C4256"/>
  <c r="D4256" s="1"/>
  <c r="C4255"/>
  <c r="D4255" s="1"/>
  <c r="C4254"/>
  <c r="D4254" s="1"/>
  <c r="C4253"/>
  <c r="D4253" s="1"/>
  <c r="C4252"/>
  <c r="D4252" s="1"/>
  <c r="C4251"/>
  <c r="D4251" s="1"/>
  <c r="C4250"/>
  <c r="D4250" s="1"/>
  <c r="C4249"/>
  <c r="D4249" s="1"/>
  <c r="C4248"/>
  <c r="D4248" s="1"/>
  <c r="C4247"/>
  <c r="D4247" s="1"/>
  <c r="C4246"/>
  <c r="D4246" s="1"/>
  <c r="C4245"/>
  <c r="D4245" s="1"/>
  <c r="C4244"/>
  <c r="D4244" s="1"/>
  <c r="C4243"/>
  <c r="D4243" s="1"/>
  <c r="C4242"/>
  <c r="D4242" s="1"/>
  <c r="C4241"/>
  <c r="D4241" s="1"/>
  <c r="C4240"/>
  <c r="D4240" s="1"/>
  <c r="C4239"/>
  <c r="D4239" s="1"/>
  <c r="C4238"/>
  <c r="D4238" s="1"/>
  <c r="C4237"/>
  <c r="D4237" s="1"/>
  <c r="C4236"/>
  <c r="D4236" s="1"/>
  <c r="C4235"/>
  <c r="D4235" s="1"/>
  <c r="C4234"/>
  <c r="D4234" s="1"/>
  <c r="C4233"/>
  <c r="D4233" s="1"/>
  <c r="C4232"/>
  <c r="D4232" s="1"/>
  <c r="C4231"/>
  <c r="D4231" s="1"/>
  <c r="C4230"/>
  <c r="D4230" s="1"/>
  <c r="C4229"/>
  <c r="D4229" s="1"/>
  <c r="C4228"/>
  <c r="D4228" s="1"/>
  <c r="C4227"/>
  <c r="D4227" s="1"/>
  <c r="C4226"/>
  <c r="D4226" s="1"/>
  <c r="C4225"/>
  <c r="D4225" s="1"/>
  <c r="C4224"/>
  <c r="D4224" s="1"/>
  <c r="C4223"/>
  <c r="D4223" s="1"/>
  <c r="C4222"/>
  <c r="D4222" s="1"/>
  <c r="C4221"/>
  <c r="D4221" s="1"/>
  <c r="C4220"/>
  <c r="D4220" s="1"/>
  <c r="C4219"/>
  <c r="D4219" s="1"/>
  <c r="C4218"/>
  <c r="D4218" s="1"/>
  <c r="C4217"/>
  <c r="D4217" s="1"/>
  <c r="C4216"/>
  <c r="D4216" s="1"/>
  <c r="C4215"/>
  <c r="D4215" s="1"/>
  <c r="C4214"/>
  <c r="D4214" s="1"/>
  <c r="C4213"/>
  <c r="D4213" s="1"/>
  <c r="C4212"/>
  <c r="D4212" s="1"/>
  <c r="C4211"/>
  <c r="D4211" s="1"/>
  <c r="C4210"/>
  <c r="D4210" s="1"/>
  <c r="C4209"/>
  <c r="D4209" s="1"/>
  <c r="C4208"/>
  <c r="D4208" s="1"/>
  <c r="C4207"/>
  <c r="D4207" s="1"/>
  <c r="C4206"/>
  <c r="D4206" s="1"/>
  <c r="C4205"/>
  <c r="D4205" s="1"/>
  <c r="C4204"/>
  <c r="D4204" s="1"/>
  <c r="C4203"/>
  <c r="D4203" s="1"/>
  <c r="C4202"/>
  <c r="D4202" s="1"/>
  <c r="C4201"/>
  <c r="D4201" s="1"/>
  <c r="C4200"/>
  <c r="D4200" s="1"/>
  <c r="C4199"/>
  <c r="D4199" s="1"/>
  <c r="C4198"/>
  <c r="D4198" s="1"/>
  <c r="C4197"/>
  <c r="D4197" s="1"/>
  <c r="C4196"/>
  <c r="D4196" s="1"/>
  <c r="C4195"/>
  <c r="D4195" s="1"/>
  <c r="C4194"/>
  <c r="D4194" s="1"/>
  <c r="C4193"/>
  <c r="D4193" s="1"/>
  <c r="C4192"/>
  <c r="D4192" s="1"/>
  <c r="C4191"/>
  <c r="D4191" s="1"/>
  <c r="C4190"/>
  <c r="D4190" s="1"/>
  <c r="C4189"/>
  <c r="D4189" s="1"/>
  <c r="C4188"/>
  <c r="D4188" s="1"/>
  <c r="C4187"/>
  <c r="D4187" s="1"/>
  <c r="C4186"/>
  <c r="D4186" s="1"/>
  <c r="C4185"/>
  <c r="D4185" s="1"/>
  <c r="C4184"/>
  <c r="D4184" s="1"/>
  <c r="C4183"/>
  <c r="D4183" s="1"/>
  <c r="C4182"/>
  <c r="D4182" s="1"/>
  <c r="C4181"/>
  <c r="D4181" s="1"/>
  <c r="C4180"/>
  <c r="D4180" s="1"/>
  <c r="C4179"/>
  <c r="D4179" s="1"/>
  <c r="C4178"/>
  <c r="D4178" s="1"/>
  <c r="C4177"/>
  <c r="D4177" s="1"/>
  <c r="C4176"/>
  <c r="D4176" s="1"/>
  <c r="C4175"/>
  <c r="D4175" s="1"/>
  <c r="C4174"/>
  <c r="D4174" s="1"/>
  <c r="C4173"/>
  <c r="D4173" s="1"/>
  <c r="C4172"/>
  <c r="D4172" s="1"/>
  <c r="C4171"/>
  <c r="D4171" s="1"/>
  <c r="C4170"/>
  <c r="D4170" s="1"/>
  <c r="C4169"/>
  <c r="D4169" s="1"/>
  <c r="C4168"/>
  <c r="D4168" s="1"/>
  <c r="C4167"/>
  <c r="D4167" s="1"/>
  <c r="C4166"/>
  <c r="D4166" s="1"/>
  <c r="C4165"/>
  <c r="D4165" s="1"/>
  <c r="C4164"/>
  <c r="D4164" s="1"/>
  <c r="C4163"/>
  <c r="D4163" s="1"/>
  <c r="C4162"/>
  <c r="D4162" s="1"/>
  <c r="C4161"/>
  <c r="D4161" s="1"/>
  <c r="C4160"/>
  <c r="D4160" s="1"/>
  <c r="C4159"/>
  <c r="D4159" s="1"/>
  <c r="C4158"/>
  <c r="D4158" s="1"/>
  <c r="C4157"/>
  <c r="D4157" s="1"/>
  <c r="C4156"/>
  <c r="D4156" s="1"/>
  <c r="C4155"/>
  <c r="D4155" s="1"/>
  <c r="C4154"/>
  <c r="D4154" s="1"/>
  <c r="C4153"/>
  <c r="D4153" s="1"/>
  <c r="C4152"/>
  <c r="D4152" s="1"/>
  <c r="C4151"/>
  <c r="D4151" s="1"/>
  <c r="C4150"/>
  <c r="D4150" s="1"/>
  <c r="C4149"/>
  <c r="D4149" s="1"/>
  <c r="C4148"/>
  <c r="D4148" s="1"/>
  <c r="C4147"/>
  <c r="D4147" s="1"/>
  <c r="C4146"/>
  <c r="D4146" s="1"/>
  <c r="C4145"/>
  <c r="D4145" s="1"/>
  <c r="C4144"/>
  <c r="D4144" s="1"/>
  <c r="C4143"/>
  <c r="D4143" s="1"/>
  <c r="C4142"/>
  <c r="D4142" s="1"/>
  <c r="C4141"/>
  <c r="D4141" s="1"/>
  <c r="C4140"/>
  <c r="D4140" s="1"/>
  <c r="C4139"/>
  <c r="D4139" s="1"/>
  <c r="C4138"/>
  <c r="D4138" s="1"/>
  <c r="C4137"/>
  <c r="D4137" s="1"/>
  <c r="C4136"/>
  <c r="D4136" s="1"/>
  <c r="C4135"/>
  <c r="D4135" s="1"/>
  <c r="C4134"/>
  <c r="D4134" s="1"/>
  <c r="C4133"/>
  <c r="D4133" s="1"/>
  <c r="C4132"/>
  <c r="D4132" s="1"/>
  <c r="C4131"/>
  <c r="D4131" s="1"/>
  <c r="C4130"/>
  <c r="D4130" s="1"/>
  <c r="C4129"/>
  <c r="D4129" s="1"/>
  <c r="C4128"/>
  <c r="D4128" s="1"/>
  <c r="C4127"/>
  <c r="D4127" s="1"/>
  <c r="C4126"/>
  <c r="D4126" s="1"/>
  <c r="C4125"/>
  <c r="D4125" s="1"/>
  <c r="C4124"/>
  <c r="D4124" s="1"/>
  <c r="C4123"/>
  <c r="D4123" s="1"/>
  <c r="C4122"/>
  <c r="D4122" s="1"/>
  <c r="C4121"/>
  <c r="D4121" s="1"/>
  <c r="C4120"/>
  <c r="D4120" s="1"/>
  <c r="D4119"/>
  <c r="C4119"/>
  <c r="D4118"/>
  <c r="C4118"/>
  <c r="D4117"/>
  <c r="C4117"/>
  <c r="D4116"/>
  <c r="C4116"/>
  <c r="D4115"/>
  <c r="C4115"/>
  <c r="D4114"/>
  <c r="C4114"/>
  <c r="D4113"/>
  <c r="C4113"/>
  <c r="D4112"/>
  <c r="C4112"/>
  <c r="D4111"/>
  <c r="C4111"/>
  <c r="D4110"/>
  <c r="C4110"/>
  <c r="D4109"/>
  <c r="C4109"/>
  <c r="D4108"/>
  <c r="C4108"/>
  <c r="D4107"/>
  <c r="C4107"/>
  <c r="D4106"/>
  <c r="C4106"/>
  <c r="D4105"/>
  <c r="C4105"/>
  <c r="D4104"/>
  <c r="C4104"/>
  <c r="D4103"/>
  <c r="C4103"/>
  <c r="D4102"/>
  <c r="C4102"/>
  <c r="D4101"/>
  <c r="C4101"/>
  <c r="D4100"/>
  <c r="C4100"/>
  <c r="D4099"/>
  <c r="C4099"/>
  <c r="D4098"/>
  <c r="C4098"/>
  <c r="D4097"/>
  <c r="C4097"/>
  <c r="D4096"/>
  <c r="C4096"/>
  <c r="D4095"/>
  <c r="C4095"/>
  <c r="D4094"/>
  <c r="C4094"/>
  <c r="D4093"/>
  <c r="C4093"/>
  <c r="D4092"/>
  <c r="C4092"/>
  <c r="D4091"/>
  <c r="C4091"/>
  <c r="D4090"/>
  <c r="C4090"/>
  <c r="D4089"/>
  <c r="C4089"/>
  <c r="D4088"/>
  <c r="C4088"/>
  <c r="D4087"/>
  <c r="C4087"/>
  <c r="D4086"/>
  <c r="C4086"/>
  <c r="D4085"/>
  <c r="C4085"/>
  <c r="D4084"/>
  <c r="C4084"/>
  <c r="D4083"/>
  <c r="C4083"/>
  <c r="D4082"/>
  <c r="C4082"/>
  <c r="D4081"/>
  <c r="C4081"/>
  <c r="D4080"/>
  <c r="C4080"/>
  <c r="D4079"/>
  <c r="C4079"/>
  <c r="D4078"/>
  <c r="C4078"/>
  <c r="D4077"/>
  <c r="C4077"/>
  <c r="D4076"/>
  <c r="C4076"/>
  <c r="D4075"/>
  <c r="C4075"/>
  <c r="D4074"/>
  <c r="C4074"/>
  <c r="D4073"/>
  <c r="C4073"/>
  <c r="D4072"/>
  <c r="C4072"/>
  <c r="D4071"/>
  <c r="C4071"/>
  <c r="D4070"/>
  <c r="C4070"/>
  <c r="D4069"/>
  <c r="C4069"/>
  <c r="D4068"/>
  <c r="C4068"/>
  <c r="D4067"/>
  <c r="C4067"/>
  <c r="D4066"/>
  <c r="C4066"/>
  <c r="D4065"/>
  <c r="C4065"/>
  <c r="D4064"/>
  <c r="C4064"/>
  <c r="D4063"/>
  <c r="C4063"/>
  <c r="D4062"/>
  <c r="C4062"/>
  <c r="D4061"/>
  <c r="C4061"/>
  <c r="D4060"/>
  <c r="C4060"/>
  <c r="D4059"/>
  <c r="C4059"/>
  <c r="D4058"/>
  <c r="C4058"/>
  <c r="D4057"/>
  <c r="C4057"/>
  <c r="D4056"/>
  <c r="C4056"/>
  <c r="D4055"/>
  <c r="C4055"/>
  <c r="D4054"/>
  <c r="C4054"/>
  <c r="D4053"/>
  <c r="C4053"/>
  <c r="D4052"/>
  <c r="C4052"/>
  <c r="D4051"/>
  <c r="C4051"/>
  <c r="D4050"/>
  <c r="C4050"/>
  <c r="D4049"/>
  <c r="C4049"/>
  <c r="D4048"/>
  <c r="C4048"/>
  <c r="D4047"/>
  <c r="C4047"/>
  <c r="D4046"/>
  <c r="C4046"/>
  <c r="D4045"/>
  <c r="C4045"/>
  <c r="D4044"/>
  <c r="C4044"/>
  <c r="D4043"/>
  <c r="C4043"/>
  <c r="D4042"/>
  <c r="C4042"/>
  <c r="D4041"/>
  <c r="C4041"/>
  <c r="D4040"/>
  <c r="C4040"/>
  <c r="D4039"/>
  <c r="C4039"/>
  <c r="D4038"/>
  <c r="C4038"/>
  <c r="D4037"/>
  <c r="C4037"/>
  <c r="D4036"/>
  <c r="C4036"/>
  <c r="D4035"/>
  <c r="C4035"/>
  <c r="D4034"/>
  <c r="C4034"/>
  <c r="D4033"/>
  <c r="C4033"/>
  <c r="D4032"/>
  <c r="C4032"/>
  <c r="D4031"/>
  <c r="C4031"/>
  <c r="D4030"/>
  <c r="C4030"/>
  <c r="D4029"/>
  <c r="C4029"/>
  <c r="D4028"/>
  <c r="C4028"/>
  <c r="D4027"/>
  <c r="C4027"/>
  <c r="D4026"/>
  <c r="C4026"/>
  <c r="D4025"/>
  <c r="C4025"/>
  <c r="D4024"/>
  <c r="C4024"/>
  <c r="D4023"/>
  <c r="C4023"/>
  <c r="D4022"/>
  <c r="C4022"/>
  <c r="D4021"/>
  <c r="C4021"/>
  <c r="D4020"/>
  <c r="C4020"/>
  <c r="D4019"/>
  <c r="C4019"/>
  <c r="D4018"/>
  <c r="C4018"/>
  <c r="D4017"/>
  <c r="C4017"/>
  <c r="D4016"/>
  <c r="C4016"/>
  <c r="D4015"/>
  <c r="C4015"/>
  <c r="D4014"/>
  <c r="C4014"/>
  <c r="D4013"/>
  <c r="C4013"/>
  <c r="D4012"/>
  <c r="C4012"/>
  <c r="D4011"/>
  <c r="C4011"/>
  <c r="D4010"/>
  <c r="C4010"/>
  <c r="D4009"/>
  <c r="C4009"/>
  <c r="D4008"/>
  <c r="C4008"/>
  <c r="D4007"/>
  <c r="C4007"/>
  <c r="D4006"/>
  <c r="C4006"/>
  <c r="D4005"/>
  <c r="C4005"/>
  <c r="D4004"/>
  <c r="C4004"/>
  <c r="D4003"/>
  <c r="C4003"/>
  <c r="D4002"/>
  <c r="C4002"/>
  <c r="D4001"/>
  <c r="C4001"/>
  <c r="D4000"/>
  <c r="C4000"/>
  <c r="D3999"/>
  <c r="C3999"/>
  <c r="D3998"/>
  <c r="C3998"/>
  <c r="D3997"/>
  <c r="C3997"/>
  <c r="D3996"/>
  <c r="C3996"/>
  <c r="D3995"/>
  <c r="C3995"/>
  <c r="D3994"/>
  <c r="C3994"/>
  <c r="D3993"/>
  <c r="C3993"/>
  <c r="D3992"/>
  <c r="C3992"/>
  <c r="D3991"/>
  <c r="C3991"/>
  <c r="D3990"/>
  <c r="C3990"/>
  <c r="D3989"/>
  <c r="C3989"/>
  <c r="D3988"/>
  <c r="C3988"/>
  <c r="D3987"/>
  <c r="C3987"/>
  <c r="D3986"/>
  <c r="C3986"/>
  <c r="D3985"/>
  <c r="C3985"/>
  <c r="D3984"/>
  <c r="C3984"/>
  <c r="D3983"/>
  <c r="C3983"/>
  <c r="D3982"/>
  <c r="C3982"/>
  <c r="D3981"/>
  <c r="C3981"/>
  <c r="D3980"/>
  <c r="C3980"/>
  <c r="D3979"/>
  <c r="C3979"/>
  <c r="D3978"/>
  <c r="C3978"/>
  <c r="D3977"/>
  <c r="C3977"/>
  <c r="D3976"/>
  <c r="C3976"/>
  <c r="D3975"/>
  <c r="C3975"/>
  <c r="D3974"/>
  <c r="C3974"/>
  <c r="D3973"/>
  <c r="C3973"/>
  <c r="D3972"/>
  <c r="C3972"/>
  <c r="D3971"/>
  <c r="C3971"/>
  <c r="D3970"/>
  <c r="C3970"/>
  <c r="D3969"/>
  <c r="C3969"/>
  <c r="D3968"/>
  <c r="C3968"/>
  <c r="D3967"/>
  <c r="C3967"/>
  <c r="D3966"/>
  <c r="C3966"/>
  <c r="D3965"/>
  <c r="C3965"/>
  <c r="D3964"/>
  <c r="C3964"/>
  <c r="D3963"/>
  <c r="C3963"/>
  <c r="D3962"/>
  <c r="C3962"/>
  <c r="D3961"/>
  <c r="C3961"/>
  <c r="D3960"/>
  <c r="C3960"/>
  <c r="D3959"/>
  <c r="C3959"/>
  <c r="D3958"/>
  <c r="C3958"/>
  <c r="D3957"/>
  <c r="C3957"/>
  <c r="D3956"/>
  <c r="C3956"/>
  <c r="D3955"/>
  <c r="C3955"/>
  <c r="D3954"/>
  <c r="C3954"/>
  <c r="D3953"/>
  <c r="C3953"/>
  <c r="D3952"/>
  <c r="C3952"/>
  <c r="D3951"/>
  <c r="C3951"/>
  <c r="D3950"/>
  <c r="C3950"/>
  <c r="D3949"/>
  <c r="C3949"/>
  <c r="D3948"/>
  <c r="C3948"/>
  <c r="D3947"/>
  <c r="C3947"/>
  <c r="D3946"/>
  <c r="C3946"/>
  <c r="D3945"/>
  <c r="C3945"/>
  <c r="D3944"/>
  <c r="C3944"/>
  <c r="D3943"/>
  <c r="C3943"/>
  <c r="D3942"/>
  <c r="C3942"/>
  <c r="D3941"/>
  <c r="C3941"/>
  <c r="D3940"/>
  <c r="C3940"/>
  <c r="D3939"/>
  <c r="C3939"/>
  <c r="D3938"/>
  <c r="C3938"/>
  <c r="D3937"/>
  <c r="C3937"/>
  <c r="D3936"/>
  <c r="C3936"/>
  <c r="D3935"/>
  <c r="C3935"/>
  <c r="D3934"/>
  <c r="C3934"/>
  <c r="D3933"/>
  <c r="C3933"/>
  <c r="D3932"/>
  <c r="C3932"/>
  <c r="D3931"/>
  <c r="C3931"/>
  <c r="D3930"/>
  <c r="C3930"/>
  <c r="D3929"/>
  <c r="C3929"/>
  <c r="D3928"/>
  <c r="C3928"/>
  <c r="D3927"/>
  <c r="C3927"/>
  <c r="D3926"/>
  <c r="C3926"/>
  <c r="D3925"/>
  <c r="C3925"/>
  <c r="D3924"/>
  <c r="C3924"/>
  <c r="D3923"/>
  <c r="C3923"/>
  <c r="D3922"/>
  <c r="C3922"/>
  <c r="D3921"/>
  <c r="C3921"/>
  <c r="D3920"/>
  <c r="C3920"/>
  <c r="D3919"/>
  <c r="C3919"/>
  <c r="D3918"/>
  <c r="C3918"/>
  <c r="D3917"/>
  <c r="C3917"/>
  <c r="D3916"/>
  <c r="C3916"/>
  <c r="D3915"/>
  <c r="C3915"/>
  <c r="D3914"/>
  <c r="C3914"/>
  <c r="D3913"/>
  <c r="C3913"/>
  <c r="D3912"/>
  <c r="C3912"/>
  <c r="D3911"/>
  <c r="C3911"/>
  <c r="D3910"/>
  <c r="C3910"/>
  <c r="D3909"/>
  <c r="C3909"/>
  <c r="D3908"/>
  <c r="C3908"/>
  <c r="D3907"/>
  <c r="C3907"/>
  <c r="D3906"/>
  <c r="C3906"/>
  <c r="D3905"/>
  <c r="C3905"/>
  <c r="D3904"/>
  <c r="C3904"/>
  <c r="D3903"/>
  <c r="C3903"/>
  <c r="D3902"/>
  <c r="C3902"/>
  <c r="D3901"/>
  <c r="C3901"/>
  <c r="D3900"/>
  <c r="C3900"/>
  <c r="D3899"/>
  <c r="C3899"/>
  <c r="D3898"/>
  <c r="C3898"/>
  <c r="D3897"/>
  <c r="C3897"/>
  <c r="D3896"/>
  <c r="C3896"/>
  <c r="D3895"/>
  <c r="C3895"/>
  <c r="D3894"/>
  <c r="C3894"/>
  <c r="D3893"/>
  <c r="C3893"/>
  <c r="D3892"/>
  <c r="C3892"/>
  <c r="D3891"/>
  <c r="C3891"/>
  <c r="D3890"/>
  <c r="C3890"/>
  <c r="D3889"/>
  <c r="C3889"/>
  <c r="D3888"/>
  <c r="C3888"/>
  <c r="D3887"/>
  <c r="C3887"/>
  <c r="D3886"/>
  <c r="C3886"/>
  <c r="D3885"/>
  <c r="C3885"/>
  <c r="D3884"/>
  <c r="C3884"/>
  <c r="D3883"/>
  <c r="C3883"/>
  <c r="D3882"/>
  <c r="C3882"/>
  <c r="D3881"/>
  <c r="C3881"/>
  <c r="D3880"/>
  <c r="C3880"/>
  <c r="D3879"/>
  <c r="C3879"/>
  <c r="D3878"/>
  <c r="C3878"/>
  <c r="D3877"/>
  <c r="C3877"/>
  <c r="D3876"/>
  <c r="C3876"/>
  <c r="D3875"/>
  <c r="C3875"/>
  <c r="D3874"/>
  <c r="C3874"/>
  <c r="D3873"/>
  <c r="C3873"/>
  <c r="D3872"/>
  <c r="C3872"/>
  <c r="D3871"/>
  <c r="C3871"/>
  <c r="D3870"/>
  <c r="C3870"/>
  <c r="D3869"/>
  <c r="C3869"/>
  <c r="D3868"/>
  <c r="C3868"/>
  <c r="D3867"/>
  <c r="C3867"/>
  <c r="D3866"/>
  <c r="C3866"/>
  <c r="D3865"/>
  <c r="C3865"/>
  <c r="D3864"/>
  <c r="C3864"/>
  <c r="D3863"/>
  <c r="C3863"/>
  <c r="D3862"/>
  <c r="C3862"/>
  <c r="D3861"/>
  <c r="C3861"/>
  <c r="D3860"/>
  <c r="C3860"/>
  <c r="D3859"/>
  <c r="C3859"/>
  <c r="D3858"/>
  <c r="C3858"/>
  <c r="D3857"/>
  <c r="C3857"/>
  <c r="D3856"/>
  <c r="C3856"/>
  <c r="D3855"/>
  <c r="C3855"/>
  <c r="D3854"/>
  <c r="C3854"/>
  <c r="D3853"/>
  <c r="C3853"/>
  <c r="D3852"/>
  <c r="C3852"/>
  <c r="D3851"/>
  <c r="C3851"/>
  <c r="D3850"/>
  <c r="C3850"/>
  <c r="D3849"/>
  <c r="C3849"/>
  <c r="D3848"/>
  <c r="C3848"/>
  <c r="D3847"/>
  <c r="C3847"/>
  <c r="D3846"/>
  <c r="C3846"/>
  <c r="D3845"/>
  <c r="C3845"/>
  <c r="D3844"/>
  <c r="C3844"/>
  <c r="D3843"/>
  <c r="C3843"/>
  <c r="D3842"/>
  <c r="C3842"/>
  <c r="D3841"/>
  <c r="C3841"/>
  <c r="D3840"/>
  <c r="C3840"/>
  <c r="D3839"/>
  <c r="C3839"/>
  <c r="D3838"/>
  <c r="C3838"/>
  <c r="D3837"/>
  <c r="C3837"/>
  <c r="D3836"/>
  <c r="C3836"/>
  <c r="D3835"/>
  <c r="C3835"/>
  <c r="D3834"/>
  <c r="C3834"/>
  <c r="D3833"/>
  <c r="C3833"/>
  <c r="D3832"/>
  <c r="C3832"/>
  <c r="D3831"/>
  <c r="C3831"/>
  <c r="D3830"/>
  <c r="C3830"/>
  <c r="D3829"/>
  <c r="C3829"/>
  <c r="D3828"/>
  <c r="C3828"/>
  <c r="D3827"/>
  <c r="C3827"/>
  <c r="D3826"/>
  <c r="C3826"/>
  <c r="D3825"/>
  <c r="C3825"/>
  <c r="D3824"/>
  <c r="C3824"/>
  <c r="D3823"/>
  <c r="C3823"/>
  <c r="D3822"/>
  <c r="C3822"/>
  <c r="D3821"/>
  <c r="C3821"/>
  <c r="D3820"/>
  <c r="C3820"/>
  <c r="D3819"/>
  <c r="C3819"/>
  <c r="D3818"/>
  <c r="C3818"/>
  <c r="D3817"/>
  <c r="C3817"/>
  <c r="D3816"/>
  <c r="C3816"/>
  <c r="D3815"/>
  <c r="C3815"/>
  <c r="D3814"/>
  <c r="C3814"/>
  <c r="D3813"/>
  <c r="C3813"/>
  <c r="D3812"/>
  <c r="C3812"/>
  <c r="D3811"/>
  <c r="C3811"/>
  <c r="D3810"/>
  <c r="C3810"/>
  <c r="D3809"/>
  <c r="C3809"/>
  <c r="D3808"/>
  <c r="C3808"/>
  <c r="D3807"/>
  <c r="C3807"/>
  <c r="D3806"/>
  <c r="C3806"/>
  <c r="D3805"/>
  <c r="C3805"/>
  <c r="D3804"/>
  <c r="C3804"/>
  <c r="D3803"/>
  <c r="C3803"/>
  <c r="D3802"/>
  <c r="C3802"/>
  <c r="D3801"/>
  <c r="C3801"/>
  <c r="D3800"/>
  <c r="C3800"/>
  <c r="D3799"/>
  <c r="C3799"/>
  <c r="D3798"/>
  <c r="C3798"/>
  <c r="D3797"/>
  <c r="C3797"/>
  <c r="D3796"/>
  <c r="C3796"/>
  <c r="D3795"/>
  <c r="C3795"/>
  <c r="D3794"/>
  <c r="C3794"/>
  <c r="D3793"/>
  <c r="C3793"/>
  <c r="D3792"/>
  <c r="C3792"/>
  <c r="D3791"/>
  <c r="C3791"/>
  <c r="D3790"/>
  <c r="C3790"/>
  <c r="D3789"/>
  <c r="C3789"/>
  <c r="D3788"/>
  <c r="C3788"/>
  <c r="D3787"/>
  <c r="C3787"/>
  <c r="D3786"/>
  <c r="C3786"/>
  <c r="D3785"/>
  <c r="C3785"/>
  <c r="D3784"/>
  <c r="C3784"/>
  <c r="D3783"/>
  <c r="C3783"/>
  <c r="D3782"/>
  <c r="C3782"/>
  <c r="D3781"/>
  <c r="C3781"/>
  <c r="D3780"/>
  <c r="C3780"/>
  <c r="D3779"/>
  <c r="C3779"/>
  <c r="D3778"/>
  <c r="C3778"/>
  <c r="D3777"/>
  <c r="C3777"/>
  <c r="D3776"/>
  <c r="C3776"/>
  <c r="D3775"/>
  <c r="C3775"/>
  <c r="D3774"/>
  <c r="C3774"/>
  <c r="D3773"/>
  <c r="C3773"/>
  <c r="D3772"/>
  <c r="C3772"/>
  <c r="D3771"/>
  <c r="C3771"/>
  <c r="D3770"/>
  <c r="C3770"/>
  <c r="D3769"/>
  <c r="C3769"/>
  <c r="D3768"/>
  <c r="C3768"/>
  <c r="D3767"/>
  <c r="C3767"/>
  <c r="D3766"/>
  <c r="C3766"/>
  <c r="D3765"/>
  <c r="C3765"/>
  <c r="D3764"/>
  <c r="C3764"/>
  <c r="D3763"/>
  <c r="C3763"/>
  <c r="D3762"/>
  <c r="C3762"/>
  <c r="D3761"/>
  <c r="C3761"/>
  <c r="D3760"/>
  <c r="C3760"/>
  <c r="D3759"/>
  <c r="C3759"/>
  <c r="D3758"/>
  <c r="C3758"/>
  <c r="D3757"/>
  <c r="C3757"/>
  <c r="D3756"/>
  <c r="C3756"/>
  <c r="D3755"/>
  <c r="C3755"/>
  <c r="D3754"/>
  <c r="C3754"/>
  <c r="D3753"/>
  <c r="C3753"/>
  <c r="D3752"/>
  <c r="C3752"/>
  <c r="D3751"/>
  <c r="C3751"/>
  <c r="D3750"/>
  <c r="C3750"/>
  <c r="D3749"/>
  <c r="C3749"/>
  <c r="D3748"/>
  <c r="C3748"/>
  <c r="D3747"/>
  <c r="C3747"/>
  <c r="D3746"/>
  <c r="C3746"/>
  <c r="D3745"/>
  <c r="C3745"/>
  <c r="D3744"/>
  <c r="C3744"/>
  <c r="D3743"/>
  <c r="C3743"/>
  <c r="D3742"/>
  <c r="C3742"/>
  <c r="D3741"/>
  <c r="C3741"/>
  <c r="D3740"/>
  <c r="C3740"/>
  <c r="D3739"/>
  <c r="C3739"/>
  <c r="D3738"/>
  <c r="C3738"/>
  <c r="D3737"/>
  <c r="C3737"/>
  <c r="D3736"/>
  <c r="C3736"/>
  <c r="D3735"/>
  <c r="C3735"/>
  <c r="D3734"/>
  <c r="C3734"/>
  <c r="D3733"/>
  <c r="C3733"/>
  <c r="D3732"/>
  <c r="C3732"/>
  <c r="D3731"/>
  <c r="C3731"/>
  <c r="D3730"/>
  <c r="C3730"/>
  <c r="D3729"/>
  <c r="C3729"/>
  <c r="D3728"/>
  <c r="C3728"/>
  <c r="D3727"/>
  <c r="C3727"/>
  <c r="D3726"/>
  <c r="C3726"/>
  <c r="D3725"/>
  <c r="C3725"/>
  <c r="D3724"/>
  <c r="C3724"/>
  <c r="D3723"/>
  <c r="C3723"/>
  <c r="D3722"/>
  <c r="C3722"/>
  <c r="D3721"/>
  <c r="C3721"/>
  <c r="D3720"/>
  <c r="C3720"/>
  <c r="D3719"/>
  <c r="C3719"/>
  <c r="D3718"/>
  <c r="C3718"/>
  <c r="D3717"/>
  <c r="C3717"/>
  <c r="D3716"/>
  <c r="C3716"/>
  <c r="D3715"/>
  <c r="C3715"/>
  <c r="D3714"/>
  <c r="C3714"/>
  <c r="D3713"/>
  <c r="C3713"/>
  <c r="D3712"/>
  <c r="C3712"/>
  <c r="D3711"/>
  <c r="C3711"/>
  <c r="D3710"/>
  <c r="C3710"/>
  <c r="D3709"/>
  <c r="C3709"/>
  <c r="D3708"/>
  <c r="C3708"/>
  <c r="D3707"/>
  <c r="C3707"/>
  <c r="D3706"/>
  <c r="C3706"/>
  <c r="D3705"/>
  <c r="C3705"/>
  <c r="D3704"/>
  <c r="C3704"/>
  <c r="D3703"/>
  <c r="C3703"/>
  <c r="D3702"/>
  <c r="C3702"/>
  <c r="D3701"/>
  <c r="C3701"/>
  <c r="D3700"/>
  <c r="C3700"/>
  <c r="D3699"/>
  <c r="C3699"/>
  <c r="D3698"/>
  <c r="C3698"/>
  <c r="D3697"/>
  <c r="C3697"/>
  <c r="D3696"/>
  <c r="C3696"/>
  <c r="D3695"/>
  <c r="C3695"/>
  <c r="D3694"/>
  <c r="C3694"/>
  <c r="D3693"/>
  <c r="C3693"/>
  <c r="D3692"/>
  <c r="C3692"/>
  <c r="D3691"/>
  <c r="C3691"/>
  <c r="D3690"/>
  <c r="C3690"/>
  <c r="D3689"/>
  <c r="C3689"/>
  <c r="D3688"/>
  <c r="C3688"/>
  <c r="D3687"/>
  <c r="C3687"/>
  <c r="D3686"/>
  <c r="C3686"/>
  <c r="D3685"/>
  <c r="C3685"/>
  <c r="D3684"/>
  <c r="C3684"/>
  <c r="D3683"/>
  <c r="C3683"/>
  <c r="D3682"/>
  <c r="C3682"/>
  <c r="D3681"/>
  <c r="C3681"/>
  <c r="D3680"/>
  <c r="C3680"/>
  <c r="D3679"/>
  <c r="C3679"/>
  <c r="D3678"/>
  <c r="C3678"/>
  <c r="D3677"/>
  <c r="C3677"/>
  <c r="D3676"/>
  <c r="C3676"/>
  <c r="D3675"/>
  <c r="C3675"/>
  <c r="D3674"/>
  <c r="C3674"/>
  <c r="D3673"/>
  <c r="C3673"/>
  <c r="D3672"/>
  <c r="C3672"/>
  <c r="D3671"/>
  <c r="C3671"/>
  <c r="D3670"/>
  <c r="C3670"/>
  <c r="D3669"/>
  <c r="C3669"/>
  <c r="D3668"/>
  <c r="C3668"/>
  <c r="D3667"/>
  <c r="C3667"/>
  <c r="D3666"/>
  <c r="C3666"/>
  <c r="D3665"/>
  <c r="C3665"/>
  <c r="D3664"/>
  <c r="C3664"/>
  <c r="D3663"/>
  <c r="C3663"/>
  <c r="D3662"/>
  <c r="C3662"/>
  <c r="D3661"/>
  <c r="C3661"/>
  <c r="D3660"/>
  <c r="C3660"/>
  <c r="D3659"/>
  <c r="C3659"/>
  <c r="D3658"/>
  <c r="C3658"/>
  <c r="D3657"/>
  <c r="C3657"/>
  <c r="D3656"/>
  <c r="C3656"/>
  <c r="D3655"/>
  <c r="C3655"/>
  <c r="D3654"/>
  <c r="C3654"/>
  <c r="D3653"/>
  <c r="C3653"/>
  <c r="D3652"/>
  <c r="C3652"/>
  <c r="D3651"/>
  <c r="C3651"/>
  <c r="D3650"/>
  <c r="C3650"/>
  <c r="D3649"/>
  <c r="C3649"/>
  <c r="D3648"/>
  <c r="C3648"/>
  <c r="D3647"/>
  <c r="C3647"/>
  <c r="D3646"/>
  <c r="C3646"/>
  <c r="D3645"/>
  <c r="C3645"/>
  <c r="D3644"/>
  <c r="C3644"/>
  <c r="D3643"/>
  <c r="C3643"/>
  <c r="D3642"/>
  <c r="C3642"/>
  <c r="D3641"/>
  <c r="C3641"/>
  <c r="D3640"/>
  <c r="C3640"/>
  <c r="D3639"/>
  <c r="C3639"/>
  <c r="D3638"/>
  <c r="C3638"/>
  <c r="D3637"/>
  <c r="C3637"/>
  <c r="D3636"/>
  <c r="C3636"/>
  <c r="D3635"/>
  <c r="C3635"/>
  <c r="D3634"/>
  <c r="C3634"/>
  <c r="D3633"/>
  <c r="C3633"/>
  <c r="D3632"/>
  <c r="C3632"/>
  <c r="D3631"/>
  <c r="C3631"/>
  <c r="D3630"/>
  <c r="C3630"/>
  <c r="D3629"/>
  <c r="C3629"/>
  <c r="D3628"/>
  <c r="C3628"/>
  <c r="D3627"/>
  <c r="C3627"/>
  <c r="D3626"/>
  <c r="C3626"/>
  <c r="D3625"/>
  <c r="C3625"/>
  <c r="D3624"/>
  <c r="C3624"/>
  <c r="D3623"/>
  <c r="C3623"/>
  <c r="D3622"/>
  <c r="C3622"/>
  <c r="D3621"/>
  <c r="C3621"/>
  <c r="D3620"/>
  <c r="C3620"/>
  <c r="D3619"/>
  <c r="C3619"/>
  <c r="D3618"/>
  <c r="C3618"/>
  <c r="D3617"/>
  <c r="C3617"/>
  <c r="D3616"/>
  <c r="C3616"/>
  <c r="D3615"/>
  <c r="C3615"/>
  <c r="D3614"/>
  <c r="C3614"/>
  <c r="D3613"/>
  <c r="C3613"/>
  <c r="D3612"/>
  <c r="C3612"/>
  <c r="D3611"/>
  <c r="C3611"/>
  <c r="D3610"/>
  <c r="C3610"/>
  <c r="D3609"/>
  <c r="C3609"/>
  <c r="D3608"/>
  <c r="C3608"/>
  <c r="D3607"/>
  <c r="C3607"/>
  <c r="D3606"/>
  <c r="C3606"/>
  <c r="D3605"/>
  <c r="C3605"/>
  <c r="D3604"/>
  <c r="C3604"/>
  <c r="D3603"/>
  <c r="C3603"/>
  <c r="D3602"/>
  <c r="C3602"/>
  <c r="D3601"/>
  <c r="C3601"/>
  <c r="D3600"/>
  <c r="C3600"/>
  <c r="D3599"/>
  <c r="C3599"/>
  <c r="D3598"/>
  <c r="C3598"/>
  <c r="D3597"/>
  <c r="C3597"/>
  <c r="D3596"/>
  <c r="C3596"/>
  <c r="D3595"/>
  <c r="C3595"/>
  <c r="D3594"/>
  <c r="C3594"/>
  <c r="D3593"/>
  <c r="C3593"/>
  <c r="D3592"/>
  <c r="C3592"/>
  <c r="D3591"/>
  <c r="C3591"/>
  <c r="D3590"/>
  <c r="C3590"/>
  <c r="D3589"/>
  <c r="C3589"/>
  <c r="D3588"/>
  <c r="C3588"/>
  <c r="D3587"/>
  <c r="C3587"/>
  <c r="D3586"/>
  <c r="C3586"/>
  <c r="D3585"/>
  <c r="C3585"/>
  <c r="D3584"/>
  <c r="C3584"/>
  <c r="D3583"/>
  <c r="C3583"/>
  <c r="D3582"/>
  <c r="C3582"/>
  <c r="D3581"/>
  <c r="C3581"/>
  <c r="D3580"/>
  <c r="C3580"/>
  <c r="D3579"/>
  <c r="C3579"/>
  <c r="D3578"/>
  <c r="C3578"/>
  <c r="D3577"/>
  <c r="C3577"/>
  <c r="D3576"/>
  <c r="C3576"/>
  <c r="D3575"/>
  <c r="C3575"/>
  <c r="D3574"/>
  <c r="C3574"/>
  <c r="D3573"/>
  <c r="C3573"/>
  <c r="D3572"/>
  <c r="C3572"/>
  <c r="D3571"/>
  <c r="C3571"/>
  <c r="D3570"/>
  <c r="C3570"/>
  <c r="D3569"/>
  <c r="C3569"/>
  <c r="D3568"/>
  <c r="C3568"/>
  <c r="D3567"/>
  <c r="C3567"/>
  <c r="D3566"/>
  <c r="C3566"/>
  <c r="D3565"/>
  <c r="C3565"/>
  <c r="D3564"/>
  <c r="C3564"/>
  <c r="D3563"/>
  <c r="C3563"/>
  <c r="D3562"/>
  <c r="C3562"/>
  <c r="D3561"/>
  <c r="C3561"/>
  <c r="D3560"/>
  <c r="C3560"/>
  <c r="D3559"/>
  <c r="C3559"/>
  <c r="D3558"/>
  <c r="C3558"/>
  <c r="D3557"/>
  <c r="C3557"/>
  <c r="D3556"/>
  <c r="C3556"/>
  <c r="D3555"/>
  <c r="C3555"/>
  <c r="D3554"/>
  <c r="C3554"/>
  <c r="D3553"/>
  <c r="C3553"/>
  <c r="D3552"/>
  <c r="C3552"/>
  <c r="D3551"/>
  <c r="C3551"/>
  <c r="D3550"/>
  <c r="C3550"/>
  <c r="D3549"/>
  <c r="C3549"/>
  <c r="D3548"/>
  <c r="C3548"/>
  <c r="D3547"/>
  <c r="C3547"/>
  <c r="D3546"/>
  <c r="C3546"/>
  <c r="D3545"/>
  <c r="C3545"/>
  <c r="D3544"/>
  <c r="C3544"/>
  <c r="D3543"/>
  <c r="C3543"/>
  <c r="D3542"/>
  <c r="C3542"/>
  <c r="D3541"/>
  <c r="C3541"/>
  <c r="D3540"/>
  <c r="C3540"/>
  <c r="D3539"/>
  <c r="C3539"/>
  <c r="D3538"/>
  <c r="C3538"/>
  <c r="D3537"/>
  <c r="C3537"/>
  <c r="D3536"/>
  <c r="C3536"/>
  <c r="D3535"/>
  <c r="C3535"/>
  <c r="D3534"/>
  <c r="C3534"/>
  <c r="D3533"/>
  <c r="C3533"/>
  <c r="D3532"/>
  <c r="C3532"/>
  <c r="D3531"/>
  <c r="C3531"/>
  <c r="D3530"/>
  <c r="C3530"/>
  <c r="D3529"/>
  <c r="C3529"/>
  <c r="D3528"/>
  <c r="C3528"/>
  <c r="D3527"/>
  <c r="C3527"/>
  <c r="D3526"/>
  <c r="C3526"/>
  <c r="D3525"/>
  <c r="C3525"/>
  <c r="D3524"/>
  <c r="C3524"/>
  <c r="D3523"/>
  <c r="C3523"/>
  <c r="D3522"/>
  <c r="C3522"/>
  <c r="D3521"/>
  <c r="C3521"/>
  <c r="D3520"/>
  <c r="C3520"/>
  <c r="D3519"/>
  <c r="C3519"/>
  <c r="D3518"/>
  <c r="C3518"/>
  <c r="D3517"/>
  <c r="C3517"/>
  <c r="D3516"/>
  <c r="C3516"/>
  <c r="D3515"/>
  <c r="C3515"/>
  <c r="D3514"/>
  <c r="C3514"/>
  <c r="D3513"/>
  <c r="C3513"/>
  <c r="D3512"/>
  <c r="C3512"/>
  <c r="D3511"/>
  <c r="C3511"/>
  <c r="D3510"/>
  <c r="C3510"/>
  <c r="D3509"/>
  <c r="C3509"/>
  <c r="D3508"/>
  <c r="C3508"/>
  <c r="D3507"/>
  <c r="C3507"/>
  <c r="D3506"/>
  <c r="C3506"/>
  <c r="D3505"/>
  <c r="C3505"/>
  <c r="D3504"/>
  <c r="C3504"/>
  <c r="D3503"/>
  <c r="C3503"/>
  <c r="D3502"/>
  <c r="C3502"/>
  <c r="D3501"/>
  <c r="C3501"/>
  <c r="D3500"/>
  <c r="C3500"/>
  <c r="D3499"/>
  <c r="C3499"/>
  <c r="D3498"/>
  <c r="C3498"/>
  <c r="D3497"/>
  <c r="C3497"/>
  <c r="D3496"/>
  <c r="C3496"/>
  <c r="D3495"/>
  <c r="C3495"/>
  <c r="D3494"/>
  <c r="C3494"/>
  <c r="D3493"/>
  <c r="C3493"/>
  <c r="D3492"/>
  <c r="C3492"/>
  <c r="D3491"/>
  <c r="C3491"/>
  <c r="D3490"/>
  <c r="C3490"/>
  <c r="D3489"/>
  <c r="C3489"/>
  <c r="D3488"/>
  <c r="C3488"/>
  <c r="D3487"/>
  <c r="C3487"/>
  <c r="D3486"/>
  <c r="C3486"/>
  <c r="D3485"/>
  <c r="C3485"/>
  <c r="D3484"/>
  <c r="C3484"/>
  <c r="D3483"/>
  <c r="C3483"/>
  <c r="D3482"/>
  <c r="C3482"/>
  <c r="D3481"/>
  <c r="C3481"/>
  <c r="D3480"/>
  <c r="C3480"/>
  <c r="D3479"/>
  <c r="C3479"/>
  <c r="D3478"/>
  <c r="C3478"/>
  <c r="D3477"/>
  <c r="C3477"/>
  <c r="D3476"/>
  <c r="C3476"/>
  <c r="D3475"/>
  <c r="C3475"/>
  <c r="D3474"/>
  <c r="C3474"/>
  <c r="D3473"/>
  <c r="C3473"/>
  <c r="D3472"/>
  <c r="C3472"/>
  <c r="D3471"/>
  <c r="C3471"/>
  <c r="D3470"/>
  <c r="C3470"/>
  <c r="D3469"/>
  <c r="C3469"/>
  <c r="D3468"/>
  <c r="C3468"/>
  <c r="D3467"/>
  <c r="C3467"/>
  <c r="D3466"/>
  <c r="C3466"/>
  <c r="D3465"/>
  <c r="C3465"/>
  <c r="D3464"/>
  <c r="C3464"/>
  <c r="D3463"/>
  <c r="C3463"/>
  <c r="D3462"/>
  <c r="C3462"/>
  <c r="D3461"/>
  <c r="C3461"/>
  <c r="D3460"/>
  <c r="C3460"/>
  <c r="D3459"/>
  <c r="C3459"/>
  <c r="D3458"/>
  <c r="C3458"/>
  <c r="D3457"/>
  <c r="C3457"/>
  <c r="D3456"/>
  <c r="C3456"/>
  <c r="D3455"/>
  <c r="C3455"/>
  <c r="D3454"/>
  <c r="C3454"/>
  <c r="D3453"/>
  <c r="C3453"/>
  <c r="D3452"/>
  <c r="C3452"/>
  <c r="D3451"/>
  <c r="C3451"/>
  <c r="D3450"/>
  <c r="C3450"/>
  <c r="D3449"/>
  <c r="C3449"/>
  <c r="D3448"/>
  <c r="C3448"/>
  <c r="D3447"/>
  <c r="C3447"/>
  <c r="D3446"/>
  <c r="C3446"/>
  <c r="D3445"/>
  <c r="C3445"/>
  <c r="D3444"/>
  <c r="C3444"/>
  <c r="D3443"/>
  <c r="C3443"/>
  <c r="D3442"/>
  <c r="C3442"/>
  <c r="D3441"/>
  <c r="C3441"/>
  <c r="D3440"/>
  <c r="C3440"/>
  <c r="D3439"/>
  <c r="C3439"/>
  <c r="D3438"/>
  <c r="C3438"/>
  <c r="D3437"/>
  <c r="C3437"/>
  <c r="D3436"/>
  <c r="C3436"/>
  <c r="D3435"/>
  <c r="C3435"/>
  <c r="D3434"/>
  <c r="C3434"/>
  <c r="D3433"/>
  <c r="C3433"/>
  <c r="D3432"/>
  <c r="C3432"/>
  <c r="D3431"/>
  <c r="C3431"/>
  <c r="D3430"/>
  <c r="C3430"/>
  <c r="D3429"/>
  <c r="C3429"/>
  <c r="D3428"/>
  <c r="C3428"/>
  <c r="D3427"/>
  <c r="C3427"/>
  <c r="D3426"/>
  <c r="C3426"/>
  <c r="D3425"/>
  <c r="C3425"/>
  <c r="D3424"/>
  <c r="C3424"/>
  <c r="D3423"/>
  <c r="C3423"/>
  <c r="D3422"/>
  <c r="C3422"/>
  <c r="D3421"/>
  <c r="C3421"/>
  <c r="D3420"/>
  <c r="C3420"/>
  <c r="D3419"/>
  <c r="C3419"/>
  <c r="D3418"/>
  <c r="C3418"/>
  <c r="D3417"/>
  <c r="C3417"/>
  <c r="D3416"/>
  <c r="C3416"/>
  <c r="D3415"/>
  <c r="C3415"/>
  <c r="D3414"/>
  <c r="C3414"/>
  <c r="D3413"/>
  <c r="C3413"/>
  <c r="D3412"/>
  <c r="C3412"/>
  <c r="D3411"/>
  <c r="C3411"/>
  <c r="D3410"/>
  <c r="C3410"/>
  <c r="D3409"/>
  <c r="C3409"/>
  <c r="D3408"/>
  <c r="C3408"/>
  <c r="D3407"/>
  <c r="C3407"/>
  <c r="D3406"/>
  <c r="C3406"/>
  <c r="D3405"/>
  <c r="C3405"/>
  <c r="D3404"/>
  <c r="C3404"/>
  <c r="D3403"/>
  <c r="C3403"/>
  <c r="D3402"/>
  <c r="C3402"/>
  <c r="D3401"/>
  <c r="C3401"/>
  <c r="D3400"/>
  <c r="C3400"/>
  <c r="D3399"/>
  <c r="C3399"/>
  <c r="D3398"/>
  <c r="C3398"/>
  <c r="D3397"/>
  <c r="C3397"/>
  <c r="D3396"/>
  <c r="C3396"/>
  <c r="D3395"/>
  <c r="C3395"/>
  <c r="D3394"/>
  <c r="C3394"/>
  <c r="D3393"/>
  <c r="C3393"/>
  <c r="D3392"/>
  <c r="C3392"/>
  <c r="D3391"/>
  <c r="C3391"/>
  <c r="D3390"/>
  <c r="C3390"/>
  <c r="D3389"/>
  <c r="C3389"/>
  <c r="D3388"/>
  <c r="C3388"/>
  <c r="D3387"/>
  <c r="C3387"/>
  <c r="D3386"/>
  <c r="C3386"/>
  <c r="D3385"/>
  <c r="C3385"/>
  <c r="D3384"/>
  <c r="C3384"/>
  <c r="D3383"/>
  <c r="C3383"/>
  <c r="D3382"/>
  <c r="C3382"/>
  <c r="D3381"/>
  <c r="C3381"/>
  <c r="D3380"/>
  <c r="C3380"/>
  <c r="D3379"/>
  <c r="C3379"/>
  <c r="D3378"/>
  <c r="C3378"/>
  <c r="D3377"/>
  <c r="C3377"/>
  <c r="D3376"/>
  <c r="C3376"/>
  <c r="D3375"/>
  <c r="C3375"/>
  <c r="D3374"/>
  <c r="C3374"/>
  <c r="D3373"/>
  <c r="C3373"/>
  <c r="D3372"/>
  <c r="C3372"/>
  <c r="D3371"/>
  <c r="C3371"/>
  <c r="D3370"/>
  <c r="C3370"/>
  <c r="D3369"/>
  <c r="C3369"/>
  <c r="D3368"/>
  <c r="C3368"/>
  <c r="D3367"/>
  <c r="C3367"/>
  <c r="D3366"/>
  <c r="C3366"/>
  <c r="D3365"/>
  <c r="C3365"/>
  <c r="D3364"/>
  <c r="C3364"/>
  <c r="D3363"/>
  <c r="C3363"/>
  <c r="D3362"/>
  <c r="C3362"/>
  <c r="D3361"/>
  <c r="C3361"/>
  <c r="D3360"/>
  <c r="C3360"/>
  <c r="D3359"/>
  <c r="C3359"/>
  <c r="D3358"/>
  <c r="C3358"/>
  <c r="D3357"/>
  <c r="C3357"/>
  <c r="D3356"/>
  <c r="C3356"/>
  <c r="D3355"/>
  <c r="C3355"/>
  <c r="D3354"/>
  <c r="C3354"/>
  <c r="D3353"/>
  <c r="C3353"/>
  <c r="D3352"/>
  <c r="C3352"/>
  <c r="D3351"/>
  <c r="C3351"/>
  <c r="D3350"/>
  <c r="C3350"/>
  <c r="D3349"/>
  <c r="C3349"/>
  <c r="D3348"/>
  <c r="C3348"/>
  <c r="D3347"/>
  <c r="C3347"/>
  <c r="D3346"/>
  <c r="C3346"/>
  <c r="D3345"/>
  <c r="C3345"/>
  <c r="D3344"/>
  <c r="C3344"/>
  <c r="D3343"/>
  <c r="C3343"/>
  <c r="D3342"/>
  <c r="C3342"/>
  <c r="D3341"/>
  <c r="C3341"/>
  <c r="D3340"/>
  <c r="C3340"/>
  <c r="D3339"/>
  <c r="C3339"/>
  <c r="D3338"/>
  <c r="C3338"/>
  <c r="D3337"/>
  <c r="C3337"/>
  <c r="D3336"/>
  <c r="C3336"/>
  <c r="D3335"/>
  <c r="C3335"/>
  <c r="D3334"/>
  <c r="C3334"/>
  <c r="D3333"/>
  <c r="C3333"/>
  <c r="D3332"/>
  <c r="C3332"/>
  <c r="D3331"/>
  <c r="C3331"/>
  <c r="D3330"/>
  <c r="C3330"/>
  <c r="D3329"/>
  <c r="C3329"/>
  <c r="D3328"/>
  <c r="C3328"/>
  <c r="D3327"/>
  <c r="C3327"/>
  <c r="D3326"/>
  <c r="C3326"/>
  <c r="D3325"/>
  <c r="C3325"/>
  <c r="D3324"/>
  <c r="C3324"/>
  <c r="D3323"/>
  <c r="C3323"/>
  <c r="D3322"/>
  <c r="C3322"/>
  <c r="D3321"/>
  <c r="C3321"/>
  <c r="D3320"/>
  <c r="C3320"/>
  <c r="D3319"/>
  <c r="C3319"/>
  <c r="D3318"/>
  <c r="C3318"/>
  <c r="D3317"/>
  <c r="C3317"/>
  <c r="D3316"/>
  <c r="C3316"/>
  <c r="D3315"/>
  <c r="C3315"/>
  <c r="D3314"/>
  <c r="C3314"/>
  <c r="D3313"/>
  <c r="C3313"/>
  <c r="D3312"/>
  <c r="C3312"/>
  <c r="D3311"/>
  <c r="C3311"/>
  <c r="D3310"/>
  <c r="C3310"/>
  <c r="D3309"/>
  <c r="C3309"/>
  <c r="D3308"/>
  <c r="C3308"/>
  <c r="D3307"/>
  <c r="C3307"/>
  <c r="D3306"/>
  <c r="C3306"/>
  <c r="D3305"/>
  <c r="C3305"/>
  <c r="D3304"/>
  <c r="C3304"/>
  <c r="D3303"/>
  <c r="C3303"/>
  <c r="D3302"/>
  <c r="C3302"/>
  <c r="D3301"/>
  <c r="C3301"/>
  <c r="D3300"/>
  <c r="C3300"/>
  <c r="D3299"/>
  <c r="C3299"/>
  <c r="D3298"/>
  <c r="C3298"/>
  <c r="D3297"/>
  <c r="C3297"/>
  <c r="D3296"/>
  <c r="C3296"/>
  <c r="D3295"/>
  <c r="C3295"/>
  <c r="D3294"/>
  <c r="C3294"/>
  <c r="D3293"/>
  <c r="C3293"/>
  <c r="D3292"/>
  <c r="C3292"/>
  <c r="D3291"/>
  <c r="C3291"/>
  <c r="D3290"/>
  <c r="C3290"/>
  <c r="D3289"/>
  <c r="C3289"/>
  <c r="D3288"/>
  <c r="C3288"/>
  <c r="D3287"/>
  <c r="C3287"/>
  <c r="D3286"/>
  <c r="C3286"/>
  <c r="D3285"/>
  <c r="C3285"/>
  <c r="D3284"/>
  <c r="C3284"/>
  <c r="D3283"/>
  <c r="C3283"/>
  <c r="D3282"/>
  <c r="C3282"/>
  <c r="D3281"/>
  <c r="C3281"/>
  <c r="D3280"/>
  <c r="C3280"/>
  <c r="D3279"/>
  <c r="C3279"/>
  <c r="D3278"/>
  <c r="C3278"/>
  <c r="D3277"/>
  <c r="C3277"/>
  <c r="D3276"/>
  <c r="C3276"/>
  <c r="D3275"/>
  <c r="C3275"/>
  <c r="D3274"/>
  <c r="C3274"/>
  <c r="D3273"/>
  <c r="C3273"/>
  <c r="D3272"/>
  <c r="C3272"/>
  <c r="D3271"/>
  <c r="C3271"/>
  <c r="D3270"/>
  <c r="C3270"/>
  <c r="D3269"/>
  <c r="C3269"/>
  <c r="D3268"/>
  <c r="C3268"/>
  <c r="D3267"/>
  <c r="C3267"/>
  <c r="D3266"/>
  <c r="C3266"/>
  <c r="D3265"/>
  <c r="C3265"/>
  <c r="D3264"/>
  <c r="C3264"/>
  <c r="D3263"/>
  <c r="C3263"/>
  <c r="D3262"/>
  <c r="C3262"/>
  <c r="D3261"/>
  <c r="C3261"/>
  <c r="D3260"/>
  <c r="C3260"/>
  <c r="D3259"/>
  <c r="C3259"/>
  <c r="D3258"/>
  <c r="C3258"/>
  <c r="D3257"/>
  <c r="C3257"/>
  <c r="D3256"/>
  <c r="C3256"/>
  <c r="D3255"/>
  <c r="C3255"/>
  <c r="D3254"/>
  <c r="C3254"/>
  <c r="D3253"/>
  <c r="C3253"/>
  <c r="D3252"/>
  <c r="C3252"/>
  <c r="D3251"/>
  <c r="C3251"/>
  <c r="D3250"/>
  <c r="C3250"/>
  <c r="D3249"/>
  <c r="C3249"/>
  <c r="D3248"/>
  <c r="C3248"/>
  <c r="D3247"/>
  <c r="C3247"/>
  <c r="D3246"/>
  <c r="C3246"/>
  <c r="D3245"/>
  <c r="C3245"/>
  <c r="D3244"/>
  <c r="C3244"/>
  <c r="D3243"/>
  <c r="C3243"/>
  <c r="D3242"/>
  <c r="C3242"/>
  <c r="D3241"/>
  <c r="C3241"/>
  <c r="D3240"/>
  <c r="C3240"/>
  <c r="D3239"/>
  <c r="C3239"/>
  <c r="D3238"/>
  <c r="C3238"/>
  <c r="D3237"/>
  <c r="C3237"/>
  <c r="D3236"/>
  <c r="C3236"/>
  <c r="D3235"/>
  <c r="C3235"/>
  <c r="D3234"/>
  <c r="C3234"/>
  <c r="D3233"/>
  <c r="C3233"/>
  <c r="D3232"/>
  <c r="C3232"/>
  <c r="D3231"/>
  <c r="C3231"/>
  <c r="D3230"/>
  <c r="C3230"/>
  <c r="D3229"/>
  <c r="C3229"/>
  <c r="D3228"/>
  <c r="C3228"/>
  <c r="D3227"/>
  <c r="C3227"/>
  <c r="D3226"/>
  <c r="C3226"/>
  <c r="D3225"/>
  <c r="C3225"/>
  <c r="D3224"/>
  <c r="C3224"/>
  <c r="D3223"/>
  <c r="C3223"/>
  <c r="D3222"/>
  <c r="C3222"/>
  <c r="D3221"/>
  <c r="C3221"/>
  <c r="D3220"/>
  <c r="C3220"/>
  <c r="D3219"/>
  <c r="C3219"/>
  <c r="D3218"/>
  <c r="C3218"/>
  <c r="D3217"/>
  <c r="C3217"/>
  <c r="D3216"/>
  <c r="C3216"/>
  <c r="D3215"/>
  <c r="C3215"/>
  <c r="D3214"/>
  <c r="C3214"/>
  <c r="D3213"/>
  <c r="C3213"/>
  <c r="D3212"/>
  <c r="C3212"/>
  <c r="D3211"/>
  <c r="C3211"/>
  <c r="D3210"/>
  <c r="C3210"/>
  <c r="D3209"/>
  <c r="C3209"/>
  <c r="D3208"/>
  <c r="C3208"/>
  <c r="D3207"/>
  <c r="C3207"/>
  <c r="D3206"/>
  <c r="C3206"/>
  <c r="D3205"/>
  <c r="C3205"/>
  <c r="D3204"/>
  <c r="C3204"/>
  <c r="D3203"/>
  <c r="C3203"/>
  <c r="D3202"/>
  <c r="C3202"/>
  <c r="D3201"/>
  <c r="C3201"/>
  <c r="D3200"/>
  <c r="C3200"/>
  <c r="D3199"/>
  <c r="C3199"/>
  <c r="D3198"/>
  <c r="C3198"/>
  <c r="D3197"/>
  <c r="C3197"/>
  <c r="D3196"/>
  <c r="C3196"/>
  <c r="D3195"/>
  <c r="C3195"/>
  <c r="D3194"/>
  <c r="C3194"/>
  <c r="D3193"/>
  <c r="C3193"/>
  <c r="D3192"/>
  <c r="C3192"/>
  <c r="D3191"/>
  <c r="C3191"/>
  <c r="D3190"/>
  <c r="C3190"/>
  <c r="D3189"/>
  <c r="C3189"/>
  <c r="D3188"/>
  <c r="C3188"/>
  <c r="D3187"/>
  <c r="C3187"/>
  <c r="D3186"/>
  <c r="C3186"/>
  <c r="D3185"/>
  <c r="C3185"/>
  <c r="D3184"/>
  <c r="C3184"/>
  <c r="D3183"/>
  <c r="C3183"/>
  <c r="D3182"/>
  <c r="C3182"/>
  <c r="D3181"/>
  <c r="C3181"/>
  <c r="D3180"/>
  <c r="C3180"/>
  <c r="D3179"/>
  <c r="C3179"/>
  <c r="D3178"/>
  <c r="C3178"/>
  <c r="D3177"/>
  <c r="C3177"/>
  <c r="D3176"/>
  <c r="C3176"/>
  <c r="D3175"/>
  <c r="C3175"/>
  <c r="D3174"/>
  <c r="C3174"/>
  <c r="D3173"/>
  <c r="C3173"/>
  <c r="D3172"/>
  <c r="C3172"/>
  <c r="D3171"/>
  <c r="C3171"/>
  <c r="D3170"/>
  <c r="C3170"/>
  <c r="D3169"/>
  <c r="C3169"/>
  <c r="D3168"/>
  <c r="C3168"/>
  <c r="D3167"/>
  <c r="C3167"/>
  <c r="D3166"/>
  <c r="C3166"/>
  <c r="D3165"/>
  <c r="C3165"/>
  <c r="D3164"/>
  <c r="C3164"/>
  <c r="D3163"/>
  <c r="C3163"/>
  <c r="D3162"/>
  <c r="C3162"/>
  <c r="D3161"/>
  <c r="C3161"/>
  <c r="D3160"/>
  <c r="C3160"/>
  <c r="D3159"/>
  <c r="C3159"/>
  <c r="D3158"/>
  <c r="C3158"/>
  <c r="D3157"/>
  <c r="C3157"/>
  <c r="D3156"/>
  <c r="C3156"/>
  <c r="D3155"/>
  <c r="C3155"/>
  <c r="D3154"/>
  <c r="C3154"/>
  <c r="D3153"/>
  <c r="C3153"/>
  <c r="D3152"/>
  <c r="C3152"/>
  <c r="D3151"/>
  <c r="C3151"/>
  <c r="D3150"/>
  <c r="C3150"/>
  <c r="D3149"/>
  <c r="C3149"/>
  <c r="D3148"/>
  <c r="C3148"/>
  <c r="D3147"/>
  <c r="C3147"/>
  <c r="D3146"/>
  <c r="C3146"/>
  <c r="D3145"/>
  <c r="C3145"/>
  <c r="D3144"/>
  <c r="C3144"/>
  <c r="D3143"/>
  <c r="C3143"/>
  <c r="D3142"/>
  <c r="C3142"/>
  <c r="D3141"/>
  <c r="C3141"/>
  <c r="D3140"/>
  <c r="C3140"/>
  <c r="D3139"/>
  <c r="C3139"/>
  <c r="D3138"/>
  <c r="C3138"/>
  <c r="D3137"/>
  <c r="C3137"/>
  <c r="D3136"/>
  <c r="C3136"/>
  <c r="D3135"/>
  <c r="C3135"/>
  <c r="D3134"/>
  <c r="C3134"/>
  <c r="D3133"/>
  <c r="C3133"/>
  <c r="D3132"/>
  <c r="C3132"/>
  <c r="D3131"/>
  <c r="C3131"/>
  <c r="D3130"/>
  <c r="C3130"/>
  <c r="D3129"/>
  <c r="C3129"/>
  <c r="D3128"/>
  <c r="C3128"/>
  <c r="D3127"/>
  <c r="C3127"/>
  <c r="D3126"/>
  <c r="C3126"/>
  <c r="D3125"/>
  <c r="C3125"/>
  <c r="D3124"/>
  <c r="C3124"/>
  <c r="D3123"/>
  <c r="C3123"/>
  <c r="D3122"/>
  <c r="C3122"/>
  <c r="D3121"/>
  <c r="C3121"/>
  <c r="D3120"/>
  <c r="C3120"/>
  <c r="D3119"/>
  <c r="C3119"/>
  <c r="D3118"/>
  <c r="C3118"/>
  <c r="D3117"/>
  <c r="C3117"/>
  <c r="D3116"/>
  <c r="C3116"/>
  <c r="D3115"/>
  <c r="C3115"/>
  <c r="D3114"/>
  <c r="C3114"/>
  <c r="D3113"/>
  <c r="C3113"/>
  <c r="D3112"/>
  <c r="C3112"/>
  <c r="D3111"/>
  <c r="C3111"/>
  <c r="D3110"/>
  <c r="C3110"/>
  <c r="D3109"/>
  <c r="C3109"/>
  <c r="D3108"/>
  <c r="C3108"/>
  <c r="D3107"/>
  <c r="C3107"/>
  <c r="D3106"/>
  <c r="C3106"/>
  <c r="D3105"/>
  <c r="C3105"/>
  <c r="D3104"/>
  <c r="C3104"/>
  <c r="D3103"/>
  <c r="C3103"/>
  <c r="D3102"/>
  <c r="C3102"/>
  <c r="D3101"/>
  <c r="C3101"/>
  <c r="D3100"/>
  <c r="C3100"/>
  <c r="D3099"/>
  <c r="C3099"/>
  <c r="D3098"/>
  <c r="C3098"/>
  <c r="D3097"/>
  <c r="C3097"/>
  <c r="D3096"/>
  <c r="C3096"/>
  <c r="D3095"/>
  <c r="C3095"/>
  <c r="D3094"/>
  <c r="C3094"/>
  <c r="D3093"/>
  <c r="C3093"/>
  <c r="D3092"/>
  <c r="C3092"/>
  <c r="D3091"/>
  <c r="C3091"/>
  <c r="D3090"/>
  <c r="C3090"/>
  <c r="D3089"/>
  <c r="C3089"/>
  <c r="D3088"/>
  <c r="C3088"/>
  <c r="D3087"/>
  <c r="C3087"/>
  <c r="D3086"/>
  <c r="C3086"/>
  <c r="D3085"/>
  <c r="C3085"/>
  <c r="D3084"/>
  <c r="C3084"/>
  <c r="D3083"/>
  <c r="C3083"/>
  <c r="D3082"/>
  <c r="C3082"/>
  <c r="D3081"/>
  <c r="C3081"/>
  <c r="D3080"/>
  <c r="C3080"/>
  <c r="D3079"/>
  <c r="C3079"/>
  <c r="D3078"/>
  <c r="C3078"/>
  <c r="D3077"/>
  <c r="C3077"/>
  <c r="D3076"/>
  <c r="C3076"/>
  <c r="D3075"/>
  <c r="C3075"/>
  <c r="D3074"/>
  <c r="C3074"/>
  <c r="D3073"/>
  <c r="C3073"/>
  <c r="D3072"/>
  <c r="C3072"/>
  <c r="D3071"/>
  <c r="C3071"/>
  <c r="D3070"/>
  <c r="C3070"/>
  <c r="D3069"/>
  <c r="C3069"/>
  <c r="D3068"/>
  <c r="C3068"/>
  <c r="D3067"/>
  <c r="C3067"/>
  <c r="D3066"/>
  <c r="C3066"/>
  <c r="D3065"/>
  <c r="C3065"/>
  <c r="D3064"/>
  <c r="C3064"/>
  <c r="D3063"/>
  <c r="C3063"/>
  <c r="D3062"/>
  <c r="C3062"/>
  <c r="D3061"/>
  <c r="C3061"/>
  <c r="D3060"/>
  <c r="C3060"/>
  <c r="D3059"/>
  <c r="C3059"/>
  <c r="D3058"/>
  <c r="C3058"/>
  <c r="D3057"/>
  <c r="C3057"/>
  <c r="D3056"/>
  <c r="C3056"/>
  <c r="D3055"/>
  <c r="C3055"/>
  <c r="D3054"/>
  <c r="C3054"/>
  <c r="D3053"/>
  <c r="C3053"/>
  <c r="D3052"/>
  <c r="C3052"/>
  <c r="D3051"/>
  <c r="C3051"/>
  <c r="D3050"/>
  <c r="C3050"/>
  <c r="D3049"/>
  <c r="C3049"/>
  <c r="D3048"/>
  <c r="C3048"/>
  <c r="D3047"/>
  <c r="C3047"/>
  <c r="D3046"/>
  <c r="C3046"/>
  <c r="D3045"/>
  <c r="C3045"/>
  <c r="D3044"/>
  <c r="C3044"/>
  <c r="D3043"/>
  <c r="C3043"/>
  <c r="D3042"/>
  <c r="C3042"/>
  <c r="D3041"/>
  <c r="C3041"/>
  <c r="D3040"/>
  <c r="C3040"/>
  <c r="D3039"/>
  <c r="C3039"/>
  <c r="D3038"/>
  <c r="C3038"/>
  <c r="D3037"/>
  <c r="C3037"/>
  <c r="D3036"/>
  <c r="C3036"/>
  <c r="D3035"/>
  <c r="C3035"/>
  <c r="D3034"/>
  <c r="C3034"/>
  <c r="D3033"/>
  <c r="C3033"/>
  <c r="D3032"/>
  <c r="C3032"/>
  <c r="D3031"/>
  <c r="C3031"/>
  <c r="D3030"/>
  <c r="C3030"/>
  <c r="D3029"/>
  <c r="C3029"/>
  <c r="D3028"/>
  <c r="C3028"/>
  <c r="D3027"/>
  <c r="C3027"/>
  <c r="D3026"/>
  <c r="C3026"/>
  <c r="D3025"/>
  <c r="C3025"/>
  <c r="D3024"/>
  <c r="C3024"/>
  <c r="D3023"/>
  <c r="C3023"/>
  <c r="D3022"/>
  <c r="C3022"/>
  <c r="D3021"/>
  <c r="C3021"/>
  <c r="D3020"/>
  <c r="C3020"/>
  <c r="D3019"/>
  <c r="C3019"/>
  <c r="D3018"/>
  <c r="C3018"/>
  <c r="D3017"/>
  <c r="C3017"/>
  <c r="D3016"/>
  <c r="C3016"/>
  <c r="D3015"/>
  <c r="C3015"/>
  <c r="D3014"/>
  <c r="C3014"/>
  <c r="D3013"/>
  <c r="C3013"/>
  <c r="D3012"/>
  <c r="C3012"/>
  <c r="D3011"/>
  <c r="C3011"/>
  <c r="D3010"/>
  <c r="C3010"/>
  <c r="D3009"/>
  <c r="C3009"/>
  <c r="D3008"/>
  <c r="C3008"/>
  <c r="D3007"/>
  <c r="C3007"/>
  <c r="D3006"/>
  <c r="C3006"/>
  <c r="D3005"/>
  <c r="C3005"/>
  <c r="D3004"/>
  <c r="C3004"/>
  <c r="D3003"/>
  <c r="C3003"/>
  <c r="D3002"/>
  <c r="C3002"/>
  <c r="D3001"/>
  <c r="C3001"/>
  <c r="D3000"/>
  <c r="C3000"/>
  <c r="D2999"/>
  <c r="C2999"/>
  <c r="D2998"/>
  <c r="C2998"/>
  <c r="D2997"/>
  <c r="C2997"/>
  <c r="D2996"/>
  <c r="C2996"/>
  <c r="D2995"/>
  <c r="C2995"/>
  <c r="D2994"/>
  <c r="C2994"/>
  <c r="D2993"/>
  <c r="C2993"/>
  <c r="D2992"/>
  <c r="C2992"/>
  <c r="D2991"/>
  <c r="C2991"/>
  <c r="D2990"/>
  <c r="C2990"/>
  <c r="D2989"/>
  <c r="C2989"/>
  <c r="D2988"/>
  <c r="C2988"/>
  <c r="D2987"/>
  <c r="C2987"/>
  <c r="D2986"/>
  <c r="C2986"/>
  <c r="D2985"/>
  <c r="C2985"/>
  <c r="D2984"/>
  <c r="C2984"/>
  <c r="D2983"/>
  <c r="C2983"/>
  <c r="D2982"/>
  <c r="C2982"/>
  <c r="D2981"/>
  <c r="C2981"/>
  <c r="D2980"/>
  <c r="C2980"/>
  <c r="D2979"/>
  <c r="C2979"/>
  <c r="D2978"/>
  <c r="C2978"/>
  <c r="D2977"/>
  <c r="C2977"/>
  <c r="D2976"/>
  <c r="C2976"/>
  <c r="D2975"/>
  <c r="C2975"/>
  <c r="D2974"/>
  <c r="C2974"/>
  <c r="D2973"/>
  <c r="C2973"/>
  <c r="D2972"/>
  <c r="C2972"/>
  <c r="D2971"/>
  <c r="C2971"/>
  <c r="D2970"/>
  <c r="C2970"/>
  <c r="D2969"/>
  <c r="C2969"/>
  <c r="D2968"/>
  <c r="C2968"/>
  <c r="D2967"/>
  <c r="C2967"/>
  <c r="D2966"/>
  <c r="C2966"/>
  <c r="D2965"/>
  <c r="C2965"/>
  <c r="D2964"/>
  <c r="C2964"/>
  <c r="D2963"/>
  <c r="C2963"/>
  <c r="D2962"/>
  <c r="C2962"/>
  <c r="D2961"/>
  <c r="C2961"/>
  <c r="D2960"/>
  <c r="C2960"/>
  <c r="D2959"/>
  <c r="C2959"/>
  <c r="D2958"/>
  <c r="C2958"/>
  <c r="D2957"/>
  <c r="C2957"/>
  <c r="D2956"/>
  <c r="C2956"/>
  <c r="D2955"/>
  <c r="C2955"/>
  <c r="D2954"/>
  <c r="C2954"/>
  <c r="D2953"/>
  <c r="C2953"/>
  <c r="D2952"/>
  <c r="C2952"/>
  <c r="D2951"/>
  <c r="C2951"/>
  <c r="D2950"/>
  <c r="C2950"/>
  <c r="D2949"/>
  <c r="C2949"/>
  <c r="D2948"/>
  <c r="C2948"/>
  <c r="D2947"/>
  <c r="C2947"/>
  <c r="D2946"/>
  <c r="C2946"/>
  <c r="D2945"/>
  <c r="C2945"/>
  <c r="D2944"/>
  <c r="C2944"/>
  <c r="D2943"/>
  <c r="C2943"/>
  <c r="D2942"/>
  <c r="C2942"/>
  <c r="D2941"/>
  <c r="C2941"/>
  <c r="D2940"/>
  <c r="C2940"/>
  <c r="D2939"/>
  <c r="C2939"/>
  <c r="D2938"/>
  <c r="C2938"/>
  <c r="D2937"/>
  <c r="C2937"/>
  <c r="D2936"/>
  <c r="C2936"/>
  <c r="D2935"/>
  <c r="C2935"/>
  <c r="D2934"/>
  <c r="C2934"/>
  <c r="D2933"/>
  <c r="C2933"/>
  <c r="D2932"/>
  <c r="C2932"/>
  <c r="D2931"/>
  <c r="C2931"/>
  <c r="D2930"/>
  <c r="C2930"/>
  <c r="D2929"/>
  <c r="C2929"/>
  <c r="D2928"/>
  <c r="C2928"/>
  <c r="D2927"/>
  <c r="C2927"/>
  <c r="D2926"/>
  <c r="C2926"/>
  <c r="D2925"/>
  <c r="C2925"/>
  <c r="D2924"/>
  <c r="C2924"/>
  <c r="D2923"/>
  <c r="C2923"/>
  <c r="D2922"/>
  <c r="C2922"/>
  <c r="D2921"/>
  <c r="C2921"/>
  <c r="D2920"/>
  <c r="C2920"/>
  <c r="D2919"/>
  <c r="C2919"/>
  <c r="D2918"/>
  <c r="C2918"/>
  <c r="D2917"/>
  <c r="C2917"/>
  <c r="D2916"/>
  <c r="C2916"/>
  <c r="D2915"/>
  <c r="C2915"/>
  <c r="D2914"/>
  <c r="C2914"/>
  <c r="D2913"/>
  <c r="C2913"/>
  <c r="D2912"/>
  <c r="C2912"/>
  <c r="D2911"/>
  <c r="C2911"/>
  <c r="D2910"/>
  <c r="C2910"/>
  <c r="D2909"/>
  <c r="C2909"/>
  <c r="D2908"/>
  <c r="C2908"/>
  <c r="D2907"/>
  <c r="C2907"/>
  <c r="D2906"/>
  <c r="C2906"/>
  <c r="D2905"/>
  <c r="C2905"/>
  <c r="D2904"/>
  <c r="C2904"/>
  <c r="D2903"/>
  <c r="C2903"/>
  <c r="D2902"/>
  <c r="C2902"/>
  <c r="D2901"/>
  <c r="C2901"/>
  <c r="D2900"/>
  <c r="C2900"/>
  <c r="D2899"/>
  <c r="C2899"/>
  <c r="D2898"/>
  <c r="C2898"/>
  <c r="D2897"/>
  <c r="C2897"/>
  <c r="D2896"/>
  <c r="C2896"/>
  <c r="D2895"/>
  <c r="C2895"/>
  <c r="D2894"/>
  <c r="C2894"/>
  <c r="D2893"/>
  <c r="C2893"/>
  <c r="D2892"/>
  <c r="C2892"/>
  <c r="D2891"/>
  <c r="C2891"/>
  <c r="D2890"/>
  <c r="C2890"/>
  <c r="D2889"/>
  <c r="C2889"/>
  <c r="D2888"/>
  <c r="C2888"/>
  <c r="D2887"/>
  <c r="C2887"/>
  <c r="D2886"/>
  <c r="C2886"/>
  <c r="D2885"/>
  <c r="C2885"/>
  <c r="D2884"/>
  <c r="C2884"/>
  <c r="D2883"/>
  <c r="C2883"/>
  <c r="D2882"/>
  <c r="C2882"/>
  <c r="D2881"/>
  <c r="C2881"/>
  <c r="D2880"/>
  <c r="C2880"/>
  <c r="D2879"/>
  <c r="C2879"/>
  <c r="D2878"/>
  <c r="C2878"/>
  <c r="D2877"/>
  <c r="C2877"/>
  <c r="D2876"/>
  <c r="C2876"/>
  <c r="D2875"/>
  <c r="C2875"/>
  <c r="D2874"/>
  <c r="C2874"/>
  <c r="D2873"/>
  <c r="C2873"/>
  <c r="D2872"/>
  <c r="C2872"/>
  <c r="D2871"/>
  <c r="C2871"/>
  <c r="D2870"/>
  <c r="C2870"/>
  <c r="D2869"/>
  <c r="C2869"/>
  <c r="D2868"/>
  <c r="C2868"/>
  <c r="D2867"/>
  <c r="C2867"/>
  <c r="D2866"/>
  <c r="C2866"/>
  <c r="D2865"/>
  <c r="C2865"/>
  <c r="D2864"/>
  <c r="C2864"/>
  <c r="D2863"/>
  <c r="C2863"/>
  <c r="D2862"/>
  <c r="C2862"/>
  <c r="D2861"/>
  <c r="C2861"/>
  <c r="D2860"/>
  <c r="C2860"/>
  <c r="D2859"/>
  <c r="C2859"/>
  <c r="D2858"/>
  <c r="C2858"/>
  <c r="D2857"/>
  <c r="C2857"/>
  <c r="D2856"/>
  <c r="C2856"/>
  <c r="D2855"/>
  <c r="C2855"/>
  <c r="D2854"/>
  <c r="C2854"/>
  <c r="D2853"/>
  <c r="C2853"/>
  <c r="D2852"/>
  <c r="C2852"/>
  <c r="D2851"/>
  <c r="C2851"/>
  <c r="D2850"/>
  <c r="C2850"/>
  <c r="D2849"/>
  <c r="C2849"/>
  <c r="D2848"/>
  <c r="C2848"/>
  <c r="D2847"/>
  <c r="C2847"/>
  <c r="D2846"/>
  <c r="C2846"/>
  <c r="D2845"/>
  <c r="C2845"/>
  <c r="D2844"/>
  <c r="C2844"/>
  <c r="D2843"/>
  <c r="C2843"/>
  <c r="D2842"/>
  <c r="C2842"/>
  <c r="D2841"/>
  <c r="C2841"/>
  <c r="D2840"/>
  <c r="C2840"/>
  <c r="D2839"/>
  <c r="C2839"/>
  <c r="D2838"/>
  <c r="C2838"/>
  <c r="D2837"/>
  <c r="C2837"/>
  <c r="D2836"/>
  <c r="C2836"/>
  <c r="D2835"/>
  <c r="C2835"/>
  <c r="D2834"/>
  <c r="C2834"/>
  <c r="D2833"/>
  <c r="C2833"/>
  <c r="D2832"/>
  <c r="C2832"/>
  <c r="D2831"/>
  <c r="C2831"/>
  <c r="D2830"/>
  <c r="C2830"/>
  <c r="D2829"/>
  <c r="C2829"/>
  <c r="D2828"/>
  <c r="C2828"/>
  <c r="D2827"/>
  <c r="C2827"/>
  <c r="D2826"/>
  <c r="C2826"/>
  <c r="D2825"/>
  <c r="C2825"/>
  <c r="D2824"/>
  <c r="C2824"/>
  <c r="D2823"/>
  <c r="C2823"/>
  <c r="D2822"/>
  <c r="C2822"/>
  <c r="D2821"/>
  <c r="C2821"/>
  <c r="D2820"/>
  <c r="C2820"/>
  <c r="D2819"/>
  <c r="C2819"/>
  <c r="D2818"/>
  <c r="C2818"/>
  <c r="D2817"/>
  <c r="C2817"/>
  <c r="D2816"/>
  <c r="C2816"/>
  <c r="D2815"/>
  <c r="C2815"/>
  <c r="D2814"/>
  <c r="C2814"/>
  <c r="D2813"/>
  <c r="C2813"/>
  <c r="D2812"/>
  <c r="C2812"/>
  <c r="D2811"/>
  <c r="C2811"/>
  <c r="D2810"/>
  <c r="C2810"/>
  <c r="D2809"/>
  <c r="C2809"/>
  <c r="D2808"/>
  <c r="C2808"/>
  <c r="D2807"/>
  <c r="C2807"/>
  <c r="D2806"/>
  <c r="C2806"/>
  <c r="D2805"/>
  <c r="C2805"/>
  <c r="D2804"/>
  <c r="C2804"/>
  <c r="D2803"/>
  <c r="C2803"/>
  <c r="D2802"/>
  <c r="C2802"/>
  <c r="D2801"/>
  <c r="C2801"/>
  <c r="D2800"/>
  <c r="C2800"/>
  <c r="D2799"/>
  <c r="C2799"/>
  <c r="D2798"/>
  <c r="C2798"/>
  <c r="D2797"/>
  <c r="C2797"/>
  <c r="D2796"/>
  <c r="C2796"/>
  <c r="D2795"/>
  <c r="C2795"/>
  <c r="D2794"/>
  <c r="C2794"/>
  <c r="D2793"/>
  <c r="C2793"/>
  <c r="D2792"/>
  <c r="C2792"/>
  <c r="D2791"/>
  <c r="C2791"/>
  <c r="D2790"/>
  <c r="C2790"/>
  <c r="D2789"/>
  <c r="C2789"/>
  <c r="D2788"/>
  <c r="C2788"/>
  <c r="D2787"/>
  <c r="C2787"/>
  <c r="D2786"/>
  <c r="C2786"/>
  <c r="D2785"/>
  <c r="C2785"/>
  <c r="D2784"/>
  <c r="C2784"/>
  <c r="D2783"/>
  <c r="C2783"/>
  <c r="D2782"/>
  <c r="C2782"/>
  <c r="D2781"/>
  <c r="C2781"/>
  <c r="D2780"/>
  <c r="C2780"/>
  <c r="D2779"/>
  <c r="C2779"/>
  <c r="D2778"/>
  <c r="C2778"/>
  <c r="D2777"/>
  <c r="C2777"/>
  <c r="D2776"/>
  <c r="C2776"/>
  <c r="D2775"/>
  <c r="C2775"/>
  <c r="D2774"/>
  <c r="C2774"/>
  <c r="D2773"/>
  <c r="C2773"/>
  <c r="D2772"/>
  <c r="C2772"/>
  <c r="D2771"/>
  <c r="C2771"/>
  <c r="D2770"/>
  <c r="C2770"/>
  <c r="D2769"/>
  <c r="C2769"/>
  <c r="D2768"/>
  <c r="C2768"/>
  <c r="D2767"/>
  <c r="C2767"/>
  <c r="D2766"/>
  <c r="C2766"/>
  <c r="D2765"/>
  <c r="C2765"/>
  <c r="D2764"/>
  <c r="C2764"/>
  <c r="D2763"/>
  <c r="C2763"/>
  <c r="D2762"/>
  <c r="C2762"/>
  <c r="D2761"/>
  <c r="C2761"/>
  <c r="D2760"/>
  <c r="C2760"/>
  <c r="D2759"/>
  <c r="C2759"/>
  <c r="D2758"/>
  <c r="C2758"/>
  <c r="D2757"/>
  <c r="C2757"/>
  <c r="D2756"/>
  <c r="C2756"/>
  <c r="D2755"/>
  <c r="C2755"/>
  <c r="D2754"/>
  <c r="C2754"/>
  <c r="D2753"/>
  <c r="C2753"/>
  <c r="D2752"/>
  <c r="C2752"/>
  <c r="D2751"/>
  <c r="C2751"/>
  <c r="D2750"/>
  <c r="C2750"/>
  <c r="D2749"/>
  <c r="C2749"/>
  <c r="D2748"/>
  <c r="C2748"/>
  <c r="D2747"/>
  <c r="C2747"/>
  <c r="D2746"/>
  <c r="C2746"/>
  <c r="D2745"/>
  <c r="C2745"/>
  <c r="D2744"/>
  <c r="C2744"/>
  <c r="D2743"/>
  <c r="C2743"/>
  <c r="D2742"/>
  <c r="C2742"/>
  <c r="D2741"/>
  <c r="C2741"/>
  <c r="D2740"/>
  <c r="C2740"/>
  <c r="D2739"/>
  <c r="C2739"/>
  <c r="D2738"/>
  <c r="C2738"/>
  <c r="D2737"/>
  <c r="C2737"/>
  <c r="D2736"/>
  <c r="C2736"/>
  <c r="D2735"/>
  <c r="C2735"/>
  <c r="D2734"/>
  <c r="C2734"/>
  <c r="D2733"/>
  <c r="C2733"/>
  <c r="D2732"/>
  <c r="C2732"/>
  <c r="D2731"/>
  <c r="C2731"/>
  <c r="D2730"/>
  <c r="C2730"/>
  <c r="D2729"/>
  <c r="C2729"/>
  <c r="D2728"/>
  <c r="C2728"/>
  <c r="D2727"/>
  <c r="C2727"/>
  <c r="D2726"/>
  <c r="C2726"/>
  <c r="D2725"/>
  <c r="C2725"/>
  <c r="D2724"/>
  <c r="C2724"/>
  <c r="D2723"/>
  <c r="C2723"/>
  <c r="D2722"/>
  <c r="C2722"/>
  <c r="D2721"/>
  <c r="C2721"/>
  <c r="D2720"/>
  <c r="C2720"/>
  <c r="D2719"/>
  <c r="C2719"/>
  <c r="D2718"/>
  <c r="C2718"/>
  <c r="D2717"/>
  <c r="C2717"/>
  <c r="D2716"/>
  <c r="C2716"/>
  <c r="D2715"/>
  <c r="C2715"/>
  <c r="D2714"/>
  <c r="C2714"/>
  <c r="D2713"/>
  <c r="C2713"/>
  <c r="D2712"/>
  <c r="C2712"/>
  <c r="D2711"/>
  <c r="C2711"/>
  <c r="D2710"/>
  <c r="C2710"/>
  <c r="D2709"/>
  <c r="C2709"/>
  <c r="D2708"/>
  <c r="C2708"/>
  <c r="D2707"/>
  <c r="C2707"/>
  <c r="D2706"/>
  <c r="C2706"/>
  <c r="D2705"/>
  <c r="C2705"/>
  <c r="D2704"/>
  <c r="C2704"/>
  <c r="D2703"/>
  <c r="C2703"/>
  <c r="D2702"/>
  <c r="C2702"/>
  <c r="D2701"/>
  <c r="C2701"/>
  <c r="D2700"/>
  <c r="C2700"/>
  <c r="D2699"/>
  <c r="C2699"/>
  <c r="D2698"/>
  <c r="C2698"/>
  <c r="D2697"/>
  <c r="C2697"/>
  <c r="D2696"/>
  <c r="C2696"/>
  <c r="D2695"/>
  <c r="C2695"/>
  <c r="D2694"/>
  <c r="C2694"/>
  <c r="D2693"/>
  <c r="C2693"/>
  <c r="D2692"/>
  <c r="C2692"/>
  <c r="D2691"/>
  <c r="C2691"/>
  <c r="D2690"/>
  <c r="C2690"/>
  <c r="D2689"/>
  <c r="C2689"/>
  <c r="D2688"/>
  <c r="C2688"/>
  <c r="D2687"/>
  <c r="C2687"/>
  <c r="D2686"/>
  <c r="C2686"/>
  <c r="D2685"/>
  <c r="C2685"/>
  <c r="D2684"/>
  <c r="C2684"/>
  <c r="D2683"/>
  <c r="C2683"/>
  <c r="D2682"/>
  <c r="C2682"/>
  <c r="D2681"/>
  <c r="C2681"/>
  <c r="D2680"/>
  <c r="C2680"/>
  <c r="D2679"/>
  <c r="C2679"/>
  <c r="D2678"/>
  <c r="C2678"/>
  <c r="D2677"/>
  <c r="C2677"/>
  <c r="D2676"/>
  <c r="C2676"/>
  <c r="D2675"/>
  <c r="C2675"/>
  <c r="D2674"/>
  <c r="C2674"/>
  <c r="D2673"/>
  <c r="C2673"/>
  <c r="D2672"/>
  <c r="C2672"/>
  <c r="D2671"/>
  <c r="C2671"/>
  <c r="D2670"/>
  <c r="C2670"/>
  <c r="D2669"/>
  <c r="C2669"/>
  <c r="D2668"/>
  <c r="C2668"/>
  <c r="D2667"/>
  <c r="C2667"/>
  <c r="D2666"/>
  <c r="C2666"/>
  <c r="D2665"/>
  <c r="C2665"/>
  <c r="D2664"/>
  <c r="C2664"/>
  <c r="D2663"/>
  <c r="C2663"/>
  <c r="D2662"/>
  <c r="C2662"/>
  <c r="D2661"/>
  <c r="C2661"/>
  <c r="D2660"/>
  <c r="C2660"/>
  <c r="D2659"/>
  <c r="C2659"/>
  <c r="D2658"/>
  <c r="C2658"/>
  <c r="D2657"/>
  <c r="C2657"/>
  <c r="D2656"/>
  <c r="C2656"/>
  <c r="D2655"/>
  <c r="C2655"/>
  <c r="D2654"/>
  <c r="C2654"/>
  <c r="D2653"/>
  <c r="C2653"/>
  <c r="D2652"/>
  <c r="C2652"/>
  <c r="D2651"/>
  <c r="C2651"/>
  <c r="D2650"/>
  <c r="C2650"/>
  <c r="D2649"/>
  <c r="C2649"/>
  <c r="D2648"/>
  <c r="C2648"/>
  <c r="D2647"/>
  <c r="C2647"/>
  <c r="D2646"/>
  <c r="C2646"/>
  <c r="D2645"/>
  <c r="C2645"/>
  <c r="D2644"/>
  <c r="C2644"/>
  <c r="D2643"/>
  <c r="C2643"/>
  <c r="D2642"/>
  <c r="C2642"/>
  <c r="D2641"/>
  <c r="C2641"/>
  <c r="D2640"/>
  <c r="C2640"/>
  <c r="D2639"/>
  <c r="C2639"/>
  <c r="D2638"/>
  <c r="C2638"/>
  <c r="D2637"/>
  <c r="C2637"/>
  <c r="D2636"/>
  <c r="C2636"/>
  <c r="D2635"/>
  <c r="C2635"/>
  <c r="D2634"/>
  <c r="C2634"/>
  <c r="D2633"/>
  <c r="C2633"/>
  <c r="D2632"/>
  <c r="C2632"/>
  <c r="D2631"/>
  <c r="C2631"/>
  <c r="D2630"/>
  <c r="C2630"/>
  <c r="D2629"/>
  <c r="C2629"/>
  <c r="D2628"/>
  <c r="C2628"/>
  <c r="D2627"/>
  <c r="C2627"/>
  <c r="D2626"/>
  <c r="C2626"/>
  <c r="D2625"/>
  <c r="C2625"/>
  <c r="D2624"/>
  <c r="C2624"/>
  <c r="D2623"/>
  <c r="C2623"/>
  <c r="D2622"/>
  <c r="C2622"/>
  <c r="D2621"/>
  <c r="C2621"/>
  <c r="D2620"/>
  <c r="C2620"/>
  <c r="D2619"/>
  <c r="C2619"/>
  <c r="D2618"/>
  <c r="C2618"/>
  <c r="D2617"/>
  <c r="C2617"/>
  <c r="D2616"/>
  <c r="C2616"/>
  <c r="D2615"/>
  <c r="C2615"/>
  <c r="D2614"/>
  <c r="C2614"/>
  <c r="D2613"/>
  <c r="C2613"/>
  <c r="D2612"/>
  <c r="C2612"/>
  <c r="D2611"/>
  <c r="C2611"/>
  <c r="D2610"/>
  <c r="C2610"/>
  <c r="D2609"/>
  <c r="C2609"/>
  <c r="D2608"/>
  <c r="C2608"/>
  <c r="D2607"/>
  <c r="C2607"/>
  <c r="D2606"/>
  <c r="C2606"/>
  <c r="D2605"/>
  <c r="C2605"/>
  <c r="D2604"/>
  <c r="C2604"/>
  <c r="D2603"/>
  <c r="C2603"/>
  <c r="D2602"/>
  <c r="C2602"/>
  <c r="D2601"/>
  <c r="C2601"/>
  <c r="D2600"/>
  <c r="C2600"/>
  <c r="D2599"/>
  <c r="C2599"/>
  <c r="D2598"/>
  <c r="C2598"/>
  <c r="D2597"/>
  <c r="C2597"/>
  <c r="D2596"/>
  <c r="C2596"/>
  <c r="D2595"/>
  <c r="C2595"/>
  <c r="D2594"/>
  <c r="C2594"/>
  <c r="D2593"/>
  <c r="C2593"/>
  <c r="D2592"/>
  <c r="C2592"/>
  <c r="D2591"/>
  <c r="C2591"/>
  <c r="D2590"/>
  <c r="C2590"/>
  <c r="D2589"/>
  <c r="C2589"/>
  <c r="D2588"/>
  <c r="C2588"/>
  <c r="D2587"/>
  <c r="C2587"/>
  <c r="D2586"/>
  <c r="C2586"/>
  <c r="D2585"/>
  <c r="C2585"/>
  <c r="D2584"/>
  <c r="C2584"/>
  <c r="D2583"/>
  <c r="C2583"/>
  <c r="D2582"/>
  <c r="C2582"/>
  <c r="D2581"/>
  <c r="C2581"/>
  <c r="D2580"/>
  <c r="C2580"/>
  <c r="D2579"/>
  <c r="C2579"/>
  <c r="D2578"/>
  <c r="C2578"/>
  <c r="D2577"/>
  <c r="C2577"/>
  <c r="D2576"/>
  <c r="C2576"/>
  <c r="D2575"/>
  <c r="C2575"/>
  <c r="D2574"/>
  <c r="C2574"/>
  <c r="D2573"/>
  <c r="C2573"/>
  <c r="D2572"/>
  <c r="C2572"/>
  <c r="D2571"/>
  <c r="C2571"/>
  <c r="D2570"/>
  <c r="C2570"/>
  <c r="D2569"/>
  <c r="C2569"/>
  <c r="D2568"/>
  <c r="C2568"/>
  <c r="D2567"/>
  <c r="C2567"/>
  <c r="D2566"/>
  <c r="C2566"/>
  <c r="D2565"/>
  <c r="C2565"/>
  <c r="D2564"/>
  <c r="C2564"/>
  <c r="D2563"/>
  <c r="C2563"/>
  <c r="D2562"/>
  <c r="C2562"/>
  <c r="D2561"/>
  <c r="C2561"/>
  <c r="D2560"/>
  <c r="C2560"/>
  <c r="D2559"/>
  <c r="C2559"/>
  <c r="D2558"/>
  <c r="C2558"/>
  <c r="D2557"/>
  <c r="C2557"/>
  <c r="D2556"/>
  <c r="C2556"/>
  <c r="D2555"/>
  <c r="C2555"/>
  <c r="D2554"/>
  <c r="C2554"/>
  <c r="D2553"/>
  <c r="C2553"/>
  <c r="D2552"/>
  <c r="C2552"/>
  <c r="D2551"/>
  <c r="C2551"/>
  <c r="D2550"/>
  <c r="C2550"/>
  <c r="D2549"/>
  <c r="C2549"/>
  <c r="D2548"/>
  <c r="C2548"/>
  <c r="D2547"/>
  <c r="C2547"/>
  <c r="D2546"/>
  <c r="C2546"/>
  <c r="D2545"/>
  <c r="C2545"/>
  <c r="D2544"/>
  <c r="C2544"/>
  <c r="D2543"/>
  <c r="C2543"/>
  <c r="D2542"/>
  <c r="C2542"/>
  <c r="D2541"/>
  <c r="C2541"/>
  <c r="D2540"/>
  <c r="C2540"/>
  <c r="D2539"/>
  <c r="C2539"/>
  <c r="D2538"/>
  <c r="C2538"/>
  <c r="D2537"/>
  <c r="C2537"/>
  <c r="D2536"/>
  <c r="C2536"/>
  <c r="D2535"/>
  <c r="C2535"/>
  <c r="D2534"/>
  <c r="C2534"/>
  <c r="D2533"/>
  <c r="C2533"/>
  <c r="D2532"/>
  <c r="C2532"/>
  <c r="D2531"/>
  <c r="C2531"/>
  <c r="D2530"/>
  <c r="C2530"/>
  <c r="D2529"/>
  <c r="C2529"/>
  <c r="D2528"/>
  <c r="C2528"/>
  <c r="D2527"/>
  <c r="C2527"/>
  <c r="D2526"/>
  <c r="C2526"/>
  <c r="D2525"/>
  <c r="C2525"/>
  <c r="D2524"/>
  <c r="C2524"/>
  <c r="D2523"/>
  <c r="C2523"/>
  <c r="D2522"/>
  <c r="C2522"/>
  <c r="D2521"/>
  <c r="C2521"/>
  <c r="D2520"/>
  <c r="C2520"/>
  <c r="D2519"/>
  <c r="C2519"/>
  <c r="D2518"/>
  <c r="C2518"/>
  <c r="D2517"/>
  <c r="C2517"/>
  <c r="D2516"/>
  <c r="C2516"/>
  <c r="D2515"/>
  <c r="C2515"/>
  <c r="D2514"/>
  <c r="C2514"/>
  <c r="D2513"/>
  <c r="C2513"/>
  <c r="D2512"/>
  <c r="C2512"/>
  <c r="D2511"/>
  <c r="C2511"/>
  <c r="D2510"/>
  <c r="C2510"/>
  <c r="D2509"/>
  <c r="C2509"/>
  <c r="D2508"/>
  <c r="C2508"/>
  <c r="D2507"/>
  <c r="C2507"/>
  <c r="D2506"/>
  <c r="C2506"/>
  <c r="D2505"/>
  <c r="C2505"/>
  <c r="D2504"/>
  <c r="C2504"/>
  <c r="D2503"/>
  <c r="C2503"/>
  <c r="D2502"/>
  <c r="C2502"/>
  <c r="D2501"/>
  <c r="C2501"/>
  <c r="D2500"/>
  <c r="C2500"/>
  <c r="D2499"/>
  <c r="C2499"/>
  <c r="D2498"/>
  <c r="C2498"/>
  <c r="D2497"/>
  <c r="C2497"/>
  <c r="D2496"/>
  <c r="C2496"/>
  <c r="D2495"/>
  <c r="C2495"/>
  <c r="D2494"/>
  <c r="C2494"/>
  <c r="D2493"/>
  <c r="C2493"/>
  <c r="D2492"/>
  <c r="C2492"/>
  <c r="D2491"/>
  <c r="C2491"/>
  <c r="D2490"/>
  <c r="C2490"/>
  <c r="D2489"/>
  <c r="C2489"/>
  <c r="D2488"/>
  <c r="C2488"/>
  <c r="D2487"/>
  <c r="C2487"/>
  <c r="D2486"/>
  <c r="C2486"/>
  <c r="D2485"/>
  <c r="C2485"/>
  <c r="D2484"/>
  <c r="C2484"/>
  <c r="D2483"/>
  <c r="C2483"/>
  <c r="D2482"/>
  <c r="C2482"/>
  <c r="D2481"/>
  <c r="C2481"/>
  <c r="D2480"/>
  <c r="C2480"/>
  <c r="D2479"/>
  <c r="C2479"/>
  <c r="D2478"/>
  <c r="C2478"/>
  <c r="D2477"/>
  <c r="C2477"/>
  <c r="D2476"/>
  <c r="C2476"/>
  <c r="D2475"/>
  <c r="C2475"/>
  <c r="D2474"/>
  <c r="C2474"/>
  <c r="D2473"/>
  <c r="C2473"/>
  <c r="D2472"/>
  <c r="C2472"/>
  <c r="D2471"/>
  <c r="C2471"/>
  <c r="D2470"/>
  <c r="C2470"/>
  <c r="D2469"/>
  <c r="C2469"/>
  <c r="D2468"/>
  <c r="C2468"/>
  <c r="D2467"/>
  <c r="C2467"/>
  <c r="D2466"/>
  <c r="C2466"/>
  <c r="D2465"/>
  <c r="C2465"/>
  <c r="D2464"/>
  <c r="C2464"/>
  <c r="D2463"/>
  <c r="C2463"/>
  <c r="D2462"/>
  <c r="C2462"/>
  <c r="D2461"/>
  <c r="C2461"/>
  <c r="D2460"/>
  <c r="C2460"/>
  <c r="D2459"/>
  <c r="C2459"/>
  <c r="D2458"/>
  <c r="C2458"/>
  <c r="D2457"/>
  <c r="C2457"/>
  <c r="D2456"/>
  <c r="C2456"/>
  <c r="D2455"/>
  <c r="C2455"/>
  <c r="D2454"/>
  <c r="C2454"/>
  <c r="D2453"/>
  <c r="C2453"/>
  <c r="D2452"/>
  <c r="C2452"/>
  <c r="D2451"/>
  <c r="C2451"/>
  <c r="D2450"/>
  <c r="C2450"/>
  <c r="D2449"/>
  <c r="C2449"/>
  <c r="D2448"/>
  <c r="C2448"/>
  <c r="D2447"/>
  <c r="C2447"/>
  <c r="D2446"/>
  <c r="C2446"/>
  <c r="D2445"/>
  <c r="C2445"/>
  <c r="D2444"/>
  <c r="C2444"/>
  <c r="D2443"/>
  <c r="C2443"/>
  <c r="D2442"/>
  <c r="C2442"/>
  <c r="D2441"/>
  <c r="C2441"/>
  <c r="D2440"/>
  <c r="C2440"/>
  <c r="D2439"/>
  <c r="C2439"/>
  <c r="D2438"/>
  <c r="C2438"/>
  <c r="D2437"/>
  <c r="C2437"/>
  <c r="D2436"/>
  <c r="C2436"/>
  <c r="D2435"/>
  <c r="C2435"/>
  <c r="D2434"/>
  <c r="C2434"/>
  <c r="D2433"/>
  <c r="C2433"/>
  <c r="D2432"/>
  <c r="C2432"/>
  <c r="D2431"/>
  <c r="C2431"/>
  <c r="D2430"/>
  <c r="C2430"/>
  <c r="D2429"/>
  <c r="C2429"/>
  <c r="D2428"/>
  <c r="C2428"/>
  <c r="D2427"/>
  <c r="C2427"/>
  <c r="D2426"/>
  <c r="C2426"/>
  <c r="D2425"/>
  <c r="C2425"/>
  <c r="D2424"/>
  <c r="C2424"/>
  <c r="D2423"/>
  <c r="C2423"/>
  <c r="D2422"/>
  <c r="C2422"/>
  <c r="D2421"/>
  <c r="C2421"/>
  <c r="D2420"/>
  <c r="C2420"/>
  <c r="D2419"/>
  <c r="C2419"/>
  <c r="D2418"/>
  <c r="C2418"/>
  <c r="D2417"/>
  <c r="C2417"/>
  <c r="D2416"/>
  <c r="C2416"/>
  <c r="D2415"/>
  <c r="C2415"/>
  <c r="D2414"/>
  <c r="C2414"/>
  <c r="D2413"/>
  <c r="C2413"/>
  <c r="D2412"/>
  <c r="C2412"/>
  <c r="D2411"/>
  <c r="C2411"/>
  <c r="D2410"/>
  <c r="C2410"/>
  <c r="D2409"/>
  <c r="C2409"/>
  <c r="D2408"/>
  <c r="C2408"/>
  <c r="D2407"/>
  <c r="C2407"/>
  <c r="D2406"/>
  <c r="C2406"/>
  <c r="D2405"/>
  <c r="C2405"/>
  <c r="D2404"/>
  <c r="C2404"/>
  <c r="D2403"/>
  <c r="C2403"/>
  <c r="D2402"/>
  <c r="C2402"/>
  <c r="D2401"/>
  <c r="C2401"/>
  <c r="D2400"/>
  <c r="C2400"/>
  <c r="D2399"/>
  <c r="C2399"/>
  <c r="D2398"/>
  <c r="C2398"/>
  <c r="D2397"/>
  <c r="C2397"/>
  <c r="D2396"/>
  <c r="C2396"/>
  <c r="D2395"/>
  <c r="C2395"/>
  <c r="D2394"/>
  <c r="C2394"/>
  <c r="D2393"/>
  <c r="C2393"/>
  <c r="D2392"/>
  <c r="C2392"/>
  <c r="D2391"/>
  <c r="C2391"/>
  <c r="D2390"/>
  <c r="C2390"/>
  <c r="D2389"/>
  <c r="C2389"/>
  <c r="D2388"/>
  <c r="C2388"/>
  <c r="D2387"/>
  <c r="C2387"/>
  <c r="D2386"/>
  <c r="C2386"/>
  <c r="D2385"/>
  <c r="C2385"/>
  <c r="D2384"/>
  <c r="C2384"/>
  <c r="D2383"/>
  <c r="C2383"/>
  <c r="D2382"/>
  <c r="C2382"/>
  <c r="D2381"/>
  <c r="C2381"/>
  <c r="D2380"/>
  <c r="C2380"/>
  <c r="D2379"/>
  <c r="C2379"/>
  <c r="D2378"/>
  <c r="C2378"/>
  <c r="D2377"/>
  <c r="C2377"/>
  <c r="D2376"/>
  <c r="C2376"/>
  <c r="D2375"/>
  <c r="C2375"/>
  <c r="D2374"/>
  <c r="C2374"/>
  <c r="D2373"/>
  <c r="C2373"/>
  <c r="D2372"/>
  <c r="C2372"/>
  <c r="D2371"/>
  <c r="C2371"/>
  <c r="D2370"/>
  <c r="C2370"/>
  <c r="D2369"/>
  <c r="C2369"/>
  <c r="D2368"/>
  <c r="C2368"/>
  <c r="D2367"/>
  <c r="C2367"/>
  <c r="D2366"/>
  <c r="C2366"/>
  <c r="D2365"/>
  <c r="C2365"/>
  <c r="D2364"/>
  <c r="C2364"/>
  <c r="D2363"/>
  <c r="C2363"/>
  <c r="D2362"/>
  <c r="C2362"/>
  <c r="D2361"/>
  <c r="C2361"/>
  <c r="D2360"/>
  <c r="C2360"/>
  <c r="D2359"/>
  <c r="C2359"/>
  <c r="D2358"/>
  <c r="C2358"/>
  <c r="D2357"/>
  <c r="C2357"/>
  <c r="D2356"/>
  <c r="C2356"/>
  <c r="D2355"/>
  <c r="C2355"/>
  <c r="D2354"/>
  <c r="C2354"/>
  <c r="D2353"/>
  <c r="C2353"/>
  <c r="D2352"/>
  <c r="C2352"/>
  <c r="D2351"/>
  <c r="C2351"/>
  <c r="D2350"/>
  <c r="C2350"/>
  <c r="D2349"/>
  <c r="C2349"/>
  <c r="D2348"/>
  <c r="C2348"/>
  <c r="D2347"/>
  <c r="C2347"/>
  <c r="D2346"/>
  <c r="C2346"/>
  <c r="D2345"/>
  <c r="C2345"/>
  <c r="D2344"/>
  <c r="C2344"/>
  <c r="D2343"/>
  <c r="C2343"/>
  <c r="D2342"/>
  <c r="C2342"/>
  <c r="D2341"/>
  <c r="C2341"/>
  <c r="D2340"/>
  <c r="C2340"/>
  <c r="D2339"/>
  <c r="C2339"/>
  <c r="D2338"/>
  <c r="C2338"/>
  <c r="D2337"/>
  <c r="C2337"/>
  <c r="D2336"/>
  <c r="C2336"/>
  <c r="D2335"/>
  <c r="C2335"/>
  <c r="D2334"/>
  <c r="C2334"/>
  <c r="D2333"/>
  <c r="C2333"/>
  <c r="D2332"/>
  <c r="C2332"/>
  <c r="D2331"/>
  <c r="C2331"/>
  <c r="D2330"/>
  <c r="C2330"/>
  <c r="D2329"/>
  <c r="C2329"/>
  <c r="D2328"/>
  <c r="C2328"/>
  <c r="D2327"/>
  <c r="C2327"/>
  <c r="D2326"/>
  <c r="C2326"/>
  <c r="D2325"/>
  <c r="C2325"/>
  <c r="D2324"/>
  <c r="C2324"/>
  <c r="D2323"/>
  <c r="C2323"/>
  <c r="D2322"/>
  <c r="C2322"/>
  <c r="D2321"/>
  <c r="C2321"/>
  <c r="D2320"/>
  <c r="C2320"/>
  <c r="D2319"/>
  <c r="C2319"/>
  <c r="D2318"/>
  <c r="C2318"/>
  <c r="D2317"/>
  <c r="C2317"/>
  <c r="D2316"/>
  <c r="C2316"/>
  <c r="D2315"/>
  <c r="C2315"/>
  <c r="D2314"/>
  <c r="C2314"/>
  <c r="D2313"/>
  <c r="C2313"/>
  <c r="D2312"/>
  <c r="C2312"/>
  <c r="D2311"/>
  <c r="C2311"/>
  <c r="D2310"/>
  <c r="C2310"/>
  <c r="D2309"/>
  <c r="C2309"/>
  <c r="D2308"/>
  <c r="C2308"/>
  <c r="D2307"/>
  <c r="C2307"/>
  <c r="D2306"/>
  <c r="C2306"/>
  <c r="D2305"/>
  <c r="C2305"/>
  <c r="D2304"/>
  <c r="C2304"/>
  <c r="D2303"/>
  <c r="C2303"/>
  <c r="D2302"/>
  <c r="C2302"/>
  <c r="D2301"/>
  <c r="C2301"/>
  <c r="D2300"/>
  <c r="C2300"/>
  <c r="D2299"/>
  <c r="C2299"/>
  <c r="D2298"/>
  <c r="C2298"/>
  <c r="D2297"/>
  <c r="C2297"/>
  <c r="D2296"/>
  <c r="C2296"/>
  <c r="D2295"/>
  <c r="C2295"/>
  <c r="D2294"/>
  <c r="C2294"/>
  <c r="D2293"/>
  <c r="C2293"/>
  <c r="D2292"/>
  <c r="C2292"/>
  <c r="D2291"/>
  <c r="C2291"/>
  <c r="D2290"/>
  <c r="C2290"/>
  <c r="D2289"/>
  <c r="C2289"/>
  <c r="D2288"/>
  <c r="C2288"/>
  <c r="D2287"/>
  <c r="C2287"/>
  <c r="D2286"/>
  <c r="C2286"/>
  <c r="D2285"/>
  <c r="C2285"/>
  <c r="D2284"/>
  <c r="C2284"/>
  <c r="D2283"/>
  <c r="C2283"/>
  <c r="D2282"/>
  <c r="C2282"/>
  <c r="D2281"/>
  <c r="C2281"/>
  <c r="D2280"/>
  <c r="C2280"/>
  <c r="D2279"/>
  <c r="C2279"/>
  <c r="D2278"/>
  <c r="C2278"/>
  <c r="D2277"/>
  <c r="C2277"/>
  <c r="D2276"/>
  <c r="C2276"/>
  <c r="D2275"/>
  <c r="C2275"/>
  <c r="D2274"/>
  <c r="C2274"/>
  <c r="D2273"/>
  <c r="C2273"/>
  <c r="D2272"/>
  <c r="C2272"/>
  <c r="D2271"/>
  <c r="C2271"/>
  <c r="D2270"/>
  <c r="C2270"/>
  <c r="D2269"/>
  <c r="C2269"/>
  <c r="D2268"/>
  <c r="C2268"/>
  <c r="D2267"/>
  <c r="C2267"/>
  <c r="D2266"/>
  <c r="C2266"/>
  <c r="D2265"/>
  <c r="C2265"/>
  <c r="D2264"/>
  <c r="C2264"/>
  <c r="D2263"/>
  <c r="C2263"/>
  <c r="D2262"/>
  <c r="C2262"/>
  <c r="D2261"/>
  <c r="C2261"/>
  <c r="D2260"/>
  <c r="C2260"/>
  <c r="D2259"/>
  <c r="C2259"/>
  <c r="D2258"/>
  <c r="C2258"/>
  <c r="D2257"/>
  <c r="C2257"/>
  <c r="D2256"/>
  <c r="C2256"/>
  <c r="D2255"/>
  <c r="C2255"/>
  <c r="D2254"/>
  <c r="C2254"/>
  <c r="D2253"/>
  <c r="C2253"/>
  <c r="D2252"/>
  <c r="C2252"/>
  <c r="D2251"/>
  <c r="C2251"/>
  <c r="D2250"/>
  <c r="C2250"/>
  <c r="D2249"/>
  <c r="C2249"/>
  <c r="D2248"/>
  <c r="C2248"/>
  <c r="D2247"/>
  <c r="C2247"/>
  <c r="D2246"/>
  <c r="C2246"/>
  <c r="D2245"/>
  <c r="C2245"/>
  <c r="D2244"/>
  <c r="C2244"/>
  <c r="D2243"/>
  <c r="C2243"/>
  <c r="D2242"/>
  <c r="C2242"/>
  <c r="D2241"/>
  <c r="C2241"/>
  <c r="D2240"/>
  <c r="C2240"/>
  <c r="D2239"/>
  <c r="C2239"/>
  <c r="D2238"/>
  <c r="C2238"/>
  <c r="D2237"/>
  <c r="C2237"/>
  <c r="D2236"/>
  <c r="C2236"/>
  <c r="D2235"/>
  <c r="C2235"/>
  <c r="D2234"/>
  <c r="C2234"/>
  <c r="D2233"/>
  <c r="C2233"/>
  <c r="D2232"/>
  <c r="C2232"/>
  <c r="D2231"/>
  <c r="C2231"/>
  <c r="D2230"/>
  <c r="C2230"/>
  <c r="D2229"/>
  <c r="C2229"/>
  <c r="D2228"/>
  <c r="C2228"/>
  <c r="D2227"/>
  <c r="C2227"/>
  <c r="D2226"/>
  <c r="C2226"/>
  <c r="D2225"/>
  <c r="C2225"/>
  <c r="D2224"/>
  <c r="C2224"/>
  <c r="D2223"/>
  <c r="C2223"/>
  <c r="D2222"/>
  <c r="C2222"/>
  <c r="D2221"/>
  <c r="C2221"/>
  <c r="D2220"/>
  <c r="C2220"/>
  <c r="D2219"/>
  <c r="C2219"/>
  <c r="D2218"/>
  <c r="C2218"/>
  <c r="D2217"/>
  <c r="C2217"/>
  <c r="D2216"/>
  <c r="C2216"/>
  <c r="D2215"/>
  <c r="C2215"/>
  <c r="D2214"/>
  <c r="C2214"/>
  <c r="D2213"/>
  <c r="C2213"/>
  <c r="D2212"/>
  <c r="C2212"/>
  <c r="D2211"/>
  <c r="C2211"/>
  <c r="D2210"/>
  <c r="C2210"/>
  <c r="D2209"/>
  <c r="C2209"/>
  <c r="D2208"/>
  <c r="C2208"/>
  <c r="D2207"/>
  <c r="C2207"/>
  <c r="D2206"/>
  <c r="C2206"/>
  <c r="D2205"/>
  <c r="C2205"/>
  <c r="D2204"/>
  <c r="C2204"/>
  <c r="D2203"/>
  <c r="C2203"/>
  <c r="D2202"/>
  <c r="C2202"/>
  <c r="D2201"/>
  <c r="C2201"/>
  <c r="D2200"/>
  <c r="C2200"/>
  <c r="D2199"/>
  <c r="C2199"/>
  <c r="D2198"/>
  <c r="C2198"/>
  <c r="D2197"/>
  <c r="C2197"/>
  <c r="B2197"/>
  <c r="C2196"/>
  <c r="D2195"/>
  <c r="C2195"/>
  <c r="B2195"/>
  <c r="C2194"/>
  <c r="D2193"/>
  <c r="C2193"/>
  <c r="B2193"/>
  <c r="C2192"/>
  <c r="D2191"/>
  <c r="C2191"/>
  <c r="B2191"/>
  <c r="C2190"/>
  <c r="D2189"/>
  <c r="C2189"/>
  <c r="B2189"/>
  <c r="C2188"/>
  <c r="D2187"/>
  <c r="C2187"/>
  <c r="B2187"/>
  <c r="C2186"/>
  <c r="D2185"/>
  <c r="C2185"/>
  <c r="B2185"/>
  <c r="C2184"/>
  <c r="D2183"/>
  <c r="C2183"/>
  <c r="B2183"/>
  <c r="C2182"/>
  <c r="D2181"/>
  <c r="C2181"/>
  <c r="B2181"/>
  <c r="C2180"/>
  <c r="D2179"/>
  <c r="C2179"/>
  <c r="B2179"/>
  <c r="C2178"/>
  <c r="D2177"/>
  <c r="C2177"/>
  <c r="B2177"/>
  <c r="C2176"/>
  <c r="D2175"/>
  <c r="C2175"/>
  <c r="B2175"/>
  <c r="C2174"/>
  <c r="D2173"/>
  <c r="C2173"/>
  <c r="B2173"/>
  <c r="C2172"/>
  <c r="D2171"/>
  <c r="C2171"/>
  <c r="B2171"/>
  <c r="C2170"/>
  <c r="D2169"/>
  <c r="C2169"/>
  <c r="B2169"/>
  <c r="C2168"/>
  <c r="D2167"/>
  <c r="C2167"/>
  <c r="B2167"/>
  <c r="C2166"/>
  <c r="D2165"/>
  <c r="C2165"/>
  <c r="B2165"/>
  <c r="C2164"/>
  <c r="D2163"/>
  <c r="C2163"/>
  <c r="B2163"/>
  <c r="C2162"/>
  <c r="D2161"/>
  <c r="C2161"/>
  <c r="B2161"/>
  <c r="C2160"/>
  <c r="D2159"/>
  <c r="C2159"/>
  <c r="B2159"/>
  <c r="C2158"/>
  <c r="D2157"/>
  <c r="C2157"/>
  <c r="B2157"/>
  <c r="C2156"/>
  <c r="D2155"/>
  <c r="C2155"/>
  <c r="B2155"/>
  <c r="C2154"/>
  <c r="D2153"/>
  <c r="C2153"/>
  <c r="B2153"/>
  <c r="C2152"/>
  <c r="D2151"/>
  <c r="C2151"/>
  <c r="B2151"/>
  <c r="C2150"/>
  <c r="D2149"/>
  <c r="C2149"/>
  <c r="B2149"/>
  <c r="C2148"/>
  <c r="D2147"/>
  <c r="C2147"/>
  <c r="B2147"/>
  <c r="C2146"/>
  <c r="D2145"/>
  <c r="C2145"/>
  <c r="B2145"/>
  <c r="C2144"/>
  <c r="D2143"/>
  <c r="C2143"/>
  <c r="B2143"/>
  <c r="C2142"/>
  <c r="D2141"/>
  <c r="C2141"/>
  <c r="B2141"/>
  <c r="C2140"/>
  <c r="D2139"/>
  <c r="C2139"/>
  <c r="B2139"/>
  <c r="C2138"/>
  <c r="D2137"/>
  <c r="C2137"/>
  <c r="B2137"/>
  <c r="C2136"/>
  <c r="D2135"/>
  <c r="C2135"/>
  <c r="B2135"/>
  <c r="C2134"/>
  <c r="D2133"/>
  <c r="C2133"/>
  <c r="B2133"/>
  <c r="C2132"/>
  <c r="D2131"/>
  <c r="C2131"/>
  <c r="B2131"/>
  <c r="C2130"/>
  <c r="D2129"/>
  <c r="C2129"/>
  <c r="B2129"/>
  <c r="C2128"/>
  <c r="D2127"/>
  <c r="C2127"/>
  <c r="B2127"/>
  <c r="C2126"/>
  <c r="D2125"/>
  <c r="C2125"/>
  <c r="B2125"/>
  <c r="C2124"/>
  <c r="D2123"/>
  <c r="C2123"/>
  <c r="B2123"/>
  <c r="C2122"/>
  <c r="D2121"/>
  <c r="C2121"/>
  <c r="B2121"/>
  <c r="C2120"/>
  <c r="D2119"/>
  <c r="C2119"/>
  <c r="B2119"/>
  <c r="C2118"/>
  <c r="D2117"/>
  <c r="C2117"/>
  <c r="B2117"/>
  <c r="C2116"/>
  <c r="D2115"/>
  <c r="C2115"/>
  <c r="B2115"/>
  <c r="C2114"/>
  <c r="D2113"/>
  <c r="C2113"/>
  <c r="B2113"/>
  <c r="C2112"/>
  <c r="D2111"/>
  <c r="C2111"/>
  <c r="B2111"/>
  <c r="C2110"/>
  <c r="D2109"/>
  <c r="C2109"/>
  <c r="B2109"/>
  <c r="C2108"/>
  <c r="D2107"/>
  <c r="C2107"/>
  <c r="B2107"/>
  <c r="C2106"/>
  <c r="D2105"/>
  <c r="C2105"/>
  <c r="B2105"/>
  <c r="C2104"/>
  <c r="D2103"/>
  <c r="C2103"/>
  <c r="B2103"/>
  <c r="C2102"/>
  <c r="D2101"/>
  <c r="C2101"/>
  <c r="B2101"/>
  <c r="C2100"/>
  <c r="D2099"/>
  <c r="C2099"/>
  <c r="B2099"/>
  <c r="C2098"/>
  <c r="D2097"/>
  <c r="C2097"/>
  <c r="B2097"/>
  <c r="C2096"/>
  <c r="D2095"/>
  <c r="C2095"/>
  <c r="B2095"/>
  <c r="C2094"/>
  <c r="D2093"/>
  <c r="C2093"/>
  <c r="B2093"/>
  <c r="C2092"/>
  <c r="D2091"/>
  <c r="C2091"/>
  <c r="B2091"/>
  <c r="C2090"/>
  <c r="D2089"/>
  <c r="C2089"/>
  <c r="B2089"/>
  <c r="C2088"/>
  <c r="D2087"/>
  <c r="C2087"/>
  <c r="B2087"/>
  <c r="C2086"/>
  <c r="D2085"/>
  <c r="C2085"/>
  <c r="B2085"/>
  <c r="C2084"/>
  <c r="D2083"/>
  <c r="C2083"/>
  <c r="B2083"/>
  <c r="C2082"/>
  <c r="D2081"/>
  <c r="C2081"/>
  <c r="B2081"/>
  <c r="C2080"/>
  <c r="D2079"/>
  <c r="C2079"/>
  <c r="B2079"/>
  <c r="C2078"/>
  <c r="D2077"/>
  <c r="C2077"/>
  <c r="B2077"/>
  <c r="C2076"/>
  <c r="D2075"/>
  <c r="C2075"/>
  <c r="B2075"/>
  <c r="C2074"/>
  <c r="D2073"/>
  <c r="C2073"/>
  <c r="B2073"/>
  <c r="C2072"/>
  <c r="D2071"/>
  <c r="C2071"/>
  <c r="B2071"/>
  <c r="C2070"/>
  <c r="D2069"/>
  <c r="C2069"/>
  <c r="B2069"/>
  <c r="C2068"/>
  <c r="D2067"/>
  <c r="C2067"/>
  <c r="B2067"/>
  <c r="C2066"/>
  <c r="D2065"/>
  <c r="C2065"/>
  <c r="B2065"/>
  <c r="C2064"/>
  <c r="D2063"/>
  <c r="C2063"/>
  <c r="B2063"/>
  <c r="C2062"/>
  <c r="D2061"/>
  <c r="C2061"/>
  <c r="B2061"/>
  <c r="C2060"/>
  <c r="D2059"/>
  <c r="C2059"/>
  <c r="B2059"/>
  <c r="C2058"/>
  <c r="D2057"/>
  <c r="C2057"/>
  <c r="B2057"/>
  <c r="C2056"/>
  <c r="D2055"/>
  <c r="C2055"/>
  <c r="B2055"/>
  <c r="C2054"/>
  <c r="D2053"/>
  <c r="C2053"/>
  <c r="B2053"/>
  <c r="C2052"/>
  <c r="D2051"/>
  <c r="C2051"/>
  <c r="B2051"/>
  <c r="C2050"/>
  <c r="D2049"/>
  <c r="C2049"/>
  <c r="B2049"/>
  <c r="C2048"/>
  <c r="D2047"/>
  <c r="C2047"/>
  <c r="B2047"/>
  <c r="C2046"/>
  <c r="D2045"/>
  <c r="C2045"/>
  <c r="B2045"/>
  <c r="C2044"/>
  <c r="D2043"/>
  <c r="C2043"/>
  <c r="B2043"/>
  <c r="C2042"/>
  <c r="D2041"/>
  <c r="C2041"/>
  <c r="B2041"/>
  <c r="C2040"/>
  <c r="D2039"/>
  <c r="C2039"/>
  <c r="B2039"/>
  <c r="C2038"/>
  <c r="D2037"/>
  <c r="C2037"/>
  <c r="B2037"/>
  <c r="C2036"/>
  <c r="D2035"/>
  <c r="C2035"/>
  <c r="B2035"/>
  <c r="C2034"/>
  <c r="D2033"/>
  <c r="C2033"/>
  <c r="B2033"/>
  <c r="C2032"/>
  <c r="D2031"/>
  <c r="C2031"/>
  <c r="B2031"/>
  <c r="C2030"/>
  <c r="D2029"/>
  <c r="C2029"/>
  <c r="B2029"/>
  <c r="C2028"/>
  <c r="D2027"/>
  <c r="C2027"/>
  <c r="B2027"/>
  <c r="C2026"/>
  <c r="D2025"/>
  <c r="C2025"/>
  <c r="B2025"/>
  <c r="C2024"/>
  <c r="D2023"/>
  <c r="C2023"/>
  <c r="B2023"/>
  <c r="C2022"/>
  <c r="D2021"/>
  <c r="C2021"/>
  <c r="B2021"/>
  <c r="C2020"/>
  <c r="D2019"/>
  <c r="C2019"/>
  <c r="B2019"/>
  <c r="C2018"/>
  <c r="D2017"/>
  <c r="C2017"/>
  <c r="B2017"/>
  <c r="C2016"/>
  <c r="D2015"/>
  <c r="C2015"/>
  <c r="B2015"/>
  <c r="C2014"/>
  <c r="D2013"/>
  <c r="C2013"/>
  <c r="B2013"/>
  <c r="C2012"/>
  <c r="D2011"/>
  <c r="C2011"/>
  <c r="B2011"/>
  <c r="C2010"/>
  <c r="D2009"/>
  <c r="C2009"/>
  <c r="B2009"/>
  <c r="C2008"/>
  <c r="D2007"/>
  <c r="C2007"/>
  <c r="B2007"/>
  <c r="C2006"/>
  <c r="D2005"/>
  <c r="C2005"/>
  <c r="B2005"/>
  <c r="C2004"/>
  <c r="D2003"/>
  <c r="C2003"/>
  <c r="B2003"/>
  <c r="C2002"/>
  <c r="D2001"/>
  <c r="C2001"/>
  <c r="B2001"/>
  <c r="C2000"/>
  <c r="D1999"/>
  <c r="C1999"/>
  <c r="B1999"/>
  <c r="C1998"/>
  <c r="D1997"/>
  <c r="C1997"/>
  <c r="B1997"/>
  <c r="C1996"/>
  <c r="D1995"/>
  <c r="C1995"/>
  <c r="B1995"/>
  <c r="C1994"/>
  <c r="D1993"/>
  <c r="C1993"/>
  <c r="B1993"/>
  <c r="C1992"/>
  <c r="D1991"/>
  <c r="C1991"/>
  <c r="B1991"/>
  <c r="C1990"/>
  <c r="D1989"/>
  <c r="C1989"/>
  <c r="B1989"/>
  <c r="C1988"/>
  <c r="D1987"/>
  <c r="C1987"/>
  <c r="B1987"/>
  <c r="C1986"/>
  <c r="D1985"/>
  <c r="C1985"/>
  <c r="B1985"/>
  <c r="C1984"/>
  <c r="D1983"/>
  <c r="C1983"/>
  <c r="B1983"/>
  <c r="C1982"/>
  <c r="D1981"/>
  <c r="C1981"/>
  <c r="B1981"/>
  <c r="C1980"/>
  <c r="D1979"/>
  <c r="C1979"/>
  <c r="B1979"/>
  <c r="C1978"/>
  <c r="D1977"/>
  <c r="C1977"/>
  <c r="B1977"/>
  <c r="C1976"/>
  <c r="D1975"/>
  <c r="C1975"/>
  <c r="B1975"/>
  <c r="C1974"/>
  <c r="D1973"/>
  <c r="C1973"/>
  <c r="B1973"/>
  <c r="C1972"/>
  <c r="D1971"/>
  <c r="C1971"/>
  <c r="B1971"/>
  <c r="C1970"/>
  <c r="D1969"/>
  <c r="C1969"/>
  <c r="B1969"/>
  <c r="C1968"/>
  <c r="D1967"/>
  <c r="C1967"/>
  <c r="B1967"/>
  <c r="C1966"/>
  <c r="D1965"/>
  <c r="C1965"/>
  <c r="B1965"/>
  <c r="C1964"/>
  <c r="D1963"/>
  <c r="C1963"/>
  <c r="B1963"/>
  <c r="C1962"/>
  <c r="D1961"/>
  <c r="C1961"/>
  <c r="B1961"/>
  <c r="C1960"/>
  <c r="D1959"/>
  <c r="C1959"/>
  <c r="B1959"/>
  <c r="C1958"/>
  <c r="D1957"/>
  <c r="C1957"/>
  <c r="B1957"/>
  <c r="C1956"/>
  <c r="D1955"/>
  <c r="C1955"/>
  <c r="B1955"/>
  <c r="C1954"/>
  <c r="D1953"/>
  <c r="C1953"/>
  <c r="B1953"/>
  <c r="C1952"/>
  <c r="D1951"/>
  <c r="C1951"/>
  <c r="B1951"/>
  <c r="C1950"/>
  <c r="D1949"/>
  <c r="C1949"/>
  <c r="B1949"/>
  <c r="C1948"/>
  <c r="D1947"/>
  <c r="C1947"/>
  <c r="B1947"/>
  <c r="C1946"/>
  <c r="D1945"/>
  <c r="C1945"/>
  <c r="B1945"/>
  <c r="C1944"/>
  <c r="D1943"/>
  <c r="C1943"/>
  <c r="B1943"/>
  <c r="C1942"/>
  <c r="D1941"/>
  <c r="C1941"/>
  <c r="B1941"/>
  <c r="C1940"/>
  <c r="D1939"/>
  <c r="C1939"/>
  <c r="B1939"/>
  <c r="C1938"/>
  <c r="D1937"/>
  <c r="C1937"/>
  <c r="B1937"/>
  <c r="C1936"/>
  <c r="D1935"/>
  <c r="C1935"/>
  <c r="B1935"/>
  <c r="C1934"/>
  <c r="D1933"/>
  <c r="C1933"/>
  <c r="B1933"/>
  <c r="C1932"/>
  <c r="D1931"/>
  <c r="C1931"/>
  <c r="B1931"/>
  <c r="C1930"/>
  <c r="D1929"/>
  <c r="C1929"/>
  <c r="B1929"/>
  <c r="C1928"/>
  <c r="D1927"/>
  <c r="C1927"/>
  <c r="B1927"/>
  <c r="C1926"/>
  <c r="D1925"/>
  <c r="C1925"/>
  <c r="B1925"/>
  <c r="C1924"/>
  <c r="D1923"/>
  <c r="C1923"/>
  <c r="B1923"/>
  <c r="C1922"/>
  <c r="D1921"/>
  <c r="C1921"/>
  <c r="B1921"/>
  <c r="C1920"/>
  <c r="D1919"/>
  <c r="C1919"/>
  <c r="B1919"/>
  <c r="C1918"/>
  <c r="D1917"/>
  <c r="C1917"/>
  <c r="B1917"/>
  <c r="C1916"/>
  <c r="D1915"/>
  <c r="C1915"/>
  <c r="B1915"/>
  <c r="C1914"/>
  <c r="D1913"/>
  <c r="C1913"/>
  <c r="B1913"/>
  <c r="C1912"/>
  <c r="D1911"/>
  <c r="C1911"/>
  <c r="B1911"/>
  <c r="C1910"/>
  <c r="D1909"/>
  <c r="C1909"/>
  <c r="B1909"/>
  <c r="C1908"/>
  <c r="D1907"/>
  <c r="C1907"/>
  <c r="B1907"/>
  <c r="C1906"/>
  <c r="D1905"/>
  <c r="C1905"/>
  <c r="B1905"/>
  <c r="C1904"/>
  <c r="D1903"/>
  <c r="C1903"/>
  <c r="B1903"/>
  <c r="C1902"/>
  <c r="D1901"/>
  <c r="C1901"/>
  <c r="B1901"/>
  <c r="C1900"/>
  <c r="D1899"/>
  <c r="C1899"/>
  <c r="B1899"/>
  <c r="C1898"/>
  <c r="D1897"/>
  <c r="C1897"/>
  <c r="B1897"/>
  <c r="C1896"/>
  <c r="D1895"/>
  <c r="C1895"/>
  <c r="B1895"/>
  <c r="C1894"/>
  <c r="D1893"/>
  <c r="C1893"/>
  <c r="B1893"/>
  <c r="C1892"/>
  <c r="D1891"/>
  <c r="C1891"/>
  <c r="B1891"/>
  <c r="C1890"/>
  <c r="D1889"/>
  <c r="C1889"/>
  <c r="B1889"/>
  <c r="C1888"/>
  <c r="D1887"/>
  <c r="C1887"/>
  <c r="B1887"/>
  <c r="C1886"/>
  <c r="D1885"/>
  <c r="C1885"/>
  <c r="B1885"/>
  <c r="C1884"/>
  <c r="D1883"/>
  <c r="C1883"/>
  <c r="B1883"/>
  <c r="C1882"/>
  <c r="D1881"/>
  <c r="C1881"/>
  <c r="B1881"/>
  <c r="C1880"/>
  <c r="D1879"/>
  <c r="C1879"/>
  <c r="B1879"/>
  <c r="C1878"/>
  <c r="D1877"/>
  <c r="C1877"/>
  <c r="B1877"/>
  <c r="C1876"/>
  <c r="D1875"/>
  <c r="C1875"/>
  <c r="B1875"/>
  <c r="C1874"/>
  <c r="D1873"/>
  <c r="C1873"/>
  <c r="B1873"/>
  <c r="C1872"/>
  <c r="D1871"/>
  <c r="C1871"/>
  <c r="B1871"/>
  <c r="C1870"/>
  <c r="D1869"/>
  <c r="C1869"/>
  <c r="B1869"/>
  <c r="C1868"/>
  <c r="D1867"/>
  <c r="C1867"/>
  <c r="B1867"/>
  <c r="C1866"/>
  <c r="D1865"/>
  <c r="C1865"/>
  <c r="B1865"/>
  <c r="C1864"/>
  <c r="D1863"/>
  <c r="C1863"/>
  <c r="B1863"/>
  <c r="C1862"/>
  <c r="D1861"/>
  <c r="C1861"/>
  <c r="B1861"/>
  <c r="C1860"/>
  <c r="D1859"/>
  <c r="C1859"/>
  <c r="B1859"/>
  <c r="C1858"/>
  <c r="D1857"/>
  <c r="C1857"/>
  <c r="B1857"/>
  <c r="C1856"/>
  <c r="D1855"/>
  <c r="C1855"/>
  <c r="B1855"/>
  <c r="C1854"/>
  <c r="D1853"/>
  <c r="C1853"/>
  <c r="B1853"/>
  <c r="C1852"/>
  <c r="D1851"/>
  <c r="C1851"/>
  <c r="B1851"/>
  <c r="C1850"/>
  <c r="D1849"/>
  <c r="C1849"/>
  <c r="B1849"/>
  <c r="C1848"/>
  <c r="D1847"/>
  <c r="C1847"/>
  <c r="B1847"/>
  <c r="C1846"/>
  <c r="D1845"/>
  <c r="C1845"/>
  <c r="B1845"/>
  <c r="C1844"/>
  <c r="D1843"/>
  <c r="C1843"/>
  <c r="B1843"/>
  <c r="C1842"/>
  <c r="D1841"/>
  <c r="C1841"/>
  <c r="B1841"/>
  <c r="C1840"/>
  <c r="D1839"/>
  <c r="C1839"/>
  <c r="B1839"/>
  <c r="C1838"/>
  <c r="D1837"/>
  <c r="C1837"/>
  <c r="B1837"/>
  <c r="C1836"/>
  <c r="D1835"/>
  <c r="C1835"/>
  <c r="B1835"/>
  <c r="C1834"/>
  <c r="D1833"/>
  <c r="C1833"/>
  <c r="B1833"/>
  <c r="C1832"/>
  <c r="D1831"/>
  <c r="C1831"/>
  <c r="B1831"/>
  <c r="C1830"/>
  <c r="D1829"/>
  <c r="C1829"/>
  <c r="B1829"/>
  <c r="C1828"/>
  <c r="D1827"/>
  <c r="C1827"/>
  <c r="B1827"/>
  <c r="C1826"/>
  <c r="D1825"/>
  <c r="C1825"/>
  <c r="B1825"/>
  <c r="C1824"/>
  <c r="D1823"/>
  <c r="C1823"/>
  <c r="B1823"/>
  <c r="C1822"/>
  <c r="D1821"/>
  <c r="C1821"/>
  <c r="B1821"/>
  <c r="C1820"/>
  <c r="D1819"/>
  <c r="C1819"/>
  <c r="B1819"/>
  <c r="C1818"/>
  <c r="D1817"/>
  <c r="C1817"/>
  <c r="B1817"/>
  <c r="C1816"/>
  <c r="D1815"/>
  <c r="C1815"/>
  <c r="B1815"/>
  <c r="C1814"/>
  <c r="D1813"/>
  <c r="C1813"/>
  <c r="B1813"/>
  <c r="C1812"/>
  <c r="D1811"/>
  <c r="C1811"/>
  <c r="B1811"/>
  <c r="C1810"/>
  <c r="D1809"/>
  <c r="C1809"/>
  <c r="B1809"/>
  <c r="C1808"/>
  <c r="D1807"/>
  <c r="C1807"/>
  <c r="B1807"/>
  <c r="C1806"/>
  <c r="D1805"/>
  <c r="C1805"/>
  <c r="B1805"/>
  <c r="C1804"/>
  <c r="D1803"/>
  <c r="C1803"/>
  <c r="B1803"/>
  <c r="C1802"/>
  <c r="D1801"/>
  <c r="C1801"/>
  <c r="B1801"/>
  <c r="C1800"/>
  <c r="D1799"/>
  <c r="C1799"/>
  <c r="B1799"/>
  <c r="C1798"/>
  <c r="D1797"/>
  <c r="C1797"/>
  <c r="B1797"/>
  <c r="C1796"/>
  <c r="D1795"/>
  <c r="C1795"/>
  <c r="B1795"/>
  <c r="C1794"/>
  <c r="D1793"/>
  <c r="C1793"/>
  <c r="B1793"/>
  <c r="C1792"/>
  <c r="D1791"/>
  <c r="C1791"/>
  <c r="B1791"/>
  <c r="C1790"/>
  <c r="D1789"/>
  <c r="C1789"/>
  <c r="B1789"/>
  <c r="C1788"/>
  <c r="D1787"/>
  <c r="C1787"/>
  <c r="B1787"/>
  <c r="C1786"/>
  <c r="D1785"/>
  <c r="C1785"/>
  <c r="B1785"/>
  <c r="C1784"/>
  <c r="D1783"/>
  <c r="C1783"/>
  <c r="B1783"/>
  <c r="C1782"/>
  <c r="D1781"/>
  <c r="C1781"/>
  <c r="B1781"/>
  <c r="C1780"/>
  <c r="D1779"/>
  <c r="C1779"/>
  <c r="B1779"/>
  <c r="C1778"/>
  <c r="D1777"/>
  <c r="C1777"/>
  <c r="B1777"/>
  <c r="C1776"/>
  <c r="D1775"/>
  <c r="C1775"/>
  <c r="B1775"/>
  <c r="C1774"/>
  <c r="D1773"/>
  <c r="C1773"/>
  <c r="B1773"/>
  <c r="C1772"/>
  <c r="D1771"/>
  <c r="C1771"/>
  <c r="B1771"/>
  <c r="C1770"/>
  <c r="D1769"/>
  <c r="C1769"/>
  <c r="B1769"/>
  <c r="C1768"/>
  <c r="D1767"/>
  <c r="C1767"/>
  <c r="B1767"/>
  <c r="C1766"/>
  <c r="D1765"/>
  <c r="C1765"/>
  <c r="B1765"/>
  <c r="C1764"/>
  <c r="D1763"/>
  <c r="C1763"/>
  <c r="B1763"/>
  <c r="C1762"/>
  <c r="D1761"/>
  <c r="C1761"/>
  <c r="B1761"/>
  <c r="C1760"/>
  <c r="D1759"/>
  <c r="C1759"/>
  <c r="B1759"/>
  <c r="C1758"/>
  <c r="D1757"/>
  <c r="C1757"/>
  <c r="B1757"/>
  <c r="C1756"/>
  <c r="D1755"/>
  <c r="C1755"/>
  <c r="B1755"/>
  <c r="C1754"/>
  <c r="D1753"/>
  <c r="C1753"/>
  <c r="B1753"/>
  <c r="C1752"/>
  <c r="D1751"/>
  <c r="C1751"/>
  <c r="B1751"/>
  <c r="C1750"/>
  <c r="D1749"/>
  <c r="C1749"/>
  <c r="B1749"/>
  <c r="C1748"/>
  <c r="D1747"/>
  <c r="C1747"/>
  <c r="B1747"/>
  <c r="C1746"/>
  <c r="D1745"/>
  <c r="C1745"/>
  <c r="B1745"/>
  <c r="C1744"/>
  <c r="D1743"/>
  <c r="C1743"/>
  <c r="B1743"/>
  <c r="C1742"/>
  <c r="D1741"/>
  <c r="C1741"/>
  <c r="B1741"/>
  <c r="C1740"/>
  <c r="D1739"/>
  <c r="C1739"/>
  <c r="B1739"/>
  <c r="C1738"/>
  <c r="D1737"/>
  <c r="C1737"/>
  <c r="B1737"/>
  <c r="C1736"/>
  <c r="D1735"/>
  <c r="C1735"/>
  <c r="B1735"/>
  <c r="C1734"/>
  <c r="D1733"/>
  <c r="C1733"/>
  <c r="B1733"/>
  <c r="C1732"/>
  <c r="D1731"/>
  <c r="C1731"/>
  <c r="B1731"/>
  <c r="C1730"/>
  <c r="D1729"/>
  <c r="C1729"/>
  <c r="B1729"/>
  <c r="C1728"/>
  <c r="D1727"/>
  <c r="C1727"/>
  <c r="B1727"/>
  <c r="C1726"/>
  <c r="D1725"/>
  <c r="C1725"/>
  <c r="B1725"/>
  <c r="C1724"/>
  <c r="D1723"/>
  <c r="C1723"/>
  <c r="B1723"/>
  <c r="C1722"/>
  <c r="D1721"/>
  <c r="C1721"/>
  <c r="B1721"/>
  <c r="C1720"/>
  <c r="D1719"/>
  <c r="C1719"/>
  <c r="B1719"/>
  <c r="C1718"/>
  <c r="D1717"/>
  <c r="C1717"/>
  <c r="B1717"/>
  <c r="C1716"/>
  <c r="D1715"/>
  <c r="C1715"/>
  <c r="B1715"/>
  <c r="C1714"/>
  <c r="D1713"/>
  <c r="C1713"/>
  <c r="B1713"/>
  <c r="C1712"/>
  <c r="D1711"/>
  <c r="C1711"/>
  <c r="B1711"/>
  <c r="C1710"/>
  <c r="D1709"/>
  <c r="C1709"/>
  <c r="B1709"/>
  <c r="C1708"/>
  <c r="D1707"/>
  <c r="C1707"/>
  <c r="B1707"/>
  <c r="C1706"/>
  <c r="D1705"/>
  <c r="C1705"/>
  <c r="B1705"/>
  <c r="C1704"/>
  <c r="D1703"/>
  <c r="C1703"/>
  <c r="B1703"/>
  <c r="C1702"/>
  <c r="D1701"/>
  <c r="C1701"/>
  <c r="B1701"/>
  <c r="C1700"/>
  <c r="D1699"/>
  <c r="C1699"/>
  <c r="B1699"/>
  <c r="C1698"/>
  <c r="D1697"/>
  <c r="C1697"/>
  <c r="B1697"/>
  <c r="C1696"/>
  <c r="D1695"/>
  <c r="C1695"/>
  <c r="B1695"/>
  <c r="C1694"/>
  <c r="D1693"/>
  <c r="C1693"/>
  <c r="B1693"/>
  <c r="C1692"/>
  <c r="D1691"/>
  <c r="C1691"/>
  <c r="B1691"/>
  <c r="C1690"/>
  <c r="D1689"/>
  <c r="C1689"/>
  <c r="B1689"/>
  <c r="C1688"/>
  <c r="D1687"/>
  <c r="C1687"/>
  <c r="B1687"/>
  <c r="C1686"/>
  <c r="D1685"/>
  <c r="C1685"/>
  <c r="B1685"/>
  <c r="C1684"/>
  <c r="D1683"/>
  <c r="C1683"/>
  <c r="B1683"/>
  <c r="C1682"/>
  <c r="D1681"/>
  <c r="C1681"/>
  <c r="B1681"/>
  <c r="C1680"/>
  <c r="D1679"/>
  <c r="C1679"/>
  <c r="B1679"/>
  <c r="C1678"/>
  <c r="D1677"/>
  <c r="C1677"/>
  <c r="B1677"/>
  <c r="C1676"/>
  <c r="D1675"/>
  <c r="C1675"/>
  <c r="B1675"/>
  <c r="C1674"/>
  <c r="D1673"/>
  <c r="C1673"/>
  <c r="B1673"/>
  <c r="C1672"/>
  <c r="D1671"/>
  <c r="C1671"/>
  <c r="B1671"/>
  <c r="C1670"/>
  <c r="D1669"/>
  <c r="C1669"/>
  <c r="B1669"/>
  <c r="C1668"/>
  <c r="D1667"/>
  <c r="C1667"/>
  <c r="B1667"/>
  <c r="C1666"/>
  <c r="D1665"/>
  <c r="C1665"/>
  <c r="B1665"/>
  <c r="C1664"/>
  <c r="D1663"/>
  <c r="C1663"/>
  <c r="B1663"/>
  <c r="C1662"/>
  <c r="D1661"/>
  <c r="C1661"/>
  <c r="B1661"/>
  <c r="C1660"/>
  <c r="D1659"/>
  <c r="C1659"/>
  <c r="B1659"/>
  <c r="C1658"/>
  <c r="D1657"/>
  <c r="C1657"/>
  <c r="B1657"/>
  <c r="C1656"/>
  <c r="D1655"/>
  <c r="C1655"/>
  <c r="B1655"/>
  <c r="C1654"/>
  <c r="D1653"/>
  <c r="C1653"/>
  <c r="B1653"/>
  <c r="C1652"/>
  <c r="D1651"/>
  <c r="C1651"/>
  <c r="B1651"/>
  <c r="C1650"/>
  <c r="D1649"/>
  <c r="C1649"/>
  <c r="B1649"/>
  <c r="C1648"/>
  <c r="D1647"/>
  <c r="C1647"/>
  <c r="B1647"/>
  <c r="C1646"/>
  <c r="D1645"/>
  <c r="C1645"/>
  <c r="B1645"/>
  <c r="C1644"/>
  <c r="D1643"/>
  <c r="C1643"/>
  <c r="B1643"/>
  <c r="C1642"/>
  <c r="D1641"/>
  <c r="C1641"/>
  <c r="B1641"/>
  <c r="C1640"/>
  <c r="D1639"/>
  <c r="C1639"/>
  <c r="B1639"/>
  <c r="C1638"/>
  <c r="D1637"/>
  <c r="C1637"/>
  <c r="B1637"/>
  <c r="C1636"/>
  <c r="D1635"/>
  <c r="C1635"/>
  <c r="B1635"/>
  <c r="C1634"/>
  <c r="D1633"/>
  <c r="C1633"/>
  <c r="B1633"/>
  <c r="C1632"/>
  <c r="D1631"/>
  <c r="C1631"/>
  <c r="B1631"/>
  <c r="C1630"/>
  <c r="D1629"/>
  <c r="C1629"/>
  <c r="B1629"/>
  <c r="C1628"/>
  <c r="D1627"/>
  <c r="C1627"/>
  <c r="B1627"/>
  <c r="C1626"/>
  <c r="D1625"/>
  <c r="C1625"/>
  <c r="B1625"/>
  <c r="C1624"/>
  <c r="D1623"/>
  <c r="C1623"/>
  <c r="B1623"/>
  <c r="C1622"/>
  <c r="D1621"/>
  <c r="C1621"/>
  <c r="B1621"/>
  <c r="C1620"/>
  <c r="D1619"/>
  <c r="C1619"/>
  <c r="B1619"/>
  <c r="C1618"/>
  <c r="D1617"/>
  <c r="C1617"/>
  <c r="B1617"/>
  <c r="C1616"/>
  <c r="D1615"/>
  <c r="C1615"/>
  <c r="B1615"/>
  <c r="C1614"/>
  <c r="D1613"/>
  <c r="C1613"/>
  <c r="B1613"/>
  <c r="C1612"/>
  <c r="D1611"/>
  <c r="C1611"/>
  <c r="B1611"/>
  <c r="C1610"/>
  <c r="D1609"/>
  <c r="C1609"/>
  <c r="B1609"/>
  <c r="C1608"/>
  <c r="D1607"/>
  <c r="C1607"/>
  <c r="B1607"/>
  <c r="C1606"/>
  <c r="D1605"/>
  <c r="C1605"/>
  <c r="B1605"/>
  <c r="C1604"/>
  <c r="D1603"/>
  <c r="C1603"/>
  <c r="B1603"/>
  <c r="C1602"/>
  <c r="D1601"/>
  <c r="C1601"/>
  <c r="B1601"/>
  <c r="C1600"/>
  <c r="D1599"/>
  <c r="C1599"/>
  <c r="B1599"/>
  <c r="C1598"/>
  <c r="D1597"/>
  <c r="C1597"/>
  <c r="B1597"/>
  <c r="C1596"/>
  <c r="D1595"/>
  <c r="C1595"/>
  <c r="B1595"/>
  <c r="C1594"/>
  <c r="D1593"/>
  <c r="C1593"/>
  <c r="B1593"/>
  <c r="C1592"/>
  <c r="D1591"/>
  <c r="C1591"/>
  <c r="B1591"/>
  <c r="C1590"/>
  <c r="D1589"/>
  <c r="C1589"/>
  <c r="B1589"/>
  <c r="C1588"/>
  <c r="D1587"/>
  <c r="C1587"/>
  <c r="B1587"/>
  <c r="C1586"/>
  <c r="D1585"/>
  <c r="C1585"/>
  <c r="B1585"/>
  <c r="C1584"/>
  <c r="D1583"/>
  <c r="C1583"/>
  <c r="B1583"/>
  <c r="C1582"/>
  <c r="D1581"/>
  <c r="C1581"/>
  <c r="B1581"/>
  <c r="C1580"/>
  <c r="D1579"/>
  <c r="C1579"/>
  <c r="B1579"/>
  <c r="C1578"/>
  <c r="D1577"/>
  <c r="C1577"/>
  <c r="B1577"/>
  <c r="C1576"/>
  <c r="D1575"/>
  <c r="C1575"/>
  <c r="B1575"/>
  <c r="C1574"/>
  <c r="D1573"/>
  <c r="C1573"/>
  <c r="B1573"/>
  <c r="C1572"/>
  <c r="D1571"/>
  <c r="C1571"/>
  <c r="B1571"/>
  <c r="C1570"/>
  <c r="D1569"/>
  <c r="C1569"/>
  <c r="B1569"/>
  <c r="C1568"/>
  <c r="D1567"/>
  <c r="C1567"/>
  <c r="B1567"/>
  <c r="C1566"/>
  <c r="D1565"/>
  <c r="C1565"/>
  <c r="B1565"/>
  <c r="C1564"/>
  <c r="D1563"/>
  <c r="C1563"/>
  <c r="B1563"/>
  <c r="C1562"/>
  <c r="D1561"/>
  <c r="C1561"/>
  <c r="B1561"/>
  <c r="C1560"/>
  <c r="D1559"/>
  <c r="C1559"/>
  <c r="B1559"/>
  <c r="C1558"/>
  <c r="D1557"/>
  <c r="C1557"/>
  <c r="B1557"/>
  <c r="C1556"/>
  <c r="D1555"/>
  <c r="C1555"/>
  <c r="B1555"/>
  <c r="C1554"/>
  <c r="D1553"/>
  <c r="C1553"/>
  <c r="B1553"/>
  <c r="C1552"/>
  <c r="D1551"/>
  <c r="C1551"/>
  <c r="B1551"/>
  <c r="C1550"/>
  <c r="D1549"/>
  <c r="C1549"/>
  <c r="B1549"/>
  <c r="C1548"/>
  <c r="D1547"/>
  <c r="C1547"/>
  <c r="B1547"/>
  <c r="C1546"/>
  <c r="D1545"/>
  <c r="C1545"/>
  <c r="B1545"/>
  <c r="C1544"/>
  <c r="D1543"/>
  <c r="C1543"/>
  <c r="B1543"/>
  <c r="C1542"/>
  <c r="D1541"/>
  <c r="C1541"/>
  <c r="B1541"/>
  <c r="C1540"/>
  <c r="D1539"/>
  <c r="C1539"/>
  <c r="B1539"/>
  <c r="C1538"/>
  <c r="D1537"/>
  <c r="C1537"/>
  <c r="B1537"/>
  <c r="C1536"/>
  <c r="D1535"/>
  <c r="C1535"/>
  <c r="B1535"/>
  <c r="C1534"/>
  <c r="D1533"/>
  <c r="C1533"/>
  <c r="B1533"/>
  <c r="C1532"/>
  <c r="D1531"/>
  <c r="C1531"/>
  <c r="B1531"/>
  <c r="C1530"/>
  <c r="D1529"/>
  <c r="C1529"/>
  <c r="B1529"/>
  <c r="C1528"/>
  <c r="D1527"/>
  <c r="C1527"/>
  <c r="B1527"/>
  <c r="C1526"/>
  <c r="D1525"/>
  <c r="C1525"/>
  <c r="B1525"/>
  <c r="C1524"/>
  <c r="D1523"/>
  <c r="C1523"/>
  <c r="B1523"/>
  <c r="C1522"/>
  <c r="D1521"/>
  <c r="C1521"/>
  <c r="B1521"/>
  <c r="C1520"/>
  <c r="D1519"/>
  <c r="C1519"/>
  <c r="B1519"/>
  <c r="C1518"/>
  <c r="D1517"/>
  <c r="C1517"/>
  <c r="B1517"/>
  <c r="C1516"/>
  <c r="D1515"/>
  <c r="C1515"/>
  <c r="B1515"/>
  <c r="C1514"/>
  <c r="D1513"/>
  <c r="C1513"/>
  <c r="B1513"/>
  <c r="C1512"/>
  <c r="D1511"/>
  <c r="C1511"/>
  <c r="B1511"/>
  <c r="C1510"/>
  <c r="D1509"/>
  <c r="C1509"/>
  <c r="B1509"/>
  <c r="C1508"/>
  <c r="D1507"/>
  <c r="C1507"/>
  <c r="B1507"/>
  <c r="C1506"/>
  <c r="D1505"/>
  <c r="C1505"/>
  <c r="B1505"/>
  <c r="C1504"/>
  <c r="D1503"/>
  <c r="C1503"/>
  <c r="B1503"/>
  <c r="C1502"/>
  <c r="D1501"/>
  <c r="C1501"/>
  <c r="B1501"/>
  <c r="C1500"/>
  <c r="D1499"/>
  <c r="C1499"/>
  <c r="B1499"/>
  <c r="C1498"/>
  <c r="D1497"/>
  <c r="C1497"/>
  <c r="B1497"/>
  <c r="C1496"/>
  <c r="D1495"/>
  <c r="C1495"/>
  <c r="B1495"/>
  <c r="C1494"/>
  <c r="D1493"/>
  <c r="C1493"/>
  <c r="B1493"/>
  <c r="C1492"/>
  <c r="D1491"/>
  <c r="C1491"/>
  <c r="B1491"/>
  <c r="C1490"/>
  <c r="D1489"/>
  <c r="C1489"/>
  <c r="B1489"/>
  <c r="C1488"/>
  <c r="D1487"/>
  <c r="C1487"/>
  <c r="B1487"/>
  <c r="C1486"/>
  <c r="D1485"/>
  <c r="C1485"/>
  <c r="B1485"/>
  <c r="C1484"/>
  <c r="D1483"/>
  <c r="C1483"/>
  <c r="B1483"/>
  <c r="C1482"/>
  <c r="D1481"/>
  <c r="C1481"/>
  <c r="B1481"/>
  <c r="C1480"/>
  <c r="D1479"/>
  <c r="C1479"/>
  <c r="B1479"/>
  <c r="C1478"/>
  <c r="D1477"/>
  <c r="C1477"/>
  <c r="B1477"/>
  <c r="C1476"/>
  <c r="D1475"/>
  <c r="C1475"/>
  <c r="B1475"/>
  <c r="C1474"/>
  <c r="D1473"/>
  <c r="C1473"/>
  <c r="B1473"/>
  <c r="C1472"/>
  <c r="D1471"/>
  <c r="C1471"/>
  <c r="B1471"/>
  <c r="C1470"/>
  <c r="D1469"/>
  <c r="C1469"/>
  <c r="B1469"/>
  <c r="C1468"/>
  <c r="D1467"/>
  <c r="C1467"/>
  <c r="B1467"/>
  <c r="C1466"/>
  <c r="D1465"/>
  <c r="C1465"/>
  <c r="B1465"/>
  <c r="C1464"/>
  <c r="D1463"/>
  <c r="C1463"/>
  <c r="B1463"/>
  <c r="C1462"/>
  <c r="D1461"/>
  <c r="C1461"/>
  <c r="B1461"/>
  <c r="C1460"/>
  <c r="D1459"/>
  <c r="C1459"/>
  <c r="B1459"/>
  <c r="C1458"/>
  <c r="D1457"/>
  <c r="C1457"/>
  <c r="B1457"/>
  <c r="C1456"/>
  <c r="D1455"/>
  <c r="C1455"/>
  <c r="B1455"/>
  <c r="C1454"/>
  <c r="D1453"/>
  <c r="C1453"/>
  <c r="B1453"/>
  <c r="C1452"/>
  <c r="D1451"/>
  <c r="C1451"/>
  <c r="B1451"/>
  <c r="C1450"/>
  <c r="D1449"/>
  <c r="C1449"/>
  <c r="B1449"/>
  <c r="C1448"/>
  <c r="D1447"/>
  <c r="C1447"/>
  <c r="B1447"/>
  <c r="C1446"/>
  <c r="D1445"/>
  <c r="C1445"/>
  <c r="B1445"/>
  <c r="C1444"/>
  <c r="D1443"/>
  <c r="C1443"/>
  <c r="B1443"/>
  <c r="C1442"/>
  <c r="D1441"/>
  <c r="C1441"/>
  <c r="B1441"/>
  <c r="C1440"/>
  <c r="D1439"/>
  <c r="C1439"/>
  <c r="B1439"/>
  <c r="C1438"/>
  <c r="D1437"/>
  <c r="C1437"/>
  <c r="B1437"/>
  <c r="C1436"/>
  <c r="D1435"/>
  <c r="C1435"/>
  <c r="B1435"/>
  <c r="C1434"/>
  <c r="D1433"/>
  <c r="C1433"/>
  <c r="B1433"/>
  <c r="C1432"/>
  <c r="D1431"/>
  <c r="C1431"/>
  <c r="B1431"/>
  <c r="C1430"/>
  <c r="D1429"/>
  <c r="C1429"/>
  <c r="B1429"/>
  <c r="C1428"/>
  <c r="D1427"/>
  <c r="C1427"/>
  <c r="B1427"/>
  <c r="C1426"/>
  <c r="D1425"/>
  <c r="C1425"/>
  <c r="B1425"/>
  <c r="C1424"/>
  <c r="D1423"/>
  <c r="C1423"/>
  <c r="B1423"/>
  <c r="C1422"/>
  <c r="D1421"/>
  <c r="C1421"/>
  <c r="B1421"/>
  <c r="C1420"/>
  <c r="D1419"/>
  <c r="C1419"/>
  <c r="B1419"/>
  <c r="C1418"/>
  <c r="D1417"/>
  <c r="C1417"/>
  <c r="B1417"/>
  <c r="C1416"/>
  <c r="D1415"/>
  <c r="C1415"/>
  <c r="B1415"/>
  <c r="C1414"/>
  <c r="D1413"/>
  <c r="C1413"/>
  <c r="B1413"/>
  <c r="C1412"/>
  <c r="D1411"/>
  <c r="C1411"/>
  <c r="B1411"/>
  <c r="C1410"/>
  <c r="D1409"/>
  <c r="C1409"/>
  <c r="B1409"/>
  <c r="C1408"/>
  <c r="D1407"/>
  <c r="C1407"/>
  <c r="B1407"/>
  <c r="C1406"/>
  <c r="D1405"/>
  <c r="C1405"/>
  <c r="B1405"/>
  <c r="C1404"/>
  <c r="D1403"/>
  <c r="C1403"/>
  <c r="B1403"/>
  <c r="C1402"/>
  <c r="D1401"/>
  <c r="C1401"/>
  <c r="B1401"/>
  <c r="C1400"/>
  <c r="D1399"/>
  <c r="C1399"/>
  <c r="B1399"/>
  <c r="C1398"/>
  <c r="D1397"/>
  <c r="C1397"/>
  <c r="B1397"/>
  <c r="C1396"/>
  <c r="D1395"/>
  <c r="C1395"/>
  <c r="B1395"/>
  <c r="C1394"/>
  <c r="D1393"/>
  <c r="C1393"/>
  <c r="B1393"/>
  <c r="C1392"/>
  <c r="D1391"/>
  <c r="C1391"/>
  <c r="B1391"/>
  <c r="C1390"/>
  <c r="D1389"/>
  <c r="C1389"/>
  <c r="B1389"/>
  <c r="C1388"/>
  <c r="D1387"/>
  <c r="C1387"/>
  <c r="B1387"/>
  <c r="C1386"/>
  <c r="D1385"/>
  <c r="C1385"/>
  <c r="B1385"/>
  <c r="C1384"/>
  <c r="D1383"/>
  <c r="C1383"/>
  <c r="B1383"/>
  <c r="C1382"/>
  <c r="D1381"/>
  <c r="C1381"/>
  <c r="B1381"/>
  <c r="C1380"/>
  <c r="D1379"/>
  <c r="C1379"/>
  <c r="B1379"/>
  <c r="C1378"/>
  <c r="D1377"/>
  <c r="C1377"/>
  <c r="B1377"/>
  <c r="C1376"/>
  <c r="D1375"/>
  <c r="C1375"/>
  <c r="B1375"/>
  <c r="C1374"/>
  <c r="D1373"/>
  <c r="C1373"/>
  <c r="B1373"/>
  <c r="C1372"/>
  <c r="D1371"/>
  <c r="C1371"/>
  <c r="B1371"/>
  <c r="C1370"/>
  <c r="D1369"/>
  <c r="C1369"/>
  <c r="B1369"/>
  <c r="C1368"/>
  <c r="D1367"/>
  <c r="C1367"/>
  <c r="B1367"/>
  <c r="C1366"/>
  <c r="D1365"/>
  <c r="C1365"/>
  <c r="B1365"/>
  <c r="C1364"/>
  <c r="D1363"/>
  <c r="C1363"/>
  <c r="B1363"/>
  <c r="C1362"/>
  <c r="D1361"/>
  <c r="C1361"/>
  <c r="B1361"/>
  <c r="C1360"/>
  <c r="D1359"/>
  <c r="C1359"/>
  <c r="B1359"/>
  <c r="C1358"/>
  <c r="D1357"/>
  <c r="C1357"/>
  <c r="B1357"/>
  <c r="C1356"/>
  <c r="D1355"/>
  <c r="C1355"/>
  <c r="B1355"/>
  <c r="C1354"/>
  <c r="D1353"/>
  <c r="C1353"/>
  <c r="B1353"/>
  <c r="C1352"/>
  <c r="D1351"/>
  <c r="C1351"/>
  <c r="B1351"/>
  <c r="C1350"/>
  <c r="D1349"/>
  <c r="C1349"/>
  <c r="B1349"/>
  <c r="C1348"/>
  <c r="D1347"/>
  <c r="C1347"/>
  <c r="B1347"/>
  <c r="C1346"/>
  <c r="D1345"/>
  <c r="C1345"/>
  <c r="B1345"/>
  <c r="C1344"/>
  <c r="D1343"/>
  <c r="C1343"/>
  <c r="B1343"/>
  <c r="C1342"/>
  <c r="D1341"/>
  <c r="C1341"/>
  <c r="B1341"/>
  <c r="C1340"/>
  <c r="D1339"/>
  <c r="C1339"/>
  <c r="B1339"/>
  <c r="C1338"/>
  <c r="D1337"/>
  <c r="C1337"/>
  <c r="B1337"/>
  <c r="C1336"/>
  <c r="D1335"/>
  <c r="C1335"/>
  <c r="B1335"/>
  <c r="C1334"/>
  <c r="D1333"/>
  <c r="C1333"/>
  <c r="B1333"/>
  <c r="C1332"/>
  <c r="D1331"/>
  <c r="C1331"/>
  <c r="B1331"/>
  <c r="C1330"/>
  <c r="D1329"/>
  <c r="C1329"/>
  <c r="B1329"/>
  <c r="C1328"/>
  <c r="D1327"/>
  <c r="C1327"/>
  <c r="B1327"/>
  <c r="C1326"/>
  <c r="D1325"/>
  <c r="C1325"/>
  <c r="B1325"/>
  <c r="C1324"/>
  <c r="D1323"/>
  <c r="C1323"/>
  <c r="B1323"/>
  <c r="C1322"/>
  <c r="D1321"/>
  <c r="C1321"/>
  <c r="B1321"/>
  <c r="C1320"/>
  <c r="D1319"/>
  <c r="C1319"/>
  <c r="B1319"/>
  <c r="C1318"/>
  <c r="D1317"/>
  <c r="C1317"/>
  <c r="B1317"/>
  <c r="C1316"/>
  <c r="D1315"/>
  <c r="C1315"/>
  <c r="B1315"/>
  <c r="C1314"/>
  <c r="D1313"/>
  <c r="C1313"/>
  <c r="B1313"/>
  <c r="C1312"/>
  <c r="D1311"/>
  <c r="C1311"/>
  <c r="B1311"/>
  <c r="C1310"/>
  <c r="D1309"/>
  <c r="C1309"/>
  <c r="B1309"/>
  <c r="C1308"/>
  <c r="D1307"/>
  <c r="C1307"/>
  <c r="B1307"/>
  <c r="C1306"/>
  <c r="D1305"/>
  <c r="C1305"/>
  <c r="B1305"/>
  <c r="C1304"/>
  <c r="D1303"/>
  <c r="C1303"/>
  <c r="B1303"/>
  <c r="C1302"/>
  <c r="D1301"/>
  <c r="C1301"/>
  <c r="B1301"/>
  <c r="C1300"/>
  <c r="D1299"/>
  <c r="C1299"/>
  <c r="B1299"/>
  <c r="C1298"/>
  <c r="D1297"/>
  <c r="C1297"/>
  <c r="B1297"/>
  <c r="C1296"/>
  <c r="D1295"/>
  <c r="C1295"/>
  <c r="B1295"/>
  <c r="C1294"/>
  <c r="D1293"/>
  <c r="C1293"/>
  <c r="B1293"/>
  <c r="C1292"/>
  <c r="D1291"/>
  <c r="C1291"/>
  <c r="B1291"/>
  <c r="C1290"/>
  <c r="D1289"/>
  <c r="C1289"/>
  <c r="B1289"/>
  <c r="C1288"/>
  <c r="D1287"/>
  <c r="C1287"/>
  <c r="B1287"/>
  <c r="C1286"/>
  <c r="D1285"/>
  <c r="C1285"/>
  <c r="B1285"/>
  <c r="C1284"/>
  <c r="D1283"/>
  <c r="C1283"/>
  <c r="B1283"/>
  <c r="C1282"/>
  <c r="D1281"/>
  <c r="C1281"/>
  <c r="B1281"/>
  <c r="C1280"/>
  <c r="D1279"/>
  <c r="C1279"/>
  <c r="B1279"/>
  <c r="C1278"/>
  <c r="D1277"/>
  <c r="C1277"/>
  <c r="B1277"/>
  <c r="C1276"/>
  <c r="D1275"/>
  <c r="C1275"/>
  <c r="B1275"/>
  <c r="C1274"/>
  <c r="D1273"/>
  <c r="C1273"/>
  <c r="B1273"/>
  <c r="C1272"/>
  <c r="D1271"/>
  <c r="C1271"/>
  <c r="B1271"/>
  <c r="C1270"/>
  <c r="D1269"/>
  <c r="C1269"/>
  <c r="B1269"/>
  <c r="C1268"/>
  <c r="D1267"/>
  <c r="C1267"/>
  <c r="B1267"/>
  <c r="C1266"/>
  <c r="D1265"/>
  <c r="C1265"/>
  <c r="B1265"/>
  <c r="C1264"/>
  <c r="D1263"/>
  <c r="C1263"/>
  <c r="B1263"/>
  <c r="C1262"/>
  <c r="D1261"/>
  <c r="C1261"/>
  <c r="B1261"/>
  <c r="C1260"/>
  <c r="D1259"/>
  <c r="C1259"/>
  <c r="B1259"/>
  <c r="C1258"/>
  <c r="D1257"/>
  <c r="C1257"/>
  <c r="B1257"/>
  <c r="C1256"/>
  <c r="D1255"/>
  <c r="C1255"/>
  <c r="B1255"/>
  <c r="C1254"/>
  <c r="D1253"/>
  <c r="C1253"/>
  <c r="B1253"/>
  <c r="C1252"/>
  <c r="D1251"/>
  <c r="C1251"/>
  <c r="B1251"/>
  <c r="C1250"/>
  <c r="D1249"/>
  <c r="C1249"/>
  <c r="B1249"/>
  <c r="C1248"/>
  <c r="D1247"/>
  <c r="C1247"/>
  <c r="B1247"/>
  <c r="C1246"/>
  <c r="D1245"/>
  <c r="C1245"/>
  <c r="B1245"/>
  <c r="C1244"/>
  <c r="D1243"/>
  <c r="C1243"/>
  <c r="B1243"/>
  <c r="C1242"/>
  <c r="D1241"/>
  <c r="C1241"/>
  <c r="B1241"/>
  <c r="C1240"/>
  <c r="D1239"/>
  <c r="C1239"/>
  <c r="B1239"/>
  <c r="C1238"/>
  <c r="D1237"/>
  <c r="C1237"/>
  <c r="B1237"/>
  <c r="C1236"/>
  <c r="D1235"/>
  <c r="C1235"/>
  <c r="B1235"/>
  <c r="C1234"/>
  <c r="D1233"/>
  <c r="C1233"/>
  <c r="B1233"/>
  <c r="C1232"/>
  <c r="D1231"/>
  <c r="C1231"/>
  <c r="B1231"/>
  <c r="C1230"/>
  <c r="D1229"/>
  <c r="C1229"/>
  <c r="B1229"/>
  <c r="C1228"/>
  <c r="D1227"/>
  <c r="C1227"/>
  <c r="B1227"/>
  <c r="C1226"/>
  <c r="D1225"/>
  <c r="C1225"/>
  <c r="B1225"/>
  <c r="C1224"/>
  <c r="D1223"/>
  <c r="C1223"/>
  <c r="B1223"/>
  <c r="C1222"/>
  <c r="D1221"/>
  <c r="C1221"/>
  <c r="B1221"/>
  <c r="C1220"/>
  <c r="D1219"/>
  <c r="C1219"/>
  <c r="B1219"/>
  <c r="C1218"/>
  <c r="D1217"/>
  <c r="C1217"/>
  <c r="B1217"/>
  <c r="C1216"/>
  <c r="D1215"/>
  <c r="C1215"/>
  <c r="B1215"/>
  <c r="C1214"/>
  <c r="D1213"/>
  <c r="C1213"/>
  <c r="B1213"/>
  <c r="C1212"/>
  <c r="D1211"/>
  <c r="C1211"/>
  <c r="B1211"/>
  <c r="C1210"/>
  <c r="D1209"/>
  <c r="C1209"/>
  <c r="B1209"/>
  <c r="C1208"/>
  <c r="D1207"/>
  <c r="C1207"/>
  <c r="B1207"/>
  <c r="C1206"/>
  <c r="D1205"/>
  <c r="C1205"/>
  <c r="B1205"/>
  <c r="C1204"/>
  <c r="D1203"/>
  <c r="C1203"/>
  <c r="B1203"/>
  <c r="C1202"/>
  <c r="D1201"/>
  <c r="C1201"/>
  <c r="B1201"/>
  <c r="C1200"/>
  <c r="D1199"/>
  <c r="C1199"/>
  <c r="B1199"/>
  <c r="C1198"/>
  <c r="D1197"/>
  <c r="C1197"/>
  <c r="B1197"/>
  <c r="C1196"/>
  <c r="D1195"/>
  <c r="C1195"/>
  <c r="B1195"/>
  <c r="C1194"/>
  <c r="D1193"/>
  <c r="C1193"/>
  <c r="B1193"/>
  <c r="C1192"/>
  <c r="D1191"/>
  <c r="C1191"/>
  <c r="B1191"/>
  <c r="C1190"/>
  <c r="D1189"/>
  <c r="C1189"/>
  <c r="B1189"/>
  <c r="C1188"/>
  <c r="D1187"/>
  <c r="C1187"/>
  <c r="B1187"/>
  <c r="C1186"/>
  <c r="D1185"/>
  <c r="C1185"/>
  <c r="B1185"/>
  <c r="C1184"/>
  <c r="D1183"/>
  <c r="C1183"/>
  <c r="B1183"/>
  <c r="C1182"/>
  <c r="D1181"/>
  <c r="C1181"/>
  <c r="B1181"/>
  <c r="C1180"/>
  <c r="D1179"/>
  <c r="C1179"/>
  <c r="B1179"/>
  <c r="C1178"/>
  <c r="D1177"/>
  <c r="C1177"/>
  <c r="B1177"/>
  <c r="C1176"/>
  <c r="D1175"/>
  <c r="C1175"/>
  <c r="B1175"/>
  <c r="C1174"/>
  <c r="D1173"/>
  <c r="C1173"/>
  <c r="B1173"/>
  <c r="C1172"/>
  <c r="D1171"/>
  <c r="C1171"/>
  <c r="B1171"/>
  <c r="C1170"/>
  <c r="D1169"/>
  <c r="C1169"/>
  <c r="B1169"/>
  <c r="C1168"/>
  <c r="D1167"/>
  <c r="C1167"/>
  <c r="B1167"/>
  <c r="C1166"/>
  <c r="D1165"/>
  <c r="C1165"/>
  <c r="B1165"/>
  <c r="C1164"/>
  <c r="D1163"/>
  <c r="C1163"/>
  <c r="B1163"/>
  <c r="C1162"/>
  <c r="D1161"/>
  <c r="C1161"/>
  <c r="B1161"/>
  <c r="C1160"/>
  <c r="D1159"/>
  <c r="C1159"/>
  <c r="B1159"/>
  <c r="C1158"/>
  <c r="D1157"/>
  <c r="C1157"/>
  <c r="B1157"/>
  <c r="C1156"/>
  <c r="D1155"/>
  <c r="C1155"/>
  <c r="B1155"/>
  <c r="C1154"/>
  <c r="D1153"/>
  <c r="C1153"/>
  <c r="B1153"/>
  <c r="C1152"/>
  <c r="D1151"/>
  <c r="C1151"/>
  <c r="B1151"/>
  <c r="C1150"/>
  <c r="D1149"/>
  <c r="C1149"/>
  <c r="B1149"/>
  <c r="C1148"/>
  <c r="D1147"/>
  <c r="C1147"/>
  <c r="B1147"/>
  <c r="C1146"/>
  <c r="D1145"/>
  <c r="C1145"/>
  <c r="B1145"/>
  <c r="C1144"/>
  <c r="D1143"/>
  <c r="C1143"/>
  <c r="B1143"/>
  <c r="C1142"/>
  <c r="D1141"/>
  <c r="C1141"/>
  <c r="B1141"/>
  <c r="C1140"/>
  <c r="D1139"/>
  <c r="C1139"/>
  <c r="B1139"/>
  <c r="C1138"/>
  <c r="D1137"/>
  <c r="C1137"/>
  <c r="B1137"/>
  <c r="C1136"/>
  <c r="D1135"/>
  <c r="C1135"/>
  <c r="B1135"/>
  <c r="C1134"/>
  <c r="D1133"/>
  <c r="C1133"/>
  <c r="B1133"/>
  <c r="C1132"/>
  <c r="D1131"/>
  <c r="C1131"/>
  <c r="B1131"/>
  <c r="C1130"/>
  <c r="D1129"/>
  <c r="C1129"/>
  <c r="B1129"/>
  <c r="C1128"/>
  <c r="D1127"/>
  <c r="C1127"/>
  <c r="B1127"/>
  <c r="C1126"/>
  <c r="D1125"/>
  <c r="C1125"/>
  <c r="B1125"/>
  <c r="C1124"/>
  <c r="D1123"/>
  <c r="C1123"/>
  <c r="B1123"/>
  <c r="C1122"/>
  <c r="D1121"/>
  <c r="C1121"/>
  <c r="B1121"/>
  <c r="C1120"/>
  <c r="D1119"/>
  <c r="C1119"/>
  <c r="B1119"/>
  <c r="C1118"/>
  <c r="D1117"/>
  <c r="C1117"/>
  <c r="B1117"/>
  <c r="C1116"/>
  <c r="D1115"/>
  <c r="C1115"/>
  <c r="B1115"/>
  <c r="C1114"/>
  <c r="D1113"/>
  <c r="C1113"/>
  <c r="B1113"/>
  <c r="C1112"/>
  <c r="D1111"/>
  <c r="C1111"/>
  <c r="B1111"/>
  <c r="C1110"/>
  <c r="D1109"/>
  <c r="C1109"/>
  <c r="B1109"/>
  <c r="C1108"/>
  <c r="D1107"/>
  <c r="C1107"/>
  <c r="B1107"/>
  <c r="C1106"/>
  <c r="D1105"/>
  <c r="C1105"/>
  <c r="B1105"/>
  <c r="C1104"/>
  <c r="D1103"/>
  <c r="C1103"/>
  <c r="B1103"/>
  <c r="C1102"/>
  <c r="D1101"/>
  <c r="C1101"/>
  <c r="B1101"/>
  <c r="C1100"/>
  <c r="D1099"/>
  <c r="C1099"/>
  <c r="B1099"/>
  <c r="C1098"/>
  <c r="D1097"/>
  <c r="C1097"/>
  <c r="B1097"/>
  <c r="C1096"/>
  <c r="D1095"/>
  <c r="C1095"/>
  <c r="B1095"/>
  <c r="C1094"/>
  <c r="D1093"/>
  <c r="C1093"/>
  <c r="B1093"/>
  <c r="C1092"/>
  <c r="D1091"/>
  <c r="C1091"/>
  <c r="B1091"/>
  <c r="C1090"/>
  <c r="D1089"/>
  <c r="C1089"/>
  <c r="B1089"/>
  <c r="C1088"/>
  <c r="D1087"/>
  <c r="C1087"/>
  <c r="B1087"/>
  <c r="C1086"/>
  <c r="D1085"/>
  <c r="C1085"/>
  <c r="B1085"/>
  <c r="C1084"/>
  <c r="D1083"/>
  <c r="C1083"/>
  <c r="B1083"/>
  <c r="C1082"/>
  <c r="D1081"/>
  <c r="C1081"/>
  <c r="B1081"/>
  <c r="C1080"/>
  <c r="D1079"/>
  <c r="C1079"/>
  <c r="B1079"/>
  <c r="C1078"/>
  <c r="D1077"/>
  <c r="C1077"/>
  <c r="B1077"/>
  <c r="C1076"/>
  <c r="D1075"/>
  <c r="C1075"/>
  <c r="B1075"/>
  <c r="C1074"/>
  <c r="D1073"/>
  <c r="C1073"/>
  <c r="B1073"/>
  <c r="C1072"/>
  <c r="D1071"/>
  <c r="C1071"/>
  <c r="B1071"/>
  <c r="C1070"/>
  <c r="D1069"/>
  <c r="C1069"/>
  <c r="B1069"/>
  <c r="C1068"/>
  <c r="D1067"/>
  <c r="C1067"/>
  <c r="B1067"/>
  <c r="C1066"/>
  <c r="D1065"/>
  <c r="C1065"/>
  <c r="B1065"/>
  <c r="C1064"/>
  <c r="D1063"/>
  <c r="C1063"/>
  <c r="B1063"/>
  <c r="C1062"/>
  <c r="D1061"/>
  <c r="C1061"/>
  <c r="B1061"/>
  <c r="C1060"/>
  <c r="D1059"/>
  <c r="C1059"/>
  <c r="B1059"/>
  <c r="C1058"/>
  <c r="D1057"/>
  <c r="C1057"/>
  <c r="B1057"/>
  <c r="C1056"/>
  <c r="D1055"/>
  <c r="C1055"/>
  <c r="B1055"/>
  <c r="C1054"/>
  <c r="D1053"/>
  <c r="C1053"/>
  <c r="B1053"/>
  <c r="C1052"/>
  <c r="D1051"/>
  <c r="C1051"/>
  <c r="B1051"/>
  <c r="C1050"/>
  <c r="D1049"/>
  <c r="C1049"/>
  <c r="B1049"/>
  <c r="C1048"/>
  <c r="D1047"/>
  <c r="C1047"/>
  <c r="B1047"/>
  <c r="C1046"/>
  <c r="D1045"/>
  <c r="C1045"/>
  <c r="B1045"/>
  <c r="C1044"/>
  <c r="D1043"/>
  <c r="C1043"/>
  <c r="B1043"/>
  <c r="C1042"/>
  <c r="D1041"/>
  <c r="C1041"/>
  <c r="B1041"/>
  <c r="C1040"/>
  <c r="D1039"/>
  <c r="C1039"/>
  <c r="B1039"/>
  <c r="C1038"/>
  <c r="D1037"/>
  <c r="C1037"/>
  <c r="B1037"/>
  <c r="C1036"/>
  <c r="D1035"/>
  <c r="C1035"/>
  <c r="B1035"/>
  <c r="C1034"/>
  <c r="D1033"/>
  <c r="C1033"/>
  <c r="B1033"/>
  <c r="C1032"/>
  <c r="D1031"/>
  <c r="C1031"/>
  <c r="B1031"/>
  <c r="C1030"/>
  <c r="D1029"/>
  <c r="C1029"/>
  <c r="B1029"/>
  <c r="C1028"/>
  <c r="D1027"/>
  <c r="C1027"/>
  <c r="B1027"/>
  <c r="C1026"/>
  <c r="D1025"/>
  <c r="C1025"/>
  <c r="B1025"/>
  <c r="C1024"/>
  <c r="D1023"/>
  <c r="C1023"/>
  <c r="B1023"/>
  <c r="C1022"/>
  <c r="D1021"/>
  <c r="C1021"/>
  <c r="B1021"/>
  <c r="C1020"/>
  <c r="D1019"/>
  <c r="C1019"/>
  <c r="B1019"/>
  <c r="C1018"/>
  <c r="D1017"/>
  <c r="C1017"/>
  <c r="B1017"/>
  <c r="C1016"/>
  <c r="D1015"/>
  <c r="C1015"/>
  <c r="B1015"/>
  <c r="C1014"/>
  <c r="D1013"/>
  <c r="C1013"/>
  <c r="B1013"/>
  <c r="C1012"/>
  <c r="D1011"/>
  <c r="C1011"/>
  <c r="B1011"/>
  <c r="C1010"/>
  <c r="D1009"/>
  <c r="C1009"/>
  <c r="B1009"/>
  <c r="C1008"/>
  <c r="D1007"/>
  <c r="C1007"/>
  <c r="B1007"/>
  <c r="C1006"/>
  <c r="D1005"/>
  <c r="C1005"/>
  <c r="B1005"/>
  <c r="C1004"/>
  <c r="D1003"/>
  <c r="C1003"/>
  <c r="B1003"/>
  <c r="C1002"/>
  <c r="D1001"/>
  <c r="C1001"/>
  <c r="B1001"/>
  <c r="C1000"/>
  <c r="D999"/>
  <c r="C999"/>
  <c r="B999"/>
  <c r="C998"/>
  <c r="D997"/>
  <c r="C997"/>
  <c r="B997"/>
  <c r="C996"/>
  <c r="D995"/>
  <c r="C995"/>
  <c r="B995"/>
  <c r="C994"/>
  <c r="D993"/>
  <c r="C993"/>
  <c r="B993"/>
  <c r="C992"/>
  <c r="D991"/>
  <c r="C991"/>
  <c r="B991"/>
  <c r="C990"/>
  <c r="D989"/>
  <c r="C989"/>
  <c r="B989"/>
  <c r="C988"/>
  <c r="D987"/>
  <c r="C987"/>
  <c r="B987"/>
  <c r="C986"/>
  <c r="D985"/>
  <c r="C985"/>
  <c r="B985"/>
  <c r="C984"/>
  <c r="D983"/>
  <c r="C983"/>
  <c r="B983"/>
  <c r="C982"/>
  <c r="D981"/>
  <c r="C981"/>
  <c r="B981"/>
  <c r="C980"/>
  <c r="D979"/>
  <c r="C979"/>
  <c r="B979"/>
  <c r="C978"/>
  <c r="D977"/>
  <c r="C977"/>
  <c r="B977"/>
  <c r="C976"/>
  <c r="D975"/>
  <c r="C975"/>
  <c r="B975"/>
  <c r="C974"/>
  <c r="D973"/>
  <c r="C973"/>
  <c r="B973"/>
  <c r="C972"/>
  <c r="D971"/>
  <c r="C971"/>
  <c r="B971"/>
  <c r="C970"/>
  <c r="D969"/>
  <c r="C969"/>
  <c r="B969"/>
  <c r="C968"/>
  <c r="D967"/>
  <c r="C967"/>
  <c r="B967"/>
  <c r="C966"/>
  <c r="D965"/>
  <c r="C965"/>
  <c r="B965"/>
  <c r="C964"/>
  <c r="D963"/>
  <c r="C963"/>
  <c r="B963"/>
  <c r="C962"/>
  <c r="D961"/>
  <c r="C961"/>
  <c r="B961"/>
  <c r="C960"/>
  <c r="D959"/>
  <c r="C959"/>
  <c r="B959"/>
  <c r="C958"/>
  <c r="D957"/>
  <c r="C957"/>
  <c r="B957"/>
  <c r="C956"/>
  <c r="D955"/>
  <c r="C955"/>
  <c r="B955"/>
  <c r="C954"/>
  <c r="D953"/>
  <c r="C953"/>
  <c r="B953"/>
  <c r="C952"/>
  <c r="D951"/>
  <c r="C951"/>
  <c r="B951"/>
  <c r="C950"/>
  <c r="D949"/>
  <c r="C949"/>
  <c r="B949"/>
  <c r="C948"/>
  <c r="D947"/>
  <c r="C947"/>
  <c r="B947"/>
  <c r="C946"/>
  <c r="D945"/>
  <c r="C945"/>
  <c r="B945"/>
  <c r="C944"/>
  <c r="D943"/>
  <c r="C943"/>
  <c r="B943"/>
  <c r="C942"/>
  <c r="D941"/>
  <c r="C941"/>
  <c r="B941"/>
  <c r="C940"/>
  <c r="D939"/>
  <c r="C939"/>
  <c r="B939"/>
  <c r="C938"/>
  <c r="D937"/>
  <c r="C937"/>
  <c r="B937"/>
  <c r="C936"/>
  <c r="D935"/>
  <c r="C935"/>
  <c r="B935"/>
  <c r="C934"/>
  <c r="D933"/>
  <c r="C933"/>
  <c r="B933"/>
  <c r="C932"/>
  <c r="D931"/>
  <c r="C931"/>
  <c r="B931"/>
  <c r="C930"/>
  <c r="D929"/>
  <c r="C929"/>
  <c r="B929"/>
  <c r="C928"/>
  <c r="D927"/>
  <c r="C927"/>
  <c r="B927"/>
  <c r="C926"/>
  <c r="D925"/>
  <c r="C925"/>
  <c r="B925"/>
  <c r="C924"/>
  <c r="D923"/>
  <c r="C923"/>
  <c r="B923"/>
  <c r="C922"/>
  <c r="D921"/>
  <c r="C921"/>
  <c r="B921"/>
  <c r="C920"/>
  <c r="D919"/>
  <c r="C919"/>
  <c r="B919"/>
  <c r="C918"/>
  <c r="D917"/>
  <c r="C917"/>
  <c r="B917"/>
  <c r="C916"/>
  <c r="D915"/>
  <c r="C915"/>
  <c r="B915"/>
  <c r="C914"/>
  <c r="D913"/>
  <c r="C913"/>
  <c r="B913"/>
  <c r="C912"/>
  <c r="D911"/>
  <c r="C911"/>
  <c r="B911"/>
  <c r="C910"/>
  <c r="D909"/>
  <c r="C909"/>
  <c r="B909"/>
  <c r="C908"/>
  <c r="D907"/>
  <c r="C907"/>
  <c r="B907"/>
  <c r="C906"/>
  <c r="D905"/>
  <c r="C905"/>
  <c r="B905"/>
  <c r="C904"/>
  <c r="D903"/>
  <c r="C903"/>
  <c r="B903"/>
  <c r="C902"/>
  <c r="D901"/>
  <c r="C901"/>
  <c r="B901"/>
  <c r="C900"/>
  <c r="D899"/>
  <c r="C899"/>
  <c r="B899"/>
  <c r="C898"/>
  <c r="D897"/>
  <c r="C897"/>
  <c r="B897"/>
  <c r="C896"/>
  <c r="D895"/>
  <c r="C895"/>
  <c r="B895"/>
  <c r="C894"/>
  <c r="D893"/>
  <c r="C893"/>
  <c r="B893"/>
  <c r="C892"/>
  <c r="D891"/>
  <c r="C891"/>
  <c r="B891"/>
  <c r="C890"/>
  <c r="D889"/>
  <c r="C889"/>
  <c r="B889"/>
  <c r="C888"/>
  <c r="D887"/>
  <c r="C887"/>
  <c r="B887"/>
  <c r="C886"/>
  <c r="D885"/>
  <c r="C885"/>
  <c r="B885"/>
  <c r="C884"/>
  <c r="D883"/>
  <c r="C883"/>
  <c r="B883"/>
  <c r="C882"/>
  <c r="D881"/>
  <c r="C881"/>
  <c r="B881"/>
  <c r="C880"/>
  <c r="D879"/>
  <c r="C879"/>
  <c r="B879"/>
  <c r="C878"/>
  <c r="D877"/>
  <c r="C877"/>
  <c r="B877"/>
  <c r="C876"/>
  <c r="D875"/>
  <c r="C875"/>
  <c r="B875"/>
  <c r="C874"/>
  <c r="D873"/>
  <c r="C873"/>
  <c r="B873"/>
  <c r="C872"/>
  <c r="D871"/>
  <c r="C871"/>
  <c r="B871"/>
  <c r="C870"/>
  <c r="D869"/>
  <c r="C869"/>
  <c r="B869"/>
  <c r="C868"/>
  <c r="D867"/>
  <c r="C867"/>
  <c r="B867"/>
  <c r="C866"/>
  <c r="D865"/>
  <c r="C865"/>
  <c r="B865"/>
  <c r="C864"/>
  <c r="D863"/>
  <c r="C863"/>
  <c r="B863"/>
  <c r="C862"/>
  <c r="D861"/>
  <c r="C861"/>
  <c r="B861"/>
  <c r="C860"/>
  <c r="D859"/>
  <c r="C859"/>
  <c r="B859"/>
  <c r="C858"/>
  <c r="D857"/>
  <c r="C857"/>
  <c r="B857"/>
  <c r="C856"/>
  <c r="D855"/>
  <c r="C855"/>
  <c r="B855"/>
  <c r="C854"/>
  <c r="D853"/>
  <c r="C853"/>
  <c r="B853"/>
  <c r="C852"/>
  <c r="D851"/>
  <c r="C851"/>
  <c r="B851"/>
  <c r="C850"/>
  <c r="D849"/>
  <c r="C849"/>
  <c r="B849"/>
  <c r="C848"/>
  <c r="D847"/>
  <c r="C847"/>
  <c r="B847"/>
  <c r="C846"/>
  <c r="D845"/>
  <c r="C845"/>
  <c r="B845"/>
  <c r="C844"/>
  <c r="D843"/>
  <c r="C843"/>
  <c r="B843"/>
  <c r="C842"/>
  <c r="D841"/>
  <c r="C841"/>
  <c r="B841"/>
  <c r="C840"/>
  <c r="D839"/>
  <c r="C839"/>
  <c r="B839"/>
  <c r="C838"/>
  <c r="D837"/>
  <c r="C837"/>
  <c r="B837"/>
  <c r="C836"/>
  <c r="D835"/>
  <c r="C835"/>
  <c r="B835"/>
  <c r="C834"/>
  <c r="D833"/>
  <c r="C833"/>
  <c r="B833"/>
  <c r="C832"/>
  <c r="D831"/>
  <c r="C831"/>
  <c r="B831"/>
  <c r="C830"/>
  <c r="D829"/>
  <c r="C829"/>
  <c r="B829"/>
  <c r="C828"/>
  <c r="D827"/>
  <c r="C827"/>
  <c r="B827"/>
  <c r="C826"/>
  <c r="D825"/>
  <c r="C825"/>
  <c r="B825"/>
  <c r="C824"/>
  <c r="D823"/>
  <c r="C823"/>
  <c r="B823"/>
  <c r="C822"/>
  <c r="D821"/>
  <c r="C821"/>
  <c r="B821"/>
  <c r="C820"/>
  <c r="D819"/>
  <c r="C819"/>
  <c r="B819"/>
  <c r="C818"/>
  <c r="D817"/>
  <c r="C817"/>
  <c r="B817"/>
  <c r="C816"/>
  <c r="D815"/>
  <c r="C815"/>
  <c r="B815"/>
  <c r="C814"/>
  <c r="D813"/>
  <c r="C813"/>
  <c r="B813"/>
  <c r="C812"/>
  <c r="D811"/>
  <c r="C811"/>
  <c r="B811"/>
  <c r="C810"/>
  <c r="D809"/>
  <c r="C809"/>
  <c r="B809"/>
  <c r="C808"/>
  <c r="D807"/>
  <c r="C807"/>
  <c r="B807"/>
  <c r="C806"/>
  <c r="D805"/>
  <c r="C805"/>
  <c r="B805"/>
  <c r="C804"/>
  <c r="D803"/>
  <c r="C803"/>
  <c r="B803"/>
  <c r="C802"/>
  <c r="D801"/>
  <c r="C801"/>
  <c r="B801"/>
  <c r="C800"/>
  <c r="D799"/>
  <c r="C799"/>
  <c r="B799"/>
  <c r="C798"/>
  <c r="D797"/>
  <c r="C797"/>
  <c r="B797"/>
  <c r="C796"/>
  <c r="D795"/>
  <c r="C795"/>
  <c r="B795"/>
  <c r="C794"/>
  <c r="D793"/>
  <c r="C793"/>
  <c r="B793"/>
  <c r="C792"/>
  <c r="D791"/>
  <c r="C791"/>
  <c r="B791"/>
  <c r="C790"/>
  <c r="D789"/>
  <c r="C789"/>
  <c r="B789"/>
  <c r="C788"/>
  <c r="D787"/>
  <c r="C787"/>
  <c r="B787"/>
  <c r="C786"/>
  <c r="D785"/>
  <c r="C785"/>
  <c r="B785"/>
  <c r="C784"/>
  <c r="D783"/>
  <c r="C783"/>
  <c r="B783"/>
  <c r="C782"/>
  <c r="D781"/>
  <c r="C781"/>
  <c r="B781"/>
  <c r="C780"/>
  <c r="D779"/>
  <c r="C779"/>
  <c r="B779"/>
  <c r="C778"/>
  <c r="D777"/>
  <c r="C777"/>
  <c r="B777"/>
  <c r="C776"/>
  <c r="D775"/>
  <c r="C775"/>
  <c r="B775"/>
  <c r="C774"/>
  <c r="D773"/>
  <c r="C773"/>
  <c r="B773"/>
  <c r="C772"/>
  <c r="D771"/>
  <c r="C771"/>
  <c r="B771"/>
  <c r="C770"/>
  <c r="D769"/>
  <c r="C769"/>
  <c r="B769"/>
  <c r="C768"/>
  <c r="D767"/>
  <c r="C767"/>
  <c r="B767"/>
  <c r="C766"/>
  <c r="D765"/>
  <c r="C765"/>
  <c r="B765"/>
  <c r="C764"/>
  <c r="D763"/>
  <c r="C763"/>
  <c r="B763"/>
  <c r="C762"/>
  <c r="D761"/>
  <c r="C761"/>
  <c r="B761"/>
  <c r="C760"/>
  <c r="D759"/>
  <c r="C759"/>
  <c r="B759"/>
  <c r="C758"/>
  <c r="D757"/>
  <c r="C757"/>
  <c r="B757"/>
  <c r="C756"/>
  <c r="D755"/>
  <c r="C755"/>
  <c r="B755"/>
  <c r="C754"/>
  <c r="D753"/>
  <c r="C753"/>
  <c r="B753"/>
  <c r="C752"/>
  <c r="D751"/>
  <c r="C751"/>
  <c r="B751"/>
  <c r="C750"/>
  <c r="D749"/>
  <c r="C749"/>
  <c r="B749"/>
  <c r="C748"/>
  <c r="D747"/>
  <c r="C747"/>
  <c r="B747"/>
  <c r="C746"/>
  <c r="D745"/>
  <c r="C745"/>
  <c r="B745"/>
  <c r="C744"/>
  <c r="D743"/>
  <c r="C743"/>
  <c r="B743"/>
  <c r="C742"/>
  <c r="D741"/>
  <c r="C741"/>
  <c r="B741"/>
  <c r="C740"/>
  <c r="D739"/>
  <c r="C739"/>
  <c r="B739"/>
  <c r="C738"/>
  <c r="D737"/>
  <c r="C737"/>
  <c r="B737"/>
  <c r="C736"/>
  <c r="D735"/>
  <c r="C735"/>
  <c r="B735"/>
  <c r="C734"/>
  <c r="D733"/>
  <c r="C733"/>
  <c r="B733"/>
  <c r="C732"/>
  <c r="D731"/>
  <c r="C731"/>
  <c r="B731"/>
  <c r="C730"/>
  <c r="D729"/>
  <c r="C729"/>
  <c r="B729"/>
  <c r="C728"/>
  <c r="D727"/>
  <c r="C727"/>
  <c r="B727"/>
  <c r="C726"/>
  <c r="D725"/>
  <c r="C725"/>
  <c r="B725"/>
  <c r="C724"/>
  <c r="D723"/>
  <c r="C723"/>
  <c r="B723"/>
  <c r="C722"/>
  <c r="D721"/>
  <c r="C721"/>
  <c r="B721"/>
  <c r="C720"/>
  <c r="D719"/>
  <c r="C719"/>
  <c r="B719"/>
  <c r="C718"/>
  <c r="D717"/>
  <c r="C717"/>
  <c r="B717"/>
  <c r="C716"/>
  <c r="D715"/>
  <c r="C715"/>
  <c r="B715"/>
  <c r="C714"/>
  <c r="D713"/>
  <c r="C713"/>
  <c r="B713"/>
  <c r="C712"/>
  <c r="D711"/>
  <c r="C711"/>
  <c r="B711"/>
  <c r="C710"/>
  <c r="D709"/>
  <c r="C709"/>
  <c r="B709"/>
  <c r="C708"/>
  <c r="D707"/>
  <c r="C707"/>
  <c r="B707"/>
  <c r="C706"/>
  <c r="D705"/>
  <c r="C705"/>
  <c r="B705"/>
  <c r="C704"/>
  <c r="D703"/>
  <c r="C703"/>
  <c r="B703"/>
  <c r="C702"/>
  <c r="D701"/>
  <c r="C701"/>
  <c r="B701"/>
  <c r="C700"/>
  <c r="D699"/>
  <c r="C699"/>
  <c r="B699"/>
  <c r="C698"/>
  <c r="D697"/>
  <c r="C697"/>
  <c r="B697"/>
  <c r="C696"/>
  <c r="D695"/>
  <c r="C695"/>
  <c r="B695"/>
  <c r="C694"/>
  <c r="D693"/>
  <c r="C693"/>
  <c r="B693"/>
  <c r="C692"/>
  <c r="D691"/>
  <c r="C691"/>
  <c r="B691"/>
  <c r="C690"/>
  <c r="D689"/>
  <c r="C689"/>
  <c r="B689"/>
  <c r="C688"/>
  <c r="D687"/>
  <c r="C687"/>
  <c r="B687"/>
  <c r="C686"/>
  <c r="D685"/>
  <c r="C685"/>
  <c r="B685"/>
  <c r="C684"/>
  <c r="D683"/>
  <c r="C683"/>
  <c r="B683"/>
  <c r="C682"/>
  <c r="D681"/>
  <c r="C681"/>
  <c r="B681"/>
  <c r="C680"/>
  <c r="D679"/>
  <c r="C679"/>
  <c r="B679"/>
  <c r="C678"/>
  <c r="D677"/>
  <c r="C677"/>
  <c r="B677"/>
  <c r="C676"/>
  <c r="D675"/>
  <c r="C675"/>
  <c r="B675"/>
  <c r="C674"/>
  <c r="D673"/>
  <c r="C673"/>
  <c r="B673"/>
  <c r="C672"/>
  <c r="D671"/>
  <c r="C671"/>
  <c r="B671"/>
  <c r="C670"/>
  <c r="D669"/>
  <c r="C669"/>
  <c r="B669"/>
  <c r="C668"/>
  <c r="D667"/>
  <c r="C667"/>
  <c r="B667"/>
  <c r="C666"/>
  <c r="D665"/>
  <c r="C665"/>
  <c r="B665"/>
  <c r="C664"/>
  <c r="D663"/>
  <c r="C663"/>
  <c r="B663"/>
  <c r="C662"/>
  <c r="D661"/>
  <c r="C661"/>
  <c r="B661"/>
  <c r="C660"/>
  <c r="D659"/>
  <c r="C659"/>
  <c r="B659"/>
  <c r="C658"/>
  <c r="D657"/>
  <c r="C657"/>
  <c r="B657"/>
  <c r="C656"/>
  <c r="D655"/>
  <c r="C655"/>
  <c r="B655"/>
  <c r="C654"/>
  <c r="D653"/>
  <c r="C653"/>
  <c r="B653"/>
  <c r="C652"/>
  <c r="D651"/>
  <c r="C651"/>
  <c r="B651"/>
  <c r="C650"/>
  <c r="D649"/>
  <c r="C649"/>
  <c r="B649"/>
  <c r="C648"/>
  <c r="D647"/>
  <c r="C647"/>
  <c r="B647"/>
  <c r="C646"/>
  <c r="D645"/>
  <c r="C645"/>
  <c r="B645"/>
  <c r="C644"/>
  <c r="D643"/>
  <c r="C643"/>
  <c r="B643"/>
  <c r="C642"/>
  <c r="D641"/>
  <c r="C641"/>
  <c r="B641"/>
  <c r="C640"/>
  <c r="D639"/>
  <c r="C639"/>
  <c r="B639"/>
  <c r="C638"/>
  <c r="D637"/>
  <c r="C637"/>
  <c r="B637"/>
  <c r="C636"/>
  <c r="D635"/>
  <c r="C635"/>
  <c r="B635"/>
  <c r="C634"/>
  <c r="D633"/>
  <c r="C633"/>
  <c r="B633"/>
  <c r="C632"/>
  <c r="D631"/>
  <c r="C631"/>
  <c r="B631"/>
  <c r="C630"/>
  <c r="D629"/>
  <c r="C629"/>
  <c r="B629"/>
  <c r="C628"/>
  <c r="D627"/>
  <c r="C627"/>
  <c r="B627"/>
  <c r="C626"/>
  <c r="D625"/>
  <c r="C625"/>
  <c r="B625"/>
  <c r="C624"/>
  <c r="D623"/>
  <c r="C623"/>
  <c r="B623"/>
  <c r="C622"/>
  <c r="D621"/>
  <c r="C621"/>
  <c r="B621"/>
  <c r="C620"/>
  <c r="D619"/>
  <c r="C619"/>
  <c r="B619"/>
  <c r="C618"/>
  <c r="D617"/>
  <c r="C617"/>
  <c r="B617"/>
  <c r="C616"/>
  <c r="D615"/>
  <c r="C615"/>
  <c r="B615"/>
  <c r="C614"/>
  <c r="D613"/>
  <c r="C613"/>
  <c r="B613"/>
  <c r="C612"/>
  <c r="D611"/>
  <c r="C611"/>
  <c r="B611"/>
  <c r="C610"/>
  <c r="D609"/>
  <c r="C609"/>
  <c r="B609"/>
  <c r="C608"/>
  <c r="D607"/>
  <c r="C607"/>
  <c r="B607"/>
  <c r="C606"/>
  <c r="D605"/>
  <c r="C605"/>
  <c r="B605"/>
  <c r="C604"/>
  <c r="D603"/>
  <c r="C603"/>
  <c r="B603"/>
  <c r="C602"/>
  <c r="D601"/>
  <c r="C601"/>
  <c r="B601"/>
  <c r="C600"/>
  <c r="D599"/>
  <c r="C599"/>
  <c r="B599"/>
  <c r="C598"/>
  <c r="D597"/>
  <c r="C597"/>
  <c r="B597"/>
  <c r="C596"/>
  <c r="D595"/>
  <c r="C595"/>
  <c r="B595"/>
  <c r="C594"/>
  <c r="D593"/>
  <c r="C593"/>
  <c r="B593"/>
  <c r="C592"/>
  <c r="D591"/>
  <c r="C591"/>
  <c r="B591"/>
  <c r="C590"/>
  <c r="D589"/>
  <c r="C589"/>
  <c r="B589"/>
  <c r="C588"/>
  <c r="D587"/>
  <c r="C587"/>
  <c r="B587"/>
  <c r="C586"/>
  <c r="D585"/>
  <c r="C585"/>
  <c r="B585"/>
  <c r="C584"/>
  <c r="D583"/>
  <c r="C583"/>
  <c r="B583"/>
  <c r="C582"/>
  <c r="D581"/>
  <c r="C581"/>
  <c r="B581"/>
  <c r="C580"/>
  <c r="D579"/>
  <c r="C579"/>
  <c r="B579"/>
  <c r="C578"/>
  <c r="D577"/>
  <c r="C577"/>
  <c r="B577"/>
  <c r="C576"/>
  <c r="D575"/>
  <c r="C575"/>
  <c r="B575"/>
  <c r="C574"/>
  <c r="D573"/>
  <c r="C573"/>
  <c r="B573"/>
  <c r="C572"/>
  <c r="D571"/>
  <c r="C571"/>
  <c r="B571"/>
  <c r="C570"/>
  <c r="D569"/>
  <c r="C569"/>
  <c r="B569"/>
  <c r="C568"/>
  <c r="D567"/>
  <c r="C567"/>
  <c r="B567"/>
  <c r="C566"/>
  <c r="D565"/>
  <c r="C565"/>
  <c r="B565"/>
  <c r="C564"/>
  <c r="D563"/>
  <c r="C563"/>
  <c r="B563"/>
  <c r="C562"/>
  <c r="D561"/>
  <c r="C561"/>
  <c r="B561"/>
  <c r="C560"/>
  <c r="D559"/>
  <c r="C559"/>
  <c r="B559"/>
  <c r="C558"/>
  <c r="D557"/>
  <c r="C557"/>
  <c r="B557"/>
  <c r="C556"/>
  <c r="D555"/>
  <c r="C555"/>
  <c r="B555"/>
  <c r="C554"/>
  <c r="D553"/>
  <c r="C553"/>
  <c r="B553"/>
  <c r="C552"/>
  <c r="D551"/>
  <c r="C551"/>
  <c r="B551"/>
  <c r="C550"/>
  <c r="D549"/>
  <c r="C549"/>
  <c r="B549"/>
  <c r="C548"/>
  <c r="D547"/>
  <c r="C547"/>
  <c r="B547"/>
  <c r="C546"/>
  <c r="D545"/>
  <c r="C545"/>
  <c r="B545"/>
  <c r="C544"/>
  <c r="D543"/>
  <c r="C543"/>
  <c r="B543"/>
  <c r="C542"/>
  <c r="D541"/>
  <c r="C541"/>
  <c r="B541"/>
  <c r="C540"/>
  <c r="D539"/>
  <c r="C539"/>
  <c r="B539"/>
  <c r="C538"/>
  <c r="D537"/>
  <c r="C537"/>
  <c r="B537"/>
  <c r="C536"/>
  <c r="D535"/>
  <c r="C535"/>
  <c r="B535"/>
  <c r="C534"/>
  <c r="D533"/>
  <c r="C533"/>
  <c r="B533"/>
  <c r="C532"/>
  <c r="D531"/>
  <c r="C531"/>
  <c r="B531"/>
  <c r="C530"/>
  <c r="D529"/>
  <c r="C529"/>
  <c r="B529"/>
  <c r="C528"/>
  <c r="D527"/>
  <c r="C527"/>
  <c r="B527"/>
  <c r="C526"/>
  <c r="D525"/>
  <c r="C525"/>
  <c r="B525"/>
  <c r="C524"/>
  <c r="D523"/>
  <c r="C523"/>
  <c r="B523"/>
  <c r="C522"/>
  <c r="D521"/>
  <c r="C521"/>
  <c r="B521"/>
  <c r="C520"/>
  <c r="D519"/>
  <c r="C519"/>
  <c r="B519"/>
  <c r="C518"/>
  <c r="D517"/>
  <c r="C517"/>
  <c r="B517"/>
  <c r="C516"/>
  <c r="D515"/>
  <c r="C515"/>
  <c r="B515"/>
  <c r="C514"/>
  <c r="D513"/>
  <c r="C513"/>
  <c r="B513"/>
  <c r="C512"/>
  <c r="D511"/>
  <c r="C511"/>
  <c r="B511"/>
  <c r="C510"/>
  <c r="D509"/>
  <c r="C509"/>
  <c r="B509"/>
  <c r="C508"/>
  <c r="D507"/>
  <c r="C507"/>
  <c r="B507"/>
  <c r="C506"/>
  <c r="D505"/>
  <c r="C505"/>
  <c r="B505"/>
  <c r="C504"/>
  <c r="D503"/>
  <c r="C503"/>
  <c r="B503"/>
  <c r="C502"/>
  <c r="D501"/>
  <c r="C501"/>
  <c r="B501"/>
  <c r="C500"/>
  <c r="D499"/>
  <c r="C499"/>
  <c r="B499"/>
  <c r="C498"/>
  <c r="D497"/>
  <c r="C497"/>
  <c r="B497"/>
  <c r="C496"/>
  <c r="D495"/>
  <c r="C495"/>
  <c r="B495"/>
  <c r="C494"/>
  <c r="D493"/>
  <c r="C493"/>
  <c r="B493"/>
  <c r="C492"/>
  <c r="D491"/>
  <c r="C491"/>
  <c r="B491"/>
  <c r="C490"/>
  <c r="D489"/>
  <c r="C489"/>
  <c r="B489"/>
  <c r="C488"/>
  <c r="D487"/>
  <c r="C487"/>
  <c r="B487"/>
  <c r="C486"/>
  <c r="D485"/>
  <c r="C485"/>
  <c r="B485"/>
  <c r="C484"/>
  <c r="D483"/>
  <c r="C483"/>
  <c r="B483"/>
  <c r="C482"/>
  <c r="D481"/>
  <c r="C481"/>
  <c r="B481"/>
  <c r="C480"/>
  <c r="D479"/>
  <c r="C479"/>
  <c r="B479"/>
  <c r="C478"/>
  <c r="D477"/>
  <c r="C477"/>
  <c r="B477"/>
  <c r="C476"/>
  <c r="D475"/>
  <c r="C475"/>
  <c r="B475"/>
  <c r="C474"/>
  <c r="D473"/>
  <c r="C473"/>
  <c r="B473"/>
  <c r="C472"/>
  <c r="D471"/>
  <c r="C471"/>
  <c r="B471"/>
  <c r="C470"/>
  <c r="D469"/>
  <c r="C469"/>
  <c r="B469"/>
  <c r="C468"/>
  <c r="D467"/>
  <c r="C467"/>
  <c r="B467"/>
  <c r="C466"/>
  <c r="D465"/>
  <c r="C465"/>
  <c r="B465"/>
  <c r="C464"/>
  <c r="D463"/>
  <c r="C463"/>
  <c r="B463"/>
  <c r="C462"/>
  <c r="D461"/>
  <c r="C461"/>
  <c r="B461"/>
  <c r="C460"/>
  <c r="D459"/>
  <c r="C459"/>
  <c r="B459"/>
  <c r="C458"/>
  <c r="D457"/>
  <c r="C457"/>
  <c r="B457"/>
  <c r="C456"/>
  <c r="D455"/>
  <c r="C455"/>
  <c r="B455"/>
  <c r="C454"/>
  <c r="D453"/>
  <c r="C453"/>
  <c r="B453"/>
  <c r="C452"/>
  <c r="D451"/>
  <c r="C451"/>
  <c r="B451"/>
  <c r="C450"/>
  <c r="D449"/>
  <c r="C449"/>
  <c r="B449"/>
  <c r="C448"/>
  <c r="D447"/>
  <c r="C447"/>
  <c r="B447"/>
  <c r="C446"/>
  <c r="D445"/>
  <c r="C445"/>
  <c r="B445"/>
  <c r="C444"/>
  <c r="D443"/>
  <c r="C443"/>
  <c r="B443"/>
  <c r="C442"/>
  <c r="D441"/>
  <c r="C441"/>
  <c r="B441"/>
  <c r="C440"/>
  <c r="D439"/>
  <c r="C439"/>
  <c r="B439"/>
  <c r="C438"/>
  <c r="D437"/>
  <c r="C437"/>
  <c r="B437"/>
  <c r="C436"/>
  <c r="D435"/>
  <c r="C435"/>
  <c r="B435"/>
  <c r="C434"/>
  <c r="D433"/>
  <c r="C433"/>
  <c r="B433"/>
  <c r="C432"/>
  <c r="D431"/>
  <c r="C431"/>
  <c r="B431"/>
  <c r="C430"/>
  <c r="D429"/>
  <c r="C429"/>
  <c r="B429"/>
  <c r="C428"/>
  <c r="D427"/>
  <c r="C427"/>
  <c r="B427"/>
  <c r="C426"/>
  <c r="D425"/>
  <c r="C425"/>
  <c r="B425"/>
  <c r="C424"/>
  <c r="D423"/>
  <c r="C423"/>
  <c r="B423"/>
  <c r="C422"/>
  <c r="D421"/>
  <c r="C421"/>
  <c r="B421"/>
  <c r="C420"/>
  <c r="D419"/>
  <c r="C419"/>
  <c r="B419"/>
  <c r="C418"/>
  <c r="D417"/>
  <c r="C417"/>
  <c r="B417"/>
  <c r="C416"/>
  <c r="D415"/>
  <c r="C415"/>
  <c r="B415"/>
  <c r="C414"/>
  <c r="D413"/>
  <c r="C413"/>
  <c r="B413"/>
  <c r="C412"/>
  <c r="D411"/>
  <c r="C411"/>
  <c r="B411"/>
  <c r="C410"/>
  <c r="D409"/>
  <c r="C409"/>
  <c r="B409"/>
  <c r="C408"/>
  <c r="D407"/>
  <c r="C407"/>
  <c r="B407"/>
  <c r="C406"/>
  <c r="D405"/>
  <c r="C405"/>
  <c r="B405"/>
  <c r="C404"/>
  <c r="D403"/>
  <c r="C403"/>
  <c r="B403"/>
  <c r="C402"/>
  <c r="D401"/>
  <c r="C401"/>
  <c r="B401"/>
  <c r="C400"/>
  <c r="D399"/>
  <c r="C399"/>
  <c r="B399"/>
  <c r="C398"/>
  <c r="D397"/>
  <c r="C397"/>
  <c r="B397"/>
  <c r="C396"/>
  <c r="D395"/>
  <c r="C395"/>
  <c r="B395"/>
  <c r="C394"/>
  <c r="D393"/>
  <c r="C393"/>
  <c r="B393"/>
  <c r="C392"/>
  <c r="D391"/>
  <c r="C391"/>
  <c r="B391"/>
  <c r="C390"/>
  <c r="D389"/>
  <c r="C389"/>
  <c r="B389"/>
  <c r="C388"/>
  <c r="D387"/>
  <c r="C387"/>
  <c r="B387"/>
  <c r="C386"/>
  <c r="D385"/>
  <c r="C385"/>
  <c r="B385"/>
  <c r="C384"/>
  <c r="D383"/>
  <c r="C383"/>
  <c r="B383"/>
  <c r="C382"/>
  <c r="D381"/>
  <c r="C381"/>
  <c r="B381"/>
  <c r="C380"/>
  <c r="D379"/>
  <c r="C379"/>
  <c r="B379"/>
  <c r="C378"/>
  <c r="D377"/>
  <c r="C377"/>
  <c r="B377"/>
  <c r="C376"/>
  <c r="D375"/>
  <c r="C375"/>
  <c r="B375"/>
  <c r="C374"/>
  <c r="D373"/>
  <c r="C373"/>
  <c r="B373"/>
  <c r="C372"/>
  <c r="D371"/>
  <c r="C371"/>
  <c r="B371"/>
  <c r="C370"/>
  <c r="D369"/>
  <c r="C369"/>
  <c r="B369"/>
  <c r="C368"/>
  <c r="D367"/>
  <c r="C367"/>
  <c r="B367"/>
  <c r="C366"/>
  <c r="D365"/>
  <c r="C365"/>
  <c r="B365"/>
  <c r="C364"/>
  <c r="D363"/>
  <c r="C363"/>
  <c r="B363"/>
  <c r="C362"/>
  <c r="D361"/>
  <c r="C361"/>
  <c r="B361"/>
  <c r="C360"/>
  <c r="D359"/>
  <c r="C359"/>
  <c r="B359"/>
  <c r="C358"/>
  <c r="D357"/>
  <c r="C357"/>
  <c r="B357"/>
  <c r="C356"/>
  <c r="D355"/>
  <c r="C355"/>
  <c r="B355"/>
  <c r="C354"/>
  <c r="D353"/>
  <c r="C353"/>
  <c r="B353"/>
  <c r="C352"/>
  <c r="D351"/>
  <c r="C351"/>
  <c r="B351"/>
  <c r="C350"/>
  <c r="D349"/>
  <c r="C349"/>
  <c r="B349"/>
  <c r="C348"/>
  <c r="D347"/>
  <c r="C347"/>
  <c r="B347"/>
  <c r="C346"/>
  <c r="D345"/>
  <c r="C345"/>
  <c r="B345"/>
  <c r="C344"/>
  <c r="D343"/>
  <c r="C343"/>
  <c r="B343"/>
  <c r="C342"/>
  <c r="D341"/>
  <c r="C341"/>
  <c r="B341"/>
  <c r="C340"/>
  <c r="D339"/>
  <c r="C339"/>
  <c r="B339"/>
  <c r="C338"/>
  <c r="D337"/>
  <c r="C337"/>
  <c r="B337"/>
  <c r="C336"/>
  <c r="D335"/>
  <c r="C335"/>
  <c r="B335"/>
  <c r="C334"/>
  <c r="D333"/>
  <c r="C333"/>
  <c r="B333"/>
  <c r="C332"/>
  <c r="D331"/>
  <c r="C331"/>
  <c r="B331"/>
  <c r="C330"/>
  <c r="D329"/>
  <c r="C329"/>
  <c r="B329"/>
  <c r="C328"/>
  <c r="D327"/>
  <c r="C327"/>
  <c r="B327"/>
  <c r="C326"/>
  <c r="D325"/>
  <c r="C325"/>
  <c r="B325"/>
  <c r="C324"/>
  <c r="D323"/>
  <c r="C323"/>
  <c r="B323"/>
  <c r="C322"/>
  <c r="D321"/>
  <c r="C321"/>
  <c r="B321"/>
  <c r="C320"/>
  <c r="D319"/>
  <c r="C319"/>
  <c r="B319"/>
  <c r="C318"/>
  <c r="D317"/>
  <c r="C317"/>
  <c r="B317"/>
  <c r="C316"/>
  <c r="D315"/>
  <c r="C315"/>
  <c r="B315"/>
  <c r="C314"/>
  <c r="D313"/>
  <c r="C313"/>
  <c r="B313"/>
  <c r="C312"/>
  <c r="D311"/>
  <c r="C311"/>
  <c r="B311"/>
  <c r="C310"/>
  <c r="D309"/>
  <c r="C309"/>
  <c r="B309"/>
  <c r="C308"/>
  <c r="D307"/>
  <c r="C307"/>
  <c r="B307"/>
  <c r="C306"/>
  <c r="D305"/>
  <c r="C305"/>
  <c r="B305"/>
  <c r="C304"/>
  <c r="D303"/>
  <c r="C303"/>
  <c r="B303"/>
  <c r="C302"/>
  <c r="D301"/>
  <c r="C301"/>
  <c r="B301"/>
  <c r="C300"/>
  <c r="D299"/>
  <c r="C299"/>
  <c r="B299"/>
  <c r="C298"/>
  <c r="D297"/>
  <c r="C297"/>
  <c r="B297"/>
  <c r="C296"/>
  <c r="D295"/>
  <c r="C295"/>
  <c r="B295"/>
  <c r="C294"/>
  <c r="D293"/>
  <c r="C293"/>
  <c r="B293"/>
  <c r="C292"/>
  <c r="D291"/>
  <c r="C291"/>
  <c r="B291"/>
  <c r="C290"/>
  <c r="D289"/>
  <c r="C289"/>
  <c r="B289"/>
  <c r="C288"/>
  <c r="D287"/>
  <c r="C287"/>
  <c r="B287"/>
  <c r="C286"/>
  <c r="D285"/>
  <c r="C285"/>
  <c r="B285"/>
  <c r="C284"/>
  <c r="D283"/>
  <c r="C283"/>
  <c r="B283"/>
  <c r="C282"/>
  <c r="D281"/>
  <c r="C281"/>
  <c r="B281"/>
  <c r="C280"/>
  <c r="D279"/>
  <c r="C279"/>
  <c r="B279"/>
  <c r="C278"/>
  <c r="D277"/>
  <c r="C277"/>
  <c r="B277"/>
  <c r="C276"/>
  <c r="D275"/>
  <c r="C275"/>
  <c r="B275"/>
  <c r="C274"/>
  <c r="D273"/>
  <c r="C273"/>
  <c r="B273"/>
  <c r="C272"/>
  <c r="D271"/>
  <c r="C271"/>
  <c r="B271"/>
  <c r="C270"/>
  <c r="D269"/>
  <c r="C269"/>
  <c r="B269"/>
  <c r="C268"/>
  <c r="D267"/>
  <c r="C267"/>
  <c r="B267"/>
  <c r="C266"/>
  <c r="D265"/>
  <c r="C265"/>
  <c r="B265"/>
  <c r="C264"/>
  <c r="D263"/>
  <c r="C263"/>
  <c r="B263"/>
  <c r="C262"/>
  <c r="D261"/>
  <c r="C261"/>
  <c r="B261"/>
  <c r="C260"/>
  <c r="D259"/>
  <c r="C259"/>
  <c r="B259"/>
  <c r="C258"/>
  <c r="D257"/>
  <c r="C257"/>
  <c r="B257"/>
  <c r="C256"/>
  <c r="D255"/>
  <c r="C255"/>
  <c r="B255"/>
  <c r="C254"/>
  <c r="D253"/>
  <c r="C253"/>
  <c r="B253"/>
  <c r="C252"/>
  <c r="D251"/>
  <c r="C251"/>
  <c r="B251"/>
  <c r="C250"/>
  <c r="D249"/>
  <c r="C249"/>
  <c r="B249"/>
  <c r="C248"/>
  <c r="D247"/>
  <c r="C247"/>
  <c r="B247"/>
  <c r="C246"/>
  <c r="D245"/>
  <c r="C245"/>
  <c r="B245"/>
  <c r="C244"/>
  <c r="D243"/>
  <c r="C243"/>
  <c r="B243"/>
  <c r="C242"/>
  <c r="D241"/>
  <c r="C241"/>
  <c r="B241"/>
  <c r="C240"/>
  <c r="D239"/>
  <c r="C239"/>
  <c r="B239"/>
  <c r="C238"/>
  <c r="D237"/>
  <c r="C237"/>
  <c r="B237"/>
  <c r="C236"/>
  <c r="D235"/>
  <c r="C235"/>
  <c r="B235"/>
  <c r="C234"/>
  <c r="D233"/>
  <c r="C233"/>
  <c r="B233"/>
  <c r="C232"/>
  <c r="D231"/>
  <c r="C231"/>
  <c r="B231"/>
  <c r="C230"/>
  <c r="D229"/>
  <c r="C229"/>
  <c r="B229"/>
  <c r="C228"/>
  <c r="D227"/>
  <c r="C227"/>
  <c r="B227"/>
  <c r="C226"/>
  <c r="D225"/>
  <c r="C225"/>
  <c r="B225"/>
  <c r="C224"/>
  <c r="D223"/>
  <c r="C223"/>
  <c r="B223"/>
  <c r="C222"/>
  <c r="D221"/>
  <c r="C221"/>
  <c r="B221"/>
  <c r="C220"/>
  <c r="D219"/>
  <c r="C219"/>
  <c r="B219"/>
  <c r="C218"/>
  <c r="D217"/>
  <c r="C217"/>
  <c r="B217"/>
  <c r="C216"/>
  <c r="D215"/>
  <c r="C215"/>
  <c r="B215"/>
  <c r="C214"/>
  <c r="D213"/>
  <c r="C213"/>
  <c r="B213"/>
  <c r="C212"/>
  <c r="D211"/>
  <c r="C211"/>
  <c r="B211"/>
  <c r="C210"/>
  <c r="D209"/>
  <c r="C209"/>
  <c r="B209"/>
  <c r="C208"/>
  <c r="D207"/>
  <c r="C207"/>
  <c r="B207"/>
  <c r="C206"/>
  <c r="D205"/>
  <c r="C205"/>
  <c r="B205"/>
  <c r="C204"/>
  <c r="D203"/>
  <c r="C203"/>
  <c r="B203"/>
  <c r="C202"/>
  <c r="D201"/>
  <c r="C201"/>
  <c r="B201"/>
  <c r="C200"/>
  <c r="D199"/>
  <c r="C199"/>
  <c r="B199"/>
  <c r="C198"/>
  <c r="D197"/>
  <c r="C197"/>
  <c r="B197"/>
  <c r="C196"/>
  <c r="D195"/>
  <c r="C195"/>
  <c r="B195"/>
  <c r="C194"/>
  <c r="D193"/>
  <c r="C193"/>
  <c r="B193"/>
  <c r="C192"/>
  <c r="D191"/>
  <c r="C191"/>
  <c r="B191"/>
  <c r="C190"/>
  <c r="D189"/>
  <c r="C189"/>
  <c r="B189"/>
  <c r="C188"/>
  <c r="D187"/>
  <c r="C187"/>
  <c r="B187"/>
  <c r="C186"/>
  <c r="D185"/>
  <c r="C185"/>
  <c r="B185"/>
  <c r="C184"/>
  <c r="D183"/>
  <c r="C183"/>
  <c r="B183"/>
  <c r="Q162"/>
  <c r="Q161"/>
  <c r="P161"/>
  <c r="Q160"/>
  <c r="P160"/>
  <c r="Q159"/>
  <c r="P159"/>
  <c r="Q158"/>
  <c r="P158"/>
  <c r="Q157"/>
  <c r="P157"/>
  <c r="Q156"/>
  <c r="P156"/>
  <c r="Q155"/>
  <c r="P155"/>
  <c r="Q154"/>
  <c r="P154"/>
  <c r="Q153"/>
  <c r="P153"/>
  <c r="Q152"/>
  <c r="P152"/>
  <c r="Q151"/>
  <c r="P151"/>
  <c r="Q150"/>
  <c r="P150"/>
  <c r="Q149"/>
  <c r="P149"/>
  <c r="Q148"/>
  <c r="P148"/>
  <c r="Q147"/>
  <c r="P147"/>
  <c r="Q146"/>
  <c r="P146"/>
  <c r="Q145"/>
  <c r="P145"/>
  <c r="Q144"/>
  <c r="P144"/>
  <c r="Q143"/>
  <c r="P143"/>
  <c r="Q142"/>
  <c r="P142"/>
  <c r="Q141"/>
  <c r="P141"/>
  <c r="Q140"/>
  <c r="P140"/>
  <c r="Q139"/>
  <c r="P139"/>
  <c r="Q138"/>
  <c r="P138"/>
  <c r="Q137"/>
  <c r="P137"/>
  <c r="Q136"/>
  <c r="P136"/>
  <c r="Q135"/>
  <c r="P135"/>
  <c r="Q134"/>
  <c r="P134"/>
  <c r="Q133"/>
  <c r="P133"/>
  <c r="Q132"/>
  <c r="P132"/>
  <c r="Q131"/>
  <c r="P131"/>
  <c r="Q130"/>
  <c r="P130"/>
  <c r="Q129"/>
  <c r="P129"/>
  <c r="Q128"/>
  <c r="P128"/>
  <c r="Q127"/>
  <c r="P127"/>
  <c r="Q126"/>
  <c r="P126"/>
  <c r="Q125"/>
  <c r="P125"/>
  <c r="Q124"/>
  <c r="P124"/>
  <c r="Q123"/>
  <c r="P123"/>
  <c r="Q122"/>
  <c r="P122"/>
  <c r="Q121"/>
  <c r="P121"/>
  <c r="Q120"/>
  <c r="P120"/>
  <c r="Q119"/>
  <c r="P119"/>
  <c r="Q118"/>
  <c r="P118"/>
  <c r="Q117"/>
  <c r="P117"/>
  <c r="Q116"/>
  <c r="P116"/>
  <c r="Q115"/>
  <c r="P115"/>
  <c r="Q114"/>
  <c r="P114"/>
  <c r="Q113"/>
  <c r="P113"/>
  <c r="Q112"/>
  <c r="P112"/>
  <c r="Q111"/>
  <c r="P111"/>
  <c r="Q110"/>
  <c r="P110"/>
  <c r="Q109"/>
  <c r="P109"/>
  <c r="Q108"/>
  <c r="P108"/>
  <c r="Q107"/>
  <c r="P107"/>
  <c r="Q106"/>
  <c r="P106"/>
  <c r="Q105"/>
  <c r="P105"/>
  <c r="Q104"/>
  <c r="P104"/>
  <c r="Q103"/>
  <c r="P103"/>
  <c r="Q102"/>
  <c r="P102"/>
  <c r="Q101"/>
  <c r="P101"/>
  <c r="Q100"/>
  <c r="P100"/>
  <c r="Q99"/>
  <c r="P99"/>
  <c r="Q98"/>
  <c r="P98"/>
  <c r="Q97"/>
  <c r="P97"/>
  <c r="Q96"/>
  <c r="P96"/>
  <c r="Q95"/>
  <c r="P95"/>
  <c r="Q94"/>
  <c r="P94"/>
  <c r="Q93"/>
  <c r="P93"/>
  <c r="Q92"/>
  <c r="P92"/>
  <c r="Q91"/>
  <c r="P91"/>
  <c r="Q90"/>
  <c r="P90"/>
  <c r="Q89"/>
  <c r="P89"/>
  <c r="Q88"/>
  <c r="P88"/>
  <c r="Q87"/>
  <c r="P87"/>
  <c r="Q86"/>
  <c r="P86"/>
  <c r="Q85"/>
  <c r="P85"/>
  <c r="Q84"/>
  <c r="P84"/>
  <c r="Q83"/>
  <c r="P83"/>
  <c r="Q82"/>
  <c r="P82"/>
  <c r="Q81"/>
  <c r="P81"/>
  <c r="Q80"/>
  <c r="P80"/>
  <c r="Q79"/>
  <c r="P79"/>
  <c r="Q78"/>
  <c r="P78"/>
  <c r="Q77"/>
  <c r="P77"/>
  <c r="Q76"/>
  <c r="P76"/>
  <c r="Q75"/>
  <c r="P75"/>
  <c r="Q74"/>
  <c r="P74"/>
  <c r="Q73"/>
  <c r="P73"/>
  <c r="Q72"/>
  <c r="P72"/>
  <c r="Q71"/>
  <c r="P71"/>
  <c r="Q70"/>
  <c r="P70"/>
  <c r="Q69"/>
  <c r="P69"/>
  <c r="Q68"/>
  <c r="P68"/>
  <c r="Q67"/>
  <c r="P67"/>
  <c r="Q66"/>
  <c r="P66"/>
  <c r="Q65"/>
  <c r="P65"/>
  <c r="Q64"/>
  <c r="P64"/>
  <c r="Q63"/>
  <c r="P63"/>
  <c r="Q62"/>
  <c r="P62"/>
  <c r="Q61"/>
  <c r="P61"/>
  <c r="Q60"/>
  <c r="P60"/>
  <c r="Q59"/>
  <c r="P59"/>
  <c r="Q58"/>
  <c r="P58"/>
  <c r="Q57"/>
  <c r="P57"/>
  <c r="Q56"/>
  <c r="P56"/>
  <c r="Q55"/>
  <c r="P55"/>
  <c r="Q54"/>
  <c r="P54"/>
  <c r="Q53"/>
  <c r="P53"/>
  <c r="Q52"/>
  <c r="P52"/>
  <c r="Q51"/>
  <c r="P51"/>
  <c r="Q50"/>
  <c r="P50"/>
  <c r="Q49"/>
  <c r="P49"/>
  <c r="Q48"/>
  <c r="P48"/>
  <c r="Q47"/>
  <c r="P47"/>
  <c r="Q46"/>
  <c r="P46"/>
  <c r="Q45"/>
  <c r="P45"/>
  <c r="Q44"/>
  <c r="P44"/>
  <c r="Q43"/>
  <c r="P43"/>
  <c r="Q42"/>
  <c r="P42"/>
  <c r="Q41"/>
  <c r="P41"/>
  <c r="Q40"/>
  <c r="P40"/>
  <c r="Q39"/>
  <c r="P39"/>
  <c r="Q38"/>
  <c r="P38"/>
  <c r="Q37"/>
  <c r="P37"/>
  <c r="Q36"/>
  <c r="P36"/>
  <c r="Q35"/>
  <c r="P35"/>
  <c r="Q34"/>
  <c r="P34"/>
  <c r="Q33"/>
  <c r="P33"/>
  <c r="Q32"/>
  <c r="P32"/>
  <c r="Q31"/>
  <c r="P31"/>
  <c r="Q30"/>
  <c r="P30"/>
  <c r="Q29"/>
  <c r="P29"/>
  <c r="Q28"/>
  <c r="P28"/>
  <c r="Q27"/>
  <c r="P27"/>
  <c r="Q26"/>
  <c r="P26"/>
  <c r="Q25"/>
  <c r="P25"/>
  <c r="Q24"/>
  <c r="P24"/>
  <c r="Q23"/>
  <c r="P23"/>
  <c r="Q22"/>
  <c r="P22"/>
  <c r="Q21"/>
  <c r="P21"/>
  <c r="Q20"/>
  <c r="P20"/>
  <c r="Q19"/>
  <c r="P19"/>
  <c r="Q18"/>
  <c r="P18"/>
  <c r="Q17"/>
  <c r="P17"/>
  <c r="Q16"/>
  <c r="P16"/>
  <c r="Q15"/>
  <c r="P15"/>
  <c r="Q14"/>
  <c r="P14"/>
  <c r="Q13"/>
  <c r="P13"/>
  <c r="Q12"/>
  <c r="P12"/>
  <c r="Q11"/>
  <c r="P11"/>
  <c r="Q10"/>
  <c r="P10"/>
  <c r="Q9"/>
  <c r="P9"/>
  <c r="Q8"/>
  <c r="P8"/>
  <c r="Q7"/>
  <c r="P7"/>
  <c r="Q6"/>
  <c r="P6"/>
  <c r="C6"/>
  <c r="M6" s="1"/>
  <c r="K2"/>
  <c r="F2"/>
  <c r="K1"/>
  <c r="F1"/>
  <c r="C5681" i="4"/>
  <c r="D5681" s="1"/>
  <c r="C5680"/>
  <c r="D5680" s="1"/>
  <c r="C5679"/>
  <c r="D5679" s="1"/>
  <c r="C5678"/>
  <c r="D5678" s="1"/>
  <c r="C5677"/>
  <c r="D5677" s="1"/>
  <c r="C5676"/>
  <c r="D5676" s="1"/>
  <c r="C5675"/>
  <c r="D5675" s="1"/>
  <c r="C5674"/>
  <c r="D5674" s="1"/>
  <c r="C5673"/>
  <c r="D5673" s="1"/>
  <c r="C5672"/>
  <c r="D5672" s="1"/>
  <c r="C5671"/>
  <c r="D5671" s="1"/>
  <c r="C5670"/>
  <c r="D5670" s="1"/>
  <c r="C5669"/>
  <c r="D5669" s="1"/>
  <c r="C5668"/>
  <c r="D5668" s="1"/>
  <c r="C5667"/>
  <c r="D5667" s="1"/>
  <c r="C5666"/>
  <c r="D5666" s="1"/>
  <c r="C5665"/>
  <c r="D5665" s="1"/>
  <c r="C5664"/>
  <c r="D5664" s="1"/>
  <c r="C5663"/>
  <c r="D5663" s="1"/>
  <c r="C5662"/>
  <c r="D5662" s="1"/>
  <c r="C5661"/>
  <c r="D5661" s="1"/>
  <c r="C5660"/>
  <c r="D5660" s="1"/>
  <c r="C5659"/>
  <c r="D5659" s="1"/>
  <c r="C5658"/>
  <c r="D5658" s="1"/>
  <c r="C5657"/>
  <c r="D5657" s="1"/>
  <c r="C5656"/>
  <c r="D5656" s="1"/>
  <c r="C5655"/>
  <c r="D5655" s="1"/>
  <c r="C5654"/>
  <c r="D5654" s="1"/>
  <c r="C5653"/>
  <c r="D5653" s="1"/>
  <c r="C5652"/>
  <c r="D5652" s="1"/>
  <c r="C5651"/>
  <c r="D5651" s="1"/>
  <c r="C5650"/>
  <c r="D5650" s="1"/>
  <c r="C5649"/>
  <c r="D5649" s="1"/>
  <c r="C5648"/>
  <c r="D5648" s="1"/>
  <c r="C5647"/>
  <c r="D5647" s="1"/>
  <c r="C5646"/>
  <c r="D5646" s="1"/>
  <c r="C5645"/>
  <c r="D5645" s="1"/>
  <c r="C5644"/>
  <c r="D5644" s="1"/>
  <c r="C5643"/>
  <c r="D5643" s="1"/>
  <c r="C5642"/>
  <c r="D5642" s="1"/>
  <c r="C5641"/>
  <c r="D5641" s="1"/>
  <c r="C5640"/>
  <c r="D5640" s="1"/>
  <c r="C5639"/>
  <c r="D5639" s="1"/>
  <c r="C5638"/>
  <c r="D5638" s="1"/>
  <c r="C5637"/>
  <c r="D5637" s="1"/>
  <c r="C5636"/>
  <c r="D5636" s="1"/>
  <c r="C5635"/>
  <c r="D5635" s="1"/>
  <c r="C5634"/>
  <c r="D5634" s="1"/>
  <c r="C5633"/>
  <c r="D5633" s="1"/>
  <c r="C5632"/>
  <c r="D5632" s="1"/>
  <c r="C5631"/>
  <c r="D5631" s="1"/>
  <c r="C5630"/>
  <c r="D5630" s="1"/>
  <c r="C5629"/>
  <c r="D5629" s="1"/>
  <c r="C5628"/>
  <c r="D5628" s="1"/>
  <c r="C5627"/>
  <c r="D5627" s="1"/>
  <c r="C5626"/>
  <c r="D5626" s="1"/>
  <c r="C5625"/>
  <c r="D5625" s="1"/>
  <c r="C5624"/>
  <c r="D5624" s="1"/>
  <c r="C5623"/>
  <c r="D5623" s="1"/>
  <c r="C5622"/>
  <c r="D5622" s="1"/>
  <c r="C5621"/>
  <c r="D5621" s="1"/>
  <c r="C5620"/>
  <c r="D5620" s="1"/>
  <c r="C5619"/>
  <c r="D5619" s="1"/>
  <c r="C5618"/>
  <c r="D5618" s="1"/>
  <c r="C5617"/>
  <c r="D5617" s="1"/>
  <c r="C5616"/>
  <c r="D5616" s="1"/>
  <c r="C5615"/>
  <c r="D5615" s="1"/>
  <c r="C5614"/>
  <c r="D5614" s="1"/>
  <c r="C5613"/>
  <c r="D5613" s="1"/>
  <c r="C5612"/>
  <c r="D5612" s="1"/>
  <c r="C5611"/>
  <c r="D5611" s="1"/>
  <c r="C5610"/>
  <c r="D5610" s="1"/>
  <c r="C5609"/>
  <c r="D5609" s="1"/>
  <c r="C5608"/>
  <c r="D5608" s="1"/>
  <c r="C5607"/>
  <c r="D5607" s="1"/>
  <c r="C5606"/>
  <c r="D5606" s="1"/>
  <c r="C5605"/>
  <c r="D5605" s="1"/>
  <c r="C5604"/>
  <c r="D5604" s="1"/>
  <c r="C5603"/>
  <c r="D5603" s="1"/>
  <c r="C5602"/>
  <c r="D5602" s="1"/>
  <c r="C5601"/>
  <c r="D5601" s="1"/>
  <c r="C5600"/>
  <c r="D5600" s="1"/>
  <c r="C5599"/>
  <c r="D5599" s="1"/>
  <c r="C5598"/>
  <c r="D5598" s="1"/>
  <c r="C5597"/>
  <c r="D5597" s="1"/>
  <c r="C5596"/>
  <c r="D5596" s="1"/>
  <c r="C5595"/>
  <c r="D5595" s="1"/>
  <c r="C5594"/>
  <c r="D5594" s="1"/>
  <c r="C5593"/>
  <c r="D5593" s="1"/>
  <c r="C5592"/>
  <c r="D5592" s="1"/>
  <c r="C5591"/>
  <c r="D5591" s="1"/>
  <c r="C5590"/>
  <c r="D5590" s="1"/>
  <c r="C5589"/>
  <c r="D5589" s="1"/>
  <c r="C5588"/>
  <c r="D5588" s="1"/>
  <c r="C5587"/>
  <c r="D5587" s="1"/>
  <c r="C5586"/>
  <c r="D5586" s="1"/>
  <c r="C5585"/>
  <c r="D5585" s="1"/>
  <c r="C5584"/>
  <c r="D5584" s="1"/>
  <c r="C5583"/>
  <c r="D5583" s="1"/>
  <c r="C5582"/>
  <c r="D5582" s="1"/>
  <c r="C5581"/>
  <c r="D5581" s="1"/>
  <c r="C5580"/>
  <c r="D5580" s="1"/>
  <c r="C5579"/>
  <c r="D5579" s="1"/>
  <c r="C5578"/>
  <c r="D5578" s="1"/>
  <c r="C5577"/>
  <c r="D5577" s="1"/>
  <c r="C5576"/>
  <c r="D5576" s="1"/>
  <c r="C5575"/>
  <c r="D5575" s="1"/>
  <c r="C5574"/>
  <c r="D5574" s="1"/>
  <c r="C5573"/>
  <c r="D5573" s="1"/>
  <c r="C5572"/>
  <c r="D5572" s="1"/>
  <c r="C5571"/>
  <c r="D5571" s="1"/>
  <c r="C5570"/>
  <c r="D5570" s="1"/>
  <c r="C5569"/>
  <c r="D5569" s="1"/>
  <c r="C5568"/>
  <c r="D5568" s="1"/>
  <c r="C5567"/>
  <c r="D5567" s="1"/>
  <c r="C5566"/>
  <c r="D5566" s="1"/>
  <c r="C5565"/>
  <c r="D5565" s="1"/>
  <c r="C5564"/>
  <c r="D5564" s="1"/>
  <c r="C5563"/>
  <c r="D5563" s="1"/>
  <c r="C5562"/>
  <c r="D5562" s="1"/>
  <c r="C5561"/>
  <c r="D5561" s="1"/>
  <c r="C5560"/>
  <c r="D5560" s="1"/>
  <c r="C5559"/>
  <c r="D5559" s="1"/>
  <c r="C5558"/>
  <c r="D5558" s="1"/>
  <c r="C5557"/>
  <c r="D5557" s="1"/>
  <c r="C5556"/>
  <c r="D5556" s="1"/>
  <c r="C5555"/>
  <c r="D5555" s="1"/>
  <c r="C5554"/>
  <c r="D5554" s="1"/>
  <c r="C5553"/>
  <c r="D5553" s="1"/>
  <c r="C5552"/>
  <c r="D5552" s="1"/>
  <c r="C5551"/>
  <c r="D5551" s="1"/>
  <c r="C5550"/>
  <c r="D5550" s="1"/>
  <c r="C5549"/>
  <c r="D5549" s="1"/>
  <c r="C5548"/>
  <c r="D5548" s="1"/>
  <c r="C5547"/>
  <c r="D5547" s="1"/>
  <c r="C5546"/>
  <c r="D5546" s="1"/>
  <c r="C5545"/>
  <c r="D5545" s="1"/>
  <c r="C5544"/>
  <c r="D5544" s="1"/>
  <c r="C5543"/>
  <c r="D5543" s="1"/>
  <c r="C5542"/>
  <c r="D5542" s="1"/>
  <c r="C5541"/>
  <c r="D5541" s="1"/>
  <c r="C5540"/>
  <c r="D5540" s="1"/>
  <c r="C5539"/>
  <c r="D5539" s="1"/>
  <c r="C5538"/>
  <c r="D5538" s="1"/>
  <c r="C5537"/>
  <c r="D5537" s="1"/>
  <c r="C5536"/>
  <c r="D5536" s="1"/>
  <c r="C5535"/>
  <c r="D5535" s="1"/>
  <c r="C5534"/>
  <c r="D5534" s="1"/>
  <c r="C5533"/>
  <c r="D5533" s="1"/>
  <c r="C5532"/>
  <c r="D5532" s="1"/>
  <c r="C5531"/>
  <c r="D5531" s="1"/>
  <c r="C5530"/>
  <c r="D5530" s="1"/>
  <c r="C5529"/>
  <c r="D5529" s="1"/>
  <c r="C5528"/>
  <c r="D5528" s="1"/>
  <c r="C5527"/>
  <c r="D5527" s="1"/>
  <c r="C5526"/>
  <c r="D5526" s="1"/>
  <c r="C5525"/>
  <c r="D5525" s="1"/>
  <c r="C5524"/>
  <c r="D5524" s="1"/>
  <c r="C5523"/>
  <c r="D5523" s="1"/>
  <c r="C5522"/>
  <c r="D5522" s="1"/>
  <c r="C5521"/>
  <c r="D5521" s="1"/>
  <c r="C5520"/>
  <c r="D5520" s="1"/>
  <c r="C5519"/>
  <c r="D5519" s="1"/>
  <c r="C5518"/>
  <c r="D5518" s="1"/>
  <c r="C5517"/>
  <c r="D5517" s="1"/>
  <c r="C5516"/>
  <c r="D5516" s="1"/>
  <c r="C5515"/>
  <c r="D5515" s="1"/>
  <c r="C5514"/>
  <c r="D5514" s="1"/>
  <c r="C5513"/>
  <c r="D5513" s="1"/>
  <c r="C5512"/>
  <c r="D5512" s="1"/>
  <c r="C5511"/>
  <c r="D5511" s="1"/>
  <c r="C5510"/>
  <c r="D5510" s="1"/>
  <c r="C5509"/>
  <c r="D5509" s="1"/>
  <c r="C5508"/>
  <c r="D5508" s="1"/>
  <c r="C5507"/>
  <c r="D5507" s="1"/>
  <c r="C5506"/>
  <c r="D5506" s="1"/>
  <c r="C5505"/>
  <c r="D5505" s="1"/>
  <c r="C5504"/>
  <c r="D5504" s="1"/>
  <c r="C5503"/>
  <c r="D5503" s="1"/>
  <c r="C5502"/>
  <c r="D5502" s="1"/>
  <c r="C5501"/>
  <c r="D5501" s="1"/>
  <c r="C5500"/>
  <c r="D5500" s="1"/>
  <c r="C5499"/>
  <c r="D5499" s="1"/>
  <c r="C5498"/>
  <c r="D5498" s="1"/>
  <c r="C5497"/>
  <c r="D5497" s="1"/>
  <c r="C5496"/>
  <c r="D5496" s="1"/>
  <c r="C5495"/>
  <c r="D5495" s="1"/>
  <c r="C5494"/>
  <c r="D5494" s="1"/>
  <c r="C5493"/>
  <c r="D5493" s="1"/>
  <c r="C5492"/>
  <c r="D5492" s="1"/>
  <c r="C5491"/>
  <c r="D5491" s="1"/>
  <c r="C5490"/>
  <c r="D5490" s="1"/>
  <c r="C5489"/>
  <c r="D5489" s="1"/>
  <c r="C5488"/>
  <c r="D5488" s="1"/>
  <c r="C5487"/>
  <c r="D5487" s="1"/>
  <c r="C5486"/>
  <c r="D5486" s="1"/>
  <c r="C5485"/>
  <c r="D5485" s="1"/>
  <c r="C5484"/>
  <c r="D5484" s="1"/>
  <c r="C5483"/>
  <c r="D5483" s="1"/>
  <c r="C5482"/>
  <c r="D5482" s="1"/>
  <c r="C5481"/>
  <c r="D5481" s="1"/>
  <c r="C5480"/>
  <c r="D5480" s="1"/>
  <c r="C5479"/>
  <c r="D5479" s="1"/>
  <c r="C5478"/>
  <c r="D5478" s="1"/>
  <c r="C5477"/>
  <c r="D5477" s="1"/>
  <c r="C5476"/>
  <c r="D5476" s="1"/>
  <c r="C5475"/>
  <c r="D5475" s="1"/>
  <c r="C5474"/>
  <c r="D5474" s="1"/>
  <c r="C5473"/>
  <c r="D5473" s="1"/>
  <c r="C5472"/>
  <c r="D5472" s="1"/>
  <c r="C5471"/>
  <c r="D5471" s="1"/>
  <c r="C5470"/>
  <c r="D5470" s="1"/>
  <c r="C5469"/>
  <c r="D5469" s="1"/>
  <c r="C5468"/>
  <c r="D5468" s="1"/>
  <c r="C5467"/>
  <c r="D5467" s="1"/>
  <c r="C5466"/>
  <c r="D5466" s="1"/>
  <c r="C5465"/>
  <c r="D5465" s="1"/>
  <c r="C5464"/>
  <c r="D5464" s="1"/>
  <c r="C5463"/>
  <c r="D5463" s="1"/>
  <c r="C5462"/>
  <c r="D5462" s="1"/>
  <c r="C5461"/>
  <c r="D5461" s="1"/>
  <c r="C5460"/>
  <c r="D5460" s="1"/>
  <c r="C5459"/>
  <c r="D5459" s="1"/>
  <c r="C5458"/>
  <c r="D5458" s="1"/>
  <c r="C5457"/>
  <c r="D5457" s="1"/>
  <c r="C5456"/>
  <c r="D5456" s="1"/>
  <c r="C5455"/>
  <c r="D5455" s="1"/>
  <c r="C5454"/>
  <c r="D5454" s="1"/>
  <c r="C5453"/>
  <c r="D5453" s="1"/>
  <c r="C5452"/>
  <c r="D5452" s="1"/>
  <c r="C5451"/>
  <c r="D5451" s="1"/>
  <c r="C5450"/>
  <c r="D5450" s="1"/>
  <c r="C5449"/>
  <c r="D5449" s="1"/>
  <c r="C5448"/>
  <c r="D5448" s="1"/>
  <c r="C5447"/>
  <c r="D5447" s="1"/>
  <c r="C5446"/>
  <c r="D5446" s="1"/>
  <c r="C5445"/>
  <c r="D5445" s="1"/>
  <c r="C5444"/>
  <c r="D5444" s="1"/>
  <c r="C5443"/>
  <c r="D5443" s="1"/>
  <c r="C5442"/>
  <c r="D5442" s="1"/>
  <c r="C5441"/>
  <c r="D5441" s="1"/>
  <c r="C5440"/>
  <c r="D5440" s="1"/>
  <c r="C5439"/>
  <c r="D5439" s="1"/>
  <c r="C5438"/>
  <c r="D5438" s="1"/>
  <c r="C5437"/>
  <c r="D5437" s="1"/>
  <c r="C5436"/>
  <c r="D5436" s="1"/>
  <c r="C5435"/>
  <c r="D5435" s="1"/>
  <c r="C5434"/>
  <c r="D5434" s="1"/>
  <c r="C5433"/>
  <c r="D5433" s="1"/>
  <c r="C5432"/>
  <c r="D5432" s="1"/>
  <c r="C5431"/>
  <c r="D5431" s="1"/>
  <c r="C5430"/>
  <c r="D5430" s="1"/>
  <c r="C5429"/>
  <c r="D5429" s="1"/>
  <c r="C5428"/>
  <c r="D5428" s="1"/>
  <c r="C5427"/>
  <c r="D5427" s="1"/>
  <c r="C5426"/>
  <c r="D5426" s="1"/>
  <c r="C5425"/>
  <c r="D5425" s="1"/>
  <c r="C5424"/>
  <c r="D5424" s="1"/>
  <c r="C5423"/>
  <c r="D5423" s="1"/>
  <c r="C5422"/>
  <c r="D5422" s="1"/>
  <c r="C5421"/>
  <c r="D5421" s="1"/>
  <c r="C5420"/>
  <c r="D5420" s="1"/>
  <c r="C5419"/>
  <c r="D5419" s="1"/>
  <c r="C5418"/>
  <c r="D5418" s="1"/>
  <c r="C5417"/>
  <c r="D5417" s="1"/>
  <c r="C5416"/>
  <c r="D5416" s="1"/>
  <c r="C5415"/>
  <c r="D5415" s="1"/>
  <c r="C5414"/>
  <c r="D5414" s="1"/>
  <c r="C5413"/>
  <c r="D5413" s="1"/>
  <c r="C5412"/>
  <c r="D5412" s="1"/>
  <c r="C5411"/>
  <c r="D5411" s="1"/>
  <c r="C5410"/>
  <c r="D5410" s="1"/>
  <c r="C5409"/>
  <c r="D5409" s="1"/>
  <c r="C5408"/>
  <c r="D5408" s="1"/>
  <c r="C5407"/>
  <c r="D5407" s="1"/>
  <c r="C5406"/>
  <c r="D5406" s="1"/>
  <c r="C5405"/>
  <c r="D5405" s="1"/>
  <c r="C5404"/>
  <c r="D5404" s="1"/>
  <c r="C5403"/>
  <c r="D5403" s="1"/>
  <c r="C5402"/>
  <c r="D5402" s="1"/>
  <c r="C5401"/>
  <c r="D5401" s="1"/>
  <c r="C5400"/>
  <c r="D5400" s="1"/>
  <c r="C5399"/>
  <c r="D5399" s="1"/>
  <c r="C5398"/>
  <c r="D5398" s="1"/>
  <c r="C5397"/>
  <c r="D5397" s="1"/>
  <c r="C5396"/>
  <c r="D5396" s="1"/>
  <c r="C5395"/>
  <c r="D5395" s="1"/>
  <c r="C5394"/>
  <c r="D5394" s="1"/>
  <c r="C5393"/>
  <c r="D5393" s="1"/>
  <c r="C5392"/>
  <c r="D5392" s="1"/>
  <c r="C5391"/>
  <c r="D5391" s="1"/>
  <c r="C5390"/>
  <c r="D5390" s="1"/>
  <c r="C5389"/>
  <c r="D5389" s="1"/>
  <c r="C5388"/>
  <c r="D5388" s="1"/>
  <c r="C5387"/>
  <c r="D5387" s="1"/>
  <c r="C5386"/>
  <c r="D5386" s="1"/>
  <c r="C5385"/>
  <c r="D5385" s="1"/>
  <c r="C5384"/>
  <c r="D5384" s="1"/>
  <c r="C5383"/>
  <c r="D5383" s="1"/>
  <c r="C5382"/>
  <c r="D5382" s="1"/>
  <c r="C5381"/>
  <c r="D5381" s="1"/>
  <c r="C5380"/>
  <c r="D5380" s="1"/>
  <c r="C5379"/>
  <c r="D5379" s="1"/>
  <c r="C5378"/>
  <c r="D5378" s="1"/>
  <c r="C5377"/>
  <c r="D5377" s="1"/>
  <c r="C5376"/>
  <c r="D5376" s="1"/>
  <c r="C5375"/>
  <c r="D5375" s="1"/>
  <c r="C5374"/>
  <c r="D5374" s="1"/>
  <c r="C5373"/>
  <c r="D5373" s="1"/>
  <c r="C5372"/>
  <c r="D5372" s="1"/>
  <c r="C5371"/>
  <c r="D5371" s="1"/>
  <c r="C5370"/>
  <c r="D5370" s="1"/>
  <c r="C5369"/>
  <c r="D5369" s="1"/>
  <c r="C5368"/>
  <c r="D5368" s="1"/>
  <c r="C5367"/>
  <c r="D5367" s="1"/>
  <c r="C5366"/>
  <c r="D5366" s="1"/>
  <c r="C5365"/>
  <c r="D5365" s="1"/>
  <c r="C5364"/>
  <c r="D5364" s="1"/>
  <c r="C5363"/>
  <c r="D5363" s="1"/>
  <c r="C5362"/>
  <c r="D5362" s="1"/>
  <c r="C5361"/>
  <c r="D5361" s="1"/>
  <c r="C5360"/>
  <c r="D5360" s="1"/>
  <c r="C5359"/>
  <c r="D5359" s="1"/>
  <c r="C5358"/>
  <c r="D5358" s="1"/>
  <c r="C5357"/>
  <c r="D5357" s="1"/>
  <c r="C5356"/>
  <c r="D5356" s="1"/>
  <c r="C5355"/>
  <c r="D5355" s="1"/>
  <c r="C5354"/>
  <c r="D5354" s="1"/>
  <c r="C5353"/>
  <c r="D5353" s="1"/>
  <c r="C5352"/>
  <c r="D5352" s="1"/>
  <c r="C5351"/>
  <c r="D5351" s="1"/>
  <c r="C5350"/>
  <c r="D5350" s="1"/>
  <c r="C5349"/>
  <c r="D5349" s="1"/>
  <c r="C5348"/>
  <c r="D5348" s="1"/>
  <c r="C5347"/>
  <c r="D5347" s="1"/>
  <c r="C5346"/>
  <c r="D5346" s="1"/>
  <c r="C5345"/>
  <c r="D5345" s="1"/>
  <c r="C5344"/>
  <c r="D5344" s="1"/>
  <c r="C5343"/>
  <c r="D5343" s="1"/>
  <c r="C5342"/>
  <c r="D5342" s="1"/>
  <c r="C5341"/>
  <c r="D5341" s="1"/>
  <c r="C5340"/>
  <c r="D5340" s="1"/>
  <c r="C5339"/>
  <c r="D5339" s="1"/>
  <c r="C5338"/>
  <c r="D5338" s="1"/>
  <c r="C5337"/>
  <c r="D5337" s="1"/>
  <c r="C5336"/>
  <c r="D5336" s="1"/>
  <c r="C5335"/>
  <c r="D5335" s="1"/>
  <c r="C5334"/>
  <c r="D5334" s="1"/>
  <c r="C5333"/>
  <c r="D5333" s="1"/>
  <c r="C5332"/>
  <c r="D5332" s="1"/>
  <c r="C5331"/>
  <c r="D5331" s="1"/>
  <c r="C5330"/>
  <c r="D5330" s="1"/>
  <c r="C5329"/>
  <c r="D5329" s="1"/>
  <c r="C5328"/>
  <c r="D5328" s="1"/>
  <c r="C5327"/>
  <c r="D5327" s="1"/>
  <c r="C5326"/>
  <c r="D5326" s="1"/>
  <c r="C5325"/>
  <c r="D5325" s="1"/>
  <c r="C5324"/>
  <c r="D5324" s="1"/>
  <c r="C5323"/>
  <c r="D5323" s="1"/>
  <c r="C5322"/>
  <c r="D5322" s="1"/>
  <c r="C5321"/>
  <c r="D5321" s="1"/>
  <c r="C5320"/>
  <c r="D5320" s="1"/>
  <c r="C5319"/>
  <c r="D5319" s="1"/>
  <c r="C5318"/>
  <c r="D5318" s="1"/>
  <c r="C5317"/>
  <c r="D5317" s="1"/>
  <c r="C5316"/>
  <c r="D5316" s="1"/>
  <c r="C5315"/>
  <c r="D5315" s="1"/>
  <c r="C5314"/>
  <c r="D5314" s="1"/>
  <c r="C5313"/>
  <c r="D5313" s="1"/>
  <c r="C5312"/>
  <c r="D5312" s="1"/>
  <c r="C5311"/>
  <c r="D5311" s="1"/>
  <c r="C5310"/>
  <c r="D5310" s="1"/>
  <c r="C5309"/>
  <c r="D5309" s="1"/>
  <c r="C5308"/>
  <c r="D5308" s="1"/>
  <c r="C5307"/>
  <c r="D5307" s="1"/>
  <c r="C5306"/>
  <c r="D5306" s="1"/>
  <c r="C5305"/>
  <c r="D5305" s="1"/>
  <c r="C5304"/>
  <c r="D5304" s="1"/>
  <c r="C5303"/>
  <c r="D5303" s="1"/>
  <c r="C5302"/>
  <c r="D5302" s="1"/>
  <c r="C5301"/>
  <c r="D5301" s="1"/>
  <c r="C5300"/>
  <c r="D5300" s="1"/>
  <c r="C5299"/>
  <c r="D5299" s="1"/>
  <c r="C5298"/>
  <c r="D5298" s="1"/>
  <c r="C5297"/>
  <c r="D5297" s="1"/>
  <c r="C5296"/>
  <c r="D5296" s="1"/>
  <c r="C5295"/>
  <c r="D5295" s="1"/>
  <c r="C5294"/>
  <c r="D5294" s="1"/>
  <c r="C5293"/>
  <c r="D5293" s="1"/>
  <c r="C5292"/>
  <c r="D5292" s="1"/>
  <c r="C5291"/>
  <c r="D5291" s="1"/>
  <c r="C5290"/>
  <c r="D5290" s="1"/>
  <c r="C5289"/>
  <c r="D5289" s="1"/>
  <c r="C5288"/>
  <c r="D5288" s="1"/>
  <c r="C5287"/>
  <c r="D5287" s="1"/>
  <c r="C5286"/>
  <c r="D5286" s="1"/>
  <c r="C5285"/>
  <c r="D5285" s="1"/>
  <c r="C5284"/>
  <c r="D5284" s="1"/>
  <c r="C5283"/>
  <c r="D5283" s="1"/>
  <c r="C5282"/>
  <c r="D5282" s="1"/>
  <c r="C5281"/>
  <c r="D5281" s="1"/>
  <c r="C5280"/>
  <c r="D5280" s="1"/>
  <c r="C5279"/>
  <c r="D5279" s="1"/>
  <c r="C5278"/>
  <c r="D5278" s="1"/>
  <c r="C5277"/>
  <c r="D5277" s="1"/>
  <c r="C5276"/>
  <c r="D5276" s="1"/>
  <c r="C5275"/>
  <c r="D5275" s="1"/>
  <c r="C5274"/>
  <c r="D5274" s="1"/>
  <c r="C5273"/>
  <c r="D5273" s="1"/>
  <c r="C5272"/>
  <c r="D5272" s="1"/>
  <c r="C5271"/>
  <c r="D5271" s="1"/>
  <c r="C5270"/>
  <c r="D5270" s="1"/>
  <c r="C5269"/>
  <c r="D5269" s="1"/>
  <c r="C5268"/>
  <c r="D5268" s="1"/>
  <c r="C5267"/>
  <c r="D5267" s="1"/>
  <c r="C5266"/>
  <c r="D5266" s="1"/>
  <c r="C5265"/>
  <c r="D5265" s="1"/>
  <c r="C5264"/>
  <c r="D5264" s="1"/>
  <c r="C5263"/>
  <c r="D5263" s="1"/>
  <c r="C5262"/>
  <c r="D5262" s="1"/>
  <c r="C5261"/>
  <c r="D5261" s="1"/>
  <c r="C5260"/>
  <c r="D5260" s="1"/>
  <c r="C5259"/>
  <c r="D5259" s="1"/>
  <c r="C5258"/>
  <c r="D5258" s="1"/>
  <c r="C5257"/>
  <c r="D5257" s="1"/>
  <c r="C5256"/>
  <c r="D5256" s="1"/>
  <c r="C5255"/>
  <c r="D5255" s="1"/>
  <c r="C5254"/>
  <c r="D5254" s="1"/>
  <c r="C5253"/>
  <c r="D5253" s="1"/>
  <c r="C5252"/>
  <c r="D5252" s="1"/>
  <c r="C5251"/>
  <c r="D5251" s="1"/>
  <c r="C5250"/>
  <c r="D5250" s="1"/>
  <c r="C5249"/>
  <c r="D5249" s="1"/>
  <c r="C5248"/>
  <c r="D5248" s="1"/>
  <c r="C5247"/>
  <c r="D5247" s="1"/>
  <c r="C5246"/>
  <c r="D5246" s="1"/>
  <c r="C5245"/>
  <c r="D5245" s="1"/>
  <c r="C5244"/>
  <c r="D5244" s="1"/>
  <c r="C5243"/>
  <c r="D5243" s="1"/>
  <c r="C5242"/>
  <c r="D5242" s="1"/>
  <c r="C5241"/>
  <c r="D5241" s="1"/>
  <c r="C5240"/>
  <c r="D5240" s="1"/>
  <c r="C5239"/>
  <c r="D5239" s="1"/>
  <c r="C5238"/>
  <c r="D5238" s="1"/>
  <c r="C5237"/>
  <c r="D5237" s="1"/>
  <c r="C5236"/>
  <c r="D5236" s="1"/>
  <c r="C5235"/>
  <c r="D5235" s="1"/>
  <c r="C5234"/>
  <c r="D5234" s="1"/>
  <c r="C5233"/>
  <c r="D5233" s="1"/>
  <c r="C5232"/>
  <c r="D5232" s="1"/>
  <c r="C5231"/>
  <c r="D5231" s="1"/>
  <c r="C5230"/>
  <c r="D5230" s="1"/>
  <c r="C5229"/>
  <c r="D5229" s="1"/>
  <c r="C5228"/>
  <c r="D5228" s="1"/>
  <c r="C5227"/>
  <c r="D5227" s="1"/>
  <c r="C5226"/>
  <c r="D5226" s="1"/>
  <c r="C5225"/>
  <c r="D5225" s="1"/>
  <c r="C5224"/>
  <c r="D5224" s="1"/>
  <c r="C5223"/>
  <c r="D5223" s="1"/>
  <c r="C5222"/>
  <c r="D5222" s="1"/>
  <c r="C5221"/>
  <c r="D5221" s="1"/>
  <c r="C5220"/>
  <c r="D5220" s="1"/>
  <c r="C5219"/>
  <c r="D5219" s="1"/>
  <c r="C5218"/>
  <c r="D5218" s="1"/>
  <c r="C5217"/>
  <c r="D5217" s="1"/>
  <c r="C5216"/>
  <c r="D5216" s="1"/>
  <c r="C5215"/>
  <c r="D5215" s="1"/>
  <c r="C5214"/>
  <c r="D5214" s="1"/>
  <c r="C5213"/>
  <c r="D5213" s="1"/>
  <c r="C5212"/>
  <c r="D5212" s="1"/>
  <c r="C5211"/>
  <c r="D5211" s="1"/>
  <c r="C5210"/>
  <c r="D5210" s="1"/>
  <c r="C5209"/>
  <c r="D5209" s="1"/>
  <c r="C5208"/>
  <c r="D5208" s="1"/>
  <c r="C5207"/>
  <c r="D5207" s="1"/>
  <c r="C5206"/>
  <c r="D5206" s="1"/>
  <c r="C5205"/>
  <c r="D5205" s="1"/>
  <c r="C5204"/>
  <c r="D5204" s="1"/>
  <c r="C5203"/>
  <c r="D5203" s="1"/>
  <c r="C5202"/>
  <c r="D5202" s="1"/>
  <c r="C5201"/>
  <c r="D5201" s="1"/>
  <c r="C5200"/>
  <c r="D5200" s="1"/>
  <c r="C5199"/>
  <c r="D5199" s="1"/>
  <c r="C5198"/>
  <c r="D5198" s="1"/>
  <c r="C5197"/>
  <c r="D5197" s="1"/>
  <c r="C5196"/>
  <c r="D5196" s="1"/>
  <c r="C5195"/>
  <c r="D5195" s="1"/>
  <c r="C5194"/>
  <c r="D5194" s="1"/>
  <c r="C5193"/>
  <c r="D5193" s="1"/>
  <c r="C5192"/>
  <c r="D5192" s="1"/>
  <c r="C5191"/>
  <c r="D5191" s="1"/>
  <c r="C5190"/>
  <c r="D5190" s="1"/>
  <c r="C5189"/>
  <c r="D5189" s="1"/>
  <c r="C5188"/>
  <c r="D5188" s="1"/>
  <c r="C5187"/>
  <c r="D5187" s="1"/>
  <c r="C5186"/>
  <c r="D5186" s="1"/>
  <c r="C5185"/>
  <c r="D5185" s="1"/>
  <c r="C5184"/>
  <c r="D5184" s="1"/>
  <c r="C5183"/>
  <c r="D5183" s="1"/>
  <c r="C5182"/>
  <c r="D5182" s="1"/>
  <c r="C5181"/>
  <c r="D5181" s="1"/>
  <c r="C5180"/>
  <c r="D5180" s="1"/>
  <c r="C5179"/>
  <c r="D5179" s="1"/>
  <c r="C5178"/>
  <c r="D5178" s="1"/>
  <c r="C5177"/>
  <c r="D5177" s="1"/>
  <c r="C5176"/>
  <c r="D5176" s="1"/>
  <c r="C5175"/>
  <c r="D5175" s="1"/>
  <c r="C5174"/>
  <c r="D5174" s="1"/>
  <c r="C5173"/>
  <c r="D5173" s="1"/>
  <c r="C5172"/>
  <c r="D5172" s="1"/>
  <c r="C5171"/>
  <c r="D5171" s="1"/>
  <c r="C5170"/>
  <c r="D5170" s="1"/>
  <c r="C5169"/>
  <c r="D5169" s="1"/>
  <c r="C5168"/>
  <c r="D5168" s="1"/>
  <c r="C5167"/>
  <c r="D5167" s="1"/>
  <c r="C5166"/>
  <c r="D5166" s="1"/>
  <c r="C5165"/>
  <c r="D5165" s="1"/>
  <c r="C5164"/>
  <c r="D5164" s="1"/>
  <c r="C5163"/>
  <c r="D5163" s="1"/>
  <c r="C5162"/>
  <c r="D5162" s="1"/>
  <c r="C5161"/>
  <c r="D5161" s="1"/>
  <c r="C5160"/>
  <c r="D5160" s="1"/>
  <c r="C5159"/>
  <c r="D5159" s="1"/>
  <c r="C5158"/>
  <c r="D5158" s="1"/>
  <c r="C5157"/>
  <c r="D5157" s="1"/>
  <c r="C5156"/>
  <c r="D5156" s="1"/>
  <c r="C5155"/>
  <c r="D5155" s="1"/>
  <c r="C5154"/>
  <c r="D5154" s="1"/>
  <c r="C5153"/>
  <c r="D5153" s="1"/>
  <c r="C5152"/>
  <c r="D5152" s="1"/>
  <c r="C5151"/>
  <c r="D5151" s="1"/>
  <c r="C5150"/>
  <c r="D5150" s="1"/>
  <c r="C5149"/>
  <c r="D5149" s="1"/>
  <c r="C5148"/>
  <c r="D5148" s="1"/>
  <c r="C5147"/>
  <c r="D5147" s="1"/>
  <c r="C5146"/>
  <c r="D5146" s="1"/>
  <c r="C5145"/>
  <c r="D5145" s="1"/>
  <c r="C5144"/>
  <c r="D5144" s="1"/>
  <c r="C5143"/>
  <c r="D5143" s="1"/>
  <c r="C5142"/>
  <c r="D5142" s="1"/>
  <c r="C5141"/>
  <c r="D5141" s="1"/>
  <c r="C5140"/>
  <c r="D5140" s="1"/>
  <c r="C5139"/>
  <c r="D5139" s="1"/>
  <c r="C5138"/>
  <c r="D5138" s="1"/>
  <c r="C5137"/>
  <c r="D5137" s="1"/>
  <c r="C5136"/>
  <c r="D5136" s="1"/>
  <c r="C5135"/>
  <c r="D5135" s="1"/>
  <c r="C5134"/>
  <c r="D5134" s="1"/>
  <c r="C5133"/>
  <c r="D5133" s="1"/>
  <c r="C5132"/>
  <c r="D5132" s="1"/>
  <c r="C5131"/>
  <c r="D5131" s="1"/>
  <c r="C5130"/>
  <c r="D5130" s="1"/>
  <c r="C5129"/>
  <c r="D5129" s="1"/>
  <c r="C5128"/>
  <c r="D5128" s="1"/>
  <c r="C5127"/>
  <c r="D5127" s="1"/>
  <c r="C5126"/>
  <c r="D5126" s="1"/>
  <c r="C5125"/>
  <c r="D5125" s="1"/>
  <c r="C5124"/>
  <c r="D5124" s="1"/>
  <c r="C5123"/>
  <c r="D5123" s="1"/>
  <c r="C5122"/>
  <c r="D5122" s="1"/>
  <c r="C5121"/>
  <c r="D5121" s="1"/>
  <c r="C5120"/>
  <c r="D5120" s="1"/>
  <c r="C5119"/>
  <c r="D5119" s="1"/>
  <c r="C5118"/>
  <c r="D5118" s="1"/>
  <c r="C5117"/>
  <c r="D5117" s="1"/>
  <c r="C5116"/>
  <c r="D5116" s="1"/>
  <c r="C5115"/>
  <c r="D5115" s="1"/>
  <c r="C5114"/>
  <c r="D5114" s="1"/>
  <c r="C5113"/>
  <c r="D5113" s="1"/>
  <c r="C5112"/>
  <c r="D5112" s="1"/>
  <c r="C5111"/>
  <c r="D5111" s="1"/>
  <c r="C5110"/>
  <c r="D5110" s="1"/>
  <c r="C5109"/>
  <c r="D5109" s="1"/>
  <c r="C5108"/>
  <c r="D5108" s="1"/>
  <c r="C5107"/>
  <c r="D5107" s="1"/>
  <c r="C5106"/>
  <c r="D5106" s="1"/>
  <c r="C5105"/>
  <c r="D5105" s="1"/>
  <c r="C5104"/>
  <c r="D5104" s="1"/>
  <c r="C5103"/>
  <c r="D5103" s="1"/>
  <c r="C5102"/>
  <c r="D5102" s="1"/>
  <c r="C5101"/>
  <c r="D5101" s="1"/>
  <c r="C5100"/>
  <c r="D5100" s="1"/>
  <c r="C5099"/>
  <c r="D5099" s="1"/>
  <c r="C5098"/>
  <c r="D5098" s="1"/>
  <c r="C5097"/>
  <c r="D5097" s="1"/>
  <c r="C5096"/>
  <c r="D5096" s="1"/>
  <c r="C5095"/>
  <c r="D5095" s="1"/>
  <c r="C5094"/>
  <c r="D5094" s="1"/>
  <c r="C5093"/>
  <c r="D5093" s="1"/>
  <c r="C5092"/>
  <c r="D5092" s="1"/>
  <c r="C5091"/>
  <c r="D5091" s="1"/>
  <c r="C5090"/>
  <c r="D5090" s="1"/>
  <c r="C5089"/>
  <c r="D5089" s="1"/>
  <c r="C5088"/>
  <c r="D5088" s="1"/>
  <c r="C5087"/>
  <c r="D5087" s="1"/>
  <c r="C5086"/>
  <c r="D5086" s="1"/>
  <c r="C5085"/>
  <c r="D5085" s="1"/>
  <c r="C5084"/>
  <c r="D5084" s="1"/>
  <c r="C5083"/>
  <c r="D5083" s="1"/>
  <c r="C5082"/>
  <c r="D5082" s="1"/>
  <c r="C5081"/>
  <c r="D5081" s="1"/>
  <c r="C5080"/>
  <c r="D5080" s="1"/>
  <c r="C5079"/>
  <c r="D5079" s="1"/>
  <c r="C5078"/>
  <c r="D5078" s="1"/>
  <c r="C5077"/>
  <c r="D5077" s="1"/>
  <c r="C5076"/>
  <c r="D5076" s="1"/>
  <c r="C5075"/>
  <c r="D5075" s="1"/>
  <c r="C5074"/>
  <c r="D5074" s="1"/>
  <c r="C5073"/>
  <c r="D5073" s="1"/>
  <c r="C5072"/>
  <c r="D5072" s="1"/>
  <c r="C5071"/>
  <c r="D5071" s="1"/>
  <c r="C5070"/>
  <c r="D5070" s="1"/>
  <c r="C5069"/>
  <c r="D5069" s="1"/>
  <c r="C5068"/>
  <c r="D5068" s="1"/>
  <c r="C5067"/>
  <c r="D5067" s="1"/>
  <c r="C5066"/>
  <c r="D5066" s="1"/>
  <c r="C5065"/>
  <c r="D5065" s="1"/>
  <c r="C5064"/>
  <c r="D5064" s="1"/>
  <c r="C5063"/>
  <c r="D5063" s="1"/>
  <c r="C5062"/>
  <c r="D5062" s="1"/>
  <c r="C5061"/>
  <c r="D5061" s="1"/>
  <c r="C5060"/>
  <c r="D5060" s="1"/>
  <c r="C5059"/>
  <c r="D5059" s="1"/>
  <c r="C5058"/>
  <c r="D5058" s="1"/>
  <c r="C5057"/>
  <c r="D5057" s="1"/>
  <c r="C5056"/>
  <c r="D5056" s="1"/>
  <c r="C5055"/>
  <c r="D5055" s="1"/>
  <c r="C5054"/>
  <c r="D5054" s="1"/>
  <c r="C5053"/>
  <c r="D5053" s="1"/>
  <c r="C5052"/>
  <c r="D5052" s="1"/>
  <c r="C5051"/>
  <c r="D5051" s="1"/>
  <c r="C5050"/>
  <c r="D5050" s="1"/>
  <c r="C5049"/>
  <c r="D5049" s="1"/>
  <c r="C5048"/>
  <c r="D5048" s="1"/>
  <c r="C5047"/>
  <c r="D5047" s="1"/>
  <c r="C5046"/>
  <c r="D5046" s="1"/>
  <c r="C5045"/>
  <c r="D5045" s="1"/>
  <c r="C5044"/>
  <c r="D5044" s="1"/>
  <c r="C5043"/>
  <c r="D5043" s="1"/>
  <c r="C5042"/>
  <c r="D5042" s="1"/>
  <c r="C5041"/>
  <c r="D5041" s="1"/>
  <c r="C5040"/>
  <c r="D5040" s="1"/>
  <c r="C5039"/>
  <c r="D5039" s="1"/>
  <c r="C5038"/>
  <c r="D5038" s="1"/>
  <c r="C5037"/>
  <c r="D5037" s="1"/>
  <c r="C5036"/>
  <c r="D5036" s="1"/>
  <c r="C5035"/>
  <c r="D5035" s="1"/>
  <c r="C5034"/>
  <c r="D5034" s="1"/>
  <c r="C5033"/>
  <c r="D5033" s="1"/>
  <c r="C5032"/>
  <c r="D5032" s="1"/>
  <c r="C5031"/>
  <c r="D5031" s="1"/>
  <c r="C5030"/>
  <c r="D5030" s="1"/>
  <c r="C5029"/>
  <c r="D5029" s="1"/>
  <c r="C5028"/>
  <c r="D5028" s="1"/>
  <c r="C5027"/>
  <c r="D5027" s="1"/>
  <c r="C5026"/>
  <c r="D5026" s="1"/>
  <c r="C5025"/>
  <c r="D5025" s="1"/>
  <c r="C5024"/>
  <c r="D5024" s="1"/>
  <c r="C5023"/>
  <c r="D5023" s="1"/>
  <c r="C5022"/>
  <c r="D5022" s="1"/>
  <c r="C5021"/>
  <c r="D5021" s="1"/>
  <c r="C5020"/>
  <c r="D5020" s="1"/>
  <c r="C5019"/>
  <c r="D5019" s="1"/>
  <c r="C5018"/>
  <c r="D5018" s="1"/>
  <c r="C5017"/>
  <c r="D5017" s="1"/>
  <c r="C5016"/>
  <c r="D5016" s="1"/>
  <c r="C5015"/>
  <c r="D5015" s="1"/>
  <c r="C5014"/>
  <c r="D5014" s="1"/>
  <c r="C5013"/>
  <c r="D5013" s="1"/>
  <c r="C5012"/>
  <c r="D5012" s="1"/>
  <c r="C5011"/>
  <c r="D5011" s="1"/>
  <c r="C5010"/>
  <c r="D5010" s="1"/>
  <c r="C5009"/>
  <c r="D5009" s="1"/>
  <c r="C5008"/>
  <c r="D5008" s="1"/>
  <c r="C5007"/>
  <c r="D5007" s="1"/>
  <c r="C5006"/>
  <c r="D5006" s="1"/>
  <c r="C5005"/>
  <c r="D5005" s="1"/>
  <c r="C5004"/>
  <c r="D5004" s="1"/>
  <c r="C5003"/>
  <c r="D5003" s="1"/>
  <c r="C5002"/>
  <c r="D5002" s="1"/>
  <c r="C5001"/>
  <c r="D5001" s="1"/>
  <c r="C5000"/>
  <c r="D5000" s="1"/>
  <c r="C4999"/>
  <c r="D4999" s="1"/>
  <c r="C4998"/>
  <c r="D4998" s="1"/>
  <c r="C4997"/>
  <c r="D4997" s="1"/>
  <c r="C4996"/>
  <c r="D4996" s="1"/>
  <c r="C4995"/>
  <c r="D4995" s="1"/>
  <c r="C4994"/>
  <c r="D4994" s="1"/>
  <c r="C4993"/>
  <c r="D4993" s="1"/>
  <c r="C4992"/>
  <c r="D4992" s="1"/>
  <c r="C4991"/>
  <c r="D4991" s="1"/>
  <c r="C4990"/>
  <c r="D4990" s="1"/>
  <c r="C4989"/>
  <c r="D4989" s="1"/>
  <c r="C4988"/>
  <c r="D4988" s="1"/>
  <c r="C4987"/>
  <c r="D4987" s="1"/>
  <c r="C4986"/>
  <c r="D4986" s="1"/>
  <c r="C4985"/>
  <c r="D4985" s="1"/>
  <c r="C4984"/>
  <c r="D4984" s="1"/>
  <c r="C4983"/>
  <c r="D4983" s="1"/>
  <c r="C4982"/>
  <c r="D4982" s="1"/>
  <c r="C4981"/>
  <c r="D4981" s="1"/>
  <c r="C4980"/>
  <c r="D4980" s="1"/>
  <c r="C4979"/>
  <c r="D4979" s="1"/>
  <c r="C4978"/>
  <c r="D4978" s="1"/>
  <c r="C4977"/>
  <c r="D4977" s="1"/>
  <c r="C4976"/>
  <c r="D4976" s="1"/>
  <c r="C4975"/>
  <c r="D4975" s="1"/>
  <c r="C4974"/>
  <c r="D4974" s="1"/>
  <c r="C4973"/>
  <c r="D4973" s="1"/>
  <c r="C4972"/>
  <c r="D4972" s="1"/>
  <c r="C4971"/>
  <c r="D4971" s="1"/>
  <c r="C4970"/>
  <c r="D4970" s="1"/>
  <c r="C4969"/>
  <c r="D4969" s="1"/>
  <c r="C4968"/>
  <c r="D4968" s="1"/>
  <c r="C4967"/>
  <c r="D4967" s="1"/>
  <c r="C4966"/>
  <c r="D4966" s="1"/>
  <c r="C4965"/>
  <c r="D4965" s="1"/>
  <c r="C4964"/>
  <c r="D4964" s="1"/>
  <c r="C4963"/>
  <c r="D4963" s="1"/>
  <c r="C4962"/>
  <c r="D4962" s="1"/>
  <c r="C4961"/>
  <c r="D4961" s="1"/>
  <c r="C4960"/>
  <c r="D4960" s="1"/>
  <c r="C4959"/>
  <c r="D4959" s="1"/>
  <c r="C4958"/>
  <c r="D4958" s="1"/>
  <c r="C4957"/>
  <c r="D4957" s="1"/>
  <c r="C4956"/>
  <c r="D4956" s="1"/>
  <c r="C4955"/>
  <c r="D4955" s="1"/>
  <c r="C4954"/>
  <c r="D4954" s="1"/>
  <c r="C4953"/>
  <c r="D4953" s="1"/>
  <c r="C4952"/>
  <c r="D4952" s="1"/>
  <c r="C4951"/>
  <c r="D4951" s="1"/>
  <c r="C4950"/>
  <c r="D4950" s="1"/>
  <c r="C4949"/>
  <c r="D4949" s="1"/>
  <c r="C4948"/>
  <c r="D4948" s="1"/>
  <c r="C4947"/>
  <c r="D4947" s="1"/>
  <c r="C4946"/>
  <c r="D4946" s="1"/>
  <c r="C4945"/>
  <c r="D4945" s="1"/>
  <c r="C4944"/>
  <c r="D4944" s="1"/>
  <c r="C4943"/>
  <c r="D4943" s="1"/>
  <c r="C4942"/>
  <c r="D4942" s="1"/>
  <c r="C4941"/>
  <c r="D4941" s="1"/>
  <c r="C4940"/>
  <c r="D4940" s="1"/>
  <c r="C4939"/>
  <c r="D4939" s="1"/>
  <c r="C4938"/>
  <c r="D4938" s="1"/>
  <c r="C4937"/>
  <c r="D4937" s="1"/>
  <c r="C4936"/>
  <c r="D4936" s="1"/>
  <c r="C4935"/>
  <c r="D4935" s="1"/>
  <c r="C4934"/>
  <c r="D4934" s="1"/>
  <c r="C4933"/>
  <c r="D4933" s="1"/>
  <c r="C4932"/>
  <c r="D4932" s="1"/>
  <c r="C4931"/>
  <c r="D4931" s="1"/>
  <c r="C4930"/>
  <c r="D4930" s="1"/>
  <c r="C4929"/>
  <c r="D4929" s="1"/>
  <c r="C4928"/>
  <c r="D4928" s="1"/>
  <c r="C4927"/>
  <c r="D4927" s="1"/>
  <c r="C4926"/>
  <c r="D4926" s="1"/>
  <c r="C4925"/>
  <c r="D4925" s="1"/>
  <c r="C4924"/>
  <c r="D4924" s="1"/>
  <c r="C4923"/>
  <c r="D4923" s="1"/>
  <c r="C4922"/>
  <c r="D4922" s="1"/>
  <c r="C4921"/>
  <c r="D4921" s="1"/>
  <c r="C4920"/>
  <c r="D4920" s="1"/>
  <c r="C4919"/>
  <c r="D4919" s="1"/>
  <c r="C4918"/>
  <c r="D4918" s="1"/>
  <c r="C4917"/>
  <c r="D4917" s="1"/>
  <c r="C4916"/>
  <c r="D4916" s="1"/>
  <c r="C4915"/>
  <c r="D4915" s="1"/>
  <c r="C4914"/>
  <c r="D4914" s="1"/>
  <c r="C4913"/>
  <c r="D4913" s="1"/>
  <c r="C4912"/>
  <c r="D4912" s="1"/>
  <c r="C4911"/>
  <c r="D4911" s="1"/>
  <c r="C4910"/>
  <c r="D4910" s="1"/>
  <c r="C4909"/>
  <c r="D4909" s="1"/>
  <c r="C4908"/>
  <c r="D4908" s="1"/>
  <c r="C4907"/>
  <c r="D4907" s="1"/>
  <c r="C4906"/>
  <c r="D4906" s="1"/>
  <c r="C4905"/>
  <c r="D4905" s="1"/>
  <c r="C4904"/>
  <c r="D4904" s="1"/>
  <c r="C4903"/>
  <c r="D4903" s="1"/>
  <c r="C4902"/>
  <c r="D4902" s="1"/>
  <c r="C4901"/>
  <c r="D4901" s="1"/>
  <c r="C4900"/>
  <c r="D4900" s="1"/>
  <c r="C4899"/>
  <c r="D4899" s="1"/>
  <c r="C4898"/>
  <c r="D4898" s="1"/>
  <c r="C4897"/>
  <c r="D4897" s="1"/>
  <c r="C4896"/>
  <c r="D4896" s="1"/>
  <c r="C4895"/>
  <c r="D4895" s="1"/>
  <c r="C4894"/>
  <c r="D4894" s="1"/>
  <c r="C4893"/>
  <c r="D4893" s="1"/>
  <c r="C4892"/>
  <c r="D4892" s="1"/>
  <c r="C4891"/>
  <c r="D4891" s="1"/>
  <c r="C4890"/>
  <c r="D4890" s="1"/>
  <c r="C4889"/>
  <c r="D4889" s="1"/>
  <c r="C4888"/>
  <c r="D4888" s="1"/>
  <c r="C4887"/>
  <c r="D4887" s="1"/>
  <c r="C4886"/>
  <c r="D4886" s="1"/>
  <c r="C4885"/>
  <c r="D4885" s="1"/>
  <c r="C4884"/>
  <c r="D4884" s="1"/>
  <c r="C4883"/>
  <c r="D4883" s="1"/>
  <c r="C4882"/>
  <c r="D4882" s="1"/>
  <c r="C4881"/>
  <c r="D4881" s="1"/>
  <c r="C4880"/>
  <c r="D4880" s="1"/>
  <c r="C4879"/>
  <c r="D4879" s="1"/>
  <c r="C4878"/>
  <c r="D4878" s="1"/>
  <c r="C4877"/>
  <c r="D4877" s="1"/>
  <c r="C4876"/>
  <c r="D4876" s="1"/>
  <c r="C4875"/>
  <c r="D4875" s="1"/>
  <c r="C4874"/>
  <c r="D4874" s="1"/>
  <c r="C4873"/>
  <c r="D4873" s="1"/>
  <c r="C4872"/>
  <c r="D4872" s="1"/>
  <c r="C4871"/>
  <c r="D4871" s="1"/>
  <c r="C4870"/>
  <c r="D4870" s="1"/>
  <c r="C4869"/>
  <c r="D4869" s="1"/>
  <c r="C4868"/>
  <c r="D4868" s="1"/>
  <c r="C4867"/>
  <c r="D4867" s="1"/>
  <c r="C4866"/>
  <c r="D4866" s="1"/>
  <c r="C4865"/>
  <c r="D4865" s="1"/>
  <c r="C4864"/>
  <c r="D4864" s="1"/>
  <c r="C4863"/>
  <c r="D4863" s="1"/>
  <c r="C4862"/>
  <c r="D4862" s="1"/>
  <c r="C4861"/>
  <c r="D4861" s="1"/>
  <c r="C4860"/>
  <c r="D4860" s="1"/>
  <c r="C4859"/>
  <c r="D4859" s="1"/>
  <c r="C4858"/>
  <c r="D4858" s="1"/>
  <c r="C4857"/>
  <c r="D4857" s="1"/>
  <c r="C4856"/>
  <c r="D4856" s="1"/>
  <c r="C4855"/>
  <c r="D4855" s="1"/>
  <c r="C4854"/>
  <c r="D4854" s="1"/>
  <c r="C4853"/>
  <c r="D4853" s="1"/>
  <c r="C4852"/>
  <c r="D4852" s="1"/>
  <c r="C4851"/>
  <c r="D4851" s="1"/>
  <c r="C4850"/>
  <c r="D4850" s="1"/>
  <c r="C4849"/>
  <c r="D4849" s="1"/>
  <c r="C4848"/>
  <c r="D4848" s="1"/>
  <c r="C4847"/>
  <c r="D4847" s="1"/>
  <c r="C4846"/>
  <c r="D4846" s="1"/>
  <c r="C4845"/>
  <c r="D4845" s="1"/>
  <c r="C4844"/>
  <c r="D4844" s="1"/>
  <c r="C4843"/>
  <c r="D4843" s="1"/>
  <c r="C4842"/>
  <c r="D4842" s="1"/>
  <c r="C4841"/>
  <c r="D4841" s="1"/>
  <c r="C4840"/>
  <c r="D4840" s="1"/>
  <c r="C4839"/>
  <c r="D4839" s="1"/>
  <c r="C4838"/>
  <c r="D4838" s="1"/>
  <c r="C4837"/>
  <c r="D4837" s="1"/>
  <c r="C4836"/>
  <c r="D4836" s="1"/>
  <c r="C4835"/>
  <c r="D4835" s="1"/>
  <c r="C4834"/>
  <c r="D4834" s="1"/>
  <c r="C4833"/>
  <c r="D4833" s="1"/>
  <c r="C4832"/>
  <c r="D4832" s="1"/>
  <c r="C4831"/>
  <c r="D4831" s="1"/>
  <c r="C4830"/>
  <c r="D4830" s="1"/>
  <c r="C4829"/>
  <c r="D4829" s="1"/>
  <c r="C4828"/>
  <c r="D4828" s="1"/>
  <c r="C4827"/>
  <c r="D4827" s="1"/>
  <c r="C4826"/>
  <c r="D4826" s="1"/>
  <c r="C4825"/>
  <c r="D4825" s="1"/>
  <c r="C4824"/>
  <c r="D4824" s="1"/>
  <c r="C4823"/>
  <c r="D4823" s="1"/>
  <c r="C4822"/>
  <c r="D4822" s="1"/>
  <c r="C4821"/>
  <c r="D4821" s="1"/>
  <c r="C4820"/>
  <c r="D4820" s="1"/>
  <c r="C4819"/>
  <c r="D4819" s="1"/>
  <c r="C4818"/>
  <c r="D4818" s="1"/>
  <c r="C4817"/>
  <c r="D4817" s="1"/>
  <c r="C4816"/>
  <c r="D4816" s="1"/>
  <c r="C4815"/>
  <c r="D4815" s="1"/>
  <c r="C4814"/>
  <c r="D4814" s="1"/>
  <c r="C4813"/>
  <c r="D4813" s="1"/>
  <c r="C4812"/>
  <c r="D4812" s="1"/>
  <c r="C4811"/>
  <c r="D4811" s="1"/>
  <c r="C4810"/>
  <c r="D4810" s="1"/>
  <c r="C4809"/>
  <c r="D4809" s="1"/>
  <c r="C4808"/>
  <c r="D4808" s="1"/>
  <c r="C4807"/>
  <c r="D4807" s="1"/>
  <c r="C4806"/>
  <c r="D4806" s="1"/>
  <c r="C4805"/>
  <c r="D4805" s="1"/>
  <c r="C4804"/>
  <c r="D4804" s="1"/>
  <c r="C4803"/>
  <c r="D4803" s="1"/>
  <c r="C4802"/>
  <c r="D4802" s="1"/>
  <c r="C4801"/>
  <c r="D4801" s="1"/>
  <c r="C4800"/>
  <c r="D4800" s="1"/>
  <c r="C4799"/>
  <c r="D4799" s="1"/>
  <c r="C4798"/>
  <c r="D4798" s="1"/>
  <c r="C4797"/>
  <c r="D4797" s="1"/>
  <c r="C4796"/>
  <c r="D4796" s="1"/>
  <c r="C4795"/>
  <c r="D4795" s="1"/>
  <c r="C4794"/>
  <c r="D4794" s="1"/>
  <c r="C4793"/>
  <c r="D4793" s="1"/>
  <c r="C4792"/>
  <c r="D4792" s="1"/>
  <c r="C4791"/>
  <c r="D4791" s="1"/>
  <c r="C4790"/>
  <c r="D4790" s="1"/>
  <c r="C4789"/>
  <c r="D4789" s="1"/>
  <c r="C4788"/>
  <c r="D4788" s="1"/>
  <c r="C4787"/>
  <c r="D4787" s="1"/>
  <c r="C4786"/>
  <c r="D4786" s="1"/>
  <c r="C4785"/>
  <c r="D4785" s="1"/>
  <c r="C4784"/>
  <c r="D4784" s="1"/>
  <c r="C4783"/>
  <c r="D4783" s="1"/>
  <c r="C4782"/>
  <c r="D4782" s="1"/>
  <c r="C4781"/>
  <c r="D4781" s="1"/>
  <c r="C4780"/>
  <c r="D4780" s="1"/>
  <c r="C4779"/>
  <c r="D4779" s="1"/>
  <c r="C4778"/>
  <c r="D4778" s="1"/>
  <c r="C4777"/>
  <c r="D4777" s="1"/>
  <c r="C4776"/>
  <c r="D4776" s="1"/>
  <c r="C4775"/>
  <c r="D4775" s="1"/>
  <c r="C4774"/>
  <c r="D4774" s="1"/>
  <c r="C4773"/>
  <c r="D4773" s="1"/>
  <c r="C4772"/>
  <c r="D4772" s="1"/>
  <c r="C4771"/>
  <c r="D4771" s="1"/>
  <c r="C4770"/>
  <c r="D4770" s="1"/>
  <c r="C4769"/>
  <c r="D4769" s="1"/>
  <c r="C4768"/>
  <c r="D4768" s="1"/>
  <c r="C4767"/>
  <c r="D4767" s="1"/>
  <c r="C4766"/>
  <c r="D4766" s="1"/>
  <c r="C4765"/>
  <c r="D4765" s="1"/>
  <c r="C4764"/>
  <c r="D4764" s="1"/>
  <c r="C4763"/>
  <c r="D4763" s="1"/>
  <c r="C4762"/>
  <c r="D4762" s="1"/>
  <c r="C4761"/>
  <c r="D4761" s="1"/>
  <c r="C4760"/>
  <c r="D4760" s="1"/>
  <c r="C4759"/>
  <c r="D4759" s="1"/>
  <c r="C4758"/>
  <c r="D4758" s="1"/>
  <c r="C4757"/>
  <c r="D4757" s="1"/>
  <c r="C4756"/>
  <c r="D4756" s="1"/>
  <c r="C4755"/>
  <c r="D4755" s="1"/>
  <c r="C4754"/>
  <c r="D4754" s="1"/>
  <c r="C4753"/>
  <c r="D4753" s="1"/>
  <c r="C4752"/>
  <c r="D4752" s="1"/>
  <c r="C4751"/>
  <c r="D4751" s="1"/>
  <c r="C4750"/>
  <c r="D4750" s="1"/>
  <c r="C4749"/>
  <c r="D4749" s="1"/>
  <c r="C4748"/>
  <c r="D4748" s="1"/>
  <c r="C4747"/>
  <c r="D4747" s="1"/>
  <c r="C4746"/>
  <c r="D4746" s="1"/>
  <c r="C4745"/>
  <c r="D4745" s="1"/>
  <c r="C4744"/>
  <c r="D4744" s="1"/>
  <c r="C4743"/>
  <c r="D4743" s="1"/>
  <c r="C4742"/>
  <c r="D4742" s="1"/>
  <c r="C4741"/>
  <c r="D4741" s="1"/>
  <c r="C4740"/>
  <c r="D4740" s="1"/>
  <c r="C4739"/>
  <c r="D4739" s="1"/>
  <c r="C4738"/>
  <c r="D4738" s="1"/>
  <c r="C4737"/>
  <c r="D4737" s="1"/>
  <c r="C4736"/>
  <c r="D4736" s="1"/>
  <c r="C4735"/>
  <c r="D4735" s="1"/>
  <c r="C4734"/>
  <c r="D4734" s="1"/>
  <c r="C4733"/>
  <c r="D4733" s="1"/>
  <c r="C4732"/>
  <c r="D4732" s="1"/>
  <c r="C4731"/>
  <c r="D4731" s="1"/>
  <c r="C4730"/>
  <c r="D4730" s="1"/>
  <c r="C4729"/>
  <c r="D4729" s="1"/>
  <c r="C4728"/>
  <c r="D4728" s="1"/>
  <c r="C4727"/>
  <c r="D4727" s="1"/>
  <c r="C4726"/>
  <c r="D4726" s="1"/>
  <c r="C4725"/>
  <c r="D4725" s="1"/>
  <c r="C4724"/>
  <c r="D4724" s="1"/>
  <c r="C4723"/>
  <c r="D4723" s="1"/>
  <c r="C4722"/>
  <c r="D4722" s="1"/>
  <c r="C4721"/>
  <c r="D4721" s="1"/>
  <c r="C4720"/>
  <c r="D4720" s="1"/>
  <c r="C4719"/>
  <c r="D4719" s="1"/>
  <c r="C4718"/>
  <c r="D4718" s="1"/>
  <c r="C4717"/>
  <c r="D4717" s="1"/>
  <c r="C4716"/>
  <c r="D4716" s="1"/>
  <c r="C4715"/>
  <c r="D4715" s="1"/>
  <c r="C4714"/>
  <c r="D4714" s="1"/>
  <c r="C4713"/>
  <c r="D4713" s="1"/>
  <c r="C4712"/>
  <c r="D4712" s="1"/>
  <c r="C4711"/>
  <c r="D4711" s="1"/>
  <c r="C4710"/>
  <c r="D4710" s="1"/>
  <c r="C4709"/>
  <c r="D4709" s="1"/>
  <c r="C4708"/>
  <c r="D4708" s="1"/>
  <c r="C4707"/>
  <c r="D4707" s="1"/>
  <c r="C4706"/>
  <c r="D4706" s="1"/>
  <c r="C4705"/>
  <c r="D4705" s="1"/>
  <c r="C4704"/>
  <c r="D4704" s="1"/>
  <c r="C4703"/>
  <c r="D4703" s="1"/>
  <c r="C4702"/>
  <c r="D4702" s="1"/>
  <c r="C4701"/>
  <c r="D4701" s="1"/>
  <c r="C4700"/>
  <c r="D4700" s="1"/>
  <c r="C4699"/>
  <c r="D4699" s="1"/>
  <c r="C4698"/>
  <c r="D4698" s="1"/>
  <c r="C4697"/>
  <c r="D4697" s="1"/>
  <c r="C4696"/>
  <c r="D4696" s="1"/>
  <c r="C4695"/>
  <c r="D4695" s="1"/>
  <c r="C4694"/>
  <c r="D4694" s="1"/>
  <c r="C4693"/>
  <c r="D4693" s="1"/>
  <c r="C4692"/>
  <c r="D4692" s="1"/>
  <c r="C4691"/>
  <c r="D4691" s="1"/>
  <c r="C4690"/>
  <c r="D4690" s="1"/>
  <c r="C4689"/>
  <c r="D4689" s="1"/>
  <c r="C4688"/>
  <c r="D4688" s="1"/>
  <c r="C4687"/>
  <c r="D4687" s="1"/>
  <c r="C4686"/>
  <c r="D4686" s="1"/>
  <c r="C4685"/>
  <c r="D4685" s="1"/>
  <c r="C4684"/>
  <c r="D4684" s="1"/>
  <c r="C4683"/>
  <c r="D4683" s="1"/>
  <c r="C4682"/>
  <c r="D4682" s="1"/>
  <c r="C4681"/>
  <c r="D4681" s="1"/>
  <c r="C4680"/>
  <c r="D4680" s="1"/>
  <c r="C4679"/>
  <c r="D4679" s="1"/>
  <c r="C4678"/>
  <c r="D4678" s="1"/>
  <c r="C4677"/>
  <c r="D4677" s="1"/>
  <c r="C4676"/>
  <c r="D4676" s="1"/>
  <c r="C4675"/>
  <c r="D4675" s="1"/>
  <c r="C4674"/>
  <c r="D4674" s="1"/>
  <c r="C4673"/>
  <c r="D4673" s="1"/>
  <c r="C4672"/>
  <c r="D4672" s="1"/>
  <c r="C4671"/>
  <c r="D4671" s="1"/>
  <c r="C4670"/>
  <c r="D4670" s="1"/>
  <c r="C4669"/>
  <c r="D4669" s="1"/>
  <c r="C4668"/>
  <c r="D4668" s="1"/>
  <c r="C4667"/>
  <c r="D4667" s="1"/>
  <c r="C4666"/>
  <c r="D4666" s="1"/>
  <c r="C4665"/>
  <c r="D4665" s="1"/>
  <c r="C4664"/>
  <c r="D4664" s="1"/>
  <c r="C4663"/>
  <c r="D4663" s="1"/>
  <c r="C4662"/>
  <c r="D4662" s="1"/>
  <c r="C4661"/>
  <c r="D4661" s="1"/>
  <c r="C4660"/>
  <c r="D4660" s="1"/>
  <c r="C4659"/>
  <c r="D4659" s="1"/>
  <c r="C4658"/>
  <c r="D4658" s="1"/>
  <c r="C4657"/>
  <c r="D4657" s="1"/>
  <c r="C4656"/>
  <c r="D4656" s="1"/>
  <c r="C4655"/>
  <c r="D4655" s="1"/>
  <c r="C4654"/>
  <c r="D4654" s="1"/>
  <c r="C4653"/>
  <c r="D4653" s="1"/>
  <c r="C4652"/>
  <c r="D4652" s="1"/>
  <c r="C4651"/>
  <c r="D4651" s="1"/>
  <c r="C4650"/>
  <c r="D4650" s="1"/>
  <c r="C4649"/>
  <c r="D4649" s="1"/>
  <c r="C4648"/>
  <c r="D4648" s="1"/>
  <c r="C4647"/>
  <c r="D4647" s="1"/>
  <c r="C4646"/>
  <c r="D4646" s="1"/>
  <c r="C4645"/>
  <c r="D4645" s="1"/>
  <c r="C4644"/>
  <c r="D4644" s="1"/>
  <c r="C4643"/>
  <c r="D4643" s="1"/>
  <c r="C4642"/>
  <c r="D4642" s="1"/>
  <c r="C4641"/>
  <c r="D4641" s="1"/>
  <c r="C4640"/>
  <c r="D4640" s="1"/>
  <c r="C4639"/>
  <c r="D4639" s="1"/>
  <c r="C4638"/>
  <c r="D4638" s="1"/>
  <c r="C4637"/>
  <c r="D4637" s="1"/>
  <c r="C4636"/>
  <c r="D4636" s="1"/>
  <c r="C4635"/>
  <c r="D4635" s="1"/>
  <c r="C4634"/>
  <c r="D4634" s="1"/>
  <c r="C4633"/>
  <c r="D4633" s="1"/>
  <c r="C4632"/>
  <c r="D4632" s="1"/>
  <c r="C4631"/>
  <c r="D4631" s="1"/>
  <c r="C4630"/>
  <c r="D4630" s="1"/>
  <c r="C4629"/>
  <c r="D4629" s="1"/>
  <c r="C4628"/>
  <c r="D4628" s="1"/>
  <c r="C4627"/>
  <c r="D4627" s="1"/>
  <c r="C4626"/>
  <c r="D4626" s="1"/>
  <c r="C4625"/>
  <c r="D4625" s="1"/>
  <c r="C4624"/>
  <c r="D4624" s="1"/>
  <c r="C4623"/>
  <c r="D4623" s="1"/>
  <c r="C4622"/>
  <c r="D4622" s="1"/>
  <c r="C4621"/>
  <c r="D4621" s="1"/>
  <c r="C4620"/>
  <c r="D4620" s="1"/>
  <c r="C4619"/>
  <c r="D4619" s="1"/>
  <c r="C4618"/>
  <c r="D4618" s="1"/>
  <c r="C4617"/>
  <c r="D4617" s="1"/>
  <c r="C4616"/>
  <c r="D4616" s="1"/>
  <c r="C4615"/>
  <c r="D4615" s="1"/>
  <c r="C4614"/>
  <c r="D4614" s="1"/>
  <c r="C4613"/>
  <c r="D4613" s="1"/>
  <c r="C4612"/>
  <c r="D4612" s="1"/>
  <c r="C4611"/>
  <c r="D4611" s="1"/>
  <c r="C4610"/>
  <c r="D4610" s="1"/>
  <c r="C4609"/>
  <c r="D4609" s="1"/>
  <c r="C4608"/>
  <c r="D4608" s="1"/>
  <c r="C4607"/>
  <c r="D4607" s="1"/>
  <c r="C4606"/>
  <c r="D4606" s="1"/>
  <c r="C4605"/>
  <c r="D4605" s="1"/>
  <c r="C4604"/>
  <c r="D4604" s="1"/>
  <c r="C4603"/>
  <c r="D4603" s="1"/>
  <c r="C4602"/>
  <c r="D4602" s="1"/>
  <c r="C4601"/>
  <c r="D4601" s="1"/>
  <c r="C4600"/>
  <c r="D4600" s="1"/>
  <c r="C4599"/>
  <c r="D4599" s="1"/>
  <c r="C4598"/>
  <c r="D4598" s="1"/>
  <c r="C4597"/>
  <c r="D4597" s="1"/>
  <c r="C4596"/>
  <c r="D4596" s="1"/>
  <c r="C4595"/>
  <c r="D4595" s="1"/>
  <c r="C4594"/>
  <c r="D4594" s="1"/>
  <c r="C4593"/>
  <c r="D4593" s="1"/>
  <c r="C4592"/>
  <c r="D4592" s="1"/>
  <c r="C4591"/>
  <c r="D4591" s="1"/>
  <c r="C4590"/>
  <c r="D4590" s="1"/>
  <c r="C4589"/>
  <c r="D4589" s="1"/>
  <c r="C4588"/>
  <c r="D4588" s="1"/>
  <c r="C4587"/>
  <c r="D4587" s="1"/>
  <c r="C4586"/>
  <c r="D4586" s="1"/>
  <c r="C4585"/>
  <c r="D4585" s="1"/>
  <c r="C4584"/>
  <c r="D4584" s="1"/>
  <c r="C4583"/>
  <c r="D4583" s="1"/>
  <c r="C4582"/>
  <c r="D4582" s="1"/>
  <c r="C4581"/>
  <c r="D4581" s="1"/>
  <c r="C4580"/>
  <c r="D4580" s="1"/>
  <c r="C4579"/>
  <c r="D4579" s="1"/>
  <c r="C4578"/>
  <c r="D4578" s="1"/>
  <c r="C4577"/>
  <c r="D4577" s="1"/>
  <c r="C4576"/>
  <c r="D4576" s="1"/>
  <c r="C4575"/>
  <c r="D4575" s="1"/>
  <c r="C4574"/>
  <c r="D4574" s="1"/>
  <c r="C4573"/>
  <c r="D4573" s="1"/>
  <c r="C4572"/>
  <c r="D4572" s="1"/>
  <c r="C4571"/>
  <c r="D4571" s="1"/>
  <c r="C4570"/>
  <c r="D4570" s="1"/>
  <c r="C4569"/>
  <c r="D4569" s="1"/>
  <c r="C4568"/>
  <c r="D4568" s="1"/>
  <c r="C4567"/>
  <c r="D4567" s="1"/>
  <c r="C4566"/>
  <c r="D4566" s="1"/>
  <c r="C4565"/>
  <c r="D4565" s="1"/>
  <c r="C4564"/>
  <c r="D4564" s="1"/>
  <c r="C4563"/>
  <c r="D4563" s="1"/>
  <c r="C4562"/>
  <c r="D4562" s="1"/>
  <c r="C4561"/>
  <c r="D4561" s="1"/>
  <c r="C4560"/>
  <c r="D4560" s="1"/>
  <c r="C4559"/>
  <c r="D4559" s="1"/>
  <c r="C4558"/>
  <c r="D4558" s="1"/>
  <c r="C4557"/>
  <c r="D4557" s="1"/>
  <c r="C4556"/>
  <c r="D4556" s="1"/>
  <c r="C4555"/>
  <c r="D4555" s="1"/>
  <c r="C4554"/>
  <c r="D4554" s="1"/>
  <c r="C4553"/>
  <c r="D4553" s="1"/>
  <c r="C4552"/>
  <c r="D4552" s="1"/>
  <c r="C4551"/>
  <c r="D4551" s="1"/>
  <c r="C4550"/>
  <c r="D4550" s="1"/>
  <c r="C4549"/>
  <c r="D4549" s="1"/>
  <c r="C4548"/>
  <c r="D4548" s="1"/>
  <c r="C4547"/>
  <c r="D4547" s="1"/>
  <c r="C4546"/>
  <c r="D4546" s="1"/>
  <c r="C4545"/>
  <c r="D4545" s="1"/>
  <c r="C4544"/>
  <c r="D4544" s="1"/>
  <c r="C4543"/>
  <c r="D4543" s="1"/>
  <c r="C4542"/>
  <c r="D4542" s="1"/>
  <c r="C4541"/>
  <c r="D4541" s="1"/>
  <c r="C4540"/>
  <c r="D4540" s="1"/>
  <c r="C4539"/>
  <c r="D4539" s="1"/>
  <c r="C4538"/>
  <c r="D4538" s="1"/>
  <c r="C4537"/>
  <c r="D4537" s="1"/>
  <c r="C4536"/>
  <c r="D4536" s="1"/>
  <c r="C4535"/>
  <c r="D4535" s="1"/>
  <c r="C4534"/>
  <c r="D4534" s="1"/>
  <c r="C4533"/>
  <c r="D4533" s="1"/>
  <c r="C4532"/>
  <c r="D4532" s="1"/>
  <c r="C4531"/>
  <c r="D4531" s="1"/>
  <c r="C4530"/>
  <c r="D4530" s="1"/>
  <c r="C4529"/>
  <c r="D4529" s="1"/>
  <c r="C4528"/>
  <c r="D4528" s="1"/>
  <c r="C4527"/>
  <c r="D4527" s="1"/>
  <c r="C4526"/>
  <c r="D4526" s="1"/>
  <c r="C4525"/>
  <c r="D4525" s="1"/>
  <c r="C4524"/>
  <c r="D4524" s="1"/>
  <c r="C4523"/>
  <c r="D4523" s="1"/>
  <c r="C4522"/>
  <c r="D4522" s="1"/>
  <c r="C4521"/>
  <c r="D4521" s="1"/>
  <c r="C4520"/>
  <c r="D4520" s="1"/>
  <c r="C4519"/>
  <c r="D4519" s="1"/>
  <c r="C4518"/>
  <c r="D4518" s="1"/>
  <c r="C4517"/>
  <c r="D4517" s="1"/>
  <c r="C4516"/>
  <c r="D4516" s="1"/>
  <c r="C4515"/>
  <c r="D4515" s="1"/>
  <c r="C4514"/>
  <c r="D4514" s="1"/>
  <c r="C4513"/>
  <c r="D4513" s="1"/>
  <c r="C4512"/>
  <c r="D4512" s="1"/>
  <c r="C4511"/>
  <c r="D4511" s="1"/>
  <c r="C4510"/>
  <c r="D4510" s="1"/>
  <c r="C4509"/>
  <c r="D4509" s="1"/>
  <c r="C4508"/>
  <c r="D4508" s="1"/>
  <c r="C4507"/>
  <c r="D4507" s="1"/>
  <c r="C4506"/>
  <c r="D4506" s="1"/>
  <c r="C4505"/>
  <c r="D4505" s="1"/>
  <c r="C4504"/>
  <c r="D4504" s="1"/>
  <c r="C4503"/>
  <c r="D4503" s="1"/>
  <c r="C4502"/>
  <c r="D4502" s="1"/>
  <c r="C4501"/>
  <c r="D4501" s="1"/>
  <c r="C4500"/>
  <c r="D4500" s="1"/>
  <c r="C4499"/>
  <c r="D4499" s="1"/>
  <c r="C4498"/>
  <c r="D4498" s="1"/>
  <c r="C4497"/>
  <c r="D4497" s="1"/>
  <c r="C4496"/>
  <c r="D4496" s="1"/>
  <c r="C4495"/>
  <c r="D4495" s="1"/>
  <c r="C4494"/>
  <c r="D4494" s="1"/>
  <c r="C4493"/>
  <c r="D4493" s="1"/>
  <c r="C4492"/>
  <c r="D4492" s="1"/>
  <c r="C4491"/>
  <c r="D4491" s="1"/>
  <c r="C4490"/>
  <c r="D4490" s="1"/>
  <c r="C4489"/>
  <c r="D4489" s="1"/>
  <c r="C4488"/>
  <c r="D4488" s="1"/>
  <c r="C4487"/>
  <c r="D4487" s="1"/>
  <c r="C4486"/>
  <c r="D4486" s="1"/>
  <c r="C4485"/>
  <c r="D4485" s="1"/>
  <c r="C4484"/>
  <c r="D4484" s="1"/>
  <c r="C4483"/>
  <c r="D4483" s="1"/>
  <c r="C4482"/>
  <c r="D4482" s="1"/>
  <c r="C4481"/>
  <c r="D4481" s="1"/>
  <c r="C4480"/>
  <c r="D4480" s="1"/>
  <c r="C4479"/>
  <c r="D4479" s="1"/>
  <c r="C4478"/>
  <c r="D4478" s="1"/>
  <c r="C4477"/>
  <c r="D4477" s="1"/>
  <c r="C4476"/>
  <c r="D4476" s="1"/>
  <c r="C4475"/>
  <c r="D4475" s="1"/>
  <c r="C4474"/>
  <c r="D4474" s="1"/>
  <c r="C4473"/>
  <c r="D4473" s="1"/>
  <c r="C4472"/>
  <c r="D4472" s="1"/>
  <c r="C4471"/>
  <c r="D4471" s="1"/>
  <c r="C4470"/>
  <c r="D4470" s="1"/>
  <c r="C4469"/>
  <c r="D4469" s="1"/>
  <c r="C4468"/>
  <c r="D4468" s="1"/>
  <c r="C4467"/>
  <c r="D4467" s="1"/>
  <c r="C4466"/>
  <c r="D4466" s="1"/>
  <c r="C4465"/>
  <c r="D4465" s="1"/>
  <c r="C4464"/>
  <c r="D4464" s="1"/>
  <c r="C4463"/>
  <c r="D4463" s="1"/>
  <c r="C4462"/>
  <c r="D4462" s="1"/>
  <c r="C4461"/>
  <c r="D4461" s="1"/>
  <c r="C4460"/>
  <c r="D4460" s="1"/>
  <c r="C4459"/>
  <c r="D4459" s="1"/>
  <c r="C4458"/>
  <c r="D4458" s="1"/>
  <c r="C4457"/>
  <c r="D4457" s="1"/>
  <c r="C4456"/>
  <c r="D4456" s="1"/>
  <c r="C4455"/>
  <c r="D4455" s="1"/>
  <c r="C4454"/>
  <c r="D4454" s="1"/>
  <c r="C4453"/>
  <c r="D4453" s="1"/>
  <c r="C4452"/>
  <c r="D4452" s="1"/>
  <c r="C4451"/>
  <c r="D4451" s="1"/>
  <c r="C4450"/>
  <c r="D4450" s="1"/>
  <c r="C4449"/>
  <c r="D4449" s="1"/>
  <c r="C4448"/>
  <c r="D4448" s="1"/>
  <c r="C4447"/>
  <c r="D4447" s="1"/>
  <c r="C4446"/>
  <c r="D4446" s="1"/>
  <c r="C4445"/>
  <c r="D4445" s="1"/>
  <c r="C4444"/>
  <c r="D4444" s="1"/>
  <c r="C4443"/>
  <c r="D4443" s="1"/>
  <c r="C4442"/>
  <c r="D4442" s="1"/>
  <c r="C4441"/>
  <c r="D4441" s="1"/>
  <c r="C4440"/>
  <c r="D4440" s="1"/>
  <c r="C4439"/>
  <c r="D4439" s="1"/>
  <c r="C4438"/>
  <c r="D4438" s="1"/>
  <c r="C4437"/>
  <c r="D4437" s="1"/>
  <c r="C4436"/>
  <c r="D4436" s="1"/>
  <c r="C4435"/>
  <c r="D4435" s="1"/>
  <c r="C4434"/>
  <c r="D4434" s="1"/>
  <c r="C4433"/>
  <c r="D4433" s="1"/>
  <c r="C4432"/>
  <c r="D4432" s="1"/>
  <c r="C4431"/>
  <c r="D4431" s="1"/>
  <c r="C4430"/>
  <c r="D4430" s="1"/>
  <c r="C4429"/>
  <c r="D4429" s="1"/>
  <c r="C4428"/>
  <c r="D4428" s="1"/>
  <c r="C4427"/>
  <c r="D4427" s="1"/>
  <c r="C4426"/>
  <c r="D4426" s="1"/>
  <c r="C4425"/>
  <c r="D4425" s="1"/>
  <c r="C4424"/>
  <c r="D4424" s="1"/>
  <c r="C4423"/>
  <c r="D4423" s="1"/>
  <c r="C4422"/>
  <c r="D4422" s="1"/>
  <c r="C4421"/>
  <c r="D4421" s="1"/>
  <c r="C4420"/>
  <c r="D4420" s="1"/>
  <c r="C4419"/>
  <c r="D4419" s="1"/>
  <c r="C4418"/>
  <c r="D4418" s="1"/>
  <c r="C4417"/>
  <c r="D4417" s="1"/>
  <c r="C4416"/>
  <c r="D4416" s="1"/>
  <c r="C4415"/>
  <c r="D4415" s="1"/>
  <c r="C4414"/>
  <c r="D4414" s="1"/>
  <c r="C4413"/>
  <c r="D4413" s="1"/>
  <c r="C4412"/>
  <c r="D4412" s="1"/>
  <c r="C4411"/>
  <c r="D4411" s="1"/>
  <c r="C4410"/>
  <c r="D4410" s="1"/>
  <c r="C4409"/>
  <c r="D4409" s="1"/>
  <c r="C4408"/>
  <c r="D4408" s="1"/>
  <c r="C4407"/>
  <c r="D4407" s="1"/>
  <c r="C4406"/>
  <c r="D4406" s="1"/>
  <c r="C4405"/>
  <c r="D4405" s="1"/>
  <c r="C4404"/>
  <c r="D4404" s="1"/>
  <c r="C4403"/>
  <c r="D4403" s="1"/>
  <c r="C4402"/>
  <c r="D4402" s="1"/>
  <c r="C4401"/>
  <c r="D4401" s="1"/>
  <c r="C4400"/>
  <c r="D4400" s="1"/>
  <c r="C4399"/>
  <c r="D4399" s="1"/>
  <c r="C4398"/>
  <c r="D4398" s="1"/>
  <c r="C4397"/>
  <c r="D4397" s="1"/>
  <c r="C4396"/>
  <c r="D4396" s="1"/>
  <c r="C4395"/>
  <c r="D4395" s="1"/>
  <c r="C4394"/>
  <c r="D4394" s="1"/>
  <c r="C4393"/>
  <c r="D4393" s="1"/>
  <c r="C4392"/>
  <c r="D4392" s="1"/>
  <c r="C4391"/>
  <c r="D4391" s="1"/>
  <c r="C4390"/>
  <c r="D4390" s="1"/>
  <c r="C4389"/>
  <c r="D4389" s="1"/>
  <c r="C4388"/>
  <c r="D4388" s="1"/>
  <c r="C4387"/>
  <c r="D4387" s="1"/>
  <c r="C4386"/>
  <c r="D4386" s="1"/>
  <c r="C4385"/>
  <c r="D4385" s="1"/>
  <c r="C4384"/>
  <c r="D4384" s="1"/>
  <c r="C4383"/>
  <c r="D4383" s="1"/>
  <c r="C4382"/>
  <c r="D4382" s="1"/>
  <c r="C4381"/>
  <c r="D4381" s="1"/>
  <c r="C4380"/>
  <c r="D4380" s="1"/>
  <c r="C4379"/>
  <c r="D4379" s="1"/>
  <c r="C4378"/>
  <c r="D4378" s="1"/>
  <c r="C4377"/>
  <c r="D4377" s="1"/>
  <c r="C4376"/>
  <c r="D4376" s="1"/>
  <c r="C4375"/>
  <c r="D4375" s="1"/>
  <c r="C4374"/>
  <c r="D4374" s="1"/>
  <c r="C4373"/>
  <c r="D4373" s="1"/>
  <c r="C4372"/>
  <c r="D4372" s="1"/>
  <c r="C4371"/>
  <c r="D4371" s="1"/>
  <c r="C4370"/>
  <c r="D4370" s="1"/>
  <c r="C4369"/>
  <c r="D4369" s="1"/>
  <c r="C4368"/>
  <c r="D4368" s="1"/>
  <c r="C4367"/>
  <c r="D4367" s="1"/>
  <c r="C4366"/>
  <c r="D4366" s="1"/>
  <c r="C4365"/>
  <c r="D4365" s="1"/>
  <c r="C4364"/>
  <c r="D4364" s="1"/>
  <c r="C4363"/>
  <c r="D4363" s="1"/>
  <c r="C4362"/>
  <c r="D4362" s="1"/>
  <c r="C4361"/>
  <c r="D4361" s="1"/>
  <c r="C4360"/>
  <c r="D4360" s="1"/>
  <c r="C4359"/>
  <c r="D4359" s="1"/>
  <c r="C4358"/>
  <c r="D4358" s="1"/>
  <c r="C4357"/>
  <c r="D4357" s="1"/>
  <c r="C4356"/>
  <c r="D4356" s="1"/>
  <c r="C4355"/>
  <c r="D4355" s="1"/>
  <c r="C4354"/>
  <c r="D4354" s="1"/>
  <c r="C4353"/>
  <c r="D4353" s="1"/>
  <c r="C4352"/>
  <c r="D4352" s="1"/>
  <c r="C4351"/>
  <c r="D4351" s="1"/>
  <c r="C4350"/>
  <c r="D4350" s="1"/>
  <c r="C4349"/>
  <c r="D4349" s="1"/>
  <c r="C4348"/>
  <c r="D4348" s="1"/>
  <c r="C4347"/>
  <c r="D4347" s="1"/>
  <c r="C4346"/>
  <c r="D4346" s="1"/>
  <c r="C4345"/>
  <c r="D4345" s="1"/>
  <c r="C4344"/>
  <c r="D4344" s="1"/>
  <c r="C4343"/>
  <c r="D4343" s="1"/>
  <c r="C4342"/>
  <c r="D4342" s="1"/>
  <c r="C4341"/>
  <c r="D4341" s="1"/>
  <c r="C4340"/>
  <c r="D4340" s="1"/>
  <c r="C4339"/>
  <c r="D4339" s="1"/>
  <c r="C4338"/>
  <c r="D4338" s="1"/>
  <c r="C4337"/>
  <c r="D4337" s="1"/>
  <c r="C4336"/>
  <c r="D4336" s="1"/>
  <c r="C4335"/>
  <c r="D4335" s="1"/>
  <c r="C4334"/>
  <c r="D4334" s="1"/>
  <c r="C4333"/>
  <c r="D4333" s="1"/>
  <c r="C4332"/>
  <c r="D4332" s="1"/>
  <c r="C4331"/>
  <c r="D4331" s="1"/>
  <c r="C4330"/>
  <c r="D4330" s="1"/>
  <c r="C4329"/>
  <c r="D4329" s="1"/>
  <c r="C4328"/>
  <c r="D4328" s="1"/>
  <c r="C4327"/>
  <c r="D4327" s="1"/>
  <c r="C4326"/>
  <c r="D4326" s="1"/>
  <c r="C4325"/>
  <c r="D4325" s="1"/>
  <c r="C4324"/>
  <c r="D4324" s="1"/>
  <c r="C4323"/>
  <c r="D4323" s="1"/>
  <c r="C4322"/>
  <c r="D4322" s="1"/>
  <c r="C4321"/>
  <c r="D4321" s="1"/>
  <c r="C4320"/>
  <c r="D4320" s="1"/>
  <c r="C4319"/>
  <c r="D4319" s="1"/>
  <c r="C4318"/>
  <c r="D4318" s="1"/>
  <c r="C4317"/>
  <c r="D4317" s="1"/>
  <c r="C4316"/>
  <c r="D4316" s="1"/>
  <c r="C4315"/>
  <c r="D4315" s="1"/>
  <c r="C4314"/>
  <c r="D4314" s="1"/>
  <c r="C4313"/>
  <c r="D4313" s="1"/>
  <c r="C4312"/>
  <c r="D4312" s="1"/>
  <c r="C4311"/>
  <c r="D4311" s="1"/>
  <c r="C4310"/>
  <c r="D4310" s="1"/>
  <c r="C4309"/>
  <c r="D4309" s="1"/>
  <c r="C4308"/>
  <c r="D4308" s="1"/>
  <c r="C4307"/>
  <c r="D4307" s="1"/>
  <c r="C4306"/>
  <c r="D4306" s="1"/>
  <c r="C4305"/>
  <c r="D4305" s="1"/>
  <c r="C4304"/>
  <c r="D4304" s="1"/>
  <c r="C4303"/>
  <c r="D4303" s="1"/>
  <c r="C4302"/>
  <c r="D4302" s="1"/>
  <c r="C4301"/>
  <c r="D4301" s="1"/>
  <c r="C4300"/>
  <c r="D4300" s="1"/>
  <c r="C4299"/>
  <c r="D4299" s="1"/>
  <c r="C4298"/>
  <c r="D4298" s="1"/>
  <c r="C4297"/>
  <c r="D4297" s="1"/>
  <c r="C4296"/>
  <c r="D4296" s="1"/>
  <c r="C4295"/>
  <c r="D4295" s="1"/>
  <c r="C4294"/>
  <c r="D4294" s="1"/>
  <c r="C4293"/>
  <c r="D4293" s="1"/>
  <c r="C4292"/>
  <c r="D4292" s="1"/>
  <c r="C4291"/>
  <c r="D4291" s="1"/>
  <c r="C4290"/>
  <c r="D4290" s="1"/>
  <c r="C4289"/>
  <c r="D4289" s="1"/>
  <c r="C4288"/>
  <c r="D4288" s="1"/>
  <c r="C4287"/>
  <c r="D4287" s="1"/>
  <c r="C4286"/>
  <c r="D4286" s="1"/>
  <c r="C4285"/>
  <c r="D4285" s="1"/>
  <c r="C4284"/>
  <c r="D4284" s="1"/>
  <c r="C4283"/>
  <c r="D4283" s="1"/>
  <c r="C4282"/>
  <c r="D4282" s="1"/>
  <c r="C4281"/>
  <c r="D4281" s="1"/>
  <c r="C4280"/>
  <c r="D4280" s="1"/>
  <c r="C4279"/>
  <c r="D4279" s="1"/>
  <c r="C4278"/>
  <c r="D4278" s="1"/>
  <c r="C4277"/>
  <c r="D4277" s="1"/>
  <c r="C4276"/>
  <c r="D4276" s="1"/>
  <c r="C4275"/>
  <c r="D4275" s="1"/>
  <c r="C4274"/>
  <c r="D4274" s="1"/>
  <c r="C4273"/>
  <c r="D4273" s="1"/>
  <c r="C4272"/>
  <c r="D4272" s="1"/>
  <c r="C4271"/>
  <c r="D4271" s="1"/>
  <c r="C4270"/>
  <c r="D4270" s="1"/>
  <c r="C4269"/>
  <c r="D4269" s="1"/>
  <c r="C4268"/>
  <c r="D4268" s="1"/>
  <c r="C4267"/>
  <c r="D4267" s="1"/>
  <c r="C4266"/>
  <c r="D4266" s="1"/>
  <c r="C4265"/>
  <c r="D4265" s="1"/>
  <c r="C4264"/>
  <c r="D4264" s="1"/>
  <c r="C4263"/>
  <c r="D4263" s="1"/>
  <c r="C4262"/>
  <c r="D4262" s="1"/>
  <c r="C4261"/>
  <c r="D4261" s="1"/>
  <c r="C4260"/>
  <c r="D4260" s="1"/>
  <c r="C4259"/>
  <c r="D4259" s="1"/>
  <c r="C4258"/>
  <c r="D4258" s="1"/>
  <c r="C4257"/>
  <c r="D4257" s="1"/>
  <c r="C4256"/>
  <c r="D4256" s="1"/>
  <c r="C4255"/>
  <c r="D4255" s="1"/>
  <c r="C4254"/>
  <c r="D4254" s="1"/>
  <c r="C4253"/>
  <c r="D4253" s="1"/>
  <c r="C4252"/>
  <c r="D4252" s="1"/>
  <c r="C4251"/>
  <c r="D4251" s="1"/>
  <c r="C4250"/>
  <c r="D4250" s="1"/>
  <c r="C4249"/>
  <c r="D4249" s="1"/>
  <c r="C4248"/>
  <c r="D4248" s="1"/>
  <c r="C4247"/>
  <c r="D4247" s="1"/>
  <c r="C4246"/>
  <c r="D4246" s="1"/>
  <c r="C4245"/>
  <c r="D4245" s="1"/>
  <c r="C4244"/>
  <c r="D4244" s="1"/>
  <c r="C4243"/>
  <c r="D4243" s="1"/>
  <c r="C4242"/>
  <c r="D4242" s="1"/>
  <c r="C4241"/>
  <c r="D4241" s="1"/>
  <c r="C4240"/>
  <c r="D4240" s="1"/>
  <c r="C4239"/>
  <c r="D4239" s="1"/>
  <c r="C4238"/>
  <c r="D4238" s="1"/>
  <c r="C4237"/>
  <c r="D4237" s="1"/>
  <c r="C4236"/>
  <c r="D4236" s="1"/>
  <c r="C4235"/>
  <c r="D4235" s="1"/>
  <c r="C4234"/>
  <c r="D4234" s="1"/>
  <c r="C4233"/>
  <c r="D4233" s="1"/>
  <c r="C4232"/>
  <c r="D4232" s="1"/>
  <c r="C4231"/>
  <c r="D4231" s="1"/>
  <c r="C4230"/>
  <c r="D4230" s="1"/>
  <c r="C4229"/>
  <c r="D4229" s="1"/>
  <c r="C4228"/>
  <c r="D4228" s="1"/>
  <c r="C4227"/>
  <c r="D4227" s="1"/>
  <c r="C4226"/>
  <c r="D4226" s="1"/>
  <c r="C4225"/>
  <c r="D4225" s="1"/>
  <c r="C4224"/>
  <c r="D4224" s="1"/>
  <c r="C4223"/>
  <c r="D4223" s="1"/>
  <c r="C4222"/>
  <c r="D4222" s="1"/>
  <c r="C4221"/>
  <c r="D4221" s="1"/>
  <c r="C4220"/>
  <c r="D4220" s="1"/>
  <c r="C4219"/>
  <c r="D4219" s="1"/>
  <c r="C4218"/>
  <c r="D4218" s="1"/>
  <c r="C4217"/>
  <c r="D4217" s="1"/>
  <c r="C4216"/>
  <c r="D4216" s="1"/>
  <c r="C4215"/>
  <c r="D4215" s="1"/>
  <c r="C4214"/>
  <c r="D4214" s="1"/>
  <c r="C4213"/>
  <c r="D4213" s="1"/>
  <c r="C4212"/>
  <c r="D4212" s="1"/>
  <c r="C4211"/>
  <c r="D4211" s="1"/>
  <c r="C4210"/>
  <c r="D4210" s="1"/>
  <c r="C4209"/>
  <c r="D4209" s="1"/>
  <c r="C4208"/>
  <c r="D4208" s="1"/>
  <c r="C4207"/>
  <c r="D4207" s="1"/>
  <c r="C4206"/>
  <c r="D4206" s="1"/>
  <c r="C4205"/>
  <c r="D4205" s="1"/>
  <c r="C4204"/>
  <c r="D4204" s="1"/>
  <c r="C4203"/>
  <c r="D4203" s="1"/>
  <c r="C4202"/>
  <c r="D4202" s="1"/>
  <c r="C4201"/>
  <c r="D4201" s="1"/>
  <c r="C4200"/>
  <c r="D4200" s="1"/>
  <c r="C4199"/>
  <c r="D4199" s="1"/>
  <c r="C4198"/>
  <c r="D4198" s="1"/>
  <c r="C4197"/>
  <c r="D4197" s="1"/>
  <c r="C4196"/>
  <c r="D4196" s="1"/>
  <c r="C4195"/>
  <c r="D4195" s="1"/>
  <c r="C4194"/>
  <c r="D4194" s="1"/>
  <c r="C4193"/>
  <c r="D4193" s="1"/>
  <c r="C4192"/>
  <c r="D4192" s="1"/>
  <c r="C4191"/>
  <c r="D4191" s="1"/>
  <c r="C4190"/>
  <c r="D4190" s="1"/>
  <c r="C4189"/>
  <c r="D4189" s="1"/>
  <c r="C4188"/>
  <c r="D4188" s="1"/>
  <c r="C4187"/>
  <c r="D4187" s="1"/>
  <c r="C4186"/>
  <c r="D4186" s="1"/>
  <c r="C4185"/>
  <c r="D4185" s="1"/>
  <c r="C4184"/>
  <c r="D4184" s="1"/>
  <c r="C4183"/>
  <c r="D4183" s="1"/>
  <c r="C4182"/>
  <c r="D4182" s="1"/>
  <c r="C4181"/>
  <c r="D4181" s="1"/>
  <c r="C4180"/>
  <c r="D4180" s="1"/>
  <c r="C4179"/>
  <c r="D4179" s="1"/>
  <c r="C4178"/>
  <c r="D4178" s="1"/>
  <c r="C4177"/>
  <c r="D4177" s="1"/>
  <c r="C4176"/>
  <c r="D4176" s="1"/>
  <c r="C4175"/>
  <c r="D4175" s="1"/>
  <c r="C4174"/>
  <c r="D4174" s="1"/>
  <c r="C4173"/>
  <c r="D4173" s="1"/>
  <c r="C4172"/>
  <c r="D4172" s="1"/>
  <c r="C4171"/>
  <c r="D4171" s="1"/>
  <c r="C4170"/>
  <c r="D4170" s="1"/>
  <c r="C4169"/>
  <c r="D4169" s="1"/>
  <c r="C4168"/>
  <c r="D4168" s="1"/>
  <c r="C4167"/>
  <c r="D4167" s="1"/>
  <c r="C4166"/>
  <c r="D4166" s="1"/>
  <c r="C4165"/>
  <c r="D4165" s="1"/>
  <c r="C4164"/>
  <c r="D4164" s="1"/>
  <c r="C4163"/>
  <c r="D4163" s="1"/>
  <c r="C4162"/>
  <c r="D4162" s="1"/>
  <c r="C4161"/>
  <c r="D4161" s="1"/>
  <c r="C4160"/>
  <c r="D4160" s="1"/>
  <c r="C4159"/>
  <c r="D4159" s="1"/>
  <c r="C4158"/>
  <c r="D4158" s="1"/>
  <c r="C4157"/>
  <c r="D4157" s="1"/>
  <c r="C4156"/>
  <c r="D4156" s="1"/>
  <c r="C4155"/>
  <c r="D4155" s="1"/>
  <c r="C4154"/>
  <c r="D4154" s="1"/>
  <c r="C4153"/>
  <c r="D4153" s="1"/>
  <c r="C4152"/>
  <c r="D4152" s="1"/>
  <c r="C4151"/>
  <c r="D4151" s="1"/>
  <c r="C4150"/>
  <c r="D4150" s="1"/>
  <c r="C4149"/>
  <c r="D4149" s="1"/>
  <c r="C4148"/>
  <c r="D4148" s="1"/>
  <c r="C4147"/>
  <c r="D4147" s="1"/>
  <c r="C4146"/>
  <c r="D4146" s="1"/>
  <c r="C4145"/>
  <c r="D4145" s="1"/>
  <c r="C4144"/>
  <c r="D4144" s="1"/>
  <c r="C4143"/>
  <c r="D4143" s="1"/>
  <c r="C4142"/>
  <c r="D4142" s="1"/>
  <c r="C4141"/>
  <c r="D4141" s="1"/>
  <c r="C4140"/>
  <c r="D4140" s="1"/>
  <c r="C4139"/>
  <c r="D4139" s="1"/>
  <c r="C4138"/>
  <c r="D4138" s="1"/>
  <c r="C4137"/>
  <c r="D4137" s="1"/>
  <c r="C4136"/>
  <c r="D4136" s="1"/>
  <c r="C4135"/>
  <c r="D4135" s="1"/>
  <c r="C4134"/>
  <c r="D4134" s="1"/>
  <c r="C4133"/>
  <c r="D4133" s="1"/>
  <c r="C4132"/>
  <c r="D4132" s="1"/>
  <c r="C4131"/>
  <c r="D4131" s="1"/>
  <c r="C4130"/>
  <c r="D4130" s="1"/>
  <c r="C4129"/>
  <c r="D4129" s="1"/>
  <c r="C4128"/>
  <c r="D4128" s="1"/>
  <c r="C4127"/>
  <c r="D4127" s="1"/>
  <c r="C4126"/>
  <c r="D4126" s="1"/>
  <c r="C4125"/>
  <c r="D4125" s="1"/>
  <c r="C4124"/>
  <c r="D4124" s="1"/>
  <c r="C4123"/>
  <c r="D4123" s="1"/>
  <c r="C4122"/>
  <c r="D4122" s="1"/>
  <c r="C4121"/>
  <c r="D4121" s="1"/>
  <c r="C4120"/>
  <c r="D4120" s="1"/>
  <c r="C4119"/>
  <c r="D4119" s="1"/>
  <c r="C4118"/>
  <c r="D4118" s="1"/>
  <c r="C4117"/>
  <c r="D4117" s="1"/>
  <c r="C4116"/>
  <c r="D4116" s="1"/>
  <c r="C4115"/>
  <c r="D4115" s="1"/>
  <c r="C4114"/>
  <c r="D4114" s="1"/>
  <c r="C4113"/>
  <c r="D4113" s="1"/>
  <c r="C4112"/>
  <c r="D4112" s="1"/>
  <c r="C4111"/>
  <c r="D4111" s="1"/>
  <c r="C4110"/>
  <c r="D4110" s="1"/>
  <c r="C4109"/>
  <c r="D4109" s="1"/>
  <c r="C4108"/>
  <c r="D4108" s="1"/>
  <c r="C4107"/>
  <c r="D4107" s="1"/>
  <c r="C4106"/>
  <c r="D4106" s="1"/>
  <c r="C4105"/>
  <c r="D4105" s="1"/>
  <c r="C4104"/>
  <c r="D4104" s="1"/>
  <c r="C4103"/>
  <c r="D4103" s="1"/>
  <c r="C4102"/>
  <c r="D4102" s="1"/>
  <c r="C4101"/>
  <c r="D4101" s="1"/>
  <c r="C4100"/>
  <c r="D4100" s="1"/>
  <c r="C4099"/>
  <c r="D4099" s="1"/>
  <c r="C4098"/>
  <c r="D4098" s="1"/>
  <c r="C4097"/>
  <c r="D4097" s="1"/>
  <c r="C4096"/>
  <c r="D4096" s="1"/>
  <c r="C4095"/>
  <c r="D4095" s="1"/>
  <c r="C4094"/>
  <c r="D4094" s="1"/>
  <c r="C4093"/>
  <c r="D4093" s="1"/>
  <c r="C4092"/>
  <c r="D4092" s="1"/>
  <c r="C4091"/>
  <c r="D4091" s="1"/>
  <c r="C4090"/>
  <c r="D4090" s="1"/>
  <c r="C4089"/>
  <c r="D4089" s="1"/>
  <c r="C4088"/>
  <c r="D4088" s="1"/>
  <c r="C4087"/>
  <c r="D4087" s="1"/>
  <c r="C4086"/>
  <c r="D4086" s="1"/>
  <c r="C4085"/>
  <c r="D4085" s="1"/>
  <c r="C4084"/>
  <c r="D4084" s="1"/>
  <c r="C4083"/>
  <c r="D4083" s="1"/>
  <c r="C4082"/>
  <c r="D4082" s="1"/>
  <c r="C4081"/>
  <c r="D4081" s="1"/>
  <c r="C4080"/>
  <c r="D4080" s="1"/>
  <c r="C4079"/>
  <c r="D4079" s="1"/>
  <c r="C4078"/>
  <c r="D4078" s="1"/>
  <c r="C4077"/>
  <c r="D4077" s="1"/>
  <c r="C4076"/>
  <c r="D4076" s="1"/>
  <c r="C4075"/>
  <c r="D4075" s="1"/>
  <c r="C4074"/>
  <c r="D4074" s="1"/>
  <c r="C4073"/>
  <c r="D4073" s="1"/>
  <c r="C4072"/>
  <c r="D4072" s="1"/>
  <c r="C4071"/>
  <c r="D4071" s="1"/>
  <c r="C4070"/>
  <c r="D4070" s="1"/>
  <c r="C4069"/>
  <c r="D4069" s="1"/>
  <c r="C4068"/>
  <c r="D4068" s="1"/>
  <c r="C4067"/>
  <c r="D4067" s="1"/>
  <c r="C4066"/>
  <c r="D4066" s="1"/>
  <c r="C4065"/>
  <c r="D4065" s="1"/>
  <c r="C4064"/>
  <c r="D4064" s="1"/>
  <c r="C4063"/>
  <c r="D4063" s="1"/>
  <c r="C4062"/>
  <c r="D4062" s="1"/>
  <c r="C4061"/>
  <c r="D4061" s="1"/>
  <c r="C4060"/>
  <c r="D4060" s="1"/>
  <c r="C4059"/>
  <c r="D4059" s="1"/>
  <c r="C4058"/>
  <c r="D4058" s="1"/>
  <c r="C4057"/>
  <c r="D4057" s="1"/>
  <c r="C4056"/>
  <c r="D4056" s="1"/>
  <c r="C4055"/>
  <c r="D4055" s="1"/>
  <c r="C4054"/>
  <c r="D4054" s="1"/>
  <c r="C4053"/>
  <c r="D4053" s="1"/>
  <c r="C4052"/>
  <c r="D4052" s="1"/>
  <c r="C4051"/>
  <c r="D4051" s="1"/>
  <c r="C4050"/>
  <c r="D4050" s="1"/>
  <c r="C4049"/>
  <c r="D4049" s="1"/>
  <c r="C4048"/>
  <c r="D4048" s="1"/>
  <c r="C4047"/>
  <c r="D4047" s="1"/>
  <c r="C4046"/>
  <c r="D4046" s="1"/>
  <c r="C4045"/>
  <c r="D4045" s="1"/>
  <c r="C4044"/>
  <c r="D4044" s="1"/>
  <c r="C4043"/>
  <c r="D4043" s="1"/>
  <c r="C4042"/>
  <c r="D4042" s="1"/>
  <c r="C4041"/>
  <c r="D4041" s="1"/>
  <c r="C4040"/>
  <c r="D4040" s="1"/>
  <c r="C4039"/>
  <c r="D4039" s="1"/>
  <c r="C4038"/>
  <c r="D4038" s="1"/>
  <c r="C4037"/>
  <c r="D4037" s="1"/>
  <c r="C4036"/>
  <c r="D4036" s="1"/>
  <c r="C4035"/>
  <c r="D4035" s="1"/>
  <c r="C4034"/>
  <c r="D4034" s="1"/>
  <c r="C4033"/>
  <c r="D4033" s="1"/>
  <c r="C4032"/>
  <c r="D4032" s="1"/>
  <c r="C4031"/>
  <c r="D4031" s="1"/>
  <c r="C4030"/>
  <c r="D4030" s="1"/>
  <c r="C4029"/>
  <c r="D4029" s="1"/>
  <c r="C4028"/>
  <c r="D4028" s="1"/>
  <c r="C4027"/>
  <c r="D4027" s="1"/>
  <c r="C4026"/>
  <c r="D4026" s="1"/>
  <c r="C4025"/>
  <c r="D4025" s="1"/>
  <c r="C4024"/>
  <c r="D4024" s="1"/>
  <c r="C4023"/>
  <c r="D4023" s="1"/>
  <c r="C4022"/>
  <c r="D4022" s="1"/>
  <c r="C4021"/>
  <c r="D4021" s="1"/>
  <c r="C4020"/>
  <c r="D4020" s="1"/>
  <c r="C4019"/>
  <c r="D4019" s="1"/>
  <c r="C4018"/>
  <c r="D4018" s="1"/>
  <c r="C4017"/>
  <c r="D4017" s="1"/>
  <c r="C4016"/>
  <c r="D4016" s="1"/>
  <c r="C4015"/>
  <c r="D4015" s="1"/>
  <c r="C4014"/>
  <c r="D4014" s="1"/>
  <c r="C4013"/>
  <c r="D4013" s="1"/>
  <c r="C4012"/>
  <c r="D4012" s="1"/>
  <c r="C4011"/>
  <c r="D4011" s="1"/>
  <c r="C4010"/>
  <c r="D4010" s="1"/>
  <c r="C4009"/>
  <c r="D4009" s="1"/>
  <c r="C4008"/>
  <c r="D4008" s="1"/>
  <c r="C4007"/>
  <c r="D4007" s="1"/>
  <c r="C4006"/>
  <c r="D4006" s="1"/>
  <c r="C4005"/>
  <c r="D4005" s="1"/>
  <c r="C4004"/>
  <c r="D4004" s="1"/>
  <c r="C4003"/>
  <c r="D4003" s="1"/>
  <c r="C4002"/>
  <c r="D4002" s="1"/>
  <c r="C4001"/>
  <c r="D4001" s="1"/>
  <c r="C4000"/>
  <c r="D4000" s="1"/>
  <c r="C3999"/>
  <c r="D3999" s="1"/>
  <c r="C3998"/>
  <c r="D3998" s="1"/>
  <c r="C3997"/>
  <c r="D3997" s="1"/>
  <c r="C3996"/>
  <c r="D3996" s="1"/>
  <c r="C3995"/>
  <c r="D3995" s="1"/>
  <c r="C3994"/>
  <c r="D3994" s="1"/>
  <c r="C3993"/>
  <c r="D3993" s="1"/>
  <c r="C3992"/>
  <c r="D3992" s="1"/>
  <c r="C3991"/>
  <c r="D3991" s="1"/>
  <c r="C3990"/>
  <c r="D3990" s="1"/>
  <c r="C3989"/>
  <c r="D3989" s="1"/>
  <c r="C3988"/>
  <c r="D3988" s="1"/>
  <c r="C3987"/>
  <c r="D3987" s="1"/>
  <c r="C3986"/>
  <c r="D3986" s="1"/>
  <c r="C3985"/>
  <c r="D3985" s="1"/>
  <c r="C3984"/>
  <c r="D3984" s="1"/>
  <c r="C3983"/>
  <c r="D3983" s="1"/>
  <c r="C3982"/>
  <c r="D3982" s="1"/>
  <c r="C3981"/>
  <c r="D3981" s="1"/>
  <c r="C3980"/>
  <c r="D3980" s="1"/>
  <c r="C3979"/>
  <c r="D3979" s="1"/>
  <c r="C3978"/>
  <c r="D3978" s="1"/>
  <c r="C3977"/>
  <c r="D3977" s="1"/>
  <c r="C3976"/>
  <c r="D3976" s="1"/>
  <c r="C3975"/>
  <c r="D3975" s="1"/>
  <c r="C3974"/>
  <c r="D3974" s="1"/>
  <c r="C3973"/>
  <c r="D3973" s="1"/>
  <c r="C3972"/>
  <c r="D3972" s="1"/>
  <c r="C3971"/>
  <c r="D3971" s="1"/>
  <c r="C3970"/>
  <c r="D3970" s="1"/>
  <c r="C3969"/>
  <c r="D3969" s="1"/>
  <c r="C3968"/>
  <c r="D3968" s="1"/>
  <c r="C3967"/>
  <c r="D3967" s="1"/>
  <c r="C3966"/>
  <c r="D3966" s="1"/>
  <c r="C3965"/>
  <c r="D3965" s="1"/>
  <c r="C3964"/>
  <c r="D3964" s="1"/>
  <c r="C3963"/>
  <c r="D3963" s="1"/>
  <c r="C3962"/>
  <c r="D3962" s="1"/>
  <c r="C3961"/>
  <c r="D3961" s="1"/>
  <c r="C3960"/>
  <c r="D3960" s="1"/>
  <c r="C3959"/>
  <c r="D3959" s="1"/>
  <c r="C3958"/>
  <c r="D3958" s="1"/>
  <c r="C3957"/>
  <c r="D3957" s="1"/>
  <c r="C3956"/>
  <c r="D3956" s="1"/>
  <c r="C3955"/>
  <c r="D3955" s="1"/>
  <c r="C3954"/>
  <c r="D3954" s="1"/>
  <c r="C3953"/>
  <c r="D3953" s="1"/>
  <c r="C3952"/>
  <c r="D3952" s="1"/>
  <c r="C3951"/>
  <c r="D3951" s="1"/>
  <c r="C3950"/>
  <c r="D3950" s="1"/>
  <c r="C3949"/>
  <c r="D3949" s="1"/>
  <c r="C3948"/>
  <c r="D3948" s="1"/>
  <c r="C3947"/>
  <c r="D3947" s="1"/>
  <c r="C3946"/>
  <c r="D3946" s="1"/>
  <c r="C3945"/>
  <c r="D3945" s="1"/>
  <c r="C3944"/>
  <c r="D3944" s="1"/>
  <c r="C3943"/>
  <c r="D3943" s="1"/>
  <c r="C3942"/>
  <c r="D3942" s="1"/>
  <c r="C3941"/>
  <c r="D3941" s="1"/>
  <c r="C3940"/>
  <c r="D3940" s="1"/>
  <c r="C3939"/>
  <c r="D3939" s="1"/>
  <c r="C3938"/>
  <c r="D3938" s="1"/>
  <c r="C3937"/>
  <c r="D3937" s="1"/>
  <c r="C3936"/>
  <c r="D3936" s="1"/>
  <c r="C3935"/>
  <c r="D3935" s="1"/>
  <c r="C3934"/>
  <c r="D3934" s="1"/>
  <c r="C3933"/>
  <c r="D3933" s="1"/>
  <c r="C3932"/>
  <c r="D3932" s="1"/>
  <c r="C3931"/>
  <c r="D3931" s="1"/>
  <c r="C3930"/>
  <c r="D3930" s="1"/>
  <c r="C3929"/>
  <c r="D3929" s="1"/>
  <c r="C3928"/>
  <c r="D3928" s="1"/>
  <c r="C3927"/>
  <c r="D3927" s="1"/>
  <c r="C3926"/>
  <c r="D3926" s="1"/>
  <c r="C3925"/>
  <c r="D3925" s="1"/>
  <c r="C3924"/>
  <c r="D3924" s="1"/>
  <c r="C3923"/>
  <c r="D3923" s="1"/>
  <c r="C3922"/>
  <c r="D3922" s="1"/>
  <c r="C3921"/>
  <c r="D3921" s="1"/>
  <c r="C3920"/>
  <c r="D3920" s="1"/>
  <c r="C3919"/>
  <c r="D3919" s="1"/>
  <c r="C3918"/>
  <c r="D3918" s="1"/>
  <c r="C3917"/>
  <c r="D3917" s="1"/>
  <c r="C3916"/>
  <c r="D3916" s="1"/>
  <c r="C3915"/>
  <c r="D3915" s="1"/>
  <c r="C3914"/>
  <c r="D3914" s="1"/>
  <c r="C3913"/>
  <c r="D3913" s="1"/>
  <c r="C3912"/>
  <c r="D3912" s="1"/>
  <c r="C3911"/>
  <c r="D3911" s="1"/>
  <c r="C3910"/>
  <c r="D3910" s="1"/>
  <c r="C3909"/>
  <c r="D3909" s="1"/>
  <c r="C3908"/>
  <c r="D3908" s="1"/>
  <c r="C3907"/>
  <c r="D3907" s="1"/>
  <c r="C3906"/>
  <c r="D3906" s="1"/>
  <c r="C3905"/>
  <c r="D3905" s="1"/>
  <c r="C3904"/>
  <c r="D3904" s="1"/>
  <c r="C3903"/>
  <c r="D3903" s="1"/>
  <c r="C3902"/>
  <c r="D3902" s="1"/>
  <c r="C3901"/>
  <c r="D3901" s="1"/>
  <c r="C3900"/>
  <c r="D3900" s="1"/>
  <c r="C3899"/>
  <c r="D3899" s="1"/>
  <c r="C3898"/>
  <c r="D3898" s="1"/>
  <c r="C3897"/>
  <c r="D3897" s="1"/>
  <c r="C3896"/>
  <c r="D3896" s="1"/>
  <c r="C3895"/>
  <c r="D3895" s="1"/>
  <c r="C3894"/>
  <c r="D3894" s="1"/>
  <c r="C3893"/>
  <c r="D3893" s="1"/>
  <c r="C3892"/>
  <c r="D3892" s="1"/>
  <c r="C3891"/>
  <c r="D3891" s="1"/>
  <c r="C3890"/>
  <c r="D3890" s="1"/>
  <c r="C3889"/>
  <c r="D3889" s="1"/>
  <c r="C3888"/>
  <c r="D3888" s="1"/>
  <c r="C3887"/>
  <c r="D3887" s="1"/>
  <c r="C3886"/>
  <c r="D3886" s="1"/>
  <c r="C3885"/>
  <c r="D3885" s="1"/>
  <c r="C3884"/>
  <c r="D3884" s="1"/>
  <c r="C3883"/>
  <c r="D3883" s="1"/>
  <c r="C3882"/>
  <c r="D3882" s="1"/>
  <c r="C3881"/>
  <c r="D3881" s="1"/>
  <c r="C3880"/>
  <c r="D3880" s="1"/>
  <c r="C3879"/>
  <c r="D3879" s="1"/>
  <c r="C3878"/>
  <c r="D3878" s="1"/>
  <c r="C3877"/>
  <c r="D3877" s="1"/>
  <c r="C3876"/>
  <c r="D3876" s="1"/>
  <c r="C3875"/>
  <c r="D3875" s="1"/>
  <c r="C3874"/>
  <c r="D3874" s="1"/>
  <c r="C3873"/>
  <c r="D3873" s="1"/>
  <c r="C3872"/>
  <c r="D3872" s="1"/>
  <c r="C3871"/>
  <c r="D3871" s="1"/>
  <c r="C3870"/>
  <c r="D3870" s="1"/>
  <c r="C3869"/>
  <c r="D3869" s="1"/>
  <c r="C3868"/>
  <c r="D3868" s="1"/>
  <c r="C3867"/>
  <c r="D3867" s="1"/>
  <c r="C3866"/>
  <c r="D3866" s="1"/>
  <c r="C3865"/>
  <c r="D3865" s="1"/>
  <c r="C3864"/>
  <c r="D3864" s="1"/>
  <c r="C3863"/>
  <c r="D3863" s="1"/>
  <c r="C3862"/>
  <c r="D3862" s="1"/>
  <c r="C3861"/>
  <c r="D3861" s="1"/>
  <c r="C3860"/>
  <c r="D3860" s="1"/>
  <c r="C3859"/>
  <c r="D3859" s="1"/>
  <c r="C3858"/>
  <c r="D3858" s="1"/>
  <c r="C3857"/>
  <c r="D3857" s="1"/>
  <c r="C3856"/>
  <c r="D3856" s="1"/>
  <c r="C3855"/>
  <c r="D3855" s="1"/>
  <c r="C3854"/>
  <c r="D3854" s="1"/>
  <c r="C3853"/>
  <c r="D3853" s="1"/>
  <c r="C3852"/>
  <c r="D3852" s="1"/>
  <c r="C3851"/>
  <c r="D3851" s="1"/>
  <c r="C3850"/>
  <c r="D3850" s="1"/>
  <c r="C3849"/>
  <c r="D3849" s="1"/>
  <c r="C3848"/>
  <c r="D3848" s="1"/>
  <c r="C3847"/>
  <c r="D3847" s="1"/>
  <c r="C3846"/>
  <c r="D3846" s="1"/>
  <c r="C3845"/>
  <c r="D3845" s="1"/>
  <c r="C3844"/>
  <c r="D3844" s="1"/>
  <c r="C3843"/>
  <c r="D3843" s="1"/>
  <c r="C3842"/>
  <c r="D3842" s="1"/>
  <c r="C3841"/>
  <c r="D3841" s="1"/>
  <c r="C3840"/>
  <c r="D3840" s="1"/>
  <c r="C3839"/>
  <c r="D3839" s="1"/>
  <c r="C3838"/>
  <c r="D3838" s="1"/>
  <c r="C3837"/>
  <c r="D3837" s="1"/>
  <c r="C3836"/>
  <c r="D3836" s="1"/>
  <c r="C3835"/>
  <c r="D3835" s="1"/>
  <c r="C3834"/>
  <c r="D3834" s="1"/>
  <c r="C3833"/>
  <c r="D3833" s="1"/>
  <c r="C3832"/>
  <c r="D3832" s="1"/>
  <c r="C3831"/>
  <c r="D3831" s="1"/>
  <c r="C3830"/>
  <c r="D3830" s="1"/>
  <c r="C3829"/>
  <c r="D3829" s="1"/>
  <c r="C3828"/>
  <c r="D3828" s="1"/>
  <c r="C3827"/>
  <c r="D3827" s="1"/>
  <c r="C3826"/>
  <c r="D3826" s="1"/>
  <c r="C3825"/>
  <c r="D3825" s="1"/>
  <c r="C3824"/>
  <c r="D3824" s="1"/>
  <c r="C3823"/>
  <c r="D3823" s="1"/>
  <c r="C3822"/>
  <c r="D3822" s="1"/>
  <c r="C3821"/>
  <c r="D3821" s="1"/>
  <c r="C3820"/>
  <c r="D3820" s="1"/>
  <c r="C3819"/>
  <c r="D3819" s="1"/>
  <c r="C3818"/>
  <c r="D3818" s="1"/>
  <c r="C3817"/>
  <c r="D3817" s="1"/>
  <c r="C3816"/>
  <c r="D3816" s="1"/>
  <c r="C3815"/>
  <c r="D3815" s="1"/>
  <c r="C3814"/>
  <c r="D3814" s="1"/>
  <c r="C3813"/>
  <c r="D3813" s="1"/>
  <c r="C3812"/>
  <c r="D3812" s="1"/>
  <c r="C3811"/>
  <c r="D3811" s="1"/>
  <c r="C3810"/>
  <c r="D3810" s="1"/>
  <c r="C3809"/>
  <c r="D3809" s="1"/>
  <c r="C3808"/>
  <c r="D3808" s="1"/>
  <c r="C3807"/>
  <c r="D3807" s="1"/>
  <c r="C3806"/>
  <c r="D3806" s="1"/>
  <c r="C3805"/>
  <c r="D3805" s="1"/>
  <c r="C3804"/>
  <c r="D3804" s="1"/>
  <c r="C3803"/>
  <c r="D3803" s="1"/>
  <c r="C3802"/>
  <c r="D3802" s="1"/>
  <c r="C3801"/>
  <c r="D3801" s="1"/>
  <c r="C3800"/>
  <c r="D3800" s="1"/>
  <c r="C3799"/>
  <c r="D3799" s="1"/>
  <c r="C3798"/>
  <c r="D3798" s="1"/>
  <c r="C3797"/>
  <c r="D3797" s="1"/>
  <c r="C3796"/>
  <c r="D3796" s="1"/>
  <c r="C3795"/>
  <c r="D3795" s="1"/>
  <c r="C3794"/>
  <c r="D3794" s="1"/>
  <c r="C3793"/>
  <c r="D3793" s="1"/>
  <c r="C3792"/>
  <c r="D3792" s="1"/>
  <c r="C3791"/>
  <c r="D3791" s="1"/>
  <c r="C3790"/>
  <c r="D3790" s="1"/>
  <c r="C3789"/>
  <c r="D3789" s="1"/>
  <c r="C3788"/>
  <c r="D3788" s="1"/>
  <c r="C3787"/>
  <c r="D3787" s="1"/>
  <c r="C3786"/>
  <c r="D3786" s="1"/>
  <c r="C3785"/>
  <c r="D3785" s="1"/>
  <c r="C3784"/>
  <c r="D3784" s="1"/>
  <c r="C3783"/>
  <c r="D3783" s="1"/>
  <c r="C3782"/>
  <c r="D3782" s="1"/>
  <c r="C3781"/>
  <c r="D3781" s="1"/>
  <c r="C3780"/>
  <c r="D3780" s="1"/>
  <c r="C3779"/>
  <c r="D3779" s="1"/>
  <c r="C3778"/>
  <c r="D3778" s="1"/>
  <c r="C3777"/>
  <c r="D3777" s="1"/>
  <c r="C3776"/>
  <c r="D3776" s="1"/>
  <c r="C3775"/>
  <c r="D3775" s="1"/>
  <c r="C3774"/>
  <c r="D3774" s="1"/>
  <c r="C3773"/>
  <c r="D3773" s="1"/>
  <c r="C3772"/>
  <c r="D3772" s="1"/>
  <c r="C3771"/>
  <c r="D3771" s="1"/>
  <c r="C3770"/>
  <c r="D3770" s="1"/>
  <c r="C3769"/>
  <c r="D3769" s="1"/>
  <c r="C3768"/>
  <c r="D3768" s="1"/>
  <c r="C3767"/>
  <c r="D3767" s="1"/>
  <c r="C3766"/>
  <c r="D3766" s="1"/>
  <c r="C3765"/>
  <c r="D3765" s="1"/>
  <c r="C3764"/>
  <c r="D3764" s="1"/>
  <c r="C3763"/>
  <c r="D3763" s="1"/>
  <c r="C3762"/>
  <c r="D3762" s="1"/>
  <c r="C3761"/>
  <c r="D3761" s="1"/>
  <c r="C3760"/>
  <c r="D3760" s="1"/>
  <c r="C3759"/>
  <c r="D3759" s="1"/>
  <c r="C3758"/>
  <c r="D3758" s="1"/>
  <c r="C3757"/>
  <c r="D3757" s="1"/>
  <c r="C3756"/>
  <c r="D3756" s="1"/>
  <c r="C3755"/>
  <c r="D3755" s="1"/>
  <c r="C3754"/>
  <c r="D3754" s="1"/>
  <c r="C3753"/>
  <c r="D3753" s="1"/>
  <c r="C3752"/>
  <c r="D3752" s="1"/>
  <c r="C3751"/>
  <c r="D3751" s="1"/>
  <c r="C3750"/>
  <c r="D3750" s="1"/>
  <c r="C3749"/>
  <c r="D3749" s="1"/>
  <c r="C3748"/>
  <c r="D3748" s="1"/>
  <c r="C3747"/>
  <c r="D3747" s="1"/>
  <c r="C3746"/>
  <c r="D3746" s="1"/>
  <c r="C3745"/>
  <c r="D3745" s="1"/>
  <c r="C3744"/>
  <c r="D3744" s="1"/>
  <c r="C3743"/>
  <c r="D3743" s="1"/>
  <c r="C3742"/>
  <c r="D3742" s="1"/>
  <c r="C3741"/>
  <c r="D3741" s="1"/>
  <c r="C3740"/>
  <c r="D3740" s="1"/>
  <c r="C3739"/>
  <c r="D3739" s="1"/>
  <c r="C3738"/>
  <c r="D3738" s="1"/>
  <c r="C3737"/>
  <c r="D3737" s="1"/>
  <c r="C3736"/>
  <c r="D3736" s="1"/>
  <c r="C3735"/>
  <c r="D3735" s="1"/>
  <c r="C3734"/>
  <c r="D3734" s="1"/>
  <c r="C3733"/>
  <c r="D3733" s="1"/>
  <c r="C3732"/>
  <c r="D3732" s="1"/>
  <c r="C3731"/>
  <c r="D3731" s="1"/>
  <c r="C3730"/>
  <c r="D3730" s="1"/>
  <c r="C3729"/>
  <c r="D3729" s="1"/>
  <c r="C3728"/>
  <c r="D3728" s="1"/>
  <c r="C3727"/>
  <c r="D3727" s="1"/>
  <c r="C3726"/>
  <c r="D3726" s="1"/>
  <c r="C3725"/>
  <c r="D3725" s="1"/>
  <c r="C3724"/>
  <c r="D3724" s="1"/>
  <c r="C3723"/>
  <c r="D3723" s="1"/>
  <c r="C3722"/>
  <c r="D3722" s="1"/>
  <c r="C3721"/>
  <c r="D3721" s="1"/>
  <c r="C3720"/>
  <c r="D3720" s="1"/>
  <c r="C3719"/>
  <c r="D3719" s="1"/>
  <c r="C3718"/>
  <c r="D3718" s="1"/>
  <c r="C3717"/>
  <c r="D3717" s="1"/>
  <c r="C3716"/>
  <c r="D3716" s="1"/>
  <c r="C3715"/>
  <c r="D3715" s="1"/>
  <c r="C3714"/>
  <c r="D3714" s="1"/>
  <c r="C3713"/>
  <c r="D3713" s="1"/>
  <c r="C3712"/>
  <c r="D3712" s="1"/>
  <c r="C3711"/>
  <c r="D3711" s="1"/>
  <c r="C3710"/>
  <c r="D3710" s="1"/>
  <c r="C3709"/>
  <c r="D3709" s="1"/>
  <c r="C3708"/>
  <c r="D3708" s="1"/>
  <c r="C3707"/>
  <c r="D3707" s="1"/>
  <c r="C3706"/>
  <c r="D3706" s="1"/>
  <c r="C3705"/>
  <c r="D3705" s="1"/>
  <c r="C3704"/>
  <c r="D3704" s="1"/>
  <c r="C3703"/>
  <c r="D3703" s="1"/>
  <c r="C3702"/>
  <c r="D3702" s="1"/>
  <c r="C3701"/>
  <c r="D3701" s="1"/>
  <c r="C3700"/>
  <c r="D3700" s="1"/>
  <c r="C3699"/>
  <c r="D3699" s="1"/>
  <c r="C3698"/>
  <c r="D3698" s="1"/>
  <c r="C3697"/>
  <c r="D3697" s="1"/>
  <c r="C3696"/>
  <c r="D3696" s="1"/>
  <c r="C3695"/>
  <c r="D3695" s="1"/>
  <c r="C3694"/>
  <c r="D3694" s="1"/>
  <c r="C3693"/>
  <c r="D3693" s="1"/>
  <c r="C3692"/>
  <c r="D3692" s="1"/>
  <c r="C3691"/>
  <c r="D3691" s="1"/>
  <c r="C3690"/>
  <c r="D3690" s="1"/>
  <c r="C3689"/>
  <c r="D3689" s="1"/>
  <c r="C3688"/>
  <c r="D3688" s="1"/>
  <c r="C3687"/>
  <c r="D3687" s="1"/>
  <c r="C3686"/>
  <c r="D3686" s="1"/>
  <c r="C3685"/>
  <c r="D3685" s="1"/>
  <c r="C3684"/>
  <c r="D3684" s="1"/>
  <c r="C3683"/>
  <c r="D3683" s="1"/>
  <c r="C3682"/>
  <c r="D3682" s="1"/>
  <c r="C3681"/>
  <c r="D3681" s="1"/>
  <c r="C3680"/>
  <c r="D3680" s="1"/>
  <c r="C3679"/>
  <c r="D3679" s="1"/>
  <c r="C3678"/>
  <c r="D3678" s="1"/>
  <c r="C3677"/>
  <c r="D3677" s="1"/>
  <c r="C3676"/>
  <c r="D3676" s="1"/>
  <c r="C3675"/>
  <c r="D3675" s="1"/>
  <c r="C3674"/>
  <c r="D3674" s="1"/>
  <c r="C3673"/>
  <c r="D3673" s="1"/>
  <c r="C3672"/>
  <c r="D3672" s="1"/>
  <c r="C3671"/>
  <c r="D3671" s="1"/>
  <c r="C3670"/>
  <c r="D3670" s="1"/>
  <c r="C3669"/>
  <c r="D3669" s="1"/>
  <c r="C3668"/>
  <c r="D3668" s="1"/>
  <c r="C3667"/>
  <c r="D3667" s="1"/>
  <c r="C3666"/>
  <c r="D3666" s="1"/>
  <c r="C3665"/>
  <c r="D3665" s="1"/>
  <c r="C3664"/>
  <c r="D3664" s="1"/>
  <c r="C3663"/>
  <c r="D3663" s="1"/>
  <c r="C3662"/>
  <c r="D3662" s="1"/>
  <c r="C3661"/>
  <c r="D3661" s="1"/>
  <c r="C3660"/>
  <c r="D3660" s="1"/>
  <c r="C3659"/>
  <c r="D3659" s="1"/>
  <c r="C3658"/>
  <c r="D3658" s="1"/>
  <c r="C3657"/>
  <c r="D3657" s="1"/>
  <c r="C3656"/>
  <c r="D3656" s="1"/>
  <c r="C3655"/>
  <c r="D3655" s="1"/>
  <c r="C3654"/>
  <c r="D3654" s="1"/>
  <c r="C3653"/>
  <c r="D3653" s="1"/>
  <c r="C3652"/>
  <c r="D3652" s="1"/>
  <c r="C3651"/>
  <c r="D3651" s="1"/>
  <c r="C3650"/>
  <c r="D3650" s="1"/>
  <c r="C3649"/>
  <c r="D3649" s="1"/>
  <c r="C3648"/>
  <c r="D3648" s="1"/>
  <c r="C3647"/>
  <c r="D3647" s="1"/>
  <c r="C3646"/>
  <c r="D3646" s="1"/>
  <c r="C3645"/>
  <c r="D3645" s="1"/>
  <c r="C3644"/>
  <c r="D3644" s="1"/>
  <c r="C3643"/>
  <c r="D3643" s="1"/>
  <c r="C3642"/>
  <c r="D3642" s="1"/>
  <c r="C3641"/>
  <c r="D3641" s="1"/>
  <c r="C3640"/>
  <c r="D3640" s="1"/>
  <c r="C3639"/>
  <c r="D3639" s="1"/>
  <c r="C3638"/>
  <c r="D3638" s="1"/>
  <c r="C3637"/>
  <c r="D3637" s="1"/>
  <c r="C3636"/>
  <c r="D3636" s="1"/>
  <c r="C3635"/>
  <c r="D3635" s="1"/>
  <c r="C3634"/>
  <c r="D3634" s="1"/>
  <c r="C3633"/>
  <c r="D3633" s="1"/>
  <c r="C3632"/>
  <c r="D3632" s="1"/>
  <c r="C3631"/>
  <c r="D3631" s="1"/>
  <c r="C3630"/>
  <c r="D3630" s="1"/>
  <c r="C3629"/>
  <c r="D3629" s="1"/>
  <c r="C3628"/>
  <c r="D3628" s="1"/>
  <c r="C3627"/>
  <c r="D3627" s="1"/>
  <c r="C3626"/>
  <c r="D3626" s="1"/>
  <c r="C3625"/>
  <c r="D3625" s="1"/>
  <c r="C3624"/>
  <c r="D3624" s="1"/>
  <c r="C3623"/>
  <c r="D3623" s="1"/>
  <c r="C3622"/>
  <c r="D3622" s="1"/>
  <c r="C3621"/>
  <c r="D3621" s="1"/>
  <c r="C3620"/>
  <c r="D3620" s="1"/>
  <c r="C3619"/>
  <c r="D3619" s="1"/>
  <c r="C3618"/>
  <c r="D3618" s="1"/>
  <c r="C3617"/>
  <c r="D3617" s="1"/>
  <c r="C3616"/>
  <c r="D3616" s="1"/>
  <c r="C3615"/>
  <c r="D3615" s="1"/>
  <c r="C3614"/>
  <c r="D3614" s="1"/>
  <c r="C3613"/>
  <c r="D3613" s="1"/>
  <c r="C3612"/>
  <c r="D3612" s="1"/>
  <c r="C3611"/>
  <c r="D3611" s="1"/>
  <c r="C3610"/>
  <c r="D3610" s="1"/>
  <c r="C3609"/>
  <c r="D3609" s="1"/>
  <c r="C3608"/>
  <c r="D3608" s="1"/>
  <c r="C3607"/>
  <c r="D3607" s="1"/>
  <c r="C3606"/>
  <c r="D3606" s="1"/>
  <c r="C3605"/>
  <c r="D3605" s="1"/>
  <c r="C3604"/>
  <c r="D3604" s="1"/>
  <c r="C3603"/>
  <c r="D3603" s="1"/>
  <c r="C3602"/>
  <c r="D3602" s="1"/>
  <c r="C3601"/>
  <c r="D3601" s="1"/>
  <c r="C3600"/>
  <c r="D3600" s="1"/>
  <c r="C3599"/>
  <c r="D3599" s="1"/>
  <c r="C3598"/>
  <c r="D3598" s="1"/>
  <c r="C3597"/>
  <c r="D3597" s="1"/>
  <c r="C3596"/>
  <c r="D3596" s="1"/>
  <c r="C3595"/>
  <c r="D3595" s="1"/>
  <c r="C3594"/>
  <c r="D3594" s="1"/>
  <c r="C3593"/>
  <c r="D3593" s="1"/>
  <c r="C3592"/>
  <c r="D3592" s="1"/>
  <c r="C3591"/>
  <c r="D3591" s="1"/>
  <c r="C3590"/>
  <c r="D3590" s="1"/>
  <c r="C3589"/>
  <c r="D3589" s="1"/>
  <c r="C3588"/>
  <c r="D3588" s="1"/>
  <c r="C3587"/>
  <c r="D3587" s="1"/>
  <c r="C3586"/>
  <c r="D3586" s="1"/>
  <c r="C3585"/>
  <c r="D3585" s="1"/>
  <c r="C3584"/>
  <c r="D3584" s="1"/>
  <c r="C3583"/>
  <c r="D3583" s="1"/>
  <c r="C3582"/>
  <c r="D3582" s="1"/>
  <c r="C3581"/>
  <c r="D3581" s="1"/>
  <c r="C3580"/>
  <c r="D3580" s="1"/>
  <c r="C3579"/>
  <c r="D3579" s="1"/>
  <c r="C3578"/>
  <c r="D3578" s="1"/>
  <c r="C3577"/>
  <c r="D3577" s="1"/>
  <c r="C3576"/>
  <c r="D3576" s="1"/>
  <c r="C3575"/>
  <c r="D3575" s="1"/>
  <c r="C3574"/>
  <c r="D3574" s="1"/>
  <c r="C3573"/>
  <c r="D3573" s="1"/>
  <c r="C3572"/>
  <c r="D3572" s="1"/>
  <c r="C3571"/>
  <c r="D3571" s="1"/>
  <c r="C3570"/>
  <c r="D3570" s="1"/>
  <c r="C3569"/>
  <c r="D3569" s="1"/>
  <c r="C3568"/>
  <c r="D3568" s="1"/>
  <c r="C3567"/>
  <c r="D3567" s="1"/>
  <c r="C3566"/>
  <c r="D3566" s="1"/>
  <c r="C3565"/>
  <c r="D3565" s="1"/>
  <c r="C3564"/>
  <c r="D3564" s="1"/>
  <c r="C3563"/>
  <c r="D3563" s="1"/>
  <c r="C3562"/>
  <c r="D3562" s="1"/>
  <c r="C3561"/>
  <c r="D3561" s="1"/>
  <c r="C3560"/>
  <c r="D3560" s="1"/>
  <c r="C3559"/>
  <c r="D3559" s="1"/>
  <c r="C3558"/>
  <c r="D3558" s="1"/>
  <c r="C3557"/>
  <c r="D3557" s="1"/>
  <c r="C3556"/>
  <c r="D3556" s="1"/>
  <c r="C3555"/>
  <c r="D3555" s="1"/>
  <c r="C3554"/>
  <c r="D3554" s="1"/>
  <c r="C3553"/>
  <c r="D3553" s="1"/>
  <c r="C3552"/>
  <c r="D3552" s="1"/>
  <c r="C3551"/>
  <c r="D3551" s="1"/>
  <c r="C3550"/>
  <c r="D3550" s="1"/>
  <c r="C3549"/>
  <c r="D3549" s="1"/>
  <c r="C3548"/>
  <c r="D3548" s="1"/>
  <c r="C3547"/>
  <c r="D3547" s="1"/>
  <c r="C3546"/>
  <c r="D3546" s="1"/>
  <c r="C3545"/>
  <c r="D3545" s="1"/>
  <c r="C3544"/>
  <c r="D3544" s="1"/>
  <c r="C3543"/>
  <c r="D3543" s="1"/>
  <c r="C3542"/>
  <c r="D3542" s="1"/>
  <c r="C3541"/>
  <c r="D3541" s="1"/>
  <c r="C3540"/>
  <c r="D3540" s="1"/>
  <c r="C3539"/>
  <c r="D3539" s="1"/>
  <c r="C3538"/>
  <c r="D3538" s="1"/>
  <c r="C3537"/>
  <c r="D3537" s="1"/>
  <c r="C3536"/>
  <c r="D3536" s="1"/>
  <c r="C3535"/>
  <c r="D3535" s="1"/>
  <c r="C3534"/>
  <c r="D3534" s="1"/>
  <c r="C3533"/>
  <c r="D3533" s="1"/>
  <c r="C3532"/>
  <c r="D3532" s="1"/>
  <c r="C3531"/>
  <c r="D3531" s="1"/>
  <c r="C3530"/>
  <c r="D3530" s="1"/>
  <c r="C3529"/>
  <c r="D3529" s="1"/>
  <c r="C3528"/>
  <c r="D3528" s="1"/>
  <c r="C3527"/>
  <c r="D3527" s="1"/>
  <c r="C3526"/>
  <c r="D3526" s="1"/>
  <c r="C3525"/>
  <c r="D3525" s="1"/>
  <c r="C3524"/>
  <c r="D3524" s="1"/>
  <c r="C3523"/>
  <c r="D3523" s="1"/>
  <c r="C3522"/>
  <c r="D3522" s="1"/>
  <c r="C3521"/>
  <c r="D3521" s="1"/>
  <c r="C3520"/>
  <c r="D3520" s="1"/>
  <c r="C3519"/>
  <c r="D3519" s="1"/>
  <c r="C3518"/>
  <c r="D3518" s="1"/>
  <c r="C3517"/>
  <c r="D3517" s="1"/>
  <c r="C3516"/>
  <c r="D3516" s="1"/>
  <c r="C3515"/>
  <c r="D3515" s="1"/>
  <c r="C3514"/>
  <c r="D3514" s="1"/>
  <c r="C3513"/>
  <c r="D3513" s="1"/>
  <c r="C3512"/>
  <c r="D3512" s="1"/>
  <c r="C3511"/>
  <c r="D3511" s="1"/>
  <c r="C3510"/>
  <c r="D3510" s="1"/>
  <c r="C3509"/>
  <c r="D3509" s="1"/>
  <c r="C3508"/>
  <c r="D3508" s="1"/>
  <c r="C3507"/>
  <c r="D3507" s="1"/>
  <c r="C3506"/>
  <c r="D3506" s="1"/>
  <c r="C3505"/>
  <c r="D3505" s="1"/>
  <c r="C3504"/>
  <c r="D3504" s="1"/>
  <c r="C3503"/>
  <c r="D3503" s="1"/>
  <c r="C3502"/>
  <c r="D3502" s="1"/>
  <c r="C3501"/>
  <c r="D3501" s="1"/>
  <c r="C3500"/>
  <c r="D3500" s="1"/>
  <c r="C3499"/>
  <c r="D3499" s="1"/>
  <c r="C3498"/>
  <c r="D3498" s="1"/>
  <c r="C3497"/>
  <c r="D3497" s="1"/>
  <c r="C3496"/>
  <c r="D3496" s="1"/>
  <c r="C3495"/>
  <c r="D3495" s="1"/>
  <c r="C3494"/>
  <c r="D3494" s="1"/>
  <c r="C3493"/>
  <c r="D3493" s="1"/>
  <c r="C3492"/>
  <c r="D3492" s="1"/>
  <c r="C3491"/>
  <c r="D3491" s="1"/>
  <c r="C3490"/>
  <c r="D3490" s="1"/>
  <c r="C3489"/>
  <c r="D3489" s="1"/>
  <c r="C3488"/>
  <c r="D3488" s="1"/>
  <c r="C3487"/>
  <c r="D3487" s="1"/>
  <c r="C3486"/>
  <c r="D3486" s="1"/>
  <c r="C3485"/>
  <c r="D3485" s="1"/>
  <c r="C3484"/>
  <c r="D3484" s="1"/>
  <c r="C3483"/>
  <c r="D3483" s="1"/>
  <c r="C3482"/>
  <c r="D3482" s="1"/>
  <c r="C3481"/>
  <c r="D3481" s="1"/>
  <c r="C3480"/>
  <c r="D3480" s="1"/>
  <c r="C3479"/>
  <c r="D3479" s="1"/>
  <c r="C3478"/>
  <c r="D3478" s="1"/>
  <c r="C3477"/>
  <c r="D3477" s="1"/>
  <c r="C3476"/>
  <c r="D3476" s="1"/>
  <c r="C3475"/>
  <c r="D3475" s="1"/>
  <c r="C3474"/>
  <c r="D3474" s="1"/>
  <c r="C3473"/>
  <c r="D3473" s="1"/>
  <c r="C3472"/>
  <c r="D3472" s="1"/>
  <c r="C3471"/>
  <c r="D3471" s="1"/>
  <c r="C3470"/>
  <c r="D3470" s="1"/>
  <c r="C3469"/>
  <c r="D3469" s="1"/>
  <c r="C3468"/>
  <c r="D3468" s="1"/>
  <c r="C3467"/>
  <c r="D3467" s="1"/>
  <c r="C3466"/>
  <c r="D3466" s="1"/>
  <c r="C3465"/>
  <c r="D3465" s="1"/>
  <c r="C3464"/>
  <c r="D3464" s="1"/>
  <c r="C3463"/>
  <c r="D3463" s="1"/>
  <c r="C3462"/>
  <c r="D3462" s="1"/>
  <c r="C3461"/>
  <c r="D3461" s="1"/>
  <c r="C3460"/>
  <c r="D3460" s="1"/>
  <c r="C3459"/>
  <c r="D3459" s="1"/>
  <c r="C3458"/>
  <c r="D3458" s="1"/>
  <c r="C3457"/>
  <c r="D3457" s="1"/>
  <c r="C3456"/>
  <c r="D3456" s="1"/>
  <c r="C3455"/>
  <c r="D3455" s="1"/>
  <c r="C3454"/>
  <c r="D3454" s="1"/>
  <c r="C3453"/>
  <c r="D3453" s="1"/>
  <c r="C3452"/>
  <c r="D3452" s="1"/>
  <c r="C3451"/>
  <c r="D3451" s="1"/>
  <c r="C3450"/>
  <c r="D3450" s="1"/>
  <c r="C3449"/>
  <c r="D3449" s="1"/>
  <c r="C3448"/>
  <c r="D3448" s="1"/>
  <c r="C3447"/>
  <c r="D3447" s="1"/>
  <c r="C3446"/>
  <c r="D3446" s="1"/>
  <c r="C3445"/>
  <c r="D3445" s="1"/>
  <c r="C3444"/>
  <c r="D3444" s="1"/>
  <c r="C3443"/>
  <c r="D3443" s="1"/>
  <c r="C3442"/>
  <c r="D3442" s="1"/>
  <c r="C3441"/>
  <c r="D3441" s="1"/>
  <c r="C3440"/>
  <c r="D3440" s="1"/>
  <c r="C3439"/>
  <c r="D3439" s="1"/>
  <c r="C3438"/>
  <c r="D3438" s="1"/>
  <c r="C3437"/>
  <c r="D3437" s="1"/>
  <c r="C3436"/>
  <c r="D3436" s="1"/>
  <c r="C3435"/>
  <c r="D3435" s="1"/>
  <c r="C3434"/>
  <c r="D3434" s="1"/>
  <c r="C3433"/>
  <c r="D3433" s="1"/>
  <c r="C3432"/>
  <c r="D3432" s="1"/>
  <c r="C3431"/>
  <c r="D3431" s="1"/>
  <c r="C3430"/>
  <c r="D3430" s="1"/>
  <c r="C3429"/>
  <c r="D3429" s="1"/>
  <c r="C3428"/>
  <c r="D3428" s="1"/>
  <c r="C3427"/>
  <c r="D3427" s="1"/>
  <c r="C3426"/>
  <c r="D3426" s="1"/>
  <c r="C3425"/>
  <c r="D3425" s="1"/>
  <c r="C3424"/>
  <c r="D3424" s="1"/>
  <c r="C3423"/>
  <c r="D3423" s="1"/>
  <c r="C3422"/>
  <c r="D3422" s="1"/>
  <c r="C3421"/>
  <c r="D3421" s="1"/>
  <c r="C3420"/>
  <c r="D3420" s="1"/>
  <c r="C3419"/>
  <c r="D3419" s="1"/>
  <c r="C3418"/>
  <c r="D3418" s="1"/>
  <c r="C3417"/>
  <c r="D3417" s="1"/>
  <c r="C3416"/>
  <c r="D3416" s="1"/>
  <c r="C3415"/>
  <c r="D3415" s="1"/>
  <c r="C3414"/>
  <c r="D3414" s="1"/>
  <c r="C3413"/>
  <c r="D3413" s="1"/>
  <c r="C3412"/>
  <c r="D3412" s="1"/>
  <c r="C3411"/>
  <c r="D3411" s="1"/>
  <c r="C3410"/>
  <c r="D3410" s="1"/>
  <c r="C3409"/>
  <c r="D3409" s="1"/>
  <c r="C3408"/>
  <c r="D3408" s="1"/>
  <c r="C3407"/>
  <c r="D3407" s="1"/>
  <c r="C3406"/>
  <c r="D3406" s="1"/>
  <c r="C3405"/>
  <c r="D3405" s="1"/>
  <c r="C3404"/>
  <c r="D3404" s="1"/>
  <c r="C3403"/>
  <c r="D3403" s="1"/>
  <c r="C3402"/>
  <c r="D3402" s="1"/>
  <c r="C3401"/>
  <c r="D3401" s="1"/>
  <c r="C3400"/>
  <c r="D3400" s="1"/>
  <c r="C3399"/>
  <c r="D3399" s="1"/>
  <c r="C3398"/>
  <c r="D3398" s="1"/>
  <c r="C3397"/>
  <c r="D3397" s="1"/>
  <c r="C3396"/>
  <c r="D3396" s="1"/>
  <c r="C3395"/>
  <c r="D3395" s="1"/>
  <c r="C3394"/>
  <c r="D3394" s="1"/>
  <c r="C3393"/>
  <c r="D3393" s="1"/>
  <c r="C3392"/>
  <c r="D3392" s="1"/>
  <c r="C3391"/>
  <c r="D3391" s="1"/>
  <c r="C3390"/>
  <c r="D3390" s="1"/>
  <c r="C3389"/>
  <c r="D3389" s="1"/>
  <c r="C3388"/>
  <c r="D3388" s="1"/>
  <c r="C3387"/>
  <c r="D3387" s="1"/>
  <c r="C3386"/>
  <c r="D3386" s="1"/>
  <c r="C3385"/>
  <c r="D3385" s="1"/>
  <c r="C3384"/>
  <c r="D3384" s="1"/>
  <c r="C3383"/>
  <c r="D3383" s="1"/>
  <c r="C3382"/>
  <c r="D3382" s="1"/>
  <c r="C3381"/>
  <c r="D3381" s="1"/>
  <c r="C3380"/>
  <c r="D3380" s="1"/>
  <c r="C3379"/>
  <c r="D3379" s="1"/>
  <c r="C3378"/>
  <c r="D3378" s="1"/>
  <c r="C3377"/>
  <c r="D3377" s="1"/>
  <c r="C3376"/>
  <c r="D3376" s="1"/>
  <c r="C3375"/>
  <c r="D3375" s="1"/>
  <c r="C3374"/>
  <c r="D3374" s="1"/>
  <c r="C3373"/>
  <c r="D3373" s="1"/>
  <c r="C3372"/>
  <c r="D3372" s="1"/>
  <c r="C3371"/>
  <c r="D3371" s="1"/>
  <c r="C3370"/>
  <c r="D3370" s="1"/>
  <c r="C3369"/>
  <c r="D3369" s="1"/>
  <c r="C3368"/>
  <c r="D3368" s="1"/>
  <c r="C3367"/>
  <c r="D3367" s="1"/>
  <c r="C3366"/>
  <c r="D3366" s="1"/>
  <c r="C3365"/>
  <c r="D3365" s="1"/>
  <c r="C3364"/>
  <c r="D3364" s="1"/>
  <c r="C3363"/>
  <c r="D3363" s="1"/>
  <c r="C3362"/>
  <c r="D3362" s="1"/>
  <c r="C3361"/>
  <c r="D3361" s="1"/>
  <c r="C3360"/>
  <c r="D3360" s="1"/>
  <c r="C3359"/>
  <c r="D3359" s="1"/>
  <c r="C3358"/>
  <c r="D3358" s="1"/>
  <c r="C3357"/>
  <c r="D3357" s="1"/>
  <c r="C3356"/>
  <c r="D3356" s="1"/>
  <c r="C3355"/>
  <c r="D3355" s="1"/>
  <c r="C3354"/>
  <c r="D3354" s="1"/>
  <c r="C3353"/>
  <c r="D3353" s="1"/>
  <c r="C3352"/>
  <c r="D3352" s="1"/>
  <c r="C3351"/>
  <c r="D3351" s="1"/>
  <c r="C3350"/>
  <c r="D3350" s="1"/>
  <c r="C3349"/>
  <c r="D3349" s="1"/>
  <c r="C3348"/>
  <c r="D3348" s="1"/>
  <c r="C3347"/>
  <c r="D3347" s="1"/>
  <c r="C3346"/>
  <c r="D3346" s="1"/>
  <c r="C3345"/>
  <c r="D3345" s="1"/>
  <c r="C3344"/>
  <c r="D3344" s="1"/>
  <c r="C3343"/>
  <c r="D3343" s="1"/>
  <c r="C3342"/>
  <c r="D3342" s="1"/>
  <c r="C3341"/>
  <c r="D3341" s="1"/>
  <c r="C3340"/>
  <c r="D3340" s="1"/>
  <c r="C3339"/>
  <c r="D3339" s="1"/>
  <c r="C3338"/>
  <c r="D3338" s="1"/>
  <c r="C3337"/>
  <c r="D3337" s="1"/>
  <c r="C3336"/>
  <c r="D3336" s="1"/>
  <c r="C3335"/>
  <c r="D3335" s="1"/>
  <c r="C3334"/>
  <c r="D3334" s="1"/>
  <c r="C3333"/>
  <c r="D3333" s="1"/>
  <c r="C3332"/>
  <c r="D3332" s="1"/>
  <c r="C3331"/>
  <c r="D3331" s="1"/>
  <c r="C3330"/>
  <c r="D3330" s="1"/>
  <c r="C3329"/>
  <c r="D3329" s="1"/>
  <c r="C3328"/>
  <c r="D3328" s="1"/>
  <c r="C3327"/>
  <c r="D3327" s="1"/>
  <c r="C3326"/>
  <c r="D3326" s="1"/>
  <c r="C3325"/>
  <c r="D3325" s="1"/>
  <c r="C3324"/>
  <c r="D3324" s="1"/>
  <c r="C3323"/>
  <c r="D3323" s="1"/>
  <c r="C3322"/>
  <c r="D3322" s="1"/>
  <c r="C3321"/>
  <c r="D3321" s="1"/>
  <c r="C3320"/>
  <c r="D3320" s="1"/>
  <c r="C3319"/>
  <c r="D3319" s="1"/>
  <c r="C3318"/>
  <c r="D3318" s="1"/>
  <c r="C3317"/>
  <c r="D3317" s="1"/>
  <c r="C3316"/>
  <c r="D3316" s="1"/>
  <c r="C3315"/>
  <c r="D3315" s="1"/>
  <c r="C3314"/>
  <c r="D3314" s="1"/>
  <c r="C3313"/>
  <c r="D3313" s="1"/>
  <c r="C3312"/>
  <c r="D3312" s="1"/>
  <c r="C3311"/>
  <c r="D3311" s="1"/>
  <c r="C3310"/>
  <c r="D3310" s="1"/>
  <c r="C3309"/>
  <c r="D3309" s="1"/>
  <c r="C3308"/>
  <c r="D3308" s="1"/>
  <c r="C3307"/>
  <c r="D3307" s="1"/>
  <c r="C3306"/>
  <c r="D3306" s="1"/>
  <c r="C3305"/>
  <c r="D3305" s="1"/>
  <c r="C3304"/>
  <c r="D3304" s="1"/>
  <c r="C3303"/>
  <c r="D3303" s="1"/>
  <c r="C3302"/>
  <c r="D3302" s="1"/>
  <c r="C3301"/>
  <c r="D3301" s="1"/>
  <c r="C3300"/>
  <c r="D3300" s="1"/>
  <c r="C3299"/>
  <c r="D3299" s="1"/>
  <c r="C3298"/>
  <c r="D3298" s="1"/>
  <c r="C3297"/>
  <c r="D3297" s="1"/>
  <c r="C3296"/>
  <c r="D3296" s="1"/>
  <c r="C3295"/>
  <c r="D3295" s="1"/>
  <c r="C3294"/>
  <c r="D3294" s="1"/>
  <c r="C3293"/>
  <c r="D3293" s="1"/>
  <c r="C3292"/>
  <c r="D3292" s="1"/>
  <c r="C3291"/>
  <c r="D3291" s="1"/>
  <c r="C3290"/>
  <c r="D3290" s="1"/>
  <c r="C3289"/>
  <c r="D3289" s="1"/>
  <c r="C3288"/>
  <c r="D3288" s="1"/>
  <c r="C3287"/>
  <c r="D3287" s="1"/>
  <c r="C3286"/>
  <c r="D3286" s="1"/>
  <c r="C3285"/>
  <c r="D3285" s="1"/>
  <c r="C3284"/>
  <c r="D3284" s="1"/>
  <c r="C3283"/>
  <c r="D3283" s="1"/>
  <c r="C3282"/>
  <c r="D3282" s="1"/>
  <c r="C3281"/>
  <c r="D3281" s="1"/>
  <c r="C3280"/>
  <c r="D3280" s="1"/>
  <c r="C3279"/>
  <c r="D3279" s="1"/>
  <c r="C3278"/>
  <c r="D3278" s="1"/>
  <c r="C3277"/>
  <c r="D3277" s="1"/>
  <c r="C3276"/>
  <c r="D3276" s="1"/>
  <c r="C3275"/>
  <c r="D3275" s="1"/>
  <c r="C3274"/>
  <c r="D3274" s="1"/>
  <c r="C3273"/>
  <c r="D3273" s="1"/>
  <c r="C3272"/>
  <c r="D3272" s="1"/>
  <c r="C3271"/>
  <c r="D3271" s="1"/>
  <c r="C3270"/>
  <c r="D3270" s="1"/>
  <c r="C3269"/>
  <c r="D3269" s="1"/>
  <c r="C3268"/>
  <c r="D3268" s="1"/>
  <c r="C3267"/>
  <c r="D3267" s="1"/>
  <c r="C3266"/>
  <c r="D3266" s="1"/>
  <c r="C3265"/>
  <c r="D3265" s="1"/>
  <c r="C3264"/>
  <c r="D3264" s="1"/>
  <c r="C3263"/>
  <c r="D3263" s="1"/>
  <c r="C3262"/>
  <c r="D3262" s="1"/>
  <c r="C3261"/>
  <c r="D3261" s="1"/>
  <c r="C3260"/>
  <c r="D3260" s="1"/>
  <c r="C3259"/>
  <c r="D3259" s="1"/>
  <c r="C3258"/>
  <c r="D3258" s="1"/>
  <c r="C3257"/>
  <c r="D3257" s="1"/>
  <c r="C3256"/>
  <c r="D3256" s="1"/>
  <c r="C3255"/>
  <c r="D3255" s="1"/>
  <c r="C3254"/>
  <c r="D3254" s="1"/>
  <c r="C3253"/>
  <c r="D3253" s="1"/>
  <c r="C3252"/>
  <c r="D3252" s="1"/>
  <c r="C3251"/>
  <c r="D3251" s="1"/>
  <c r="C3250"/>
  <c r="D3250" s="1"/>
  <c r="C3249"/>
  <c r="D3249" s="1"/>
  <c r="C3248"/>
  <c r="D3248" s="1"/>
  <c r="C3247"/>
  <c r="D3247" s="1"/>
  <c r="C3246"/>
  <c r="D3246" s="1"/>
  <c r="C3245"/>
  <c r="D3245" s="1"/>
  <c r="C3244"/>
  <c r="D3244" s="1"/>
  <c r="C3243"/>
  <c r="D3243" s="1"/>
  <c r="C3242"/>
  <c r="D3242" s="1"/>
  <c r="C3241"/>
  <c r="D3241" s="1"/>
  <c r="C3240"/>
  <c r="D3240" s="1"/>
  <c r="C3239"/>
  <c r="D3239" s="1"/>
  <c r="C3238"/>
  <c r="D3238" s="1"/>
  <c r="C3237"/>
  <c r="D3237" s="1"/>
  <c r="C3236"/>
  <c r="D3236" s="1"/>
  <c r="C3235"/>
  <c r="D3235" s="1"/>
  <c r="C3234"/>
  <c r="D3234" s="1"/>
  <c r="C3233"/>
  <c r="D3233" s="1"/>
  <c r="C3232"/>
  <c r="D3232" s="1"/>
  <c r="C3231"/>
  <c r="D3231" s="1"/>
  <c r="C3230"/>
  <c r="D3230" s="1"/>
  <c r="C3229"/>
  <c r="D3229" s="1"/>
  <c r="C3228"/>
  <c r="D3228" s="1"/>
  <c r="C3227"/>
  <c r="D3227" s="1"/>
  <c r="C3226"/>
  <c r="D3226" s="1"/>
  <c r="C3225"/>
  <c r="D3225" s="1"/>
  <c r="C3224"/>
  <c r="D3224" s="1"/>
  <c r="C3223"/>
  <c r="D3223" s="1"/>
  <c r="C3222"/>
  <c r="D3222" s="1"/>
  <c r="C3221"/>
  <c r="D3221" s="1"/>
  <c r="C3220"/>
  <c r="D3220" s="1"/>
  <c r="C3219"/>
  <c r="D3219" s="1"/>
  <c r="C3218"/>
  <c r="D3218" s="1"/>
  <c r="C3217"/>
  <c r="D3217" s="1"/>
  <c r="C3216"/>
  <c r="D3216" s="1"/>
  <c r="C3215"/>
  <c r="D3215" s="1"/>
  <c r="C3214"/>
  <c r="D3214" s="1"/>
  <c r="C3213"/>
  <c r="D3213" s="1"/>
  <c r="C3212"/>
  <c r="D3212" s="1"/>
  <c r="C3211"/>
  <c r="D3211" s="1"/>
  <c r="C3210"/>
  <c r="D3210" s="1"/>
  <c r="C3209"/>
  <c r="D3209" s="1"/>
  <c r="C3208"/>
  <c r="D3208" s="1"/>
  <c r="C3207"/>
  <c r="D3207" s="1"/>
  <c r="C3206"/>
  <c r="D3206" s="1"/>
  <c r="C3205"/>
  <c r="D3205" s="1"/>
  <c r="C3204"/>
  <c r="D3204" s="1"/>
  <c r="C3203"/>
  <c r="D3203" s="1"/>
  <c r="C3202"/>
  <c r="D3202" s="1"/>
  <c r="C3201"/>
  <c r="D3201" s="1"/>
  <c r="C3200"/>
  <c r="D3200" s="1"/>
  <c r="C3199"/>
  <c r="D3199" s="1"/>
  <c r="C3198"/>
  <c r="D3198" s="1"/>
  <c r="C3197"/>
  <c r="D3197" s="1"/>
  <c r="C3196"/>
  <c r="D3196" s="1"/>
  <c r="C3195"/>
  <c r="D3195" s="1"/>
  <c r="C3194"/>
  <c r="D3194" s="1"/>
  <c r="C3193"/>
  <c r="D3193" s="1"/>
  <c r="C3192"/>
  <c r="D3192" s="1"/>
  <c r="C3191"/>
  <c r="D3191" s="1"/>
  <c r="C3190"/>
  <c r="D3190" s="1"/>
  <c r="C3189"/>
  <c r="D3189" s="1"/>
  <c r="C3188"/>
  <c r="D3188" s="1"/>
  <c r="C3187"/>
  <c r="D3187" s="1"/>
  <c r="C3186"/>
  <c r="D3186" s="1"/>
  <c r="C3185"/>
  <c r="D3185" s="1"/>
  <c r="C3184"/>
  <c r="D3184" s="1"/>
  <c r="C3183"/>
  <c r="D3183" s="1"/>
  <c r="C3182"/>
  <c r="D3182" s="1"/>
  <c r="C3181"/>
  <c r="D3181" s="1"/>
  <c r="C3180"/>
  <c r="D3180" s="1"/>
  <c r="C3179"/>
  <c r="D3179" s="1"/>
  <c r="C3178"/>
  <c r="D3178" s="1"/>
  <c r="C3177"/>
  <c r="D3177" s="1"/>
  <c r="C3176"/>
  <c r="D3176" s="1"/>
  <c r="C3175"/>
  <c r="D3175" s="1"/>
  <c r="C3174"/>
  <c r="D3174" s="1"/>
  <c r="C3173"/>
  <c r="D3173" s="1"/>
  <c r="C3172"/>
  <c r="D3172" s="1"/>
  <c r="C3171"/>
  <c r="D3171" s="1"/>
  <c r="C3170"/>
  <c r="D3170" s="1"/>
  <c r="C3169"/>
  <c r="D3169" s="1"/>
  <c r="C3168"/>
  <c r="D3168" s="1"/>
  <c r="C3167"/>
  <c r="D3167" s="1"/>
  <c r="C3166"/>
  <c r="D3166" s="1"/>
  <c r="C3165"/>
  <c r="D3165" s="1"/>
  <c r="C3164"/>
  <c r="D3164" s="1"/>
  <c r="C3163"/>
  <c r="D3163" s="1"/>
  <c r="C3162"/>
  <c r="D3162" s="1"/>
  <c r="C3161"/>
  <c r="D3161" s="1"/>
  <c r="C3160"/>
  <c r="D3160" s="1"/>
  <c r="C3159"/>
  <c r="D3159" s="1"/>
  <c r="C3158"/>
  <c r="D3158" s="1"/>
  <c r="C3157"/>
  <c r="D3157" s="1"/>
  <c r="C3156"/>
  <c r="D3156" s="1"/>
  <c r="C3155"/>
  <c r="D3155" s="1"/>
  <c r="C3154"/>
  <c r="D3154" s="1"/>
  <c r="C3153"/>
  <c r="D3153" s="1"/>
  <c r="C3152"/>
  <c r="D3152" s="1"/>
  <c r="C3151"/>
  <c r="D3151" s="1"/>
  <c r="C3150"/>
  <c r="D3150" s="1"/>
  <c r="C3149"/>
  <c r="D3149" s="1"/>
  <c r="C3148"/>
  <c r="D3148" s="1"/>
  <c r="C3147"/>
  <c r="D3147" s="1"/>
  <c r="C3146"/>
  <c r="D3146" s="1"/>
  <c r="C3145"/>
  <c r="D3145" s="1"/>
  <c r="C3144"/>
  <c r="D3144" s="1"/>
  <c r="C3143"/>
  <c r="D3143" s="1"/>
  <c r="C3142"/>
  <c r="D3142" s="1"/>
  <c r="C3141"/>
  <c r="D3141" s="1"/>
  <c r="C3140"/>
  <c r="D3140" s="1"/>
  <c r="C3139"/>
  <c r="D3139" s="1"/>
  <c r="C3138"/>
  <c r="D3138" s="1"/>
  <c r="C3137"/>
  <c r="D3137" s="1"/>
  <c r="C3136"/>
  <c r="D3136" s="1"/>
  <c r="C3135"/>
  <c r="D3135" s="1"/>
  <c r="C3134"/>
  <c r="D3134" s="1"/>
  <c r="C3133"/>
  <c r="D3133" s="1"/>
  <c r="C3132"/>
  <c r="D3132" s="1"/>
  <c r="C3131"/>
  <c r="D3131" s="1"/>
  <c r="C3130"/>
  <c r="D3130" s="1"/>
  <c r="C3129"/>
  <c r="D3129" s="1"/>
  <c r="C3128"/>
  <c r="D3128" s="1"/>
  <c r="C3127"/>
  <c r="D3127" s="1"/>
  <c r="C3126"/>
  <c r="D3126" s="1"/>
  <c r="C3125"/>
  <c r="D3125" s="1"/>
  <c r="C3124"/>
  <c r="D3124" s="1"/>
  <c r="C3123"/>
  <c r="D3123" s="1"/>
  <c r="C3122"/>
  <c r="D3122" s="1"/>
  <c r="C3121"/>
  <c r="D3121" s="1"/>
  <c r="C3120"/>
  <c r="D3120" s="1"/>
  <c r="C3119"/>
  <c r="D3119" s="1"/>
  <c r="C3118"/>
  <c r="D3118" s="1"/>
  <c r="C3117"/>
  <c r="D3117" s="1"/>
  <c r="C3116"/>
  <c r="D3116" s="1"/>
  <c r="C3115"/>
  <c r="D3115" s="1"/>
  <c r="C3114"/>
  <c r="D3114" s="1"/>
  <c r="C3113"/>
  <c r="D3113" s="1"/>
  <c r="C3112"/>
  <c r="D3112" s="1"/>
  <c r="C3111"/>
  <c r="D3111" s="1"/>
  <c r="C3110"/>
  <c r="D3110" s="1"/>
  <c r="C3109"/>
  <c r="D3109" s="1"/>
  <c r="C3108"/>
  <c r="D3108" s="1"/>
  <c r="C3107"/>
  <c r="D3107" s="1"/>
  <c r="C3106"/>
  <c r="D3106" s="1"/>
  <c r="C3105"/>
  <c r="D3105" s="1"/>
  <c r="C3104"/>
  <c r="D3104" s="1"/>
  <c r="C3103"/>
  <c r="D3103" s="1"/>
  <c r="C3102"/>
  <c r="D3102" s="1"/>
  <c r="C3101"/>
  <c r="D3101" s="1"/>
  <c r="C3100"/>
  <c r="D3100" s="1"/>
  <c r="C3099"/>
  <c r="D3099" s="1"/>
  <c r="C3098"/>
  <c r="D3098" s="1"/>
  <c r="C3097"/>
  <c r="D3097" s="1"/>
  <c r="C3096"/>
  <c r="D3096" s="1"/>
  <c r="C3095"/>
  <c r="D3095" s="1"/>
  <c r="C3094"/>
  <c r="D3094" s="1"/>
  <c r="C3093"/>
  <c r="D3093" s="1"/>
  <c r="C3092"/>
  <c r="D3092" s="1"/>
  <c r="C3091"/>
  <c r="D3091" s="1"/>
  <c r="C3090"/>
  <c r="D3090" s="1"/>
  <c r="C3089"/>
  <c r="D3089" s="1"/>
  <c r="C3088"/>
  <c r="D3088" s="1"/>
  <c r="C3087"/>
  <c r="D3087" s="1"/>
  <c r="C3086"/>
  <c r="D3086" s="1"/>
  <c r="C3085"/>
  <c r="D3085" s="1"/>
  <c r="C3084"/>
  <c r="D3084" s="1"/>
  <c r="C3083"/>
  <c r="D3083" s="1"/>
  <c r="C3082"/>
  <c r="D3082" s="1"/>
  <c r="C3081"/>
  <c r="D3081" s="1"/>
  <c r="C3080"/>
  <c r="D3080" s="1"/>
  <c r="C3079"/>
  <c r="D3079" s="1"/>
  <c r="C3078"/>
  <c r="D3078" s="1"/>
  <c r="C3077"/>
  <c r="D3077" s="1"/>
  <c r="C3076"/>
  <c r="D3076" s="1"/>
  <c r="C3075"/>
  <c r="D3075" s="1"/>
  <c r="C3074"/>
  <c r="D3074" s="1"/>
  <c r="C3073"/>
  <c r="D3073" s="1"/>
  <c r="C3072"/>
  <c r="D3072" s="1"/>
  <c r="C3071"/>
  <c r="D3071" s="1"/>
  <c r="C3070"/>
  <c r="D3070" s="1"/>
  <c r="C3069"/>
  <c r="D3069" s="1"/>
  <c r="C3068"/>
  <c r="D3068" s="1"/>
  <c r="C3067"/>
  <c r="D3067" s="1"/>
  <c r="C3066"/>
  <c r="D3066" s="1"/>
  <c r="C3065"/>
  <c r="D3065" s="1"/>
  <c r="C3064"/>
  <c r="D3064" s="1"/>
  <c r="C3063"/>
  <c r="D3063" s="1"/>
  <c r="C3062"/>
  <c r="D3062" s="1"/>
  <c r="C3061"/>
  <c r="D3061" s="1"/>
  <c r="C3060"/>
  <c r="D3060" s="1"/>
  <c r="C3059"/>
  <c r="D3059" s="1"/>
  <c r="C3058"/>
  <c r="D3058" s="1"/>
  <c r="C3057"/>
  <c r="D3057" s="1"/>
  <c r="C3056"/>
  <c r="D3056" s="1"/>
  <c r="C3055"/>
  <c r="D3055" s="1"/>
  <c r="C3054"/>
  <c r="D3054" s="1"/>
  <c r="C3053"/>
  <c r="D3053" s="1"/>
  <c r="C3052"/>
  <c r="D3052" s="1"/>
  <c r="C3051"/>
  <c r="D3051" s="1"/>
  <c r="C3050"/>
  <c r="D3050" s="1"/>
  <c r="C3049"/>
  <c r="D3049" s="1"/>
  <c r="C3048"/>
  <c r="D3048" s="1"/>
  <c r="C3047"/>
  <c r="D3047" s="1"/>
  <c r="C3046"/>
  <c r="D3046" s="1"/>
  <c r="C3045"/>
  <c r="D3045" s="1"/>
  <c r="C3044"/>
  <c r="D3044" s="1"/>
  <c r="C3043"/>
  <c r="D3043" s="1"/>
  <c r="C3042"/>
  <c r="D3042" s="1"/>
  <c r="C3041"/>
  <c r="D3041" s="1"/>
  <c r="C3040"/>
  <c r="D3040" s="1"/>
  <c r="C3039"/>
  <c r="D3039" s="1"/>
  <c r="C3038"/>
  <c r="D3038" s="1"/>
  <c r="C3037"/>
  <c r="D3037" s="1"/>
  <c r="C3036"/>
  <c r="D3036" s="1"/>
  <c r="C3035"/>
  <c r="D3035" s="1"/>
  <c r="C3034"/>
  <c r="D3034" s="1"/>
  <c r="C3033"/>
  <c r="D3033" s="1"/>
  <c r="C3032"/>
  <c r="D3032" s="1"/>
  <c r="C3031"/>
  <c r="D3031" s="1"/>
  <c r="C3030"/>
  <c r="D3030" s="1"/>
  <c r="C3029"/>
  <c r="D3029" s="1"/>
  <c r="C3028"/>
  <c r="D3028" s="1"/>
  <c r="C3027"/>
  <c r="D3027" s="1"/>
  <c r="C3026"/>
  <c r="D3026" s="1"/>
  <c r="C3025"/>
  <c r="D3025" s="1"/>
  <c r="C3024"/>
  <c r="D3024" s="1"/>
  <c r="C3023"/>
  <c r="D3023" s="1"/>
  <c r="C3022"/>
  <c r="D3022" s="1"/>
  <c r="C3021"/>
  <c r="D3021" s="1"/>
  <c r="C3020"/>
  <c r="D3020" s="1"/>
  <c r="C3019"/>
  <c r="D3019" s="1"/>
  <c r="C3018"/>
  <c r="D3018" s="1"/>
  <c r="C3017"/>
  <c r="D3017" s="1"/>
  <c r="C3016"/>
  <c r="D3016" s="1"/>
  <c r="C3015"/>
  <c r="D3015" s="1"/>
  <c r="C3014"/>
  <c r="D3014" s="1"/>
  <c r="C3013"/>
  <c r="D3013" s="1"/>
  <c r="C3012"/>
  <c r="D3012" s="1"/>
  <c r="C3011"/>
  <c r="D3011" s="1"/>
  <c r="C3010"/>
  <c r="D3010" s="1"/>
  <c r="C3009"/>
  <c r="D3009" s="1"/>
  <c r="C3008"/>
  <c r="D3008" s="1"/>
  <c r="C3007"/>
  <c r="D3007" s="1"/>
  <c r="C3006"/>
  <c r="D3006" s="1"/>
  <c r="C3005"/>
  <c r="D3005" s="1"/>
  <c r="C3004"/>
  <c r="D3004" s="1"/>
  <c r="C3003"/>
  <c r="D3003" s="1"/>
  <c r="C3002"/>
  <c r="D3002" s="1"/>
  <c r="C3001"/>
  <c r="D3001" s="1"/>
  <c r="C3000"/>
  <c r="D3000" s="1"/>
  <c r="C2999"/>
  <c r="D2999" s="1"/>
  <c r="C2998"/>
  <c r="D2998" s="1"/>
  <c r="C2997"/>
  <c r="D2997" s="1"/>
  <c r="C2996"/>
  <c r="D2996" s="1"/>
  <c r="C2995"/>
  <c r="D2995" s="1"/>
  <c r="C2994"/>
  <c r="D2994" s="1"/>
  <c r="C2993"/>
  <c r="D2993" s="1"/>
  <c r="C2992"/>
  <c r="D2992" s="1"/>
  <c r="C2991"/>
  <c r="D2991" s="1"/>
  <c r="C2990"/>
  <c r="D2990" s="1"/>
  <c r="C2989"/>
  <c r="D2989" s="1"/>
  <c r="C2988"/>
  <c r="D2988" s="1"/>
  <c r="C2987"/>
  <c r="D2987" s="1"/>
  <c r="C2986"/>
  <c r="D2986" s="1"/>
  <c r="C2985"/>
  <c r="D2985" s="1"/>
  <c r="C2984"/>
  <c r="D2984" s="1"/>
  <c r="C2983"/>
  <c r="D2983" s="1"/>
  <c r="C2982"/>
  <c r="D2982" s="1"/>
  <c r="C2981"/>
  <c r="D2981" s="1"/>
  <c r="C2980"/>
  <c r="D2980" s="1"/>
  <c r="C2979"/>
  <c r="D2979" s="1"/>
  <c r="C2978"/>
  <c r="D2978" s="1"/>
  <c r="C2977"/>
  <c r="D2977" s="1"/>
  <c r="C2976"/>
  <c r="D2976" s="1"/>
  <c r="C2975"/>
  <c r="D2975" s="1"/>
  <c r="C2974"/>
  <c r="D2974" s="1"/>
  <c r="C2973"/>
  <c r="D2973" s="1"/>
  <c r="C2972"/>
  <c r="D2972" s="1"/>
  <c r="C2971"/>
  <c r="D2971" s="1"/>
  <c r="C2970"/>
  <c r="D2970" s="1"/>
  <c r="C2969"/>
  <c r="D2969" s="1"/>
  <c r="C2968"/>
  <c r="D2968" s="1"/>
  <c r="C2967"/>
  <c r="D2967" s="1"/>
  <c r="C2966"/>
  <c r="D2966" s="1"/>
  <c r="C2965"/>
  <c r="D2965" s="1"/>
  <c r="C2964"/>
  <c r="D2964" s="1"/>
  <c r="C2963"/>
  <c r="D2963" s="1"/>
  <c r="C2962"/>
  <c r="D2962" s="1"/>
  <c r="C2961"/>
  <c r="D2961" s="1"/>
  <c r="C2960"/>
  <c r="D2960" s="1"/>
  <c r="C2959"/>
  <c r="D2959" s="1"/>
  <c r="C2958"/>
  <c r="D2958" s="1"/>
  <c r="C2957"/>
  <c r="D2957" s="1"/>
  <c r="C2956"/>
  <c r="D2956" s="1"/>
  <c r="C2955"/>
  <c r="D2955" s="1"/>
  <c r="C2954"/>
  <c r="D2954" s="1"/>
  <c r="C2953"/>
  <c r="D2953" s="1"/>
  <c r="C2952"/>
  <c r="D2952" s="1"/>
  <c r="C2951"/>
  <c r="D2951" s="1"/>
  <c r="C2950"/>
  <c r="D2950" s="1"/>
  <c r="C2949"/>
  <c r="D2949" s="1"/>
  <c r="C2948"/>
  <c r="D2948" s="1"/>
  <c r="C2947"/>
  <c r="D2947" s="1"/>
  <c r="C2946"/>
  <c r="D2946" s="1"/>
  <c r="C2945"/>
  <c r="D2945" s="1"/>
  <c r="C2944"/>
  <c r="D2944" s="1"/>
  <c r="C2943"/>
  <c r="D2943" s="1"/>
  <c r="C2942"/>
  <c r="D2942" s="1"/>
  <c r="C2941"/>
  <c r="D2941" s="1"/>
  <c r="C2940"/>
  <c r="D2940" s="1"/>
  <c r="C2939"/>
  <c r="D2939" s="1"/>
  <c r="C2938"/>
  <c r="D2938" s="1"/>
  <c r="C2937"/>
  <c r="D2937" s="1"/>
  <c r="C2936"/>
  <c r="D2936" s="1"/>
  <c r="C2935"/>
  <c r="D2935" s="1"/>
  <c r="C2934"/>
  <c r="D2934" s="1"/>
  <c r="C2933"/>
  <c r="D2933" s="1"/>
  <c r="C2932"/>
  <c r="D2932" s="1"/>
  <c r="C2931"/>
  <c r="D2931" s="1"/>
  <c r="C2930"/>
  <c r="D2930" s="1"/>
  <c r="C2929"/>
  <c r="D2929" s="1"/>
  <c r="C2928"/>
  <c r="D2928" s="1"/>
  <c r="C2927"/>
  <c r="D2927" s="1"/>
  <c r="C2926"/>
  <c r="D2926" s="1"/>
  <c r="C2925"/>
  <c r="D2925" s="1"/>
  <c r="C2924"/>
  <c r="D2924" s="1"/>
  <c r="C2923"/>
  <c r="D2923" s="1"/>
  <c r="C2922"/>
  <c r="D2922" s="1"/>
  <c r="C2921"/>
  <c r="D2921" s="1"/>
  <c r="C2920"/>
  <c r="D2920" s="1"/>
  <c r="C2919"/>
  <c r="D2919" s="1"/>
  <c r="C2918"/>
  <c r="D2918" s="1"/>
  <c r="C2917"/>
  <c r="D2917" s="1"/>
  <c r="C2916"/>
  <c r="D2916" s="1"/>
  <c r="C2915"/>
  <c r="D2915" s="1"/>
  <c r="C2914"/>
  <c r="D2914" s="1"/>
  <c r="C2913"/>
  <c r="D2913" s="1"/>
  <c r="C2912"/>
  <c r="D2912" s="1"/>
  <c r="C2911"/>
  <c r="D2911" s="1"/>
  <c r="C2910"/>
  <c r="D2910" s="1"/>
  <c r="C2909"/>
  <c r="D2909" s="1"/>
  <c r="C2908"/>
  <c r="D2908" s="1"/>
  <c r="C2907"/>
  <c r="D2907" s="1"/>
  <c r="C2906"/>
  <c r="D2906" s="1"/>
  <c r="C2905"/>
  <c r="D2905" s="1"/>
  <c r="C2904"/>
  <c r="D2904" s="1"/>
  <c r="C2903"/>
  <c r="D2903" s="1"/>
  <c r="C2902"/>
  <c r="D2902" s="1"/>
  <c r="C2901"/>
  <c r="D2901" s="1"/>
  <c r="C2900"/>
  <c r="D2900" s="1"/>
  <c r="C2899"/>
  <c r="D2899" s="1"/>
  <c r="C2898"/>
  <c r="D2898" s="1"/>
  <c r="C2897"/>
  <c r="D2897" s="1"/>
  <c r="C2896"/>
  <c r="D2896" s="1"/>
  <c r="C2895"/>
  <c r="D2895" s="1"/>
  <c r="C2894"/>
  <c r="D2894" s="1"/>
  <c r="C2893"/>
  <c r="D2893" s="1"/>
  <c r="C2892"/>
  <c r="D2892" s="1"/>
  <c r="C2891"/>
  <c r="D2891" s="1"/>
  <c r="C2890"/>
  <c r="D2890" s="1"/>
  <c r="C2889"/>
  <c r="D2889" s="1"/>
  <c r="C2888"/>
  <c r="D2888" s="1"/>
  <c r="C2887"/>
  <c r="D2887" s="1"/>
  <c r="C2886"/>
  <c r="D2886" s="1"/>
  <c r="C2885"/>
  <c r="D2885" s="1"/>
  <c r="C2884"/>
  <c r="D2884" s="1"/>
  <c r="C2883"/>
  <c r="D2883" s="1"/>
  <c r="C2882"/>
  <c r="D2882" s="1"/>
  <c r="C2881"/>
  <c r="D2881" s="1"/>
  <c r="C2880"/>
  <c r="D2880" s="1"/>
  <c r="C2879"/>
  <c r="D2879" s="1"/>
  <c r="C2878"/>
  <c r="D2878" s="1"/>
  <c r="C2877"/>
  <c r="D2877" s="1"/>
  <c r="C2876"/>
  <c r="D2876" s="1"/>
  <c r="C2875"/>
  <c r="D2875" s="1"/>
  <c r="C2874"/>
  <c r="D2874" s="1"/>
  <c r="C2873"/>
  <c r="D2873" s="1"/>
  <c r="C2872"/>
  <c r="D2872" s="1"/>
  <c r="C2871"/>
  <c r="D2871" s="1"/>
  <c r="C2870"/>
  <c r="D2870" s="1"/>
  <c r="C2869"/>
  <c r="D2869" s="1"/>
  <c r="C2868"/>
  <c r="D2868" s="1"/>
  <c r="C2867"/>
  <c r="D2867" s="1"/>
  <c r="C2866"/>
  <c r="D2866" s="1"/>
  <c r="C2865"/>
  <c r="D2865" s="1"/>
  <c r="C2864"/>
  <c r="D2864" s="1"/>
  <c r="C2863"/>
  <c r="D2863" s="1"/>
  <c r="C2862"/>
  <c r="D2862" s="1"/>
  <c r="C2861"/>
  <c r="D2861" s="1"/>
  <c r="C2860"/>
  <c r="D2860" s="1"/>
  <c r="C2859"/>
  <c r="D2859" s="1"/>
  <c r="C2858"/>
  <c r="D2858" s="1"/>
  <c r="C2857"/>
  <c r="D2857" s="1"/>
  <c r="C2856"/>
  <c r="D2856" s="1"/>
  <c r="C2855"/>
  <c r="D2855" s="1"/>
  <c r="C2854"/>
  <c r="D2854" s="1"/>
  <c r="C2853"/>
  <c r="D2853" s="1"/>
  <c r="C2852"/>
  <c r="D2852" s="1"/>
  <c r="C2851"/>
  <c r="D2851" s="1"/>
  <c r="C2850"/>
  <c r="D2850" s="1"/>
  <c r="C2849"/>
  <c r="D2849" s="1"/>
  <c r="C2848"/>
  <c r="D2848" s="1"/>
  <c r="C2847"/>
  <c r="D2847" s="1"/>
  <c r="C2846"/>
  <c r="D2846" s="1"/>
  <c r="C2845"/>
  <c r="D2845" s="1"/>
  <c r="C2844"/>
  <c r="D2844" s="1"/>
  <c r="C2843"/>
  <c r="D2843" s="1"/>
  <c r="C2842"/>
  <c r="D2842" s="1"/>
  <c r="C2841"/>
  <c r="D2841" s="1"/>
  <c r="C2840"/>
  <c r="D2840" s="1"/>
  <c r="C2839"/>
  <c r="D2839" s="1"/>
  <c r="C2838"/>
  <c r="D2838" s="1"/>
  <c r="C2837"/>
  <c r="D2837" s="1"/>
  <c r="C2836"/>
  <c r="D2836" s="1"/>
  <c r="C2835"/>
  <c r="D2835" s="1"/>
  <c r="C2834"/>
  <c r="D2834" s="1"/>
  <c r="C2833"/>
  <c r="D2833" s="1"/>
  <c r="C2832"/>
  <c r="D2832" s="1"/>
  <c r="C2831"/>
  <c r="D2831" s="1"/>
  <c r="C2830"/>
  <c r="D2830" s="1"/>
  <c r="C2829"/>
  <c r="D2829" s="1"/>
  <c r="C2828"/>
  <c r="D2828" s="1"/>
  <c r="C2827"/>
  <c r="D2827" s="1"/>
  <c r="C2826"/>
  <c r="D2826" s="1"/>
  <c r="C2825"/>
  <c r="D2825" s="1"/>
  <c r="C2824"/>
  <c r="D2824" s="1"/>
  <c r="C2823"/>
  <c r="D2823" s="1"/>
  <c r="C2822"/>
  <c r="D2822" s="1"/>
  <c r="C2821"/>
  <c r="D2821" s="1"/>
  <c r="C2820"/>
  <c r="D2820" s="1"/>
  <c r="C2819"/>
  <c r="D2819" s="1"/>
  <c r="C2818"/>
  <c r="D2818" s="1"/>
  <c r="C2817"/>
  <c r="D2817" s="1"/>
  <c r="C2816"/>
  <c r="D2816" s="1"/>
  <c r="C2815"/>
  <c r="D2815" s="1"/>
  <c r="C2814"/>
  <c r="D2814" s="1"/>
  <c r="C2813"/>
  <c r="D2813" s="1"/>
  <c r="C2812"/>
  <c r="D2812" s="1"/>
  <c r="C2811"/>
  <c r="D2811" s="1"/>
  <c r="C2810"/>
  <c r="D2810" s="1"/>
  <c r="C2809"/>
  <c r="D2809" s="1"/>
  <c r="C2808"/>
  <c r="D2808" s="1"/>
  <c r="C2807"/>
  <c r="D2807" s="1"/>
  <c r="C2806"/>
  <c r="D2806" s="1"/>
  <c r="C2805"/>
  <c r="D2805" s="1"/>
  <c r="C2804"/>
  <c r="D2804" s="1"/>
  <c r="C2803"/>
  <c r="D2803" s="1"/>
  <c r="C2802"/>
  <c r="D2802" s="1"/>
  <c r="C2801"/>
  <c r="D2801" s="1"/>
  <c r="C2800"/>
  <c r="D2800" s="1"/>
  <c r="C2799"/>
  <c r="D2799" s="1"/>
  <c r="C2798"/>
  <c r="D2798" s="1"/>
  <c r="C2797"/>
  <c r="D2797" s="1"/>
  <c r="C2796"/>
  <c r="D2796" s="1"/>
  <c r="C2795"/>
  <c r="D2795" s="1"/>
  <c r="C2794"/>
  <c r="D2794" s="1"/>
  <c r="C2793"/>
  <c r="D2793" s="1"/>
  <c r="C2792"/>
  <c r="D2792" s="1"/>
  <c r="C2791"/>
  <c r="D2791" s="1"/>
  <c r="C2790"/>
  <c r="D2790" s="1"/>
  <c r="C2789"/>
  <c r="D2789" s="1"/>
  <c r="C2788"/>
  <c r="D2788" s="1"/>
  <c r="C2787"/>
  <c r="D2787" s="1"/>
  <c r="C2786"/>
  <c r="D2786" s="1"/>
  <c r="C2785"/>
  <c r="D2785" s="1"/>
  <c r="C2784"/>
  <c r="D2784" s="1"/>
  <c r="C2783"/>
  <c r="D2783" s="1"/>
  <c r="C2782"/>
  <c r="D2782" s="1"/>
  <c r="C2781"/>
  <c r="D2781" s="1"/>
  <c r="C2780"/>
  <c r="D2780" s="1"/>
  <c r="C2779"/>
  <c r="D2779" s="1"/>
  <c r="C2778"/>
  <c r="D2778" s="1"/>
  <c r="C2777"/>
  <c r="D2777" s="1"/>
  <c r="C2776"/>
  <c r="D2776" s="1"/>
  <c r="C2775"/>
  <c r="D2775" s="1"/>
  <c r="C2774"/>
  <c r="D2774" s="1"/>
  <c r="C2773"/>
  <c r="D2773" s="1"/>
  <c r="C2772"/>
  <c r="D2772" s="1"/>
  <c r="C2771"/>
  <c r="D2771" s="1"/>
  <c r="C2770"/>
  <c r="D2770" s="1"/>
  <c r="C2769"/>
  <c r="D2769" s="1"/>
  <c r="C2768"/>
  <c r="D2768" s="1"/>
  <c r="C2767"/>
  <c r="D2767" s="1"/>
  <c r="C2766"/>
  <c r="D2766" s="1"/>
  <c r="C2765"/>
  <c r="D2765" s="1"/>
  <c r="C2764"/>
  <c r="D2764" s="1"/>
  <c r="C2763"/>
  <c r="D2763" s="1"/>
  <c r="C2762"/>
  <c r="D2762" s="1"/>
  <c r="C2761"/>
  <c r="D2761" s="1"/>
  <c r="C2760"/>
  <c r="D2760" s="1"/>
  <c r="C2759"/>
  <c r="D2759" s="1"/>
  <c r="C2758"/>
  <c r="D2758" s="1"/>
  <c r="C2757"/>
  <c r="D2757" s="1"/>
  <c r="C2756"/>
  <c r="D2756" s="1"/>
  <c r="C2755"/>
  <c r="D2755" s="1"/>
  <c r="C2754"/>
  <c r="D2754" s="1"/>
  <c r="C2753"/>
  <c r="D2753" s="1"/>
  <c r="C2752"/>
  <c r="D2752" s="1"/>
  <c r="C2751"/>
  <c r="D2751" s="1"/>
  <c r="C2750"/>
  <c r="D2750" s="1"/>
  <c r="C2749"/>
  <c r="D2749" s="1"/>
  <c r="C2748"/>
  <c r="D2748" s="1"/>
  <c r="C2747"/>
  <c r="D2747" s="1"/>
  <c r="C2746"/>
  <c r="D2746" s="1"/>
  <c r="C2745"/>
  <c r="D2745" s="1"/>
  <c r="C2744"/>
  <c r="D2744" s="1"/>
  <c r="C2743"/>
  <c r="D2743" s="1"/>
  <c r="C2742"/>
  <c r="D2742" s="1"/>
  <c r="C2741"/>
  <c r="D2741" s="1"/>
  <c r="C2740"/>
  <c r="D2740" s="1"/>
  <c r="C2739"/>
  <c r="D2739" s="1"/>
  <c r="C2738"/>
  <c r="D2738" s="1"/>
  <c r="C2737"/>
  <c r="D2737" s="1"/>
  <c r="C2736"/>
  <c r="D2736" s="1"/>
  <c r="C2735"/>
  <c r="D2735" s="1"/>
  <c r="C2734"/>
  <c r="D2734" s="1"/>
  <c r="C2733"/>
  <c r="D2733" s="1"/>
  <c r="C2732"/>
  <c r="D2732" s="1"/>
  <c r="C2731"/>
  <c r="D2731" s="1"/>
  <c r="C2730"/>
  <c r="D2730" s="1"/>
  <c r="C2729"/>
  <c r="D2729" s="1"/>
  <c r="C2728"/>
  <c r="D2728" s="1"/>
  <c r="C2727"/>
  <c r="D2727" s="1"/>
  <c r="C2726"/>
  <c r="D2726" s="1"/>
  <c r="C2725"/>
  <c r="D2725" s="1"/>
  <c r="C2724"/>
  <c r="D2724" s="1"/>
  <c r="C2723"/>
  <c r="D2723" s="1"/>
  <c r="C2722"/>
  <c r="D2722" s="1"/>
  <c r="C2721"/>
  <c r="D2721" s="1"/>
  <c r="C2720"/>
  <c r="D2720" s="1"/>
  <c r="C2719"/>
  <c r="D2719" s="1"/>
  <c r="C2718"/>
  <c r="D2718" s="1"/>
  <c r="C2717"/>
  <c r="D2717" s="1"/>
  <c r="C2716"/>
  <c r="D2716" s="1"/>
  <c r="C2715"/>
  <c r="D2715" s="1"/>
  <c r="C2714"/>
  <c r="D2714" s="1"/>
  <c r="C2713"/>
  <c r="D2713" s="1"/>
  <c r="C2712"/>
  <c r="D2712" s="1"/>
  <c r="C2711"/>
  <c r="D2711" s="1"/>
  <c r="C2710"/>
  <c r="D2710" s="1"/>
  <c r="C2709"/>
  <c r="D2709" s="1"/>
  <c r="C2708"/>
  <c r="D2708" s="1"/>
  <c r="C2707"/>
  <c r="D2707" s="1"/>
  <c r="C2706"/>
  <c r="D2706" s="1"/>
  <c r="C2705"/>
  <c r="D2705" s="1"/>
  <c r="C2704"/>
  <c r="D2704" s="1"/>
  <c r="C2703"/>
  <c r="D2703" s="1"/>
  <c r="C2702"/>
  <c r="D2702" s="1"/>
  <c r="C2701"/>
  <c r="D2701" s="1"/>
  <c r="C2700"/>
  <c r="D2700" s="1"/>
  <c r="C2699"/>
  <c r="D2699" s="1"/>
  <c r="C2698"/>
  <c r="D2698" s="1"/>
  <c r="C2697"/>
  <c r="D2697" s="1"/>
  <c r="C2696"/>
  <c r="D2696" s="1"/>
  <c r="C2695"/>
  <c r="D2695" s="1"/>
  <c r="C2694"/>
  <c r="D2694" s="1"/>
  <c r="C2693"/>
  <c r="D2693" s="1"/>
  <c r="C2692"/>
  <c r="D2692" s="1"/>
  <c r="C2691"/>
  <c r="D2691" s="1"/>
  <c r="C2690"/>
  <c r="D2690" s="1"/>
  <c r="C2689"/>
  <c r="D2689" s="1"/>
  <c r="C2688"/>
  <c r="D2688" s="1"/>
  <c r="C2687"/>
  <c r="D2687" s="1"/>
  <c r="C2686"/>
  <c r="D2686" s="1"/>
  <c r="C2685"/>
  <c r="D2685" s="1"/>
  <c r="C2684"/>
  <c r="D2684" s="1"/>
  <c r="C2683"/>
  <c r="D2683" s="1"/>
  <c r="C2682"/>
  <c r="D2682" s="1"/>
  <c r="C2681"/>
  <c r="D2681" s="1"/>
  <c r="C2680"/>
  <c r="D2680" s="1"/>
  <c r="C2679"/>
  <c r="D2679" s="1"/>
  <c r="C2678"/>
  <c r="D2678" s="1"/>
  <c r="C2677"/>
  <c r="D2677" s="1"/>
  <c r="C2676"/>
  <c r="D2676" s="1"/>
  <c r="C2675"/>
  <c r="D2675" s="1"/>
  <c r="C2674"/>
  <c r="D2674" s="1"/>
  <c r="C2673"/>
  <c r="D2673" s="1"/>
  <c r="C2672"/>
  <c r="D2672" s="1"/>
  <c r="C2671"/>
  <c r="D2671" s="1"/>
  <c r="C2670"/>
  <c r="D2670" s="1"/>
  <c r="C2669"/>
  <c r="D2669" s="1"/>
  <c r="C2668"/>
  <c r="D2668" s="1"/>
  <c r="C2667"/>
  <c r="D2667" s="1"/>
  <c r="C2666"/>
  <c r="D2666" s="1"/>
  <c r="C2665"/>
  <c r="D2665" s="1"/>
  <c r="C2664"/>
  <c r="D2664" s="1"/>
  <c r="C2663"/>
  <c r="D2663" s="1"/>
  <c r="C2662"/>
  <c r="D2662" s="1"/>
  <c r="C2661"/>
  <c r="D2661" s="1"/>
  <c r="C2660"/>
  <c r="D2660" s="1"/>
  <c r="C2659"/>
  <c r="D2659" s="1"/>
  <c r="C2658"/>
  <c r="D2658" s="1"/>
  <c r="C2657"/>
  <c r="D2657" s="1"/>
  <c r="C2656"/>
  <c r="D2656" s="1"/>
  <c r="C2655"/>
  <c r="D2655" s="1"/>
  <c r="C2654"/>
  <c r="D2654" s="1"/>
  <c r="C2653"/>
  <c r="D2653" s="1"/>
  <c r="C2652"/>
  <c r="D2652" s="1"/>
  <c r="C2651"/>
  <c r="D2651" s="1"/>
  <c r="C2650"/>
  <c r="D2650" s="1"/>
  <c r="C2649"/>
  <c r="D2649" s="1"/>
  <c r="C2648"/>
  <c r="D2648" s="1"/>
  <c r="C2647"/>
  <c r="D2647" s="1"/>
  <c r="C2646"/>
  <c r="D2646" s="1"/>
  <c r="C2645"/>
  <c r="D2645" s="1"/>
  <c r="C2644"/>
  <c r="D2644" s="1"/>
  <c r="C2643"/>
  <c r="D2643" s="1"/>
  <c r="C2642"/>
  <c r="D2642" s="1"/>
  <c r="C2641"/>
  <c r="D2641" s="1"/>
  <c r="C2640"/>
  <c r="D2640" s="1"/>
  <c r="C2639"/>
  <c r="D2639" s="1"/>
  <c r="C2638"/>
  <c r="D2638" s="1"/>
  <c r="C2637"/>
  <c r="D2637" s="1"/>
  <c r="C2636"/>
  <c r="D2636" s="1"/>
  <c r="C2635"/>
  <c r="D2635" s="1"/>
  <c r="C2634"/>
  <c r="D2634" s="1"/>
  <c r="C2633"/>
  <c r="D2633" s="1"/>
  <c r="C2632"/>
  <c r="D2632" s="1"/>
  <c r="C2631"/>
  <c r="D2631" s="1"/>
  <c r="C2630"/>
  <c r="D2630" s="1"/>
  <c r="C2629"/>
  <c r="D2629" s="1"/>
  <c r="C2628"/>
  <c r="D2628" s="1"/>
  <c r="C2627"/>
  <c r="D2627" s="1"/>
  <c r="C2626"/>
  <c r="D2626" s="1"/>
  <c r="C2625"/>
  <c r="D2625" s="1"/>
  <c r="C2624"/>
  <c r="D2624" s="1"/>
  <c r="C2623"/>
  <c r="D2623" s="1"/>
  <c r="C2622"/>
  <c r="D2622" s="1"/>
  <c r="C2621"/>
  <c r="D2621" s="1"/>
  <c r="C2620"/>
  <c r="D2620" s="1"/>
  <c r="C2619"/>
  <c r="D2619" s="1"/>
  <c r="C2618"/>
  <c r="D2618" s="1"/>
  <c r="C2617"/>
  <c r="D2617" s="1"/>
  <c r="C2616"/>
  <c r="D2616" s="1"/>
  <c r="C2615"/>
  <c r="D2615" s="1"/>
  <c r="C2614"/>
  <c r="D2614" s="1"/>
  <c r="C2613"/>
  <c r="D2613" s="1"/>
  <c r="C2612"/>
  <c r="D2612" s="1"/>
  <c r="C2611"/>
  <c r="D2611" s="1"/>
  <c r="C2610"/>
  <c r="D2610" s="1"/>
  <c r="C2609"/>
  <c r="D2609" s="1"/>
  <c r="C2608"/>
  <c r="D2608" s="1"/>
  <c r="C2607"/>
  <c r="D2607" s="1"/>
  <c r="C2606"/>
  <c r="D2606" s="1"/>
  <c r="C2605"/>
  <c r="D2605" s="1"/>
  <c r="C2604"/>
  <c r="D2604" s="1"/>
  <c r="C2603"/>
  <c r="D2603" s="1"/>
  <c r="C2602"/>
  <c r="D2602" s="1"/>
  <c r="C2601"/>
  <c r="D2601" s="1"/>
  <c r="C2600"/>
  <c r="D2600" s="1"/>
  <c r="C2599"/>
  <c r="D2599" s="1"/>
  <c r="C2598"/>
  <c r="D2598" s="1"/>
  <c r="C2597"/>
  <c r="D2597" s="1"/>
  <c r="C2596"/>
  <c r="D2596" s="1"/>
  <c r="C2595"/>
  <c r="D2595" s="1"/>
  <c r="C2594"/>
  <c r="D2594" s="1"/>
  <c r="C2593"/>
  <c r="D2593" s="1"/>
  <c r="C2592"/>
  <c r="D2592" s="1"/>
  <c r="C2591"/>
  <c r="D2591" s="1"/>
  <c r="C2590"/>
  <c r="D2590" s="1"/>
  <c r="C2589"/>
  <c r="D2589" s="1"/>
  <c r="C2588"/>
  <c r="D2588" s="1"/>
  <c r="C2587"/>
  <c r="D2587" s="1"/>
  <c r="C2586"/>
  <c r="D2586" s="1"/>
  <c r="C2585"/>
  <c r="D2585" s="1"/>
  <c r="C2584"/>
  <c r="D2584" s="1"/>
  <c r="C2583"/>
  <c r="D2583" s="1"/>
  <c r="C2582"/>
  <c r="D2582" s="1"/>
  <c r="C2581"/>
  <c r="D2581" s="1"/>
  <c r="C2580"/>
  <c r="D2580" s="1"/>
  <c r="C2579"/>
  <c r="D2579" s="1"/>
  <c r="C2578"/>
  <c r="D2578" s="1"/>
  <c r="C2577"/>
  <c r="D2577" s="1"/>
  <c r="C2576"/>
  <c r="D2576" s="1"/>
  <c r="C2575"/>
  <c r="D2575" s="1"/>
  <c r="C2574"/>
  <c r="D2574" s="1"/>
  <c r="C2573"/>
  <c r="D2573" s="1"/>
  <c r="C2572"/>
  <c r="D2572" s="1"/>
  <c r="C2571"/>
  <c r="D2571" s="1"/>
  <c r="C2570"/>
  <c r="D2570" s="1"/>
  <c r="C2569"/>
  <c r="D2569" s="1"/>
  <c r="C2568"/>
  <c r="D2568" s="1"/>
  <c r="C2567"/>
  <c r="D2567" s="1"/>
  <c r="C2566"/>
  <c r="D2566" s="1"/>
  <c r="C2565"/>
  <c r="D2565" s="1"/>
  <c r="C2564"/>
  <c r="D2564" s="1"/>
  <c r="C2563"/>
  <c r="D2563" s="1"/>
  <c r="C2562"/>
  <c r="D2562" s="1"/>
  <c r="C2561"/>
  <c r="D2561" s="1"/>
  <c r="C2560"/>
  <c r="D2560" s="1"/>
  <c r="C2559"/>
  <c r="D2559" s="1"/>
  <c r="C2558"/>
  <c r="D2558" s="1"/>
  <c r="C2557"/>
  <c r="D2557" s="1"/>
  <c r="C2556"/>
  <c r="D2556" s="1"/>
  <c r="C2555"/>
  <c r="D2555" s="1"/>
  <c r="C2554"/>
  <c r="D2554" s="1"/>
  <c r="C2553"/>
  <c r="D2553" s="1"/>
  <c r="C2552"/>
  <c r="D2552" s="1"/>
  <c r="C2551"/>
  <c r="D2551" s="1"/>
  <c r="C2550"/>
  <c r="D2550" s="1"/>
  <c r="C2549"/>
  <c r="D2549" s="1"/>
  <c r="C2548"/>
  <c r="D2548" s="1"/>
  <c r="C2547"/>
  <c r="D2547" s="1"/>
  <c r="C2546"/>
  <c r="D2546" s="1"/>
  <c r="C2545"/>
  <c r="D2545" s="1"/>
  <c r="C2544"/>
  <c r="D2544" s="1"/>
  <c r="C2543"/>
  <c r="D2543" s="1"/>
  <c r="C2542"/>
  <c r="D2542" s="1"/>
  <c r="C2541"/>
  <c r="D2541" s="1"/>
  <c r="C2540"/>
  <c r="D2540" s="1"/>
  <c r="C2539"/>
  <c r="D2539" s="1"/>
  <c r="C2538"/>
  <c r="D2538" s="1"/>
  <c r="C2537"/>
  <c r="D2537" s="1"/>
  <c r="C2536"/>
  <c r="D2536" s="1"/>
  <c r="C2535"/>
  <c r="D2535" s="1"/>
  <c r="C2534"/>
  <c r="D2534" s="1"/>
  <c r="C2533"/>
  <c r="D2533" s="1"/>
  <c r="C2532"/>
  <c r="D2532" s="1"/>
  <c r="C2531"/>
  <c r="D2531" s="1"/>
  <c r="C2530"/>
  <c r="D2530" s="1"/>
  <c r="C2529"/>
  <c r="D2529" s="1"/>
  <c r="C2528"/>
  <c r="D2528" s="1"/>
  <c r="C2527"/>
  <c r="D2527" s="1"/>
  <c r="C2526"/>
  <c r="D2526" s="1"/>
  <c r="C2525"/>
  <c r="D2525" s="1"/>
  <c r="C2524"/>
  <c r="D2524" s="1"/>
  <c r="C2523"/>
  <c r="D2523" s="1"/>
  <c r="C2522"/>
  <c r="D2522" s="1"/>
  <c r="C2521"/>
  <c r="D2521" s="1"/>
  <c r="C2520"/>
  <c r="D2520" s="1"/>
  <c r="C2519"/>
  <c r="D2519" s="1"/>
  <c r="C2518"/>
  <c r="D2518" s="1"/>
  <c r="C2517"/>
  <c r="D2517" s="1"/>
  <c r="C2516"/>
  <c r="D2516" s="1"/>
  <c r="C2515"/>
  <c r="D2515" s="1"/>
  <c r="C2514"/>
  <c r="D2514" s="1"/>
  <c r="C2513"/>
  <c r="D2513" s="1"/>
  <c r="C2512"/>
  <c r="D2512" s="1"/>
  <c r="C2511"/>
  <c r="D2511" s="1"/>
  <c r="C2510"/>
  <c r="D2510" s="1"/>
  <c r="C2509"/>
  <c r="D2509" s="1"/>
  <c r="C2508"/>
  <c r="D2508" s="1"/>
  <c r="C2507"/>
  <c r="D2507" s="1"/>
  <c r="C2506"/>
  <c r="D2506" s="1"/>
  <c r="C2505"/>
  <c r="D2505" s="1"/>
  <c r="C2504"/>
  <c r="D2504" s="1"/>
  <c r="C2503"/>
  <c r="D2503" s="1"/>
  <c r="C2502"/>
  <c r="D2502" s="1"/>
  <c r="C2501"/>
  <c r="D2501" s="1"/>
  <c r="C2500"/>
  <c r="D2500" s="1"/>
  <c r="C2499"/>
  <c r="D2499" s="1"/>
  <c r="C2498"/>
  <c r="D2498" s="1"/>
  <c r="C2497"/>
  <c r="D2497" s="1"/>
  <c r="C2496"/>
  <c r="D2496" s="1"/>
  <c r="C2495"/>
  <c r="D2495" s="1"/>
  <c r="C2494"/>
  <c r="D2494" s="1"/>
  <c r="C2493"/>
  <c r="D2493" s="1"/>
  <c r="C2492"/>
  <c r="D2492" s="1"/>
  <c r="C2491"/>
  <c r="D2491" s="1"/>
  <c r="C2490"/>
  <c r="D2490" s="1"/>
  <c r="C2489"/>
  <c r="D2489" s="1"/>
  <c r="C2488"/>
  <c r="D2488" s="1"/>
  <c r="C2487"/>
  <c r="D2487" s="1"/>
  <c r="C2486"/>
  <c r="D2486" s="1"/>
  <c r="C2485"/>
  <c r="D2485" s="1"/>
  <c r="C2484"/>
  <c r="D2484" s="1"/>
  <c r="C2483"/>
  <c r="D2483" s="1"/>
  <c r="C2482"/>
  <c r="D2482" s="1"/>
  <c r="C2481"/>
  <c r="D2481" s="1"/>
  <c r="C2480"/>
  <c r="D2480" s="1"/>
  <c r="C2479"/>
  <c r="D2479" s="1"/>
  <c r="C2478"/>
  <c r="D2478" s="1"/>
  <c r="C2477"/>
  <c r="D2477" s="1"/>
  <c r="C2476"/>
  <c r="D2476" s="1"/>
  <c r="C2475"/>
  <c r="D2475" s="1"/>
  <c r="C2474"/>
  <c r="D2474" s="1"/>
  <c r="C2473"/>
  <c r="D2473" s="1"/>
  <c r="C2472"/>
  <c r="D2472" s="1"/>
  <c r="C2471"/>
  <c r="D2471" s="1"/>
  <c r="C2470"/>
  <c r="D2470" s="1"/>
  <c r="C2469"/>
  <c r="D2469" s="1"/>
  <c r="C2468"/>
  <c r="D2468" s="1"/>
  <c r="C2467"/>
  <c r="D2467" s="1"/>
  <c r="C2466"/>
  <c r="D2466" s="1"/>
  <c r="C2465"/>
  <c r="D2465" s="1"/>
  <c r="C2464"/>
  <c r="D2464" s="1"/>
  <c r="C2463"/>
  <c r="D2463" s="1"/>
  <c r="C2462"/>
  <c r="D2462" s="1"/>
  <c r="C2461"/>
  <c r="D2461" s="1"/>
  <c r="C2460"/>
  <c r="D2460" s="1"/>
  <c r="C2459"/>
  <c r="D2459" s="1"/>
  <c r="C2458"/>
  <c r="D2458" s="1"/>
  <c r="C2457"/>
  <c r="D2457" s="1"/>
  <c r="C2456"/>
  <c r="D2456" s="1"/>
  <c r="C2455"/>
  <c r="D2455" s="1"/>
  <c r="C2454"/>
  <c r="D2454" s="1"/>
  <c r="C2453"/>
  <c r="D2453" s="1"/>
  <c r="C2452"/>
  <c r="D2452" s="1"/>
  <c r="C2451"/>
  <c r="D2451" s="1"/>
  <c r="C2450"/>
  <c r="D2450" s="1"/>
  <c r="C2449"/>
  <c r="D2449" s="1"/>
  <c r="C2448"/>
  <c r="D2448" s="1"/>
  <c r="C2447"/>
  <c r="D2447" s="1"/>
  <c r="C2446"/>
  <c r="D2446" s="1"/>
  <c r="C2445"/>
  <c r="D2445" s="1"/>
  <c r="C2444"/>
  <c r="D2444" s="1"/>
  <c r="C2443"/>
  <c r="D2443" s="1"/>
  <c r="C2442"/>
  <c r="D2442" s="1"/>
  <c r="C2441"/>
  <c r="D2441" s="1"/>
  <c r="C2440"/>
  <c r="D2440" s="1"/>
  <c r="C2439"/>
  <c r="D2439" s="1"/>
  <c r="C2438"/>
  <c r="D2438" s="1"/>
  <c r="C2437"/>
  <c r="D2437" s="1"/>
  <c r="C2436"/>
  <c r="D2436" s="1"/>
  <c r="C2435"/>
  <c r="D2435" s="1"/>
  <c r="C2434"/>
  <c r="D2434" s="1"/>
  <c r="C2433"/>
  <c r="D2433" s="1"/>
  <c r="C2432"/>
  <c r="D2432" s="1"/>
  <c r="C2431"/>
  <c r="D2431" s="1"/>
  <c r="C2430"/>
  <c r="D2430" s="1"/>
  <c r="C2429"/>
  <c r="D2429" s="1"/>
  <c r="C2428"/>
  <c r="D2428" s="1"/>
  <c r="C2427"/>
  <c r="D2427" s="1"/>
  <c r="C2426"/>
  <c r="D2426" s="1"/>
  <c r="C2425"/>
  <c r="D2425" s="1"/>
  <c r="C2424"/>
  <c r="D2424" s="1"/>
  <c r="C2423"/>
  <c r="D2423" s="1"/>
  <c r="C2422"/>
  <c r="D2422" s="1"/>
  <c r="C2421"/>
  <c r="D2421" s="1"/>
  <c r="C2420"/>
  <c r="D2420" s="1"/>
  <c r="C2419"/>
  <c r="D2419" s="1"/>
  <c r="C2418"/>
  <c r="D2418" s="1"/>
  <c r="C2417"/>
  <c r="D2417" s="1"/>
  <c r="C2416"/>
  <c r="D2416" s="1"/>
  <c r="C2415"/>
  <c r="D2415" s="1"/>
  <c r="C2414"/>
  <c r="D2414" s="1"/>
  <c r="C2413"/>
  <c r="D2413" s="1"/>
  <c r="C2412"/>
  <c r="D2412" s="1"/>
  <c r="C2411"/>
  <c r="D2411" s="1"/>
  <c r="C2410"/>
  <c r="D2410" s="1"/>
  <c r="C2409"/>
  <c r="D2409" s="1"/>
  <c r="C2408"/>
  <c r="D2408" s="1"/>
  <c r="C2407"/>
  <c r="D2407" s="1"/>
  <c r="C2406"/>
  <c r="D2406" s="1"/>
  <c r="C2405"/>
  <c r="D2405" s="1"/>
  <c r="C2404"/>
  <c r="D2404" s="1"/>
  <c r="C2403"/>
  <c r="D2403" s="1"/>
  <c r="C2402"/>
  <c r="D2402" s="1"/>
  <c r="C2401"/>
  <c r="D2401" s="1"/>
  <c r="C2400"/>
  <c r="D2400" s="1"/>
  <c r="C2399"/>
  <c r="D2399" s="1"/>
  <c r="C2398"/>
  <c r="D2398" s="1"/>
  <c r="C2397"/>
  <c r="D2397" s="1"/>
  <c r="C2396"/>
  <c r="D2396" s="1"/>
  <c r="C2395"/>
  <c r="D2395" s="1"/>
  <c r="C2394"/>
  <c r="D2394" s="1"/>
  <c r="C2393"/>
  <c r="D2393" s="1"/>
  <c r="C2392"/>
  <c r="D2392" s="1"/>
  <c r="C2391"/>
  <c r="D2391" s="1"/>
  <c r="C2390"/>
  <c r="D2390" s="1"/>
  <c r="C2389"/>
  <c r="D2389" s="1"/>
  <c r="C2388"/>
  <c r="D2388" s="1"/>
  <c r="C2387"/>
  <c r="D2387" s="1"/>
  <c r="C2386"/>
  <c r="D2386" s="1"/>
  <c r="C2385"/>
  <c r="D2385" s="1"/>
  <c r="C2384"/>
  <c r="D2384" s="1"/>
  <c r="C2383"/>
  <c r="D2383" s="1"/>
  <c r="C2382"/>
  <c r="D2382" s="1"/>
  <c r="C2381"/>
  <c r="D2381" s="1"/>
  <c r="C2380"/>
  <c r="D2380" s="1"/>
  <c r="C2379"/>
  <c r="D2379" s="1"/>
  <c r="C2378"/>
  <c r="D2378" s="1"/>
  <c r="C2377"/>
  <c r="D2377" s="1"/>
  <c r="C2376"/>
  <c r="D2376" s="1"/>
  <c r="C2375"/>
  <c r="D2375" s="1"/>
  <c r="C2374"/>
  <c r="D2374" s="1"/>
  <c r="C2373"/>
  <c r="D2373" s="1"/>
  <c r="C2372"/>
  <c r="D2372" s="1"/>
  <c r="C2371"/>
  <c r="D2371" s="1"/>
  <c r="C2370"/>
  <c r="D2370" s="1"/>
  <c r="C2369"/>
  <c r="D2369" s="1"/>
  <c r="C2368"/>
  <c r="D2368" s="1"/>
  <c r="C2367"/>
  <c r="D2367" s="1"/>
  <c r="C2366"/>
  <c r="D2366" s="1"/>
  <c r="C2365"/>
  <c r="D2365" s="1"/>
  <c r="C2364"/>
  <c r="D2364" s="1"/>
  <c r="C2363"/>
  <c r="D2363" s="1"/>
  <c r="C2362"/>
  <c r="D2362" s="1"/>
  <c r="C2361"/>
  <c r="D2361" s="1"/>
  <c r="C2360"/>
  <c r="D2360" s="1"/>
  <c r="C2359"/>
  <c r="D2359" s="1"/>
  <c r="C2358"/>
  <c r="D2358" s="1"/>
  <c r="C2357"/>
  <c r="D2357" s="1"/>
  <c r="C2356"/>
  <c r="D2356" s="1"/>
  <c r="C2355"/>
  <c r="D2355" s="1"/>
  <c r="C2354"/>
  <c r="D2354" s="1"/>
  <c r="C2353"/>
  <c r="D2353" s="1"/>
  <c r="C2352"/>
  <c r="D2352" s="1"/>
  <c r="C2351"/>
  <c r="D2351" s="1"/>
  <c r="C2350"/>
  <c r="D2350" s="1"/>
  <c r="C2349"/>
  <c r="D2349" s="1"/>
  <c r="C2348"/>
  <c r="D2348" s="1"/>
  <c r="C2347"/>
  <c r="D2347" s="1"/>
  <c r="C2346"/>
  <c r="D2346" s="1"/>
  <c r="C2345"/>
  <c r="D2345" s="1"/>
  <c r="C2344"/>
  <c r="D2344" s="1"/>
  <c r="C2343"/>
  <c r="D2343" s="1"/>
  <c r="C2342"/>
  <c r="D2342" s="1"/>
  <c r="C2341"/>
  <c r="D2341" s="1"/>
  <c r="C2340"/>
  <c r="D2340" s="1"/>
  <c r="C2339"/>
  <c r="D2339" s="1"/>
  <c r="C2338"/>
  <c r="D2338" s="1"/>
  <c r="C2337"/>
  <c r="D2337" s="1"/>
  <c r="C2336"/>
  <c r="D2336" s="1"/>
  <c r="C2335"/>
  <c r="D2335" s="1"/>
  <c r="C2334"/>
  <c r="D2334" s="1"/>
  <c r="C2333"/>
  <c r="D2333" s="1"/>
  <c r="C2332"/>
  <c r="D2332" s="1"/>
  <c r="C2331"/>
  <c r="D2331" s="1"/>
  <c r="C2330"/>
  <c r="D2330" s="1"/>
  <c r="C2329"/>
  <c r="D2329" s="1"/>
  <c r="C2328"/>
  <c r="D2328" s="1"/>
  <c r="C2327"/>
  <c r="D2327" s="1"/>
  <c r="C2326"/>
  <c r="D2326" s="1"/>
  <c r="C2325"/>
  <c r="D2325" s="1"/>
  <c r="C2324"/>
  <c r="D2324" s="1"/>
  <c r="C2323"/>
  <c r="D2323" s="1"/>
  <c r="C2322"/>
  <c r="D2322" s="1"/>
  <c r="C2321"/>
  <c r="D2321" s="1"/>
  <c r="C2320"/>
  <c r="D2320" s="1"/>
  <c r="C2319"/>
  <c r="D2319" s="1"/>
  <c r="C2318"/>
  <c r="D2318" s="1"/>
  <c r="C2317"/>
  <c r="D2317" s="1"/>
  <c r="C2316"/>
  <c r="D2316" s="1"/>
  <c r="C2315"/>
  <c r="D2315" s="1"/>
  <c r="C2314"/>
  <c r="D2314" s="1"/>
  <c r="C2313"/>
  <c r="D2313" s="1"/>
  <c r="C2312"/>
  <c r="D2312" s="1"/>
  <c r="C2311"/>
  <c r="D2311" s="1"/>
  <c r="C2310"/>
  <c r="D2310" s="1"/>
  <c r="C2309"/>
  <c r="D2309" s="1"/>
  <c r="C2308"/>
  <c r="D2308" s="1"/>
  <c r="C2307"/>
  <c r="D2307" s="1"/>
  <c r="C2306"/>
  <c r="D2306" s="1"/>
  <c r="C2305"/>
  <c r="D2305" s="1"/>
  <c r="C2304"/>
  <c r="D2304" s="1"/>
  <c r="C2303"/>
  <c r="D2303" s="1"/>
  <c r="C2302"/>
  <c r="D2302" s="1"/>
  <c r="C2301"/>
  <c r="D2301" s="1"/>
  <c r="C2300"/>
  <c r="D2300" s="1"/>
  <c r="C2299"/>
  <c r="D2299" s="1"/>
  <c r="C2298"/>
  <c r="D2298" s="1"/>
  <c r="C2297"/>
  <c r="D2297" s="1"/>
  <c r="C2296"/>
  <c r="D2296" s="1"/>
  <c r="C2295"/>
  <c r="D2295" s="1"/>
  <c r="C2294"/>
  <c r="D2294" s="1"/>
  <c r="C2293"/>
  <c r="D2293" s="1"/>
  <c r="C2292"/>
  <c r="D2292" s="1"/>
  <c r="C2291"/>
  <c r="D2291" s="1"/>
  <c r="C2290"/>
  <c r="D2290" s="1"/>
  <c r="C2289"/>
  <c r="D2289" s="1"/>
  <c r="C2288"/>
  <c r="D2288" s="1"/>
  <c r="C2287"/>
  <c r="D2287" s="1"/>
  <c r="C2286"/>
  <c r="D2286" s="1"/>
  <c r="C2285"/>
  <c r="D2285" s="1"/>
  <c r="C2284"/>
  <c r="D2284" s="1"/>
  <c r="C2283"/>
  <c r="D2283" s="1"/>
  <c r="C2282"/>
  <c r="D2282" s="1"/>
  <c r="C2281"/>
  <c r="D2281" s="1"/>
  <c r="C2280"/>
  <c r="D2280" s="1"/>
  <c r="C2279"/>
  <c r="D2279" s="1"/>
  <c r="C2278"/>
  <c r="D2278" s="1"/>
  <c r="C2277"/>
  <c r="D2277" s="1"/>
  <c r="C2276"/>
  <c r="D2276" s="1"/>
  <c r="C2275"/>
  <c r="D2275" s="1"/>
  <c r="C2274"/>
  <c r="D2274" s="1"/>
  <c r="C2273"/>
  <c r="D2273" s="1"/>
  <c r="C2272"/>
  <c r="D2272" s="1"/>
  <c r="C2271"/>
  <c r="D2271" s="1"/>
  <c r="C2270"/>
  <c r="D2270" s="1"/>
  <c r="C2269"/>
  <c r="D2269" s="1"/>
  <c r="C2268"/>
  <c r="D2268" s="1"/>
  <c r="C2267"/>
  <c r="D2267" s="1"/>
  <c r="C2266"/>
  <c r="D2266" s="1"/>
  <c r="C2265"/>
  <c r="D2265" s="1"/>
  <c r="C2264"/>
  <c r="D2264" s="1"/>
  <c r="C2263"/>
  <c r="D2263" s="1"/>
  <c r="C2262"/>
  <c r="D2262" s="1"/>
  <c r="C2261"/>
  <c r="D2261" s="1"/>
  <c r="C2260"/>
  <c r="D2260" s="1"/>
  <c r="C2259"/>
  <c r="D2259" s="1"/>
  <c r="C2258"/>
  <c r="D2258" s="1"/>
  <c r="C2257"/>
  <c r="D2257" s="1"/>
  <c r="C2256"/>
  <c r="D2256" s="1"/>
  <c r="C2255"/>
  <c r="D2255" s="1"/>
  <c r="C2254"/>
  <c r="D2254" s="1"/>
  <c r="C2253"/>
  <c r="D2253" s="1"/>
  <c r="C2252"/>
  <c r="D2252" s="1"/>
  <c r="C2251"/>
  <c r="D2251" s="1"/>
  <c r="C2250"/>
  <c r="D2250" s="1"/>
  <c r="C2249"/>
  <c r="D2249" s="1"/>
  <c r="C2248"/>
  <c r="D2248" s="1"/>
  <c r="C2247"/>
  <c r="D2247" s="1"/>
  <c r="C2246"/>
  <c r="D2246" s="1"/>
  <c r="C2245"/>
  <c r="D2245" s="1"/>
  <c r="C2244"/>
  <c r="D2244" s="1"/>
  <c r="C2243"/>
  <c r="D2243" s="1"/>
  <c r="C2242"/>
  <c r="D2242" s="1"/>
  <c r="C2241"/>
  <c r="D2241" s="1"/>
  <c r="C2240"/>
  <c r="D2240" s="1"/>
  <c r="C2239"/>
  <c r="D2239" s="1"/>
  <c r="C2238"/>
  <c r="D2238" s="1"/>
  <c r="C2237"/>
  <c r="D2237" s="1"/>
  <c r="C2236"/>
  <c r="D2236" s="1"/>
  <c r="C2235"/>
  <c r="D2235" s="1"/>
  <c r="C2234"/>
  <c r="D2234" s="1"/>
  <c r="C2233"/>
  <c r="D2233" s="1"/>
  <c r="C2232"/>
  <c r="D2232" s="1"/>
  <c r="C2231"/>
  <c r="D2231" s="1"/>
  <c r="C2230"/>
  <c r="D2230" s="1"/>
  <c r="C2229"/>
  <c r="D2229" s="1"/>
  <c r="C2228"/>
  <c r="D2228" s="1"/>
  <c r="C2227"/>
  <c r="D2227" s="1"/>
  <c r="C2226"/>
  <c r="D2226" s="1"/>
  <c r="C2225"/>
  <c r="D2225" s="1"/>
  <c r="C2224"/>
  <c r="D2224" s="1"/>
  <c r="C2223"/>
  <c r="D2223" s="1"/>
  <c r="C2222"/>
  <c r="D2222" s="1"/>
  <c r="C2221"/>
  <c r="D2221" s="1"/>
  <c r="C2220"/>
  <c r="D2220" s="1"/>
  <c r="C2219"/>
  <c r="D2219" s="1"/>
  <c r="C2218"/>
  <c r="D2218" s="1"/>
  <c r="C2217"/>
  <c r="D2217" s="1"/>
  <c r="C2216"/>
  <c r="D2216" s="1"/>
  <c r="C2215"/>
  <c r="D2215" s="1"/>
  <c r="C2214"/>
  <c r="D2214" s="1"/>
  <c r="C2213"/>
  <c r="D2213" s="1"/>
  <c r="C2212"/>
  <c r="D2212" s="1"/>
  <c r="C2211"/>
  <c r="D2211" s="1"/>
  <c r="C2210"/>
  <c r="D2210" s="1"/>
  <c r="C2209"/>
  <c r="D2209" s="1"/>
  <c r="C2208"/>
  <c r="D2208" s="1"/>
  <c r="C2207"/>
  <c r="D2207" s="1"/>
  <c r="C2206"/>
  <c r="D2206" s="1"/>
  <c r="C2205"/>
  <c r="D2205" s="1"/>
  <c r="C2204"/>
  <c r="D2204" s="1"/>
  <c r="C2203"/>
  <c r="D2203" s="1"/>
  <c r="C2202"/>
  <c r="D2202" s="1"/>
  <c r="C2201"/>
  <c r="D2201" s="1"/>
  <c r="C2200"/>
  <c r="D2200" s="1"/>
  <c r="C2199"/>
  <c r="D2199" s="1"/>
  <c r="C2198"/>
  <c r="D2198" s="1"/>
  <c r="C2197"/>
  <c r="D2197" s="1"/>
  <c r="C2196"/>
  <c r="D2196" s="1"/>
  <c r="C2195"/>
  <c r="D2195" s="1"/>
  <c r="D2194"/>
  <c r="C2194"/>
  <c r="B2194"/>
  <c r="C2193"/>
  <c r="D2193" s="1"/>
  <c r="D2192"/>
  <c r="C2192"/>
  <c r="B2192"/>
  <c r="C2191"/>
  <c r="D2191" s="1"/>
  <c r="D2190"/>
  <c r="C2190"/>
  <c r="B2190"/>
  <c r="C2189"/>
  <c r="D2189" s="1"/>
  <c r="D2188"/>
  <c r="C2188"/>
  <c r="B2188"/>
  <c r="C2187"/>
  <c r="D2187" s="1"/>
  <c r="D2186"/>
  <c r="C2186"/>
  <c r="B2186"/>
  <c r="C2185"/>
  <c r="D2185" s="1"/>
  <c r="D2184"/>
  <c r="C2184"/>
  <c r="B2184"/>
  <c r="C2183"/>
  <c r="D2183" s="1"/>
  <c r="D2182"/>
  <c r="C2182"/>
  <c r="B2182"/>
  <c r="C2181"/>
  <c r="D2181" s="1"/>
  <c r="D2180"/>
  <c r="C2180"/>
  <c r="B2180"/>
  <c r="C2179"/>
  <c r="D2179" s="1"/>
  <c r="D2178"/>
  <c r="C2178"/>
  <c r="B2178"/>
  <c r="C2177"/>
  <c r="D2177" s="1"/>
  <c r="D2176"/>
  <c r="C2176"/>
  <c r="B2176"/>
  <c r="C2175"/>
  <c r="D2175" s="1"/>
  <c r="D2174"/>
  <c r="C2174"/>
  <c r="B2174"/>
  <c r="C2173"/>
  <c r="D2173" s="1"/>
  <c r="D2172"/>
  <c r="C2172"/>
  <c r="B2172"/>
  <c r="C2171"/>
  <c r="D2171" s="1"/>
  <c r="D2170"/>
  <c r="C2170"/>
  <c r="B2170"/>
  <c r="C2169"/>
  <c r="D2169" s="1"/>
  <c r="D2168"/>
  <c r="C2168"/>
  <c r="B2168"/>
  <c r="C2167"/>
  <c r="D2167" s="1"/>
  <c r="D2166"/>
  <c r="C2166"/>
  <c r="B2166"/>
  <c r="C2165"/>
  <c r="D2165" s="1"/>
  <c r="D2164"/>
  <c r="C2164"/>
  <c r="B2164"/>
  <c r="C2163"/>
  <c r="D2163" s="1"/>
  <c r="D2162"/>
  <c r="C2162"/>
  <c r="B2162"/>
  <c r="C2161"/>
  <c r="D2161" s="1"/>
  <c r="D2160"/>
  <c r="C2160"/>
  <c r="B2160"/>
  <c r="C2159"/>
  <c r="D2159" s="1"/>
  <c r="D2158"/>
  <c r="C2158"/>
  <c r="B2158"/>
  <c r="C2157"/>
  <c r="D2157" s="1"/>
  <c r="D2156"/>
  <c r="C2156"/>
  <c r="B2156"/>
  <c r="C2155"/>
  <c r="D2155" s="1"/>
  <c r="D2154"/>
  <c r="C2154"/>
  <c r="B2154"/>
  <c r="C2153"/>
  <c r="D2153" s="1"/>
  <c r="D2152"/>
  <c r="C2152"/>
  <c r="B2152"/>
  <c r="C2151"/>
  <c r="D2151" s="1"/>
  <c r="D2150"/>
  <c r="C2150"/>
  <c r="B2150"/>
  <c r="C2149"/>
  <c r="D2149" s="1"/>
  <c r="D2148"/>
  <c r="C2148"/>
  <c r="B2148"/>
  <c r="C2147"/>
  <c r="D2147" s="1"/>
  <c r="D2146"/>
  <c r="C2146"/>
  <c r="B2146"/>
  <c r="C2145"/>
  <c r="D2145" s="1"/>
  <c r="D2144"/>
  <c r="C2144"/>
  <c r="B2144"/>
  <c r="C2143"/>
  <c r="D2143" s="1"/>
  <c r="D2142"/>
  <c r="C2142"/>
  <c r="B2142"/>
  <c r="C2141"/>
  <c r="D2141" s="1"/>
  <c r="D2140"/>
  <c r="C2140"/>
  <c r="B2140"/>
  <c r="C2139"/>
  <c r="D2139" s="1"/>
  <c r="D2138"/>
  <c r="C2138"/>
  <c r="B2138"/>
  <c r="C2137"/>
  <c r="D2137" s="1"/>
  <c r="D2136"/>
  <c r="C2136"/>
  <c r="B2136"/>
  <c r="C2135"/>
  <c r="D2135" s="1"/>
  <c r="D2134"/>
  <c r="C2134"/>
  <c r="B2134"/>
  <c r="C2133"/>
  <c r="D2133" s="1"/>
  <c r="D2132"/>
  <c r="C2132"/>
  <c r="B2132"/>
  <c r="C2131"/>
  <c r="D2131" s="1"/>
  <c r="D2130"/>
  <c r="C2130"/>
  <c r="B2130"/>
  <c r="C2129"/>
  <c r="D2129" s="1"/>
  <c r="D2128"/>
  <c r="C2128"/>
  <c r="B2128"/>
  <c r="C2127"/>
  <c r="D2127" s="1"/>
  <c r="D2126"/>
  <c r="C2126"/>
  <c r="B2126"/>
  <c r="C2125"/>
  <c r="D2125" s="1"/>
  <c r="D2124"/>
  <c r="C2124"/>
  <c r="B2124"/>
  <c r="C2123"/>
  <c r="D2123" s="1"/>
  <c r="D2122"/>
  <c r="C2122"/>
  <c r="B2122"/>
  <c r="C2121"/>
  <c r="D2121" s="1"/>
  <c r="D2120"/>
  <c r="C2120"/>
  <c r="B2120"/>
  <c r="C2119"/>
  <c r="D2119" s="1"/>
  <c r="D2118"/>
  <c r="C2118"/>
  <c r="B2118"/>
  <c r="C2117"/>
  <c r="D2117" s="1"/>
  <c r="D2116"/>
  <c r="C2116"/>
  <c r="B2116"/>
  <c r="C2115"/>
  <c r="D2115" s="1"/>
  <c r="D2114"/>
  <c r="C2114"/>
  <c r="B2114"/>
  <c r="C2113"/>
  <c r="D2113" s="1"/>
  <c r="D2112"/>
  <c r="C2112"/>
  <c r="B2112"/>
  <c r="C2111"/>
  <c r="D2111" s="1"/>
  <c r="D2110"/>
  <c r="C2110"/>
  <c r="B2110"/>
  <c r="C2109"/>
  <c r="D2109" s="1"/>
  <c r="D2108"/>
  <c r="C2108"/>
  <c r="B2108"/>
  <c r="C2107"/>
  <c r="D2107" s="1"/>
  <c r="D2106"/>
  <c r="C2106"/>
  <c r="B2106"/>
  <c r="C2105"/>
  <c r="D2105" s="1"/>
  <c r="D2104"/>
  <c r="C2104"/>
  <c r="B2104"/>
  <c r="C2103"/>
  <c r="D2103" s="1"/>
  <c r="D2102"/>
  <c r="C2102"/>
  <c r="B2102"/>
  <c r="C2101"/>
  <c r="D2101" s="1"/>
  <c r="D2100"/>
  <c r="C2100"/>
  <c r="B2100"/>
  <c r="C2099"/>
  <c r="D2099" s="1"/>
  <c r="D2098"/>
  <c r="C2098"/>
  <c r="B2098"/>
  <c r="C2097"/>
  <c r="D2097" s="1"/>
  <c r="D2096"/>
  <c r="C2096"/>
  <c r="B2096"/>
  <c r="C2095"/>
  <c r="D2095" s="1"/>
  <c r="D2094"/>
  <c r="C2094"/>
  <c r="B2094"/>
  <c r="C2093"/>
  <c r="D2093" s="1"/>
  <c r="D2092"/>
  <c r="C2092"/>
  <c r="B2092"/>
  <c r="C2091"/>
  <c r="D2091" s="1"/>
  <c r="D2090"/>
  <c r="C2090"/>
  <c r="B2090"/>
  <c r="C2089"/>
  <c r="D2089" s="1"/>
  <c r="D2088"/>
  <c r="C2088"/>
  <c r="B2088"/>
  <c r="C2087"/>
  <c r="D2087" s="1"/>
  <c r="D2086"/>
  <c r="C2086"/>
  <c r="B2086"/>
  <c r="C2085"/>
  <c r="D2085" s="1"/>
  <c r="D2084"/>
  <c r="C2084"/>
  <c r="B2084"/>
  <c r="C2083"/>
  <c r="D2083" s="1"/>
  <c r="D2082"/>
  <c r="C2082"/>
  <c r="B2082"/>
  <c r="C2081"/>
  <c r="D2081" s="1"/>
  <c r="D2080"/>
  <c r="C2080"/>
  <c r="B2080"/>
  <c r="C2079"/>
  <c r="D2079" s="1"/>
  <c r="D2078"/>
  <c r="C2078"/>
  <c r="B2078"/>
  <c r="C2077"/>
  <c r="D2077" s="1"/>
  <c r="D2076"/>
  <c r="C2076"/>
  <c r="B2076"/>
  <c r="C2075"/>
  <c r="D2075" s="1"/>
  <c r="D2074"/>
  <c r="C2074"/>
  <c r="B2074"/>
  <c r="C2073"/>
  <c r="D2073" s="1"/>
  <c r="D2072"/>
  <c r="C2072"/>
  <c r="B2072"/>
  <c r="C2071"/>
  <c r="D2071" s="1"/>
  <c r="D2070"/>
  <c r="C2070"/>
  <c r="B2070"/>
  <c r="C2069"/>
  <c r="D2069" s="1"/>
  <c r="D2068"/>
  <c r="C2068"/>
  <c r="B2068"/>
  <c r="C2067"/>
  <c r="D2067" s="1"/>
  <c r="D2066"/>
  <c r="C2066"/>
  <c r="B2066"/>
  <c r="C2065"/>
  <c r="D2065" s="1"/>
  <c r="D2064"/>
  <c r="C2064"/>
  <c r="B2064"/>
  <c r="C2063"/>
  <c r="D2063" s="1"/>
  <c r="D2062"/>
  <c r="C2062"/>
  <c r="B2062"/>
  <c r="C2061"/>
  <c r="D2061" s="1"/>
  <c r="D2060"/>
  <c r="C2060"/>
  <c r="B2060"/>
  <c r="C2059"/>
  <c r="D2059" s="1"/>
  <c r="D2058"/>
  <c r="C2058"/>
  <c r="B2058"/>
  <c r="C2057"/>
  <c r="D2057" s="1"/>
  <c r="D2056"/>
  <c r="C2056"/>
  <c r="B2056"/>
  <c r="C2055"/>
  <c r="D2055" s="1"/>
  <c r="D2054"/>
  <c r="C2054"/>
  <c r="B2054"/>
  <c r="C2053"/>
  <c r="D2053" s="1"/>
  <c r="D2052"/>
  <c r="C2052"/>
  <c r="B2052"/>
  <c r="C2051"/>
  <c r="D2051" s="1"/>
  <c r="D2050"/>
  <c r="C2050"/>
  <c r="B2050"/>
  <c r="C2049"/>
  <c r="D2049" s="1"/>
  <c r="D2048"/>
  <c r="C2048"/>
  <c r="B2048"/>
  <c r="C2047"/>
  <c r="D2047" s="1"/>
  <c r="D2046"/>
  <c r="C2046"/>
  <c r="B2046"/>
  <c r="C2045"/>
  <c r="D2045" s="1"/>
  <c r="D2044"/>
  <c r="C2044"/>
  <c r="B2044"/>
  <c r="C2043"/>
  <c r="D2043" s="1"/>
  <c r="D2042"/>
  <c r="C2042"/>
  <c r="B2042"/>
  <c r="C2041"/>
  <c r="D2041" s="1"/>
  <c r="D2040"/>
  <c r="C2040"/>
  <c r="B2040"/>
  <c r="C2039"/>
  <c r="D2039" s="1"/>
  <c r="D2038"/>
  <c r="C2038"/>
  <c r="B2038"/>
  <c r="C2037"/>
  <c r="D2037" s="1"/>
  <c r="D2036"/>
  <c r="C2036"/>
  <c r="B2036"/>
  <c r="C2035"/>
  <c r="D2035" s="1"/>
  <c r="D2034"/>
  <c r="C2034"/>
  <c r="B2034"/>
  <c r="C2033"/>
  <c r="D2033" s="1"/>
  <c r="D2032"/>
  <c r="C2032"/>
  <c r="B2032"/>
  <c r="C2031"/>
  <c r="D2031" s="1"/>
  <c r="D2030"/>
  <c r="C2030"/>
  <c r="B2030"/>
  <c r="C2029"/>
  <c r="D2029" s="1"/>
  <c r="D2028"/>
  <c r="C2028"/>
  <c r="B2028"/>
  <c r="C2027"/>
  <c r="D2027" s="1"/>
  <c r="D2026"/>
  <c r="C2026"/>
  <c r="B2026"/>
  <c r="C2025"/>
  <c r="D2025" s="1"/>
  <c r="D2024"/>
  <c r="C2024"/>
  <c r="B2024"/>
  <c r="C2023"/>
  <c r="D2023" s="1"/>
  <c r="D2022"/>
  <c r="C2022"/>
  <c r="B2022"/>
  <c r="C2021"/>
  <c r="D2021" s="1"/>
  <c r="D2020"/>
  <c r="C2020"/>
  <c r="B2020"/>
  <c r="C2019"/>
  <c r="D2019" s="1"/>
  <c r="D2018"/>
  <c r="C2018"/>
  <c r="B2018"/>
  <c r="C2017"/>
  <c r="D2017" s="1"/>
  <c r="D2016"/>
  <c r="C2016"/>
  <c r="B2016"/>
  <c r="C2015"/>
  <c r="D2015" s="1"/>
  <c r="D2014"/>
  <c r="C2014"/>
  <c r="B2014"/>
  <c r="C2013"/>
  <c r="D2013" s="1"/>
  <c r="D2012"/>
  <c r="C2012"/>
  <c r="B2012"/>
  <c r="C2011"/>
  <c r="D2011" s="1"/>
  <c r="D2010"/>
  <c r="C2010"/>
  <c r="B2010"/>
  <c r="C2009"/>
  <c r="D2009" s="1"/>
  <c r="D2008"/>
  <c r="C2008"/>
  <c r="B2008"/>
  <c r="C2007"/>
  <c r="D2007" s="1"/>
  <c r="D2006"/>
  <c r="C2006"/>
  <c r="B2006"/>
  <c r="C2005"/>
  <c r="D2005" s="1"/>
  <c r="D2004"/>
  <c r="C2004"/>
  <c r="B2004"/>
  <c r="C2003"/>
  <c r="D2003" s="1"/>
  <c r="D2002"/>
  <c r="C2002"/>
  <c r="B2002"/>
  <c r="C2001"/>
  <c r="D2001" s="1"/>
  <c r="D2000"/>
  <c r="C2000"/>
  <c r="B2000"/>
  <c r="C1999"/>
  <c r="D1999" s="1"/>
  <c r="D1998"/>
  <c r="C1998"/>
  <c r="B1998"/>
  <c r="C1997"/>
  <c r="D1997" s="1"/>
  <c r="D1996"/>
  <c r="C1996"/>
  <c r="B1996"/>
  <c r="C1995"/>
  <c r="D1995" s="1"/>
  <c r="D1994"/>
  <c r="C1994"/>
  <c r="B1994"/>
  <c r="C1993"/>
  <c r="D1993" s="1"/>
  <c r="D1992"/>
  <c r="C1992"/>
  <c r="B1992"/>
  <c r="C1991"/>
  <c r="D1991" s="1"/>
  <c r="D1990"/>
  <c r="C1990"/>
  <c r="B1990"/>
  <c r="C1989"/>
  <c r="D1989" s="1"/>
  <c r="D1988"/>
  <c r="C1988"/>
  <c r="B1988"/>
  <c r="C1987"/>
  <c r="D1987" s="1"/>
  <c r="D1986"/>
  <c r="C1986"/>
  <c r="B1986"/>
  <c r="C1985"/>
  <c r="D1985" s="1"/>
  <c r="D1984"/>
  <c r="C1984"/>
  <c r="B1984"/>
  <c r="C1983"/>
  <c r="D1983" s="1"/>
  <c r="D1982"/>
  <c r="C1982"/>
  <c r="B1982"/>
  <c r="C1981"/>
  <c r="D1981" s="1"/>
  <c r="D1980"/>
  <c r="C1980"/>
  <c r="B1980"/>
  <c r="C1979"/>
  <c r="D1979" s="1"/>
  <c r="D1978"/>
  <c r="C1978"/>
  <c r="B1978"/>
  <c r="C1977"/>
  <c r="D1977" s="1"/>
  <c r="D1976"/>
  <c r="C1976"/>
  <c r="B1976"/>
  <c r="C1975"/>
  <c r="D1975" s="1"/>
  <c r="D1974"/>
  <c r="C1974"/>
  <c r="B1974"/>
  <c r="C1973"/>
  <c r="D1973" s="1"/>
  <c r="D1972"/>
  <c r="C1972"/>
  <c r="B1972"/>
  <c r="C1971"/>
  <c r="D1971" s="1"/>
  <c r="D1970"/>
  <c r="C1970"/>
  <c r="B1970"/>
  <c r="C1969"/>
  <c r="D1969" s="1"/>
  <c r="D1968"/>
  <c r="C1968"/>
  <c r="B1968"/>
  <c r="C1967"/>
  <c r="D1967" s="1"/>
  <c r="D1966"/>
  <c r="C1966"/>
  <c r="B1966"/>
  <c r="C1965"/>
  <c r="D1965" s="1"/>
  <c r="D1964"/>
  <c r="C1964"/>
  <c r="B1964"/>
  <c r="C1963"/>
  <c r="D1963" s="1"/>
  <c r="D1962"/>
  <c r="C1962"/>
  <c r="B1962"/>
  <c r="C1961"/>
  <c r="D1961" s="1"/>
  <c r="D1960"/>
  <c r="C1960"/>
  <c r="B1960"/>
  <c r="C1959"/>
  <c r="D1959" s="1"/>
  <c r="D1958"/>
  <c r="C1958"/>
  <c r="B1958"/>
  <c r="C1957"/>
  <c r="D1957" s="1"/>
  <c r="D1956"/>
  <c r="C1956"/>
  <c r="B1956"/>
  <c r="C1955"/>
  <c r="D1955" s="1"/>
  <c r="D1954"/>
  <c r="C1954"/>
  <c r="B1954"/>
  <c r="C1953"/>
  <c r="D1953" s="1"/>
  <c r="D1952"/>
  <c r="C1952"/>
  <c r="B1952"/>
  <c r="C1951"/>
  <c r="D1951" s="1"/>
  <c r="D1950"/>
  <c r="C1950"/>
  <c r="B1950"/>
  <c r="C1949"/>
  <c r="D1949" s="1"/>
  <c r="D1948"/>
  <c r="C1948"/>
  <c r="B1948"/>
  <c r="C1947"/>
  <c r="D1947" s="1"/>
  <c r="D1946"/>
  <c r="C1946"/>
  <c r="B1946"/>
  <c r="C1945"/>
  <c r="D1945" s="1"/>
  <c r="D1944"/>
  <c r="C1944"/>
  <c r="B1944"/>
  <c r="C1943"/>
  <c r="D1943" s="1"/>
  <c r="D1942"/>
  <c r="C1942"/>
  <c r="B1942"/>
  <c r="C1941"/>
  <c r="D1941" s="1"/>
  <c r="D1940"/>
  <c r="C1940"/>
  <c r="B1940"/>
  <c r="C1939"/>
  <c r="D1939" s="1"/>
  <c r="D1938"/>
  <c r="C1938"/>
  <c r="B1938"/>
  <c r="C1937"/>
  <c r="D1937" s="1"/>
  <c r="D1936"/>
  <c r="C1936"/>
  <c r="B1936"/>
  <c r="C1935"/>
  <c r="D1935" s="1"/>
  <c r="D1934"/>
  <c r="C1934"/>
  <c r="B1934"/>
  <c r="C1933"/>
  <c r="D1933" s="1"/>
  <c r="D1932"/>
  <c r="C1932"/>
  <c r="B1932"/>
  <c r="C1931"/>
  <c r="D1931" s="1"/>
  <c r="D1930"/>
  <c r="C1930"/>
  <c r="B1930"/>
  <c r="C1929"/>
  <c r="D1929" s="1"/>
  <c r="D1928"/>
  <c r="C1928"/>
  <c r="B1928"/>
  <c r="C1927"/>
  <c r="D1927" s="1"/>
  <c r="D1926"/>
  <c r="C1926"/>
  <c r="B1926"/>
  <c r="C1925"/>
  <c r="D1925" s="1"/>
  <c r="D1924"/>
  <c r="C1924"/>
  <c r="B1924"/>
  <c r="C1923"/>
  <c r="D1923" s="1"/>
  <c r="D1922"/>
  <c r="C1922"/>
  <c r="B1922"/>
  <c r="C1921"/>
  <c r="D1921" s="1"/>
  <c r="D1920"/>
  <c r="C1920"/>
  <c r="B1920"/>
  <c r="C1919"/>
  <c r="D1919" s="1"/>
  <c r="D1918"/>
  <c r="C1918"/>
  <c r="B1918"/>
  <c r="C1917"/>
  <c r="D1917" s="1"/>
  <c r="D1916"/>
  <c r="C1916"/>
  <c r="B1916"/>
  <c r="C1915"/>
  <c r="D1915" s="1"/>
  <c r="D1914"/>
  <c r="C1914"/>
  <c r="B1914"/>
  <c r="C1913"/>
  <c r="D1913" s="1"/>
  <c r="D1912"/>
  <c r="C1912"/>
  <c r="B1912"/>
  <c r="C1911"/>
  <c r="D1911" s="1"/>
  <c r="D1910"/>
  <c r="C1910"/>
  <c r="B1910"/>
  <c r="C1909"/>
  <c r="D1909" s="1"/>
  <c r="D1908"/>
  <c r="C1908"/>
  <c r="B1908"/>
  <c r="C1907"/>
  <c r="D1907" s="1"/>
  <c r="D1906"/>
  <c r="C1906"/>
  <c r="B1906"/>
  <c r="C1905"/>
  <c r="D1905" s="1"/>
  <c r="D1904"/>
  <c r="C1904"/>
  <c r="B1904"/>
  <c r="C1903"/>
  <c r="D1903" s="1"/>
  <c r="D1902"/>
  <c r="C1902"/>
  <c r="B1902"/>
  <c r="C1901"/>
  <c r="D1901" s="1"/>
  <c r="D1900"/>
  <c r="C1900"/>
  <c r="B1900"/>
  <c r="C1899"/>
  <c r="D1899" s="1"/>
  <c r="D1898"/>
  <c r="C1898"/>
  <c r="B1898"/>
  <c r="C1897"/>
  <c r="D1897" s="1"/>
  <c r="D1896"/>
  <c r="C1896"/>
  <c r="B1896"/>
  <c r="C1895"/>
  <c r="D1895" s="1"/>
  <c r="D1894"/>
  <c r="C1894"/>
  <c r="B1894"/>
  <c r="C1893"/>
  <c r="D1893" s="1"/>
  <c r="D1892"/>
  <c r="C1892"/>
  <c r="B1892"/>
  <c r="C1891"/>
  <c r="D1891" s="1"/>
  <c r="D1890"/>
  <c r="C1890"/>
  <c r="B1890"/>
  <c r="C1889"/>
  <c r="D1889" s="1"/>
  <c r="D1888"/>
  <c r="C1888"/>
  <c r="B1888"/>
  <c r="C1887"/>
  <c r="D1887" s="1"/>
  <c r="D1886"/>
  <c r="C1886"/>
  <c r="B1886"/>
  <c r="C1885"/>
  <c r="D1885" s="1"/>
  <c r="D1884"/>
  <c r="C1884"/>
  <c r="B1884"/>
  <c r="C1883"/>
  <c r="D1883" s="1"/>
  <c r="D1882"/>
  <c r="C1882"/>
  <c r="B1882"/>
  <c r="C1881"/>
  <c r="D1881" s="1"/>
  <c r="D1880"/>
  <c r="C1880"/>
  <c r="B1880"/>
  <c r="C1879"/>
  <c r="D1879" s="1"/>
  <c r="D1878"/>
  <c r="C1878"/>
  <c r="B1878"/>
  <c r="C1877"/>
  <c r="D1877" s="1"/>
  <c r="D1876"/>
  <c r="C1876"/>
  <c r="B1876"/>
  <c r="C1875"/>
  <c r="D1875" s="1"/>
  <c r="D1874"/>
  <c r="C1874"/>
  <c r="B1874"/>
  <c r="C1873"/>
  <c r="D1873" s="1"/>
  <c r="D1872"/>
  <c r="C1872"/>
  <c r="B1872"/>
  <c r="C1871"/>
  <c r="D1871" s="1"/>
  <c r="D1870"/>
  <c r="C1870"/>
  <c r="B1870"/>
  <c r="C1869"/>
  <c r="D1869" s="1"/>
  <c r="D1868"/>
  <c r="C1868"/>
  <c r="B1868"/>
  <c r="C1867"/>
  <c r="D1867" s="1"/>
  <c r="D1866"/>
  <c r="C1866"/>
  <c r="B1866"/>
  <c r="C1865"/>
  <c r="D1865" s="1"/>
  <c r="D1864"/>
  <c r="C1864"/>
  <c r="B1864"/>
  <c r="C1863"/>
  <c r="D1863" s="1"/>
  <c r="D1862"/>
  <c r="C1862"/>
  <c r="B1862"/>
  <c r="C1861"/>
  <c r="D1861" s="1"/>
  <c r="D1860"/>
  <c r="C1860"/>
  <c r="B1860"/>
  <c r="C1859"/>
  <c r="D1859" s="1"/>
  <c r="D1858"/>
  <c r="C1858"/>
  <c r="B1858"/>
  <c r="C1857"/>
  <c r="D1857" s="1"/>
  <c r="D1856"/>
  <c r="C1856"/>
  <c r="B1856"/>
  <c r="C1855"/>
  <c r="D1855" s="1"/>
  <c r="D1854"/>
  <c r="C1854"/>
  <c r="B1854"/>
  <c r="C1853"/>
  <c r="D1853" s="1"/>
  <c r="D1852"/>
  <c r="C1852"/>
  <c r="B1852"/>
  <c r="C1851"/>
  <c r="D1851" s="1"/>
  <c r="D1850"/>
  <c r="C1850"/>
  <c r="B1850"/>
  <c r="C1849"/>
  <c r="D1849" s="1"/>
  <c r="D1848"/>
  <c r="C1848"/>
  <c r="B1848"/>
  <c r="C1847"/>
  <c r="D1847" s="1"/>
  <c r="D1846"/>
  <c r="C1846"/>
  <c r="B1846"/>
  <c r="C1845"/>
  <c r="D1845" s="1"/>
  <c r="D1844"/>
  <c r="C1844"/>
  <c r="B1844"/>
  <c r="C1843"/>
  <c r="D1843" s="1"/>
  <c r="D1842"/>
  <c r="C1842"/>
  <c r="B1842"/>
  <c r="C1841"/>
  <c r="D1841" s="1"/>
  <c r="D1840"/>
  <c r="C1840"/>
  <c r="B1840"/>
  <c r="C1839"/>
  <c r="D1839" s="1"/>
  <c r="D1838"/>
  <c r="C1838"/>
  <c r="B1838"/>
  <c r="C1837"/>
  <c r="D1837" s="1"/>
  <c r="D1836"/>
  <c r="C1836"/>
  <c r="B1836"/>
  <c r="C1835"/>
  <c r="D1835" s="1"/>
  <c r="D1834"/>
  <c r="C1834"/>
  <c r="B1834"/>
  <c r="C1833"/>
  <c r="D1833" s="1"/>
  <c r="D1832"/>
  <c r="C1832"/>
  <c r="B1832"/>
  <c r="C1831"/>
  <c r="D1831" s="1"/>
  <c r="D1830"/>
  <c r="C1830"/>
  <c r="B1830"/>
  <c r="C1829"/>
  <c r="D1829" s="1"/>
  <c r="D1828"/>
  <c r="C1828"/>
  <c r="B1828"/>
  <c r="C1827"/>
  <c r="D1827" s="1"/>
  <c r="D1826"/>
  <c r="C1826"/>
  <c r="B1826"/>
  <c r="C1825"/>
  <c r="D1825" s="1"/>
  <c r="D1824"/>
  <c r="C1824"/>
  <c r="B1824"/>
  <c r="C1823"/>
  <c r="D1823" s="1"/>
  <c r="D1822"/>
  <c r="C1822"/>
  <c r="B1822"/>
  <c r="C1821"/>
  <c r="D1821" s="1"/>
  <c r="D1820"/>
  <c r="C1820"/>
  <c r="B1820"/>
  <c r="C1819"/>
  <c r="D1819" s="1"/>
  <c r="D1818"/>
  <c r="C1818"/>
  <c r="B1818"/>
  <c r="C1817"/>
  <c r="D1817" s="1"/>
  <c r="D1816"/>
  <c r="C1816"/>
  <c r="B1816"/>
  <c r="C1815"/>
  <c r="D1815" s="1"/>
  <c r="D1814"/>
  <c r="C1814"/>
  <c r="B1814"/>
  <c r="C1813"/>
  <c r="D1813" s="1"/>
  <c r="D1812"/>
  <c r="C1812"/>
  <c r="B1812"/>
  <c r="C1811"/>
  <c r="D1811" s="1"/>
  <c r="D1810"/>
  <c r="C1810"/>
  <c r="B1810"/>
  <c r="C1809"/>
  <c r="D1809" s="1"/>
  <c r="D1808"/>
  <c r="C1808"/>
  <c r="B1808"/>
  <c r="C1807"/>
  <c r="D1807" s="1"/>
  <c r="D1806"/>
  <c r="C1806"/>
  <c r="B1806"/>
  <c r="C1805"/>
  <c r="D1805" s="1"/>
  <c r="D1804"/>
  <c r="C1804"/>
  <c r="B1804"/>
  <c r="C1803"/>
  <c r="D1803" s="1"/>
  <c r="D1802"/>
  <c r="C1802"/>
  <c r="B1802"/>
  <c r="C1801"/>
  <c r="D1801" s="1"/>
  <c r="D1800"/>
  <c r="C1800"/>
  <c r="B1800"/>
  <c r="C1799"/>
  <c r="D1799" s="1"/>
  <c r="D1798"/>
  <c r="C1798"/>
  <c r="B1798"/>
  <c r="C1797"/>
  <c r="D1797" s="1"/>
  <c r="D1796"/>
  <c r="C1796"/>
  <c r="B1796"/>
  <c r="C1795"/>
  <c r="D1795" s="1"/>
  <c r="D1794"/>
  <c r="C1794"/>
  <c r="B1794"/>
  <c r="C1793"/>
  <c r="D1793" s="1"/>
  <c r="D1792"/>
  <c r="C1792"/>
  <c r="B1792"/>
  <c r="C1791"/>
  <c r="D1791" s="1"/>
  <c r="D1790"/>
  <c r="C1790"/>
  <c r="B1790"/>
  <c r="C1789"/>
  <c r="D1789" s="1"/>
  <c r="D1788"/>
  <c r="C1788"/>
  <c r="B1788"/>
  <c r="C1787"/>
  <c r="D1787" s="1"/>
  <c r="D1786"/>
  <c r="C1786"/>
  <c r="B1786"/>
  <c r="C1785"/>
  <c r="D1785" s="1"/>
  <c r="D1784"/>
  <c r="C1784"/>
  <c r="B1784"/>
  <c r="C1783"/>
  <c r="D1783" s="1"/>
  <c r="D1782"/>
  <c r="C1782"/>
  <c r="B1782"/>
  <c r="C1781"/>
  <c r="D1781" s="1"/>
  <c r="D1780"/>
  <c r="C1780"/>
  <c r="B1780"/>
  <c r="C1779"/>
  <c r="D1779" s="1"/>
  <c r="D1778"/>
  <c r="C1778"/>
  <c r="B1778"/>
  <c r="C1777"/>
  <c r="D1777" s="1"/>
  <c r="D1776"/>
  <c r="C1776"/>
  <c r="B1776"/>
  <c r="C1775"/>
  <c r="D1775" s="1"/>
  <c r="D1774"/>
  <c r="C1774"/>
  <c r="B1774"/>
  <c r="C1773"/>
  <c r="D1773" s="1"/>
  <c r="D1772"/>
  <c r="C1772"/>
  <c r="B1772"/>
  <c r="C1771"/>
  <c r="D1771" s="1"/>
  <c r="D1770"/>
  <c r="C1770"/>
  <c r="B1770"/>
  <c r="C1769"/>
  <c r="D1769" s="1"/>
  <c r="D1768"/>
  <c r="C1768"/>
  <c r="B1768"/>
  <c r="C1767"/>
  <c r="D1767" s="1"/>
  <c r="D1766"/>
  <c r="C1766"/>
  <c r="B1766"/>
  <c r="C1765"/>
  <c r="D1765" s="1"/>
  <c r="D1764"/>
  <c r="C1764"/>
  <c r="B1764"/>
  <c r="C1763"/>
  <c r="D1763" s="1"/>
  <c r="D1762"/>
  <c r="C1762"/>
  <c r="B1762"/>
  <c r="C1761"/>
  <c r="D1761" s="1"/>
  <c r="D1760"/>
  <c r="C1760"/>
  <c r="B1760"/>
  <c r="C1759"/>
  <c r="D1759" s="1"/>
  <c r="D1758"/>
  <c r="C1758"/>
  <c r="B1758"/>
  <c r="C1757"/>
  <c r="D1757" s="1"/>
  <c r="D1756"/>
  <c r="C1756"/>
  <c r="B1756"/>
  <c r="C1755"/>
  <c r="D1755" s="1"/>
  <c r="D1754"/>
  <c r="C1754"/>
  <c r="B1754"/>
  <c r="C1753"/>
  <c r="D1753" s="1"/>
  <c r="D1752"/>
  <c r="C1752"/>
  <c r="B1752"/>
  <c r="C1751"/>
  <c r="D1751" s="1"/>
  <c r="D1750"/>
  <c r="C1750"/>
  <c r="B1750"/>
  <c r="C1749"/>
  <c r="D1749" s="1"/>
  <c r="D1748"/>
  <c r="C1748"/>
  <c r="B1748"/>
  <c r="C1747"/>
  <c r="D1747" s="1"/>
  <c r="D1746"/>
  <c r="C1746"/>
  <c r="B1746"/>
  <c r="C1745"/>
  <c r="D1745" s="1"/>
  <c r="D1744"/>
  <c r="C1744"/>
  <c r="B1744"/>
  <c r="C1743"/>
  <c r="D1743" s="1"/>
  <c r="D1742"/>
  <c r="C1742"/>
  <c r="B1742"/>
  <c r="C1741"/>
  <c r="D1741" s="1"/>
  <c r="D1740"/>
  <c r="C1740"/>
  <c r="B1740"/>
  <c r="C1739"/>
  <c r="D1739" s="1"/>
  <c r="D1738"/>
  <c r="C1738"/>
  <c r="B1738"/>
  <c r="C1737"/>
  <c r="D1737" s="1"/>
  <c r="D1736"/>
  <c r="C1736"/>
  <c r="B1736"/>
  <c r="C1735"/>
  <c r="D1735" s="1"/>
  <c r="D1734"/>
  <c r="C1734"/>
  <c r="B1734"/>
  <c r="C1733"/>
  <c r="D1733" s="1"/>
  <c r="D1732"/>
  <c r="C1732"/>
  <c r="B1732"/>
  <c r="C1731"/>
  <c r="D1731" s="1"/>
  <c r="D1730"/>
  <c r="C1730"/>
  <c r="B1730"/>
  <c r="C1729"/>
  <c r="D1729" s="1"/>
  <c r="D1728"/>
  <c r="C1728"/>
  <c r="B1728"/>
  <c r="C1727"/>
  <c r="D1727" s="1"/>
  <c r="D1726"/>
  <c r="C1726"/>
  <c r="B1726"/>
  <c r="C1725"/>
  <c r="D1725" s="1"/>
  <c r="D1724"/>
  <c r="C1724"/>
  <c r="B1724"/>
  <c r="C1723"/>
  <c r="D1723" s="1"/>
  <c r="D1722"/>
  <c r="C1722"/>
  <c r="B1722"/>
  <c r="C1721"/>
  <c r="D1721" s="1"/>
  <c r="D1720"/>
  <c r="C1720"/>
  <c r="B1720"/>
  <c r="C1719"/>
  <c r="D1719" s="1"/>
  <c r="D1718"/>
  <c r="C1718"/>
  <c r="B1718"/>
  <c r="C1717"/>
  <c r="D1717" s="1"/>
  <c r="D1716"/>
  <c r="C1716"/>
  <c r="B1716"/>
  <c r="C1715"/>
  <c r="D1715" s="1"/>
  <c r="D1714"/>
  <c r="C1714"/>
  <c r="B1714"/>
  <c r="C1713"/>
  <c r="D1713" s="1"/>
  <c r="D1712"/>
  <c r="C1712"/>
  <c r="B1712"/>
  <c r="C1711"/>
  <c r="D1711" s="1"/>
  <c r="D1710"/>
  <c r="C1710"/>
  <c r="B1710"/>
  <c r="C1709"/>
  <c r="D1709" s="1"/>
  <c r="D1708"/>
  <c r="C1708"/>
  <c r="B1708"/>
  <c r="C1707"/>
  <c r="D1707" s="1"/>
  <c r="D1706"/>
  <c r="C1706"/>
  <c r="B1706"/>
  <c r="C1705"/>
  <c r="D1705" s="1"/>
  <c r="D1704"/>
  <c r="C1704"/>
  <c r="B1704"/>
  <c r="C1703"/>
  <c r="D1703" s="1"/>
  <c r="D1702"/>
  <c r="C1702"/>
  <c r="B1702"/>
  <c r="C1701"/>
  <c r="D1701" s="1"/>
  <c r="D1700"/>
  <c r="C1700"/>
  <c r="B1700"/>
  <c r="C1699"/>
  <c r="D1699" s="1"/>
  <c r="D1698"/>
  <c r="C1698"/>
  <c r="B1698"/>
  <c r="C1697"/>
  <c r="D1697" s="1"/>
  <c r="D1696"/>
  <c r="C1696"/>
  <c r="B1696"/>
  <c r="C1695"/>
  <c r="D1695" s="1"/>
  <c r="D1694"/>
  <c r="C1694"/>
  <c r="B1694"/>
  <c r="C1693"/>
  <c r="D1693" s="1"/>
  <c r="D1692"/>
  <c r="C1692"/>
  <c r="B1692"/>
  <c r="C1691"/>
  <c r="D1691" s="1"/>
  <c r="D1690"/>
  <c r="C1690"/>
  <c r="B1690"/>
  <c r="C1689"/>
  <c r="D1689" s="1"/>
  <c r="D1688"/>
  <c r="C1688"/>
  <c r="B1688"/>
  <c r="C1687"/>
  <c r="D1687" s="1"/>
  <c r="D1686"/>
  <c r="C1686"/>
  <c r="B1686"/>
  <c r="C1685"/>
  <c r="D1685" s="1"/>
  <c r="D1684"/>
  <c r="C1684"/>
  <c r="B1684"/>
  <c r="C1683"/>
  <c r="D1683" s="1"/>
  <c r="D1682"/>
  <c r="C1682"/>
  <c r="B1682"/>
  <c r="C1681"/>
  <c r="D1681" s="1"/>
  <c r="D1680"/>
  <c r="C1680"/>
  <c r="B1680"/>
  <c r="C1679"/>
  <c r="D1679" s="1"/>
  <c r="D1678"/>
  <c r="C1678"/>
  <c r="B1678"/>
  <c r="C1677"/>
  <c r="D1677" s="1"/>
  <c r="D1676"/>
  <c r="C1676"/>
  <c r="B1676"/>
  <c r="C1675"/>
  <c r="D1675" s="1"/>
  <c r="D1674"/>
  <c r="C1674"/>
  <c r="B1674"/>
  <c r="C1673"/>
  <c r="D1673" s="1"/>
  <c r="D1672"/>
  <c r="C1672"/>
  <c r="B1672"/>
  <c r="C1671"/>
  <c r="D1671" s="1"/>
  <c r="D1670"/>
  <c r="C1670"/>
  <c r="B1670"/>
  <c r="C1669"/>
  <c r="D1669" s="1"/>
  <c r="D1668"/>
  <c r="C1668"/>
  <c r="B1668"/>
  <c r="C1667"/>
  <c r="D1667" s="1"/>
  <c r="D1666"/>
  <c r="C1666"/>
  <c r="B1666"/>
  <c r="C1665"/>
  <c r="D1665" s="1"/>
  <c r="D1664"/>
  <c r="C1664"/>
  <c r="B1664"/>
  <c r="C1663"/>
  <c r="D1663" s="1"/>
  <c r="D1662"/>
  <c r="C1662"/>
  <c r="B1662"/>
  <c r="C1661"/>
  <c r="D1661" s="1"/>
  <c r="D1660"/>
  <c r="C1660"/>
  <c r="B1660"/>
  <c r="C1659"/>
  <c r="D1659" s="1"/>
  <c r="D1658"/>
  <c r="C1658"/>
  <c r="B1658"/>
  <c r="C1657"/>
  <c r="D1657" s="1"/>
  <c r="D1656"/>
  <c r="C1656"/>
  <c r="B1656"/>
  <c r="C1655"/>
  <c r="D1655" s="1"/>
  <c r="D1654"/>
  <c r="C1654"/>
  <c r="B1654"/>
  <c r="C1653"/>
  <c r="D1653" s="1"/>
  <c r="D1652"/>
  <c r="C1652"/>
  <c r="B1652"/>
  <c r="C1651"/>
  <c r="D1651" s="1"/>
  <c r="D1650"/>
  <c r="C1650"/>
  <c r="B1650"/>
  <c r="C1649"/>
  <c r="D1649" s="1"/>
  <c r="D1648"/>
  <c r="C1648"/>
  <c r="B1648"/>
  <c r="C1647"/>
  <c r="D1647" s="1"/>
  <c r="D1646"/>
  <c r="C1646"/>
  <c r="B1646"/>
  <c r="C1645"/>
  <c r="D1645" s="1"/>
  <c r="D1644"/>
  <c r="C1644"/>
  <c r="B1644"/>
  <c r="C1643"/>
  <c r="D1643" s="1"/>
  <c r="D1642"/>
  <c r="C1642"/>
  <c r="B1642"/>
  <c r="C1641"/>
  <c r="D1641" s="1"/>
  <c r="D1640"/>
  <c r="C1640"/>
  <c r="B1640"/>
  <c r="C1639"/>
  <c r="D1639" s="1"/>
  <c r="D1638"/>
  <c r="C1638"/>
  <c r="B1638"/>
  <c r="C1637"/>
  <c r="D1637" s="1"/>
  <c r="D1636"/>
  <c r="C1636"/>
  <c r="B1636"/>
  <c r="C1635"/>
  <c r="D1635" s="1"/>
  <c r="D1634"/>
  <c r="C1634"/>
  <c r="B1634"/>
  <c r="C1633"/>
  <c r="D1633" s="1"/>
  <c r="D1632"/>
  <c r="C1632"/>
  <c r="B1632"/>
  <c r="C1631"/>
  <c r="D1631" s="1"/>
  <c r="D1630"/>
  <c r="C1630"/>
  <c r="B1630"/>
  <c r="C1629"/>
  <c r="D1629" s="1"/>
  <c r="D1628"/>
  <c r="C1628"/>
  <c r="B1628"/>
  <c r="C1627"/>
  <c r="D1627" s="1"/>
  <c r="D1626"/>
  <c r="C1626"/>
  <c r="B1626"/>
  <c r="C1625"/>
  <c r="D1625" s="1"/>
  <c r="D1624"/>
  <c r="C1624"/>
  <c r="B1624"/>
  <c r="C1623"/>
  <c r="D1623" s="1"/>
  <c r="D1622"/>
  <c r="C1622"/>
  <c r="B1622"/>
  <c r="C1621"/>
  <c r="D1621" s="1"/>
  <c r="D1620"/>
  <c r="C1620"/>
  <c r="B1620"/>
  <c r="C1619"/>
  <c r="D1619" s="1"/>
  <c r="D1618"/>
  <c r="C1618"/>
  <c r="B1618"/>
  <c r="C1617"/>
  <c r="D1617" s="1"/>
  <c r="D1616"/>
  <c r="C1616"/>
  <c r="B1616"/>
  <c r="C1615"/>
  <c r="D1615" s="1"/>
  <c r="D1614"/>
  <c r="C1614"/>
  <c r="B1614"/>
  <c r="C1613"/>
  <c r="D1613" s="1"/>
  <c r="D1612"/>
  <c r="C1612"/>
  <c r="B1612"/>
  <c r="C1611"/>
  <c r="D1611" s="1"/>
  <c r="D1610"/>
  <c r="C1610"/>
  <c r="B1610"/>
  <c r="C1609"/>
  <c r="D1609" s="1"/>
  <c r="D1608"/>
  <c r="C1608"/>
  <c r="B1608"/>
  <c r="C1607"/>
  <c r="D1607" s="1"/>
  <c r="D1606"/>
  <c r="C1606"/>
  <c r="B1606"/>
  <c r="C1605"/>
  <c r="D1605" s="1"/>
  <c r="D1604"/>
  <c r="C1604"/>
  <c r="B1604"/>
  <c r="C1603"/>
  <c r="D1603" s="1"/>
  <c r="D1602"/>
  <c r="C1602"/>
  <c r="B1602"/>
  <c r="C1601"/>
  <c r="D1601" s="1"/>
  <c r="D1600"/>
  <c r="C1600"/>
  <c r="B1600"/>
  <c r="C1599"/>
  <c r="D1599" s="1"/>
  <c r="D1598"/>
  <c r="C1598"/>
  <c r="B1598"/>
  <c r="C1597"/>
  <c r="D1597" s="1"/>
  <c r="D1596"/>
  <c r="C1596"/>
  <c r="B1596"/>
  <c r="C1595"/>
  <c r="D1595" s="1"/>
  <c r="D1594"/>
  <c r="C1594"/>
  <c r="B1594"/>
  <c r="C1593"/>
  <c r="D1593" s="1"/>
  <c r="D1592"/>
  <c r="C1592"/>
  <c r="B1592"/>
  <c r="C1591"/>
  <c r="D1591" s="1"/>
  <c r="D1590"/>
  <c r="C1590"/>
  <c r="B1590"/>
  <c r="C1589"/>
  <c r="D1589" s="1"/>
  <c r="D1588"/>
  <c r="C1588"/>
  <c r="B1588"/>
  <c r="C1587"/>
  <c r="D1587" s="1"/>
  <c r="D1586"/>
  <c r="C1586"/>
  <c r="B1586"/>
  <c r="C1585"/>
  <c r="D1585" s="1"/>
  <c r="D1584"/>
  <c r="C1584"/>
  <c r="B1584"/>
  <c r="C1583"/>
  <c r="D1583" s="1"/>
  <c r="D1582"/>
  <c r="C1582"/>
  <c r="B1582"/>
  <c r="C1581"/>
  <c r="D1581" s="1"/>
  <c r="D1580"/>
  <c r="C1580"/>
  <c r="B1580"/>
  <c r="C1579"/>
  <c r="D1579" s="1"/>
  <c r="D1578"/>
  <c r="C1578"/>
  <c r="B1578"/>
  <c r="C1577"/>
  <c r="D1577" s="1"/>
  <c r="D1576"/>
  <c r="C1576"/>
  <c r="B1576"/>
  <c r="C1575"/>
  <c r="D1575" s="1"/>
  <c r="D1574"/>
  <c r="C1574"/>
  <c r="B1574"/>
  <c r="C1573"/>
  <c r="D1573" s="1"/>
  <c r="D1572"/>
  <c r="C1572"/>
  <c r="B1572"/>
  <c r="C1571"/>
  <c r="D1571" s="1"/>
  <c r="D1570"/>
  <c r="C1570"/>
  <c r="B1570"/>
  <c r="C1569"/>
  <c r="D1569" s="1"/>
  <c r="D1568"/>
  <c r="C1568"/>
  <c r="B1568"/>
  <c r="C1567"/>
  <c r="D1567" s="1"/>
  <c r="D1566"/>
  <c r="C1566"/>
  <c r="B1566"/>
  <c r="C1565"/>
  <c r="D1565" s="1"/>
  <c r="D1564"/>
  <c r="C1564"/>
  <c r="B1564"/>
  <c r="C1563"/>
  <c r="D1563" s="1"/>
  <c r="D1562"/>
  <c r="C1562"/>
  <c r="B1562"/>
  <c r="C1561"/>
  <c r="D1561" s="1"/>
  <c r="D1560"/>
  <c r="C1560"/>
  <c r="B1560"/>
  <c r="C1559"/>
  <c r="D1559" s="1"/>
  <c r="D1558"/>
  <c r="C1558"/>
  <c r="B1558"/>
  <c r="C1557"/>
  <c r="D1557" s="1"/>
  <c r="D1556"/>
  <c r="C1556"/>
  <c r="B1556"/>
  <c r="C1555"/>
  <c r="D1555" s="1"/>
  <c r="D1554"/>
  <c r="C1554"/>
  <c r="B1554"/>
  <c r="C1553"/>
  <c r="D1553" s="1"/>
  <c r="D1552"/>
  <c r="C1552"/>
  <c r="B1552"/>
  <c r="C1551"/>
  <c r="D1551" s="1"/>
  <c r="D1550"/>
  <c r="C1550"/>
  <c r="B1550"/>
  <c r="C1549"/>
  <c r="D1549" s="1"/>
  <c r="D1548"/>
  <c r="C1548"/>
  <c r="B1548"/>
  <c r="C1547"/>
  <c r="D1547" s="1"/>
  <c r="D1546"/>
  <c r="C1546"/>
  <c r="B1546"/>
  <c r="C1545"/>
  <c r="D1545" s="1"/>
  <c r="D1544"/>
  <c r="C1544"/>
  <c r="B1544"/>
  <c r="C1543"/>
  <c r="D1543" s="1"/>
  <c r="D1542"/>
  <c r="C1542"/>
  <c r="B1542"/>
  <c r="C1541"/>
  <c r="D1541" s="1"/>
  <c r="D1540"/>
  <c r="C1540"/>
  <c r="B1540"/>
  <c r="C1539"/>
  <c r="D1539" s="1"/>
  <c r="D1538"/>
  <c r="C1538"/>
  <c r="B1538"/>
  <c r="C1537"/>
  <c r="D1537" s="1"/>
  <c r="D1536"/>
  <c r="C1536"/>
  <c r="B1536"/>
  <c r="C1535"/>
  <c r="D1535" s="1"/>
  <c r="D1534"/>
  <c r="C1534"/>
  <c r="B1534"/>
  <c r="C1533"/>
  <c r="D1533" s="1"/>
  <c r="D1532"/>
  <c r="C1532"/>
  <c r="B1532"/>
  <c r="C1531"/>
  <c r="D1531" s="1"/>
  <c r="D1530"/>
  <c r="C1530"/>
  <c r="B1530"/>
  <c r="C1529"/>
  <c r="D1529" s="1"/>
  <c r="D1528"/>
  <c r="C1528"/>
  <c r="B1528"/>
  <c r="C1527"/>
  <c r="D1527" s="1"/>
  <c r="D1526"/>
  <c r="C1526"/>
  <c r="B1526"/>
  <c r="C1525"/>
  <c r="D1525" s="1"/>
  <c r="D1524"/>
  <c r="C1524"/>
  <c r="B1524"/>
  <c r="C1523"/>
  <c r="D1523" s="1"/>
  <c r="D1522"/>
  <c r="C1522"/>
  <c r="B1522"/>
  <c r="C1521"/>
  <c r="D1521" s="1"/>
  <c r="D1520"/>
  <c r="C1520"/>
  <c r="B1520"/>
  <c r="C1519"/>
  <c r="D1519" s="1"/>
  <c r="D1518"/>
  <c r="C1518"/>
  <c r="B1518"/>
  <c r="C1517"/>
  <c r="D1517" s="1"/>
  <c r="D1516"/>
  <c r="C1516"/>
  <c r="B1516"/>
  <c r="C1515"/>
  <c r="D1515" s="1"/>
  <c r="D1514"/>
  <c r="C1514"/>
  <c r="B1514"/>
  <c r="C1513"/>
  <c r="D1513" s="1"/>
  <c r="D1512"/>
  <c r="C1512"/>
  <c r="B1512"/>
  <c r="C1511"/>
  <c r="D1511" s="1"/>
  <c r="D1510"/>
  <c r="C1510"/>
  <c r="B1510"/>
  <c r="C1509"/>
  <c r="D1509" s="1"/>
  <c r="D1508"/>
  <c r="C1508"/>
  <c r="B1508"/>
  <c r="C1507"/>
  <c r="D1507" s="1"/>
  <c r="D1506"/>
  <c r="C1506"/>
  <c r="B1506"/>
  <c r="C1505"/>
  <c r="D1505" s="1"/>
  <c r="D1504"/>
  <c r="C1504"/>
  <c r="B1504"/>
  <c r="C1503"/>
  <c r="D1503" s="1"/>
  <c r="D1502"/>
  <c r="C1502"/>
  <c r="B1502"/>
  <c r="C1501"/>
  <c r="D1501" s="1"/>
  <c r="D1500"/>
  <c r="C1500"/>
  <c r="B1500"/>
  <c r="C1499"/>
  <c r="D1499" s="1"/>
  <c r="D1498"/>
  <c r="C1498"/>
  <c r="B1498"/>
  <c r="C1497"/>
  <c r="D1497" s="1"/>
  <c r="D1496"/>
  <c r="C1496"/>
  <c r="B1496"/>
  <c r="C1495"/>
  <c r="D1495" s="1"/>
  <c r="D1494"/>
  <c r="C1494"/>
  <c r="B1494"/>
  <c r="C1493"/>
  <c r="D1493" s="1"/>
  <c r="D1492"/>
  <c r="C1492"/>
  <c r="B1492"/>
  <c r="C1491"/>
  <c r="D1491" s="1"/>
  <c r="D1490"/>
  <c r="C1490"/>
  <c r="B1490"/>
  <c r="C1489"/>
  <c r="D1489" s="1"/>
  <c r="D1488"/>
  <c r="C1488"/>
  <c r="B1488"/>
  <c r="C1487"/>
  <c r="D1487" s="1"/>
  <c r="D1486"/>
  <c r="C1486"/>
  <c r="B1486"/>
  <c r="C1485"/>
  <c r="D1485" s="1"/>
  <c r="D1484"/>
  <c r="C1484"/>
  <c r="B1484"/>
  <c r="C1483"/>
  <c r="D1483" s="1"/>
  <c r="D1482"/>
  <c r="C1482"/>
  <c r="B1482"/>
  <c r="C1481"/>
  <c r="D1481" s="1"/>
  <c r="D1480"/>
  <c r="C1480"/>
  <c r="B1480"/>
  <c r="C1479"/>
  <c r="D1479" s="1"/>
  <c r="D1478"/>
  <c r="C1478"/>
  <c r="B1478"/>
  <c r="C1477"/>
  <c r="D1477" s="1"/>
  <c r="D1476"/>
  <c r="C1476"/>
  <c r="B1476"/>
  <c r="C1475"/>
  <c r="D1475" s="1"/>
  <c r="D1474"/>
  <c r="C1474"/>
  <c r="B1474"/>
  <c r="C1473"/>
  <c r="D1473" s="1"/>
  <c r="D1472"/>
  <c r="C1472"/>
  <c r="B1472"/>
  <c r="C1471"/>
  <c r="D1471" s="1"/>
  <c r="D1470"/>
  <c r="C1470"/>
  <c r="B1470"/>
  <c r="C1469"/>
  <c r="D1469" s="1"/>
  <c r="D1468"/>
  <c r="C1468"/>
  <c r="B1468"/>
  <c r="C1467"/>
  <c r="D1467" s="1"/>
  <c r="D1466"/>
  <c r="C1466"/>
  <c r="B1466"/>
  <c r="C1465"/>
  <c r="D1465" s="1"/>
  <c r="D1464"/>
  <c r="C1464"/>
  <c r="B1464"/>
  <c r="C1463"/>
  <c r="D1463" s="1"/>
  <c r="D1462"/>
  <c r="C1462"/>
  <c r="B1462"/>
  <c r="C1461"/>
  <c r="D1461" s="1"/>
  <c r="D1460"/>
  <c r="C1460"/>
  <c r="B1460"/>
  <c r="C1459"/>
  <c r="D1459" s="1"/>
  <c r="D1458"/>
  <c r="C1458"/>
  <c r="B1458"/>
  <c r="C1457"/>
  <c r="D1457" s="1"/>
  <c r="D1456"/>
  <c r="C1456"/>
  <c r="B1456"/>
  <c r="C1455"/>
  <c r="D1455" s="1"/>
  <c r="D1454"/>
  <c r="C1454"/>
  <c r="B1454"/>
  <c r="C1453"/>
  <c r="D1453" s="1"/>
  <c r="D1452"/>
  <c r="C1452"/>
  <c r="B1452"/>
  <c r="C1451"/>
  <c r="D1451" s="1"/>
  <c r="D1450"/>
  <c r="C1450"/>
  <c r="B1450"/>
  <c r="C1449"/>
  <c r="D1449" s="1"/>
  <c r="D1448"/>
  <c r="C1448"/>
  <c r="B1448"/>
  <c r="C1447"/>
  <c r="D1447" s="1"/>
  <c r="D1446"/>
  <c r="C1446"/>
  <c r="B1446"/>
  <c r="C1445"/>
  <c r="D1445" s="1"/>
  <c r="D1444"/>
  <c r="C1444"/>
  <c r="B1444"/>
  <c r="C1443"/>
  <c r="D1443" s="1"/>
  <c r="D1442"/>
  <c r="C1442"/>
  <c r="B1442"/>
  <c r="C1441"/>
  <c r="D1441" s="1"/>
  <c r="D1440"/>
  <c r="C1440"/>
  <c r="B1440"/>
  <c r="C1439"/>
  <c r="D1439" s="1"/>
  <c r="D1438"/>
  <c r="C1438"/>
  <c r="B1438"/>
  <c r="C1437"/>
  <c r="D1437" s="1"/>
  <c r="D1436"/>
  <c r="C1436"/>
  <c r="B1436"/>
  <c r="C1435"/>
  <c r="D1435" s="1"/>
  <c r="D1434"/>
  <c r="C1434"/>
  <c r="B1434"/>
  <c r="C1433"/>
  <c r="D1433" s="1"/>
  <c r="D1432"/>
  <c r="C1432"/>
  <c r="B1432"/>
  <c r="C1431"/>
  <c r="D1431" s="1"/>
  <c r="D1430"/>
  <c r="C1430"/>
  <c r="B1430"/>
  <c r="C1429"/>
  <c r="D1429" s="1"/>
  <c r="D1428"/>
  <c r="C1428"/>
  <c r="B1428"/>
  <c r="C1427"/>
  <c r="D1427" s="1"/>
  <c r="D1426"/>
  <c r="C1426"/>
  <c r="B1426"/>
  <c r="C1425"/>
  <c r="D1425" s="1"/>
  <c r="D1424"/>
  <c r="C1424"/>
  <c r="B1424"/>
  <c r="C1423"/>
  <c r="D1423" s="1"/>
  <c r="D1422"/>
  <c r="C1422"/>
  <c r="B1422"/>
  <c r="C1421"/>
  <c r="D1421" s="1"/>
  <c r="D1420"/>
  <c r="C1420"/>
  <c r="B1420"/>
  <c r="C1419"/>
  <c r="D1419" s="1"/>
  <c r="D1418"/>
  <c r="C1418"/>
  <c r="B1418"/>
  <c r="C1417"/>
  <c r="D1417" s="1"/>
  <c r="D1416"/>
  <c r="C1416"/>
  <c r="B1416"/>
  <c r="C1415"/>
  <c r="D1415" s="1"/>
  <c r="D1414"/>
  <c r="C1414"/>
  <c r="B1414"/>
  <c r="C1413"/>
  <c r="D1413" s="1"/>
  <c r="D1412"/>
  <c r="C1412"/>
  <c r="B1412"/>
  <c r="C1411"/>
  <c r="D1411" s="1"/>
  <c r="D1410"/>
  <c r="C1410"/>
  <c r="B1410"/>
  <c r="C1409"/>
  <c r="D1409" s="1"/>
  <c r="D1408"/>
  <c r="C1408"/>
  <c r="B1408"/>
  <c r="C1407"/>
  <c r="D1407" s="1"/>
  <c r="D1406"/>
  <c r="C1406"/>
  <c r="B1406"/>
  <c r="C1405"/>
  <c r="D1405" s="1"/>
  <c r="D1404"/>
  <c r="C1404"/>
  <c r="B1404"/>
  <c r="C1403"/>
  <c r="D1403" s="1"/>
  <c r="D1402"/>
  <c r="C1402"/>
  <c r="B1402"/>
  <c r="C1401"/>
  <c r="D1401" s="1"/>
  <c r="D1400"/>
  <c r="C1400"/>
  <c r="B1400"/>
  <c r="C1399"/>
  <c r="D1399" s="1"/>
  <c r="D1398"/>
  <c r="C1398"/>
  <c r="B1398"/>
  <c r="C1397"/>
  <c r="D1397" s="1"/>
  <c r="D1396"/>
  <c r="C1396"/>
  <c r="B1396"/>
  <c r="C1395"/>
  <c r="D1395" s="1"/>
  <c r="D1394"/>
  <c r="C1394"/>
  <c r="B1394"/>
  <c r="C1393"/>
  <c r="D1393" s="1"/>
  <c r="D1392"/>
  <c r="C1392"/>
  <c r="B1392"/>
  <c r="C1391"/>
  <c r="D1391" s="1"/>
  <c r="D1390"/>
  <c r="C1390"/>
  <c r="B1390"/>
  <c r="C1389"/>
  <c r="D1389" s="1"/>
  <c r="D1388"/>
  <c r="C1388"/>
  <c r="B1388"/>
  <c r="C1387"/>
  <c r="D1387" s="1"/>
  <c r="D1386"/>
  <c r="C1386"/>
  <c r="B1386"/>
  <c r="C1385"/>
  <c r="D1385" s="1"/>
  <c r="D1384"/>
  <c r="C1384"/>
  <c r="B1384"/>
  <c r="C1383"/>
  <c r="D1383" s="1"/>
  <c r="D1382"/>
  <c r="C1382"/>
  <c r="B1382"/>
  <c r="C1381"/>
  <c r="D1381" s="1"/>
  <c r="D1380"/>
  <c r="C1380"/>
  <c r="B1380"/>
  <c r="C1379"/>
  <c r="D1379" s="1"/>
  <c r="D1378"/>
  <c r="C1378"/>
  <c r="B1378"/>
  <c r="C1377"/>
  <c r="D1377" s="1"/>
  <c r="D1376"/>
  <c r="C1376"/>
  <c r="B1376"/>
  <c r="C1375"/>
  <c r="D1375" s="1"/>
  <c r="D1374"/>
  <c r="C1374"/>
  <c r="B1374"/>
  <c r="C1373"/>
  <c r="D1373" s="1"/>
  <c r="D1372"/>
  <c r="C1372"/>
  <c r="B1372"/>
  <c r="C1371"/>
  <c r="D1371" s="1"/>
  <c r="D1370"/>
  <c r="C1370"/>
  <c r="B1370"/>
  <c r="C1369"/>
  <c r="D1369" s="1"/>
  <c r="D1368"/>
  <c r="C1368"/>
  <c r="B1368"/>
  <c r="C1367"/>
  <c r="D1367" s="1"/>
  <c r="D1366"/>
  <c r="C1366"/>
  <c r="B1366"/>
  <c r="C1365"/>
  <c r="D1365" s="1"/>
  <c r="D1364"/>
  <c r="C1364"/>
  <c r="B1364"/>
  <c r="C1363"/>
  <c r="D1363" s="1"/>
  <c r="D1362"/>
  <c r="C1362"/>
  <c r="B1362"/>
  <c r="C1361"/>
  <c r="D1361" s="1"/>
  <c r="D1360"/>
  <c r="C1360"/>
  <c r="B1360"/>
  <c r="C1359"/>
  <c r="D1359" s="1"/>
  <c r="D1358"/>
  <c r="C1358"/>
  <c r="B1358"/>
  <c r="C1357"/>
  <c r="D1357" s="1"/>
  <c r="D1356"/>
  <c r="C1356"/>
  <c r="B1356"/>
  <c r="C1355"/>
  <c r="D1355" s="1"/>
  <c r="D1354"/>
  <c r="C1354"/>
  <c r="B1354"/>
  <c r="C1353"/>
  <c r="D1353" s="1"/>
  <c r="D1352"/>
  <c r="C1352"/>
  <c r="B1352"/>
  <c r="C1351"/>
  <c r="D1351" s="1"/>
  <c r="D1350"/>
  <c r="C1350"/>
  <c r="B1350"/>
  <c r="C1349"/>
  <c r="D1349" s="1"/>
  <c r="D1348"/>
  <c r="C1348"/>
  <c r="B1348"/>
  <c r="C1347"/>
  <c r="D1347" s="1"/>
  <c r="D1346"/>
  <c r="C1346"/>
  <c r="B1346"/>
  <c r="C1345"/>
  <c r="D1345" s="1"/>
  <c r="D1344"/>
  <c r="C1344"/>
  <c r="B1344"/>
  <c r="C1343"/>
  <c r="D1343" s="1"/>
  <c r="D1342"/>
  <c r="C1342"/>
  <c r="B1342"/>
  <c r="C1341"/>
  <c r="D1341" s="1"/>
  <c r="D1340"/>
  <c r="C1340"/>
  <c r="B1340"/>
  <c r="C1339"/>
  <c r="D1339" s="1"/>
  <c r="D1338"/>
  <c r="C1338"/>
  <c r="B1338"/>
  <c r="C1337"/>
  <c r="D1337" s="1"/>
  <c r="D1336"/>
  <c r="C1336"/>
  <c r="B1336"/>
  <c r="C1335"/>
  <c r="D1335" s="1"/>
  <c r="D1334"/>
  <c r="C1334"/>
  <c r="B1334"/>
  <c r="C1333"/>
  <c r="D1333" s="1"/>
  <c r="D1332"/>
  <c r="C1332"/>
  <c r="B1332"/>
  <c r="C1331"/>
  <c r="D1331" s="1"/>
  <c r="D1330"/>
  <c r="C1330"/>
  <c r="B1330"/>
  <c r="C1329"/>
  <c r="D1329" s="1"/>
  <c r="D1328"/>
  <c r="C1328"/>
  <c r="B1328"/>
  <c r="C1327"/>
  <c r="D1327" s="1"/>
  <c r="D1326"/>
  <c r="C1326"/>
  <c r="B1326"/>
  <c r="C1325"/>
  <c r="D1325" s="1"/>
  <c r="D1324"/>
  <c r="C1324"/>
  <c r="B1324"/>
  <c r="C1323"/>
  <c r="D1323" s="1"/>
  <c r="D1322"/>
  <c r="C1322"/>
  <c r="B1322"/>
  <c r="C1321"/>
  <c r="D1321" s="1"/>
  <c r="D1320"/>
  <c r="C1320"/>
  <c r="B1320"/>
  <c r="C1319"/>
  <c r="D1319" s="1"/>
  <c r="D1318"/>
  <c r="C1318"/>
  <c r="B1318"/>
  <c r="C1317"/>
  <c r="D1317" s="1"/>
  <c r="D1316"/>
  <c r="C1316"/>
  <c r="B1316"/>
  <c r="C1315"/>
  <c r="D1315" s="1"/>
  <c r="D1314"/>
  <c r="C1314"/>
  <c r="B1314"/>
  <c r="C1313"/>
  <c r="D1313" s="1"/>
  <c r="D1312"/>
  <c r="C1312"/>
  <c r="B1312"/>
  <c r="C1311"/>
  <c r="D1311" s="1"/>
  <c r="D1310"/>
  <c r="C1310"/>
  <c r="B1310"/>
  <c r="C1309"/>
  <c r="D1309" s="1"/>
  <c r="D1308"/>
  <c r="C1308"/>
  <c r="B1308"/>
  <c r="C1307"/>
  <c r="D1307" s="1"/>
  <c r="D1306"/>
  <c r="C1306"/>
  <c r="B1306"/>
  <c r="C1305"/>
  <c r="D1305" s="1"/>
  <c r="D1304"/>
  <c r="C1304"/>
  <c r="B1304"/>
  <c r="C1303"/>
  <c r="D1303" s="1"/>
  <c r="D1302"/>
  <c r="C1302"/>
  <c r="B1302"/>
  <c r="C1301"/>
  <c r="D1301" s="1"/>
  <c r="D1300"/>
  <c r="C1300"/>
  <c r="B1300"/>
  <c r="C1299"/>
  <c r="D1299" s="1"/>
  <c r="D1298"/>
  <c r="C1298"/>
  <c r="B1298"/>
  <c r="C1297"/>
  <c r="D1297" s="1"/>
  <c r="D1296"/>
  <c r="C1296"/>
  <c r="B1296"/>
  <c r="C1295"/>
  <c r="D1295" s="1"/>
  <c r="D1294"/>
  <c r="C1294"/>
  <c r="B1294"/>
  <c r="C1293"/>
  <c r="D1293" s="1"/>
  <c r="D1292"/>
  <c r="C1292"/>
  <c r="B1292"/>
  <c r="C1291"/>
  <c r="D1291" s="1"/>
  <c r="D1290"/>
  <c r="C1290"/>
  <c r="B1290"/>
  <c r="C1289"/>
  <c r="D1289" s="1"/>
  <c r="D1288"/>
  <c r="C1288"/>
  <c r="B1288"/>
  <c r="C1287"/>
  <c r="D1287" s="1"/>
  <c r="D1286"/>
  <c r="C1286"/>
  <c r="B1286"/>
  <c r="C1285"/>
  <c r="D1285" s="1"/>
  <c r="D1284"/>
  <c r="C1284"/>
  <c r="B1284"/>
  <c r="C1283"/>
  <c r="D1283" s="1"/>
  <c r="D1282"/>
  <c r="C1282"/>
  <c r="B1282"/>
  <c r="C1281"/>
  <c r="D1281" s="1"/>
  <c r="D1280"/>
  <c r="C1280"/>
  <c r="B1280"/>
  <c r="C1279"/>
  <c r="D1279" s="1"/>
  <c r="D1278"/>
  <c r="C1278"/>
  <c r="B1278"/>
  <c r="C1277"/>
  <c r="D1277" s="1"/>
  <c r="D1276"/>
  <c r="C1276"/>
  <c r="B1276"/>
  <c r="C1275"/>
  <c r="D1275" s="1"/>
  <c r="D1274"/>
  <c r="C1274"/>
  <c r="B1274"/>
  <c r="C1273"/>
  <c r="D1273" s="1"/>
  <c r="D1272"/>
  <c r="C1272"/>
  <c r="B1272"/>
  <c r="C1271"/>
  <c r="D1271" s="1"/>
  <c r="D1270"/>
  <c r="C1270"/>
  <c r="B1270"/>
  <c r="C1269"/>
  <c r="D1269" s="1"/>
  <c r="D1268"/>
  <c r="C1268"/>
  <c r="B1268"/>
  <c r="C1267"/>
  <c r="D1267" s="1"/>
  <c r="D1266"/>
  <c r="C1266"/>
  <c r="B1266"/>
  <c r="C1265"/>
  <c r="D1265" s="1"/>
  <c r="D1264"/>
  <c r="C1264"/>
  <c r="B1264"/>
  <c r="C1263"/>
  <c r="D1263" s="1"/>
  <c r="D1262"/>
  <c r="C1262"/>
  <c r="B1262"/>
  <c r="C1261"/>
  <c r="D1261" s="1"/>
  <c r="D1260"/>
  <c r="C1260"/>
  <c r="B1260"/>
  <c r="C1259"/>
  <c r="D1259" s="1"/>
  <c r="D1258"/>
  <c r="C1258"/>
  <c r="B1258"/>
  <c r="C1257"/>
  <c r="D1257" s="1"/>
  <c r="D1256"/>
  <c r="C1256"/>
  <c r="B1256"/>
  <c r="C1255"/>
  <c r="D1255" s="1"/>
  <c r="D1254"/>
  <c r="C1254"/>
  <c r="B1254"/>
  <c r="C1253"/>
  <c r="D1253" s="1"/>
  <c r="D1252"/>
  <c r="C1252"/>
  <c r="B1252"/>
  <c r="C1251"/>
  <c r="D1251" s="1"/>
  <c r="D1250"/>
  <c r="C1250"/>
  <c r="B1250"/>
  <c r="C1249"/>
  <c r="D1249" s="1"/>
  <c r="D1248"/>
  <c r="C1248"/>
  <c r="B1248"/>
  <c r="C1247"/>
  <c r="D1247" s="1"/>
  <c r="D1246"/>
  <c r="C1246"/>
  <c r="B1246"/>
  <c r="C1245"/>
  <c r="D1245" s="1"/>
  <c r="D1244"/>
  <c r="C1244"/>
  <c r="B1244"/>
  <c r="C1243"/>
  <c r="D1243" s="1"/>
  <c r="D1242"/>
  <c r="C1242"/>
  <c r="B1242"/>
  <c r="C1241"/>
  <c r="D1241" s="1"/>
  <c r="D1240"/>
  <c r="C1240"/>
  <c r="B1240"/>
  <c r="C1239"/>
  <c r="D1239" s="1"/>
  <c r="D1238"/>
  <c r="C1238"/>
  <c r="B1238"/>
  <c r="C1237"/>
  <c r="D1237" s="1"/>
  <c r="D1236"/>
  <c r="C1236"/>
  <c r="B1236"/>
  <c r="C1235"/>
  <c r="D1235" s="1"/>
  <c r="D1234"/>
  <c r="C1234"/>
  <c r="B1234"/>
  <c r="C1233"/>
  <c r="D1233" s="1"/>
  <c r="D1232"/>
  <c r="C1232"/>
  <c r="B1232"/>
  <c r="C1231"/>
  <c r="D1231" s="1"/>
  <c r="D1230"/>
  <c r="C1230"/>
  <c r="B1230"/>
  <c r="C1229"/>
  <c r="D1229" s="1"/>
  <c r="D1228"/>
  <c r="C1228"/>
  <c r="B1228"/>
  <c r="C1227"/>
  <c r="D1227" s="1"/>
  <c r="D1226"/>
  <c r="C1226"/>
  <c r="B1226"/>
  <c r="C1225"/>
  <c r="D1225" s="1"/>
  <c r="D1224"/>
  <c r="C1224"/>
  <c r="B1224"/>
  <c r="C1223"/>
  <c r="D1223" s="1"/>
  <c r="D1222"/>
  <c r="C1222"/>
  <c r="B1222"/>
  <c r="C1221"/>
  <c r="D1221" s="1"/>
  <c r="D1220"/>
  <c r="C1220"/>
  <c r="B1220"/>
  <c r="C1219"/>
  <c r="D1219" s="1"/>
  <c r="D1218"/>
  <c r="C1218"/>
  <c r="B1218"/>
  <c r="C1217"/>
  <c r="D1217" s="1"/>
  <c r="D1216"/>
  <c r="C1216"/>
  <c r="B1216"/>
  <c r="C1215"/>
  <c r="D1215" s="1"/>
  <c r="D1214"/>
  <c r="C1214"/>
  <c r="B1214"/>
  <c r="C1213"/>
  <c r="D1213" s="1"/>
  <c r="D1212"/>
  <c r="C1212"/>
  <c r="B1212"/>
  <c r="C1211"/>
  <c r="D1211" s="1"/>
  <c r="D1210"/>
  <c r="C1210"/>
  <c r="B1210"/>
  <c r="C1209"/>
  <c r="D1209" s="1"/>
  <c r="D1208"/>
  <c r="C1208"/>
  <c r="B1208"/>
  <c r="C1207"/>
  <c r="D1207" s="1"/>
  <c r="D1206"/>
  <c r="C1206"/>
  <c r="B1206"/>
  <c r="C1205"/>
  <c r="D1205" s="1"/>
  <c r="D1204"/>
  <c r="C1204"/>
  <c r="B1204"/>
  <c r="C1203"/>
  <c r="D1203" s="1"/>
  <c r="D1202"/>
  <c r="C1202"/>
  <c r="B1202"/>
  <c r="C1201"/>
  <c r="D1201" s="1"/>
  <c r="D1200"/>
  <c r="C1200"/>
  <c r="B1200"/>
  <c r="C1199"/>
  <c r="D1199" s="1"/>
  <c r="D1198"/>
  <c r="C1198"/>
  <c r="B1198"/>
  <c r="C1197"/>
  <c r="D1197" s="1"/>
  <c r="D1196"/>
  <c r="C1196"/>
  <c r="B1196"/>
  <c r="C1195"/>
  <c r="D1195" s="1"/>
  <c r="D1194"/>
  <c r="C1194"/>
  <c r="B1194"/>
  <c r="C1193"/>
  <c r="D1193" s="1"/>
  <c r="D1192"/>
  <c r="C1192"/>
  <c r="B1192"/>
  <c r="C1191"/>
  <c r="D1191" s="1"/>
  <c r="D1190"/>
  <c r="C1190"/>
  <c r="B1190"/>
  <c r="C1189"/>
  <c r="D1189" s="1"/>
  <c r="D1188"/>
  <c r="C1188"/>
  <c r="B1188"/>
  <c r="C1187"/>
  <c r="D1187" s="1"/>
  <c r="D1186"/>
  <c r="C1186"/>
  <c r="B1186"/>
  <c r="C1185"/>
  <c r="D1185" s="1"/>
  <c r="D1184"/>
  <c r="C1184"/>
  <c r="B1184"/>
  <c r="C1183"/>
  <c r="D1183" s="1"/>
  <c r="D1182"/>
  <c r="C1182"/>
  <c r="B1182"/>
  <c r="C1181"/>
  <c r="D1181" s="1"/>
  <c r="D1180"/>
  <c r="C1180"/>
  <c r="B1180"/>
  <c r="C1179"/>
  <c r="D1179" s="1"/>
  <c r="D1178"/>
  <c r="C1178"/>
  <c r="B1178"/>
  <c r="C1177"/>
  <c r="D1177" s="1"/>
  <c r="D1176"/>
  <c r="C1176"/>
  <c r="B1176"/>
  <c r="C1175"/>
  <c r="D1175" s="1"/>
  <c r="D1174"/>
  <c r="C1174"/>
  <c r="B1174"/>
  <c r="C1173"/>
  <c r="D1173" s="1"/>
  <c r="D1172"/>
  <c r="C1172"/>
  <c r="B1172"/>
  <c r="C1171"/>
  <c r="D1171" s="1"/>
  <c r="D1170"/>
  <c r="C1170"/>
  <c r="B1170"/>
  <c r="C1169"/>
  <c r="D1169" s="1"/>
  <c r="D1168"/>
  <c r="C1168"/>
  <c r="B1168"/>
  <c r="C1167"/>
  <c r="D1167" s="1"/>
  <c r="D1166"/>
  <c r="C1166"/>
  <c r="B1166"/>
  <c r="C1165"/>
  <c r="D1165" s="1"/>
  <c r="D1164"/>
  <c r="C1164"/>
  <c r="B1164"/>
  <c r="C1163"/>
  <c r="D1163" s="1"/>
  <c r="D1162"/>
  <c r="C1162"/>
  <c r="B1162"/>
  <c r="C1161"/>
  <c r="D1161" s="1"/>
  <c r="D1160"/>
  <c r="C1160"/>
  <c r="B1160"/>
  <c r="C1159"/>
  <c r="D1159" s="1"/>
  <c r="D1158"/>
  <c r="C1158"/>
  <c r="B1158"/>
  <c r="C1157"/>
  <c r="D1157" s="1"/>
  <c r="D1156"/>
  <c r="C1156"/>
  <c r="B1156"/>
  <c r="C1155"/>
  <c r="D1155" s="1"/>
  <c r="D1154"/>
  <c r="C1154"/>
  <c r="B1154"/>
  <c r="C1153"/>
  <c r="D1153" s="1"/>
  <c r="D1152"/>
  <c r="C1152"/>
  <c r="B1152"/>
  <c r="C1151"/>
  <c r="D1151" s="1"/>
  <c r="D1150"/>
  <c r="C1150"/>
  <c r="B1150"/>
  <c r="C1149"/>
  <c r="D1149" s="1"/>
  <c r="D1148"/>
  <c r="C1148"/>
  <c r="B1148"/>
  <c r="C1147"/>
  <c r="D1147" s="1"/>
  <c r="D1146"/>
  <c r="C1146"/>
  <c r="B1146"/>
  <c r="C1145"/>
  <c r="D1145" s="1"/>
  <c r="D1144"/>
  <c r="C1144"/>
  <c r="B1144"/>
  <c r="C1143"/>
  <c r="D1143" s="1"/>
  <c r="D1142"/>
  <c r="C1142"/>
  <c r="B1142"/>
  <c r="C1141"/>
  <c r="D1141" s="1"/>
  <c r="D1140"/>
  <c r="C1140"/>
  <c r="B1140"/>
  <c r="C1139"/>
  <c r="D1139" s="1"/>
  <c r="D1138"/>
  <c r="C1138"/>
  <c r="B1138"/>
  <c r="C1137"/>
  <c r="D1137" s="1"/>
  <c r="D1136"/>
  <c r="C1136"/>
  <c r="B1136"/>
  <c r="C1135"/>
  <c r="D1135" s="1"/>
  <c r="D1134"/>
  <c r="C1134"/>
  <c r="B1134"/>
  <c r="C1133"/>
  <c r="D1133" s="1"/>
  <c r="D1132"/>
  <c r="C1132"/>
  <c r="B1132"/>
  <c r="C1131"/>
  <c r="D1131" s="1"/>
  <c r="D1130"/>
  <c r="C1130"/>
  <c r="B1130"/>
  <c r="C1129"/>
  <c r="D1129" s="1"/>
  <c r="D1128"/>
  <c r="C1128"/>
  <c r="B1128"/>
  <c r="C1127"/>
  <c r="D1127" s="1"/>
  <c r="D1126"/>
  <c r="C1126"/>
  <c r="B1126"/>
  <c r="C1125"/>
  <c r="D1125" s="1"/>
  <c r="D1124"/>
  <c r="C1124"/>
  <c r="B1124"/>
  <c r="C1123"/>
  <c r="D1123" s="1"/>
  <c r="D1122"/>
  <c r="C1122"/>
  <c r="B1122"/>
  <c r="C1121"/>
  <c r="D1121" s="1"/>
  <c r="D1120"/>
  <c r="C1120"/>
  <c r="B1120"/>
  <c r="C1119"/>
  <c r="D1119" s="1"/>
  <c r="D1118"/>
  <c r="C1118"/>
  <c r="B1118"/>
  <c r="C1117"/>
  <c r="D1117" s="1"/>
  <c r="D1116"/>
  <c r="C1116"/>
  <c r="B1116"/>
  <c r="C1115"/>
  <c r="D1115" s="1"/>
  <c r="D1114"/>
  <c r="C1114"/>
  <c r="B1114"/>
  <c r="C1113"/>
  <c r="D1113" s="1"/>
  <c r="D1112"/>
  <c r="C1112"/>
  <c r="B1112"/>
  <c r="C1111"/>
  <c r="D1111" s="1"/>
  <c r="D1110"/>
  <c r="C1110"/>
  <c r="B1110"/>
  <c r="C1109"/>
  <c r="D1109" s="1"/>
  <c r="D1108"/>
  <c r="C1108"/>
  <c r="B1108"/>
  <c r="C1107"/>
  <c r="D1107" s="1"/>
  <c r="D1106"/>
  <c r="C1106"/>
  <c r="B1106"/>
  <c r="C1105"/>
  <c r="D1105" s="1"/>
  <c r="D1104"/>
  <c r="C1104"/>
  <c r="B1104"/>
  <c r="C1103"/>
  <c r="D1103" s="1"/>
  <c r="D1102"/>
  <c r="C1102"/>
  <c r="B1102"/>
  <c r="C1101"/>
  <c r="D1101" s="1"/>
  <c r="D1100"/>
  <c r="C1100"/>
  <c r="B1100"/>
  <c r="C1099"/>
  <c r="D1099" s="1"/>
  <c r="D1098"/>
  <c r="C1098"/>
  <c r="B1098"/>
  <c r="C1097"/>
  <c r="D1097" s="1"/>
  <c r="D1096"/>
  <c r="C1096"/>
  <c r="B1096"/>
  <c r="C1095"/>
  <c r="D1095" s="1"/>
  <c r="D1094"/>
  <c r="C1094"/>
  <c r="B1094"/>
  <c r="C1093"/>
  <c r="D1093" s="1"/>
  <c r="D1092"/>
  <c r="C1092"/>
  <c r="B1092"/>
  <c r="C1091"/>
  <c r="D1091" s="1"/>
  <c r="D1090"/>
  <c r="C1090"/>
  <c r="B1090"/>
  <c r="C1089"/>
  <c r="D1089" s="1"/>
  <c r="D1088"/>
  <c r="C1088"/>
  <c r="B1088"/>
  <c r="C1087"/>
  <c r="D1087" s="1"/>
  <c r="D1086"/>
  <c r="C1086"/>
  <c r="B1086"/>
  <c r="C1085"/>
  <c r="D1085" s="1"/>
  <c r="D1084"/>
  <c r="C1084"/>
  <c r="B1084"/>
  <c r="C1083"/>
  <c r="D1083" s="1"/>
  <c r="D1082"/>
  <c r="C1082"/>
  <c r="B1082"/>
  <c r="C1081"/>
  <c r="D1081" s="1"/>
  <c r="D1080"/>
  <c r="C1080"/>
  <c r="B1080"/>
  <c r="C1079"/>
  <c r="D1079" s="1"/>
  <c r="D1078"/>
  <c r="C1078"/>
  <c r="B1078"/>
  <c r="C1077"/>
  <c r="D1077" s="1"/>
  <c r="D1076"/>
  <c r="C1076"/>
  <c r="B1076"/>
  <c r="C1075"/>
  <c r="D1075" s="1"/>
  <c r="D1074"/>
  <c r="C1074"/>
  <c r="B1074"/>
  <c r="C1073"/>
  <c r="D1073" s="1"/>
  <c r="D1072"/>
  <c r="C1072"/>
  <c r="B1072"/>
  <c r="C1071"/>
  <c r="D1071" s="1"/>
  <c r="D1070"/>
  <c r="C1070"/>
  <c r="B1070"/>
  <c r="C1069"/>
  <c r="D1069" s="1"/>
  <c r="D1068"/>
  <c r="C1068"/>
  <c r="B1068"/>
  <c r="C1067"/>
  <c r="D1067" s="1"/>
  <c r="D1066"/>
  <c r="C1066"/>
  <c r="B1066"/>
  <c r="C1065"/>
  <c r="D1065" s="1"/>
  <c r="D1064"/>
  <c r="C1064"/>
  <c r="B1064"/>
  <c r="C1063"/>
  <c r="D1063" s="1"/>
  <c r="D1062"/>
  <c r="C1062"/>
  <c r="B1062"/>
  <c r="C1061"/>
  <c r="D1061" s="1"/>
  <c r="D1060"/>
  <c r="C1060"/>
  <c r="B1060"/>
  <c r="C1059"/>
  <c r="D1059" s="1"/>
  <c r="D1058"/>
  <c r="C1058"/>
  <c r="B1058"/>
  <c r="C1057"/>
  <c r="D1057" s="1"/>
  <c r="D1056"/>
  <c r="C1056"/>
  <c r="B1056"/>
  <c r="C1055"/>
  <c r="D1055" s="1"/>
  <c r="D1054"/>
  <c r="C1054"/>
  <c r="B1054"/>
  <c r="C1053"/>
  <c r="D1053" s="1"/>
  <c r="D1052"/>
  <c r="C1052"/>
  <c r="B1052"/>
  <c r="C1051"/>
  <c r="D1051" s="1"/>
  <c r="D1050"/>
  <c r="C1050"/>
  <c r="B1050"/>
  <c r="C1049"/>
  <c r="D1049" s="1"/>
  <c r="D1048"/>
  <c r="C1048"/>
  <c r="B1048"/>
  <c r="C1047"/>
  <c r="D1047" s="1"/>
  <c r="D1046"/>
  <c r="C1046"/>
  <c r="B1046"/>
  <c r="C1045"/>
  <c r="D1045" s="1"/>
  <c r="D1044"/>
  <c r="C1044"/>
  <c r="B1044"/>
  <c r="C1043"/>
  <c r="D1043" s="1"/>
  <c r="D1042"/>
  <c r="C1042"/>
  <c r="B1042"/>
  <c r="C1041"/>
  <c r="D1041" s="1"/>
  <c r="D1040"/>
  <c r="C1040"/>
  <c r="B1040"/>
  <c r="C1039"/>
  <c r="D1039" s="1"/>
  <c r="D1038"/>
  <c r="C1038"/>
  <c r="B1038"/>
  <c r="C1037"/>
  <c r="D1037" s="1"/>
  <c r="D1036"/>
  <c r="C1036"/>
  <c r="B1036"/>
  <c r="C1035"/>
  <c r="D1035" s="1"/>
  <c r="D1034"/>
  <c r="C1034"/>
  <c r="B1034"/>
  <c r="C1033"/>
  <c r="D1033" s="1"/>
  <c r="D1032"/>
  <c r="C1032"/>
  <c r="B1032"/>
  <c r="C1031"/>
  <c r="D1031" s="1"/>
  <c r="D1030"/>
  <c r="C1030"/>
  <c r="B1030"/>
  <c r="C1029"/>
  <c r="D1029" s="1"/>
  <c r="D1028"/>
  <c r="C1028"/>
  <c r="B1028"/>
  <c r="C1027"/>
  <c r="D1027" s="1"/>
  <c r="D1026"/>
  <c r="C1026"/>
  <c r="B1026"/>
  <c r="C1025"/>
  <c r="D1025" s="1"/>
  <c r="D1024"/>
  <c r="C1024"/>
  <c r="B1024"/>
  <c r="C1023"/>
  <c r="D1023" s="1"/>
  <c r="D1022"/>
  <c r="C1022"/>
  <c r="B1022"/>
  <c r="C1021"/>
  <c r="D1021" s="1"/>
  <c r="D1020"/>
  <c r="C1020"/>
  <c r="B1020"/>
  <c r="C1019"/>
  <c r="D1019" s="1"/>
  <c r="D1018"/>
  <c r="C1018"/>
  <c r="B1018"/>
  <c r="C1017"/>
  <c r="D1017" s="1"/>
  <c r="D1016"/>
  <c r="C1016"/>
  <c r="B1016"/>
  <c r="C1015"/>
  <c r="D1015" s="1"/>
  <c r="D1014"/>
  <c r="C1014"/>
  <c r="B1014"/>
  <c r="C1013"/>
  <c r="D1013" s="1"/>
  <c r="D1012"/>
  <c r="C1012"/>
  <c r="B1012"/>
  <c r="C1011"/>
  <c r="D1011" s="1"/>
  <c r="D1010"/>
  <c r="C1010"/>
  <c r="B1010"/>
  <c r="C1009"/>
  <c r="D1009" s="1"/>
  <c r="D1008"/>
  <c r="C1008"/>
  <c r="B1008"/>
  <c r="C1007"/>
  <c r="D1007" s="1"/>
  <c r="D1006"/>
  <c r="C1006"/>
  <c r="B1006"/>
  <c r="C1005"/>
  <c r="D1005" s="1"/>
  <c r="D1004"/>
  <c r="C1004"/>
  <c r="B1004"/>
  <c r="C1003"/>
  <c r="D1003" s="1"/>
  <c r="D1002"/>
  <c r="C1002"/>
  <c r="B1002"/>
  <c r="C1001"/>
  <c r="D1001" s="1"/>
  <c r="D1000"/>
  <c r="C1000"/>
  <c r="B1000"/>
  <c r="C999"/>
  <c r="D999" s="1"/>
  <c r="D998"/>
  <c r="C998"/>
  <c r="B998"/>
  <c r="C997"/>
  <c r="D997" s="1"/>
  <c r="D996"/>
  <c r="C996"/>
  <c r="B996"/>
  <c r="C995"/>
  <c r="D995" s="1"/>
  <c r="D994"/>
  <c r="C994"/>
  <c r="B994"/>
  <c r="C993"/>
  <c r="D993" s="1"/>
  <c r="D992"/>
  <c r="C992"/>
  <c r="B992"/>
  <c r="C991"/>
  <c r="D991" s="1"/>
  <c r="D990"/>
  <c r="C990"/>
  <c r="B990"/>
  <c r="C989"/>
  <c r="D989" s="1"/>
  <c r="D988"/>
  <c r="C988"/>
  <c r="B988"/>
  <c r="C987"/>
  <c r="D987" s="1"/>
  <c r="D986"/>
  <c r="C986"/>
  <c r="B986"/>
  <c r="C985"/>
  <c r="D985" s="1"/>
  <c r="D984"/>
  <c r="C984"/>
  <c r="B984"/>
  <c r="C983"/>
  <c r="D983" s="1"/>
  <c r="D982"/>
  <c r="C982"/>
  <c r="B982"/>
  <c r="C981"/>
  <c r="D981" s="1"/>
  <c r="D980"/>
  <c r="C980"/>
  <c r="B980"/>
  <c r="C979"/>
  <c r="D979" s="1"/>
  <c r="D978"/>
  <c r="C978"/>
  <c r="B978"/>
  <c r="C977"/>
  <c r="D977" s="1"/>
  <c r="D976"/>
  <c r="C976"/>
  <c r="B976"/>
  <c r="C975"/>
  <c r="D975" s="1"/>
  <c r="D974"/>
  <c r="C974"/>
  <c r="B974"/>
  <c r="C973"/>
  <c r="D973" s="1"/>
  <c r="D972"/>
  <c r="C972"/>
  <c r="B972"/>
  <c r="C971"/>
  <c r="D971" s="1"/>
  <c r="D970"/>
  <c r="C970"/>
  <c r="B970"/>
  <c r="C969"/>
  <c r="D969" s="1"/>
  <c r="D968"/>
  <c r="C968"/>
  <c r="B968"/>
  <c r="C967"/>
  <c r="D967" s="1"/>
  <c r="D966"/>
  <c r="C966"/>
  <c r="B966"/>
  <c r="C965"/>
  <c r="D965" s="1"/>
  <c r="D964"/>
  <c r="C964"/>
  <c r="B964"/>
  <c r="C963"/>
  <c r="D963" s="1"/>
  <c r="D962"/>
  <c r="C962"/>
  <c r="B962"/>
  <c r="C961"/>
  <c r="D961" s="1"/>
  <c r="D960"/>
  <c r="C960"/>
  <c r="B960"/>
  <c r="C959"/>
  <c r="D959" s="1"/>
  <c r="D958"/>
  <c r="C958"/>
  <c r="B958"/>
  <c r="C957"/>
  <c r="D957" s="1"/>
  <c r="D956"/>
  <c r="C956"/>
  <c r="B956"/>
  <c r="C955"/>
  <c r="D955" s="1"/>
  <c r="D954"/>
  <c r="C954"/>
  <c r="B954"/>
  <c r="C953"/>
  <c r="D953" s="1"/>
  <c r="D952"/>
  <c r="C952"/>
  <c r="B952"/>
  <c r="C951"/>
  <c r="D951" s="1"/>
  <c r="D950"/>
  <c r="C950"/>
  <c r="B950"/>
  <c r="C949"/>
  <c r="D949" s="1"/>
  <c r="D948"/>
  <c r="C948"/>
  <c r="B948"/>
  <c r="C947"/>
  <c r="D947" s="1"/>
  <c r="D946"/>
  <c r="C946"/>
  <c r="B946"/>
  <c r="C945"/>
  <c r="D945" s="1"/>
  <c r="D944"/>
  <c r="C944"/>
  <c r="B944"/>
  <c r="C943"/>
  <c r="D943" s="1"/>
  <c r="D942"/>
  <c r="C942"/>
  <c r="B942"/>
  <c r="C941"/>
  <c r="D941" s="1"/>
  <c r="D940"/>
  <c r="C940"/>
  <c r="B940"/>
  <c r="C939"/>
  <c r="D939" s="1"/>
  <c r="D938"/>
  <c r="C938"/>
  <c r="B938"/>
  <c r="C937"/>
  <c r="D937" s="1"/>
  <c r="D936"/>
  <c r="C936"/>
  <c r="B936"/>
  <c r="C935"/>
  <c r="D935" s="1"/>
  <c r="D934"/>
  <c r="C934"/>
  <c r="B934"/>
  <c r="C933"/>
  <c r="D933" s="1"/>
  <c r="D932"/>
  <c r="C932"/>
  <c r="B932"/>
  <c r="C931"/>
  <c r="D931" s="1"/>
  <c r="D930"/>
  <c r="C930"/>
  <c r="B930"/>
  <c r="C929"/>
  <c r="D929" s="1"/>
  <c r="D928"/>
  <c r="C928"/>
  <c r="B928"/>
  <c r="C927"/>
  <c r="D927" s="1"/>
  <c r="D926"/>
  <c r="C926"/>
  <c r="B926"/>
  <c r="C925"/>
  <c r="D925" s="1"/>
  <c r="D924"/>
  <c r="C924"/>
  <c r="B924"/>
  <c r="C923"/>
  <c r="D923" s="1"/>
  <c r="D922"/>
  <c r="C922"/>
  <c r="B922"/>
  <c r="C921"/>
  <c r="D921" s="1"/>
  <c r="D920"/>
  <c r="C920"/>
  <c r="B920"/>
  <c r="C919"/>
  <c r="D919" s="1"/>
  <c r="D918"/>
  <c r="C918"/>
  <c r="B918"/>
  <c r="C917"/>
  <c r="D917" s="1"/>
  <c r="D916"/>
  <c r="C916"/>
  <c r="B916"/>
  <c r="C915"/>
  <c r="D915" s="1"/>
  <c r="D914"/>
  <c r="C914"/>
  <c r="B914"/>
  <c r="C913"/>
  <c r="D913" s="1"/>
  <c r="D912"/>
  <c r="C912"/>
  <c r="B912"/>
  <c r="C911"/>
  <c r="D911" s="1"/>
  <c r="D910"/>
  <c r="C910"/>
  <c r="B910"/>
  <c r="C909"/>
  <c r="D909" s="1"/>
  <c r="D908"/>
  <c r="C908"/>
  <c r="B908"/>
  <c r="C907"/>
  <c r="D907" s="1"/>
  <c r="D906"/>
  <c r="C906"/>
  <c r="B906"/>
  <c r="C905"/>
  <c r="D905" s="1"/>
  <c r="D904"/>
  <c r="C904"/>
  <c r="B904"/>
  <c r="C903"/>
  <c r="D903" s="1"/>
  <c r="D902"/>
  <c r="C902"/>
  <c r="B902"/>
  <c r="C901"/>
  <c r="D901" s="1"/>
  <c r="D900"/>
  <c r="C900"/>
  <c r="B900"/>
  <c r="C899"/>
  <c r="D899" s="1"/>
  <c r="D898"/>
  <c r="C898"/>
  <c r="B898"/>
  <c r="C897"/>
  <c r="D897" s="1"/>
  <c r="D896"/>
  <c r="C896"/>
  <c r="B896"/>
  <c r="C895"/>
  <c r="D895" s="1"/>
  <c r="D894"/>
  <c r="C894"/>
  <c r="B894"/>
  <c r="C893"/>
  <c r="D893" s="1"/>
  <c r="D892"/>
  <c r="C892"/>
  <c r="B892"/>
  <c r="C891"/>
  <c r="D891" s="1"/>
  <c r="D890"/>
  <c r="C890"/>
  <c r="B890"/>
  <c r="C889"/>
  <c r="D889" s="1"/>
  <c r="D888"/>
  <c r="C888"/>
  <c r="B888"/>
  <c r="C887"/>
  <c r="D887" s="1"/>
  <c r="D886"/>
  <c r="C886"/>
  <c r="B886"/>
  <c r="C885"/>
  <c r="D885" s="1"/>
  <c r="D884"/>
  <c r="C884"/>
  <c r="B884"/>
  <c r="C883"/>
  <c r="D883" s="1"/>
  <c r="D882"/>
  <c r="C882"/>
  <c r="B882"/>
  <c r="C881"/>
  <c r="D881" s="1"/>
  <c r="D880"/>
  <c r="C880"/>
  <c r="B880"/>
  <c r="C879"/>
  <c r="D879" s="1"/>
  <c r="D878"/>
  <c r="C878"/>
  <c r="B878"/>
  <c r="C877"/>
  <c r="D877" s="1"/>
  <c r="D876"/>
  <c r="C876"/>
  <c r="B876"/>
  <c r="C875"/>
  <c r="D875" s="1"/>
  <c r="D874"/>
  <c r="C874"/>
  <c r="B874"/>
  <c r="C873"/>
  <c r="D873" s="1"/>
  <c r="D872"/>
  <c r="C872"/>
  <c r="B872"/>
  <c r="C871"/>
  <c r="D871" s="1"/>
  <c r="D870"/>
  <c r="C870"/>
  <c r="B870"/>
  <c r="C869"/>
  <c r="D869" s="1"/>
  <c r="D868"/>
  <c r="C868"/>
  <c r="B868"/>
  <c r="C867"/>
  <c r="D867" s="1"/>
  <c r="D866"/>
  <c r="C866"/>
  <c r="B866"/>
  <c r="C865"/>
  <c r="D865" s="1"/>
  <c r="D864"/>
  <c r="C864"/>
  <c r="B864"/>
  <c r="C863"/>
  <c r="D863" s="1"/>
  <c r="D862"/>
  <c r="C862"/>
  <c r="B862"/>
  <c r="C861"/>
  <c r="D861" s="1"/>
  <c r="D860"/>
  <c r="C860"/>
  <c r="B860"/>
  <c r="C859"/>
  <c r="D859" s="1"/>
  <c r="D858"/>
  <c r="C858"/>
  <c r="B858"/>
  <c r="C857"/>
  <c r="D857" s="1"/>
  <c r="D856"/>
  <c r="C856"/>
  <c r="B856"/>
  <c r="C855"/>
  <c r="D855" s="1"/>
  <c r="D854"/>
  <c r="C854"/>
  <c r="B854"/>
  <c r="C853"/>
  <c r="D853" s="1"/>
  <c r="D852"/>
  <c r="C852"/>
  <c r="B852"/>
  <c r="C851"/>
  <c r="D851" s="1"/>
  <c r="D850"/>
  <c r="C850"/>
  <c r="B850"/>
  <c r="C849"/>
  <c r="D849" s="1"/>
  <c r="D848"/>
  <c r="C848"/>
  <c r="B848"/>
  <c r="C847"/>
  <c r="D847" s="1"/>
  <c r="D846"/>
  <c r="C846"/>
  <c r="B846"/>
  <c r="C845"/>
  <c r="D845" s="1"/>
  <c r="D844"/>
  <c r="C844"/>
  <c r="B844"/>
  <c r="C843"/>
  <c r="D843" s="1"/>
  <c r="D842"/>
  <c r="C842"/>
  <c r="B842"/>
  <c r="C841"/>
  <c r="D841" s="1"/>
  <c r="D840"/>
  <c r="C840"/>
  <c r="B840"/>
  <c r="C839"/>
  <c r="D839" s="1"/>
  <c r="D838"/>
  <c r="C838"/>
  <c r="B838"/>
  <c r="C837"/>
  <c r="D837" s="1"/>
  <c r="D836"/>
  <c r="C836"/>
  <c r="B836"/>
  <c r="C835"/>
  <c r="D835" s="1"/>
  <c r="D834"/>
  <c r="C834"/>
  <c r="B834"/>
  <c r="C833"/>
  <c r="D833" s="1"/>
  <c r="D832"/>
  <c r="C832"/>
  <c r="B832"/>
  <c r="C831"/>
  <c r="D831" s="1"/>
  <c r="D830"/>
  <c r="C830"/>
  <c r="B830"/>
  <c r="C829"/>
  <c r="D829" s="1"/>
  <c r="D828"/>
  <c r="C828"/>
  <c r="B828"/>
  <c r="C827"/>
  <c r="D827" s="1"/>
  <c r="D826"/>
  <c r="C826"/>
  <c r="B826"/>
  <c r="C825"/>
  <c r="D825" s="1"/>
  <c r="D824"/>
  <c r="C824"/>
  <c r="B824"/>
  <c r="C823"/>
  <c r="D823" s="1"/>
  <c r="D822"/>
  <c r="C822"/>
  <c r="B822"/>
  <c r="C821"/>
  <c r="D821" s="1"/>
  <c r="D820"/>
  <c r="C820"/>
  <c r="B820"/>
  <c r="C819"/>
  <c r="D819" s="1"/>
  <c r="D818"/>
  <c r="C818"/>
  <c r="B818"/>
  <c r="C817"/>
  <c r="D817" s="1"/>
  <c r="D816"/>
  <c r="C816"/>
  <c r="B816"/>
  <c r="C815"/>
  <c r="D815" s="1"/>
  <c r="D814"/>
  <c r="C814"/>
  <c r="B814"/>
  <c r="C813"/>
  <c r="D813" s="1"/>
  <c r="D812"/>
  <c r="C812"/>
  <c r="B812"/>
  <c r="C811"/>
  <c r="D811" s="1"/>
  <c r="D810"/>
  <c r="C810"/>
  <c r="B810"/>
  <c r="C809"/>
  <c r="D809" s="1"/>
  <c r="D808"/>
  <c r="C808"/>
  <c r="B808"/>
  <c r="C807"/>
  <c r="D807" s="1"/>
  <c r="D806"/>
  <c r="C806"/>
  <c r="B806"/>
  <c r="C805"/>
  <c r="D805" s="1"/>
  <c r="D804"/>
  <c r="C804"/>
  <c r="B804"/>
  <c r="C803"/>
  <c r="D803" s="1"/>
  <c r="D802"/>
  <c r="C802"/>
  <c r="B802"/>
  <c r="C801"/>
  <c r="D801" s="1"/>
  <c r="D800"/>
  <c r="C800"/>
  <c r="B800"/>
  <c r="C799"/>
  <c r="D799" s="1"/>
  <c r="D798"/>
  <c r="C798"/>
  <c r="B798"/>
  <c r="C797"/>
  <c r="D797" s="1"/>
  <c r="D796"/>
  <c r="C796"/>
  <c r="B796"/>
  <c r="C795"/>
  <c r="D795" s="1"/>
  <c r="D794"/>
  <c r="C794"/>
  <c r="B794"/>
  <c r="C793"/>
  <c r="D793" s="1"/>
  <c r="D792"/>
  <c r="C792"/>
  <c r="B792"/>
  <c r="C791"/>
  <c r="D791" s="1"/>
  <c r="D790"/>
  <c r="C790"/>
  <c r="B790"/>
  <c r="C789"/>
  <c r="D789" s="1"/>
  <c r="D788"/>
  <c r="C788"/>
  <c r="B788"/>
  <c r="C787"/>
  <c r="D787" s="1"/>
  <c r="D786"/>
  <c r="C786"/>
  <c r="B786"/>
  <c r="C785"/>
  <c r="D785" s="1"/>
  <c r="D784"/>
  <c r="C784"/>
  <c r="B784"/>
  <c r="C783"/>
  <c r="D783" s="1"/>
  <c r="D782"/>
  <c r="C782"/>
  <c r="B782"/>
  <c r="C781"/>
  <c r="D781" s="1"/>
  <c r="D780"/>
  <c r="C780"/>
  <c r="B780"/>
  <c r="C779"/>
  <c r="D779" s="1"/>
  <c r="D778"/>
  <c r="C778"/>
  <c r="B778"/>
  <c r="C777"/>
  <c r="D777" s="1"/>
  <c r="D776"/>
  <c r="C776"/>
  <c r="B776"/>
  <c r="C775"/>
  <c r="D775" s="1"/>
  <c r="D774"/>
  <c r="C774"/>
  <c r="B774"/>
  <c r="C773"/>
  <c r="D773" s="1"/>
  <c r="D772"/>
  <c r="C772"/>
  <c r="B772"/>
  <c r="C771"/>
  <c r="D771" s="1"/>
  <c r="D770"/>
  <c r="C770"/>
  <c r="B770"/>
  <c r="C769"/>
  <c r="D769" s="1"/>
  <c r="D768"/>
  <c r="C768"/>
  <c r="B768"/>
  <c r="C767"/>
  <c r="D767" s="1"/>
  <c r="D766"/>
  <c r="C766"/>
  <c r="B766"/>
  <c r="C765"/>
  <c r="D765" s="1"/>
  <c r="D764"/>
  <c r="C764"/>
  <c r="B764"/>
  <c r="C763"/>
  <c r="D763" s="1"/>
  <c r="D762"/>
  <c r="C762"/>
  <c r="B762"/>
  <c r="C761"/>
  <c r="D761" s="1"/>
  <c r="D760"/>
  <c r="C760"/>
  <c r="B760"/>
  <c r="C759"/>
  <c r="D759" s="1"/>
  <c r="D758"/>
  <c r="C758"/>
  <c r="B758"/>
  <c r="C757"/>
  <c r="D757" s="1"/>
  <c r="D756"/>
  <c r="C756"/>
  <c r="B756"/>
  <c r="C755"/>
  <c r="D755" s="1"/>
  <c r="D754"/>
  <c r="C754"/>
  <c r="B754"/>
  <c r="C753"/>
  <c r="D753" s="1"/>
  <c r="D752"/>
  <c r="C752"/>
  <c r="B752"/>
  <c r="C751"/>
  <c r="D751" s="1"/>
  <c r="D750"/>
  <c r="C750"/>
  <c r="B750"/>
  <c r="C749"/>
  <c r="D749" s="1"/>
  <c r="D748"/>
  <c r="C748"/>
  <c r="B748"/>
  <c r="C747"/>
  <c r="D747" s="1"/>
  <c r="D746"/>
  <c r="C746"/>
  <c r="B746"/>
  <c r="C745"/>
  <c r="D745" s="1"/>
  <c r="D744"/>
  <c r="C744"/>
  <c r="B744"/>
  <c r="C743"/>
  <c r="D743" s="1"/>
  <c r="D742"/>
  <c r="C742"/>
  <c r="B742"/>
  <c r="C741"/>
  <c r="D741" s="1"/>
  <c r="D740"/>
  <c r="C740"/>
  <c r="B740"/>
  <c r="C739"/>
  <c r="D739" s="1"/>
  <c r="D738"/>
  <c r="C738"/>
  <c r="B738"/>
  <c r="C737"/>
  <c r="D737" s="1"/>
  <c r="D736"/>
  <c r="C736"/>
  <c r="B736"/>
  <c r="C735"/>
  <c r="D735" s="1"/>
  <c r="D734"/>
  <c r="C734"/>
  <c r="B734"/>
  <c r="C733"/>
  <c r="D733" s="1"/>
  <c r="D732"/>
  <c r="C732"/>
  <c r="B732"/>
  <c r="C731"/>
  <c r="D731" s="1"/>
  <c r="D730"/>
  <c r="C730"/>
  <c r="B730"/>
  <c r="C729"/>
  <c r="D729" s="1"/>
  <c r="D728"/>
  <c r="C728"/>
  <c r="B728"/>
  <c r="C727"/>
  <c r="D727" s="1"/>
  <c r="D726"/>
  <c r="C726"/>
  <c r="B726"/>
  <c r="C725"/>
  <c r="D725" s="1"/>
  <c r="D724"/>
  <c r="C724"/>
  <c r="B724"/>
  <c r="C723"/>
  <c r="D723" s="1"/>
  <c r="D722"/>
  <c r="C722"/>
  <c r="B722"/>
  <c r="C721"/>
  <c r="D721" s="1"/>
  <c r="D720"/>
  <c r="C720"/>
  <c r="B720"/>
  <c r="C719"/>
  <c r="D719" s="1"/>
  <c r="D718"/>
  <c r="C718"/>
  <c r="B718"/>
  <c r="C717"/>
  <c r="D717" s="1"/>
  <c r="D716"/>
  <c r="C716"/>
  <c r="B716"/>
  <c r="C715"/>
  <c r="D715" s="1"/>
  <c r="D714"/>
  <c r="C714"/>
  <c r="B714"/>
  <c r="C713"/>
  <c r="D713" s="1"/>
  <c r="D712"/>
  <c r="C712"/>
  <c r="B712"/>
  <c r="C711"/>
  <c r="D711" s="1"/>
  <c r="D710"/>
  <c r="C710"/>
  <c r="B710"/>
  <c r="C709"/>
  <c r="D709" s="1"/>
  <c r="D708"/>
  <c r="C708"/>
  <c r="B708"/>
  <c r="C707"/>
  <c r="D707" s="1"/>
  <c r="D706"/>
  <c r="C706"/>
  <c r="B706"/>
  <c r="C705"/>
  <c r="D705" s="1"/>
  <c r="D704"/>
  <c r="C704"/>
  <c r="B704"/>
  <c r="C703"/>
  <c r="D703" s="1"/>
  <c r="D702"/>
  <c r="C702"/>
  <c r="B702"/>
  <c r="C701"/>
  <c r="D701" s="1"/>
  <c r="D700"/>
  <c r="C700"/>
  <c r="B700"/>
  <c r="C699"/>
  <c r="D699" s="1"/>
  <c r="D698"/>
  <c r="C698"/>
  <c r="B698"/>
  <c r="C697"/>
  <c r="D697" s="1"/>
  <c r="D696"/>
  <c r="C696"/>
  <c r="B696"/>
  <c r="C695"/>
  <c r="D695" s="1"/>
  <c r="D694"/>
  <c r="C694"/>
  <c r="B694"/>
  <c r="C693"/>
  <c r="D693" s="1"/>
  <c r="D692"/>
  <c r="C692"/>
  <c r="B692"/>
  <c r="C691"/>
  <c r="D691" s="1"/>
  <c r="D690"/>
  <c r="C690"/>
  <c r="B690"/>
  <c r="C689"/>
  <c r="D689" s="1"/>
  <c r="D688"/>
  <c r="C688"/>
  <c r="B688"/>
  <c r="C687"/>
  <c r="D687" s="1"/>
  <c r="D686"/>
  <c r="C686"/>
  <c r="B686"/>
  <c r="C685"/>
  <c r="D685" s="1"/>
  <c r="D684"/>
  <c r="C684"/>
  <c r="B684"/>
  <c r="C683"/>
  <c r="D683" s="1"/>
  <c r="D682"/>
  <c r="C682"/>
  <c r="B682"/>
  <c r="C681"/>
  <c r="D681" s="1"/>
  <c r="D680"/>
  <c r="C680"/>
  <c r="B680"/>
  <c r="C679"/>
  <c r="D679" s="1"/>
  <c r="D678"/>
  <c r="C678"/>
  <c r="B678"/>
  <c r="C677"/>
  <c r="D677" s="1"/>
  <c r="D676"/>
  <c r="C676"/>
  <c r="B676"/>
  <c r="C675"/>
  <c r="D675" s="1"/>
  <c r="D674"/>
  <c r="C674"/>
  <c r="B674"/>
  <c r="C673"/>
  <c r="D673" s="1"/>
  <c r="D672"/>
  <c r="C672"/>
  <c r="B672"/>
  <c r="C671"/>
  <c r="D671" s="1"/>
  <c r="D670"/>
  <c r="C670"/>
  <c r="B670"/>
  <c r="C669"/>
  <c r="D669" s="1"/>
  <c r="D668"/>
  <c r="C668"/>
  <c r="B668"/>
  <c r="C667"/>
  <c r="D667" s="1"/>
  <c r="D666"/>
  <c r="C666"/>
  <c r="B666"/>
  <c r="C665"/>
  <c r="D665" s="1"/>
  <c r="D664"/>
  <c r="C664"/>
  <c r="B664"/>
  <c r="C663"/>
  <c r="D663" s="1"/>
  <c r="D662"/>
  <c r="C662"/>
  <c r="B662"/>
  <c r="C661"/>
  <c r="D661" s="1"/>
  <c r="D660"/>
  <c r="C660"/>
  <c r="B660"/>
  <c r="C659"/>
  <c r="D659" s="1"/>
  <c r="D658"/>
  <c r="C658"/>
  <c r="B658"/>
  <c r="C657"/>
  <c r="D657" s="1"/>
  <c r="D656"/>
  <c r="C656"/>
  <c r="B656"/>
  <c r="C655"/>
  <c r="D655" s="1"/>
  <c r="D654"/>
  <c r="C654"/>
  <c r="B654"/>
  <c r="C653"/>
  <c r="D653" s="1"/>
  <c r="D652"/>
  <c r="C652"/>
  <c r="B652"/>
  <c r="C651"/>
  <c r="D651" s="1"/>
  <c r="D650"/>
  <c r="C650"/>
  <c r="B650"/>
  <c r="C649"/>
  <c r="D649" s="1"/>
  <c r="D648"/>
  <c r="C648"/>
  <c r="B648"/>
  <c r="C647"/>
  <c r="D647" s="1"/>
  <c r="D646"/>
  <c r="C646"/>
  <c r="B646"/>
  <c r="C645"/>
  <c r="D645" s="1"/>
  <c r="D644"/>
  <c r="C644"/>
  <c r="B644"/>
  <c r="C643"/>
  <c r="D643" s="1"/>
  <c r="D642"/>
  <c r="C642"/>
  <c r="B642"/>
  <c r="C641"/>
  <c r="D641" s="1"/>
  <c r="D640"/>
  <c r="C640"/>
  <c r="B640"/>
  <c r="C639"/>
  <c r="D639" s="1"/>
  <c r="D638"/>
  <c r="C638"/>
  <c r="B638"/>
  <c r="C637"/>
  <c r="D637" s="1"/>
  <c r="D636"/>
  <c r="C636"/>
  <c r="B636"/>
  <c r="C635"/>
  <c r="D635" s="1"/>
  <c r="D634"/>
  <c r="C634"/>
  <c r="B634"/>
  <c r="C633"/>
  <c r="D633" s="1"/>
  <c r="D632"/>
  <c r="C632"/>
  <c r="B632"/>
  <c r="C631"/>
  <c r="D631" s="1"/>
  <c r="D630"/>
  <c r="C630"/>
  <c r="B630"/>
  <c r="C629"/>
  <c r="D629" s="1"/>
  <c r="D628"/>
  <c r="C628"/>
  <c r="B628"/>
  <c r="C627"/>
  <c r="D627" s="1"/>
  <c r="D626"/>
  <c r="C626"/>
  <c r="B626"/>
  <c r="C625"/>
  <c r="D625" s="1"/>
  <c r="D624"/>
  <c r="C624"/>
  <c r="B624"/>
  <c r="C623"/>
  <c r="D623" s="1"/>
  <c r="D622"/>
  <c r="C622"/>
  <c r="B622"/>
  <c r="C621"/>
  <c r="D621" s="1"/>
  <c r="D620"/>
  <c r="C620"/>
  <c r="B620"/>
  <c r="C619"/>
  <c r="D619" s="1"/>
  <c r="D618"/>
  <c r="C618"/>
  <c r="B618"/>
  <c r="C617"/>
  <c r="D617" s="1"/>
  <c r="D616"/>
  <c r="C616"/>
  <c r="B616"/>
  <c r="C615"/>
  <c r="D615" s="1"/>
  <c r="D614"/>
  <c r="C614"/>
  <c r="B614"/>
  <c r="C613"/>
  <c r="D613" s="1"/>
  <c r="D612"/>
  <c r="C612"/>
  <c r="B612"/>
  <c r="C611"/>
  <c r="D611" s="1"/>
  <c r="D610"/>
  <c r="C610"/>
  <c r="B610"/>
  <c r="C609"/>
  <c r="D609" s="1"/>
  <c r="D608"/>
  <c r="C608"/>
  <c r="B608"/>
  <c r="C607"/>
  <c r="D607" s="1"/>
  <c r="D606"/>
  <c r="C606"/>
  <c r="B606"/>
  <c r="C605"/>
  <c r="D605" s="1"/>
  <c r="D604"/>
  <c r="C604"/>
  <c r="B604"/>
  <c r="C603"/>
  <c r="D603" s="1"/>
  <c r="D602"/>
  <c r="C602"/>
  <c r="B602"/>
  <c r="C601"/>
  <c r="D601" s="1"/>
  <c r="D600"/>
  <c r="C600"/>
  <c r="B600"/>
  <c r="C599"/>
  <c r="D599" s="1"/>
  <c r="D598"/>
  <c r="C598"/>
  <c r="B598"/>
  <c r="C597"/>
  <c r="D597" s="1"/>
  <c r="D596"/>
  <c r="C596"/>
  <c r="B596"/>
  <c r="C595"/>
  <c r="D595" s="1"/>
  <c r="D594"/>
  <c r="C594"/>
  <c r="B594"/>
  <c r="C593"/>
  <c r="D593" s="1"/>
  <c r="D592"/>
  <c r="C592"/>
  <c r="B592"/>
  <c r="C591"/>
  <c r="D591" s="1"/>
  <c r="D590"/>
  <c r="C590"/>
  <c r="B590"/>
  <c r="C589"/>
  <c r="D589" s="1"/>
  <c r="D588"/>
  <c r="C588"/>
  <c r="B588"/>
  <c r="C587"/>
  <c r="D587" s="1"/>
  <c r="D586"/>
  <c r="C586"/>
  <c r="B586"/>
  <c r="C585"/>
  <c r="D585" s="1"/>
  <c r="D584"/>
  <c r="C584"/>
  <c r="B584"/>
  <c r="C583"/>
  <c r="D583" s="1"/>
  <c r="D582"/>
  <c r="C582"/>
  <c r="B582"/>
  <c r="C581"/>
  <c r="D581" s="1"/>
  <c r="D580"/>
  <c r="C580"/>
  <c r="B580"/>
  <c r="C579"/>
  <c r="D579" s="1"/>
  <c r="D578"/>
  <c r="C578"/>
  <c r="B578"/>
  <c r="C577"/>
  <c r="D577" s="1"/>
  <c r="D576"/>
  <c r="C576"/>
  <c r="B576"/>
  <c r="C575"/>
  <c r="D575" s="1"/>
  <c r="D574"/>
  <c r="C574"/>
  <c r="B574"/>
  <c r="C573"/>
  <c r="D573" s="1"/>
  <c r="D572"/>
  <c r="C572"/>
  <c r="B572"/>
  <c r="C571"/>
  <c r="D571" s="1"/>
  <c r="D570"/>
  <c r="C570"/>
  <c r="B570"/>
  <c r="C569"/>
  <c r="D569" s="1"/>
  <c r="D568"/>
  <c r="C568"/>
  <c r="B568"/>
  <c r="C567"/>
  <c r="D567" s="1"/>
  <c r="D566"/>
  <c r="C566"/>
  <c r="B566"/>
  <c r="C565"/>
  <c r="D565" s="1"/>
  <c r="D564"/>
  <c r="C564"/>
  <c r="B564"/>
  <c r="C563"/>
  <c r="D563" s="1"/>
  <c r="D562"/>
  <c r="C562"/>
  <c r="B562"/>
  <c r="C561"/>
  <c r="D561" s="1"/>
  <c r="D560"/>
  <c r="C560"/>
  <c r="B560"/>
  <c r="C559"/>
  <c r="D559" s="1"/>
  <c r="D558"/>
  <c r="C558"/>
  <c r="B558"/>
  <c r="C557"/>
  <c r="D557" s="1"/>
  <c r="D556"/>
  <c r="C556"/>
  <c r="B556"/>
  <c r="C555"/>
  <c r="D555" s="1"/>
  <c r="D554"/>
  <c r="C554"/>
  <c r="B554"/>
  <c r="C553"/>
  <c r="D553" s="1"/>
  <c r="D552"/>
  <c r="C552"/>
  <c r="B552"/>
  <c r="C551"/>
  <c r="D551" s="1"/>
  <c r="D550"/>
  <c r="C550"/>
  <c r="B550"/>
  <c r="C549"/>
  <c r="D549" s="1"/>
  <c r="D548"/>
  <c r="C548"/>
  <c r="B548"/>
  <c r="C547"/>
  <c r="D547" s="1"/>
  <c r="D546"/>
  <c r="C546"/>
  <c r="B546"/>
  <c r="C545"/>
  <c r="D545" s="1"/>
  <c r="D544"/>
  <c r="C544"/>
  <c r="B544"/>
  <c r="C543"/>
  <c r="D543" s="1"/>
  <c r="D542"/>
  <c r="C542"/>
  <c r="B542"/>
  <c r="C541"/>
  <c r="D541" s="1"/>
  <c r="D540"/>
  <c r="C540"/>
  <c r="B540"/>
  <c r="C539"/>
  <c r="D539" s="1"/>
  <c r="D538"/>
  <c r="C538"/>
  <c r="B538"/>
  <c r="C537"/>
  <c r="D537" s="1"/>
  <c r="D536"/>
  <c r="C536"/>
  <c r="B536"/>
  <c r="C535"/>
  <c r="D535" s="1"/>
  <c r="D534"/>
  <c r="C534"/>
  <c r="B534"/>
  <c r="C533"/>
  <c r="D533" s="1"/>
  <c r="D532"/>
  <c r="C532"/>
  <c r="B532"/>
  <c r="C531"/>
  <c r="D531" s="1"/>
  <c r="D530"/>
  <c r="C530"/>
  <c r="B530"/>
  <c r="C529"/>
  <c r="D529" s="1"/>
  <c r="D528"/>
  <c r="C528"/>
  <c r="B528"/>
  <c r="C527"/>
  <c r="D527" s="1"/>
  <c r="D526"/>
  <c r="C526"/>
  <c r="B526"/>
  <c r="C525"/>
  <c r="D525" s="1"/>
  <c r="D524"/>
  <c r="C524"/>
  <c r="B524"/>
  <c r="C523"/>
  <c r="D523" s="1"/>
  <c r="D522"/>
  <c r="C522"/>
  <c r="B522"/>
  <c r="C521"/>
  <c r="D521" s="1"/>
  <c r="D520"/>
  <c r="C520"/>
  <c r="B520"/>
  <c r="C519"/>
  <c r="D519" s="1"/>
  <c r="D518"/>
  <c r="C518"/>
  <c r="B518"/>
  <c r="C517"/>
  <c r="D517" s="1"/>
  <c r="D516"/>
  <c r="C516"/>
  <c r="B516"/>
  <c r="C515"/>
  <c r="D515" s="1"/>
  <c r="D514"/>
  <c r="C514"/>
  <c r="B514"/>
  <c r="C513"/>
  <c r="D513" s="1"/>
  <c r="D512"/>
  <c r="C512"/>
  <c r="B512"/>
  <c r="C511"/>
  <c r="D511" s="1"/>
  <c r="D510"/>
  <c r="C510"/>
  <c r="B510"/>
  <c r="C509"/>
  <c r="D509" s="1"/>
  <c r="D508"/>
  <c r="C508"/>
  <c r="B508"/>
  <c r="C507"/>
  <c r="D507" s="1"/>
  <c r="D506"/>
  <c r="C506"/>
  <c r="B506"/>
  <c r="C505"/>
  <c r="D505" s="1"/>
  <c r="D504"/>
  <c r="C504"/>
  <c r="B504"/>
  <c r="C503"/>
  <c r="D503" s="1"/>
  <c r="D502"/>
  <c r="C502"/>
  <c r="B502"/>
  <c r="C501"/>
  <c r="D501" s="1"/>
  <c r="D500"/>
  <c r="C500"/>
  <c r="B500"/>
  <c r="C499"/>
  <c r="D499" s="1"/>
  <c r="D498"/>
  <c r="C498"/>
  <c r="B498"/>
  <c r="C497"/>
  <c r="D497" s="1"/>
  <c r="D496"/>
  <c r="C496"/>
  <c r="B496"/>
  <c r="C495"/>
  <c r="D495" s="1"/>
  <c r="D494"/>
  <c r="C494"/>
  <c r="B494"/>
  <c r="C493"/>
  <c r="D493" s="1"/>
  <c r="D492"/>
  <c r="C492"/>
  <c r="B492"/>
  <c r="C491"/>
  <c r="D491" s="1"/>
  <c r="D490"/>
  <c r="C490"/>
  <c r="B490"/>
  <c r="C489"/>
  <c r="D489" s="1"/>
  <c r="D488"/>
  <c r="C488"/>
  <c r="B488"/>
  <c r="C487"/>
  <c r="D487" s="1"/>
  <c r="D486"/>
  <c r="C486"/>
  <c r="B486"/>
  <c r="C485"/>
  <c r="D485" s="1"/>
  <c r="D484"/>
  <c r="C484"/>
  <c r="B484"/>
  <c r="C483"/>
  <c r="D483" s="1"/>
  <c r="D482"/>
  <c r="C482"/>
  <c r="B482"/>
  <c r="C481"/>
  <c r="D481" s="1"/>
  <c r="D480"/>
  <c r="C480"/>
  <c r="B480"/>
  <c r="C479"/>
  <c r="D479" s="1"/>
  <c r="D478"/>
  <c r="C478"/>
  <c r="B478"/>
  <c r="C477"/>
  <c r="D477" s="1"/>
  <c r="D476"/>
  <c r="C476"/>
  <c r="B476"/>
  <c r="C475"/>
  <c r="D475" s="1"/>
  <c r="D474"/>
  <c r="C474"/>
  <c r="B474"/>
  <c r="C473"/>
  <c r="D473" s="1"/>
  <c r="D472"/>
  <c r="C472"/>
  <c r="B472"/>
  <c r="C471"/>
  <c r="D471" s="1"/>
  <c r="D470"/>
  <c r="C470"/>
  <c r="B470"/>
  <c r="C469"/>
  <c r="D469" s="1"/>
  <c r="D468"/>
  <c r="C468"/>
  <c r="B468"/>
  <c r="C467"/>
  <c r="D467" s="1"/>
  <c r="D466"/>
  <c r="C466"/>
  <c r="B466"/>
  <c r="C465"/>
  <c r="D465" s="1"/>
  <c r="D464"/>
  <c r="C464"/>
  <c r="B464"/>
  <c r="C463"/>
  <c r="D463" s="1"/>
  <c r="D462"/>
  <c r="C462"/>
  <c r="B462"/>
  <c r="C461"/>
  <c r="D461" s="1"/>
  <c r="D460"/>
  <c r="C460"/>
  <c r="B460"/>
  <c r="C459"/>
  <c r="D459" s="1"/>
  <c r="D458"/>
  <c r="C458"/>
  <c r="B458"/>
  <c r="C457"/>
  <c r="D457" s="1"/>
  <c r="D456"/>
  <c r="C456"/>
  <c r="B456"/>
  <c r="C455"/>
  <c r="D455" s="1"/>
  <c r="D454"/>
  <c r="C454"/>
  <c r="B454"/>
  <c r="C453"/>
  <c r="D453" s="1"/>
  <c r="D452"/>
  <c r="C452"/>
  <c r="B452"/>
  <c r="C451"/>
  <c r="D451" s="1"/>
  <c r="D450"/>
  <c r="C450"/>
  <c r="B450"/>
  <c r="C449"/>
  <c r="D449" s="1"/>
  <c r="D448"/>
  <c r="C448"/>
  <c r="B448"/>
  <c r="C447"/>
  <c r="D447" s="1"/>
  <c r="D446"/>
  <c r="C446"/>
  <c r="B446"/>
  <c r="C445"/>
  <c r="D445" s="1"/>
  <c r="D444"/>
  <c r="C444"/>
  <c r="B444"/>
  <c r="C443"/>
  <c r="D443" s="1"/>
  <c r="D442"/>
  <c r="C442"/>
  <c r="B442"/>
  <c r="C441"/>
  <c r="D441" s="1"/>
  <c r="D440"/>
  <c r="C440"/>
  <c r="B440"/>
  <c r="C439"/>
  <c r="D439" s="1"/>
  <c r="D438"/>
  <c r="C438"/>
  <c r="B438"/>
  <c r="C437"/>
  <c r="D437" s="1"/>
  <c r="D436"/>
  <c r="C436"/>
  <c r="B436"/>
  <c r="C435"/>
  <c r="D435" s="1"/>
  <c r="D434"/>
  <c r="C434"/>
  <c r="B434"/>
  <c r="C433"/>
  <c r="D433" s="1"/>
  <c r="D432"/>
  <c r="C432"/>
  <c r="B432"/>
  <c r="C431"/>
  <c r="D431" s="1"/>
  <c r="D430"/>
  <c r="C430"/>
  <c r="B430"/>
  <c r="C429"/>
  <c r="D429" s="1"/>
  <c r="D428"/>
  <c r="C428"/>
  <c r="B428"/>
  <c r="C427"/>
  <c r="D427" s="1"/>
  <c r="D426"/>
  <c r="C426"/>
  <c r="B426"/>
  <c r="C425"/>
  <c r="D425" s="1"/>
  <c r="D424"/>
  <c r="C424"/>
  <c r="B424"/>
  <c r="C423"/>
  <c r="D423" s="1"/>
  <c r="D422"/>
  <c r="C422"/>
  <c r="B422"/>
  <c r="C421"/>
  <c r="D421" s="1"/>
  <c r="D420"/>
  <c r="C420"/>
  <c r="B420"/>
  <c r="C419"/>
  <c r="D419" s="1"/>
  <c r="D418"/>
  <c r="C418"/>
  <c r="B418"/>
  <c r="C417"/>
  <c r="D417" s="1"/>
  <c r="D416"/>
  <c r="C416"/>
  <c r="B416"/>
  <c r="C415"/>
  <c r="D415" s="1"/>
  <c r="D414"/>
  <c r="C414"/>
  <c r="B414"/>
  <c r="C413"/>
  <c r="D413" s="1"/>
  <c r="D412"/>
  <c r="C412"/>
  <c r="B412"/>
  <c r="C411"/>
  <c r="D411" s="1"/>
  <c r="D410"/>
  <c r="C410"/>
  <c r="B410"/>
  <c r="C409"/>
  <c r="D409" s="1"/>
  <c r="D408"/>
  <c r="C408"/>
  <c r="B408"/>
  <c r="C407"/>
  <c r="D407" s="1"/>
  <c r="D406"/>
  <c r="C406"/>
  <c r="B406"/>
  <c r="C405"/>
  <c r="D405" s="1"/>
  <c r="D404"/>
  <c r="C404"/>
  <c r="B404"/>
  <c r="C403"/>
  <c r="D403" s="1"/>
  <c r="D402"/>
  <c r="C402"/>
  <c r="B402"/>
  <c r="C401"/>
  <c r="D401" s="1"/>
  <c r="D400"/>
  <c r="C400"/>
  <c r="B400"/>
  <c r="C399"/>
  <c r="D399" s="1"/>
  <c r="D398"/>
  <c r="C398"/>
  <c r="B398"/>
  <c r="C397"/>
  <c r="D397" s="1"/>
  <c r="D396"/>
  <c r="C396"/>
  <c r="B396"/>
  <c r="C395"/>
  <c r="D395" s="1"/>
  <c r="D394"/>
  <c r="C394"/>
  <c r="B394"/>
  <c r="C393"/>
  <c r="D393" s="1"/>
  <c r="D392"/>
  <c r="C392"/>
  <c r="B392"/>
  <c r="C391"/>
  <c r="D391" s="1"/>
  <c r="D390"/>
  <c r="C390"/>
  <c r="B390"/>
  <c r="C389"/>
  <c r="D389" s="1"/>
  <c r="D388"/>
  <c r="C388"/>
  <c r="B388"/>
  <c r="C387"/>
  <c r="D387" s="1"/>
  <c r="D386"/>
  <c r="C386"/>
  <c r="B386"/>
  <c r="C385"/>
  <c r="D385" s="1"/>
  <c r="D384"/>
  <c r="C384"/>
  <c r="B384"/>
  <c r="C383"/>
  <c r="D383" s="1"/>
  <c r="D382"/>
  <c r="C382"/>
  <c r="B382"/>
  <c r="C381"/>
  <c r="D381" s="1"/>
  <c r="D380"/>
  <c r="C380"/>
  <c r="B380"/>
  <c r="C379"/>
  <c r="D379" s="1"/>
  <c r="D378"/>
  <c r="C378"/>
  <c r="B378"/>
  <c r="C377"/>
  <c r="D377" s="1"/>
  <c r="D376"/>
  <c r="C376"/>
  <c r="B376"/>
  <c r="C375"/>
  <c r="D375" s="1"/>
  <c r="D374"/>
  <c r="C374"/>
  <c r="B374"/>
  <c r="C373"/>
  <c r="D373" s="1"/>
  <c r="D372"/>
  <c r="C372"/>
  <c r="B372"/>
  <c r="C371"/>
  <c r="D371" s="1"/>
  <c r="D370"/>
  <c r="C370"/>
  <c r="B370"/>
  <c r="C369"/>
  <c r="D369" s="1"/>
  <c r="D368"/>
  <c r="C368"/>
  <c r="B368"/>
  <c r="C367"/>
  <c r="D367" s="1"/>
  <c r="D366"/>
  <c r="C366"/>
  <c r="B366"/>
  <c r="C365"/>
  <c r="D365" s="1"/>
  <c r="D364"/>
  <c r="C364"/>
  <c r="B364"/>
  <c r="C363"/>
  <c r="D363" s="1"/>
  <c r="D362"/>
  <c r="C362"/>
  <c r="B362"/>
  <c r="C361"/>
  <c r="D361" s="1"/>
  <c r="D360"/>
  <c r="C360"/>
  <c r="B360"/>
  <c r="C359"/>
  <c r="D359" s="1"/>
  <c r="D358"/>
  <c r="C358"/>
  <c r="B358"/>
  <c r="C357"/>
  <c r="D357" s="1"/>
  <c r="D356"/>
  <c r="C356"/>
  <c r="B356"/>
  <c r="C355"/>
  <c r="D355" s="1"/>
  <c r="D354"/>
  <c r="C354"/>
  <c r="B354"/>
  <c r="C353"/>
  <c r="D353" s="1"/>
  <c r="D352"/>
  <c r="C352"/>
  <c r="B352"/>
  <c r="C351"/>
  <c r="D351" s="1"/>
  <c r="D350"/>
  <c r="C350"/>
  <c r="B350"/>
  <c r="C349"/>
  <c r="D349" s="1"/>
  <c r="D348"/>
  <c r="C348"/>
  <c r="B348"/>
  <c r="C347"/>
  <c r="D347" s="1"/>
  <c r="D346"/>
  <c r="C346"/>
  <c r="B346"/>
  <c r="C345"/>
  <c r="D345" s="1"/>
  <c r="D344"/>
  <c r="C344"/>
  <c r="B344"/>
  <c r="C343"/>
  <c r="D343" s="1"/>
  <c r="D342"/>
  <c r="C342"/>
  <c r="B342"/>
  <c r="C341"/>
  <c r="D341" s="1"/>
  <c r="D340"/>
  <c r="C340"/>
  <c r="B340"/>
  <c r="C339"/>
  <c r="D339" s="1"/>
  <c r="D338"/>
  <c r="C338"/>
  <c r="B338"/>
  <c r="C337"/>
  <c r="D337" s="1"/>
  <c r="D336"/>
  <c r="C336"/>
  <c r="B336"/>
  <c r="C335"/>
  <c r="D335" s="1"/>
  <c r="D334"/>
  <c r="C334"/>
  <c r="B334"/>
  <c r="C333"/>
  <c r="D333" s="1"/>
  <c r="D332"/>
  <c r="C332"/>
  <c r="B332"/>
  <c r="C331"/>
  <c r="D331" s="1"/>
  <c r="D330"/>
  <c r="C330"/>
  <c r="B330"/>
  <c r="C329"/>
  <c r="D329" s="1"/>
  <c r="D328"/>
  <c r="C328"/>
  <c r="B328"/>
  <c r="C327"/>
  <c r="D327" s="1"/>
  <c r="D326"/>
  <c r="C326"/>
  <c r="B326"/>
  <c r="C325"/>
  <c r="D325" s="1"/>
  <c r="D324"/>
  <c r="C324"/>
  <c r="B324"/>
  <c r="C323"/>
  <c r="D323" s="1"/>
  <c r="D322"/>
  <c r="C322"/>
  <c r="B322"/>
  <c r="C321"/>
  <c r="D321" s="1"/>
  <c r="D320"/>
  <c r="C320"/>
  <c r="B320"/>
  <c r="C319"/>
  <c r="D319" s="1"/>
  <c r="D318"/>
  <c r="C318"/>
  <c r="B318"/>
  <c r="C317"/>
  <c r="D317" s="1"/>
  <c r="D316"/>
  <c r="C316"/>
  <c r="B316"/>
  <c r="C315"/>
  <c r="D315" s="1"/>
  <c r="D314"/>
  <c r="C314"/>
  <c r="B314"/>
  <c r="C313"/>
  <c r="D313" s="1"/>
  <c r="D312"/>
  <c r="C312"/>
  <c r="B312"/>
  <c r="C311"/>
  <c r="D311" s="1"/>
  <c r="D310"/>
  <c r="C310"/>
  <c r="B310"/>
  <c r="C309"/>
  <c r="D309" s="1"/>
  <c r="D308"/>
  <c r="C308"/>
  <c r="B308"/>
  <c r="C307"/>
  <c r="D307" s="1"/>
  <c r="D306"/>
  <c r="C306"/>
  <c r="B306"/>
  <c r="C305"/>
  <c r="D305" s="1"/>
  <c r="D304"/>
  <c r="C304"/>
  <c r="B304"/>
  <c r="C303"/>
  <c r="D303" s="1"/>
  <c r="D302"/>
  <c r="C302"/>
  <c r="B302"/>
  <c r="C301"/>
  <c r="D301" s="1"/>
  <c r="D300"/>
  <c r="C300"/>
  <c r="B300"/>
  <c r="C299"/>
  <c r="D299" s="1"/>
  <c r="D298"/>
  <c r="C298"/>
  <c r="B298"/>
  <c r="C297"/>
  <c r="D297" s="1"/>
  <c r="D296"/>
  <c r="C296"/>
  <c r="B296"/>
  <c r="C295"/>
  <c r="D295" s="1"/>
  <c r="D294"/>
  <c r="C294"/>
  <c r="B294"/>
  <c r="C293"/>
  <c r="D293" s="1"/>
  <c r="D292"/>
  <c r="C292"/>
  <c r="B292"/>
  <c r="C291"/>
  <c r="D291" s="1"/>
  <c r="D290"/>
  <c r="C290"/>
  <c r="B290"/>
  <c r="C289"/>
  <c r="D289" s="1"/>
  <c r="D288"/>
  <c r="C288"/>
  <c r="B288"/>
  <c r="C287"/>
  <c r="D287" s="1"/>
  <c r="D286"/>
  <c r="C286"/>
  <c r="B286"/>
  <c r="C285"/>
  <c r="D285" s="1"/>
  <c r="D284"/>
  <c r="C284"/>
  <c r="B284"/>
  <c r="C283"/>
  <c r="D283" s="1"/>
  <c r="D282"/>
  <c r="C282"/>
  <c r="B282"/>
  <c r="C281"/>
  <c r="D281" s="1"/>
  <c r="D280"/>
  <c r="C280"/>
  <c r="B280"/>
  <c r="C279"/>
  <c r="D279" s="1"/>
  <c r="D278"/>
  <c r="C278"/>
  <c r="B278"/>
  <c r="C277"/>
  <c r="D277" s="1"/>
  <c r="D276"/>
  <c r="C276"/>
  <c r="B276"/>
  <c r="C275"/>
  <c r="D275" s="1"/>
  <c r="D274"/>
  <c r="C274"/>
  <c r="B274"/>
  <c r="C273"/>
  <c r="D273" s="1"/>
  <c r="D272"/>
  <c r="C272"/>
  <c r="B272"/>
  <c r="C271"/>
  <c r="D271" s="1"/>
  <c r="D270"/>
  <c r="C270"/>
  <c r="B270"/>
  <c r="C269"/>
  <c r="D269" s="1"/>
  <c r="D268"/>
  <c r="C268"/>
  <c r="B268"/>
  <c r="C267"/>
  <c r="D267" s="1"/>
  <c r="D266"/>
  <c r="C266"/>
  <c r="B266"/>
  <c r="C265"/>
  <c r="D265" s="1"/>
  <c r="D264"/>
  <c r="C264"/>
  <c r="B264"/>
  <c r="C263"/>
  <c r="D263" s="1"/>
  <c r="D262"/>
  <c r="C262"/>
  <c r="B262"/>
  <c r="C261"/>
  <c r="D261" s="1"/>
  <c r="D260"/>
  <c r="C260"/>
  <c r="B260"/>
  <c r="C259"/>
  <c r="D259" s="1"/>
  <c r="D258"/>
  <c r="C258"/>
  <c r="B258"/>
  <c r="C257"/>
  <c r="D257" s="1"/>
  <c r="D256"/>
  <c r="C256"/>
  <c r="B256"/>
  <c r="C255"/>
  <c r="D255" s="1"/>
  <c r="D254"/>
  <c r="C254"/>
  <c r="B254"/>
  <c r="C253"/>
  <c r="D253" s="1"/>
  <c r="D252"/>
  <c r="C252"/>
  <c r="B252"/>
  <c r="C251"/>
  <c r="D251" s="1"/>
  <c r="D250"/>
  <c r="C250"/>
  <c r="B250"/>
  <c r="C249"/>
  <c r="D249" s="1"/>
  <c r="D248"/>
  <c r="C248"/>
  <c r="B248"/>
  <c r="C247"/>
  <c r="D247" s="1"/>
  <c r="D246"/>
  <c r="C246"/>
  <c r="B246"/>
  <c r="C245"/>
  <c r="D245" s="1"/>
  <c r="D244"/>
  <c r="C244"/>
  <c r="B244"/>
  <c r="C243"/>
  <c r="D243" s="1"/>
  <c r="D242"/>
  <c r="C242"/>
  <c r="B242"/>
  <c r="C241"/>
  <c r="D241" s="1"/>
  <c r="D240"/>
  <c r="C240"/>
  <c r="B240"/>
  <c r="C239"/>
  <c r="D239" s="1"/>
  <c r="D238"/>
  <c r="C238"/>
  <c r="B238"/>
  <c r="C237"/>
  <c r="D237" s="1"/>
  <c r="D236"/>
  <c r="C236"/>
  <c r="B236"/>
  <c r="C235"/>
  <c r="D235" s="1"/>
  <c r="D234"/>
  <c r="C234"/>
  <c r="B234"/>
  <c r="C233"/>
  <c r="D233" s="1"/>
  <c r="D232"/>
  <c r="C232"/>
  <c r="B232"/>
  <c r="C231"/>
  <c r="D231" s="1"/>
  <c r="D230"/>
  <c r="C230"/>
  <c r="B230"/>
  <c r="C229"/>
  <c r="D229" s="1"/>
  <c r="D228"/>
  <c r="C228"/>
  <c r="B228"/>
  <c r="C227"/>
  <c r="D227" s="1"/>
  <c r="D226"/>
  <c r="C226"/>
  <c r="B226"/>
  <c r="C225"/>
  <c r="D225" s="1"/>
  <c r="D224"/>
  <c r="C224"/>
  <c r="B224"/>
  <c r="C223"/>
  <c r="D223" s="1"/>
  <c r="D222"/>
  <c r="C222"/>
  <c r="B222"/>
  <c r="C221"/>
  <c r="D221" s="1"/>
  <c r="D220"/>
  <c r="C220"/>
  <c r="B220"/>
  <c r="C219"/>
  <c r="D219" s="1"/>
  <c r="D218"/>
  <c r="C218"/>
  <c r="B218"/>
  <c r="C217"/>
  <c r="D217" s="1"/>
  <c r="D216"/>
  <c r="C216"/>
  <c r="B216"/>
  <c r="C215"/>
  <c r="D215" s="1"/>
  <c r="D214"/>
  <c r="C214"/>
  <c r="B214"/>
  <c r="C213"/>
  <c r="D213" s="1"/>
  <c r="D212"/>
  <c r="C212"/>
  <c r="B212"/>
  <c r="C211"/>
  <c r="D211" s="1"/>
  <c r="D210"/>
  <c r="C210"/>
  <c r="B210"/>
  <c r="C209"/>
  <c r="D209" s="1"/>
  <c r="D208"/>
  <c r="C208"/>
  <c r="B208"/>
  <c r="C207"/>
  <c r="D207" s="1"/>
  <c r="D206"/>
  <c r="C206"/>
  <c r="B206"/>
  <c r="C205"/>
  <c r="D205" s="1"/>
  <c r="D204"/>
  <c r="C204"/>
  <c r="B204"/>
  <c r="C203"/>
  <c r="D203" s="1"/>
  <c r="D202"/>
  <c r="C202"/>
  <c r="B202"/>
  <c r="C201"/>
  <c r="D201" s="1"/>
  <c r="D200"/>
  <c r="C200"/>
  <c r="B200"/>
  <c r="C199"/>
  <c r="D199" s="1"/>
  <c r="D198"/>
  <c r="C198"/>
  <c r="B198"/>
  <c r="C197"/>
  <c r="D197" s="1"/>
  <c r="D196"/>
  <c r="C196"/>
  <c r="B196"/>
  <c r="C195"/>
  <c r="D195" s="1"/>
  <c r="D194"/>
  <c r="C194"/>
  <c r="B194"/>
  <c r="C193"/>
  <c r="D193" s="1"/>
  <c r="D192"/>
  <c r="C192"/>
  <c r="B192"/>
  <c r="C191"/>
  <c r="D191" s="1"/>
  <c r="D190"/>
  <c r="C190"/>
  <c r="B190"/>
  <c r="C189"/>
  <c r="D189" s="1"/>
  <c r="D188"/>
  <c r="C188"/>
  <c r="B188"/>
  <c r="C187"/>
  <c r="D187" s="1"/>
  <c r="D186"/>
  <c r="C186"/>
  <c r="B186"/>
  <c r="C185"/>
  <c r="D185" s="1"/>
  <c r="D184"/>
  <c r="C184"/>
  <c r="B184"/>
  <c r="C183"/>
  <c r="D183" s="1"/>
  <c r="D182"/>
  <c r="C182"/>
  <c r="B182"/>
  <c r="C181"/>
  <c r="D181" s="1"/>
  <c r="D180"/>
  <c r="C180"/>
  <c r="B180"/>
  <c r="C179"/>
  <c r="D179" s="1"/>
  <c r="D178"/>
  <c r="C178"/>
  <c r="B178"/>
  <c r="C177"/>
  <c r="D177" s="1"/>
  <c r="D176"/>
  <c r="C176"/>
  <c r="B176"/>
  <c r="C175"/>
  <c r="D175" s="1"/>
  <c r="D174"/>
  <c r="C174"/>
  <c r="B174"/>
  <c r="C173"/>
  <c r="D173" s="1"/>
  <c r="D172"/>
  <c r="C172"/>
  <c r="B172"/>
  <c r="C171"/>
  <c r="D171" s="1"/>
  <c r="D170"/>
  <c r="C170"/>
  <c r="B170"/>
  <c r="C169"/>
  <c r="D169" s="1"/>
  <c r="D168"/>
  <c r="C168"/>
  <c r="B168"/>
  <c r="C167"/>
  <c r="D167" s="1"/>
  <c r="D166"/>
  <c r="C166"/>
  <c r="B166"/>
  <c r="C165"/>
  <c r="D165" s="1"/>
  <c r="D164"/>
  <c r="C164"/>
  <c r="B164"/>
  <c r="C163"/>
  <c r="D163" s="1"/>
  <c r="D162"/>
  <c r="C162"/>
  <c r="B162"/>
  <c r="C161"/>
  <c r="D161" s="1"/>
  <c r="D160"/>
  <c r="C160"/>
  <c r="B160"/>
  <c r="C159"/>
  <c r="D159" s="1"/>
  <c r="D158"/>
  <c r="C158"/>
  <c r="B158"/>
  <c r="C157"/>
  <c r="D157" s="1"/>
  <c r="D156"/>
  <c r="C156"/>
  <c r="B156"/>
  <c r="C155"/>
  <c r="D155" s="1"/>
  <c r="D154"/>
  <c r="C154"/>
  <c r="B154"/>
  <c r="C153"/>
  <c r="D153" s="1"/>
  <c r="D152"/>
  <c r="C152"/>
  <c r="B152"/>
  <c r="C151"/>
  <c r="D151" s="1"/>
  <c r="D150"/>
  <c r="C150"/>
  <c r="B150"/>
  <c r="C149"/>
  <c r="D149" s="1"/>
  <c r="D148"/>
  <c r="C148"/>
  <c r="B148"/>
  <c r="C147"/>
  <c r="D147" s="1"/>
  <c r="D146"/>
  <c r="C146"/>
  <c r="B146"/>
  <c r="C145"/>
  <c r="D145" s="1"/>
  <c r="D144"/>
  <c r="C144"/>
  <c r="B144"/>
  <c r="C143"/>
  <c r="D143" s="1"/>
  <c r="D142"/>
  <c r="C142"/>
  <c r="B142"/>
  <c r="C141"/>
  <c r="D141" s="1"/>
  <c r="D140"/>
  <c r="C140"/>
  <c r="B140"/>
  <c r="C139"/>
  <c r="D139" s="1"/>
  <c r="D138"/>
  <c r="C138"/>
  <c r="B138"/>
  <c r="C137"/>
  <c r="D137" s="1"/>
  <c r="D136"/>
  <c r="C136"/>
  <c r="B136"/>
  <c r="C135"/>
  <c r="D135" s="1"/>
  <c r="D134"/>
  <c r="C134"/>
  <c r="B134"/>
  <c r="C133"/>
  <c r="D133" s="1"/>
  <c r="D132"/>
  <c r="C132"/>
  <c r="B132"/>
  <c r="C131"/>
  <c r="D131" s="1"/>
  <c r="D130"/>
  <c r="C130"/>
  <c r="B130"/>
  <c r="C129"/>
  <c r="D129" s="1"/>
  <c r="D128"/>
  <c r="C128"/>
  <c r="B128"/>
  <c r="C127"/>
  <c r="D127" s="1"/>
  <c r="D126"/>
  <c r="C126"/>
  <c r="B126"/>
  <c r="C125"/>
  <c r="D125" s="1"/>
  <c r="D124"/>
  <c r="C124"/>
  <c r="B124"/>
  <c r="C123"/>
  <c r="D123" s="1"/>
  <c r="D122"/>
  <c r="C122"/>
  <c r="B122"/>
  <c r="C121"/>
  <c r="D121" s="1"/>
  <c r="D120"/>
  <c r="C120"/>
  <c r="B120"/>
  <c r="C119"/>
  <c r="D119" s="1"/>
  <c r="D118"/>
  <c r="C118"/>
  <c r="B118"/>
  <c r="C117"/>
  <c r="D117" s="1"/>
  <c r="D116"/>
  <c r="C116"/>
  <c r="B116"/>
  <c r="C115"/>
  <c r="D115" s="1"/>
  <c r="D114"/>
  <c r="C114"/>
  <c r="B114"/>
  <c r="C113"/>
  <c r="D113" s="1"/>
  <c r="D112"/>
  <c r="C112"/>
  <c r="B112"/>
  <c r="C111"/>
  <c r="D111" s="1"/>
  <c r="D110"/>
  <c r="C110"/>
  <c r="B110"/>
  <c r="C109"/>
  <c r="D109" s="1"/>
  <c r="D108"/>
  <c r="C108"/>
  <c r="B108"/>
  <c r="C107"/>
  <c r="D107" s="1"/>
  <c r="D106"/>
  <c r="C106"/>
  <c r="B106"/>
  <c r="C105"/>
  <c r="D105" s="1"/>
  <c r="D104"/>
  <c r="C104"/>
  <c r="B104"/>
  <c r="C103"/>
  <c r="D103" s="1"/>
  <c r="D102"/>
  <c r="C102"/>
  <c r="B102"/>
  <c r="C101"/>
  <c r="D101" s="1"/>
  <c r="D100"/>
  <c r="C100"/>
  <c r="B100"/>
  <c r="C99"/>
  <c r="D99" s="1"/>
  <c r="D98"/>
  <c r="C98"/>
  <c r="B98"/>
  <c r="C97"/>
  <c r="D97" s="1"/>
  <c r="D96"/>
  <c r="C96"/>
  <c r="B96"/>
  <c r="C95"/>
  <c r="D95" s="1"/>
  <c r="D94"/>
  <c r="C94"/>
  <c r="B94"/>
  <c r="C93"/>
  <c r="D93" s="1"/>
  <c r="D92"/>
  <c r="C92"/>
  <c r="B92"/>
  <c r="C91"/>
  <c r="D91" s="1"/>
  <c r="D90"/>
  <c r="C90"/>
  <c r="B90"/>
  <c r="C89"/>
  <c r="D89" s="1"/>
  <c r="D88"/>
  <c r="C88"/>
  <c r="B88"/>
  <c r="C87"/>
  <c r="D87" s="1"/>
  <c r="D86"/>
  <c r="C86"/>
  <c r="B86"/>
  <c r="C85"/>
  <c r="D85" s="1"/>
  <c r="D84"/>
  <c r="C84"/>
  <c r="B84"/>
  <c r="C83"/>
  <c r="D83" s="1"/>
  <c r="D82"/>
  <c r="C82"/>
  <c r="B82"/>
  <c r="C81"/>
  <c r="D81" s="1"/>
  <c r="D80"/>
  <c r="C80"/>
  <c r="B80"/>
  <c r="C79"/>
  <c r="D79" s="1"/>
  <c r="D78"/>
  <c r="C78"/>
  <c r="B78"/>
  <c r="C77"/>
  <c r="D77" s="1"/>
  <c r="D76"/>
  <c r="C76"/>
  <c r="B76"/>
  <c r="C75"/>
  <c r="D75" s="1"/>
  <c r="D74"/>
  <c r="C74"/>
  <c r="B74"/>
  <c r="C73"/>
  <c r="D73" s="1"/>
  <c r="D72"/>
  <c r="C72"/>
  <c r="B72"/>
  <c r="C71"/>
  <c r="D71" s="1"/>
  <c r="D70"/>
  <c r="C70"/>
  <c r="B70"/>
  <c r="C69"/>
  <c r="D69" s="1"/>
  <c r="D68"/>
  <c r="C68"/>
  <c r="B68"/>
  <c r="C67"/>
  <c r="D67" s="1"/>
  <c r="D66"/>
  <c r="C66"/>
  <c r="B66"/>
  <c r="C65"/>
  <c r="D65" s="1"/>
  <c r="D64"/>
  <c r="C64"/>
  <c r="B64"/>
  <c r="C63"/>
  <c r="D63" s="1"/>
  <c r="D62"/>
  <c r="C62"/>
  <c r="B62"/>
  <c r="C61"/>
  <c r="D61" s="1"/>
  <c r="D60"/>
  <c r="C60"/>
  <c r="B60"/>
  <c r="C59"/>
  <c r="D59" s="1"/>
  <c r="D58"/>
  <c r="C58"/>
  <c r="B58"/>
  <c r="C57"/>
  <c r="D57" s="1"/>
  <c r="B56"/>
  <c r="Q55"/>
  <c r="P55"/>
  <c r="M55"/>
  <c r="L55"/>
  <c r="K55"/>
  <c r="H55"/>
  <c r="G55"/>
  <c r="F55"/>
  <c r="B55"/>
  <c r="Q54"/>
  <c r="P54"/>
  <c r="M54"/>
  <c r="L54"/>
  <c r="H54"/>
  <c r="G54"/>
  <c r="F54"/>
  <c r="B54"/>
  <c r="Q53"/>
  <c r="P53"/>
  <c r="M53"/>
  <c r="L53"/>
  <c r="H53"/>
  <c r="G53"/>
  <c r="B53"/>
  <c r="Q52"/>
  <c r="P52"/>
  <c r="M52"/>
  <c r="L52"/>
  <c r="H52"/>
  <c r="G52"/>
  <c r="B52"/>
  <c r="Q51"/>
  <c r="P51"/>
  <c r="M51"/>
  <c r="L51"/>
  <c r="H51"/>
  <c r="G51"/>
  <c r="F51"/>
  <c r="B51"/>
  <c r="Q50"/>
  <c r="P50"/>
  <c r="M50"/>
  <c r="L50"/>
  <c r="H50"/>
  <c r="G50"/>
  <c r="F50"/>
  <c r="B50"/>
  <c r="Q49"/>
  <c r="P49"/>
  <c r="M49"/>
  <c r="L49"/>
  <c r="H49"/>
  <c r="G49"/>
  <c r="F49"/>
  <c r="D49"/>
  <c r="B49"/>
  <c r="K45"/>
  <c r="F44"/>
  <c r="D43"/>
  <c r="C43"/>
  <c r="B43"/>
  <c r="C42"/>
  <c r="D42" s="1"/>
  <c r="B41"/>
  <c r="Q40"/>
  <c r="P40"/>
  <c r="M40"/>
  <c r="L40"/>
  <c r="K40"/>
  <c r="H40"/>
  <c r="G40"/>
  <c r="F40"/>
  <c r="B40"/>
  <c r="Q39"/>
  <c r="P39"/>
  <c r="M39"/>
  <c r="L39"/>
  <c r="K39"/>
  <c r="H39"/>
  <c r="G39"/>
  <c r="F39"/>
  <c r="B39"/>
  <c r="Q38"/>
  <c r="P38"/>
  <c r="M38"/>
  <c r="L38"/>
  <c r="K38"/>
  <c r="H38"/>
  <c r="G38"/>
  <c r="F38"/>
  <c r="B38"/>
  <c r="Q37"/>
  <c r="P37"/>
  <c r="M37"/>
  <c r="L37"/>
  <c r="K37"/>
  <c r="H37"/>
  <c r="G37"/>
  <c r="F37"/>
  <c r="B37"/>
  <c r="Q36"/>
  <c r="P36"/>
  <c r="M36"/>
  <c r="L36"/>
  <c r="K36"/>
  <c r="H36"/>
  <c r="G36"/>
  <c r="F36"/>
  <c r="B36"/>
  <c r="Q35"/>
  <c r="P35"/>
  <c r="M35"/>
  <c r="L35"/>
  <c r="K35"/>
  <c r="H35"/>
  <c r="G35"/>
  <c r="F35"/>
  <c r="B35"/>
  <c r="Q34"/>
  <c r="P34"/>
  <c r="M34"/>
  <c r="L34"/>
  <c r="K34"/>
  <c r="H34"/>
  <c r="G34"/>
  <c r="F34"/>
  <c r="D34"/>
  <c r="B34"/>
  <c r="K30"/>
  <c r="K31" s="1"/>
  <c r="K29"/>
  <c r="F29"/>
  <c r="D28"/>
  <c r="C28"/>
  <c r="B28"/>
  <c r="C27"/>
  <c r="D27" s="1"/>
  <c r="Q26"/>
  <c r="P26"/>
  <c r="M26"/>
  <c r="L26"/>
  <c r="H26"/>
  <c r="G26"/>
  <c r="F26"/>
  <c r="B26"/>
  <c r="Q25"/>
  <c r="P25"/>
  <c r="M25"/>
  <c r="L25"/>
  <c r="H25"/>
  <c r="G25"/>
  <c r="F25"/>
  <c r="B25"/>
  <c r="Q24"/>
  <c r="P24"/>
  <c r="M24"/>
  <c r="L24"/>
  <c r="H24"/>
  <c r="G24"/>
  <c r="F24"/>
  <c r="B24"/>
  <c r="Q23"/>
  <c r="P23"/>
  <c r="M23"/>
  <c r="L23"/>
  <c r="H23"/>
  <c r="G23"/>
  <c r="F23"/>
  <c r="B23"/>
  <c r="Q22"/>
  <c r="P22"/>
  <c r="M22"/>
  <c r="L22"/>
  <c r="H22"/>
  <c r="G22"/>
  <c r="F22"/>
  <c r="B22"/>
  <c r="Q21"/>
  <c r="P21"/>
  <c r="M21"/>
  <c r="L21"/>
  <c r="H21"/>
  <c r="G21"/>
  <c r="F21"/>
  <c r="B21"/>
  <c r="Q20"/>
  <c r="P20"/>
  <c r="M20"/>
  <c r="L20"/>
  <c r="H20"/>
  <c r="G20"/>
  <c r="F20"/>
  <c r="D20"/>
  <c r="B20"/>
  <c r="K16"/>
  <c r="F15"/>
  <c r="B14"/>
  <c r="B13"/>
  <c r="Q12"/>
  <c r="P12"/>
  <c r="M12"/>
  <c r="L12"/>
  <c r="H12"/>
  <c r="G12"/>
  <c r="B12"/>
  <c r="Q11"/>
  <c r="P11"/>
  <c r="M11"/>
  <c r="L11"/>
  <c r="H11"/>
  <c r="G11"/>
  <c r="B11"/>
  <c r="Q10"/>
  <c r="P10"/>
  <c r="M10"/>
  <c r="L10"/>
  <c r="H10"/>
  <c r="G10"/>
  <c r="B10"/>
  <c r="Q9"/>
  <c r="P9"/>
  <c r="M9"/>
  <c r="L9"/>
  <c r="H9"/>
  <c r="G9"/>
  <c r="B9"/>
  <c r="Q8"/>
  <c r="P8"/>
  <c r="M8"/>
  <c r="L8"/>
  <c r="H8"/>
  <c r="G8"/>
  <c r="B8"/>
  <c r="Q7"/>
  <c r="P7"/>
  <c r="M7"/>
  <c r="L7"/>
  <c r="H7"/>
  <c r="G7"/>
  <c r="B7"/>
  <c r="Q6"/>
  <c r="P6"/>
  <c r="M6"/>
  <c r="L6"/>
  <c r="H6"/>
  <c r="G6"/>
  <c r="D6"/>
  <c r="B6"/>
  <c r="B3"/>
  <c r="K2"/>
  <c r="K3" s="1"/>
  <c r="F2"/>
  <c r="F16" s="1"/>
  <c r="F17" s="1"/>
  <c r="F45" s="1"/>
  <c r="F46" s="1"/>
  <c r="K1"/>
  <c r="F1"/>
  <c r="G5" i="23"/>
  <c r="L37" i="1"/>
  <c r="M34"/>
  <c r="D21"/>
  <c r="D20"/>
  <c r="D19"/>
  <c r="C18"/>
  <c r="B18"/>
  <c r="F18" s="1"/>
  <c r="F17"/>
  <c r="C17"/>
  <c r="B17"/>
  <c r="E17" s="1"/>
  <c r="C16"/>
  <c r="B16"/>
  <c r="E16" s="1"/>
  <c r="F15"/>
  <c r="C15"/>
  <c r="B15"/>
  <c r="E15" s="1"/>
  <c r="C14"/>
  <c r="B14"/>
  <c r="F14" s="1"/>
  <c r="F13"/>
  <c r="C13"/>
  <c r="B13"/>
  <c r="C12"/>
  <c r="B12"/>
  <c r="E12" s="1"/>
  <c r="B11"/>
  <c r="F11" s="1"/>
  <c r="B10"/>
  <c r="F10" s="1"/>
  <c r="B9"/>
  <c r="F9" s="1"/>
  <c r="B8"/>
  <c r="F8" s="1"/>
  <c r="F7"/>
  <c r="E7"/>
  <c r="F6"/>
  <c r="E6"/>
  <c r="F5"/>
  <c r="E5"/>
  <c r="G2"/>
  <c r="F2"/>
  <c r="E2"/>
  <c r="D2"/>
  <c r="G1"/>
  <c r="F1"/>
  <c r="E1"/>
  <c r="D1"/>
  <c r="K29" i="30"/>
  <c r="J29"/>
  <c r="K16"/>
  <c r="J16"/>
  <c r="E519" i="21"/>
  <c r="E6"/>
  <c r="F518"/>
  <c r="F473"/>
  <c r="F519"/>
  <c r="E473"/>
  <c r="E518"/>
  <c r="F6"/>
  <c r="F187" i="26" l="1"/>
  <c r="G13" i="27"/>
  <c r="M16" i="28"/>
  <c r="K545" i="21"/>
  <c r="M4" i="39"/>
  <c r="J159" i="5"/>
  <c r="J165" i="6"/>
  <c r="J44"/>
  <c r="E14" i="27" s="1"/>
  <c r="I977" i="33"/>
  <c r="P977" s="1"/>
  <c r="I979"/>
  <c r="P979" s="1"/>
  <c r="E12" i="27"/>
  <c r="F13"/>
  <c r="E16"/>
  <c r="J54" i="7"/>
  <c r="F14" i="27" s="1"/>
  <c r="H14" s="1"/>
  <c r="J158" i="5"/>
  <c r="I97" i="33"/>
  <c r="Q97" s="1"/>
  <c r="J173" i="5"/>
  <c r="L173" s="1"/>
  <c r="J159" i="6"/>
  <c r="J180"/>
  <c r="J169" i="7"/>
  <c r="C106" i="40"/>
  <c r="M1" i="21"/>
  <c r="N236"/>
  <c r="O236" s="1"/>
  <c r="H1403" i="39"/>
  <c r="H1401" s="1"/>
  <c r="H1406" s="1"/>
  <c r="H1414" s="1"/>
  <c r="H1426" s="1"/>
  <c r="H1436" s="1"/>
  <c r="M20"/>
  <c r="I45" i="13"/>
  <c r="G15" i="1"/>
  <c r="Q217" i="8"/>
  <c r="K421" i="22"/>
  <c r="L421" s="1"/>
  <c r="K418"/>
  <c r="L418" s="1"/>
  <c r="K416"/>
  <c r="L416" s="1"/>
  <c r="K414"/>
  <c r="L414" s="1"/>
  <c r="K412"/>
  <c r="L412" s="1"/>
  <c r="K390"/>
  <c r="L390" s="1"/>
  <c r="K388"/>
  <c r="L388" s="1"/>
  <c r="K386"/>
  <c r="L386" s="1"/>
  <c r="K384"/>
  <c r="L384" s="1"/>
  <c r="K380"/>
  <c r="L380" s="1"/>
  <c r="K419"/>
  <c r="L419" s="1"/>
  <c r="K410"/>
  <c r="K392"/>
  <c r="L392" s="1"/>
  <c r="K378"/>
  <c r="K422"/>
  <c r="L422" s="1"/>
  <c r="K382"/>
  <c r="L382" s="1"/>
  <c r="K423"/>
  <c r="L423" s="1"/>
  <c r="K381"/>
  <c r="L381" s="1"/>
  <c r="K383"/>
  <c r="L383" s="1"/>
  <c r="K387"/>
  <c r="L387" s="1"/>
  <c r="K391"/>
  <c r="L391" s="1"/>
  <c r="K413"/>
  <c r="L413" s="1"/>
  <c r="K417"/>
  <c r="L417" s="1"/>
  <c r="K379"/>
  <c r="L379" s="1"/>
  <c r="K385"/>
  <c r="L385" s="1"/>
  <c r="K389"/>
  <c r="L389" s="1"/>
  <c r="K411"/>
  <c r="L411" s="1"/>
  <c r="K415"/>
  <c r="L415" s="1"/>
  <c r="K420"/>
  <c r="L420" s="1"/>
  <c r="F347"/>
  <c r="F355"/>
  <c r="F356"/>
  <c r="F359"/>
  <c r="F360"/>
  <c r="F362"/>
  <c r="F364"/>
  <c r="F366"/>
  <c r="F367"/>
  <c r="F369"/>
  <c r="K442"/>
  <c r="L442" s="1"/>
  <c r="K446"/>
  <c r="L446" s="1"/>
  <c r="K441"/>
  <c r="L441" s="1"/>
  <c r="K444"/>
  <c r="L444" s="1"/>
  <c r="K445"/>
  <c r="L445" s="1"/>
  <c r="K451"/>
  <c r="L451" s="1"/>
  <c r="K449"/>
  <c r="L449" s="1"/>
  <c r="K447"/>
  <c r="L447" s="1"/>
  <c r="K448"/>
  <c r="L448" s="1"/>
  <c r="K443"/>
  <c r="L443" s="1"/>
  <c r="K452"/>
  <c r="L452" s="1"/>
  <c r="K450"/>
  <c r="L450" s="1"/>
  <c r="K453"/>
  <c r="L453" s="1"/>
  <c r="K440"/>
  <c r="L16" i="28"/>
  <c r="F280" s="1"/>
  <c r="C107" i="40"/>
  <c r="H107"/>
  <c r="K154"/>
  <c r="K153" s="1"/>
  <c r="K161" s="1"/>
  <c r="K164" s="1"/>
  <c r="J154"/>
  <c r="J153" s="1"/>
  <c r="E19" i="13"/>
  <c r="E13" s="1"/>
  <c r="E23" s="1"/>
  <c r="I507" i="33"/>
  <c r="Q507" s="1"/>
  <c r="J169" i="6"/>
  <c r="M11" i="39"/>
  <c r="H915" s="1"/>
  <c r="H913" s="1"/>
  <c r="H918" s="1"/>
  <c r="H926" s="1"/>
  <c r="H938" s="1"/>
  <c r="H948" s="1"/>
  <c r="J159" i="7"/>
  <c r="J170"/>
  <c r="G66" i="40"/>
  <c r="J66" s="1"/>
  <c r="H13" i="13"/>
  <c r="H23" s="1"/>
  <c r="F46"/>
  <c r="D12" i="27"/>
  <c r="D13"/>
  <c r="E46" i="13"/>
  <c r="I142" i="33"/>
  <c r="P142" s="1"/>
  <c r="K4" i="5"/>
  <c r="M4" s="1"/>
  <c r="K6"/>
  <c r="M6" s="1"/>
  <c r="J43"/>
  <c r="M43" s="1"/>
  <c r="K6" i="6"/>
  <c r="K139" s="1"/>
  <c r="J25" i="7"/>
  <c r="J139" s="1"/>
  <c r="H28" i="39"/>
  <c r="H27" s="1"/>
  <c r="H49" s="1"/>
  <c r="H50" s="1"/>
  <c r="H55" s="1"/>
  <c r="H83" s="1"/>
  <c r="H93" s="1"/>
  <c r="J25" i="5"/>
  <c r="M25" s="1"/>
  <c r="H106" i="40"/>
  <c r="J25" i="6"/>
  <c r="J139" s="1"/>
  <c r="K6" i="7"/>
  <c r="K139" s="1"/>
  <c r="B24" i="38"/>
  <c r="B25" s="1"/>
  <c r="B26" s="1"/>
  <c r="B27" s="1"/>
  <c r="B28" s="1"/>
  <c r="B29" s="1"/>
  <c r="B30" s="1"/>
  <c r="B31" s="1"/>
  <c r="B32" s="1"/>
  <c r="B33" s="1"/>
  <c r="B34" s="1"/>
  <c r="B35" s="1"/>
  <c r="B36" s="1"/>
  <c r="B37" s="1"/>
  <c r="B38" s="1"/>
  <c r="B39" s="1"/>
  <c r="B40" s="1"/>
  <c r="B41" s="1"/>
  <c r="B42" s="1"/>
  <c r="B43" s="1"/>
  <c r="B44" s="1"/>
  <c r="B45" s="1"/>
  <c r="B79"/>
  <c r="B80" s="1"/>
  <c r="B81" s="1"/>
  <c r="B82" s="1"/>
  <c r="B83" s="1"/>
  <c r="B84" s="1"/>
  <c r="B85" s="1"/>
  <c r="B86" s="1"/>
  <c r="B87" s="1"/>
  <c r="B88" s="1"/>
  <c r="B89" s="1"/>
  <c r="B90" s="1"/>
  <c r="B91" s="1"/>
  <c r="B92" s="1"/>
  <c r="B93" s="1"/>
  <c r="B94" s="1"/>
  <c r="B95" s="1"/>
  <c r="B96" s="1"/>
  <c r="B97" s="1"/>
  <c r="B98" s="1"/>
  <c r="B99" s="1"/>
  <c r="B100" s="1"/>
  <c r="B135"/>
  <c r="B136" s="1"/>
  <c r="B137" s="1"/>
  <c r="B138" s="1"/>
  <c r="B139" s="1"/>
  <c r="B140" s="1"/>
  <c r="B141" s="1"/>
  <c r="B142" s="1"/>
  <c r="B143" s="1"/>
  <c r="B144" s="1"/>
  <c r="B145" s="1"/>
  <c r="B146" s="1"/>
  <c r="B147" s="1"/>
  <c r="B148" s="1"/>
  <c r="B149" s="1"/>
  <c r="B150" s="1"/>
  <c r="B151" s="1"/>
  <c r="B152" s="1"/>
  <c r="B153" s="1"/>
  <c r="B154" s="1"/>
  <c r="B155" s="1"/>
  <c r="B156" s="1"/>
  <c r="F3" i="35"/>
  <c r="K3"/>
  <c r="B3" i="21"/>
  <c r="H187" i="22"/>
  <c r="H296"/>
  <c r="H328"/>
  <c r="H30" i="4"/>
  <c r="H45"/>
  <c r="G2" i="35"/>
  <c r="J157" i="6"/>
  <c r="F300" i="26"/>
  <c r="H2" i="35"/>
  <c r="N29" i="22"/>
  <c r="L42" i="38"/>
  <c r="N21" i="22"/>
  <c r="N23"/>
  <c r="N25"/>
  <c r="N27"/>
  <c r="K78" i="21"/>
  <c r="J78"/>
  <c r="K82"/>
  <c r="J82"/>
  <c r="P100"/>
  <c r="O100"/>
  <c r="P110"/>
  <c r="O110"/>
  <c r="K153"/>
  <c r="J153"/>
  <c r="G1"/>
  <c r="K2" i="20" s="1"/>
  <c r="L1" i="21"/>
  <c r="O11"/>
  <c r="P11" s="1"/>
  <c r="O32"/>
  <c r="P32" s="1"/>
  <c r="P37"/>
  <c r="K50"/>
  <c r="P53"/>
  <c r="P65"/>
  <c r="K71"/>
  <c r="K72"/>
  <c r="K83"/>
  <c r="K86"/>
  <c r="P90"/>
  <c r="O115"/>
  <c r="P115" s="1"/>
  <c r="K140"/>
  <c r="K141"/>
  <c r="K144"/>
  <c r="K145"/>
  <c r="K154"/>
  <c r="P167"/>
  <c r="P177"/>
  <c r="P187"/>
  <c r="P350"/>
  <c r="P360"/>
  <c r="P366"/>
  <c r="P375"/>
  <c r="N429"/>
  <c r="P430"/>
  <c r="P431"/>
  <c r="N435"/>
  <c r="P436"/>
  <c r="P162"/>
  <c r="P172"/>
  <c r="P182"/>
  <c r="P188"/>
  <c r="K261"/>
  <c r="K262"/>
  <c r="K327"/>
  <c r="K330"/>
  <c r="K333"/>
  <c r="K336"/>
  <c r="K339"/>
  <c r="P355"/>
  <c r="P365"/>
  <c r="P370"/>
  <c r="P376"/>
  <c r="P377"/>
  <c r="P398"/>
  <c r="P410"/>
  <c r="H2" i="36"/>
  <c r="I107" i="40"/>
  <c r="J107"/>
  <c r="I154"/>
  <c r="I153" s="1"/>
  <c r="I161" s="1"/>
  <c r="I164" s="1"/>
  <c r="M154"/>
  <c r="M153" s="1"/>
  <c r="M161" s="1"/>
  <c r="M164" s="1"/>
  <c r="L154"/>
  <c r="L153" s="1"/>
  <c r="L161" s="1"/>
  <c r="G45" i="4"/>
  <c r="I106" i="40"/>
  <c r="I108" s="1"/>
  <c r="J106"/>
  <c r="J108" s="1"/>
  <c r="G1" i="20"/>
  <c r="H16" i="4"/>
  <c r="G2" i="36"/>
  <c r="E107" i="40"/>
  <c r="G1" i="4"/>
  <c r="L1"/>
  <c r="G30"/>
  <c r="G16"/>
  <c r="M1"/>
  <c r="B6" i="35"/>
  <c r="D6"/>
  <c r="L6"/>
  <c r="N6" s="1"/>
  <c r="D7" i="4"/>
  <c r="D21"/>
  <c r="D50"/>
  <c r="C7" i="36"/>
  <c r="G6" i="23"/>
  <c r="D35" i="4"/>
  <c r="D51"/>
  <c r="H6" i="35"/>
  <c r="C7"/>
  <c r="H61" i="39"/>
  <c r="H59" s="1"/>
  <c r="H145" i="22"/>
  <c r="H117"/>
  <c r="H340" s="1"/>
  <c r="P451" i="33"/>
  <c r="P694"/>
  <c r="P861"/>
  <c r="F412" i="26"/>
  <c r="S67" i="15"/>
  <c r="R66"/>
  <c r="S7"/>
  <c r="P407" i="33"/>
  <c r="O6" i="21"/>
  <c r="O7"/>
  <c r="P7" s="1"/>
  <c r="O14"/>
  <c r="P14" s="1"/>
  <c r="O15"/>
  <c r="P15" s="1"/>
  <c r="O16"/>
  <c r="P16" s="1"/>
  <c r="O17"/>
  <c r="P17" s="1"/>
  <c r="O18"/>
  <c r="P18" s="1"/>
  <c r="O20"/>
  <c r="P20" s="1"/>
  <c r="O27"/>
  <c r="P27" s="1"/>
  <c r="J42"/>
  <c r="O45"/>
  <c r="P45" s="1"/>
  <c r="O58"/>
  <c r="P58" s="1"/>
  <c r="O63"/>
  <c r="P63" s="1"/>
  <c r="J75"/>
  <c r="K75" s="1"/>
  <c r="J81"/>
  <c r="K81" s="1"/>
  <c r="J87"/>
  <c r="K87" s="1"/>
  <c r="O95"/>
  <c r="P95" s="1"/>
  <c r="O105"/>
  <c r="P105" s="1"/>
  <c r="O120"/>
  <c r="P120" s="1"/>
  <c r="O125"/>
  <c r="P125" s="1"/>
  <c r="O138"/>
  <c r="P138" s="1"/>
  <c r="J148"/>
  <c r="K148" s="1"/>
  <c r="J149"/>
  <c r="K149" s="1"/>
  <c r="J152"/>
  <c r="K152" s="1"/>
  <c r="O157"/>
  <c r="P157" s="1"/>
  <c r="P193"/>
  <c r="P198"/>
  <c r="P203"/>
  <c r="P208"/>
  <c r="P213"/>
  <c r="P214"/>
  <c r="P219"/>
  <c r="P220"/>
  <c r="P225"/>
  <c r="P226"/>
  <c r="P231"/>
  <c r="P236"/>
  <c r="P241"/>
  <c r="P246"/>
  <c r="P251"/>
  <c r="P256"/>
  <c r="P265"/>
  <c r="P270"/>
  <c r="P275"/>
  <c r="P280"/>
  <c r="P285"/>
  <c r="P290"/>
  <c r="P295"/>
  <c r="P300"/>
  <c r="P305"/>
  <c r="P306"/>
  <c r="P310"/>
  <c r="P315"/>
  <c r="P316"/>
  <c r="K342"/>
  <c r="K343"/>
  <c r="K344"/>
  <c r="K347"/>
  <c r="P367"/>
  <c r="P380"/>
  <c r="P385"/>
  <c r="P390"/>
  <c r="K395"/>
  <c r="P403"/>
  <c r="P408"/>
  <c r="P409"/>
  <c r="P413"/>
  <c r="P418"/>
  <c r="P423"/>
  <c r="P424"/>
  <c r="P425"/>
  <c r="P426"/>
  <c r="P427"/>
  <c r="P428"/>
  <c r="P433"/>
  <c r="P434"/>
  <c r="P437"/>
  <c r="P438"/>
  <c r="P440"/>
  <c r="H3" i="33"/>
  <c r="P167"/>
  <c r="P328"/>
  <c r="P6"/>
  <c r="P367"/>
  <c r="G3"/>
  <c r="L29" i="4"/>
  <c r="P2" i="20"/>
  <c r="K216" i="5"/>
  <c r="H1" i="4"/>
  <c r="L44"/>
  <c r="H15"/>
  <c r="M15"/>
  <c r="G15"/>
  <c r="L15"/>
  <c r="I23"/>
  <c r="I25"/>
  <c r="I34"/>
  <c r="I35"/>
  <c r="N35"/>
  <c r="I36"/>
  <c r="I37"/>
  <c r="N37"/>
  <c r="I38"/>
  <c r="I39"/>
  <c r="N39"/>
  <c r="I40"/>
  <c r="I50"/>
  <c r="I54"/>
  <c r="N55"/>
  <c r="M2" i="20"/>
  <c r="G106" i="40"/>
  <c r="J1" i="33"/>
  <c r="F23" i="13"/>
  <c r="I82" i="22"/>
  <c r="I121"/>
  <c r="N121" s="1"/>
  <c r="I30"/>
  <c r="I31" s="1"/>
  <c r="I138"/>
  <c r="I161"/>
  <c r="H263"/>
  <c r="I279"/>
  <c r="I312"/>
  <c r="N17"/>
  <c r="J17"/>
  <c r="N22"/>
  <c r="J22"/>
  <c r="N26"/>
  <c r="J26"/>
  <c r="N7"/>
  <c r="J7"/>
  <c r="N14"/>
  <c r="J14"/>
  <c r="N15"/>
  <c r="J15"/>
  <c r="N16"/>
  <c r="J16"/>
  <c r="N18"/>
  <c r="J18"/>
  <c r="N19"/>
  <c r="J19"/>
  <c r="N20"/>
  <c r="J20"/>
  <c r="N24"/>
  <c r="J24"/>
  <c r="N28"/>
  <c r="J28"/>
  <c r="J6"/>
  <c r="N6"/>
  <c r="J8"/>
  <c r="N8"/>
  <c r="J9"/>
  <c r="N9"/>
  <c r="J10"/>
  <c r="N10"/>
  <c r="J11"/>
  <c r="N11"/>
  <c r="J12"/>
  <c r="N12"/>
  <c r="J13"/>
  <c r="L39" i="38"/>
  <c r="I42"/>
  <c r="M42"/>
  <c r="K6" i="22"/>
  <c r="K8"/>
  <c r="K9"/>
  <c r="K10"/>
  <c r="K11"/>
  <c r="K12"/>
  <c r="K13"/>
  <c r="S18"/>
  <c r="S19" s="1"/>
  <c r="J21"/>
  <c r="O21" s="1"/>
  <c r="J23"/>
  <c r="O23" s="1"/>
  <c r="J25"/>
  <c r="O25" s="1"/>
  <c r="J27"/>
  <c r="O27" s="1"/>
  <c r="J29"/>
  <c r="F39" i="38"/>
  <c r="H39" s="1"/>
  <c r="I39"/>
  <c r="M39"/>
  <c r="F42"/>
  <c r="I68" i="22"/>
  <c r="I69" s="1"/>
  <c r="N44"/>
  <c r="J44"/>
  <c r="K44" s="1"/>
  <c r="N45"/>
  <c r="J45"/>
  <c r="J47"/>
  <c r="O47" s="1"/>
  <c r="N53"/>
  <c r="J53"/>
  <c r="N55"/>
  <c r="J55"/>
  <c r="N57"/>
  <c r="J57"/>
  <c r="N60"/>
  <c r="J60"/>
  <c r="N62"/>
  <c r="J62"/>
  <c r="N64"/>
  <c r="J64"/>
  <c r="N66"/>
  <c r="J66"/>
  <c r="N46"/>
  <c r="J46"/>
  <c r="N52"/>
  <c r="J52"/>
  <c r="N54"/>
  <c r="J54"/>
  <c r="N56"/>
  <c r="J56"/>
  <c r="N58"/>
  <c r="S58"/>
  <c r="J58"/>
  <c r="O58" s="1"/>
  <c r="N61"/>
  <c r="J61"/>
  <c r="N63"/>
  <c r="J63"/>
  <c r="N65"/>
  <c r="J65"/>
  <c r="N67"/>
  <c r="J67"/>
  <c r="N59"/>
  <c r="F20" i="38"/>
  <c r="F35"/>
  <c r="H35" s="1"/>
  <c r="F36"/>
  <c r="F40"/>
  <c r="F43"/>
  <c r="H43" s="1"/>
  <c r="F44"/>
  <c r="J48" i="22"/>
  <c r="O48" s="1"/>
  <c r="J49"/>
  <c r="O49" s="1"/>
  <c r="J50"/>
  <c r="O50" s="1"/>
  <c r="J51"/>
  <c r="O51" s="1"/>
  <c r="J59"/>
  <c r="O59" s="1"/>
  <c r="F23" i="38"/>
  <c r="H23" s="1"/>
  <c r="F28"/>
  <c r="F31"/>
  <c r="H31" s="1"/>
  <c r="F32"/>
  <c r="F117" i="22"/>
  <c r="F340" s="1"/>
  <c r="F25" i="38"/>
  <c r="H25" s="1"/>
  <c r="N87" i="22"/>
  <c r="J87"/>
  <c r="F27" i="38"/>
  <c r="H27" s="1"/>
  <c r="J89" i="22"/>
  <c r="F24" i="38"/>
  <c r="H24" s="1"/>
  <c r="N86" i="22"/>
  <c r="J86"/>
  <c r="K86" s="1"/>
  <c r="F26" i="38"/>
  <c r="H26" s="1"/>
  <c r="N88" i="22"/>
  <c r="J88"/>
  <c r="F21" i="38"/>
  <c r="H21" s="1"/>
  <c r="F22"/>
  <c r="F29"/>
  <c r="H29" s="1"/>
  <c r="F30"/>
  <c r="F33"/>
  <c r="H33" s="1"/>
  <c r="F34"/>
  <c r="F37"/>
  <c r="H37" s="1"/>
  <c r="F38"/>
  <c r="F41"/>
  <c r="H41" s="1"/>
  <c r="F45"/>
  <c r="H45" s="1"/>
  <c r="J82" i="22"/>
  <c r="N82"/>
  <c r="J83"/>
  <c r="K83" s="1"/>
  <c r="L83" s="1"/>
  <c r="J84"/>
  <c r="K84" s="1"/>
  <c r="L84" s="1"/>
  <c r="J85"/>
  <c r="L85" s="1"/>
  <c r="M85" s="1"/>
  <c r="J90"/>
  <c r="N90"/>
  <c r="J91"/>
  <c r="J92"/>
  <c r="J93"/>
  <c r="N93"/>
  <c r="J94"/>
  <c r="N94"/>
  <c r="J95"/>
  <c r="J96"/>
  <c r="J97"/>
  <c r="K97" s="1"/>
  <c r="L97" s="1"/>
  <c r="N97"/>
  <c r="J98"/>
  <c r="N98"/>
  <c r="J99"/>
  <c r="K99" s="1"/>
  <c r="J100"/>
  <c r="K100" s="1"/>
  <c r="J101"/>
  <c r="K101" s="1"/>
  <c r="N101"/>
  <c r="J102"/>
  <c r="N102"/>
  <c r="J103"/>
  <c r="K103" s="1"/>
  <c r="L103" s="1"/>
  <c r="J104"/>
  <c r="K104" s="1"/>
  <c r="L104" s="1"/>
  <c r="N104"/>
  <c r="J105"/>
  <c r="I106"/>
  <c r="N125"/>
  <c r="J125"/>
  <c r="N127"/>
  <c r="J127"/>
  <c r="N138"/>
  <c r="J138"/>
  <c r="N140"/>
  <c r="J140"/>
  <c r="N142"/>
  <c r="J142"/>
  <c r="N144"/>
  <c r="J144"/>
  <c r="N126"/>
  <c r="J126"/>
  <c r="J128"/>
  <c r="O128" s="1"/>
  <c r="N139"/>
  <c r="J139"/>
  <c r="N141"/>
  <c r="J141"/>
  <c r="N143"/>
  <c r="J143"/>
  <c r="I145"/>
  <c r="I146" s="1"/>
  <c r="J121"/>
  <c r="J122"/>
  <c r="O122" s="1"/>
  <c r="J123"/>
  <c r="O123" s="1"/>
  <c r="J124"/>
  <c r="O124" s="1"/>
  <c r="J129"/>
  <c r="O129" s="1"/>
  <c r="J130"/>
  <c r="O130" s="1"/>
  <c r="J131"/>
  <c r="O131" s="1"/>
  <c r="J132"/>
  <c r="O132" s="1"/>
  <c r="J133"/>
  <c r="O133" s="1"/>
  <c r="J134"/>
  <c r="O134" s="1"/>
  <c r="J135"/>
  <c r="O135" s="1"/>
  <c r="J136"/>
  <c r="O136" s="1"/>
  <c r="J137"/>
  <c r="O137" s="1"/>
  <c r="N166"/>
  <c r="J166"/>
  <c r="K166" s="1"/>
  <c r="J168"/>
  <c r="O168" s="1"/>
  <c r="N165"/>
  <c r="J165"/>
  <c r="K165" s="1"/>
  <c r="N167"/>
  <c r="J167"/>
  <c r="U60"/>
  <c r="U61" s="1"/>
  <c r="U63" s="1"/>
  <c r="J161"/>
  <c r="K161" s="1"/>
  <c r="L161" s="1"/>
  <c r="N161"/>
  <c r="J162"/>
  <c r="N162"/>
  <c r="J163"/>
  <c r="K163" s="1"/>
  <c r="L163" s="1"/>
  <c r="N163"/>
  <c r="J164"/>
  <c r="O164" s="1"/>
  <c r="J169"/>
  <c r="K169" s="1"/>
  <c r="N169"/>
  <c r="J170"/>
  <c r="K170" s="1"/>
  <c r="L170" s="1"/>
  <c r="P170" s="1"/>
  <c r="N170"/>
  <c r="J171"/>
  <c r="K171" s="1"/>
  <c r="N171"/>
  <c r="J172"/>
  <c r="N172"/>
  <c r="J173"/>
  <c r="K173" s="1"/>
  <c r="N173"/>
  <c r="J174"/>
  <c r="N174"/>
  <c r="J175"/>
  <c r="K175" s="1"/>
  <c r="L175" s="1"/>
  <c r="P175" s="1"/>
  <c r="N175"/>
  <c r="J176"/>
  <c r="K176" s="1"/>
  <c r="N176"/>
  <c r="J177"/>
  <c r="N177"/>
  <c r="J178"/>
  <c r="K178" s="1"/>
  <c r="N178"/>
  <c r="J179"/>
  <c r="K179" s="1"/>
  <c r="L179" s="1"/>
  <c r="P179" s="1"/>
  <c r="N179"/>
  <c r="J180"/>
  <c r="K180" s="1"/>
  <c r="N180"/>
  <c r="J181"/>
  <c r="K181" s="1"/>
  <c r="L181" s="1"/>
  <c r="P181" s="1"/>
  <c r="N181"/>
  <c r="J182"/>
  <c r="K182" s="1"/>
  <c r="N182"/>
  <c r="J183"/>
  <c r="K183" s="1"/>
  <c r="L183" s="1"/>
  <c r="P183" s="1"/>
  <c r="N183"/>
  <c r="J184"/>
  <c r="K184" s="1"/>
  <c r="N184"/>
  <c r="J185"/>
  <c r="K185" s="1"/>
  <c r="L185" s="1"/>
  <c r="P185" s="1"/>
  <c r="N185"/>
  <c r="J186"/>
  <c r="K186" s="1"/>
  <c r="N186"/>
  <c r="I187"/>
  <c r="I188" s="1"/>
  <c r="N350"/>
  <c r="F241"/>
  <c r="I350"/>
  <c r="K162"/>
  <c r="K172"/>
  <c r="L172" s="1"/>
  <c r="P172" s="1"/>
  <c r="K177"/>
  <c r="L177" s="1"/>
  <c r="P177" s="1"/>
  <c r="N354"/>
  <c r="F82" i="38"/>
  <c r="H82" s="1"/>
  <c r="P27"/>
  <c r="Q27" s="1"/>
  <c r="I354" i="22"/>
  <c r="J209"/>
  <c r="P28" i="38"/>
  <c r="I355" i="22"/>
  <c r="F83" i="38"/>
  <c r="H83" s="1"/>
  <c r="N210" i="22"/>
  <c r="J210"/>
  <c r="F85" i="38"/>
  <c r="H85" s="1"/>
  <c r="P30"/>
  <c r="I357" i="22"/>
  <c r="N212"/>
  <c r="N357" s="1"/>
  <c r="J212"/>
  <c r="K212" s="1"/>
  <c r="P32" i="38"/>
  <c r="I359" i="22"/>
  <c r="F87" i="38"/>
  <c r="H87" s="1"/>
  <c r="N214" i="22"/>
  <c r="N359" s="1"/>
  <c r="J214"/>
  <c r="K214" s="1"/>
  <c r="F89" i="38"/>
  <c r="H89" s="1"/>
  <c r="P34"/>
  <c r="I361" i="22"/>
  <c r="N216"/>
  <c r="J216"/>
  <c r="K216" s="1"/>
  <c r="P36" i="38"/>
  <c r="I363" i="22"/>
  <c r="F91" i="38"/>
  <c r="H91" s="1"/>
  <c r="N218" i="22"/>
  <c r="J218"/>
  <c r="K218" s="1"/>
  <c r="F93" i="38"/>
  <c r="H93" s="1"/>
  <c r="P38"/>
  <c r="I365" i="22"/>
  <c r="N220"/>
  <c r="J220"/>
  <c r="K220" s="1"/>
  <c r="P40" i="38"/>
  <c r="I367" i="22"/>
  <c r="F95" i="38"/>
  <c r="H95" s="1"/>
  <c r="N222" i="22"/>
  <c r="J222"/>
  <c r="K222" s="1"/>
  <c r="I369"/>
  <c r="F98" i="38"/>
  <c r="H98" s="1"/>
  <c r="P43"/>
  <c r="Q43" s="1"/>
  <c r="K224" i="22"/>
  <c r="N224"/>
  <c r="L224"/>
  <c r="J224"/>
  <c r="P44" i="38"/>
  <c r="I371" i="22"/>
  <c r="F99" i="38"/>
  <c r="H99" s="1"/>
  <c r="N226" i="22"/>
  <c r="J226"/>
  <c r="K226" s="1"/>
  <c r="F341"/>
  <c r="F468" s="1"/>
  <c r="F242"/>
  <c r="P20" i="38"/>
  <c r="F75"/>
  <c r="I228" i="22"/>
  <c r="I347"/>
  <c r="N202"/>
  <c r="J202"/>
  <c r="F77" i="38"/>
  <c r="H77" s="1"/>
  <c r="P22"/>
  <c r="I349" i="22"/>
  <c r="N204"/>
  <c r="J204"/>
  <c r="K204" s="1"/>
  <c r="F80" i="38"/>
  <c r="H80" s="1"/>
  <c r="P25"/>
  <c r="Q25" s="1"/>
  <c r="I352" i="22"/>
  <c r="N207"/>
  <c r="N352" s="1"/>
  <c r="J207"/>
  <c r="F84" i="38"/>
  <c r="H84" s="1"/>
  <c r="I356" i="22"/>
  <c r="P29" i="38"/>
  <c r="Q29" s="1"/>
  <c r="N211" i="22"/>
  <c r="J211"/>
  <c r="K211" s="1"/>
  <c r="I358"/>
  <c r="F86" i="38"/>
  <c r="H86" s="1"/>
  <c r="P31"/>
  <c r="Q31" s="1"/>
  <c r="N213" i="22"/>
  <c r="J213"/>
  <c r="K213" s="1"/>
  <c r="F88" i="38"/>
  <c r="H88" s="1"/>
  <c r="I360" i="22"/>
  <c r="P33" i="38"/>
  <c r="Q33" s="1"/>
  <c r="N215" i="22"/>
  <c r="J215"/>
  <c r="K215" s="1"/>
  <c r="I362"/>
  <c r="F90" i="38"/>
  <c r="H90" s="1"/>
  <c r="P35"/>
  <c r="Q35" s="1"/>
  <c r="N217" i="22"/>
  <c r="J217"/>
  <c r="K217" s="1"/>
  <c r="F92" i="38"/>
  <c r="H92" s="1"/>
  <c r="I364" i="22"/>
  <c r="P37" i="38"/>
  <c r="Q37" s="1"/>
  <c r="N219" i="22"/>
  <c r="J219"/>
  <c r="K219" s="1"/>
  <c r="I366"/>
  <c r="F94" i="38"/>
  <c r="H94" s="1"/>
  <c r="P39"/>
  <c r="Q39" s="1"/>
  <c r="N221" i="22"/>
  <c r="N366" s="1"/>
  <c r="J221"/>
  <c r="K221" s="1"/>
  <c r="F96" i="38"/>
  <c r="H96" s="1"/>
  <c r="I368" i="22"/>
  <c r="P41" i="38"/>
  <c r="Q41" s="1"/>
  <c r="N223" i="22"/>
  <c r="J223"/>
  <c r="K223" s="1"/>
  <c r="F97" i="38"/>
  <c r="H97" s="1"/>
  <c r="P42"/>
  <c r="I370" i="22"/>
  <c r="N225"/>
  <c r="N370" s="1"/>
  <c r="J225"/>
  <c r="K225" s="1"/>
  <c r="F100" i="38"/>
  <c r="H100" s="1"/>
  <c r="I372" i="22"/>
  <c r="P45" i="38"/>
  <c r="Q45" s="1"/>
  <c r="N227" i="22"/>
  <c r="N372" s="1"/>
  <c r="J227"/>
  <c r="F76" i="38"/>
  <c r="H76" s="1"/>
  <c r="P21"/>
  <c r="Q21" s="1"/>
  <c r="I78"/>
  <c r="P24"/>
  <c r="F79"/>
  <c r="H79" s="1"/>
  <c r="F81"/>
  <c r="H81" s="1"/>
  <c r="P26"/>
  <c r="O205" i="22"/>
  <c r="H228"/>
  <c r="H241" s="1"/>
  <c r="F78" i="38"/>
  <c r="H78" s="1"/>
  <c r="J78" s="1"/>
  <c r="K78" s="1"/>
  <c r="P23"/>
  <c r="Q23" s="1"/>
  <c r="J203" i="22"/>
  <c r="N203"/>
  <c r="L205"/>
  <c r="J206"/>
  <c r="N206"/>
  <c r="J208"/>
  <c r="N208"/>
  <c r="N353" s="1"/>
  <c r="I351"/>
  <c r="I353"/>
  <c r="Q26" i="38"/>
  <c r="Q28"/>
  <c r="Q30"/>
  <c r="Q32"/>
  <c r="Q34"/>
  <c r="Q36"/>
  <c r="Q38"/>
  <c r="Q40"/>
  <c r="Q42"/>
  <c r="Q44"/>
  <c r="N316" i="22"/>
  <c r="J316"/>
  <c r="K316" s="1"/>
  <c r="N318"/>
  <c r="J318"/>
  <c r="L318" s="1"/>
  <c r="K318"/>
  <c r="N320"/>
  <c r="J320"/>
  <c r="N322"/>
  <c r="J322"/>
  <c r="K322" s="1"/>
  <c r="N324"/>
  <c r="J324"/>
  <c r="N326"/>
  <c r="J326"/>
  <c r="N315"/>
  <c r="J315"/>
  <c r="N317"/>
  <c r="J317"/>
  <c r="N319"/>
  <c r="J319"/>
  <c r="N321"/>
  <c r="J321"/>
  <c r="N323"/>
  <c r="J323"/>
  <c r="N325"/>
  <c r="J325"/>
  <c r="J327"/>
  <c r="J312"/>
  <c r="N312"/>
  <c r="J313"/>
  <c r="N313"/>
  <c r="J314"/>
  <c r="J248"/>
  <c r="O248" s="1"/>
  <c r="N247"/>
  <c r="J247"/>
  <c r="K247" s="1"/>
  <c r="I246"/>
  <c r="J249"/>
  <c r="K249" s="1"/>
  <c r="N249"/>
  <c r="J250"/>
  <c r="O250" s="1"/>
  <c r="J251"/>
  <c r="K251" s="1"/>
  <c r="L251" s="1"/>
  <c r="P251" s="1"/>
  <c r="N251"/>
  <c r="J252"/>
  <c r="K252" s="1"/>
  <c r="N252"/>
  <c r="J253"/>
  <c r="K253" s="1"/>
  <c r="L253" s="1"/>
  <c r="P253" s="1"/>
  <c r="N253"/>
  <c r="J254"/>
  <c r="K254" s="1"/>
  <c r="N254"/>
  <c r="J255"/>
  <c r="K255" s="1"/>
  <c r="L255" s="1"/>
  <c r="P255" s="1"/>
  <c r="N255"/>
  <c r="J256"/>
  <c r="K256" s="1"/>
  <c r="N256"/>
  <c r="J257"/>
  <c r="K257" s="1"/>
  <c r="L257" s="1"/>
  <c r="P257" s="1"/>
  <c r="N257"/>
  <c r="J258"/>
  <c r="K258" s="1"/>
  <c r="N258"/>
  <c r="J259"/>
  <c r="K259" s="1"/>
  <c r="L259" s="1"/>
  <c r="P259" s="1"/>
  <c r="N259"/>
  <c r="J260"/>
  <c r="K260" s="1"/>
  <c r="N260"/>
  <c r="J261"/>
  <c r="K261" s="1"/>
  <c r="L261" s="1"/>
  <c r="P261" s="1"/>
  <c r="N261"/>
  <c r="J262"/>
  <c r="K262" s="1"/>
  <c r="N262"/>
  <c r="N371" s="1"/>
  <c r="H342"/>
  <c r="F342"/>
  <c r="J283"/>
  <c r="N284"/>
  <c r="J284"/>
  <c r="K284" s="1"/>
  <c r="N286"/>
  <c r="J286"/>
  <c r="K286" s="1"/>
  <c r="N288"/>
  <c r="J288"/>
  <c r="K288" s="1"/>
  <c r="N290"/>
  <c r="J290"/>
  <c r="K290" s="1"/>
  <c r="L290" s="1"/>
  <c r="M290" s="1"/>
  <c r="N292"/>
  <c r="J292"/>
  <c r="K292" s="1"/>
  <c r="N294"/>
  <c r="J294"/>
  <c r="K294" s="1"/>
  <c r="N282"/>
  <c r="J282"/>
  <c r="N285"/>
  <c r="J285"/>
  <c r="K285" s="1"/>
  <c r="N287"/>
  <c r="J287"/>
  <c r="N289"/>
  <c r="J289"/>
  <c r="K289" s="1"/>
  <c r="N291"/>
  <c r="J291"/>
  <c r="N293"/>
  <c r="J293"/>
  <c r="K293" s="1"/>
  <c r="J295"/>
  <c r="K295" s="1"/>
  <c r="J279"/>
  <c r="K279" s="1"/>
  <c r="L279" s="1"/>
  <c r="N279"/>
  <c r="J280"/>
  <c r="N280"/>
  <c r="J281"/>
  <c r="L281" s="1"/>
  <c r="K280"/>
  <c r="I296"/>
  <c r="H33" i="13"/>
  <c r="H39" s="1"/>
  <c r="G17" i="1"/>
  <c r="Q325" i="33"/>
  <c r="P325"/>
  <c r="Q28"/>
  <c r="Q35"/>
  <c r="Q30"/>
  <c r="Q98"/>
  <c r="Q177"/>
  <c r="Q197"/>
  <c r="Q209"/>
  <c r="Q213"/>
  <c r="Q217"/>
  <c r="Q290"/>
  <c r="Q335"/>
  <c r="Q398"/>
  <c r="Q117"/>
  <c r="Q121"/>
  <c r="Q220"/>
  <c r="Q224"/>
  <c r="Q243"/>
  <c r="P243"/>
  <c r="Q292"/>
  <c r="P292"/>
  <c r="P400"/>
  <c r="Q400"/>
  <c r="Q33"/>
  <c r="Q52"/>
  <c r="Q42"/>
  <c r="Q100"/>
  <c r="Q146"/>
  <c r="Q207"/>
  <c r="Q211"/>
  <c r="Q215"/>
  <c r="Q288"/>
  <c r="Q313"/>
  <c r="Q353"/>
  <c r="Q373"/>
  <c r="Q115"/>
  <c r="Q119"/>
  <c r="Q218"/>
  <c r="Q222"/>
  <c r="Q1009"/>
  <c r="P1009"/>
  <c r="P1281"/>
  <c r="J1281"/>
  <c r="B4"/>
  <c r="Q32"/>
  <c r="Q34"/>
  <c r="Q36"/>
  <c r="Q53"/>
  <c r="Q41"/>
  <c r="Q96"/>
  <c r="Q99"/>
  <c r="Q107"/>
  <c r="Q183"/>
  <c r="Q198"/>
  <c r="Q208"/>
  <c r="Q210"/>
  <c r="Q212"/>
  <c r="Q214"/>
  <c r="Q216"/>
  <c r="Q242"/>
  <c r="Q287"/>
  <c r="Q289"/>
  <c r="Q291"/>
  <c r="Q312"/>
  <c r="Q324"/>
  <c r="Q334"/>
  <c r="Q372"/>
  <c r="Q374"/>
  <c r="Q399"/>
  <c r="Q116"/>
  <c r="Q118"/>
  <c r="Q120"/>
  <c r="Q122"/>
  <c r="Q219"/>
  <c r="Q221"/>
  <c r="Q223"/>
  <c r="Q225"/>
  <c r="Q401"/>
  <c r="Q403"/>
  <c r="Q405"/>
  <c r="Q226"/>
  <c r="Q131"/>
  <c r="Q228"/>
  <c r="Q230"/>
  <c r="Q232"/>
  <c r="Q234"/>
  <c r="Q246"/>
  <c r="Q390"/>
  <c r="Q383"/>
  <c r="Q337"/>
  <c r="Q302"/>
  <c r="Q304"/>
  <c r="Q392"/>
  <c r="Q236"/>
  <c r="Q126"/>
  <c r="Q283"/>
  <c r="Q354"/>
  <c r="Q263"/>
  <c r="Q265"/>
  <c r="Q315"/>
  <c r="Q414"/>
  <c r="Q416"/>
  <c r="Q418"/>
  <c r="Q420"/>
  <c r="Q422"/>
  <c r="Q127"/>
  <c r="Q424"/>
  <c r="Q426"/>
  <c r="Q46"/>
  <c r="Q48"/>
  <c r="Q50"/>
  <c r="Q64"/>
  <c r="Q66"/>
  <c r="Q68"/>
  <c r="Q88"/>
  <c r="Q90"/>
  <c r="Q102"/>
  <c r="Q104"/>
  <c r="Q106"/>
  <c r="Q134"/>
  <c r="Q136"/>
  <c r="Q308"/>
  <c r="Q384"/>
  <c r="P385"/>
  <c r="Q252"/>
  <c r="Q254"/>
  <c r="Q356"/>
  <c r="Q358"/>
  <c r="Q295"/>
  <c r="Q297"/>
  <c r="P298"/>
  <c r="Q321"/>
  <c r="Q340"/>
  <c r="Q342"/>
  <c r="Q344"/>
  <c r="Q346"/>
  <c r="Q348"/>
  <c r="Q361"/>
  <c r="Q363"/>
  <c r="Q365"/>
  <c r="Q323"/>
  <c r="Q350"/>
  <c r="Q278"/>
  <c r="Q9"/>
  <c r="Q333"/>
  <c r="Q440"/>
  <c r="Q465"/>
  <c r="Q504"/>
  <c r="Q506"/>
  <c r="Q550"/>
  <c r="Q552"/>
  <c r="Q566"/>
  <c r="Q568"/>
  <c r="Q608"/>
  <c r="P609"/>
  <c r="Q571"/>
  <c r="Q446"/>
  <c r="Q574"/>
  <c r="P610"/>
  <c r="Q613"/>
  <c r="Q498"/>
  <c r="Q598"/>
  <c r="Q600"/>
  <c r="Q565"/>
  <c r="Q470"/>
  <c r="Q434"/>
  <c r="Q542"/>
  <c r="Q544"/>
  <c r="Q513"/>
  <c r="Q649"/>
  <c r="Q825"/>
  <c r="P625"/>
  <c r="Q675"/>
  <c r="Q708"/>
  <c r="Q710"/>
  <c r="Q718"/>
  <c r="Q681"/>
  <c r="Q489"/>
  <c r="Q619"/>
  <c r="Q653"/>
  <c r="Q684"/>
  <c r="Q630"/>
  <c r="Q723"/>
  <c r="Q826"/>
  <c r="Q828"/>
  <c r="Q830"/>
  <c r="Q729"/>
  <c r="Q751"/>
  <c r="Q774"/>
  <c r="Q776"/>
  <c r="Q778"/>
  <c r="Q780"/>
  <c r="Q784"/>
  <c r="Q789"/>
  <c r="Q726"/>
  <c r="Q760"/>
  <c r="Q759"/>
  <c r="Q786"/>
  <c r="Q713"/>
  <c r="Q806"/>
  <c r="Q820"/>
  <c r="Q823"/>
  <c r="Q814"/>
  <c r="Q833"/>
  <c r="Q835"/>
  <c r="Q837"/>
  <c r="Q839"/>
  <c r="Q803"/>
  <c r="Q843"/>
  <c r="Q849"/>
  <c r="Q851"/>
  <c r="Q853"/>
  <c r="Q855"/>
  <c r="P437"/>
  <c r="Q602"/>
  <c r="Q604"/>
  <c r="Q632"/>
  <c r="Q634"/>
  <c r="Q636"/>
  <c r="Q656"/>
  <c r="Q658"/>
  <c r="Q666"/>
  <c r="Q668"/>
  <c r="Q670"/>
  <c r="Q638"/>
  <c r="Q640"/>
  <c r="Q676"/>
  <c r="Q678"/>
  <c r="Q680"/>
  <c r="Q690"/>
  <c r="Q692"/>
  <c r="Q860"/>
  <c r="Q753"/>
  <c r="Q755"/>
  <c r="Q877"/>
  <c r="Q879"/>
  <c r="Q881"/>
  <c r="Q883"/>
  <c r="Q885"/>
  <c r="Q887"/>
  <c r="Q889"/>
  <c r="Q891"/>
  <c r="Q893"/>
  <c r="Q895"/>
  <c r="Q897"/>
  <c r="Q907"/>
  <c r="Q916"/>
  <c r="Q918"/>
  <c r="Q920"/>
  <c r="Q979"/>
  <c r="Q1002"/>
  <c r="Q1004"/>
  <c r="Q1006"/>
  <c r="Q1133"/>
  <c r="Q1037"/>
  <c r="Q1075"/>
  <c r="Q1077"/>
  <c r="Q1082"/>
  <c r="Q1084"/>
  <c r="Q1099"/>
  <c r="Q1101"/>
  <c r="Q1128"/>
  <c r="Q1138"/>
  <c r="Q1140"/>
  <c r="Q1168"/>
  <c r="Q1142"/>
  <c r="Q1131"/>
  <c r="Q1127"/>
  <c r="Q1086"/>
  <c r="Q1052"/>
  <c r="Q1056"/>
  <c r="Q1034"/>
  <c r="Q966"/>
  <c r="Q983"/>
  <c r="Q957"/>
  <c r="Q1081"/>
  <c r="Q936"/>
  <c r="Q1170"/>
  <c r="Q1094"/>
  <c r="Q1098"/>
  <c r="Q948"/>
  <c r="Q971"/>
  <c r="Q951"/>
  <c r="Q1012"/>
  <c r="Q1016"/>
  <c r="Q1146"/>
  <c r="Q1150"/>
  <c r="Q1247"/>
  <c r="Q1251"/>
  <c r="Q1255"/>
  <c r="Q1236"/>
  <c r="Q1258"/>
  <c r="Q1216"/>
  <c r="Q1240"/>
  <c r="Q1210"/>
  <c r="Q1199"/>
  <c r="Q1177"/>
  <c r="Q1183"/>
  <c r="Q1187"/>
  <c r="Q1228"/>
  <c r="Q1163"/>
  <c r="Q1121"/>
  <c r="Q1277"/>
  <c r="Q915"/>
  <c r="Q1207"/>
  <c r="Q985"/>
  <c r="Q1318"/>
  <c r="Q1338"/>
  <c r="Q1342"/>
  <c r="Q1351"/>
  <c r="Q1313"/>
  <c r="Q1333"/>
  <c r="Q1354"/>
  <c r="Q1365"/>
  <c r="Q1322"/>
  <c r="Q1369"/>
  <c r="Q1577"/>
  <c r="Q1581"/>
  <c r="Q1585"/>
  <c r="Q1589"/>
  <c r="Q1593"/>
  <c r="Q1597"/>
  <c r="Q1601"/>
  <c r="Q1605"/>
  <c r="Q1609"/>
  <c r="Q1613"/>
  <c r="Q1617"/>
  <c r="Q1620"/>
  <c r="Q1624"/>
  <c r="Q1628"/>
  <c r="Q1632"/>
  <c r="Q1636"/>
  <c r="Q1640"/>
  <c r="Q1644"/>
  <c r="Q1648"/>
  <c r="Q1652"/>
  <c r="Q1656"/>
  <c r="Q1660"/>
  <c r="Q1664"/>
  <c r="P1143"/>
  <c r="Q1143"/>
  <c r="Q402"/>
  <c r="Q404"/>
  <c r="Q406"/>
  <c r="Q410"/>
  <c r="Q227"/>
  <c r="Q132"/>
  <c r="Q229"/>
  <c r="Q231"/>
  <c r="Q233"/>
  <c r="Q245"/>
  <c r="Q248"/>
  <c r="Q382"/>
  <c r="Q336"/>
  <c r="Q338"/>
  <c r="Q303"/>
  <c r="Q391"/>
  <c r="Q235"/>
  <c r="Q125"/>
  <c r="Q282"/>
  <c r="Q284"/>
  <c r="Q355"/>
  <c r="Q264"/>
  <c r="Q314"/>
  <c r="Q316"/>
  <c r="Q415"/>
  <c r="Q417"/>
  <c r="Q419"/>
  <c r="Q421"/>
  <c r="Q423"/>
  <c r="Q128"/>
  <c r="Q425"/>
  <c r="Q427"/>
  <c r="Q25"/>
  <c r="Q47"/>
  <c r="Q49"/>
  <c r="Q51"/>
  <c r="Q65"/>
  <c r="Q67"/>
  <c r="Q87"/>
  <c r="Q89"/>
  <c r="Q91"/>
  <c r="Q103"/>
  <c r="Q105"/>
  <c r="Q133"/>
  <c r="Q135"/>
  <c r="Q137"/>
  <c r="Q307"/>
  <c r="Q309"/>
  <c r="Q253"/>
  <c r="Q255"/>
  <c r="Q357"/>
  <c r="Q359"/>
  <c r="Q296"/>
  <c r="Q339"/>
  <c r="Q341"/>
  <c r="Q343"/>
  <c r="Q345"/>
  <c r="Q347"/>
  <c r="Q360"/>
  <c r="Q362"/>
  <c r="Q364"/>
  <c r="Q366"/>
  <c r="Q322"/>
  <c r="Q349"/>
  <c r="Q277"/>
  <c r="Q8"/>
  <c r="Q332"/>
  <c r="Q439"/>
  <c r="Q450"/>
  <c r="Q464"/>
  <c r="Q503"/>
  <c r="Q505"/>
  <c r="Q508"/>
  <c r="Q551"/>
  <c r="Q553"/>
  <c r="Q567"/>
  <c r="Q569"/>
  <c r="Q445"/>
  <c r="Q573"/>
  <c r="Q614"/>
  <c r="Q499"/>
  <c r="Q599"/>
  <c r="Q564"/>
  <c r="Q469"/>
  <c r="Q433"/>
  <c r="Q541"/>
  <c r="Q543"/>
  <c r="Q512"/>
  <c r="Q648"/>
  <c r="Q824"/>
  <c r="Q707"/>
  <c r="Q709"/>
  <c r="Q717"/>
  <c r="Q644"/>
  <c r="Q647"/>
  <c r="Q490"/>
  <c r="Q652"/>
  <c r="Q654"/>
  <c r="Q685"/>
  <c r="Q722"/>
  <c r="Q724"/>
  <c r="Q827"/>
  <c r="Q829"/>
  <c r="Q728"/>
  <c r="Q750"/>
  <c r="Q773"/>
  <c r="Q775"/>
  <c r="Q777"/>
  <c r="Q779"/>
  <c r="Q783"/>
  <c r="Q788"/>
  <c r="Q781"/>
  <c r="Q727"/>
  <c r="Q761"/>
  <c r="Q785"/>
  <c r="Q795"/>
  <c r="Q714"/>
  <c r="Q807"/>
  <c r="Q821"/>
  <c r="Q813"/>
  <c r="Q802"/>
  <c r="Q834"/>
  <c r="Q836"/>
  <c r="Q838"/>
  <c r="Q840"/>
  <c r="Q804"/>
  <c r="Q848"/>
  <c r="Q850"/>
  <c r="Q852"/>
  <c r="Q854"/>
  <c r="Q601"/>
  <c r="Q603"/>
  <c r="Q631"/>
  <c r="Q633"/>
  <c r="Q635"/>
  <c r="Q655"/>
  <c r="Q657"/>
  <c r="Q659"/>
  <c r="Q667"/>
  <c r="Q669"/>
  <c r="Q637"/>
  <c r="Q639"/>
  <c r="Q641"/>
  <c r="Q677"/>
  <c r="Q679"/>
  <c r="Q689"/>
  <c r="Q691"/>
  <c r="Q693"/>
  <c r="Q752"/>
  <c r="Q754"/>
  <c r="Q756"/>
  <c r="Q878"/>
  <c r="Q880"/>
  <c r="Q882"/>
  <c r="Q884"/>
  <c r="Q886"/>
  <c r="Q888"/>
  <c r="Q890"/>
  <c r="Q892"/>
  <c r="Q894"/>
  <c r="Q896"/>
  <c r="Q898"/>
  <c r="Q908"/>
  <c r="Q917"/>
  <c r="Q919"/>
  <c r="Q977"/>
  <c r="Q1001"/>
  <c r="Q1003"/>
  <c r="Q1005"/>
  <c r="Q1007"/>
  <c r="Q1134"/>
  <c r="Q1038"/>
  <c r="Q1076"/>
  <c r="Q1078"/>
  <c r="Q1083"/>
  <c r="Q1085"/>
  <c r="Q1100"/>
  <c r="Q1102"/>
  <c r="Q1129"/>
  <c r="Q1139"/>
  <c r="Q1141"/>
  <c r="Q1169"/>
  <c r="Q1137"/>
  <c r="Q1125"/>
  <c r="Q1104"/>
  <c r="Q1049"/>
  <c r="Q1054"/>
  <c r="Q1040"/>
  <c r="Q1023"/>
  <c r="Q989"/>
  <c r="Q969"/>
  <c r="Q943"/>
  <c r="Q932"/>
  <c r="Q1091"/>
  <c r="Q1172"/>
  <c r="Q1096"/>
  <c r="Q1032"/>
  <c r="Q950"/>
  <c r="Q973"/>
  <c r="Q953"/>
  <c r="Q1014"/>
  <c r="Q1018"/>
  <c r="Q1148"/>
  <c r="Q1152"/>
  <c r="Q1249"/>
  <c r="Q1253"/>
  <c r="Q1174"/>
  <c r="Q1256"/>
  <c r="Q1223"/>
  <c r="Q1218"/>
  <c r="Q1244"/>
  <c r="Q1215"/>
  <c r="Q1155"/>
  <c r="Q1181"/>
  <c r="Q1185"/>
  <c r="Q1226"/>
  <c r="Q1161"/>
  <c r="Q1165"/>
  <c r="Q1123"/>
  <c r="Q1189"/>
  <c r="Q1167"/>
  <c r="Q1233"/>
  <c r="Q1332"/>
  <c r="Q1340"/>
  <c r="Q1349"/>
  <c r="Q1344"/>
  <c r="Q1352"/>
  <c r="Q1363"/>
  <c r="Q1361"/>
  <c r="Q1367"/>
  <c r="Q1356"/>
  <c r="Q1575"/>
  <c r="Q1579"/>
  <c r="Q1583"/>
  <c r="Q1587"/>
  <c r="Q1591"/>
  <c r="Q1595"/>
  <c r="Q1599"/>
  <c r="Q1603"/>
  <c r="Q1607"/>
  <c r="Q1611"/>
  <c r="Q1615"/>
  <c r="Q1618"/>
  <c r="Q1622"/>
  <c r="Q1626"/>
  <c r="Q1630"/>
  <c r="Q1634"/>
  <c r="Q1638"/>
  <c r="Q1642"/>
  <c r="Q1646"/>
  <c r="Q1650"/>
  <c r="Q1654"/>
  <c r="Q1658"/>
  <c r="Q1662"/>
  <c r="Q1130"/>
  <c r="Q1132"/>
  <c r="Q1126"/>
  <c r="Q1103"/>
  <c r="Q1111"/>
  <c r="Q1087"/>
  <c r="Q1050"/>
  <c r="Q1053"/>
  <c r="Q1055"/>
  <c r="Q1057"/>
  <c r="Q1044"/>
  <c r="Q1035"/>
  <c r="Q1008"/>
  <c r="Q1010"/>
  <c r="Q967"/>
  <c r="Q990"/>
  <c r="Q968"/>
  <c r="Q956"/>
  <c r="Q958"/>
  <c r="Q944"/>
  <c r="Q931"/>
  <c r="Q906"/>
  <c r="Q937"/>
  <c r="Q1092"/>
  <c r="Q1171"/>
  <c r="Q1093"/>
  <c r="Q1095"/>
  <c r="Q1097"/>
  <c r="Q1031"/>
  <c r="Q1033"/>
  <c r="Q949"/>
  <c r="Q970"/>
  <c r="Q972"/>
  <c r="Q974"/>
  <c r="Q952"/>
  <c r="Q1011"/>
  <c r="Q1013"/>
  <c r="Q1015"/>
  <c r="Q1017"/>
  <c r="Q1145"/>
  <c r="Q1147"/>
  <c r="Q1149"/>
  <c r="Q1151"/>
  <c r="Q1246"/>
  <c r="Q1248"/>
  <c r="Q1250"/>
  <c r="Q1252"/>
  <c r="Q1254"/>
  <c r="Q1173"/>
  <c r="Q1232"/>
  <c r="Q1237"/>
  <c r="Q1257"/>
  <c r="Q1259"/>
  <c r="Q1224"/>
  <c r="Q1217"/>
  <c r="Q1219"/>
  <c r="Q1241"/>
  <c r="Q1222"/>
  <c r="Q1211"/>
  <c r="Q1198"/>
  <c r="Q1153"/>
  <c r="Q1176"/>
  <c r="Q1180"/>
  <c r="Q1205"/>
  <c r="Q1184"/>
  <c r="Q1186"/>
  <c r="Q1225"/>
  <c r="Q1227"/>
  <c r="Q1229"/>
  <c r="Q1162"/>
  <c r="Q1164"/>
  <c r="Q1120"/>
  <c r="Q1122"/>
  <c r="Q1124"/>
  <c r="Q1278"/>
  <c r="Q914"/>
  <c r="Q1188"/>
  <c r="Q1206"/>
  <c r="Q1166"/>
  <c r="Q984"/>
  <c r="Q1119"/>
  <c r="Q1234"/>
  <c r="Q1331"/>
  <c r="Q1337"/>
  <c r="Q1339"/>
  <c r="Q1341"/>
  <c r="Q1348"/>
  <c r="Q1350"/>
  <c r="Q1343"/>
  <c r="Q1321"/>
  <c r="Q1315"/>
  <c r="Q1353"/>
  <c r="Q1334"/>
  <c r="Q1364"/>
  <c r="Q1355"/>
  <c r="Q1362"/>
  <c r="Q1366"/>
  <c r="Q1368"/>
  <c r="Q1282"/>
  <c r="Q1323"/>
  <c r="Q1357"/>
  <c r="Q1370"/>
  <c r="Q1574"/>
  <c r="Q1576"/>
  <c r="Q1578"/>
  <c r="Q1580"/>
  <c r="Q1582"/>
  <c r="Q1584"/>
  <c r="Q1586"/>
  <c r="Q1588"/>
  <c r="Q1590"/>
  <c r="Q1592"/>
  <c r="Q1594"/>
  <c r="Q1596"/>
  <c r="Q1598"/>
  <c r="Q1600"/>
  <c r="Q1602"/>
  <c r="Q1604"/>
  <c r="Q1606"/>
  <c r="Q1608"/>
  <c r="Q1610"/>
  <c r="Q1612"/>
  <c r="Q1614"/>
  <c r="Q1616"/>
  <c r="Q1619"/>
  <c r="Q1621"/>
  <c r="Q1623"/>
  <c r="Q1625"/>
  <c r="Q1627"/>
  <c r="Q1629"/>
  <c r="Q1631"/>
  <c r="Q1633"/>
  <c r="Q1635"/>
  <c r="Q1637"/>
  <c r="Q1639"/>
  <c r="Q1641"/>
  <c r="Q1643"/>
  <c r="Q1645"/>
  <c r="Q1647"/>
  <c r="Q1649"/>
  <c r="Q1651"/>
  <c r="Q1653"/>
  <c r="Q1655"/>
  <c r="Q1657"/>
  <c r="Q1659"/>
  <c r="Q1661"/>
  <c r="Q1663"/>
  <c r="Q1665"/>
  <c r="Q2012"/>
  <c r="Q2014"/>
  <c r="Q2016"/>
  <c r="Q2018"/>
  <c r="Q2020"/>
  <c r="Q2022"/>
  <c r="Q2024"/>
  <c r="Q2026"/>
  <c r="Q2028"/>
  <c r="Q2030"/>
  <c r="Q2032"/>
  <c r="Q2034"/>
  <c r="Q2036"/>
  <c r="Q2038"/>
  <c r="Q2040"/>
  <c r="Q2042"/>
  <c r="Q2044"/>
  <c r="Q2046"/>
  <c r="Q2048"/>
  <c r="Q2050"/>
  <c r="Q2052"/>
  <c r="Q2054"/>
  <c r="Q2056"/>
  <c r="Q2058"/>
  <c r="Q2060"/>
  <c r="Q2062"/>
  <c r="Q2064"/>
  <c r="Q2066"/>
  <c r="Q2068"/>
  <c r="Q2070"/>
  <c r="Q2072"/>
  <c r="Q2074"/>
  <c r="Q2076"/>
  <c r="Q2078"/>
  <c r="Q2080"/>
  <c r="Q2082"/>
  <c r="Q2084"/>
  <c r="Q2086"/>
  <c r="Q2088"/>
  <c r="Q2090"/>
  <c r="Q2092"/>
  <c r="Q2094"/>
  <c r="Q2096"/>
  <c r="Q2098"/>
  <c r="Q2100"/>
  <c r="Q2102"/>
  <c r="Q2104"/>
  <c r="Q2106"/>
  <c r="Q2108"/>
  <c r="Q2110"/>
  <c r="Q2112"/>
  <c r="Q2114"/>
  <c r="Q2116"/>
  <c r="Q2118"/>
  <c r="Q2120"/>
  <c r="Q2122"/>
  <c r="Q2124"/>
  <c r="Q2126"/>
  <c r="Q2128"/>
  <c r="Q2130"/>
  <c r="Q2132"/>
  <c r="Q2134"/>
  <c r="Q2136"/>
  <c r="Q2138"/>
  <c r="Q2140"/>
  <c r="Q2142"/>
  <c r="Q2144"/>
  <c r="Q2146"/>
  <c r="Q2148"/>
  <c r="Q2150"/>
  <c r="Q2152"/>
  <c r="Q2154"/>
  <c r="Q2156"/>
  <c r="Q2158"/>
  <c r="Q2160"/>
  <c r="Q2162"/>
  <c r="Q2164"/>
  <c r="Q2166"/>
  <c r="Q2168"/>
  <c r="Q2170"/>
  <c r="Q2172"/>
  <c r="Q2174"/>
  <c r="Q2176"/>
  <c r="Q2178"/>
  <c r="Q2180"/>
  <c r="Q2182"/>
  <c r="Q2184"/>
  <c r="Q2186"/>
  <c r="Q2188"/>
  <c r="Q2190"/>
  <c r="Q2192"/>
  <c r="Q2194"/>
  <c r="Q2196"/>
  <c r="Q2198"/>
  <c r="Q2200"/>
  <c r="Q2202"/>
  <c r="Q2204"/>
  <c r="Q2206"/>
  <c r="Q2208"/>
  <c r="Q2210"/>
  <c r="Q2212"/>
  <c r="Q2214"/>
  <c r="Q2011"/>
  <c r="Q2013"/>
  <c r="Q2015"/>
  <c r="Q2017"/>
  <c r="Q2019"/>
  <c r="Q2021"/>
  <c r="Q2023"/>
  <c r="Q2025"/>
  <c r="Q2027"/>
  <c r="Q2029"/>
  <c r="Q2031"/>
  <c r="Q2033"/>
  <c r="Q2035"/>
  <c r="Q2037"/>
  <c r="Q2039"/>
  <c r="Q2041"/>
  <c r="Q2043"/>
  <c r="Q2045"/>
  <c r="Q2047"/>
  <c r="Q2049"/>
  <c r="Q2051"/>
  <c r="Q2053"/>
  <c r="Q2055"/>
  <c r="Q2057"/>
  <c r="Q2059"/>
  <c r="Q2061"/>
  <c r="Q2063"/>
  <c r="Q2065"/>
  <c r="Q2067"/>
  <c r="Q2069"/>
  <c r="Q2071"/>
  <c r="Q2073"/>
  <c r="Q2075"/>
  <c r="Q2077"/>
  <c r="Q2079"/>
  <c r="Q2081"/>
  <c r="Q2083"/>
  <c r="Q2085"/>
  <c r="Q2087"/>
  <c r="Q2089"/>
  <c r="Q2091"/>
  <c r="Q2093"/>
  <c r="Q2095"/>
  <c r="Q2097"/>
  <c r="Q2099"/>
  <c r="Q2101"/>
  <c r="Q2103"/>
  <c r="Q2105"/>
  <c r="Q2107"/>
  <c r="Q2109"/>
  <c r="Q2111"/>
  <c r="Q2113"/>
  <c r="Q2115"/>
  <c r="Q2117"/>
  <c r="Q2119"/>
  <c r="Q2121"/>
  <c r="Q2123"/>
  <c r="Q2125"/>
  <c r="Q2127"/>
  <c r="Q2129"/>
  <c r="Q2131"/>
  <c r="Q2133"/>
  <c r="Q2135"/>
  <c r="Q2137"/>
  <c r="Q2139"/>
  <c r="Q2141"/>
  <c r="Q2143"/>
  <c r="Q2145"/>
  <c r="Q2147"/>
  <c r="Q2149"/>
  <c r="Q2151"/>
  <c r="Q2153"/>
  <c r="Q2155"/>
  <c r="Q2157"/>
  <c r="Q2159"/>
  <c r="Q2161"/>
  <c r="Q2163"/>
  <c r="Q2165"/>
  <c r="Q2167"/>
  <c r="Q2169"/>
  <c r="Q2171"/>
  <c r="Q2173"/>
  <c r="Q2175"/>
  <c r="Q2177"/>
  <c r="Q2179"/>
  <c r="Q2181"/>
  <c r="Q2183"/>
  <c r="Q2185"/>
  <c r="Q2187"/>
  <c r="Q2189"/>
  <c r="Q2191"/>
  <c r="Q2193"/>
  <c r="Q2195"/>
  <c r="Q2197"/>
  <c r="Q2199"/>
  <c r="Q2201"/>
  <c r="Q2203"/>
  <c r="Q2205"/>
  <c r="Q2207"/>
  <c r="Q2209"/>
  <c r="Q2211"/>
  <c r="Q2213"/>
  <c r="P10"/>
  <c r="P11"/>
  <c r="P26"/>
  <c r="P27"/>
  <c r="P54"/>
  <c r="P12"/>
  <c r="P13"/>
  <c r="P29"/>
  <c r="P31"/>
  <c r="P39"/>
  <c r="P40"/>
  <c r="P55"/>
  <c r="P56"/>
  <c r="P57"/>
  <c r="P58"/>
  <c r="P75"/>
  <c r="P76"/>
  <c r="P77"/>
  <c r="P78"/>
  <c r="P79"/>
  <c r="P80"/>
  <c r="P81"/>
  <c r="P82"/>
  <c r="P69"/>
  <c r="P70"/>
  <c r="P71"/>
  <c r="P72"/>
  <c r="P59"/>
  <c r="P60"/>
  <c r="P73"/>
  <c r="P74"/>
  <c r="P83"/>
  <c r="P84"/>
  <c r="P393"/>
  <c r="P394"/>
  <c r="P395"/>
  <c r="P396"/>
  <c r="P397"/>
  <c r="P43"/>
  <c r="P44"/>
  <c r="P45"/>
  <c r="P14"/>
  <c r="P15"/>
  <c r="P92"/>
  <c r="P93"/>
  <c r="P94"/>
  <c r="P95"/>
  <c r="P97"/>
  <c r="P101"/>
  <c r="P16"/>
  <c r="P17"/>
  <c r="P18"/>
  <c r="P19"/>
  <c r="P61"/>
  <c r="P62"/>
  <c r="P63"/>
  <c r="P37"/>
  <c r="P38"/>
  <c r="P85"/>
  <c r="P86"/>
  <c r="P108"/>
  <c r="P109"/>
  <c r="P110"/>
  <c r="P129"/>
  <c r="P130"/>
  <c r="P148"/>
  <c r="P149"/>
  <c r="P150"/>
  <c r="P151"/>
  <c r="P152"/>
  <c r="P153"/>
  <c r="P154"/>
  <c r="P155"/>
  <c r="P156"/>
  <c r="P159"/>
  <c r="P160"/>
  <c r="P161"/>
  <c r="P162"/>
  <c r="P163"/>
  <c r="P164"/>
  <c r="P165"/>
  <c r="P166"/>
  <c r="P170"/>
  <c r="P171"/>
  <c r="P172"/>
  <c r="P173"/>
  <c r="P174"/>
  <c r="P157"/>
  <c r="P158"/>
  <c r="P138"/>
  <c r="P139"/>
  <c r="P175"/>
  <c r="P176"/>
  <c r="P178"/>
  <c r="P140"/>
  <c r="P141"/>
  <c r="P143"/>
  <c r="P144"/>
  <c r="P145"/>
  <c r="P147"/>
  <c r="P179"/>
  <c r="P180"/>
  <c r="P181"/>
  <c r="P182"/>
  <c r="P184"/>
  <c r="P185"/>
  <c r="P186"/>
  <c r="P187"/>
  <c r="P188"/>
  <c r="P189"/>
  <c r="P190"/>
  <c r="P191"/>
  <c r="P111"/>
  <c r="P112"/>
  <c r="P113"/>
  <c r="P114"/>
  <c r="P192"/>
  <c r="P193"/>
  <c r="P194"/>
  <c r="P195"/>
  <c r="Q196"/>
  <c r="P244"/>
  <c r="P256"/>
  <c r="P257"/>
  <c r="P258"/>
  <c r="P259"/>
  <c r="P260"/>
  <c r="P261"/>
  <c r="P262"/>
  <c r="P269"/>
  <c r="P270"/>
  <c r="P271"/>
  <c r="P272"/>
  <c r="P273"/>
  <c r="P274"/>
  <c r="P275"/>
  <c r="P276"/>
  <c r="P279"/>
  <c r="P280"/>
  <c r="P281"/>
  <c r="P285"/>
  <c r="P293"/>
  <c r="P294"/>
  <c r="P300"/>
  <c r="P301"/>
  <c r="P310"/>
  <c r="P326"/>
  <c r="P327"/>
  <c r="P351"/>
  <c r="P352"/>
  <c r="P408"/>
  <c r="P409"/>
  <c r="P247"/>
  <c r="P249"/>
  <c r="P250"/>
  <c r="P411"/>
  <c r="P412"/>
  <c r="P413"/>
  <c r="P123"/>
  <c r="P124"/>
  <c r="P388"/>
  <c r="P389"/>
  <c r="P7"/>
  <c r="P20"/>
  <c r="P21"/>
  <c r="P22"/>
  <c r="P23"/>
  <c r="Q24"/>
  <c r="P168"/>
  <c r="P169"/>
  <c r="P199"/>
  <c r="P200"/>
  <c r="P201"/>
  <c r="P202"/>
  <c r="P203"/>
  <c r="P204"/>
  <c r="P205"/>
  <c r="P206"/>
  <c r="P237"/>
  <c r="P238"/>
  <c r="P239"/>
  <c r="P240"/>
  <c r="P241"/>
  <c r="P305"/>
  <c r="Q306"/>
  <c r="P386"/>
  <c r="P387"/>
  <c r="P329"/>
  <c r="P330"/>
  <c r="P331"/>
  <c r="P266"/>
  <c r="P267"/>
  <c r="P268"/>
  <c r="Q251"/>
  <c r="P299"/>
  <c r="P317"/>
  <c r="P318"/>
  <c r="P319"/>
  <c r="Q320"/>
  <c r="P368"/>
  <c r="P369"/>
  <c r="P375"/>
  <c r="P376"/>
  <c r="P377"/>
  <c r="P378"/>
  <c r="P379"/>
  <c r="P380"/>
  <c r="P381"/>
  <c r="P370"/>
  <c r="Q371"/>
  <c r="P452"/>
  <c r="P453"/>
  <c r="P454"/>
  <c r="P455"/>
  <c r="P456"/>
  <c r="P457"/>
  <c r="P458"/>
  <c r="P459"/>
  <c r="P460"/>
  <c r="P494"/>
  <c r="P495"/>
  <c r="P496"/>
  <c r="Q497"/>
  <c r="P507"/>
  <c r="P620"/>
  <c r="P621"/>
  <c r="P622"/>
  <c r="P623"/>
  <c r="P624"/>
  <c r="P605"/>
  <c r="P606"/>
  <c r="P607"/>
  <c r="P570"/>
  <c r="P572"/>
  <c r="P486"/>
  <c r="P487"/>
  <c r="P488"/>
  <c r="P466"/>
  <c r="P467"/>
  <c r="P468"/>
  <c r="P461"/>
  <c r="P462"/>
  <c r="P463"/>
  <c r="P447"/>
  <c r="P448"/>
  <c r="P449"/>
  <c r="P441"/>
  <c r="P442"/>
  <c r="P443"/>
  <c r="P428"/>
  <c r="P429"/>
  <c r="P430"/>
  <c r="P431"/>
  <c r="P432"/>
  <c r="Q444"/>
  <c r="P611"/>
  <c r="P612"/>
  <c r="P509"/>
  <c r="P510"/>
  <c r="Q511"/>
  <c r="P626"/>
  <c r="P627"/>
  <c r="P650"/>
  <c r="P651"/>
  <c r="P660"/>
  <c r="P661"/>
  <c r="P575"/>
  <c r="P576"/>
  <c r="P577"/>
  <c r="P578"/>
  <c r="P579"/>
  <c r="P580"/>
  <c r="P581"/>
  <c r="P582"/>
  <c r="P699"/>
  <c r="P700"/>
  <c r="P701"/>
  <c r="P702"/>
  <c r="P703"/>
  <c r="P704"/>
  <c r="P705"/>
  <c r="P706"/>
  <c r="P662"/>
  <c r="P663"/>
  <c r="P664"/>
  <c r="P665"/>
  <c r="P671"/>
  <c r="P672"/>
  <c r="P673"/>
  <c r="P674"/>
  <c r="P719"/>
  <c r="P720"/>
  <c r="P721"/>
  <c r="P642"/>
  <c r="P643"/>
  <c r="P683"/>
  <c r="P645"/>
  <c r="P646"/>
  <c r="P491"/>
  <c r="P500"/>
  <c r="P501"/>
  <c r="P502"/>
  <c r="P492"/>
  <c r="P493"/>
  <c r="P615"/>
  <c r="P616"/>
  <c r="P583"/>
  <c r="P584"/>
  <c r="P533"/>
  <c r="P534"/>
  <c r="P535"/>
  <c r="P536"/>
  <c r="P537"/>
  <c r="P538"/>
  <c r="P711"/>
  <c r="P712"/>
  <c r="P617"/>
  <c r="P618"/>
  <c r="P686"/>
  <c r="P687"/>
  <c r="P688"/>
  <c r="P628"/>
  <c r="P629"/>
  <c r="P790"/>
  <c r="P782"/>
  <c r="P791"/>
  <c r="P792"/>
  <c r="P725"/>
  <c r="P762"/>
  <c r="P757"/>
  <c r="P758"/>
  <c r="P787"/>
  <c r="P793"/>
  <c r="P794"/>
  <c r="P808"/>
  <c r="P809"/>
  <c r="P810"/>
  <c r="P831"/>
  <c r="P832"/>
  <c r="P816"/>
  <c r="P817"/>
  <c r="P818"/>
  <c r="P819"/>
  <c r="P822"/>
  <c r="P815"/>
  <c r="P811"/>
  <c r="P812"/>
  <c r="P796"/>
  <c r="P797"/>
  <c r="P798"/>
  <c r="P799"/>
  <c r="P800"/>
  <c r="P801"/>
  <c r="P805"/>
  <c r="P715"/>
  <c r="P716"/>
  <c r="P841"/>
  <c r="P842"/>
  <c r="P844"/>
  <c r="P435"/>
  <c r="P436"/>
  <c r="P845"/>
  <c r="P846"/>
  <c r="P847"/>
  <c r="P438"/>
  <c r="P471"/>
  <c r="P472"/>
  <c r="P473"/>
  <c r="P474"/>
  <c r="P475"/>
  <c r="P476"/>
  <c r="P477"/>
  <c r="P478"/>
  <c r="P479"/>
  <c r="P480"/>
  <c r="P481"/>
  <c r="P482"/>
  <c r="P483"/>
  <c r="P484"/>
  <c r="P485"/>
  <c r="P514"/>
  <c r="P515"/>
  <c r="P516"/>
  <c r="P517"/>
  <c r="P518"/>
  <c r="P519"/>
  <c r="P520"/>
  <c r="P521"/>
  <c r="P522"/>
  <c r="P523"/>
  <c r="P524"/>
  <c r="P525"/>
  <c r="P526"/>
  <c r="P527"/>
  <c r="P528"/>
  <c r="P539"/>
  <c r="P540"/>
  <c r="P529"/>
  <c r="P530"/>
  <c r="P531"/>
  <c r="P532"/>
  <c r="P545"/>
  <c r="P546"/>
  <c r="P547"/>
  <c r="P548"/>
  <c r="P549"/>
  <c r="P554"/>
  <c r="P555"/>
  <c r="P556"/>
  <c r="P557"/>
  <c r="P558"/>
  <c r="P559"/>
  <c r="P560"/>
  <c r="P561"/>
  <c r="P562"/>
  <c r="P563"/>
  <c r="P585"/>
  <c r="P586"/>
  <c r="P587"/>
  <c r="P588"/>
  <c r="P589"/>
  <c r="P590"/>
  <c r="P591"/>
  <c r="P592"/>
  <c r="P593"/>
  <c r="P594"/>
  <c r="P595"/>
  <c r="P596"/>
  <c r="P597"/>
  <c r="Q695"/>
  <c r="Q696"/>
  <c r="Q697"/>
  <c r="Q698"/>
  <c r="Q763"/>
  <c r="Q764"/>
  <c r="Q765"/>
  <c r="Q766"/>
  <c r="Q767"/>
  <c r="Q768"/>
  <c r="Q769"/>
  <c r="Q770"/>
  <c r="Q771"/>
  <c r="Q772"/>
  <c r="Q730"/>
  <c r="Q731"/>
  <c r="Q732"/>
  <c r="Q733"/>
  <c r="Q734"/>
  <c r="Q735"/>
  <c r="Q736"/>
  <c r="Q737"/>
  <c r="Q738"/>
  <c r="Q739"/>
  <c r="P741"/>
  <c r="J170" i="6"/>
  <c r="P740" i="33"/>
  <c r="Q1289"/>
  <c r="J1289"/>
  <c r="Q1293"/>
  <c r="J1293"/>
  <c r="P742"/>
  <c r="P743"/>
  <c r="P744"/>
  <c r="P745"/>
  <c r="P746"/>
  <c r="P747"/>
  <c r="P748"/>
  <c r="P749"/>
  <c r="P856"/>
  <c r="P857"/>
  <c r="P858"/>
  <c r="P859"/>
  <c r="Q862"/>
  <c r="Q863"/>
  <c r="Q864"/>
  <c r="Q865"/>
  <c r="Q866"/>
  <c r="Q867"/>
  <c r="Q868"/>
  <c r="Q869"/>
  <c r="Q870"/>
  <c r="Q871"/>
  <c r="Q872"/>
  <c r="Q873"/>
  <c r="Q874"/>
  <c r="Q875"/>
  <c r="Q876"/>
  <c r="P921"/>
  <c r="P929"/>
  <c r="P930"/>
  <c r="P934"/>
  <c r="P935"/>
  <c r="P954"/>
  <c r="P955"/>
  <c r="P975"/>
  <c r="P976"/>
  <c r="P978"/>
  <c r="P980"/>
  <c r="P987"/>
  <c r="P988"/>
  <c r="P997"/>
  <c r="P998"/>
  <c r="P999"/>
  <c r="P1000"/>
  <c r="P1039"/>
  <c r="P1045"/>
  <c r="P1046"/>
  <c r="P1058"/>
  <c r="P1059"/>
  <c r="P1060"/>
  <c r="P1061"/>
  <c r="P1062"/>
  <c r="P1073"/>
  <c r="Q1074"/>
  <c r="P1144"/>
  <c r="P1135"/>
  <c r="P1136"/>
  <c r="P1105"/>
  <c r="P1106"/>
  <c r="P1107"/>
  <c r="P1108"/>
  <c r="P1109"/>
  <c r="P1110"/>
  <c r="P1088"/>
  <c r="P1089"/>
  <c r="P1090"/>
  <c r="P1047"/>
  <c r="P1048"/>
  <c r="P1051"/>
  <c r="P1041"/>
  <c r="P1042"/>
  <c r="P1043"/>
  <c r="P1036"/>
  <c r="P1029"/>
  <c r="P1030"/>
  <c r="P1024"/>
  <c r="P1025"/>
  <c r="P1026"/>
  <c r="P1021"/>
  <c r="P1022"/>
  <c r="P991"/>
  <c r="P981"/>
  <c r="P982"/>
  <c r="P945"/>
  <c r="P946"/>
  <c r="P947"/>
  <c r="P1079"/>
  <c r="P1080"/>
  <c r="P933"/>
  <c r="P904"/>
  <c r="P905"/>
  <c r="P1175"/>
  <c r="P1178"/>
  <c r="P1179"/>
  <c r="P1190"/>
  <c r="P1191"/>
  <c r="P1192"/>
  <c r="P1193"/>
  <c r="P1194"/>
  <c r="P1195"/>
  <c r="P1196"/>
  <c r="P1197"/>
  <c r="P1208"/>
  <c r="P1209"/>
  <c r="P1230"/>
  <c r="P1231"/>
  <c r="P1242"/>
  <c r="P1243"/>
  <c r="P1245"/>
  <c r="P1238"/>
  <c r="P1239"/>
  <c r="P1220"/>
  <c r="P1221"/>
  <c r="P1212"/>
  <c r="P1213"/>
  <c r="P1214"/>
  <c r="P1200"/>
  <c r="P1154"/>
  <c r="P1182"/>
  <c r="P959"/>
  <c r="P960"/>
  <c r="P922"/>
  <c r="P923"/>
  <c r="P1156"/>
  <c r="P1157"/>
  <c r="P1158"/>
  <c r="P1159"/>
  <c r="P1160"/>
  <c r="P1019"/>
  <c r="P1020"/>
  <c r="P1260"/>
  <c r="P1261"/>
  <c r="P1262"/>
  <c r="P1263"/>
  <c r="P1264"/>
  <c r="P1265"/>
  <c r="P1266"/>
  <c r="P1267"/>
  <c r="P1268"/>
  <c r="P1269"/>
  <c r="P1270"/>
  <c r="P1271"/>
  <c r="P1272"/>
  <c r="P1273"/>
  <c r="P1274"/>
  <c r="P1275"/>
  <c r="P1276"/>
  <c r="P909"/>
  <c r="P910"/>
  <c r="P911"/>
  <c r="P912"/>
  <c r="P913"/>
  <c r="P938"/>
  <c r="P939"/>
  <c r="P940"/>
  <c r="P941"/>
  <c r="P942"/>
  <c r="P899"/>
  <c r="P900"/>
  <c r="P901"/>
  <c r="P902"/>
  <c r="P903"/>
  <c r="P1112"/>
  <c r="P1113"/>
  <c r="P1114"/>
  <c r="P1115"/>
  <c r="P1116"/>
  <c r="P961"/>
  <c r="P962"/>
  <c r="P963"/>
  <c r="P964"/>
  <c r="P965"/>
  <c r="P924"/>
  <c r="P925"/>
  <c r="P926"/>
  <c r="P927"/>
  <c r="P928"/>
  <c r="P1063"/>
  <c r="P1064"/>
  <c r="P1065"/>
  <c r="P1066"/>
  <c r="P1067"/>
  <c r="P1068"/>
  <c r="P1069"/>
  <c r="P1070"/>
  <c r="P1071"/>
  <c r="P1072"/>
  <c r="P1201"/>
  <c r="P1202"/>
  <c r="P1203"/>
  <c r="Q1204"/>
  <c r="P1279"/>
  <c r="P1280"/>
  <c r="P992"/>
  <c r="P994"/>
  <c r="P1117"/>
  <c r="P1027"/>
  <c r="P1299"/>
  <c r="P1301"/>
  <c r="P1303"/>
  <c r="P1305"/>
  <c r="P1316"/>
  <c r="P1346"/>
  <c r="P1335"/>
  <c r="P1326"/>
  <c r="P1324"/>
  <c r="P1297"/>
  <c r="P1307"/>
  <c r="P1309"/>
  <c r="P1311"/>
  <c r="P1319"/>
  <c r="P1442"/>
  <c r="P1444"/>
  <c r="P1446"/>
  <c r="P1329"/>
  <c r="P1283"/>
  <c r="P1285"/>
  <c r="P1287"/>
  <c r="P1290"/>
  <c r="P1294"/>
  <c r="P1296"/>
  <c r="P1374"/>
  <c r="P1376"/>
  <c r="P1378"/>
  <c r="P1380"/>
  <c r="P1382"/>
  <c r="P1384"/>
  <c r="P1402"/>
  <c r="P1404"/>
  <c r="P1406"/>
  <c r="P1408"/>
  <c r="P1386"/>
  <c r="P1388"/>
  <c r="P1393"/>
  <c r="P1395"/>
  <c r="P1397"/>
  <c r="P1390"/>
  <c r="P1392"/>
  <c r="P1400"/>
  <c r="P1410"/>
  <c r="P1412"/>
  <c r="P1414"/>
  <c r="P1428"/>
  <c r="P1430"/>
  <c r="P1432"/>
  <c r="P1427"/>
  <c r="P1434"/>
  <c r="P1436"/>
  <c r="P1419"/>
  <c r="P1421"/>
  <c r="P1423"/>
  <c r="P1359"/>
  <c r="P1424"/>
  <c r="P1437"/>
  <c r="P1439"/>
  <c r="P1441"/>
  <c r="P1448"/>
  <c r="P1450"/>
  <c r="P1452"/>
  <c r="P1454"/>
  <c r="P1456"/>
  <c r="P1458"/>
  <c r="P1460"/>
  <c r="P1462"/>
  <c r="P1464"/>
  <c r="P1466"/>
  <c r="P1468"/>
  <c r="P1470"/>
  <c r="P1472"/>
  <c r="P1475"/>
  <c r="P1477"/>
  <c r="P1479"/>
  <c r="P1481"/>
  <c r="P1483"/>
  <c r="P1485"/>
  <c r="P1487"/>
  <c r="P1489"/>
  <c r="P1491"/>
  <c r="P1493"/>
  <c r="P1495"/>
  <c r="P1497"/>
  <c r="P1499"/>
  <c r="P1501"/>
  <c r="P1503"/>
  <c r="P1505"/>
  <c r="P1507"/>
  <c r="Q1291"/>
  <c r="J1291"/>
  <c r="P993"/>
  <c r="P995"/>
  <c r="Q996"/>
  <c r="P986"/>
  <c r="P1118"/>
  <c r="P1235"/>
  <c r="P1028"/>
  <c r="P1300"/>
  <c r="P1302"/>
  <c r="P1304"/>
  <c r="P1306"/>
  <c r="P1317"/>
  <c r="P1345"/>
  <c r="P1347"/>
  <c r="P1336"/>
  <c r="P1327"/>
  <c r="P1325"/>
  <c r="P1298"/>
  <c r="P1308"/>
  <c r="P1310"/>
  <c r="P1312"/>
  <c r="P1320"/>
  <c r="P1371"/>
  <c r="P1443"/>
  <c r="P1445"/>
  <c r="P1328"/>
  <c r="P1330"/>
  <c r="P1284"/>
  <c r="P1286"/>
  <c r="P1288"/>
  <c r="P1289"/>
  <c r="P1292"/>
  <c r="P1293"/>
  <c r="P1295"/>
  <c r="P1373"/>
  <c r="P1375"/>
  <c r="P1377"/>
  <c r="P1379"/>
  <c r="P1381"/>
  <c r="P1383"/>
  <c r="P1401"/>
  <c r="P1403"/>
  <c r="P1405"/>
  <c r="P1407"/>
  <c r="P1385"/>
  <c r="P1387"/>
  <c r="P1389"/>
  <c r="P1394"/>
  <c r="P1396"/>
  <c r="P1398"/>
  <c r="P1391"/>
  <c r="P1399"/>
  <c r="P1409"/>
  <c r="P1411"/>
  <c r="P1413"/>
  <c r="P1415"/>
  <c r="P1429"/>
  <c r="P1431"/>
  <c r="P1426"/>
  <c r="P1433"/>
  <c r="P1435"/>
  <c r="P1418"/>
  <c r="P1420"/>
  <c r="P1422"/>
  <c r="P1358"/>
  <c r="P1360"/>
  <c r="P1425"/>
  <c r="P1438"/>
  <c r="P1440"/>
  <c r="P1447"/>
  <c r="P1449"/>
  <c r="P1451"/>
  <c r="P1453"/>
  <c r="P1455"/>
  <c r="P1457"/>
  <c r="P1459"/>
  <c r="P1461"/>
  <c r="P1463"/>
  <c r="P1465"/>
  <c r="P1467"/>
  <c r="P1469"/>
  <c r="P1471"/>
  <c r="P1473"/>
  <c r="P1474"/>
  <c r="P1476"/>
  <c r="P1478"/>
  <c r="P1480"/>
  <c r="P1482"/>
  <c r="P1484"/>
  <c r="P1486"/>
  <c r="P1488"/>
  <c r="P1490"/>
  <c r="P1492"/>
  <c r="P1494"/>
  <c r="P1496"/>
  <c r="P1498"/>
  <c r="P1500"/>
  <c r="P1502"/>
  <c r="P1504"/>
  <c r="P1506"/>
  <c r="P1508"/>
  <c r="Q1509"/>
  <c r="Q1510"/>
  <c r="Q1511"/>
  <c r="Q1512"/>
  <c r="Q1515"/>
  <c r="Q1516"/>
  <c r="Q1517"/>
  <c r="Q1518"/>
  <c r="Q1519"/>
  <c r="Q1520"/>
  <c r="Q1521"/>
  <c r="Q1522"/>
  <c r="Q1523"/>
  <c r="Q1524"/>
  <c r="Q1525"/>
  <c r="Q1526"/>
  <c r="Q1527"/>
  <c r="Q1528"/>
  <c r="Q1529"/>
  <c r="Q1530"/>
  <c r="Q1531"/>
  <c r="Q1532"/>
  <c r="Q1533"/>
  <c r="Q1534"/>
  <c r="Q1535"/>
  <c r="Q1536"/>
  <c r="Q1537"/>
  <c r="Q1538"/>
  <c r="Q1539"/>
  <c r="Q1540"/>
  <c r="Q1541"/>
  <c r="Q1542"/>
  <c r="Q1543"/>
  <c r="Q1544"/>
  <c r="Q1545"/>
  <c r="Q1546"/>
  <c r="Q1547"/>
  <c r="Q1548"/>
  <c r="Q1549"/>
  <c r="Q1550"/>
  <c r="Q1551"/>
  <c r="Q1552"/>
  <c r="Q1553"/>
  <c r="Q1554"/>
  <c r="Q1555"/>
  <c r="Q1556"/>
  <c r="Q1557"/>
  <c r="Q1558"/>
  <c r="Q1559"/>
  <c r="Q1560"/>
  <c r="Q1561"/>
  <c r="Q1562"/>
  <c r="Q1563"/>
  <c r="Q1564"/>
  <c r="Q1565"/>
  <c r="Q1566"/>
  <c r="Q1567"/>
  <c r="Q1568"/>
  <c r="Q1569"/>
  <c r="Q1570"/>
  <c r="Q1571"/>
  <c r="Q1572"/>
  <c r="Q1573"/>
  <c r="P1667"/>
  <c r="P1668"/>
  <c r="P1669"/>
  <c r="P1670"/>
  <c r="P1671"/>
  <c r="P1672"/>
  <c r="P1673"/>
  <c r="P1674"/>
  <c r="P1675"/>
  <c r="P1676"/>
  <c r="P1677"/>
  <c r="P1678"/>
  <c r="P1679"/>
  <c r="P1680"/>
  <c r="P1681"/>
  <c r="P1682"/>
  <c r="P1683"/>
  <c r="P1684"/>
  <c r="P1685"/>
  <c r="P1686"/>
  <c r="P1687"/>
  <c r="P1688"/>
  <c r="P1689"/>
  <c r="P1690"/>
  <c r="P1691"/>
  <c r="P1692"/>
  <c r="P1693"/>
  <c r="P1694"/>
  <c r="P1695"/>
  <c r="P1696"/>
  <c r="P1697"/>
  <c r="P1698"/>
  <c r="P1699"/>
  <c r="P1700"/>
  <c r="P1701"/>
  <c r="P1702"/>
  <c r="P1703"/>
  <c r="P1704"/>
  <c r="P1705"/>
  <c r="P1706"/>
  <c r="P1707"/>
  <c r="P1708"/>
  <c r="P1709"/>
  <c r="P1710"/>
  <c r="P1711"/>
  <c r="P1712"/>
  <c r="P1713"/>
  <c r="P1714"/>
  <c r="P1715"/>
  <c r="P1716"/>
  <c r="P1717"/>
  <c r="P1718"/>
  <c r="P1719"/>
  <c r="P1720"/>
  <c r="P1721"/>
  <c r="P1722"/>
  <c r="P1723"/>
  <c r="P1724"/>
  <c r="P1725"/>
  <c r="P1726"/>
  <c r="P1727"/>
  <c r="P1728"/>
  <c r="P1729"/>
  <c r="P1730"/>
  <c r="P1731"/>
  <c r="P1732"/>
  <c r="P1733"/>
  <c r="P1734"/>
  <c r="P1735"/>
  <c r="P1736"/>
  <c r="P1737"/>
  <c r="P1738"/>
  <c r="P1739"/>
  <c r="P1740"/>
  <c r="P1741"/>
  <c r="P1742"/>
  <c r="P1743"/>
  <c r="P1744"/>
  <c r="P1746"/>
  <c r="P1747"/>
  <c r="P1748"/>
  <c r="P1749"/>
  <c r="P1750"/>
  <c r="P1751"/>
  <c r="P1752"/>
  <c r="P1753"/>
  <c r="P1754"/>
  <c r="P1755"/>
  <c r="P1756"/>
  <c r="P1757"/>
  <c r="P1758"/>
  <c r="P1759"/>
  <c r="P1760"/>
  <c r="P1761"/>
  <c r="P1762"/>
  <c r="P1763"/>
  <c r="P1764"/>
  <c r="P1765"/>
  <c r="P1766"/>
  <c r="P1768"/>
  <c r="P1770"/>
  <c r="P1772"/>
  <c r="P1774"/>
  <c r="P1776"/>
  <c r="P1778"/>
  <c r="P1780"/>
  <c r="P1782"/>
  <c r="P1784"/>
  <c r="P1786"/>
  <c r="P1788"/>
  <c r="P1790"/>
  <c r="P1792"/>
  <c r="P1794"/>
  <c r="P1796"/>
  <c r="P1798"/>
  <c r="P1800"/>
  <c r="P1802"/>
  <c r="P1804"/>
  <c r="P1806"/>
  <c r="P1808"/>
  <c r="P1810"/>
  <c r="P1812"/>
  <c r="P1814"/>
  <c r="P1816"/>
  <c r="P1818"/>
  <c r="P1820"/>
  <c r="P1822"/>
  <c r="P1824"/>
  <c r="P1826"/>
  <c r="P1828"/>
  <c r="P1830"/>
  <c r="P1832"/>
  <c r="P1834"/>
  <c r="P1836"/>
  <c r="P1838"/>
  <c r="P1840"/>
  <c r="P1842"/>
  <c r="P1844"/>
  <c r="P1846"/>
  <c r="P1848"/>
  <c r="P1850"/>
  <c r="P1852"/>
  <c r="P1854"/>
  <c r="P1856"/>
  <c r="P1858"/>
  <c r="P1860"/>
  <c r="P1862"/>
  <c r="P1864"/>
  <c r="P1866"/>
  <c r="P1868"/>
  <c r="P1870"/>
  <c r="P1872"/>
  <c r="P1874"/>
  <c r="P1876"/>
  <c r="P1878"/>
  <c r="P1880"/>
  <c r="P1882"/>
  <c r="P1884"/>
  <c r="P1886"/>
  <c r="P1888"/>
  <c r="P1890"/>
  <c r="P1892"/>
  <c r="P1894"/>
  <c r="P1896"/>
  <c r="P1898"/>
  <c r="P1900"/>
  <c r="P1902"/>
  <c r="P1904"/>
  <c r="P1906"/>
  <c r="P1908"/>
  <c r="P1910"/>
  <c r="P1912"/>
  <c r="P1914"/>
  <c r="P1916"/>
  <c r="P1918"/>
  <c r="P1920"/>
  <c r="P1922"/>
  <c r="P1924"/>
  <c r="P1926"/>
  <c r="P1928"/>
  <c r="P1930"/>
  <c r="P1932"/>
  <c r="P1934"/>
  <c r="P1936"/>
  <c r="P1938"/>
  <c r="P1940"/>
  <c r="P1942"/>
  <c r="P1944"/>
  <c r="P1946"/>
  <c r="P1948"/>
  <c r="P1950"/>
  <c r="P1952"/>
  <c r="P1767"/>
  <c r="P1769"/>
  <c r="P1771"/>
  <c r="P1773"/>
  <c r="P1775"/>
  <c r="P1777"/>
  <c r="P1779"/>
  <c r="P1781"/>
  <c r="P1783"/>
  <c r="P1785"/>
  <c r="P1787"/>
  <c r="P1789"/>
  <c r="P1791"/>
  <c r="P1793"/>
  <c r="P1795"/>
  <c r="P1797"/>
  <c r="P1799"/>
  <c r="P1801"/>
  <c r="P1803"/>
  <c r="P1805"/>
  <c r="P1807"/>
  <c r="P1809"/>
  <c r="P1811"/>
  <c r="P1813"/>
  <c r="P1815"/>
  <c r="P1817"/>
  <c r="P1819"/>
  <c r="P1821"/>
  <c r="P1823"/>
  <c r="P1825"/>
  <c r="P1827"/>
  <c r="P1829"/>
  <c r="P1831"/>
  <c r="P1833"/>
  <c r="P1835"/>
  <c r="P1837"/>
  <c r="P1839"/>
  <c r="P1841"/>
  <c r="P1843"/>
  <c r="P1845"/>
  <c r="P1847"/>
  <c r="P1849"/>
  <c r="P1851"/>
  <c r="P1853"/>
  <c r="P1855"/>
  <c r="P1857"/>
  <c r="P1859"/>
  <c r="P1861"/>
  <c r="P1863"/>
  <c r="P1865"/>
  <c r="P1867"/>
  <c r="P1869"/>
  <c r="P1871"/>
  <c r="P1873"/>
  <c r="P1875"/>
  <c r="P1877"/>
  <c r="P1879"/>
  <c r="P1881"/>
  <c r="P1883"/>
  <c r="P1885"/>
  <c r="P1887"/>
  <c r="P1889"/>
  <c r="P1891"/>
  <c r="P1893"/>
  <c r="P1895"/>
  <c r="P1897"/>
  <c r="P1899"/>
  <c r="P1901"/>
  <c r="P1903"/>
  <c r="P1905"/>
  <c r="P1907"/>
  <c r="P1909"/>
  <c r="P1911"/>
  <c r="P1913"/>
  <c r="P1915"/>
  <c r="P1917"/>
  <c r="P1919"/>
  <c r="P1921"/>
  <c r="P1923"/>
  <c r="P1925"/>
  <c r="P1927"/>
  <c r="P1929"/>
  <c r="P1931"/>
  <c r="P1933"/>
  <c r="P1935"/>
  <c r="P1937"/>
  <c r="P1939"/>
  <c r="P1941"/>
  <c r="P1943"/>
  <c r="P1945"/>
  <c r="P1947"/>
  <c r="P1949"/>
  <c r="P1951"/>
  <c r="P1953"/>
  <c r="P1954"/>
  <c r="P1955"/>
  <c r="P1956"/>
  <c r="P1957"/>
  <c r="P1958"/>
  <c r="P1959"/>
  <c r="P1960"/>
  <c r="P1961"/>
  <c r="P1962"/>
  <c r="P1963"/>
  <c r="P1964"/>
  <c r="P1965"/>
  <c r="P1966"/>
  <c r="P1967"/>
  <c r="P1968"/>
  <c r="P1969"/>
  <c r="P1970"/>
  <c r="P1971"/>
  <c r="P1972"/>
  <c r="P1973"/>
  <c r="P1974"/>
  <c r="P1975"/>
  <c r="P1976"/>
  <c r="P1977"/>
  <c r="P1978"/>
  <c r="P1979"/>
  <c r="P1980"/>
  <c r="P1981"/>
  <c r="P1982"/>
  <c r="P1983"/>
  <c r="P1984"/>
  <c r="P1985"/>
  <c r="P1986"/>
  <c r="P1987"/>
  <c r="P1988"/>
  <c r="P1989"/>
  <c r="P1990"/>
  <c r="P1991"/>
  <c r="P1992"/>
  <c r="P1993"/>
  <c r="P1994"/>
  <c r="P1995"/>
  <c r="P1996"/>
  <c r="P1997"/>
  <c r="P1998"/>
  <c r="P1999"/>
  <c r="P2000"/>
  <c r="P2001"/>
  <c r="P2002"/>
  <c r="P2003"/>
  <c r="P2004"/>
  <c r="P2005"/>
  <c r="P2006"/>
  <c r="P2007"/>
  <c r="P2008"/>
  <c r="P2009"/>
  <c r="Q2010"/>
  <c r="G67" i="40"/>
  <c r="J67" s="1"/>
  <c r="G68"/>
  <c r="J68" s="1"/>
  <c r="I26" i="13"/>
  <c r="I27"/>
  <c r="I28"/>
  <c r="I29"/>
  <c r="I30"/>
  <c r="I31"/>
  <c r="I32"/>
  <c r="E41"/>
  <c r="H41"/>
  <c r="F41"/>
  <c r="K216" i="7"/>
  <c r="I27" i="11"/>
  <c r="I29"/>
  <c r="I30"/>
  <c r="I31"/>
  <c r="I32"/>
  <c r="G23" i="13"/>
  <c r="I8"/>
  <c r="I9"/>
  <c r="I10"/>
  <c r="I11"/>
  <c r="I12"/>
  <c r="E25"/>
  <c r="E39" s="1"/>
  <c r="F33"/>
  <c r="F39" s="1"/>
  <c r="I48"/>
  <c r="I49"/>
  <c r="I50"/>
  <c r="Q1372" i="33"/>
  <c r="X16" i="22"/>
  <c r="W16"/>
  <c r="M108" i="5"/>
  <c r="M111"/>
  <c r="M112"/>
  <c r="M116"/>
  <c r="M119"/>
  <c r="M121"/>
  <c r="M123"/>
  <c r="M125"/>
  <c r="M127"/>
  <c r="M129"/>
  <c r="M131"/>
  <c r="M133"/>
  <c r="M135"/>
  <c r="M137"/>
  <c r="M141"/>
  <c r="M143"/>
  <c r="M145"/>
  <c r="M147"/>
  <c r="M149"/>
  <c r="M151"/>
  <c r="M153"/>
  <c r="M155"/>
  <c r="M157"/>
  <c r="M159"/>
  <c r="M161"/>
  <c r="M163"/>
  <c r="M165"/>
  <c r="M167"/>
  <c r="M169"/>
  <c r="M171"/>
  <c r="M173"/>
  <c r="M175"/>
  <c r="M177"/>
  <c r="M179"/>
  <c r="M181"/>
  <c r="M183"/>
  <c r="M185"/>
  <c r="M187"/>
  <c r="M189"/>
  <c r="L215"/>
  <c r="K216" i="6"/>
  <c r="K139" i="8"/>
  <c r="J216"/>
  <c r="I14" i="13"/>
  <c r="I15"/>
  <c r="J15" s="1"/>
  <c r="I16"/>
  <c r="J16" s="1"/>
  <c r="I17"/>
  <c r="J17" s="1"/>
  <c r="I18"/>
  <c r="J18" s="1"/>
  <c r="I20"/>
  <c r="J20" s="1"/>
  <c r="I21"/>
  <c r="J21" s="1"/>
  <c r="I22"/>
  <c r="J22" s="1"/>
  <c r="G33"/>
  <c r="G39" s="1"/>
  <c r="I35"/>
  <c r="I36"/>
  <c r="I37"/>
  <c r="I38"/>
  <c r="O4" i="28"/>
  <c r="P4" i="39"/>
  <c r="H222" s="1"/>
  <c r="N16"/>
  <c r="H461"/>
  <c r="H468" s="1"/>
  <c r="G5" i="1"/>
  <c r="G7"/>
  <c r="I6" i="4"/>
  <c r="N6"/>
  <c r="K20" s="1"/>
  <c r="I7"/>
  <c r="N7"/>
  <c r="K21" s="1"/>
  <c r="K49" s="1"/>
  <c r="I8"/>
  <c r="N8"/>
  <c r="K22" s="1"/>
  <c r="N22" s="1"/>
  <c r="I9"/>
  <c r="N9"/>
  <c r="K23" s="1"/>
  <c r="K51" s="1"/>
  <c r="N51" s="1"/>
  <c r="I10"/>
  <c r="N10"/>
  <c r="K24" s="1"/>
  <c r="N24" s="1"/>
  <c r="I11"/>
  <c r="N11"/>
  <c r="K25" s="1"/>
  <c r="N25" s="1"/>
  <c r="I12"/>
  <c r="N12"/>
  <c r="K26" s="1"/>
  <c r="N26" s="1"/>
  <c r="I20"/>
  <c r="I22"/>
  <c r="O22" s="1"/>
  <c r="I24"/>
  <c r="I26"/>
  <c r="N34"/>
  <c r="H29"/>
  <c r="N36"/>
  <c r="N38"/>
  <c r="N40"/>
  <c r="I49"/>
  <c r="H44"/>
  <c r="M44"/>
  <c r="I51"/>
  <c r="I52"/>
  <c r="I53"/>
  <c r="I55"/>
  <c r="K219" i="5"/>
  <c r="Z4" i="22"/>
  <c r="M7" i="5"/>
  <c r="M9"/>
  <c r="M17"/>
  <c r="M19"/>
  <c r="M21"/>
  <c r="M23"/>
  <c r="M27"/>
  <c r="M29"/>
  <c r="M31"/>
  <c r="M33"/>
  <c r="M35"/>
  <c r="M40"/>
  <c r="M42"/>
  <c r="M44"/>
  <c r="M48"/>
  <c r="M50"/>
  <c r="M52"/>
  <c r="M54"/>
  <c r="M56"/>
  <c r="M58"/>
  <c r="M60"/>
  <c r="M64"/>
  <c r="M66"/>
  <c r="M68"/>
  <c r="M70"/>
  <c r="M72"/>
  <c r="M74"/>
  <c r="M76"/>
  <c r="M78"/>
  <c r="M80"/>
  <c r="M82"/>
  <c r="M84"/>
  <c r="M90"/>
  <c r="M92"/>
  <c r="M94"/>
  <c r="M96"/>
  <c r="M98"/>
  <c r="M100"/>
  <c r="M102"/>
  <c r="M104"/>
  <c r="M107"/>
  <c r="J139" i="8"/>
  <c r="K216"/>
  <c r="M16" i="26"/>
  <c r="N4" i="28"/>
  <c r="H392" i="39"/>
  <c r="H390" s="1"/>
  <c r="L7" i="35"/>
  <c r="H7"/>
  <c r="D7"/>
  <c r="B7"/>
  <c r="G6" i="1"/>
  <c r="E14"/>
  <c r="G14" s="1"/>
  <c r="E18"/>
  <c r="G18" s="1"/>
  <c r="F3" i="4"/>
  <c r="I21"/>
  <c r="G29"/>
  <c r="F30"/>
  <c r="F31" s="1"/>
  <c r="G44"/>
  <c r="E8" i="1"/>
  <c r="G8" s="1"/>
  <c r="E9"/>
  <c r="G9" s="1"/>
  <c r="E10"/>
  <c r="G10" s="1"/>
  <c r="E11"/>
  <c r="G11" s="1"/>
  <c r="F12"/>
  <c r="G12" s="1"/>
  <c r="F16"/>
  <c r="G16" s="1"/>
  <c r="B27" i="4"/>
  <c r="B17" s="1"/>
  <c r="M29"/>
  <c r="B42"/>
  <c r="B31" s="1"/>
  <c r="B57"/>
  <c r="B46" s="1"/>
  <c r="B59"/>
  <c r="B61"/>
  <c r="B63"/>
  <c r="B65"/>
  <c r="B67"/>
  <c r="B69"/>
  <c r="B71"/>
  <c r="B73"/>
  <c r="B75"/>
  <c r="B77"/>
  <c r="B79"/>
  <c r="B81"/>
  <c r="B83"/>
  <c r="B85"/>
  <c r="B87"/>
  <c r="B89"/>
  <c r="B91"/>
  <c r="B93"/>
  <c r="B95"/>
  <c r="B97"/>
  <c r="B99"/>
  <c r="B101"/>
  <c r="B103"/>
  <c r="B105"/>
  <c r="B107"/>
  <c r="B109"/>
  <c r="B111"/>
  <c r="B113"/>
  <c r="B115"/>
  <c r="B117"/>
  <c r="B119"/>
  <c r="B121"/>
  <c r="B123"/>
  <c r="B125"/>
  <c r="B127"/>
  <c r="B129"/>
  <c r="B131"/>
  <c r="B133"/>
  <c r="B135"/>
  <c r="B137"/>
  <c r="B139"/>
  <c r="B141"/>
  <c r="B143"/>
  <c r="B145"/>
  <c r="B147"/>
  <c r="B149"/>
  <c r="B151"/>
  <c r="B153"/>
  <c r="B155"/>
  <c r="B157"/>
  <c r="B159"/>
  <c r="B161"/>
  <c r="B163"/>
  <c r="B165"/>
  <c r="B167"/>
  <c r="B169"/>
  <c r="B171"/>
  <c r="B173"/>
  <c r="B175"/>
  <c r="B177"/>
  <c r="B179"/>
  <c r="B181"/>
  <c r="B183"/>
  <c r="B185"/>
  <c r="B187"/>
  <c r="B189"/>
  <c r="B191"/>
  <c r="B193"/>
  <c r="B195"/>
  <c r="B197"/>
  <c r="B199"/>
  <c r="B201"/>
  <c r="B203"/>
  <c r="B205"/>
  <c r="B207"/>
  <c r="B209"/>
  <c r="B211"/>
  <c r="B213"/>
  <c r="B215"/>
  <c r="B217"/>
  <c r="B219"/>
  <c r="B221"/>
  <c r="B223"/>
  <c r="B225"/>
  <c r="B227"/>
  <c r="B229"/>
  <c r="B231"/>
  <c r="B233"/>
  <c r="B235"/>
  <c r="B237"/>
  <c r="B239"/>
  <c r="B241"/>
  <c r="B243"/>
  <c r="B245"/>
  <c r="B247"/>
  <c r="B249"/>
  <c r="B251"/>
  <c r="B253"/>
  <c r="B255"/>
  <c r="B257"/>
  <c r="B259"/>
  <c r="B261"/>
  <c r="B263"/>
  <c r="B265"/>
  <c r="B267"/>
  <c r="B269"/>
  <c r="B271"/>
  <c r="B273"/>
  <c r="B275"/>
  <c r="B277"/>
  <c r="B279"/>
  <c r="B281"/>
  <c r="B283"/>
  <c r="B285"/>
  <c r="B287"/>
  <c r="B289"/>
  <c r="B291"/>
  <c r="B293"/>
  <c r="B295"/>
  <c r="B297"/>
  <c r="B299"/>
  <c r="B301"/>
  <c r="B303"/>
  <c r="B305"/>
  <c r="B307"/>
  <c r="B309"/>
  <c r="B311"/>
  <c r="B313"/>
  <c r="B315"/>
  <c r="B317"/>
  <c r="B319"/>
  <c r="B321"/>
  <c r="B323"/>
  <c r="B325"/>
  <c r="B327"/>
  <c r="B329"/>
  <c r="B331"/>
  <c r="B333"/>
  <c r="B335"/>
  <c r="B337"/>
  <c r="B339"/>
  <c r="B341"/>
  <c r="B343"/>
  <c r="B345"/>
  <c r="B347"/>
  <c r="B349"/>
  <c r="B351"/>
  <c r="B353"/>
  <c r="B355"/>
  <c r="B357"/>
  <c r="B359"/>
  <c r="B361"/>
  <c r="B363"/>
  <c r="B365"/>
  <c r="B367"/>
  <c r="B369"/>
  <c r="B371"/>
  <c r="B373"/>
  <c r="B375"/>
  <c r="B377"/>
  <c r="B379"/>
  <c r="B381"/>
  <c r="B383"/>
  <c r="B385"/>
  <c r="B387"/>
  <c r="B389"/>
  <c r="B391"/>
  <c r="B393"/>
  <c r="B395"/>
  <c r="B397"/>
  <c r="B399"/>
  <c r="B401"/>
  <c r="B403"/>
  <c r="B405"/>
  <c r="B407"/>
  <c r="B409"/>
  <c r="B411"/>
  <c r="B413"/>
  <c r="B415"/>
  <c r="B417"/>
  <c r="B419"/>
  <c r="B421"/>
  <c r="B423"/>
  <c r="B425"/>
  <c r="B427"/>
  <c r="B429"/>
  <c r="B431"/>
  <c r="B433"/>
  <c r="B435"/>
  <c r="B437"/>
  <c r="B439"/>
  <c r="B441"/>
  <c r="B443"/>
  <c r="B445"/>
  <c r="B447"/>
  <c r="B449"/>
  <c r="B451"/>
  <c r="B453"/>
  <c r="B455"/>
  <c r="B457"/>
  <c r="B459"/>
  <c r="B461"/>
  <c r="B463"/>
  <c r="B465"/>
  <c r="B467"/>
  <c r="B469"/>
  <c r="B471"/>
  <c r="B473"/>
  <c r="B475"/>
  <c r="B477"/>
  <c r="B479"/>
  <c r="B481"/>
  <c r="B483"/>
  <c r="B485"/>
  <c r="B487"/>
  <c r="B489"/>
  <c r="B491"/>
  <c r="B493"/>
  <c r="B495"/>
  <c r="B497"/>
  <c r="B499"/>
  <c r="B501"/>
  <c r="B503"/>
  <c r="B505"/>
  <c r="B507"/>
  <c r="B509"/>
  <c r="B511"/>
  <c r="B513"/>
  <c r="B515"/>
  <c r="B517"/>
  <c r="B519"/>
  <c r="B521"/>
  <c r="B523"/>
  <c r="B525"/>
  <c r="B527"/>
  <c r="B529"/>
  <c r="B531"/>
  <c r="B533"/>
  <c r="B535"/>
  <c r="B537"/>
  <c r="B539"/>
  <c r="B541"/>
  <c r="B543"/>
  <c r="B545"/>
  <c r="B547"/>
  <c r="B549"/>
  <c r="B551"/>
  <c r="B553"/>
  <c r="B555"/>
  <c r="B557"/>
  <c r="B559"/>
  <c r="B561"/>
  <c r="B563"/>
  <c r="B565"/>
  <c r="B567"/>
  <c r="B569"/>
  <c r="B571"/>
  <c r="B573"/>
  <c r="B575"/>
  <c r="B577"/>
  <c r="B579"/>
  <c r="B581"/>
  <c r="B583"/>
  <c r="B585"/>
  <c r="B587"/>
  <c r="B589"/>
  <c r="B591"/>
  <c r="B593"/>
  <c r="B595"/>
  <c r="B597"/>
  <c r="B599"/>
  <c r="B601"/>
  <c r="B603"/>
  <c r="B605"/>
  <c r="B607"/>
  <c r="B609"/>
  <c r="B611"/>
  <c r="B613"/>
  <c r="B615"/>
  <c r="B617"/>
  <c r="B619"/>
  <c r="B621"/>
  <c r="B623"/>
  <c r="B625"/>
  <c r="B627"/>
  <c r="B629"/>
  <c r="B631"/>
  <c r="B633"/>
  <c r="B635"/>
  <c r="B637"/>
  <c r="B639"/>
  <c r="B641"/>
  <c r="B643"/>
  <c r="B645"/>
  <c r="B647"/>
  <c r="B649"/>
  <c r="B651"/>
  <c r="B653"/>
  <c r="B655"/>
  <c r="B657"/>
  <c r="B659"/>
  <c r="B661"/>
  <c r="B663"/>
  <c r="B665"/>
  <c r="B667"/>
  <c r="B669"/>
  <c r="B671"/>
  <c r="B673"/>
  <c r="B675"/>
  <c r="B677"/>
  <c r="B679"/>
  <c r="B681"/>
  <c r="B683"/>
  <c r="B685"/>
  <c r="B687"/>
  <c r="B689"/>
  <c r="B691"/>
  <c r="B693"/>
  <c r="B695"/>
  <c r="B697"/>
  <c r="B699"/>
  <c r="B701"/>
  <c r="B703"/>
  <c r="B705"/>
  <c r="B707"/>
  <c r="B709"/>
  <c r="B711"/>
  <c r="B713"/>
  <c r="B715"/>
  <c r="B717"/>
  <c r="B719"/>
  <c r="B721"/>
  <c r="B723"/>
  <c r="B725"/>
  <c r="B727"/>
  <c r="B729"/>
  <c r="B731"/>
  <c r="B733"/>
  <c r="B735"/>
  <c r="B737"/>
  <c r="B739"/>
  <c r="B741"/>
  <c r="B743"/>
  <c r="B745"/>
  <c r="B747"/>
  <c r="B749"/>
  <c r="B751"/>
  <c r="B753"/>
  <c r="B755"/>
  <c r="B757"/>
  <c r="B759"/>
  <c r="B761"/>
  <c r="B763"/>
  <c r="B765"/>
  <c r="B767"/>
  <c r="B769"/>
  <c r="B771"/>
  <c r="B773"/>
  <c r="B775"/>
  <c r="B777"/>
  <c r="B779"/>
  <c r="B781"/>
  <c r="B783"/>
  <c r="B785"/>
  <c r="B787"/>
  <c r="B789"/>
  <c r="B791"/>
  <c r="B793"/>
  <c r="B795"/>
  <c r="B797"/>
  <c r="B799"/>
  <c r="B801"/>
  <c r="B803"/>
  <c r="B805"/>
  <c r="B807"/>
  <c r="B809"/>
  <c r="B811"/>
  <c r="B813"/>
  <c r="B815"/>
  <c r="B817"/>
  <c r="B819"/>
  <c r="B821"/>
  <c r="B823"/>
  <c r="B825"/>
  <c r="B827"/>
  <c r="B829"/>
  <c r="B831"/>
  <c r="B833"/>
  <c r="B835"/>
  <c r="B837"/>
  <c r="B839"/>
  <c r="B841"/>
  <c r="B843"/>
  <c r="B845"/>
  <c r="B847"/>
  <c r="B849"/>
  <c r="B851"/>
  <c r="B853"/>
  <c r="B855"/>
  <c r="B857"/>
  <c r="B859"/>
  <c r="B861"/>
  <c r="B863"/>
  <c r="B865"/>
  <c r="B867"/>
  <c r="B869"/>
  <c r="B871"/>
  <c r="B873"/>
  <c r="B875"/>
  <c r="B877"/>
  <c r="B879"/>
  <c r="B881"/>
  <c r="B883"/>
  <c r="B885"/>
  <c r="B887"/>
  <c r="B889"/>
  <c r="B891"/>
  <c r="B893"/>
  <c r="B895"/>
  <c r="B897"/>
  <c r="B899"/>
  <c r="B901"/>
  <c r="B903"/>
  <c r="B905"/>
  <c r="B907"/>
  <c r="B909"/>
  <c r="B911"/>
  <c r="B913"/>
  <c r="B915"/>
  <c r="B917"/>
  <c r="B919"/>
  <c r="B921"/>
  <c r="B923"/>
  <c r="B925"/>
  <c r="B927"/>
  <c r="B929"/>
  <c r="B931"/>
  <c r="B933"/>
  <c r="B935"/>
  <c r="B937"/>
  <c r="B939"/>
  <c r="B941"/>
  <c r="B943"/>
  <c r="B945"/>
  <c r="B947"/>
  <c r="B949"/>
  <c r="B951"/>
  <c r="B953"/>
  <c r="B955"/>
  <c r="B957"/>
  <c r="B959"/>
  <c r="B961"/>
  <c r="B963"/>
  <c r="B965"/>
  <c r="B967"/>
  <c r="B969"/>
  <c r="B971"/>
  <c r="B973"/>
  <c r="B975"/>
  <c r="B977"/>
  <c r="B979"/>
  <c r="B981"/>
  <c r="B983"/>
  <c r="B985"/>
  <c r="B987"/>
  <c r="B989"/>
  <c r="B991"/>
  <c r="B993"/>
  <c r="B995"/>
  <c r="B997"/>
  <c r="B999"/>
  <c r="B1001"/>
  <c r="B1003"/>
  <c r="B1005"/>
  <c r="B1007"/>
  <c r="B1009"/>
  <c r="B1011"/>
  <c r="B1013"/>
  <c r="B1015"/>
  <c r="B1017"/>
  <c r="B1019"/>
  <c r="B1021"/>
  <c r="B1023"/>
  <c r="B1025"/>
  <c r="B1027"/>
  <c r="B1029"/>
  <c r="B1031"/>
  <c r="B1033"/>
  <c r="B1035"/>
  <c r="B1037"/>
  <c r="B1039"/>
  <c r="B1041"/>
  <c r="B1043"/>
  <c r="B1045"/>
  <c r="B1047"/>
  <c r="B1049"/>
  <c r="B1051"/>
  <c r="B1053"/>
  <c r="B1055"/>
  <c r="B1057"/>
  <c r="B1059"/>
  <c r="B1061"/>
  <c r="B1063"/>
  <c r="B1065"/>
  <c r="B1067"/>
  <c r="B1069"/>
  <c r="B1071"/>
  <c r="B1073"/>
  <c r="B1075"/>
  <c r="B1077"/>
  <c r="B1079"/>
  <c r="B1081"/>
  <c r="B1083"/>
  <c r="B1085"/>
  <c r="B1087"/>
  <c r="B1089"/>
  <c r="B1091"/>
  <c r="B1093"/>
  <c r="B1095"/>
  <c r="B1097"/>
  <c r="B1099"/>
  <c r="B1101"/>
  <c r="B1103"/>
  <c r="B1105"/>
  <c r="B1107"/>
  <c r="B1109"/>
  <c r="B1111"/>
  <c r="B1113"/>
  <c r="B1115"/>
  <c r="B1117"/>
  <c r="B1119"/>
  <c r="B1121"/>
  <c r="B1123"/>
  <c r="B1125"/>
  <c r="B1127"/>
  <c r="B1129"/>
  <c r="B1131"/>
  <c r="B1133"/>
  <c r="B1135"/>
  <c r="B1137"/>
  <c r="B1139"/>
  <c r="B1141"/>
  <c r="B1143"/>
  <c r="B1145"/>
  <c r="B1147"/>
  <c r="B1149"/>
  <c r="B1151"/>
  <c r="B1153"/>
  <c r="B1155"/>
  <c r="B1157"/>
  <c r="B1159"/>
  <c r="B1161"/>
  <c r="B1163"/>
  <c r="B1165"/>
  <c r="B1167"/>
  <c r="B1169"/>
  <c r="B1171"/>
  <c r="B1173"/>
  <c r="B1175"/>
  <c r="B1177"/>
  <c r="B1179"/>
  <c r="B1181"/>
  <c r="B1183"/>
  <c r="B1185"/>
  <c r="B1187"/>
  <c r="B1189"/>
  <c r="B1191"/>
  <c r="B1193"/>
  <c r="B1195"/>
  <c r="B1197"/>
  <c r="B1199"/>
  <c r="B1201"/>
  <c r="B1203"/>
  <c r="B1205"/>
  <c r="B1207"/>
  <c r="B1209"/>
  <c r="B1211"/>
  <c r="B1213"/>
  <c r="B1215"/>
  <c r="B1217"/>
  <c r="B1219"/>
  <c r="B1221"/>
  <c r="B1223"/>
  <c r="B1225"/>
  <c r="B1227"/>
  <c r="B1229"/>
  <c r="B1231"/>
  <c r="B1233"/>
  <c r="B1235"/>
  <c r="B1237"/>
  <c r="B1239"/>
  <c r="B1241"/>
  <c r="B1243"/>
  <c r="B1245"/>
  <c r="B1247"/>
  <c r="B1249"/>
  <c r="B1251"/>
  <c r="B1253"/>
  <c r="B1255"/>
  <c r="B1257"/>
  <c r="B1259"/>
  <c r="B1261"/>
  <c r="B1263"/>
  <c r="B1265"/>
  <c r="B1267"/>
  <c r="B1269"/>
  <c r="B1271"/>
  <c r="B1273"/>
  <c r="B1275"/>
  <c r="B1277"/>
  <c r="B1279"/>
  <c r="B1281"/>
  <c r="B1283"/>
  <c r="B1285"/>
  <c r="B1287"/>
  <c r="B1289"/>
  <c r="B1291"/>
  <c r="B1293"/>
  <c r="B1295"/>
  <c r="B1297"/>
  <c r="B1299"/>
  <c r="B1301"/>
  <c r="B1303"/>
  <c r="B1305"/>
  <c r="B1307"/>
  <c r="B1309"/>
  <c r="B1311"/>
  <c r="B1313"/>
  <c r="B1315"/>
  <c r="B1317"/>
  <c r="B1319"/>
  <c r="B1321"/>
  <c r="B1323"/>
  <c r="B1325"/>
  <c r="B1327"/>
  <c r="B1329"/>
  <c r="B1331"/>
  <c r="B1333"/>
  <c r="B1335"/>
  <c r="B1337"/>
  <c r="B1339"/>
  <c r="B1341"/>
  <c r="B1343"/>
  <c r="B1345"/>
  <c r="B1347"/>
  <c r="B1349"/>
  <c r="B1351"/>
  <c r="B1353"/>
  <c r="B1355"/>
  <c r="B1357"/>
  <c r="B1359"/>
  <c r="B1361"/>
  <c r="B1363"/>
  <c r="B1365"/>
  <c r="B1367"/>
  <c r="B1369"/>
  <c r="B1371"/>
  <c r="B1373"/>
  <c r="B1375"/>
  <c r="B1377"/>
  <c r="B1379"/>
  <c r="B1381"/>
  <c r="B1383"/>
  <c r="B1385"/>
  <c r="B1387"/>
  <c r="B1389"/>
  <c r="B1391"/>
  <c r="B1393"/>
  <c r="B1395"/>
  <c r="B1397"/>
  <c r="B1399"/>
  <c r="B1401"/>
  <c r="B1403"/>
  <c r="B1405"/>
  <c r="B1407"/>
  <c r="B1409"/>
  <c r="B1411"/>
  <c r="B1413"/>
  <c r="B1415"/>
  <c r="B1417"/>
  <c r="B1419"/>
  <c r="B1421"/>
  <c r="B1423"/>
  <c r="B1425"/>
  <c r="B1427"/>
  <c r="B1429"/>
  <c r="B1431"/>
  <c r="B1433"/>
  <c r="B1435"/>
  <c r="B1437"/>
  <c r="B1439"/>
  <c r="B1441"/>
  <c r="B1443"/>
  <c r="B1445"/>
  <c r="B1447"/>
  <c r="B1449"/>
  <c r="B1451"/>
  <c r="B1453"/>
  <c r="B1455"/>
  <c r="B1457"/>
  <c r="B1459"/>
  <c r="B1461"/>
  <c r="B1463"/>
  <c r="B1465"/>
  <c r="B1467"/>
  <c r="B1469"/>
  <c r="B1471"/>
  <c r="B1473"/>
  <c r="B1475"/>
  <c r="B1477"/>
  <c r="B1479"/>
  <c r="B1481"/>
  <c r="B1483"/>
  <c r="B1485"/>
  <c r="B1487"/>
  <c r="B1489"/>
  <c r="B1491"/>
  <c r="B1493"/>
  <c r="B1495"/>
  <c r="B1497"/>
  <c r="B1499"/>
  <c r="B1501"/>
  <c r="B1503"/>
  <c r="B1505"/>
  <c r="B1507"/>
  <c r="B1509"/>
  <c r="B1511"/>
  <c r="B1513"/>
  <c r="B1515"/>
  <c r="B1517"/>
  <c r="B1519"/>
  <c r="B1521"/>
  <c r="B1523"/>
  <c r="B1525"/>
  <c r="B1527"/>
  <c r="B1529"/>
  <c r="B1531"/>
  <c r="B1533"/>
  <c r="B1535"/>
  <c r="B1537"/>
  <c r="B1539"/>
  <c r="B1541"/>
  <c r="B1543"/>
  <c r="B1545"/>
  <c r="B1547"/>
  <c r="B1549"/>
  <c r="B1551"/>
  <c r="B1553"/>
  <c r="B1555"/>
  <c r="B1557"/>
  <c r="B1559"/>
  <c r="B1561"/>
  <c r="B1563"/>
  <c r="B1565"/>
  <c r="B1567"/>
  <c r="B1569"/>
  <c r="B1571"/>
  <c r="B1573"/>
  <c r="B1575"/>
  <c r="B1577"/>
  <c r="B1579"/>
  <c r="B1581"/>
  <c r="B1583"/>
  <c r="B1585"/>
  <c r="B1587"/>
  <c r="B1589"/>
  <c r="B1591"/>
  <c r="B1593"/>
  <c r="B1595"/>
  <c r="B1597"/>
  <c r="B1599"/>
  <c r="B1601"/>
  <c r="B1603"/>
  <c r="B1605"/>
  <c r="B1607"/>
  <c r="B1609"/>
  <c r="B1611"/>
  <c r="B1613"/>
  <c r="B1615"/>
  <c r="B1617"/>
  <c r="B1619"/>
  <c r="B1621"/>
  <c r="B1623"/>
  <c r="B1625"/>
  <c r="B1627"/>
  <c r="B1629"/>
  <c r="B1631"/>
  <c r="B1633"/>
  <c r="B1635"/>
  <c r="B1637"/>
  <c r="B1639"/>
  <c r="B1641"/>
  <c r="B1643"/>
  <c r="B1645"/>
  <c r="B1647"/>
  <c r="B1649"/>
  <c r="B1651"/>
  <c r="B1653"/>
  <c r="B1655"/>
  <c r="B1657"/>
  <c r="B1659"/>
  <c r="B1661"/>
  <c r="B1663"/>
  <c r="B1665"/>
  <c r="B1667"/>
  <c r="B1669"/>
  <c r="B1671"/>
  <c r="B1673"/>
  <c r="B1675"/>
  <c r="B1677"/>
  <c r="B1679"/>
  <c r="B1681"/>
  <c r="B1683"/>
  <c r="B1685"/>
  <c r="B1687"/>
  <c r="B1689"/>
  <c r="B1691"/>
  <c r="B1693"/>
  <c r="B1695"/>
  <c r="B1697"/>
  <c r="B1699"/>
  <c r="B1701"/>
  <c r="B1703"/>
  <c r="B1705"/>
  <c r="B1707"/>
  <c r="B1709"/>
  <c r="B1711"/>
  <c r="B1713"/>
  <c r="B1715"/>
  <c r="B1717"/>
  <c r="B1719"/>
  <c r="B1721"/>
  <c r="B1723"/>
  <c r="B1725"/>
  <c r="B1727"/>
  <c r="B1729"/>
  <c r="B1731"/>
  <c r="B1733"/>
  <c r="B1735"/>
  <c r="B1737"/>
  <c r="B1739"/>
  <c r="B1741"/>
  <c r="B1743"/>
  <c r="B1745"/>
  <c r="B1747"/>
  <c r="B1749"/>
  <c r="B1751"/>
  <c r="B1753"/>
  <c r="B1755"/>
  <c r="B1757"/>
  <c r="B1759"/>
  <c r="B1761"/>
  <c r="B1763"/>
  <c r="B1765"/>
  <c r="B1767"/>
  <c r="B1769"/>
  <c r="B1771"/>
  <c r="B1773"/>
  <c r="B1775"/>
  <c r="B1777"/>
  <c r="B1779"/>
  <c r="B1781"/>
  <c r="B1783"/>
  <c r="B1785"/>
  <c r="B1787"/>
  <c r="B1789"/>
  <c r="B1791"/>
  <c r="B1793"/>
  <c r="B1795"/>
  <c r="B1797"/>
  <c r="B1799"/>
  <c r="B1801"/>
  <c r="B1803"/>
  <c r="B1805"/>
  <c r="B1807"/>
  <c r="B1809"/>
  <c r="B1811"/>
  <c r="B1813"/>
  <c r="B1815"/>
  <c r="B1817"/>
  <c r="B1819"/>
  <c r="B1821"/>
  <c r="B1823"/>
  <c r="B1825"/>
  <c r="B1827"/>
  <c r="B1829"/>
  <c r="B1831"/>
  <c r="B1833"/>
  <c r="B1835"/>
  <c r="B1837"/>
  <c r="B1839"/>
  <c r="B1841"/>
  <c r="B1843"/>
  <c r="B1845"/>
  <c r="B1847"/>
  <c r="B1849"/>
  <c r="B1851"/>
  <c r="B1853"/>
  <c r="B1855"/>
  <c r="B1857"/>
  <c r="B1859"/>
  <c r="B1861"/>
  <c r="B1863"/>
  <c r="B1865"/>
  <c r="B1867"/>
  <c r="B1869"/>
  <c r="B1871"/>
  <c r="B1873"/>
  <c r="B1875"/>
  <c r="B1877"/>
  <c r="B1879"/>
  <c r="B1881"/>
  <c r="B1883"/>
  <c r="B1885"/>
  <c r="B1887"/>
  <c r="B1889"/>
  <c r="B1891"/>
  <c r="B1893"/>
  <c r="B1895"/>
  <c r="B1897"/>
  <c r="B1899"/>
  <c r="B1901"/>
  <c r="B1903"/>
  <c r="B1905"/>
  <c r="B1907"/>
  <c r="B1909"/>
  <c r="B1911"/>
  <c r="B1913"/>
  <c r="B1915"/>
  <c r="B1917"/>
  <c r="B1919"/>
  <c r="B1921"/>
  <c r="B1923"/>
  <c r="B1925"/>
  <c r="B1927"/>
  <c r="B1929"/>
  <c r="B1931"/>
  <c r="B1933"/>
  <c r="B1935"/>
  <c r="B1937"/>
  <c r="B1939"/>
  <c r="B1941"/>
  <c r="B1943"/>
  <c r="B1945"/>
  <c r="B1947"/>
  <c r="B1949"/>
  <c r="B1951"/>
  <c r="B1953"/>
  <c r="B1955"/>
  <c r="B1957"/>
  <c r="B1959"/>
  <c r="B1961"/>
  <c r="B1963"/>
  <c r="B1965"/>
  <c r="B1967"/>
  <c r="B1969"/>
  <c r="B1971"/>
  <c r="B1973"/>
  <c r="B1975"/>
  <c r="B1977"/>
  <c r="B1979"/>
  <c r="B1981"/>
  <c r="B1983"/>
  <c r="B1985"/>
  <c r="B1987"/>
  <c r="B1989"/>
  <c r="B1991"/>
  <c r="B1993"/>
  <c r="B1995"/>
  <c r="B1997"/>
  <c r="B1999"/>
  <c r="B2001"/>
  <c r="B2003"/>
  <c r="B2005"/>
  <c r="B2007"/>
  <c r="B2009"/>
  <c r="B2011"/>
  <c r="B2013"/>
  <c r="B2015"/>
  <c r="B2017"/>
  <c r="B2019"/>
  <c r="B2021"/>
  <c r="B2023"/>
  <c r="B2025"/>
  <c r="B2027"/>
  <c r="B2029"/>
  <c r="B2031"/>
  <c r="B2033"/>
  <c r="B2035"/>
  <c r="B2037"/>
  <c r="B2039"/>
  <c r="B2041"/>
  <c r="B2043"/>
  <c r="B2045"/>
  <c r="B2047"/>
  <c r="B2049"/>
  <c r="B2051"/>
  <c r="B2053"/>
  <c r="B2055"/>
  <c r="B2057"/>
  <c r="B2059"/>
  <c r="B2061"/>
  <c r="B2063"/>
  <c r="B2065"/>
  <c r="B2067"/>
  <c r="B2069"/>
  <c r="B2071"/>
  <c r="B2073"/>
  <c r="B2075"/>
  <c r="B2077"/>
  <c r="B2079"/>
  <c r="B2081"/>
  <c r="B2083"/>
  <c r="B2085"/>
  <c r="B2087"/>
  <c r="B2089"/>
  <c r="B2091"/>
  <c r="B2093"/>
  <c r="B2095"/>
  <c r="B2097"/>
  <c r="B2099"/>
  <c r="B2101"/>
  <c r="B2103"/>
  <c r="B2105"/>
  <c r="B2107"/>
  <c r="B2109"/>
  <c r="B2111"/>
  <c r="B2113"/>
  <c r="B2115"/>
  <c r="B2117"/>
  <c r="B2119"/>
  <c r="B2121"/>
  <c r="B2123"/>
  <c r="B2125"/>
  <c r="B2127"/>
  <c r="B2129"/>
  <c r="B2131"/>
  <c r="B2133"/>
  <c r="B2135"/>
  <c r="B2137"/>
  <c r="B2139"/>
  <c r="B2141"/>
  <c r="B2143"/>
  <c r="B2145"/>
  <c r="B2147"/>
  <c r="B2149"/>
  <c r="B2151"/>
  <c r="B2153"/>
  <c r="B2155"/>
  <c r="B2157"/>
  <c r="B2159"/>
  <c r="B2161"/>
  <c r="B2163"/>
  <c r="B2165"/>
  <c r="B2167"/>
  <c r="B2169"/>
  <c r="B2171"/>
  <c r="B2173"/>
  <c r="B2175"/>
  <c r="B2177"/>
  <c r="B2179"/>
  <c r="B2181"/>
  <c r="B2183"/>
  <c r="B2185"/>
  <c r="B2187"/>
  <c r="B2189"/>
  <c r="B2191"/>
  <c r="B2193"/>
  <c r="B2195"/>
  <c r="D184" i="35"/>
  <c r="B184"/>
  <c r="D186"/>
  <c r="B186"/>
  <c r="D188"/>
  <c r="B188"/>
  <c r="D190"/>
  <c r="B190"/>
  <c r="D192"/>
  <c r="B192"/>
  <c r="D194"/>
  <c r="B194"/>
  <c r="D196"/>
  <c r="B196"/>
  <c r="D198"/>
  <c r="B198"/>
  <c r="D200"/>
  <c r="B200"/>
  <c r="D202"/>
  <c r="B202"/>
  <c r="D204"/>
  <c r="B204"/>
  <c r="D206"/>
  <c r="B206"/>
  <c r="D208"/>
  <c r="B208"/>
  <c r="D210"/>
  <c r="B210"/>
  <c r="D212"/>
  <c r="B212"/>
  <c r="D214"/>
  <c r="B214"/>
  <c r="D216"/>
  <c r="B216"/>
  <c r="D218"/>
  <c r="B218"/>
  <c r="D220"/>
  <c r="B220"/>
  <c r="D222"/>
  <c r="B222"/>
  <c r="D224"/>
  <c r="B224"/>
  <c r="D226"/>
  <c r="B226"/>
  <c r="D228"/>
  <c r="B228"/>
  <c r="D230"/>
  <c r="B230"/>
  <c r="D232"/>
  <c r="B232"/>
  <c r="D234"/>
  <c r="B234"/>
  <c r="D236"/>
  <c r="B236"/>
  <c r="D238"/>
  <c r="B238"/>
  <c r="D240"/>
  <c r="B240"/>
  <c r="D242"/>
  <c r="B242"/>
  <c r="D244"/>
  <c r="B244"/>
  <c r="D246"/>
  <c r="B246"/>
  <c r="D248"/>
  <c r="B248"/>
  <c r="D250"/>
  <c r="B250"/>
  <c r="D252"/>
  <c r="B252"/>
  <c r="D254"/>
  <c r="B254"/>
  <c r="D256"/>
  <c r="B256"/>
  <c r="D258"/>
  <c r="B258"/>
  <c r="D260"/>
  <c r="B260"/>
  <c r="D262"/>
  <c r="B262"/>
  <c r="D264"/>
  <c r="B264"/>
  <c r="D266"/>
  <c r="B266"/>
  <c r="D268"/>
  <c r="B268"/>
  <c r="D270"/>
  <c r="B270"/>
  <c r="D272"/>
  <c r="B272"/>
  <c r="D274"/>
  <c r="B274"/>
  <c r="D276"/>
  <c r="B276"/>
  <c r="D278"/>
  <c r="B278"/>
  <c r="D280"/>
  <c r="B280"/>
  <c r="D282"/>
  <c r="B282"/>
  <c r="D284"/>
  <c r="B284"/>
  <c r="D286"/>
  <c r="B286"/>
  <c r="D288"/>
  <c r="B288"/>
  <c r="D290"/>
  <c r="B290"/>
  <c r="D292"/>
  <c r="B292"/>
  <c r="D294"/>
  <c r="B294"/>
  <c r="D296"/>
  <c r="B296"/>
  <c r="D298"/>
  <c r="B298"/>
  <c r="D300"/>
  <c r="B300"/>
  <c r="D302"/>
  <c r="B302"/>
  <c r="D304"/>
  <c r="B304"/>
  <c r="D306"/>
  <c r="B306"/>
  <c r="D308"/>
  <c r="B308"/>
  <c r="D310"/>
  <c r="B310"/>
  <c r="D312"/>
  <c r="B312"/>
  <c r="D314"/>
  <c r="B314"/>
  <c r="D316"/>
  <c r="B316"/>
  <c r="D318"/>
  <c r="B318"/>
  <c r="D320"/>
  <c r="B320"/>
  <c r="D322"/>
  <c r="B322"/>
  <c r="D324"/>
  <c r="B324"/>
  <c r="D326"/>
  <c r="B326"/>
  <c r="D328"/>
  <c r="B328"/>
  <c r="D330"/>
  <c r="B330"/>
  <c r="D332"/>
  <c r="B332"/>
  <c r="D334"/>
  <c r="B334"/>
  <c r="D336"/>
  <c r="B336"/>
  <c r="D338"/>
  <c r="B338"/>
  <c r="D340"/>
  <c r="B340"/>
  <c r="D342"/>
  <c r="B342"/>
  <c r="D344"/>
  <c r="B344"/>
  <c r="D346"/>
  <c r="B346"/>
  <c r="D348"/>
  <c r="B348"/>
  <c r="D350"/>
  <c r="B350"/>
  <c r="D352"/>
  <c r="B352"/>
  <c r="D354"/>
  <c r="B354"/>
  <c r="D356"/>
  <c r="B356"/>
  <c r="D358"/>
  <c r="B358"/>
  <c r="D360"/>
  <c r="B360"/>
  <c r="D362"/>
  <c r="B362"/>
  <c r="D364"/>
  <c r="B364"/>
  <c r="D366"/>
  <c r="B366"/>
  <c r="D368"/>
  <c r="B368"/>
  <c r="D370"/>
  <c r="B370"/>
  <c r="D372"/>
  <c r="B372"/>
  <c r="D374"/>
  <c r="B374"/>
  <c r="D376"/>
  <c r="B376"/>
  <c r="D378"/>
  <c r="B378"/>
  <c r="D380"/>
  <c r="B380"/>
  <c r="D382"/>
  <c r="B382"/>
  <c r="D384"/>
  <c r="B384"/>
  <c r="D386"/>
  <c r="B386"/>
  <c r="D388"/>
  <c r="B388"/>
  <c r="D390"/>
  <c r="B390"/>
  <c r="D392"/>
  <c r="B392"/>
  <c r="D394"/>
  <c r="B394"/>
  <c r="D396"/>
  <c r="B396"/>
  <c r="D398"/>
  <c r="B398"/>
  <c r="D400"/>
  <c r="B400"/>
  <c r="D402"/>
  <c r="B402"/>
  <c r="D404"/>
  <c r="B404"/>
  <c r="D406"/>
  <c r="B406"/>
  <c r="D408"/>
  <c r="B408"/>
  <c r="D410"/>
  <c r="B410"/>
  <c r="D412"/>
  <c r="B412"/>
  <c r="D414"/>
  <c r="B414"/>
  <c r="D416"/>
  <c r="B416"/>
  <c r="D418"/>
  <c r="B418"/>
  <c r="D420"/>
  <c r="B420"/>
  <c r="D422"/>
  <c r="B422"/>
  <c r="D424"/>
  <c r="B424"/>
  <c r="D426"/>
  <c r="B426"/>
  <c r="D428"/>
  <c r="B428"/>
  <c r="D430"/>
  <c r="B430"/>
  <c r="D432"/>
  <c r="B432"/>
  <c r="D434"/>
  <c r="B434"/>
  <c r="D436"/>
  <c r="B436"/>
  <c r="D438"/>
  <c r="B438"/>
  <c r="D440"/>
  <c r="B440"/>
  <c r="D442"/>
  <c r="B442"/>
  <c r="D444"/>
  <c r="B444"/>
  <c r="D446"/>
  <c r="B446"/>
  <c r="D448"/>
  <c r="B448"/>
  <c r="D450"/>
  <c r="B450"/>
  <c r="D452"/>
  <c r="B452"/>
  <c r="D454"/>
  <c r="B454"/>
  <c r="D456"/>
  <c r="B456"/>
  <c r="D458"/>
  <c r="B458"/>
  <c r="D460"/>
  <c r="B460"/>
  <c r="D462"/>
  <c r="B462"/>
  <c r="D464"/>
  <c r="B464"/>
  <c r="D466"/>
  <c r="B466"/>
  <c r="D468"/>
  <c r="B468"/>
  <c r="D470"/>
  <c r="B470"/>
  <c r="D472"/>
  <c r="B472"/>
  <c r="D474"/>
  <c r="B474"/>
  <c r="D476"/>
  <c r="B476"/>
  <c r="D478"/>
  <c r="B478"/>
  <c r="D480"/>
  <c r="B480"/>
  <c r="D482"/>
  <c r="B482"/>
  <c r="D484"/>
  <c r="B484"/>
  <c r="D486"/>
  <c r="B486"/>
  <c r="D488"/>
  <c r="B488"/>
  <c r="D490"/>
  <c r="B490"/>
  <c r="D492"/>
  <c r="B492"/>
  <c r="D494"/>
  <c r="B494"/>
  <c r="D496"/>
  <c r="B496"/>
  <c r="D498"/>
  <c r="B498"/>
  <c r="D500"/>
  <c r="B500"/>
  <c r="D502"/>
  <c r="B502"/>
  <c r="D504"/>
  <c r="B504"/>
  <c r="D506"/>
  <c r="B506"/>
  <c r="D508"/>
  <c r="B508"/>
  <c r="D510"/>
  <c r="B510"/>
  <c r="D512"/>
  <c r="B512"/>
  <c r="D514"/>
  <c r="B514"/>
  <c r="D516"/>
  <c r="B516"/>
  <c r="D518"/>
  <c r="B518"/>
  <c r="D520"/>
  <c r="B520"/>
  <c r="D522"/>
  <c r="B522"/>
  <c r="D524"/>
  <c r="B524"/>
  <c r="D526"/>
  <c r="B526"/>
  <c r="D528"/>
  <c r="B528"/>
  <c r="D530"/>
  <c r="B530"/>
  <c r="D532"/>
  <c r="B532"/>
  <c r="D534"/>
  <c r="B534"/>
  <c r="D536"/>
  <c r="B536"/>
  <c r="D538"/>
  <c r="B538"/>
  <c r="D540"/>
  <c r="B540"/>
  <c r="D542"/>
  <c r="B542"/>
  <c r="D544"/>
  <c r="B544"/>
  <c r="D546"/>
  <c r="B546"/>
  <c r="D548"/>
  <c r="B548"/>
  <c r="D550"/>
  <c r="B550"/>
  <c r="D552"/>
  <c r="B552"/>
  <c r="D554"/>
  <c r="B554"/>
  <c r="D556"/>
  <c r="B556"/>
  <c r="D558"/>
  <c r="B558"/>
  <c r="D560"/>
  <c r="B560"/>
  <c r="D562"/>
  <c r="B562"/>
  <c r="D564"/>
  <c r="B564"/>
  <c r="D566"/>
  <c r="B566"/>
  <c r="D568"/>
  <c r="B568"/>
  <c r="D570"/>
  <c r="B570"/>
  <c r="D572"/>
  <c r="B572"/>
  <c r="D574"/>
  <c r="B574"/>
  <c r="D576"/>
  <c r="B576"/>
  <c r="D578"/>
  <c r="B578"/>
  <c r="D580"/>
  <c r="B580"/>
  <c r="D582"/>
  <c r="B582"/>
  <c r="D584"/>
  <c r="B584"/>
  <c r="D586"/>
  <c r="B586"/>
  <c r="D588"/>
  <c r="B588"/>
  <c r="D590"/>
  <c r="B590"/>
  <c r="D592"/>
  <c r="B592"/>
  <c r="D594"/>
  <c r="B594"/>
  <c r="D596"/>
  <c r="B596"/>
  <c r="D598"/>
  <c r="B598"/>
  <c r="D600"/>
  <c r="B600"/>
  <c r="D602"/>
  <c r="B602"/>
  <c r="D604"/>
  <c r="B604"/>
  <c r="D606"/>
  <c r="B606"/>
  <c r="D608"/>
  <c r="B608"/>
  <c r="D610"/>
  <c r="B610"/>
  <c r="D612"/>
  <c r="B612"/>
  <c r="D614"/>
  <c r="B614"/>
  <c r="D616"/>
  <c r="B616"/>
  <c r="D618"/>
  <c r="B618"/>
  <c r="D620"/>
  <c r="B620"/>
  <c r="D622"/>
  <c r="B622"/>
  <c r="D624"/>
  <c r="B624"/>
  <c r="D626"/>
  <c r="B626"/>
  <c r="D628"/>
  <c r="B628"/>
  <c r="D630"/>
  <c r="B630"/>
  <c r="D632"/>
  <c r="B632"/>
  <c r="D634"/>
  <c r="B634"/>
  <c r="D636"/>
  <c r="B636"/>
  <c r="D638"/>
  <c r="B638"/>
  <c r="D640"/>
  <c r="B640"/>
  <c r="D642"/>
  <c r="B642"/>
  <c r="D644"/>
  <c r="B644"/>
  <c r="D646"/>
  <c r="B646"/>
  <c r="D648"/>
  <c r="B648"/>
  <c r="D650"/>
  <c r="B650"/>
  <c r="D652"/>
  <c r="B652"/>
  <c r="D654"/>
  <c r="B654"/>
  <c r="D656"/>
  <c r="B656"/>
  <c r="D658"/>
  <c r="B658"/>
  <c r="D660"/>
  <c r="B660"/>
  <c r="D662"/>
  <c r="B662"/>
  <c r="D664"/>
  <c r="B664"/>
  <c r="D666"/>
  <c r="B666"/>
  <c r="D668"/>
  <c r="B668"/>
  <c r="D670"/>
  <c r="B670"/>
  <c r="D672"/>
  <c r="B672"/>
  <c r="D674"/>
  <c r="B674"/>
  <c r="D676"/>
  <c r="B676"/>
  <c r="D678"/>
  <c r="B678"/>
  <c r="D680"/>
  <c r="B680"/>
  <c r="D682"/>
  <c r="B682"/>
  <c r="D684"/>
  <c r="B684"/>
  <c r="D686"/>
  <c r="B686"/>
  <c r="D688"/>
  <c r="B688"/>
  <c r="D690"/>
  <c r="B690"/>
  <c r="D692"/>
  <c r="B692"/>
  <c r="D694"/>
  <c r="B694"/>
  <c r="D696"/>
  <c r="B696"/>
  <c r="D698"/>
  <c r="B698"/>
  <c r="D700"/>
  <c r="B700"/>
  <c r="D702"/>
  <c r="B702"/>
  <c r="D704"/>
  <c r="B704"/>
  <c r="D706"/>
  <c r="B706"/>
  <c r="D708"/>
  <c r="B708"/>
  <c r="D710"/>
  <c r="B710"/>
  <c r="D712"/>
  <c r="B712"/>
  <c r="D714"/>
  <c r="B714"/>
  <c r="D716"/>
  <c r="B716"/>
  <c r="D718"/>
  <c r="B718"/>
  <c r="D720"/>
  <c r="B720"/>
  <c r="D722"/>
  <c r="B722"/>
  <c r="D724"/>
  <c r="B724"/>
  <c r="D726"/>
  <c r="B726"/>
  <c r="D728"/>
  <c r="B728"/>
  <c r="D730"/>
  <c r="B730"/>
  <c r="D732"/>
  <c r="B732"/>
  <c r="D734"/>
  <c r="B734"/>
  <c r="D736"/>
  <c r="B736"/>
  <c r="D738"/>
  <c r="B738"/>
  <c r="D740"/>
  <c r="B740"/>
  <c r="D742"/>
  <c r="B742"/>
  <c r="D744"/>
  <c r="B744"/>
  <c r="D746"/>
  <c r="B746"/>
  <c r="D748"/>
  <c r="B748"/>
  <c r="D750"/>
  <c r="B750"/>
  <c r="D752"/>
  <c r="B752"/>
  <c r="D754"/>
  <c r="B754"/>
  <c r="D756"/>
  <c r="B756"/>
  <c r="D758"/>
  <c r="B758"/>
  <c r="D760"/>
  <c r="B760"/>
  <c r="D762"/>
  <c r="B762"/>
  <c r="D764"/>
  <c r="B764"/>
  <c r="D766"/>
  <c r="B766"/>
  <c r="D768"/>
  <c r="B768"/>
  <c r="D770"/>
  <c r="B770"/>
  <c r="D772"/>
  <c r="B772"/>
  <c r="D774"/>
  <c r="B774"/>
  <c r="D776"/>
  <c r="B776"/>
  <c r="D778"/>
  <c r="B778"/>
  <c r="D780"/>
  <c r="B780"/>
  <c r="D782"/>
  <c r="B782"/>
  <c r="D784"/>
  <c r="B784"/>
  <c r="D786"/>
  <c r="B786"/>
  <c r="D788"/>
  <c r="B788"/>
  <c r="D790"/>
  <c r="B790"/>
  <c r="D792"/>
  <c r="B792"/>
  <c r="D794"/>
  <c r="B794"/>
  <c r="D796"/>
  <c r="B796"/>
  <c r="D798"/>
  <c r="B798"/>
  <c r="D800"/>
  <c r="B800"/>
  <c r="D802"/>
  <c r="B802"/>
  <c r="D804"/>
  <c r="B804"/>
  <c r="D806"/>
  <c r="B806"/>
  <c r="D808"/>
  <c r="B808"/>
  <c r="D810"/>
  <c r="B810"/>
  <c r="D812"/>
  <c r="B812"/>
  <c r="D814"/>
  <c r="B814"/>
  <c r="D816"/>
  <c r="B816"/>
  <c r="D818"/>
  <c r="B818"/>
  <c r="D820"/>
  <c r="B820"/>
  <c r="D822"/>
  <c r="B822"/>
  <c r="D824"/>
  <c r="B824"/>
  <c r="D826"/>
  <c r="B826"/>
  <c r="D828"/>
  <c r="B828"/>
  <c r="D830"/>
  <c r="B830"/>
  <c r="D832"/>
  <c r="B832"/>
  <c r="D834"/>
  <c r="B834"/>
  <c r="D836"/>
  <c r="B836"/>
  <c r="D838"/>
  <c r="B838"/>
  <c r="D840"/>
  <c r="B840"/>
  <c r="D842"/>
  <c r="B842"/>
  <c r="D844"/>
  <c r="B844"/>
  <c r="D846"/>
  <c r="B846"/>
  <c r="D848"/>
  <c r="B848"/>
  <c r="D850"/>
  <c r="B850"/>
  <c r="D852"/>
  <c r="B852"/>
  <c r="D854"/>
  <c r="B854"/>
  <c r="D856"/>
  <c r="B856"/>
  <c r="D858"/>
  <c r="B858"/>
  <c r="D860"/>
  <c r="B860"/>
  <c r="D862"/>
  <c r="B862"/>
  <c r="D864"/>
  <c r="B864"/>
  <c r="D866"/>
  <c r="B866"/>
  <c r="D868"/>
  <c r="B868"/>
  <c r="D870"/>
  <c r="B870"/>
  <c r="D872"/>
  <c r="B872"/>
  <c r="D874"/>
  <c r="B874"/>
  <c r="D876"/>
  <c r="B876"/>
  <c r="D878"/>
  <c r="B878"/>
  <c r="D880"/>
  <c r="B880"/>
  <c r="D882"/>
  <c r="B882"/>
  <c r="D884"/>
  <c r="B884"/>
  <c r="D886"/>
  <c r="B886"/>
  <c r="D888"/>
  <c r="B888"/>
  <c r="D890"/>
  <c r="B890"/>
  <c r="D892"/>
  <c r="B892"/>
  <c r="D894"/>
  <c r="B894"/>
  <c r="D896"/>
  <c r="B896"/>
  <c r="D898"/>
  <c r="B898"/>
  <c r="D900"/>
  <c r="B900"/>
  <c r="D902"/>
  <c r="B902"/>
  <c r="D904"/>
  <c r="B904"/>
  <c r="D906"/>
  <c r="B906"/>
  <c r="D908"/>
  <c r="B908"/>
  <c r="D910"/>
  <c r="B910"/>
  <c r="D912"/>
  <c r="B912"/>
  <c r="D914"/>
  <c r="B914"/>
  <c r="D916"/>
  <c r="B916"/>
  <c r="D918"/>
  <c r="B918"/>
  <c r="D920"/>
  <c r="B920"/>
  <c r="D922"/>
  <c r="B922"/>
  <c r="D924"/>
  <c r="B924"/>
  <c r="D926"/>
  <c r="B926"/>
  <c r="D928"/>
  <c r="B928"/>
  <c r="D930"/>
  <c r="B930"/>
  <c r="D932"/>
  <c r="B932"/>
  <c r="D934"/>
  <c r="B934"/>
  <c r="D936"/>
  <c r="B936"/>
  <c r="D938"/>
  <c r="B938"/>
  <c r="D940"/>
  <c r="B940"/>
  <c r="D942"/>
  <c r="B942"/>
  <c r="D944"/>
  <c r="B944"/>
  <c r="D946"/>
  <c r="B946"/>
  <c r="D948"/>
  <c r="B948"/>
  <c r="D950"/>
  <c r="B950"/>
  <c r="D952"/>
  <c r="B952"/>
  <c r="D954"/>
  <c r="B954"/>
  <c r="D956"/>
  <c r="B956"/>
  <c r="D958"/>
  <c r="B958"/>
  <c r="D960"/>
  <c r="B960"/>
  <c r="D962"/>
  <c r="B962"/>
  <c r="D964"/>
  <c r="B964"/>
  <c r="D966"/>
  <c r="B966"/>
  <c r="D968"/>
  <c r="B968"/>
  <c r="D970"/>
  <c r="B970"/>
  <c r="D972"/>
  <c r="B972"/>
  <c r="D974"/>
  <c r="B974"/>
  <c r="D976"/>
  <c r="B976"/>
  <c r="D978"/>
  <c r="B978"/>
  <c r="D980"/>
  <c r="B980"/>
  <c r="D982"/>
  <c r="B982"/>
  <c r="D984"/>
  <c r="B984"/>
  <c r="D986"/>
  <c r="B986"/>
  <c r="D988"/>
  <c r="B988"/>
  <c r="D990"/>
  <c r="B990"/>
  <c r="D992"/>
  <c r="B992"/>
  <c r="D994"/>
  <c r="B994"/>
  <c r="D996"/>
  <c r="B996"/>
  <c r="D998"/>
  <c r="B998"/>
  <c r="D1000"/>
  <c r="B1000"/>
  <c r="D1002"/>
  <c r="B1002"/>
  <c r="D1004"/>
  <c r="B1004"/>
  <c r="D1006"/>
  <c r="B1006"/>
  <c r="D1008"/>
  <c r="B1008"/>
  <c r="D1010"/>
  <c r="B1010"/>
  <c r="D1012"/>
  <c r="B1012"/>
  <c r="D1014"/>
  <c r="B1014"/>
  <c r="D1016"/>
  <c r="B1016"/>
  <c r="D1018"/>
  <c r="B1018"/>
  <c r="D1020"/>
  <c r="B1020"/>
  <c r="D1022"/>
  <c r="B1022"/>
  <c r="D1024"/>
  <c r="B1024"/>
  <c r="D1026"/>
  <c r="B1026"/>
  <c r="D1028"/>
  <c r="B1028"/>
  <c r="D1030"/>
  <c r="B1030"/>
  <c r="D1032"/>
  <c r="B1032"/>
  <c r="D1034"/>
  <c r="B1034"/>
  <c r="D1036"/>
  <c r="B1036"/>
  <c r="D1038"/>
  <c r="B1038"/>
  <c r="D1040"/>
  <c r="B1040"/>
  <c r="D1042"/>
  <c r="B1042"/>
  <c r="D1044"/>
  <c r="B1044"/>
  <c r="D1046"/>
  <c r="B1046"/>
  <c r="D1048"/>
  <c r="B1048"/>
  <c r="D1050"/>
  <c r="B1050"/>
  <c r="D1052"/>
  <c r="B1052"/>
  <c r="D1054"/>
  <c r="B1054"/>
  <c r="D1056"/>
  <c r="B1056"/>
  <c r="D1058"/>
  <c r="B1058"/>
  <c r="D1060"/>
  <c r="B1060"/>
  <c r="D1062"/>
  <c r="B1062"/>
  <c r="D1064"/>
  <c r="B1064"/>
  <c r="D1066"/>
  <c r="B1066"/>
  <c r="D1068"/>
  <c r="B1068"/>
  <c r="D1070"/>
  <c r="B1070"/>
  <c r="D1072"/>
  <c r="B1072"/>
  <c r="D1074"/>
  <c r="B1074"/>
  <c r="D1076"/>
  <c r="B1076"/>
  <c r="D1078"/>
  <c r="B1078"/>
  <c r="D1080"/>
  <c r="B1080"/>
  <c r="D1082"/>
  <c r="B1082"/>
  <c r="D1084"/>
  <c r="B1084"/>
  <c r="D1086"/>
  <c r="B1086"/>
  <c r="D1088"/>
  <c r="B1088"/>
  <c r="D1090"/>
  <c r="B1090"/>
  <c r="D1092"/>
  <c r="B1092"/>
  <c r="D1094"/>
  <c r="B1094"/>
  <c r="D1096"/>
  <c r="B1096"/>
  <c r="D1098"/>
  <c r="B1098"/>
  <c r="D1100"/>
  <c r="B1100"/>
  <c r="D1102"/>
  <c r="B1102"/>
  <c r="D1104"/>
  <c r="B1104"/>
  <c r="D1106"/>
  <c r="B1106"/>
  <c r="D1108"/>
  <c r="B1108"/>
  <c r="D1110"/>
  <c r="B1110"/>
  <c r="D1112"/>
  <c r="B1112"/>
  <c r="D1114"/>
  <c r="B1114"/>
  <c r="D1116"/>
  <c r="B1116"/>
  <c r="D1118"/>
  <c r="B1118"/>
  <c r="D1120"/>
  <c r="B1120"/>
  <c r="D1122"/>
  <c r="B1122"/>
  <c r="D1124"/>
  <c r="B1124"/>
  <c r="D1126"/>
  <c r="B1126"/>
  <c r="D1128"/>
  <c r="B1128"/>
  <c r="D1130"/>
  <c r="B1130"/>
  <c r="D1132"/>
  <c r="B1132"/>
  <c r="D1134"/>
  <c r="B1134"/>
  <c r="D1136"/>
  <c r="B1136"/>
  <c r="D1138"/>
  <c r="B1138"/>
  <c r="D1140"/>
  <c r="B1140"/>
  <c r="D1142"/>
  <c r="B1142"/>
  <c r="D1144"/>
  <c r="B1144"/>
  <c r="D1146"/>
  <c r="B1146"/>
  <c r="D1148"/>
  <c r="B1148"/>
  <c r="D1150"/>
  <c r="B1150"/>
  <c r="D1152"/>
  <c r="B1152"/>
  <c r="D1154"/>
  <c r="B1154"/>
  <c r="D1156"/>
  <c r="B1156"/>
  <c r="D1158"/>
  <c r="B1158"/>
  <c r="D1160"/>
  <c r="B1160"/>
  <c r="D1162"/>
  <c r="B1162"/>
  <c r="D1164"/>
  <c r="B1164"/>
  <c r="D1166"/>
  <c r="B1166"/>
  <c r="D1168"/>
  <c r="B1168"/>
  <c r="D1170"/>
  <c r="B1170"/>
  <c r="D1172"/>
  <c r="B1172"/>
  <c r="D1174"/>
  <c r="B1174"/>
  <c r="D1176"/>
  <c r="B1176"/>
  <c r="D1178"/>
  <c r="B1178"/>
  <c r="D1180"/>
  <c r="B1180"/>
  <c r="D1182"/>
  <c r="B1182"/>
  <c r="D1184"/>
  <c r="B1184"/>
  <c r="D1186"/>
  <c r="B1186"/>
  <c r="D1188"/>
  <c r="B1188"/>
  <c r="D1190"/>
  <c r="B1190"/>
  <c r="D1192"/>
  <c r="B1192"/>
  <c r="D1194"/>
  <c r="B1194"/>
  <c r="D1196"/>
  <c r="B1196"/>
  <c r="D1198"/>
  <c r="B1198"/>
  <c r="D1200"/>
  <c r="B1200"/>
  <c r="D1202"/>
  <c r="B1202"/>
  <c r="D1204"/>
  <c r="B1204"/>
  <c r="D1206"/>
  <c r="B1206"/>
  <c r="D1208"/>
  <c r="B1208"/>
  <c r="D1210"/>
  <c r="B1210"/>
  <c r="D1212"/>
  <c r="B1212"/>
  <c r="D1214"/>
  <c r="B1214"/>
  <c r="D1216"/>
  <c r="B1216"/>
  <c r="D1218"/>
  <c r="B1218"/>
  <c r="D1220"/>
  <c r="B1220"/>
  <c r="D1222"/>
  <c r="B1222"/>
  <c r="D1224"/>
  <c r="B1224"/>
  <c r="D1226"/>
  <c r="B1226"/>
  <c r="D1228"/>
  <c r="B1228"/>
  <c r="D1230"/>
  <c r="B1230"/>
  <c r="D1232"/>
  <c r="B1232"/>
  <c r="D1234"/>
  <c r="B1234"/>
  <c r="D1236"/>
  <c r="B1236"/>
  <c r="D1238"/>
  <c r="B1238"/>
  <c r="D1240"/>
  <c r="B1240"/>
  <c r="D1242"/>
  <c r="B1242"/>
  <c r="D1244"/>
  <c r="B1244"/>
  <c r="D1246"/>
  <c r="B1246"/>
  <c r="D1248"/>
  <c r="B1248"/>
  <c r="D1250"/>
  <c r="B1250"/>
  <c r="D1252"/>
  <c r="B1252"/>
  <c r="D1254"/>
  <c r="B1254"/>
  <c r="D1256"/>
  <c r="B1256"/>
  <c r="D1258"/>
  <c r="B1258"/>
  <c r="D1260"/>
  <c r="B1260"/>
  <c r="D1262"/>
  <c r="B1262"/>
  <c r="D1264"/>
  <c r="B1264"/>
  <c r="D1266"/>
  <c r="B1266"/>
  <c r="D1268"/>
  <c r="B1268"/>
  <c r="D1270"/>
  <c r="B1270"/>
  <c r="D1272"/>
  <c r="B1272"/>
  <c r="D1274"/>
  <c r="B1274"/>
  <c r="D1276"/>
  <c r="B1276"/>
  <c r="D1278"/>
  <c r="B1278"/>
  <c r="D1280"/>
  <c r="B1280"/>
  <c r="D1282"/>
  <c r="B1282"/>
  <c r="D1284"/>
  <c r="B1284"/>
  <c r="D1286"/>
  <c r="B1286"/>
  <c r="D1288"/>
  <c r="B1288"/>
  <c r="D1290"/>
  <c r="B1290"/>
  <c r="D1292"/>
  <c r="B1292"/>
  <c r="D1294"/>
  <c r="B1294"/>
  <c r="D1296"/>
  <c r="B1296"/>
  <c r="D1298"/>
  <c r="B1298"/>
  <c r="D1300"/>
  <c r="B1300"/>
  <c r="D1302"/>
  <c r="B1302"/>
  <c r="D1304"/>
  <c r="B1304"/>
  <c r="D1306"/>
  <c r="B1306"/>
  <c r="D1308"/>
  <c r="B1308"/>
  <c r="D1310"/>
  <c r="B1310"/>
  <c r="D1312"/>
  <c r="B1312"/>
  <c r="D1314"/>
  <c r="B1314"/>
  <c r="D1316"/>
  <c r="B1316"/>
  <c r="D1318"/>
  <c r="B1318"/>
  <c r="D1320"/>
  <c r="B1320"/>
  <c r="D1322"/>
  <c r="B1322"/>
  <c r="D1324"/>
  <c r="B1324"/>
  <c r="D1326"/>
  <c r="B1326"/>
  <c r="D1328"/>
  <c r="B1328"/>
  <c r="D1330"/>
  <c r="B1330"/>
  <c r="D1332"/>
  <c r="B1332"/>
  <c r="D1334"/>
  <c r="B1334"/>
  <c r="D1336"/>
  <c r="B1336"/>
  <c r="D1338"/>
  <c r="B1338"/>
  <c r="D1340"/>
  <c r="B1340"/>
  <c r="D1342"/>
  <c r="B1342"/>
  <c r="D1344"/>
  <c r="B1344"/>
  <c r="D1346"/>
  <c r="B1346"/>
  <c r="D1348"/>
  <c r="B1348"/>
  <c r="D1350"/>
  <c r="B1350"/>
  <c r="D1352"/>
  <c r="B1352"/>
  <c r="D1354"/>
  <c r="B1354"/>
  <c r="D1356"/>
  <c r="B1356"/>
  <c r="D1358"/>
  <c r="B1358"/>
  <c r="D1360"/>
  <c r="B1360"/>
  <c r="D1362"/>
  <c r="B1362"/>
  <c r="D1364"/>
  <c r="B1364"/>
  <c r="D1366"/>
  <c r="B1366"/>
  <c r="D1368"/>
  <c r="B1368"/>
  <c r="D1370"/>
  <c r="B1370"/>
  <c r="D1372"/>
  <c r="B1372"/>
  <c r="D1374"/>
  <c r="B1374"/>
  <c r="D1376"/>
  <c r="B1376"/>
  <c r="D1378"/>
  <c r="B1378"/>
  <c r="D1380"/>
  <c r="B1380"/>
  <c r="D1382"/>
  <c r="B1382"/>
  <c r="D1384"/>
  <c r="B1384"/>
  <c r="D1386"/>
  <c r="B1386"/>
  <c r="D1388"/>
  <c r="B1388"/>
  <c r="D1390"/>
  <c r="B1390"/>
  <c r="D1392"/>
  <c r="B1392"/>
  <c r="D1394"/>
  <c r="B1394"/>
  <c r="D1396"/>
  <c r="B1396"/>
  <c r="D1398"/>
  <c r="B1398"/>
  <c r="D1400"/>
  <c r="B1400"/>
  <c r="D1402"/>
  <c r="B1402"/>
  <c r="D1404"/>
  <c r="B1404"/>
  <c r="D1406"/>
  <c r="B1406"/>
  <c r="D1408"/>
  <c r="B1408"/>
  <c r="D1410"/>
  <c r="B1410"/>
  <c r="D1412"/>
  <c r="B1412"/>
  <c r="D1414"/>
  <c r="B1414"/>
  <c r="D1416"/>
  <c r="B1416"/>
  <c r="D1418"/>
  <c r="B1418"/>
  <c r="D1420"/>
  <c r="B1420"/>
  <c r="D1422"/>
  <c r="B1422"/>
  <c r="D1424"/>
  <c r="B1424"/>
  <c r="D1426"/>
  <c r="B1426"/>
  <c r="D1428"/>
  <c r="B1428"/>
  <c r="D1430"/>
  <c r="B1430"/>
  <c r="D1432"/>
  <c r="B1432"/>
  <c r="D1434"/>
  <c r="B1434"/>
  <c r="D1436"/>
  <c r="B1436"/>
  <c r="D1438"/>
  <c r="B1438"/>
  <c r="D1440"/>
  <c r="B1440"/>
  <c r="D1442"/>
  <c r="B1442"/>
  <c r="D1444"/>
  <c r="B1444"/>
  <c r="D1446"/>
  <c r="B1446"/>
  <c r="D1448"/>
  <c r="B1448"/>
  <c r="D1450"/>
  <c r="B1450"/>
  <c r="D1452"/>
  <c r="B1452"/>
  <c r="D1454"/>
  <c r="B1454"/>
  <c r="D1456"/>
  <c r="B1456"/>
  <c r="D1458"/>
  <c r="B1458"/>
  <c r="D1460"/>
  <c r="B1460"/>
  <c r="D1462"/>
  <c r="B1462"/>
  <c r="D1464"/>
  <c r="B1464"/>
  <c r="D1466"/>
  <c r="B1466"/>
  <c r="D1468"/>
  <c r="B1468"/>
  <c r="D1470"/>
  <c r="B1470"/>
  <c r="D1472"/>
  <c r="B1472"/>
  <c r="D1474"/>
  <c r="B1474"/>
  <c r="D1476"/>
  <c r="B1476"/>
  <c r="D1478"/>
  <c r="B1478"/>
  <c r="D1480"/>
  <c r="B1480"/>
  <c r="D1482"/>
  <c r="B1482"/>
  <c r="D1484"/>
  <c r="B1484"/>
  <c r="D1486"/>
  <c r="B1486"/>
  <c r="D1488"/>
  <c r="B1488"/>
  <c r="D1490"/>
  <c r="B1490"/>
  <c r="D1492"/>
  <c r="B1492"/>
  <c r="D1494"/>
  <c r="B1494"/>
  <c r="D1496"/>
  <c r="B1496"/>
  <c r="D1498"/>
  <c r="B1498"/>
  <c r="D1500"/>
  <c r="B1500"/>
  <c r="D1502"/>
  <c r="B1502"/>
  <c r="D1504"/>
  <c r="B1504"/>
  <c r="D1506"/>
  <c r="B1506"/>
  <c r="D1508"/>
  <c r="B1508"/>
  <c r="D1510"/>
  <c r="B1510"/>
  <c r="D1512"/>
  <c r="B1512"/>
  <c r="D1514"/>
  <c r="B1514"/>
  <c r="D1516"/>
  <c r="B1516"/>
  <c r="D1518"/>
  <c r="B1518"/>
  <c r="D1520"/>
  <c r="B1520"/>
  <c r="D1522"/>
  <c r="B1522"/>
  <c r="D1524"/>
  <c r="B1524"/>
  <c r="D1526"/>
  <c r="B1526"/>
  <c r="D1528"/>
  <c r="B1528"/>
  <c r="D1530"/>
  <c r="B1530"/>
  <c r="D1532"/>
  <c r="B1532"/>
  <c r="D1534"/>
  <c r="B1534"/>
  <c r="D1536"/>
  <c r="B1536"/>
  <c r="D1538"/>
  <c r="B1538"/>
  <c r="D1540"/>
  <c r="B1540"/>
  <c r="D1542"/>
  <c r="B1542"/>
  <c r="D1544"/>
  <c r="B1544"/>
  <c r="D1546"/>
  <c r="B1546"/>
  <c r="D1548"/>
  <c r="B1548"/>
  <c r="D1550"/>
  <c r="B1550"/>
  <c r="D1552"/>
  <c r="B1552"/>
  <c r="D1554"/>
  <c r="B1554"/>
  <c r="D1556"/>
  <c r="B1556"/>
  <c r="D1558"/>
  <c r="B1558"/>
  <c r="D1560"/>
  <c r="B1560"/>
  <c r="D1562"/>
  <c r="B1562"/>
  <c r="D1564"/>
  <c r="B1564"/>
  <c r="D1566"/>
  <c r="B1566"/>
  <c r="D1568"/>
  <c r="B1568"/>
  <c r="D1570"/>
  <c r="B1570"/>
  <c r="D1572"/>
  <c r="B1572"/>
  <c r="D1574"/>
  <c r="B1574"/>
  <c r="D1576"/>
  <c r="B1576"/>
  <c r="D1578"/>
  <c r="B1578"/>
  <c r="D1580"/>
  <c r="B1580"/>
  <c r="D1582"/>
  <c r="B1582"/>
  <c r="D1584"/>
  <c r="B1584"/>
  <c r="D1586"/>
  <c r="B1586"/>
  <c r="D1588"/>
  <c r="B1588"/>
  <c r="D1590"/>
  <c r="B1590"/>
  <c r="D1592"/>
  <c r="B1592"/>
  <c r="D1594"/>
  <c r="B1594"/>
  <c r="D1596"/>
  <c r="B1596"/>
  <c r="D1598"/>
  <c r="B1598"/>
  <c r="D1600"/>
  <c r="B1600"/>
  <c r="D1602"/>
  <c r="B1602"/>
  <c r="D1604"/>
  <c r="B1604"/>
  <c r="D1606"/>
  <c r="B1606"/>
  <c r="D1608"/>
  <c r="B1608"/>
  <c r="D1610"/>
  <c r="B1610"/>
  <c r="D1612"/>
  <c r="B1612"/>
  <c r="D1614"/>
  <c r="B1614"/>
  <c r="D1616"/>
  <c r="B1616"/>
  <c r="D1618"/>
  <c r="B1618"/>
  <c r="D1620"/>
  <c r="B1620"/>
  <c r="D1622"/>
  <c r="B1622"/>
  <c r="D1624"/>
  <c r="B1624"/>
  <c r="D1626"/>
  <c r="B1626"/>
  <c r="D1628"/>
  <c r="B1628"/>
  <c r="D1630"/>
  <c r="B1630"/>
  <c r="D1632"/>
  <c r="B1632"/>
  <c r="D1634"/>
  <c r="B1634"/>
  <c r="D1636"/>
  <c r="B1636"/>
  <c r="D1638"/>
  <c r="B1638"/>
  <c r="D1640"/>
  <c r="B1640"/>
  <c r="D1642"/>
  <c r="B1642"/>
  <c r="D1644"/>
  <c r="B1644"/>
  <c r="D1646"/>
  <c r="B1646"/>
  <c r="D1648"/>
  <c r="B1648"/>
  <c r="D1650"/>
  <c r="B1650"/>
  <c r="D1652"/>
  <c r="B1652"/>
  <c r="D1654"/>
  <c r="B1654"/>
  <c r="D1656"/>
  <c r="B1656"/>
  <c r="D1658"/>
  <c r="B1658"/>
  <c r="D1660"/>
  <c r="B1660"/>
  <c r="D1662"/>
  <c r="B1662"/>
  <c r="D1664"/>
  <c r="B1664"/>
  <c r="D1666"/>
  <c r="B1666"/>
  <c r="D1668"/>
  <c r="B1668"/>
  <c r="D1670"/>
  <c r="B1670"/>
  <c r="D1672"/>
  <c r="B1672"/>
  <c r="D1674"/>
  <c r="B1674"/>
  <c r="D1676"/>
  <c r="B1676"/>
  <c r="D1678"/>
  <c r="B1678"/>
  <c r="D1680"/>
  <c r="B1680"/>
  <c r="D1682"/>
  <c r="B1682"/>
  <c r="D1684"/>
  <c r="B1684"/>
  <c r="D1686"/>
  <c r="B1686"/>
  <c r="D1688"/>
  <c r="B1688"/>
  <c r="D1690"/>
  <c r="B1690"/>
  <c r="D1692"/>
  <c r="B1692"/>
  <c r="D1694"/>
  <c r="B1694"/>
  <c r="D1696"/>
  <c r="B1696"/>
  <c r="D1698"/>
  <c r="B1698"/>
  <c r="D1700"/>
  <c r="B1700"/>
  <c r="D1702"/>
  <c r="B1702"/>
  <c r="D1704"/>
  <c r="B1704"/>
  <c r="D1706"/>
  <c r="B1706"/>
  <c r="D1708"/>
  <c r="B1708"/>
  <c r="D1710"/>
  <c r="B1710"/>
  <c r="D1712"/>
  <c r="B1712"/>
  <c r="D1714"/>
  <c r="B1714"/>
  <c r="D1716"/>
  <c r="B1716"/>
  <c r="D1718"/>
  <c r="B1718"/>
  <c r="D1720"/>
  <c r="B1720"/>
  <c r="D1722"/>
  <c r="B1722"/>
  <c r="D1724"/>
  <c r="B1724"/>
  <c r="D1726"/>
  <c r="B1726"/>
  <c r="D1728"/>
  <c r="B1728"/>
  <c r="D1730"/>
  <c r="B1730"/>
  <c r="D1732"/>
  <c r="B1732"/>
  <c r="D1734"/>
  <c r="B1734"/>
  <c r="D1736"/>
  <c r="B1736"/>
  <c r="D1738"/>
  <c r="B1738"/>
  <c r="D1740"/>
  <c r="B1740"/>
  <c r="D1742"/>
  <c r="B1742"/>
  <c r="D1744"/>
  <c r="B1744"/>
  <c r="D1746"/>
  <c r="B1746"/>
  <c r="D1748"/>
  <c r="B1748"/>
  <c r="D1750"/>
  <c r="B1750"/>
  <c r="D1752"/>
  <c r="B1752"/>
  <c r="D1754"/>
  <c r="B1754"/>
  <c r="D1756"/>
  <c r="B1756"/>
  <c r="D1758"/>
  <c r="B1758"/>
  <c r="D1760"/>
  <c r="B1760"/>
  <c r="D1762"/>
  <c r="B1762"/>
  <c r="D1764"/>
  <c r="B1764"/>
  <c r="D1766"/>
  <c r="B1766"/>
  <c r="D1768"/>
  <c r="B1768"/>
  <c r="D1770"/>
  <c r="B1770"/>
  <c r="D1772"/>
  <c r="B1772"/>
  <c r="D1774"/>
  <c r="B1774"/>
  <c r="D1776"/>
  <c r="B1776"/>
  <c r="D1778"/>
  <c r="B1778"/>
  <c r="D1780"/>
  <c r="B1780"/>
  <c r="D1782"/>
  <c r="B1782"/>
  <c r="D1784"/>
  <c r="B1784"/>
  <c r="D1786"/>
  <c r="B1786"/>
  <c r="D1788"/>
  <c r="B1788"/>
  <c r="D1790"/>
  <c r="B1790"/>
  <c r="D1792"/>
  <c r="B1792"/>
  <c r="D1794"/>
  <c r="B1794"/>
  <c r="D1796"/>
  <c r="B1796"/>
  <c r="D1798"/>
  <c r="B1798"/>
  <c r="D1800"/>
  <c r="B1800"/>
  <c r="D1802"/>
  <c r="B1802"/>
  <c r="D1804"/>
  <c r="B1804"/>
  <c r="D1806"/>
  <c r="B1806"/>
  <c r="D1808"/>
  <c r="B1808"/>
  <c r="D1810"/>
  <c r="B1810"/>
  <c r="D1812"/>
  <c r="B1812"/>
  <c r="D1814"/>
  <c r="B1814"/>
  <c r="D1816"/>
  <c r="B1816"/>
  <c r="D1818"/>
  <c r="B1818"/>
  <c r="D1820"/>
  <c r="B1820"/>
  <c r="D1822"/>
  <c r="B1822"/>
  <c r="D1824"/>
  <c r="B1824"/>
  <c r="D1826"/>
  <c r="B1826"/>
  <c r="D1828"/>
  <c r="B1828"/>
  <c r="D1830"/>
  <c r="B1830"/>
  <c r="D1832"/>
  <c r="B1832"/>
  <c r="D1834"/>
  <c r="B1834"/>
  <c r="D1836"/>
  <c r="B1836"/>
  <c r="D1838"/>
  <c r="B1838"/>
  <c r="D1840"/>
  <c r="B1840"/>
  <c r="D1842"/>
  <c r="B1842"/>
  <c r="D1844"/>
  <c r="B1844"/>
  <c r="D1846"/>
  <c r="B1846"/>
  <c r="D1848"/>
  <c r="B1848"/>
  <c r="D1850"/>
  <c r="B1850"/>
  <c r="D1852"/>
  <c r="B1852"/>
  <c r="D1854"/>
  <c r="B1854"/>
  <c r="D1856"/>
  <c r="B1856"/>
  <c r="D1858"/>
  <c r="B1858"/>
  <c r="D1860"/>
  <c r="B1860"/>
  <c r="D1862"/>
  <c r="B1862"/>
  <c r="D1864"/>
  <c r="B1864"/>
  <c r="D1866"/>
  <c r="B1866"/>
  <c r="D1868"/>
  <c r="B1868"/>
  <c r="D1870"/>
  <c r="B1870"/>
  <c r="D1872"/>
  <c r="B1872"/>
  <c r="D1874"/>
  <c r="B1874"/>
  <c r="D1876"/>
  <c r="B1876"/>
  <c r="D1878"/>
  <c r="B1878"/>
  <c r="D1880"/>
  <c r="B1880"/>
  <c r="D1882"/>
  <c r="B1882"/>
  <c r="D1884"/>
  <c r="B1884"/>
  <c r="D1886"/>
  <c r="B1886"/>
  <c r="D1888"/>
  <c r="B1888"/>
  <c r="D1890"/>
  <c r="B1890"/>
  <c r="D1892"/>
  <c r="B1892"/>
  <c r="D1894"/>
  <c r="B1894"/>
  <c r="D1896"/>
  <c r="B1896"/>
  <c r="D1898"/>
  <c r="B1898"/>
  <c r="D1900"/>
  <c r="B1900"/>
  <c r="D1902"/>
  <c r="B1902"/>
  <c r="D1904"/>
  <c r="B1904"/>
  <c r="D1906"/>
  <c r="B1906"/>
  <c r="D1908"/>
  <c r="B1908"/>
  <c r="D1910"/>
  <c r="B1910"/>
  <c r="D1912"/>
  <c r="B1912"/>
  <c r="D1914"/>
  <c r="B1914"/>
  <c r="D1916"/>
  <c r="B1916"/>
  <c r="D1918"/>
  <c r="B1918"/>
  <c r="D1920"/>
  <c r="B1920"/>
  <c r="D1922"/>
  <c r="B1922"/>
  <c r="D1924"/>
  <c r="B1924"/>
  <c r="D1926"/>
  <c r="B1926"/>
  <c r="D1928"/>
  <c r="B1928"/>
  <c r="D1930"/>
  <c r="B1930"/>
  <c r="D1932"/>
  <c r="B1932"/>
  <c r="D1934"/>
  <c r="B1934"/>
  <c r="D1936"/>
  <c r="B1936"/>
  <c r="D1938"/>
  <c r="B1938"/>
  <c r="D1940"/>
  <c r="B1940"/>
  <c r="D1942"/>
  <c r="B1942"/>
  <c r="D1944"/>
  <c r="B1944"/>
  <c r="D1946"/>
  <c r="B1946"/>
  <c r="D1948"/>
  <c r="B1948"/>
  <c r="D1950"/>
  <c r="B1950"/>
  <c r="D1952"/>
  <c r="B1952"/>
  <c r="D1954"/>
  <c r="B1954"/>
  <c r="D1956"/>
  <c r="B1956"/>
  <c r="D1958"/>
  <c r="B1958"/>
  <c r="D1960"/>
  <c r="B1960"/>
  <c r="D1962"/>
  <c r="B1962"/>
  <c r="D1964"/>
  <c r="B1964"/>
  <c r="D1966"/>
  <c r="B1966"/>
  <c r="D1968"/>
  <c r="B1968"/>
  <c r="D1970"/>
  <c r="B1970"/>
  <c r="D1972"/>
  <c r="B1972"/>
  <c r="D1974"/>
  <c r="B1974"/>
  <c r="D1976"/>
  <c r="B1976"/>
  <c r="D1978"/>
  <c r="B1978"/>
  <c r="D1980"/>
  <c r="B1980"/>
  <c r="D1982"/>
  <c r="B1982"/>
  <c r="D1984"/>
  <c r="B1984"/>
  <c r="D1986"/>
  <c r="B1986"/>
  <c r="D1988"/>
  <c r="B1988"/>
  <c r="D1990"/>
  <c r="B1990"/>
  <c r="D1992"/>
  <c r="B1992"/>
  <c r="D1994"/>
  <c r="B1994"/>
  <c r="D1996"/>
  <c r="B1996"/>
  <c r="D1998"/>
  <c r="B1998"/>
  <c r="D2000"/>
  <c r="B2000"/>
  <c r="D2002"/>
  <c r="B2002"/>
  <c r="D2004"/>
  <c r="B2004"/>
  <c r="D2006"/>
  <c r="B2006"/>
  <c r="D2008"/>
  <c r="B2008"/>
  <c r="D2010"/>
  <c r="B2010"/>
  <c r="D2012"/>
  <c r="B2012"/>
  <c r="D2014"/>
  <c r="B2014"/>
  <c r="D2016"/>
  <c r="B2016"/>
  <c r="D2018"/>
  <c r="B2018"/>
  <c r="D2020"/>
  <c r="B2020"/>
  <c r="D2022"/>
  <c r="B2022"/>
  <c r="D2024"/>
  <c r="B2024"/>
  <c r="D2026"/>
  <c r="B2026"/>
  <c r="D2028"/>
  <c r="B2028"/>
  <c r="D2030"/>
  <c r="B2030"/>
  <c r="D2032"/>
  <c r="B2032"/>
  <c r="D2034"/>
  <c r="B2034"/>
  <c r="D2036"/>
  <c r="B2036"/>
  <c r="D2038"/>
  <c r="B2038"/>
  <c r="D2040"/>
  <c r="B2040"/>
  <c r="D2042"/>
  <c r="B2042"/>
  <c r="D2044"/>
  <c r="B2044"/>
  <c r="D2046"/>
  <c r="B2046"/>
  <c r="D2048"/>
  <c r="B2048"/>
  <c r="D2050"/>
  <c r="B2050"/>
  <c r="D2052"/>
  <c r="B2052"/>
  <c r="D2054"/>
  <c r="B2054"/>
  <c r="D2056"/>
  <c r="B2056"/>
  <c r="D2058"/>
  <c r="B2058"/>
  <c r="D2060"/>
  <c r="B2060"/>
  <c r="D2062"/>
  <c r="B2062"/>
  <c r="D2064"/>
  <c r="B2064"/>
  <c r="D2066"/>
  <c r="B2066"/>
  <c r="D2068"/>
  <c r="B2068"/>
  <c r="D2070"/>
  <c r="B2070"/>
  <c r="D2072"/>
  <c r="B2072"/>
  <c r="D2074"/>
  <c r="B2074"/>
  <c r="D2076"/>
  <c r="B2076"/>
  <c r="D2078"/>
  <c r="B2078"/>
  <c r="D2080"/>
  <c r="B2080"/>
  <c r="D2082"/>
  <c r="B2082"/>
  <c r="D2084"/>
  <c r="B2084"/>
  <c r="D2086"/>
  <c r="B2086"/>
  <c r="D2088"/>
  <c r="B2088"/>
  <c r="D2090"/>
  <c r="B2090"/>
  <c r="D2092"/>
  <c r="B2092"/>
  <c r="D2094"/>
  <c r="B2094"/>
  <c r="D2096"/>
  <c r="B2096"/>
  <c r="D2098"/>
  <c r="B2098"/>
  <c r="D2100"/>
  <c r="B2100"/>
  <c r="D2102"/>
  <c r="B2102"/>
  <c r="D2104"/>
  <c r="B2104"/>
  <c r="D2106"/>
  <c r="B2106"/>
  <c r="D2108"/>
  <c r="B2108"/>
  <c r="D2110"/>
  <c r="B2110"/>
  <c r="D2112"/>
  <c r="B2112"/>
  <c r="D2114"/>
  <c r="B2114"/>
  <c r="D2116"/>
  <c r="B2116"/>
  <c r="D2118"/>
  <c r="B2118"/>
  <c r="D2120"/>
  <c r="B2120"/>
  <c r="D2122"/>
  <c r="B2122"/>
  <c r="D2124"/>
  <c r="B2124"/>
  <c r="D2126"/>
  <c r="B2126"/>
  <c r="D2128"/>
  <c r="B2128"/>
  <c r="D2130"/>
  <c r="B2130"/>
  <c r="D2132"/>
  <c r="B2132"/>
  <c r="D2134"/>
  <c r="B2134"/>
  <c r="D2136"/>
  <c r="B2136"/>
  <c r="D2138"/>
  <c r="B2138"/>
  <c r="D2140"/>
  <c r="B2140"/>
  <c r="D2142"/>
  <c r="B2142"/>
  <c r="D2144"/>
  <c r="B2144"/>
  <c r="D2146"/>
  <c r="B2146"/>
  <c r="D2148"/>
  <c r="B2148"/>
  <c r="D2150"/>
  <c r="B2150"/>
  <c r="D2152"/>
  <c r="B2152"/>
  <c r="D2154"/>
  <c r="B2154"/>
  <c r="D2156"/>
  <c r="B2156"/>
  <c r="D2158"/>
  <c r="B2158"/>
  <c r="D2160"/>
  <c r="B2160"/>
  <c r="D2162"/>
  <c r="B2162"/>
  <c r="D2164"/>
  <c r="B2164"/>
  <c r="D2166"/>
  <c r="B2166"/>
  <c r="D2168"/>
  <c r="B2168"/>
  <c r="D2170"/>
  <c r="B2170"/>
  <c r="D2172"/>
  <c r="B2172"/>
  <c r="D2174"/>
  <c r="B2174"/>
  <c r="D2176"/>
  <c r="B2176"/>
  <c r="D2178"/>
  <c r="B2178"/>
  <c r="D2180"/>
  <c r="B2180"/>
  <c r="D2182"/>
  <c r="B2182"/>
  <c r="D2184"/>
  <c r="B2184"/>
  <c r="D2186"/>
  <c r="B2186"/>
  <c r="D2188"/>
  <c r="B2188"/>
  <c r="D2190"/>
  <c r="B2190"/>
  <c r="D2192"/>
  <c r="B2192"/>
  <c r="D2194"/>
  <c r="B2194"/>
  <c r="D2196"/>
  <c r="B2196"/>
  <c r="L6" i="36"/>
  <c r="H6"/>
  <c r="D6"/>
  <c r="B6"/>
  <c r="M6"/>
  <c r="G6"/>
  <c r="G6" i="35"/>
  <c r="D1883" i="36"/>
  <c r="B1883"/>
  <c r="D1885"/>
  <c r="B1885"/>
  <c r="D1887"/>
  <c r="B1887"/>
  <c r="D1889"/>
  <c r="B1889"/>
  <c r="D1891"/>
  <c r="B1891"/>
  <c r="D1893"/>
  <c r="B1893"/>
  <c r="D1895"/>
  <c r="B1895"/>
  <c r="D1897"/>
  <c r="B1897"/>
  <c r="D1899"/>
  <c r="B1899"/>
  <c r="D1901"/>
  <c r="B1901"/>
  <c r="D1903"/>
  <c r="B1903"/>
  <c r="D1905"/>
  <c r="B1905"/>
  <c r="D1907"/>
  <c r="B1907"/>
  <c r="D1909"/>
  <c r="B1909"/>
  <c r="D1911"/>
  <c r="B1911"/>
  <c r="D1913"/>
  <c r="B1913"/>
  <c r="D1915"/>
  <c r="B1915"/>
  <c r="D1917"/>
  <c r="B1917"/>
  <c r="D1919"/>
  <c r="B1919"/>
  <c r="D1921"/>
  <c r="B1921"/>
  <c r="D1923"/>
  <c r="B1923"/>
  <c r="D1925"/>
  <c r="B1925"/>
  <c r="D1927"/>
  <c r="B1927"/>
  <c r="D1929"/>
  <c r="B1929"/>
  <c r="D1931"/>
  <c r="B1931"/>
  <c r="D1933"/>
  <c r="B1933"/>
  <c r="D1935"/>
  <c r="B1935"/>
  <c r="D1937"/>
  <c r="B1937"/>
  <c r="D1939"/>
  <c r="B1939"/>
  <c r="D1941"/>
  <c r="B1941"/>
  <c r="D1943"/>
  <c r="B1943"/>
  <c r="D1945"/>
  <c r="B1945"/>
  <c r="D1947"/>
  <c r="B1947"/>
  <c r="D1949"/>
  <c r="B1949"/>
  <c r="D1951"/>
  <c r="B1951"/>
  <c r="D1953"/>
  <c r="B1953"/>
  <c r="D1955"/>
  <c r="B1955"/>
  <c r="D1957"/>
  <c r="B1957"/>
  <c r="D1959"/>
  <c r="B1959"/>
  <c r="D1961"/>
  <c r="B1961"/>
  <c r="D1963"/>
  <c r="B1963"/>
  <c r="D1965"/>
  <c r="B1965"/>
  <c r="D1967"/>
  <c r="B1967"/>
  <c r="D1969"/>
  <c r="B1969"/>
  <c r="D1971"/>
  <c r="B1971"/>
  <c r="D1973"/>
  <c r="B1973"/>
  <c r="D1975"/>
  <c r="B1975"/>
  <c r="D1977"/>
  <c r="B1977"/>
  <c r="D1979"/>
  <c r="B1979"/>
  <c r="D1981"/>
  <c r="B1981"/>
  <c r="D1983"/>
  <c r="B1983"/>
  <c r="D1985"/>
  <c r="B1985"/>
  <c r="D1987"/>
  <c r="B1987"/>
  <c r="D1989"/>
  <c r="B1989"/>
  <c r="D1991"/>
  <c r="B1991"/>
  <c r="D1993"/>
  <c r="B1993"/>
  <c r="D1995"/>
  <c r="B1995"/>
  <c r="D1997"/>
  <c r="B1997"/>
  <c r="D1999"/>
  <c r="B1999"/>
  <c r="D2001"/>
  <c r="B2001"/>
  <c r="D2003"/>
  <c r="B2003"/>
  <c r="D2005"/>
  <c r="B2005"/>
  <c r="D2007"/>
  <c r="B2007"/>
  <c r="D2009"/>
  <c r="B2009"/>
  <c r="D2011"/>
  <c r="B2011"/>
  <c r="D2013"/>
  <c r="B2013"/>
  <c r="D2015"/>
  <c r="B2015"/>
  <c r="D2017"/>
  <c r="B2017"/>
  <c r="D2019"/>
  <c r="B2019"/>
  <c r="D2021"/>
  <c r="B2021"/>
  <c r="D2023"/>
  <c r="B2023"/>
  <c r="D2025"/>
  <c r="B2025"/>
  <c r="D2027"/>
  <c r="B2027"/>
  <c r="D2029"/>
  <c r="B2029"/>
  <c r="D2031"/>
  <c r="B2031"/>
  <c r="D2033"/>
  <c r="B2033"/>
  <c r="D2035"/>
  <c r="B2035"/>
  <c r="D2037"/>
  <c r="B2037"/>
  <c r="D2039"/>
  <c r="B2039"/>
  <c r="D2041"/>
  <c r="B2041"/>
  <c r="D2043"/>
  <c r="B2043"/>
  <c r="D2045"/>
  <c r="B2045"/>
  <c r="D2047"/>
  <c r="B2047"/>
  <c r="D2049"/>
  <c r="B2049"/>
  <c r="D2051"/>
  <c r="B2051"/>
  <c r="D2053"/>
  <c r="B2053"/>
  <c r="D2055"/>
  <c r="B2055"/>
  <c r="D2057"/>
  <c r="B2057"/>
  <c r="D2059"/>
  <c r="B2059"/>
  <c r="D2061"/>
  <c r="B2061"/>
  <c r="D2063"/>
  <c r="B2063"/>
  <c r="D2065"/>
  <c r="B2065"/>
  <c r="D2067"/>
  <c r="B2067"/>
  <c r="D2069"/>
  <c r="B2069"/>
  <c r="D2071"/>
  <c r="B2071"/>
  <c r="D2073"/>
  <c r="B2073"/>
  <c r="D2075"/>
  <c r="B2075"/>
  <c r="D2077"/>
  <c r="B2077"/>
  <c r="D2079"/>
  <c r="B2079"/>
  <c r="D2081"/>
  <c r="B2081"/>
  <c r="D2083"/>
  <c r="B2083"/>
  <c r="D2085"/>
  <c r="B2085"/>
  <c r="D2087"/>
  <c r="B2087"/>
  <c r="D2089"/>
  <c r="B2089"/>
  <c r="D2091"/>
  <c r="B2091"/>
  <c r="D2093"/>
  <c r="B2093"/>
  <c r="D2095"/>
  <c r="B2095"/>
  <c r="D2097"/>
  <c r="B2097"/>
  <c r="D2099"/>
  <c r="B2099"/>
  <c r="D2101"/>
  <c r="B2101"/>
  <c r="D2103"/>
  <c r="B2103"/>
  <c r="D2105"/>
  <c r="B2105"/>
  <c r="D2107"/>
  <c r="B2107"/>
  <c r="D2109"/>
  <c r="B2109"/>
  <c r="D2111"/>
  <c r="B2111"/>
  <c r="D2113"/>
  <c r="B2113"/>
  <c r="D2115"/>
  <c r="B2115"/>
  <c r="D2117"/>
  <c r="B2117"/>
  <c r="D2119"/>
  <c r="B2119"/>
  <c r="D2121"/>
  <c r="B2121"/>
  <c r="D2123"/>
  <c r="B2123"/>
  <c r="D2125"/>
  <c r="B2125"/>
  <c r="D2127"/>
  <c r="B2127"/>
  <c r="D2129"/>
  <c r="B2129"/>
  <c r="D2131"/>
  <c r="B2131"/>
  <c r="D2133"/>
  <c r="B2133"/>
  <c r="D2135"/>
  <c r="B2135"/>
  <c r="D2137"/>
  <c r="B2137"/>
  <c r="D2139"/>
  <c r="B2139"/>
  <c r="D2141"/>
  <c r="B2141"/>
  <c r="D2143"/>
  <c r="B2143"/>
  <c r="D2145"/>
  <c r="B2145"/>
  <c r="D2147"/>
  <c r="B2147"/>
  <c r="D2149"/>
  <c r="B2149"/>
  <c r="D2151"/>
  <c r="B2151"/>
  <c r="D2153"/>
  <c r="B2153"/>
  <c r="D2155"/>
  <c r="B2155"/>
  <c r="D2157"/>
  <c r="B2157"/>
  <c r="D2159"/>
  <c r="B2159"/>
  <c r="D2161"/>
  <c r="B2161"/>
  <c r="D2163"/>
  <c r="B2163"/>
  <c r="D2165"/>
  <c r="B2165"/>
  <c r="D2167"/>
  <c r="B2167"/>
  <c r="D2169"/>
  <c r="B2169"/>
  <c r="D2171"/>
  <c r="B2171"/>
  <c r="D2173"/>
  <c r="B2173"/>
  <c r="D2175"/>
  <c r="B2175"/>
  <c r="D2177"/>
  <c r="B2177"/>
  <c r="D2179"/>
  <c r="B2179"/>
  <c r="D2181"/>
  <c r="B2181"/>
  <c r="D2183"/>
  <c r="B2183"/>
  <c r="D2185"/>
  <c r="B2185"/>
  <c r="D2187"/>
  <c r="B2187"/>
  <c r="D2189"/>
  <c r="B2189"/>
  <c r="D2191"/>
  <c r="B2191"/>
  <c r="D2193"/>
  <c r="B2193"/>
  <c r="D2195"/>
  <c r="B2195"/>
  <c r="D2197"/>
  <c r="B2197"/>
  <c r="G7"/>
  <c r="B298"/>
  <c r="B300"/>
  <c r="B302"/>
  <c r="B304"/>
  <c r="B306"/>
  <c r="B308"/>
  <c r="B310"/>
  <c r="B312"/>
  <c r="B314"/>
  <c r="B316"/>
  <c r="B318"/>
  <c r="B320"/>
  <c r="B322"/>
  <c r="B324"/>
  <c r="B326"/>
  <c r="B328"/>
  <c r="B330"/>
  <c r="B332"/>
  <c r="B334"/>
  <c r="B336"/>
  <c r="B338"/>
  <c r="B340"/>
  <c r="B342"/>
  <c r="B344"/>
  <c r="B346"/>
  <c r="B348"/>
  <c r="B350"/>
  <c r="B352"/>
  <c r="B354"/>
  <c r="B356"/>
  <c r="B358"/>
  <c r="B360"/>
  <c r="B362"/>
  <c r="B364"/>
  <c r="B366"/>
  <c r="B368"/>
  <c r="B370"/>
  <c r="B372"/>
  <c r="B374"/>
  <c r="B376"/>
  <c r="B378"/>
  <c r="B380"/>
  <c r="B382"/>
  <c r="B384"/>
  <c r="B386"/>
  <c r="B388"/>
  <c r="B390"/>
  <c r="B392"/>
  <c r="B394"/>
  <c r="B396"/>
  <c r="B398"/>
  <c r="B400"/>
  <c r="B402"/>
  <c r="B404"/>
  <c r="B406"/>
  <c r="B408"/>
  <c r="B410"/>
  <c r="B412"/>
  <c r="B414"/>
  <c r="B416"/>
  <c r="B418"/>
  <c r="B420"/>
  <c r="B422"/>
  <c r="B424"/>
  <c r="B426"/>
  <c r="B428"/>
  <c r="B430"/>
  <c r="B432"/>
  <c r="B434"/>
  <c r="B436"/>
  <c r="B438"/>
  <c r="B440"/>
  <c r="B442"/>
  <c r="B444"/>
  <c r="B446"/>
  <c r="B448"/>
  <c r="B450"/>
  <c r="B452"/>
  <c r="B454"/>
  <c r="B456"/>
  <c r="B458"/>
  <c r="B460"/>
  <c r="B462"/>
  <c r="B464"/>
  <c r="B466"/>
  <c r="B468"/>
  <c r="B470"/>
  <c r="B472"/>
  <c r="B474"/>
  <c r="B476"/>
  <c r="B478"/>
  <c r="B480"/>
  <c r="B482"/>
  <c r="B484"/>
  <c r="B486"/>
  <c r="B488"/>
  <c r="B490"/>
  <c r="B492"/>
  <c r="B494"/>
  <c r="B496"/>
  <c r="B498"/>
  <c r="B500"/>
  <c r="B502"/>
  <c r="B504"/>
  <c r="B506"/>
  <c r="B508"/>
  <c r="B510"/>
  <c r="B512"/>
  <c r="B514"/>
  <c r="B516"/>
  <c r="B518"/>
  <c r="B520"/>
  <c r="B522"/>
  <c r="B524"/>
  <c r="B526"/>
  <c r="B528"/>
  <c r="B530"/>
  <c r="B532"/>
  <c r="B534"/>
  <c r="B536"/>
  <c r="B538"/>
  <c r="B540"/>
  <c r="B542"/>
  <c r="B544"/>
  <c r="B546"/>
  <c r="B548"/>
  <c r="B550"/>
  <c r="B552"/>
  <c r="B554"/>
  <c r="B556"/>
  <c r="B558"/>
  <c r="B560"/>
  <c r="B562"/>
  <c r="B564"/>
  <c r="B566"/>
  <c r="B568"/>
  <c r="B570"/>
  <c r="B572"/>
  <c r="B574"/>
  <c r="B576"/>
  <c r="B578"/>
  <c r="B580"/>
  <c r="B582"/>
  <c r="B584"/>
  <c r="B586"/>
  <c r="B588"/>
  <c r="B590"/>
  <c r="B592"/>
  <c r="B594"/>
  <c r="B596"/>
  <c r="B598"/>
  <c r="B600"/>
  <c r="B602"/>
  <c r="B604"/>
  <c r="B606"/>
  <c r="B608"/>
  <c r="B610"/>
  <c r="B612"/>
  <c r="B614"/>
  <c r="B616"/>
  <c r="B618"/>
  <c r="B620"/>
  <c r="B622"/>
  <c r="B624"/>
  <c r="B626"/>
  <c r="B628"/>
  <c r="B630"/>
  <c r="B632"/>
  <c r="B634"/>
  <c r="B636"/>
  <c r="B638"/>
  <c r="B640"/>
  <c r="B642"/>
  <c r="B644"/>
  <c r="B646"/>
  <c r="B648"/>
  <c r="B650"/>
  <c r="B652"/>
  <c r="B654"/>
  <c r="B656"/>
  <c r="B658"/>
  <c r="B660"/>
  <c r="B662"/>
  <c r="B664"/>
  <c r="B666"/>
  <c r="B668"/>
  <c r="B670"/>
  <c r="B672"/>
  <c r="B674"/>
  <c r="B676"/>
  <c r="B678"/>
  <c r="B680"/>
  <c r="B682"/>
  <c r="B684"/>
  <c r="B686"/>
  <c r="B688"/>
  <c r="B690"/>
  <c r="B692"/>
  <c r="B694"/>
  <c r="B696"/>
  <c r="B698"/>
  <c r="B700"/>
  <c r="B702"/>
  <c r="B704"/>
  <c r="B706"/>
  <c r="B708"/>
  <c r="B710"/>
  <c r="B712"/>
  <c r="B714"/>
  <c r="B716"/>
  <c r="B718"/>
  <c r="B720"/>
  <c r="B722"/>
  <c r="B724"/>
  <c r="B726"/>
  <c r="B728"/>
  <c r="B730"/>
  <c r="B732"/>
  <c r="B734"/>
  <c r="B736"/>
  <c r="B738"/>
  <c r="B740"/>
  <c r="B742"/>
  <c r="B744"/>
  <c r="B746"/>
  <c r="B748"/>
  <c r="B750"/>
  <c r="B752"/>
  <c r="B754"/>
  <c r="B756"/>
  <c r="B758"/>
  <c r="B760"/>
  <c r="B762"/>
  <c r="B764"/>
  <c r="B766"/>
  <c r="B768"/>
  <c r="B770"/>
  <c r="B772"/>
  <c r="B774"/>
  <c r="B776"/>
  <c r="B778"/>
  <c r="B780"/>
  <c r="B782"/>
  <c r="B784"/>
  <c r="B786"/>
  <c r="B788"/>
  <c r="B790"/>
  <c r="B792"/>
  <c r="B794"/>
  <c r="B796"/>
  <c r="B798"/>
  <c r="B800"/>
  <c r="B802"/>
  <c r="B804"/>
  <c r="B806"/>
  <c r="B808"/>
  <c r="B810"/>
  <c r="B812"/>
  <c r="B814"/>
  <c r="B816"/>
  <c r="B818"/>
  <c r="B820"/>
  <c r="B822"/>
  <c r="B824"/>
  <c r="B826"/>
  <c r="B828"/>
  <c r="B830"/>
  <c r="B832"/>
  <c r="B834"/>
  <c r="B836"/>
  <c r="B838"/>
  <c r="B840"/>
  <c r="B842"/>
  <c r="B844"/>
  <c r="B846"/>
  <c r="B848"/>
  <c r="B850"/>
  <c r="B852"/>
  <c r="B854"/>
  <c r="B856"/>
  <c r="B858"/>
  <c r="B860"/>
  <c r="B862"/>
  <c r="B864"/>
  <c r="B866"/>
  <c r="B868"/>
  <c r="B870"/>
  <c r="B872"/>
  <c r="B874"/>
  <c r="B876"/>
  <c r="B878"/>
  <c r="B880"/>
  <c r="B882"/>
  <c r="B884"/>
  <c r="B886"/>
  <c r="B888"/>
  <c r="B890"/>
  <c r="B892"/>
  <c r="B894"/>
  <c r="B896"/>
  <c r="B898"/>
  <c r="B900"/>
  <c r="B902"/>
  <c r="B904"/>
  <c r="B906"/>
  <c r="B908"/>
  <c r="B910"/>
  <c r="B912"/>
  <c r="B914"/>
  <c r="B916"/>
  <c r="B918"/>
  <c r="B920"/>
  <c r="B922"/>
  <c r="B924"/>
  <c r="B926"/>
  <c r="B928"/>
  <c r="B930"/>
  <c r="B932"/>
  <c r="B934"/>
  <c r="B936"/>
  <c r="B938"/>
  <c r="B940"/>
  <c r="B942"/>
  <c r="B944"/>
  <c r="B946"/>
  <c r="B948"/>
  <c r="B950"/>
  <c r="B952"/>
  <c r="B954"/>
  <c r="B956"/>
  <c r="B958"/>
  <c r="B960"/>
  <c r="B962"/>
  <c r="B964"/>
  <c r="B966"/>
  <c r="B968"/>
  <c r="B970"/>
  <c r="B972"/>
  <c r="B974"/>
  <c r="B976"/>
  <c r="B978"/>
  <c r="B980"/>
  <c r="B982"/>
  <c r="B984"/>
  <c r="B986"/>
  <c r="B988"/>
  <c r="B990"/>
  <c r="B992"/>
  <c r="B994"/>
  <c r="B996"/>
  <c r="B998"/>
  <c r="B1000"/>
  <c r="B1002"/>
  <c r="B1004"/>
  <c r="B1006"/>
  <c r="B1008"/>
  <c r="B1010"/>
  <c r="B1012"/>
  <c r="B1014"/>
  <c r="B1016"/>
  <c r="B1018"/>
  <c r="B1020"/>
  <c r="B1022"/>
  <c r="B1024"/>
  <c r="B1026"/>
  <c r="B1028"/>
  <c r="B1030"/>
  <c r="B1032"/>
  <c r="B1034"/>
  <c r="B1036"/>
  <c r="B1038"/>
  <c r="B1040"/>
  <c r="B1042"/>
  <c r="B1044"/>
  <c r="B1046"/>
  <c r="B1048"/>
  <c r="B1050"/>
  <c r="B1052"/>
  <c r="B1054"/>
  <c r="B1056"/>
  <c r="B1058"/>
  <c r="B1060"/>
  <c r="B1062"/>
  <c r="B1064"/>
  <c r="B1066"/>
  <c r="B1068"/>
  <c r="B1070"/>
  <c r="B1072"/>
  <c r="B1074"/>
  <c r="B1076"/>
  <c r="B1078"/>
  <c r="B1080"/>
  <c r="B1082"/>
  <c r="B1084"/>
  <c r="B1086"/>
  <c r="B1088"/>
  <c r="B1090"/>
  <c r="B1092"/>
  <c r="B1094"/>
  <c r="B1096"/>
  <c r="B1098"/>
  <c r="B1100"/>
  <c r="B1102"/>
  <c r="B1104"/>
  <c r="B1106"/>
  <c r="B1108"/>
  <c r="B1110"/>
  <c r="B1112"/>
  <c r="B1114"/>
  <c r="B1116"/>
  <c r="B1118"/>
  <c r="B1120"/>
  <c r="B1122"/>
  <c r="B1124"/>
  <c r="B1126"/>
  <c r="B1128"/>
  <c r="B1130"/>
  <c r="B1132"/>
  <c r="B1134"/>
  <c r="B1136"/>
  <c r="B1138"/>
  <c r="B1140"/>
  <c r="B1142"/>
  <c r="B1144"/>
  <c r="B1146"/>
  <c r="B1148"/>
  <c r="B1150"/>
  <c r="B1152"/>
  <c r="B1154"/>
  <c r="B1156"/>
  <c r="B1158"/>
  <c r="B1160"/>
  <c r="B1162"/>
  <c r="B1164"/>
  <c r="B1166"/>
  <c r="B1168"/>
  <c r="B1170"/>
  <c r="B1172"/>
  <c r="B1174"/>
  <c r="B1176"/>
  <c r="B1178"/>
  <c r="B1180"/>
  <c r="B1182"/>
  <c r="B1184"/>
  <c r="B1186"/>
  <c r="B1188"/>
  <c r="B1190"/>
  <c r="B1192"/>
  <c r="B1194"/>
  <c r="B1196"/>
  <c r="B1198"/>
  <c r="B1200"/>
  <c r="B1202"/>
  <c r="B1204"/>
  <c r="B1206"/>
  <c r="B1208"/>
  <c r="B1210"/>
  <c r="B1212"/>
  <c r="B1214"/>
  <c r="B1216"/>
  <c r="B1218"/>
  <c r="B1220"/>
  <c r="B1222"/>
  <c r="B1224"/>
  <c r="B1226"/>
  <c r="B1228"/>
  <c r="B1230"/>
  <c r="B1232"/>
  <c r="B1234"/>
  <c r="B1236"/>
  <c r="B1238"/>
  <c r="B1240"/>
  <c r="B1242"/>
  <c r="B1244"/>
  <c r="B1246"/>
  <c r="B1248"/>
  <c r="B1250"/>
  <c r="B1252"/>
  <c r="B1254"/>
  <c r="B1256"/>
  <c r="B1258"/>
  <c r="B1260"/>
  <c r="B1262"/>
  <c r="B1264"/>
  <c r="B1266"/>
  <c r="B1268"/>
  <c r="B1270"/>
  <c r="B1272"/>
  <c r="B1274"/>
  <c r="B1276"/>
  <c r="B1278"/>
  <c r="B1280"/>
  <c r="B1282"/>
  <c r="B1284"/>
  <c r="B1286"/>
  <c r="B1288"/>
  <c r="B1290"/>
  <c r="B1292"/>
  <c r="B1294"/>
  <c r="B1296"/>
  <c r="B1298"/>
  <c r="B1300"/>
  <c r="B1302"/>
  <c r="B1304"/>
  <c r="B1306"/>
  <c r="B1308"/>
  <c r="B1310"/>
  <c r="B1312"/>
  <c r="B1314"/>
  <c r="B1316"/>
  <c r="B1318"/>
  <c r="B1320"/>
  <c r="B1322"/>
  <c r="B1324"/>
  <c r="B1326"/>
  <c r="B1328"/>
  <c r="B1330"/>
  <c r="B1332"/>
  <c r="B1334"/>
  <c r="B1336"/>
  <c r="B1338"/>
  <c r="B1340"/>
  <c r="B1342"/>
  <c r="B1344"/>
  <c r="B1346"/>
  <c r="B1348"/>
  <c r="B1350"/>
  <c r="B1352"/>
  <c r="B1354"/>
  <c r="B1356"/>
  <c r="B1358"/>
  <c r="B1360"/>
  <c r="B1362"/>
  <c r="B1364"/>
  <c r="B1366"/>
  <c r="B1368"/>
  <c r="B1370"/>
  <c r="B1372"/>
  <c r="B1374"/>
  <c r="B1376"/>
  <c r="B1378"/>
  <c r="B1380"/>
  <c r="B1382"/>
  <c r="B1384"/>
  <c r="B1386"/>
  <c r="B1388"/>
  <c r="B1390"/>
  <c r="B1392"/>
  <c r="B1394"/>
  <c r="B1396"/>
  <c r="B1398"/>
  <c r="B1400"/>
  <c r="B1402"/>
  <c r="B1404"/>
  <c r="B1406"/>
  <c r="B1408"/>
  <c r="B1410"/>
  <c r="B1412"/>
  <c r="B1414"/>
  <c r="B1416"/>
  <c r="B1418"/>
  <c r="B1420"/>
  <c r="B1422"/>
  <c r="B1424"/>
  <c r="B1426"/>
  <c r="B1428"/>
  <c r="B1430"/>
  <c r="B1432"/>
  <c r="B1434"/>
  <c r="B1436"/>
  <c r="B1438"/>
  <c r="B1440"/>
  <c r="B1442"/>
  <c r="B1444"/>
  <c r="B1446"/>
  <c r="B1448"/>
  <c r="B1450"/>
  <c r="B1452"/>
  <c r="B1454"/>
  <c r="B1456"/>
  <c r="B1458"/>
  <c r="B1460"/>
  <c r="B1462"/>
  <c r="B1464"/>
  <c r="B1466"/>
  <c r="B1468"/>
  <c r="B1470"/>
  <c r="B1472"/>
  <c r="B1474"/>
  <c r="B1476"/>
  <c r="B1478"/>
  <c r="B1480"/>
  <c r="B1482"/>
  <c r="B1484"/>
  <c r="B1486"/>
  <c r="B1488"/>
  <c r="B1490"/>
  <c r="B1492"/>
  <c r="B1494"/>
  <c r="B1496"/>
  <c r="B1498"/>
  <c r="B1500"/>
  <c r="B1502"/>
  <c r="B1504"/>
  <c r="B1506"/>
  <c r="B1508"/>
  <c r="B1510"/>
  <c r="B1512"/>
  <c r="B1514"/>
  <c r="B1516"/>
  <c r="B1518"/>
  <c r="B1520"/>
  <c r="B1522"/>
  <c r="B1524"/>
  <c r="B1526"/>
  <c r="B1528"/>
  <c r="B1530"/>
  <c r="B1532"/>
  <c r="B1534"/>
  <c r="B1536"/>
  <c r="B1538"/>
  <c r="B1540"/>
  <c r="B1542"/>
  <c r="B1544"/>
  <c r="B1546"/>
  <c r="B1548"/>
  <c r="B1550"/>
  <c r="B1552"/>
  <c r="B1554"/>
  <c r="B1556"/>
  <c r="B1558"/>
  <c r="B1560"/>
  <c r="B1562"/>
  <c r="B1564"/>
  <c r="B1566"/>
  <c r="B1568"/>
  <c r="B1570"/>
  <c r="B1572"/>
  <c r="B1574"/>
  <c r="B1576"/>
  <c r="B1578"/>
  <c r="B1580"/>
  <c r="B1582"/>
  <c r="B1584"/>
  <c r="B1586"/>
  <c r="B1588"/>
  <c r="B1590"/>
  <c r="B1592"/>
  <c r="B1594"/>
  <c r="B1596"/>
  <c r="B1598"/>
  <c r="B1600"/>
  <c r="B1602"/>
  <c r="B1604"/>
  <c r="B1606"/>
  <c r="B1608"/>
  <c r="B1610"/>
  <c r="B1612"/>
  <c r="B1614"/>
  <c r="B1616"/>
  <c r="B1618"/>
  <c r="B1620"/>
  <c r="B1622"/>
  <c r="B1624"/>
  <c r="B1626"/>
  <c r="B1628"/>
  <c r="B1630"/>
  <c r="B1632"/>
  <c r="B1634"/>
  <c r="B1636"/>
  <c r="B1638"/>
  <c r="B1640"/>
  <c r="B1642"/>
  <c r="B1644"/>
  <c r="B1646"/>
  <c r="B1648"/>
  <c r="B1650"/>
  <c r="B1652"/>
  <c r="B1654"/>
  <c r="B1656"/>
  <c r="B1658"/>
  <c r="B1660"/>
  <c r="B1662"/>
  <c r="B1664"/>
  <c r="B1666"/>
  <c r="B1668"/>
  <c r="B1670"/>
  <c r="B1672"/>
  <c r="B1674"/>
  <c r="B1676"/>
  <c r="B1678"/>
  <c r="B1680"/>
  <c r="B1682"/>
  <c r="B1684"/>
  <c r="B1686"/>
  <c r="B1688"/>
  <c r="B1690"/>
  <c r="B1692"/>
  <c r="B1694"/>
  <c r="B1696"/>
  <c r="B1698"/>
  <c r="B1700"/>
  <c r="B1702"/>
  <c r="B1704"/>
  <c r="B1706"/>
  <c r="B1708"/>
  <c r="B1710"/>
  <c r="B1712"/>
  <c r="B1714"/>
  <c r="B1716"/>
  <c r="B1718"/>
  <c r="B1720"/>
  <c r="B1722"/>
  <c r="B1724"/>
  <c r="B1726"/>
  <c r="B1728"/>
  <c r="B1730"/>
  <c r="B1732"/>
  <c r="B1734"/>
  <c r="B1736"/>
  <c r="B1738"/>
  <c r="B1740"/>
  <c r="B1742"/>
  <c r="B1744"/>
  <c r="B1746"/>
  <c r="B1748"/>
  <c r="B1750"/>
  <c r="B1752"/>
  <c r="B1754"/>
  <c r="B1756"/>
  <c r="B1758"/>
  <c r="B1760"/>
  <c r="B1762"/>
  <c r="B1764"/>
  <c r="B1766"/>
  <c r="B1768"/>
  <c r="B1770"/>
  <c r="B1772"/>
  <c r="B1774"/>
  <c r="B1776"/>
  <c r="B1778"/>
  <c r="B1780"/>
  <c r="B1782"/>
  <c r="B1784"/>
  <c r="B1786"/>
  <c r="B1788"/>
  <c r="B1790"/>
  <c r="B1792"/>
  <c r="B1794"/>
  <c r="B1796"/>
  <c r="B1798"/>
  <c r="B1800"/>
  <c r="B1802"/>
  <c r="B1804"/>
  <c r="B1806"/>
  <c r="B1808"/>
  <c r="B1810"/>
  <c r="B1812"/>
  <c r="B1814"/>
  <c r="B1816"/>
  <c r="B1818"/>
  <c r="B1820"/>
  <c r="B1822"/>
  <c r="B1824"/>
  <c r="B1826"/>
  <c r="B1828"/>
  <c r="B1830"/>
  <c r="B1832"/>
  <c r="B1834"/>
  <c r="B1836"/>
  <c r="B1838"/>
  <c r="B1840"/>
  <c r="B1842"/>
  <c r="B1844"/>
  <c r="B1846"/>
  <c r="B1848"/>
  <c r="B1850"/>
  <c r="B1852"/>
  <c r="B1854"/>
  <c r="B1856"/>
  <c r="B1858"/>
  <c r="B1860"/>
  <c r="B1862"/>
  <c r="B1864"/>
  <c r="B1866"/>
  <c r="B1868"/>
  <c r="B1870"/>
  <c r="B1872"/>
  <c r="B1874"/>
  <c r="B1876"/>
  <c r="B1878"/>
  <c r="B1880"/>
  <c r="G3" i="20"/>
  <c r="G45" i="37"/>
  <c r="G49"/>
  <c r="G114"/>
  <c r="Y4" i="22"/>
  <c r="M5" i="5"/>
  <c r="L7"/>
  <c r="M8"/>
  <c r="L9"/>
  <c r="M10"/>
  <c r="L11"/>
  <c r="L12"/>
  <c r="L13"/>
  <c r="L14"/>
  <c r="L15"/>
  <c r="L16"/>
  <c r="L17"/>
  <c r="M18"/>
  <c r="L19"/>
  <c r="M20"/>
  <c r="L21"/>
  <c r="M22"/>
  <c r="L23"/>
  <c r="M24"/>
  <c r="M26"/>
  <c r="L27"/>
  <c r="M28"/>
  <c r="L29"/>
  <c r="M30"/>
  <c r="L31"/>
  <c r="M32"/>
  <c r="L33"/>
  <c r="M34"/>
  <c r="L35"/>
  <c r="L36"/>
  <c r="M37"/>
  <c r="L38"/>
  <c r="M39"/>
  <c r="L40"/>
  <c r="M41"/>
  <c r="L42"/>
  <c r="L44"/>
  <c r="M45"/>
  <c r="E106" i="40"/>
  <c r="L46" i="5"/>
  <c r="M47"/>
  <c r="L48"/>
  <c r="M49"/>
  <c r="L50"/>
  <c r="M51"/>
  <c r="L52"/>
  <c r="M53"/>
  <c r="L54"/>
  <c r="M55"/>
  <c r="L56"/>
  <c r="G107" i="40"/>
  <c r="M57" i="5"/>
  <c r="L58"/>
  <c r="M59"/>
  <c r="L60"/>
  <c r="M61"/>
  <c r="L62"/>
  <c r="M63"/>
  <c r="L64"/>
  <c r="M65"/>
  <c r="L66"/>
  <c r="M67"/>
  <c r="L68"/>
  <c r="M69"/>
  <c r="L70"/>
  <c r="M71"/>
  <c r="L72"/>
  <c r="M73"/>
  <c r="L74"/>
  <c r="M75"/>
  <c r="L76"/>
  <c r="M77"/>
  <c r="L78"/>
  <c r="M79"/>
  <c r="L80"/>
  <c r="M81"/>
  <c r="L82"/>
  <c r="M83"/>
  <c r="L84"/>
  <c r="L85"/>
  <c r="L86"/>
  <c r="M87"/>
  <c r="L88"/>
  <c r="M89"/>
  <c r="L90"/>
  <c r="M91"/>
  <c r="L92"/>
  <c r="M93"/>
  <c r="L94"/>
  <c r="M95"/>
  <c r="L96"/>
  <c r="M97"/>
  <c r="L98"/>
  <c r="M99"/>
  <c r="L100"/>
  <c r="M101"/>
  <c r="L102"/>
  <c r="M103"/>
  <c r="L104"/>
  <c r="M105"/>
  <c r="M106"/>
  <c r="L107"/>
  <c r="L108"/>
  <c r="M109"/>
  <c r="M110"/>
  <c r="L111"/>
  <c r="L112"/>
  <c r="M113"/>
  <c r="M114"/>
  <c r="M115"/>
  <c r="L116"/>
  <c r="M117"/>
  <c r="M118"/>
  <c r="L119"/>
  <c r="M120"/>
  <c r="L121"/>
  <c r="M122"/>
  <c r="L123"/>
  <c r="M124"/>
  <c r="L125"/>
  <c r="M126"/>
  <c r="L127"/>
  <c r="M128"/>
  <c r="L129"/>
  <c r="M130"/>
  <c r="L131"/>
  <c r="M132"/>
  <c r="L133"/>
  <c r="M134"/>
  <c r="L135"/>
  <c r="M136"/>
  <c r="L137"/>
  <c r="M138"/>
  <c r="M140"/>
  <c r="L141"/>
  <c r="M142"/>
  <c r="L143"/>
  <c r="M144"/>
  <c r="L145"/>
  <c r="M146"/>
  <c r="L147"/>
  <c r="M148"/>
  <c r="L149"/>
  <c r="M150"/>
  <c r="L151"/>
  <c r="M152"/>
  <c r="L153"/>
  <c r="M154"/>
  <c r="L155"/>
  <c r="M156"/>
  <c r="L157"/>
  <c r="M158"/>
  <c r="L159"/>
  <c r="M160"/>
  <c r="L161"/>
  <c r="M162"/>
  <c r="L163"/>
  <c r="M164"/>
  <c r="L165"/>
  <c r="M166"/>
  <c r="L167"/>
  <c r="M168"/>
  <c r="L169"/>
  <c r="M170"/>
  <c r="L171"/>
  <c r="M172"/>
  <c r="M174"/>
  <c r="L175"/>
  <c r="M176"/>
  <c r="L177"/>
  <c r="M178"/>
  <c r="L179"/>
  <c r="M180"/>
  <c r="L181"/>
  <c r="M182"/>
  <c r="L183"/>
  <c r="M184"/>
  <c r="L185"/>
  <c r="M186"/>
  <c r="L187"/>
  <c r="M188"/>
  <c r="L189"/>
  <c r="M190"/>
  <c r="M191"/>
  <c r="M192"/>
  <c r="M193"/>
  <c r="M194"/>
  <c r="M195"/>
  <c r="M196"/>
  <c r="M197"/>
  <c r="M198"/>
  <c r="M199"/>
  <c r="M200"/>
  <c r="M201"/>
  <c r="M202"/>
  <c r="M203"/>
  <c r="M204"/>
  <c r="M205"/>
  <c r="M206"/>
  <c r="M207"/>
  <c r="M208"/>
  <c r="M209"/>
  <c r="M210"/>
  <c r="M211"/>
  <c r="M212"/>
  <c r="M213"/>
  <c r="M214"/>
  <c r="M215"/>
  <c r="K218"/>
  <c r="K220" i="8"/>
  <c r="K219"/>
  <c r="K218"/>
  <c r="K219" i="7"/>
  <c r="K218"/>
  <c r="K220"/>
  <c r="K219" i="6"/>
  <c r="K218"/>
  <c r="K220"/>
  <c r="M38" i="37"/>
  <c r="M40"/>
  <c r="M42"/>
  <c r="M44"/>
  <c r="L5" i="5"/>
  <c r="L8"/>
  <c r="L10"/>
  <c r="M11"/>
  <c r="M12"/>
  <c r="M13"/>
  <c r="M14"/>
  <c r="M15"/>
  <c r="M16"/>
  <c r="L18"/>
  <c r="L20"/>
  <c r="L22"/>
  <c r="L24"/>
  <c r="L26"/>
  <c r="L28"/>
  <c r="L30"/>
  <c r="L32"/>
  <c r="L34"/>
  <c r="M36"/>
  <c r="L37"/>
  <c r="M38"/>
  <c r="L39"/>
  <c r="L41"/>
  <c r="L43"/>
  <c r="L45"/>
  <c r="M46"/>
  <c r="L47"/>
  <c r="L49"/>
  <c r="L51"/>
  <c r="L53"/>
  <c r="L55"/>
  <c r="L57"/>
  <c r="L59"/>
  <c r="L61"/>
  <c r="M62"/>
  <c r="L63"/>
  <c r="L65"/>
  <c r="L67"/>
  <c r="L69"/>
  <c r="L71"/>
  <c r="L73"/>
  <c r="L75"/>
  <c r="L77"/>
  <c r="L79"/>
  <c r="L81"/>
  <c r="L83"/>
  <c r="M85"/>
  <c r="M86"/>
  <c r="L87"/>
  <c r="M88"/>
  <c r="L89"/>
  <c r="L91"/>
  <c r="L93"/>
  <c r="L95"/>
  <c r="L97"/>
  <c r="L99"/>
  <c r="L101"/>
  <c r="L103"/>
  <c r="L105"/>
  <c r="L106"/>
  <c r="L109"/>
  <c r="L110"/>
  <c r="L113"/>
  <c r="L114"/>
  <c r="L115"/>
  <c r="L117"/>
  <c r="L118"/>
  <c r="L120"/>
  <c r="L122"/>
  <c r="L124"/>
  <c r="L126"/>
  <c r="L128"/>
  <c r="L130"/>
  <c r="L132"/>
  <c r="L134"/>
  <c r="L136"/>
  <c r="L138"/>
  <c r="L140"/>
  <c r="L142"/>
  <c r="L144"/>
  <c r="L146"/>
  <c r="L148"/>
  <c r="L150"/>
  <c r="L152"/>
  <c r="L154"/>
  <c r="L156"/>
  <c r="L158"/>
  <c r="L160"/>
  <c r="L162"/>
  <c r="L164"/>
  <c r="L166"/>
  <c r="L168"/>
  <c r="L170"/>
  <c r="L172"/>
  <c r="L174"/>
  <c r="L176"/>
  <c r="L178"/>
  <c r="L180"/>
  <c r="L182"/>
  <c r="L184"/>
  <c r="L186"/>
  <c r="L188"/>
  <c r="L190"/>
  <c r="L191"/>
  <c r="L192"/>
  <c r="L193"/>
  <c r="L194"/>
  <c r="L195"/>
  <c r="L196"/>
  <c r="L197"/>
  <c r="L198"/>
  <c r="L199"/>
  <c r="L200"/>
  <c r="L201"/>
  <c r="L202"/>
  <c r="L203"/>
  <c r="L204"/>
  <c r="L205"/>
  <c r="L206"/>
  <c r="L207"/>
  <c r="L208"/>
  <c r="L209"/>
  <c r="L210"/>
  <c r="L211"/>
  <c r="L212"/>
  <c r="L213"/>
  <c r="L214"/>
  <c r="V218"/>
  <c r="V219"/>
  <c r="K220"/>
  <c r="F5" i="8"/>
  <c r="F139" s="1"/>
  <c r="F217" s="1"/>
  <c r="P139" i="7"/>
  <c r="P217" s="1"/>
  <c r="L16" i="12"/>
  <c r="C27"/>
  <c r="J16"/>
  <c r="D30" i="10"/>
  <c r="D68" s="1"/>
  <c r="Q22" i="38"/>
  <c r="H22"/>
  <c r="I7" i="13"/>
  <c r="I34"/>
  <c r="I47"/>
  <c r="Q20" i="38"/>
  <c r="H20"/>
  <c r="Q24"/>
  <c r="H659" i="39"/>
  <c r="H660" s="1"/>
  <c r="H665" s="1"/>
  <c r="H693" s="1"/>
  <c r="H703" s="1"/>
  <c r="H705" s="1"/>
  <c r="H712" s="1"/>
  <c r="H636"/>
  <c r="H634" s="1"/>
  <c r="H781"/>
  <c r="H782" s="1"/>
  <c r="H787" s="1"/>
  <c r="H815" s="1"/>
  <c r="H825" s="1"/>
  <c r="H827" s="1"/>
  <c r="H834" s="1"/>
  <c r="H758"/>
  <c r="H756" s="1"/>
  <c r="H903"/>
  <c r="H904" s="1"/>
  <c r="H909" s="1"/>
  <c r="H937" s="1"/>
  <c r="H947" s="1"/>
  <c r="H949" s="1"/>
  <c r="H956" s="1"/>
  <c r="H880"/>
  <c r="H878" s="1"/>
  <c r="H1025"/>
  <c r="H1026" s="1"/>
  <c r="H1031" s="1"/>
  <c r="H1059" s="1"/>
  <c r="H1069" s="1"/>
  <c r="H1071" s="1"/>
  <c r="H1078" s="1"/>
  <c r="H1002"/>
  <c r="H1000" s="1"/>
  <c r="H1147"/>
  <c r="H1148" s="1"/>
  <c r="H1153" s="1"/>
  <c r="H1181" s="1"/>
  <c r="H1191" s="1"/>
  <c r="H1193" s="1"/>
  <c r="H1200" s="1"/>
  <c r="H1124"/>
  <c r="H1122" s="1"/>
  <c r="H1269"/>
  <c r="H1270" s="1"/>
  <c r="H1275" s="1"/>
  <c r="H1303" s="1"/>
  <c r="H1313" s="1"/>
  <c r="H1315" s="1"/>
  <c r="H1322" s="1"/>
  <c r="H1246"/>
  <c r="H1244" s="1"/>
  <c r="H1391"/>
  <c r="H1392" s="1"/>
  <c r="H1397" s="1"/>
  <c r="H1425" s="1"/>
  <c r="H1435" s="1"/>
  <c r="H1368"/>
  <c r="H1366" s="1"/>
  <c r="H28" i="38"/>
  <c r="H30"/>
  <c r="H32"/>
  <c r="H34"/>
  <c r="H36"/>
  <c r="H38"/>
  <c r="H40"/>
  <c r="H42"/>
  <c r="J42" s="1"/>
  <c r="K42" s="1"/>
  <c r="N42" s="1"/>
  <c r="H44"/>
  <c r="O4" i="39"/>
  <c r="M16"/>
  <c r="C108" i="40"/>
  <c r="K112"/>
  <c r="J161"/>
  <c r="H171" i="39"/>
  <c r="H172" s="1"/>
  <c r="H177" s="1"/>
  <c r="H205" s="1"/>
  <c r="H215" s="1"/>
  <c r="H217" s="1"/>
  <c r="H224" s="1"/>
  <c r="H148"/>
  <c r="H146" s="1"/>
  <c r="H293"/>
  <c r="H294" s="1"/>
  <c r="H299" s="1"/>
  <c r="H327" s="1"/>
  <c r="H337" s="1"/>
  <c r="H339" s="1"/>
  <c r="H346" s="1"/>
  <c r="H270"/>
  <c r="H268" s="1"/>
  <c r="H537"/>
  <c r="H538" s="1"/>
  <c r="H543" s="1"/>
  <c r="H571" s="1"/>
  <c r="H581" s="1"/>
  <c r="H583" s="1"/>
  <c r="H590" s="1"/>
  <c r="H514"/>
  <c r="H512" s="1"/>
  <c r="K105" i="40"/>
  <c r="N105" s="1"/>
  <c r="I112"/>
  <c r="H150"/>
  <c r="J150"/>
  <c r="L150"/>
  <c r="N152"/>
  <c r="Q152" s="1"/>
  <c r="I163"/>
  <c r="K163"/>
  <c r="M163"/>
  <c r="J334"/>
  <c r="N137"/>
  <c r="J89" i="20"/>
  <c r="K89"/>
  <c r="P88"/>
  <c r="M88"/>
  <c r="N88"/>
  <c r="H89"/>
  <c r="N89"/>
  <c r="H88"/>
  <c r="K88"/>
  <c r="J88"/>
  <c r="I89" l="1"/>
  <c r="Q89"/>
  <c r="H13" i="27"/>
  <c r="E10"/>
  <c r="H12"/>
  <c r="J139" i="5"/>
  <c r="L25"/>
  <c r="L4"/>
  <c r="J216"/>
  <c r="K139"/>
  <c r="D10" i="27"/>
  <c r="D17" s="1"/>
  <c r="H1437" i="39"/>
  <c r="H1444" s="1"/>
  <c r="L6" i="5"/>
  <c r="S6" s="1"/>
  <c r="H108" i="40"/>
  <c r="H26" i="39"/>
  <c r="H24" s="1"/>
  <c r="Q142" i="33"/>
  <c r="I1"/>
  <c r="N219" i="8" s="1"/>
  <c r="J216" i="7"/>
  <c r="J217" i="5"/>
  <c r="Y5" i="22"/>
  <c r="I19" i="13"/>
  <c r="J19" s="1"/>
  <c r="F52"/>
  <c r="F53" s="1"/>
  <c r="E52"/>
  <c r="K217" i="8"/>
  <c r="M318" i="22"/>
  <c r="N356"/>
  <c r="N364"/>
  <c r="I153" i="38"/>
  <c r="K283" i="22"/>
  <c r="L283" s="1"/>
  <c r="I189" i="38"/>
  <c r="J350" i="22"/>
  <c r="P318"/>
  <c r="P420"/>
  <c r="M420"/>
  <c r="P411"/>
  <c r="M411"/>
  <c r="P385"/>
  <c r="M385"/>
  <c r="P417"/>
  <c r="M417"/>
  <c r="P391"/>
  <c r="M391"/>
  <c r="P383"/>
  <c r="M383"/>
  <c r="P423"/>
  <c r="M423"/>
  <c r="P422"/>
  <c r="M422"/>
  <c r="P392"/>
  <c r="M392"/>
  <c r="P419"/>
  <c r="M419"/>
  <c r="P384"/>
  <c r="M384"/>
  <c r="P388"/>
  <c r="M388"/>
  <c r="P412"/>
  <c r="M412"/>
  <c r="P416"/>
  <c r="M416"/>
  <c r="P421"/>
  <c r="M421"/>
  <c r="N362"/>
  <c r="N358"/>
  <c r="I208" i="38"/>
  <c r="L205"/>
  <c r="I348" i="22"/>
  <c r="F148" i="38"/>
  <c r="P415" i="22"/>
  <c r="M415"/>
  <c r="P389"/>
  <c r="M389"/>
  <c r="P379"/>
  <c r="M379"/>
  <c r="P413"/>
  <c r="M413"/>
  <c r="P387"/>
  <c r="M387"/>
  <c r="P381"/>
  <c r="M381"/>
  <c r="P382"/>
  <c r="M382"/>
  <c r="K393"/>
  <c r="L378"/>
  <c r="K424"/>
  <c r="L410"/>
  <c r="P380"/>
  <c r="M380"/>
  <c r="P386"/>
  <c r="M386"/>
  <c r="P390"/>
  <c r="M390"/>
  <c r="P414"/>
  <c r="M414"/>
  <c r="P418"/>
  <c r="M418"/>
  <c r="N349"/>
  <c r="N368"/>
  <c r="N365"/>
  <c r="N361"/>
  <c r="N351"/>
  <c r="N369"/>
  <c r="N367"/>
  <c r="N360"/>
  <c r="I373"/>
  <c r="L220"/>
  <c r="L216"/>
  <c r="L212"/>
  <c r="F153" i="38"/>
  <c r="F131"/>
  <c r="P453" i="22"/>
  <c r="M453"/>
  <c r="P452"/>
  <c r="M452"/>
  <c r="P448"/>
  <c r="M448"/>
  <c r="P449"/>
  <c r="M449"/>
  <c r="P445"/>
  <c r="M445"/>
  <c r="M441"/>
  <c r="P441"/>
  <c r="M442"/>
  <c r="P442"/>
  <c r="I201" i="38"/>
  <c r="I211"/>
  <c r="I193"/>
  <c r="I192"/>
  <c r="I191"/>
  <c r="I186"/>
  <c r="F151"/>
  <c r="F146"/>
  <c r="F140"/>
  <c r="F137"/>
  <c r="F152"/>
  <c r="F147"/>
  <c r="H147" s="1"/>
  <c r="F142"/>
  <c r="F134"/>
  <c r="F143"/>
  <c r="F139"/>
  <c r="F136"/>
  <c r="I205"/>
  <c r="F150"/>
  <c r="F186"/>
  <c r="K454" i="22"/>
  <c r="L440"/>
  <c r="P450"/>
  <c r="M450"/>
  <c r="M443"/>
  <c r="P443"/>
  <c r="P447"/>
  <c r="M447"/>
  <c r="P451"/>
  <c r="M451"/>
  <c r="P444"/>
  <c r="M444"/>
  <c r="P446"/>
  <c r="M446"/>
  <c r="N355"/>
  <c r="O142"/>
  <c r="O138"/>
  <c r="O125"/>
  <c r="O65"/>
  <c r="O61"/>
  <c r="I198" i="38"/>
  <c r="I196"/>
  <c r="I194"/>
  <c r="F154"/>
  <c r="F144"/>
  <c r="H144" s="1"/>
  <c r="F133"/>
  <c r="F155"/>
  <c r="F149"/>
  <c r="H149" s="1"/>
  <c r="F145"/>
  <c r="F135"/>
  <c r="F156"/>
  <c r="F141"/>
  <c r="F138"/>
  <c r="L208"/>
  <c r="I210"/>
  <c r="I203"/>
  <c r="I199"/>
  <c r="I195"/>
  <c r="I188"/>
  <c r="I204"/>
  <c r="I190"/>
  <c r="I209"/>
  <c r="I206"/>
  <c r="F132"/>
  <c r="F187"/>
  <c r="F343" i="22"/>
  <c r="F469"/>
  <c r="F471" s="1"/>
  <c r="K325"/>
  <c r="I207" i="38"/>
  <c r="K321" i="22"/>
  <c r="K317"/>
  <c r="I197" i="38"/>
  <c r="K326" i="22"/>
  <c r="L322"/>
  <c r="K320"/>
  <c r="J217" i="7"/>
  <c r="N220"/>
  <c r="U220" s="1"/>
  <c r="B16" i="38"/>
  <c r="B71"/>
  <c r="B127"/>
  <c r="U219" i="8"/>
  <c r="L88" i="20"/>
  <c r="O88"/>
  <c r="I88"/>
  <c r="S88"/>
  <c r="Q88"/>
  <c r="N219" i="6"/>
  <c r="U219" s="1"/>
  <c r="M1514" i="33"/>
  <c r="M1513"/>
  <c r="G70" i="40"/>
  <c r="J70" s="1"/>
  <c r="P5" i="39"/>
  <c r="H344" s="1"/>
  <c r="H186" i="38"/>
  <c r="J186" s="1"/>
  <c r="K186" s="1"/>
  <c r="O167" i="22"/>
  <c r="O28"/>
  <c r="O15"/>
  <c r="O7"/>
  <c r="O22"/>
  <c r="O17"/>
  <c r="K217" i="6"/>
  <c r="J216"/>
  <c r="J217" s="1"/>
  <c r="K107" i="40"/>
  <c r="K106"/>
  <c r="N219" i="7"/>
  <c r="U219" s="1"/>
  <c r="O29" i="22"/>
  <c r="L27" i="38"/>
  <c r="L11" i="22"/>
  <c r="P11" s="1"/>
  <c r="L9"/>
  <c r="P9" s="1"/>
  <c r="O13"/>
  <c r="F209" i="38"/>
  <c r="H209" s="1"/>
  <c r="F199"/>
  <c r="H199" s="1"/>
  <c r="F196"/>
  <c r="H196" s="1"/>
  <c r="F194"/>
  <c r="H194" s="1"/>
  <c r="F189"/>
  <c r="H189" s="1"/>
  <c r="F190"/>
  <c r="H190" s="1"/>
  <c r="J190" s="1"/>
  <c r="K190" s="1"/>
  <c r="F208"/>
  <c r="H208" s="1"/>
  <c r="J208" s="1"/>
  <c r="K208" s="1"/>
  <c r="F211"/>
  <c r="H211" s="1"/>
  <c r="F193"/>
  <c r="H193" s="1"/>
  <c r="J193" s="1"/>
  <c r="K193" s="1"/>
  <c r="F192"/>
  <c r="H192" s="1"/>
  <c r="J192" s="1"/>
  <c r="K192" s="1"/>
  <c r="F210"/>
  <c r="H210" s="1"/>
  <c r="F204"/>
  <c r="H204" s="1"/>
  <c r="J204" s="1"/>
  <c r="K204" s="1"/>
  <c r="F198"/>
  <c r="H198" s="1"/>
  <c r="J198" s="1"/>
  <c r="K198" s="1"/>
  <c r="F195"/>
  <c r="H195" s="1"/>
  <c r="F191"/>
  <c r="H191" s="1"/>
  <c r="F207"/>
  <c r="H207" s="1"/>
  <c r="F206"/>
  <c r="H206" s="1"/>
  <c r="J206" s="1"/>
  <c r="K206" s="1"/>
  <c r="F203"/>
  <c r="H203" s="1"/>
  <c r="F201"/>
  <c r="H201" s="1"/>
  <c r="J201" s="1"/>
  <c r="K201" s="1"/>
  <c r="F197"/>
  <c r="H197" s="1"/>
  <c r="F188"/>
  <c r="H188" s="1"/>
  <c r="J188" s="1"/>
  <c r="K188" s="1"/>
  <c r="F205"/>
  <c r="H205" s="1"/>
  <c r="J205" s="1"/>
  <c r="N1" i="21"/>
  <c r="O429"/>
  <c r="P429" s="1"/>
  <c r="P435"/>
  <c r="O435"/>
  <c r="I33" i="13"/>
  <c r="K217" i="7"/>
  <c r="O40" i="4"/>
  <c r="O36"/>
  <c r="J217" i="8"/>
  <c r="K217" i="5"/>
  <c r="G4" i="33"/>
  <c r="L219" i="8" s="1"/>
  <c r="S219" s="1"/>
  <c r="Z219" s="1"/>
  <c r="I6" i="13"/>
  <c r="R215" i="5"/>
  <c r="O314" i="22"/>
  <c r="K312"/>
  <c r="O325"/>
  <c r="O321"/>
  <c r="O317"/>
  <c r="O326"/>
  <c r="O322"/>
  <c r="O318"/>
  <c r="I328"/>
  <c r="O327"/>
  <c r="J210" i="38"/>
  <c r="K210" s="1"/>
  <c r="K313" i="22"/>
  <c r="L325"/>
  <c r="K323"/>
  <c r="L321"/>
  <c r="K319"/>
  <c r="L317"/>
  <c r="P317" s="1"/>
  <c r="K315"/>
  <c r="L326"/>
  <c r="K324"/>
  <c r="L189" i="38"/>
  <c r="C8" i="35"/>
  <c r="C8" i="36"/>
  <c r="G7" i="23"/>
  <c r="M1181" i="33"/>
  <c r="M1223"/>
  <c r="M1251"/>
  <c r="M1018"/>
  <c r="M932"/>
  <c r="M943"/>
  <c r="M957"/>
  <c r="M1023"/>
  <c r="M1125"/>
  <c r="M1075"/>
  <c r="M918"/>
  <c r="M916"/>
  <c r="M438"/>
  <c r="M846"/>
  <c r="M436"/>
  <c r="M844"/>
  <c r="M815"/>
  <c r="M819"/>
  <c r="M758"/>
  <c r="M762"/>
  <c r="M705"/>
  <c r="M703"/>
  <c r="M701"/>
  <c r="M699"/>
  <c r="M581"/>
  <c r="M579"/>
  <c r="M577"/>
  <c r="M575"/>
  <c r="M660"/>
  <c r="M443"/>
  <c r="M441"/>
  <c r="M1407"/>
  <c r="M1405"/>
  <c r="M1403"/>
  <c r="M1401"/>
  <c r="M1291"/>
  <c r="M1287"/>
  <c r="M1285"/>
  <c r="M1283"/>
  <c r="M1446"/>
  <c r="M1444"/>
  <c r="M1442"/>
  <c r="M1364"/>
  <c r="M1306"/>
  <c r="M1304"/>
  <c r="M1302"/>
  <c r="M1300"/>
  <c r="M1273"/>
  <c r="M1271"/>
  <c r="M1269"/>
  <c r="M1267"/>
  <c r="M1265"/>
  <c r="M1263"/>
  <c r="M1261"/>
  <c r="M1020"/>
  <c r="M1160"/>
  <c r="M1158"/>
  <c r="M1156"/>
  <c r="M1212"/>
  <c r="M1220"/>
  <c r="M1243"/>
  <c r="M1193"/>
  <c r="M1191"/>
  <c r="M945"/>
  <c r="M1022"/>
  <c r="M1026"/>
  <c r="M1024"/>
  <c r="M1060"/>
  <c r="M1058"/>
  <c r="M1045"/>
  <c r="M976"/>
  <c r="M437"/>
  <c r="M854"/>
  <c r="M852"/>
  <c r="M850"/>
  <c r="M848"/>
  <c r="M804"/>
  <c r="M840"/>
  <c r="M838"/>
  <c r="M836"/>
  <c r="M834"/>
  <c r="M813"/>
  <c r="M785"/>
  <c r="M761"/>
  <c r="M727"/>
  <c r="M779"/>
  <c r="M777"/>
  <c r="M829"/>
  <c r="M827"/>
  <c r="M724"/>
  <c r="M722"/>
  <c r="M654"/>
  <c r="M652"/>
  <c r="M1295"/>
  <c r="M1293"/>
  <c r="M1289"/>
  <c r="M1348"/>
  <c r="M1337"/>
  <c r="M1331"/>
  <c r="M1180"/>
  <c r="M1211"/>
  <c r="M1222"/>
  <c r="M1224"/>
  <c r="M1237"/>
  <c r="M1254"/>
  <c r="M1252"/>
  <c r="M1250"/>
  <c r="M1248"/>
  <c r="M1246"/>
  <c r="M1151"/>
  <c r="M1149"/>
  <c r="M1147"/>
  <c r="M1145"/>
  <c r="M1017"/>
  <c r="M1015"/>
  <c r="M1013"/>
  <c r="M1011"/>
  <c r="M931"/>
  <c r="M944"/>
  <c r="M958"/>
  <c r="M956"/>
  <c r="M990"/>
  <c r="M1126"/>
  <c r="M1078"/>
  <c r="M1076"/>
  <c r="M917"/>
  <c r="M847"/>
  <c r="M845"/>
  <c r="M435"/>
  <c r="M805"/>
  <c r="M818"/>
  <c r="M787"/>
  <c r="M757"/>
  <c r="M725"/>
  <c r="M683"/>
  <c r="M706"/>
  <c r="M704"/>
  <c r="M702"/>
  <c r="M700"/>
  <c r="M582"/>
  <c r="M580"/>
  <c r="M578"/>
  <c r="M576"/>
  <c r="M661"/>
  <c r="M442"/>
  <c r="M1408"/>
  <c r="M1406"/>
  <c r="M1404"/>
  <c r="M1402"/>
  <c r="M1292"/>
  <c r="M1288"/>
  <c r="M1286"/>
  <c r="M1284"/>
  <c r="M1445"/>
  <c r="M1443"/>
  <c r="M1363"/>
  <c r="M1305"/>
  <c r="M1303"/>
  <c r="M1301"/>
  <c r="M1299"/>
  <c r="M1274"/>
  <c r="M1272"/>
  <c r="M1270"/>
  <c r="M1268"/>
  <c r="M1266"/>
  <c r="M1264"/>
  <c r="M1262"/>
  <c r="M1260"/>
  <c r="M1019"/>
  <c r="M1159"/>
  <c r="M1157"/>
  <c r="M1182"/>
  <c r="M1221"/>
  <c r="M1245"/>
  <c r="M1192"/>
  <c r="M1190"/>
  <c r="M933"/>
  <c r="M991"/>
  <c r="M1021"/>
  <c r="M1025"/>
  <c r="M1059"/>
  <c r="M1046"/>
  <c r="M975"/>
  <c r="M855"/>
  <c r="M853"/>
  <c r="M851"/>
  <c r="M849"/>
  <c r="M843"/>
  <c r="M803"/>
  <c r="M839"/>
  <c r="M837"/>
  <c r="M835"/>
  <c r="M833"/>
  <c r="M814"/>
  <c r="M820"/>
  <c r="M786"/>
  <c r="M759"/>
  <c r="M760"/>
  <c r="M726"/>
  <c r="M780"/>
  <c r="M778"/>
  <c r="M830"/>
  <c r="M828"/>
  <c r="M826"/>
  <c r="M723"/>
  <c r="M653"/>
  <c r="D23" i="4"/>
  <c r="D9"/>
  <c r="X25" i="21"/>
  <c r="X64"/>
  <c r="X67"/>
  <c r="X69"/>
  <c r="X73"/>
  <c r="X125"/>
  <c r="X138"/>
  <c r="X315"/>
  <c r="X326"/>
  <c r="M107" i="33"/>
  <c r="M242"/>
  <c r="M131"/>
  <c r="M228"/>
  <c r="M230"/>
  <c r="M232"/>
  <c r="M234"/>
  <c r="M246"/>
  <c r="M383"/>
  <c r="M263"/>
  <c r="M265"/>
  <c r="M418"/>
  <c r="M420"/>
  <c r="M422"/>
  <c r="M127"/>
  <c r="M424"/>
  <c r="M426"/>
  <c r="M6"/>
  <c r="M384"/>
  <c r="M9"/>
  <c r="M333"/>
  <c r="M465"/>
  <c r="M504"/>
  <c r="X11" i="21"/>
  <c r="X66"/>
  <c r="X72"/>
  <c r="X127"/>
  <c r="X129"/>
  <c r="X131"/>
  <c r="X133"/>
  <c r="X135"/>
  <c r="X318"/>
  <c r="X320"/>
  <c r="X322"/>
  <c r="X324"/>
  <c r="X395"/>
  <c r="X397"/>
  <c r="M56" i="33"/>
  <c r="M84"/>
  <c r="M394"/>
  <c r="M396"/>
  <c r="M17"/>
  <c r="M19"/>
  <c r="M62"/>
  <c r="M108"/>
  <c r="M155"/>
  <c r="M170"/>
  <c r="M139"/>
  <c r="M179"/>
  <c r="M247"/>
  <c r="M250"/>
  <c r="M412"/>
  <c r="M123"/>
  <c r="M7"/>
  <c r="M387"/>
  <c r="M682"/>
  <c r="M7" i="35"/>
  <c r="N7" s="1"/>
  <c r="G7"/>
  <c r="M7" i="36"/>
  <c r="L7"/>
  <c r="D7"/>
  <c r="B7"/>
  <c r="H7"/>
  <c r="I7" s="1"/>
  <c r="I7" i="35"/>
  <c r="D36" i="4"/>
  <c r="D22"/>
  <c r="D52"/>
  <c r="D8"/>
  <c r="X12" i="21"/>
  <c r="X26"/>
  <c r="X65"/>
  <c r="X68"/>
  <c r="X71"/>
  <c r="X137"/>
  <c r="X139"/>
  <c r="X316"/>
  <c r="M243" i="33"/>
  <c r="M132"/>
  <c r="M229"/>
  <c r="M231"/>
  <c r="M233"/>
  <c r="M245"/>
  <c r="M248"/>
  <c r="M382"/>
  <c r="M264"/>
  <c r="M417"/>
  <c r="M419"/>
  <c r="M421"/>
  <c r="M423"/>
  <c r="M128"/>
  <c r="M425"/>
  <c r="M427"/>
  <c r="M385"/>
  <c r="M8"/>
  <c r="M332"/>
  <c r="M464"/>
  <c r="M503"/>
  <c r="X63" i="21"/>
  <c r="X70"/>
  <c r="X74"/>
  <c r="X126"/>
  <c r="X128"/>
  <c r="X130"/>
  <c r="X132"/>
  <c r="X134"/>
  <c r="X136"/>
  <c r="X317"/>
  <c r="X319"/>
  <c r="X321"/>
  <c r="X323"/>
  <c r="X325"/>
  <c r="X396"/>
  <c r="M55" i="33"/>
  <c r="M83"/>
  <c r="M393"/>
  <c r="M395"/>
  <c r="M397"/>
  <c r="M16"/>
  <c r="M18"/>
  <c r="M61"/>
  <c r="M63"/>
  <c r="M154"/>
  <c r="M156"/>
  <c r="M171"/>
  <c r="M138"/>
  <c r="M180"/>
  <c r="M244"/>
  <c r="M249"/>
  <c r="M411"/>
  <c r="M413"/>
  <c r="M124"/>
  <c r="M386"/>
  <c r="M681"/>
  <c r="H64" i="39"/>
  <c r="H72" s="1"/>
  <c r="H84" s="1"/>
  <c r="H94" s="1"/>
  <c r="H95" s="1"/>
  <c r="H102" s="1"/>
  <c r="L295" i="22"/>
  <c r="L294"/>
  <c r="M294" s="1"/>
  <c r="H155" i="38"/>
  <c r="H132"/>
  <c r="H154"/>
  <c r="O165" i="22"/>
  <c r="O143"/>
  <c r="O141"/>
  <c r="O139"/>
  <c r="K142"/>
  <c r="L142" s="1"/>
  <c r="K138"/>
  <c r="L138" s="1"/>
  <c r="K125"/>
  <c r="L125" s="1"/>
  <c r="H153" i="38"/>
  <c r="J153" s="1"/>
  <c r="K153" s="1"/>
  <c r="O20" i="22"/>
  <c r="O18"/>
  <c r="K15"/>
  <c r="L15" s="1"/>
  <c r="P15" s="1"/>
  <c r="H139" i="38"/>
  <c r="H143"/>
  <c r="H137"/>
  <c r="I131"/>
  <c r="K65" i="22"/>
  <c r="L65" s="1"/>
  <c r="K61"/>
  <c r="L61" s="1"/>
  <c r="O56"/>
  <c r="O54"/>
  <c r="O52"/>
  <c r="O46"/>
  <c r="O66"/>
  <c r="O64"/>
  <c r="O62"/>
  <c r="O60"/>
  <c r="O57"/>
  <c r="O55"/>
  <c r="O53"/>
  <c r="K28"/>
  <c r="L28" s="1"/>
  <c r="K20"/>
  <c r="L34" i="38" s="1"/>
  <c r="K18" i="22"/>
  <c r="O14"/>
  <c r="K7"/>
  <c r="L7" s="1"/>
  <c r="S63" i="15"/>
  <c r="T7"/>
  <c r="T63" s="1"/>
  <c r="H4" i="33"/>
  <c r="M219" i="5" s="1"/>
  <c r="T219" s="1"/>
  <c r="AA219" s="1"/>
  <c r="O25" i="4"/>
  <c r="V220" i="5"/>
  <c r="O219" i="6"/>
  <c r="V219" s="1"/>
  <c r="U220" i="5"/>
  <c r="O1" i="21"/>
  <c r="P6"/>
  <c r="K42"/>
  <c r="O218" i="7"/>
  <c r="V218" s="1"/>
  <c r="G43" i="13"/>
  <c r="I43" s="1"/>
  <c r="O220" i="6"/>
  <c r="V220" s="1"/>
  <c r="O34" i="4"/>
  <c r="O219" i="8"/>
  <c r="V219" s="1"/>
  <c r="O220" i="7"/>
  <c r="V220" s="1"/>
  <c r="O35" i="4"/>
  <c r="O218" i="6"/>
  <c r="V218" s="1"/>
  <c r="I29" i="4"/>
  <c r="O39"/>
  <c r="O37"/>
  <c r="N5" i="28"/>
  <c r="O55" i="4"/>
  <c r="O38"/>
  <c r="O219" i="7"/>
  <c r="V219" s="1"/>
  <c r="O6" i="4"/>
  <c r="R6" s="1"/>
  <c r="U219" i="5"/>
  <c r="I1" i="4"/>
  <c r="O220" i="8"/>
  <c r="V220" s="1"/>
  <c r="O218"/>
  <c r="V218" s="1"/>
  <c r="G42" i="13"/>
  <c r="I42" s="1"/>
  <c r="U218" i="5"/>
  <c r="O24" i="4"/>
  <c r="O51"/>
  <c r="G44" i="13"/>
  <c r="I44" s="1"/>
  <c r="K52" i="4"/>
  <c r="N52" s="1"/>
  <c r="O52" s="1"/>
  <c r="L134" i="38"/>
  <c r="I143"/>
  <c r="L226" i="22"/>
  <c r="M226" s="1"/>
  <c r="L222"/>
  <c r="L218"/>
  <c r="M218" s="1"/>
  <c r="L214"/>
  <c r="K167"/>
  <c r="L165"/>
  <c r="P165" s="1"/>
  <c r="O166"/>
  <c r="K141"/>
  <c r="L141" s="1"/>
  <c r="O126"/>
  <c r="O144"/>
  <c r="O140"/>
  <c r="O127"/>
  <c r="L101"/>
  <c r="L100"/>
  <c r="P100" s="1"/>
  <c r="L99"/>
  <c r="P99" s="1"/>
  <c r="L86"/>
  <c r="M86" s="1"/>
  <c r="O67"/>
  <c r="O63"/>
  <c r="K56"/>
  <c r="L56" s="1"/>
  <c r="K52"/>
  <c r="L52" s="1"/>
  <c r="K64"/>
  <c r="L64" s="1"/>
  <c r="K60"/>
  <c r="L60" s="1"/>
  <c r="K55"/>
  <c r="L55" s="1"/>
  <c r="O45"/>
  <c r="J39" i="38"/>
  <c r="K39" s="1"/>
  <c r="N39" s="1"/>
  <c r="O24" i="22"/>
  <c r="O19"/>
  <c r="O16"/>
  <c r="O26"/>
  <c r="M295"/>
  <c r="L286"/>
  <c r="P286" s="1"/>
  <c r="K250"/>
  <c r="L250" s="1"/>
  <c r="O247"/>
  <c r="K327"/>
  <c r="O323"/>
  <c r="O319"/>
  <c r="O315"/>
  <c r="O324"/>
  <c r="O320"/>
  <c r="O316"/>
  <c r="N145"/>
  <c r="K22"/>
  <c r="L22" s="1"/>
  <c r="P22" s="1"/>
  <c r="L13"/>
  <c r="P13" s="1"/>
  <c r="O12"/>
  <c r="O10"/>
  <c r="O8"/>
  <c r="L6"/>
  <c r="L78" i="38"/>
  <c r="M78" s="1"/>
  <c r="N78" s="1"/>
  <c r="L23"/>
  <c r="K350" i="22"/>
  <c r="O6"/>
  <c r="J30"/>
  <c r="I139" i="38"/>
  <c r="J139" s="1"/>
  <c r="K139" s="1"/>
  <c r="K29" i="22"/>
  <c r="K27"/>
  <c r="L27" s="1"/>
  <c r="K25"/>
  <c r="L25" s="1"/>
  <c r="K23"/>
  <c r="L37" i="38" s="1"/>
  <c r="K21" i="22"/>
  <c r="L35" i="38" s="1"/>
  <c r="L12" i="22"/>
  <c r="P12" s="1"/>
  <c r="O11"/>
  <c r="L10"/>
  <c r="P10" s="1"/>
  <c r="O9"/>
  <c r="L8"/>
  <c r="P8" s="1"/>
  <c r="N30"/>
  <c r="M11"/>
  <c r="M9"/>
  <c r="K24"/>
  <c r="L24" s="1"/>
  <c r="K19"/>
  <c r="L19" s="1"/>
  <c r="P19" s="1"/>
  <c r="K16"/>
  <c r="K14"/>
  <c r="K26"/>
  <c r="L26" s="1"/>
  <c r="M22"/>
  <c r="K17"/>
  <c r="L17" s="1"/>
  <c r="P17" s="1"/>
  <c r="L44"/>
  <c r="M44" s="1"/>
  <c r="S59"/>
  <c r="S60" s="1"/>
  <c r="S61" s="1"/>
  <c r="S63" s="1"/>
  <c r="I136" i="38"/>
  <c r="L51" i="22"/>
  <c r="P51" s="1"/>
  <c r="K50"/>
  <c r="L50" s="1"/>
  <c r="P50" s="1"/>
  <c r="K49"/>
  <c r="L49" s="1"/>
  <c r="P49" s="1"/>
  <c r="K48"/>
  <c r="L48" s="1"/>
  <c r="P48" s="1"/>
  <c r="O44"/>
  <c r="O68" s="1"/>
  <c r="J68"/>
  <c r="L59"/>
  <c r="P59" s="1"/>
  <c r="M48"/>
  <c r="M51"/>
  <c r="K67"/>
  <c r="L67" s="1"/>
  <c r="K63"/>
  <c r="L63" s="1"/>
  <c r="P63" s="1"/>
  <c r="L58"/>
  <c r="M58" s="1"/>
  <c r="K54"/>
  <c r="L54" s="1"/>
  <c r="P54" s="1"/>
  <c r="K46"/>
  <c r="L22" i="38" s="1"/>
  <c r="K66" i="22"/>
  <c r="L44" i="38" s="1"/>
  <c r="K62" i="22"/>
  <c r="K57"/>
  <c r="L57" s="1"/>
  <c r="P57" s="1"/>
  <c r="K53"/>
  <c r="L53" s="1"/>
  <c r="L47"/>
  <c r="M23" i="38" s="1"/>
  <c r="K45" i="22"/>
  <c r="N68"/>
  <c r="I117"/>
  <c r="I45" i="38"/>
  <c r="O105" i="22"/>
  <c r="P104"/>
  <c r="P103"/>
  <c r="I43" i="38"/>
  <c r="J43" s="1"/>
  <c r="K43" s="1"/>
  <c r="O102" i="22"/>
  <c r="P101"/>
  <c r="I36" i="38"/>
  <c r="J36" s="1"/>
  <c r="K36" s="1"/>
  <c r="O98" i="22"/>
  <c r="P97"/>
  <c r="I34" i="38"/>
  <c r="J34" s="1"/>
  <c r="K34" s="1"/>
  <c r="O96" i="22"/>
  <c r="I33" i="38"/>
  <c r="J33" s="1"/>
  <c r="K33" s="1"/>
  <c r="O95" i="22"/>
  <c r="I31" i="38"/>
  <c r="J31" s="1"/>
  <c r="K31" s="1"/>
  <c r="O93" i="22"/>
  <c r="I30" i="38"/>
  <c r="J30" s="1"/>
  <c r="K30" s="1"/>
  <c r="O92" i="22"/>
  <c r="I29" i="38"/>
  <c r="J29" s="1"/>
  <c r="K29" s="1"/>
  <c r="O91" i="22"/>
  <c r="P84"/>
  <c r="P83"/>
  <c r="I20" i="38"/>
  <c r="J20" s="1"/>
  <c r="J106" i="22"/>
  <c r="O82"/>
  <c r="P85"/>
  <c r="I44" i="38"/>
  <c r="J44" s="1"/>
  <c r="K44" s="1"/>
  <c r="O104" i="22"/>
  <c r="I41" i="38"/>
  <c r="O103" i="22"/>
  <c r="I40" i="38"/>
  <c r="O101" i="22"/>
  <c r="I38" i="38"/>
  <c r="J38" s="1"/>
  <c r="K38" s="1"/>
  <c r="O100" i="22"/>
  <c r="I37" i="38"/>
  <c r="J37" s="1"/>
  <c r="K37" s="1"/>
  <c r="O99" i="22"/>
  <c r="I35" i="38"/>
  <c r="J35" s="1"/>
  <c r="K35" s="1"/>
  <c r="O97" i="22"/>
  <c r="I32" i="38"/>
  <c r="J32" s="1"/>
  <c r="K32" s="1"/>
  <c r="O94" i="22"/>
  <c r="I28" i="38"/>
  <c r="J28" s="1"/>
  <c r="K28" s="1"/>
  <c r="O90" i="22"/>
  <c r="I23" i="38"/>
  <c r="J23" s="1"/>
  <c r="K23" s="1"/>
  <c r="O85" i="22"/>
  <c r="I22" i="38"/>
  <c r="J22" s="1"/>
  <c r="K22" s="1"/>
  <c r="O84" i="22"/>
  <c r="I21" i="38"/>
  <c r="J21" s="1"/>
  <c r="K21" s="1"/>
  <c r="O83" i="22"/>
  <c r="I26" i="38"/>
  <c r="J26" s="1"/>
  <c r="K26" s="1"/>
  <c r="O88" i="22"/>
  <c r="O86"/>
  <c r="I24" i="38"/>
  <c r="J24" s="1"/>
  <c r="K24" s="1"/>
  <c r="I27"/>
  <c r="J27" s="1"/>
  <c r="K27" s="1"/>
  <c r="O89" i="22"/>
  <c r="O87"/>
  <c r="I25" i="38"/>
  <c r="J40"/>
  <c r="K40" s="1"/>
  <c r="N106" i="22"/>
  <c r="J41" i="38"/>
  <c r="K41" s="1"/>
  <c r="K105" i="22"/>
  <c r="L45" i="38" s="1"/>
  <c r="K102" i="22"/>
  <c r="L102" s="1"/>
  <c r="M102" s="1"/>
  <c r="K98"/>
  <c r="L36" i="38" s="1"/>
  <c r="K82" i="22"/>
  <c r="L82" s="1"/>
  <c r="M82" s="1"/>
  <c r="J25" i="38"/>
  <c r="K25" s="1"/>
  <c r="F46"/>
  <c r="F19" i="28" s="1"/>
  <c r="H133" i="38"/>
  <c r="H152"/>
  <c r="H145"/>
  <c r="H142"/>
  <c r="H135"/>
  <c r="H151"/>
  <c r="H148"/>
  <c r="H146"/>
  <c r="H140"/>
  <c r="H138"/>
  <c r="H134"/>
  <c r="H156"/>
  <c r="H150"/>
  <c r="I141"/>
  <c r="I137"/>
  <c r="H136"/>
  <c r="I156"/>
  <c r="I150"/>
  <c r="H141"/>
  <c r="N363" i="22"/>
  <c r="J45" i="38"/>
  <c r="K45" s="1"/>
  <c r="M104" i="22"/>
  <c r="M103"/>
  <c r="M101"/>
  <c r="M100"/>
  <c r="M99"/>
  <c r="M97"/>
  <c r="M96"/>
  <c r="K95"/>
  <c r="L33" i="38" s="1"/>
  <c r="K94" i="22"/>
  <c r="K93"/>
  <c r="L31" i="38" s="1"/>
  <c r="K92" i="22"/>
  <c r="K91"/>
  <c r="L29" i="38" s="1"/>
  <c r="K90" i="22"/>
  <c r="M84"/>
  <c r="M83"/>
  <c r="K88"/>
  <c r="L89"/>
  <c r="K87"/>
  <c r="M149"/>
  <c r="N150"/>
  <c r="N146"/>
  <c r="H131" i="38"/>
  <c r="J131" s="1"/>
  <c r="K131" s="1"/>
  <c r="K137" i="22"/>
  <c r="L137" s="1"/>
  <c r="K136"/>
  <c r="L136" s="1"/>
  <c r="K135"/>
  <c r="L135" s="1"/>
  <c r="K134"/>
  <c r="L134" s="1"/>
  <c r="K133"/>
  <c r="L87" i="38" s="1"/>
  <c r="K132" i="22"/>
  <c r="L132" s="1"/>
  <c r="K131"/>
  <c r="K130"/>
  <c r="L130" s="1"/>
  <c r="K129"/>
  <c r="L129" s="1"/>
  <c r="K143"/>
  <c r="K139"/>
  <c r="L139" s="1"/>
  <c r="L128"/>
  <c r="K126"/>
  <c r="L126" s="1"/>
  <c r="K144"/>
  <c r="L144" s="1"/>
  <c r="K140"/>
  <c r="L140" s="1"/>
  <c r="K127"/>
  <c r="L127" s="1"/>
  <c r="P127" s="1"/>
  <c r="J145"/>
  <c r="O121"/>
  <c r="O145" s="1"/>
  <c r="L124"/>
  <c r="P124" s="1"/>
  <c r="K123"/>
  <c r="L123" s="1"/>
  <c r="K122"/>
  <c r="L122" s="1"/>
  <c r="K121"/>
  <c r="P163"/>
  <c r="M163"/>
  <c r="P161"/>
  <c r="M161"/>
  <c r="O186"/>
  <c r="O184"/>
  <c r="O182"/>
  <c r="O180"/>
  <c r="O178"/>
  <c r="O176"/>
  <c r="O173"/>
  <c r="O171"/>
  <c r="O169"/>
  <c r="O162"/>
  <c r="J187"/>
  <c r="O161"/>
  <c r="K187"/>
  <c r="L186"/>
  <c r="P186" s="1"/>
  <c r="O185"/>
  <c r="L184"/>
  <c r="P184" s="1"/>
  <c r="O183"/>
  <c r="L182"/>
  <c r="P182" s="1"/>
  <c r="O181"/>
  <c r="L180"/>
  <c r="P180" s="1"/>
  <c r="O179"/>
  <c r="L178"/>
  <c r="P178" s="1"/>
  <c r="O177"/>
  <c r="L176"/>
  <c r="P176" s="1"/>
  <c r="O175"/>
  <c r="O174"/>
  <c r="L173"/>
  <c r="P173" s="1"/>
  <c r="O172"/>
  <c r="L171"/>
  <c r="P171" s="1"/>
  <c r="O170"/>
  <c r="L169"/>
  <c r="P169" s="1"/>
  <c r="O163"/>
  <c r="L162"/>
  <c r="P162" s="1"/>
  <c r="N187"/>
  <c r="M174"/>
  <c r="M172"/>
  <c r="M170"/>
  <c r="L164"/>
  <c r="P164" s="1"/>
  <c r="M162"/>
  <c r="L167"/>
  <c r="P167" s="1"/>
  <c r="M185"/>
  <c r="M183"/>
  <c r="M181"/>
  <c r="M179"/>
  <c r="M177"/>
  <c r="M175"/>
  <c r="L168"/>
  <c r="P168" s="1"/>
  <c r="L166"/>
  <c r="P166" s="1"/>
  <c r="K370"/>
  <c r="L97" i="38"/>
  <c r="L153"/>
  <c r="K366" i="22"/>
  <c r="L94" i="38"/>
  <c r="L150"/>
  <c r="K364" i="22"/>
  <c r="K356"/>
  <c r="J351"/>
  <c r="I79" i="38"/>
  <c r="J79" s="1"/>
  <c r="K79" s="1"/>
  <c r="O206" i="22"/>
  <c r="I76" i="38"/>
  <c r="O203" i="22"/>
  <c r="I100" i="38"/>
  <c r="J100" s="1"/>
  <c r="K100" s="1"/>
  <c r="J372" i="22"/>
  <c r="O227"/>
  <c r="F101" i="38"/>
  <c r="H75"/>
  <c r="I99"/>
  <c r="J99" s="1"/>
  <c r="K99" s="1"/>
  <c r="J371" i="22"/>
  <c r="O226"/>
  <c r="I98" i="38"/>
  <c r="J98" s="1"/>
  <c r="K98" s="1"/>
  <c r="J369" i="22"/>
  <c r="O224"/>
  <c r="I95" i="38"/>
  <c r="J95" s="1"/>
  <c r="K95" s="1"/>
  <c r="J367" i="22"/>
  <c r="O222"/>
  <c r="I93" i="38"/>
  <c r="J365" i="22"/>
  <c r="O220"/>
  <c r="I91" i="38"/>
  <c r="J91" s="1"/>
  <c r="K91" s="1"/>
  <c r="J363" i="22"/>
  <c r="O218"/>
  <c r="I89" i="38"/>
  <c r="J361" i="22"/>
  <c r="O216"/>
  <c r="I87" i="38"/>
  <c r="J87" s="1"/>
  <c r="K87" s="1"/>
  <c r="J359" i="22"/>
  <c r="O214"/>
  <c r="I85" i="38"/>
  <c r="J357" i="22"/>
  <c r="O212"/>
  <c r="I83" i="38"/>
  <c r="J83" s="1"/>
  <c r="K83" s="1"/>
  <c r="J355" i="22"/>
  <c r="O210"/>
  <c r="I82" i="38"/>
  <c r="J82" s="1"/>
  <c r="K82" s="1"/>
  <c r="J354" i="22"/>
  <c r="O209"/>
  <c r="L227"/>
  <c r="L225"/>
  <c r="L223"/>
  <c r="M223" s="1"/>
  <c r="L221"/>
  <c r="L219"/>
  <c r="M219" s="1"/>
  <c r="L217"/>
  <c r="M217" s="1"/>
  <c r="L215"/>
  <c r="M215" s="1"/>
  <c r="L213"/>
  <c r="M213" s="1"/>
  <c r="L211"/>
  <c r="M211" s="1"/>
  <c r="L204"/>
  <c r="M224"/>
  <c r="M222"/>
  <c r="M220"/>
  <c r="M216"/>
  <c r="M214"/>
  <c r="M212"/>
  <c r="K209"/>
  <c r="L82" i="38" s="1"/>
  <c r="I81"/>
  <c r="J81" s="1"/>
  <c r="K81" s="1"/>
  <c r="J353" i="22"/>
  <c r="O208"/>
  <c r="O353" s="1"/>
  <c r="P205"/>
  <c r="H341"/>
  <c r="H343" s="1"/>
  <c r="H242"/>
  <c r="I97" i="38"/>
  <c r="J97" s="1"/>
  <c r="K97" s="1"/>
  <c r="J370" i="22"/>
  <c r="O225"/>
  <c r="O370" s="1"/>
  <c r="I96" i="38"/>
  <c r="J96" s="1"/>
  <c r="K96" s="1"/>
  <c r="J368" i="22"/>
  <c r="O223"/>
  <c r="I94" i="38"/>
  <c r="J94" s="1"/>
  <c r="K94" s="1"/>
  <c r="J366" i="22"/>
  <c r="O221"/>
  <c r="O366" s="1"/>
  <c r="I92" i="38"/>
  <c r="J92" s="1"/>
  <c r="K92" s="1"/>
  <c r="J364" i="22"/>
  <c r="O219"/>
  <c r="I90" i="38"/>
  <c r="J90" s="1"/>
  <c r="K90" s="1"/>
  <c r="J362" i="22"/>
  <c r="O217"/>
  <c r="I88" i="38"/>
  <c r="J88" s="1"/>
  <c r="K88" s="1"/>
  <c r="J360" i="22"/>
  <c r="O215"/>
  <c r="I86" i="38"/>
  <c r="J86" s="1"/>
  <c r="K86" s="1"/>
  <c r="J358" i="22"/>
  <c r="O213"/>
  <c r="I84" i="38"/>
  <c r="J84" s="1"/>
  <c r="K84" s="1"/>
  <c r="J356" i="22"/>
  <c r="O211"/>
  <c r="J352"/>
  <c r="I80" i="38"/>
  <c r="J80" s="1"/>
  <c r="K80" s="1"/>
  <c r="O207" i="22"/>
  <c r="I77" i="38"/>
  <c r="J77" s="1"/>
  <c r="K77" s="1"/>
  <c r="J349" i="22"/>
  <c r="O204"/>
  <c r="I75" i="38"/>
  <c r="J347" i="22"/>
  <c r="O202"/>
  <c r="A202"/>
  <c r="J228"/>
  <c r="N347"/>
  <c r="N228"/>
  <c r="A207"/>
  <c r="A208" s="1"/>
  <c r="I241"/>
  <c r="I230"/>
  <c r="I1"/>
  <c r="P226"/>
  <c r="K371"/>
  <c r="P224"/>
  <c r="P222"/>
  <c r="P220"/>
  <c r="P218"/>
  <c r="P216"/>
  <c r="P214"/>
  <c r="K359"/>
  <c r="P212"/>
  <c r="K357"/>
  <c r="K208"/>
  <c r="K206"/>
  <c r="M205"/>
  <c r="K203"/>
  <c r="J76" i="38"/>
  <c r="K76" s="1"/>
  <c r="M225" i="22"/>
  <c r="M221"/>
  <c r="K207"/>
  <c r="M204"/>
  <c r="K202"/>
  <c r="J93" i="38"/>
  <c r="K93" s="1"/>
  <c r="J89"/>
  <c r="K89" s="1"/>
  <c r="J85"/>
  <c r="K85" s="1"/>
  <c r="K210" i="22"/>
  <c r="L210" s="1"/>
  <c r="O312"/>
  <c r="J328"/>
  <c r="N328"/>
  <c r="O313"/>
  <c r="L312"/>
  <c r="L314"/>
  <c r="L323"/>
  <c r="L315"/>
  <c r="L324"/>
  <c r="L320"/>
  <c r="L316"/>
  <c r="J137" i="38"/>
  <c r="K137" s="1"/>
  <c r="P250" i="22"/>
  <c r="M250"/>
  <c r="N246"/>
  <c r="N263" s="1"/>
  <c r="J246"/>
  <c r="I132" i="38" s="1"/>
  <c r="J132" s="1"/>
  <c r="K132" s="1"/>
  <c r="I263" i="22"/>
  <c r="I265" s="1"/>
  <c r="K246"/>
  <c r="K263" s="1"/>
  <c r="L262"/>
  <c r="P262" s="1"/>
  <c r="O261"/>
  <c r="L260"/>
  <c r="P260" s="1"/>
  <c r="O259"/>
  <c r="L258"/>
  <c r="P258" s="1"/>
  <c r="O257"/>
  <c r="L256"/>
  <c r="P256" s="1"/>
  <c r="O255"/>
  <c r="L254"/>
  <c r="P254" s="1"/>
  <c r="O253"/>
  <c r="L252"/>
  <c r="P252" s="1"/>
  <c r="O251"/>
  <c r="L249"/>
  <c r="P249" s="1"/>
  <c r="L247"/>
  <c r="P247" s="1"/>
  <c r="L248"/>
  <c r="P248" s="1"/>
  <c r="O262"/>
  <c r="O260"/>
  <c r="O258"/>
  <c r="O256"/>
  <c r="O254"/>
  <c r="O252"/>
  <c r="O249"/>
  <c r="M261"/>
  <c r="M259"/>
  <c r="M257"/>
  <c r="M255"/>
  <c r="M253"/>
  <c r="M251"/>
  <c r="M286"/>
  <c r="P279"/>
  <c r="M279"/>
  <c r="P281"/>
  <c r="O280"/>
  <c r="I133" i="38"/>
  <c r="I155"/>
  <c r="O295" i="22"/>
  <c r="I152" i="38"/>
  <c r="J152" s="1"/>
  <c r="K152" s="1"/>
  <c r="O293" i="22"/>
  <c r="I149" i="38"/>
  <c r="J149" s="1"/>
  <c r="K149" s="1"/>
  <c r="O291" i="22"/>
  <c r="L147" i="38"/>
  <c r="I147"/>
  <c r="J147" s="1"/>
  <c r="K147" s="1"/>
  <c r="O289" i="22"/>
  <c r="I145" i="38"/>
  <c r="J145" s="1"/>
  <c r="K145" s="1"/>
  <c r="O287" i="22"/>
  <c r="I135" i="38"/>
  <c r="J135" s="1"/>
  <c r="K135" s="1"/>
  <c r="O282" i="22"/>
  <c r="P294"/>
  <c r="I151" i="38"/>
  <c r="J151" s="1"/>
  <c r="K151" s="1"/>
  <c r="O292" i="22"/>
  <c r="P290"/>
  <c r="L146" i="38"/>
  <c r="L140"/>
  <c r="I140"/>
  <c r="J140" s="1"/>
  <c r="K140" s="1"/>
  <c r="O284" i="22"/>
  <c r="P283"/>
  <c r="M281"/>
  <c r="L285"/>
  <c r="L288"/>
  <c r="I134" i="38"/>
  <c r="J134" s="1"/>
  <c r="K134" s="1"/>
  <c r="M134" s="1"/>
  <c r="N134" s="1"/>
  <c r="O281" i="22"/>
  <c r="N296"/>
  <c r="O279"/>
  <c r="J296"/>
  <c r="P295"/>
  <c r="I142" i="38"/>
  <c r="J142" s="1"/>
  <c r="K142" s="1"/>
  <c r="O285" i="22"/>
  <c r="L154" i="38"/>
  <c r="I154"/>
  <c r="J154" s="1"/>
  <c r="K154" s="1"/>
  <c r="O294" i="22"/>
  <c r="L148" i="38"/>
  <c r="I148"/>
  <c r="J148" s="1"/>
  <c r="K148" s="1"/>
  <c r="O290" i="22"/>
  <c r="I146" i="38"/>
  <c r="J146" s="1"/>
  <c r="K146" s="1"/>
  <c r="O288" i="22"/>
  <c r="L144" i="38"/>
  <c r="I144"/>
  <c r="J144" s="1"/>
  <c r="K144" s="1"/>
  <c r="O286" i="22"/>
  <c r="I138" i="38"/>
  <c r="O283" i="22"/>
  <c r="O354" s="1"/>
  <c r="L280"/>
  <c r="L293"/>
  <c r="K291"/>
  <c r="L291" s="1"/>
  <c r="L289"/>
  <c r="M289" s="1"/>
  <c r="K287"/>
  <c r="L287" s="1"/>
  <c r="K282"/>
  <c r="L292"/>
  <c r="L284"/>
  <c r="K54" i="4"/>
  <c r="N54" s="1"/>
  <c r="O54" s="1"/>
  <c r="K50"/>
  <c r="N50" s="1"/>
  <c r="O50" s="1"/>
  <c r="I44"/>
  <c r="O26"/>
  <c r="N1"/>
  <c r="K53"/>
  <c r="N53" s="1"/>
  <c r="O53" s="1"/>
  <c r="N23"/>
  <c r="O23" s="1"/>
  <c r="N21"/>
  <c r="O21" s="1"/>
  <c r="G108" i="40"/>
  <c r="E108"/>
  <c r="L164"/>
  <c r="I25" i="13"/>
  <c r="E53"/>
  <c r="L220" i="8"/>
  <c r="S220" s="1"/>
  <c r="Z220" s="1"/>
  <c r="L219" i="7"/>
  <c r="S219" s="1"/>
  <c r="Z219" s="1"/>
  <c r="L218" i="6"/>
  <c r="S218" s="1"/>
  <c r="Z218" s="1"/>
  <c r="M220" i="7"/>
  <c r="T220" s="1"/>
  <c r="AA220" s="1"/>
  <c r="M219" i="6"/>
  <c r="T219" s="1"/>
  <c r="AA219" s="1"/>
  <c r="M218" i="5"/>
  <c r="T218" s="1"/>
  <c r="AA218" s="1"/>
  <c r="J14" i="13"/>
  <c r="M220" i="8"/>
  <c r="T220" s="1"/>
  <c r="AA220" s="1"/>
  <c r="M219" i="7"/>
  <c r="T219" s="1"/>
  <c r="AA219" s="1"/>
  <c r="M218" i="6"/>
  <c r="T218" s="1"/>
  <c r="AA218" s="1"/>
  <c r="M139" i="5"/>
  <c r="N29" i="4"/>
  <c r="O12"/>
  <c r="R12" s="1"/>
  <c r="O11"/>
  <c r="R11" s="1"/>
  <c r="O10"/>
  <c r="R10" s="1"/>
  <c r="O9"/>
  <c r="R9" s="1"/>
  <c r="O8"/>
  <c r="R8" s="1"/>
  <c r="O7"/>
  <c r="R7" s="1"/>
  <c r="O5" i="28"/>
  <c r="N163" i="40"/>
  <c r="Q137"/>
  <c r="G221" i="39"/>
  <c r="G235" s="1"/>
  <c r="O5"/>
  <c r="H46" i="38"/>
  <c r="F18" i="28"/>
  <c r="R213" i="5"/>
  <c r="S213"/>
  <c r="T213" s="1"/>
  <c r="R211"/>
  <c r="S211"/>
  <c r="T211" s="1"/>
  <c r="R209"/>
  <c r="S209"/>
  <c r="T209" s="1"/>
  <c r="R207"/>
  <c r="S207"/>
  <c r="T207" s="1"/>
  <c r="R205"/>
  <c r="S205"/>
  <c r="T205" s="1"/>
  <c r="R203"/>
  <c r="S203"/>
  <c r="T203" s="1"/>
  <c r="R201"/>
  <c r="S201"/>
  <c r="T201" s="1"/>
  <c r="R199"/>
  <c r="S199"/>
  <c r="T199" s="1"/>
  <c r="R197"/>
  <c r="S197"/>
  <c r="R195"/>
  <c r="S195"/>
  <c r="T195" s="1"/>
  <c r="R193"/>
  <c r="S193"/>
  <c r="T193" s="1"/>
  <c r="R191"/>
  <c r="S191"/>
  <c r="T191" s="1"/>
  <c r="R188"/>
  <c r="S188"/>
  <c r="T188" s="1"/>
  <c r="R184"/>
  <c r="S184"/>
  <c r="T184" s="1"/>
  <c r="R180"/>
  <c r="S180"/>
  <c r="T180" s="1"/>
  <c r="R176"/>
  <c r="S176"/>
  <c r="T176" s="1"/>
  <c r="R172"/>
  <c r="S172"/>
  <c r="T172" s="1"/>
  <c r="R168"/>
  <c r="S168"/>
  <c r="T168" s="1"/>
  <c r="R164"/>
  <c r="S164"/>
  <c r="T164" s="1"/>
  <c r="R160"/>
  <c r="S160"/>
  <c r="T160" s="1"/>
  <c r="R156"/>
  <c r="S156"/>
  <c r="T156" s="1"/>
  <c r="R152"/>
  <c r="S152"/>
  <c r="T152" s="1"/>
  <c r="R148"/>
  <c r="S148"/>
  <c r="T148" s="1"/>
  <c r="R144"/>
  <c r="S144"/>
  <c r="T144" s="1"/>
  <c r="R138"/>
  <c r="S138"/>
  <c r="R134"/>
  <c r="S134"/>
  <c r="R130"/>
  <c r="S130"/>
  <c r="R126"/>
  <c r="S126"/>
  <c r="R122"/>
  <c r="S122"/>
  <c r="R118"/>
  <c r="S118"/>
  <c r="R115"/>
  <c r="S115"/>
  <c r="R113"/>
  <c r="S113"/>
  <c r="R109"/>
  <c r="S109"/>
  <c r="R105"/>
  <c r="S105"/>
  <c r="R101"/>
  <c r="S101"/>
  <c r="R97"/>
  <c r="S97"/>
  <c r="R93"/>
  <c r="S93"/>
  <c r="R89"/>
  <c r="S89"/>
  <c r="R87"/>
  <c r="S87"/>
  <c r="R81"/>
  <c r="S81"/>
  <c r="R77"/>
  <c r="S77"/>
  <c r="R73"/>
  <c r="S73"/>
  <c r="R69"/>
  <c r="S69"/>
  <c r="R59"/>
  <c r="S59"/>
  <c r="R57"/>
  <c r="S57"/>
  <c r="R53"/>
  <c r="S53"/>
  <c r="R49"/>
  <c r="S49"/>
  <c r="R43"/>
  <c r="S43"/>
  <c r="R41"/>
  <c r="S41"/>
  <c r="R34"/>
  <c r="S34"/>
  <c r="R30"/>
  <c r="S30"/>
  <c r="R26"/>
  <c r="S26"/>
  <c r="R22"/>
  <c r="S22"/>
  <c r="R10"/>
  <c r="S10"/>
  <c r="R5"/>
  <c r="S5"/>
  <c r="S116"/>
  <c r="R116"/>
  <c r="S112"/>
  <c r="R112"/>
  <c r="S108"/>
  <c r="R108"/>
  <c r="S104"/>
  <c r="R104"/>
  <c r="S102"/>
  <c r="R102"/>
  <c r="S100"/>
  <c r="R100"/>
  <c r="S98"/>
  <c r="R98"/>
  <c r="S96"/>
  <c r="R96"/>
  <c r="S94"/>
  <c r="R94"/>
  <c r="S92"/>
  <c r="R92"/>
  <c r="S90"/>
  <c r="R90"/>
  <c r="S88"/>
  <c r="R88"/>
  <c r="S86"/>
  <c r="R86"/>
  <c r="S84"/>
  <c r="R84"/>
  <c r="S82"/>
  <c r="R82"/>
  <c r="S80"/>
  <c r="R80"/>
  <c r="S78"/>
  <c r="R78"/>
  <c r="S76"/>
  <c r="R76"/>
  <c r="S74"/>
  <c r="R74"/>
  <c r="S72"/>
  <c r="R72"/>
  <c r="S70"/>
  <c r="R70"/>
  <c r="S68"/>
  <c r="R68"/>
  <c r="S66"/>
  <c r="R66"/>
  <c r="S64"/>
  <c r="R64"/>
  <c r="S56"/>
  <c r="R56"/>
  <c r="S54"/>
  <c r="R54"/>
  <c r="S52"/>
  <c r="R52"/>
  <c r="S50"/>
  <c r="R50"/>
  <c r="S48"/>
  <c r="R48"/>
  <c r="S38"/>
  <c r="R38"/>
  <c r="S35"/>
  <c r="R35"/>
  <c r="S31"/>
  <c r="R31"/>
  <c r="S27"/>
  <c r="R27"/>
  <c r="S23"/>
  <c r="R23"/>
  <c r="S19"/>
  <c r="R19"/>
  <c r="R16"/>
  <c r="S16"/>
  <c r="R14"/>
  <c r="S14"/>
  <c r="R12"/>
  <c r="S12"/>
  <c r="S9"/>
  <c r="R9"/>
  <c r="S4"/>
  <c r="L139"/>
  <c r="R4"/>
  <c r="N6" i="36"/>
  <c r="N20" i="4"/>
  <c r="K15"/>
  <c r="K17" s="1"/>
  <c r="J164" i="40"/>
  <c r="M34" i="37"/>
  <c r="M216" i="5"/>
  <c r="S215"/>
  <c r="F19" i="1"/>
  <c r="I15" i="4"/>
  <c r="N150" i="40"/>
  <c r="R214" i="5"/>
  <c r="S214"/>
  <c r="T214" s="1"/>
  <c r="R212"/>
  <c r="S212"/>
  <c r="T212" s="1"/>
  <c r="R210"/>
  <c r="S210"/>
  <c r="T210" s="1"/>
  <c r="R208"/>
  <c r="S208"/>
  <c r="T208" s="1"/>
  <c r="R206"/>
  <c r="S206"/>
  <c r="T206" s="1"/>
  <c r="R204"/>
  <c r="S204"/>
  <c r="T204" s="1"/>
  <c r="R202"/>
  <c r="S202"/>
  <c r="T202" s="1"/>
  <c r="R200"/>
  <c r="S200"/>
  <c r="T200" s="1"/>
  <c r="R198"/>
  <c r="S198"/>
  <c r="R196"/>
  <c r="S196"/>
  <c r="T196" s="1"/>
  <c r="R194"/>
  <c r="S194"/>
  <c r="T194" s="1"/>
  <c r="R192"/>
  <c r="S192"/>
  <c r="T192" s="1"/>
  <c r="R190"/>
  <c r="S190"/>
  <c r="T190" s="1"/>
  <c r="R186"/>
  <c r="S186"/>
  <c r="T186" s="1"/>
  <c r="R182"/>
  <c r="S182"/>
  <c r="T182" s="1"/>
  <c r="R178"/>
  <c r="S178"/>
  <c r="T178" s="1"/>
  <c r="R174"/>
  <c r="S174"/>
  <c r="T174" s="1"/>
  <c r="R170"/>
  <c r="S170"/>
  <c r="T170" s="1"/>
  <c r="R166"/>
  <c r="S166"/>
  <c r="T166" s="1"/>
  <c r="R162"/>
  <c r="S162"/>
  <c r="T162" s="1"/>
  <c r="R158"/>
  <c r="S158"/>
  <c r="T158" s="1"/>
  <c r="R154"/>
  <c r="S154"/>
  <c r="T154" s="1"/>
  <c r="R150"/>
  <c r="S150"/>
  <c r="T150" s="1"/>
  <c r="R146"/>
  <c r="S146"/>
  <c r="T146" s="1"/>
  <c r="R142"/>
  <c r="S142"/>
  <c r="T142" s="1"/>
  <c r="L216"/>
  <c r="R140"/>
  <c r="S140"/>
  <c r="R136"/>
  <c r="S136"/>
  <c r="R132"/>
  <c r="S132"/>
  <c r="R128"/>
  <c r="S128"/>
  <c r="R124"/>
  <c r="S124"/>
  <c r="R120"/>
  <c r="S120"/>
  <c r="R117"/>
  <c r="S117"/>
  <c r="R114"/>
  <c r="S114"/>
  <c r="R110"/>
  <c r="S110"/>
  <c r="R106"/>
  <c r="S106"/>
  <c r="R103"/>
  <c r="S103"/>
  <c r="R99"/>
  <c r="S99"/>
  <c r="R95"/>
  <c r="S95"/>
  <c r="R91"/>
  <c r="S91"/>
  <c r="R83"/>
  <c r="S83"/>
  <c r="R79"/>
  <c r="S79"/>
  <c r="R75"/>
  <c r="S75"/>
  <c r="R71"/>
  <c r="S71"/>
  <c r="R67"/>
  <c r="S67"/>
  <c r="R65"/>
  <c r="S65"/>
  <c r="R63"/>
  <c r="S63"/>
  <c r="R61"/>
  <c r="S61"/>
  <c r="R55"/>
  <c r="S55"/>
  <c r="R51"/>
  <c r="S51"/>
  <c r="R47"/>
  <c r="S47"/>
  <c r="R45"/>
  <c r="S45"/>
  <c r="R39"/>
  <c r="S39"/>
  <c r="R37"/>
  <c r="S37"/>
  <c r="R32"/>
  <c r="S32"/>
  <c r="R28"/>
  <c r="S28"/>
  <c r="R24"/>
  <c r="S24"/>
  <c r="R20"/>
  <c r="S20"/>
  <c r="R18"/>
  <c r="S18"/>
  <c r="R8"/>
  <c r="S8"/>
  <c r="S189"/>
  <c r="T189" s="1"/>
  <c r="R189"/>
  <c r="S187"/>
  <c r="T187" s="1"/>
  <c r="R187"/>
  <c r="S185"/>
  <c r="T185" s="1"/>
  <c r="R185"/>
  <c r="S183"/>
  <c r="T183" s="1"/>
  <c r="R183"/>
  <c r="S181"/>
  <c r="T181" s="1"/>
  <c r="R181"/>
  <c r="S179"/>
  <c r="T179" s="1"/>
  <c r="R179"/>
  <c r="S177"/>
  <c r="T177" s="1"/>
  <c r="R177"/>
  <c r="S175"/>
  <c r="T175" s="1"/>
  <c r="R175"/>
  <c r="S173"/>
  <c r="T173" s="1"/>
  <c r="R173"/>
  <c r="S171"/>
  <c r="T171" s="1"/>
  <c r="R171"/>
  <c r="S169"/>
  <c r="T169" s="1"/>
  <c r="R169"/>
  <c r="S167"/>
  <c r="T167" s="1"/>
  <c r="R167"/>
  <c r="S165"/>
  <c r="T165" s="1"/>
  <c r="R165"/>
  <c r="S163"/>
  <c r="T163" s="1"/>
  <c r="R163"/>
  <c r="S161"/>
  <c r="T161" s="1"/>
  <c r="R161"/>
  <c r="S159"/>
  <c r="T159" s="1"/>
  <c r="R159"/>
  <c r="S157"/>
  <c r="T157" s="1"/>
  <c r="R157"/>
  <c r="S155"/>
  <c r="T155" s="1"/>
  <c r="R155"/>
  <c r="S153"/>
  <c r="T153" s="1"/>
  <c r="R153"/>
  <c r="S151"/>
  <c r="T151" s="1"/>
  <c r="R151"/>
  <c r="S149"/>
  <c r="T149" s="1"/>
  <c r="R149"/>
  <c r="S147"/>
  <c r="T147" s="1"/>
  <c r="R147"/>
  <c r="S145"/>
  <c r="T145" s="1"/>
  <c r="R145"/>
  <c r="S143"/>
  <c r="T143" s="1"/>
  <c r="R143"/>
  <c r="S141"/>
  <c r="T141" s="1"/>
  <c r="R141"/>
  <c r="S137"/>
  <c r="R137"/>
  <c r="S135"/>
  <c r="R135"/>
  <c r="S133"/>
  <c r="R133"/>
  <c r="S131"/>
  <c r="R131"/>
  <c r="S129"/>
  <c r="R129"/>
  <c r="S127"/>
  <c r="R127"/>
  <c r="S125"/>
  <c r="R125"/>
  <c r="S123"/>
  <c r="R123"/>
  <c r="S121"/>
  <c r="R121"/>
  <c r="S119"/>
  <c r="R119"/>
  <c r="S111"/>
  <c r="R111"/>
  <c r="S107"/>
  <c r="R107"/>
  <c r="S85"/>
  <c r="R85"/>
  <c r="S62"/>
  <c r="R62"/>
  <c r="S60"/>
  <c r="R60"/>
  <c r="S58"/>
  <c r="R58"/>
  <c r="S46"/>
  <c r="R46"/>
  <c r="S44"/>
  <c r="R44"/>
  <c r="S42"/>
  <c r="R42"/>
  <c r="S40"/>
  <c r="R40"/>
  <c r="S36"/>
  <c r="R36"/>
  <c r="S33"/>
  <c r="R33"/>
  <c r="S29"/>
  <c r="R29"/>
  <c r="S25"/>
  <c r="R25"/>
  <c r="S21"/>
  <c r="R21"/>
  <c r="S17"/>
  <c r="R17"/>
  <c r="R15"/>
  <c r="S15"/>
  <c r="R13"/>
  <c r="S13"/>
  <c r="R11"/>
  <c r="S11"/>
  <c r="S7"/>
  <c r="R7"/>
  <c r="R6"/>
  <c r="G48" i="37"/>
  <c r="I6" i="35"/>
  <c r="I6" i="36"/>
  <c r="N49" i="4"/>
  <c r="Z5" i="22"/>
  <c r="K221" i="8" l="1"/>
  <c r="J222" i="5"/>
  <c r="K222"/>
  <c r="N218" i="6"/>
  <c r="U218" s="1"/>
  <c r="N218" i="8"/>
  <c r="U218" s="1"/>
  <c r="N220"/>
  <c r="U220" s="1"/>
  <c r="N220" i="6"/>
  <c r="U220" s="1"/>
  <c r="N218" i="7"/>
  <c r="U218" s="1"/>
  <c r="L219" i="5"/>
  <c r="S219" s="1"/>
  <c r="Z219" s="1"/>
  <c r="L220" i="6"/>
  <c r="S220" s="1"/>
  <c r="Z220" s="1"/>
  <c r="L218" i="8"/>
  <c r="S218" s="1"/>
  <c r="Z218" s="1"/>
  <c r="J13" i="13"/>
  <c r="J23" s="1"/>
  <c r="I13"/>
  <c r="I23" s="1"/>
  <c r="M94" i="38"/>
  <c r="N94" s="1"/>
  <c r="M217" i="5"/>
  <c r="L86" i="38"/>
  <c r="I342" i="22"/>
  <c r="I469" s="1"/>
  <c r="L209"/>
  <c r="M209" s="1"/>
  <c r="M140" i="38"/>
  <c r="N140" s="1"/>
  <c r="J143"/>
  <c r="K143" s="1"/>
  <c r="O349" i="22"/>
  <c r="P316"/>
  <c r="P324"/>
  <c r="P323"/>
  <c r="P326"/>
  <c r="P321"/>
  <c r="P325"/>
  <c r="P322"/>
  <c r="P410"/>
  <c r="P424" s="1"/>
  <c r="L424"/>
  <c r="N432" s="1"/>
  <c r="M410"/>
  <c r="M424" s="1"/>
  <c r="N433" s="1"/>
  <c r="P378"/>
  <c r="P393" s="1"/>
  <c r="L393"/>
  <c r="N401" s="1"/>
  <c r="M378"/>
  <c r="M393" s="1"/>
  <c r="N402" s="1"/>
  <c r="M283"/>
  <c r="K360"/>
  <c r="L90" i="38"/>
  <c r="O362" i="22"/>
  <c r="O351"/>
  <c r="O368"/>
  <c r="O350"/>
  <c r="K363"/>
  <c r="K368"/>
  <c r="N348"/>
  <c r="N373" s="1"/>
  <c r="J348"/>
  <c r="J373" s="1"/>
  <c r="P320"/>
  <c r="P315"/>
  <c r="P314"/>
  <c r="L350"/>
  <c r="P350" s="1"/>
  <c r="O358"/>
  <c r="L186" i="38"/>
  <c r="O361" i="22"/>
  <c r="K367"/>
  <c r="K361"/>
  <c r="K365"/>
  <c r="K349"/>
  <c r="K369"/>
  <c r="L454"/>
  <c r="P440"/>
  <c r="P454" s="1"/>
  <c r="M440"/>
  <c r="M454" s="1"/>
  <c r="N463" s="1"/>
  <c r="L196" i="38"/>
  <c r="L211"/>
  <c r="I187"/>
  <c r="L198"/>
  <c r="L201"/>
  <c r="L193"/>
  <c r="L194"/>
  <c r="M13" i="22"/>
  <c r="L192" i="38"/>
  <c r="L191"/>
  <c r="L206"/>
  <c r="L190"/>
  <c r="L204"/>
  <c r="L188"/>
  <c r="L187"/>
  <c r="L209"/>
  <c r="L197"/>
  <c r="L207"/>
  <c r="L203"/>
  <c r="L199"/>
  <c r="L210"/>
  <c r="L195"/>
  <c r="M322" i="22"/>
  <c r="J136" i="38"/>
  <c r="K136" s="1"/>
  <c r="K205"/>
  <c r="M205" s="1"/>
  <c r="N205" s="1"/>
  <c r="R88" i="20"/>
  <c r="M1014" i="33"/>
  <c r="M1150"/>
  <c r="M1349"/>
  <c r="M154" i="38"/>
  <c r="N154" s="1"/>
  <c r="M1077" i="33"/>
  <c r="M1127"/>
  <c r="M989"/>
  <c r="M1012"/>
  <c r="M1016"/>
  <c r="M1146"/>
  <c r="M1247"/>
  <c r="M1255"/>
  <c r="M1210"/>
  <c r="M1332"/>
  <c r="M1294"/>
  <c r="I39" i="13"/>
  <c r="J189" i="38"/>
  <c r="K189" s="1"/>
  <c r="M189" s="1"/>
  <c r="N189" s="1"/>
  <c r="M1148" i="33"/>
  <c r="M1152"/>
  <c r="M1249"/>
  <c r="M1253"/>
  <c r="M1236"/>
  <c r="M1244"/>
  <c r="M1338"/>
  <c r="M1290"/>
  <c r="M1296"/>
  <c r="J155" i="38"/>
  <c r="K155" s="1"/>
  <c r="M148"/>
  <c r="N148" s="1"/>
  <c r="L138"/>
  <c r="O355" i="22"/>
  <c r="O359"/>
  <c r="O363"/>
  <c r="O367"/>
  <c r="O371"/>
  <c r="M164"/>
  <c r="L98"/>
  <c r="M98" s="1"/>
  <c r="L105"/>
  <c r="M105" s="1"/>
  <c r="J141" i="38"/>
  <c r="K141" s="1"/>
  <c r="P86" i="22"/>
  <c r="M325"/>
  <c r="M208" i="38"/>
  <c r="N208" s="1"/>
  <c r="J194"/>
  <c r="K194" s="1"/>
  <c r="M193"/>
  <c r="N193" s="1"/>
  <c r="L217" i="5"/>
  <c r="V215"/>
  <c r="H215" i="6" s="1"/>
  <c r="M220"/>
  <c r="T220" s="1"/>
  <c r="AA220" s="1"/>
  <c r="M218" i="8"/>
  <c r="T218" s="1"/>
  <c r="AA218" s="1"/>
  <c r="M220" i="5"/>
  <c r="T220" s="1"/>
  <c r="AA220" s="1"/>
  <c r="M218" i="7"/>
  <c r="T218" s="1"/>
  <c r="AA218" s="1"/>
  <c r="M219" i="8"/>
  <c r="T219" s="1"/>
  <c r="AA219" s="1"/>
  <c r="L218" i="5"/>
  <c r="S218" s="1"/>
  <c r="Z218" s="1"/>
  <c r="L220"/>
  <c r="S220" s="1"/>
  <c r="Z220" s="1"/>
  <c r="L219" i="6"/>
  <c r="S219" s="1"/>
  <c r="Z219" s="1"/>
  <c r="L218" i="7"/>
  <c r="S218" s="1"/>
  <c r="Z218" s="1"/>
  <c r="L220"/>
  <c r="S220" s="1"/>
  <c r="Z220" s="1"/>
  <c r="P141" i="22"/>
  <c r="M141"/>
  <c r="L16"/>
  <c r="L29"/>
  <c r="M201" i="38"/>
  <c r="N201" s="1"/>
  <c r="M186"/>
  <c r="N186" s="1"/>
  <c r="L18" i="22"/>
  <c r="M204" i="38"/>
  <c r="N204" s="1"/>
  <c r="F157"/>
  <c r="F166" i="28" s="1"/>
  <c r="F165" s="1"/>
  <c r="J138" i="38"/>
  <c r="L132"/>
  <c r="M132" s="1"/>
  <c r="N132" s="1"/>
  <c r="L133"/>
  <c r="L151"/>
  <c r="L142"/>
  <c r="M142" s="1"/>
  <c r="N142" s="1"/>
  <c r="L152"/>
  <c r="J133"/>
  <c r="K133" s="1"/>
  <c r="L319" i="22"/>
  <c r="K328"/>
  <c r="L85" i="38"/>
  <c r="L89"/>
  <c r="L91"/>
  <c r="L93"/>
  <c r="L95"/>
  <c r="L98"/>
  <c r="L99"/>
  <c r="O352" i="22"/>
  <c r="M86" i="38"/>
  <c r="N86" s="1"/>
  <c r="M90"/>
  <c r="N90" s="1"/>
  <c r="O357" i="22"/>
  <c r="O365"/>
  <c r="L77" i="38"/>
  <c r="L84"/>
  <c r="M84" s="1"/>
  <c r="N84" s="1"/>
  <c r="L88"/>
  <c r="L92"/>
  <c r="M92" s="1"/>
  <c r="N92" s="1"/>
  <c r="L96"/>
  <c r="M96" s="1"/>
  <c r="N96" s="1"/>
  <c r="K358" i="22"/>
  <c r="K362"/>
  <c r="M153" i="38"/>
  <c r="N153" s="1"/>
  <c r="L100"/>
  <c r="L155"/>
  <c r="L30"/>
  <c r="L43"/>
  <c r="L38"/>
  <c r="M206"/>
  <c r="M190"/>
  <c r="N190" s="1"/>
  <c r="M317" i="22"/>
  <c r="J199" i="38"/>
  <c r="J203"/>
  <c r="J209"/>
  <c r="K209" s="1"/>
  <c r="J197"/>
  <c r="J207"/>
  <c r="J191"/>
  <c r="M198"/>
  <c r="N198" s="1"/>
  <c r="M192"/>
  <c r="N192" s="1"/>
  <c r="J211"/>
  <c r="J196"/>
  <c r="J195"/>
  <c r="P1" i="21"/>
  <c r="K108" i="40"/>
  <c r="K44" i="4"/>
  <c r="K46" s="1"/>
  <c r="H187" i="38"/>
  <c r="L327" i="22"/>
  <c r="L313"/>
  <c r="M326"/>
  <c r="M321"/>
  <c r="O7" i="35"/>
  <c r="R7" s="1"/>
  <c r="C9"/>
  <c r="G8" i="23"/>
  <c r="M1538" i="33" s="1"/>
  <c r="C9" i="36"/>
  <c r="D24" i="4"/>
  <c r="D37"/>
  <c r="M8" i="35"/>
  <c r="H8"/>
  <c r="L8"/>
  <c r="D8"/>
  <c r="B8"/>
  <c r="G8"/>
  <c r="N7" i="36"/>
  <c r="O7" s="1"/>
  <c r="R7" s="1"/>
  <c r="L8"/>
  <c r="D8"/>
  <c r="M8"/>
  <c r="H8"/>
  <c r="B8"/>
  <c r="G8"/>
  <c r="M1417" i="33"/>
  <c r="G113" i="39"/>
  <c r="H114"/>
  <c r="K114" s="1"/>
  <c r="P138" i="22"/>
  <c r="M138"/>
  <c r="P125"/>
  <c r="M125"/>
  <c r="P142"/>
  <c r="M142"/>
  <c r="M146" i="38"/>
  <c r="N146" s="1"/>
  <c r="M144"/>
  <c r="N144" s="1"/>
  <c r="P64" i="22"/>
  <c r="M64"/>
  <c r="P56"/>
  <c r="M56"/>
  <c r="P65"/>
  <c r="M65"/>
  <c r="P52"/>
  <c r="M52"/>
  <c r="P61"/>
  <c r="M61"/>
  <c r="P18"/>
  <c r="M18"/>
  <c r="P28"/>
  <c r="M28"/>
  <c r="K296"/>
  <c r="M15"/>
  <c r="L20"/>
  <c r="M34" i="38" s="1"/>
  <c r="N34" s="1"/>
  <c r="I41" i="13"/>
  <c r="G41"/>
  <c r="G52" s="1"/>
  <c r="G53" s="1"/>
  <c r="P122" i="22"/>
  <c r="M122"/>
  <c r="P55"/>
  <c r="M55"/>
  <c r="P60"/>
  <c r="L363"/>
  <c r="P363" s="1"/>
  <c r="M60"/>
  <c r="M248"/>
  <c r="M168"/>
  <c r="K145"/>
  <c r="L92"/>
  <c r="H157" i="38"/>
  <c r="N23"/>
  <c r="M24"/>
  <c r="K68" i="22"/>
  <c r="M50"/>
  <c r="L40" i="38"/>
  <c r="K30" i="22"/>
  <c r="P7"/>
  <c r="M7"/>
  <c r="M165"/>
  <c r="P139"/>
  <c r="M139"/>
  <c r="P26"/>
  <c r="M26"/>
  <c r="P16"/>
  <c r="M16"/>
  <c r="P25"/>
  <c r="M25"/>
  <c r="M40" i="38"/>
  <c r="P29" i="22"/>
  <c r="M29"/>
  <c r="P144"/>
  <c r="M144"/>
  <c r="P24"/>
  <c r="M24"/>
  <c r="P27"/>
  <c r="M27"/>
  <c r="M41" i="38"/>
  <c r="M173" i="22"/>
  <c r="L45"/>
  <c r="L66"/>
  <c r="P66" s="1"/>
  <c r="M49"/>
  <c r="L14"/>
  <c r="L41" i="38"/>
  <c r="N41" s="1"/>
  <c r="O30" i="22"/>
  <c r="M17"/>
  <c r="M19"/>
  <c r="M8"/>
  <c r="M12"/>
  <c r="L21"/>
  <c r="N35"/>
  <c r="M34"/>
  <c r="N31"/>
  <c r="N36"/>
  <c r="J31"/>
  <c r="P6"/>
  <c r="M6"/>
  <c r="L282"/>
  <c r="L296" s="1"/>
  <c r="M280"/>
  <c r="L246"/>
  <c r="M169"/>
  <c r="L156" i="38"/>
  <c r="K372" i="22"/>
  <c r="M127"/>
  <c r="M10"/>
  <c r="L23"/>
  <c r="P67"/>
  <c r="M67"/>
  <c r="P53"/>
  <c r="M53"/>
  <c r="P47"/>
  <c r="M47"/>
  <c r="M44" i="38"/>
  <c r="N44" s="1"/>
  <c r="L62" i="22"/>
  <c r="M59"/>
  <c r="L46"/>
  <c r="L21" i="38"/>
  <c r="M63" i="22"/>
  <c r="L24" i="38"/>
  <c r="M72" i="22"/>
  <c r="N73"/>
  <c r="N69"/>
  <c r="P58"/>
  <c r="N74"/>
  <c r="J69"/>
  <c r="P44"/>
  <c r="M82" i="38"/>
  <c r="N82" s="1"/>
  <c r="M45" i="22"/>
  <c r="M57"/>
  <c r="M54"/>
  <c r="M27" i="38"/>
  <c r="N27" s="1"/>
  <c r="P89" i="22"/>
  <c r="M89"/>
  <c r="L26" i="38"/>
  <c r="L88" i="22"/>
  <c r="L28" i="38"/>
  <c r="L90" i="22"/>
  <c r="L32" i="38"/>
  <c r="L94" i="22"/>
  <c r="P98"/>
  <c r="M36" i="38"/>
  <c r="N36" s="1"/>
  <c r="P105" i="22"/>
  <c r="M45" i="38"/>
  <c r="N117" i="22"/>
  <c r="N340" s="1"/>
  <c r="N467" s="1"/>
  <c r="N112"/>
  <c r="M111"/>
  <c r="N45" i="38"/>
  <c r="L91" i="22"/>
  <c r="L93"/>
  <c r="J156" i="38"/>
  <c r="K156" s="1"/>
  <c r="O106" i="22"/>
  <c r="O117" s="1"/>
  <c r="O340" s="1"/>
  <c r="O467" s="1"/>
  <c r="I46" i="38"/>
  <c r="F21" i="28" s="1"/>
  <c r="F22" s="1"/>
  <c r="F23" s="1"/>
  <c r="L25" i="38"/>
  <c r="L87" i="22"/>
  <c r="P82"/>
  <c r="M20" i="38"/>
  <c r="M30"/>
  <c r="N30" s="1"/>
  <c r="P92" i="22"/>
  <c r="M43" i="38"/>
  <c r="N43" s="1"/>
  <c r="P102" i="22"/>
  <c r="L20" i="38"/>
  <c r="K106" i="22"/>
  <c r="K117" s="1"/>
  <c r="J117"/>
  <c r="N113"/>
  <c r="H47" i="38"/>
  <c r="H48" s="1"/>
  <c r="I340" i="22"/>
  <c r="I467" s="1"/>
  <c r="F47" i="38"/>
  <c r="F48" s="1"/>
  <c r="L95" i="22"/>
  <c r="J150" i="38"/>
  <c r="K150" s="1"/>
  <c r="M150" s="1"/>
  <c r="N150" s="1"/>
  <c r="M92" i="22"/>
  <c r="P123"/>
  <c r="M123"/>
  <c r="P140"/>
  <c r="M140"/>
  <c r="L367"/>
  <c r="P367" s="1"/>
  <c r="P126"/>
  <c r="M126"/>
  <c r="P128"/>
  <c r="M128"/>
  <c r="P129"/>
  <c r="M129"/>
  <c r="L131"/>
  <c r="L141" i="38"/>
  <c r="M141" s="1"/>
  <c r="N141" s="1"/>
  <c r="L133" i="22"/>
  <c r="L143" i="38"/>
  <c r="M143" s="1"/>
  <c r="N143" s="1"/>
  <c r="P135" i="22"/>
  <c r="M135"/>
  <c r="P137"/>
  <c r="M137"/>
  <c r="N151"/>
  <c r="J146"/>
  <c r="P130"/>
  <c r="M130"/>
  <c r="P132"/>
  <c r="M132"/>
  <c r="P134"/>
  <c r="M134"/>
  <c r="P136"/>
  <c r="M136"/>
  <c r="M152" i="38"/>
  <c r="N152" s="1"/>
  <c r="I101"/>
  <c r="F94" i="28" s="1"/>
  <c r="M124" i="22"/>
  <c r="L143"/>
  <c r="L121"/>
  <c r="M88" i="38"/>
  <c r="M191" i="22"/>
  <c r="N192"/>
  <c r="N188"/>
  <c r="N193"/>
  <c r="J188"/>
  <c r="O187"/>
  <c r="M176"/>
  <c r="M180"/>
  <c r="M366" s="1"/>
  <c r="M184"/>
  <c r="L187"/>
  <c r="M370"/>
  <c r="L369"/>
  <c r="P369" s="1"/>
  <c r="O356"/>
  <c r="O360"/>
  <c r="O364"/>
  <c r="M100" i="38"/>
  <c r="N100" s="1"/>
  <c r="O369" i="22"/>
  <c r="M98" i="38"/>
  <c r="N98" s="1"/>
  <c r="O372" i="22"/>
  <c r="M166"/>
  <c r="M167"/>
  <c r="M178"/>
  <c r="M182"/>
  <c r="M186"/>
  <c r="M171"/>
  <c r="P187"/>
  <c r="M77" i="38"/>
  <c r="N77" s="1"/>
  <c r="M97"/>
  <c r="N97" s="1"/>
  <c r="L354" i="22"/>
  <c r="P354" s="1"/>
  <c r="P209"/>
  <c r="L83" i="38"/>
  <c r="M83" s="1"/>
  <c r="N83" s="1"/>
  <c r="K355" i="22"/>
  <c r="L139" i="38"/>
  <c r="M139" s="1"/>
  <c r="N139" s="1"/>
  <c r="M85"/>
  <c r="N85" s="1"/>
  <c r="M89"/>
  <c r="N89" s="1"/>
  <c r="M93"/>
  <c r="N93" s="1"/>
  <c r="M99"/>
  <c r="N99" s="1"/>
  <c r="L81"/>
  <c r="M81" s="1"/>
  <c r="K353" i="22"/>
  <c r="L137" i="38"/>
  <c r="M137" s="1"/>
  <c r="N137" s="1"/>
  <c r="L358" i="22"/>
  <c r="P358" s="1"/>
  <c r="P213"/>
  <c r="L360"/>
  <c r="P360" s="1"/>
  <c r="P215"/>
  <c r="L366"/>
  <c r="P366" s="1"/>
  <c r="P221"/>
  <c r="L368"/>
  <c r="P368" s="1"/>
  <c r="P223"/>
  <c r="L370"/>
  <c r="P370" s="1"/>
  <c r="P225"/>
  <c r="L372"/>
  <c r="P372" s="1"/>
  <c r="P227"/>
  <c r="M227"/>
  <c r="F92" i="28"/>
  <c r="L208" i="22"/>
  <c r="L355"/>
  <c r="P355" s="1"/>
  <c r="P210"/>
  <c r="M87" i="38"/>
  <c r="N87" s="1"/>
  <c r="M91"/>
  <c r="N91" s="1"/>
  <c r="M95"/>
  <c r="N95" s="1"/>
  <c r="L75"/>
  <c r="K228" i="22"/>
  <c r="K347"/>
  <c r="L131" i="38"/>
  <c r="M131" s="1"/>
  <c r="L80"/>
  <c r="M80" s="1"/>
  <c r="N80" s="1"/>
  <c r="K352" i="22"/>
  <c r="L136" i="38"/>
  <c r="M136" s="1"/>
  <c r="N136" s="1"/>
  <c r="L76"/>
  <c r="M76" s="1"/>
  <c r="N76" s="1"/>
  <c r="K348" i="22"/>
  <c r="L203"/>
  <c r="L79" i="38"/>
  <c r="M79" s="1"/>
  <c r="N79" s="1"/>
  <c r="K351" i="22"/>
  <c r="L206"/>
  <c r="I341"/>
  <c r="I242"/>
  <c r="M233"/>
  <c r="N230"/>
  <c r="N1"/>
  <c r="N3" s="1"/>
  <c r="N241"/>
  <c r="N234"/>
  <c r="N235"/>
  <c r="J1"/>
  <c r="J241"/>
  <c r="J230"/>
  <c r="O228"/>
  <c r="O347"/>
  <c r="P204"/>
  <c r="L356"/>
  <c r="P356" s="1"/>
  <c r="P211"/>
  <c r="L362"/>
  <c r="P362" s="1"/>
  <c r="P217"/>
  <c r="L364"/>
  <c r="P364" s="1"/>
  <c r="P219"/>
  <c r="J75" i="38"/>
  <c r="H101"/>
  <c r="I2" i="22" s="1"/>
  <c r="I3" s="1"/>
  <c r="M210"/>
  <c r="L202"/>
  <c r="L207"/>
  <c r="M333"/>
  <c r="N334"/>
  <c r="N335"/>
  <c r="L328"/>
  <c r="P312"/>
  <c r="M312"/>
  <c r="M316"/>
  <c r="M320"/>
  <c r="M324"/>
  <c r="M315"/>
  <c r="M319"/>
  <c r="M323"/>
  <c r="M314"/>
  <c r="M350" s="1"/>
  <c r="O328"/>
  <c r="L263"/>
  <c r="P246"/>
  <c r="P263" s="1"/>
  <c r="M246"/>
  <c r="M249"/>
  <c r="M254"/>
  <c r="M258"/>
  <c r="M262"/>
  <c r="J263"/>
  <c r="J342" s="1"/>
  <c r="J469" s="1"/>
  <c r="O246"/>
  <c r="O263" s="1"/>
  <c r="O265" s="1"/>
  <c r="M268"/>
  <c r="N265"/>
  <c r="N269"/>
  <c r="M247"/>
  <c r="M252"/>
  <c r="M256"/>
  <c r="M260"/>
  <c r="K138" i="38"/>
  <c r="M138" s="1"/>
  <c r="N138" s="1"/>
  <c r="P284" i="22"/>
  <c r="M284"/>
  <c r="P292"/>
  <c r="P282"/>
  <c r="M282"/>
  <c r="P287"/>
  <c r="M287"/>
  <c r="L145" i="38"/>
  <c r="M145" s="1"/>
  <c r="P293" i="22"/>
  <c r="N303"/>
  <c r="O296"/>
  <c r="N342"/>
  <c r="N469" s="1"/>
  <c r="M301"/>
  <c r="N302"/>
  <c r="M147" i="38"/>
  <c r="N147" s="1"/>
  <c r="M133"/>
  <c r="N133" s="1"/>
  <c r="M293" i="22"/>
  <c r="L135" i="38"/>
  <c r="M135" s="1"/>
  <c r="N135" s="1"/>
  <c r="P289" i="22"/>
  <c r="P291"/>
  <c r="M291"/>
  <c r="L149" i="38"/>
  <c r="M155"/>
  <c r="N155" s="1"/>
  <c r="P280" i="22"/>
  <c r="P288"/>
  <c r="M288"/>
  <c r="M151" i="38"/>
  <c r="N151" s="1"/>
  <c r="P285" i="22"/>
  <c r="M285"/>
  <c r="M292"/>
  <c r="I157" i="38"/>
  <c r="H236" i="39"/>
  <c r="O6" i="28"/>
  <c r="N6"/>
  <c r="N44" i="4"/>
  <c r="O49"/>
  <c r="O44" s="1"/>
  <c r="O29" s="1"/>
  <c r="O6" i="36"/>
  <c r="V11" i="5"/>
  <c r="H11" i="6" s="1"/>
  <c r="W11" i="5"/>
  <c r="I11" i="6" s="1"/>
  <c r="V13" i="5"/>
  <c r="H13" i="6" s="1"/>
  <c r="W13" i="5"/>
  <c r="I13" i="6" s="1"/>
  <c r="Z6" i="22"/>
  <c r="O6" i="35"/>
  <c r="W6" i="5"/>
  <c r="I6" i="6" s="1"/>
  <c r="V6" i="5"/>
  <c r="W7"/>
  <c r="I7" i="6" s="1"/>
  <c r="V7" i="5"/>
  <c r="H7" i="6" s="1"/>
  <c r="W17" i="5"/>
  <c r="I17" i="6" s="1"/>
  <c r="V17" i="5"/>
  <c r="W21"/>
  <c r="I21" i="6" s="1"/>
  <c r="V21" i="5"/>
  <c r="H21" i="6" s="1"/>
  <c r="W25" i="5"/>
  <c r="I25" i="6" s="1"/>
  <c r="V25" i="5"/>
  <c r="W29"/>
  <c r="I29" i="6" s="1"/>
  <c r="V29" i="5"/>
  <c r="H29" i="6" s="1"/>
  <c r="W33" i="5"/>
  <c r="I33" i="6" s="1"/>
  <c r="V33" i="5"/>
  <c r="H33" i="6" s="1"/>
  <c r="W36" i="5"/>
  <c r="I36" i="6" s="1"/>
  <c r="V36" i="5"/>
  <c r="W40"/>
  <c r="I40" i="6" s="1"/>
  <c r="V40" i="5"/>
  <c r="H40" i="6" s="1"/>
  <c r="W42" i="5"/>
  <c r="I42" i="6" s="1"/>
  <c r="V42" i="5"/>
  <c r="H42" i="6" s="1"/>
  <c r="W44" i="5"/>
  <c r="I44" i="6" s="1"/>
  <c r="V44" i="5"/>
  <c r="H44" i="6" s="1"/>
  <c r="W46" i="5"/>
  <c r="I46" i="6" s="1"/>
  <c r="V46" i="5"/>
  <c r="H46" i="6" s="1"/>
  <c r="W58" i="5"/>
  <c r="I58" i="6" s="1"/>
  <c r="V58" i="5"/>
  <c r="D18" i="27" s="1"/>
  <c r="E9" s="1"/>
  <c r="W60" i="5"/>
  <c r="I60" i="6" s="1"/>
  <c r="V60" i="5"/>
  <c r="H60" i="6" s="1"/>
  <c r="W62" i="5"/>
  <c r="I62" i="6" s="1"/>
  <c r="V62" i="5"/>
  <c r="H62" i="6" s="1"/>
  <c r="W85" i="5"/>
  <c r="I85" i="6" s="1"/>
  <c r="V85" i="5"/>
  <c r="W107"/>
  <c r="I107" i="6" s="1"/>
  <c r="V107" i="5"/>
  <c r="W111"/>
  <c r="V111"/>
  <c r="W119"/>
  <c r="I119" i="6" s="1"/>
  <c r="V119" i="5"/>
  <c r="W121"/>
  <c r="I121" i="6" s="1"/>
  <c r="V121" i="5"/>
  <c r="H121" i="6" s="1"/>
  <c r="W123" i="5"/>
  <c r="I123" i="6" s="1"/>
  <c r="V123" i="5"/>
  <c r="W125"/>
  <c r="I125" i="6" s="1"/>
  <c r="V125" i="5"/>
  <c r="W127"/>
  <c r="I127" i="6" s="1"/>
  <c r="V127" i="5"/>
  <c r="W129"/>
  <c r="I129" i="6" s="1"/>
  <c r="V129" i="5"/>
  <c r="H129" i="6" s="1"/>
  <c r="W131" i="5"/>
  <c r="I131" i="6" s="1"/>
  <c r="V131" i="5"/>
  <c r="W133"/>
  <c r="I133" i="6" s="1"/>
  <c r="V133" i="5"/>
  <c r="W135"/>
  <c r="I135" i="6" s="1"/>
  <c r="V135" i="5"/>
  <c r="W137"/>
  <c r="I137" i="6" s="1"/>
  <c r="V137" i="5"/>
  <c r="U141"/>
  <c r="W141" s="1"/>
  <c r="U143"/>
  <c r="W143" s="1"/>
  <c r="U145"/>
  <c r="W145" s="1"/>
  <c r="U147"/>
  <c r="W147" s="1"/>
  <c r="U149"/>
  <c r="W149" s="1"/>
  <c r="U151"/>
  <c r="W151" s="1"/>
  <c r="U153"/>
  <c r="W153" s="1"/>
  <c r="U155"/>
  <c r="W155" s="1"/>
  <c r="U157"/>
  <c r="W157" s="1"/>
  <c r="U159"/>
  <c r="W159" s="1"/>
  <c r="U161"/>
  <c r="W161" s="1"/>
  <c r="U163"/>
  <c r="W163" s="1"/>
  <c r="U165"/>
  <c r="W165" s="1"/>
  <c r="U167"/>
  <c r="W167" s="1"/>
  <c r="U169"/>
  <c r="W169" s="1"/>
  <c r="U171"/>
  <c r="W171" s="1"/>
  <c r="U173"/>
  <c r="W173" s="1"/>
  <c r="U175"/>
  <c r="W175" s="1"/>
  <c r="U177"/>
  <c r="W177" s="1"/>
  <c r="U179"/>
  <c r="W179" s="1"/>
  <c r="U181"/>
  <c r="W181" s="1"/>
  <c r="U183"/>
  <c r="W183" s="1"/>
  <c r="U185"/>
  <c r="W185" s="1"/>
  <c r="U187"/>
  <c r="W187" s="1"/>
  <c r="U189"/>
  <c r="W189" s="1"/>
  <c r="T140"/>
  <c r="S216"/>
  <c r="U142"/>
  <c r="W142" s="1"/>
  <c r="U146"/>
  <c r="W146" s="1"/>
  <c r="U150"/>
  <c r="W150" s="1"/>
  <c r="U154"/>
  <c r="W154" s="1"/>
  <c r="U158"/>
  <c r="W158" s="1"/>
  <c r="U162"/>
  <c r="W162" s="1"/>
  <c r="U166"/>
  <c r="W166" s="1"/>
  <c r="U170"/>
  <c r="W170" s="1"/>
  <c r="U174"/>
  <c r="W174" s="1"/>
  <c r="U178"/>
  <c r="W178" s="1"/>
  <c r="U182"/>
  <c r="W182" s="1"/>
  <c r="U186"/>
  <c r="W186" s="1"/>
  <c r="U190"/>
  <c r="W190" s="1"/>
  <c r="U192"/>
  <c r="V192" s="1"/>
  <c r="U194"/>
  <c r="V194" s="1"/>
  <c r="U196"/>
  <c r="V196" s="1"/>
  <c r="U198"/>
  <c r="U200"/>
  <c r="V200" s="1"/>
  <c r="U202"/>
  <c r="W202" s="1"/>
  <c r="U204"/>
  <c r="V204" s="1"/>
  <c r="U206"/>
  <c r="W206" s="1"/>
  <c r="U208"/>
  <c r="V208" s="1"/>
  <c r="U210"/>
  <c r="W210" s="1"/>
  <c r="U212"/>
  <c r="V212" s="1"/>
  <c r="U214"/>
  <c r="W214" s="1"/>
  <c r="N15" i="4"/>
  <c r="O20"/>
  <c r="O15" s="1"/>
  <c r="W9" i="5"/>
  <c r="I9" i="6" s="1"/>
  <c r="V9" i="5"/>
  <c r="H9" i="6" s="1"/>
  <c r="W19" i="5"/>
  <c r="I19" i="6" s="1"/>
  <c r="V19" i="5"/>
  <c r="H19" i="6" s="1"/>
  <c r="W23" i="5"/>
  <c r="I23" i="6" s="1"/>
  <c r="V23" i="5"/>
  <c r="W27"/>
  <c r="I27" i="6" s="1"/>
  <c r="V27" i="5"/>
  <c r="H27" i="6" s="1"/>
  <c r="W31" i="5"/>
  <c r="I31" i="6" s="1"/>
  <c r="V31" i="5"/>
  <c r="H31" i="6" s="1"/>
  <c r="W35" i="5"/>
  <c r="I35" i="6" s="1"/>
  <c r="V35" i="5"/>
  <c r="H35" i="6" s="1"/>
  <c r="W38" i="5"/>
  <c r="I38" i="6" s="1"/>
  <c r="V38" i="5"/>
  <c r="H38" i="6" s="1"/>
  <c r="W48" i="5"/>
  <c r="I48" i="6" s="1"/>
  <c r="V48" i="5"/>
  <c r="W50"/>
  <c r="I50" i="6" s="1"/>
  <c r="V50" i="5"/>
  <c r="W52"/>
  <c r="I52" i="6" s="1"/>
  <c r="V52" i="5"/>
  <c r="W54"/>
  <c r="I54" i="6" s="1"/>
  <c r="V54" i="5"/>
  <c r="W56"/>
  <c r="I56" i="6" s="1"/>
  <c r="V56" i="5"/>
  <c r="W64"/>
  <c r="I64" i="6" s="1"/>
  <c r="V64" i="5"/>
  <c r="W66"/>
  <c r="I66" i="6" s="1"/>
  <c r="V66" i="5"/>
  <c r="W68"/>
  <c r="I68" i="6" s="1"/>
  <c r="V68" i="5"/>
  <c r="W70"/>
  <c r="I70" i="6" s="1"/>
  <c r="V70" i="5"/>
  <c r="W72"/>
  <c r="I72" i="6" s="1"/>
  <c r="V72" i="5"/>
  <c r="W74"/>
  <c r="I74" i="6" s="1"/>
  <c r="V74" i="5"/>
  <c r="W76"/>
  <c r="I76" i="6" s="1"/>
  <c r="V76" i="5"/>
  <c r="W78"/>
  <c r="I78" i="6" s="1"/>
  <c r="V78" i="5"/>
  <c r="W80"/>
  <c r="I80" i="6" s="1"/>
  <c r="V80" i="5"/>
  <c r="W82"/>
  <c r="I82" i="6" s="1"/>
  <c r="V82" i="5"/>
  <c r="W84"/>
  <c r="I84" i="6" s="1"/>
  <c r="V84" i="5"/>
  <c r="W86"/>
  <c r="I86" i="6" s="1"/>
  <c r="V86" i="5"/>
  <c r="W88"/>
  <c r="I88" i="6" s="1"/>
  <c r="V88" i="5"/>
  <c r="W90"/>
  <c r="I90" i="6" s="1"/>
  <c r="V90" i="5"/>
  <c r="W92"/>
  <c r="I92" i="6" s="1"/>
  <c r="V92" i="5"/>
  <c r="W94"/>
  <c r="I94" i="6" s="1"/>
  <c r="V94" i="5"/>
  <c r="W96"/>
  <c r="I96" i="6" s="1"/>
  <c r="V96" i="5"/>
  <c r="W98"/>
  <c r="I98" i="6" s="1"/>
  <c r="V98" i="5"/>
  <c r="W100"/>
  <c r="I100" i="6" s="1"/>
  <c r="V100" i="5"/>
  <c r="W102"/>
  <c r="I102" i="6" s="1"/>
  <c r="V102" i="5"/>
  <c r="W104"/>
  <c r="I104" i="6" s="1"/>
  <c r="V104" i="5"/>
  <c r="W108"/>
  <c r="I108" i="6" s="1"/>
  <c r="V108" i="5"/>
  <c r="W112"/>
  <c r="I112" i="6" s="1"/>
  <c r="V112" i="5"/>
  <c r="W116"/>
  <c r="I116" i="6" s="1"/>
  <c r="V116" i="5"/>
  <c r="F38" i="26"/>
  <c r="T197" i="5"/>
  <c r="J46" i="38"/>
  <c r="K20"/>
  <c r="G343" i="39"/>
  <c r="G357" s="1"/>
  <c r="O6"/>
  <c r="H49" i="37"/>
  <c r="Y6" i="22"/>
  <c r="W215" i="5"/>
  <c r="V15"/>
  <c r="H15" i="6" s="1"/>
  <c r="W15" i="5"/>
  <c r="I15" i="6" s="1"/>
  <c r="V8" i="5"/>
  <c r="H8" i="6" s="1"/>
  <c r="W8" i="5"/>
  <c r="I8" i="6" s="1"/>
  <c r="V18" i="5"/>
  <c r="W18"/>
  <c r="I18" i="6" s="1"/>
  <c r="V20" i="5"/>
  <c r="W20"/>
  <c r="I20" i="6" s="1"/>
  <c r="V24" i="5"/>
  <c r="H24" i="6" s="1"/>
  <c r="W24" i="5"/>
  <c r="I24" i="6" s="1"/>
  <c r="V28" i="5"/>
  <c r="W28"/>
  <c r="I28" i="6" s="1"/>
  <c r="V32" i="5"/>
  <c r="W32"/>
  <c r="I32" i="6" s="1"/>
  <c r="V37" i="5"/>
  <c r="H37" i="6" s="1"/>
  <c r="W37" i="5"/>
  <c r="I37" i="6" s="1"/>
  <c r="V39" i="5"/>
  <c r="W39"/>
  <c r="I39" i="6" s="1"/>
  <c r="V45" i="5"/>
  <c r="W45"/>
  <c r="I45" i="6" s="1"/>
  <c r="V47" i="5"/>
  <c r="H47" i="6" s="1"/>
  <c r="W47" i="5"/>
  <c r="I47" i="6" s="1"/>
  <c r="V51" i="5"/>
  <c r="H51" i="6" s="1"/>
  <c r="W51" i="5"/>
  <c r="I51" i="6" s="1"/>
  <c r="V55" i="5"/>
  <c r="H55" i="6" s="1"/>
  <c r="W55" i="5"/>
  <c r="I55" i="6" s="1"/>
  <c r="V61" i="5"/>
  <c r="H61" i="6" s="1"/>
  <c r="W61" i="5"/>
  <c r="I61" i="6" s="1"/>
  <c r="V63" i="5"/>
  <c r="H63" i="6" s="1"/>
  <c r="W63" i="5"/>
  <c r="I63" i="6" s="1"/>
  <c r="V65" i="5"/>
  <c r="H65" i="6" s="1"/>
  <c r="W65" i="5"/>
  <c r="I65" i="6" s="1"/>
  <c r="V67" i="5"/>
  <c r="W67"/>
  <c r="I67" i="6" s="1"/>
  <c r="V71" i="5"/>
  <c r="H71" i="6" s="1"/>
  <c r="W71" i="5"/>
  <c r="I71" i="6" s="1"/>
  <c r="V75" i="5"/>
  <c r="H75" i="6" s="1"/>
  <c r="W75" i="5"/>
  <c r="I75" i="6" s="1"/>
  <c r="V79" i="5"/>
  <c r="H79" i="6" s="1"/>
  <c r="W79" i="5"/>
  <c r="I79" i="6" s="1"/>
  <c r="V83" i="5"/>
  <c r="W83"/>
  <c r="I83" i="6" s="1"/>
  <c r="V91" i="5"/>
  <c r="W91"/>
  <c r="I91" i="6" s="1"/>
  <c r="V95" i="5"/>
  <c r="W95"/>
  <c r="I95" i="6" s="1"/>
  <c r="V99" i="5"/>
  <c r="W99"/>
  <c r="I99" i="6" s="1"/>
  <c r="V103" i="5"/>
  <c r="W103"/>
  <c r="I103" i="6" s="1"/>
  <c r="V106" i="5"/>
  <c r="H106" i="6" s="1"/>
  <c r="W106" i="5"/>
  <c r="I106" i="6" s="1"/>
  <c r="V110" i="5"/>
  <c r="H110" i="6" s="1"/>
  <c r="W110" i="5"/>
  <c r="I110" i="6" s="1"/>
  <c r="V114" i="5"/>
  <c r="W114"/>
  <c r="V117"/>
  <c r="W117"/>
  <c r="V120"/>
  <c r="H120" i="6" s="1"/>
  <c r="W120" i="5"/>
  <c r="I120" i="6" s="1"/>
  <c r="V124" i="5"/>
  <c r="H124" i="6" s="1"/>
  <c r="W124" i="5"/>
  <c r="I124" i="6" s="1"/>
  <c r="V128" i="5"/>
  <c r="H128" i="6" s="1"/>
  <c r="W128" i="5"/>
  <c r="I128" i="6" s="1"/>
  <c r="V132" i="5"/>
  <c r="W132"/>
  <c r="I132" i="6" s="1"/>
  <c r="V136" i="5"/>
  <c r="W136"/>
  <c r="I136" i="6" s="1"/>
  <c r="R216" i="5"/>
  <c r="U140"/>
  <c r="I49" i="29"/>
  <c r="I53" s="1"/>
  <c r="T198" i="5"/>
  <c r="W4"/>
  <c r="R139"/>
  <c r="V4"/>
  <c r="AA4" s="1"/>
  <c r="V12"/>
  <c r="W12"/>
  <c r="I12" i="6" s="1"/>
  <c r="V14" i="5"/>
  <c r="W14"/>
  <c r="I14" i="6" s="1"/>
  <c r="V16" i="5"/>
  <c r="W16"/>
  <c r="I16" i="6" s="1"/>
  <c r="V5" i="5"/>
  <c r="W5"/>
  <c r="I5" i="6" s="1"/>
  <c r="V10" i="5"/>
  <c r="W10"/>
  <c r="I10" i="6" s="1"/>
  <c r="V22" i="5"/>
  <c r="W22"/>
  <c r="I22" i="6" s="1"/>
  <c r="V26" i="5"/>
  <c r="W26"/>
  <c r="I26" i="6" s="1"/>
  <c r="V30" i="5"/>
  <c r="W30"/>
  <c r="I30" i="6" s="1"/>
  <c r="V34" i="5"/>
  <c r="W34"/>
  <c r="I34" i="6" s="1"/>
  <c r="V41" i="5"/>
  <c r="W41"/>
  <c r="I41" i="6" s="1"/>
  <c r="V43" i="5"/>
  <c r="W43"/>
  <c r="I43" i="6" s="1"/>
  <c r="V49" i="5"/>
  <c r="W49"/>
  <c r="I49" i="6" s="1"/>
  <c r="V53" i="5"/>
  <c r="W53"/>
  <c r="I53" i="6" s="1"/>
  <c r="V57" i="5"/>
  <c r="W57"/>
  <c r="I57" i="6" s="1"/>
  <c r="V59" i="5"/>
  <c r="W59"/>
  <c r="I59" i="6" s="1"/>
  <c r="V69" i="5"/>
  <c r="W69"/>
  <c r="I69" i="6" s="1"/>
  <c r="V73" i="5"/>
  <c r="W73"/>
  <c r="I73" i="6" s="1"/>
  <c r="V77" i="5"/>
  <c r="W77"/>
  <c r="I77" i="6" s="1"/>
  <c r="V81" i="5"/>
  <c r="W81"/>
  <c r="I81" i="6" s="1"/>
  <c r="V87" i="5"/>
  <c r="W87"/>
  <c r="I87" i="6" s="1"/>
  <c r="V89" i="5"/>
  <c r="W89"/>
  <c r="I89" i="6" s="1"/>
  <c r="V93" i="5"/>
  <c r="W93"/>
  <c r="I93" i="6" s="1"/>
  <c r="V97" i="5"/>
  <c r="W97"/>
  <c r="I97" i="6" s="1"/>
  <c r="V101" i="5"/>
  <c r="W101"/>
  <c r="I101" i="6" s="1"/>
  <c r="V105" i="5"/>
  <c r="W105"/>
  <c r="V109"/>
  <c r="W109"/>
  <c r="AJ109" s="1"/>
  <c r="V113"/>
  <c r="W113"/>
  <c r="V115"/>
  <c r="W115"/>
  <c r="I115" i="6" s="1"/>
  <c r="V118" i="5"/>
  <c r="W118"/>
  <c r="I118" i="6" s="1"/>
  <c r="V122" i="5"/>
  <c r="W122"/>
  <c r="I122" i="6" s="1"/>
  <c r="V126" i="5"/>
  <c r="W126"/>
  <c r="I126" i="6" s="1"/>
  <c r="V130" i="5"/>
  <c r="W130"/>
  <c r="I130" i="6" s="1"/>
  <c r="V134" i="5"/>
  <c r="W134"/>
  <c r="I134" i="6" s="1"/>
  <c r="V138" i="5"/>
  <c r="W138"/>
  <c r="I138" i="6" s="1"/>
  <c r="U144" i="5"/>
  <c r="W144" s="1"/>
  <c r="U148"/>
  <c r="W148" s="1"/>
  <c r="U152"/>
  <c r="W152" s="1"/>
  <c r="U156"/>
  <c r="W156" s="1"/>
  <c r="U160"/>
  <c r="W160" s="1"/>
  <c r="U164"/>
  <c r="W164" s="1"/>
  <c r="U168"/>
  <c r="W168" s="1"/>
  <c r="U172"/>
  <c r="W172" s="1"/>
  <c r="U176"/>
  <c r="W176" s="1"/>
  <c r="U180"/>
  <c r="W180" s="1"/>
  <c r="U184"/>
  <c r="W184" s="1"/>
  <c r="U188"/>
  <c r="W188" s="1"/>
  <c r="U191"/>
  <c r="W191" s="1"/>
  <c r="U193"/>
  <c r="W193" s="1"/>
  <c r="U195"/>
  <c r="W195" s="1"/>
  <c r="U197"/>
  <c r="U199"/>
  <c r="U201"/>
  <c r="W201" s="1"/>
  <c r="U203"/>
  <c r="W203" s="1"/>
  <c r="D105" i="27"/>
  <c r="E49" i="29"/>
  <c r="E53" s="1"/>
  <c r="U205" i="5"/>
  <c r="W205" s="1"/>
  <c r="U207"/>
  <c r="W207" s="1"/>
  <c r="U209"/>
  <c r="W209" s="1"/>
  <c r="U211"/>
  <c r="W211" s="1"/>
  <c r="U213"/>
  <c r="W213" s="1"/>
  <c r="F32" i="28"/>
  <c r="S139" i="5"/>
  <c r="P6" i="39"/>
  <c r="M434" i="22" l="1"/>
  <c r="K342"/>
  <c r="K469" s="1"/>
  <c r="M403"/>
  <c r="P319"/>
  <c r="K373"/>
  <c r="M369"/>
  <c r="M368"/>
  <c r="O348"/>
  <c r="O373" s="1"/>
  <c r="N40" i="38"/>
  <c r="M363" i="22"/>
  <c r="L349"/>
  <c r="P349" s="1"/>
  <c r="M354"/>
  <c r="I343"/>
  <c r="I468"/>
  <c r="N462"/>
  <c r="M464"/>
  <c r="F168" i="28"/>
  <c r="F169" s="1"/>
  <c r="F170" s="1"/>
  <c r="F179" s="1"/>
  <c r="K195" i="38"/>
  <c r="M195" s="1"/>
  <c r="N195" s="1"/>
  <c r="K211"/>
  <c r="M211" s="1"/>
  <c r="N211" s="1"/>
  <c r="K197"/>
  <c r="M197" s="1"/>
  <c r="N197" s="1"/>
  <c r="K203"/>
  <c r="M203" s="1"/>
  <c r="N203" s="1"/>
  <c r="K196"/>
  <c r="M196" s="1"/>
  <c r="N196" s="1"/>
  <c r="K191"/>
  <c r="M191" s="1"/>
  <c r="N191" s="1"/>
  <c r="K207"/>
  <c r="M207" s="1"/>
  <c r="N207" s="1"/>
  <c r="K199"/>
  <c r="M199" s="1"/>
  <c r="N199" s="1"/>
  <c r="J157"/>
  <c r="M194"/>
  <c r="N194" s="1"/>
  <c r="L46"/>
  <c r="F33" i="28" s="1"/>
  <c r="F35" s="1"/>
  <c r="M66" i="22"/>
  <c r="M367"/>
  <c r="L68"/>
  <c r="L30"/>
  <c r="N24" i="38"/>
  <c r="M1539" i="33"/>
  <c r="M1541"/>
  <c r="M1540"/>
  <c r="H215" i="7"/>
  <c r="J2" i="22"/>
  <c r="J3" s="1"/>
  <c r="N206" i="38"/>
  <c r="M209"/>
  <c r="N209" s="1"/>
  <c r="M188"/>
  <c r="N188" s="1"/>
  <c r="M210"/>
  <c r="N210" s="1"/>
  <c r="P313" i="22"/>
  <c r="M313"/>
  <c r="M327"/>
  <c r="P327"/>
  <c r="J187" i="38"/>
  <c r="K187" s="1"/>
  <c r="I8" i="36"/>
  <c r="N8" i="35"/>
  <c r="C10"/>
  <c r="C10" i="36"/>
  <c r="G9" i="23"/>
  <c r="M1379" i="33"/>
  <c r="M1375"/>
  <c r="M1344"/>
  <c r="M1425"/>
  <c r="M1429"/>
  <c r="M1413"/>
  <c r="M1387"/>
  <c r="M1383"/>
  <c r="M1329"/>
  <c r="M1319"/>
  <c r="M1389"/>
  <c r="M1380"/>
  <c r="M1376"/>
  <c r="M1369"/>
  <c r="M1322"/>
  <c r="M1321"/>
  <c r="M1437"/>
  <c r="M1430"/>
  <c r="M1414"/>
  <c r="M1388"/>
  <c r="M1384"/>
  <c r="M1330"/>
  <c r="M1371"/>
  <c r="M1320"/>
  <c r="D53" i="4"/>
  <c r="X448" i="21"/>
  <c r="M291" i="33"/>
  <c r="M116"/>
  <c r="M120"/>
  <c r="M219"/>
  <c r="M223"/>
  <c r="M401"/>
  <c r="M405"/>
  <c r="M302"/>
  <c r="M76"/>
  <c r="M101"/>
  <c r="M37"/>
  <c r="M456"/>
  <c r="M100"/>
  <c r="M290"/>
  <c r="M115"/>
  <c r="M119"/>
  <c r="M218"/>
  <c r="M222"/>
  <c r="M400"/>
  <c r="M404"/>
  <c r="M338"/>
  <c r="M27"/>
  <c r="M75"/>
  <c r="M97"/>
  <c r="M389"/>
  <c r="M455"/>
  <c r="M1393"/>
  <c r="M1377"/>
  <c r="M1370"/>
  <c r="M1323"/>
  <c r="M1438"/>
  <c r="M1433"/>
  <c r="M1415"/>
  <c r="M1399"/>
  <c r="M1394"/>
  <c r="M1381"/>
  <c r="M1416"/>
  <c r="M1378"/>
  <c r="M1343"/>
  <c r="M1424"/>
  <c r="M1434"/>
  <c r="M1428"/>
  <c r="M1400"/>
  <c r="M1395"/>
  <c r="M1382"/>
  <c r="M1328"/>
  <c r="M1345"/>
  <c r="D11" i="4"/>
  <c r="M289" i="33"/>
  <c r="M118"/>
  <c r="M122"/>
  <c r="M221"/>
  <c r="M225"/>
  <c r="M403"/>
  <c r="M407"/>
  <c r="M390"/>
  <c r="M337"/>
  <c r="M304"/>
  <c r="X449" i="21"/>
  <c r="M26" i="33"/>
  <c r="M78"/>
  <c r="M15"/>
  <c r="M388"/>
  <c r="M454"/>
  <c r="D38" i="4"/>
  <c r="D54"/>
  <c r="D10"/>
  <c r="M28" i="33"/>
  <c r="M98"/>
  <c r="M292"/>
  <c r="M117"/>
  <c r="M121"/>
  <c r="M220"/>
  <c r="M224"/>
  <c r="M402"/>
  <c r="M406"/>
  <c r="M336"/>
  <c r="M303"/>
  <c r="M77"/>
  <c r="M14"/>
  <c r="M38"/>
  <c r="M453"/>
  <c r="N8" i="36"/>
  <c r="I8" i="35"/>
  <c r="M9" i="36"/>
  <c r="L9"/>
  <c r="D9"/>
  <c r="B9"/>
  <c r="H9"/>
  <c r="G9"/>
  <c r="M9" i="35"/>
  <c r="G9"/>
  <c r="H9"/>
  <c r="B9"/>
  <c r="L9"/>
  <c r="D9"/>
  <c r="P296" i="22"/>
  <c r="M156" i="38"/>
  <c r="N156" s="1"/>
  <c r="P20" i="22"/>
  <c r="M20"/>
  <c r="L361"/>
  <c r="P361" s="1"/>
  <c r="M361"/>
  <c r="E14" i="11"/>
  <c r="I32" i="29" s="1"/>
  <c r="E22" i="11"/>
  <c r="E12"/>
  <c r="AA136" i="5"/>
  <c r="AA58"/>
  <c r="AA55"/>
  <c r="AA25"/>
  <c r="AA6"/>
  <c r="AA29"/>
  <c r="AA83"/>
  <c r="E25" i="11"/>
  <c r="E13"/>
  <c r="V197" i="5"/>
  <c r="H197" i="7" s="1"/>
  <c r="AA67" i="5"/>
  <c r="AA8"/>
  <c r="AA15"/>
  <c r="AA120"/>
  <c r="E18" i="11"/>
  <c r="E23"/>
  <c r="E11"/>
  <c r="F65" i="26" s="1"/>
  <c r="AA44" i="5"/>
  <c r="E16" i="11"/>
  <c r="AA38" i="5"/>
  <c r="AA11"/>
  <c r="O1" i="4"/>
  <c r="N37" i="22"/>
  <c r="N304"/>
  <c r="L342"/>
  <c r="L469" s="1"/>
  <c r="P21"/>
  <c r="M21"/>
  <c r="M35" i="38"/>
  <c r="N35" s="1"/>
  <c r="P45" i="22"/>
  <c r="M21" i="38"/>
  <c r="N21" s="1"/>
  <c r="M187" i="22"/>
  <c r="N195" s="1"/>
  <c r="M362"/>
  <c r="P23"/>
  <c r="M23"/>
  <c r="M364" s="1"/>
  <c r="M37" i="38"/>
  <c r="N37" s="1"/>
  <c r="P14" i="22"/>
  <c r="M14"/>
  <c r="M372"/>
  <c r="P46"/>
  <c r="M22" i="38"/>
  <c r="N22" s="1"/>
  <c r="M46" i="22"/>
  <c r="P62"/>
  <c r="P68" s="1"/>
  <c r="M38" i="38"/>
  <c r="N38" s="1"/>
  <c r="M62" i="22"/>
  <c r="M365" s="1"/>
  <c r="L365"/>
  <c r="P365" s="1"/>
  <c r="N75"/>
  <c r="M25" i="38"/>
  <c r="N25" s="1"/>
  <c r="P87" i="22"/>
  <c r="M87"/>
  <c r="P91"/>
  <c r="M29" i="38"/>
  <c r="N29" s="1"/>
  <c r="M91" i="22"/>
  <c r="M356" s="1"/>
  <c r="P95"/>
  <c r="M33" i="38"/>
  <c r="N33" s="1"/>
  <c r="M95" i="22"/>
  <c r="M360" s="1"/>
  <c r="I47" i="38"/>
  <c r="I48" s="1"/>
  <c r="J340" i="22"/>
  <c r="J467" s="1"/>
  <c r="L47" i="38"/>
  <c r="K340" i="22"/>
  <c r="K467" s="1"/>
  <c r="M31" i="38"/>
  <c r="N31" s="1"/>
  <c r="P93" i="22"/>
  <c r="M93"/>
  <c r="P94"/>
  <c r="M32" i="38"/>
  <c r="N32" s="1"/>
  <c r="M94" i="22"/>
  <c r="P90"/>
  <c r="M28" i="38"/>
  <c r="N28" s="1"/>
  <c r="M90" i="22"/>
  <c r="M26" i="38"/>
  <c r="N26" s="1"/>
  <c r="P88" i="22"/>
  <c r="M88"/>
  <c r="M358"/>
  <c r="L106"/>
  <c r="L145"/>
  <c r="P121"/>
  <c r="M121"/>
  <c r="P143"/>
  <c r="M143"/>
  <c r="L371"/>
  <c r="P371" s="1"/>
  <c r="P133"/>
  <c r="M133"/>
  <c r="M359" s="1"/>
  <c r="L359"/>
  <c r="P359" s="1"/>
  <c r="P131"/>
  <c r="M131"/>
  <c r="L357"/>
  <c r="P357" s="1"/>
  <c r="M357"/>
  <c r="N194"/>
  <c r="M196" s="1"/>
  <c r="N81" i="38"/>
  <c r="N88"/>
  <c r="F158"/>
  <c r="F159" s="1"/>
  <c r="H158"/>
  <c r="H159" s="1"/>
  <c r="L352" i="22"/>
  <c r="P352" s="1"/>
  <c r="P207"/>
  <c r="M207"/>
  <c r="M352" s="1"/>
  <c r="J101" i="38"/>
  <c r="K75"/>
  <c r="O241" i="22"/>
  <c r="O230"/>
  <c r="O1"/>
  <c r="O3" s="1"/>
  <c r="J341"/>
  <c r="J468" s="1"/>
  <c r="J242"/>
  <c r="N341"/>
  <c r="N468" s="1"/>
  <c r="N242"/>
  <c r="F102" i="38"/>
  <c r="F103" s="1"/>
  <c r="H102"/>
  <c r="H103" s="1"/>
  <c r="L351" i="22"/>
  <c r="P351" s="1"/>
  <c r="P206"/>
  <c r="M206"/>
  <c r="M351" s="1"/>
  <c r="F95" i="28"/>
  <c r="F96" s="1"/>
  <c r="F91"/>
  <c r="N343" i="22"/>
  <c r="L101" i="38"/>
  <c r="L347" i="22"/>
  <c r="A203"/>
  <c r="L228"/>
  <c r="P202"/>
  <c r="M202"/>
  <c r="L348"/>
  <c r="P348" s="1"/>
  <c r="P203"/>
  <c r="M203"/>
  <c r="M348" s="1"/>
  <c r="K241"/>
  <c r="K230"/>
  <c r="K1"/>
  <c r="L353"/>
  <c r="P353" s="1"/>
  <c r="P208"/>
  <c r="M208"/>
  <c r="M353" s="1"/>
  <c r="N336"/>
  <c r="L157" i="38"/>
  <c r="N271" i="22"/>
  <c r="N270"/>
  <c r="J265"/>
  <c r="M263"/>
  <c r="N272" s="1"/>
  <c r="K157" i="38"/>
  <c r="N145"/>
  <c r="O342" i="22"/>
  <c r="O469" s="1"/>
  <c r="M149" i="38"/>
  <c r="N149" s="1"/>
  <c r="M296" i="22"/>
  <c r="AA36" i="5"/>
  <c r="AA17"/>
  <c r="AA47"/>
  <c r="AA46"/>
  <c r="AA21"/>
  <c r="AA7"/>
  <c r="AA128"/>
  <c r="AA110"/>
  <c r="AA75"/>
  <c r="AA62"/>
  <c r="AA40"/>
  <c r="E17" i="11"/>
  <c r="E21"/>
  <c r="E15"/>
  <c r="W140" i="5"/>
  <c r="I140" i="6" s="1"/>
  <c r="AA33" i="5"/>
  <c r="AA60"/>
  <c r="AA13"/>
  <c r="AA132"/>
  <c r="AA117"/>
  <c r="W200"/>
  <c r="AA200" s="1"/>
  <c r="AA23"/>
  <c r="AA19"/>
  <c r="AA35"/>
  <c r="W208"/>
  <c r="I208" i="6" s="1"/>
  <c r="W192" i="5"/>
  <c r="I192" i="6" s="1"/>
  <c r="O7" i="28"/>
  <c r="R217" i="5"/>
  <c r="AA27"/>
  <c r="W212"/>
  <c r="AA212" s="1"/>
  <c r="W204"/>
  <c r="I204" i="6" s="1"/>
  <c r="W196" i="5"/>
  <c r="AA196" s="1"/>
  <c r="V187"/>
  <c r="AA187" s="1"/>
  <c r="V183"/>
  <c r="AA183" s="1"/>
  <c r="V179"/>
  <c r="AA179" s="1"/>
  <c r="V175"/>
  <c r="AA175" s="1"/>
  <c r="V171"/>
  <c r="AA171" s="1"/>
  <c r="V167"/>
  <c r="AA167" s="1"/>
  <c r="V163"/>
  <c r="AA163" s="1"/>
  <c r="V159"/>
  <c r="AA159" s="1"/>
  <c r="V155"/>
  <c r="AA155" s="1"/>
  <c r="V151"/>
  <c r="AA151" s="1"/>
  <c r="V147"/>
  <c r="AA147" s="1"/>
  <c r="V143"/>
  <c r="AA143" s="1"/>
  <c r="AA137"/>
  <c r="AA125"/>
  <c r="W197"/>
  <c r="I197" i="7" s="1"/>
  <c r="AA63" i="5"/>
  <c r="AA32"/>
  <c r="N7" i="28"/>
  <c r="I213" i="7"/>
  <c r="I213" i="6"/>
  <c r="I205" i="7"/>
  <c r="I205" i="6"/>
  <c r="I209" i="7"/>
  <c r="I209" i="6"/>
  <c r="I203" i="7"/>
  <c r="I203" i="6"/>
  <c r="I195" i="7"/>
  <c r="I195" i="6"/>
  <c r="I184" i="7"/>
  <c r="I184" i="6"/>
  <c r="I168" i="7"/>
  <c r="I168" i="6"/>
  <c r="I152" i="7"/>
  <c r="I152" i="6"/>
  <c r="I214" i="7"/>
  <c r="I214" i="6"/>
  <c r="H208" i="7"/>
  <c r="H208" i="6"/>
  <c r="I206" i="7"/>
  <c r="I206" i="6"/>
  <c r="H200" i="7"/>
  <c r="H200" i="6"/>
  <c r="H192" i="7"/>
  <c r="H192" i="6"/>
  <c r="I190" i="7"/>
  <c r="I190" i="6"/>
  <c r="I174" i="7"/>
  <c r="I174" i="6"/>
  <c r="I158" i="7"/>
  <c r="I158" i="6"/>
  <c r="I142" i="7"/>
  <c r="I142" i="6"/>
  <c r="I191" i="7"/>
  <c r="I191" i="6"/>
  <c r="I176" i="7"/>
  <c r="I176" i="6"/>
  <c r="I160" i="7"/>
  <c r="I160" i="6"/>
  <c r="I144" i="7"/>
  <c r="I144" i="6"/>
  <c r="H212" i="7"/>
  <c r="H212" i="6"/>
  <c r="I210" i="7"/>
  <c r="I210" i="6"/>
  <c r="H204" i="7"/>
  <c r="H204" i="6"/>
  <c r="I202" i="7"/>
  <c r="I202" i="6"/>
  <c r="H196" i="7"/>
  <c r="H196" i="6"/>
  <c r="H194" i="7"/>
  <c r="H194" i="6"/>
  <c r="I182" i="7"/>
  <c r="I182" i="6"/>
  <c r="I166" i="7"/>
  <c r="I166" i="6"/>
  <c r="I150" i="7"/>
  <c r="I150" i="6"/>
  <c r="I189" i="7"/>
  <c r="I189" i="6"/>
  <c r="I185" i="7"/>
  <c r="I185" i="6"/>
  <c r="I181" i="7"/>
  <c r="I181" i="6"/>
  <c r="I177" i="7"/>
  <c r="I177" i="6"/>
  <c r="I173" i="7"/>
  <c r="I173" i="6"/>
  <c r="I169" i="7"/>
  <c r="I169" i="6"/>
  <c r="I165" i="7"/>
  <c r="I165" i="6"/>
  <c r="I161" i="7"/>
  <c r="I161" i="6"/>
  <c r="I157" i="7"/>
  <c r="I157" i="6"/>
  <c r="I153" i="7"/>
  <c r="I153" i="6"/>
  <c r="I149" i="7"/>
  <c r="I149" i="6"/>
  <c r="I145" i="7"/>
  <c r="I145" i="6"/>
  <c r="I141" i="7"/>
  <c r="I141" i="6"/>
  <c r="H466" i="39"/>
  <c r="J358"/>
  <c r="R6"/>
  <c r="P7"/>
  <c r="F44" i="26"/>
  <c r="F46"/>
  <c r="D107" i="27"/>
  <c r="H105"/>
  <c r="H107" s="1"/>
  <c r="D72"/>
  <c r="D71"/>
  <c r="D54"/>
  <c r="D51"/>
  <c r="AJ113" i="5"/>
  <c r="I113" i="6"/>
  <c r="AJ105" i="5"/>
  <c r="I105" i="6"/>
  <c r="AJ117" i="5"/>
  <c r="I117" i="6"/>
  <c r="I114"/>
  <c r="AJ114" i="5"/>
  <c r="AA6" i="22"/>
  <c r="AB6" s="1"/>
  <c r="L65" i="6"/>
  <c r="M65"/>
  <c r="E9" i="10"/>
  <c r="H18" i="6"/>
  <c r="L8"/>
  <c r="M8"/>
  <c r="L15"/>
  <c r="M15"/>
  <c r="G465" i="39"/>
  <c r="O7"/>
  <c r="K46" i="38"/>
  <c r="N20"/>
  <c r="E19" i="11"/>
  <c r="L35" i="6"/>
  <c r="M35"/>
  <c r="L27"/>
  <c r="M27"/>
  <c r="L19"/>
  <c r="M19"/>
  <c r="D50" i="27"/>
  <c r="D44"/>
  <c r="D20"/>
  <c r="I111" i="6"/>
  <c r="AJ111" i="5"/>
  <c r="R6" i="35"/>
  <c r="Z7" i="22"/>
  <c r="M13" i="6"/>
  <c r="L13"/>
  <c r="L11"/>
  <c r="M11"/>
  <c r="E20" i="11"/>
  <c r="V211" i="5"/>
  <c r="AA211" s="1"/>
  <c r="V207"/>
  <c r="AA207" s="1"/>
  <c r="V201"/>
  <c r="AA201" s="1"/>
  <c r="W199"/>
  <c r="V193"/>
  <c r="AA193" s="1"/>
  <c r="V188"/>
  <c r="V180"/>
  <c r="AA180" s="1"/>
  <c r="V172"/>
  <c r="AA172" s="1"/>
  <c r="V164"/>
  <c r="V156"/>
  <c r="AA156" s="1"/>
  <c r="V148"/>
  <c r="AA148" s="1"/>
  <c r="N131" i="38"/>
  <c r="U216" i="5"/>
  <c r="U217" s="1"/>
  <c r="V140"/>
  <c r="AA65"/>
  <c r="AA18"/>
  <c r="H358" i="39"/>
  <c r="AA31" i="5"/>
  <c r="AA9"/>
  <c r="W198"/>
  <c r="W194"/>
  <c r="V186"/>
  <c r="AA186" s="1"/>
  <c r="V178"/>
  <c r="AA178" s="1"/>
  <c r="V170"/>
  <c r="V162"/>
  <c r="V154"/>
  <c r="AA154" s="1"/>
  <c r="V146"/>
  <c r="AA146" s="1"/>
  <c r="S217"/>
  <c r="V189"/>
  <c r="V185"/>
  <c r="V181"/>
  <c r="V177"/>
  <c r="V173"/>
  <c r="V169"/>
  <c r="V165"/>
  <c r="V161"/>
  <c r="V157"/>
  <c r="V153"/>
  <c r="V149"/>
  <c r="V145"/>
  <c r="V141"/>
  <c r="AA121"/>
  <c r="AA106"/>
  <c r="AA71"/>
  <c r="AA51"/>
  <c r="I211" i="7"/>
  <c r="I211" i="6"/>
  <c r="I207" i="7"/>
  <c r="I207" i="6"/>
  <c r="I201" i="7"/>
  <c r="I201" i="6"/>
  <c r="D91" i="27"/>
  <c r="I193" i="7"/>
  <c r="I193" i="6"/>
  <c r="I188" i="7"/>
  <c r="I188" i="6"/>
  <c r="I180" i="7"/>
  <c r="I180" i="6"/>
  <c r="I172" i="7"/>
  <c r="I172" i="6"/>
  <c r="I164" i="7"/>
  <c r="I164" i="6"/>
  <c r="I156" i="7"/>
  <c r="I156" i="6"/>
  <c r="I148" i="7"/>
  <c r="I148" i="6"/>
  <c r="E65" i="10"/>
  <c r="H138" i="6"/>
  <c r="AA138" i="5"/>
  <c r="E60" i="10"/>
  <c r="H134" i="6"/>
  <c r="AA134" i="5"/>
  <c r="E47" i="10"/>
  <c r="H130" i="6"/>
  <c r="AA130" i="5"/>
  <c r="H126" i="6"/>
  <c r="AA126" i="5"/>
  <c r="H122" i="6"/>
  <c r="AA122" i="5"/>
  <c r="H118" i="6"/>
  <c r="AA118" i="5"/>
  <c r="H115" i="6"/>
  <c r="AA115" i="5"/>
  <c r="H113" i="6"/>
  <c r="AA113" i="5"/>
  <c r="E38" i="10"/>
  <c r="H109" i="6"/>
  <c r="AA109" i="5"/>
  <c r="E34" i="10"/>
  <c r="H105" i="6"/>
  <c r="AA105" i="5"/>
  <c r="H101" i="6"/>
  <c r="AA101" i="5"/>
  <c r="H97" i="6"/>
  <c r="AA97" i="5"/>
  <c r="H93" i="6"/>
  <c r="AA93" i="5"/>
  <c r="H89" i="6"/>
  <c r="AA89" i="5"/>
  <c r="H87" i="6"/>
  <c r="AA87" i="5"/>
  <c r="H81" i="6"/>
  <c r="AA81" i="5"/>
  <c r="H77" i="6"/>
  <c r="AA77" i="5"/>
  <c r="H73" i="6"/>
  <c r="AA73" i="5"/>
  <c r="E14" i="10"/>
  <c r="H69" i="6"/>
  <c r="AA69" i="5"/>
  <c r="H59" i="6"/>
  <c r="AA59" i="5"/>
  <c r="H57" i="6"/>
  <c r="AA57" i="5"/>
  <c r="H53" i="6"/>
  <c r="AA53" i="5"/>
  <c r="H49" i="6"/>
  <c r="AA49" i="5"/>
  <c r="H43" i="6"/>
  <c r="AA43" i="5"/>
  <c r="H41" i="6"/>
  <c r="AA41" i="5"/>
  <c r="E12" i="10"/>
  <c r="H34" i="6"/>
  <c r="AA34" i="5"/>
  <c r="H30" i="6"/>
  <c r="AA30" i="5"/>
  <c r="G88" i="26"/>
  <c r="N3"/>
  <c r="H26" i="6"/>
  <c r="AA26" i="5"/>
  <c r="H22" i="6"/>
  <c r="AA22" i="5"/>
  <c r="H10" i="6"/>
  <c r="AA10" i="5"/>
  <c r="H5" i="6"/>
  <c r="AA5" i="5"/>
  <c r="H16" i="6"/>
  <c r="AA16" i="5"/>
  <c r="H14" i="6"/>
  <c r="AA14" i="5"/>
  <c r="H12" i="6"/>
  <c r="AA12" i="5"/>
  <c r="E8" i="10"/>
  <c r="H4" i="6"/>
  <c r="V139" i="5"/>
  <c r="I4" i="6"/>
  <c r="W139" i="5"/>
  <c r="F29" i="26"/>
  <c r="E62" i="10"/>
  <c r="H136" i="6"/>
  <c r="E49" i="10"/>
  <c r="H132" i="6"/>
  <c r="M128"/>
  <c r="L128"/>
  <c r="M124"/>
  <c r="L124"/>
  <c r="M120"/>
  <c r="L120"/>
  <c r="E43" i="10"/>
  <c r="H117" i="6"/>
  <c r="E37" i="10"/>
  <c r="H114" i="6"/>
  <c r="M110"/>
  <c r="L110"/>
  <c r="L106"/>
  <c r="M106"/>
  <c r="E25" i="10"/>
  <c r="H103" i="6"/>
  <c r="AA103" i="5"/>
  <c r="H99" i="6"/>
  <c r="AA99" i="5"/>
  <c r="H95" i="6"/>
  <c r="AA95" i="5"/>
  <c r="H91" i="6"/>
  <c r="AA91" i="5"/>
  <c r="E27" i="10"/>
  <c r="H83" i="6"/>
  <c r="L79"/>
  <c r="M79"/>
  <c r="L75"/>
  <c r="M75"/>
  <c r="L71"/>
  <c r="M71"/>
  <c r="E15" i="10"/>
  <c r="H67" i="6"/>
  <c r="L63"/>
  <c r="M63"/>
  <c r="L61"/>
  <c r="M61"/>
  <c r="L55"/>
  <c r="M55"/>
  <c r="L51"/>
  <c r="M51"/>
  <c r="L47"/>
  <c r="M47"/>
  <c r="H45"/>
  <c r="AA45" i="5"/>
  <c r="H39" i="6"/>
  <c r="AA39" i="5"/>
  <c r="L37" i="6"/>
  <c r="M37"/>
  <c r="H32"/>
  <c r="I2" i="36"/>
  <c r="H28" i="6"/>
  <c r="AA28" i="5"/>
  <c r="L24" i="6"/>
  <c r="M24"/>
  <c r="H20"/>
  <c r="AA20" i="5"/>
  <c r="I215" i="7"/>
  <c r="M215" s="1"/>
  <c r="I215" i="6"/>
  <c r="M215" s="1"/>
  <c r="Y7" i="22"/>
  <c r="E35" i="10"/>
  <c r="H116" i="6"/>
  <c r="AA116" i="5"/>
  <c r="H112" i="6"/>
  <c r="AA112" i="5"/>
  <c r="E40" i="10"/>
  <c r="H108" i="6"/>
  <c r="AA108" i="5"/>
  <c r="E26" i="10"/>
  <c r="H104" i="6"/>
  <c r="AA104" i="5"/>
  <c r="H102" i="6"/>
  <c r="AA102" i="5"/>
  <c r="E23" i="10"/>
  <c r="H100" i="6"/>
  <c r="AA100" i="5"/>
  <c r="H98" i="6"/>
  <c r="AA98" i="5"/>
  <c r="H96" i="6"/>
  <c r="AA96" i="5"/>
  <c r="H94" i="6"/>
  <c r="AA94" i="5"/>
  <c r="H92" i="6"/>
  <c r="AA92" i="5"/>
  <c r="H90" i="6"/>
  <c r="AA90" i="5"/>
  <c r="H88" i="6"/>
  <c r="AA88" i="5"/>
  <c r="H86" i="6"/>
  <c r="AA86" i="5"/>
  <c r="E22" i="10"/>
  <c r="H84" i="6"/>
  <c r="AA84" i="5"/>
  <c r="E28" i="10"/>
  <c r="H82" i="6"/>
  <c r="AA82" i="5"/>
  <c r="H80" i="6"/>
  <c r="AA80" i="5"/>
  <c r="H78" i="6"/>
  <c r="AA78" i="5"/>
  <c r="H76" i="6"/>
  <c r="AA76" i="5"/>
  <c r="E20" i="10"/>
  <c r="H74" i="6"/>
  <c r="AA74" i="5"/>
  <c r="H72" i="6"/>
  <c r="AA72" i="5"/>
  <c r="H70" i="6"/>
  <c r="AA70" i="5"/>
  <c r="E16" i="10"/>
  <c r="H68" i="6"/>
  <c r="AA68" i="5"/>
  <c r="H66" i="6"/>
  <c r="AA66" i="5"/>
  <c r="H64" i="6"/>
  <c r="AA64" i="5"/>
  <c r="H56" i="6"/>
  <c r="AA56" i="5"/>
  <c r="H54" i="6"/>
  <c r="AA54" i="5"/>
  <c r="H52" i="6"/>
  <c r="AA52" i="5"/>
  <c r="H50" i="6"/>
  <c r="AA50" i="5"/>
  <c r="H48" i="6"/>
  <c r="AA48" i="5"/>
  <c r="L38" i="6"/>
  <c r="M38"/>
  <c r="L31"/>
  <c r="M31"/>
  <c r="E11" i="10"/>
  <c r="H23" i="6"/>
  <c r="L9"/>
  <c r="M9"/>
  <c r="I186" i="7"/>
  <c r="I186" i="6"/>
  <c r="I178" i="7"/>
  <c r="I178" i="6"/>
  <c r="I170" i="7"/>
  <c r="I170" i="6"/>
  <c r="D53" i="27"/>
  <c r="I162" i="7"/>
  <c r="I162" i="6"/>
  <c r="I154" i="7"/>
  <c r="I154" i="6"/>
  <c r="I146" i="7"/>
  <c r="I146" i="6"/>
  <c r="E7" i="11"/>
  <c r="T216" i="5"/>
  <c r="T217" s="1"/>
  <c r="I187" i="7"/>
  <c r="I187" i="6"/>
  <c r="I183" i="7"/>
  <c r="I183" i="6"/>
  <c r="I179" i="7"/>
  <c r="I179" i="6"/>
  <c r="I175" i="7"/>
  <c r="I175" i="6"/>
  <c r="I171" i="7"/>
  <c r="I171" i="6"/>
  <c r="I167" i="7"/>
  <c r="I167" i="6"/>
  <c r="I163" i="7"/>
  <c r="I163" i="6"/>
  <c r="I159" i="7"/>
  <c r="I159" i="6"/>
  <c r="D49" i="27"/>
  <c r="I155" i="7"/>
  <c r="I155" i="6"/>
  <c r="I151" i="7"/>
  <c r="I151" i="6"/>
  <c r="I147" i="7"/>
  <c r="I147" i="6"/>
  <c r="I143" i="7"/>
  <c r="I143" i="6"/>
  <c r="E64" i="10"/>
  <c r="H137" i="6"/>
  <c r="E61" i="10"/>
  <c r="H135" i="6"/>
  <c r="AA135" i="5"/>
  <c r="E56" i="10"/>
  <c r="H133" i="6"/>
  <c r="H131"/>
  <c r="AA131" i="5"/>
  <c r="M129" i="6"/>
  <c r="L129"/>
  <c r="H127"/>
  <c r="AA127" i="5"/>
  <c r="E41" i="10"/>
  <c r="H125" i="6"/>
  <c r="E44" i="10"/>
  <c r="H123" i="6"/>
  <c r="AA123" i="5"/>
  <c r="M121" i="6"/>
  <c r="L121"/>
  <c r="H119"/>
  <c r="AA119" i="5"/>
  <c r="E36" i="10"/>
  <c r="H111" i="6"/>
  <c r="AA111" i="5"/>
  <c r="H107" i="6"/>
  <c r="AA107" i="5"/>
  <c r="E21" i="10"/>
  <c r="H85" i="6"/>
  <c r="AA85" i="5"/>
  <c r="L62" i="6"/>
  <c r="M62"/>
  <c r="L60"/>
  <c r="M60"/>
  <c r="H58"/>
  <c r="L46"/>
  <c r="M46"/>
  <c r="L44"/>
  <c r="M44"/>
  <c r="L42"/>
  <c r="M42"/>
  <c r="L40"/>
  <c r="M40"/>
  <c r="E13" i="10"/>
  <c r="H36" i="6"/>
  <c r="L33"/>
  <c r="M33"/>
  <c r="L29"/>
  <c r="M29"/>
  <c r="E10" i="10"/>
  <c r="H25" i="6"/>
  <c r="L21"/>
  <c r="M21"/>
  <c r="H17"/>
  <c r="J18" i="1"/>
  <c r="K18" s="1"/>
  <c r="L7" i="6"/>
  <c r="M7"/>
  <c r="H6"/>
  <c r="AJ6" i="5"/>
  <c r="R6" i="36"/>
  <c r="V213" i="5"/>
  <c r="AA213" s="1"/>
  <c r="V209"/>
  <c r="AA209" s="1"/>
  <c r="V205"/>
  <c r="AA205" s="1"/>
  <c r="V203"/>
  <c r="AA203" s="1"/>
  <c r="V199"/>
  <c r="V195"/>
  <c r="V191"/>
  <c r="V184"/>
  <c r="V176"/>
  <c r="V168"/>
  <c r="AA168" s="1"/>
  <c r="V160"/>
  <c r="AA160" s="1"/>
  <c r="V152"/>
  <c r="AA152" s="1"/>
  <c r="V144"/>
  <c r="AA144" s="1"/>
  <c r="E10" i="11"/>
  <c r="E8"/>
  <c r="V214" i="5"/>
  <c r="V210"/>
  <c r="V206"/>
  <c r="V202"/>
  <c r="V198"/>
  <c r="V190"/>
  <c r="AA190" s="1"/>
  <c r="V182"/>
  <c r="V174"/>
  <c r="V166"/>
  <c r="AA166" s="1"/>
  <c r="V158"/>
  <c r="AA158" s="1"/>
  <c r="V150"/>
  <c r="AA150" s="1"/>
  <c r="V142"/>
  <c r="AA142" s="1"/>
  <c r="AA133"/>
  <c r="AA42"/>
  <c r="AA124"/>
  <c r="AA114"/>
  <c r="AA79"/>
  <c r="AA61"/>
  <c r="AA37"/>
  <c r="AA24"/>
  <c r="AA129"/>
  <c r="P347" i="22" l="1"/>
  <c r="L373"/>
  <c r="M349"/>
  <c r="M371"/>
  <c r="M328"/>
  <c r="N337" s="1"/>
  <c r="F180" i="28"/>
  <c r="F182" s="1"/>
  <c r="H155" i="7"/>
  <c r="L155" s="1"/>
  <c r="F52" i="28"/>
  <c r="E59"/>
  <c r="E61" s="1"/>
  <c r="L48" i="38"/>
  <c r="P328" i="22"/>
  <c r="D25" i="4"/>
  <c r="H175" i="6"/>
  <c r="L175" s="1"/>
  <c r="I196" i="7"/>
  <c r="M196" s="1"/>
  <c r="H159" i="6"/>
  <c r="L159" s="1"/>
  <c r="T222" i="5"/>
  <c r="T223" s="1"/>
  <c r="H197" i="6"/>
  <c r="I9" i="35"/>
  <c r="M273" i="22"/>
  <c r="H147" i="7"/>
  <c r="L147" s="1"/>
  <c r="N9" i="36"/>
  <c r="O8" i="35"/>
  <c r="C11"/>
  <c r="G10" i="23"/>
  <c r="C11" i="36"/>
  <c r="D55" i="4"/>
  <c r="C33" i="36"/>
  <c r="C65"/>
  <c r="C81"/>
  <c r="C97"/>
  <c r="C113"/>
  <c r="D300"/>
  <c r="C17" i="35"/>
  <c r="C26" i="36"/>
  <c r="C42"/>
  <c r="C58"/>
  <c r="C74"/>
  <c r="C90"/>
  <c r="C106"/>
  <c r="C122"/>
  <c r="D40" i="4"/>
  <c r="C13" i="36"/>
  <c r="C29"/>
  <c r="C45"/>
  <c r="C61"/>
  <c r="C77"/>
  <c r="C93"/>
  <c r="C109"/>
  <c r="C125"/>
  <c r="D39" i="4"/>
  <c r="C15" i="35"/>
  <c r="C22" i="36"/>
  <c r="C38"/>
  <c r="C54"/>
  <c r="C70"/>
  <c r="C86"/>
  <c r="C102"/>
  <c r="C118"/>
  <c r="M10" i="35"/>
  <c r="H10"/>
  <c r="L10"/>
  <c r="D10"/>
  <c r="B10"/>
  <c r="G10"/>
  <c r="I10" s="1"/>
  <c r="O8" i="36"/>
  <c r="N9" i="35"/>
  <c r="O9" s="1"/>
  <c r="R9" s="1"/>
  <c r="L10" i="36"/>
  <c r="D10"/>
  <c r="M10"/>
  <c r="H10"/>
  <c r="B10"/>
  <c r="G10"/>
  <c r="I10" s="1"/>
  <c r="I9"/>
  <c r="J343" i="22"/>
  <c r="M30"/>
  <c r="N38" s="1"/>
  <c r="M39" s="1"/>
  <c r="P30"/>
  <c r="P106"/>
  <c r="H143" i="7"/>
  <c r="M143" s="1"/>
  <c r="H151" i="6"/>
  <c r="L151" s="1"/>
  <c r="H167" i="7"/>
  <c r="M167" s="1"/>
  <c r="H183"/>
  <c r="L183" s="1"/>
  <c r="I192"/>
  <c r="L192" s="1"/>
  <c r="I212" i="6"/>
  <c r="L212" s="1"/>
  <c r="I204" i="7"/>
  <c r="M204" s="1"/>
  <c r="G479" i="39"/>
  <c r="AA204" i="5"/>
  <c r="I29" i="29"/>
  <c r="I40" s="1"/>
  <c r="F47" i="26" s="1"/>
  <c r="L215" i="6"/>
  <c r="S215" s="1"/>
  <c r="H163"/>
  <c r="M163" s="1"/>
  <c r="H171"/>
  <c r="L171" s="1"/>
  <c r="H179"/>
  <c r="L179" s="1"/>
  <c r="H187"/>
  <c r="L187" s="1"/>
  <c r="I200" i="7"/>
  <c r="M200" s="1"/>
  <c r="I208"/>
  <c r="M208" s="1"/>
  <c r="AA208" i="5"/>
  <c r="AA192"/>
  <c r="R222"/>
  <c r="H143" i="6"/>
  <c r="M143" s="1"/>
  <c r="H151" i="7"/>
  <c r="L151" s="1"/>
  <c r="H159"/>
  <c r="M159" s="1"/>
  <c r="H167" i="6"/>
  <c r="M167" s="1"/>
  <c r="H175" i="7"/>
  <c r="L175" s="1"/>
  <c r="H183" i="6"/>
  <c r="L183" s="1"/>
  <c r="I196"/>
  <c r="M196" s="1"/>
  <c r="I212" i="7"/>
  <c r="M212" s="1"/>
  <c r="AA197" i="5"/>
  <c r="W216"/>
  <c r="W217" s="1"/>
  <c r="AA199"/>
  <c r="H147" i="6"/>
  <c r="M147" s="1"/>
  <c r="H155"/>
  <c r="L155" s="1"/>
  <c r="H163" i="7"/>
  <c r="M163" s="1"/>
  <c r="H171"/>
  <c r="M171" s="1"/>
  <c r="H179"/>
  <c r="M179" s="1"/>
  <c r="H187"/>
  <c r="L187" s="1"/>
  <c r="I200" i="6"/>
  <c r="M200" s="1"/>
  <c r="Y8" i="22"/>
  <c r="I139" i="6"/>
  <c r="I197"/>
  <c r="J158" i="38"/>
  <c r="J159" s="1"/>
  <c r="M355" i="22"/>
  <c r="M338"/>
  <c r="P117"/>
  <c r="M68"/>
  <c r="N76" s="1"/>
  <c r="M77" s="1"/>
  <c r="L117"/>
  <c r="N114"/>
  <c r="M46" i="38"/>
  <c r="M106" i="22"/>
  <c r="N152"/>
  <c r="M145"/>
  <c r="N153" s="1"/>
  <c r="P145"/>
  <c r="K341"/>
  <c r="K242"/>
  <c r="M228"/>
  <c r="M347"/>
  <c r="M373" s="1"/>
  <c r="A204"/>
  <c r="A205" s="1"/>
  <c r="A209" s="1"/>
  <c r="L1"/>
  <c r="L241"/>
  <c r="N236"/>
  <c r="L230"/>
  <c r="I102" i="38"/>
  <c r="I103" s="1"/>
  <c r="O341" i="22"/>
  <c r="O468" s="1"/>
  <c r="O242"/>
  <c r="O343"/>
  <c r="F106" i="28"/>
  <c r="F108" s="1"/>
  <c r="K2" i="22"/>
  <c r="K3" s="1"/>
  <c r="F105" i="28"/>
  <c r="K101" i="38"/>
  <c r="M75"/>
  <c r="P228" i="22"/>
  <c r="P241" s="1"/>
  <c r="P242" s="1"/>
  <c r="E206" i="28"/>
  <c r="E208" s="1"/>
  <c r="F199"/>
  <c r="M157" i="38"/>
  <c r="N305" i="22"/>
  <c r="M306" s="1"/>
  <c r="M342"/>
  <c r="M469" s="1"/>
  <c r="N8" i="28"/>
  <c r="AA139" i="5"/>
  <c r="O8" i="28"/>
  <c r="H174" i="7"/>
  <c r="H174" i="6"/>
  <c r="H182" i="7"/>
  <c r="H182" i="6"/>
  <c r="H202" i="7"/>
  <c r="H202" i="6"/>
  <c r="H206" i="7"/>
  <c r="H206" i="6"/>
  <c r="H210" i="7"/>
  <c r="H210" i="6"/>
  <c r="H214" i="7"/>
  <c r="H214" i="6"/>
  <c r="F42" i="26"/>
  <c r="H176" i="7"/>
  <c r="H176" i="6"/>
  <c r="H184" i="7"/>
  <c r="H184" i="6"/>
  <c r="H191" i="7"/>
  <c r="H191" i="6"/>
  <c r="H195" i="7"/>
  <c r="H195" i="6"/>
  <c r="L17"/>
  <c r="M17"/>
  <c r="R21"/>
  <c r="S21"/>
  <c r="L25"/>
  <c r="M25"/>
  <c r="R33"/>
  <c r="S33"/>
  <c r="M119"/>
  <c r="L119"/>
  <c r="M127"/>
  <c r="L127"/>
  <c r="M133"/>
  <c r="L133"/>
  <c r="M155" i="7"/>
  <c r="F31" i="26"/>
  <c r="F30" s="1"/>
  <c r="E9" i="11"/>
  <c r="E24" s="1"/>
  <c r="R9" i="6"/>
  <c r="S9"/>
  <c r="L23"/>
  <c r="M23"/>
  <c r="R38"/>
  <c r="S38"/>
  <c r="L70"/>
  <c r="M70"/>
  <c r="L72"/>
  <c r="M72"/>
  <c r="L74"/>
  <c r="M74"/>
  <c r="L84"/>
  <c r="M84"/>
  <c r="L102"/>
  <c r="M102"/>
  <c r="L104"/>
  <c r="M104"/>
  <c r="L112"/>
  <c r="M112"/>
  <c r="L116"/>
  <c r="M116"/>
  <c r="L28"/>
  <c r="M28"/>
  <c r="L32"/>
  <c r="M32"/>
  <c r="R37"/>
  <c r="S37"/>
  <c r="R51"/>
  <c r="S51"/>
  <c r="R61"/>
  <c r="S61"/>
  <c r="R71"/>
  <c r="S71"/>
  <c r="R79"/>
  <c r="S79"/>
  <c r="L83"/>
  <c r="M83"/>
  <c r="R106"/>
  <c r="S106"/>
  <c r="S110"/>
  <c r="R110"/>
  <c r="S124"/>
  <c r="R124"/>
  <c r="M132"/>
  <c r="L132"/>
  <c r="M136"/>
  <c r="L136"/>
  <c r="E55" i="13"/>
  <c r="E18" i="10"/>
  <c r="L12" i="6"/>
  <c r="M12"/>
  <c r="L14"/>
  <c r="M14"/>
  <c r="M16"/>
  <c r="L16"/>
  <c r="M5"/>
  <c r="L5"/>
  <c r="L10"/>
  <c r="M10"/>
  <c r="L22"/>
  <c r="M22"/>
  <c r="L26"/>
  <c r="M26"/>
  <c r="G204" i="26"/>
  <c r="L30" i="6"/>
  <c r="M30"/>
  <c r="L34"/>
  <c r="M34"/>
  <c r="L73"/>
  <c r="M73"/>
  <c r="L77"/>
  <c r="M77"/>
  <c r="L81"/>
  <c r="M81"/>
  <c r="L87"/>
  <c r="M87"/>
  <c r="L89"/>
  <c r="M89"/>
  <c r="L93"/>
  <c r="M93"/>
  <c r="L97"/>
  <c r="M97"/>
  <c r="L101"/>
  <c r="M101"/>
  <c r="L105"/>
  <c r="M105"/>
  <c r="L113"/>
  <c r="M113"/>
  <c r="L115"/>
  <c r="M115"/>
  <c r="M118"/>
  <c r="L118"/>
  <c r="M122"/>
  <c r="L122"/>
  <c r="M126"/>
  <c r="L126"/>
  <c r="M130"/>
  <c r="L130"/>
  <c r="M138"/>
  <c r="L138"/>
  <c r="H145" i="7"/>
  <c r="H145" i="6"/>
  <c r="AA145" i="5"/>
  <c r="H153" i="7"/>
  <c r="H153" i="6"/>
  <c r="AA153" i="5"/>
  <c r="H161" i="7"/>
  <c r="H161" i="6"/>
  <c r="AA161" i="5"/>
  <c r="H173" i="7"/>
  <c r="H173" i="6"/>
  <c r="AA173" i="5"/>
  <c r="H177" i="7"/>
  <c r="H177" i="6"/>
  <c r="AA177" i="5"/>
  <c r="H185" i="7"/>
  <c r="H185" i="6"/>
  <c r="AA185" i="5"/>
  <c r="H170" i="7"/>
  <c r="H170" i="6"/>
  <c r="I198" i="7"/>
  <c r="I198" i="6"/>
  <c r="H164" i="7"/>
  <c r="H164" i="6"/>
  <c r="H188" i="7"/>
  <c r="H188" i="6"/>
  <c r="I199" i="7"/>
  <c r="I199" i="6"/>
  <c r="Z8" i="22"/>
  <c r="R19" i="6"/>
  <c r="S19"/>
  <c r="R35"/>
  <c r="S35"/>
  <c r="G587" i="39"/>
  <c r="O8"/>
  <c r="S15" i="6"/>
  <c r="R15"/>
  <c r="R8"/>
  <c r="S8"/>
  <c r="L18"/>
  <c r="M18"/>
  <c r="L196" i="7"/>
  <c r="M204" i="6"/>
  <c r="L204"/>
  <c r="F66" i="26"/>
  <c r="F71" s="1"/>
  <c r="F27"/>
  <c r="M197" i="7"/>
  <c r="L197"/>
  <c r="AA195" i="5"/>
  <c r="L215" i="7"/>
  <c r="AA188" i="5"/>
  <c r="H480" i="39"/>
  <c r="R40" i="6"/>
  <c r="S40"/>
  <c r="R44"/>
  <c r="S44"/>
  <c r="E17" i="27"/>
  <c r="D19"/>
  <c r="F43" i="26" s="1"/>
  <c r="R60" i="6"/>
  <c r="S60"/>
  <c r="L85"/>
  <c r="M85"/>
  <c r="H142" i="7"/>
  <c r="H142" i="6"/>
  <c r="H150" i="7"/>
  <c r="H150" i="6"/>
  <c r="H158" i="7"/>
  <c r="H158" i="6"/>
  <c r="H166" i="7"/>
  <c r="H166" i="6"/>
  <c r="H190" i="7"/>
  <c r="H190" i="6"/>
  <c r="H198" i="7"/>
  <c r="H198" i="6"/>
  <c r="H144" i="7"/>
  <c r="H144" i="6"/>
  <c r="H152" i="7"/>
  <c r="H152" i="6"/>
  <c r="H160" i="7"/>
  <c r="H160" i="6"/>
  <c r="H168" i="7"/>
  <c r="H168" i="6"/>
  <c r="H199" i="7"/>
  <c r="H199" i="6"/>
  <c r="H203" i="7"/>
  <c r="H203" i="6"/>
  <c r="H205" i="7"/>
  <c r="H205" i="6"/>
  <c r="H209" i="7"/>
  <c r="H209" i="6"/>
  <c r="H213" i="7"/>
  <c r="H213" i="6"/>
  <c r="M6"/>
  <c r="L6"/>
  <c r="R7"/>
  <c r="S7"/>
  <c r="R29"/>
  <c r="S29"/>
  <c r="L36"/>
  <c r="M36"/>
  <c r="R42"/>
  <c r="S42"/>
  <c r="R46"/>
  <c r="S46"/>
  <c r="L58"/>
  <c r="M58"/>
  <c r="R62"/>
  <c r="S62"/>
  <c r="L107"/>
  <c r="M107"/>
  <c r="M111"/>
  <c r="L111"/>
  <c r="S121"/>
  <c r="R121"/>
  <c r="M123"/>
  <c r="L123"/>
  <c r="M125"/>
  <c r="L125"/>
  <c r="S129"/>
  <c r="R129"/>
  <c r="M131"/>
  <c r="L131"/>
  <c r="E66" i="10"/>
  <c r="E54"/>
  <c r="M135" i="6"/>
  <c r="L135"/>
  <c r="M137"/>
  <c r="L137"/>
  <c r="D48" i="27"/>
  <c r="D45" s="1"/>
  <c r="R31" i="6"/>
  <c r="S31"/>
  <c r="L48"/>
  <c r="M48"/>
  <c r="L50"/>
  <c r="M50"/>
  <c r="L52"/>
  <c r="M52"/>
  <c r="L54"/>
  <c r="M54"/>
  <c r="L56"/>
  <c r="M56"/>
  <c r="L64"/>
  <c r="M64"/>
  <c r="L66"/>
  <c r="M66"/>
  <c r="L68"/>
  <c r="M68"/>
  <c r="L76"/>
  <c r="M76"/>
  <c r="L78"/>
  <c r="M78"/>
  <c r="L80"/>
  <c r="M80"/>
  <c r="L82"/>
  <c r="M82"/>
  <c r="L86"/>
  <c r="M86"/>
  <c r="L88"/>
  <c r="M88"/>
  <c r="L90"/>
  <c r="M90"/>
  <c r="L92"/>
  <c r="M92"/>
  <c r="L94"/>
  <c r="M94"/>
  <c r="L96"/>
  <c r="M96"/>
  <c r="L98"/>
  <c r="M98"/>
  <c r="L100"/>
  <c r="M100"/>
  <c r="L108"/>
  <c r="M108"/>
  <c r="L20"/>
  <c r="M20"/>
  <c r="R24"/>
  <c r="S24"/>
  <c r="L39"/>
  <c r="M39"/>
  <c r="L45"/>
  <c r="M45"/>
  <c r="R47"/>
  <c r="S47"/>
  <c r="R55"/>
  <c r="S55"/>
  <c r="R63"/>
  <c r="S63"/>
  <c r="L67"/>
  <c r="M67"/>
  <c r="R75"/>
  <c r="S75"/>
  <c r="L91"/>
  <c r="M91"/>
  <c r="L95"/>
  <c r="M95"/>
  <c r="L99"/>
  <c r="M99"/>
  <c r="L103"/>
  <c r="M103"/>
  <c r="M114"/>
  <c r="L114"/>
  <c r="L117"/>
  <c r="M117"/>
  <c r="S120"/>
  <c r="R120"/>
  <c r="S128"/>
  <c r="R128"/>
  <c r="M4"/>
  <c r="H139"/>
  <c r="L4"/>
  <c r="R4" s="1"/>
  <c r="N4" i="26"/>
  <c r="O4"/>
  <c r="L41" i="6"/>
  <c r="M41"/>
  <c r="L43"/>
  <c r="M43"/>
  <c r="L49"/>
  <c r="M49"/>
  <c r="L53"/>
  <c r="M53"/>
  <c r="L57"/>
  <c r="M57"/>
  <c r="L59"/>
  <c r="M59"/>
  <c r="L69"/>
  <c r="M69"/>
  <c r="M109"/>
  <c r="L109"/>
  <c r="M134"/>
  <c r="L134"/>
  <c r="H141" i="7"/>
  <c r="H141" i="6"/>
  <c r="AA141" i="5"/>
  <c r="H149" i="7"/>
  <c r="H149" i="6"/>
  <c r="AA149" i="5"/>
  <c r="H157" i="7"/>
  <c r="H157" i="6"/>
  <c r="AA157" i="5"/>
  <c r="H165" i="7"/>
  <c r="H165" i="6"/>
  <c r="AA165" i="5"/>
  <c r="H169" i="7"/>
  <c r="H169" i="6"/>
  <c r="AA169" i="5"/>
  <c r="H181" i="7"/>
  <c r="H181" i="6"/>
  <c r="AA181" i="5"/>
  <c r="H189" i="7"/>
  <c r="H189" i="6"/>
  <c r="AA189" i="5"/>
  <c r="H146" i="7"/>
  <c r="H146" i="6"/>
  <c r="H154" i="7"/>
  <c r="H154" i="6"/>
  <c r="H162" i="7"/>
  <c r="H162" i="6"/>
  <c r="H178" i="7"/>
  <c r="H178" i="6"/>
  <c r="H186" i="7"/>
  <c r="H186" i="6"/>
  <c r="I194" i="7"/>
  <c r="L194" s="1"/>
  <c r="I194" i="6"/>
  <c r="V216" i="5"/>
  <c r="V217" s="1"/>
  <c r="H140" i="6"/>
  <c r="AA140" i="5"/>
  <c r="H148" i="7"/>
  <c r="H148" i="6"/>
  <c r="H156" i="7"/>
  <c r="H156" i="6"/>
  <c r="H172" i="7"/>
  <c r="H172" i="6"/>
  <c r="H180" i="7"/>
  <c r="H180" i="6"/>
  <c r="H193" i="7"/>
  <c r="H193" i="6"/>
  <c r="H201" i="7"/>
  <c r="H201" i="6"/>
  <c r="H207" i="7"/>
  <c r="H207" i="6"/>
  <c r="H211" i="7"/>
  <c r="H211" i="6"/>
  <c r="R11"/>
  <c r="S11"/>
  <c r="R13"/>
  <c r="S13"/>
  <c r="R27"/>
  <c r="S27"/>
  <c r="N46" i="38"/>
  <c r="R65" i="6"/>
  <c r="S65"/>
  <c r="H588" i="39"/>
  <c r="J480"/>
  <c r="P8"/>
  <c r="M192" i="6"/>
  <c r="L192"/>
  <c r="M208"/>
  <c r="L208"/>
  <c r="AA174" i="5"/>
  <c r="AA202"/>
  <c r="AA206"/>
  <c r="AA210"/>
  <c r="AA214"/>
  <c r="AA176"/>
  <c r="AA184"/>
  <c r="AA191"/>
  <c r="AA182"/>
  <c r="E29" i="10"/>
  <c r="E45"/>
  <c r="E52"/>
  <c r="AA198" i="5"/>
  <c r="AA162"/>
  <c r="AA170"/>
  <c r="AA164"/>
  <c r="K358" i="39"/>
  <c r="K359" s="1"/>
  <c r="AA194" i="5"/>
  <c r="N10" i="36" l="1"/>
  <c r="I158" i="38"/>
  <c r="I159" s="1"/>
  <c r="M1582" i="33"/>
  <c r="M1591"/>
  <c r="M1588"/>
  <c r="M1589"/>
  <c r="M1585"/>
  <c r="M1590"/>
  <c r="M1586"/>
  <c r="C49" i="36"/>
  <c r="C17"/>
  <c r="M1592" i="33"/>
  <c r="M1587"/>
  <c r="K343" i="22"/>
  <c r="K468"/>
  <c r="M154"/>
  <c r="D298" i="36"/>
  <c r="C110"/>
  <c r="M110" s="1"/>
  <c r="C94"/>
  <c r="C78"/>
  <c r="M78" s="1"/>
  <c r="C62"/>
  <c r="C46"/>
  <c r="L46" s="1"/>
  <c r="C30"/>
  <c r="C14"/>
  <c r="C117"/>
  <c r="C101"/>
  <c r="C85"/>
  <c r="C69"/>
  <c r="C53"/>
  <c r="C37"/>
  <c r="C21"/>
  <c r="C14" i="35"/>
  <c r="D302" i="36"/>
  <c r="C114"/>
  <c r="C98"/>
  <c r="C82"/>
  <c r="C66"/>
  <c r="C50"/>
  <c r="C34"/>
  <c r="C18"/>
  <c r="C13" i="35"/>
  <c r="C121" i="36"/>
  <c r="C105"/>
  <c r="C89"/>
  <c r="C73"/>
  <c r="C57"/>
  <c r="C41"/>
  <c r="C25"/>
  <c r="C16" i="35"/>
  <c r="M1554" i="33"/>
  <c r="M1581"/>
  <c r="C167" i="35"/>
  <c r="D167" s="1"/>
  <c r="M1426" i="33"/>
  <c r="M1573"/>
  <c r="M1553"/>
  <c r="D41" i="4"/>
  <c r="C169" i="36"/>
  <c r="C168" i="35"/>
  <c r="M1555" i="33"/>
  <c r="M1574"/>
  <c r="C169" i="35"/>
  <c r="M1427" i="33"/>
  <c r="M1575"/>
  <c r="C167" i="36"/>
  <c r="D56" i="4"/>
  <c r="M175" i="6"/>
  <c r="M159"/>
  <c r="L197"/>
  <c r="M1477" i="33"/>
  <c r="M1478"/>
  <c r="L204" i="7"/>
  <c r="L208"/>
  <c r="O9" i="36"/>
  <c r="R9" s="1"/>
  <c r="L196" i="6"/>
  <c r="M187"/>
  <c r="L143"/>
  <c r="M192" i="7"/>
  <c r="M171" i="6"/>
  <c r="M155"/>
  <c r="R215"/>
  <c r="L159" i="7"/>
  <c r="L167"/>
  <c r="L143"/>
  <c r="M147"/>
  <c r="M151" i="6"/>
  <c r="M212"/>
  <c r="M179"/>
  <c r="L167"/>
  <c r="L147"/>
  <c r="L212" i="7"/>
  <c r="M183"/>
  <c r="M151"/>
  <c r="M187" i="38"/>
  <c r="G110" i="36"/>
  <c r="B110"/>
  <c r="D110"/>
  <c r="M94"/>
  <c r="G94"/>
  <c r="H94"/>
  <c r="B94"/>
  <c r="L94"/>
  <c r="N94" s="1"/>
  <c r="D94"/>
  <c r="G78"/>
  <c r="B78"/>
  <c r="D78"/>
  <c r="L62"/>
  <c r="D62"/>
  <c r="M62"/>
  <c r="N62" s="1"/>
  <c r="H62"/>
  <c r="B62"/>
  <c r="G62"/>
  <c r="I62" s="1"/>
  <c r="D46"/>
  <c r="H46"/>
  <c r="G46"/>
  <c r="L30"/>
  <c r="D30"/>
  <c r="M30"/>
  <c r="N30" s="1"/>
  <c r="H30"/>
  <c r="B30"/>
  <c r="G30"/>
  <c r="I30" s="1"/>
  <c r="L14"/>
  <c r="D14"/>
  <c r="M14"/>
  <c r="N14" s="1"/>
  <c r="H14"/>
  <c r="B14"/>
  <c r="G14"/>
  <c r="I14" s="1"/>
  <c r="M117"/>
  <c r="L117"/>
  <c r="D117"/>
  <c r="B117"/>
  <c r="H117"/>
  <c r="G117"/>
  <c r="M101"/>
  <c r="L101"/>
  <c r="D101"/>
  <c r="B101"/>
  <c r="H101"/>
  <c r="G101"/>
  <c r="M85"/>
  <c r="L85"/>
  <c r="D85"/>
  <c r="B85"/>
  <c r="H85"/>
  <c r="G85"/>
  <c r="M69"/>
  <c r="L69"/>
  <c r="D69"/>
  <c r="B69"/>
  <c r="H69"/>
  <c r="G69"/>
  <c r="M53"/>
  <c r="L53"/>
  <c r="D53"/>
  <c r="B53"/>
  <c r="H53"/>
  <c r="G53"/>
  <c r="M37"/>
  <c r="L37"/>
  <c r="D37"/>
  <c r="B37"/>
  <c r="H37"/>
  <c r="G37"/>
  <c r="M21"/>
  <c r="L21"/>
  <c r="D21"/>
  <c r="B21"/>
  <c r="H21"/>
  <c r="G21"/>
  <c r="M14" i="35"/>
  <c r="H14"/>
  <c r="L14"/>
  <c r="D14"/>
  <c r="B14"/>
  <c r="G14"/>
  <c r="I14" s="1"/>
  <c r="M114" i="36"/>
  <c r="G114"/>
  <c r="H114"/>
  <c r="B114"/>
  <c r="L114"/>
  <c r="N114" s="1"/>
  <c r="D114"/>
  <c r="M98"/>
  <c r="G98"/>
  <c r="H98"/>
  <c r="B98"/>
  <c r="L98"/>
  <c r="N98" s="1"/>
  <c r="D98"/>
  <c r="M82"/>
  <c r="G82"/>
  <c r="H82"/>
  <c r="B82"/>
  <c r="L82"/>
  <c r="N82" s="1"/>
  <c r="D82"/>
  <c r="L66"/>
  <c r="D66"/>
  <c r="M66"/>
  <c r="N66" s="1"/>
  <c r="H66"/>
  <c r="B66"/>
  <c r="G66"/>
  <c r="I66" s="1"/>
  <c r="L50"/>
  <c r="D50"/>
  <c r="M50"/>
  <c r="N50" s="1"/>
  <c r="H50"/>
  <c r="B50"/>
  <c r="G50"/>
  <c r="I50" s="1"/>
  <c r="L34"/>
  <c r="D34"/>
  <c r="M34"/>
  <c r="N34" s="1"/>
  <c r="H34"/>
  <c r="B34"/>
  <c r="G34"/>
  <c r="I34" s="1"/>
  <c r="L18"/>
  <c r="D18"/>
  <c r="M18"/>
  <c r="N18" s="1"/>
  <c r="H18"/>
  <c r="B18"/>
  <c r="G18"/>
  <c r="I18" s="1"/>
  <c r="M13" i="35"/>
  <c r="G13"/>
  <c r="H13"/>
  <c r="B13"/>
  <c r="L13"/>
  <c r="N13" s="1"/>
  <c r="D13"/>
  <c r="M121" i="36"/>
  <c r="L121"/>
  <c r="D121"/>
  <c r="B121"/>
  <c r="H121"/>
  <c r="G121"/>
  <c r="M105"/>
  <c r="L105"/>
  <c r="D105"/>
  <c r="B105"/>
  <c r="H105"/>
  <c r="G105"/>
  <c r="M89"/>
  <c r="L89"/>
  <c r="D89"/>
  <c r="B89"/>
  <c r="H89"/>
  <c r="G89"/>
  <c r="M73"/>
  <c r="L73"/>
  <c r="D73"/>
  <c r="B73"/>
  <c r="H73"/>
  <c r="G73"/>
  <c r="M57"/>
  <c r="L57"/>
  <c r="D57"/>
  <c r="B57"/>
  <c r="H57"/>
  <c r="G57"/>
  <c r="M41"/>
  <c r="L41"/>
  <c r="D41"/>
  <c r="B41"/>
  <c r="H41"/>
  <c r="G41"/>
  <c r="M25"/>
  <c r="L25"/>
  <c r="D25"/>
  <c r="B25"/>
  <c r="H25"/>
  <c r="G25"/>
  <c r="M16" i="35"/>
  <c r="H16"/>
  <c r="L16"/>
  <c r="D16"/>
  <c r="B16"/>
  <c r="G16"/>
  <c r="I16" s="1"/>
  <c r="M11" i="36"/>
  <c r="L11"/>
  <c r="D11"/>
  <c r="H11"/>
  <c r="B11"/>
  <c r="G11"/>
  <c r="M11" i="35"/>
  <c r="G11"/>
  <c r="H11"/>
  <c r="B11"/>
  <c r="L11"/>
  <c r="D11"/>
  <c r="R8"/>
  <c r="R8" i="36"/>
  <c r="M118"/>
  <c r="G118"/>
  <c r="H118"/>
  <c r="B118"/>
  <c r="L118"/>
  <c r="D118"/>
  <c r="M102"/>
  <c r="G102"/>
  <c r="H102"/>
  <c r="B102"/>
  <c r="L102"/>
  <c r="N102" s="1"/>
  <c r="D102"/>
  <c r="M86"/>
  <c r="G86"/>
  <c r="H86"/>
  <c r="B86"/>
  <c r="L86"/>
  <c r="N86" s="1"/>
  <c r="D86"/>
  <c r="L70"/>
  <c r="D70"/>
  <c r="M70"/>
  <c r="H70"/>
  <c r="B70"/>
  <c r="G70"/>
  <c r="I70" s="1"/>
  <c r="L54"/>
  <c r="D54"/>
  <c r="M54"/>
  <c r="N54" s="1"/>
  <c r="H54"/>
  <c r="B54"/>
  <c r="G54"/>
  <c r="I54" s="1"/>
  <c r="L38"/>
  <c r="D38"/>
  <c r="M38"/>
  <c r="H38"/>
  <c r="B38"/>
  <c r="G38"/>
  <c r="I38" s="1"/>
  <c r="L22"/>
  <c r="D22"/>
  <c r="M22"/>
  <c r="N22" s="1"/>
  <c r="H22"/>
  <c r="B22"/>
  <c r="G22"/>
  <c r="I22" s="1"/>
  <c r="M15" i="35"/>
  <c r="G15"/>
  <c r="H15"/>
  <c r="B15"/>
  <c r="L15"/>
  <c r="D15"/>
  <c r="M125" i="36"/>
  <c r="L125"/>
  <c r="D125"/>
  <c r="B125"/>
  <c r="H125"/>
  <c r="G125"/>
  <c r="M109"/>
  <c r="L109"/>
  <c r="D109"/>
  <c r="B109"/>
  <c r="H109"/>
  <c r="G109"/>
  <c r="M93"/>
  <c r="L93"/>
  <c r="D93"/>
  <c r="B93"/>
  <c r="H93"/>
  <c r="G93"/>
  <c r="M77"/>
  <c r="L77"/>
  <c r="D77"/>
  <c r="B77"/>
  <c r="H77"/>
  <c r="G77"/>
  <c r="M61"/>
  <c r="L61"/>
  <c r="D61"/>
  <c r="B61"/>
  <c r="H61"/>
  <c r="G61"/>
  <c r="M45"/>
  <c r="L45"/>
  <c r="D45"/>
  <c r="B45"/>
  <c r="H45"/>
  <c r="G45"/>
  <c r="M29"/>
  <c r="L29"/>
  <c r="D29"/>
  <c r="B29"/>
  <c r="H29"/>
  <c r="G29"/>
  <c r="M13"/>
  <c r="L13"/>
  <c r="D13"/>
  <c r="B13"/>
  <c r="H13"/>
  <c r="G13"/>
  <c r="M122"/>
  <c r="G122"/>
  <c r="H122"/>
  <c r="B122"/>
  <c r="L122"/>
  <c r="N122" s="1"/>
  <c r="D122"/>
  <c r="M106"/>
  <c r="G106"/>
  <c r="H106"/>
  <c r="B106"/>
  <c r="L106"/>
  <c r="D106"/>
  <c r="M90"/>
  <c r="G90"/>
  <c r="H90"/>
  <c r="B90"/>
  <c r="L90"/>
  <c r="D90"/>
  <c r="M74"/>
  <c r="G74"/>
  <c r="H74"/>
  <c r="B74"/>
  <c r="L74"/>
  <c r="D74"/>
  <c r="L58"/>
  <c r="D58"/>
  <c r="M58"/>
  <c r="H58"/>
  <c r="B58"/>
  <c r="G58"/>
  <c r="I58" s="1"/>
  <c r="L42"/>
  <c r="D42"/>
  <c r="M42"/>
  <c r="H42"/>
  <c r="B42"/>
  <c r="G42"/>
  <c r="I42" s="1"/>
  <c r="L26"/>
  <c r="D26"/>
  <c r="M26"/>
  <c r="H26"/>
  <c r="B26"/>
  <c r="G26"/>
  <c r="I26" s="1"/>
  <c r="M17" i="35"/>
  <c r="G17"/>
  <c r="H17"/>
  <c r="B17"/>
  <c r="L17"/>
  <c r="D17"/>
  <c r="M113" i="36"/>
  <c r="L113"/>
  <c r="D113"/>
  <c r="B113"/>
  <c r="H113"/>
  <c r="G113"/>
  <c r="M97"/>
  <c r="L97"/>
  <c r="D97"/>
  <c r="B97"/>
  <c r="H97"/>
  <c r="G97"/>
  <c r="M81"/>
  <c r="L81"/>
  <c r="D81"/>
  <c r="B81"/>
  <c r="H81"/>
  <c r="G81"/>
  <c r="M65"/>
  <c r="L65"/>
  <c r="D65"/>
  <c r="B65"/>
  <c r="H65"/>
  <c r="G65"/>
  <c r="M49"/>
  <c r="L49"/>
  <c r="D49"/>
  <c r="B49"/>
  <c r="H49"/>
  <c r="G49"/>
  <c r="M33"/>
  <c r="L33"/>
  <c r="D33"/>
  <c r="B33"/>
  <c r="H33"/>
  <c r="G33"/>
  <c r="M17"/>
  <c r="L17"/>
  <c r="D17"/>
  <c r="B17"/>
  <c r="H17"/>
  <c r="G17"/>
  <c r="C12" i="35"/>
  <c r="C12" i="36"/>
  <c r="M2558" i="33"/>
  <c r="M2542"/>
  <c r="M2528"/>
  <c r="M2520"/>
  <c r="M2512"/>
  <c r="M2504"/>
  <c r="M2496"/>
  <c r="M2488"/>
  <c r="M2480"/>
  <c r="M2472"/>
  <c r="M2464"/>
  <c r="M2456"/>
  <c r="M2448"/>
  <c r="M2440"/>
  <c r="M2432"/>
  <c r="M2424"/>
  <c r="M2416"/>
  <c r="M2408"/>
  <c r="M2400"/>
  <c r="M2392"/>
  <c r="M2384"/>
  <c r="M2376"/>
  <c r="M2368"/>
  <c r="M2360"/>
  <c r="M2352"/>
  <c r="M2344"/>
  <c r="M2336"/>
  <c r="M2328"/>
  <c r="M2320"/>
  <c r="M2312"/>
  <c r="M2304"/>
  <c r="M2296"/>
  <c r="M2559"/>
  <c r="M2543"/>
  <c r="M2287"/>
  <c r="M2279"/>
  <c r="M2271"/>
  <c r="M2263"/>
  <c r="M2255"/>
  <c r="M2247"/>
  <c r="M2239"/>
  <c r="M2231"/>
  <c r="M2223"/>
  <c r="M2215"/>
  <c r="M2207"/>
  <c r="M2199"/>
  <c r="M2191"/>
  <c r="M2183"/>
  <c r="M2175"/>
  <c r="M2167"/>
  <c r="M2159"/>
  <c r="M2151"/>
  <c r="M2143"/>
  <c r="M2135"/>
  <c r="M2127"/>
  <c r="M2119"/>
  <c r="M2111"/>
  <c r="M2103"/>
  <c r="M2095"/>
  <c r="M2087"/>
  <c r="M2079"/>
  <c r="M2071"/>
  <c r="M2063"/>
  <c r="M2055"/>
  <c r="M2047"/>
  <c r="M2039"/>
  <c r="M2031"/>
  <c r="M2023"/>
  <c r="M2015"/>
  <c r="M2007"/>
  <c r="M1999"/>
  <c r="M1991"/>
  <c r="M1983"/>
  <c r="M1975"/>
  <c r="M1967"/>
  <c r="M1959"/>
  <c r="M1951"/>
  <c r="M1943"/>
  <c r="M1935"/>
  <c r="M1927"/>
  <c r="M1919"/>
  <c r="M1911"/>
  <c r="M1903"/>
  <c r="M1895"/>
  <c r="M1887"/>
  <c r="M1879"/>
  <c r="M1871"/>
  <c r="M1863"/>
  <c r="M1855"/>
  <c r="M1847"/>
  <c r="M1839"/>
  <c r="M1831"/>
  <c r="M1823"/>
  <c r="M1815"/>
  <c r="M1807"/>
  <c r="M1799"/>
  <c r="M1791"/>
  <c r="M1783"/>
  <c r="M1775"/>
  <c r="M1767"/>
  <c r="M1759"/>
  <c r="M1743"/>
  <c r="M1735"/>
  <c r="M1727"/>
  <c r="M1719"/>
  <c r="M1711"/>
  <c r="M1703"/>
  <c r="M1695"/>
  <c r="M1687"/>
  <c r="M1679"/>
  <c r="M1671"/>
  <c r="M1663"/>
  <c r="M1655"/>
  <c r="M1647"/>
  <c r="M1639"/>
  <c r="M1631"/>
  <c r="M1623"/>
  <c r="M1608"/>
  <c r="M1600"/>
  <c r="M1584"/>
  <c r="M1576"/>
  <c r="M1568"/>
  <c r="M1560"/>
  <c r="M1552"/>
  <c r="M1544"/>
  <c r="M1536"/>
  <c r="M1528"/>
  <c r="M1357"/>
  <c r="M1233"/>
  <c r="M1189"/>
  <c r="M1123"/>
  <c r="M1161"/>
  <c r="M1185"/>
  <c r="M1215"/>
  <c r="M1256"/>
  <c r="M953"/>
  <c r="M950"/>
  <c r="M1096"/>
  <c r="M1091"/>
  <c r="M1009"/>
  <c r="M1056"/>
  <c r="M1086"/>
  <c r="M1142"/>
  <c r="M1128"/>
  <c r="M1082"/>
  <c r="M1004"/>
  <c r="M907"/>
  <c r="M891"/>
  <c r="M883"/>
  <c r="M875"/>
  <c r="M867"/>
  <c r="M692"/>
  <c r="M676"/>
  <c r="M668"/>
  <c r="M636"/>
  <c r="M602"/>
  <c r="M591"/>
  <c r="M562"/>
  <c r="M554"/>
  <c r="M530"/>
  <c r="M524"/>
  <c r="M516"/>
  <c r="M480"/>
  <c r="M472"/>
  <c r="M799"/>
  <c r="M832"/>
  <c r="M792"/>
  <c r="M686"/>
  <c r="M535"/>
  <c r="M492"/>
  <c r="M643"/>
  <c r="M671"/>
  <c r="M650"/>
  <c r="M444"/>
  <c r="M463"/>
  <c r="M1520"/>
  <c r="M1512"/>
  <c r="M1504"/>
  <c r="M1496"/>
  <c r="M1488"/>
  <c r="M1480"/>
  <c r="M1473"/>
  <c r="M1465"/>
  <c r="M1457"/>
  <c r="M1449"/>
  <c r="M1420"/>
  <c r="M1391"/>
  <c r="M1362"/>
  <c r="M1297"/>
  <c r="M1346"/>
  <c r="M1117"/>
  <c r="M1279"/>
  <c r="M1069"/>
  <c r="M927"/>
  <c r="M961"/>
  <c r="M901"/>
  <c r="M913"/>
  <c r="M959"/>
  <c r="M1209"/>
  <c r="M1175"/>
  <c r="M1043"/>
  <c r="M1088"/>
  <c r="M1135"/>
  <c r="M1000"/>
  <c r="M935"/>
  <c r="M754"/>
  <c r="M749"/>
  <c r="M741"/>
  <c r="M733"/>
  <c r="M768"/>
  <c r="M696"/>
  <c r="M795"/>
  <c r="M783"/>
  <c r="M728"/>
  <c r="M1314"/>
  <c r="M2552"/>
  <c r="M2536"/>
  <c r="M2525"/>
  <c r="M2517"/>
  <c r="M2509"/>
  <c r="M2501"/>
  <c r="M2493"/>
  <c r="M2485"/>
  <c r="M2477"/>
  <c r="M2469"/>
  <c r="M2461"/>
  <c r="M2453"/>
  <c r="M2445"/>
  <c r="M2437"/>
  <c r="M2429"/>
  <c r="M2421"/>
  <c r="M2413"/>
  <c r="M2405"/>
  <c r="M2397"/>
  <c r="M2389"/>
  <c r="M2381"/>
  <c r="M2373"/>
  <c r="M2365"/>
  <c r="M2357"/>
  <c r="M2349"/>
  <c r="M2341"/>
  <c r="M2333"/>
  <c r="M2325"/>
  <c r="M2317"/>
  <c r="M2309"/>
  <c r="M2301"/>
  <c r="M2293"/>
  <c r="M2553"/>
  <c r="M2537"/>
  <c r="M2284"/>
  <c r="M2276"/>
  <c r="M2268"/>
  <c r="M2260"/>
  <c r="M2252"/>
  <c r="M2244"/>
  <c r="M2236"/>
  <c r="M2228"/>
  <c r="M2220"/>
  <c r="M2212"/>
  <c r="M2204"/>
  <c r="M2196"/>
  <c r="M2188"/>
  <c r="M2180"/>
  <c r="M2172"/>
  <c r="M2164"/>
  <c r="M2156"/>
  <c r="M2148"/>
  <c r="M2140"/>
  <c r="M2132"/>
  <c r="M2124"/>
  <c r="M2116"/>
  <c r="M2108"/>
  <c r="M2100"/>
  <c r="M2092"/>
  <c r="M2084"/>
  <c r="M2076"/>
  <c r="M2068"/>
  <c r="M2060"/>
  <c r="M2052"/>
  <c r="M2044"/>
  <c r="M2036"/>
  <c r="M2028"/>
  <c r="M2020"/>
  <c r="M2012"/>
  <c r="M2004"/>
  <c r="M1996"/>
  <c r="M1988"/>
  <c r="M1980"/>
  <c r="M1972"/>
  <c r="M1964"/>
  <c r="M1956"/>
  <c r="M1948"/>
  <c r="M1940"/>
  <c r="M1932"/>
  <c r="M1924"/>
  <c r="M1916"/>
  <c r="M1908"/>
  <c r="M1900"/>
  <c r="M1892"/>
  <c r="M1884"/>
  <c r="M1876"/>
  <c r="M1868"/>
  <c r="M1860"/>
  <c r="M1852"/>
  <c r="M1844"/>
  <c r="M1836"/>
  <c r="M1828"/>
  <c r="M1820"/>
  <c r="M1812"/>
  <c r="M1804"/>
  <c r="M1796"/>
  <c r="M1788"/>
  <c r="M1780"/>
  <c r="M1772"/>
  <c r="M1764"/>
  <c r="M1756"/>
  <c r="M1749"/>
  <c r="M1740"/>
  <c r="M1732"/>
  <c r="M1724"/>
  <c r="M1716"/>
  <c r="M1708"/>
  <c r="M1700"/>
  <c r="M1692"/>
  <c r="M1684"/>
  <c r="M1676"/>
  <c r="M1668"/>
  <c r="M1660"/>
  <c r="M1652"/>
  <c r="M1644"/>
  <c r="M1636"/>
  <c r="M1628"/>
  <c r="M1620"/>
  <c r="M1605"/>
  <c r="M1565"/>
  <c r="M1557"/>
  <c r="M1549"/>
  <c r="M1533"/>
  <c r="M1525"/>
  <c r="M1341"/>
  <c r="M984"/>
  <c r="M914"/>
  <c r="M1120"/>
  <c r="M1227"/>
  <c r="M1205"/>
  <c r="M1198"/>
  <c r="M1257"/>
  <c r="M974"/>
  <c r="M1033"/>
  <c r="M1093"/>
  <c r="M906"/>
  <c r="M1035"/>
  <c r="M1053"/>
  <c r="M1103"/>
  <c r="M1143"/>
  <c r="M1129"/>
  <c r="M1083"/>
  <c r="M1005"/>
  <c r="M919"/>
  <c r="M896"/>
  <c r="M888"/>
  <c r="M880"/>
  <c r="M872"/>
  <c r="M864"/>
  <c r="M689"/>
  <c r="M639"/>
  <c r="M659"/>
  <c r="M633"/>
  <c r="M596"/>
  <c r="M588"/>
  <c r="M559"/>
  <c r="M547"/>
  <c r="M539"/>
  <c r="M521"/>
  <c r="M485"/>
  <c r="M477"/>
  <c r="M716"/>
  <c r="M796"/>
  <c r="M816"/>
  <c r="M790"/>
  <c r="M712"/>
  <c r="M584"/>
  <c r="M500"/>
  <c r="M672"/>
  <c r="M651"/>
  <c r="M611"/>
  <c r="M447"/>
  <c r="M1521"/>
  <c r="M1505"/>
  <c r="M1497"/>
  <c r="M1489"/>
  <c r="M1481"/>
  <c r="M1466"/>
  <c r="M1458"/>
  <c r="M1450"/>
  <c r="M1421"/>
  <c r="M1392"/>
  <c r="M1365"/>
  <c r="M1333"/>
  <c r="M1310"/>
  <c r="M1327"/>
  <c r="M1316"/>
  <c r="M995"/>
  <c r="M1202"/>
  <c r="M1066"/>
  <c r="M924"/>
  <c r="M1114"/>
  <c r="M942"/>
  <c r="M910"/>
  <c r="M1200"/>
  <c r="M1196"/>
  <c r="M946"/>
  <c r="M1051"/>
  <c r="M1108"/>
  <c r="M1073"/>
  <c r="M997"/>
  <c r="M954"/>
  <c r="M755"/>
  <c r="M856"/>
  <c r="M742"/>
  <c r="M734"/>
  <c r="M769"/>
  <c r="M697"/>
  <c r="M784"/>
  <c r="M729"/>
  <c r="M619"/>
  <c r="C111" i="36"/>
  <c r="C95"/>
  <c r="C79"/>
  <c r="C63"/>
  <c r="C47"/>
  <c r="C31"/>
  <c r="C15"/>
  <c r="C176" i="35"/>
  <c r="C160"/>
  <c r="C152"/>
  <c r="C144"/>
  <c r="C136"/>
  <c r="C128"/>
  <c r="C120"/>
  <c r="C112"/>
  <c r="C104"/>
  <c r="C96"/>
  <c r="C88"/>
  <c r="C80"/>
  <c r="C72"/>
  <c r="C64"/>
  <c r="C56"/>
  <c r="C48"/>
  <c r="C40"/>
  <c r="C32"/>
  <c r="C24"/>
  <c r="C129" i="36"/>
  <c r="C137"/>
  <c r="C145"/>
  <c r="C153"/>
  <c r="C161"/>
  <c r="C177"/>
  <c r="C185"/>
  <c r="C193"/>
  <c r="C201"/>
  <c r="C209"/>
  <c r="C217"/>
  <c r="C225"/>
  <c r="C233"/>
  <c r="C241"/>
  <c r="C249"/>
  <c r="C257"/>
  <c r="C265"/>
  <c r="C273"/>
  <c r="C281"/>
  <c r="C289"/>
  <c r="C297"/>
  <c r="X15" i="21"/>
  <c r="X35"/>
  <c r="X48"/>
  <c r="X79"/>
  <c r="X103"/>
  <c r="X117"/>
  <c r="X145"/>
  <c r="X161"/>
  <c r="X174"/>
  <c r="X187"/>
  <c r="X200"/>
  <c r="X213"/>
  <c r="X225"/>
  <c r="X238"/>
  <c r="X251"/>
  <c r="X265"/>
  <c r="X279"/>
  <c r="X292"/>
  <c r="X305"/>
  <c r="X334"/>
  <c r="X353"/>
  <c r="X372"/>
  <c r="X388"/>
  <c r="X405"/>
  <c r="X420"/>
  <c r="X432"/>
  <c r="X478"/>
  <c r="X494"/>
  <c r="X509"/>
  <c r="X525"/>
  <c r="X542"/>
  <c r="X560"/>
  <c r="X576"/>
  <c r="X596"/>
  <c r="X627"/>
  <c r="X636"/>
  <c r="X644"/>
  <c r="X652"/>
  <c r="X660"/>
  <c r="X668"/>
  <c r="X677"/>
  <c r="X693"/>
  <c r="X709"/>
  <c r="X725"/>
  <c r="X741"/>
  <c r="X757"/>
  <c r="X773"/>
  <c r="X789"/>
  <c r="X805"/>
  <c r="X821"/>
  <c r="X837"/>
  <c r="X853"/>
  <c r="X869"/>
  <c r="X885"/>
  <c r="M53" i="33"/>
  <c r="M183"/>
  <c r="M212"/>
  <c r="M287"/>
  <c r="M324"/>
  <c r="M374"/>
  <c r="M126"/>
  <c r="M414"/>
  <c r="M64"/>
  <c r="M90"/>
  <c r="M134"/>
  <c r="M254"/>
  <c r="M297"/>
  <c r="M344"/>
  <c r="M363"/>
  <c r="M350"/>
  <c r="M506"/>
  <c r="M568"/>
  <c r="M499"/>
  <c r="M433"/>
  <c r="M648"/>
  <c r="X34" i="21"/>
  <c r="X58"/>
  <c r="X78"/>
  <c r="X90"/>
  <c r="X101"/>
  <c r="X123"/>
  <c r="X147"/>
  <c r="X165"/>
  <c r="X185"/>
  <c r="X206"/>
  <c r="X229"/>
  <c r="X249"/>
  <c r="X268"/>
  <c r="X288"/>
  <c r="X308"/>
  <c r="X335"/>
  <c r="X349"/>
  <c r="X362"/>
  <c r="X379"/>
  <c r="X392"/>
  <c r="X416"/>
  <c r="X437"/>
  <c r="X453"/>
  <c r="X468"/>
  <c r="X484"/>
  <c r="X500"/>
  <c r="X516"/>
  <c r="X533"/>
  <c r="X548"/>
  <c r="X563"/>
  <c r="X579"/>
  <c r="X591"/>
  <c r="X607"/>
  <c r="X615"/>
  <c r="X625"/>
  <c r="X686"/>
  <c r="X702"/>
  <c r="X718"/>
  <c r="X734"/>
  <c r="X750"/>
  <c r="X766"/>
  <c r="X782"/>
  <c r="X798"/>
  <c r="X814"/>
  <c r="X830"/>
  <c r="X846"/>
  <c r="X862"/>
  <c r="X878"/>
  <c r="M54" i="33"/>
  <c r="M70"/>
  <c r="M45"/>
  <c r="M130"/>
  <c r="M161"/>
  <c r="M172"/>
  <c r="M176"/>
  <c r="M184"/>
  <c r="M111"/>
  <c r="M196"/>
  <c r="M262"/>
  <c r="M276"/>
  <c r="M300"/>
  <c r="M408"/>
  <c r="M199"/>
  <c r="M237"/>
  <c r="M266"/>
  <c r="M320"/>
  <c r="M380"/>
  <c r="M497"/>
  <c r="M606"/>
  <c r="M573"/>
  <c r="M707"/>
  <c r="C120" i="36"/>
  <c r="C104"/>
  <c r="C88"/>
  <c r="C72"/>
  <c r="C56"/>
  <c r="C40"/>
  <c r="C24"/>
  <c r="C179" i="35"/>
  <c r="C171"/>
  <c r="C163"/>
  <c r="D163" s="1"/>
  <c r="C155"/>
  <c r="C147"/>
  <c r="C139"/>
  <c r="C131"/>
  <c r="C123"/>
  <c r="C115"/>
  <c r="C107"/>
  <c r="C99"/>
  <c r="C91"/>
  <c r="C83"/>
  <c r="C75"/>
  <c r="C67"/>
  <c r="C59"/>
  <c r="C51"/>
  <c r="C43"/>
  <c r="C35"/>
  <c r="C27"/>
  <c r="C19"/>
  <c r="C128" i="36"/>
  <c r="C136"/>
  <c r="C144"/>
  <c r="C152"/>
  <c r="C160"/>
  <c r="C176"/>
  <c r="C184"/>
  <c r="C192"/>
  <c r="C200"/>
  <c r="C208"/>
  <c r="C216"/>
  <c r="C224"/>
  <c r="C232"/>
  <c r="C240"/>
  <c r="C248"/>
  <c r="C256"/>
  <c r="C264"/>
  <c r="C272"/>
  <c r="C280"/>
  <c r="C288"/>
  <c r="C296"/>
  <c r="X14" i="21"/>
  <c r="X24"/>
  <c r="X41"/>
  <c r="X53"/>
  <c r="X76"/>
  <c r="X102"/>
  <c r="X116"/>
  <c r="X143"/>
  <c r="X160"/>
  <c r="X172"/>
  <c r="X186"/>
  <c r="X198"/>
  <c r="X212"/>
  <c r="X224"/>
  <c r="X236"/>
  <c r="X250"/>
  <c r="X264"/>
  <c r="X277"/>
  <c r="X290"/>
  <c r="X304"/>
  <c r="X332"/>
  <c r="X351"/>
  <c r="X370"/>
  <c r="X386"/>
  <c r="X404"/>
  <c r="X419"/>
  <c r="X431"/>
  <c r="X446"/>
  <c r="X462"/>
  <c r="X477"/>
  <c r="X493"/>
  <c r="X508"/>
  <c r="X524"/>
  <c r="X541"/>
  <c r="X558"/>
  <c r="X573"/>
  <c r="X593"/>
  <c r="X624"/>
  <c r="X635"/>
  <c r="X643"/>
  <c r="X651"/>
  <c r="X659"/>
  <c r="X667"/>
  <c r="X675"/>
  <c r="X691"/>
  <c r="X707"/>
  <c r="X723"/>
  <c r="X739"/>
  <c r="X755"/>
  <c r="X771"/>
  <c r="X787"/>
  <c r="X803"/>
  <c r="X819"/>
  <c r="X835"/>
  <c r="X851"/>
  <c r="X867"/>
  <c r="X883"/>
  <c r="M52" i="33"/>
  <c r="M207"/>
  <c r="M215"/>
  <c r="M313"/>
  <c r="M373"/>
  <c r="M125"/>
  <c r="M316"/>
  <c r="M51"/>
  <c r="M89"/>
  <c r="M133"/>
  <c r="M309"/>
  <c r="M357"/>
  <c r="M339"/>
  <c r="M347"/>
  <c r="M366"/>
  <c r="M439"/>
  <c r="M551"/>
  <c r="M609"/>
  <c r="M600"/>
  <c r="M542"/>
  <c r="X10" i="21"/>
  <c r="X33"/>
  <c r="X52"/>
  <c r="X77"/>
  <c r="X89"/>
  <c r="X100"/>
  <c r="X121"/>
  <c r="X154"/>
  <c r="X173"/>
  <c r="X194"/>
  <c r="X215"/>
  <c r="X237"/>
  <c r="X257"/>
  <c r="X276"/>
  <c r="X296"/>
  <c r="X333"/>
  <c r="X347"/>
  <c r="X360"/>
  <c r="X377"/>
  <c r="X390"/>
  <c r="X415"/>
  <c r="X436"/>
  <c r="X451"/>
  <c r="X467"/>
  <c r="X483"/>
  <c r="X499"/>
  <c r="X515"/>
  <c r="X531"/>
  <c r="X546"/>
  <c r="X562"/>
  <c r="X578"/>
  <c r="X590"/>
  <c r="X606"/>
  <c r="X614"/>
  <c r="X622"/>
  <c r="X684"/>
  <c r="X700"/>
  <c r="X716"/>
  <c r="X732"/>
  <c r="X748"/>
  <c r="X764"/>
  <c r="X780"/>
  <c r="X796"/>
  <c r="X812"/>
  <c r="X828"/>
  <c r="X844"/>
  <c r="X860"/>
  <c r="X876"/>
  <c r="M69" i="33"/>
  <c r="M44"/>
  <c r="M129"/>
  <c r="M160"/>
  <c r="M157"/>
  <c r="M141"/>
  <c r="M182"/>
  <c r="M191"/>
  <c r="M195"/>
  <c r="M261"/>
  <c r="M275"/>
  <c r="M294"/>
  <c r="M352"/>
  <c r="M22"/>
  <c r="M202"/>
  <c r="M240"/>
  <c r="M251"/>
  <c r="M375"/>
  <c r="M371"/>
  <c r="M459"/>
  <c r="M621"/>
  <c r="M572"/>
  <c r="M649"/>
  <c r="M710"/>
  <c r="M2554"/>
  <c r="M2538"/>
  <c r="M2526"/>
  <c r="M2518"/>
  <c r="M2510"/>
  <c r="M2502"/>
  <c r="M2494"/>
  <c r="M2486"/>
  <c r="M2478"/>
  <c r="M2470"/>
  <c r="M2462"/>
  <c r="M2454"/>
  <c r="M2446"/>
  <c r="M2438"/>
  <c r="M2430"/>
  <c r="M2422"/>
  <c r="M2414"/>
  <c r="M2406"/>
  <c r="M2398"/>
  <c r="M2390"/>
  <c r="M2382"/>
  <c r="M2374"/>
  <c r="M2366"/>
  <c r="M2358"/>
  <c r="M2350"/>
  <c r="M2342"/>
  <c r="M2334"/>
  <c r="M2326"/>
  <c r="M2318"/>
  <c r="M2310"/>
  <c r="M2302"/>
  <c r="M2294"/>
  <c r="M2555"/>
  <c r="M2539"/>
  <c r="M2285"/>
  <c r="M2277"/>
  <c r="M2269"/>
  <c r="M2261"/>
  <c r="M2253"/>
  <c r="M2245"/>
  <c r="M2237"/>
  <c r="M2229"/>
  <c r="M2221"/>
  <c r="M2213"/>
  <c r="M2205"/>
  <c r="M2197"/>
  <c r="M2189"/>
  <c r="M2181"/>
  <c r="M2173"/>
  <c r="M2165"/>
  <c r="M2157"/>
  <c r="M2149"/>
  <c r="M2141"/>
  <c r="M2133"/>
  <c r="M2125"/>
  <c r="M2117"/>
  <c r="M2109"/>
  <c r="M2101"/>
  <c r="M2093"/>
  <c r="M2085"/>
  <c r="M2077"/>
  <c r="M2069"/>
  <c r="M2061"/>
  <c r="M2053"/>
  <c r="M2045"/>
  <c r="M2037"/>
  <c r="M2029"/>
  <c r="M2021"/>
  <c r="M2013"/>
  <c r="M2005"/>
  <c r="M1997"/>
  <c r="M1989"/>
  <c r="M1981"/>
  <c r="M1973"/>
  <c r="M1965"/>
  <c r="M1957"/>
  <c r="M1949"/>
  <c r="M1941"/>
  <c r="M1933"/>
  <c r="M1925"/>
  <c r="M1917"/>
  <c r="M1909"/>
  <c r="M1901"/>
  <c r="M1893"/>
  <c r="M1885"/>
  <c r="M1877"/>
  <c r="M1869"/>
  <c r="M1861"/>
  <c r="M1853"/>
  <c r="M1845"/>
  <c r="M1837"/>
  <c r="M1829"/>
  <c r="M1821"/>
  <c r="M1813"/>
  <c r="M1805"/>
  <c r="M1797"/>
  <c r="M1789"/>
  <c r="M1781"/>
  <c r="M1773"/>
  <c r="M1765"/>
  <c r="M1757"/>
  <c r="M1750"/>
  <c r="M1741"/>
  <c r="M1733"/>
  <c r="M1725"/>
  <c r="M1717"/>
  <c r="M1709"/>
  <c r="M1701"/>
  <c r="M1693"/>
  <c r="M1685"/>
  <c r="M1677"/>
  <c r="M1669"/>
  <c r="M1661"/>
  <c r="M1653"/>
  <c r="M1645"/>
  <c r="M1637"/>
  <c r="M1629"/>
  <c r="M1621"/>
  <c r="M1606"/>
  <c r="M1566"/>
  <c r="M1558"/>
  <c r="M1550"/>
  <c r="M1542"/>
  <c r="M1534"/>
  <c r="M1526"/>
  <c r="M1315"/>
  <c r="M1342"/>
  <c r="M985"/>
  <c r="M915"/>
  <c r="M1121"/>
  <c r="M1228"/>
  <c r="M1183"/>
  <c r="M1199"/>
  <c r="M1216"/>
  <c r="M951"/>
  <c r="M948"/>
  <c r="M1094"/>
  <c r="M936"/>
  <c r="M983"/>
  <c r="M1040"/>
  <c r="M1049"/>
  <c r="M1137"/>
  <c r="M1138"/>
  <c r="M1084"/>
  <c r="M1006"/>
  <c r="M920"/>
  <c r="M893"/>
  <c r="M885"/>
  <c r="M877"/>
  <c r="M869"/>
  <c r="M694"/>
  <c r="M678"/>
  <c r="M670"/>
  <c r="M656"/>
  <c r="M604"/>
  <c r="M593"/>
  <c r="M585"/>
  <c r="M556"/>
  <c r="M532"/>
  <c r="M526"/>
  <c r="M518"/>
  <c r="M482"/>
  <c r="M474"/>
  <c r="M801"/>
  <c r="M817"/>
  <c r="M793"/>
  <c r="M688"/>
  <c r="M537"/>
  <c r="M615"/>
  <c r="M645"/>
  <c r="M673"/>
  <c r="M626"/>
  <c r="M431"/>
  <c r="M461"/>
  <c r="M1518"/>
  <c r="M1510"/>
  <c r="M1502"/>
  <c r="M1494"/>
  <c r="M1486"/>
  <c r="M1471"/>
  <c r="M1463"/>
  <c r="M1455"/>
  <c r="M1447"/>
  <c r="M1360"/>
  <c r="M1418"/>
  <c r="M1431"/>
  <c r="M1411"/>
  <c r="M1398"/>
  <c r="M1385"/>
  <c r="M1366"/>
  <c r="M1334"/>
  <c r="M1311"/>
  <c r="M1324"/>
  <c r="M1317"/>
  <c r="M996"/>
  <c r="M1203"/>
  <c r="M1067"/>
  <c r="M925"/>
  <c r="M1115"/>
  <c r="M899"/>
  <c r="M911"/>
  <c r="M922"/>
  <c r="M1238"/>
  <c r="M1197"/>
  <c r="M904"/>
  <c r="M981"/>
  <c r="M1041"/>
  <c r="M1109"/>
  <c r="M1074"/>
  <c r="M980"/>
  <c r="M930"/>
  <c r="M752"/>
  <c r="M747"/>
  <c r="M739"/>
  <c r="M731"/>
  <c r="M766"/>
  <c r="M802"/>
  <c r="M714"/>
  <c r="M775"/>
  <c r="M685"/>
  <c r="M2548"/>
  <c r="M2532"/>
  <c r="M2523"/>
  <c r="M2515"/>
  <c r="M2507"/>
  <c r="M2499"/>
  <c r="M2491"/>
  <c r="M2483"/>
  <c r="M2475"/>
  <c r="M2467"/>
  <c r="M2459"/>
  <c r="M2451"/>
  <c r="M2443"/>
  <c r="M2435"/>
  <c r="M2427"/>
  <c r="M2419"/>
  <c r="M2411"/>
  <c r="M2403"/>
  <c r="M2395"/>
  <c r="M2387"/>
  <c r="M2379"/>
  <c r="M2371"/>
  <c r="M2363"/>
  <c r="M2355"/>
  <c r="M2347"/>
  <c r="M2339"/>
  <c r="M2331"/>
  <c r="M2323"/>
  <c r="M2315"/>
  <c r="M2307"/>
  <c r="M2299"/>
  <c r="M2291"/>
  <c r="M2549"/>
  <c r="M2533"/>
  <c r="M2282"/>
  <c r="M2274"/>
  <c r="M2266"/>
  <c r="M2258"/>
  <c r="M2250"/>
  <c r="M2242"/>
  <c r="M2234"/>
  <c r="M2226"/>
  <c r="M2218"/>
  <c r="M2210"/>
  <c r="M2202"/>
  <c r="M2194"/>
  <c r="M2186"/>
  <c r="M2178"/>
  <c r="M2170"/>
  <c r="M2162"/>
  <c r="M2154"/>
  <c r="M2146"/>
  <c r="M2138"/>
  <c r="M2130"/>
  <c r="M2122"/>
  <c r="M2114"/>
  <c r="M2106"/>
  <c r="M2098"/>
  <c r="M2090"/>
  <c r="M2082"/>
  <c r="M2074"/>
  <c r="M2066"/>
  <c r="M2058"/>
  <c r="M2050"/>
  <c r="M2042"/>
  <c r="M2034"/>
  <c r="M2026"/>
  <c r="M2018"/>
  <c r="M2010"/>
  <c r="M2002"/>
  <c r="M1994"/>
  <c r="M1986"/>
  <c r="M1978"/>
  <c r="M1970"/>
  <c r="M1962"/>
  <c r="M1954"/>
  <c r="M1946"/>
  <c r="M1938"/>
  <c r="M1930"/>
  <c r="M1922"/>
  <c r="M1914"/>
  <c r="M1906"/>
  <c r="M1898"/>
  <c r="M1890"/>
  <c r="M1882"/>
  <c r="M1874"/>
  <c r="M1866"/>
  <c r="M1858"/>
  <c r="M1850"/>
  <c r="M1842"/>
  <c r="M1834"/>
  <c r="M1826"/>
  <c r="M1818"/>
  <c r="M1810"/>
  <c r="M1802"/>
  <c r="M1794"/>
  <c r="M1786"/>
  <c r="M1778"/>
  <c r="M1770"/>
  <c r="M1762"/>
  <c r="M1754"/>
  <c r="M1747"/>
  <c r="M1738"/>
  <c r="M1730"/>
  <c r="M1722"/>
  <c r="M1714"/>
  <c r="M1706"/>
  <c r="M1698"/>
  <c r="M1690"/>
  <c r="M1682"/>
  <c r="M1674"/>
  <c r="M1666"/>
  <c r="M1650"/>
  <c r="M1642"/>
  <c r="M1634"/>
  <c r="M1603"/>
  <c r="M1595"/>
  <c r="M1579"/>
  <c r="M1571"/>
  <c r="M1563"/>
  <c r="M1547"/>
  <c r="M1531"/>
  <c r="M1523"/>
  <c r="M1374"/>
  <c r="M1281"/>
  <c r="M1339"/>
  <c r="M1166"/>
  <c r="M1278"/>
  <c r="M1164"/>
  <c r="M1225"/>
  <c r="M1153"/>
  <c r="M1217"/>
  <c r="M1173"/>
  <c r="M972"/>
  <c r="M1031"/>
  <c r="M1171"/>
  <c r="M968"/>
  <c r="M1008"/>
  <c r="M1055"/>
  <c r="M1111"/>
  <c r="M1169"/>
  <c r="M1102"/>
  <c r="M1038"/>
  <c r="M1003"/>
  <c r="M898"/>
  <c r="M890"/>
  <c r="M882"/>
  <c r="M874"/>
  <c r="M866"/>
  <c r="M691"/>
  <c r="M641"/>
  <c r="M667"/>
  <c r="M635"/>
  <c r="M601"/>
  <c r="M590"/>
  <c r="M561"/>
  <c r="M549"/>
  <c r="M529"/>
  <c r="M523"/>
  <c r="M515"/>
  <c r="M479"/>
  <c r="M471"/>
  <c r="M798"/>
  <c r="M831"/>
  <c r="M791"/>
  <c r="M618"/>
  <c r="M534"/>
  <c r="M502"/>
  <c r="M642"/>
  <c r="M665"/>
  <c r="M509"/>
  <c r="M428"/>
  <c r="M462"/>
  <c r="M1519"/>
  <c r="M1511"/>
  <c r="M1503"/>
  <c r="M1495"/>
  <c r="M1487"/>
  <c r="M1479"/>
  <c r="M1472"/>
  <c r="M1464"/>
  <c r="M1456"/>
  <c r="M1448"/>
  <c r="M1419"/>
  <c r="M1432"/>
  <c r="M1412"/>
  <c r="M1390"/>
  <c r="M1386"/>
  <c r="M1361"/>
  <c r="M1312"/>
  <c r="M1325"/>
  <c r="M986"/>
  <c r="M1204"/>
  <c r="M1068"/>
  <c r="M926"/>
  <c r="M1116"/>
  <c r="M900"/>
  <c r="M912"/>
  <c r="M923"/>
  <c r="M1239"/>
  <c r="M1208"/>
  <c r="M905"/>
  <c r="M982"/>
  <c r="M1042"/>
  <c r="M1110"/>
  <c r="M1144"/>
  <c r="M999"/>
  <c r="M934"/>
  <c r="M753"/>
  <c r="M748"/>
  <c r="M740"/>
  <c r="M732"/>
  <c r="M767"/>
  <c r="M695"/>
  <c r="M806"/>
  <c r="M776"/>
  <c r="M630"/>
  <c r="C123" i="36"/>
  <c r="C107"/>
  <c r="C91"/>
  <c r="C75"/>
  <c r="C59"/>
  <c r="C43"/>
  <c r="C27"/>
  <c r="C182" i="35"/>
  <c r="C174"/>
  <c r="C166"/>
  <c r="C158"/>
  <c r="C150"/>
  <c r="C142"/>
  <c r="C134"/>
  <c r="C126"/>
  <c r="C118"/>
  <c r="C110"/>
  <c r="C102"/>
  <c r="C94"/>
  <c r="C86"/>
  <c r="C78"/>
  <c r="C70"/>
  <c r="C62"/>
  <c r="C54"/>
  <c r="C46"/>
  <c r="C38"/>
  <c r="C30"/>
  <c r="C22"/>
  <c r="C131" i="36"/>
  <c r="C139"/>
  <c r="C147"/>
  <c r="C155"/>
  <c r="C163"/>
  <c r="C171"/>
  <c r="C179"/>
  <c r="C187"/>
  <c r="C195"/>
  <c r="C203"/>
  <c r="C211"/>
  <c r="C219"/>
  <c r="C227"/>
  <c r="C235"/>
  <c r="C243"/>
  <c r="C251"/>
  <c r="C259"/>
  <c r="C267"/>
  <c r="C275"/>
  <c r="C283"/>
  <c r="C291"/>
  <c r="X7" i="21"/>
  <c r="X17"/>
  <c r="X31"/>
  <c r="X46"/>
  <c r="X56"/>
  <c r="X96"/>
  <c r="X113"/>
  <c r="X141"/>
  <c r="X158"/>
  <c r="X171"/>
  <c r="X184"/>
  <c r="X197"/>
  <c r="X210"/>
  <c r="X222"/>
  <c r="X235"/>
  <c r="X248"/>
  <c r="X262"/>
  <c r="X275"/>
  <c r="X289"/>
  <c r="X302"/>
  <c r="X330"/>
  <c r="X348"/>
  <c r="X369"/>
  <c r="X383"/>
  <c r="X403"/>
  <c r="X418"/>
  <c r="X429"/>
  <c r="X444"/>
  <c r="X459"/>
  <c r="X474"/>
  <c r="X490"/>
  <c r="X521"/>
  <c r="X538"/>
  <c r="X555"/>
  <c r="X572"/>
  <c r="X592"/>
  <c r="X623"/>
  <c r="X634"/>
  <c r="X642"/>
  <c r="X650"/>
  <c r="X658"/>
  <c r="X666"/>
  <c r="X674"/>
  <c r="X689"/>
  <c r="X705"/>
  <c r="X721"/>
  <c r="X737"/>
  <c r="X753"/>
  <c r="X769"/>
  <c r="X785"/>
  <c r="X801"/>
  <c r="X817"/>
  <c r="X833"/>
  <c r="X849"/>
  <c r="X865"/>
  <c r="X881"/>
  <c r="M36" i="33"/>
  <c r="M99"/>
  <c r="M198"/>
  <c r="M214"/>
  <c r="M312"/>
  <c r="M372"/>
  <c r="M283"/>
  <c r="M416"/>
  <c r="M50"/>
  <c r="M88"/>
  <c r="M106"/>
  <c r="M308"/>
  <c r="M356"/>
  <c r="M321"/>
  <c r="M346"/>
  <c r="M365"/>
  <c r="M278"/>
  <c r="M550"/>
  <c r="M608"/>
  <c r="M599"/>
  <c r="M541"/>
  <c r="D301" i="36"/>
  <c r="X30" i="21"/>
  <c r="X50"/>
  <c r="X75"/>
  <c r="X87"/>
  <c r="X99"/>
  <c r="X115"/>
  <c r="X151"/>
  <c r="X170"/>
  <c r="X191"/>
  <c r="X211"/>
  <c r="X234"/>
  <c r="X254"/>
  <c r="X273"/>
  <c r="X293"/>
  <c r="X313"/>
  <c r="X339"/>
  <c r="X352"/>
  <c r="X365"/>
  <c r="X382"/>
  <c r="X402"/>
  <c r="X423"/>
  <c r="X441"/>
  <c r="X457"/>
  <c r="X472"/>
  <c r="X488"/>
  <c r="X504"/>
  <c r="X522"/>
  <c r="X536"/>
  <c r="X552"/>
  <c r="X567"/>
  <c r="X583"/>
  <c r="X595"/>
  <c r="X609"/>
  <c r="X617"/>
  <c r="X629"/>
  <c r="X690"/>
  <c r="X706"/>
  <c r="X722"/>
  <c r="X738"/>
  <c r="X754"/>
  <c r="X770"/>
  <c r="X786"/>
  <c r="X802"/>
  <c r="X818"/>
  <c r="X834"/>
  <c r="X850"/>
  <c r="X866"/>
  <c r="X882"/>
  <c r="M13" i="33"/>
  <c r="M58"/>
  <c r="M82"/>
  <c r="M74"/>
  <c r="M85"/>
  <c r="M149"/>
  <c r="M159"/>
  <c r="M174"/>
  <c r="M145"/>
  <c r="M186"/>
  <c r="M113"/>
  <c r="M256"/>
  <c r="M270"/>
  <c r="M280"/>
  <c r="M310"/>
  <c r="M168"/>
  <c r="M205"/>
  <c r="M306"/>
  <c r="M268"/>
  <c r="M369"/>
  <c r="M370"/>
  <c r="M458"/>
  <c r="M620"/>
  <c r="M570"/>
  <c r="M610"/>
  <c r="M709"/>
  <c r="C124" i="36"/>
  <c r="C108"/>
  <c r="C92"/>
  <c r="C76"/>
  <c r="C60"/>
  <c r="C44"/>
  <c r="C28"/>
  <c r="C181" i="35"/>
  <c r="C173"/>
  <c r="C165"/>
  <c r="D165" s="1"/>
  <c r="C157"/>
  <c r="C149"/>
  <c r="C141"/>
  <c r="C133"/>
  <c r="C125"/>
  <c r="C117"/>
  <c r="C109"/>
  <c r="C101"/>
  <c r="C93"/>
  <c r="C85"/>
  <c r="C77"/>
  <c r="C69"/>
  <c r="C61"/>
  <c r="C53"/>
  <c r="C45"/>
  <c r="C37"/>
  <c r="C29"/>
  <c r="C21"/>
  <c r="C126" i="36"/>
  <c r="C134"/>
  <c r="C142"/>
  <c r="C150"/>
  <c r="C158"/>
  <c r="C166"/>
  <c r="C174"/>
  <c r="C182"/>
  <c r="C190"/>
  <c r="C198"/>
  <c r="C206"/>
  <c r="C214"/>
  <c r="C222"/>
  <c r="C230"/>
  <c r="C238"/>
  <c r="C246"/>
  <c r="C254"/>
  <c r="C262"/>
  <c r="C270"/>
  <c r="C278"/>
  <c r="C286"/>
  <c r="C294"/>
  <c r="X16" i="21"/>
  <c r="X37"/>
  <c r="X49"/>
  <c r="X83"/>
  <c r="X104"/>
  <c r="X118"/>
  <c r="X148"/>
  <c r="X162"/>
  <c r="X176"/>
  <c r="X188"/>
  <c r="X202"/>
  <c r="X214"/>
  <c r="X226"/>
  <c r="X240"/>
  <c r="X253"/>
  <c r="X267"/>
  <c r="X280"/>
  <c r="X294"/>
  <c r="X307"/>
  <c r="X328"/>
  <c r="X345"/>
  <c r="X367"/>
  <c r="X381"/>
  <c r="X400"/>
  <c r="X412"/>
  <c r="X428"/>
  <c r="X442"/>
  <c r="X458"/>
  <c r="X473"/>
  <c r="X489"/>
  <c r="X505"/>
  <c r="X520"/>
  <c r="X537"/>
  <c r="X554"/>
  <c r="X569"/>
  <c r="X585"/>
  <c r="X605"/>
  <c r="X633"/>
  <c r="X641"/>
  <c r="X649"/>
  <c r="X657"/>
  <c r="X665"/>
  <c r="X673"/>
  <c r="X687"/>
  <c r="X703"/>
  <c r="X719"/>
  <c r="X735"/>
  <c r="X751"/>
  <c r="X767"/>
  <c r="X783"/>
  <c r="X799"/>
  <c r="X815"/>
  <c r="X831"/>
  <c r="X847"/>
  <c r="X863"/>
  <c r="X879"/>
  <c r="M35" i="33"/>
  <c r="M197"/>
  <c r="M213"/>
  <c r="M288"/>
  <c r="M325"/>
  <c r="M398"/>
  <c r="M235"/>
  <c r="M355"/>
  <c r="M415"/>
  <c r="M49"/>
  <c r="M87"/>
  <c r="M105"/>
  <c r="M307"/>
  <c r="M359"/>
  <c r="M341"/>
  <c r="M360"/>
  <c r="M322"/>
  <c r="M450"/>
  <c r="M553"/>
  <c r="M613"/>
  <c r="M565"/>
  <c r="M544"/>
  <c r="X21" i="21"/>
  <c r="X36"/>
  <c r="X59"/>
  <c r="X86"/>
  <c r="X98"/>
  <c r="X114"/>
  <c r="X149"/>
  <c r="X168"/>
  <c r="X189"/>
  <c r="X209"/>
  <c r="X232"/>
  <c r="X252"/>
  <c r="X271"/>
  <c r="X291"/>
  <c r="X311"/>
  <c r="X337"/>
  <c r="X350"/>
  <c r="X364"/>
  <c r="X380"/>
  <c r="X394"/>
  <c r="X413"/>
  <c r="X430"/>
  <c r="X447"/>
  <c r="X463"/>
  <c r="X479"/>
  <c r="X495"/>
  <c r="X510"/>
  <c r="X527"/>
  <c r="X543"/>
  <c r="X557"/>
  <c r="X574"/>
  <c r="X588"/>
  <c r="X602"/>
  <c r="X612"/>
  <c r="X620"/>
  <c r="X680"/>
  <c r="X696"/>
  <c r="X712"/>
  <c r="X728"/>
  <c r="X744"/>
  <c r="X760"/>
  <c r="X776"/>
  <c r="X792"/>
  <c r="X808"/>
  <c r="X824"/>
  <c r="X840"/>
  <c r="X856"/>
  <c r="X872"/>
  <c r="M11" i="33"/>
  <c r="M39"/>
  <c r="M71"/>
  <c r="M148"/>
  <c r="M162"/>
  <c r="M173"/>
  <c r="M144"/>
  <c r="M189"/>
  <c r="M193"/>
  <c r="M269"/>
  <c r="M279"/>
  <c r="M301"/>
  <c r="M409"/>
  <c r="M24"/>
  <c r="M204"/>
  <c r="M305"/>
  <c r="M267"/>
  <c r="M368"/>
  <c r="M381"/>
  <c r="M457"/>
  <c r="M507"/>
  <c r="M607"/>
  <c r="M574"/>
  <c r="M708"/>
  <c r="M2550"/>
  <c r="M2534"/>
  <c r="M2524"/>
  <c r="M2516"/>
  <c r="M2508"/>
  <c r="M2500"/>
  <c r="M2492"/>
  <c r="M2484"/>
  <c r="M2476"/>
  <c r="M2468"/>
  <c r="M2460"/>
  <c r="M2452"/>
  <c r="M2444"/>
  <c r="M2436"/>
  <c r="M2428"/>
  <c r="M2420"/>
  <c r="M2412"/>
  <c r="M2404"/>
  <c r="M2396"/>
  <c r="M2388"/>
  <c r="M2380"/>
  <c r="M2372"/>
  <c r="M2364"/>
  <c r="M2356"/>
  <c r="M2348"/>
  <c r="M2340"/>
  <c r="M2332"/>
  <c r="M2324"/>
  <c r="M2316"/>
  <c r="M2308"/>
  <c r="M2300"/>
  <c r="M2292"/>
  <c r="M2551"/>
  <c r="M2535"/>
  <c r="M2283"/>
  <c r="M2275"/>
  <c r="M2267"/>
  <c r="M2259"/>
  <c r="M2251"/>
  <c r="M2243"/>
  <c r="M2235"/>
  <c r="M2227"/>
  <c r="M2219"/>
  <c r="M2211"/>
  <c r="M2203"/>
  <c r="M2195"/>
  <c r="M2187"/>
  <c r="M2179"/>
  <c r="M2171"/>
  <c r="M2163"/>
  <c r="M2155"/>
  <c r="M2147"/>
  <c r="M2139"/>
  <c r="M2131"/>
  <c r="M2123"/>
  <c r="M2115"/>
  <c r="M2107"/>
  <c r="M2099"/>
  <c r="M2091"/>
  <c r="M2083"/>
  <c r="M2075"/>
  <c r="M2067"/>
  <c r="M2059"/>
  <c r="M2051"/>
  <c r="M2043"/>
  <c r="M2035"/>
  <c r="M2027"/>
  <c r="M2019"/>
  <c r="M2011"/>
  <c r="M2003"/>
  <c r="M1995"/>
  <c r="M1987"/>
  <c r="M1979"/>
  <c r="M1971"/>
  <c r="M1963"/>
  <c r="M1955"/>
  <c r="M1947"/>
  <c r="M1939"/>
  <c r="M1931"/>
  <c r="M1923"/>
  <c r="M1915"/>
  <c r="M1907"/>
  <c r="M1899"/>
  <c r="M1891"/>
  <c r="M1883"/>
  <c r="M1875"/>
  <c r="M1867"/>
  <c r="M1859"/>
  <c r="M1851"/>
  <c r="M1843"/>
  <c r="M1835"/>
  <c r="M1827"/>
  <c r="M1819"/>
  <c r="M1811"/>
  <c r="M1803"/>
  <c r="M1795"/>
  <c r="M1787"/>
  <c r="M1779"/>
  <c r="M1771"/>
  <c r="M1763"/>
  <c r="M1755"/>
  <c r="M1748"/>
  <c r="M1739"/>
  <c r="M1731"/>
  <c r="M1723"/>
  <c r="M1715"/>
  <c r="M1707"/>
  <c r="M1699"/>
  <c r="M1691"/>
  <c r="M1683"/>
  <c r="M1675"/>
  <c r="M1667"/>
  <c r="M1659"/>
  <c r="M1651"/>
  <c r="M1643"/>
  <c r="M1635"/>
  <c r="M1619"/>
  <c r="M1604"/>
  <c r="M1580"/>
  <c r="M1572"/>
  <c r="M1564"/>
  <c r="M1556"/>
  <c r="M1548"/>
  <c r="M1532"/>
  <c r="M1524"/>
  <c r="M1282"/>
  <c r="M1340"/>
  <c r="M1167"/>
  <c r="M1165"/>
  <c r="M1226"/>
  <c r="M1155"/>
  <c r="M1218"/>
  <c r="M1174"/>
  <c r="M973"/>
  <c r="M1032"/>
  <c r="M1172"/>
  <c r="M969"/>
  <c r="M1034"/>
  <c r="M1052"/>
  <c r="M1131"/>
  <c r="M1140"/>
  <c r="M1099"/>
  <c r="M1133"/>
  <c r="M979"/>
  <c r="M895"/>
  <c r="M887"/>
  <c r="M879"/>
  <c r="M871"/>
  <c r="M863"/>
  <c r="M680"/>
  <c r="M638"/>
  <c r="M658"/>
  <c r="M632"/>
  <c r="M595"/>
  <c r="M587"/>
  <c r="M558"/>
  <c r="M546"/>
  <c r="M528"/>
  <c r="M520"/>
  <c r="M484"/>
  <c r="M476"/>
  <c r="M715"/>
  <c r="M812"/>
  <c r="M808"/>
  <c r="M629"/>
  <c r="M711"/>
  <c r="M583"/>
  <c r="M491"/>
  <c r="M719"/>
  <c r="M662"/>
  <c r="M510"/>
  <c r="M429"/>
  <c r="M467"/>
  <c r="M1516"/>
  <c r="M1508"/>
  <c r="M1500"/>
  <c r="M1492"/>
  <c r="M1484"/>
  <c r="M1476"/>
  <c r="M1469"/>
  <c r="M1461"/>
  <c r="M1453"/>
  <c r="M1440"/>
  <c r="M1358"/>
  <c r="M1435"/>
  <c r="M1409"/>
  <c r="M1396"/>
  <c r="M1368"/>
  <c r="M1353"/>
  <c r="M1309"/>
  <c r="M1326"/>
  <c r="M1028"/>
  <c r="M994"/>
  <c r="M1201"/>
  <c r="M1065"/>
  <c r="M965"/>
  <c r="M1113"/>
  <c r="M941"/>
  <c r="M909"/>
  <c r="M1214"/>
  <c r="M1195"/>
  <c r="M1080"/>
  <c r="M1048"/>
  <c r="M1107"/>
  <c r="M1062"/>
  <c r="M988"/>
  <c r="M921"/>
  <c r="M859"/>
  <c r="M745"/>
  <c r="M737"/>
  <c r="M772"/>
  <c r="M764"/>
  <c r="M807"/>
  <c r="M781"/>
  <c r="M773"/>
  <c r="M490"/>
  <c r="M2544"/>
  <c r="M2529"/>
  <c r="M2521"/>
  <c r="M2513"/>
  <c r="M2505"/>
  <c r="M2497"/>
  <c r="M2489"/>
  <c r="M2481"/>
  <c r="M2473"/>
  <c r="M2465"/>
  <c r="M2457"/>
  <c r="M2449"/>
  <c r="M2441"/>
  <c r="M2433"/>
  <c r="M2425"/>
  <c r="M2417"/>
  <c r="M2409"/>
  <c r="M2401"/>
  <c r="M2393"/>
  <c r="M2385"/>
  <c r="M2377"/>
  <c r="M2369"/>
  <c r="M2361"/>
  <c r="M2353"/>
  <c r="M2345"/>
  <c r="M2337"/>
  <c r="M2329"/>
  <c r="M2321"/>
  <c r="M2313"/>
  <c r="M2305"/>
  <c r="M2297"/>
  <c r="M2289"/>
  <c r="M2545"/>
  <c r="M2288"/>
  <c r="M2280"/>
  <c r="M2272"/>
  <c r="M2264"/>
  <c r="M2256"/>
  <c r="M2248"/>
  <c r="M2240"/>
  <c r="M2232"/>
  <c r="M2224"/>
  <c r="M2216"/>
  <c r="M2208"/>
  <c r="M2200"/>
  <c r="M2192"/>
  <c r="M2184"/>
  <c r="M2176"/>
  <c r="M2168"/>
  <c r="M2160"/>
  <c r="M2152"/>
  <c r="M2144"/>
  <c r="M2136"/>
  <c r="M2128"/>
  <c r="M2120"/>
  <c r="M2112"/>
  <c r="M2104"/>
  <c r="M2096"/>
  <c r="M2088"/>
  <c r="M2080"/>
  <c r="M2072"/>
  <c r="M2064"/>
  <c r="M2056"/>
  <c r="M2048"/>
  <c r="M2040"/>
  <c r="M2032"/>
  <c r="M2024"/>
  <c r="M2016"/>
  <c r="M2008"/>
  <c r="M2000"/>
  <c r="M1992"/>
  <c r="M1984"/>
  <c r="M1976"/>
  <c r="M1968"/>
  <c r="M1960"/>
  <c r="M1952"/>
  <c r="M1944"/>
  <c r="M1936"/>
  <c r="M1928"/>
  <c r="M1920"/>
  <c r="M1912"/>
  <c r="M1904"/>
  <c r="M1896"/>
  <c r="M1888"/>
  <c r="M1880"/>
  <c r="M1872"/>
  <c r="M1864"/>
  <c r="M1856"/>
  <c r="M1848"/>
  <c r="M1840"/>
  <c r="M1832"/>
  <c r="M1824"/>
  <c r="M1816"/>
  <c r="M1808"/>
  <c r="M1800"/>
  <c r="M1792"/>
  <c r="M1784"/>
  <c r="M1776"/>
  <c r="M1768"/>
  <c r="M1760"/>
  <c r="M1752"/>
  <c r="M1744"/>
  <c r="M1736"/>
  <c r="M1728"/>
  <c r="M1720"/>
  <c r="M1712"/>
  <c r="M1704"/>
  <c r="M1696"/>
  <c r="M1688"/>
  <c r="M1680"/>
  <c r="M1672"/>
  <c r="M1664"/>
  <c r="M1656"/>
  <c r="M1648"/>
  <c r="M1640"/>
  <c r="M1632"/>
  <c r="M1624"/>
  <c r="M1601"/>
  <c r="M1593"/>
  <c r="M1577"/>
  <c r="M1569"/>
  <c r="M1561"/>
  <c r="M1545"/>
  <c r="M1537"/>
  <c r="M1529"/>
  <c r="M1372"/>
  <c r="M1350"/>
  <c r="M1234"/>
  <c r="M1206"/>
  <c r="M1124"/>
  <c r="M1162"/>
  <c r="M1186"/>
  <c r="M1176"/>
  <c r="M1219"/>
  <c r="M1232"/>
  <c r="M970"/>
  <c r="M1097"/>
  <c r="M1092"/>
  <c r="M1010"/>
  <c r="M1057"/>
  <c r="M1087"/>
  <c r="M1132"/>
  <c r="M1141"/>
  <c r="M1100"/>
  <c r="M1134"/>
  <c r="M1001"/>
  <c r="M908"/>
  <c r="M892"/>
  <c r="M884"/>
  <c r="M876"/>
  <c r="M868"/>
  <c r="M693"/>
  <c r="M677"/>
  <c r="M669"/>
  <c r="M655"/>
  <c r="M603"/>
  <c r="M592"/>
  <c r="M563"/>
  <c r="M555"/>
  <c r="M531"/>
  <c r="M525"/>
  <c r="M517"/>
  <c r="M481"/>
  <c r="M473"/>
  <c r="M800"/>
  <c r="M822"/>
  <c r="M809"/>
  <c r="M687"/>
  <c r="M536"/>
  <c r="M493"/>
  <c r="M720"/>
  <c r="M663"/>
  <c r="M511"/>
  <c r="M430"/>
  <c r="M468"/>
  <c r="M1517"/>
  <c r="M1509"/>
  <c r="M1501"/>
  <c r="M1493"/>
  <c r="M1485"/>
  <c r="M1470"/>
  <c r="M1462"/>
  <c r="M1454"/>
  <c r="M1441"/>
  <c r="M1359"/>
  <c r="M1436"/>
  <c r="M1410"/>
  <c r="M1397"/>
  <c r="M1354"/>
  <c r="M1298"/>
  <c r="M1347"/>
  <c r="M1118"/>
  <c r="M1280"/>
  <c r="M1070"/>
  <c r="M928"/>
  <c r="M962"/>
  <c r="M902"/>
  <c r="M938"/>
  <c r="M960"/>
  <c r="M1230"/>
  <c r="M1178"/>
  <c r="M1036"/>
  <c r="M1089"/>
  <c r="M1136"/>
  <c r="M1039"/>
  <c r="M978"/>
  <c r="M929"/>
  <c r="M860"/>
  <c r="M746"/>
  <c r="M738"/>
  <c r="M730"/>
  <c r="M765"/>
  <c r="M713"/>
  <c r="M774"/>
  <c r="M684"/>
  <c r="C119" i="36"/>
  <c r="C103"/>
  <c r="C87"/>
  <c r="C71"/>
  <c r="C55"/>
  <c r="C39"/>
  <c r="C23"/>
  <c r="C180" i="35"/>
  <c r="C172"/>
  <c r="C164"/>
  <c r="D164" s="1"/>
  <c r="C156"/>
  <c r="C148"/>
  <c r="C140"/>
  <c r="C132"/>
  <c r="C124"/>
  <c r="C116"/>
  <c r="C108"/>
  <c r="C100"/>
  <c r="C92"/>
  <c r="C84"/>
  <c r="C76"/>
  <c r="C68"/>
  <c r="C60"/>
  <c r="C52"/>
  <c r="C44"/>
  <c r="C36"/>
  <c r="C28"/>
  <c r="C20"/>
  <c r="D13" i="4"/>
  <c r="C133" i="36"/>
  <c r="C141"/>
  <c r="C149"/>
  <c r="C157"/>
  <c r="C165"/>
  <c r="C173"/>
  <c r="C181"/>
  <c r="C189"/>
  <c r="C197"/>
  <c r="C205"/>
  <c r="C213"/>
  <c r="C221"/>
  <c r="C229"/>
  <c r="C237"/>
  <c r="C245"/>
  <c r="C253"/>
  <c r="C261"/>
  <c r="C269"/>
  <c r="C277"/>
  <c r="C285"/>
  <c r="C293"/>
  <c r="X9" i="21"/>
  <c r="X19"/>
  <c r="X43"/>
  <c r="X54"/>
  <c r="X91"/>
  <c r="X109"/>
  <c r="X122"/>
  <c r="X153"/>
  <c r="X167"/>
  <c r="X181"/>
  <c r="X193"/>
  <c r="X207"/>
  <c r="X219"/>
  <c r="X231"/>
  <c r="X245"/>
  <c r="X258"/>
  <c r="X272"/>
  <c r="X285"/>
  <c r="X299"/>
  <c r="X312"/>
  <c r="X343"/>
  <c r="X363"/>
  <c r="X378"/>
  <c r="X399"/>
  <c r="X411"/>
  <c r="X426"/>
  <c r="X440"/>
  <c r="X456"/>
  <c r="X470"/>
  <c r="X486"/>
  <c r="X502"/>
  <c r="X518"/>
  <c r="X534"/>
  <c r="X551"/>
  <c r="X568"/>
  <c r="X584"/>
  <c r="X604"/>
  <c r="X632"/>
  <c r="X640"/>
  <c r="X648"/>
  <c r="X656"/>
  <c r="X664"/>
  <c r="X672"/>
  <c r="X685"/>
  <c r="X701"/>
  <c r="X717"/>
  <c r="X733"/>
  <c r="X749"/>
  <c r="X765"/>
  <c r="X781"/>
  <c r="X797"/>
  <c r="X813"/>
  <c r="X829"/>
  <c r="X845"/>
  <c r="X861"/>
  <c r="X877"/>
  <c r="M34" i="33"/>
  <c r="M96"/>
  <c r="M208"/>
  <c r="M216"/>
  <c r="M334"/>
  <c r="M226"/>
  <c r="M392"/>
  <c r="M354"/>
  <c r="M48"/>
  <c r="M68"/>
  <c r="M104"/>
  <c r="M167"/>
  <c r="M358"/>
  <c r="M340"/>
  <c r="M348"/>
  <c r="M367"/>
  <c r="M440"/>
  <c r="M552"/>
  <c r="M571"/>
  <c r="M564"/>
  <c r="M543"/>
  <c r="X28" i="21"/>
  <c r="X42"/>
  <c r="X62"/>
  <c r="X84"/>
  <c r="X97"/>
  <c r="X112"/>
  <c r="X140"/>
  <c r="X156"/>
  <c r="X175"/>
  <c r="X196"/>
  <c r="X217"/>
  <c r="X239"/>
  <c r="X259"/>
  <c r="X278"/>
  <c r="X298"/>
  <c r="X327"/>
  <c r="X342"/>
  <c r="X355"/>
  <c r="X368"/>
  <c r="X385"/>
  <c r="X409"/>
  <c r="X427"/>
  <c r="X445"/>
  <c r="X461"/>
  <c r="X476"/>
  <c r="X492"/>
  <c r="X507"/>
  <c r="X526"/>
  <c r="X540"/>
  <c r="X556"/>
  <c r="X571"/>
  <c r="X587"/>
  <c r="X599"/>
  <c r="X611"/>
  <c r="X619"/>
  <c r="X678"/>
  <c r="X694"/>
  <c r="X710"/>
  <c r="X726"/>
  <c r="X742"/>
  <c r="X758"/>
  <c r="X774"/>
  <c r="X790"/>
  <c r="X806"/>
  <c r="X822"/>
  <c r="X838"/>
  <c r="X854"/>
  <c r="X870"/>
  <c r="M10" i="33"/>
  <c r="M31"/>
  <c r="M80"/>
  <c r="M60"/>
  <c r="M93"/>
  <c r="M151"/>
  <c r="M165"/>
  <c r="M158"/>
  <c r="M143"/>
  <c r="M188"/>
  <c r="M192"/>
  <c r="M258"/>
  <c r="M272"/>
  <c r="M285"/>
  <c r="M326"/>
  <c r="M23"/>
  <c r="M203"/>
  <c r="M241"/>
  <c r="M299"/>
  <c r="M376"/>
  <c r="M452"/>
  <c r="M460"/>
  <c r="M622"/>
  <c r="M486"/>
  <c r="M824"/>
  <c r="M717"/>
  <c r="C112" i="36"/>
  <c r="C96"/>
  <c r="C80"/>
  <c r="C64"/>
  <c r="C48"/>
  <c r="C32"/>
  <c r="C16"/>
  <c r="C175" i="35"/>
  <c r="C159"/>
  <c r="C151"/>
  <c r="C143"/>
  <c r="C135"/>
  <c r="C127"/>
  <c r="C119"/>
  <c r="C111"/>
  <c r="C103"/>
  <c r="C95"/>
  <c r="C87"/>
  <c r="C79"/>
  <c r="C71"/>
  <c r="C63"/>
  <c r="C55"/>
  <c r="C47"/>
  <c r="C39"/>
  <c r="C31"/>
  <c r="C23"/>
  <c r="D12" i="4"/>
  <c r="C132" i="36"/>
  <c r="C140"/>
  <c r="C148"/>
  <c r="C156"/>
  <c r="C164"/>
  <c r="C172"/>
  <c r="C180"/>
  <c r="C188"/>
  <c r="C196"/>
  <c r="C204"/>
  <c r="C212"/>
  <c r="C220"/>
  <c r="C228"/>
  <c r="C236"/>
  <c r="C244"/>
  <c r="C252"/>
  <c r="C260"/>
  <c r="C268"/>
  <c r="C276"/>
  <c r="C284"/>
  <c r="C292"/>
  <c r="X8" i="21"/>
  <c r="X18"/>
  <c r="X32"/>
  <c r="X47"/>
  <c r="X57"/>
  <c r="X88"/>
  <c r="X107"/>
  <c r="X120"/>
  <c r="X152"/>
  <c r="X166"/>
  <c r="X179"/>
  <c r="X192"/>
  <c r="X205"/>
  <c r="X218"/>
  <c r="X230"/>
  <c r="X243"/>
  <c r="X256"/>
  <c r="X270"/>
  <c r="X284"/>
  <c r="X297"/>
  <c r="X310"/>
  <c r="X340"/>
  <c r="X361"/>
  <c r="X376"/>
  <c r="X398"/>
  <c r="X410"/>
  <c r="X424"/>
  <c r="X438"/>
  <c r="X454"/>
  <c r="X469"/>
  <c r="X485"/>
  <c r="X501"/>
  <c r="X517"/>
  <c r="X532"/>
  <c r="X550"/>
  <c r="X565"/>
  <c r="X581"/>
  <c r="X601"/>
  <c r="X631"/>
  <c r="X639"/>
  <c r="X647"/>
  <c r="X655"/>
  <c r="X663"/>
  <c r="X671"/>
  <c r="X683"/>
  <c r="X699"/>
  <c r="X715"/>
  <c r="X731"/>
  <c r="X747"/>
  <c r="X763"/>
  <c r="X779"/>
  <c r="X795"/>
  <c r="X811"/>
  <c r="X827"/>
  <c r="X843"/>
  <c r="X859"/>
  <c r="X875"/>
  <c r="M33" i="33"/>
  <c r="M42"/>
  <c r="M146"/>
  <c r="M211"/>
  <c r="M353"/>
  <c r="M410"/>
  <c r="M391"/>
  <c r="M284"/>
  <c r="M47"/>
  <c r="M67"/>
  <c r="M103"/>
  <c r="M137"/>
  <c r="M253"/>
  <c r="M296"/>
  <c r="M343"/>
  <c r="M362"/>
  <c r="M349"/>
  <c r="M505"/>
  <c r="M567"/>
  <c r="M498"/>
  <c r="M470"/>
  <c r="M513"/>
  <c r="X27" i="21"/>
  <c r="X40"/>
  <c r="X61"/>
  <c r="X82"/>
  <c r="X94"/>
  <c r="X110"/>
  <c r="X146"/>
  <c r="X163"/>
  <c r="X183"/>
  <c r="X204"/>
  <c r="X227"/>
  <c r="X247"/>
  <c r="X266"/>
  <c r="X286"/>
  <c r="X306"/>
  <c r="X341"/>
  <c r="X354"/>
  <c r="X366"/>
  <c r="X384"/>
  <c r="X408"/>
  <c r="X425"/>
  <c r="X443"/>
  <c r="X460"/>
  <c r="X475"/>
  <c r="X491"/>
  <c r="X506"/>
  <c r="X523"/>
  <c r="X539"/>
  <c r="X553"/>
  <c r="X570"/>
  <c r="X586"/>
  <c r="X598"/>
  <c r="X610"/>
  <c r="X618"/>
  <c r="X676"/>
  <c r="X692"/>
  <c r="X708"/>
  <c r="X724"/>
  <c r="X740"/>
  <c r="X756"/>
  <c r="X772"/>
  <c r="X788"/>
  <c r="X804"/>
  <c r="X820"/>
  <c r="X836"/>
  <c r="X852"/>
  <c r="X868"/>
  <c r="X884"/>
  <c r="M29" i="33"/>
  <c r="M79"/>
  <c r="M59"/>
  <c r="M92"/>
  <c r="M86"/>
  <c r="M150"/>
  <c r="M164"/>
  <c r="M175"/>
  <c r="M147"/>
  <c r="M187"/>
  <c r="M114"/>
  <c r="M257"/>
  <c r="M271"/>
  <c r="M281"/>
  <c r="M311"/>
  <c r="M169"/>
  <c r="M206"/>
  <c r="M331"/>
  <c r="M319"/>
  <c r="M379"/>
  <c r="M496"/>
  <c r="M605"/>
  <c r="M446"/>
  <c r="M675"/>
  <c r="M2546"/>
  <c r="M2530"/>
  <c r="M2522"/>
  <c r="M2514"/>
  <c r="M2506"/>
  <c r="M2498"/>
  <c r="M2490"/>
  <c r="M2482"/>
  <c r="M2474"/>
  <c r="M2466"/>
  <c r="M2458"/>
  <c r="M2450"/>
  <c r="M2442"/>
  <c r="M2434"/>
  <c r="M2426"/>
  <c r="M2418"/>
  <c r="M2410"/>
  <c r="M2402"/>
  <c r="M2394"/>
  <c r="M2386"/>
  <c r="M2378"/>
  <c r="M2370"/>
  <c r="M2362"/>
  <c r="M2354"/>
  <c r="M2346"/>
  <c r="M2338"/>
  <c r="M2330"/>
  <c r="M2322"/>
  <c r="M2314"/>
  <c r="M2306"/>
  <c r="M2298"/>
  <c r="M2290"/>
  <c r="M2547"/>
  <c r="M2531"/>
  <c r="M2281"/>
  <c r="M2273"/>
  <c r="M2265"/>
  <c r="M2257"/>
  <c r="M2249"/>
  <c r="M2241"/>
  <c r="M2233"/>
  <c r="M2225"/>
  <c r="M2217"/>
  <c r="M2209"/>
  <c r="M2201"/>
  <c r="M2193"/>
  <c r="M2185"/>
  <c r="M2177"/>
  <c r="M2169"/>
  <c r="M2161"/>
  <c r="M2153"/>
  <c r="M2145"/>
  <c r="M2137"/>
  <c r="M2129"/>
  <c r="M2121"/>
  <c r="M2113"/>
  <c r="M2105"/>
  <c r="M2097"/>
  <c r="M2089"/>
  <c r="M2081"/>
  <c r="M2073"/>
  <c r="M2065"/>
  <c r="M2057"/>
  <c r="M2049"/>
  <c r="M2041"/>
  <c r="M2033"/>
  <c r="M2025"/>
  <c r="M2017"/>
  <c r="M2009"/>
  <c r="M2001"/>
  <c r="M1993"/>
  <c r="M1985"/>
  <c r="M1977"/>
  <c r="M1969"/>
  <c r="M1961"/>
  <c r="M1953"/>
  <c r="M1945"/>
  <c r="M1937"/>
  <c r="M1929"/>
  <c r="M1921"/>
  <c r="M1913"/>
  <c r="M1905"/>
  <c r="M1897"/>
  <c r="M1889"/>
  <c r="M1881"/>
  <c r="M1873"/>
  <c r="M1865"/>
  <c r="M1857"/>
  <c r="M1849"/>
  <c r="M1841"/>
  <c r="M1833"/>
  <c r="M1825"/>
  <c r="M1817"/>
  <c r="M1809"/>
  <c r="M1801"/>
  <c r="M1793"/>
  <c r="M1785"/>
  <c r="M1777"/>
  <c r="M1769"/>
  <c r="M1761"/>
  <c r="M1753"/>
  <c r="M1746"/>
  <c r="M1737"/>
  <c r="M1729"/>
  <c r="M1721"/>
  <c r="M1713"/>
  <c r="M1705"/>
  <c r="M1697"/>
  <c r="M1689"/>
  <c r="M1681"/>
  <c r="M1673"/>
  <c r="M1665"/>
  <c r="M1649"/>
  <c r="M1641"/>
  <c r="M1633"/>
  <c r="M1625"/>
  <c r="M1602"/>
  <c r="M1594"/>
  <c r="M1578"/>
  <c r="M1570"/>
  <c r="M1562"/>
  <c r="M1546"/>
  <c r="M1530"/>
  <c r="M1522"/>
  <c r="M1373"/>
  <c r="M1351"/>
  <c r="M1318"/>
  <c r="M1207"/>
  <c r="M1277"/>
  <c r="M1163"/>
  <c r="M1187"/>
  <c r="M1177"/>
  <c r="M1240"/>
  <c r="M1258"/>
  <c r="M971"/>
  <c r="M1098"/>
  <c r="M1170"/>
  <c r="M1081"/>
  <c r="M966"/>
  <c r="M1054"/>
  <c r="M1104"/>
  <c r="M1168"/>
  <c r="M1101"/>
  <c r="M1037"/>
  <c r="M1002"/>
  <c r="M897"/>
  <c r="M889"/>
  <c r="M881"/>
  <c r="M873"/>
  <c r="M865"/>
  <c r="M690"/>
  <c r="M640"/>
  <c r="M666"/>
  <c r="M634"/>
  <c r="M597"/>
  <c r="M589"/>
  <c r="M560"/>
  <c r="M548"/>
  <c r="M540"/>
  <c r="M522"/>
  <c r="M514"/>
  <c r="M478"/>
  <c r="M841"/>
  <c r="M797"/>
  <c r="M810"/>
  <c r="M782"/>
  <c r="M617"/>
  <c r="M533"/>
  <c r="M501"/>
  <c r="M721"/>
  <c r="M664"/>
  <c r="M612"/>
  <c r="M448"/>
  <c r="M488"/>
  <c r="M1506"/>
  <c r="M1498"/>
  <c r="M1490"/>
  <c r="M1482"/>
  <c r="M1474"/>
  <c r="M1467"/>
  <c r="M1459"/>
  <c r="M1451"/>
  <c r="M1422"/>
  <c r="M1355"/>
  <c r="M1313"/>
  <c r="M1307"/>
  <c r="M1335"/>
  <c r="M1235"/>
  <c r="M992"/>
  <c r="M1071"/>
  <c r="M1063"/>
  <c r="M963"/>
  <c r="M903"/>
  <c r="M939"/>
  <c r="M1275"/>
  <c r="M1154"/>
  <c r="M1231"/>
  <c r="M1179"/>
  <c r="M947"/>
  <c r="M1029"/>
  <c r="M1090"/>
  <c r="M1105"/>
  <c r="M998"/>
  <c r="M955"/>
  <c r="M756"/>
  <c r="M857"/>
  <c r="M743"/>
  <c r="M735"/>
  <c r="M770"/>
  <c r="M698"/>
  <c r="M821"/>
  <c r="M788"/>
  <c r="M750"/>
  <c r="M647"/>
  <c r="M2556"/>
  <c r="M2540"/>
  <c r="M2527"/>
  <c r="M2519"/>
  <c r="M2511"/>
  <c r="M2503"/>
  <c r="M2495"/>
  <c r="M2487"/>
  <c r="M2479"/>
  <c r="M2471"/>
  <c r="M2463"/>
  <c r="M2455"/>
  <c r="M2447"/>
  <c r="M2439"/>
  <c r="M2431"/>
  <c r="M2423"/>
  <c r="M2415"/>
  <c r="M2407"/>
  <c r="M2399"/>
  <c r="M2391"/>
  <c r="M2383"/>
  <c r="M2375"/>
  <c r="M2367"/>
  <c r="M2359"/>
  <c r="M2351"/>
  <c r="M2343"/>
  <c r="M2335"/>
  <c r="M2327"/>
  <c r="M2319"/>
  <c r="M2311"/>
  <c r="M2303"/>
  <c r="M2295"/>
  <c r="M2557"/>
  <c r="M2541"/>
  <c r="M2286"/>
  <c r="M2278"/>
  <c r="M2270"/>
  <c r="M2262"/>
  <c r="M2254"/>
  <c r="M2246"/>
  <c r="M2238"/>
  <c r="M2230"/>
  <c r="M2222"/>
  <c r="M2214"/>
  <c r="M2206"/>
  <c r="M2198"/>
  <c r="M2190"/>
  <c r="M2182"/>
  <c r="M2174"/>
  <c r="M2166"/>
  <c r="M2158"/>
  <c r="M2150"/>
  <c r="M2142"/>
  <c r="M2134"/>
  <c r="M2126"/>
  <c r="M2118"/>
  <c r="M2110"/>
  <c r="M2102"/>
  <c r="M2094"/>
  <c r="M2086"/>
  <c r="M2078"/>
  <c r="M2070"/>
  <c r="M2062"/>
  <c r="M2054"/>
  <c r="M2046"/>
  <c r="M2038"/>
  <c r="M2030"/>
  <c r="M2022"/>
  <c r="M2014"/>
  <c r="M2006"/>
  <c r="M1998"/>
  <c r="M1990"/>
  <c r="M1982"/>
  <c r="M1974"/>
  <c r="M1966"/>
  <c r="M1958"/>
  <c r="M1950"/>
  <c r="M1942"/>
  <c r="M1934"/>
  <c r="M1926"/>
  <c r="M1918"/>
  <c r="M1910"/>
  <c r="M1902"/>
  <c r="M1894"/>
  <c r="M1886"/>
  <c r="M1878"/>
  <c r="M1870"/>
  <c r="M1862"/>
  <c r="M1854"/>
  <c r="M1846"/>
  <c r="M1838"/>
  <c r="M1830"/>
  <c r="M1822"/>
  <c r="M1814"/>
  <c r="M1806"/>
  <c r="M1798"/>
  <c r="M1790"/>
  <c r="M1782"/>
  <c r="M1774"/>
  <c r="M1766"/>
  <c r="M1758"/>
  <c r="M1751"/>
  <c r="M1742"/>
  <c r="M1734"/>
  <c r="M1726"/>
  <c r="M1718"/>
  <c r="M1710"/>
  <c r="M1702"/>
  <c r="M1694"/>
  <c r="M1686"/>
  <c r="M1678"/>
  <c r="M1670"/>
  <c r="M1662"/>
  <c r="M1654"/>
  <c r="M1646"/>
  <c r="M1638"/>
  <c r="M1630"/>
  <c r="M1622"/>
  <c r="M1607"/>
  <c r="M1583"/>
  <c r="M1567"/>
  <c r="M1559"/>
  <c r="M1551"/>
  <c r="M1543"/>
  <c r="M1535"/>
  <c r="M1527"/>
  <c r="M1356"/>
  <c r="M1119"/>
  <c r="M1188"/>
  <c r="M1122"/>
  <c r="M1229"/>
  <c r="M1184"/>
  <c r="M1241"/>
  <c r="M1259"/>
  <c r="M952"/>
  <c r="M949"/>
  <c r="M1095"/>
  <c r="M937"/>
  <c r="M967"/>
  <c r="M1044"/>
  <c r="M1050"/>
  <c r="M1130"/>
  <c r="M1139"/>
  <c r="M1085"/>
  <c r="M1007"/>
  <c r="M977"/>
  <c r="M894"/>
  <c r="M886"/>
  <c r="M878"/>
  <c r="M870"/>
  <c r="M862"/>
  <c r="M679"/>
  <c r="M637"/>
  <c r="M657"/>
  <c r="M631"/>
  <c r="M594"/>
  <c r="M586"/>
  <c r="M557"/>
  <c r="M545"/>
  <c r="M527"/>
  <c r="M519"/>
  <c r="M483"/>
  <c r="M475"/>
  <c r="M842"/>
  <c r="M811"/>
  <c r="M794"/>
  <c r="M628"/>
  <c r="M538"/>
  <c r="M616"/>
  <c r="M646"/>
  <c r="M674"/>
  <c r="M627"/>
  <c r="M432"/>
  <c r="M449"/>
  <c r="M466"/>
  <c r="M1515"/>
  <c r="M1507"/>
  <c r="M1499"/>
  <c r="M1491"/>
  <c r="M1483"/>
  <c r="M1475"/>
  <c r="M1468"/>
  <c r="M1460"/>
  <c r="M1452"/>
  <c r="M1439"/>
  <c r="M1423"/>
  <c r="M1367"/>
  <c r="M1352"/>
  <c r="M1308"/>
  <c r="M1336"/>
  <c r="M1027"/>
  <c r="M993"/>
  <c r="M1072"/>
  <c r="M1064"/>
  <c r="M964"/>
  <c r="M1112"/>
  <c r="M940"/>
  <c r="M1276"/>
  <c r="M1213"/>
  <c r="M1242"/>
  <c r="M1194"/>
  <c r="M1079"/>
  <c r="M1030"/>
  <c r="M1047"/>
  <c r="M1106"/>
  <c r="M1061"/>
  <c r="M987"/>
  <c r="M861"/>
  <c r="M858"/>
  <c r="M744"/>
  <c r="M736"/>
  <c r="M771"/>
  <c r="M763"/>
  <c r="M823"/>
  <c r="M789"/>
  <c r="M751"/>
  <c r="M489"/>
  <c r="C115" i="36"/>
  <c r="C99"/>
  <c r="C83"/>
  <c r="C67"/>
  <c r="C51"/>
  <c r="C35"/>
  <c r="C19"/>
  <c r="C178" i="35"/>
  <c r="C170"/>
  <c r="C162"/>
  <c r="C154"/>
  <c r="C146"/>
  <c r="C138"/>
  <c r="C130"/>
  <c r="C122"/>
  <c r="C114"/>
  <c r="C106"/>
  <c r="C98"/>
  <c r="C90"/>
  <c r="C82"/>
  <c r="C74"/>
  <c r="C66"/>
  <c r="C58"/>
  <c r="C50"/>
  <c r="C42"/>
  <c r="C34"/>
  <c r="C26"/>
  <c r="C18"/>
  <c r="C127" i="36"/>
  <c r="C135"/>
  <c r="C143"/>
  <c r="C151"/>
  <c r="C159"/>
  <c r="C175"/>
  <c r="C183"/>
  <c r="C191"/>
  <c r="C199"/>
  <c r="C207"/>
  <c r="C215"/>
  <c r="C223"/>
  <c r="C231"/>
  <c r="C239"/>
  <c r="C247"/>
  <c r="C255"/>
  <c r="C263"/>
  <c r="C271"/>
  <c r="C279"/>
  <c r="C287"/>
  <c r="C295"/>
  <c r="X13" i="21"/>
  <c r="X22"/>
  <c r="X39"/>
  <c r="X51"/>
  <c r="X85"/>
  <c r="X105"/>
  <c r="X119"/>
  <c r="X150"/>
  <c r="X164"/>
  <c r="X177"/>
  <c r="X190"/>
  <c r="X203"/>
  <c r="X216"/>
  <c r="X228"/>
  <c r="X241"/>
  <c r="X255"/>
  <c r="X269"/>
  <c r="X282"/>
  <c r="X295"/>
  <c r="X309"/>
  <c r="X338"/>
  <c r="X357"/>
  <c r="X375"/>
  <c r="X393"/>
  <c r="X407"/>
  <c r="X422"/>
  <c r="X435"/>
  <c r="X452"/>
  <c r="X466"/>
  <c r="X482"/>
  <c r="X498"/>
  <c r="X514"/>
  <c r="X529"/>
  <c r="X547"/>
  <c r="X564"/>
  <c r="X580"/>
  <c r="X600"/>
  <c r="X630"/>
  <c r="X638"/>
  <c r="X646"/>
  <c r="X654"/>
  <c r="X662"/>
  <c r="X670"/>
  <c r="X681"/>
  <c r="X697"/>
  <c r="X713"/>
  <c r="X729"/>
  <c r="X745"/>
  <c r="X761"/>
  <c r="X777"/>
  <c r="X793"/>
  <c r="X809"/>
  <c r="X825"/>
  <c r="X841"/>
  <c r="X857"/>
  <c r="X873"/>
  <c r="M32" i="33"/>
  <c r="M41"/>
  <c r="M142"/>
  <c r="M210"/>
  <c r="M328"/>
  <c r="M399"/>
  <c r="M236"/>
  <c r="M315"/>
  <c r="M46"/>
  <c r="M66"/>
  <c r="M102"/>
  <c r="M136"/>
  <c r="M252"/>
  <c r="M295"/>
  <c r="M342"/>
  <c r="M361"/>
  <c r="M323"/>
  <c r="M451"/>
  <c r="M566"/>
  <c r="M614"/>
  <c r="M469"/>
  <c r="M512"/>
  <c r="X23" i="21"/>
  <c r="X38"/>
  <c r="X60"/>
  <c r="X81"/>
  <c r="X93"/>
  <c r="X108"/>
  <c r="X144"/>
  <c r="X159"/>
  <c r="X180"/>
  <c r="X201"/>
  <c r="X223"/>
  <c r="X244"/>
  <c r="X263"/>
  <c r="X283"/>
  <c r="X303"/>
  <c r="X331"/>
  <c r="X346"/>
  <c r="X359"/>
  <c r="X373"/>
  <c r="X389"/>
  <c r="X414"/>
  <c r="X433"/>
  <c r="X464"/>
  <c r="X480"/>
  <c r="X496"/>
  <c r="X511"/>
  <c r="X530"/>
  <c r="X544"/>
  <c r="X559"/>
  <c r="X575"/>
  <c r="X589"/>
  <c r="X603"/>
  <c r="X613"/>
  <c r="X621"/>
  <c r="X682"/>
  <c r="X698"/>
  <c r="X714"/>
  <c r="X730"/>
  <c r="X746"/>
  <c r="X762"/>
  <c r="X778"/>
  <c r="X794"/>
  <c r="X810"/>
  <c r="X826"/>
  <c r="X842"/>
  <c r="X858"/>
  <c r="X874"/>
  <c r="M40" i="33"/>
  <c r="M72"/>
  <c r="M43"/>
  <c r="M95"/>
  <c r="M110"/>
  <c r="M153"/>
  <c r="M163"/>
  <c r="M140"/>
  <c r="M181"/>
  <c r="M190"/>
  <c r="M194"/>
  <c r="M260"/>
  <c r="M274"/>
  <c r="M293"/>
  <c r="M351"/>
  <c r="M21"/>
  <c r="M201"/>
  <c r="M239"/>
  <c r="M330"/>
  <c r="M318"/>
  <c r="M378"/>
  <c r="M495"/>
  <c r="M624"/>
  <c r="M445"/>
  <c r="M625"/>
  <c r="M644"/>
  <c r="D26" i="4"/>
  <c r="C116" i="36"/>
  <c r="C100"/>
  <c r="C84"/>
  <c r="C68"/>
  <c r="C52"/>
  <c r="C36"/>
  <c r="C20"/>
  <c r="C177" i="35"/>
  <c r="C161"/>
  <c r="C153"/>
  <c r="C145"/>
  <c r="C137"/>
  <c r="C129"/>
  <c r="C121"/>
  <c r="C113"/>
  <c r="C105"/>
  <c r="C97"/>
  <c r="C89"/>
  <c r="C81"/>
  <c r="C73"/>
  <c r="C65"/>
  <c r="C57"/>
  <c r="C49"/>
  <c r="C41"/>
  <c r="C33"/>
  <c r="C25"/>
  <c r="C130" i="36"/>
  <c r="C138"/>
  <c r="C146"/>
  <c r="C154"/>
  <c r="C162"/>
  <c r="C170"/>
  <c r="C178"/>
  <c r="C186"/>
  <c r="C194"/>
  <c r="C202"/>
  <c r="C210"/>
  <c r="C218"/>
  <c r="C226"/>
  <c r="C234"/>
  <c r="C242"/>
  <c r="C250"/>
  <c r="C258"/>
  <c r="C266"/>
  <c r="C274"/>
  <c r="C282"/>
  <c r="C290"/>
  <c r="X6" i="21"/>
  <c r="X20"/>
  <c r="X45"/>
  <c r="X55"/>
  <c r="X95"/>
  <c r="X111"/>
  <c r="X124"/>
  <c r="X155"/>
  <c r="X169"/>
  <c r="X182"/>
  <c r="X195"/>
  <c r="X208"/>
  <c r="X220"/>
  <c r="X233"/>
  <c r="X246"/>
  <c r="X260"/>
  <c r="X274"/>
  <c r="X287"/>
  <c r="X300"/>
  <c r="X314"/>
  <c r="X336"/>
  <c r="X356"/>
  <c r="X374"/>
  <c r="X391"/>
  <c r="X406"/>
  <c r="X421"/>
  <c r="X434"/>
  <c r="X450"/>
  <c r="X465"/>
  <c r="X481"/>
  <c r="X497"/>
  <c r="X512"/>
  <c r="X528"/>
  <c r="X545"/>
  <c r="X561"/>
  <c r="X577"/>
  <c r="X597"/>
  <c r="X628"/>
  <c r="X637"/>
  <c r="X645"/>
  <c r="X653"/>
  <c r="X661"/>
  <c r="X669"/>
  <c r="X679"/>
  <c r="X695"/>
  <c r="X711"/>
  <c r="X727"/>
  <c r="X743"/>
  <c r="X759"/>
  <c r="X775"/>
  <c r="X791"/>
  <c r="X807"/>
  <c r="X823"/>
  <c r="X839"/>
  <c r="X855"/>
  <c r="X871"/>
  <c r="M30" i="33"/>
  <c r="M177"/>
  <c r="M209"/>
  <c r="M217"/>
  <c r="M335"/>
  <c r="M227"/>
  <c r="M282"/>
  <c r="M314"/>
  <c r="M25"/>
  <c r="M65"/>
  <c r="M91"/>
  <c r="M135"/>
  <c r="M255"/>
  <c r="M298"/>
  <c r="M345"/>
  <c r="M364"/>
  <c r="M277"/>
  <c r="M508"/>
  <c r="M569"/>
  <c r="M598"/>
  <c r="M434"/>
  <c r="D299" i="36"/>
  <c r="X29" i="21"/>
  <c r="X44"/>
  <c r="X80"/>
  <c r="X92"/>
  <c r="X106"/>
  <c r="X142"/>
  <c r="X157"/>
  <c r="X178"/>
  <c r="X199"/>
  <c r="X221"/>
  <c r="X242"/>
  <c r="X261"/>
  <c r="X281"/>
  <c r="X301"/>
  <c r="X329"/>
  <c r="X344"/>
  <c r="X358"/>
  <c r="X371"/>
  <c r="X387"/>
  <c r="X401"/>
  <c r="X417"/>
  <c r="X455"/>
  <c r="X471"/>
  <c r="X487"/>
  <c r="X503"/>
  <c r="X519"/>
  <c r="X535"/>
  <c r="X549"/>
  <c r="X566"/>
  <c r="X582"/>
  <c r="X594"/>
  <c r="X608"/>
  <c r="X616"/>
  <c r="X626"/>
  <c r="X688"/>
  <c r="X704"/>
  <c r="X720"/>
  <c r="X736"/>
  <c r="X752"/>
  <c r="X768"/>
  <c r="X784"/>
  <c r="X800"/>
  <c r="X816"/>
  <c r="X832"/>
  <c r="X848"/>
  <c r="X864"/>
  <c r="X880"/>
  <c r="M12" i="33"/>
  <c r="M57"/>
  <c r="M81"/>
  <c r="M73"/>
  <c r="M94"/>
  <c r="M109"/>
  <c r="M152"/>
  <c r="M166"/>
  <c r="M178"/>
  <c r="M185"/>
  <c r="M112"/>
  <c r="M259"/>
  <c r="M273"/>
  <c r="M286"/>
  <c r="M327"/>
  <c r="M20"/>
  <c r="M200"/>
  <c r="M238"/>
  <c r="M329"/>
  <c r="M317"/>
  <c r="M377"/>
  <c r="M494"/>
  <c r="M623"/>
  <c r="M487"/>
  <c r="M825"/>
  <c r="M718"/>
  <c r="O10" i="36"/>
  <c r="R10" s="1"/>
  <c r="N10" i="35"/>
  <c r="O10" s="1"/>
  <c r="M187" i="7"/>
  <c r="S187" s="1"/>
  <c r="T187" s="1"/>
  <c r="M175"/>
  <c r="S175" s="1"/>
  <c r="T175" s="1"/>
  <c r="L200"/>
  <c r="R200" s="1"/>
  <c r="M183" i="6"/>
  <c r="S183" s="1"/>
  <c r="T183" s="1"/>
  <c r="L163"/>
  <c r="S163" s="1"/>
  <c r="T163" s="1"/>
  <c r="M197"/>
  <c r="R197" s="1"/>
  <c r="I216"/>
  <c r="I217" s="1"/>
  <c r="L171" i="7"/>
  <c r="S171" s="1"/>
  <c r="T171" s="1"/>
  <c r="V221" i="5"/>
  <c r="L200" i="6"/>
  <c r="S200" s="1"/>
  <c r="T200" s="1"/>
  <c r="L179" i="7"/>
  <c r="R179" s="1"/>
  <c r="H602" i="39"/>
  <c r="F25" i="26"/>
  <c r="F45" s="1"/>
  <c r="F48" s="1"/>
  <c r="F50" s="1"/>
  <c r="F52" s="1"/>
  <c r="F53" s="1"/>
  <c r="F55" s="1"/>
  <c r="F84" s="1"/>
  <c r="F90" s="1"/>
  <c r="Z9" i="22"/>
  <c r="L163" i="7"/>
  <c r="R163" s="1"/>
  <c r="M194"/>
  <c r="S194" s="1"/>
  <c r="T194" s="1"/>
  <c r="M117" i="22"/>
  <c r="N115"/>
  <c r="M116" s="1"/>
  <c r="M47" i="38"/>
  <c r="M48" s="1"/>
  <c r="L340" i="22"/>
  <c r="L467" s="1"/>
  <c r="K47" i="38"/>
  <c r="E132" i="28"/>
  <c r="E134" s="1"/>
  <c r="F125"/>
  <c r="M241" i="22"/>
  <c r="N237"/>
  <c r="M238" s="1"/>
  <c r="M1"/>
  <c r="L158" i="38"/>
  <c r="L159" s="1"/>
  <c r="M101"/>
  <c r="N75"/>
  <c r="L341" i="22"/>
  <c r="L242"/>
  <c r="K102" i="38"/>
  <c r="K103" s="1"/>
  <c r="L102"/>
  <c r="N157"/>
  <c r="O9" i="28"/>
  <c r="O5" i="26"/>
  <c r="N9" i="28"/>
  <c r="K480" i="39"/>
  <c r="S196" i="6"/>
  <c r="T196" s="1"/>
  <c r="R196"/>
  <c r="H710" i="39"/>
  <c r="P9"/>
  <c r="R8"/>
  <c r="J602"/>
  <c r="V65" i="6"/>
  <c r="H65" i="7" s="1"/>
  <c r="W65" i="6"/>
  <c r="I65" i="7" s="1"/>
  <c r="V27" i="6"/>
  <c r="H27" i="7" s="1"/>
  <c r="W27" i="6"/>
  <c r="I27" i="7" s="1"/>
  <c r="V11" i="6"/>
  <c r="W11"/>
  <c r="I11" i="7" s="1"/>
  <c r="M211"/>
  <c r="L211"/>
  <c r="M201"/>
  <c r="L201"/>
  <c r="M180"/>
  <c r="L180"/>
  <c r="M172"/>
  <c r="L172"/>
  <c r="M148"/>
  <c r="L148"/>
  <c r="H216" i="6"/>
  <c r="H217" s="1"/>
  <c r="M140"/>
  <c r="L140"/>
  <c r="M178"/>
  <c r="L178"/>
  <c r="M154"/>
  <c r="L154"/>
  <c r="M189" i="7"/>
  <c r="L189"/>
  <c r="M181" i="6"/>
  <c r="L181"/>
  <c r="M169" i="7"/>
  <c r="L169"/>
  <c r="M165" i="6"/>
  <c r="L165"/>
  <c r="V55"/>
  <c r="H55" i="7" s="1"/>
  <c r="W55" i="6"/>
  <c r="I55" i="7" s="1"/>
  <c r="R45" i="6"/>
  <c r="S45"/>
  <c r="V24"/>
  <c r="H24" i="7" s="1"/>
  <c r="W24" i="6"/>
  <c r="I24" i="7" s="1"/>
  <c r="R96" i="6"/>
  <c r="S96"/>
  <c r="R88"/>
  <c r="S88"/>
  <c r="R68"/>
  <c r="S68"/>
  <c r="R54"/>
  <c r="S54"/>
  <c r="S175"/>
  <c r="T175" s="1"/>
  <c r="R175"/>
  <c r="S167"/>
  <c r="T167" s="1"/>
  <c r="R167"/>
  <c r="S159"/>
  <c r="T159" s="1"/>
  <c r="R159"/>
  <c r="S151"/>
  <c r="T151" s="1"/>
  <c r="R151"/>
  <c r="S212" i="7"/>
  <c r="T212" s="1"/>
  <c r="R212"/>
  <c r="S196"/>
  <c r="T196" s="1"/>
  <c r="R196"/>
  <c r="V8" i="6"/>
  <c r="W8"/>
  <c r="I8" i="7" s="1"/>
  <c r="M188"/>
  <c r="L188"/>
  <c r="M170"/>
  <c r="L170"/>
  <c r="M177"/>
  <c r="L177"/>
  <c r="M173" i="6"/>
  <c r="L173"/>
  <c r="M161" i="7"/>
  <c r="L161"/>
  <c r="M153" i="6"/>
  <c r="L153"/>
  <c r="R113"/>
  <c r="S113"/>
  <c r="R93"/>
  <c r="S93"/>
  <c r="R77"/>
  <c r="S77"/>
  <c r="R26"/>
  <c r="S26"/>
  <c r="S5"/>
  <c r="R5"/>
  <c r="R83"/>
  <c r="S83"/>
  <c r="R112"/>
  <c r="S112"/>
  <c r="R74"/>
  <c r="S74"/>
  <c r="S183" i="7"/>
  <c r="T183" s="1"/>
  <c r="R183"/>
  <c r="S167"/>
  <c r="T167" s="1"/>
  <c r="R167"/>
  <c r="S159"/>
  <c r="T159" s="1"/>
  <c r="R159"/>
  <c r="D111" i="37"/>
  <c r="F111" s="1"/>
  <c r="S143" i="7"/>
  <c r="T143" s="1"/>
  <c r="R143"/>
  <c r="S127" i="6"/>
  <c r="R127"/>
  <c r="V21"/>
  <c r="W21"/>
  <c r="I21" i="7" s="1"/>
  <c r="R17" i="6"/>
  <c r="S17"/>
  <c r="M195"/>
  <c r="L195"/>
  <c r="M191"/>
  <c r="L191"/>
  <c r="M184"/>
  <c r="L184"/>
  <c r="M176"/>
  <c r="L176"/>
  <c r="M214"/>
  <c r="L214"/>
  <c r="M210"/>
  <c r="L210"/>
  <c r="M206"/>
  <c r="L206"/>
  <c r="M202"/>
  <c r="L202"/>
  <c r="M182"/>
  <c r="L182"/>
  <c r="M174"/>
  <c r="L174"/>
  <c r="S208"/>
  <c r="T208" s="1"/>
  <c r="R208"/>
  <c r="S192"/>
  <c r="T192" s="1"/>
  <c r="R192"/>
  <c r="S204" i="7"/>
  <c r="T204" s="1"/>
  <c r="R204"/>
  <c r="M211" i="6"/>
  <c r="L211"/>
  <c r="M207"/>
  <c r="L207"/>
  <c r="M201"/>
  <c r="L201"/>
  <c r="M193"/>
  <c r="L193"/>
  <c r="M180"/>
  <c r="L180"/>
  <c r="M172"/>
  <c r="L172"/>
  <c r="M156"/>
  <c r="L156"/>
  <c r="M148"/>
  <c r="L148"/>
  <c r="M186" i="7"/>
  <c r="L186"/>
  <c r="M178"/>
  <c r="L178"/>
  <c r="M162"/>
  <c r="L162"/>
  <c r="M154"/>
  <c r="L154"/>
  <c r="M146"/>
  <c r="L146"/>
  <c r="M189" i="6"/>
  <c r="L189"/>
  <c r="M181" i="7"/>
  <c r="L181"/>
  <c r="M169" i="6"/>
  <c r="L169"/>
  <c r="M165" i="7"/>
  <c r="L165"/>
  <c r="M157" i="6"/>
  <c r="L157"/>
  <c r="M149" i="7"/>
  <c r="L149"/>
  <c r="M141" i="6"/>
  <c r="L141"/>
  <c r="S134"/>
  <c r="R134"/>
  <c r="R59"/>
  <c r="S59"/>
  <c r="R53"/>
  <c r="S53"/>
  <c r="R43"/>
  <c r="S43"/>
  <c r="R117"/>
  <c r="S117"/>
  <c r="S114"/>
  <c r="R114"/>
  <c r="R103"/>
  <c r="S103"/>
  <c r="R95"/>
  <c r="S95"/>
  <c r="V75"/>
  <c r="H75" i="7" s="1"/>
  <c r="W75" i="6"/>
  <c r="I75" i="7" s="1"/>
  <c r="R67" i="6"/>
  <c r="S67"/>
  <c r="R39"/>
  <c r="S39"/>
  <c r="R108"/>
  <c r="S108"/>
  <c r="R98"/>
  <c r="S98"/>
  <c r="R94"/>
  <c r="S94"/>
  <c r="R90"/>
  <c r="S90"/>
  <c r="R86"/>
  <c r="S86"/>
  <c r="R80"/>
  <c r="S80"/>
  <c r="R76"/>
  <c r="S76"/>
  <c r="R66"/>
  <c r="S66"/>
  <c r="R56"/>
  <c r="S56"/>
  <c r="R52"/>
  <c r="S52"/>
  <c r="R48"/>
  <c r="S48"/>
  <c r="S187"/>
  <c r="T187" s="1"/>
  <c r="R187"/>
  <c r="S179"/>
  <c r="T179" s="1"/>
  <c r="R179"/>
  <c r="S171"/>
  <c r="T171" s="1"/>
  <c r="R171"/>
  <c r="S155"/>
  <c r="T155" s="1"/>
  <c r="R155"/>
  <c r="S147"/>
  <c r="T147" s="1"/>
  <c r="R147"/>
  <c r="S137"/>
  <c r="R137"/>
  <c r="S131"/>
  <c r="R131"/>
  <c r="S123"/>
  <c r="R123"/>
  <c r="V62"/>
  <c r="H62" i="7" s="1"/>
  <c r="W62" i="6"/>
  <c r="I62" i="7" s="1"/>
  <c r="R58" i="6"/>
  <c r="S58"/>
  <c r="V29"/>
  <c r="H29" i="7" s="1"/>
  <c r="W29" i="6"/>
  <c r="I29" i="7" s="1"/>
  <c r="V7" i="6"/>
  <c r="W7"/>
  <c r="I7" i="7" s="1"/>
  <c r="M213" i="6"/>
  <c r="L213"/>
  <c r="M209"/>
  <c r="L209"/>
  <c r="M205"/>
  <c r="L205"/>
  <c r="M203"/>
  <c r="L203"/>
  <c r="M199"/>
  <c r="L199"/>
  <c r="M168"/>
  <c r="L168"/>
  <c r="M160"/>
  <c r="L160"/>
  <c r="M152"/>
  <c r="L152"/>
  <c r="M144"/>
  <c r="L144"/>
  <c r="M198"/>
  <c r="L198"/>
  <c r="M190"/>
  <c r="L190"/>
  <c r="M166"/>
  <c r="L166"/>
  <c r="M158"/>
  <c r="L158"/>
  <c r="M150"/>
  <c r="L150"/>
  <c r="M142"/>
  <c r="L142"/>
  <c r="V60"/>
  <c r="W60"/>
  <c r="I60" i="7" s="1"/>
  <c r="V44" i="6"/>
  <c r="H44" i="7" s="1"/>
  <c r="W44" i="6"/>
  <c r="I44" i="7" s="1"/>
  <c r="V40" i="6"/>
  <c r="W40"/>
  <c r="I40" i="7" s="1"/>
  <c r="S215"/>
  <c r="R215"/>
  <c r="S208"/>
  <c r="T208" s="1"/>
  <c r="R208"/>
  <c r="S192"/>
  <c r="T192" s="1"/>
  <c r="R192"/>
  <c r="S204" i="6"/>
  <c r="T204" s="1"/>
  <c r="R204"/>
  <c r="R18"/>
  <c r="S18"/>
  <c r="W15"/>
  <c r="I15" i="7" s="1"/>
  <c r="V15" i="6"/>
  <c r="G709" i="39"/>
  <c r="O9"/>
  <c r="M188" i="6"/>
  <c r="L188"/>
  <c r="M164"/>
  <c r="L164"/>
  <c r="M170"/>
  <c r="L170"/>
  <c r="M185" i="7"/>
  <c r="L185"/>
  <c r="M177" i="6"/>
  <c r="L177"/>
  <c r="M173" i="7"/>
  <c r="L173"/>
  <c r="M161" i="6"/>
  <c r="L161"/>
  <c r="M153" i="7"/>
  <c r="L153"/>
  <c r="M145" i="6"/>
  <c r="L145"/>
  <c r="S138"/>
  <c r="R138"/>
  <c r="S126"/>
  <c r="R126"/>
  <c r="S118"/>
  <c r="R118"/>
  <c r="R115"/>
  <c r="S115"/>
  <c r="R105"/>
  <c r="S105"/>
  <c r="R97"/>
  <c r="S97"/>
  <c r="R89"/>
  <c r="S89"/>
  <c r="R81"/>
  <c r="S81"/>
  <c r="R73"/>
  <c r="S73"/>
  <c r="R30"/>
  <c r="S30"/>
  <c r="R22"/>
  <c r="S22"/>
  <c r="R16"/>
  <c r="S16"/>
  <c r="S12"/>
  <c r="R12"/>
  <c r="S136"/>
  <c r="R136"/>
  <c r="W124"/>
  <c r="I124" i="7" s="1"/>
  <c r="V124" i="6"/>
  <c r="H124" i="7" s="1"/>
  <c r="W110" i="6"/>
  <c r="I110" i="7" s="1"/>
  <c r="V110" i="6"/>
  <c r="H110" i="7" s="1"/>
  <c r="V79" i="6"/>
  <c r="H79" i="7" s="1"/>
  <c r="W79" i="6"/>
  <c r="I79" i="7" s="1"/>
  <c r="V71" i="6"/>
  <c r="H71" i="7" s="1"/>
  <c r="W71" i="6"/>
  <c r="I71" i="7" s="1"/>
  <c r="V61" i="6"/>
  <c r="H61" i="7" s="1"/>
  <c r="W61" i="6"/>
  <c r="I61" i="7" s="1"/>
  <c r="V51" i="6"/>
  <c r="H51" i="7" s="1"/>
  <c r="W51" i="6"/>
  <c r="I51" i="7" s="1"/>
  <c r="V37" i="6"/>
  <c r="H37" i="7" s="1"/>
  <c r="W37" i="6"/>
  <c r="I37" i="7" s="1"/>
  <c r="R32" i="6"/>
  <c r="S32"/>
  <c r="R116"/>
  <c r="S116"/>
  <c r="R104"/>
  <c r="S104"/>
  <c r="R84"/>
  <c r="S84"/>
  <c r="R72"/>
  <c r="S72"/>
  <c r="V38"/>
  <c r="H38" i="7" s="1"/>
  <c r="W38" i="6"/>
  <c r="I38" i="7" s="1"/>
  <c r="R23" i="6"/>
  <c r="S23"/>
  <c r="I22" i="29"/>
  <c r="I41" s="1"/>
  <c r="E26" i="11"/>
  <c r="E28" s="1"/>
  <c r="S155" i="7"/>
  <c r="T155" s="1"/>
  <c r="R155"/>
  <c r="S147"/>
  <c r="T147" s="1"/>
  <c r="R147"/>
  <c r="S133" i="6"/>
  <c r="R133"/>
  <c r="S119"/>
  <c r="R119"/>
  <c r="V33"/>
  <c r="H33" i="7" s="1"/>
  <c r="W33" i="6"/>
  <c r="I33" i="7" s="1"/>
  <c r="R25" i="6"/>
  <c r="S25"/>
  <c r="M195" i="7"/>
  <c r="L195"/>
  <c r="M191"/>
  <c r="L191"/>
  <c r="M184"/>
  <c r="L184"/>
  <c r="M176"/>
  <c r="L176"/>
  <c r="M214"/>
  <c r="L214"/>
  <c r="M210"/>
  <c r="L210"/>
  <c r="M206"/>
  <c r="L206"/>
  <c r="M202"/>
  <c r="L202"/>
  <c r="M182"/>
  <c r="L182"/>
  <c r="M174"/>
  <c r="L174"/>
  <c r="E53" i="10"/>
  <c r="E67" s="1"/>
  <c r="Y9" i="22"/>
  <c r="N5" i="26"/>
  <c r="M139" i="6"/>
  <c r="L194"/>
  <c r="M194"/>
  <c r="E30" i="10"/>
  <c r="S212" i="6"/>
  <c r="T212" s="1"/>
  <c r="R212"/>
  <c r="V13"/>
  <c r="W13"/>
  <c r="I13" i="7" s="1"/>
  <c r="M207"/>
  <c r="L207"/>
  <c r="M193"/>
  <c r="L193"/>
  <c r="M156"/>
  <c r="L156"/>
  <c r="M186" i="6"/>
  <c r="L186"/>
  <c r="M162"/>
  <c r="L162"/>
  <c r="M146"/>
  <c r="L146"/>
  <c r="M157" i="7"/>
  <c r="L157"/>
  <c r="M149" i="6"/>
  <c r="L149"/>
  <c r="M141" i="7"/>
  <c r="L141"/>
  <c r="S109" i="6"/>
  <c r="R109"/>
  <c r="R69"/>
  <c r="S69"/>
  <c r="R57"/>
  <c r="S57"/>
  <c r="R49"/>
  <c r="S49"/>
  <c r="R41"/>
  <c r="S41"/>
  <c r="S4"/>
  <c r="L139"/>
  <c r="W128"/>
  <c r="I128" i="7" s="1"/>
  <c r="V128" i="6"/>
  <c r="H128" i="7" s="1"/>
  <c r="W120" i="6"/>
  <c r="I120" i="7" s="1"/>
  <c r="V120" i="6"/>
  <c r="H120" i="7" s="1"/>
  <c r="R99" i="6"/>
  <c r="S99"/>
  <c r="R91"/>
  <c r="S91"/>
  <c r="V63"/>
  <c r="H63" i="7" s="1"/>
  <c r="W63" i="6"/>
  <c r="I63" i="7" s="1"/>
  <c r="V47" i="6"/>
  <c r="H47" i="7" s="1"/>
  <c r="W47" i="6"/>
  <c r="I47" i="7" s="1"/>
  <c r="R20" i="6"/>
  <c r="S20"/>
  <c r="R100"/>
  <c r="S100"/>
  <c r="R92"/>
  <c r="S92"/>
  <c r="R82"/>
  <c r="S82"/>
  <c r="R78"/>
  <c r="S78"/>
  <c r="R64"/>
  <c r="S64"/>
  <c r="R50"/>
  <c r="S50"/>
  <c r="V31"/>
  <c r="W31"/>
  <c r="I31" i="7" s="1"/>
  <c r="S143" i="6"/>
  <c r="T143" s="1"/>
  <c r="R143"/>
  <c r="S135"/>
  <c r="R135"/>
  <c r="W129"/>
  <c r="I129" i="7" s="1"/>
  <c r="V129" i="6"/>
  <c r="H129" i="7" s="1"/>
  <c r="S125" i="6"/>
  <c r="R125"/>
  <c r="W121"/>
  <c r="I121" i="7" s="1"/>
  <c r="V121" i="6"/>
  <c r="H121" i="7" s="1"/>
  <c r="S111" i="6"/>
  <c r="R111"/>
  <c r="R107"/>
  <c r="S107"/>
  <c r="V46"/>
  <c r="H46" i="7" s="1"/>
  <c r="W46" i="6"/>
  <c r="I46" i="7" s="1"/>
  <c r="V42" i="6"/>
  <c r="H42" i="7" s="1"/>
  <c r="W42" i="6"/>
  <c r="I42" i="7" s="1"/>
  <c r="R36" i="6"/>
  <c r="S36"/>
  <c r="S6"/>
  <c r="R6"/>
  <c r="M213" i="7"/>
  <c r="L213"/>
  <c r="M209"/>
  <c r="L209"/>
  <c r="M205"/>
  <c r="L205"/>
  <c r="M203"/>
  <c r="L203"/>
  <c r="M199"/>
  <c r="L199"/>
  <c r="M168"/>
  <c r="L168"/>
  <c r="M160"/>
  <c r="L160"/>
  <c r="M152"/>
  <c r="L152"/>
  <c r="M144"/>
  <c r="L144"/>
  <c r="M198"/>
  <c r="L198"/>
  <c r="M190"/>
  <c r="L190"/>
  <c r="M166"/>
  <c r="L166"/>
  <c r="M158"/>
  <c r="L158"/>
  <c r="M150"/>
  <c r="L150"/>
  <c r="M142"/>
  <c r="L142"/>
  <c r="R85" i="6"/>
  <c r="S85"/>
  <c r="W215"/>
  <c r="V215"/>
  <c r="S197" i="7"/>
  <c r="T197" s="1"/>
  <c r="R197"/>
  <c r="V35" i="6"/>
  <c r="H35" i="7" s="1"/>
  <c r="W35" i="6"/>
  <c r="I35" i="7" s="1"/>
  <c r="V19" i="6"/>
  <c r="H19" i="7" s="1"/>
  <c r="W19" i="6"/>
  <c r="I19" i="7" s="1"/>
  <c r="M164"/>
  <c r="L164"/>
  <c r="M185" i="6"/>
  <c r="L185"/>
  <c r="M145" i="7"/>
  <c r="L145"/>
  <c r="S130" i="6"/>
  <c r="R130"/>
  <c r="S122"/>
  <c r="R122"/>
  <c r="R101"/>
  <c r="S101"/>
  <c r="R87"/>
  <c r="S87"/>
  <c r="R34"/>
  <c r="S34"/>
  <c r="R10"/>
  <c r="S10"/>
  <c r="S14"/>
  <c r="R14"/>
  <c r="E56" i="13"/>
  <c r="F54"/>
  <c r="S132" i="6"/>
  <c r="R132"/>
  <c r="V106"/>
  <c r="H106" i="7" s="1"/>
  <c r="W106" i="6"/>
  <c r="I106" i="7" s="1"/>
  <c r="R28" i="6"/>
  <c r="S28"/>
  <c r="R102"/>
  <c r="S102"/>
  <c r="R70"/>
  <c r="S70"/>
  <c r="V9"/>
  <c r="W9"/>
  <c r="I9" i="7" s="1"/>
  <c r="S151"/>
  <c r="T151" s="1"/>
  <c r="R151"/>
  <c r="D21" i="27"/>
  <c r="G601" i="39"/>
  <c r="N38" i="36" l="1"/>
  <c r="I46"/>
  <c r="B46"/>
  <c r="M46"/>
  <c r="N46" s="1"/>
  <c r="L78"/>
  <c r="N78" s="1"/>
  <c r="H78"/>
  <c r="L110"/>
  <c r="N110" s="1"/>
  <c r="H110"/>
  <c r="E68" i="10"/>
  <c r="L343" i="22"/>
  <c r="L468"/>
  <c r="L166" i="35"/>
  <c r="G166"/>
  <c r="D166"/>
  <c r="M166"/>
  <c r="H166"/>
  <c r="N15"/>
  <c r="N74" i="36"/>
  <c r="N101" i="38"/>
  <c r="N106" i="36"/>
  <c r="N118"/>
  <c r="N58"/>
  <c r="N70"/>
  <c r="N90"/>
  <c r="S200" i="7"/>
  <c r="T200" s="1"/>
  <c r="R187"/>
  <c r="N26" i="36"/>
  <c r="N42"/>
  <c r="R163" i="6"/>
  <c r="N6" i="26"/>
  <c r="I220" i="6"/>
  <c r="P220" s="1"/>
  <c r="W220" s="1"/>
  <c r="K602" i="39"/>
  <c r="N17" i="36"/>
  <c r="N33"/>
  <c r="N49"/>
  <c r="N65"/>
  <c r="N81"/>
  <c r="N97"/>
  <c r="N113"/>
  <c r="I17" i="35"/>
  <c r="N13" i="36"/>
  <c r="N29"/>
  <c r="N45"/>
  <c r="N61"/>
  <c r="N77"/>
  <c r="N93"/>
  <c r="N109"/>
  <c r="N125"/>
  <c r="I15" i="35"/>
  <c r="I11"/>
  <c r="N11" i="36"/>
  <c r="N25"/>
  <c r="N41"/>
  <c r="N57"/>
  <c r="N73"/>
  <c r="N89"/>
  <c r="N105"/>
  <c r="N121"/>
  <c r="I13" i="35"/>
  <c r="N21" i="36"/>
  <c r="N37"/>
  <c r="N53"/>
  <c r="N69"/>
  <c r="N85"/>
  <c r="N101"/>
  <c r="N117"/>
  <c r="S197" i="6"/>
  <c r="Y10" i="22"/>
  <c r="R171" i="7"/>
  <c r="R200" i="6"/>
  <c r="R194" i="7"/>
  <c r="R175"/>
  <c r="R183" i="6"/>
  <c r="G723" i="39"/>
  <c r="N187" i="38"/>
  <c r="R10" i="35"/>
  <c r="D290" i="36"/>
  <c r="B290"/>
  <c r="D258"/>
  <c r="B258"/>
  <c r="D226"/>
  <c r="B226"/>
  <c r="B178"/>
  <c r="D178"/>
  <c r="D177" i="35"/>
  <c r="B177"/>
  <c r="M100" i="36"/>
  <c r="H100"/>
  <c r="B100"/>
  <c r="G100"/>
  <c r="I100" s="1"/>
  <c r="L100"/>
  <c r="N100" s="1"/>
  <c r="D100"/>
  <c r="D279"/>
  <c r="B279"/>
  <c r="D247"/>
  <c r="B247"/>
  <c r="D215"/>
  <c r="B215"/>
  <c r="D183"/>
  <c r="B183"/>
  <c r="D178" i="35"/>
  <c r="B178"/>
  <c r="M67" i="36"/>
  <c r="L67"/>
  <c r="D67"/>
  <c r="B67"/>
  <c r="H67"/>
  <c r="G67"/>
  <c r="D282"/>
  <c r="B282"/>
  <c r="D266"/>
  <c r="B266"/>
  <c r="D250"/>
  <c r="B250"/>
  <c r="D234"/>
  <c r="B234"/>
  <c r="B218"/>
  <c r="D218"/>
  <c r="B202"/>
  <c r="D202"/>
  <c r="B186"/>
  <c r="D186"/>
  <c r="B170"/>
  <c r="D170"/>
  <c r="M154"/>
  <c r="G154"/>
  <c r="H154"/>
  <c r="B154"/>
  <c r="L154"/>
  <c r="N154" s="1"/>
  <c r="D154"/>
  <c r="M138"/>
  <c r="G138"/>
  <c r="H138"/>
  <c r="B138"/>
  <c r="L138"/>
  <c r="N138" s="1"/>
  <c r="D138"/>
  <c r="M25" i="35"/>
  <c r="L25"/>
  <c r="D25"/>
  <c r="B25"/>
  <c r="H25"/>
  <c r="G25"/>
  <c r="M41"/>
  <c r="L41"/>
  <c r="D41"/>
  <c r="B41"/>
  <c r="H41"/>
  <c r="G41"/>
  <c r="M57"/>
  <c r="L57"/>
  <c r="D57"/>
  <c r="B57"/>
  <c r="H57"/>
  <c r="G57"/>
  <c r="M73"/>
  <c r="L73"/>
  <c r="D73"/>
  <c r="B73"/>
  <c r="H73"/>
  <c r="G73"/>
  <c r="M89"/>
  <c r="L89"/>
  <c r="D89"/>
  <c r="B89"/>
  <c r="H89"/>
  <c r="G89"/>
  <c r="M105"/>
  <c r="L105"/>
  <c r="D105"/>
  <c r="B105"/>
  <c r="H105"/>
  <c r="G105"/>
  <c r="M121"/>
  <c r="L121"/>
  <c r="D121"/>
  <c r="B121"/>
  <c r="H121"/>
  <c r="G121"/>
  <c r="M137"/>
  <c r="L137"/>
  <c r="D137"/>
  <c r="B137"/>
  <c r="H137"/>
  <c r="G137"/>
  <c r="M153"/>
  <c r="L153"/>
  <c r="D153"/>
  <c r="B153"/>
  <c r="H153"/>
  <c r="G153"/>
  <c r="D169"/>
  <c r="B169"/>
  <c r="L20" i="36"/>
  <c r="D20"/>
  <c r="M20"/>
  <c r="N20" s="1"/>
  <c r="H20"/>
  <c r="B20"/>
  <c r="G20"/>
  <c r="I20" s="1"/>
  <c r="L52"/>
  <c r="D52"/>
  <c r="M52"/>
  <c r="N52" s="1"/>
  <c r="H52"/>
  <c r="B52"/>
  <c r="G52"/>
  <c r="I52" s="1"/>
  <c r="M84"/>
  <c r="H84"/>
  <c r="B84"/>
  <c r="G84"/>
  <c r="I84" s="1"/>
  <c r="L84"/>
  <c r="N84" s="1"/>
  <c r="D84"/>
  <c r="M116"/>
  <c r="H116"/>
  <c r="B116"/>
  <c r="G116"/>
  <c r="I116" s="1"/>
  <c r="L116"/>
  <c r="N116" s="1"/>
  <c r="D116"/>
  <c r="D287"/>
  <c r="B287"/>
  <c r="D271"/>
  <c r="B271"/>
  <c r="D255"/>
  <c r="B255"/>
  <c r="D239"/>
  <c r="B239"/>
  <c r="D223"/>
  <c r="B223"/>
  <c r="D207"/>
  <c r="B207"/>
  <c r="D191"/>
  <c r="B191"/>
  <c r="D175"/>
  <c r="B175"/>
  <c r="M159"/>
  <c r="L159"/>
  <c r="D159"/>
  <c r="B159"/>
  <c r="H159"/>
  <c r="G159"/>
  <c r="M143"/>
  <c r="L143"/>
  <c r="D143"/>
  <c r="B143"/>
  <c r="H143"/>
  <c r="G143"/>
  <c r="M127"/>
  <c r="L127"/>
  <c r="D127"/>
  <c r="B127"/>
  <c r="H127"/>
  <c r="G127"/>
  <c r="G26" i="35"/>
  <c r="M26"/>
  <c r="H26"/>
  <c r="I26" s="1"/>
  <c r="B26"/>
  <c r="L26"/>
  <c r="D26"/>
  <c r="G42"/>
  <c r="M42"/>
  <c r="H42"/>
  <c r="I42" s="1"/>
  <c r="B42"/>
  <c r="L42"/>
  <c r="D42"/>
  <c r="G58"/>
  <c r="M58"/>
  <c r="H58"/>
  <c r="I58" s="1"/>
  <c r="B58"/>
  <c r="L58"/>
  <c r="D58"/>
  <c r="G74"/>
  <c r="M74"/>
  <c r="H74"/>
  <c r="I74" s="1"/>
  <c r="B74"/>
  <c r="L74"/>
  <c r="D74"/>
  <c r="G90"/>
  <c r="M90"/>
  <c r="H90"/>
  <c r="I90" s="1"/>
  <c r="B90"/>
  <c r="L90"/>
  <c r="D90"/>
  <c r="G106"/>
  <c r="M106"/>
  <c r="H106"/>
  <c r="I106" s="1"/>
  <c r="B106"/>
  <c r="L106"/>
  <c r="D106"/>
  <c r="G122"/>
  <c r="M122"/>
  <c r="H122"/>
  <c r="I122" s="1"/>
  <c r="B122"/>
  <c r="L122"/>
  <c r="D122"/>
  <c r="G138"/>
  <c r="M138"/>
  <c r="H138"/>
  <c r="I138" s="1"/>
  <c r="B138"/>
  <c r="L138"/>
  <c r="D138"/>
  <c r="G154"/>
  <c r="M154"/>
  <c r="H154"/>
  <c r="I154" s="1"/>
  <c r="B154"/>
  <c r="L154"/>
  <c r="D154"/>
  <c r="D170"/>
  <c r="B170"/>
  <c r="M19" i="36"/>
  <c r="L19"/>
  <c r="D19"/>
  <c r="B19"/>
  <c r="H19"/>
  <c r="G19"/>
  <c r="M51"/>
  <c r="L51"/>
  <c r="D51"/>
  <c r="B51"/>
  <c r="H51"/>
  <c r="G51"/>
  <c r="M83"/>
  <c r="L83"/>
  <c r="D83"/>
  <c r="B83"/>
  <c r="H83"/>
  <c r="G83"/>
  <c r="M115"/>
  <c r="L115"/>
  <c r="D115"/>
  <c r="B115"/>
  <c r="H115"/>
  <c r="G115"/>
  <c r="D292"/>
  <c r="B292"/>
  <c r="D276"/>
  <c r="B276"/>
  <c r="D260"/>
  <c r="B260"/>
  <c r="D244"/>
  <c r="B244"/>
  <c r="D228"/>
  <c r="B228"/>
  <c r="B212"/>
  <c r="D212"/>
  <c r="B196"/>
  <c r="D196"/>
  <c r="B180"/>
  <c r="D180"/>
  <c r="M164"/>
  <c r="H164"/>
  <c r="B164"/>
  <c r="G164"/>
  <c r="I164" s="1"/>
  <c r="L164"/>
  <c r="N164" s="1"/>
  <c r="D164"/>
  <c r="M148"/>
  <c r="H148"/>
  <c r="B148"/>
  <c r="G148"/>
  <c r="I148" s="1"/>
  <c r="L148"/>
  <c r="N148" s="1"/>
  <c r="D148"/>
  <c r="M132"/>
  <c r="H132"/>
  <c r="B132"/>
  <c r="G132"/>
  <c r="I132" s="1"/>
  <c r="L132"/>
  <c r="N132" s="1"/>
  <c r="D132"/>
  <c r="M23" i="35"/>
  <c r="L23"/>
  <c r="D23"/>
  <c r="B23"/>
  <c r="H23"/>
  <c r="G23"/>
  <c r="M39"/>
  <c r="L39"/>
  <c r="D39"/>
  <c r="B39"/>
  <c r="H39"/>
  <c r="G39"/>
  <c r="M55"/>
  <c r="L55"/>
  <c r="D55"/>
  <c r="B55"/>
  <c r="H55"/>
  <c r="G55"/>
  <c r="M71"/>
  <c r="L71"/>
  <c r="D71"/>
  <c r="B71"/>
  <c r="H71"/>
  <c r="G71"/>
  <c r="M87"/>
  <c r="L87"/>
  <c r="D87"/>
  <c r="B87"/>
  <c r="H87"/>
  <c r="G87"/>
  <c r="M103"/>
  <c r="L103"/>
  <c r="D103"/>
  <c r="B103"/>
  <c r="H103"/>
  <c r="G103"/>
  <c r="M119"/>
  <c r="L119"/>
  <c r="D119"/>
  <c r="B119"/>
  <c r="H119"/>
  <c r="G119"/>
  <c r="M135"/>
  <c r="L135"/>
  <c r="D135"/>
  <c r="B135"/>
  <c r="H135"/>
  <c r="G135"/>
  <c r="M151"/>
  <c r="L151"/>
  <c r="D151"/>
  <c r="B151"/>
  <c r="H151"/>
  <c r="G151"/>
  <c r="B167"/>
  <c r="L16" i="36"/>
  <c r="D16"/>
  <c r="M16"/>
  <c r="N16" s="1"/>
  <c r="H16"/>
  <c r="B16"/>
  <c r="G16"/>
  <c r="I16" s="1"/>
  <c r="L48"/>
  <c r="D48"/>
  <c r="M48"/>
  <c r="N48" s="1"/>
  <c r="H48"/>
  <c r="B48"/>
  <c r="G48"/>
  <c r="I48" s="1"/>
  <c r="M80"/>
  <c r="H80"/>
  <c r="B80"/>
  <c r="G80"/>
  <c r="I80" s="1"/>
  <c r="L80"/>
  <c r="N80" s="1"/>
  <c r="D80"/>
  <c r="M112"/>
  <c r="H112"/>
  <c r="B112"/>
  <c r="G112"/>
  <c r="I112" s="1"/>
  <c r="L112"/>
  <c r="N112" s="1"/>
  <c r="D112"/>
  <c r="R219" i="8"/>
  <c r="Y219" s="1"/>
  <c r="R220" i="5"/>
  <c r="Y220" s="1"/>
  <c r="R218" i="7"/>
  <c r="Y218" s="1"/>
  <c r="R219"/>
  <c r="Y219" s="1"/>
  <c r="R218" i="8"/>
  <c r="Y218" s="1"/>
  <c r="R218" i="6"/>
  <c r="Y218" s="1"/>
  <c r="R220" i="7"/>
  <c r="Y220" s="1"/>
  <c r="R220" i="8"/>
  <c r="Y220" s="1"/>
  <c r="R220" i="6"/>
  <c r="Y220" s="1"/>
  <c r="R218" i="5"/>
  <c r="Y218" s="1"/>
  <c r="R219"/>
  <c r="Y219" s="1"/>
  <c r="R219" i="6"/>
  <c r="Y219" s="1"/>
  <c r="D293" i="36"/>
  <c r="B293"/>
  <c r="D277"/>
  <c r="B277"/>
  <c r="D261"/>
  <c r="B261"/>
  <c r="D245"/>
  <c r="B245"/>
  <c r="D229"/>
  <c r="B229"/>
  <c r="D213"/>
  <c r="B213"/>
  <c r="D197"/>
  <c r="B197"/>
  <c r="D181"/>
  <c r="B181"/>
  <c r="M165"/>
  <c r="L165"/>
  <c r="D165"/>
  <c r="B165"/>
  <c r="H165"/>
  <c r="G165"/>
  <c r="M149"/>
  <c r="L149"/>
  <c r="D149"/>
  <c r="B149"/>
  <c r="H149"/>
  <c r="G149"/>
  <c r="M133"/>
  <c r="L133"/>
  <c r="D133"/>
  <c r="B133"/>
  <c r="H133"/>
  <c r="G133"/>
  <c r="G20" i="35"/>
  <c r="M20"/>
  <c r="H20"/>
  <c r="I20" s="1"/>
  <c r="B20"/>
  <c r="L20"/>
  <c r="D20"/>
  <c r="G36"/>
  <c r="M36"/>
  <c r="H36"/>
  <c r="I36" s="1"/>
  <c r="B36"/>
  <c r="L36"/>
  <c r="D36"/>
  <c r="G52"/>
  <c r="M52"/>
  <c r="H52"/>
  <c r="I52" s="1"/>
  <c r="B52"/>
  <c r="L52"/>
  <c r="D52"/>
  <c r="G68"/>
  <c r="M68"/>
  <c r="H68"/>
  <c r="I68" s="1"/>
  <c r="B68"/>
  <c r="L68"/>
  <c r="D68"/>
  <c r="G84"/>
  <c r="M84"/>
  <c r="H84"/>
  <c r="I84" s="1"/>
  <c r="B84"/>
  <c r="L84"/>
  <c r="D84"/>
  <c r="G100"/>
  <c r="M100"/>
  <c r="H100"/>
  <c r="I100" s="1"/>
  <c r="B100"/>
  <c r="L100"/>
  <c r="D100"/>
  <c r="G116"/>
  <c r="M116"/>
  <c r="H116"/>
  <c r="I116" s="1"/>
  <c r="B116"/>
  <c r="L116"/>
  <c r="D116"/>
  <c r="G132"/>
  <c r="M132"/>
  <c r="H132"/>
  <c r="I132" s="1"/>
  <c r="B132"/>
  <c r="L132"/>
  <c r="D132"/>
  <c r="G148"/>
  <c r="M148"/>
  <c r="H148"/>
  <c r="I148" s="1"/>
  <c r="B148"/>
  <c r="L148"/>
  <c r="D148"/>
  <c r="H164"/>
  <c r="B164"/>
  <c r="G164"/>
  <c r="I164" s="1"/>
  <c r="L164"/>
  <c r="M164"/>
  <c r="D180"/>
  <c r="B180"/>
  <c r="M39" i="36"/>
  <c r="L39"/>
  <c r="D39"/>
  <c r="B39"/>
  <c r="H39"/>
  <c r="G39"/>
  <c r="M71"/>
  <c r="L71"/>
  <c r="D71"/>
  <c r="B71"/>
  <c r="H71"/>
  <c r="G71"/>
  <c r="M103"/>
  <c r="L103"/>
  <c r="D103"/>
  <c r="B103"/>
  <c r="H103"/>
  <c r="G103"/>
  <c r="D294"/>
  <c r="B294"/>
  <c r="D278"/>
  <c r="B278"/>
  <c r="D262"/>
  <c r="B262"/>
  <c r="D246"/>
  <c r="B246"/>
  <c r="D230"/>
  <c r="B230"/>
  <c r="B214"/>
  <c r="D214"/>
  <c r="B198"/>
  <c r="D198"/>
  <c r="B182"/>
  <c r="D182"/>
  <c r="M166"/>
  <c r="G166"/>
  <c r="H166"/>
  <c r="B166"/>
  <c r="L166"/>
  <c r="N166" s="1"/>
  <c r="D166"/>
  <c r="M150"/>
  <c r="G150"/>
  <c r="H150"/>
  <c r="B150"/>
  <c r="L150"/>
  <c r="N150" s="1"/>
  <c r="D150"/>
  <c r="M134"/>
  <c r="G134"/>
  <c r="H134"/>
  <c r="B134"/>
  <c r="L134"/>
  <c r="N134" s="1"/>
  <c r="D134"/>
  <c r="M21" i="35"/>
  <c r="L21"/>
  <c r="D21"/>
  <c r="B21"/>
  <c r="H21"/>
  <c r="G21"/>
  <c r="M37"/>
  <c r="L37"/>
  <c r="D37"/>
  <c r="B37"/>
  <c r="H37"/>
  <c r="G37"/>
  <c r="M53"/>
  <c r="L53"/>
  <c r="D53"/>
  <c r="B53"/>
  <c r="H53"/>
  <c r="G53"/>
  <c r="M69"/>
  <c r="L69"/>
  <c r="D69"/>
  <c r="B69"/>
  <c r="H69"/>
  <c r="G69"/>
  <c r="M85"/>
  <c r="L85"/>
  <c r="D85"/>
  <c r="B85"/>
  <c r="H85"/>
  <c r="G85"/>
  <c r="M101"/>
  <c r="L101"/>
  <c r="D101"/>
  <c r="B101"/>
  <c r="H101"/>
  <c r="G101"/>
  <c r="M117"/>
  <c r="L117"/>
  <c r="D117"/>
  <c r="B117"/>
  <c r="H117"/>
  <c r="G117"/>
  <c r="M133"/>
  <c r="L133"/>
  <c r="D133"/>
  <c r="B133"/>
  <c r="H133"/>
  <c r="G133"/>
  <c r="M149"/>
  <c r="L149"/>
  <c r="D149"/>
  <c r="B149"/>
  <c r="H149"/>
  <c r="G149"/>
  <c r="M165"/>
  <c r="L165"/>
  <c r="B165"/>
  <c r="H165"/>
  <c r="G165"/>
  <c r="D181"/>
  <c r="B181"/>
  <c r="L44" i="36"/>
  <c r="D44"/>
  <c r="M44"/>
  <c r="N44" s="1"/>
  <c r="H44"/>
  <c r="B44"/>
  <c r="G44"/>
  <c r="I44" s="1"/>
  <c r="M76"/>
  <c r="H76"/>
  <c r="B76"/>
  <c r="G76"/>
  <c r="I76" s="1"/>
  <c r="L76"/>
  <c r="N76" s="1"/>
  <c r="D76"/>
  <c r="M108"/>
  <c r="H108"/>
  <c r="B108"/>
  <c r="G108"/>
  <c r="I108" s="1"/>
  <c r="L108"/>
  <c r="N108" s="1"/>
  <c r="D108"/>
  <c r="D283"/>
  <c r="B283"/>
  <c r="D267"/>
  <c r="B267"/>
  <c r="D251"/>
  <c r="B251"/>
  <c r="D235"/>
  <c r="B235"/>
  <c r="D219"/>
  <c r="B219"/>
  <c r="D203"/>
  <c r="B203"/>
  <c r="D187"/>
  <c r="B187"/>
  <c r="D171"/>
  <c r="B171"/>
  <c r="M155"/>
  <c r="L155"/>
  <c r="D155"/>
  <c r="B155"/>
  <c r="H155"/>
  <c r="G155"/>
  <c r="M139"/>
  <c r="L139"/>
  <c r="D139"/>
  <c r="B139"/>
  <c r="H139"/>
  <c r="G139"/>
  <c r="G22" i="35"/>
  <c r="M22"/>
  <c r="H22"/>
  <c r="I22" s="1"/>
  <c r="B22"/>
  <c r="L22"/>
  <c r="D22"/>
  <c r="G38"/>
  <c r="M38"/>
  <c r="H38"/>
  <c r="I38" s="1"/>
  <c r="B38"/>
  <c r="L38"/>
  <c r="D38"/>
  <c r="G54"/>
  <c r="M54"/>
  <c r="H54"/>
  <c r="I54" s="1"/>
  <c r="B54"/>
  <c r="L54"/>
  <c r="D54"/>
  <c r="G70"/>
  <c r="M70"/>
  <c r="H70"/>
  <c r="I70" s="1"/>
  <c r="B70"/>
  <c r="L70"/>
  <c r="D70"/>
  <c r="G86"/>
  <c r="M86"/>
  <c r="H86"/>
  <c r="I86" s="1"/>
  <c r="B86"/>
  <c r="L86"/>
  <c r="D86"/>
  <c r="G102"/>
  <c r="M102"/>
  <c r="H102"/>
  <c r="I102" s="1"/>
  <c r="B102"/>
  <c r="L102"/>
  <c r="D102"/>
  <c r="G118"/>
  <c r="M118"/>
  <c r="H118"/>
  <c r="I118" s="1"/>
  <c r="B118"/>
  <c r="L118"/>
  <c r="D118"/>
  <c r="G134"/>
  <c r="M134"/>
  <c r="H134"/>
  <c r="I134" s="1"/>
  <c r="B134"/>
  <c r="L134"/>
  <c r="D134"/>
  <c r="G150"/>
  <c r="M150"/>
  <c r="H150"/>
  <c r="I150" s="1"/>
  <c r="B150"/>
  <c r="L150"/>
  <c r="D150"/>
  <c r="B166"/>
  <c r="D182"/>
  <c r="B182"/>
  <c r="M43" i="36"/>
  <c r="L43"/>
  <c r="D43"/>
  <c r="B43"/>
  <c r="H43"/>
  <c r="G43"/>
  <c r="M75"/>
  <c r="L75"/>
  <c r="D75"/>
  <c r="B75"/>
  <c r="H75"/>
  <c r="G75"/>
  <c r="M107"/>
  <c r="L107"/>
  <c r="D107"/>
  <c r="B107"/>
  <c r="H107"/>
  <c r="G107"/>
  <c r="D288"/>
  <c r="B288"/>
  <c r="D272"/>
  <c r="B272"/>
  <c r="D256"/>
  <c r="B256"/>
  <c r="D240"/>
  <c r="B240"/>
  <c r="D224"/>
  <c r="B224"/>
  <c r="B208"/>
  <c r="D208"/>
  <c r="B192"/>
  <c r="D192"/>
  <c r="B176"/>
  <c r="D176"/>
  <c r="M160"/>
  <c r="H160"/>
  <c r="B160"/>
  <c r="G160"/>
  <c r="I160" s="1"/>
  <c r="L160"/>
  <c r="N160" s="1"/>
  <c r="D160"/>
  <c r="M144"/>
  <c r="H144"/>
  <c r="B144"/>
  <c r="G144"/>
  <c r="I144" s="1"/>
  <c r="L144"/>
  <c r="N144" s="1"/>
  <c r="D144"/>
  <c r="M128"/>
  <c r="H128"/>
  <c r="B128"/>
  <c r="G128"/>
  <c r="I128" s="1"/>
  <c r="L128"/>
  <c r="N128" s="1"/>
  <c r="D128"/>
  <c r="M27" i="35"/>
  <c r="L27"/>
  <c r="D27"/>
  <c r="B27"/>
  <c r="H27"/>
  <c r="G27"/>
  <c r="M43"/>
  <c r="L43"/>
  <c r="D43"/>
  <c r="B43"/>
  <c r="H43"/>
  <c r="G43"/>
  <c r="M59"/>
  <c r="L59"/>
  <c r="D59"/>
  <c r="B59"/>
  <c r="H59"/>
  <c r="G59"/>
  <c r="M75"/>
  <c r="L75"/>
  <c r="D75"/>
  <c r="B75"/>
  <c r="H75"/>
  <c r="G75"/>
  <c r="M91"/>
  <c r="L91"/>
  <c r="D91"/>
  <c r="B91"/>
  <c r="H91"/>
  <c r="G91"/>
  <c r="M107"/>
  <c r="L107"/>
  <c r="D107"/>
  <c r="B107"/>
  <c r="H107"/>
  <c r="G107"/>
  <c r="M123"/>
  <c r="L123"/>
  <c r="D123"/>
  <c r="B123"/>
  <c r="H123"/>
  <c r="G123"/>
  <c r="M139"/>
  <c r="L139"/>
  <c r="D139"/>
  <c r="B139"/>
  <c r="H139"/>
  <c r="G139"/>
  <c r="M155"/>
  <c r="L155"/>
  <c r="D155"/>
  <c r="B155"/>
  <c r="H155"/>
  <c r="G155"/>
  <c r="D171"/>
  <c r="B171"/>
  <c r="L24" i="36"/>
  <c r="D24"/>
  <c r="M24"/>
  <c r="N24" s="1"/>
  <c r="H24"/>
  <c r="B24"/>
  <c r="G24"/>
  <c r="I24" s="1"/>
  <c r="L56"/>
  <c r="D56"/>
  <c r="M56"/>
  <c r="H56"/>
  <c r="B56"/>
  <c r="G56"/>
  <c r="I56" s="1"/>
  <c r="M88"/>
  <c r="H88"/>
  <c r="B88"/>
  <c r="G88"/>
  <c r="I88" s="1"/>
  <c r="L88"/>
  <c r="N88" s="1"/>
  <c r="D88"/>
  <c r="M120"/>
  <c r="H120"/>
  <c r="B120"/>
  <c r="G120"/>
  <c r="I120" s="1"/>
  <c r="L120"/>
  <c r="N120" s="1"/>
  <c r="D120"/>
  <c r="D297"/>
  <c r="B297"/>
  <c r="D281"/>
  <c r="B281"/>
  <c r="D265"/>
  <c r="B265"/>
  <c r="D249"/>
  <c r="B249"/>
  <c r="D233"/>
  <c r="B233"/>
  <c r="D217"/>
  <c r="B217"/>
  <c r="D201"/>
  <c r="B201"/>
  <c r="D185"/>
  <c r="B185"/>
  <c r="D169"/>
  <c r="B169"/>
  <c r="M153"/>
  <c r="L153"/>
  <c r="D153"/>
  <c r="B153"/>
  <c r="H153"/>
  <c r="G153"/>
  <c r="M137"/>
  <c r="L137"/>
  <c r="D137"/>
  <c r="B137"/>
  <c r="H137"/>
  <c r="G137"/>
  <c r="G24" i="35"/>
  <c r="M24"/>
  <c r="H24"/>
  <c r="I24" s="1"/>
  <c r="B24"/>
  <c r="L24"/>
  <c r="D24"/>
  <c r="G40"/>
  <c r="M40"/>
  <c r="H40"/>
  <c r="I40" s="1"/>
  <c r="B40"/>
  <c r="L40"/>
  <c r="D40"/>
  <c r="G56"/>
  <c r="M56"/>
  <c r="H56"/>
  <c r="I56" s="1"/>
  <c r="B56"/>
  <c r="L56"/>
  <c r="D56"/>
  <c r="G72"/>
  <c r="M72"/>
  <c r="H72"/>
  <c r="I72" s="1"/>
  <c r="B72"/>
  <c r="L72"/>
  <c r="D72"/>
  <c r="G88"/>
  <c r="M88"/>
  <c r="H88"/>
  <c r="I88" s="1"/>
  <c r="B88"/>
  <c r="L88"/>
  <c r="D88"/>
  <c r="G104"/>
  <c r="M104"/>
  <c r="H104"/>
  <c r="I104" s="1"/>
  <c r="B104"/>
  <c r="L104"/>
  <c r="D104"/>
  <c r="G120"/>
  <c r="M120"/>
  <c r="H120"/>
  <c r="I120" s="1"/>
  <c r="B120"/>
  <c r="L120"/>
  <c r="D120"/>
  <c r="G136"/>
  <c r="M136"/>
  <c r="H136"/>
  <c r="I136" s="1"/>
  <c r="B136"/>
  <c r="L136"/>
  <c r="D136"/>
  <c r="G152"/>
  <c r="M152"/>
  <c r="H152"/>
  <c r="I152" s="1"/>
  <c r="B152"/>
  <c r="L152"/>
  <c r="D152"/>
  <c r="D168"/>
  <c r="B168"/>
  <c r="M15" i="36"/>
  <c r="L15"/>
  <c r="D15"/>
  <c r="B15"/>
  <c r="H15"/>
  <c r="G15"/>
  <c r="M47"/>
  <c r="L47"/>
  <c r="D47"/>
  <c r="B47"/>
  <c r="H47"/>
  <c r="G47"/>
  <c r="M79"/>
  <c r="L79"/>
  <c r="D79"/>
  <c r="B79"/>
  <c r="H79"/>
  <c r="G79"/>
  <c r="M111"/>
  <c r="L111"/>
  <c r="D111"/>
  <c r="B111"/>
  <c r="H111"/>
  <c r="G111"/>
  <c r="L12"/>
  <c r="D12"/>
  <c r="M12"/>
  <c r="H12"/>
  <c r="B12"/>
  <c r="G12"/>
  <c r="I12" s="1"/>
  <c r="I11"/>
  <c r="I17"/>
  <c r="O17" s="1"/>
  <c r="R17" s="1"/>
  <c r="I33"/>
  <c r="O33" s="1"/>
  <c r="R33" s="1"/>
  <c r="I49"/>
  <c r="O49" s="1"/>
  <c r="R49" s="1"/>
  <c r="I65"/>
  <c r="O65" s="1"/>
  <c r="R65" s="1"/>
  <c r="I81"/>
  <c r="O81" s="1"/>
  <c r="R81" s="1"/>
  <c r="I97"/>
  <c r="O97" s="1"/>
  <c r="R97" s="1"/>
  <c r="I113"/>
  <c r="O113" s="1"/>
  <c r="R113" s="1"/>
  <c r="O26"/>
  <c r="R26" s="1"/>
  <c r="O42"/>
  <c r="R42" s="1"/>
  <c r="O58"/>
  <c r="R58" s="1"/>
  <c r="I74"/>
  <c r="O74" s="1"/>
  <c r="R74" s="1"/>
  <c r="I90"/>
  <c r="O90" s="1"/>
  <c r="R90" s="1"/>
  <c r="I106"/>
  <c r="O106" s="1"/>
  <c r="R106" s="1"/>
  <c r="I122"/>
  <c r="O122" s="1"/>
  <c r="R122" s="1"/>
  <c r="I13"/>
  <c r="O13" s="1"/>
  <c r="R13" s="1"/>
  <c r="I29"/>
  <c r="I45"/>
  <c r="O45" s="1"/>
  <c r="R45" s="1"/>
  <c r="I61"/>
  <c r="O61" s="1"/>
  <c r="R61" s="1"/>
  <c r="I77"/>
  <c r="O77" s="1"/>
  <c r="R77" s="1"/>
  <c r="I93"/>
  <c r="O93" s="1"/>
  <c r="R93" s="1"/>
  <c r="I109"/>
  <c r="O109" s="1"/>
  <c r="R109" s="1"/>
  <c r="I125"/>
  <c r="O125" s="1"/>
  <c r="R125" s="1"/>
  <c r="O22"/>
  <c r="R22" s="1"/>
  <c r="O38"/>
  <c r="R38" s="1"/>
  <c r="O54"/>
  <c r="R54" s="1"/>
  <c r="O70"/>
  <c r="R70" s="1"/>
  <c r="I86"/>
  <c r="O86" s="1"/>
  <c r="R86" s="1"/>
  <c r="I102"/>
  <c r="O102" s="1"/>
  <c r="R102" s="1"/>
  <c r="I118"/>
  <c r="O118" s="1"/>
  <c r="R118" s="1"/>
  <c r="I25"/>
  <c r="O25" s="1"/>
  <c r="R25" s="1"/>
  <c r="I41"/>
  <c r="O41" s="1"/>
  <c r="R41" s="1"/>
  <c r="I57"/>
  <c r="O57" s="1"/>
  <c r="R57" s="1"/>
  <c r="I73"/>
  <c r="O73" s="1"/>
  <c r="R73" s="1"/>
  <c r="I89"/>
  <c r="O89" s="1"/>
  <c r="R89" s="1"/>
  <c r="I105"/>
  <c r="O105" s="1"/>
  <c r="R105" s="1"/>
  <c r="I121"/>
  <c r="O121" s="1"/>
  <c r="R121" s="1"/>
  <c r="O18"/>
  <c r="R18" s="1"/>
  <c r="O34"/>
  <c r="R34" s="1"/>
  <c r="O50"/>
  <c r="R50" s="1"/>
  <c r="O66"/>
  <c r="R66" s="1"/>
  <c r="I82"/>
  <c r="O82" s="1"/>
  <c r="R82" s="1"/>
  <c r="I98"/>
  <c r="O98" s="1"/>
  <c r="R98" s="1"/>
  <c r="I114"/>
  <c r="O114" s="1"/>
  <c r="R114" s="1"/>
  <c r="I21"/>
  <c r="O21" s="1"/>
  <c r="R21" s="1"/>
  <c r="I37"/>
  <c r="O37" s="1"/>
  <c r="R37" s="1"/>
  <c r="I53"/>
  <c r="O53" s="1"/>
  <c r="R53" s="1"/>
  <c r="I69"/>
  <c r="O69" s="1"/>
  <c r="R69" s="1"/>
  <c r="I85"/>
  <c r="O85" s="1"/>
  <c r="R85" s="1"/>
  <c r="I101"/>
  <c r="O101" s="1"/>
  <c r="R101" s="1"/>
  <c r="I117"/>
  <c r="O117" s="1"/>
  <c r="R117" s="1"/>
  <c r="O14"/>
  <c r="R14" s="1"/>
  <c r="O30"/>
  <c r="R30" s="1"/>
  <c r="O46"/>
  <c r="R46" s="1"/>
  <c r="O62"/>
  <c r="R62" s="1"/>
  <c r="I78"/>
  <c r="O78" s="1"/>
  <c r="R78" s="1"/>
  <c r="I94"/>
  <c r="O94" s="1"/>
  <c r="R94" s="1"/>
  <c r="I110"/>
  <c r="D274"/>
  <c r="B274"/>
  <c r="D242"/>
  <c r="B242"/>
  <c r="B210"/>
  <c r="D210"/>
  <c r="B194"/>
  <c r="D194"/>
  <c r="M162"/>
  <c r="G162"/>
  <c r="H162"/>
  <c r="B162"/>
  <c r="L162"/>
  <c r="N162" s="1"/>
  <c r="D162"/>
  <c r="M146"/>
  <c r="G146"/>
  <c r="H146"/>
  <c r="B146"/>
  <c r="L146"/>
  <c r="N146" s="1"/>
  <c r="D146"/>
  <c r="M130"/>
  <c r="G130"/>
  <c r="H130"/>
  <c r="B130"/>
  <c r="L130"/>
  <c r="N130" s="1"/>
  <c r="D130"/>
  <c r="M33" i="35"/>
  <c r="L33"/>
  <c r="D33"/>
  <c r="B33"/>
  <c r="H33"/>
  <c r="G33"/>
  <c r="M49"/>
  <c r="L49"/>
  <c r="D49"/>
  <c r="B49"/>
  <c r="H49"/>
  <c r="G49"/>
  <c r="M65"/>
  <c r="L65"/>
  <c r="D65"/>
  <c r="B65"/>
  <c r="H65"/>
  <c r="G65"/>
  <c r="M81"/>
  <c r="L81"/>
  <c r="D81"/>
  <c r="B81"/>
  <c r="H81"/>
  <c r="G81"/>
  <c r="M97"/>
  <c r="L97"/>
  <c r="D97"/>
  <c r="B97"/>
  <c r="H97"/>
  <c r="G97"/>
  <c r="M113"/>
  <c r="L113"/>
  <c r="D113"/>
  <c r="B113"/>
  <c r="H113"/>
  <c r="G113"/>
  <c r="M129"/>
  <c r="L129"/>
  <c r="D129"/>
  <c r="B129"/>
  <c r="H129"/>
  <c r="G129"/>
  <c r="M145"/>
  <c r="L145"/>
  <c r="D145"/>
  <c r="B145"/>
  <c r="H145"/>
  <c r="G145"/>
  <c r="M161"/>
  <c r="L161"/>
  <c r="D161"/>
  <c r="B161"/>
  <c r="H161"/>
  <c r="G161"/>
  <c r="L36" i="36"/>
  <c r="D36"/>
  <c r="M36"/>
  <c r="N36" s="1"/>
  <c r="H36"/>
  <c r="B36"/>
  <c r="G36"/>
  <c r="I36" s="1"/>
  <c r="L68"/>
  <c r="D68"/>
  <c r="M68"/>
  <c r="N68" s="1"/>
  <c r="H68"/>
  <c r="B68"/>
  <c r="G68"/>
  <c r="I68" s="1"/>
  <c r="D295"/>
  <c r="B295"/>
  <c r="D263"/>
  <c r="B263"/>
  <c r="D231"/>
  <c r="B231"/>
  <c r="D199"/>
  <c r="B199"/>
  <c r="M167"/>
  <c r="L167"/>
  <c r="D167"/>
  <c r="B167"/>
  <c r="H167"/>
  <c r="G167"/>
  <c r="M151"/>
  <c r="L151"/>
  <c r="D151"/>
  <c r="B151"/>
  <c r="H151"/>
  <c r="G151"/>
  <c r="M135"/>
  <c r="L135"/>
  <c r="D135"/>
  <c r="B135"/>
  <c r="H135"/>
  <c r="G135"/>
  <c r="G18" i="35"/>
  <c r="M18"/>
  <c r="H18"/>
  <c r="I18" s="1"/>
  <c r="B18"/>
  <c r="L18"/>
  <c r="D18"/>
  <c r="G34"/>
  <c r="M34"/>
  <c r="H34"/>
  <c r="I34" s="1"/>
  <c r="B34"/>
  <c r="L34"/>
  <c r="D34"/>
  <c r="G50"/>
  <c r="M50"/>
  <c r="H50"/>
  <c r="I50" s="1"/>
  <c r="B50"/>
  <c r="L50"/>
  <c r="D50"/>
  <c r="G66"/>
  <c r="M66"/>
  <c r="H66"/>
  <c r="I66" s="1"/>
  <c r="B66"/>
  <c r="L66"/>
  <c r="D66"/>
  <c r="G82"/>
  <c r="M82"/>
  <c r="H82"/>
  <c r="B82"/>
  <c r="L82"/>
  <c r="D82"/>
  <c r="G98"/>
  <c r="M98"/>
  <c r="H98"/>
  <c r="I98" s="1"/>
  <c r="B98"/>
  <c r="L98"/>
  <c r="D98"/>
  <c r="G114"/>
  <c r="M114"/>
  <c r="H114"/>
  <c r="I114" s="1"/>
  <c r="B114"/>
  <c r="L114"/>
  <c r="D114"/>
  <c r="G130"/>
  <c r="M130"/>
  <c r="H130"/>
  <c r="I130" s="1"/>
  <c r="B130"/>
  <c r="L130"/>
  <c r="D130"/>
  <c r="G146"/>
  <c r="M146"/>
  <c r="H146"/>
  <c r="B146"/>
  <c r="L146"/>
  <c r="D146"/>
  <c r="G162"/>
  <c r="M162"/>
  <c r="H162"/>
  <c r="I162" s="1"/>
  <c r="B162"/>
  <c r="L162"/>
  <c r="D162"/>
  <c r="M35" i="36"/>
  <c r="L35"/>
  <c r="D35"/>
  <c r="B35"/>
  <c r="H35"/>
  <c r="G35"/>
  <c r="M99"/>
  <c r="L99"/>
  <c r="D99"/>
  <c r="B99"/>
  <c r="H99"/>
  <c r="G99"/>
  <c r="D284"/>
  <c r="B284"/>
  <c r="D268"/>
  <c r="B268"/>
  <c r="D252"/>
  <c r="B252"/>
  <c r="D236"/>
  <c r="B236"/>
  <c r="B220"/>
  <c r="D220"/>
  <c r="B204"/>
  <c r="D204"/>
  <c r="B188"/>
  <c r="D188"/>
  <c r="B172"/>
  <c r="D172"/>
  <c r="M156"/>
  <c r="H156"/>
  <c r="B156"/>
  <c r="G156"/>
  <c r="I156" s="1"/>
  <c r="L156"/>
  <c r="D156"/>
  <c r="M140"/>
  <c r="H140"/>
  <c r="B140"/>
  <c r="G140"/>
  <c r="I140" s="1"/>
  <c r="L140"/>
  <c r="N140" s="1"/>
  <c r="D140"/>
  <c r="M31" i="35"/>
  <c r="L31"/>
  <c r="D31"/>
  <c r="B31"/>
  <c r="H31"/>
  <c r="G31"/>
  <c r="M47"/>
  <c r="L47"/>
  <c r="D47"/>
  <c r="B47"/>
  <c r="H47"/>
  <c r="G47"/>
  <c r="M63"/>
  <c r="L63"/>
  <c r="D63"/>
  <c r="B63"/>
  <c r="H63"/>
  <c r="G63"/>
  <c r="M79"/>
  <c r="L79"/>
  <c r="D79"/>
  <c r="B79"/>
  <c r="H79"/>
  <c r="G79"/>
  <c r="M95"/>
  <c r="L95"/>
  <c r="D95"/>
  <c r="B95"/>
  <c r="H95"/>
  <c r="G95"/>
  <c r="M111"/>
  <c r="L111"/>
  <c r="D111"/>
  <c r="B111"/>
  <c r="H111"/>
  <c r="G111"/>
  <c r="M127"/>
  <c r="L127"/>
  <c r="D127"/>
  <c r="B127"/>
  <c r="H127"/>
  <c r="G127"/>
  <c r="M143"/>
  <c r="L143"/>
  <c r="D143"/>
  <c r="B143"/>
  <c r="H143"/>
  <c r="G143"/>
  <c r="M159"/>
  <c r="L159"/>
  <c r="D159"/>
  <c r="B159"/>
  <c r="H159"/>
  <c r="G159"/>
  <c r="D175"/>
  <c r="B175"/>
  <c r="L32" i="36"/>
  <c r="D32"/>
  <c r="M32"/>
  <c r="N32" s="1"/>
  <c r="H32"/>
  <c r="B32"/>
  <c r="G32"/>
  <c r="L64"/>
  <c r="D64"/>
  <c r="M64"/>
  <c r="H64"/>
  <c r="B64"/>
  <c r="G64"/>
  <c r="I64" s="1"/>
  <c r="M96"/>
  <c r="H96"/>
  <c r="B96"/>
  <c r="G96"/>
  <c r="I96" s="1"/>
  <c r="L96"/>
  <c r="D96"/>
  <c r="D285"/>
  <c r="B285"/>
  <c r="D269"/>
  <c r="B269"/>
  <c r="D253"/>
  <c r="B253"/>
  <c r="D237"/>
  <c r="B237"/>
  <c r="D221"/>
  <c r="B221"/>
  <c r="D205"/>
  <c r="B205"/>
  <c r="D189"/>
  <c r="B189"/>
  <c r="D173"/>
  <c r="B173"/>
  <c r="M157"/>
  <c r="L157"/>
  <c r="D157"/>
  <c r="B157"/>
  <c r="H157"/>
  <c r="G157"/>
  <c r="M141"/>
  <c r="L141"/>
  <c r="D141"/>
  <c r="B141"/>
  <c r="H141"/>
  <c r="G141"/>
  <c r="G28" i="35"/>
  <c r="M28"/>
  <c r="H28"/>
  <c r="B28"/>
  <c r="L28"/>
  <c r="D28"/>
  <c r="G44"/>
  <c r="M44"/>
  <c r="H44"/>
  <c r="B44"/>
  <c r="L44"/>
  <c r="D44"/>
  <c r="G60"/>
  <c r="M60"/>
  <c r="H60"/>
  <c r="B60"/>
  <c r="L60"/>
  <c r="D60"/>
  <c r="G76"/>
  <c r="M76"/>
  <c r="H76"/>
  <c r="B76"/>
  <c r="L76"/>
  <c r="D76"/>
  <c r="G92"/>
  <c r="M92"/>
  <c r="H92"/>
  <c r="B92"/>
  <c r="L92"/>
  <c r="D92"/>
  <c r="G108"/>
  <c r="M108"/>
  <c r="H108"/>
  <c r="B108"/>
  <c r="L108"/>
  <c r="D108"/>
  <c r="G124"/>
  <c r="M124"/>
  <c r="H124"/>
  <c r="B124"/>
  <c r="L124"/>
  <c r="D124"/>
  <c r="G140"/>
  <c r="M140"/>
  <c r="H140"/>
  <c r="I140" s="1"/>
  <c r="B140"/>
  <c r="L140"/>
  <c r="D140"/>
  <c r="G156"/>
  <c r="M156"/>
  <c r="H156"/>
  <c r="B156"/>
  <c r="L156"/>
  <c r="D156"/>
  <c r="D172"/>
  <c r="B172"/>
  <c r="M23" i="36"/>
  <c r="L23"/>
  <c r="D23"/>
  <c r="B23"/>
  <c r="H23"/>
  <c r="G23"/>
  <c r="M55"/>
  <c r="L55"/>
  <c r="D55"/>
  <c r="B55"/>
  <c r="H55"/>
  <c r="G55"/>
  <c r="M87"/>
  <c r="L87"/>
  <c r="D87"/>
  <c r="B87"/>
  <c r="H87"/>
  <c r="G87"/>
  <c r="M119"/>
  <c r="L119"/>
  <c r="D119"/>
  <c r="B119"/>
  <c r="H119"/>
  <c r="G119"/>
  <c r="D286"/>
  <c r="B286"/>
  <c r="D270"/>
  <c r="B270"/>
  <c r="D254"/>
  <c r="B254"/>
  <c r="D238"/>
  <c r="B238"/>
  <c r="B222"/>
  <c r="D222"/>
  <c r="B206"/>
  <c r="D206"/>
  <c r="B190"/>
  <c r="D190"/>
  <c r="B174"/>
  <c r="D174"/>
  <c r="M158"/>
  <c r="G158"/>
  <c r="H158"/>
  <c r="B158"/>
  <c r="L158"/>
  <c r="N158" s="1"/>
  <c r="D158"/>
  <c r="M142"/>
  <c r="G142"/>
  <c r="H142"/>
  <c r="B142"/>
  <c r="L142"/>
  <c r="N142" s="1"/>
  <c r="D142"/>
  <c r="M126"/>
  <c r="G126"/>
  <c r="H126"/>
  <c r="B126"/>
  <c r="L126"/>
  <c r="N126" s="1"/>
  <c r="D126"/>
  <c r="M29" i="35"/>
  <c r="L29"/>
  <c r="D29"/>
  <c r="B29"/>
  <c r="H29"/>
  <c r="G29"/>
  <c r="M45"/>
  <c r="L45"/>
  <c r="D45"/>
  <c r="B45"/>
  <c r="H45"/>
  <c r="G45"/>
  <c r="M61"/>
  <c r="L61"/>
  <c r="D61"/>
  <c r="B61"/>
  <c r="H61"/>
  <c r="G61"/>
  <c r="M77"/>
  <c r="L77"/>
  <c r="D77"/>
  <c r="B77"/>
  <c r="H77"/>
  <c r="G77"/>
  <c r="M93"/>
  <c r="L93"/>
  <c r="D93"/>
  <c r="B93"/>
  <c r="H93"/>
  <c r="G93"/>
  <c r="M109"/>
  <c r="L109"/>
  <c r="D109"/>
  <c r="B109"/>
  <c r="H109"/>
  <c r="G109"/>
  <c r="M125"/>
  <c r="L125"/>
  <c r="D125"/>
  <c r="B125"/>
  <c r="H125"/>
  <c r="G125"/>
  <c r="M141"/>
  <c r="L141"/>
  <c r="D141"/>
  <c r="B141"/>
  <c r="H141"/>
  <c r="G141"/>
  <c r="M157"/>
  <c r="L157"/>
  <c r="D157"/>
  <c r="B157"/>
  <c r="H157"/>
  <c r="G157"/>
  <c r="D173"/>
  <c r="B173"/>
  <c r="L28" i="36"/>
  <c r="D28"/>
  <c r="M28"/>
  <c r="H28"/>
  <c r="B28"/>
  <c r="G28"/>
  <c r="I28" s="1"/>
  <c r="L60"/>
  <c r="D60"/>
  <c r="M60"/>
  <c r="H60"/>
  <c r="B60"/>
  <c r="G60"/>
  <c r="I60" s="1"/>
  <c r="M92"/>
  <c r="H92"/>
  <c r="B92"/>
  <c r="G92"/>
  <c r="I92" s="1"/>
  <c r="L92"/>
  <c r="D92"/>
  <c r="M124"/>
  <c r="H124"/>
  <c r="B124"/>
  <c r="G124"/>
  <c r="I124" s="1"/>
  <c r="L124"/>
  <c r="D124"/>
  <c r="D291"/>
  <c r="B291"/>
  <c r="D275"/>
  <c r="B275"/>
  <c r="D259"/>
  <c r="B259"/>
  <c r="D243"/>
  <c r="B243"/>
  <c r="D227"/>
  <c r="B227"/>
  <c r="D211"/>
  <c r="B211"/>
  <c r="D195"/>
  <c r="B195"/>
  <c r="D179"/>
  <c r="B179"/>
  <c r="M163"/>
  <c r="L163"/>
  <c r="D163"/>
  <c r="B163"/>
  <c r="H163"/>
  <c r="G163"/>
  <c r="M147"/>
  <c r="L147"/>
  <c r="D147"/>
  <c r="B147"/>
  <c r="H147"/>
  <c r="G147"/>
  <c r="M131"/>
  <c r="L131"/>
  <c r="D131"/>
  <c r="B131"/>
  <c r="H131"/>
  <c r="G131"/>
  <c r="G30" i="35"/>
  <c r="M30"/>
  <c r="H30"/>
  <c r="B30"/>
  <c r="L30"/>
  <c r="D30"/>
  <c r="G46"/>
  <c r="M46"/>
  <c r="H46"/>
  <c r="B46"/>
  <c r="L46"/>
  <c r="D46"/>
  <c r="G62"/>
  <c r="M62"/>
  <c r="H62"/>
  <c r="B62"/>
  <c r="L62"/>
  <c r="D62"/>
  <c r="G78"/>
  <c r="M78"/>
  <c r="H78"/>
  <c r="B78"/>
  <c r="L78"/>
  <c r="D78"/>
  <c r="G94"/>
  <c r="M94"/>
  <c r="H94"/>
  <c r="B94"/>
  <c r="L94"/>
  <c r="D94"/>
  <c r="G110"/>
  <c r="M110"/>
  <c r="H110"/>
  <c r="B110"/>
  <c r="L110"/>
  <c r="D110"/>
  <c r="G126"/>
  <c r="M126"/>
  <c r="H126"/>
  <c r="B126"/>
  <c r="L126"/>
  <c r="D126"/>
  <c r="G142"/>
  <c r="M142"/>
  <c r="H142"/>
  <c r="B142"/>
  <c r="L142"/>
  <c r="D142"/>
  <c r="G158"/>
  <c r="M158"/>
  <c r="H158"/>
  <c r="B158"/>
  <c r="L158"/>
  <c r="D158"/>
  <c r="D174"/>
  <c r="B174"/>
  <c r="M27" i="36"/>
  <c r="L27"/>
  <c r="D27"/>
  <c r="B27"/>
  <c r="H27"/>
  <c r="G27"/>
  <c r="M59"/>
  <c r="L59"/>
  <c r="D59"/>
  <c r="B59"/>
  <c r="H59"/>
  <c r="G59"/>
  <c r="M91"/>
  <c r="L91"/>
  <c r="D91"/>
  <c r="B91"/>
  <c r="H91"/>
  <c r="G91"/>
  <c r="M123"/>
  <c r="L123"/>
  <c r="D123"/>
  <c r="B123"/>
  <c r="H123"/>
  <c r="G123"/>
  <c r="D296"/>
  <c r="B296"/>
  <c r="D280"/>
  <c r="B280"/>
  <c r="D264"/>
  <c r="B264"/>
  <c r="D248"/>
  <c r="B248"/>
  <c r="D232"/>
  <c r="B232"/>
  <c r="B216"/>
  <c r="D216"/>
  <c r="B200"/>
  <c r="D200"/>
  <c r="B184"/>
  <c r="D184"/>
  <c r="B168"/>
  <c r="D168"/>
  <c r="M152"/>
  <c r="H152"/>
  <c r="B152"/>
  <c r="G152"/>
  <c r="I152" s="1"/>
  <c r="L152"/>
  <c r="D152"/>
  <c r="M136"/>
  <c r="H136"/>
  <c r="B136"/>
  <c r="G136"/>
  <c r="I136" s="1"/>
  <c r="L136"/>
  <c r="D136"/>
  <c r="M19" i="35"/>
  <c r="L19"/>
  <c r="D19"/>
  <c r="B19"/>
  <c r="H19"/>
  <c r="G19"/>
  <c r="M35"/>
  <c r="L35"/>
  <c r="D35"/>
  <c r="B35"/>
  <c r="H35"/>
  <c r="G35"/>
  <c r="M51"/>
  <c r="L51"/>
  <c r="D51"/>
  <c r="B51"/>
  <c r="H51"/>
  <c r="G51"/>
  <c r="M67"/>
  <c r="L67"/>
  <c r="D67"/>
  <c r="B67"/>
  <c r="H67"/>
  <c r="G67"/>
  <c r="M83"/>
  <c r="L83"/>
  <c r="D83"/>
  <c r="B83"/>
  <c r="H83"/>
  <c r="G83"/>
  <c r="M99"/>
  <c r="L99"/>
  <c r="D99"/>
  <c r="B99"/>
  <c r="H99"/>
  <c r="G99"/>
  <c r="M115"/>
  <c r="L115"/>
  <c r="D115"/>
  <c r="B115"/>
  <c r="H115"/>
  <c r="G115"/>
  <c r="M131"/>
  <c r="L131"/>
  <c r="D131"/>
  <c r="B131"/>
  <c r="H131"/>
  <c r="G131"/>
  <c r="M147"/>
  <c r="L147"/>
  <c r="D147"/>
  <c r="B147"/>
  <c r="H147"/>
  <c r="G147"/>
  <c r="M163"/>
  <c r="L163"/>
  <c r="B163"/>
  <c r="H163"/>
  <c r="G163"/>
  <c r="D179"/>
  <c r="B179"/>
  <c r="L40" i="36"/>
  <c r="D40"/>
  <c r="M40"/>
  <c r="H40"/>
  <c r="B40"/>
  <c r="G40"/>
  <c r="L72"/>
  <c r="D72"/>
  <c r="M72"/>
  <c r="H72"/>
  <c r="B72"/>
  <c r="G72"/>
  <c r="M104"/>
  <c r="H104"/>
  <c r="B104"/>
  <c r="G104"/>
  <c r="L104"/>
  <c r="D104"/>
  <c r="D289"/>
  <c r="B289"/>
  <c r="D273"/>
  <c r="B273"/>
  <c r="D257"/>
  <c r="B257"/>
  <c r="D241"/>
  <c r="B241"/>
  <c r="D225"/>
  <c r="B225"/>
  <c r="D209"/>
  <c r="B209"/>
  <c r="D193"/>
  <c r="B193"/>
  <c r="D177"/>
  <c r="B177"/>
  <c r="M161"/>
  <c r="L161"/>
  <c r="D161"/>
  <c r="B161"/>
  <c r="H161"/>
  <c r="G161"/>
  <c r="M145"/>
  <c r="L145"/>
  <c r="D145"/>
  <c r="B145"/>
  <c r="H145"/>
  <c r="G145"/>
  <c r="M129"/>
  <c r="L129"/>
  <c r="D129"/>
  <c r="B129"/>
  <c r="H129"/>
  <c r="G129"/>
  <c r="G32" i="35"/>
  <c r="M32"/>
  <c r="H32"/>
  <c r="B32"/>
  <c r="L32"/>
  <c r="D32"/>
  <c r="G48"/>
  <c r="M48"/>
  <c r="H48"/>
  <c r="B48"/>
  <c r="L48"/>
  <c r="D48"/>
  <c r="G64"/>
  <c r="M64"/>
  <c r="H64"/>
  <c r="B64"/>
  <c r="L64"/>
  <c r="D64"/>
  <c r="G80"/>
  <c r="M80"/>
  <c r="H80"/>
  <c r="B80"/>
  <c r="L80"/>
  <c r="D80"/>
  <c r="G96"/>
  <c r="M96"/>
  <c r="H96"/>
  <c r="B96"/>
  <c r="L96"/>
  <c r="D96"/>
  <c r="G112"/>
  <c r="M112"/>
  <c r="H112"/>
  <c r="B112"/>
  <c r="L112"/>
  <c r="D112"/>
  <c r="G128"/>
  <c r="M128"/>
  <c r="H128"/>
  <c r="B128"/>
  <c r="L128"/>
  <c r="D128"/>
  <c r="G144"/>
  <c r="M144"/>
  <c r="H144"/>
  <c r="B144"/>
  <c r="L144"/>
  <c r="D144"/>
  <c r="G160"/>
  <c r="M160"/>
  <c r="H160"/>
  <c r="B160"/>
  <c r="L160"/>
  <c r="D160"/>
  <c r="D176"/>
  <c r="B176"/>
  <c r="M31" i="36"/>
  <c r="L31"/>
  <c r="D31"/>
  <c r="B31"/>
  <c r="H31"/>
  <c r="G31"/>
  <c r="M63"/>
  <c r="L63"/>
  <c r="D63"/>
  <c r="B63"/>
  <c r="H63"/>
  <c r="G63"/>
  <c r="M95"/>
  <c r="L95"/>
  <c r="D95"/>
  <c r="B95"/>
  <c r="H95"/>
  <c r="G95"/>
  <c r="M12" i="35"/>
  <c r="H12"/>
  <c r="L12"/>
  <c r="D12"/>
  <c r="B12"/>
  <c r="G12"/>
  <c r="N11"/>
  <c r="X1" i="21"/>
  <c r="N17" i="35"/>
  <c r="U17" s="1"/>
  <c r="O15"/>
  <c r="R15" s="1"/>
  <c r="O11"/>
  <c r="R11" s="1"/>
  <c r="N16"/>
  <c r="O16" s="1"/>
  <c r="R16" s="1"/>
  <c r="O13"/>
  <c r="R13" s="1"/>
  <c r="N14"/>
  <c r="O14" s="1"/>
  <c r="R14" s="1"/>
  <c r="S179" i="7"/>
  <c r="T179" s="1"/>
  <c r="AA27" i="6"/>
  <c r="AA65"/>
  <c r="S163" i="7"/>
  <c r="T163" s="1"/>
  <c r="AA11" i="6"/>
  <c r="AA55"/>
  <c r="O6" i="26"/>
  <c r="N7" s="1"/>
  <c r="AA29" i="6"/>
  <c r="AA8"/>
  <c r="AA24"/>
  <c r="AA71"/>
  <c r="N47" i="38"/>
  <c r="K48"/>
  <c r="J47"/>
  <c r="J48" s="1"/>
  <c r="M340" i="22"/>
  <c r="M467" s="1"/>
  <c r="L103" i="38"/>
  <c r="M102"/>
  <c r="M103" s="1"/>
  <c r="M341" i="22"/>
  <c r="M242"/>
  <c r="K158" i="38"/>
  <c r="L2" i="22"/>
  <c r="L3" s="1"/>
  <c r="AA129" i="6"/>
  <c r="AA51"/>
  <c r="AA15"/>
  <c r="AA124"/>
  <c r="AA9"/>
  <c r="N10" i="28"/>
  <c r="O10"/>
  <c r="G101" i="26"/>
  <c r="F102" s="1"/>
  <c r="V70" i="6"/>
  <c r="H70" i="7" s="1"/>
  <c r="W70" i="6"/>
  <c r="I70" i="7" s="1"/>
  <c r="M106"/>
  <c r="L106"/>
  <c r="V10" i="6"/>
  <c r="W10"/>
  <c r="I10" i="7" s="1"/>
  <c r="V87" i="6"/>
  <c r="H87" i="7" s="1"/>
  <c r="W87" i="6"/>
  <c r="I87" i="7" s="1"/>
  <c r="S185" i="6"/>
  <c r="T185" s="1"/>
  <c r="R185"/>
  <c r="U197" i="7"/>
  <c r="W197" s="1"/>
  <c r="I197" i="8" s="1"/>
  <c r="S142" i="7"/>
  <c r="T142" s="1"/>
  <c r="R142"/>
  <c r="S158"/>
  <c r="T158" s="1"/>
  <c r="R158"/>
  <c r="D110" i="37"/>
  <c r="F110" s="1"/>
  <c r="S144" i="7"/>
  <c r="T144" s="1"/>
  <c r="R144"/>
  <c r="S160"/>
  <c r="T160" s="1"/>
  <c r="R160"/>
  <c r="S199"/>
  <c r="T199" s="1"/>
  <c r="R199"/>
  <c r="S205"/>
  <c r="T205" s="1"/>
  <c r="R205"/>
  <c r="S213"/>
  <c r="T213" s="1"/>
  <c r="R213"/>
  <c r="V36" i="6"/>
  <c r="W36"/>
  <c r="I36" i="7" s="1"/>
  <c r="M42"/>
  <c r="L42"/>
  <c r="M46"/>
  <c r="L46"/>
  <c r="V107" i="6"/>
  <c r="H107" i="7" s="1"/>
  <c r="W107" i="6"/>
  <c r="I107" i="7" s="1"/>
  <c r="M121"/>
  <c r="L121"/>
  <c r="W125" i="6"/>
  <c r="I125" i="7" s="1"/>
  <c r="V125" i="6"/>
  <c r="H31" i="7"/>
  <c r="I16" i="4"/>
  <c r="I17" s="1"/>
  <c r="V50" i="6"/>
  <c r="H50" i="7" s="1"/>
  <c r="W50" i="6"/>
  <c r="I50" i="7" s="1"/>
  <c r="V64" i="6"/>
  <c r="H64" i="7" s="1"/>
  <c r="W64" i="6"/>
  <c r="I64" i="7" s="1"/>
  <c r="V78" i="6"/>
  <c r="H78" i="7" s="1"/>
  <c r="W78" i="6"/>
  <c r="I78" i="7" s="1"/>
  <c r="V82" i="6"/>
  <c r="W82"/>
  <c r="I82" i="7" s="1"/>
  <c r="V92" i="6"/>
  <c r="H92" i="7" s="1"/>
  <c r="W92" i="6"/>
  <c r="I92" i="7" s="1"/>
  <c r="V100" i="6"/>
  <c r="W100"/>
  <c r="I100" i="7" s="1"/>
  <c r="V20" i="6"/>
  <c r="H20" i="7" s="1"/>
  <c r="W20" i="6"/>
  <c r="I20" i="7" s="1"/>
  <c r="M47"/>
  <c r="L47"/>
  <c r="M63"/>
  <c r="L63"/>
  <c r="V91" i="6"/>
  <c r="H91" i="7" s="1"/>
  <c r="W91" i="6"/>
  <c r="I91" i="7" s="1"/>
  <c r="V99" i="6"/>
  <c r="H99" i="7" s="1"/>
  <c r="W99" i="6"/>
  <c r="I99" i="7" s="1"/>
  <c r="W109" i="6"/>
  <c r="I109" i="7" s="1"/>
  <c r="V109" i="6"/>
  <c r="S141" i="7"/>
  <c r="T141" s="1"/>
  <c r="R141"/>
  <c r="S157"/>
  <c r="T157" s="1"/>
  <c r="R157"/>
  <c r="D109" i="37"/>
  <c r="S162" i="6"/>
  <c r="T162" s="1"/>
  <c r="R162"/>
  <c r="S156" i="7"/>
  <c r="T156" s="1"/>
  <c r="R156"/>
  <c r="S207"/>
  <c r="T207" s="1"/>
  <c r="R207"/>
  <c r="H13"/>
  <c r="J14" i="1"/>
  <c r="K14" s="1"/>
  <c r="AA13" i="6"/>
  <c r="T197"/>
  <c r="F267" i="26"/>
  <c r="F154"/>
  <c r="G103"/>
  <c r="S182" i="7"/>
  <c r="T182" s="1"/>
  <c r="R182"/>
  <c r="S206"/>
  <c r="T206" s="1"/>
  <c r="R206"/>
  <c r="S214"/>
  <c r="T214" s="1"/>
  <c r="R214"/>
  <c r="S184"/>
  <c r="T184" s="1"/>
  <c r="R184"/>
  <c r="S195"/>
  <c r="T195" s="1"/>
  <c r="R195"/>
  <c r="V25" i="6"/>
  <c r="W25"/>
  <c r="I25" i="7" s="1"/>
  <c r="M33"/>
  <c r="L33"/>
  <c r="H56" i="29"/>
  <c r="H60" s="1"/>
  <c r="I42"/>
  <c r="I44" s="1"/>
  <c r="M124" i="7"/>
  <c r="L124"/>
  <c r="W136" i="6"/>
  <c r="I136" i="7" s="1"/>
  <c r="V136" i="6"/>
  <c r="W12"/>
  <c r="I12" i="7" s="1"/>
  <c r="V12" i="6"/>
  <c r="W118"/>
  <c r="I118" i="7" s="1"/>
  <c r="V118" i="6"/>
  <c r="H118" i="7" s="1"/>
  <c r="W126" i="6"/>
  <c r="I126" i="7" s="1"/>
  <c r="V126" i="6"/>
  <c r="H126" i="7" s="1"/>
  <c r="W138" i="6"/>
  <c r="I138" i="7" s="1"/>
  <c r="V138" i="6"/>
  <c r="S145"/>
  <c r="T145" s="1"/>
  <c r="R145"/>
  <c r="S161"/>
  <c r="T161" s="1"/>
  <c r="R161"/>
  <c r="S177"/>
  <c r="T177" s="1"/>
  <c r="R177"/>
  <c r="S170"/>
  <c r="T170" s="1"/>
  <c r="R170"/>
  <c r="S188"/>
  <c r="T188" s="1"/>
  <c r="R188"/>
  <c r="H15" i="7"/>
  <c r="J16" i="1"/>
  <c r="K16" s="1"/>
  <c r="U204" i="6"/>
  <c r="W204" s="1"/>
  <c r="U192" i="7"/>
  <c r="W192" s="1"/>
  <c r="I192" i="8" s="1"/>
  <c r="U208" i="7"/>
  <c r="W208" s="1"/>
  <c r="I208" i="8" s="1"/>
  <c r="W215" i="7"/>
  <c r="I215" i="8" s="1"/>
  <c r="V215" i="7"/>
  <c r="H215" i="8" s="1"/>
  <c r="S142" i="6"/>
  <c r="T142" s="1"/>
  <c r="R142"/>
  <c r="S158"/>
  <c r="T158" s="1"/>
  <c r="D96" i="37"/>
  <c r="F96" s="1"/>
  <c r="R158" i="6"/>
  <c r="S190"/>
  <c r="T190" s="1"/>
  <c r="R190"/>
  <c r="S144"/>
  <c r="T144" s="1"/>
  <c r="R144"/>
  <c r="S160"/>
  <c r="T160" s="1"/>
  <c r="R160"/>
  <c r="S199"/>
  <c r="T199" s="1"/>
  <c r="R199"/>
  <c r="S205"/>
  <c r="T205" s="1"/>
  <c r="R205"/>
  <c r="S213"/>
  <c r="T213" s="1"/>
  <c r="R213"/>
  <c r="H7" i="7"/>
  <c r="J8" i="1"/>
  <c r="K8" s="1"/>
  <c r="M29" i="7"/>
  <c r="L29"/>
  <c r="V58" i="6"/>
  <c r="E18" i="27" s="1"/>
  <c r="F9" s="1"/>
  <c r="W58" i="6"/>
  <c r="I58" i="7" s="1"/>
  <c r="M62"/>
  <c r="L62"/>
  <c r="V48" i="6"/>
  <c r="H48" i="7" s="1"/>
  <c r="W48" i="6"/>
  <c r="I48" i="7" s="1"/>
  <c r="V52" i="6"/>
  <c r="H52" i="7" s="1"/>
  <c r="W52" i="6"/>
  <c r="I52" i="7" s="1"/>
  <c r="V56" i="6"/>
  <c r="H56" i="7" s="1"/>
  <c r="W56" i="6"/>
  <c r="I56" i="7" s="1"/>
  <c r="V66" i="6"/>
  <c r="H66" i="7" s="1"/>
  <c r="W66" i="6"/>
  <c r="I66" i="7" s="1"/>
  <c r="V76" i="6"/>
  <c r="H76" i="7" s="1"/>
  <c r="W76" i="6"/>
  <c r="I76" i="7" s="1"/>
  <c r="V80" i="6"/>
  <c r="H80" i="7" s="1"/>
  <c r="W80" i="6"/>
  <c r="I80" i="7" s="1"/>
  <c r="V86" i="6"/>
  <c r="H86" i="7" s="1"/>
  <c r="W86" i="6"/>
  <c r="I86" i="7" s="1"/>
  <c r="V90" i="6"/>
  <c r="H90" i="7" s="1"/>
  <c r="W90" i="6"/>
  <c r="I90" i="7" s="1"/>
  <c r="V94" i="6"/>
  <c r="H94" i="7" s="1"/>
  <c r="W94" i="6"/>
  <c r="I94" i="7" s="1"/>
  <c r="V98" i="6"/>
  <c r="H98" i="7" s="1"/>
  <c r="W98" i="6"/>
  <c r="I98" i="7" s="1"/>
  <c r="V108" i="6"/>
  <c r="W108"/>
  <c r="I108" i="7" s="1"/>
  <c r="V39" i="6"/>
  <c r="H39" i="7" s="1"/>
  <c r="W39" i="6"/>
  <c r="I39" i="7" s="1"/>
  <c r="V67" i="6"/>
  <c r="W67"/>
  <c r="I67" i="7" s="1"/>
  <c r="M75"/>
  <c r="L75"/>
  <c r="V95" i="6"/>
  <c r="H95" i="7" s="1"/>
  <c r="W95" i="6"/>
  <c r="I95" i="7" s="1"/>
  <c r="V103" i="6"/>
  <c r="W103"/>
  <c r="I103" i="7" s="1"/>
  <c r="V117" i="6"/>
  <c r="W117"/>
  <c r="V43"/>
  <c r="H43" i="7" s="1"/>
  <c r="W43" i="6"/>
  <c r="I43" i="7" s="1"/>
  <c r="V53" i="6"/>
  <c r="H53" i="7" s="1"/>
  <c r="W53" i="6"/>
  <c r="I53" i="7" s="1"/>
  <c r="V59" i="6"/>
  <c r="H59" i="7" s="1"/>
  <c r="W59" i="6"/>
  <c r="I59" i="7" s="1"/>
  <c r="S149"/>
  <c r="T149" s="1"/>
  <c r="R149"/>
  <c r="S165"/>
  <c r="T165" s="1"/>
  <c r="R165"/>
  <c r="S181"/>
  <c r="T181" s="1"/>
  <c r="R181"/>
  <c r="S146"/>
  <c r="T146" s="1"/>
  <c r="R146"/>
  <c r="S162"/>
  <c r="T162" s="1"/>
  <c r="R162"/>
  <c r="S186"/>
  <c r="T186" s="1"/>
  <c r="R186"/>
  <c r="S156" i="6"/>
  <c r="T156" s="1"/>
  <c r="R156"/>
  <c r="S180"/>
  <c r="T180" s="1"/>
  <c r="R180"/>
  <c r="S201"/>
  <c r="T201" s="1"/>
  <c r="R201"/>
  <c r="S211"/>
  <c r="T211" s="1"/>
  <c r="R211"/>
  <c r="S182"/>
  <c r="T182" s="1"/>
  <c r="R182"/>
  <c r="S206"/>
  <c r="T206" s="1"/>
  <c r="R206"/>
  <c r="S214"/>
  <c r="T214" s="1"/>
  <c r="R214"/>
  <c r="S184"/>
  <c r="T184" s="1"/>
  <c r="R184"/>
  <c r="S195"/>
  <c r="T195" s="1"/>
  <c r="R195"/>
  <c r="V17"/>
  <c r="W17"/>
  <c r="I17" i="7" s="1"/>
  <c r="H21"/>
  <c r="AA21" i="6"/>
  <c r="U159" i="7"/>
  <c r="U167"/>
  <c r="W167" s="1"/>
  <c r="I167" i="8" s="1"/>
  <c r="U175" i="7"/>
  <c r="U183"/>
  <c r="W183" s="1"/>
  <c r="I183" i="8" s="1"/>
  <c r="W5" i="6"/>
  <c r="I5" i="7" s="1"/>
  <c r="V5" i="6"/>
  <c r="S153"/>
  <c r="T153" s="1"/>
  <c r="R153"/>
  <c r="S173"/>
  <c r="T173" s="1"/>
  <c r="R173"/>
  <c r="S170" i="7"/>
  <c r="T170" s="1"/>
  <c r="R170"/>
  <c r="U196"/>
  <c r="U212"/>
  <c r="W212" s="1"/>
  <c r="I212" i="8" s="1"/>
  <c r="U200" i="6"/>
  <c r="U151"/>
  <c r="U159"/>
  <c r="U167"/>
  <c r="W167" s="1"/>
  <c r="U175"/>
  <c r="U183"/>
  <c r="W183" s="1"/>
  <c r="S165"/>
  <c r="T165" s="1"/>
  <c r="R165"/>
  <c r="S181"/>
  <c r="T181" s="1"/>
  <c r="R181"/>
  <c r="S154"/>
  <c r="T154" s="1"/>
  <c r="R154"/>
  <c r="L216"/>
  <c r="L217" s="1"/>
  <c r="S140"/>
  <c r="R140"/>
  <c r="S148" i="7"/>
  <c r="T148" s="1"/>
  <c r="R148"/>
  <c r="S180"/>
  <c r="T180" s="1"/>
  <c r="R180"/>
  <c r="S211"/>
  <c r="T211" s="1"/>
  <c r="R211"/>
  <c r="H11"/>
  <c r="J12" i="1"/>
  <c r="K12" s="1"/>
  <c r="M27" i="7"/>
  <c r="L27"/>
  <c r="M65"/>
  <c r="L65"/>
  <c r="AA110" i="6"/>
  <c r="M216"/>
  <c r="M217" s="1"/>
  <c r="H724" i="39"/>
  <c r="AA38" i="6"/>
  <c r="AA37"/>
  <c r="AA79"/>
  <c r="AA44"/>
  <c r="AA7"/>
  <c r="AA62"/>
  <c r="AA63"/>
  <c r="AA106"/>
  <c r="AA19"/>
  <c r="AA42"/>
  <c r="AA128"/>
  <c r="H9" i="7"/>
  <c r="J10" i="1"/>
  <c r="K10" s="1"/>
  <c r="V102" i="6"/>
  <c r="H102" i="7" s="1"/>
  <c r="W102" i="6"/>
  <c r="I102" i="7" s="1"/>
  <c r="V28" i="6"/>
  <c r="H28" i="7" s="1"/>
  <c r="W28" i="6"/>
  <c r="I28" i="7" s="1"/>
  <c r="V34" i="6"/>
  <c r="W34"/>
  <c r="I34" i="7" s="1"/>
  <c r="V101" i="6"/>
  <c r="H101" i="7" s="1"/>
  <c r="W101" i="6"/>
  <c r="I101" i="7" s="1"/>
  <c r="S190"/>
  <c r="T190" s="1"/>
  <c r="R190"/>
  <c r="U151"/>
  <c r="F20" i="27" s="1"/>
  <c r="W132" i="6"/>
  <c r="I132" i="7" s="1"/>
  <c r="V132" i="6"/>
  <c r="W14"/>
  <c r="I14" i="7" s="1"/>
  <c r="V14" i="6"/>
  <c r="W122"/>
  <c r="I122" i="7" s="1"/>
  <c r="V122" i="6"/>
  <c r="H122" i="7" s="1"/>
  <c r="W130" i="6"/>
  <c r="I130" i="7" s="1"/>
  <c r="V130" i="6"/>
  <c r="S145" i="7"/>
  <c r="T145" s="1"/>
  <c r="R145"/>
  <c r="S164"/>
  <c r="T164" s="1"/>
  <c r="R164"/>
  <c r="M19"/>
  <c r="L19"/>
  <c r="M35"/>
  <c r="L35"/>
  <c r="V85" i="6"/>
  <c r="W85"/>
  <c r="I85" i="7" s="1"/>
  <c r="S150"/>
  <c r="T150" s="1"/>
  <c r="R150"/>
  <c r="S166"/>
  <c r="T166" s="1"/>
  <c r="R166"/>
  <c r="S198"/>
  <c r="T198" s="1"/>
  <c r="R198"/>
  <c r="S152"/>
  <c r="T152" s="1"/>
  <c r="R152"/>
  <c r="S168"/>
  <c r="T168" s="1"/>
  <c r="R168"/>
  <c r="S203"/>
  <c r="T203" s="1"/>
  <c r="R203"/>
  <c r="S209"/>
  <c r="T209" s="1"/>
  <c r="R209"/>
  <c r="W6" i="6"/>
  <c r="I6" i="7" s="1"/>
  <c r="V6" i="6"/>
  <c r="W111"/>
  <c r="V111"/>
  <c r="M129" i="7"/>
  <c r="L129"/>
  <c r="W135" i="6"/>
  <c r="I135" i="7" s="1"/>
  <c r="V135" i="6"/>
  <c r="U143"/>
  <c r="M120" i="7"/>
  <c r="L120"/>
  <c r="M128"/>
  <c r="L128"/>
  <c r="W4" i="6"/>
  <c r="R139"/>
  <c r="V4"/>
  <c r="AA4" s="1"/>
  <c r="V41"/>
  <c r="H41" i="7" s="1"/>
  <c r="W41" i="6"/>
  <c r="I41" i="7" s="1"/>
  <c r="V49" i="6"/>
  <c r="H49" i="7" s="1"/>
  <c r="W49" i="6"/>
  <c r="I49" i="7" s="1"/>
  <c r="V57" i="6"/>
  <c r="H57" i="7" s="1"/>
  <c r="W57" i="6"/>
  <c r="I57" i="7" s="1"/>
  <c r="V69" i="6"/>
  <c r="W69"/>
  <c r="I69" i="7" s="1"/>
  <c r="S149" i="6"/>
  <c r="T149" s="1"/>
  <c r="R149"/>
  <c r="S146"/>
  <c r="T146" s="1"/>
  <c r="R146"/>
  <c r="S186"/>
  <c r="T186" s="1"/>
  <c r="R186"/>
  <c r="S193" i="7"/>
  <c r="T193" s="1"/>
  <c r="R193"/>
  <c r="U212" i="6"/>
  <c r="W212" s="1"/>
  <c r="U200" i="7"/>
  <c r="U197" i="6"/>
  <c r="S194"/>
  <c r="T194" s="1"/>
  <c r="R194"/>
  <c r="S174" i="7"/>
  <c r="T174" s="1"/>
  <c r="R174"/>
  <c r="S202"/>
  <c r="T202" s="1"/>
  <c r="R202"/>
  <c r="S210"/>
  <c r="T210" s="1"/>
  <c r="R210"/>
  <c r="S176"/>
  <c r="T176" s="1"/>
  <c r="R176"/>
  <c r="S191"/>
  <c r="T191" s="1"/>
  <c r="R191"/>
  <c r="W119" i="6"/>
  <c r="I119" i="7" s="1"/>
  <c r="V119" i="6"/>
  <c r="H119" i="7" s="1"/>
  <c r="W133" i="6"/>
  <c r="I133" i="7" s="1"/>
  <c r="V133" i="6"/>
  <c r="U147" i="7"/>
  <c r="W147" s="1"/>
  <c r="I147" i="8" s="1"/>
  <c r="U155" i="7"/>
  <c r="W155" s="1"/>
  <c r="I155" i="8" s="1"/>
  <c r="U163" i="7"/>
  <c r="U171"/>
  <c r="W171" s="1"/>
  <c r="I171" i="8" s="1"/>
  <c r="U179" i="7"/>
  <c r="U187"/>
  <c r="W187" s="1"/>
  <c r="I187" i="8" s="1"/>
  <c r="E33" i="11"/>
  <c r="E36" s="1"/>
  <c r="I19" i="12"/>
  <c r="V23" i="6"/>
  <c r="W23"/>
  <c r="I23" i="7" s="1"/>
  <c r="M38"/>
  <c r="L38"/>
  <c r="V72" i="6"/>
  <c r="H72" i="7" s="1"/>
  <c r="W72" i="6"/>
  <c r="I72" i="7" s="1"/>
  <c r="V84" i="6"/>
  <c r="W84"/>
  <c r="I84" i="7" s="1"/>
  <c r="V104" i="6"/>
  <c r="W104"/>
  <c r="I104" i="7" s="1"/>
  <c r="V116" i="6"/>
  <c r="W116"/>
  <c r="I116" i="7" s="1"/>
  <c r="V32" i="6"/>
  <c r="H32" i="7" s="1"/>
  <c r="W32" i="6"/>
  <c r="I32" i="7" s="1"/>
  <c r="M37"/>
  <c r="L37"/>
  <c r="M51"/>
  <c r="L51"/>
  <c r="M61"/>
  <c r="L61"/>
  <c r="M71"/>
  <c r="L71"/>
  <c r="M79"/>
  <c r="L79"/>
  <c r="M110"/>
  <c r="L110"/>
  <c r="V16" i="6"/>
  <c r="W16"/>
  <c r="I16" i="7" s="1"/>
  <c r="V22" i="6"/>
  <c r="H22" i="7" s="1"/>
  <c r="W22" i="6"/>
  <c r="I22" i="7" s="1"/>
  <c r="V30" i="6"/>
  <c r="H30" i="7" s="1"/>
  <c r="W30" i="6"/>
  <c r="I30" i="7" s="1"/>
  <c r="V73" i="6"/>
  <c r="H73" i="7" s="1"/>
  <c r="W73" i="6"/>
  <c r="I73" i="7" s="1"/>
  <c r="V81" i="6"/>
  <c r="H81" i="7" s="1"/>
  <c r="W81" i="6"/>
  <c r="I81" i="7" s="1"/>
  <c r="V89" i="6"/>
  <c r="H89" i="7" s="1"/>
  <c r="W89" i="6"/>
  <c r="I89" i="7" s="1"/>
  <c r="V97" i="6"/>
  <c r="H97" i="7" s="1"/>
  <c r="W97" i="6"/>
  <c r="I97" i="7" s="1"/>
  <c r="V105" i="6"/>
  <c r="W105"/>
  <c r="I105" i="7" s="1"/>
  <c r="V115" i="6"/>
  <c r="H115" i="7" s="1"/>
  <c r="W115" i="6"/>
  <c r="I115" i="7" s="1"/>
  <c r="S153"/>
  <c r="T153" s="1"/>
  <c r="R153"/>
  <c r="S173"/>
  <c r="T173" s="1"/>
  <c r="R173"/>
  <c r="S185"/>
  <c r="T185" s="1"/>
  <c r="R185"/>
  <c r="S164" i="6"/>
  <c r="T164" s="1"/>
  <c r="R164"/>
  <c r="G831" i="39"/>
  <c r="O10"/>
  <c r="V18" i="6"/>
  <c r="W18"/>
  <c r="I18" i="7" s="1"/>
  <c r="H40"/>
  <c r="AA40" i="6"/>
  <c r="M44" i="7"/>
  <c r="L44"/>
  <c r="H60"/>
  <c r="AA60" i="6"/>
  <c r="S150"/>
  <c r="T150" s="1"/>
  <c r="R150"/>
  <c r="S166"/>
  <c r="T166" s="1"/>
  <c r="R166"/>
  <c r="S198"/>
  <c r="R198"/>
  <c r="S152"/>
  <c r="T152" s="1"/>
  <c r="R152"/>
  <c r="S168"/>
  <c r="T168" s="1"/>
  <c r="R168"/>
  <c r="S203"/>
  <c r="T203" s="1"/>
  <c r="R203"/>
  <c r="S209"/>
  <c r="T209" s="1"/>
  <c r="R209"/>
  <c r="W123"/>
  <c r="I123" i="7" s="1"/>
  <c r="V123" i="6"/>
  <c r="W131"/>
  <c r="I131" i="7" s="1"/>
  <c r="V131" i="6"/>
  <c r="H131" i="7" s="1"/>
  <c r="W137" i="6"/>
  <c r="I137" i="7" s="1"/>
  <c r="V137" i="6"/>
  <c r="U147"/>
  <c r="U155"/>
  <c r="U163"/>
  <c r="W163" s="1"/>
  <c r="U171"/>
  <c r="W171" s="1"/>
  <c r="U179"/>
  <c r="W179" s="1"/>
  <c r="U187"/>
  <c r="W187" s="1"/>
  <c r="W114"/>
  <c r="V114"/>
  <c r="W134"/>
  <c r="I134" i="7" s="1"/>
  <c r="V134" i="6"/>
  <c r="S141"/>
  <c r="R141"/>
  <c r="S157"/>
  <c r="T157" s="1"/>
  <c r="R157"/>
  <c r="D95" i="37"/>
  <c r="S169" i="6"/>
  <c r="T169" s="1"/>
  <c r="R169"/>
  <c r="S189"/>
  <c r="T189" s="1"/>
  <c r="R189"/>
  <c r="S154" i="7"/>
  <c r="T154" s="1"/>
  <c r="R154"/>
  <c r="S178"/>
  <c r="T178" s="1"/>
  <c r="R178"/>
  <c r="S148" i="6"/>
  <c r="T148" s="1"/>
  <c r="R148"/>
  <c r="S172"/>
  <c r="T172" s="1"/>
  <c r="R172"/>
  <c r="S193"/>
  <c r="T193" s="1"/>
  <c r="R193"/>
  <c r="S207"/>
  <c r="T207" s="1"/>
  <c r="R207"/>
  <c r="U194" i="7"/>
  <c r="W194" s="1"/>
  <c r="I194" i="8" s="1"/>
  <c r="U204" i="7"/>
  <c r="W204" s="1"/>
  <c r="I204" i="8" s="1"/>
  <c r="U192" i="6"/>
  <c r="W192" s="1"/>
  <c r="U208"/>
  <c r="W208" s="1"/>
  <c r="S174"/>
  <c r="T174" s="1"/>
  <c r="R174"/>
  <c r="S202"/>
  <c r="T202" s="1"/>
  <c r="R202"/>
  <c r="S210"/>
  <c r="T210" s="1"/>
  <c r="R210"/>
  <c r="S176"/>
  <c r="T176" s="1"/>
  <c r="R176"/>
  <c r="S191"/>
  <c r="T191" s="1"/>
  <c r="R191"/>
  <c r="W127"/>
  <c r="I127" i="7" s="1"/>
  <c r="V127" i="6"/>
  <c r="U143" i="7"/>
  <c r="W143" s="1"/>
  <c r="I143" i="8" s="1"/>
  <c r="V74" i="6"/>
  <c r="W74"/>
  <c r="I74" i="7" s="1"/>
  <c r="V112" i="6"/>
  <c r="W112"/>
  <c r="I112" i="7" s="1"/>
  <c r="V83" i="6"/>
  <c r="W83"/>
  <c r="I83" i="7" s="1"/>
  <c r="V26" i="6"/>
  <c r="W26"/>
  <c r="I26" i="7" s="1"/>
  <c r="V77" i="6"/>
  <c r="W77"/>
  <c r="I77" i="7" s="1"/>
  <c r="V93" i="6"/>
  <c r="W93"/>
  <c r="I93" i="7" s="1"/>
  <c r="V113" i="6"/>
  <c r="W113"/>
  <c r="S161" i="7"/>
  <c r="T161" s="1"/>
  <c r="R161"/>
  <c r="S177"/>
  <c r="T177" s="1"/>
  <c r="R177"/>
  <c r="S188"/>
  <c r="T188" s="1"/>
  <c r="R188"/>
  <c r="H8"/>
  <c r="J9" i="1"/>
  <c r="K9" s="1"/>
  <c r="V54" i="6"/>
  <c r="W54"/>
  <c r="I54" i="7" s="1"/>
  <c r="V68" i="6"/>
  <c r="W68"/>
  <c r="I68" i="7" s="1"/>
  <c r="V88" i="6"/>
  <c r="W88"/>
  <c r="I88" i="7" s="1"/>
  <c r="V96" i="6"/>
  <c r="W96"/>
  <c r="I96" i="7" s="1"/>
  <c r="M24"/>
  <c r="L24"/>
  <c r="V45" i="6"/>
  <c r="W45"/>
  <c r="I45" i="7" s="1"/>
  <c r="M55"/>
  <c r="L55"/>
  <c r="S169"/>
  <c r="T169" s="1"/>
  <c r="R169"/>
  <c r="S189"/>
  <c r="T189" s="1"/>
  <c r="R189"/>
  <c r="S178" i="6"/>
  <c r="T178" s="1"/>
  <c r="R178"/>
  <c r="S172" i="7"/>
  <c r="T172" s="1"/>
  <c r="R172"/>
  <c r="S201"/>
  <c r="T201" s="1"/>
  <c r="R201"/>
  <c r="H832" i="39"/>
  <c r="R9"/>
  <c r="P10"/>
  <c r="U196" i="6"/>
  <c r="W196" s="1"/>
  <c r="AA121"/>
  <c r="S139"/>
  <c r="Z10" i="22"/>
  <c r="AA33" i="6"/>
  <c r="AA61"/>
  <c r="AA31"/>
  <c r="AA47"/>
  <c r="AA35"/>
  <c r="AA46"/>
  <c r="AA75"/>
  <c r="AA120"/>
  <c r="O29" i="36" l="1"/>
  <c r="R29" s="1"/>
  <c r="I32"/>
  <c r="O32" s="1"/>
  <c r="R32" s="1"/>
  <c r="E19" i="27"/>
  <c r="N156" i="36"/>
  <c r="I82" i="35"/>
  <c r="O110" i="36"/>
  <c r="R110" s="1"/>
  <c r="W151" i="6"/>
  <c r="M158" i="38"/>
  <c r="M159" s="1"/>
  <c r="N56" i="36"/>
  <c r="O56" s="1"/>
  <c r="R56" s="1"/>
  <c r="N166" i="35"/>
  <c r="M343" i="22"/>
  <c r="M468"/>
  <c r="I166" i="35"/>
  <c r="I72" i="36"/>
  <c r="I104"/>
  <c r="N164" i="35"/>
  <c r="O164" s="1"/>
  <c r="R164" s="1"/>
  <c r="I146"/>
  <c r="I40" i="36"/>
  <c r="AA99" i="6"/>
  <c r="AA20"/>
  <c r="I44" i="35"/>
  <c r="I128"/>
  <c r="I62"/>
  <c r="I110"/>
  <c r="I112"/>
  <c r="N64" i="36"/>
  <c r="I142" i="35"/>
  <c r="I28"/>
  <c r="N96" i="36"/>
  <c r="I78" i="35"/>
  <c r="I96"/>
  <c r="I144"/>
  <c r="I80"/>
  <c r="N95" i="36"/>
  <c r="N63"/>
  <c r="N31"/>
  <c r="N160" i="35"/>
  <c r="N144"/>
  <c r="I48"/>
  <c r="I158"/>
  <c r="N28" i="36"/>
  <c r="I108" i="35"/>
  <c r="I124"/>
  <c r="N60" i="36"/>
  <c r="O60" s="1"/>
  <c r="R60" s="1"/>
  <c r="I32" i="35"/>
  <c r="I30"/>
  <c r="I46"/>
  <c r="I64"/>
  <c r="I156"/>
  <c r="I76"/>
  <c r="N104" i="36"/>
  <c r="I60" i="35"/>
  <c r="N124" i="36"/>
  <c r="N136"/>
  <c r="N152"/>
  <c r="I160" i="35"/>
  <c r="N111" i="36"/>
  <c r="N79"/>
  <c r="N47"/>
  <c r="N15"/>
  <c r="N152" i="35"/>
  <c r="O152" s="1"/>
  <c r="R152" s="1"/>
  <c r="N136"/>
  <c r="O136" s="1"/>
  <c r="R136" s="1"/>
  <c r="N120"/>
  <c r="O120" s="1"/>
  <c r="R120" s="1"/>
  <c r="N104"/>
  <c r="O104" s="1"/>
  <c r="R104" s="1"/>
  <c r="N88"/>
  <c r="O88" s="1"/>
  <c r="R88" s="1"/>
  <c r="N72"/>
  <c r="O72" s="1"/>
  <c r="R72" s="1"/>
  <c r="N137" i="36"/>
  <c r="N153"/>
  <c r="N155" i="35"/>
  <c r="N139"/>
  <c r="N123"/>
  <c r="N107"/>
  <c r="N91"/>
  <c r="N75"/>
  <c r="N59"/>
  <c r="N43"/>
  <c r="N27"/>
  <c r="N107" i="36"/>
  <c r="N75"/>
  <c r="N43"/>
  <c r="N150" i="35"/>
  <c r="O150" s="1"/>
  <c r="R150" s="1"/>
  <c r="N134"/>
  <c r="O134" s="1"/>
  <c r="R134" s="1"/>
  <c r="N118"/>
  <c r="O118" s="1"/>
  <c r="R118" s="1"/>
  <c r="N102"/>
  <c r="O102" s="1"/>
  <c r="R102" s="1"/>
  <c r="N86"/>
  <c r="O86" s="1"/>
  <c r="R86" s="1"/>
  <c r="N70"/>
  <c r="O70" s="1"/>
  <c r="R70" s="1"/>
  <c r="N54"/>
  <c r="O54" s="1"/>
  <c r="R54" s="1"/>
  <c r="N38"/>
  <c r="O38" s="1"/>
  <c r="R38" s="1"/>
  <c r="N22"/>
  <c r="O22" s="1"/>
  <c r="R22" s="1"/>
  <c r="N139" i="36"/>
  <c r="N155"/>
  <c r="N165" i="35"/>
  <c r="N149"/>
  <c r="N133"/>
  <c r="N117"/>
  <c r="N101"/>
  <c r="N85"/>
  <c r="N69"/>
  <c r="N53"/>
  <c r="N37"/>
  <c r="N21"/>
  <c r="N103" i="36"/>
  <c r="N71"/>
  <c r="N39"/>
  <c r="N148" i="35"/>
  <c r="O148" s="1"/>
  <c r="R148" s="1"/>
  <c r="N132"/>
  <c r="O132" s="1"/>
  <c r="R132" s="1"/>
  <c r="N116"/>
  <c r="O116" s="1"/>
  <c r="R116" s="1"/>
  <c r="N100"/>
  <c r="O100" s="1"/>
  <c r="R100" s="1"/>
  <c r="N84"/>
  <c r="O84" s="1"/>
  <c r="R84" s="1"/>
  <c r="N133" i="36"/>
  <c r="N149"/>
  <c r="N165"/>
  <c r="N151" i="35"/>
  <c r="N135"/>
  <c r="N119"/>
  <c r="N103"/>
  <c r="N87"/>
  <c r="N71"/>
  <c r="N55"/>
  <c r="N39"/>
  <c r="N23"/>
  <c r="N115" i="36"/>
  <c r="N83"/>
  <c r="N51"/>
  <c r="N19"/>
  <c r="N154" i="35"/>
  <c r="O154" s="1"/>
  <c r="R154" s="1"/>
  <c r="N138"/>
  <c r="O138" s="1"/>
  <c r="R138" s="1"/>
  <c r="N122"/>
  <c r="O122" s="1"/>
  <c r="R122" s="1"/>
  <c r="N106"/>
  <c r="O106" s="1"/>
  <c r="R106" s="1"/>
  <c r="N90"/>
  <c r="O90" s="1"/>
  <c r="R90" s="1"/>
  <c r="N74"/>
  <c r="O74" s="1"/>
  <c r="R74" s="1"/>
  <c r="N58"/>
  <c r="O58" s="1"/>
  <c r="R58" s="1"/>
  <c r="N42"/>
  <c r="O42" s="1"/>
  <c r="R42" s="1"/>
  <c r="N153"/>
  <c r="N137"/>
  <c r="N121"/>
  <c r="N105"/>
  <c r="N89"/>
  <c r="N73"/>
  <c r="N57"/>
  <c r="N41"/>
  <c r="N25"/>
  <c r="N67" i="36"/>
  <c r="N92"/>
  <c r="I94" i="35"/>
  <c r="I126"/>
  <c r="N72" i="36"/>
  <c r="I92" i="35"/>
  <c r="N40" i="36"/>
  <c r="W197" i="6"/>
  <c r="F103" i="26"/>
  <c r="N26" i="35"/>
  <c r="O26" s="1"/>
  <c r="R26" s="1"/>
  <c r="N127" i="36"/>
  <c r="N143"/>
  <c r="N159"/>
  <c r="O7" i="26"/>
  <c r="O8" s="1"/>
  <c r="N80" i="35"/>
  <c r="O80" s="1"/>
  <c r="R80" s="1"/>
  <c r="N48"/>
  <c r="N32"/>
  <c r="O32" s="1"/>
  <c r="R32" s="1"/>
  <c r="I129" i="36"/>
  <c r="I145"/>
  <c r="I161"/>
  <c r="O104"/>
  <c r="R104" s="1"/>
  <c r="I163" i="35"/>
  <c r="I147"/>
  <c r="I131"/>
  <c r="I115"/>
  <c r="I99"/>
  <c r="I83"/>
  <c r="I67"/>
  <c r="I51"/>
  <c r="I35"/>
  <c r="I19"/>
  <c r="O136" i="36"/>
  <c r="R136" s="1"/>
  <c r="O152"/>
  <c r="R152" s="1"/>
  <c r="I123"/>
  <c r="I91"/>
  <c r="I59"/>
  <c r="I27"/>
  <c r="I131"/>
  <c r="I147"/>
  <c r="I163"/>
  <c r="O124"/>
  <c r="R124" s="1"/>
  <c r="O92"/>
  <c r="R92" s="1"/>
  <c r="O28"/>
  <c r="R28" s="1"/>
  <c r="I157" i="35"/>
  <c r="I141"/>
  <c r="I125"/>
  <c r="I109"/>
  <c r="I93"/>
  <c r="I77"/>
  <c r="I61"/>
  <c r="I45"/>
  <c r="I29"/>
  <c r="I126" i="36"/>
  <c r="O126" s="1"/>
  <c r="R126" s="1"/>
  <c r="I142"/>
  <c r="O142" s="1"/>
  <c r="R142" s="1"/>
  <c r="I158"/>
  <c r="O158" s="1"/>
  <c r="R158" s="1"/>
  <c r="I119"/>
  <c r="I87"/>
  <c r="I55"/>
  <c r="I23"/>
  <c r="N60" i="35"/>
  <c r="N44"/>
  <c r="O44" s="1"/>
  <c r="R44" s="1"/>
  <c r="N28"/>
  <c r="O28" s="1"/>
  <c r="R28" s="1"/>
  <c r="I141" i="36"/>
  <c r="I157"/>
  <c r="O96"/>
  <c r="R96" s="1"/>
  <c r="O64"/>
  <c r="R64" s="1"/>
  <c r="I159" i="35"/>
  <c r="I143"/>
  <c r="I127"/>
  <c r="I111"/>
  <c r="I95"/>
  <c r="I79"/>
  <c r="I63"/>
  <c r="I47"/>
  <c r="I31"/>
  <c r="O140" i="36"/>
  <c r="R140" s="1"/>
  <c r="O156"/>
  <c r="R156" s="1"/>
  <c r="I99"/>
  <c r="I35"/>
  <c r="I135"/>
  <c r="I151"/>
  <c r="I167"/>
  <c r="O68"/>
  <c r="R68" s="1"/>
  <c r="O36"/>
  <c r="R36" s="1"/>
  <c r="I161" i="35"/>
  <c r="I145"/>
  <c r="I129"/>
  <c r="I113"/>
  <c r="I97"/>
  <c r="I81"/>
  <c r="I65"/>
  <c r="I49"/>
  <c r="I33"/>
  <c r="I130" i="36"/>
  <c r="O130" s="1"/>
  <c r="R130" s="1"/>
  <c r="I146"/>
  <c r="O146" s="1"/>
  <c r="R146" s="1"/>
  <c r="I162"/>
  <c r="O162" s="1"/>
  <c r="R162" s="1"/>
  <c r="H1" i="35"/>
  <c r="H3" s="1"/>
  <c r="I12"/>
  <c r="G1"/>
  <c r="G3" s="1"/>
  <c r="O11" i="36"/>
  <c r="N12"/>
  <c r="O12" s="1"/>
  <c r="R12" s="1"/>
  <c r="M1"/>
  <c r="M2" s="1"/>
  <c r="N12" i="35"/>
  <c r="O17"/>
  <c r="R17" s="1"/>
  <c r="M1"/>
  <c r="I95" i="36"/>
  <c r="I63"/>
  <c r="I31"/>
  <c r="N128" i="35"/>
  <c r="O128" s="1"/>
  <c r="R128" s="1"/>
  <c r="N112"/>
  <c r="N96"/>
  <c r="B3" i="36"/>
  <c r="L1"/>
  <c r="L2" s="1"/>
  <c r="N64" i="35"/>
  <c r="N129" i="36"/>
  <c r="N145"/>
  <c r="N161"/>
  <c r="N163" i="35"/>
  <c r="N147"/>
  <c r="N131"/>
  <c r="N115"/>
  <c r="N99"/>
  <c r="N83"/>
  <c r="N67"/>
  <c r="N51"/>
  <c r="N35"/>
  <c r="N19"/>
  <c r="N123" i="36"/>
  <c r="N91"/>
  <c r="N59"/>
  <c r="N27"/>
  <c r="N158" i="35"/>
  <c r="N142"/>
  <c r="N126"/>
  <c r="N110"/>
  <c r="O110" s="1"/>
  <c r="R110" s="1"/>
  <c r="N94"/>
  <c r="N78"/>
  <c r="O78" s="1"/>
  <c r="R78" s="1"/>
  <c r="N62"/>
  <c r="N46"/>
  <c r="N30"/>
  <c r="N131" i="36"/>
  <c r="N147"/>
  <c r="N163"/>
  <c r="N157" i="35"/>
  <c r="N141"/>
  <c r="N125"/>
  <c r="N109"/>
  <c r="N93"/>
  <c r="N77"/>
  <c r="N61"/>
  <c r="N45"/>
  <c r="N29"/>
  <c r="N119" i="36"/>
  <c r="N87"/>
  <c r="N55"/>
  <c r="N23"/>
  <c r="N156" i="35"/>
  <c r="N140"/>
  <c r="O140" s="1"/>
  <c r="R140" s="1"/>
  <c r="N124"/>
  <c r="N108"/>
  <c r="N92"/>
  <c r="N76"/>
  <c r="N141" i="36"/>
  <c r="N157"/>
  <c r="N159" i="35"/>
  <c r="N143"/>
  <c r="N127"/>
  <c r="N111"/>
  <c r="N95"/>
  <c r="N79"/>
  <c r="N63"/>
  <c r="N47"/>
  <c r="N31"/>
  <c r="N99" i="36"/>
  <c r="N35"/>
  <c r="N162" i="35"/>
  <c r="O162" s="1"/>
  <c r="R162" s="1"/>
  <c r="N146"/>
  <c r="N130"/>
  <c r="O130" s="1"/>
  <c r="R130" s="1"/>
  <c r="N114"/>
  <c r="O114" s="1"/>
  <c r="R114" s="1"/>
  <c r="N98"/>
  <c r="O98" s="1"/>
  <c r="R98" s="1"/>
  <c r="N82"/>
  <c r="N66"/>
  <c r="O66" s="1"/>
  <c r="R66" s="1"/>
  <c r="N50"/>
  <c r="O50" s="1"/>
  <c r="R50" s="1"/>
  <c r="N34"/>
  <c r="O34" s="1"/>
  <c r="R34" s="1"/>
  <c r="N18"/>
  <c r="O18" s="1"/>
  <c r="R18" s="1"/>
  <c r="N135" i="36"/>
  <c r="N151"/>
  <c r="H1"/>
  <c r="H3" s="1"/>
  <c r="N167"/>
  <c r="N161" i="35"/>
  <c r="N145"/>
  <c r="N129"/>
  <c r="N113"/>
  <c r="N97"/>
  <c r="N81"/>
  <c r="N65"/>
  <c r="N49"/>
  <c r="N33"/>
  <c r="G1" i="36"/>
  <c r="G3" s="1"/>
  <c r="I111"/>
  <c r="I79"/>
  <c r="I47"/>
  <c r="I15"/>
  <c r="N56" i="35"/>
  <c r="O56" s="1"/>
  <c r="R56" s="1"/>
  <c r="N40"/>
  <c r="O40" s="1"/>
  <c r="R40" s="1"/>
  <c r="N24"/>
  <c r="O24" s="1"/>
  <c r="R24" s="1"/>
  <c r="I137" i="36"/>
  <c r="I153"/>
  <c r="O120"/>
  <c r="R120" s="1"/>
  <c r="O88"/>
  <c r="R88" s="1"/>
  <c r="O24"/>
  <c r="R24" s="1"/>
  <c r="I155" i="35"/>
  <c r="I139"/>
  <c r="I123"/>
  <c r="I107"/>
  <c r="I91"/>
  <c r="I75"/>
  <c r="I59"/>
  <c r="I43"/>
  <c r="I27"/>
  <c r="O128" i="36"/>
  <c r="R128" s="1"/>
  <c r="O144"/>
  <c r="R144" s="1"/>
  <c r="O160"/>
  <c r="R160" s="1"/>
  <c r="I107"/>
  <c r="I75"/>
  <c r="I43"/>
  <c r="B3" i="35"/>
  <c r="I139" i="36"/>
  <c r="I155"/>
  <c r="O108"/>
  <c r="R108" s="1"/>
  <c r="O76"/>
  <c r="R76" s="1"/>
  <c r="O44"/>
  <c r="R44" s="1"/>
  <c r="I165" i="35"/>
  <c r="L1"/>
  <c r="I149"/>
  <c r="I133"/>
  <c r="I117"/>
  <c r="I101"/>
  <c r="I85"/>
  <c r="I69"/>
  <c r="I53"/>
  <c r="I37"/>
  <c r="I21"/>
  <c r="I134" i="36"/>
  <c r="O134" s="1"/>
  <c r="R134" s="1"/>
  <c r="I150"/>
  <c r="O150" s="1"/>
  <c r="R150" s="1"/>
  <c r="I166"/>
  <c r="O166" s="1"/>
  <c r="R166" s="1"/>
  <c r="I103"/>
  <c r="I71"/>
  <c r="I39"/>
  <c r="N68" i="35"/>
  <c r="O68" s="1"/>
  <c r="R68" s="1"/>
  <c r="N52"/>
  <c r="O52" s="1"/>
  <c r="R52" s="1"/>
  <c r="N36"/>
  <c r="O36" s="1"/>
  <c r="R36" s="1"/>
  <c r="N20"/>
  <c r="O20" s="1"/>
  <c r="R20" s="1"/>
  <c r="I133" i="36"/>
  <c r="I149"/>
  <c r="I165"/>
  <c r="O112"/>
  <c r="R112" s="1"/>
  <c r="O80"/>
  <c r="R80" s="1"/>
  <c r="O48"/>
  <c r="R48" s="1"/>
  <c r="O16"/>
  <c r="R16" s="1"/>
  <c r="I151" i="35"/>
  <c r="I135"/>
  <c r="I119"/>
  <c r="I103"/>
  <c r="I87"/>
  <c r="I71"/>
  <c r="I55"/>
  <c r="I39"/>
  <c r="I23"/>
  <c r="O132" i="36"/>
  <c r="R132" s="1"/>
  <c r="O148"/>
  <c r="R148" s="1"/>
  <c r="O164"/>
  <c r="R164" s="1"/>
  <c r="I115"/>
  <c r="I83"/>
  <c r="I51"/>
  <c r="I19"/>
  <c r="I127"/>
  <c r="I143"/>
  <c r="I159"/>
  <c r="O116"/>
  <c r="R116" s="1"/>
  <c r="O84"/>
  <c r="R84" s="1"/>
  <c r="O52"/>
  <c r="R52" s="1"/>
  <c r="O20"/>
  <c r="R20" s="1"/>
  <c r="I153" i="35"/>
  <c r="I137"/>
  <c r="I121"/>
  <c r="I105"/>
  <c r="I89"/>
  <c r="I73"/>
  <c r="I57"/>
  <c r="I41"/>
  <c r="I25"/>
  <c r="I138" i="36"/>
  <c r="O138" s="1"/>
  <c r="R138" s="1"/>
  <c r="I154"/>
  <c r="O154" s="1"/>
  <c r="R154" s="1"/>
  <c r="I67"/>
  <c r="O100"/>
  <c r="R100" s="1"/>
  <c r="W179" i="7"/>
  <c r="I179" i="8" s="1"/>
  <c r="W163" i="7"/>
  <c r="I163" i="8" s="1"/>
  <c r="AA34" i="6"/>
  <c r="AA104"/>
  <c r="AA52"/>
  <c r="AA28"/>
  <c r="AA76"/>
  <c r="AA125"/>
  <c r="F21" i="11"/>
  <c r="AA111" i="6"/>
  <c r="AA57"/>
  <c r="AA97"/>
  <c r="AA82"/>
  <c r="G21" i="11"/>
  <c r="AA98" i="6"/>
  <c r="AA87"/>
  <c r="AA117"/>
  <c r="AA36"/>
  <c r="AA10"/>
  <c r="AA94"/>
  <c r="AA48"/>
  <c r="AA130"/>
  <c r="AA30"/>
  <c r="AA109"/>
  <c r="AA6"/>
  <c r="AA23"/>
  <c r="G15" i="11"/>
  <c r="AA95" i="6"/>
  <c r="AA80"/>
  <c r="AA59"/>
  <c r="AA78"/>
  <c r="AA100"/>
  <c r="AA123"/>
  <c r="AA41"/>
  <c r="AA103"/>
  <c r="AA39"/>
  <c r="AA86"/>
  <c r="AA56"/>
  <c r="AA115"/>
  <c r="AA81"/>
  <c r="AA14"/>
  <c r="AA70"/>
  <c r="AA53"/>
  <c r="AA91"/>
  <c r="AA64"/>
  <c r="AA135"/>
  <c r="AA58"/>
  <c r="AA101"/>
  <c r="AA132"/>
  <c r="AA32"/>
  <c r="AA72"/>
  <c r="AA134"/>
  <c r="AA137"/>
  <c r="AA116"/>
  <c r="V179" i="7"/>
  <c r="H179" i="8" s="1"/>
  <c r="M179" s="1"/>
  <c r="V163" i="7"/>
  <c r="H163" i="8" s="1"/>
  <c r="M163" s="1"/>
  <c r="V147" i="7"/>
  <c r="H147" i="8" s="1"/>
  <c r="L147" s="1"/>
  <c r="AA67" i="6"/>
  <c r="AA90"/>
  <c r="AA66"/>
  <c r="AA107"/>
  <c r="AA43"/>
  <c r="AA92"/>
  <c r="AA50"/>
  <c r="AA12"/>
  <c r="AA25"/>
  <c r="N158" i="38"/>
  <c r="K159"/>
  <c r="N102"/>
  <c r="J102"/>
  <c r="J103" s="1"/>
  <c r="V212" i="6"/>
  <c r="AA212" s="1"/>
  <c r="V183"/>
  <c r="AA183" s="1"/>
  <c r="V167"/>
  <c r="AA167" s="1"/>
  <c r="V151"/>
  <c r="V212" i="7"/>
  <c r="H212" i="8" s="1"/>
  <c r="M212" s="1"/>
  <c r="V183" i="7"/>
  <c r="H183" i="8" s="1"/>
  <c r="M183" s="1"/>
  <c r="V167" i="7"/>
  <c r="H167" i="8" s="1"/>
  <c r="L167" s="1"/>
  <c r="H846" i="39"/>
  <c r="O11" i="28"/>
  <c r="V192" i="7"/>
  <c r="H192" i="8" s="1"/>
  <c r="M192" s="1"/>
  <c r="V151" i="7"/>
  <c r="H151" i="8" s="1"/>
  <c r="W151" i="7"/>
  <c r="I151" i="8" s="1"/>
  <c r="V196" i="6"/>
  <c r="AA196" s="1"/>
  <c r="V143" i="7"/>
  <c r="H143" i="8" s="1"/>
  <c r="L143" s="1"/>
  <c r="V192" i="6"/>
  <c r="AA192" s="1"/>
  <c r="V194" i="7"/>
  <c r="H194" i="8" s="1"/>
  <c r="L194" s="1"/>
  <c r="AA126" i="6"/>
  <c r="N11" i="28"/>
  <c r="V208" i="6"/>
  <c r="AA208" s="1"/>
  <c r="V204" i="7"/>
  <c r="H204" i="8" s="1"/>
  <c r="L204" s="1"/>
  <c r="V187" i="7"/>
  <c r="H187" i="8" s="1"/>
  <c r="M187" s="1"/>
  <c r="V171" i="7"/>
  <c r="H171" i="8" s="1"/>
  <c r="M171" s="1"/>
  <c r="V155" i="7"/>
  <c r="H155" i="8" s="1"/>
  <c r="L155" s="1"/>
  <c r="AA119" i="6"/>
  <c r="V197"/>
  <c r="V208" i="7"/>
  <c r="H208" i="8" s="1"/>
  <c r="L208" s="1"/>
  <c r="V204" i="6"/>
  <c r="AA204" s="1"/>
  <c r="V197" i="7"/>
  <c r="Z11" i="22"/>
  <c r="U172" i="7"/>
  <c r="W172" s="1"/>
  <c r="I172" i="8" s="1"/>
  <c r="U178" i="6"/>
  <c r="W178" s="1"/>
  <c r="U189" i="7"/>
  <c r="W189" s="1"/>
  <c r="I189" i="8" s="1"/>
  <c r="U169" i="7"/>
  <c r="W169" s="1"/>
  <c r="I169" i="8" s="1"/>
  <c r="S55" i="7"/>
  <c r="R55"/>
  <c r="H45"/>
  <c r="AA45" i="6"/>
  <c r="U188" i="7"/>
  <c r="F71" i="27" s="1"/>
  <c r="U177" i="7"/>
  <c r="W177" s="1"/>
  <c r="U161"/>
  <c r="W161" s="1"/>
  <c r="I161" i="8" s="1"/>
  <c r="I113" i="7"/>
  <c r="AD113" i="6"/>
  <c r="U157"/>
  <c r="W157" s="1"/>
  <c r="U141"/>
  <c r="F37" i="10"/>
  <c r="H114" i="7"/>
  <c r="E50" i="27"/>
  <c r="D101" i="37"/>
  <c r="F101" s="1"/>
  <c r="M131" i="7"/>
  <c r="L131"/>
  <c r="T198" i="6"/>
  <c r="I217" i="29"/>
  <c r="I221" s="1"/>
  <c r="F258" i="26" s="1"/>
  <c r="I135" i="29"/>
  <c r="I139" s="1"/>
  <c r="M60" i="7"/>
  <c r="L60"/>
  <c r="G953" i="39"/>
  <c r="O11"/>
  <c r="U164" i="6"/>
  <c r="W164" s="1"/>
  <c r="U185" i="7"/>
  <c r="F90" i="27" s="1"/>
  <c r="H90" s="1"/>
  <c r="U173" i="7"/>
  <c r="W173" s="1"/>
  <c r="I173" i="8" s="1"/>
  <c r="U153" i="7"/>
  <c r="W153" s="1"/>
  <c r="I153" i="8" s="1"/>
  <c r="S110" i="7"/>
  <c r="R110"/>
  <c r="S71"/>
  <c r="R71"/>
  <c r="S51"/>
  <c r="R51"/>
  <c r="S38"/>
  <c r="R38"/>
  <c r="F11" i="10"/>
  <c r="H23" i="7"/>
  <c r="L171" i="8"/>
  <c r="F56" i="10"/>
  <c r="H133" i="7"/>
  <c r="U194" i="6"/>
  <c r="W194" s="1"/>
  <c r="F14" i="10"/>
  <c r="H69" i="7"/>
  <c r="M57"/>
  <c r="L57"/>
  <c r="M49"/>
  <c r="L49"/>
  <c r="M41"/>
  <c r="L41"/>
  <c r="S128"/>
  <c r="R128"/>
  <c r="F36" i="10"/>
  <c r="H111" i="7"/>
  <c r="H6"/>
  <c r="AD6" i="6"/>
  <c r="J7" i="1"/>
  <c r="K7" s="1"/>
  <c r="U209" i="7"/>
  <c r="W209" s="1"/>
  <c r="I209" i="8" s="1"/>
  <c r="U203" i="7"/>
  <c r="W203" s="1"/>
  <c r="I203" i="8" s="1"/>
  <c r="U168" i="7"/>
  <c r="W168" s="1"/>
  <c r="I168" i="8" s="1"/>
  <c r="U152" i="7"/>
  <c r="W152" s="1"/>
  <c r="I152" i="8" s="1"/>
  <c r="U198" i="7"/>
  <c r="W198" s="1"/>
  <c r="I198" i="8" s="1"/>
  <c r="U166" i="7"/>
  <c r="F53" i="27" s="1"/>
  <c r="U150" i="7"/>
  <c r="W150" s="1"/>
  <c r="I150" i="8" s="1"/>
  <c r="S35" i="7"/>
  <c r="R35"/>
  <c r="U164"/>
  <c r="W164" s="1"/>
  <c r="I164" i="8" s="1"/>
  <c r="U145" i="7"/>
  <c r="W145" s="1"/>
  <c r="I145" i="8" s="1"/>
  <c r="F47" i="10"/>
  <c r="H130" i="7"/>
  <c r="M122"/>
  <c r="L122"/>
  <c r="H14"/>
  <c r="J15" i="1"/>
  <c r="K15" s="1"/>
  <c r="F49" i="10"/>
  <c r="H132" i="7"/>
  <c r="M101"/>
  <c r="L101"/>
  <c r="F12" i="10"/>
  <c r="H34" i="7"/>
  <c r="M28"/>
  <c r="L28"/>
  <c r="M102"/>
  <c r="L102"/>
  <c r="L9"/>
  <c r="M9"/>
  <c r="S27"/>
  <c r="R27"/>
  <c r="L11"/>
  <c r="M11"/>
  <c r="S216" i="6"/>
  <c r="S217" s="1"/>
  <c r="T140"/>
  <c r="U154"/>
  <c r="W154" s="1"/>
  <c r="U181"/>
  <c r="W181" s="1"/>
  <c r="U165"/>
  <c r="W165" s="1"/>
  <c r="L212" i="8"/>
  <c r="U170" i="7"/>
  <c r="W170" s="1"/>
  <c r="I170" i="8" s="1"/>
  <c r="U173" i="6"/>
  <c r="W173" s="1"/>
  <c r="U153"/>
  <c r="W153" s="1"/>
  <c r="H5" i="7"/>
  <c r="J6" i="1"/>
  <c r="K6" s="1"/>
  <c r="AA5" i="6"/>
  <c r="U195"/>
  <c r="W195" s="1"/>
  <c r="U184"/>
  <c r="E88" i="27" s="1"/>
  <c r="U206" i="6"/>
  <c r="W206" s="1"/>
  <c r="E86" i="27"/>
  <c r="U182" i="6"/>
  <c r="W182" s="1"/>
  <c r="U211"/>
  <c r="W211" s="1"/>
  <c r="U201"/>
  <c r="U180"/>
  <c r="W180" s="1"/>
  <c r="U156"/>
  <c r="U186" i="7"/>
  <c r="W186" s="1"/>
  <c r="I186" i="8" s="1"/>
  <c r="U162" i="7"/>
  <c r="W162" s="1"/>
  <c r="I162" i="8" s="1"/>
  <c r="U146" i="7"/>
  <c r="W146" s="1"/>
  <c r="I146" i="8" s="1"/>
  <c r="U181" i="7"/>
  <c r="W181" s="1"/>
  <c r="I181" i="8" s="1"/>
  <c r="U165" i="7"/>
  <c r="W165" s="1"/>
  <c r="I165" i="8" s="1"/>
  <c r="U149" i="7"/>
  <c r="W149" s="1"/>
  <c r="I149" i="8" s="1"/>
  <c r="I117" i="7"/>
  <c r="AD117" i="6"/>
  <c r="S75" i="7"/>
  <c r="R75"/>
  <c r="F15" i="10"/>
  <c r="H67" i="7"/>
  <c r="M39"/>
  <c r="L39"/>
  <c r="S62"/>
  <c r="R62"/>
  <c r="H58"/>
  <c r="U213" i="6"/>
  <c r="W213" s="1"/>
  <c r="U205"/>
  <c r="W205" s="1"/>
  <c r="E135" i="29"/>
  <c r="E139" s="1"/>
  <c r="E217"/>
  <c r="E221" s="1"/>
  <c r="U199" i="6"/>
  <c r="F11" i="11" s="1"/>
  <c r="U160" i="6"/>
  <c r="W160" s="1"/>
  <c r="U144"/>
  <c r="W144" s="1"/>
  <c r="U190"/>
  <c r="W190" s="1"/>
  <c r="U158"/>
  <c r="W158" s="1"/>
  <c r="L15" i="7"/>
  <c r="M15"/>
  <c r="F65" i="10"/>
  <c r="H138" i="7"/>
  <c r="M118"/>
  <c r="L118"/>
  <c r="F62" i="10"/>
  <c r="H136" i="7"/>
  <c r="S124"/>
  <c r="R124"/>
  <c r="H69" i="29"/>
  <c r="I61"/>
  <c r="I69" s="1"/>
  <c r="F10" i="10"/>
  <c r="H25" i="7"/>
  <c r="U207"/>
  <c r="W207" s="1"/>
  <c r="I207" i="8" s="1"/>
  <c r="U156" i="7"/>
  <c r="W156" s="1"/>
  <c r="I156" i="8" s="1"/>
  <c r="U162" i="6"/>
  <c r="W162" s="1"/>
  <c r="D117" i="37"/>
  <c r="F109"/>
  <c r="F117" s="1"/>
  <c r="M99" i="7"/>
  <c r="L99"/>
  <c r="M91"/>
  <c r="L91"/>
  <c r="S47"/>
  <c r="R47"/>
  <c r="M20"/>
  <c r="L20"/>
  <c r="F23" i="10"/>
  <c r="H100" i="7"/>
  <c r="M92"/>
  <c r="L92"/>
  <c r="F28" i="10"/>
  <c r="H82" i="7"/>
  <c r="M78"/>
  <c r="L78"/>
  <c r="M64"/>
  <c r="L64"/>
  <c r="M50"/>
  <c r="L50"/>
  <c r="M31"/>
  <c r="L31"/>
  <c r="S46"/>
  <c r="R46"/>
  <c r="U213"/>
  <c r="W213" s="1"/>
  <c r="I213" i="8" s="1"/>
  <c r="U205" i="7"/>
  <c r="W205" s="1"/>
  <c r="I205" i="8" s="1"/>
  <c r="U199" i="7"/>
  <c r="W199" s="1"/>
  <c r="I199" i="8" s="1"/>
  <c r="U160" i="7"/>
  <c r="W160" s="1"/>
  <c r="I160" i="8" s="1"/>
  <c r="U144" i="7"/>
  <c r="W144" s="1"/>
  <c r="I144" i="8" s="1"/>
  <c r="U185" i="6"/>
  <c r="W185" s="1"/>
  <c r="S106" i="7"/>
  <c r="R106"/>
  <c r="M70"/>
  <c r="L70"/>
  <c r="Y11" i="22"/>
  <c r="V143" i="6"/>
  <c r="W143"/>
  <c r="AA89"/>
  <c r="AA22"/>
  <c r="AA122"/>
  <c r="AA102"/>
  <c r="U201" i="7"/>
  <c r="H954" i="39"/>
  <c r="J846"/>
  <c r="P11"/>
  <c r="S24" i="7"/>
  <c r="R24"/>
  <c r="H96"/>
  <c r="AA96" i="6"/>
  <c r="H88" i="7"/>
  <c r="AA88" i="6"/>
  <c r="F16" i="10"/>
  <c r="H68" i="7"/>
  <c r="AA68" i="6"/>
  <c r="H54" i="7"/>
  <c r="AA54" i="6"/>
  <c r="L8" i="7"/>
  <c r="M8"/>
  <c r="H113"/>
  <c r="AA113" i="6"/>
  <c r="H93" i="7"/>
  <c r="AA93" i="6"/>
  <c r="H77" i="7"/>
  <c r="AA77" i="6"/>
  <c r="H26" i="7"/>
  <c r="AA26" i="6"/>
  <c r="F27" i="10"/>
  <c r="H83" i="7"/>
  <c r="AA83" i="6"/>
  <c r="H112" i="7"/>
  <c r="AA112" i="6"/>
  <c r="F20" i="10"/>
  <c r="H74" i="7"/>
  <c r="AA74" i="6"/>
  <c r="H127" i="7"/>
  <c r="AA127" i="6"/>
  <c r="U191"/>
  <c r="W191" s="1"/>
  <c r="U176"/>
  <c r="U210"/>
  <c r="W210" s="1"/>
  <c r="U202"/>
  <c r="U174"/>
  <c r="W174" s="1"/>
  <c r="U207"/>
  <c r="U193"/>
  <c r="W193" s="1"/>
  <c r="U172"/>
  <c r="U148"/>
  <c r="F10" i="11" s="1"/>
  <c r="U178" i="7"/>
  <c r="U154"/>
  <c r="W154" s="1"/>
  <c r="I154" i="8" s="1"/>
  <c r="U189" i="6"/>
  <c r="U169"/>
  <c r="W169" s="1"/>
  <c r="F95" i="37"/>
  <c r="T141" i="6"/>
  <c r="F60" i="10"/>
  <c r="H134" i="7"/>
  <c r="I114"/>
  <c r="AD114" i="6"/>
  <c r="AA9" i="22"/>
  <c r="AB9" s="1"/>
  <c r="F64" i="10"/>
  <c r="H137" i="7"/>
  <c r="F44" i="10"/>
  <c r="H123" i="7"/>
  <c r="U209" i="6"/>
  <c r="W209" s="1"/>
  <c r="U203"/>
  <c r="W203" s="1"/>
  <c r="U168"/>
  <c r="W168" s="1"/>
  <c r="U152"/>
  <c r="E20" i="27" s="1"/>
  <c r="U198" i="6"/>
  <c r="U166"/>
  <c r="W166" s="1"/>
  <c r="U150"/>
  <c r="W150" s="1"/>
  <c r="S44" i="7"/>
  <c r="R44"/>
  <c r="M40"/>
  <c r="L40"/>
  <c r="F9" i="10"/>
  <c r="H18" i="7"/>
  <c r="L115"/>
  <c r="M115"/>
  <c r="F34" i="10"/>
  <c r="H105" i="7"/>
  <c r="M97"/>
  <c r="L97"/>
  <c r="M89"/>
  <c r="L89"/>
  <c r="M81"/>
  <c r="L81"/>
  <c r="M73"/>
  <c r="L73"/>
  <c r="M30"/>
  <c r="L30"/>
  <c r="M22"/>
  <c r="L22"/>
  <c r="H16"/>
  <c r="J17" i="1"/>
  <c r="K17" s="1"/>
  <c r="AA16" i="6"/>
  <c r="S79" i="7"/>
  <c r="R79"/>
  <c r="S61"/>
  <c r="R61"/>
  <c r="S37"/>
  <c r="R37"/>
  <c r="M32"/>
  <c r="L32"/>
  <c r="F35" i="10"/>
  <c r="H116" i="7"/>
  <c r="F26" i="10"/>
  <c r="H104" i="7"/>
  <c r="F22" i="10"/>
  <c r="H84" i="7"/>
  <c r="M72"/>
  <c r="L72"/>
  <c r="J19" i="12"/>
  <c r="F50" i="27"/>
  <c r="M119" i="7"/>
  <c r="L119"/>
  <c r="U191"/>
  <c r="W191" s="1"/>
  <c r="I191" i="8" s="1"/>
  <c r="U176" i="7"/>
  <c r="W176" s="1"/>
  <c r="I176" i="8" s="1"/>
  <c r="U210" i="7"/>
  <c r="G18" i="11" s="1"/>
  <c r="U202" i="7"/>
  <c r="W202" s="1"/>
  <c r="I202" i="8" s="1"/>
  <c r="U174" i="7"/>
  <c r="U193"/>
  <c r="W193" s="1"/>
  <c r="I193" i="8" s="1"/>
  <c r="U186" i="6"/>
  <c r="W186" s="1"/>
  <c r="U146"/>
  <c r="F14" i="11" s="1"/>
  <c r="U149" i="6"/>
  <c r="F12" i="11" s="1"/>
  <c r="F8" i="10"/>
  <c r="H4" i="7"/>
  <c r="V139" i="6"/>
  <c r="J5" i="1"/>
  <c r="K5" s="1"/>
  <c r="I4" i="7"/>
  <c r="W139" i="6"/>
  <c r="S120" i="7"/>
  <c r="R120"/>
  <c r="F61" i="10"/>
  <c r="H135" i="7"/>
  <c r="S129"/>
  <c r="R129"/>
  <c r="J724" i="39"/>
  <c r="K724" s="1"/>
  <c r="I111" i="7"/>
  <c r="AD111" i="6"/>
  <c r="F21" i="10"/>
  <c r="H85" i="7"/>
  <c r="S19"/>
  <c r="R19"/>
  <c r="U190"/>
  <c r="W190" s="1"/>
  <c r="I190" i="8" s="1"/>
  <c r="S65" i="7"/>
  <c r="R65"/>
  <c r="U211"/>
  <c r="W211" s="1"/>
  <c r="I211" i="8" s="1"/>
  <c r="U180" i="7"/>
  <c r="W180" s="1"/>
  <c r="I180" i="8" s="1"/>
  <c r="U148" i="7"/>
  <c r="W148" s="1"/>
  <c r="I148" i="8" s="1"/>
  <c r="R216" i="6"/>
  <c r="R217" s="1"/>
  <c r="U140"/>
  <c r="E65" i="27"/>
  <c r="H65" s="1"/>
  <c r="AA151" i="6"/>
  <c r="M21" i="7"/>
  <c r="L21"/>
  <c r="H17"/>
  <c r="AA17" i="6"/>
  <c r="U214"/>
  <c r="V214" s="1"/>
  <c r="M59" i="7"/>
  <c r="L59"/>
  <c r="M53"/>
  <c r="L53"/>
  <c r="M43"/>
  <c r="L43"/>
  <c r="F43" i="10"/>
  <c r="H117" i="7"/>
  <c r="F25" i="10"/>
  <c r="H103" i="7"/>
  <c r="M95"/>
  <c r="L95"/>
  <c r="F40" i="10"/>
  <c r="H108" i="7"/>
  <c r="M98"/>
  <c r="L98"/>
  <c r="M94"/>
  <c r="L94"/>
  <c r="M90"/>
  <c r="L90"/>
  <c r="M86"/>
  <c r="L86"/>
  <c r="M80"/>
  <c r="L80"/>
  <c r="M76"/>
  <c r="L76"/>
  <c r="M66"/>
  <c r="L66"/>
  <c r="M56"/>
  <c r="L56"/>
  <c r="M52"/>
  <c r="L52"/>
  <c r="M48"/>
  <c r="L48"/>
  <c r="S29"/>
  <c r="R29"/>
  <c r="L7"/>
  <c r="M7"/>
  <c r="U142" i="6"/>
  <c r="W142" s="1"/>
  <c r="L215" i="8"/>
  <c r="M215"/>
  <c r="U188" i="6"/>
  <c r="W188" s="1"/>
  <c r="U170"/>
  <c r="U177"/>
  <c r="U161"/>
  <c r="W161" s="1"/>
  <c r="U145"/>
  <c r="M126" i="7"/>
  <c r="L126"/>
  <c r="H12"/>
  <c r="J13" i="1"/>
  <c r="S33" i="7"/>
  <c r="R33"/>
  <c r="U195"/>
  <c r="W195" s="1"/>
  <c r="I195" i="8" s="1"/>
  <c r="U184" i="7"/>
  <c r="F88" i="27" s="1"/>
  <c r="U214" i="7"/>
  <c r="W214" s="1"/>
  <c r="I214" i="8" s="1"/>
  <c r="U206" i="7"/>
  <c r="F86" i="27"/>
  <c r="U182" i="7"/>
  <c r="W182" s="1"/>
  <c r="I182" i="8" s="1"/>
  <c r="L13" i="7"/>
  <c r="M13"/>
  <c r="U157"/>
  <c r="W157" s="1"/>
  <c r="I157" i="8" s="1"/>
  <c r="U141" i="7"/>
  <c r="F38" i="10"/>
  <c r="H109" i="7"/>
  <c r="S63"/>
  <c r="R63"/>
  <c r="F41" i="10"/>
  <c r="H125" i="7"/>
  <c r="S121"/>
  <c r="R121"/>
  <c r="M107"/>
  <c r="L107"/>
  <c r="S42"/>
  <c r="R42"/>
  <c r="F13" i="10"/>
  <c r="H36" i="7"/>
  <c r="U158"/>
  <c r="U142"/>
  <c r="W142" s="1"/>
  <c r="I142" i="8" s="1"/>
  <c r="M87" i="7"/>
  <c r="L87"/>
  <c r="H10"/>
  <c r="J11" i="1"/>
  <c r="K11" s="1"/>
  <c r="AA143" i="7"/>
  <c r="AA114" i="6"/>
  <c r="V187"/>
  <c r="AA187" s="1"/>
  <c r="V179"/>
  <c r="AA179" s="1"/>
  <c r="V171"/>
  <c r="AA171" s="1"/>
  <c r="V163"/>
  <c r="AA163" s="1"/>
  <c r="V155"/>
  <c r="W155"/>
  <c r="V147"/>
  <c r="W147"/>
  <c r="AA131"/>
  <c r="G845" i="39"/>
  <c r="AA133" i="6"/>
  <c r="V200" i="7"/>
  <c r="W200"/>
  <c r="I200" i="8" s="1"/>
  <c r="V175" i="6"/>
  <c r="W175"/>
  <c r="V159"/>
  <c r="W159"/>
  <c r="V200"/>
  <c r="W200"/>
  <c r="V196" i="7"/>
  <c r="H196" i="8" s="1"/>
  <c r="W196" i="7"/>
  <c r="I196" i="8" s="1"/>
  <c r="V175" i="7"/>
  <c r="H175" i="8" s="1"/>
  <c r="W175" i="7"/>
  <c r="I175" i="8" s="1"/>
  <c r="V159" i="7"/>
  <c r="H159" i="8" s="1"/>
  <c r="W159" i="7"/>
  <c r="I159" i="8" s="1"/>
  <c r="AA108" i="6"/>
  <c r="AA192" i="7"/>
  <c r="AA138" i="6"/>
  <c r="AA118"/>
  <c r="AA136"/>
  <c r="AA105"/>
  <c r="AA73"/>
  <c r="AA49"/>
  <c r="AA18"/>
  <c r="AA84"/>
  <c r="AA69"/>
  <c r="AA85"/>
  <c r="O62" i="35" l="1"/>
  <c r="R62" s="1"/>
  <c r="O112"/>
  <c r="R112" s="1"/>
  <c r="O82"/>
  <c r="R82" s="1"/>
  <c r="R11" i="7"/>
  <c r="L4"/>
  <c r="O166" i="35"/>
  <c r="R166" s="1"/>
  <c r="O165"/>
  <c r="R165" s="1"/>
  <c r="O72" i="36"/>
  <c r="R72" s="1"/>
  <c r="O163" i="35"/>
  <c r="R163" s="1"/>
  <c r="O146"/>
  <c r="R146" s="1"/>
  <c r="O40" i="36"/>
  <c r="R40" s="1"/>
  <c r="N8" i="26"/>
  <c r="N9" s="1"/>
  <c r="O142" i="35"/>
  <c r="R142" s="1"/>
  <c r="O108"/>
  <c r="R108" s="1"/>
  <c r="O158"/>
  <c r="R158" s="1"/>
  <c r="O144"/>
  <c r="R144" s="1"/>
  <c r="O31" i="36"/>
  <c r="R31" s="1"/>
  <c r="O95"/>
  <c r="R95" s="1"/>
  <c r="O96" i="35"/>
  <c r="R96" s="1"/>
  <c r="O63" i="36"/>
  <c r="R63" s="1"/>
  <c r="O48" i="35"/>
  <c r="R48" s="1"/>
  <c r="O160"/>
  <c r="R160" s="1"/>
  <c r="AA151" i="7"/>
  <c r="G14" i="11"/>
  <c r="I200" i="29" s="1"/>
  <c r="AA187" i="7"/>
  <c r="M143" i="8"/>
  <c r="S143" s="1"/>
  <c r="T143" s="1"/>
  <c r="O76" i="35"/>
  <c r="R76" s="1"/>
  <c r="O30"/>
  <c r="R30" s="1"/>
  <c r="O64"/>
  <c r="R64" s="1"/>
  <c r="O124"/>
  <c r="R124" s="1"/>
  <c r="O156"/>
  <c r="R156" s="1"/>
  <c r="O46"/>
  <c r="R46" s="1"/>
  <c r="W141" i="6"/>
  <c r="H968" i="39"/>
  <c r="AA197" i="6"/>
  <c r="F19" i="11"/>
  <c r="O19" i="36"/>
  <c r="R19" s="1"/>
  <c r="O83"/>
  <c r="R83" s="1"/>
  <c r="O71"/>
  <c r="R71" s="1"/>
  <c r="O27" i="35"/>
  <c r="R27" s="1"/>
  <c r="O59"/>
  <c r="R59" s="1"/>
  <c r="O91"/>
  <c r="R91" s="1"/>
  <c r="O123"/>
  <c r="R123" s="1"/>
  <c r="O155"/>
  <c r="R155" s="1"/>
  <c r="O137" i="36"/>
  <c r="R137" s="1"/>
  <c r="O33" i="35"/>
  <c r="R33" s="1"/>
  <c r="O65"/>
  <c r="R65" s="1"/>
  <c r="O97"/>
  <c r="R97" s="1"/>
  <c r="O129"/>
  <c r="R129" s="1"/>
  <c r="O161"/>
  <c r="R161" s="1"/>
  <c r="O157" i="36"/>
  <c r="R157" s="1"/>
  <c r="O60" i="35"/>
  <c r="R60" s="1"/>
  <c r="O29"/>
  <c r="R29" s="1"/>
  <c r="O61"/>
  <c r="R61" s="1"/>
  <c r="O93"/>
  <c r="R93" s="1"/>
  <c r="O125"/>
  <c r="R125" s="1"/>
  <c r="O157"/>
  <c r="R157" s="1"/>
  <c r="O147" i="36"/>
  <c r="R147" s="1"/>
  <c r="O94" i="35"/>
  <c r="R94" s="1"/>
  <c r="O145" i="36"/>
  <c r="R145" s="1"/>
  <c r="O92" i="35"/>
  <c r="R92" s="1"/>
  <c r="O45"/>
  <c r="R45" s="1"/>
  <c r="O77"/>
  <c r="R77" s="1"/>
  <c r="O109"/>
  <c r="R109" s="1"/>
  <c r="O141"/>
  <c r="R141" s="1"/>
  <c r="O163" i="36"/>
  <c r="R163" s="1"/>
  <c r="O131"/>
  <c r="R131" s="1"/>
  <c r="O161"/>
  <c r="R161" s="1"/>
  <c r="O129"/>
  <c r="R129" s="1"/>
  <c r="O51"/>
  <c r="R51" s="1"/>
  <c r="O115"/>
  <c r="R115" s="1"/>
  <c r="O39"/>
  <c r="R39" s="1"/>
  <c r="O103"/>
  <c r="R103" s="1"/>
  <c r="O43" i="35"/>
  <c r="R43" s="1"/>
  <c r="O75"/>
  <c r="R75" s="1"/>
  <c r="O107"/>
  <c r="R107" s="1"/>
  <c r="O139"/>
  <c r="R139" s="1"/>
  <c r="O153" i="36"/>
  <c r="R153" s="1"/>
  <c r="AA212" i="7"/>
  <c r="AA155"/>
  <c r="F18" i="11"/>
  <c r="E124" i="29" s="1"/>
  <c r="E126" s="1"/>
  <c r="M167" i="8"/>
  <c r="S167" s="1"/>
  <c r="T167" s="1"/>
  <c r="O67" i="36"/>
  <c r="R67" s="1"/>
  <c r="O41" i="35"/>
  <c r="R41" s="1"/>
  <c r="O73"/>
  <c r="R73" s="1"/>
  <c r="O105"/>
  <c r="R105" s="1"/>
  <c r="O137"/>
  <c r="R137" s="1"/>
  <c r="O159" i="36"/>
  <c r="R159" s="1"/>
  <c r="O127"/>
  <c r="R127" s="1"/>
  <c r="O23" i="35"/>
  <c r="R23" s="1"/>
  <c r="O55"/>
  <c r="R55" s="1"/>
  <c r="O87"/>
  <c r="R87" s="1"/>
  <c r="O119"/>
  <c r="R119" s="1"/>
  <c r="O151"/>
  <c r="R151" s="1"/>
  <c r="O149" i="36"/>
  <c r="R149" s="1"/>
  <c r="O21" i="35"/>
  <c r="R21" s="1"/>
  <c r="O53"/>
  <c r="R53" s="1"/>
  <c r="O85"/>
  <c r="R85" s="1"/>
  <c r="O117"/>
  <c r="R117" s="1"/>
  <c r="O149"/>
  <c r="R149" s="1"/>
  <c r="O155" i="36"/>
  <c r="R155" s="1"/>
  <c r="O75"/>
  <c r="R75" s="1"/>
  <c r="O47"/>
  <c r="R47" s="1"/>
  <c r="O111"/>
  <c r="R111" s="1"/>
  <c r="O151"/>
  <c r="R151" s="1"/>
  <c r="O35"/>
  <c r="R35" s="1"/>
  <c r="O31" i="35"/>
  <c r="R31" s="1"/>
  <c r="O63"/>
  <c r="R63" s="1"/>
  <c r="O95"/>
  <c r="R95" s="1"/>
  <c r="O127"/>
  <c r="R127" s="1"/>
  <c r="O159"/>
  <c r="R159" s="1"/>
  <c r="O55" i="36"/>
  <c r="R55" s="1"/>
  <c r="O119"/>
  <c r="R119" s="1"/>
  <c r="O27"/>
  <c r="R27" s="1"/>
  <c r="O91"/>
  <c r="R91" s="1"/>
  <c r="O19" i="35"/>
  <c r="R19" s="1"/>
  <c r="O51"/>
  <c r="R51" s="1"/>
  <c r="O83"/>
  <c r="R83" s="1"/>
  <c r="O115"/>
  <c r="R115" s="1"/>
  <c r="O147"/>
  <c r="R147" s="1"/>
  <c r="AA167" i="7"/>
  <c r="G20" i="11"/>
  <c r="AA147" i="7"/>
  <c r="AA179"/>
  <c r="W140" i="6"/>
  <c r="I140" i="7" s="1"/>
  <c r="I216" s="1"/>
  <c r="Y12" i="22"/>
  <c r="O25" i="35"/>
  <c r="R25" s="1"/>
  <c r="O57"/>
  <c r="R57" s="1"/>
  <c r="O89"/>
  <c r="R89" s="1"/>
  <c r="O121"/>
  <c r="R121" s="1"/>
  <c r="O153"/>
  <c r="R153" s="1"/>
  <c r="O143" i="36"/>
  <c r="R143" s="1"/>
  <c r="O39" i="35"/>
  <c r="R39" s="1"/>
  <c r="O71"/>
  <c r="R71" s="1"/>
  <c r="O103"/>
  <c r="R103" s="1"/>
  <c r="O135"/>
  <c r="R135" s="1"/>
  <c r="O165" i="36"/>
  <c r="R165" s="1"/>
  <c r="O133"/>
  <c r="R133" s="1"/>
  <c r="O37" i="35"/>
  <c r="R37" s="1"/>
  <c r="O69"/>
  <c r="R69" s="1"/>
  <c r="O101"/>
  <c r="R101" s="1"/>
  <c r="O133"/>
  <c r="R133" s="1"/>
  <c r="O139" i="36"/>
  <c r="R139" s="1"/>
  <c r="O43"/>
  <c r="R43" s="1"/>
  <c r="O107"/>
  <c r="R107" s="1"/>
  <c r="O15"/>
  <c r="R15" s="1"/>
  <c r="O79"/>
  <c r="R79" s="1"/>
  <c r="O135"/>
  <c r="R135" s="1"/>
  <c r="O99"/>
  <c r="R99" s="1"/>
  <c r="O47" i="35"/>
  <c r="R47" s="1"/>
  <c r="O79"/>
  <c r="R79" s="1"/>
  <c r="O111"/>
  <c r="R111" s="1"/>
  <c r="O143"/>
  <c r="R143" s="1"/>
  <c r="AA171" i="7"/>
  <c r="AA194"/>
  <c r="M208" i="8"/>
  <c r="S208" s="1"/>
  <c r="T208" s="1"/>
  <c r="O49" i="35"/>
  <c r="R49" s="1"/>
  <c r="O81"/>
  <c r="R81" s="1"/>
  <c r="O113"/>
  <c r="R113" s="1"/>
  <c r="O145"/>
  <c r="R145" s="1"/>
  <c r="O141" i="36"/>
  <c r="R141" s="1"/>
  <c r="O23"/>
  <c r="R23" s="1"/>
  <c r="O87"/>
  <c r="R87" s="1"/>
  <c r="O126" i="35"/>
  <c r="R126" s="1"/>
  <c r="O59" i="36"/>
  <c r="R59" s="1"/>
  <c r="O123"/>
  <c r="R123" s="1"/>
  <c r="O35" i="35"/>
  <c r="R35" s="1"/>
  <c r="O67"/>
  <c r="R67" s="1"/>
  <c r="O99"/>
  <c r="R99" s="1"/>
  <c r="O131"/>
  <c r="R131" s="1"/>
  <c r="N1" i="36"/>
  <c r="R11"/>
  <c r="O12" i="35"/>
  <c r="I1"/>
  <c r="N1"/>
  <c r="O167" i="36"/>
  <c r="R167" s="1"/>
  <c r="I1"/>
  <c r="I3" s="1"/>
  <c r="M155" i="8"/>
  <c r="R155" s="1"/>
  <c r="L179"/>
  <c r="S179" s="1"/>
  <c r="T179" s="1"/>
  <c r="M147"/>
  <c r="R147" s="1"/>
  <c r="L187"/>
  <c r="R187" s="1"/>
  <c r="F22" i="11"/>
  <c r="M194" i="8"/>
  <c r="S194" s="1"/>
  <c r="T194" s="1"/>
  <c r="M151"/>
  <c r="AA208" i="7"/>
  <c r="G12" i="11"/>
  <c r="F17"/>
  <c r="AA183" i="7"/>
  <c r="G13" i="11"/>
  <c r="AA163" i="7"/>
  <c r="AA204"/>
  <c r="G17" i="11"/>
  <c r="F20"/>
  <c r="F8"/>
  <c r="F158" i="26" s="1"/>
  <c r="K846" i="39"/>
  <c r="G23" i="11"/>
  <c r="L192" i="8"/>
  <c r="S192" s="1"/>
  <c r="T192" s="1"/>
  <c r="V213" i="6"/>
  <c r="AA213" s="1"/>
  <c r="L183" i="8"/>
  <c r="S183" s="1"/>
  <c r="T183" s="1"/>
  <c r="L163"/>
  <c r="S163" s="1"/>
  <c r="T163" s="1"/>
  <c r="M204"/>
  <c r="R204" s="1"/>
  <c r="L151"/>
  <c r="R151" s="1"/>
  <c r="V173" i="6"/>
  <c r="AA173" s="1"/>
  <c r="V165"/>
  <c r="AA165" s="1"/>
  <c r="V154"/>
  <c r="AA154" s="1"/>
  <c r="AA200"/>
  <c r="AA159"/>
  <c r="AA175"/>
  <c r="V157" i="7"/>
  <c r="H157" i="8" s="1"/>
  <c r="L157" s="1"/>
  <c r="V214" i="7"/>
  <c r="H214" i="8" s="1"/>
  <c r="M214" s="1"/>
  <c r="V195" i="7"/>
  <c r="H195" i="8" s="1"/>
  <c r="L195" s="1"/>
  <c r="F25" i="11"/>
  <c r="V149" i="6"/>
  <c r="W149"/>
  <c r="V186"/>
  <c r="AA186" s="1"/>
  <c r="V150"/>
  <c r="AA150" s="1"/>
  <c r="V198"/>
  <c r="W198"/>
  <c r="V168"/>
  <c r="AA168" s="1"/>
  <c r="V209"/>
  <c r="AA209" s="1"/>
  <c r="V169"/>
  <c r="AA169" s="1"/>
  <c r="V154" i="7"/>
  <c r="V148" i="6"/>
  <c r="W148"/>
  <c r="V193"/>
  <c r="AA193" s="1"/>
  <c r="V174"/>
  <c r="AA174" s="1"/>
  <c r="V210"/>
  <c r="AA210" s="1"/>
  <c r="V191"/>
  <c r="AA191" s="1"/>
  <c r="AA143"/>
  <c r="V194"/>
  <c r="AA194" s="1"/>
  <c r="N12" i="28"/>
  <c r="O12"/>
  <c r="V177" i="7"/>
  <c r="H177" i="8" s="1"/>
  <c r="I177"/>
  <c r="AA177" i="7"/>
  <c r="V142"/>
  <c r="H142" i="8" s="1"/>
  <c r="L142" s="1"/>
  <c r="V206" i="7"/>
  <c r="H206" i="8" s="1"/>
  <c r="W206" i="7"/>
  <c r="I206" i="8" s="1"/>
  <c r="V184" i="7"/>
  <c r="H184" i="8" s="1"/>
  <c r="W184" i="7"/>
  <c r="I184" i="8" s="1"/>
  <c r="V140" i="6"/>
  <c r="V148" i="7"/>
  <c r="H148" i="8" s="1"/>
  <c r="L148" s="1"/>
  <c r="V211" i="7"/>
  <c r="H211" i="8" s="1"/>
  <c r="L211" s="1"/>
  <c r="I139" i="7"/>
  <c r="V146" i="6"/>
  <c r="W146"/>
  <c r="V193" i="7"/>
  <c r="H193" i="8" s="1"/>
  <c r="L193" s="1"/>
  <c r="V202" i="7"/>
  <c r="H202" i="8" s="1"/>
  <c r="M202" s="1"/>
  <c r="V176" i="7"/>
  <c r="H176" i="8" s="1"/>
  <c r="L176" s="1"/>
  <c r="V144" i="7"/>
  <c r="H144" i="8" s="1"/>
  <c r="M144" s="1"/>
  <c r="V199" i="7"/>
  <c r="H199" i="8" s="1"/>
  <c r="L199" s="1"/>
  <c r="V213" i="7"/>
  <c r="H213" i="8" s="1"/>
  <c r="M213" s="1"/>
  <c r="V156" i="7"/>
  <c r="H156" i="8" s="1"/>
  <c r="L156" s="1"/>
  <c r="V205" i="6"/>
  <c r="AA205" s="1"/>
  <c r="E44" i="27"/>
  <c r="F23" i="11"/>
  <c r="V206" i="6"/>
  <c r="AA206" s="1"/>
  <c r="V153"/>
  <c r="AA153" s="1"/>
  <c r="V170" i="7"/>
  <c r="H170" i="8" s="1"/>
  <c r="L170" s="1"/>
  <c r="V173" i="7"/>
  <c r="V164" i="6"/>
  <c r="AA164" s="1"/>
  <c r="H197" i="8"/>
  <c r="AA197" i="7"/>
  <c r="AA139" i="6"/>
  <c r="G22" i="11"/>
  <c r="V157" i="6"/>
  <c r="AA157" s="1"/>
  <c r="F148" i="26"/>
  <c r="H153" i="29"/>
  <c r="I115"/>
  <c r="I118"/>
  <c r="H200" i="8"/>
  <c r="AA200" i="7"/>
  <c r="W42"/>
  <c r="I42" i="8" s="1"/>
  <c r="V42" i="7"/>
  <c r="H42" i="8" s="1"/>
  <c r="M12" i="7"/>
  <c r="L12"/>
  <c r="S52"/>
  <c r="R52"/>
  <c r="S66"/>
  <c r="R66"/>
  <c r="S80"/>
  <c r="R80"/>
  <c r="S90"/>
  <c r="R90"/>
  <c r="S98"/>
  <c r="R98"/>
  <c r="M159" i="8"/>
  <c r="L159"/>
  <c r="M196"/>
  <c r="L196"/>
  <c r="L10" i="7"/>
  <c r="M10"/>
  <c r="W121"/>
  <c r="I121" i="8" s="1"/>
  <c r="V121" i="7"/>
  <c r="H121" i="8" s="1"/>
  <c r="M125" i="7"/>
  <c r="L125"/>
  <c r="W63"/>
  <c r="I63" i="8" s="1"/>
  <c r="V63" i="7"/>
  <c r="M109"/>
  <c r="L109"/>
  <c r="F49" i="27"/>
  <c r="S13" i="7"/>
  <c r="R13"/>
  <c r="W33"/>
  <c r="I33" i="8" s="1"/>
  <c r="V33" i="7"/>
  <c r="H33" i="8" s="1"/>
  <c r="S126" i="7"/>
  <c r="R126"/>
  <c r="R215" i="8"/>
  <c r="S215"/>
  <c r="R7" i="7"/>
  <c r="S7"/>
  <c r="W29"/>
  <c r="I29" i="8" s="1"/>
  <c r="V29" i="7"/>
  <c r="H29" i="8" s="1"/>
  <c r="S48" i="7"/>
  <c r="R48"/>
  <c r="S56"/>
  <c r="R56"/>
  <c r="S76"/>
  <c r="R76"/>
  <c r="S86"/>
  <c r="R86"/>
  <c r="S94"/>
  <c r="R94"/>
  <c r="M108"/>
  <c r="L108"/>
  <c r="S95"/>
  <c r="R95"/>
  <c r="S53"/>
  <c r="R53"/>
  <c r="S21"/>
  <c r="R21"/>
  <c r="W65"/>
  <c r="I65" i="8" s="1"/>
  <c r="V65" i="7"/>
  <c r="H65" i="8" s="1"/>
  <c r="W129" i="7"/>
  <c r="I129" i="8" s="1"/>
  <c r="V129" i="7"/>
  <c r="H129" i="8" s="1"/>
  <c r="M135" i="7"/>
  <c r="L135"/>
  <c r="W120"/>
  <c r="I120" i="8" s="1"/>
  <c r="V120" i="7"/>
  <c r="H120" i="8" s="1"/>
  <c r="H139" i="7"/>
  <c r="M4"/>
  <c r="S72"/>
  <c r="R72"/>
  <c r="W37"/>
  <c r="I37" i="8" s="1"/>
  <c r="V37" i="7"/>
  <c r="W61"/>
  <c r="I61" i="8" s="1"/>
  <c r="V61" i="7"/>
  <c r="H61" i="8" s="1"/>
  <c r="W79" i="7"/>
  <c r="I79" i="8" s="1"/>
  <c r="V79" i="7"/>
  <c r="H79" i="8" s="1"/>
  <c r="M16" i="7"/>
  <c r="L16"/>
  <c r="S30"/>
  <c r="R30"/>
  <c r="S81"/>
  <c r="R81"/>
  <c r="S97"/>
  <c r="R97"/>
  <c r="R115"/>
  <c r="S115"/>
  <c r="M18"/>
  <c r="L18"/>
  <c r="S40"/>
  <c r="R40"/>
  <c r="M123"/>
  <c r="L123"/>
  <c r="L137"/>
  <c r="M137"/>
  <c r="E72" i="27"/>
  <c r="L112" i="7"/>
  <c r="M112"/>
  <c r="M83"/>
  <c r="L83"/>
  <c r="M54"/>
  <c r="L54"/>
  <c r="M68"/>
  <c r="L68"/>
  <c r="W24"/>
  <c r="I24" i="8" s="1"/>
  <c r="V24" i="7"/>
  <c r="H24" i="8" s="1"/>
  <c r="H1076" i="39"/>
  <c r="J968"/>
  <c r="K968" s="1"/>
  <c r="P12"/>
  <c r="W106" i="7"/>
  <c r="I106" i="8" s="1"/>
  <c r="V106" i="7"/>
  <c r="H106" i="8" s="1"/>
  <c r="W46" i="7"/>
  <c r="I46" i="8" s="1"/>
  <c r="V46" i="7"/>
  <c r="S31"/>
  <c r="R31"/>
  <c r="S64"/>
  <c r="R64"/>
  <c r="M82"/>
  <c r="L82"/>
  <c r="S92"/>
  <c r="R92"/>
  <c r="W47"/>
  <c r="I47" i="8" s="1"/>
  <c r="V47" i="7"/>
  <c r="H47" i="8" s="1"/>
  <c r="S91" i="7"/>
  <c r="R91"/>
  <c r="F51" i="27"/>
  <c r="L138" i="7"/>
  <c r="M138"/>
  <c r="S15"/>
  <c r="R15"/>
  <c r="F275" i="26"/>
  <c r="F273"/>
  <c r="M58" i="7"/>
  <c r="L58"/>
  <c r="W62"/>
  <c r="I62" i="8" s="1"/>
  <c r="V62" i="7"/>
  <c r="S39"/>
  <c r="R39"/>
  <c r="F7" i="11"/>
  <c r="T216" i="6"/>
  <c r="T217" s="1"/>
  <c r="S11" i="7"/>
  <c r="R9"/>
  <c r="S9"/>
  <c r="S102"/>
  <c r="R102"/>
  <c r="M34"/>
  <c r="L34"/>
  <c r="S101"/>
  <c r="R101"/>
  <c r="M132"/>
  <c r="L132"/>
  <c r="S122"/>
  <c r="R122"/>
  <c r="M111"/>
  <c r="L111"/>
  <c r="W128"/>
  <c r="I128" i="8" s="1"/>
  <c r="V128" i="7"/>
  <c r="H128" i="8" s="1"/>
  <c r="S41" i="7"/>
  <c r="R41"/>
  <c r="S57"/>
  <c r="R57"/>
  <c r="M133"/>
  <c r="L133"/>
  <c r="M23"/>
  <c r="L23"/>
  <c r="W38"/>
  <c r="I38" i="8" s="1"/>
  <c r="V38" i="7"/>
  <c r="W51"/>
  <c r="I51" i="8" s="1"/>
  <c r="V51" i="7"/>
  <c r="W71"/>
  <c r="I71" i="8" s="1"/>
  <c r="V71" i="7"/>
  <c r="W110"/>
  <c r="I110" i="8" s="1"/>
  <c r="V110" i="7"/>
  <c r="E54" i="27"/>
  <c r="G1075" i="39"/>
  <c r="O12"/>
  <c r="S60" i="7"/>
  <c r="R60"/>
  <c r="F145" i="26"/>
  <c r="M114" i="7"/>
  <c r="L114"/>
  <c r="E49" i="27"/>
  <c r="M45" i="7"/>
  <c r="L45"/>
  <c r="AA147" i="6"/>
  <c r="AA155"/>
  <c r="V158" i="7"/>
  <c r="H158" i="8" s="1"/>
  <c r="W158" i="7"/>
  <c r="I158" i="8" s="1"/>
  <c r="V141" i="7"/>
  <c r="H141" i="8" s="1"/>
  <c r="W141" i="7"/>
  <c r="I141" i="8" s="1"/>
  <c r="V182" i="7"/>
  <c r="F91" i="27"/>
  <c r="V145" i="6"/>
  <c r="W145"/>
  <c r="V161"/>
  <c r="AA161" s="1"/>
  <c r="V177"/>
  <c r="W177"/>
  <c r="V170"/>
  <c r="W170"/>
  <c r="V188"/>
  <c r="AA188" s="1"/>
  <c r="V142"/>
  <c r="AA142" s="1"/>
  <c r="U216"/>
  <c r="U217" s="1"/>
  <c r="V180" i="7"/>
  <c r="H180" i="8" s="1"/>
  <c r="V190" i="7"/>
  <c r="H190" i="8" s="1"/>
  <c r="F72" i="27"/>
  <c r="V174" i="7"/>
  <c r="H174" i="8" s="1"/>
  <c r="W174" i="7"/>
  <c r="I174" i="8" s="1"/>
  <c r="V210" i="7"/>
  <c r="W210"/>
  <c r="I210" i="8" s="1"/>
  <c r="V191" i="7"/>
  <c r="F44" i="27"/>
  <c r="F45" i="10"/>
  <c r="V166" i="6"/>
  <c r="AA166" s="1"/>
  <c r="V152"/>
  <c r="W152"/>
  <c r="V203"/>
  <c r="AA203" s="1"/>
  <c r="V189"/>
  <c r="W189"/>
  <c r="V178" i="7"/>
  <c r="H178" i="8" s="1"/>
  <c r="W178" i="7"/>
  <c r="I178" i="8" s="1"/>
  <c r="V172" i="6"/>
  <c r="W172"/>
  <c r="V207"/>
  <c r="W207"/>
  <c r="V202"/>
  <c r="W202"/>
  <c r="V176"/>
  <c r="W176"/>
  <c r="F29" i="10"/>
  <c r="V201" i="7"/>
  <c r="W201"/>
  <c r="I201" i="8" s="1"/>
  <c r="AA175" i="7"/>
  <c r="G10" i="11"/>
  <c r="V185" i="6"/>
  <c r="AA185" s="1"/>
  <c r="V160" i="7"/>
  <c r="H160" i="8" s="1"/>
  <c r="V205" i="7"/>
  <c r="H205" i="8" s="1"/>
  <c r="V162" i="6"/>
  <c r="AA162" s="1"/>
  <c r="V207" i="7"/>
  <c r="H207" i="8" s="1"/>
  <c r="V158" i="6"/>
  <c r="AA158" s="1"/>
  <c r="V190"/>
  <c r="AA190" s="1"/>
  <c r="V144"/>
  <c r="AA144" s="1"/>
  <c r="V160"/>
  <c r="AA160" s="1"/>
  <c r="V199"/>
  <c r="W199"/>
  <c r="V149" i="7"/>
  <c r="V165"/>
  <c r="V181"/>
  <c r="V146"/>
  <c r="V162"/>
  <c r="V186"/>
  <c r="V156" i="6"/>
  <c r="W156"/>
  <c r="V180"/>
  <c r="AA180" s="1"/>
  <c r="V201"/>
  <c r="W201"/>
  <c r="V211"/>
  <c r="AA211" s="1"/>
  <c r="V182"/>
  <c r="AA182" s="1"/>
  <c r="W214"/>
  <c r="AA214" s="1"/>
  <c r="V184"/>
  <c r="W184"/>
  <c r="V195"/>
  <c r="AA195" s="1"/>
  <c r="V181"/>
  <c r="AA181" s="1"/>
  <c r="F52" i="10"/>
  <c r="V145" i="7"/>
  <c r="V164"/>
  <c r="V150"/>
  <c r="V166"/>
  <c r="W166"/>
  <c r="I166" i="8" s="1"/>
  <c r="V198" i="7"/>
  <c r="V152"/>
  <c r="V168"/>
  <c r="V203"/>
  <c r="V209"/>
  <c r="V153"/>
  <c r="V185"/>
  <c r="W185"/>
  <c r="I185" i="8" s="1"/>
  <c r="V141" i="6"/>
  <c r="V161" i="7"/>
  <c r="V188"/>
  <c r="W188"/>
  <c r="I188" i="8" s="1"/>
  <c r="V169" i="7"/>
  <c r="V189"/>
  <c r="V178" i="6"/>
  <c r="AA178" s="1"/>
  <c r="V172" i="7"/>
  <c r="Z12" i="22"/>
  <c r="G11" i="11"/>
  <c r="H235" i="29" s="1"/>
  <c r="G16" i="11"/>
  <c r="M175" i="8"/>
  <c r="L175"/>
  <c r="S87" i="7"/>
  <c r="R87"/>
  <c r="M36"/>
  <c r="L36"/>
  <c r="S107"/>
  <c r="R107"/>
  <c r="M103"/>
  <c r="L103"/>
  <c r="L117"/>
  <c r="M117"/>
  <c r="S43"/>
  <c r="R43"/>
  <c r="S59"/>
  <c r="R59"/>
  <c r="M17"/>
  <c r="L17"/>
  <c r="W19"/>
  <c r="I19" i="8" s="1"/>
  <c r="V19" i="7"/>
  <c r="H19" i="8" s="1"/>
  <c r="M85" i="7"/>
  <c r="L85"/>
  <c r="F55" i="13"/>
  <c r="F18" i="10"/>
  <c r="S119" i="7"/>
  <c r="R119"/>
  <c r="M84"/>
  <c r="L84"/>
  <c r="M104"/>
  <c r="L104"/>
  <c r="L116"/>
  <c r="M116"/>
  <c r="S32"/>
  <c r="R32"/>
  <c r="S22"/>
  <c r="R22"/>
  <c r="S73"/>
  <c r="R73"/>
  <c r="S89"/>
  <c r="R89"/>
  <c r="M105"/>
  <c r="L105"/>
  <c r="W44"/>
  <c r="I44" i="8" s="1"/>
  <c r="V44" i="7"/>
  <c r="H44" i="8" s="1"/>
  <c r="E53" i="27"/>
  <c r="M134" i="7"/>
  <c r="L134"/>
  <c r="M127"/>
  <c r="L127"/>
  <c r="M74"/>
  <c r="L74"/>
  <c r="M26"/>
  <c r="L26"/>
  <c r="M77"/>
  <c r="L77"/>
  <c r="M93"/>
  <c r="L93"/>
  <c r="L113"/>
  <c r="M113"/>
  <c r="R8"/>
  <c r="S8"/>
  <c r="M88"/>
  <c r="L88"/>
  <c r="M96"/>
  <c r="L96"/>
  <c r="S70"/>
  <c r="R70"/>
  <c r="S50"/>
  <c r="R50"/>
  <c r="S78"/>
  <c r="R78"/>
  <c r="M100"/>
  <c r="L100"/>
  <c r="S20"/>
  <c r="R20"/>
  <c r="S99"/>
  <c r="R99"/>
  <c r="E71" i="27"/>
  <c r="M25" i="7"/>
  <c r="L25"/>
  <c r="W124"/>
  <c r="I124" i="8" s="1"/>
  <c r="V124" i="7"/>
  <c r="L136"/>
  <c r="M136"/>
  <c r="S118"/>
  <c r="R118"/>
  <c r="F162" i="26"/>
  <c r="F160"/>
  <c r="M67" i="7"/>
  <c r="L67"/>
  <c r="W75"/>
  <c r="I75" i="8" s="1"/>
  <c r="V75" i="7"/>
  <c r="E51" i="27"/>
  <c r="D102" i="37"/>
  <c r="L5" i="7"/>
  <c r="M5"/>
  <c r="R212" i="8"/>
  <c r="S212"/>
  <c r="T212" s="1"/>
  <c r="W27" i="7"/>
  <c r="I27" i="8" s="1"/>
  <c r="V27" i="7"/>
  <c r="S28"/>
  <c r="R28"/>
  <c r="M14"/>
  <c r="L14"/>
  <c r="M130"/>
  <c r="L130"/>
  <c r="W35"/>
  <c r="I35" i="8" s="1"/>
  <c r="V35" i="7"/>
  <c r="H35" i="8" s="1"/>
  <c r="M6" i="7"/>
  <c r="L6"/>
  <c r="S49"/>
  <c r="R49"/>
  <c r="M69"/>
  <c r="L69"/>
  <c r="F66" i="10"/>
  <c r="F54"/>
  <c r="S171" i="8"/>
  <c r="T171" s="1"/>
  <c r="R171"/>
  <c r="S131" i="7"/>
  <c r="R131"/>
  <c r="W55"/>
  <c r="I55" i="8" s="1"/>
  <c r="V55" i="7"/>
  <c r="G25" i="11"/>
  <c r="AA159" i="7"/>
  <c r="AA196"/>
  <c r="F13" i="11"/>
  <c r="E91" i="27"/>
  <c r="F54"/>
  <c r="G19" i="11"/>
  <c r="G967" i="39"/>
  <c r="G8" i="11"/>
  <c r="F16"/>
  <c r="H37" i="8" l="1"/>
  <c r="M37" s="1"/>
  <c r="O9" i="26"/>
  <c r="O10" s="1"/>
  <c r="R208" i="8"/>
  <c r="U208" s="1"/>
  <c r="V208" s="1"/>
  <c r="R143"/>
  <c r="U143" s="1"/>
  <c r="W143" s="1"/>
  <c r="L35"/>
  <c r="L128"/>
  <c r="L47"/>
  <c r="L106"/>
  <c r="L79"/>
  <c r="L61"/>
  <c r="L37"/>
  <c r="L120"/>
  <c r="L129"/>
  <c r="L65"/>
  <c r="L29"/>
  <c r="L33"/>
  <c r="L44"/>
  <c r="L19"/>
  <c r="L24"/>
  <c r="L121"/>
  <c r="L42"/>
  <c r="R4" i="7"/>
  <c r="H208" i="28"/>
  <c r="H209" s="1"/>
  <c r="AA195" i="7"/>
  <c r="S155" i="8"/>
  <c r="T155" s="1"/>
  <c r="E206" i="29"/>
  <c r="E208" s="1"/>
  <c r="R167" i="8"/>
  <c r="U167" s="1"/>
  <c r="K428" i="40" s="1"/>
  <c r="R194" i="8"/>
  <c r="U194" s="1"/>
  <c r="W194" s="1"/>
  <c r="R179"/>
  <c r="U179" s="1"/>
  <c r="W179" s="1"/>
  <c r="AA140" i="6"/>
  <c r="Z13" i="22"/>
  <c r="AA141" i="6"/>
  <c r="S147" i="8"/>
  <c r="T147" s="1"/>
  <c r="L214"/>
  <c r="R214" s="1"/>
  <c r="M148"/>
  <c r="R148" s="1"/>
  <c r="R163"/>
  <c r="U163" s="1"/>
  <c r="W163" s="1"/>
  <c r="AA180" i="7"/>
  <c r="S151" i="8"/>
  <c r="T151" s="1"/>
  <c r="L202"/>
  <c r="R202" s="1"/>
  <c r="S187"/>
  <c r="T187" s="1"/>
  <c r="M156"/>
  <c r="R156" s="1"/>
  <c r="M199"/>
  <c r="S199" s="1"/>
  <c r="T199" s="1"/>
  <c r="M193"/>
  <c r="R193" s="1"/>
  <c r="S204"/>
  <c r="T204" s="1"/>
  <c r="R192"/>
  <c r="U192" s="1"/>
  <c r="W192" s="1"/>
  <c r="M211"/>
  <c r="S211" s="1"/>
  <c r="T211" s="1"/>
  <c r="R183"/>
  <c r="U183" s="1"/>
  <c r="G87" i="27" s="1"/>
  <c r="H87" s="1"/>
  <c r="R12" i="35"/>
  <c r="O1"/>
  <c r="O1" i="36"/>
  <c r="M157" i="8"/>
  <c r="S157" s="1"/>
  <c r="T157" s="1"/>
  <c r="AA193" i="7"/>
  <c r="AA211"/>
  <c r="M184" i="8"/>
  <c r="M177"/>
  <c r="AA213" i="7"/>
  <c r="AA202" i="6"/>
  <c r="AA160" i="7"/>
  <c r="AA190"/>
  <c r="L213" i="8"/>
  <c r="S213" s="1"/>
  <c r="T213" s="1"/>
  <c r="L144"/>
  <c r="S144" s="1"/>
  <c r="T144" s="1"/>
  <c r="F30" i="10"/>
  <c r="M142" i="8"/>
  <c r="S142" s="1"/>
  <c r="T142" s="1"/>
  <c r="AA63" i="7"/>
  <c r="AA148"/>
  <c r="I217"/>
  <c r="AA202"/>
  <c r="AA144"/>
  <c r="AA214"/>
  <c r="AA142"/>
  <c r="W216" i="6"/>
  <c r="W217" s="1"/>
  <c r="AA19" i="7"/>
  <c r="AA207"/>
  <c r="M170" i="8"/>
  <c r="R170" s="1"/>
  <c r="M176"/>
  <c r="R176" s="1"/>
  <c r="H140" i="7"/>
  <c r="M140" s="1"/>
  <c r="M216" s="1"/>
  <c r="AA156"/>
  <c r="M195" i="8"/>
  <c r="R195" s="1"/>
  <c r="AA176" i="7"/>
  <c r="L184" i="8"/>
  <c r="M206"/>
  <c r="L177"/>
  <c r="AA198" i="6"/>
  <c r="L206" i="8"/>
  <c r="H154"/>
  <c r="AA154" i="7"/>
  <c r="AA120"/>
  <c r="AA121"/>
  <c r="AA205"/>
  <c r="E21" i="27"/>
  <c r="AA42" i="7"/>
  <c r="AA129"/>
  <c r="AA170"/>
  <c r="AA199"/>
  <c r="AA184"/>
  <c r="AA206"/>
  <c r="AA157"/>
  <c r="N13" i="28"/>
  <c r="AA148" i="6"/>
  <c r="AA149"/>
  <c r="AA184"/>
  <c r="AA201"/>
  <c r="AA176"/>
  <c r="AA207"/>
  <c r="AA172"/>
  <c r="AA189"/>
  <c r="G1089" i="39"/>
  <c r="O13" i="28"/>
  <c r="AA46" i="7"/>
  <c r="V216" i="6"/>
  <c r="V217" s="1"/>
  <c r="AA37" i="7"/>
  <c r="AA65"/>
  <c r="L197" i="8"/>
  <c r="M197"/>
  <c r="H173"/>
  <c r="AA173" i="7"/>
  <c r="AA35"/>
  <c r="AA145" i="6"/>
  <c r="AA47" i="7"/>
  <c r="AA79"/>
  <c r="AA29"/>
  <c r="AA146" i="6"/>
  <c r="I235" i="29"/>
  <c r="I234" s="1"/>
  <c r="H234"/>
  <c r="F159" i="26"/>
  <c r="F272"/>
  <c r="H55" i="8"/>
  <c r="L55" s="1"/>
  <c r="AA55" i="7"/>
  <c r="U187" i="8"/>
  <c r="U171"/>
  <c r="W171" s="1"/>
  <c r="U155"/>
  <c r="S69" i="7"/>
  <c r="R69"/>
  <c r="R14"/>
  <c r="S14"/>
  <c r="U212" i="8"/>
  <c r="V212" s="1"/>
  <c r="S5" i="7"/>
  <c r="R5"/>
  <c r="F102" i="37"/>
  <c r="D103"/>
  <c r="H75" i="8"/>
  <c r="L75" s="1"/>
  <c r="AA75" i="7"/>
  <c r="S67"/>
  <c r="R67"/>
  <c r="R136"/>
  <c r="S136"/>
  <c r="H124" i="8"/>
  <c r="L124" s="1"/>
  <c r="AA124" i="7"/>
  <c r="S25"/>
  <c r="R25"/>
  <c r="W78"/>
  <c r="I78" i="8" s="1"/>
  <c r="V78" i="7"/>
  <c r="H78" i="8" s="1"/>
  <c r="W50" i="7"/>
  <c r="I50" i="8" s="1"/>
  <c r="V50" i="7"/>
  <c r="H50" i="8" s="1"/>
  <c r="S88" i="7"/>
  <c r="R88"/>
  <c r="V8"/>
  <c r="H8" i="8" s="1"/>
  <c r="W8" i="7"/>
  <c r="I8" i="8" s="1"/>
  <c r="R113" i="7"/>
  <c r="S113"/>
  <c r="S93"/>
  <c r="R93"/>
  <c r="S26"/>
  <c r="R26"/>
  <c r="S127"/>
  <c r="R127"/>
  <c r="S134"/>
  <c r="R134"/>
  <c r="W89"/>
  <c r="I89" i="8" s="1"/>
  <c r="V89" i="7"/>
  <c r="H89" i="8" s="1"/>
  <c r="W73" i="7"/>
  <c r="I73" i="8" s="1"/>
  <c r="V73" i="7"/>
  <c r="H73" i="8" s="1"/>
  <c r="W22" i="7"/>
  <c r="I22" i="8" s="1"/>
  <c r="V22" i="7"/>
  <c r="H22" i="8" s="1"/>
  <c r="W32" i="7"/>
  <c r="I32" i="8" s="1"/>
  <c r="V32" i="7"/>
  <c r="H32" i="8" s="1"/>
  <c r="S84" i="7"/>
  <c r="R84"/>
  <c r="F56" i="13"/>
  <c r="G54"/>
  <c r="M19" i="8"/>
  <c r="S17" i="7"/>
  <c r="R17"/>
  <c r="R117"/>
  <c r="S117"/>
  <c r="S103"/>
  <c r="R103"/>
  <c r="W107"/>
  <c r="I107" i="8" s="1"/>
  <c r="V107" i="7"/>
  <c r="H107" i="8" s="1"/>
  <c r="S36" i="7"/>
  <c r="R36"/>
  <c r="W87"/>
  <c r="I87" i="8" s="1"/>
  <c r="V87" i="7"/>
  <c r="H87" i="8" s="1"/>
  <c r="S175"/>
  <c r="T175" s="1"/>
  <c r="R175"/>
  <c r="H169"/>
  <c r="AA169" i="7"/>
  <c r="H188" i="8"/>
  <c r="AA188" i="7"/>
  <c r="H185" i="8"/>
  <c r="AA185" i="7"/>
  <c r="H153" i="8"/>
  <c r="AA153" i="7"/>
  <c r="H209" i="8"/>
  <c r="AA209" i="7"/>
  <c r="H168" i="8"/>
  <c r="AA168" i="7"/>
  <c r="H198" i="8"/>
  <c r="AA198" i="7"/>
  <c r="H166" i="8"/>
  <c r="AA166" i="7"/>
  <c r="H164" i="8"/>
  <c r="AA164" i="7"/>
  <c r="H186" i="8"/>
  <c r="AA186" i="7"/>
  <c r="H146" i="8"/>
  <c r="AA146" i="7"/>
  <c r="H165" i="8"/>
  <c r="AA165" i="7"/>
  <c r="L207" i="8"/>
  <c r="M207"/>
  <c r="M178"/>
  <c r="L178"/>
  <c r="H191"/>
  <c r="AA191" i="7"/>
  <c r="H210" i="8"/>
  <c r="AA210" i="7"/>
  <c r="M174" i="8"/>
  <c r="L174"/>
  <c r="H182"/>
  <c r="AA182" i="7"/>
  <c r="M141" i="8"/>
  <c r="L141"/>
  <c r="M158"/>
  <c r="L158"/>
  <c r="N216" s="1"/>
  <c r="S45" i="7"/>
  <c r="R45"/>
  <c r="E48" i="27"/>
  <c r="E45" s="1"/>
  <c r="W60" i="7"/>
  <c r="I60" i="8" s="1"/>
  <c r="V60" i="7"/>
  <c r="H60" i="8" s="1"/>
  <c r="G1197" i="39"/>
  <c r="O13"/>
  <c r="H110" i="8"/>
  <c r="L110" s="1"/>
  <c r="AA110" i="7"/>
  <c r="H71" i="8"/>
  <c r="L71" s="1"/>
  <c r="AA71" i="7"/>
  <c r="H51" i="8"/>
  <c r="L51" s="1"/>
  <c r="AA51" i="7"/>
  <c r="H38" i="8"/>
  <c r="L38" s="1"/>
  <c r="AA38" i="7"/>
  <c r="S23"/>
  <c r="R23"/>
  <c r="W57"/>
  <c r="I57" i="8" s="1"/>
  <c r="V57" i="7"/>
  <c r="W41"/>
  <c r="I41" i="8" s="1"/>
  <c r="V41" i="7"/>
  <c r="H41" i="8" s="1"/>
  <c r="W122" i="7"/>
  <c r="I122" i="8" s="1"/>
  <c r="V122" i="7"/>
  <c r="H122" i="8" s="1"/>
  <c r="S132" i="7"/>
  <c r="R132"/>
  <c r="W102"/>
  <c r="I102" i="8" s="1"/>
  <c r="V102" i="7"/>
  <c r="H102" i="8" s="1"/>
  <c r="W11" i="7"/>
  <c r="I11" i="8" s="1"/>
  <c r="V11" i="7"/>
  <c r="H11" i="8" s="1"/>
  <c r="W39" i="7"/>
  <c r="I39" i="8" s="1"/>
  <c r="V39" i="7"/>
  <c r="H39" i="8" s="1"/>
  <c r="H62"/>
  <c r="L62" s="1"/>
  <c r="AA62" i="7"/>
  <c r="S58"/>
  <c r="R58"/>
  <c r="R138"/>
  <c r="S138"/>
  <c r="W91"/>
  <c r="I91" i="8" s="1"/>
  <c r="V91" i="7"/>
  <c r="H91" i="8" s="1"/>
  <c r="W64" i="7"/>
  <c r="I64" i="8" s="1"/>
  <c r="V64" i="7"/>
  <c r="W31"/>
  <c r="I31" i="8" s="1"/>
  <c r="V31" i="7"/>
  <c r="M106" i="8"/>
  <c r="H1198" i="39"/>
  <c r="R12"/>
  <c r="P13"/>
  <c r="M24" i="8"/>
  <c r="S68" i="7"/>
  <c r="R68"/>
  <c r="S83"/>
  <c r="R83"/>
  <c r="R112"/>
  <c r="S112"/>
  <c r="W40"/>
  <c r="I40" i="8" s="1"/>
  <c r="V40" i="7"/>
  <c r="H40" i="8" s="1"/>
  <c r="S18" i="7"/>
  <c r="R18"/>
  <c r="V115"/>
  <c r="H115" i="8" s="1"/>
  <c r="W115" i="7"/>
  <c r="I115" i="8" s="1"/>
  <c r="M61"/>
  <c r="L139" i="7"/>
  <c r="S4"/>
  <c r="M129" i="8"/>
  <c r="W94" i="7"/>
  <c r="I94" i="8" s="1"/>
  <c r="V94" i="7"/>
  <c r="H94" i="8" s="1"/>
  <c r="W86" i="7"/>
  <c r="I86" i="8" s="1"/>
  <c r="V86" i="7"/>
  <c r="H86" i="8" s="1"/>
  <c r="W76" i="7"/>
  <c r="I76" i="8" s="1"/>
  <c r="V76" i="7"/>
  <c r="H76" i="8" s="1"/>
  <c r="W56" i="7"/>
  <c r="I56" i="8" s="1"/>
  <c r="V56" i="7"/>
  <c r="H56" i="8" s="1"/>
  <c r="W48" i="7"/>
  <c r="I48" i="8" s="1"/>
  <c r="V48" i="7"/>
  <c r="H48" i="8" s="1"/>
  <c r="V7" i="7"/>
  <c r="H7" i="8" s="1"/>
  <c r="W7" i="7"/>
  <c r="I7" i="8" s="1"/>
  <c r="V215"/>
  <c r="W215"/>
  <c r="M33"/>
  <c r="W13" i="7"/>
  <c r="I13" i="8" s="1"/>
  <c r="V13" i="7"/>
  <c r="H13" i="8" s="1"/>
  <c r="S109" i="7"/>
  <c r="R109"/>
  <c r="M121" i="8"/>
  <c r="S159"/>
  <c r="T159" s="1"/>
  <c r="R159"/>
  <c r="M42"/>
  <c r="H152" i="29"/>
  <c r="I153"/>
  <c r="I152" s="1"/>
  <c r="F271" i="26"/>
  <c r="AA44" i="7"/>
  <c r="AA152" i="6"/>
  <c r="F53" i="10"/>
  <c r="F67" s="1"/>
  <c r="AA170" i="6"/>
  <c r="AA177"/>
  <c r="AA141" i="7"/>
  <c r="AA128"/>
  <c r="T222" i="6"/>
  <c r="T223" s="1"/>
  <c r="H1090" i="39"/>
  <c r="AA178" i="7"/>
  <c r="I126" i="29"/>
  <c r="F163" i="26" s="1"/>
  <c r="F261"/>
  <c r="U204" i="8"/>
  <c r="W131" i="7"/>
  <c r="I131" i="8" s="1"/>
  <c r="V131" i="7"/>
  <c r="H131" i="8" s="1"/>
  <c r="W49" i="7"/>
  <c r="I49" i="8" s="1"/>
  <c r="V49" i="7"/>
  <c r="H49" i="8" s="1"/>
  <c r="S6" i="7"/>
  <c r="R6"/>
  <c r="M35" i="8"/>
  <c r="S130" i="7"/>
  <c r="R130"/>
  <c r="U151" i="8"/>
  <c r="W28" i="7"/>
  <c r="I28" i="8" s="1"/>
  <c r="V28" i="7"/>
  <c r="H28" i="8" s="1"/>
  <c r="H27"/>
  <c r="L27" s="1"/>
  <c r="AA27" i="7"/>
  <c r="W118"/>
  <c r="I118" i="8" s="1"/>
  <c r="V118" i="7"/>
  <c r="H118" i="8" s="1"/>
  <c r="W99" i="7"/>
  <c r="I99" i="8" s="1"/>
  <c r="V99" i="7"/>
  <c r="H99" i="8" s="1"/>
  <c r="W20" i="7"/>
  <c r="I20" i="8" s="1"/>
  <c r="V20" i="7"/>
  <c r="H20" i="8" s="1"/>
  <c r="S100" i="7"/>
  <c r="R100"/>
  <c r="W70"/>
  <c r="I70" i="8" s="1"/>
  <c r="V70" i="7"/>
  <c r="H70" i="8" s="1"/>
  <c r="S96" i="7"/>
  <c r="R96"/>
  <c r="S77"/>
  <c r="R77"/>
  <c r="S74"/>
  <c r="R74"/>
  <c r="M44" i="8"/>
  <c r="S105" i="7"/>
  <c r="R105"/>
  <c r="R116"/>
  <c r="S116"/>
  <c r="S104"/>
  <c r="R104"/>
  <c r="W119"/>
  <c r="I119" i="8" s="1"/>
  <c r="V119" i="7"/>
  <c r="H119" i="8" s="1"/>
  <c r="S85" i="7"/>
  <c r="R85"/>
  <c r="W59"/>
  <c r="I59" i="8" s="1"/>
  <c r="V59" i="7"/>
  <c r="H59" i="8" s="1"/>
  <c r="W43" i="7"/>
  <c r="I43" i="8" s="1"/>
  <c r="V43" i="7"/>
  <c r="H43" i="8" s="1"/>
  <c r="H172"/>
  <c r="AA172" i="7"/>
  <c r="H189" i="8"/>
  <c r="AA189" i="7"/>
  <c r="H161" i="8"/>
  <c r="AA161" i="7"/>
  <c r="H203" i="8"/>
  <c r="AA203" i="7"/>
  <c r="H152" i="8"/>
  <c r="AA152" i="7"/>
  <c r="H150" i="8"/>
  <c r="AA150" i="7"/>
  <c r="H145" i="8"/>
  <c r="AA145" i="7"/>
  <c r="H162" i="8"/>
  <c r="AA162" i="7"/>
  <c r="H181" i="8"/>
  <c r="AA181" i="7"/>
  <c r="H149" i="8"/>
  <c r="AA149" i="7"/>
  <c r="L205" i="8"/>
  <c r="M205"/>
  <c r="M160"/>
  <c r="L160"/>
  <c r="H201"/>
  <c r="AA201" i="7"/>
  <c r="M190" i="8"/>
  <c r="L190"/>
  <c r="M180"/>
  <c r="L180"/>
  <c r="S114" i="7"/>
  <c r="R114"/>
  <c r="U147" i="8"/>
  <c r="S133" i="7"/>
  <c r="R133"/>
  <c r="M128" i="8"/>
  <c r="S111" i="7"/>
  <c r="R111"/>
  <c r="W101"/>
  <c r="I101" i="8" s="1"/>
  <c r="V101" i="7"/>
  <c r="H101" i="8" s="1"/>
  <c r="S34" i="7"/>
  <c r="R34"/>
  <c r="V9"/>
  <c r="H9" i="8" s="1"/>
  <c r="W9" i="7"/>
  <c r="I9" i="8" s="1"/>
  <c r="F9" i="11"/>
  <c r="F24" s="1"/>
  <c r="F147" i="26"/>
  <c r="F146" s="1"/>
  <c r="F141" s="1"/>
  <c r="W15" i="7"/>
  <c r="I15" i="8" s="1"/>
  <c r="V15" i="7"/>
  <c r="H15" i="8" s="1"/>
  <c r="M47"/>
  <c r="W92" i="7"/>
  <c r="I92" i="8" s="1"/>
  <c r="V92" i="7"/>
  <c r="H92" i="8" s="1"/>
  <c r="S82" i="7"/>
  <c r="R82"/>
  <c r="H46" i="8"/>
  <c r="L46" s="1"/>
  <c r="I45" i="4"/>
  <c r="I46" s="1"/>
  <c r="S54" i="7"/>
  <c r="R54"/>
  <c r="R137"/>
  <c r="S137"/>
  <c r="S123"/>
  <c r="R123"/>
  <c r="W97"/>
  <c r="I97" i="8" s="1"/>
  <c r="V97" i="7"/>
  <c r="H97" i="8" s="1"/>
  <c r="W81" i="7"/>
  <c r="I81" i="8" s="1"/>
  <c r="V81" i="7"/>
  <c r="H81" i="8" s="1"/>
  <c r="W30" i="7"/>
  <c r="I30" i="8" s="1"/>
  <c r="V30" i="7"/>
  <c r="H30" i="8" s="1"/>
  <c r="S16" i="7"/>
  <c r="R16"/>
  <c r="M79" i="8"/>
  <c r="W72" i="7"/>
  <c r="I72" i="8" s="1"/>
  <c r="V72" i="7"/>
  <c r="H72" i="8" s="1"/>
  <c r="M120"/>
  <c r="S135" i="7"/>
  <c r="R135"/>
  <c r="M65" i="8"/>
  <c r="W21" i="7"/>
  <c r="I21" i="8" s="1"/>
  <c r="V21" i="7"/>
  <c r="H21" i="8" s="1"/>
  <c r="W53" i="7"/>
  <c r="I53" i="8" s="1"/>
  <c r="V53" i="7"/>
  <c r="H53" i="8" s="1"/>
  <c r="W95" i="7"/>
  <c r="I95" i="8" s="1"/>
  <c r="V95" i="7"/>
  <c r="H95" i="8" s="1"/>
  <c r="S108" i="7"/>
  <c r="R108"/>
  <c r="M29" i="8"/>
  <c r="W126" i="7"/>
  <c r="I126" i="8" s="1"/>
  <c r="V126" i="7"/>
  <c r="H126" i="8" s="1"/>
  <c r="H63"/>
  <c r="L63" s="1"/>
  <c r="S125" i="7"/>
  <c r="R125"/>
  <c r="R10"/>
  <c r="S10"/>
  <c r="S196" i="8"/>
  <c r="T196" s="1"/>
  <c r="R196"/>
  <c r="W98" i="7"/>
  <c r="I98" i="8" s="1"/>
  <c r="V98" i="7"/>
  <c r="W90"/>
  <c r="I90" i="8" s="1"/>
  <c r="V90" i="7"/>
  <c r="W80"/>
  <c r="I80" i="8" s="1"/>
  <c r="V80" i="7"/>
  <c r="W66"/>
  <c r="I66" i="8" s="1"/>
  <c r="V66" i="7"/>
  <c r="W52"/>
  <c r="I52" i="8" s="1"/>
  <c r="V52" i="7"/>
  <c r="R12"/>
  <c r="S12"/>
  <c r="M200" i="8"/>
  <c r="L200"/>
  <c r="AA156" i="6"/>
  <c r="AA199"/>
  <c r="Y13" i="22"/>
  <c r="AA158" i="7"/>
  <c r="AA106"/>
  <c r="AA24"/>
  <c r="AA61"/>
  <c r="M139"/>
  <c r="AA33"/>
  <c r="F48" i="27"/>
  <c r="F45" s="1"/>
  <c r="AA174" i="7"/>
  <c r="I197" i="29"/>
  <c r="I208" s="1"/>
  <c r="F276" i="26" s="1"/>
  <c r="N10" l="1"/>
  <c r="N11" s="1"/>
  <c r="L95" i="8"/>
  <c r="L53"/>
  <c r="L21"/>
  <c r="L72"/>
  <c r="L30"/>
  <c r="L81"/>
  <c r="L97"/>
  <c r="L92"/>
  <c r="L9"/>
  <c r="R157"/>
  <c r="U157" s="1"/>
  <c r="L70"/>
  <c r="L20"/>
  <c r="L99"/>
  <c r="L118"/>
  <c r="L28"/>
  <c r="L49"/>
  <c r="L131"/>
  <c r="L13"/>
  <c r="L115"/>
  <c r="L91"/>
  <c r="L32"/>
  <c r="L22"/>
  <c r="L73"/>
  <c r="L89"/>
  <c r="L50"/>
  <c r="L78"/>
  <c r="L7"/>
  <c r="L87"/>
  <c r="L107"/>
  <c r="L8"/>
  <c r="L126"/>
  <c r="L15"/>
  <c r="L101"/>
  <c r="L43"/>
  <c r="L59"/>
  <c r="L119"/>
  <c r="L48"/>
  <c r="L56"/>
  <c r="L76"/>
  <c r="L86"/>
  <c r="L94"/>
  <c r="L40"/>
  <c r="L39"/>
  <c r="L11"/>
  <c r="L102"/>
  <c r="L122"/>
  <c r="L41"/>
  <c r="L60"/>
  <c r="J371" i="40"/>
  <c r="S214" i="8"/>
  <c r="T214" s="1"/>
  <c r="S202"/>
  <c r="T202" s="1"/>
  <c r="W147"/>
  <c r="W155"/>
  <c r="W187"/>
  <c r="Y14" i="22"/>
  <c r="N14" i="28"/>
  <c r="O14"/>
  <c r="S193" i="8"/>
  <c r="T193" s="1"/>
  <c r="S148"/>
  <c r="T148" s="1"/>
  <c r="S156"/>
  <c r="T156" s="1"/>
  <c r="W204"/>
  <c r="R199"/>
  <c r="U199" s="1"/>
  <c r="H11" i="11" s="1"/>
  <c r="R211" i="8"/>
  <c r="U211" s="1"/>
  <c r="V211" s="1"/>
  <c r="F161" i="26"/>
  <c r="F164" s="1"/>
  <c r="F166" s="1"/>
  <c r="F168" s="1"/>
  <c r="F169" s="1"/>
  <c r="F171" s="1"/>
  <c r="F200" s="1"/>
  <c r="F206" s="1"/>
  <c r="R213" i="8"/>
  <c r="U213" s="1"/>
  <c r="V213" s="1"/>
  <c r="H1212" i="39"/>
  <c r="S176" i="8"/>
  <c r="T176" s="1"/>
  <c r="S177"/>
  <c r="T177" s="1"/>
  <c r="R177"/>
  <c r="U177" s="1"/>
  <c r="S184"/>
  <c r="T184" s="1"/>
  <c r="R142"/>
  <c r="U142" s="1"/>
  <c r="S206"/>
  <c r="T206" s="1"/>
  <c r="R144"/>
  <c r="U144" s="1"/>
  <c r="W144" s="1"/>
  <c r="F68" i="10"/>
  <c r="V222" i="6"/>
  <c r="AA49" i="7"/>
  <c r="AA115"/>
  <c r="R184" i="8"/>
  <c r="U184" s="1"/>
  <c r="G88" i="27" s="1"/>
  <c r="H88" s="1"/>
  <c r="H216" i="7"/>
  <c r="H217" s="1"/>
  <c r="I220" s="1"/>
  <c r="P220" s="1"/>
  <c r="W220" s="1"/>
  <c r="S170" i="8"/>
  <c r="T170" s="1"/>
  <c r="AA8" i="7"/>
  <c r="S195" i="8"/>
  <c r="T195" s="1"/>
  <c r="AA107" i="7"/>
  <c r="L140"/>
  <c r="L216" s="1"/>
  <c r="L217" s="1"/>
  <c r="R206" i="8"/>
  <c r="U206" s="1"/>
  <c r="AA118" i="7"/>
  <c r="AA78"/>
  <c r="AA32"/>
  <c r="AA22"/>
  <c r="M154" i="8"/>
  <c r="L154"/>
  <c r="AA119" i="7"/>
  <c r="AA28"/>
  <c r="AA43"/>
  <c r="AA73"/>
  <c r="AA70"/>
  <c r="AA99"/>
  <c r="AA87"/>
  <c r="AA89"/>
  <c r="AA50"/>
  <c r="AA57"/>
  <c r="AA60"/>
  <c r="V171" i="8"/>
  <c r="AA171" s="1"/>
  <c r="AA30" i="7"/>
  <c r="AA76"/>
  <c r="AA95"/>
  <c r="V147" i="8"/>
  <c r="V179"/>
  <c r="AA179" s="1"/>
  <c r="V143"/>
  <c r="AA143" s="1"/>
  <c r="V192"/>
  <c r="AA192" s="1"/>
  <c r="V151"/>
  <c r="W151"/>
  <c r="AA13" i="7"/>
  <c r="AA31"/>
  <c r="AA64"/>
  <c r="AA91"/>
  <c r="AA39"/>
  <c r="AA102"/>
  <c r="L173" i="8"/>
  <c r="M173"/>
  <c r="S197"/>
  <c r="R197"/>
  <c r="U197" s="1"/>
  <c r="AA126" i="7"/>
  <c r="AA21"/>
  <c r="AA97"/>
  <c r="V163" i="8"/>
  <c r="AA163" s="1"/>
  <c r="V194"/>
  <c r="AA194" s="1"/>
  <c r="V204"/>
  <c r="AA7" i="7"/>
  <c r="AA48"/>
  <c r="AA94"/>
  <c r="AA40"/>
  <c r="V183" i="8"/>
  <c r="W183"/>
  <c r="AA41" i="7"/>
  <c r="W208" i="8"/>
  <c r="AA208" s="1"/>
  <c r="H52"/>
  <c r="L52" s="1"/>
  <c r="AA52" i="7"/>
  <c r="H66" i="8"/>
  <c r="L66" s="1"/>
  <c r="AA66" i="7"/>
  <c r="H80" i="8"/>
  <c r="L80" s="1"/>
  <c r="AA80" i="7"/>
  <c r="H90" i="8"/>
  <c r="L90" s="1"/>
  <c r="AA90" i="7"/>
  <c r="H98" i="8"/>
  <c r="L98" s="1"/>
  <c r="AA98" i="7"/>
  <c r="U196" i="8"/>
  <c r="W196" s="1"/>
  <c r="W125" i="7"/>
  <c r="V125"/>
  <c r="R29" i="8"/>
  <c r="S29"/>
  <c r="W108" i="7"/>
  <c r="I108" i="8" s="1"/>
  <c r="V108" i="7"/>
  <c r="M53" i="8"/>
  <c r="R65"/>
  <c r="S65"/>
  <c r="W135" i="7"/>
  <c r="I135" i="8" s="1"/>
  <c r="V135" i="7"/>
  <c r="M72" i="8"/>
  <c r="R79"/>
  <c r="S79"/>
  <c r="W16" i="7"/>
  <c r="I16" i="8" s="1"/>
  <c r="V16" i="7"/>
  <c r="H16" i="8" s="1"/>
  <c r="M81"/>
  <c r="V137" i="7"/>
  <c r="W137"/>
  <c r="I137" i="8" s="1"/>
  <c r="M46"/>
  <c r="M92"/>
  <c r="M15"/>
  <c r="F26" i="11"/>
  <c r="F28" s="1"/>
  <c r="I108" i="29"/>
  <c r="I127" s="1"/>
  <c r="M9" i="8"/>
  <c r="M101"/>
  <c r="W111" i="7"/>
  <c r="V111"/>
  <c r="S128" i="8"/>
  <c r="R128"/>
  <c r="S190"/>
  <c r="T190" s="1"/>
  <c r="R190"/>
  <c r="M201"/>
  <c r="L201"/>
  <c r="M149"/>
  <c r="L149"/>
  <c r="M181"/>
  <c r="L181"/>
  <c r="M162"/>
  <c r="L162"/>
  <c r="M145"/>
  <c r="L145"/>
  <c r="M150"/>
  <c r="L150"/>
  <c r="M152"/>
  <c r="L152"/>
  <c r="M203"/>
  <c r="L203"/>
  <c r="M161"/>
  <c r="L161"/>
  <c r="M189"/>
  <c r="L189"/>
  <c r="M172"/>
  <c r="L172"/>
  <c r="V116" i="7"/>
  <c r="W116"/>
  <c r="I116" i="8" s="1"/>
  <c r="R44"/>
  <c r="S44"/>
  <c r="W74" i="7"/>
  <c r="I74" i="8" s="1"/>
  <c r="V74" i="7"/>
  <c r="W77"/>
  <c r="I77" i="8" s="1"/>
  <c r="V77" i="7"/>
  <c r="H77" i="8" s="1"/>
  <c r="W96" i="7"/>
  <c r="I96" i="8" s="1"/>
  <c r="V96" i="7"/>
  <c r="H96" i="8" s="1"/>
  <c r="M70"/>
  <c r="W100" i="7"/>
  <c r="I100" i="8" s="1"/>
  <c r="V100" i="7"/>
  <c r="M20" i="8"/>
  <c r="M99"/>
  <c r="U156"/>
  <c r="M118"/>
  <c r="U170"/>
  <c r="K426" i="40" s="1"/>
  <c r="M28" i="8"/>
  <c r="R35"/>
  <c r="S35"/>
  <c r="W6" i="7"/>
  <c r="I6" i="8" s="1"/>
  <c r="V6" i="7"/>
  <c r="M49" i="8"/>
  <c r="M131"/>
  <c r="R42"/>
  <c r="S42"/>
  <c r="U195"/>
  <c r="U159"/>
  <c r="W159" s="1"/>
  <c r="M13"/>
  <c r="M7"/>
  <c r="M48"/>
  <c r="M76"/>
  <c r="M94"/>
  <c r="S129"/>
  <c r="R129"/>
  <c r="R139" i="7"/>
  <c r="V4"/>
  <c r="W4"/>
  <c r="M115" i="8"/>
  <c r="M40"/>
  <c r="W83" i="7"/>
  <c r="I83" i="8" s="1"/>
  <c r="V83" i="7"/>
  <c r="W68"/>
  <c r="I68" i="8" s="1"/>
  <c r="V68" i="7"/>
  <c r="H31" i="8"/>
  <c r="L31" s="1"/>
  <c r="I30" i="4"/>
  <c r="I31" s="1"/>
  <c r="I2"/>
  <c r="I3" s="1"/>
  <c r="M91" i="8"/>
  <c r="W58" i="7"/>
  <c r="I58" i="8" s="1"/>
  <c r="V58" i="7"/>
  <c r="M62" i="8"/>
  <c r="M39"/>
  <c r="M102"/>
  <c r="W132" i="7"/>
  <c r="I132" i="8" s="1"/>
  <c r="V132" i="7"/>
  <c r="M41" i="8"/>
  <c r="M38"/>
  <c r="M51"/>
  <c r="M71"/>
  <c r="M110"/>
  <c r="M60"/>
  <c r="W45" i="7"/>
  <c r="I45" i="8" s="1"/>
  <c r="V45" i="7"/>
  <c r="H45" i="8" s="1"/>
  <c r="S158"/>
  <c r="T158" s="1"/>
  <c r="R158"/>
  <c r="S174"/>
  <c r="T174" s="1"/>
  <c r="R174"/>
  <c r="L210"/>
  <c r="M210"/>
  <c r="M191"/>
  <c r="L191"/>
  <c r="M165"/>
  <c r="L165"/>
  <c r="M146"/>
  <c r="L146"/>
  <c r="M186"/>
  <c r="L186"/>
  <c r="M164"/>
  <c r="L164"/>
  <c r="M166"/>
  <c r="L166"/>
  <c r="M198"/>
  <c r="L198"/>
  <c r="M168"/>
  <c r="L168"/>
  <c r="L209"/>
  <c r="M209"/>
  <c r="M153"/>
  <c r="L153"/>
  <c r="M185"/>
  <c r="L185"/>
  <c r="M188"/>
  <c r="L188"/>
  <c r="M169"/>
  <c r="L169"/>
  <c r="V117" i="7"/>
  <c r="W117"/>
  <c r="R19" i="8"/>
  <c r="S19"/>
  <c r="U202"/>
  <c r="W84" i="7"/>
  <c r="I84" i="8" s="1"/>
  <c r="V84" i="7"/>
  <c r="M32" i="8"/>
  <c r="M22"/>
  <c r="M73"/>
  <c r="M89"/>
  <c r="W134" i="7"/>
  <c r="I134" i="8" s="1"/>
  <c r="V134" i="7"/>
  <c r="W127"/>
  <c r="I127" i="8" s="1"/>
  <c r="V127" i="7"/>
  <c r="H127" i="8" s="1"/>
  <c r="W26" i="7"/>
  <c r="I26" i="8" s="1"/>
  <c r="V26" i="7"/>
  <c r="H26" i="8" s="1"/>
  <c r="W93" i="7"/>
  <c r="I93" i="8" s="1"/>
  <c r="V93" i="7"/>
  <c r="H93" i="8" s="1"/>
  <c r="W88" i="7"/>
  <c r="I88" i="8" s="1"/>
  <c r="V88" i="7"/>
  <c r="H88" i="8" s="1"/>
  <c r="M50"/>
  <c r="M78"/>
  <c r="W25" i="7"/>
  <c r="I25" i="8" s="1"/>
  <c r="V25" i="7"/>
  <c r="M75" i="8"/>
  <c r="W69" i="7"/>
  <c r="I69" i="8" s="1"/>
  <c r="V69" i="7"/>
  <c r="M55" i="8"/>
  <c r="M217" i="7"/>
  <c r="Z14" i="22"/>
  <c r="H15" i="11"/>
  <c r="I15" s="1"/>
  <c r="AA56" i="7"/>
  <c r="AA86"/>
  <c r="AA11"/>
  <c r="AA122"/>
  <c r="G1211" i="39"/>
  <c r="W212" i="8"/>
  <c r="AA212" s="1"/>
  <c r="V155"/>
  <c r="V187"/>
  <c r="AA131" i="7"/>
  <c r="S200" i="8"/>
  <c r="T200" s="1"/>
  <c r="R200"/>
  <c r="U214"/>
  <c r="J455" i="40" s="1"/>
  <c r="J457" s="1"/>
  <c r="V12" i="7"/>
  <c r="W12"/>
  <c r="I12" i="8" s="1"/>
  <c r="V10" i="7"/>
  <c r="H10" i="8" s="1"/>
  <c r="W10" i="7"/>
  <c r="I10" i="8" s="1"/>
  <c r="M63"/>
  <c r="M126"/>
  <c r="M95"/>
  <c r="M21"/>
  <c r="R120"/>
  <c r="S120"/>
  <c r="R37"/>
  <c r="S37"/>
  <c r="M30"/>
  <c r="M97"/>
  <c r="W123" i="7"/>
  <c r="I123" i="8" s="1"/>
  <c r="V123" i="7"/>
  <c r="W54"/>
  <c r="I54" i="8" s="1"/>
  <c r="V54" i="7"/>
  <c r="H54" i="8" s="1"/>
  <c r="W82" i="7"/>
  <c r="I82" i="8" s="1"/>
  <c r="V82" i="7"/>
  <c r="G28" i="10" s="1"/>
  <c r="R47" i="8"/>
  <c r="S47"/>
  <c r="W34" i="7"/>
  <c r="I34" i="8" s="1"/>
  <c r="V34" i="7"/>
  <c r="W133"/>
  <c r="I133" i="8" s="1"/>
  <c r="V133" i="7"/>
  <c r="W114"/>
  <c r="V114"/>
  <c r="S180" i="8"/>
  <c r="T180" s="1"/>
  <c r="R180"/>
  <c r="S160"/>
  <c r="T160" s="1"/>
  <c r="R160"/>
  <c r="R205"/>
  <c r="S205"/>
  <c r="T205" s="1"/>
  <c r="M43"/>
  <c r="M59"/>
  <c r="U148"/>
  <c r="W85" i="7"/>
  <c r="I85" i="8" s="1"/>
  <c r="V85" i="7"/>
  <c r="U193" i="8"/>
  <c r="U176"/>
  <c r="M119"/>
  <c r="W104" i="7"/>
  <c r="I104" i="8" s="1"/>
  <c r="V104" i="7"/>
  <c r="W105"/>
  <c r="I105" i="8" s="1"/>
  <c r="V105" i="7"/>
  <c r="M27" i="8"/>
  <c r="W130" i="7"/>
  <c r="I130" i="8" s="1"/>
  <c r="V130" i="7"/>
  <c r="R121" i="8"/>
  <c r="S121"/>
  <c r="W109" i="7"/>
  <c r="I109" i="8" s="1"/>
  <c r="V109" i="7"/>
  <c r="R33" i="8"/>
  <c r="S33"/>
  <c r="M56"/>
  <c r="M86"/>
  <c r="R61"/>
  <c r="S61"/>
  <c r="W18" i="7"/>
  <c r="I18" i="8" s="1"/>
  <c r="V18" i="7"/>
  <c r="V112"/>
  <c r="W112"/>
  <c r="I112" i="8" s="1"/>
  <c r="R24"/>
  <c r="S24"/>
  <c r="H1320" i="39"/>
  <c r="J1212"/>
  <c r="P14"/>
  <c r="R14" s="1"/>
  <c r="R106" i="8"/>
  <c r="S106"/>
  <c r="H64"/>
  <c r="L64" s="1"/>
  <c r="V138" i="7"/>
  <c r="W138"/>
  <c r="I138" i="8" s="1"/>
  <c r="M11"/>
  <c r="M122"/>
  <c r="H57"/>
  <c r="L57" s="1"/>
  <c r="W23" i="7"/>
  <c r="I23" i="8" s="1"/>
  <c r="V23" i="7"/>
  <c r="G1319" i="39"/>
  <c r="O14"/>
  <c r="S141" i="8"/>
  <c r="T141" s="1"/>
  <c r="J365" i="40" s="1"/>
  <c r="R141" i="8"/>
  <c r="M182"/>
  <c r="L182"/>
  <c r="S178"/>
  <c r="T178" s="1"/>
  <c r="R178"/>
  <c r="R207"/>
  <c r="S207"/>
  <c r="T207" s="1"/>
  <c r="U175"/>
  <c r="M87"/>
  <c r="W36" i="7"/>
  <c r="I36" i="8" s="1"/>
  <c r="V36" i="7"/>
  <c r="M107" i="8"/>
  <c r="W103" i="7"/>
  <c r="I103" i="8" s="1"/>
  <c r="V103" i="7"/>
  <c r="W17"/>
  <c r="I17" i="8" s="1"/>
  <c r="V17" i="7"/>
  <c r="H17" i="8" s="1"/>
  <c r="V113" i="7"/>
  <c r="H113" i="8" s="1"/>
  <c r="W113" i="7"/>
  <c r="M8" i="8"/>
  <c r="M124"/>
  <c r="V136" i="7"/>
  <c r="W136"/>
  <c r="I136" i="8" s="1"/>
  <c r="W67" i="7"/>
  <c r="I67" i="8" s="1"/>
  <c r="V67" i="7"/>
  <c r="W5"/>
  <c r="I5" i="8" s="1"/>
  <c r="V5" i="7"/>
  <c r="V14"/>
  <c r="W14"/>
  <c r="I14" i="8" s="1"/>
  <c r="G50" i="27"/>
  <c r="H50" s="1"/>
  <c r="K409" i="40"/>
  <c r="AA53" i="7"/>
  <c r="AA72"/>
  <c r="AA81"/>
  <c r="AA92"/>
  <c r="AA15"/>
  <c r="AA101"/>
  <c r="V167" i="8"/>
  <c r="W167"/>
  <c r="S139" i="7"/>
  <c r="AA20"/>
  <c r="AA9"/>
  <c r="AA59"/>
  <c r="F15" i="27" l="1"/>
  <c r="F18"/>
  <c r="G9" s="1"/>
  <c r="O11" i="26"/>
  <c r="O12" s="1"/>
  <c r="R13" i="8"/>
  <c r="R15"/>
  <c r="R9"/>
  <c r="R11"/>
  <c r="L17"/>
  <c r="L54"/>
  <c r="L45"/>
  <c r="L96"/>
  <c r="L77"/>
  <c r="L16"/>
  <c r="L10"/>
  <c r="L88"/>
  <c r="L93"/>
  <c r="L26"/>
  <c r="L127"/>
  <c r="W157"/>
  <c r="AA155"/>
  <c r="W202"/>
  <c r="N15" i="28"/>
  <c r="AA147" i="8"/>
  <c r="O15" i="28"/>
  <c r="V42" i="8"/>
  <c r="AA187"/>
  <c r="Z15" i="22"/>
  <c r="Z16" s="1"/>
  <c r="AA204" i="8"/>
  <c r="S140" i="7"/>
  <c r="S216" s="1"/>
  <c r="S217" s="1"/>
  <c r="W176" i="8"/>
  <c r="W148"/>
  <c r="W177"/>
  <c r="W156"/>
  <c r="K1212" i="39"/>
  <c r="R140" i="7"/>
  <c r="U140" s="1"/>
  <c r="U216" s="1"/>
  <c r="U217" s="1"/>
  <c r="W206" i="8"/>
  <c r="W195"/>
  <c r="AA137" i="7"/>
  <c r="H22" i="11"/>
  <c r="I22" s="1"/>
  <c r="AA100" i="7"/>
  <c r="AA10"/>
  <c r="AA114"/>
  <c r="AA88"/>
  <c r="AA117"/>
  <c r="AA6"/>
  <c r="V170" i="8"/>
  <c r="W170"/>
  <c r="AA116" i="7"/>
  <c r="AA111"/>
  <c r="AA67"/>
  <c r="AA113"/>
  <c r="AA105"/>
  <c r="AA85"/>
  <c r="AA151" i="8"/>
  <c r="AA74" i="7"/>
  <c r="AA96"/>
  <c r="AA77"/>
  <c r="R154" i="8"/>
  <c r="G20" i="27" s="1"/>
  <c r="S154" i="8"/>
  <c r="T154" s="1"/>
  <c r="AA130" i="7"/>
  <c r="AA108"/>
  <c r="AA135"/>
  <c r="AA36"/>
  <c r="AA123"/>
  <c r="AA134"/>
  <c r="AA103"/>
  <c r="AA23"/>
  <c r="AA82"/>
  <c r="W214" i="8"/>
  <c r="AA45" i="7"/>
  <c r="V195" i="8"/>
  <c r="AA195" s="1"/>
  <c r="AA16" i="7"/>
  <c r="F379" i="26"/>
  <c r="T197" i="8"/>
  <c r="R173"/>
  <c r="U173" s="1"/>
  <c r="S173"/>
  <c r="T173" s="1"/>
  <c r="AA167"/>
  <c r="V177"/>
  <c r="AA177" s="1"/>
  <c r="K418" i="40"/>
  <c r="G1333" i="39"/>
  <c r="V176" i="8"/>
  <c r="V148"/>
  <c r="V157"/>
  <c r="AA157" s="1"/>
  <c r="AA133" i="7"/>
  <c r="AA25"/>
  <c r="AA26"/>
  <c r="AA84"/>
  <c r="AA132"/>
  <c r="V156" i="8"/>
  <c r="V184"/>
  <c r="W184"/>
  <c r="AA125" i="7"/>
  <c r="AA183" i="8"/>
  <c r="H14"/>
  <c r="L14" s="1"/>
  <c r="AA14" i="7"/>
  <c r="G15" i="10"/>
  <c r="H67" i="8"/>
  <c r="L67" s="1"/>
  <c r="S124"/>
  <c r="R124"/>
  <c r="R8"/>
  <c r="S8"/>
  <c r="I113"/>
  <c r="L113" s="1"/>
  <c r="AD113" i="7"/>
  <c r="G25" i="10"/>
  <c r="H103" i="8"/>
  <c r="L103" s="1"/>
  <c r="G13" i="10"/>
  <c r="H36" i="8"/>
  <c r="L36" s="1"/>
  <c r="U207"/>
  <c r="V207" s="1"/>
  <c r="U141"/>
  <c r="W141" s="1"/>
  <c r="G1441" i="39"/>
  <c r="O15"/>
  <c r="M57" i="8"/>
  <c r="R122"/>
  <c r="S122"/>
  <c r="G65" i="10"/>
  <c r="H138" i="8"/>
  <c r="L138" s="1"/>
  <c r="AA138" i="7"/>
  <c r="M64" i="8"/>
  <c r="V106"/>
  <c r="W106"/>
  <c r="G9" i="10"/>
  <c r="H18" i="8"/>
  <c r="L18" s="1"/>
  <c r="AA18" i="7"/>
  <c r="R56" i="8"/>
  <c r="S56"/>
  <c r="G38" i="10"/>
  <c r="H109" i="8"/>
  <c r="L109" s="1"/>
  <c r="AA109" i="7"/>
  <c r="G47" i="10"/>
  <c r="H130" i="8"/>
  <c r="L130" s="1"/>
  <c r="G34" i="10"/>
  <c r="H105" i="8"/>
  <c r="L105" s="1"/>
  <c r="G26" i="10"/>
  <c r="H104" i="8"/>
  <c r="L104" s="1"/>
  <c r="R59"/>
  <c r="S59"/>
  <c r="U205"/>
  <c r="H51" i="13" s="1"/>
  <c r="E300" i="29"/>
  <c r="E304" s="1"/>
  <c r="I114" i="8"/>
  <c r="AD114" i="7"/>
  <c r="V47" i="8"/>
  <c r="W47"/>
  <c r="H82"/>
  <c r="L82" s="1"/>
  <c r="G44" i="10"/>
  <c r="H123" i="8"/>
  <c r="L123" s="1"/>
  <c r="R30"/>
  <c r="S30"/>
  <c r="R95"/>
  <c r="S95"/>
  <c r="S126"/>
  <c r="R126"/>
  <c r="R63"/>
  <c r="S63"/>
  <c r="R75"/>
  <c r="S75"/>
  <c r="R78"/>
  <c r="S78"/>
  <c r="M88"/>
  <c r="M26"/>
  <c r="G60" i="10"/>
  <c r="H134" i="8"/>
  <c r="L134" s="1"/>
  <c r="R73"/>
  <c r="S73"/>
  <c r="R32"/>
  <c r="S32"/>
  <c r="V19"/>
  <c r="W19"/>
  <c r="G43" i="10"/>
  <c r="H117" i="8"/>
  <c r="S188"/>
  <c r="T188" s="1"/>
  <c r="R188"/>
  <c r="S153"/>
  <c r="T153" s="1"/>
  <c r="R153"/>
  <c r="R209"/>
  <c r="S209"/>
  <c r="T209" s="1"/>
  <c r="S168"/>
  <c r="T168" s="1"/>
  <c r="R168"/>
  <c r="S166"/>
  <c r="T166" s="1"/>
  <c r="R166"/>
  <c r="S186"/>
  <c r="T186" s="1"/>
  <c r="R186"/>
  <c r="S165"/>
  <c r="T165" s="1"/>
  <c r="R165"/>
  <c r="M45"/>
  <c r="R110"/>
  <c r="S110"/>
  <c r="R51"/>
  <c r="S51"/>
  <c r="R41"/>
  <c r="S41"/>
  <c r="R102"/>
  <c r="S102"/>
  <c r="R62"/>
  <c r="S62"/>
  <c r="H58"/>
  <c r="L58" s="1"/>
  <c r="AA58" i="7"/>
  <c r="G16" i="10"/>
  <c r="H68" i="8"/>
  <c r="L68" s="1"/>
  <c r="AA68" i="7"/>
  <c r="G27" i="10"/>
  <c r="H83" i="8"/>
  <c r="L83" s="1"/>
  <c r="AA83" i="7"/>
  <c r="R115" i="8"/>
  <c r="S115"/>
  <c r="W139" i="7"/>
  <c r="I4" i="8"/>
  <c r="R94"/>
  <c r="S94"/>
  <c r="R48"/>
  <c r="S48"/>
  <c r="S13"/>
  <c r="S131"/>
  <c r="R131"/>
  <c r="R49"/>
  <c r="S49"/>
  <c r="V35"/>
  <c r="W35"/>
  <c r="R28"/>
  <c r="S28"/>
  <c r="G51" i="27"/>
  <c r="H51" s="1"/>
  <c r="K410" i="40"/>
  <c r="R20" i="8"/>
  <c r="S20"/>
  <c r="G23" i="10"/>
  <c r="H100" i="8"/>
  <c r="L100" s="1"/>
  <c r="R70"/>
  <c r="S70"/>
  <c r="M96"/>
  <c r="M77"/>
  <c r="G20" i="10"/>
  <c r="H74" i="8"/>
  <c r="L74" s="1"/>
  <c r="V44"/>
  <c r="W44"/>
  <c r="G35" i="10"/>
  <c r="H116" i="8"/>
  <c r="L116" s="1"/>
  <c r="S172"/>
  <c r="T172" s="1"/>
  <c r="R172"/>
  <c r="S161"/>
  <c r="T161" s="1"/>
  <c r="R161"/>
  <c r="S152"/>
  <c r="T152" s="1"/>
  <c r="R152"/>
  <c r="S145"/>
  <c r="T145" s="1"/>
  <c r="R145"/>
  <c r="S181"/>
  <c r="T181" s="1"/>
  <c r="R181"/>
  <c r="S201"/>
  <c r="T201" s="1"/>
  <c r="R201"/>
  <c r="J1090" i="39"/>
  <c r="K1090" s="1"/>
  <c r="I111" i="8"/>
  <c r="AD111" i="7"/>
  <c r="R101" i="8"/>
  <c r="S101"/>
  <c r="H142" i="29"/>
  <c r="H146" s="1"/>
  <c r="I128"/>
  <c r="I130" s="1"/>
  <c r="I20" i="12"/>
  <c r="F33" i="11"/>
  <c r="F36" s="1"/>
  <c r="S15" i="8"/>
  <c r="R46"/>
  <c r="S46"/>
  <c r="M16"/>
  <c r="G61" i="10"/>
  <c r="H135" i="8"/>
  <c r="L135" s="1"/>
  <c r="G40" i="10"/>
  <c r="H108" i="8"/>
  <c r="L108" s="1"/>
  <c r="I125"/>
  <c r="M98"/>
  <c r="M90"/>
  <c r="M80"/>
  <c r="M66"/>
  <c r="M52"/>
  <c r="AA17" i="7"/>
  <c r="V175" i="8"/>
  <c r="W175"/>
  <c r="V206"/>
  <c r="W213"/>
  <c r="AA213" s="1"/>
  <c r="V193"/>
  <c r="W193"/>
  <c r="V142"/>
  <c r="W142"/>
  <c r="AA54" i="7"/>
  <c r="V214" i="8"/>
  <c r="Y15" i="22"/>
  <c r="Y16" s="1"/>
  <c r="V144" i="8"/>
  <c r="AA144" s="1"/>
  <c r="AA93" i="7"/>
  <c r="AA127"/>
  <c r="V202" i="8"/>
  <c r="V159"/>
  <c r="AA159" s="1"/>
  <c r="V199"/>
  <c r="W199"/>
  <c r="W211"/>
  <c r="AA211" s="1"/>
  <c r="V196"/>
  <c r="AA196" s="1"/>
  <c r="H5"/>
  <c r="L5" s="1"/>
  <c r="AA5" i="7"/>
  <c r="G62" i="10"/>
  <c r="H136" i="8"/>
  <c r="L136" s="1"/>
  <c r="M17"/>
  <c r="R107"/>
  <c r="S107"/>
  <c r="R87"/>
  <c r="S87"/>
  <c r="U178"/>
  <c r="W178" s="1"/>
  <c r="S182"/>
  <c r="T182" s="1"/>
  <c r="R182"/>
  <c r="G11" i="10"/>
  <c r="H23" i="8"/>
  <c r="L23" s="1"/>
  <c r="S11"/>
  <c r="H1442" i="39"/>
  <c r="J1334"/>
  <c r="P15"/>
  <c r="V24" i="8"/>
  <c r="W24"/>
  <c r="H112"/>
  <c r="L112" s="1"/>
  <c r="AA112" i="7"/>
  <c r="V61" i="8"/>
  <c r="W61"/>
  <c r="R86"/>
  <c r="S86"/>
  <c r="V33"/>
  <c r="W33"/>
  <c r="V121"/>
  <c r="W121"/>
  <c r="R27"/>
  <c r="S27"/>
  <c r="R119"/>
  <c r="S119"/>
  <c r="K423" i="40"/>
  <c r="G21" i="10"/>
  <c r="H85" i="8"/>
  <c r="L85" s="1"/>
  <c r="R43"/>
  <c r="S43"/>
  <c r="U160"/>
  <c r="W160" s="1"/>
  <c r="U180"/>
  <c r="K413" i="40" s="1"/>
  <c r="G37" i="10"/>
  <c r="H114" i="8"/>
  <c r="G56" i="10"/>
  <c r="H133" i="8"/>
  <c r="L133" s="1"/>
  <c r="G12" i="10"/>
  <c r="H34" i="8"/>
  <c r="L34" s="1"/>
  <c r="M54"/>
  <c r="R97"/>
  <c r="S97"/>
  <c r="V37"/>
  <c r="W37"/>
  <c r="V120"/>
  <c r="W120"/>
  <c r="R21"/>
  <c r="S21"/>
  <c r="M10"/>
  <c r="H12"/>
  <c r="L12" s="1"/>
  <c r="N12" s="1"/>
  <c r="AA12" i="7"/>
  <c r="U200" i="8"/>
  <c r="H21" i="11" s="1"/>
  <c r="I21" s="1"/>
  <c r="R55" i="8"/>
  <c r="S55"/>
  <c r="G14" i="10"/>
  <c r="H69" i="8"/>
  <c r="L69" s="1"/>
  <c r="AA69" i="7"/>
  <c r="G10" i="10"/>
  <c r="H25" i="8"/>
  <c r="L25" s="1"/>
  <c r="R50"/>
  <c r="S50"/>
  <c r="M93"/>
  <c r="M127"/>
  <c r="R89"/>
  <c r="S89"/>
  <c r="R22"/>
  <c r="S22"/>
  <c r="G22" i="10"/>
  <c r="H84" i="8"/>
  <c r="L84" s="1"/>
  <c r="I117"/>
  <c r="AD117" i="7"/>
  <c r="S169" i="8"/>
  <c r="T169" s="1"/>
  <c r="R169"/>
  <c r="S185"/>
  <c r="T185" s="1"/>
  <c r="R185"/>
  <c r="S198"/>
  <c r="R198"/>
  <c r="S164"/>
  <c r="T164" s="1"/>
  <c r="R164"/>
  <c r="S146"/>
  <c r="T146" s="1"/>
  <c r="R146"/>
  <c r="S191"/>
  <c r="T191" s="1"/>
  <c r="R191"/>
  <c r="R210"/>
  <c r="S210"/>
  <c r="T210" s="1"/>
  <c r="U174"/>
  <c r="W174" s="1"/>
  <c r="U158"/>
  <c r="G49" i="27" s="1"/>
  <c r="R60" i="8"/>
  <c r="S60"/>
  <c r="R71"/>
  <c r="S71"/>
  <c r="R38"/>
  <c r="S38"/>
  <c r="G49" i="10"/>
  <c r="H132" i="8"/>
  <c r="L132" s="1"/>
  <c r="R39"/>
  <c r="S39"/>
  <c r="R91"/>
  <c r="S91"/>
  <c r="M31"/>
  <c r="R40"/>
  <c r="S40"/>
  <c r="G8" i="10"/>
  <c r="H4" i="8"/>
  <c r="V139" i="7"/>
  <c r="AA4"/>
  <c r="W129" i="8"/>
  <c r="V129"/>
  <c r="R76"/>
  <c r="S76"/>
  <c r="R7"/>
  <c r="S7"/>
  <c r="W42"/>
  <c r="H6"/>
  <c r="L6" s="1"/>
  <c r="AD6" i="7"/>
  <c r="R118" i="8"/>
  <c r="S118"/>
  <c r="R99"/>
  <c r="S99"/>
  <c r="I11" i="11"/>
  <c r="J384" i="40" s="1"/>
  <c r="J386" s="1"/>
  <c r="I280" i="29"/>
  <c r="S189" i="8"/>
  <c r="T189" s="1"/>
  <c r="R189"/>
  <c r="S203"/>
  <c r="T203" s="1"/>
  <c r="R203"/>
  <c r="S150"/>
  <c r="T150" s="1"/>
  <c r="R150"/>
  <c r="S162"/>
  <c r="T162" s="1"/>
  <c r="R162"/>
  <c r="S149"/>
  <c r="T149" s="1"/>
  <c r="R149"/>
  <c r="U190"/>
  <c r="W128"/>
  <c r="V128"/>
  <c r="G36" i="10"/>
  <c r="H111" i="8"/>
  <c r="S9"/>
  <c r="R92"/>
  <c r="S92"/>
  <c r="G64" i="10"/>
  <c r="H137" i="8"/>
  <c r="L137" s="1"/>
  <c r="R81"/>
  <c r="S81"/>
  <c r="V79"/>
  <c r="W79"/>
  <c r="R72"/>
  <c r="S72"/>
  <c r="V65"/>
  <c r="W65"/>
  <c r="R53"/>
  <c r="S53"/>
  <c r="V29"/>
  <c r="W29"/>
  <c r="G41" i="10"/>
  <c r="H125" i="8"/>
  <c r="H1334" i="39"/>
  <c r="H10" i="11"/>
  <c r="I10" s="1"/>
  <c r="H25"/>
  <c r="I25" s="1"/>
  <c r="AA136" i="7"/>
  <c r="AA104"/>
  <c r="AA34"/>
  <c r="J1456" i="39" l="1"/>
  <c r="R15"/>
  <c r="F10" i="27"/>
  <c r="F17" s="1"/>
  <c r="F19" s="1"/>
  <c r="F21" s="1"/>
  <c r="G11"/>
  <c r="G29" i="10"/>
  <c r="U154" i="8"/>
  <c r="H20" i="27"/>
  <c r="N12" i="26"/>
  <c r="N13" s="1"/>
  <c r="L125" i="8"/>
  <c r="H154" i="40"/>
  <c r="R10" i="8"/>
  <c r="R16"/>
  <c r="L114"/>
  <c r="T140" i="7"/>
  <c r="T216" s="1"/>
  <c r="T217" s="1"/>
  <c r="L111" i="8"/>
  <c r="N139"/>
  <c r="N217" s="1"/>
  <c r="E13" i="1"/>
  <c r="L117" i="8"/>
  <c r="AA202"/>
  <c r="AA148"/>
  <c r="AA176"/>
  <c r="AA156"/>
  <c r="R216" i="7"/>
  <c r="R217" s="1"/>
  <c r="AA42" i="8"/>
  <c r="M113"/>
  <c r="R113" s="1"/>
  <c r="AA206"/>
  <c r="AA129"/>
  <c r="H1456" i="39"/>
  <c r="AA214" i="8"/>
  <c r="AA19"/>
  <c r="V200"/>
  <c r="W200"/>
  <c r="AA120"/>
  <c r="AA37"/>
  <c r="AA170"/>
  <c r="V154"/>
  <c r="V160"/>
  <c r="AA160" s="1"/>
  <c r="AA106"/>
  <c r="V173"/>
  <c r="AA47"/>
  <c r="W205"/>
  <c r="W154"/>
  <c r="AA154" s="1"/>
  <c r="AA29"/>
  <c r="AA79"/>
  <c r="AA142"/>
  <c r="AA193"/>
  <c r="W173"/>
  <c r="V180"/>
  <c r="W180"/>
  <c r="AA121"/>
  <c r="AA61"/>
  <c r="AA24"/>
  <c r="V178"/>
  <c r="AA175"/>
  <c r="AA44"/>
  <c r="AA35"/>
  <c r="V141"/>
  <c r="AA141" s="1"/>
  <c r="W207"/>
  <c r="V197"/>
  <c r="W197"/>
  <c r="AA178"/>
  <c r="AA207"/>
  <c r="AA184"/>
  <c r="V92"/>
  <c r="W92"/>
  <c r="V9"/>
  <c r="W9"/>
  <c r="G55" i="13"/>
  <c r="G18" i="10"/>
  <c r="V40" i="8"/>
  <c r="W40"/>
  <c r="R31"/>
  <c r="S31"/>
  <c r="M132"/>
  <c r="U191"/>
  <c r="W191" s="1"/>
  <c r="U146"/>
  <c r="W146" s="1"/>
  <c r="U164"/>
  <c r="W164" s="1"/>
  <c r="U198"/>
  <c r="U185"/>
  <c r="W185" s="1"/>
  <c r="U169"/>
  <c r="W169" s="1"/>
  <c r="M84"/>
  <c r="S127"/>
  <c r="R127"/>
  <c r="R93"/>
  <c r="S93"/>
  <c r="M25"/>
  <c r="V55"/>
  <c r="W55"/>
  <c r="S10"/>
  <c r="G66" i="10"/>
  <c r="G54"/>
  <c r="V119" i="8"/>
  <c r="W119"/>
  <c r="V27"/>
  <c r="W27"/>
  <c r="M112"/>
  <c r="M23"/>
  <c r="U182"/>
  <c r="W182" s="1"/>
  <c r="V87"/>
  <c r="W87"/>
  <c r="V107"/>
  <c r="W107"/>
  <c r="R17"/>
  <c r="S17"/>
  <c r="M5"/>
  <c r="R66"/>
  <c r="S66"/>
  <c r="R90"/>
  <c r="S90"/>
  <c r="S16"/>
  <c r="R77"/>
  <c r="S77"/>
  <c r="V70"/>
  <c r="W70"/>
  <c r="V20"/>
  <c r="W20"/>
  <c r="V28"/>
  <c r="W28"/>
  <c r="V49"/>
  <c r="W49"/>
  <c r="V13"/>
  <c r="W13"/>
  <c r="V48"/>
  <c r="W48"/>
  <c r="V94"/>
  <c r="W94"/>
  <c r="V115"/>
  <c r="W115"/>
  <c r="J273" i="40" s="1"/>
  <c r="M83" i="8"/>
  <c r="V62"/>
  <c r="W62"/>
  <c r="V102"/>
  <c r="W102"/>
  <c r="V41"/>
  <c r="W41"/>
  <c r="V51"/>
  <c r="W51"/>
  <c r="V110"/>
  <c r="W110"/>
  <c r="R45"/>
  <c r="S45"/>
  <c r="U165"/>
  <c r="W165" s="1"/>
  <c r="U186"/>
  <c r="W186" s="1"/>
  <c r="U166"/>
  <c r="U168"/>
  <c r="U153"/>
  <c r="W153" s="1"/>
  <c r="U188"/>
  <c r="G71" i="27" s="1"/>
  <c r="H71" s="1"/>
  <c r="M117" i="8"/>
  <c r="M134"/>
  <c r="R88"/>
  <c r="S88"/>
  <c r="W126"/>
  <c r="V126"/>
  <c r="M123"/>
  <c r="M82"/>
  <c r="F387" i="26"/>
  <c r="F385"/>
  <c r="M109" i="8"/>
  <c r="R64"/>
  <c r="S64"/>
  <c r="V122"/>
  <c r="W122"/>
  <c r="R57"/>
  <c r="S57"/>
  <c r="W124"/>
  <c r="V124"/>
  <c r="M67"/>
  <c r="K1334" i="39"/>
  <c r="K419" i="40"/>
  <c r="G45" i="10"/>
  <c r="G52"/>
  <c r="H17" i="11"/>
  <c r="I17" s="1"/>
  <c r="V53" i="8"/>
  <c r="W53"/>
  <c r="J113" i="40"/>
  <c r="AA65" i="8"/>
  <c r="V72"/>
  <c r="W72"/>
  <c r="V81"/>
  <c r="W81"/>
  <c r="U149"/>
  <c r="U162"/>
  <c r="K412" i="40" s="1"/>
  <c r="U150" i="8"/>
  <c r="H13" i="11" s="1"/>
  <c r="I13" s="1"/>
  <c r="U203" i="8"/>
  <c r="W203" s="1"/>
  <c r="U189"/>
  <c r="M12"/>
  <c r="V43"/>
  <c r="W43"/>
  <c r="V86"/>
  <c r="W86"/>
  <c r="M125"/>
  <c r="M137"/>
  <c r="M111"/>
  <c r="V99"/>
  <c r="W99"/>
  <c r="V118"/>
  <c r="W118"/>
  <c r="M6"/>
  <c r="V7"/>
  <c r="W7"/>
  <c r="V76"/>
  <c r="W76"/>
  <c r="H139"/>
  <c r="L4"/>
  <c r="M4"/>
  <c r="V91"/>
  <c r="W91"/>
  <c r="V39"/>
  <c r="W39"/>
  <c r="V38"/>
  <c r="W38"/>
  <c r="V71"/>
  <c r="W71"/>
  <c r="V60"/>
  <c r="W60"/>
  <c r="U210"/>
  <c r="W210" s="1"/>
  <c r="T198"/>
  <c r="I300" i="29"/>
  <c r="I304" s="1"/>
  <c r="V22" i="8"/>
  <c r="W22"/>
  <c r="V89"/>
  <c r="W89"/>
  <c r="V50"/>
  <c r="W50"/>
  <c r="M69"/>
  <c r="V21"/>
  <c r="W21"/>
  <c r="V97"/>
  <c r="W97"/>
  <c r="R54"/>
  <c r="S54"/>
  <c r="M34"/>
  <c r="M133"/>
  <c r="M114"/>
  <c r="M85"/>
  <c r="V11"/>
  <c r="W11"/>
  <c r="M136"/>
  <c r="R52"/>
  <c r="S52"/>
  <c r="R80"/>
  <c r="S80"/>
  <c r="R98"/>
  <c r="S98"/>
  <c r="M108"/>
  <c r="M135"/>
  <c r="V46"/>
  <c r="W46"/>
  <c r="V15"/>
  <c r="W15"/>
  <c r="J20" i="12"/>
  <c r="H155" i="29"/>
  <c r="I147"/>
  <c r="I155" s="1"/>
  <c r="V101" i="8"/>
  <c r="W101"/>
  <c r="U201"/>
  <c r="W201" s="1"/>
  <c r="U181"/>
  <c r="W181" s="1"/>
  <c r="U145"/>
  <c r="H20" i="11" s="1"/>
  <c r="I20" s="1"/>
  <c r="U152" i="8"/>
  <c r="U161"/>
  <c r="U172"/>
  <c r="W172" s="1"/>
  <c r="M116"/>
  <c r="M74"/>
  <c r="R96"/>
  <c r="S96"/>
  <c r="M100"/>
  <c r="W131"/>
  <c r="V131"/>
  <c r="M68"/>
  <c r="M58"/>
  <c r="U209"/>
  <c r="V209" s="1"/>
  <c r="V32"/>
  <c r="J88" i="40" s="1"/>
  <c r="W32" i="8"/>
  <c r="V73"/>
  <c r="W73"/>
  <c r="R26"/>
  <c r="S26"/>
  <c r="V78"/>
  <c r="W78"/>
  <c r="V75"/>
  <c r="W75"/>
  <c r="V63"/>
  <c r="AC6" i="20" s="1"/>
  <c r="W63" i="8"/>
  <c r="V95"/>
  <c r="W95"/>
  <c r="V30"/>
  <c r="W30"/>
  <c r="H46" i="13"/>
  <c r="H52" s="1"/>
  <c r="H53" s="1"/>
  <c r="I51"/>
  <c r="I46" s="1"/>
  <c r="I52" s="1"/>
  <c r="I53" s="1"/>
  <c r="V59" i="8"/>
  <c r="W59"/>
  <c r="M104"/>
  <c r="M105"/>
  <c r="M130"/>
  <c r="V56"/>
  <c r="W56"/>
  <c r="M18"/>
  <c r="M138"/>
  <c r="M36"/>
  <c r="M103"/>
  <c r="V8"/>
  <c r="W8"/>
  <c r="M14"/>
  <c r="R14" s="1"/>
  <c r="AA128"/>
  <c r="V190"/>
  <c r="W190"/>
  <c r="H12" i="11"/>
  <c r="I12" s="1"/>
  <c r="AA139" i="7"/>
  <c r="V158" i="8"/>
  <c r="W158"/>
  <c r="V174"/>
  <c r="AA174" s="1"/>
  <c r="AA199"/>
  <c r="I139"/>
  <c r="V205"/>
  <c r="G1455" i="39"/>
  <c r="K415" i="40"/>
  <c r="AA33" i="8"/>
  <c r="K1456" i="39" l="1"/>
  <c r="H8" i="11"/>
  <c r="H14"/>
  <c r="I14" s="1"/>
  <c r="G7"/>
  <c r="O13" i="26"/>
  <c r="O14" s="1"/>
  <c r="H153" i="40"/>
  <c r="N154"/>
  <c r="O139" i="8"/>
  <c r="O217" s="1"/>
  <c r="O221" s="1"/>
  <c r="H113" i="40"/>
  <c r="AC5" i="20"/>
  <c r="V140" i="7"/>
  <c r="H140" i="8" s="1"/>
  <c r="W140" i="7"/>
  <c r="W216" s="1"/>
  <c r="W217" s="1"/>
  <c r="G13" i="1"/>
  <c r="E19"/>
  <c r="R4" i="8"/>
  <c r="R12"/>
  <c r="J373" i="40"/>
  <c r="J375" s="1"/>
  <c r="J76"/>
  <c r="AD28" i="8"/>
  <c r="J77" i="40"/>
  <c r="P15" i="28"/>
  <c r="Q15" s="1"/>
  <c r="S113" i="8"/>
  <c r="W113" s="1"/>
  <c r="J271" i="40" s="1"/>
  <c r="W166" i="8"/>
  <c r="G53" i="27"/>
  <c r="H53" s="1"/>
  <c r="T222" i="7"/>
  <c r="T223" s="1"/>
  <c r="AA91" i="8"/>
  <c r="K414" i="40"/>
  <c r="AA200" i="8"/>
  <c r="AA173"/>
  <c r="AA205"/>
  <c r="AA22"/>
  <c r="AA101"/>
  <c r="AA126"/>
  <c r="AA102"/>
  <c r="V153"/>
  <c r="AA153" s="1"/>
  <c r="V166"/>
  <c r="V165"/>
  <c r="AA165" s="1"/>
  <c r="AA110"/>
  <c r="AA51"/>
  <c r="AA41"/>
  <c r="AA115"/>
  <c r="AA94"/>
  <c r="AA48"/>
  <c r="AA13"/>
  <c r="AA49"/>
  <c r="AA20"/>
  <c r="AA107"/>
  <c r="AA87"/>
  <c r="AA27"/>
  <c r="AA119"/>
  <c r="AA55"/>
  <c r="V169"/>
  <c r="AA169" s="1"/>
  <c r="V146"/>
  <c r="AA146" s="1"/>
  <c r="AA40"/>
  <c r="AA9"/>
  <c r="AA92"/>
  <c r="AA124"/>
  <c r="AA122"/>
  <c r="AA11"/>
  <c r="AA21"/>
  <c r="AA60"/>
  <c r="AA30"/>
  <c r="H16" i="11"/>
  <c r="I16" s="1"/>
  <c r="M431" i="40" s="1"/>
  <c r="AA78" i="8"/>
  <c r="AA46"/>
  <c r="AA50"/>
  <c r="AA38"/>
  <c r="AA76"/>
  <c r="AA118"/>
  <c r="AA99"/>
  <c r="AA53"/>
  <c r="V181"/>
  <c r="AA181" s="1"/>
  <c r="H19" i="11"/>
  <c r="I19" s="1"/>
  <c r="K390" i="40" s="1"/>
  <c r="J394" s="1"/>
  <c r="AA7" i="8"/>
  <c r="AA86"/>
  <c r="AA43"/>
  <c r="V203"/>
  <c r="AA203" s="1"/>
  <c r="V162"/>
  <c r="W162"/>
  <c r="AA28"/>
  <c r="AA8"/>
  <c r="AA63"/>
  <c r="AA32"/>
  <c r="AA180"/>
  <c r="AA190"/>
  <c r="AA56"/>
  <c r="AA59"/>
  <c r="AA95"/>
  <c r="AA75"/>
  <c r="AA73"/>
  <c r="AA131"/>
  <c r="V172"/>
  <c r="AA172" s="1"/>
  <c r="V152"/>
  <c r="W152"/>
  <c r="G44" i="27"/>
  <c r="V201" i="8"/>
  <c r="AA201" s="1"/>
  <c r="AA62"/>
  <c r="H23" i="11"/>
  <c r="I23" s="1"/>
  <c r="AA15" i="8"/>
  <c r="AA97"/>
  <c r="AA89"/>
  <c r="AA71"/>
  <c r="AA39"/>
  <c r="AA81"/>
  <c r="AA72"/>
  <c r="V188"/>
  <c r="W188"/>
  <c r="V168"/>
  <c r="W168"/>
  <c r="V186"/>
  <c r="AA186" s="1"/>
  <c r="V161"/>
  <c r="W161"/>
  <c r="V145"/>
  <c r="W145"/>
  <c r="AA197"/>
  <c r="I283" i="29"/>
  <c r="I291" s="1"/>
  <c r="F388" i="26" s="1"/>
  <c r="H49" i="27"/>
  <c r="S14" i="8"/>
  <c r="R36"/>
  <c r="S36"/>
  <c r="S138"/>
  <c r="R138"/>
  <c r="R18"/>
  <c r="S18"/>
  <c r="S130"/>
  <c r="R130"/>
  <c r="R105"/>
  <c r="S105"/>
  <c r="J83" i="40"/>
  <c r="V26" i="8"/>
  <c r="J74" i="40" s="1"/>
  <c r="W26" i="8"/>
  <c r="R68"/>
  <c r="S68"/>
  <c r="R100"/>
  <c r="S100"/>
  <c r="R116"/>
  <c r="S116"/>
  <c r="S135"/>
  <c r="R135"/>
  <c r="R108"/>
  <c r="S108"/>
  <c r="S136"/>
  <c r="R136"/>
  <c r="R85"/>
  <c r="S85"/>
  <c r="V54"/>
  <c r="W54"/>
  <c r="R69"/>
  <c r="S69"/>
  <c r="F370" i="26"/>
  <c r="L139" i="8"/>
  <c r="S4"/>
  <c r="R6"/>
  <c r="S6"/>
  <c r="S125"/>
  <c r="R125"/>
  <c r="S12"/>
  <c r="I140"/>
  <c r="I216" s="1"/>
  <c r="I217" s="1"/>
  <c r="R67"/>
  <c r="S67"/>
  <c r="V57"/>
  <c r="AC3" i="20" s="1"/>
  <c r="W57" i="8"/>
  <c r="V64"/>
  <c r="W64"/>
  <c r="R109"/>
  <c r="S109"/>
  <c r="F260" i="26"/>
  <c r="F259" s="1"/>
  <c r="F254" s="1"/>
  <c r="F274" s="1"/>
  <c r="F277" s="1"/>
  <c r="F279" s="1"/>
  <c r="F281" s="1"/>
  <c r="F282" s="1"/>
  <c r="F284" s="1"/>
  <c r="F313" s="1"/>
  <c r="F319" s="1"/>
  <c r="G9" i="11"/>
  <c r="G24" s="1"/>
  <c r="R82" i="8"/>
  <c r="S82"/>
  <c r="S134"/>
  <c r="R134"/>
  <c r="R117"/>
  <c r="S117"/>
  <c r="K421" i="40"/>
  <c r="V77" i="8"/>
  <c r="W77"/>
  <c r="V16"/>
  <c r="W16"/>
  <c r="V90"/>
  <c r="W90"/>
  <c r="V66"/>
  <c r="W66"/>
  <c r="R5"/>
  <c r="S5"/>
  <c r="R23"/>
  <c r="S23"/>
  <c r="V10"/>
  <c r="W10"/>
  <c r="R25"/>
  <c r="S25"/>
  <c r="W127"/>
  <c r="V127"/>
  <c r="AA158"/>
  <c r="W209"/>
  <c r="AA209" s="1"/>
  <c r="V210"/>
  <c r="AA210" s="1"/>
  <c r="V189"/>
  <c r="W189"/>
  <c r="V150"/>
  <c r="W150"/>
  <c r="V149"/>
  <c r="W149"/>
  <c r="H18" i="11"/>
  <c r="AA70" i="8"/>
  <c r="V182"/>
  <c r="AA182" s="1"/>
  <c r="V185"/>
  <c r="AA185" s="1"/>
  <c r="V164"/>
  <c r="AA164" s="1"/>
  <c r="V191"/>
  <c r="AA191" s="1"/>
  <c r="G30" i="10"/>
  <c r="R103" i="8"/>
  <c r="S103"/>
  <c r="R104"/>
  <c r="S104"/>
  <c r="R58"/>
  <c r="S58"/>
  <c r="V96"/>
  <c r="W96"/>
  <c r="R74"/>
  <c r="S74"/>
  <c r="V98"/>
  <c r="W98"/>
  <c r="V80"/>
  <c r="W80"/>
  <c r="V52"/>
  <c r="W52"/>
  <c r="R114"/>
  <c r="S114"/>
  <c r="S133"/>
  <c r="R133"/>
  <c r="R34"/>
  <c r="S34"/>
  <c r="R111"/>
  <c r="S111"/>
  <c r="S137"/>
  <c r="R137"/>
  <c r="K424" i="40"/>
  <c r="G72" i="27"/>
  <c r="H72" s="1"/>
  <c r="R123" i="8"/>
  <c r="S123"/>
  <c r="V88"/>
  <c r="W88"/>
  <c r="V45"/>
  <c r="G15" i="27" s="1"/>
  <c r="H15" s="1"/>
  <c r="W45" i="8"/>
  <c r="R83"/>
  <c r="S83"/>
  <c r="V17"/>
  <c r="W17"/>
  <c r="G86" i="27"/>
  <c r="H86" s="1"/>
  <c r="K411" i="40"/>
  <c r="R112" i="8"/>
  <c r="S112"/>
  <c r="V93"/>
  <c r="W93"/>
  <c r="R84"/>
  <c r="S84"/>
  <c r="G54" i="27"/>
  <c r="H54" s="1"/>
  <c r="K420" i="40"/>
  <c r="K429"/>
  <c r="G91" i="27"/>
  <c r="H91" s="1"/>
  <c r="S132" i="8"/>
  <c r="R132"/>
  <c r="V31"/>
  <c r="W31"/>
  <c r="G56" i="13"/>
  <c r="H54"/>
  <c r="E113" i="40"/>
  <c r="M139" i="8"/>
  <c r="G53" i="10"/>
  <c r="G67" s="1"/>
  <c r="I8" i="11"/>
  <c r="M375" i="40" s="1"/>
  <c r="V198" i="8"/>
  <c r="W198"/>
  <c r="G10" i="27" l="1"/>
  <c r="N14" i="26"/>
  <c r="N15" s="1"/>
  <c r="V138" i="8"/>
  <c r="H65" i="10" s="1"/>
  <c r="W138" i="8"/>
  <c r="T139"/>
  <c r="N153" i="40"/>
  <c r="H161"/>
  <c r="I113"/>
  <c r="AC7" i="20"/>
  <c r="AA140" i="7"/>
  <c r="V216"/>
  <c r="V217" s="1"/>
  <c r="V222" s="1"/>
  <c r="N375" i="40"/>
  <c r="V113" i="8"/>
  <c r="AA113" s="1"/>
  <c r="G19" i="1"/>
  <c r="K13"/>
  <c r="AA166" i="8"/>
  <c r="AA26"/>
  <c r="AA149"/>
  <c r="AA150"/>
  <c r="AA189"/>
  <c r="AA54"/>
  <c r="AA168"/>
  <c r="AA188"/>
  <c r="AA162"/>
  <c r="AA152"/>
  <c r="AA80"/>
  <c r="AA96"/>
  <c r="O15" i="26"/>
  <c r="AA93" i="8"/>
  <c r="AA17"/>
  <c r="AA45"/>
  <c r="AA88"/>
  <c r="AA52"/>
  <c r="AA98"/>
  <c r="AA10"/>
  <c r="AA66"/>
  <c r="AA90"/>
  <c r="AA16"/>
  <c r="AA77"/>
  <c r="AA145"/>
  <c r="AA161"/>
  <c r="J82" i="40"/>
  <c r="J89" s="1"/>
  <c r="AA31" i="8"/>
  <c r="V83"/>
  <c r="W83"/>
  <c r="V111"/>
  <c r="W111"/>
  <c r="V34"/>
  <c r="W34"/>
  <c r="V114"/>
  <c r="W114"/>
  <c r="J272" i="40" s="1"/>
  <c r="V74" i="8"/>
  <c r="W74"/>
  <c r="V58"/>
  <c r="G18" i="27" s="1"/>
  <c r="H18" s="1"/>
  <c r="W58" i="8"/>
  <c r="V104"/>
  <c r="W104"/>
  <c r="V103"/>
  <c r="W103"/>
  <c r="H216"/>
  <c r="H217" s="1"/>
  <c r="I221" s="1"/>
  <c r="M140"/>
  <c r="M216" s="1"/>
  <c r="M217" s="1"/>
  <c r="L140"/>
  <c r="E289" i="29"/>
  <c r="E291" s="1"/>
  <c r="I18" i="11"/>
  <c r="V25" i="8"/>
  <c r="W25"/>
  <c r="V23"/>
  <c r="W23"/>
  <c r="V5"/>
  <c r="W5"/>
  <c r="V117"/>
  <c r="W117"/>
  <c r="V82"/>
  <c r="W82"/>
  <c r="G26" i="11"/>
  <c r="G28" s="1"/>
  <c r="W125" i="8"/>
  <c r="N2" i="36" s="1"/>
  <c r="V125" i="8"/>
  <c r="V69"/>
  <c r="W69"/>
  <c r="V85"/>
  <c r="W85"/>
  <c r="P161" i="40" s="1"/>
  <c r="V108" i="8"/>
  <c r="W108"/>
  <c r="V116"/>
  <c r="W116"/>
  <c r="V100"/>
  <c r="W100"/>
  <c r="V68"/>
  <c r="W68"/>
  <c r="V105"/>
  <c r="W105"/>
  <c r="J262" i="40" s="1"/>
  <c r="J265" s="1"/>
  <c r="V18" i="8"/>
  <c r="W18"/>
  <c r="V36"/>
  <c r="W36"/>
  <c r="V14"/>
  <c r="W14"/>
  <c r="S139"/>
  <c r="M89" i="40"/>
  <c r="N89" s="1"/>
  <c r="G48" i="27"/>
  <c r="G45" s="1"/>
  <c r="V84" i="8"/>
  <c r="W84"/>
  <c r="V112"/>
  <c r="W112"/>
  <c r="J269" i="40" s="1"/>
  <c r="V123" i="8"/>
  <c r="W123"/>
  <c r="W132"/>
  <c r="V132"/>
  <c r="W137"/>
  <c r="V137"/>
  <c r="W133"/>
  <c r="K327" i="40" s="1"/>
  <c r="K330" s="1"/>
  <c r="V133" i="8"/>
  <c r="W134"/>
  <c r="V134"/>
  <c r="V109"/>
  <c r="W109"/>
  <c r="AA57"/>
  <c r="V67"/>
  <c r="W67"/>
  <c r="V12"/>
  <c r="W12"/>
  <c r="V6"/>
  <c r="AD6" s="1"/>
  <c r="W6"/>
  <c r="R139"/>
  <c r="V4"/>
  <c r="W4"/>
  <c r="W136"/>
  <c r="V136"/>
  <c r="W135"/>
  <c r="V135"/>
  <c r="W130"/>
  <c r="V130"/>
  <c r="AA198"/>
  <c r="K431" i="40"/>
  <c r="N431" s="1"/>
  <c r="G68" i="10"/>
  <c r="AA127" i="8"/>
  <c r="AA64"/>
  <c r="H48" i="27"/>
  <c r="F384" i="26" s="1"/>
  <c r="G17" i="27" l="1"/>
  <c r="H28" i="10"/>
  <c r="G19" i="27"/>
  <c r="G21" s="1"/>
  <c r="H10"/>
  <c r="H17" s="1"/>
  <c r="H19" s="1"/>
  <c r="AC2" i="20"/>
  <c r="S2"/>
  <c r="AA9" s="1"/>
  <c r="N161" i="40"/>
  <c r="N164" s="1"/>
  <c r="H164"/>
  <c r="AC4" i="20"/>
  <c r="AD117" i="8"/>
  <c r="M300" i="40"/>
  <c r="AA83" i="8"/>
  <c r="AA25"/>
  <c r="AA111"/>
  <c r="J58" i="40"/>
  <c r="AA14" i="8"/>
  <c r="AA68"/>
  <c r="AA100"/>
  <c r="H41" i="10"/>
  <c r="AA82" i="8"/>
  <c r="H25" i="10"/>
  <c r="H26"/>
  <c r="AA74" i="8"/>
  <c r="H37" i="10"/>
  <c r="H12"/>
  <c r="H27"/>
  <c r="AA103" i="8"/>
  <c r="AA34"/>
  <c r="AA137"/>
  <c r="AA58"/>
  <c r="AA114"/>
  <c r="AA135"/>
  <c r="J280" i="40"/>
  <c r="J283" s="1"/>
  <c r="H60" i="10"/>
  <c r="H56"/>
  <c r="H64"/>
  <c r="H49"/>
  <c r="AA104" i="8"/>
  <c r="AA112"/>
  <c r="AA133"/>
  <c r="AA132"/>
  <c r="AA138"/>
  <c r="H47" i="10"/>
  <c r="H52" s="1"/>
  <c r="I220" i="8"/>
  <c r="P220" s="1"/>
  <c r="W220" s="1"/>
  <c r="G113" i="40"/>
  <c r="AA85" i="8"/>
  <c r="H34" i="10"/>
  <c r="H16"/>
  <c r="H15"/>
  <c r="H38"/>
  <c r="AA105" i="8"/>
  <c r="H62" i="10"/>
  <c r="AA12" i="8"/>
  <c r="H23" i="10"/>
  <c r="H35"/>
  <c r="H40"/>
  <c r="H21"/>
  <c r="H43"/>
  <c r="AA5" i="8"/>
  <c r="H11" i="10"/>
  <c r="M113" i="40"/>
  <c r="C113"/>
  <c r="K113" s="1"/>
  <c r="H13" i="10"/>
  <c r="M70" i="40"/>
  <c r="N70" s="1"/>
  <c r="H9" i="10"/>
  <c r="I2" i="35"/>
  <c r="I3" s="1"/>
  <c r="M131" i="40"/>
  <c r="J127"/>
  <c r="J131" s="1"/>
  <c r="H14" i="10"/>
  <c r="M78" i="40"/>
  <c r="J75"/>
  <c r="J78" s="1"/>
  <c r="H10" i="10"/>
  <c r="J57" i="40"/>
  <c r="M60"/>
  <c r="V139" i="8"/>
  <c r="AA4"/>
  <c r="J299" i="40"/>
  <c r="J300" s="1"/>
  <c r="L216" i="8"/>
  <c r="L217" s="1"/>
  <c r="M221" s="1"/>
  <c r="S140"/>
  <c r="R140"/>
  <c r="M275" i="40"/>
  <c r="J270"/>
  <c r="J275" s="1"/>
  <c r="AA117" i="8"/>
  <c r="AA18"/>
  <c r="AA108"/>
  <c r="AA67"/>
  <c r="AA23"/>
  <c r="AA130"/>
  <c r="H61" i="10"/>
  <c r="AA136" i="8"/>
  <c r="AA134"/>
  <c r="H44" i="10"/>
  <c r="H22"/>
  <c r="AA116" i="8"/>
  <c r="AA36"/>
  <c r="AA69"/>
  <c r="AA125"/>
  <c r="AA6"/>
  <c r="AA109"/>
  <c r="AA123"/>
  <c r="G33" i="11"/>
  <c r="G36" s="1"/>
  <c r="I21" i="12"/>
  <c r="P150" i="40"/>
  <c r="Q150" s="1"/>
  <c r="H20" i="10"/>
  <c r="W139" i="8"/>
  <c r="H36" i="10"/>
  <c r="AA84" i="8"/>
  <c r="H21" i="27" l="1"/>
  <c r="F383" i="26"/>
  <c r="Q161" i="40"/>
  <c r="H45" i="10"/>
  <c r="H53" s="1"/>
  <c r="H29"/>
  <c r="H54"/>
  <c r="N300" i="40"/>
  <c r="J60"/>
  <c r="N60" s="1"/>
  <c r="N78"/>
  <c r="N113"/>
  <c r="J21" i="12"/>
  <c r="I55" i="13"/>
  <c r="I56" s="1"/>
  <c r="H55"/>
  <c r="H56" s="1"/>
  <c r="H18" i="10"/>
  <c r="H66"/>
  <c r="S216" i="8"/>
  <c r="S217" s="1"/>
  <c r="T140"/>
  <c r="T216" s="1"/>
  <c r="R216"/>
  <c r="R217" s="1"/>
  <c r="U140"/>
  <c r="N275" i="40"/>
  <c r="AA139" i="8"/>
  <c r="N131" i="40"/>
  <c r="K27" i="12" l="1"/>
  <c r="H67" i="10"/>
  <c r="U216" i="8"/>
  <c r="U217" s="1"/>
  <c r="H30" i="10"/>
  <c r="S221" i="8"/>
  <c r="T217"/>
  <c r="H7" i="11"/>
  <c r="J363" i="40"/>
  <c r="J367" s="1"/>
  <c r="V140" i="8"/>
  <c r="V216" s="1"/>
  <c r="W140"/>
  <c r="W216" l="1"/>
  <c r="W217" s="1"/>
  <c r="T222"/>
  <c r="H68" i="10"/>
  <c r="V217" i="8"/>
  <c r="AA140"/>
  <c r="H9" i="11"/>
  <c r="H24" s="1"/>
  <c r="I7"/>
  <c r="W222" i="8" l="1"/>
  <c r="H26" i="11"/>
  <c r="H28" s="1"/>
  <c r="I22" i="12" s="1"/>
  <c r="I273" i="29"/>
  <c r="I292" s="1"/>
  <c r="M367" i="40"/>
  <c r="N367" s="1"/>
  <c r="F372" i="26"/>
  <c r="F371" s="1"/>
  <c r="F366" s="1"/>
  <c r="F386" s="1"/>
  <c r="I9" i="11"/>
  <c r="I24" s="1"/>
  <c r="I190" i="29" s="1"/>
  <c r="I209" s="1"/>
  <c r="F389" i="26" l="1"/>
  <c r="F391" s="1"/>
  <c r="F393" s="1"/>
  <c r="F394" s="1"/>
  <c r="F396" s="1"/>
  <c r="F425" s="1"/>
  <c r="F431" s="1"/>
  <c r="H224" i="29"/>
  <c r="H228" s="1"/>
  <c r="I210"/>
  <c r="I212" s="1"/>
  <c r="I45" i="26"/>
  <c r="I26" i="11"/>
  <c r="I28" s="1"/>
  <c r="I33" s="1"/>
  <c r="I35" s="1"/>
  <c r="H33"/>
  <c r="H36" s="1"/>
  <c r="H307" i="29"/>
  <c r="H311" s="1"/>
  <c r="I293"/>
  <c r="I295" s="1"/>
  <c r="H237" l="1"/>
  <c r="I229"/>
  <c r="I237" s="1"/>
  <c r="I312"/>
  <c r="I320" s="1"/>
  <c r="H320"/>
  <c r="J22" i="12"/>
  <c r="I27"/>
  <c r="J27" l="1"/>
  <c r="L27" s="1"/>
  <c r="F200" i="38" l="1"/>
  <c r="F202"/>
  <c r="H202" s="1"/>
  <c r="I200"/>
  <c r="L200"/>
  <c r="I470" i="22"/>
  <c r="I471" s="1"/>
  <c r="H213" i="38" l="1"/>
  <c r="F213"/>
  <c r="I202"/>
  <c r="I212" s="1"/>
  <c r="N470" i="22"/>
  <c r="N471" s="1"/>
  <c r="N473" s="1"/>
  <c r="H200" i="38"/>
  <c r="F212"/>
  <c r="J470" i="22"/>
  <c r="J471" s="1"/>
  <c r="I213" i="38" s="1"/>
  <c r="O470" i="22"/>
  <c r="O471" s="1"/>
  <c r="O473" s="1"/>
  <c r="F214" i="38" l="1"/>
  <c r="F241" i="28"/>
  <c r="J472" i="22"/>
  <c r="J473" s="1"/>
  <c r="J213" i="38"/>
  <c r="L202"/>
  <c r="L212" s="1"/>
  <c r="I214"/>
  <c r="J202"/>
  <c r="K202" s="1"/>
  <c r="J200"/>
  <c r="K200" s="1"/>
  <c r="H212"/>
  <c r="K470" i="22"/>
  <c r="K471" s="1"/>
  <c r="L470"/>
  <c r="L471" s="1"/>
  <c r="K212" i="38" l="1"/>
  <c r="F253" i="28"/>
  <c r="K472" i="22"/>
  <c r="K473" s="1"/>
  <c r="M202" i="38"/>
  <c r="N202" s="1"/>
  <c r="F239" i="28"/>
  <c r="K213" i="38"/>
  <c r="M213"/>
  <c r="L213"/>
  <c r="L214" s="1"/>
  <c r="H214"/>
  <c r="I472" i="22"/>
  <c r="I473" s="1"/>
  <c r="J212" i="38"/>
  <c r="J214" s="1"/>
  <c r="F455" i="21"/>
  <c r="E737"/>
  <c r="F391"/>
  <c r="E258"/>
  <c r="F505"/>
  <c r="E855"/>
  <c r="E779"/>
  <c r="E814"/>
  <c r="H14" i="37"/>
  <c r="F707" i="21"/>
  <c r="F148"/>
  <c r="E402"/>
  <c r="E392"/>
  <c r="F371"/>
  <c r="H7" i="37"/>
  <c r="H9"/>
  <c r="H28"/>
  <c r="F394" i="21"/>
  <c r="E778"/>
  <c r="E461"/>
  <c r="E305"/>
  <c r="F580"/>
  <c r="E717"/>
  <c r="E877"/>
  <c r="F763"/>
  <c r="E713"/>
  <c r="P73" i="20"/>
  <c r="F386" i="21"/>
  <c r="F864"/>
  <c r="Q188"/>
  <c r="E217"/>
  <c r="F438"/>
  <c r="E806"/>
  <c r="E601"/>
  <c r="E794"/>
  <c r="E605"/>
  <c r="M13" i="20"/>
  <c r="E613" i="21"/>
  <c r="F591"/>
  <c r="F715"/>
  <c r="E862"/>
  <c r="F589"/>
  <c r="E19"/>
  <c r="M58" i="20"/>
  <c r="F18" i="21"/>
  <c r="E181"/>
  <c r="H30" i="37"/>
  <c r="H36"/>
  <c r="E725" i="21"/>
  <c r="E457"/>
  <c r="F786"/>
  <c r="F390"/>
  <c r="E405"/>
  <c r="F712"/>
  <c r="E464"/>
  <c r="E547"/>
  <c r="F702"/>
  <c r="F704"/>
  <c r="F430"/>
  <c r="F709"/>
  <c r="F413"/>
  <c r="F809"/>
  <c r="F839"/>
  <c r="F454"/>
  <c r="E626"/>
  <c r="E419"/>
  <c r="E697"/>
  <c r="F792"/>
  <c r="F881"/>
  <c r="E829"/>
  <c r="F697"/>
  <c r="F841"/>
  <c r="E84"/>
  <c r="F727"/>
  <c r="E811"/>
  <c r="E774"/>
  <c r="E310"/>
  <c r="F234"/>
  <c r="E705"/>
  <c r="E267"/>
  <c r="F277"/>
  <c r="F772"/>
  <c r="F500"/>
  <c r="F668"/>
  <c r="F504"/>
  <c r="F852"/>
  <c r="E668"/>
  <c r="H24" i="37"/>
  <c r="H61"/>
  <c r="E631" i="21"/>
  <c r="H15" i="37"/>
  <c r="F555" i="21"/>
  <c r="F524"/>
  <c r="F514"/>
  <c r="F276"/>
  <c r="F218"/>
  <c r="F834"/>
  <c r="F662"/>
  <c r="F821"/>
  <c r="H10" i="37"/>
  <c r="K65" i="20"/>
  <c r="F154" i="21"/>
  <c r="F798"/>
  <c r="F800"/>
  <c r="E93"/>
  <c r="E729"/>
  <c r="F476"/>
  <c r="E652"/>
  <c r="E359"/>
  <c r="E764"/>
  <c r="E137"/>
  <c r="F758"/>
  <c r="F759"/>
  <c r="H27" i="37"/>
  <c r="E141" i="21"/>
  <c r="E733"/>
  <c r="E145"/>
  <c r="H6" i="37"/>
  <c r="F268" i="21"/>
  <c r="E801"/>
  <c r="E404"/>
  <c r="N11" i="20"/>
  <c r="E799" i="21"/>
  <c r="H19" i="20"/>
  <c r="F628" i="21"/>
  <c r="F530"/>
  <c r="F266"/>
  <c r="F314"/>
  <c r="E798"/>
  <c r="F742"/>
  <c r="E202"/>
  <c r="E735"/>
  <c r="E573"/>
  <c r="E869"/>
  <c r="E860"/>
  <c r="F860"/>
  <c r="F228"/>
  <c r="E813"/>
  <c r="F811"/>
  <c r="F304"/>
  <c r="E674"/>
  <c r="E728"/>
  <c r="F509"/>
  <c r="E694"/>
  <c r="E761"/>
  <c r="E763"/>
  <c r="E723"/>
  <c r="F205"/>
  <c r="F599"/>
  <c r="E209"/>
  <c r="E822"/>
  <c r="E587"/>
  <c r="F767"/>
  <c r="E876"/>
  <c r="E462"/>
  <c r="F765"/>
  <c r="H13" i="20"/>
  <c r="F587" i="21"/>
  <c r="E663"/>
  <c r="F666"/>
  <c r="E808"/>
  <c r="E809"/>
  <c r="E805"/>
  <c r="E236"/>
  <c r="E616"/>
  <c r="F240"/>
  <c r="E790"/>
  <c r="E654"/>
  <c r="E671"/>
  <c r="F714"/>
  <c r="F456"/>
  <c r="E669"/>
  <c r="F738"/>
  <c r="F484"/>
  <c r="F526"/>
  <c r="Q426"/>
  <c r="E792"/>
  <c r="E793"/>
  <c r="E810"/>
  <c r="F785"/>
  <c r="N45" i="20"/>
  <c r="E151" i="21"/>
  <c r="E624"/>
  <c r="E285"/>
  <c r="E709"/>
  <c r="E622"/>
  <c r="F133"/>
  <c r="E27"/>
  <c r="H41" i="20"/>
  <c r="F159" i="21"/>
  <c r="F710"/>
  <c r="F711"/>
  <c r="E617"/>
  <c r="F806"/>
  <c r="F625"/>
  <c r="Q162"/>
  <c r="F757"/>
  <c r="E664"/>
  <c r="F844"/>
  <c r="F95"/>
  <c r="F290"/>
  <c r="E780"/>
  <c r="F617"/>
  <c r="E871"/>
  <c r="F611"/>
  <c r="F793"/>
  <c r="F823"/>
  <c r="F487"/>
  <c r="F787"/>
  <c r="E331"/>
  <c r="F743"/>
  <c r="F335"/>
  <c r="F724"/>
  <c r="E667"/>
  <c r="E865"/>
  <c r="H60" i="37"/>
  <c r="F100" i="21"/>
  <c r="E863"/>
  <c r="F572"/>
  <c r="F660"/>
  <c r="E266"/>
  <c r="E740"/>
  <c r="E618"/>
  <c r="E598"/>
  <c r="F825"/>
  <c r="H57" i="37"/>
  <c r="F833" i="21"/>
  <c r="F354"/>
  <c r="E791"/>
  <c r="F760"/>
  <c r="E638"/>
  <c r="F489"/>
  <c r="H42" i="37"/>
  <c r="E770" i="21"/>
  <c r="F655"/>
  <c r="E727"/>
  <c r="E308"/>
  <c r="F857"/>
  <c r="F574"/>
  <c r="F150"/>
  <c r="F771"/>
  <c r="E387"/>
  <c r="E704"/>
  <c r="H59" i="37"/>
  <c r="E407" i="21"/>
  <c r="E708"/>
  <c r="F830"/>
  <c r="F832"/>
  <c r="E521"/>
  <c r="E632"/>
  <c r="E736"/>
  <c r="E251"/>
  <c r="F343"/>
  <c r="E841"/>
  <c r="F826"/>
  <c r="E731"/>
  <c r="E859"/>
  <c r="E700"/>
  <c r="F756"/>
  <c r="E218"/>
  <c r="F698"/>
  <c r="E101"/>
  <c r="E688"/>
  <c r="E856"/>
  <c r="H26" i="37"/>
  <c r="E581" i="21"/>
  <c r="F178"/>
  <c r="E715"/>
  <c r="E68"/>
  <c r="E696"/>
  <c r="F375"/>
  <c r="F405"/>
  <c r="E804"/>
  <c r="E614"/>
  <c r="F131"/>
  <c r="F590"/>
  <c r="F52"/>
  <c r="E635"/>
  <c r="M48" i="20"/>
  <c r="H11" i="37"/>
  <c r="E721" i="21"/>
  <c r="E144"/>
  <c r="F511"/>
  <c r="F397"/>
  <c r="F527"/>
  <c r="F701"/>
  <c r="F571"/>
  <c r="F395"/>
  <c r="F427"/>
  <c r="E430"/>
  <c r="E695"/>
  <c r="F843"/>
  <c r="F705"/>
  <c r="E220"/>
  <c r="E244"/>
  <c r="F695"/>
  <c r="E699"/>
  <c r="E588"/>
  <c r="F872"/>
  <c r="E471"/>
  <c r="H25" i="37"/>
  <c r="F837" i="21"/>
  <c r="Q219"/>
  <c r="E460"/>
  <c r="F532"/>
  <c r="E536"/>
  <c r="F732"/>
  <c r="E637"/>
  <c r="F797"/>
  <c r="E651"/>
  <c r="E564"/>
  <c r="F503"/>
  <c r="F790"/>
  <c r="H29" i="37"/>
  <c r="F776" i="21"/>
  <c r="F481"/>
  <c r="E802"/>
  <c r="F629"/>
  <c r="E204"/>
  <c r="F475"/>
  <c r="E739"/>
  <c r="E268"/>
  <c r="F885"/>
  <c r="E816"/>
  <c r="E300"/>
  <c r="E832"/>
  <c r="E540"/>
  <c r="E680"/>
  <c r="F564"/>
  <c r="E719"/>
  <c r="H8" i="37"/>
  <c r="E878" i="21"/>
  <c r="F766"/>
  <c r="E445"/>
  <c r="E276"/>
  <c r="E797"/>
  <c r="E795"/>
  <c r="E803"/>
  <c r="F693"/>
  <c r="F716"/>
  <c r="E670"/>
  <c r="E472"/>
  <c r="F433"/>
  <c r="F791"/>
  <c r="E703"/>
  <c r="F621"/>
  <c r="H62" i="20"/>
  <c r="F623" i="21"/>
  <c r="E35"/>
  <c r="F129"/>
  <c r="F32"/>
  <c r="E796"/>
  <c r="E777"/>
  <c r="F173"/>
  <c r="F177"/>
  <c r="E830"/>
  <c r="F842"/>
  <c r="F728"/>
  <c r="F516"/>
  <c r="E486"/>
  <c r="E271"/>
  <c r="F769"/>
  <c r="E759"/>
  <c r="H62" i="37"/>
  <c r="E864" i="21"/>
  <c r="F600"/>
  <c r="F149"/>
  <c r="F679"/>
  <c r="E873"/>
  <c r="F363"/>
  <c r="E367"/>
  <c r="F731"/>
  <c r="E636"/>
  <c r="H41" i="37"/>
  <c r="F548" i="21"/>
  <c r="F404"/>
  <c r="F761"/>
  <c r="F398"/>
  <c r="E520"/>
  <c r="E158"/>
  <c r="F829"/>
  <c r="E722"/>
  <c r="E528"/>
  <c r="F775"/>
  <c r="F644"/>
  <c r="K54" i="20"/>
  <c r="E98" i="21"/>
  <c r="F651"/>
  <c r="E649"/>
  <c r="E261"/>
  <c r="E762"/>
  <c r="E105"/>
  <c r="M55" i="20"/>
  <c r="F118" i="21"/>
  <c r="E49"/>
  <c r="E287"/>
  <c r="E609"/>
  <c r="M82" i="20"/>
  <c r="F645" i="21"/>
  <c r="K47" i="20"/>
  <c r="E401" i="21"/>
  <c r="E131"/>
  <c r="F60"/>
  <c r="K13" i="20"/>
  <c r="F348" i="21"/>
  <c r="M14" i="20"/>
  <c r="F559" i="21"/>
  <c r="Q11"/>
  <c r="F847"/>
  <c r="E744"/>
  <c r="E517"/>
  <c r="E758"/>
  <c r="E509"/>
  <c r="F853"/>
  <c r="F848"/>
  <c r="F877"/>
  <c r="E199"/>
  <c r="N8" i="20"/>
  <c r="F683" i="21"/>
  <c r="H77" i="20"/>
  <c r="F501" i="21"/>
  <c r="H71" i="20"/>
  <c r="F388" i="21"/>
  <c r="E376"/>
  <c r="E629"/>
  <c r="F236"/>
  <c r="F315"/>
  <c r="E66"/>
  <c r="F11"/>
  <c r="F537"/>
  <c r="E196"/>
  <c r="H9" i="20"/>
  <c r="E659" i="21"/>
  <c r="E182"/>
  <c r="E259"/>
  <c r="F428"/>
  <c r="F74"/>
  <c r="P59" i="20"/>
  <c r="E85" i="21"/>
  <c r="H21" i="20"/>
  <c r="F152" i="21"/>
  <c r="E596"/>
  <c r="E580"/>
  <c r="F818"/>
  <c r="E677"/>
  <c r="E742"/>
  <c r="E784"/>
  <c r="E786"/>
  <c r="H64" i="20"/>
  <c r="E171" i="21"/>
  <c r="E553"/>
  <c r="P42" i="20"/>
  <c r="E589" i="21"/>
  <c r="F467"/>
  <c r="P69" i="20"/>
  <c r="E225" i="21"/>
  <c r="K60" i="20"/>
  <c r="N32"/>
  <c r="F70" i="21"/>
  <c r="F98"/>
  <c r="F29"/>
  <c r="E656"/>
  <c r="E641"/>
  <c r="E135"/>
  <c r="F828"/>
  <c r="P54" i="20"/>
  <c r="N65"/>
  <c r="H16"/>
  <c r="F114" i="21"/>
  <c r="E318"/>
  <c r="N42" i="20"/>
  <c r="H82" i="37"/>
  <c r="F88" i="21"/>
  <c r="P40" i="20"/>
  <c r="F53" i="21"/>
  <c r="E379"/>
  <c r="F754"/>
  <c r="F58"/>
  <c r="P51" i="20"/>
  <c r="F307" i="21"/>
  <c r="E357"/>
  <c r="E821"/>
  <c r="M9" i="20"/>
  <c r="F298" i="21"/>
  <c r="F233"/>
  <c r="F569"/>
  <c r="F558"/>
  <c r="N50" i="20"/>
  <c r="E435" i="21"/>
  <c r="F656"/>
  <c r="F598"/>
  <c r="F179"/>
  <c r="F134"/>
  <c r="E53"/>
  <c r="E317"/>
  <c r="F453"/>
  <c r="F174"/>
  <c r="E559"/>
  <c r="E504"/>
  <c r="F109"/>
  <c r="E32"/>
  <c r="E26"/>
  <c r="N51" i="20"/>
  <c r="H65"/>
  <c r="K20"/>
  <c r="F198" i="21"/>
  <c r="F370"/>
  <c r="E591"/>
  <c r="E468"/>
  <c r="H30" i="20"/>
  <c r="E226" i="21"/>
  <c r="M60" i="20"/>
  <c r="F740" i="21"/>
  <c r="F186"/>
  <c r="F670"/>
  <c r="F745"/>
  <c r="E316"/>
  <c r="E604"/>
  <c r="E606"/>
  <c r="N86" i="20"/>
  <c r="F506" i="21"/>
  <c r="F214"/>
  <c r="E410"/>
  <c r="F295"/>
  <c r="E265"/>
  <c r="Q138"/>
  <c r="E368"/>
  <c r="F254"/>
  <c r="M20" i="20"/>
  <c r="F553" i="21"/>
  <c r="E153"/>
  <c r="F424"/>
  <c r="F317"/>
  <c r="H32" i="20"/>
  <c r="H85"/>
  <c r="F169" i="21"/>
  <c r="F299"/>
  <c r="K28" i="20"/>
  <c r="P35"/>
  <c r="H29"/>
  <c r="E666" i="21"/>
  <c r="F62"/>
  <c r="F155"/>
  <c r="E586"/>
  <c r="E444"/>
  <c r="E330"/>
  <c r="E203"/>
  <c r="F282"/>
  <c r="P64" i="20"/>
  <c r="E499" i="21"/>
  <c r="E455"/>
  <c r="F82"/>
  <c r="F87"/>
  <c r="F242"/>
  <c r="K38" i="20"/>
  <c r="E291" i="21"/>
  <c r="E112"/>
  <c r="F246"/>
  <c r="M45" i="20"/>
  <c r="E730" i="21"/>
  <c r="E269"/>
  <c r="F499"/>
  <c r="F211"/>
  <c r="E437"/>
  <c r="M44" i="20"/>
  <c r="F782" i="21"/>
  <c r="E146"/>
  <c r="F64"/>
  <c r="F351"/>
  <c r="F89"/>
  <c r="E270"/>
  <c r="F132"/>
  <c r="H86" i="20"/>
  <c r="K48"/>
  <c r="E850" i="21"/>
  <c r="E126"/>
  <c r="F700"/>
  <c r="F225"/>
  <c r="F326"/>
  <c r="E846"/>
  <c r="E33"/>
  <c r="F689"/>
  <c r="F464"/>
  <c r="E195"/>
  <c r="E388"/>
  <c r="E296"/>
  <c r="E689"/>
  <c r="F691"/>
  <c r="E557"/>
  <c r="F538"/>
  <c r="N26" i="20"/>
  <c r="F142" i="21"/>
  <c r="K78" i="20"/>
  <c r="F646" i="21"/>
  <c r="F313"/>
  <c r="E500"/>
  <c r="E142"/>
  <c r="M11" i="20"/>
  <c r="E336" i="21"/>
  <c r="E511"/>
  <c r="F10"/>
  <c r="H87" i="20"/>
  <c r="E333" i="21"/>
  <c r="E490"/>
  <c r="E113"/>
  <c r="F231"/>
  <c r="P50" i="20"/>
  <c r="E15" i="21"/>
  <c r="M62" i="20"/>
  <c r="F264" i="21"/>
  <c r="E12"/>
  <c r="K45" i="20"/>
  <c r="N75"/>
  <c r="F210" i="21"/>
  <c r="E219"/>
  <c r="M15" i="20"/>
  <c r="F35" i="21"/>
  <c r="F650"/>
  <c r="F471"/>
  <c r="F730"/>
  <c r="F230"/>
  <c r="F579"/>
  <c r="E82"/>
  <c r="J75" i="20"/>
  <c r="F460" i="21"/>
  <c r="E250"/>
  <c r="E482"/>
  <c r="H24" i="20"/>
  <c r="F570" i="21"/>
  <c r="E571"/>
  <c r="F661"/>
  <c r="F801"/>
  <c r="E602"/>
  <c r="E156"/>
  <c r="J53" i="20"/>
  <c r="F287" i="21"/>
  <c r="E537"/>
  <c r="J64" i="20"/>
  <c r="H81"/>
  <c r="K56"/>
  <c r="H80"/>
  <c r="E289" i="21"/>
  <c r="H36" i="20"/>
  <c r="F21" i="21"/>
  <c r="J50" i="20"/>
  <c r="N40"/>
  <c r="J71"/>
  <c r="P37"/>
  <c r="N82"/>
  <c r="F116" i="21"/>
  <c r="E65"/>
  <c r="P67" i="20"/>
  <c r="J42"/>
  <c r="F7" i="21"/>
  <c r="E442"/>
  <c r="H53" i="20"/>
  <c r="F190" i="21"/>
  <c r="F224"/>
  <c r="M35" i="20"/>
  <c r="F260" i="21"/>
  <c r="F80"/>
  <c r="K29" i="20"/>
  <c r="F699" i="21"/>
  <c r="E681"/>
  <c r="E560"/>
  <c r="E414"/>
  <c r="E343"/>
  <c r="F286"/>
  <c r="E685"/>
  <c r="F875"/>
  <c r="P38" i="20"/>
  <c r="F55" i="21"/>
  <c r="N80" i="20"/>
  <c r="F45" i="21"/>
  <c r="M59" i="20"/>
  <c r="F540" i="21"/>
  <c r="E566"/>
  <c r="H51" i="20"/>
  <c r="P36"/>
  <c r="E384" i="21"/>
  <c r="F66"/>
  <c r="F278"/>
  <c r="K32" i="20"/>
  <c r="E103" i="21"/>
  <c r="F339"/>
  <c r="E369"/>
  <c r="F65"/>
  <c r="H44" i="37"/>
  <c r="J59" i="20"/>
  <c r="Q438" i="21"/>
  <c r="F612"/>
  <c r="F452"/>
  <c r="E441"/>
  <c r="F488"/>
  <c r="F533"/>
  <c r="K70" i="20"/>
  <c r="E364" i="21"/>
  <c r="E13"/>
  <c r="N29" i="20"/>
  <c r="K66"/>
  <c r="F41" i="21"/>
  <c r="E633"/>
  <c r="F626"/>
  <c r="F196"/>
  <c r="E37"/>
  <c r="E232"/>
  <c r="F36"/>
  <c r="E229"/>
  <c r="F648"/>
  <c r="E130"/>
  <c r="J44" i="20"/>
  <c r="E428" i="21"/>
  <c r="E535"/>
  <c r="E867"/>
  <c r="F859"/>
  <c r="E812"/>
  <c r="E650"/>
  <c r="F517"/>
  <c r="F364"/>
  <c r="E857"/>
  <c r="E447"/>
  <c r="F808"/>
  <c r="H78" i="37"/>
  <c r="E875" i="21"/>
  <c r="E711"/>
  <c r="F257"/>
  <c r="F482"/>
  <c r="H37" i="20"/>
  <c r="E478" i="21"/>
  <c r="F824"/>
  <c r="E653"/>
  <c r="F713"/>
  <c r="F588"/>
  <c r="E165"/>
  <c r="E170"/>
  <c r="F582"/>
  <c r="F788"/>
  <c r="E634"/>
  <c r="E757"/>
  <c r="F703"/>
  <c r="F440"/>
  <c r="F141"/>
  <c r="F498"/>
  <c r="E628"/>
  <c r="E765"/>
  <c r="F882"/>
  <c r="E593"/>
  <c r="H13" i="37"/>
  <c r="E771" i="21"/>
  <c r="F435"/>
  <c r="F694"/>
  <c r="E397"/>
  <c r="F770"/>
  <c r="F789"/>
  <c r="F557"/>
  <c r="H17" i="37"/>
  <c r="E492" i="21"/>
  <c r="F403"/>
  <c r="F807"/>
  <c r="F836"/>
  <c r="E858"/>
  <c r="F820"/>
  <c r="F799"/>
  <c r="E861"/>
  <c r="E661"/>
  <c r="F140"/>
  <c r="H49" i="20"/>
  <c r="F762" i="21"/>
  <c r="F568"/>
  <c r="E278"/>
  <c r="E412"/>
  <c r="E800"/>
  <c r="F542"/>
  <c r="E286"/>
  <c r="H58" i="37"/>
  <c r="F434" i="21"/>
  <c r="F741"/>
  <c r="E213"/>
  <c r="F272"/>
  <c r="F779"/>
  <c r="E781"/>
  <c r="H37" i="37"/>
  <c r="E665" i="21"/>
  <c r="F536"/>
  <c r="F822"/>
  <c r="F194"/>
  <c r="F680"/>
  <c r="F604"/>
  <c r="F768"/>
  <c r="E807"/>
  <c r="F146"/>
  <c r="F664"/>
  <c r="F838"/>
  <c r="F226"/>
  <c r="F696"/>
  <c r="E79"/>
  <c r="E672"/>
  <c r="F773"/>
  <c r="F729"/>
  <c r="F594"/>
  <c r="F512"/>
  <c r="F840"/>
  <c r="E575"/>
  <c r="F275"/>
  <c r="E621"/>
  <c r="N55" i="20"/>
  <c r="H12" i="37"/>
  <c r="E776" i="21"/>
  <c r="F627"/>
  <c r="E583"/>
  <c r="E854"/>
  <c r="E470"/>
  <c r="F477"/>
  <c r="F802"/>
  <c r="E542"/>
  <c r="F261"/>
  <c r="F744"/>
  <c r="F497"/>
  <c r="E866"/>
  <c r="F764"/>
  <c r="F235"/>
  <c r="F392"/>
  <c r="F678"/>
  <c r="E872"/>
  <c r="F835"/>
  <c r="E701"/>
  <c r="F692"/>
  <c r="H43" i="37"/>
  <c r="K39" i="20"/>
  <c r="F866" i="21"/>
  <c r="E396"/>
  <c r="E322"/>
  <c r="E874"/>
  <c r="H80" i="37"/>
  <c r="F831" i="21"/>
  <c r="E707"/>
  <c r="K33" i="20"/>
  <c r="F546" i="21"/>
  <c r="F774"/>
  <c r="M72" i="20"/>
  <c r="F241" i="21"/>
  <c r="H54" i="20"/>
  <c r="E115" i="21"/>
  <c r="E353"/>
  <c r="E224"/>
  <c r="F531"/>
  <c r="E687"/>
  <c r="E498"/>
  <c r="F156"/>
  <c r="H68" i="20"/>
  <c r="K27"/>
  <c r="N39"/>
  <c r="J27"/>
  <c r="F374" i="21"/>
  <c r="E243"/>
  <c r="K49" i="20"/>
  <c r="F750" i="21"/>
  <c r="F130"/>
  <c r="F649"/>
  <c r="E72"/>
  <c r="E851"/>
  <c r="F876"/>
  <c r="F209"/>
  <c r="J43" i="20"/>
  <c r="E380" i="21"/>
  <c r="E853"/>
  <c r="E201"/>
  <c r="E836"/>
  <c r="E74"/>
  <c r="F520"/>
  <c r="E549"/>
  <c r="F16"/>
  <c r="E467"/>
  <c r="F871"/>
  <c r="E495"/>
  <c r="F329"/>
  <c r="F202"/>
  <c r="E714"/>
  <c r="P82" i="20"/>
  <c r="E100" i="21"/>
  <c r="J76" i="20"/>
  <c r="F585" i="21"/>
  <c r="F248"/>
  <c r="K22" i="20"/>
  <c r="F243" i="21"/>
  <c r="Q15"/>
  <c r="F75"/>
  <c r="F39"/>
  <c r="E474"/>
  <c r="E527"/>
  <c r="E595"/>
  <c r="F73"/>
  <c r="M25" i="20"/>
  <c r="E17" i="21"/>
  <c r="E431"/>
  <c r="F737"/>
  <c r="Q315"/>
  <c r="F221"/>
  <c r="E491"/>
  <c r="K8" i="20"/>
  <c r="F115" i="21"/>
  <c r="F739"/>
  <c r="K85" i="20"/>
  <c r="E377" i="21"/>
  <c r="E249"/>
  <c r="M16" i="20"/>
  <c r="N44"/>
  <c r="N43"/>
  <c r="E648" i="21"/>
  <c r="K57" i="20"/>
  <c r="E39" i="21"/>
  <c r="K81" i="20"/>
  <c r="J65"/>
  <c r="M81"/>
  <c r="F273" i="21"/>
  <c r="N25" i="20"/>
  <c r="E114" i="21"/>
  <c r="H27" i="20"/>
  <c r="M32"/>
  <c r="E426" i="21"/>
  <c r="F138"/>
  <c r="F577"/>
  <c r="E25"/>
  <c r="N85" i="20"/>
  <c r="H14"/>
  <c r="F50" i="21"/>
  <c r="K12" i="20"/>
  <c r="K19"/>
  <c r="F274" i="21"/>
  <c r="E119"/>
  <c r="E159"/>
  <c r="E94"/>
  <c r="M65" i="20"/>
  <c r="H28"/>
  <c r="E133" i="21"/>
  <c r="E129"/>
  <c r="F14"/>
  <c r="K87" i="20"/>
  <c r="J35"/>
  <c r="E238" i="21"/>
  <c r="E10"/>
  <c r="M41" i="20"/>
  <c r="E306" i="21"/>
  <c r="F442"/>
  <c r="F633"/>
  <c r="H75" i="20"/>
  <c r="E212" i="21"/>
  <c r="E487"/>
  <c r="E558"/>
  <c r="E423"/>
  <c r="F293"/>
  <c r="F586"/>
  <c r="F119"/>
  <c r="F734"/>
  <c r="E745"/>
  <c r="E453"/>
  <c r="E815"/>
  <c r="F23"/>
  <c r="E408"/>
  <c r="F334"/>
  <c r="E550"/>
  <c r="E837"/>
  <c r="F525"/>
  <c r="F239"/>
  <c r="Q390"/>
  <c r="E57"/>
  <c r="E295"/>
  <c r="F647"/>
  <c r="P78" i="20"/>
  <c r="F400" i="21"/>
  <c r="E96"/>
  <c r="E264"/>
  <c r="N72" i="20"/>
  <c r="E567" i="21"/>
  <c r="F382"/>
  <c r="J72" i="20"/>
  <c r="E279" i="21"/>
  <c r="J40" i="20"/>
  <c r="P70"/>
  <c r="F657" i="21"/>
  <c r="F422"/>
  <c r="F810"/>
  <c r="F330"/>
  <c r="E329"/>
  <c r="F208"/>
  <c r="F291"/>
  <c r="F575"/>
  <c r="F48"/>
  <c r="M53" i="20"/>
  <c r="K23"/>
  <c r="P14"/>
  <c r="N66"/>
  <c r="E734" i="21"/>
  <c r="F640"/>
  <c r="E398"/>
  <c r="F27"/>
  <c r="Q37"/>
  <c r="E710"/>
  <c r="N57" i="20"/>
  <c r="K36"/>
  <c r="M66"/>
  <c r="K31"/>
  <c r="F733" i="21"/>
  <c r="F561"/>
  <c r="F684"/>
  <c r="H77" i="37"/>
  <c r="E48" i="21"/>
  <c r="F539"/>
  <c r="E163"/>
  <c r="E297"/>
  <c r="F320"/>
  <c r="F191"/>
  <c r="E277"/>
  <c r="K11" i="20"/>
  <c r="F327" i="21"/>
  <c r="F283"/>
  <c r="F61"/>
  <c r="F459"/>
  <c r="P47" i="20"/>
  <c r="E436" i="21"/>
  <c r="F28"/>
  <c r="M75" i="20"/>
  <c r="F168" i="21"/>
  <c r="K40" i="20"/>
  <c r="E21" i="21"/>
  <c r="E741"/>
  <c r="E754"/>
  <c r="F38"/>
  <c r="E340"/>
  <c r="K16" i="20"/>
  <c r="E385" i="21"/>
  <c r="F563"/>
  <c r="E166"/>
  <c r="F421"/>
  <c r="F616"/>
  <c r="J33" i="20"/>
  <c r="E459" i="21"/>
  <c r="E826"/>
  <c r="H69" i="20"/>
  <c r="E298" i="21"/>
  <c r="E205"/>
  <c r="N15" i="20"/>
  <c r="E675" i="21"/>
  <c r="E673"/>
  <c r="E825"/>
  <c r="E824"/>
  <c r="F805"/>
  <c r="F312"/>
  <c r="E139"/>
  <c r="E690"/>
  <c r="H39" i="20"/>
  <c r="E526" i="21"/>
  <c r="N17" i="20"/>
  <c r="E86" i="21"/>
  <c r="E161"/>
  <c r="F867"/>
  <c r="E323"/>
  <c r="M84" i="20"/>
  <c r="F814" i="21"/>
  <c r="F111"/>
  <c r="F306"/>
  <c r="F490"/>
  <c r="E355"/>
  <c r="J78" i="20"/>
  <c r="N71"/>
  <c r="F431" i="21"/>
  <c r="E642"/>
  <c r="E288"/>
  <c r="F544"/>
  <c r="E594"/>
  <c r="H39" i="37"/>
  <c r="F457" i="21"/>
  <c r="E658"/>
  <c r="J79" i="20"/>
  <c r="F244" i="21"/>
  <c r="E302"/>
  <c r="N47" i="20"/>
  <c r="F219" i="21"/>
  <c r="K58" i="20"/>
  <c r="E78" i="21"/>
  <c r="M33" i="20"/>
  <c r="E545" i="21"/>
  <c r="F93"/>
  <c r="F222"/>
  <c r="F463"/>
  <c r="E522"/>
  <c r="E283"/>
  <c r="M50" i="20"/>
  <c r="N61"/>
  <c r="F126" i="21"/>
  <c r="E507"/>
  <c r="E391"/>
  <c r="F309"/>
  <c r="F863"/>
  <c r="E840"/>
  <c r="Q14"/>
  <c r="F212"/>
  <c r="E71"/>
  <c r="E494"/>
  <c r="F869"/>
  <c r="K71" i="20"/>
  <c r="F342" i="21"/>
  <c r="J69" i="20"/>
  <c r="E155" i="21"/>
  <c r="E373"/>
  <c r="F258"/>
  <c r="E501"/>
  <c r="F157"/>
  <c r="E768"/>
  <c r="F415"/>
  <c r="E477"/>
  <c r="J52" i="20"/>
  <c r="E409" i="21"/>
  <c r="N59" i="20"/>
  <c r="F49" i="21"/>
  <c r="H31" i="20"/>
  <c r="H12"/>
  <c r="F642" i="21"/>
  <c r="E523"/>
  <c r="F117"/>
  <c r="P58" i="20"/>
  <c r="E524" i="21"/>
  <c r="E167"/>
  <c r="E645"/>
  <c r="F451"/>
  <c r="E686"/>
  <c r="H20" i="20"/>
  <c r="E386" i="21"/>
  <c r="E341"/>
  <c r="F414"/>
  <c r="F175"/>
  <c r="E332"/>
  <c r="N12" i="20"/>
  <c r="P65"/>
  <c r="E272" i="21"/>
  <c r="F164"/>
  <c r="K62" i="20"/>
  <c r="E303" i="21"/>
  <c r="H76" i="20"/>
  <c r="E394" i="21"/>
  <c r="E193"/>
  <c r="E366"/>
  <c r="F92"/>
  <c r="F469"/>
  <c r="J14" i="20"/>
  <c r="E382" i="21"/>
  <c r="F76"/>
  <c r="E427"/>
  <c r="N68" i="20"/>
  <c r="F385" i="21"/>
  <c r="F324"/>
  <c r="F552"/>
  <c r="E237"/>
  <c r="E362"/>
  <c r="E234"/>
  <c r="N30" i="20"/>
  <c r="F189" i="21"/>
  <c r="E531"/>
  <c r="E476"/>
  <c r="F658"/>
  <c r="E599"/>
  <c r="E87"/>
  <c r="E466"/>
  <c r="M39" i="20"/>
  <c r="F861" i="21"/>
  <c r="J32" i="20"/>
  <c r="E570" i="21"/>
  <c r="E429"/>
  <c r="N16" i="20"/>
  <c r="E775" i="21"/>
  <c r="F328"/>
  <c r="F508"/>
  <c r="K24" i="20"/>
  <c r="F59" i="21"/>
  <c r="F86"/>
  <c r="E290"/>
  <c r="F325"/>
  <c r="F347"/>
  <c r="E454"/>
  <c r="F470"/>
  <c r="E99"/>
  <c r="E446"/>
  <c r="F238"/>
  <c r="H74" i="20"/>
  <c r="J66"/>
  <c r="E281" i="21"/>
  <c r="E47"/>
  <c r="F365"/>
  <c r="F665"/>
  <c r="F108"/>
  <c r="E109"/>
  <c r="E820"/>
  <c r="F636"/>
  <c r="F534"/>
  <c r="E411"/>
  <c r="E881"/>
  <c r="E749"/>
  <c r="E347"/>
  <c r="E879"/>
  <c r="E413"/>
  <c r="F592"/>
  <c r="E691"/>
  <c r="F635"/>
  <c r="E348"/>
  <c r="F420"/>
  <c r="E55"/>
  <c r="E76"/>
  <c r="F595"/>
  <c r="K35" i="20"/>
  <c r="H44"/>
  <c r="E60" i="21"/>
  <c r="H18" i="20"/>
  <c r="F778" i="21"/>
  <c r="E307"/>
  <c r="F192"/>
  <c r="E496"/>
  <c r="H26" i="20"/>
  <c r="E254" i="21"/>
  <c r="F637"/>
  <c r="P44" i="20"/>
  <c r="E116" i="21"/>
  <c r="E147"/>
  <c r="E248"/>
  <c r="F250"/>
  <c r="F845"/>
  <c r="H55" i="20"/>
  <c r="M37"/>
  <c r="E9" i="21"/>
  <c r="K72" i="20"/>
  <c r="E88" i="21"/>
  <c r="F316"/>
  <c r="F336"/>
  <c r="F215"/>
  <c r="E143"/>
  <c r="E372"/>
  <c r="F436"/>
  <c r="F206"/>
  <c r="F302"/>
  <c r="F263"/>
  <c r="E233"/>
  <c r="E469"/>
  <c r="F381"/>
  <c r="E556"/>
  <c r="E239"/>
  <c r="E743"/>
  <c r="E415"/>
  <c r="K21" i="20"/>
  <c r="F216" i="21"/>
  <c r="K43" i="20"/>
  <c r="F344" i="21"/>
  <c r="F372"/>
  <c r="F318"/>
  <c r="E885"/>
  <c r="E512"/>
  <c r="E883"/>
  <c r="E712"/>
  <c r="J67" i="20"/>
  <c r="F373" i="21"/>
  <c r="E280"/>
  <c r="E644"/>
  <c r="F613"/>
  <c r="E125"/>
  <c r="F245"/>
  <c r="E698"/>
  <c r="F610"/>
  <c r="F659"/>
  <c r="E29"/>
  <c r="M40" i="20"/>
  <c r="E314" i="21"/>
  <c r="E555"/>
  <c r="E375"/>
  <c r="F396"/>
  <c r="E256"/>
  <c r="F416"/>
  <c r="F675"/>
  <c r="K53" i="20"/>
  <c r="J56"/>
  <c r="E551" i="21"/>
  <c r="E773"/>
  <c r="E585"/>
  <c r="E252"/>
  <c r="F478"/>
  <c r="E592"/>
  <c r="F584"/>
  <c r="F333"/>
  <c r="M49" i="20"/>
  <c r="F22" i="21"/>
  <c r="H25" i="20"/>
  <c r="F855" i="21"/>
  <c r="E54"/>
  <c r="E7"/>
  <c r="F547"/>
  <c r="E630"/>
  <c r="E718"/>
  <c r="F491"/>
  <c r="M67" i="20"/>
  <c r="N18"/>
  <c r="E574" i="21"/>
  <c r="E216"/>
  <c r="E406"/>
  <c r="M80" i="20"/>
  <c r="P62"/>
  <c r="H63" i="37"/>
  <c r="F72" i="21"/>
  <c r="F632"/>
  <c r="E493"/>
  <c r="F97"/>
  <c r="H76" i="37"/>
  <c r="M57" i="20"/>
  <c r="J83"/>
  <c r="E502" i="21"/>
  <c r="E852"/>
  <c r="E24"/>
  <c r="M38" i="20"/>
  <c r="F749" i="21"/>
  <c r="F751"/>
  <c r="F652"/>
  <c r="F379"/>
  <c r="E51"/>
  <c r="E240"/>
  <c r="F874"/>
  <c r="K79" i="20"/>
  <c r="F182" i="21"/>
  <c r="E451"/>
  <c r="N58" i="20"/>
  <c r="F565" i="21"/>
  <c r="F883"/>
  <c r="H59" i="20"/>
  <c r="F560" i="21"/>
  <c r="F15"/>
  <c r="F522"/>
  <c r="F486"/>
  <c r="N21" i="20"/>
  <c r="K82"/>
  <c r="F285" i="21"/>
  <c r="E292"/>
  <c r="F682"/>
  <c r="E282"/>
  <c r="E260"/>
  <c r="E326"/>
  <c r="F411"/>
  <c r="F91"/>
  <c r="F147"/>
  <c r="E516"/>
  <c r="K83" i="20"/>
  <c r="E275" i="21"/>
  <c r="F393"/>
  <c r="F57"/>
  <c r="E400"/>
  <c r="E692"/>
  <c r="F12"/>
  <c r="N54" i="20"/>
  <c r="K17"/>
  <c r="E506" i="21"/>
  <c r="F255"/>
  <c r="E676"/>
  <c r="F510"/>
  <c r="F292"/>
  <c r="F674"/>
  <c r="F441"/>
  <c r="E140"/>
  <c r="F345"/>
  <c r="M85" i="20"/>
  <c r="J80"/>
  <c r="M61"/>
  <c r="F804" i="21"/>
  <c r="N56" i="20"/>
  <c r="E395" i="21"/>
  <c r="E73"/>
  <c r="F367"/>
  <c r="E611"/>
  <c r="J60" i="20"/>
  <c r="M10"/>
  <c r="F54" i="21"/>
  <c r="F352"/>
  <c r="E197"/>
  <c r="N13" i="20"/>
  <c r="E210" i="21"/>
  <c r="E63"/>
  <c r="F543"/>
  <c r="H63" i="20"/>
  <c r="E97" i="21"/>
  <c r="F25"/>
  <c r="Q428"/>
  <c r="F203"/>
  <c r="E682"/>
  <c r="E154"/>
  <c r="E693"/>
  <c r="Q7"/>
  <c r="H83" i="20"/>
  <c r="E753" i="21"/>
  <c r="E578"/>
  <c r="N23" i="20"/>
  <c r="K25"/>
  <c r="E702" i="21"/>
  <c r="K50" i="20"/>
  <c r="E679" i="21"/>
  <c r="E835"/>
  <c r="F545"/>
  <c r="J77" i="20"/>
  <c r="J48"/>
  <c r="J19"/>
  <c r="E438" i="21"/>
  <c r="E350"/>
  <c r="F207"/>
  <c r="F139"/>
  <c r="E198"/>
  <c r="E484"/>
  <c r="F267"/>
  <c r="F125"/>
  <c r="H10" i="20"/>
  <c r="E319" i="21"/>
  <c r="F717"/>
  <c r="J29" i="20"/>
  <c r="E475" i="21"/>
  <c r="J57" i="20"/>
  <c r="E34" i="21"/>
  <c r="E772"/>
  <c r="M30" i="20"/>
  <c r="F676" i="21"/>
  <c r="H47" i="20"/>
  <c r="E657" i="21"/>
  <c r="J58" i="20"/>
  <c r="P57"/>
  <c r="F201" i="21"/>
  <c r="F253"/>
  <c r="J17" i="20"/>
  <c r="E539" i="21"/>
  <c r="E788"/>
  <c r="F746"/>
  <c r="P68" i="20"/>
  <c r="F685" i="21"/>
  <c r="F687"/>
  <c r="P75" i="20"/>
  <c r="F360" i="21"/>
  <c r="F124"/>
  <c r="E118"/>
  <c r="F723"/>
  <c r="E529"/>
  <c r="F721"/>
  <c r="F480"/>
  <c r="E827"/>
  <c r="E639"/>
  <c r="E231"/>
  <c r="E625"/>
  <c r="K10" i="20"/>
  <c r="H38" i="37"/>
  <c r="E95" i="21"/>
  <c r="P45" i="20"/>
  <c r="F355" i="21"/>
  <c r="E334"/>
  <c r="F784"/>
  <c r="H40" i="20"/>
  <c r="M27"/>
  <c r="E123" i="21"/>
  <c r="E363"/>
  <c r="E760"/>
  <c r="E417"/>
  <c r="M69" i="20"/>
  <c r="F305" i="21"/>
  <c r="F176"/>
  <c r="Q45"/>
  <c r="E136"/>
  <c r="F42"/>
  <c r="E121"/>
  <c r="F78"/>
  <c r="F181"/>
  <c r="F297"/>
  <c r="E173"/>
  <c r="E515"/>
  <c r="F461"/>
  <c r="E627"/>
  <c r="E541"/>
  <c r="E785"/>
  <c r="E90"/>
  <c r="J68" i="20"/>
  <c r="E187" i="21"/>
  <c r="F620"/>
  <c r="F412"/>
  <c r="E61"/>
  <c r="E59"/>
  <c r="Q430"/>
  <c r="F270"/>
  <c r="K55" i="20"/>
  <c r="F609" i="21"/>
  <c r="M86" i="20"/>
  <c r="F143" i="21"/>
  <c r="F331"/>
  <c r="E424"/>
  <c r="F353"/>
  <c r="E325"/>
  <c r="E538"/>
  <c r="E128"/>
  <c r="F46"/>
  <c r="H61" i="20"/>
  <c r="F337" i="21"/>
  <c r="E421"/>
  <c r="M63" i="20"/>
  <c r="E378" i="21"/>
  <c r="M29" i="20"/>
  <c r="M23"/>
  <c r="N53"/>
  <c r="N24"/>
  <c r="F71" i="21"/>
  <c r="F690"/>
  <c r="F720"/>
  <c r="E433"/>
  <c r="E235"/>
  <c r="K84" i="20"/>
  <c r="E485" i="21"/>
  <c r="F446"/>
  <c r="M52" i="20"/>
  <c r="F165" i="21"/>
  <c r="F94"/>
  <c r="H75" i="37"/>
  <c r="E443" i="21"/>
  <c r="E222"/>
  <c r="E882"/>
  <c r="F485"/>
  <c r="E177"/>
  <c r="E489"/>
  <c r="F417"/>
  <c r="K67" i="20"/>
  <c r="K9"/>
  <c r="Q18" i="21"/>
  <c r="F523"/>
  <c r="F362"/>
  <c r="E399"/>
  <c r="H72" i="20"/>
  <c r="M47"/>
  <c r="M34"/>
  <c r="E52" i="21"/>
  <c r="E514"/>
  <c r="K41" i="20"/>
  <c r="F736" i="21"/>
  <c r="F366"/>
  <c r="E503"/>
  <c r="F145"/>
  <c r="E738"/>
  <c r="E818"/>
  <c r="E104"/>
  <c r="E582"/>
  <c r="E186"/>
  <c r="F851"/>
  <c r="E647"/>
  <c r="E293"/>
  <c r="F796"/>
  <c r="F68"/>
  <c r="J36" i="20"/>
  <c r="E337" i="21"/>
  <c r="E185"/>
  <c r="E230"/>
  <c r="H52" i="20"/>
  <c r="N20"/>
  <c r="H67"/>
  <c r="F284" i="21"/>
  <c r="F556"/>
  <c r="F472"/>
  <c r="F389"/>
  <c r="E345"/>
  <c r="E255"/>
  <c r="N38" i="20"/>
  <c r="E418" i="21"/>
  <c r="F204"/>
  <c r="N74" i="20"/>
  <c r="F567" i="21"/>
  <c r="M17" i="20"/>
  <c r="E383" i="21"/>
  <c r="E247"/>
  <c r="H58" i="20"/>
  <c r="F816" i="21"/>
  <c r="F597"/>
  <c r="F33"/>
  <c r="E576"/>
  <c r="F310"/>
  <c r="F213"/>
  <c r="E221"/>
  <c r="H56" i="20"/>
  <c r="E208" i="21"/>
  <c r="H83" i="37"/>
  <c r="K34" i="20"/>
  <c r="N78"/>
  <c r="E70" i="21"/>
  <c r="E607"/>
  <c r="F289"/>
  <c r="M31" i="20"/>
  <c r="J73"/>
  <c r="E352" i="21"/>
  <c r="F96"/>
  <c r="M76" i="20"/>
  <c r="F122" i="21"/>
  <c r="P52" i="20"/>
  <c r="P39"/>
  <c r="M24"/>
  <c r="H42"/>
  <c r="E75" i="21"/>
  <c r="F387"/>
  <c r="E263"/>
  <c r="F13"/>
  <c r="K63" i="20"/>
  <c r="E848" i="21"/>
  <c r="F614"/>
  <c r="E561"/>
  <c r="P80" i="20"/>
  <c r="M8"/>
  <c r="F107" i="21"/>
  <c r="H35" i="20"/>
  <c r="P72"/>
  <c r="K44"/>
  <c r="F162" i="21"/>
  <c r="M64" i="20"/>
  <c r="F562" i="21"/>
  <c r="E30"/>
  <c r="F251"/>
  <c r="F144"/>
  <c r="K74" i="20"/>
  <c r="E615" i="21"/>
  <c r="E782"/>
  <c r="F781"/>
  <c r="F850"/>
  <c r="E160"/>
  <c r="F151"/>
  <c r="F69"/>
  <c r="F783"/>
  <c r="F483"/>
  <c r="F643"/>
  <c r="E184"/>
  <c r="J55" i="20"/>
  <c r="F26" i="21"/>
  <c r="H64" i="37"/>
  <c r="N52" i="20"/>
  <c r="E207" i="21"/>
  <c r="F624"/>
  <c r="E620"/>
  <c r="F197"/>
  <c r="Q53"/>
  <c r="F747"/>
  <c r="F638"/>
  <c r="F605"/>
  <c r="E608"/>
  <c r="F103"/>
  <c r="E328"/>
  <c r="E338"/>
  <c r="N28" i="20"/>
  <c r="F465" i="21"/>
  <c r="E497"/>
  <c r="E819"/>
  <c r="F619"/>
  <c r="N69" i="20"/>
  <c r="E440" i="21"/>
  <c r="F323"/>
  <c r="F495"/>
  <c r="N31" i="20"/>
  <c r="F377" i="21"/>
  <c r="N62" i="20"/>
  <c r="M42"/>
  <c r="F84" i="21"/>
  <c r="E843"/>
  <c r="M77" i="20"/>
  <c r="E46" i="21"/>
  <c r="F566"/>
  <c r="F846"/>
  <c r="N46" i="20"/>
  <c r="H60"/>
  <c r="H23"/>
  <c r="M74"/>
  <c r="M36"/>
  <c r="E371" i="21"/>
  <c r="E389"/>
  <c r="F259"/>
  <c r="N81" i="20"/>
  <c r="F172" i="21"/>
  <c r="F346"/>
  <c r="M51" i="20"/>
  <c r="K59"/>
  <c r="H82"/>
  <c r="E483" i="21"/>
  <c r="E111"/>
  <c r="E64"/>
  <c r="M56" i="20"/>
  <c r="E683" i="21"/>
  <c r="E603"/>
  <c r="E77"/>
  <c r="E304"/>
  <c r="Q17"/>
  <c r="H79" i="37"/>
  <c r="E83" i="21"/>
  <c r="F180"/>
  <c r="E831"/>
  <c r="E40"/>
  <c r="K46" i="20"/>
  <c r="F663" i="21"/>
  <c r="E720"/>
  <c r="H79" i="20"/>
  <c r="E847" i="21"/>
  <c r="E849"/>
  <c r="F137"/>
  <c r="E178"/>
  <c r="F856"/>
  <c r="E346"/>
  <c r="E844"/>
  <c r="N84" i="20"/>
  <c r="E420" i="21"/>
  <c r="F817"/>
  <c r="E110"/>
  <c r="F494"/>
  <c r="F166"/>
  <c r="F819"/>
  <c r="F528"/>
  <c r="F521"/>
  <c r="E31"/>
  <c r="F418"/>
  <c r="E660"/>
  <c r="F673"/>
  <c r="F271"/>
  <c r="H81" i="37"/>
  <c r="J47" i="20"/>
  <c r="F468" i="21"/>
  <c r="F634"/>
  <c r="N63" i="20"/>
  <c r="M22"/>
  <c r="F383" i="21"/>
  <c r="H57" i="20"/>
  <c r="F256" i="21"/>
  <c r="E312"/>
  <c r="J70" i="20"/>
  <c r="F24" i="21"/>
  <c r="E572"/>
  <c r="E127"/>
  <c r="H84" i="20"/>
  <c r="K26"/>
  <c r="F618" i="21"/>
  <c r="F220"/>
  <c r="F474"/>
  <c r="E324"/>
  <c r="E106"/>
  <c r="F47"/>
  <c r="H8" i="20"/>
  <c r="E152" i="21"/>
  <c r="F865"/>
  <c r="E206"/>
  <c r="E253"/>
  <c r="E294"/>
  <c r="F603"/>
  <c r="F410"/>
  <c r="F444"/>
  <c r="E568"/>
  <c r="M46" i="20"/>
  <c r="E416" i="21"/>
  <c r="E11"/>
  <c r="E354"/>
  <c r="E390"/>
  <c r="F581"/>
  <c r="F735"/>
  <c r="E403"/>
  <c r="E179"/>
  <c r="H11" i="20"/>
  <c r="F615" i="21"/>
  <c r="E58"/>
  <c r="M70" i="20"/>
  <c r="F596" i="21"/>
  <c r="N73" i="20"/>
  <c r="F449" i="21"/>
  <c r="F688"/>
  <c r="F748"/>
  <c r="F677"/>
  <c r="F686"/>
  <c r="N48" i="20"/>
  <c r="F466" i="21"/>
  <c r="E530"/>
  <c r="E274"/>
  <c r="E544"/>
  <c r="F529"/>
  <c r="F870"/>
  <c r="F849"/>
  <c r="F554"/>
  <c r="N77" i="20"/>
  <c r="F573" i="21"/>
  <c r="H17" i="20"/>
  <c r="F104" i="21"/>
  <c r="E14"/>
  <c r="F81"/>
  <c r="E612"/>
  <c r="E619"/>
  <c r="M28" i="20"/>
  <c r="F296" i="21"/>
  <c r="E828"/>
  <c r="J74" i="20"/>
  <c r="E172" i="21"/>
  <c r="Q125"/>
  <c r="E569"/>
  <c r="P27" i="20"/>
  <c r="E183" i="21"/>
  <c r="F551"/>
  <c r="J61" i="20"/>
  <c r="E356" i="21"/>
  <c r="F227"/>
  <c r="E746"/>
  <c r="E122"/>
  <c r="E257"/>
  <c r="E838"/>
  <c r="E117"/>
  <c r="K64" i="20"/>
  <c r="F803" i="21"/>
  <c r="E579"/>
  <c r="F237"/>
  <c r="F578"/>
  <c r="E23"/>
  <c r="E358"/>
  <c r="E227"/>
  <c r="E432"/>
  <c r="N35" i="20"/>
  <c r="E18" i="21"/>
  <c r="E662"/>
  <c r="E817"/>
  <c r="H46" i="20"/>
  <c r="J51"/>
  <c r="F722" i="21"/>
  <c r="E299"/>
  <c r="E823"/>
  <c r="E211"/>
  <c r="H22" i="20"/>
  <c r="F879" i="21"/>
  <c r="F507"/>
  <c r="E463"/>
  <c r="M18" i="20"/>
  <c r="E138" i="21"/>
  <c r="E845"/>
  <c r="E45"/>
  <c r="N60" i="20"/>
  <c r="E50" i="21"/>
  <c r="J45" i="20"/>
  <c r="F121" i="21"/>
  <c r="Q27"/>
  <c r="Q377"/>
  <c r="N87" i="20"/>
  <c r="J49"/>
  <c r="E180" i="21"/>
  <c r="F9"/>
  <c r="H33" i="20"/>
  <c r="E284" i="21"/>
  <c r="E562"/>
  <c r="N67" i="20"/>
  <c r="F112" i="21"/>
  <c r="P53" i="20"/>
  <c r="F827" i="21"/>
  <c r="E706"/>
  <c r="F725"/>
  <c r="F462"/>
  <c r="E678"/>
  <c r="P55" i="20"/>
  <c r="E344" i="21"/>
  <c r="M83" i="20"/>
  <c r="F641" i="21"/>
  <c r="E189"/>
  <c r="E584"/>
  <c r="F247"/>
  <c r="M71" i="20"/>
  <c r="F384" i="21"/>
  <c r="E80"/>
  <c r="N34" i="20"/>
  <c r="E241" i="21"/>
  <c r="H70" i="20"/>
  <c r="F583" i="21"/>
  <c r="P61" i="20"/>
  <c r="E766" i="21"/>
  <c r="F653"/>
  <c r="F858"/>
  <c r="E262"/>
  <c r="F873"/>
  <c r="J41" i="20"/>
  <c r="F322" i="21"/>
  <c r="N19" i="20"/>
  <c r="F232" i="21"/>
  <c r="F102"/>
  <c r="F752"/>
  <c r="E724"/>
  <c r="E321"/>
  <c r="E448"/>
  <c r="F40"/>
  <c r="E174"/>
  <c r="F183"/>
  <c r="F380"/>
  <c r="F502"/>
  <c r="K37" i="20"/>
  <c r="E339" i="21"/>
  <c r="E425"/>
  <c r="E456"/>
  <c r="E120"/>
  <c r="E640"/>
  <c r="F110"/>
  <c r="E434"/>
  <c r="M43" i="20"/>
  <c r="E716" i="21"/>
  <c r="N49" i="20"/>
  <c r="F279" i="21"/>
  <c r="E89"/>
  <c r="E590"/>
  <c r="J87" i="20"/>
  <c r="E563" i="21"/>
  <c r="E393"/>
  <c r="E67"/>
  <c r="F79"/>
  <c r="E488"/>
  <c r="M54" i="20"/>
  <c r="F358" i="21"/>
  <c r="K75" i="20"/>
  <c r="F368" i="21"/>
  <c r="F813"/>
  <c r="F262"/>
  <c r="F229"/>
  <c r="J85" i="20"/>
  <c r="J10"/>
  <c r="M68"/>
  <c r="E309" i="21"/>
  <c r="F185"/>
  <c r="E554"/>
  <c r="Q20"/>
  <c r="M12" i="20"/>
  <c r="K15"/>
  <c r="F780" i="21"/>
  <c r="E370"/>
  <c r="E191"/>
  <c r="F448"/>
  <c r="F288"/>
  <c r="F127"/>
  <c r="H50" i="20"/>
  <c r="E870" i="21"/>
  <c r="E360"/>
  <c r="F158"/>
  <c r="J39" i="20"/>
  <c r="E176" i="21"/>
  <c r="E200"/>
  <c r="F794"/>
  <c r="F280"/>
  <c r="F602"/>
  <c r="E884"/>
  <c r="H73" i="20"/>
  <c r="E751" i="21"/>
  <c r="E752"/>
  <c r="E313"/>
  <c r="E755"/>
  <c r="F101"/>
  <c r="E450"/>
  <c r="E481"/>
  <c r="E214"/>
  <c r="F622"/>
  <c r="F281"/>
  <c r="F341"/>
  <c r="E92"/>
  <c r="P49" i="20"/>
  <c r="H40" i="37"/>
  <c r="F195" i="21"/>
  <c r="N27" i="20"/>
  <c r="K30"/>
  <c r="F479" i="21"/>
  <c r="F338"/>
  <c r="F402"/>
  <c r="P56" i="20"/>
  <c r="F608" i="21"/>
  <c r="E552"/>
  <c r="F492"/>
  <c r="E732"/>
  <c r="E465"/>
  <c r="E42"/>
  <c r="K14" i="20"/>
  <c r="P74"/>
  <c r="J62"/>
  <c r="E508" i="21"/>
  <c r="F378"/>
  <c r="F51"/>
  <c r="F301"/>
  <c r="E365"/>
  <c r="F200"/>
  <c r="F223"/>
  <c r="F217"/>
  <c r="E91"/>
  <c r="F269"/>
  <c r="F671"/>
  <c r="E532"/>
  <c r="E505"/>
  <c r="F654"/>
  <c r="H34" i="20"/>
  <c r="N9"/>
  <c r="F163" i="21"/>
  <c r="J46" i="20"/>
  <c r="E842" i="21"/>
  <c r="F37"/>
  <c r="E149"/>
  <c r="P41" i="20"/>
  <c r="F67" i="21"/>
  <c r="E756"/>
  <c r="E646"/>
  <c r="F350"/>
  <c r="E69"/>
  <c r="F445"/>
  <c r="F576"/>
  <c r="F369"/>
  <c r="F719"/>
  <c r="K69" i="20"/>
  <c r="F878" i="21"/>
  <c r="F777"/>
  <c r="F549"/>
  <c r="Q6"/>
  <c r="F193"/>
  <c r="F880"/>
  <c r="F63"/>
  <c r="F356"/>
  <c r="E787"/>
  <c r="E102"/>
  <c r="H66" i="20"/>
  <c r="E525" i="21"/>
  <c r="E789"/>
  <c r="E597"/>
  <c r="E458"/>
  <c r="E361"/>
  <c r="E108"/>
  <c r="E747"/>
  <c r="E449"/>
  <c r="E349"/>
  <c r="M78" i="20"/>
  <c r="P66"/>
  <c r="E577" i="21"/>
  <c r="F541"/>
  <c r="E28"/>
  <c r="E655"/>
  <c r="F77"/>
  <c r="E134"/>
  <c r="F123"/>
  <c r="F425"/>
  <c r="K77" i="20"/>
  <c r="E643" i="21"/>
  <c r="E726"/>
  <c r="F17"/>
  <c r="F199"/>
  <c r="E169"/>
  <c r="F437"/>
  <c r="F252"/>
  <c r="N37" i="20"/>
  <c r="E315" i="21"/>
  <c r="E188"/>
  <c r="F120"/>
  <c r="F795"/>
  <c r="F167"/>
  <c r="E548"/>
  <c r="E422"/>
  <c r="F294"/>
  <c r="E162"/>
  <c r="F106"/>
  <c r="E38"/>
  <c r="P83" i="20"/>
  <c r="N36"/>
  <c r="P71"/>
  <c r="F308" i="21"/>
  <c r="F443"/>
  <c r="F321"/>
  <c r="E750"/>
  <c r="E534"/>
  <c r="E132"/>
  <c r="F718"/>
  <c r="E168"/>
  <c r="Q115"/>
  <c r="J63" i="20"/>
  <c r="F681" i="21"/>
  <c r="E194"/>
  <c r="E533"/>
  <c r="E36"/>
  <c r="N76" i="20"/>
  <c r="P79"/>
  <c r="F332" i="21"/>
  <c r="E839"/>
  <c r="K52" i="20"/>
  <c r="F447" i="21"/>
  <c r="E479"/>
  <c r="F667"/>
  <c r="F409"/>
  <c r="J20" i="20"/>
  <c r="F812" i="21"/>
  <c r="F862"/>
  <c r="F450"/>
  <c r="M19" i="20"/>
  <c r="F349" i="21"/>
  <c r="F340"/>
  <c r="E510"/>
  <c r="K61" i="20"/>
  <c r="F361" i="21"/>
  <c r="J54" i="20"/>
  <c r="F135" i="21"/>
  <c r="E148"/>
  <c r="J30" i="20"/>
  <c r="J9"/>
  <c r="E246" i="21"/>
  <c r="H38" i="20"/>
  <c r="E192" i="21"/>
  <c r="F426"/>
  <c r="J37" i="20"/>
  <c r="H48"/>
  <c r="E335" i="21"/>
  <c r="F815"/>
  <c r="N64" i="20"/>
  <c r="E600" i="21"/>
  <c r="Q16"/>
  <c r="J81" i="20"/>
  <c r="H43"/>
  <c r="F311" i="21"/>
  <c r="F639"/>
  <c r="N10" i="20"/>
  <c r="F708" i="21"/>
  <c r="E157"/>
  <c r="J38" i="20"/>
  <c r="E868" i="21"/>
  <c r="E381"/>
  <c r="F868"/>
  <c r="E175"/>
  <c r="J82" i="20"/>
  <c r="J86"/>
  <c r="J16"/>
  <c r="J15"/>
  <c r="Q493" i="21"/>
  <c r="E834"/>
  <c r="F170"/>
  <c r="K73" i="20"/>
  <c r="E81" i="21"/>
  <c r="J34" i="20"/>
  <c r="J31"/>
  <c r="E41" i="21"/>
  <c r="E223"/>
  <c r="K68" i="20"/>
  <c r="E107" i="21"/>
  <c r="F493"/>
  <c r="F726"/>
  <c r="E480"/>
  <c r="F407"/>
  <c r="F128"/>
  <c r="E273"/>
  <c r="F753"/>
  <c r="H45" i="20"/>
  <c r="P43"/>
  <c r="E684" i="21"/>
  <c r="E327"/>
  <c r="F496"/>
  <c r="F755"/>
  <c r="F423"/>
  <c r="E62"/>
  <c r="E242"/>
  <c r="F99"/>
  <c r="E56"/>
  <c r="E342"/>
  <c r="E150"/>
  <c r="E320"/>
  <c r="P76" i="20"/>
  <c r="F249" i="21"/>
  <c r="F31"/>
  <c r="E20"/>
  <c r="E311"/>
  <c r="E16"/>
  <c r="F20"/>
  <c r="F30"/>
  <c r="N41" i="20"/>
  <c r="M79"/>
  <c r="E880" i="21"/>
  <c r="E301"/>
  <c r="E215"/>
  <c r="F458"/>
  <c r="E351"/>
  <c r="K18" i="20"/>
  <c r="M73"/>
  <c r="E543" i="21"/>
  <c r="F105"/>
  <c r="P60" i="20"/>
  <c r="Q427" i="21"/>
  <c r="E769"/>
  <c r="E767"/>
  <c r="F300"/>
  <c r="P63" i="20"/>
  <c r="F406" i="21"/>
  <c r="F854"/>
  <c r="F706"/>
  <c r="F160"/>
  <c r="E546"/>
  <c r="F429"/>
  <c r="F550"/>
  <c r="E783"/>
  <c r="H65" i="37"/>
  <c r="M87" i="20"/>
  <c r="E245" i="21"/>
  <c r="F319"/>
  <c r="F601"/>
  <c r="F515"/>
  <c r="F419"/>
  <c r="F265"/>
  <c r="E452"/>
  <c r="N83" i="20"/>
  <c r="F399" i="21"/>
  <c r="F90"/>
  <c r="E565"/>
  <c r="P32" i="20"/>
  <c r="E22" i="21"/>
  <c r="F606"/>
  <c r="E228"/>
  <c r="F376"/>
  <c r="F535"/>
  <c r="M26" i="20"/>
  <c r="K80"/>
  <c r="F672" i="21"/>
  <c r="N79" i="20"/>
  <c r="F171" i="21"/>
  <c r="E610"/>
  <c r="K86" i="20"/>
  <c r="N33"/>
  <c r="F188" i="21"/>
  <c r="J84" i="20"/>
  <c r="F593" i="21"/>
  <c r="N70" i="20"/>
  <c r="F113" i="21"/>
  <c r="N14" i="20"/>
  <c r="M21"/>
  <c r="F136" i="21"/>
  <c r="F884"/>
  <c r="E748"/>
  <c r="E124"/>
  <c r="K76" i="20"/>
  <c r="F83" i="21"/>
  <c r="Q429"/>
  <c r="J24" i="20"/>
  <c r="P77"/>
  <c r="F184" i="21"/>
  <c r="N22" i="20"/>
  <c r="E374" i="21"/>
  <c r="E164"/>
  <c r="F161"/>
  <c r="F669"/>
  <c r="E833"/>
  <c r="F408"/>
  <c r="F432"/>
  <c r="H15" i="20"/>
  <c r="F85" i="21"/>
  <c r="J11" i="20"/>
  <c r="F153" i="21"/>
  <c r="K51" i="20"/>
  <c r="F56" i="21"/>
  <c r="H78" i="20"/>
  <c r="F303" i="21"/>
  <c r="E623"/>
  <c r="E190"/>
  <c r="K42" i="20"/>
  <c r="J26"/>
  <c r="J8"/>
  <c r="J28"/>
  <c r="J25"/>
  <c r="Q527" i="21"/>
  <c r="X2" i="20" l="1"/>
  <c r="I8"/>
  <c r="I26"/>
  <c r="Q78"/>
  <c r="I11"/>
  <c r="Q15"/>
  <c r="O77"/>
  <c r="I24"/>
  <c r="R429" i="21"/>
  <c r="L21" i="20"/>
  <c r="I84"/>
  <c r="L26"/>
  <c r="O32"/>
  <c r="L87"/>
  <c r="O63"/>
  <c r="R427" i="21"/>
  <c r="O60" i="20"/>
  <c r="L73"/>
  <c r="L79"/>
  <c r="O76"/>
  <c r="O43"/>
  <c r="Q45"/>
  <c r="I31"/>
  <c r="I34"/>
  <c r="R493" i="21"/>
  <c r="V493" s="1"/>
  <c r="I15" i="20"/>
  <c r="I16"/>
  <c r="I86"/>
  <c r="I82"/>
  <c r="S82"/>
  <c r="I38"/>
  <c r="S38"/>
  <c r="Q43"/>
  <c r="I81"/>
  <c r="R16" i="21"/>
  <c r="Q48" i="20"/>
  <c r="S37"/>
  <c r="I37"/>
  <c r="Q38"/>
  <c r="R38" s="1"/>
  <c r="I9"/>
  <c r="X5"/>
  <c r="I30"/>
  <c r="I54"/>
  <c r="S54"/>
  <c r="L19"/>
  <c r="I20"/>
  <c r="O79"/>
  <c r="S63"/>
  <c r="I63"/>
  <c r="R115" i="21"/>
  <c r="O71" i="20"/>
  <c r="O83"/>
  <c r="O66"/>
  <c r="L78"/>
  <c r="Q66"/>
  <c r="R6" i="21"/>
  <c r="O41" i="20"/>
  <c r="I46"/>
  <c r="Q34"/>
  <c r="S62"/>
  <c r="I62"/>
  <c r="O74"/>
  <c r="O56"/>
  <c r="I40" i="37"/>
  <c r="J40" s="1"/>
  <c r="O49" i="20"/>
  <c r="Z6"/>
  <c r="Q73"/>
  <c r="S39"/>
  <c r="I39"/>
  <c r="Q50"/>
  <c r="L12"/>
  <c r="R20" i="21"/>
  <c r="L68" i="20"/>
  <c r="I10"/>
  <c r="I85"/>
  <c r="L54"/>
  <c r="I87"/>
  <c r="L43"/>
  <c r="I41"/>
  <c r="S41"/>
  <c r="O61"/>
  <c r="Q70"/>
  <c r="L71"/>
  <c r="L83"/>
  <c r="O55"/>
  <c r="O53"/>
  <c r="Q33"/>
  <c r="S49"/>
  <c r="X6"/>
  <c r="I49"/>
  <c r="R377" i="21"/>
  <c r="R27"/>
  <c r="S45" i="20"/>
  <c r="I45"/>
  <c r="L18"/>
  <c r="Q22"/>
  <c r="S51"/>
  <c r="AA6" s="1"/>
  <c r="AD6" s="1"/>
  <c r="I51"/>
  <c r="Q46"/>
  <c r="I61"/>
  <c r="S61"/>
  <c r="R61" s="1"/>
  <c r="O27"/>
  <c r="R125" i="21"/>
  <c r="S74" i="20"/>
  <c r="I74"/>
  <c r="Y3"/>
  <c r="L28"/>
  <c r="Q17"/>
  <c r="L70"/>
  <c r="Q11"/>
  <c r="L46"/>
  <c r="Q8"/>
  <c r="H1"/>
  <c r="Q84"/>
  <c r="I70"/>
  <c r="S70"/>
  <c r="R70" s="1"/>
  <c r="Q57"/>
  <c r="L22"/>
  <c r="S47"/>
  <c r="R47" s="1"/>
  <c r="I47"/>
  <c r="I81" i="37"/>
  <c r="J81" s="1"/>
  <c r="Q79" i="20"/>
  <c r="I79" i="37"/>
  <c r="J79" s="1"/>
  <c r="R17" i="21"/>
  <c r="L56" i="20"/>
  <c r="Q82"/>
  <c r="L51"/>
  <c r="L36"/>
  <c r="L74"/>
  <c r="Q23"/>
  <c r="Q60"/>
  <c r="L77"/>
  <c r="L42"/>
  <c r="R53" i="21"/>
  <c r="S55" i="20"/>
  <c r="I55"/>
  <c r="L64"/>
  <c r="O72"/>
  <c r="Q35"/>
  <c r="R35" s="1"/>
  <c r="Y2"/>
  <c r="L8"/>
  <c r="O80"/>
  <c r="Q42"/>
  <c r="L24"/>
  <c r="O39"/>
  <c r="O52"/>
  <c r="L76"/>
  <c r="S73"/>
  <c r="I73"/>
  <c r="L31"/>
  <c r="Q56"/>
  <c r="Q58"/>
  <c r="L17"/>
  <c r="Q67"/>
  <c r="Q52"/>
  <c r="S36"/>
  <c r="I36"/>
  <c r="L34"/>
  <c r="L47"/>
  <c r="Q72"/>
  <c r="R18" i="21"/>
  <c r="I75" i="37"/>
  <c r="L52" i="20"/>
  <c r="L23"/>
  <c r="L29"/>
  <c r="L63"/>
  <c r="Q61"/>
  <c r="L86"/>
  <c r="R430" i="21"/>
  <c r="I68" i="20"/>
  <c r="S68"/>
  <c r="R45" i="21"/>
  <c r="Y7" i="20"/>
  <c r="L69"/>
  <c r="L27"/>
  <c r="Q40"/>
  <c r="O45"/>
  <c r="I38" i="37"/>
  <c r="J38" s="1"/>
  <c r="O75" i="20"/>
  <c r="O68"/>
  <c r="I17"/>
  <c r="O57"/>
  <c r="S58"/>
  <c r="I58"/>
  <c r="Q47"/>
  <c r="L30"/>
  <c r="Y5"/>
  <c r="I57"/>
  <c r="S57"/>
  <c r="I29"/>
  <c r="Q10"/>
  <c r="I19"/>
  <c r="I48"/>
  <c r="I77"/>
  <c r="S77"/>
  <c r="Q83"/>
  <c r="R7" i="21"/>
  <c r="R428"/>
  <c r="Q63" i="20"/>
  <c r="L10"/>
  <c r="S60"/>
  <c r="R60" s="1"/>
  <c r="I60"/>
  <c r="L61"/>
  <c r="I80"/>
  <c r="S80"/>
  <c r="R80" s="1"/>
  <c r="L85"/>
  <c r="Q59"/>
  <c r="R59" s="1"/>
  <c r="L38"/>
  <c r="S83"/>
  <c r="I83"/>
  <c r="L57"/>
  <c r="I76" i="37"/>
  <c r="J76" s="1"/>
  <c r="I63"/>
  <c r="J63" s="1"/>
  <c r="O62" i="20"/>
  <c r="L80"/>
  <c r="L67"/>
  <c r="Q25"/>
  <c r="L49"/>
  <c r="Y6"/>
  <c r="I56"/>
  <c r="S56"/>
  <c r="L40"/>
  <c r="I67"/>
  <c r="S67"/>
  <c r="L37"/>
  <c r="Q55"/>
  <c r="O44"/>
  <c r="Q26"/>
  <c r="Q18"/>
  <c r="Q44"/>
  <c r="S66"/>
  <c r="I66"/>
  <c r="Q74"/>
  <c r="R74" s="1"/>
  <c r="I32"/>
  <c r="S32"/>
  <c r="R32" s="1"/>
  <c r="L39"/>
  <c r="I14"/>
  <c r="S14"/>
  <c r="Q76"/>
  <c r="O65"/>
  <c r="Q20"/>
  <c r="O58"/>
  <c r="Q12"/>
  <c r="Q31"/>
  <c r="I52"/>
  <c r="S52"/>
  <c r="X7"/>
  <c r="I69"/>
  <c r="S69"/>
  <c r="R69" s="1"/>
  <c r="R14" i="21"/>
  <c r="L50" i="20"/>
  <c r="L33"/>
  <c r="I79"/>
  <c r="S79"/>
  <c r="I39" i="37"/>
  <c r="J39" s="1"/>
  <c r="I78" i="20"/>
  <c r="S78"/>
  <c r="R78" s="1"/>
  <c r="L84"/>
  <c r="Q39"/>
  <c r="R39" s="1"/>
  <c r="Q69"/>
  <c r="I33"/>
  <c r="L75"/>
  <c r="O47"/>
  <c r="I77" i="37"/>
  <c r="J77" s="1"/>
  <c r="L66" i="20"/>
  <c r="R37" i="21"/>
  <c r="O14" i="20"/>
  <c r="L53"/>
  <c r="O70"/>
  <c r="S40"/>
  <c r="I40"/>
  <c r="S72"/>
  <c r="I72"/>
  <c r="O78"/>
  <c r="R390" i="21"/>
  <c r="Q75" i="20"/>
  <c r="L41"/>
  <c r="S35"/>
  <c r="I35"/>
  <c r="Q28"/>
  <c r="L65"/>
  <c r="Q14"/>
  <c r="L32"/>
  <c r="Q27"/>
  <c r="L81"/>
  <c r="I65"/>
  <c r="S65"/>
  <c r="R65" s="1"/>
  <c r="L16"/>
  <c r="K1"/>
  <c r="G2" i="21" s="1"/>
  <c r="G3" s="1"/>
  <c r="R315"/>
  <c r="L25" i="20"/>
  <c r="R15" i="21"/>
  <c r="S76" i="20"/>
  <c r="R76" s="1"/>
  <c r="I76"/>
  <c r="O82"/>
  <c r="S43"/>
  <c r="I43"/>
  <c r="S27"/>
  <c r="I27"/>
  <c r="Q68"/>
  <c r="Q54"/>
  <c r="R54" s="1"/>
  <c r="L72"/>
  <c r="I80" i="37"/>
  <c r="J80" s="1"/>
  <c r="I43"/>
  <c r="J43" s="1"/>
  <c r="I12"/>
  <c r="J12" s="1"/>
  <c r="P12" s="1"/>
  <c r="Q12" s="1"/>
  <c r="I37"/>
  <c r="J37" s="1"/>
  <c r="I58"/>
  <c r="J58" s="1"/>
  <c r="Q49" i="20"/>
  <c r="I17" i="37"/>
  <c r="J17" s="1"/>
  <c r="I13"/>
  <c r="J13" s="1"/>
  <c r="P13" s="1"/>
  <c r="Q13" s="1"/>
  <c r="Q37" i="20"/>
  <c r="I78" i="37"/>
  <c r="J78" s="1"/>
  <c r="I44" i="20"/>
  <c r="S44"/>
  <c r="R438" i="21"/>
  <c r="S59" i="20"/>
  <c r="I59"/>
  <c r="I44" i="37"/>
  <c r="J44" s="1"/>
  <c r="O36" i="20"/>
  <c r="Q51"/>
  <c r="L59"/>
  <c r="O38"/>
  <c r="L35"/>
  <c r="Q53"/>
  <c r="S42"/>
  <c r="R42" s="1"/>
  <c r="I42"/>
  <c r="O67"/>
  <c r="O37"/>
  <c r="S71"/>
  <c r="R71" s="1"/>
  <c r="I71"/>
  <c r="I50"/>
  <c r="S50"/>
  <c r="Q36"/>
  <c r="Q80"/>
  <c r="Q81"/>
  <c r="S64"/>
  <c r="I64"/>
  <c r="S53"/>
  <c r="I53"/>
  <c r="Q24"/>
  <c r="S75"/>
  <c r="R75" s="1"/>
  <c r="I75"/>
  <c r="L15"/>
  <c r="L62"/>
  <c r="O50"/>
  <c r="Q87"/>
  <c r="L11"/>
  <c r="Q86"/>
  <c r="L44"/>
  <c r="L45"/>
  <c r="O64"/>
  <c r="Q29"/>
  <c r="O35"/>
  <c r="Q85"/>
  <c r="Q32"/>
  <c r="L20"/>
  <c r="R138" i="21"/>
  <c r="L60" i="20"/>
  <c r="Q30"/>
  <c r="Q65"/>
  <c r="L9"/>
  <c r="O51"/>
  <c r="O40"/>
  <c r="I82" i="37"/>
  <c r="J82" s="1"/>
  <c r="Q16" i="20"/>
  <c r="O54"/>
  <c r="Z7"/>
  <c r="O69"/>
  <c r="O42"/>
  <c r="Q64"/>
  <c r="Q21"/>
  <c r="O59"/>
  <c r="Q9"/>
  <c r="Q71"/>
  <c r="Q77"/>
  <c r="R77" s="1"/>
  <c r="N1"/>
  <c r="L2" i="21" s="1"/>
  <c r="L3" s="1"/>
  <c r="R11"/>
  <c r="L14" i="20"/>
  <c r="L82"/>
  <c r="L55"/>
  <c r="I41" i="37"/>
  <c r="J41" s="1"/>
  <c r="I62"/>
  <c r="J62" s="1"/>
  <c r="Q62" i="20"/>
  <c r="R62" s="1"/>
  <c r="I8" i="37"/>
  <c r="J8" s="1"/>
  <c r="P8" s="1"/>
  <c r="Q8" s="1"/>
  <c r="I29"/>
  <c r="J29" s="1"/>
  <c r="R219" i="21"/>
  <c r="I25" i="37"/>
  <c r="J25" s="1"/>
  <c r="P25" s="1"/>
  <c r="Q25" s="1"/>
  <c r="I11"/>
  <c r="J11" s="1"/>
  <c r="P11" s="1"/>
  <c r="Q11" s="1"/>
  <c r="L48" i="20"/>
  <c r="I26" i="37"/>
  <c r="J26" s="1"/>
  <c r="P26" s="1"/>
  <c r="Q26" s="1"/>
  <c r="I59"/>
  <c r="J59" s="1"/>
  <c r="I42"/>
  <c r="J42" s="1"/>
  <c r="I57"/>
  <c r="J57" s="1"/>
  <c r="I60"/>
  <c r="J60" s="1"/>
  <c r="R162" i="21"/>
  <c r="Q41" i="20"/>
  <c r="R426" i="21"/>
  <c r="Q13" i="20"/>
  <c r="Q19"/>
  <c r="I6" i="37"/>
  <c r="J6" s="1"/>
  <c r="P6" s="1"/>
  <c r="Q6" s="1"/>
  <c r="H16"/>
  <c r="I27"/>
  <c r="J27" s="1"/>
  <c r="I10"/>
  <c r="J10" s="1"/>
  <c r="P10" s="1"/>
  <c r="Q10" s="1"/>
  <c r="I15"/>
  <c r="J15" s="1"/>
  <c r="P15" s="1"/>
  <c r="Q15" s="1"/>
  <c r="I61"/>
  <c r="J61" s="1"/>
  <c r="I24"/>
  <c r="J24" s="1"/>
  <c r="P24" s="1"/>
  <c r="Q24" s="1"/>
  <c r="H45"/>
  <c r="I36"/>
  <c r="J36" s="1"/>
  <c r="I30"/>
  <c r="J30" s="1"/>
  <c r="L58" i="20"/>
  <c r="L13"/>
  <c r="R188" i="21"/>
  <c r="O73" i="20"/>
  <c r="I28" i="37"/>
  <c r="J28" s="1"/>
  <c r="I9"/>
  <c r="J9" s="1"/>
  <c r="P9" s="1"/>
  <c r="Q9" s="1"/>
  <c r="I7"/>
  <c r="J7" s="1"/>
  <c r="P7" s="1"/>
  <c r="Q7" s="1"/>
  <c r="I14"/>
  <c r="J14" s="1"/>
  <c r="P14" s="1"/>
  <c r="Q14" s="1"/>
  <c r="R27" i="20"/>
  <c r="R40"/>
  <c r="R73"/>
  <c r="R50"/>
  <c r="R51"/>
  <c r="R44"/>
  <c r="R79"/>
  <c r="R66"/>
  <c r="R53"/>
  <c r="R527" i="21"/>
  <c r="V527" s="1"/>
  <c r="K3" i="20"/>
  <c r="R68"/>
  <c r="R49"/>
  <c r="R82"/>
  <c r="R43"/>
  <c r="R72"/>
  <c r="R58"/>
  <c r="R83"/>
  <c r="R45"/>
  <c r="R14"/>
  <c r="R67"/>
  <c r="R56"/>
  <c r="R41"/>
  <c r="R57"/>
  <c r="R37"/>
  <c r="I84" i="37"/>
  <c r="I85" s="1"/>
  <c r="R64" i="20"/>
  <c r="R52"/>
  <c r="I45" i="37"/>
  <c r="I46" s="1"/>
  <c r="J75"/>
  <c r="I16"/>
  <c r="J16"/>
  <c r="R36" i="20"/>
  <c r="R63"/>
  <c r="X3"/>
  <c r="I28"/>
  <c r="I25"/>
  <c r="M470" i="22"/>
  <c r="M471" s="1"/>
  <c r="F238" i="28"/>
  <c r="F242"/>
  <c r="F243" s="1"/>
  <c r="N213" i="38"/>
  <c r="M200"/>
  <c r="M212" s="1"/>
  <c r="M472" i="22" s="1"/>
  <c r="P84" i="20"/>
  <c r="Q172" i="21"/>
  <c r="Q105"/>
  <c r="Q236"/>
  <c r="Q408"/>
  <c r="Q425"/>
  <c r="Q58"/>
  <c r="Q157"/>
  <c r="Q529"/>
  <c r="Q90"/>
  <c r="P29" i="20"/>
  <c r="Q453" i="21"/>
  <c r="Q398"/>
  <c r="Q193"/>
  <c r="Q439"/>
  <c r="J21" i="20"/>
  <c r="P86"/>
  <c r="P17"/>
  <c r="Q423" i="21"/>
  <c r="Q403"/>
  <c r="Q316"/>
  <c r="Q424"/>
  <c r="P87" i="20"/>
  <c r="Q32" i="21"/>
  <c r="P11" i="20"/>
  <c r="Q487" i="21"/>
  <c r="Q431"/>
  <c r="Q63"/>
  <c r="Q213"/>
  <c r="P81" i="20"/>
  <c r="P46"/>
  <c r="P20"/>
  <c r="Q1" l="1"/>
  <c r="AA7"/>
  <c r="AD7" s="1"/>
  <c r="O81"/>
  <c r="S81"/>
  <c r="R81" s="1"/>
  <c r="R213" i="21"/>
  <c r="R63"/>
  <c r="R431"/>
  <c r="R487"/>
  <c r="O11" i="20"/>
  <c r="S11"/>
  <c r="R11" s="1"/>
  <c r="R32" i="21"/>
  <c r="O87" i="20"/>
  <c r="S87"/>
  <c r="R87" s="1"/>
  <c r="R424" i="21"/>
  <c r="R316"/>
  <c r="R403"/>
  <c r="R423"/>
  <c r="S17" i="20"/>
  <c r="R17" s="1"/>
  <c r="O17"/>
  <c r="O86"/>
  <c r="S86"/>
  <c r="R86" s="1"/>
  <c r="R193" i="21"/>
  <c r="R398"/>
  <c r="R453"/>
  <c r="S29" i="20"/>
  <c r="R29" s="1"/>
  <c r="O29"/>
  <c r="R90" i="21"/>
  <c r="R529"/>
  <c r="R157"/>
  <c r="R58"/>
  <c r="R425"/>
  <c r="R408"/>
  <c r="R236"/>
  <c r="R105"/>
  <c r="R172"/>
  <c r="O84" i="20"/>
  <c r="S84"/>
  <c r="R84" s="1"/>
  <c r="R55"/>
  <c r="I66" i="37"/>
  <c r="I67" s="1"/>
  <c r="R439" i="21"/>
  <c r="S46" i="20"/>
  <c r="R46" s="1"/>
  <c r="O46"/>
  <c r="O20"/>
  <c r="S20"/>
  <c r="R20" s="1"/>
  <c r="U454" i="21"/>
  <c r="V453"/>
  <c r="I21" i="20"/>
  <c r="F255" i="28"/>
  <c r="F252"/>
  <c r="M214" i="38"/>
  <c r="M473" i="22"/>
  <c r="L472"/>
  <c r="L473" s="1"/>
  <c r="K214" i="38"/>
  <c r="N212"/>
  <c r="N200"/>
  <c r="Q490" i="21"/>
  <c r="Q496"/>
  <c r="Q310"/>
  <c r="Q295"/>
  <c r="P85" i="20"/>
  <c r="Q65" i="21"/>
  <c r="Q530"/>
  <c r="Q436"/>
  <c r="P19" i="20"/>
  <c r="Q440" i="21"/>
  <c r="Q120"/>
  <c r="Q241"/>
  <c r="Q95"/>
  <c r="P10" i="20"/>
  <c r="Q110" i="21"/>
  <c r="Q177"/>
  <c r="Q531"/>
  <c r="Q541"/>
  <c r="Q187"/>
  <c r="P9" i="20"/>
  <c r="R187" i="21" l="1"/>
  <c r="R541"/>
  <c r="R531"/>
  <c r="R177"/>
  <c r="R110"/>
  <c r="O10" i="20"/>
  <c r="S10"/>
  <c r="R10" s="1"/>
  <c r="R95" i="21"/>
  <c r="R241"/>
  <c r="R120"/>
  <c r="R440"/>
  <c r="S19" i="20"/>
  <c r="R19" s="1"/>
  <c r="O19"/>
  <c r="R436" i="21"/>
  <c r="R530"/>
  <c r="R65"/>
  <c r="S85" i="20"/>
  <c r="R85" s="1"/>
  <c r="O85"/>
  <c r="R295" i="21"/>
  <c r="R310"/>
  <c r="R496"/>
  <c r="V529"/>
  <c r="V487"/>
  <c r="V541"/>
  <c r="U542"/>
  <c r="O9" i="20"/>
  <c r="S9"/>
  <c r="R9" s="1"/>
  <c r="V496" i="21"/>
  <c r="E279" i="28"/>
  <c r="F281" s="1"/>
  <c r="F272"/>
  <c r="R490" i="21"/>
  <c r="Q226"/>
  <c r="Q100"/>
  <c r="Q182"/>
  <c r="P26" i="20"/>
  <c r="Q521" i="21"/>
  <c r="Q528"/>
  <c r="P31" i="20"/>
  <c r="P30"/>
  <c r="Q203" i="21"/>
  <c r="Q208"/>
  <c r="Q265"/>
  <c r="Q489"/>
  <c r="P15" i="20"/>
  <c r="P16"/>
  <c r="P24"/>
  <c r="S16" l="1"/>
  <c r="R16" s="1"/>
  <c r="O16"/>
  <c r="S15"/>
  <c r="R15" s="1"/>
  <c r="O15"/>
  <c r="R489" i="21"/>
  <c r="R265"/>
  <c r="R208"/>
  <c r="R203"/>
  <c r="S30" i="20"/>
  <c r="R30" s="1"/>
  <c r="O30"/>
  <c r="S31"/>
  <c r="R31" s="1"/>
  <c r="O31"/>
  <c r="R521" i="21"/>
  <c r="S26" i="20"/>
  <c r="R26" s="1"/>
  <c r="O26"/>
  <c r="R182" i="21"/>
  <c r="R100"/>
  <c r="R226"/>
  <c r="V530"/>
  <c r="V531"/>
  <c r="R528"/>
  <c r="V528" s="1"/>
  <c r="O24" i="20"/>
  <c r="S24"/>
  <c r="R24" s="1"/>
  <c r="Q251" i="21"/>
  <c r="Q256"/>
  <c r="Q367"/>
  <c r="Q198"/>
  <c r="Q231"/>
  <c r="J18" i="20"/>
  <c r="Q495" i="21"/>
  <c r="Q246"/>
  <c r="P8" i="20"/>
  <c r="Q167" i="21"/>
  <c r="P48" i="20"/>
  <c r="J12"/>
  <c r="R167" i="21" l="1"/>
  <c r="Z2" i="20"/>
  <c r="S8"/>
  <c r="R8" s="1"/>
  <c r="O8"/>
  <c r="R246" i="21"/>
  <c r="R495"/>
  <c r="R231"/>
  <c r="R198"/>
  <c r="R367"/>
  <c r="R256"/>
  <c r="R251"/>
  <c r="V489"/>
  <c r="O48" i="20"/>
  <c r="S48"/>
  <c r="AA2"/>
  <c r="AD2" s="1"/>
  <c r="V495" i="21"/>
  <c r="I12" i="20"/>
  <c r="I18"/>
  <c r="Q220" i="21"/>
  <c r="Q214"/>
  <c r="P25" i="20"/>
  <c r="Q533" i="21"/>
  <c r="Q290"/>
  <c r="Q275"/>
  <c r="Q285"/>
  <c r="Q270"/>
  <c r="Q433"/>
  <c r="Q350"/>
  <c r="R350" l="1"/>
  <c r="R433"/>
  <c r="R270"/>
  <c r="R285"/>
  <c r="R275"/>
  <c r="R290"/>
  <c r="O25" i="20"/>
  <c r="S25"/>
  <c r="R25" s="1"/>
  <c r="R214" i="21"/>
  <c r="R220"/>
  <c r="R533"/>
  <c r="R48" i="20"/>
  <c r="Q463" i="21"/>
  <c r="Q305"/>
  <c r="Q537"/>
  <c r="Q385"/>
  <c r="Q545"/>
  <c r="Q300"/>
  <c r="Q225"/>
  <c r="R225" l="1"/>
  <c r="R300"/>
  <c r="R545"/>
  <c r="R385"/>
  <c r="R305"/>
  <c r="R463"/>
  <c r="U546"/>
  <c r="V545"/>
  <c r="R537"/>
  <c r="U464"/>
  <c r="V463"/>
  <c r="Q365"/>
  <c r="Q370"/>
  <c r="Q485"/>
  <c r="Q526"/>
  <c r="Q280"/>
  <c r="P21" i="20"/>
  <c r="Q380" i="21"/>
  <c r="Q488"/>
  <c r="Q525"/>
  <c r="J22" i="20"/>
  <c r="R380" i="21" l="1"/>
  <c r="S21" i="20"/>
  <c r="R21" s="1"/>
  <c r="O21"/>
  <c r="R280" i="21"/>
  <c r="R485"/>
  <c r="R370"/>
  <c r="R365"/>
  <c r="I539"/>
  <c r="H1"/>
  <c r="R488"/>
  <c r="R526"/>
  <c r="V526" s="1"/>
  <c r="R525"/>
  <c r="V525" s="1"/>
  <c r="V485"/>
  <c r="I22" i="20"/>
  <c r="Q306" i="21"/>
  <c r="Q497"/>
  <c r="M89" i="20"/>
  <c r="P33"/>
  <c r="Q360" i="21"/>
  <c r="Q491"/>
  <c r="Q355"/>
  <c r="Q494"/>
  <c r="P34" i="20"/>
  <c r="R355" i="21" l="1"/>
  <c r="R491"/>
  <c r="R360"/>
  <c r="R497"/>
  <c r="R306"/>
  <c r="V488"/>
  <c r="L89" i="20"/>
  <c r="L1" s="1"/>
  <c r="Y4"/>
  <c r="Y8" s="1"/>
  <c r="M1"/>
  <c r="J1" i="21"/>
  <c r="K539"/>
  <c r="K1" s="1"/>
  <c r="I1"/>
  <c r="R494"/>
  <c r="U532"/>
  <c r="S33" i="20"/>
  <c r="R33" s="1"/>
  <c r="O33"/>
  <c r="S34"/>
  <c r="O34"/>
  <c r="Z5"/>
  <c r="V497" i="21"/>
  <c r="P12" i="20"/>
  <c r="P18"/>
  <c r="P89"/>
  <c r="P28"/>
  <c r="J13"/>
  <c r="Q418" i="21"/>
  <c r="Q376"/>
  <c r="Q366"/>
  <c r="R366" l="1"/>
  <c r="R376"/>
  <c r="R418"/>
  <c r="S18" i="20"/>
  <c r="R18" s="1"/>
  <c r="O18"/>
  <c r="S12"/>
  <c r="R12" s="1"/>
  <c r="O12"/>
  <c r="V491" i="21"/>
  <c r="S89" i="20"/>
  <c r="R89" s="1"/>
  <c r="O89"/>
  <c r="I2" i="21"/>
  <c r="I3" s="1"/>
  <c r="M3" i="20"/>
  <c r="Z3"/>
  <c r="O28"/>
  <c r="S28"/>
  <c r="AA3" s="1"/>
  <c r="AD3" s="1"/>
  <c r="R34"/>
  <c r="AA5"/>
  <c r="AD5" s="1"/>
  <c r="I13"/>
  <c r="Q409" i="21"/>
  <c r="Q375"/>
  <c r="Q413"/>
  <c r="R413" l="1"/>
  <c r="R375"/>
  <c r="R409"/>
  <c r="R28" i="20"/>
  <c r="Q437" i="21"/>
  <c r="Q410"/>
  <c r="Q435"/>
  <c r="R435" l="1"/>
  <c r="R410"/>
  <c r="R437"/>
  <c r="Q434"/>
  <c r="J23" i="20"/>
  <c r="Q458" i="21"/>
  <c r="P22" i="20"/>
  <c r="S22" l="1"/>
  <c r="R22" s="1"/>
  <c r="O22"/>
  <c r="R458" i="21"/>
  <c r="R434"/>
  <c r="U459"/>
  <c r="I23" i="20"/>
  <c r="I1" s="1"/>
  <c r="X4"/>
  <c r="X8" s="1"/>
  <c r="X10" s="1"/>
  <c r="J1"/>
  <c r="J3" s="1"/>
  <c r="Q498" i="21"/>
  <c r="Q468"/>
  <c r="R468" l="1"/>
  <c r="R498"/>
  <c r="V458"/>
  <c r="V498"/>
  <c r="U469"/>
  <c r="P13" i="20"/>
  <c r="Q480" i="21"/>
  <c r="R480" l="1"/>
  <c r="S13" i="20"/>
  <c r="R13" s="1"/>
  <c r="O13"/>
  <c r="V468" i="21"/>
  <c r="V480"/>
  <c r="U481"/>
  <c r="Q475"/>
  <c r="Q486"/>
  <c r="R486" l="1"/>
  <c r="V486" s="1"/>
  <c r="U490" s="1"/>
  <c r="R475"/>
  <c r="U476"/>
  <c r="Q492"/>
  <c r="Q1" l="1"/>
  <c r="R492"/>
  <c r="V475"/>
  <c r="V492"/>
  <c r="R1"/>
  <c r="P23" i="20"/>
  <c r="S23" l="1"/>
  <c r="P1"/>
  <c r="R2" i="21" s="1"/>
  <c r="Z4" i="20"/>
  <c r="Z8" s="1"/>
  <c r="O23"/>
  <c r="O1" s="1"/>
  <c r="P3"/>
  <c r="AA4"/>
  <c r="AD4" s="1"/>
  <c r="AD8" s="1"/>
  <c r="U499" i="21"/>
  <c r="U2" s="1"/>
  <c r="V2"/>
  <c r="R3"/>
  <c r="R23" i="20" l="1"/>
  <c r="R1" s="1"/>
  <c r="S1"/>
  <c r="S3" s="1"/>
  <c r="AA8"/>
  <c r="AA10" s="1"/>
  <c r="V3" i="21"/>
  <c r="U3"/>
</calcChain>
</file>

<file path=xl/comments1.xml><?xml version="1.0" encoding="utf-8"?>
<comments xmlns="http://schemas.openxmlformats.org/spreadsheetml/2006/main">
  <authors>
    <author>bayarmaa.a</author>
  </authors>
  <commentList>
    <comment ref="C21" authorId="0">
      <text>
        <r>
          <rPr>
            <b/>
            <sz val="9"/>
            <color indexed="81"/>
            <rFont val="Tahoma"/>
            <family val="2"/>
          </rPr>
          <t>bayarmaa.a:</t>
        </r>
        <r>
          <rPr>
            <sz val="9"/>
            <color indexed="81"/>
            <rFont val="Tahoma"/>
            <family val="2"/>
          </rPr>
          <t xml:space="preserve">
Засах данс</t>
        </r>
      </text>
    </comment>
  </commentList>
</comments>
</file>

<file path=xl/comments2.xml><?xml version="1.0" encoding="utf-8"?>
<comments xmlns="http://schemas.openxmlformats.org/spreadsheetml/2006/main">
  <authors>
    <author>Tumee</author>
  </authors>
  <commentList>
    <comment ref="K54" authorId="0">
      <text>
        <r>
          <rPr>
            <b/>
            <sz val="8"/>
            <color indexed="81"/>
            <rFont val="Tahoma"/>
            <family val="2"/>
          </rPr>
          <t>Tumee:</t>
        </r>
        <r>
          <rPr>
            <sz val="8"/>
            <color indexed="81"/>
            <rFont val="Tahoma"/>
            <family val="2"/>
          </rPr>
          <t xml:space="preserve">
Вокзалын хаалга, цонх хийсэн төлбөр 
</t>
        </r>
      </text>
    </comment>
    <comment ref="K55" authorId="0">
      <text>
        <r>
          <rPr>
            <b/>
            <sz val="8"/>
            <color indexed="81"/>
            <rFont val="Tahoma"/>
            <family val="2"/>
          </rPr>
          <t>Tumee:</t>
        </r>
        <r>
          <rPr>
            <sz val="8"/>
            <color indexed="81"/>
            <rFont val="Tahoma"/>
            <family val="2"/>
          </rPr>
          <t xml:space="preserve">
Шүүхийн шийдвэр гүйцэтгэхээс орж ирсэн мөнгө 
</t>
        </r>
      </text>
    </comment>
    <comment ref="K57" authorId="0">
      <text>
        <r>
          <rPr>
            <b/>
            <sz val="8"/>
            <color indexed="81"/>
            <rFont val="Tahoma"/>
            <family val="2"/>
          </rPr>
          <t>Tumee:</t>
        </r>
        <r>
          <rPr>
            <sz val="8"/>
            <color indexed="81"/>
            <rFont val="Tahoma"/>
            <family val="2"/>
          </rPr>
          <t xml:space="preserve">
Ногооны хайрцаг хийж өгсөн төлбөр 
</t>
        </r>
      </text>
    </comment>
    <comment ref="K59" authorId="0">
      <text>
        <r>
          <rPr>
            <b/>
            <sz val="8"/>
            <color indexed="81"/>
            <rFont val="Tahoma"/>
            <family val="2"/>
          </rPr>
          <t>Tumee:</t>
        </r>
        <r>
          <rPr>
            <sz val="8"/>
            <color indexed="81"/>
            <rFont val="Tahoma"/>
            <family val="2"/>
          </rPr>
          <t xml:space="preserve">
Цонхны брус авсан төлбөр, НӨАТ аваагүй 
</t>
        </r>
      </text>
    </comment>
    <comment ref="K60" authorId="0">
      <text>
        <r>
          <rPr>
            <b/>
            <sz val="8"/>
            <color indexed="81"/>
            <rFont val="Tahoma"/>
            <family val="2"/>
          </rPr>
          <t>Tumee:</t>
        </r>
        <r>
          <rPr>
            <sz val="8"/>
            <color indexed="81"/>
            <rFont val="Tahoma"/>
            <family val="2"/>
          </rPr>
          <t xml:space="preserve">
Хаалга хийж өгсөн төлбөр НӨАТ аваагүй 
</t>
        </r>
      </text>
    </comment>
  </commentList>
</comments>
</file>

<file path=xl/comments3.xml><?xml version="1.0" encoding="utf-8"?>
<comments xmlns="http://schemas.openxmlformats.org/spreadsheetml/2006/main">
  <authors>
    <author>user</author>
  </authors>
  <commentList>
    <comment ref="P4" authorId="0">
      <text>
        <r>
          <rPr>
            <b/>
            <sz val="9"/>
            <color indexed="81"/>
            <rFont val="Tahoma"/>
            <family val="2"/>
          </rPr>
          <t xml:space="preserve">user:Эхлэх огноог гараас оруулж өгөх </t>
        </r>
        <r>
          <rPr>
            <sz val="9"/>
            <color indexed="81"/>
            <rFont val="Tahoma"/>
            <family val="2"/>
          </rPr>
          <t xml:space="preserve">
</t>
        </r>
      </text>
    </comment>
    <comment ref="S4" authorId="0">
      <text>
        <r>
          <rPr>
            <b/>
            <sz val="9"/>
            <color indexed="81"/>
            <rFont val="Tahoma"/>
            <family val="2"/>
          </rPr>
          <t xml:space="preserve">user:Дуусах огноог гараас оруулж өгөх </t>
        </r>
        <r>
          <rPr>
            <sz val="9"/>
            <color indexed="81"/>
            <rFont val="Tahoma"/>
            <family val="2"/>
          </rPr>
          <t xml:space="preserve">
</t>
        </r>
      </text>
    </comment>
  </commentList>
</comments>
</file>

<file path=xl/comments4.xml><?xml version="1.0" encoding="utf-8"?>
<comments xmlns="http://schemas.openxmlformats.org/spreadsheetml/2006/main">
  <authors>
    <author>user</author>
  </authors>
  <commentList>
    <comment ref="J2" authorId="0">
      <text>
        <r>
          <rPr>
            <sz val="9"/>
            <color indexed="81"/>
            <rFont val="Tahoma"/>
            <family val="2"/>
          </rPr>
          <t xml:space="preserve">Хувиарлагдах зардалын дүнг оруулж өгвөл төсөвт өртөгийн дүнд харьцуулж хувиарлах 
</t>
        </r>
      </text>
    </comment>
    <comment ref="J19" authorId="0">
      <text>
        <r>
          <rPr>
            <sz val="9"/>
            <color indexed="81"/>
            <rFont val="Tahoma"/>
            <family val="2"/>
          </rPr>
          <t xml:space="preserve">Хувиарлагдах зардалын дүнг оруулж өгвөл төсөвт өртөгийн дүнд харьцуулж хувиарлах 
</t>
        </r>
      </text>
    </comment>
    <comment ref="J53" authorId="0">
      <text>
        <r>
          <rPr>
            <sz val="9"/>
            <color indexed="81"/>
            <rFont val="Tahoma"/>
            <family val="2"/>
          </rPr>
          <t xml:space="preserve">Хувиарлагдах зардалын дүнг оруулж өгвөл төсөвт өртөгийн дүнд харьцуулж хувиарлах 
</t>
        </r>
      </text>
    </comment>
  </commentList>
</comments>
</file>

<file path=xl/sharedStrings.xml><?xml version="1.0" encoding="utf-8"?>
<sst xmlns="http://schemas.openxmlformats.org/spreadsheetml/2006/main" count="11428" uniqueCount="2875">
  <si>
    <t>Код</t>
  </si>
  <si>
    <t>№</t>
  </si>
  <si>
    <t xml:space="preserve">Дансны нэр </t>
  </si>
  <si>
    <t xml:space="preserve">Дт </t>
  </si>
  <si>
    <t xml:space="preserve">Кт </t>
  </si>
  <si>
    <t xml:space="preserve">Дүн </t>
  </si>
  <si>
    <t xml:space="preserve">Бүгд дүн </t>
  </si>
  <si>
    <t xml:space="preserve">Код </t>
  </si>
  <si>
    <t>ДТ</t>
  </si>
  <si>
    <t>КТ</t>
  </si>
  <si>
    <t>С2</t>
  </si>
  <si>
    <t>С1</t>
  </si>
  <si>
    <t>д/д</t>
  </si>
  <si>
    <t>Дансны</t>
  </si>
  <si>
    <t>Эхний үлдэгдэл</t>
  </si>
  <si>
    <t>Эцсийн үлдэгдэл</t>
  </si>
  <si>
    <t>дугаар</t>
  </si>
  <si>
    <t>Дебет</t>
  </si>
  <si>
    <t>Кредит</t>
  </si>
  <si>
    <t>tax</t>
  </si>
  <si>
    <t>(sum)</t>
  </si>
  <si>
    <t>Дүн</t>
  </si>
  <si>
    <t>Нийт орлого</t>
  </si>
  <si>
    <t>Нийт зардал</t>
  </si>
  <si>
    <t>Нийт ашиг</t>
  </si>
  <si>
    <t>Валют</t>
  </si>
  <si>
    <t>Ханш</t>
  </si>
  <si>
    <t>нэр</t>
  </si>
  <si>
    <t>төрөл</t>
  </si>
  <si>
    <t>Валютын</t>
  </si>
  <si>
    <t>USD</t>
  </si>
  <si>
    <t>RUB</t>
  </si>
  <si>
    <t>MNT</t>
  </si>
  <si>
    <t>CNY</t>
  </si>
  <si>
    <t xml:space="preserve">Ерөнхий журнал </t>
  </si>
  <si>
    <t>Шалгах баланс</t>
  </si>
  <si>
    <t>Тохируулах бичилт</t>
  </si>
  <si>
    <t xml:space="preserve">Орлогын тайлан </t>
  </si>
  <si>
    <t>Баланс</t>
  </si>
  <si>
    <t>Орлого үр дүнгийн тайлангийн ДҮН</t>
  </si>
  <si>
    <t>C1</t>
  </si>
  <si>
    <t>АВЛАГА</t>
  </si>
  <si>
    <t>ӨГЛӨГ</t>
  </si>
  <si>
    <t>Тайлант үе_</t>
  </si>
  <si>
    <t>САНХҮҮГИЙН БАЙДЛЫН ТАЙЛАН</t>
  </si>
  <si>
    <t>(Аж ахуйн нэгжийн нэр )</t>
  </si>
  <si>
    <t>Тайлант үе:</t>
  </si>
  <si>
    <t>/төгрөгөөр/</t>
  </si>
  <si>
    <t>Мөрийн дугаар</t>
  </si>
  <si>
    <t>Үзүүлэлт</t>
  </si>
  <si>
    <t>1</t>
  </si>
  <si>
    <t xml:space="preserve"> ХӨРӨНГӨ</t>
  </si>
  <si>
    <t>1.1</t>
  </si>
  <si>
    <t xml:space="preserve">   Эргэлтийн хөрөнгө</t>
  </si>
  <si>
    <t>1.1.1</t>
  </si>
  <si>
    <t xml:space="preserve">     Мөнгө, түүнтэй адилтгах хөрөнгө</t>
  </si>
  <si>
    <t>1.1.2</t>
  </si>
  <si>
    <t xml:space="preserve">     Дансны авлага</t>
  </si>
  <si>
    <t>1.1.3</t>
  </si>
  <si>
    <t xml:space="preserve">     Татвар, НДШ-ийн авлага</t>
  </si>
  <si>
    <t>1.1.4</t>
  </si>
  <si>
    <t xml:space="preserve">     Бусад авлага</t>
  </si>
  <si>
    <t>1.1.5</t>
  </si>
  <si>
    <t xml:space="preserve">     Бусад санхүүгийн хөрөнгө</t>
  </si>
  <si>
    <t>1.1.6</t>
  </si>
  <si>
    <t xml:space="preserve">     Бараа материал</t>
  </si>
  <si>
    <t>1.1.7</t>
  </si>
  <si>
    <t xml:space="preserve">     Урьдчилж төлсөн зардал тооцоо</t>
  </si>
  <si>
    <t>1.1.8</t>
  </si>
  <si>
    <t xml:space="preserve">     Бусад эргэлтийн хөрөнгө</t>
  </si>
  <si>
    <t>1.1.9</t>
  </si>
  <si>
    <t xml:space="preserve">     Борлуулах зорилгоор эзэмшиж буй эргэлтийн бус хөрөнгө (борлуулах бүлэг хөрөнгө)</t>
  </si>
  <si>
    <t>1.1.10</t>
  </si>
  <si>
    <t xml:space="preserve">     ...</t>
  </si>
  <si>
    <t>1.1.11</t>
  </si>
  <si>
    <t xml:space="preserve">   Эргэлтийн хөрөнгийн дүн</t>
  </si>
  <si>
    <t>1.2</t>
  </si>
  <si>
    <t xml:space="preserve">   Эргэлтийн бус хөрөнгө</t>
  </si>
  <si>
    <t>1.2.1</t>
  </si>
  <si>
    <t xml:space="preserve">     Үндсэн хөрөнгө</t>
  </si>
  <si>
    <t>1.2.2</t>
  </si>
  <si>
    <t>1.2.3</t>
  </si>
  <si>
    <t xml:space="preserve">     Биологийн хөрөнгө</t>
  </si>
  <si>
    <t>1.2.4</t>
  </si>
  <si>
    <t xml:space="preserve">     Урт хугацаат хөрөнгө оруулалт</t>
  </si>
  <si>
    <t>1.2.5</t>
  </si>
  <si>
    <t xml:space="preserve">     Хайгуул ба үнэлгээний хөрөнгө</t>
  </si>
  <si>
    <t>1.2.6</t>
  </si>
  <si>
    <t xml:space="preserve">     Хойшлогдсон татварын хөрөнгө</t>
  </si>
  <si>
    <t>1.2.7</t>
  </si>
  <si>
    <t xml:space="preserve">     Хөрөнгө оруулалтын зориулалттай үл хөдлөх хөрөнгө</t>
  </si>
  <si>
    <t>1.2.8</t>
  </si>
  <si>
    <t xml:space="preserve">     Бусад эргэлтийн бус хөрөнгө</t>
  </si>
  <si>
    <t>1.2.9</t>
  </si>
  <si>
    <t xml:space="preserve">Дуусаагүй барилга </t>
  </si>
  <si>
    <t>1.2.10</t>
  </si>
  <si>
    <t xml:space="preserve">   Эргэлтийн бус хөрөнгийн дүн</t>
  </si>
  <si>
    <t>1.3</t>
  </si>
  <si>
    <t xml:space="preserve"> НИЙТ ХӨРӨНГИЙН ДҮН</t>
  </si>
  <si>
    <t>2</t>
  </si>
  <si>
    <t xml:space="preserve"> ӨР ТӨЛБӨР БА ЭЗДИЙН ӨМЧ</t>
  </si>
  <si>
    <t>2.1</t>
  </si>
  <si>
    <t xml:space="preserve">   ӨР ТӨЛБӨР</t>
  </si>
  <si>
    <t>2.1.1</t>
  </si>
  <si>
    <t xml:space="preserve">   Богино хугацаат өр төлбөр</t>
  </si>
  <si>
    <t>2.1.1.1</t>
  </si>
  <si>
    <t xml:space="preserve">      Дансны өглөг</t>
  </si>
  <si>
    <t>2.1.1.2</t>
  </si>
  <si>
    <t xml:space="preserve">      Цалингийн өглөг</t>
  </si>
  <si>
    <t>2.1.1.3</t>
  </si>
  <si>
    <t xml:space="preserve">      Татварын өр</t>
  </si>
  <si>
    <t>2.1.1.4</t>
  </si>
  <si>
    <t xml:space="preserve">      НДШ-ийн өглөг</t>
  </si>
  <si>
    <t>2.1.1.5</t>
  </si>
  <si>
    <t xml:space="preserve">      Богино хугацаат зээл</t>
  </si>
  <si>
    <t>2.1.1.6</t>
  </si>
  <si>
    <t xml:space="preserve">      Хүүний өглөг</t>
  </si>
  <si>
    <t>2.1.1.7</t>
  </si>
  <si>
    <t xml:space="preserve">      Ногдол ашгийн өглөг</t>
  </si>
  <si>
    <t>2.1.1.8</t>
  </si>
  <si>
    <t xml:space="preserve">      Урьдчилж орсон орлого</t>
  </si>
  <si>
    <t>2.1.1.9</t>
  </si>
  <si>
    <t xml:space="preserve">      Нөөц /өр төлбөр/</t>
  </si>
  <si>
    <t>2.1.1.10</t>
  </si>
  <si>
    <t xml:space="preserve">      Бусад богино хугацаат өр төлбөр</t>
  </si>
  <si>
    <t>2.1.1.11</t>
  </si>
  <si>
    <t>Борлуулах зорилгоор эзэмшиж буй эргэлтийн бус хөрөнгө (борлуулах бүлэг хөрөнгө )- нд хамаарах өр төлбөр</t>
  </si>
  <si>
    <t>2.1.1.13</t>
  </si>
  <si>
    <t xml:space="preserve">   Богино хугацаат өр төлбөрийн дүн</t>
  </si>
  <si>
    <t>2.1.2</t>
  </si>
  <si>
    <t xml:space="preserve">   Урт хугацаат өр төлбөр</t>
  </si>
  <si>
    <t>2.1.2.1</t>
  </si>
  <si>
    <t xml:space="preserve">      Урт хугацаат  зээл</t>
  </si>
  <si>
    <t>2.1.2.2</t>
  </si>
  <si>
    <t>2.1.2.3</t>
  </si>
  <si>
    <t xml:space="preserve">      Хойшлогдсон татварын өр</t>
  </si>
  <si>
    <t>2.1.2.4</t>
  </si>
  <si>
    <t xml:space="preserve">      Бусад урт хугацаат өр төлбөр</t>
  </si>
  <si>
    <t>2.1.2.5</t>
  </si>
  <si>
    <t xml:space="preserve">      ...</t>
  </si>
  <si>
    <t>2.1.2.6</t>
  </si>
  <si>
    <t xml:space="preserve">   Урт хугацаат өр төлбөрийн дүн</t>
  </si>
  <si>
    <t>2.2</t>
  </si>
  <si>
    <t xml:space="preserve">   Өр төлбөрийн нийт дүн</t>
  </si>
  <si>
    <t>2.3</t>
  </si>
  <si>
    <t xml:space="preserve">   Эздийн өмч</t>
  </si>
  <si>
    <t>2.3.1</t>
  </si>
  <si>
    <t xml:space="preserve">      Өмч:                        -  Төрийн өмч</t>
  </si>
  <si>
    <t>2.3.2</t>
  </si>
  <si>
    <t xml:space="preserve">                                       -  Хувийн өмч</t>
  </si>
  <si>
    <t>2.3.3</t>
  </si>
  <si>
    <t xml:space="preserve">                                       -  Хувьцаат өр төлбөр</t>
  </si>
  <si>
    <t>2.3.4</t>
  </si>
  <si>
    <t xml:space="preserve">      Халаасны хувьцаа</t>
  </si>
  <si>
    <t>2.3.5</t>
  </si>
  <si>
    <t xml:space="preserve">      Нэмж төлөгдсөн капитал</t>
  </si>
  <si>
    <t>2.3.6</t>
  </si>
  <si>
    <t xml:space="preserve">      Хөрөнгийн дахин үнэлгээний нэмэгдэл</t>
  </si>
  <si>
    <t>2.3.7</t>
  </si>
  <si>
    <t xml:space="preserve">      Гадаад валютын хөрвүүлэлтийн нөөц</t>
  </si>
  <si>
    <t>2.3.8</t>
  </si>
  <si>
    <t xml:space="preserve">      Эздийн өмчийн бусад хэсэг</t>
  </si>
  <si>
    <t>2.3.9</t>
  </si>
  <si>
    <t xml:space="preserve">      Хуримтлагдсан ашиг:</t>
  </si>
  <si>
    <t>2.3.10</t>
  </si>
  <si>
    <t>- Өмнөх үеийн</t>
  </si>
  <si>
    <t>2.3.11</t>
  </si>
  <si>
    <t>- Тайлант үеийн</t>
  </si>
  <si>
    <t>2.3.12</t>
  </si>
  <si>
    <t xml:space="preserve">   Эздийн өмчийн дүн</t>
  </si>
  <si>
    <t>2.4</t>
  </si>
  <si>
    <t>3</t>
  </si>
  <si>
    <t>4</t>
  </si>
  <si>
    <t>5</t>
  </si>
  <si>
    <t>6</t>
  </si>
  <si>
    <t>Өмчийн өөрчлөлтийн тайлан</t>
  </si>
  <si>
    <t>Өмч</t>
  </si>
  <si>
    <t>Халаасны хувьцаа</t>
  </si>
  <si>
    <t>Нэмж төлөгдсөн капитал</t>
  </si>
  <si>
    <t>Хөрөнгийн дахин үнэлгээний нөөц</t>
  </si>
  <si>
    <t>Гадаад валютын хөрвүүлэлтийн нөөц</t>
  </si>
  <si>
    <t>Эздийн өмчийн бусад хэсэг</t>
  </si>
  <si>
    <t>Хуримтлагдсан ашиг /алдагдал/</t>
  </si>
  <si>
    <t>Нийт дүн</t>
  </si>
  <si>
    <t>Нягтлан бодох бүртгэлийн бодлогын өөрчлөлтийн нөлөө, алдааны залруулга</t>
  </si>
  <si>
    <t>Залруулсан үлдэгдэл</t>
  </si>
  <si>
    <t>Бусад дэлгэрэнгүй орлого</t>
  </si>
  <si>
    <t>Өмчид гарсан өөрчлөлт</t>
  </si>
  <si>
    <t>Зарласан ногдол ашиг</t>
  </si>
  <si>
    <t>Дахин үнэлгээний нэмэгдлийн хэрэгжсэн дүн</t>
  </si>
  <si>
    <t>Мөнгөн гүйлгээний тайлан</t>
  </si>
  <si>
    <t>ҮЗҮҮЛЭЛТ</t>
  </si>
  <si>
    <t xml:space="preserve">  Үндсэн үйл ажиллагааны мөнгөн гүйлгээ</t>
  </si>
  <si>
    <t xml:space="preserve">  Мөнгөн орлогын дүн (+)</t>
  </si>
  <si>
    <t xml:space="preserve">        Бараа борлуулсан, үйлчилгээ үзүүлсэний орлого</t>
  </si>
  <si>
    <t xml:space="preserve">        Эрхийн шимтгэл, хураамж, төлбөрийн орлого</t>
  </si>
  <si>
    <t xml:space="preserve">        Даатгалын нөхвөрөөс хүлээн авсан мөнгө</t>
  </si>
  <si>
    <t xml:space="preserve">        Буцаан авсан албан татвар</t>
  </si>
  <si>
    <t xml:space="preserve">        Татаас, санхүүжилтийн орлого</t>
  </si>
  <si>
    <t xml:space="preserve">        Бусад мөнгөн орлого</t>
  </si>
  <si>
    <t xml:space="preserve">  Мөнгөн зарлагын дүн (-)</t>
  </si>
  <si>
    <t xml:space="preserve">        Ажиллагчдад төлсөн</t>
  </si>
  <si>
    <t xml:space="preserve">        Нийгмийн даатгалын байгууллагад төлсөн</t>
  </si>
  <si>
    <t xml:space="preserve">        Бараа материал худалдан авахад төлсөн</t>
  </si>
  <si>
    <t xml:space="preserve">        Ашиглалтын зардалд төлсөн</t>
  </si>
  <si>
    <t xml:space="preserve">        Түлш, шатахуун, тээврийн хөлс, сэлбэг хэрэгсэлд төлсөн</t>
  </si>
  <si>
    <t xml:space="preserve">        Хүүний төлбөрт төлсөн</t>
  </si>
  <si>
    <t xml:space="preserve">        Татварын байгууллагад төлсөн</t>
  </si>
  <si>
    <t xml:space="preserve">        Даатгалын төлбөрт төлсөн</t>
  </si>
  <si>
    <t xml:space="preserve">        Бусад мөнгөн зарлага</t>
  </si>
  <si>
    <t xml:space="preserve">  Үндсэн үйл ажиллагааны цэвэр мөнгөн гүйлгээний дүн</t>
  </si>
  <si>
    <t xml:space="preserve">  Хөрөнгө оруулалтын үйл ажиллагааны мөнгөн гүйлгээ</t>
  </si>
  <si>
    <t xml:space="preserve">        Үндсэн хөрөнгө борлуулсаны орлого</t>
  </si>
  <si>
    <t xml:space="preserve">        Биет бус хөрөнгө борлуулсаны орлого</t>
  </si>
  <si>
    <t>2.1.3</t>
  </si>
  <si>
    <t xml:space="preserve">        Хөрөнгө оруулалт борлуулсаны орлого</t>
  </si>
  <si>
    <t>2.1.4</t>
  </si>
  <si>
    <t xml:space="preserve">        Бусад урт хугацаат хөрөнгө боруулсаны орлого</t>
  </si>
  <si>
    <t>2.1.5</t>
  </si>
  <si>
    <t xml:space="preserve">        Бусдад олгосон зээл, мөнгөн урьдчилгааны буцаан төлөлт</t>
  </si>
  <si>
    <t>2.1.6</t>
  </si>
  <si>
    <t xml:space="preserve">        Хүлээн авсан хүүний орлого</t>
  </si>
  <si>
    <t>2.1.7</t>
  </si>
  <si>
    <t xml:space="preserve">        Хүлээн авсан ногдол ашиг</t>
  </si>
  <si>
    <t>2.2.1</t>
  </si>
  <si>
    <t xml:space="preserve">        Үндсэн хөрөнгө олж эзэмшихэд төлсөн</t>
  </si>
  <si>
    <t>2.2.2</t>
  </si>
  <si>
    <t xml:space="preserve">        Биет бус хөрөнгө олж эзэмшихэд төлсөн</t>
  </si>
  <si>
    <t>2.2.3</t>
  </si>
  <si>
    <t xml:space="preserve">        Хөрөнгө оруулалт олж эзэмшихэд төлсөн</t>
  </si>
  <si>
    <t>2.2.4</t>
  </si>
  <si>
    <t xml:space="preserve">        Бусад урт хугацаат хөрөнгө олж эзэмшихэд төлсөн</t>
  </si>
  <si>
    <t>2.2.5</t>
  </si>
  <si>
    <t xml:space="preserve">        Бусдад олгосон зээл болон урьдчилгаа</t>
  </si>
  <si>
    <t xml:space="preserve">  Хөрөнгө оруулалтын үйл ажиллагааны цэвэр мөнгөн гүйлгээний дүн</t>
  </si>
  <si>
    <t xml:space="preserve">  Санхүүгийн үйл ажиллагааны мөнгөн гүйлгээ</t>
  </si>
  <si>
    <t>3.1</t>
  </si>
  <si>
    <t>3.1.1</t>
  </si>
  <si>
    <t xml:space="preserve">        Зээл авсан, өрийн үнэт цаас гаргаснаас хүлээн авсан</t>
  </si>
  <si>
    <t>3.1.2</t>
  </si>
  <si>
    <t xml:space="preserve">        Хувьцаа болон өмчийн бусад үнэт цаас гаргаснаас хүлээн авсан</t>
  </si>
  <si>
    <t>3.1.3</t>
  </si>
  <si>
    <t xml:space="preserve">        Төрөл бүрийн хандив</t>
  </si>
  <si>
    <t xml:space="preserve">        Валютын ханшийн тэгшитгэлийн ашиг</t>
  </si>
  <si>
    <t>3.2</t>
  </si>
  <si>
    <t>3.2.1</t>
  </si>
  <si>
    <t xml:space="preserve">        Зээл, өрийн үнэт цаасны төлбөрт төлсөн</t>
  </si>
  <si>
    <t>3.2.2</t>
  </si>
  <si>
    <t xml:space="preserve">        Санхүүгийн түрээсийн өглөгт төлсөн</t>
  </si>
  <si>
    <t>3.2.3</t>
  </si>
  <si>
    <t xml:space="preserve">        Хувьцаа буцаан худалдаж төлсөн</t>
  </si>
  <si>
    <t>3.2.4</t>
  </si>
  <si>
    <t xml:space="preserve">        Төлсөн ногдол ашиг</t>
  </si>
  <si>
    <t>3.2.5</t>
  </si>
  <si>
    <t xml:space="preserve">  Валютын ханшийн тэгшитгэлийн алдагдал</t>
  </si>
  <si>
    <t>3.3</t>
  </si>
  <si>
    <t xml:space="preserve">  Санхүүгийн үйл ажиллагааны цэвэр мөнгөн гүйлгээний дүн</t>
  </si>
  <si>
    <t xml:space="preserve">  Бүх цэвэр мөнгөн гүйлгээ</t>
  </si>
  <si>
    <t xml:space="preserve">  Мөнгө, түүнтэй адилтгах хөрөнгийн эхний үлдэгдэл</t>
  </si>
  <si>
    <t xml:space="preserve">  Мөнгө, түүнтэй адилтгах хөрөнгийн эцсийн үлдэгдэл</t>
  </si>
  <si>
    <t>SUM</t>
  </si>
  <si>
    <t>Дт</t>
  </si>
  <si>
    <t>Кт</t>
  </si>
  <si>
    <t>2017 оны 12 сарын 31</t>
  </si>
  <si>
    <t>Тайлант үеийн цэвэр ашиг (алдагдал)-1</t>
  </si>
  <si>
    <t>Тайлант үеийн цэвэр ашиг (алдагдал)-2</t>
  </si>
  <si>
    <t>Тайлант үеийн цэвэр ашиг (алдагдал)-3</t>
  </si>
  <si>
    <t>Тайлант үеийн цэвэр ашиг (алдагдал)-4</t>
  </si>
  <si>
    <t xml:space="preserve">     Үндсэн хөрөнгө.Хур элэгдэл </t>
  </si>
  <si>
    <t>2017 оны 12 сарын 31 үлдэгдэл</t>
  </si>
  <si>
    <t>Цалин хөлс, шагнал</t>
  </si>
  <si>
    <t>Засвар үйлчилгээний зардал</t>
  </si>
  <si>
    <t>Түрээсийн зардал</t>
  </si>
  <si>
    <t>Албан томилолтын зардал</t>
  </si>
  <si>
    <t>Тээврийн зардал</t>
  </si>
  <si>
    <t>Зар сурталчилгааны зардал</t>
  </si>
  <si>
    <t>Найдваргүй авлагын зардал</t>
  </si>
  <si>
    <t>Зээлийн хүүгийн зардал</t>
  </si>
  <si>
    <t>Татварын зардал</t>
  </si>
  <si>
    <t xml:space="preserve"> Код</t>
  </si>
  <si>
    <t>............................</t>
  </si>
  <si>
    <t>BS/IS</t>
  </si>
  <si>
    <t>CF</t>
  </si>
  <si>
    <t>ҮНДСЭН ХӨРӨНГИЙН ДЭЛГЭРЭНГҮЙ БҮРТГЭЛ</t>
  </si>
  <si>
    <t>Эд хариуцагчийн нэр.............</t>
  </si>
  <si>
    <t>Тайлант огноо:</t>
  </si>
  <si>
    <t>Бэлтгэсэн огноо:</t>
  </si>
  <si>
    <t>Орлого</t>
  </si>
  <si>
    <t>Зарлага</t>
  </si>
  <si>
    <t>Өртөг</t>
  </si>
  <si>
    <t>Нэгж үнэ</t>
  </si>
  <si>
    <t>Нийт үнэ</t>
  </si>
  <si>
    <t>Огноо</t>
  </si>
  <si>
    <t xml:space="preserve">Дансны </t>
  </si>
  <si>
    <t xml:space="preserve">дугаар </t>
  </si>
  <si>
    <t>C2</t>
  </si>
  <si>
    <t>Харилцагч</t>
  </si>
  <si>
    <t xml:space="preserve">Эхлэх огноо: </t>
  </si>
  <si>
    <t xml:space="preserve">Дуусах огноо: </t>
  </si>
  <si>
    <t>Balance C1</t>
  </si>
  <si>
    <t>Report C1</t>
  </si>
  <si>
    <t>Report C2</t>
  </si>
  <si>
    <t>Мат.код</t>
  </si>
  <si>
    <t xml:space="preserve">Материалын нэр </t>
  </si>
  <si>
    <t>Тоо. шир</t>
  </si>
  <si>
    <t>Нийт</t>
  </si>
  <si>
    <t>ОРЛОГО</t>
  </si>
  <si>
    <t>ЗАРЛАГА</t>
  </si>
  <si>
    <t>Тоо.шир</t>
  </si>
  <si>
    <t xml:space="preserve">Нэгж өртөг </t>
  </si>
  <si>
    <t xml:space="preserve">Нийт өртөг </t>
  </si>
  <si>
    <t>НӨАТ-авлага</t>
  </si>
  <si>
    <t>НӨАТ-өглөг</t>
  </si>
  <si>
    <t>Бүгд үнэ</t>
  </si>
  <si>
    <t>Нэгж өртөг</t>
  </si>
  <si>
    <t>Нийт өртөг</t>
  </si>
  <si>
    <t>Бэлэн бүтээгдэхүүн</t>
  </si>
  <si>
    <t>Данс</t>
  </si>
  <si>
    <t>Тавилга эд хогшил</t>
  </si>
  <si>
    <t>Хэм</t>
  </si>
  <si>
    <t>нэгж</t>
  </si>
  <si>
    <t xml:space="preserve">Хаалтын </t>
  </si>
  <si>
    <t>бичилт</t>
  </si>
  <si>
    <t>Тайлант үе</t>
  </si>
  <si>
    <t>Касс мөнгө USD-100200</t>
  </si>
  <si>
    <t>Мөнгөн хөрөнгийн клиринг-900100</t>
  </si>
  <si>
    <t>Компани хоорондын авлага MNT-120200</t>
  </si>
  <si>
    <t>Компани хоорондын авлага USD-120201</t>
  </si>
  <si>
    <t>Компани хоорондын авлага - Зээлийн хүүгийн авлага MNT-120202</t>
  </si>
  <si>
    <t>Бусад авлага MNT-120400</t>
  </si>
  <si>
    <t>Бусад авлага USD-120401</t>
  </si>
  <si>
    <t>НӨАТ авлага-120600</t>
  </si>
  <si>
    <t>ААНОАТ авлага-120700</t>
  </si>
  <si>
    <t>ХАОАТ авлага-120800</t>
  </si>
  <si>
    <t>НД-ын байгууллагаас авах авлага-120900</t>
  </si>
  <si>
    <t>Бусад татварын авлага-121000</t>
  </si>
  <si>
    <t>Ажилчдаас авах авлага-121100</t>
  </si>
  <si>
    <t>Ажилчидын дараа тайлангийн тооцоо -121200</t>
  </si>
  <si>
    <t>Борлуулалтын авлагын түр тооцоо MNT-122000</t>
  </si>
  <si>
    <t>Борлуулалтын авлагын түр тооцооUSD-122001</t>
  </si>
  <si>
    <t>Богино хугацаат хөрөнгө оруулалт -130100</t>
  </si>
  <si>
    <t>БХХО-ын хасалдуулга-130500</t>
  </si>
  <si>
    <t>Түүхий эд материал-140100</t>
  </si>
  <si>
    <t>ШМЗардал ХАТААХ ЦЕХ /нарс/-140200</t>
  </si>
  <si>
    <t>ШХЗардал ХАТААХ ЦЕХ /нарс/-140300</t>
  </si>
  <si>
    <t>ҮНЗардал ХАТААХ ЦЕХ /нарс/-140400</t>
  </si>
  <si>
    <t>Нэгтгэл зардал ХАТААХ ЦЕХ /нарс/-140500</t>
  </si>
  <si>
    <t>Бараа бэлэн бүтээгдэхүүн ХАТААХ ЦЕХ /нарс/-150100</t>
  </si>
  <si>
    <t>Барилгын материал -160100</t>
  </si>
  <si>
    <t>Агуулахад байгаа материал, хангамж-160200</t>
  </si>
  <si>
    <t>Сэлбэг хэрэгсэл -160300</t>
  </si>
  <si>
    <t>Бараа материалын үнэлгээний хасагдуулга-150500</t>
  </si>
  <si>
    <t>Бусад эргэлтийн хөрөнгө-150800</t>
  </si>
  <si>
    <t>Борлуулах зорилгоор эзэмшиж буй эргэлтийн бус хөрөнгө (Борлуулах бүлэг хөрөнгө)-150900</t>
  </si>
  <si>
    <t>Урьдчилж төлсөн тооцоо MNT-180100</t>
  </si>
  <si>
    <t>Урьдчилж төлсөн тооцоо USD-180101</t>
  </si>
  <si>
    <t>Урьдчилж төлсөн зардал MNT - Тоног төхөөрөмж -180200</t>
  </si>
  <si>
    <t>Урьдчилж төлсөн зардал USD-180300</t>
  </si>
  <si>
    <t>Материал татан авалт-180400</t>
  </si>
  <si>
    <t>Газрын сайжруулалт-200100</t>
  </si>
  <si>
    <t>Барилга байгууламж-200200</t>
  </si>
  <si>
    <t>Тавилга эд хогшил-200300</t>
  </si>
  <si>
    <t>Машин, тоног төхөөрөмж -200400</t>
  </si>
  <si>
    <t>Тээврийн хэрэгсэл-200500</t>
  </si>
  <si>
    <t>Компьютер, дагалдах хэрэгсэл-201000</t>
  </si>
  <si>
    <t>Төмөр зам -200201</t>
  </si>
  <si>
    <t>Бусад үндсэн хөрөнгө-200600</t>
  </si>
  <si>
    <t>Дуусаагүй барилга-1 /Кувейт/-200700</t>
  </si>
  <si>
    <t>Багаж хэрэгсэл-200800</t>
  </si>
  <si>
    <t>Биологийн хөрөнгө-200900</t>
  </si>
  <si>
    <t>Хуримтлагдсан элэгдэл - Барилга байгууламж-201200</t>
  </si>
  <si>
    <t>Хуримтлагдсан элэгдэл - Тавилга эд хогшил-201300</t>
  </si>
  <si>
    <t>Хуримтлагдсан элэгдэл - Машин тоног төхөөрөмж-201400</t>
  </si>
  <si>
    <t>Хуримтлагдсан элэгдэл - Тээврийн хэрэгсэл-201500</t>
  </si>
  <si>
    <t>Хуримтлагдсан элэгдэл - Бусад үндсэн хөрөнгө-201600</t>
  </si>
  <si>
    <t>Хуримтлагдсан элэгдэл - Багаж хэрэгсэл-201800</t>
  </si>
  <si>
    <t>Хуримтлагдсан элэгдэл - Комъпютер, дагалдах хэрэгсэл-202000</t>
  </si>
  <si>
    <t>Гүдвилл-210100</t>
  </si>
  <si>
    <t>Патент-210200</t>
  </si>
  <si>
    <t>Зохиогчийн эрх-210300</t>
  </si>
  <si>
    <t>Барааны тэмдэгт-210400</t>
  </si>
  <si>
    <t>Бусад биет бус хөрөнгө-210500</t>
  </si>
  <si>
    <t>Программ хангамж-210600</t>
  </si>
  <si>
    <t>Түрээсийн сайжруулалт-210700</t>
  </si>
  <si>
    <t>Газар эзэмших эрх-211000</t>
  </si>
  <si>
    <t>Урт хугацаат хөрөнгө оруулалт-220100</t>
  </si>
  <si>
    <t>Урт хугацаат компани хоорондын авлага-220200</t>
  </si>
  <si>
    <t>Урт хугацаат хөрөнгө оруулалтын үнэлгээний хасалдуулга-220400</t>
  </si>
  <si>
    <t>Хойшлогдсон татварын хөрөнгө-230100</t>
  </si>
  <si>
    <t>Хөрөнгө оруулалтын зориулалттай үл хөдлөх хөрөнгө-230200</t>
  </si>
  <si>
    <t>Дансны өглөг MNT-310100</t>
  </si>
  <si>
    <t>Дансны өглөг USD-310101</t>
  </si>
  <si>
    <t>Компани хоорондын өглөг - Шинэст Констракшн ХХК -311700</t>
  </si>
  <si>
    <t>Ногдол ашгийн өглөг -310300</t>
  </si>
  <si>
    <t>Банкны богино хугацаат зээл MNT-310400</t>
  </si>
  <si>
    <t>Банкны богино хугацаат зээл USD-310401</t>
  </si>
  <si>
    <t>ХАОАТ өглөг-310700</t>
  </si>
  <si>
    <t>НД-ын байгууллагад өгөх өглөг-310800</t>
  </si>
  <si>
    <t>Бусад татварын өглөг-310900</t>
  </si>
  <si>
    <t>Цалингийн өглөг-311000</t>
  </si>
  <si>
    <t>Бусад богино хугацаат өглөг -311100</t>
  </si>
  <si>
    <t>Ажилчдад өгөх өглөг-311200</t>
  </si>
  <si>
    <t>Хувь хүнд өгөх өглөг MNT-311300</t>
  </si>
  <si>
    <t>Хувь хүнд өгөх өглөг USD-311301</t>
  </si>
  <si>
    <t>Çээлийн хүүгийн өглөг MNT-311400</t>
  </si>
  <si>
    <t>Çээлийн хүүгийн өглөг USD-311401</t>
  </si>
  <si>
    <t>Борлуулах зорилгоор эзэмшиж буй эргэлтийн бус хөрөнгөд хамаарах өр төлбөр-311600</t>
  </si>
  <si>
    <t>Баталгаат засварын өглөг-312000</t>
  </si>
  <si>
    <t>Урьдчилж орсон орлого MNT-320100</t>
  </si>
  <si>
    <t>Урьдчилж орсон орлого USD-320101</t>
  </si>
  <si>
    <t>ХО-д өгөх өглөг MNT /ЭНХБАТ/-340100</t>
  </si>
  <si>
    <t>ХО-д өгөх өглөг USD /БАХДАМДЭМБЭРЭЛ/-350100</t>
  </si>
  <si>
    <t>Богино хугацаат өглөгийн хасагдуулга-320200</t>
  </si>
  <si>
    <t>Урт хугацаат зээл MNT-330200</t>
  </si>
  <si>
    <t>Урт хугацаат зээл USD-330201</t>
  </si>
  <si>
    <t>Хойшлогдсон татварын өр төлбөр-330800</t>
  </si>
  <si>
    <t>Хувийн өмч-410200</t>
  </si>
  <si>
    <t>Дахин үнэлгээний нөөц-420100</t>
  </si>
  <si>
    <t>Гадаад валютын хөрвүүлэлтийн нөөц-420200</t>
  </si>
  <si>
    <t>Эзэмшигчдийн өмчийн бусад хэсэг-430300</t>
  </si>
  <si>
    <t>Өмнөх үеийн ашиг/алдагдал-440100</t>
  </si>
  <si>
    <t>Тайлант үеийн ашиг/алдагдал-440200</t>
  </si>
  <si>
    <t>Үндсэн үйл ажиллагааны борлуулалт-510000</t>
  </si>
  <si>
    <t>Үзүүлсэн ажил үйлчилгээний орлого-510100</t>
  </si>
  <si>
    <t>Борлуулалтын хорогдол, буцаалт-510200</t>
  </si>
  <si>
    <t>Борлуулалтын хөнгөлөлт-510300</t>
  </si>
  <si>
    <t>Бусад борлуулалт-510400</t>
  </si>
  <si>
    <t>Үл хөдлөх хөрөнгө борлуулсны орлого-511000</t>
  </si>
  <si>
    <t>Хөдлөх хөрөнгө борлуулсны орлого-511100</t>
  </si>
  <si>
    <t>Хүүгийн орлого-511200</t>
  </si>
  <si>
    <t>Хөрөнгө түрээслүүлсний орлого-511300</t>
  </si>
  <si>
    <t>Ногдол ашгийн орлого-511400</t>
  </si>
  <si>
    <t>Эрхийн шимтгэлийн орлого-511500</t>
  </si>
  <si>
    <t>Борлуулсан барааны өртөг-610100</t>
  </si>
  <si>
    <t>Борлуулсан барааны өртөг - Бусад-610101</t>
  </si>
  <si>
    <t>Үзүүлсэн ажил үйлчилгээний өртөг-610200</t>
  </si>
  <si>
    <t>Бусад барааны өртөг-610300</t>
  </si>
  <si>
    <t>Цалин хөлс, шагнал-700100</t>
  </si>
  <si>
    <t>НДШимтгэл-700200</t>
  </si>
  <si>
    <t>Цахилгаан эрчим хүч-700700</t>
  </si>
  <si>
    <t>Дулаан-700800</t>
  </si>
  <si>
    <t>Уур, ус-700900</t>
  </si>
  <si>
    <t>Сэлбэг хэрэгсэл-701000</t>
  </si>
  <si>
    <t>Түрээсийн зардал-701100</t>
  </si>
  <si>
    <t>Албан томилолтын зардал-701200</t>
  </si>
  <si>
    <t>Тээврийн зардал-701300</t>
  </si>
  <si>
    <t>Засвар үйлчилгээний зардал-701400</t>
  </si>
  <si>
    <t>Урсгал засварын зардал-701500</t>
  </si>
  <si>
    <t>Элэгдэл, хорогдлын зардал-701600</t>
  </si>
  <si>
    <t>Зар сурталчилгааны зардал-701700</t>
  </si>
  <si>
    <t>Шуудан илгээмж-701800</t>
  </si>
  <si>
    <t>Харилцаа холбоо-701900</t>
  </si>
  <si>
    <t>Түлш, шатахуун-702000</t>
  </si>
  <si>
    <t>Тослох материал-702100</t>
  </si>
  <si>
    <t>Шагнал, урамшуулал-702300</t>
  </si>
  <si>
    <t>Зээлийн хүүгийн зардал-702500</t>
  </si>
  <si>
    <t>Захиргааны зардал-702400</t>
  </si>
  <si>
    <t>Сайн дурын даатгалын хураамж-702600</t>
  </si>
  <si>
    <t>Заавал даатгуулах даатгалын хураамж-702700</t>
  </si>
  <si>
    <t>Аудитын төлбөр-702800</t>
  </si>
  <si>
    <t>Орчуулгын хөлс-703300</t>
  </si>
  <si>
    <t>Мэргэжлийн байгууллагаар гүйцэтгүүслэн ажил үйлчилгээ-703400</t>
  </si>
  <si>
    <t>Бичиг хэргийн зардал-703700</t>
  </si>
  <si>
    <t>Хоол унааны зардал-703800</t>
  </si>
  <si>
    <t>Үл хөдлөхийн татвар-703900</t>
  </si>
  <si>
    <t>Авто тээвэр, өөрөө явагч хэрэгслийн татвар-704000</t>
  </si>
  <si>
    <t>Газар, байгалийн нөөц ашигласны төлбөр, хураамж-704100</t>
  </si>
  <si>
    <t>Бууны татвар-704200</t>
  </si>
  <si>
    <t>Лицензийн зардал-704300</t>
  </si>
  <si>
    <t>Хэвлэл захиалга-704400</t>
  </si>
  <si>
    <t>Хөдөлмөр хамгаалалын зардал-704600</t>
  </si>
  <si>
    <t>Цэвэрлэгээ-704700</t>
  </si>
  <si>
    <t>Хангамжийн зүйлс-704800</t>
  </si>
  <si>
    <t>Банкны үйлчилгээ-704900</t>
  </si>
  <si>
    <t>Бараа материалын хэвийн хорогдол-705000</t>
  </si>
  <si>
    <t>Харуул хамгаалалт-705800</t>
  </si>
  <si>
    <t>Эрэл хайгуулын зардал, БОНС зардал-705900</t>
  </si>
  <si>
    <t>Бусад зардал-706000</t>
  </si>
  <si>
    <t>Үндсэн бус үйл ажиллагааны орлого-840000</t>
  </si>
  <si>
    <t>Валютын ханшийн зөрүүнээс үүссэн хэрэгжсэн ашиг-840100</t>
  </si>
  <si>
    <t>Валютын ханшийн зөрүүнээс үүссэн хэрэгжээгүй ашиг-840200</t>
  </si>
  <si>
    <t>Хүү торгууль, хөнгөлөлтийн орлого-840400</t>
  </si>
  <si>
    <t>Биет бус хөрөнгө борлуулсны орлого-840500</t>
  </si>
  <si>
    <t>Үндсэн бус үйл ажиллагааны бусад орлого-840800</t>
  </si>
  <si>
    <t>Хөрөнгө оруулалт борлуулсны орлого-840900</t>
  </si>
  <si>
    <t>Үндсэн бус үйл ажиллагааны зарлага-870000</t>
  </si>
  <si>
    <t>Валютын ханшийн зөрүүнээс үүссэн хэрэгжсэн алдагдал-870100</t>
  </si>
  <si>
    <t>Валютын ханшийн зөрүүнээс үүссэн хэрэгжээгүй алдагдал-870200</t>
  </si>
  <si>
    <t>Найдваргүй авлагын зардал-870300</t>
  </si>
  <si>
    <t>Хүү торгууль, хөнгөлөлт-870400</t>
  </si>
  <si>
    <t>Биет бус хөрөнгийн үлдэгдэл өртөг-870500</t>
  </si>
  <si>
    <t>Үндсэн бус үйл ажиллагааны бусад зардал-870700</t>
  </si>
  <si>
    <t>Түрээсийн орлого олохтой холбогдож гарсан зардал-870800</t>
  </si>
  <si>
    <t>Хөрөнгө оруулалтын өртөг-870900</t>
  </si>
  <si>
    <t>Худалдаж борлуулсан хөдлөх хөрөнгийн өртөг-871100</t>
  </si>
  <si>
    <t>Худалдаж борлуулсан үл хөдлөх хөрөнгийн өртөг-871200</t>
  </si>
  <si>
    <t>Татварын зардал-910100</t>
  </si>
  <si>
    <t>Орлого зардлын нэгдсэн данс-920100</t>
  </si>
  <si>
    <t>ДАНСДЫН МЭДЭЭЛЭЛ</t>
  </si>
  <si>
    <t>Актив данс</t>
  </si>
  <si>
    <t>Пасив данс</t>
  </si>
  <si>
    <t>Орлогын тайлан</t>
  </si>
  <si>
    <t xml:space="preserve">Гадаад валютын төрөл </t>
  </si>
  <si>
    <t>Кассанд байгаа бэлэн мөнгө MNT</t>
  </si>
  <si>
    <t>3101</t>
  </si>
  <si>
    <t>Дансны өглөг MNT</t>
  </si>
  <si>
    <t>5100</t>
  </si>
  <si>
    <t>Үндсэн үйл ажиллагааны борлуулалт</t>
  </si>
  <si>
    <t xml:space="preserve">Төгрөг </t>
  </si>
  <si>
    <t>Кассанд байгаа бэлэн мөнгө USD</t>
  </si>
  <si>
    <t>Компани хоорондын өглөг - Санхүүжилт MNT</t>
  </si>
  <si>
    <t>5101</t>
  </si>
  <si>
    <t>Үзүүлсэн ажил үйлчилгээний орлого</t>
  </si>
  <si>
    <t xml:space="preserve">Доллар </t>
  </si>
  <si>
    <t>Харилцах дах бэлэн мөнгө MNT</t>
  </si>
  <si>
    <t>Компани хоорондын өглөг - Бусад тооцоо MNT</t>
  </si>
  <si>
    <t>5102</t>
  </si>
  <si>
    <t>Борлуулалтын хорогдол, буцаалт</t>
  </si>
  <si>
    <t>Рубель</t>
  </si>
  <si>
    <t>Харилцах дах бэлэн мөнгө USD</t>
  </si>
  <si>
    <t>Компани хоорондын өглөг - Зээлийн хүү, шимтгэл MNT</t>
  </si>
  <si>
    <t>5103</t>
  </si>
  <si>
    <t>Борлуулалтын хөнгөлөлт</t>
  </si>
  <si>
    <t>Юань</t>
  </si>
  <si>
    <t>Дансны авлага MNT</t>
  </si>
  <si>
    <t>3103</t>
  </si>
  <si>
    <t xml:space="preserve">Ногдол ашгийн өглөг </t>
  </si>
  <si>
    <t>5104</t>
  </si>
  <si>
    <t>Бусад борлуулалт</t>
  </si>
  <si>
    <t>Вон</t>
  </si>
  <si>
    <t>KRW</t>
  </si>
  <si>
    <t>Компани хоорондын авлага</t>
  </si>
  <si>
    <t>3104</t>
  </si>
  <si>
    <t>Банкны богино хугацаат зээл MNT</t>
  </si>
  <si>
    <t>5110</t>
  </si>
  <si>
    <t>Үл хөдлөх хөрөнгө борлуулсны орлого</t>
  </si>
  <si>
    <t>Иен</t>
  </si>
  <si>
    <t>JPY</t>
  </si>
  <si>
    <t>Найдваргүй авлагын хасагдуулга</t>
  </si>
  <si>
    <t>3105</t>
  </si>
  <si>
    <t>НӨАТ өглөг</t>
  </si>
  <si>
    <t>5111</t>
  </si>
  <si>
    <t>Хөдлөх хөрөнгө борлуулсны орлого</t>
  </si>
  <si>
    <t>Бусад авлага MNT</t>
  </si>
  <si>
    <t>3106</t>
  </si>
  <si>
    <t>ААНБОАТ өглөг</t>
  </si>
  <si>
    <t>5112</t>
  </si>
  <si>
    <t>Хүүгийн орлого</t>
  </si>
  <si>
    <t>НӨАТ авлага</t>
  </si>
  <si>
    <t>3107</t>
  </si>
  <si>
    <t>ХАОАТ өглөг</t>
  </si>
  <si>
    <t>5113</t>
  </si>
  <si>
    <t>Хөрөнгө түрээслүүлсний орлого</t>
  </si>
  <si>
    <t>ААНОАТ авлага</t>
  </si>
  <si>
    <t>3108</t>
  </si>
  <si>
    <t>НД-ын байгууллагад өгөх өглөг</t>
  </si>
  <si>
    <t>5114</t>
  </si>
  <si>
    <t>Ногдол ашгийн орлого</t>
  </si>
  <si>
    <t>ХАОАТ авлага</t>
  </si>
  <si>
    <t>3109</t>
  </si>
  <si>
    <t>Бусад татварын өглөг</t>
  </si>
  <si>
    <t>5115</t>
  </si>
  <si>
    <t>Эрхийн шимтгэлийн орлого</t>
  </si>
  <si>
    <t>НД-ын байгууллагаас авах авлага</t>
  </si>
  <si>
    <t>3110</t>
  </si>
  <si>
    <t>Цалингийн өглөг</t>
  </si>
  <si>
    <t>6101</t>
  </si>
  <si>
    <t>Борлуулсан барааны өртөг</t>
  </si>
  <si>
    <t>Бусад татварын авлага</t>
  </si>
  <si>
    <t>3111</t>
  </si>
  <si>
    <t xml:space="preserve">Бусад богино хугацаат өглөг </t>
  </si>
  <si>
    <t>6102</t>
  </si>
  <si>
    <t>Үзүүлсэн ажил үйлчилгээний өртөг</t>
  </si>
  <si>
    <t>Ажилчдаас авах авлага</t>
  </si>
  <si>
    <t>3112</t>
  </si>
  <si>
    <t>Ажилчдад өгөх өглөг</t>
  </si>
  <si>
    <t>6103</t>
  </si>
  <si>
    <t>Бусад барааны өртөг</t>
  </si>
  <si>
    <t>Хувь хүнээс авах авлага</t>
  </si>
  <si>
    <t>3113</t>
  </si>
  <si>
    <t>Хувь хүнд өгөх өглөг MNT</t>
  </si>
  <si>
    <t/>
  </si>
  <si>
    <t xml:space="preserve">Богино хугацаат хөрөнгө оруулалт </t>
  </si>
  <si>
    <t>3114</t>
  </si>
  <si>
    <t>Банкны зээлийн хүүгийн өглөг MNT</t>
  </si>
  <si>
    <t>7001</t>
  </si>
  <si>
    <t>БХХО-ын хасалдуулга</t>
  </si>
  <si>
    <t>3116</t>
  </si>
  <si>
    <t>Борлуулах зорилгоор эзэмшиж буй эргэлтийн бус хөрөнгөд хамаарах өр төлбөр</t>
  </si>
  <si>
    <t>7002</t>
  </si>
  <si>
    <t>НДШимтгэл</t>
  </si>
  <si>
    <t>Түүхий эд материал</t>
  </si>
  <si>
    <t>3120</t>
  </si>
  <si>
    <t>Баталгаат засварын өглөг</t>
  </si>
  <si>
    <t>7007</t>
  </si>
  <si>
    <t>Цахилгаан эрчим хүч</t>
  </si>
  <si>
    <t>Шууд материал</t>
  </si>
  <si>
    <t>3201</t>
  </si>
  <si>
    <t>Урьдчилж орсон орлого MNT</t>
  </si>
  <si>
    <t>7008</t>
  </si>
  <si>
    <t>Дулаан</t>
  </si>
  <si>
    <t>Шууд хөдөлмөр</t>
  </si>
  <si>
    <t>3202</t>
  </si>
  <si>
    <t>Богино хугацаат өглөгийн хасагдуулга</t>
  </si>
  <si>
    <t>7009</t>
  </si>
  <si>
    <t>Уур, ус</t>
  </si>
  <si>
    <t>Үйлдвэрлэлийн нэмэгдэл зардал</t>
  </si>
  <si>
    <t>3302</t>
  </si>
  <si>
    <t>Урт хугацаат зээл MNT</t>
  </si>
  <si>
    <t>7010</t>
  </si>
  <si>
    <t>Сэлбэг хэрэгсэл</t>
  </si>
  <si>
    <t xml:space="preserve">Дуусаагүй үйлдвэрлэл - Нэгтгэл данс </t>
  </si>
  <si>
    <t>3308</t>
  </si>
  <si>
    <t>Хойшлогдсон татварын өр төлбөр</t>
  </si>
  <si>
    <t>7011</t>
  </si>
  <si>
    <t>4102</t>
  </si>
  <si>
    <t xml:space="preserve">Хувийн өмч </t>
  </si>
  <si>
    <t>7012</t>
  </si>
  <si>
    <t>Ашиглалтанд байгаа материал, хангамж</t>
  </si>
  <si>
    <t>4201</t>
  </si>
  <si>
    <t>Дахин үнэлгээний нөөц</t>
  </si>
  <si>
    <t>7013</t>
  </si>
  <si>
    <t>Агуулахад байгаа материал, хангамж</t>
  </si>
  <si>
    <t>4202</t>
  </si>
  <si>
    <t>7014</t>
  </si>
  <si>
    <t>Бараа материалын үнэлгээний хасагдуулга</t>
  </si>
  <si>
    <t>4303</t>
  </si>
  <si>
    <t>Эзэмшигчдийн өмчийн бусад хэсэг</t>
  </si>
  <si>
    <t>7015</t>
  </si>
  <si>
    <t>Урсгал засварын зардал</t>
  </si>
  <si>
    <t>1508</t>
  </si>
  <si>
    <t>Бусад эргэлтийн хөрөнгө</t>
  </si>
  <si>
    <t>4401</t>
  </si>
  <si>
    <t>Өмнөх үеийн ашиг/алдагдал</t>
  </si>
  <si>
    <t>7016</t>
  </si>
  <si>
    <t>Элэгдэл, хорогдлын зардал</t>
  </si>
  <si>
    <t>1509</t>
  </si>
  <si>
    <t>Борлуулах зорилгоор эзэмшиж буй эргэлтийн бус хөрөнгө (Борлуулах бүлэг хөрөнгө)</t>
  </si>
  <si>
    <t>4402</t>
  </si>
  <si>
    <t>Тайлант үеийн ашиг/алдагдал</t>
  </si>
  <si>
    <t>7017</t>
  </si>
  <si>
    <t>1801</t>
  </si>
  <si>
    <t>Урьдчилж төлсөн тооцоо MNT</t>
  </si>
  <si>
    <t>7018</t>
  </si>
  <si>
    <t>Шуудан илгээмж</t>
  </si>
  <si>
    <t>1802</t>
  </si>
  <si>
    <t>Урьдчилж төлсөн зардал MNT</t>
  </si>
  <si>
    <t>7019</t>
  </si>
  <si>
    <t>Харилцаа холбоо</t>
  </si>
  <si>
    <t>1803</t>
  </si>
  <si>
    <t>Материал татан авалт</t>
  </si>
  <si>
    <t>7020</t>
  </si>
  <si>
    <t>Түлш, шатахуун</t>
  </si>
  <si>
    <t>2001</t>
  </si>
  <si>
    <t>Газрын сайжруулалт</t>
  </si>
  <si>
    <t>7021</t>
  </si>
  <si>
    <t>Тослох материал</t>
  </si>
  <si>
    <t>2002</t>
  </si>
  <si>
    <t>Барилга байгууламж</t>
  </si>
  <si>
    <t>7023</t>
  </si>
  <si>
    <t>Шагнал, урамшуулал</t>
  </si>
  <si>
    <t>2003</t>
  </si>
  <si>
    <t>7025</t>
  </si>
  <si>
    <t>2004</t>
  </si>
  <si>
    <t xml:space="preserve">Машин, тоног төхөөрөмж </t>
  </si>
  <si>
    <t>7024</t>
  </si>
  <si>
    <t>Байр орон сууцны хөнгөлөлт</t>
  </si>
  <si>
    <t>2005</t>
  </si>
  <si>
    <t>Тээврийн хэрэгсэл</t>
  </si>
  <si>
    <t>7026</t>
  </si>
  <si>
    <t>Сайн дурын даатгалын хураамж</t>
  </si>
  <si>
    <t>2006</t>
  </si>
  <si>
    <t>Бусад үндсэн хөрөнгө</t>
  </si>
  <si>
    <t>7027</t>
  </si>
  <si>
    <t>Заавал даатгуулах даатгалын хураамж</t>
  </si>
  <si>
    <t>2007</t>
  </si>
  <si>
    <t>Дуусаагүй барилга</t>
  </si>
  <si>
    <t>7028</t>
  </si>
  <si>
    <t>Аудитын төлбөр</t>
  </si>
  <si>
    <t>2008</t>
  </si>
  <si>
    <t>Багаж хэрэгсэл</t>
  </si>
  <si>
    <t>7033</t>
  </si>
  <si>
    <t>Орчуулгын хөлс</t>
  </si>
  <si>
    <t>2009</t>
  </si>
  <si>
    <t>Биологийн хөрөнгө</t>
  </si>
  <si>
    <t>7034</t>
  </si>
  <si>
    <t>Бусад бусдаар гүйцэтгүүлсэн ажил, үйлчилгээ</t>
  </si>
  <si>
    <t>2010</t>
  </si>
  <si>
    <t>Компьютер, дагалдах хэрэгсэл</t>
  </si>
  <si>
    <t>7037</t>
  </si>
  <si>
    <t>Бичиг хэргийн зардал</t>
  </si>
  <si>
    <t>2012</t>
  </si>
  <si>
    <t>Хуримтлагдсан элэгдэл - Барилга байгууламж</t>
  </si>
  <si>
    <t>7038</t>
  </si>
  <si>
    <t>Хоол унааны зардал</t>
  </si>
  <si>
    <t>2013</t>
  </si>
  <si>
    <t>Хуримтлагдсан элэгдэл - Тавилга эд хогшил</t>
  </si>
  <si>
    <t>7039</t>
  </si>
  <si>
    <t>Үл хөдлөхийн татвар</t>
  </si>
  <si>
    <t>2014</t>
  </si>
  <si>
    <t>Хуримтлагдсан элэгдэл - Машин тоног төхөөрөмж</t>
  </si>
  <si>
    <t>7040</t>
  </si>
  <si>
    <t>Авто тээвэр, өөрөө явагч хэрэгслийн татвар</t>
  </si>
  <si>
    <t>2015</t>
  </si>
  <si>
    <t>Хуримтлагдсан элэгдэл - Тээврийн хэрэгсэл</t>
  </si>
  <si>
    <t>7041</t>
  </si>
  <si>
    <t>Газар, байгалийн нөөц ашигласны төлбөр, хураамж</t>
  </si>
  <si>
    <t>2016</t>
  </si>
  <si>
    <t>Хуримтлагдсан элэгдэл - Бусад үндсэн хөрөнгө</t>
  </si>
  <si>
    <t>7042</t>
  </si>
  <si>
    <t>Ус рашаан ашигласны төлбөр</t>
  </si>
  <si>
    <t>2018</t>
  </si>
  <si>
    <t>Хуримтлагдсан элэгдэл - Багаж хэрэгсэл</t>
  </si>
  <si>
    <t>7043</t>
  </si>
  <si>
    <t>Лицензийн зардал</t>
  </si>
  <si>
    <t>2020</t>
  </si>
  <si>
    <t>Хуримтлагдсан элэгдэл - Комъпютер, дагалдах хэрэгсэл</t>
  </si>
  <si>
    <t>7044</t>
  </si>
  <si>
    <t>Хэвлэл захиалга</t>
  </si>
  <si>
    <t>2101</t>
  </si>
  <si>
    <t>Гүдвилл</t>
  </si>
  <si>
    <t>7046</t>
  </si>
  <si>
    <t>Хөдөлмөр хамгаалалын зардал</t>
  </si>
  <si>
    <t>2102</t>
  </si>
  <si>
    <t>Патент</t>
  </si>
  <si>
    <t>7047</t>
  </si>
  <si>
    <t>Цэвэрлэгээ</t>
  </si>
  <si>
    <t>2103</t>
  </si>
  <si>
    <t>Зохиогчийн эрх</t>
  </si>
  <si>
    <t>7048</t>
  </si>
  <si>
    <t>Хангамжийн зүйлс</t>
  </si>
  <si>
    <t>2104</t>
  </si>
  <si>
    <t>Барааны тэмдэгт</t>
  </si>
  <si>
    <t>7049</t>
  </si>
  <si>
    <t>Банкны үйлчилгээ</t>
  </si>
  <si>
    <t>2105</t>
  </si>
  <si>
    <t>Бусад биет бус хөрөнгө</t>
  </si>
  <si>
    <t>7050</t>
  </si>
  <si>
    <t>Бараа материалын хэвийн хорогдол</t>
  </si>
  <si>
    <t>2106</t>
  </si>
  <si>
    <t>Программ хангамж</t>
  </si>
  <si>
    <t>7058</t>
  </si>
  <si>
    <t>Харуул хамгаалалт</t>
  </si>
  <si>
    <t>2107</t>
  </si>
  <si>
    <t>Түрээсийн сайжруулалт</t>
  </si>
  <si>
    <t>7059</t>
  </si>
  <si>
    <t>Эрэл хайгуулын зардал</t>
  </si>
  <si>
    <t>2108</t>
  </si>
  <si>
    <t>Тусгай зөвшөөрөл</t>
  </si>
  <si>
    <t>7060</t>
  </si>
  <si>
    <t>Бусад зардал</t>
  </si>
  <si>
    <t>2109</t>
  </si>
  <si>
    <t>Хайгуул үнэлгээний хөрөнгө</t>
  </si>
  <si>
    <t>7101</t>
  </si>
  <si>
    <t xml:space="preserve">Бор - Цалин хөлс, шагнал </t>
  </si>
  <si>
    <t>2110</t>
  </si>
  <si>
    <t>Газар эзэмших эрх</t>
  </si>
  <si>
    <t>7102</t>
  </si>
  <si>
    <t>Бор - НДШимтгэл</t>
  </si>
  <si>
    <t>2111</t>
  </si>
  <si>
    <t>Хуримтлагдсан элэгдэл - Гүдвилл</t>
  </si>
  <si>
    <t>7110</t>
  </si>
  <si>
    <t>Бор - Сэлбэг хэрэгсэл</t>
  </si>
  <si>
    <t>2112</t>
  </si>
  <si>
    <t>Хуримтлагдсан элэгдэл - Патент</t>
  </si>
  <si>
    <t>7111</t>
  </si>
  <si>
    <t>Бор - Түрээсийн зардал</t>
  </si>
  <si>
    <t>2113</t>
  </si>
  <si>
    <t>Хуримтлагдсан элэгдэл - Зохиогчийн эрх</t>
  </si>
  <si>
    <t>7112</t>
  </si>
  <si>
    <t>Бор - Албан томилолтын зардал</t>
  </si>
  <si>
    <t>2114</t>
  </si>
  <si>
    <t>Хуримтлагдсан элэгдэл - Барааны тэмдэгт</t>
  </si>
  <si>
    <t>7113</t>
  </si>
  <si>
    <t>Бор - Тээврийн зардал</t>
  </si>
  <si>
    <t>2115</t>
  </si>
  <si>
    <t>Хуримтлагдсан элэгдэл - Бусад биет бус хөрөнгө</t>
  </si>
  <si>
    <t>7116</t>
  </si>
  <si>
    <t>Бор - Элэгдэл, хорогдлын зардал</t>
  </si>
  <si>
    <t>2116</t>
  </si>
  <si>
    <t>Хуримтлагдсан элэгдэл - Программ хангамж</t>
  </si>
  <si>
    <t>7117</t>
  </si>
  <si>
    <t>Бор - Зар сурталчилгааны зардал</t>
  </si>
  <si>
    <t>2117</t>
  </si>
  <si>
    <t>Хуримтлагдсан элэгдэл - Түрээсийн сайжруулалт</t>
  </si>
  <si>
    <t>7118</t>
  </si>
  <si>
    <t>Бор - Шуудан илгээмж</t>
  </si>
  <si>
    <t>2119</t>
  </si>
  <si>
    <t>Хуримтлагдсан элэгдэл - Тусгай зөвшөөрөл</t>
  </si>
  <si>
    <t>7119</t>
  </si>
  <si>
    <t>Бор - Харилцаа холбоо</t>
  </si>
  <si>
    <t>2120</t>
  </si>
  <si>
    <t>Хуримтлагдсан элэгдэл - Газар эзэмших эрх</t>
  </si>
  <si>
    <t>7120</t>
  </si>
  <si>
    <t>Бор - Түлш, шатахуун</t>
  </si>
  <si>
    <t>2201</t>
  </si>
  <si>
    <t>Урт хугацаат хөрөнгө оруулалт</t>
  </si>
  <si>
    <t>7137</t>
  </si>
  <si>
    <t>Бор - Бичиг хэргийн зардал</t>
  </si>
  <si>
    <t>2202</t>
  </si>
  <si>
    <t>Урт хугацаат компани хоорондын авлага</t>
  </si>
  <si>
    <t>7138</t>
  </si>
  <si>
    <t>Бор - Хоол унааны зардал</t>
  </si>
  <si>
    <t>2204</t>
  </si>
  <si>
    <t>Урт хугацаат хөрөнгө оруулалтын үнэлгээний хасалдуулга</t>
  </si>
  <si>
    <t>7147</t>
  </si>
  <si>
    <t>Бор - Цэвэрлэгээ</t>
  </si>
  <si>
    <t>2301</t>
  </si>
  <si>
    <t>Хойшлогдсон татварын хөрөнгө</t>
  </si>
  <si>
    <t>7148</t>
  </si>
  <si>
    <t>Бор - Хангамжийн зүйлс</t>
  </si>
  <si>
    <t>2302</t>
  </si>
  <si>
    <t>Хөрөнгө оруулалтын зориулалттай үл хөдлөх хөрөнгө</t>
  </si>
  <si>
    <t>7160</t>
  </si>
  <si>
    <t>Бор - Бусад зардал</t>
  </si>
  <si>
    <t>8400</t>
  </si>
  <si>
    <t>Үндсэн бус үйл ажиллагааны орлого</t>
  </si>
  <si>
    <t>Бараа борлуулсан, үйлчилгээ үзүүлсэний орлого</t>
  </si>
  <si>
    <t>8401</t>
  </si>
  <si>
    <t>Валютын ханшийн зөрүүнээс үүссэн хэрэгжсэн ашиг</t>
  </si>
  <si>
    <t>Эрхийн шимтгэл, хураамж, төлбөрийн орлого</t>
  </si>
  <si>
    <t>8402</t>
  </si>
  <si>
    <t>Валютын ханшийн зөрүүнээс үүссэн хэрэгжээгүй ашиг</t>
  </si>
  <si>
    <t>Даатгалын нөхвөрөөс хүлээн авсан мөнгө</t>
  </si>
  <si>
    <t>8404</t>
  </si>
  <si>
    <t>Хүү торгууль, хөнгөлөлтийн орлого</t>
  </si>
  <si>
    <t>Буцаан авсан албан татвар</t>
  </si>
  <si>
    <t>8405</t>
  </si>
  <si>
    <t>Биет бус хөрөнгө борлуулсны орлого</t>
  </si>
  <si>
    <t>Татаас, санхүүжилтийн орлого</t>
  </si>
  <si>
    <t>8406</t>
  </si>
  <si>
    <t>Эрх борлуулсны орлого</t>
  </si>
  <si>
    <t>Бусад мөнгөн орлого</t>
  </si>
  <si>
    <t>8408</t>
  </si>
  <si>
    <t>Үндсэн бус үйл ажиллагааны бусад орлого</t>
  </si>
  <si>
    <t>8409</t>
  </si>
  <si>
    <t>Хөрөнгө оруулалт борлуулсны орлого</t>
  </si>
  <si>
    <t>Ажиллагчдад төлсөн</t>
  </si>
  <si>
    <t>Нийгмийн даатгалын байгууллагад төлсөн</t>
  </si>
  <si>
    <t>8700</t>
  </si>
  <si>
    <t>Үндсэн бус үйл ажиллагааны зарлага</t>
  </si>
  <si>
    <t>Бараа материал худалдан авахад төлсөн</t>
  </si>
  <si>
    <t>8701</t>
  </si>
  <si>
    <t>Валютын ханшийн зөрүүнээс үүссэн хэрэгжсэн алдагдал</t>
  </si>
  <si>
    <t>Ашиглалтын зардалд төлсөн</t>
  </si>
  <si>
    <t>8702</t>
  </si>
  <si>
    <t>Валютын ханшийн зөрүүнээс үүссэн хэрэгжээгүй алдагдал</t>
  </si>
  <si>
    <t>Түлш, шатахуун, тээврийн хөлс, сэлбэг хэрэгсэлд төлсөн</t>
  </si>
  <si>
    <t>8703</t>
  </si>
  <si>
    <t>Хүүний төлбөрт төлсөн</t>
  </si>
  <si>
    <t>8704</t>
  </si>
  <si>
    <t>Хүү торгууль, хөнгөлөлт</t>
  </si>
  <si>
    <t>Татварын байгууллагад төлсөн</t>
  </si>
  <si>
    <t>8705</t>
  </si>
  <si>
    <t>Биет бус хөрөнгийн үлдэгдэл өртөг</t>
  </si>
  <si>
    <t>Даатгалын төлбөрт төлсөн</t>
  </si>
  <si>
    <t>8707</t>
  </si>
  <si>
    <t>Үндсэн бус үйл ажиллагааны бусад зардал</t>
  </si>
  <si>
    <t>Бусад мөнгөн зарлага</t>
  </si>
  <si>
    <t>8708</t>
  </si>
  <si>
    <t>Түрээсийн орлого олохтой холбогдож гарсан зардал</t>
  </si>
  <si>
    <t>8709</t>
  </si>
  <si>
    <t>Хөрөнгө оруулалтын өртөг</t>
  </si>
  <si>
    <t>Үндсэн хөрөнгө борлуулсаны орлого</t>
  </si>
  <si>
    <t>8711</t>
  </si>
  <si>
    <t>Худалдаж борлуулсан хөдлөх хөрөнгийн өртөг</t>
  </si>
  <si>
    <t>Биет бус хөрөнгө борлуулсаны орлого</t>
  </si>
  <si>
    <t>8712</t>
  </si>
  <si>
    <t>Худалдаж борлуулсан үл хөдлөх хөрөнгийн өртөг</t>
  </si>
  <si>
    <t>Хөрөнгө оруулалт борлуулсаны орлого</t>
  </si>
  <si>
    <t>Бусад урт хугацаат хөрөнгө боруулсаны орлого</t>
  </si>
  <si>
    <t>9101</t>
  </si>
  <si>
    <t>Бусдад олгосон зээл, мөнгөн урьдчилгааны буцаан төлөлт</t>
  </si>
  <si>
    <t>9201</t>
  </si>
  <si>
    <t>Орлого зардлын нэгдсэн данс</t>
  </si>
  <si>
    <t>Хүлээн авсан хүүний орлого</t>
  </si>
  <si>
    <t>Хүлээн авсан ногдол ашиг</t>
  </si>
  <si>
    <t>Үндсэн хөрөнгө олж эзэмшихэд төлсөн</t>
  </si>
  <si>
    <t>Биет бус хөрөнгө олж эзэмшихэд төлсөн</t>
  </si>
  <si>
    <t>Хөрөнгө оруулалт олж эзэмшихэд төлсөн</t>
  </si>
  <si>
    <t>Бусад урт хугацаат хөрөнгө олж эзэмшихэд төлсөн</t>
  </si>
  <si>
    <t>Бусдад олгосон зээл болон урьдчилгаа</t>
  </si>
  <si>
    <t>Хаан Банк 5024654020-110100</t>
  </si>
  <si>
    <t>ХХБ 406094330-110102</t>
  </si>
  <si>
    <t>Хас Банк 5000558299-110103</t>
  </si>
  <si>
    <t>ХХБ 404052927-110104</t>
  </si>
  <si>
    <t>Дансны авлага MNT -120100</t>
  </si>
  <si>
    <t>Дансны авлага USD-120201</t>
  </si>
  <si>
    <t>Касс мөнгө MNT</t>
  </si>
  <si>
    <t xml:space="preserve">Ажилчидын нэр </t>
  </si>
  <si>
    <t>код</t>
  </si>
  <si>
    <t xml:space="preserve">  Борлуулалтын орлого ( цэвэр )</t>
  </si>
  <si>
    <t xml:space="preserve">  Борлуулалтын өртөг</t>
  </si>
  <si>
    <t xml:space="preserve">  Нийт ашиг ( алдагдал )</t>
  </si>
  <si>
    <t xml:space="preserve">  Түрээсийн орлого</t>
  </si>
  <si>
    <t xml:space="preserve">  Хүүгийн орлого</t>
  </si>
  <si>
    <t xml:space="preserve">  Ногдол ашгийн орлого</t>
  </si>
  <si>
    <t>7</t>
  </si>
  <si>
    <t xml:space="preserve">  Эрхийн шимтгэлийн орлого</t>
  </si>
  <si>
    <t>8</t>
  </si>
  <si>
    <t xml:space="preserve">  Бусад орлого</t>
  </si>
  <si>
    <t>9</t>
  </si>
  <si>
    <t xml:space="preserve">  Борлуулалт, маркетингийн зардал</t>
  </si>
  <si>
    <t>10</t>
  </si>
  <si>
    <t xml:space="preserve">  Ерөнхий ба удирдлагын зардал</t>
  </si>
  <si>
    <t>11</t>
  </si>
  <si>
    <t xml:space="preserve">  Санхүүгийн зардал</t>
  </si>
  <si>
    <t>12</t>
  </si>
  <si>
    <t xml:space="preserve">  Бусад зардал</t>
  </si>
  <si>
    <t>13</t>
  </si>
  <si>
    <t xml:space="preserve">  Гадаад валютын ханшийн зөрүүний олз ( гарз )</t>
  </si>
  <si>
    <t>14</t>
  </si>
  <si>
    <t xml:space="preserve">  Үндсэн хөрөнгө данснаас хассаны олз ( гарз )</t>
  </si>
  <si>
    <t>15</t>
  </si>
  <si>
    <t xml:space="preserve">  Биет бус хөрөнгө данснаас хассаны олз ( гарз )</t>
  </si>
  <si>
    <t>16</t>
  </si>
  <si>
    <t xml:space="preserve">  Хөрөнгө орлуулалт борлуулсанаас үүссэн олз ( гарз )</t>
  </si>
  <si>
    <t>17</t>
  </si>
  <si>
    <t xml:space="preserve">  Бусад ашиг ( алдагдал )</t>
  </si>
  <si>
    <t>18</t>
  </si>
  <si>
    <t xml:space="preserve">  Татвар төлөхийн өмнөх ашиг ( алдагдал )</t>
  </si>
  <si>
    <t>19</t>
  </si>
  <si>
    <t xml:space="preserve">  Орлогын татварын зардал</t>
  </si>
  <si>
    <t>20</t>
  </si>
  <si>
    <t xml:space="preserve">  Татварын дараах ашиг ( алдагдал )</t>
  </si>
  <si>
    <t>21</t>
  </si>
  <si>
    <t xml:space="preserve">  Зогсоосон үйл ажиллагааны татварын дараах ашиг ( алдагдал )</t>
  </si>
  <si>
    <t>22</t>
  </si>
  <si>
    <t xml:space="preserve">  Тайлант үеийн цэвэр ашиг ( алдагдал )</t>
  </si>
  <si>
    <t>23</t>
  </si>
  <si>
    <t xml:space="preserve">  Бусад дэлгэрэнгүй орлого</t>
  </si>
  <si>
    <t>23.1</t>
  </si>
  <si>
    <t xml:space="preserve">  Хөрөнгийн дахин үнэлгээний нэмэгдэлийн зөрүү</t>
  </si>
  <si>
    <t>23.2</t>
  </si>
  <si>
    <t xml:space="preserve">  Гадаад валютын хөрвүүлэлтийн зөрүү</t>
  </si>
  <si>
    <t>23.3</t>
  </si>
  <si>
    <t xml:space="preserve">  Бусад олз ( гарз )</t>
  </si>
  <si>
    <t>24</t>
  </si>
  <si>
    <t xml:space="preserve">  Орлогын нийт дүн</t>
  </si>
  <si>
    <t>25</t>
  </si>
  <si>
    <t xml:space="preserve">  Нэгж хувьцаанд ноогдох суурь ашиг ( алдагдал )</t>
  </si>
  <si>
    <t xml:space="preserve">Өссөн дүн </t>
  </si>
  <si>
    <t>ОРЛОГЫН ДЭЛГЭРЭНГҮЙ ТАЙЛАН</t>
  </si>
  <si>
    <t>Касс мөнгө USD</t>
  </si>
  <si>
    <t>Мөнгөн хөрөнгийн клиринг</t>
  </si>
  <si>
    <t xml:space="preserve">Дансны авлага MNT </t>
  </si>
  <si>
    <t>Дансны авлага USD</t>
  </si>
  <si>
    <t>Компани хоорондын авлага MNT</t>
  </si>
  <si>
    <t>Компани хоорондын авлага USD</t>
  </si>
  <si>
    <t>Компани хоорондын авлага - Зээлийн хүүгийн авлага MNT</t>
  </si>
  <si>
    <t>Бусад авлага USD</t>
  </si>
  <si>
    <t xml:space="preserve">Ажилчидын дараа тайлангийн тооцоо </t>
  </si>
  <si>
    <t>Борлуулалтын авлагын түр тооцоо MNT</t>
  </si>
  <si>
    <t>Борлуулалтын авлагын түр тооцооUSD</t>
  </si>
  <si>
    <t xml:space="preserve">Барилгын материал </t>
  </si>
  <si>
    <t xml:space="preserve">Сэлбэг хэрэгсэл </t>
  </si>
  <si>
    <t>Урьдчилж төлсөн тооцоо USD</t>
  </si>
  <si>
    <t>Урьдчилж төлсөн зардал USD</t>
  </si>
  <si>
    <t xml:space="preserve">Төмөр зам </t>
  </si>
  <si>
    <t>Дансны өглөг USD</t>
  </si>
  <si>
    <t xml:space="preserve">Компани хоорондын өглөг - Шинэст Констракшн ХХК </t>
  </si>
  <si>
    <t>Банкны богино хугацаат зээл USD</t>
  </si>
  <si>
    <t>Хувь хүнд өгөх өглөг USD</t>
  </si>
  <si>
    <t>Урьдчилж орсон орлого USD</t>
  </si>
  <si>
    <t>Урт хугацаат зээл USD</t>
  </si>
  <si>
    <t>Хувийн өмч</t>
  </si>
  <si>
    <t>Борлуулсан барааны өртөг - Бусад</t>
  </si>
  <si>
    <t>Захиргааны зардал</t>
  </si>
  <si>
    <t>Мэргэжлийн байгууллагаар гүйцэтгүүслэн ажил үйлчилгээ</t>
  </si>
  <si>
    <t>Эрэл хайгуулын зардал, БОНС зардал</t>
  </si>
  <si>
    <t xml:space="preserve">Урьдчилж төлсөн зардал MNT </t>
  </si>
  <si>
    <t xml:space="preserve">Дуусаагүй барилга-1 </t>
  </si>
  <si>
    <t>Хур. элэгдэл - Барилга байгууламж</t>
  </si>
  <si>
    <t>Хур. элэгдэл - Тавилга эд хогшил</t>
  </si>
  <si>
    <t>Хур. элэгдэл - Машин тоног төхөөрөмж</t>
  </si>
  <si>
    <t>Хур. элэгдэл - Тээврийн хэрэгсэл</t>
  </si>
  <si>
    <t>Хур. элэгдэл - Бусад үндсэн хөрөнгө</t>
  </si>
  <si>
    <t>Хур. элэгдэл - Багаж хэрэгсэл</t>
  </si>
  <si>
    <t>Хур. элэгдэл - Комъпютер, дагалдах хэрэгсэл</t>
  </si>
  <si>
    <t xml:space="preserve">Хөрөнгийн нэр </t>
  </si>
  <si>
    <t>огноо</t>
  </si>
  <si>
    <t>тоо</t>
  </si>
  <si>
    <t xml:space="preserve">өртөг </t>
  </si>
  <si>
    <t>Эхний үлд</t>
  </si>
  <si>
    <t xml:space="preserve">Орлого </t>
  </si>
  <si>
    <t>Эцсийн үлд</t>
  </si>
  <si>
    <t xml:space="preserve">Элэгдэл </t>
  </si>
  <si>
    <t xml:space="preserve">Хур.Элэгдэл-С1 </t>
  </si>
  <si>
    <t xml:space="preserve">Хур.Элэгдэл-С2 </t>
  </si>
  <si>
    <t>Дансны үнэ</t>
  </si>
  <si>
    <t>Хас.Элэгдэл</t>
  </si>
  <si>
    <t>Жил</t>
  </si>
  <si>
    <t xml:space="preserve">Газар эзэмших эрх </t>
  </si>
  <si>
    <t>Зээлийн хүүгийн өглөг MNT</t>
  </si>
  <si>
    <t>Зээлийн хүүгийн өглөг USD</t>
  </si>
  <si>
    <t>ш</t>
  </si>
  <si>
    <t xml:space="preserve">Балансын дүн </t>
  </si>
  <si>
    <t xml:space="preserve">Маягт ТТ- 02        </t>
  </si>
  <si>
    <t>Татварын Ерөнхий Газрын даргын 2012 оны 05 сарын</t>
  </si>
  <si>
    <t xml:space="preserve"> 10-ны өдрийн 492 дугаар тушаалын 2 дүгээр хавсралт</t>
  </si>
  <si>
    <t xml:space="preserve"> Үндэсний татварын алба</t>
  </si>
  <si>
    <t xml:space="preserve">Аж ахуйн нэгжийн орлогын албан татварын тайлан </t>
  </si>
  <si>
    <t xml:space="preserve">5. Татвар төлөгчийн одоогийн хаяг :          </t>
  </si>
  <si>
    <t xml:space="preserve"> </t>
  </si>
  <si>
    <t>8. Салбар компанийн тоо |__|__|__|,  нэрс ________________</t>
  </si>
  <si>
    <t>9. Гадаадын хөрөнгө оруулалтын эзлэх хувь |__|__|, хэмжээ _____________________</t>
  </si>
  <si>
    <t xml:space="preserve">А. Нийтлэг хувь хэмжээгээр ногдуулах татварын тооцоолол:  </t>
  </si>
  <si>
    <t xml:space="preserve">       </t>
  </si>
  <si>
    <t xml:space="preserve">   (төгрөгөөр)        </t>
  </si>
  <si>
    <t>Үзүүлэлтүүд</t>
  </si>
  <si>
    <t>Мөр</t>
  </si>
  <si>
    <t>Татвар төлөгчийн тодорхойл-сон</t>
  </si>
  <si>
    <t>Татварын алба хүлээн авсан</t>
  </si>
  <si>
    <t>1. Нийт борлуулалтын орлогын дүн (мөр 2+3+4+5+6)</t>
  </si>
  <si>
    <t>үүнээс:</t>
  </si>
  <si>
    <t>1.1. Татвараас чөлөөлөгдөх орлогын дүн (ТТ-02б маягтын А хэсгийн дүн)</t>
  </si>
  <si>
    <t>1.2. Тусгай хувь хэмжээгээр татвар ногдох орлогын дүн (Хүснэгт Б, мөр 32+34+39+41+43)</t>
  </si>
  <si>
    <t>1.3. Хуулийн дагуу бусдад татвар суутгуулсан орлогын дүн (Хүснэгт В, мөр 46+48+50+52)</t>
  </si>
  <si>
    <t>1.4. Бусад орлогын дүн</t>
  </si>
  <si>
    <t>1.5. Нийтлэг хувь хэмжээгээр татвар ногдох орлогын дүн (мөр 7+8+...+21)</t>
  </si>
  <si>
    <t xml:space="preserve">Үндсэн үйлдвэрлэл, ажил үйлчилгээний борлуулалтын орлого </t>
  </si>
  <si>
    <t>Туслах үйлдвэрлэл, ажил үйлчилгээний борлуулалтын орлого</t>
  </si>
  <si>
    <t>Хувьцаа, үнэт цаас борлуулсны орлого</t>
  </si>
  <si>
    <t>Үнэ төлбөргүйгээр бусдаас авсан бараа, ажил, үйлчилгээ</t>
  </si>
  <si>
    <t>Техникийн, удирдлагын зөвлөх болон бусад үйлчилгээний орлого</t>
  </si>
  <si>
    <t>Гэрээгээр хүлээсэн үүргээ биелүүлээгүй этгээдээс авсан хүү, анз /торгууль, алданги/, хохирлын нөхөн төлбөрийн орлого</t>
  </si>
  <si>
    <t>Гадаад валютын ханшны зөрүүгийн бодит орлого</t>
  </si>
  <si>
    <t>Хөдлөх болон үл хөдлөх эд хөрөнгийн түрээсийн орлого</t>
  </si>
  <si>
    <t>Хөдлөх эд хөрөнгө борлуулсны орлого</t>
  </si>
  <si>
    <t>Албан татвар ногдох бусад орлого</t>
  </si>
  <si>
    <t>2. Борлуулсан бүтээгдэхүүний өртөг</t>
  </si>
  <si>
    <t xml:space="preserve">3. Удирдлагын болон борлуулалтын үйл ажиллагааны зардал </t>
  </si>
  <si>
    <t>4. Үндсэн бус үйл ажиллагааны зардал</t>
  </si>
  <si>
    <t>5. Татварын өмнөх ашиг +, алдагдал-   (мөр 1-18-19-20)</t>
  </si>
  <si>
    <t>6. Хуульд заасан татвар ногдох орлогоос хасагдахгүй зардлын дүн буюу “Санхүүгийн болон орлогын албан татварын тайлангийн үзүүлэлт хоорондын зөрүүг зохицуулах тайлан”-гийн А1, В3 мөрийн нийлбэр дүн /татварын өмнөх ашгийг нэмэгдүүлэх дүн/</t>
  </si>
  <si>
    <t>7. “Санхүүгийн болон орлогын албан татварын тайлангийн үзүүлэлт хоорондын зөрүүг зохицуулах тайлан”-гийн А2, В4 мөрийн дүн буюу татвар ногдуулах орлогыг бууруулах дүн</t>
  </si>
  <si>
    <t>8. Татвар ногдуулах орлогын дүн (мөр 21+22-23)</t>
  </si>
  <si>
    <t>9. Сайн дурын даатгалын хураамжийн хэтрэлт (“Санхүүгийн болон орлогын албан татварын тайлангийн үзүүлэлт хоорондын зөрүүг зохицуулах тайлан”-гийн 5.1 дэх мөрийн дүн)</t>
  </si>
  <si>
    <t>10. Зохицуулагдсан татвар ногдуулах орлогын дүн (мөр 24+25)</t>
  </si>
  <si>
    <t>11. Өмнөх жилүүдийн татварын тайлангаар гарсан татварын албаар баталгаажуулсан алдагдлаас тайлант хугацаанд шилжүүлсэн дүн (ТТ-02в маягтын А хэсгийн 3-р дахь хэсгийн дүн)</t>
  </si>
  <si>
    <t>12. Нийтлэг хувь хэмжээгээр татвар ногдуулах орлогын дүн (мөр 26-27)</t>
  </si>
  <si>
    <t>13. Ногдуулсан татвар (мөр 28* хуулийн 17.1-д заасан хувиар)</t>
  </si>
  <si>
    <t>14. Хөнгөлөгдөх татварын дүн  (ТТ-02б маягтын Б хэсгийн дүн)</t>
  </si>
  <si>
    <t>15. НИЙТЛЭГ ХУВЬ ХЭМЖЭЭГЭЭР ТӨЛБӨЛ ЗОХИХ АЛБАН ТАТВАР (мөр 29-30)</t>
  </si>
  <si>
    <t>Б. Тусгай хувь хэмжээгээр ногдуулах татварын тооцоолол:</t>
  </si>
  <si>
    <t>16. Эротик хэвлэл, ном зохиол, дүрс бичлэг худалдсан буюу төлбөртэй ашиглуулсан, эротик тоглолт явуулсан үйлчилгээний орлого</t>
  </si>
  <si>
    <t>Эротик хэвлэл, ном зохиол, дүрс бичлэг худалдсан буюу төлбөртэй ашиглуулсан, эротик тоглолт явуулсан үйлчилгээний орлогод ногдуулсан татвар (32х40%)</t>
  </si>
  <si>
    <t>17.Төлбөрт таавар, бооцоот тоглоом, эд мөнгөний хонжворт сугалааны орлого</t>
  </si>
  <si>
    <t>Баримтаар нотлогдох зардал</t>
  </si>
  <si>
    <t>Хонжворт олгосон мөнгө болон барааны үнэ</t>
  </si>
  <si>
    <t>Татвар ногдуулах орлого (мөр 34-35-36)</t>
  </si>
  <si>
    <t>Ногдуулсан татвар (37x40%)</t>
  </si>
  <si>
    <t>18.Хүүгийн орлого</t>
  </si>
  <si>
    <t>Хүүгийн орлогод ногдуулсан татвар (39 x 10%)</t>
  </si>
  <si>
    <t>19. Давхар татварын гэрээтэй гадаад улсад олсон тухайн гэрээнд заасны дагуу Монгол Улсад татвар ногдуулах ногдол ашиг, хүүгийн орлого</t>
  </si>
  <si>
    <t>Давхар татварын гэрээний заалтын дагуу Монгол Улсад татвар төлөх ногдол ашиг, хүүгийн орлогод ногдох татвар (мөр 41 x гэрээнд заасан хувиар)</t>
  </si>
  <si>
    <t>20. Гадаад улсад олсон ААНОАТ-ын хуульд заасан тусгайлсан хувь хэмжээгээр албан татвар ногдуулах орлого /суутгагч нь оршин суугч бус этгээд бол/</t>
  </si>
  <si>
    <t xml:space="preserve"> Гадаад улсад олсон ААНОАТ-ын хуульд заасан тусгайлсан хувь хэмжээгээр албан татвар ногдуулах орлогод суутгасан татвар (мөр 43 x хуульд  заасан хувиар)</t>
  </si>
  <si>
    <t xml:space="preserve">21. ТУСГАЙ ХУВЬ ХЭМЖЭЭГЭЭР ТӨЛБӨЛ ЗОХИХ АЛБАН ТАТВАРЫН ДҮН 
                                                  (мөр 33+38+40+42+44) </t>
  </si>
  <si>
    <t>В. Хуулийн дагуу бусдад суутгуулсан татварын тооцоолол:</t>
  </si>
  <si>
    <t>22. Ногдол ашгийн орлого</t>
  </si>
  <si>
    <t>Ногдол ашгийн орлогод суутгуулсан татвар (мөр 46*10 хувь)</t>
  </si>
  <si>
    <t>23. Эрхийн шимтгэлийн орлого</t>
  </si>
  <si>
    <t>Эрхийн шимтгэлийн орлогод суутгуулсан татвар (мөр 48*10 хувь)</t>
  </si>
  <si>
    <t>24. Эрх борлуулсны орлого</t>
  </si>
  <si>
    <t>Эрх борлуулсны орлогод суутгуулсан татвар (мөр 50*10 хувь)</t>
  </si>
  <si>
    <t>25. Үл хөдлөх эд хөрөнгө борлуулсны орлого</t>
  </si>
  <si>
    <t>Үл хөдлөх эд хөрөнгө борлуулсны орлогод ногдуулсан татвар (мөр 52х2% )</t>
  </si>
  <si>
    <t xml:space="preserve">26. ХУУЛИЙН ДАГУУ БУСДАД СУУТГУУЛСАН АЛБАН ТАТВАРЫН ДҮН 
                                                  (мөр 47+49+51+53) </t>
  </si>
  <si>
    <t>23. НИЙТ ТӨЛБӨЛ ЗОХИХ ТАТВАРЫН ДҮН (Хүснгэт А, мөр 31+ХүснэгтБ, мөр 45+ Маягт ТТ-13, мөр24 )</t>
  </si>
  <si>
    <t xml:space="preserve">Г.Татварын тооцоолол:              </t>
  </si>
  <si>
    <t xml:space="preserve">Дебет  </t>
  </si>
  <si>
    <t>Илүү</t>
  </si>
  <si>
    <t>Дутуу</t>
  </si>
  <si>
    <t>Тайлант хугацаанд хогдуулсан татвар (мөр 55)</t>
  </si>
  <si>
    <t>Тайлант хугацаанд дансаар төлсөн</t>
  </si>
  <si>
    <t>Гүйцэтгэл</t>
  </si>
  <si>
    <t>Өөрчлөлт /+,-/</t>
  </si>
  <si>
    <t>Татварын алба болон татвар төлөгч хоорондын тооцоогоор төлсөн</t>
  </si>
  <si>
    <t>Бусад татварын илүү төлөлтөөс суутган тооцсон</t>
  </si>
  <si>
    <t>Буцаан олгосон болон хүчингүй болгосон татвар</t>
  </si>
  <si>
    <t>Илүү төлөлтөөс бусад татварын өрөнд суутган тооцсон</t>
  </si>
  <si>
    <t xml:space="preserve">Тайланг үнэн зөв гаргасан:                                           </t>
  </si>
  <si>
    <t>Тайланг хүлээн авсан:</t>
  </si>
  <si>
    <t xml:space="preserve">Татварын улсын байцаагч:  . . . . . . . . . . . . </t>
  </si>
  <si>
    <t>20   оны     сарын       өдөр</t>
  </si>
  <si>
    <t>Татвар төлөгчийн тодорхойлсон</t>
  </si>
  <si>
    <t>Албан татвар ногдох орлогоос хасагдах нийт зардлын дүн /мөр 2+…+44/</t>
  </si>
  <si>
    <t>ҮҮНЭЭС:</t>
  </si>
  <si>
    <t>Түүхий эд, үндсэн болон туслах материал, хагас боловсруулсан бүтээгдэхүүн, уур, ус, эрчим хүч, түлш, шатахуун, сэлбэг хэрэгсэл, сав, баглаа боодлын зэрэг бүх төрлийн материалын зардал;</t>
  </si>
  <si>
    <t>Цалин, хөдөлмөрийн хөлс, нэмэгдэл хөлс /нийгмийн болон ЭМД-ын шимтгэл, хувь хүний орлогын албан татвар ногдуулж төлсөн/</t>
  </si>
  <si>
    <t xml:space="preserve">Эрүүл мэнд, нийгмийн даатгалын шимтгэл </t>
  </si>
  <si>
    <t>Ажиллагчдад олгосон шагнал урамшуулал, байр, орон сууцны хөлсний болон унаа, хоол, түлшний үнийн хөнгөлөлт</t>
  </si>
  <si>
    <t>Үндсэн хөрөнгийн элэгдэл, хорогдлын шимтгэл</t>
  </si>
  <si>
    <t>Урсгал засварын зардал (үл хөдлөх эд хөрөнгийн хувьд үлдэгдэл өртгийн 2 хувь, бусад хөрөнгийн хувьд үлдэгдэл өртгийн 5 хувиас хэтрээгүй дүн )</t>
  </si>
  <si>
    <t xml:space="preserve">Үндсэн болон туслах үйлдвэрлэл, ажил үйлчилгээг явуулах, хөрөнгө худалдан авах зорилгоор авсан зээлийн хүүгийн зардал </t>
  </si>
  <si>
    <t>Гадаад валютын ханшийн зөрүүгийн бодит алдагдал</t>
  </si>
  <si>
    <t>Бусдаар гүйцэтгүүлсэн ажил, үйлчилгээний хөлс</t>
  </si>
  <si>
    <t>Түрээсийн төлбөр</t>
  </si>
  <si>
    <t>Санхүүгийн түрээсийн төлбөрийн хүү</t>
  </si>
  <si>
    <t>Мэргэжлийн сонин, сэтгүүлийн захиалга</t>
  </si>
  <si>
    <t xml:space="preserve">Заавал даатгуулах даатгалын хураамж </t>
  </si>
  <si>
    <t>Сайн дурын даатгалын хураамж /татвар ногдуулах орлогын 15 хувиас хэтрээгүй дүн/</t>
  </si>
  <si>
    <t xml:space="preserve">Хадгаламж зээлийн үйл ажиллагаа эрхэлдэг хоршооны зээлийн эрсдэлийн санд, бусад үйл ажиллагаа эрхэлдэг хоршооны болзошгүй алдагдлын нөөц санд төвлөрүүлсэн хөрөнгө /хэвийн зээлийн үлдэгдэлд нөөц байгуулж, санд төвлөрүүлсэн хөрөнгө орохгүй/   </t>
  </si>
  <si>
    <t>Банк, банк бус санхүүгийн байгууллагын зээл төлөгдөхөд учирч болзошгүй алдагдлаас хамгаалах санд төвлөрүүлсэн хөрөнгө / хэвийн зээлийн үлдэгдэлд нөөц байгуулж, санд төвлөрүүлсэн хөрөнгө орохгүй /</t>
  </si>
  <si>
    <t>Мэргэжлийн сургалт үйлдвэрлэлийн төвийн сурагчдын үйлдвэрлэл дээрхи дадлага хийхтэй холбогдон гарсан зардал</t>
  </si>
  <si>
    <t>Албан томилолтын зардал /төрийн албан хаагчийн албан томилолтын зардлыг 2 дахин нэмэгдүүлснээс хэтрээгүй дүн/</t>
  </si>
  <si>
    <t>Үр бордоо, мал амьтны тэжээл, эм тарилга, ургамал хамгааллын арга хэмжээнд зарцуулсан зардал</t>
  </si>
  <si>
    <t>Бага үнэтэй түргэн элэгдэх зүйлийн зардал</t>
  </si>
  <si>
    <t>Хөдөлмөр хамгааллын зардал</t>
  </si>
  <si>
    <t>Холбоо, бичиг хэрэг, цэвэрлэгээ, харуул хамгаалалтын зардал</t>
  </si>
  <si>
    <t>Гамшгийн улмаас учирсан хохирлыг арилгахад гарсан зардал</t>
  </si>
  <si>
    <t>Бараа материалын хэвийн хорогдол /Засгийн газрын тогтоолоор батлагдсан хэмжээнээс хэтрээгүй дүн , Засгийн газрын тогтоолоор хэмжээг нь батлаагүй бүтээгдэхүүн, бараа, материалд тооцсон хэвийн хорогдлын дүнг оруулахгүй/</t>
  </si>
  <si>
    <t>Ашигт малтмалын тухай хуулийн 38.1.8, 39.1.9-т заасны дагуу байгаль орчныг нөхөн сэргээх зорилгоор төвлөрүүлсэн мөнгөн хөрөнгө</t>
  </si>
  <si>
    <t>Мэргэжлийн сургалт-үйлдвэрлэлийн төвийн  сургалтын орчныг бүрдүүлэх, дадлагын газрыг тоног төхөөрөмжөөр хангах, дадлагын байрыг засварласан зардал</t>
  </si>
  <si>
    <t>Мэргэжлийн сургалт-үйлдвэрлэлийн төвийн багш нарыг дадлагажуулсан зардал</t>
  </si>
  <si>
    <t xml:space="preserve">Өөрийн захиалгаар мэргэжилтэн бэлтгүүлэх зорилгоор мэргэжлийн боловсрол, сургалтын байгууллагад үзүүлсэн санхүүгийн дэмжлэг </t>
  </si>
  <si>
    <t xml:space="preserve">Мэргэжлийн боловсрол, сургалтыг дэмжих санд оруулсан хандив, хөрөнгө </t>
  </si>
  <si>
    <t>Хувьцаа худалдаж авсан үнэ, эсхүл тухайн хувьцаанд ногдох эзэмшигчийн өмчийн хэсэг</t>
  </si>
  <si>
    <t>Үйлдвэрлэл, технологийн паркийн эрчим хүч үйлдвэрлэх, дамжуулах шугам сүлжээ, цэвэр усан хангамж, бохир усны шугам, цэвэрлэх байгууламж, авто зам, төмөр зам, харилцаа холбооны дэд бүтэц бий болгоход оруулсан хөрөнгө</t>
  </si>
  <si>
    <t>Тусгай зориулалтын компани болон орон сууцны санхүүжилтийн компаниас хөрөнгөөр баталгаажсан үнэт цаас эзэмшигчид шилжүүлсэн үнэт цаасны төлбөр болон хүүгийн төлбөр.</t>
  </si>
  <si>
    <t>Нийслэлийн агаарын бохирдлыг бууруулах зорилгоор өгсөн хандив</t>
  </si>
  <si>
    <t>Хөгжлийн бэрхшээлтэй иргэдээс үүсгэн байгуулсан төрийн бус байгууллагыг дэмжих зорилгоор хандивласан 1 сая хүртэлх төгрөгийн хандив</t>
  </si>
  <si>
    <t>Төсөвт төлөхөөр тайлагнасан онцгой албан татвар</t>
  </si>
  <si>
    <t>Төсөвт төлөхөөр тайлагнасан үл хөдлөх эд хөрөнгийн албан татвар</t>
  </si>
  <si>
    <t>Төсөвт төлөхөөр тайлагнасан АТБӨЯХ-ийн албан татвар</t>
  </si>
  <si>
    <t xml:space="preserve">Төсөвт төлөхөөр тайлагнасан газрын төлбөр </t>
  </si>
  <si>
    <t>Төсөвт төлөхөөр тайлагнасан ашигт малтмалын нөөц ашигласны төлбөр</t>
  </si>
  <si>
    <t>Төсөвт төлөхөөр тайлагнасан ашигт малтмалаас бусад байгалийн баялаг ашигласны төлбөр, хураамж</t>
  </si>
  <si>
    <t>Тодруулгыг үнэн зөв тайлагнасан:                                                    Тодруулгыг хүлээн авсан:</t>
  </si>
  <si>
    <t>20   оны   сарын   өдөр</t>
  </si>
  <si>
    <t>өдрийн 02 тоот тушаалын 3 дóгààр хавсралт</t>
  </si>
  <si>
    <t xml:space="preserve">       ҮНДЭСНИЙ ТАТВАРЫН АЛБА   маягт ТТ-11</t>
  </si>
  <si>
    <t xml:space="preserve">Öàëèí, õºäºëìºðèéí õºëñ, òýäãýýðòýé àäèëòãàõ </t>
  </si>
  <si>
    <t xml:space="preserve">îðëîãî áîëîí øóóä áóñ îðëîãîîñ ñóóòãàñàí àëáàí òàòâàðûí òàéëàí </t>
  </si>
  <si>
    <t>Зєвхєн татварын албан ажлын хэрэгцээнд</t>
  </si>
  <si>
    <t>БТД: /_/_/_/_/_/_/_/_/_/_/_/_/_/_/</t>
  </si>
  <si>
    <t>Татварын байцаагч:/_/_/_/_/_/_/</t>
  </si>
  <si>
    <t>(Тайлангийн їзїїлэлтїїдийг оны эхнээс єссєн дїнгээр бєглєíº)</t>
  </si>
  <si>
    <t xml:space="preserve">Хүлээн авсан огноо </t>
  </si>
  <si>
    <t>_ _ _ _ _ _ _ _ _ _ _ _ _ _ _ _ _</t>
  </si>
  <si>
    <t xml:space="preserve">      I.ØÓÓÄ ÎÐËÎÃÎ                                                                                                                                                          </t>
  </si>
  <si>
    <t>¯ç¿¿ëýëò</t>
  </si>
  <si>
    <t>Ìºð</t>
  </si>
  <si>
    <t>Òàòâàð òºëºã÷èéí òîî</t>
  </si>
  <si>
    <t>Ä¿í</t>
  </si>
  <si>
    <t>I</t>
  </si>
  <si>
    <t>II</t>
  </si>
  <si>
    <t>III</t>
  </si>
  <si>
    <t>IV</t>
  </si>
  <si>
    <t>1.Öàëèí, õºäºëìºðèéí õºëñ, øàãíàë, óðàìøóóëàë áîëîí òýäãýýðòýé àäèëòãàõ õºäºëìºð ýðõëýëòèéí îðëîãî    (2+3)</t>
  </si>
  <si>
    <t>1.2 ¯íäñýí àæëûí ãàçðààñ áóñàä õóóëèéí ýòãýýä áîëîí õóâü õ¿íòýé áàéãóóëñàí ãýðýýíèé ¿íäñýí äýýð àæèë, ¿¿ðýã ã¿éöýòãýæ àâñàí õºäºëìºðèéí õºëñ, øàãíàë, óðàìøóóëàë, òýäãýýðòýé àäèëòãàõ îðëîãî (мян.тєг)</t>
  </si>
  <si>
    <t>2. Эрїїл мэндийн болон нийгмийн даатгалын шимтгэлийн дїн</t>
  </si>
  <si>
    <t>3. Татвар ногдуулах орлогын дїн    (1-4)</t>
  </si>
  <si>
    <t>4. Íîãäóóëñàí òàòâàð  (5*10 õóâü)</t>
  </si>
  <si>
    <t>5. Àæèë îëãîã÷îîñ àæèëòàí, ò¿¿íèé ãýð á¿ëèéí ãèø¿¿íä îëãîñîí òýòãýìæ áîëîí ò¿¿íòýé àäèëòãàõ áóñàä îðëîãîä íîãäóóëñàí òàòâàð  (8*10 õóâü)</t>
  </si>
  <si>
    <t>5.1 Àæèë îëãîã÷îîñ àæèëòàí, ò¿¿íèé ãýð á¿ëèéí ãèø¿¿íä îëãîñîí òýòãýìæ áîëîí ò¿¿íòýé àäèëòãàõ áóñàä îðëîãî</t>
  </si>
  <si>
    <t>6. Àæèë îëãîã÷îîñ àæèëòàí, ò¿¿íèé ãýð á¿ëèéí ãèø¿¿íä ºãñºí áýëãýíä íîãäóóëñàí òàòâàð      (10*10 õóâü)</t>
  </si>
  <si>
    <t>6.1Àæèë îëãîã÷îîñ àæèëòàí, ò¿¿íèé ãýð á¿ëèéí ãèø¿¿íä ºãñºí áýëýã</t>
  </si>
  <si>
    <t>7.1 Òºëººëºí óäèðäàõ çºâëºë, õÿíàëòûí çºâëºë, îðîí òîîíû áóñ çºâëºë áîëîí áóñàä çºâëºë, õîðîî, àæëûí õýñãèéí ãèø¿¿íèé öàëèí õºëñ, øàãíàë, óðàìøóóëàë, òýäãýýðòýé àäèëòãàõ îðëîãî</t>
  </si>
  <si>
    <t>8. Ãàäààä, äîòîîäûí àæ àõóéí íýãæ, áàéãóóëëàãà, èðãýí áîëîí áóñàä ýòãýýäýýñ ºãñºí á¿õ òºðëèéí øàãíàë, óðàìøóóëàëä íîãäóóëñàí òàòâàð   (14*10 õóâü)</t>
  </si>
  <si>
    <t>8.1 Ãàäààä, äîòîîäûí àæ àõóéí íýãæ, áàéãóóëëàãà, èðãýí áîëîí áóñàä ýòãýýäýýñ ºãñºí á¿õ òºðëèéí øàãíàë, óðàìøóóëàë</t>
  </si>
  <si>
    <t>10. Õºíãºëºãäºõ  òàòâàðûí ä¿í</t>
  </si>
  <si>
    <t xml:space="preserve"> à/ õóóëèéí 24.1-ä çààñàí òàòâàðûí õºíãºëºëò ¿ç¿¿ëñíèé äàðàà òàòâàð íîãäîõ  èðãýäèéí òîî, õºíãºëºãäñºí òàòâàðûí ä¿í</t>
  </si>
  <si>
    <t>á/ õóóëèéí 24.1-ä çààñàí òàòâàðûí õºíãºëºëò ¿ç¿¿ëñíèé äàðàà òàòâàð íîãäîõã¿é èðãýäèéí òîî, õºíãºëºãäñºí òàòâàðûí ä¿í</t>
  </si>
  <si>
    <t>11. Ñóóòãàâàë çîõèõ òàòâàðûí ä¿í</t>
  </si>
  <si>
    <t>II.ØÓÓÄ ÁÓÑ ÎÐËÎÃÎ</t>
  </si>
  <si>
    <t>12. Øóóä áóñ îðëîãûí íèéò ä¿í (20)</t>
  </si>
  <si>
    <t>12.1.1 ¯íý òºëáºðã¿é, ýñõ¿ë õºíãºëºëòòýé ¿íýýð òýýâðèéí õýðýãñëýýð ¿éë÷ëýõ, ò¿¿í÷ëýí óíààíû ìºíãèéã áýëíýýð îëãîõ</t>
  </si>
  <si>
    <t>12.1.2 îðîí ñóóöíû àøèãëàëòûí çàðäëûí òºëáºð, áàéðíû õºëñ, ò¿ëøíèé ìºíãèéã áýëíýýð îëãîõ</t>
  </si>
  <si>
    <t>12.1.3 õîîëíû ìºíãèéã áýëíýýð îëãîõ, ¿çâýð ¿éë÷èëãýýíèé îëãîâîð</t>
  </si>
  <si>
    <t>12.1.4. àõóéí ¿éë÷ëýã÷, æîëîî÷, öýöýðëýã÷èéí áîëîí áóñàä ¿éë÷èëãýý ¿ç¿¿ëýõ</t>
  </si>
  <si>
    <t>12.1.5 àæèë îëãîã÷èä, ýñõ¿ë áóñàä ýòãýýäýä òºëºõ ºð áàðàãäóóëñíû òºëáºð</t>
  </si>
  <si>
    <t>12.1.6 àðèëæààíû çýýëèéí õ¿¿ãýýñ äîîãóóð õ¿¿òýé îëãîñîí õ¿¿ãèéí çºð¿¿</t>
  </si>
  <si>
    <t>12.1.7 àäèëòãàõ áóñàä îðëîãî</t>
  </si>
  <si>
    <t xml:space="preserve">12.2.1 Òóõàéí àæëûí áàéðàíä àæëûí öàãààð àæèëëóóëäàã öàéíû ãàçàð, êàôå, àìðàëòûí ºðººíä á¿õ àæèëòíûã àäèë íºõöºëººð õîîëîîð õàíãàñàí    </t>
  </si>
  <si>
    <t>12.2.2 Ñóóðèí ãàçðààñ àëñëàãäñàí àæëûí áàéðàíä àæèëëàäàã àæèëëàãñäûã àìðàõ áàéð, áóñàä ¿éë÷èëãýýãýýð õàíãàõ, òóõàéí àæëûí áàéðàíä èðýõ, áóöàõàä íýãäñýí æóðìààð óíààãààð ¿éë÷ëýõ</t>
  </si>
  <si>
    <t xml:space="preserve">12.2.3 Îðîí ñóóö õóäàëäàí àâàõ áàðèõàä çîðèóëæ àæèëòàíä àðèëæààíû çýýëèéí õ¿¿ãýýñ äîîãóóð õ¿¿òýé îëãîñîí çýýëèéí õ¿¿ãèéí çºð¿¿    </t>
  </si>
  <si>
    <t xml:space="preserve">12.2.4 Ýì÷èëãýýíèé çàðäàë </t>
  </si>
  <si>
    <t>13. Øóóä áóñ îðëîãîä íîãäóóëñàí òàòâàð  (20*10 õóâü)</t>
  </si>
  <si>
    <t>14. Ñóóòãàâàë çîõèõ íèéò òàòâàðûí ä¿í   (18+33)</t>
  </si>
  <si>
    <t>15. Шинээр орон сууц барьсан, худалдан авсан ажиллагсдын татварын илүү төлөлтийг ажил олгогчоос буцаан олгосон орлогын дүн</t>
  </si>
  <si>
    <t>16. Сургалтын төлбөр төлсөн ажиллагсдын татварын илүү төлөлтийг ажил олгогчоос буцаан олгосон орлогын дүн</t>
  </si>
  <si>
    <t>17. Илүү төлөлтийн буцаан олголтыг суутгасны дараахь төлбөл зохих татварын дүн</t>
  </si>
  <si>
    <t>III.ТАТВАР ТООЦООЛОЛ</t>
  </si>
  <si>
    <t>Äò</t>
  </si>
  <si>
    <t>Êò</t>
  </si>
  <si>
    <t>Óðüä òàéëàíãèéí ýöñèéí èë¿¿ /Êò/, äóòóó /Äò/</t>
  </si>
  <si>
    <t>Òàéëàíò õóãöààíû òºëáºë çîõèõ òàòâàðûí ä¿í /Äò/</t>
  </si>
  <si>
    <t>Ñóóòãàí òîîöîæ òºñºâò øèëæ¿¿ëñýí òàòâàðûí ä¿í /Êò/</t>
  </si>
  <si>
    <t>Òàéëàíãèéí ýöñèéí èë¿¿ /Êò/, äóòóó /Äò/</t>
  </si>
  <si>
    <t>Тодруулгыг үнэн зөв тайлагнасан:                                                        Тодруулгыг хүлээн авсан:</t>
  </si>
  <si>
    <t>Дарга  /Захирал/:   ...............................                                                    Татварын улсын байцаагч...............................</t>
  </si>
  <si>
    <t xml:space="preserve">Ерөнхий нягтлан бодогч: . . . . . . . . . . . . . . </t>
  </si>
  <si>
    <t>20   оны     сарын       өдөр                                                                             20   оны     сарын       өдөр</t>
  </si>
  <si>
    <t xml:space="preserve">Сангийн сайдын 2010 оны 121 дүгээр </t>
  </si>
  <si>
    <t>тушаалын 2 дугаар хавсралт</t>
  </si>
  <si>
    <t>САНХҮҮГИЙН БОЛОН ОРЛОГЫН АЛБАН ТАТВАРЫН ТАЙЛАНГИЙН</t>
  </si>
  <si>
    <t>ҮЗҮҮЛЭЛТ ХООРОНДЫН ЗӨРҮҮГ ЗОХИЦУУЛАХ ТАЙЛАН</t>
  </si>
  <si>
    <t xml:space="preserve">4. Эрхлэх үйл ажиллагаа: </t>
  </si>
  <si>
    <t>Үндсэн:  __|__|__|__|__|__|  - Гадаад худалдаа</t>
  </si>
  <si>
    <t>Санхүүгийн тайлангийн татварын өмнөх ашгийн дүн</t>
  </si>
  <si>
    <t>А</t>
  </si>
  <si>
    <t>БАЙНГЫН ЗӨРҮҮ</t>
  </si>
  <si>
    <t>Нэмэгдүүлэх утга</t>
  </si>
  <si>
    <t>Бууруулах утга</t>
  </si>
  <si>
    <t>Хасагдахгүй зардал:</t>
  </si>
  <si>
    <t xml:space="preserve">Чөлөөлөгдөх орлого </t>
  </si>
  <si>
    <t xml:space="preserve">Хөнгөлөлт эдлэх орлого </t>
  </si>
  <si>
    <t>Тусгайлсан хувь хэмжээтэй орлого</t>
  </si>
  <si>
    <t xml:space="preserve">Татвар нь суутгагдсан  орлого </t>
  </si>
  <si>
    <t>Хязгаарлалтаас хэтэрсэн зардал</t>
  </si>
  <si>
    <t>Бусад</t>
  </si>
  <si>
    <t>Хүүгийн зардлаар хүлээн зөвшөөрөгдөхгүй зээлийн хүүгийн зардал</t>
  </si>
  <si>
    <t>Харилцан хамаарал бүхий ажил гүйлгээ</t>
  </si>
  <si>
    <t xml:space="preserve">Бараа материалын </t>
  </si>
  <si>
    <t xml:space="preserve">Бусад </t>
  </si>
  <si>
    <t>А1</t>
  </si>
  <si>
    <t>А2</t>
  </si>
  <si>
    <t>Б</t>
  </si>
  <si>
    <t>Б1</t>
  </si>
  <si>
    <t>Б2</t>
  </si>
  <si>
    <t>Нэмэх нь: Суутган тооцоололтоор төлөгдсөн татварын зардал</t>
  </si>
  <si>
    <t>Б3</t>
  </si>
  <si>
    <t xml:space="preserve">Тайлант үеийн татварын зардал </t>
  </si>
  <si>
    <t>В</t>
  </si>
  <si>
    <t>ТҮР ЗӨРҮҮ</t>
  </si>
  <si>
    <t>Элэгдлийн зардал –</t>
  </si>
  <si>
    <t>Элэгдлийн зардал –Татварын тайлангийн</t>
  </si>
  <si>
    <t>Санхүүгийн тайлангийн</t>
  </si>
  <si>
    <t>Валютын ханшийн зөрүүгийн бодит бус алдагдал</t>
  </si>
  <si>
    <t>Валютын ханшийн зөрүүгийн бодит бус ашиг</t>
  </si>
  <si>
    <t>В3</t>
  </si>
  <si>
    <t>Нийт дүн (3.1+3.2+3.3)</t>
  </si>
  <si>
    <t>ОАТатварын өглөг/Кт</t>
  </si>
  <si>
    <t xml:space="preserve">5. Нийтлэг хувь хэмжээгээр татвар ногдуулах орлого </t>
  </si>
  <si>
    <t xml:space="preserve">                       (Б + В3– В4) </t>
  </si>
  <si>
    <t xml:space="preserve">5.1  Нэмэх нь: Сайн дурын даатгалын хэтрэлт                          </t>
  </si>
  <si>
    <t>5.2   Хасах нь: Шилжүүлэх алдагдлын дүн</t>
  </si>
  <si>
    <t>6. Татвар ногдуулах орлогын дүн (5+5.1-5.2)</t>
  </si>
  <si>
    <t xml:space="preserve"> (0-3000000,0 бол 10%, 3000000,0-аас дээш дүнгийн 25% + 300000,0)</t>
  </si>
  <si>
    <t xml:space="preserve">8.Хөнгөлөгдөх татварын дүн </t>
  </si>
  <si>
    <t>ААНОАТ-ын хуулийн .... заалтын дагуу</t>
  </si>
  <si>
    <t xml:space="preserve"> 9. Тусгайлсан хувь хэмжээгээр татвар ногдуулах орлого, ногдох татвар</t>
  </si>
  <si>
    <t xml:space="preserve">      9.1        Хүүгийн орлого                               татварын хувь 10%</t>
  </si>
  <si>
    <t xml:space="preserve">      9.2                                                              татварын хувь ......</t>
  </si>
  <si>
    <t>10.  Нийт дүн (Татвар ногдуулах орлого 6+9), (Төлбөл зохих татвар 7-8+9)</t>
  </si>
  <si>
    <t xml:space="preserve">11. Хойшлогдсон татварын хөрөнгө </t>
  </si>
  <si>
    <t xml:space="preserve">12. Хойшлогдсон татварын өглөг </t>
  </si>
  <si>
    <t xml:space="preserve">Тайланг үнэн зөв гаргасан:                               </t>
  </si>
  <si>
    <t xml:space="preserve"> Татварын улсын байцаагч: . . . . . . . . . </t>
  </si>
  <si>
    <t xml:space="preserve">Татварын итгэмжлэгдсэн нягтлан бодогч: . . . . . . . . . . . . . .       </t>
  </si>
  <si>
    <t xml:space="preserve">20 ... оны ... р сарын ...                                            </t>
  </si>
  <si>
    <t>Компанийн мэдээллийг доорх table-д оруулвал бусад шийтэнд авоматаар татагдан</t>
  </si>
  <si>
    <t>Компанийн нэр:</t>
  </si>
  <si>
    <t>Регистрийн дугаар:</t>
  </si>
  <si>
    <t>Хариуцлагын хэлбэр:</t>
  </si>
  <si>
    <t>ХК</t>
  </si>
  <si>
    <t>Хаяг: Аймаг, хот</t>
  </si>
  <si>
    <t>Улаанбаатар</t>
  </si>
  <si>
    <t>Сум, дүүрэг:</t>
  </si>
  <si>
    <t>Хан уул дүүрэг</t>
  </si>
  <si>
    <t>Баг, хороо:</t>
  </si>
  <si>
    <t xml:space="preserve">3-р хороо </t>
  </si>
  <si>
    <t>Гудамж, хороолол:</t>
  </si>
  <si>
    <t>Байр:</t>
  </si>
  <si>
    <t>Хашаа, хаалга:</t>
  </si>
  <si>
    <t>Утас:</t>
  </si>
  <si>
    <t>Факс:</t>
  </si>
  <si>
    <t>Шуудангийн хайрцаг:</t>
  </si>
  <si>
    <t xml:space="preserve">Эрхэлж буй үйл ажиллагаа: </t>
  </si>
  <si>
    <t>Толгой компанийн код:</t>
  </si>
  <si>
    <t xml:space="preserve">|__|__|__|__|__|__|__| </t>
  </si>
  <si>
    <t>Тайлангийн эхний үлдэгдэлийн огноо</t>
  </si>
  <si>
    <t>Тайлангийн эцсийн үлдэгдлийн огноо</t>
  </si>
  <si>
    <t>Ерөнхий захирал</t>
  </si>
  <si>
    <t>Овог:</t>
  </si>
  <si>
    <t>Нэр:</t>
  </si>
  <si>
    <t>Нягтлан бодогч</t>
  </si>
  <si>
    <t>ХХК</t>
  </si>
  <si>
    <t>ББСБ</t>
  </si>
  <si>
    <t>САН</t>
  </si>
  <si>
    <t>1.1 Àæèë îëãîã÷òîé áàéãóóëñàí õºäºëìºðèéí ãýðýýíä çààñíû äàãóó àâ÷ áàéãàà ¿íäñýí öàëèí, íýìýãäýë õºëñ, íýìýãäýë, øàãíàë, óðàìøóóëàë, àìðàëòûí íºõºí îëãîâîð, òýòãýâýð òýòãýìæ òýäãýýðòýé àäèëòãàõ îðëîãî (мян.тєг)</t>
  </si>
  <si>
    <t>Сангийн сайдын 2012 оны</t>
  </si>
  <si>
    <t>77 тоот тушаалын</t>
  </si>
  <si>
    <t>3-р хавсралт</t>
  </si>
  <si>
    <t xml:space="preserve">Регистрийн дугаар </t>
  </si>
  <si>
    <t xml:space="preserve">Хаяг: </t>
  </si>
  <si>
    <t>Шуудангийн хаяг:</t>
  </si>
  <si>
    <t>Өмчийн хэлбэр:     Төрийн .......... Хувь                          Хувийн 100 хувь</t>
  </si>
  <si>
    <t xml:space="preserve">ОНЫ </t>
  </si>
  <si>
    <t>САНХҮҮГИЙН ТАЙЛАН</t>
  </si>
  <si>
    <t>Хянаж хүлээж авсан
байгууллагын нэр</t>
  </si>
  <si>
    <t>Сар, өдөр</t>
  </si>
  <si>
    <t>Гарын үсэг</t>
  </si>
  <si>
    <t xml:space="preserve">оны санхүүгийн тайлангийн </t>
  </si>
  <si>
    <t xml:space="preserve">            бодит байдлын тухай мэдэгдэл</t>
  </si>
  <si>
    <t>Захирал</t>
  </si>
  <si>
    <t xml:space="preserve">овогтой </t>
  </si>
  <si>
    <t>, ерөнхий нягтлан бодогч</t>
  </si>
  <si>
    <t xml:space="preserve"> өдрөөр тасалбар болгон гаргасан санхүүгийн тайланд тайлант хугацааны</t>
  </si>
  <si>
    <t>үйл ажиллагааны үр дүн, санхүүгийн байдлыг "Нягтлан бодох бүртгэлийн тухай"</t>
  </si>
  <si>
    <t xml:space="preserve">хуулийн 17.1 дэх заалтын дагуу үнэн зөв, бүрэн тусгасан болохыг баталж байна. </t>
  </si>
  <si>
    <t>Үүнд:</t>
  </si>
  <si>
    <t xml:space="preserve">Бүх ажил гүйлгээ бодитоор гарсан бөгөөд холбогдох анхан шатны баримтыг </t>
  </si>
  <si>
    <t>үндэслэн нягтлан бодох бүртгэл, санхүүгийн тайланд үнэн зөв тусгасан:</t>
  </si>
  <si>
    <t>Санхүүгийн тайланд тусгасан бүх тооцоолол үнэн зөв хийгдсэн:</t>
  </si>
  <si>
    <t xml:space="preserve">Аж ахуйн нэгжийн үйл ажиллагааны эдийн засаг, санхүүгийн бүхий л үйл </t>
  </si>
  <si>
    <t>явцыг иж бүрэн хамарсан:</t>
  </si>
  <si>
    <t>Тайлант үеийн үр дүнд өмнөх орны ажил гүйлгээнээс шилжин тусгагдаагүй,</t>
  </si>
  <si>
    <t>мөн тайлант оны ажил гүйлгээнээс орхигдсон зүйл байхгүй:</t>
  </si>
  <si>
    <t xml:space="preserve">Бүх хөрөнгө, авлага, өр төлбөр, орлого, зардлыг Санхүүгийн тайлагналын </t>
  </si>
  <si>
    <t>олон улсын стандартын дагуу үнэн зөв тусгасан:</t>
  </si>
  <si>
    <t xml:space="preserve">Энэ тайланд тусгагдсан бүхий л зүйл манай байгууллагын албан ёсны </t>
  </si>
  <si>
    <t xml:space="preserve">өмчлөлд байдаг бөгөөд орхигдсон зүйл үгүй болно. </t>
  </si>
  <si>
    <t>Ерөнхий нягтлан бодогч</t>
  </si>
  <si>
    <t>ГҮЙЛГЭЭ БАЛАНС IV УЛИРАЛ</t>
  </si>
  <si>
    <t>ГҮЙЛГЭЭ БАЛАНС III УЛИРАЛ</t>
  </si>
  <si>
    <t>ГҮЙЛГЭЭ БАЛАНС II УЛИРАЛ</t>
  </si>
  <si>
    <t>ГҮЙЛГЭЭ БАЛАНС I УЛИРАЛ</t>
  </si>
  <si>
    <t xml:space="preserve">Харилцагчидын нэр </t>
  </si>
  <si>
    <t>Гүйлгээний утга</t>
  </si>
  <si>
    <t>Мөнгөн гүйлгээ</t>
  </si>
  <si>
    <t>Санхүү, эдийн засгийн сайдын 2002 оны</t>
  </si>
  <si>
    <t xml:space="preserve">191 тоот тушаалаар батлав. </t>
  </si>
  <si>
    <t>ПАДААНЫ ЖАГСААЛТ</t>
  </si>
  <si>
    <t xml:space="preserve">Нэр </t>
  </si>
  <si>
    <t xml:space="preserve">АВЛАГА, ӨГЛӨГ </t>
  </si>
  <si>
    <r>
      <t>Байнгын зөрүүгээр зохицуулагдсан дүн</t>
    </r>
    <r>
      <rPr>
        <sz val="10"/>
        <color indexed="8"/>
        <rFont val="Times New Roman"/>
        <family val="1"/>
      </rPr>
      <t xml:space="preserve">    (санхүүгийн тайлангийн татварын өмнөх ашиг +А1-А2)</t>
    </r>
  </si>
  <si>
    <r>
      <t>Татварын зардал</t>
    </r>
    <r>
      <rPr>
        <b/>
        <sz val="10"/>
        <color indexed="8"/>
        <rFont val="Times New Roman"/>
        <family val="1"/>
      </rPr>
      <t xml:space="preserve"> (</t>
    </r>
    <r>
      <rPr>
        <sz val="10"/>
        <color indexed="8"/>
        <rFont val="Times New Roman"/>
        <family val="1"/>
      </rPr>
      <t>0-3000000,0 бол 10%, 3000000,0-аас дээш дүнгийн 25% + 300000,0 хувиар тооцно)</t>
    </r>
  </si>
  <si>
    <r>
      <t xml:space="preserve">7. Ногдуулсан татвар </t>
    </r>
    <r>
      <rPr>
        <sz val="10"/>
        <color indexed="8"/>
        <rFont val="Times New Roman"/>
        <family val="1"/>
      </rPr>
      <t xml:space="preserve">          </t>
    </r>
  </si>
  <si>
    <t xml:space="preserve">Утасны төлбөр </t>
  </si>
  <si>
    <t xml:space="preserve">ЕРӨНХИЙ ЖУРНАЛ </t>
  </si>
  <si>
    <t>STAT</t>
  </si>
  <si>
    <t>Нэр</t>
  </si>
  <si>
    <t>Албан тушаал</t>
  </si>
  <si>
    <t>ХХБАНК</t>
  </si>
  <si>
    <t>/Б.Түмэндэлгэр/</t>
  </si>
  <si>
    <t xml:space="preserve">Түмэндэлгэр </t>
  </si>
  <si>
    <t>Батсуурь</t>
  </si>
  <si>
    <t>Ханшийн зөрүү</t>
  </si>
  <si>
    <t xml:space="preserve">Элэгдэлийн зардал </t>
  </si>
  <si>
    <t xml:space="preserve">Тавилга эд хогшил. Хур элэгдэл </t>
  </si>
  <si>
    <t>АГУУЛХАД БАЙГАА ХАНГАМЖИЙН МАТЕРИАЛ</t>
  </si>
  <si>
    <t>aaa</t>
  </si>
  <si>
    <t>not</t>
  </si>
  <si>
    <t>утохг. Ааноат</t>
  </si>
  <si>
    <t>утохг. НӨТ</t>
  </si>
  <si>
    <t>АВЛАГА, ӨГЛӨГ 3-р УЛИРАЛ</t>
  </si>
  <si>
    <t>АВЛАГА, ӨГЛӨГ 2-р УЛИРАЛ</t>
  </si>
  <si>
    <t>|_2_|_0_|_1_|_8_|_9_|_4_|_2_|</t>
  </si>
  <si>
    <t>ШИНЭСТ ХК</t>
  </si>
  <si>
    <t>Эв нэгдэлийн гудамж</t>
  </si>
  <si>
    <t xml:space="preserve">Шинэст ХК -н өөрийн байр </t>
  </si>
  <si>
    <t>70114414</t>
  </si>
  <si>
    <t>99119765 99066093 86001044</t>
  </si>
  <si>
    <t>70114404</t>
  </si>
  <si>
    <t>|_3_|_6_|_1_|_0_|_0_|_0_|  -  Барилга, гэр ахуйн модон эдлэл үйлдвэрлэх</t>
  </si>
  <si>
    <t>/Д.Бахдамдэмбэрэл /</t>
  </si>
  <si>
    <t>Дашдэмбэрэл</t>
  </si>
  <si>
    <t>Бахдамдэмбэрэл</t>
  </si>
  <si>
    <t>Түмэндэлгэр</t>
  </si>
  <si>
    <t>ХУД-н ТАТВАРЫН ХЭЛТЭС</t>
  </si>
  <si>
    <t xml:space="preserve">ХУД-н ЭМНД ХЭЛТЭС </t>
  </si>
  <si>
    <t xml:space="preserve">УБЦТС ТӨХК </t>
  </si>
  <si>
    <t xml:space="preserve">ДЦС-3 ТӨХК </t>
  </si>
  <si>
    <t xml:space="preserve">УСУГ ТӨХК </t>
  </si>
  <si>
    <t xml:space="preserve">МЦХОЛБОО </t>
  </si>
  <si>
    <t xml:space="preserve">МХБИРЖ -ТӨХК </t>
  </si>
  <si>
    <t xml:space="preserve">САНХҮҮГИЙН ЗОХИЦУУЛАХ ХОРОО </t>
  </si>
  <si>
    <t>ХААН БАНК</t>
  </si>
  <si>
    <t>ХУРД ГРУПП ХХК</t>
  </si>
  <si>
    <t>ЭКО КОНСТРАКШН ХХК</t>
  </si>
  <si>
    <t xml:space="preserve">МУХИА ХХК </t>
  </si>
  <si>
    <t xml:space="preserve">ИЭСОМ ХХК </t>
  </si>
  <si>
    <t xml:space="preserve">ОРГИЛ ХҮНС ХХК </t>
  </si>
  <si>
    <t xml:space="preserve">ПАЙОНЕРИНГ ИНТЕРНЭШНЛ ХХК </t>
  </si>
  <si>
    <t xml:space="preserve">АЯНЧИН АУТФИТТЕРС ХХК </t>
  </si>
  <si>
    <t xml:space="preserve">ГЭГЭЭН ДАЛАЙ ХХК </t>
  </si>
  <si>
    <t xml:space="preserve">СЭРҮҮН ХАРААТ ХХК </t>
  </si>
  <si>
    <t xml:space="preserve">РЕНДЕР ХХК </t>
  </si>
  <si>
    <t xml:space="preserve">САКУРА КОНСТРАКШН ХХК </t>
  </si>
  <si>
    <t xml:space="preserve">УБПК ХХК </t>
  </si>
  <si>
    <t xml:space="preserve">МИАТ ХК </t>
  </si>
  <si>
    <t xml:space="preserve">БОЛОР ШИЛЭН ТОЛЬ ХХК </t>
  </si>
  <si>
    <t xml:space="preserve">АТМОР ГРУПП ХХК </t>
  </si>
  <si>
    <t xml:space="preserve">СТИЙЛ АРТ ХХК </t>
  </si>
  <si>
    <t xml:space="preserve">ВОС ХХК </t>
  </si>
  <si>
    <t xml:space="preserve">ВЮРТ МОНГОЛИЯ ХХК </t>
  </si>
  <si>
    <t xml:space="preserve">ГЭСЭР БИЛЭГ ХХК </t>
  </si>
  <si>
    <t>Сайннямбуу</t>
  </si>
  <si>
    <t xml:space="preserve">Хувь хүн </t>
  </si>
  <si>
    <t>ИХ ТУГЧ ХХК</t>
  </si>
  <si>
    <t>УБДС ТӨХК</t>
  </si>
  <si>
    <t xml:space="preserve">ЖЭЙ ЭЛ КЭЙ ЭМ ХХК </t>
  </si>
  <si>
    <t>БАНДИА ХХК</t>
  </si>
  <si>
    <t xml:space="preserve">ИННОМН ХХК </t>
  </si>
  <si>
    <t>ЭГЭЛ ХХК</t>
  </si>
  <si>
    <t xml:space="preserve">ЭМБАССИ РЭЗИДЭНС ХХК </t>
  </si>
  <si>
    <t xml:space="preserve">ТОСОН ВҮҮД ХХК </t>
  </si>
  <si>
    <t xml:space="preserve">ВОРЛДНЬЮ МЕДИА ХХК </t>
  </si>
  <si>
    <t xml:space="preserve">МОНГОЛЫН ХҮҮХДИЙН САН </t>
  </si>
  <si>
    <t>УБТЗам БОС1-р анги</t>
  </si>
  <si>
    <t xml:space="preserve">ДУГАН ХАД ЖУУЛЧИН ХХК </t>
  </si>
  <si>
    <t xml:space="preserve">МОНГОЛ ГЛОБАЛ ХХК </t>
  </si>
  <si>
    <t xml:space="preserve">БОДЬ ЦАМХАГ ХХК </t>
  </si>
  <si>
    <t xml:space="preserve">МАКС АГРО ХХК </t>
  </si>
  <si>
    <t xml:space="preserve">ЭН ТИ ЭМ ХХК </t>
  </si>
  <si>
    <t xml:space="preserve">ГОЛДЕН ЖИМ ХХК </t>
  </si>
  <si>
    <t>ИХ БАГА ХОНГОР ХХК</t>
  </si>
  <si>
    <t xml:space="preserve">ЯВУУ ИМПЕКС ХХК </t>
  </si>
  <si>
    <t xml:space="preserve">ТЭХ БАРИЛГЫН МАТЕРИАЛЫН ДЭЛГҮҮР </t>
  </si>
  <si>
    <t xml:space="preserve">САССИР ХХК </t>
  </si>
  <si>
    <t xml:space="preserve">АР ПИ ДИ ХХК </t>
  </si>
  <si>
    <t>БҮТЭЭГЧ ХХК</t>
  </si>
  <si>
    <t xml:space="preserve">ЖУРМАК ХХК </t>
  </si>
  <si>
    <t xml:space="preserve">ДЕКОР ВҮҮД ХХК </t>
  </si>
  <si>
    <t>ЛАНС КОНСТРАКШН ХХК</t>
  </si>
  <si>
    <t xml:space="preserve">МОНГОЛ ИДЕАЛ ХХК </t>
  </si>
  <si>
    <t xml:space="preserve">ТЭГШРЭХ ГУРВАН ЭРДЭНЭ ХХК </t>
  </si>
  <si>
    <t>ГЛОБАЛ ГАЗАР ХХК</t>
  </si>
  <si>
    <t xml:space="preserve">МАК ХХК </t>
  </si>
  <si>
    <t xml:space="preserve">НОЁН ХХК </t>
  </si>
  <si>
    <t>БАЯЛАГ ОД ХХК</t>
  </si>
  <si>
    <t xml:space="preserve">НОМАДС ТУР ХХК </t>
  </si>
  <si>
    <t>ШИНЭ ОРОН СУУЦ ХХК</t>
  </si>
  <si>
    <t>ЧИНГИС ТРЕЙД ХХК</t>
  </si>
  <si>
    <t>3 МЕН ХХК</t>
  </si>
  <si>
    <t xml:space="preserve">МЧБС ХХК </t>
  </si>
  <si>
    <t xml:space="preserve">САНТ-АСАР ХХК </t>
  </si>
  <si>
    <t>ЕНТҮМ ТРЭЙВЭЛ ХХК</t>
  </si>
  <si>
    <t>БЕСТ СТАЙЛ ХХК</t>
  </si>
  <si>
    <t>ЦАМХАГТ АСАР КОНСТРАКШН ХХК</t>
  </si>
  <si>
    <t>САУНД ОФ МОНГОЛИЯ ХХК</t>
  </si>
  <si>
    <t>СТИМО ХХК</t>
  </si>
  <si>
    <t>УНДРУУЛАН ФҮҮД ХХК</t>
  </si>
  <si>
    <t>МЭЖИК ДООР ХХК</t>
  </si>
  <si>
    <t xml:space="preserve">МИОТ ХХ </t>
  </si>
  <si>
    <t>СИТИ ПАЛАС ХХК</t>
  </si>
  <si>
    <t>МСҮТөв</t>
  </si>
  <si>
    <t>ЦЭЦЭН УРЧУУД ХХК</t>
  </si>
  <si>
    <t>ҮЛЭМЖИТ ХХК</t>
  </si>
  <si>
    <t>УУЛЫН ЗАМ ХХК</t>
  </si>
  <si>
    <t>ВОТЕР ФОРД КАСТОМ ХӨҮМ ХХК</t>
  </si>
  <si>
    <t>ЭЛ ВИ ЭЙС ХХК</t>
  </si>
  <si>
    <t>МЕТАЛ ХАУС ХХК</t>
  </si>
  <si>
    <t>ХАНГАЛ КОНСТРАКШН ХХК</t>
  </si>
  <si>
    <t>КАМДЕР ХХК</t>
  </si>
  <si>
    <t>СИ АЙ ТИ ХХК</t>
  </si>
  <si>
    <t>ЖИ ЭЙ БИ ӨҮ ТИ ХХК</t>
  </si>
  <si>
    <t>КАРАНДАШ ХХК</t>
  </si>
  <si>
    <t>МӨНХ ЭНХРИЙ ХХК</t>
  </si>
  <si>
    <t>ДА ХОТ ХХК</t>
  </si>
  <si>
    <t>ДИ ЭЙЧ ЭЛ ГЭЙТВЭЙ ХХК</t>
  </si>
  <si>
    <t>ПИ АЙ ЭМ ЭМ ХХК</t>
  </si>
  <si>
    <t xml:space="preserve">ӨСӨХ БЭЙС ХХК </t>
  </si>
  <si>
    <t xml:space="preserve">БЧГ ХХК </t>
  </si>
  <si>
    <t xml:space="preserve">ТОРГО ЗАГВАР </t>
  </si>
  <si>
    <t>УС ЭЛЕКТРО МОНТАЖ ХХК</t>
  </si>
  <si>
    <t xml:space="preserve">УНИВЕРСАЛ АВТО КОМПЛЕКС ХХК </t>
  </si>
  <si>
    <t xml:space="preserve">ОРГИЛ ХАУС ХХК </t>
  </si>
  <si>
    <t xml:space="preserve">ОГТОРГУЙН ХУДАГ ХХК </t>
  </si>
  <si>
    <t>ГУУЛИЙН ДӨШ ХХК</t>
  </si>
  <si>
    <t>ЭНХ ЭРХЭС ХХК</t>
  </si>
  <si>
    <t xml:space="preserve">ДЭРСТЭЙ ТАВАН САЛАА ХХК </t>
  </si>
  <si>
    <t>МӨНХ ВҮҮД ХХК</t>
  </si>
  <si>
    <t xml:space="preserve">НЬЮ ЭРА ТУР МОНГОЛИА ХХК </t>
  </si>
  <si>
    <t xml:space="preserve">ТОД УНДАРГА ХХК </t>
  </si>
  <si>
    <t xml:space="preserve">БАТС ӨРГӨӨ ХХК </t>
  </si>
  <si>
    <t>ЭРДЭНЭДРИЙЛИНГ ХХК</t>
  </si>
  <si>
    <t xml:space="preserve">Энхбат </t>
  </si>
  <si>
    <t>Бурмаа</t>
  </si>
  <si>
    <t>Золжаргал</t>
  </si>
  <si>
    <t>Оюундэлгэр /нярав/</t>
  </si>
  <si>
    <t xml:space="preserve">Нэргүй </t>
  </si>
  <si>
    <t>АВЛАГА, ӨГЛӨГ 1-р УЛИРАЛ</t>
  </si>
  <si>
    <t>.</t>
  </si>
  <si>
    <t>Регистрийн дугаар</t>
  </si>
  <si>
    <t>Үндсэн цалин .</t>
  </si>
  <si>
    <t>Ажилла-сан хоног</t>
  </si>
  <si>
    <t xml:space="preserve">Өдрийн цалин </t>
  </si>
  <si>
    <t>Ажилласан 
хоногийн 
цалин</t>
  </si>
  <si>
    <t>НДШ</t>
  </si>
  <si>
    <t>Гарт олгох</t>
  </si>
  <si>
    <t>Байгууллага  ЭМ,НДШимтгэл</t>
  </si>
  <si>
    <t xml:space="preserve">Нийт </t>
  </si>
  <si>
    <t>ХД59121479</t>
  </si>
  <si>
    <t>ХК74113079</t>
  </si>
  <si>
    <t xml:space="preserve">Батсуурийн Түмэндэлгэр </t>
  </si>
  <si>
    <t>ОЭ80062131</t>
  </si>
  <si>
    <t>ФМ85101862</t>
  </si>
  <si>
    <t>ПМ91111004</t>
  </si>
  <si>
    <t>ОЮ61072408</t>
  </si>
  <si>
    <t>УУ85051012</t>
  </si>
  <si>
    <t>ЧБ87101577</t>
  </si>
  <si>
    <t>РЙ72083122</t>
  </si>
  <si>
    <t>ОЭ78082015</t>
  </si>
  <si>
    <t>ИИ88070513</t>
  </si>
  <si>
    <t>ЧТ82120915</t>
  </si>
  <si>
    <t>АЖ79011118</t>
  </si>
  <si>
    <t>ОЭ77082665</t>
  </si>
  <si>
    <t>УШ91030771</t>
  </si>
  <si>
    <t>ГА82111970</t>
  </si>
  <si>
    <t>ПН90010105</t>
  </si>
  <si>
    <t>Журналын бичилт</t>
  </si>
  <si>
    <t>ЭМ,НД-н шимтгэл Байгууллага 1-сар</t>
  </si>
  <si>
    <t>ЭМ,НД-н шимтгэл Хувь хүн 1-сар</t>
  </si>
  <si>
    <t>ХХОАТатвар 1-р сар</t>
  </si>
  <si>
    <t>Гарт олгох 1-р сар</t>
  </si>
  <si>
    <t>ЭМ,НД-н шимтгэл Байгууллага 2-сар</t>
  </si>
  <si>
    <t>ЭМ,НД-н шимтгэл Хувь хүн 2-сар</t>
  </si>
  <si>
    <t>ХХОАТатвар 2-р сар</t>
  </si>
  <si>
    <t>Гарт олгох 2-р сар</t>
  </si>
  <si>
    <t>ЭМ,НД-н шимтгэл Байгууллага 3-сар</t>
  </si>
  <si>
    <t>ЭМ,НД-н шимтгэл Хувь хүн 3-сар</t>
  </si>
  <si>
    <t>ХХОАТатвар 3-р сар</t>
  </si>
  <si>
    <t>Гарт олгох 3-р сар</t>
  </si>
  <si>
    <t>ЭМ,НД-н шимтгэл Байгууллага 4-сар</t>
  </si>
  <si>
    <t>ЭМ,НД-н шимтгэл Хувь хүн 4-сар</t>
  </si>
  <si>
    <t>ХХОАТатвар 4-р сар</t>
  </si>
  <si>
    <t>Гарт олгох 4-р сар</t>
  </si>
  <si>
    <t>ТЗ87103060</t>
  </si>
  <si>
    <t>Keyboard</t>
  </si>
  <si>
    <t>Mouse</t>
  </si>
  <si>
    <t>Hard disk</t>
  </si>
  <si>
    <t>м</t>
  </si>
  <si>
    <t xml:space="preserve">Будаг шингэлэгч </t>
  </si>
  <si>
    <t>кг</t>
  </si>
  <si>
    <t xml:space="preserve">НЦ-лак </t>
  </si>
  <si>
    <t>м2</t>
  </si>
  <si>
    <t>м3</t>
  </si>
  <si>
    <t xml:space="preserve">James Hardie </t>
  </si>
  <si>
    <t>Ажлын хувцас</t>
  </si>
  <si>
    <t>Будгийн буу</t>
  </si>
  <si>
    <t>Хаан Банк 5024654020</t>
  </si>
  <si>
    <t>ХХБ 406094330</t>
  </si>
  <si>
    <t>Хас Банк 5000558299</t>
  </si>
  <si>
    <t>ХХБ 404052927</t>
  </si>
  <si>
    <t>Голомт Банк 2101004077</t>
  </si>
  <si>
    <t>Хаан Банк 5022577237</t>
  </si>
  <si>
    <t>ХХБ БАНК 404187557</t>
  </si>
  <si>
    <t>ГОЛОМТ БАНК 2101004089</t>
  </si>
  <si>
    <t>ХАС БАНК 5000558440</t>
  </si>
  <si>
    <t>ХХБ БАНК 406094331</t>
  </si>
  <si>
    <t>ЧИНГИС ХААН БАНК 3920120001</t>
  </si>
  <si>
    <t>ШМЗардал ХАТААХ ЦЕХ /нарс/</t>
  </si>
  <si>
    <t>ШМЗардал БОЛОВСРУУЛАХ ЦЕХ /нарс/</t>
  </si>
  <si>
    <t xml:space="preserve">ШМЗардал МУЖААН ЦЕХ </t>
  </si>
  <si>
    <t>ШХЗардал ХАТААХ ЦЕХ /нарс/</t>
  </si>
  <si>
    <t>ШХЗрдал БОЛОВСРУУЛАХ ЦЕХ /нарс/</t>
  </si>
  <si>
    <t>ШХЗардал МУЖААН ЦЕХ</t>
  </si>
  <si>
    <t>ҮНЗардал ХАТААХ ЦЕХ /нарс/</t>
  </si>
  <si>
    <t>ҮНЗардал БОЛОВСРУУЛАХ ЦЕХ /нарс/</t>
  </si>
  <si>
    <t xml:space="preserve">ҮНЗардал МУЖААН ЦЕХ </t>
  </si>
  <si>
    <t>Нэгтгэл зардал ХАТААХ ЦЕХ /нарс/</t>
  </si>
  <si>
    <t>Нэгтгэл зардал БОЛОВСРУУЛАХ ЦЕХ /нарс/</t>
  </si>
  <si>
    <t xml:space="preserve">Нэгтгэл зардал МУЖААН ЦЕХ </t>
  </si>
  <si>
    <t>ШМЗардал ХАТААХ ЦЕХ /хар мод/</t>
  </si>
  <si>
    <t>ШХЗардал ХАТААХ ЦЕХ /хар мод/</t>
  </si>
  <si>
    <t>ҮНЗардал ХАТААХ ЦЕХ /хар мод/</t>
  </si>
  <si>
    <t>Нэгтгэл зардал ХАТААХ ЦЕХ /хар мод/</t>
  </si>
  <si>
    <t>Бараа бэлэн бүтээгдэхүүн ХАТААХ ЦЕХ /нарс/</t>
  </si>
  <si>
    <t>Бараа бэлэн бүтээгдэхүүн БОЛОВСРУУЛАХ ЦЕХ /нарс/</t>
  </si>
  <si>
    <t>Бараа бэлэн бүтээгдэхүүн МУЖААН ЦЕХ</t>
  </si>
  <si>
    <t>Бараа бэлэн бүтээгдэхүүн ХАТААХ ЦЕХ /хар мод/</t>
  </si>
  <si>
    <t>Бараа бэлэн бүтээгдэхүүн БОЛОВСРУУЛАХ ЦЕХ /хар мод/</t>
  </si>
  <si>
    <t xml:space="preserve">Ашиглалтанд буй хангамжийн материал </t>
  </si>
  <si>
    <t>ХО-д өгөх өглөг MNT /ЭНХБАТ/</t>
  </si>
  <si>
    <t>ХО-д өгөх өглөг USD /БАХДАМДЭМБЭРЭЛ/</t>
  </si>
  <si>
    <t xml:space="preserve">Тусгай тэмдэглэл </t>
  </si>
  <si>
    <t xml:space="preserve">Түлш </t>
  </si>
  <si>
    <t xml:space="preserve">Бэлдэцийн үнэ </t>
  </si>
  <si>
    <t xml:space="preserve">Дулааны төлбөр </t>
  </si>
  <si>
    <t xml:space="preserve">ХӨВСГӨЛ ТРЕЙВЛ ХХК </t>
  </si>
  <si>
    <t xml:space="preserve">ш </t>
  </si>
  <si>
    <t xml:space="preserve">ЭБСО ХХК </t>
  </si>
  <si>
    <t>"ШИНЭСТ" ХК ҮБ-ний ӨРТӨГИЙН ХУВИАРЛАЛТ</t>
  </si>
  <si>
    <t>Хувиарлагдах өртөгийн дүнг оруулна уу!!!!</t>
  </si>
  <si>
    <t>Боловсруулах цех /нарс/</t>
  </si>
  <si>
    <t xml:space="preserve">ТӨСӨВТ ӨРТӨГ </t>
  </si>
  <si>
    <t>БОДИТ ӨРТӨГ</t>
  </si>
  <si>
    <t>Журнал</t>
  </si>
  <si>
    <t>Хэм.нэгж</t>
  </si>
  <si>
    <t xml:space="preserve">Нэгж.өртөг </t>
  </si>
  <si>
    <t>Тоо.хэм</t>
  </si>
  <si>
    <t xml:space="preserve">Хувь </t>
  </si>
  <si>
    <t>2017.09.30</t>
  </si>
  <si>
    <t>Мөнгөн гүйлгээний код</t>
  </si>
  <si>
    <t>Үндсэн үйл ажиллагааны мөнгөн гүйлгээ</t>
  </si>
  <si>
    <t>Мөнгөн орлогын дүн (+)</t>
  </si>
  <si>
    <t>Мөнгөн зарлагын дүн (-)</t>
  </si>
  <si>
    <t>Үндсэн үйл ажиллагааны цэвэр мөнгөн гүйлгээний дүн</t>
  </si>
  <si>
    <t>Хөрөнгө оруулалтын үйл ажиллагааны мөнгөн гүйлгээ</t>
  </si>
  <si>
    <t>Хөрөнгө оруулалтын үйл ажиллагааны цэвэр мөнгөн гүйлгээний дүн</t>
  </si>
  <si>
    <t>Санхүүгийн үйл ажиллагааны мөнгөн гүйлгээ</t>
  </si>
  <si>
    <t>Зээл авсан, өрийн үнэт цаас гаргаснаас хүлээн авсан</t>
  </si>
  <si>
    <t>Хувьцаа болон өмчийн бусад үнэт цаас гаргаснаас хүлээн авсан</t>
  </si>
  <si>
    <t>Төрөл бүрийн хандив</t>
  </si>
  <si>
    <t>Валютын ханшийн тэгшитгэлийн ашиг</t>
  </si>
  <si>
    <t>Зээл, өрийн үнэт цаасны төлбөрт төлсөн</t>
  </si>
  <si>
    <t>Санхүүгийн түрээсийн өглөгт төлсөн</t>
  </si>
  <si>
    <t>Хувьцаа буцаан худалдаж төлсөн</t>
  </si>
  <si>
    <t>Төлсөн ногдол ашиг</t>
  </si>
  <si>
    <t>Валютын ханшийн тэгшитгэлийн алдагдал</t>
  </si>
  <si>
    <t>Санхүүгийн үйл ажиллагааны цэвэр мөнгөн гүйлгээний дүн</t>
  </si>
  <si>
    <t xml:space="preserve">ТЕГ-ын даргын 2011 оны 10 дугаар сарын 12-ны </t>
  </si>
  <si>
    <t xml:space="preserve">ºдрийн  584 дүгээр  тушаалын 1-р хавсралт </t>
  </si>
  <si>
    <t xml:space="preserve">    Маягт ТТ- 11(1)              Үндэсний татварын алба    </t>
  </si>
  <si>
    <t xml:space="preserve">Үндсэн цалин, хөдөлмөрийн хөлс болон түүнтэй адилтгах </t>
  </si>
  <si>
    <t>орлогоос суутган тооцсон татварын мэдээ</t>
  </si>
  <si>
    <t>Зөвхөн татварын албан ажлын хэрэгцээнд:</t>
  </si>
  <si>
    <t>ТБД  |__|__|__|__|__|__|__|__|__|__|__|__|__|</t>
  </si>
  <si>
    <t xml:space="preserve">                                                              Тэмдэг  </t>
  </si>
  <si>
    <t xml:space="preserve">Хүлээн авсан </t>
  </si>
  <si>
    <t>Он сар өдөр: __ __ . __ __ . __ __</t>
  </si>
  <si>
    <t>(өссөн дүнгээр)                                                                     (мянган төгрөгөөр)</t>
  </si>
  <si>
    <t xml:space="preserve">Суутгуулагчийн </t>
  </si>
  <si>
    <t>Үндсэн цалин, хөдөлмөрийн хөлс болон түүнтэй адилтгах орлого</t>
  </si>
  <si>
    <t>Татвар ногдох шууд бус орлого</t>
  </si>
  <si>
    <t>Татвар ногдох орлогын дүн               (4+5)</t>
  </si>
  <si>
    <t>Татвар ногдуулах орлогын дүн                       (6-7)</t>
  </si>
  <si>
    <t>Ногдуулсан татвар           (8*10%)</t>
  </si>
  <si>
    <t xml:space="preserve">Хөнгөлөгдөх татварын дүн               </t>
  </si>
  <si>
    <t>Суутгуулсан татвар                     (9-10)</t>
  </si>
  <si>
    <t>Овог</t>
  </si>
  <si>
    <t xml:space="preserve">Тайланг үнэн зөв гаргасан: </t>
  </si>
  <si>
    <t>Дарга /Захирал/     .  . . . . . . . . . . . .  /                                              /</t>
  </si>
  <si>
    <t xml:space="preserve">Тайланг хянаж хїлээн авсан: </t>
  </si>
  <si>
    <t>Ерєнхий нягтлан бодогч   . . . . . . . . . . . /                                           /</t>
  </si>
  <si>
    <t>Татварын улсын байцаагч  . . . . . . . . . . . . . /                                     /</t>
  </si>
  <si>
    <t>20. . . оны . . . сарын  . . . єдєр</t>
  </si>
  <si>
    <t>Төмөрхуяг</t>
  </si>
  <si>
    <t>Энхбат</t>
  </si>
  <si>
    <t>Хөнгөлөлт</t>
  </si>
  <si>
    <t xml:space="preserve">Золжаргал </t>
  </si>
  <si>
    <t xml:space="preserve">Оюунтүлхүүр </t>
  </si>
  <si>
    <t xml:space="preserve">Цэцэнпил </t>
  </si>
  <si>
    <t xml:space="preserve">Мөнхбаатар </t>
  </si>
  <si>
    <t xml:space="preserve"> Насанхүү </t>
  </si>
  <si>
    <t xml:space="preserve">Оюундэлгэр </t>
  </si>
  <si>
    <t xml:space="preserve">Улаансүх </t>
  </si>
  <si>
    <t>Цог-Эрдэнэ</t>
  </si>
  <si>
    <t>Дашдаваа</t>
  </si>
  <si>
    <t>Эрдэнбулган</t>
  </si>
  <si>
    <t>Жаргал</t>
  </si>
  <si>
    <t>Баасанжав</t>
  </si>
  <si>
    <t>Түмэннасан</t>
  </si>
  <si>
    <t>Шарав</t>
  </si>
  <si>
    <t>Чулуунбат</t>
  </si>
  <si>
    <t>Нямсүрэн</t>
  </si>
  <si>
    <t>Баярмагнай</t>
  </si>
  <si>
    <t>Түвдэндорж</t>
  </si>
  <si>
    <t>Цэрэндондог</t>
  </si>
  <si>
    <t>Дашням</t>
  </si>
  <si>
    <t>Юнгэрэн</t>
  </si>
  <si>
    <t xml:space="preserve">БАРИЛГА БАЙГУУЛАМЖ </t>
  </si>
  <si>
    <t xml:space="preserve">Барилга байгууламж </t>
  </si>
  <si>
    <t xml:space="preserve">Òºìºð çàì </t>
  </si>
  <si>
    <t xml:space="preserve">Программ хангамж </t>
  </si>
  <si>
    <t>Компьютер /Dell/</t>
  </si>
  <si>
    <t>Компьютер /зургийн/</t>
  </si>
  <si>
    <t xml:space="preserve">Мөнгө тоологч </t>
  </si>
  <si>
    <t xml:space="preserve">Телевизор </t>
  </si>
  <si>
    <t xml:space="preserve">Фрезерийн суурь машин </t>
  </si>
  <si>
    <t xml:space="preserve">Бутлагч </t>
  </si>
  <si>
    <t>5тн-н өөрөө өргөгч По</t>
  </si>
  <si>
    <t>Ирлэгч машин / шүдлэн залгагч/</t>
  </si>
  <si>
    <t>Ирлэгч машин / харуулын хутга ирлэгч/</t>
  </si>
  <si>
    <t xml:space="preserve">Хавтан тайрагч машин </t>
  </si>
  <si>
    <t xml:space="preserve">Дүнзний ховил гаргагч </t>
  </si>
  <si>
    <t xml:space="preserve">Үртэс шахагч машин </t>
  </si>
  <si>
    <t xml:space="preserve">Яр бутлагч машин </t>
  </si>
  <si>
    <t xml:space="preserve">Үртэс сорогч вентилятор </t>
  </si>
  <si>
    <t xml:space="preserve">Уур гаргагч машин </t>
  </si>
  <si>
    <t xml:space="preserve">Компрессор том </t>
  </si>
  <si>
    <t xml:space="preserve">Компрессор жижиг </t>
  </si>
  <si>
    <t xml:space="preserve">Зүлгүүрийн машин </t>
  </si>
  <si>
    <t>Шахагч пресс</t>
  </si>
  <si>
    <t xml:space="preserve">Шүдлэн залгагч </t>
  </si>
  <si>
    <t xml:space="preserve">Таслагч хөрөө </t>
  </si>
  <si>
    <t xml:space="preserve">Яр тайрагч </t>
  </si>
  <si>
    <t>4талт харуул /8булт/</t>
  </si>
  <si>
    <t>4талт харуул /5булт/</t>
  </si>
  <si>
    <t xml:space="preserve">Бөөнөөр цувлагч хөрөө </t>
  </si>
  <si>
    <t>2 талт харуул /2булт/</t>
  </si>
  <si>
    <t xml:space="preserve">Цувлагч хөрөө </t>
  </si>
  <si>
    <t xml:space="preserve">Хатаалгын камер </t>
  </si>
  <si>
    <t xml:space="preserve">Үртэс сорогч машин </t>
  </si>
  <si>
    <t xml:space="preserve">Үртэс цуглуулагч бункер </t>
  </si>
  <si>
    <t xml:space="preserve">Халаалтын цогц төхөөрөмж </t>
  </si>
  <si>
    <t xml:space="preserve">Тавцантай хөрөө </t>
  </si>
  <si>
    <t xml:space="preserve">Градустай хөрөө </t>
  </si>
  <si>
    <t xml:space="preserve">Үртэс шахагч  </t>
  </si>
  <si>
    <t>Ширээ /1тумбочкх/</t>
  </si>
  <si>
    <t xml:space="preserve">Зөөлөн хар сандал </t>
  </si>
  <si>
    <t>Хар шкаф</t>
  </si>
  <si>
    <t>Сейф</t>
  </si>
  <si>
    <t>Хар түшлэгтэй /оффис/</t>
  </si>
  <si>
    <t>Ланд 200</t>
  </si>
  <si>
    <t xml:space="preserve">Интернэтийн антенн </t>
  </si>
  <si>
    <t xml:space="preserve">Сүлжээ салаалагч </t>
  </si>
  <si>
    <t>Принтер /3үйлдэлт хувилагч/</t>
  </si>
  <si>
    <t xml:space="preserve">УЛЬТРАСОНИК ХХК </t>
  </si>
  <si>
    <t xml:space="preserve">АЛТАН ТАРИА ХХК </t>
  </si>
  <si>
    <t xml:space="preserve">ВОРК ШОП ХХК </t>
  </si>
  <si>
    <t xml:space="preserve">СКАЙ ФОРТУН ХХК </t>
  </si>
  <si>
    <t xml:space="preserve">ГТЕГ-ын даргын 2016 оны 01 дүгээр сарын </t>
  </si>
  <si>
    <t xml:space="preserve">Төлсөн </t>
  </si>
  <si>
    <t>Өглөг, авлага</t>
  </si>
  <si>
    <t xml:space="preserve">Үлдэгдэл </t>
  </si>
  <si>
    <t>28-ны өдрийн А/21 тоот тушаалын 1 дүгээр хавсаралт</t>
  </si>
  <si>
    <t xml:space="preserve">Эхлэх </t>
  </si>
  <si>
    <t xml:space="preserve">Дуусах </t>
  </si>
  <si>
    <t xml:space="preserve">төлбөр </t>
  </si>
  <si>
    <t>Дт-120600</t>
  </si>
  <si>
    <t>Кт-310500</t>
  </si>
  <si>
    <t>Маягт</t>
  </si>
  <si>
    <t>ТТ-03а</t>
  </si>
  <si>
    <t>Нэмэгдсэн өртгийн албан татвар суутган төлөгчийн тайлан</t>
  </si>
  <si>
    <t>Татвар төлөгчийн мэдээлэл:</t>
  </si>
  <si>
    <t>Татварын албаны мэдээлэл</t>
  </si>
  <si>
    <t xml:space="preserve">Татварын код </t>
  </si>
  <si>
    <t>Татварын албаны код</t>
  </si>
  <si>
    <t>ДҮН</t>
  </si>
  <si>
    <t>Татварын байцаагч</t>
  </si>
  <si>
    <t>Хүлээн авсан огноо</t>
  </si>
  <si>
    <t xml:space="preserve">Тухайн тайлант хугацаанд үйл ажиллагаа эрхлээгүй бол </t>
  </si>
  <si>
    <t>энд тэмдэглэн үү.</t>
  </si>
  <si>
    <t>(төгрөгөөр)</t>
  </si>
  <si>
    <t>А. ТУХАЙН САРЫНЫН БОРЛУУЛСАН БАРАА,  ГҮЙЦЭТГЭСЭН АЖИЛ, ҮЗҮҮЛСЭН  ҮЙЛЧИЛГЭЭНИЙ НЭМЭГДСЭН ӨРТГИЙН АЛБАН ТАТВАРЫН ТООЦОО</t>
  </si>
  <si>
    <t>Тухайн сарын нийт борлуулалтын орлого</t>
  </si>
  <si>
    <t>1(2+3)</t>
  </si>
  <si>
    <t>Хуулийн 13 дугаар зүйлд заасан тухайн сарын НӨАТ-аас чөлөөлөгдөх борлуулалт          /хавсралтаас өөрт хамаарах  чөлөөлөгдөх борлуулалтын орлогыг сонгоно /</t>
  </si>
  <si>
    <t>Нэмэгдсэн өртгийн албан татвар ногдох бараа, ажил, үйлчилгээний нийт борлуулалтын орлого</t>
  </si>
  <si>
    <t>3(4+10+30)</t>
  </si>
  <si>
    <t xml:space="preserve">НӨАТ ногдох бараа борлуулсны орлого </t>
  </si>
  <si>
    <t>4(5+…+9)</t>
  </si>
  <si>
    <t>Үүнээс:</t>
  </si>
  <si>
    <t xml:space="preserve">Дотоодын зах зээлд борлуулсан барааны борлуулалтын орлого </t>
  </si>
  <si>
    <t>Бусад барааны борлуулалтын орлого</t>
  </si>
  <si>
    <t>Татан буугдах үед өөрт үлдээсэн барааны орлого</t>
  </si>
  <si>
    <t>Өрийн төлбөрт шилжүүлсэн  барааны орлого</t>
  </si>
  <si>
    <t xml:space="preserve">НӨАТ ногдох ажил, үйлчилгээний  орлого </t>
  </si>
  <si>
    <t>10(11+…+25)</t>
  </si>
  <si>
    <t>Наториатын үйлчилгээний орлого</t>
  </si>
  <si>
    <t>Өрийн төлбөрт тооцсон ажил гүйцэтгэх, үйлчилгээ үзүүлсний орлого</t>
  </si>
  <si>
    <t>Цахилгаан,  дулаан, хий, ус хангамж, ариутгах татуурга, шуудан, харилцаа холбооны болон бусад үйлчилгээ үзүүлсний  орлого</t>
  </si>
  <si>
    <t>Бараа түрээслүүлэх, бусад хэлбэрээр эзэмшүүлэх, ашиглуулах үйлчилгээний орлого</t>
  </si>
  <si>
    <t>Зочид буудал буюу түүнтэй адилтгах байранд байр түрээслүүлэх, бусад хэлбэрээр эзэмшүүлэх, ашиглуулах үйлчилгээний орлого</t>
  </si>
  <si>
    <t xml:space="preserve"> Үл хөдлөх,  хөдлөх эд хөрөнгө түрээслүүлэх буюу бусад хэлбэрээр эзэмшүүлэх ашиглуулах үйлчилгээий орлого</t>
  </si>
  <si>
    <t>Шинэ бүтээл, бүтээгдэхүүний загвар, ашигтай загвар, зохиогчийн эрхэд хамаарах бүтээл, барааны тэмдэг, ноу-хау, хөрөнгийн мэдээллийг шилжүүлсэн, түрээсэлсэн, худалдсаны орлого</t>
  </si>
  <si>
    <t>Эд мөнгөний хонжворт сугалаа,төлбөрт таавар бооцоот тоглоомын үйл ажиллагааны орлого</t>
  </si>
  <si>
    <t>Зуучлалын үйлчилгээний орлого</t>
  </si>
  <si>
    <t>Бусдын буруутай үйл ажиллагааны улмаас авсан хүү, торгууль, алдангийн орлого</t>
  </si>
  <si>
    <t>Хөрөнгийн үнэлгээний үйлчилгээний орлого</t>
  </si>
  <si>
    <t>Төрөөс олгож буй төсвийн санхүүжилт, татаас, урамшууллын орлого</t>
  </si>
  <si>
    <t>Өмгөөлөл, хууль зүйн зөвлөлгөө өгөх үйлчилгээний орлого</t>
  </si>
  <si>
    <t>Үсчин, гоо сайхан, засвар үйлчилгээ, угаалга, хими цэвэрлэгээний үйлчилгээний орлого</t>
  </si>
  <si>
    <t>Хуулийн 13 дугаар зүйлд зааснаас  бусад бүх төрлийн үйлчилгээний  орлого</t>
  </si>
  <si>
    <t>Тухайн сарын НӨАТ ногдох дотоодын бараа, ажил, үйлчилгээний орлого</t>
  </si>
  <si>
    <t>26(4+10)</t>
  </si>
  <si>
    <t>Ногдуулсан татвар</t>
  </si>
  <si>
    <t>27(26*10%)</t>
  </si>
  <si>
    <t>Экспортонд гаргасан барааны борлуулалтын орлого</t>
  </si>
  <si>
    <t>28</t>
  </si>
  <si>
    <t>Экспортолсон үйлчилгээний  борлуулалтын орлого</t>
  </si>
  <si>
    <t>29</t>
  </si>
  <si>
    <t>Тухайн сарын НӨАТ ногдох экспортын бараа, ажил, үйлчилгээний орлого</t>
  </si>
  <si>
    <t>30(28+29)</t>
  </si>
  <si>
    <t>31(30*0%)</t>
  </si>
  <si>
    <t>Тухайн сард ногдуулсан НӨАТ-ын нийт татвар</t>
  </si>
  <si>
    <t>32(27+31)</t>
  </si>
  <si>
    <t>Б. ТУХАЙН САРД ХУДАЛДАН АВСАН  БАРАА,  ГҮЙЦЭТГЭСЭН АЖИЛ, ҮЗҮҮЛСЭН  ҮЙЛЧИЛГЭЭНИЙ НЭМЭГДСЭН ӨРТГИЙН АЛБАН ТАТВАРЫН ТООЦОО</t>
  </si>
  <si>
    <t xml:space="preserve">Тухайн сард худалдан авсан бараа, ажил үйлчилгээний нийт дүн  </t>
  </si>
  <si>
    <t>33</t>
  </si>
  <si>
    <t>Тухайн сард худалдан авсан БАҮ-нээс НӨАТ-тай худалдан авсан бараа, ажил, үйлчилгээний дүн</t>
  </si>
  <si>
    <t>34(35+…+38)</t>
  </si>
  <si>
    <t>Импортын бараа, ажил үйлчилгээний дүн ( НӨАТ-гүй дүн)</t>
  </si>
  <si>
    <t>35</t>
  </si>
  <si>
    <t>Дотоодын зах зээлээс худалдан авсан бараа, ажил, үйлчилгээнд төлсөн дүн ( НӨАТ-гүй дүн)</t>
  </si>
  <si>
    <t>36</t>
  </si>
  <si>
    <t>Суутган төлөгчөөр бүртгүүлэх үед импортоор оруулсан болон бусдаас худалдан авсан  бараа, ажил, үйлчилгээний дүн  /НӨАТ-гүй дүн/</t>
  </si>
  <si>
    <t>37</t>
  </si>
  <si>
    <t>Мал аж ахуй, газар тариалангийн үйлдвэрлэл эрхлэгчээс худалдан авсан мах, сүү, өндөг, арьс шир,  төмс,  хүнсний ногоо, жимс жимсгэнэ болон  дотоодод үйлдвэрлэсэн  гурилыг худалдан авсан дүн / НӨАТ-гүй дүн/</t>
  </si>
  <si>
    <t>38</t>
  </si>
  <si>
    <t>Худалдан авсан бараа, ажил, үйлчилгээнд төлсөн  НӨАТ-ын  нийт дүн</t>
  </si>
  <si>
    <t>39(34*10%)</t>
  </si>
  <si>
    <t>Худалдан авсан бараа, ажил, үйлчилгээнд төлсөн хасагдахгүй  НӨАТ-ын  дүн</t>
  </si>
  <si>
    <t>+40(41+…+46)</t>
  </si>
  <si>
    <t>Суудлын автомашин, түүний эд анги сэлбэгт төлсөн  НӨАТ</t>
  </si>
  <si>
    <t>41</t>
  </si>
  <si>
    <t>Хувьдаа болон ажиллагсдын хэрэгцээнд зориулж худалдан авсан бараа, ажил,  үйлчилгээнд төлсөн НӨАТ</t>
  </si>
  <si>
    <t>42</t>
  </si>
  <si>
    <t>Үндсэн хөрөнгө бэлтгэхэд зориулж импортоор оруулсан буюу худалдан авсан бараа, ажил, үйлчилгээнд төлсөн  НӨАТ</t>
  </si>
  <si>
    <t>43</t>
  </si>
  <si>
    <t>Хуулийн 13 дугаар зүйлд заасан чөлөөлөгдөх үйлдвэрлэл, үйлчилгээнд зориулж импортолсон болон  худалдаж авсан бараа, ажил, үйлчилгээнд төлсөн НӨАТ</t>
  </si>
  <si>
    <t>44</t>
  </si>
  <si>
    <t>Хайгуулын ажил болон ашиглалтын өмнөх үйл ажиллагаанд зориулж импортоор  оруулсан болон худалдан авсан бараа, ажил, үйлчилгээнд төлсөн НӨАТ</t>
  </si>
  <si>
    <t>45</t>
  </si>
  <si>
    <t>Тайлант хугацааны албан татвар ногдох бараа, ажил, үйлчилгээтэй хамааралгүй импортоор оруулсан болон худалдан авсан бараа, ажил, үйлчилгээнд төлсөн НӨАТ</t>
  </si>
  <si>
    <t>46</t>
  </si>
  <si>
    <t>Тухайн сард хасагдах НӨАТ-ын дүн</t>
  </si>
  <si>
    <t>47(39-40)</t>
  </si>
  <si>
    <t>В. САНХҮҮГИЙН ТҮРЭЭСИЙН ЗҮЙЛИЙН БОЛОН САНХҮҮЖИЛТИЙН ХЭЛЭЛЦЭЭРИЙН  ЗҮЙЛИЙН НЭМЭГДСЭН  ӨРТГИЙН АЛБАН ТАТВАРЫН ТООЦОО</t>
  </si>
  <si>
    <t>Санхүүгийн түрээсийн зүйлийг санхүүгийн түрээсээр дотоодын зах зээлд борлуулсны орлого</t>
  </si>
  <si>
    <t>48</t>
  </si>
  <si>
    <t>Факторинг, форфайтинг зэрэг тэдгээртэй адилтгах хэлцлийн үйлчилгээний орлого</t>
  </si>
  <si>
    <t>49</t>
  </si>
  <si>
    <t xml:space="preserve">Ногдуулсан НӨАТ </t>
  </si>
  <si>
    <t>+50(48+49)*10%</t>
  </si>
  <si>
    <t>Санхүүгийн түрээсийн зүйлийг санхүүгийн түрээсээр дотоодын зах зээлээс худалдан авахад төлсөн түрээсийн төлбөр /төлбөр хийхээр тохирсон хуваарийг баримтлан/</t>
  </si>
  <si>
    <t>51</t>
  </si>
  <si>
    <t>Факторинг, форфайтинг зэрэг тэдгээртэй адилтгах хэлцлийг худалдан авахад төлсөн төлбөр /төлбөр хийхээр тохирсон хуваарийг баримтлан/</t>
  </si>
  <si>
    <t>52</t>
  </si>
  <si>
    <t>Хасагдах НӨАТ</t>
  </si>
  <si>
    <t>53(51+52)*10%</t>
  </si>
  <si>
    <t>Г. ТУХАЙН САРЫН НЭМЭГДСЭН ӨРТГИЙН АЛБАН ТАТВАРЫН ТООЦООЛОЛ</t>
  </si>
  <si>
    <t>Тухайн сард төлбөл зохих НӨАТ</t>
  </si>
  <si>
    <t>54(32+50)</t>
  </si>
  <si>
    <t>Тухайн сард буцаан авах НӨАТ</t>
  </si>
  <si>
    <t>55(47+53)</t>
  </si>
  <si>
    <t>Д. ӨМНӨХ  САРЫН ТАЙЛАНГИЙН  ЗАЛРУУЛГА</t>
  </si>
  <si>
    <t>Борлуулалтын орлогын буцаалт, хөнгөлөлтийн дүн</t>
  </si>
  <si>
    <t>56</t>
  </si>
  <si>
    <t xml:space="preserve">Төлсөн НӨАТ </t>
  </si>
  <si>
    <t>57(56*10%)</t>
  </si>
  <si>
    <t>Худалдан авалтын буцаалт, хөнгөлөлтийн дүн</t>
  </si>
  <si>
    <t>58</t>
  </si>
  <si>
    <t>59(58*10%)</t>
  </si>
  <si>
    <t>Е. ТУХАЙН САРЫН НЭМЭГДСЭН ӨРТГИЙН АЛБАН ТАТВАРЫН ТООЦООЛОЛ</t>
  </si>
  <si>
    <t>НИЙТ ТӨЛБӨЛ ЗОХИХ  НӨАТ</t>
  </si>
  <si>
    <t>60(54-57)</t>
  </si>
  <si>
    <t xml:space="preserve">НИЙТ БУЦААН АВАХ НӨАТ   </t>
  </si>
  <si>
    <t>61(55-59)</t>
  </si>
  <si>
    <t>ЭЦСИЙН ТООЦООГООР ТӨЛБӨЛ ЗОХИХ НӨАТ</t>
  </si>
  <si>
    <t>62(60-61)</t>
  </si>
  <si>
    <t>ЭЦСИЙН ТООЦООГООР БУЦААН АВАХ НӨАТ</t>
  </si>
  <si>
    <t>63-(60-61)</t>
  </si>
  <si>
    <t xml:space="preserve">Ё.ТАТВАРЫН ТООЦООЛОЛ              </t>
  </si>
  <si>
    <t>ДЕБЕТ</t>
  </si>
  <si>
    <t>КРЕДИТ</t>
  </si>
  <si>
    <t>Тайлангийн эхний үлдэгдэл</t>
  </si>
  <si>
    <t>Тайлант хугацаанд ногдуулсан татвар</t>
  </si>
  <si>
    <t>Тайлант хугацаанд төсвөөс буцаан авсан</t>
  </si>
  <si>
    <t>Тайлант хугацаанд хүлээн авсан үлдэгдэл</t>
  </si>
  <si>
    <t>Тайлант хугацаанд шилжүүлсэн үлдэгдэл</t>
  </si>
  <si>
    <t>Тайлант хугацаанд хүчингүй болсон</t>
  </si>
  <si>
    <t>Суутган тооцоолсон</t>
  </si>
  <si>
    <t>Тайлангийн эцсийн үлдэгдэл</t>
  </si>
  <si>
    <t>Тайланг үнэн зөв гаргасан:</t>
  </si>
  <si>
    <t xml:space="preserve">Татварын улсын байцаагч . . . . . . . . . . . . . .  . . .  . . . . </t>
  </si>
  <si>
    <t>МВ73111111</t>
  </si>
  <si>
    <t xml:space="preserve">Морилка </t>
  </si>
  <si>
    <t>Н-Ембүү /20*30мм/</t>
  </si>
  <si>
    <t>Н-Шатны бариул /58*68мм/</t>
  </si>
  <si>
    <t>Н-Хэлбэртэй плинтус /20*80мм/</t>
  </si>
  <si>
    <t>Н-Хагас хэлбэртэй плинтус /20*30мм/</t>
  </si>
  <si>
    <t>ХҮРЭЭ ЦАМХАГ ХХК</t>
  </si>
  <si>
    <t xml:space="preserve">ГАН ЗОСОН КОНСТРАКШН ХХК </t>
  </si>
  <si>
    <t>ЖЯ95071002</t>
  </si>
  <si>
    <t>ОС83092834</t>
  </si>
  <si>
    <t>УЛ91061815</t>
  </si>
  <si>
    <t>СЭФИЛО ХХК</t>
  </si>
  <si>
    <t xml:space="preserve">ГОЛОМТ БАНК </t>
  </si>
  <si>
    <t xml:space="preserve">ГРИЙН АРТ ПАРК ХХК </t>
  </si>
  <si>
    <t>ИХ ГОВИЙН ЭРЧИМ ХУРД ХХК</t>
  </si>
  <si>
    <t xml:space="preserve">СИЛК РӨҮТ ТЕКСТИЛЬ ХХК </t>
  </si>
  <si>
    <t>АЖ АХУЙН НЭГЖИЙН ОРЛОГЫН АЛБАН ТАТВАРЫН ТАЙЛАНГИЙН ХАВСРАЛТ</t>
  </si>
  <si>
    <t>2. БОРЛУУЛСАН БҮТЭЭГДЭХҮҮНИЙ ӨРТӨГ</t>
  </si>
  <si>
    <t>2.1 Үйлдвэрлэл, үйлчилгээ бусад чиглэлээр үйл ажиллагаа эрхэлдэг аж ахуйн нэгжийн борлуулсан бүтээгдэхүүний өртөгийн тооцоолол/оны эхнээс өссөн дүнгээр, төгрөг мөнгөөр/</t>
  </si>
  <si>
    <t>Үзүүэлт</t>
  </si>
  <si>
    <t xml:space="preserve">Тоо </t>
  </si>
  <si>
    <t>Өртөг 1</t>
  </si>
  <si>
    <t>Өртөг 2</t>
  </si>
  <si>
    <t>Өртөг 3</t>
  </si>
  <si>
    <t>Өртөг 4</t>
  </si>
  <si>
    <t xml:space="preserve">Бэлэн бүтээгдэхүүн дансны эхний үлдэгдэл </t>
  </si>
  <si>
    <t>Тайлант онд үйлдвэрлэсэн бүтээгдэхүүний өртөг (2.1+2.2+2.3+2.4-2.5)</t>
  </si>
  <si>
    <t>Дуусаагүй үйлдвэрлэл дансны тайлант оны эхний үлдэгдэл (+)</t>
  </si>
  <si>
    <t>Шууд материалын зардал (+)</t>
  </si>
  <si>
    <t>Шууд хөдөлмөрийн зардал (+)</t>
  </si>
  <si>
    <t>Үйлдвэрлэлийн нэмэгдэл зардал (+)</t>
  </si>
  <si>
    <t>Дуусаагүй үйлдвэрлэл дансны тайлант оны эцсийн үлдэгдэл (+)</t>
  </si>
  <si>
    <t>Бүтээгдэхүүний бусад зарлага</t>
  </si>
  <si>
    <t>Борлуулхад бэлэн бүтээгдэхүүний өртөг (1+2-3)</t>
  </si>
  <si>
    <t xml:space="preserve">Бэлэн бүтээгдэхүүн дансны эцсийн үлдэгдэл </t>
  </si>
  <si>
    <t>Борлуулсан бүтээгдэхүүний өртөг (4-5)</t>
  </si>
  <si>
    <t>2.2 Худалдааны чиглэлийн аж ахуйн нэгжийн борлуулсан барааны өртөгийн тооцоолол/оны эхнээс өссөн дүнгээр, төгрөг мөнгөөр/</t>
  </si>
  <si>
    <t xml:space="preserve">Бараа дансны тайлант оны эхний үлдэгдэл </t>
  </si>
  <si>
    <t>Тайлант үед худалдан авсан барааны цэвэр өртөг (2.1+2.2-2.3-2.4)</t>
  </si>
  <si>
    <t>Худалдан авсан барааны үнэ (+)</t>
  </si>
  <si>
    <t>Бараа бэлтгэлийн зардал (+)</t>
  </si>
  <si>
    <t xml:space="preserve">Тээврийн зардал </t>
  </si>
  <si>
    <t>Даатгалын зардал</t>
  </si>
  <si>
    <t>Татвар, хураамж</t>
  </si>
  <si>
    <t xml:space="preserve">Ачиж буулгах зардал </t>
  </si>
  <si>
    <t xml:space="preserve">Бусад зардал </t>
  </si>
  <si>
    <t>Худалдан авалтын үнийн хөнгөлөлт (-)</t>
  </si>
  <si>
    <t>Худалдан авалтаас буцаасан барааны өртөг (-)</t>
  </si>
  <si>
    <t>Барааны бусад зарлага (-)</t>
  </si>
  <si>
    <t>Борлуулхад бэлэн бараа (1+2-3)</t>
  </si>
  <si>
    <t xml:space="preserve">Бараа дансны тайлант оны эцсийн үлдэгдэл </t>
  </si>
  <si>
    <t>3. АЛБАН ТАТВАР НОГДОХ ОРЛОГООС ХАСАГДАХ ЗАРДАЛ/оны эхнээс өссөн дүнгээр, төгрөг мөнгөөр/</t>
  </si>
  <si>
    <t>4. АЛБАН ТАТВАР НОГДОХ ОРЛОГООС ХАСАГДАХГҮЙ ЗАРДАЛ/оны эхнээс өссөн дүнгээр, төгрөг мөнгөөр/</t>
  </si>
  <si>
    <t xml:space="preserve">Албан томилолтын зардал /төрийн албан хаагчийн албан томилолтын зардал 2 дахин нэмэгдүүлсэнээс хэтэрсэн дүн </t>
  </si>
  <si>
    <t>Сайн дурын даатгалын хураамж/татвар ногдуулах орлогын 15 хувиас хэтэрсэн дүн/</t>
  </si>
  <si>
    <t>Урсгал засварын зардал /үл хөдлөх эд хөрөнгийн хувьд үлдэгдэл өртөгийн 2 хувь бусад хөрөнгийн хувьд үлдэгдэл өртөгийн 5 хувиас хэтэрсэн дүн /</t>
  </si>
  <si>
    <t xml:space="preserve">Бараа материалын хэвийн бус хорогдол </t>
  </si>
  <si>
    <t xml:space="preserve">Санхүүгийн түрээсийн төлбөр </t>
  </si>
  <si>
    <t xml:space="preserve">Албан татвар төлөгчийн буруутай үйл ажиллагаатай холбогдон төлсөн торгууль алданги, бусад учируулсан хохирлыг нөхөн төлсөн төлбөр </t>
  </si>
  <si>
    <t>Чөлөөлөгдөх орлого олохтой холбоотой гарсан зардал</t>
  </si>
  <si>
    <t>Валютын ханшын бодит бус алдагдал</t>
  </si>
  <si>
    <t>Албан татвар ногдох орлогоос хасагдахгүй нийт зардалын дүн /1+.....+9/</t>
  </si>
  <si>
    <t>7. ХАРИЛЦАН ХАМААРАЛ БҮХИЙ ЭТГЭЭДҮҮДИЙН ХООРОНД ХИЙГДСЭН САНХҮҮГИЙН ГҮЙЛГЭЭНИЙ ТАЛААРХИ МЭДЭЭЛЭЛ</t>
  </si>
  <si>
    <t>7.1 харилцан хамаарал бүхий талуудын хооронд хийгдсэн ажил гүйлгээний жагсаалт /Гүйлгээ хийгдсэн харилцан хамаарал бүхий компани тус бүрээр 7.2, 7.3-ыг тодруулга хэсгийг бөглөнө.</t>
  </si>
  <si>
    <t>Д/д</t>
  </si>
  <si>
    <t xml:space="preserve">Гүйлгээний төрөл </t>
  </si>
  <si>
    <t>Дүн 1</t>
  </si>
  <si>
    <t>Дүн 2</t>
  </si>
  <si>
    <t>Дүн 3</t>
  </si>
  <si>
    <t>Дүн 4</t>
  </si>
  <si>
    <t xml:space="preserve">Гүйлгээний дүн </t>
  </si>
  <si>
    <t xml:space="preserve">Бараа бүтээгдэхүүн борлуулсаны орлого </t>
  </si>
  <si>
    <t xml:space="preserve">Үл хөдлөх хөрөнгө борлуулсаны орлого </t>
  </si>
  <si>
    <t xml:space="preserve">Хөдлөх хөрөнгө борлуулсаны орлого </t>
  </si>
  <si>
    <t xml:space="preserve">Хөрөнгийн түрээсийн орлого </t>
  </si>
  <si>
    <t xml:space="preserve">Биет бус хөрөнгө борлуулсаны орлого </t>
  </si>
  <si>
    <t xml:space="preserve">Биет бус хөрөнгө түрээслүүлсэний орлого </t>
  </si>
  <si>
    <t xml:space="preserve">Ажил үйлчилгээ үзүүлсэний орлого </t>
  </si>
  <si>
    <t xml:space="preserve">Хураамжийн орлого </t>
  </si>
  <si>
    <t xml:space="preserve">Хүүгийн орлого </t>
  </si>
  <si>
    <t xml:space="preserve">Даатгалын хураамжийн орлого </t>
  </si>
  <si>
    <t xml:space="preserve">Зөвлөх үйлчилгээний орлого </t>
  </si>
  <si>
    <t xml:space="preserve">Бусад орлого </t>
  </si>
  <si>
    <t xml:space="preserve">НИЙТ ДҮН </t>
  </si>
  <si>
    <t xml:space="preserve">Бараа бүтээгдэхүүн худалаж авсаны зардал </t>
  </si>
  <si>
    <t xml:space="preserve">Үл хөдлөх хөрөнгө худалдаж авсаны зардал </t>
  </si>
  <si>
    <t xml:space="preserve">Хөдлөх хөрөнгө худалдан авсаны зардал </t>
  </si>
  <si>
    <t xml:space="preserve">Хөрөнгийн түрээсийн зардал </t>
  </si>
  <si>
    <t xml:space="preserve">Биет бус хөрөнгө худалдаж авсаны зардал </t>
  </si>
  <si>
    <t xml:space="preserve">Биет бус хөрөнгө түрээслэсний зардал </t>
  </si>
  <si>
    <t xml:space="preserve">Ажил үйлчилгээний төлбөр </t>
  </si>
  <si>
    <t xml:space="preserve">Хураамжийн төлбөр </t>
  </si>
  <si>
    <t xml:space="preserve">Хүүгийн зардал </t>
  </si>
  <si>
    <t xml:space="preserve">Даатгалын хураамжийн зардал </t>
  </si>
  <si>
    <t xml:space="preserve">Зөвлөх үйлчилгээний зардал </t>
  </si>
  <si>
    <t>Зээлдүүлсэн мөнгөний дүн а. Тайлант хугацааны эхэнд</t>
  </si>
  <si>
    <t xml:space="preserve">                                                    б. Тайлант хугацааны эцэст</t>
  </si>
  <si>
    <t>Зээлсэн мөнгөний дүн          а. Тайлант хугацааны эхэнд</t>
  </si>
  <si>
    <t>7.1 Харилцан хамаарал бүхий талуудын хооронд бараа солилцоогоор болон  өрийн төлбөрт өгсөн гүйлгээний жагсаалт /оны эхнээс өссөн дүнгээр, төгрөг мөнгөөр/</t>
  </si>
  <si>
    <t xml:space="preserve">Зах зээлийн үнэлгээний дүн </t>
  </si>
  <si>
    <t xml:space="preserve">Бараа солилцоо, өрийн төлбөрт өгсөн дүн </t>
  </si>
  <si>
    <t xml:space="preserve">Хөдлөх болон үл хөдлөх хөрөнгийн борлуулалтын орлого </t>
  </si>
  <si>
    <t xml:space="preserve">Үйлчилгээний орлого </t>
  </si>
  <si>
    <t>Нийт орлогын дүн /мөр 1+2+3/</t>
  </si>
  <si>
    <t xml:space="preserve">Хөдлөх болон үл хөдлөх хөрөнгийн худалдан авалтын дүн  </t>
  </si>
  <si>
    <t xml:space="preserve">Үйлчилгээний төлбөр </t>
  </si>
  <si>
    <t xml:space="preserve">Биет бус хөрөнгө худалдан авалтын дүн </t>
  </si>
  <si>
    <t>Нийт төлбөрийн дүн /мөр 4+5+6/</t>
  </si>
  <si>
    <t>1-сар</t>
  </si>
  <si>
    <t>2-сар</t>
  </si>
  <si>
    <t>3-сар</t>
  </si>
  <si>
    <t>4-сар</t>
  </si>
  <si>
    <t>5-сар</t>
  </si>
  <si>
    <t>6-сар</t>
  </si>
  <si>
    <t>7-сар</t>
  </si>
  <si>
    <t>8-сар</t>
  </si>
  <si>
    <t>9-сар</t>
  </si>
  <si>
    <t>10-сар</t>
  </si>
  <si>
    <t>11-сар</t>
  </si>
  <si>
    <t>12-сар</t>
  </si>
  <si>
    <t>Регистрийн дугаар:|_2_|_0_|_1_|_8_|_9_|_4_|_2_|</t>
  </si>
  <si>
    <t>Компанийн нэр:ШИНЭСТ ХК</t>
  </si>
  <si>
    <t>Хаяг: Аймаг, хотУлаанбаатар</t>
  </si>
  <si>
    <t>Сум, дүүрэг:Хан уул дүүрэг</t>
  </si>
  <si>
    <t xml:space="preserve">Баг, хороо:3-р хороо </t>
  </si>
  <si>
    <t>Гудамж, хороолол:Эв нэгдэлийн гудамж</t>
  </si>
  <si>
    <t xml:space="preserve">Байр:Шинэст ХК -н өөрийн байр </t>
  </si>
  <si>
    <t>Утас:7011441499119765 99066093 86001044</t>
  </si>
  <si>
    <t>Хуудас1</t>
  </si>
  <si>
    <t>САНХҮҮГИЙН ТАЙЛАНГИЙН ТОДРУУЛГА</t>
  </si>
  <si>
    <t>( Аж ахуйн нэгжийн нэр )</t>
  </si>
  <si>
    <t>Үндсэн үйл ажиллагааны чиглэл /төрөл /:</t>
  </si>
  <si>
    <t>( а )</t>
  </si>
  <si>
    <t>( б )</t>
  </si>
  <si>
    <t>( в )</t>
  </si>
  <si>
    <t>Туслах үйл ажиллагааны чиглэл / төрөл /:</t>
  </si>
  <si>
    <t>Салбар төлөөлөгчийн газарын нэр, байршил :</t>
  </si>
  <si>
    <t>1. ТАЙЛАН БЭЛТГЭХ ҮНДЭСЛЭЛ</t>
  </si>
  <si>
    <t>2. НЯГТЛАН БОДОХ БҮРТГЭЛИЙН БОДЛОГЫН ӨӨРЧЛӨЛТ</t>
  </si>
  <si>
    <t>3. МӨНГӨ ТҮҮНТЭЙ АДИЛТГАХ ХӨРӨНГӨ</t>
  </si>
  <si>
    <t>Хуудас2</t>
  </si>
  <si>
    <t xml:space="preserve">Мөнгөн хөрөнгийн зүйлс </t>
  </si>
  <si>
    <t xml:space="preserve">Эхний үлдэгдэл </t>
  </si>
  <si>
    <t xml:space="preserve">Эцсийн үлдэгдэл </t>
  </si>
  <si>
    <t>Касс дахь мөнгө</t>
  </si>
  <si>
    <t>Банкин дахь мөнгө</t>
  </si>
  <si>
    <t xml:space="preserve">Мөнгөтэй адилтгах хөрөнгө </t>
  </si>
  <si>
    <t xml:space="preserve">Нийт дүн </t>
  </si>
  <si>
    <t>4. ДАНСНЫ БОЛОН БУСАД АВЛАГА</t>
  </si>
  <si>
    <t>4.1 Дансны авлага</t>
  </si>
  <si>
    <t>Дансны авлага</t>
  </si>
  <si>
    <t>Дансны авлага/Цэвэр дүнгээр/</t>
  </si>
  <si>
    <t xml:space="preserve">Нэмэгдсэн </t>
  </si>
  <si>
    <t xml:space="preserve">Хасагдсан </t>
  </si>
  <si>
    <t xml:space="preserve">Төлөгдсөн </t>
  </si>
  <si>
    <t xml:space="preserve">Найдваргүй болсон </t>
  </si>
  <si>
    <t>4.2 Татвар нийгмийн даатгалын шимтгэл/НДШ/-н авлага</t>
  </si>
  <si>
    <t>Төрөл</t>
  </si>
  <si>
    <t>ААНОАТ-ын авлага</t>
  </si>
  <si>
    <t>НӨАТ-ын авлага</t>
  </si>
  <si>
    <t>НДШ-н авлага</t>
  </si>
  <si>
    <t>ХХОАТ</t>
  </si>
  <si>
    <t>4.3 Бусад богино хугацаат авлага/төрлөөр нь ангилна/</t>
  </si>
  <si>
    <t>Холбоотой талаас авах авлага/эргэлтийн хөрөнгөнд хамаарах дүн/</t>
  </si>
  <si>
    <t>Ажилчидаас авах авлага</t>
  </si>
  <si>
    <t>Ногдол ашгын авлага</t>
  </si>
  <si>
    <t>Хүүний авлага</t>
  </si>
  <si>
    <t xml:space="preserve">Богино хугацаат авлагын бичиг </t>
  </si>
  <si>
    <t>Бусад талуудаас авах авлага</t>
  </si>
  <si>
    <t>Тэмдэглэл./Дансны авлагыг төлөгдөх хугацаандаа байгаа, хугацаа хэтэрсэн, төлөгдөх найдваргүй гэж ангилна. Найдваргүй авлагын хасагдуулга байгуулсан арга, гадаад валютаар илэрхийлэгдсэн авлагын талаар болон бусад тайлбар тэмдэглэлийг хийнэ.</t>
  </si>
  <si>
    <t xml:space="preserve">5. БУСАД САНХҮҮГИЙН ХӨРӨНГӨ </t>
  </si>
  <si>
    <t>Хуудас3</t>
  </si>
  <si>
    <t xml:space="preserve">Төрөл </t>
  </si>
  <si>
    <t xml:space="preserve">6. БАРАА МАТЕРИАЛ </t>
  </si>
  <si>
    <t>Үзүүэлэлт</t>
  </si>
  <si>
    <t xml:space="preserve">Түүхий эд материал </t>
  </si>
  <si>
    <t>Дуусаагүй үйлдэв</t>
  </si>
  <si>
    <t xml:space="preserve">Бэлэн бүтээгдэхүүн </t>
  </si>
  <si>
    <t>Бараа</t>
  </si>
  <si>
    <t>Хангамжийн материал</t>
  </si>
  <si>
    <t>Эхний үлдэгдэл/өртөгөөр/</t>
  </si>
  <si>
    <t xml:space="preserve">Нэмэгдсэн дүн </t>
  </si>
  <si>
    <t>Хасагдсан дүн (-)</t>
  </si>
  <si>
    <t>Эцсийн үлдэгдэл/өртөгөөр/</t>
  </si>
  <si>
    <t>Үнийн бууралт гарз (-)</t>
  </si>
  <si>
    <t>Үнийн бууралтын буцаалт</t>
  </si>
  <si>
    <t>Дансны цэвэр дүн *:</t>
  </si>
  <si>
    <t xml:space="preserve">7. БОРЛУУЛАХ ЗОРИЛГООР ЭЗЭМШИЖ БУЙ ЭРГЭЛТИЙН БУС ХӨРӨНГӨ /ЭСВЭЛ БОРЛУУЛАХ БҮЛЭГ ХӨРӨНГӨ/ БОЛОН ӨР ТӨЛБӨР </t>
  </si>
  <si>
    <t>Тэмдэглэл/Борлуулах зорилгоор эзэмшиж буй эргэлтийн бус хөрөнгө /эсвэл борлуулах бүлэг хөрөнгө/ болон өр төлбөрийн тодорхойлолт, хэмжилтийн суурь, борлуулалт хийгдсэн аль эсвэл хийгдэхэд хүргэсэн нөхцөл байдал, борлуулах арга, хугацаа, хүлээн зөвшөөрсөн олз ба гарз болон бусад тайлбар, тэмдэглэлийг хийнэ.</t>
  </si>
  <si>
    <t>8. УРЬДЧИЛЖ ТӨЛСӨН ЗАРДАЛ/ТООЦОО</t>
  </si>
  <si>
    <t xml:space="preserve">Урьдчилж төлсөн зардал </t>
  </si>
  <si>
    <t>Урьдчилж төлсөн түрээс, даатгал</t>
  </si>
  <si>
    <t xml:space="preserve">Бэлтгэн нийлүүлэгчдэд төлсөн урьдчилгаа төлбөр </t>
  </si>
  <si>
    <t>Хуудас4</t>
  </si>
  <si>
    <t>9. ҮНДСЭН ХӨРӨНГӨ</t>
  </si>
  <si>
    <t>Газарын сайжируулалт</t>
  </si>
  <si>
    <t>Машин тоног төхөөрөмж</t>
  </si>
  <si>
    <t xml:space="preserve">Тээврийн хэрэгсэл </t>
  </si>
  <si>
    <t xml:space="preserve">Тавилга эд хогшил </t>
  </si>
  <si>
    <t xml:space="preserve">Компьютер бусад хэрэгсэл </t>
  </si>
  <si>
    <t xml:space="preserve">Бусад үндсэн хөрөнгө </t>
  </si>
  <si>
    <t xml:space="preserve">ҮНДСЭН ХӨРӨНГӨ </t>
  </si>
  <si>
    <t xml:space="preserve">Өөрөө үйлдвэрлэсэн </t>
  </si>
  <si>
    <t xml:space="preserve">Худалдаж авсан </t>
  </si>
  <si>
    <t xml:space="preserve">Үнэ төлбөргүй авсан </t>
  </si>
  <si>
    <t xml:space="preserve">Дахин үнэлгээний нэмэгдэл </t>
  </si>
  <si>
    <t xml:space="preserve">Хасагдсан дүн </t>
  </si>
  <si>
    <t xml:space="preserve">Худалдсан </t>
  </si>
  <si>
    <t xml:space="preserve">Үнэгүй шилжүүлсэн </t>
  </si>
  <si>
    <t xml:space="preserve">Акталсан </t>
  </si>
  <si>
    <t xml:space="preserve">Үндсэн хөрөнгө дахин ангилсан </t>
  </si>
  <si>
    <r>
      <t>Үндсэн хөрөнгө, ХОЗҮХХ</t>
    </r>
    <r>
      <rPr>
        <vertAlign val="superscript"/>
        <sz val="10"/>
        <color theme="1"/>
        <rFont val="Times New Roman"/>
        <family val="1"/>
      </rPr>
      <t xml:space="preserve">26 </t>
    </r>
    <r>
      <rPr>
        <sz val="10"/>
        <color theme="1"/>
        <rFont val="Times New Roman"/>
        <family val="1"/>
      </rPr>
      <t xml:space="preserve">хооронд дахин ангилсан </t>
    </r>
  </si>
  <si>
    <t xml:space="preserve">ХУРИМТЛАГДСАН ЭЛЭГДЭЛ </t>
  </si>
  <si>
    <t xml:space="preserve">Байгуулсан элэгдэл </t>
  </si>
  <si>
    <t xml:space="preserve">Дахин үнэлгээгээр нэмэгдсэн </t>
  </si>
  <si>
    <t>Үнэ цэнийн бууралтын буцаалт</t>
  </si>
  <si>
    <t xml:space="preserve">Хасагдах дүн </t>
  </si>
  <si>
    <t xml:space="preserve">Данснаас хассан хөрөнгийн элэгдэл </t>
  </si>
  <si>
    <t xml:space="preserve">Дахин үнэлгээгээр хасагдсан </t>
  </si>
  <si>
    <t>Үнэ цэнийн бууралт</t>
  </si>
  <si>
    <t>ДАНСНЫ ЦЭВЭР ҮНЭ</t>
  </si>
  <si>
    <t>Эхний үлдэгдэл /1.1-2.1/</t>
  </si>
  <si>
    <t>Эцсийн үлдэгдэл /1.4-2.4/</t>
  </si>
  <si>
    <t>Тэмдэглэл/Үндсэн хөрөнгийн анги бүрийн хувьд ашигласан хэмжилтийнсуурь: элэгдэл тооцох арга ашиглалтын хугацаа, дахин үнэлсэн бол дахин үнэлгээний хүчинтэй болсон хугацаа, хараат бус үнэлгээчин үнэлсэн эсэх талаар, үдсэн хөрөнгийн дахин ангилал, түүний шалтгаан, бусад тайлбар тэмдэглэлийг хийнэ./</t>
  </si>
  <si>
    <t>Хуудас5</t>
  </si>
  <si>
    <t>10. БИЕТ БУС ХӨРӨНГӨ</t>
  </si>
  <si>
    <t xml:space="preserve">Бусад биет бус хөрөнгө </t>
  </si>
  <si>
    <t>БИЕТ БУС ХӨРӨНГӨ/ӨРТӨГ/</t>
  </si>
  <si>
    <t>ХУРИМТЛАГДСАН ХОРОГДОЛ</t>
  </si>
  <si>
    <t>Байгуулсан хорогдол</t>
  </si>
  <si>
    <t>Данснаас хассан хөрөнгийн хорогдол</t>
  </si>
  <si>
    <t>Тэмдэглэл/Биет бус хөрөнгийн анги бүрийн хувьд ашигласан хэмжилтийн суурь, хорогдол тооцох арга, ашиглалтын хугацаа, дахин үнэлсэн бол дахин үнэлгээ хүчинтэй болсон хугацаа, хараат бус үнэлгээчин үнэлсэн эсэх, бусад биет бус хөрөнгийн бүрэлдхүүн болон бусад тайлбар тэмдэглэлийг хийнэ./</t>
  </si>
  <si>
    <t>11. ДУУСААГҮЙ БАРИЛГА</t>
  </si>
  <si>
    <t>Хуудас6</t>
  </si>
  <si>
    <t xml:space="preserve">Дуусаагүй барилгын нэр </t>
  </si>
  <si>
    <t xml:space="preserve">Эхэлсэн он </t>
  </si>
  <si>
    <t>Дуусгалтын хувь</t>
  </si>
  <si>
    <t xml:space="preserve">Нийт төсөвт өртөг </t>
  </si>
  <si>
    <t>Ашиглалтанд орох эцсийн хугацаа</t>
  </si>
  <si>
    <t xml:space="preserve">12. БИОЛОГИЙН ХӨРӨНГӨ </t>
  </si>
  <si>
    <t xml:space="preserve">Хөрөнгө оруулалтын төрөл </t>
  </si>
  <si>
    <t>Тэмдэглэл: /Биологийн хөрөнгийн хэмжилтийн суурь болон бусад тайлбар, тэмдэглэлийг хийнэ./</t>
  </si>
  <si>
    <t>13. УРТ ХУГАЦААТ ХӨРӨНГӨ ОРУУЛАЛТ</t>
  </si>
  <si>
    <t xml:space="preserve">Хөрөнгө оруулалтын хувь </t>
  </si>
  <si>
    <t xml:space="preserve">Хөрөнгө оруулалтын дүн </t>
  </si>
  <si>
    <r>
      <t xml:space="preserve">Тэмдэглэл: /Урт хугацаат хөрөнгө оруулалттай хобоотой бий болсон олз, гарзын дүн, бүртгэсэн аргыг тодоруулна. Охин компани, хамтын хяналттай аж ахуйн нэгж, хараат команид оруулсан хөрөнгө оруулалтыг НББОУС </t>
    </r>
    <r>
      <rPr>
        <vertAlign val="superscript"/>
        <sz val="10"/>
        <color theme="1"/>
        <rFont val="Times New Roman"/>
        <family val="1"/>
      </rPr>
      <t>27</t>
    </r>
    <r>
      <rPr>
        <sz val="10"/>
        <color theme="1"/>
        <rFont val="Times New Roman"/>
        <family val="1"/>
      </rPr>
      <t xml:space="preserve"> </t>
    </r>
    <r>
      <rPr>
        <i/>
        <sz val="10"/>
        <color theme="1"/>
        <rFont val="Times New Roman"/>
        <family val="1"/>
      </rPr>
      <t>нэгтгэсэн болон тусдаа санхүүгийн тайлан</t>
    </r>
    <r>
      <rPr>
        <sz val="10"/>
        <color theme="1"/>
        <rFont val="Times New Roman"/>
        <family val="1"/>
      </rPr>
      <t xml:space="preserve"> -ийн дагуу тодоруулна./</t>
    </r>
  </si>
  <si>
    <t>14.  ХӨРӨНГӨ ОРУУЛАЛТЫН ЗОРИУЛАЛТТАЙ ҮЛ ХӨДЛӨХ ХӨРӨНГӨ</t>
  </si>
  <si>
    <r>
      <t xml:space="preserve">Тэмдэглэл: /Хөрөнгө оруулалтын зориулалттай үл хөдлөх хөрөнгийн хувьд ашигласан хэмжилтийн суурь: бодит үнэ цэнийн загвар ашигладаг бол бодит үнэ цэнийг тодорхойлхол ашигласан арга, бодит үнэ цэнийн тохируулгаас үүссэн олз, гарз : хэрэв түрээслэдэг бол түрээсийн орлого, түрээслэсэн хөрөнгөтэй холбоотой гарсан зардалууд. Хэрэв өртөгийн загвар ашигладаг бол хөрөнгийн ашиглалтын хугацаа, элэгдэл тооцох арга болон НББОУС </t>
    </r>
    <r>
      <rPr>
        <vertAlign val="superscript"/>
        <sz val="10"/>
        <color theme="1"/>
        <rFont val="Times New Roman"/>
        <family val="1"/>
      </rPr>
      <t>40</t>
    </r>
    <r>
      <rPr>
        <sz val="10"/>
        <color theme="1"/>
        <rFont val="Times New Roman"/>
        <family val="1"/>
      </rPr>
      <t xml:space="preserve"> </t>
    </r>
    <r>
      <rPr>
        <i/>
        <sz val="10"/>
        <color theme="1"/>
        <rFont val="Times New Roman"/>
        <family val="1"/>
      </rPr>
      <t>Хөрөнгө оруулалтын зориулалттай үл хөдлөх хөрөнгө</t>
    </r>
    <r>
      <rPr>
        <sz val="10"/>
        <color theme="1"/>
        <rFont val="Times New Roman"/>
        <family val="1"/>
      </rPr>
      <t>-д заасны дагуу бусад тодруулгыг хийнэ./</t>
    </r>
  </si>
  <si>
    <t>15.  БУСАД ЭРГЭЛТИЙН БУС ХӨРӨНГӨ</t>
  </si>
  <si>
    <t>Хуудас7</t>
  </si>
  <si>
    <t>Тэмдэглэл: /Бусад эргэлтийн бус хөрөнгийн төрөл тус бүрээр тайлбар, тэмдэглэлийг хийнэ. Урт хугацаат авлагыг тодоруулна./</t>
  </si>
  <si>
    <t>16.  ӨР ТӨЛБӨР</t>
  </si>
  <si>
    <t xml:space="preserve">16.1 Дансны өглөг </t>
  </si>
  <si>
    <t>-Төлөгдөх хугацаандаа байгаа</t>
  </si>
  <si>
    <t>-Хугацаандаа хэтэрсэн</t>
  </si>
  <si>
    <t xml:space="preserve">16.2 Татварын өр </t>
  </si>
  <si>
    <t xml:space="preserve">ААНОАТ-ын өр </t>
  </si>
  <si>
    <t xml:space="preserve">НӨАТ-ын өр </t>
  </si>
  <si>
    <t xml:space="preserve">ХХОАТ-ын өр </t>
  </si>
  <si>
    <t>ОАТ-ын өр</t>
  </si>
  <si>
    <t>Бусад татварын өр</t>
  </si>
  <si>
    <t xml:space="preserve">16.3 Богино хугацаат ээл </t>
  </si>
  <si>
    <t xml:space="preserve">төгрөгөөр </t>
  </si>
  <si>
    <t>валютаар</t>
  </si>
  <si>
    <t xml:space="preserve">16.4 Богино хугацаат нөөц/өр төлбөр/ </t>
  </si>
  <si>
    <t xml:space="preserve">Нөөцийн төрөл </t>
  </si>
  <si>
    <t>Хасагдсан /ашигласан нөөц/ /-/</t>
  </si>
  <si>
    <t xml:space="preserve">Ашиглаагүй буцаан бичсэн дүн </t>
  </si>
  <si>
    <t xml:space="preserve">Баталгаат засварын </t>
  </si>
  <si>
    <t xml:space="preserve">Нөхөн сэргээлтийн </t>
  </si>
  <si>
    <t>Тэмдэглэл: /Урт хугацаат нөөцийн дүнг тодоруулна. Нөөцийн төрлөөр тайлбар, тэмдэглэл хийнэ./</t>
  </si>
  <si>
    <t>Хуудас8</t>
  </si>
  <si>
    <t xml:space="preserve">16.5 Бусад богино хугацаат өр төлбөр  </t>
  </si>
  <si>
    <t>Тэмдэглэл: /Гадаад валютаар илэрхийлэгдсэн богино хугацаат өр төлбөрийн дүнг тусад нь тодоруулна./</t>
  </si>
  <si>
    <t xml:space="preserve">16.6 Урт хугацаат зээл болон бусад урт хугацаат өр төлбөр  </t>
  </si>
  <si>
    <t xml:space="preserve">Урт хугацаат зээлийн дүн </t>
  </si>
  <si>
    <t xml:space="preserve">Гадаадын байгууллагаас шууд авсан зээл </t>
  </si>
  <si>
    <t xml:space="preserve">Гадаадын байгууллагаас дамжуулан авсан зээл </t>
  </si>
  <si>
    <t xml:space="preserve">Дотоодын эх үүсвэрээс авсан зээл </t>
  </si>
  <si>
    <t>Бусад урт хугацаат өр төлбөрийн дүн /гадаад, дотоодын зах зээлд гагасан бонд, өрийн бичиг/</t>
  </si>
  <si>
    <t>Тэмдэглэл: /Урт хугацаат зээл болон бусад урт хугацаат өр төлбөрийн тайлбар, тэмдэглэл хийнэ./</t>
  </si>
  <si>
    <t>17.  ЭЗДИЙН ӨМЧ</t>
  </si>
  <si>
    <t>17.1 Өмч</t>
  </si>
  <si>
    <t>Эргэлтэнд байгаа бүрэн төлөгдсөн энгийн хувьцаа</t>
  </si>
  <si>
    <t xml:space="preserve">Давуу эрхтэй хувьцаа </t>
  </si>
  <si>
    <t xml:space="preserve">Өмчийн дүн /төгрөгөөр/ </t>
  </si>
  <si>
    <t>Тоо ширхэг</t>
  </si>
  <si>
    <t>Дүн /төгрөгөөр/</t>
  </si>
  <si>
    <t xml:space="preserve">17.2 Хөрөнгийн дахин үнэлгээний нэмэгдэл </t>
  </si>
  <si>
    <t xml:space="preserve">Үндсэн хөрөнгийн дахин үнэлгээний нэмэгдэл </t>
  </si>
  <si>
    <t xml:space="preserve">Биет бус хөрөнгийн дахин үнэлгээний нэмэгдэл </t>
  </si>
  <si>
    <t>Дахин үнэлгээний нэмэгдэлийн зөрүү</t>
  </si>
  <si>
    <t>Хуудас9</t>
  </si>
  <si>
    <t>Дахин үнэлсэн хөрөнгийн үнэ цэнийн бууралтын газрын буцаалт</t>
  </si>
  <si>
    <t>Хасагдсан дүн /-/</t>
  </si>
  <si>
    <t xml:space="preserve">Дахин үнэлгээний нэмэгдэлийн хэрэгжсэн дүн </t>
  </si>
  <si>
    <t>Дахин үнэлсэн хөрөнгийн үнэ цэнийн бууралтын гарз</t>
  </si>
  <si>
    <t xml:space="preserve">17.3 Гадаад валютын хөрвүүлэлтийн нөөц </t>
  </si>
  <si>
    <t>Нэмэгдсэн</t>
  </si>
  <si>
    <t>Хасагдсан/-/</t>
  </si>
  <si>
    <t>Гадаад үйл ажиллагааны хөрвүүлэлтээс үүссэн зөрүү</t>
  </si>
  <si>
    <t>Бүртгэлийн валютыг толилуулгын валют руу хөрвүүлснээс үүссэн зөрүү</t>
  </si>
  <si>
    <t xml:space="preserve">17.4 Эздийн өмчийн бусад хэсэг </t>
  </si>
  <si>
    <t>Тэмдэглэл: /Эздийн өмчийн бусад хэсгийн бүрэлдхүүн тус бүрээр тодруулж тайлбар, тэмдэглэл хийнэ./</t>
  </si>
  <si>
    <t xml:space="preserve">18.  БОРЛУУЛАЛТЫН ОРЛОГО БОЛОН БОРЛУУЛАЛТЫН ӨРТӨГ </t>
  </si>
  <si>
    <t xml:space="preserve">Өмнөх оны дүн </t>
  </si>
  <si>
    <t xml:space="preserve">Тайлант оны дүн </t>
  </si>
  <si>
    <t>Борлуулалтын орлого :</t>
  </si>
  <si>
    <t>Ажил, үйлчилгээ борлуулсны орлого:</t>
  </si>
  <si>
    <t>Нийт борлуулалтын орлого</t>
  </si>
  <si>
    <t>Борлуулалтын буцаалт, хөнгөлөлт, үнийн бууралт/-/</t>
  </si>
  <si>
    <t>Хуудас10</t>
  </si>
  <si>
    <t>Цэвэр борлуулалт:</t>
  </si>
  <si>
    <t>Борлуулалтын өртөг:</t>
  </si>
  <si>
    <t xml:space="preserve">Борлуулсан бараа, бүтээгдэхүүний өртөг </t>
  </si>
  <si>
    <t xml:space="preserve">Борлуулсан ажил үйлчилгээний өртөг </t>
  </si>
  <si>
    <t xml:space="preserve">Нийт борлуулалтын өртөг </t>
  </si>
  <si>
    <t>Дахин үнэлсэн хөрөнгийн өмнөх тайлант хугацаанд ашиг, алдагдлаар хүлээн зөвшөөрсөн үнэ цэнийн бууралтын гарзын дүнгээс хэтэрсэн дүн.</t>
  </si>
  <si>
    <t>Дахин үнэлсэн хөрөнгийн үнэ цэнийн бууралтын гарз нь тухайн хөрөнгийн дахин үнэлгээний нэмэгдлийн лүнгээс хэтрэхгүй хэмжээ хүртэл байхаар дахин үнэлсэн хөрөнгийн үнэ цэнийн бууралтын гарзыг бусад дэлгэрэнгүй орлогод хүлээн зөвшөөрнө. Үлдсэн дүнг ашиг, алдагдлаар хүлээн зөвшөөрнө.</t>
  </si>
  <si>
    <t xml:space="preserve">19.  БУСАД ОРЛОГО, ОЛЗ/ГАРЗ/, АШИГ/АЛДАГДАЛ/ </t>
  </si>
  <si>
    <t xml:space="preserve">19.1 Бусад орлого </t>
  </si>
  <si>
    <t xml:space="preserve">Оролгын төрөл </t>
  </si>
  <si>
    <t xml:space="preserve">19.2 Гадаад валютын ханшийн зөрүүний олз, гарз </t>
  </si>
  <si>
    <t>Мөнгөн хөрөнгийн үлдэгдэл хийсэн ханшийн тэгшитгэлийн ханшийн зөрүү</t>
  </si>
  <si>
    <t>Эргэлтийн авлага, өр төлбөртэй холбоотой үүссэн ханшийн зөрүү</t>
  </si>
  <si>
    <t>Эргэлтийн бус авлага, өр төлбөртэй холбоотой үүссэн ханшийн зөрүү</t>
  </si>
  <si>
    <t>Валютын арилжаанаас үүссэн олз/гарз</t>
  </si>
  <si>
    <t xml:space="preserve">19.3 Бусад ашиг/ алдагдал </t>
  </si>
  <si>
    <t>Ашиг /алдагдал</t>
  </si>
  <si>
    <t>Хөрөнгийн үнэ цэнийн бууралтын гарз</t>
  </si>
  <si>
    <t>ХОЗҮХХ-ийн бодит үнэ цэнийн өөрчлөлтийн олз гарз</t>
  </si>
  <si>
    <t>ХОЗҮХХ данснаас хассаны олз, гарз</t>
  </si>
  <si>
    <t>Хөрөнгийн үнэ цэнийн бууралтын гарз/гарзын буцаалт/</t>
  </si>
  <si>
    <t>20.  ЗАРДАЛ</t>
  </si>
  <si>
    <t xml:space="preserve">20.1 Борлуулалт маркетингийн болон ерөнхий ба удирдлагын зардлууд </t>
  </si>
  <si>
    <t xml:space="preserve">Зардалын төрөл </t>
  </si>
  <si>
    <t>Бор Мар</t>
  </si>
  <si>
    <t>ЕрУд</t>
  </si>
  <si>
    <t xml:space="preserve">Ажилчидын цалингийн зардал </t>
  </si>
  <si>
    <t xml:space="preserve">Аж ахуйн нэгжээс төлсөн НДШ-ийн зардал </t>
  </si>
  <si>
    <t>Албан татвар, төлбөр, хураамжийн зардал</t>
  </si>
  <si>
    <t xml:space="preserve">Томилолтын зардал </t>
  </si>
  <si>
    <t xml:space="preserve">Бичиг хэргийн зардал </t>
  </si>
  <si>
    <t xml:space="preserve">Шуудан холбооны зардал </t>
  </si>
  <si>
    <t xml:space="preserve">Мэргэжлийн үйлчилгээний зардал </t>
  </si>
  <si>
    <t xml:space="preserve">Сургалтын зардал </t>
  </si>
  <si>
    <t>Хуудас11</t>
  </si>
  <si>
    <t xml:space="preserve">Сонин сэтгүүлийн зардал </t>
  </si>
  <si>
    <t xml:space="preserve">Даатгалын зардал </t>
  </si>
  <si>
    <t xml:space="preserve">Ашиглалтын зардал </t>
  </si>
  <si>
    <t xml:space="preserve">Засварын зардал </t>
  </si>
  <si>
    <t>Элэгдэл, хорогдолын зардал</t>
  </si>
  <si>
    <t xml:space="preserve">Түрээсийн зардал </t>
  </si>
  <si>
    <t xml:space="preserve">Харуул хамгаалалтын зардал </t>
  </si>
  <si>
    <t xml:space="preserve">Цэврэлгээ үйлчилгээний зардал </t>
  </si>
  <si>
    <t xml:space="preserve">Шатхууны зардал </t>
  </si>
  <si>
    <t xml:space="preserve">Хүлээн авалтын зардал </t>
  </si>
  <si>
    <t xml:space="preserve">Зар сурталчилгааны зардал </t>
  </si>
  <si>
    <t xml:space="preserve">20.2 Бусад зардал </t>
  </si>
  <si>
    <t xml:space="preserve">Алданги, торгуулийн зардал </t>
  </si>
  <si>
    <t xml:space="preserve">Хандивийн зардал </t>
  </si>
  <si>
    <t xml:space="preserve">Найдваргүй авлагын зардал </t>
  </si>
  <si>
    <t xml:space="preserve">20.3 Цалингийн зардал </t>
  </si>
  <si>
    <t>Ажилчидын дундаж тоо</t>
  </si>
  <si>
    <t xml:space="preserve">Цалингийн зардалын дүн </t>
  </si>
  <si>
    <t>Үйлдвэрлэл, үйлчилгээний</t>
  </si>
  <si>
    <t xml:space="preserve">Борлуулалт маркетингийн </t>
  </si>
  <si>
    <t xml:space="preserve">Ерөнхий ба удирдлагын </t>
  </si>
  <si>
    <t>21. ОРЛОГЫН ТАТВАРЫН ЗАРДАЛ</t>
  </si>
  <si>
    <t>Хуудас12</t>
  </si>
  <si>
    <t xml:space="preserve">Тайлант үеийн орлогын татварын зардал </t>
  </si>
  <si>
    <t>Хойшлогдсон татварын зардал/орлого/</t>
  </si>
  <si>
    <t xml:space="preserve">Орлогын татварын зардал/орлого/-ын нийт дүн </t>
  </si>
  <si>
    <t>Тэмдэглэл: /Орлогын татварын зардал/орлого/-ын бүрэлдхүүн тус бүрээр тайлбар, тэмдэглэл хийнэ./</t>
  </si>
  <si>
    <t>22. ХОЛБООТОЙ ТАЛУУДЫН ТОДРУУЛГА</t>
  </si>
  <si>
    <t xml:space="preserve">22.1 Толгой компани, хамгийн дээд хяналт тавигч компани, хувь хүний талаарх мэдээлэл </t>
  </si>
  <si>
    <t>Толгой компани</t>
  </si>
  <si>
    <t>Хамгийн дээд хяналт тавигч толгой компани</t>
  </si>
  <si>
    <t>Хамгийн дээд хяналт тавигч хувь хүн</t>
  </si>
  <si>
    <t xml:space="preserve">Тайлбар </t>
  </si>
  <si>
    <t xml:space="preserve">Бүртгэгдсэн оршин суугаа улс </t>
  </si>
  <si>
    <t xml:space="preserve">Эзэмшилийн хувь </t>
  </si>
  <si>
    <t>22.2 Тэргүүлэх удирдлагын бүрэлдхүүнд олгосон нөхөн олговрын тухай мэдээлэл</t>
  </si>
  <si>
    <t>Тэргүүлэх удирдлага гэдэгт.........................................................бүрэлдхүүнийг хамруулна.</t>
  </si>
  <si>
    <t xml:space="preserve">Нөхөн олговрын нэр </t>
  </si>
  <si>
    <t>Богино болон урт хугацааны тэтгэмж</t>
  </si>
  <si>
    <t>Ажил эрхлэлтийн дараах, ажлаас халагдсаны тэтгэмж</t>
  </si>
  <si>
    <t xml:space="preserve">Хувьцаанд суурилсан төлбөр </t>
  </si>
  <si>
    <t>22.3 Холбоотой талуудын хийсэн ажил гүйлгээ</t>
  </si>
  <si>
    <t xml:space="preserve">Холбоотой талын нэр </t>
  </si>
  <si>
    <t>Ажил гүйлгээний утга</t>
  </si>
  <si>
    <t>23. БОЛЗОШГҮЙ ХӨРӨНГӨ БА ӨР ТӨЛБӨР</t>
  </si>
  <si>
    <t>Тэмдэглэл: /Болзошгүй хөрөнгө ба өр төлбөрийн мөн чанар, хэрэв практик боломжтой бол тэдгээрийн санхүүгийн нөлөөний тооцооллыг тодруулна./</t>
  </si>
  <si>
    <t>24. ТАЙЛАНГИЙН ҮЕИЙН ДАРААХ ҮЙЛ ЯВДАЛ</t>
  </si>
  <si>
    <t>Тэмдэглэл: /Тайлагналын өдрийн дараах үл залруулагдах үйл явдалын материаллаг ангилал тус бүрийн хувьд мөн чанар, санхүүгийн нөлөөллийн тооцоолол зэргийг тодруулж бусад тайлбар, тэмдэглэл хийнэ./</t>
  </si>
  <si>
    <t>Хуудас13</t>
  </si>
  <si>
    <t>25. ХӨРӨНГӨ ОРУУЛАЛТ</t>
  </si>
  <si>
    <t>Тайлант хугацаанд хийгдсэн хөрөнгө оруулалт/төгрөгөөр/</t>
  </si>
  <si>
    <t xml:space="preserve">Эцмийн үлдэгдэл </t>
  </si>
  <si>
    <t xml:space="preserve">Аж ахуйн нэгжийн өөрийн хөрөнгөөр </t>
  </si>
  <si>
    <t xml:space="preserve">Улсын төсөвийн хөрөнгөөр </t>
  </si>
  <si>
    <t xml:space="preserve">Орон нутгийн төсвийн хөрөнгөөр </t>
  </si>
  <si>
    <t>Банкны зээл</t>
  </si>
  <si>
    <t>Гадаадын шууд хөрөнгө оруулалт</t>
  </si>
  <si>
    <t xml:space="preserve">Гадаадын зээл </t>
  </si>
  <si>
    <t>Гадаадын буцалтгүй тусламж</t>
  </si>
  <si>
    <t>Төсөл хөтөлбөрийн хандив</t>
  </si>
  <si>
    <t xml:space="preserve">Бусад эх үүсвэр </t>
  </si>
  <si>
    <t xml:space="preserve">Биет бус хөрөнгө: </t>
  </si>
  <si>
    <t>Үүнээс: Орон сууцны барилга</t>
  </si>
  <si>
    <t xml:space="preserve">Авто зам </t>
  </si>
  <si>
    <t xml:space="preserve">Биологийн хөрөнгө </t>
  </si>
  <si>
    <t xml:space="preserve">Бусад биет хөрөнгө </t>
  </si>
  <si>
    <t>Үүнээс:  ХОЗҮХХ</t>
  </si>
  <si>
    <t xml:space="preserve">Биет хөрөнгийн дүн </t>
  </si>
  <si>
    <t xml:space="preserve">Зохиогчийн эрх </t>
  </si>
  <si>
    <t xml:space="preserve">Компьютер программ хангамж </t>
  </si>
  <si>
    <t>Үүнээс:      Программ хангамж</t>
  </si>
  <si>
    <t xml:space="preserve">               Мэдээллийн сан </t>
  </si>
  <si>
    <t xml:space="preserve">Барааны тэмдэг </t>
  </si>
  <si>
    <t xml:space="preserve">Тусгай зөвшөөрөл </t>
  </si>
  <si>
    <t>2.7.1</t>
  </si>
  <si>
    <t>Үүнээс: Зураг төсвийн        ажил,ТЭЗҮ боловсруулах, Туршилт судалгаа</t>
  </si>
  <si>
    <t xml:space="preserve">Биет бус хөрөнгийн дүн </t>
  </si>
  <si>
    <t xml:space="preserve">Хайгуул үнэлгээний хөрөнгө </t>
  </si>
  <si>
    <t>Үүнээс: Биет хөрөнгө</t>
  </si>
  <si>
    <t xml:space="preserve">Борлуулалтын авлагын түр тооцоо </t>
  </si>
  <si>
    <t xml:space="preserve">ЗУЛЗАГАН ДӨЛ ХХК </t>
  </si>
  <si>
    <t xml:space="preserve">СҮЙХЭНТ ХХК </t>
  </si>
  <si>
    <t>АЛИА ДАРХАН ХХК</t>
  </si>
  <si>
    <t>Лхагва</t>
  </si>
  <si>
    <t>ШМЗардал БУСАД</t>
  </si>
  <si>
    <t xml:space="preserve">ҮНЗардал БУСАД </t>
  </si>
  <si>
    <t xml:space="preserve">Нэгтгэл зардал БУСАД </t>
  </si>
  <si>
    <t xml:space="preserve">ШХЗардал БУСАД </t>
  </si>
  <si>
    <t xml:space="preserve">Буянтогтох </t>
  </si>
  <si>
    <t xml:space="preserve">ХАВТГАЙН ГОЛ ХХК </t>
  </si>
  <si>
    <t xml:space="preserve">                                                             ТЕГ-ын даргын 2009 оны 1 д¿гýýр сарын  5-ны </t>
  </si>
  <si>
    <t xml:space="preserve">Н-Уголок </t>
  </si>
  <si>
    <t xml:space="preserve">1-р сар </t>
  </si>
  <si>
    <t xml:space="preserve">2-р сар </t>
  </si>
  <si>
    <t xml:space="preserve">3-р сар </t>
  </si>
  <si>
    <t xml:space="preserve">4-р сар </t>
  </si>
  <si>
    <t xml:space="preserve">5-р сар </t>
  </si>
  <si>
    <t xml:space="preserve">6-р сар </t>
  </si>
  <si>
    <t xml:space="preserve">7-р сар </t>
  </si>
  <si>
    <t xml:space="preserve">8-р сар </t>
  </si>
  <si>
    <t xml:space="preserve">9-р сар </t>
  </si>
  <si>
    <t xml:space="preserve">10-р сар </t>
  </si>
  <si>
    <t xml:space="preserve">11-р сар </t>
  </si>
  <si>
    <t xml:space="preserve">12-р сар </t>
  </si>
  <si>
    <t xml:space="preserve">Н-Сауны шал </t>
  </si>
  <si>
    <t>…………………………………………………………………………………………………………………………………………………………………………………..</t>
  </si>
  <si>
    <t>…………………………………………………………………………………………………………………………………………………………………………………….</t>
  </si>
  <si>
    <r>
      <t>Татварын</t>
    </r>
    <r>
      <rPr>
        <b/>
        <sz val="10"/>
        <color theme="1"/>
        <rFont val="Times New Roman"/>
        <family val="1"/>
      </rPr>
      <t xml:space="preserve"> </t>
    </r>
    <r>
      <rPr>
        <sz val="10"/>
        <color theme="1"/>
        <rFont val="Times New Roman"/>
        <family val="1"/>
      </rPr>
      <t xml:space="preserve">байцаагч: |__|__|__|__|__| </t>
    </r>
  </si>
  <si>
    <r>
      <t>7.Òºëººëºí óäèðäàõ çºâëºë, õÿíàëòûí çºâëºë, îðîí òîîíû áóñ çºâëºë áîëîí áóñàä çºâëºë, õîðîî, àæëûí õýñãèéí ãèø¿¿íèé öàëèí õºëñ, øàãíàë, óðàìøóóëàë, òýäãýýðòýé àäèëòãàõ îðëîãîä íîãäóóëñàí òàòâàð</t>
    </r>
    <r>
      <rPr>
        <sz val="10"/>
        <color theme="1"/>
        <rFont val="Arial Mon"/>
        <family val="2"/>
      </rPr>
      <t xml:space="preserve">  </t>
    </r>
    <r>
      <rPr>
        <b/>
        <sz val="10"/>
        <color theme="1"/>
        <rFont val="Arial Mon"/>
        <family val="2"/>
      </rPr>
      <t>(12*10 õóâü)</t>
    </r>
  </si>
  <si>
    <r>
      <t>9. Íîãäóóëñàí íèéò òàòâàðûí ä¿í</t>
    </r>
    <r>
      <rPr>
        <sz val="10"/>
        <color theme="1"/>
        <rFont val="Arial Mon"/>
        <family val="2"/>
      </rPr>
      <t xml:space="preserve">  </t>
    </r>
    <r>
      <rPr>
        <b/>
        <sz val="10"/>
        <color theme="1"/>
        <rFont val="Arial Mon"/>
        <family val="2"/>
      </rPr>
      <t>(6+7+9+11+13)</t>
    </r>
  </si>
  <si>
    <r>
      <t>12.1 Òàòâàð íîãäîõ øóóä áóñ îðëîãûí íèéò ä¿í (21+22+23+24+25+26+27)</t>
    </r>
    <r>
      <rPr>
        <sz val="10"/>
        <color theme="1"/>
        <rFont val="Arial Mon"/>
        <family val="2"/>
      </rPr>
      <t>(òàòâàð íîãäîõ øóóä áóñ îðëîãîä öàëèí, õºäºëìºðèéí õºëñ, øàãíàë, óðàìøóóëàë äýýð àæèë îëãîã÷îîñ íýìæ îëãîæ áàéãàà òóõàéí àæèëòíààñ àëáàí ¿¿ðãýý ã¿éöýòãýõýä øóóä õîëáîãäîëã¿é äàðààõü áàðàà, ¿éë÷èëãýýíèé îðëîãûã õàìðóóëíà)</t>
    </r>
  </si>
  <si>
    <r>
      <t xml:space="preserve">12.2 Òàòâàð íîãäîõ îðëîãîä õàìààðàõã¿é øóóä áóñ îðëîãûí íèéò ä¿í (29+30+31+32) </t>
    </r>
    <r>
      <rPr>
        <sz val="10"/>
        <color theme="1"/>
        <rFont val="Arial Mon"/>
        <family val="2"/>
      </rPr>
      <t>(àæèë ¿¿ðãýý áèåë¿¿ëýõ íºõöºëèéã íü ñàéæðóóëàõ çîðèëãîîð àæèë îëãîã÷îîñ àæèëòàíä îëãîæ áàéãàà äàðààõü øóóä áóñ îðëîãûã àëáàí òàòâàð íîãäîõ îðëîãîä õàìààðóóëàõã¿é )</t>
    </r>
  </si>
  <si>
    <r>
      <rPr>
        <sz val="10"/>
        <color indexed="8"/>
        <rFont val="Times New Roman"/>
        <family val="1"/>
      </rPr>
      <t xml:space="preserve">                                                  Туслах</t>
    </r>
    <r>
      <rPr>
        <b/>
        <sz val="10"/>
        <color indexed="8"/>
        <rFont val="Times New Roman"/>
        <family val="1"/>
      </rPr>
      <t xml:space="preserve">:  </t>
    </r>
    <r>
      <rPr>
        <sz val="10"/>
        <color indexed="8"/>
        <rFont val="Times New Roman"/>
        <family val="1"/>
      </rPr>
      <t>код</t>
    </r>
    <r>
      <rPr>
        <b/>
        <sz val="10"/>
        <color indexed="8"/>
        <rFont val="Times New Roman"/>
        <family val="1"/>
      </rPr>
      <t xml:space="preserve"> |__|__|__|__|__|__|</t>
    </r>
  </si>
  <si>
    <t xml:space="preserve"> ХААНБАНК-С2</t>
  </si>
  <si>
    <t>Н-Евровагонка /зузаан-1.2см/</t>
  </si>
  <si>
    <t xml:space="preserve">Н-Хавтан /зузаан-3см/-яртай </t>
  </si>
  <si>
    <t>Н-Хавтан /зузаан-1.8см/</t>
  </si>
  <si>
    <t>Н-Хавтан /зузаан-2см/</t>
  </si>
  <si>
    <t>Н-Наамал дүнз</t>
  </si>
  <si>
    <t xml:space="preserve">Хатаасан нарсан банз </t>
  </si>
  <si>
    <t>Цавуу 505</t>
  </si>
  <si>
    <t xml:space="preserve">Н-Хавтан /зузаан-2см/-яртай </t>
  </si>
  <si>
    <t>Н-Хавтан /зузаан-2.6см/</t>
  </si>
  <si>
    <t>Н-Евровагонка /зузаан-2.2см/</t>
  </si>
  <si>
    <t xml:space="preserve">Нарсан банз /5см/ Буян Од </t>
  </si>
  <si>
    <t xml:space="preserve">Н-Блок Хаус  /4.3*16.5см/-яртай </t>
  </si>
  <si>
    <t xml:space="preserve">Н-Евровагонка /зузаан-1.2см/-яртай </t>
  </si>
  <si>
    <t xml:space="preserve">Н-Вагонка 2 талт/зузаан-2.2см/-яртай </t>
  </si>
  <si>
    <t xml:space="preserve">Н-Хавтан /зузаан-2.6см/-яртай </t>
  </si>
  <si>
    <t xml:space="preserve">Дээврийн төмөр </t>
  </si>
  <si>
    <t xml:space="preserve">ОСП хавтан </t>
  </si>
  <si>
    <t>Тоолуур</t>
  </si>
  <si>
    <t xml:space="preserve">Цахилгаан зуух </t>
  </si>
  <si>
    <t xml:space="preserve">Бойлор </t>
  </si>
  <si>
    <t xml:space="preserve">Тэлэлтийн сав </t>
  </si>
  <si>
    <t xml:space="preserve">Радиатор </t>
  </si>
  <si>
    <t xml:space="preserve">Дээврийн карниз </t>
  </si>
  <si>
    <t xml:space="preserve">Нуруу төмөр </t>
  </si>
  <si>
    <t xml:space="preserve">Ёндов орос </t>
  </si>
  <si>
    <t xml:space="preserve">Вакуум цонх </t>
  </si>
  <si>
    <t xml:space="preserve">Нөөцийн сав </t>
  </si>
  <si>
    <t xml:space="preserve">Элс </t>
  </si>
  <si>
    <t xml:space="preserve">Цахилгаан үүсгүүр </t>
  </si>
  <si>
    <t xml:space="preserve">HERA хөлдөөгч </t>
  </si>
  <si>
    <t xml:space="preserve">Тавган жин 20кг </t>
  </si>
  <si>
    <t xml:space="preserve">Макита хөрөө </t>
  </si>
  <si>
    <t>Дрель</t>
  </si>
  <si>
    <t xml:space="preserve">Чангалагч </t>
  </si>
  <si>
    <t xml:space="preserve">Вибратор </t>
  </si>
  <si>
    <t>Ус цэвэршүүлэх төхөөрөмж</t>
  </si>
  <si>
    <t xml:space="preserve">Гагнуурын аппарат </t>
  </si>
  <si>
    <t xml:space="preserve">Бетон зуурагч </t>
  </si>
  <si>
    <t xml:space="preserve">Газов </t>
  </si>
  <si>
    <t xml:space="preserve">Вагоны ивүүр </t>
  </si>
  <si>
    <t>Хаяавч</t>
  </si>
  <si>
    <t xml:space="preserve">Компанийн логотой туг </t>
  </si>
  <si>
    <t xml:space="preserve">Тоос сорогч </t>
  </si>
  <si>
    <t xml:space="preserve">Чанга яригч </t>
  </si>
  <si>
    <t>Утасны аппарат</t>
  </si>
  <si>
    <t xml:space="preserve">антенн </t>
  </si>
  <si>
    <t xml:space="preserve">НДШ-н хуулийн ном </t>
  </si>
  <si>
    <t>Тооны машин</t>
  </si>
  <si>
    <t xml:space="preserve">Үдээсний машин </t>
  </si>
  <si>
    <t>Бичгийн цаас</t>
  </si>
  <si>
    <t>Цаасны цавуу</t>
  </si>
  <si>
    <t xml:space="preserve">Цаас зүсэгч </t>
  </si>
  <si>
    <t>Норм, нормативын ном</t>
  </si>
  <si>
    <t xml:space="preserve">Бараа матеиалын дансны нэр </t>
  </si>
  <si>
    <t>Мат-код</t>
  </si>
  <si>
    <t>АВЛАГА, ӨГЛӨГ 4-р УЛИРАЛ</t>
  </si>
  <si>
    <t>2018 оны 01 сарын 01</t>
  </si>
  <si>
    <t>2018 оны 03 сарын 31</t>
  </si>
  <si>
    <t xml:space="preserve"> Шинэст ХК 2018 оны 1-р сарын  ажилчидын цалин </t>
  </si>
  <si>
    <t>2018.01.31</t>
  </si>
  <si>
    <t>2018 оны 06 сарын 30</t>
  </si>
  <si>
    <t>2018 оны 09 сарын 30</t>
  </si>
  <si>
    <t>2018 оны 12 сарын 31</t>
  </si>
  <si>
    <t>Уурын төлбөр төлөв</t>
  </si>
  <si>
    <t xml:space="preserve">Принтерийн хор авав </t>
  </si>
  <si>
    <t xml:space="preserve">Интернэтийн төлбөр </t>
  </si>
  <si>
    <t>Хаан банкны төргөгийн данснаас касс</t>
  </si>
  <si>
    <t xml:space="preserve">Ланд 200-н зээлийн эргэн төлөлт </t>
  </si>
  <si>
    <t xml:space="preserve">Золжаргал-жирэмсний амралт </t>
  </si>
  <si>
    <t xml:space="preserve">Гүйлгээний шимтгэл </t>
  </si>
  <si>
    <t>ИЛД БАМБАЙ ХХК</t>
  </si>
  <si>
    <t xml:space="preserve">2017 оны аудитын төлбөр </t>
  </si>
  <si>
    <t>АЛАГ УУЛ ФИНАНС АУДИТ ХХК</t>
  </si>
  <si>
    <t>Дт-120800</t>
  </si>
  <si>
    <t>Кт-310700</t>
  </si>
  <si>
    <t xml:space="preserve">Цалингийн зардал 1-р сар </t>
  </si>
  <si>
    <t xml:space="preserve"> Шинэст ХК 2018 оны 2-р сарын  ажилчидын цалин </t>
  </si>
  <si>
    <t xml:space="preserve">Цалингийн зардал 2-р сар </t>
  </si>
  <si>
    <t xml:space="preserve"> Шинэст ХК 2018 оны 3-р сарын  ажилчидын цалин </t>
  </si>
  <si>
    <t xml:space="preserve">Цалингийн зардал 3-р сар </t>
  </si>
  <si>
    <t xml:space="preserve"> Шинэст ХК 2018 оны 4-р сарын  ажилчидын цалин </t>
  </si>
  <si>
    <t xml:space="preserve">Цалингийн зардал 4-р сар </t>
  </si>
  <si>
    <t>2017 оны 01 сарын 01 үлдэгдэл</t>
  </si>
  <si>
    <t>2018 оны 12 сарын 31 үлдэгдэл</t>
  </si>
  <si>
    <t xml:space="preserve">1-р улирал барилга байгууламжийн элэгдэл </t>
  </si>
  <si>
    <t xml:space="preserve">1-р улирал тоног төхөөрөмжийн элэгдэл </t>
  </si>
  <si>
    <t xml:space="preserve">1-р улирал тавилгын элэгдэл </t>
  </si>
  <si>
    <t xml:space="preserve">1-р улирал тээврийн элэгдэл </t>
  </si>
  <si>
    <t xml:space="preserve">1-р улирал элэгдлийн зардал </t>
  </si>
  <si>
    <t xml:space="preserve">Эко-шатны бэлдэцийн ажлыг БО-р хүлээн зөвшөөрөв </t>
  </si>
  <si>
    <t>Эко Констракшн ХХК-с авах авлагыг хаав</t>
  </si>
  <si>
    <t xml:space="preserve">Золжаргал тооцоо хаав </t>
  </si>
  <si>
    <t xml:space="preserve">Уур, цахилгаан, усны төлбөр </t>
  </si>
  <si>
    <t xml:space="preserve">БМ-зарлага хатаах цехэд банз олгов </t>
  </si>
  <si>
    <t xml:space="preserve">ДҮН-хатаах цех </t>
  </si>
  <si>
    <t>Уурын нэхэмжлэлийн дагуу өглөг үүсгэв</t>
  </si>
  <si>
    <t xml:space="preserve">ҮНЗ-хатаах цех уурын зардал шингээв </t>
  </si>
  <si>
    <t xml:space="preserve">Төмөрхуягийн Энхбат </t>
  </si>
  <si>
    <t>Дашдэмбэрэлийн Бахдамдэмбэрэл</t>
  </si>
  <si>
    <t xml:space="preserve">Баасанжавын Золжаргал </t>
  </si>
  <si>
    <t xml:space="preserve">Түмэннасангийн Оюунтүлхүүр </t>
  </si>
  <si>
    <t xml:space="preserve">Энхбатын Болор </t>
  </si>
  <si>
    <t xml:space="preserve">Бөхчулууны Балжмаа </t>
  </si>
  <si>
    <t>Лхагвагийн Ариунболд</t>
  </si>
  <si>
    <t xml:space="preserve">Шаравын Цэцэнпил </t>
  </si>
  <si>
    <t>ХГ87080967</t>
  </si>
  <si>
    <t>УК88060424</t>
  </si>
  <si>
    <t xml:space="preserve">Е.Захирал </t>
  </si>
  <si>
    <t xml:space="preserve">Г.захирал </t>
  </si>
  <si>
    <t>Е.ня-бо</t>
  </si>
  <si>
    <t>А.ня-бо</t>
  </si>
  <si>
    <t xml:space="preserve">Ня-бо </t>
  </si>
  <si>
    <t xml:space="preserve">Архитектор </t>
  </si>
  <si>
    <t xml:space="preserve">Жолооч </t>
  </si>
  <si>
    <t xml:space="preserve">Үйлчлэгч </t>
  </si>
  <si>
    <t xml:space="preserve">Цэндсүрэнгийн Амарсанаа </t>
  </si>
  <si>
    <t>Чулуунбатын Бат-Эрдэнэ</t>
  </si>
  <si>
    <t xml:space="preserve">Булганы Буянтогтох </t>
  </si>
  <si>
    <t>Нямсүрэнгийн Даариймаа</t>
  </si>
  <si>
    <t xml:space="preserve">Баярмагнайн Лхагвасүрэн </t>
  </si>
  <si>
    <t xml:space="preserve">Түвдэндоржийн Мөнхбаатар </t>
  </si>
  <si>
    <t xml:space="preserve">Цэрэндондогийн Насанхүү </t>
  </si>
  <si>
    <t xml:space="preserve">Дашнямын Нэргүй </t>
  </si>
  <si>
    <t xml:space="preserve">Юнгэрэнгийн Оюундэлгэр </t>
  </si>
  <si>
    <t xml:space="preserve">Жаргалын Улаансүх </t>
  </si>
  <si>
    <t xml:space="preserve">Энхбаатарын Цэрэнхүү </t>
  </si>
  <si>
    <t>Эрдэнбулганы Цог-Эрдэнэ</t>
  </si>
  <si>
    <t xml:space="preserve">Дашдаваагийн Шинэбаяр </t>
  </si>
  <si>
    <t xml:space="preserve">Хорлоогийн Эрдэнэбилэг </t>
  </si>
  <si>
    <t xml:space="preserve">Сийлбэрчин </t>
  </si>
  <si>
    <t xml:space="preserve">Ажилчин </t>
  </si>
  <si>
    <t xml:space="preserve">Нярав </t>
  </si>
  <si>
    <t xml:space="preserve">1-р сарын шатахууны НӨАТ-н авлага </t>
  </si>
  <si>
    <t>ТӨЛБӨРИЙН ЖАГСААЛТ</t>
  </si>
  <si>
    <t xml:space="preserve">Харилцагч банк </t>
  </si>
  <si>
    <t xml:space="preserve">Дансны дугаар </t>
  </si>
  <si>
    <t>Дүн/төг/</t>
  </si>
  <si>
    <t>Дүн/Дол/</t>
  </si>
  <si>
    <t>Монголын цахилгаан холбоо ХХК</t>
  </si>
  <si>
    <t xml:space="preserve">ААНОАТ-н төлбөр </t>
  </si>
  <si>
    <t xml:space="preserve">ХХОАТ-н төлбөр </t>
  </si>
  <si>
    <t xml:space="preserve">70114414 утасны төлбөр </t>
  </si>
  <si>
    <t xml:space="preserve">ХААН БАНК </t>
  </si>
  <si>
    <t xml:space="preserve">Төлбөр төлөх огноо </t>
  </si>
  <si>
    <t xml:space="preserve">Сар бүрийн 10-с өмнө </t>
  </si>
  <si>
    <t xml:space="preserve">Ус Сувгийн Удирдах Газар </t>
  </si>
  <si>
    <t xml:space="preserve">Сар бүрийн 20-с өмнө </t>
  </si>
  <si>
    <t xml:space="preserve">Сар бүрийн 23-с өмнө </t>
  </si>
  <si>
    <t>Цахилгааны төлбөр код: 1100644</t>
  </si>
  <si>
    <t xml:space="preserve">УБЦТСтанц </t>
  </si>
  <si>
    <t>Дулааны төлбөр Гэрээ: 0970</t>
  </si>
  <si>
    <t>УБДС</t>
  </si>
  <si>
    <t xml:space="preserve">Уурын төлбөр </t>
  </si>
  <si>
    <t xml:space="preserve">Дулааны 3-р цахилгаан Станц </t>
  </si>
  <si>
    <t>Нэхэмжлэлийн дагуу</t>
  </si>
  <si>
    <t xml:space="preserve">Хаан БАНК </t>
  </si>
  <si>
    <t>ЭМНДШ-н төлбөр РД:2018942</t>
  </si>
  <si>
    <t xml:space="preserve">Сар бүрийн 30-с өмнө </t>
  </si>
  <si>
    <t>ХУД ЭМНДХ</t>
  </si>
  <si>
    <t>ХУД. Суутган-1</t>
  </si>
  <si>
    <t xml:space="preserve">УБ хотын банк </t>
  </si>
  <si>
    <t>ХУД. ААНОАТ</t>
  </si>
  <si>
    <t>ҮХЭХАТатвар, РД: 2018942</t>
  </si>
  <si>
    <t>ХУД. ҮХЭХАТ</t>
  </si>
  <si>
    <t>Газрын төлбөр, Гэрээ: 8019/0046</t>
  </si>
  <si>
    <t>Нийслэлийн газрын алба</t>
  </si>
  <si>
    <t>НӨАТ, РД: 2018942</t>
  </si>
  <si>
    <t xml:space="preserve">ХУД, НӨАТ </t>
  </si>
  <si>
    <t>Усны нөөц ашигласан төлбөр, РД:2018942</t>
  </si>
  <si>
    <t>ХУД, Ус ашигласны төлбөр</t>
  </si>
  <si>
    <t xml:space="preserve">Сар бүрийн 15-ны дотор </t>
  </si>
  <si>
    <t>Бөхчулуун</t>
  </si>
  <si>
    <t>Чимиддорж</t>
  </si>
  <si>
    <t xml:space="preserve">Чимиддоржийн Жавхлантуяа </t>
  </si>
  <si>
    <t xml:space="preserve">Цэндсүрэн </t>
  </si>
  <si>
    <t>Булган</t>
  </si>
  <si>
    <t>Энхбаатар</t>
  </si>
  <si>
    <t>Хорлоо</t>
  </si>
  <si>
    <t xml:space="preserve">Эрдэнэбилэг </t>
  </si>
  <si>
    <t xml:space="preserve">Болор </t>
  </si>
  <si>
    <t xml:space="preserve">Балжмаа </t>
  </si>
  <si>
    <t xml:space="preserve"> Жавхлантуяа </t>
  </si>
  <si>
    <t xml:space="preserve"> Ариунболд</t>
  </si>
  <si>
    <t xml:space="preserve">Амарсанаа </t>
  </si>
  <si>
    <t xml:space="preserve"> Бат-Эрдэнэ</t>
  </si>
  <si>
    <t xml:space="preserve"> Даариймаа</t>
  </si>
  <si>
    <t xml:space="preserve">Лхагвасүрэн </t>
  </si>
  <si>
    <t xml:space="preserve"> Цэрэнхүү </t>
  </si>
  <si>
    <t xml:space="preserve"> Шинэбаяр </t>
  </si>
  <si>
    <t>ЭМД болон НДШ-ийн дүн             (6*11%)</t>
  </si>
  <si>
    <t xml:space="preserve">1-р улирал </t>
  </si>
  <si>
    <t>Будаг авав</t>
  </si>
  <si>
    <t>Усны төлбөр код:26002300</t>
  </si>
  <si>
    <t>Касснаас хаан банкны төргөгийн данс луу</t>
  </si>
  <si>
    <t xml:space="preserve">100 саяын зээлийн эргэн төлөлт </t>
  </si>
  <si>
    <t xml:space="preserve">Цэвэр бохир усны төлбөр </t>
  </si>
  <si>
    <t>Хөрөнгийн Бирж 2018оны хураамж</t>
  </si>
  <si>
    <t xml:space="preserve">ЮМИКА ХХК </t>
  </si>
  <si>
    <t xml:space="preserve">Цахилгааны төлбөр төлөв </t>
  </si>
  <si>
    <t>БРИЛЛИАНТ ХАВТАН ХХК</t>
  </si>
  <si>
    <t>САММИТ ТЕХ КОМ ХХК</t>
  </si>
  <si>
    <t xml:space="preserve">Лак шингэлэгч авав </t>
  </si>
  <si>
    <t xml:space="preserve">Банкны үйлчилгээний шимтгэл </t>
  </si>
  <si>
    <t>Тат-Суурь</t>
  </si>
  <si>
    <t>Хөн-т/Жил /</t>
  </si>
  <si>
    <t>Хөн-т/Сар /</t>
  </si>
  <si>
    <t>1-р улирал</t>
  </si>
  <si>
    <t>Н-Хавтан/зузаан-4см/-яртай</t>
  </si>
  <si>
    <t>ХАТААХ ЦЕХ /нарс/</t>
  </si>
  <si>
    <t>ЖИНС ХАЙРХАН ХХК</t>
  </si>
  <si>
    <t>ЭС ТИ СЕРВИС ХХК</t>
  </si>
  <si>
    <t xml:space="preserve">ГРАНД СЛАБ ХХК </t>
  </si>
  <si>
    <t>1-р сарын цалин ГАРТ ОЛГОХ</t>
  </si>
  <si>
    <t>2-р сарын цалин ГАРТ ОЛГОХ</t>
  </si>
  <si>
    <t>3-р сарын цалин ГАРТ ОЛГОХ</t>
  </si>
  <si>
    <t>Уурын НӨАТ 1-р сарынх нөхөж авав</t>
  </si>
  <si>
    <t xml:space="preserve">Прожуктор </t>
  </si>
  <si>
    <t>Будаг /Орд/</t>
  </si>
  <si>
    <t xml:space="preserve">Хатаах цех-уурын зардал </t>
  </si>
  <si>
    <t xml:space="preserve">БМ-орлого хатсан нарсан банз орлого </t>
  </si>
  <si>
    <t>Хатаах цех ҮНЗ, ДҮШ хаав</t>
  </si>
  <si>
    <t xml:space="preserve">Багаж авав </t>
  </si>
  <si>
    <t xml:space="preserve">Харуул хамгаалалт </t>
  </si>
  <si>
    <t xml:space="preserve">Цахилгаан харуул </t>
  </si>
  <si>
    <t>Цахилгаан багаж №№№№№№</t>
  </si>
  <si>
    <t>Уур нээсэн төлбөр</t>
  </si>
  <si>
    <t xml:space="preserve">Өөрөө өргөгч По-д түлш </t>
  </si>
  <si>
    <t xml:space="preserve">Хавчаар авав </t>
  </si>
  <si>
    <t xml:space="preserve">Үйлдвэрийн дээврийн ажлын хөлс </t>
  </si>
  <si>
    <t>АКВАПЛАСТ МОНГОЛ ХХК</t>
  </si>
  <si>
    <t xml:space="preserve">КОМ ТАВИЛГА ХХК </t>
  </si>
  <si>
    <t xml:space="preserve">РАДД ХХК </t>
  </si>
  <si>
    <t xml:space="preserve">Боловсруулах цех-ШХЗардал </t>
  </si>
  <si>
    <t xml:space="preserve">Боловсруулах цех-ҮНЗардал </t>
  </si>
  <si>
    <t>Боловсруулах цехэд хатсан банз</t>
  </si>
  <si>
    <t>Боловсруулах цех ДҮН</t>
  </si>
  <si>
    <t xml:space="preserve">БМ-орлого бэлэн бүтээгдэхүүн орлого </t>
  </si>
  <si>
    <t xml:space="preserve">Борлуулалт </t>
  </si>
  <si>
    <t xml:space="preserve">БМ зарлага Хөдөлмөр хамгаалал </t>
  </si>
  <si>
    <t>Хувьцаа эзэмшигчидийн хурал</t>
  </si>
  <si>
    <t xml:space="preserve">Дараа тооцоо </t>
  </si>
  <si>
    <t>Дараа тооцоо хаав</t>
  </si>
  <si>
    <t xml:space="preserve">Уурын НӨАТ  </t>
  </si>
  <si>
    <t>100 саяын зээл төлж барагдуулав</t>
  </si>
  <si>
    <t>Зээлийн хүүгийн зардал /100сая/</t>
  </si>
  <si>
    <t xml:space="preserve">Кассаас хааны данс луу зарлага </t>
  </si>
  <si>
    <t xml:space="preserve">Данс хөтөлсөн шимтгэл </t>
  </si>
  <si>
    <t>ЭКОСКҮҮЛ ГАРДЕН ХХК</t>
  </si>
  <si>
    <t xml:space="preserve">ШИНЭЛЭГ СУУЦ ХХК </t>
  </si>
  <si>
    <t xml:space="preserve">ХАНИР ТЭНГЭР ХХК </t>
  </si>
  <si>
    <t>МАТРИКС</t>
  </si>
  <si>
    <t>ОРЧЛОН КОНСТРАКШН ХХК</t>
  </si>
  <si>
    <t>Скоч авав</t>
  </si>
  <si>
    <t xml:space="preserve">Дээврийн засварт түлш </t>
  </si>
  <si>
    <t xml:space="preserve">Бичиг хэргийн хангамж </t>
  </si>
  <si>
    <t xml:space="preserve">Хавтан авахаар </t>
  </si>
  <si>
    <t>Хавтан /фасад/</t>
  </si>
  <si>
    <t>БМ орлого- хавтан /фасад/</t>
  </si>
  <si>
    <t>3-р сарын дулааны нэхэмжлэхээр өглөг үүсгэв</t>
  </si>
  <si>
    <t>4-р сарын дулааны нэхэмжлэхээр өглөг үүсгэв</t>
  </si>
  <si>
    <t>4-р сарын цахилгааны НӨАТ нөхөж авав</t>
  </si>
  <si>
    <t>Уурын төлбөрийн нэхэмжлэхээр өглөг үүсгэв</t>
  </si>
  <si>
    <t xml:space="preserve">Дээврийн ажлын хөлс </t>
  </si>
  <si>
    <t>Дээврийн ажлаар өглөг үүсгэв</t>
  </si>
  <si>
    <t xml:space="preserve">ҮЦТХТ-2012-2018оны хадгаламжийн төлбөр </t>
  </si>
  <si>
    <t xml:space="preserve">Тархалтын мэдээ авахаар </t>
  </si>
  <si>
    <t xml:space="preserve">БМ-орлого Лак шингэлэгч авав </t>
  </si>
  <si>
    <t xml:space="preserve">Хааны данс луу зарлага </t>
  </si>
  <si>
    <t xml:space="preserve"> Шинэст ХК 2018 оны 5-р сарын  ажилчидын цалин </t>
  </si>
  <si>
    <t>ЭМ,НД-н шимтгэл Байгууллага 5-сар</t>
  </si>
  <si>
    <t>ЭМ,НД-н шимтгэл Хувь хүн 5-сар</t>
  </si>
  <si>
    <t>ХХОАТатвар 5-р сар</t>
  </si>
  <si>
    <t>Гарт олгох 5-р сар</t>
  </si>
  <si>
    <t xml:space="preserve">Цалингийн зардал 5-р сар </t>
  </si>
  <si>
    <t xml:space="preserve">Цалин олгов. 4-р сар </t>
  </si>
  <si>
    <t xml:space="preserve">Төмөрпүрэвийн Оюунжаргал </t>
  </si>
  <si>
    <t>ИВ78072005</t>
  </si>
  <si>
    <t>Дашжамцын Цэрэндэжид</t>
  </si>
  <si>
    <t>ПН89102903</t>
  </si>
  <si>
    <t>Төмөрпүрэв</t>
  </si>
  <si>
    <t xml:space="preserve"> Оюунжаргал </t>
  </si>
  <si>
    <t>Дашжамц</t>
  </si>
  <si>
    <t>Цэрэндэжид</t>
  </si>
  <si>
    <t xml:space="preserve">Цалин олгов. 5-р сар </t>
  </si>
  <si>
    <t xml:space="preserve"> Шинэст ХК 2018 оны 6-р сарын  ажилчидын цалин </t>
  </si>
  <si>
    <t>ЭМ,НД-н шимтгэл Байгууллага 6-сар</t>
  </si>
  <si>
    <t>ЭМ,НД-н шимтгэл Хувь хүн 6-сар</t>
  </si>
  <si>
    <t>ХХОАТатвар 6-р сар</t>
  </si>
  <si>
    <t>Гарт олгох 6-р сар</t>
  </si>
  <si>
    <t xml:space="preserve">Цалингийн зардал 6-р сар </t>
  </si>
  <si>
    <t xml:space="preserve">Цэвэр, бохир усны төлбөр </t>
  </si>
  <si>
    <t xml:space="preserve">Шинэмт.мн-н төлбөр </t>
  </si>
  <si>
    <t xml:space="preserve">Шинэст.мн-н төлбөр </t>
  </si>
  <si>
    <t>Модны замаска</t>
  </si>
  <si>
    <t>Дээврийн засварт НӨАТ авав</t>
  </si>
  <si>
    <t>ЦАСТБААТАР ЦАМХАГ ХХК</t>
  </si>
  <si>
    <t>Уурын НӨАТ авав</t>
  </si>
  <si>
    <t xml:space="preserve">2-р улирал барилга байгууламжийн элэгдэл </t>
  </si>
  <si>
    <t xml:space="preserve">2-р улирал тавилгын элэгдэл </t>
  </si>
  <si>
    <t xml:space="preserve">2-р улирал тоног төхөөрөмжийн элэгдэл </t>
  </si>
  <si>
    <t xml:space="preserve">2-р улирал тээврийн элэгдэл </t>
  </si>
  <si>
    <t xml:space="preserve">2-р улирал элэгдлийн зардал </t>
  </si>
  <si>
    <t xml:space="preserve">2-р улирал </t>
  </si>
  <si>
    <t>ҮНЗ БОЛОВСРУУЛАХ ЦЕХ</t>
  </si>
  <si>
    <t xml:space="preserve">Цахилгааны зардал </t>
  </si>
  <si>
    <t xml:space="preserve">Дулааны зардал </t>
  </si>
  <si>
    <t xml:space="preserve">Усны зардал </t>
  </si>
  <si>
    <t xml:space="preserve">Уурын зардал </t>
  </si>
  <si>
    <t xml:space="preserve">Барилгын элэгдэл </t>
  </si>
  <si>
    <t xml:space="preserve">Тоног төхөөрөмжийн элэгдэл </t>
  </si>
  <si>
    <t>МЕТРИК ДИЗАЙН ХХК</t>
  </si>
  <si>
    <t xml:space="preserve">Дулааны үлдэгдэл төлбөр </t>
  </si>
  <si>
    <t>НДШ төлөв</t>
  </si>
  <si>
    <t>Гадна хашаа будав</t>
  </si>
  <si>
    <t xml:space="preserve">ХХОАТ төлөв </t>
  </si>
  <si>
    <t>ҮХЭХ, ХХОАТ, НӨАТ</t>
  </si>
  <si>
    <t xml:space="preserve">Цалин олгов 6-р сар </t>
  </si>
  <si>
    <t xml:space="preserve">Нийгмийн даатгалаас буцаан олгосон шимтгэл </t>
  </si>
  <si>
    <t>Аквапластаас авах авлагыг өглөг лүү хаав</t>
  </si>
  <si>
    <t>Дутуу хатсан банзыг дахин хатаасан уурын зардлыг өртөгт шингээв</t>
  </si>
  <si>
    <t>Цалингийн зардал</t>
  </si>
  <si>
    <t xml:space="preserve">НДШ-н зардал </t>
  </si>
  <si>
    <t>2018.06.30</t>
  </si>
  <si>
    <t xml:space="preserve">Хатаасан нарсан банз боловсруулах цехэд </t>
  </si>
  <si>
    <t xml:space="preserve">ҮНЗ боловсруулах цех </t>
  </si>
  <si>
    <t xml:space="preserve">ДҮН боловсруулах цех </t>
  </si>
  <si>
    <t xml:space="preserve">БМ орлого- дуусаагүй үйлдвэрлэл </t>
  </si>
  <si>
    <t xml:space="preserve">ШХЗ боловсруулах цех </t>
  </si>
  <si>
    <t>Дт-120900</t>
  </si>
  <si>
    <t>Кт-310800</t>
  </si>
  <si>
    <t>3. Тайлант хугацаа:    |_2_|_0_|_1_|_8_|  улирал |_2_|</t>
  </si>
  <si>
    <t>3. Тайлант хугацаа:    |_2_|_0_|_1_|_8_|  улирал |_1_|</t>
  </si>
  <si>
    <t xml:space="preserve">1-Р УЛИРАЛ </t>
  </si>
  <si>
    <t xml:space="preserve">2-Р УЛИРАЛ </t>
  </si>
  <si>
    <t>АРУМА ХХК</t>
  </si>
  <si>
    <t>ДЕЛЬТА КОНСТРАКШН ХХК</t>
  </si>
  <si>
    <t>6р сарын цахилгааны НӨАТ</t>
  </si>
  <si>
    <t xml:space="preserve">Касс луу зарлага </t>
  </si>
  <si>
    <t xml:space="preserve">Листны мөнгө Шинэбаяр </t>
  </si>
  <si>
    <t xml:space="preserve">СЭКҮ ХХК </t>
  </si>
  <si>
    <t>Шилэн хөвөн авав</t>
  </si>
  <si>
    <t>Зиг загийн машинд шаариг авав</t>
  </si>
  <si>
    <t>Брожур авав</t>
  </si>
  <si>
    <t xml:space="preserve">Будаг авав </t>
  </si>
  <si>
    <t>Мотор ороолгов</t>
  </si>
  <si>
    <t xml:space="preserve">0092 засварт </t>
  </si>
  <si>
    <t>Гар фрезерийнн хутга авав</t>
  </si>
  <si>
    <t>Гидрийн шингэн авав</t>
  </si>
  <si>
    <t xml:space="preserve">Машины засварт </t>
  </si>
  <si>
    <t xml:space="preserve">Дээврийн засварт шилэн хөвөн </t>
  </si>
  <si>
    <t xml:space="preserve">Шилэн хөвөн </t>
  </si>
  <si>
    <t>уут</t>
  </si>
  <si>
    <t xml:space="preserve">Бетон эдлэл </t>
  </si>
  <si>
    <t xml:space="preserve">БМ орлого </t>
  </si>
  <si>
    <t xml:space="preserve"> Шинэст ХК 2018 оны 7-р сарын  ажилчидын цалин </t>
  </si>
  <si>
    <t>ЭМ,НД-н шимтгэл Байгууллага 7-сар</t>
  </si>
  <si>
    <t>ЭМ,НД-н шимтгэл Хувь хүн 7-сар</t>
  </si>
  <si>
    <t>ХХОАТатвар 7-р сар</t>
  </si>
  <si>
    <t>Гарт олгох 7-р сар</t>
  </si>
  <si>
    <t xml:space="preserve">Цалингийн зардал 7-р сар </t>
  </si>
  <si>
    <t xml:space="preserve">Цалин олгов 7-р сар </t>
  </si>
  <si>
    <t xml:space="preserve"> Шинэст ХК 2018 оны 8-р сарын  ажилчидын цалин </t>
  </si>
  <si>
    <t>ЭМ,НД-н шимтгэл Байгууллага 8-сар</t>
  </si>
  <si>
    <t>ЭМ,НД-н шимтгэл Хувь хүн 8-сар</t>
  </si>
  <si>
    <t>ХХОАТатвар 8-р сар</t>
  </si>
  <si>
    <t>Гарт олгох 8-р сар</t>
  </si>
  <si>
    <t xml:space="preserve">Цалингийн зардал 8-р сар </t>
  </si>
  <si>
    <t xml:space="preserve">Цалин олгов 8-р сар </t>
  </si>
  <si>
    <t xml:space="preserve"> Шинэст ХК 2018 оны 9-р сарын  ажилчидын цалин </t>
  </si>
  <si>
    <t>ЭМ,НД-н шимтгэл Байгууллага 9-сар</t>
  </si>
  <si>
    <t>ЭМ,НД-н шимтгэл Хувь хүн 9-сар</t>
  </si>
  <si>
    <t>ХХОАТатвар 9-р сар</t>
  </si>
  <si>
    <t>Гарт олгох 9-р сар</t>
  </si>
  <si>
    <t xml:space="preserve">Цалингийн зардал 9-р сар </t>
  </si>
  <si>
    <t xml:space="preserve">Цалин олгов 9-р сар </t>
  </si>
  <si>
    <t xml:space="preserve">НДаатгалаас буцаалт </t>
  </si>
  <si>
    <t xml:space="preserve">3-р улирал </t>
  </si>
  <si>
    <t>Өссөн дүн</t>
  </si>
  <si>
    <t xml:space="preserve">Өссөэн дүн </t>
  </si>
  <si>
    <t xml:space="preserve">3. Тайлант хугацаа:    </t>
  </si>
  <si>
    <t>3. Тайлант хугацаа:    |_2_|_0_|_1_|_8_|  улирал |_3_|</t>
  </si>
  <si>
    <t xml:space="preserve">Цалин </t>
  </si>
  <si>
    <t xml:space="preserve">10хувь </t>
  </si>
  <si>
    <t xml:space="preserve">хөнгөлөлт </t>
  </si>
  <si>
    <t xml:space="preserve">Кассаас орлого </t>
  </si>
  <si>
    <t>Цавуу захиалав</t>
  </si>
  <si>
    <t>Гадаад гуйвуулгын хураамж</t>
  </si>
  <si>
    <t xml:space="preserve">ДЭВЖИХ ЭРДЭНЭ ХХК </t>
  </si>
  <si>
    <t xml:space="preserve">Цавууны мөнгө буцаав </t>
  </si>
  <si>
    <t xml:space="preserve">3-Р УЛИРАЛ </t>
  </si>
  <si>
    <t>4. Тайлант хугацаа:    |_2_|_0_|_1_|_8_|  улирал |_3_|</t>
  </si>
  <si>
    <t>Дарга  /Захирал/:   ............................                                     Татварын улсын байцаагч........................</t>
  </si>
  <si>
    <t>Тодруулгыг үнэн зөв тайлагнасан:                                           Тодруулгыг хүлээн авсан:</t>
  </si>
  <si>
    <t>20   оны     сарын       өдөр                                                         20   оны     сарын       өдөр</t>
  </si>
  <si>
    <t>1. ТТД:  |_2_|_0_|_1_|_8_|_9_|_4_|_2_|              2. Нэр ШИНЭСТ ХК</t>
  </si>
  <si>
    <t>4. Тайлант хугацаа:    |_2_|_0_|_1_|_8_|  улирал |_2_|</t>
  </si>
  <si>
    <t xml:space="preserve">Дулаан дүүргэлийн төлбөр </t>
  </si>
  <si>
    <t>Шатахуун 0092 УНЕ</t>
  </si>
  <si>
    <t>Жи мобайл тавиулахад</t>
  </si>
  <si>
    <t xml:space="preserve">ЖИ МОБАЙЛ </t>
  </si>
  <si>
    <t>Жи Мобайлын өр төлөв</t>
  </si>
  <si>
    <t xml:space="preserve">Сэлбэг захиалгын гаалийн мэдүүлэг </t>
  </si>
  <si>
    <t xml:space="preserve">ЛИДЕР БУЯНТ ХОЛДИНГ </t>
  </si>
  <si>
    <t xml:space="preserve">НӨАТ 7-р сар </t>
  </si>
  <si>
    <t xml:space="preserve">ЭМ ЭС ЭН ЭС ХХК </t>
  </si>
  <si>
    <t xml:space="preserve">ЭМХХ ХХК </t>
  </si>
  <si>
    <t xml:space="preserve">3-р улирал барилга байгууламжийн элэгдэл </t>
  </si>
  <si>
    <t xml:space="preserve">3-р улирал тавилгын элэгдэл </t>
  </si>
  <si>
    <t xml:space="preserve">3-р улирал тоног төхөөрөмжийн элэгдэл </t>
  </si>
  <si>
    <t xml:space="preserve">3-р улирал тээврийн элэгдэл </t>
  </si>
  <si>
    <t xml:space="preserve">3-р улирлын элэгдэлийн зардал </t>
  </si>
  <si>
    <t xml:space="preserve">Балкон хийсэн ажилчидын цалин </t>
  </si>
  <si>
    <t xml:space="preserve">Дансны авлагыг хаав </t>
  </si>
  <si>
    <t xml:space="preserve">Академи - 300ш Балкон хийхэд гарсан зардал </t>
  </si>
  <si>
    <t xml:space="preserve">Академи-300ш Балкон хийсэн ажилчидын цалин </t>
  </si>
  <si>
    <t xml:space="preserve">БМ -Борлуулалт </t>
  </si>
  <si>
    <t xml:space="preserve">Академи -300ш балкон хийхэд гарсан модон материал </t>
  </si>
  <si>
    <t xml:space="preserve">Академи -300ш балкон хийхэд гарсан туслах материал </t>
  </si>
  <si>
    <t>Уурын зардлаар өглөг үүсгэв</t>
  </si>
  <si>
    <t xml:space="preserve">Дулааны бойлер угаасан төлбөр </t>
  </si>
  <si>
    <t xml:space="preserve">3. Татвар төлөгчийн одоогийн хаяг :          </t>
  </si>
  <si>
    <t>|__|__|         Аймаг, хот:  Улаанбаатар             |__|__|         Сум, дүүрэг: Хан уул дүүрэг</t>
  </si>
  <si>
    <t>|__|__|         Баг, хороо: 3-р хороо                  |__|__|__|     Гудамж, хороолол: Эв нэгдэлийн гудамж</t>
  </si>
  <si>
    <t xml:space="preserve">|__|__|__|    Байр: Шинэст ХК -н өөрийн байр             |__|__|__|    Хашаа, хаалга: </t>
  </si>
  <si>
    <t>Утас1:  70114414                              Утас2: 99119765 99066093 86001044                               Факс: 70114404</t>
  </si>
  <si>
    <t xml:space="preserve">Шуудангийн хайрцаг No: </t>
  </si>
  <si>
    <t xml:space="preserve">1-р УЛИРАЛ </t>
  </si>
  <si>
    <t xml:space="preserve">2-р УЛИРАЛ </t>
  </si>
  <si>
    <t xml:space="preserve">3-р УЛИРАЛ </t>
  </si>
  <si>
    <t xml:space="preserve">4-р УЛИРАЛ </t>
  </si>
  <si>
    <t>Хариуцлагын хэлбэр:ХК</t>
  </si>
  <si>
    <t>6. Эрхлэх үйл ажиллагаа:    Үндсэн:   код |_3_|_6_|_1_|_0_|_0_|_0_|  -  Барилга, гэр ахуйн модон эдлэл үйлдвэрлэх</t>
  </si>
  <si>
    <t xml:space="preserve">                                                  Туслах:  код |__|__|__|__|__|__|</t>
  </si>
  <si>
    <t xml:space="preserve">7. Толгой компанийн регистр, нэр: |__|__|__|__|__|__|__| </t>
  </si>
  <si>
    <t>4. Тайлант хугацаа:    |_2_|_0_|_1_|_8_|  улирал |_4_|</t>
  </si>
  <si>
    <t>Албан татвар төлөгчийн буруутай үйл ажиллагааны улмаас төлсөн хүү, торгууль, нөхөн төлбөр</t>
  </si>
  <si>
    <t>Засгийн газрын баталснаас бусад хэвийн хорогдол</t>
  </si>
  <si>
    <t>Баримтаар нотлогдохгүй байгаа зардал</t>
  </si>
  <si>
    <t>Хандив, хувийн хэрэглээний зардал</t>
  </si>
  <si>
    <t>Томилолтын зардал</t>
  </si>
  <si>
    <t>В4</t>
  </si>
  <si>
    <t xml:space="preserve">Татвар ногдуулах орлогын дүн </t>
  </si>
  <si>
    <t>1. ТТД:  |_5_|_0_|_4_|_8_|_3_|_8_|_9_|                      2. Нэр:  СИ ЭЙ ЭМ ЭЛ ХХК</t>
  </si>
  <si>
    <t>3. Хариуцлагын хэлбэр:  ХК</t>
  </si>
  <si>
    <t>4. Тайлант хугацаа:    |_2_|_0_|_1_|_8_|  улирал |_1_|</t>
  </si>
  <si>
    <t>Утас1:70130303  99037152</t>
  </si>
  <si>
    <t>6. Эрхэлж буй үйл ажиллагаа: |_3_|_6_|_1_|_0_|_0_|_0_|  -  Хүний нөөцийн үйлчилгээ, сургалт зөвлөгөө</t>
  </si>
  <si>
    <t>1.4. Бусад орлогын дүн/Гадааад валютын ханшын зөрүүгийн бодит бус орлого /</t>
  </si>
  <si>
    <t>Тайлант хугацаанд ногдуулсан татвар (мөр 55)</t>
  </si>
  <si>
    <t xml:space="preserve"> Тайлант хугацаанд  төлсөн</t>
  </si>
  <si>
    <t xml:space="preserve">Тайлангийн хугацаанд төсвөөс буцаан авсан </t>
  </si>
  <si>
    <t xml:space="preserve">Тайлант хугацаанд хүлээн авсан Үлдэгдэл </t>
  </si>
  <si>
    <t xml:space="preserve">Тайлант хугацаанд шилжүүлсэн  Үлдэгдэл </t>
  </si>
  <si>
    <t xml:space="preserve">Тайлант хугацаанд хүчингүй болгосон </t>
  </si>
  <si>
    <t xml:space="preserve">Суутган тооцоолсон </t>
  </si>
  <si>
    <t>Албан татвар төлөгч нь улирлын тайланг дараа улирлын эхний сарын 20-ны дотор, жилийн тайланг дараа оны</t>
  </si>
  <si>
    <t xml:space="preserve"> 2 сарын 10-ны дотор харъяалах татварын албанд тушаана.</t>
  </si>
  <si>
    <t>Дт-120700</t>
  </si>
  <si>
    <t>Кт-310600</t>
  </si>
  <si>
    <t>Ерөнхий захирал. . . . . . .  . . . . . .  . . . . . . . . . . . . ./Г.Солонго /</t>
  </si>
  <si>
    <t>Ерөнхий нягтлан бодогч  . . . . . . . . . . . . . . . . .. . /Б.Түмэндэлгэр/</t>
  </si>
  <si>
    <t>Тайлант үе:2018.01.01-2018.09.30</t>
  </si>
  <si>
    <t xml:space="preserve">Прессны халаагч авахаар </t>
  </si>
  <si>
    <t xml:space="preserve">Декрит - Шинэбаяр </t>
  </si>
  <si>
    <t xml:space="preserve">Нийгмийн даатгал </t>
  </si>
  <si>
    <t xml:space="preserve">Машины тос, тосолгоо </t>
  </si>
  <si>
    <t xml:space="preserve">Дулааны гадна шугамын засварт </t>
  </si>
  <si>
    <t xml:space="preserve">Хаан банкны данс луу зарлага </t>
  </si>
  <si>
    <t xml:space="preserve">Халдаг кабель авахар </t>
  </si>
  <si>
    <t xml:space="preserve">Цавуу авахаар </t>
  </si>
  <si>
    <t xml:space="preserve"> Шинэст ХК 2018 оны 10-р сарын  ажилчидын цалин </t>
  </si>
  <si>
    <t>ЭМ,НД-н шимтгэл Байгууллага 10-сар</t>
  </si>
  <si>
    <t>ЭМ,НД-н шимтгэл Хувь хүн 10-сар</t>
  </si>
  <si>
    <t>ХХОАТатвар 10-р сар</t>
  </si>
  <si>
    <t>Гарт олгох 10-р сар</t>
  </si>
  <si>
    <t xml:space="preserve">Цалингийн зардал 10-р сар </t>
  </si>
  <si>
    <t xml:space="preserve">4-р улирал барилга байгууламжийн элэгдэл </t>
  </si>
  <si>
    <t xml:space="preserve">4-р улирал тавилгын элэгдэл </t>
  </si>
  <si>
    <t xml:space="preserve">4-р улирал тоног төхөөрөмжийн элэгдэл </t>
  </si>
  <si>
    <t xml:space="preserve">4-р улирал тээврийн элэгдэл </t>
  </si>
  <si>
    <t xml:space="preserve">4-р улирал элэгдлийн зардал </t>
  </si>
  <si>
    <t xml:space="preserve">4талт т/төхөөрөмжийн засварт </t>
  </si>
  <si>
    <t xml:space="preserve">Уурын нэхэмжлэхээр өглөг үүсгэв </t>
  </si>
  <si>
    <t xml:space="preserve">Цалин 10-р сар </t>
  </si>
  <si>
    <t xml:space="preserve">Лак, шингэлэгч авав </t>
  </si>
  <si>
    <t xml:space="preserve">Тараган цавуу авав </t>
  </si>
  <si>
    <t>9-р сарын цахилгааны НӨАТ</t>
  </si>
  <si>
    <t>БМ-орлого лак</t>
  </si>
  <si>
    <t>БМ-орлого цавуу</t>
  </si>
  <si>
    <t xml:space="preserve">8-р сарын уурын НӨАТ </t>
  </si>
  <si>
    <t xml:space="preserve">9-р сарын уурын НӨАТ </t>
  </si>
  <si>
    <t xml:space="preserve">Өөрөө өргөгч По-д аккумлятор </t>
  </si>
  <si>
    <t xml:space="preserve">Цэвэрлэгээний материал </t>
  </si>
  <si>
    <t xml:space="preserve">Уурын НӨАТ нөхөж авав </t>
  </si>
  <si>
    <t xml:space="preserve">Шатахууны НӨАТ </t>
  </si>
  <si>
    <t>Интернэтийн НӨАТ</t>
  </si>
  <si>
    <t xml:space="preserve"> Шинэст ХК 2018 оны 11-р сарын  ажилчидын цалин </t>
  </si>
  <si>
    <t>3. Тайлант хугацаа:    |_2_|_0_|_1_|_8_|  улирал |_4_|</t>
  </si>
  <si>
    <t>Хурд Групп ХХК- урьд. орсон орлогыг БО-р хүлээн зөвшөөрөв</t>
  </si>
  <si>
    <t>ЭМ,НД-н шимтгэл Байгууллага 11-сар</t>
  </si>
  <si>
    <t>ЭМ,НД-н шимтгэл Хувь хүн 11-сар</t>
  </si>
  <si>
    <t>ХХОАТатвар 11-р сар</t>
  </si>
  <si>
    <t>Гарт олгох 11-р сар</t>
  </si>
  <si>
    <t xml:space="preserve">Цалингийн зардал 11-р сар </t>
  </si>
  <si>
    <t xml:space="preserve">2018 оны газрын төлбөр </t>
  </si>
  <si>
    <t>2018оны ҮХЭХАТатвар /500.000 хасав/</t>
  </si>
  <si>
    <t>ХӨХ БҮРДНИЙ ЭХ ХХК</t>
  </si>
  <si>
    <t xml:space="preserve">БМ орлого-тараган цавуу </t>
  </si>
  <si>
    <t xml:space="preserve">Дээврийн засварт  </t>
  </si>
  <si>
    <t>2018.01.01-2018.12.31</t>
  </si>
  <si>
    <t>|_2_|_0_|_1_|_8_|  улирал |_4_|</t>
  </si>
  <si>
    <t xml:space="preserve">ХХБанк </t>
  </si>
  <si>
    <t>Жи Мобайлнет ХХК</t>
  </si>
  <si>
    <t>Шинэст ХК, РД:2018942</t>
  </si>
  <si>
    <t>Улирал бүр</t>
  </si>
  <si>
    <t xml:space="preserve">Цалин олгов. 11-р сар </t>
  </si>
  <si>
    <t xml:space="preserve"> Шинэст ХК 2018 оны 12-р сарын  ажилчидын цалин </t>
  </si>
  <si>
    <t>ЭМ,НД-н шимтгэл Байгууллага 12-сар</t>
  </si>
  <si>
    <t>ЭМ,НД-н шимтгэл Хувь хүн 12-сар</t>
  </si>
  <si>
    <t>ХХОАТатвар 12-р сар</t>
  </si>
  <si>
    <t>Гарт олгох 12-р сар</t>
  </si>
  <si>
    <t xml:space="preserve">Цалингийн зардал 12-р сар </t>
  </si>
  <si>
    <t xml:space="preserve">Шингэлэгч авав </t>
  </si>
  <si>
    <t xml:space="preserve">Хөөс авав </t>
  </si>
  <si>
    <t xml:space="preserve">Цэрэнхүү жирэмсний амралт </t>
  </si>
  <si>
    <t>Халдаг кабель</t>
  </si>
  <si>
    <t>БМ-орлого халдаг кабель</t>
  </si>
  <si>
    <t xml:space="preserve">4-ð óëèðàë </t>
  </si>
  <si>
    <t xml:space="preserve">4-р улирал </t>
  </si>
  <si>
    <t>ҮХЭХАТ, ХХОАТ</t>
  </si>
  <si>
    <t xml:space="preserve">Газрын төлбөр </t>
  </si>
  <si>
    <t xml:space="preserve">Цалин олгов 12-р сар </t>
  </si>
  <si>
    <t xml:space="preserve">НӨАТ -интернэт </t>
  </si>
  <si>
    <t xml:space="preserve">НДШ БУЦААЛТ </t>
  </si>
  <si>
    <t xml:space="preserve">1 сар </t>
  </si>
  <si>
    <t xml:space="preserve">2сар </t>
  </si>
  <si>
    <t xml:space="preserve">3сар </t>
  </si>
  <si>
    <t xml:space="preserve">4сар </t>
  </si>
  <si>
    <t xml:space="preserve">5сар </t>
  </si>
  <si>
    <t xml:space="preserve">6сар </t>
  </si>
  <si>
    <t xml:space="preserve">7сар </t>
  </si>
  <si>
    <t xml:space="preserve">8сар </t>
  </si>
  <si>
    <t xml:space="preserve">9сар </t>
  </si>
  <si>
    <t xml:space="preserve">10сар </t>
  </si>
  <si>
    <t xml:space="preserve">11сар </t>
  </si>
  <si>
    <t xml:space="preserve">12сар </t>
  </si>
  <si>
    <t xml:space="preserve">Банкны гүйлгээний шимтгэл </t>
  </si>
  <si>
    <t>A</t>
  </si>
  <si>
    <t xml:space="preserve">БУЯН ОД ХХК </t>
  </si>
  <si>
    <t xml:space="preserve">БМ-орлого мод </t>
  </si>
  <si>
    <t xml:space="preserve">Мод авахаар </t>
  </si>
  <si>
    <t xml:space="preserve">БМ-зарлага </t>
  </si>
  <si>
    <t xml:space="preserve">БМ зарлага 140ш балкон </t>
  </si>
  <si>
    <t xml:space="preserve">БМ зарлага 100ш балкон </t>
  </si>
  <si>
    <t>БМ зарлага хатаах цехэд банз олгов</t>
  </si>
  <si>
    <t xml:space="preserve">Хатаах цех -ҮНЗ уурын зардал </t>
  </si>
  <si>
    <t>БМ-орлого хатсан банз 110м3</t>
  </si>
  <si>
    <t xml:space="preserve">240ш балконы зардал </t>
  </si>
  <si>
    <t>400ш балкон ББӨ-р хүлээн зөвшөөрөв</t>
  </si>
  <si>
    <t>ЖИЛИЙН</t>
  </si>
  <si>
    <t xml:space="preserve">240ш балконы цалингийн зардал </t>
  </si>
  <si>
    <t xml:space="preserve">Каркасны мод </t>
  </si>
  <si>
    <t xml:space="preserve">БМ-орлого </t>
  </si>
</sst>
</file>

<file path=xl/styles.xml><?xml version="1.0" encoding="utf-8"?>
<styleSheet xmlns="http://schemas.openxmlformats.org/spreadsheetml/2006/main">
  <numFmts count="10">
    <numFmt numFmtId="43" formatCode="_(* #,##0.00_);_(* \(#,##0.00\);_(* &quot;-&quot;??_);_(@_)"/>
    <numFmt numFmtId="164" formatCode="_(* #,##0_);_(* \(#,##0\);_(* &quot;-&quot;??_);_(@_)"/>
    <numFmt numFmtId="165" formatCode="#,##0.0"/>
    <numFmt numFmtId="166" formatCode="_(* #,##0.0_);_(* \(#,##0.0\);_(* &quot;-&quot;??_);_(@_)"/>
    <numFmt numFmtId="167" formatCode="_(* #,##0.0000000000_);_(* \(#,##0.0000000000\);_(* &quot;-&quot;??_);_(@_)"/>
    <numFmt numFmtId="168" formatCode="_(* #,##0.000_);_(* \(#,##0.000\);_(* &quot;-&quot;??_);_(@_)"/>
    <numFmt numFmtId="169" formatCode="_(* #,##0.0_);_(* \(#,##0.0\);_(* &quot;-&quot;?_);_(@_)"/>
    <numFmt numFmtId="170" formatCode="0.00_);[Red]\(0.00\)"/>
    <numFmt numFmtId="171" formatCode="_(* #,##0.00000_);_(* \(#,##0.00000\);_(* &quot;-&quot;??_);_(@_)"/>
    <numFmt numFmtId="172" formatCode="_(* #,##0.000000_);_(* \(#,##0.000000\);_(* &quot;-&quot;??_);_(@_)"/>
  </numFmts>
  <fonts count="75">
    <font>
      <sz val="11"/>
      <color theme="1"/>
      <name val="Calibri"/>
      <family val="2"/>
      <scheme val="minor"/>
    </font>
    <font>
      <sz val="11"/>
      <color theme="1"/>
      <name val="Calibri"/>
      <family val="2"/>
      <scheme val="minor"/>
    </font>
    <font>
      <sz val="11"/>
      <color theme="1"/>
      <name val="Times New Roman"/>
      <family val="1"/>
    </font>
    <font>
      <sz val="10"/>
      <name val="Times New Roman"/>
      <family val="1"/>
    </font>
    <font>
      <sz val="10"/>
      <name val="Ch ForeignerLight"/>
      <family val="2"/>
    </font>
    <font>
      <sz val="12"/>
      <name val="A_Antiqua"/>
    </font>
    <font>
      <sz val="10"/>
      <name val="Arial Mon"/>
      <family val="2"/>
    </font>
    <font>
      <sz val="10"/>
      <color theme="1"/>
      <name val="Times New Roman"/>
      <family val="1"/>
    </font>
    <font>
      <b/>
      <sz val="10"/>
      <color theme="1"/>
      <name val="Times New Roman"/>
      <family val="1"/>
    </font>
    <font>
      <b/>
      <u/>
      <sz val="10"/>
      <color theme="1"/>
      <name val="Times New Roman"/>
      <family val="1"/>
    </font>
    <font>
      <b/>
      <u val="singleAccounting"/>
      <sz val="10"/>
      <color theme="1"/>
      <name val="Times New Roman"/>
      <family val="1"/>
    </font>
    <font>
      <b/>
      <sz val="10"/>
      <color rgb="FF000000"/>
      <name val="Times New Roman"/>
      <family val="1"/>
    </font>
    <font>
      <sz val="10"/>
      <color rgb="FF000000"/>
      <name val="Times New Roman"/>
      <family val="1"/>
    </font>
    <font>
      <b/>
      <sz val="10"/>
      <name val="Times New Roman"/>
      <family val="1"/>
    </font>
    <font>
      <sz val="10"/>
      <color rgb="FFD2B48C"/>
      <name val="Times New Roman"/>
      <family val="1"/>
    </font>
    <font>
      <sz val="10"/>
      <name val="Arial"/>
      <family val="2"/>
    </font>
    <font>
      <b/>
      <sz val="12"/>
      <name val="Times New Roman"/>
      <family val="1"/>
    </font>
    <font>
      <sz val="10"/>
      <color rgb="FFFF0000"/>
      <name val="Times New Roman"/>
      <family val="1"/>
    </font>
    <font>
      <u/>
      <sz val="11"/>
      <color theme="10"/>
      <name val="Calibri"/>
      <family val="2"/>
      <scheme val="minor"/>
    </font>
    <font>
      <sz val="9"/>
      <color indexed="81"/>
      <name val="Tahoma"/>
      <family val="2"/>
    </font>
    <font>
      <b/>
      <sz val="9"/>
      <color indexed="81"/>
      <name val="Tahoma"/>
      <family val="2"/>
    </font>
    <font>
      <b/>
      <sz val="11"/>
      <color theme="1"/>
      <name val="Times New Roman"/>
      <family val="1"/>
    </font>
    <font>
      <b/>
      <sz val="10"/>
      <color rgb="FF002060"/>
      <name val="Times New Roman"/>
      <family val="1"/>
    </font>
    <font>
      <sz val="11"/>
      <color theme="1"/>
      <name val="Calibri"/>
      <family val="2"/>
      <charset val="1"/>
      <scheme val="minor"/>
    </font>
    <font>
      <sz val="9"/>
      <name val="Times New Roman"/>
      <family val="1"/>
    </font>
    <font>
      <sz val="10"/>
      <color theme="1"/>
      <name val="Arial Mon"/>
      <family val="2"/>
    </font>
    <font>
      <b/>
      <sz val="10"/>
      <color theme="3"/>
      <name val="Times New Roman"/>
      <family val="1"/>
    </font>
    <font>
      <sz val="10"/>
      <color theme="3"/>
      <name val="Times New Roman"/>
      <family val="1"/>
    </font>
    <font>
      <sz val="9"/>
      <color rgb="FF000000"/>
      <name val="Times New Roman"/>
      <family val="1"/>
    </font>
    <font>
      <b/>
      <sz val="9"/>
      <name val="Times New Roman"/>
      <family val="1"/>
    </font>
    <font>
      <sz val="14"/>
      <color theme="1"/>
      <name val="Times New Roman"/>
      <family val="1"/>
    </font>
    <font>
      <sz val="9"/>
      <color theme="1"/>
      <name val="Times New Roman"/>
      <family val="1"/>
    </font>
    <font>
      <sz val="8"/>
      <color theme="1"/>
      <name val="Times New Roman"/>
      <family val="1"/>
    </font>
    <font>
      <b/>
      <sz val="9"/>
      <color theme="1"/>
      <name val="Times New Roman"/>
      <family val="1"/>
    </font>
    <font>
      <b/>
      <sz val="24"/>
      <color theme="1"/>
      <name val="Times New Roman"/>
      <family val="1"/>
    </font>
    <font>
      <b/>
      <sz val="12"/>
      <color theme="1"/>
      <name val="Times New Roman"/>
      <family val="1"/>
    </font>
    <font>
      <b/>
      <sz val="14"/>
      <color theme="1"/>
      <name val="Times New Roman"/>
      <family val="1"/>
    </font>
    <font>
      <b/>
      <sz val="8"/>
      <color theme="1"/>
      <name val="Times New Roman"/>
      <family val="1"/>
    </font>
    <font>
      <sz val="10"/>
      <name val="Arial"/>
      <family val="2"/>
      <charset val="204"/>
    </font>
    <font>
      <sz val="10"/>
      <color rgb="FF002060"/>
      <name val="Arial"/>
      <family val="2"/>
    </font>
    <font>
      <sz val="9"/>
      <color theme="1"/>
      <name val="Arial"/>
      <family val="2"/>
    </font>
    <font>
      <sz val="11"/>
      <color theme="0"/>
      <name val="Calibri"/>
      <family val="2"/>
      <charset val="1"/>
      <scheme val="minor"/>
    </font>
    <font>
      <sz val="12"/>
      <color theme="1"/>
      <name val="Times New Roman"/>
      <family val="1"/>
    </font>
    <font>
      <b/>
      <sz val="26"/>
      <color theme="0"/>
      <name val="Times New Roman"/>
      <family val="1"/>
    </font>
    <font>
      <b/>
      <u/>
      <sz val="22"/>
      <color theme="1"/>
      <name val="Times New Roman"/>
      <family val="1"/>
    </font>
    <font>
      <b/>
      <sz val="22"/>
      <color theme="1"/>
      <name val="Times New Roman"/>
      <family val="1"/>
    </font>
    <font>
      <b/>
      <sz val="18"/>
      <color theme="1"/>
      <name val="Times New Roman"/>
      <family val="1"/>
    </font>
    <font>
      <b/>
      <sz val="20"/>
      <color theme="1"/>
      <name val="Times New Roman"/>
      <family val="1"/>
    </font>
    <font>
      <sz val="9"/>
      <color rgb="FF333333"/>
      <name val="Times New Roman"/>
      <family val="1"/>
    </font>
    <font>
      <b/>
      <sz val="9"/>
      <color rgb="FF000000"/>
      <name val="Times New Roman"/>
      <family val="1"/>
    </font>
    <font>
      <b/>
      <sz val="12"/>
      <color rgb="FF000000"/>
      <name val="Times New Roman"/>
      <family val="1"/>
    </font>
    <font>
      <sz val="10"/>
      <color indexed="8"/>
      <name val="Times New Roman"/>
      <family val="1"/>
    </font>
    <font>
      <b/>
      <i/>
      <sz val="10"/>
      <color rgb="FF000000"/>
      <name val="Times New Roman"/>
      <family val="1"/>
    </font>
    <font>
      <b/>
      <sz val="10"/>
      <color indexed="8"/>
      <name val="Times New Roman"/>
      <family val="1"/>
    </font>
    <font>
      <sz val="10"/>
      <color theme="1"/>
      <name val="Times New Roman Mon"/>
      <family val="1"/>
    </font>
    <font>
      <sz val="11"/>
      <name val="Times New Roman"/>
      <family val="1"/>
    </font>
    <font>
      <sz val="16"/>
      <color theme="1"/>
      <name val="Times New Roman"/>
      <family val="1"/>
    </font>
    <font>
      <b/>
      <sz val="8"/>
      <color rgb="FF000000"/>
      <name val="Times New Roman"/>
      <family val="1"/>
    </font>
    <font>
      <vertAlign val="superscript"/>
      <sz val="10"/>
      <color theme="1"/>
      <name val="Times New Roman"/>
      <family val="1"/>
    </font>
    <font>
      <i/>
      <sz val="10"/>
      <color theme="1"/>
      <name val="Times New Roman"/>
      <family val="1"/>
    </font>
    <font>
      <sz val="11"/>
      <color theme="5"/>
      <name val="Times New Roman"/>
      <family val="1"/>
    </font>
    <font>
      <u val="singleAccounting"/>
      <sz val="10"/>
      <name val="Times New Roman"/>
      <family val="1"/>
    </font>
    <font>
      <sz val="10"/>
      <color theme="2" tint="-0.89999084444715716"/>
      <name val="Times New Roman"/>
      <family val="1"/>
    </font>
    <font>
      <b/>
      <sz val="10"/>
      <color theme="1"/>
      <name val="Arial Mon"/>
      <family val="2"/>
    </font>
    <font>
      <sz val="10"/>
      <color rgb="FF000000"/>
      <name val="Arial Mon"/>
      <family val="2"/>
    </font>
    <font>
      <b/>
      <sz val="15"/>
      <color theme="1"/>
      <name val="Times New Roman"/>
      <family val="1"/>
    </font>
    <font>
      <i/>
      <sz val="11"/>
      <color theme="1"/>
      <name val="Times New Roman"/>
      <family val="1"/>
    </font>
    <font>
      <b/>
      <i/>
      <sz val="11"/>
      <color theme="1"/>
      <name val="Times New Roman"/>
      <family val="1"/>
    </font>
    <font>
      <b/>
      <sz val="15"/>
      <color rgb="FF000000"/>
      <name val="Times New Roman"/>
      <family val="1"/>
    </font>
    <font>
      <sz val="8"/>
      <color indexed="81"/>
      <name val="Tahoma"/>
      <family val="2"/>
    </font>
    <font>
      <b/>
      <sz val="8"/>
      <color indexed="81"/>
      <name val="Tahoma"/>
      <family val="2"/>
    </font>
    <font>
      <sz val="10"/>
      <color rgb="FFC00000"/>
      <name val="Times New Roman"/>
      <family val="1"/>
    </font>
    <font>
      <b/>
      <sz val="10"/>
      <color theme="1"/>
      <name val="Arial Mon"/>
      <family val="2"/>
    </font>
    <font>
      <sz val="10"/>
      <color theme="1"/>
      <name val="Calibri"/>
      <family val="2"/>
      <scheme val="minor"/>
    </font>
    <font>
      <b/>
      <sz val="16"/>
      <color theme="1"/>
      <name val="Times New Roman"/>
      <family val="1"/>
    </font>
  </fonts>
  <fills count="20">
    <fill>
      <patternFill patternType="none"/>
    </fill>
    <fill>
      <patternFill patternType="gray125"/>
    </fill>
    <fill>
      <patternFill patternType="solid">
        <fgColor theme="9" tint="0.59999389629810485"/>
        <bgColor indexed="64"/>
      </patternFill>
    </fill>
    <fill>
      <patternFill patternType="solid">
        <fgColor theme="0"/>
        <bgColor indexed="64"/>
      </patternFill>
    </fill>
    <fill>
      <patternFill patternType="solid">
        <fgColor theme="0" tint="-4.9989318521683403E-2"/>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rgb="FFFCD3B2"/>
        <bgColor indexed="64"/>
      </patternFill>
    </fill>
    <fill>
      <patternFill patternType="solid">
        <fgColor rgb="FFFFFF00"/>
        <bgColor indexed="64"/>
      </patternFill>
    </fill>
    <fill>
      <patternFill patternType="solid">
        <fgColor theme="3" tint="0.59999389629810485"/>
        <bgColor indexed="64"/>
      </patternFill>
    </fill>
    <fill>
      <patternFill patternType="solid">
        <fgColor theme="9" tint="0.79998168889431442"/>
        <bgColor indexed="64"/>
      </patternFill>
    </fill>
    <fill>
      <patternFill patternType="solid">
        <fgColor theme="6" tint="0.39997558519241921"/>
        <bgColor indexed="64"/>
      </patternFill>
    </fill>
    <fill>
      <patternFill patternType="solid">
        <fgColor rgb="FF92D050"/>
        <bgColor indexed="64"/>
      </patternFill>
    </fill>
    <fill>
      <patternFill patternType="solid">
        <fgColor rgb="FFFFFFFF"/>
        <bgColor indexed="64"/>
      </patternFill>
    </fill>
    <fill>
      <patternFill patternType="solid">
        <fgColor rgb="FFA6A6A6"/>
        <bgColor indexed="64"/>
      </patternFill>
    </fill>
    <fill>
      <patternFill patternType="solid">
        <fgColor rgb="FFBFBFBF"/>
        <bgColor indexed="64"/>
      </patternFill>
    </fill>
    <fill>
      <patternFill patternType="solid">
        <fgColor theme="7"/>
      </patternFill>
    </fill>
    <fill>
      <patternFill patternType="solid">
        <fgColor theme="1"/>
        <bgColor indexed="64"/>
      </patternFill>
    </fill>
    <fill>
      <patternFill patternType="solid">
        <fgColor theme="0" tint="-0.14999847407452621"/>
        <bgColor indexed="64"/>
      </patternFill>
    </fill>
    <fill>
      <patternFill patternType="solid">
        <fgColor theme="0" tint="-0.249977111117893"/>
        <bgColor indexed="64"/>
      </patternFill>
    </fill>
  </fills>
  <borders count="56">
    <border>
      <left/>
      <right/>
      <top/>
      <bottom/>
      <diagonal/>
    </border>
    <border>
      <left style="thin">
        <color theme="9" tint="0.39994506668294322"/>
      </left>
      <right style="thin">
        <color theme="9" tint="0.39994506668294322"/>
      </right>
      <top style="thin">
        <color theme="9" tint="0.39994506668294322"/>
      </top>
      <bottom style="thin">
        <color theme="9" tint="0.39994506668294322"/>
      </bottom>
      <diagonal/>
    </border>
    <border>
      <left style="hair">
        <color indexed="64"/>
      </left>
      <right style="hair">
        <color indexed="64"/>
      </right>
      <top style="hair">
        <color indexed="64"/>
      </top>
      <bottom style="hair">
        <color indexed="64"/>
      </bottom>
      <diagonal/>
    </border>
    <border>
      <left/>
      <right/>
      <top/>
      <bottom style="thin">
        <color indexed="64"/>
      </bottom>
      <diagonal/>
    </border>
    <border>
      <left/>
      <right/>
      <top style="thin">
        <color indexed="64"/>
      </top>
      <bottom/>
      <diagonal/>
    </border>
    <border>
      <left/>
      <right/>
      <top style="thin">
        <color rgb="FF000000"/>
      </top>
      <bottom/>
      <diagonal/>
    </border>
    <border>
      <left/>
      <right style="thin">
        <color rgb="FFD2B48C"/>
      </right>
      <top style="thin">
        <color rgb="FFD2B48C"/>
      </top>
      <bottom style="medium">
        <color rgb="FFD2B48C"/>
      </bottom>
      <diagonal/>
    </border>
    <border>
      <left/>
      <right style="thin">
        <color rgb="FFD2B48C"/>
      </right>
      <top style="thin">
        <color rgb="FFD2B48C"/>
      </top>
      <bottom/>
      <diagonal/>
    </border>
    <border>
      <left style="hair">
        <color theme="1"/>
      </left>
      <right style="hair">
        <color theme="1"/>
      </right>
      <top style="hair">
        <color theme="1"/>
      </top>
      <bottom style="hair">
        <color theme="1"/>
      </bottom>
      <diagonal/>
    </border>
    <border>
      <left/>
      <right/>
      <top style="thin">
        <color indexed="64"/>
      </top>
      <bottom style="hair">
        <color indexed="64"/>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hair">
        <color indexed="64"/>
      </top>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bottom/>
      <diagonal/>
    </border>
    <border>
      <left style="hair">
        <color theme="1"/>
      </left>
      <right/>
      <top style="hair">
        <color theme="1"/>
      </top>
      <bottom style="hair">
        <color theme="1"/>
      </bottom>
      <diagonal/>
    </border>
    <border>
      <left/>
      <right/>
      <top/>
      <bottom style="double">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style="double">
        <color indexed="64"/>
      </top>
      <bottom/>
      <diagonal/>
    </border>
    <border>
      <left/>
      <right style="thin">
        <color rgb="FFFCD3B2"/>
      </right>
      <top/>
      <bottom style="thin">
        <color rgb="FFFCD3B2"/>
      </bottom>
      <diagonal/>
    </border>
    <border>
      <left style="thin">
        <color rgb="FFFCD3B2"/>
      </left>
      <right/>
      <top/>
      <bottom style="thin">
        <color rgb="FFFCD3B2"/>
      </bottom>
      <diagonal/>
    </border>
    <border>
      <left/>
      <right style="thin">
        <color rgb="FFFCD3B2"/>
      </right>
      <top style="thin">
        <color rgb="FFFCD3B2"/>
      </top>
      <bottom style="thin">
        <color rgb="FFFCD3B2"/>
      </bottom>
      <diagonal/>
    </border>
    <border>
      <left style="thin">
        <color rgb="FFFCD3B2"/>
      </left>
      <right/>
      <top style="thin">
        <color rgb="FFFCD3B2"/>
      </top>
      <bottom style="thin">
        <color rgb="FFFCD3B2"/>
      </bottom>
      <diagonal/>
    </border>
    <border>
      <left style="thin">
        <color rgb="FFFCD3B2"/>
      </left>
      <right/>
      <top style="thin">
        <color rgb="FFFCD3B2"/>
      </top>
      <bottom/>
      <diagonal/>
    </border>
    <border>
      <left/>
      <right style="thin">
        <color rgb="FFFCD3B2"/>
      </right>
      <top style="thin">
        <color rgb="FFFCD3B2"/>
      </top>
      <bottom/>
      <diagonal/>
    </border>
    <border>
      <left/>
      <right/>
      <top/>
      <bottom style="dotted">
        <color indexed="64"/>
      </bottom>
      <diagonal/>
    </border>
    <border>
      <left style="hair">
        <color indexed="64"/>
      </left>
      <right style="hair">
        <color indexed="64"/>
      </right>
      <top/>
      <bottom style="hair">
        <color indexed="64"/>
      </bottom>
      <diagonal/>
    </border>
    <border>
      <left style="hair">
        <color indexed="64"/>
      </left>
      <right/>
      <top style="hair">
        <color indexed="64"/>
      </top>
      <bottom/>
      <diagonal/>
    </border>
    <border>
      <left style="hair">
        <color indexed="64"/>
      </left>
      <right/>
      <top/>
      <bottom style="hair">
        <color indexed="64"/>
      </bottom>
      <diagonal/>
    </border>
    <border>
      <left style="hair">
        <color theme="1"/>
      </left>
      <right/>
      <top style="hair">
        <color theme="1"/>
      </top>
      <bottom/>
      <diagonal/>
    </border>
    <border>
      <left style="hair">
        <color theme="1"/>
      </left>
      <right/>
      <top/>
      <bottom style="hair">
        <color theme="1"/>
      </bottom>
      <diagonal/>
    </border>
    <border>
      <left/>
      <right style="hair">
        <color theme="1"/>
      </right>
      <top style="hair">
        <color theme="1"/>
      </top>
      <bottom/>
      <diagonal/>
    </border>
    <border>
      <left/>
      <right style="hair">
        <color theme="1"/>
      </right>
      <top/>
      <bottom style="hair">
        <color theme="1"/>
      </bottom>
      <diagonal/>
    </border>
    <border>
      <left/>
      <right/>
      <top/>
      <bottom style="hair">
        <color indexed="64"/>
      </bottom>
      <diagonal/>
    </border>
    <border>
      <left/>
      <right style="hair">
        <color indexed="64"/>
      </right>
      <top/>
      <bottom style="hair">
        <color indexed="64"/>
      </bottom>
      <diagonal/>
    </border>
    <border>
      <left style="thin">
        <color rgb="FFD2B48C"/>
      </left>
      <right style="thin">
        <color rgb="FFD2B48C"/>
      </right>
      <top style="thin">
        <color rgb="FFD2B48C"/>
      </top>
      <bottom style="thin">
        <color rgb="FFD2B48C"/>
      </bottom>
      <diagonal/>
    </border>
    <border>
      <left style="hair">
        <color indexed="64"/>
      </left>
      <right style="hair">
        <color indexed="64"/>
      </right>
      <top style="hair">
        <color indexed="64"/>
      </top>
      <bottom style="hair">
        <color theme="1"/>
      </bottom>
      <diagonal/>
    </border>
    <border>
      <left style="hair">
        <color indexed="64"/>
      </left>
      <right style="hair">
        <color indexed="64"/>
      </right>
      <top style="hair">
        <color theme="1"/>
      </top>
      <bottom style="hair">
        <color theme="1"/>
      </bottom>
      <diagonal/>
    </border>
    <border>
      <left/>
      <right/>
      <top style="hair">
        <color indexed="64"/>
      </top>
      <bottom/>
      <diagonal/>
    </border>
    <border>
      <left/>
      <right style="hair">
        <color indexed="64"/>
      </right>
      <top style="hair">
        <color indexed="64"/>
      </top>
      <bottom/>
      <diagonal/>
    </border>
    <border>
      <left/>
      <right style="hair">
        <color indexed="64"/>
      </right>
      <top/>
      <bottom/>
      <diagonal/>
    </border>
    <border>
      <left style="hair">
        <color indexed="64"/>
      </left>
      <right style="hair">
        <color indexed="64"/>
      </right>
      <top/>
      <bottom/>
      <diagonal/>
    </border>
    <border>
      <left/>
      <right style="thin">
        <color indexed="64"/>
      </right>
      <top style="hair">
        <color indexed="64"/>
      </top>
      <bottom style="hair">
        <color indexed="64"/>
      </bottom>
      <diagonal/>
    </border>
    <border>
      <left style="thin">
        <color indexed="64"/>
      </left>
      <right style="thin">
        <color indexed="64"/>
      </right>
      <top style="thin">
        <color indexed="64"/>
      </top>
      <bottom style="hair">
        <color indexed="64"/>
      </bottom>
      <diagonal/>
    </border>
    <border>
      <left/>
      <right style="thin">
        <color indexed="64"/>
      </right>
      <top/>
      <bottom/>
      <diagonal/>
    </border>
    <border>
      <left style="hair">
        <color indexed="64"/>
      </left>
      <right style="hair">
        <color indexed="64"/>
      </right>
      <top style="thin">
        <color indexed="64"/>
      </top>
      <bottom/>
      <diagonal/>
    </border>
  </borders>
  <cellStyleXfs count="10">
    <xf numFmtId="0" fontId="0" fillId="0" borderId="0"/>
    <xf numFmtId="43" fontId="1" fillId="0" borderId="0" applyFont="0" applyFill="0" applyBorder="0" applyAlignment="0" applyProtection="0"/>
    <xf numFmtId="9" fontId="1" fillId="0" borderId="0" applyFont="0" applyFill="0" applyBorder="0" applyAlignment="0" applyProtection="0"/>
    <xf numFmtId="0" fontId="4" fillId="0" borderId="0"/>
    <xf numFmtId="0" fontId="5" fillId="0" borderId="0"/>
    <xf numFmtId="43" fontId="15" fillId="0" borderId="0" applyFont="0" applyFill="0" applyBorder="0" applyAlignment="0" applyProtection="0"/>
    <xf numFmtId="0" fontId="23" fillId="0" borderId="0"/>
    <xf numFmtId="43" fontId="38" fillId="0" borderId="0" applyFont="0" applyFill="0" applyBorder="0" applyAlignment="0" applyProtection="0"/>
    <xf numFmtId="168" fontId="41" fillId="16" borderId="0"/>
    <xf numFmtId="43" fontId="1" fillId="0" borderId="0" applyFont="0" applyFill="0" applyBorder="0" applyAlignment="0" applyProtection="0"/>
  </cellStyleXfs>
  <cellXfs count="1305">
    <xf numFmtId="0" fontId="0" fillId="0" borderId="0" xfId="0"/>
    <xf numFmtId="0" fontId="2" fillId="0" borderId="0" xfId="0" applyFont="1"/>
    <xf numFmtId="0" fontId="2" fillId="0" borderId="0" xfId="0" applyFont="1" applyAlignment="1">
      <alignment horizontal="center"/>
    </xf>
    <xf numFmtId="0" fontId="3" fillId="3" borderId="2" xfId="3" applyNumberFormat="1" applyFont="1" applyFill="1" applyBorder="1"/>
    <xf numFmtId="0" fontId="3" fillId="3" borderId="2" xfId="2" applyNumberFormat="1" applyFont="1" applyFill="1" applyBorder="1"/>
    <xf numFmtId="1" fontId="3" fillId="3" borderId="2" xfId="3" applyNumberFormat="1" applyFont="1" applyFill="1" applyBorder="1"/>
    <xf numFmtId="0" fontId="3" fillId="3" borderId="2" xfId="3" applyFont="1" applyFill="1" applyBorder="1"/>
    <xf numFmtId="0" fontId="3" fillId="0" borderId="0" xfId="3" applyFont="1"/>
    <xf numFmtId="39" fontId="3" fillId="0" borderId="0" xfId="3" applyNumberFormat="1" applyFont="1"/>
    <xf numFmtId="0" fontId="3" fillId="3" borderId="2" xfId="3" applyFont="1" applyFill="1" applyBorder="1" applyAlignment="1">
      <alignment horizontal="center"/>
    </xf>
    <xf numFmtId="0" fontId="3" fillId="0" borderId="0" xfId="3" applyFont="1" applyAlignment="1">
      <alignment horizontal="center"/>
    </xf>
    <xf numFmtId="40" fontId="3" fillId="3" borderId="2" xfId="3" applyNumberFormat="1" applyFont="1" applyFill="1" applyBorder="1"/>
    <xf numFmtId="165" fontId="3" fillId="3" borderId="2" xfId="4" applyNumberFormat="1" applyFont="1" applyFill="1" applyBorder="1"/>
    <xf numFmtId="40" fontId="3" fillId="5" borderId="2" xfId="3" applyNumberFormat="1" applyFont="1" applyFill="1" applyBorder="1"/>
    <xf numFmtId="0" fontId="3" fillId="5" borderId="2" xfId="2" applyNumberFormat="1" applyFont="1" applyFill="1" applyBorder="1"/>
    <xf numFmtId="164" fontId="7" fillId="0" borderId="0" xfId="1" applyNumberFormat="1" applyFont="1"/>
    <xf numFmtId="0" fontId="7" fillId="0" borderId="0" xfId="1" applyNumberFormat="1" applyFont="1"/>
    <xf numFmtId="43" fontId="7" fillId="0" borderId="0" xfId="1" applyFont="1"/>
    <xf numFmtId="40" fontId="7" fillId="0" borderId="0" xfId="1" applyNumberFormat="1" applyFont="1"/>
    <xf numFmtId="43" fontId="7" fillId="3" borderId="0" xfId="1" applyFont="1" applyFill="1" applyBorder="1"/>
    <xf numFmtId="43" fontId="7" fillId="0" borderId="0" xfId="1" applyFont="1" applyBorder="1"/>
    <xf numFmtId="0" fontId="7" fillId="0" borderId="0" xfId="0" applyFont="1"/>
    <xf numFmtId="0" fontId="7" fillId="0" borderId="0" xfId="0" applyFont="1" applyAlignment="1">
      <alignment horizontal="center"/>
    </xf>
    <xf numFmtId="0" fontId="8" fillId="0" borderId="0" xfId="0" applyFont="1"/>
    <xf numFmtId="0" fontId="6" fillId="3" borderId="0" xfId="3" applyFont="1" applyFill="1" applyBorder="1"/>
    <xf numFmtId="0" fontId="2" fillId="0" borderId="0" xfId="0" applyFont="1" applyBorder="1"/>
    <xf numFmtId="43" fontId="7" fillId="4" borderId="2" xfId="1" applyFont="1" applyFill="1" applyBorder="1"/>
    <xf numFmtId="43" fontId="3" fillId="3" borderId="2" xfId="1" applyFont="1" applyFill="1" applyBorder="1"/>
    <xf numFmtId="43" fontId="7" fillId="5" borderId="2" xfId="1" applyFont="1" applyFill="1" applyBorder="1"/>
    <xf numFmtId="0" fontId="3" fillId="6" borderId="2" xfId="3" applyFont="1" applyFill="1" applyBorder="1"/>
    <xf numFmtId="0" fontId="3" fillId="6" borderId="2" xfId="3" applyFont="1" applyFill="1" applyBorder="1" applyAlignment="1">
      <alignment horizontal="center"/>
    </xf>
    <xf numFmtId="40" fontId="3" fillId="6" borderId="2" xfId="3" applyNumberFormat="1" applyFont="1" applyFill="1" applyBorder="1"/>
    <xf numFmtId="39" fontId="3" fillId="3" borderId="2" xfId="3" applyNumberFormat="1" applyFont="1" applyFill="1" applyBorder="1"/>
    <xf numFmtId="0" fontId="2" fillId="0" borderId="0" xfId="0" applyFont="1" applyAlignment="1">
      <alignment horizontal="left"/>
    </xf>
    <xf numFmtId="0" fontId="12" fillId="3" borderId="0" xfId="0" applyNumberFormat="1" applyFont="1" applyFill="1" applyBorder="1" applyAlignment="1">
      <alignment wrapText="1"/>
    </xf>
    <xf numFmtId="0" fontId="12" fillId="3" borderId="0" xfId="0" applyNumberFormat="1" applyFont="1" applyFill="1" applyBorder="1" applyAlignment="1">
      <alignment vertical="center" wrapText="1"/>
    </xf>
    <xf numFmtId="43" fontId="7" fillId="3" borderId="0" xfId="1" applyFont="1" applyFill="1"/>
    <xf numFmtId="43" fontId="3" fillId="3" borderId="0" xfId="1" applyFont="1" applyFill="1"/>
    <xf numFmtId="0" fontId="12" fillId="3" borderId="0" xfId="0" applyNumberFormat="1" applyFont="1" applyFill="1" applyBorder="1" applyAlignment="1">
      <alignment horizontal="center" wrapText="1"/>
    </xf>
    <xf numFmtId="0" fontId="7" fillId="0" borderId="0" xfId="0" applyFont="1" applyAlignment="1">
      <alignment horizontal="left"/>
    </xf>
    <xf numFmtId="43" fontId="7" fillId="0" borderId="0" xfId="1" applyFont="1" applyAlignment="1"/>
    <xf numFmtId="40" fontId="2" fillId="0" borderId="0" xfId="0" applyNumberFormat="1" applyFont="1"/>
    <xf numFmtId="0" fontId="3" fillId="3" borderId="0" xfId="0" applyNumberFormat="1" applyFont="1" applyFill="1"/>
    <xf numFmtId="0" fontId="7" fillId="3" borderId="0" xfId="0" applyNumberFormat="1" applyFont="1" applyFill="1"/>
    <xf numFmtId="43" fontId="7" fillId="3" borderId="0" xfId="0" applyNumberFormat="1" applyFont="1" applyFill="1"/>
    <xf numFmtId="0" fontId="12" fillId="3" borderId="0" xfId="0" applyNumberFormat="1" applyFont="1" applyFill="1" applyBorder="1" applyAlignment="1">
      <alignment vertical="center"/>
    </xf>
    <xf numFmtId="0" fontId="7" fillId="3" borderId="0" xfId="0" applyNumberFormat="1" applyFont="1" applyFill="1" applyAlignment="1">
      <alignment vertical="center"/>
    </xf>
    <xf numFmtId="0" fontId="14" fillId="3" borderId="0" xfId="0" applyNumberFormat="1" applyFont="1" applyFill="1" applyBorder="1" applyAlignment="1">
      <alignment vertical="center" wrapText="1"/>
    </xf>
    <xf numFmtId="0" fontId="8" fillId="2" borderId="8" xfId="0" applyFont="1" applyFill="1" applyBorder="1" applyAlignment="1">
      <alignment horizontal="right"/>
    </xf>
    <xf numFmtId="0" fontId="8" fillId="2" borderId="8" xfId="0" applyFont="1" applyFill="1" applyBorder="1"/>
    <xf numFmtId="43" fontId="8" fillId="2" borderId="8" xfId="1" applyFont="1" applyFill="1" applyBorder="1" applyAlignment="1">
      <alignment horizontal="center"/>
    </xf>
    <xf numFmtId="0" fontId="8" fillId="2" borderId="8" xfId="0" applyFont="1" applyFill="1" applyBorder="1" applyAlignment="1">
      <alignment horizontal="center"/>
    </xf>
    <xf numFmtId="0" fontId="7" fillId="0" borderId="8" xfId="0" applyFont="1" applyBorder="1"/>
    <xf numFmtId="43" fontId="7" fillId="0" borderId="8" xfId="1" applyFont="1" applyBorder="1"/>
    <xf numFmtId="0" fontId="9" fillId="0" borderId="8" xfId="0" applyFont="1" applyBorder="1"/>
    <xf numFmtId="43" fontId="10" fillId="0" borderId="8" xfId="1" applyFont="1" applyBorder="1"/>
    <xf numFmtId="164" fontId="7" fillId="2" borderId="2" xfId="1" applyNumberFormat="1" applyFont="1" applyFill="1" applyBorder="1"/>
    <xf numFmtId="0" fontId="7" fillId="2" borderId="2" xfId="1" applyNumberFormat="1" applyFont="1" applyFill="1" applyBorder="1" applyAlignment="1">
      <alignment vertical="top"/>
    </xf>
    <xf numFmtId="43" fontId="7" fillId="2" borderId="2" xfId="1" applyFont="1" applyFill="1" applyBorder="1" applyAlignment="1">
      <alignment vertical="top"/>
    </xf>
    <xf numFmtId="43" fontId="3" fillId="2" borderId="2" xfId="1" applyFont="1" applyFill="1" applyBorder="1" applyAlignment="1">
      <alignment horizontal="center" wrapText="1"/>
    </xf>
    <xf numFmtId="0" fontId="3" fillId="2" borderId="2" xfId="3" applyFont="1" applyFill="1" applyBorder="1"/>
    <xf numFmtId="0" fontId="3" fillId="2" borderId="2" xfId="3" applyFont="1" applyFill="1" applyBorder="1" applyAlignment="1">
      <alignment horizontal="center"/>
    </xf>
    <xf numFmtId="0" fontId="3" fillId="2" borderId="2" xfId="3" applyFont="1" applyFill="1" applyBorder="1" applyAlignment="1">
      <alignment vertical="center"/>
    </xf>
    <xf numFmtId="0" fontId="3" fillId="2" borderId="2" xfId="3" applyFont="1" applyFill="1" applyBorder="1" applyAlignment="1">
      <alignment horizontal="center" vertical="center"/>
    </xf>
    <xf numFmtId="0" fontId="3" fillId="2" borderId="2" xfId="3" quotePrefix="1" applyFont="1" applyFill="1" applyBorder="1"/>
    <xf numFmtId="0" fontId="12" fillId="7" borderId="8" xfId="0" applyNumberFormat="1" applyFont="1" applyFill="1" applyBorder="1" applyAlignment="1">
      <alignment horizontal="center" vertical="center" wrapText="1"/>
    </xf>
    <xf numFmtId="0" fontId="3" fillId="3" borderId="8" xfId="0" applyNumberFormat="1" applyFont="1" applyFill="1" applyBorder="1" applyAlignment="1">
      <alignment horizontal="right" vertical="center" wrapText="1"/>
    </xf>
    <xf numFmtId="164" fontId="14" fillId="3" borderId="0" xfId="0" applyNumberFormat="1" applyFont="1" applyFill="1" applyBorder="1" applyAlignment="1">
      <alignment vertical="center" wrapText="1"/>
    </xf>
    <xf numFmtId="0" fontId="3" fillId="3" borderId="8" xfId="0" applyNumberFormat="1" applyFont="1" applyFill="1" applyBorder="1" applyAlignment="1">
      <alignment horizontal="center" vertical="center" wrapText="1"/>
    </xf>
    <xf numFmtId="0" fontId="12" fillId="7" borderId="2" xfId="0" applyNumberFormat="1" applyFont="1" applyFill="1" applyBorder="1" applyAlignment="1">
      <alignment horizontal="right" vertical="center" wrapText="1"/>
    </xf>
    <xf numFmtId="0" fontId="7" fillId="3" borderId="0" xfId="0" applyNumberFormat="1" applyFont="1" applyFill="1" applyAlignment="1">
      <alignment horizontal="right"/>
    </xf>
    <xf numFmtId="0" fontId="7" fillId="3" borderId="0" xfId="1" applyNumberFormat="1" applyFont="1" applyFill="1"/>
    <xf numFmtId="40" fontId="7" fillId="0" borderId="0" xfId="1" applyNumberFormat="1" applyFont="1" applyBorder="1"/>
    <xf numFmtId="0" fontId="7" fillId="0" borderId="0" xfId="0" applyNumberFormat="1" applyFont="1"/>
    <xf numFmtId="0" fontId="7" fillId="2" borderId="11" xfId="1" applyNumberFormat="1" applyFont="1" applyFill="1" applyBorder="1" applyAlignment="1">
      <alignment vertical="top"/>
    </xf>
    <xf numFmtId="40" fontId="3" fillId="2" borderId="11" xfId="1" applyNumberFormat="1" applyFont="1" applyFill="1" applyBorder="1" applyAlignment="1">
      <alignment horizontal="center" wrapText="1"/>
    </xf>
    <xf numFmtId="43" fontId="7" fillId="9" borderId="0" xfId="1" applyFont="1" applyFill="1"/>
    <xf numFmtId="43" fontId="7" fillId="9" borderId="1" xfId="1" applyFont="1" applyFill="1" applyBorder="1"/>
    <xf numFmtId="0" fontId="3" fillId="2" borderId="2" xfId="0" applyFont="1" applyFill="1" applyBorder="1"/>
    <xf numFmtId="43" fontId="7" fillId="0" borderId="0" xfId="0" applyNumberFormat="1" applyFont="1"/>
    <xf numFmtId="43" fontId="3" fillId="0" borderId="2" xfId="1" applyFont="1" applyBorder="1"/>
    <xf numFmtId="43" fontId="2" fillId="0" borderId="0" xfId="1" applyFont="1"/>
    <xf numFmtId="43" fontId="7" fillId="0" borderId="0" xfId="1" applyFont="1" applyAlignment="1">
      <alignment horizontal="center"/>
    </xf>
    <xf numFmtId="43" fontId="2" fillId="0" borderId="0" xfId="0" applyNumberFormat="1" applyFont="1"/>
    <xf numFmtId="43" fontId="7" fillId="0" borderId="15" xfId="1" applyFont="1" applyBorder="1" applyAlignment="1">
      <alignment horizontal="center"/>
    </xf>
    <xf numFmtId="0" fontId="8" fillId="0" borderId="0" xfId="5" applyNumberFormat="1" applyFont="1"/>
    <xf numFmtId="0" fontId="7" fillId="0" borderId="0" xfId="5" applyNumberFormat="1" applyFont="1"/>
    <xf numFmtId="43" fontId="7" fillId="0" borderId="0" xfId="5" applyFont="1"/>
    <xf numFmtId="164" fontId="7" fillId="0" borderId="0" xfId="5" applyNumberFormat="1" applyFont="1" applyAlignment="1">
      <alignment horizontal="center" vertical="center"/>
    </xf>
    <xf numFmtId="14" fontId="7" fillId="0" borderId="0" xfId="5" applyNumberFormat="1" applyFont="1"/>
    <xf numFmtId="0" fontId="3" fillId="0" borderId="0" xfId="5" applyNumberFormat="1" applyFont="1" applyAlignment="1">
      <alignment horizontal="center" vertical="center"/>
    </xf>
    <xf numFmtId="43" fontId="7" fillId="0" borderId="0" xfId="5" applyFont="1" applyAlignment="1">
      <alignment horizontal="left"/>
    </xf>
    <xf numFmtId="164" fontId="7" fillId="0" borderId="0" xfId="5" applyNumberFormat="1" applyFont="1"/>
    <xf numFmtId="43" fontId="7" fillId="10" borderId="0" xfId="5" applyFont="1" applyFill="1" applyBorder="1"/>
    <xf numFmtId="43" fontId="7" fillId="0" borderId="0" xfId="5" applyFont="1" applyBorder="1"/>
    <xf numFmtId="168" fontId="7" fillId="0" borderId="0" xfId="5" applyNumberFormat="1" applyFont="1" applyBorder="1"/>
    <xf numFmtId="0" fontId="7" fillId="0" borderId="0" xfId="5" applyNumberFormat="1" applyFont="1" applyAlignment="1">
      <alignment horizontal="center" vertical="center"/>
    </xf>
    <xf numFmtId="43" fontId="7" fillId="0" borderId="0" xfId="5" applyFont="1" applyAlignment="1">
      <alignment horizontal="right" vertical="center"/>
    </xf>
    <xf numFmtId="43" fontId="7" fillId="4" borderId="0" xfId="5" applyNumberFormat="1" applyFont="1" applyFill="1" applyBorder="1" applyAlignment="1" applyProtection="1">
      <alignment horizontal="left" vertical="center"/>
      <protection locked="0"/>
    </xf>
    <xf numFmtId="0" fontId="7" fillId="2" borderId="2" xfId="5" applyNumberFormat="1" applyFont="1" applyFill="1" applyBorder="1"/>
    <xf numFmtId="164" fontId="7" fillId="2" borderId="2" xfId="5" applyNumberFormat="1" applyFont="1" applyFill="1" applyBorder="1" applyAlignment="1">
      <alignment horizontal="left" vertical="center"/>
    </xf>
    <xf numFmtId="14" fontId="7" fillId="2" borderId="2" xfId="5" applyNumberFormat="1" applyFont="1" applyFill="1" applyBorder="1" applyAlignment="1">
      <alignment horizontal="left" vertical="center"/>
    </xf>
    <xf numFmtId="0" fontId="3" fillId="2" borderId="2" xfId="5" applyNumberFormat="1" applyFont="1" applyFill="1" applyBorder="1" applyAlignment="1">
      <alignment horizontal="left" vertical="center"/>
    </xf>
    <xf numFmtId="43" fontId="7" fillId="2" borderId="2" xfId="5" applyFont="1" applyFill="1" applyBorder="1" applyAlignment="1">
      <alignment horizontal="left" vertical="center" wrapText="1"/>
    </xf>
    <xf numFmtId="43" fontId="3" fillId="2" borderId="2" xfId="5" applyFont="1" applyFill="1" applyBorder="1" applyAlignment="1">
      <alignment horizontal="left" vertical="center"/>
    </xf>
    <xf numFmtId="43" fontId="3" fillId="2" borderId="2" xfId="5" applyFont="1" applyFill="1" applyBorder="1" applyAlignment="1">
      <alignment horizontal="left" vertical="center" wrapText="1"/>
    </xf>
    <xf numFmtId="43" fontId="7" fillId="9" borderId="10" xfId="5" applyFont="1" applyFill="1" applyBorder="1"/>
    <xf numFmtId="43" fontId="7" fillId="9" borderId="2" xfId="5" applyFont="1" applyFill="1" applyBorder="1"/>
    <xf numFmtId="0" fontId="7" fillId="0" borderId="0" xfId="5" applyNumberFormat="1" applyFont="1" applyBorder="1"/>
    <xf numFmtId="0" fontId="7" fillId="2" borderId="2" xfId="5" applyNumberFormat="1" applyFont="1" applyFill="1" applyBorder="1" applyAlignment="1">
      <alignment horizontal="center" vertical="center"/>
    </xf>
    <xf numFmtId="43" fontId="7" fillId="2" borderId="2" xfId="5" applyFont="1" applyFill="1" applyBorder="1" applyAlignment="1">
      <alignment horizontal="right" vertical="top"/>
    </xf>
    <xf numFmtId="43" fontId="7" fillId="11" borderId="2" xfId="1" applyFont="1" applyFill="1" applyBorder="1"/>
    <xf numFmtId="14" fontId="7" fillId="11" borderId="2" xfId="1" applyNumberFormat="1" applyFont="1" applyFill="1" applyBorder="1"/>
    <xf numFmtId="0" fontId="7" fillId="12" borderId="2" xfId="0" applyFont="1" applyFill="1" applyBorder="1" applyAlignment="1">
      <alignment horizontal="left"/>
    </xf>
    <xf numFmtId="0" fontId="7" fillId="12" borderId="2" xfId="0" applyFont="1" applyFill="1" applyBorder="1"/>
    <xf numFmtId="14" fontId="7" fillId="12" borderId="2" xfId="0" applyNumberFormat="1" applyFont="1" applyFill="1" applyBorder="1"/>
    <xf numFmtId="14" fontId="7" fillId="2" borderId="2" xfId="5" applyNumberFormat="1" applyFont="1" applyFill="1" applyBorder="1" applyAlignment="1" applyProtection="1">
      <alignment horizontal="left" vertical="center"/>
      <protection locked="0"/>
    </xf>
    <xf numFmtId="0" fontId="7" fillId="3" borderId="0" xfId="1" applyNumberFormat="1" applyFont="1" applyFill="1" applyAlignment="1">
      <alignment vertical="center"/>
    </xf>
    <xf numFmtId="0" fontId="7" fillId="3" borderId="0" xfId="1" applyNumberFormat="1" applyFont="1" applyFill="1" applyAlignment="1">
      <alignment horizontal="right"/>
    </xf>
    <xf numFmtId="0" fontId="3" fillId="3" borderId="0" xfId="1" applyNumberFormat="1" applyFont="1" applyFill="1"/>
    <xf numFmtId="0" fontId="3" fillId="2" borderId="2" xfId="3" applyFont="1" applyFill="1" applyBorder="1" applyAlignment="1">
      <alignment horizontal="center" vertical="center"/>
    </xf>
    <xf numFmtId="43" fontId="3" fillId="3" borderId="2" xfId="3" applyNumberFormat="1" applyFont="1" applyFill="1" applyBorder="1"/>
    <xf numFmtId="43" fontId="3" fillId="3" borderId="2" xfId="0" applyNumberFormat="1" applyFont="1" applyFill="1" applyBorder="1"/>
    <xf numFmtId="49" fontId="7" fillId="3" borderId="0" xfId="0" applyNumberFormat="1" applyFont="1" applyFill="1" applyAlignment="1">
      <alignment horizontal="center"/>
    </xf>
    <xf numFmtId="0" fontId="22" fillId="3" borderId="0" xfId="0" applyFont="1" applyFill="1" applyAlignment="1">
      <alignment horizontal="center"/>
    </xf>
    <xf numFmtId="0" fontId="3" fillId="3" borderId="0" xfId="0" applyFont="1" applyFill="1"/>
    <xf numFmtId="0" fontId="3" fillId="3" borderId="0" xfId="0" applyFont="1" applyFill="1" applyAlignment="1">
      <alignment horizontal="left"/>
    </xf>
    <xf numFmtId="0" fontId="7" fillId="3" borderId="0" xfId="6" applyNumberFormat="1" applyFont="1" applyFill="1" applyAlignment="1">
      <alignment horizontal="center"/>
    </xf>
    <xf numFmtId="0" fontId="7" fillId="3" borderId="0" xfId="6" applyFont="1" applyFill="1"/>
    <xf numFmtId="0" fontId="7" fillId="3" borderId="0" xfId="0" applyNumberFormat="1" applyFont="1" applyFill="1" applyAlignment="1">
      <alignment horizontal="center"/>
    </xf>
    <xf numFmtId="0" fontId="7" fillId="3" borderId="0" xfId="0" applyFont="1" applyFill="1"/>
    <xf numFmtId="0" fontId="24" fillId="3" borderId="0" xfId="0" applyNumberFormat="1" applyFont="1" applyFill="1" applyBorder="1" applyAlignment="1">
      <alignment horizontal="left"/>
    </xf>
    <xf numFmtId="0" fontId="3" fillId="3" borderId="0" xfId="0" applyFont="1" applyFill="1" applyBorder="1" applyAlignment="1">
      <alignment horizontal="left"/>
    </xf>
    <xf numFmtId="0" fontId="3" fillId="3" borderId="0" xfId="6" applyNumberFormat="1" applyFont="1" applyFill="1" applyAlignment="1">
      <alignment horizontal="center"/>
    </xf>
    <xf numFmtId="0" fontId="17" fillId="3" borderId="0" xfId="0" applyFont="1" applyFill="1"/>
    <xf numFmtId="0" fontId="3" fillId="3" borderId="0" xfId="0" applyNumberFormat="1" applyFont="1" applyFill="1" applyAlignment="1">
      <alignment horizontal="center"/>
    </xf>
    <xf numFmtId="0" fontId="7" fillId="0" borderId="0" xfId="0" applyFont="1" applyAlignment="1">
      <alignment horizontal="right"/>
    </xf>
    <xf numFmtId="0" fontId="3" fillId="5" borderId="13" xfId="3" applyFont="1" applyFill="1" applyBorder="1" applyAlignment="1"/>
    <xf numFmtId="0" fontId="3" fillId="5" borderId="14" xfId="3" applyFont="1" applyFill="1" applyBorder="1" applyAlignment="1"/>
    <xf numFmtId="0" fontId="26" fillId="3" borderId="0" xfId="0" applyFont="1" applyFill="1" applyAlignment="1">
      <alignment horizontal="center"/>
    </xf>
    <xf numFmtId="0" fontId="7" fillId="0" borderId="0" xfId="1" applyNumberFormat="1" applyFont="1" applyAlignment="1">
      <alignment horizontal="center"/>
    </xf>
    <xf numFmtId="0" fontId="7" fillId="0" borderId="0" xfId="0" applyNumberFormat="1" applyFont="1" applyAlignment="1">
      <alignment horizontal="center"/>
    </xf>
    <xf numFmtId="43" fontId="25" fillId="0" borderId="0" xfId="5" applyFont="1"/>
    <xf numFmtId="0" fontId="22" fillId="2" borderId="2" xfId="0" applyFont="1" applyFill="1" applyBorder="1" applyAlignment="1">
      <alignment horizontal="center"/>
    </xf>
    <xf numFmtId="0" fontId="22" fillId="2" borderId="2" xfId="0" applyFont="1" applyFill="1" applyBorder="1" applyAlignment="1">
      <alignment horizontal="left"/>
    </xf>
    <xf numFmtId="0" fontId="3" fillId="2" borderId="2" xfId="0" applyFont="1" applyFill="1" applyBorder="1" applyAlignment="1">
      <alignment horizontal="left"/>
    </xf>
    <xf numFmtId="49" fontId="7" fillId="2" borderId="2" xfId="0" applyNumberFormat="1" applyFont="1" applyFill="1" applyBorder="1" applyAlignment="1">
      <alignment horizontal="center"/>
    </xf>
    <xf numFmtId="0" fontId="7" fillId="0" borderId="0" xfId="0" applyNumberFormat="1" applyFont="1" applyAlignment="1">
      <alignment horizontal="left"/>
    </xf>
    <xf numFmtId="43" fontId="3" fillId="2" borderId="2" xfId="1" applyFont="1" applyFill="1" applyBorder="1" applyAlignment="1">
      <alignment horizontal="center"/>
    </xf>
    <xf numFmtId="0" fontId="3" fillId="3" borderId="0" xfId="0" applyNumberFormat="1" applyFont="1" applyFill="1" applyBorder="1" applyAlignment="1">
      <alignment horizontal="center" vertical="center" wrapText="1"/>
    </xf>
    <xf numFmtId="0" fontId="13" fillId="3" borderId="0" xfId="0" applyNumberFormat="1" applyFont="1" applyFill="1" applyBorder="1" applyAlignment="1">
      <alignment horizontal="left" vertical="center" wrapText="1"/>
    </xf>
    <xf numFmtId="43" fontId="3" fillId="3" borderId="0" xfId="0" applyNumberFormat="1" applyFont="1" applyFill="1" applyBorder="1" applyAlignment="1">
      <alignment horizontal="right" vertical="center" wrapText="1"/>
    </xf>
    <xf numFmtId="166" fontId="3" fillId="3" borderId="0" xfId="0" applyNumberFormat="1" applyFont="1" applyFill="1" applyBorder="1" applyAlignment="1">
      <alignment horizontal="right" vertical="center" wrapText="1"/>
    </xf>
    <xf numFmtId="166" fontId="3" fillId="3" borderId="0" xfId="1" applyNumberFormat="1" applyFont="1" applyFill="1" applyBorder="1" applyAlignment="1">
      <alignment horizontal="right" vertical="center" wrapText="1"/>
    </xf>
    <xf numFmtId="43" fontId="3" fillId="0" borderId="0" xfId="1" applyFont="1"/>
    <xf numFmtId="164" fontId="3" fillId="0" borderId="0" xfId="1" applyNumberFormat="1" applyFont="1"/>
    <xf numFmtId="43" fontId="16" fillId="0" borderId="0" xfId="1" applyFont="1"/>
    <xf numFmtId="43" fontId="18" fillId="0" borderId="0" xfId="1" applyFont="1"/>
    <xf numFmtId="43" fontId="3" fillId="0" borderId="0" xfId="1" applyFont="1" applyAlignment="1"/>
    <xf numFmtId="43" fontId="3" fillId="0" borderId="0" xfId="1" applyFont="1" applyAlignment="1">
      <alignment horizontal="left" indent="3"/>
    </xf>
    <xf numFmtId="43" fontId="3" fillId="2" borderId="2" xfId="1" applyFont="1" applyFill="1" applyBorder="1"/>
    <xf numFmtId="43" fontId="3" fillId="0" borderId="0" xfId="1" applyFont="1" applyBorder="1" applyAlignment="1">
      <alignment horizontal="center"/>
    </xf>
    <xf numFmtId="0" fontId="3" fillId="0" borderId="0" xfId="1" applyNumberFormat="1" applyFont="1"/>
    <xf numFmtId="0" fontId="3" fillId="2" borderId="2" xfId="1" applyNumberFormat="1" applyFont="1" applyFill="1" applyBorder="1"/>
    <xf numFmtId="0" fontId="3" fillId="2" borderId="2" xfId="1" applyNumberFormat="1" applyFont="1" applyFill="1" applyBorder="1" applyAlignment="1">
      <alignment horizontal="center"/>
    </xf>
    <xf numFmtId="14" fontId="3" fillId="0" borderId="2" xfId="1" applyNumberFormat="1" applyFont="1" applyBorder="1"/>
    <xf numFmtId="0" fontId="3" fillId="0" borderId="2" xfId="1" applyNumberFormat="1" applyFont="1" applyBorder="1"/>
    <xf numFmtId="164" fontId="3" fillId="2" borderId="2" xfId="1" applyNumberFormat="1" applyFont="1" applyFill="1" applyBorder="1"/>
    <xf numFmtId="164" fontId="3" fillId="0" borderId="2" xfId="1" applyNumberFormat="1" applyFont="1" applyBorder="1"/>
    <xf numFmtId="13" fontId="3" fillId="0" borderId="0" xfId="1" applyNumberFormat="1" applyFont="1"/>
    <xf numFmtId="0" fontId="7" fillId="0" borderId="0" xfId="5" applyNumberFormat="1" applyFont="1" applyAlignment="1">
      <alignment vertical="center"/>
    </xf>
    <xf numFmtId="43" fontId="7" fillId="3" borderId="0" xfId="5" applyFont="1" applyFill="1"/>
    <xf numFmtId="168" fontId="7" fillId="0" borderId="0" xfId="5" applyNumberFormat="1" applyFont="1" applyAlignment="1">
      <alignment vertical="center"/>
    </xf>
    <xf numFmtId="14" fontId="7" fillId="0" borderId="0" xfId="5" applyNumberFormat="1" applyFont="1" applyBorder="1"/>
    <xf numFmtId="43" fontId="30" fillId="0" borderId="0" xfId="5" applyFont="1" applyBorder="1" applyAlignment="1">
      <alignment horizontal="center"/>
    </xf>
    <xf numFmtId="168" fontId="7" fillId="0" borderId="0" xfId="5" applyNumberFormat="1" applyFont="1" applyBorder="1" applyAlignment="1">
      <alignment horizontal="right"/>
    </xf>
    <xf numFmtId="43" fontId="7" fillId="0" borderId="0" xfId="5" applyFont="1" applyBorder="1" applyAlignment="1">
      <alignment horizontal="right"/>
    </xf>
    <xf numFmtId="168" fontId="7" fillId="0" borderId="0" xfId="1" applyNumberFormat="1" applyFont="1" applyBorder="1"/>
    <xf numFmtId="43" fontId="7" fillId="0" borderId="0" xfId="5" applyFont="1" applyAlignment="1">
      <alignment horizontal="center" vertical="center"/>
    </xf>
    <xf numFmtId="43" fontId="7" fillId="9" borderId="0" xfId="5" applyFont="1" applyFill="1" applyAlignment="1">
      <alignment horizontal="center"/>
    </xf>
    <xf numFmtId="43" fontId="7" fillId="0" borderId="0" xfId="5" applyFont="1" applyAlignment="1">
      <alignment horizontal="center"/>
    </xf>
    <xf numFmtId="43" fontId="7" fillId="2" borderId="2" xfId="5" applyFont="1" applyFill="1" applyBorder="1" applyAlignment="1">
      <alignment horizontal="center" wrapText="1"/>
    </xf>
    <xf numFmtId="43" fontId="7" fillId="2" borderId="2" xfId="5" applyFont="1" applyFill="1" applyBorder="1" applyAlignment="1">
      <alignment horizontal="center" vertical="center"/>
    </xf>
    <xf numFmtId="0" fontId="7" fillId="9" borderId="0" xfId="1" applyNumberFormat="1" applyFont="1" applyFill="1" applyBorder="1"/>
    <xf numFmtId="0" fontId="7" fillId="0" borderId="0" xfId="1" applyNumberFormat="1" applyFont="1" applyAlignment="1"/>
    <xf numFmtId="0" fontId="7" fillId="3" borderId="0" xfId="1" applyNumberFormat="1" applyFont="1" applyFill="1" applyAlignment="1">
      <alignment horizontal="right" vertical="center"/>
    </xf>
    <xf numFmtId="169" fontId="7" fillId="3" borderId="0" xfId="0" applyNumberFormat="1" applyFont="1" applyFill="1"/>
    <xf numFmtId="43" fontId="7" fillId="3" borderId="0" xfId="1" applyNumberFormat="1" applyFont="1" applyFill="1"/>
    <xf numFmtId="0" fontId="3" fillId="5" borderId="12" xfId="3" applyFont="1" applyFill="1" applyBorder="1" applyAlignment="1"/>
    <xf numFmtId="0" fontId="7" fillId="3" borderId="0" xfId="0" applyFont="1" applyFill="1" applyAlignment="1">
      <alignment horizontal="left"/>
    </xf>
    <xf numFmtId="168" fontId="3" fillId="3" borderId="2" xfId="1" applyNumberFormat="1" applyFont="1" applyFill="1" applyBorder="1"/>
    <xf numFmtId="43" fontId="12" fillId="3" borderId="0" xfId="1" applyFont="1" applyFill="1" applyBorder="1" applyAlignment="1">
      <alignment horizontal="right" vertical="center" wrapText="1"/>
    </xf>
    <xf numFmtId="43" fontId="12" fillId="3" borderId="0" xfId="1" applyFont="1" applyFill="1" applyBorder="1" applyAlignment="1">
      <alignment vertical="center" wrapText="1"/>
    </xf>
    <xf numFmtId="0" fontId="21" fillId="0" borderId="0" xfId="0" applyFont="1" applyFill="1" applyAlignment="1">
      <alignment horizontal="left"/>
    </xf>
    <xf numFmtId="0" fontId="31" fillId="0" borderId="0" xfId="0" applyFont="1" applyFill="1" applyAlignment="1">
      <alignment horizontal="left"/>
    </xf>
    <xf numFmtId="0" fontId="31" fillId="0" borderId="0" xfId="0" applyFont="1" applyFill="1" applyAlignment="1">
      <alignment horizontal="left" wrapText="1"/>
    </xf>
    <xf numFmtId="0" fontId="31" fillId="0" borderId="0" xfId="0" applyFont="1"/>
    <xf numFmtId="0" fontId="32" fillId="0" borderId="0" xfId="0" applyFont="1" applyFill="1" applyAlignment="1">
      <alignment horizontal="right"/>
    </xf>
    <xf numFmtId="43" fontId="31" fillId="0" borderId="0" xfId="5" applyFont="1"/>
    <xf numFmtId="0" fontId="33" fillId="0" borderId="0" xfId="0" applyFont="1" applyFill="1" applyAlignment="1">
      <alignment horizontal="left"/>
    </xf>
    <xf numFmtId="0" fontId="31" fillId="0" borderId="17" xfId="0" applyFont="1" applyBorder="1"/>
    <xf numFmtId="0" fontId="31" fillId="0" borderId="17" xfId="0" applyFont="1" applyFill="1" applyBorder="1" applyAlignment="1">
      <alignment horizontal="left"/>
    </xf>
    <xf numFmtId="0" fontId="35" fillId="0" borderId="0" xfId="0" applyFont="1" applyFill="1" applyAlignment="1"/>
    <xf numFmtId="0" fontId="28" fillId="0" borderId="0" xfId="0" applyFont="1"/>
    <xf numFmtId="0" fontId="31" fillId="0" borderId="0" xfId="0" applyFont="1" applyAlignment="1">
      <alignment wrapText="1"/>
    </xf>
    <xf numFmtId="0" fontId="7" fillId="0" borderId="0" xfId="0" applyFont="1" applyFill="1" applyAlignment="1">
      <alignment horizontal="left"/>
    </xf>
    <xf numFmtId="0" fontId="7" fillId="0" borderId="0" xfId="0" applyFont="1" applyFill="1"/>
    <xf numFmtId="0" fontId="15" fillId="0" borderId="0" xfId="0" applyFont="1"/>
    <xf numFmtId="0" fontId="12" fillId="3" borderId="0" xfId="0" applyNumberFormat="1" applyFont="1" applyFill="1" applyBorder="1" applyAlignment="1">
      <alignment horizontal="right" vertical="center" wrapText="1"/>
    </xf>
    <xf numFmtId="0" fontId="12" fillId="3" borderId="2" xfId="0" applyNumberFormat="1" applyFont="1" applyFill="1" applyBorder="1" applyAlignment="1">
      <alignment horizontal="left" vertical="center" wrapText="1"/>
    </xf>
    <xf numFmtId="0" fontId="12" fillId="7" borderId="2" xfId="0" applyNumberFormat="1" applyFont="1" applyFill="1" applyBorder="1" applyAlignment="1">
      <alignment horizontal="center" vertical="center" wrapText="1"/>
    </xf>
    <xf numFmtId="0" fontId="39" fillId="0" borderId="29" xfId="0" applyFont="1" applyBorder="1" applyAlignment="1">
      <alignment horizontal="left" vertical="center"/>
    </xf>
    <xf numFmtId="0" fontId="39" fillId="0" borderId="30" xfId="0" applyFont="1" applyBorder="1" applyAlignment="1">
      <alignment horizontal="left" vertical="center"/>
    </xf>
    <xf numFmtId="0" fontId="15" fillId="0" borderId="0" xfId="0" applyFont="1" applyAlignment="1">
      <alignment horizontal="left" vertical="center"/>
    </xf>
    <xf numFmtId="0" fontId="15" fillId="0" borderId="31" xfId="0" applyFont="1" applyBorder="1"/>
    <xf numFmtId="49" fontId="15" fillId="0" borderId="32" xfId="0" applyNumberFormat="1" applyFont="1" applyBorder="1"/>
    <xf numFmtId="0" fontId="15" fillId="0" borderId="31" xfId="0" applyFont="1" applyBorder="1" applyAlignment="1">
      <alignment horizontal="left"/>
    </xf>
    <xf numFmtId="0" fontId="15" fillId="0" borderId="32" xfId="0" applyFont="1" applyBorder="1"/>
    <xf numFmtId="0" fontId="15" fillId="0" borderId="31" xfId="0" applyFont="1" applyBorder="1" applyAlignment="1">
      <alignment wrapText="1"/>
    </xf>
    <xf numFmtId="0" fontId="40" fillId="0" borderId="33" xfId="0" applyFont="1" applyFill="1" applyBorder="1" applyAlignment="1">
      <alignment horizontal="left"/>
    </xf>
    <xf numFmtId="0" fontId="15" fillId="0" borderId="31" xfId="0" applyFont="1" applyBorder="1" applyAlignment="1">
      <alignment horizontal="right"/>
    </xf>
    <xf numFmtId="0" fontId="15" fillId="0" borderId="34" xfId="0" applyFont="1" applyBorder="1"/>
    <xf numFmtId="0" fontId="15" fillId="0" borderId="33" xfId="0" applyFont="1" applyBorder="1"/>
    <xf numFmtId="43" fontId="15" fillId="0" borderId="0" xfId="5" applyFont="1"/>
    <xf numFmtId="43" fontId="7" fillId="3" borderId="0" xfId="5" applyFont="1" applyFill="1" applyAlignment="1">
      <alignment horizontal="center"/>
    </xf>
    <xf numFmtId="43" fontId="12" fillId="3" borderId="0" xfId="5" applyFont="1" applyFill="1" applyBorder="1" applyAlignment="1">
      <alignment horizontal="center" vertical="center" wrapText="1"/>
    </xf>
    <xf numFmtId="43" fontId="12" fillId="3" borderId="0" xfId="5" applyFont="1" applyFill="1" applyBorder="1" applyAlignment="1">
      <alignment horizontal="right" vertical="center" wrapText="1"/>
    </xf>
    <xf numFmtId="43" fontId="12" fillId="3" borderId="0" xfId="5" applyFont="1" applyFill="1" applyBorder="1" applyAlignment="1">
      <alignment vertical="center" wrapText="1"/>
    </xf>
    <xf numFmtId="43" fontId="3" fillId="3" borderId="2" xfId="5" applyFont="1" applyFill="1" applyBorder="1" applyAlignment="1">
      <alignment horizontal="center" vertical="center" wrapText="1"/>
    </xf>
    <xf numFmtId="43" fontId="3" fillId="3" borderId="2" xfId="0" applyNumberFormat="1" applyFont="1" applyFill="1" applyBorder="1" applyAlignment="1">
      <alignment horizontal="center" vertical="center" wrapText="1"/>
    </xf>
    <xf numFmtId="43" fontId="3" fillId="3" borderId="2" xfId="0" applyNumberFormat="1" applyFont="1" applyFill="1" applyBorder="1" applyAlignment="1">
      <alignment horizontal="right" vertical="center" wrapText="1"/>
    </xf>
    <xf numFmtId="43" fontId="13" fillId="3" borderId="2" xfId="0" applyNumberFormat="1" applyFont="1" applyFill="1" applyBorder="1" applyAlignment="1">
      <alignment horizontal="right" vertical="center" wrapText="1"/>
    </xf>
    <xf numFmtId="0" fontId="17" fillId="3" borderId="2" xfId="0" applyNumberFormat="1" applyFont="1" applyFill="1" applyBorder="1" applyAlignment="1">
      <alignment horizontal="left" vertical="center" wrapText="1"/>
    </xf>
    <xf numFmtId="43" fontId="13" fillId="3" borderId="2" xfId="0" applyNumberFormat="1" applyFont="1" applyFill="1" applyBorder="1" applyAlignment="1">
      <alignment horizontal="center" vertical="center" wrapText="1"/>
    </xf>
    <xf numFmtId="43" fontId="13" fillId="3" borderId="2" xfId="5" applyFont="1" applyFill="1" applyBorder="1" applyAlignment="1">
      <alignment horizontal="center" vertical="center" wrapText="1"/>
    </xf>
    <xf numFmtId="43" fontId="13" fillId="3" borderId="2" xfId="5" applyFont="1" applyFill="1" applyBorder="1" applyAlignment="1">
      <alignment horizontal="right" vertical="center" wrapText="1"/>
    </xf>
    <xf numFmtId="0" fontId="13" fillId="3" borderId="2" xfId="0" applyNumberFormat="1" applyFont="1" applyFill="1" applyBorder="1" applyAlignment="1">
      <alignment horizontal="right" vertical="center" wrapText="1"/>
    </xf>
    <xf numFmtId="43" fontId="7" fillId="0" borderId="0" xfId="1" applyFont="1"/>
    <xf numFmtId="0" fontId="7" fillId="0" borderId="0" xfId="0" applyFont="1"/>
    <xf numFmtId="170" fontId="7" fillId="9" borderId="10" xfId="5" applyNumberFormat="1" applyFont="1" applyFill="1" applyBorder="1"/>
    <xf numFmtId="170" fontId="7" fillId="0" borderId="0" xfId="5" applyNumberFormat="1" applyFont="1"/>
    <xf numFmtId="170" fontId="7" fillId="2" borderId="2" xfId="5" applyNumberFormat="1" applyFont="1" applyFill="1" applyBorder="1" applyAlignment="1">
      <alignment horizontal="right" vertical="top"/>
    </xf>
    <xf numFmtId="170" fontId="7" fillId="0" borderId="0" xfId="5" applyNumberFormat="1" applyFont="1" applyBorder="1"/>
    <xf numFmtId="0" fontId="12" fillId="7" borderId="2" xfId="0" applyNumberFormat="1" applyFont="1" applyFill="1" applyBorder="1" applyAlignment="1">
      <alignment horizontal="center" vertical="center" wrapText="1"/>
    </xf>
    <xf numFmtId="43" fontId="7" fillId="3" borderId="0" xfId="0" applyNumberFormat="1" applyFont="1" applyFill="1" applyAlignment="1">
      <alignment horizontal="center"/>
    </xf>
    <xf numFmtId="40" fontId="7" fillId="3" borderId="0" xfId="0" applyNumberFormat="1" applyFont="1" applyFill="1"/>
    <xf numFmtId="0" fontId="2" fillId="3" borderId="0" xfId="0" applyFont="1" applyFill="1"/>
    <xf numFmtId="0" fontId="42" fillId="3" borderId="0" xfId="0" applyFont="1" applyFill="1"/>
    <xf numFmtId="49" fontId="42" fillId="3" borderId="0" xfId="0" applyNumberFormat="1" applyFont="1" applyFill="1"/>
    <xf numFmtId="0" fontId="2" fillId="3" borderId="0" xfId="0" applyFont="1" applyFill="1" applyAlignment="1">
      <alignment horizontal="left"/>
    </xf>
    <xf numFmtId="0" fontId="43" fillId="3" borderId="0" xfId="0" applyFont="1" applyFill="1" applyAlignment="1"/>
    <xf numFmtId="0" fontId="2" fillId="3" borderId="0" xfId="0" applyFont="1" applyFill="1" applyAlignment="1">
      <alignment horizontal="center"/>
    </xf>
    <xf numFmtId="0" fontId="43" fillId="17" borderId="0" xfId="0" applyFont="1" applyFill="1" applyAlignment="1">
      <alignment horizontal="center"/>
    </xf>
    <xf numFmtId="0" fontId="44" fillId="3" borderId="0" xfId="0" applyFont="1" applyFill="1" applyBorder="1" applyAlignment="1"/>
    <xf numFmtId="0" fontId="45" fillId="3" borderId="0" xfId="0" applyFont="1" applyFill="1" applyBorder="1" applyAlignment="1"/>
    <xf numFmtId="0" fontId="45" fillId="3" borderId="0" xfId="0" applyFont="1" applyFill="1" applyBorder="1" applyAlignment="1">
      <alignment horizontal="center"/>
    </xf>
    <xf numFmtId="49" fontId="46" fillId="3" borderId="0" xfId="0" applyNumberFormat="1" applyFont="1" applyFill="1" applyAlignment="1"/>
    <xf numFmtId="0" fontId="21" fillId="3" borderId="0" xfId="0" applyFont="1" applyFill="1"/>
    <xf numFmtId="0" fontId="47" fillId="3" borderId="0" xfId="0" applyFont="1" applyFill="1"/>
    <xf numFmtId="0" fontId="45" fillId="3" borderId="0" xfId="0" applyFont="1" applyFill="1" applyAlignment="1">
      <alignment horizontal="center"/>
    </xf>
    <xf numFmtId="0" fontId="46" fillId="3" borderId="0" xfId="0" applyFont="1" applyFill="1"/>
    <xf numFmtId="43" fontId="2" fillId="3" borderId="0" xfId="5" applyFont="1" applyFill="1"/>
    <xf numFmtId="0" fontId="3" fillId="3" borderId="2" xfId="5" applyNumberFormat="1" applyFont="1" applyFill="1" applyBorder="1" applyAlignment="1">
      <alignment horizontal="center" vertical="center" wrapText="1"/>
    </xf>
    <xf numFmtId="49" fontId="7" fillId="0" borderId="0" xfId="0" applyNumberFormat="1" applyFont="1" applyAlignment="1">
      <alignment horizontal="left"/>
    </xf>
    <xf numFmtId="14" fontId="8" fillId="0" borderId="0" xfId="5" applyNumberFormat="1" applyFont="1"/>
    <xf numFmtId="43" fontId="7" fillId="2" borderId="2" xfId="5" applyFont="1" applyFill="1" applyBorder="1"/>
    <xf numFmtId="0" fontId="21" fillId="0" borderId="0" xfId="0" applyFont="1"/>
    <xf numFmtId="0" fontId="24" fillId="0" borderId="0" xfId="0" applyFont="1"/>
    <xf numFmtId="0" fontId="24" fillId="0" borderId="0" xfId="0" applyFont="1" applyAlignment="1"/>
    <xf numFmtId="0" fontId="24" fillId="0" borderId="0" xfId="0" applyFont="1" applyAlignment="1">
      <alignment horizontal="center" vertical="center"/>
    </xf>
    <xf numFmtId="43" fontId="24" fillId="0" borderId="0" xfId="5" applyFont="1" applyAlignment="1">
      <alignment horizontal="center" vertical="center"/>
    </xf>
    <xf numFmtId="0" fontId="29" fillId="0" borderId="0" xfId="0" applyFont="1" applyAlignment="1"/>
    <xf numFmtId="43" fontId="24" fillId="0" borderId="0" xfId="0" applyNumberFormat="1" applyFont="1" applyAlignment="1">
      <alignment horizontal="center" vertical="center"/>
    </xf>
    <xf numFmtId="43" fontId="24" fillId="0" borderId="0" xfId="0" applyNumberFormat="1" applyFont="1" applyAlignment="1"/>
    <xf numFmtId="166" fontId="24" fillId="0" borderId="0" xfId="0" applyNumberFormat="1" applyFont="1" applyAlignment="1"/>
    <xf numFmtId="43" fontId="24" fillId="0" borderId="0" xfId="0" applyNumberFormat="1" applyFont="1"/>
    <xf numFmtId="169" fontId="24" fillId="0" borderId="0" xfId="0" applyNumberFormat="1" applyFont="1"/>
    <xf numFmtId="0" fontId="49" fillId="0" borderId="0" xfId="0" applyFont="1" applyAlignment="1"/>
    <xf numFmtId="0" fontId="24" fillId="0" borderId="0" xfId="0" applyFont="1" applyAlignment="1">
      <alignment vertical="center"/>
    </xf>
    <xf numFmtId="43" fontId="24" fillId="0" borderId="0" xfId="5" applyFont="1" applyAlignment="1">
      <alignment vertical="center"/>
    </xf>
    <xf numFmtId="0" fontId="12" fillId="0" borderId="0" xfId="0" applyFont="1"/>
    <xf numFmtId="0" fontId="12" fillId="0" borderId="0" xfId="0" applyFont="1" applyAlignment="1"/>
    <xf numFmtId="0" fontId="12" fillId="0" borderId="0" xfId="0" applyFont="1" applyAlignment="1">
      <alignment horizontal="right"/>
    </xf>
    <xf numFmtId="0" fontId="12" fillId="0" borderId="0" xfId="0" applyFont="1" applyAlignment="1">
      <alignment horizontal="justify"/>
    </xf>
    <xf numFmtId="0" fontId="11" fillId="0" borderId="0" xfId="0" applyFont="1"/>
    <xf numFmtId="0" fontId="12" fillId="0" borderId="0" xfId="0" applyFont="1" applyAlignment="1">
      <alignment horizontal="right" indent="3"/>
    </xf>
    <xf numFmtId="169" fontId="7" fillId="0" borderId="0" xfId="0" applyNumberFormat="1" applyFont="1"/>
    <xf numFmtId="0" fontId="7" fillId="0" borderId="0" xfId="0" applyFont="1" applyAlignment="1">
      <alignment wrapText="1"/>
    </xf>
    <xf numFmtId="0" fontId="12" fillId="0" borderId="0" xfId="0" applyFont="1" applyAlignment="1">
      <alignment horizontal="left"/>
    </xf>
    <xf numFmtId="43" fontId="7" fillId="0" borderId="0" xfId="1" applyFont="1" applyAlignment="1">
      <alignment horizontal="right"/>
    </xf>
    <xf numFmtId="43" fontId="13" fillId="2" borderId="2" xfId="1" applyFont="1" applyFill="1" applyBorder="1" applyAlignment="1">
      <alignment horizontal="center" vertical="center" wrapText="1"/>
    </xf>
    <xf numFmtId="14" fontId="13" fillId="2" borderId="2" xfId="1" applyNumberFormat="1" applyFont="1" applyFill="1" applyBorder="1" applyAlignment="1">
      <alignment horizontal="right" vertical="center" wrapText="1"/>
    </xf>
    <xf numFmtId="43" fontId="7" fillId="0" borderId="0" xfId="1" applyNumberFormat="1" applyFont="1"/>
    <xf numFmtId="0" fontId="12" fillId="3" borderId="0" xfId="0" applyNumberFormat="1" applyFont="1" applyFill="1" applyBorder="1" applyAlignment="1">
      <alignment horizontal="right" vertical="center" wrapText="1"/>
    </xf>
    <xf numFmtId="0" fontId="12" fillId="7" borderId="2" xfId="0" applyNumberFormat="1" applyFont="1" applyFill="1" applyBorder="1" applyAlignment="1">
      <alignment horizontal="center" vertical="center" wrapText="1"/>
    </xf>
    <xf numFmtId="0" fontId="12" fillId="3" borderId="0" xfId="0" applyNumberFormat="1" applyFont="1" applyFill="1" applyBorder="1" applyAlignment="1">
      <alignment horizontal="right" wrapText="1"/>
    </xf>
    <xf numFmtId="166" fontId="3" fillId="3" borderId="8" xfId="0" applyNumberFormat="1" applyFont="1" applyFill="1" applyBorder="1" applyAlignment="1">
      <alignment horizontal="right" vertical="center" wrapText="1"/>
    </xf>
    <xf numFmtId="166" fontId="3" fillId="3" borderId="8" xfId="1" applyNumberFormat="1" applyFont="1" applyFill="1" applyBorder="1" applyAlignment="1">
      <alignment horizontal="right" vertical="center" wrapText="1"/>
    </xf>
    <xf numFmtId="0" fontId="3" fillId="3" borderId="8" xfId="0" applyNumberFormat="1" applyFont="1" applyFill="1" applyBorder="1" applyAlignment="1">
      <alignment horizontal="left" vertical="center" wrapText="1"/>
    </xf>
    <xf numFmtId="43" fontId="3" fillId="3" borderId="8" xfId="0" applyNumberFormat="1" applyFont="1" applyFill="1" applyBorder="1" applyAlignment="1">
      <alignment horizontal="right" vertical="center" wrapText="1"/>
    </xf>
    <xf numFmtId="43" fontId="12" fillId="7" borderId="2" xfId="1" applyFont="1" applyFill="1" applyBorder="1" applyAlignment="1">
      <alignment horizontal="center" vertical="center" wrapText="1"/>
    </xf>
    <xf numFmtId="0" fontId="3" fillId="3" borderId="2" xfId="0" applyNumberFormat="1" applyFont="1" applyFill="1" applyBorder="1" applyAlignment="1">
      <alignment horizontal="right" vertical="center" wrapText="1"/>
    </xf>
    <xf numFmtId="43" fontId="3" fillId="3" borderId="2" xfId="1" applyFont="1" applyFill="1" applyBorder="1" applyAlignment="1">
      <alignment horizontal="right" vertical="center" wrapText="1"/>
    </xf>
    <xf numFmtId="43" fontId="13" fillId="3" borderId="2" xfId="1" applyFont="1" applyFill="1" applyBorder="1" applyAlignment="1">
      <alignment horizontal="right" vertical="center" wrapText="1"/>
    </xf>
    <xf numFmtId="43" fontId="13" fillId="3" borderId="7" xfId="1" applyFont="1" applyFill="1" applyBorder="1" applyAlignment="1">
      <alignment horizontal="right" vertical="center" wrapText="1"/>
    </xf>
    <xf numFmtId="43" fontId="13" fillId="3" borderId="6" xfId="1" applyFont="1" applyFill="1" applyBorder="1" applyAlignment="1">
      <alignment horizontal="right" vertical="center" wrapText="1"/>
    </xf>
    <xf numFmtId="167" fontId="3" fillId="3" borderId="0" xfId="1" applyNumberFormat="1" applyFont="1" applyFill="1"/>
    <xf numFmtId="43" fontId="7" fillId="8" borderId="0" xfId="1" applyFont="1" applyFill="1"/>
    <xf numFmtId="43" fontId="3" fillId="0" borderId="2" xfId="1" applyFont="1" applyBorder="1" applyAlignment="1">
      <alignment horizontal="right"/>
    </xf>
    <xf numFmtId="43" fontId="3" fillId="0" borderId="2" xfId="1" applyFont="1" applyBorder="1" applyAlignment="1">
      <alignment horizontal="center"/>
    </xf>
    <xf numFmtId="164" fontId="3" fillId="0" borderId="2" xfId="1" applyNumberFormat="1" applyFont="1" applyBorder="1" applyAlignment="1">
      <alignment horizontal="center"/>
    </xf>
    <xf numFmtId="43" fontId="7" fillId="12" borderId="2" xfId="1" applyFont="1" applyFill="1" applyBorder="1"/>
    <xf numFmtId="43" fontId="3" fillId="2" borderId="2" xfId="1" applyFont="1" applyFill="1" applyBorder="1" applyAlignment="1">
      <alignment vertical="center"/>
    </xf>
    <xf numFmtId="43" fontId="3" fillId="2" borderId="2" xfId="1" applyFont="1" applyFill="1" applyBorder="1" applyAlignment="1">
      <alignment horizontal="center" vertical="center"/>
    </xf>
    <xf numFmtId="1" fontId="7" fillId="0" borderId="0" xfId="0" applyNumberFormat="1" applyFont="1"/>
    <xf numFmtId="43" fontId="7" fillId="9" borderId="0" xfId="1" applyFont="1" applyFill="1" applyAlignment="1">
      <alignment horizontal="right"/>
    </xf>
    <xf numFmtId="0" fontId="7" fillId="0" borderId="0" xfId="1" applyNumberFormat="1" applyFont="1" applyAlignment="1">
      <alignment horizontal="right"/>
    </xf>
    <xf numFmtId="0" fontId="7" fillId="2" borderId="2" xfId="1" applyNumberFormat="1" applyFont="1" applyFill="1" applyBorder="1" applyAlignment="1">
      <alignment horizontal="right" vertical="top"/>
    </xf>
    <xf numFmtId="0" fontId="7" fillId="2" borderId="11" xfId="1" applyNumberFormat="1" applyFont="1" applyFill="1" applyBorder="1" applyAlignment="1">
      <alignment horizontal="right" vertical="top"/>
    </xf>
    <xf numFmtId="0" fontId="3" fillId="3" borderId="2" xfId="3" applyFont="1" applyFill="1" applyBorder="1" applyAlignment="1">
      <alignment horizontal="right"/>
    </xf>
    <xf numFmtId="164" fontId="7" fillId="0" borderId="0" xfId="1" applyNumberFormat="1" applyFont="1" applyAlignment="1">
      <alignment horizontal="right"/>
    </xf>
    <xf numFmtId="164" fontId="7" fillId="9" borderId="2" xfId="5" applyNumberFormat="1" applyFont="1" applyFill="1" applyBorder="1"/>
    <xf numFmtId="43" fontId="7" fillId="3" borderId="0" xfId="1" applyNumberFormat="1" applyFont="1" applyFill="1" applyBorder="1"/>
    <xf numFmtId="0" fontId="3" fillId="5" borderId="2" xfId="3" applyFont="1" applyFill="1" applyBorder="1" applyAlignment="1">
      <alignment horizontal="center"/>
    </xf>
    <xf numFmtId="43" fontId="7" fillId="0" borderId="0" xfId="5" applyFont="1" applyFill="1" applyBorder="1"/>
    <xf numFmtId="43" fontId="7" fillId="9" borderId="2" xfId="1" applyFont="1" applyFill="1" applyBorder="1"/>
    <xf numFmtId="43" fontId="3" fillId="2" borderId="2" xfId="1" applyFont="1" applyFill="1" applyBorder="1" applyAlignment="1">
      <alignment horizontal="left" vertical="center"/>
    </xf>
    <xf numFmtId="43" fontId="7" fillId="0" borderId="0" xfId="5" applyFont="1" applyFill="1" applyAlignment="1">
      <alignment horizontal="center"/>
    </xf>
    <xf numFmtId="43" fontId="7" fillId="0" borderId="0" xfId="5" applyFont="1" applyFill="1"/>
    <xf numFmtId="43" fontId="7" fillId="0" borderId="0" xfId="1" applyFont="1" applyFill="1"/>
    <xf numFmtId="43" fontId="3" fillId="3" borderId="45" xfId="5" applyFont="1" applyFill="1" applyBorder="1"/>
    <xf numFmtId="43" fontId="3" fillId="3" borderId="0" xfId="0" applyNumberFormat="1" applyFont="1" applyFill="1"/>
    <xf numFmtId="43" fontId="7" fillId="0" borderId="0" xfId="1" applyFont="1" applyAlignment="1">
      <alignment horizontal="left"/>
    </xf>
    <xf numFmtId="0" fontId="22" fillId="2" borderId="2" xfId="0" applyNumberFormat="1" applyFont="1" applyFill="1" applyBorder="1" applyAlignment="1">
      <alignment horizontal="center"/>
    </xf>
    <xf numFmtId="0" fontId="7" fillId="9" borderId="2" xfId="5" applyNumberFormat="1" applyFont="1" applyFill="1" applyBorder="1"/>
    <xf numFmtId="40" fontId="3" fillId="3" borderId="2" xfId="1" applyNumberFormat="1" applyFont="1" applyFill="1" applyBorder="1"/>
    <xf numFmtId="43" fontId="7" fillId="0" borderId="0" xfId="1" applyFont="1" applyAlignment="1">
      <alignment vertical="center"/>
    </xf>
    <xf numFmtId="43" fontId="3" fillId="2" borderId="11" xfId="1" applyFont="1" applyFill="1" applyBorder="1" applyAlignment="1">
      <alignment horizontal="center" wrapText="1"/>
    </xf>
    <xf numFmtId="40" fontId="7" fillId="0" borderId="0" xfId="0" applyNumberFormat="1" applyFont="1"/>
    <xf numFmtId="0" fontId="3" fillId="2" borderId="2" xfId="0" applyNumberFormat="1" applyFont="1" applyFill="1" applyBorder="1" applyAlignment="1">
      <alignment horizontal="center"/>
    </xf>
    <xf numFmtId="0" fontId="27" fillId="3" borderId="0" xfId="0" applyNumberFormat="1" applyFont="1" applyFill="1" applyAlignment="1">
      <alignment horizontal="center"/>
    </xf>
    <xf numFmtId="43" fontId="3" fillId="0" borderId="0" xfId="5" applyFont="1"/>
    <xf numFmtId="0" fontId="3" fillId="0" borderId="0" xfId="0" applyFont="1"/>
    <xf numFmtId="43" fontId="3" fillId="0" borderId="0" xfId="5" applyFont="1" applyAlignment="1">
      <alignment horizontal="right"/>
    </xf>
    <xf numFmtId="43" fontId="3" fillId="2" borderId="2" xfId="5" applyFont="1" applyFill="1" applyBorder="1"/>
    <xf numFmtId="43" fontId="3" fillId="2" borderId="2" xfId="5" applyFont="1" applyFill="1" applyBorder="1" applyAlignment="1">
      <alignment vertical="center"/>
    </xf>
    <xf numFmtId="0" fontId="3" fillId="2" borderId="2" xfId="0" applyFont="1" applyFill="1" applyBorder="1" applyAlignment="1">
      <alignment vertical="center"/>
    </xf>
    <xf numFmtId="164" fontId="7" fillId="0" borderId="0" xfId="5" applyNumberFormat="1" applyFont="1" applyBorder="1"/>
    <xf numFmtId="0" fontId="3" fillId="10" borderId="0" xfId="0" applyFont="1" applyFill="1" applyBorder="1"/>
    <xf numFmtId="43" fontId="54" fillId="0" borderId="0" xfId="5" applyFont="1" applyBorder="1"/>
    <xf numFmtId="43" fontId="3" fillId="10" borderId="0" xfId="5" applyFont="1" applyFill="1" applyBorder="1"/>
    <xf numFmtId="43" fontId="3" fillId="0" borderId="0" xfId="5" applyFont="1" applyBorder="1"/>
    <xf numFmtId="9" fontId="3" fillId="0" borderId="0" xfId="2" applyFont="1" applyBorder="1"/>
    <xf numFmtId="0" fontId="7" fillId="0" borderId="0" xfId="0" applyFont="1" applyBorder="1"/>
    <xf numFmtId="164" fontId="7" fillId="0" borderId="0" xfId="5" applyNumberFormat="1" applyFont="1" applyFill="1" applyBorder="1"/>
    <xf numFmtId="0" fontId="3" fillId="0" borderId="0" xfId="0" applyFont="1" applyFill="1" applyBorder="1"/>
    <xf numFmtId="43" fontId="54" fillId="0" borderId="0" xfId="5" applyFont="1" applyFill="1" applyBorder="1"/>
    <xf numFmtId="43" fontId="3" fillId="0" borderId="0" xfId="5" applyFont="1" applyFill="1" applyBorder="1"/>
    <xf numFmtId="9" fontId="3" fillId="0" borderId="0" xfId="2" applyFont="1" applyFill="1" applyBorder="1"/>
    <xf numFmtId="0" fontId="7" fillId="0" borderId="0" xfId="5" applyNumberFormat="1" applyFont="1" applyFill="1" applyBorder="1"/>
    <xf numFmtId="0" fontId="7" fillId="0" borderId="0" xfId="0" applyFont="1" applyFill="1" applyBorder="1"/>
    <xf numFmtId="0" fontId="8" fillId="0" borderId="0" xfId="5" applyNumberFormat="1" applyFont="1" applyFill="1" applyBorder="1"/>
    <xf numFmtId="0" fontId="7" fillId="0" borderId="0" xfId="0" applyNumberFormat="1" applyFont="1" applyFill="1" applyBorder="1"/>
    <xf numFmtId="43" fontId="7" fillId="0" borderId="0" xfId="1" applyFont="1" applyFill="1" applyBorder="1"/>
    <xf numFmtId="43" fontId="3" fillId="2" borderId="36" xfId="5" applyFont="1" applyFill="1" applyBorder="1"/>
    <xf numFmtId="0" fontId="3" fillId="10" borderId="0" xfId="0" applyFont="1" applyFill="1"/>
    <xf numFmtId="43" fontId="3" fillId="10" borderId="0" xfId="5" applyFont="1" applyFill="1"/>
    <xf numFmtId="9" fontId="3" fillId="0" borderId="0" xfId="2" applyFont="1"/>
    <xf numFmtId="164" fontId="7" fillId="0" borderId="2" xfId="5" applyNumberFormat="1" applyFont="1" applyBorder="1"/>
    <xf numFmtId="0" fontId="3" fillId="10" borderId="2" xfId="0" applyFont="1" applyFill="1" applyBorder="1"/>
    <xf numFmtId="43" fontId="54" fillId="0" borderId="2" xfId="5" applyFont="1" applyBorder="1"/>
    <xf numFmtId="43" fontId="3" fillId="10" borderId="2" xfId="5" applyFont="1" applyFill="1" applyBorder="1"/>
    <xf numFmtId="43" fontId="3" fillId="0" borderId="2" xfId="5" applyFont="1" applyBorder="1"/>
    <xf numFmtId="9" fontId="3" fillId="0" borderId="2" xfId="2" applyFont="1" applyBorder="1"/>
    <xf numFmtId="0" fontId="7" fillId="0" borderId="2" xfId="5" applyNumberFormat="1" applyFont="1" applyBorder="1"/>
    <xf numFmtId="0" fontId="7" fillId="0" borderId="2" xfId="0" applyFont="1" applyBorder="1"/>
    <xf numFmtId="43" fontId="3" fillId="10" borderId="2" xfId="1" applyFont="1" applyFill="1" applyBorder="1"/>
    <xf numFmtId="164" fontId="7" fillId="0" borderId="2" xfId="5" applyNumberFormat="1" applyFont="1" applyFill="1" applyBorder="1"/>
    <xf numFmtId="0" fontId="3" fillId="0" borderId="2" xfId="0" applyFont="1" applyFill="1" applyBorder="1"/>
    <xf numFmtId="43" fontId="3" fillId="0" borderId="2" xfId="1" applyFont="1" applyFill="1" applyBorder="1"/>
    <xf numFmtId="43" fontId="3" fillId="0" borderId="2" xfId="5" applyFont="1" applyFill="1" applyBorder="1"/>
    <xf numFmtId="43" fontId="7" fillId="0" borderId="2" xfId="1" applyFont="1" applyBorder="1"/>
    <xf numFmtId="16" fontId="7" fillId="0" borderId="0" xfId="0" applyNumberFormat="1" applyFont="1"/>
    <xf numFmtId="0" fontId="3" fillId="2" borderId="0" xfId="0" applyFont="1" applyFill="1"/>
    <xf numFmtId="43" fontId="54" fillId="0" borderId="36" xfId="5" applyFont="1" applyBorder="1"/>
    <xf numFmtId="43" fontId="7" fillId="0" borderId="36" xfId="1" applyFont="1" applyBorder="1"/>
    <xf numFmtId="43" fontId="54" fillId="0" borderId="46" xfId="5" applyFont="1" applyBorder="1"/>
    <xf numFmtId="43" fontId="3" fillId="0" borderId="46" xfId="1" applyFont="1" applyFill="1" applyBorder="1"/>
    <xf numFmtId="43" fontId="54" fillId="0" borderId="47" xfId="5" applyFont="1" applyBorder="1"/>
    <xf numFmtId="4" fontId="3" fillId="2" borderId="2" xfId="5" applyNumberFormat="1" applyFont="1" applyFill="1" applyBorder="1"/>
    <xf numFmtId="0" fontId="13" fillId="3" borderId="0" xfId="0" applyFont="1" applyFill="1" applyAlignment="1">
      <alignment horizontal="left"/>
    </xf>
    <xf numFmtId="0" fontId="3" fillId="3" borderId="0" xfId="0" applyFont="1" applyFill="1" applyAlignment="1">
      <alignment horizontal="center"/>
    </xf>
    <xf numFmtId="0" fontId="7" fillId="3" borderId="0" xfId="0" applyNumberFormat="1" applyFont="1" applyFill="1" applyAlignment="1"/>
    <xf numFmtId="14" fontId="7" fillId="3" borderId="0" xfId="0" applyNumberFormat="1" applyFont="1" applyFill="1"/>
    <xf numFmtId="0" fontId="7" fillId="3" borderId="12" xfId="0" applyNumberFormat="1" applyFont="1" applyFill="1" applyBorder="1" applyAlignment="1"/>
    <xf numFmtId="14" fontId="7" fillId="3" borderId="2" xfId="0" applyNumberFormat="1" applyFont="1" applyFill="1" applyBorder="1"/>
    <xf numFmtId="0" fontId="7" fillId="3" borderId="2" xfId="0" applyNumberFormat="1" applyFont="1" applyFill="1" applyBorder="1" applyAlignment="1"/>
    <xf numFmtId="0" fontId="17" fillId="8" borderId="2" xfId="0" applyNumberFormat="1" applyFont="1" applyFill="1" applyBorder="1" applyAlignment="1"/>
    <xf numFmtId="14" fontId="7" fillId="3" borderId="0" xfId="1" applyNumberFormat="1" applyFont="1" applyFill="1"/>
    <xf numFmtId="0" fontId="8" fillId="3" borderId="0" xfId="0" applyNumberFormat="1" applyFont="1" applyFill="1"/>
    <xf numFmtId="0" fontId="8" fillId="3" borderId="2" xfId="0" applyNumberFormat="1" applyFont="1" applyFill="1" applyBorder="1" applyAlignment="1"/>
    <xf numFmtId="14" fontId="8" fillId="3" borderId="0" xfId="0" applyNumberFormat="1" applyFont="1" applyFill="1"/>
    <xf numFmtId="43" fontId="3" fillId="0" borderId="2" xfId="1" applyFont="1" applyFill="1" applyBorder="1" applyAlignment="1">
      <alignment horizontal="right" vertical="center" wrapText="1"/>
    </xf>
    <xf numFmtId="0" fontId="3" fillId="5" borderId="2" xfId="3" applyFont="1" applyFill="1" applyBorder="1" applyAlignment="1">
      <alignment horizontal="center"/>
    </xf>
    <xf numFmtId="40" fontId="3" fillId="3" borderId="2" xfId="0" applyNumberFormat="1" applyFont="1" applyFill="1" applyBorder="1" applyAlignment="1">
      <alignment horizontal="right" vertical="center" wrapText="1"/>
    </xf>
    <xf numFmtId="43" fontId="7" fillId="3" borderId="0" xfId="1" applyFont="1" applyFill="1" applyAlignment="1">
      <alignment horizontal="center"/>
    </xf>
    <xf numFmtId="40" fontId="24" fillId="0" borderId="0" xfId="0" applyNumberFormat="1" applyFont="1" applyAlignment="1">
      <alignment horizontal="center" vertical="center"/>
    </xf>
    <xf numFmtId="0" fontId="7" fillId="0" borderId="0" xfId="0" applyFont="1" applyAlignment="1">
      <alignment vertical="center"/>
    </xf>
    <xf numFmtId="0" fontId="7" fillId="0" borderId="17" xfId="0" applyFont="1" applyBorder="1"/>
    <xf numFmtId="43" fontId="7" fillId="0" borderId="0" xfId="1" applyFont="1" applyAlignment="1">
      <alignment horizontal="center" vertical="center"/>
    </xf>
    <xf numFmtId="0" fontId="2" fillId="0" borderId="0" xfId="0" applyFont="1" applyFill="1"/>
    <xf numFmtId="43" fontId="2" fillId="0" borderId="0" xfId="0" applyNumberFormat="1" applyFont="1" applyFill="1"/>
    <xf numFmtId="40" fontId="2" fillId="0" borderId="0" xfId="0" applyNumberFormat="1" applyFont="1" applyFill="1"/>
    <xf numFmtId="172" fontId="3" fillId="3" borderId="2" xfId="1" applyNumberFormat="1" applyFont="1" applyFill="1" applyBorder="1"/>
    <xf numFmtId="40" fontId="55" fillId="3" borderId="2" xfId="3" applyNumberFormat="1" applyFont="1" applyFill="1" applyBorder="1"/>
    <xf numFmtId="43" fontId="7" fillId="0" borderId="2" xfId="1" applyFont="1" applyFill="1" applyBorder="1"/>
    <xf numFmtId="171" fontId="3" fillId="0" borderId="2" xfId="1" applyNumberFormat="1" applyFont="1" applyFill="1" applyBorder="1"/>
    <xf numFmtId="0" fontId="12" fillId="3" borderId="0" xfId="0" applyNumberFormat="1" applyFont="1" applyFill="1" applyBorder="1" applyAlignment="1">
      <alignment horizontal="right" vertical="center" wrapText="1"/>
    </xf>
    <xf numFmtId="0" fontId="13" fillId="3" borderId="8" xfId="0" applyNumberFormat="1" applyFont="1" applyFill="1" applyBorder="1" applyAlignment="1">
      <alignment horizontal="left" vertical="center" wrapText="1"/>
    </xf>
    <xf numFmtId="0" fontId="7" fillId="3" borderId="0" xfId="1" applyNumberFormat="1" applyFont="1" applyFill="1" applyAlignment="1"/>
    <xf numFmtId="0" fontId="7" fillId="3" borderId="2" xfId="0" applyNumberFormat="1" applyFont="1" applyFill="1" applyBorder="1" applyAlignment="1">
      <alignment horizontal="right"/>
    </xf>
    <xf numFmtId="0" fontId="7" fillId="3" borderId="2" xfId="1" applyNumberFormat="1" applyFont="1" applyFill="1" applyBorder="1" applyAlignment="1"/>
    <xf numFmtId="43" fontId="7" fillId="0" borderId="2" xfId="5" applyFont="1" applyFill="1" applyBorder="1"/>
    <xf numFmtId="0" fontId="7" fillId="0" borderId="2" xfId="5" applyNumberFormat="1" applyFont="1" applyFill="1" applyBorder="1"/>
    <xf numFmtId="43" fontId="7" fillId="0" borderId="2" xfId="1" applyFont="1" applyFill="1" applyBorder="1" applyAlignment="1">
      <alignment vertical="center"/>
    </xf>
    <xf numFmtId="14" fontId="7" fillId="0" borderId="2" xfId="5" applyNumberFormat="1" applyFont="1" applyFill="1" applyBorder="1"/>
    <xf numFmtId="43" fontId="7" fillId="0" borderId="2" xfId="5" applyFont="1" applyFill="1" applyBorder="1" applyAlignment="1">
      <alignment horizontal="center"/>
    </xf>
    <xf numFmtId="43" fontId="7" fillId="0" borderId="2" xfId="1" applyFont="1" applyBorder="1" applyAlignment="1">
      <alignment vertical="center"/>
    </xf>
    <xf numFmtId="43" fontId="3" fillId="3" borderId="2" xfId="1" applyFont="1" applyFill="1" applyBorder="1" applyAlignment="1">
      <alignment horizontal="center"/>
    </xf>
    <xf numFmtId="14" fontId="3" fillId="10" borderId="2" xfId="1" applyNumberFormat="1" applyFont="1" applyFill="1" applyBorder="1" applyAlignment="1">
      <alignment horizontal="right"/>
    </xf>
    <xf numFmtId="164" fontId="7" fillId="0" borderId="2" xfId="1" applyNumberFormat="1" applyFont="1" applyBorder="1"/>
    <xf numFmtId="164" fontId="13" fillId="0" borderId="2" xfId="1" applyNumberFormat="1" applyFont="1" applyBorder="1"/>
    <xf numFmtId="0" fontId="13" fillId="0" borderId="2" xfId="1" applyNumberFormat="1" applyFont="1" applyBorder="1"/>
    <xf numFmtId="43" fontId="13" fillId="0" borderId="2" xfId="1" applyFont="1" applyBorder="1"/>
    <xf numFmtId="43" fontId="13" fillId="0" borderId="0" xfId="1" applyFont="1"/>
    <xf numFmtId="164" fontId="3" fillId="3" borderId="0" xfId="1" applyNumberFormat="1" applyFont="1" applyFill="1"/>
    <xf numFmtId="0" fontId="7" fillId="0" borderId="8" xfId="1" applyNumberFormat="1" applyFont="1" applyFill="1" applyBorder="1" applyAlignment="1">
      <alignment vertical="center"/>
    </xf>
    <xf numFmtId="0" fontId="32" fillId="0" borderId="0" xfId="0" applyFont="1" applyAlignment="1">
      <alignment vertical="center" wrapText="1"/>
    </xf>
    <xf numFmtId="14" fontId="7" fillId="18" borderId="12" xfId="0" applyNumberFormat="1" applyFont="1" applyFill="1" applyBorder="1" applyAlignment="1">
      <alignment horizontal="center"/>
    </xf>
    <xf numFmtId="14" fontId="7" fillId="18" borderId="14" xfId="0" applyNumberFormat="1" applyFont="1" applyFill="1" applyBorder="1" applyAlignment="1">
      <alignment horizontal="center"/>
    </xf>
    <xf numFmtId="0" fontId="7" fillId="18" borderId="2" xfId="0" applyFont="1" applyFill="1" applyBorder="1" applyAlignment="1">
      <alignment horizontal="center"/>
    </xf>
    <xf numFmtId="14" fontId="7" fillId="0" borderId="0" xfId="0" applyNumberFormat="1" applyFont="1" applyAlignment="1">
      <alignment horizontal="left"/>
    </xf>
    <xf numFmtId="14" fontId="7" fillId="18" borderId="2" xfId="0" applyNumberFormat="1" applyFont="1" applyFill="1" applyBorder="1"/>
    <xf numFmtId="43" fontId="7" fillId="18" borderId="2" xfId="1" applyFont="1" applyFill="1" applyBorder="1"/>
    <xf numFmtId="49" fontId="30" fillId="0" borderId="0" xfId="1" applyNumberFormat="1" applyFont="1" applyAlignment="1">
      <alignment horizontal="center" vertical="center"/>
    </xf>
    <xf numFmtId="43" fontId="30" fillId="0" borderId="0" xfId="1" applyFont="1" applyAlignment="1">
      <alignment vertical="center"/>
    </xf>
    <xf numFmtId="14" fontId="7" fillId="0" borderId="2" xfId="0" applyNumberFormat="1" applyFont="1" applyBorder="1"/>
    <xf numFmtId="49" fontId="7" fillId="0" borderId="0" xfId="1" applyNumberFormat="1" applyFont="1" applyAlignment="1">
      <alignment horizontal="center" vertical="center"/>
    </xf>
    <xf numFmtId="43" fontId="7" fillId="0" borderId="2" xfId="1" applyFont="1" applyBorder="1" applyAlignment="1">
      <alignment horizontal="center" vertical="center"/>
    </xf>
    <xf numFmtId="49" fontId="7" fillId="0" borderId="0" xfId="1" applyNumberFormat="1" applyFont="1" applyBorder="1" applyAlignment="1">
      <alignment horizontal="center" vertical="center"/>
    </xf>
    <xf numFmtId="43" fontId="7" fillId="0" borderId="0" xfId="1" applyFont="1" applyBorder="1" applyAlignment="1">
      <alignment vertical="center"/>
    </xf>
    <xf numFmtId="0" fontId="7" fillId="0" borderId="2" xfId="0" applyFont="1" applyBorder="1" applyAlignment="1">
      <alignment horizontal="left"/>
    </xf>
    <xf numFmtId="49" fontId="7" fillId="0" borderId="2" xfId="1" applyNumberFormat="1" applyFont="1" applyBorder="1" applyAlignment="1">
      <alignment horizontal="center" vertical="center"/>
    </xf>
    <xf numFmtId="43" fontId="8" fillId="0" borderId="2" xfId="1" applyFont="1" applyBorder="1" applyAlignment="1">
      <alignment vertical="center"/>
    </xf>
    <xf numFmtId="49" fontId="7" fillId="0" borderId="14" xfId="1" applyNumberFormat="1" applyFont="1" applyBorder="1" applyAlignment="1">
      <alignment horizontal="center" vertical="center"/>
    </xf>
    <xf numFmtId="49" fontId="57" fillId="0" borderId="43" xfId="0" applyNumberFormat="1" applyFont="1" applyBorder="1" applyAlignment="1">
      <alignment horizontal="center" vertical="center" wrapText="1"/>
    </xf>
    <xf numFmtId="0" fontId="57" fillId="0" borderId="43" xfId="0" applyFont="1" applyBorder="1" applyAlignment="1">
      <alignment horizontal="center" vertical="center" wrapText="1"/>
    </xf>
    <xf numFmtId="0" fontId="31" fillId="0" borderId="2" xfId="0" applyFont="1" applyBorder="1" applyAlignment="1">
      <alignment vertical="center" wrapText="1"/>
    </xf>
    <xf numFmtId="0" fontId="31" fillId="0" borderId="2" xfId="0" applyFont="1" applyBorder="1" applyAlignment="1">
      <alignment horizontal="center" vertical="center"/>
    </xf>
    <xf numFmtId="43" fontId="7" fillId="18" borderId="2" xfId="1" applyNumberFormat="1" applyFont="1" applyFill="1" applyBorder="1" applyAlignment="1">
      <alignment horizontal="center" vertical="center"/>
    </xf>
    <xf numFmtId="0" fontId="7" fillId="0" borderId="2" xfId="1" applyNumberFormat="1" applyFont="1" applyBorder="1" applyAlignment="1">
      <alignment vertical="center"/>
    </xf>
    <xf numFmtId="0" fontId="7" fillId="0" borderId="2" xfId="1" applyNumberFormat="1" applyFont="1" applyBorder="1" applyAlignment="1">
      <alignment horizontal="center" vertical="center"/>
    </xf>
    <xf numFmtId="43" fontId="7" fillId="18" borderId="2" xfId="1" applyNumberFormat="1" applyFont="1" applyFill="1" applyBorder="1" applyAlignment="1">
      <alignment vertical="center"/>
    </xf>
    <xf numFmtId="0" fontId="7" fillId="18" borderId="2" xfId="1" applyNumberFormat="1" applyFont="1" applyFill="1" applyBorder="1" applyAlignment="1">
      <alignment vertical="center"/>
    </xf>
    <xf numFmtId="0" fontId="7" fillId="18" borderId="2" xfId="1" applyNumberFormat="1" applyFont="1" applyFill="1" applyBorder="1" applyAlignment="1">
      <alignment horizontal="center" vertical="center"/>
    </xf>
    <xf numFmtId="0" fontId="7" fillId="3" borderId="2" xfId="1" applyNumberFormat="1" applyFont="1" applyFill="1" applyBorder="1" applyAlignment="1">
      <alignment horizontal="center" vertical="center"/>
    </xf>
    <xf numFmtId="0" fontId="7" fillId="0" borderId="12" xfId="5" applyNumberFormat="1" applyFont="1" applyBorder="1"/>
    <xf numFmtId="43" fontId="7" fillId="0" borderId="0" xfId="5" applyFont="1" applyFill="1" applyBorder="1" applyAlignment="1">
      <alignment horizontal="center" vertical="center"/>
    </xf>
    <xf numFmtId="0" fontId="7" fillId="0" borderId="10" xfId="5" applyNumberFormat="1" applyFont="1" applyFill="1" applyBorder="1"/>
    <xf numFmtId="43" fontId="7" fillId="0" borderId="10" xfId="5" applyFont="1" applyFill="1" applyBorder="1" applyAlignment="1">
      <alignment horizontal="center" vertical="center"/>
    </xf>
    <xf numFmtId="0" fontId="7" fillId="0" borderId="21" xfId="5" applyNumberFormat="1" applyFont="1" applyFill="1" applyBorder="1"/>
    <xf numFmtId="43" fontId="7" fillId="0" borderId="53" xfId="5" applyFont="1" applyFill="1" applyBorder="1" applyAlignment="1">
      <alignment horizontal="center" vertical="center"/>
    </xf>
    <xf numFmtId="0" fontId="7" fillId="0" borderId="11" xfId="5" applyNumberFormat="1" applyFont="1" applyFill="1" applyBorder="1"/>
    <xf numFmtId="43" fontId="7" fillId="0" borderId="54" xfId="5" applyFont="1" applyFill="1" applyBorder="1" applyAlignment="1">
      <alignment horizontal="center" vertical="center"/>
    </xf>
    <xf numFmtId="43" fontId="7" fillId="0" borderId="49" xfId="5" applyFont="1" applyFill="1" applyBorder="1" applyAlignment="1">
      <alignment horizontal="center" vertical="center"/>
    </xf>
    <xf numFmtId="0" fontId="7" fillId="0" borderId="36" xfId="5" applyNumberFormat="1" applyFont="1" applyFill="1" applyBorder="1"/>
    <xf numFmtId="43" fontId="7" fillId="0" borderId="52" xfId="5" applyFont="1" applyFill="1" applyBorder="1" applyAlignment="1">
      <alignment horizontal="center" vertical="center"/>
    </xf>
    <xf numFmtId="0" fontId="32" fillId="0" borderId="0" xfId="0" applyFont="1" applyAlignment="1">
      <alignment horizontal="right" vertical="center" wrapText="1"/>
    </xf>
    <xf numFmtId="0" fontId="7" fillId="0" borderId="0" xfId="0" applyFont="1" applyBorder="1" applyAlignment="1">
      <alignment horizontal="left"/>
    </xf>
    <xf numFmtId="0" fontId="13" fillId="0" borderId="0" xfId="0" applyFont="1"/>
    <xf numFmtId="0" fontId="3" fillId="0" borderId="0" xfId="0" applyFont="1" applyAlignment="1">
      <alignment horizontal="center" vertical="center"/>
    </xf>
    <xf numFmtId="43" fontId="3" fillId="0" borderId="0" xfId="5" applyFont="1" applyAlignment="1">
      <alignment horizontal="center" vertical="center"/>
    </xf>
    <xf numFmtId="0" fontId="13" fillId="0" borderId="2" xfId="0" applyFont="1" applyBorder="1"/>
    <xf numFmtId="0" fontId="13" fillId="0" borderId="2" xfId="0" applyFont="1" applyBorder="1" applyAlignment="1">
      <alignment horizontal="center" vertical="center"/>
    </xf>
    <xf numFmtId="0" fontId="3" fillId="0" borderId="2" xfId="0" applyFont="1" applyBorder="1"/>
    <xf numFmtId="0" fontId="3" fillId="0" borderId="2" xfId="0" applyFont="1" applyBorder="1" applyAlignment="1">
      <alignment horizontal="center" vertical="center"/>
    </xf>
    <xf numFmtId="43" fontId="3" fillId="0" borderId="2" xfId="5" applyFont="1" applyBorder="1" applyAlignment="1">
      <alignment horizontal="center" vertical="center"/>
    </xf>
    <xf numFmtId="0" fontId="24" fillId="0" borderId="0" xfId="0" applyFont="1" applyBorder="1" applyAlignment="1">
      <alignment horizontal="center" vertical="center" textRotation="90" wrapText="1"/>
    </xf>
    <xf numFmtId="0" fontId="24" fillId="0" borderId="0" xfId="0" applyFont="1" applyBorder="1" applyAlignment="1">
      <alignment wrapText="1"/>
    </xf>
    <xf numFmtId="0" fontId="24" fillId="0" borderId="0" xfId="0" applyFont="1" applyBorder="1" applyAlignment="1">
      <alignment horizontal="center" vertical="center" wrapText="1"/>
    </xf>
    <xf numFmtId="166" fontId="29" fillId="0" borderId="0" xfId="7" applyNumberFormat="1" applyFont="1" applyBorder="1" applyAlignment="1">
      <alignment wrapText="1"/>
    </xf>
    <xf numFmtId="43" fontId="24" fillId="0" borderId="0" xfId="5" applyFont="1" applyBorder="1" applyAlignment="1">
      <alignment horizontal="center" vertical="center" wrapText="1"/>
    </xf>
    <xf numFmtId="0" fontId="3" fillId="0" borderId="0" xfId="0" applyFont="1" applyAlignment="1"/>
    <xf numFmtId="0" fontId="13" fillId="0" borderId="2" xfId="0" applyFont="1" applyBorder="1" applyAlignment="1">
      <alignment horizontal="center" vertical="center" wrapText="1"/>
    </xf>
    <xf numFmtId="0" fontId="3" fillId="0" borderId="2" xfId="0" applyFont="1" applyBorder="1" applyAlignment="1">
      <alignment vertical="top" wrapText="1"/>
    </xf>
    <xf numFmtId="0" fontId="3" fillId="0" borderId="2" xfId="0" applyFont="1" applyBorder="1" applyAlignment="1">
      <alignment horizontal="center" vertical="center" wrapText="1"/>
    </xf>
    <xf numFmtId="166" fontId="3" fillId="0" borderId="2" xfId="7" applyNumberFormat="1" applyFont="1" applyBorder="1" applyAlignment="1">
      <alignment horizontal="center" vertical="center" wrapText="1"/>
    </xf>
    <xf numFmtId="43" fontId="3" fillId="0" borderId="2" xfId="5" applyFont="1" applyBorder="1" applyAlignment="1">
      <alignment horizontal="center" vertical="center" wrapText="1"/>
    </xf>
    <xf numFmtId="43" fontId="3" fillId="0" borderId="2" xfId="7" applyNumberFormat="1" applyFont="1" applyBorder="1" applyAlignment="1">
      <alignment wrapText="1"/>
    </xf>
    <xf numFmtId="0" fontId="3" fillId="0" borderId="2" xfId="0" applyFont="1" applyBorder="1" applyAlignment="1">
      <alignment wrapText="1"/>
    </xf>
    <xf numFmtId="166" fontId="3" fillId="0" borderId="2" xfId="7" applyNumberFormat="1" applyFont="1" applyBorder="1" applyAlignment="1">
      <alignment wrapText="1"/>
    </xf>
    <xf numFmtId="0" fontId="3" fillId="0" borderId="11" xfId="0" applyFont="1" applyBorder="1" applyAlignment="1">
      <alignment wrapText="1"/>
    </xf>
    <xf numFmtId="0" fontId="3" fillId="0" borderId="11" xfId="0" applyFont="1" applyBorder="1" applyAlignment="1">
      <alignment horizontal="center" vertical="center" wrapText="1"/>
    </xf>
    <xf numFmtId="166" fontId="3" fillId="0" borderId="11" xfId="7" applyNumberFormat="1" applyFont="1" applyBorder="1" applyAlignment="1">
      <alignment horizontal="center" vertical="center" wrapText="1"/>
    </xf>
    <xf numFmtId="43" fontId="3" fillId="0" borderId="11" xfId="5" applyFont="1" applyBorder="1" applyAlignment="1">
      <alignment horizontal="center" vertical="center" wrapText="1"/>
    </xf>
    <xf numFmtId="166" fontId="3" fillId="0" borderId="11" xfId="7" applyNumberFormat="1" applyFont="1" applyBorder="1" applyAlignment="1">
      <alignment wrapText="1"/>
    </xf>
    <xf numFmtId="166" fontId="13" fillId="0" borderId="2" xfId="0" applyNumberFormat="1" applyFont="1" applyBorder="1" applyAlignment="1">
      <alignment horizontal="center" vertical="center"/>
    </xf>
    <xf numFmtId="0" fontId="13" fillId="0" borderId="2" xfId="0" applyFont="1" applyBorder="1" applyAlignment="1">
      <alignment wrapText="1"/>
    </xf>
    <xf numFmtId="43" fontId="3" fillId="0" borderId="2" xfId="1" applyFont="1" applyBorder="1" applyAlignment="1">
      <alignment horizontal="center" vertical="center"/>
    </xf>
    <xf numFmtId="43" fontId="3" fillId="0" borderId="0" xfId="1" applyFont="1" applyAlignment="1">
      <alignment horizontal="center" vertical="center"/>
    </xf>
    <xf numFmtId="43" fontId="7" fillId="18" borderId="2" xfId="1" applyFont="1" applyFill="1" applyBorder="1" applyAlignment="1">
      <alignment vertical="center"/>
    </xf>
    <xf numFmtId="43" fontId="8" fillId="0" borderId="0" xfId="1" applyFont="1" applyAlignment="1">
      <alignment horizontal="left"/>
    </xf>
    <xf numFmtId="43" fontId="8" fillId="0" borderId="0" xfId="1" applyFont="1"/>
    <xf numFmtId="164" fontId="7" fillId="0" borderId="3" xfId="1" applyNumberFormat="1" applyFont="1" applyBorder="1" applyAlignment="1">
      <alignment horizontal="left"/>
    </xf>
    <xf numFmtId="43" fontId="7" fillId="0" borderId="3" xfId="1" applyFont="1" applyBorder="1" applyAlignment="1">
      <alignment horizontal="left"/>
    </xf>
    <xf numFmtId="43" fontId="7" fillId="0" borderId="3" xfId="1" applyFont="1" applyBorder="1"/>
    <xf numFmtId="164" fontId="7" fillId="0" borderId="0" xfId="1" applyNumberFormat="1" applyFont="1" applyAlignment="1">
      <alignment horizontal="left"/>
    </xf>
    <xf numFmtId="43" fontId="7" fillId="0" borderId="19" xfId="1" applyFont="1" applyBorder="1" applyAlignment="1">
      <alignment horizontal="left"/>
    </xf>
    <xf numFmtId="43" fontId="7" fillId="0" borderId="19" xfId="1" applyFont="1" applyBorder="1"/>
    <xf numFmtId="164" fontId="7" fillId="0" borderId="10" xfId="1" applyNumberFormat="1" applyFont="1" applyBorder="1" applyAlignment="1">
      <alignment horizontal="right"/>
    </xf>
    <xf numFmtId="164" fontId="7" fillId="0" borderId="10" xfId="1" applyNumberFormat="1" applyFont="1" applyBorder="1" applyAlignment="1">
      <alignment horizontal="right" vertical="top"/>
    </xf>
    <xf numFmtId="43" fontId="7" fillId="0" borderId="18" xfId="1" applyFont="1" applyBorder="1" applyAlignment="1">
      <alignment horizontal="left" vertical="top"/>
    </xf>
    <xf numFmtId="43" fontId="7" fillId="0" borderId="19" xfId="1" applyFont="1" applyBorder="1" applyAlignment="1">
      <alignment horizontal="left" vertical="top"/>
    </xf>
    <xf numFmtId="43" fontId="7" fillId="0" borderId="10" xfId="1" applyFont="1" applyBorder="1" applyAlignment="1">
      <alignment vertical="top"/>
    </xf>
    <xf numFmtId="43" fontId="7" fillId="0" borderId="10" xfId="1" applyFont="1" applyBorder="1" applyAlignment="1"/>
    <xf numFmtId="43" fontId="7" fillId="0" borderId="18" xfId="1" applyFont="1" applyBorder="1" applyAlignment="1">
      <alignment horizontal="left"/>
    </xf>
    <xf numFmtId="43" fontId="7" fillId="0" borderId="10" xfId="1" applyFont="1" applyBorder="1" applyAlignment="1">
      <alignment horizontal="left"/>
    </xf>
    <xf numFmtId="43" fontId="7" fillId="0" borderId="10" xfId="1" applyFont="1" applyBorder="1"/>
    <xf numFmtId="43" fontId="7" fillId="0" borderId="20" xfId="1" applyFont="1" applyBorder="1" applyAlignment="1">
      <alignment horizontal="left"/>
    </xf>
    <xf numFmtId="43" fontId="7" fillId="0" borderId="10" xfId="1" applyFont="1" applyBorder="1" applyAlignment="1">
      <alignment wrapText="1"/>
    </xf>
    <xf numFmtId="43" fontId="7" fillId="0" borderId="10" xfId="1" applyFont="1" applyBorder="1" applyAlignment="1">
      <alignment horizontal="left" wrapText="1"/>
    </xf>
    <xf numFmtId="166" fontId="7" fillId="0" borderId="10" xfId="1" applyNumberFormat="1" applyFont="1" applyBorder="1" applyAlignment="1">
      <alignment horizontal="right"/>
    </xf>
    <xf numFmtId="43" fontId="7" fillId="19" borderId="0" xfId="1" applyFont="1" applyFill="1" applyAlignment="1"/>
    <xf numFmtId="164" fontId="8" fillId="0" borderId="10" xfId="1" applyNumberFormat="1" applyFont="1" applyBorder="1" applyAlignment="1">
      <alignment horizontal="right"/>
    </xf>
    <xf numFmtId="43" fontId="7" fillId="0" borderId="10" xfId="1" applyFont="1" applyBorder="1" applyAlignment="1">
      <alignment vertical="top" wrapText="1"/>
    </xf>
    <xf numFmtId="43" fontId="7" fillId="0" borderId="18" xfId="1" applyFont="1" applyBorder="1" applyAlignment="1">
      <alignment wrapText="1"/>
    </xf>
    <xf numFmtId="164" fontId="7" fillId="0" borderId="0" xfId="1" applyNumberFormat="1" applyFont="1" applyBorder="1" applyAlignment="1">
      <alignment horizontal="right"/>
    </xf>
    <xf numFmtId="43" fontId="7" fillId="0" borderId="0" xfId="1" applyFont="1" applyBorder="1" applyAlignment="1">
      <alignment horizontal="left"/>
    </xf>
    <xf numFmtId="43" fontId="7" fillId="0" borderId="0" xfId="1" applyFont="1" applyBorder="1" applyAlignment="1"/>
    <xf numFmtId="49" fontId="7" fillId="0" borderId="0" xfId="1" applyNumberFormat="1" applyFont="1" applyBorder="1" applyAlignment="1">
      <alignment horizontal="right" wrapText="1"/>
    </xf>
    <xf numFmtId="49" fontId="7" fillId="0" borderId="0" xfId="1" applyNumberFormat="1" applyFont="1" applyBorder="1" applyAlignment="1">
      <alignment horizontal="left" wrapText="1"/>
    </xf>
    <xf numFmtId="49" fontId="7" fillId="0" borderId="18" xfId="1" applyNumberFormat="1" applyFont="1" applyBorder="1" applyAlignment="1">
      <alignment horizontal="left"/>
    </xf>
    <xf numFmtId="49" fontId="7" fillId="0" borderId="19" xfId="1" applyNumberFormat="1" applyFont="1" applyBorder="1" applyAlignment="1">
      <alignment horizontal="left"/>
    </xf>
    <xf numFmtId="49" fontId="7" fillId="0" borderId="20" xfId="1" applyNumberFormat="1" applyFont="1" applyBorder="1" applyAlignment="1">
      <alignment horizontal="left"/>
    </xf>
    <xf numFmtId="43" fontId="7" fillId="0" borderId="18" xfId="1" applyFont="1" applyBorder="1" applyAlignment="1">
      <alignment horizontal="center"/>
    </xf>
    <xf numFmtId="43" fontId="7" fillId="0" borderId="20" xfId="1" applyFont="1" applyBorder="1" applyAlignment="1">
      <alignment horizontal="center"/>
    </xf>
    <xf numFmtId="43" fontId="7" fillId="0" borderId="10" xfId="1" applyFont="1" applyBorder="1" applyAlignment="1">
      <alignment horizontal="center"/>
    </xf>
    <xf numFmtId="49" fontId="7" fillId="0" borderId="20" xfId="1" applyNumberFormat="1" applyFont="1" applyBorder="1" applyAlignment="1"/>
    <xf numFmtId="49" fontId="7" fillId="0" borderId="10" xfId="1" applyNumberFormat="1" applyFont="1" applyBorder="1" applyAlignment="1">
      <alignment horizontal="left"/>
    </xf>
    <xf numFmtId="166" fontId="8" fillId="0" borderId="10" xfId="1" applyNumberFormat="1" applyFont="1" applyBorder="1" applyAlignment="1">
      <alignment horizontal="right"/>
    </xf>
    <xf numFmtId="164" fontId="7" fillId="18" borderId="0" xfId="1" applyNumberFormat="1" applyFont="1" applyFill="1" applyAlignment="1"/>
    <xf numFmtId="43" fontId="8" fillId="0" borderId="10" xfId="1" applyNumberFormat="1" applyFont="1" applyBorder="1" applyAlignment="1">
      <alignment horizontal="right"/>
    </xf>
    <xf numFmtId="43" fontId="8" fillId="0" borderId="18" xfId="1" applyFont="1" applyBorder="1" applyAlignment="1">
      <alignment horizontal="left"/>
    </xf>
    <xf numFmtId="166" fontId="7" fillId="0" borderId="10" xfId="1" applyNumberFormat="1" applyFont="1" applyBorder="1" applyAlignment="1">
      <alignment horizontal="right" vertical="center"/>
    </xf>
    <xf numFmtId="43" fontId="8" fillId="0" borderId="10" xfId="1" applyFont="1" applyBorder="1"/>
    <xf numFmtId="43" fontId="7" fillId="0" borderId="10" xfId="1" applyFont="1" applyFill="1" applyBorder="1"/>
    <xf numFmtId="43" fontId="3" fillId="3" borderId="0" xfId="1" applyFont="1" applyFill="1" applyBorder="1" applyAlignment="1">
      <alignment horizontal="left"/>
    </xf>
    <xf numFmtId="14" fontId="7" fillId="0" borderId="0" xfId="1" applyNumberFormat="1" applyFont="1" applyAlignment="1">
      <alignment horizontal="left"/>
    </xf>
    <xf numFmtId="43" fontId="60" fillId="0" borderId="0" xfId="0" applyNumberFormat="1" applyFont="1"/>
    <xf numFmtId="40" fontId="3" fillId="0" borderId="0" xfId="0" applyNumberFormat="1" applyFont="1" applyAlignment="1">
      <alignment horizontal="center" vertical="center"/>
    </xf>
    <xf numFmtId="166" fontId="3" fillId="0" borderId="2" xfId="1" applyNumberFormat="1" applyFont="1" applyBorder="1"/>
    <xf numFmtId="0" fontId="13" fillId="2" borderId="2" xfId="1" applyNumberFormat="1" applyFont="1" applyFill="1" applyBorder="1" applyAlignment="1">
      <alignment vertical="center" wrapText="1"/>
    </xf>
    <xf numFmtId="40" fontId="7" fillId="8" borderId="0" xfId="1" applyNumberFormat="1" applyFont="1" applyFill="1"/>
    <xf numFmtId="40" fontId="7" fillId="0" borderId="0" xfId="0" applyNumberFormat="1" applyFont="1" applyFill="1"/>
    <xf numFmtId="39" fontId="7" fillId="3" borderId="2" xfId="0" applyNumberFormat="1" applyFont="1" applyFill="1" applyBorder="1" applyAlignment="1">
      <alignment horizontal="right" vertical="center" wrapText="1"/>
    </xf>
    <xf numFmtId="0" fontId="7" fillId="0" borderId="0" xfId="0" applyFont="1" applyAlignment="1">
      <alignment horizontal="left" vertical="center"/>
    </xf>
    <xf numFmtId="164" fontId="7" fillId="0" borderId="0" xfId="1" applyNumberFormat="1" applyFont="1" applyBorder="1" applyAlignment="1">
      <alignment horizontal="left"/>
    </xf>
    <xf numFmtId="49" fontId="7" fillId="0" borderId="0" xfId="1" applyNumberFormat="1" applyFont="1" applyBorder="1" applyAlignment="1">
      <alignment horizontal="left" wrapText="1"/>
    </xf>
    <xf numFmtId="164" fontId="7" fillId="0" borderId="0" xfId="1" applyNumberFormat="1" applyFont="1" applyAlignment="1">
      <alignment horizontal="left"/>
    </xf>
    <xf numFmtId="14" fontId="3" fillId="0" borderId="0" xfId="1" applyNumberFormat="1" applyFont="1" applyAlignment="1">
      <alignment horizontal="right"/>
    </xf>
    <xf numFmtId="0" fontId="3" fillId="0" borderId="0" xfId="1" applyNumberFormat="1" applyFont="1" applyAlignment="1">
      <alignment vertical="center"/>
    </xf>
    <xf numFmtId="43" fontId="3" fillId="3" borderId="0" xfId="1" applyFont="1" applyFill="1" applyAlignment="1">
      <alignment horizontal="left"/>
    </xf>
    <xf numFmtId="43" fontId="61" fillId="2" borderId="0" xfId="1" applyFont="1" applyFill="1"/>
    <xf numFmtId="40" fontId="61" fillId="2" borderId="0" xfId="1" applyNumberFormat="1" applyFont="1" applyFill="1"/>
    <xf numFmtId="43" fontId="3" fillId="0" borderId="0" xfId="1" applyFont="1" applyAlignment="1">
      <alignment horizontal="right"/>
    </xf>
    <xf numFmtId="40" fontId="3" fillId="0" borderId="0" xfId="1" applyNumberFormat="1" applyFont="1"/>
    <xf numFmtId="43" fontId="13" fillId="2" borderId="2" xfId="1" applyFont="1" applyFill="1" applyBorder="1" applyAlignment="1">
      <alignment horizontal="center" vertical="center"/>
    </xf>
    <xf numFmtId="40" fontId="13" fillId="2" borderId="2" xfId="1" applyNumberFormat="1" applyFont="1" applyFill="1" applyBorder="1" applyAlignment="1">
      <alignment horizontal="right" vertical="center" wrapText="1"/>
    </xf>
    <xf numFmtId="164" fontId="13" fillId="2" borderId="2" xfId="1" applyNumberFormat="1" applyFont="1" applyFill="1" applyBorder="1" applyAlignment="1">
      <alignment vertical="center"/>
    </xf>
    <xf numFmtId="43" fontId="13" fillId="2" borderId="2" xfId="1" applyFont="1" applyFill="1" applyBorder="1" applyAlignment="1">
      <alignment vertical="center"/>
    </xf>
    <xf numFmtId="40" fontId="3" fillId="3" borderId="2" xfId="1" applyNumberFormat="1" applyFont="1" applyFill="1" applyBorder="1" applyAlignment="1">
      <alignment horizontal="right"/>
    </xf>
    <xf numFmtId="43" fontId="3" fillId="0" borderId="0" xfId="1" applyFont="1" applyFill="1"/>
    <xf numFmtId="14" fontId="3" fillId="10" borderId="2" xfId="5" applyNumberFormat="1" applyFont="1" applyFill="1" applyBorder="1"/>
    <xf numFmtId="0" fontId="3" fillId="0" borderId="2" xfId="5" applyNumberFormat="1" applyFont="1" applyFill="1" applyBorder="1"/>
    <xf numFmtId="0" fontId="3" fillId="0" borderId="0" xfId="1" applyNumberFormat="1" applyFont="1" applyAlignment="1"/>
    <xf numFmtId="40" fontId="3" fillId="3" borderId="0" xfId="1" applyNumberFormat="1" applyFont="1" applyFill="1" applyBorder="1" applyAlignment="1">
      <alignment horizontal="right"/>
    </xf>
    <xf numFmtId="43" fontId="3" fillId="0" borderId="49" xfId="1" applyFont="1" applyBorder="1"/>
    <xf numFmtId="43" fontId="3" fillId="0" borderId="50" xfId="1" applyFont="1" applyBorder="1"/>
    <xf numFmtId="43" fontId="3" fillId="0" borderId="44" xfId="1" applyFont="1" applyBorder="1"/>
    <xf numFmtId="43" fontId="13" fillId="2" borderId="2" xfId="1" applyFont="1" applyFill="1" applyBorder="1" applyAlignment="1">
      <alignment horizontal="left" vertical="center"/>
    </xf>
    <xf numFmtId="0" fontId="3" fillId="9" borderId="2" xfId="5" applyNumberFormat="1" applyFont="1" applyFill="1" applyBorder="1"/>
    <xf numFmtId="0" fontId="3" fillId="0" borderId="0" xfId="5" applyNumberFormat="1" applyFont="1"/>
    <xf numFmtId="164" fontId="7" fillId="2" borderId="2" xfId="1" applyNumberFormat="1" applyFont="1" applyFill="1" applyBorder="1" applyAlignment="1">
      <alignment horizontal="left"/>
    </xf>
    <xf numFmtId="0" fontId="7" fillId="3" borderId="0" xfId="0" applyNumberFormat="1" applyFont="1" applyFill="1" applyAlignment="1">
      <alignment horizontal="right" vertical="center" wrapText="1"/>
    </xf>
    <xf numFmtId="43" fontId="7" fillId="3" borderId="0" xfId="1" applyFont="1" applyFill="1" applyBorder="1" applyAlignment="1">
      <alignment vertical="center" wrapText="1"/>
    </xf>
    <xf numFmtId="0" fontId="13" fillId="0" borderId="0" xfId="0" applyFont="1" applyFill="1" applyBorder="1" applyAlignment="1"/>
    <xf numFmtId="0" fontId="3" fillId="0" borderId="0" xfId="0" applyFont="1" applyFill="1" applyBorder="1" applyAlignment="1"/>
    <xf numFmtId="0" fontId="3" fillId="0" borderId="0" xfId="0" applyFont="1" applyFill="1"/>
    <xf numFmtId="0" fontId="3" fillId="0" borderId="0" xfId="0" applyFont="1" applyFill="1" applyAlignment="1">
      <alignment horizontal="center"/>
    </xf>
    <xf numFmtId="43" fontId="3" fillId="0" borderId="0" xfId="5" applyFont="1" applyFill="1"/>
    <xf numFmtId="43" fontId="7" fillId="0" borderId="2" xfId="5" applyFont="1" applyFill="1" applyBorder="1" applyAlignment="1">
      <alignment horizontal="center" vertical="center" wrapText="1"/>
    </xf>
    <xf numFmtId="43" fontId="7" fillId="0" borderId="2" xfId="5" applyFont="1" applyFill="1" applyBorder="1" applyAlignment="1">
      <alignment horizontal="center" vertical="center"/>
    </xf>
    <xf numFmtId="4" fontId="7" fillId="0" borderId="2" xfId="0" applyNumberFormat="1" applyFont="1" applyFill="1" applyBorder="1" applyAlignment="1">
      <alignment horizontal="left" vertical="center"/>
    </xf>
    <xf numFmtId="4" fontId="7" fillId="0" borderId="2" xfId="0" applyNumberFormat="1" applyFont="1" applyBorder="1" applyAlignment="1">
      <alignment horizontal="left" vertical="center" wrapText="1"/>
    </xf>
    <xf numFmtId="43" fontId="7" fillId="0" borderId="2" xfId="5" applyFont="1" applyFill="1" applyBorder="1" applyAlignment="1">
      <alignment horizontal="right" vertical="center" wrapText="1"/>
    </xf>
    <xf numFmtId="166" fontId="7" fillId="0" borderId="2" xfId="5" applyNumberFormat="1" applyFont="1" applyBorder="1"/>
    <xf numFmtId="43" fontId="3" fillId="3" borderId="2" xfId="5" applyFont="1" applyFill="1" applyBorder="1"/>
    <xf numFmtId="4" fontId="7" fillId="0" borderId="2" xfId="0" applyNumberFormat="1" applyFont="1" applyFill="1" applyBorder="1" applyAlignment="1">
      <alignment horizontal="left"/>
    </xf>
    <xf numFmtId="4" fontId="7" fillId="0" borderId="2" xfId="0" applyNumberFormat="1" applyFont="1" applyBorder="1" applyAlignment="1">
      <alignment horizontal="left"/>
    </xf>
    <xf numFmtId="4" fontId="7" fillId="0" borderId="2" xfId="0" applyNumberFormat="1" applyFont="1" applyFill="1" applyBorder="1" applyAlignment="1">
      <alignment horizontal="left" vertical="center" wrapText="1"/>
    </xf>
    <xf numFmtId="43" fontId="7" fillId="0" borderId="2" xfId="5" applyFont="1" applyFill="1" applyBorder="1" applyAlignment="1">
      <alignment horizontal="right"/>
    </xf>
    <xf numFmtId="4" fontId="7" fillId="0" borderId="2" xfId="0" applyNumberFormat="1" applyFont="1" applyBorder="1"/>
    <xf numFmtId="1" fontId="7" fillId="0" borderId="2" xfId="0" applyNumberFormat="1" applyFont="1" applyBorder="1" applyAlignment="1">
      <alignment horizontal="left"/>
    </xf>
    <xf numFmtId="1" fontId="7" fillId="0" borderId="2" xfId="0" applyNumberFormat="1" applyFont="1" applyBorder="1"/>
    <xf numFmtId="43" fontId="7" fillId="0" borderId="2" xfId="0" applyNumberFormat="1" applyFont="1" applyBorder="1"/>
    <xf numFmtId="43" fontId="7" fillId="0" borderId="2" xfId="0" applyNumberFormat="1" applyFont="1" applyBorder="1" applyAlignment="1">
      <alignment horizontal="left"/>
    </xf>
    <xf numFmtId="4" fontId="7" fillId="0" borderId="2" xfId="0" applyNumberFormat="1" applyFont="1" applyFill="1" applyBorder="1" applyAlignment="1"/>
    <xf numFmtId="4" fontId="7" fillId="0" borderId="2" xfId="0" applyNumberFormat="1" applyFont="1" applyBorder="1" applyAlignment="1"/>
    <xf numFmtId="4" fontId="62" fillId="0" borderId="2" xfId="0" applyNumberFormat="1" applyFont="1" applyFill="1" applyBorder="1" applyAlignment="1"/>
    <xf numFmtId="0" fontId="7" fillId="3" borderId="2" xfId="0" applyFont="1" applyFill="1" applyBorder="1"/>
    <xf numFmtId="4" fontId="7" fillId="0" borderId="2" xfId="0" applyNumberFormat="1" applyFont="1" applyBorder="1" applyAlignment="1">
      <alignment horizontal="left" vertical="center"/>
    </xf>
    <xf numFmtId="43" fontId="13" fillId="0" borderId="36" xfId="0" applyNumberFormat="1" applyFont="1" applyBorder="1"/>
    <xf numFmtId="0" fontId="7" fillId="0" borderId="2" xfId="0" applyFont="1" applyBorder="1" applyAlignment="1"/>
    <xf numFmtId="0" fontId="7" fillId="0" borderId="2" xfId="0" applyNumberFormat="1" applyFont="1" applyBorder="1"/>
    <xf numFmtId="43" fontId="13" fillId="0" borderId="2" xfId="0" applyNumberFormat="1" applyFont="1" applyBorder="1"/>
    <xf numFmtId="43" fontId="3" fillId="0" borderId="0" xfId="0" applyNumberFormat="1" applyFont="1" applyFill="1" applyBorder="1" applyAlignment="1"/>
    <xf numFmtId="43" fontId="13" fillId="0" borderId="2" xfId="1" applyFont="1" applyBorder="1" applyAlignment="1">
      <alignment vertical="center"/>
    </xf>
    <xf numFmtId="164" fontId="3" fillId="3" borderId="2" xfId="1" applyNumberFormat="1" applyFont="1" applyFill="1" applyBorder="1"/>
    <xf numFmtId="164" fontId="3" fillId="3" borderId="0" xfId="1" applyNumberFormat="1" applyFont="1" applyFill="1" applyBorder="1"/>
    <xf numFmtId="43" fontId="3" fillId="10" borderId="2" xfId="1" applyFont="1" applyFill="1" applyBorder="1" applyAlignment="1">
      <alignment horizontal="left"/>
    </xf>
    <xf numFmtId="0" fontId="3" fillId="10" borderId="2" xfId="5" applyNumberFormat="1" applyFont="1" applyFill="1" applyBorder="1"/>
    <xf numFmtId="14" fontId="3" fillId="10" borderId="0" xfId="1" applyNumberFormat="1" applyFont="1" applyFill="1" applyAlignment="1">
      <alignment horizontal="right"/>
    </xf>
    <xf numFmtId="43" fontId="3" fillId="10" borderId="0" xfId="1" applyFont="1" applyFill="1" applyBorder="1" applyAlignment="1">
      <alignment horizontal="left"/>
    </xf>
    <xf numFmtId="0" fontId="3" fillId="10" borderId="0" xfId="5" applyNumberFormat="1" applyFont="1" applyFill="1" applyBorder="1"/>
    <xf numFmtId="14" fontId="3" fillId="10" borderId="0" xfId="1" applyNumberFormat="1" applyFont="1" applyFill="1" applyBorder="1" applyAlignment="1">
      <alignment horizontal="right"/>
    </xf>
    <xf numFmtId="14" fontId="3" fillId="10" borderId="0" xfId="5" applyNumberFormat="1" applyFont="1" applyFill="1" applyBorder="1"/>
    <xf numFmtId="14" fontId="3" fillId="10" borderId="0" xfId="5" applyNumberFormat="1" applyFont="1" applyFill="1"/>
    <xf numFmtId="0" fontId="3" fillId="10" borderId="0" xfId="5" applyNumberFormat="1" applyFont="1" applyFill="1"/>
    <xf numFmtId="43" fontId="3" fillId="3" borderId="2" xfId="1" applyFont="1" applyFill="1" applyBorder="1" applyAlignment="1">
      <alignment horizontal="center" vertical="center"/>
    </xf>
    <xf numFmtId="0" fontId="29" fillId="0" borderId="2" xfId="0" applyFont="1" applyBorder="1" applyAlignment="1">
      <alignment horizontal="center" vertical="center" wrapText="1"/>
    </xf>
    <xf numFmtId="43" fontId="29" fillId="0" borderId="2" xfId="5" applyFont="1" applyBorder="1" applyAlignment="1">
      <alignment horizontal="center" vertical="center" wrapText="1"/>
    </xf>
    <xf numFmtId="166" fontId="24" fillId="0" borderId="2" xfId="7" applyNumberFormat="1" applyFont="1" applyBorder="1" applyAlignment="1">
      <alignment vertical="top" wrapText="1"/>
    </xf>
    <xf numFmtId="43" fontId="24" fillId="0" borderId="2" xfId="5" applyFont="1" applyBorder="1" applyAlignment="1">
      <alignment vertical="top" wrapText="1"/>
    </xf>
    <xf numFmtId="43" fontId="24" fillId="0" borderId="2" xfId="1" applyFont="1" applyBorder="1" applyAlignment="1">
      <alignment vertical="top" wrapText="1"/>
    </xf>
    <xf numFmtId="0" fontId="24" fillId="0" borderId="2" xfId="0" applyFont="1" applyBorder="1" applyAlignment="1">
      <alignment vertical="top" wrapText="1"/>
    </xf>
    <xf numFmtId="0" fontId="24" fillId="0" borderId="2" xfId="0" applyFont="1" applyBorder="1" applyAlignment="1">
      <alignment horizontal="center" vertical="center" wrapText="1"/>
    </xf>
    <xf numFmtId="166" fontId="24" fillId="0" borderId="2" xfId="7" applyNumberFormat="1" applyFont="1" applyBorder="1" applyAlignment="1">
      <alignment horizontal="center" vertical="center" wrapText="1"/>
    </xf>
    <xf numFmtId="43" fontId="24" fillId="0" borderId="2" xfId="5" applyFont="1" applyBorder="1" applyAlignment="1">
      <alignment horizontal="center" vertical="center" wrapText="1"/>
    </xf>
    <xf numFmtId="43" fontId="29" fillId="0" borderId="2" xfId="7" applyNumberFormat="1" applyFont="1" applyBorder="1" applyAlignment="1">
      <alignment wrapText="1"/>
    </xf>
    <xf numFmtId="0" fontId="24" fillId="0" borderId="2" xfId="0" applyFont="1" applyBorder="1" applyAlignment="1">
      <alignment wrapText="1"/>
    </xf>
    <xf numFmtId="166" fontId="24" fillId="3" borderId="2" xfId="7" applyNumberFormat="1" applyFont="1" applyFill="1" applyBorder="1" applyAlignment="1">
      <alignment vertical="top" wrapText="1"/>
    </xf>
    <xf numFmtId="166" fontId="24" fillId="3" borderId="2" xfId="7" applyNumberFormat="1" applyFont="1" applyFill="1" applyBorder="1" applyAlignment="1">
      <alignment wrapText="1"/>
    </xf>
    <xf numFmtId="166" fontId="24" fillId="0" borderId="2" xfId="7" applyNumberFormat="1" applyFont="1" applyBorder="1" applyAlignment="1">
      <alignment wrapText="1"/>
    </xf>
    <xf numFmtId="166" fontId="24" fillId="3" borderId="2" xfId="7" applyNumberFormat="1" applyFont="1" applyFill="1" applyBorder="1" applyAlignment="1">
      <alignment horizontal="center" vertical="center" wrapText="1"/>
    </xf>
    <xf numFmtId="0" fontId="24" fillId="0" borderId="2" xfId="0" applyFont="1" applyFill="1" applyBorder="1" applyAlignment="1">
      <alignment horizontal="center" vertical="center" wrapText="1"/>
    </xf>
    <xf numFmtId="43" fontId="24" fillId="0" borderId="2" xfId="5" applyFont="1" applyFill="1" applyBorder="1" applyAlignment="1">
      <alignment horizontal="center" vertical="center" wrapText="1"/>
    </xf>
    <xf numFmtId="43" fontId="24" fillId="0" borderId="2" xfId="0" applyNumberFormat="1" applyFont="1" applyFill="1" applyBorder="1" applyAlignment="1">
      <alignment horizontal="center" vertical="center" wrapText="1"/>
    </xf>
    <xf numFmtId="43" fontId="24" fillId="0" borderId="2" xfId="5" applyFont="1" applyBorder="1" applyAlignment="1">
      <alignment wrapText="1"/>
    </xf>
    <xf numFmtId="43" fontId="24" fillId="0" borderId="2" xfId="7" applyNumberFormat="1" applyFont="1" applyBorder="1" applyAlignment="1">
      <alignment wrapText="1"/>
    </xf>
    <xf numFmtId="0" fontId="48" fillId="0" borderId="2" xfId="0" applyFont="1" applyBorder="1" applyAlignment="1">
      <alignment wrapText="1"/>
    </xf>
    <xf numFmtId="43" fontId="24" fillId="0" borderId="2" xfId="0" applyNumberFormat="1" applyFont="1" applyBorder="1" applyAlignment="1">
      <alignment horizontal="center" vertical="center" wrapText="1"/>
    </xf>
    <xf numFmtId="43" fontId="24" fillId="0" borderId="2" xfId="1" applyFont="1" applyBorder="1" applyAlignment="1">
      <alignment horizontal="center" vertical="center" wrapText="1"/>
    </xf>
    <xf numFmtId="166" fontId="29" fillId="0" borderId="2" xfId="7" applyNumberFormat="1" applyFont="1" applyBorder="1" applyAlignment="1">
      <alignment wrapText="1"/>
    </xf>
    <xf numFmtId="166" fontId="12" fillId="0" borderId="2" xfId="0" applyNumberFormat="1" applyFont="1" applyBorder="1" applyAlignment="1">
      <alignment vertical="top" wrapText="1"/>
    </xf>
    <xf numFmtId="43" fontId="12" fillId="0" borderId="2" xfId="5" applyFont="1" applyBorder="1" applyAlignment="1">
      <alignment vertical="top" wrapText="1"/>
    </xf>
    <xf numFmtId="164" fontId="7" fillId="0" borderId="0" xfId="1" applyNumberFormat="1" applyFont="1" applyAlignment="1"/>
    <xf numFmtId="164" fontId="8" fillId="0" borderId="0" xfId="1" applyNumberFormat="1" applyFont="1"/>
    <xf numFmtId="164" fontId="8" fillId="0" borderId="0" xfId="1" applyNumberFormat="1" applyFont="1" applyAlignment="1">
      <alignment horizontal="left"/>
    </xf>
    <xf numFmtId="43" fontId="59" fillId="0" borderId="0" xfId="1" applyFont="1" applyAlignment="1">
      <alignment horizontal="left"/>
    </xf>
    <xf numFmtId="43" fontId="59" fillId="0" borderId="0" xfId="1" applyFont="1"/>
    <xf numFmtId="43" fontId="59" fillId="0" borderId="0" xfId="1" applyFont="1" applyBorder="1" applyAlignment="1">
      <alignment horizontal="center" vertical="top" wrapText="1"/>
    </xf>
    <xf numFmtId="43" fontId="59" fillId="0" borderId="0" xfId="1" applyFont="1" applyAlignment="1">
      <alignment horizontal="right"/>
    </xf>
    <xf numFmtId="43" fontId="7" fillId="0" borderId="2" xfId="1" applyFont="1" applyBorder="1" applyAlignment="1">
      <alignment horizontal="left" vertical="center" wrapText="1"/>
    </xf>
    <xf numFmtId="164" fontId="7" fillId="0" borderId="2" xfId="1" applyNumberFormat="1" applyFont="1" applyBorder="1" applyAlignment="1">
      <alignment horizontal="left" wrapText="1"/>
    </xf>
    <xf numFmtId="166" fontId="7" fillId="0" borderId="2" xfId="1" applyNumberFormat="1" applyFont="1" applyBorder="1" applyAlignment="1">
      <alignment wrapText="1"/>
    </xf>
    <xf numFmtId="164" fontId="7" fillId="0" borderId="12" xfId="1" applyNumberFormat="1" applyFont="1" applyBorder="1" applyAlignment="1">
      <alignment horizontal="left" wrapText="1"/>
    </xf>
    <xf numFmtId="43" fontId="7" fillId="0" borderId="0" xfId="1" applyFont="1" applyAlignment="1">
      <alignment horizontal="left" vertical="top" wrapText="1" indent="1"/>
    </xf>
    <xf numFmtId="43" fontId="7" fillId="0" borderId="0" xfId="1" applyFont="1" applyAlignment="1">
      <alignment horizontal="center"/>
    </xf>
    <xf numFmtId="0" fontId="25" fillId="0" borderId="0" xfId="0" applyFont="1"/>
    <xf numFmtId="43" fontId="25" fillId="0" borderId="0" xfId="5" applyFont="1" applyAlignment="1">
      <alignment horizontal="center" vertical="center"/>
    </xf>
    <xf numFmtId="164" fontId="25" fillId="0" borderId="0" xfId="5" applyNumberFormat="1" applyFont="1" applyAlignment="1">
      <alignment horizontal="center" vertical="center"/>
    </xf>
    <xf numFmtId="43" fontId="25" fillId="0" borderId="0" xfId="1" applyFont="1"/>
    <xf numFmtId="0" fontId="25" fillId="0" borderId="0" xfId="0" applyFont="1" applyAlignment="1">
      <alignment vertical="center"/>
    </xf>
    <xf numFmtId="0" fontId="25" fillId="0" borderId="17" xfId="0" applyFont="1" applyBorder="1"/>
    <xf numFmtId="0" fontId="63" fillId="0" borderId="0" xfId="0" applyFont="1" applyBorder="1" applyAlignment="1"/>
    <xf numFmtId="0" fontId="64" fillId="0" borderId="0" xfId="0" applyFont="1"/>
    <xf numFmtId="0" fontId="63" fillId="0" borderId="0" xfId="0" applyFont="1" applyAlignment="1">
      <alignment horizontal="center"/>
    </xf>
    <xf numFmtId="164" fontId="63" fillId="0" borderId="0" xfId="5" applyNumberFormat="1" applyFont="1" applyAlignment="1">
      <alignment horizontal="center" vertical="center"/>
    </xf>
    <xf numFmtId="43" fontId="63" fillId="0" borderId="0" xfId="5" applyFont="1" applyAlignment="1">
      <alignment horizontal="center" vertical="center"/>
    </xf>
    <xf numFmtId="0" fontId="63" fillId="0" borderId="0" xfId="0" applyFont="1" applyFill="1" applyAlignment="1">
      <alignment horizontal="left"/>
    </xf>
    <xf numFmtId="0" fontId="63" fillId="0" borderId="0" xfId="0" applyFont="1"/>
    <xf numFmtId="0" fontId="25" fillId="0" borderId="2" xfId="0" applyFont="1" applyBorder="1" applyAlignment="1">
      <alignment horizontal="left"/>
    </xf>
    <xf numFmtId="0" fontId="63" fillId="0" borderId="2" xfId="0" applyFont="1" applyBorder="1" applyAlignment="1">
      <alignment horizontal="center" vertical="center" wrapText="1"/>
    </xf>
    <xf numFmtId="164" fontId="63" fillId="0" borderId="2" xfId="5" applyNumberFormat="1" applyFont="1" applyBorder="1" applyAlignment="1">
      <alignment horizontal="center" vertical="center" wrapText="1"/>
    </xf>
    <xf numFmtId="43" fontId="63" fillId="0" borderId="2" xfId="5" applyFont="1" applyBorder="1" applyAlignment="1">
      <alignment horizontal="center" vertical="center" wrapText="1"/>
    </xf>
    <xf numFmtId="1" fontId="25" fillId="0" borderId="2" xfId="0" applyNumberFormat="1" applyFont="1" applyBorder="1" applyAlignment="1">
      <alignment horizontal="center" vertical="center" wrapText="1"/>
    </xf>
    <xf numFmtId="37" fontId="25" fillId="0" borderId="2" xfId="5" applyNumberFormat="1" applyFont="1" applyBorder="1" applyAlignment="1">
      <alignment horizontal="center" vertical="center"/>
    </xf>
    <xf numFmtId="43" fontId="25" fillId="0" borderId="2" xfId="5" applyFont="1" applyBorder="1" applyAlignment="1">
      <alignment horizontal="center" vertical="center"/>
    </xf>
    <xf numFmtId="0" fontId="25" fillId="0" borderId="0" xfId="0" applyFont="1" applyAlignment="1">
      <alignment horizontal="center" vertical="center"/>
    </xf>
    <xf numFmtId="43" fontId="25" fillId="0" borderId="0" xfId="1" applyFont="1" applyAlignment="1">
      <alignment horizontal="center" vertical="center"/>
    </xf>
    <xf numFmtId="0" fontId="25" fillId="0" borderId="2" xfId="0" applyFont="1" applyBorder="1" applyAlignment="1">
      <alignment horizontal="left" textRotation="90" wrapText="1"/>
    </xf>
    <xf numFmtId="37" fontId="25" fillId="0" borderId="2" xfId="5" applyNumberFormat="1" applyFont="1" applyBorder="1" applyAlignment="1">
      <alignment horizontal="center" vertical="center" wrapText="1"/>
    </xf>
    <xf numFmtId="43" fontId="25" fillId="0" borderId="2" xfId="5" applyFont="1" applyBorder="1" applyAlignment="1">
      <alignment horizontal="center" vertical="center" wrapText="1"/>
    </xf>
    <xf numFmtId="0" fontId="25" fillId="0" borderId="0" xfId="0" applyFont="1" applyAlignment="1">
      <alignment wrapText="1"/>
    </xf>
    <xf numFmtId="43" fontId="25" fillId="0" borderId="0" xfId="1" applyFont="1" applyAlignment="1">
      <alignment wrapText="1"/>
    </xf>
    <xf numFmtId="43" fontId="25" fillId="0" borderId="0" xfId="0" applyNumberFormat="1" applyFont="1" applyAlignment="1">
      <alignment wrapText="1"/>
    </xf>
    <xf numFmtId="0" fontId="25" fillId="0" borderId="2" xfId="0" applyFont="1" applyBorder="1" applyAlignment="1">
      <alignment horizontal="left" wrapText="1"/>
    </xf>
    <xf numFmtId="0" fontId="25" fillId="0" borderId="2" xfId="0" applyFont="1" applyBorder="1" applyAlignment="1">
      <alignment wrapText="1"/>
    </xf>
    <xf numFmtId="0" fontId="63" fillId="0" borderId="2" xfId="0" applyFont="1" applyBorder="1"/>
    <xf numFmtId="0" fontId="63" fillId="0" borderId="2" xfId="0" applyFont="1" applyBorder="1" applyAlignment="1">
      <alignment horizontal="left" wrapText="1"/>
    </xf>
    <xf numFmtId="43" fontId="25" fillId="0" borderId="0" xfId="0" applyNumberFormat="1" applyFont="1"/>
    <xf numFmtId="0" fontId="25" fillId="0" borderId="2" xfId="0" applyFont="1" applyBorder="1"/>
    <xf numFmtId="43" fontId="25" fillId="0" borderId="2" xfId="1" applyFont="1" applyBorder="1" applyAlignment="1">
      <alignment horizontal="center" vertical="center"/>
    </xf>
    <xf numFmtId="37" fontId="25" fillId="0" borderId="0" xfId="5" applyNumberFormat="1" applyFont="1" applyAlignment="1">
      <alignment horizontal="center" vertical="center"/>
    </xf>
    <xf numFmtId="0" fontId="25" fillId="0" borderId="2" xfId="0" applyFont="1" applyBorder="1" applyAlignment="1">
      <alignment vertical="center"/>
    </xf>
    <xf numFmtId="39" fontId="25" fillId="0" borderId="2" xfId="0" applyNumberFormat="1" applyFont="1" applyBorder="1"/>
    <xf numFmtId="39" fontId="25" fillId="0" borderId="0" xfId="0" applyNumberFormat="1" applyFont="1"/>
    <xf numFmtId="43" fontId="25" fillId="0" borderId="0" xfId="5" applyFont="1" applyAlignment="1">
      <alignment horizontal="left"/>
    </xf>
    <xf numFmtId="0" fontId="7" fillId="0" borderId="0" xfId="0" applyFont="1" applyFill="1" applyAlignment="1">
      <alignment horizontal="left" wrapText="1"/>
    </xf>
    <xf numFmtId="0" fontId="51" fillId="0" borderId="0" xfId="0" applyFont="1" applyFill="1" applyAlignment="1">
      <alignment horizontal="left"/>
    </xf>
    <xf numFmtId="0" fontId="7" fillId="0" borderId="0" xfId="0" applyFont="1" applyFill="1" applyAlignment="1">
      <alignment horizontal="left" indent="15"/>
    </xf>
    <xf numFmtId="0" fontId="59" fillId="0" borderId="0" xfId="0" applyFont="1" applyFill="1" applyAlignment="1">
      <alignment horizontal="right"/>
    </xf>
    <xf numFmtId="0" fontId="8" fillId="0" borderId="2" xfId="0" applyFont="1" applyFill="1" applyBorder="1" applyAlignment="1">
      <alignment horizontal="center" wrapText="1"/>
    </xf>
    <xf numFmtId="43" fontId="8" fillId="0" borderId="2" xfId="7" applyNumberFormat="1" applyFont="1" applyFill="1" applyBorder="1" applyAlignment="1">
      <alignment horizontal="center" vertical="center" wrapText="1"/>
    </xf>
    <xf numFmtId="166" fontId="8" fillId="0" borderId="2" xfId="7" applyNumberFormat="1" applyFont="1" applyFill="1" applyBorder="1" applyAlignment="1">
      <alignment horizontal="center" vertical="center" wrapText="1"/>
    </xf>
    <xf numFmtId="0" fontId="7" fillId="0" borderId="2" xfId="0" applyFont="1" applyFill="1" applyBorder="1" applyAlignment="1">
      <alignment horizontal="center" wrapText="1"/>
    </xf>
    <xf numFmtId="43" fontId="7" fillId="0" borderId="2" xfId="7" applyNumberFormat="1" applyFont="1" applyFill="1" applyBorder="1" applyAlignment="1">
      <alignment horizontal="center" vertical="center" wrapText="1"/>
    </xf>
    <xf numFmtId="166" fontId="7" fillId="0" borderId="2" xfId="7" applyNumberFormat="1" applyFont="1" applyFill="1" applyBorder="1" applyAlignment="1">
      <alignment horizontal="left" vertical="top" wrapText="1"/>
    </xf>
    <xf numFmtId="43" fontId="8" fillId="3" borderId="2" xfId="7" applyNumberFormat="1" applyFont="1" applyFill="1" applyBorder="1" applyAlignment="1">
      <alignment horizontal="center" vertical="center" wrapText="1"/>
    </xf>
    <xf numFmtId="166" fontId="7" fillId="0" borderId="2" xfId="7" applyNumberFormat="1" applyFont="1" applyFill="1" applyBorder="1" applyAlignment="1">
      <alignment horizontal="center" vertical="center" wrapText="1"/>
    </xf>
    <xf numFmtId="166" fontId="7" fillId="0" borderId="2" xfId="7" applyNumberFormat="1" applyFont="1" applyFill="1" applyBorder="1" applyAlignment="1">
      <alignment horizontal="left" vertical="center" wrapText="1"/>
    </xf>
    <xf numFmtId="166" fontId="8" fillId="0" borderId="2" xfId="7" applyNumberFormat="1" applyFont="1" applyFill="1" applyBorder="1" applyAlignment="1">
      <alignment horizontal="left" vertical="center" wrapText="1"/>
    </xf>
    <xf numFmtId="0" fontId="7" fillId="0" borderId="2" xfId="0" applyFont="1" applyFill="1" applyBorder="1" applyAlignment="1">
      <alignment horizontal="center" vertical="center" wrapText="1"/>
    </xf>
    <xf numFmtId="166" fontId="7" fillId="0" borderId="2" xfId="0" applyNumberFormat="1" applyFont="1" applyFill="1" applyBorder="1" applyAlignment="1">
      <alignment horizontal="left" vertical="top" wrapText="1"/>
    </xf>
    <xf numFmtId="166" fontId="7" fillId="0" borderId="2" xfId="0" applyNumberFormat="1" applyFont="1" applyFill="1" applyBorder="1" applyAlignment="1">
      <alignment horizontal="left" wrapText="1"/>
    </xf>
    <xf numFmtId="43" fontId="7" fillId="0" borderId="0" xfId="5" applyFont="1" applyAlignment="1">
      <alignment vertical="center"/>
    </xf>
    <xf numFmtId="0" fontId="7" fillId="0" borderId="0" xfId="0" applyFont="1" applyFill="1" applyBorder="1" applyAlignment="1">
      <alignment horizontal="center" wrapText="1"/>
    </xf>
    <xf numFmtId="166" fontId="7" fillId="0" borderId="0" xfId="0" applyNumberFormat="1" applyFont="1" applyFill="1" applyBorder="1" applyAlignment="1">
      <alignment horizontal="left" vertical="top" wrapText="1"/>
    </xf>
    <xf numFmtId="0" fontId="8" fillId="0" borderId="0" xfId="0" applyFont="1" applyFill="1" applyBorder="1" applyAlignment="1">
      <alignment horizontal="left" vertical="center" wrapText="1"/>
    </xf>
    <xf numFmtId="0" fontId="8" fillId="0" borderId="0" xfId="0" applyFont="1" applyFill="1" applyBorder="1" applyAlignment="1">
      <alignment horizontal="center" vertical="center" wrapText="1"/>
    </xf>
    <xf numFmtId="166" fontId="8" fillId="0" borderId="0" xfId="7" applyNumberFormat="1" applyFont="1" applyFill="1" applyBorder="1" applyAlignment="1">
      <alignment horizontal="center" vertical="center" wrapText="1"/>
    </xf>
    <xf numFmtId="0" fontId="7" fillId="0" borderId="0" xfId="0" applyFont="1" applyBorder="1" applyAlignment="1">
      <alignment vertical="center"/>
    </xf>
    <xf numFmtId="43" fontId="7" fillId="0" borderId="0" xfId="5" applyFont="1" applyBorder="1" applyAlignment="1">
      <alignment vertical="center"/>
    </xf>
    <xf numFmtId="43" fontId="8" fillId="0" borderId="2" xfId="0" applyNumberFormat="1" applyFont="1" applyFill="1" applyBorder="1" applyAlignment="1">
      <alignment horizontal="left" vertical="center" wrapText="1"/>
    </xf>
    <xf numFmtId="166" fontId="8" fillId="0" borderId="2" xfId="0" applyNumberFormat="1" applyFont="1" applyFill="1" applyBorder="1" applyAlignment="1">
      <alignment horizontal="left" vertical="center" wrapText="1"/>
    </xf>
    <xf numFmtId="166" fontId="8" fillId="0" borderId="0" xfId="0" applyNumberFormat="1" applyFont="1" applyFill="1" applyBorder="1" applyAlignment="1">
      <alignment horizontal="left" vertical="center" wrapText="1"/>
    </xf>
    <xf numFmtId="0" fontId="8" fillId="0" borderId="0" xfId="0" applyFont="1" applyFill="1" applyAlignment="1">
      <alignment horizontal="left" vertical="center"/>
    </xf>
    <xf numFmtId="0" fontId="7" fillId="0" borderId="0" xfId="0" applyFont="1" applyFill="1" applyAlignment="1">
      <alignment horizontal="center" vertical="center"/>
    </xf>
    <xf numFmtId="0" fontId="7" fillId="0" borderId="0" xfId="0" applyFont="1" applyFill="1" applyAlignment="1">
      <alignment horizontal="center" vertical="center" wrapText="1"/>
    </xf>
    <xf numFmtId="43" fontId="7" fillId="13" borderId="2" xfId="5" applyFont="1" applyFill="1" applyBorder="1" applyAlignment="1">
      <alignment horizontal="right" vertical="center" wrapText="1"/>
    </xf>
    <xf numFmtId="43" fontId="7" fillId="14" borderId="2" xfId="5" applyFont="1" applyFill="1" applyBorder="1" applyAlignment="1">
      <alignment horizontal="right" vertical="center" wrapText="1"/>
    </xf>
    <xf numFmtId="43" fontId="7" fillId="15" borderId="2" xfId="5" applyFont="1" applyFill="1" applyBorder="1" applyAlignment="1">
      <alignment horizontal="right" vertical="center" wrapText="1"/>
    </xf>
    <xf numFmtId="166" fontId="7" fillId="13" borderId="2" xfId="7" applyNumberFormat="1" applyFont="1" applyFill="1" applyBorder="1" applyAlignment="1">
      <alignment horizontal="right" vertical="center" wrapText="1"/>
    </xf>
    <xf numFmtId="43" fontId="7" fillId="0" borderId="0" xfId="0" applyNumberFormat="1" applyFont="1" applyFill="1" applyAlignment="1">
      <alignment horizontal="left"/>
    </xf>
    <xf numFmtId="0" fontId="12" fillId="0" borderId="0" xfId="0" applyFont="1" applyAlignment="1">
      <alignment horizontal="left" readingOrder="1"/>
    </xf>
    <xf numFmtId="0" fontId="7" fillId="0" borderId="17" xfId="0" applyFont="1" applyBorder="1" applyAlignment="1">
      <alignment wrapText="1"/>
    </xf>
    <xf numFmtId="0" fontId="7" fillId="0" borderId="3" xfId="0" applyFont="1" applyBorder="1"/>
    <xf numFmtId="0" fontId="7" fillId="0" borderId="3" xfId="0" applyFont="1" applyBorder="1" applyAlignment="1">
      <alignment wrapText="1"/>
    </xf>
    <xf numFmtId="0" fontId="31" fillId="0" borderId="0" xfId="0" applyFont="1" applyAlignment="1">
      <alignment horizontal="left"/>
    </xf>
    <xf numFmtId="0" fontId="31" fillId="0" borderId="3" xfId="0" applyFont="1" applyBorder="1" applyAlignment="1">
      <alignment horizontal="left"/>
    </xf>
    <xf numFmtId="0" fontId="7" fillId="3" borderId="0" xfId="0" applyNumberFormat="1" applyFont="1" applyFill="1" applyBorder="1" applyAlignment="1">
      <alignment horizontal="right" vertical="center" wrapText="1"/>
    </xf>
    <xf numFmtId="0" fontId="7" fillId="3" borderId="0" xfId="0" applyNumberFormat="1" applyFont="1" applyFill="1" applyBorder="1" applyAlignment="1">
      <alignment vertical="center" wrapText="1"/>
    </xf>
    <xf numFmtId="0" fontId="7" fillId="3" borderId="8" xfId="0" applyNumberFormat="1" applyFont="1" applyFill="1" applyBorder="1" applyAlignment="1">
      <alignment horizontal="right" vertical="center" wrapText="1"/>
    </xf>
    <xf numFmtId="43" fontId="8" fillId="3" borderId="8" xfId="1" applyFont="1" applyFill="1" applyBorder="1" applyAlignment="1">
      <alignment horizontal="right" vertical="center" wrapText="1"/>
    </xf>
    <xf numFmtId="43" fontId="8" fillId="3" borderId="16" xfId="1" applyFont="1" applyFill="1" applyBorder="1" applyAlignment="1">
      <alignment horizontal="right" vertical="center" wrapText="1"/>
    </xf>
    <xf numFmtId="43" fontId="7" fillId="3" borderId="8" xfId="1" applyFont="1" applyFill="1" applyBorder="1" applyAlignment="1">
      <alignment horizontal="right" vertical="center" wrapText="1"/>
    </xf>
    <xf numFmtId="43" fontId="7" fillId="3" borderId="16" xfId="1" applyFont="1" applyFill="1" applyBorder="1" applyAlignment="1">
      <alignment horizontal="right" vertical="center" wrapText="1"/>
    </xf>
    <xf numFmtId="43" fontId="7" fillId="3" borderId="8" xfId="1" applyNumberFormat="1" applyFont="1" applyFill="1" applyBorder="1" applyAlignment="1">
      <alignment horizontal="right" vertical="center" wrapText="1"/>
    </xf>
    <xf numFmtId="0" fontId="7" fillId="3" borderId="0" xfId="0" applyNumberFormat="1" applyFont="1" applyFill="1" applyBorder="1" applyAlignment="1">
      <alignment horizontal="center" wrapText="1"/>
    </xf>
    <xf numFmtId="43" fontId="7" fillId="3" borderId="0" xfId="1" applyFont="1" applyFill="1" applyBorder="1" applyAlignment="1">
      <alignment wrapText="1"/>
    </xf>
    <xf numFmtId="166" fontId="7" fillId="3" borderId="0" xfId="1" applyNumberFormat="1" applyFont="1" applyFill="1" applyBorder="1" applyAlignment="1">
      <alignment vertical="center" wrapText="1"/>
    </xf>
    <xf numFmtId="0" fontId="7" fillId="3" borderId="0" xfId="0" applyNumberFormat="1" applyFont="1" applyFill="1" applyBorder="1" applyAlignment="1">
      <alignment wrapText="1"/>
    </xf>
    <xf numFmtId="0" fontId="7" fillId="3" borderId="0" xfId="0" applyNumberFormat="1" applyFont="1" applyFill="1" applyBorder="1" applyAlignment="1">
      <alignment horizontal="left" wrapText="1"/>
    </xf>
    <xf numFmtId="0" fontId="7" fillId="3" borderId="5" xfId="0" applyNumberFormat="1" applyFont="1" applyFill="1" applyBorder="1" applyAlignment="1">
      <alignment horizontal="right" vertical="center" wrapText="1"/>
    </xf>
    <xf numFmtId="0" fontId="7" fillId="3" borderId="5" xfId="0" applyNumberFormat="1" applyFont="1" applyFill="1" applyBorder="1" applyAlignment="1">
      <alignment horizontal="left" vertical="center" wrapText="1"/>
    </xf>
    <xf numFmtId="43" fontId="3" fillId="3" borderId="11" xfId="0" applyNumberFormat="1" applyFont="1" applyFill="1" applyBorder="1"/>
    <xf numFmtId="43" fontId="3" fillId="3" borderId="8" xfId="0" applyNumberFormat="1" applyFont="1" applyFill="1" applyBorder="1"/>
    <xf numFmtId="0" fontId="3" fillId="3" borderId="11" xfId="3" applyFont="1" applyFill="1" applyBorder="1" applyAlignment="1">
      <alignment horizontal="right"/>
    </xf>
    <xf numFmtId="0" fontId="3" fillId="3" borderId="0" xfId="3" applyFont="1" applyFill="1" applyBorder="1" applyAlignment="1">
      <alignment horizontal="right"/>
    </xf>
    <xf numFmtId="0" fontId="7" fillId="0" borderId="2" xfId="1" applyNumberFormat="1" applyFont="1" applyBorder="1"/>
    <xf numFmtId="43" fontId="7" fillId="0" borderId="0" xfId="1" applyFont="1" applyBorder="1" applyAlignment="1">
      <alignment horizontal="center" vertical="top" wrapText="1"/>
    </xf>
    <xf numFmtId="43" fontId="7" fillId="0" borderId="2" xfId="1" applyFont="1" applyBorder="1" applyAlignment="1">
      <alignment horizontal="center" vertical="center" wrapText="1"/>
    </xf>
    <xf numFmtId="164" fontId="8" fillId="2" borderId="12" xfId="5" applyNumberFormat="1" applyFont="1" applyFill="1" applyBorder="1" applyAlignment="1">
      <alignment horizontal="center"/>
    </xf>
    <xf numFmtId="43" fontId="8" fillId="2" borderId="2" xfId="5" applyFont="1" applyFill="1" applyBorder="1"/>
    <xf numFmtId="43" fontId="7" fillId="0" borderId="2" xfId="5" applyFont="1" applyBorder="1"/>
    <xf numFmtId="1" fontId="7" fillId="0" borderId="2" xfId="5" applyNumberFormat="1" applyFont="1" applyBorder="1"/>
    <xf numFmtId="43" fontId="3" fillId="3" borderId="11" xfId="3" applyNumberFormat="1" applyFont="1" applyFill="1" applyBorder="1"/>
    <xf numFmtId="43" fontId="7" fillId="0" borderId="11" xfId="5" applyFont="1" applyBorder="1"/>
    <xf numFmtId="1" fontId="7" fillId="0" borderId="11" xfId="5" applyNumberFormat="1" applyFont="1" applyBorder="1"/>
    <xf numFmtId="0" fontId="3" fillId="3" borderId="0" xfId="3" applyFont="1" applyFill="1" applyBorder="1"/>
    <xf numFmtId="43" fontId="3" fillId="3" borderId="0" xfId="3" applyNumberFormat="1" applyFont="1" applyFill="1" applyBorder="1"/>
    <xf numFmtId="43" fontId="7" fillId="0" borderId="10" xfId="5" applyFont="1" applyFill="1" applyBorder="1"/>
    <xf numFmtId="43" fontId="7" fillId="0" borderId="55" xfId="5" applyFont="1" applyFill="1" applyBorder="1"/>
    <xf numFmtId="43" fontId="7" fillId="0" borderId="11" xfId="5" applyFont="1" applyFill="1" applyBorder="1"/>
    <xf numFmtId="43" fontId="36" fillId="0" borderId="0" xfId="1" applyFont="1" applyAlignment="1">
      <alignment horizontal="left"/>
    </xf>
    <xf numFmtId="0" fontId="21" fillId="0" borderId="0" xfId="0" applyFont="1" applyAlignment="1"/>
    <xf numFmtId="0" fontId="21" fillId="0" borderId="0" xfId="0" applyFont="1" applyBorder="1" applyAlignment="1">
      <alignment horizontal="center"/>
    </xf>
    <xf numFmtId="0" fontId="2" fillId="0" borderId="0" xfId="0" applyFont="1" applyBorder="1" applyAlignment="1">
      <alignment horizontal="center"/>
    </xf>
    <xf numFmtId="0" fontId="66" fillId="0" borderId="35" xfId="0" applyFont="1" applyBorder="1" applyAlignment="1">
      <alignment horizontal="center"/>
    </xf>
    <xf numFmtId="0" fontId="66" fillId="0" borderId="35" xfId="0" applyFont="1" applyBorder="1" applyAlignment="1"/>
    <xf numFmtId="0" fontId="67" fillId="0" borderId="0" xfId="0" applyFont="1" applyBorder="1" applyAlignment="1"/>
    <xf numFmtId="43" fontId="25" fillId="0" borderId="0" xfId="5" applyFont="1" applyAlignment="1">
      <alignment horizontal="right" vertical="center"/>
    </xf>
    <xf numFmtId="0" fontId="12" fillId="7" borderId="2" xfId="0" applyNumberFormat="1" applyFont="1" applyFill="1" applyBorder="1" applyAlignment="1">
      <alignment horizontal="center" vertical="center" wrapText="1"/>
    </xf>
    <xf numFmtId="43" fontId="3" fillId="6" borderId="2" xfId="3" applyNumberFormat="1" applyFont="1" applyFill="1" applyBorder="1"/>
    <xf numFmtId="38" fontId="2" fillId="0" borderId="0" xfId="0" applyNumberFormat="1" applyFont="1"/>
    <xf numFmtId="170" fontId="7" fillId="10" borderId="0" xfId="5" applyNumberFormat="1" applyFont="1" applyFill="1" applyBorder="1"/>
    <xf numFmtId="170" fontId="7" fillId="10" borderId="14" xfId="5" applyNumberFormat="1" applyFont="1" applyFill="1" applyBorder="1"/>
    <xf numFmtId="0" fontId="3" fillId="10" borderId="2" xfId="1" applyNumberFormat="1" applyFont="1" applyFill="1" applyBorder="1" applyAlignment="1">
      <alignment horizontal="right"/>
    </xf>
    <xf numFmtId="0" fontId="3" fillId="10" borderId="0" xfId="1" applyNumberFormat="1" applyFont="1" applyFill="1" applyAlignment="1">
      <alignment horizontal="right"/>
    </xf>
    <xf numFmtId="0" fontId="3" fillId="10" borderId="0" xfId="1" applyNumberFormat="1" applyFont="1" applyFill="1" applyBorder="1" applyAlignment="1">
      <alignment horizontal="right"/>
    </xf>
    <xf numFmtId="0" fontId="13" fillId="2" borderId="2" xfId="1" applyNumberFormat="1" applyFont="1" applyFill="1" applyBorder="1" applyAlignment="1">
      <alignment vertical="center"/>
    </xf>
    <xf numFmtId="43" fontId="3" fillId="10" borderId="2" xfId="1" applyFont="1" applyFill="1" applyBorder="1" applyAlignment="1">
      <alignment horizontal="right"/>
    </xf>
    <xf numFmtId="43" fontId="3" fillId="0" borderId="0" xfId="1" applyFont="1" applyAlignment="1">
      <alignment horizontal="left"/>
    </xf>
    <xf numFmtId="43" fontId="3" fillId="0" borderId="0" xfId="1" applyNumberFormat="1" applyFont="1" applyAlignment="1">
      <alignment horizontal="left"/>
    </xf>
    <xf numFmtId="43" fontId="13" fillId="2" borderId="2" xfId="1" applyFont="1" applyFill="1" applyBorder="1" applyAlignment="1">
      <alignment horizontal="left" vertical="center" wrapText="1"/>
    </xf>
    <xf numFmtId="14" fontId="3" fillId="10" borderId="2" xfId="5" applyNumberFormat="1" applyFont="1" applyFill="1" applyBorder="1" applyAlignment="1">
      <alignment horizontal="left"/>
    </xf>
    <xf numFmtId="14" fontId="3" fillId="10" borderId="2" xfId="1" applyNumberFormat="1" applyFont="1" applyFill="1" applyBorder="1" applyAlignment="1">
      <alignment horizontal="left"/>
    </xf>
    <xf numFmtId="14" fontId="3" fillId="10" borderId="0" xfId="1" applyNumberFormat="1" applyFont="1" applyFill="1" applyAlignment="1">
      <alignment horizontal="left"/>
    </xf>
    <xf numFmtId="14" fontId="3" fillId="10" borderId="0" xfId="1" applyNumberFormat="1" applyFont="1" applyFill="1" applyBorder="1" applyAlignment="1">
      <alignment horizontal="left"/>
    </xf>
    <xf numFmtId="14" fontId="3" fillId="10" borderId="0" xfId="5" applyNumberFormat="1" applyFont="1" applyFill="1" applyBorder="1" applyAlignment="1">
      <alignment horizontal="left"/>
    </xf>
    <xf numFmtId="14" fontId="3" fillId="10" borderId="0" xfId="5" applyNumberFormat="1" applyFont="1" applyFill="1" applyAlignment="1">
      <alignment horizontal="left"/>
    </xf>
    <xf numFmtId="0" fontId="7" fillId="0" borderId="0" xfId="1" applyNumberFormat="1" applyFont="1" applyAlignment="1">
      <alignment vertical="center"/>
    </xf>
    <xf numFmtId="0" fontId="7" fillId="0" borderId="2" xfId="1" applyNumberFormat="1" applyFont="1" applyFill="1" applyBorder="1" applyAlignment="1">
      <alignment vertical="center"/>
    </xf>
    <xf numFmtId="0" fontId="7" fillId="0" borderId="2" xfId="1" applyNumberFormat="1" applyFont="1" applyFill="1" applyBorder="1"/>
    <xf numFmtId="0" fontId="3" fillId="8" borderId="0" xfId="0" applyFont="1" applyFill="1"/>
    <xf numFmtId="0" fontId="31" fillId="3" borderId="8" xfId="0" applyNumberFormat="1" applyFont="1" applyFill="1" applyBorder="1" applyAlignment="1">
      <alignment horizontal="center" vertical="center" wrapText="1"/>
    </xf>
    <xf numFmtId="0" fontId="31" fillId="3" borderId="16" xfId="0" applyNumberFormat="1" applyFont="1" applyFill="1" applyBorder="1" applyAlignment="1">
      <alignment horizontal="center" vertical="center" wrapText="1"/>
    </xf>
    <xf numFmtId="43" fontId="7" fillId="2" borderId="50" xfId="5" applyFont="1" applyFill="1" applyBorder="1" applyAlignment="1">
      <alignment vertical="center" wrapText="1"/>
    </xf>
    <xf numFmtId="43" fontId="7" fillId="2" borderId="44" xfId="5" applyFont="1" applyFill="1" applyBorder="1" applyAlignment="1">
      <alignment vertical="center" wrapText="1"/>
    </xf>
    <xf numFmtId="43" fontId="7" fillId="0" borderId="8" xfId="1" applyFont="1" applyBorder="1" applyAlignment="1">
      <alignment horizontal="center"/>
    </xf>
    <xf numFmtId="0" fontId="7" fillId="8" borderId="2" xfId="5" applyNumberFormat="1" applyFont="1" applyFill="1" applyBorder="1"/>
    <xf numFmtId="12" fontId="7" fillId="0" borderId="0" xfId="1" applyNumberFormat="1" applyFont="1"/>
    <xf numFmtId="43" fontId="7" fillId="0" borderId="2" xfId="0" applyNumberFormat="1" applyFont="1" applyFill="1" applyBorder="1" applyAlignment="1"/>
    <xf numFmtId="166" fontId="7" fillId="0" borderId="2" xfId="0" applyNumberFormat="1" applyFont="1" applyBorder="1"/>
    <xf numFmtId="166" fontId="7" fillId="0" borderId="2" xfId="0" applyNumberFormat="1" applyFont="1" applyBorder="1" applyAlignment="1">
      <alignment horizontal="left"/>
    </xf>
    <xf numFmtId="14" fontId="3" fillId="0" borderId="0" xfId="0" applyNumberFormat="1" applyFont="1"/>
    <xf numFmtId="14" fontId="3" fillId="5" borderId="2" xfId="0" applyNumberFormat="1" applyFont="1" applyFill="1" applyBorder="1" applyAlignment="1">
      <alignment horizontal="left" vertical="center"/>
    </xf>
    <xf numFmtId="0" fontId="3" fillId="5" borderId="2" xfId="0" applyFont="1" applyFill="1" applyBorder="1" applyAlignment="1">
      <alignment horizontal="left" vertical="center"/>
    </xf>
    <xf numFmtId="164" fontId="3" fillId="5" borderId="2" xfId="1" applyNumberFormat="1" applyFont="1" applyFill="1" applyBorder="1" applyAlignment="1">
      <alignment horizontal="left" vertical="center"/>
    </xf>
    <xf numFmtId="43" fontId="3" fillId="5" borderId="2" xfId="1" applyFont="1" applyFill="1" applyBorder="1" applyAlignment="1">
      <alignment horizontal="left" vertical="center"/>
    </xf>
    <xf numFmtId="14" fontId="3" fillId="0" borderId="2" xfId="0" applyNumberFormat="1" applyFont="1" applyBorder="1"/>
    <xf numFmtId="171" fontId="7" fillId="0" borderId="0" xfId="0" applyNumberFormat="1" applyFont="1"/>
    <xf numFmtId="43" fontId="8" fillId="0" borderId="0" xfId="0" applyNumberFormat="1" applyFont="1"/>
    <xf numFmtId="164" fontId="7" fillId="0" borderId="2" xfId="1" applyNumberFormat="1" applyFont="1" applyBorder="1" applyAlignment="1">
      <alignment horizontal="right"/>
    </xf>
    <xf numFmtId="43" fontId="7" fillId="0" borderId="2" xfId="0" applyNumberFormat="1" applyFont="1" applyFill="1" applyBorder="1" applyAlignment="1">
      <alignment horizontal="left"/>
    </xf>
    <xf numFmtId="0" fontId="7" fillId="0" borderId="0" xfId="0" applyNumberFormat="1" applyFont="1" applyBorder="1"/>
    <xf numFmtId="43" fontId="7" fillId="0" borderId="0" xfId="0" applyNumberFormat="1" applyFont="1" applyBorder="1"/>
    <xf numFmtId="43" fontId="3" fillId="2" borderId="2" xfId="1" applyFont="1" applyFill="1" applyBorder="1" applyAlignment="1">
      <alignment horizontal="left" vertical="center" wrapText="1"/>
    </xf>
    <xf numFmtId="43" fontId="71" fillId="4" borderId="2" xfId="1" applyFont="1" applyFill="1" applyBorder="1"/>
    <xf numFmtId="43" fontId="71" fillId="3" borderId="2" xfId="1" applyFont="1" applyFill="1" applyBorder="1"/>
    <xf numFmtId="0" fontId="3" fillId="10" borderId="2" xfId="1" applyNumberFormat="1" applyFont="1" applyFill="1" applyBorder="1" applyAlignment="1">
      <alignment horizontal="left"/>
    </xf>
    <xf numFmtId="43" fontId="7" fillId="2" borderId="2" xfId="1" applyFont="1" applyFill="1" applyBorder="1" applyAlignment="1">
      <alignment horizontal="left" vertical="center" wrapText="1"/>
    </xf>
    <xf numFmtId="164" fontId="8" fillId="0" borderId="2" xfId="1" applyNumberFormat="1" applyFont="1" applyBorder="1" applyAlignment="1">
      <alignment horizontal="center" wrapText="1"/>
    </xf>
    <xf numFmtId="43" fontId="8" fillId="0" borderId="2" xfId="1" applyFont="1" applyBorder="1" applyAlignment="1">
      <alignment horizontal="left" wrapText="1"/>
    </xf>
    <xf numFmtId="43" fontId="7" fillId="0" borderId="2" xfId="1" applyFont="1" applyBorder="1" applyAlignment="1">
      <alignment wrapText="1"/>
    </xf>
    <xf numFmtId="43" fontId="17" fillId="3" borderId="2" xfId="1" applyFont="1" applyFill="1" applyBorder="1"/>
    <xf numFmtId="9" fontId="3" fillId="0" borderId="0" xfId="5" applyNumberFormat="1" applyFont="1" applyFill="1" applyBorder="1"/>
    <xf numFmtId="43" fontId="3" fillId="0" borderId="0" xfId="5" applyNumberFormat="1" applyFont="1" applyFill="1" applyBorder="1"/>
    <xf numFmtId="43" fontId="13" fillId="0" borderId="2" xfId="1" applyFont="1" applyBorder="1" applyAlignment="1">
      <alignment horizontal="center" vertical="center"/>
    </xf>
    <xf numFmtId="43" fontId="24" fillId="0" borderId="0" xfId="1" applyFont="1" applyAlignment="1">
      <alignment horizontal="center" vertical="center"/>
    </xf>
    <xf numFmtId="43" fontId="29" fillId="0" borderId="0" xfId="1" applyFont="1" applyAlignment="1"/>
    <xf numFmtId="43" fontId="29" fillId="0" borderId="2" xfId="1" applyFont="1" applyBorder="1" applyAlignment="1">
      <alignment horizontal="center" vertical="center" wrapText="1"/>
    </xf>
    <xf numFmtId="43" fontId="24" fillId="0" borderId="2" xfId="1" applyFont="1" applyBorder="1" applyAlignment="1">
      <alignment wrapText="1"/>
    </xf>
    <xf numFmtId="43" fontId="24" fillId="0" borderId="2" xfId="1" applyFont="1" applyFill="1" applyBorder="1" applyAlignment="1">
      <alignment horizontal="center" vertical="center" wrapText="1"/>
    </xf>
    <xf numFmtId="43" fontId="29" fillId="0" borderId="2" xfId="1" applyFont="1" applyBorder="1" applyAlignment="1">
      <alignment wrapText="1"/>
    </xf>
    <xf numFmtId="43" fontId="29" fillId="0" borderId="0" xfId="1" applyFont="1" applyBorder="1" applyAlignment="1">
      <alignment wrapText="1"/>
    </xf>
    <xf numFmtId="43" fontId="3" fillId="0" borderId="2" xfId="1" applyFont="1" applyBorder="1" applyAlignment="1">
      <alignment horizontal="center" vertical="center" wrapText="1"/>
    </xf>
    <xf numFmtId="43" fontId="3" fillId="0" borderId="11" xfId="1" applyFont="1" applyBorder="1" applyAlignment="1">
      <alignment horizontal="center" vertical="center" wrapText="1"/>
    </xf>
    <xf numFmtId="43" fontId="24" fillId="0" borderId="0" xfId="1" applyFont="1" applyAlignment="1">
      <alignment vertical="center"/>
    </xf>
    <xf numFmtId="9" fontId="7" fillId="0" borderId="0" xfId="0" applyNumberFormat="1" applyFont="1"/>
    <xf numFmtId="43" fontId="8" fillId="0" borderId="2" xfId="1" applyFont="1" applyBorder="1" applyAlignment="1">
      <alignment horizontal="center" wrapText="1"/>
    </xf>
    <xf numFmtId="43" fontId="7" fillId="0" borderId="2" xfId="1" applyFont="1" applyBorder="1" applyAlignment="1">
      <alignment horizontal="center" vertical="center" wrapText="1"/>
    </xf>
    <xf numFmtId="43" fontId="3" fillId="8" borderId="2" xfId="1" applyFont="1" applyFill="1" applyBorder="1"/>
    <xf numFmtId="43" fontId="7" fillId="8" borderId="2" xfId="1" applyFont="1" applyFill="1" applyBorder="1"/>
    <xf numFmtId="43" fontId="13" fillId="0" borderId="0" xfId="0" applyNumberFormat="1" applyFont="1" applyFill="1" applyBorder="1" applyAlignment="1"/>
    <xf numFmtId="0" fontId="7" fillId="8" borderId="0" xfId="5" applyNumberFormat="1" applyFont="1" applyFill="1" applyBorder="1"/>
    <xf numFmtId="43" fontId="7" fillId="8" borderId="2" xfId="5" applyFont="1" applyFill="1" applyBorder="1"/>
    <xf numFmtId="0" fontId="7" fillId="8" borderId="2" xfId="0" applyFont="1" applyFill="1" applyBorder="1"/>
    <xf numFmtId="4" fontId="7" fillId="0" borderId="0" xfId="0" applyNumberFormat="1" applyFont="1"/>
    <xf numFmtId="0" fontId="25" fillId="0" borderId="2" xfId="0" applyFont="1" applyBorder="1" applyAlignment="1">
      <alignment horizontal="left" wrapText="1"/>
    </xf>
    <xf numFmtId="0" fontId="63" fillId="0" borderId="2" xfId="0" applyFont="1" applyBorder="1" applyAlignment="1">
      <alignment horizontal="left" wrapText="1"/>
    </xf>
    <xf numFmtId="0" fontId="63" fillId="0" borderId="2" xfId="0" applyFont="1" applyBorder="1" applyAlignment="1">
      <alignment horizontal="center" vertical="center" wrapText="1"/>
    </xf>
    <xf numFmtId="43" fontId="8" fillId="0" borderId="2" xfId="1" applyFont="1" applyBorder="1" applyAlignment="1">
      <alignment horizontal="center" wrapText="1"/>
    </xf>
    <xf numFmtId="43" fontId="7" fillId="0" borderId="2" xfId="1" applyFont="1" applyBorder="1" applyAlignment="1">
      <alignment horizontal="center" vertical="center" wrapText="1"/>
    </xf>
    <xf numFmtId="43" fontId="7" fillId="0" borderId="0" xfId="1" applyFont="1" applyBorder="1" applyAlignment="1">
      <alignment horizontal="center" vertical="top" wrapText="1"/>
    </xf>
    <xf numFmtId="164" fontId="7" fillId="0" borderId="0" xfId="1" applyNumberFormat="1" applyFont="1" applyAlignment="1">
      <alignment horizontal="left"/>
    </xf>
    <xf numFmtId="0" fontId="7" fillId="18" borderId="2" xfId="0" applyFont="1" applyFill="1" applyBorder="1" applyAlignment="1">
      <alignment horizontal="center" vertical="center"/>
    </xf>
    <xf numFmtId="14" fontId="7" fillId="18" borderId="2" xfId="0" applyNumberFormat="1" applyFont="1" applyFill="1" applyBorder="1" applyAlignment="1">
      <alignment horizontal="center"/>
    </xf>
    <xf numFmtId="43" fontId="7" fillId="18" borderId="2" xfId="1" applyFont="1" applyFill="1" applyBorder="1" applyAlignment="1">
      <alignment horizontal="center"/>
    </xf>
    <xf numFmtId="0" fontId="72" fillId="0" borderId="0" xfId="0" applyFont="1"/>
    <xf numFmtId="43" fontId="3" fillId="0" borderId="0" xfId="1" applyFont="1" applyFill="1" applyAlignment="1">
      <alignment wrapText="1"/>
    </xf>
    <xf numFmtId="43" fontId="3" fillId="10" borderId="0" xfId="1" applyFont="1" applyFill="1" applyAlignment="1">
      <alignment horizontal="right"/>
    </xf>
    <xf numFmtId="43" fontId="3" fillId="10" borderId="0" xfId="1" applyFont="1" applyFill="1" applyBorder="1" applyAlignment="1">
      <alignment horizontal="right"/>
    </xf>
    <xf numFmtId="43" fontId="3" fillId="10" borderId="0" xfId="1" applyFont="1" applyFill="1" applyBorder="1"/>
    <xf numFmtId="43" fontId="3" fillId="10" borderId="0" xfId="1" applyFont="1" applyFill="1"/>
    <xf numFmtId="0" fontId="3" fillId="10" borderId="2" xfId="5" applyNumberFormat="1" applyFont="1" applyFill="1" applyBorder="1" applyAlignment="1">
      <alignment horizontal="left"/>
    </xf>
    <xf numFmtId="0" fontId="3" fillId="10" borderId="2" xfId="1" applyNumberFormat="1" applyFont="1" applyFill="1" applyBorder="1"/>
    <xf numFmtId="43" fontId="8" fillId="0" borderId="2" xfId="1" applyFont="1" applyBorder="1" applyAlignment="1">
      <alignment horizontal="center" wrapText="1"/>
    </xf>
    <xf numFmtId="43" fontId="7" fillId="0" borderId="0" xfId="1" applyFont="1" applyBorder="1" applyAlignment="1">
      <alignment horizontal="center" vertical="top" wrapText="1"/>
    </xf>
    <xf numFmtId="43" fontId="7" fillId="0" borderId="2" xfId="1" applyFont="1" applyBorder="1" applyAlignment="1">
      <alignment horizontal="center" vertical="center" wrapText="1"/>
    </xf>
    <xf numFmtId="164" fontId="7" fillId="0" borderId="0" xfId="1" applyNumberFormat="1" applyFont="1" applyAlignment="1">
      <alignment horizontal="left"/>
    </xf>
    <xf numFmtId="43" fontId="73" fillId="3" borderId="0" xfId="0" applyNumberFormat="1" applyFont="1" applyFill="1"/>
    <xf numFmtId="0" fontId="63" fillId="0" borderId="0" xfId="0" applyFont="1" applyAlignment="1">
      <alignment horizontal="center"/>
    </xf>
    <xf numFmtId="0" fontId="63" fillId="0" borderId="2" xfId="0" applyFont="1" applyBorder="1" applyAlignment="1">
      <alignment horizontal="left" wrapText="1"/>
    </xf>
    <xf numFmtId="0" fontId="63" fillId="0" borderId="2" xfId="0" applyFont="1" applyBorder="1" applyAlignment="1">
      <alignment horizontal="center" vertical="center" wrapText="1"/>
    </xf>
    <xf numFmtId="0" fontId="25" fillId="0" borderId="2" xfId="0" applyFont="1" applyBorder="1" applyAlignment="1">
      <alignment horizontal="left" wrapText="1"/>
    </xf>
    <xf numFmtId="43" fontId="7" fillId="0" borderId="2" xfId="0" applyNumberFormat="1" applyFont="1" applyFill="1" applyBorder="1" applyAlignment="1">
      <alignment vertical="top"/>
    </xf>
    <xf numFmtId="4" fontId="7" fillId="0" borderId="2" xfId="0" applyNumberFormat="1" applyFont="1" applyFill="1" applyBorder="1" applyAlignment="1">
      <alignment vertical="top"/>
    </xf>
    <xf numFmtId="4" fontId="62" fillId="0" borderId="2" xfId="0" applyNumberFormat="1" applyFont="1" applyFill="1" applyBorder="1" applyAlignment="1">
      <alignment vertical="top"/>
    </xf>
    <xf numFmtId="43" fontId="7" fillId="0" borderId="0" xfId="1" applyFont="1" applyAlignment="1">
      <alignment vertical="top"/>
    </xf>
    <xf numFmtId="4" fontId="7" fillId="0" borderId="2" xfId="0" applyNumberFormat="1" applyFont="1" applyFill="1" applyBorder="1" applyAlignment="1">
      <alignment vertical="top" wrapText="1"/>
    </xf>
    <xf numFmtId="0" fontId="3" fillId="0" borderId="2" xfId="0" applyNumberFormat="1" applyFont="1" applyBorder="1"/>
    <xf numFmtId="0" fontId="3" fillId="3" borderId="12" xfId="3" applyFont="1" applyFill="1" applyBorder="1" applyAlignment="1">
      <alignment horizontal="center"/>
    </xf>
    <xf numFmtId="40" fontId="3" fillId="3" borderId="14" xfId="3" applyNumberFormat="1" applyFont="1" applyFill="1" applyBorder="1"/>
    <xf numFmtId="40" fontId="3" fillId="3" borderId="2" xfId="5" applyNumberFormat="1" applyFont="1" applyFill="1" applyBorder="1"/>
    <xf numFmtId="168" fontId="3" fillId="3" borderId="2" xfId="3" applyNumberFormat="1" applyFont="1" applyFill="1" applyBorder="1"/>
    <xf numFmtId="43" fontId="8" fillId="0" borderId="0" xfId="5" applyFont="1"/>
    <xf numFmtId="0" fontId="7" fillId="0" borderId="2" xfId="0" applyFont="1" applyFill="1" applyBorder="1" applyAlignment="1">
      <alignment horizontal="left" vertical="top" wrapText="1"/>
    </xf>
    <xf numFmtId="0" fontId="8" fillId="0" borderId="0" xfId="0" applyFont="1" applyFill="1" applyAlignment="1">
      <alignment horizontal="left"/>
    </xf>
    <xf numFmtId="0" fontId="8" fillId="0" borderId="2" xfId="0" applyFont="1" applyFill="1" applyBorder="1" applyAlignment="1">
      <alignment horizontal="center" vertical="center" wrapText="1"/>
    </xf>
    <xf numFmtId="0" fontId="7" fillId="0" borderId="2" xfId="0" applyFont="1" applyFill="1" applyBorder="1" applyAlignment="1">
      <alignment horizontal="left" vertical="center" wrapText="1"/>
    </xf>
    <xf numFmtId="0" fontId="7" fillId="0" borderId="2" xfId="0" applyFont="1" applyFill="1" applyBorder="1" applyAlignment="1">
      <alignment horizontal="left" wrapText="1"/>
    </xf>
    <xf numFmtId="0" fontId="12" fillId="0" borderId="2" xfId="0" applyFont="1" applyBorder="1" applyAlignment="1">
      <alignment horizontal="center" vertical="top" wrapText="1"/>
    </xf>
    <xf numFmtId="166" fontId="12" fillId="0" borderId="2" xfId="7" applyNumberFormat="1" applyFont="1" applyBorder="1" applyAlignment="1">
      <alignment vertical="top" wrapText="1"/>
    </xf>
    <xf numFmtId="0" fontId="12" fillId="0" borderId="2" xfId="0" applyFont="1" applyBorder="1" applyAlignment="1">
      <alignment vertical="top" wrapText="1"/>
    </xf>
    <xf numFmtId="0" fontId="11" fillId="0" borderId="2" xfId="0" applyFont="1" applyBorder="1" applyAlignment="1">
      <alignment vertical="top" wrapText="1"/>
    </xf>
    <xf numFmtId="0" fontId="11" fillId="0" borderId="2" xfId="0" applyFont="1" applyBorder="1" applyAlignment="1">
      <alignment horizontal="center" vertical="center" wrapText="1"/>
    </xf>
    <xf numFmtId="43" fontId="12" fillId="0" borderId="2" xfId="7" applyNumberFormat="1" applyFont="1" applyBorder="1" applyAlignment="1">
      <alignment vertical="top" wrapText="1"/>
    </xf>
    <xf numFmtId="0" fontId="11" fillId="0" borderId="2" xfId="0" applyFont="1" applyBorder="1" applyAlignment="1">
      <alignment horizontal="center" vertical="top" wrapText="1"/>
    </xf>
    <xf numFmtId="0" fontId="12" fillId="0" borderId="0" xfId="0" applyFont="1" applyBorder="1" applyAlignment="1"/>
    <xf numFmtId="0" fontId="31" fillId="0" borderId="0" xfId="0" applyFont="1" applyBorder="1"/>
    <xf numFmtId="43" fontId="31" fillId="0" borderId="0" xfId="5" applyFont="1" applyBorder="1"/>
    <xf numFmtId="43" fontId="11" fillId="19" borderId="2" xfId="0" applyNumberFormat="1" applyFont="1" applyFill="1" applyBorder="1" applyAlignment="1">
      <alignment vertical="center" wrapText="1"/>
    </xf>
    <xf numFmtId="166" fontId="12" fillId="0" borderId="2" xfId="1" applyNumberFormat="1" applyFont="1" applyBorder="1" applyAlignment="1">
      <alignment horizontal="center" vertical="center" wrapText="1"/>
    </xf>
    <xf numFmtId="43" fontId="12" fillId="0" borderId="2" xfId="0" applyNumberFormat="1" applyFont="1" applyBorder="1" applyAlignment="1">
      <alignment vertical="top" wrapText="1"/>
    </xf>
    <xf numFmtId="0" fontId="12" fillId="0" borderId="2" xfId="0" applyNumberFormat="1" applyFont="1" applyBorder="1" applyAlignment="1">
      <alignment horizontal="center" vertical="top" wrapText="1"/>
    </xf>
    <xf numFmtId="43" fontId="12" fillId="0" borderId="2" xfId="7" applyFont="1" applyBorder="1" applyAlignment="1">
      <alignment vertical="top" wrapText="1"/>
    </xf>
    <xf numFmtId="43" fontId="12" fillId="19" borderId="2" xfId="7" applyNumberFormat="1" applyFont="1" applyFill="1" applyBorder="1" applyAlignment="1">
      <alignment vertical="top" wrapText="1"/>
    </xf>
    <xf numFmtId="166" fontId="12" fillId="3" borderId="2" xfId="7" applyNumberFormat="1" applyFont="1" applyFill="1" applyBorder="1" applyAlignment="1">
      <alignment vertical="top" wrapText="1"/>
    </xf>
    <xf numFmtId="166" fontId="12" fillId="3" borderId="36" xfId="7" applyNumberFormat="1" applyFont="1" applyFill="1" applyBorder="1" applyAlignment="1">
      <alignment vertical="top" wrapText="1"/>
    </xf>
    <xf numFmtId="166" fontId="12" fillId="19" borderId="2" xfId="7" applyNumberFormat="1" applyFont="1" applyFill="1" applyBorder="1" applyAlignment="1">
      <alignment vertical="top" wrapText="1"/>
    </xf>
    <xf numFmtId="166" fontId="11" fillId="19" borderId="2" xfId="7" applyNumberFormat="1" applyFont="1" applyFill="1" applyBorder="1" applyAlignment="1">
      <alignment vertical="top" wrapText="1"/>
    </xf>
    <xf numFmtId="166" fontId="11" fillId="19" borderId="11" xfId="7" applyNumberFormat="1" applyFont="1" applyFill="1" applyBorder="1" applyAlignment="1">
      <alignment vertical="top" wrapText="1"/>
    </xf>
    <xf numFmtId="166" fontId="11" fillId="19" borderId="36" xfId="7" applyNumberFormat="1" applyFont="1" applyFill="1" applyBorder="1" applyAlignment="1">
      <alignment vertical="top" wrapText="1"/>
    </xf>
    <xf numFmtId="43" fontId="11" fillId="19" borderId="2" xfId="7" applyNumberFormat="1" applyFont="1" applyFill="1" applyBorder="1" applyAlignment="1">
      <alignment vertical="top" wrapText="1"/>
    </xf>
    <xf numFmtId="43" fontId="12" fillId="19" borderId="2" xfId="5" applyFont="1" applyFill="1" applyBorder="1" applyAlignment="1">
      <alignment vertical="top" wrapText="1"/>
    </xf>
    <xf numFmtId="43" fontId="12" fillId="19" borderId="2" xfId="1" applyFont="1" applyFill="1" applyBorder="1" applyAlignment="1">
      <alignment vertical="top" wrapText="1"/>
    </xf>
    <xf numFmtId="43" fontId="11" fillId="19" borderId="2" xfId="1" applyFont="1" applyFill="1" applyBorder="1" applyAlignment="1">
      <alignment vertical="top" wrapText="1"/>
    </xf>
    <xf numFmtId="43" fontId="12" fillId="3" borderId="2" xfId="1" applyFont="1" applyFill="1" applyBorder="1" applyAlignment="1">
      <alignment vertical="top" wrapText="1"/>
    </xf>
    <xf numFmtId="43" fontId="12" fillId="0" borderId="2" xfId="1" applyFont="1" applyBorder="1" applyAlignment="1">
      <alignment vertical="top" wrapText="1"/>
    </xf>
    <xf numFmtId="0" fontId="7" fillId="0" borderId="0" xfId="0" applyFont="1" applyFill="1" applyAlignment="1">
      <alignment horizontal="right"/>
    </xf>
    <xf numFmtId="0" fontId="7" fillId="0" borderId="0" xfId="0" applyFont="1" applyFill="1" applyBorder="1" applyAlignment="1">
      <alignment horizontal="left"/>
    </xf>
    <xf numFmtId="0" fontId="8" fillId="0" borderId="2" xfId="0" applyFont="1" applyFill="1" applyBorder="1" applyAlignment="1">
      <alignment horizontal="center" vertical="top" wrapText="1"/>
    </xf>
    <xf numFmtId="43" fontId="7" fillId="3" borderId="2" xfId="7" applyNumberFormat="1" applyFont="1" applyFill="1" applyBorder="1" applyAlignment="1">
      <alignment horizontal="center" vertical="center" wrapText="1"/>
    </xf>
    <xf numFmtId="43" fontId="7" fillId="19" borderId="2" xfId="5" applyFont="1" applyFill="1" applyBorder="1" applyAlignment="1">
      <alignment horizontal="right" vertical="center" wrapText="1"/>
    </xf>
    <xf numFmtId="0" fontId="7" fillId="0" borderId="3" xfId="0" applyFont="1" applyBorder="1" applyAlignment="1">
      <alignment horizontal="left"/>
    </xf>
    <xf numFmtId="0" fontId="33" fillId="0" borderId="0" xfId="0" applyFont="1"/>
    <xf numFmtId="0" fontId="8" fillId="0" borderId="0" xfId="0" applyFont="1" applyAlignment="1"/>
    <xf numFmtId="40" fontId="3" fillId="10" borderId="2" xfId="1" applyNumberFormat="1" applyFont="1" applyFill="1" applyBorder="1" applyAlignment="1">
      <alignment horizontal="right"/>
    </xf>
    <xf numFmtId="0" fontId="7" fillId="0" borderId="2" xfId="0" applyFont="1" applyBorder="1" applyAlignment="1">
      <alignment horizontal="left"/>
    </xf>
    <xf numFmtId="40" fontId="13" fillId="2" borderId="2" xfId="1" applyNumberFormat="1" applyFont="1" applyFill="1" applyBorder="1" applyAlignment="1">
      <alignment horizontal="center" vertical="center" wrapText="1"/>
    </xf>
    <xf numFmtId="40" fontId="3" fillId="0" borderId="2" xfId="1" applyNumberFormat="1" applyFont="1" applyBorder="1"/>
    <xf numFmtId="43" fontId="24" fillId="0" borderId="0" xfId="1" applyFont="1" applyAlignment="1"/>
    <xf numFmtId="43" fontId="24" fillId="0" borderId="0" xfId="1" applyFont="1"/>
    <xf numFmtId="0" fontId="7" fillId="0" borderId="2" xfId="0" applyFont="1" applyBorder="1" applyAlignment="1">
      <alignment horizontal="left"/>
    </xf>
    <xf numFmtId="43" fontId="7" fillId="0" borderId="0" xfId="1" applyFont="1" applyBorder="1" applyAlignment="1">
      <alignment horizontal="center" vertical="top" wrapText="1"/>
    </xf>
    <xf numFmtId="43" fontId="8" fillId="0" borderId="2" xfId="1" applyFont="1" applyBorder="1" applyAlignment="1">
      <alignment horizontal="center" wrapText="1"/>
    </xf>
    <xf numFmtId="43" fontId="7" fillId="0" borderId="2" xfId="1" applyFont="1" applyBorder="1" applyAlignment="1">
      <alignment horizontal="center" vertical="center" wrapText="1"/>
    </xf>
    <xf numFmtId="164" fontId="7" fillId="0" borderId="0" xfId="1" applyNumberFormat="1" applyFont="1" applyAlignment="1">
      <alignment horizontal="left"/>
    </xf>
    <xf numFmtId="0" fontId="3" fillId="10" borderId="2" xfId="1" applyNumberFormat="1" applyFont="1" applyFill="1" applyBorder="1" applyAlignment="1"/>
    <xf numFmtId="166" fontId="7" fillId="0" borderId="2" xfId="5" applyNumberFormat="1" applyFont="1" applyFill="1" applyBorder="1" applyAlignment="1">
      <alignment horizontal="right" vertical="center" wrapText="1"/>
    </xf>
    <xf numFmtId="166" fontId="3" fillId="3" borderId="2" xfId="5" applyNumberFormat="1" applyFont="1" applyFill="1" applyBorder="1"/>
    <xf numFmtId="166" fontId="3" fillId="0" borderId="2" xfId="5" applyNumberFormat="1" applyFont="1" applyBorder="1"/>
    <xf numFmtId="166" fontId="7" fillId="0" borderId="2" xfId="5" applyNumberFormat="1" applyFont="1" applyFill="1" applyBorder="1" applyAlignment="1">
      <alignment horizontal="right"/>
    </xf>
    <xf numFmtId="166" fontId="7" fillId="0" borderId="2" xfId="5" applyNumberFormat="1" applyFont="1" applyFill="1" applyBorder="1"/>
    <xf numFmtId="166" fontId="13" fillId="0" borderId="36" xfId="0" applyNumberFormat="1" applyFont="1" applyBorder="1"/>
    <xf numFmtId="166" fontId="3" fillId="3" borderId="2" xfId="3" applyNumberFormat="1" applyFont="1" applyFill="1" applyBorder="1"/>
    <xf numFmtId="166" fontId="13" fillId="0" borderId="2" xfId="0" applyNumberFormat="1" applyFont="1" applyBorder="1"/>
    <xf numFmtId="166" fontId="13" fillId="0" borderId="36" xfId="1" applyNumberFormat="1" applyFont="1" applyBorder="1"/>
    <xf numFmtId="166" fontId="7" fillId="0" borderId="2" xfId="1" applyNumberFormat="1" applyFont="1" applyBorder="1"/>
    <xf numFmtId="14" fontId="7" fillId="8" borderId="2" xfId="5" applyNumberFormat="1" applyFont="1" applyFill="1" applyBorder="1"/>
    <xf numFmtId="0" fontId="7" fillId="0" borderId="2" xfId="0" applyFont="1" applyBorder="1" applyAlignment="1">
      <alignment horizontal="left"/>
    </xf>
    <xf numFmtId="0" fontId="63" fillId="0" borderId="2" xfId="0" applyFont="1" applyBorder="1" applyAlignment="1">
      <alignment horizontal="left" wrapText="1"/>
    </xf>
    <xf numFmtId="0" fontId="25" fillId="0" borderId="2" xfId="0" applyFont="1" applyBorder="1" applyAlignment="1">
      <alignment horizontal="left" wrapText="1"/>
    </xf>
    <xf numFmtId="0" fontId="63" fillId="0" borderId="0" xfId="0" applyFont="1" applyAlignment="1">
      <alignment horizontal="center"/>
    </xf>
    <xf numFmtId="0" fontId="63" fillId="0" borderId="2" xfId="0" applyFont="1" applyBorder="1" applyAlignment="1">
      <alignment horizontal="center" vertical="center" wrapText="1"/>
    </xf>
    <xf numFmtId="43" fontId="3" fillId="3" borderId="2" xfId="5" applyNumberFormat="1" applyFont="1" applyFill="1" applyBorder="1"/>
    <xf numFmtId="43" fontId="7" fillId="8" borderId="0" xfId="0" applyNumberFormat="1" applyFont="1" applyFill="1"/>
    <xf numFmtId="0" fontId="13" fillId="0" borderId="0" xfId="0" applyFont="1" applyFill="1"/>
    <xf numFmtId="166" fontId="7" fillId="0" borderId="0" xfId="0" applyNumberFormat="1" applyFont="1"/>
    <xf numFmtId="40" fontId="3" fillId="10" borderId="2" xfId="1" applyNumberFormat="1" applyFont="1" applyFill="1" applyBorder="1"/>
    <xf numFmtId="43" fontId="3" fillId="0" borderId="0" xfId="0" applyNumberFormat="1" applyFont="1"/>
    <xf numFmtId="43" fontId="3" fillId="2" borderId="2" xfId="1" applyFont="1" applyFill="1" applyBorder="1" applyAlignment="1">
      <alignment horizontal="center"/>
    </xf>
    <xf numFmtId="43" fontId="8" fillId="2" borderId="12" xfId="5" applyFont="1" applyFill="1" applyBorder="1" applyAlignment="1">
      <alignment horizontal="center" vertical="top"/>
    </xf>
    <xf numFmtId="43" fontId="8" fillId="2" borderId="13" xfId="5" applyFont="1" applyFill="1" applyBorder="1" applyAlignment="1">
      <alignment horizontal="center" vertical="top"/>
    </xf>
    <xf numFmtId="43" fontId="8" fillId="2" borderId="14" xfId="5" applyFont="1" applyFill="1" applyBorder="1" applyAlignment="1">
      <alignment horizontal="center" vertical="top"/>
    </xf>
    <xf numFmtId="164" fontId="7" fillId="0" borderId="0" xfId="5" applyNumberFormat="1" applyFont="1" applyBorder="1" applyAlignment="1">
      <alignment horizontal="right"/>
    </xf>
    <xf numFmtId="43" fontId="8" fillId="2" borderId="2" xfId="1" applyFont="1" applyFill="1" applyBorder="1" applyAlignment="1">
      <alignment horizontal="center" vertical="center"/>
    </xf>
    <xf numFmtId="43" fontId="8" fillId="2" borderId="2" xfId="5" applyFont="1" applyFill="1" applyBorder="1" applyAlignment="1">
      <alignment horizontal="center" vertical="center"/>
    </xf>
    <xf numFmtId="43" fontId="7" fillId="2" borderId="37" xfId="1" applyFont="1" applyFill="1" applyBorder="1" applyAlignment="1">
      <alignment horizontal="center" vertical="center"/>
    </xf>
    <xf numFmtId="43" fontId="7" fillId="2" borderId="38" xfId="1" applyFont="1" applyFill="1" applyBorder="1" applyAlignment="1">
      <alignment horizontal="center" vertical="center"/>
    </xf>
    <xf numFmtId="43" fontId="7" fillId="2" borderId="11" xfId="1" applyFont="1" applyFill="1" applyBorder="1" applyAlignment="1">
      <alignment horizontal="center" vertical="center"/>
    </xf>
    <xf numFmtId="43" fontId="7" fillId="2" borderId="36" xfId="1" applyFont="1" applyFill="1" applyBorder="1" applyAlignment="1">
      <alignment horizontal="center" vertical="center"/>
    </xf>
    <xf numFmtId="164" fontId="3" fillId="2" borderId="11" xfId="5" applyNumberFormat="1" applyFont="1" applyFill="1" applyBorder="1" applyAlignment="1">
      <alignment horizontal="center" vertical="center" wrapText="1"/>
    </xf>
    <xf numFmtId="164" fontId="3" fillId="2" borderId="36" xfId="5" applyNumberFormat="1" applyFont="1" applyFill="1" applyBorder="1" applyAlignment="1">
      <alignment horizontal="center" vertical="center" wrapText="1"/>
    </xf>
    <xf numFmtId="0" fontId="3" fillId="2" borderId="11" xfId="5" applyNumberFormat="1" applyFont="1" applyFill="1" applyBorder="1" applyAlignment="1">
      <alignment horizontal="center" vertical="center" wrapText="1"/>
    </xf>
    <xf numFmtId="0" fontId="3" fillId="2" borderId="36" xfId="5" applyNumberFormat="1" applyFont="1" applyFill="1" applyBorder="1" applyAlignment="1">
      <alignment horizontal="center" vertical="center" wrapText="1"/>
    </xf>
    <xf numFmtId="0" fontId="7" fillId="2" borderId="41" xfId="1" applyNumberFormat="1" applyFont="1" applyFill="1" applyBorder="1" applyAlignment="1">
      <alignment horizontal="center" vertical="center"/>
    </xf>
    <xf numFmtId="0" fontId="7" fillId="2" borderId="42" xfId="1" applyNumberFormat="1" applyFont="1" applyFill="1" applyBorder="1" applyAlignment="1">
      <alignment horizontal="center" vertical="center"/>
    </xf>
    <xf numFmtId="43" fontId="7" fillId="2" borderId="39" xfId="1" applyFont="1" applyFill="1" applyBorder="1" applyAlignment="1">
      <alignment horizontal="center" vertical="center"/>
    </xf>
    <xf numFmtId="43" fontId="7" fillId="2" borderId="40" xfId="1" applyFont="1" applyFill="1" applyBorder="1" applyAlignment="1">
      <alignment horizontal="center" vertical="center"/>
    </xf>
    <xf numFmtId="0" fontId="3" fillId="2" borderId="2" xfId="0" applyFont="1" applyFill="1" applyBorder="1" applyAlignment="1">
      <alignment horizontal="center"/>
    </xf>
    <xf numFmtId="0" fontId="7" fillId="2" borderId="2" xfId="0" applyNumberFormat="1" applyFont="1" applyFill="1" applyBorder="1" applyAlignment="1">
      <alignment horizontal="center"/>
    </xf>
    <xf numFmtId="43" fontId="3" fillId="0" borderId="12" xfId="1" applyFont="1" applyBorder="1" applyAlignment="1">
      <alignment horizontal="left"/>
    </xf>
    <xf numFmtId="43" fontId="3" fillId="0" borderId="14" xfId="1" applyFont="1" applyBorder="1" applyAlignment="1">
      <alignment horizontal="left"/>
    </xf>
    <xf numFmtId="43" fontId="3" fillId="0" borderId="12" xfId="1" applyFont="1" applyBorder="1" applyAlignment="1">
      <alignment horizontal="center"/>
    </xf>
    <xf numFmtId="43" fontId="3" fillId="0" borderId="14" xfId="1" applyFont="1" applyBorder="1" applyAlignment="1">
      <alignment horizontal="center"/>
    </xf>
    <xf numFmtId="43" fontId="7" fillId="0" borderId="12" xfId="5" applyFont="1" applyFill="1" applyBorder="1" applyAlignment="1">
      <alignment horizontal="center" vertical="center"/>
    </xf>
    <xf numFmtId="43" fontId="7" fillId="0" borderId="14" xfId="5" applyFont="1" applyFill="1" applyBorder="1" applyAlignment="1">
      <alignment horizontal="center" vertical="center"/>
    </xf>
    <xf numFmtId="43" fontId="7" fillId="0" borderId="11" xfId="5" applyFont="1" applyFill="1" applyBorder="1" applyAlignment="1">
      <alignment horizontal="center" vertical="center"/>
    </xf>
    <xf numFmtId="43" fontId="7" fillId="0" borderId="36" xfId="5" applyFont="1" applyFill="1" applyBorder="1" applyAlignment="1">
      <alignment horizontal="center" vertical="center"/>
    </xf>
    <xf numFmtId="43" fontId="7" fillId="0" borderId="11" xfId="5" applyFont="1" applyFill="1" applyBorder="1" applyAlignment="1">
      <alignment horizontal="center" vertical="center" wrapText="1"/>
    </xf>
    <xf numFmtId="43" fontId="7" fillId="0" borderId="36" xfId="5" applyFont="1" applyFill="1" applyBorder="1" applyAlignment="1">
      <alignment horizontal="center" vertical="center" wrapText="1"/>
    </xf>
    <xf numFmtId="0" fontId="13" fillId="0" borderId="12" xfId="0" applyFont="1" applyBorder="1" applyAlignment="1">
      <alignment horizontal="center"/>
    </xf>
    <xf numFmtId="0" fontId="13" fillId="0" borderId="13" xfId="0" applyFont="1" applyBorder="1" applyAlignment="1">
      <alignment horizontal="center"/>
    </xf>
    <xf numFmtId="0" fontId="13" fillId="0" borderId="14" xfId="0" applyFont="1" applyBorder="1" applyAlignment="1">
      <alignment horizontal="center"/>
    </xf>
    <xf numFmtId="0" fontId="13" fillId="0" borderId="11" xfId="0" applyFont="1" applyFill="1" applyBorder="1" applyAlignment="1">
      <alignment horizontal="center" vertical="center"/>
    </xf>
    <xf numFmtId="0" fontId="13" fillId="0" borderId="36" xfId="0" applyFont="1" applyFill="1" applyBorder="1" applyAlignment="1">
      <alignment horizontal="center" vertical="center"/>
    </xf>
    <xf numFmtId="0" fontId="3" fillId="0" borderId="11" xfId="0" applyFont="1" applyFill="1" applyBorder="1" applyAlignment="1">
      <alignment horizontal="center" vertical="center"/>
    </xf>
    <xf numFmtId="0" fontId="3" fillId="0" borderId="36" xfId="0" applyFont="1" applyFill="1" applyBorder="1" applyAlignment="1">
      <alignment horizontal="center" vertical="center"/>
    </xf>
    <xf numFmtId="0" fontId="3" fillId="0" borderId="11" xfId="0" applyFont="1" applyFill="1" applyBorder="1" applyAlignment="1">
      <alignment horizontal="center" vertical="center" wrapText="1"/>
    </xf>
    <xf numFmtId="0" fontId="3" fillId="0" borderId="36" xfId="0" applyFont="1" applyFill="1" applyBorder="1" applyAlignment="1">
      <alignment horizontal="center" vertical="center" wrapText="1"/>
    </xf>
    <xf numFmtId="0" fontId="13" fillId="0" borderId="2" xfId="0" applyFont="1" applyBorder="1" applyAlignment="1">
      <alignment horizontal="center"/>
    </xf>
    <xf numFmtId="14" fontId="7" fillId="18" borderId="12" xfId="0" applyNumberFormat="1" applyFont="1" applyFill="1" applyBorder="1" applyAlignment="1">
      <alignment horizontal="center" vertical="center"/>
    </xf>
    <xf numFmtId="14" fontId="7" fillId="18" borderId="14" xfId="0" applyNumberFormat="1" applyFont="1" applyFill="1" applyBorder="1" applyAlignment="1">
      <alignment horizontal="center" vertical="center"/>
    </xf>
    <xf numFmtId="43" fontId="7" fillId="18" borderId="12" xfId="1" applyFont="1" applyFill="1" applyBorder="1" applyAlignment="1">
      <alignment horizontal="center" vertical="center"/>
    </xf>
    <xf numFmtId="43" fontId="7" fillId="18" borderId="14" xfId="1" applyFont="1" applyFill="1" applyBorder="1" applyAlignment="1">
      <alignment horizontal="center" vertical="center"/>
    </xf>
    <xf numFmtId="14" fontId="7" fillId="0" borderId="12" xfId="0" applyNumberFormat="1" applyFont="1" applyBorder="1" applyAlignment="1">
      <alignment horizontal="center"/>
    </xf>
    <xf numFmtId="14" fontId="7" fillId="0" borderId="14" xfId="0" applyNumberFormat="1" applyFont="1" applyBorder="1" applyAlignment="1">
      <alignment horizontal="center"/>
    </xf>
    <xf numFmtId="0" fontId="13" fillId="0" borderId="38" xfId="0" applyFont="1" applyBorder="1" applyAlignment="1">
      <alignment horizontal="center"/>
    </xf>
    <xf numFmtId="0" fontId="13" fillId="0" borderId="43" xfId="0" applyFont="1" applyBorder="1" applyAlignment="1">
      <alignment horizontal="center"/>
    </xf>
    <xf numFmtId="4" fontId="3" fillId="2" borderId="2" xfId="3" applyNumberFormat="1" applyFont="1" applyFill="1" applyBorder="1" applyAlignment="1">
      <alignment horizontal="center"/>
    </xf>
    <xf numFmtId="0" fontId="65" fillId="3" borderId="0" xfId="0" applyNumberFormat="1" applyFont="1" applyFill="1" applyBorder="1" applyAlignment="1">
      <alignment horizontal="center" vertical="center"/>
    </xf>
    <xf numFmtId="0" fontId="7" fillId="3" borderId="0" xfId="0" applyNumberFormat="1" applyFont="1" applyFill="1" applyBorder="1" applyAlignment="1">
      <alignment horizontal="right" wrapText="1"/>
    </xf>
    <xf numFmtId="0" fontId="7" fillId="3" borderId="8" xfId="0" applyNumberFormat="1" applyFont="1" applyFill="1" applyBorder="1" applyAlignment="1">
      <alignment horizontal="left" vertical="center" wrapText="1"/>
    </xf>
    <xf numFmtId="0" fontId="7" fillId="3" borderId="8" xfId="0" applyNumberFormat="1" applyFont="1" applyFill="1" applyBorder="1" applyAlignment="1">
      <alignment horizontal="left" vertical="center" wrapText="1" indent="1"/>
    </xf>
    <xf numFmtId="0" fontId="8" fillId="3" borderId="8" xfId="0" applyNumberFormat="1" applyFont="1" applyFill="1" applyBorder="1" applyAlignment="1">
      <alignment horizontal="left" vertical="center" wrapText="1"/>
    </xf>
    <xf numFmtId="0" fontId="7" fillId="3" borderId="5" xfId="0" applyNumberFormat="1" applyFont="1" applyFill="1" applyBorder="1" applyAlignment="1">
      <alignment horizontal="left" vertical="center" wrapText="1"/>
    </xf>
    <xf numFmtId="49" fontId="7" fillId="3" borderId="8" xfId="0" applyNumberFormat="1" applyFont="1" applyFill="1" applyBorder="1" applyAlignment="1">
      <alignment horizontal="left" vertical="center" wrapText="1"/>
    </xf>
    <xf numFmtId="49" fontId="7" fillId="3" borderId="8" xfId="0" applyNumberFormat="1" applyFont="1" applyFill="1" applyBorder="1" applyAlignment="1">
      <alignment horizontal="left" vertical="center" wrapText="1" indent="11"/>
    </xf>
    <xf numFmtId="0" fontId="8" fillId="3" borderId="3" xfId="0" applyNumberFormat="1" applyFont="1" applyFill="1" applyBorder="1" applyAlignment="1">
      <alignment horizontal="left" indent="2"/>
    </xf>
    <xf numFmtId="0" fontId="7" fillId="3" borderId="4" xfId="0" applyNumberFormat="1" applyFont="1" applyFill="1" applyBorder="1" applyAlignment="1">
      <alignment horizontal="left" vertical="center" wrapText="1"/>
    </xf>
    <xf numFmtId="0" fontId="7" fillId="3" borderId="0" xfId="0" applyNumberFormat="1" applyFont="1" applyFill="1" applyBorder="1" applyAlignment="1">
      <alignment horizontal="right" vertical="center" wrapText="1"/>
    </xf>
    <xf numFmtId="0" fontId="7" fillId="3" borderId="8" xfId="0" applyNumberFormat="1" applyFont="1" applyFill="1" applyBorder="1" applyAlignment="1">
      <alignment horizontal="center" vertical="center" wrapText="1"/>
    </xf>
    <xf numFmtId="0" fontId="12" fillId="3" borderId="0" xfId="0" applyNumberFormat="1" applyFont="1" applyFill="1" applyBorder="1" applyAlignment="1">
      <alignment horizontal="right" wrapText="1"/>
    </xf>
    <xf numFmtId="0" fontId="3" fillId="3" borderId="2" xfId="0" applyNumberFormat="1" applyFont="1" applyFill="1" applyBorder="1" applyAlignment="1">
      <alignment horizontal="left" vertical="center" wrapText="1"/>
    </xf>
    <xf numFmtId="0" fontId="13" fillId="3" borderId="2" xfId="0" applyNumberFormat="1" applyFont="1" applyFill="1" applyBorder="1" applyAlignment="1">
      <alignment horizontal="left" vertical="center" wrapText="1"/>
    </xf>
    <xf numFmtId="0" fontId="11" fillId="3" borderId="2" xfId="0" applyNumberFormat="1" applyFont="1" applyFill="1" applyBorder="1" applyAlignment="1">
      <alignment horizontal="left" vertical="center" wrapText="1"/>
    </xf>
    <xf numFmtId="0" fontId="12" fillId="3" borderId="2" xfId="0" applyNumberFormat="1" applyFont="1" applyFill="1" applyBorder="1" applyAlignment="1">
      <alignment horizontal="left" vertical="center" wrapText="1"/>
    </xf>
    <xf numFmtId="0" fontId="13" fillId="3" borderId="3" xfId="0" applyNumberFormat="1" applyFont="1" applyFill="1" applyBorder="1" applyAlignment="1">
      <alignment horizontal="left" indent="2"/>
    </xf>
    <xf numFmtId="0" fontId="68" fillId="3" borderId="0" xfId="0" applyNumberFormat="1" applyFont="1" applyFill="1" applyBorder="1" applyAlignment="1">
      <alignment horizontal="center" vertical="center" wrapText="1"/>
    </xf>
    <xf numFmtId="0" fontId="12" fillId="3" borderId="4" xfId="0" applyNumberFormat="1" applyFont="1" applyFill="1" applyBorder="1" applyAlignment="1">
      <alignment horizontal="left" vertical="center" wrapText="1"/>
    </xf>
    <xf numFmtId="0" fontId="12" fillId="7" borderId="2" xfId="0" applyNumberFormat="1" applyFont="1" applyFill="1" applyBorder="1" applyAlignment="1">
      <alignment horizontal="center" vertical="center" wrapText="1"/>
    </xf>
    <xf numFmtId="0" fontId="12" fillId="3" borderId="0" xfId="0" applyNumberFormat="1" applyFont="1" applyFill="1" applyBorder="1" applyAlignment="1">
      <alignment horizontal="left" wrapText="1"/>
    </xf>
    <xf numFmtId="0" fontId="12" fillId="3" borderId="0" xfId="0" applyNumberFormat="1" applyFont="1" applyFill="1" applyBorder="1" applyAlignment="1">
      <alignment horizontal="center" wrapText="1"/>
    </xf>
    <xf numFmtId="0" fontId="12" fillId="3" borderId="9" xfId="0" applyNumberFormat="1" applyFont="1" applyFill="1" applyBorder="1" applyAlignment="1">
      <alignment horizontal="left" vertical="center" wrapText="1"/>
    </xf>
    <xf numFmtId="0" fontId="3" fillId="3" borderId="2" xfId="0" applyNumberFormat="1" applyFont="1" applyFill="1" applyBorder="1" applyAlignment="1">
      <alignment horizontal="left" vertical="center" wrapText="1" indent="2"/>
    </xf>
    <xf numFmtId="14" fontId="7" fillId="18" borderId="12" xfId="0" applyNumberFormat="1" applyFont="1" applyFill="1" applyBorder="1" applyAlignment="1">
      <alignment horizontal="center"/>
    </xf>
    <xf numFmtId="14" fontId="7" fillId="18" borderId="14" xfId="0" applyNumberFormat="1" applyFont="1" applyFill="1" applyBorder="1" applyAlignment="1">
      <alignment horizontal="center"/>
    </xf>
    <xf numFmtId="43" fontId="7" fillId="18" borderId="12" xfId="1" applyFont="1" applyFill="1" applyBorder="1" applyAlignment="1">
      <alignment horizontal="center"/>
    </xf>
    <xf numFmtId="43" fontId="7" fillId="18" borderId="14" xfId="1" applyFont="1" applyFill="1" applyBorder="1" applyAlignment="1">
      <alignment horizontal="center"/>
    </xf>
    <xf numFmtId="0" fontId="7" fillId="0" borderId="2" xfId="0" applyFont="1" applyFill="1" applyBorder="1" applyAlignment="1">
      <alignment horizontal="left" vertical="center" wrapText="1"/>
    </xf>
    <xf numFmtId="0" fontId="7" fillId="0" borderId="2" xfId="0" applyFont="1" applyFill="1" applyBorder="1" applyAlignment="1">
      <alignment horizontal="left" vertical="center" wrapText="1" indent="1"/>
    </xf>
    <xf numFmtId="0" fontId="7" fillId="0" borderId="2" xfId="0" applyFont="1" applyFill="1" applyBorder="1" applyAlignment="1">
      <alignment horizontal="left" vertical="top" wrapText="1"/>
    </xf>
    <xf numFmtId="0" fontId="7" fillId="0" borderId="2" xfId="0" applyFont="1" applyFill="1" applyBorder="1" applyAlignment="1">
      <alignment horizontal="left" wrapText="1"/>
    </xf>
    <xf numFmtId="0" fontId="8" fillId="0" borderId="2" xfId="0" applyFont="1" applyFill="1" applyBorder="1" applyAlignment="1">
      <alignment horizontal="left" vertical="center" wrapText="1"/>
    </xf>
    <xf numFmtId="0" fontId="8" fillId="0" borderId="0" xfId="0" applyFont="1" applyFill="1" applyBorder="1" applyAlignment="1">
      <alignment horizontal="left" vertical="top" wrapText="1"/>
    </xf>
    <xf numFmtId="0" fontId="8" fillId="0" borderId="0" xfId="0" applyFont="1" applyFill="1" applyAlignment="1">
      <alignment horizontal="left" vertical="top" wrapText="1"/>
    </xf>
    <xf numFmtId="0" fontId="74" fillId="0" borderId="17" xfId="0" applyFont="1" applyFill="1" applyBorder="1" applyAlignment="1">
      <alignment horizontal="center"/>
    </xf>
    <xf numFmtId="0" fontId="7" fillId="0" borderId="12" xfId="0" applyFont="1" applyFill="1" applyBorder="1" applyAlignment="1">
      <alignment horizontal="left" vertical="center" wrapText="1"/>
    </xf>
    <xf numFmtId="0" fontId="7" fillId="0" borderId="13" xfId="0" applyFont="1" applyFill="1" applyBorder="1" applyAlignment="1">
      <alignment horizontal="left" vertical="center" wrapText="1"/>
    </xf>
    <xf numFmtId="0" fontId="7" fillId="0" borderId="14" xfId="0" applyFont="1" applyFill="1" applyBorder="1" applyAlignment="1">
      <alignment horizontal="left" vertical="center" wrapText="1"/>
    </xf>
    <xf numFmtId="0" fontId="7" fillId="0" borderId="2" xfId="0" applyFont="1" applyFill="1" applyBorder="1" applyAlignment="1">
      <alignment horizontal="center" vertical="top" wrapText="1"/>
    </xf>
    <xf numFmtId="0" fontId="7" fillId="0" borderId="2" xfId="0" applyFont="1" applyFill="1" applyBorder="1" applyAlignment="1">
      <alignment horizontal="left" vertical="top" wrapText="1" shrinkToFit="1"/>
    </xf>
    <xf numFmtId="0" fontId="8" fillId="0" borderId="2" xfId="0" applyFont="1" applyFill="1" applyBorder="1" applyAlignment="1">
      <alignment horizontal="center" vertical="center" wrapText="1"/>
    </xf>
    <xf numFmtId="0" fontId="7" fillId="0" borderId="2" xfId="0" applyFont="1" applyFill="1" applyBorder="1" applyAlignment="1">
      <alignment horizontal="center" vertical="center" textRotation="90" wrapText="1"/>
    </xf>
    <xf numFmtId="0" fontId="34" fillId="0" borderId="17" xfId="0" applyFont="1" applyFill="1" applyBorder="1" applyAlignment="1">
      <alignment horizontal="center"/>
    </xf>
    <xf numFmtId="0" fontId="36" fillId="0" borderId="0" xfId="0" applyFont="1" applyFill="1" applyAlignment="1">
      <alignment horizontal="center"/>
    </xf>
    <xf numFmtId="0" fontId="8" fillId="0" borderId="0" xfId="0" applyFont="1" applyFill="1" applyAlignment="1">
      <alignment horizontal="left"/>
    </xf>
    <xf numFmtId="0" fontId="74" fillId="0" borderId="0" xfId="0" applyFont="1" applyFill="1" applyBorder="1" applyAlignment="1">
      <alignment horizontal="center"/>
    </xf>
    <xf numFmtId="0" fontId="13" fillId="0" borderId="0" xfId="0" applyFont="1" applyAlignment="1">
      <alignment horizontal="left" wrapText="1"/>
    </xf>
    <xf numFmtId="0" fontId="29" fillId="0" borderId="0" xfId="0" applyFont="1" applyAlignment="1">
      <alignment horizontal="center"/>
    </xf>
    <xf numFmtId="0" fontId="29" fillId="0" borderId="2" xfId="0" applyFont="1" applyBorder="1" applyAlignment="1">
      <alignment vertical="top" wrapText="1"/>
    </xf>
    <xf numFmtId="0" fontId="24" fillId="0" borderId="2" xfId="0" applyFont="1" applyBorder="1" applyAlignment="1">
      <alignment horizontal="center" vertical="center" textRotation="90" wrapText="1"/>
    </xf>
    <xf numFmtId="0" fontId="29" fillId="0" borderId="2" xfId="0" applyFont="1" applyBorder="1" applyAlignment="1">
      <alignment horizontal="center" vertical="center" wrapText="1"/>
    </xf>
    <xf numFmtId="0" fontId="13" fillId="0" borderId="2" xfId="0" applyFont="1" applyBorder="1" applyAlignment="1">
      <alignment horizontal="center" vertical="center" wrapText="1"/>
    </xf>
    <xf numFmtId="0" fontId="3" fillId="0" borderId="11" xfId="0" applyFont="1" applyBorder="1" applyAlignment="1">
      <alignment horizontal="center" vertical="center" textRotation="90" wrapText="1"/>
    </xf>
    <xf numFmtId="0" fontId="3" fillId="0" borderId="51" xfId="0" applyFont="1" applyBorder="1" applyAlignment="1">
      <alignment horizontal="center" vertical="center" textRotation="90" wrapText="1"/>
    </xf>
    <xf numFmtId="0" fontId="12" fillId="0" borderId="2" xfId="0" applyFont="1" applyBorder="1" applyAlignment="1">
      <alignment vertical="top" wrapText="1"/>
    </xf>
    <xf numFmtId="0" fontId="11" fillId="19" borderId="2" xfId="0" applyFont="1" applyFill="1" applyBorder="1" applyAlignment="1">
      <alignment vertical="top" wrapText="1"/>
    </xf>
    <xf numFmtId="0" fontId="12" fillId="0" borderId="11" xfId="0" applyFont="1" applyBorder="1" applyAlignment="1">
      <alignment horizontal="center" vertical="top" wrapText="1"/>
    </xf>
    <xf numFmtId="0" fontId="12" fillId="0" borderId="36" xfId="0" applyFont="1" applyBorder="1" applyAlignment="1">
      <alignment horizontal="center" vertical="top" wrapText="1"/>
    </xf>
    <xf numFmtId="0" fontId="11" fillId="0" borderId="2" xfId="0" applyFont="1" applyBorder="1" applyAlignment="1">
      <alignment vertical="top" wrapText="1"/>
    </xf>
    <xf numFmtId="0" fontId="12" fillId="0" borderId="2" xfId="0" applyFont="1" applyBorder="1" applyAlignment="1">
      <alignment horizontal="left" vertical="top" wrapText="1" indent="2"/>
    </xf>
    <xf numFmtId="166" fontId="12" fillId="0" borderId="2" xfId="7" applyNumberFormat="1" applyFont="1" applyBorder="1" applyAlignment="1">
      <alignment horizontal="center" vertical="top" wrapText="1"/>
    </xf>
    <xf numFmtId="0" fontId="12" fillId="0" borderId="2" xfId="0" applyFont="1" applyBorder="1" applyAlignment="1">
      <alignment horizontal="center" vertical="top" wrapText="1"/>
    </xf>
    <xf numFmtId="0" fontId="12" fillId="0" borderId="37" xfId="0" applyFont="1" applyBorder="1" applyAlignment="1">
      <alignment horizontal="left" vertical="top" wrapText="1"/>
    </xf>
    <xf numFmtId="0" fontId="12" fillId="0" borderId="49" xfId="0" applyFont="1" applyBorder="1" applyAlignment="1">
      <alignment horizontal="left" vertical="top" wrapText="1"/>
    </xf>
    <xf numFmtId="0" fontId="12" fillId="0" borderId="38" xfId="0" applyFont="1" applyBorder="1" applyAlignment="1">
      <alignment horizontal="left" vertical="top" wrapText="1"/>
    </xf>
    <xf numFmtId="0" fontId="12" fillId="0" borderId="44" xfId="0" applyFont="1" applyBorder="1" applyAlignment="1">
      <alignment horizontal="left" vertical="top" wrapText="1"/>
    </xf>
    <xf numFmtId="0" fontId="12" fillId="0" borderId="12" xfId="0" applyFont="1" applyBorder="1" applyAlignment="1">
      <alignment horizontal="left" vertical="top" wrapText="1"/>
    </xf>
    <xf numFmtId="0" fontId="12" fillId="0" borderId="14" xfId="0" applyFont="1" applyBorder="1" applyAlignment="1">
      <alignment horizontal="left" vertical="top" wrapText="1"/>
    </xf>
    <xf numFmtId="0" fontId="12" fillId="0" borderId="2" xfId="0" applyFont="1" applyBorder="1" applyAlignment="1">
      <alignment horizontal="left" vertical="top" wrapText="1"/>
    </xf>
    <xf numFmtId="0" fontId="11" fillId="0" borderId="2" xfId="0" applyFont="1" applyBorder="1" applyAlignment="1">
      <alignment horizontal="center" vertical="top" wrapText="1"/>
    </xf>
    <xf numFmtId="0" fontId="50" fillId="0" borderId="0" xfId="0" applyFont="1" applyAlignment="1">
      <alignment horizontal="center"/>
    </xf>
    <xf numFmtId="0" fontId="50" fillId="0" borderId="17" xfId="0" applyFont="1" applyBorder="1" applyAlignment="1">
      <alignment horizontal="center"/>
    </xf>
    <xf numFmtId="0" fontId="11" fillId="19" borderId="2" xfId="0" applyFont="1" applyFill="1" applyBorder="1" applyAlignment="1">
      <alignment horizontal="left" vertical="center" wrapText="1"/>
    </xf>
    <xf numFmtId="0" fontId="52" fillId="0" borderId="2" xfId="0" applyFont="1" applyBorder="1" applyAlignment="1">
      <alignment horizontal="center" vertical="top" wrapText="1"/>
    </xf>
    <xf numFmtId="0" fontId="12" fillId="0" borderId="2" xfId="0" applyFont="1" applyBorder="1" applyAlignment="1">
      <alignment horizontal="center" vertical="center" wrapText="1"/>
    </xf>
    <xf numFmtId="0" fontId="12" fillId="0" borderId="2" xfId="0" applyNumberFormat="1" applyFont="1" applyBorder="1" applyAlignment="1">
      <alignment horizontal="center" vertical="center" wrapText="1"/>
    </xf>
    <xf numFmtId="0" fontId="7" fillId="0" borderId="2" xfId="0" applyFont="1" applyBorder="1" applyAlignment="1">
      <alignment horizontal="left"/>
    </xf>
    <xf numFmtId="0" fontId="52" fillId="0" borderId="2" xfId="0" applyFont="1" applyBorder="1" applyAlignment="1">
      <alignment horizontal="left" vertical="top" wrapText="1"/>
    </xf>
    <xf numFmtId="0" fontId="63" fillId="0" borderId="2" xfId="0" applyFont="1" applyBorder="1" applyAlignment="1">
      <alignment horizontal="left" vertical="top" wrapText="1"/>
    </xf>
    <xf numFmtId="0" fontId="25" fillId="0" borderId="2" xfId="0" applyFont="1" applyBorder="1" applyAlignment="1">
      <alignment horizontal="left" vertical="top" wrapText="1"/>
    </xf>
    <xf numFmtId="0" fontId="25" fillId="0" borderId="2" xfId="0" applyFont="1" applyBorder="1" applyAlignment="1">
      <alignment horizontal="center" vertical="top" wrapText="1"/>
    </xf>
    <xf numFmtId="0" fontId="63" fillId="0" borderId="2" xfId="0" applyFont="1" applyBorder="1" applyAlignment="1">
      <alignment horizontal="left" wrapText="1"/>
    </xf>
    <xf numFmtId="0" fontId="25" fillId="0" borderId="2" xfId="0" applyFont="1" applyBorder="1" applyAlignment="1">
      <alignment horizontal="left" wrapText="1"/>
    </xf>
    <xf numFmtId="0" fontId="63" fillId="0" borderId="2" xfId="0" applyFont="1" applyBorder="1" applyAlignment="1">
      <alignment horizontal="left" vertical="center" wrapText="1"/>
    </xf>
    <xf numFmtId="0" fontId="63" fillId="0" borderId="2" xfId="0" applyFont="1" applyBorder="1" applyAlignment="1">
      <alignment horizontal="center" vertical="center" wrapText="1"/>
    </xf>
    <xf numFmtId="0" fontId="63" fillId="0" borderId="2" xfId="0" applyFont="1" applyBorder="1" applyAlignment="1">
      <alignment horizontal="center" wrapText="1"/>
    </xf>
    <xf numFmtId="0" fontId="63" fillId="0" borderId="17" xfId="0" applyFont="1" applyBorder="1" applyAlignment="1">
      <alignment horizontal="center"/>
    </xf>
    <xf numFmtId="0" fontId="63" fillId="0" borderId="28" xfId="0" applyFont="1" applyBorder="1" applyAlignment="1">
      <alignment horizontal="center"/>
    </xf>
    <xf numFmtId="0" fontId="63" fillId="0" borderId="0" xfId="0" applyFont="1" applyAlignment="1">
      <alignment horizontal="center"/>
    </xf>
    <xf numFmtId="0" fontId="25" fillId="0" borderId="0" xfId="0" applyFont="1" applyAlignment="1">
      <alignment horizontal="center" vertical="top" wrapText="1"/>
    </xf>
    <xf numFmtId="0" fontId="25" fillId="0" borderId="0" xfId="0" applyFont="1" applyAlignment="1">
      <alignment horizontal="left"/>
    </xf>
    <xf numFmtId="0" fontId="25" fillId="0" borderId="0" xfId="0" applyFont="1" applyAlignment="1">
      <alignment horizontal="left" vertical="center"/>
    </xf>
    <xf numFmtId="43" fontId="63" fillId="0" borderId="0" xfId="5" applyFont="1" applyBorder="1" applyAlignment="1">
      <alignment horizontal="right"/>
    </xf>
    <xf numFmtId="43" fontId="7" fillId="0" borderId="2" xfId="1" applyFont="1" applyBorder="1" applyAlignment="1">
      <alignment horizontal="center" vertical="top" wrapText="1"/>
    </xf>
    <xf numFmtId="43" fontId="8" fillId="0" borderId="2" xfId="1" applyFont="1" applyBorder="1" applyAlignment="1">
      <alignment horizontal="center" wrapText="1"/>
    </xf>
    <xf numFmtId="43" fontId="7" fillId="0" borderId="0" xfId="1" applyFont="1" applyAlignment="1">
      <alignment horizontal="center"/>
    </xf>
    <xf numFmtId="43" fontId="7" fillId="0" borderId="15" xfId="1" applyFont="1" applyBorder="1" applyAlignment="1">
      <alignment horizontal="center" vertical="top" wrapText="1"/>
    </xf>
    <xf numFmtId="43" fontId="7" fillId="0" borderId="0" xfId="1" applyFont="1" applyBorder="1" applyAlignment="1">
      <alignment horizontal="center" vertical="top" wrapText="1"/>
    </xf>
    <xf numFmtId="43" fontId="7" fillId="0" borderId="50" xfId="1" applyFont="1" applyBorder="1" applyAlignment="1">
      <alignment horizontal="center" vertical="top" wrapText="1"/>
    </xf>
    <xf numFmtId="43" fontId="7" fillId="0" borderId="15" xfId="1" applyFont="1" applyBorder="1" applyAlignment="1">
      <alignment horizontal="left" vertical="top" wrapText="1"/>
    </xf>
    <xf numFmtId="43" fontId="7" fillId="0" borderId="0" xfId="1" applyFont="1" applyBorder="1" applyAlignment="1">
      <alignment horizontal="left" vertical="top" wrapText="1"/>
    </xf>
    <xf numFmtId="43" fontId="7" fillId="0" borderId="50" xfId="1" applyFont="1" applyBorder="1" applyAlignment="1">
      <alignment horizontal="left" vertical="top" wrapText="1"/>
    </xf>
    <xf numFmtId="43" fontId="7" fillId="0" borderId="38" xfId="1" applyFont="1" applyBorder="1" applyAlignment="1">
      <alignment horizontal="center" vertical="top" wrapText="1"/>
    </xf>
    <xf numFmtId="43" fontId="7" fillId="0" borderId="43" xfId="1" applyFont="1" applyBorder="1" applyAlignment="1">
      <alignment horizontal="center" vertical="top" wrapText="1"/>
    </xf>
    <xf numFmtId="43" fontId="7" fillId="0" borderId="44" xfId="1" applyFont="1" applyBorder="1" applyAlignment="1">
      <alignment horizontal="center" vertical="top" wrapText="1"/>
    </xf>
    <xf numFmtId="164" fontId="7" fillId="0" borderId="2" xfId="1" applyNumberFormat="1" applyFont="1" applyBorder="1" applyAlignment="1">
      <alignment horizontal="center" vertical="center" wrapText="1"/>
    </xf>
    <xf numFmtId="43" fontId="7" fillId="0" borderId="2" xfId="1" applyFont="1" applyBorder="1" applyAlignment="1">
      <alignment horizontal="center" vertical="center" wrapText="1"/>
    </xf>
    <xf numFmtId="43" fontId="65" fillId="0" borderId="0" xfId="1" applyFont="1" applyAlignment="1">
      <alignment horizontal="center"/>
    </xf>
    <xf numFmtId="43" fontId="7" fillId="0" borderId="37" xfId="1" applyFont="1" applyBorder="1" applyAlignment="1">
      <alignment horizontal="left" vertical="top" wrapText="1"/>
    </xf>
    <xf numFmtId="43" fontId="7" fillId="0" borderId="48" xfId="1" applyFont="1" applyBorder="1" applyAlignment="1">
      <alignment horizontal="left" vertical="top" wrapText="1"/>
    </xf>
    <xf numFmtId="43" fontId="7" fillId="0" borderId="49" xfId="1" applyFont="1" applyBorder="1" applyAlignment="1">
      <alignment horizontal="left" vertical="top" wrapText="1"/>
    </xf>
    <xf numFmtId="14" fontId="7" fillId="18" borderId="12" xfId="0" applyNumberFormat="1" applyFont="1" applyFill="1" applyBorder="1" applyAlignment="1">
      <alignment horizontal="left"/>
    </xf>
    <xf numFmtId="14" fontId="7" fillId="18" borderId="13" xfId="0" applyNumberFormat="1" applyFont="1" applyFill="1" applyBorder="1" applyAlignment="1">
      <alignment horizontal="left"/>
    </xf>
    <xf numFmtId="14" fontId="7" fillId="18" borderId="14" xfId="0" applyNumberFormat="1" applyFont="1" applyFill="1" applyBorder="1" applyAlignment="1">
      <alignment horizontal="left"/>
    </xf>
    <xf numFmtId="43" fontId="7" fillId="18" borderId="12" xfId="1" applyFont="1" applyFill="1" applyBorder="1" applyAlignment="1">
      <alignment horizontal="left"/>
    </xf>
    <xf numFmtId="43" fontId="7" fillId="18" borderId="13" xfId="1" applyFont="1" applyFill="1" applyBorder="1" applyAlignment="1">
      <alignment horizontal="left"/>
    </xf>
    <xf numFmtId="43" fontId="7" fillId="18" borderId="14" xfId="1" applyFont="1" applyFill="1" applyBorder="1" applyAlignment="1">
      <alignment horizontal="left"/>
    </xf>
    <xf numFmtId="0" fontId="7" fillId="0" borderId="12" xfId="0" applyFont="1" applyBorder="1" applyAlignment="1">
      <alignment horizontal="left" vertical="center" wrapText="1"/>
    </xf>
    <xf numFmtId="0" fontId="7" fillId="0" borderId="13" xfId="0" applyFont="1" applyBorder="1" applyAlignment="1">
      <alignment horizontal="left" vertical="center" wrapText="1"/>
    </xf>
    <xf numFmtId="0" fontId="7" fillId="0" borderId="14" xfId="0" applyFont="1" applyBorder="1" applyAlignment="1">
      <alignment horizontal="left" vertical="center" wrapText="1"/>
    </xf>
    <xf numFmtId="0" fontId="8" fillId="0" borderId="12" xfId="0" applyFont="1" applyBorder="1" applyAlignment="1">
      <alignment horizontal="left" vertical="center" wrapText="1"/>
    </xf>
    <xf numFmtId="0" fontId="8" fillId="0" borderId="13" xfId="0" applyFont="1" applyBorder="1" applyAlignment="1">
      <alignment horizontal="left" vertical="center" wrapText="1"/>
    </xf>
    <xf numFmtId="0" fontId="8" fillId="0" borderId="14" xfId="0" applyFont="1" applyBorder="1" applyAlignment="1">
      <alignment horizontal="left" vertical="center" wrapText="1"/>
    </xf>
    <xf numFmtId="0" fontId="57" fillId="0" borderId="0" xfId="0" applyFont="1" applyAlignment="1">
      <alignment horizontal="left" vertical="center" wrapText="1"/>
    </xf>
    <xf numFmtId="14" fontId="7" fillId="0" borderId="2" xfId="0" applyNumberFormat="1" applyFont="1" applyBorder="1" applyAlignment="1">
      <alignment horizontal="center" vertical="center"/>
    </xf>
    <xf numFmtId="0" fontId="37" fillId="0" borderId="12" xfId="0" applyFont="1" applyBorder="1" applyAlignment="1">
      <alignment horizontal="left" vertical="center" wrapText="1"/>
    </xf>
    <xf numFmtId="0" fontId="37" fillId="0" borderId="13" xfId="0" applyFont="1" applyBorder="1" applyAlignment="1">
      <alignment horizontal="left" vertical="center" wrapText="1"/>
    </xf>
    <xf numFmtId="0" fontId="37" fillId="0" borderId="14" xfId="0" applyFont="1" applyBorder="1" applyAlignment="1">
      <alignment horizontal="left" vertical="center" wrapText="1"/>
    </xf>
    <xf numFmtId="0" fontId="31" fillId="0" borderId="2" xfId="0" applyFont="1" applyBorder="1" applyAlignment="1">
      <alignment horizontal="left" vertical="center"/>
    </xf>
    <xf numFmtId="0" fontId="31" fillId="0" borderId="12" xfId="0" applyFont="1" applyBorder="1" applyAlignment="1">
      <alignment horizontal="left"/>
    </xf>
    <xf numFmtId="0" fontId="31" fillId="0" borderId="13" xfId="0" applyFont="1" applyBorder="1" applyAlignment="1">
      <alignment horizontal="left"/>
    </xf>
    <xf numFmtId="0" fontId="31" fillId="0" borderId="14" xfId="0" applyFont="1" applyBorder="1" applyAlignment="1">
      <alignment horizontal="left"/>
    </xf>
    <xf numFmtId="0" fontId="57" fillId="0" borderId="43" xfId="0" applyFont="1" applyBorder="1" applyAlignment="1">
      <alignment horizontal="left" vertical="center" wrapText="1"/>
    </xf>
    <xf numFmtId="0" fontId="31" fillId="0" borderId="12" xfId="0" applyFont="1" applyBorder="1" applyAlignment="1">
      <alignment horizontal="left" vertical="center" wrapText="1"/>
    </xf>
    <xf numFmtId="0" fontId="31" fillId="0" borderId="13" xfId="0" applyFont="1" applyBorder="1" applyAlignment="1">
      <alignment horizontal="left" vertical="center" wrapText="1"/>
    </xf>
    <xf numFmtId="0" fontId="31" fillId="0" borderId="14" xfId="0" applyFont="1" applyBorder="1" applyAlignment="1">
      <alignment horizontal="left" vertical="center" wrapText="1"/>
    </xf>
    <xf numFmtId="0" fontId="32" fillId="0" borderId="0" xfId="0" applyFont="1" applyAlignment="1">
      <alignment horizontal="right" vertical="center" wrapText="1"/>
    </xf>
    <xf numFmtId="0" fontId="32" fillId="0" borderId="0" xfId="0" applyFont="1" applyAlignment="1">
      <alignment horizontal="right" vertical="top" wrapText="1"/>
    </xf>
    <xf numFmtId="0" fontId="56" fillId="0" borderId="17" xfId="0" applyFont="1" applyBorder="1" applyAlignment="1">
      <alignment horizontal="center" vertical="center"/>
    </xf>
    <xf numFmtId="14" fontId="7" fillId="0" borderId="12" xfId="0" applyNumberFormat="1" applyFont="1" applyBorder="1" applyAlignment="1">
      <alignment horizontal="left"/>
    </xf>
    <xf numFmtId="14" fontId="7" fillId="0" borderId="13" xfId="0" applyNumberFormat="1" applyFont="1" applyBorder="1" applyAlignment="1">
      <alignment horizontal="left"/>
    </xf>
    <xf numFmtId="14" fontId="7" fillId="0" borderId="14" xfId="0" applyNumberFormat="1" applyFont="1" applyBorder="1" applyAlignment="1">
      <alignment horizontal="left"/>
    </xf>
    <xf numFmtId="0" fontId="8" fillId="0" borderId="12" xfId="0" applyFont="1" applyBorder="1" applyAlignment="1">
      <alignment horizontal="left"/>
    </xf>
    <xf numFmtId="0" fontId="8" fillId="0" borderId="13" xfId="0" applyFont="1" applyBorder="1" applyAlignment="1">
      <alignment horizontal="left"/>
    </xf>
    <xf numFmtId="0" fontId="8" fillId="0" borderId="14" xfId="0" applyFont="1" applyBorder="1" applyAlignment="1">
      <alignment horizontal="left"/>
    </xf>
    <xf numFmtId="14" fontId="7" fillId="0" borderId="11" xfId="0" applyNumberFormat="1" applyFont="1" applyBorder="1" applyAlignment="1">
      <alignment horizontal="left" vertical="center" textRotation="90"/>
    </xf>
    <xf numFmtId="14" fontId="7" fillId="0" borderId="51" xfId="0" applyNumberFormat="1" applyFont="1" applyBorder="1" applyAlignment="1">
      <alignment horizontal="left" vertical="center" textRotation="90"/>
    </xf>
    <xf numFmtId="14" fontId="7" fillId="0" borderId="36" xfId="0" applyNumberFormat="1" applyFont="1" applyBorder="1" applyAlignment="1">
      <alignment horizontal="left" vertical="center" textRotation="90"/>
    </xf>
    <xf numFmtId="0" fontId="7" fillId="0" borderId="12" xfId="0" applyFont="1" applyBorder="1" applyAlignment="1">
      <alignment horizontal="left" wrapText="1"/>
    </xf>
    <xf numFmtId="0" fontId="7" fillId="0" borderId="13" xfId="0" applyFont="1" applyBorder="1" applyAlignment="1">
      <alignment horizontal="left" wrapText="1"/>
    </xf>
    <xf numFmtId="0" fontId="7" fillId="0" borderId="14" xfId="0" applyFont="1" applyBorder="1" applyAlignment="1">
      <alignment horizontal="left" wrapText="1"/>
    </xf>
    <xf numFmtId="0" fontId="7" fillId="0" borderId="12" xfId="0" applyFont="1" applyBorder="1" applyAlignment="1">
      <alignment horizontal="left"/>
    </xf>
    <xf numFmtId="0" fontId="7" fillId="0" borderId="13" xfId="0" applyFont="1" applyBorder="1" applyAlignment="1">
      <alignment horizontal="left"/>
    </xf>
    <xf numFmtId="0" fontId="7" fillId="0" borderId="14" xfId="0" applyFont="1" applyBorder="1" applyAlignment="1">
      <alignment horizontal="left"/>
    </xf>
    <xf numFmtId="14" fontId="7" fillId="0" borderId="11" xfId="0" applyNumberFormat="1" applyFont="1" applyBorder="1" applyAlignment="1">
      <alignment horizontal="center"/>
    </xf>
    <xf numFmtId="14" fontId="7" fillId="0" borderId="51" xfId="0" applyNumberFormat="1" applyFont="1" applyBorder="1" applyAlignment="1">
      <alignment horizontal="center"/>
    </xf>
    <xf numFmtId="14" fontId="7" fillId="0" borderId="36" xfId="0" applyNumberFormat="1" applyFont="1" applyBorder="1" applyAlignment="1">
      <alignment horizontal="center"/>
    </xf>
    <xf numFmtId="43" fontId="7" fillId="0" borderId="14" xfId="0" applyNumberFormat="1" applyFont="1" applyBorder="1" applyAlignment="1">
      <alignment horizontal="left"/>
    </xf>
    <xf numFmtId="43" fontId="7" fillId="0" borderId="12" xfId="1" applyFont="1" applyBorder="1" applyAlignment="1">
      <alignment horizontal="left"/>
    </xf>
    <xf numFmtId="43" fontId="7" fillId="0" borderId="13" xfId="1" applyFont="1" applyBorder="1" applyAlignment="1">
      <alignment horizontal="left"/>
    </xf>
    <xf numFmtId="49" fontId="7" fillId="0" borderId="13" xfId="1" applyNumberFormat="1" applyFont="1" applyBorder="1" applyAlignment="1">
      <alignment horizontal="left"/>
    </xf>
    <xf numFmtId="43" fontId="7" fillId="0" borderId="14" xfId="1" applyFont="1" applyBorder="1" applyAlignment="1">
      <alignment horizontal="left"/>
    </xf>
    <xf numFmtId="14" fontId="7" fillId="0" borderId="37" xfId="0" applyNumberFormat="1" applyFont="1" applyBorder="1" applyAlignment="1">
      <alignment horizontal="left"/>
    </xf>
    <xf numFmtId="14" fontId="7" fillId="0" borderId="48" xfId="0" applyNumberFormat="1" applyFont="1" applyBorder="1" applyAlignment="1">
      <alignment horizontal="left"/>
    </xf>
    <xf numFmtId="14" fontId="7" fillId="0" borderId="49" xfId="0" applyNumberFormat="1" applyFont="1" applyBorder="1" applyAlignment="1">
      <alignment horizontal="left"/>
    </xf>
    <xf numFmtId="43" fontId="7" fillId="0" borderId="37" xfId="1" applyFont="1" applyBorder="1" applyAlignment="1">
      <alignment horizontal="left"/>
    </xf>
    <xf numFmtId="43" fontId="7" fillId="0" borderId="48" xfId="1" applyFont="1" applyBorder="1" applyAlignment="1">
      <alignment horizontal="left"/>
    </xf>
    <xf numFmtId="43" fontId="7" fillId="0" borderId="49" xfId="1" applyFont="1" applyBorder="1" applyAlignment="1">
      <alignment horizontal="left"/>
    </xf>
    <xf numFmtId="14" fontId="7" fillId="0" borderId="2" xfId="0" applyNumberFormat="1" applyFont="1" applyBorder="1" applyAlignment="1">
      <alignment horizontal="left"/>
    </xf>
    <xf numFmtId="43" fontId="7" fillId="0" borderId="2" xfId="1" applyFont="1" applyBorder="1" applyAlignment="1">
      <alignment horizontal="center"/>
    </xf>
    <xf numFmtId="14" fontId="7" fillId="0" borderId="0" xfId="0" applyNumberFormat="1" applyFont="1" applyBorder="1" applyAlignment="1">
      <alignment horizontal="center"/>
    </xf>
    <xf numFmtId="43" fontId="7" fillId="0" borderId="0" xfId="1" applyFont="1" applyBorder="1" applyAlignment="1">
      <alignment horizontal="center"/>
    </xf>
    <xf numFmtId="0" fontId="7" fillId="0" borderId="0" xfId="0" applyFont="1" applyBorder="1" applyAlignment="1">
      <alignment horizontal="left"/>
    </xf>
    <xf numFmtId="43" fontId="7" fillId="0" borderId="13" xfId="0" applyNumberFormat="1" applyFont="1" applyBorder="1" applyAlignment="1">
      <alignment horizontal="left"/>
    </xf>
    <xf numFmtId="0" fontId="45" fillId="3" borderId="0" xfId="0" applyFont="1" applyFill="1" applyBorder="1" applyAlignment="1">
      <alignment horizontal="center"/>
    </xf>
    <xf numFmtId="0" fontId="21" fillId="3" borderId="18" xfId="0" applyFont="1" applyFill="1" applyBorder="1" applyAlignment="1">
      <alignment horizontal="left" wrapText="1"/>
    </xf>
    <xf numFmtId="0" fontId="21" fillId="3" borderId="19" xfId="0" applyFont="1" applyFill="1" applyBorder="1" applyAlignment="1">
      <alignment horizontal="left" wrapText="1"/>
    </xf>
    <xf numFmtId="0" fontId="21" fillId="3" borderId="20" xfId="0" applyFont="1" applyFill="1" applyBorder="1" applyAlignment="1">
      <alignment horizontal="left" wrapText="1"/>
    </xf>
    <xf numFmtId="0" fontId="21" fillId="3" borderId="18" xfId="0" applyFont="1" applyFill="1" applyBorder="1" applyAlignment="1">
      <alignment horizontal="center" vertical="center"/>
    </xf>
    <xf numFmtId="0" fontId="21" fillId="3" borderId="19" xfId="0" applyFont="1" applyFill="1" applyBorder="1" applyAlignment="1">
      <alignment horizontal="center" vertical="center"/>
    </xf>
    <xf numFmtId="0" fontId="21" fillId="3" borderId="20" xfId="0" applyFont="1" applyFill="1" applyBorder="1" applyAlignment="1">
      <alignment horizontal="center" vertical="center"/>
    </xf>
    <xf numFmtId="0" fontId="2" fillId="3" borderId="18" xfId="0" applyFont="1" applyFill="1" applyBorder="1" applyAlignment="1">
      <alignment horizontal="center"/>
    </xf>
    <xf numFmtId="0" fontId="2" fillId="3" borderId="19" xfId="0" applyFont="1" applyFill="1" applyBorder="1" applyAlignment="1">
      <alignment horizontal="center"/>
    </xf>
    <xf numFmtId="0" fontId="2" fillId="3" borderId="20" xfId="0" applyFont="1" applyFill="1" applyBorder="1" applyAlignment="1">
      <alignment horizontal="center"/>
    </xf>
    <xf numFmtId="0" fontId="21" fillId="3" borderId="18" xfId="0" applyFont="1" applyFill="1" applyBorder="1" applyAlignment="1">
      <alignment horizontal="center"/>
    </xf>
    <xf numFmtId="0" fontId="21" fillId="3" borderId="19" xfId="0" applyFont="1" applyFill="1" applyBorder="1" applyAlignment="1">
      <alignment horizontal="center"/>
    </xf>
    <xf numFmtId="0" fontId="21" fillId="3" borderId="20" xfId="0" applyFont="1" applyFill="1" applyBorder="1" applyAlignment="1">
      <alignment horizontal="center"/>
    </xf>
    <xf numFmtId="0" fontId="21" fillId="0" borderId="0" xfId="0" applyFont="1" applyAlignment="1">
      <alignment horizontal="center"/>
    </xf>
    <xf numFmtId="0" fontId="66" fillId="0" borderId="35" xfId="0" applyFont="1" applyBorder="1" applyAlignment="1">
      <alignment horizontal="center"/>
    </xf>
    <xf numFmtId="43" fontId="7" fillId="19" borderId="0" xfId="1" applyFont="1" applyFill="1" applyAlignment="1">
      <alignment horizontal="center"/>
    </xf>
    <xf numFmtId="43" fontId="7" fillId="0" borderId="18" xfId="1" applyFont="1" applyBorder="1" applyAlignment="1">
      <alignment horizontal="left"/>
    </xf>
    <xf numFmtId="43" fontId="7" fillId="0" borderId="19" xfId="1" applyFont="1" applyBorder="1" applyAlignment="1">
      <alignment horizontal="left"/>
    </xf>
    <xf numFmtId="43" fontId="7" fillId="0" borderId="20" xfId="1" applyFont="1" applyBorder="1" applyAlignment="1">
      <alignment horizontal="left"/>
    </xf>
    <xf numFmtId="43" fontId="7" fillId="0" borderId="18" xfId="1" applyFont="1" applyBorder="1" applyAlignment="1">
      <alignment horizontal="center"/>
    </xf>
    <xf numFmtId="43" fontId="7" fillId="0" borderId="20" xfId="1" applyFont="1" applyBorder="1" applyAlignment="1">
      <alignment horizontal="center"/>
    </xf>
    <xf numFmtId="43" fontId="7" fillId="0" borderId="18" xfId="1" applyFont="1" applyBorder="1" applyAlignment="1">
      <alignment horizontal="center" vertical="top" wrapText="1"/>
    </xf>
    <xf numFmtId="43" fontId="7" fillId="0" borderId="20" xfId="1" applyFont="1" applyBorder="1" applyAlignment="1">
      <alignment horizontal="center" vertical="top" wrapText="1"/>
    </xf>
    <xf numFmtId="43" fontId="7" fillId="0" borderId="18" xfId="1" applyFont="1" applyBorder="1" applyAlignment="1">
      <alignment horizontal="left" wrapText="1"/>
    </xf>
    <xf numFmtId="43" fontId="7" fillId="0" borderId="19" xfId="1" applyFont="1" applyBorder="1" applyAlignment="1">
      <alignment horizontal="left" wrapText="1"/>
    </xf>
    <xf numFmtId="43" fontId="7" fillId="0" borderId="20" xfId="1" applyFont="1" applyBorder="1" applyAlignment="1">
      <alignment horizontal="left" wrapText="1"/>
    </xf>
    <xf numFmtId="43" fontId="7" fillId="0" borderId="0" xfId="1" applyFont="1" applyAlignment="1">
      <alignment horizontal="left" wrapText="1"/>
    </xf>
    <xf numFmtId="43" fontId="7" fillId="0" borderId="10" xfId="1" applyFont="1" applyBorder="1" applyAlignment="1">
      <alignment horizontal="left" wrapText="1"/>
    </xf>
    <xf numFmtId="43" fontId="7" fillId="19" borderId="0" xfId="1" applyFont="1" applyFill="1" applyAlignment="1">
      <alignment horizontal="center" wrapText="1"/>
    </xf>
    <xf numFmtId="49" fontId="7" fillId="0" borderId="0" xfId="1" applyNumberFormat="1" applyFont="1" applyAlignment="1">
      <alignment horizontal="left" wrapText="1"/>
    </xf>
    <xf numFmtId="43" fontId="7" fillId="0" borderId="10" xfId="1" applyFont="1" applyBorder="1" applyAlignment="1">
      <alignment horizontal="left"/>
    </xf>
    <xf numFmtId="43" fontId="8" fillId="0" borderId="10" xfId="1" applyFont="1" applyBorder="1" applyAlignment="1">
      <alignment horizontal="left"/>
    </xf>
    <xf numFmtId="164" fontId="7" fillId="18" borderId="0" xfId="1" applyNumberFormat="1" applyFont="1" applyFill="1" applyAlignment="1">
      <alignment horizontal="center"/>
    </xf>
    <xf numFmtId="164" fontId="7" fillId="0" borderId="21" xfId="1" applyNumberFormat="1" applyFont="1" applyBorder="1" applyAlignment="1">
      <alignment horizontal="right" vertical="top"/>
    </xf>
    <xf numFmtId="164" fontId="7" fillId="0" borderId="23" xfId="1" applyNumberFormat="1" applyFont="1" applyBorder="1" applyAlignment="1">
      <alignment horizontal="right" vertical="top"/>
    </xf>
    <xf numFmtId="43" fontId="7" fillId="0" borderId="24" xfId="1" applyFont="1" applyBorder="1" applyAlignment="1">
      <alignment horizontal="center" vertical="top"/>
    </xf>
    <xf numFmtId="43" fontId="7" fillId="0" borderId="4" xfId="1" applyFont="1" applyBorder="1" applyAlignment="1">
      <alignment horizontal="center" vertical="top"/>
    </xf>
    <xf numFmtId="43" fontId="7" fillId="0" borderId="25" xfId="1" applyFont="1" applyBorder="1" applyAlignment="1">
      <alignment horizontal="center" vertical="top"/>
    </xf>
    <xf numFmtId="43" fontId="7" fillId="0" borderId="26" xfId="1" applyFont="1" applyBorder="1" applyAlignment="1">
      <alignment horizontal="center" vertical="top"/>
    </xf>
    <xf numFmtId="43" fontId="7" fillId="0" borderId="3" xfId="1" applyFont="1" applyBorder="1" applyAlignment="1">
      <alignment horizontal="center" vertical="top"/>
    </xf>
    <xf numFmtId="43" fontId="7" fillId="0" borderId="27" xfId="1" applyFont="1" applyBorder="1" applyAlignment="1">
      <alignment horizontal="center" vertical="top"/>
    </xf>
    <xf numFmtId="43" fontId="7" fillId="0" borderId="10" xfId="1" applyFont="1" applyBorder="1" applyAlignment="1">
      <alignment horizontal="left" vertical="top"/>
    </xf>
    <xf numFmtId="43" fontId="7" fillId="0" borderId="19" xfId="1" applyFont="1" applyBorder="1" applyAlignment="1">
      <alignment horizontal="center"/>
    </xf>
    <xf numFmtId="164" fontId="7" fillId="0" borderId="0" xfId="1" applyNumberFormat="1" applyFont="1" applyBorder="1" applyAlignment="1">
      <alignment horizontal="left"/>
    </xf>
    <xf numFmtId="49" fontId="7" fillId="0" borderId="0" xfId="1" applyNumberFormat="1" applyFont="1" applyBorder="1" applyAlignment="1">
      <alignment horizontal="left" wrapText="1"/>
    </xf>
    <xf numFmtId="164" fontId="7" fillId="0" borderId="0" xfId="1" applyNumberFormat="1" applyFont="1" applyBorder="1" applyAlignment="1">
      <alignment horizontal="left" wrapText="1"/>
    </xf>
    <xf numFmtId="49" fontId="7" fillId="0" borderId="18" xfId="1" applyNumberFormat="1" applyFont="1" applyBorder="1" applyAlignment="1">
      <alignment horizontal="left"/>
    </xf>
    <xf numFmtId="49" fontId="7" fillId="0" borderId="19" xfId="1" applyNumberFormat="1" applyFont="1" applyBorder="1" applyAlignment="1">
      <alignment horizontal="left"/>
    </xf>
    <xf numFmtId="49" fontId="7" fillId="0" borderId="20" xfId="1" applyNumberFormat="1" applyFont="1" applyBorder="1" applyAlignment="1">
      <alignment horizontal="left"/>
    </xf>
    <xf numFmtId="43" fontId="7" fillId="0" borderId="18" xfId="1" applyFont="1" applyBorder="1" applyAlignment="1">
      <alignment horizontal="center" vertical="top"/>
    </xf>
    <xf numFmtId="43" fontId="7" fillId="0" borderId="19" xfId="1" applyFont="1" applyBorder="1" applyAlignment="1">
      <alignment horizontal="center" vertical="top"/>
    </xf>
    <xf numFmtId="43" fontId="7" fillId="0" borderId="20" xfId="1" applyFont="1" applyBorder="1" applyAlignment="1">
      <alignment horizontal="center" vertical="top"/>
    </xf>
    <xf numFmtId="164" fontId="7" fillId="0" borderId="21" xfId="1" applyNumberFormat="1" applyFont="1" applyBorder="1" applyAlignment="1">
      <alignment horizontal="right"/>
    </xf>
    <xf numFmtId="164" fontId="7" fillId="0" borderId="22" xfId="1" applyNumberFormat="1" applyFont="1" applyBorder="1" applyAlignment="1">
      <alignment horizontal="right"/>
    </xf>
    <xf numFmtId="164" fontId="7" fillId="0" borderId="23" xfId="1" applyNumberFormat="1" applyFont="1" applyBorder="1" applyAlignment="1">
      <alignment horizontal="right"/>
    </xf>
    <xf numFmtId="49" fontId="7" fillId="0" borderId="18" xfId="1" applyNumberFormat="1" applyFont="1" applyBorder="1" applyAlignment="1">
      <alignment horizontal="center" wrapText="1"/>
    </xf>
    <xf numFmtId="49" fontId="7" fillId="0" borderId="19" xfId="1" applyNumberFormat="1" applyFont="1" applyBorder="1" applyAlignment="1">
      <alignment horizontal="center" wrapText="1"/>
    </xf>
    <xf numFmtId="49" fontId="7" fillId="0" borderId="20" xfId="1" applyNumberFormat="1" applyFont="1" applyBorder="1" applyAlignment="1">
      <alignment horizontal="center" wrapText="1"/>
    </xf>
    <xf numFmtId="49" fontId="7" fillId="0" borderId="18" xfId="1" applyNumberFormat="1" applyFont="1" applyBorder="1" applyAlignment="1">
      <alignment horizontal="left" wrapText="1"/>
    </xf>
    <xf numFmtId="49" fontId="7" fillId="0" borderId="19" xfId="1" applyNumberFormat="1" applyFont="1" applyBorder="1" applyAlignment="1">
      <alignment horizontal="left" wrapText="1"/>
    </xf>
    <xf numFmtId="49" fontId="7" fillId="0" borderId="20" xfId="1" applyNumberFormat="1" applyFont="1" applyBorder="1" applyAlignment="1">
      <alignment horizontal="left" wrapText="1"/>
    </xf>
    <xf numFmtId="166" fontId="7" fillId="0" borderId="21" xfId="1" applyNumberFormat="1" applyFont="1" applyBorder="1" applyAlignment="1">
      <alignment horizontal="right" vertical="center"/>
    </xf>
    <xf numFmtId="166" fontId="7" fillId="0" borderId="23" xfId="1" applyNumberFormat="1" applyFont="1" applyBorder="1" applyAlignment="1">
      <alignment horizontal="right" vertical="center"/>
    </xf>
    <xf numFmtId="49" fontId="8" fillId="0" borderId="18" xfId="1" applyNumberFormat="1" applyFont="1" applyBorder="1" applyAlignment="1">
      <alignment horizontal="left"/>
    </xf>
    <xf numFmtId="49" fontId="8" fillId="0" borderId="19" xfId="1" applyNumberFormat="1" applyFont="1" applyBorder="1" applyAlignment="1">
      <alignment horizontal="left"/>
    </xf>
    <xf numFmtId="49" fontId="8" fillId="0" borderId="20" xfId="1" applyNumberFormat="1" applyFont="1" applyBorder="1" applyAlignment="1">
      <alignment horizontal="left"/>
    </xf>
    <xf numFmtId="43" fontId="8" fillId="0" borderId="18" xfId="1" applyFont="1" applyBorder="1" applyAlignment="1">
      <alignment horizontal="left"/>
    </xf>
    <xf numFmtId="43" fontId="8" fillId="0" borderId="19" xfId="1" applyFont="1" applyBorder="1" applyAlignment="1">
      <alignment horizontal="left"/>
    </xf>
    <xf numFmtId="43" fontId="8" fillId="0" borderId="20" xfId="1" applyFont="1" applyBorder="1" applyAlignment="1">
      <alignment horizontal="left"/>
    </xf>
    <xf numFmtId="166" fontId="7" fillId="0" borderId="10" xfId="1" applyNumberFormat="1" applyFont="1" applyBorder="1" applyAlignment="1">
      <alignment horizontal="right" vertical="center"/>
    </xf>
    <xf numFmtId="43" fontId="8" fillId="0" borderId="18" xfId="1" applyFont="1" applyBorder="1" applyAlignment="1">
      <alignment horizontal="center"/>
    </xf>
    <xf numFmtId="43" fontId="8" fillId="0" borderId="19" xfId="1" applyFont="1" applyBorder="1" applyAlignment="1">
      <alignment horizontal="center"/>
    </xf>
    <xf numFmtId="43" fontId="8" fillId="0" borderId="20" xfId="1" applyFont="1" applyBorder="1" applyAlignment="1">
      <alignment horizontal="center"/>
    </xf>
    <xf numFmtId="164" fontId="7" fillId="0" borderId="0" xfId="1" applyNumberFormat="1" applyFont="1" applyAlignment="1">
      <alignment horizontal="left" wrapText="1"/>
    </xf>
    <xf numFmtId="43" fontId="7" fillId="0" borderId="21" xfId="1" applyFont="1" applyBorder="1" applyAlignment="1">
      <alignment horizontal="center" vertical="top" wrapText="1"/>
    </xf>
    <xf numFmtId="43" fontId="7" fillId="0" borderId="23" xfId="1" applyFont="1" applyBorder="1" applyAlignment="1">
      <alignment horizontal="center" vertical="top" wrapText="1"/>
    </xf>
    <xf numFmtId="43" fontId="7" fillId="0" borderId="19" xfId="1" applyFont="1" applyBorder="1" applyAlignment="1">
      <alignment horizontal="center" vertical="top" wrapText="1"/>
    </xf>
    <xf numFmtId="164" fontId="7" fillId="0" borderId="0" xfId="1" applyNumberFormat="1" applyFont="1" applyAlignment="1">
      <alignment horizontal="left"/>
    </xf>
    <xf numFmtId="43" fontId="7" fillId="0" borderId="10" xfId="1" applyFont="1" applyBorder="1" applyAlignment="1">
      <alignment horizontal="center" wrapText="1"/>
    </xf>
    <xf numFmtId="164" fontId="7" fillId="0" borderId="10" xfId="1" applyNumberFormat="1" applyFont="1" applyBorder="1" applyAlignment="1">
      <alignment horizontal="right"/>
    </xf>
    <xf numFmtId="43" fontId="7" fillId="0" borderId="24" xfId="1" applyFont="1" applyBorder="1" applyAlignment="1">
      <alignment horizontal="center"/>
    </xf>
    <xf numFmtId="43" fontId="7" fillId="0" borderId="4" xfId="1" applyFont="1" applyBorder="1" applyAlignment="1">
      <alignment horizontal="center"/>
    </xf>
    <xf numFmtId="43" fontId="7" fillId="0" borderId="25" xfId="1" applyFont="1" applyBorder="1" applyAlignment="1">
      <alignment horizontal="center"/>
    </xf>
    <xf numFmtId="43" fontId="7" fillId="0" borderId="26" xfId="1" applyFont="1" applyBorder="1" applyAlignment="1">
      <alignment horizontal="center"/>
    </xf>
    <xf numFmtId="43" fontId="7" fillId="0" borderId="3" xfId="1" applyFont="1" applyBorder="1" applyAlignment="1">
      <alignment horizontal="center"/>
    </xf>
    <xf numFmtId="43" fontId="7" fillId="0" borderId="27" xfId="1" applyFont="1" applyBorder="1" applyAlignment="1">
      <alignment horizontal="center"/>
    </xf>
    <xf numFmtId="43" fontId="7" fillId="0" borderId="10" xfId="1" applyFont="1" applyBorder="1" applyAlignment="1">
      <alignment horizontal="center"/>
    </xf>
  </cellXfs>
  <cellStyles count="10">
    <cellStyle name="Comma" xfId="1" builtinId="3"/>
    <cellStyle name="Comma 2" xfId="5"/>
    <cellStyle name="Comma 3" xfId="7"/>
    <cellStyle name="Comma 4 2" xfId="9"/>
    <cellStyle name="Normal" xfId="0" builtinId="0"/>
    <cellStyle name="Normal 21" xfId="6"/>
    <cellStyle name="Normal_gold mining plan" xfId="4"/>
    <cellStyle name="Normal_UBI_S0404" xfId="3"/>
    <cellStyle name="Percent" xfId="2" builtinId="5"/>
    <cellStyle name="Style 1" xfId="8"/>
  </cellStyles>
  <dxfs count="10996">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thin">
          <color auto="1"/>
        </left>
        <right style="thin">
          <color auto="1"/>
        </right>
        <top style="thin">
          <color auto="1"/>
        </top>
        <bottom style="thin">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thin">
          <color auto="1"/>
        </left>
        <right style="thin">
          <color auto="1"/>
        </right>
        <top style="thin">
          <color auto="1"/>
        </top>
        <bottom style="thin">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thin">
          <color auto="1"/>
        </left>
        <right style="thin">
          <color auto="1"/>
        </right>
        <top style="thin">
          <color auto="1"/>
        </top>
        <bottom style="thin">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thin">
          <color auto="1"/>
        </left>
        <right style="thin">
          <color auto="1"/>
        </right>
        <top style="thin">
          <color auto="1"/>
        </top>
        <bottom style="thin">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thin">
          <color auto="1"/>
        </left>
        <right style="thin">
          <color auto="1"/>
        </right>
        <top style="thin">
          <color auto="1"/>
        </top>
        <bottom style="thin">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thin">
          <color auto="1"/>
        </left>
        <right style="thin">
          <color auto="1"/>
        </right>
        <top style="thin">
          <color auto="1"/>
        </top>
        <bottom style="thin">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thin">
          <color auto="1"/>
        </left>
        <right style="thin">
          <color auto="1"/>
        </right>
        <top style="thin">
          <color auto="1"/>
        </top>
        <bottom style="thin">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thin">
          <color auto="1"/>
        </left>
        <right style="thin">
          <color auto="1"/>
        </right>
        <top style="thin">
          <color auto="1"/>
        </top>
        <bottom style="thin">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thin">
          <color auto="1"/>
        </left>
        <right style="thin">
          <color auto="1"/>
        </right>
        <top style="thin">
          <color auto="1"/>
        </top>
        <bottom style="thin">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font>
        <strike val="0"/>
        <outline val="0"/>
        <shadow val="0"/>
        <u val="none"/>
        <vertAlign val="baseline"/>
        <name val="Arial"/>
        <scheme val="none"/>
      </font>
      <border diagonalUp="0" diagonalDown="0">
        <left style="thin">
          <color rgb="FFFCD3B2"/>
        </left>
        <right/>
        <top style="thin">
          <color rgb="FFFCD3B2"/>
        </top>
        <bottom style="thin">
          <color rgb="FFFCD3B2"/>
        </bottom>
        <vertical/>
        <horizontal/>
      </border>
    </dxf>
    <dxf>
      <font>
        <strike val="0"/>
        <outline val="0"/>
        <shadow val="0"/>
        <u val="none"/>
        <vertAlign val="baseline"/>
        <name val="Arial"/>
        <scheme val="none"/>
      </font>
      <border diagonalUp="0" diagonalDown="0" outline="0">
        <left/>
        <right style="thin">
          <color rgb="FFFCD3B2"/>
        </right>
        <top style="thin">
          <color rgb="FFFCD3B2"/>
        </top>
        <bottom style="thin">
          <color rgb="FFFCD3B2"/>
        </bottom>
      </border>
    </dxf>
    <dxf>
      <border outline="0">
        <top style="thin">
          <color rgb="FFFCD3B2"/>
        </top>
      </border>
    </dxf>
    <dxf>
      <border outline="0">
        <left style="thin">
          <color rgb="FFFCD3B2"/>
        </left>
        <right style="thin">
          <color rgb="FFFCD3B2"/>
        </right>
        <top style="thin">
          <color rgb="FFFCD3B2"/>
        </top>
        <bottom style="thin">
          <color rgb="FFFCD3B2"/>
        </bottom>
      </border>
    </dxf>
    <dxf>
      <font>
        <strike val="0"/>
        <outline val="0"/>
        <shadow val="0"/>
        <u val="none"/>
        <vertAlign val="baseline"/>
        <name val="Arial"/>
        <scheme val="none"/>
      </font>
    </dxf>
    <dxf>
      <border outline="0">
        <bottom style="thin">
          <color rgb="FFFCD3B2"/>
        </bottom>
      </border>
    </dxf>
    <dxf>
      <font>
        <strike val="0"/>
        <outline val="0"/>
        <shadow val="0"/>
        <u val="none"/>
        <vertAlign val="baseline"/>
        <name val="Arial"/>
        <scheme val="none"/>
      </font>
      <alignment horizontal="left" vertical="center" textRotation="0" wrapText="0" indent="0" relativeIndent="255" justifyLastLine="0" shrinkToFit="0" readingOrder="0"/>
    </dxf>
  </dxfs>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4.xml"/><Relationship Id="rId38"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3.xml"/><Relationship Id="rId37"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1.xml"/><Relationship Id="rId35" Type="http://schemas.openxmlformats.org/officeDocument/2006/relationships/externalLink" Target="externalLinks/externalLink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1</xdr:col>
      <xdr:colOff>104776</xdr:colOff>
      <xdr:row>2</xdr:row>
      <xdr:rowOff>0</xdr:rowOff>
    </xdr:from>
    <xdr:to>
      <xdr:col>2</xdr:col>
      <xdr:colOff>266701</xdr:colOff>
      <xdr:row>3</xdr:row>
      <xdr:rowOff>276225</xdr:rowOff>
    </xdr:to>
    <xdr:pic>
      <xdr:nvPicPr>
        <xdr:cNvPr id="2"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419101" y="381000"/>
          <a:ext cx="609600" cy="342900"/>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180975</xdr:colOff>
      <xdr:row>1</xdr:row>
      <xdr:rowOff>66675</xdr:rowOff>
    </xdr:from>
    <xdr:to>
      <xdr:col>2</xdr:col>
      <xdr:colOff>400050</xdr:colOff>
      <xdr:row>3</xdr:row>
      <xdr:rowOff>123825</xdr:rowOff>
    </xdr:to>
    <xdr:pic>
      <xdr:nvPicPr>
        <xdr:cNvPr id="2"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790575" y="228600"/>
          <a:ext cx="609600" cy="381000"/>
        </a:xfrm>
        <a:prstGeom prst="rect">
          <a:avLst/>
        </a:prstGeom>
        <a:noFill/>
        <a:ln w="9525">
          <a:noFill/>
          <a:miter lim="800000"/>
          <a:headEnd/>
          <a:tailEnd/>
        </a:ln>
      </xdr:spPr>
    </xdr:pic>
    <xdr:clientData/>
  </xdr:twoCellAnchor>
  <xdr:twoCellAnchor>
    <xdr:from>
      <xdr:col>1</xdr:col>
      <xdr:colOff>180975</xdr:colOff>
      <xdr:row>89</xdr:row>
      <xdr:rowOff>66675</xdr:rowOff>
    </xdr:from>
    <xdr:to>
      <xdr:col>2</xdr:col>
      <xdr:colOff>400050</xdr:colOff>
      <xdr:row>91</xdr:row>
      <xdr:rowOff>123825</xdr:rowOff>
    </xdr:to>
    <xdr:pic>
      <xdr:nvPicPr>
        <xdr:cNvPr id="3" name="Picture 2"/>
        <xdr:cNvPicPr>
          <a:picLocks noChangeAspect="1" noChangeArrowheads="1"/>
        </xdr:cNvPicPr>
      </xdr:nvPicPr>
      <xdr:blipFill>
        <a:blip xmlns:r="http://schemas.openxmlformats.org/officeDocument/2006/relationships" r:embed="rId1" cstate="print"/>
        <a:srcRect/>
        <a:stretch>
          <a:fillRect/>
        </a:stretch>
      </xdr:blipFill>
      <xdr:spPr bwMode="auto">
        <a:xfrm>
          <a:off x="723900" y="228600"/>
          <a:ext cx="590550" cy="381000"/>
        </a:xfrm>
        <a:prstGeom prst="rect">
          <a:avLst/>
        </a:prstGeom>
        <a:noFill/>
        <a:ln w="9525">
          <a:noFill/>
          <a:miter lim="800000"/>
          <a:headEnd/>
          <a:tailEnd/>
        </a:ln>
      </xdr:spPr>
    </xdr:pic>
    <xdr:clientData/>
  </xdr:twoCellAnchor>
  <xdr:twoCellAnchor>
    <xdr:from>
      <xdr:col>1</xdr:col>
      <xdr:colOff>180975</xdr:colOff>
      <xdr:row>171</xdr:row>
      <xdr:rowOff>66675</xdr:rowOff>
    </xdr:from>
    <xdr:to>
      <xdr:col>2</xdr:col>
      <xdr:colOff>400050</xdr:colOff>
      <xdr:row>173</xdr:row>
      <xdr:rowOff>123825</xdr:rowOff>
    </xdr:to>
    <xdr:pic>
      <xdr:nvPicPr>
        <xdr:cNvPr id="4"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790575" y="29660850"/>
          <a:ext cx="609600" cy="381000"/>
        </a:xfrm>
        <a:prstGeom prst="rect">
          <a:avLst/>
        </a:prstGeom>
        <a:noFill/>
        <a:ln w="9525">
          <a:noFill/>
          <a:miter lim="800000"/>
          <a:headEnd/>
          <a:tailEnd/>
        </a:ln>
      </xdr:spPr>
    </xdr:pic>
    <xdr:clientData/>
  </xdr:twoCellAnchor>
  <xdr:twoCellAnchor>
    <xdr:from>
      <xdr:col>1</xdr:col>
      <xdr:colOff>180975</xdr:colOff>
      <xdr:row>254</xdr:row>
      <xdr:rowOff>66675</xdr:rowOff>
    </xdr:from>
    <xdr:to>
      <xdr:col>2</xdr:col>
      <xdr:colOff>400050</xdr:colOff>
      <xdr:row>256</xdr:row>
      <xdr:rowOff>123825</xdr:rowOff>
    </xdr:to>
    <xdr:pic>
      <xdr:nvPicPr>
        <xdr:cNvPr id="5" name="Picture 4"/>
        <xdr:cNvPicPr>
          <a:picLocks noChangeAspect="1" noChangeArrowheads="1"/>
        </xdr:cNvPicPr>
      </xdr:nvPicPr>
      <xdr:blipFill>
        <a:blip xmlns:r="http://schemas.openxmlformats.org/officeDocument/2006/relationships" r:embed="rId1" cstate="print"/>
        <a:srcRect/>
        <a:stretch>
          <a:fillRect/>
        </a:stretch>
      </xdr:blipFill>
      <xdr:spPr bwMode="auto">
        <a:xfrm>
          <a:off x="723900" y="14611350"/>
          <a:ext cx="590550" cy="381000"/>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11</xdr:col>
      <xdr:colOff>76200</xdr:colOff>
      <xdr:row>2</xdr:row>
      <xdr:rowOff>28575</xdr:rowOff>
    </xdr:from>
    <xdr:to>
      <xdr:col>12</xdr:col>
      <xdr:colOff>104775</xdr:colOff>
      <xdr:row>4</xdr:row>
      <xdr:rowOff>0</xdr:rowOff>
    </xdr:to>
    <xdr:pic>
      <xdr:nvPicPr>
        <xdr:cNvPr id="2"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8124825" y="409575"/>
          <a:ext cx="809625" cy="419100"/>
        </a:xfrm>
        <a:prstGeom prst="rect">
          <a:avLst/>
        </a:prstGeom>
        <a:noFill/>
      </xdr:spPr>
    </xdr:pic>
    <xdr:clientData/>
  </xdr:twoCellAnchor>
  <xdr:twoCellAnchor>
    <xdr:from>
      <xdr:col>1</xdr:col>
      <xdr:colOff>114300</xdr:colOff>
      <xdr:row>4</xdr:row>
      <xdr:rowOff>28575</xdr:rowOff>
    </xdr:from>
    <xdr:to>
      <xdr:col>12</xdr:col>
      <xdr:colOff>381000</xdr:colOff>
      <xdr:row>4</xdr:row>
      <xdr:rowOff>38100</xdr:rowOff>
    </xdr:to>
    <xdr:cxnSp macro="">
      <xdr:nvCxnSpPr>
        <xdr:cNvPr id="3" name="AutoShape 2"/>
        <xdr:cNvCxnSpPr>
          <a:cxnSpLocks noChangeShapeType="1"/>
        </xdr:cNvCxnSpPr>
      </xdr:nvCxnSpPr>
      <xdr:spPr bwMode="auto">
        <a:xfrm flipV="1">
          <a:off x="114300" y="857250"/>
          <a:ext cx="9096375" cy="9525"/>
        </a:xfrm>
        <a:prstGeom prst="straightConnector1">
          <a:avLst/>
        </a:prstGeom>
        <a:noFill/>
        <a:ln w="28575">
          <a:solidFill>
            <a:srgbClr val="000000"/>
          </a:solidFill>
          <a:round/>
          <a:headEnd/>
          <a:tailEnd/>
        </a:ln>
      </xdr:spPr>
    </xdr:cxnSp>
    <xdr:clientData/>
  </xdr:twoCellAnchor>
</xdr:wsDr>
</file>

<file path=xl/drawings/drawing4.xml><?xml version="1.0" encoding="utf-8"?>
<xdr:wsDr xmlns:xdr="http://schemas.openxmlformats.org/drawingml/2006/spreadsheetDrawing" xmlns:a="http://schemas.openxmlformats.org/drawingml/2006/main">
  <xdr:twoCellAnchor>
    <xdr:from>
      <xdr:col>2</xdr:col>
      <xdr:colOff>28575</xdr:colOff>
      <xdr:row>0</xdr:row>
      <xdr:rowOff>57150</xdr:rowOff>
    </xdr:from>
    <xdr:to>
      <xdr:col>3</xdr:col>
      <xdr:colOff>409575</xdr:colOff>
      <xdr:row>2</xdr:row>
      <xdr:rowOff>95250</xdr:rowOff>
    </xdr:to>
    <xdr:pic>
      <xdr:nvPicPr>
        <xdr:cNvPr id="2"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857250" y="57150"/>
          <a:ext cx="609600" cy="419100"/>
        </a:xfrm>
        <a:prstGeom prst="rect">
          <a:avLst/>
        </a:prstGeom>
        <a:noFill/>
        <a:ln w="9525">
          <a:noFill/>
          <a:miter lim="800000"/>
          <a:headEnd/>
          <a:tailEnd/>
        </a:ln>
      </xdr:spPr>
    </xdr:pic>
    <xdr:clientData/>
  </xdr:twoCellAnchor>
  <xdr:twoCellAnchor>
    <xdr:from>
      <xdr:col>2</xdr:col>
      <xdr:colOff>28575</xdr:colOff>
      <xdr:row>0</xdr:row>
      <xdr:rowOff>57150</xdr:rowOff>
    </xdr:from>
    <xdr:to>
      <xdr:col>3</xdr:col>
      <xdr:colOff>409575</xdr:colOff>
      <xdr:row>2</xdr:row>
      <xdr:rowOff>95250</xdr:rowOff>
    </xdr:to>
    <xdr:pic>
      <xdr:nvPicPr>
        <xdr:cNvPr id="3" name="Picture 2"/>
        <xdr:cNvPicPr>
          <a:picLocks noChangeAspect="1" noChangeArrowheads="1"/>
        </xdr:cNvPicPr>
      </xdr:nvPicPr>
      <xdr:blipFill>
        <a:blip xmlns:r="http://schemas.openxmlformats.org/officeDocument/2006/relationships" r:embed="rId1" cstate="print"/>
        <a:srcRect/>
        <a:stretch>
          <a:fillRect/>
        </a:stretch>
      </xdr:blipFill>
      <xdr:spPr bwMode="auto">
        <a:xfrm>
          <a:off x="619125" y="57150"/>
          <a:ext cx="609600" cy="419100"/>
        </a:xfrm>
        <a:prstGeom prst="rect">
          <a:avLst/>
        </a:prstGeom>
        <a:noFill/>
        <a:ln w="9525">
          <a:noFill/>
          <a:miter lim="800000"/>
          <a:headEnd/>
          <a:tailEnd/>
        </a:ln>
      </xdr:spPr>
    </xdr:pic>
    <xdr:clientData/>
  </xdr:twoCellAnchor>
  <xdr:twoCellAnchor>
    <xdr:from>
      <xdr:col>2</xdr:col>
      <xdr:colOff>28575</xdr:colOff>
      <xdr:row>122</xdr:row>
      <xdr:rowOff>57150</xdr:rowOff>
    </xdr:from>
    <xdr:to>
      <xdr:col>3</xdr:col>
      <xdr:colOff>409575</xdr:colOff>
      <xdr:row>124</xdr:row>
      <xdr:rowOff>95250</xdr:rowOff>
    </xdr:to>
    <xdr:pic>
      <xdr:nvPicPr>
        <xdr:cNvPr id="4" name="Picture 3"/>
        <xdr:cNvPicPr>
          <a:picLocks noChangeAspect="1" noChangeArrowheads="1"/>
        </xdr:cNvPicPr>
      </xdr:nvPicPr>
      <xdr:blipFill>
        <a:blip xmlns:r="http://schemas.openxmlformats.org/officeDocument/2006/relationships" r:embed="rId2" cstate="print"/>
        <a:srcRect/>
        <a:stretch>
          <a:fillRect/>
        </a:stretch>
      </xdr:blipFill>
      <xdr:spPr bwMode="auto">
        <a:xfrm>
          <a:off x="619125" y="26870025"/>
          <a:ext cx="609600" cy="361950"/>
        </a:xfrm>
        <a:prstGeom prst="rect">
          <a:avLst/>
        </a:prstGeom>
        <a:noFill/>
        <a:ln w="9525">
          <a:noFill/>
          <a:miter lim="800000"/>
          <a:headEnd/>
          <a:tailEnd/>
        </a:ln>
      </xdr:spPr>
    </xdr:pic>
    <xdr:clientData/>
  </xdr:twoCellAnchor>
  <xdr:twoCellAnchor>
    <xdr:from>
      <xdr:col>2</xdr:col>
      <xdr:colOff>28575</xdr:colOff>
      <xdr:row>244</xdr:row>
      <xdr:rowOff>57150</xdr:rowOff>
    </xdr:from>
    <xdr:to>
      <xdr:col>3</xdr:col>
      <xdr:colOff>409575</xdr:colOff>
      <xdr:row>246</xdr:row>
      <xdr:rowOff>95250</xdr:rowOff>
    </xdr:to>
    <xdr:pic>
      <xdr:nvPicPr>
        <xdr:cNvPr id="5" name="Picture 4"/>
        <xdr:cNvPicPr>
          <a:picLocks noChangeAspect="1" noChangeArrowheads="1"/>
        </xdr:cNvPicPr>
      </xdr:nvPicPr>
      <xdr:blipFill>
        <a:blip xmlns:r="http://schemas.openxmlformats.org/officeDocument/2006/relationships" r:embed="rId2" cstate="print"/>
        <a:srcRect/>
        <a:stretch>
          <a:fillRect/>
        </a:stretch>
      </xdr:blipFill>
      <xdr:spPr bwMode="auto">
        <a:xfrm>
          <a:off x="619125" y="47082075"/>
          <a:ext cx="609600" cy="361950"/>
        </a:xfrm>
        <a:prstGeom prst="rect">
          <a:avLst/>
        </a:prstGeom>
        <a:noFill/>
        <a:ln w="9525">
          <a:noFill/>
          <a:miter lim="800000"/>
          <a:headEnd/>
          <a:tailEnd/>
        </a:ln>
      </xdr:spPr>
    </xdr:pic>
    <xdr:clientData/>
  </xdr:twoCellAnchor>
  <xdr:twoCellAnchor>
    <xdr:from>
      <xdr:col>2</xdr:col>
      <xdr:colOff>28575</xdr:colOff>
      <xdr:row>366</xdr:row>
      <xdr:rowOff>57150</xdr:rowOff>
    </xdr:from>
    <xdr:to>
      <xdr:col>3</xdr:col>
      <xdr:colOff>409575</xdr:colOff>
      <xdr:row>368</xdr:row>
      <xdr:rowOff>95250</xdr:rowOff>
    </xdr:to>
    <xdr:pic>
      <xdr:nvPicPr>
        <xdr:cNvPr id="6" name="Picture 5"/>
        <xdr:cNvPicPr>
          <a:picLocks noChangeAspect="1" noChangeArrowheads="1"/>
        </xdr:cNvPicPr>
      </xdr:nvPicPr>
      <xdr:blipFill>
        <a:blip xmlns:r="http://schemas.openxmlformats.org/officeDocument/2006/relationships" r:embed="rId2" cstate="print"/>
        <a:srcRect/>
        <a:stretch>
          <a:fillRect/>
        </a:stretch>
      </xdr:blipFill>
      <xdr:spPr bwMode="auto">
        <a:xfrm>
          <a:off x="619125" y="67484625"/>
          <a:ext cx="609600" cy="361950"/>
        </a:xfrm>
        <a:prstGeom prst="rect">
          <a:avLst/>
        </a:prstGeom>
        <a:noFill/>
        <a:ln w="9525">
          <a:noFill/>
          <a:miter lim="800000"/>
          <a:headEnd/>
          <a:tailEnd/>
        </a:ln>
      </xdr:spPr>
    </xdr:pic>
    <xdr:clientData/>
  </xdr:twoCellAnchor>
  <xdr:twoCellAnchor>
    <xdr:from>
      <xdr:col>2</xdr:col>
      <xdr:colOff>28575</xdr:colOff>
      <xdr:row>488</xdr:row>
      <xdr:rowOff>57150</xdr:rowOff>
    </xdr:from>
    <xdr:to>
      <xdr:col>3</xdr:col>
      <xdr:colOff>409575</xdr:colOff>
      <xdr:row>490</xdr:row>
      <xdr:rowOff>95250</xdr:rowOff>
    </xdr:to>
    <xdr:pic>
      <xdr:nvPicPr>
        <xdr:cNvPr id="7" name="Picture 6"/>
        <xdr:cNvPicPr>
          <a:picLocks noChangeAspect="1" noChangeArrowheads="1"/>
        </xdr:cNvPicPr>
      </xdr:nvPicPr>
      <xdr:blipFill>
        <a:blip xmlns:r="http://schemas.openxmlformats.org/officeDocument/2006/relationships" r:embed="rId2" cstate="print"/>
        <a:srcRect/>
        <a:stretch>
          <a:fillRect/>
        </a:stretch>
      </xdr:blipFill>
      <xdr:spPr bwMode="auto">
        <a:xfrm>
          <a:off x="619125" y="87429975"/>
          <a:ext cx="609600" cy="361950"/>
        </a:xfrm>
        <a:prstGeom prst="rect">
          <a:avLst/>
        </a:prstGeom>
        <a:noFill/>
        <a:ln w="9525">
          <a:noFill/>
          <a:miter lim="800000"/>
          <a:headEnd/>
          <a:tailEnd/>
        </a:ln>
      </xdr:spPr>
    </xdr:pic>
    <xdr:clientData/>
  </xdr:twoCellAnchor>
  <xdr:twoCellAnchor>
    <xdr:from>
      <xdr:col>2</xdr:col>
      <xdr:colOff>28575</xdr:colOff>
      <xdr:row>610</xdr:row>
      <xdr:rowOff>57150</xdr:rowOff>
    </xdr:from>
    <xdr:to>
      <xdr:col>3</xdr:col>
      <xdr:colOff>409575</xdr:colOff>
      <xdr:row>612</xdr:row>
      <xdr:rowOff>95250</xdr:rowOff>
    </xdr:to>
    <xdr:pic>
      <xdr:nvPicPr>
        <xdr:cNvPr id="8" name="Picture 7"/>
        <xdr:cNvPicPr>
          <a:picLocks noChangeAspect="1" noChangeArrowheads="1"/>
        </xdr:cNvPicPr>
      </xdr:nvPicPr>
      <xdr:blipFill>
        <a:blip xmlns:r="http://schemas.openxmlformats.org/officeDocument/2006/relationships" r:embed="rId2" cstate="print"/>
        <a:srcRect/>
        <a:stretch>
          <a:fillRect/>
        </a:stretch>
      </xdr:blipFill>
      <xdr:spPr bwMode="auto">
        <a:xfrm>
          <a:off x="619125" y="107375325"/>
          <a:ext cx="609600" cy="361950"/>
        </a:xfrm>
        <a:prstGeom prst="rect">
          <a:avLst/>
        </a:prstGeom>
        <a:noFill/>
        <a:ln w="9525">
          <a:noFill/>
          <a:miter lim="800000"/>
          <a:headEnd/>
          <a:tailEnd/>
        </a:ln>
      </xdr:spPr>
    </xdr:pic>
    <xdr:clientData/>
  </xdr:twoCellAnchor>
  <xdr:twoCellAnchor>
    <xdr:from>
      <xdr:col>2</xdr:col>
      <xdr:colOff>28575</xdr:colOff>
      <xdr:row>732</xdr:row>
      <xdr:rowOff>57150</xdr:rowOff>
    </xdr:from>
    <xdr:to>
      <xdr:col>3</xdr:col>
      <xdr:colOff>409575</xdr:colOff>
      <xdr:row>734</xdr:row>
      <xdr:rowOff>95250</xdr:rowOff>
    </xdr:to>
    <xdr:pic>
      <xdr:nvPicPr>
        <xdr:cNvPr id="9" name="Picture 8"/>
        <xdr:cNvPicPr>
          <a:picLocks noChangeAspect="1" noChangeArrowheads="1"/>
        </xdr:cNvPicPr>
      </xdr:nvPicPr>
      <xdr:blipFill>
        <a:blip xmlns:r="http://schemas.openxmlformats.org/officeDocument/2006/relationships" r:embed="rId2" cstate="print"/>
        <a:srcRect/>
        <a:stretch>
          <a:fillRect/>
        </a:stretch>
      </xdr:blipFill>
      <xdr:spPr bwMode="auto">
        <a:xfrm>
          <a:off x="619125" y="127320675"/>
          <a:ext cx="609600" cy="361950"/>
        </a:xfrm>
        <a:prstGeom prst="rect">
          <a:avLst/>
        </a:prstGeom>
        <a:noFill/>
        <a:ln w="9525">
          <a:noFill/>
          <a:miter lim="800000"/>
          <a:headEnd/>
          <a:tailEnd/>
        </a:ln>
      </xdr:spPr>
    </xdr:pic>
    <xdr:clientData/>
  </xdr:twoCellAnchor>
  <xdr:twoCellAnchor>
    <xdr:from>
      <xdr:col>2</xdr:col>
      <xdr:colOff>28575</xdr:colOff>
      <xdr:row>854</xdr:row>
      <xdr:rowOff>57150</xdr:rowOff>
    </xdr:from>
    <xdr:to>
      <xdr:col>3</xdr:col>
      <xdr:colOff>409575</xdr:colOff>
      <xdr:row>856</xdr:row>
      <xdr:rowOff>95250</xdr:rowOff>
    </xdr:to>
    <xdr:pic>
      <xdr:nvPicPr>
        <xdr:cNvPr id="10" name="Picture 9"/>
        <xdr:cNvPicPr>
          <a:picLocks noChangeAspect="1" noChangeArrowheads="1"/>
        </xdr:cNvPicPr>
      </xdr:nvPicPr>
      <xdr:blipFill>
        <a:blip xmlns:r="http://schemas.openxmlformats.org/officeDocument/2006/relationships" r:embed="rId2" cstate="print"/>
        <a:srcRect/>
        <a:stretch>
          <a:fillRect/>
        </a:stretch>
      </xdr:blipFill>
      <xdr:spPr bwMode="auto">
        <a:xfrm>
          <a:off x="619125" y="147266025"/>
          <a:ext cx="609600" cy="361950"/>
        </a:xfrm>
        <a:prstGeom prst="rect">
          <a:avLst/>
        </a:prstGeom>
        <a:noFill/>
        <a:ln w="9525">
          <a:noFill/>
          <a:miter lim="800000"/>
          <a:headEnd/>
          <a:tailEnd/>
        </a:ln>
      </xdr:spPr>
    </xdr:pic>
    <xdr:clientData/>
  </xdr:twoCellAnchor>
  <xdr:twoCellAnchor>
    <xdr:from>
      <xdr:col>2</xdr:col>
      <xdr:colOff>28575</xdr:colOff>
      <xdr:row>976</xdr:row>
      <xdr:rowOff>57150</xdr:rowOff>
    </xdr:from>
    <xdr:to>
      <xdr:col>3</xdr:col>
      <xdr:colOff>409575</xdr:colOff>
      <xdr:row>978</xdr:row>
      <xdr:rowOff>95250</xdr:rowOff>
    </xdr:to>
    <xdr:pic>
      <xdr:nvPicPr>
        <xdr:cNvPr id="11" name="Picture 10"/>
        <xdr:cNvPicPr>
          <a:picLocks noChangeAspect="1" noChangeArrowheads="1"/>
        </xdr:cNvPicPr>
      </xdr:nvPicPr>
      <xdr:blipFill>
        <a:blip xmlns:r="http://schemas.openxmlformats.org/officeDocument/2006/relationships" r:embed="rId2" cstate="print"/>
        <a:srcRect/>
        <a:stretch>
          <a:fillRect/>
        </a:stretch>
      </xdr:blipFill>
      <xdr:spPr bwMode="auto">
        <a:xfrm>
          <a:off x="619125" y="167459025"/>
          <a:ext cx="609600" cy="361950"/>
        </a:xfrm>
        <a:prstGeom prst="rect">
          <a:avLst/>
        </a:prstGeom>
        <a:noFill/>
        <a:ln w="9525">
          <a:noFill/>
          <a:miter lim="800000"/>
          <a:headEnd/>
          <a:tailEnd/>
        </a:ln>
      </xdr:spPr>
    </xdr:pic>
    <xdr:clientData/>
  </xdr:twoCellAnchor>
  <xdr:twoCellAnchor>
    <xdr:from>
      <xdr:col>2</xdr:col>
      <xdr:colOff>28575</xdr:colOff>
      <xdr:row>1098</xdr:row>
      <xdr:rowOff>57150</xdr:rowOff>
    </xdr:from>
    <xdr:to>
      <xdr:col>3</xdr:col>
      <xdr:colOff>409575</xdr:colOff>
      <xdr:row>1100</xdr:row>
      <xdr:rowOff>95250</xdr:rowOff>
    </xdr:to>
    <xdr:pic>
      <xdr:nvPicPr>
        <xdr:cNvPr id="12" name="Picture 11"/>
        <xdr:cNvPicPr>
          <a:picLocks noChangeAspect="1" noChangeArrowheads="1"/>
        </xdr:cNvPicPr>
      </xdr:nvPicPr>
      <xdr:blipFill>
        <a:blip xmlns:r="http://schemas.openxmlformats.org/officeDocument/2006/relationships" r:embed="rId2" cstate="print"/>
        <a:srcRect/>
        <a:stretch>
          <a:fillRect/>
        </a:stretch>
      </xdr:blipFill>
      <xdr:spPr bwMode="auto">
        <a:xfrm>
          <a:off x="619125" y="187404375"/>
          <a:ext cx="609600" cy="361950"/>
        </a:xfrm>
        <a:prstGeom prst="rect">
          <a:avLst/>
        </a:prstGeom>
        <a:noFill/>
        <a:ln w="9525">
          <a:noFill/>
          <a:miter lim="800000"/>
          <a:headEnd/>
          <a:tailEnd/>
        </a:ln>
      </xdr:spPr>
    </xdr:pic>
    <xdr:clientData/>
  </xdr:twoCellAnchor>
  <xdr:twoCellAnchor>
    <xdr:from>
      <xdr:col>2</xdr:col>
      <xdr:colOff>28575</xdr:colOff>
      <xdr:row>1220</xdr:row>
      <xdr:rowOff>57150</xdr:rowOff>
    </xdr:from>
    <xdr:to>
      <xdr:col>3</xdr:col>
      <xdr:colOff>409575</xdr:colOff>
      <xdr:row>1222</xdr:row>
      <xdr:rowOff>95250</xdr:rowOff>
    </xdr:to>
    <xdr:pic>
      <xdr:nvPicPr>
        <xdr:cNvPr id="13" name="Picture 12"/>
        <xdr:cNvPicPr>
          <a:picLocks noChangeAspect="1" noChangeArrowheads="1"/>
        </xdr:cNvPicPr>
      </xdr:nvPicPr>
      <xdr:blipFill>
        <a:blip xmlns:r="http://schemas.openxmlformats.org/officeDocument/2006/relationships" r:embed="rId2" cstate="print"/>
        <a:srcRect/>
        <a:stretch>
          <a:fillRect/>
        </a:stretch>
      </xdr:blipFill>
      <xdr:spPr bwMode="auto">
        <a:xfrm>
          <a:off x="619125" y="207568800"/>
          <a:ext cx="609600" cy="361950"/>
        </a:xfrm>
        <a:prstGeom prst="rect">
          <a:avLst/>
        </a:prstGeom>
        <a:noFill/>
        <a:ln w="9525">
          <a:noFill/>
          <a:miter lim="800000"/>
          <a:headEnd/>
          <a:tailEnd/>
        </a:ln>
      </xdr:spPr>
    </xdr:pic>
    <xdr:clientData/>
  </xdr:twoCellAnchor>
  <xdr:twoCellAnchor>
    <xdr:from>
      <xdr:col>2</xdr:col>
      <xdr:colOff>28575</xdr:colOff>
      <xdr:row>1342</xdr:row>
      <xdr:rowOff>57150</xdr:rowOff>
    </xdr:from>
    <xdr:to>
      <xdr:col>3</xdr:col>
      <xdr:colOff>409575</xdr:colOff>
      <xdr:row>1344</xdr:row>
      <xdr:rowOff>95250</xdr:rowOff>
    </xdr:to>
    <xdr:pic>
      <xdr:nvPicPr>
        <xdr:cNvPr id="14" name="Picture 13"/>
        <xdr:cNvPicPr>
          <a:picLocks noChangeAspect="1" noChangeArrowheads="1"/>
        </xdr:cNvPicPr>
      </xdr:nvPicPr>
      <xdr:blipFill>
        <a:blip xmlns:r="http://schemas.openxmlformats.org/officeDocument/2006/relationships" r:embed="rId2" cstate="print"/>
        <a:srcRect/>
        <a:stretch>
          <a:fillRect/>
        </a:stretch>
      </xdr:blipFill>
      <xdr:spPr bwMode="auto">
        <a:xfrm>
          <a:off x="619125" y="227752275"/>
          <a:ext cx="609600" cy="361950"/>
        </a:xfrm>
        <a:prstGeom prst="rect">
          <a:avLst/>
        </a:prstGeom>
        <a:noFill/>
        <a:ln w="9525">
          <a:noFill/>
          <a:miter lim="800000"/>
          <a:headEnd/>
          <a:tailEn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TUMEE\Documents%20and%20Settings\Administrator\Application%20Data\Microsoft\Excel\SHINEST-TATBAR%20201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TUMEE\2018%20on%20OYUNAAD\&#1093;&#1101;&#1088;&#1101;&#1075;&#1090;&#1101;&#1081;\&#214;&#224;&#235;&#232;&#237;\&#1053;&#1044;&#1064;\&#1053;&#1044;&#1064;%20-&#1094;&#1072;&#1083;&#1080;&#108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hkjkgkjgf/AppData/Roaming/Microsoft/Excel/&#1053;&#1044;&#1064;%20-&#1094;&#1072;&#1083;&#1080;&#1085;.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TUMEE\SHINEST-TAX%20-%202016.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Documents%20and%20Settings/Tumee/My%20Documents/Downloads/CAML2018a.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hkjkgkjgf/AppData/Roaming/Microsoft/Excel/CAML-jurnalshine.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company "/>
      <sheetName val="CASH-C2"/>
      <sheetName val="DATA"/>
      <sheetName val="KACC"/>
      <sheetName val="DANS"/>
      <sheetName val="AP-AR"/>
      <sheetName val="AP1-AR1"/>
      <sheetName val="AP1-AR2"/>
      <sheetName val="TSALIN"/>
      <sheetName val="FIXED ASSET"/>
      <sheetName val="TN"/>
      <sheetName val="RC"/>
      <sheetName val="T_or"/>
      <sheetName val="JURNAL"/>
      <sheetName val="STAT1"/>
      <sheetName val="STAT2"/>
      <sheetName val="STAT3"/>
      <sheetName val="STAT4"/>
      <sheetName val="BS"/>
      <sheetName val="IS"/>
      <sheetName val="OC"/>
      <sheetName val="CF"/>
      <sheetName val="Tax_1"/>
      <sheetName val="Tax_2"/>
      <sheetName val="Tax_3"/>
      <sheetName val="Tax_4"/>
      <sheetName val="Sheet2"/>
      <sheetName val="Sheet3"/>
      <sheetName val="тооцоо "/>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8">
          <cell r="B8">
            <v>460006</v>
          </cell>
          <cell r="C8" t="str">
            <v xml:space="preserve">Òîîíû ìàøèí </v>
          </cell>
          <cell r="D8" t="str">
            <v>ш</v>
          </cell>
          <cell r="E8">
            <v>1</v>
          </cell>
          <cell r="F8">
            <v>8392.5159408569343</v>
          </cell>
          <cell r="G8">
            <v>8392.5159408569343</v>
          </cell>
          <cell r="H8">
            <v>1</v>
          </cell>
          <cell r="I8">
            <v>8392.5159408569343</v>
          </cell>
          <cell r="J8">
            <v>8392.5159408569343</v>
          </cell>
          <cell r="K8">
            <v>0</v>
          </cell>
          <cell r="L8">
            <v>0</v>
          </cell>
          <cell r="M8">
            <v>0</v>
          </cell>
          <cell r="N8">
            <v>0</v>
          </cell>
          <cell r="O8">
            <v>0</v>
          </cell>
          <cell r="P8">
            <v>0</v>
          </cell>
          <cell r="Q8">
            <v>1</v>
          </cell>
          <cell r="R8">
            <v>8392.5159408569343</v>
          </cell>
          <cell r="S8">
            <v>8392.5159408569343</v>
          </cell>
          <cell r="T8">
            <v>160201</v>
          </cell>
        </row>
        <row r="9">
          <cell r="B9">
            <v>460007</v>
          </cell>
          <cell r="C9" t="str">
            <v xml:space="preserve">¯äýýñíèé ìàøèí </v>
          </cell>
          <cell r="D9" t="str">
            <v>ш</v>
          </cell>
          <cell r="E9">
            <v>1</v>
          </cell>
          <cell r="F9">
            <v>2727.27</v>
          </cell>
          <cell r="G9">
            <v>2727.27</v>
          </cell>
          <cell r="H9">
            <v>1</v>
          </cell>
          <cell r="I9">
            <v>2727.27</v>
          </cell>
          <cell r="J9">
            <v>2727.27</v>
          </cell>
          <cell r="K9">
            <v>0</v>
          </cell>
          <cell r="L9">
            <v>0</v>
          </cell>
          <cell r="M9">
            <v>0</v>
          </cell>
          <cell r="N9">
            <v>0</v>
          </cell>
          <cell r="O9">
            <v>0</v>
          </cell>
          <cell r="P9">
            <v>0</v>
          </cell>
          <cell r="Q9">
            <v>1</v>
          </cell>
          <cell r="R9">
            <v>2727.27</v>
          </cell>
          <cell r="S9">
            <v>2727.27</v>
          </cell>
          <cell r="T9">
            <v>160201</v>
          </cell>
        </row>
        <row r="10">
          <cell r="B10">
            <v>460009</v>
          </cell>
          <cell r="C10" t="str">
            <v xml:space="preserve">Áè÷ãèéí öààñ </v>
          </cell>
          <cell r="D10" t="str">
            <v>ш</v>
          </cell>
          <cell r="E10">
            <v>1</v>
          </cell>
          <cell r="F10">
            <v>8530.94</v>
          </cell>
          <cell r="G10">
            <v>8530.94</v>
          </cell>
          <cell r="H10">
            <v>1</v>
          </cell>
          <cell r="I10">
            <v>8530.94</v>
          </cell>
          <cell r="J10">
            <v>8530.94</v>
          </cell>
          <cell r="K10">
            <v>0</v>
          </cell>
          <cell r="L10">
            <v>0</v>
          </cell>
          <cell r="M10">
            <v>0</v>
          </cell>
          <cell r="N10">
            <v>0</v>
          </cell>
          <cell r="O10">
            <v>0</v>
          </cell>
          <cell r="P10">
            <v>0</v>
          </cell>
          <cell r="Q10">
            <v>1</v>
          </cell>
          <cell r="R10">
            <v>8530.94</v>
          </cell>
          <cell r="S10">
            <v>8530.94</v>
          </cell>
          <cell r="T10">
            <v>160201</v>
          </cell>
        </row>
        <row r="11">
          <cell r="B11">
            <v>460012</v>
          </cell>
          <cell r="C11" t="str">
            <v xml:space="preserve">Öààñíû öàâóó </v>
          </cell>
          <cell r="D11" t="str">
            <v>ш</v>
          </cell>
          <cell r="E11">
            <v>1</v>
          </cell>
          <cell r="F11">
            <v>1167.8399999999999</v>
          </cell>
          <cell r="G11">
            <v>1167.8399999999999</v>
          </cell>
          <cell r="H11">
            <v>1</v>
          </cell>
          <cell r="I11">
            <v>1167.8399999999999</v>
          </cell>
          <cell r="J11">
            <v>1167.8399999999999</v>
          </cell>
          <cell r="K11">
            <v>0</v>
          </cell>
          <cell r="L11">
            <v>0</v>
          </cell>
          <cell r="M11">
            <v>0</v>
          </cell>
          <cell r="N11">
            <v>0</v>
          </cell>
          <cell r="O11">
            <v>0</v>
          </cell>
          <cell r="P11">
            <v>0</v>
          </cell>
          <cell r="Q11">
            <v>1</v>
          </cell>
          <cell r="R11">
            <v>1167.8399999999999</v>
          </cell>
          <cell r="S11">
            <v>1167.8399999999999</v>
          </cell>
          <cell r="T11">
            <v>160201</v>
          </cell>
        </row>
        <row r="12">
          <cell r="B12">
            <v>460018</v>
          </cell>
          <cell r="C12" t="str">
            <v>Öààñ ç¿ñýã÷</v>
          </cell>
          <cell r="D12" t="str">
            <v>ш</v>
          </cell>
          <cell r="E12">
            <v>1</v>
          </cell>
          <cell r="F12">
            <v>22800</v>
          </cell>
          <cell r="G12">
            <v>22800</v>
          </cell>
          <cell r="H12">
            <v>1</v>
          </cell>
          <cell r="I12">
            <v>22800</v>
          </cell>
          <cell r="J12">
            <v>22800</v>
          </cell>
          <cell r="K12">
            <v>0</v>
          </cell>
          <cell r="L12">
            <v>0</v>
          </cell>
          <cell r="M12">
            <v>0</v>
          </cell>
          <cell r="N12">
            <v>0</v>
          </cell>
          <cell r="O12">
            <v>0</v>
          </cell>
          <cell r="P12">
            <v>0</v>
          </cell>
          <cell r="Q12">
            <v>1</v>
          </cell>
          <cell r="R12">
            <v>22800</v>
          </cell>
          <cell r="S12">
            <v>22800</v>
          </cell>
          <cell r="T12">
            <v>160201</v>
          </cell>
        </row>
        <row r="13">
          <cell r="B13">
            <v>460022</v>
          </cell>
          <cell r="C13" t="str">
            <v>Keyboard</v>
          </cell>
          <cell r="D13" t="str">
            <v>ш</v>
          </cell>
          <cell r="E13">
            <v>1</v>
          </cell>
          <cell r="F13">
            <v>12000</v>
          </cell>
          <cell r="G13">
            <v>12000</v>
          </cell>
          <cell r="H13">
            <v>1</v>
          </cell>
          <cell r="I13">
            <v>12000</v>
          </cell>
          <cell r="J13">
            <v>12000</v>
          </cell>
          <cell r="K13">
            <v>0</v>
          </cell>
          <cell r="L13">
            <v>0</v>
          </cell>
          <cell r="M13">
            <v>0</v>
          </cell>
          <cell r="N13">
            <v>0</v>
          </cell>
          <cell r="O13">
            <v>0</v>
          </cell>
          <cell r="P13">
            <v>0</v>
          </cell>
          <cell r="Q13">
            <v>1</v>
          </cell>
          <cell r="R13">
            <v>12000</v>
          </cell>
          <cell r="S13">
            <v>12000</v>
          </cell>
          <cell r="T13">
            <v>160201</v>
          </cell>
        </row>
        <row r="14">
          <cell r="B14">
            <v>460023</v>
          </cell>
          <cell r="C14" t="str">
            <v>Mouse</v>
          </cell>
          <cell r="D14" t="str">
            <v>ш</v>
          </cell>
          <cell r="E14">
            <v>1</v>
          </cell>
          <cell r="F14">
            <v>15000</v>
          </cell>
          <cell r="G14">
            <v>15000</v>
          </cell>
          <cell r="H14">
            <v>1</v>
          </cell>
          <cell r="I14">
            <v>15000</v>
          </cell>
          <cell r="J14">
            <v>15000</v>
          </cell>
          <cell r="K14">
            <v>0</v>
          </cell>
          <cell r="L14">
            <v>0</v>
          </cell>
          <cell r="M14">
            <v>0</v>
          </cell>
          <cell r="N14">
            <v>0</v>
          </cell>
          <cell r="O14">
            <v>0</v>
          </cell>
          <cell r="P14">
            <v>0</v>
          </cell>
          <cell r="Q14">
            <v>1</v>
          </cell>
          <cell r="R14">
            <v>15000</v>
          </cell>
          <cell r="S14">
            <v>15000</v>
          </cell>
          <cell r="T14">
            <v>160201</v>
          </cell>
        </row>
        <row r="15">
          <cell r="B15">
            <v>460026</v>
          </cell>
          <cell r="C15" t="str">
            <v xml:space="preserve">Íîðì, íîðìàòèâûí íîì </v>
          </cell>
          <cell r="D15" t="str">
            <v>ш</v>
          </cell>
          <cell r="E15">
            <v>10</v>
          </cell>
          <cell r="F15">
            <v>14030</v>
          </cell>
          <cell r="G15">
            <v>140300</v>
          </cell>
          <cell r="H15">
            <v>10</v>
          </cell>
          <cell r="I15">
            <v>14030</v>
          </cell>
          <cell r="J15">
            <v>140300</v>
          </cell>
          <cell r="K15">
            <v>0</v>
          </cell>
          <cell r="L15">
            <v>0</v>
          </cell>
          <cell r="M15">
            <v>0</v>
          </cell>
          <cell r="N15">
            <v>0</v>
          </cell>
          <cell r="O15">
            <v>0</v>
          </cell>
          <cell r="P15">
            <v>0</v>
          </cell>
          <cell r="Q15">
            <v>10</v>
          </cell>
          <cell r="R15">
            <v>14030</v>
          </cell>
          <cell r="S15">
            <v>140300</v>
          </cell>
          <cell r="T15">
            <v>160201</v>
          </cell>
        </row>
        <row r="16">
          <cell r="B16">
            <v>460027</v>
          </cell>
          <cell r="C16" t="str">
            <v>Hard disk</v>
          </cell>
          <cell r="D16" t="str">
            <v>ш</v>
          </cell>
          <cell r="E16">
            <v>1</v>
          </cell>
          <cell r="F16">
            <v>160000</v>
          </cell>
          <cell r="G16">
            <v>160000</v>
          </cell>
          <cell r="H16">
            <v>1</v>
          </cell>
          <cell r="I16">
            <v>160000</v>
          </cell>
          <cell r="J16">
            <v>160000</v>
          </cell>
          <cell r="K16">
            <v>0</v>
          </cell>
          <cell r="L16">
            <v>0</v>
          </cell>
          <cell r="M16">
            <v>0</v>
          </cell>
          <cell r="N16">
            <v>0</v>
          </cell>
          <cell r="O16">
            <v>0</v>
          </cell>
          <cell r="P16">
            <v>0</v>
          </cell>
          <cell r="Q16">
            <v>1</v>
          </cell>
          <cell r="R16">
            <v>160000</v>
          </cell>
          <cell r="S16">
            <v>160000</v>
          </cell>
          <cell r="T16">
            <v>160201</v>
          </cell>
        </row>
        <row r="17">
          <cell r="B17">
            <v>460001</v>
          </cell>
          <cell r="C17" t="str">
            <v xml:space="preserve">ÍÄØ-í õóóëèéí íîì </v>
          </cell>
          <cell r="D17" t="str">
            <v>ш</v>
          </cell>
          <cell r="E17">
            <v>1</v>
          </cell>
          <cell r="F17">
            <v>5000</v>
          </cell>
          <cell r="G17">
            <v>5000</v>
          </cell>
          <cell r="H17">
            <v>1</v>
          </cell>
          <cell r="I17">
            <v>5000</v>
          </cell>
          <cell r="J17">
            <v>5000</v>
          </cell>
          <cell r="K17">
            <v>0</v>
          </cell>
          <cell r="L17">
            <v>0</v>
          </cell>
          <cell r="M17">
            <v>0</v>
          </cell>
          <cell r="N17">
            <v>0</v>
          </cell>
          <cell r="O17">
            <v>0</v>
          </cell>
          <cell r="P17">
            <v>0</v>
          </cell>
          <cell r="Q17">
            <v>1</v>
          </cell>
          <cell r="R17">
            <v>5000</v>
          </cell>
          <cell r="S17">
            <v>5000</v>
          </cell>
          <cell r="T17">
            <v>160201</v>
          </cell>
        </row>
        <row r="18">
          <cell r="B18">
            <v>440001</v>
          </cell>
          <cell r="C18" t="str">
            <v>Àæ àõóéí õýðýãñýë</v>
          </cell>
          <cell r="D18" t="str">
            <v>ш</v>
          </cell>
          <cell r="E18">
            <v>9</v>
          </cell>
          <cell r="F18">
            <v>3162.34</v>
          </cell>
          <cell r="G18">
            <v>28461.06</v>
          </cell>
          <cell r="H18">
            <v>9</v>
          </cell>
          <cell r="I18">
            <v>3162.34</v>
          </cell>
          <cell r="J18">
            <v>28461.06</v>
          </cell>
          <cell r="K18">
            <v>0</v>
          </cell>
          <cell r="L18">
            <v>0</v>
          </cell>
          <cell r="M18">
            <v>0</v>
          </cell>
          <cell r="N18">
            <v>0</v>
          </cell>
          <cell r="O18">
            <v>0</v>
          </cell>
          <cell r="P18">
            <v>0</v>
          </cell>
          <cell r="Q18">
            <v>9</v>
          </cell>
          <cell r="R18">
            <v>3162.34</v>
          </cell>
          <cell r="S18">
            <v>28461.06</v>
          </cell>
          <cell r="T18">
            <v>160200</v>
          </cell>
        </row>
        <row r="19">
          <cell r="B19">
            <v>440012</v>
          </cell>
          <cell r="C19" t="str">
            <v xml:space="preserve">Êîìïàíèé ëîãîîòîé òóã </v>
          </cell>
          <cell r="D19" t="str">
            <v>ш</v>
          </cell>
          <cell r="E19">
            <v>1</v>
          </cell>
          <cell r="F19">
            <v>58000</v>
          </cell>
          <cell r="G19">
            <v>58000</v>
          </cell>
          <cell r="H19">
            <v>1</v>
          </cell>
          <cell r="I19">
            <v>58000</v>
          </cell>
          <cell r="J19">
            <v>58000</v>
          </cell>
          <cell r="K19">
            <v>0</v>
          </cell>
          <cell r="L19">
            <v>0</v>
          </cell>
          <cell r="M19">
            <v>0</v>
          </cell>
          <cell r="N19">
            <v>0</v>
          </cell>
          <cell r="O19">
            <v>0</v>
          </cell>
          <cell r="P19">
            <v>0</v>
          </cell>
          <cell r="Q19">
            <v>1</v>
          </cell>
          <cell r="R19">
            <v>58000</v>
          </cell>
          <cell r="S19">
            <v>58000</v>
          </cell>
          <cell r="T19">
            <v>160200</v>
          </cell>
        </row>
        <row r="20">
          <cell r="B20">
            <v>440015</v>
          </cell>
          <cell r="C20" t="str">
            <v xml:space="preserve">Òîîñ ñîðîã÷ </v>
          </cell>
          <cell r="D20" t="str">
            <v>ш</v>
          </cell>
          <cell r="E20">
            <v>1</v>
          </cell>
          <cell r="F20">
            <v>121363.64</v>
          </cell>
          <cell r="G20">
            <v>121363.64</v>
          </cell>
          <cell r="H20">
            <v>1</v>
          </cell>
          <cell r="I20">
            <v>121363.64</v>
          </cell>
          <cell r="J20">
            <v>121363.64</v>
          </cell>
          <cell r="K20">
            <v>0</v>
          </cell>
          <cell r="L20">
            <v>0</v>
          </cell>
          <cell r="M20">
            <v>0</v>
          </cell>
          <cell r="N20">
            <v>0</v>
          </cell>
          <cell r="O20">
            <v>0</v>
          </cell>
          <cell r="P20">
            <v>0</v>
          </cell>
          <cell r="Q20">
            <v>1</v>
          </cell>
          <cell r="R20">
            <v>121363.64</v>
          </cell>
          <cell r="S20">
            <v>121363.64</v>
          </cell>
          <cell r="T20">
            <v>160200</v>
          </cell>
        </row>
        <row r="21">
          <cell r="B21">
            <v>440017</v>
          </cell>
          <cell r="C21" t="str">
            <v>×àíãà ÿðèã÷</v>
          </cell>
          <cell r="D21" t="str">
            <v>ш</v>
          </cell>
          <cell r="E21">
            <v>1</v>
          </cell>
          <cell r="F21">
            <v>55000</v>
          </cell>
          <cell r="G21">
            <v>55000</v>
          </cell>
          <cell r="H21">
            <v>1</v>
          </cell>
          <cell r="I21">
            <v>55000</v>
          </cell>
          <cell r="J21">
            <v>55000</v>
          </cell>
          <cell r="K21">
            <v>0</v>
          </cell>
          <cell r="L21">
            <v>0</v>
          </cell>
          <cell r="M21">
            <v>0</v>
          </cell>
          <cell r="N21">
            <v>0</v>
          </cell>
          <cell r="O21">
            <v>0</v>
          </cell>
          <cell r="P21">
            <v>0</v>
          </cell>
          <cell r="Q21">
            <v>1</v>
          </cell>
          <cell r="R21">
            <v>55000</v>
          </cell>
          <cell r="S21">
            <v>55000</v>
          </cell>
          <cell r="T21">
            <v>160200</v>
          </cell>
        </row>
        <row r="22">
          <cell r="B22">
            <v>440018</v>
          </cell>
          <cell r="C22" t="str">
            <v xml:space="preserve">Óòàñíû àïïàðàò </v>
          </cell>
          <cell r="D22" t="str">
            <v>ш</v>
          </cell>
          <cell r="E22">
            <v>5</v>
          </cell>
          <cell r="F22">
            <v>66101.820000000007</v>
          </cell>
          <cell r="G22">
            <v>330509.10000000003</v>
          </cell>
          <cell r="H22">
            <v>5</v>
          </cell>
          <cell r="I22">
            <v>66101.820000000007</v>
          </cell>
          <cell r="J22">
            <v>330509.10000000003</v>
          </cell>
          <cell r="K22">
            <v>0</v>
          </cell>
          <cell r="L22">
            <v>0</v>
          </cell>
          <cell r="M22">
            <v>0</v>
          </cell>
          <cell r="N22">
            <v>0</v>
          </cell>
          <cell r="O22">
            <v>0</v>
          </cell>
          <cell r="P22">
            <v>0</v>
          </cell>
          <cell r="Q22">
            <v>5</v>
          </cell>
          <cell r="R22">
            <v>66101.820000000007</v>
          </cell>
          <cell r="S22">
            <v>330509.10000000003</v>
          </cell>
          <cell r="T22">
            <v>160200</v>
          </cell>
        </row>
        <row r="23">
          <cell r="B23">
            <v>440021</v>
          </cell>
          <cell r="C23" t="str">
            <v>Àíòåíí</v>
          </cell>
          <cell r="D23" t="str">
            <v>ш</v>
          </cell>
          <cell r="E23">
            <v>1</v>
          </cell>
          <cell r="F23">
            <v>159090.91</v>
          </cell>
          <cell r="G23">
            <v>159090.91</v>
          </cell>
          <cell r="H23">
            <v>1</v>
          </cell>
          <cell r="I23">
            <v>159090.91</v>
          </cell>
          <cell r="J23">
            <v>159090.91</v>
          </cell>
          <cell r="K23">
            <v>0</v>
          </cell>
          <cell r="L23">
            <v>0</v>
          </cell>
          <cell r="M23">
            <v>0</v>
          </cell>
          <cell r="N23">
            <v>0</v>
          </cell>
          <cell r="O23">
            <v>0</v>
          </cell>
          <cell r="P23">
            <v>0</v>
          </cell>
          <cell r="Q23">
            <v>1</v>
          </cell>
          <cell r="R23">
            <v>159090.91</v>
          </cell>
          <cell r="S23">
            <v>159090.91</v>
          </cell>
          <cell r="T23">
            <v>160200</v>
          </cell>
        </row>
        <row r="24">
          <cell r="B24">
            <v>440007</v>
          </cell>
          <cell r="C24" t="str">
            <v xml:space="preserve">Õàÿàâ÷ </v>
          </cell>
          <cell r="D24" t="str">
            <v>ш</v>
          </cell>
          <cell r="E24">
            <v>1</v>
          </cell>
          <cell r="F24">
            <v>40909.089999999997</v>
          </cell>
          <cell r="G24">
            <v>40909.089999999997</v>
          </cell>
          <cell r="H24">
            <v>1</v>
          </cell>
          <cell r="I24">
            <v>40909.089999999997</v>
          </cell>
          <cell r="J24">
            <v>40909.089999999997</v>
          </cell>
          <cell r="K24">
            <v>0</v>
          </cell>
          <cell r="L24">
            <v>0</v>
          </cell>
          <cell r="M24">
            <v>0</v>
          </cell>
          <cell r="N24">
            <v>0</v>
          </cell>
          <cell r="O24">
            <v>0</v>
          </cell>
          <cell r="P24">
            <v>0</v>
          </cell>
          <cell r="Q24">
            <v>1</v>
          </cell>
          <cell r="R24">
            <v>40909.089999999997</v>
          </cell>
          <cell r="S24">
            <v>40909.089999999997</v>
          </cell>
          <cell r="T24">
            <v>160200</v>
          </cell>
        </row>
        <row r="25">
          <cell r="B25">
            <v>440008</v>
          </cell>
          <cell r="C25" t="str">
            <v xml:space="preserve">Ýñãèé </v>
          </cell>
          <cell r="D25" t="str">
            <v>м</v>
          </cell>
          <cell r="E25">
            <v>18.5</v>
          </cell>
          <cell r="F25">
            <v>10000</v>
          </cell>
          <cell r="G25">
            <v>185000</v>
          </cell>
          <cell r="H25">
            <v>18.5</v>
          </cell>
          <cell r="I25">
            <v>10000</v>
          </cell>
          <cell r="J25">
            <v>185000</v>
          </cell>
          <cell r="K25">
            <v>0</v>
          </cell>
          <cell r="L25">
            <v>0</v>
          </cell>
          <cell r="M25">
            <v>0</v>
          </cell>
          <cell r="N25">
            <v>18.5</v>
          </cell>
          <cell r="O25">
            <v>10000</v>
          </cell>
          <cell r="P25">
            <v>185000</v>
          </cell>
          <cell r="Q25">
            <v>0</v>
          </cell>
          <cell r="R25">
            <v>0</v>
          </cell>
          <cell r="S25">
            <v>0</v>
          </cell>
          <cell r="T25">
            <v>160200</v>
          </cell>
        </row>
        <row r="26">
          <cell r="B26">
            <v>430153</v>
          </cell>
          <cell r="C26" t="str">
            <v>Èâ¿¿ð/âàãîíû/</v>
          </cell>
          <cell r="D26" t="str">
            <v>ш</v>
          </cell>
          <cell r="E26">
            <v>4</v>
          </cell>
          <cell r="F26">
            <v>35000</v>
          </cell>
          <cell r="G26">
            <v>140000</v>
          </cell>
          <cell r="H26">
            <v>4</v>
          </cell>
          <cell r="I26">
            <v>35000</v>
          </cell>
          <cell r="J26">
            <v>140000</v>
          </cell>
          <cell r="K26">
            <v>0</v>
          </cell>
          <cell r="L26">
            <v>0</v>
          </cell>
          <cell r="M26">
            <v>0</v>
          </cell>
          <cell r="N26">
            <v>0</v>
          </cell>
          <cell r="O26">
            <v>0</v>
          </cell>
          <cell r="P26">
            <v>0</v>
          </cell>
          <cell r="Q26">
            <v>4</v>
          </cell>
          <cell r="R26">
            <v>35000</v>
          </cell>
          <cell r="S26">
            <v>140000</v>
          </cell>
          <cell r="T26">
            <v>160200</v>
          </cell>
        </row>
        <row r="27">
          <cell r="B27">
            <v>430023</v>
          </cell>
          <cell r="C27" t="str">
            <v xml:space="preserve">Ãðàäóñòàé õºðºº </v>
          </cell>
          <cell r="D27" t="str">
            <v>ш</v>
          </cell>
          <cell r="E27">
            <v>4</v>
          </cell>
          <cell r="F27">
            <v>339166.67</v>
          </cell>
          <cell r="G27">
            <v>1356666.68</v>
          </cell>
          <cell r="H27">
            <v>4</v>
          </cell>
          <cell r="I27">
            <v>339166.67</v>
          </cell>
          <cell r="J27">
            <v>1356666.68</v>
          </cell>
          <cell r="K27">
            <v>0</v>
          </cell>
          <cell r="L27">
            <v>0</v>
          </cell>
          <cell r="M27">
            <v>0</v>
          </cell>
          <cell r="N27">
            <v>0</v>
          </cell>
          <cell r="O27">
            <v>0</v>
          </cell>
          <cell r="P27">
            <v>0</v>
          </cell>
          <cell r="Q27">
            <v>4</v>
          </cell>
          <cell r="R27">
            <v>339166.67</v>
          </cell>
          <cell r="S27">
            <v>1356666.68</v>
          </cell>
          <cell r="T27">
            <v>160200</v>
          </cell>
        </row>
        <row r="28">
          <cell r="B28">
            <v>430025</v>
          </cell>
          <cell r="C28" t="str">
            <v xml:space="preserve">Ìàêèòà õºðºº </v>
          </cell>
          <cell r="D28" t="str">
            <v>ш</v>
          </cell>
          <cell r="E28">
            <v>1</v>
          </cell>
          <cell r="F28">
            <v>945000</v>
          </cell>
          <cell r="G28">
            <v>945000</v>
          </cell>
          <cell r="H28">
            <v>1</v>
          </cell>
          <cell r="I28">
            <v>945000</v>
          </cell>
          <cell r="J28">
            <v>945000</v>
          </cell>
          <cell r="K28">
            <v>0</v>
          </cell>
          <cell r="L28">
            <v>0</v>
          </cell>
          <cell r="M28">
            <v>0</v>
          </cell>
          <cell r="N28">
            <v>0</v>
          </cell>
          <cell r="O28">
            <v>0</v>
          </cell>
          <cell r="P28">
            <v>0</v>
          </cell>
          <cell r="Q28">
            <v>1</v>
          </cell>
          <cell r="R28">
            <v>945000</v>
          </cell>
          <cell r="S28">
            <v>945000</v>
          </cell>
          <cell r="T28">
            <v>160200</v>
          </cell>
        </row>
        <row r="29">
          <cell r="B29">
            <v>430026</v>
          </cell>
          <cell r="C29" t="str">
            <v xml:space="preserve">Ç¿ëã¿¿ðèéí ìàøèí </v>
          </cell>
          <cell r="D29" t="str">
            <v>ш</v>
          </cell>
          <cell r="E29">
            <v>3</v>
          </cell>
          <cell r="F29">
            <v>60666.670000000006</v>
          </cell>
          <cell r="G29">
            <v>182000.01</v>
          </cell>
          <cell r="H29">
            <v>3</v>
          </cell>
          <cell r="I29">
            <v>60666.670000000006</v>
          </cell>
          <cell r="J29">
            <v>182000.01</v>
          </cell>
          <cell r="K29">
            <v>0</v>
          </cell>
          <cell r="L29">
            <v>0</v>
          </cell>
          <cell r="M29">
            <v>0</v>
          </cell>
          <cell r="N29">
            <v>0</v>
          </cell>
          <cell r="O29">
            <v>0</v>
          </cell>
          <cell r="P29">
            <v>0</v>
          </cell>
          <cell r="Q29">
            <v>3</v>
          </cell>
          <cell r="R29">
            <v>60666.670000000006</v>
          </cell>
          <cell r="S29">
            <v>182000.01</v>
          </cell>
          <cell r="T29">
            <v>160200</v>
          </cell>
        </row>
        <row r="30">
          <cell r="B30">
            <v>430028</v>
          </cell>
          <cell r="C30" t="str">
            <v xml:space="preserve">Äðåëü </v>
          </cell>
          <cell r="D30" t="str">
            <v>ш</v>
          </cell>
          <cell r="E30">
            <v>6</v>
          </cell>
          <cell r="F30">
            <v>74500</v>
          </cell>
          <cell r="G30">
            <v>447000</v>
          </cell>
          <cell r="H30">
            <v>6</v>
          </cell>
          <cell r="I30">
            <v>74500</v>
          </cell>
          <cell r="J30">
            <v>447000</v>
          </cell>
          <cell r="K30">
            <v>0</v>
          </cell>
          <cell r="L30">
            <v>0</v>
          </cell>
          <cell r="M30">
            <v>0</v>
          </cell>
          <cell r="N30">
            <v>0</v>
          </cell>
          <cell r="O30">
            <v>0</v>
          </cell>
          <cell r="P30">
            <v>0</v>
          </cell>
          <cell r="Q30">
            <v>6</v>
          </cell>
          <cell r="R30">
            <v>74500</v>
          </cell>
          <cell r="S30">
            <v>447000</v>
          </cell>
          <cell r="T30">
            <v>160200</v>
          </cell>
        </row>
        <row r="31">
          <cell r="B31">
            <v>430032</v>
          </cell>
          <cell r="C31" t="str">
            <v xml:space="preserve">×àíãàëàã÷ </v>
          </cell>
          <cell r="D31" t="str">
            <v>ш</v>
          </cell>
          <cell r="E31">
            <v>3</v>
          </cell>
          <cell r="F31">
            <v>9000</v>
          </cell>
          <cell r="G31">
            <v>27000</v>
          </cell>
          <cell r="H31">
            <v>3</v>
          </cell>
          <cell r="I31">
            <v>9000</v>
          </cell>
          <cell r="J31">
            <v>27000</v>
          </cell>
          <cell r="K31">
            <v>0</v>
          </cell>
          <cell r="L31">
            <v>0</v>
          </cell>
          <cell r="M31">
            <v>0</v>
          </cell>
          <cell r="N31">
            <v>0</v>
          </cell>
          <cell r="O31">
            <v>0</v>
          </cell>
          <cell r="P31">
            <v>0</v>
          </cell>
          <cell r="Q31">
            <v>3</v>
          </cell>
          <cell r="R31">
            <v>9000</v>
          </cell>
          <cell r="S31">
            <v>27000</v>
          </cell>
          <cell r="T31">
            <v>160200</v>
          </cell>
        </row>
        <row r="32">
          <cell r="B32">
            <v>430036</v>
          </cell>
          <cell r="C32" t="str">
            <v xml:space="preserve">Âèáðàòîð </v>
          </cell>
          <cell r="D32" t="str">
            <v>ш</v>
          </cell>
          <cell r="E32">
            <v>1</v>
          </cell>
          <cell r="F32">
            <v>55000</v>
          </cell>
          <cell r="G32">
            <v>55000</v>
          </cell>
          <cell r="H32">
            <v>1</v>
          </cell>
          <cell r="I32">
            <v>55000</v>
          </cell>
          <cell r="J32">
            <v>55000</v>
          </cell>
          <cell r="K32">
            <v>0</v>
          </cell>
          <cell r="L32">
            <v>0</v>
          </cell>
          <cell r="M32">
            <v>0</v>
          </cell>
          <cell r="N32">
            <v>0</v>
          </cell>
          <cell r="O32">
            <v>0</v>
          </cell>
          <cell r="P32">
            <v>0</v>
          </cell>
          <cell r="Q32">
            <v>1</v>
          </cell>
          <cell r="R32">
            <v>55000</v>
          </cell>
          <cell r="S32">
            <v>55000</v>
          </cell>
          <cell r="T32">
            <v>160200</v>
          </cell>
        </row>
        <row r="33">
          <cell r="B33">
            <v>430037</v>
          </cell>
          <cell r="C33" t="str">
            <v xml:space="preserve">Óñ öýâýðø¿¿ëýõ òºõººðìæ </v>
          </cell>
          <cell r="D33" t="str">
            <v>ш</v>
          </cell>
          <cell r="E33">
            <v>1</v>
          </cell>
          <cell r="F33">
            <v>300000</v>
          </cell>
          <cell r="G33">
            <v>300000</v>
          </cell>
          <cell r="H33">
            <v>1</v>
          </cell>
          <cell r="I33">
            <v>300000</v>
          </cell>
          <cell r="J33">
            <v>300000</v>
          </cell>
          <cell r="K33">
            <v>0</v>
          </cell>
          <cell r="L33">
            <v>0</v>
          </cell>
          <cell r="M33">
            <v>0</v>
          </cell>
          <cell r="N33">
            <v>0</v>
          </cell>
          <cell r="O33">
            <v>0</v>
          </cell>
          <cell r="P33">
            <v>0</v>
          </cell>
          <cell r="Q33">
            <v>1</v>
          </cell>
          <cell r="R33">
            <v>300000</v>
          </cell>
          <cell r="S33">
            <v>300000</v>
          </cell>
          <cell r="T33">
            <v>160200</v>
          </cell>
        </row>
        <row r="34">
          <cell r="B34">
            <v>430039</v>
          </cell>
          <cell r="C34" t="str">
            <v xml:space="preserve">Ãàãíóóðûí àïïàðàò </v>
          </cell>
          <cell r="D34" t="str">
            <v>ш</v>
          </cell>
          <cell r="E34">
            <v>3</v>
          </cell>
          <cell r="F34">
            <v>29100</v>
          </cell>
          <cell r="G34">
            <v>87300</v>
          </cell>
          <cell r="H34">
            <v>3</v>
          </cell>
          <cell r="I34">
            <v>29100</v>
          </cell>
          <cell r="J34">
            <v>87300</v>
          </cell>
          <cell r="K34">
            <v>0</v>
          </cell>
          <cell r="L34">
            <v>0</v>
          </cell>
          <cell r="M34">
            <v>0</v>
          </cell>
          <cell r="N34">
            <v>0</v>
          </cell>
          <cell r="O34">
            <v>0</v>
          </cell>
          <cell r="P34">
            <v>0</v>
          </cell>
          <cell r="Q34">
            <v>3</v>
          </cell>
          <cell r="R34">
            <v>29100</v>
          </cell>
          <cell r="S34">
            <v>87300</v>
          </cell>
          <cell r="T34">
            <v>160200</v>
          </cell>
        </row>
        <row r="35">
          <cell r="B35">
            <v>430042</v>
          </cell>
          <cell r="C35" t="str">
            <v xml:space="preserve">Áåòîí çóóðàã÷ </v>
          </cell>
          <cell r="D35" t="str">
            <v>ш</v>
          </cell>
          <cell r="E35">
            <v>1</v>
          </cell>
          <cell r="F35">
            <v>1650000</v>
          </cell>
          <cell r="G35">
            <v>1650000</v>
          </cell>
          <cell r="H35">
            <v>1</v>
          </cell>
          <cell r="I35">
            <v>1650000</v>
          </cell>
          <cell r="J35">
            <v>1650000</v>
          </cell>
          <cell r="K35">
            <v>0</v>
          </cell>
          <cell r="L35">
            <v>0</v>
          </cell>
          <cell r="M35">
            <v>0</v>
          </cell>
          <cell r="N35">
            <v>0</v>
          </cell>
          <cell r="O35">
            <v>0</v>
          </cell>
          <cell r="P35">
            <v>0</v>
          </cell>
          <cell r="Q35">
            <v>1</v>
          </cell>
          <cell r="R35">
            <v>1650000</v>
          </cell>
          <cell r="S35">
            <v>1650000</v>
          </cell>
          <cell r="T35">
            <v>160200</v>
          </cell>
        </row>
        <row r="36">
          <cell r="B36">
            <v>430043</v>
          </cell>
          <cell r="C36" t="str">
            <v xml:space="preserve">Ãàçîâ </v>
          </cell>
          <cell r="D36" t="str">
            <v>ш</v>
          </cell>
          <cell r="E36">
            <v>4</v>
          </cell>
          <cell r="F36">
            <v>18250</v>
          </cell>
          <cell r="G36">
            <v>73000</v>
          </cell>
          <cell r="H36">
            <v>4</v>
          </cell>
          <cell r="I36">
            <v>18250</v>
          </cell>
          <cell r="J36">
            <v>73000</v>
          </cell>
          <cell r="K36">
            <v>0</v>
          </cell>
          <cell r="L36">
            <v>0</v>
          </cell>
          <cell r="M36">
            <v>0</v>
          </cell>
          <cell r="N36">
            <v>0</v>
          </cell>
          <cell r="O36">
            <v>0</v>
          </cell>
          <cell r="P36">
            <v>0</v>
          </cell>
          <cell r="Q36">
            <v>4</v>
          </cell>
          <cell r="R36">
            <v>18250</v>
          </cell>
          <cell r="S36">
            <v>73000</v>
          </cell>
          <cell r="T36">
            <v>160200</v>
          </cell>
        </row>
        <row r="37">
          <cell r="B37">
            <v>430008</v>
          </cell>
          <cell r="C37" t="str">
            <v>HERA õºëäººã÷</v>
          </cell>
          <cell r="D37" t="str">
            <v>ш</v>
          </cell>
          <cell r="E37">
            <v>1</v>
          </cell>
          <cell r="F37">
            <v>249000</v>
          </cell>
          <cell r="G37">
            <v>249000</v>
          </cell>
          <cell r="H37">
            <v>1</v>
          </cell>
          <cell r="I37">
            <v>249000</v>
          </cell>
          <cell r="J37">
            <v>249000</v>
          </cell>
          <cell r="K37">
            <v>0</v>
          </cell>
          <cell r="L37">
            <v>0</v>
          </cell>
          <cell r="M37">
            <v>0</v>
          </cell>
          <cell r="N37">
            <v>0</v>
          </cell>
          <cell r="O37">
            <v>0</v>
          </cell>
          <cell r="P37">
            <v>0</v>
          </cell>
          <cell r="Q37">
            <v>1</v>
          </cell>
          <cell r="R37">
            <v>249000</v>
          </cell>
          <cell r="S37">
            <v>249000</v>
          </cell>
          <cell r="T37">
            <v>160200</v>
          </cell>
        </row>
        <row r="38">
          <cell r="B38">
            <v>430009</v>
          </cell>
          <cell r="C38" t="str">
            <v xml:space="preserve">Òàâãàí æèí 20 êã </v>
          </cell>
          <cell r="D38" t="str">
            <v>ш</v>
          </cell>
          <cell r="E38">
            <v>1</v>
          </cell>
          <cell r="F38">
            <v>15000</v>
          </cell>
          <cell r="G38">
            <v>15000</v>
          </cell>
          <cell r="H38">
            <v>1</v>
          </cell>
          <cell r="I38">
            <v>15000</v>
          </cell>
          <cell r="J38">
            <v>15000</v>
          </cell>
          <cell r="K38">
            <v>0</v>
          </cell>
          <cell r="L38">
            <v>0</v>
          </cell>
          <cell r="M38">
            <v>0</v>
          </cell>
          <cell r="N38">
            <v>0</v>
          </cell>
          <cell r="O38">
            <v>0</v>
          </cell>
          <cell r="P38">
            <v>0</v>
          </cell>
          <cell r="Q38">
            <v>1</v>
          </cell>
          <cell r="R38">
            <v>15000</v>
          </cell>
          <cell r="S38">
            <v>15000</v>
          </cell>
          <cell r="T38">
            <v>160200</v>
          </cell>
        </row>
        <row r="39">
          <cell r="B39">
            <v>420058</v>
          </cell>
          <cell r="C39" t="str">
            <v xml:space="preserve">Сэлбэг </v>
          </cell>
          <cell r="D39" t="str">
            <v>ш</v>
          </cell>
          <cell r="E39">
            <v>12</v>
          </cell>
          <cell r="F39">
            <v>59333.71212121212</v>
          </cell>
          <cell r="G39">
            <v>712004.54545454541</v>
          </cell>
          <cell r="H39">
            <v>12</v>
          </cell>
          <cell r="I39">
            <v>59333.71212121212</v>
          </cell>
          <cell r="J39">
            <v>712004.54545454541</v>
          </cell>
          <cell r="K39">
            <v>1</v>
          </cell>
          <cell r="L39">
            <v>89520</v>
          </cell>
          <cell r="M39">
            <v>89520</v>
          </cell>
          <cell r="N39">
            <v>13</v>
          </cell>
          <cell r="O39">
            <v>61655.73426573426</v>
          </cell>
          <cell r="P39">
            <v>801524.54545454541</v>
          </cell>
          <cell r="Q39">
            <v>0</v>
          </cell>
          <cell r="R39">
            <v>0</v>
          </cell>
          <cell r="S39">
            <v>0</v>
          </cell>
          <cell r="T39">
            <v>160200</v>
          </cell>
        </row>
        <row r="40">
          <cell r="B40">
            <v>410050</v>
          </cell>
          <cell r="C40" t="str">
            <v>Ëèñò 2ñì</v>
          </cell>
          <cell r="D40" t="str">
            <v>ш</v>
          </cell>
          <cell r="E40">
            <v>462</v>
          </cell>
          <cell r="F40">
            <v>13220.78</v>
          </cell>
          <cell r="G40">
            <v>6108000.3600000003</v>
          </cell>
          <cell r="H40">
            <v>462</v>
          </cell>
          <cell r="I40">
            <v>13220.78</v>
          </cell>
          <cell r="J40">
            <v>6108000.3600000003</v>
          </cell>
          <cell r="K40">
            <v>0</v>
          </cell>
          <cell r="L40">
            <v>0</v>
          </cell>
          <cell r="M40">
            <v>0</v>
          </cell>
          <cell r="N40">
            <v>206</v>
          </cell>
          <cell r="O40">
            <v>13220.78</v>
          </cell>
          <cell r="P40">
            <v>2723480.68</v>
          </cell>
          <cell r="Q40">
            <v>256</v>
          </cell>
          <cell r="R40">
            <v>13220.78</v>
          </cell>
          <cell r="S40">
            <v>3384519.68</v>
          </cell>
          <cell r="T40">
            <v>160100</v>
          </cell>
        </row>
        <row r="41">
          <cell r="B41">
            <v>410054</v>
          </cell>
          <cell r="C41" t="str">
            <v xml:space="preserve">Будаг шингэлэгч </v>
          </cell>
          <cell r="D41" t="str">
            <v>ш</v>
          </cell>
          <cell r="E41">
            <v>506</v>
          </cell>
          <cell r="F41">
            <v>2115.3000341358247</v>
          </cell>
          <cell r="G41">
            <v>1070341.8172727274</v>
          </cell>
          <cell r="H41">
            <v>506</v>
          </cell>
          <cell r="I41">
            <v>2115.3000341358247</v>
          </cell>
          <cell r="J41">
            <v>1070341.8172727274</v>
          </cell>
          <cell r="K41">
            <v>400</v>
          </cell>
          <cell r="L41">
            <v>1765</v>
          </cell>
          <cell r="M41">
            <v>706000</v>
          </cell>
          <cell r="N41">
            <v>0</v>
          </cell>
          <cell r="O41">
            <v>0</v>
          </cell>
          <cell r="P41">
            <v>0</v>
          </cell>
          <cell r="Q41">
            <v>906</v>
          </cell>
          <cell r="R41">
            <v>1960.6421824202289</v>
          </cell>
          <cell r="S41">
            <v>1776341.8172727274</v>
          </cell>
          <cell r="T41">
            <v>160100</v>
          </cell>
        </row>
        <row r="42">
          <cell r="B42">
            <v>410077</v>
          </cell>
          <cell r="C42" t="str">
            <v xml:space="preserve">Äýýâðèéí òºìºð </v>
          </cell>
          <cell r="D42" t="str">
            <v>ш</v>
          </cell>
          <cell r="E42">
            <v>441</v>
          </cell>
          <cell r="F42">
            <v>12244.45</v>
          </cell>
          <cell r="G42">
            <v>5399802.4500000002</v>
          </cell>
          <cell r="H42">
            <v>441</v>
          </cell>
          <cell r="I42">
            <v>12244.45</v>
          </cell>
          <cell r="J42">
            <v>5399802.4500000002</v>
          </cell>
          <cell r="K42">
            <v>0</v>
          </cell>
          <cell r="L42">
            <v>0</v>
          </cell>
          <cell r="M42">
            <v>0</v>
          </cell>
          <cell r="N42">
            <v>0</v>
          </cell>
          <cell r="O42">
            <v>0</v>
          </cell>
          <cell r="P42">
            <v>0</v>
          </cell>
          <cell r="Q42">
            <v>441</v>
          </cell>
          <cell r="R42">
            <v>12244.45</v>
          </cell>
          <cell r="S42">
            <v>5399802.4500000002</v>
          </cell>
          <cell r="T42">
            <v>160100</v>
          </cell>
        </row>
        <row r="43">
          <cell r="B43">
            <v>410082</v>
          </cell>
          <cell r="C43" t="str">
            <v>Áóäàã /Õîíêà/</v>
          </cell>
          <cell r="D43" t="str">
            <v>кг</v>
          </cell>
          <cell r="E43">
            <v>64</v>
          </cell>
          <cell r="F43">
            <v>13040.624987499992</v>
          </cell>
          <cell r="G43">
            <v>834599.9991999995</v>
          </cell>
          <cell r="H43">
            <v>64</v>
          </cell>
          <cell r="I43">
            <v>13040.624987499992</v>
          </cell>
          <cell r="J43">
            <v>834599.9991999995</v>
          </cell>
          <cell r="K43">
            <v>7.5</v>
          </cell>
          <cell r="L43">
            <v>19176.969679999998</v>
          </cell>
          <cell r="M43">
            <v>143827.2726</v>
          </cell>
          <cell r="N43">
            <v>0</v>
          </cell>
          <cell r="O43">
            <v>0</v>
          </cell>
          <cell r="P43">
            <v>0</v>
          </cell>
          <cell r="Q43">
            <v>71.5</v>
          </cell>
          <cell r="R43">
            <v>13684.297507692301</v>
          </cell>
          <cell r="S43">
            <v>978427.27179999952</v>
          </cell>
          <cell r="T43">
            <v>160100</v>
          </cell>
        </row>
        <row r="44">
          <cell r="B44">
            <v>410083</v>
          </cell>
          <cell r="C44" t="str">
            <v xml:space="preserve">ÎÑÏ õàâòàí </v>
          </cell>
          <cell r="D44" t="str">
            <v>ш</v>
          </cell>
          <cell r="E44">
            <v>110</v>
          </cell>
          <cell r="F44">
            <v>123954.55</v>
          </cell>
          <cell r="G44">
            <v>13635000.5</v>
          </cell>
          <cell r="H44">
            <v>110</v>
          </cell>
          <cell r="I44">
            <v>123954.55</v>
          </cell>
          <cell r="J44">
            <v>13635000.5</v>
          </cell>
          <cell r="K44">
            <v>0</v>
          </cell>
          <cell r="L44">
            <v>0</v>
          </cell>
          <cell r="M44">
            <v>0</v>
          </cell>
          <cell r="N44">
            <v>0</v>
          </cell>
          <cell r="O44">
            <v>0</v>
          </cell>
          <cell r="P44">
            <v>0</v>
          </cell>
          <cell r="Q44">
            <v>110</v>
          </cell>
          <cell r="R44">
            <v>123954.55</v>
          </cell>
          <cell r="S44">
            <v>13635000.5</v>
          </cell>
          <cell r="T44">
            <v>160100</v>
          </cell>
        </row>
        <row r="45">
          <cell r="B45">
            <v>410085</v>
          </cell>
          <cell r="C45" t="str">
            <v xml:space="preserve">НЦ-лак </v>
          </cell>
          <cell r="D45" t="str">
            <v>кг</v>
          </cell>
          <cell r="E45">
            <v>810</v>
          </cell>
          <cell r="F45">
            <v>7023.6812554444441</v>
          </cell>
          <cell r="G45">
            <v>5689181.8169099996</v>
          </cell>
          <cell r="H45">
            <v>810</v>
          </cell>
          <cell r="I45">
            <v>7023.6812554444441</v>
          </cell>
          <cell r="J45">
            <v>5689181.8169099996</v>
          </cell>
          <cell r="K45">
            <v>635.4</v>
          </cell>
          <cell r="L45">
            <v>7550.4335120396618</v>
          </cell>
          <cell r="M45">
            <v>4797545.4535500007</v>
          </cell>
          <cell r="N45">
            <v>0</v>
          </cell>
          <cell r="O45">
            <v>0</v>
          </cell>
          <cell r="P45">
            <v>0</v>
          </cell>
          <cell r="Q45">
            <v>1445.4</v>
          </cell>
          <cell r="R45">
            <v>7255.242334620174</v>
          </cell>
          <cell r="S45">
            <v>10486727.27046</v>
          </cell>
          <cell r="T45">
            <v>160100</v>
          </cell>
        </row>
        <row r="46">
          <cell r="B46">
            <v>410087</v>
          </cell>
          <cell r="C46" t="str">
            <v xml:space="preserve">Ãèïñýí õàâòàí </v>
          </cell>
          <cell r="D46" t="str">
            <v>ш</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160100</v>
          </cell>
        </row>
        <row r="47">
          <cell r="B47">
            <v>410089</v>
          </cell>
          <cell r="C47" t="str">
            <v xml:space="preserve">×óëóó </v>
          </cell>
          <cell r="D47" t="str">
            <v>м2</v>
          </cell>
          <cell r="E47">
            <v>15</v>
          </cell>
          <cell r="F47">
            <v>30000</v>
          </cell>
          <cell r="G47">
            <v>450000</v>
          </cell>
          <cell r="H47">
            <v>15</v>
          </cell>
          <cell r="I47">
            <v>30000</v>
          </cell>
          <cell r="J47">
            <v>450000</v>
          </cell>
          <cell r="K47">
            <v>0</v>
          </cell>
          <cell r="L47">
            <v>0</v>
          </cell>
          <cell r="M47">
            <v>0</v>
          </cell>
          <cell r="N47">
            <v>0</v>
          </cell>
          <cell r="O47">
            <v>0</v>
          </cell>
          <cell r="P47">
            <v>0</v>
          </cell>
          <cell r="Q47">
            <v>15</v>
          </cell>
          <cell r="R47">
            <v>30000</v>
          </cell>
          <cell r="S47">
            <v>450000</v>
          </cell>
          <cell r="T47">
            <v>160100</v>
          </cell>
        </row>
        <row r="48">
          <cell r="B48">
            <v>410093</v>
          </cell>
          <cell r="C48" t="str">
            <v xml:space="preserve">Òîîëóóð </v>
          </cell>
          <cell r="D48" t="str">
            <v>ш</v>
          </cell>
          <cell r="E48">
            <v>3</v>
          </cell>
          <cell r="F48">
            <v>180606.05999999997</v>
          </cell>
          <cell r="G48">
            <v>541818.17999999993</v>
          </cell>
          <cell r="H48">
            <v>3</v>
          </cell>
          <cell r="I48">
            <v>180606.05999999997</v>
          </cell>
          <cell r="J48">
            <v>541818.17999999993</v>
          </cell>
          <cell r="K48">
            <v>0</v>
          </cell>
          <cell r="L48">
            <v>0</v>
          </cell>
          <cell r="M48">
            <v>0</v>
          </cell>
          <cell r="N48">
            <v>0</v>
          </cell>
          <cell r="O48">
            <v>0</v>
          </cell>
          <cell r="P48">
            <v>0</v>
          </cell>
          <cell r="Q48">
            <v>3</v>
          </cell>
          <cell r="R48">
            <v>180606.05999999997</v>
          </cell>
          <cell r="S48">
            <v>541818.17999999993</v>
          </cell>
          <cell r="T48">
            <v>160100</v>
          </cell>
        </row>
        <row r="49">
          <cell r="B49">
            <v>410098</v>
          </cell>
          <cell r="C49" t="str">
            <v xml:space="preserve">Óãààëòóóð </v>
          </cell>
          <cell r="D49" t="str">
            <v>ш</v>
          </cell>
          <cell r="E49">
            <v>4</v>
          </cell>
          <cell r="F49">
            <v>303295.46000000002</v>
          </cell>
          <cell r="G49">
            <v>1213181.8400000001</v>
          </cell>
          <cell r="H49">
            <v>4</v>
          </cell>
          <cell r="I49">
            <v>303295.46000000002</v>
          </cell>
          <cell r="J49">
            <v>1213181.8400000001</v>
          </cell>
          <cell r="K49">
            <v>0</v>
          </cell>
          <cell r="L49">
            <v>0</v>
          </cell>
          <cell r="M49">
            <v>0</v>
          </cell>
          <cell r="N49">
            <v>0</v>
          </cell>
          <cell r="O49">
            <v>0</v>
          </cell>
          <cell r="P49">
            <v>0</v>
          </cell>
          <cell r="Q49">
            <v>4</v>
          </cell>
          <cell r="R49">
            <v>303295.46000000002</v>
          </cell>
          <cell r="S49">
            <v>1213181.8400000001</v>
          </cell>
          <cell r="T49">
            <v>160100</v>
          </cell>
        </row>
        <row r="50">
          <cell r="B50">
            <v>410106</v>
          </cell>
          <cell r="C50" t="str">
            <v xml:space="preserve">Öàõèëãààí çóóõ </v>
          </cell>
          <cell r="D50" t="str">
            <v>ш</v>
          </cell>
          <cell r="E50">
            <v>4</v>
          </cell>
          <cell r="F50">
            <v>1399204.55</v>
          </cell>
          <cell r="G50">
            <v>5596818.2000000002</v>
          </cell>
          <cell r="H50">
            <v>4</v>
          </cell>
          <cell r="I50">
            <v>1399204.55</v>
          </cell>
          <cell r="J50">
            <v>5596818.2000000002</v>
          </cell>
          <cell r="K50">
            <v>0</v>
          </cell>
          <cell r="L50">
            <v>0</v>
          </cell>
          <cell r="M50">
            <v>0</v>
          </cell>
          <cell r="N50">
            <v>0</v>
          </cell>
          <cell r="O50">
            <v>0</v>
          </cell>
          <cell r="P50">
            <v>0</v>
          </cell>
          <cell r="Q50">
            <v>4</v>
          </cell>
          <cell r="R50">
            <v>1399204.55</v>
          </cell>
          <cell r="S50">
            <v>5596818.2000000002</v>
          </cell>
          <cell r="T50">
            <v>160100</v>
          </cell>
        </row>
        <row r="51">
          <cell r="B51">
            <v>410130</v>
          </cell>
          <cell r="C51" t="str">
            <v xml:space="preserve">Áîéëîð </v>
          </cell>
          <cell r="D51" t="str">
            <v>ш</v>
          </cell>
          <cell r="E51">
            <v>3</v>
          </cell>
          <cell r="F51">
            <v>281212.12</v>
          </cell>
          <cell r="G51">
            <v>843636.36</v>
          </cell>
          <cell r="H51">
            <v>3</v>
          </cell>
          <cell r="I51">
            <v>281212.12</v>
          </cell>
          <cell r="J51">
            <v>843636.36</v>
          </cell>
          <cell r="K51">
            <v>0</v>
          </cell>
          <cell r="L51">
            <v>0</v>
          </cell>
          <cell r="M51">
            <v>0</v>
          </cell>
          <cell r="N51">
            <v>0</v>
          </cell>
          <cell r="O51">
            <v>0</v>
          </cell>
          <cell r="P51">
            <v>0</v>
          </cell>
          <cell r="Q51">
            <v>3</v>
          </cell>
          <cell r="R51">
            <v>281212.12</v>
          </cell>
          <cell r="S51">
            <v>843636.36</v>
          </cell>
          <cell r="T51">
            <v>160100</v>
          </cell>
        </row>
        <row r="52">
          <cell r="B52">
            <v>410137</v>
          </cell>
          <cell r="C52" t="str">
            <v>Òýëýëòèéí ñàâ</v>
          </cell>
          <cell r="D52" t="str">
            <v>ш</v>
          </cell>
          <cell r="E52">
            <v>1</v>
          </cell>
          <cell r="F52">
            <v>65927.27</v>
          </cell>
          <cell r="G52">
            <v>65927.27</v>
          </cell>
          <cell r="H52">
            <v>1</v>
          </cell>
          <cell r="I52">
            <v>65927.27</v>
          </cell>
          <cell r="J52">
            <v>65927.27</v>
          </cell>
          <cell r="K52">
            <v>0</v>
          </cell>
          <cell r="L52">
            <v>0</v>
          </cell>
          <cell r="M52">
            <v>0</v>
          </cell>
          <cell r="N52">
            <v>0</v>
          </cell>
          <cell r="O52">
            <v>0</v>
          </cell>
          <cell r="P52">
            <v>0</v>
          </cell>
          <cell r="Q52">
            <v>1</v>
          </cell>
          <cell r="R52">
            <v>65927.27</v>
          </cell>
          <cell r="S52">
            <v>65927.27</v>
          </cell>
          <cell r="T52">
            <v>160100</v>
          </cell>
        </row>
        <row r="53">
          <cell r="B53">
            <v>410140</v>
          </cell>
          <cell r="C53" t="str">
            <v xml:space="preserve">Ðàäèàòîð </v>
          </cell>
          <cell r="D53" t="str">
            <v>ш</v>
          </cell>
          <cell r="E53">
            <v>22</v>
          </cell>
          <cell r="F53">
            <v>158413.22</v>
          </cell>
          <cell r="G53">
            <v>3485090.84</v>
          </cell>
          <cell r="H53">
            <v>22</v>
          </cell>
          <cell r="I53">
            <v>158413.22</v>
          </cell>
          <cell r="J53">
            <v>3485090.84</v>
          </cell>
          <cell r="K53">
            <v>0</v>
          </cell>
          <cell r="L53">
            <v>0</v>
          </cell>
          <cell r="M53">
            <v>0</v>
          </cell>
          <cell r="N53">
            <v>0</v>
          </cell>
          <cell r="O53">
            <v>0</v>
          </cell>
          <cell r="P53">
            <v>0</v>
          </cell>
          <cell r="Q53">
            <v>22</v>
          </cell>
          <cell r="R53">
            <v>158413.22</v>
          </cell>
          <cell r="S53">
            <v>3485090.84</v>
          </cell>
          <cell r="T53">
            <v>160100</v>
          </cell>
        </row>
        <row r="54">
          <cell r="B54">
            <v>410268</v>
          </cell>
          <cell r="C54" t="str">
            <v xml:space="preserve">Äýýâðèéí êàðíèç </v>
          </cell>
          <cell r="D54" t="str">
            <v>ш</v>
          </cell>
          <cell r="E54">
            <v>37</v>
          </cell>
          <cell r="F54">
            <v>12243.24</v>
          </cell>
          <cell r="G54">
            <v>452999.88</v>
          </cell>
          <cell r="H54">
            <v>37</v>
          </cell>
          <cell r="I54">
            <v>12243.24</v>
          </cell>
          <cell r="J54">
            <v>452999.88</v>
          </cell>
          <cell r="K54">
            <v>0</v>
          </cell>
          <cell r="L54">
            <v>0</v>
          </cell>
          <cell r="M54">
            <v>0</v>
          </cell>
          <cell r="N54">
            <v>0</v>
          </cell>
          <cell r="O54">
            <v>0</v>
          </cell>
          <cell r="P54">
            <v>0</v>
          </cell>
          <cell r="Q54">
            <v>37</v>
          </cell>
          <cell r="R54">
            <v>12243.24</v>
          </cell>
          <cell r="S54">
            <v>452999.88</v>
          </cell>
          <cell r="T54">
            <v>160100</v>
          </cell>
        </row>
        <row r="55">
          <cell r="B55">
            <v>410269</v>
          </cell>
          <cell r="C55" t="str">
            <v xml:space="preserve">Íóðóó òºìºð </v>
          </cell>
          <cell r="D55" t="str">
            <v>ш</v>
          </cell>
          <cell r="E55">
            <v>26</v>
          </cell>
          <cell r="F55">
            <v>14000</v>
          </cell>
          <cell r="G55">
            <v>364000</v>
          </cell>
          <cell r="H55">
            <v>26</v>
          </cell>
          <cell r="I55">
            <v>14000</v>
          </cell>
          <cell r="J55">
            <v>364000</v>
          </cell>
          <cell r="K55">
            <v>0</v>
          </cell>
          <cell r="L55">
            <v>0</v>
          </cell>
          <cell r="M55">
            <v>0</v>
          </cell>
          <cell r="N55">
            <v>0</v>
          </cell>
          <cell r="O55">
            <v>0</v>
          </cell>
          <cell r="P55">
            <v>0</v>
          </cell>
          <cell r="Q55">
            <v>26</v>
          </cell>
          <cell r="R55">
            <v>14000</v>
          </cell>
          <cell r="S55">
            <v>364000</v>
          </cell>
          <cell r="T55">
            <v>160100</v>
          </cell>
        </row>
        <row r="56">
          <cell r="B56">
            <v>410271</v>
          </cell>
          <cell r="C56" t="str">
            <v>¨íäîâ îðîñ</v>
          </cell>
          <cell r="D56" t="str">
            <v>ш</v>
          </cell>
          <cell r="E56">
            <v>30</v>
          </cell>
          <cell r="F56">
            <v>2500</v>
          </cell>
          <cell r="G56">
            <v>75000</v>
          </cell>
          <cell r="H56">
            <v>30</v>
          </cell>
          <cell r="I56">
            <v>2500</v>
          </cell>
          <cell r="J56">
            <v>75000</v>
          </cell>
          <cell r="K56">
            <v>0</v>
          </cell>
          <cell r="L56">
            <v>0</v>
          </cell>
          <cell r="M56">
            <v>0</v>
          </cell>
          <cell r="N56">
            <v>0</v>
          </cell>
          <cell r="O56">
            <v>0</v>
          </cell>
          <cell r="P56">
            <v>0</v>
          </cell>
          <cell r="Q56">
            <v>30</v>
          </cell>
          <cell r="R56">
            <v>2500</v>
          </cell>
          <cell r="S56">
            <v>75000</v>
          </cell>
          <cell r="T56">
            <v>160100</v>
          </cell>
        </row>
        <row r="57">
          <cell r="B57">
            <v>410279</v>
          </cell>
          <cell r="C57" t="str">
            <v xml:space="preserve">Âàêóì öîíõ </v>
          </cell>
          <cell r="D57" t="str">
            <v>м2</v>
          </cell>
          <cell r="E57">
            <v>13.67</v>
          </cell>
          <cell r="F57">
            <v>280000</v>
          </cell>
          <cell r="G57">
            <v>3827600</v>
          </cell>
          <cell r="H57">
            <v>13.67</v>
          </cell>
          <cell r="I57">
            <v>280000</v>
          </cell>
          <cell r="J57">
            <v>3827600</v>
          </cell>
          <cell r="K57">
            <v>0</v>
          </cell>
          <cell r="L57">
            <v>0</v>
          </cell>
          <cell r="M57">
            <v>0</v>
          </cell>
          <cell r="N57">
            <v>0</v>
          </cell>
          <cell r="O57">
            <v>0</v>
          </cell>
          <cell r="P57">
            <v>0</v>
          </cell>
          <cell r="Q57">
            <v>13.67</v>
          </cell>
          <cell r="R57">
            <v>280000</v>
          </cell>
          <cell r="S57">
            <v>3827600</v>
          </cell>
          <cell r="T57">
            <v>160100</v>
          </cell>
        </row>
        <row r="58">
          <cell r="B58">
            <v>410288</v>
          </cell>
          <cell r="C58" t="str">
            <v>Íººöèéí ñàâ</v>
          </cell>
          <cell r="D58" t="str">
            <v>ш</v>
          </cell>
          <cell r="E58">
            <v>2</v>
          </cell>
          <cell r="F58">
            <v>478275</v>
          </cell>
          <cell r="G58">
            <v>956550</v>
          </cell>
          <cell r="H58">
            <v>2</v>
          </cell>
          <cell r="I58">
            <v>478275</v>
          </cell>
          <cell r="J58">
            <v>956550</v>
          </cell>
          <cell r="K58">
            <v>0</v>
          </cell>
          <cell r="L58">
            <v>0</v>
          </cell>
          <cell r="M58">
            <v>0</v>
          </cell>
          <cell r="N58">
            <v>0</v>
          </cell>
          <cell r="O58">
            <v>0</v>
          </cell>
          <cell r="P58">
            <v>0</v>
          </cell>
          <cell r="Q58">
            <v>2</v>
          </cell>
          <cell r="R58">
            <v>478275</v>
          </cell>
          <cell r="S58">
            <v>956550</v>
          </cell>
          <cell r="T58">
            <v>160100</v>
          </cell>
        </row>
        <row r="59">
          <cell r="B59">
            <v>410311</v>
          </cell>
          <cell r="C59" t="str">
            <v>Êàáåëü /ãàëä òýñâýðòýé/</v>
          </cell>
          <cell r="D59" t="str">
            <v>м</v>
          </cell>
          <cell r="E59">
            <v>233</v>
          </cell>
          <cell r="F59">
            <v>4958.2491824034332</v>
          </cell>
          <cell r="G59">
            <v>1155272.0595</v>
          </cell>
          <cell r="H59">
            <v>233</v>
          </cell>
          <cell r="I59">
            <v>4958.2491824034332</v>
          </cell>
          <cell r="J59">
            <v>1155272.0595</v>
          </cell>
          <cell r="K59">
            <v>0</v>
          </cell>
          <cell r="L59">
            <v>0</v>
          </cell>
          <cell r="M59">
            <v>0</v>
          </cell>
          <cell r="N59">
            <v>0</v>
          </cell>
          <cell r="O59">
            <v>0</v>
          </cell>
          <cell r="P59">
            <v>0</v>
          </cell>
          <cell r="Q59">
            <v>233</v>
          </cell>
          <cell r="R59">
            <v>4958.2491824034332</v>
          </cell>
          <cell r="S59">
            <v>1155272.0595</v>
          </cell>
          <cell r="T59">
            <v>160100</v>
          </cell>
        </row>
        <row r="60">
          <cell r="B60">
            <v>410317</v>
          </cell>
          <cell r="C60" t="str">
            <v xml:space="preserve">Êàáåëèéí íîìåð </v>
          </cell>
          <cell r="D60" t="str">
            <v>ш</v>
          </cell>
          <cell r="E60">
            <v>3</v>
          </cell>
          <cell r="F60">
            <v>90181.82</v>
          </cell>
          <cell r="G60">
            <v>270545.46000000002</v>
          </cell>
          <cell r="H60">
            <v>3</v>
          </cell>
          <cell r="I60">
            <v>90181.82</v>
          </cell>
          <cell r="J60">
            <v>270545.46000000002</v>
          </cell>
          <cell r="K60">
            <v>0</v>
          </cell>
          <cell r="L60">
            <v>0</v>
          </cell>
          <cell r="M60">
            <v>0</v>
          </cell>
          <cell r="N60">
            <v>3</v>
          </cell>
          <cell r="O60">
            <v>90181.82</v>
          </cell>
          <cell r="P60">
            <v>270545.46000000002</v>
          </cell>
          <cell r="Q60">
            <v>0</v>
          </cell>
          <cell r="R60">
            <v>0</v>
          </cell>
          <cell r="S60">
            <v>0</v>
          </cell>
          <cell r="T60">
            <v>160100</v>
          </cell>
        </row>
        <row r="61">
          <cell r="B61">
            <v>410322</v>
          </cell>
          <cell r="C61" t="str">
            <v>Íèâè</v>
          </cell>
          <cell r="D61" t="str">
            <v>ш</v>
          </cell>
          <cell r="E61">
            <v>2</v>
          </cell>
          <cell r="F61">
            <v>22000</v>
          </cell>
          <cell r="G61">
            <v>44000</v>
          </cell>
          <cell r="H61">
            <v>2</v>
          </cell>
          <cell r="I61">
            <v>22000</v>
          </cell>
          <cell r="J61">
            <v>44000</v>
          </cell>
          <cell r="K61">
            <v>0</v>
          </cell>
          <cell r="L61">
            <v>0</v>
          </cell>
          <cell r="M61">
            <v>0</v>
          </cell>
          <cell r="N61">
            <v>0</v>
          </cell>
          <cell r="O61">
            <v>0</v>
          </cell>
          <cell r="P61">
            <v>0</v>
          </cell>
          <cell r="Q61">
            <v>2</v>
          </cell>
          <cell r="R61">
            <v>22000</v>
          </cell>
          <cell r="S61">
            <v>44000</v>
          </cell>
          <cell r="T61">
            <v>160100</v>
          </cell>
        </row>
        <row r="62">
          <cell r="B62">
            <v>410327</v>
          </cell>
          <cell r="C62" t="str">
            <v>Õàéðãà</v>
          </cell>
          <cell r="D62" t="str">
            <v>м3</v>
          </cell>
          <cell r="E62">
            <v>52</v>
          </cell>
          <cell r="F62">
            <v>19737.766538461539</v>
          </cell>
          <cell r="G62">
            <v>1026363.8600000001</v>
          </cell>
          <cell r="H62">
            <v>52</v>
          </cell>
          <cell r="I62">
            <v>19737.766538461539</v>
          </cell>
          <cell r="J62">
            <v>1026363.8600000001</v>
          </cell>
          <cell r="K62">
            <v>0</v>
          </cell>
          <cell r="L62">
            <v>0</v>
          </cell>
          <cell r="M62">
            <v>0</v>
          </cell>
          <cell r="N62">
            <v>52</v>
          </cell>
          <cell r="O62">
            <v>19737.766538461539</v>
          </cell>
          <cell r="P62">
            <v>1026363.8600000001</v>
          </cell>
          <cell r="Q62">
            <v>0</v>
          </cell>
          <cell r="R62">
            <v>0</v>
          </cell>
          <cell r="S62">
            <v>0</v>
          </cell>
          <cell r="T62">
            <v>160100</v>
          </cell>
        </row>
        <row r="63">
          <cell r="B63">
            <v>410341</v>
          </cell>
          <cell r="C63" t="str">
            <v xml:space="preserve">James Hardie </v>
          </cell>
          <cell r="D63" t="str">
            <v>ш</v>
          </cell>
          <cell r="E63">
            <v>240</v>
          </cell>
          <cell r="F63">
            <v>12900</v>
          </cell>
          <cell r="G63">
            <v>3096000</v>
          </cell>
          <cell r="H63">
            <v>240</v>
          </cell>
          <cell r="I63">
            <v>12900</v>
          </cell>
          <cell r="J63">
            <v>3096000</v>
          </cell>
          <cell r="K63">
            <v>0</v>
          </cell>
          <cell r="L63">
            <v>0</v>
          </cell>
          <cell r="M63">
            <v>0</v>
          </cell>
          <cell r="N63">
            <v>0</v>
          </cell>
          <cell r="O63">
            <v>0</v>
          </cell>
          <cell r="P63">
            <v>0</v>
          </cell>
          <cell r="Q63">
            <v>240</v>
          </cell>
          <cell r="R63">
            <v>12900</v>
          </cell>
          <cell r="S63">
            <v>3096000</v>
          </cell>
          <cell r="T63">
            <v>160100</v>
          </cell>
        </row>
        <row r="64">
          <cell r="B64">
            <v>410344</v>
          </cell>
          <cell r="C64" t="str">
            <v xml:space="preserve">Êîíòàêòîð </v>
          </cell>
          <cell r="D64" t="str">
            <v>ш</v>
          </cell>
          <cell r="E64">
            <v>7</v>
          </cell>
          <cell r="F64">
            <v>141449.35</v>
          </cell>
          <cell r="G64">
            <v>990145.45000000007</v>
          </cell>
          <cell r="H64">
            <v>7</v>
          </cell>
          <cell r="I64">
            <v>141449.35</v>
          </cell>
          <cell r="J64">
            <v>990145.45000000007</v>
          </cell>
          <cell r="K64">
            <v>0</v>
          </cell>
          <cell r="L64">
            <v>0</v>
          </cell>
          <cell r="M64">
            <v>0</v>
          </cell>
          <cell r="N64">
            <v>0</v>
          </cell>
          <cell r="O64">
            <v>0</v>
          </cell>
          <cell r="P64">
            <v>0</v>
          </cell>
          <cell r="Q64">
            <v>7</v>
          </cell>
          <cell r="R64">
            <v>141449.35</v>
          </cell>
          <cell r="S64">
            <v>990145.45000000007</v>
          </cell>
          <cell r="T64">
            <v>160100</v>
          </cell>
        </row>
        <row r="65">
          <cell r="B65">
            <v>410349</v>
          </cell>
          <cell r="C65" t="str">
            <v xml:space="preserve">Ýëñ </v>
          </cell>
          <cell r="D65" t="str">
            <v>м3</v>
          </cell>
          <cell r="E65">
            <v>8</v>
          </cell>
          <cell r="F65">
            <v>28000</v>
          </cell>
          <cell r="G65">
            <v>224000</v>
          </cell>
          <cell r="H65">
            <v>8</v>
          </cell>
          <cell r="I65">
            <v>28000</v>
          </cell>
          <cell r="J65">
            <v>224000</v>
          </cell>
          <cell r="K65">
            <v>0</v>
          </cell>
          <cell r="L65">
            <v>0</v>
          </cell>
          <cell r="M65">
            <v>0</v>
          </cell>
          <cell r="N65">
            <v>0</v>
          </cell>
          <cell r="O65">
            <v>0</v>
          </cell>
          <cell r="P65">
            <v>0</v>
          </cell>
          <cell r="Q65">
            <v>8</v>
          </cell>
          <cell r="R65">
            <v>28000</v>
          </cell>
          <cell r="S65">
            <v>224000</v>
          </cell>
          <cell r="T65">
            <v>160100</v>
          </cell>
        </row>
        <row r="66">
          <cell r="B66">
            <v>410365</v>
          </cell>
          <cell r="C66" t="str">
            <v xml:space="preserve">Öàõèëãààí ¿¿ñã¿¿ð </v>
          </cell>
          <cell r="D66" t="str">
            <v>ш</v>
          </cell>
          <cell r="E66">
            <v>1</v>
          </cell>
          <cell r="F66">
            <v>2400000</v>
          </cell>
          <cell r="G66">
            <v>2400000</v>
          </cell>
          <cell r="H66">
            <v>1</v>
          </cell>
          <cell r="I66">
            <v>2400000</v>
          </cell>
          <cell r="J66">
            <v>2400000</v>
          </cell>
          <cell r="K66">
            <v>0</v>
          </cell>
          <cell r="L66">
            <v>0</v>
          </cell>
          <cell r="M66">
            <v>0</v>
          </cell>
          <cell r="N66">
            <v>0</v>
          </cell>
          <cell r="O66">
            <v>0</v>
          </cell>
          <cell r="P66">
            <v>0</v>
          </cell>
          <cell r="Q66">
            <v>1</v>
          </cell>
          <cell r="R66">
            <v>2400000</v>
          </cell>
          <cell r="S66">
            <v>2400000</v>
          </cell>
          <cell r="T66">
            <v>160100</v>
          </cell>
        </row>
        <row r="67">
          <cell r="B67">
            <v>211501</v>
          </cell>
          <cell r="C67" t="str">
            <v>Í-Åâðîâàãîíêà /çóçààí-2.2ñì/</v>
          </cell>
          <cell r="D67" t="str">
            <v>м2</v>
          </cell>
          <cell r="E67">
            <v>918.37</v>
          </cell>
          <cell r="F67">
            <v>13118.37</v>
          </cell>
          <cell r="G67">
            <v>12047517.456900001</v>
          </cell>
          <cell r="H67">
            <v>918.37</v>
          </cell>
          <cell r="I67">
            <v>13118.37</v>
          </cell>
          <cell r="J67">
            <v>12047517.456900001</v>
          </cell>
          <cell r="K67">
            <v>0</v>
          </cell>
          <cell r="L67">
            <v>0</v>
          </cell>
          <cell r="M67">
            <v>0</v>
          </cell>
          <cell r="N67">
            <v>195.39999999999998</v>
          </cell>
          <cell r="O67">
            <v>13118.370000000003</v>
          </cell>
          <cell r="P67">
            <v>2563329.4980000001</v>
          </cell>
          <cell r="Q67">
            <v>722.97</v>
          </cell>
          <cell r="R67">
            <v>13118.37</v>
          </cell>
          <cell r="S67">
            <v>9484187.9589000009</v>
          </cell>
          <cell r="T67">
            <v>150101</v>
          </cell>
        </row>
        <row r="68">
          <cell r="B68">
            <v>211502</v>
          </cell>
          <cell r="C68" t="str">
            <v xml:space="preserve">Í-Åâðîâàãîíêà /çóçààí-2.2ñì/-ÿðòàé </v>
          </cell>
          <cell r="D68" t="str">
            <v>м2</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150101</v>
          </cell>
        </row>
        <row r="69">
          <cell r="B69">
            <v>211503</v>
          </cell>
          <cell r="C69" t="str">
            <v>Í-Åâðîâàãîíêà /çóçààí-1.2ñì/</v>
          </cell>
          <cell r="D69" t="str">
            <v>м2</v>
          </cell>
          <cell r="E69">
            <v>974.22760000000017</v>
          </cell>
          <cell r="F69">
            <v>9816.3199999999961</v>
          </cell>
          <cell r="G69">
            <v>9563329.8744319975</v>
          </cell>
          <cell r="H69">
            <v>974.22760000000017</v>
          </cell>
          <cell r="I69">
            <v>9816.3199999999961</v>
          </cell>
          <cell r="J69">
            <v>9563329.8744319975</v>
          </cell>
          <cell r="K69">
            <v>5500</v>
          </cell>
          <cell r="L69">
            <v>13202.496225560655</v>
          </cell>
          <cell r="M69">
            <v>72613729.240583599</v>
          </cell>
          <cell r="N69">
            <v>2650.3935999999999</v>
          </cell>
          <cell r="O69">
            <v>12794.974114303681</v>
          </cell>
          <cell r="P69">
            <v>33911717.504716143</v>
          </cell>
          <cell r="Q69">
            <v>3823.8340000000003</v>
          </cell>
          <cell r="R69">
            <v>12622.237683513315</v>
          </cell>
          <cell r="S69">
            <v>48265341.610299453</v>
          </cell>
          <cell r="T69">
            <v>150101</v>
          </cell>
        </row>
        <row r="70">
          <cell r="B70">
            <v>211504</v>
          </cell>
          <cell r="C70" t="str">
            <v>Í-Åâðîâàãîíêà /çóçààí-1.2ñì/-ÿðòàé</v>
          </cell>
          <cell r="D70" t="str">
            <v>м2</v>
          </cell>
          <cell r="E70">
            <v>2905.5938999999998</v>
          </cell>
          <cell r="F70">
            <v>9540.1099999999988</v>
          </cell>
          <cell r="G70">
            <v>27719685.421328995</v>
          </cell>
          <cell r="H70">
            <v>2905.5938999999998</v>
          </cell>
          <cell r="I70">
            <v>9540.1099999999988</v>
          </cell>
          <cell r="J70">
            <v>27719685.421328995</v>
          </cell>
          <cell r="K70">
            <v>1700</v>
          </cell>
          <cell r="L70">
            <v>12083.539644620774</v>
          </cell>
          <cell r="M70">
            <v>20542017.395855315</v>
          </cell>
          <cell r="N70">
            <v>779.89799999999991</v>
          </cell>
          <cell r="O70">
            <v>10178.788357826612</v>
          </cell>
          <cell r="P70">
            <v>7938416.6826922577</v>
          </cell>
          <cell r="Q70">
            <v>3825.6958999999997</v>
          </cell>
          <cell r="R70">
            <v>10540.117978141456</v>
          </cell>
          <cell r="S70">
            <v>40323286.134492055</v>
          </cell>
          <cell r="T70">
            <v>150101</v>
          </cell>
        </row>
        <row r="71">
          <cell r="B71">
            <v>211601</v>
          </cell>
          <cell r="C71" t="str">
            <v>Í-Âàãîíêà 2 òàëò/çóçààí-2.2ñì/</v>
          </cell>
          <cell r="D71" t="str">
            <v>м2</v>
          </cell>
          <cell r="E71">
            <v>2.8421709430404007E-14</v>
          </cell>
          <cell r="F71">
            <v>16384</v>
          </cell>
          <cell r="G71">
            <v>4.6566128730773926E-10</v>
          </cell>
          <cell r="H71">
            <v>2.8421709430404007E-14</v>
          </cell>
          <cell r="I71">
            <v>16384</v>
          </cell>
          <cell r="J71">
            <v>4.6566128730773926E-10</v>
          </cell>
          <cell r="K71">
            <v>0</v>
          </cell>
          <cell r="L71">
            <v>0</v>
          </cell>
          <cell r="M71">
            <v>0</v>
          </cell>
          <cell r="N71">
            <v>0</v>
          </cell>
          <cell r="O71">
            <v>0</v>
          </cell>
          <cell r="P71">
            <v>0</v>
          </cell>
          <cell r="Q71">
            <v>2.8421709430404007E-14</v>
          </cell>
          <cell r="R71">
            <v>16384</v>
          </cell>
          <cell r="S71">
            <v>4.6566128730773926E-10</v>
          </cell>
          <cell r="T71">
            <v>150101</v>
          </cell>
        </row>
        <row r="72">
          <cell r="B72">
            <v>211602</v>
          </cell>
          <cell r="C72" t="str">
            <v xml:space="preserve">Í-Âàãîíêà 2 òàëò/çóçààí-2.2ñì/-ÿðòàé </v>
          </cell>
          <cell r="D72" t="str">
            <v>м2</v>
          </cell>
          <cell r="E72">
            <v>6.9999999999907914E-3</v>
          </cell>
          <cell r="F72">
            <v>13118.370000024155</v>
          </cell>
          <cell r="G72">
            <v>91.82859000004828</v>
          </cell>
          <cell r="H72">
            <v>6.9999999999907914E-3</v>
          </cell>
          <cell r="I72">
            <v>13118.370000024155</v>
          </cell>
          <cell r="J72">
            <v>91.82859000004828</v>
          </cell>
          <cell r="K72">
            <v>0</v>
          </cell>
          <cell r="L72">
            <v>0</v>
          </cell>
          <cell r="M72">
            <v>0</v>
          </cell>
          <cell r="N72">
            <v>0</v>
          </cell>
          <cell r="O72">
            <v>0</v>
          </cell>
          <cell r="P72">
            <v>0</v>
          </cell>
          <cell r="Q72">
            <v>6.9999999999907914E-3</v>
          </cell>
          <cell r="R72">
            <v>13118.370000024155</v>
          </cell>
          <cell r="S72">
            <v>91.82859000004828</v>
          </cell>
          <cell r="T72">
            <v>150101</v>
          </cell>
        </row>
        <row r="73">
          <cell r="B73">
            <v>211401</v>
          </cell>
          <cell r="C73" t="str">
            <v>Í-ÁëîêÕàóñ /4.3*16.5ñì/-ÿðòàé</v>
          </cell>
          <cell r="D73" t="str">
            <v>м2</v>
          </cell>
          <cell r="E73">
            <v>0</v>
          </cell>
          <cell r="F73">
            <v>0</v>
          </cell>
          <cell r="G73">
            <v>0</v>
          </cell>
          <cell r="H73">
            <v>0</v>
          </cell>
          <cell r="I73">
            <v>0</v>
          </cell>
          <cell r="J73">
            <v>0</v>
          </cell>
          <cell r="K73">
            <v>253</v>
          </cell>
          <cell r="L73">
            <v>45313.273667327907</v>
          </cell>
          <cell r="M73">
            <v>11464258.23783396</v>
          </cell>
          <cell r="N73">
            <v>0</v>
          </cell>
          <cell r="O73">
            <v>0</v>
          </cell>
          <cell r="P73">
            <v>0</v>
          </cell>
          <cell r="Q73">
            <v>253</v>
          </cell>
          <cell r="R73">
            <v>45313.273667327907</v>
          </cell>
          <cell r="S73">
            <v>11464258.23783396</v>
          </cell>
          <cell r="T73">
            <v>150101</v>
          </cell>
        </row>
        <row r="74">
          <cell r="B74">
            <v>211710</v>
          </cell>
          <cell r="C74" t="str">
            <v>Í-Õàâòàí /çóçààí-3ñì/-ÿðòàé</v>
          </cell>
          <cell r="D74" t="str">
            <v>м2</v>
          </cell>
          <cell r="E74">
            <v>-2.8421709430404007E-14</v>
          </cell>
          <cell r="F74">
            <v>-16384</v>
          </cell>
          <cell r="G74">
            <v>4.6566128730773926E-10</v>
          </cell>
          <cell r="H74">
            <v>-2.8421709430404007E-14</v>
          </cell>
          <cell r="I74">
            <v>-16384</v>
          </cell>
          <cell r="J74">
            <v>4.6566128730773926E-10</v>
          </cell>
          <cell r="K74">
            <v>1470</v>
          </cell>
          <cell r="L74">
            <v>32877.788914248587</v>
          </cell>
          <cell r="M74">
            <v>48330349.703945421</v>
          </cell>
          <cell r="N74">
            <v>199.15</v>
          </cell>
          <cell r="O74">
            <v>32877.788914248587</v>
          </cell>
          <cell r="P74">
            <v>6547611.662272606</v>
          </cell>
          <cell r="Q74">
            <v>1270.8499999999999</v>
          </cell>
          <cell r="R74">
            <v>32877.788914248587</v>
          </cell>
          <cell r="S74">
            <v>41782738.041672811</v>
          </cell>
          <cell r="T74">
            <v>150101</v>
          </cell>
        </row>
        <row r="75">
          <cell r="B75">
            <v>211711</v>
          </cell>
          <cell r="C75" t="str">
            <v>Í-Õàâòàí /çóçààí-2.6ñì/</v>
          </cell>
          <cell r="D75" t="str">
            <v>м2</v>
          </cell>
          <cell r="E75">
            <v>70.455999999999989</v>
          </cell>
          <cell r="F75">
            <v>49742.03</v>
          </cell>
          <cell r="G75">
            <v>3504624.4656799994</v>
          </cell>
          <cell r="H75">
            <v>70.455999999999989</v>
          </cell>
          <cell r="I75">
            <v>49742.03</v>
          </cell>
          <cell r="J75">
            <v>3504624.4656799994</v>
          </cell>
          <cell r="K75">
            <v>0</v>
          </cell>
          <cell r="L75">
            <v>0</v>
          </cell>
          <cell r="M75">
            <v>0</v>
          </cell>
          <cell r="N75">
            <v>70.455999999999989</v>
          </cell>
          <cell r="O75">
            <v>49742.03</v>
          </cell>
          <cell r="P75">
            <v>3504624.4656799994</v>
          </cell>
          <cell r="Q75">
            <v>0</v>
          </cell>
          <cell r="R75">
            <v>0</v>
          </cell>
          <cell r="S75">
            <v>0</v>
          </cell>
          <cell r="T75">
            <v>150101</v>
          </cell>
        </row>
        <row r="76">
          <cell r="B76">
            <v>211712</v>
          </cell>
          <cell r="C76" t="str">
            <v xml:space="preserve">Í-Õàâòàí /çóçààí-2.6ñì/-ÿðòàé </v>
          </cell>
          <cell r="D76" t="str">
            <v>м2</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150101</v>
          </cell>
        </row>
        <row r="77">
          <cell r="B77">
            <v>211713</v>
          </cell>
          <cell r="C77" t="str">
            <v>Í-Õàâòàí /çóçààí-2ñì/</v>
          </cell>
          <cell r="D77" t="str">
            <v>м2</v>
          </cell>
          <cell r="E77">
            <v>-11.979399999999998</v>
          </cell>
          <cell r="F77">
            <v>19392.550000000097</v>
          </cell>
          <cell r="G77">
            <v>-232311.11347000115</v>
          </cell>
          <cell r="H77">
            <v>-11.979399999999998</v>
          </cell>
          <cell r="I77">
            <v>19392.550000000097</v>
          </cell>
          <cell r="J77">
            <v>-232311.11347000115</v>
          </cell>
          <cell r="K77">
            <v>2520</v>
          </cell>
          <cell r="L77">
            <v>21177.153775416657</v>
          </cell>
          <cell r="M77">
            <v>53366427.514049977</v>
          </cell>
          <cell r="N77">
            <v>849.78200000000004</v>
          </cell>
          <cell r="O77">
            <v>21867.443601811865</v>
          </cell>
          <cell r="P77">
            <v>18582559.95883489</v>
          </cell>
          <cell r="Q77">
            <v>1658.2385999999997</v>
          </cell>
          <cell r="R77">
            <v>20836.299698816016</v>
          </cell>
          <cell r="S77">
            <v>34551556.441745088</v>
          </cell>
          <cell r="T77">
            <v>150101</v>
          </cell>
        </row>
        <row r="78">
          <cell r="B78">
            <v>211714</v>
          </cell>
          <cell r="C78" t="str">
            <v xml:space="preserve">Í-Õàâòàí /çóçààí-2ñì/-ÿðòàé </v>
          </cell>
          <cell r="D78" t="str">
            <v>м2</v>
          </cell>
          <cell r="E78">
            <v>809.08400000000006</v>
          </cell>
          <cell r="F78">
            <v>18257.869999999995</v>
          </cell>
          <cell r="G78">
            <v>14772150.491079997</v>
          </cell>
          <cell r="H78">
            <v>809.08400000000006</v>
          </cell>
          <cell r="I78">
            <v>18257.869999999995</v>
          </cell>
          <cell r="J78">
            <v>14772150.491079997</v>
          </cell>
          <cell r="K78">
            <v>1500</v>
          </cell>
          <cell r="L78">
            <v>18125.309466931161</v>
          </cell>
          <cell r="M78">
            <v>27187964.200396743</v>
          </cell>
          <cell r="N78">
            <v>809.08399999999995</v>
          </cell>
          <cell r="O78">
            <v>18257.869999999995</v>
          </cell>
          <cell r="P78">
            <v>14772150.491079995</v>
          </cell>
          <cell r="Q78">
            <v>1500</v>
          </cell>
          <cell r="R78">
            <v>18125.309466931165</v>
          </cell>
          <cell r="S78">
            <v>27187964.200396746</v>
          </cell>
          <cell r="T78">
            <v>150101</v>
          </cell>
        </row>
        <row r="79">
          <cell r="B79">
            <v>211715</v>
          </cell>
          <cell r="C79" t="str">
            <v>Í-Õàâòàí /çóçààí-1.8ñì/</v>
          </cell>
          <cell r="D79" t="str">
            <v>м2</v>
          </cell>
          <cell r="E79">
            <v>48.020999999999958</v>
          </cell>
          <cell r="F79">
            <v>14992.800000000017</v>
          </cell>
          <cell r="G79">
            <v>719969.24880000018</v>
          </cell>
          <cell r="H79">
            <v>48.020999999999958</v>
          </cell>
          <cell r="I79">
            <v>14992.800000000017</v>
          </cell>
          <cell r="J79">
            <v>719969.24880000018</v>
          </cell>
          <cell r="K79">
            <v>3520</v>
          </cell>
          <cell r="L79">
            <v>18794.060860675036</v>
          </cell>
          <cell r="M79">
            <v>66155094.229576126</v>
          </cell>
          <cell r="N79">
            <v>193.25099999999998</v>
          </cell>
          <cell r="O79">
            <v>19196.822583373789</v>
          </cell>
          <cell r="P79">
            <v>3709805.1610595677</v>
          </cell>
          <cell r="Q79">
            <v>3374.7699999999995</v>
          </cell>
          <cell r="R79">
            <v>18716.907616612858</v>
          </cell>
          <cell r="S79">
            <v>63165258.317316562</v>
          </cell>
          <cell r="T79">
            <v>150101</v>
          </cell>
        </row>
        <row r="80">
          <cell r="B80">
            <v>211716</v>
          </cell>
          <cell r="C80" t="str">
            <v xml:space="preserve">Í-Õàâòàí /çóçààí-1.8ñì/-ÿðòàé </v>
          </cell>
          <cell r="D80" t="str">
            <v>м2</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150101</v>
          </cell>
        </row>
        <row r="81">
          <cell r="B81">
            <v>210003</v>
          </cell>
          <cell r="C81" t="str">
            <v>Í-Íààìàë ä¿íç</v>
          </cell>
          <cell r="D81" t="str">
            <v>м2</v>
          </cell>
          <cell r="E81">
            <v>297.7482</v>
          </cell>
          <cell r="F81">
            <v>130818.39</v>
          </cell>
          <cell r="G81">
            <v>38950940.149397999</v>
          </cell>
          <cell r="H81">
            <v>297.7482</v>
          </cell>
          <cell r="I81">
            <v>130818.39</v>
          </cell>
          <cell r="J81">
            <v>38950940.149397999</v>
          </cell>
          <cell r="K81">
            <v>500</v>
          </cell>
          <cell r="L81">
            <v>227035.082377432</v>
          </cell>
          <cell r="M81">
            <v>113517541.18871599</v>
          </cell>
          <cell r="N81">
            <v>114.661</v>
          </cell>
          <cell r="O81">
            <v>191123.56673210167</v>
          </cell>
          <cell r="P81">
            <v>21914419.28506951</v>
          </cell>
          <cell r="Q81">
            <v>683.08719999999994</v>
          </cell>
          <cell r="R81">
            <v>191123.5667321017</v>
          </cell>
          <cell r="S81">
            <v>130554062.05304448</v>
          </cell>
          <cell r="T81">
            <v>150101</v>
          </cell>
        </row>
        <row r="82">
          <cell r="B82">
            <v>510001</v>
          </cell>
          <cell r="C82" t="str">
            <v>Öàâóó 505</v>
          </cell>
          <cell r="D82" t="str">
            <v>кг</v>
          </cell>
          <cell r="E82">
            <v>2716</v>
          </cell>
          <cell r="F82">
            <v>3995.26</v>
          </cell>
          <cell r="G82">
            <v>10851126.16</v>
          </cell>
          <cell r="H82">
            <v>2716</v>
          </cell>
          <cell r="I82">
            <v>3995.26</v>
          </cell>
          <cell r="J82">
            <v>10851126.16</v>
          </cell>
          <cell r="K82">
            <v>0</v>
          </cell>
          <cell r="L82">
            <v>0</v>
          </cell>
          <cell r="M82">
            <v>0</v>
          </cell>
          <cell r="N82">
            <v>2012.5</v>
          </cell>
          <cell r="O82">
            <v>3995.26</v>
          </cell>
          <cell r="P82">
            <v>8040460.75</v>
          </cell>
          <cell r="Q82">
            <v>703.5</v>
          </cell>
          <cell r="R82">
            <v>3995.26</v>
          </cell>
          <cell r="S82">
            <v>2810665.41</v>
          </cell>
          <cell r="T82">
            <v>140100</v>
          </cell>
        </row>
        <row r="83">
          <cell r="B83">
            <v>131001</v>
          </cell>
          <cell r="C83" t="str">
            <v>Íàðñàí áàíç /5ñì/Ìîíðóñ</v>
          </cell>
          <cell r="D83" t="str">
            <v>м3</v>
          </cell>
          <cell r="E83">
            <v>184.78</v>
          </cell>
          <cell r="F83">
            <v>436904.43</v>
          </cell>
          <cell r="G83">
            <v>80731200.575399995</v>
          </cell>
          <cell r="H83">
            <v>184.78</v>
          </cell>
          <cell r="I83">
            <v>436904.43</v>
          </cell>
          <cell r="J83">
            <v>80731200.575399995</v>
          </cell>
          <cell r="K83">
            <v>0</v>
          </cell>
          <cell r="L83">
            <v>0</v>
          </cell>
          <cell r="M83">
            <v>0</v>
          </cell>
          <cell r="N83">
            <v>184.78</v>
          </cell>
          <cell r="O83">
            <v>436904.43</v>
          </cell>
          <cell r="P83">
            <v>80731200.575399995</v>
          </cell>
          <cell r="Q83">
            <v>0</v>
          </cell>
          <cell r="R83">
            <v>0</v>
          </cell>
          <cell r="S83">
            <v>0</v>
          </cell>
          <cell r="T83">
            <v>140100</v>
          </cell>
        </row>
        <row r="84">
          <cell r="B84">
            <v>131018</v>
          </cell>
          <cell r="C84" t="str">
            <v>Íàðñàí áàíç /5ñì/ Áóÿí Îä</v>
          </cell>
          <cell r="D84" t="str">
            <v>м3</v>
          </cell>
          <cell r="E84">
            <v>862.7</v>
          </cell>
          <cell r="F84">
            <v>302568.68045867624</v>
          </cell>
          <cell r="G84">
            <v>261026000.63170001</v>
          </cell>
          <cell r="H84">
            <v>862.7</v>
          </cell>
          <cell r="I84">
            <v>302568.68045867624</v>
          </cell>
          <cell r="J84">
            <v>261026000.63170001</v>
          </cell>
          <cell r="K84">
            <v>0</v>
          </cell>
          <cell r="L84">
            <v>0</v>
          </cell>
          <cell r="M84">
            <v>0</v>
          </cell>
          <cell r="N84">
            <v>251</v>
          </cell>
          <cell r="O84">
            <v>302568.68045867624</v>
          </cell>
          <cell r="P84">
            <v>75944738.795127735</v>
          </cell>
          <cell r="Q84">
            <v>611.70000000000005</v>
          </cell>
          <cell r="R84">
            <v>302568.68045867624</v>
          </cell>
          <cell r="S84">
            <v>185081261.83657229</v>
          </cell>
          <cell r="T84">
            <v>140100</v>
          </cell>
        </row>
        <row r="85">
          <cell r="B85">
            <v>131022</v>
          </cell>
          <cell r="C85" t="str">
            <v>Íàðñàí áàíç /5ñì/ Áàéêàëèíâåñòñåðâèñ</v>
          </cell>
          <cell r="D85" t="str">
            <v>м3</v>
          </cell>
          <cell r="E85">
            <v>132.19999999999999</v>
          </cell>
          <cell r="F85">
            <v>340685.37</v>
          </cell>
          <cell r="G85">
            <v>45038605.913999997</v>
          </cell>
          <cell r="H85">
            <v>132.19999999999999</v>
          </cell>
          <cell r="I85">
            <v>340685.37</v>
          </cell>
          <cell r="J85">
            <v>45038605.913999997</v>
          </cell>
          <cell r="K85">
            <v>0</v>
          </cell>
          <cell r="L85">
            <v>0</v>
          </cell>
          <cell r="M85">
            <v>0</v>
          </cell>
          <cell r="N85">
            <v>132.19999999999999</v>
          </cell>
          <cell r="O85">
            <v>340685.37</v>
          </cell>
          <cell r="P85">
            <v>45038605.913999997</v>
          </cell>
          <cell r="Q85">
            <v>0</v>
          </cell>
          <cell r="R85">
            <v>0</v>
          </cell>
          <cell r="S85">
            <v>0</v>
          </cell>
          <cell r="T85">
            <v>140100</v>
          </cell>
        </row>
        <row r="86">
          <cell r="B86">
            <v>131026</v>
          </cell>
          <cell r="C86" t="str">
            <v xml:space="preserve">Íàðñàí áàíç /5ñì/ Ýðäýíýáààòàð </v>
          </cell>
          <cell r="D86" t="str">
            <v>м3</v>
          </cell>
          <cell r="E86">
            <v>117.16</v>
          </cell>
          <cell r="F86">
            <v>353255.16</v>
          </cell>
          <cell r="G86">
            <v>41387374.545599997</v>
          </cell>
          <cell r="H86">
            <v>117.16</v>
          </cell>
          <cell r="I86">
            <v>353255.16</v>
          </cell>
          <cell r="J86">
            <v>41387374.545599997</v>
          </cell>
          <cell r="K86">
            <v>0</v>
          </cell>
          <cell r="L86">
            <v>0</v>
          </cell>
          <cell r="M86">
            <v>0</v>
          </cell>
          <cell r="N86">
            <v>117.16</v>
          </cell>
          <cell r="O86">
            <v>353255.16</v>
          </cell>
          <cell r="P86">
            <v>41387374.545599997</v>
          </cell>
          <cell r="Q86">
            <v>0</v>
          </cell>
          <cell r="R86">
            <v>0</v>
          </cell>
          <cell r="S86">
            <v>0</v>
          </cell>
          <cell r="T86">
            <v>140100</v>
          </cell>
        </row>
        <row r="87">
          <cell r="B87">
            <v>131027</v>
          </cell>
          <cell r="C87" t="str">
            <v xml:space="preserve">Íàðñàí áàíç /5ñì/ Ëóóò Õàíãàé </v>
          </cell>
          <cell r="D87" t="str">
            <v>м3</v>
          </cell>
          <cell r="E87">
            <v>154.02000000000001</v>
          </cell>
          <cell r="F87">
            <v>272953.09000000003</v>
          </cell>
          <cell r="G87">
            <v>42040234.92180001</v>
          </cell>
          <cell r="H87">
            <v>154.02000000000001</v>
          </cell>
          <cell r="I87">
            <v>272953.09000000003</v>
          </cell>
          <cell r="J87">
            <v>42040234.92180001</v>
          </cell>
          <cell r="K87">
            <v>0</v>
          </cell>
          <cell r="L87">
            <v>0</v>
          </cell>
          <cell r="M87">
            <v>0</v>
          </cell>
          <cell r="N87">
            <v>154.01999999999998</v>
          </cell>
          <cell r="O87">
            <v>272953.09000000003</v>
          </cell>
          <cell r="P87">
            <v>42040234.921800002</v>
          </cell>
          <cell r="Q87">
            <v>2.8421709430404007E-14</v>
          </cell>
          <cell r="R87">
            <v>262144</v>
          </cell>
          <cell r="S87">
            <v>7.4505805969238281E-9</v>
          </cell>
          <cell r="T87">
            <v>140100</v>
          </cell>
        </row>
        <row r="88">
          <cell r="B88">
            <v>310001</v>
          </cell>
          <cell r="C88" t="str">
            <v>Õàòààñàí íàðñàí áàíç</v>
          </cell>
          <cell r="D88" t="str">
            <v>м3</v>
          </cell>
          <cell r="E88">
            <v>280.16000000000003</v>
          </cell>
          <cell r="F88">
            <v>488587.36000000004</v>
          </cell>
          <cell r="G88">
            <v>136882634.77760002</v>
          </cell>
          <cell r="H88">
            <v>280.16000000000003</v>
          </cell>
          <cell r="I88">
            <v>488587.36000000004</v>
          </cell>
          <cell r="J88">
            <v>136882634.77760002</v>
          </cell>
          <cell r="K88">
            <v>839.16</v>
          </cell>
          <cell r="L88">
            <v>349434.77641927643</v>
          </cell>
          <cell r="M88">
            <v>293231686.98000002</v>
          </cell>
          <cell r="N88">
            <v>624.32075000000009</v>
          </cell>
          <cell r="O88">
            <v>411757.23103600985</v>
          </cell>
          <cell r="P88">
            <v>257068583.29832497</v>
          </cell>
          <cell r="Q88">
            <v>494.99924999999985</v>
          </cell>
          <cell r="R88">
            <v>349587.8801013843</v>
          </cell>
          <cell r="S88">
            <v>173045738.4592751</v>
          </cell>
          <cell r="T88">
            <v>150100</v>
          </cell>
        </row>
        <row r="89">
          <cell r="B89">
            <v>310002</v>
          </cell>
          <cell r="C89" t="str">
            <v>Õàòààñàí íàðñàí áàíç</v>
          </cell>
          <cell r="D89" t="str">
            <v>м3</v>
          </cell>
          <cell r="E89">
            <v>179.744</v>
          </cell>
          <cell r="F89">
            <v>317870.2</v>
          </cell>
          <cell r="G89">
            <v>57135261.228799999</v>
          </cell>
          <cell r="H89">
            <v>179.744</v>
          </cell>
          <cell r="I89">
            <v>317870.2</v>
          </cell>
          <cell r="J89">
            <v>57135261.228799999</v>
          </cell>
          <cell r="K89">
            <v>0</v>
          </cell>
          <cell r="L89">
            <v>0</v>
          </cell>
          <cell r="M89">
            <v>0</v>
          </cell>
          <cell r="N89">
            <v>179.744</v>
          </cell>
          <cell r="O89">
            <v>317870.2</v>
          </cell>
          <cell r="P89">
            <v>57135261.228799999</v>
          </cell>
          <cell r="Q89">
            <v>0</v>
          </cell>
          <cell r="R89">
            <v>0</v>
          </cell>
          <cell r="S89">
            <v>0</v>
          </cell>
          <cell r="T89">
            <v>150100</v>
          </cell>
        </row>
        <row r="90">
          <cell r="B90">
            <v>410366</v>
          </cell>
          <cell r="C90" t="str">
            <v xml:space="preserve">Модны замаска </v>
          </cell>
          <cell r="D90" t="str">
            <v>ш</v>
          </cell>
          <cell r="E90">
            <v>24</v>
          </cell>
          <cell r="F90">
            <v>2000</v>
          </cell>
          <cell r="G90">
            <v>48000</v>
          </cell>
          <cell r="H90">
            <v>24</v>
          </cell>
          <cell r="I90">
            <v>2000</v>
          </cell>
          <cell r="J90">
            <v>48000</v>
          </cell>
          <cell r="K90">
            <v>24</v>
          </cell>
          <cell r="L90">
            <v>3000</v>
          </cell>
          <cell r="M90">
            <v>72000</v>
          </cell>
          <cell r="N90">
            <v>0</v>
          </cell>
          <cell r="O90">
            <v>0</v>
          </cell>
          <cell r="P90">
            <v>0</v>
          </cell>
          <cell r="Q90">
            <v>48</v>
          </cell>
          <cell r="R90">
            <v>2500</v>
          </cell>
          <cell r="S90">
            <v>120000</v>
          </cell>
          <cell r="T90">
            <v>160100</v>
          </cell>
        </row>
        <row r="91">
          <cell r="B91">
            <v>410367</v>
          </cell>
          <cell r="C91" t="str">
            <v>Пл¸íêà</v>
          </cell>
          <cell r="D91" t="str">
            <v>ш</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160100</v>
          </cell>
        </row>
        <row r="92">
          <cell r="B92">
            <v>410368</v>
          </cell>
          <cell r="C92" t="str">
            <v xml:space="preserve">Өрөм </v>
          </cell>
          <cell r="D92" t="str">
            <v>ш</v>
          </cell>
          <cell r="E92">
            <v>1</v>
          </cell>
          <cell r="F92">
            <v>15545.45</v>
          </cell>
          <cell r="G92">
            <v>15545.45</v>
          </cell>
          <cell r="H92">
            <v>1</v>
          </cell>
          <cell r="I92">
            <v>15545.45</v>
          </cell>
          <cell r="J92">
            <v>15545.45</v>
          </cell>
          <cell r="K92">
            <v>0</v>
          </cell>
          <cell r="L92">
            <v>0</v>
          </cell>
          <cell r="M92">
            <v>0</v>
          </cell>
          <cell r="N92">
            <v>0</v>
          </cell>
          <cell r="O92">
            <v>0</v>
          </cell>
          <cell r="P92">
            <v>0</v>
          </cell>
          <cell r="Q92">
            <v>1</v>
          </cell>
          <cell r="R92">
            <v>15545.45</v>
          </cell>
          <cell r="S92">
            <v>15545.45</v>
          </cell>
          <cell r="T92">
            <v>160100</v>
          </cell>
        </row>
        <row r="93">
          <cell r="B93">
            <v>410369</v>
          </cell>
          <cell r="C93" t="str">
            <v>Ажлын хувцас</v>
          </cell>
          <cell r="D93" t="str">
            <v>ш</v>
          </cell>
          <cell r="E93">
            <v>1000</v>
          </cell>
          <cell r="F93">
            <v>93636.363635999995</v>
          </cell>
          <cell r="G93">
            <v>93636363.635999992</v>
          </cell>
          <cell r="H93">
            <v>1000</v>
          </cell>
          <cell r="I93">
            <v>93636.363635999995</v>
          </cell>
          <cell r="J93">
            <v>93636363.635999992</v>
          </cell>
          <cell r="K93">
            <v>0</v>
          </cell>
          <cell r="L93">
            <v>0</v>
          </cell>
          <cell r="M93">
            <v>0</v>
          </cell>
          <cell r="N93">
            <v>0</v>
          </cell>
          <cell r="O93">
            <v>0</v>
          </cell>
          <cell r="P93">
            <v>0</v>
          </cell>
          <cell r="Q93">
            <v>1000</v>
          </cell>
          <cell r="R93">
            <v>93636.363635999995</v>
          </cell>
          <cell r="S93">
            <v>93636363.635999992</v>
          </cell>
          <cell r="T93">
            <v>160100</v>
          </cell>
        </row>
        <row r="94">
          <cell r="B94">
            <v>430001</v>
          </cell>
          <cell r="C94" t="str">
            <v>Будгийн буу</v>
          </cell>
          <cell r="D94" t="str">
            <v>ш</v>
          </cell>
          <cell r="G94">
            <v>0</v>
          </cell>
          <cell r="H94">
            <v>0</v>
          </cell>
          <cell r="I94">
            <v>0</v>
          </cell>
          <cell r="J94">
            <v>0</v>
          </cell>
          <cell r="K94">
            <v>1</v>
          </cell>
          <cell r="L94">
            <v>720000</v>
          </cell>
          <cell r="M94">
            <v>720000</v>
          </cell>
          <cell r="N94">
            <v>0</v>
          </cell>
          <cell r="O94">
            <v>0</v>
          </cell>
          <cell r="P94">
            <v>0</v>
          </cell>
          <cell r="Q94">
            <v>1</v>
          </cell>
          <cell r="R94">
            <v>720000</v>
          </cell>
          <cell r="S94">
            <v>720000</v>
          </cell>
          <cell r="T94">
            <v>160200</v>
          </cell>
        </row>
        <row r="95">
          <cell r="B95">
            <v>410370</v>
          </cell>
          <cell r="C95" t="str">
            <v xml:space="preserve">Хатаасан шил </v>
          </cell>
          <cell r="D95" t="str">
            <v>ш</v>
          </cell>
          <cell r="G95">
            <v>0</v>
          </cell>
          <cell r="H95">
            <v>0</v>
          </cell>
          <cell r="I95">
            <v>0</v>
          </cell>
          <cell r="J95">
            <v>0</v>
          </cell>
          <cell r="K95">
            <v>5</v>
          </cell>
          <cell r="L95">
            <v>37454.544999999998</v>
          </cell>
          <cell r="M95">
            <v>187272.72499999998</v>
          </cell>
          <cell r="N95">
            <v>0</v>
          </cell>
          <cell r="O95">
            <v>0</v>
          </cell>
          <cell r="P95">
            <v>0</v>
          </cell>
          <cell r="Q95">
            <v>5</v>
          </cell>
          <cell r="R95">
            <v>37454.544999999998</v>
          </cell>
          <cell r="S95">
            <v>187272.72499999998</v>
          </cell>
          <cell r="T95">
            <v>160100</v>
          </cell>
        </row>
        <row r="96">
          <cell r="B96">
            <v>410371</v>
          </cell>
          <cell r="C96" t="str">
            <v xml:space="preserve">Боолт </v>
          </cell>
          <cell r="D96" t="str">
            <v>ш</v>
          </cell>
          <cell r="G96">
            <v>0</v>
          </cell>
          <cell r="H96">
            <v>0</v>
          </cell>
          <cell r="I96">
            <v>0</v>
          </cell>
          <cell r="J96">
            <v>0</v>
          </cell>
          <cell r="K96">
            <v>2500</v>
          </cell>
          <cell r="L96">
            <v>127.272727</v>
          </cell>
          <cell r="M96">
            <v>318181.8175</v>
          </cell>
          <cell r="N96">
            <v>0</v>
          </cell>
          <cell r="O96">
            <v>0</v>
          </cell>
          <cell r="P96">
            <v>0</v>
          </cell>
          <cell r="Q96">
            <v>2500</v>
          </cell>
          <cell r="R96">
            <v>127.272727</v>
          </cell>
          <cell r="S96">
            <v>318181.8175</v>
          </cell>
          <cell r="T96">
            <v>160100</v>
          </cell>
        </row>
        <row r="97">
          <cell r="B97">
            <v>410001</v>
          </cell>
          <cell r="C97" t="str">
            <v xml:space="preserve">Квадрат төмөр </v>
          </cell>
          <cell r="D97" t="str">
            <v>м</v>
          </cell>
          <cell r="G97">
            <v>0</v>
          </cell>
          <cell r="H97">
            <v>0</v>
          </cell>
          <cell r="I97">
            <v>0</v>
          </cell>
          <cell r="J97">
            <v>0</v>
          </cell>
          <cell r="K97">
            <v>110</v>
          </cell>
          <cell r="L97">
            <v>95867.768595041314</v>
          </cell>
          <cell r="M97">
            <v>10545454.545454545</v>
          </cell>
          <cell r="N97">
            <v>0</v>
          </cell>
          <cell r="O97">
            <v>0</v>
          </cell>
          <cell r="P97">
            <v>0</v>
          </cell>
          <cell r="Q97">
            <v>110</v>
          </cell>
          <cell r="R97">
            <v>95867.768595041314</v>
          </cell>
          <cell r="S97">
            <v>10545454.545454545</v>
          </cell>
          <cell r="T97">
            <v>160100</v>
          </cell>
        </row>
        <row r="98">
          <cell r="B98">
            <v>211801</v>
          </cell>
          <cell r="C98" t="str">
            <v xml:space="preserve">Ембүү </v>
          </cell>
          <cell r="D98" t="str">
            <v>м</v>
          </cell>
          <cell r="G98">
            <v>0</v>
          </cell>
          <cell r="H98">
            <v>0</v>
          </cell>
          <cell r="I98">
            <v>0</v>
          </cell>
          <cell r="J98">
            <v>0</v>
          </cell>
          <cell r="K98">
            <v>6800</v>
          </cell>
          <cell r="L98">
            <v>604.17698223103866</v>
          </cell>
          <cell r="M98">
            <v>4108403.4791710628</v>
          </cell>
          <cell r="N98">
            <v>0</v>
          </cell>
          <cell r="O98">
            <v>0</v>
          </cell>
          <cell r="P98">
            <v>0</v>
          </cell>
          <cell r="Q98">
            <v>6800</v>
          </cell>
          <cell r="R98">
            <v>604.17698223103866</v>
          </cell>
          <cell r="S98">
            <v>4108403.4791710628</v>
          </cell>
          <cell r="T98">
            <v>150101</v>
          </cell>
        </row>
        <row r="99">
          <cell r="B99">
            <v>211802</v>
          </cell>
          <cell r="C99" t="str">
            <v xml:space="preserve">Уголок </v>
          </cell>
          <cell r="D99" t="str">
            <v>м</v>
          </cell>
          <cell r="G99">
            <v>0</v>
          </cell>
          <cell r="H99">
            <v>0</v>
          </cell>
          <cell r="I99">
            <v>0</v>
          </cell>
          <cell r="J99">
            <v>0</v>
          </cell>
          <cell r="K99">
            <v>7500</v>
          </cell>
          <cell r="L99">
            <v>1118.7343787644734</v>
          </cell>
          <cell r="M99">
            <v>8390507.8407335505</v>
          </cell>
          <cell r="N99">
            <v>0</v>
          </cell>
          <cell r="O99">
            <v>0</v>
          </cell>
          <cell r="P99">
            <v>0</v>
          </cell>
          <cell r="Q99">
            <v>7500</v>
          </cell>
          <cell r="R99">
            <v>1118.7343787644734</v>
          </cell>
          <cell r="S99">
            <v>8390507.8407335505</v>
          </cell>
          <cell r="T99">
            <v>150101</v>
          </cell>
        </row>
        <row r="100">
          <cell r="G100" t="str">
            <v/>
          </cell>
          <cell r="H100" t="str">
            <v/>
          </cell>
          <cell r="I100" t="str">
            <v/>
          </cell>
          <cell r="J100" t="str">
            <v/>
          </cell>
          <cell r="K100" t="str">
            <v/>
          </cell>
          <cell r="L100" t="str">
            <v/>
          </cell>
          <cell r="M100" t="str">
            <v/>
          </cell>
          <cell r="N100" t="str">
            <v/>
          </cell>
          <cell r="O100" t="str">
            <v/>
          </cell>
          <cell r="P100" t="str">
            <v/>
          </cell>
          <cell r="Q100" t="str">
            <v/>
          </cell>
          <cell r="R100" t="str">
            <v/>
          </cell>
          <cell r="S100" t="str">
            <v/>
          </cell>
        </row>
        <row r="101">
          <cell r="G101" t="str">
            <v/>
          </cell>
          <cell r="H101" t="str">
            <v/>
          </cell>
          <cell r="I101" t="str">
            <v/>
          </cell>
          <cell r="J101" t="str">
            <v/>
          </cell>
          <cell r="K101" t="str">
            <v/>
          </cell>
          <cell r="L101" t="str">
            <v/>
          </cell>
          <cell r="M101" t="str">
            <v/>
          </cell>
          <cell r="N101" t="str">
            <v/>
          </cell>
          <cell r="O101" t="str">
            <v/>
          </cell>
          <cell r="P101" t="str">
            <v/>
          </cell>
          <cell r="Q101" t="str">
            <v/>
          </cell>
          <cell r="R101" t="str">
            <v/>
          </cell>
          <cell r="S101" t="str">
            <v/>
          </cell>
        </row>
        <row r="102">
          <cell r="G102" t="str">
            <v/>
          </cell>
          <cell r="H102" t="str">
            <v/>
          </cell>
          <cell r="I102" t="str">
            <v/>
          </cell>
          <cell r="J102" t="str">
            <v/>
          </cell>
          <cell r="K102" t="str">
            <v/>
          </cell>
          <cell r="L102" t="str">
            <v/>
          </cell>
          <cell r="M102" t="str">
            <v/>
          </cell>
          <cell r="N102" t="str">
            <v/>
          </cell>
          <cell r="O102" t="str">
            <v/>
          </cell>
          <cell r="P102" t="str">
            <v/>
          </cell>
          <cell r="Q102" t="str">
            <v/>
          </cell>
          <cell r="R102" t="str">
            <v/>
          </cell>
          <cell r="S102" t="str">
            <v/>
          </cell>
        </row>
        <row r="103">
          <cell r="G103" t="str">
            <v/>
          </cell>
          <cell r="H103" t="str">
            <v/>
          </cell>
          <cell r="I103" t="str">
            <v/>
          </cell>
          <cell r="J103" t="str">
            <v/>
          </cell>
          <cell r="K103" t="str">
            <v/>
          </cell>
          <cell r="L103" t="str">
            <v/>
          </cell>
          <cell r="M103" t="str">
            <v/>
          </cell>
          <cell r="N103" t="str">
            <v/>
          </cell>
          <cell r="O103" t="str">
            <v/>
          </cell>
          <cell r="P103" t="str">
            <v/>
          </cell>
          <cell r="Q103" t="str">
            <v/>
          </cell>
          <cell r="R103" t="str">
            <v/>
          </cell>
          <cell r="S103" t="str">
            <v/>
          </cell>
        </row>
        <row r="104">
          <cell r="G104" t="str">
            <v/>
          </cell>
          <cell r="H104" t="str">
            <v/>
          </cell>
          <cell r="I104" t="str">
            <v/>
          </cell>
          <cell r="J104" t="str">
            <v/>
          </cell>
          <cell r="K104" t="str">
            <v/>
          </cell>
          <cell r="L104" t="str">
            <v/>
          </cell>
          <cell r="M104" t="str">
            <v/>
          </cell>
          <cell r="N104" t="str">
            <v/>
          </cell>
          <cell r="O104" t="str">
            <v/>
          </cell>
          <cell r="P104" t="str">
            <v/>
          </cell>
          <cell r="Q104" t="str">
            <v/>
          </cell>
          <cell r="R104" t="str">
            <v/>
          </cell>
          <cell r="S104" t="str">
            <v/>
          </cell>
        </row>
        <row r="105">
          <cell r="G105" t="str">
            <v/>
          </cell>
          <cell r="H105" t="str">
            <v/>
          </cell>
          <cell r="I105" t="str">
            <v/>
          </cell>
          <cell r="J105" t="str">
            <v/>
          </cell>
          <cell r="K105" t="str">
            <v/>
          </cell>
          <cell r="L105" t="str">
            <v/>
          </cell>
          <cell r="M105" t="str">
            <v/>
          </cell>
          <cell r="N105" t="str">
            <v/>
          </cell>
          <cell r="O105" t="str">
            <v/>
          </cell>
          <cell r="P105" t="str">
            <v/>
          </cell>
          <cell r="Q105" t="str">
            <v/>
          </cell>
          <cell r="R105" t="str">
            <v/>
          </cell>
          <cell r="S105" t="str">
            <v/>
          </cell>
        </row>
        <row r="106">
          <cell r="G106" t="str">
            <v/>
          </cell>
          <cell r="H106" t="str">
            <v/>
          </cell>
          <cell r="I106" t="str">
            <v/>
          </cell>
          <cell r="J106" t="str">
            <v/>
          </cell>
          <cell r="K106" t="str">
            <v/>
          </cell>
          <cell r="L106" t="str">
            <v/>
          </cell>
          <cell r="M106" t="str">
            <v/>
          </cell>
          <cell r="N106" t="str">
            <v/>
          </cell>
          <cell r="O106" t="str">
            <v/>
          </cell>
          <cell r="P106" t="str">
            <v/>
          </cell>
          <cell r="Q106" t="str">
            <v/>
          </cell>
          <cell r="R106" t="str">
            <v/>
          </cell>
          <cell r="S106" t="str">
            <v/>
          </cell>
        </row>
        <row r="107">
          <cell r="G107" t="str">
            <v/>
          </cell>
          <cell r="H107" t="str">
            <v/>
          </cell>
          <cell r="I107" t="str">
            <v/>
          </cell>
          <cell r="J107" t="str">
            <v/>
          </cell>
          <cell r="K107" t="str">
            <v/>
          </cell>
          <cell r="L107" t="str">
            <v/>
          </cell>
          <cell r="M107" t="str">
            <v/>
          </cell>
          <cell r="N107" t="str">
            <v/>
          </cell>
          <cell r="O107" t="str">
            <v/>
          </cell>
          <cell r="P107" t="str">
            <v/>
          </cell>
          <cell r="Q107" t="str">
            <v/>
          </cell>
          <cell r="R107" t="str">
            <v/>
          </cell>
          <cell r="S107" t="str">
            <v/>
          </cell>
        </row>
        <row r="108">
          <cell r="G108" t="str">
            <v/>
          </cell>
          <cell r="H108" t="str">
            <v/>
          </cell>
          <cell r="I108" t="str">
            <v/>
          </cell>
          <cell r="J108" t="str">
            <v/>
          </cell>
          <cell r="K108" t="str">
            <v/>
          </cell>
          <cell r="L108" t="str">
            <v/>
          </cell>
          <cell r="M108" t="str">
            <v/>
          </cell>
          <cell r="N108" t="str">
            <v/>
          </cell>
          <cell r="O108" t="str">
            <v/>
          </cell>
          <cell r="P108" t="str">
            <v/>
          </cell>
          <cell r="Q108" t="str">
            <v/>
          </cell>
          <cell r="R108" t="str">
            <v/>
          </cell>
          <cell r="S108" t="str">
            <v/>
          </cell>
        </row>
        <row r="109">
          <cell r="G109" t="str">
            <v/>
          </cell>
          <cell r="H109" t="str">
            <v/>
          </cell>
          <cell r="I109" t="str">
            <v/>
          </cell>
          <cell r="J109" t="str">
            <v/>
          </cell>
          <cell r="K109" t="str">
            <v/>
          </cell>
          <cell r="L109" t="str">
            <v/>
          </cell>
          <cell r="M109" t="str">
            <v/>
          </cell>
          <cell r="N109" t="str">
            <v/>
          </cell>
          <cell r="O109" t="str">
            <v/>
          </cell>
          <cell r="P109" t="str">
            <v/>
          </cell>
          <cell r="Q109" t="str">
            <v/>
          </cell>
          <cell r="R109" t="str">
            <v/>
          </cell>
          <cell r="S109" t="str">
            <v/>
          </cell>
        </row>
        <row r="110">
          <cell r="G110" t="str">
            <v/>
          </cell>
          <cell r="H110" t="str">
            <v/>
          </cell>
          <cell r="I110" t="str">
            <v/>
          </cell>
          <cell r="J110" t="str">
            <v/>
          </cell>
          <cell r="K110" t="str">
            <v/>
          </cell>
          <cell r="L110" t="str">
            <v/>
          </cell>
          <cell r="M110" t="str">
            <v/>
          </cell>
          <cell r="N110" t="str">
            <v/>
          </cell>
          <cell r="O110" t="str">
            <v/>
          </cell>
          <cell r="P110" t="str">
            <v/>
          </cell>
          <cell r="Q110" t="str">
            <v/>
          </cell>
          <cell r="R110" t="str">
            <v/>
          </cell>
          <cell r="S110" t="str">
            <v/>
          </cell>
        </row>
        <row r="111">
          <cell r="G111" t="str">
            <v/>
          </cell>
          <cell r="H111" t="str">
            <v/>
          </cell>
          <cell r="I111" t="str">
            <v/>
          </cell>
          <cell r="J111" t="str">
            <v/>
          </cell>
          <cell r="K111" t="str">
            <v/>
          </cell>
          <cell r="L111" t="str">
            <v/>
          </cell>
          <cell r="M111" t="str">
            <v/>
          </cell>
          <cell r="N111" t="str">
            <v/>
          </cell>
          <cell r="O111" t="str">
            <v/>
          </cell>
          <cell r="P111" t="str">
            <v/>
          </cell>
          <cell r="Q111" t="str">
            <v/>
          </cell>
          <cell r="R111" t="str">
            <v/>
          </cell>
          <cell r="S111" t="str">
            <v/>
          </cell>
        </row>
        <row r="112">
          <cell r="G112" t="str">
            <v/>
          </cell>
          <cell r="H112" t="str">
            <v/>
          </cell>
          <cell r="I112" t="str">
            <v/>
          </cell>
          <cell r="J112" t="str">
            <v/>
          </cell>
          <cell r="K112" t="str">
            <v/>
          </cell>
          <cell r="L112" t="str">
            <v/>
          </cell>
          <cell r="M112" t="str">
            <v/>
          </cell>
          <cell r="N112" t="str">
            <v/>
          </cell>
          <cell r="O112" t="str">
            <v/>
          </cell>
          <cell r="P112" t="str">
            <v/>
          </cell>
          <cell r="Q112" t="str">
            <v/>
          </cell>
          <cell r="R112" t="str">
            <v/>
          </cell>
          <cell r="S112" t="str">
            <v/>
          </cell>
        </row>
        <row r="113">
          <cell r="G113" t="str">
            <v/>
          </cell>
          <cell r="H113" t="str">
            <v/>
          </cell>
          <cell r="I113" t="str">
            <v/>
          </cell>
          <cell r="J113" t="str">
            <v/>
          </cell>
          <cell r="K113" t="str">
            <v/>
          </cell>
          <cell r="L113" t="str">
            <v/>
          </cell>
          <cell r="M113" t="str">
            <v/>
          </cell>
          <cell r="N113" t="str">
            <v/>
          </cell>
          <cell r="O113" t="str">
            <v/>
          </cell>
          <cell r="P113" t="str">
            <v/>
          </cell>
          <cell r="Q113" t="str">
            <v/>
          </cell>
          <cell r="R113" t="str">
            <v/>
          </cell>
          <cell r="S113" t="str">
            <v/>
          </cell>
        </row>
        <row r="114">
          <cell r="G114" t="str">
            <v/>
          </cell>
          <cell r="H114" t="str">
            <v/>
          </cell>
          <cell r="I114" t="str">
            <v/>
          </cell>
          <cell r="J114" t="str">
            <v/>
          </cell>
          <cell r="K114" t="str">
            <v/>
          </cell>
          <cell r="L114" t="str">
            <v/>
          </cell>
          <cell r="M114" t="str">
            <v/>
          </cell>
          <cell r="N114" t="str">
            <v/>
          </cell>
          <cell r="O114" t="str">
            <v/>
          </cell>
          <cell r="P114" t="str">
            <v/>
          </cell>
          <cell r="Q114" t="str">
            <v/>
          </cell>
          <cell r="R114" t="str">
            <v/>
          </cell>
          <cell r="S114" t="str">
            <v/>
          </cell>
        </row>
        <row r="115">
          <cell r="G115" t="str">
            <v/>
          </cell>
          <cell r="H115" t="str">
            <v/>
          </cell>
          <cell r="I115" t="str">
            <v/>
          </cell>
          <cell r="J115" t="str">
            <v/>
          </cell>
          <cell r="K115" t="str">
            <v/>
          </cell>
          <cell r="L115" t="str">
            <v/>
          </cell>
          <cell r="M115" t="str">
            <v/>
          </cell>
          <cell r="N115" t="str">
            <v/>
          </cell>
          <cell r="O115" t="str">
            <v/>
          </cell>
          <cell r="P115" t="str">
            <v/>
          </cell>
          <cell r="Q115" t="str">
            <v/>
          </cell>
          <cell r="R115" t="str">
            <v/>
          </cell>
          <cell r="S115" t="str">
            <v/>
          </cell>
        </row>
        <row r="116">
          <cell r="G116" t="str">
            <v/>
          </cell>
          <cell r="H116" t="str">
            <v/>
          </cell>
          <cell r="I116" t="str">
            <v/>
          </cell>
          <cell r="J116" t="str">
            <v/>
          </cell>
          <cell r="K116" t="str">
            <v/>
          </cell>
          <cell r="L116" t="str">
            <v/>
          </cell>
          <cell r="M116" t="str">
            <v/>
          </cell>
          <cell r="N116" t="str">
            <v/>
          </cell>
          <cell r="O116" t="str">
            <v/>
          </cell>
          <cell r="P116" t="str">
            <v/>
          </cell>
          <cell r="Q116" t="str">
            <v/>
          </cell>
          <cell r="R116" t="str">
            <v/>
          </cell>
          <cell r="S116" t="str">
            <v/>
          </cell>
        </row>
        <row r="117">
          <cell r="G117" t="str">
            <v/>
          </cell>
          <cell r="H117" t="str">
            <v/>
          </cell>
          <cell r="I117" t="str">
            <v/>
          </cell>
          <cell r="J117" t="str">
            <v/>
          </cell>
          <cell r="K117" t="str">
            <v/>
          </cell>
          <cell r="L117" t="str">
            <v/>
          </cell>
          <cell r="M117" t="str">
            <v/>
          </cell>
          <cell r="N117" t="str">
            <v/>
          </cell>
          <cell r="O117" t="str">
            <v/>
          </cell>
          <cell r="P117" t="str">
            <v/>
          </cell>
          <cell r="Q117" t="str">
            <v/>
          </cell>
          <cell r="R117" t="str">
            <v/>
          </cell>
          <cell r="S117" t="str">
            <v/>
          </cell>
        </row>
        <row r="118">
          <cell r="G118" t="str">
            <v/>
          </cell>
          <cell r="H118" t="str">
            <v/>
          </cell>
          <cell r="I118" t="str">
            <v/>
          </cell>
          <cell r="J118" t="str">
            <v/>
          </cell>
          <cell r="K118" t="str">
            <v/>
          </cell>
          <cell r="L118" t="str">
            <v/>
          </cell>
          <cell r="M118" t="str">
            <v/>
          </cell>
          <cell r="N118" t="str">
            <v/>
          </cell>
          <cell r="O118" t="str">
            <v/>
          </cell>
          <cell r="P118" t="str">
            <v/>
          </cell>
          <cell r="Q118" t="str">
            <v/>
          </cell>
          <cell r="R118" t="str">
            <v/>
          </cell>
          <cell r="S118" t="str">
            <v/>
          </cell>
        </row>
        <row r="119">
          <cell r="G119" t="str">
            <v/>
          </cell>
          <cell r="H119" t="str">
            <v/>
          </cell>
          <cell r="I119" t="str">
            <v/>
          </cell>
          <cell r="J119" t="str">
            <v/>
          </cell>
          <cell r="K119" t="str">
            <v/>
          </cell>
          <cell r="L119" t="str">
            <v/>
          </cell>
          <cell r="M119" t="str">
            <v/>
          </cell>
          <cell r="N119" t="str">
            <v/>
          </cell>
          <cell r="O119" t="str">
            <v/>
          </cell>
          <cell r="P119" t="str">
            <v/>
          </cell>
          <cell r="Q119" t="str">
            <v/>
          </cell>
          <cell r="R119" t="str">
            <v/>
          </cell>
          <cell r="S119" t="str">
            <v/>
          </cell>
        </row>
        <row r="120">
          <cell r="G120" t="str">
            <v/>
          </cell>
          <cell r="H120" t="str">
            <v/>
          </cell>
          <cell r="I120" t="str">
            <v/>
          </cell>
          <cell r="J120" t="str">
            <v/>
          </cell>
          <cell r="K120" t="str">
            <v/>
          </cell>
          <cell r="L120" t="str">
            <v/>
          </cell>
          <cell r="M120" t="str">
            <v/>
          </cell>
          <cell r="N120" t="str">
            <v/>
          </cell>
          <cell r="O120" t="str">
            <v/>
          </cell>
          <cell r="P120" t="str">
            <v/>
          </cell>
          <cell r="Q120" t="str">
            <v/>
          </cell>
          <cell r="R120" t="str">
            <v/>
          </cell>
          <cell r="S120" t="str">
            <v/>
          </cell>
        </row>
        <row r="121">
          <cell r="G121" t="str">
            <v/>
          </cell>
          <cell r="H121" t="str">
            <v/>
          </cell>
          <cell r="I121" t="str">
            <v/>
          </cell>
          <cell r="J121" t="str">
            <v/>
          </cell>
          <cell r="K121" t="str">
            <v/>
          </cell>
          <cell r="L121" t="str">
            <v/>
          </cell>
          <cell r="M121" t="str">
            <v/>
          </cell>
          <cell r="N121" t="str">
            <v/>
          </cell>
          <cell r="O121" t="str">
            <v/>
          </cell>
          <cell r="P121" t="str">
            <v/>
          </cell>
          <cell r="Q121" t="str">
            <v/>
          </cell>
          <cell r="R121" t="str">
            <v/>
          </cell>
          <cell r="S121" t="str">
            <v/>
          </cell>
        </row>
        <row r="122">
          <cell r="G122" t="str">
            <v/>
          </cell>
          <cell r="H122" t="str">
            <v/>
          </cell>
          <cell r="I122" t="str">
            <v/>
          </cell>
          <cell r="J122" t="str">
            <v/>
          </cell>
          <cell r="K122" t="str">
            <v/>
          </cell>
          <cell r="L122" t="str">
            <v/>
          </cell>
          <cell r="M122" t="str">
            <v/>
          </cell>
          <cell r="N122" t="str">
            <v/>
          </cell>
          <cell r="O122" t="str">
            <v/>
          </cell>
          <cell r="P122" t="str">
            <v/>
          </cell>
          <cell r="Q122" t="str">
            <v/>
          </cell>
          <cell r="R122" t="str">
            <v/>
          </cell>
          <cell r="S122" t="str">
            <v/>
          </cell>
        </row>
        <row r="123">
          <cell r="G123" t="str">
            <v/>
          </cell>
          <cell r="H123" t="str">
            <v/>
          </cell>
          <cell r="I123" t="str">
            <v/>
          </cell>
          <cell r="J123" t="str">
            <v/>
          </cell>
          <cell r="K123" t="str">
            <v/>
          </cell>
          <cell r="L123" t="str">
            <v/>
          </cell>
          <cell r="M123" t="str">
            <v/>
          </cell>
          <cell r="N123" t="str">
            <v/>
          </cell>
          <cell r="O123" t="str">
            <v/>
          </cell>
          <cell r="P123" t="str">
            <v/>
          </cell>
          <cell r="Q123" t="str">
            <v/>
          </cell>
          <cell r="R123" t="str">
            <v/>
          </cell>
          <cell r="S123" t="str">
            <v/>
          </cell>
        </row>
        <row r="124">
          <cell r="G124" t="str">
            <v/>
          </cell>
          <cell r="H124" t="str">
            <v/>
          </cell>
          <cell r="I124" t="str">
            <v/>
          </cell>
          <cell r="J124" t="str">
            <v/>
          </cell>
          <cell r="K124" t="str">
            <v/>
          </cell>
          <cell r="L124" t="str">
            <v/>
          </cell>
          <cell r="M124" t="str">
            <v/>
          </cell>
          <cell r="N124" t="str">
            <v/>
          </cell>
          <cell r="O124" t="str">
            <v/>
          </cell>
          <cell r="P124" t="str">
            <v/>
          </cell>
          <cell r="Q124" t="str">
            <v/>
          </cell>
          <cell r="R124" t="str">
            <v/>
          </cell>
          <cell r="S124" t="str">
            <v/>
          </cell>
        </row>
        <row r="125">
          <cell r="G125" t="str">
            <v/>
          </cell>
          <cell r="H125" t="str">
            <v/>
          </cell>
          <cell r="I125" t="str">
            <v/>
          </cell>
          <cell r="J125" t="str">
            <v/>
          </cell>
          <cell r="K125" t="str">
            <v/>
          </cell>
          <cell r="L125" t="str">
            <v/>
          </cell>
          <cell r="M125" t="str">
            <v/>
          </cell>
          <cell r="N125" t="str">
            <v/>
          </cell>
          <cell r="O125" t="str">
            <v/>
          </cell>
          <cell r="P125" t="str">
            <v/>
          </cell>
          <cell r="Q125" t="str">
            <v/>
          </cell>
          <cell r="R125" t="str">
            <v/>
          </cell>
          <cell r="S125" t="str">
            <v/>
          </cell>
        </row>
        <row r="126">
          <cell r="G126" t="str">
            <v/>
          </cell>
          <cell r="H126" t="str">
            <v/>
          </cell>
          <cell r="I126" t="str">
            <v/>
          </cell>
          <cell r="J126" t="str">
            <v/>
          </cell>
          <cell r="K126" t="str">
            <v/>
          </cell>
          <cell r="L126" t="str">
            <v/>
          </cell>
          <cell r="M126" t="str">
            <v/>
          </cell>
          <cell r="N126" t="str">
            <v/>
          </cell>
          <cell r="O126" t="str">
            <v/>
          </cell>
          <cell r="P126" t="str">
            <v/>
          </cell>
          <cell r="Q126" t="str">
            <v/>
          </cell>
          <cell r="R126" t="str">
            <v/>
          </cell>
          <cell r="S126" t="str">
            <v/>
          </cell>
        </row>
        <row r="127">
          <cell r="G127" t="str">
            <v/>
          </cell>
          <cell r="H127" t="str">
            <v/>
          </cell>
          <cell r="I127" t="str">
            <v/>
          </cell>
          <cell r="J127" t="str">
            <v/>
          </cell>
          <cell r="K127" t="str">
            <v/>
          </cell>
          <cell r="L127" t="str">
            <v/>
          </cell>
          <cell r="M127" t="str">
            <v/>
          </cell>
          <cell r="N127" t="str">
            <v/>
          </cell>
          <cell r="O127" t="str">
            <v/>
          </cell>
          <cell r="P127" t="str">
            <v/>
          </cell>
          <cell r="Q127" t="str">
            <v/>
          </cell>
          <cell r="R127" t="str">
            <v/>
          </cell>
          <cell r="S127" t="str">
            <v/>
          </cell>
        </row>
        <row r="128">
          <cell r="G128" t="str">
            <v/>
          </cell>
          <cell r="H128" t="str">
            <v/>
          </cell>
          <cell r="I128" t="str">
            <v/>
          </cell>
          <cell r="J128" t="str">
            <v/>
          </cell>
          <cell r="K128" t="str">
            <v/>
          </cell>
          <cell r="L128" t="str">
            <v/>
          </cell>
          <cell r="M128" t="str">
            <v/>
          </cell>
          <cell r="N128" t="str">
            <v/>
          </cell>
          <cell r="O128" t="str">
            <v/>
          </cell>
          <cell r="P128" t="str">
            <v/>
          </cell>
          <cell r="Q128" t="str">
            <v/>
          </cell>
          <cell r="R128" t="str">
            <v/>
          </cell>
          <cell r="S128" t="str">
            <v/>
          </cell>
        </row>
        <row r="129">
          <cell r="G129" t="str">
            <v/>
          </cell>
          <cell r="H129" t="str">
            <v/>
          </cell>
          <cell r="I129" t="str">
            <v/>
          </cell>
          <cell r="J129" t="str">
            <v/>
          </cell>
          <cell r="K129" t="str">
            <v/>
          </cell>
          <cell r="L129" t="str">
            <v/>
          </cell>
          <cell r="M129" t="str">
            <v/>
          </cell>
          <cell r="N129" t="str">
            <v/>
          </cell>
          <cell r="O129" t="str">
            <v/>
          </cell>
          <cell r="P129" t="str">
            <v/>
          </cell>
          <cell r="Q129" t="str">
            <v/>
          </cell>
          <cell r="R129" t="str">
            <v/>
          </cell>
          <cell r="S129" t="str">
            <v/>
          </cell>
        </row>
        <row r="130">
          <cell r="G130" t="str">
            <v/>
          </cell>
          <cell r="H130" t="str">
            <v/>
          </cell>
          <cell r="I130" t="str">
            <v/>
          </cell>
          <cell r="J130" t="str">
            <v/>
          </cell>
          <cell r="K130" t="str">
            <v/>
          </cell>
          <cell r="L130" t="str">
            <v/>
          </cell>
          <cell r="M130" t="str">
            <v/>
          </cell>
          <cell r="N130" t="str">
            <v/>
          </cell>
          <cell r="O130" t="str">
            <v/>
          </cell>
          <cell r="P130" t="str">
            <v/>
          </cell>
          <cell r="Q130" t="str">
            <v/>
          </cell>
          <cell r="R130" t="str">
            <v/>
          </cell>
          <cell r="S130" t="str">
            <v/>
          </cell>
        </row>
        <row r="131">
          <cell r="G131" t="str">
            <v/>
          </cell>
          <cell r="H131" t="str">
            <v/>
          </cell>
          <cell r="I131" t="str">
            <v/>
          </cell>
          <cell r="J131" t="str">
            <v/>
          </cell>
          <cell r="K131" t="str">
            <v/>
          </cell>
          <cell r="L131" t="str">
            <v/>
          </cell>
          <cell r="M131" t="str">
            <v/>
          </cell>
          <cell r="N131" t="str">
            <v/>
          </cell>
          <cell r="O131" t="str">
            <v/>
          </cell>
          <cell r="P131" t="str">
            <v/>
          </cell>
          <cell r="Q131" t="str">
            <v/>
          </cell>
          <cell r="R131" t="str">
            <v/>
          </cell>
          <cell r="S131" t="str">
            <v/>
          </cell>
        </row>
        <row r="132">
          <cell r="G132" t="str">
            <v/>
          </cell>
          <cell r="H132" t="str">
            <v/>
          </cell>
          <cell r="I132" t="str">
            <v/>
          </cell>
          <cell r="J132" t="str">
            <v/>
          </cell>
          <cell r="K132" t="str">
            <v/>
          </cell>
          <cell r="L132" t="str">
            <v/>
          </cell>
          <cell r="M132" t="str">
            <v/>
          </cell>
          <cell r="N132" t="str">
            <v/>
          </cell>
          <cell r="O132" t="str">
            <v/>
          </cell>
          <cell r="P132" t="str">
            <v/>
          </cell>
          <cell r="Q132" t="str">
            <v/>
          </cell>
          <cell r="R132" t="str">
            <v/>
          </cell>
          <cell r="S132" t="str">
            <v/>
          </cell>
        </row>
        <row r="133">
          <cell r="G133" t="str">
            <v/>
          </cell>
          <cell r="H133" t="str">
            <v/>
          </cell>
          <cell r="I133" t="str">
            <v/>
          </cell>
          <cell r="J133" t="str">
            <v/>
          </cell>
          <cell r="K133" t="str">
            <v/>
          </cell>
          <cell r="L133" t="str">
            <v/>
          </cell>
          <cell r="M133" t="str">
            <v/>
          </cell>
          <cell r="N133" t="str">
            <v/>
          </cell>
          <cell r="O133" t="str">
            <v/>
          </cell>
          <cell r="P133" t="str">
            <v/>
          </cell>
          <cell r="Q133" t="str">
            <v/>
          </cell>
          <cell r="R133" t="str">
            <v/>
          </cell>
          <cell r="S133" t="str">
            <v/>
          </cell>
        </row>
        <row r="134">
          <cell r="G134" t="str">
            <v/>
          </cell>
          <cell r="H134" t="str">
            <v/>
          </cell>
          <cell r="I134" t="str">
            <v/>
          </cell>
          <cell r="J134" t="str">
            <v/>
          </cell>
          <cell r="K134" t="str">
            <v/>
          </cell>
          <cell r="L134" t="str">
            <v/>
          </cell>
          <cell r="M134" t="str">
            <v/>
          </cell>
          <cell r="N134" t="str">
            <v/>
          </cell>
          <cell r="O134" t="str">
            <v/>
          </cell>
          <cell r="P134" t="str">
            <v/>
          </cell>
          <cell r="Q134" t="str">
            <v/>
          </cell>
          <cell r="R134" t="str">
            <v/>
          </cell>
          <cell r="S134" t="str">
            <v/>
          </cell>
        </row>
        <row r="135">
          <cell r="G135" t="str">
            <v/>
          </cell>
          <cell r="H135" t="str">
            <v/>
          </cell>
          <cell r="I135" t="str">
            <v/>
          </cell>
          <cell r="J135" t="str">
            <v/>
          </cell>
          <cell r="K135" t="str">
            <v/>
          </cell>
          <cell r="L135" t="str">
            <v/>
          </cell>
          <cell r="M135" t="str">
            <v/>
          </cell>
          <cell r="N135" t="str">
            <v/>
          </cell>
          <cell r="O135" t="str">
            <v/>
          </cell>
          <cell r="P135" t="str">
            <v/>
          </cell>
          <cell r="Q135" t="str">
            <v/>
          </cell>
          <cell r="R135" t="str">
            <v/>
          </cell>
          <cell r="S135" t="str">
            <v/>
          </cell>
        </row>
        <row r="136">
          <cell r="G136" t="str">
            <v/>
          </cell>
          <cell r="H136" t="str">
            <v/>
          </cell>
          <cell r="I136" t="str">
            <v/>
          </cell>
          <cell r="J136" t="str">
            <v/>
          </cell>
          <cell r="K136" t="str">
            <v/>
          </cell>
          <cell r="L136" t="str">
            <v/>
          </cell>
          <cell r="M136" t="str">
            <v/>
          </cell>
          <cell r="N136" t="str">
            <v/>
          </cell>
          <cell r="O136" t="str">
            <v/>
          </cell>
          <cell r="P136" t="str">
            <v/>
          </cell>
          <cell r="Q136" t="str">
            <v/>
          </cell>
          <cell r="R136" t="str">
            <v/>
          </cell>
          <cell r="S136" t="str">
            <v/>
          </cell>
        </row>
        <row r="137">
          <cell r="G137" t="str">
            <v/>
          </cell>
          <cell r="H137" t="str">
            <v/>
          </cell>
          <cell r="I137" t="str">
            <v/>
          </cell>
          <cell r="J137" t="str">
            <v/>
          </cell>
          <cell r="K137" t="str">
            <v/>
          </cell>
          <cell r="L137" t="str">
            <v/>
          </cell>
          <cell r="M137" t="str">
            <v/>
          </cell>
          <cell r="N137" t="str">
            <v/>
          </cell>
          <cell r="O137" t="str">
            <v/>
          </cell>
          <cell r="P137" t="str">
            <v/>
          </cell>
          <cell r="Q137" t="str">
            <v/>
          </cell>
          <cell r="R137" t="str">
            <v/>
          </cell>
          <cell r="S137" t="str">
            <v/>
          </cell>
        </row>
        <row r="138">
          <cell r="G138" t="str">
            <v/>
          </cell>
          <cell r="H138" t="str">
            <v/>
          </cell>
          <cell r="I138" t="str">
            <v/>
          </cell>
          <cell r="J138" t="str">
            <v/>
          </cell>
          <cell r="K138" t="str">
            <v/>
          </cell>
          <cell r="L138" t="str">
            <v/>
          </cell>
          <cell r="M138" t="str">
            <v/>
          </cell>
          <cell r="N138" t="str">
            <v/>
          </cell>
          <cell r="O138" t="str">
            <v/>
          </cell>
          <cell r="P138" t="str">
            <v/>
          </cell>
          <cell r="Q138" t="str">
            <v/>
          </cell>
          <cell r="R138" t="str">
            <v/>
          </cell>
          <cell r="S138" t="str">
            <v/>
          </cell>
        </row>
        <row r="139">
          <cell r="G139" t="str">
            <v/>
          </cell>
          <cell r="H139" t="str">
            <v/>
          </cell>
          <cell r="I139" t="str">
            <v/>
          </cell>
          <cell r="J139" t="str">
            <v/>
          </cell>
          <cell r="K139" t="str">
            <v/>
          </cell>
          <cell r="L139" t="str">
            <v/>
          </cell>
          <cell r="M139" t="str">
            <v/>
          </cell>
          <cell r="N139" t="str">
            <v/>
          </cell>
          <cell r="O139" t="str">
            <v/>
          </cell>
          <cell r="P139" t="str">
            <v/>
          </cell>
          <cell r="Q139" t="str">
            <v/>
          </cell>
          <cell r="R139" t="str">
            <v/>
          </cell>
          <cell r="S139" t="str">
            <v/>
          </cell>
        </row>
        <row r="140">
          <cell r="G140" t="str">
            <v/>
          </cell>
          <cell r="H140" t="str">
            <v/>
          </cell>
          <cell r="I140" t="str">
            <v/>
          </cell>
          <cell r="J140" t="str">
            <v/>
          </cell>
          <cell r="K140" t="str">
            <v/>
          </cell>
          <cell r="L140" t="str">
            <v/>
          </cell>
          <cell r="M140" t="str">
            <v/>
          </cell>
          <cell r="N140" t="str">
            <v/>
          </cell>
          <cell r="O140" t="str">
            <v/>
          </cell>
          <cell r="P140" t="str">
            <v/>
          </cell>
          <cell r="Q140" t="str">
            <v/>
          </cell>
          <cell r="R140" t="str">
            <v/>
          </cell>
          <cell r="S140" t="str">
            <v/>
          </cell>
        </row>
        <row r="141">
          <cell r="G141" t="str">
            <v/>
          </cell>
          <cell r="H141" t="str">
            <v/>
          </cell>
          <cell r="I141" t="str">
            <v/>
          </cell>
          <cell r="J141" t="str">
            <v/>
          </cell>
          <cell r="K141" t="str">
            <v/>
          </cell>
          <cell r="L141" t="str">
            <v/>
          </cell>
          <cell r="M141" t="str">
            <v/>
          </cell>
          <cell r="N141" t="str">
            <v/>
          </cell>
          <cell r="O141" t="str">
            <v/>
          </cell>
          <cell r="P141" t="str">
            <v/>
          </cell>
          <cell r="Q141" t="str">
            <v/>
          </cell>
          <cell r="R141" t="str">
            <v/>
          </cell>
          <cell r="S141" t="str">
            <v/>
          </cell>
        </row>
        <row r="142">
          <cell r="G142" t="str">
            <v/>
          </cell>
          <cell r="H142" t="str">
            <v/>
          </cell>
          <cell r="I142" t="str">
            <v/>
          </cell>
          <cell r="J142" t="str">
            <v/>
          </cell>
          <cell r="K142" t="str">
            <v/>
          </cell>
          <cell r="L142" t="str">
            <v/>
          </cell>
          <cell r="M142" t="str">
            <v/>
          </cell>
          <cell r="N142" t="str">
            <v/>
          </cell>
          <cell r="O142" t="str">
            <v/>
          </cell>
          <cell r="P142" t="str">
            <v/>
          </cell>
          <cell r="Q142" t="str">
            <v/>
          </cell>
          <cell r="R142" t="str">
            <v/>
          </cell>
          <cell r="S142" t="str">
            <v/>
          </cell>
        </row>
        <row r="143">
          <cell r="G143" t="str">
            <v/>
          </cell>
          <cell r="H143" t="str">
            <v/>
          </cell>
          <cell r="I143" t="str">
            <v/>
          </cell>
          <cell r="J143" t="str">
            <v/>
          </cell>
          <cell r="K143" t="str">
            <v/>
          </cell>
          <cell r="L143" t="str">
            <v/>
          </cell>
          <cell r="M143" t="str">
            <v/>
          </cell>
          <cell r="N143" t="str">
            <v/>
          </cell>
          <cell r="O143" t="str">
            <v/>
          </cell>
          <cell r="P143" t="str">
            <v/>
          </cell>
          <cell r="Q143" t="str">
            <v/>
          </cell>
          <cell r="R143" t="str">
            <v/>
          </cell>
          <cell r="S143" t="str">
            <v/>
          </cell>
        </row>
        <row r="144">
          <cell r="G144" t="str">
            <v/>
          </cell>
          <cell r="H144" t="str">
            <v/>
          </cell>
          <cell r="I144" t="str">
            <v/>
          </cell>
          <cell r="J144" t="str">
            <v/>
          </cell>
          <cell r="K144" t="str">
            <v/>
          </cell>
          <cell r="L144" t="str">
            <v/>
          </cell>
          <cell r="M144" t="str">
            <v/>
          </cell>
          <cell r="N144" t="str">
            <v/>
          </cell>
          <cell r="O144" t="str">
            <v/>
          </cell>
          <cell r="P144" t="str">
            <v/>
          </cell>
          <cell r="Q144" t="str">
            <v/>
          </cell>
          <cell r="R144" t="str">
            <v/>
          </cell>
          <cell r="S144" t="str">
            <v/>
          </cell>
        </row>
        <row r="145">
          <cell r="G145" t="str">
            <v/>
          </cell>
          <cell r="H145" t="str">
            <v/>
          </cell>
          <cell r="I145" t="str">
            <v/>
          </cell>
          <cell r="J145" t="str">
            <v/>
          </cell>
          <cell r="K145" t="str">
            <v/>
          </cell>
          <cell r="L145" t="str">
            <v/>
          </cell>
          <cell r="M145" t="str">
            <v/>
          </cell>
          <cell r="N145" t="str">
            <v/>
          </cell>
          <cell r="O145" t="str">
            <v/>
          </cell>
          <cell r="P145" t="str">
            <v/>
          </cell>
          <cell r="Q145" t="str">
            <v/>
          </cell>
          <cell r="R145" t="str">
            <v/>
          </cell>
          <cell r="S145" t="str">
            <v/>
          </cell>
        </row>
        <row r="146">
          <cell r="G146" t="str">
            <v/>
          </cell>
          <cell r="H146" t="str">
            <v/>
          </cell>
          <cell r="I146" t="str">
            <v/>
          </cell>
          <cell r="J146" t="str">
            <v/>
          </cell>
          <cell r="K146" t="str">
            <v/>
          </cell>
          <cell r="L146" t="str">
            <v/>
          </cell>
          <cell r="M146" t="str">
            <v/>
          </cell>
          <cell r="N146" t="str">
            <v/>
          </cell>
          <cell r="O146" t="str">
            <v/>
          </cell>
          <cell r="P146" t="str">
            <v/>
          </cell>
          <cell r="Q146" t="str">
            <v/>
          </cell>
          <cell r="R146" t="str">
            <v/>
          </cell>
          <cell r="S146" t="str">
            <v/>
          </cell>
        </row>
        <row r="147">
          <cell r="G147" t="str">
            <v/>
          </cell>
          <cell r="H147" t="str">
            <v/>
          </cell>
          <cell r="I147" t="str">
            <v/>
          </cell>
          <cell r="J147" t="str">
            <v/>
          </cell>
          <cell r="K147" t="str">
            <v/>
          </cell>
          <cell r="L147" t="str">
            <v/>
          </cell>
          <cell r="M147" t="str">
            <v/>
          </cell>
          <cell r="N147" t="str">
            <v/>
          </cell>
          <cell r="O147" t="str">
            <v/>
          </cell>
          <cell r="P147" t="str">
            <v/>
          </cell>
          <cell r="Q147" t="str">
            <v/>
          </cell>
          <cell r="R147" t="str">
            <v/>
          </cell>
          <cell r="S147" t="str">
            <v/>
          </cell>
        </row>
        <row r="148">
          <cell r="G148" t="str">
            <v/>
          </cell>
          <cell r="H148" t="str">
            <v/>
          </cell>
          <cell r="I148" t="str">
            <v/>
          </cell>
          <cell r="J148" t="str">
            <v/>
          </cell>
          <cell r="K148" t="str">
            <v/>
          </cell>
          <cell r="L148" t="str">
            <v/>
          </cell>
          <cell r="M148" t="str">
            <v/>
          </cell>
          <cell r="N148" t="str">
            <v/>
          </cell>
          <cell r="O148" t="str">
            <v/>
          </cell>
          <cell r="P148" t="str">
            <v/>
          </cell>
          <cell r="Q148" t="str">
            <v/>
          </cell>
          <cell r="R148" t="str">
            <v/>
          </cell>
          <cell r="S148" t="str">
            <v/>
          </cell>
        </row>
        <row r="149">
          <cell r="G149" t="str">
            <v/>
          </cell>
          <cell r="H149" t="str">
            <v/>
          </cell>
          <cell r="I149" t="str">
            <v/>
          </cell>
          <cell r="J149" t="str">
            <v/>
          </cell>
          <cell r="K149" t="str">
            <v/>
          </cell>
          <cell r="L149" t="str">
            <v/>
          </cell>
          <cell r="M149" t="str">
            <v/>
          </cell>
          <cell r="N149" t="str">
            <v/>
          </cell>
          <cell r="O149" t="str">
            <v/>
          </cell>
          <cell r="P149" t="str">
            <v/>
          </cell>
          <cell r="Q149" t="str">
            <v/>
          </cell>
          <cell r="R149" t="str">
            <v/>
          </cell>
          <cell r="S149" t="str">
            <v/>
          </cell>
        </row>
        <row r="150">
          <cell r="G150" t="str">
            <v/>
          </cell>
          <cell r="H150" t="str">
            <v/>
          </cell>
          <cell r="I150" t="str">
            <v/>
          </cell>
          <cell r="J150" t="str">
            <v/>
          </cell>
          <cell r="K150" t="str">
            <v/>
          </cell>
          <cell r="L150" t="str">
            <v/>
          </cell>
          <cell r="M150" t="str">
            <v/>
          </cell>
          <cell r="N150" t="str">
            <v/>
          </cell>
          <cell r="O150" t="str">
            <v/>
          </cell>
          <cell r="P150" t="str">
            <v/>
          </cell>
          <cell r="Q150" t="str">
            <v/>
          </cell>
          <cell r="R150" t="str">
            <v/>
          </cell>
          <cell r="S150" t="str">
            <v/>
          </cell>
        </row>
        <row r="151">
          <cell r="G151" t="str">
            <v/>
          </cell>
          <cell r="H151" t="str">
            <v/>
          </cell>
          <cell r="I151" t="str">
            <v/>
          </cell>
          <cell r="J151" t="str">
            <v/>
          </cell>
          <cell r="K151" t="str">
            <v/>
          </cell>
          <cell r="L151" t="str">
            <v/>
          </cell>
          <cell r="M151" t="str">
            <v/>
          </cell>
          <cell r="N151" t="str">
            <v/>
          </cell>
          <cell r="O151" t="str">
            <v/>
          </cell>
          <cell r="P151" t="str">
            <v/>
          </cell>
          <cell r="Q151" t="str">
            <v/>
          </cell>
          <cell r="R151" t="str">
            <v/>
          </cell>
          <cell r="S151" t="str">
            <v/>
          </cell>
        </row>
        <row r="152">
          <cell r="G152" t="str">
            <v/>
          </cell>
          <cell r="H152" t="str">
            <v/>
          </cell>
          <cell r="I152" t="str">
            <v/>
          </cell>
          <cell r="J152" t="str">
            <v/>
          </cell>
          <cell r="K152" t="str">
            <v/>
          </cell>
          <cell r="L152" t="str">
            <v/>
          </cell>
          <cell r="M152" t="str">
            <v/>
          </cell>
          <cell r="N152" t="str">
            <v/>
          </cell>
          <cell r="O152" t="str">
            <v/>
          </cell>
          <cell r="P152" t="str">
            <v/>
          </cell>
          <cell r="Q152" t="str">
            <v/>
          </cell>
          <cell r="R152" t="str">
            <v/>
          </cell>
          <cell r="S152" t="str">
            <v/>
          </cell>
        </row>
        <row r="153">
          <cell r="G153" t="str">
            <v/>
          </cell>
          <cell r="H153" t="str">
            <v/>
          </cell>
          <cell r="I153" t="str">
            <v/>
          </cell>
          <cell r="J153" t="str">
            <v/>
          </cell>
          <cell r="K153" t="str">
            <v/>
          </cell>
          <cell r="L153" t="str">
            <v/>
          </cell>
          <cell r="M153" t="str">
            <v/>
          </cell>
          <cell r="N153" t="str">
            <v/>
          </cell>
          <cell r="O153" t="str">
            <v/>
          </cell>
          <cell r="P153" t="str">
            <v/>
          </cell>
          <cell r="Q153" t="str">
            <v/>
          </cell>
          <cell r="R153" t="str">
            <v/>
          </cell>
          <cell r="S153" t="str">
            <v/>
          </cell>
        </row>
        <row r="154">
          <cell r="G154" t="str">
            <v/>
          </cell>
          <cell r="H154" t="str">
            <v/>
          </cell>
          <cell r="I154" t="str">
            <v/>
          </cell>
          <cell r="J154" t="str">
            <v/>
          </cell>
          <cell r="K154" t="str">
            <v/>
          </cell>
          <cell r="L154" t="str">
            <v/>
          </cell>
          <cell r="M154" t="str">
            <v/>
          </cell>
          <cell r="N154" t="str">
            <v/>
          </cell>
          <cell r="O154" t="str">
            <v/>
          </cell>
          <cell r="P154" t="str">
            <v/>
          </cell>
          <cell r="Q154" t="str">
            <v/>
          </cell>
          <cell r="R154" t="str">
            <v/>
          </cell>
          <cell r="S154" t="str">
            <v/>
          </cell>
        </row>
        <row r="155">
          <cell r="G155" t="str">
            <v/>
          </cell>
          <cell r="H155" t="str">
            <v/>
          </cell>
          <cell r="I155" t="str">
            <v/>
          </cell>
          <cell r="J155" t="str">
            <v/>
          </cell>
          <cell r="K155" t="str">
            <v/>
          </cell>
          <cell r="L155" t="str">
            <v/>
          </cell>
          <cell r="M155" t="str">
            <v/>
          </cell>
          <cell r="N155" t="str">
            <v/>
          </cell>
          <cell r="O155" t="str">
            <v/>
          </cell>
          <cell r="P155" t="str">
            <v/>
          </cell>
          <cell r="Q155" t="str">
            <v/>
          </cell>
          <cell r="R155" t="str">
            <v/>
          </cell>
          <cell r="S155" t="str">
            <v/>
          </cell>
        </row>
        <row r="156">
          <cell r="G156" t="str">
            <v/>
          </cell>
          <cell r="H156" t="str">
            <v/>
          </cell>
          <cell r="I156" t="str">
            <v/>
          </cell>
          <cell r="J156" t="str">
            <v/>
          </cell>
          <cell r="K156" t="str">
            <v/>
          </cell>
          <cell r="L156" t="str">
            <v/>
          </cell>
          <cell r="M156" t="str">
            <v/>
          </cell>
          <cell r="N156" t="str">
            <v/>
          </cell>
          <cell r="O156" t="str">
            <v/>
          </cell>
          <cell r="P156" t="str">
            <v/>
          </cell>
          <cell r="Q156" t="str">
            <v/>
          </cell>
          <cell r="R156" t="str">
            <v/>
          </cell>
          <cell r="S156" t="str">
            <v/>
          </cell>
        </row>
        <row r="157">
          <cell r="G157" t="str">
            <v/>
          </cell>
          <cell r="H157" t="str">
            <v/>
          </cell>
          <cell r="I157" t="str">
            <v/>
          </cell>
          <cell r="J157" t="str">
            <v/>
          </cell>
          <cell r="K157" t="str">
            <v/>
          </cell>
          <cell r="L157" t="str">
            <v/>
          </cell>
          <cell r="M157" t="str">
            <v/>
          </cell>
          <cell r="N157" t="str">
            <v/>
          </cell>
          <cell r="O157" t="str">
            <v/>
          </cell>
          <cell r="P157" t="str">
            <v/>
          </cell>
          <cell r="Q157" t="str">
            <v/>
          </cell>
          <cell r="R157" t="str">
            <v/>
          </cell>
          <cell r="S157" t="str">
            <v/>
          </cell>
        </row>
        <row r="158">
          <cell r="G158" t="str">
            <v/>
          </cell>
          <cell r="H158" t="str">
            <v/>
          </cell>
          <cell r="I158" t="str">
            <v/>
          </cell>
          <cell r="J158" t="str">
            <v/>
          </cell>
          <cell r="K158" t="str">
            <v/>
          </cell>
          <cell r="L158" t="str">
            <v/>
          </cell>
          <cell r="M158" t="str">
            <v/>
          </cell>
          <cell r="N158" t="str">
            <v/>
          </cell>
          <cell r="O158" t="str">
            <v/>
          </cell>
          <cell r="P158" t="str">
            <v/>
          </cell>
          <cell r="Q158" t="str">
            <v/>
          </cell>
          <cell r="R158" t="str">
            <v/>
          </cell>
          <cell r="S158" t="str">
            <v/>
          </cell>
        </row>
        <row r="159">
          <cell r="G159" t="str">
            <v/>
          </cell>
          <cell r="H159" t="str">
            <v/>
          </cell>
          <cell r="I159" t="str">
            <v/>
          </cell>
          <cell r="J159" t="str">
            <v/>
          </cell>
          <cell r="K159" t="str">
            <v/>
          </cell>
          <cell r="L159" t="str">
            <v/>
          </cell>
          <cell r="M159" t="str">
            <v/>
          </cell>
          <cell r="N159" t="str">
            <v/>
          </cell>
          <cell r="O159" t="str">
            <v/>
          </cell>
          <cell r="P159" t="str">
            <v/>
          </cell>
          <cell r="Q159" t="str">
            <v/>
          </cell>
          <cell r="R159" t="str">
            <v/>
          </cell>
          <cell r="S159" t="str">
            <v/>
          </cell>
        </row>
        <row r="160">
          <cell r="G160" t="str">
            <v/>
          </cell>
          <cell r="H160" t="str">
            <v/>
          </cell>
          <cell r="I160" t="str">
            <v/>
          </cell>
          <cell r="J160" t="str">
            <v/>
          </cell>
          <cell r="K160" t="str">
            <v/>
          </cell>
          <cell r="L160" t="str">
            <v/>
          </cell>
          <cell r="M160" t="str">
            <v/>
          </cell>
          <cell r="N160" t="str">
            <v/>
          </cell>
          <cell r="O160" t="str">
            <v/>
          </cell>
          <cell r="P160" t="str">
            <v/>
          </cell>
          <cell r="Q160" t="str">
            <v/>
          </cell>
          <cell r="R160" t="str">
            <v/>
          </cell>
          <cell r="S160" t="str">
            <v/>
          </cell>
        </row>
        <row r="161">
          <cell r="G161" t="str">
            <v/>
          </cell>
          <cell r="H161" t="str">
            <v/>
          </cell>
          <cell r="I161" t="str">
            <v/>
          </cell>
          <cell r="J161" t="str">
            <v/>
          </cell>
          <cell r="K161" t="str">
            <v/>
          </cell>
          <cell r="L161" t="str">
            <v/>
          </cell>
          <cell r="M161" t="str">
            <v/>
          </cell>
          <cell r="N161" t="str">
            <v/>
          </cell>
          <cell r="O161" t="str">
            <v/>
          </cell>
          <cell r="P161" t="str">
            <v/>
          </cell>
          <cell r="Q161" t="str">
            <v/>
          </cell>
          <cell r="R161" t="str">
            <v/>
          </cell>
          <cell r="S161" t="str">
            <v/>
          </cell>
        </row>
        <row r="162">
          <cell r="G162" t="str">
            <v/>
          </cell>
          <cell r="H162" t="str">
            <v/>
          </cell>
          <cell r="I162" t="str">
            <v/>
          </cell>
          <cell r="J162" t="str">
            <v/>
          </cell>
          <cell r="K162" t="str">
            <v/>
          </cell>
          <cell r="L162" t="str">
            <v/>
          </cell>
          <cell r="M162" t="str">
            <v/>
          </cell>
          <cell r="N162" t="str">
            <v/>
          </cell>
          <cell r="O162" t="str">
            <v/>
          </cell>
          <cell r="P162" t="str">
            <v/>
          </cell>
          <cell r="Q162" t="str">
            <v/>
          </cell>
          <cell r="R162" t="str">
            <v/>
          </cell>
          <cell r="S162" t="str">
            <v/>
          </cell>
        </row>
        <row r="163">
          <cell r="G163" t="str">
            <v/>
          </cell>
          <cell r="H163" t="str">
            <v/>
          </cell>
          <cell r="I163" t="str">
            <v/>
          </cell>
          <cell r="J163" t="str">
            <v/>
          </cell>
          <cell r="K163" t="str">
            <v/>
          </cell>
          <cell r="L163" t="str">
            <v/>
          </cell>
          <cell r="M163" t="str">
            <v/>
          </cell>
          <cell r="N163" t="str">
            <v/>
          </cell>
          <cell r="O163" t="str">
            <v/>
          </cell>
          <cell r="P163" t="str">
            <v/>
          </cell>
          <cell r="Q163" t="str">
            <v/>
          </cell>
          <cell r="R163" t="str">
            <v/>
          </cell>
          <cell r="S163" t="str">
            <v/>
          </cell>
        </row>
        <row r="164">
          <cell r="G164" t="str">
            <v/>
          </cell>
          <cell r="H164" t="str">
            <v/>
          </cell>
          <cell r="I164" t="str">
            <v/>
          </cell>
          <cell r="J164" t="str">
            <v/>
          </cell>
          <cell r="K164" t="str">
            <v/>
          </cell>
          <cell r="L164" t="str">
            <v/>
          </cell>
          <cell r="M164" t="str">
            <v/>
          </cell>
          <cell r="N164" t="str">
            <v/>
          </cell>
          <cell r="O164" t="str">
            <v/>
          </cell>
          <cell r="P164" t="str">
            <v/>
          </cell>
          <cell r="Q164" t="str">
            <v/>
          </cell>
          <cell r="R164" t="str">
            <v/>
          </cell>
          <cell r="S164" t="str">
            <v/>
          </cell>
        </row>
        <row r="165">
          <cell r="G165" t="str">
            <v/>
          </cell>
          <cell r="H165" t="str">
            <v/>
          </cell>
          <cell r="I165" t="str">
            <v/>
          </cell>
          <cell r="J165" t="str">
            <v/>
          </cell>
          <cell r="K165" t="str">
            <v/>
          </cell>
          <cell r="L165" t="str">
            <v/>
          </cell>
          <cell r="M165" t="str">
            <v/>
          </cell>
          <cell r="N165" t="str">
            <v/>
          </cell>
          <cell r="O165" t="str">
            <v/>
          </cell>
          <cell r="P165" t="str">
            <v/>
          </cell>
          <cell r="Q165" t="str">
            <v/>
          </cell>
          <cell r="R165" t="str">
            <v/>
          </cell>
          <cell r="S165" t="str">
            <v/>
          </cell>
        </row>
        <row r="166">
          <cell r="G166" t="str">
            <v/>
          </cell>
          <cell r="H166" t="str">
            <v/>
          </cell>
          <cell r="I166" t="str">
            <v/>
          </cell>
          <cell r="J166" t="str">
            <v/>
          </cell>
          <cell r="K166" t="str">
            <v/>
          </cell>
          <cell r="L166" t="str">
            <v/>
          </cell>
          <cell r="M166" t="str">
            <v/>
          </cell>
          <cell r="N166" t="str">
            <v/>
          </cell>
          <cell r="O166" t="str">
            <v/>
          </cell>
          <cell r="P166" t="str">
            <v/>
          </cell>
          <cell r="Q166" t="str">
            <v/>
          </cell>
          <cell r="R166" t="str">
            <v/>
          </cell>
          <cell r="S166" t="str">
            <v/>
          </cell>
        </row>
        <row r="167">
          <cell r="G167" t="str">
            <v/>
          </cell>
          <cell r="H167" t="str">
            <v/>
          </cell>
          <cell r="I167" t="str">
            <v/>
          </cell>
          <cell r="J167" t="str">
            <v/>
          </cell>
          <cell r="K167" t="str">
            <v/>
          </cell>
          <cell r="L167" t="str">
            <v/>
          </cell>
          <cell r="M167" t="str">
            <v/>
          </cell>
          <cell r="N167" t="str">
            <v/>
          </cell>
          <cell r="O167" t="str">
            <v/>
          </cell>
          <cell r="P167" t="str">
            <v/>
          </cell>
          <cell r="Q167" t="str">
            <v/>
          </cell>
          <cell r="R167" t="str">
            <v/>
          </cell>
          <cell r="S167" t="str">
            <v/>
          </cell>
        </row>
        <row r="168">
          <cell r="G168" t="str">
            <v/>
          </cell>
          <cell r="H168" t="str">
            <v/>
          </cell>
          <cell r="I168" t="str">
            <v/>
          </cell>
          <cell r="J168" t="str">
            <v/>
          </cell>
          <cell r="K168" t="str">
            <v/>
          </cell>
          <cell r="L168" t="str">
            <v/>
          </cell>
          <cell r="M168" t="str">
            <v/>
          </cell>
          <cell r="N168" t="str">
            <v/>
          </cell>
          <cell r="O168" t="str">
            <v/>
          </cell>
          <cell r="P168" t="str">
            <v/>
          </cell>
          <cell r="Q168" t="str">
            <v/>
          </cell>
          <cell r="R168" t="str">
            <v/>
          </cell>
          <cell r="S168" t="str">
            <v/>
          </cell>
        </row>
        <row r="169">
          <cell r="G169" t="str">
            <v/>
          </cell>
          <cell r="H169" t="str">
            <v/>
          </cell>
          <cell r="I169" t="str">
            <v/>
          </cell>
          <cell r="J169" t="str">
            <v/>
          </cell>
          <cell r="K169" t="str">
            <v/>
          </cell>
          <cell r="L169" t="str">
            <v/>
          </cell>
          <cell r="M169" t="str">
            <v/>
          </cell>
          <cell r="N169" t="str">
            <v/>
          </cell>
          <cell r="O169" t="str">
            <v/>
          </cell>
          <cell r="P169" t="str">
            <v/>
          </cell>
          <cell r="Q169" t="str">
            <v/>
          </cell>
          <cell r="R169" t="str">
            <v/>
          </cell>
          <cell r="S169" t="str">
            <v/>
          </cell>
        </row>
        <row r="170">
          <cell r="G170" t="str">
            <v/>
          </cell>
          <cell r="H170" t="str">
            <v/>
          </cell>
          <cell r="I170" t="str">
            <v/>
          </cell>
          <cell r="J170" t="str">
            <v/>
          </cell>
          <cell r="K170" t="str">
            <v/>
          </cell>
          <cell r="L170" t="str">
            <v/>
          </cell>
          <cell r="M170" t="str">
            <v/>
          </cell>
          <cell r="N170" t="str">
            <v/>
          </cell>
          <cell r="O170" t="str">
            <v/>
          </cell>
          <cell r="P170" t="str">
            <v/>
          </cell>
          <cell r="Q170" t="str">
            <v/>
          </cell>
          <cell r="R170" t="str">
            <v/>
          </cell>
          <cell r="S170" t="str">
            <v/>
          </cell>
        </row>
        <row r="171">
          <cell r="G171" t="str">
            <v/>
          </cell>
          <cell r="H171" t="str">
            <v/>
          </cell>
          <cell r="I171" t="str">
            <v/>
          </cell>
          <cell r="J171" t="str">
            <v/>
          </cell>
          <cell r="K171" t="str">
            <v/>
          </cell>
          <cell r="L171" t="str">
            <v/>
          </cell>
          <cell r="M171" t="str">
            <v/>
          </cell>
          <cell r="N171" t="str">
            <v/>
          </cell>
          <cell r="O171" t="str">
            <v/>
          </cell>
          <cell r="P171" t="str">
            <v/>
          </cell>
          <cell r="Q171" t="str">
            <v/>
          </cell>
          <cell r="R171" t="str">
            <v/>
          </cell>
          <cell r="S171" t="str">
            <v/>
          </cell>
        </row>
        <row r="172">
          <cell r="G172" t="str">
            <v/>
          </cell>
          <cell r="H172" t="str">
            <v/>
          </cell>
          <cell r="I172" t="str">
            <v/>
          </cell>
          <cell r="J172" t="str">
            <v/>
          </cell>
          <cell r="K172" t="str">
            <v/>
          </cell>
          <cell r="L172" t="str">
            <v/>
          </cell>
          <cell r="M172" t="str">
            <v/>
          </cell>
          <cell r="N172" t="str">
            <v/>
          </cell>
          <cell r="O172" t="str">
            <v/>
          </cell>
          <cell r="P172" t="str">
            <v/>
          </cell>
          <cell r="Q172" t="str">
            <v/>
          </cell>
          <cell r="R172" t="str">
            <v/>
          </cell>
          <cell r="S172" t="str">
            <v/>
          </cell>
        </row>
        <row r="173">
          <cell r="G173" t="str">
            <v/>
          </cell>
          <cell r="H173" t="str">
            <v/>
          </cell>
          <cell r="I173" t="str">
            <v/>
          </cell>
          <cell r="J173" t="str">
            <v/>
          </cell>
          <cell r="K173" t="str">
            <v/>
          </cell>
          <cell r="L173" t="str">
            <v/>
          </cell>
          <cell r="M173" t="str">
            <v/>
          </cell>
          <cell r="N173" t="str">
            <v/>
          </cell>
          <cell r="O173" t="str">
            <v/>
          </cell>
          <cell r="P173" t="str">
            <v/>
          </cell>
          <cell r="Q173" t="str">
            <v/>
          </cell>
          <cell r="R173" t="str">
            <v/>
          </cell>
          <cell r="S173" t="str">
            <v/>
          </cell>
        </row>
        <row r="174">
          <cell r="G174" t="str">
            <v/>
          </cell>
          <cell r="H174" t="str">
            <v/>
          </cell>
          <cell r="I174" t="str">
            <v/>
          </cell>
          <cell r="J174" t="str">
            <v/>
          </cell>
          <cell r="K174" t="str">
            <v/>
          </cell>
          <cell r="L174" t="str">
            <v/>
          </cell>
          <cell r="M174" t="str">
            <v/>
          </cell>
          <cell r="N174" t="str">
            <v/>
          </cell>
          <cell r="O174" t="str">
            <v/>
          </cell>
          <cell r="P174" t="str">
            <v/>
          </cell>
          <cell r="Q174" t="str">
            <v/>
          </cell>
          <cell r="R174" t="str">
            <v/>
          </cell>
          <cell r="S174" t="str">
            <v/>
          </cell>
        </row>
        <row r="175">
          <cell r="G175" t="str">
            <v/>
          </cell>
          <cell r="H175" t="str">
            <v/>
          </cell>
          <cell r="I175" t="str">
            <v/>
          </cell>
          <cell r="J175" t="str">
            <v/>
          </cell>
          <cell r="K175" t="str">
            <v/>
          </cell>
          <cell r="L175" t="str">
            <v/>
          </cell>
          <cell r="M175" t="str">
            <v/>
          </cell>
          <cell r="N175" t="str">
            <v/>
          </cell>
          <cell r="O175" t="str">
            <v/>
          </cell>
          <cell r="P175" t="str">
            <v/>
          </cell>
          <cell r="Q175" t="str">
            <v/>
          </cell>
          <cell r="R175" t="str">
            <v/>
          </cell>
          <cell r="S175" t="str">
            <v/>
          </cell>
        </row>
        <row r="176">
          <cell r="G176" t="str">
            <v/>
          </cell>
          <cell r="H176" t="str">
            <v/>
          </cell>
          <cell r="I176" t="str">
            <v/>
          </cell>
          <cell r="J176" t="str">
            <v/>
          </cell>
          <cell r="K176" t="str">
            <v/>
          </cell>
          <cell r="L176" t="str">
            <v/>
          </cell>
          <cell r="M176" t="str">
            <v/>
          </cell>
          <cell r="N176" t="str">
            <v/>
          </cell>
          <cell r="O176" t="str">
            <v/>
          </cell>
          <cell r="P176" t="str">
            <v/>
          </cell>
          <cell r="Q176" t="str">
            <v/>
          </cell>
          <cell r="R176" t="str">
            <v/>
          </cell>
          <cell r="S176" t="str">
            <v/>
          </cell>
        </row>
        <row r="177">
          <cell r="G177" t="str">
            <v/>
          </cell>
          <cell r="H177" t="str">
            <v/>
          </cell>
          <cell r="I177" t="str">
            <v/>
          </cell>
          <cell r="J177" t="str">
            <v/>
          </cell>
          <cell r="K177" t="str">
            <v/>
          </cell>
          <cell r="L177" t="str">
            <v/>
          </cell>
          <cell r="M177" t="str">
            <v/>
          </cell>
          <cell r="N177" t="str">
            <v/>
          </cell>
          <cell r="O177" t="str">
            <v/>
          </cell>
          <cell r="P177" t="str">
            <v/>
          </cell>
          <cell r="Q177" t="str">
            <v/>
          </cell>
          <cell r="R177" t="str">
            <v/>
          </cell>
          <cell r="S177" t="str">
            <v/>
          </cell>
        </row>
        <row r="178">
          <cell r="G178" t="str">
            <v/>
          </cell>
          <cell r="H178" t="str">
            <v/>
          </cell>
          <cell r="I178" t="str">
            <v/>
          </cell>
          <cell r="J178" t="str">
            <v/>
          </cell>
          <cell r="K178" t="str">
            <v/>
          </cell>
          <cell r="L178" t="str">
            <v/>
          </cell>
          <cell r="M178" t="str">
            <v/>
          </cell>
          <cell r="N178" t="str">
            <v/>
          </cell>
          <cell r="O178" t="str">
            <v/>
          </cell>
          <cell r="P178" t="str">
            <v/>
          </cell>
          <cell r="Q178" t="str">
            <v/>
          </cell>
          <cell r="R178" t="str">
            <v/>
          </cell>
          <cell r="S178" t="str">
            <v/>
          </cell>
        </row>
        <row r="179">
          <cell r="G179" t="str">
            <v/>
          </cell>
          <cell r="H179" t="str">
            <v/>
          </cell>
          <cell r="I179" t="str">
            <v/>
          </cell>
          <cell r="J179" t="str">
            <v/>
          </cell>
          <cell r="K179" t="str">
            <v/>
          </cell>
          <cell r="L179" t="str">
            <v/>
          </cell>
          <cell r="M179" t="str">
            <v/>
          </cell>
          <cell r="N179" t="str">
            <v/>
          </cell>
          <cell r="O179" t="str">
            <v/>
          </cell>
          <cell r="P179" t="str">
            <v/>
          </cell>
          <cell r="Q179" t="str">
            <v/>
          </cell>
          <cell r="R179" t="str">
            <v/>
          </cell>
          <cell r="S179" t="str">
            <v/>
          </cell>
        </row>
        <row r="180">
          <cell r="G180" t="str">
            <v/>
          </cell>
          <cell r="H180" t="str">
            <v/>
          </cell>
          <cell r="I180" t="str">
            <v/>
          </cell>
          <cell r="J180" t="str">
            <v/>
          </cell>
          <cell r="K180" t="str">
            <v/>
          </cell>
          <cell r="L180" t="str">
            <v/>
          </cell>
          <cell r="M180" t="str">
            <v/>
          </cell>
          <cell r="N180" t="str">
            <v/>
          </cell>
          <cell r="O180" t="str">
            <v/>
          </cell>
          <cell r="P180" t="str">
            <v/>
          </cell>
          <cell r="Q180" t="str">
            <v/>
          </cell>
          <cell r="R180" t="str">
            <v/>
          </cell>
          <cell r="S180" t="str">
            <v/>
          </cell>
        </row>
        <row r="181">
          <cell r="G181" t="str">
            <v/>
          </cell>
          <cell r="H181" t="str">
            <v/>
          </cell>
          <cell r="I181" t="str">
            <v/>
          </cell>
          <cell r="J181" t="str">
            <v/>
          </cell>
          <cell r="K181" t="str">
            <v/>
          </cell>
          <cell r="L181" t="str">
            <v/>
          </cell>
          <cell r="M181" t="str">
            <v/>
          </cell>
          <cell r="N181" t="str">
            <v/>
          </cell>
          <cell r="O181" t="str">
            <v/>
          </cell>
          <cell r="P181" t="str">
            <v/>
          </cell>
          <cell r="Q181" t="str">
            <v/>
          </cell>
          <cell r="R181" t="str">
            <v/>
          </cell>
          <cell r="S181" t="str">
            <v/>
          </cell>
        </row>
        <row r="182">
          <cell r="G182" t="str">
            <v/>
          </cell>
          <cell r="H182" t="str">
            <v/>
          </cell>
          <cell r="I182" t="str">
            <v/>
          </cell>
          <cell r="J182" t="str">
            <v/>
          </cell>
          <cell r="K182" t="str">
            <v/>
          </cell>
          <cell r="L182" t="str">
            <v/>
          </cell>
          <cell r="M182" t="str">
            <v/>
          </cell>
          <cell r="N182" t="str">
            <v/>
          </cell>
          <cell r="O182" t="str">
            <v/>
          </cell>
          <cell r="P182" t="str">
            <v/>
          </cell>
          <cell r="Q182" t="str">
            <v/>
          </cell>
          <cell r="R182" t="str">
            <v/>
          </cell>
          <cell r="S182" t="str">
            <v/>
          </cell>
        </row>
        <row r="183">
          <cell r="G183" t="str">
            <v/>
          </cell>
          <cell r="H183" t="str">
            <v/>
          </cell>
          <cell r="I183" t="str">
            <v/>
          </cell>
          <cell r="J183" t="str">
            <v/>
          </cell>
          <cell r="K183" t="str">
            <v/>
          </cell>
          <cell r="L183" t="str">
            <v/>
          </cell>
          <cell r="M183" t="str">
            <v/>
          </cell>
          <cell r="N183" t="str">
            <v/>
          </cell>
          <cell r="O183" t="str">
            <v/>
          </cell>
          <cell r="P183" t="str">
            <v/>
          </cell>
          <cell r="Q183" t="str">
            <v/>
          </cell>
          <cell r="R183" t="str">
            <v/>
          </cell>
          <cell r="S183" t="str">
            <v/>
          </cell>
        </row>
        <row r="184">
          <cell r="G184" t="str">
            <v/>
          </cell>
          <cell r="H184" t="str">
            <v/>
          </cell>
          <cell r="I184" t="str">
            <v/>
          </cell>
          <cell r="J184" t="str">
            <v/>
          </cell>
          <cell r="K184" t="str">
            <v/>
          </cell>
          <cell r="L184" t="str">
            <v/>
          </cell>
          <cell r="M184" t="str">
            <v/>
          </cell>
          <cell r="N184" t="str">
            <v/>
          </cell>
          <cell r="O184" t="str">
            <v/>
          </cell>
          <cell r="P184" t="str">
            <v/>
          </cell>
          <cell r="Q184" t="str">
            <v/>
          </cell>
          <cell r="R184" t="str">
            <v/>
          </cell>
          <cell r="S184" t="str">
            <v/>
          </cell>
        </row>
        <row r="185">
          <cell r="G185" t="str">
            <v/>
          </cell>
          <cell r="H185" t="str">
            <v/>
          </cell>
          <cell r="I185" t="str">
            <v/>
          </cell>
          <cell r="J185" t="str">
            <v/>
          </cell>
          <cell r="K185" t="str">
            <v/>
          </cell>
          <cell r="L185" t="str">
            <v/>
          </cell>
          <cell r="M185" t="str">
            <v/>
          </cell>
          <cell r="N185" t="str">
            <v/>
          </cell>
          <cell r="O185" t="str">
            <v/>
          </cell>
          <cell r="P185" t="str">
            <v/>
          </cell>
          <cell r="Q185" t="str">
            <v/>
          </cell>
          <cell r="R185" t="str">
            <v/>
          </cell>
          <cell r="S185" t="str">
            <v/>
          </cell>
        </row>
        <row r="186">
          <cell r="G186" t="str">
            <v/>
          </cell>
          <cell r="H186" t="str">
            <v/>
          </cell>
          <cell r="I186" t="str">
            <v/>
          </cell>
          <cell r="J186" t="str">
            <v/>
          </cell>
          <cell r="K186" t="str">
            <v/>
          </cell>
          <cell r="L186" t="str">
            <v/>
          </cell>
          <cell r="M186" t="str">
            <v/>
          </cell>
          <cell r="N186" t="str">
            <v/>
          </cell>
          <cell r="O186" t="str">
            <v/>
          </cell>
          <cell r="P186" t="str">
            <v/>
          </cell>
          <cell r="Q186" t="str">
            <v/>
          </cell>
          <cell r="R186" t="str">
            <v/>
          </cell>
          <cell r="S186" t="str">
            <v/>
          </cell>
        </row>
        <row r="187">
          <cell r="G187" t="str">
            <v/>
          </cell>
          <cell r="H187" t="str">
            <v/>
          </cell>
          <cell r="I187" t="str">
            <v/>
          </cell>
          <cell r="J187" t="str">
            <v/>
          </cell>
          <cell r="K187" t="str">
            <v/>
          </cell>
          <cell r="L187" t="str">
            <v/>
          </cell>
          <cell r="M187" t="str">
            <v/>
          </cell>
          <cell r="N187" t="str">
            <v/>
          </cell>
          <cell r="O187" t="str">
            <v/>
          </cell>
          <cell r="P187" t="str">
            <v/>
          </cell>
          <cell r="Q187" t="str">
            <v/>
          </cell>
          <cell r="R187" t="str">
            <v/>
          </cell>
          <cell r="S187" t="str">
            <v/>
          </cell>
        </row>
        <row r="188">
          <cell r="G188" t="str">
            <v/>
          </cell>
          <cell r="H188" t="str">
            <v/>
          </cell>
          <cell r="I188" t="str">
            <v/>
          </cell>
          <cell r="J188" t="str">
            <v/>
          </cell>
          <cell r="K188" t="str">
            <v/>
          </cell>
          <cell r="L188" t="str">
            <v/>
          </cell>
          <cell r="M188" t="str">
            <v/>
          </cell>
          <cell r="N188" t="str">
            <v/>
          </cell>
          <cell r="O188" t="str">
            <v/>
          </cell>
          <cell r="P188" t="str">
            <v/>
          </cell>
          <cell r="Q188" t="str">
            <v/>
          </cell>
          <cell r="R188" t="str">
            <v/>
          </cell>
          <cell r="S188" t="str">
            <v/>
          </cell>
        </row>
        <row r="189">
          <cell r="G189" t="str">
            <v/>
          </cell>
          <cell r="H189" t="str">
            <v/>
          </cell>
          <cell r="I189" t="str">
            <v/>
          </cell>
          <cell r="J189" t="str">
            <v/>
          </cell>
          <cell r="K189" t="str">
            <v/>
          </cell>
          <cell r="L189" t="str">
            <v/>
          </cell>
          <cell r="M189" t="str">
            <v/>
          </cell>
          <cell r="N189" t="str">
            <v/>
          </cell>
          <cell r="O189" t="str">
            <v/>
          </cell>
          <cell r="P189" t="str">
            <v/>
          </cell>
          <cell r="Q189" t="str">
            <v/>
          </cell>
          <cell r="R189" t="str">
            <v/>
          </cell>
          <cell r="S189" t="str">
            <v/>
          </cell>
        </row>
        <row r="190">
          <cell r="G190" t="str">
            <v/>
          </cell>
          <cell r="H190" t="str">
            <v/>
          </cell>
          <cell r="I190" t="str">
            <v/>
          </cell>
          <cell r="J190" t="str">
            <v/>
          </cell>
          <cell r="K190" t="str">
            <v/>
          </cell>
          <cell r="L190" t="str">
            <v/>
          </cell>
          <cell r="M190" t="str">
            <v/>
          </cell>
          <cell r="N190" t="str">
            <v/>
          </cell>
          <cell r="O190" t="str">
            <v/>
          </cell>
          <cell r="P190" t="str">
            <v/>
          </cell>
          <cell r="Q190" t="str">
            <v/>
          </cell>
          <cell r="R190" t="str">
            <v/>
          </cell>
          <cell r="S190" t="str">
            <v/>
          </cell>
        </row>
        <row r="191">
          <cell r="G191" t="str">
            <v/>
          </cell>
          <cell r="H191" t="str">
            <v/>
          </cell>
          <cell r="I191" t="str">
            <v/>
          </cell>
          <cell r="J191" t="str">
            <v/>
          </cell>
          <cell r="K191" t="str">
            <v/>
          </cell>
          <cell r="L191" t="str">
            <v/>
          </cell>
          <cell r="M191" t="str">
            <v/>
          </cell>
          <cell r="N191" t="str">
            <v/>
          </cell>
          <cell r="O191" t="str">
            <v/>
          </cell>
          <cell r="P191" t="str">
            <v/>
          </cell>
          <cell r="Q191" t="str">
            <v/>
          </cell>
          <cell r="R191" t="str">
            <v/>
          </cell>
          <cell r="S191" t="str">
            <v/>
          </cell>
        </row>
        <row r="192">
          <cell r="G192" t="str">
            <v/>
          </cell>
          <cell r="H192" t="str">
            <v/>
          </cell>
          <cell r="I192" t="str">
            <v/>
          </cell>
          <cell r="J192" t="str">
            <v/>
          </cell>
          <cell r="K192" t="str">
            <v/>
          </cell>
          <cell r="L192" t="str">
            <v/>
          </cell>
          <cell r="M192" t="str">
            <v/>
          </cell>
          <cell r="N192" t="str">
            <v/>
          </cell>
          <cell r="O192" t="str">
            <v/>
          </cell>
          <cell r="P192" t="str">
            <v/>
          </cell>
          <cell r="Q192" t="str">
            <v/>
          </cell>
          <cell r="R192" t="str">
            <v/>
          </cell>
          <cell r="S192" t="str">
            <v/>
          </cell>
        </row>
        <row r="193">
          <cell r="G193" t="str">
            <v/>
          </cell>
          <cell r="H193" t="str">
            <v/>
          </cell>
          <cell r="I193" t="str">
            <v/>
          </cell>
          <cell r="J193" t="str">
            <v/>
          </cell>
          <cell r="K193" t="str">
            <v/>
          </cell>
          <cell r="L193" t="str">
            <v/>
          </cell>
          <cell r="M193" t="str">
            <v/>
          </cell>
          <cell r="N193" t="str">
            <v/>
          </cell>
          <cell r="O193" t="str">
            <v/>
          </cell>
          <cell r="P193" t="str">
            <v/>
          </cell>
          <cell r="Q193" t="str">
            <v/>
          </cell>
          <cell r="R193" t="str">
            <v/>
          </cell>
          <cell r="S193" t="str">
            <v/>
          </cell>
        </row>
        <row r="194">
          <cell r="G194" t="str">
            <v/>
          </cell>
          <cell r="H194" t="str">
            <v/>
          </cell>
          <cell r="I194" t="str">
            <v/>
          </cell>
          <cell r="J194" t="str">
            <v/>
          </cell>
          <cell r="K194" t="str">
            <v/>
          </cell>
          <cell r="L194" t="str">
            <v/>
          </cell>
          <cell r="M194" t="str">
            <v/>
          </cell>
          <cell r="N194" t="str">
            <v/>
          </cell>
          <cell r="O194" t="str">
            <v/>
          </cell>
          <cell r="P194" t="str">
            <v/>
          </cell>
          <cell r="Q194" t="str">
            <v/>
          </cell>
          <cell r="R194" t="str">
            <v/>
          </cell>
          <cell r="S194" t="str">
            <v/>
          </cell>
        </row>
        <row r="195">
          <cell r="G195" t="str">
            <v/>
          </cell>
          <cell r="H195" t="str">
            <v/>
          </cell>
          <cell r="I195" t="str">
            <v/>
          </cell>
          <cell r="J195" t="str">
            <v/>
          </cell>
          <cell r="K195" t="str">
            <v/>
          </cell>
          <cell r="L195" t="str">
            <v/>
          </cell>
          <cell r="M195" t="str">
            <v/>
          </cell>
          <cell r="N195" t="str">
            <v/>
          </cell>
          <cell r="O195" t="str">
            <v/>
          </cell>
          <cell r="P195" t="str">
            <v/>
          </cell>
          <cell r="Q195" t="str">
            <v/>
          </cell>
          <cell r="R195" t="str">
            <v/>
          </cell>
          <cell r="S195" t="str">
            <v/>
          </cell>
        </row>
        <row r="196">
          <cell r="G196" t="str">
            <v/>
          </cell>
          <cell r="H196" t="str">
            <v/>
          </cell>
          <cell r="I196" t="str">
            <v/>
          </cell>
          <cell r="J196" t="str">
            <v/>
          </cell>
          <cell r="K196" t="str">
            <v/>
          </cell>
          <cell r="L196" t="str">
            <v/>
          </cell>
          <cell r="M196" t="str">
            <v/>
          </cell>
          <cell r="N196" t="str">
            <v/>
          </cell>
          <cell r="O196" t="str">
            <v/>
          </cell>
          <cell r="P196" t="str">
            <v/>
          </cell>
          <cell r="Q196" t="str">
            <v/>
          </cell>
          <cell r="R196" t="str">
            <v/>
          </cell>
          <cell r="S196" t="str">
            <v/>
          </cell>
        </row>
        <row r="197">
          <cell r="G197" t="str">
            <v/>
          </cell>
          <cell r="H197" t="str">
            <v/>
          </cell>
          <cell r="I197" t="str">
            <v/>
          </cell>
          <cell r="J197" t="str">
            <v/>
          </cell>
          <cell r="K197" t="str">
            <v/>
          </cell>
          <cell r="L197" t="str">
            <v/>
          </cell>
          <cell r="M197" t="str">
            <v/>
          </cell>
          <cell r="N197" t="str">
            <v/>
          </cell>
          <cell r="O197" t="str">
            <v/>
          </cell>
          <cell r="P197" t="str">
            <v/>
          </cell>
          <cell r="Q197" t="str">
            <v/>
          </cell>
          <cell r="R197" t="str">
            <v/>
          </cell>
          <cell r="S197" t="str">
            <v/>
          </cell>
        </row>
        <row r="198">
          <cell r="G198" t="str">
            <v/>
          </cell>
          <cell r="H198" t="str">
            <v/>
          </cell>
          <cell r="I198" t="str">
            <v/>
          </cell>
          <cell r="J198" t="str">
            <v/>
          </cell>
          <cell r="K198" t="str">
            <v/>
          </cell>
          <cell r="L198" t="str">
            <v/>
          </cell>
          <cell r="M198" t="str">
            <v/>
          </cell>
          <cell r="N198" t="str">
            <v/>
          </cell>
          <cell r="O198" t="str">
            <v/>
          </cell>
          <cell r="P198" t="str">
            <v/>
          </cell>
          <cell r="Q198" t="str">
            <v/>
          </cell>
          <cell r="R198" t="str">
            <v/>
          </cell>
          <cell r="S198" t="str">
            <v/>
          </cell>
        </row>
        <row r="199">
          <cell r="G199" t="str">
            <v/>
          </cell>
          <cell r="H199" t="str">
            <v/>
          </cell>
          <cell r="I199" t="str">
            <v/>
          </cell>
          <cell r="J199" t="str">
            <v/>
          </cell>
          <cell r="K199" t="str">
            <v/>
          </cell>
          <cell r="L199" t="str">
            <v/>
          </cell>
          <cell r="M199" t="str">
            <v/>
          </cell>
          <cell r="N199" t="str">
            <v/>
          </cell>
          <cell r="O199" t="str">
            <v/>
          </cell>
          <cell r="P199" t="str">
            <v/>
          </cell>
          <cell r="Q199" t="str">
            <v/>
          </cell>
          <cell r="R199" t="str">
            <v/>
          </cell>
          <cell r="S199" t="str">
            <v/>
          </cell>
        </row>
        <row r="200">
          <cell r="G200" t="str">
            <v/>
          </cell>
          <cell r="H200" t="str">
            <v/>
          </cell>
          <cell r="I200" t="str">
            <v/>
          </cell>
          <cell r="J200" t="str">
            <v/>
          </cell>
          <cell r="K200" t="str">
            <v/>
          </cell>
          <cell r="L200" t="str">
            <v/>
          </cell>
          <cell r="M200" t="str">
            <v/>
          </cell>
          <cell r="N200" t="str">
            <v/>
          </cell>
          <cell r="O200" t="str">
            <v/>
          </cell>
          <cell r="P200" t="str">
            <v/>
          </cell>
          <cell r="Q200" t="str">
            <v/>
          </cell>
          <cell r="R200" t="str">
            <v/>
          </cell>
          <cell r="S200" t="str">
            <v/>
          </cell>
        </row>
        <row r="201">
          <cell r="G201" t="str">
            <v/>
          </cell>
          <cell r="H201" t="str">
            <v/>
          </cell>
          <cell r="I201" t="str">
            <v/>
          </cell>
          <cell r="J201" t="str">
            <v/>
          </cell>
          <cell r="K201" t="str">
            <v/>
          </cell>
          <cell r="L201" t="str">
            <v/>
          </cell>
          <cell r="M201" t="str">
            <v/>
          </cell>
          <cell r="N201" t="str">
            <v/>
          </cell>
          <cell r="O201" t="str">
            <v/>
          </cell>
          <cell r="P201" t="str">
            <v/>
          </cell>
          <cell r="Q201" t="str">
            <v/>
          </cell>
          <cell r="R201" t="str">
            <v/>
          </cell>
          <cell r="S201" t="str">
            <v/>
          </cell>
        </row>
        <row r="202">
          <cell r="G202" t="str">
            <v/>
          </cell>
          <cell r="H202" t="str">
            <v/>
          </cell>
          <cell r="I202" t="str">
            <v/>
          </cell>
          <cell r="J202" t="str">
            <v/>
          </cell>
          <cell r="K202" t="str">
            <v/>
          </cell>
          <cell r="L202" t="str">
            <v/>
          </cell>
          <cell r="M202" t="str">
            <v/>
          </cell>
          <cell r="N202" t="str">
            <v/>
          </cell>
          <cell r="O202" t="str">
            <v/>
          </cell>
          <cell r="P202" t="str">
            <v/>
          </cell>
          <cell r="Q202" t="str">
            <v/>
          </cell>
          <cell r="R202" t="str">
            <v/>
          </cell>
          <cell r="S202" t="str">
            <v/>
          </cell>
        </row>
        <row r="203">
          <cell r="G203" t="str">
            <v/>
          </cell>
          <cell r="H203" t="str">
            <v/>
          </cell>
          <cell r="I203" t="str">
            <v/>
          </cell>
          <cell r="J203" t="str">
            <v/>
          </cell>
          <cell r="K203" t="str">
            <v/>
          </cell>
          <cell r="L203" t="str">
            <v/>
          </cell>
          <cell r="M203" t="str">
            <v/>
          </cell>
          <cell r="N203" t="str">
            <v/>
          </cell>
          <cell r="O203" t="str">
            <v/>
          </cell>
          <cell r="P203" t="str">
            <v/>
          </cell>
          <cell r="Q203" t="str">
            <v/>
          </cell>
          <cell r="R203" t="str">
            <v/>
          </cell>
          <cell r="S203" t="str">
            <v/>
          </cell>
        </row>
        <row r="204">
          <cell r="G204" t="str">
            <v/>
          </cell>
          <cell r="H204" t="str">
            <v/>
          </cell>
          <cell r="I204" t="str">
            <v/>
          </cell>
          <cell r="J204" t="str">
            <v/>
          </cell>
          <cell r="K204" t="str">
            <v/>
          </cell>
          <cell r="L204" t="str">
            <v/>
          </cell>
          <cell r="M204" t="str">
            <v/>
          </cell>
          <cell r="N204" t="str">
            <v/>
          </cell>
          <cell r="O204" t="str">
            <v/>
          </cell>
          <cell r="P204" t="str">
            <v/>
          </cell>
          <cell r="Q204" t="str">
            <v/>
          </cell>
          <cell r="R204" t="str">
            <v/>
          </cell>
          <cell r="S204" t="str">
            <v/>
          </cell>
        </row>
        <row r="205">
          <cell r="G205" t="str">
            <v/>
          </cell>
          <cell r="H205" t="str">
            <v/>
          </cell>
          <cell r="I205" t="str">
            <v/>
          </cell>
          <cell r="J205" t="str">
            <v/>
          </cell>
          <cell r="K205" t="str">
            <v/>
          </cell>
          <cell r="L205" t="str">
            <v/>
          </cell>
          <cell r="M205" t="str">
            <v/>
          </cell>
          <cell r="N205" t="str">
            <v/>
          </cell>
          <cell r="O205" t="str">
            <v/>
          </cell>
          <cell r="P205" t="str">
            <v/>
          </cell>
          <cell r="Q205" t="str">
            <v/>
          </cell>
          <cell r="R205" t="str">
            <v/>
          </cell>
          <cell r="S205" t="str">
            <v/>
          </cell>
        </row>
        <row r="206">
          <cell r="G206" t="str">
            <v/>
          </cell>
          <cell r="H206" t="str">
            <v/>
          </cell>
          <cell r="I206" t="str">
            <v/>
          </cell>
          <cell r="J206" t="str">
            <v/>
          </cell>
          <cell r="K206" t="str">
            <v/>
          </cell>
          <cell r="L206" t="str">
            <v/>
          </cell>
          <cell r="M206" t="str">
            <v/>
          </cell>
          <cell r="N206" t="str">
            <v/>
          </cell>
          <cell r="O206" t="str">
            <v/>
          </cell>
          <cell r="P206" t="str">
            <v/>
          </cell>
          <cell r="Q206" t="str">
            <v/>
          </cell>
          <cell r="R206" t="str">
            <v/>
          </cell>
          <cell r="S206" t="str">
            <v/>
          </cell>
        </row>
        <row r="207">
          <cell r="G207" t="str">
            <v/>
          </cell>
          <cell r="H207" t="str">
            <v/>
          </cell>
          <cell r="I207" t="str">
            <v/>
          </cell>
          <cell r="J207" t="str">
            <v/>
          </cell>
          <cell r="K207" t="str">
            <v/>
          </cell>
          <cell r="L207" t="str">
            <v/>
          </cell>
          <cell r="M207" t="str">
            <v/>
          </cell>
          <cell r="N207" t="str">
            <v/>
          </cell>
          <cell r="O207" t="str">
            <v/>
          </cell>
          <cell r="P207" t="str">
            <v/>
          </cell>
          <cell r="Q207" t="str">
            <v/>
          </cell>
          <cell r="R207" t="str">
            <v/>
          </cell>
          <cell r="S207" t="str">
            <v/>
          </cell>
        </row>
        <row r="208">
          <cell r="G208" t="str">
            <v/>
          </cell>
          <cell r="H208" t="str">
            <v/>
          </cell>
          <cell r="I208" t="str">
            <v/>
          </cell>
          <cell r="J208" t="str">
            <v/>
          </cell>
          <cell r="K208" t="str">
            <v/>
          </cell>
          <cell r="L208" t="str">
            <v/>
          </cell>
          <cell r="M208" t="str">
            <v/>
          </cell>
          <cell r="N208" t="str">
            <v/>
          </cell>
          <cell r="O208" t="str">
            <v/>
          </cell>
          <cell r="P208" t="str">
            <v/>
          </cell>
          <cell r="Q208" t="str">
            <v/>
          </cell>
          <cell r="R208" t="str">
            <v/>
          </cell>
          <cell r="S208" t="str">
            <v/>
          </cell>
        </row>
        <row r="209">
          <cell r="G209" t="str">
            <v/>
          </cell>
          <cell r="H209" t="str">
            <v/>
          </cell>
          <cell r="I209" t="str">
            <v/>
          </cell>
          <cell r="J209" t="str">
            <v/>
          </cell>
          <cell r="K209" t="str">
            <v/>
          </cell>
          <cell r="L209" t="str">
            <v/>
          </cell>
          <cell r="M209" t="str">
            <v/>
          </cell>
          <cell r="N209" t="str">
            <v/>
          </cell>
          <cell r="O209" t="str">
            <v/>
          </cell>
          <cell r="P209" t="str">
            <v/>
          </cell>
          <cell r="Q209" t="str">
            <v/>
          </cell>
          <cell r="R209" t="str">
            <v/>
          </cell>
          <cell r="S209" t="str">
            <v/>
          </cell>
        </row>
        <row r="210">
          <cell r="G210" t="str">
            <v/>
          </cell>
          <cell r="H210" t="str">
            <v/>
          </cell>
          <cell r="I210" t="str">
            <v/>
          </cell>
          <cell r="J210" t="str">
            <v/>
          </cell>
          <cell r="K210" t="str">
            <v/>
          </cell>
          <cell r="L210" t="str">
            <v/>
          </cell>
          <cell r="M210" t="str">
            <v/>
          </cell>
          <cell r="N210" t="str">
            <v/>
          </cell>
          <cell r="O210" t="str">
            <v/>
          </cell>
          <cell r="P210" t="str">
            <v/>
          </cell>
          <cell r="Q210" t="str">
            <v/>
          </cell>
          <cell r="R210" t="str">
            <v/>
          </cell>
          <cell r="S210" t="str">
            <v/>
          </cell>
        </row>
        <row r="211">
          <cell r="G211" t="str">
            <v/>
          </cell>
          <cell r="H211" t="str">
            <v/>
          </cell>
          <cell r="I211" t="str">
            <v/>
          </cell>
          <cell r="J211" t="str">
            <v/>
          </cell>
          <cell r="K211" t="str">
            <v/>
          </cell>
          <cell r="L211" t="str">
            <v/>
          </cell>
          <cell r="M211" t="str">
            <v/>
          </cell>
          <cell r="N211" t="str">
            <v/>
          </cell>
          <cell r="O211" t="str">
            <v/>
          </cell>
          <cell r="P211" t="str">
            <v/>
          </cell>
          <cell r="Q211" t="str">
            <v/>
          </cell>
          <cell r="R211" t="str">
            <v/>
          </cell>
          <cell r="S211" t="str">
            <v/>
          </cell>
        </row>
        <row r="212">
          <cell r="G212" t="str">
            <v/>
          </cell>
          <cell r="H212" t="str">
            <v/>
          </cell>
          <cell r="I212" t="str">
            <v/>
          </cell>
          <cell r="J212" t="str">
            <v/>
          </cell>
          <cell r="K212" t="str">
            <v/>
          </cell>
          <cell r="L212" t="str">
            <v/>
          </cell>
          <cell r="M212" t="str">
            <v/>
          </cell>
          <cell r="N212" t="str">
            <v/>
          </cell>
          <cell r="O212" t="str">
            <v/>
          </cell>
          <cell r="P212" t="str">
            <v/>
          </cell>
          <cell r="Q212" t="str">
            <v/>
          </cell>
          <cell r="R212" t="str">
            <v/>
          </cell>
          <cell r="S212" t="str">
            <v/>
          </cell>
        </row>
        <row r="213">
          <cell r="G213" t="str">
            <v/>
          </cell>
          <cell r="H213" t="str">
            <v/>
          </cell>
          <cell r="I213" t="str">
            <v/>
          </cell>
          <cell r="J213" t="str">
            <v/>
          </cell>
          <cell r="K213" t="str">
            <v/>
          </cell>
          <cell r="L213" t="str">
            <v/>
          </cell>
          <cell r="M213" t="str">
            <v/>
          </cell>
          <cell r="N213" t="str">
            <v/>
          </cell>
          <cell r="O213" t="str">
            <v/>
          </cell>
          <cell r="P213" t="str">
            <v/>
          </cell>
          <cell r="Q213" t="str">
            <v/>
          </cell>
          <cell r="R213" t="str">
            <v/>
          </cell>
          <cell r="S213" t="str">
            <v/>
          </cell>
        </row>
        <row r="214">
          <cell r="G214" t="str">
            <v/>
          </cell>
          <cell r="H214" t="str">
            <v/>
          </cell>
          <cell r="I214" t="str">
            <v/>
          </cell>
          <cell r="J214" t="str">
            <v/>
          </cell>
          <cell r="K214" t="str">
            <v/>
          </cell>
          <cell r="L214" t="str">
            <v/>
          </cell>
          <cell r="M214" t="str">
            <v/>
          </cell>
          <cell r="N214" t="str">
            <v/>
          </cell>
          <cell r="O214" t="str">
            <v/>
          </cell>
          <cell r="P214" t="str">
            <v/>
          </cell>
          <cell r="Q214" t="str">
            <v/>
          </cell>
          <cell r="R214" t="str">
            <v/>
          </cell>
          <cell r="S214" t="str">
            <v/>
          </cell>
        </row>
        <row r="215">
          <cell r="G215" t="str">
            <v/>
          </cell>
          <cell r="H215" t="str">
            <v/>
          </cell>
          <cell r="I215" t="str">
            <v/>
          </cell>
          <cell r="J215" t="str">
            <v/>
          </cell>
          <cell r="K215" t="str">
            <v/>
          </cell>
          <cell r="L215" t="str">
            <v/>
          </cell>
          <cell r="M215" t="str">
            <v/>
          </cell>
          <cell r="N215" t="str">
            <v/>
          </cell>
          <cell r="O215" t="str">
            <v/>
          </cell>
          <cell r="P215" t="str">
            <v/>
          </cell>
          <cell r="Q215" t="str">
            <v/>
          </cell>
          <cell r="R215" t="str">
            <v/>
          </cell>
          <cell r="S215" t="str">
            <v/>
          </cell>
        </row>
        <row r="216">
          <cell r="G216" t="str">
            <v/>
          </cell>
          <cell r="H216" t="str">
            <v/>
          </cell>
          <cell r="I216" t="str">
            <v/>
          </cell>
          <cell r="J216" t="str">
            <v/>
          </cell>
          <cell r="K216" t="str">
            <v/>
          </cell>
          <cell r="L216" t="str">
            <v/>
          </cell>
          <cell r="M216" t="str">
            <v/>
          </cell>
          <cell r="N216" t="str">
            <v/>
          </cell>
          <cell r="O216" t="str">
            <v/>
          </cell>
          <cell r="P216" t="str">
            <v/>
          </cell>
          <cell r="Q216" t="str">
            <v/>
          </cell>
          <cell r="R216" t="str">
            <v/>
          </cell>
          <cell r="S216" t="str">
            <v/>
          </cell>
        </row>
        <row r="217">
          <cell r="G217" t="str">
            <v/>
          </cell>
          <cell r="H217" t="str">
            <v/>
          </cell>
          <cell r="I217" t="str">
            <v/>
          </cell>
          <cell r="J217" t="str">
            <v/>
          </cell>
          <cell r="K217" t="str">
            <v/>
          </cell>
          <cell r="L217" t="str">
            <v/>
          </cell>
          <cell r="M217" t="str">
            <v/>
          </cell>
          <cell r="N217" t="str">
            <v/>
          </cell>
          <cell r="O217" t="str">
            <v/>
          </cell>
          <cell r="P217" t="str">
            <v/>
          </cell>
          <cell r="Q217" t="str">
            <v/>
          </cell>
          <cell r="R217" t="str">
            <v/>
          </cell>
          <cell r="S217" t="str">
            <v/>
          </cell>
        </row>
        <row r="218">
          <cell r="G218" t="str">
            <v/>
          </cell>
          <cell r="H218" t="str">
            <v/>
          </cell>
          <cell r="I218" t="str">
            <v/>
          </cell>
          <cell r="J218" t="str">
            <v/>
          </cell>
          <cell r="K218" t="str">
            <v/>
          </cell>
          <cell r="L218" t="str">
            <v/>
          </cell>
          <cell r="M218" t="str">
            <v/>
          </cell>
          <cell r="N218" t="str">
            <v/>
          </cell>
          <cell r="O218" t="str">
            <v/>
          </cell>
          <cell r="P218" t="str">
            <v/>
          </cell>
          <cell r="Q218" t="str">
            <v/>
          </cell>
          <cell r="R218" t="str">
            <v/>
          </cell>
          <cell r="S218" t="str">
            <v/>
          </cell>
        </row>
        <row r="219">
          <cell r="G219" t="str">
            <v/>
          </cell>
          <cell r="H219" t="str">
            <v/>
          </cell>
          <cell r="I219" t="str">
            <v/>
          </cell>
          <cell r="J219" t="str">
            <v/>
          </cell>
          <cell r="K219" t="str">
            <v/>
          </cell>
          <cell r="L219" t="str">
            <v/>
          </cell>
          <cell r="M219" t="str">
            <v/>
          </cell>
          <cell r="N219" t="str">
            <v/>
          </cell>
          <cell r="O219" t="str">
            <v/>
          </cell>
          <cell r="P219" t="str">
            <v/>
          </cell>
          <cell r="Q219" t="str">
            <v/>
          </cell>
          <cell r="R219" t="str">
            <v/>
          </cell>
          <cell r="S219" t="str">
            <v/>
          </cell>
        </row>
        <row r="220">
          <cell r="G220" t="str">
            <v/>
          </cell>
          <cell r="H220" t="str">
            <v/>
          </cell>
          <cell r="I220" t="str">
            <v/>
          </cell>
          <cell r="J220" t="str">
            <v/>
          </cell>
          <cell r="K220" t="str">
            <v/>
          </cell>
          <cell r="L220" t="str">
            <v/>
          </cell>
          <cell r="M220" t="str">
            <v/>
          </cell>
          <cell r="N220" t="str">
            <v/>
          </cell>
          <cell r="O220" t="str">
            <v/>
          </cell>
          <cell r="P220" t="str">
            <v/>
          </cell>
          <cell r="Q220" t="str">
            <v/>
          </cell>
          <cell r="R220" t="str">
            <v/>
          </cell>
          <cell r="S220" t="str">
            <v/>
          </cell>
        </row>
        <row r="221">
          <cell r="G221" t="str">
            <v/>
          </cell>
          <cell r="H221" t="str">
            <v/>
          </cell>
          <cell r="I221" t="str">
            <v/>
          </cell>
          <cell r="J221" t="str">
            <v/>
          </cell>
          <cell r="K221" t="str">
            <v/>
          </cell>
          <cell r="L221" t="str">
            <v/>
          </cell>
          <cell r="M221" t="str">
            <v/>
          </cell>
          <cell r="N221" t="str">
            <v/>
          </cell>
          <cell r="O221" t="str">
            <v/>
          </cell>
          <cell r="P221" t="str">
            <v/>
          </cell>
          <cell r="Q221" t="str">
            <v/>
          </cell>
          <cell r="R221" t="str">
            <v/>
          </cell>
          <cell r="S221" t="str">
            <v/>
          </cell>
        </row>
        <row r="222">
          <cell r="G222" t="str">
            <v/>
          </cell>
          <cell r="H222" t="str">
            <v/>
          </cell>
          <cell r="I222" t="str">
            <v/>
          </cell>
          <cell r="J222" t="str">
            <v/>
          </cell>
          <cell r="K222" t="str">
            <v/>
          </cell>
          <cell r="L222" t="str">
            <v/>
          </cell>
          <cell r="M222" t="str">
            <v/>
          </cell>
          <cell r="N222" t="str">
            <v/>
          </cell>
          <cell r="O222" t="str">
            <v/>
          </cell>
          <cell r="P222" t="str">
            <v/>
          </cell>
          <cell r="Q222" t="str">
            <v/>
          </cell>
          <cell r="R222" t="str">
            <v/>
          </cell>
          <cell r="S222" t="str">
            <v/>
          </cell>
        </row>
        <row r="223">
          <cell r="G223" t="str">
            <v/>
          </cell>
          <cell r="H223" t="str">
            <v/>
          </cell>
          <cell r="I223" t="str">
            <v/>
          </cell>
          <cell r="J223" t="str">
            <v/>
          </cell>
          <cell r="K223" t="str">
            <v/>
          </cell>
          <cell r="L223" t="str">
            <v/>
          </cell>
          <cell r="M223" t="str">
            <v/>
          </cell>
          <cell r="N223" t="str">
            <v/>
          </cell>
          <cell r="O223" t="str">
            <v/>
          </cell>
          <cell r="P223" t="str">
            <v/>
          </cell>
          <cell r="Q223" t="str">
            <v/>
          </cell>
          <cell r="R223" t="str">
            <v/>
          </cell>
          <cell r="S223" t="str">
            <v/>
          </cell>
        </row>
        <row r="224">
          <cell r="G224" t="str">
            <v/>
          </cell>
          <cell r="H224" t="str">
            <v/>
          </cell>
          <cell r="I224" t="str">
            <v/>
          </cell>
          <cell r="J224" t="str">
            <v/>
          </cell>
          <cell r="K224" t="str">
            <v/>
          </cell>
          <cell r="L224" t="str">
            <v/>
          </cell>
          <cell r="M224" t="str">
            <v/>
          </cell>
          <cell r="N224" t="str">
            <v/>
          </cell>
          <cell r="O224" t="str">
            <v/>
          </cell>
          <cell r="P224" t="str">
            <v/>
          </cell>
          <cell r="Q224" t="str">
            <v/>
          </cell>
          <cell r="R224" t="str">
            <v/>
          </cell>
          <cell r="S224" t="str">
            <v/>
          </cell>
        </row>
        <row r="225">
          <cell r="G225" t="str">
            <v/>
          </cell>
          <cell r="H225" t="str">
            <v/>
          </cell>
          <cell r="I225" t="str">
            <v/>
          </cell>
          <cell r="J225" t="str">
            <v/>
          </cell>
          <cell r="K225" t="str">
            <v/>
          </cell>
          <cell r="L225" t="str">
            <v/>
          </cell>
          <cell r="M225" t="str">
            <v/>
          </cell>
          <cell r="N225" t="str">
            <v/>
          </cell>
          <cell r="O225" t="str">
            <v/>
          </cell>
          <cell r="P225" t="str">
            <v/>
          </cell>
          <cell r="Q225" t="str">
            <v/>
          </cell>
          <cell r="R225" t="str">
            <v/>
          </cell>
          <cell r="S225" t="str">
            <v/>
          </cell>
        </row>
        <row r="226">
          <cell r="G226" t="str">
            <v/>
          </cell>
          <cell r="H226" t="str">
            <v/>
          </cell>
          <cell r="I226" t="str">
            <v/>
          </cell>
          <cell r="J226" t="str">
            <v/>
          </cell>
          <cell r="K226" t="str">
            <v/>
          </cell>
          <cell r="L226" t="str">
            <v/>
          </cell>
          <cell r="M226" t="str">
            <v/>
          </cell>
          <cell r="N226" t="str">
            <v/>
          </cell>
          <cell r="O226" t="str">
            <v/>
          </cell>
          <cell r="P226" t="str">
            <v/>
          </cell>
          <cell r="Q226" t="str">
            <v/>
          </cell>
          <cell r="R226" t="str">
            <v/>
          </cell>
          <cell r="S226" t="str">
            <v/>
          </cell>
        </row>
        <row r="227">
          <cell r="G227" t="str">
            <v/>
          </cell>
          <cell r="H227" t="str">
            <v/>
          </cell>
          <cell r="I227" t="str">
            <v/>
          </cell>
          <cell r="J227" t="str">
            <v/>
          </cell>
          <cell r="K227" t="str">
            <v/>
          </cell>
          <cell r="L227" t="str">
            <v/>
          </cell>
          <cell r="M227" t="str">
            <v/>
          </cell>
          <cell r="N227" t="str">
            <v/>
          </cell>
          <cell r="O227" t="str">
            <v/>
          </cell>
          <cell r="P227" t="str">
            <v/>
          </cell>
          <cell r="Q227" t="str">
            <v/>
          </cell>
          <cell r="R227" t="str">
            <v/>
          </cell>
          <cell r="S227" t="str">
            <v/>
          </cell>
        </row>
        <row r="228">
          <cell r="G228" t="str">
            <v/>
          </cell>
          <cell r="H228" t="str">
            <v/>
          </cell>
          <cell r="I228" t="str">
            <v/>
          </cell>
          <cell r="J228" t="str">
            <v/>
          </cell>
          <cell r="K228" t="str">
            <v/>
          </cell>
          <cell r="L228" t="str">
            <v/>
          </cell>
          <cell r="M228" t="str">
            <v/>
          </cell>
          <cell r="N228" t="str">
            <v/>
          </cell>
          <cell r="O228" t="str">
            <v/>
          </cell>
          <cell r="P228" t="str">
            <v/>
          </cell>
          <cell r="Q228" t="str">
            <v/>
          </cell>
          <cell r="R228" t="str">
            <v/>
          </cell>
          <cell r="S228" t="str">
            <v/>
          </cell>
        </row>
        <row r="229">
          <cell r="G229" t="str">
            <v/>
          </cell>
          <cell r="H229" t="str">
            <v/>
          </cell>
          <cell r="I229" t="str">
            <v/>
          </cell>
          <cell r="J229" t="str">
            <v/>
          </cell>
          <cell r="K229" t="str">
            <v/>
          </cell>
          <cell r="L229" t="str">
            <v/>
          </cell>
          <cell r="M229" t="str">
            <v/>
          </cell>
          <cell r="N229" t="str">
            <v/>
          </cell>
          <cell r="O229" t="str">
            <v/>
          </cell>
          <cell r="P229" t="str">
            <v/>
          </cell>
          <cell r="Q229" t="str">
            <v/>
          </cell>
          <cell r="R229" t="str">
            <v/>
          </cell>
          <cell r="S229" t="str">
            <v/>
          </cell>
        </row>
        <row r="230">
          <cell r="G230" t="str">
            <v/>
          </cell>
          <cell r="H230" t="str">
            <v/>
          </cell>
          <cell r="I230" t="str">
            <v/>
          </cell>
          <cell r="J230" t="str">
            <v/>
          </cell>
          <cell r="K230" t="str">
            <v/>
          </cell>
          <cell r="L230" t="str">
            <v/>
          </cell>
          <cell r="M230" t="str">
            <v/>
          </cell>
          <cell r="N230" t="str">
            <v/>
          </cell>
          <cell r="O230" t="str">
            <v/>
          </cell>
          <cell r="P230" t="str">
            <v/>
          </cell>
          <cell r="Q230" t="str">
            <v/>
          </cell>
          <cell r="R230" t="str">
            <v/>
          </cell>
          <cell r="S230" t="str">
            <v/>
          </cell>
        </row>
        <row r="231">
          <cell r="G231" t="str">
            <v/>
          </cell>
          <cell r="H231" t="str">
            <v/>
          </cell>
          <cell r="I231" t="str">
            <v/>
          </cell>
          <cell r="J231" t="str">
            <v/>
          </cell>
          <cell r="K231" t="str">
            <v/>
          </cell>
          <cell r="L231" t="str">
            <v/>
          </cell>
          <cell r="M231" t="str">
            <v/>
          </cell>
          <cell r="N231" t="str">
            <v/>
          </cell>
          <cell r="O231" t="str">
            <v/>
          </cell>
          <cell r="P231" t="str">
            <v/>
          </cell>
          <cell r="Q231" t="str">
            <v/>
          </cell>
          <cell r="R231" t="str">
            <v/>
          </cell>
          <cell r="S231" t="str">
            <v/>
          </cell>
        </row>
        <row r="232">
          <cell r="G232" t="str">
            <v/>
          </cell>
          <cell r="H232" t="str">
            <v/>
          </cell>
          <cell r="I232" t="str">
            <v/>
          </cell>
          <cell r="J232" t="str">
            <v/>
          </cell>
          <cell r="K232" t="str">
            <v/>
          </cell>
          <cell r="L232" t="str">
            <v/>
          </cell>
          <cell r="M232" t="str">
            <v/>
          </cell>
          <cell r="N232" t="str">
            <v/>
          </cell>
          <cell r="O232" t="str">
            <v/>
          </cell>
          <cell r="P232" t="str">
            <v/>
          </cell>
          <cell r="Q232" t="str">
            <v/>
          </cell>
          <cell r="R232" t="str">
            <v/>
          </cell>
          <cell r="S232" t="str">
            <v/>
          </cell>
        </row>
        <row r="233">
          <cell r="G233" t="str">
            <v/>
          </cell>
          <cell r="H233" t="str">
            <v/>
          </cell>
          <cell r="I233" t="str">
            <v/>
          </cell>
          <cell r="J233" t="str">
            <v/>
          </cell>
          <cell r="K233" t="str">
            <v/>
          </cell>
          <cell r="L233" t="str">
            <v/>
          </cell>
          <cell r="M233" t="str">
            <v/>
          </cell>
          <cell r="N233" t="str">
            <v/>
          </cell>
          <cell r="O233" t="str">
            <v/>
          </cell>
          <cell r="P233" t="str">
            <v/>
          </cell>
          <cell r="Q233" t="str">
            <v/>
          </cell>
          <cell r="R233" t="str">
            <v/>
          </cell>
          <cell r="S233" t="str">
            <v/>
          </cell>
        </row>
        <row r="234">
          <cell r="G234" t="str">
            <v/>
          </cell>
          <cell r="H234" t="str">
            <v/>
          </cell>
          <cell r="I234" t="str">
            <v/>
          </cell>
          <cell r="J234" t="str">
            <v/>
          </cell>
          <cell r="K234" t="str">
            <v/>
          </cell>
          <cell r="L234" t="str">
            <v/>
          </cell>
          <cell r="M234" t="str">
            <v/>
          </cell>
          <cell r="N234" t="str">
            <v/>
          </cell>
          <cell r="O234" t="str">
            <v/>
          </cell>
          <cell r="P234" t="str">
            <v/>
          </cell>
          <cell r="Q234" t="str">
            <v/>
          </cell>
          <cell r="R234" t="str">
            <v/>
          </cell>
          <cell r="S234" t="str">
            <v/>
          </cell>
        </row>
        <row r="235">
          <cell r="G235" t="str">
            <v/>
          </cell>
          <cell r="H235" t="str">
            <v/>
          </cell>
          <cell r="I235" t="str">
            <v/>
          </cell>
          <cell r="J235" t="str">
            <v/>
          </cell>
          <cell r="K235" t="str">
            <v/>
          </cell>
          <cell r="L235" t="str">
            <v/>
          </cell>
          <cell r="M235" t="str">
            <v/>
          </cell>
          <cell r="N235" t="str">
            <v/>
          </cell>
          <cell r="O235" t="str">
            <v/>
          </cell>
          <cell r="P235" t="str">
            <v/>
          </cell>
          <cell r="Q235" t="str">
            <v/>
          </cell>
          <cell r="R235" t="str">
            <v/>
          </cell>
          <cell r="S235" t="str">
            <v/>
          </cell>
        </row>
        <row r="236">
          <cell r="G236" t="str">
            <v/>
          </cell>
          <cell r="H236" t="str">
            <v/>
          </cell>
          <cell r="I236" t="str">
            <v/>
          </cell>
          <cell r="J236" t="str">
            <v/>
          </cell>
          <cell r="K236" t="str">
            <v/>
          </cell>
          <cell r="L236" t="str">
            <v/>
          </cell>
          <cell r="M236" t="str">
            <v/>
          </cell>
          <cell r="N236" t="str">
            <v/>
          </cell>
          <cell r="O236" t="str">
            <v/>
          </cell>
          <cell r="P236" t="str">
            <v/>
          </cell>
          <cell r="Q236" t="str">
            <v/>
          </cell>
          <cell r="R236" t="str">
            <v/>
          </cell>
          <cell r="S236" t="str">
            <v/>
          </cell>
        </row>
        <row r="237">
          <cell r="G237" t="str">
            <v/>
          </cell>
          <cell r="H237" t="str">
            <v/>
          </cell>
          <cell r="I237" t="str">
            <v/>
          </cell>
          <cell r="J237" t="str">
            <v/>
          </cell>
          <cell r="K237" t="str">
            <v/>
          </cell>
          <cell r="L237" t="str">
            <v/>
          </cell>
          <cell r="M237" t="str">
            <v/>
          </cell>
          <cell r="N237" t="str">
            <v/>
          </cell>
          <cell r="O237" t="str">
            <v/>
          </cell>
          <cell r="P237" t="str">
            <v/>
          </cell>
          <cell r="Q237" t="str">
            <v/>
          </cell>
          <cell r="R237" t="str">
            <v/>
          </cell>
          <cell r="S237" t="str">
            <v/>
          </cell>
        </row>
        <row r="238">
          <cell r="G238" t="str">
            <v/>
          </cell>
          <cell r="H238" t="str">
            <v/>
          </cell>
          <cell r="I238" t="str">
            <v/>
          </cell>
          <cell r="J238" t="str">
            <v/>
          </cell>
          <cell r="K238" t="str">
            <v/>
          </cell>
          <cell r="L238" t="str">
            <v/>
          </cell>
          <cell r="M238" t="str">
            <v/>
          </cell>
          <cell r="N238" t="str">
            <v/>
          </cell>
          <cell r="O238" t="str">
            <v/>
          </cell>
          <cell r="P238" t="str">
            <v/>
          </cell>
          <cell r="Q238" t="str">
            <v/>
          </cell>
          <cell r="R238" t="str">
            <v/>
          </cell>
          <cell r="S238" t="str">
            <v/>
          </cell>
        </row>
        <row r="239">
          <cell r="G239" t="str">
            <v/>
          </cell>
          <cell r="H239" t="str">
            <v/>
          </cell>
          <cell r="I239" t="str">
            <v/>
          </cell>
          <cell r="J239" t="str">
            <v/>
          </cell>
          <cell r="K239" t="str">
            <v/>
          </cell>
          <cell r="L239" t="str">
            <v/>
          </cell>
          <cell r="M239" t="str">
            <v/>
          </cell>
          <cell r="N239" t="str">
            <v/>
          </cell>
          <cell r="O239" t="str">
            <v/>
          </cell>
          <cell r="P239" t="str">
            <v/>
          </cell>
          <cell r="Q239" t="str">
            <v/>
          </cell>
          <cell r="R239" t="str">
            <v/>
          </cell>
          <cell r="S239" t="str">
            <v/>
          </cell>
        </row>
        <row r="240">
          <cell r="G240" t="str">
            <v/>
          </cell>
          <cell r="H240" t="str">
            <v/>
          </cell>
          <cell r="I240" t="str">
            <v/>
          </cell>
          <cell r="J240" t="str">
            <v/>
          </cell>
          <cell r="K240" t="str">
            <v/>
          </cell>
          <cell r="L240" t="str">
            <v/>
          </cell>
          <cell r="M240" t="str">
            <v/>
          </cell>
          <cell r="N240" t="str">
            <v/>
          </cell>
          <cell r="O240" t="str">
            <v/>
          </cell>
          <cell r="P240" t="str">
            <v/>
          </cell>
          <cell r="Q240" t="str">
            <v/>
          </cell>
          <cell r="R240" t="str">
            <v/>
          </cell>
          <cell r="S240" t="str">
            <v/>
          </cell>
        </row>
        <row r="241">
          <cell r="G241" t="str">
            <v/>
          </cell>
          <cell r="H241" t="str">
            <v/>
          </cell>
          <cell r="I241" t="str">
            <v/>
          </cell>
          <cell r="J241" t="str">
            <v/>
          </cell>
          <cell r="K241" t="str">
            <v/>
          </cell>
          <cell r="L241" t="str">
            <v/>
          </cell>
          <cell r="M241" t="str">
            <v/>
          </cell>
          <cell r="N241" t="str">
            <v/>
          </cell>
          <cell r="O241" t="str">
            <v/>
          </cell>
          <cell r="P241" t="str">
            <v/>
          </cell>
          <cell r="Q241" t="str">
            <v/>
          </cell>
          <cell r="R241" t="str">
            <v/>
          </cell>
          <cell r="S241" t="str">
            <v/>
          </cell>
        </row>
        <row r="242">
          <cell r="G242" t="str">
            <v/>
          </cell>
          <cell r="H242" t="str">
            <v/>
          </cell>
          <cell r="I242" t="str">
            <v/>
          </cell>
          <cell r="J242" t="str">
            <v/>
          </cell>
          <cell r="K242" t="str">
            <v/>
          </cell>
          <cell r="L242" t="str">
            <v/>
          </cell>
          <cell r="M242" t="str">
            <v/>
          </cell>
          <cell r="N242" t="str">
            <v/>
          </cell>
          <cell r="O242" t="str">
            <v/>
          </cell>
          <cell r="P242" t="str">
            <v/>
          </cell>
          <cell r="Q242" t="str">
            <v/>
          </cell>
          <cell r="R242" t="str">
            <v/>
          </cell>
          <cell r="S242" t="str">
            <v/>
          </cell>
        </row>
        <row r="243">
          <cell r="G243" t="str">
            <v/>
          </cell>
          <cell r="H243" t="str">
            <v/>
          </cell>
          <cell r="I243" t="str">
            <v/>
          </cell>
          <cell r="J243" t="str">
            <v/>
          </cell>
          <cell r="K243" t="str">
            <v/>
          </cell>
          <cell r="L243" t="str">
            <v/>
          </cell>
          <cell r="M243" t="str">
            <v/>
          </cell>
          <cell r="N243" t="str">
            <v/>
          </cell>
          <cell r="O243" t="str">
            <v/>
          </cell>
          <cell r="P243" t="str">
            <v/>
          </cell>
          <cell r="Q243" t="str">
            <v/>
          </cell>
          <cell r="R243" t="str">
            <v/>
          </cell>
          <cell r="S243" t="str">
            <v/>
          </cell>
        </row>
        <row r="244">
          <cell r="G244" t="str">
            <v/>
          </cell>
          <cell r="H244" t="str">
            <v/>
          </cell>
          <cell r="I244" t="str">
            <v/>
          </cell>
          <cell r="J244" t="str">
            <v/>
          </cell>
          <cell r="K244" t="str">
            <v/>
          </cell>
          <cell r="L244" t="str">
            <v/>
          </cell>
          <cell r="M244" t="str">
            <v/>
          </cell>
          <cell r="N244" t="str">
            <v/>
          </cell>
          <cell r="O244" t="str">
            <v/>
          </cell>
          <cell r="P244" t="str">
            <v/>
          </cell>
          <cell r="Q244" t="str">
            <v/>
          </cell>
          <cell r="R244" t="str">
            <v/>
          </cell>
          <cell r="S244" t="str">
            <v/>
          </cell>
        </row>
        <row r="245">
          <cell r="G245" t="str">
            <v/>
          </cell>
          <cell r="H245" t="str">
            <v/>
          </cell>
          <cell r="I245" t="str">
            <v/>
          </cell>
          <cell r="J245" t="str">
            <v/>
          </cell>
          <cell r="K245" t="str">
            <v/>
          </cell>
          <cell r="L245" t="str">
            <v/>
          </cell>
          <cell r="M245" t="str">
            <v/>
          </cell>
          <cell r="N245" t="str">
            <v/>
          </cell>
          <cell r="O245" t="str">
            <v/>
          </cell>
          <cell r="P245" t="str">
            <v/>
          </cell>
          <cell r="Q245" t="str">
            <v/>
          </cell>
          <cell r="R245" t="str">
            <v/>
          </cell>
          <cell r="S245" t="str">
            <v/>
          </cell>
        </row>
        <row r="246">
          <cell r="G246" t="str">
            <v/>
          </cell>
          <cell r="H246" t="str">
            <v/>
          </cell>
          <cell r="I246" t="str">
            <v/>
          </cell>
          <cell r="J246" t="str">
            <v/>
          </cell>
          <cell r="K246" t="str">
            <v/>
          </cell>
          <cell r="L246" t="str">
            <v/>
          </cell>
          <cell r="M246" t="str">
            <v/>
          </cell>
          <cell r="N246" t="str">
            <v/>
          </cell>
          <cell r="O246" t="str">
            <v/>
          </cell>
          <cell r="P246" t="str">
            <v/>
          </cell>
          <cell r="Q246" t="str">
            <v/>
          </cell>
          <cell r="R246" t="str">
            <v/>
          </cell>
          <cell r="S246" t="str">
            <v/>
          </cell>
        </row>
        <row r="247">
          <cell r="G247" t="str">
            <v/>
          </cell>
          <cell r="H247" t="str">
            <v/>
          </cell>
          <cell r="I247" t="str">
            <v/>
          </cell>
          <cell r="J247" t="str">
            <v/>
          </cell>
          <cell r="K247" t="str">
            <v/>
          </cell>
          <cell r="L247" t="str">
            <v/>
          </cell>
          <cell r="M247" t="str">
            <v/>
          </cell>
          <cell r="N247" t="str">
            <v/>
          </cell>
          <cell r="O247" t="str">
            <v/>
          </cell>
          <cell r="P247" t="str">
            <v/>
          </cell>
          <cell r="Q247" t="str">
            <v/>
          </cell>
          <cell r="R247" t="str">
            <v/>
          </cell>
          <cell r="S247" t="str">
            <v/>
          </cell>
        </row>
        <row r="248">
          <cell r="G248" t="str">
            <v/>
          </cell>
          <cell r="H248" t="str">
            <v/>
          </cell>
          <cell r="I248" t="str">
            <v/>
          </cell>
          <cell r="J248" t="str">
            <v/>
          </cell>
          <cell r="K248" t="str">
            <v/>
          </cell>
          <cell r="L248" t="str">
            <v/>
          </cell>
          <cell r="M248" t="str">
            <v/>
          </cell>
          <cell r="N248" t="str">
            <v/>
          </cell>
          <cell r="O248" t="str">
            <v/>
          </cell>
          <cell r="P248" t="str">
            <v/>
          </cell>
          <cell r="Q248" t="str">
            <v/>
          </cell>
          <cell r="R248" t="str">
            <v/>
          </cell>
          <cell r="S248" t="str">
            <v/>
          </cell>
        </row>
        <row r="249">
          <cell r="G249" t="str">
            <v/>
          </cell>
          <cell r="H249" t="str">
            <v/>
          </cell>
          <cell r="I249" t="str">
            <v/>
          </cell>
          <cell r="J249" t="str">
            <v/>
          </cell>
          <cell r="K249" t="str">
            <v/>
          </cell>
          <cell r="L249" t="str">
            <v/>
          </cell>
          <cell r="M249" t="str">
            <v/>
          </cell>
          <cell r="N249" t="str">
            <v/>
          </cell>
          <cell r="O249" t="str">
            <v/>
          </cell>
          <cell r="P249" t="str">
            <v/>
          </cell>
          <cell r="Q249" t="str">
            <v/>
          </cell>
          <cell r="R249" t="str">
            <v/>
          </cell>
          <cell r="S249" t="str">
            <v/>
          </cell>
        </row>
        <row r="250">
          <cell r="G250" t="str">
            <v/>
          </cell>
          <cell r="H250" t="str">
            <v/>
          </cell>
          <cell r="I250" t="str">
            <v/>
          </cell>
          <cell r="J250" t="str">
            <v/>
          </cell>
          <cell r="K250" t="str">
            <v/>
          </cell>
          <cell r="L250" t="str">
            <v/>
          </cell>
          <cell r="M250" t="str">
            <v/>
          </cell>
          <cell r="N250" t="str">
            <v/>
          </cell>
          <cell r="O250" t="str">
            <v/>
          </cell>
          <cell r="P250" t="str">
            <v/>
          </cell>
          <cell r="Q250" t="str">
            <v/>
          </cell>
          <cell r="R250" t="str">
            <v/>
          </cell>
          <cell r="S250" t="str">
            <v/>
          </cell>
        </row>
        <row r="251">
          <cell r="G251" t="str">
            <v/>
          </cell>
          <cell r="H251" t="str">
            <v/>
          </cell>
          <cell r="I251" t="str">
            <v/>
          </cell>
          <cell r="J251" t="str">
            <v/>
          </cell>
          <cell r="K251" t="str">
            <v/>
          </cell>
          <cell r="L251" t="str">
            <v/>
          </cell>
          <cell r="M251" t="str">
            <v/>
          </cell>
          <cell r="N251" t="str">
            <v/>
          </cell>
          <cell r="O251" t="str">
            <v/>
          </cell>
          <cell r="P251" t="str">
            <v/>
          </cell>
          <cell r="Q251" t="str">
            <v/>
          </cell>
          <cell r="R251" t="str">
            <v/>
          </cell>
          <cell r="S251" t="str">
            <v/>
          </cell>
        </row>
        <row r="252">
          <cell r="G252" t="str">
            <v/>
          </cell>
          <cell r="H252" t="str">
            <v/>
          </cell>
          <cell r="I252" t="str">
            <v/>
          </cell>
          <cell r="J252" t="str">
            <v/>
          </cell>
          <cell r="K252" t="str">
            <v/>
          </cell>
          <cell r="L252" t="str">
            <v/>
          </cell>
          <cell r="M252" t="str">
            <v/>
          </cell>
          <cell r="N252" t="str">
            <v/>
          </cell>
          <cell r="O252" t="str">
            <v/>
          </cell>
          <cell r="P252" t="str">
            <v/>
          </cell>
          <cell r="Q252" t="str">
            <v/>
          </cell>
          <cell r="R252" t="str">
            <v/>
          </cell>
          <cell r="S252" t="str">
            <v/>
          </cell>
        </row>
        <row r="253">
          <cell r="G253" t="str">
            <v/>
          </cell>
          <cell r="H253" t="str">
            <v/>
          </cell>
          <cell r="I253" t="str">
            <v/>
          </cell>
          <cell r="J253" t="str">
            <v/>
          </cell>
          <cell r="K253" t="str">
            <v/>
          </cell>
          <cell r="L253" t="str">
            <v/>
          </cell>
          <cell r="M253" t="str">
            <v/>
          </cell>
          <cell r="N253" t="str">
            <v/>
          </cell>
          <cell r="O253" t="str">
            <v/>
          </cell>
          <cell r="P253" t="str">
            <v/>
          </cell>
          <cell r="Q253" t="str">
            <v/>
          </cell>
          <cell r="R253" t="str">
            <v/>
          </cell>
          <cell r="S253" t="str">
            <v/>
          </cell>
        </row>
        <row r="254">
          <cell r="G254" t="str">
            <v/>
          </cell>
          <cell r="H254" t="str">
            <v/>
          </cell>
          <cell r="I254" t="str">
            <v/>
          </cell>
          <cell r="J254" t="str">
            <v/>
          </cell>
          <cell r="K254" t="str">
            <v/>
          </cell>
          <cell r="L254" t="str">
            <v/>
          </cell>
          <cell r="M254" t="str">
            <v/>
          </cell>
          <cell r="N254" t="str">
            <v/>
          </cell>
          <cell r="O254" t="str">
            <v/>
          </cell>
          <cell r="P254" t="str">
            <v/>
          </cell>
          <cell r="Q254" t="str">
            <v/>
          </cell>
          <cell r="R254" t="str">
            <v/>
          </cell>
          <cell r="S254" t="str">
            <v/>
          </cell>
        </row>
        <row r="255">
          <cell r="G255" t="str">
            <v/>
          </cell>
          <cell r="H255" t="str">
            <v/>
          </cell>
          <cell r="I255" t="str">
            <v/>
          </cell>
          <cell r="J255" t="str">
            <v/>
          </cell>
          <cell r="K255" t="str">
            <v/>
          </cell>
          <cell r="L255" t="str">
            <v/>
          </cell>
          <cell r="M255" t="str">
            <v/>
          </cell>
          <cell r="N255" t="str">
            <v/>
          </cell>
          <cell r="O255" t="str">
            <v/>
          </cell>
          <cell r="P255" t="str">
            <v/>
          </cell>
          <cell r="Q255" t="str">
            <v/>
          </cell>
          <cell r="R255" t="str">
            <v/>
          </cell>
          <cell r="S255" t="str">
            <v/>
          </cell>
        </row>
        <row r="256">
          <cell r="G256" t="str">
            <v/>
          </cell>
          <cell r="H256" t="str">
            <v/>
          </cell>
          <cell r="I256" t="str">
            <v/>
          </cell>
          <cell r="J256" t="str">
            <v/>
          </cell>
          <cell r="K256" t="str">
            <v/>
          </cell>
          <cell r="L256" t="str">
            <v/>
          </cell>
          <cell r="M256" t="str">
            <v/>
          </cell>
          <cell r="N256" t="str">
            <v/>
          </cell>
          <cell r="O256" t="str">
            <v/>
          </cell>
          <cell r="P256" t="str">
            <v/>
          </cell>
          <cell r="Q256" t="str">
            <v/>
          </cell>
          <cell r="R256" t="str">
            <v/>
          </cell>
          <cell r="S256" t="str">
            <v/>
          </cell>
        </row>
        <row r="257">
          <cell r="G257" t="str">
            <v/>
          </cell>
          <cell r="H257" t="str">
            <v/>
          </cell>
          <cell r="I257" t="str">
            <v/>
          </cell>
          <cell r="J257" t="str">
            <v/>
          </cell>
          <cell r="K257" t="str">
            <v/>
          </cell>
          <cell r="L257" t="str">
            <v/>
          </cell>
          <cell r="M257" t="str">
            <v/>
          </cell>
          <cell r="N257" t="str">
            <v/>
          </cell>
          <cell r="O257" t="str">
            <v/>
          </cell>
          <cell r="P257" t="str">
            <v/>
          </cell>
          <cell r="Q257" t="str">
            <v/>
          </cell>
          <cell r="R257" t="str">
            <v/>
          </cell>
          <cell r="S257" t="str">
            <v/>
          </cell>
        </row>
        <row r="258">
          <cell r="G258" t="str">
            <v/>
          </cell>
          <cell r="H258" t="str">
            <v/>
          </cell>
          <cell r="I258" t="str">
            <v/>
          </cell>
          <cell r="J258" t="str">
            <v/>
          </cell>
          <cell r="K258" t="str">
            <v/>
          </cell>
          <cell r="L258" t="str">
            <v/>
          </cell>
          <cell r="M258" t="str">
            <v/>
          </cell>
          <cell r="N258" t="str">
            <v/>
          </cell>
          <cell r="O258" t="str">
            <v/>
          </cell>
          <cell r="P258" t="str">
            <v/>
          </cell>
          <cell r="Q258" t="str">
            <v/>
          </cell>
          <cell r="R258" t="str">
            <v/>
          </cell>
          <cell r="S258" t="str">
            <v/>
          </cell>
        </row>
        <row r="259">
          <cell r="G259" t="str">
            <v/>
          </cell>
          <cell r="H259" t="str">
            <v/>
          </cell>
          <cell r="I259" t="str">
            <v/>
          </cell>
          <cell r="J259" t="str">
            <v/>
          </cell>
          <cell r="K259" t="str">
            <v/>
          </cell>
          <cell r="L259" t="str">
            <v/>
          </cell>
          <cell r="M259" t="str">
            <v/>
          </cell>
          <cell r="N259" t="str">
            <v/>
          </cell>
          <cell r="O259" t="str">
            <v/>
          </cell>
          <cell r="P259" t="str">
            <v/>
          </cell>
          <cell r="Q259" t="str">
            <v/>
          </cell>
          <cell r="R259" t="str">
            <v/>
          </cell>
          <cell r="S259" t="str">
            <v/>
          </cell>
        </row>
        <row r="260">
          <cell r="G260" t="str">
            <v/>
          </cell>
          <cell r="H260" t="str">
            <v/>
          </cell>
          <cell r="I260" t="str">
            <v/>
          </cell>
          <cell r="J260" t="str">
            <v/>
          </cell>
          <cell r="K260" t="str">
            <v/>
          </cell>
          <cell r="L260" t="str">
            <v/>
          </cell>
          <cell r="M260" t="str">
            <v/>
          </cell>
          <cell r="N260" t="str">
            <v/>
          </cell>
          <cell r="O260" t="str">
            <v/>
          </cell>
          <cell r="P260" t="str">
            <v/>
          </cell>
          <cell r="Q260" t="str">
            <v/>
          </cell>
          <cell r="R260" t="str">
            <v/>
          </cell>
          <cell r="S260" t="str">
            <v/>
          </cell>
        </row>
        <row r="261">
          <cell r="G261" t="str">
            <v/>
          </cell>
          <cell r="H261" t="str">
            <v/>
          </cell>
          <cell r="I261" t="str">
            <v/>
          </cell>
          <cell r="J261" t="str">
            <v/>
          </cell>
          <cell r="K261" t="str">
            <v/>
          </cell>
          <cell r="L261" t="str">
            <v/>
          </cell>
          <cell r="M261" t="str">
            <v/>
          </cell>
          <cell r="N261" t="str">
            <v/>
          </cell>
          <cell r="O261" t="str">
            <v/>
          </cell>
          <cell r="P261" t="str">
            <v/>
          </cell>
          <cell r="Q261" t="str">
            <v/>
          </cell>
          <cell r="R261" t="str">
            <v/>
          </cell>
          <cell r="S261" t="str">
            <v/>
          </cell>
        </row>
        <row r="262">
          <cell r="G262" t="str">
            <v/>
          </cell>
          <cell r="H262" t="str">
            <v/>
          </cell>
          <cell r="I262" t="str">
            <v/>
          </cell>
          <cell r="J262" t="str">
            <v/>
          </cell>
          <cell r="K262" t="str">
            <v/>
          </cell>
          <cell r="L262" t="str">
            <v/>
          </cell>
          <cell r="M262" t="str">
            <v/>
          </cell>
          <cell r="N262" t="str">
            <v/>
          </cell>
          <cell r="O262" t="str">
            <v/>
          </cell>
          <cell r="P262" t="str">
            <v/>
          </cell>
          <cell r="Q262" t="str">
            <v/>
          </cell>
          <cell r="R262" t="str">
            <v/>
          </cell>
          <cell r="S262" t="str">
            <v/>
          </cell>
        </row>
        <row r="263">
          <cell r="G263" t="str">
            <v/>
          </cell>
          <cell r="H263" t="str">
            <v/>
          </cell>
          <cell r="I263" t="str">
            <v/>
          </cell>
          <cell r="J263" t="str">
            <v/>
          </cell>
          <cell r="K263" t="str">
            <v/>
          </cell>
          <cell r="L263" t="str">
            <v/>
          </cell>
          <cell r="M263" t="str">
            <v/>
          </cell>
          <cell r="N263" t="str">
            <v/>
          </cell>
          <cell r="O263" t="str">
            <v/>
          </cell>
          <cell r="P263" t="str">
            <v/>
          </cell>
          <cell r="Q263" t="str">
            <v/>
          </cell>
          <cell r="R263" t="str">
            <v/>
          </cell>
          <cell r="S263" t="str">
            <v/>
          </cell>
        </row>
        <row r="264">
          <cell r="G264" t="str">
            <v/>
          </cell>
          <cell r="H264" t="str">
            <v/>
          </cell>
          <cell r="I264" t="str">
            <v/>
          </cell>
          <cell r="J264" t="str">
            <v/>
          </cell>
          <cell r="K264" t="str">
            <v/>
          </cell>
          <cell r="L264" t="str">
            <v/>
          </cell>
          <cell r="M264" t="str">
            <v/>
          </cell>
          <cell r="N264" t="str">
            <v/>
          </cell>
          <cell r="O264" t="str">
            <v/>
          </cell>
          <cell r="P264" t="str">
            <v/>
          </cell>
          <cell r="Q264" t="str">
            <v/>
          </cell>
          <cell r="R264" t="str">
            <v/>
          </cell>
          <cell r="S264" t="str">
            <v/>
          </cell>
        </row>
        <row r="265">
          <cell r="G265" t="str">
            <v/>
          </cell>
          <cell r="H265" t="str">
            <v/>
          </cell>
          <cell r="I265" t="str">
            <v/>
          </cell>
          <cell r="J265" t="str">
            <v/>
          </cell>
          <cell r="K265" t="str">
            <v/>
          </cell>
          <cell r="L265" t="str">
            <v/>
          </cell>
          <cell r="M265" t="str">
            <v/>
          </cell>
          <cell r="N265" t="str">
            <v/>
          </cell>
          <cell r="O265" t="str">
            <v/>
          </cell>
          <cell r="P265" t="str">
            <v/>
          </cell>
          <cell r="Q265" t="str">
            <v/>
          </cell>
          <cell r="R265" t="str">
            <v/>
          </cell>
          <cell r="S265" t="str">
            <v/>
          </cell>
        </row>
        <row r="266">
          <cell r="G266" t="str">
            <v/>
          </cell>
          <cell r="H266" t="str">
            <v/>
          </cell>
          <cell r="I266" t="str">
            <v/>
          </cell>
          <cell r="J266" t="str">
            <v/>
          </cell>
          <cell r="K266" t="str">
            <v/>
          </cell>
          <cell r="L266" t="str">
            <v/>
          </cell>
          <cell r="M266" t="str">
            <v/>
          </cell>
          <cell r="N266" t="str">
            <v/>
          </cell>
          <cell r="O266" t="str">
            <v/>
          </cell>
          <cell r="P266" t="str">
            <v/>
          </cell>
          <cell r="Q266" t="str">
            <v/>
          </cell>
          <cell r="R266" t="str">
            <v/>
          </cell>
          <cell r="S266" t="str">
            <v/>
          </cell>
        </row>
        <row r="267">
          <cell r="G267" t="str">
            <v/>
          </cell>
          <cell r="H267" t="str">
            <v/>
          </cell>
          <cell r="I267" t="str">
            <v/>
          </cell>
          <cell r="J267" t="str">
            <v/>
          </cell>
          <cell r="K267" t="str">
            <v/>
          </cell>
          <cell r="L267" t="str">
            <v/>
          </cell>
          <cell r="M267" t="str">
            <v/>
          </cell>
          <cell r="N267" t="str">
            <v/>
          </cell>
          <cell r="O267" t="str">
            <v/>
          </cell>
          <cell r="P267" t="str">
            <v/>
          </cell>
          <cell r="Q267" t="str">
            <v/>
          </cell>
          <cell r="R267" t="str">
            <v/>
          </cell>
          <cell r="S267" t="str">
            <v/>
          </cell>
        </row>
        <row r="268">
          <cell r="G268" t="str">
            <v/>
          </cell>
          <cell r="H268" t="str">
            <v/>
          </cell>
          <cell r="I268" t="str">
            <v/>
          </cell>
          <cell r="J268" t="str">
            <v/>
          </cell>
          <cell r="K268" t="str">
            <v/>
          </cell>
          <cell r="L268" t="str">
            <v/>
          </cell>
          <cell r="M268" t="str">
            <v/>
          </cell>
          <cell r="N268" t="str">
            <v/>
          </cell>
          <cell r="O268" t="str">
            <v/>
          </cell>
          <cell r="P268" t="str">
            <v/>
          </cell>
          <cell r="Q268" t="str">
            <v/>
          </cell>
          <cell r="R268" t="str">
            <v/>
          </cell>
          <cell r="S268" t="str">
            <v/>
          </cell>
        </row>
        <row r="269">
          <cell r="G269" t="str">
            <v/>
          </cell>
          <cell r="H269" t="str">
            <v/>
          </cell>
          <cell r="I269" t="str">
            <v/>
          </cell>
          <cell r="J269" t="str">
            <v/>
          </cell>
          <cell r="K269" t="str">
            <v/>
          </cell>
          <cell r="L269" t="str">
            <v/>
          </cell>
          <cell r="M269" t="str">
            <v/>
          </cell>
          <cell r="N269" t="str">
            <v/>
          </cell>
          <cell r="O269" t="str">
            <v/>
          </cell>
          <cell r="P269" t="str">
            <v/>
          </cell>
          <cell r="Q269" t="str">
            <v/>
          </cell>
          <cell r="R269" t="str">
            <v/>
          </cell>
          <cell r="S269" t="str">
            <v/>
          </cell>
        </row>
        <row r="270">
          <cell r="G270" t="str">
            <v/>
          </cell>
          <cell r="H270" t="str">
            <v/>
          </cell>
          <cell r="I270" t="str">
            <v/>
          </cell>
          <cell r="J270" t="str">
            <v/>
          </cell>
          <cell r="K270" t="str">
            <v/>
          </cell>
          <cell r="L270" t="str">
            <v/>
          </cell>
          <cell r="M270" t="str">
            <v/>
          </cell>
          <cell r="N270" t="str">
            <v/>
          </cell>
          <cell r="O270" t="str">
            <v/>
          </cell>
          <cell r="P270" t="str">
            <v/>
          </cell>
          <cell r="Q270" t="str">
            <v/>
          </cell>
          <cell r="R270" t="str">
            <v/>
          </cell>
          <cell r="S270" t="str">
            <v/>
          </cell>
        </row>
        <row r="271">
          <cell r="G271" t="str">
            <v/>
          </cell>
          <cell r="H271" t="str">
            <v/>
          </cell>
          <cell r="I271" t="str">
            <v/>
          </cell>
          <cell r="J271" t="str">
            <v/>
          </cell>
          <cell r="K271" t="str">
            <v/>
          </cell>
          <cell r="L271" t="str">
            <v/>
          </cell>
          <cell r="M271" t="str">
            <v/>
          </cell>
          <cell r="N271" t="str">
            <v/>
          </cell>
          <cell r="O271" t="str">
            <v/>
          </cell>
          <cell r="P271" t="str">
            <v/>
          </cell>
          <cell r="Q271" t="str">
            <v/>
          </cell>
          <cell r="R271" t="str">
            <v/>
          </cell>
          <cell r="S271" t="str">
            <v/>
          </cell>
        </row>
        <row r="272">
          <cell r="G272" t="str">
            <v/>
          </cell>
          <cell r="H272" t="str">
            <v/>
          </cell>
          <cell r="I272" t="str">
            <v/>
          </cell>
          <cell r="J272" t="str">
            <v/>
          </cell>
          <cell r="K272" t="str">
            <v/>
          </cell>
          <cell r="L272" t="str">
            <v/>
          </cell>
          <cell r="M272" t="str">
            <v/>
          </cell>
          <cell r="N272" t="str">
            <v/>
          </cell>
          <cell r="O272" t="str">
            <v/>
          </cell>
          <cell r="P272" t="str">
            <v/>
          </cell>
          <cell r="Q272" t="str">
            <v/>
          </cell>
          <cell r="R272" t="str">
            <v/>
          </cell>
          <cell r="S272" t="str">
            <v/>
          </cell>
        </row>
        <row r="273">
          <cell r="G273" t="str">
            <v/>
          </cell>
          <cell r="H273" t="str">
            <v/>
          </cell>
          <cell r="I273" t="str">
            <v/>
          </cell>
          <cell r="J273" t="str">
            <v/>
          </cell>
          <cell r="K273" t="str">
            <v/>
          </cell>
          <cell r="L273" t="str">
            <v/>
          </cell>
          <cell r="M273" t="str">
            <v/>
          </cell>
          <cell r="N273" t="str">
            <v/>
          </cell>
          <cell r="O273" t="str">
            <v/>
          </cell>
          <cell r="P273" t="str">
            <v/>
          </cell>
          <cell r="Q273" t="str">
            <v/>
          </cell>
          <cell r="R273" t="str">
            <v/>
          </cell>
          <cell r="S273" t="str">
            <v/>
          </cell>
        </row>
        <row r="274">
          <cell r="G274" t="str">
            <v/>
          </cell>
          <cell r="H274" t="str">
            <v/>
          </cell>
          <cell r="I274" t="str">
            <v/>
          </cell>
          <cell r="J274" t="str">
            <v/>
          </cell>
          <cell r="K274" t="str">
            <v/>
          </cell>
          <cell r="L274" t="str">
            <v/>
          </cell>
          <cell r="M274" t="str">
            <v/>
          </cell>
          <cell r="N274" t="str">
            <v/>
          </cell>
          <cell r="O274" t="str">
            <v/>
          </cell>
          <cell r="P274" t="str">
            <v/>
          </cell>
          <cell r="Q274" t="str">
            <v/>
          </cell>
          <cell r="R274" t="str">
            <v/>
          </cell>
          <cell r="S274" t="str">
            <v/>
          </cell>
        </row>
        <row r="275">
          <cell r="G275" t="str">
            <v/>
          </cell>
          <cell r="H275" t="str">
            <v/>
          </cell>
          <cell r="I275" t="str">
            <v/>
          </cell>
          <cell r="J275" t="str">
            <v/>
          </cell>
          <cell r="K275" t="str">
            <v/>
          </cell>
          <cell r="L275" t="str">
            <v/>
          </cell>
          <cell r="M275" t="str">
            <v/>
          </cell>
          <cell r="N275" t="str">
            <v/>
          </cell>
          <cell r="O275" t="str">
            <v/>
          </cell>
          <cell r="P275" t="str">
            <v/>
          </cell>
          <cell r="Q275" t="str">
            <v/>
          </cell>
          <cell r="R275" t="str">
            <v/>
          </cell>
          <cell r="S275" t="str">
            <v/>
          </cell>
        </row>
        <row r="276">
          <cell r="G276" t="str">
            <v/>
          </cell>
          <cell r="H276" t="str">
            <v/>
          </cell>
          <cell r="I276" t="str">
            <v/>
          </cell>
          <cell r="J276" t="str">
            <v/>
          </cell>
          <cell r="K276" t="str">
            <v/>
          </cell>
          <cell r="L276" t="str">
            <v/>
          </cell>
          <cell r="M276" t="str">
            <v/>
          </cell>
          <cell r="N276" t="str">
            <v/>
          </cell>
          <cell r="O276" t="str">
            <v/>
          </cell>
          <cell r="P276" t="str">
            <v/>
          </cell>
          <cell r="Q276" t="str">
            <v/>
          </cell>
          <cell r="R276" t="str">
            <v/>
          </cell>
          <cell r="S276" t="str">
            <v/>
          </cell>
        </row>
        <row r="277">
          <cell r="G277" t="str">
            <v/>
          </cell>
          <cell r="H277" t="str">
            <v/>
          </cell>
          <cell r="I277" t="str">
            <v/>
          </cell>
          <cell r="J277" t="str">
            <v/>
          </cell>
          <cell r="K277" t="str">
            <v/>
          </cell>
          <cell r="L277" t="str">
            <v/>
          </cell>
          <cell r="M277" t="str">
            <v/>
          </cell>
          <cell r="N277" t="str">
            <v/>
          </cell>
          <cell r="O277" t="str">
            <v/>
          </cell>
          <cell r="P277" t="str">
            <v/>
          </cell>
          <cell r="Q277" t="str">
            <v/>
          </cell>
          <cell r="R277" t="str">
            <v/>
          </cell>
          <cell r="S277" t="str">
            <v/>
          </cell>
        </row>
        <row r="278">
          <cell r="G278" t="str">
            <v/>
          </cell>
          <cell r="H278" t="str">
            <v/>
          </cell>
          <cell r="I278" t="str">
            <v/>
          </cell>
          <cell r="J278" t="str">
            <v/>
          </cell>
          <cell r="K278" t="str">
            <v/>
          </cell>
          <cell r="L278" t="str">
            <v/>
          </cell>
          <cell r="M278" t="str">
            <v/>
          </cell>
          <cell r="N278" t="str">
            <v/>
          </cell>
          <cell r="O278" t="str">
            <v/>
          </cell>
          <cell r="P278" t="str">
            <v/>
          </cell>
          <cell r="Q278" t="str">
            <v/>
          </cell>
          <cell r="R278" t="str">
            <v/>
          </cell>
          <cell r="S278" t="str">
            <v/>
          </cell>
        </row>
        <row r="279">
          <cell r="G279" t="str">
            <v/>
          </cell>
          <cell r="H279" t="str">
            <v/>
          </cell>
          <cell r="I279" t="str">
            <v/>
          </cell>
          <cell r="J279" t="str">
            <v/>
          </cell>
          <cell r="K279" t="str">
            <v/>
          </cell>
          <cell r="L279" t="str">
            <v/>
          </cell>
          <cell r="M279" t="str">
            <v/>
          </cell>
          <cell r="N279" t="str">
            <v/>
          </cell>
          <cell r="O279" t="str">
            <v/>
          </cell>
          <cell r="P279" t="str">
            <v/>
          </cell>
          <cell r="Q279" t="str">
            <v/>
          </cell>
          <cell r="R279" t="str">
            <v/>
          </cell>
          <cell r="S279" t="str">
            <v/>
          </cell>
        </row>
        <row r="280">
          <cell r="G280" t="str">
            <v/>
          </cell>
          <cell r="H280" t="str">
            <v/>
          </cell>
          <cell r="I280" t="str">
            <v/>
          </cell>
          <cell r="J280" t="str">
            <v/>
          </cell>
          <cell r="K280" t="str">
            <v/>
          </cell>
          <cell r="L280" t="str">
            <v/>
          </cell>
          <cell r="M280" t="str">
            <v/>
          </cell>
          <cell r="N280" t="str">
            <v/>
          </cell>
          <cell r="O280" t="str">
            <v/>
          </cell>
          <cell r="P280" t="str">
            <v/>
          </cell>
          <cell r="Q280" t="str">
            <v/>
          </cell>
          <cell r="R280" t="str">
            <v/>
          </cell>
          <cell r="S280" t="str">
            <v/>
          </cell>
        </row>
        <row r="281">
          <cell r="G281" t="str">
            <v/>
          </cell>
          <cell r="H281" t="str">
            <v/>
          </cell>
          <cell r="I281" t="str">
            <v/>
          </cell>
          <cell r="J281" t="str">
            <v/>
          </cell>
          <cell r="K281" t="str">
            <v/>
          </cell>
          <cell r="L281" t="str">
            <v/>
          </cell>
          <cell r="M281" t="str">
            <v/>
          </cell>
          <cell r="N281" t="str">
            <v/>
          </cell>
          <cell r="O281" t="str">
            <v/>
          </cell>
          <cell r="P281" t="str">
            <v/>
          </cell>
          <cell r="Q281" t="str">
            <v/>
          </cell>
          <cell r="R281" t="str">
            <v/>
          </cell>
          <cell r="S281" t="str">
            <v/>
          </cell>
        </row>
        <row r="282">
          <cell r="G282" t="str">
            <v/>
          </cell>
          <cell r="H282" t="str">
            <v/>
          </cell>
          <cell r="I282" t="str">
            <v/>
          </cell>
          <cell r="J282" t="str">
            <v/>
          </cell>
          <cell r="K282" t="str">
            <v/>
          </cell>
          <cell r="L282" t="str">
            <v/>
          </cell>
          <cell r="M282" t="str">
            <v/>
          </cell>
          <cell r="N282" t="str">
            <v/>
          </cell>
          <cell r="O282" t="str">
            <v/>
          </cell>
          <cell r="P282" t="str">
            <v/>
          </cell>
          <cell r="Q282" t="str">
            <v/>
          </cell>
          <cell r="R282" t="str">
            <v/>
          </cell>
          <cell r="S282" t="str">
            <v/>
          </cell>
        </row>
        <row r="283">
          <cell r="G283" t="str">
            <v/>
          </cell>
          <cell r="H283" t="str">
            <v/>
          </cell>
          <cell r="I283" t="str">
            <v/>
          </cell>
          <cell r="J283" t="str">
            <v/>
          </cell>
          <cell r="K283" t="str">
            <v/>
          </cell>
          <cell r="L283" t="str">
            <v/>
          </cell>
          <cell r="M283" t="str">
            <v/>
          </cell>
          <cell r="N283" t="str">
            <v/>
          </cell>
          <cell r="O283" t="str">
            <v/>
          </cell>
          <cell r="P283" t="str">
            <v/>
          </cell>
          <cell r="Q283" t="str">
            <v/>
          </cell>
          <cell r="R283" t="str">
            <v/>
          </cell>
          <cell r="S283" t="str">
            <v/>
          </cell>
        </row>
        <row r="284">
          <cell r="G284" t="str">
            <v/>
          </cell>
          <cell r="H284" t="str">
            <v/>
          </cell>
          <cell r="I284" t="str">
            <v/>
          </cell>
          <cell r="J284" t="str">
            <v/>
          </cell>
          <cell r="K284" t="str">
            <v/>
          </cell>
          <cell r="L284" t="str">
            <v/>
          </cell>
          <cell r="M284" t="str">
            <v/>
          </cell>
          <cell r="N284" t="str">
            <v/>
          </cell>
          <cell r="O284" t="str">
            <v/>
          </cell>
          <cell r="P284" t="str">
            <v/>
          </cell>
          <cell r="Q284" t="str">
            <v/>
          </cell>
          <cell r="R284" t="str">
            <v/>
          </cell>
          <cell r="S284" t="str">
            <v/>
          </cell>
        </row>
        <row r="285">
          <cell r="G285" t="str">
            <v/>
          </cell>
          <cell r="H285" t="str">
            <v/>
          </cell>
          <cell r="I285" t="str">
            <v/>
          </cell>
          <cell r="J285" t="str">
            <v/>
          </cell>
          <cell r="K285" t="str">
            <v/>
          </cell>
          <cell r="L285" t="str">
            <v/>
          </cell>
          <cell r="M285" t="str">
            <v/>
          </cell>
          <cell r="N285" t="str">
            <v/>
          </cell>
          <cell r="O285" t="str">
            <v/>
          </cell>
          <cell r="P285" t="str">
            <v/>
          </cell>
          <cell r="Q285" t="str">
            <v/>
          </cell>
          <cell r="R285" t="str">
            <v/>
          </cell>
          <cell r="S285" t="str">
            <v/>
          </cell>
        </row>
        <row r="286">
          <cell r="G286" t="str">
            <v/>
          </cell>
          <cell r="H286" t="str">
            <v/>
          </cell>
          <cell r="I286" t="str">
            <v/>
          </cell>
          <cell r="J286" t="str">
            <v/>
          </cell>
          <cell r="K286" t="str">
            <v/>
          </cell>
          <cell r="L286" t="str">
            <v/>
          </cell>
          <cell r="M286" t="str">
            <v/>
          </cell>
          <cell r="N286" t="str">
            <v/>
          </cell>
          <cell r="O286" t="str">
            <v/>
          </cell>
          <cell r="P286" t="str">
            <v/>
          </cell>
          <cell r="Q286" t="str">
            <v/>
          </cell>
          <cell r="R286" t="str">
            <v/>
          </cell>
          <cell r="S286" t="str">
            <v/>
          </cell>
        </row>
        <row r="287">
          <cell r="G287" t="str">
            <v/>
          </cell>
          <cell r="H287" t="str">
            <v/>
          </cell>
          <cell r="I287" t="str">
            <v/>
          </cell>
          <cell r="J287" t="str">
            <v/>
          </cell>
          <cell r="K287" t="str">
            <v/>
          </cell>
          <cell r="L287" t="str">
            <v/>
          </cell>
          <cell r="M287" t="str">
            <v/>
          </cell>
          <cell r="N287" t="str">
            <v/>
          </cell>
          <cell r="O287" t="str">
            <v/>
          </cell>
          <cell r="P287" t="str">
            <v/>
          </cell>
          <cell r="Q287" t="str">
            <v/>
          </cell>
          <cell r="R287" t="str">
            <v/>
          </cell>
          <cell r="S287" t="str">
            <v/>
          </cell>
        </row>
        <row r="288">
          <cell r="G288" t="str">
            <v/>
          </cell>
          <cell r="H288" t="str">
            <v/>
          </cell>
          <cell r="I288" t="str">
            <v/>
          </cell>
          <cell r="J288" t="str">
            <v/>
          </cell>
          <cell r="K288" t="str">
            <v/>
          </cell>
          <cell r="L288" t="str">
            <v/>
          </cell>
          <cell r="M288" t="str">
            <v/>
          </cell>
          <cell r="N288" t="str">
            <v/>
          </cell>
          <cell r="O288" t="str">
            <v/>
          </cell>
          <cell r="P288" t="str">
            <v/>
          </cell>
          <cell r="Q288" t="str">
            <v/>
          </cell>
          <cell r="R288" t="str">
            <v/>
          </cell>
          <cell r="S288" t="str">
            <v/>
          </cell>
        </row>
        <row r="289">
          <cell r="G289" t="str">
            <v/>
          </cell>
          <cell r="H289" t="str">
            <v/>
          </cell>
          <cell r="I289" t="str">
            <v/>
          </cell>
          <cell r="J289" t="str">
            <v/>
          </cell>
          <cell r="K289" t="str">
            <v/>
          </cell>
          <cell r="L289" t="str">
            <v/>
          </cell>
          <cell r="M289" t="str">
            <v/>
          </cell>
          <cell r="N289" t="str">
            <v/>
          </cell>
          <cell r="O289" t="str">
            <v/>
          </cell>
          <cell r="P289" t="str">
            <v/>
          </cell>
          <cell r="Q289" t="str">
            <v/>
          </cell>
          <cell r="R289" t="str">
            <v/>
          </cell>
          <cell r="S289" t="str">
            <v/>
          </cell>
        </row>
        <row r="290">
          <cell r="G290" t="str">
            <v/>
          </cell>
          <cell r="H290" t="str">
            <v/>
          </cell>
          <cell r="I290" t="str">
            <v/>
          </cell>
          <cell r="J290" t="str">
            <v/>
          </cell>
          <cell r="K290" t="str">
            <v/>
          </cell>
          <cell r="L290" t="str">
            <v/>
          </cell>
          <cell r="M290" t="str">
            <v/>
          </cell>
          <cell r="N290" t="str">
            <v/>
          </cell>
          <cell r="O290" t="str">
            <v/>
          </cell>
          <cell r="P290" t="str">
            <v/>
          </cell>
          <cell r="Q290" t="str">
            <v/>
          </cell>
          <cell r="R290" t="str">
            <v/>
          </cell>
          <cell r="S290" t="str">
            <v/>
          </cell>
        </row>
        <row r="291">
          <cell r="G291" t="str">
            <v/>
          </cell>
          <cell r="H291" t="str">
            <v/>
          </cell>
          <cell r="I291" t="str">
            <v/>
          </cell>
          <cell r="J291" t="str">
            <v/>
          </cell>
          <cell r="K291" t="str">
            <v/>
          </cell>
          <cell r="L291" t="str">
            <v/>
          </cell>
          <cell r="M291" t="str">
            <v/>
          </cell>
          <cell r="N291" t="str">
            <v/>
          </cell>
          <cell r="O291" t="str">
            <v/>
          </cell>
          <cell r="P291" t="str">
            <v/>
          </cell>
          <cell r="Q291" t="str">
            <v/>
          </cell>
          <cell r="R291" t="str">
            <v/>
          </cell>
          <cell r="S291" t="str">
            <v/>
          </cell>
        </row>
        <row r="292">
          <cell r="G292" t="str">
            <v/>
          </cell>
          <cell r="H292" t="str">
            <v/>
          </cell>
          <cell r="I292" t="str">
            <v/>
          </cell>
          <cell r="J292" t="str">
            <v/>
          </cell>
          <cell r="K292" t="str">
            <v/>
          </cell>
          <cell r="L292" t="str">
            <v/>
          </cell>
          <cell r="M292" t="str">
            <v/>
          </cell>
          <cell r="N292" t="str">
            <v/>
          </cell>
          <cell r="O292" t="str">
            <v/>
          </cell>
          <cell r="P292" t="str">
            <v/>
          </cell>
          <cell r="Q292" t="str">
            <v/>
          </cell>
          <cell r="R292" t="str">
            <v/>
          </cell>
          <cell r="S292" t="str">
            <v/>
          </cell>
        </row>
        <row r="293">
          <cell r="G293" t="str">
            <v/>
          </cell>
          <cell r="H293" t="str">
            <v/>
          </cell>
          <cell r="I293" t="str">
            <v/>
          </cell>
          <cell r="J293" t="str">
            <v/>
          </cell>
          <cell r="K293" t="str">
            <v/>
          </cell>
          <cell r="L293" t="str">
            <v/>
          </cell>
          <cell r="M293" t="str">
            <v/>
          </cell>
          <cell r="N293" t="str">
            <v/>
          </cell>
          <cell r="O293" t="str">
            <v/>
          </cell>
          <cell r="P293" t="str">
            <v/>
          </cell>
          <cell r="Q293" t="str">
            <v/>
          </cell>
          <cell r="R293" t="str">
            <v/>
          </cell>
          <cell r="S293" t="str">
            <v/>
          </cell>
        </row>
        <row r="294">
          <cell r="G294" t="str">
            <v/>
          </cell>
          <cell r="H294" t="str">
            <v/>
          </cell>
          <cell r="I294" t="str">
            <v/>
          </cell>
          <cell r="J294" t="str">
            <v/>
          </cell>
          <cell r="K294" t="str">
            <v/>
          </cell>
          <cell r="L294" t="str">
            <v/>
          </cell>
          <cell r="M294" t="str">
            <v/>
          </cell>
          <cell r="N294" t="str">
            <v/>
          </cell>
          <cell r="O294" t="str">
            <v/>
          </cell>
          <cell r="P294" t="str">
            <v/>
          </cell>
          <cell r="Q294" t="str">
            <v/>
          </cell>
          <cell r="R294" t="str">
            <v/>
          </cell>
          <cell r="S294" t="str">
            <v/>
          </cell>
        </row>
        <row r="295">
          <cell r="G295" t="str">
            <v/>
          </cell>
          <cell r="H295" t="str">
            <v/>
          </cell>
          <cell r="I295" t="str">
            <v/>
          </cell>
          <cell r="J295" t="str">
            <v/>
          </cell>
          <cell r="K295" t="str">
            <v/>
          </cell>
          <cell r="L295" t="str">
            <v/>
          </cell>
          <cell r="M295" t="str">
            <v/>
          </cell>
          <cell r="N295" t="str">
            <v/>
          </cell>
          <cell r="O295" t="str">
            <v/>
          </cell>
          <cell r="P295" t="str">
            <v/>
          </cell>
          <cell r="Q295" t="str">
            <v/>
          </cell>
          <cell r="R295" t="str">
            <v/>
          </cell>
          <cell r="S295" t="str">
            <v/>
          </cell>
        </row>
        <row r="296">
          <cell r="G296" t="str">
            <v/>
          </cell>
          <cell r="H296" t="str">
            <v/>
          </cell>
          <cell r="I296" t="str">
            <v/>
          </cell>
          <cell r="J296" t="str">
            <v/>
          </cell>
          <cell r="K296" t="str">
            <v/>
          </cell>
          <cell r="L296" t="str">
            <v/>
          </cell>
          <cell r="M296" t="str">
            <v/>
          </cell>
          <cell r="N296" t="str">
            <v/>
          </cell>
          <cell r="O296" t="str">
            <v/>
          </cell>
          <cell r="P296" t="str">
            <v/>
          </cell>
          <cell r="Q296" t="str">
            <v/>
          </cell>
          <cell r="R296" t="str">
            <v/>
          </cell>
          <cell r="S296" t="str">
            <v/>
          </cell>
        </row>
        <row r="297">
          <cell r="G297" t="str">
            <v/>
          </cell>
          <cell r="H297" t="str">
            <v/>
          </cell>
          <cell r="I297" t="str">
            <v/>
          </cell>
          <cell r="J297" t="str">
            <v/>
          </cell>
          <cell r="K297" t="str">
            <v/>
          </cell>
          <cell r="L297" t="str">
            <v/>
          </cell>
          <cell r="M297" t="str">
            <v/>
          </cell>
          <cell r="N297" t="str">
            <v/>
          </cell>
          <cell r="O297" t="str">
            <v/>
          </cell>
          <cell r="P297" t="str">
            <v/>
          </cell>
          <cell r="Q297" t="str">
            <v/>
          </cell>
          <cell r="R297" t="str">
            <v/>
          </cell>
          <cell r="S297" t="str">
            <v/>
          </cell>
        </row>
        <row r="298">
          <cell r="G298" t="str">
            <v/>
          </cell>
          <cell r="H298" t="str">
            <v/>
          </cell>
          <cell r="I298" t="str">
            <v/>
          </cell>
          <cell r="J298" t="str">
            <v/>
          </cell>
          <cell r="K298" t="str">
            <v/>
          </cell>
          <cell r="L298" t="str">
            <v/>
          </cell>
          <cell r="M298" t="str">
            <v/>
          </cell>
          <cell r="N298" t="str">
            <v/>
          </cell>
          <cell r="O298" t="str">
            <v/>
          </cell>
          <cell r="P298" t="str">
            <v/>
          </cell>
          <cell r="Q298" t="str">
            <v/>
          </cell>
          <cell r="R298" t="str">
            <v/>
          </cell>
          <cell r="S298" t="str">
            <v/>
          </cell>
        </row>
        <row r="299">
          <cell r="G299" t="str">
            <v/>
          </cell>
          <cell r="H299" t="str">
            <v/>
          </cell>
          <cell r="I299" t="str">
            <v/>
          </cell>
          <cell r="J299" t="str">
            <v/>
          </cell>
          <cell r="K299" t="str">
            <v/>
          </cell>
          <cell r="L299" t="str">
            <v/>
          </cell>
          <cell r="M299" t="str">
            <v/>
          </cell>
          <cell r="N299" t="str">
            <v/>
          </cell>
          <cell r="O299" t="str">
            <v/>
          </cell>
          <cell r="P299" t="str">
            <v/>
          </cell>
          <cell r="Q299" t="str">
            <v/>
          </cell>
          <cell r="R299" t="str">
            <v/>
          </cell>
          <cell r="S299" t="str">
            <v/>
          </cell>
        </row>
        <row r="300">
          <cell r="G300" t="str">
            <v/>
          </cell>
          <cell r="H300" t="str">
            <v/>
          </cell>
          <cell r="I300" t="str">
            <v/>
          </cell>
          <cell r="J300" t="str">
            <v/>
          </cell>
          <cell r="K300" t="str">
            <v/>
          </cell>
          <cell r="L300" t="str">
            <v/>
          </cell>
          <cell r="M300" t="str">
            <v/>
          </cell>
          <cell r="N300" t="str">
            <v/>
          </cell>
          <cell r="O300" t="str">
            <v/>
          </cell>
          <cell r="P300" t="str">
            <v/>
          </cell>
          <cell r="Q300" t="str">
            <v/>
          </cell>
          <cell r="R300" t="str">
            <v/>
          </cell>
          <cell r="S300" t="str">
            <v/>
          </cell>
        </row>
        <row r="301">
          <cell r="G301" t="str">
            <v/>
          </cell>
          <cell r="H301" t="str">
            <v/>
          </cell>
          <cell r="I301" t="str">
            <v/>
          </cell>
          <cell r="J301" t="str">
            <v/>
          </cell>
          <cell r="K301" t="str">
            <v/>
          </cell>
          <cell r="L301" t="str">
            <v/>
          </cell>
          <cell r="M301" t="str">
            <v/>
          </cell>
          <cell r="N301" t="str">
            <v/>
          </cell>
          <cell r="O301" t="str">
            <v/>
          </cell>
          <cell r="P301" t="str">
            <v/>
          </cell>
          <cell r="Q301" t="str">
            <v/>
          </cell>
          <cell r="R301" t="str">
            <v/>
          </cell>
          <cell r="S301" t="str">
            <v/>
          </cell>
        </row>
        <row r="302">
          <cell r="G302" t="str">
            <v/>
          </cell>
          <cell r="H302" t="str">
            <v/>
          </cell>
          <cell r="I302" t="str">
            <v/>
          </cell>
          <cell r="J302" t="str">
            <v/>
          </cell>
          <cell r="K302" t="str">
            <v/>
          </cell>
          <cell r="L302" t="str">
            <v/>
          </cell>
          <cell r="M302" t="str">
            <v/>
          </cell>
          <cell r="N302" t="str">
            <v/>
          </cell>
          <cell r="O302" t="str">
            <v/>
          </cell>
          <cell r="P302" t="str">
            <v/>
          </cell>
          <cell r="Q302" t="str">
            <v/>
          </cell>
          <cell r="R302" t="str">
            <v/>
          </cell>
          <cell r="S302" t="str">
            <v/>
          </cell>
        </row>
        <row r="303">
          <cell r="G303" t="str">
            <v/>
          </cell>
          <cell r="H303" t="str">
            <v/>
          </cell>
          <cell r="I303" t="str">
            <v/>
          </cell>
          <cell r="J303" t="str">
            <v/>
          </cell>
          <cell r="K303" t="str">
            <v/>
          </cell>
          <cell r="L303" t="str">
            <v/>
          </cell>
          <cell r="M303" t="str">
            <v/>
          </cell>
          <cell r="N303" t="str">
            <v/>
          </cell>
          <cell r="O303" t="str">
            <v/>
          </cell>
          <cell r="P303" t="str">
            <v/>
          </cell>
          <cell r="Q303" t="str">
            <v/>
          </cell>
          <cell r="R303" t="str">
            <v/>
          </cell>
          <cell r="S303" t="str">
            <v/>
          </cell>
        </row>
        <row r="304">
          <cell r="G304" t="str">
            <v/>
          </cell>
          <cell r="H304" t="str">
            <v/>
          </cell>
          <cell r="I304" t="str">
            <v/>
          </cell>
          <cell r="J304" t="str">
            <v/>
          </cell>
          <cell r="K304" t="str">
            <v/>
          </cell>
          <cell r="L304" t="str">
            <v/>
          </cell>
          <cell r="M304" t="str">
            <v/>
          </cell>
          <cell r="N304" t="str">
            <v/>
          </cell>
          <cell r="O304" t="str">
            <v/>
          </cell>
          <cell r="P304" t="str">
            <v/>
          </cell>
          <cell r="Q304" t="str">
            <v/>
          </cell>
          <cell r="R304" t="str">
            <v/>
          </cell>
          <cell r="S304" t="str">
            <v/>
          </cell>
        </row>
        <row r="305">
          <cell r="G305" t="str">
            <v/>
          </cell>
          <cell r="H305" t="str">
            <v/>
          </cell>
          <cell r="I305" t="str">
            <v/>
          </cell>
          <cell r="J305" t="str">
            <v/>
          </cell>
          <cell r="K305" t="str">
            <v/>
          </cell>
          <cell r="L305" t="str">
            <v/>
          </cell>
          <cell r="M305" t="str">
            <v/>
          </cell>
          <cell r="N305" t="str">
            <v/>
          </cell>
          <cell r="O305" t="str">
            <v/>
          </cell>
          <cell r="P305" t="str">
            <v/>
          </cell>
          <cell r="Q305" t="str">
            <v/>
          </cell>
          <cell r="R305" t="str">
            <v/>
          </cell>
          <cell r="S305" t="str">
            <v/>
          </cell>
        </row>
        <row r="306">
          <cell r="G306" t="str">
            <v/>
          </cell>
          <cell r="H306" t="str">
            <v/>
          </cell>
          <cell r="I306" t="str">
            <v/>
          </cell>
          <cell r="J306" t="str">
            <v/>
          </cell>
          <cell r="K306" t="str">
            <v/>
          </cell>
          <cell r="L306" t="str">
            <v/>
          </cell>
          <cell r="M306" t="str">
            <v/>
          </cell>
          <cell r="N306" t="str">
            <v/>
          </cell>
          <cell r="O306" t="str">
            <v/>
          </cell>
          <cell r="P306" t="str">
            <v/>
          </cell>
          <cell r="Q306" t="str">
            <v/>
          </cell>
          <cell r="R306" t="str">
            <v/>
          </cell>
          <cell r="S306" t="str">
            <v/>
          </cell>
        </row>
        <row r="307">
          <cell r="G307" t="str">
            <v/>
          </cell>
          <cell r="H307" t="str">
            <v/>
          </cell>
          <cell r="I307" t="str">
            <v/>
          </cell>
          <cell r="J307" t="str">
            <v/>
          </cell>
          <cell r="K307" t="str">
            <v/>
          </cell>
          <cell r="L307" t="str">
            <v/>
          </cell>
          <cell r="M307" t="str">
            <v/>
          </cell>
          <cell r="N307" t="str">
            <v/>
          </cell>
          <cell r="O307" t="str">
            <v/>
          </cell>
          <cell r="P307" t="str">
            <v/>
          </cell>
          <cell r="Q307" t="str">
            <v/>
          </cell>
          <cell r="R307" t="str">
            <v/>
          </cell>
          <cell r="S307" t="str">
            <v/>
          </cell>
        </row>
        <row r="308">
          <cell r="G308" t="str">
            <v/>
          </cell>
          <cell r="H308" t="str">
            <v/>
          </cell>
          <cell r="I308" t="str">
            <v/>
          </cell>
          <cell r="J308" t="str">
            <v/>
          </cell>
          <cell r="K308" t="str">
            <v/>
          </cell>
          <cell r="L308" t="str">
            <v/>
          </cell>
          <cell r="M308" t="str">
            <v/>
          </cell>
          <cell r="N308" t="str">
            <v/>
          </cell>
          <cell r="O308" t="str">
            <v/>
          </cell>
          <cell r="P308" t="str">
            <v/>
          </cell>
          <cell r="Q308" t="str">
            <v/>
          </cell>
          <cell r="R308" t="str">
            <v/>
          </cell>
          <cell r="S308" t="str">
            <v/>
          </cell>
        </row>
        <row r="309">
          <cell r="G309" t="str">
            <v/>
          </cell>
          <cell r="H309" t="str">
            <v/>
          </cell>
          <cell r="I309" t="str">
            <v/>
          </cell>
          <cell r="J309" t="str">
            <v/>
          </cell>
          <cell r="K309" t="str">
            <v/>
          </cell>
          <cell r="L309" t="str">
            <v/>
          </cell>
          <cell r="M309" t="str">
            <v/>
          </cell>
          <cell r="N309" t="str">
            <v/>
          </cell>
          <cell r="O309" t="str">
            <v/>
          </cell>
          <cell r="P309" t="str">
            <v/>
          </cell>
          <cell r="Q309" t="str">
            <v/>
          </cell>
          <cell r="R309" t="str">
            <v/>
          </cell>
          <cell r="S309" t="str">
            <v/>
          </cell>
        </row>
        <row r="310">
          <cell r="G310" t="str">
            <v/>
          </cell>
          <cell r="H310" t="str">
            <v/>
          </cell>
          <cell r="I310" t="str">
            <v/>
          </cell>
          <cell r="J310" t="str">
            <v/>
          </cell>
          <cell r="K310" t="str">
            <v/>
          </cell>
          <cell r="L310" t="str">
            <v/>
          </cell>
          <cell r="M310" t="str">
            <v/>
          </cell>
          <cell r="N310" t="str">
            <v/>
          </cell>
          <cell r="O310" t="str">
            <v/>
          </cell>
          <cell r="P310" t="str">
            <v/>
          </cell>
          <cell r="Q310" t="str">
            <v/>
          </cell>
          <cell r="R310" t="str">
            <v/>
          </cell>
          <cell r="S310" t="str">
            <v/>
          </cell>
        </row>
        <row r="311">
          <cell r="G311" t="str">
            <v/>
          </cell>
          <cell r="H311" t="str">
            <v/>
          </cell>
          <cell r="I311" t="str">
            <v/>
          </cell>
          <cell r="J311" t="str">
            <v/>
          </cell>
          <cell r="K311" t="str">
            <v/>
          </cell>
          <cell r="L311" t="str">
            <v/>
          </cell>
          <cell r="M311" t="str">
            <v/>
          </cell>
          <cell r="N311" t="str">
            <v/>
          </cell>
          <cell r="O311" t="str">
            <v/>
          </cell>
          <cell r="P311" t="str">
            <v/>
          </cell>
          <cell r="Q311" t="str">
            <v/>
          </cell>
          <cell r="R311" t="str">
            <v/>
          </cell>
          <cell r="S311" t="str">
            <v/>
          </cell>
        </row>
        <row r="312">
          <cell r="G312" t="str">
            <v/>
          </cell>
          <cell r="H312" t="str">
            <v/>
          </cell>
          <cell r="I312" t="str">
            <v/>
          </cell>
          <cell r="J312" t="str">
            <v/>
          </cell>
          <cell r="K312" t="str">
            <v/>
          </cell>
          <cell r="L312" t="str">
            <v/>
          </cell>
          <cell r="M312" t="str">
            <v/>
          </cell>
          <cell r="N312" t="str">
            <v/>
          </cell>
          <cell r="O312" t="str">
            <v/>
          </cell>
          <cell r="P312" t="str">
            <v/>
          </cell>
          <cell r="Q312" t="str">
            <v/>
          </cell>
          <cell r="R312" t="str">
            <v/>
          </cell>
          <cell r="S312" t="str">
            <v/>
          </cell>
        </row>
        <row r="313">
          <cell r="G313" t="str">
            <v/>
          </cell>
          <cell r="H313" t="str">
            <v/>
          </cell>
          <cell r="I313" t="str">
            <v/>
          </cell>
          <cell r="J313" t="str">
            <v/>
          </cell>
          <cell r="K313" t="str">
            <v/>
          </cell>
          <cell r="L313" t="str">
            <v/>
          </cell>
          <cell r="M313" t="str">
            <v/>
          </cell>
          <cell r="N313" t="str">
            <v/>
          </cell>
          <cell r="O313" t="str">
            <v/>
          </cell>
          <cell r="P313" t="str">
            <v/>
          </cell>
          <cell r="Q313" t="str">
            <v/>
          </cell>
          <cell r="R313" t="str">
            <v/>
          </cell>
          <cell r="S313" t="str">
            <v/>
          </cell>
        </row>
        <row r="314">
          <cell r="G314" t="str">
            <v/>
          </cell>
          <cell r="H314" t="str">
            <v/>
          </cell>
          <cell r="I314" t="str">
            <v/>
          </cell>
          <cell r="J314" t="str">
            <v/>
          </cell>
          <cell r="K314" t="str">
            <v/>
          </cell>
          <cell r="L314" t="str">
            <v/>
          </cell>
          <cell r="M314" t="str">
            <v/>
          </cell>
          <cell r="N314" t="str">
            <v/>
          </cell>
          <cell r="O314" t="str">
            <v/>
          </cell>
          <cell r="P314" t="str">
            <v/>
          </cell>
          <cell r="Q314" t="str">
            <v/>
          </cell>
          <cell r="R314" t="str">
            <v/>
          </cell>
          <cell r="S314" t="str">
            <v/>
          </cell>
        </row>
        <row r="315">
          <cell r="G315" t="str">
            <v/>
          </cell>
          <cell r="H315" t="str">
            <v/>
          </cell>
          <cell r="I315" t="str">
            <v/>
          </cell>
          <cell r="J315" t="str">
            <v/>
          </cell>
          <cell r="K315" t="str">
            <v/>
          </cell>
          <cell r="L315" t="str">
            <v/>
          </cell>
          <cell r="M315" t="str">
            <v/>
          </cell>
          <cell r="N315" t="str">
            <v/>
          </cell>
          <cell r="O315" t="str">
            <v/>
          </cell>
          <cell r="P315" t="str">
            <v/>
          </cell>
          <cell r="Q315" t="str">
            <v/>
          </cell>
          <cell r="R315" t="str">
            <v/>
          </cell>
          <cell r="S315" t="str">
            <v/>
          </cell>
        </row>
        <row r="316">
          <cell r="G316" t="str">
            <v/>
          </cell>
          <cell r="H316" t="str">
            <v/>
          </cell>
          <cell r="I316" t="str">
            <v/>
          </cell>
          <cell r="J316" t="str">
            <v/>
          </cell>
          <cell r="K316" t="str">
            <v/>
          </cell>
          <cell r="L316" t="str">
            <v/>
          </cell>
          <cell r="M316" t="str">
            <v/>
          </cell>
          <cell r="N316" t="str">
            <v/>
          </cell>
          <cell r="O316" t="str">
            <v/>
          </cell>
          <cell r="P316" t="str">
            <v/>
          </cell>
          <cell r="Q316" t="str">
            <v/>
          </cell>
          <cell r="R316" t="str">
            <v/>
          </cell>
          <cell r="S316" t="str">
            <v/>
          </cell>
        </row>
        <row r="317">
          <cell r="G317" t="str">
            <v/>
          </cell>
          <cell r="H317" t="str">
            <v/>
          </cell>
          <cell r="I317" t="str">
            <v/>
          </cell>
          <cell r="J317" t="str">
            <v/>
          </cell>
          <cell r="K317" t="str">
            <v/>
          </cell>
          <cell r="L317" t="str">
            <v/>
          </cell>
          <cell r="M317" t="str">
            <v/>
          </cell>
          <cell r="N317" t="str">
            <v/>
          </cell>
          <cell r="O317" t="str">
            <v/>
          </cell>
          <cell r="P317" t="str">
            <v/>
          </cell>
          <cell r="Q317" t="str">
            <v/>
          </cell>
          <cell r="R317" t="str">
            <v/>
          </cell>
          <cell r="S317" t="str">
            <v/>
          </cell>
        </row>
        <row r="318">
          <cell r="G318" t="str">
            <v/>
          </cell>
          <cell r="H318" t="str">
            <v/>
          </cell>
          <cell r="I318" t="str">
            <v/>
          </cell>
          <cell r="J318" t="str">
            <v/>
          </cell>
          <cell r="K318" t="str">
            <v/>
          </cell>
          <cell r="L318" t="str">
            <v/>
          </cell>
          <cell r="M318" t="str">
            <v/>
          </cell>
          <cell r="N318" t="str">
            <v/>
          </cell>
          <cell r="O318" t="str">
            <v/>
          </cell>
          <cell r="P318" t="str">
            <v/>
          </cell>
          <cell r="Q318" t="str">
            <v/>
          </cell>
          <cell r="R318" t="str">
            <v/>
          </cell>
          <cell r="S318" t="str">
            <v/>
          </cell>
        </row>
        <row r="319">
          <cell r="G319" t="str">
            <v/>
          </cell>
          <cell r="H319" t="str">
            <v/>
          </cell>
          <cell r="I319" t="str">
            <v/>
          </cell>
          <cell r="J319" t="str">
            <v/>
          </cell>
          <cell r="K319" t="str">
            <v/>
          </cell>
          <cell r="L319" t="str">
            <v/>
          </cell>
          <cell r="M319" t="str">
            <v/>
          </cell>
          <cell r="N319" t="str">
            <v/>
          </cell>
          <cell r="O319" t="str">
            <v/>
          </cell>
          <cell r="P319" t="str">
            <v/>
          </cell>
          <cell r="Q319" t="str">
            <v/>
          </cell>
          <cell r="R319" t="str">
            <v/>
          </cell>
          <cell r="S319" t="str">
            <v/>
          </cell>
        </row>
        <row r="320">
          <cell r="G320" t="str">
            <v/>
          </cell>
          <cell r="H320" t="str">
            <v/>
          </cell>
          <cell r="I320" t="str">
            <v/>
          </cell>
          <cell r="J320" t="str">
            <v/>
          </cell>
          <cell r="K320" t="str">
            <v/>
          </cell>
          <cell r="L320" t="str">
            <v/>
          </cell>
          <cell r="M320" t="str">
            <v/>
          </cell>
          <cell r="N320" t="str">
            <v/>
          </cell>
          <cell r="O320" t="str">
            <v/>
          </cell>
          <cell r="P320" t="str">
            <v/>
          </cell>
          <cell r="Q320" t="str">
            <v/>
          </cell>
          <cell r="R320" t="str">
            <v/>
          </cell>
          <cell r="S320" t="str">
            <v/>
          </cell>
        </row>
        <row r="321">
          <cell r="G321" t="str">
            <v/>
          </cell>
          <cell r="H321" t="str">
            <v/>
          </cell>
          <cell r="I321" t="str">
            <v/>
          </cell>
          <cell r="J321" t="str">
            <v/>
          </cell>
          <cell r="K321" t="str">
            <v/>
          </cell>
          <cell r="L321" t="str">
            <v/>
          </cell>
          <cell r="M321" t="str">
            <v/>
          </cell>
          <cell r="N321" t="str">
            <v/>
          </cell>
          <cell r="O321" t="str">
            <v/>
          </cell>
          <cell r="P321" t="str">
            <v/>
          </cell>
          <cell r="Q321" t="str">
            <v/>
          </cell>
          <cell r="R321" t="str">
            <v/>
          </cell>
          <cell r="S321" t="str">
            <v/>
          </cell>
        </row>
        <row r="322">
          <cell r="G322" t="str">
            <v/>
          </cell>
          <cell r="H322" t="str">
            <v/>
          </cell>
          <cell r="I322" t="str">
            <v/>
          </cell>
          <cell r="J322" t="str">
            <v/>
          </cell>
          <cell r="K322" t="str">
            <v/>
          </cell>
          <cell r="L322" t="str">
            <v/>
          </cell>
          <cell r="M322" t="str">
            <v/>
          </cell>
          <cell r="N322" t="str">
            <v/>
          </cell>
          <cell r="O322" t="str">
            <v/>
          </cell>
          <cell r="P322" t="str">
            <v/>
          </cell>
          <cell r="Q322" t="str">
            <v/>
          </cell>
          <cell r="R322" t="str">
            <v/>
          </cell>
          <cell r="S322" t="str">
            <v/>
          </cell>
        </row>
        <row r="323">
          <cell r="G323" t="str">
            <v/>
          </cell>
          <cell r="H323" t="str">
            <v/>
          </cell>
          <cell r="I323" t="str">
            <v/>
          </cell>
          <cell r="J323" t="str">
            <v/>
          </cell>
          <cell r="K323" t="str">
            <v/>
          </cell>
          <cell r="L323" t="str">
            <v/>
          </cell>
          <cell r="M323" t="str">
            <v/>
          </cell>
          <cell r="N323" t="str">
            <v/>
          </cell>
          <cell r="O323" t="str">
            <v/>
          </cell>
          <cell r="P323" t="str">
            <v/>
          </cell>
          <cell r="Q323" t="str">
            <v/>
          </cell>
          <cell r="R323" t="str">
            <v/>
          </cell>
          <cell r="S323" t="str">
            <v/>
          </cell>
        </row>
        <row r="324">
          <cell r="G324" t="str">
            <v/>
          </cell>
          <cell r="H324" t="str">
            <v/>
          </cell>
          <cell r="I324" t="str">
            <v/>
          </cell>
          <cell r="J324" t="str">
            <v/>
          </cell>
          <cell r="K324" t="str">
            <v/>
          </cell>
          <cell r="L324" t="str">
            <v/>
          </cell>
          <cell r="M324" t="str">
            <v/>
          </cell>
          <cell r="N324" t="str">
            <v/>
          </cell>
          <cell r="O324" t="str">
            <v/>
          </cell>
          <cell r="P324" t="str">
            <v/>
          </cell>
          <cell r="Q324" t="str">
            <v/>
          </cell>
          <cell r="R324" t="str">
            <v/>
          </cell>
          <cell r="S324" t="str">
            <v/>
          </cell>
        </row>
        <row r="325">
          <cell r="G325" t="str">
            <v/>
          </cell>
          <cell r="H325" t="str">
            <v/>
          </cell>
          <cell r="I325" t="str">
            <v/>
          </cell>
          <cell r="J325" t="str">
            <v/>
          </cell>
          <cell r="K325" t="str">
            <v/>
          </cell>
          <cell r="L325" t="str">
            <v/>
          </cell>
          <cell r="M325" t="str">
            <v/>
          </cell>
          <cell r="N325" t="str">
            <v/>
          </cell>
          <cell r="O325" t="str">
            <v/>
          </cell>
          <cell r="P325" t="str">
            <v/>
          </cell>
          <cell r="Q325" t="str">
            <v/>
          </cell>
          <cell r="R325" t="str">
            <v/>
          </cell>
          <cell r="S325" t="str">
            <v/>
          </cell>
        </row>
        <row r="326">
          <cell r="G326" t="str">
            <v/>
          </cell>
          <cell r="H326" t="str">
            <v/>
          </cell>
          <cell r="I326" t="str">
            <v/>
          </cell>
          <cell r="J326" t="str">
            <v/>
          </cell>
          <cell r="K326" t="str">
            <v/>
          </cell>
          <cell r="L326" t="str">
            <v/>
          </cell>
          <cell r="M326" t="str">
            <v/>
          </cell>
          <cell r="N326" t="str">
            <v/>
          </cell>
          <cell r="O326" t="str">
            <v/>
          </cell>
          <cell r="P326" t="str">
            <v/>
          </cell>
          <cell r="Q326" t="str">
            <v/>
          </cell>
          <cell r="R326" t="str">
            <v/>
          </cell>
          <cell r="S326" t="str">
            <v/>
          </cell>
        </row>
        <row r="327">
          <cell r="G327" t="str">
            <v/>
          </cell>
          <cell r="H327" t="str">
            <v/>
          </cell>
          <cell r="I327" t="str">
            <v/>
          </cell>
          <cell r="J327" t="str">
            <v/>
          </cell>
          <cell r="K327" t="str">
            <v/>
          </cell>
          <cell r="L327" t="str">
            <v/>
          </cell>
          <cell r="M327" t="str">
            <v/>
          </cell>
          <cell r="N327" t="str">
            <v/>
          </cell>
          <cell r="O327" t="str">
            <v/>
          </cell>
          <cell r="P327" t="str">
            <v/>
          </cell>
          <cell r="Q327" t="str">
            <v/>
          </cell>
          <cell r="R327" t="str">
            <v/>
          </cell>
          <cell r="S327" t="str">
            <v/>
          </cell>
        </row>
        <row r="328">
          <cell r="G328" t="str">
            <v/>
          </cell>
          <cell r="H328" t="str">
            <v/>
          </cell>
          <cell r="I328" t="str">
            <v/>
          </cell>
          <cell r="J328" t="str">
            <v/>
          </cell>
          <cell r="K328" t="str">
            <v/>
          </cell>
          <cell r="L328" t="str">
            <v/>
          </cell>
          <cell r="M328" t="str">
            <v/>
          </cell>
          <cell r="N328" t="str">
            <v/>
          </cell>
          <cell r="O328" t="str">
            <v/>
          </cell>
          <cell r="P328" t="str">
            <v/>
          </cell>
          <cell r="Q328" t="str">
            <v/>
          </cell>
          <cell r="R328" t="str">
            <v/>
          </cell>
          <cell r="S328" t="str">
            <v/>
          </cell>
        </row>
        <row r="329">
          <cell r="G329" t="str">
            <v/>
          </cell>
          <cell r="H329" t="str">
            <v/>
          </cell>
          <cell r="I329" t="str">
            <v/>
          </cell>
          <cell r="J329" t="str">
            <v/>
          </cell>
          <cell r="K329" t="str">
            <v/>
          </cell>
          <cell r="L329" t="str">
            <v/>
          </cell>
          <cell r="M329" t="str">
            <v/>
          </cell>
          <cell r="N329" t="str">
            <v/>
          </cell>
          <cell r="O329" t="str">
            <v/>
          </cell>
          <cell r="P329" t="str">
            <v/>
          </cell>
          <cell r="Q329" t="str">
            <v/>
          </cell>
          <cell r="R329" t="str">
            <v/>
          </cell>
          <cell r="S329" t="str">
            <v/>
          </cell>
        </row>
        <row r="330">
          <cell r="G330" t="str">
            <v/>
          </cell>
          <cell r="H330" t="str">
            <v/>
          </cell>
          <cell r="I330" t="str">
            <v/>
          </cell>
          <cell r="J330" t="str">
            <v/>
          </cell>
          <cell r="K330" t="str">
            <v/>
          </cell>
          <cell r="L330" t="str">
            <v/>
          </cell>
          <cell r="M330" t="str">
            <v/>
          </cell>
          <cell r="N330" t="str">
            <v/>
          </cell>
          <cell r="O330" t="str">
            <v/>
          </cell>
          <cell r="P330" t="str">
            <v/>
          </cell>
          <cell r="Q330" t="str">
            <v/>
          </cell>
          <cell r="R330" t="str">
            <v/>
          </cell>
          <cell r="S330" t="str">
            <v/>
          </cell>
        </row>
        <row r="331">
          <cell r="G331" t="str">
            <v/>
          </cell>
          <cell r="H331" t="str">
            <v/>
          </cell>
          <cell r="I331" t="str">
            <v/>
          </cell>
          <cell r="J331" t="str">
            <v/>
          </cell>
          <cell r="K331" t="str">
            <v/>
          </cell>
          <cell r="L331" t="str">
            <v/>
          </cell>
          <cell r="M331" t="str">
            <v/>
          </cell>
          <cell r="N331" t="str">
            <v/>
          </cell>
          <cell r="O331" t="str">
            <v/>
          </cell>
          <cell r="P331" t="str">
            <v/>
          </cell>
          <cell r="Q331" t="str">
            <v/>
          </cell>
          <cell r="R331" t="str">
            <v/>
          </cell>
          <cell r="S331" t="str">
            <v/>
          </cell>
        </row>
        <row r="332">
          <cell r="G332" t="str">
            <v/>
          </cell>
          <cell r="H332" t="str">
            <v/>
          </cell>
          <cell r="I332" t="str">
            <v/>
          </cell>
          <cell r="J332" t="str">
            <v/>
          </cell>
          <cell r="K332" t="str">
            <v/>
          </cell>
          <cell r="L332" t="str">
            <v/>
          </cell>
          <cell r="M332" t="str">
            <v/>
          </cell>
          <cell r="N332" t="str">
            <v/>
          </cell>
          <cell r="O332" t="str">
            <v/>
          </cell>
          <cell r="P332" t="str">
            <v/>
          </cell>
          <cell r="Q332" t="str">
            <v/>
          </cell>
          <cell r="R332" t="str">
            <v/>
          </cell>
          <cell r="S332" t="str">
            <v/>
          </cell>
        </row>
        <row r="333">
          <cell r="G333" t="str">
            <v/>
          </cell>
          <cell r="H333" t="str">
            <v/>
          </cell>
          <cell r="I333" t="str">
            <v/>
          </cell>
          <cell r="J333" t="str">
            <v/>
          </cell>
          <cell r="K333" t="str">
            <v/>
          </cell>
          <cell r="L333" t="str">
            <v/>
          </cell>
          <cell r="M333" t="str">
            <v/>
          </cell>
          <cell r="N333" t="str">
            <v/>
          </cell>
          <cell r="O333" t="str">
            <v/>
          </cell>
          <cell r="P333" t="str">
            <v/>
          </cell>
          <cell r="Q333" t="str">
            <v/>
          </cell>
          <cell r="R333" t="str">
            <v/>
          </cell>
          <cell r="S333" t="str">
            <v/>
          </cell>
        </row>
        <row r="334">
          <cell r="G334" t="str">
            <v/>
          </cell>
          <cell r="H334" t="str">
            <v/>
          </cell>
          <cell r="I334" t="str">
            <v/>
          </cell>
          <cell r="J334" t="str">
            <v/>
          </cell>
          <cell r="K334" t="str">
            <v/>
          </cell>
          <cell r="L334" t="str">
            <v/>
          </cell>
          <cell r="M334" t="str">
            <v/>
          </cell>
          <cell r="N334" t="str">
            <v/>
          </cell>
          <cell r="O334" t="str">
            <v/>
          </cell>
          <cell r="P334" t="str">
            <v/>
          </cell>
          <cell r="Q334" t="str">
            <v/>
          </cell>
          <cell r="R334" t="str">
            <v/>
          </cell>
          <cell r="S334" t="str">
            <v/>
          </cell>
        </row>
        <row r="335">
          <cell r="G335" t="str">
            <v/>
          </cell>
          <cell r="H335" t="str">
            <v/>
          </cell>
          <cell r="I335" t="str">
            <v/>
          </cell>
          <cell r="J335" t="str">
            <v/>
          </cell>
          <cell r="K335" t="str">
            <v/>
          </cell>
          <cell r="L335" t="str">
            <v/>
          </cell>
          <cell r="M335" t="str">
            <v/>
          </cell>
          <cell r="N335" t="str">
            <v/>
          </cell>
          <cell r="O335" t="str">
            <v/>
          </cell>
          <cell r="P335" t="str">
            <v/>
          </cell>
          <cell r="Q335" t="str">
            <v/>
          </cell>
          <cell r="R335" t="str">
            <v/>
          </cell>
          <cell r="S335" t="str">
            <v/>
          </cell>
        </row>
        <row r="336">
          <cell r="G336" t="str">
            <v/>
          </cell>
          <cell r="H336" t="str">
            <v/>
          </cell>
          <cell r="I336" t="str">
            <v/>
          </cell>
          <cell r="J336" t="str">
            <v/>
          </cell>
          <cell r="K336" t="str">
            <v/>
          </cell>
          <cell r="L336" t="str">
            <v/>
          </cell>
          <cell r="M336" t="str">
            <v/>
          </cell>
          <cell r="N336" t="str">
            <v/>
          </cell>
          <cell r="O336" t="str">
            <v/>
          </cell>
          <cell r="P336" t="str">
            <v/>
          </cell>
          <cell r="Q336" t="str">
            <v/>
          </cell>
          <cell r="R336" t="str">
            <v/>
          </cell>
          <cell r="S336" t="str">
            <v/>
          </cell>
        </row>
        <row r="337">
          <cell r="G337" t="str">
            <v/>
          </cell>
          <cell r="H337" t="str">
            <v/>
          </cell>
          <cell r="I337" t="str">
            <v/>
          </cell>
          <cell r="J337" t="str">
            <v/>
          </cell>
          <cell r="K337" t="str">
            <v/>
          </cell>
          <cell r="L337" t="str">
            <v/>
          </cell>
          <cell r="M337" t="str">
            <v/>
          </cell>
          <cell r="N337" t="str">
            <v/>
          </cell>
          <cell r="O337" t="str">
            <v/>
          </cell>
          <cell r="P337" t="str">
            <v/>
          </cell>
          <cell r="Q337" t="str">
            <v/>
          </cell>
          <cell r="R337" t="str">
            <v/>
          </cell>
          <cell r="S337" t="str">
            <v/>
          </cell>
        </row>
        <row r="338">
          <cell r="G338" t="str">
            <v/>
          </cell>
          <cell r="H338" t="str">
            <v/>
          </cell>
          <cell r="I338" t="str">
            <v/>
          </cell>
          <cell r="J338" t="str">
            <v/>
          </cell>
          <cell r="K338" t="str">
            <v/>
          </cell>
          <cell r="L338" t="str">
            <v/>
          </cell>
          <cell r="M338" t="str">
            <v/>
          </cell>
          <cell r="N338" t="str">
            <v/>
          </cell>
          <cell r="O338" t="str">
            <v/>
          </cell>
          <cell r="P338" t="str">
            <v/>
          </cell>
          <cell r="Q338" t="str">
            <v/>
          </cell>
          <cell r="R338" t="str">
            <v/>
          </cell>
          <cell r="S338" t="str">
            <v/>
          </cell>
        </row>
        <row r="339">
          <cell r="G339" t="str">
            <v/>
          </cell>
          <cell r="H339" t="str">
            <v/>
          </cell>
          <cell r="I339" t="str">
            <v/>
          </cell>
          <cell r="J339" t="str">
            <v/>
          </cell>
          <cell r="K339" t="str">
            <v/>
          </cell>
          <cell r="L339" t="str">
            <v/>
          </cell>
          <cell r="M339" t="str">
            <v/>
          </cell>
          <cell r="N339" t="str">
            <v/>
          </cell>
          <cell r="O339" t="str">
            <v/>
          </cell>
          <cell r="P339" t="str">
            <v/>
          </cell>
          <cell r="Q339" t="str">
            <v/>
          </cell>
          <cell r="R339" t="str">
            <v/>
          </cell>
          <cell r="S339" t="str">
            <v/>
          </cell>
        </row>
        <row r="340">
          <cell r="G340" t="str">
            <v/>
          </cell>
          <cell r="H340" t="str">
            <v/>
          </cell>
          <cell r="I340" t="str">
            <v/>
          </cell>
          <cell r="J340" t="str">
            <v/>
          </cell>
          <cell r="K340" t="str">
            <v/>
          </cell>
          <cell r="L340" t="str">
            <v/>
          </cell>
          <cell r="M340" t="str">
            <v/>
          </cell>
          <cell r="N340" t="str">
            <v/>
          </cell>
          <cell r="O340" t="str">
            <v/>
          </cell>
          <cell r="P340" t="str">
            <v/>
          </cell>
          <cell r="Q340" t="str">
            <v/>
          </cell>
          <cell r="R340" t="str">
            <v/>
          </cell>
          <cell r="S340" t="str">
            <v/>
          </cell>
        </row>
        <row r="341">
          <cell r="G341" t="str">
            <v/>
          </cell>
          <cell r="H341" t="str">
            <v/>
          </cell>
          <cell r="I341" t="str">
            <v/>
          </cell>
          <cell r="J341" t="str">
            <v/>
          </cell>
          <cell r="K341" t="str">
            <v/>
          </cell>
          <cell r="L341" t="str">
            <v/>
          </cell>
          <cell r="M341" t="str">
            <v/>
          </cell>
          <cell r="N341" t="str">
            <v/>
          </cell>
          <cell r="O341" t="str">
            <v/>
          </cell>
          <cell r="P341" t="str">
            <v/>
          </cell>
          <cell r="Q341" t="str">
            <v/>
          </cell>
          <cell r="R341" t="str">
            <v/>
          </cell>
          <cell r="S341" t="str">
            <v/>
          </cell>
        </row>
        <row r="342">
          <cell r="G342" t="str">
            <v/>
          </cell>
          <cell r="H342" t="str">
            <v/>
          </cell>
          <cell r="I342" t="str">
            <v/>
          </cell>
          <cell r="J342" t="str">
            <v/>
          </cell>
          <cell r="K342" t="str">
            <v/>
          </cell>
          <cell r="L342" t="str">
            <v/>
          </cell>
          <cell r="M342" t="str">
            <v/>
          </cell>
          <cell r="N342" t="str">
            <v/>
          </cell>
          <cell r="O342" t="str">
            <v/>
          </cell>
          <cell r="P342" t="str">
            <v/>
          </cell>
          <cell r="Q342" t="str">
            <v/>
          </cell>
          <cell r="R342" t="str">
            <v/>
          </cell>
          <cell r="S342" t="str">
            <v/>
          </cell>
        </row>
        <row r="343">
          <cell r="G343" t="str">
            <v/>
          </cell>
          <cell r="H343" t="str">
            <v/>
          </cell>
          <cell r="I343" t="str">
            <v/>
          </cell>
          <cell r="J343" t="str">
            <v/>
          </cell>
          <cell r="K343" t="str">
            <v/>
          </cell>
          <cell r="L343" t="str">
            <v/>
          </cell>
          <cell r="M343" t="str">
            <v/>
          </cell>
          <cell r="N343" t="str">
            <v/>
          </cell>
          <cell r="O343" t="str">
            <v/>
          </cell>
          <cell r="P343" t="str">
            <v/>
          </cell>
          <cell r="Q343" t="str">
            <v/>
          </cell>
          <cell r="R343" t="str">
            <v/>
          </cell>
          <cell r="S343" t="str">
            <v/>
          </cell>
        </row>
        <row r="344">
          <cell r="G344" t="str">
            <v/>
          </cell>
          <cell r="H344" t="str">
            <v/>
          </cell>
          <cell r="I344" t="str">
            <v/>
          </cell>
          <cell r="J344" t="str">
            <v/>
          </cell>
          <cell r="K344" t="str">
            <v/>
          </cell>
          <cell r="L344" t="str">
            <v/>
          </cell>
          <cell r="M344" t="str">
            <v/>
          </cell>
          <cell r="N344" t="str">
            <v/>
          </cell>
          <cell r="O344" t="str">
            <v/>
          </cell>
          <cell r="P344" t="str">
            <v/>
          </cell>
          <cell r="Q344" t="str">
            <v/>
          </cell>
          <cell r="R344" t="str">
            <v/>
          </cell>
          <cell r="S344" t="str">
            <v/>
          </cell>
        </row>
        <row r="345">
          <cell r="G345" t="str">
            <v/>
          </cell>
          <cell r="H345" t="str">
            <v/>
          </cell>
          <cell r="I345" t="str">
            <v/>
          </cell>
          <cell r="J345" t="str">
            <v/>
          </cell>
          <cell r="K345" t="str">
            <v/>
          </cell>
          <cell r="L345" t="str">
            <v/>
          </cell>
          <cell r="M345" t="str">
            <v/>
          </cell>
          <cell r="N345" t="str">
            <v/>
          </cell>
          <cell r="O345" t="str">
            <v/>
          </cell>
          <cell r="P345" t="str">
            <v/>
          </cell>
          <cell r="Q345" t="str">
            <v/>
          </cell>
          <cell r="R345" t="str">
            <v/>
          </cell>
          <cell r="S345" t="str">
            <v/>
          </cell>
        </row>
        <row r="346">
          <cell r="G346" t="str">
            <v/>
          </cell>
          <cell r="H346" t="str">
            <v/>
          </cell>
          <cell r="I346" t="str">
            <v/>
          </cell>
          <cell r="J346" t="str">
            <v/>
          </cell>
          <cell r="K346" t="str">
            <v/>
          </cell>
          <cell r="L346" t="str">
            <v/>
          </cell>
          <cell r="M346" t="str">
            <v/>
          </cell>
          <cell r="N346" t="str">
            <v/>
          </cell>
          <cell r="O346" t="str">
            <v/>
          </cell>
          <cell r="P346" t="str">
            <v/>
          </cell>
          <cell r="Q346" t="str">
            <v/>
          </cell>
          <cell r="R346" t="str">
            <v/>
          </cell>
          <cell r="S346" t="str">
            <v/>
          </cell>
        </row>
        <row r="347">
          <cell r="G347" t="str">
            <v/>
          </cell>
          <cell r="H347" t="str">
            <v/>
          </cell>
          <cell r="I347" t="str">
            <v/>
          </cell>
          <cell r="J347" t="str">
            <v/>
          </cell>
          <cell r="K347" t="str">
            <v/>
          </cell>
          <cell r="L347" t="str">
            <v/>
          </cell>
          <cell r="M347" t="str">
            <v/>
          </cell>
          <cell r="N347" t="str">
            <v/>
          </cell>
          <cell r="O347" t="str">
            <v/>
          </cell>
          <cell r="P347" t="str">
            <v/>
          </cell>
          <cell r="Q347" t="str">
            <v/>
          </cell>
          <cell r="R347" t="str">
            <v/>
          </cell>
          <cell r="S347" t="str">
            <v/>
          </cell>
        </row>
        <row r="348">
          <cell r="G348" t="str">
            <v/>
          </cell>
          <cell r="H348" t="str">
            <v/>
          </cell>
          <cell r="I348" t="str">
            <v/>
          </cell>
          <cell r="J348" t="str">
            <v/>
          </cell>
          <cell r="K348" t="str">
            <v/>
          </cell>
          <cell r="L348" t="str">
            <v/>
          </cell>
          <cell r="M348" t="str">
            <v/>
          </cell>
          <cell r="N348" t="str">
            <v/>
          </cell>
          <cell r="O348" t="str">
            <v/>
          </cell>
          <cell r="P348" t="str">
            <v/>
          </cell>
          <cell r="Q348" t="str">
            <v/>
          </cell>
          <cell r="R348" t="str">
            <v/>
          </cell>
          <cell r="S348" t="str">
            <v/>
          </cell>
        </row>
        <row r="349">
          <cell r="G349" t="str">
            <v/>
          </cell>
          <cell r="H349" t="str">
            <v/>
          </cell>
          <cell r="I349" t="str">
            <v/>
          </cell>
          <cell r="J349" t="str">
            <v/>
          </cell>
          <cell r="K349" t="str">
            <v/>
          </cell>
          <cell r="L349" t="str">
            <v/>
          </cell>
          <cell r="M349" t="str">
            <v/>
          </cell>
          <cell r="N349" t="str">
            <v/>
          </cell>
          <cell r="O349" t="str">
            <v/>
          </cell>
          <cell r="P349" t="str">
            <v/>
          </cell>
          <cell r="Q349" t="str">
            <v/>
          </cell>
          <cell r="R349" t="str">
            <v/>
          </cell>
          <cell r="S349" t="str">
            <v/>
          </cell>
        </row>
        <row r="350">
          <cell r="G350" t="str">
            <v/>
          </cell>
          <cell r="H350" t="str">
            <v/>
          </cell>
          <cell r="I350" t="str">
            <v/>
          </cell>
          <cell r="J350" t="str">
            <v/>
          </cell>
          <cell r="K350" t="str">
            <v/>
          </cell>
          <cell r="L350" t="str">
            <v/>
          </cell>
          <cell r="M350" t="str">
            <v/>
          </cell>
          <cell r="N350" t="str">
            <v/>
          </cell>
          <cell r="O350" t="str">
            <v/>
          </cell>
          <cell r="P350" t="str">
            <v/>
          </cell>
          <cell r="Q350" t="str">
            <v/>
          </cell>
          <cell r="R350" t="str">
            <v/>
          </cell>
          <cell r="S350" t="str">
            <v/>
          </cell>
        </row>
        <row r="351">
          <cell r="G351" t="str">
            <v/>
          </cell>
          <cell r="H351" t="str">
            <v/>
          </cell>
          <cell r="I351" t="str">
            <v/>
          </cell>
          <cell r="J351" t="str">
            <v/>
          </cell>
          <cell r="K351" t="str">
            <v/>
          </cell>
          <cell r="L351" t="str">
            <v/>
          </cell>
          <cell r="M351" t="str">
            <v/>
          </cell>
          <cell r="N351" t="str">
            <v/>
          </cell>
          <cell r="O351" t="str">
            <v/>
          </cell>
          <cell r="P351" t="str">
            <v/>
          </cell>
          <cell r="Q351" t="str">
            <v/>
          </cell>
          <cell r="R351" t="str">
            <v/>
          </cell>
          <cell r="S351" t="str">
            <v/>
          </cell>
        </row>
        <row r="352">
          <cell r="G352" t="str">
            <v/>
          </cell>
          <cell r="H352" t="str">
            <v/>
          </cell>
          <cell r="I352" t="str">
            <v/>
          </cell>
          <cell r="J352" t="str">
            <v/>
          </cell>
          <cell r="K352" t="str">
            <v/>
          </cell>
          <cell r="L352" t="str">
            <v/>
          </cell>
          <cell r="M352" t="str">
            <v/>
          </cell>
          <cell r="N352" t="str">
            <v/>
          </cell>
          <cell r="O352" t="str">
            <v/>
          </cell>
          <cell r="P352" t="str">
            <v/>
          </cell>
          <cell r="Q352" t="str">
            <v/>
          </cell>
          <cell r="R352" t="str">
            <v/>
          </cell>
          <cell r="S352" t="str">
            <v/>
          </cell>
        </row>
        <row r="353">
          <cell r="G353" t="str">
            <v/>
          </cell>
          <cell r="H353" t="str">
            <v/>
          </cell>
          <cell r="I353" t="str">
            <v/>
          </cell>
          <cell r="J353" t="str">
            <v/>
          </cell>
          <cell r="K353" t="str">
            <v/>
          </cell>
          <cell r="L353" t="str">
            <v/>
          </cell>
          <cell r="M353" t="str">
            <v/>
          </cell>
          <cell r="N353" t="str">
            <v/>
          </cell>
          <cell r="O353" t="str">
            <v/>
          </cell>
          <cell r="P353" t="str">
            <v/>
          </cell>
          <cell r="Q353" t="str">
            <v/>
          </cell>
          <cell r="R353" t="str">
            <v/>
          </cell>
          <cell r="S353" t="str">
            <v/>
          </cell>
        </row>
        <row r="354">
          <cell r="G354" t="str">
            <v/>
          </cell>
          <cell r="H354" t="str">
            <v/>
          </cell>
          <cell r="I354" t="str">
            <v/>
          </cell>
          <cell r="J354" t="str">
            <v/>
          </cell>
          <cell r="K354" t="str">
            <v/>
          </cell>
          <cell r="L354" t="str">
            <v/>
          </cell>
          <cell r="M354" t="str">
            <v/>
          </cell>
          <cell r="N354" t="str">
            <v/>
          </cell>
          <cell r="O354" t="str">
            <v/>
          </cell>
          <cell r="P354" t="str">
            <v/>
          </cell>
          <cell r="Q354" t="str">
            <v/>
          </cell>
          <cell r="R354" t="str">
            <v/>
          </cell>
          <cell r="S354" t="str">
            <v/>
          </cell>
        </row>
        <row r="355">
          <cell r="G355" t="str">
            <v/>
          </cell>
          <cell r="H355" t="str">
            <v/>
          </cell>
          <cell r="I355" t="str">
            <v/>
          </cell>
          <cell r="J355" t="str">
            <v/>
          </cell>
          <cell r="K355" t="str">
            <v/>
          </cell>
          <cell r="L355" t="str">
            <v/>
          </cell>
          <cell r="M355" t="str">
            <v/>
          </cell>
          <cell r="N355" t="str">
            <v/>
          </cell>
          <cell r="O355" t="str">
            <v/>
          </cell>
          <cell r="P355" t="str">
            <v/>
          </cell>
          <cell r="Q355" t="str">
            <v/>
          </cell>
          <cell r="R355" t="str">
            <v/>
          </cell>
          <cell r="S355" t="str">
            <v/>
          </cell>
        </row>
        <row r="356">
          <cell r="G356" t="str">
            <v/>
          </cell>
          <cell r="H356" t="str">
            <v/>
          </cell>
          <cell r="I356" t="str">
            <v/>
          </cell>
          <cell r="J356" t="str">
            <v/>
          </cell>
          <cell r="K356" t="str">
            <v/>
          </cell>
          <cell r="L356" t="str">
            <v/>
          </cell>
          <cell r="M356" t="str">
            <v/>
          </cell>
          <cell r="N356" t="str">
            <v/>
          </cell>
          <cell r="O356" t="str">
            <v/>
          </cell>
          <cell r="P356" t="str">
            <v/>
          </cell>
          <cell r="Q356" t="str">
            <v/>
          </cell>
          <cell r="R356" t="str">
            <v/>
          </cell>
          <cell r="S356" t="str">
            <v/>
          </cell>
        </row>
        <row r="357">
          <cell r="G357" t="str">
            <v/>
          </cell>
          <cell r="H357" t="str">
            <v/>
          </cell>
          <cell r="I357" t="str">
            <v/>
          </cell>
          <cell r="J357" t="str">
            <v/>
          </cell>
          <cell r="K357" t="str">
            <v/>
          </cell>
          <cell r="L357" t="str">
            <v/>
          </cell>
          <cell r="M357" t="str">
            <v/>
          </cell>
          <cell r="N357" t="str">
            <v/>
          </cell>
          <cell r="O357" t="str">
            <v/>
          </cell>
          <cell r="P357" t="str">
            <v/>
          </cell>
          <cell r="Q357" t="str">
            <v/>
          </cell>
          <cell r="R357" t="str">
            <v/>
          </cell>
          <cell r="S357" t="str">
            <v/>
          </cell>
        </row>
        <row r="358">
          <cell r="G358" t="str">
            <v/>
          </cell>
          <cell r="H358" t="str">
            <v/>
          </cell>
          <cell r="I358" t="str">
            <v/>
          </cell>
          <cell r="J358" t="str">
            <v/>
          </cell>
          <cell r="K358" t="str">
            <v/>
          </cell>
          <cell r="L358" t="str">
            <v/>
          </cell>
          <cell r="M358" t="str">
            <v/>
          </cell>
          <cell r="N358" t="str">
            <v/>
          </cell>
          <cell r="O358" t="str">
            <v/>
          </cell>
          <cell r="P358" t="str">
            <v/>
          </cell>
          <cell r="Q358" t="str">
            <v/>
          </cell>
          <cell r="R358" t="str">
            <v/>
          </cell>
          <cell r="S358" t="str">
            <v/>
          </cell>
        </row>
        <row r="359">
          <cell r="G359" t="str">
            <v/>
          </cell>
          <cell r="H359" t="str">
            <v/>
          </cell>
          <cell r="I359" t="str">
            <v/>
          </cell>
          <cell r="J359" t="str">
            <v/>
          </cell>
          <cell r="K359" t="str">
            <v/>
          </cell>
          <cell r="L359" t="str">
            <v/>
          </cell>
          <cell r="M359" t="str">
            <v/>
          </cell>
          <cell r="N359" t="str">
            <v/>
          </cell>
          <cell r="O359" t="str">
            <v/>
          </cell>
          <cell r="P359" t="str">
            <v/>
          </cell>
          <cell r="Q359" t="str">
            <v/>
          </cell>
          <cell r="R359" t="str">
            <v/>
          </cell>
          <cell r="S359" t="str">
            <v/>
          </cell>
        </row>
        <row r="360">
          <cell r="G360" t="str">
            <v/>
          </cell>
          <cell r="H360" t="str">
            <v/>
          </cell>
          <cell r="I360" t="str">
            <v/>
          </cell>
          <cell r="J360" t="str">
            <v/>
          </cell>
          <cell r="K360" t="str">
            <v/>
          </cell>
          <cell r="L360" t="str">
            <v/>
          </cell>
          <cell r="M360" t="str">
            <v/>
          </cell>
          <cell r="N360" t="str">
            <v/>
          </cell>
          <cell r="O360" t="str">
            <v/>
          </cell>
          <cell r="P360" t="str">
            <v/>
          </cell>
          <cell r="Q360" t="str">
            <v/>
          </cell>
          <cell r="R360" t="str">
            <v/>
          </cell>
          <cell r="S360" t="str">
            <v/>
          </cell>
        </row>
        <row r="361">
          <cell r="G361" t="str">
            <v/>
          </cell>
          <cell r="H361" t="str">
            <v/>
          </cell>
          <cell r="I361" t="str">
            <v/>
          </cell>
          <cell r="J361" t="str">
            <v/>
          </cell>
          <cell r="K361" t="str">
            <v/>
          </cell>
          <cell r="L361" t="str">
            <v/>
          </cell>
          <cell r="M361" t="str">
            <v/>
          </cell>
          <cell r="N361" t="str">
            <v/>
          </cell>
          <cell r="O361" t="str">
            <v/>
          </cell>
          <cell r="P361" t="str">
            <v/>
          </cell>
          <cell r="Q361" t="str">
            <v/>
          </cell>
          <cell r="R361" t="str">
            <v/>
          </cell>
          <cell r="S361" t="str">
            <v/>
          </cell>
        </row>
        <row r="362">
          <cell r="G362" t="str">
            <v/>
          </cell>
          <cell r="H362" t="str">
            <v/>
          </cell>
          <cell r="I362" t="str">
            <v/>
          </cell>
          <cell r="J362" t="str">
            <v/>
          </cell>
          <cell r="K362" t="str">
            <v/>
          </cell>
          <cell r="L362" t="str">
            <v/>
          </cell>
          <cell r="M362" t="str">
            <v/>
          </cell>
          <cell r="N362" t="str">
            <v/>
          </cell>
          <cell r="O362" t="str">
            <v/>
          </cell>
          <cell r="P362" t="str">
            <v/>
          </cell>
          <cell r="Q362" t="str">
            <v/>
          </cell>
          <cell r="R362" t="str">
            <v/>
          </cell>
          <cell r="S362" t="str">
            <v/>
          </cell>
        </row>
        <row r="363">
          <cell r="G363" t="str">
            <v/>
          </cell>
          <cell r="H363" t="str">
            <v/>
          </cell>
          <cell r="I363" t="str">
            <v/>
          </cell>
          <cell r="J363" t="str">
            <v/>
          </cell>
          <cell r="K363" t="str">
            <v/>
          </cell>
          <cell r="L363" t="str">
            <v/>
          </cell>
          <cell r="M363" t="str">
            <v/>
          </cell>
          <cell r="N363" t="str">
            <v/>
          </cell>
          <cell r="O363" t="str">
            <v/>
          </cell>
          <cell r="P363" t="str">
            <v/>
          </cell>
          <cell r="Q363" t="str">
            <v/>
          </cell>
          <cell r="R363" t="str">
            <v/>
          </cell>
          <cell r="S363" t="str">
            <v/>
          </cell>
        </row>
        <row r="364">
          <cell r="G364" t="str">
            <v/>
          </cell>
          <cell r="H364" t="str">
            <v/>
          </cell>
          <cell r="I364" t="str">
            <v/>
          </cell>
          <cell r="J364" t="str">
            <v/>
          </cell>
          <cell r="K364" t="str">
            <v/>
          </cell>
          <cell r="L364" t="str">
            <v/>
          </cell>
          <cell r="M364" t="str">
            <v/>
          </cell>
          <cell r="N364" t="str">
            <v/>
          </cell>
          <cell r="O364" t="str">
            <v/>
          </cell>
          <cell r="P364" t="str">
            <v/>
          </cell>
          <cell r="Q364" t="str">
            <v/>
          </cell>
          <cell r="R364" t="str">
            <v/>
          </cell>
          <cell r="S364" t="str">
            <v/>
          </cell>
        </row>
        <row r="365">
          <cell r="G365" t="str">
            <v/>
          </cell>
          <cell r="H365" t="str">
            <v/>
          </cell>
          <cell r="I365" t="str">
            <v/>
          </cell>
          <cell r="J365" t="str">
            <v/>
          </cell>
          <cell r="K365" t="str">
            <v/>
          </cell>
          <cell r="L365" t="str">
            <v/>
          </cell>
          <cell r="M365" t="str">
            <v/>
          </cell>
          <cell r="N365" t="str">
            <v/>
          </cell>
          <cell r="O365" t="str">
            <v/>
          </cell>
          <cell r="P365" t="str">
            <v/>
          </cell>
          <cell r="Q365" t="str">
            <v/>
          </cell>
          <cell r="R365" t="str">
            <v/>
          </cell>
          <cell r="S365" t="str">
            <v/>
          </cell>
        </row>
        <row r="366">
          <cell r="G366" t="str">
            <v/>
          </cell>
          <cell r="H366" t="str">
            <v/>
          </cell>
          <cell r="I366" t="str">
            <v/>
          </cell>
          <cell r="J366" t="str">
            <v/>
          </cell>
          <cell r="K366" t="str">
            <v/>
          </cell>
          <cell r="L366" t="str">
            <v/>
          </cell>
          <cell r="M366" t="str">
            <v/>
          </cell>
          <cell r="N366" t="str">
            <v/>
          </cell>
          <cell r="O366" t="str">
            <v/>
          </cell>
          <cell r="P366" t="str">
            <v/>
          </cell>
          <cell r="Q366" t="str">
            <v/>
          </cell>
          <cell r="R366" t="str">
            <v/>
          </cell>
          <cell r="S366" t="str">
            <v/>
          </cell>
        </row>
        <row r="367">
          <cell r="G367" t="str">
            <v/>
          </cell>
          <cell r="H367" t="str">
            <v/>
          </cell>
          <cell r="I367" t="str">
            <v/>
          </cell>
          <cell r="J367" t="str">
            <v/>
          </cell>
          <cell r="K367" t="str">
            <v/>
          </cell>
          <cell r="L367" t="str">
            <v/>
          </cell>
          <cell r="M367" t="str">
            <v/>
          </cell>
          <cell r="N367" t="str">
            <v/>
          </cell>
          <cell r="O367" t="str">
            <v/>
          </cell>
          <cell r="P367" t="str">
            <v/>
          </cell>
          <cell r="Q367" t="str">
            <v/>
          </cell>
          <cell r="R367" t="str">
            <v/>
          </cell>
          <cell r="S367" t="str">
            <v/>
          </cell>
        </row>
        <row r="368">
          <cell r="G368" t="str">
            <v/>
          </cell>
          <cell r="H368" t="str">
            <v/>
          </cell>
          <cell r="I368" t="str">
            <v/>
          </cell>
          <cell r="J368" t="str">
            <v/>
          </cell>
          <cell r="K368" t="str">
            <v/>
          </cell>
          <cell r="L368" t="str">
            <v/>
          </cell>
          <cell r="M368" t="str">
            <v/>
          </cell>
          <cell r="N368" t="str">
            <v/>
          </cell>
          <cell r="O368" t="str">
            <v/>
          </cell>
          <cell r="P368" t="str">
            <v/>
          </cell>
          <cell r="Q368" t="str">
            <v/>
          </cell>
          <cell r="R368" t="str">
            <v/>
          </cell>
          <cell r="S368" t="str">
            <v/>
          </cell>
        </row>
        <row r="369">
          <cell r="G369" t="str">
            <v/>
          </cell>
          <cell r="H369" t="str">
            <v/>
          </cell>
          <cell r="I369" t="str">
            <v/>
          </cell>
          <cell r="J369" t="str">
            <v/>
          </cell>
          <cell r="K369" t="str">
            <v/>
          </cell>
          <cell r="L369" t="str">
            <v/>
          </cell>
          <cell r="M369" t="str">
            <v/>
          </cell>
          <cell r="N369" t="str">
            <v/>
          </cell>
          <cell r="O369" t="str">
            <v/>
          </cell>
          <cell r="P369" t="str">
            <v/>
          </cell>
          <cell r="Q369" t="str">
            <v/>
          </cell>
          <cell r="R369" t="str">
            <v/>
          </cell>
          <cell r="S369" t="str">
            <v/>
          </cell>
        </row>
        <row r="370">
          <cell r="G370" t="str">
            <v/>
          </cell>
          <cell r="H370" t="str">
            <v/>
          </cell>
          <cell r="I370" t="str">
            <v/>
          </cell>
          <cell r="J370" t="str">
            <v/>
          </cell>
          <cell r="K370" t="str">
            <v/>
          </cell>
          <cell r="L370" t="str">
            <v/>
          </cell>
          <cell r="M370" t="str">
            <v/>
          </cell>
          <cell r="N370" t="str">
            <v/>
          </cell>
          <cell r="O370" t="str">
            <v/>
          </cell>
          <cell r="P370" t="str">
            <v/>
          </cell>
          <cell r="Q370" t="str">
            <v/>
          </cell>
          <cell r="R370" t="str">
            <v/>
          </cell>
          <cell r="S370" t="str">
            <v/>
          </cell>
        </row>
        <row r="371">
          <cell r="G371" t="str">
            <v/>
          </cell>
          <cell r="H371" t="str">
            <v/>
          </cell>
          <cell r="I371" t="str">
            <v/>
          </cell>
          <cell r="J371" t="str">
            <v/>
          </cell>
          <cell r="K371" t="str">
            <v/>
          </cell>
          <cell r="L371" t="str">
            <v/>
          </cell>
          <cell r="M371" t="str">
            <v/>
          </cell>
          <cell r="N371" t="str">
            <v/>
          </cell>
          <cell r="O371" t="str">
            <v/>
          </cell>
          <cell r="P371" t="str">
            <v/>
          </cell>
          <cell r="Q371" t="str">
            <v/>
          </cell>
          <cell r="R371" t="str">
            <v/>
          </cell>
          <cell r="S371" t="str">
            <v/>
          </cell>
        </row>
        <row r="372">
          <cell r="G372" t="str">
            <v/>
          </cell>
          <cell r="H372" t="str">
            <v/>
          </cell>
          <cell r="I372" t="str">
            <v/>
          </cell>
          <cell r="J372" t="str">
            <v/>
          </cell>
          <cell r="K372" t="str">
            <v/>
          </cell>
          <cell r="L372" t="str">
            <v/>
          </cell>
          <cell r="M372" t="str">
            <v/>
          </cell>
          <cell r="N372" t="str">
            <v/>
          </cell>
          <cell r="O372" t="str">
            <v/>
          </cell>
          <cell r="P372" t="str">
            <v/>
          </cell>
          <cell r="Q372" t="str">
            <v/>
          </cell>
          <cell r="R372" t="str">
            <v/>
          </cell>
          <cell r="S372" t="str">
            <v/>
          </cell>
        </row>
        <row r="373">
          <cell r="G373" t="str">
            <v/>
          </cell>
          <cell r="H373" t="str">
            <v/>
          </cell>
          <cell r="I373" t="str">
            <v/>
          </cell>
          <cell r="J373" t="str">
            <v/>
          </cell>
          <cell r="K373" t="str">
            <v/>
          </cell>
          <cell r="L373" t="str">
            <v/>
          </cell>
          <cell r="M373" t="str">
            <v/>
          </cell>
          <cell r="N373" t="str">
            <v/>
          </cell>
          <cell r="O373" t="str">
            <v/>
          </cell>
          <cell r="P373" t="str">
            <v/>
          </cell>
          <cell r="Q373" t="str">
            <v/>
          </cell>
          <cell r="R373" t="str">
            <v/>
          </cell>
          <cell r="S373" t="str">
            <v/>
          </cell>
        </row>
        <row r="374">
          <cell r="G374" t="str">
            <v/>
          </cell>
          <cell r="H374" t="str">
            <v/>
          </cell>
          <cell r="I374" t="str">
            <v/>
          </cell>
          <cell r="J374" t="str">
            <v/>
          </cell>
          <cell r="K374" t="str">
            <v/>
          </cell>
          <cell r="L374" t="str">
            <v/>
          </cell>
          <cell r="M374" t="str">
            <v/>
          </cell>
          <cell r="N374" t="str">
            <v/>
          </cell>
          <cell r="O374" t="str">
            <v/>
          </cell>
          <cell r="P374" t="str">
            <v/>
          </cell>
          <cell r="Q374" t="str">
            <v/>
          </cell>
          <cell r="R374" t="str">
            <v/>
          </cell>
          <cell r="S374" t="str">
            <v/>
          </cell>
        </row>
        <row r="375">
          <cell r="G375" t="str">
            <v/>
          </cell>
          <cell r="H375" t="str">
            <v/>
          </cell>
          <cell r="I375" t="str">
            <v/>
          </cell>
          <cell r="J375" t="str">
            <v/>
          </cell>
          <cell r="K375" t="str">
            <v/>
          </cell>
          <cell r="L375" t="str">
            <v/>
          </cell>
          <cell r="M375" t="str">
            <v/>
          </cell>
          <cell r="N375" t="str">
            <v/>
          </cell>
          <cell r="O375" t="str">
            <v/>
          </cell>
          <cell r="P375" t="str">
            <v/>
          </cell>
          <cell r="Q375" t="str">
            <v/>
          </cell>
          <cell r="R375" t="str">
            <v/>
          </cell>
          <cell r="S375" t="str">
            <v/>
          </cell>
        </row>
        <row r="376">
          <cell r="G376" t="str">
            <v/>
          </cell>
          <cell r="H376" t="str">
            <v/>
          </cell>
          <cell r="I376" t="str">
            <v/>
          </cell>
          <cell r="J376" t="str">
            <v/>
          </cell>
          <cell r="K376" t="str">
            <v/>
          </cell>
          <cell r="L376" t="str">
            <v/>
          </cell>
          <cell r="M376" t="str">
            <v/>
          </cell>
          <cell r="N376" t="str">
            <v/>
          </cell>
          <cell r="O376" t="str">
            <v/>
          </cell>
          <cell r="P376" t="str">
            <v/>
          </cell>
          <cell r="Q376" t="str">
            <v/>
          </cell>
          <cell r="R376" t="str">
            <v/>
          </cell>
          <cell r="S376" t="str">
            <v/>
          </cell>
        </row>
        <row r="377">
          <cell r="G377" t="str">
            <v/>
          </cell>
          <cell r="H377" t="str">
            <v/>
          </cell>
          <cell r="I377" t="str">
            <v/>
          </cell>
          <cell r="J377" t="str">
            <v/>
          </cell>
          <cell r="K377" t="str">
            <v/>
          </cell>
          <cell r="L377" t="str">
            <v/>
          </cell>
          <cell r="M377" t="str">
            <v/>
          </cell>
          <cell r="N377" t="str">
            <v/>
          </cell>
          <cell r="O377" t="str">
            <v/>
          </cell>
          <cell r="P377" t="str">
            <v/>
          </cell>
          <cell r="Q377" t="str">
            <v/>
          </cell>
          <cell r="R377" t="str">
            <v/>
          </cell>
          <cell r="S377" t="str">
            <v/>
          </cell>
        </row>
        <row r="378">
          <cell r="G378" t="str">
            <v/>
          </cell>
          <cell r="H378" t="str">
            <v/>
          </cell>
          <cell r="I378" t="str">
            <v/>
          </cell>
          <cell r="J378" t="str">
            <v/>
          </cell>
          <cell r="K378" t="str">
            <v/>
          </cell>
          <cell r="L378" t="str">
            <v/>
          </cell>
          <cell r="M378" t="str">
            <v/>
          </cell>
          <cell r="N378" t="str">
            <v/>
          </cell>
          <cell r="O378" t="str">
            <v/>
          </cell>
          <cell r="P378" t="str">
            <v/>
          </cell>
          <cell r="Q378" t="str">
            <v/>
          </cell>
          <cell r="R378" t="str">
            <v/>
          </cell>
          <cell r="S378" t="str">
            <v/>
          </cell>
        </row>
        <row r="379">
          <cell r="G379" t="str">
            <v/>
          </cell>
          <cell r="H379" t="str">
            <v/>
          </cell>
          <cell r="I379" t="str">
            <v/>
          </cell>
          <cell r="J379" t="str">
            <v/>
          </cell>
          <cell r="K379" t="str">
            <v/>
          </cell>
          <cell r="L379" t="str">
            <v/>
          </cell>
          <cell r="M379" t="str">
            <v/>
          </cell>
          <cell r="N379" t="str">
            <v/>
          </cell>
          <cell r="O379" t="str">
            <v/>
          </cell>
          <cell r="P379" t="str">
            <v/>
          </cell>
          <cell r="Q379" t="str">
            <v/>
          </cell>
          <cell r="R379" t="str">
            <v/>
          </cell>
          <cell r="S379" t="str">
            <v/>
          </cell>
        </row>
        <row r="380">
          <cell r="G380" t="str">
            <v/>
          </cell>
          <cell r="H380" t="str">
            <v/>
          </cell>
          <cell r="I380" t="str">
            <v/>
          </cell>
          <cell r="J380" t="str">
            <v/>
          </cell>
          <cell r="K380" t="str">
            <v/>
          </cell>
          <cell r="L380" t="str">
            <v/>
          </cell>
          <cell r="M380" t="str">
            <v/>
          </cell>
          <cell r="N380" t="str">
            <v/>
          </cell>
          <cell r="O380" t="str">
            <v/>
          </cell>
          <cell r="P380" t="str">
            <v/>
          </cell>
          <cell r="Q380" t="str">
            <v/>
          </cell>
          <cell r="R380" t="str">
            <v/>
          </cell>
          <cell r="S380" t="str">
            <v/>
          </cell>
        </row>
        <row r="381">
          <cell r="G381" t="str">
            <v/>
          </cell>
          <cell r="H381" t="str">
            <v/>
          </cell>
          <cell r="I381" t="str">
            <v/>
          </cell>
          <cell r="J381" t="str">
            <v/>
          </cell>
          <cell r="K381" t="str">
            <v/>
          </cell>
          <cell r="L381" t="str">
            <v/>
          </cell>
          <cell r="M381" t="str">
            <v/>
          </cell>
          <cell r="N381" t="str">
            <v/>
          </cell>
          <cell r="O381" t="str">
            <v/>
          </cell>
          <cell r="P381" t="str">
            <v/>
          </cell>
          <cell r="Q381" t="str">
            <v/>
          </cell>
          <cell r="R381" t="str">
            <v/>
          </cell>
          <cell r="S381" t="str">
            <v/>
          </cell>
        </row>
        <row r="382">
          <cell r="G382" t="str">
            <v/>
          </cell>
          <cell r="H382" t="str">
            <v/>
          </cell>
          <cell r="I382" t="str">
            <v/>
          </cell>
          <cell r="J382" t="str">
            <v/>
          </cell>
          <cell r="K382" t="str">
            <v/>
          </cell>
          <cell r="L382" t="str">
            <v/>
          </cell>
          <cell r="M382" t="str">
            <v/>
          </cell>
          <cell r="N382" t="str">
            <v/>
          </cell>
          <cell r="O382" t="str">
            <v/>
          </cell>
          <cell r="P382" t="str">
            <v/>
          </cell>
          <cell r="Q382" t="str">
            <v/>
          </cell>
          <cell r="R382" t="str">
            <v/>
          </cell>
          <cell r="S382" t="str">
            <v/>
          </cell>
        </row>
        <row r="383">
          <cell r="G383" t="str">
            <v/>
          </cell>
          <cell r="H383" t="str">
            <v/>
          </cell>
          <cell r="I383" t="str">
            <v/>
          </cell>
          <cell r="J383" t="str">
            <v/>
          </cell>
          <cell r="K383" t="str">
            <v/>
          </cell>
          <cell r="L383" t="str">
            <v/>
          </cell>
          <cell r="M383" t="str">
            <v/>
          </cell>
          <cell r="N383" t="str">
            <v/>
          </cell>
          <cell r="O383" t="str">
            <v/>
          </cell>
          <cell r="P383" t="str">
            <v/>
          </cell>
          <cell r="Q383" t="str">
            <v/>
          </cell>
          <cell r="R383" t="str">
            <v/>
          </cell>
          <cell r="S383" t="str">
            <v/>
          </cell>
        </row>
        <row r="384">
          <cell r="G384" t="str">
            <v/>
          </cell>
          <cell r="H384" t="str">
            <v/>
          </cell>
          <cell r="I384" t="str">
            <v/>
          </cell>
          <cell r="J384" t="str">
            <v/>
          </cell>
          <cell r="K384" t="str">
            <v/>
          </cell>
          <cell r="L384" t="str">
            <v/>
          </cell>
          <cell r="M384" t="str">
            <v/>
          </cell>
          <cell r="N384" t="str">
            <v/>
          </cell>
          <cell r="O384" t="str">
            <v/>
          </cell>
          <cell r="P384" t="str">
            <v/>
          </cell>
          <cell r="Q384" t="str">
            <v/>
          </cell>
          <cell r="R384" t="str">
            <v/>
          </cell>
          <cell r="S384" t="str">
            <v/>
          </cell>
        </row>
        <row r="385">
          <cell r="G385" t="str">
            <v/>
          </cell>
          <cell r="H385" t="str">
            <v/>
          </cell>
          <cell r="I385" t="str">
            <v/>
          </cell>
          <cell r="J385" t="str">
            <v/>
          </cell>
          <cell r="K385" t="str">
            <v/>
          </cell>
          <cell r="L385" t="str">
            <v/>
          </cell>
          <cell r="M385" t="str">
            <v/>
          </cell>
          <cell r="N385" t="str">
            <v/>
          </cell>
          <cell r="O385" t="str">
            <v/>
          </cell>
          <cell r="P385" t="str">
            <v/>
          </cell>
          <cell r="Q385" t="str">
            <v/>
          </cell>
          <cell r="R385" t="str">
            <v/>
          </cell>
          <cell r="S385" t="str">
            <v/>
          </cell>
        </row>
        <row r="386">
          <cell r="G386" t="str">
            <v/>
          </cell>
          <cell r="H386" t="str">
            <v/>
          </cell>
          <cell r="I386" t="str">
            <v/>
          </cell>
          <cell r="J386" t="str">
            <v/>
          </cell>
          <cell r="K386" t="str">
            <v/>
          </cell>
          <cell r="L386" t="str">
            <v/>
          </cell>
          <cell r="M386" t="str">
            <v/>
          </cell>
          <cell r="N386" t="str">
            <v/>
          </cell>
          <cell r="O386" t="str">
            <v/>
          </cell>
          <cell r="P386" t="str">
            <v/>
          </cell>
          <cell r="Q386" t="str">
            <v/>
          </cell>
          <cell r="R386" t="str">
            <v/>
          </cell>
          <cell r="S386" t="str">
            <v/>
          </cell>
        </row>
        <row r="387">
          <cell r="G387" t="str">
            <v/>
          </cell>
          <cell r="H387" t="str">
            <v/>
          </cell>
          <cell r="I387" t="str">
            <v/>
          </cell>
          <cell r="J387" t="str">
            <v/>
          </cell>
          <cell r="K387" t="str">
            <v/>
          </cell>
          <cell r="L387" t="str">
            <v/>
          </cell>
          <cell r="M387" t="str">
            <v/>
          </cell>
          <cell r="N387" t="str">
            <v/>
          </cell>
          <cell r="O387" t="str">
            <v/>
          </cell>
          <cell r="P387" t="str">
            <v/>
          </cell>
          <cell r="Q387" t="str">
            <v/>
          </cell>
          <cell r="R387" t="str">
            <v/>
          </cell>
          <cell r="S387" t="str">
            <v/>
          </cell>
        </row>
        <row r="388">
          <cell r="G388" t="str">
            <v/>
          </cell>
          <cell r="H388" t="str">
            <v/>
          </cell>
          <cell r="I388" t="str">
            <v/>
          </cell>
          <cell r="J388" t="str">
            <v/>
          </cell>
          <cell r="K388" t="str">
            <v/>
          </cell>
          <cell r="L388" t="str">
            <v/>
          </cell>
          <cell r="M388" t="str">
            <v/>
          </cell>
          <cell r="N388" t="str">
            <v/>
          </cell>
          <cell r="O388" t="str">
            <v/>
          </cell>
          <cell r="P388" t="str">
            <v/>
          </cell>
          <cell r="Q388" t="str">
            <v/>
          </cell>
          <cell r="R388" t="str">
            <v/>
          </cell>
          <cell r="S388" t="str">
            <v/>
          </cell>
        </row>
        <row r="389">
          <cell r="G389" t="str">
            <v/>
          </cell>
          <cell r="H389" t="str">
            <v/>
          </cell>
          <cell r="I389" t="str">
            <v/>
          </cell>
          <cell r="J389" t="str">
            <v/>
          </cell>
          <cell r="K389" t="str">
            <v/>
          </cell>
          <cell r="L389" t="str">
            <v/>
          </cell>
          <cell r="M389" t="str">
            <v/>
          </cell>
          <cell r="N389" t="str">
            <v/>
          </cell>
          <cell r="O389" t="str">
            <v/>
          </cell>
          <cell r="P389" t="str">
            <v/>
          </cell>
          <cell r="Q389" t="str">
            <v/>
          </cell>
          <cell r="R389" t="str">
            <v/>
          </cell>
          <cell r="S389" t="str">
            <v/>
          </cell>
        </row>
        <row r="390">
          <cell r="G390" t="str">
            <v/>
          </cell>
          <cell r="H390" t="str">
            <v/>
          </cell>
          <cell r="I390" t="str">
            <v/>
          </cell>
          <cell r="J390" t="str">
            <v/>
          </cell>
          <cell r="K390" t="str">
            <v/>
          </cell>
          <cell r="L390" t="str">
            <v/>
          </cell>
          <cell r="M390" t="str">
            <v/>
          </cell>
          <cell r="N390" t="str">
            <v/>
          </cell>
          <cell r="O390" t="str">
            <v/>
          </cell>
          <cell r="P390" t="str">
            <v/>
          </cell>
          <cell r="Q390" t="str">
            <v/>
          </cell>
          <cell r="R390" t="str">
            <v/>
          </cell>
          <cell r="S390" t="str">
            <v/>
          </cell>
        </row>
        <row r="391">
          <cell r="G391" t="str">
            <v/>
          </cell>
          <cell r="H391" t="str">
            <v/>
          </cell>
          <cell r="I391" t="str">
            <v/>
          </cell>
          <cell r="J391" t="str">
            <v/>
          </cell>
          <cell r="K391" t="str">
            <v/>
          </cell>
          <cell r="L391" t="str">
            <v/>
          </cell>
          <cell r="M391" t="str">
            <v/>
          </cell>
          <cell r="N391" t="str">
            <v/>
          </cell>
          <cell r="O391" t="str">
            <v/>
          </cell>
          <cell r="P391" t="str">
            <v/>
          </cell>
          <cell r="Q391" t="str">
            <v/>
          </cell>
          <cell r="R391" t="str">
            <v/>
          </cell>
          <cell r="S391" t="str">
            <v/>
          </cell>
        </row>
        <row r="392">
          <cell r="G392" t="str">
            <v/>
          </cell>
          <cell r="H392" t="str">
            <v/>
          </cell>
          <cell r="I392" t="str">
            <v/>
          </cell>
          <cell r="J392" t="str">
            <v/>
          </cell>
          <cell r="K392" t="str">
            <v/>
          </cell>
          <cell r="L392" t="str">
            <v/>
          </cell>
          <cell r="M392" t="str">
            <v/>
          </cell>
          <cell r="N392" t="str">
            <v/>
          </cell>
          <cell r="O392" t="str">
            <v/>
          </cell>
          <cell r="P392" t="str">
            <v/>
          </cell>
          <cell r="Q392" t="str">
            <v/>
          </cell>
          <cell r="R392" t="str">
            <v/>
          </cell>
          <cell r="S392" t="str">
            <v/>
          </cell>
        </row>
        <row r="393">
          <cell r="G393" t="str">
            <v/>
          </cell>
          <cell r="H393" t="str">
            <v/>
          </cell>
          <cell r="I393" t="str">
            <v/>
          </cell>
          <cell r="J393" t="str">
            <v/>
          </cell>
          <cell r="K393" t="str">
            <v/>
          </cell>
          <cell r="L393" t="str">
            <v/>
          </cell>
          <cell r="M393" t="str">
            <v/>
          </cell>
          <cell r="N393" t="str">
            <v/>
          </cell>
          <cell r="O393" t="str">
            <v/>
          </cell>
          <cell r="P393" t="str">
            <v/>
          </cell>
          <cell r="Q393" t="str">
            <v/>
          </cell>
          <cell r="R393" t="str">
            <v/>
          </cell>
          <cell r="S393" t="str">
            <v/>
          </cell>
        </row>
        <row r="394">
          <cell r="G394" t="str">
            <v/>
          </cell>
          <cell r="H394" t="str">
            <v/>
          </cell>
          <cell r="I394" t="str">
            <v/>
          </cell>
          <cell r="J394" t="str">
            <v/>
          </cell>
          <cell r="K394" t="str">
            <v/>
          </cell>
          <cell r="L394" t="str">
            <v/>
          </cell>
          <cell r="M394" t="str">
            <v/>
          </cell>
          <cell r="N394" t="str">
            <v/>
          </cell>
          <cell r="O394" t="str">
            <v/>
          </cell>
          <cell r="P394" t="str">
            <v/>
          </cell>
          <cell r="Q394" t="str">
            <v/>
          </cell>
          <cell r="R394" t="str">
            <v/>
          </cell>
          <cell r="S394" t="str">
            <v/>
          </cell>
        </row>
        <row r="395">
          <cell r="G395" t="str">
            <v/>
          </cell>
          <cell r="H395" t="str">
            <v/>
          </cell>
          <cell r="I395" t="str">
            <v/>
          </cell>
          <cell r="J395" t="str">
            <v/>
          </cell>
          <cell r="K395" t="str">
            <v/>
          </cell>
          <cell r="L395" t="str">
            <v/>
          </cell>
          <cell r="M395" t="str">
            <v/>
          </cell>
          <cell r="N395" t="str">
            <v/>
          </cell>
          <cell r="O395" t="str">
            <v/>
          </cell>
          <cell r="P395" t="str">
            <v/>
          </cell>
          <cell r="Q395" t="str">
            <v/>
          </cell>
          <cell r="R395" t="str">
            <v/>
          </cell>
          <cell r="S395" t="str">
            <v/>
          </cell>
        </row>
        <row r="396">
          <cell r="G396" t="str">
            <v/>
          </cell>
          <cell r="H396" t="str">
            <v/>
          </cell>
          <cell r="I396" t="str">
            <v/>
          </cell>
          <cell r="J396" t="str">
            <v/>
          </cell>
          <cell r="K396" t="str">
            <v/>
          </cell>
          <cell r="L396" t="str">
            <v/>
          </cell>
          <cell r="M396" t="str">
            <v/>
          </cell>
          <cell r="N396" t="str">
            <v/>
          </cell>
          <cell r="O396" t="str">
            <v/>
          </cell>
          <cell r="P396" t="str">
            <v/>
          </cell>
          <cell r="Q396" t="str">
            <v/>
          </cell>
          <cell r="R396" t="str">
            <v/>
          </cell>
          <cell r="S396" t="str">
            <v/>
          </cell>
        </row>
        <row r="397">
          <cell r="G397" t="str">
            <v/>
          </cell>
          <cell r="H397" t="str">
            <v/>
          </cell>
          <cell r="I397" t="str">
            <v/>
          </cell>
          <cell r="J397" t="str">
            <v/>
          </cell>
          <cell r="K397" t="str">
            <v/>
          </cell>
          <cell r="L397" t="str">
            <v/>
          </cell>
          <cell r="M397" t="str">
            <v/>
          </cell>
          <cell r="N397" t="str">
            <v/>
          </cell>
          <cell r="O397" t="str">
            <v/>
          </cell>
          <cell r="P397" t="str">
            <v/>
          </cell>
          <cell r="Q397" t="str">
            <v/>
          </cell>
          <cell r="R397" t="str">
            <v/>
          </cell>
          <cell r="S397" t="str">
            <v/>
          </cell>
        </row>
        <row r="398">
          <cell r="G398" t="str">
            <v/>
          </cell>
          <cell r="H398" t="str">
            <v/>
          </cell>
          <cell r="I398" t="str">
            <v/>
          </cell>
          <cell r="J398" t="str">
            <v/>
          </cell>
          <cell r="K398" t="str">
            <v/>
          </cell>
          <cell r="L398" t="str">
            <v/>
          </cell>
          <cell r="M398" t="str">
            <v/>
          </cell>
          <cell r="N398" t="str">
            <v/>
          </cell>
          <cell r="O398" t="str">
            <v/>
          </cell>
          <cell r="P398" t="str">
            <v/>
          </cell>
          <cell r="Q398" t="str">
            <v/>
          </cell>
          <cell r="R398" t="str">
            <v/>
          </cell>
          <cell r="S398" t="str">
            <v/>
          </cell>
        </row>
        <row r="399">
          <cell r="G399" t="str">
            <v/>
          </cell>
          <cell r="H399" t="str">
            <v/>
          </cell>
          <cell r="I399" t="str">
            <v/>
          </cell>
          <cell r="J399" t="str">
            <v/>
          </cell>
          <cell r="K399" t="str">
            <v/>
          </cell>
          <cell r="L399" t="str">
            <v/>
          </cell>
          <cell r="M399" t="str">
            <v/>
          </cell>
          <cell r="N399" t="str">
            <v/>
          </cell>
          <cell r="O399" t="str">
            <v/>
          </cell>
          <cell r="P399" t="str">
            <v/>
          </cell>
          <cell r="Q399" t="str">
            <v/>
          </cell>
          <cell r="R399" t="str">
            <v/>
          </cell>
          <cell r="S399" t="str">
            <v/>
          </cell>
        </row>
        <row r="400">
          <cell r="G400" t="str">
            <v/>
          </cell>
          <cell r="H400" t="str">
            <v/>
          </cell>
          <cell r="I400" t="str">
            <v/>
          </cell>
          <cell r="J400" t="str">
            <v/>
          </cell>
          <cell r="K400" t="str">
            <v/>
          </cell>
          <cell r="L400" t="str">
            <v/>
          </cell>
          <cell r="M400" t="str">
            <v/>
          </cell>
          <cell r="N400" t="str">
            <v/>
          </cell>
          <cell r="O400" t="str">
            <v/>
          </cell>
          <cell r="P400" t="str">
            <v/>
          </cell>
          <cell r="Q400" t="str">
            <v/>
          </cell>
          <cell r="R400" t="str">
            <v/>
          </cell>
          <cell r="S400" t="str">
            <v/>
          </cell>
        </row>
        <row r="401">
          <cell r="G401" t="str">
            <v/>
          </cell>
          <cell r="H401" t="str">
            <v/>
          </cell>
          <cell r="I401" t="str">
            <v/>
          </cell>
          <cell r="J401" t="str">
            <v/>
          </cell>
          <cell r="K401" t="str">
            <v/>
          </cell>
          <cell r="L401" t="str">
            <v/>
          </cell>
          <cell r="M401" t="str">
            <v/>
          </cell>
          <cell r="N401" t="str">
            <v/>
          </cell>
          <cell r="O401" t="str">
            <v/>
          </cell>
          <cell r="P401" t="str">
            <v/>
          </cell>
          <cell r="Q401" t="str">
            <v/>
          </cell>
          <cell r="R401" t="str">
            <v/>
          </cell>
          <cell r="S401" t="str">
            <v/>
          </cell>
        </row>
        <row r="402">
          <cell r="G402" t="str">
            <v/>
          </cell>
          <cell r="H402" t="str">
            <v/>
          </cell>
          <cell r="I402" t="str">
            <v/>
          </cell>
          <cell r="J402" t="str">
            <v/>
          </cell>
          <cell r="K402" t="str">
            <v/>
          </cell>
          <cell r="L402" t="str">
            <v/>
          </cell>
          <cell r="M402" t="str">
            <v/>
          </cell>
          <cell r="N402" t="str">
            <v/>
          </cell>
          <cell r="O402" t="str">
            <v/>
          </cell>
          <cell r="P402" t="str">
            <v/>
          </cell>
          <cell r="Q402" t="str">
            <v/>
          </cell>
          <cell r="R402" t="str">
            <v/>
          </cell>
          <cell r="S402" t="str">
            <v/>
          </cell>
        </row>
        <row r="403">
          <cell r="G403" t="str">
            <v/>
          </cell>
          <cell r="H403" t="str">
            <v/>
          </cell>
          <cell r="I403" t="str">
            <v/>
          </cell>
          <cell r="J403" t="str">
            <v/>
          </cell>
          <cell r="K403" t="str">
            <v/>
          </cell>
          <cell r="L403" t="str">
            <v/>
          </cell>
          <cell r="M403" t="str">
            <v/>
          </cell>
          <cell r="N403" t="str">
            <v/>
          </cell>
          <cell r="O403" t="str">
            <v/>
          </cell>
          <cell r="P403" t="str">
            <v/>
          </cell>
          <cell r="Q403" t="str">
            <v/>
          </cell>
          <cell r="R403" t="str">
            <v/>
          </cell>
          <cell r="S403" t="str">
            <v/>
          </cell>
        </row>
        <row r="404">
          <cell r="G404" t="str">
            <v/>
          </cell>
          <cell r="H404" t="str">
            <v/>
          </cell>
          <cell r="I404" t="str">
            <v/>
          </cell>
          <cell r="J404" t="str">
            <v/>
          </cell>
          <cell r="K404" t="str">
            <v/>
          </cell>
          <cell r="L404" t="str">
            <v/>
          </cell>
          <cell r="M404" t="str">
            <v/>
          </cell>
          <cell r="N404" t="str">
            <v/>
          </cell>
          <cell r="O404" t="str">
            <v/>
          </cell>
          <cell r="P404" t="str">
            <v/>
          </cell>
          <cell r="Q404" t="str">
            <v/>
          </cell>
          <cell r="R404" t="str">
            <v/>
          </cell>
          <cell r="S404" t="str">
            <v/>
          </cell>
        </row>
        <row r="405">
          <cell r="G405" t="str">
            <v/>
          </cell>
          <cell r="H405" t="str">
            <v/>
          </cell>
          <cell r="I405" t="str">
            <v/>
          </cell>
          <cell r="J405" t="str">
            <v/>
          </cell>
          <cell r="K405" t="str">
            <v/>
          </cell>
          <cell r="L405" t="str">
            <v/>
          </cell>
          <cell r="M405" t="str">
            <v/>
          </cell>
          <cell r="N405" t="str">
            <v/>
          </cell>
          <cell r="O405" t="str">
            <v/>
          </cell>
          <cell r="P405" t="str">
            <v/>
          </cell>
          <cell r="Q405" t="str">
            <v/>
          </cell>
          <cell r="R405" t="str">
            <v/>
          </cell>
          <cell r="S405" t="str">
            <v/>
          </cell>
        </row>
        <row r="406">
          <cell r="G406" t="str">
            <v/>
          </cell>
          <cell r="H406" t="str">
            <v/>
          </cell>
          <cell r="I406" t="str">
            <v/>
          </cell>
          <cell r="J406" t="str">
            <v/>
          </cell>
          <cell r="K406" t="str">
            <v/>
          </cell>
          <cell r="L406" t="str">
            <v/>
          </cell>
          <cell r="M406" t="str">
            <v/>
          </cell>
          <cell r="N406" t="str">
            <v/>
          </cell>
          <cell r="O406" t="str">
            <v/>
          </cell>
          <cell r="P406" t="str">
            <v/>
          </cell>
          <cell r="Q406" t="str">
            <v/>
          </cell>
          <cell r="R406" t="str">
            <v/>
          </cell>
          <cell r="S406" t="str">
            <v/>
          </cell>
        </row>
        <row r="407">
          <cell r="G407" t="str">
            <v/>
          </cell>
          <cell r="H407" t="str">
            <v/>
          </cell>
          <cell r="I407" t="str">
            <v/>
          </cell>
          <cell r="J407" t="str">
            <v/>
          </cell>
          <cell r="K407" t="str">
            <v/>
          </cell>
          <cell r="L407" t="str">
            <v/>
          </cell>
          <cell r="M407" t="str">
            <v/>
          </cell>
          <cell r="N407" t="str">
            <v/>
          </cell>
          <cell r="O407" t="str">
            <v/>
          </cell>
          <cell r="P407" t="str">
            <v/>
          </cell>
          <cell r="Q407" t="str">
            <v/>
          </cell>
          <cell r="R407" t="str">
            <v/>
          </cell>
          <cell r="S407" t="str">
            <v/>
          </cell>
        </row>
        <row r="408">
          <cell r="G408" t="str">
            <v/>
          </cell>
          <cell r="H408" t="str">
            <v/>
          </cell>
          <cell r="I408" t="str">
            <v/>
          </cell>
          <cell r="J408" t="str">
            <v/>
          </cell>
          <cell r="K408" t="str">
            <v/>
          </cell>
          <cell r="L408" t="str">
            <v/>
          </cell>
          <cell r="M408" t="str">
            <v/>
          </cell>
          <cell r="N408" t="str">
            <v/>
          </cell>
          <cell r="O408" t="str">
            <v/>
          </cell>
          <cell r="P408" t="str">
            <v/>
          </cell>
          <cell r="Q408" t="str">
            <v/>
          </cell>
          <cell r="R408" t="str">
            <v/>
          </cell>
          <cell r="S408" t="str">
            <v/>
          </cell>
        </row>
        <row r="409">
          <cell r="G409" t="str">
            <v/>
          </cell>
          <cell r="H409" t="str">
            <v/>
          </cell>
          <cell r="I409" t="str">
            <v/>
          </cell>
          <cell r="J409" t="str">
            <v/>
          </cell>
          <cell r="K409" t="str">
            <v/>
          </cell>
          <cell r="L409" t="str">
            <v/>
          </cell>
          <cell r="M409" t="str">
            <v/>
          </cell>
          <cell r="N409" t="str">
            <v/>
          </cell>
          <cell r="O409" t="str">
            <v/>
          </cell>
          <cell r="P409" t="str">
            <v/>
          </cell>
          <cell r="Q409" t="str">
            <v/>
          </cell>
          <cell r="R409" t="str">
            <v/>
          </cell>
          <cell r="S409" t="str">
            <v/>
          </cell>
        </row>
        <row r="410">
          <cell r="G410" t="str">
            <v/>
          </cell>
          <cell r="H410" t="str">
            <v/>
          </cell>
          <cell r="I410" t="str">
            <v/>
          </cell>
          <cell r="J410" t="str">
            <v/>
          </cell>
          <cell r="K410" t="str">
            <v/>
          </cell>
          <cell r="L410" t="str">
            <v/>
          </cell>
          <cell r="M410" t="str">
            <v/>
          </cell>
          <cell r="N410" t="str">
            <v/>
          </cell>
          <cell r="O410" t="str">
            <v/>
          </cell>
          <cell r="P410" t="str">
            <v/>
          </cell>
          <cell r="Q410" t="str">
            <v/>
          </cell>
          <cell r="R410" t="str">
            <v/>
          </cell>
          <cell r="S410" t="str">
            <v/>
          </cell>
        </row>
        <row r="411">
          <cell r="G411" t="str">
            <v/>
          </cell>
          <cell r="H411" t="str">
            <v/>
          </cell>
          <cell r="I411" t="str">
            <v/>
          </cell>
          <cell r="J411" t="str">
            <v/>
          </cell>
          <cell r="K411" t="str">
            <v/>
          </cell>
          <cell r="L411" t="str">
            <v/>
          </cell>
          <cell r="M411" t="str">
            <v/>
          </cell>
          <cell r="N411" t="str">
            <v/>
          </cell>
          <cell r="O411" t="str">
            <v/>
          </cell>
          <cell r="P411" t="str">
            <v/>
          </cell>
          <cell r="Q411" t="str">
            <v/>
          </cell>
          <cell r="R411" t="str">
            <v/>
          </cell>
          <cell r="S411" t="str">
            <v/>
          </cell>
        </row>
        <row r="412">
          <cell r="G412" t="str">
            <v/>
          </cell>
          <cell r="H412" t="str">
            <v/>
          </cell>
          <cell r="I412" t="str">
            <v/>
          </cell>
          <cell r="J412" t="str">
            <v/>
          </cell>
          <cell r="K412" t="str">
            <v/>
          </cell>
          <cell r="L412" t="str">
            <v/>
          </cell>
          <cell r="M412" t="str">
            <v/>
          </cell>
          <cell r="N412" t="str">
            <v/>
          </cell>
          <cell r="O412" t="str">
            <v/>
          </cell>
          <cell r="P412" t="str">
            <v/>
          </cell>
          <cell r="Q412" t="str">
            <v/>
          </cell>
          <cell r="R412" t="str">
            <v/>
          </cell>
          <cell r="S412" t="str">
            <v/>
          </cell>
        </row>
        <row r="413">
          <cell r="G413" t="str">
            <v/>
          </cell>
          <cell r="H413" t="str">
            <v/>
          </cell>
          <cell r="I413" t="str">
            <v/>
          </cell>
          <cell r="J413" t="str">
            <v/>
          </cell>
          <cell r="K413" t="str">
            <v/>
          </cell>
          <cell r="L413" t="str">
            <v/>
          </cell>
          <cell r="M413" t="str">
            <v/>
          </cell>
          <cell r="N413" t="str">
            <v/>
          </cell>
          <cell r="O413" t="str">
            <v/>
          </cell>
          <cell r="P413" t="str">
            <v/>
          </cell>
          <cell r="Q413" t="str">
            <v/>
          </cell>
          <cell r="R413" t="str">
            <v/>
          </cell>
          <cell r="S413" t="str">
            <v/>
          </cell>
        </row>
        <row r="414">
          <cell r="G414" t="str">
            <v/>
          </cell>
          <cell r="H414" t="str">
            <v/>
          </cell>
          <cell r="I414" t="str">
            <v/>
          </cell>
          <cell r="J414" t="str">
            <v/>
          </cell>
          <cell r="K414" t="str">
            <v/>
          </cell>
          <cell r="L414" t="str">
            <v/>
          </cell>
          <cell r="M414" t="str">
            <v/>
          </cell>
          <cell r="N414" t="str">
            <v/>
          </cell>
          <cell r="O414" t="str">
            <v/>
          </cell>
          <cell r="P414" t="str">
            <v/>
          </cell>
          <cell r="Q414" t="str">
            <v/>
          </cell>
          <cell r="R414" t="str">
            <v/>
          </cell>
          <cell r="S414" t="str">
            <v/>
          </cell>
        </row>
        <row r="415">
          <cell r="G415" t="str">
            <v/>
          </cell>
          <cell r="H415" t="str">
            <v/>
          </cell>
          <cell r="I415" t="str">
            <v/>
          </cell>
          <cell r="J415" t="str">
            <v/>
          </cell>
          <cell r="K415" t="str">
            <v/>
          </cell>
          <cell r="L415" t="str">
            <v/>
          </cell>
          <cell r="M415" t="str">
            <v/>
          </cell>
          <cell r="N415" t="str">
            <v/>
          </cell>
          <cell r="O415" t="str">
            <v/>
          </cell>
          <cell r="P415" t="str">
            <v/>
          </cell>
          <cell r="Q415" t="str">
            <v/>
          </cell>
          <cell r="R415" t="str">
            <v/>
          </cell>
          <cell r="S415" t="str">
            <v/>
          </cell>
        </row>
        <row r="416">
          <cell r="G416" t="str">
            <v/>
          </cell>
          <cell r="H416" t="str">
            <v/>
          </cell>
          <cell r="I416" t="str">
            <v/>
          </cell>
          <cell r="J416" t="str">
            <v/>
          </cell>
          <cell r="K416" t="str">
            <v/>
          </cell>
          <cell r="L416" t="str">
            <v/>
          </cell>
          <cell r="M416" t="str">
            <v/>
          </cell>
          <cell r="N416" t="str">
            <v/>
          </cell>
          <cell r="O416" t="str">
            <v/>
          </cell>
          <cell r="P416" t="str">
            <v/>
          </cell>
          <cell r="Q416" t="str">
            <v/>
          </cell>
          <cell r="R416" t="str">
            <v/>
          </cell>
          <cell r="S416" t="str">
            <v/>
          </cell>
        </row>
        <row r="417">
          <cell r="G417" t="str">
            <v/>
          </cell>
          <cell r="H417" t="str">
            <v/>
          </cell>
          <cell r="I417" t="str">
            <v/>
          </cell>
          <cell r="J417" t="str">
            <v/>
          </cell>
          <cell r="K417" t="str">
            <v/>
          </cell>
          <cell r="L417" t="str">
            <v/>
          </cell>
          <cell r="M417" t="str">
            <v/>
          </cell>
          <cell r="N417" t="str">
            <v/>
          </cell>
          <cell r="O417" t="str">
            <v/>
          </cell>
          <cell r="P417" t="str">
            <v/>
          </cell>
          <cell r="Q417" t="str">
            <v/>
          </cell>
          <cell r="R417" t="str">
            <v/>
          </cell>
          <cell r="S417" t="str">
            <v/>
          </cell>
        </row>
        <row r="418">
          <cell r="G418" t="str">
            <v/>
          </cell>
          <cell r="H418" t="str">
            <v/>
          </cell>
          <cell r="I418" t="str">
            <v/>
          </cell>
          <cell r="J418" t="str">
            <v/>
          </cell>
          <cell r="K418" t="str">
            <v/>
          </cell>
          <cell r="L418" t="str">
            <v/>
          </cell>
          <cell r="M418" t="str">
            <v/>
          </cell>
          <cell r="N418" t="str">
            <v/>
          </cell>
          <cell r="O418" t="str">
            <v/>
          </cell>
          <cell r="P418" t="str">
            <v/>
          </cell>
          <cell r="Q418" t="str">
            <v/>
          </cell>
          <cell r="R418" t="str">
            <v/>
          </cell>
          <cell r="S418" t="str">
            <v/>
          </cell>
        </row>
        <row r="419">
          <cell r="G419" t="str">
            <v/>
          </cell>
          <cell r="H419" t="str">
            <v/>
          </cell>
          <cell r="I419" t="str">
            <v/>
          </cell>
          <cell r="J419" t="str">
            <v/>
          </cell>
          <cell r="K419" t="str">
            <v/>
          </cell>
          <cell r="L419" t="str">
            <v/>
          </cell>
          <cell r="M419" t="str">
            <v/>
          </cell>
          <cell r="N419" t="str">
            <v/>
          </cell>
          <cell r="O419" t="str">
            <v/>
          </cell>
          <cell r="P419" t="str">
            <v/>
          </cell>
          <cell r="Q419" t="str">
            <v/>
          </cell>
          <cell r="R419" t="str">
            <v/>
          </cell>
          <cell r="S419" t="str">
            <v/>
          </cell>
        </row>
        <row r="420">
          <cell r="G420" t="str">
            <v/>
          </cell>
          <cell r="H420" t="str">
            <v/>
          </cell>
          <cell r="I420" t="str">
            <v/>
          </cell>
          <cell r="J420" t="str">
            <v/>
          </cell>
          <cell r="K420" t="str">
            <v/>
          </cell>
          <cell r="L420" t="str">
            <v/>
          </cell>
          <cell r="M420" t="str">
            <v/>
          </cell>
          <cell r="N420" t="str">
            <v/>
          </cell>
          <cell r="O420" t="str">
            <v/>
          </cell>
          <cell r="P420" t="str">
            <v/>
          </cell>
          <cell r="Q420" t="str">
            <v/>
          </cell>
          <cell r="R420" t="str">
            <v/>
          </cell>
          <cell r="S420" t="str">
            <v/>
          </cell>
        </row>
        <row r="421">
          <cell r="G421" t="str">
            <v/>
          </cell>
          <cell r="H421" t="str">
            <v/>
          </cell>
          <cell r="I421" t="str">
            <v/>
          </cell>
          <cell r="J421" t="str">
            <v/>
          </cell>
          <cell r="K421" t="str">
            <v/>
          </cell>
          <cell r="L421" t="str">
            <v/>
          </cell>
          <cell r="M421" t="str">
            <v/>
          </cell>
          <cell r="N421" t="str">
            <v/>
          </cell>
          <cell r="O421" t="str">
            <v/>
          </cell>
          <cell r="P421" t="str">
            <v/>
          </cell>
          <cell r="Q421" t="str">
            <v/>
          </cell>
          <cell r="R421" t="str">
            <v/>
          </cell>
          <cell r="S421" t="str">
            <v/>
          </cell>
        </row>
        <row r="422">
          <cell r="G422" t="str">
            <v/>
          </cell>
          <cell r="H422" t="str">
            <v/>
          </cell>
          <cell r="I422" t="str">
            <v/>
          </cell>
          <cell r="J422" t="str">
            <v/>
          </cell>
          <cell r="K422" t="str">
            <v/>
          </cell>
          <cell r="L422" t="str">
            <v/>
          </cell>
          <cell r="M422" t="str">
            <v/>
          </cell>
          <cell r="N422" t="str">
            <v/>
          </cell>
          <cell r="O422" t="str">
            <v/>
          </cell>
          <cell r="P422" t="str">
            <v/>
          </cell>
          <cell r="Q422" t="str">
            <v/>
          </cell>
          <cell r="R422" t="str">
            <v/>
          </cell>
          <cell r="S422" t="str">
            <v/>
          </cell>
        </row>
        <row r="423">
          <cell r="G423" t="str">
            <v/>
          </cell>
          <cell r="H423" t="str">
            <v/>
          </cell>
          <cell r="I423" t="str">
            <v/>
          </cell>
          <cell r="J423" t="str">
            <v/>
          </cell>
          <cell r="K423" t="str">
            <v/>
          </cell>
          <cell r="L423" t="str">
            <v/>
          </cell>
          <cell r="M423" t="str">
            <v/>
          </cell>
          <cell r="N423" t="str">
            <v/>
          </cell>
          <cell r="O423" t="str">
            <v/>
          </cell>
          <cell r="P423" t="str">
            <v/>
          </cell>
          <cell r="Q423" t="str">
            <v/>
          </cell>
          <cell r="R423" t="str">
            <v/>
          </cell>
          <cell r="S423" t="str">
            <v/>
          </cell>
        </row>
        <row r="424">
          <cell r="G424" t="str">
            <v/>
          </cell>
          <cell r="H424" t="str">
            <v/>
          </cell>
          <cell r="I424" t="str">
            <v/>
          </cell>
          <cell r="J424" t="str">
            <v/>
          </cell>
          <cell r="K424" t="str">
            <v/>
          </cell>
          <cell r="L424" t="str">
            <v/>
          </cell>
          <cell r="M424" t="str">
            <v/>
          </cell>
          <cell r="N424" t="str">
            <v/>
          </cell>
          <cell r="O424" t="str">
            <v/>
          </cell>
          <cell r="P424" t="str">
            <v/>
          </cell>
          <cell r="Q424" t="str">
            <v/>
          </cell>
          <cell r="R424" t="str">
            <v/>
          </cell>
          <cell r="S424" t="str">
            <v/>
          </cell>
        </row>
        <row r="425">
          <cell r="G425" t="str">
            <v/>
          </cell>
          <cell r="H425" t="str">
            <v/>
          </cell>
          <cell r="I425" t="str">
            <v/>
          </cell>
          <cell r="J425" t="str">
            <v/>
          </cell>
          <cell r="K425" t="str">
            <v/>
          </cell>
          <cell r="L425" t="str">
            <v/>
          </cell>
          <cell r="M425" t="str">
            <v/>
          </cell>
          <cell r="N425" t="str">
            <v/>
          </cell>
          <cell r="O425" t="str">
            <v/>
          </cell>
          <cell r="P425" t="str">
            <v/>
          </cell>
          <cell r="Q425" t="str">
            <v/>
          </cell>
          <cell r="R425" t="str">
            <v/>
          </cell>
          <cell r="S425" t="str">
            <v/>
          </cell>
        </row>
        <row r="426">
          <cell r="G426" t="str">
            <v/>
          </cell>
          <cell r="H426" t="str">
            <v/>
          </cell>
          <cell r="I426" t="str">
            <v/>
          </cell>
          <cell r="J426" t="str">
            <v/>
          </cell>
          <cell r="K426" t="str">
            <v/>
          </cell>
          <cell r="L426" t="str">
            <v/>
          </cell>
          <cell r="M426" t="str">
            <v/>
          </cell>
          <cell r="N426" t="str">
            <v/>
          </cell>
          <cell r="O426" t="str">
            <v/>
          </cell>
          <cell r="P426" t="str">
            <v/>
          </cell>
          <cell r="Q426" t="str">
            <v/>
          </cell>
          <cell r="R426" t="str">
            <v/>
          </cell>
          <cell r="S426" t="str">
            <v/>
          </cell>
        </row>
        <row r="427">
          <cell r="G427" t="str">
            <v/>
          </cell>
          <cell r="H427" t="str">
            <v/>
          </cell>
          <cell r="I427" t="str">
            <v/>
          </cell>
          <cell r="J427" t="str">
            <v/>
          </cell>
          <cell r="K427" t="str">
            <v/>
          </cell>
          <cell r="L427" t="str">
            <v/>
          </cell>
          <cell r="M427" t="str">
            <v/>
          </cell>
          <cell r="N427" t="str">
            <v/>
          </cell>
          <cell r="O427" t="str">
            <v/>
          </cell>
          <cell r="P427" t="str">
            <v/>
          </cell>
          <cell r="Q427" t="str">
            <v/>
          </cell>
          <cell r="R427" t="str">
            <v/>
          </cell>
          <cell r="S427" t="str">
            <v/>
          </cell>
        </row>
        <row r="428">
          <cell r="G428" t="str">
            <v/>
          </cell>
          <cell r="H428" t="str">
            <v/>
          </cell>
          <cell r="I428" t="str">
            <v/>
          </cell>
          <cell r="J428" t="str">
            <v/>
          </cell>
          <cell r="K428" t="str">
            <v/>
          </cell>
          <cell r="L428" t="str">
            <v/>
          </cell>
          <cell r="M428" t="str">
            <v/>
          </cell>
          <cell r="N428" t="str">
            <v/>
          </cell>
          <cell r="O428" t="str">
            <v/>
          </cell>
          <cell r="P428" t="str">
            <v/>
          </cell>
          <cell r="Q428" t="str">
            <v/>
          </cell>
          <cell r="R428" t="str">
            <v/>
          </cell>
          <cell r="S428" t="str">
            <v/>
          </cell>
        </row>
        <row r="429">
          <cell r="G429" t="str">
            <v/>
          </cell>
          <cell r="H429" t="str">
            <v/>
          </cell>
          <cell r="I429" t="str">
            <v/>
          </cell>
          <cell r="J429" t="str">
            <v/>
          </cell>
          <cell r="K429" t="str">
            <v/>
          </cell>
          <cell r="L429" t="str">
            <v/>
          </cell>
          <cell r="M429" t="str">
            <v/>
          </cell>
          <cell r="N429" t="str">
            <v/>
          </cell>
          <cell r="O429" t="str">
            <v/>
          </cell>
          <cell r="P429" t="str">
            <v/>
          </cell>
          <cell r="Q429" t="str">
            <v/>
          </cell>
          <cell r="R429" t="str">
            <v/>
          </cell>
          <cell r="S429" t="str">
            <v/>
          </cell>
        </row>
        <row r="430">
          <cell r="G430" t="str">
            <v/>
          </cell>
          <cell r="H430" t="str">
            <v/>
          </cell>
          <cell r="I430" t="str">
            <v/>
          </cell>
          <cell r="J430" t="str">
            <v/>
          </cell>
          <cell r="K430" t="str">
            <v/>
          </cell>
          <cell r="L430" t="str">
            <v/>
          </cell>
          <cell r="M430" t="str">
            <v/>
          </cell>
          <cell r="N430" t="str">
            <v/>
          </cell>
          <cell r="O430" t="str">
            <v/>
          </cell>
          <cell r="P430" t="str">
            <v/>
          </cell>
          <cell r="Q430" t="str">
            <v/>
          </cell>
          <cell r="R430" t="str">
            <v/>
          </cell>
          <cell r="S430" t="str">
            <v/>
          </cell>
        </row>
        <row r="431">
          <cell r="G431" t="str">
            <v/>
          </cell>
          <cell r="H431" t="str">
            <v/>
          </cell>
          <cell r="I431" t="str">
            <v/>
          </cell>
          <cell r="J431" t="str">
            <v/>
          </cell>
          <cell r="K431" t="str">
            <v/>
          </cell>
          <cell r="L431" t="str">
            <v/>
          </cell>
          <cell r="M431" t="str">
            <v/>
          </cell>
          <cell r="N431" t="str">
            <v/>
          </cell>
          <cell r="O431" t="str">
            <v/>
          </cell>
          <cell r="P431" t="str">
            <v/>
          </cell>
          <cell r="Q431" t="str">
            <v/>
          </cell>
          <cell r="R431" t="str">
            <v/>
          </cell>
          <cell r="S431" t="str">
            <v/>
          </cell>
        </row>
        <row r="432">
          <cell r="G432" t="str">
            <v/>
          </cell>
          <cell r="H432" t="str">
            <v/>
          </cell>
          <cell r="I432" t="str">
            <v/>
          </cell>
          <cell r="J432" t="str">
            <v/>
          </cell>
          <cell r="K432" t="str">
            <v/>
          </cell>
          <cell r="L432" t="str">
            <v/>
          </cell>
          <cell r="M432" t="str">
            <v/>
          </cell>
          <cell r="N432" t="str">
            <v/>
          </cell>
          <cell r="O432" t="str">
            <v/>
          </cell>
          <cell r="P432" t="str">
            <v/>
          </cell>
          <cell r="Q432" t="str">
            <v/>
          </cell>
          <cell r="R432" t="str">
            <v/>
          </cell>
          <cell r="S432" t="str">
            <v/>
          </cell>
        </row>
        <row r="433">
          <cell r="G433" t="str">
            <v/>
          </cell>
          <cell r="H433" t="str">
            <v/>
          </cell>
          <cell r="I433" t="str">
            <v/>
          </cell>
          <cell r="J433" t="str">
            <v/>
          </cell>
          <cell r="K433" t="str">
            <v/>
          </cell>
          <cell r="L433" t="str">
            <v/>
          </cell>
          <cell r="M433" t="str">
            <v/>
          </cell>
          <cell r="N433" t="str">
            <v/>
          </cell>
          <cell r="O433" t="str">
            <v/>
          </cell>
          <cell r="P433" t="str">
            <v/>
          </cell>
          <cell r="Q433" t="str">
            <v/>
          </cell>
          <cell r="R433" t="str">
            <v/>
          </cell>
          <cell r="S433" t="str">
            <v/>
          </cell>
        </row>
        <row r="434">
          <cell r="G434" t="str">
            <v/>
          </cell>
          <cell r="H434" t="str">
            <v/>
          </cell>
          <cell r="I434" t="str">
            <v/>
          </cell>
          <cell r="J434" t="str">
            <v/>
          </cell>
          <cell r="K434" t="str">
            <v/>
          </cell>
          <cell r="L434" t="str">
            <v/>
          </cell>
          <cell r="M434" t="str">
            <v/>
          </cell>
          <cell r="N434" t="str">
            <v/>
          </cell>
          <cell r="O434" t="str">
            <v/>
          </cell>
          <cell r="P434" t="str">
            <v/>
          </cell>
          <cell r="Q434" t="str">
            <v/>
          </cell>
          <cell r="R434" t="str">
            <v/>
          </cell>
          <cell r="S434" t="str">
            <v/>
          </cell>
        </row>
        <row r="435">
          <cell r="G435" t="str">
            <v/>
          </cell>
          <cell r="H435" t="str">
            <v/>
          </cell>
          <cell r="I435" t="str">
            <v/>
          </cell>
          <cell r="J435" t="str">
            <v/>
          </cell>
          <cell r="K435" t="str">
            <v/>
          </cell>
          <cell r="L435" t="str">
            <v/>
          </cell>
          <cell r="M435" t="str">
            <v/>
          </cell>
          <cell r="N435" t="str">
            <v/>
          </cell>
          <cell r="O435" t="str">
            <v/>
          </cell>
          <cell r="P435" t="str">
            <v/>
          </cell>
          <cell r="Q435" t="str">
            <v/>
          </cell>
          <cell r="R435" t="str">
            <v/>
          </cell>
          <cell r="S435" t="str">
            <v/>
          </cell>
        </row>
        <row r="436">
          <cell r="G436" t="str">
            <v/>
          </cell>
          <cell r="H436" t="str">
            <v/>
          </cell>
          <cell r="I436" t="str">
            <v/>
          </cell>
          <cell r="J436" t="str">
            <v/>
          </cell>
          <cell r="K436" t="str">
            <v/>
          </cell>
          <cell r="L436" t="str">
            <v/>
          </cell>
          <cell r="M436" t="str">
            <v/>
          </cell>
          <cell r="N436" t="str">
            <v/>
          </cell>
          <cell r="O436" t="str">
            <v/>
          </cell>
          <cell r="P436" t="str">
            <v/>
          </cell>
          <cell r="Q436" t="str">
            <v/>
          </cell>
          <cell r="R436" t="str">
            <v/>
          </cell>
          <cell r="S436" t="str">
            <v/>
          </cell>
        </row>
        <row r="437">
          <cell r="G437" t="str">
            <v/>
          </cell>
          <cell r="H437" t="str">
            <v/>
          </cell>
          <cell r="I437" t="str">
            <v/>
          </cell>
          <cell r="J437" t="str">
            <v/>
          </cell>
          <cell r="K437" t="str">
            <v/>
          </cell>
          <cell r="L437" t="str">
            <v/>
          </cell>
          <cell r="M437" t="str">
            <v/>
          </cell>
          <cell r="N437" t="str">
            <v/>
          </cell>
          <cell r="O437" t="str">
            <v/>
          </cell>
          <cell r="P437" t="str">
            <v/>
          </cell>
          <cell r="Q437" t="str">
            <v/>
          </cell>
          <cell r="R437" t="str">
            <v/>
          </cell>
          <cell r="S437" t="str">
            <v/>
          </cell>
        </row>
        <row r="438">
          <cell r="G438" t="str">
            <v/>
          </cell>
          <cell r="H438" t="str">
            <v/>
          </cell>
          <cell r="I438" t="str">
            <v/>
          </cell>
          <cell r="J438" t="str">
            <v/>
          </cell>
          <cell r="K438" t="str">
            <v/>
          </cell>
          <cell r="L438" t="str">
            <v/>
          </cell>
          <cell r="M438" t="str">
            <v/>
          </cell>
          <cell r="N438" t="str">
            <v/>
          </cell>
          <cell r="O438" t="str">
            <v/>
          </cell>
          <cell r="P438" t="str">
            <v/>
          </cell>
          <cell r="Q438" t="str">
            <v/>
          </cell>
          <cell r="R438" t="str">
            <v/>
          </cell>
          <cell r="S438" t="str">
            <v/>
          </cell>
        </row>
        <row r="439">
          <cell r="G439" t="str">
            <v/>
          </cell>
          <cell r="H439" t="str">
            <v/>
          </cell>
          <cell r="I439" t="str">
            <v/>
          </cell>
          <cell r="J439" t="str">
            <v/>
          </cell>
          <cell r="K439" t="str">
            <v/>
          </cell>
          <cell r="L439" t="str">
            <v/>
          </cell>
          <cell r="M439" t="str">
            <v/>
          </cell>
          <cell r="N439" t="str">
            <v/>
          </cell>
          <cell r="O439" t="str">
            <v/>
          </cell>
          <cell r="P439" t="str">
            <v/>
          </cell>
          <cell r="Q439" t="str">
            <v/>
          </cell>
          <cell r="R439" t="str">
            <v/>
          </cell>
          <cell r="S439" t="str">
            <v/>
          </cell>
        </row>
        <row r="440">
          <cell r="G440" t="str">
            <v/>
          </cell>
          <cell r="H440" t="str">
            <v/>
          </cell>
          <cell r="I440" t="str">
            <v/>
          </cell>
          <cell r="J440" t="str">
            <v/>
          </cell>
          <cell r="K440" t="str">
            <v/>
          </cell>
          <cell r="L440" t="str">
            <v/>
          </cell>
          <cell r="M440" t="str">
            <v/>
          </cell>
          <cell r="N440" t="str">
            <v/>
          </cell>
          <cell r="O440" t="str">
            <v/>
          </cell>
          <cell r="P440" t="str">
            <v/>
          </cell>
          <cell r="Q440" t="str">
            <v/>
          </cell>
          <cell r="R440" t="str">
            <v/>
          </cell>
          <cell r="S440" t="str">
            <v/>
          </cell>
        </row>
        <row r="441">
          <cell r="G441" t="str">
            <v/>
          </cell>
          <cell r="H441" t="str">
            <v/>
          </cell>
          <cell r="I441" t="str">
            <v/>
          </cell>
          <cell r="J441" t="str">
            <v/>
          </cell>
          <cell r="K441" t="str">
            <v/>
          </cell>
          <cell r="L441" t="str">
            <v/>
          </cell>
          <cell r="M441" t="str">
            <v/>
          </cell>
          <cell r="N441" t="str">
            <v/>
          </cell>
          <cell r="O441" t="str">
            <v/>
          </cell>
          <cell r="P441" t="str">
            <v/>
          </cell>
          <cell r="Q441" t="str">
            <v/>
          </cell>
          <cell r="R441" t="str">
            <v/>
          </cell>
          <cell r="S441" t="str">
            <v/>
          </cell>
        </row>
        <row r="442">
          <cell r="G442" t="str">
            <v/>
          </cell>
          <cell r="H442" t="str">
            <v/>
          </cell>
          <cell r="I442" t="str">
            <v/>
          </cell>
          <cell r="J442" t="str">
            <v/>
          </cell>
          <cell r="K442" t="str">
            <v/>
          </cell>
          <cell r="L442" t="str">
            <v/>
          </cell>
          <cell r="M442" t="str">
            <v/>
          </cell>
          <cell r="N442" t="str">
            <v/>
          </cell>
          <cell r="O442" t="str">
            <v/>
          </cell>
          <cell r="P442" t="str">
            <v/>
          </cell>
          <cell r="Q442" t="str">
            <v/>
          </cell>
          <cell r="R442" t="str">
            <v/>
          </cell>
          <cell r="S442" t="str">
            <v/>
          </cell>
        </row>
        <row r="443">
          <cell r="G443" t="str">
            <v/>
          </cell>
          <cell r="H443" t="str">
            <v/>
          </cell>
          <cell r="I443" t="str">
            <v/>
          </cell>
          <cell r="J443" t="str">
            <v/>
          </cell>
          <cell r="K443" t="str">
            <v/>
          </cell>
          <cell r="L443" t="str">
            <v/>
          </cell>
          <cell r="M443" t="str">
            <v/>
          </cell>
          <cell r="N443" t="str">
            <v/>
          </cell>
          <cell r="O443" t="str">
            <v/>
          </cell>
          <cell r="P443" t="str">
            <v/>
          </cell>
          <cell r="Q443" t="str">
            <v/>
          </cell>
          <cell r="R443" t="str">
            <v/>
          </cell>
          <cell r="S443" t="str">
            <v/>
          </cell>
        </row>
        <row r="444">
          <cell r="G444" t="str">
            <v/>
          </cell>
          <cell r="H444" t="str">
            <v/>
          </cell>
          <cell r="I444" t="str">
            <v/>
          </cell>
          <cell r="J444" t="str">
            <v/>
          </cell>
          <cell r="K444" t="str">
            <v/>
          </cell>
          <cell r="L444" t="str">
            <v/>
          </cell>
          <cell r="M444" t="str">
            <v/>
          </cell>
          <cell r="N444" t="str">
            <v/>
          </cell>
          <cell r="O444" t="str">
            <v/>
          </cell>
          <cell r="P444" t="str">
            <v/>
          </cell>
          <cell r="Q444" t="str">
            <v/>
          </cell>
          <cell r="R444" t="str">
            <v/>
          </cell>
          <cell r="S444" t="str">
            <v/>
          </cell>
        </row>
        <row r="445">
          <cell r="G445" t="str">
            <v/>
          </cell>
          <cell r="H445" t="str">
            <v/>
          </cell>
          <cell r="I445" t="str">
            <v/>
          </cell>
          <cell r="J445" t="str">
            <v/>
          </cell>
          <cell r="K445" t="str">
            <v/>
          </cell>
          <cell r="L445" t="str">
            <v/>
          </cell>
          <cell r="M445" t="str">
            <v/>
          </cell>
          <cell r="N445" t="str">
            <v/>
          </cell>
          <cell r="O445" t="str">
            <v/>
          </cell>
          <cell r="P445" t="str">
            <v/>
          </cell>
          <cell r="Q445" t="str">
            <v/>
          </cell>
          <cell r="R445" t="str">
            <v/>
          </cell>
          <cell r="S445" t="str">
            <v/>
          </cell>
        </row>
        <row r="446">
          <cell r="G446" t="str">
            <v/>
          </cell>
          <cell r="H446" t="str">
            <v/>
          </cell>
          <cell r="I446" t="str">
            <v/>
          </cell>
          <cell r="J446" t="str">
            <v/>
          </cell>
          <cell r="K446" t="str">
            <v/>
          </cell>
          <cell r="L446" t="str">
            <v/>
          </cell>
          <cell r="M446" t="str">
            <v/>
          </cell>
          <cell r="N446" t="str">
            <v/>
          </cell>
          <cell r="O446" t="str">
            <v/>
          </cell>
          <cell r="P446" t="str">
            <v/>
          </cell>
          <cell r="Q446" t="str">
            <v/>
          </cell>
          <cell r="R446" t="str">
            <v/>
          </cell>
          <cell r="S446" t="str">
            <v/>
          </cell>
        </row>
        <row r="447">
          <cell r="G447" t="str">
            <v/>
          </cell>
          <cell r="H447" t="str">
            <v/>
          </cell>
          <cell r="I447" t="str">
            <v/>
          </cell>
          <cell r="J447" t="str">
            <v/>
          </cell>
          <cell r="K447" t="str">
            <v/>
          </cell>
          <cell r="L447" t="str">
            <v/>
          </cell>
          <cell r="M447" t="str">
            <v/>
          </cell>
          <cell r="N447" t="str">
            <v/>
          </cell>
          <cell r="O447" t="str">
            <v/>
          </cell>
          <cell r="P447" t="str">
            <v/>
          </cell>
          <cell r="Q447" t="str">
            <v/>
          </cell>
          <cell r="R447" t="str">
            <v/>
          </cell>
          <cell r="S447" t="str">
            <v/>
          </cell>
        </row>
        <row r="448">
          <cell r="G448" t="str">
            <v/>
          </cell>
          <cell r="H448" t="str">
            <v/>
          </cell>
          <cell r="I448" t="str">
            <v/>
          </cell>
          <cell r="J448" t="str">
            <v/>
          </cell>
          <cell r="K448" t="str">
            <v/>
          </cell>
          <cell r="L448" t="str">
            <v/>
          </cell>
          <cell r="M448" t="str">
            <v/>
          </cell>
          <cell r="N448" t="str">
            <v/>
          </cell>
          <cell r="O448" t="str">
            <v/>
          </cell>
          <cell r="P448" t="str">
            <v/>
          </cell>
          <cell r="Q448" t="str">
            <v/>
          </cell>
          <cell r="R448" t="str">
            <v/>
          </cell>
          <cell r="S448" t="str">
            <v/>
          </cell>
        </row>
        <row r="449">
          <cell r="G449" t="str">
            <v/>
          </cell>
          <cell r="H449" t="str">
            <v/>
          </cell>
          <cell r="I449" t="str">
            <v/>
          </cell>
          <cell r="J449" t="str">
            <v/>
          </cell>
          <cell r="K449" t="str">
            <v/>
          </cell>
          <cell r="L449" t="str">
            <v/>
          </cell>
          <cell r="M449" t="str">
            <v/>
          </cell>
          <cell r="N449" t="str">
            <v/>
          </cell>
          <cell r="O449" t="str">
            <v/>
          </cell>
          <cell r="P449" t="str">
            <v/>
          </cell>
          <cell r="Q449" t="str">
            <v/>
          </cell>
          <cell r="R449" t="str">
            <v/>
          </cell>
          <cell r="S449" t="str">
            <v/>
          </cell>
        </row>
        <row r="450">
          <cell r="G450" t="str">
            <v/>
          </cell>
          <cell r="H450" t="str">
            <v/>
          </cell>
          <cell r="I450" t="str">
            <v/>
          </cell>
          <cell r="J450" t="str">
            <v/>
          </cell>
          <cell r="K450" t="str">
            <v/>
          </cell>
          <cell r="L450" t="str">
            <v/>
          </cell>
          <cell r="M450" t="str">
            <v/>
          </cell>
          <cell r="N450" t="str">
            <v/>
          </cell>
          <cell r="O450" t="str">
            <v/>
          </cell>
          <cell r="P450" t="str">
            <v/>
          </cell>
          <cell r="Q450" t="str">
            <v/>
          </cell>
          <cell r="R450" t="str">
            <v/>
          </cell>
          <cell r="S450" t="str">
            <v/>
          </cell>
        </row>
        <row r="451">
          <cell r="G451" t="str">
            <v/>
          </cell>
          <cell r="H451" t="str">
            <v/>
          </cell>
          <cell r="I451" t="str">
            <v/>
          </cell>
          <cell r="J451" t="str">
            <v/>
          </cell>
          <cell r="K451" t="str">
            <v/>
          </cell>
          <cell r="L451" t="str">
            <v/>
          </cell>
          <cell r="M451" t="str">
            <v/>
          </cell>
          <cell r="N451" t="str">
            <v/>
          </cell>
          <cell r="O451" t="str">
            <v/>
          </cell>
          <cell r="P451" t="str">
            <v/>
          </cell>
          <cell r="Q451" t="str">
            <v/>
          </cell>
          <cell r="R451" t="str">
            <v/>
          </cell>
          <cell r="S451" t="str">
            <v/>
          </cell>
        </row>
        <row r="452">
          <cell r="G452" t="str">
            <v/>
          </cell>
          <cell r="H452" t="str">
            <v/>
          </cell>
          <cell r="I452" t="str">
            <v/>
          </cell>
          <cell r="J452" t="str">
            <v/>
          </cell>
          <cell r="K452" t="str">
            <v/>
          </cell>
          <cell r="L452" t="str">
            <v/>
          </cell>
          <cell r="M452" t="str">
            <v/>
          </cell>
          <cell r="N452" t="str">
            <v/>
          </cell>
          <cell r="O452" t="str">
            <v/>
          </cell>
          <cell r="P452" t="str">
            <v/>
          </cell>
          <cell r="Q452" t="str">
            <v/>
          </cell>
          <cell r="R452" t="str">
            <v/>
          </cell>
          <cell r="S452" t="str">
            <v/>
          </cell>
        </row>
        <row r="453">
          <cell r="G453" t="str">
            <v/>
          </cell>
          <cell r="H453" t="str">
            <v/>
          </cell>
          <cell r="I453" t="str">
            <v/>
          </cell>
          <cell r="J453" t="str">
            <v/>
          </cell>
          <cell r="K453" t="str">
            <v/>
          </cell>
          <cell r="L453" t="str">
            <v/>
          </cell>
          <cell r="M453" t="str">
            <v/>
          </cell>
          <cell r="N453" t="str">
            <v/>
          </cell>
          <cell r="O453" t="str">
            <v/>
          </cell>
          <cell r="P453" t="str">
            <v/>
          </cell>
          <cell r="Q453" t="str">
            <v/>
          </cell>
          <cell r="R453" t="str">
            <v/>
          </cell>
          <cell r="S453" t="str">
            <v/>
          </cell>
        </row>
        <row r="454">
          <cell r="G454" t="str">
            <v/>
          </cell>
          <cell r="H454" t="str">
            <v/>
          </cell>
          <cell r="I454" t="str">
            <v/>
          </cell>
          <cell r="J454" t="str">
            <v/>
          </cell>
          <cell r="K454" t="str">
            <v/>
          </cell>
          <cell r="L454" t="str">
            <v/>
          </cell>
          <cell r="M454" t="str">
            <v/>
          </cell>
          <cell r="N454" t="str">
            <v/>
          </cell>
          <cell r="O454" t="str">
            <v/>
          </cell>
          <cell r="P454" t="str">
            <v/>
          </cell>
          <cell r="Q454" t="str">
            <v/>
          </cell>
          <cell r="R454" t="str">
            <v/>
          </cell>
          <cell r="S454" t="str">
            <v/>
          </cell>
        </row>
        <row r="455">
          <cell r="G455" t="str">
            <v/>
          </cell>
          <cell r="H455" t="str">
            <v/>
          </cell>
          <cell r="I455" t="str">
            <v/>
          </cell>
          <cell r="J455" t="str">
            <v/>
          </cell>
          <cell r="K455" t="str">
            <v/>
          </cell>
          <cell r="L455" t="str">
            <v/>
          </cell>
          <cell r="M455" t="str">
            <v/>
          </cell>
          <cell r="N455" t="str">
            <v/>
          </cell>
          <cell r="O455" t="str">
            <v/>
          </cell>
          <cell r="P455" t="str">
            <v/>
          </cell>
          <cell r="Q455" t="str">
            <v/>
          </cell>
          <cell r="R455" t="str">
            <v/>
          </cell>
          <cell r="S455" t="str">
            <v/>
          </cell>
        </row>
        <row r="456">
          <cell r="G456" t="str">
            <v/>
          </cell>
          <cell r="H456" t="str">
            <v/>
          </cell>
          <cell r="I456" t="str">
            <v/>
          </cell>
          <cell r="J456" t="str">
            <v/>
          </cell>
          <cell r="K456" t="str">
            <v/>
          </cell>
          <cell r="L456" t="str">
            <v/>
          </cell>
          <cell r="M456" t="str">
            <v/>
          </cell>
          <cell r="N456" t="str">
            <v/>
          </cell>
          <cell r="O456" t="str">
            <v/>
          </cell>
          <cell r="P456" t="str">
            <v/>
          </cell>
          <cell r="Q456" t="str">
            <v/>
          </cell>
          <cell r="R456" t="str">
            <v/>
          </cell>
          <cell r="S456" t="str">
            <v/>
          </cell>
        </row>
        <row r="457">
          <cell r="G457" t="str">
            <v/>
          </cell>
          <cell r="H457" t="str">
            <v/>
          </cell>
          <cell r="I457" t="str">
            <v/>
          </cell>
          <cell r="J457" t="str">
            <v/>
          </cell>
          <cell r="K457" t="str">
            <v/>
          </cell>
          <cell r="L457" t="str">
            <v/>
          </cell>
          <cell r="M457" t="str">
            <v/>
          </cell>
          <cell r="N457" t="str">
            <v/>
          </cell>
          <cell r="O457" t="str">
            <v/>
          </cell>
          <cell r="P457" t="str">
            <v/>
          </cell>
          <cell r="Q457" t="str">
            <v/>
          </cell>
          <cell r="R457" t="str">
            <v/>
          </cell>
          <cell r="S457" t="str">
            <v/>
          </cell>
        </row>
        <row r="458">
          <cell r="G458" t="str">
            <v/>
          </cell>
          <cell r="H458" t="str">
            <v/>
          </cell>
          <cell r="I458" t="str">
            <v/>
          </cell>
          <cell r="J458" t="str">
            <v/>
          </cell>
          <cell r="K458" t="str">
            <v/>
          </cell>
          <cell r="L458" t="str">
            <v/>
          </cell>
          <cell r="M458" t="str">
            <v/>
          </cell>
          <cell r="N458" t="str">
            <v/>
          </cell>
          <cell r="O458" t="str">
            <v/>
          </cell>
          <cell r="P458" t="str">
            <v/>
          </cell>
          <cell r="Q458" t="str">
            <v/>
          </cell>
          <cell r="R458" t="str">
            <v/>
          </cell>
          <cell r="S458" t="str">
            <v/>
          </cell>
        </row>
        <row r="459">
          <cell r="G459" t="str">
            <v/>
          </cell>
          <cell r="H459" t="str">
            <v/>
          </cell>
          <cell r="I459" t="str">
            <v/>
          </cell>
          <cell r="J459" t="str">
            <v/>
          </cell>
          <cell r="K459" t="str">
            <v/>
          </cell>
          <cell r="L459" t="str">
            <v/>
          </cell>
          <cell r="M459" t="str">
            <v/>
          </cell>
          <cell r="N459" t="str">
            <v/>
          </cell>
          <cell r="O459" t="str">
            <v/>
          </cell>
          <cell r="P459" t="str">
            <v/>
          </cell>
          <cell r="Q459" t="str">
            <v/>
          </cell>
          <cell r="R459" t="str">
            <v/>
          </cell>
          <cell r="S459" t="str">
            <v/>
          </cell>
        </row>
        <row r="460">
          <cell r="G460" t="str">
            <v/>
          </cell>
          <cell r="H460" t="str">
            <v/>
          </cell>
          <cell r="I460" t="str">
            <v/>
          </cell>
          <cell r="J460" t="str">
            <v/>
          </cell>
          <cell r="K460" t="str">
            <v/>
          </cell>
          <cell r="L460" t="str">
            <v/>
          </cell>
          <cell r="M460" t="str">
            <v/>
          </cell>
          <cell r="N460" t="str">
            <v/>
          </cell>
          <cell r="O460" t="str">
            <v/>
          </cell>
          <cell r="P460" t="str">
            <v/>
          </cell>
          <cell r="Q460" t="str">
            <v/>
          </cell>
          <cell r="R460" t="str">
            <v/>
          </cell>
          <cell r="S460" t="str">
            <v/>
          </cell>
        </row>
        <row r="461">
          <cell r="G461" t="str">
            <v/>
          </cell>
          <cell r="H461" t="str">
            <v/>
          </cell>
          <cell r="I461" t="str">
            <v/>
          </cell>
          <cell r="J461" t="str">
            <v/>
          </cell>
          <cell r="K461" t="str">
            <v/>
          </cell>
          <cell r="L461" t="str">
            <v/>
          </cell>
          <cell r="M461" t="str">
            <v/>
          </cell>
          <cell r="N461" t="str">
            <v/>
          </cell>
          <cell r="O461" t="str">
            <v/>
          </cell>
          <cell r="P461" t="str">
            <v/>
          </cell>
          <cell r="Q461" t="str">
            <v/>
          </cell>
          <cell r="R461" t="str">
            <v/>
          </cell>
          <cell r="S461" t="str">
            <v/>
          </cell>
        </row>
        <row r="462">
          <cell r="G462" t="str">
            <v/>
          </cell>
          <cell r="H462" t="str">
            <v/>
          </cell>
          <cell r="I462" t="str">
            <v/>
          </cell>
          <cell r="J462" t="str">
            <v/>
          </cell>
          <cell r="K462" t="str">
            <v/>
          </cell>
          <cell r="L462" t="str">
            <v/>
          </cell>
          <cell r="M462" t="str">
            <v/>
          </cell>
          <cell r="N462" t="str">
            <v/>
          </cell>
          <cell r="O462" t="str">
            <v/>
          </cell>
          <cell r="P462" t="str">
            <v/>
          </cell>
          <cell r="Q462" t="str">
            <v/>
          </cell>
          <cell r="R462" t="str">
            <v/>
          </cell>
          <cell r="S462" t="str">
            <v/>
          </cell>
        </row>
        <row r="463">
          <cell r="G463" t="str">
            <v/>
          </cell>
          <cell r="H463" t="str">
            <v/>
          </cell>
          <cell r="I463" t="str">
            <v/>
          </cell>
          <cell r="J463" t="str">
            <v/>
          </cell>
          <cell r="K463" t="str">
            <v/>
          </cell>
          <cell r="L463" t="str">
            <v/>
          </cell>
          <cell r="M463" t="str">
            <v/>
          </cell>
          <cell r="N463" t="str">
            <v/>
          </cell>
          <cell r="O463" t="str">
            <v/>
          </cell>
          <cell r="P463" t="str">
            <v/>
          </cell>
          <cell r="Q463" t="str">
            <v/>
          </cell>
          <cell r="R463" t="str">
            <v/>
          </cell>
          <cell r="S463" t="str">
            <v/>
          </cell>
        </row>
        <row r="464">
          <cell r="G464" t="str">
            <v/>
          </cell>
          <cell r="H464" t="str">
            <v/>
          </cell>
          <cell r="I464" t="str">
            <v/>
          </cell>
          <cell r="J464" t="str">
            <v/>
          </cell>
          <cell r="K464" t="str">
            <v/>
          </cell>
          <cell r="L464" t="str">
            <v/>
          </cell>
          <cell r="M464" t="str">
            <v/>
          </cell>
          <cell r="N464" t="str">
            <v/>
          </cell>
          <cell r="O464" t="str">
            <v/>
          </cell>
          <cell r="P464" t="str">
            <v/>
          </cell>
          <cell r="Q464" t="str">
            <v/>
          </cell>
          <cell r="R464" t="str">
            <v/>
          </cell>
          <cell r="S464" t="str">
            <v/>
          </cell>
        </row>
        <row r="465">
          <cell r="G465" t="str">
            <v/>
          </cell>
          <cell r="H465" t="str">
            <v/>
          </cell>
          <cell r="I465" t="str">
            <v/>
          </cell>
          <cell r="J465" t="str">
            <v/>
          </cell>
          <cell r="K465" t="str">
            <v/>
          </cell>
          <cell r="L465" t="str">
            <v/>
          </cell>
          <cell r="M465" t="str">
            <v/>
          </cell>
          <cell r="N465" t="str">
            <v/>
          </cell>
          <cell r="O465" t="str">
            <v/>
          </cell>
          <cell r="P465" t="str">
            <v/>
          </cell>
          <cell r="Q465" t="str">
            <v/>
          </cell>
          <cell r="R465" t="str">
            <v/>
          </cell>
          <cell r="S465" t="str">
            <v/>
          </cell>
        </row>
        <row r="466">
          <cell r="G466" t="str">
            <v/>
          </cell>
          <cell r="H466" t="str">
            <v/>
          </cell>
          <cell r="I466" t="str">
            <v/>
          </cell>
          <cell r="J466" t="str">
            <v/>
          </cell>
          <cell r="K466" t="str">
            <v/>
          </cell>
          <cell r="L466" t="str">
            <v/>
          </cell>
          <cell r="M466" t="str">
            <v/>
          </cell>
          <cell r="N466" t="str">
            <v/>
          </cell>
          <cell r="O466" t="str">
            <v/>
          </cell>
          <cell r="P466" t="str">
            <v/>
          </cell>
          <cell r="Q466" t="str">
            <v/>
          </cell>
          <cell r="R466" t="str">
            <v/>
          </cell>
          <cell r="S466" t="str">
            <v/>
          </cell>
        </row>
        <row r="467">
          <cell r="G467" t="str">
            <v/>
          </cell>
          <cell r="H467" t="str">
            <v/>
          </cell>
          <cell r="I467" t="str">
            <v/>
          </cell>
          <cell r="J467" t="str">
            <v/>
          </cell>
          <cell r="K467" t="str">
            <v/>
          </cell>
          <cell r="L467" t="str">
            <v/>
          </cell>
          <cell r="M467" t="str">
            <v/>
          </cell>
          <cell r="N467" t="str">
            <v/>
          </cell>
          <cell r="O467" t="str">
            <v/>
          </cell>
          <cell r="P467" t="str">
            <v/>
          </cell>
          <cell r="Q467" t="str">
            <v/>
          </cell>
          <cell r="R467" t="str">
            <v/>
          </cell>
          <cell r="S467" t="str">
            <v/>
          </cell>
        </row>
        <row r="468">
          <cell r="G468" t="str">
            <v/>
          </cell>
          <cell r="H468" t="str">
            <v/>
          </cell>
          <cell r="I468" t="str">
            <v/>
          </cell>
          <cell r="J468" t="str">
            <v/>
          </cell>
          <cell r="K468" t="str">
            <v/>
          </cell>
          <cell r="L468" t="str">
            <v/>
          </cell>
          <cell r="M468" t="str">
            <v/>
          </cell>
          <cell r="N468" t="str">
            <v/>
          </cell>
          <cell r="O468" t="str">
            <v/>
          </cell>
          <cell r="P468" t="str">
            <v/>
          </cell>
          <cell r="Q468" t="str">
            <v/>
          </cell>
          <cell r="R468" t="str">
            <v/>
          </cell>
          <cell r="S468" t="str">
            <v/>
          </cell>
        </row>
        <row r="469">
          <cell r="G469" t="str">
            <v/>
          </cell>
          <cell r="H469" t="str">
            <v/>
          </cell>
          <cell r="I469" t="str">
            <v/>
          </cell>
          <cell r="J469" t="str">
            <v/>
          </cell>
          <cell r="K469" t="str">
            <v/>
          </cell>
          <cell r="L469" t="str">
            <v/>
          </cell>
          <cell r="M469" t="str">
            <v/>
          </cell>
          <cell r="N469" t="str">
            <v/>
          </cell>
          <cell r="O469" t="str">
            <v/>
          </cell>
          <cell r="P469" t="str">
            <v/>
          </cell>
          <cell r="Q469" t="str">
            <v/>
          </cell>
          <cell r="R469" t="str">
            <v/>
          </cell>
          <cell r="S469" t="str">
            <v/>
          </cell>
        </row>
        <row r="470">
          <cell r="G470" t="str">
            <v/>
          </cell>
          <cell r="H470" t="str">
            <v/>
          </cell>
          <cell r="I470" t="str">
            <v/>
          </cell>
          <cell r="J470" t="str">
            <v/>
          </cell>
          <cell r="K470" t="str">
            <v/>
          </cell>
          <cell r="L470" t="str">
            <v/>
          </cell>
          <cell r="M470" t="str">
            <v/>
          </cell>
          <cell r="N470" t="str">
            <v/>
          </cell>
          <cell r="O470" t="str">
            <v/>
          </cell>
          <cell r="P470" t="str">
            <v/>
          </cell>
          <cell r="Q470" t="str">
            <v/>
          </cell>
          <cell r="R470" t="str">
            <v/>
          </cell>
          <cell r="S470" t="str">
            <v/>
          </cell>
        </row>
        <row r="471">
          <cell r="G471" t="str">
            <v/>
          </cell>
          <cell r="H471" t="str">
            <v/>
          </cell>
          <cell r="I471" t="str">
            <v/>
          </cell>
          <cell r="J471" t="str">
            <v/>
          </cell>
          <cell r="K471" t="str">
            <v/>
          </cell>
          <cell r="L471" t="str">
            <v/>
          </cell>
          <cell r="M471" t="str">
            <v/>
          </cell>
          <cell r="N471" t="str">
            <v/>
          </cell>
          <cell r="O471" t="str">
            <v/>
          </cell>
          <cell r="P471" t="str">
            <v/>
          </cell>
          <cell r="Q471" t="str">
            <v/>
          </cell>
          <cell r="R471" t="str">
            <v/>
          </cell>
          <cell r="S471" t="str">
            <v/>
          </cell>
        </row>
        <row r="472">
          <cell r="G472" t="str">
            <v/>
          </cell>
          <cell r="H472" t="str">
            <v/>
          </cell>
          <cell r="I472" t="str">
            <v/>
          </cell>
          <cell r="J472" t="str">
            <v/>
          </cell>
          <cell r="K472" t="str">
            <v/>
          </cell>
          <cell r="L472" t="str">
            <v/>
          </cell>
          <cell r="M472" t="str">
            <v/>
          </cell>
          <cell r="N472" t="str">
            <v/>
          </cell>
          <cell r="O472" t="str">
            <v/>
          </cell>
          <cell r="P472" t="str">
            <v/>
          </cell>
          <cell r="Q472" t="str">
            <v/>
          </cell>
          <cell r="R472" t="str">
            <v/>
          </cell>
          <cell r="S472" t="str">
            <v/>
          </cell>
        </row>
        <row r="473">
          <cell r="G473" t="str">
            <v/>
          </cell>
          <cell r="H473" t="str">
            <v/>
          </cell>
          <cell r="I473" t="str">
            <v/>
          </cell>
          <cell r="J473" t="str">
            <v/>
          </cell>
          <cell r="K473" t="str">
            <v/>
          </cell>
          <cell r="L473" t="str">
            <v/>
          </cell>
          <cell r="M473" t="str">
            <v/>
          </cell>
          <cell r="N473" t="str">
            <v/>
          </cell>
          <cell r="O473" t="str">
            <v/>
          </cell>
          <cell r="P473" t="str">
            <v/>
          </cell>
          <cell r="Q473" t="str">
            <v/>
          </cell>
          <cell r="R473" t="str">
            <v/>
          </cell>
          <cell r="S473" t="str">
            <v/>
          </cell>
        </row>
        <row r="474">
          <cell r="G474" t="str">
            <v/>
          </cell>
          <cell r="H474" t="str">
            <v/>
          </cell>
          <cell r="I474" t="str">
            <v/>
          </cell>
          <cell r="J474" t="str">
            <v/>
          </cell>
          <cell r="K474" t="str">
            <v/>
          </cell>
          <cell r="L474" t="str">
            <v/>
          </cell>
          <cell r="M474" t="str">
            <v/>
          </cell>
          <cell r="N474" t="str">
            <v/>
          </cell>
          <cell r="O474" t="str">
            <v/>
          </cell>
          <cell r="P474" t="str">
            <v/>
          </cell>
          <cell r="Q474" t="str">
            <v/>
          </cell>
          <cell r="R474" t="str">
            <v/>
          </cell>
          <cell r="S474" t="str">
            <v/>
          </cell>
        </row>
        <row r="475">
          <cell r="G475" t="str">
            <v/>
          </cell>
          <cell r="H475" t="str">
            <v/>
          </cell>
          <cell r="I475" t="str">
            <v/>
          </cell>
          <cell r="J475" t="str">
            <v/>
          </cell>
          <cell r="K475" t="str">
            <v/>
          </cell>
          <cell r="L475" t="str">
            <v/>
          </cell>
          <cell r="M475" t="str">
            <v/>
          </cell>
          <cell r="N475" t="str">
            <v/>
          </cell>
          <cell r="O475" t="str">
            <v/>
          </cell>
          <cell r="P475" t="str">
            <v/>
          </cell>
          <cell r="Q475" t="str">
            <v/>
          </cell>
          <cell r="R475" t="str">
            <v/>
          </cell>
          <cell r="S475" t="str">
            <v/>
          </cell>
        </row>
        <row r="476">
          <cell r="G476" t="str">
            <v/>
          </cell>
          <cell r="H476" t="str">
            <v/>
          </cell>
          <cell r="I476" t="str">
            <v/>
          </cell>
          <cell r="J476" t="str">
            <v/>
          </cell>
          <cell r="K476" t="str">
            <v/>
          </cell>
          <cell r="L476" t="str">
            <v/>
          </cell>
          <cell r="M476" t="str">
            <v/>
          </cell>
          <cell r="N476" t="str">
            <v/>
          </cell>
          <cell r="O476" t="str">
            <v/>
          </cell>
          <cell r="P476" t="str">
            <v/>
          </cell>
          <cell r="Q476" t="str">
            <v/>
          </cell>
          <cell r="R476" t="str">
            <v/>
          </cell>
          <cell r="S476" t="str">
            <v/>
          </cell>
        </row>
        <row r="477">
          <cell r="G477" t="str">
            <v/>
          </cell>
          <cell r="H477" t="str">
            <v/>
          </cell>
          <cell r="I477" t="str">
            <v/>
          </cell>
          <cell r="J477" t="str">
            <v/>
          </cell>
          <cell r="K477" t="str">
            <v/>
          </cell>
          <cell r="L477" t="str">
            <v/>
          </cell>
          <cell r="M477" t="str">
            <v/>
          </cell>
          <cell r="N477" t="str">
            <v/>
          </cell>
          <cell r="O477" t="str">
            <v/>
          </cell>
          <cell r="P477" t="str">
            <v/>
          </cell>
          <cell r="Q477" t="str">
            <v/>
          </cell>
          <cell r="R477" t="str">
            <v/>
          </cell>
          <cell r="S477" t="str">
            <v/>
          </cell>
        </row>
        <row r="478">
          <cell r="G478" t="str">
            <v/>
          </cell>
          <cell r="H478" t="str">
            <v/>
          </cell>
          <cell r="I478" t="str">
            <v/>
          </cell>
          <cell r="J478" t="str">
            <v/>
          </cell>
          <cell r="K478" t="str">
            <v/>
          </cell>
          <cell r="L478" t="str">
            <v/>
          </cell>
          <cell r="M478" t="str">
            <v/>
          </cell>
          <cell r="N478" t="str">
            <v/>
          </cell>
          <cell r="O478" t="str">
            <v/>
          </cell>
          <cell r="P478" t="str">
            <v/>
          </cell>
          <cell r="Q478" t="str">
            <v/>
          </cell>
          <cell r="R478" t="str">
            <v/>
          </cell>
          <cell r="S478" t="str">
            <v/>
          </cell>
        </row>
        <row r="479">
          <cell r="G479" t="str">
            <v/>
          </cell>
          <cell r="H479" t="str">
            <v/>
          </cell>
          <cell r="I479" t="str">
            <v/>
          </cell>
          <cell r="J479" t="str">
            <v/>
          </cell>
          <cell r="K479" t="str">
            <v/>
          </cell>
          <cell r="L479" t="str">
            <v/>
          </cell>
          <cell r="M479" t="str">
            <v/>
          </cell>
          <cell r="N479" t="str">
            <v/>
          </cell>
          <cell r="O479" t="str">
            <v/>
          </cell>
          <cell r="P479" t="str">
            <v/>
          </cell>
          <cell r="Q479" t="str">
            <v/>
          </cell>
          <cell r="R479" t="str">
            <v/>
          </cell>
          <cell r="S479" t="str">
            <v/>
          </cell>
        </row>
        <row r="480">
          <cell r="G480" t="str">
            <v/>
          </cell>
          <cell r="H480" t="str">
            <v/>
          </cell>
          <cell r="I480" t="str">
            <v/>
          </cell>
          <cell r="J480" t="str">
            <v/>
          </cell>
          <cell r="K480" t="str">
            <v/>
          </cell>
          <cell r="L480" t="str">
            <v/>
          </cell>
          <cell r="M480" t="str">
            <v/>
          </cell>
          <cell r="N480" t="str">
            <v/>
          </cell>
          <cell r="O480" t="str">
            <v/>
          </cell>
          <cell r="P480" t="str">
            <v/>
          </cell>
          <cell r="Q480" t="str">
            <v/>
          </cell>
          <cell r="R480" t="str">
            <v/>
          </cell>
          <cell r="S480" t="str">
            <v/>
          </cell>
        </row>
        <row r="481">
          <cell r="G481" t="str">
            <v/>
          </cell>
          <cell r="H481" t="str">
            <v/>
          </cell>
          <cell r="I481" t="str">
            <v/>
          </cell>
          <cell r="J481" t="str">
            <v/>
          </cell>
          <cell r="K481" t="str">
            <v/>
          </cell>
          <cell r="L481" t="str">
            <v/>
          </cell>
          <cell r="M481" t="str">
            <v/>
          </cell>
          <cell r="N481" t="str">
            <v/>
          </cell>
          <cell r="O481" t="str">
            <v/>
          </cell>
          <cell r="P481" t="str">
            <v/>
          </cell>
          <cell r="Q481" t="str">
            <v/>
          </cell>
          <cell r="R481" t="str">
            <v/>
          </cell>
          <cell r="S481" t="str">
            <v/>
          </cell>
        </row>
        <row r="482">
          <cell r="G482" t="str">
            <v/>
          </cell>
          <cell r="H482" t="str">
            <v/>
          </cell>
          <cell r="I482" t="str">
            <v/>
          </cell>
          <cell r="J482" t="str">
            <v/>
          </cell>
          <cell r="K482" t="str">
            <v/>
          </cell>
          <cell r="L482" t="str">
            <v/>
          </cell>
          <cell r="M482" t="str">
            <v/>
          </cell>
          <cell r="N482" t="str">
            <v/>
          </cell>
          <cell r="O482" t="str">
            <v/>
          </cell>
          <cell r="P482" t="str">
            <v/>
          </cell>
          <cell r="Q482" t="str">
            <v/>
          </cell>
          <cell r="R482" t="str">
            <v/>
          </cell>
          <cell r="S482" t="str">
            <v/>
          </cell>
        </row>
        <row r="483">
          <cell r="G483" t="str">
            <v/>
          </cell>
          <cell r="H483" t="str">
            <v/>
          </cell>
          <cell r="I483" t="str">
            <v/>
          </cell>
          <cell r="J483" t="str">
            <v/>
          </cell>
          <cell r="K483" t="str">
            <v/>
          </cell>
          <cell r="L483" t="str">
            <v/>
          </cell>
          <cell r="M483" t="str">
            <v/>
          </cell>
          <cell r="N483" t="str">
            <v/>
          </cell>
          <cell r="O483" t="str">
            <v/>
          </cell>
          <cell r="P483" t="str">
            <v/>
          </cell>
          <cell r="Q483" t="str">
            <v/>
          </cell>
          <cell r="R483" t="str">
            <v/>
          </cell>
          <cell r="S483" t="str">
            <v/>
          </cell>
        </row>
        <row r="484">
          <cell r="G484" t="str">
            <v/>
          </cell>
          <cell r="H484" t="str">
            <v/>
          </cell>
          <cell r="I484" t="str">
            <v/>
          </cell>
          <cell r="J484" t="str">
            <v/>
          </cell>
          <cell r="K484" t="str">
            <v/>
          </cell>
          <cell r="L484" t="str">
            <v/>
          </cell>
          <cell r="M484" t="str">
            <v/>
          </cell>
          <cell r="N484" t="str">
            <v/>
          </cell>
          <cell r="O484" t="str">
            <v/>
          </cell>
          <cell r="P484" t="str">
            <v/>
          </cell>
          <cell r="Q484" t="str">
            <v/>
          </cell>
          <cell r="R484" t="str">
            <v/>
          </cell>
          <cell r="S484" t="str">
            <v/>
          </cell>
        </row>
        <row r="485">
          <cell r="G485" t="str">
            <v/>
          </cell>
          <cell r="H485" t="str">
            <v/>
          </cell>
          <cell r="I485" t="str">
            <v/>
          </cell>
          <cell r="J485" t="str">
            <v/>
          </cell>
          <cell r="K485" t="str">
            <v/>
          </cell>
          <cell r="L485" t="str">
            <v/>
          </cell>
          <cell r="M485" t="str">
            <v/>
          </cell>
          <cell r="N485" t="str">
            <v/>
          </cell>
          <cell r="O485" t="str">
            <v/>
          </cell>
          <cell r="P485" t="str">
            <v/>
          </cell>
          <cell r="Q485" t="str">
            <v/>
          </cell>
          <cell r="R485" t="str">
            <v/>
          </cell>
          <cell r="S485" t="str">
            <v/>
          </cell>
        </row>
        <row r="486">
          <cell r="G486" t="str">
            <v/>
          </cell>
          <cell r="H486" t="str">
            <v/>
          </cell>
          <cell r="I486" t="str">
            <v/>
          </cell>
          <cell r="J486" t="str">
            <v/>
          </cell>
          <cell r="K486" t="str">
            <v/>
          </cell>
          <cell r="L486" t="str">
            <v/>
          </cell>
          <cell r="M486" t="str">
            <v/>
          </cell>
          <cell r="N486" t="str">
            <v/>
          </cell>
          <cell r="O486" t="str">
            <v/>
          </cell>
          <cell r="P486" t="str">
            <v/>
          </cell>
          <cell r="Q486" t="str">
            <v/>
          </cell>
          <cell r="R486" t="str">
            <v/>
          </cell>
          <cell r="S486" t="str">
            <v/>
          </cell>
        </row>
        <row r="487">
          <cell r="G487" t="str">
            <v/>
          </cell>
          <cell r="H487" t="str">
            <v/>
          </cell>
          <cell r="I487" t="str">
            <v/>
          </cell>
          <cell r="J487" t="str">
            <v/>
          </cell>
          <cell r="K487" t="str">
            <v/>
          </cell>
          <cell r="L487" t="str">
            <v/>
          </cell>
          <cell r="M487" t="str">
            <v/>
          </cell>
          <cell r="N487" t="str">
            <v/>
          </cell>
          <cell r="O487" t="str">
            <v/>
          </cell>
          <cell r="P487" t="str">
            <v/>
          </cell>
          <cell r="Q487" t="str">
            <v/>
          </cell>
          <cell r="R487" t="str">
            <v/>
          </cell>
          <cell r="S487" t="str">
            <v/>
          </cell>
        </row>
        <row r="488">
          <cell r="G488" t="str">
            <v/>
          </cell>
          <cell r="H488" t="str">
            <v/>
          </cell>
          <cell r="I488" t="str">
            <v/>
          </cell>
          <cell r="J488" t="str">
            <v/>
          </cell>
          <cell r="K488" t="str">
            <v/>
          </cell>
          <cell r="L488" t="str">
            <v/>
          </cell>
          <cell r="M488" t="str">
            <v/>
          </cell>
          <cell r="N488" t="str">
            <v/>
          </cell>
          <cell r="O488" t="str">
            <v/>
          </cell>
          <cell r="P488" t="str">
            <v/>
          </cell>
          <cell r="Q488" t="str">
            <v/>
          </cell>
          <cell r="R488" t="str">
            <v/>
          </cell>
          <cell r="S488" t="str">
            <v/>
          </cell>
        </row>
        <row r="489">
          <cell r="G489" t="str">
            <v/>
          </cell>
          <cell r="H489" t="str">
            <v/>
          </cell>
          <cell r="I489" t="str">
            <v/>
          </cell>
          <cell r="J489" t="str">
            <v/>
          </cell>
          <cell r="K489" t="str">
            <v/>
          </cell>
          <cell r="L489" t="str">
            <v/>
          </cell>
          <cell r="M489" t="str">
            <v/>
          </cell>
          <cell r="N489" t="str">
            <v/>
          </cell>
          <cell r="O489" t="str">
            <v/>
          </cell>
          <cell r="P489" t="str">
            <v/>
          </cell>
          <cell r="Q489" t="str">
            <v/>
          </cell>
          <cell r="R489" t="str">
            <v/>
          </cell>
          <cell r="S489" t="str">
            <v/>
          </cell>
        </row>
        <row r="490">
          <cell r="G490" t="str">
            <v/>
          </cell>
          <cell r="H490" t="str">
            <v/>
          </cell>
          <cell r="I490" t="str">
            <v/>
          </cell>
          <cell r="J490" t="str">
            <v/>
          </cell>
          <cell r="K490" t="str">
            <v/>
          </cell>
          <cell r="L490" t="str">
            <v/>
          </cell>
          <cell r="M490" t="str">
            <v/>
          </cell>
          <cell r="N490" t="str">
            <v/>
          </cell>
          <cell r="O490" t="str">
            <v/>
          </cell>
          <cell r="P490" t="str">
            <v/>
          </cell>
          <cell r="Q490" t="str">
            <v/>
          </cell>
          <cell r="R490" t="str">
            <v/>
          </cell>
          <cell r="S490" t="str">
            <v/>
          </cell>
        </row>
        <row r="491">
          <cell r="G491" t="str">
            <v/>
          </cell>
          <cell r="H491" t="str">
            <v/>
          </cell>
          <cell r="I491" t="str">
            <v/>
          </cell>
          <cell r="J491" t="str">
            <v/>
          </cell>
          <cell r="K491" t="str">
            <v/>
          </cell>
          <cell r="L491" t="str">
            <v/>
          </cell>
          <cell r="M491" t="str">
            <v/>
          </cell>
          <cell r="N491" t="str">
            <v/>
          </cell>
          <cell r="O491" t="str">
            <v/>
          </cell>
          <cell r="P491" t="str">
            <v/>
          </cell>
          <cell r="Q491" t="str">
            <v/>
          </cell>
          <cell r="R491" t="str">
            <v/>
          </cell>
          <cell r="S491" t="str">
            <v/>
          </cell>
        </row>
        <row r="492">
          <cell r="G492" t="str">
            <v/>
          </cell>
          <cell r="H492" t="str">
            <v/>
          </cell>
          <cell r="I492" t="str">
            <v/>
          </cell>
          <cell r="J492" t="str">
            <v/>
          </cell>
          <cell r="K492" t="str">
            <v/>
          </cell>
          <cell r="L492" t="str">
            <v/>
          </cell>
          <cell r="M492" t="str">
            <v/>
          </cell>
          <cell r="N492" t="str">
            <v/>
          </cell>
          <cell r="O492" t="str">
            <v/>
          </cell>
          <cell r="P492" t="str">
            <v/>
          </cell>
          <cell r="Q492" t="str">
            <v/>
          </cell>
          <cell r="R492" t="str">
            <v/>
          </cell>
          <cell r="S492" t="str">
            <v/>
          </cell>
        </row>
        <row r="493">
          <cell r="G493" t="str">
            <v/>
          </cell>
          <cell r="H493" t="str">
            <v/>
          </cell>
          <cell r="I493" t="str">
            <v/>
          </cell>
          <cell r="J493" t="str">
            <v/>
          </cell>
          <cell r="K493" t="str">
            <v/>
          </cell>
          <cell r="L493" t="str">
            <v/>
          </cell>
          <cell r="M493" t="str">
            <v/>
          </cell>
          <cell r="N493" t="str">
            <v/>
          </cell>
          <cell r="O493" t="str">
            <v/>
          </cell>
          <cell r="P493" t="str">
            <v/>
          </cell>
          <cell r="Q493" t="str">
            <v/>
          </cell>
          <cell r="R493" t="str">
            <v/>
          </cell>
          <cell r="S493" t="str">
            <v/>
          </cell>
        </row>
        <row r="494">
          <cell r="G494" t="str">
            <v/>
          </cell>
          <cell r="H494" t="str">
            <v/>
          </cell>
          <cell r="I494" t="str">
            <v/>
          </cell>
          <cell r="J494" t="str">
            <v/>
          </cell>
          <cell r="K494" t="str">
            <v/>
          </cell>
          <cell r="L494" t="str">
            <v/>
          </cell>
          <cell r="M494" t="str">
            <v/>
          </cell>
          <cell r="N494" t="str">
            <v/>
          </cell>
          <cell r="O494" t="str">
            <v/>
          </cell>
          <cell r="P494" t="str">
            <v/>
          </cell>
          <cell r="Q494" t="str">
            <v/>
          </cell>
          <cell r="R494" t="str">
            <v/>
          </cell>
          <cell r="S494" t="str">
            <v/>
          </cell>
        </row>
        <row r="495">
          <cell r="G495" t="str">
            <v/>
          </cell>
          <cell r="H495" t="str">
            <v/>
          </cell>
          <cell r="I495" t="str">
            <v/>
          </cell>
          <cell r="J495" t="str">
            <v/>
          </cell>
          <cell r="K495" t="str">
            <v/>
          </cell>
          <cell r="L495" t="str">
            <v/>
          </cell>
          <cell r="M495" t="str">
            <v/>
          </cell>
          <cell r="N495" t="str">
            <v/>
          </cell>
          <cell r="O495" t="str">
            <v/>
          </cell>
          <cell r="P495" t="str">
            <v/>
          </cell>
          <cell r="Q495" t="str">
            <v/>
          </cell>
          <cell r="R495" t="str">
            <v/>
          </cell>
          <cell r="S495" t="str">
            <v/>
          </cell>
        </row>
        <row r="496">
          <cell r="G496" t="str">
            <v/>
          </cell>
          <cell r="H496" t="str">
            <v/>
          </cell>
          <cell r="I496" t="str">
            <v/>
          </cell>
          <cell r="J496" t="str">
            <v/>
          </cell>
          <cell r="K496" t="str">
            <v/>
          </cell>
          <cell r="L496" t="str">
            <v/>
          </cell>
          <cell r="M496" t="str">
            <v/>
          </cell>
          <cell r="N496" t="str">
            <v/>
          </cell>
          <cell r="O496" t="str">
            <v/>
          </cell>
          <cell r="P496" t="str">
            <v/>
          </cell>
          <cell r="Q496" t="str">
            <v/>
          </cell>
          <cell r="R496" t="str">
            <v/>
          </cell>
          <cell r="S496" t="str">
            <v/>
          </cell>
        </row>
        <row r="497">
          <cell r="G497" t="str">
            <v/>
          </cell>
          <cell r="H497" t="str">
            <v/>
          </cell>
          <cell r="I497" t="str">
            <v/>
          </cell>
          <cell r="J497" t="str">
            <v/>
          </cell>
          <cell r="K497" t="str">
            <v/>
          </cell>
          <cell r="L497" t="str">
            <v/>
          </cell>
          <cell r="M497" t="str">
            <v/>
          </cell>
          <cell r="N497" t="str">
            <v/>
          </cell>
          <cell r="O497" t="str">
            <v/>
          </cell>
          <cell r="P497" t="str">
            <v/>
          </cell>
          <cell r="Q497" t="str">
            <v/>
          </cell>
          <cell r="R497" t="str">
            <v/>
          </cell>
          <cell r="S497" t="str">
            <v/>
          </cell>
        </row>
        <row r="498">
          <cell r="G498" t="str">
            <v/>
          </cell>
          <cell r="H498" t="str">
            <v/>
          </cell>
          <cell r="I498" t="str">
            <v/>
          </cell>
          <cell r="J498" t="str">
            <v/>
          </cell>
          <cell r="K498" t="str">
            <v/>
          </cell>
          <cell r="L498" t="str">
            <v/>
          </cell>
          <cell r="M498" t="str">
            <v/>
          </cell>
          <cell r="N498" t="str">
            <v/>
          </cell>
          <cell r="O498" t="str">
            <v/>
          </cell>
          <cell r="P498" t="str">
            <v/>
          </cell>
          <cell r="Q498" t="str">
            <v/>
          </cell>
          <cell r="R498" t="str">
            <v/>
          </cell>
          <cell r="S498" t="str">
            <v/>
          </cell>
        </row>
        <row r="499">
          <cell r="G499" t="str">
            <v/>
          </cell>
          <cell r="H499" t="str">
            <v/>
          </cell>
          <cell r="I499" t="str">
            <v/>
          </cell>
          <cell r="J499" t="str">
            <v/>
          </cell>
          <cell r="K499" t="str">
            <v/>
          </cell>
          <cell r="L499" t="str">
            <v/>
          </cell>
          <cell r="M499" t="str">
            <v/>
          </cell>
          <cell r="N499" t="str">
            <v/>
          </cell>
          <cell r="O499" t="str">
            <v/>
          </cell>
          <cell r="P499" t="str">
            <v/>
          </cell>
          <cell r="Q499" t="str">
            <v/>
          </cell>
          <cell r="R499" t="str">
            <v/>
          </cell>
          <cell r="S499" t="str">
            <v/>
          </cell>
        </row>
        <row r="500">
          <cell r="G500" t="str">
            <v/>
          </cell>
          <cell r="H500" t="str">
            <v/>
          </cell>
          <cell r="I500" t="str">
            <v/>
          </cell>
          <cell r="J500" t="str">
            <v/>
          </cell>
          <cell r="K500" t="str">
            <v/>
          </cell>
          <cell r="L500" t="str">
            <v/>
          </cell>
          <cell r="M500" t="str">
            <v/>
          </cell>
          <cell r="N500" t="str">
            <v/>
          </cell>
          <cell r="O500" t="str">
            <v/>
          </cell>
          <cell r="P500" t="str">
            <v/>
          </cell>
          <cell r="Q500" t="str">
            <v/>
          </cell>
          <cell r="R500" t="str">
            <v/>
          </cell>
          <cell r="S500" t="str">
            <v/>
          </cell>
        </row>
        <row r="501">
          <cell r="G501" t="str">
            <v/>
          </cell>
          <cell r="H501" t="str">
            <v/>
          </cell>
          <cell r="I501" t="str">
            <v/>
          </cell>
          <cell r="J501" t="str">
            <v/>
          </cell>
          <cell r="K501" t="str">
            <v/>
          </cell>
          <cell r="L501" t="str">
            <v/>
          </cell>
          <cell r="M501" t="str">
            <v/>
          </cell>
          <cell r="N501" t="str">
            <v/>
          </cell>
          <cell r="O501" t="str">
            <v/>
          </cell>
          <cell r="P501" t="str">
            <v/>
          </cell>
          <cell r="Q501" t="str">
            <v/>
          </cell>
          <cell r="R501" t="str">
            <v/>
          </cell>
          <cell r="S501" t="str">
            <v/>
          </cell>
        </row>
        <row r="502">
          <cell r="G502" t="str">
            <v/>
          </cell>
          <cell r="H502" t="str">
            <v/>
          </cell>
          <cell r="I502" t="str">
            <v/>
          </cell>
          <cell r="J502" t="str">
            <v/>
          </cell>
          <cell r="K502" t="str">
            <v/>
          </cell>
          <cell r="L502" t="str">
            <v/>
          </cell>
          <cell r="M502" t="str">
            <v/>
          </cell>
          <cell r="N502" t="str">
            <v/>
          </cell>
          <cell r="O502" t="str">
            <v/>
          </cell>
          <cell r="P502" t="str">
            <v/>
          </cell>
          <cell r="Q502" t="str">
            <v/>
          </cell>
          <cell r="R502" t="str">
            <v/>
          </cell>
          <cell r="S502" t="str">
            <v/>
          </cell>
        </row>
        <row r="503">
          <cell r="G503" t="str">
            <v/>
          </cell>
          <cell r="H503" t="str">
            <v/>
          </cell>
          <cell r="I503" t="str">
            <v/>
          </cell>
          <cell r="J503" t="str">
            <v/>
          </cell>
          <cell r="K503" t="str">
            <v/>
          </cell>
          <cell r="L503" t="str">
            <v/>
          </cell>
          <cell r="M503" t="str">
            <v/>
          </cell>
          <cell r="N503" t="str">
            <v/>
          </cell>
          <cell r="O503" t="str">
            <v/>
          </cell>
          <cell r="P503" t="str">
            <v/>
          </cell>
          <cell r="Q503" t="str">
            <v/>
          </cell>
          <cell r="R503" t="str">
            <v/>
          </cell>
          <cell r="S503" t="str">
            <v/>
          </cell>
        </row>
        <row r="504">
          <cell r="G504" t="str">
            <v/>
          </cell>
          <cell r="H504" t="str">
            <v/>
          </cell>
          <cell r="I504" t="str">
            <v/>
          </cell>
          <cell r="J504" t="str">
            <v/>
          </cell>
          <cell r="K504" t="str">
            <v/>
          </cell>
          <cell r="L504" t="str">
            <v/>
          </cell>
          <cell r="M504" t="str">
            <v/>
          </cell>
          <cell r="N504" t="str">
            <v/>
          </cell>
          <cell r="O504" t="str">
            <v/>
          </cell>
          <cell r="P504" t="str">
            <v/>
          </cell>
          <cell r="Q504" t="str">
            <v/>
          </cell>
          <cell r="R504" t="str">
            <v/>
          </cell>
          <cell r="S504" t="str">
            <v/>
          </cell>
        </row>
        <row r="505">
          <cell r="G505" t="str">
            <v/>
          </cell>
          <cell r="H505" t="str">
            <v/>
          </cell>
          <cell r="I505" t="str">
            <v/>
          </cell>
          <cell r="J505" t="str">
            <v/>
          </cell>
          <cell r="K505" t="str">
            <v/>
          </cell>
          <cell r="L505" t="str">
            <v/>
          </cell>
          <cell r="M505" t="str">
            <v/>
          </cell>
          <cell r="N505" t="str">
            <v/>
          </cell>
          <cell r="O505" t="str">
            <v/>
          </cell>
          <cell r="P505" t="str">
            <v/>
          </cell>
          <cell r="Q505" t="str">
            <v/>
          </cell>
          <cell r="R505" t="str">
            <v/>
          </cell>
          <cell r="S505" t="str">
            <v/>
          </cell>
        </row>
        <row r="506">
          <cell r="G506" t="str">
            <v/>
          </cell>
          <cell r="H506" t="str">
            <v/>
          </cell>
          <cell r="I506" t="str">
            <v/>
          </cell>
          <cell r="J506" t="str">
            <v/>
          </cell>
          <cell r="K506" t="str">
            <v/>
          </cell>
          <cell r="L506" t="str">
            <v/>
          </cell>
          <cell r="M506" t="str">
            <v/>
          </cell>
          <cell r="N506" t="str">
            <v/>
          </cell>
          <cell r="O506" t="str">
            <v/>
          </cell>
          <cell r="P506" t="str">
            <v/>
          </cell>
          <cell r="Q506" t="str">
            <v/>
          </cell>
          <cell r="R506" t="str">
            <v/>
          </cell>
          <cell r="S506" t="str">
            <v/>
          </cell>
        </row>
        <row r="507">
          <cell r="G507" t="str">
            <v/>
          </cell>
          <cell r="H507" t="str">
            <v/>
          </cell>
          <cell r="I507" t="str">
            <v/>
          </cell>
          <cell r="J507" t="str">
            <v/>
          </cell>
          <cell r="K507" t="str">
            <v/>
          </cell>
          <cell r="L507" t="str">
            <v/>
          </cell>
          <cell r="M507" t="str">
            <v/>
          </cell>
          <cell r="N507" t="str">
            <v/>
          </cell>
          <cell r="O507" t="str">
            <v/>
          </cell>
          <cell r="P507" t="str">
            <v/>
          </cell>
          <cell r="Q507" t="str">
            <v/>
          </cell>
          <cell r="R507" t="str">
            <v/>
          </cell>
          <cell r="S507" t="str">
            <v/>
          </cell>
        </row>
        <row r="508">
          <cell r="G508" t="str">
            <v/>
          </cell>
          <cell r="H508" t="str">
            <v/>
          </cell>
          <cell r="I508" t="str">
            <v/>
          </cell>
          <cell r="J508" t="str">
            <v/>
          </cell>
          <cell r="K508" t="str">
            <v/>
          </cell>
          <cell r="L508" t="str">
            <v/>
          </cell>
          <cell r="M508" t="str">
            <v/>
          </cell>
          <cell r="N508" t="str">
            <v/>
          </cell>
          <cell r="O508" t="str">
            <v/>
          </cell>
          <cell r="P508" t="str">
            <v/>
          </cell>
          <cell r="Q508" t="str">
            <v/>
          </cell>
          <cell r="R508" t="str">
            <v/>
          </cell>
          <cell r="S508" t="str">
            <v/>
          </cell>
        </row>
        <row r="509">
          <cell r="G509" t="str">
            <v/>
          </cell>
          <cell r="H509" t="str">
            <v/>
          </cell>
          <cell r="I509" t="str">
            <v/>
          </cell>
          <cell r="J509" t="str">
            <v/>
          </cell>
          <cell r="K509" t="str">
            <v/>
          </cell>
          <cell r="L509" t="str">
            <v/>
          </cell>
          <cell r="M509" t="str">
            <v/>
          </cell>
          <cell r="N509" t="str">
            <v/>
          </cell>
          <cell r="O509" t="str">
            <v/>
          </cell>
          <cell r="P509" t="str">
            <v/>
          </cell>
          <cell r="Q509" t="str">
            <v/>
          </cell>
          <cell r="R509" t="str">
            <v/>
          </cell>
          <cell r="S509" t="str">
            <v/>
          </cell>
        </row>
        <row r="510">
          <cell r="G510" t="str">
            <v/>
          </cell>
          <cell r="H510" t="str">
            <v/>
          </cell>
          <cell r="I510" t="str">
            <v/>
          </cell>
          <cell r="J510" t="str">
            <v/>
          </cell>
          <cell r="K510" t="str">
            <v/>
          </cell>
          <cell r="L510" t="str">
            <v/>
          </cell>
          <cell r="M510" t="str">
            <v/>
          </cell>
          <cell r="N510" t="str">
            <v/>
          </cell>
          <cell r="O510" t="str">
            <v/>
          </cell>
          <cell r="P510" t="str">
            <v/>
          </cell>
          <cell r="Q510" t="str">
            <v/>
          </cell>
          <cell r="R510" t="str">
            <v/>
          </cell>
          <cell r="S510" t="str">
            <v/>
          </cell>
        </row>
        <row r="511">
          <cell r="G511" t="str">
            <v/>
          </cell>
          <cell r="H511" t="str">
            <v/>
          </cell>
          <cell r="I511" t="str">
            <v/>
          </cell>
          <cell r="J511" t="str">
            <v/>
          </cell>
          <cell r="K511" t="str">
            <v/>
          </cell>
          <cell r="L511" t="str">
            <v/>
          </cell>
          <cell r="M511" t="str">
            <v/>
          </cell>
          <cell r="N511" t="str">
            <v/>
          </cell>
          <cell r="O511" t="str">
            <v/>
          </cell>
          <cell r="P511" t="str">
            <v/>
          </cell>
          <cell r="Q511" t="str">
            <v/>
          </cell>
          <cell r="R511" t="str">
            <v/>
          </cell>
          <cell r="S511" t="str">
            <v/>
          </cell>
        </row>
        <row r="512">
          <cell r="G512" t="str">
            <v/>
          </cell>
          <cell r="H512" t="str">
            <v/>
          </cell>
          <cell r="I512" t="str">
            <v/>
          </cell>
          <cell r="J512" t="str">
            <v/>
          </cell>
          <cell r="K512" t="str">
            <v/>
          </cell>
          <cell r="L512" t="str">
            <v/>
          </cell>
          <cell r="M512" t="str">
            <v/>
          </cell>
          <cell r="N512" t="str">
            <v/>
          </cell>
          <cell r="O512" t="str">
            <v/>
          </cell>
          <cell r="P512" t="str">
            <v/>
          </cell>
          <cell r="Q512" t="str">
            <v/>
          </cell>
          <cell r="R512" t="str">
            <v/>
          </cell>
          <cell r="S512" t="str">
            <v/>
          </cell>
        </row>
        <row r="513">
          <cell r="G513" t="str">
            <v/>
          </cell>
          <cell r="H513" t="str">
            <v/>
          </cell>
          <cell r="I513" t="str">
            <v/>
          </cell>
          <cell r="J513" t="str">
            <v/>
          </cell>
          <cell r="K513" t="str">
            <v/>
          </cell>
          <cell r="L513" t="str">
            <v/>
          </cell>
          <cell r="M513" t="str">
            <v/>
          </cell>
          <cell r="N513" t="str">
            <v/>
          </cell>
          <cell r="O513" t="str">
            <v/>
          </cell>
          <cell r="P513" t="str">
            <v/>
          </cell>
          <cell r="Q513" t="str">
            <v/>
          </cell>
          <cell r="R513" t="str">
            <v/>
          </cell>
          <cell r="S513" t="str">
            <v/>
          </cell>
        </row>
        <row r="514">
          <cell r="G514" t="str">
            <v/>
          </cell>
          <cell r="H514" t="str">
            <v/>
          </cell>
          <cell r="I514" t="str">
            <v/>
          </cell>
          <cell r="J514" t="str">
            <v/>
          </cell>
          <cell r="K514" t="str">
            <v/>
          </cell>
          <cell r="L514" t="str">
            <v/>
          </cell>
          <cell r="M514" t="str">
            <v/>
          </cell>
          <cell r="N514" t="str">
            <v/>
          </cell>
          <cell r="O514" t="str">
            <v/>
          </cell>
          <cell r="P514" t="str">
            <v/>
          </cell>
          <cell r="Q514" t="str">
            <v/>
          </cell>
          <cell r="R514" t="str">
            <v/>
          </cell>
          <cell r="S514" t="str">
            <v/>
          </cell>
        </row>
        <row r="515">
          <cell r="G515" t="str">
            <v/>
          </cell>
          <cell r="H515" t="str">
            <v/>
          </cell>
          <cell r="I515" t="str">
            <v/>
          </cell>
          <cell r="J515" t="str">
            <v/>
          </cell>
          <cell r="K515" t="str">
            <v/>
          </cell>
          <cell r="L515" t="str">
            <v/>
          </cell>
          <cell r="M515" t="str">
            <v/>
          </cell>
          <cell r="N515" t="str">
            <v/>
          </cell>
          <cell r="O515" t="str">
            <v/>
          </cell>
          <cell r="P515" t="str">
            <v/>
          </cell>
          <cell r="Q515" t="str">
            <v/>
          </cell>
          <cell r="R515" t="str">
            <v/>
          </cell>
          <cell r="S515" t="str">
            <v/>
          </cell>
        </row>
        <row r="516">
          <cell r="G516" t="str">
            <v/>
          </cell>
          <cell r="H516" t="str">
            <v/>
          </cell>
          <cell r="I516" t="str">
            <v/>
          </cell>
          <cell r="J516" t="str">
            <v/>
          </cell>
          <cell r="K516" t="str">
            <v/>
          </cell>
          <cell r="L516" t="str">
            <v/>
          </cell>
          <cell r="M516" t="str">
            <v/>
          </cell>
          <cell r="N516" t="str">
            <v/>
          </cell>
          <cell r="O516" t="str">
            <v/>
          </cell>
          <cell r="P516" t="str">
            <v/>
          </cell>
          <cell r="Q516" t="str">
            <v/>
          </cell>
          <cell r="R516" t="str">
            <v/>
          </cell>
          <cell r="S516" t="str">
            <v/>
          </cell>
        </row>
        <row r="517">
          <cell r="G517" t="str">
            <v/>
          </cell>
          <cell r="H517" t="str">
            <v/>
          </cell>
          <cell r="I517" t="str">
            <v/>
          </cell>
          <cell r="J517" t="str">
            <v/>
          </cell>
          <cell r="K517" t="str">
            <v/>
          </cell>
          <cell r="L517" t="str">
            <v/>
          </cell>
          <cell r="M517" t="str">
            <v/>
          </cell>
          <cell r="N517" t="str">
            <v/>
          </cell>
          <cell r="O517" t="str">
            <v/>
          </cell>
          <cell r="P517" t="str">
            <v/>
          </cell>
          <cell r="Q517" t="str">
            <v/>
          </cell>
          <cell r="R517" t="str">
            <v/>
          </cell>
          <cell r="S517" t="str">
            <v/>
          </cell>
        </row>
        <row r="518">
          <cell r="G518" t="str">
            <v/>
          </cell>
          <cell r="H518" t="str">
            <v/>
          </cell>
          <cell r="I518" t="str">
            <v/>
          </cell>
          <cell r="J518" t="str">
            <v/>
          </cell>
          <cell r="K518" t="str">
            <v/>
          </cell>
          <cell r="L518" t="str">
            <v/>
          </cell>
          <cell r="M518" t="str">
            <v/>
          </cell>
          <cell r="N518" t="str">
            <v/>
          </cell>
          <cell r="O518" t="str">
            <v/>
          </cell>
          <cell r="P518" t="str">
            <v/>
          </cell>
          <cell r="Q518" t="str">
            <v/>
          </cell>
          <cell r="R518" t="str">
            <v/>
          </cell>
          <cell r="S518" t="str">
            <v/>
          </cell>
        </row>
        <row r="519">
          <cell r="G519" t="str">
            <v/>
          </cell>
          <cell r="H519" t="str">
            <v/>
          </cell>
          <cell r="I519" t="str">
            <v/>
          </cell>
          <cell r="J519" t="str">
            <v/>
          </cell>
          <cell r="K519" t="str">
            <v/>
          </cell>
          <cell r="L519" t="str">
            <v/>
          </cell>
          <cell r="M519" t="str">
            <v/>
          </cell>
          <cell r="N519" t="str">
            <v/>
          </cell>
          <cell r="O519" t="str">
            <v/>
          </cell>
          <cell r="P519" t="str">
            <v/>
          </cell>
          <cell r="Q519" t="str">
            <v/>
          </cell>
          <cell r="R519" t="str">
            <v/>
          </cell>
          <cell r="S519" t="str">
            <v/>
          </cell>
        </row>
        <row r="520">
          <cell r="G520" t="str">
            <v/>
          </cell>
          <cell r="H520" t="str">
            <v/>
          </cell>
          <cell r="I520" t="str">
            <v/>
          </cell>
          <cell r="J520" t="str">
            <v/>
          </cell>
          <cell r="K520" t="str">
            <v/>
          </cell>
          <cell r="L520" t="str">
            <v/>
          </cell>
          <cell r="M520" t="str">
            <v/>
          </cell>
          <cell r="N520" t="str">
            <v/>
          </cell>
          <cell r="O520" t="str">
            <v/>
          </cell>
          <cell r="P520" t="str">
            <v/>
          </cell>
          <cell r="Q520" t="str">
            <v/>
          </cell>
          <cell r="R520" t="str">
            <v/>
          </cell>
          <cell r="S520" t="str">
            <v/>
          </cell>
        </row>
        <row r="521">
          <cell r="G521" t="str">
            <v/>
          </cell>
          <cell r="H521" t="str">
            <v/>
          </cell>
          <cell r="I521" t="str">
            <v/>
          </cell>
          <cell r="J521" t="str">
            <v/>
          </cell>
          <cell r="K521" t="str">
            <v/>
          </cell>
          <cell r="L521" t="str">
            <v/>
          </cell>
          <cell r="M521" t="str">
            <v/>
          </cell>
          <cell r="N521" t="str">
            <v/>
          </cell>
          <cell r="O521" t="str">
            <v/>
          </cell>
          <cell r="P521" t="str">
            <v/>
          </cell>
          <cell r="Q521" t="str">
            <v/>
          </cell>
          <cell r="R521" t="str">
            <v/>
          </cell>
          <cell r="S521" t="str">
            <v/>
          </cell>
        </row>
        <row r="522">
          <cell r="G522" t="str">
            <v/>
          </cell>
          <cell r="H522" t="str">
            <v/>
          </cell>
          <cell r="I522" t="str">
            <v/>
          </cell>
          <cell r="J522" t="str">
            <v/>
          </cell>
          <cell r="K522" t="str">
            <v/>
          </cell>
          <cell r="L522" t="str">
            <v/>
          </cell>
          <cell r="M522" t="str">
            <v/>
          </cell>
          <cell r="N522" t="str">
            <v/>
          </cell>
          <cell r="O522" t="str">
            <v/>
          </cell>
          <cell r="P522" t="str">
            <v/>
          </cell>
          <cell r="Q522" t="str">
            <v/>
          </cell>
          <cell r="R522" t="str">
            <v/>
          </cell>
          <cell r="S522" t="str">
            <v/>
          </cell>
        </row>
        <row r="523">
          <cell r="G523" t="str">
            <v/>
          </cell>
          <cell r="H523" t="str">
            <v/>
          </cell>
          <cell r="I523" t="str">
            <v/>
          </cell>
          <cell r="J523" t="str">
            <v/>
          </cell>
          <cell r="K523" t="str">
            <v/>
          </cell>
          <cell r="L523" t="str">
            <v/>
          </cell>
          <cell r="M523" t="str">
            <v/>
          </cell>
          <cell r="N523" t="str">
            <v/>
          </cell>
          <cell r="O523" t="str">
            <v/>
          </cell>
          <cell r="P523" t="str">
            <v/>
          </cell>
          <cell r="Q523" t="str">
            <v/>
          </cell>
          <cell r="R523" t="str">
            <v/>
          </cell>
          <cell r="S523" t="str">
            <v/>
          </cell>
        </row>
        <row r="524">
          <cell r="G524" t="str">
            <v/>
          </cell>
          <cell r="H524" t="str">
            <v/>
          </cell>
          <cell r="I524" t="str">
            <v/>
          </cell>
          <cell r="J524" t="str">
            <v/>
          </cell>
          <cell r="K524" t="str">
            <v/>
          </cell>
          <cell r="L524" t="str">
            <v/>
          </cell>
          <cell r="M524" t="str">
            <v/>
          </cell>
          <cell r="N524" t="str">
            <v/>
          </cell>
          <cell r="O524" t="str">
            <v/>
          </cell>
          <cell r="P524" t="str">
            <v/>
          </cell>
          <cell r="Q524" t="str">
            <v/>
          </cell>
          <cell r="R524" t="str">
            <v/>
          </cell>
          <cell r="S524" t="str">
            <v/>
          </cell>
        </row>
        <row r="525">
          <cell r="G525" t="str">
            <v/>
          </cell>
          <cell r="H525" t="str">
            <v/>
          </cell>
          <cell r="I525" t="str">
            <v/>
          </cell>
          <cell r="J525" t="str">
            <v/>
          </cell>
          <cell r="K525" t="str">
            <v/>
          </cell>
          <cell r="L525" t="str">
            <v/>
          </cell>
          <cell r="M525" t="str">
            <v/>
          </cell>
          <cell r="N525" t="str">
            <v/>
          </cell>
          <cell r="O525" t="str">
            <v/>
          </cell>
          <cell r="P525" t="str">
            <v/>
          </cell>
          <cell r="Q525" t="str">
            <v/>
          </cell>
          <cell r="R525" t="str">
            <v/>
          </cell>
          <cell r="S525" t="str">
            <v/>
          </cell>
        </row>
        <row r="526">
          <cell r="G526" t="str">
            <v/>
          </cell>
          <cell r="H526" t="str">
            <v/>
          </cell>
          <cell r="I526" t="str">
            <v/>
          </cell>
          <cell r="J526" t="str">
            <v/>
          </cell>
          <cell r="K526" t="str">
            <v/>
          </cell>
          <cell r="L526" t="str">
            <v/>
          </cell>
          <cell r="M526" t="str">
            <v/>
          </cell>
          <cell r="N526" t="str">
            <v/>
          </cell>
          <cell r="O526" t="str">
            <v/>
          </cell>
          <cell r="P526" t="str">
            <v/>
          </cell>
          <cell r="Q526" t="str">
            <v/>
          </cell>
          <cell r="R526" t="str">
            <v/>
          </cell>
          <cell r="S526" t="str">
            <v/>
          </cell>
        </row>
        <row r="527">
          <cell r="G527" t="str">
            <v/>
          </cell>
          <cell r="H527" t="str">
            <v/>
          </cell>
          <cell r="I527" t="str">
            <v/>
          </cell>
          <cell r="J527" t="str">
            <v/>
          </cell>
          <cell r="K527" t="str">
            <v/>
          </cell>
          <cell r="L527" t="str">
            <v/>
          </cell>
          <cell r="M527" t="str">
            <v/>
          </cell>
          <cell r="N527" t="str">
            <v/>
          </cell>
          <cell r="O527" t="str">
            <v/>
          </cell>
          <cell r="P527" t="str">
            <v/>
          </cell>
          <cell r="Q527" t="str">
            <v/>
          </cell>
          <cell r="R527" t="str">
            <v/>
          </cell>
          <cell r="S527" t="str">
            <v/>
          </cell>
        </row>
        <row r="528">
          <cell r="G528" t="str">
            <v/>
          </cell>
          <cell r="H528" t="str">
            <v/>
          </cell>
          <cell r="I528" t="str">
            <v/>
          </cell>
          <cell r="J528" t="str">
            <v/>
          </cell>
          <cell r="K528" t="str">
            <v/>
          </cell>
          <cell r="L528" t="str">
            <v/>
          </cell>
          <cell r="M528" t="str">
            <v/>
          </cell>
          <cell r="N528" t="str">
            <v/>
          </cell>
          <cell r="O528" t="str">
            <v/>
          </cell>
          <cell r="P528" t="str">
            <v/>
          </cell>
          <cell r="Q528" t="str">
            <v/>
          </cell>
          <cell r="R528" t="str">
            <v/>
          </cell>
          <cell r="S528" t="str">
            <v/>
          </cell>
        </row>
        <row r="529">
          <cell r="G529" t="str">
            <v/>
          </cell>
          <cell r="H529" t="str">
            <v/>
          </cell>
          <cell r="I529" t="str">
            <v/>
          </cell>
          <cell r="J529" t="str">
            <v/>
          </cell>
          <cell r="K529" t="str">
            <v/>
          </cell>
          <cell r="L529" t="str">
            <v/>
          </cell>
          <cell r="M529" t="str">
            <v/>
          </cell>
          <cell r="N529" t="str">
            <v/>
          </cell>
          <cell r="O529" t="str">
            <v/>
          </cell>
          <cell r="P529" t="str">
            <v/>
          </cell>
          <cell r="Q529" t="str">
            <v/>
          </cell>
          <cell r="R529" t="str">
            <v/>
          </cell>
          <cell r="S529" t="str">
            <v/>
          </cell>
        </row>
        <row r="530">
          <cell r="G530" t="str">
            <v/>
          </cell>
          <cell r="H530" t="str">
            <v/>
          </cell>
          <cell r="I530" t="str">
            <v/>
          </cell>
          <cell r="J530" t="str">
            <v/>
          </cell>
          <cell r="K530" t="str">
            <v/>
          </cell>
          <cell r="L530" t="str">
            <v/>
          </cell>
          <cell r="M530" t="str">
            <v/>
          </cell>
          <cell r="N530" t="str">
            <v/>
          </cell>
          <cell r="O530" t="str">
            <v/>
          </cell>
          <cell r="P530" t="str">
            <v/>
          </cell>
          <cell r="Q530" t="str">
            <v/>
          </cell>
          <cell r="R530" t="str">
            <v/>
          </cell>
          <cell r="S530" t="str">
            <v/>
          </cell>
        </row>
        <row r="531">
          <cell r="G531" t="str">
            <v/>
          </cell>
          <cell r="H531" t="str">
            <v/>
          </cell>
          <cell r="I531" t="str">
            <v/>
          </cell>
          <cell r="J531" t="str">
            <v/>
          </cell>
          <cell r="K531" t="str">
            <v/>
          </cell>
          <cell r="L531" t="str">
            <v/>
          </cell>
          <cell r="M531" t="str">
            <v/>
          </cell>
          <cell r="N531" t="str">
            <v/>
          </cell>
          <cell r="O531" t="str">
            <v/>
          </cell>
          <cell r="P531" t="str">
            <v/>
          </cell>
          <cell r="Q531" t="str">
            <v/>
          </cell>
          <cell r="R531" t="str">
            <v/>
          </cell>
          <cell r="S531" t="str">
            <v/>
          </cell>
        </row>
        <row r="532">
          <cell r="G532" t="str">
            <v/>
          </cell>
          <cell r="H532" t="str">
            <v/>
          </cell>
          <cell r="I532" t="str">
            <v/>
          </cell>
          <cell r="J532" t="str">
            <v/>
          </cell>
          <cell r="K532" t="str">
            <v/>
          </cell>
          <cell r="L532" t="str">
            <v/>
          </cell>
          <cell r="M532" t="str">
            <v/>
          </cell>
          <cell r="N532" t="str">
            <v/>
          </cell>
          <cell r="O532" t="str">
            <v/>
          </cell>
          <cell r="P532" t="str">
            <v/>
          </cell>
          <cell r="Q532" t="str">
            <v/>
          </cell>
          <cell r="R532" t="str">
            <v/>
          </cell>
          <cell r="S532" t="str">
            <v/>
          </cell>
        </row>
        <row r="533">
          <cell r="G533" t="str">
            <v/>
          </cell>
          <cell r="H533" t="str">
            <v/>
          </cell>
          <cell r="I533" t="str">
            <v/>
          </cell>
          <cell r="J533" t="str">
            <v/>
          </cell>
          <cell r="K533" t="str">
            <v/>
          </cell>
          <cell r="L533" t="str">
            <v/>
          </cell>
          <cell r="M533" t="str">
            <v/>
          </cell>
          <cell r="N533" t="str">
            <v/>
          </cell>
          <cell r="O533" t="str">
            <v/>
          </cell>
          <cell r="P533" t="str">
            <v/>
          </cell>
          <cell r="Q533" t="str">
            <v/>
          </cell>
          <cell r="R533" t="str">
            <v/>
          </cell>
          <cell r="S533" t="str">
            <v/>
          </cell>
        </row>
        <row r="534">
          <cell r="G534" t="str">
            <v/>
          </cell>
          <cell r="H534" t="str">
            <v/>
          </cell>
          <cell r="I534" t="str">
            <v/>
          </cell>
          <cell r="J534" t="str">
            <v/>
          </cell>
          <cell r="K534" t="str">
            <v/>
          </cell>
          <cell r="L534" t="str">
            <v/>
          </cell>
          <cell r="M534" t="str">
            <v/>
          </cell>
          <cell r="N534" t="str">
            <v/>
          </cell>
          <cell r="O534" t="str">
            <v/>
          </cell>
          <cell r="P534" t="str">
            <v/>
          </cell>
          <cell r="Q534" t="str">
            <v/>
          </cell>
          <cell r="R534" t="str">
            <v/>
          </cell>
          <cell r="S534" t="str">
            <v/>
          </cell>
        </row>
        <row r="535">
          <cell r="G535" t="str">
            <v/>
          </cell>
          <cell r="H535" t="str">
            <v/>
          </cell>
          <cell r="I535" t="str">
            <v/>
          </cell>
          <cell r="J535" t="str">
            <v/>
          </cell>
          <cell r="K535" t="str">
            <v/>
          </cell>
          <cell r="L535" t="str">
            <v/>
          </cell>
          <cell r="M535" t="str">
            <v/>
          </cell>
          <cell r="N535" t="str">
            <v/>
          </cell>
          <cell r="O535" t="str">
            <v/>
          </cell>
          <cell r="P535" t="str">
            <v/>
          </cell>
          <cell r="Q535" t="str">
            <v/>
          </cell>
          <cell r="R535" t="str">
            <v/>
          </cell>
          <cell r="S535" t="str">
            <v/>
          </cell>
        </row>
        <row r="536">
          <cell r="G536" t="str">
            <v/>
          </cell>
          <cell r="H536" t="str">
            <v/>
          </cell>
          <cell r="I536" t="str">
            <v/>
          </cell>
          <cell r="J536" t="str">
            <v/>
          </cell>
          <cell r="K536" t="str">
            <v/>
          </cell>
          <cell r="L536" t="str">
            <v/>
          </cell>
          <cell r="M536" t="str">
            <v/>
          </cell>
          <cell r="N536" t="str">
            <v/>
          </cell>
          <cell r="O536" t="str">
            <v/>
          </cell>
          <cell r="P536" t="str">
            <v/>
          </cell>
          <cell r="Q536" t="str">
            <v/>
          </cell>
          <cell r="R536" t="str">
            <v/>
          </cell>
          <cell r="S536" t="str">
            <v/>
          </cell>
        </row>
        <row r="537">
          <cell r="G537" t="str">
            <v/>
          </cell>
          <cell r="H537" t="str">
            <v/>
          </cell>
          <cell r="I537" t="str">
            <v/>
          </cell>
          <cell r="J537" t="str">
            <v/>
          </cell>
          <cell r="K537" t="str">
            <v/>
          </cell>
          <cell r="L537" t="str">
            <v/>
          </cell>
          <cell r="M537" t="str">
            <v/>
          </cell>
          <cell r="N537" t="str">
            <v/>
          </cell>
          <cell r="O537" t="str">
            <v/>
          </cell>
          <cell r="P537" t="str">
            <v/>
          </cell>
          <cell r="Q537" t="str">
            <v/>
          </cell>
          <cell r="R537" t="str">
            <v/>
          </cell>
          <cell r="S537" t="str">
            <v/>
          </cell>
        </row>
        <row r="538">
          <cell r="G538" t="str">
            <v/>
          </cell>
          <cell r="H538" t="str">
            <v/>
          </cell>
          <cell r="I538" t="str">
            <v/>
          </cell>
          <cell r="J538" t="str">
            <v/>
          </cell>
          <cell r="K538" t="str">
            <v/>
          </cell>
          <cell r="L538" t="str">
            <v/>
          </cell>
          <cell r="M538" t="str">
            <v/>
          </cell>
          <cell r="N538" t="str">
            <v/>
          </cell>
          <cell r="O538" t="str">
            <v/>
          </cell>
          <cell r="P538" t="str">
            <v/>
          </cell>
          <cell r="Q538" t="str">
            <v/>
          </cell>
          <cell r="R538" t="str">
            <v/>
          </cell>
          <cell r="S538" t="str">
            <v/>
          </cell>
        </row>
        <row r="539">
          <cell r="G539" t="str">
            <v/>
          </cell>
          <cell r="H539" t="str">
            <v/>
          </cell>
          <cell r="I539" t="str">
            <v/>
          </cell>
          <cell r="J539" t="str">
            <v/>
          </cell>
          <cell r="K539" t="str">
            <v/>
          </cell>
          <cell r="L539" t="str">
            <v/>
          </cell>
          <cell r="M539" t="str">
            <v/>
          </cell>
          <cell r="N539" t="str">
            <v/>
          </cell>
          <cell r="O539" t="str">
            <v/>
          </cell>
          <cell r="P539" t="str">
            <v/>
          </cell>
          <cell r="Q539" t="str">
            <v/>
          </cell>
          <cell r="R539" t="str">
            <v/>
          </cell>
          <cell r="S539" t="str">
            <v/>
          </cell>
        </row>
        <row r="540">
          <cell r="G540" t="str">
            <v/>
          </cell>
          <cell r="H540" t="str">
            <v/>
          </cell>
          <cell r="I540" t="str">
            <v/>
          </cell>
          <cell r="J540" t="str">
            <v/>
          </cell>
          <cell r="K540" t="str">
            <v/>
          </cell>
          <cell r="L540" t="str">
            <v/>
          </cell>
          <cell r="M540" t="str">
            <v/>
          </cell>
          <cell r="N540" t="str">
            <v/>
          </cell>
          <cell r="O540" t="str">
            <v/>
          </cell>
          <cell r="P540" t="str">
            <v/>
          </cell>
          <cell r="Q540" t="str">
            <v/>
          </cell>
          <cell r="R540" t="str">
            <v/>
          </cell>
          <cell r="S540" t="str">
            <v/>
          </cell>
        </row>
        <row r="541">
          <cell r="G541" t="str">
            <v/>
          </cell>
          <cell r="H541" t="str">
            <v/>
          </cell>
          <cell r="I541" t="str">
            <v/>
          </cell>
          <cell r="J541" t="str">
            <v/>
          </cell>
          <cell r="K541" t="str">
            <v/>
          </cell>
          <cell r="L541" t="str">
            <v/>
          </cell>
          <cell r="M541" t="str">
            <v/>
          </cell>
          <cell r="N541" t="str">
            <v/>
          </cell>
          <cell r="O541" t="str">
            <v/>
          </cell>
          <cell r="P541" t="str">
            <v/>
          </cell>
          <cell r="Q541" t="str">
            <v/>
          </cell>
          <cell r="R541" t="str">
            <v/>
          </cell>
          <cell r="S541" t="str">
            <v/>
          </cell>
        </row>
        <row r="542">
          <cell r="G542" t="str">
            <v/>
          </cell>
          <cell r="H542" t="str">
            <v/>
          </cell>
          <cell r="I542" t="str">
            <v/>
          </cell>
          <cell r="J542" t="str">
            <v/>
          </cell>
          <cell r="K542" t="str">
            <v/>
          </cell>
          <cell r="L542" t="str">
            <v/>
          </cell>
          <cell r="M542" t="str">
            <v/>
          </cell>
          <cell r="N542" t="str">
            <v/>
          </cell>
          <cell r="O542" t="str">
            <v/>
          </cell>
          <cell r="P542" t="str">
            <v/>
          </cell>
          <cell r="Q542" t="str">
            <v/>
          </cell>
          <cell r="R542" t="str">
            <v/>
          </cell>
          <cell r="S542" t="str">
            <v/>
          </cell>
        </row>
        <row r="543">
          <cell r="G543" t="str">
            <v/>
          </cell>
          <cell r="H543" t="str">
            <v/>
          </cell>
          <cell r="I543" t="str">
            <v/>
          </cell>
          <cell r="J543" t="str">
            <v/>
          </cell>
          <cell r="K543" t="str">
            <v/>
          </cell>
          <cell r="L543" t="str">
            <v/>
          </cell>
          <cell r="M543" t="str">
            <v/>
          </cell>
          <cell r="N543" t="str">
            <v/>
          </cell>
          <cell r="O543" t="str">
            <v/>
          </cell>
          <cell r="P543" t="str">
            <v/>
          </cell>
          <cell r="Q543" t="str">
            <v/>
          </cell>
          <cell r="R543" t="str">
            <v/>
          </cell>
          <cell r="S543" t="str">
            <v/>
          </cell>
        </row>
        <row r="544">
          <cell r="G544" t="str">
            <v/>
          </cell>
          <cell r="H544" t="str">
            <v/>
          </cell>
          <cell r="I544" t="str">
            <v/>
          </cell>
          <cell r="J544" t="str">
            <v/>
          </cell>
          <cell r="K544" t="str">
            <v/>
          </cell>
          <cell r="L544" t="str">
            <v/>
          </cell>
          <cell r="M544" t="str">
            <v/>
          </cell>
          <cell r="N544" t="str">
            <v/>
          </cell>
          <cell r="O544" t="str">
            <v/>
          </cell>
          <cell r="P544" t="str">
            <v/>
          </cell>
          <cell r="Q544" t="str">
            <v/>
          </cell>
          <cell r="R544" t="str">
            <v/>
          </cell>
          <cell r="S544" t="str">
            <v/>
          </cell>
        </row>
        <row r="545">
          <cell r="G545" t="str">
            <v/>
          </cell>
          <cell r="H545" t="str">
            <v/>
          </cell>
          <cell r="I545" t="str">
            <v/>
          </cell>
          <cell r="J545" t="str">
            <v/>
          </cell>
          <cell r="K545" t="str">
            <v/>
          </cell>
          <cell r="L545" t="str">
            <v/>
          </cell>
          <cell r="M545" t="str">
            <v/>
          </cell>
          <cell r="N545" t="str">
            <v/>
          </cell>
          <cell r="O545" t="str">
            <v/>
          </cell>
          <cell r="P545" t="str">
            <v/>
          </cell>
          <cell r="Q545" t="str">
            <v/>
          </cell>
          <cell r="R545" t="str">
            <v/>
          </cell>
          <cell r="S545" t="str">
            <v/>
          </cell>
        </row>
        <row r="546">
          <cell r="G546" t="str">
            <v/>
          </cell>
          <cell r="H546" t="str">
            <v/>
          </cell>
          <cell r="I546" t="str">
            <v/>
          </cell>
          <cell r="J546" t="str">
            <v/>
          </cell>
          <cell r="K546" t="str">
            <v/>
          </cell>
          <cell r="L546" t="str">
            <v/>
          </cell>
          <cell r="M546" t="str">
            <v/>
          </cell>
          <cell r="N546" t="str">
            <v/>
          </cell>
          <cell r="O546" t="str">
            <v/>
          </cell>
          <cell r="P546" t="str">
            <v/>
          </cell>
          <cell r="Q546" t="str">
            <v/>
          </cell>
          <cell r="R546" t="str">
            <v/>
          </cell>
          <cell r="S546" t="str">
            <v/>
          </cell>
        </row>
        <row r="547">
          <cell r="G547" t="str">
            <v/>
          </cell>
          <cell r="H547" t="str">
            <v/>
          </cell>
          <cell r="I547" t="str">
            <v/>
          </cell>
          <cell r="J547" t="str">
            <v/>
          </cell>
          <cell r="K547" t="str">
            <v/>
          </cell>
          <cell r="L547" t="str">
            <v/>
          </cell>
          <cell r="M547" t="str">
            <v/>
          </cell>
          <cell r="N547" t="str">
            <v/>
          </cell>
          <cell r="O547" t="str">
            <v/>
          </cell>
          <cell r="P547" t="str">
            <v/>
          </cell>
          <cell r="Q547" t="str">
            <v/>
          </cell>
          <cell r="R547" t="str">
            <v/>
          </cell>
          <cell r="S547" t="str">
            <v/>
          </cell>
        </row>
        <row r="548">
          <cell r="G548" t="str">
            <v/>
          </cell>
          <cell r="H548" t="str">
            <v/>
          </cell>
          <cell r="I548" t="str">
            <v/>
          </cell>
          <cell r="J548" t="str">
            <v/>
          </cell>
          <cell r="K548" t="str">
            <v/>
          </cell>
          <cell r="L548" t="str">
            <v/>
          </cell>
          <cell r="M548" t="str">
            <v/>
          </cell>
          <cell r="N548" t="str">
            <v/>
          </cell>
          <cell r="O548" t="str">
            <v/>
          </cell>
          <cell r="P548" t="str">
            <v/>
          </cell>
          <cell r="Q548" t="str">
            <v/>
          </cell>
          <cell r="R548" t="str">
            <v/>
          </cell>
          <cell r="S548" t="str">
            <v/>
          </cell>
        </row>
        <row r="549">
          <cell r="G549" t="str">
            <v/>
          </cell>
          <cell r="H549" t="str">
            <v/>
          </cell>
          <cell r="I549" t="str">
            <v/>
          </cell>
          <cell r="J549" t="str">
            <v/>
          </cell>
          <cell r="K549" t="str">
            <v/>
          </cell>
          <cell r="L549" t="str">
            <v/>
          </cell>
          <cell r="M549" t="str">
            <v/>
          </cell>
          <cell r="N549" t="str">
            <v/>
          </cell>
          <cell r="O549" t="str">
            <v/>
          </cell>
          <cell r="P549" t="str">
            <v/>
          </cell>
          <cell r="Q549" t="str">
            <v/>
          </cell>
          <cell r="R549" t="str">
            <v/>
          </cell>
          <cell r="S549" t="str">
            <v/>
          </cell>
        </row>
        <row r="550">
          <cell r="G550" t="str">
            <v/>
          </cell>
          <cell r="H550" t="str">
            <v/>
          </cell>
          <cell r="I550" t="str">
            <v/>
          </cell>
          <cell r="J550" t="str">
            <v/>
          </cell>
          <cell r="K550" t="str">
            <v/>
          </cell>
          <cell r="L550" t="str">
            <v/>
          </cell>
          <cell r="M550" t="str">
            <v/>
          </cell>
          <cell r="N550" t="str">
            <v/>
          </cell>
          <cell r="O550" t="str">
            <v/>
          </cell>
          <cell r="P550" t="str">
            <v/>
          </cell>
          <cell r="Q550" t="str">
            <v/>
          </cell>
          <cell r="R550" t="str">
            <v/>
          </cell>
          <cell r="S550" t="str">
            <v/>
          </cell>
        </row>
        <row r="551">
          <cell r="G551" t="str">
            <v/>
          </cell>
          <cell r="H551" t="str">
            <v/>
          </cell>
          <cell r="I551" t="str">
            <v/>
          </cell>
          <cell r="J551" t="str">
            <v/>
          </cell>
          <cell r="K551" t="str">
            <v/>
          </cell>
          <cell r="L551" t="str">
            <v/>
          </cell>
          <cell r="M551" t="str">
            <v/>
          </cell>
          <cell r="N551" t="str">
            <v/>
          </cell>
          <cell r="O551" t="str">
            <v/>
          </cell>
          <cell r="P551" t="str">
            <v/>
          </cell>
          <cell r="Q551" t="str">
            <v/>
          </cell>
          <cell r="R551" t="str">
            <v/>
          </cell>
          <cell r="S551" t="str">
            <v/>
          </cell>
        </row>
        <row r="552">
          <cell r="G552" t="str">
            <v/>
          </cell>
          <cell r="H552" t="str">
            <v/>
          </cell>
          <cell r="I552" t="str">
            <v/>
          </cell>
          <cell r="J552" t="str">
            <v/>
          </cell>
          <cell r="K552" t="str">
            <v/>
          </cell>
          <cell r="L552" t="str">
            <v/>
          </cell>
          <cell r="M552" t="str">
            <v/>
          </cell>
          <cell r="N552" t="str">
            <v/>
          </cell>
          <cell r="O552" t="str">
            <v/>
          </cell>
          <cell r="P552" t="str">
            <v/>
          </cell>
          <cell r="Q552" t="str">
            <v/>
          </cell>
          <cell r="R552" t="str">
            <v/>
          </cell>
          <cell r="S552" t="str">
            <v/>
          </cell>
        </row>
        <row r="553">
          <cell r="G553" t="str">
            <v/>
          </cell>
          <cell r="H553" t="str">
            <v/>
          </cell>
          <cell r="I553" t="str">
            <v/>
          </cell>
          <cell r="J553" t="str">
            <v/>
          </cell>
          <cell r="K553" t="str">
            <v/>
          </cell>
          <cell r="L553" t="str">
            <v/>
          </cell>
          <cell r="M553" t="str">
            <v/>
          </cell>
          <cell r="N553" t="str">
            <v/>
          </cell>
          <cell r="O553" t="str">
            <v/>
          </cell>
          <cell r="P553" t="str">
            <v/>
          </cell>
          <cell r="Q553" t="str">
            <v/>
          </cell>
          <cell r="R553" t="str">
            <v/>
          </cell>
          <cell r="S553" t="str">
            <v/>
          </cell>
        </row>
        <row r="554">
          <cell r="G554" t="str">
            <v/>
          </cell>
          <cell r="H554" t="str">
            <v/>
          </cell>
          <cell r="I554" t="str">
            <v/>
          </cell>
          <cell r="J554" t="str">
            <v/>
          </cell>
          <cell r="K554" t="str">
            <v/>
          </cell>
          <cell r="L554" t="str">
            <v/>
          </cell>
          <cell r="M554" t="str">
            <v/>
          </cell>
          <cell r="N554" t="str">
            <v/>
          </cell>
          <cell r="O554" t="str">
            <v/>
          </cell>
          <cell r="P554" t="str">
            <v/>
          </cell>
          <cell r="Q554" t="str">
            <v/>
          </cell>
          <cell r="R554" t="str">
            <v/>
          </cell>
          <cell r="S554" t="str">
            <v/>
          </cell>
        </row>
        <row r="555">
          <cell r="G555" t="str">
            <v/>
          </cell>
          <cell r="H555" t="str">
            <v/>
          </cell>
          <cell r="I555" t="str">
            <v/>
          </cell>
          <cell r="J555" t="str">
            <v/>
          </cell>
          <cell r="K555" t="str">
            <v/>
          </cell>
          <cell r="L555" t="str">
            <v/>
          </cell>
          <cell r="M555" t="str">
            <v/>
          </cell>
          <cell r="N555" t="str">
            <v/>
          </cell>
          <cell r="O555" t="str">
            <v/>
          </cell>
          <cell r="P555" t="str">
            <v/>
          </cell>
          <cell r="Q555" t="str">
            <v/>
          </cell>
          <cell r="R555" t="str">
            <v/>
          </cell>
          <cell r="S555" t="str">
            <v/>
          </cell>
        </row>
        <row r="556">
          <cell r="G556" t="str">
            <v/>
          </cell>
          <cell r="H556" t="str">
            <v/>
          </cell>
          <cell r="I556" t="str">
            <v/>
          </cell>
          <cell r="J556" t="str">
            <v/>
          </cell>
          <cell r="K556" t="str">
            <v/>
          </cell>
          <cell r="L556" t="str">
            <v/>
          </cell>
          <cell r="M556" t="str">
            <v/>
          </cell>
          <cell r="N556" t="str">
            <v/>
          </cell>
          <cell r="O556" t="str">
            <v/>
          </cell>
          <cell r="P556" t="str">
            <v/>
          </cell>
          <cell r="Q556" t="str">
            <v/>
          </cell>
          <cell r="R556" t="str">
            <v/>
          </cell>
          <cell r="S556" t="str">
            <v/>
          </cell>
        </row>
        <row r="557">
          <cell r="G557" t="str">
            <v/>
          </cell>
          <cell r="H557" t="str">
            <v/>
          </cell>
          <cell r="I557" t="str">
            <v/>
          </cell>
          <cell r="J557" t="str">
            <v/>
          </cell>
          <cell r="K557" t="str">
            <v/>
          </cell>
          <cell r="L557" t="str">
            <v/>
          </cell>
          <cell r="M557" t="str">
            <v/>
          </cell>
          <cell r="N557" t="str">
            <v/>
          </cell>
          <cell r="O557" t="str">
            <v/>
          </cell>
          <cell r="P557" t="str">
            <v/>
          </cell>
          <cell r="Q557" t="str">
            <v/>
          </cell>
          <cell r="R557" t="str">
            <v/>
          </cell>
          <cell r="S557" t="str">
            <v/>
          </cell>
        </row>
        <row r="558">
          <cell r="G558" t="str">
            <v/>
          </cell>
          <cell r="H558" t="str">
            <v/>
          </cell>
          <cell r="I558" t="str">
            <v/>
          </cell>
          <cell r="J558" t="str">
            <v/>
          </cell>
          <cell r="K558" t="str">
            <v/>
          </cell>
          <cell r="L558" t="str">
            <v/>
          </cell>
          <cell r="M558" t="str">
            <v/>
          </cell>
          <cell r="N558" t="str">
            <v/>
          </cell>
          <cell r="O558" t="str">
            <v/>
          </cell>
          <cell r="P558" t="str">
            <v/>
          </cell>
          <cell r="Q558" t="str">
            <v/>
          </cell>
          <cell r="R558" t="str">
            <v/>
          </cell>
          <cell r="S558" t="str">
            <v/>
          </cell>
        </row>
        <row r="559">
          <cell r="G559" t="str">
            <v/>
          </cell>
          <cell r="H559" t="str">
            <v/>
          </cell>
          <cell r="I559" t="str">
            <v/>
          </cell>
          <cell r="J559" t="str">
            <v/>
          </cell>
          <cell r="K559" t="str">
            <v/>
          </cell>
          <cell r="L559" t="str">
            <v/>
          </cell>
          <cell r="M559" t="str">
            <v/>
          </cell>
          <cell r="N559" t="str">
            <v/>
          </cell>
          <cell r="O559" t="str">
            <v/>
          </cell>
          <cell r="P559" t="str">
            <v/>
          </cell>
          <cell r="Q559" t="str">
            <v/>
          </cell>
          <cell r="R559" t="str">
            <v/>
          </cell>
          <cell r="S559" t="str">
            <v/>
          </cell>
        </row>
        <row r="560">
          <cell r="G560" t="str">
            <v/>
          </cell>
          <cell r="H560" t="str">
            <v/>
          </cell>
          <cell r="I560" t="str">
            <v/>
          </cell>
          <cell r="J560" t="str">
            <v/>
          </cell>
          <cell r="K560" t="str">
            <v/>
          </cell>
          <cell r="L560" t="str">
            <v/>
          </cell>
          <cell r="M560" t="str">
            <v/>
          </cell>
          <cell r="N560" t="str">
            <v/>
          </cell>
          <cell r="O560" t="str">
            <v/>
          </cell>
          <cell r="P560" t="str">
            <v/>
          </cell>
          <cell r="Q560" t="str">
            <v/>
          </cell>
          <cell r="R560" t="str">
            <v/>
          </cell>
          <cell r="S560" t="str">
            <v/>
          </cell>
        </row>
        <row r="561">
          <cell r="G561" t="str">
            <v/>
          </cell>
          <cell r="H561" t="str">
            <v/>
          </cell>
          <cell r="I561" t="str">
            <v/>
          </cell>
          <cell r="J561" t="str">
            <v/>
          </cell>
          <cell r="K561" t="str">
            <v/>
          </cell>
          <cell r="L561" t="str">
            <v/>
          </cell>
          <cell r="M561" t="str">
            <v/>
          </cell>
          <cell r="N561" t="str">
            <v/>
          </cell>
          <cell r="O561" t="str">
            <v/>
          </cell>
          <cell r="P561" t="str">
            <v/>
          </cell>
          <cell r="Q561" t="str">
            <v/>
          </cell>
          <cell r="R561" t="str">
            <v/>
          </cell>
          <cell r="S561" t="str">
            <v/>
          </cell>
        </row>
        <row r="562">
          <cell r="G562" t="str">
            <v/>
          </cell>
          <cell r="H562" t="str">
            <v/>
          </cell>
          <cell r="I562" t="str">
            <v/>
          </cell>
          <cell r="J562" t="str">
            <v/>
          </cell>
          <cell r="K562" t="str">
            <v/>
          </cell>
          <cell r="L562" t="str">
            <v/>
          </cell>
          <cell r="M562" t="str">
            <v/>
          </cell>
          <cell r="N562" t="str">
            <v/>
          </cell>
          <cell r="O562" t="str">
            <v/>
          </cell>
          <cell r="P562" t="str">
            <v/>
          </cell>
          <cell r="Q562" t="str">
            <v/>
          </cell>
          <cell r="R562" t="str">
            <v/>
          </cell>
          <cell r="S562" t="str">
            <v/>
          </cell>
        </row>
        <row r="563">
          <cell r="G563" t="str">
            <v/>
          </cell>
          <cell r="H563" t="str">
            <v/>
          </cell>
          <cell r="I563" t="str">
            <v/>
          </cell>
          <cell r="J563" t="str">
            <v/>
          </cell>
          <cell r="K563" t="str">
            <v/>
          </cell>
          <cell r="L563" t="str">
            <v/>
          </cell>
          <cell r="M563" t="str">
            <v/>
          </cell>
          <cell r="N563" t="str">
            <v/>
          </cell>
          <cell r="O563" t="str">
            <v/>
          </cell>
          <cell r="P563" t="str">
            <v/>
          </cell>
          <cell r="Q563" t="str">
            <v/>
          </cell>
          <cell r="R563" t="str">
            <v/>
          </cell>
          <cell r="S563" t="str">
            <v/>
          </cell>
        </row>
        <row r="564">
          <cell r="G564" t="str">
            <v/>
          </cell>
          <cell r="H564" t="str">
            <v/>
          </cell>
          <cell r="I564" t="str">
            <v/>
          </cell>
          <cell r="J564" t="str">
            <v/>
          </cell>
          <cell r="K564" t="str">
            <v/>
          </cell>
          <cell r="L564" t="str">
            <v/>
          </cell>
          <cell r="M564" t="str">
            <v/>
          </cell>
          <cell r="N564" t="str">
            <v/>
          </cell>
          <cell r="O564" t="str">
            <v/>
          </cell>
          <cell r="P564" t="str">
            <v/>
          </cell>
          <cell r="Q564" t="str">
            <v/>
          </cell>
          <cell r="R564" t="str">
            <v/>
          </cell>
          <cell r="S564" t="str">
            <v/>
          </cell>
        </row>
        <row r="565">
          <cell r="G565" t="str">
            <v/>
          </cell>
          <cell r="H565" t="str">
            <v/>
          </cell>
          <cell r="I565" t="str">
            <v/>
          </cell>
          <cell r="J565" t="str">
            <v/>
          </cell>
          <cell r="K565" t="str">
            <v/>
          </cell>
          <cell r="L565" t="str">
            <v/>
          </cell>
          <cell r="M565" t="str">
            <v/>
          </cell>
          <cell r="N565" t="str">
            <v/>
          </cell>
          <cell r="O565" t="str">
            <v/>
          </cell>
          <cell r="P565" t="str">
            <v/>
          </cell>
          <cell r="Q565" t="str">
            <v/>
          </cell>
          <cell r="R565" t="str">
            <v/>
          </cell>
          <cell r="S565" t="str">
            <v/>
          </cell>
        </row>
        <row r="566">
          <cell r="G566" t="str">
            <v/>
          </cell>
          <cell r="H566" t="str">
            <v/>
          </cell>
          <cell r="I566" t="str">
            <v/>
          </cell>
          <cell r="J566" t="str">
            <v/>
          </cell>
          <cell r="K566" t="str">
            <v/>
          </cell>
          <cell r="L566" t="str">
            <v/>
          </cell>
          <cell r="M566" t="str">
            <v/>
          </cell>
          <cell r="N566" t="str">
            <v/>
          </cell>
          <cell r="O566" t="str">
            <v/>
          </cell>
          <cell r="P566" t="str">
            <v/>
          </cell>
          <cell r="Q566" t="str">
            <v/>
          </cell>
          <cell r="R566" t="str">
            <v/>
          </cell>
          <cell r="S566" t="str">
            <v/>
          </cell>
        </row>
        <row r="567">
          <cell r="G567" t="str">
            <v/>
          </cell>
          <cell r="H567" t="str">
            <v/>
          </cell>
          <cell r="I567" t="str">
            <v/>
          </cell>
          <cell r="J567" t="str">
            <v/>
          </cell>
          <cell r="K567" t="str">
            <v/>
          </cell>
          <cell r="L567" t="str">
            <v/>
          </cell>
          <cell r="M567" t="str">
            <v/>
          </cell>
          <cell r="N567" t="str">
            <v/>
          </cell>
          <cell r="O567" t="str">
            <v/>
          </cell>
          <cell r="P567" t="str">
            <v/>
          </cell>
          <cell r="Q567" t="str">
            <v/>
          </cell>
          <cell r="R567" t="str">
            <v/>
          </cell>
          <cell r="S567" t="str">
            <v/>
          </cell>
        </row>
        <row r="568">
          <cell r="G568" t="str">
            <v/>
          </cell>
          <cell r="H568" t="str">
            <v/>
          </cell>
          <cell r="I568" t="str">
            <v/>
          </cell>
          <cell r="J568" t="str">
            <v/>
          </cell>
          <cell r="K568" t="str">
            <v/>
          </cell>
          <cell r="L568" t="str">
            <v/>
          </cell>
          <cell r="M568" t="str">
            <v/>
          </cell>
          <cell r="N568" t="str">
            <v/>
          </cell>
          <cell r="O568" t="str">
            <v/>
          </cell>
          <cell r="P568" t="str">
            <v/>
          </cell>
          <cell r="Q568" t="str">
            <v/>
          </cell>
          <cell r="R568" t="str">
            <v/>
          </cell>
          <cell r="S568" t="str">
            <v/>
          </cell>
        </row>
        <row r="569">
          <cell r="G569" t="str">
            <v/>
          </cell>
          <cell r="H569" t="str">
            <v/>
          </cell>
          <cell r="I569" t="str">
            <v/>
          </cell>
          <cell r="J569" t="str">
            <v/>
          </cell>
          <cell r="K569" t="str">
            <v/>
          </cell>
          <cell r="L569" t="str">
            <v/>
          </cell>
          <cell r="M569" t="str">
            <v/>
          </cell>
          <cell r="N569" t="str">
            <v/>
          </cell>
          <cell r="O569" t="str">
            <v/>
          </cell>
          <cell r="P569" t="str">
            <v/>
          </cell>
          <cell r="Q569" t="str">
            <v/>
          </cell>
          <cell r="R569" t="str">
            <v/>
          </cell>
          <cell r="S569" t="str">
            <v/>
          </cell>
        </row>
        <row r="570">
          <cell r="G570" t="str">
            <v/>
          </cell>
          <cell r="H570" t="str">
            <v/>
          </cell>
          <cell r="I570" t="str">
            <v/>
          </cell>
          <cell r="J570" t="str">
            <v/>
          </cell>
          <cell r="K570" t="str">
            <v/>
          </cell>
          <cell r="L570" t="str">
            <v/>
          </cell>
          <cell r="M570" t="str">
            <v/>
          </cell>
          <cell r="N570" t="str">
            <v/>
          </cell>
          <cell r="O570" t="str">
            <v/>
          </cell>
          <cell r="P570" t="str">
            <v/>
          </cell>
          <cell r="Q570" t="str">
            <v/>
          </cell>
          <cell r="R570" t="str">
            <v/>
          </cell>
          <cell r="S570" t="str">
            <v/>
          </cell>
        </row>
        <row r="571">
          <cell r="G571" t="str">
            <v/>
          </cell>
          <cell r="H571" t="str">
            <v/>
          </cell>
          <cell r="I571" t="str">
            <v/>
          </cell>
          <cell r="J571" t="str">
            <v/>
          </cell>
          <cell r="K571" t="str">
            <v/>
          </cell>
          <cell r="L571" t="str">
            <v/>
          </cell>
          <cell r="M571" t="str">
            <v/>
          </cell>
          <cell r="N571" t="str">
            <v/>
          </cell>
          <cell r="O571" t="str">
            <v/>
          </cell>
          <cell r="P571" t="str">
            <v/>
          </cell>
          <cell r="Q571" t="str">
            <v/>
          </cell>
          <cell r="R571" t="str">
            <v/>
          </cell>
          <cell r="S571" t="str">
            <v/>
          </cell>
        </row>
        <row r="572">
          <cell r="G572" t="str">
            <v/>
          </cell>
          <cell r="H572" t="str">
            <v/>
          </cell>
          <cell r="I572" t="str">
            <v/>
          </cell>
          <cell r="J572" t="str">
            <v/>
          </cell>
          <cell r="K572" t="str">
            <v/>
          </cell>
          <cell r="L572" t="str">
            <v/>
          </cell>
          <cell r="M572" t="str">
            <v/>
          </cell>
          <cell r="N572" t="str">
            <v/>
          </cell>
          <cell r="O572" t="str">
            <v/>
          </cell>
          <cell r="P572" t="str">
            <v/>
          </cell>
          <cell r="Q572" t="str">
            <v/>
          </cell>
          <cell r="R572" t="str">
            <v/>
          </cell>
          <cell r="S572" t="str">
            <v/>
          </cell>
        </row>
        <row r="573">
          <cell r="G573" t="str">
            <v/>
          </cell>
          <cell r="H573" t="str">
            <v/>
          </cell>
          <cell r="I573" t="str">
            <v/>
          </cell>
          <cell r="J573" t="str">
            <v/>
          </cell>
          <cell r="K573" t="str">
            <v/>
          </cell>
          <cell r="L573" t="str">
            <v/>
          </cell>
          <cell r="M573" t="str">
            <v/>
          </cell>
          <cell r="N573" t="str">
            <v/>
          </cell>
          <cell r="O573" t="str">
            <v/>
          </cell>
          <cell r="P573" t="str">
            <v/>
          </cell>
          <cell r="Q573" t="str">
            <v/>
          </cell>
          <cell r="R573" t="str">
            <v/>
          </cell>
          <cell r="S573" t="str">
            <v/>
          </cell>
        </row>
        <row r="574">
          <cell r="G574" t="str">
            <v/>
          </cell>
          <cell r="H574" t="str">
            <v/>
          </cell>
          <cell r="I574" t="str">
            <v/>
          </cell>
          <cell r="J574" t="str">
            <v/>
          </cell>
          <cell r="K574" t="str">
            <v/>
          </cell>
          <cell r="L574" t="str">
            <v/>
          </cell>
          <cell r="M574" t="str">
            <v/>
          </cell>
          <cell r="N574" t="str">
            <v/>
          </cell>
          <cell r="O574" t="str">
            <v/>
          </cell>
          <cell r="P574" t="str">
            <v/>
          </cell>
          <cell r="Q574" t="str">
            <v/>
          </cell>
          <cell r="R574" t="str">
            <v/>
          </cell>
          <cell r="S574" t="str">
            <v/>
          </cell>
        </row>
        <row r="575">
          <cell r="G575" t="str">
            <v/>
          </cell>
          <cell r="H575" t="str">
            <v/>
          </cell>
          <cell r="I575" t="str">
            <v/>
          </cell>
          <cell r="J575" t="str">
            <v/>
          </cell>
          <cell r="K575" t="str">
            <v/>
          </cell>
          <cell r="L575" t="str">
            <v/>
          </cell>
          <cell r="M575" t="str">
            <v/>
          </cell>
          <cell r="N575" t="str">
            <v/>
          </cell>
          <cell r="O575" t="str">
            <v/>
          </cell>
          <cell r="P575" t="str">
            <v/>
          </cell>
          <cell r="Q575" t="str">
            <v/>
          </cell>
          <cell r="R575" t="str">
            <v/>
          </cell>
          <cell r="S575" t="str">
            <v/>
          </cell>
        </row>
        <row r="576">
          <cell r="G576" t="str">
            <v/>
          </cell>
          <cell r="H576" t="str">
            <v/>
          </cell>
          <cell r="I576" t="str">
            <v/>
          </cell>
          <cell r="J576" t="str">
            <v/>
          </cell>
          <cell r="K576" t="str">
            <v/>
          </cell>
          <cell r="L576" t="str">
            <v/>
          </cell>
          <cell r="M576" t="str">
            <v/>
          </cell>
          <cell r="N576" t="str">
            <v/>
          </cell>
          <cell r="O576" t="str">
            <v/>
          </cell>
          <cell r="P576" t="str">
            <v/>
          </cell>
          <cell r="Q576" t="str">
            <v/>
          </cell>
          <cell r="R576" t="str">
            <v/>
          </cell>
          <cell r="S576" t="str">
            <v/>
          </cell>
        </row>
        <row r="577">
          <cell r="G577" t="str">
            <v/>
          </cell>
          <cell r="H577" t="str">
            <v/>
          </cell>
          <cell r="I577" t="str">
            <v/>
          </cell>
          <cell r="J577" t="str">
            <v/>
          </cell>
          <cell r="K577" t="str">
            <v/>
          </cell>
          <cell r="L577" t="str">
            <v/>
          </cell>
          <cell r="M577" t="str">
            <v/>
          </cell>
          <cell r="N577" t="str">
            <v/>
          </cell>
          <cell r="O577" t="str">
            <v/>
          </cell>
          <cell r="P577" t="str">
            <v/>
          </cell>
          <cell r="Q577" t="str">
            <v/>
          </cell>
          <cell r="R577" t="str">
            <v/>
          </cell>
          <cell r="S577" t="str">
            <v/>
          </cell>
        </row>
        <row r="578">
          <cell r="G578" t="str">
            <v/>
          </cell>
          <cell r="H578" t="str">
            <v/>
          </cell>
          <cell r="I578" t="str">
            <v/>
          </cell>
          <cell r="J578" t="str">
            <v/>
          </cell>
          <cell r="K578" t="str">
            <v/>
          </cell>
          <cell r="L578" t="str">
            <v/>
          </cell>
          <cell r="M578" t="str">
            <v/>
          </cell>
          <cell r="N578" t="str">
            <v/>
          </cell>
          <cell r="O578" t="str">
            <v/>
          </cell>
          <cell r="P578" t="str">
            <v/>
          </cell>
          <cell r="Q578" t="str">
            <v/>
          </cell>
          <cell r="R578" t="str">
            <v/>
          </cell>
          <cell r="S578" t="str">
            <v/>
          </cell>
        </row>
        <row r="579">
          <cell r="G579" t="str">
            <v/>
          </cell>
          <cell r="H579" t="str">
            <v/>
          </cell>
          <cell r="I579" t="str">
            <v/>
          </cell>
          <cell r="J579" t="str">
            <v/>
          </cell>
          <cell r="K579" t="str">
            <v/>
          </cell>
          <cell r="L579" t="str">
            <v/>
          </cell>
          <cell r="M579" t="str">
            <v/>
          </cell>
          <cell r="N579" t="str">
            <v/>
          </cell>
          <cell r="O579" t="str">
            <v/>
          </cell>
          <cell r="P579" t="str">
            <v/>
          </cell>
          <cell r="Q579" t="str">
            <v/>
          </cell>
          <cell r="R579" t="str">
            <v/>
          </cell>
          <cell r="S579" t="str">
            <v/>
          </cell>
        </row>
        <row r="580">
          <cell r="G580" t="str">
            <v/>
          </cell>
          <cell r="H580" t="str">
            <v/>
          </cell>
          <cell r="I580" t="str">
            <v/>
          </cell>
          <cell r="J580" t="str">
            <v/>
          </cell>
          <cell r="K580" t="str">
            <v/>
          </cell>
          <cell r="L580" t="str">
            <v/>
          </cell>
          <cell r="M580" t="str">
            <v/>
          </cell>
          <cell r="N580" t="str">
            <v/>
          </cell>
          <cell r="O580" t="str">
            <v/>
          </cell>
          <cell r="P580" t="str">
            <v/>
          </cell>
          <cell r="Q580" t="str">
            <v/>
          </cell>
          <cell r="R580" t="str">
            <v/>
          </cell>
          <cell r="S580" t="str">
            <v/>
          </cell>
        </row>
        <row r="581">
          <cell r="G581" t="str">
            <v/>
          </cell>
          <cell r="H581" t="str">
            <v/>
          </cell>
          <cell r="I581" t="str">
            <v/>
          </cell>
          <cell r="J581" t="str">
            <v/>
          </cell>
          <cell r="K581" t="str">
            <v/>
          </cell>
          <cell r="L581" t="str">
            <v/>
          </cell>
          <cell r="M581" t="str">
            <v/>
          </cell>
          <cell r="N581" t="str">
            <v/>
          </cell>
          <cell r="O581" t="str">
            <v/>
          </cell>
          <cell r="P581" t="str">
            <v/>
          </cell>
          <cell r="Q581" t="str">
            <v/>
          </cell>
          <cell r="R581" t="str">
            <v/>
          </cell>
          <cell r="S581" t="str">
            <v/>
          </cell>
        </row>
        <row r="582">
          <cell r="G582" t="str">
            <v/>
          </cell>
          <cell r="H582" t="str">
            <v/>
          </cell>
          <cell r="I582" t="str">
            <v/>
          </cell>
          <cell r="J582" t="str">
            <v/>
          </cell>
          <cell r="K582" t="str">
            <v/>
          </cell>
          <cell r="L582" t="str">
            <v/>
          </cell>
          <cell r="M582" t="str">
            <v/>
          </cell>
          <cell r="N582" t="str">
            <v/>
          </cell>
          <cell r="O582" t="str">
            <v/>
          </cell>
          <cell r="P582" t="str">
            <v/>
          </cell>
          <cell r="Q582" t="str">
            <v/>
          </cell>
          <cell r="R582" t="str">
            <v/>
          </cell>
          <cell r="S582" t="str">
            <v/>
          </cell>
        </row>
        <row r="583">
          <cell r="G583" t="str">
            <v/>
          </cell>
          <cell r="H583" t="str">
            <v/>
          </cell>
          <cell r="I583" t="str">
            <v/>
          </cell>
          <cell r="J583" t="str">
            <v/>
          </cell>
          <cell r="K583" t="str">
            <v/>
          </cell>
          <cell r="L583" t="str">
            <v/>
          </cell>
          <cell r="M583" t="str">
            <v/>
          </cell>
          <cell r="N583" t="str">
            <v/>
          </cell>
          <cell r="O583" t="str">
            <v/>
          </cell>
          <cell r="P583" t="str">
            <v/>
          </cell>
          <cell r="Q583" t="str">
            <v/>
          </cell>
          <cell r="R583" t="str">
            <v/>
          </cell>
          <cell r="S583" t="str">
            <v/>
          </cell>
        </row>
        <row r="584">
          <cell r="G584" t="str">
            <v/>
          </cell>
          <cell r="H584" t="str">
            <v/>
          </cell>
          <cell r="I584" t="str">
            <v/>
          </cell>
          <cell r="J584" t="str">
            <v/>
          </cell>
          <cell r="K584" t="str">
            <v/>
          </cell>
          <cell r="L584" t="str">
            <v/>
          </cell>
          <cell r="M584" t="str">
            <v/>
          </cell>
          <cell r="N584" t="str">
            <v/>
          </cell>
          <cell r="O584" t="str">
            <v/>
          </cell>
          <cell r="P584" t="str">
            <v/>
          </cell>
          <cell r="Q584" t="str">
            <v/>
          </cell>
          <cell r="R584" t="str">
            <v/>
          </cell>
          <cell r="S584" t="str">
            <v/>
          </cell>
        </row>
        <row r="585">
          <cell r="G585" t="str">
            <v/>
          </cell>
          <cell r="H585" t="str">
            <v/>
          </cell>
          <cell r="I585" t="str">
            <v/>
          </cell>
          <cell r="J585" t="str">
            <v/>
          </cell>
          <cell r="K585" t="str">
            <v/>
          </cell>
          <cell r="L585" t="str">
            <v/>
          </cell>
          <cell r="M585" t="str">
            <v/>
          </cell>
          <cell r="N585" t="str">
            <v/>
          </cell>
          <cell r="O585" t="str">
            <v/>
          </cell>
          <cell r="P585" t="str">
            <v/>
          </cell>
          <cell r="Q585" t="str">
            <v/>
          </cell>
          <cell r="R585" t="str">
            <v/>
          </cell>
          <cell r="S585" t="str">
            <v/>
          </cell>
        </row>
        <row r="586">
          <cell r="G586" t="str">
            <v/>
          </cell>
          <cell r="H586" t="str">
            <v/>
          </cell>
          <cell r="I586" t="str">
            <v/>
          </cell>
          <cell r="J586" t="str">
            <v/>
          </cell>
          <cell r="K586" t="str">
            <v/>
          </cell>
          <cell r="L586" t="str">
            <v/>
          </cell>
          <cell r="M586" t="str">
            <v/>
          </cell>
          <cell r="N586" t="str">
            <v/>
          </cell>
          <cell r="O586" t="str">
            <v/>
          </cell>
          <cell r="P586" t="str">
            <v/>
          </cell>
          <cell r="Q586" t="str">
            <v/>
          </cell>
          <cell r="R586" t="str">
            <v/>
          </cell>
          <cell r="S586" t="str">
            <v/>
          </cell>
        </row>
        <row r="587">
          <cell r="G587" t="str">
            <v/>
          </cell>
          <cell r="H587" t="str">
            <v/>
          </cell>
          <cell r="I587" t="str">
            <v/>
          </cell>
          <cell r="J587" t="str">
            <v/>
          </cell>
          <cell r="K587" t="str">
            <v/>
          </cell>
          <cell r="L587" t="str">
            <v/>
          </cell>
          <cell r="M587" t="str">
            <v/>
          </cell>
          <cell r="N587" t="str">
            <v/>
          </cell>
          <cell r="O587" t="str">
            <v/>
          </cell>
          <cell r="P587" t="str">
            <v/>
          </cell>
          <cell r="Q587" t="str">
            <v/>
          </cell>
          <cell r="R587" t="str">
            <v/>
          </cell>
          <cell r="S587" t="str">
            <v/>
          </cell>
        </row>
        <row r="588">
          <cell r="G588" t="str">
            <v/>
          </cell>
          <cell r="H588" t="str">
            <v/>
          </cell>
          <cell r="I588" t="str">
            <v/>
          </cell>
          <cell r="J588" t="str">
            <v/>
          </cell>
          <cell r="K588" t="str">
            <v/>
          </cell>
          <cell r="L588" t="str">
            <v/>
          </cell>
          <cell r="M588" t="str">
            <v/>
          </cell>
          <cell r="N588" t="str">
            <v/>
          </cell>
          <cell r="O588" t="str">
            <v/>
          </cell>
          <cell r="P588" t="str">
            <v/>
          </cell>
          <cell r="Q588" t="str">
            <v/>
          </cell>
          <cell r="R588" t="str">
            <v/>
          </cell>
          <cell r="S588" t="str">
            <v/>
          </cell>
        </row>
        <row r="589">
          <cell r="G589" t="str">
            <v/>
          </cell>
          <cell r="H589" t="str">
            <v/>
          </cell>
          <cell r="I589" t="str">
            <v/>
          </cell>
          <cell r="J589" t="str">
            <v/>
          </cell>
          <cell r="K589" t="str">
            <v/>
          </cell>
          <cell r="L589" t="str">
            <v/>
          </cell>
          <cell r="M589" t="str">
            <v/>
          </cell>
          <cell r="N589" t="str">
            <v/>
          </cell>
          <cell r="O589" t="str">
            <v/>
          </cell>
          <cell r="P589" t="str">
            <v/>
          </cell>
          <cell r="Q589" t="str">
            <v/>
          </cell>
          <cell r="R589" t="str">
            <v/>
          </cell>
          <cell r="S589" t="str">
            <v/>
          </cell>
        </row>
        <row r="590">
          <cell r="G590" t="str">
            <v/>
          </cell>
          <cell r="H590" t="str">
            <v/>
          </cell>
          <cell r="I590" t="str">
            <v/>
          </cell>
          <cell r="J590" t="str">
            <v/>
          </cell>
          <cell r="K590" t="str">
            <v/>
          </cell>
          <cell r="L590" t="str">
            <v/>
          </cell>
          <cell r="M590" t="str">
            <v/>
          </cell>
          <cell r="N590" t="str">
            <v/>
          </cell>
          <cell r="O590" t="str">
            <v/>
          </cell>
          <cell r="P590" t="str">
            <v/>
          </cell>
          <cell r="Q590" t="str">
            <v/>
          </cell>
          <cell r="R590" t="str">
            <v/>
          </cell>
          <cell r="S590" t="str">
            <v/>
          </cell>
        </row>
        <row r="591">
          <cell r="G591" t="str">
            <v/>
          </cell>
          <cell r="H591" t="str">
            <v/>
          </cell>
          <cell r="I591" t="str">
            <v/>
          </cell>
          <cell r="J591" t="str">
            <v/>
          </cell>
          <cell r="K591" t="str">
            <v/>
          </cell>
          <cell r="L591" t="str">
            <v/>
          </cell>
          <cell r="M591" t="str">
            <v/>
          </cell>
          <cell r="N591" t="str">
            <v/>
          </cell>
          <cell r="O591" t="str">
            <v/>
          </cell>
          <cell r="P591" t="str">
            <v/>
          </cell>
          <cell r="Q591" t="str">
            <v/>
          </cell>
          <cell r="R591" t="str">
            <v/>
          </cell>
          <cell r="S591" t="str">
            <v/>
          </cell>
        </row>
        <row r="592">
          <cell r="G592" t="str">
            <v/>
          </cell>
          <cell r="H592" t="str">
            <v/>
          </cell>
          <cell r="I592" t="str">
            <v/>
          </cell>
          <cell r="J592" t="str">
            <v/>
          </cell>
          <cell r="K592" t="str">
            <v/>
          </cell>
          <cell r="L592" t="str">
            <v/>
          </cell>
          <cell r="M592" t="str">
            <v/>
          </cell>
          <cell r="N592" t="str">
            <v/>
          </cell>
          <cell r="O592" t="str">
            <v/>
          </cell>
          <cell r="P592" t="str">
            <v/>
          </cell>
          <cell r="Q592" t="str">
            <v/>
          </cell>
          <cell r="R592" t="str">
            <v/>
          </cell>
          <cell r="S592" t="str">
            <v/>
          </cell>
        </row>
        <row r="593">
          <cell r="G593" t="str">
            <v/>
          </cell>
          <cell r="H593" t="str">
            <v/>
          </cell>
          <cell r="I593" t="str">
            <v/>
          </cell>
          <cell r="J593" t="str">
            <v/>
          </cell>
          <cell r="K593" t="str">
            <v/>
          </cell>
          <cell r="L593" t="str">
            <v/>
          </cell>
          <cell r="M593" t="str">
            <v/>
          </cell>
          <cell r="N593" t="str">
            <v/>
          </cell>
          <cell r="O593" t="str">
            <v/>
          </cell>
          <cell r="P593" t="str">
            <v/>
          </cell>
          <cell r="Q593" t="str">
            <v/>
          </cell>
          <cell r="R593" t="str">
            <v/>
          </cell>
          <cell r="S593" t="str">
            <v/>
          </cell>
        </row>
        <row r="594">
          <cell r="G594" t="str">
            <v/>
          </cell>
          <cell r="H594" t="str">
            <v/>
          </cell>
          <cell r="I594" t="str">
            <v/>
          </cell>
          <cell r="J594" t="str">
            <v/>
          </cell>
          <cell r="K594" t="str">
            <v/>
          </cell>
          <cell r="L594" t="str">
            <v/>
          </cell>
          <cell r="M594" t="str">
            <v/>
          </cell>
          <cell r="N594" t="str">
            <v/>
          </cell>
          <cell r="O594" t="str">
            <v/>
          </cell>
          <cell r="P594" t="str">
            <v/>
          </cell>
          <cell r="Q594" t="str">
            <v/>
          </cell>
          <cell r="R594" t="str">
            <v/>
          </cell>
          <cell r="S594" t="str">
            <v/>
          </cell>
        </row>
        <row r="595">
          <cell r="G595" t="str">
            <v/>
          </cell>
          <cell r="H595" t="str">
            <v/>
          </cell>
          <cell r="I595" t="str">
            <v/>
          </cell>
          <cell r="J595" t="str">
            <v/>
          </cell>
          <cell r="K595" t="str">
            <v/>
          </cell>
          <cell r="L595" t="str">
            <v/>
          </cell>
          <cell r="M595" t="str">
            <v/>
          </cell>
          <cell r="N595" t="str">
            <v/>
          </cell>
          <cell r="O595" t="str">
            <v/>
          </cell>
          <cell r="P595" t="str">
            <v/>
          </cell>
          <cell r="Q595" t="str">
            <v/>
          </cell>
          <cell r="R595" t="str">
            <v/>
          </cell>
          <cell r="S595" t="str">
            <v/>
          </cell>
        </row>
        <row r="596">
          <cell r="G596" t="str">
            <v/>
          </cell>
          <cell r="H596" t="str">
            <v/>
          </cell>
          <cell r="I596" t="str">
            <v/>
          </cell>
          <cell r="J596" t="str">
            <v/>
          </cell>
          <cell r="K596" t="str">
            <v/>
          </cell>
          <cell r="L596" t="str">
            <v/>
          </cell>
          <cell r="M596" t="str">
            <v/>
          </cell>
          <cell r="N596" t="str">
            <v/>
          </cell>
          <cell r="O596" t="str">
            <v/>
          </cell>
          <cell r="P596" t="str">
            <v/>
          </cell>
          <cell r="Q596" t="str">
            <v/>
          </cell>
          <cell r="R596" t="str">
            <v/>
          </cell>
          <cell r="S596" t="str">
            <v/>
          </cell>
        </row>
        <row r="597">
          <cell r="G597" t="str">
            <v/>
          </cell>
          <cell r="H597" t="str">
            <v/>
          </cell>
          <cell r="I597" t="str">
            <v/>
          </cell>
          <cell r="J597" t="str">
            <v/>
          </cell>
          <cell r="K597" t="str">
            <v/>
          </cell>
          <cell r="L597" t="str">
            <v/>
          </cell>
          <cell r="M597" t="str">
            <v/>
          </cell>
          <cell r="N597" t="str">
            <v/>
          </cell>
          <cell r="O597" t="str">
            <v/>
          </cell>
          <cell r="P597" t="str">
            <v/>
          </cell>
          <cell r="Q597" t="str">
            <v/>
          </cell>
          <cell r="R597" t="str">
            <v/>
          </cell>
          <cell r="S597" t="str">
            <v/>
          </cell>
        </row>
        <row r="598">
          <cell r="G598" t="str">
            <v/>
          </cell>
          <cell r="H598" t="str">
            <v/>
          </cell>
          <cell r="I598" t="str">
            <v/>
          </cell>
          <cell r="J598" t="str">
            <v/>
          </cell>
          <cell r="K598" t="str">
            <v/>
          </cell>
          <cell r="L598" t="str">
            <v/>
          </cell>
          <cell r="M598" t="str">
            <v/>
          </cell>
          <cell r="N598" t="str">
            <v/>
          </cell>
          <cell r="O598" t="str">
            <v/>
          </cell>
          <cell r="P598" t="str">
            <v/>
          </cell>
          <cell r="Q598" t="str">
            <v/>
          </cell>
          <cell r="R598" t="str">
            <v/>
          </cell>
          <cell r="S598" t="str">
            <v/>
          </cell>
        </row>
        <row r="599">
          <cell r="G599" t="str">
            <v/>
          </cell>
          <cell r="H599" t="str">
            <v/>
          </cell>
          <cell r="I599" t="str">
            <v/>
          </cell>
          <cell r="J599" t="str">
            <v/>
          </cell>
          <cell r="K599" t="str">
            <v/>
          </cell>
          <cell r="L599" t="str">
            <v/>
          </cell>
          <cell r="M599" t="str">
            <v/>
          </cell>
          <cell r="N599" t="str">
            <v/>
          </cell>
          <cell r="O599" t="str">
            <v/>
          </cell>
          <cell r="P599" t="str">
            <v/>
          </cell>
          <cell r="Q599" t="str">
            <v/>
          </cell>
          <cell r="R599" t="str">
            <v/>
          </cell>
          <cell r="S599" t="str">
            <v/>
          </cell>
        </row>
        <row r="600">
          <cell r="G600" t="str">
            <v/>
          </cell>
          <cell r="H600" t="str">
            <v/>
          </cell>
          <cell r="I600" t="str">
            <v/>
          </cell>
          <cell r="J600" t="str">
            <v/>
          </cell>
          <cell r="K600" t="str">
            <v/>
          </cell>
          <cell r="L600" t="str">
            <v/>
          </cell>
          <cell r="M600" t="str">
            <v/>
          </cell>
          <cell r="N600" t="str">
            <v/>
          </cell>
          <cell r="O600" t="str">
            <v/>
          </cell>
          <cell r="P600" t="str">
            <v/>
          </cell>
          <cell r="Q600" t="str">
            <v/>
          </cell>
          <cell r="R600" t="str">
            <v/>
          </cell>
          <cell r="S600" t="str">
            <v/>
          </cell>
        </row>
        <row r="601">
          <cell r="G601" t="str">
            <v/>
          </cell>
          <cell r="H601" t="str">
            <v/>
          </cell>
          <cell r="I601" t="str">
            <v/>
          </cell>
          <cell r="J601" t="str">
            <v/>
          </cell>
          <cell r="K601" t="str">
            <v/>
          </cell>
          <cell r="L601" t="str">
            <v/>
          </cell>
          <cell r="M601" t="str">
            <v/>
          </cell>
          <cell r="N601" t="str">
            <v/>
          </cell>
          <cell r="O601" t="str">
            <v/>
          </cell>
          <cell r="P601" t="str">
            <v/>
          </cell>
          <cell r="Q601" t="str">
            <v/>
          </cell>
          <cell r="R601" t="str">
            <v/>
          </cell>
          <cell r="S601" t="str">
            <v/>
          </cell>
        </row>
        <row r="602">
          <cell r="G602" t="str">
            <v/>
          </cell>
          <cell r="H602" t="str">
            <v/>
          </cell>
          <cell r="I602" t="str">
            <v/>
          </cell>
          <cell r="J602" t="str">
            <v/>
          </cell>
          <cell r="K602" t="str">
            <v/>
          </cell>
          <cell r="L602" t="str">
            <v/>
          </cell>
          <cell r="M602" t="str">
            <v/>
          </cell>
          <cell r="N602" t="str">
            <v/>
          </cell>
          <cell r="O602" t="str">
            <v/>
          </cell>
          <cell r="P602" t="str">
            <v/>
          </cell>
          <cell r="Q602" t="str">
            <v/>
          </cell>
          <cell r="R602" t="str">
            <v/>
          </cell>
          <cell r="S602" t="str">
            <v/>
          </cell>
        </row>
        <row r="603">
          <cell r="G603" t="str">
            <v/>
          </cell>
          <cell r="H603" t="str">
            <v/>
          </cell>
          <cell r="I603" t="str">
            <v/>
          </cell>
          <cell r="J603" t="str">
            <v/>
          </cell>
          <cell r="K603" t="str">
            <v/>
          </cell>
          <cell r="L603" t="str">
            <v/>
          </cell>
          <cell r="M603" t="str">
            <v/>
          </cell>
          <cell r="N603" t="str">
            <v/>
          </cell>
          <cell r="O603" t="str">
            <v/>
          </cell>
          <cell r="P603" t="str">
            <v/>
          </cell>
          <cell r="Q603" t="str">
            <v/>
          </cell>
          <cell r="R603" t="str">
            <v/>
          </cell>
          <cell r="S603" t="str">
            <v/>
          </cell>
        </row>
        <row r="604">
          <cell r="G604" t="str">
            <v/>
          </cell>
          <cell r="H604" t="str">
            <v/>
          </cell>
          <cell r="I604" t="str">
            <v/>
          </cell>
          <cell r="J604" t="str">
            <v/>
          </cell>
          <cell r="K604" t="str">
            <v/>
          </cell>
          <cell r="L604" t="str">
            <v/>
          </cell>
          <cell r="M604" t="str">
            <v/>
          </cell>
          <cell r="N604" t="str">
            <v/>
          </cell>
          <cell r="O604" t="str">
            <v/>
          </cell>
          <cell r="P604" t="str">
            <v/>
          </cell>
          <cell r="Q604" t="str">
            <v/>
          </cell>
          <cell r="R604" t="str">
            <v/>
          </cell>
          <cell r="S604" t="str">
            <v/>
          </cell>
        </row>
        <row r="605">
          <cell r="G605" t="str">
            <v/>
          </cell>
          <cell r="H605" t="str">
            <v/>
          </cell>
          <cell r="I605" t="str">
            <v/>
          </cell>
          <cell r="J605" t="str">
            <v/>
          </cell>
          <cell r="K605" t="str">
            <v/>
          </cell>
          <cell r="L605" t="str">
            <v/>
          </cell>
          <cell r="M605" t="str">
            <v/>
          </cell>
          <cell r="N605" t="str">
            <v/>
          </cell>
          <cell r="O605" t="str">
            <v/>
          </cell>
          <cell r="P605" t="str">
            <v/>
          </cell>
          <cell r="Q605" t="str">
            <v/>
          </cell>
          <cell r="R605" t="str">
            <v/>
          </cell>
          <cell r="S605" t="str">
            <v/>
          </cell>
        </row>
        <row r="606">
          <cell r="G606" t="str">
            <v/>
          </cell>
          <cell r="H606" t="str">
            <v/>
          </cell>
          <cell r="I606" t="str">
            <v/>
          </cell>
          <cell r="J606" t="str">
            <v/>
          </cell>
          <cell r="K606" t="str">
            <v/>
          </cell>
          <cell r="L606" t="str">
            <v/>
          </cell>
          <cell r="M606" t="str">
            <v/>
          </cell>
          <cell r="N606" t="str">
            <v/>
          </cell>
          <cell r="O606" t="str">
            <v/>
          </cell>
          <cell r="P606" t="str">
            <v/>
          </cell>
          <cell r="Q606" t="str">
            <v/>
          </cell>
          <cell r="R606" t="str">
            <v/>
          </cell>
          <cell r="S606" t="str">
            <v/>
          </cell>
        </row>
        <row r="607">
          <cell r="G607" t="str">
            <v/>
          </cell>
          <cell r="H607" t="str">
            <v/>
          </cell>
          <cell r="I607" t="str">
            <v/>
          </cell>
          <cell r="J607" t="str">
            <v/>
          </cell>
          <cell r="K607" t="str">
            <v/>
          </cell>
          <cell r="L607" t="str">
            <v/>
          </cell>
          <cell r="M607" t="str">
            <v/>
          </cell>
          <cell r="N607" t="str">
            <v/>
          </cell>
          <cell r="O607" t="str">
            <v/>
          </cell>
          <cell r="P607" t="str">
            <v/>
          </cell>
          <cell r="Q607" t="str">
            <v/>
          </cell>
          <cell r="R607" t="str">
            <v/>
          </cell>
          <cell r="S607" t="str">
            <v/>
          </cell>
        </row>
        <row r="608">
          <cell r="G608" t="str">
            <v/>
          </cell>
          <cell r="H608" t="str">
            <v/>
          </cell>
          <cell r="I608" t="str">
            <v/>
          </cell>
          <cell r="J608" t="str">
            <v/>
          </cell>
          <cell r="K608" t="str">
            <v/>
          </cell>
          <cell r="L608" t="str">
            <v/>
          </cell>
          <cell r="M608" t="str">
            <v/>
          </cell>
          <cell r="N608" t="str">
            <v/>
          </cell>
          <cell r="O608" t="str">
            <v/>
          </cell>
          <cell r="P608" t="str">
            <v/>
          </cell>
          <cell r="Q608" t="str">
            <v/>
          </cell>
          <cell r="R608" t="str">
            <v/>
          </cell>
          <cell r="S608" t="str">
            <v/>
          </cell>
        </row>
        <row r="609">
          <cell r="G609" t="str">
            <v/>
          </cell>
          <cell r="H609" t="str">
            <v/>
          </cell>
          <cell r="I609" t="str">
            <v/>
          </cell>
          <cell r="J609" t="str">
            <v/>
          </cell>
          <cell r="K609" t="str">
            <v/>
          </cell>
          <cell r="L609" t="str">
            <v/>
          </cell>
          <cell r="M609" t="str">
            <v/>
          </cell>
          <cell r="N609" t="str">
            <v/>
          </cell>
          <cell r="O609" t="str">
            <v/>
          </cell>
          <cell r="P609" t="str">
            <v/>
          </cell>
          <cell r="Q609" t="str">
            <v/>
          </cell>
          <cell r="R609" t="str">
            <v/>
          </cell>
          <cell r="S609" t="str">
            <v/>
          </cell>
        </row>
        <row r="610">
          <cell r="G610" t="str">
            <v/>
          </cell>
          <cell r="H610" t="str">
            <v/>
          </cell>
          <cell r="I610" t="str">
            <v/>
          </cell>
          <cell r="J610" t="str">
            <v/>
          </cell>
          <cell r="K610" t="str">
            <v/>
          </cell>
          <cell r="L610" t="str">
            <v/>
          </cell>
          <cell r="M610" t="str">
            <v/>
          </cell>
          <cell r="N610" t="str">
            <v/>
          </cell>
          <cell r="O610" t="str">
            <v/>
          </cell>
          <cell r="P610" t="str">
            <v/>
          </cell>
          <cell r="Q610" t="str">
            <v/>
          </cell>
          <cell r="R610" t="str">
            <v/>
          </cell>
          <cell r="S610" t="str">
            <v/>
          </cell>
        </row>
        <row r="611">
          <cell r="G611" t="str">
            <v/>
          </cell>
          <cell r="H611" t="str">
            <v/>
          </cell>
          <cell r="I611" t="str">
            <v/>
          </cell>
          <cell r="J611" t="str">
            <v/>
          </cell>
          <cell r="K611" t="str">
            <v/>
          </cell>
          <cell r="L611" t="str">
            <v/>
          </cell>
          <cell r="M611" t="str">
            <v/>
          </cell>
          <cell r="N611" t="str">
            <v/>
          </cell>
          <cell r="O611" t="str">
            <v/>
          </cell>
          <cell r="P611" t="str">
            <v/>
          </cell>
          <cell r="Q611" t="str">
            <v/>
          </cell>
          <cell r="R611" t="str">
            <v/>
          </cell>
          <cell r="S611" t="str">
            <v/>
          </cell>
        </row>
        <row r="612">
          <cell r="G612" t="str">
            <v/>
          </cell>
          <cell r="H612" t="str">
            <v/>
          </cell>
          <cell r="I612" t="str">
            <v/>
          </cell>
          <cell r="J612" t="str">
            <v/>
          </cell>
          <cell r="K612" t="str">
            <v/>
          </cell>
          <cell r="L612" t="str">
            <v/>
          </cell>
          <cell r="M612" t="str">
            <v/>
          </cell>
          <cell r="N612" t="str">
            <v/>
          </cell>
          <cell r="O612" t="str">
            <v/>
          </cell>
          <cell r="P612" t="str">
            <v/>
          </cell>
          <cell r="Q612" t="str">
            <v/>
          </cell>
          <cell r="R612" t="str">
            <v/>
          </cell>
          <cell r="S612" t="str">
            <v/>
          </cell>
        </row>
        <row r="613">
          <cell r="G613" t="str">
            <v/>
          </cell>
          <cell r="H613" t="str">
            <v/>
          </cell>
          <cell r="I613" t="str">
            <v/>
          </cell>
          <cell r="J613" t="str">
            <v/>
          </cell>
          <cell r="K613" t="str">
            <v/>
          </cell>
          <cell r="L613" t="str">
            <v/>
          </cell>
          <cell r="M613" t="str">
            <v/>
          </cell>
          <cell r="N613" t="str">
            <v/>
          </cell>
          <cell r="O613" t="str">
            <v/>
          </cell>
          <cell r="P613" t="str">
            <v/>
          </cell>
          <cell r="Q613" t="str">
            <v/>
          </cell>
          <cell r="R613" t="str">
            <v/>
          </cell>
          <cell r="S613" t="str">
            <v/>
          </cell>
        </row>
        <row r="614">
          <cell r="G614" t="str">
            <v/>
          </cell>
          <cell r="H614" t="str">
            <v/>
          </cell>
          <cell r="I614" t="str">
            <v/>
          </cell>
          <cell r="J614" t="str">
            <v/>
          </cell>
          <cell r="K614" t="str">
            <v/>
          </cell>
          <cell r="L614" t="str">
            <v/>
          </cell>
          <cell r="M614" t="str">
            <v/>
          </cell>
          <cell r="N614" t="str">
            <v/>
          </cell>
          <cell r="O614" t="str">
            <v/>
          </cell>
          <cell r="P614" t="str">
            <v/>
          </cell>
          <cell r="Q614" t="str">
            <v/>
          </cell>
          <cell r="R614" t="str">
            <v/>
          </cell>
          <cell r="S614" t="str">
            <v/>
          </cell>
        </row>
        <row r="615">
          <cell r="G615" t="str">
            <v/>
          </cell>
          <cell r="H615" t="str">
            <v/>
          </cell>
          <cell r="I615" t="str">
            <v/>
          </cell>
          <cell r="J615" t="str">
            <v/>
          </cell>
          <cell r="K615" t="str">
            <v/>
          </cell>
          <cell r="L615" t="str">
            <v/>
          </cell>
          <cell r="M615" t="str">
            <v/>
          </cell>
          <cell r="N615" t="str">
            <v/>
          </cell>
          <cell r="O615" t="str">
            <v/>
          </cell>
          <cell r="P615" t="str">
            <v/>
          </cell>
          <cell r="Q615" t="str">
            <v/>
          </cell>
          <cell r="R615" t="str">
            <v/>
          </cell>
          <cell r="S615" t="str">
            <v/>
          </cell>
        </row>
        <row r="616">
          <cell r="G616" t="str">
            <v/>
          </cell>
          <cell r="H616" t="str">
            <v/>
          </cell>
          <cell r="I616" t="str">
            <v/>
          </cell>
          <cell r="J616" t="str">
            <v/>
          </cell>
          <cell r="K616" t="str">
            <v/>
          </cell>
          <cell r="L616" t="str">
            <v/>
          </cell>
          <cell r="M616" t="str">
            <v/>
          </cell>
          <cell r="N616" t="str">
            <v/>
          </cell>
          <cell r="O616" t="str">
            <v/>
          </cell>
          <cell r="P616" t="str">
            <v/>
          </cell>
          <cell r="Q616" t="str">
            <v/>
          </cell>
          <cell r="R616" t="str">
            <v/>
          </cell>
          <cell r="S616" t="str">
            <v/>
          </cell>
        </row>
        <row r="617">
          <cell r="G617" t="str">
            <v/>
          </cell>
          <cell r="H617" t="str">
            <v/>
          </cell>
          <cell r="I617" t="str">
            <v/>
          </cell>
          <cell r="J617" t="str">
            <v/>
          </cell>
          <cell r="K617" t="str">
            <v/>
          </cell>
          <cell r="L617" t="str">
            <v/>
          </cell>
          <cell r="M617" t="str">
            <v/>
          </cell>
          <cell r="N617" t="str">
            <v/>
          </cell>
          <cell r="O617" t="str">
            <v/>
          </cell>
          <cell r="P617" t="str">
            <v/>
          </cell>
          <cell r="Q617" t="str">
            <v/>
          </cell>
          <cell r="R617" t="str">
            <v/>
          </cell>
          <cell r="S617" t="str">
            <v/>
          </cell>
        </row>
        <row r="618">
          <cell r="G618" t="str">
            <v/>
          </cell>
          <cell r="H618" t="str">
            <v/>
          </cell>
          <cell r="I618" t="str">
            <v/>
          </cell>
          <cell r="J618" t="str">
            <v/>
          </cell>
          <cell r="K618" t="str">
            <v/>
          </cell>
          <cell r="L618" t="str">
            <v/>
          </cell>
          <cell r="M618" t="str">
            <v/>
          </cell>
          <cell r="N618" t="str">
            <v/>
          </cell>
          <cell r="O618" t="str">
            <v/>
          </cell>
          <cell r="P618" t="str">
            <v/>
          </cell>
          <cell r="Q618" t="str">
            <v/>
          </cell>
          <cell r="R618" t="str">
            <v/>
          </cell>
          <cell r="S618" t="str">
            <v/>
          </cell>
        </row>
        <row r="619">
          <cell r="G619" t="str">
            <v/>
          </cell>
          <cell r="H619" t="str">
            <v/>
          </cell>
          <cell r="I619" t="str">
            <v/>
          </cell>
          <cell r="J619" t="str">
            <v/>
          </cell>
          <cell r="K619" t="str">
            <v/>
          </cell>
          <cell r="L619" t="str">
            <v/>
          </cell>
          <cell r="M619" t="str">
            <v/>
          </cell>
          <cell r="N619" t="str">
            <v/>
          </cell>
          <cell r="O619" t="str">
            <v/>
          </cell>
          <cell r="P619" t="str">
            <v/>
          </cell>
          <cell r="Q619" t="str">
            <v/>
          </cell>
          <cell r="R619" t="str">
            <v/>
          </cell>
          <cell r="S619" t="str">
            <v/>
          </cell>
        </row>
        <row r="620">
          <cell r="G620" t="str">
            <v/>
          </cell>
          <cell r="H620" t="str">
            <v/>
          </cell>
          <cell r="I620" t="str">
            <v/>
          </cell>
          <cell r="J620" t="str">
            <v/>
          </cell>
          <cell r="K620" t="str">
            <v/>
          </cell>
          <cell r="L620" t="str">
            <v/>
          </cell>
          <cell r="M620" t="str">
            <v/>
          </cell>
          <cell r="N620" t="str">
            <v/>
          </cell>
          <cell r="O620" t="str">
            <v/>
          </cell>
          <cell r="P620" t="str">
            <v/>
          </cell>
          <cell r="Q620" t="str">
            <v/>
          </cell>
          <cell r="R620" t="str">
            <v/>
          </cell>
          <cell r="S620" t="str">
            <v/>
          </cell>
        </row>
        <row r="621">
          <cell r="G621" t="str">
            <v/>
          </cell>
          <cell r="H621" t="str">
            <v/>
          </cell>
          <cell r="I621" t="str">
            <v/>
          </cell>
          <cell r="J621" t="str">
            <v/>
          </cell>
          <cell r="K621" t="str">
            <v/>
          </cell>
          <cell r="L621" t="str">
            <v/>
          </cell>
          <cell r="M621" t="str">
            <v/>
          </cell>
          <cell r="N621" t="str">
            <v/>
          </cell>
          <cell r="O621" t="str">
            <v/>
          </cell>
          <cell r="P621" t="str">
            <v/>
          </cell>
          <cell r="Q621" t="str">
            <v/>
          </cell>
          <cell r="R621" t="str">
            <v/>
          </cell>
          <cell r="S621" t="str">
            <v/>
          </cell>
        </row>
        <row r="622">
          <cell r="G622" t="str">
            <v/>
          </cell>
          <cell r="H622" t="str">
            <v/>
          </cell>
          <cell r="I622" t="str">
            <v/>
          </cell>
          <cell r="J622" t="str">
            <v/>
          </cell>
          <cell r="K622" t="str">
            <v/>
          </cell>
          <cell r="L622" t="str">
            <v/>
          </cell>
          <cell r="M622" t="str">
            <v/>
          </cell>
          <cell r="N622" t="str">
            <v/>
          </cell>
          <cell r="O622" t="str">
            <v/>
          </cell>
          <cell r="P622" t="str">
            <v/>
          </cell>
          <cell r="Q622" t="str">
            <v/>
          </cell>
          <cell r="R622" t="str">
            <v/>
          </cell>
          <cell r="S622" t="str">
            <v/>
          </cell>
        </row>
        <row r="623">
          <cell r="G623" t="str">
            <v/>
          </cell>
          <cell r="H623" t="str">
            <v/>
          </cell>
          <cell r="I623" t="str">
            <v/>
          </cell>
          <cell r="J623" t="str">
            <v/>
          </cell>
          <cell r="K623" t="str">
            <v/>
          </cell>
          <cell r="L623" t="str">
            <v/>
          </cell>
          <cell r="M623" t="str">
            <v/>
          </cell>
          <cell r="N623" t="str">
            <v/>
          </cell>
          <cell r="O623" t="str">
            <v/>
          </cell>
          <cell r="P623" t="str">
            <v/>
          </cell>
          <cell r="Q623" t="str">
            <v/>
          </cell>
          <cell r="R623" t="str">
            <v/>
          </cell>
          <cell r="S623" t="str">
            <v/>
          </cell>
        </row>
        <row r="624">
          <cell r="G624" t="str">
            <v/>
          </cell>
          <cell r="H624" t="str">
            <v/>
          </cell>
          <cell r="I624" t="str">
            <v/>
          </cell>
          <cell r="J624" t="str">
            <v/>
          </cell>
          <cell r="K624" t="str">
            <v/>
          </cell>
          <cell r="L624" t="str">
            <v/>
          </cell>
          <cell r="M624" t="str">
            <v/>
          </cell>
          <cell r="N624" t="str">
            <v/>
          </cell>
          <cell r="O624" t="str">
            <v/>
          </cell>
          <cell r="P624" t="str">
            <v/>
          </cell>
          <cell r="Q624" t="str">
            <v/>
          </cell>
          <cell r="R624" t="str">
            <v/>
          </cell>
          <cell r="S624" t="str">
            <v/>
          </cell>
        </row>
        <row r="625">
          <cell r="G625" t="str">
            <v/>
          </cell>
          <cell r="H625" t="str">
            <v/>
          </cell>
          <cell r="I625" t="str">
            <v/>
          </cell>
          <cell r="J625" t="str">
            <v/>
          </cell>
          <cell r="K625" t="str">
            <v/>
          </cell>
          <cell r="L625" t="str">
            <v/>
          </cell>
          <cell r="M625" t="str">
            <v/>
          </cell>
          <cell r="N625" t="str">
            <v/>
          </cell>
          <cell r="O625" t="str">
            <v/>
          </cell>
          <cell r="P625" t="str">
            <v/>
          </cell>
          <cell r="Q625" t="str">
            <v/>
          </cell>
          <cell r="R625" t="str">
            <v/>
          </cell>
          <cell r="S625" t="str">
            <v/>
          </cell>
        </row>
        <row r="626">
          <cell r="G626" t="str">
            <v/>
          </cell>
          <cell r="H626" t="str">
            <v/>
          </cell>
          <cell r="I626" t="str">
            <v/>
          </cell>
          <cell r="J626" t="str">
            <v/>
          </cell>
          <cell r="K626" t="str">
            <v/>
          </cell>
          <cell r="L626" t="str">
            <v/>
          </cell>
          <cell r="M626" t="str">
            <v/>
          </cell>
          <cell r="N626" t="str">
            <v/>
          </cell>
          <cell r="O626" t="str">
            <v/>
          </cell>
          <cell r="P626" t="str">
            <v/>
          </cell>
          <cell r="Q626" t="str">
            <v/>
          </cell>
          <cell r="R626" t="str">
            <v/>
          </cell>
          <cell r="S626" t="str">
            <v/>
          </cell>
        </row>
        <row r="627">
          <cell r="G627" t="str">
            <v/>
          </cell>
          <cell r="H627" t="str">
            <v/>
          </cell>
          <cell r="I627" t="str">
            <v/>
          </cell>
          <cell r="J627" t="str">
            <v/>
          </cell>
          <cell r="K627" t="str">
            <v/>
          </cell>
          <cell r="L627" t="str">
            <v/>
          </cell>
          <cell r="M627" t="str">
            <v/>
          </cell>
          <cell r="N627" t="str">
            <v/>
          </cell>
          <cell r="O627" t="str">
            <v/>
          </cell>
          <cell r="P627" t="str">
            <v/>
          </cell>
          <cell r="Q627" t="str">
            <v/>
          </cell>
          <cell r="R627" t="str">
            <v/>
          </cell>
          <cell r="S627" t="str">
            <v/>
          </cell>
        </row>
        <row r="628">
          <cell r="G628" t="str">
            <v/>
          </cell>
          <cell r="H628" t="str">
            <v/>
          </cell>
          <cell r="I628" t="str">
            <v/>
          </cell>
          <cell r="J628" t="str">
            <v/>
          </cell>
          <cell r="K628" t="str">
            <v/>
          </cell>
          <cell r="L628" t="str">
            <v/>
          </cell>
          <cell r="M628" t="str">
            <v/>
          </cell>
          <cell r="N628" t="str">
            <v/>
          </cell>
          <cell r="O628" t="str">
            <v/>
          </cell>
          <cell r="P628" t="str">
            <v/>
          </cell>
          <cell r="Q628" t="str">
            <v/>
          </cell>
          <cell r="R628" t="str">
            <v/>
          </cell>
          <cell r="S628" t="str">
            <v/>
          </cell>
        </row>
        <row r="629">
          <cell r="G629" t="str">
            <v/>
          </cell>
          <cell r="H629" t="str">
            <v/>
          </cell>
          <cell r="I629" t="str">
            <v/>
          </cell>
          <cell r="J629" t="str">
            <v/>
          </cell>
          <cell r="K629" t="str">
            <v/>
          </cell>
          <cell r="L629" t="str">
            <v/>
          </cell>
          <cell r="M629" t="str">
            <v/>
          </cell>
          <cell r="N629" t="str">
            <v/>
          </cell>
          <cell r="O629" t="str">
            <v/>
          </cell>
          <cell r="P629" t="str">
            <v/>
          </cell>
          <cell r="Q629" t="str">
            <v/>
          </cell>
          <cell r="R629" t="str">
            <v/>
          </cell>
          <cell r="S629" t="str">
            <v/>
          </cell>
        </row>
        <row r="630">
          <cell r="G630" t="str">
            <v/>
          </cell>
          <cell r="H630" t="str">
            <v/>
          </cell>
          <cell r="I630" t="str">
            <v/>
          </cell>
          <cell r="J630" t="str">
            <v/>
          </cell>
          <cell r="K630" t="str">
            <v/>
          </cell>
          <cell r="L630" t="str">
            <v/>
          </cell>
          <cell r="M630" t="str">
            <v/>
          </cell>
          <cell r="N630" t="str">
            <v/>
          </cell>
          <cell r="O630" t="str">
            <v/>
          </cell>
          <cell r="P630" t="str">
            <v/>
          </cell>
          <cell r="Q630" t="str">
            <v/>
          </cell>
          <cell r="R630" t="str">
            <v/>
          </cell>
          <cell r="S630" t="str">
            <v/>
          </cell>
        </row>
        <row r="631">
          <cell r="G631" t="str">
            <v/>
          </cell>
          <cell r="H631" t="str">
            <v/>
          </cell>
          <cell r="I631" t="str">
            <v/>
          </cell>
          <cell r="J631" t="str">
            <v/>
          </cell>
          <cell r="K631" t="str">
            <v/>
          </cell>
          <cell r="L631" t="str">
            <v/>
          </cell>
          <cell r="M631" t="str">
            <v/>
          </cell>
          <cell r="N631" t="str">
            <v/>
          </cell>
          <cell r="O631" t="str">
            <v/>
          </cell>
          <cell r="P631" t="str">
            <v/>
          </cell>
          <cell r="Q631" t="str">
            <v/>
          </cell>
          <cell r="R631" t="str">
            <v/>
          </cell>
          <cell r="S631" t="str">
            <v/>
          </cell>
        </row>
        <row r="632">
          <cell r="G632" t="str">
            <v/>
          </cell>
          <cell r="H632" t="str">
            <v/>
          </cell>
          <cell r="I632" t="str">
            <v/>
          </cell>
          <cell r="J632" t="str">
            <v/>
          </cell>
          <cell r="K632" t="str">
            <v/>
          </cell>
          <cell r="L632" t="str">
            <v/>
          </cell>
          <cell r="M632" t="str">
            <v/>
          </cell>
          <cell r="N632" t="str">
            <v/>
          </cell>
          <cell r="O632" t="str">
            <v/>
          </cell>
          <cell r="P632" t="str">
            <v/>
          </cell>
          <cell r="Q632" t="str">
            <v/>
          </cell>
          <cell r="R632" t="str">
            <v/>
          </cell>
          <cell r="S632" t="str">
            <v/>
          </cell>
        </row>
        <row r="633">
          <cell r="G633" t="str">
            <v/>
          </cell>
          <cell r="H633" t="str">
            <v/>
          </cell>
          <cell r="I633" t="str">
            <v/>
          </cell>
          <cell r="J633" t="str">
            <v/>
          </cell>
          <cell r="K633" t="str">
            <v/>
          </cell>
          <cell r="L633" t="str">
            <v/>
          </cell>
          <cell r="M633" t="str">
            <v/>
          </cell>
          <cell r="N633" t="str">
            <v/>
          </cell>
          <cell r="O633" t="str">
            <v/>
          </cell>
          <cell r="P633" t="str">
            <v/>
          </cell>
          <cell r="Q633" t="str">
            <v/>
          </cell>
          <cell r="R633" t="str">
            <v/>
          </cell>
          <cell r="S633" t="str">
            <v/>
          </cell>
        </row>
        <row r="634">
          <cell r="G634" t="str">
            <v/>
          </cell>
          <cell r="H634" t="str">
            <v/>
          </cell>
          <cell r="I634" t="str">
            <v/>
          </cell>
          <cell r="J634" t="str">
            <v/>
          </cell>
          <cell r="K634" t="str">
            <v/>
          </cell>
          <cell r="L634" t="str">
            <v/>
          </cell>
          <cell r="M634" t="str">
            <v/>
          </cell>
          <cell r="N634" t="str">
            <v/>
          </cell>
          <cell r="O634" t="str">
            <v/>
          </cell>
          <cell r="P634" t="str">
            <v/>
          </cell>
          <cell r="Q634" t="str">
            <v/>
          </cell>
          <cell r="R634" t="str">
            <v/>
          </cell>
          <cell r="S634" t="str">
            <v/>
          </cell>
        </row>
        <row r="635">
          <cell r="G635" t="str">
            <v/>
          </cell>
          <cell r="H635" t="str">
            <v/>
          </cell>
          <cell r="I635" t="str">
            <v/>
          </cell>
          <cell r="J635" t="str">
            <v/>
          </cell>
          <cell r="K635" t="str">
            <v/>
          </cell>
          <cell r="L635" t="str">
            <v/>
          </cell>
          <cell r="M635" t="str">
            <v/>
          </cell>
          <cell r="N635" t="str">
            <v/>
          </cell>
          <cell r="O635" t="str">
            <v/>
          </cell>
          <cell r="P635" t="str">
            <v/>
          </cell>
          <cell r="Q635" t="str">
            <v/>
          </cell>
          <cell r="R635" t="str">
            <v/>
          </cell>
          <cell r="S635" t="str">
            <v/>
          </cell>
        </row>
        <row r="636">
          <cell r="G636" t="str">
            <v/>
          </cell>
          <cell r="H636" t="str">
            <v/>
          </cell>
          <cell r="I636" t="str">
            <v/>
          </cell>
          <cell r="J636" t="str">
            <v/>
          </cell>
          <cell r="K636" t="str">
            <v/>
          </cell>
          <cell r="L636" t="str">
            <v/>
          </cell>
          <cell r="M636" t="str">
            <v/>
          </cell>
          <cell r="N636" t="str">
            <v/>
          </cell>
          <cell r="O636" t="str">
            <v/>
          </cell>
          <cell r="P636" t="str">
            <v/>
          </cell>
          <cell r="Q636" t="str">
            <v/>
          </cell>
          <cell r="R636" t="str">
            <v/>
          </cell>
          <cell r="S636" t="str">
            <v/>
          </cell>
        </row>
        <row r="637">
          <cell r="G637" t="str">
            <v/>
          </cell>
          <cell r="H637" t="str">
            <v/>
          </cell>
          <cell r="I637" t="str">
            <v/>
          </cell>
          <cell r="J637" t="str">
            <v/>
          </cell>
          <cell r="K637" t="str">
            <v/>
          </cell>
          <cell r="L637" t="str">
            <v/>
          </cell>
          <cell r="M637" t="str">
            <v/>
          </cell>
          <cell r="N637" t="str">
            <v/>
          </cell>
          <cell r="O637" t="str">
            <v/>
          </cell>
          <cell r="P637" t="str">
            <v/>
          </cell>
          <cell r="Q637" t="str">
            <v/>
          </cell>
          <cell r="R637" t="str">
            <v/>
          </cell>
          <cell r="S637" t="str">
            <v/>
          </cell>
        </row>
        <row r="638">
          <cell r="G638" t="str">
            <v/>
          </cell>
          <cell r="H638" t="str">
            <v/>
          </cell>
          <cell r="I638" t="str">
            <v/>
          </cell>
          <cell r="J638" t="str">
            <v/>
          </cell>
          <cell r="K638" t="str">
            <v/>
          </cell>
          <cell r="L638" t="str">
            <v/>
          </cell>
          <cell r="M638" t="str">
            <v/>
          </cell>
          <cell r="N638" t="str">
            <v/>
          </cell>
          <cell r="O638" t="str">
            <v/>
          </cell>
          <cell r="P638" t="str">
            <v/>
          </cell>
          <cell r="Q638" t="str">
            <v/>
          </cell>
          <cell r="R638" t="str">
            <v/>
          </cell>
          <cell r="S638" t="str">
            <v/>
          </cell>
        </row>
        <row r="639">
          <cell r="G639" t="str">
            <v/>
          </cell>
          <cell r="H639" t="str">
            <v/>
          </cell>
          <cell r="I639" t="str">
            <v/>
          </cell>
          <cell r="J639" t="str">
            <v/>
          </cell>
          <cell r="K639" t="str">
            <v/>
          </cell>
          <cell r="L639" t="str">
            <v/>
          </cell>
          <cell r="M639" t="str">
            <v/>
          </cell>
          <cell r="N639" t="str">
            <v/>
          </cell>
          <cell r="O639" t="str">
            <v/>
          </cell>
          <cell r="P639" t="str">
            <v/>
          </cell>
          <cell r="Q639" t="str">
            <v/>
          </cell>
          <cell r="R639" t="str">
            <v/>
          </cell>
          <cell r="S639" t="str">
            <v/>
          </cell>
        </row>
        <row r="640">
          <cell r="G640" t="str">
            <v/>
          </cell>
          <cell r="H640" t="str">
            <v/>
          </cell>
          <cell r="I640" t="str">
            <v/>
          </cell>
          <cell r="J640" t="str">
            <v/>
          </cell>
          <cell r="K640" t="str">
            <v/>
          </cell>
          <cell r="L640" t="str">
            <v/>
          </cell>
          <cell r="M640" t="str">
            <v/>
          </cell>
          <cell r="N640" t="str">
            <v/>
          </cell>
          <cell r="O640" t="str">
            <v/>
          </cell>
          <cell r="P640" t="str">
            <v/>
          </cell>
          <cell r="Q640" t="str">
            <v/>
          </cell>
          <cell r="R640" t="str">
            <v/>
          </cell>
          <cell r="S640" t="str">
            <v/>
          </cell>
        </row>
        <row r="641">
          <cell r="G641" t="str">
            <v/>
          </cell>
          <cell r="H641" t="str">
            <v/>
          </cell>
          <cell r="I641" t="str">
            <v/>
          </cell>
          <cell r="J641" t="str">
            <v/>
          </cell>
          <cell r="K641" t="str">
            <v/>
          </cell>
          <cell r="L641" t="str">
            <v/>
          </cell>
          <cell r="M641" t="str">
            <v/>
          </cell>
          <cell r="N641" t="str">
            <v/>
          </cell>
          <cell r="O641" t="str">
            <v/>
          </cell>
          <cell r="P641" t="str">
            <v/>
          </cell>
          <cell r="Q641" t="str">
            <v/>
          </cell>
          <cell r="R641" t="str">
            <v/>
          </cell>
          <cell r="S641" t="str">
            <v/>
          </cell>
        </row>
        <row r="642">
          <cell r="G642" t="str">
            <v/>
          </cell>
          <cell r="H642" t="str">
            <v/>
          </cell>
          <cell r="I642" t="str">
            <v/>
          </cell>
          <cell r="J642" t="str">
            <v/>
          </cell>
          <cell r="K642" t="str">
            <v/>
          </cell>
          <cell r="L642" t="str">
            <v/>
          </cell>
          <cell r="M642" t="str">
            <v/>
          </cell>
          <cell r="N642" t="str">
            <v/>
          </cell>
          <cell r="O642" t="str">
            <v/>
          </cell>
          <cell r="P642" t="str">
            <v/>
          </cell>
          <cell r="Q642" t="str">
            <v/>
          </cell>
          <cell r="R642" t="str">
            <v/>
          </cell>
          <cell r="S642" t="str">
            <v/>
          </cell>
        </row>
        <row r="643">
          <cell r="G643" t="str">
            <v/>
          </cell>
          <cell r="H643" t="str">
            <v/>
          </cell>
          <cell r="I643" t="str">
            <v/>
          </cell>
          <cell r="J643" t="str">
            <v/>
          </cell>
          <cell r="K643" t="str">
            <v/>
          </cell>
          <cell r="L643" t="str">
            <v/>
          </cell>
          <cell r="M643" t="str">
            <v/>
          </cell>
          <cell r="N643" t="str">
            <v/>
          </cell>
          <cell r="O643" t="str">
            <v/>
          </cell>
          <cell r="P643" t="str">
            <v/>
          </cell>
          <cell r="Q643" t="str">
            <v/>
          </cell>
          <cell r="R643" t="str">
            <v/>
          </cell>
          <cell r="S643" t="str">
            <v/>
          </cell>
        </row>
        <row r="644">
          <cell r="G644" t="str">
            <v/>
          </cell>
          <cell r="H644" t="str">
            <v/>
          </cell>
          <cell r="I644" t="str">
            <v/>
          </cell>
          <cell r="J644" t="str">
            <v/>
          </cell>
          <cell r="K644" t="str">
            <v/>
          </cell>
          <cell r="L644" t="str">
            <v/>
          </cell>
          <cell r="M644" t="str">
            <v/>
          </cell>
          <cell r="N644" t="str">
            <v/>
          </cell>
          <cell r="O644" t="str">
            <v/>
          </cell>
          <cell r="P644" t="str">
            <v/>
          </cell>
          <cell r="Q644" t="str">
            <v/>
          </cell>
          <cell r="R644" t="str">
            <v/>
          </cell>
          <cell r="S644" t="str">
            <v/>
          </cell>
        </row>
        <row r="645">
          <cell r="G645" t="str">
            <v/>
          </cell>
          <cell r="H645" t="str">
            <v/>
          </cell>
          <cell r="I645" t="str">
            <v/>
          </cell>
          <cell r="J645" t="str">
            <v/>
          </cell>
          <cell r="K645" t="str">
            <v/>
          </cell>
          <cell r="L645" t="str">
            <v/>
          </cell>
          <cell r="M645" t="str">
            <v/>
          </cell>
          <cell r="N645" t="str">
            <v/>
          </cell>
          <cell r="O645" t="str">
            <v/>
          </cell>
          <cell r="P645" t="str">
            <v/>
          </cell>
          <cell r="Q645" t="str">
            <v/>
          </cell>
          <cell r="R645" t="str">
            <v/>
          </cell>
          <cell r="S645" t="str">
            <v/>
          </cell>
        </row>
        <row r="646">
          <cell r="G646" t="str">
            <v/>
          </cell>
          <cell r="H646" t="str">
            <v/>
          </cell>
          <cell r="I646" t="str">
            <v/>
          </cell>
          <cell r="J646" t="str">
            <v/>
          </cell>
          <cell r="K646" t="str">
            <v/>
          </cell>
          <cell r="L646" t="str">
            <v/>
          </cell>
          <cell r="M646" t="str">
            <v/>
          </cell>
          <cell r="N646" t="str">
            <v/>
          </cell>
          <cell r="O646" t="str">
            <v/>
          </cell>
          <cell r="P646" t="str">
            <v/>
          </cell>
          <cell r="Q646" t="str">
            <v/>
          </cell>
          <cell r="R646" t="str">
            <v/>
          </cell>
          <cell r="S646" t="str">
            <v/>
          </cell>
        </row>
        <row r="647">
          <cell r="G647" t="str">
            <v/>
          </cell>
          <cell r="H647" t="str">
            <v/>
          </cell>
          <cell r="I647" t="str">
            <v/>
          </cell>
          <cell r="J647" t="str">
            <v/>
          </cell>
          <cell r="K647" t="str">
            <v/>
          </cell>
          <cell r="L647" t="str">
            <v/>
          </cell>
          <cell r="M647" t="str">
            <v/>
          </cell>
          <cell r="N647" t="str">
            <v/>
          </cell>
          <cell r="O647" t="str">
            <v/>
          </cell>
          <cell r="P647" t="str">
            <v/>
          </cell>
          <cell r="Q647" t="str">
            <v/>
          </cell>
          <cell r="R647" t="str">
            <v/>
          </cell>
          <cell r="S647" t="str">
            <v/>
          </cell>
        </row>
        <row r="648">
          <cell r="G648" t="str">
            <v/>
          </cell>
          <cell r="H648" t="str">
            <v/>
          </cell>
          <cell r="I648" t="str">
            <v/>
          </cell>
          <cell r="J648" t="str">
            <v/>
          </cell>
          <cell r="K648" t="str">
            <v/>
          </cell>
          <cell r="L648" t="str">
            <v/>
          </cell>
          <cell r="M648" t="str">
            <v/>
          </cell>
          <cell r="N648" t="str">
            <v/>
          </cell>
          <cell r="O648" t="str">
            <v/>
          </cell>
          <cell r="P648" t="str">
            <v/>
          </cell>
          <cell r="Q648" t="str">
            <v/>
          </cell>
          <cell r="R648" t="str">
            <v/>
          </cell>
          <cell r="S648" t="str">
            <v/>
          </cell>
        </row>
        <row r="649">
          <cell r="G649" t="str">
            <v/>
          </cell>
          <cell r="H649" t="str">
            <v/>
          </cell>
          <cell r="I649" t="str">
            <v/>
          </cell>
          <cell r="J649" t="str">
            <v/>
          </cell>
          <cell r="K649" t="str">
            <v/>
          </cell>
          <cell r="L649" t="str">
            <v/>
          </cell>
          <cell r="M649" t="str">
            <v/>
          </cell>
          <cell r="N649" t="str">
            <v/>
          </cell>
          <cell r="O649" t="str">
            <v/>
          </cell>
          <cell r="P649" t="str">
            <v/>
          </cell>
          <cell r="Q649" t="str">
            <v/>
          </cell>
          <cell r="R649" t="str">
            <v/>
          </cell>
          <cell r="S649" t="str">
            <v/>
          </cell>
        </row>
        <row r="650">
          <cell r="G650" t="str">
            <v/>
          </cell>
          <cell r="H650" t="str">
            <v/>
          </cell>
          <cell r="I650" t="str">
            <v/>
          </cell>
          <cell r="J650" t="str">
            <v/>
          </cell>
          <cell r="K650" t="str">
            <v/>
          </cell>
          <cell r="L650" t="str">
            <v/>
          </cell>
          <cell r="M650" t="str">
            <v/>
          </cell>
          <cell r="N650" t="str">
            <v/>
          </cell>
          <cell r="O650" t="str">
            <v/>
          </cell>
          <cell r="P650" t="str">
            <v/>
          </cell>
          <cell r="Q650" t="str">
            <v/>
          </cell>
          <cell r="R650" t="str">
            <v/>
          </cell>
          <cell r="S650" t="str">
            <v/>
          </cell>
        </row>
        <row r="651">
          <cell r="G651" t="str">
            <v/>
          </cell>
          <cell r="H651" t="str">
            <v/>
          </cell>
          <cell r="I651" t="str">
            <v/>
          </cell>
          <cell r="J651" t="str">
            <v/>
          </cell>
          <cell r="K651" t="str">
            <v/>
          </cell>
          <cell r="L651" t="str">
            <v/>
          </cell>
          <cell r="M651" t="str">
            <v/>
          </cell>
          <cell r="N651" t="str">
            <v/>
          </cell>
          <cell r="O651" t="str">
            <v/>
          </cell>
          <cell r="P651" t="str">
            <v/>
          </cell>
          <cell r="Q651" t="str">
            <v/>
          </cell>
          <cell r="R651" t="str">
            <v/>
          </cell>
          <cell r="S651" t="str">
            <v/>
          </cell>
        </row>
        <row r="652">
          <cell r="G652" t="str">
            <v/>
          </cell>
          <cell r="H652" t="str">
            <v/>
          </cell>
          <cell r="I652" t="str">
            <v/>
          </cell>
          <cell r="J652" t="str">
            <v/>
          </cell>
          <cell r="K652" t="str">
            <v/>
          </cell>
          <cell r="L652" t="str">
            <v/>
          </cell>
          <cell r="M652" t="str">
            <v/>
          </cell>
          <cell r="N652" t="str">
            <v/>
          </cell>
          <cell r="O652" t="str">
            <v/>
          </cell>
          <cell r="P652" t="str">
            <v/>
          </cell>
          <cell r="Q652" t="str">
            <v/>
          </cell>
          <cell r="R652" t="str">
            <v/>
          </cell>
          <cell r="S652" t="str">
            <v/>
          </cell>
        </row>
        <row r="653">
          <cell r="G653" t="str">
            <v/>
          </cell>
          <cell r="H653" t="str">
            <v/>
          </cell>
          <cell r="I653" t="str">
            <v/>
          </cell>
          <cell r="J653" t="str">
            <v/>
          </cell>
          <cell r="K653" t="str">
            <v/>
          </cell>
          <cell r="L653" t="str">
            <v/>
          </cell>
          <cell r="M653" t="str">
            <v/>
          </cell>
          <cell r="N653" t="str">
            <v/>
          </cell>
          <cell r="O653" t="str">
            <v/>
          </cell>
          <cell r="P653" t="str">
            <v/>
          </cell>
          <cell r="Q653" t="str">
            <v/>
          </cell>
          <cell r="R653" t="str">
            <v/>
          </cell>
          <cell r="S653" t="str">
            <v/>
          </cell>
        </row>
        <row r="654">
          <cell r="G654" t="str">
            <v/>
          </cell>
          <cell r="H654" t="str">
            <v/>
          </cell>
          <cell r="I654" t="str">
            <v/>
          </cell>
          <cell r="J654" t="str">
            <v/>
          </cell>
          <cell r="K654" t="str">
            <v/>
          </cell>
          <cell r="L654" t="str">
            <v/>
          </cell>
          <cell r="M654" t="str">
            <v/>
          </cell>
          <cell r="N654" t="str">
            <v/>
          </cell>
          <cell r="O654" t="str">
            <v/>
          </cell>
          <cell r="P654" t="str">
            <v/>
          </cell>
          <cell r="Q654" t="str">
            <v/>
          </cell>
          <cell r="R654" t="str">
            <v/>
          </cell>
          <cell r="S654" t="str">
            <v/>
          </cell>
        </row>
        <row r="655">
          <cell r="G655" t="str">
            <v/>
          </cell>
          <cell r="H655" t="str">
            <v/>
          </cell>
          <cell r="I655" t="str">
            <v/>
          </cell>
          <cell r="J655" t="str">
            <v/>
          </cell>
          <cell r="K655" t="str">
            <v/>
          </cell>
          <cell r="L655" t="str">
            <v/>
          </cell>
          <cell r="M655" t="str">
            <v/>
          </cell>
          <cell r="N655" t="str">
            <v/>
          </cell>
          <cell r="O655" t="str">
            <v/>
          </cell>
          <cell r="P655" t="str">
            <v/>
          </cell>
          <cell r="Q655" t="str">
            <v/>
          </cell>
          <cell r="R655" t="str">
            <v/>
          </cell>
          <cell r="S655" t="str">
            <v/>
          </cell>
        </row>
        <row r="656">
          <cell r="G656" t="str">
            <v/>
          </cell>
          <cell r="H656" t="str">
            <v/>
          </cell>
          <cell r="I656" t="str">
            <v/>
          </cell>
          <cell r="J656" t="str">
            <v/>
          </cell>
          <cell r="K656" t="str">
            <v/>
          </cell>
          <cell r="L656" t="str">
            <v/>
          </cell>
          <cell r="M656" t="str">
            <v/>
          </cell>
          <cell r="N656" t="str">
            <v/>
          </cell>
          <cell r="O656" t="str">
            <v/>
          </cell>
          <cell r="P656" t="str">
            <v/>
          </cell>
          <cell r="Q656" t="str">
            <v/>
          </cell>
          <cell r="R656" t="str">
            <v/>
          </cell>
          <cell r="S656" t="str">
            <v/>
          </cell>
        </row>
        <row r="657">
          <cell r="G657" t="str">
            <v/>
          </cell>
          <cell r="H657" t="str">
            <v/>
          </cell>
          <cell r="I657" t="str">
            <v/>
          </cell>
          <cell r="J657" t="str">
            <v/>
          </cell>
          <cell r="K657" t="str">
            <v/>
          </cell>
          <cell r="L657" t="str">
            <v/>
          </cell>
          <cell r="M657" t="str">
            <v/>
          </cell>
          <cell r="N657" t="str">
            <v/>
          </cell>
          <cell r="O657" t="str">
            <v/>
          </cell>
          <cell r="P657" t="str">
            <v/>
          </cell>
          <cell r="Q657" t="str">
            <v/>
          </cell>
          <cell r="R657" t="str">
            <v/>
          </cell>
          <cell r="S657" t="str">
            <v/>
          </cell>
        </row>
        <row r="658">
          <cell r="G658" t="str">
            <v/>
          </cell>
          <cell r="H658" t="str">
            <v/>
          </cell>
          <cell r="I658" t="str">
            <v/>
          </cell>
          <cell r="J658" t="str">
            <v/>
          </cell>
          <cell r="K658" t="str">
            <v/>
          </cell>
          <cell r="L658" t="str">
            <v/>
          </cell>
          <cell r="M658" t="str">
            <v/>
          </cell>
          <cell r="N658" t="str">
            <v/>
          </cell>
          <cell r="O658" t="str">
            <v/>
          </cell>
          <cell r="P658" t="str">
            <v/>
          </cell>
          <cell r="Q658" t="str">
            <v/>
          </cell>
          <cell r="R658" t="str">
            <v/>
          </cell>
          <cell r="S658" t="str">
            <v/>
          </cell>
        </row>
        <row r="659">
          <cell r="G659" t="str">
            <v/>
          </cell>
          <cell r="H659" t="str">
            <v/>
          </cell>
          <cell r="I659" t="str">
            <v/>
          </cell>
          <cell r="J659" t="str">
            <v/>
          </cell>
          <cell r="K659" t="str">
            <v/>
          </cell>
          <cell r="L659" t="str">
            <v/>
          </cell>
          <cell r="M659" t="str">
            <v/>
          </cell>
          <cell r="N659" t="str">
            <v/>
          </cell>
          <cell r="O659" t="str">
            <v/>
          </cell>
          <cell r="P659" t="str">
            <v/>
          </cell>
          <cell r="Q659" t="str">
            <v/>
          </cell>
          <cell r="R659" t="str">
            <v/>
          </cell>
          <cell r="S659" t="str">
            <v/>
          </cell>
        </row>
        <row r="660">
          <cell r="G660" t="str">
            <v/>
          </cell>
          <cell r="H660" t="str">
            <v/>
          </cell>
          <cell r="I660" t="str">
            <v/>
          </cell>
          <cell r="J660" t="str">
            <v/>
          </cell>
          <cell r="K660" t="str">
            <v/>
          </cell>
          <cell r="L660" t="str">
            <v/>
          </cell>
          <cell r="M660" t="str">
            <v/>
          </cell>
          <cell r="N660" t="str">
            <v/>
          </cell>
          <cell r="O660" t="str">
            <v/>
          </cell>
          <cell r="P660" t="str">
            <v/>
          </cell>
          <cell r="Q660" t="str">
            <v/>
          </cell>
          <cell r="R660" t="str">
            <v/>
          </cell>
          <cell r="S660" t="str">
            <v/>
          </cell>
        </row>
        <row r="661">
          <cell r="G661" t="str">
            <v/>
          </cell>
          <cell r="H661" t="str">
            <v/>
          </cell>
          <cell r="I661" t="str">
            <v/>
          </cell>
          <cell r="J661" t="str">
            <v/>
          </cell>
          <cell r="K661" t="str">
            <v/>
          </cell>
          <cell r="L661" t="str">
            <v/>
          </cell>
          <cell r="M661" t="str">
            <v/>
          </cell>
          <cell r="N661" t="str">
            <v/>
          </cell>
          <cell r="O661" t="str">
            <v/>
          </cell>
          <cell r="P661" t="str">
            <v/>
          </cell>
          <cell r="Q661" t="str">
            <v/>
          </cell>
          <cell r="R661" t="str">
            <v/>
          </cell>
          <cell r="S661" t="str">
            <v/>
          </cell>
        </row>
        <row r="662">
          <cell r="G662" t="str">
            <v/>
          </cell>
          <cell r="H662" t="str">
            <v/>
          </cell>
          <cell r="I662" t="str">
            <v/>
          </cell>
          <cell r="J662" t="str">
            <v/>
          </cell>
          <cell r="K662" t="str">
            <v/>
          </cell>
          <cell r="L662" t="str">
            <v/>
          </cell>
          <cell r="M662" t="str">
            <v/>
          </cell>
          <cell r="N662" t="str">
            <v/>
          </cell>
          <cell r="O662" t="str">
            <v/>
          </cell>
          <cell r="P662" t="str">
            <v/>
          </cell>
          <cell r="Q662" t="str">
            <v/>
          </cell>
          <cell r="R662" t="str">
            <v/>
          </cell>
          <cell r="S662" t="str">
            <v/>
          </cell>
        </row>
        <row r="663">
          <cell r="G663" t="str">
            <v/>
          </cell>
          <cell r="H663" t="str">
            <v/>
          </cell>
          <cell r="I663" t="str">
            <v/>
          </cell>
          <cell r="J663" t="str">
            <v/>
          </cell>
          <cell r="K663" t="str">
            <v/>
          </cell>
          <cell r="L663" t="str">
            <v/>
          </cell>
          <cell r="M663" t="str">
            <v/>
          </cell>
          <cell r="N663" t="str">
            <v/>
          </cell>
          <cell r="O663" t="str">
            <v/>
          </cell>
          <cell r="P663" t="str">
            <v/>
          </cell>
          <cell r="Q663" t="str">
            <v/>
          </cell>
          <cell r="R663" t="str">
            <v/>
          </cell>
          <cell r="S663" t="str">
            <v/>
          </cell>
        </row>
        <row r="664">
          <cell r="G664" t="str">
            <v/>
          </cell>
          <cell r="H664" t="str">
            <v/>
          </cell>
          <cell r="I664" t="str">
            <v/>
          </cell>
          <cell r="J664" t="str">
            <v/>
          </cell>
          <cell r="K664" t="str">
            <v/>
          </cell>
          <cell r="L664" t="str">
            <v/>
          </cell>
          <cell r="M664" t="str">
            <v/>
          </cell>
          <cell r="N664" t="str">
            <v/>
          </cell>
          <cell r="O664" t="str">
            <v/>
          </cell>
          <cell r="P664" t="str">
            <v/>
          </cell>
          <cell r="Q664" t="str">
            <v/>
          </cell>
          <cell r="R664" t="str">
            <v/>
          </cell>
          <cell r="S664" t="str">
            <v/>
          </cell>
        </row>
        <row r="665">
          <cell r="G665" t="str">
            <v/>
          </cell>
          <cell r="H665" t="str">
            <v/>
          </cell>
          <cell r="I665" t="str">
            <v/>
          </cell>
          <cell r="J665" t="str">
            <v/>
          </cell>
          <cell r="K665" t="str">
            <v/>
          </cell>
          <cell r="L665" t="str">
            <v/>
          </cell>
          <cell r="M665" t="str">
            <v/>
          </cell>
          <cell r="N665" t="str">
            <v/>
          </cell>
          <cell r="O665" t="str">
            <v/>
          </cell>
          <cell r="P665" t="str">
            <v/>
          </cell>
          <cell r="Q665" t="str">
            <v/>
          </cell>
          <cell r="R665" t="str">
            <v/>
          </cell>
          <cell r="S665" t="str">
            <v/>
          </cell>
        </row>
        <row r="666">
          <cell r="G666" t="str">
            <v/>
          </cell>
          <cell r="H666" t="str">
            <v/>
          </cell>
          <cell r="I666" t="str">
            <v/>
          </cell>
          <cell r="J666" t="str">
            <v/>
          </cell>
          <cell r="K666" t="str">
            <v/>
          </cell>
          <cell r="L666" t="str">
            <v/>
          </cell>
          <cell r="M666" t="str">
            <v/>
          </cell>
          <cell r="N666" t="str">
            <v/>
          </cell>
          <cell r="O666" t="str">
            <v/>
          </cell>
          <cell r="P666" t="str">
            <v/>
          </cell>
          <cell r="Q666" t="str">
            <v/>
          </cell>
          <cell r="R666" t="str">
            <v/>
          </cell>
          <cell r="S666" t="str">
            <v/>
          </cell>
        </row>
        <row r="667">
          <cell r="G667" t="str">
            <v/>
          </cell>
          <cell r="H667" t="str">
            <v/>
          </cell>
          <cell r="I667" t="str">
            <v/>
          </cell>
          <cell r="J667" t="str">
            <v/>
          </cell>
          <cell r="K667" t="str">
            <v/>
          </cell>
          <cell r="L667" t="str">
            <v/>
          </cell>
          <cell r="M667" t="str">
            <v/>
          </cell>
          <cell r="N667" t="str">
            <v/>
          </cell>
          <cell r="O667" t="str">
            <v/>
          </cell>
          <cell r="P667" t="str">
            <v/>
          </cell>
          <cell r="Q667" t="str">
            <v/>
          </cell>
          <cell r="R667" t="str">
            <v/>
          </cell>
          <cell r="S667" t="str">
            <v/>
          </cell>
        </row>
        <row r="668">
          <cell r="G668" t="str">
            <v/>
          </cell>
          <cell r="H668" t="str">
            <v/>
          </cell>
          <cell r="I668" t="str">
            <v/>
          </cell>
          <cell r="J668" t="str">
            <v/>
          </cell>
          <cell r="K668" t="str">
            <v/>
          </cell>
          <cell r="L668" t="str">
            <v/>
          </cell>
          <cell r="M668" t="str">
            <v/>
          </cell>
          <cell r="N668" t="str">
            <v/>
          </cell>
          <cell r="O668" t="str">
            <v/>
          </cell>
          <cell r="P668" t="str">
            <v/>
          </cell>
          <cell r="Q668" t="str">
            <v/>
          </cell>
          <cell r="R668" t="str">
            <v/>
          </cell>
          <cell r="S668" t="str">
            <v/>
          </cell>
        </row>
        <row r="669">
          <cell r="G669" t="str">
            <v/>
          </cell>
          <cell r="H669" t="str">
            <v/>
          </cell>
          <cell r="I669" t="str">
            <v/>
          </cell>
          <cell r="J669" t="str">
            <v/>
          </cell>
          <cell r="K669" t="str">
            <v/>
          </cell>
          <cell r="L669" t="str">
            <v/>
          </cell>
          <cell r="M669" t="str">
            <v/>
          </cell>
          <cell r="N669" t="str">
            <v/>
          </cell>
          <cell r="O669" t="str">
            <v/>
          </cell>
          <cell r="P669" t="str">
            <v/>
          </cell>
          <cell r="Q669" t="str">
            <v/>
          </cell>
          <cell r="R669" t="str">
            <v/>
          </cell>
          <cell r="S669" t="str">
            <v/>
          </cell>
        </row>
        <row r="670">
          <cell r="G670" t="str">
            <v/>
          </cell>
          <cell r="H670" t="str">
            <v/>
          </cell>
          <cell r="I670" t="str">
            <v/>
          </cell>
          <cell r="J670" t="str">
            <v/>
          </cell>
          <cell r="K670" t="str">
            <v/>
          </cell>
          <cell r="L670" t="str">
            <v/>
          </cell>
          <cell r="M670" t="str">
            <v/>
          </cell>
          <cell r="N670" t="str">
            <v/>
          </cell>
          <cell r="O670" t="str">
            <v/>
          </cell>
          <cell r="P670" t="str">
            <v/>
          </cell>
          <cell r="Q670" t="str">
            <v/>
          </cell>
          <cell r="R670" t="str">
            <v/>
          </cell>
          <cell r="S670" t="str">
            <v/>
          </cell>
        </row>
        <row r="671">
          <cell r="G671" t="str">
            <v/>
          </cell>
          <cell r="H671" t="str">
            <v/>
          </cell>
          <cell r="I671" t="str">
            <v/>
          </cell>
          <cell r="J671" t="str">
            <v/>
          </cell>
          <cell r="K671" t="str">
            <v/>
          </cell>
          <cell r="L671" t="str">
            <v/>
          </cell>
          <cell r="M671" t="str">
            <v/>
          </cell>
          <cell r="N671" t="str">
            <v/>
          </cell>
          <cell r="O671" t="str">
            <v/>
          </cell>
          <cell r="P671" t="str">
            <v/>
          </cell>
          <cell r="Q671" t="str">
            <v/>
          </cell>
          <cell r="R671" t="str">
            <v/>
          </cell>
          <cell r="S671" t="str">
            <v/>
          </cell>
        </row>
        <row r="672">
          <cell r="G672" t="str">
            <v/>
          </cell>
          <cell r="H672" t="str">
            <v/>
          </cell>
          <cell r="I672" t="str">
            <v/>
          </cell>
          <cell r="J672" t="str">
            <v/>
          </cell>
          <cell r="K672" t="str">
            <v/>
          </cell>
          <cell r="L672" t="str">
            <v/>
          </cell>
          <cell r="M672" t="str">
            <v/>
          </cell>
          <cell r="N672" t="str">
            <v/>
          </cell>
          <cell r="O672" t="str">
            <v/>
          </cell>
          <cell r="P672" t="str">
            <v/>
          </cell>
          <cell r="Q672" t="str">
            <v/>
          </cell>
          <cell r="R672" t="str">
            <v/>
          </cell>
          <cell r="S672" t="str">
            <v/>
          </cell>
        </row>
        <row r="673">
          <cell r="G673" t="str">
            <v/>
          </cell>
          <cell r="H673" t="str">
            <v/>
          </cell>
          <cell r="I673" t="str">
            <v/>
          </cell>
          <cell r="J673" t="str">
            <v/>
          </cell>
          <cell r="K673" t="str">
            <v/>
          </cell>
          <cell r="L673" t="str">
            <v/>
          </cell>
          <cell r="M673" t="str">
            <v/>
          </cell>
          <cell r="N673" t="str">
            <v/>
          </cell>
          <cell r="O673" t="str">
            <v/>
          </cell>
          <cell r="P673" t="str">
            <v/>
          </cell>
          <cell r="Q673" t="str">
            <v/>
          </cell>
          <cell r="R673" t="str">
            <v/>
          </cell>
          <cell r="S673" t="str">
            <v/>
          </cell>
        </row>
        <row r="674">
          <cell r="G674" t="str">
            <v/>
          </cell>
          <cell r="H674" t="str">
            <v/>
          </cell>
          <cell r="I674" t="str">
            <v/>
          </cell>
          <cell r="J674" t="str">
            <v/>
          </cell>
          <cell r="K674" t="str">
            <v/>
          </cell>
          <cell r="L674" t="str">
            <v/>
          </cell>
          <cell r="M674" t="str">
            <v/>
          </cell>
          <cell r="N674" t="str">
            <v/>
          </cell>
          <cell r="O674" t="str">
            <v/>
          </cell>
          <cell r="P674" t="str">
            <v/>
          </cell>
          <cell r="Q674" t="str">
            <v/>
          </cell>
          <cell r="R674" t="str">
            <v/>
          </cell>
          <cell r="S674" t="str">
            <v/>
          </cell>
        </row>
        <row r="675">
          <cell r="G675" t="str">
            <v/>
          </cell>
          <cell r="H675" t="str">
            <v/>
          </cell>
          <cell r="I675" t="str">
            <v/>
          </cell>
          <cell r="J675" t="str">
            <v/>
          </cell>
          <cell r="K675" t="str">
            <v/>
          </cell>
          <cell r="L675" t="str">
            <v/>
          </cell>
          <cell r="M675" t="str">
            <v/>
          </cell>
          <cell r="N675" t="str">
            <v/>
          </cell>
          <cell r="O675" t="str">
            <v/>
          </cell>
          <cell r="P675" t="str">
            <v/>
          </cell>
          <cell r="Q675" t="str">
            <v/>
          </cell>
          <cell r="R675" t="str">
            <v/>
          </cell>
          <cell r="S675" t="str">
            <v/>
          </cell>
        </row>
        <row r="676">
          <cell r="G676" t="str">
            <v/>
          </cell>
          <cell r="H676" t="str">
            <v/>
          </cell>
          <cell r="I676" t="str">
            <v/>
          </cell>
          <cell r="J676" t="str">
            <v/>
          </cell>
          <cell r="K676" t="str">
            <v/>
          </cell>
          <cell r="L676" t="str">
            <v/>
          </cell>
          <cell r="M676" t="str">
            <v/>
          </cell>
          <cell r="N676" t="str">
            <v/>
          </cell>
          <cell r="O676" t="str">
            <v/>
          </cell>
          <cell r="P676" t="str">
            <v/>
          </cell>
          <cell r="Q676" t="str">
            <v/>
          </cell>
          <cell r="R676" t="str">
            <v/>
          </cell>
          <cell r="S676" t="str">
            <v/>
          </cell>
        </row>
        <row r="677">
          <cell r="G677" t="str">
            <v/>
          </cell>
          <cell r="H677" t="str">
            <v/>
          </cell>
          <cell r="I677" t="str">
            <v/>
          </cell>
          <cell r="J677" t="str">
            <v/>
          </cell>
          <cell r="K677" t="str">
            <v/>
          </cell>
          <cell r="L677" t="str">
            <v/>
          </cell>
          <cell r="M677" t="str">
            <v/>
          </cell>
          <cell r="N677" t="str">
            <v/>
          </cell>
          <cell r="O677" t="str">
            <v/>
          </cell>
          <cell r="P677" t="str">
            <v/>
          </cell>
          <cell r="Q677" t="str">
            <v/>
          </cell>
          <cell r="R677" t="str">
            <v/>
          </cell>
          <cell r="S677" t="str">
            <v/>
          </cell>
        </row>
        <row r="678">
          <cell r="G678" t="str">
            <v/>
          </cell>
          <cell r="H678" t="str">
            <v/>
          </cell>
          <cell r="I678" t="str">
            <v/>
          </cell>
          <cell r="J678" t="str">
            <v/>
          </cell>
          <cell r="K678" t="str">
            <v/>
          </cell>
          <cell r="L678" t="str">
            <v/>
          </cell>
          <cell r="M678" t="str">
            <v/>
          </cell>
          <cell r="N678" t="str">
            <v/>
          </cell>
          <cell r="O678" t="str">
            <v/>
          </cell>
          <cell r="P678" t="str">
            <v/>
          </cell>
          <cell r="Q678" t="str">
            <v/>
          </cell>
          <cell r="R678" t="str">
            <v/>
          </cell>
          <cell r="S678" t="str">
            <v/>
          </cell>
        </row>
        <row r="679">
          <cell r="G679" t="str">
            <v/>
          </cell>
          <cell r="H679" t="str">
            <v/>
          </cell>
          <cell r="I679" t="str">
            <v/>
          </cell>
          <cell r="J679" t="str">
            <v/>
          </cell>
          <cell r="K679" t="str">
            <v/>
          </cell>
          <cell r="L679" t="str">
            <v/>
          </cell>
          <cell r="M679" t="str">
            <v/>
          </cell>
          <cell r="N679" t="str">
            <v/>
          </cell>
          <cell r="O679" t="str">
            <v/>
          </cell>
          <cell r="P679" t="str">
            <v/>
          </cell>
          <cell r="Q679" t="str">
            <v/>
          </cell>
          <cell r="R679" t="str">
            <v/>
          </cell>
          <cell r="S679" t="str">
            <v/>
          </cell>
        </row>
        <row r="680">
          <cell r="G680" t="str">
            <v/>
          </cell>
          <cell r="H680" t="str">
            <v/>
          </cell>
          <cell r="I680" t="str">
            <v/>
          </cell>
          <cell r="J680" t="str">
            <v/>
          </cell>
          <cell r="K680" t="str">
            <v/>
          </cell>
          <cell r="L680" t="str">
            <v/>
          </cell>
          <cell r="M680" t="str">
            <v/>
          </cell>
          <cell r="N680" t="str">
            <v/>
          </cell>
          <cell r="O680" t="str">
            <v/>
          </cell>
          <cell r="P680" t="str">
            <v/>
          </cell>
          <cell r="Q680" t="str">
            <v/>
          </cell>
          <cell r="R680" t="str">
            <v/>
          </cell>
          <cell r="S680" t="str">
            <v/>
          </cell>
        </row>
        <row r="681">
          <cell r="G681" t="str">
            <v/>
          </cell>
          <cell r="H681" t="str">
            <v/>
          </cell>
          <cell r="I681" t="str">
            <v/>
          </cell>
          <cell r="J681" t="str">
            <v/>
          </cell>
          <cell r="K681" t="str">
            <v/>
          </cell>
          <cell r="L681" t="str">
            <v/>
          </cell>
          <cell r="M681" t="str">
            <v/>
          </cell>
          <cell r="N681" t="str">
            <v/>
          </cell>
          <cell r="O681" t="str">
            <v/>
          </cell>
          <cell r="P681" t="str">
            <v/>
          </cell>
          <cell r="Q681" t="str">
            <v/>
          </cell>
          <cell r="R681" t="str">
            <v/>
          </cell>
          <cell r="S681" t="str">
            <v/>
          </cell>
        </row>
        <row r="682">
          <cell r="G682" t="str">
            <v/>
          </cell>
          <cell r="H682" t="str">
            <v/>
          </cell>
          <cell r="I682" t="str">
            <v/>
          </cell>
          <cell r="J682" t="str">
            <v/>
          </cell>
          <cell r="K682" t="str">
            <v/>
          </cell>
          <cell r="L682" t="str">
            <v/>
          </cell>
          <cell r="M682" t="str">
            <v/>
          </cell>
          <cell r="N682" t="str">
            <v/>
          </cell>
          <cell r="O682" t="str">
            <v/>
          </cell>
          <cell r="P682" t="str">
            <v/>
          </cell>
          <cell r="Q682" t="str">
            <v/>
          </cell>
          <cell r="R682" t="str">
            <v/>
          </cell>
          <cell r="S682" t="str">
            <v/>
          </cell>
        </row>
        <row r="683">
          <cell r="G683" t="str">
            <v/>
          </cell>
          <cell r="H683" t="str">
            <v/>
          </cell>
          <cell r="I683" t="str">
            <v/>
          </cell>
          <cell r="J683" t="str">
            <v/>
          </cell>
          <cell r="K683" t="str">
            <v/>
          </cell>
          <cell r="L683" t="str">
            <v/>
          </cell>
          <cell r="M683" t="str">
            <v/>
          </cell>
          <cell r="N683" t="str">
            <v/>
          </cell>
          <cell r="O683" t="str">
            <v/>
          </cell>
          <cell r="P683" t="str">
            <v/>
          </cell>
          <cell r="Q683" t="str">
            <v/>
          </cell>
          <cell r="R683" t="str">
            <v/>
          </cell>
          <cell r="S683" t="str">
            <v/>
          </cell>
        </row>
        <row r="684">
          <cell r="G684" t="str">
            <v/>
          </cell>
          <cell r="H684" t="str">
            <v/>
          </cell>
          <cell r="I684" t="str">
            <v/>
          </cell>
          <cell r="J684" t="str">
            <v/>
          </cell>
          <cell r="K684" t="str">
            <v/>
          </cell>
          <cell r="L684" t="str">
            <v/>
          </cell>
          <cell r="M684" t="str">
            <v/>
          </cell>
          <cell r="N684" t="str">
            <v/>
          </cell>
          <cell r="O684" t="str">
            <v/>
          </cell>
          <cell r="P684" t="str">
            <v/>
          </cell>
          <cell r="Q684" t="str">
            <v/>
          </cell>
          <cell r="R684" t="str">
            <v/>
          </cell>
          <cell r="S684" t="str">
            <v/>
          </cell>
        </row>
        <row r="685">
          <cell r="G685" t="str">
            <v/>
          </cell>
          <cell r="H685" t="str">
            <v/>
          </cell>
          <cell r="I685" t="str">
            <v/>
          </cell>
          <cell r="J685" t="str">
            <v/>
          </cell>
          <cell r="K685" t="str">
            <v/>
          </cell>
          <cell r="L685" t="str">
            <v/>
          </cell>
          <cell r="M685" t="str">
            <v/>
          </cell>
          <cell r="N685" t="str">
            <v/>
          </cell>
          <cell r="O685" t="str">
            <v/>
          </cell>
          <cell r="P685" t="str">
            <v/>
          </cell>
          <cell r="Q685" t="str">
            <v/>
          </cell>
          <cell r="R685" t="str">
            <v/>
          </cell>
          <cell r="S685" t="str">
            <v/>
          </cell>
        </row>
        <row r="686">
          <cell r="G686" t="str">
            <v/>
          </cell>
          <cell r="H686" t="str">
            <v/>
          </cell>
          <cell r="I686" t="str">
            <v/>
          </cell>
          <cell r="J686" t="str">
            <v/>
          </cell>
          <cell r="K686" t="str">
            <v/>
          </cell>
          <cell r="L686" t="str">
            <v/>
          </cell>
          <cell r="M686" t="str">
            <v/>
          </cell>
          <cell r="N686" t="str">
            <v/>
          </cell>
          <cell r="O686" t="str">
            <v/>
          </cell>
          <cell r="P686" t="str">
            <v/>
          </cell>
          <cell r="Q686" t="str">
            <v/>
          </cell>
          <cell r="R686" t="str">
            <v/>
          </cell>
          <cell r="S686" t="str">
            <v/>
          </cell>
        </row>
        <row r="687">
          <cell r="G687" t="str">
            <v/>
          </cell>
          <cell r="H687" t="str">
            <v/>
          </cell>
          <cell r="I687" t="str">
            <v/>
          </cell>
          <cell r="J687" t="str">
            <v/>
          </cell>
          <cell r="K687" t="str">
            <v/>
          </cell>
          <cell r="L687" t="str">
            <v/>
          </cell>
          <cell r="M687" t="str">
            <v/>
          </cell>
          <cell r="N687" t="str">
            <v/>
          </cell>
          <cell r="O687" t="str">
            <v/>
          </cell>
          <cell r="P687" t="str">
            <v/>
          </cell>
          <cell r="Q687" t="str">
            <v/>
          </cell>
          <cell r="R687" t="str">
            <v/>
          </cell>
          <cell r="S687" t="str">
            <v/>
          </cell>
        </row>
        <row r="688">
          <cell r="G688" t="str">
            <v/>
          </cell>
          <cell r="H688" t="str">
            <v/>
          </cell>
          <cell r="I688" t="str">
            <v/>
          </cell>
          <cell r="J688" t="str">
            <v/>
          </cell>
          <cell r="K688" t="str">
            <v/>
          </cell>
          <cell r="L688" t="str">
            <v/>
          </cell>
          <cell r="M688" t="str">
            <v/>
          </cell>
          <cell r="N688" t="str">
            <v/>
          </cell>
          <cell r="O688" t="str">
            <v/>
          </cell>
          <cell r="P688" t="str">
            <v/>
          </cell>
          <cell r="Q688" t="str">
            <v/>
          </cell>
          <cell r="R688" t="str">
            <v/>
          </cell>
          <cell r="S688" t="str">
            <v/>
          </cell>
        </row>
        <row r="689">
          <cell r="G689" t="str">
            <v/>
          </cell>
          <cell r="H689" t="str">
            <v/>
          </cell>
          <cell r="I689" t="str">
            <v/>
          </cell>
          <cell r="J689" t="str">
            <v/>
          </cell>
          <cell r="K689" t="str">
            <v/>
          </cell>
          <cell r="L689" t="str">
            <v/>
          </cell>
          <cell r="M689" t="str">
            <v/>
          </cell>
          <cell r="N689" t="str">
            <v/>
          </cell>
          <cell r="O689" t="str">
            <v/>
          </cell>
          <cell r="P689" t="str">
            <v/>
          </cell>
          <cell r="Q689" t="str">
            <v/>
          </cell>
          <cell r="R689" t="str">
            <v/>
          </cell>
          <cell r="S689" t="str">
            <v/>
          </cell>
        </row>
        <row r="690">
          <cell r="G690" t="str">
            <v/>
          </cell>
          <cell r="H690" t="str">
            <v/>
          </cell>
          <cell r="I690" t="str">
            <v/>
          </cell>
          <cell r="J690" t="str">
            <v/>
          </cell>
          <cell r="K690" t="str">
            <v/>
          </cell>
          <cell r="L690" t="str">
            <v/>
          </cell>
          <cell r="M690" t="str">
            <v/>
          </cell>
          <cell r="N690" t="str">
            <v/>
          </cell>
          <cell r="O690" t="str">
            <v/>
          </cell>
          <cell r="P690" t="str">
            <v/>
          </cell>
          <cell r="Q690" t="str">
            <v/>
          </cell>
          <cell r="R690" t="str">
            <v/>
          </cell>
          <cell r="S690" t="str">
            <v/>
          </cell>
        </row>
        <row r="691">
          <cell r="G691" t="str">
            <v/>
          </cell>
          <cell r="H691" t="str">
            <v/>
          </cell>
          <cell r="I691" t="str">
            <v/>
          </cell>
          <cell r="J691" t="str">
            <v/>
          </cell>
          <cell r="K691" t="str">
            <v/>
          </cell>
          <cell r="L691" t="str">
            <v/>
          </cell>
          <cell r="M691" t="str">
            <v/>
          </cell>
          <cell r="N691" t="str">
            <v/>
          </cell>
          <cell r="O691" t="str">
            <v/>
          </cell>
          <cell r="P691" t="str">
            <v/>
          </cell>
          <cell r="Q691" t="str">
            <v/>
          </cell>
          <cell r="R691" t="str">
            <v/>
          </cell>
          <cell r="S691" t="str">
            <v/>
          </cell>
        </row>
        <row r="692">
          <cell r="G692" t="str">
            <v/>
          </cell>
          <cell r="H692" t="str">
            <v/>
          </cell>
          <cell r="I692" t="str">
            <v/>
          </cell>
          <cell r="J692" t="str">
            <v/>
          </cell>
          <cell r="K692" t="str">
            <v/>
          </cell>
          <cell r="L692" t="str">
            <v/>
          </cell>
          <cell r="M692" t="str">
            <v/>
          </cell>
          <cell r="N692" t="str">
            <v/>
          </cell>
          <cell r="O692" t="str">
            <v/>
          </cell>
          <cell r="P692" t="str">
            <v/>
          </cell>
          <cell r="Q692" t="str">
            <v/>
          </cell>
          <cell r="R692" t="str">
            <v/>
          </cell>
          <cell r="S692" t="str">
            <v/>
          </cell>
        </row>
        <row r="693">
          <cell r="G693" t="str">
            <v/>
          </cell>
          <cell r="H693" t="str">
            <v/>
          </cell>
          <cell r="I693" t="str">
            <v/>
          </cell>
          <cell r="J693" t="str">
            <v/>
          </cell>
          <cell r="K693" t="str">
            <v/>
          </cell>
          <cell r="L693" t="str">
            <v/>
          </cell>
          <cell r="M693" t="str">
            <v/>
          </cell>
          <cell r="N693" t="str">
            <v/>
          </cell>
          <cell r="O693" t="str">
            <v/>
          </cell>
          <cell r="P693" t="str">
            <v/>
          </cell>
          <cell r="Q693" t="str">
            <v/>
          </cell>
          <cell r="R693" t="str">
            <v/>
          </cell>
          <cell r="S693" t="str">
            <v/>
          </cell>
        </row>
        <row r="694">
          <cell r="G694" t="str">
            <v/>
          </cell>
          <cell r="H694" t="str">
            <v/>
          </cell>
          <cell r="I694" t="str">
            <v/>
          </cell>
          <cell r="J694" t="str">
            <v/>
          </cell>
          <cell r="K694" t="str">
            <v/>
          </cell>
          <cell r="L694" t="str">
            <v/>
          </cell>
          <cell r="M694" t="str">
            <v/>
          </cell>
          <cell r="N694" t="str">
            <v/>
          </cell>
          <cell r="O694" t="str">
            <v/>
          </cell>
          <cell r="P694" t="str">
            <v/>
          </cell>
          <cell r="Q694" t="str">
            <v/>
          </cell>
          <cell r="R694" t="str">
            <v/>
          </cell>
          <cell r="S694" t="str">
            <v/>
          </cell>
        </row>
        <row r="695">
          <cell r="G695" t="str">
            <v/>
          </cell>
          <cell r="H695" t="str">
            <v/>
          </cell>
          <cell r="I695" t="str">
            <v/>
          </cell>
          <cell r="J695" t="str">
            <v/>
          </cell>
          <cell r="K695" t="str">
            <v/>
          </cell>
          <cell r="L695" t="str">
            <v/>
          </cell>
          <cell r="M695" t="str">
            <v/>
          </cell>
          <cell r="N695" t="str">
            <v/>
          </cell>
          <cell r="O695" t="str">
            <v/>
          </cell>
          <cell r="P695" t="str">
            <v/>
          </cell>
          <cell r="Q695" t="str">
            <v/>
          </cell>
          <cell r="R695" t="str">
            <v/>
          </cell>
          <cell r="S695" t="str">
            <v/>
          </cell>
        </row>
        <row r="696">
          <cell r="G696" t="str">
            <v/>
          </cell>
          <cell r="H696" t="str">
            <v/>
          </cell>
          <cell r="I696" t="str">
            <v/>
          </cell>
          <cell r="J696" t="str">
            <v/>
          </cell>
          <cell r="K696" t="str">
            <v/>
          </cell>
          <cell r="L696" t="str">
            <v/>
          </cell>
          <cell r="M696" t="str">
            <v/>
          </cell>
          <cell r="N696" t="str">
            <v/>
          </cell>
          <cell r="O696" t="str">
            <v/>
          </cell>
          <cell r="P696" t="str">
            <v/>
          </cell>
          <cell r="Q696" t="str">
            <v/>
          </cell>
          <cell r="R696" t="str">
            <v/>
          </cell>
          <cell r="S696" t="str">
            <v/>
          </cell>
        </row>
        <row r="697">
          <cell r="G697" t="str">
            <v/>
          </cell>
          <cell r="H697" t="str">
            <v/>
          </cell>
          <cell r="I697" t="str">
            <v/>
          </cell>
          <cell r="J697" t="str">
            <v/>
          </cell>
          <cell r="K697" t="str">
            <v/>
          </cell>
          <cell r="L697" t="str">
            <v/>
          </cell>
          <cell r="M697" t="str">
            <v/>
          </cell>
          <cell r="N697" t="str">
            <v/>
          </cell>
          <cell r="O697" t="str">
            <v/>
          </cell>
          <cell r="P697" t="str">
            <v/>
          </cell>
          <cell r="Q697" t="str">
            <v/>
          </cell>
          <cell r="R697" t="str">
            <v/>
          </cell>
          <cell r="S697" t="str">
            <v/>
          </cell>
        </row>
        <row r="698">
          <cell r="G698" t="str">
            <v/>
          </cell>
          <cell r="H698" t="str">
            <v/>
          </cell>
          <cell r="I698" t="str">
            <v/>
          </cell>
          <cell r="J698" t="str">
            <v/>
          </cell>
          <cell r="K698" t="str">
            <v/>
          </cell>
          <cell r="L698" t="str">
            <v/>
          </cell>
          <cell r="M698" t="str">
            <v/>
          </cell>
          <cell r="N698" t="str">
            <v/>
          </cell>
          <cell r="O698" t="str">
            <v/>
          </cell>
          <cell r="P698" t="str">
            <v/>
          </cell>
          <cell r="Q698" t="str">
            <v/>
          </cell>
          <cell r="R698" t="str">
            <v/>
          </cell>
          <cell r="S698" t="str">
            <v/>
          </cell>
        </row>
        <row r="699">
          <cell r="G699" t="str">
            <v/>
          </cell>
          <cell r="H699" t="str">
            <v/>
          </cell>
          <cell r="I699" t="str">
            <v/>
          </cell>
          <cell r="J699" t="str">
            <v/>
          </cell>
          <cell r="K699" t="str">
            <v/>
          </cell>
          <cell r="L699" t="str">
            <v/>
          </cell>
          <cell r="M699" t="str">
            <v/>
          </cell>
          <cell r="N699" t="str">
            <v/>
          </cell>
          <cell r="O699" t="str">
            <v/>
          </cell>
          <cell r="P699" t="str">
            <v/>
          </cell>
          <cell r="Q699" t="str">
            <v/>
          </cell>
          <cell r="R699" t="str">
            <v/>
          </cell>
          <cell r="S699" t="str">
            <v/>
          </cell>
        </row>
        <row r="700">
          <cell r="G700" t="str">
            <v/>
          </cell>
          <cell r="H700" t="str">
            <v/>
          </cell>
          <cell r="I700" t="str">
            <v/>
          </cell>
          <cell r="J700" t="str">
            <v/>
          </cell>
          <cell r="K700" t="str">
            <v/>
          </cell>
          <cell r="L700" t="str">
            <v/>
          </cell>
          <cell r="M700" t="str">
            <v/>
          </cell>
          <cell r="N700" t="str">
            <v/>
          </cell>
          <cell r="O700" t="str">
            <v/>
          </cell>
          <cell r="P700" t="str">
            <v/>
          </cell>
          <cell r="Q700" t="str">
            <v/>
          </cell>
          <cell r="R700" t="str">
            <v/>
          </cell>
          <cell r="S700" t="str">
            <v/>
          </cell>
        </row>
        <row r="701">
          <cell r="G701" t="str">
            <v/>
          </cell>
          <cell r="H701" t="str">
            <v/>
          </cell>
          <cell r="I701" t="str">
            <v/>
          </cell>
          <cell r="J701" t="str">
            <v/>
          </cell>
          <cell r="K701" t="str">
            <v/>
          </cell>
          <cell r="L701" t="str">
            <v/>
          </cell>
          <cell r="M701" t="str">
            <v/>
          </cell>
          <cell r="N701" t="str">
            <v/>
          </cell>
          <cell r="O701" t="str">
            <v/>
          </cell>
          <cell r="P701" t="str">
            <v/>
          </cell>
          <cell r="Q701" t="str">
            <v/>
          </cell>
          <cell r="R701" t="str">
            <v/>
          </cell>
          <cell r="S701" t="str">
            <v/>
          </cell>
        </row>
        <row r="702">
          <cell r="G702" t="str">
            <v/>
          </cell>
          <cell r="H702" t="str">
            <v/>
          </cell>
          <cell r="I702" t="str">
            <v/>
          </cell>
          <cell r="J702" t="str">
            <v/>
          </cell>
          <cell r="K702" t="str">
            <v/>
          </cell>
          <cell r="L702" t="str">
            <v/>
          </cell>
          <cell r="M702" t="str">
            <v/>
          </cell>
          <cell r="N702" t="str">
            <v/>
          </cell>
          <cell r="O702" t="str">
            <v/>
          </cell>
          <cell r="P702" t="str">
            <v/>
          </cell>
          <cell r="Q702" t="str">
            <v/>
          </cell>
          <cell r="R702" t="str">
            <v/>
          </cell>
          <cell r="S702" t="str">
            <v/>
          </cell>
        </row>
        <row r="703">
          <cell r="G703" t="str">
            <v/>
          </cell>
          <cell r="H703" t="str">
            <v/>
          </cell>
          <cell r="I703" t="str">
            <v/>
          </cell>
          <cell r="J703" t="str">
            <v/>
          </cell>
          <cell r="K703" t="str">
            <v/>
          </cell>
          <cell r="L703" t="str">
            <v/>
          </cell>
          <cell r="M703" t="str">
            <v/>
          </cell>
          <cell r="N703" t="str">
            <v/>
          </cell>
          <cell r="O703" t="str">
            <v/>
          </cell>
          <cell r="P703" t="str">
            <v/>
          </cell>
          <cell r="Q703" t="str">
            <v/>
          </cell>
          <cell r="R703" t="str">
            <v/>
          </cell>
          <cell r="S703" t="str">
            <v/>
          </cell>
        </row>
        <row r="704">
          <cell r="G704" t="str">
            <v/>
          </cell>
          <cell r="H704" t="str">
            <v/>
          </cell>
          <cell r="I704" t="str">
            <v/>
          </cell>
          <cell r="J704" t="str">
            <v/>
          </cell>
          <cell r="K704" t="str">
            <v/>
          </cell>
          <cell r="L704" t="str">
            <v/>
          </cell>
          <cell r="M704" t="str">
            <v/>
          </cell>
          <cell r="N704" t="str">
            <v/>
          </cell>
          <cell r="O704" t="str">
            <v/>
          </cell>
          <cell r="P704" t="str">
            <v/>
          </cell>
          <cell r="Q704" t="str">
            <v/>
          </cell>
          <cell r="R704" t="str">
            <v/>
          </cell>
          <cell r="S704" t="str">
            <v/>
          </cell>
        </row>
        <row r="705">
          <cell r="G705" t="str">
            <v/>
          </cell>
          <cell r="H705" t="str">
            <v/>
          </cell>
          <cell r="I705" t="str">
            <v/>
          </cell>
          <cell r="J705" t="str">
            <v/>
          </cell>
          <cell r="K705" t="str">
            <v/>
          </cell>
          <cell r="L705" t="str">
            <v/>
          </cell>
          <cell r="M705" t="str">
            <v/>
          </cell>
          <cell r="N705" t="str">
            <v/>
          </cell>
          <cell r="O705" t="str">
            <v/>
          </cell>
          <cell r="P705" t="str">
            <v/>
          </cell>
          <cell r="Q705" t="str">
            <v/>
          </cell>
          <cell r="R705" t="str">
            <v/>
          </cell>
          <cell r="S705" t="str">
            <v/>
          </cell>
        </row>
        <row r="706">
          <cell r="G706" t="str">
            <v/>
          </cell>
          <cell r="H706" t="str">
            <v/>
          </cell>
          <cell r="I706" t="str">
            <v/>
          </cell>
          <cell r="J706" t="str">
            <v/>
          </cell>
          <cell r="K706" t="str">
            <v/>
          </cell>
          <cell r="L706" t="str">
            <v/>
          </cell>
          <cell r="M706" t="str">
            <v/>
          </cell>
          <cell r="N706" t="str">
            <v/>
          </cell>
          <cell r="O706" t="str">
            <v/>
          </cell>
          <cell r="P706" t="str">
            <v/>
          </cell>
          <cell r="Q706" t="str">
            <v/>
          </cell>
          <cell r="R706" t="str">
            <v/>
          </cell>
          <cell r="S706" t="str">
            <v/>
          </cell>
        </row>
        <row r="707">
          <cell r="G707" t="str">
            <v/>
          </cell>
          <cell r="H707" t="str">
            <v/>
          </cell>
          <cell r="I707" t="str">
            <v/>
          </cell>
          <cell r="J707" t="str">
            <v/>
          </cell>
          <cell r="K707" t="str">
            <v/>
          </cell>
          <cell r="L707" t="str">
            <v/>
          </cell>
          <cell r="M707" t="str">
            <v/>
          </cell>
          <cell r="N707" t="str">
            <v/>
          </cell>
          <cell r="O707" t="str">
            <v/>
          </cell>
          <cell r="P707" t="str">
            <v/>
          </cell>
          <cell r="Q707" t="str">
            <v/>
          </cell>
          <cell r="R707" t="str">
            <v/>
          </cell>
          <cell r="S707" t="str">
            <v/>
          </cell>
        </row>
        <row r="708">
          <cell r="G708" t="str">
            <v/>
          </cell>
          <cell r="H708" t="str">
            <v/>
          </cell>
          <cell r="I708" t="str">
            <v/>
          </cell>
          <cell r="J708" t="str">
            <v/>
          </cell>
          <cell r="K708" t="str">
            <v/>
          </cell>
          <cell r="L708" t="str">
            <v/>
          </cell>
          <cell r="M708" t="str">
            <v/>
          </cell>
          <cell r="N708" t="str">
            <v/>
          </cell>
          <cell r="O708" t="str">
            <v/>
          </cell>
          <cell r="P708" t="str">
            <v/>
          </cell>
          <cell r="Q708" t="str">
            <v/>
          </cell>
          <cell r="R708" t="str">
            <v/>
          </cell>
          <cell r="S708" t="str">
            <v/>
          </cell>
        </row>
        <row r="709">
          <cell r="G709" t="str">
            <v/>
          </cell>
          <cell r="H709" t="str">
            <v/>
          </cell>
          <cell r="I709" t="str">
            <v/>
          </cell>
          <cell r="J709" t="str">
            <v/>
          </cell>
          <cell r="K709" t="str">
            <v/>
          </cell>
          <cell r="L709" t="str">
            <v/>
          </cell>
          <cell r="M709" t="str">
            <v/>
          </cell>
          <cell r="N709" t="str">
            <v/>
          </cell>
          <cell r="O709" t="str">
            <v/>
          </cell>
          <cell r="P709" t="str">
            <v/>
          </cell>
          <cell r="Q709" t="str">
            <v/>
          </cell>
          <cell r="R709" t="str">
            <v/>
          </cell>
          <cell r="S709" t="str">
            <v/>
          </cell>
        </row>
        <row r="710">
          <cell r="G710" t="str">
            <v/>
          </cell>
          <cell r="H710" t="str">
            <v/>
          </cell>
          <cell r="I710" t="str">
            <v/>
          </cell>
          <cell r="J710" t="str">
            <v/>
          </cell>
          <cell r="K710" t="str">
            <v/>
          </cell>
          <cell r="L710" t="str">
            <v/>
          </cell>
          <cell r="M710" t="str">
            <v/>
          </cell>
          <cell r="N710" t="str">
            <v/>
          </cell>
          <cell r="O710" t="str">
            <v/>
          </cell>
          <cell r="P710" t="str">
            <v/>
          </cell>
          <cell r="Q710" t="str">
            <v/>
          </cell>
          <cell r="R710" t="str">
            <v/>
          </cell>
          <cell r="S710" t="str">
            <v/>
          </cell>
        </row>
        <row r="711">
          <cell r="G711" t="str">
            <v/>
          </cell>
          <cell r="H711" t="str">
            <v/>
          </cell>
          <cell r="I711" t="str">
            <v/>
          </cell>
          <cell r="J711" t="str">
            <v/>
          </cell>
          <cell r="K711" t="str">
            <v/>
          </cell>
          <cell r="L711" t="str">
            <v/>
          </cell>
          <cell r="M711" t="str">
            <v/>
          </cell>
          <cell r="N711" t="str">
            <v/>
          </cell>
          <cell r="O711" t="str">
            <v/>
          </cell>
          <cell r="P711" t="str">
            <v/>
          </cell>
          <cell r="Q711" t="str">
            <v/>
          </cell>
          <cell r="R711" t="str">
            <v/>
          </cell>
          <cell r="S711" t="str">
            <v/>
          </cell>
        </row>
        <row r="712">
          <cell r="G712" t="str">
            <v/>
          </cell>
          <cell r="H712" t="str">
            <v/>
          </cell>
          <cell r="I712" t="str">
            <v/>
          </cell>
          <cell r="J712" t="str">
            <v/>
          </cell>
          <cell r="K712" t="str">
            <v/>
          </cell>
          <cell r="L712" t="str">
            <v/>
          </cell>
          <cell r="M712" t="str">
            <v/>
          </cell>
          <cell r="N712" t="str">
            <v/>
          </cell>
          <cell r="O712" t="str">
            <v/>
          </cell>
          <cell r="P712" t="str">
            <v/>
          </cell>
          <cell r="Q712" t="str">
            <v/>
          </cell>
          <cell r="R712" t="str">
            <v/>
          </cell>
          <cell r="S712" t="str">
            <v/>
          </cell>
        </row>
        <row r="713">
          <cell r="G713" t="str">
            <v/>
          </cell>
          <cell r="H713" t="str">
            <v/>
          </cell>
          <cell r="I713" t="str">
            <v/>
          </cell>
          <cell r="J713" t="str">
            <v/>
          </cell>
          <cell r="K713" t="str">
            <v/>
          </cell>
          <cell r="L713" t="str">
            <v/>
          </cell>
          <cell r="M713" t="str">
            <v/>
          </cell>
          <cell r="N713" t="str">
            <v/>
          </cell>
          <cell r="O713" t="str">
            <v/>
          </cell>
          <cell r="P713" t="str">
            <v/>
          </cell>
          <cell r="Q713" t="str">
            <v/>
          </cell>
          <cell r="R713" t="str">
            <v/>
          </cell>
          <cell r="S713" t="str">
            <v/>
          </cell>
        </row>
        <row r="714">
          <cell r="G714" t="str">
            <v/>
          </cell>
          <cell r="H714" t="str">
            <v/>
          </cell>
          <cell r="I714" t="str">
            <v/>
          </cell>
          <cell r="J714" t="str">
            <v/>
          </cell>
          <cell r="K714" t="str">
            <v/>
          </cell>
          <cell r="L714" t="str">
            <v/>
          </cell>
          <cell r="M714" t="str">
            <v/>
          </cell>
          <cell r="N714" t="str">
            <v/>
          </cell>
          <cell r="O714" t="str">
            <v/>
          </cell>
          <cell r="P714" t="str">
            <v/>
          </cell>
          <cell r="Q714" t="str">
            <v/>
          </cell>
          <cell r="R714" t="str">
            <v/>
          </cell>
          <cell r="S714" t="str">
            <v/>
          </cell>
        </row>
        <row r="715">
          <cell r="G715" t="str">
            <v/>
          </cell>
          <cell r="H715" t="str">
            <v/>
          </cell>
          <cell r="I715" t="str">
            <v/>
          </cell>
          <cell r="J715" t="str">
            <v/>
          </cell>
          <cell r="K715" t="str">
            <v/>
          </cell>
          <cell r="L715" t="str">
            <v/>
          </cell>
          <cell r="M715" t="str">
            <v/>
          </cell>
          <cell r="N715" t="str">
            <v/>
          </cell>
          <cell r="O715" t="str">
            <v/>
          </cell>
          <cell r="P715" t="str">
            <v/>
          </cell>
          <cell r="Q715" t="str">
            <v/>
          </cell>
          <cell r="R715" t="str">
            <v/>
          </cell>
          <cell r="S715" t="str">
            <v/>
          </cell>
        </row>
        <row r="716">
          <cell r="G716" t="str">
            <v/>
          </cell>
          <cell r="H716" t="str">
            <v/>
          </cell>
          <cell r="I716" t="str">
            <v/>
          </cell>
          <cell r="J716" t="str">
            <v/>
          </cell>
          <cell r="K716" t="str">
            <v/>
          </cell>
          <cell r="L716" t="str">
            <v/>
          </cell>
          <cell r="M716" t="str">
            <v/>
          </cell>
          <cell r="N716" t="str">
            <v/>
          </cell>
          <cell r="O716" t="str">
            <v/>
          </cell>
          <cell r="P716" t="str">
            <v/>
          </cell>
          <cell r="Q716" t="str">
            <v/>
          </cell>
          <cell r="R716" t="str">
            <v/>
          </cell>
          <cell r="S716" t="str">
            <v/>
          </cell>
        </row>
        <row r="717">
          <cell r="G717" t="str">
            <v/>
          </cell>
          <cell r="H717" t="str">
            <v/>
          </cell>
          <cell r="I717" t="str">
            <v/>
          </cell>
          <cell r="J717" t="str">
            <v/>
          </cell>
          <cell r="K717" t="str">
            <v/>
          </cell>
          <cell r="L717" t="str">
            <v/>
          </cell>
          <cell r="M717" t="str">
            <v/>
          </cell>
          <cell r="N717" t="str">
            <v/>
          </cell>
          <cell r="O717" t="str">
            <v/>
          </cell>
          <cell r="P717" t="str">
            <v/>
          </cell>
          <cell r="Q717" t="str">
            <v/>
          </cell>
          <cell r="R717" t="str">
            <v/>
          </cell>
          <cell r="S717" t="str">
            <v/>
          </cell>
        </row>
        <row r="718">
          <cell r="G718" t="str">
            <v/>
          </cell>
          <cell r="H718" t="str">
            <v/>
          </cell>
          <cell r="I718" t="str">
            <v/>
          </cell>
          <cell r="J718" t="str">
            <v/>
          </cell>
          <cell r="K718" t="str">
            <v/>
          </cell>
          <cell r="L718" t="str">
            <v/>
          </cell>
          <cell r="M718" t="str">
            <v/>
          </cell>
          <cell r="N718" t="str">
            <v/>
          </cell>
          <cell r="O718" t="str">
            <v/>
          </cell>
          <cell r="P718" t="str">
            <v/>
          </cell>
          <cell r="Q718" t="str">
            <v/>
          </cell>
          <cell r="R718" t="str">
            <v/>
          </cell>
          <cell r="S718" t="str">
            <v/>
          </cell>
        </row>
        <row r="719">
          <cell r="G719" t="str">
            <v/>
          </cell>
          <cell r="H719" t="str">
            <v/>
          </cell>
          <cell r="I719" t="str">
            <v/>
          </cell>
          <cell r="J719" t="str">
            <v/>
          </cell>
          <cell r="K719" t="str">
            <v/>
          </cell>
          <cell r="L719" t="str">
            <v/>
          </cell>
          <cell r="M719" t="str">
            <v/>
          </cell>
          <cell r="N719" t="str">
            <v/>
          </cell>
          <cell r="O719" t="str">
            <v/>
          </cell>
          <cell r="P719" t="str">
            <v/>
          </cell>
          <cell r="Q719" t="str">
            <v/>
          </cell>
          <cell r="R719" t="str">
            <v/>
          </cell>
          <cell r="S719" t="str">
            <v/>
          </cell>
        </row>
        <row r="720">
          <cell r="G720" t="str">
            <v/>
          </cell>
          <cell r="H720" t="str">
            <v/>
          </cell>
          <cell r="I720" t="str">
            <v/>
          </cell>
          <cell r="J720" t="str">
            <v/>
          </cell>
          <cell r="K720" t="str">
            <v/>
          </cell>
          <cell r="L720" t="str">
            <v/>
          </cell>
          <cell r="M720" t="str">
            <v/>
          </cell>
          <cell r="N720" t="str">
            <v/>
          </cell>
          <cell r="O720" t="str">
            <v/>
          </cell>
          <cell r="P720" t="str">
            <v/>
          </cell>
          <cell r="Q720" t="str">
            <v/>
          </cell>
          <cell r="R720" t="str">
            <v/>
          </cell>
          <cell r="S720" t="str">
            <v/>
          </cell>
        </row>
        <row r="721">
          <cell r="G721" t="str">
            <v/>
          </cell>
          <cell r="H721" t="str">
            <v/>
          </cell>
          <cell r="I721" t="str">
            <v/>
          </cell>
          <cell r="J721" t="str">
            <v/>
          </cell>
          <cell r="K721" t="str">
            <v/>
          </cell>
          <cell r="L721" t="str">
            <v/>
          </cell>
          <cell r="M721" t="str">
            <v/>
          </cell>
          <cell r="N721" t="str">
            <v/>
          </cell>
          <cell r="O721" t="str">
            <v/>
          </cell>
          <cell r="P721" t="str">
            <v/>
          </cell>
          <cell r="Q721" t="str">
            <v/>
          </cell>
          <cell r="R721" t="str">
            <v/>
          </cell>
          <cell r="S721" t="str">
            <v/>
          </cell>
        </row>
        <row r="722">
          <cell r="G722" t="str">
            <v/>
          </cell>
          <cell r="H722" t="str">
            <v/>
          </cell>
          <cell r="I722" t="str">
            <v/>
          </cell>
          <cell r="J722" t="str">
            <v/>
          </cell>
          <cell r="K722" t="str">
            <v/>
          </cell>
          <cell r="L722" t="str">
            <v/>
          </cell>
          <cell r="M722" t="str">
            <v/>
          </cell>
          <cell r="N722" t="str">
            <v/>
          </cell>
          <cell r="O722" t="str">
            <v/>
          </cell>
          <cell r="P722" t="str">
            <v/>
          </cell>
          <cell r="Q722" t="str">
            <v/>
          </cell>
          <cell r="R722" t="str">
            <v/>
          </cell>
          <cell r="S722" t="str">
            <v/>
          </cell>
        </row>
        <row r="723">
          <cell r="G723" t="str">
            <v/>
          </cell>
          <cell r="H723" t="str">
            <v/>
          </cell>
          <cell r="I723" t="str">
            <v/>
          </cell>
          <cell r="J723" t="str">
            <v/>
          </cell>
          <cell r="K723" t="str">
            <v/>
          </cell>
          <cell r="L723" t="str">
            <v/>
          </cell>
          <cell r="M723" t="str">
            <v/>
          </cell>
          <cell r="N723" t="str">
            <v/>
          </cell>
          <cell r="O723" t="str">
            <v/>
          </cell>
          <cell r="P723" t="str">
            <v/>
          </cell>
          <cell r="Q723" t="str">
            <v/>
          </cell>
          <cell r="R723" t="str">
            <v/>
          </cell>
          <cell r="S723" t="str">
            <v/>
          </cell>
        </row>
        <row r="724">
          <cell r="G724" t="str">
            <v/>
          </cell>
          <cell r="H724" t="str">
            <v/>
          </cell>
          <cell r="I724" t="str">
            <v/>
          </cell>
          <cell r="J724" t="str">
            <v/>
          </cell>
          <cell r="K724" t="str">
            <v/>
          </cell>
          <cell r="L724" t="str">
            <v/>
          </cell>
          <cell r="M724" t="str">
            <v/>
          </cell>
          <cell r="N724" t="str">
            <v/>
          </cell>
          <cell r="O724" t="str">
            <v/>
          </cell>
          <cell r="P724" t="str">
            <v/>
          </cell>
          <cell r="Q724" t="str">
            <v/>
          </cell>
          <cell r="R724" t="str">
            <v/>
          </cell>
          <cell r="S724" t="str">
            <v/>
          </cell>
        </row>
        <row r="725">
          <cell r="G725" t="str">
            <v/>
          </cell>
          <cell r="H725" t="str">
            <v/>
          </cell>
          <cell r="I725" t="str">
            <v/>
          </cell>
          <cell r="J725" t="str">
            <v/>
          </cell>
          <cell r="K725" t="str">
            <v/>
          </cell>
          <cell r="L725" t="str">
            <v/>
          </cell>
          <cell r="M725" t="str">
            <v/>
          </cell>
          <cell r="N725" t="str">
            <v/>
          </cell>
          <cell r="O725" t="str">
            <v/>
          </cell>
          <cell r="P725" t="str">
            <v/>
          </cell>
          <cell r="Q725" t="str">
            <v/>
          </cell>
          <cell r="R725" t="str">
            <v/>
          </cell>
          <cell r="S725" t="str">
            <v/>
          </cell>
        </row>
        <row r="726">
          <cell r="G726" t="str">
            <v/>
          </cell>
          <cell r="H726" t="str">
            <v/>
          </cell>
          <cell r="I726" t="str">
            <v/>
          </cell>
          <cell r="J726" t="str">
            <v/>
          </cell>
          <cell r="K726" t="str">
            <v/>
          </cell>
          <cell r="L726" t="str">
            <v/>
          </cell>
          <cell r="M726" t="str">
            <v/>
          </cell>
          <cell r="N726" t="str">
            <v/>
          </cell>
          <cell r="O726" t="str">
            <v/>
          </cell>
          <cell r="P726" t="str">
            <v/>
          </cell>
          <cell r="Q726" t="str">
            <v/>
          </cell>
          <cell r="R726" t="str">
            <v/>
          </cell>
          <cell r="S726" t="str">
            <v/>
          </cell>
        </row>
        <row r="727">
          <cell r="G727" t="str">
            <v/>
          </cell>
          <cell r="H727" t="str">
            <v/>
          </cell>
          <cell r="I727" t="str">
            <v/>
          </cell>
          <cell r="J727" t="str">
            <v/>
          </cell>
          <cell r="K727" t="str">
            <v/>
          </cell>
          <cell r="L727" t="str">
            <v/>
          </cell>
          <cell r="M727" t="str">
            <v/>
          </cell>
          <cell r="N727" t="str">
            <v/>
          </cell>
          <cell r="O727" t="str">
            <v/>
          </cell>
          <cell r="P727" t="str">
            <v/>
          </cell>
          <cell r="Q727" t="str">
            <v/>
          </cell>
          <cell r="R727" t="str">
            <v/>
          </cell>
          <cell r="S727" t="str">
            <v/>
          </cell>
        </row>
        <row r="728">
          <cell r="G728" t="str">
            <v/>
          </cell>
          <cell r="H728" t="str">
            <v/>
          </cell>
          <cell r="I728" t="str">
            <v/>
          </cell>
          <cell r="J728" t="str">
            <v/>
          </cell>
          <cell r="K728" t="str">
            <v/>
          </cell>
          <cell r="L728" t="str">
            <v/>
          </cell>
          <cell r="M728" t="str">
            <v/>
          </cell>
          <cell r="N728" t="str">
            <v/>
          </cell>
          <cell r="O728" t="str">
            <v/>
          </cell>
          <cell r="P728" t="str">
            <v/>
          </cell>
          <cell r="Q728" t="str">
            <v/>
          </cell>
          <cell r="R728" t="str">
            <v/>
          </cell>
          <cell r="S728" t="str">
            <v/>
          </cell>
        </row>
        <row r="729">
          <cell r="G729" t="str">
            <v/>
          </cell>
          <cell r="H729" t="str">
            <v/>
          </cell>
          <cell r="I729" t="str">
            <v/>
          </cell>
          <cell r="J729" t="str">
            <v/>
          </cell>
          <cell r="K729" t="str">
            <v/>
          </cell>
          <cell r="L729" t="str">
            <v/>
          </cell>
          <cell r="M729" t="str">
            <v/>
          </cell>
          <cell r="N729" t="str">
            <v/>
          </cell>
          <cell r="O729" t="str">
            <v/>
          </cell>
          <cell r="P729" t="str">
            <v/>
          </cell>
          <cell r="Q729" t="str">
            <v/>
          </cell>
          <cell r="R729" t="str">
            <v/>
          </cell>
          <cell r="S729" t="str">
            <v/>
          </cell>
        </row>
        <row r="730">
          <cell r="G730" t="str">
            <v/>
          </cell>
          <cell r="H730" t="str">
            <v/>
          </cell>
          <cell r="I730" t="str">
            <v/>
          </cell>
          <cell r="J730" t="str">
            <v/>
          </cell>
          <cell r="K730" t="str">
            <v/>
          </cell>
          <cell r="L730" t="str">
            <v/>
          </cell>
          <cell r="M730" t="str">
            <v/>
          </cell>
          <cell r="N730" t="str">
            <v/>
          </cell>
          <cell r="O730" t="str">
            <v/>
          </cell>
          <cell r="P730" t="str">
            <v/>
          </cell>
          <cell r="Q730" t="str">
            <v/>
          </cell>
          <cell r="R730" t="str">
            <v/>
          </cell>
          <cell r="S730" t="str">
            <v/>
          </cell>
        </row>
        <row r="731">
          <cell r="G731" t="str">
            <v/>
          </cell>
          <cell r="H731" t="str">
            <v/>
          </cell>
          <cell r="I731" t="str">
            <v/>
          </cell>
          <cell r="J731" t="str">
            <v/>
          </cell>
          <cell r="K731" t="str">
            <v/>
          </cell>
          <cell r="L731" t="str">
            <v/>
          </cell>
          <cell r="M731" t="str">
            <v/>
          </cell>
          <cell r="N731" t="str">
            <v/>
          </cell>
          <cell r="O731" t="str">
            <v/>
          </cell>
          <cell r="P731" t="str">
            <v/>
          </cell>
          <cell r="Q731" t="str">
            <v/>
          </cell>
          <cell r="R731" t="str">
            <v/>
          </cell>
          <cell r="S731" t="str">
            <v/>
          </cell>
        </row>
        <row r="732">
          <cell r="G732" t="str">
            <v/>
          </cell>
          <cell r="H732" t="str">
            <v/>
          </cell>
          <cell r="I732" t="str">
            <v/>
          </cell>
          <cell r="J732" t="str">
            <v/>
          </cell>
          <cell r="K732" t="str">
            <v/>
          </cell>
          <cell r="L732" t="str">
            <v/>
          </cell>
          <cell r="M732" t="str">
            <v/>
          </cell>
          <cell r="N732" t="str">
            <v/>
          </cell>
          <cell r="O732" t="str">
            <v/>
          </cell>
          <cell r="P732" t="str">
            <v/>
          </cell>
          <cell r="Q732" t="str">
            <v/>
          </cell>
          <cell r="R732" t="str">
            <v/>
          </cell>
          <cell r="S732" t="str">
            <v/>
          </cell>
        </row>
        <row r="733">
          <cell r="G733" t="str">
            <v/>
          </cell>
          <cell r="H733" t="str">
            <v/>
          </cell>
          <cell r="I733" t="str">
            <v/>
          </cell>
          <cell r="J733" t="str">
            <v/>
          </cell>
          <cell r="K733" t="str">
            <v/>
          </cell>
          <cell r="L733" t="str">
            <v/>
          </cell>
          <cell r="M733" t="str">
            <v/>
          </cell>
          <cell r="N733" t="str">
            <v/>
          </cell>
          <cell r="O733" t="str">
            <v/>
          </cell>
          <cell r="P733" t="str">
            <v/>
          </cell>
          <cell r="Q733" t="str">
            <v/>
          </cell>
          <cell r="R733" t="str">
            <v/>
          </cell>
          <cell r="S733" t="str">
            <v/>
          </cell>
        </row>
        <row r="734">
          <cell r="G734" t="str">
            <v/>
          </cell>
          <cell r="H734" t="str">
            <v/>
          </cell>
          <cell r="I734" t="str">
            <v/>
          </cell>
          <cell r="J734" t="str">
            <v/>
          </cell>
          <cell r="K734" t="str">
            <v/>
          </cell>
          <cell r="L734" t="str">
            <v/>
          </cell>
          <cell r="M734" t="str">
            <v/>
          </cell>
          <cell r="N734" t="str">
            <v/>
          </cell>
          <cell r="O734" t="str">
            <v/>
          </cell>
          <cell r="P734" t="str">
            <v/>
          </cell>
          <cell r="Q734" t="str">
            <v/>
          </cell>
          <cell r="R734" t="str">
            <v/>
          </cell>
          <cell r="S734" t="str">
            <v/>
          </cell>
        </row>
        <row r="735">
          <cell r="G735" t="str">
            <v/>
          </cell>
          <cell r="H735" t="str">
            <v/>
          </cell>
          <cell r="I735" t="str">
            <v/>
          </cell>
          <cell r="J735" t="str">
            <v/>
          </cell>
          <cell r="K735" t="str">
            <v/>
          </cell>
          <cell r="L735" t="str">
            <v/>
          </cell>
          <cell r="M735" t="str">
            <v/>
          </cell>
          <cell r="N735" t="str">
            <v/>
          </cell>
          <cell r="O735" t="str">
            <v/>
          </cell>
          <cell r="P735" t="str">
            <v/>
          </cell>
          <cell r="Q735" t="str">
            <v/>
          </cell>
          <cell r="R735" t="str">
            <v/>
          </cell>
          <cell r="S735" t="str">
            <v/>
          </cell>
        </row>
        <row r="736">
          <cell r="G736" t="str">
            <v/>
          </cell>
          <cell r="H736" t="str">
            <v/>
          </cell>
          <cell r="I736" t="str">
            <v/>
          </cell>
          <cell r="J736" t="str">
            <v/>
          </cell>
          <cell r="K736" t="str">
            <v/>
          </cell>
          <cell r="L736" t="str">
            <v/>
          </cell>
          <cell r="M736" t="str">
            <v/>
          </cell>
          <cell r="N736" t="str">
            <v/>
          </cell>
          <cell r="O736" t="str">
            <v/>
          </cell>
          <cell r="P736" t="str">
            <v/>
          </cell>
          <cell r="Q736" t="str">
            <v/>
          </cell>
          <cell r="R736" t="str">
            <v/>
          </cell>
          <cell r="S736" t="str">
            <v/>
          </cell>
        </row>
        <row r="737">
          <cell r="G737" t="str">
            <v/>
          </cell>
          <cell r="H737" t="str">
            <v/>
          </cell>
          <cell r="I737" t="str">
            <v/>
          </cell>
          <cell r="J737" t="str">
            <v/>
          </cell>
          <cell r="K737" t="str">
            <v/>
          </cell>
          <cell r="L737" t="str">
            <v/>
          </cell>
          <cell r="M737" t="str">
            <v/>
          </cell>
          <cell r="N737" t="str">
            <v/>
          </cell>
          <cell r="O737" t="str">
            <v/>
          </cell>
          <cell r="P737" t="str">
            <v/>
          </cell>
          <cell r="Q737" t="str">
            <v/>
          </cell>
          <cell r="R737" t="str">
            <v/>
          </cell>
          <cell r="S737" t="str">
            <v/>
          </cell>
        </row>
        <row r="738">
          <cell r="G738" t="str">
            <v/>
          </cell>
          <cell r="H738" t="str">
            <v/>
          </cell>
          <cell r="I738" t="str">
            <v/>
          </cell>
          <cell r="J738" t="str">
            <v/>
          </cell>
          <cell r="K738" t="str">
            <v/>
          </cell>
          <cell r="L738" t="str">
            <v/>
          </cell>
          <cell r="M738" t="str">
            <v/>
          </cell>
          <cell r="N738" t="str">
            <v/>
          </cell>
          <cell r="O738" t="str">
            <v/>
          </cell>
          <cell r="P738" t="str">
            <v/>
          </cell>
          <cell r="Q738" t="str">
            <v/>
          </cell>
          <cell r="R738" t="str">
            <v/>
          </cell>
          <cell r="S738" t="str">
            <v/>
          </cell>
        </row>
        <row r="739">
          <cell r="G739" t="str">
            <v/>
          </cell>
          <cell r="H739" t="str">
            <v/>
          </cell>
          <cell r="I739" t="str">
            <v/>
          </cell>
          <cell r="J739" t="str">
            <v/>
          </cell>
          <cell r="K739" t="str">
            <v/>
          </cell>
          <cell r="L739" t="str">
            <v/>
          </cell>
          <cell r="M739" t="str">
            <v/>
          </cell>
          <cell r="N739" t="str">
            <v/>
          </cell>
          <cell r="O739" t="str">
            <v/>
          </cell>
          <cell r="P739" t="str">
            <v/>
          </cell>
          <cell r="Q739" t="str">
            <v/>
          </cell>
          <cell r="R739" t="str">
            <v/>
          </cell>
          <cell r="S739" t="str">
            <v/>
          </cell>
        </row>
        <row r="740">
          <cell r="G740" t="str">
            <v/>
          </cell>
          <cell r="H740" t="str">
            <v/>
          </cell>
          <cell r="I740" t="str">
            <v/>
          </cell>
          <cell r="J740" t="str">
            <v/>
          </cell>
          <cell r="K740" t="str">
            <v/>
          </cell>
          <cell r="L740" t="str">
            <v/>
          </cell>
          <cell r="M740" t="str">
            <v/>
          </cell>
          <cell r="N740" t="str">
            <v/>
          </cell>
          <cell r="O740" t="str">
            <v/>
          </cell>
          <cell r="P740" t="str">
            <v/>
          </cell>
          <cell r="Q740" t="str">
            <v/>
          </cell>
          <cell r="R740" t="str">
            <v/>
          </cell>
          <cell r="S740" t="str">
            <v/>
          </cell>
        </row>
        <row r="741">
          <cell r="G741" t="str">
            <v/>
          </cell>
          <cell r="H741" t="str">
            <v/>
          </cell>
          <cell r="I741" t="str">
            <v/>
          </cell>
          <cell r="J741" t="str">
            <v/>
          </cell>
          <cell r="K741" t="str">
            <v/>
          </cell>
          <cell r="L741" t="str">
            <v/>
          </cell>
          <cell r="M741" t="str">
            <v/>
          </cell>
          <cell r="N741" t="str">
            <v/>
          </cell>
          <cell r="O741" t="str">
            <v/>
          </cell>
          <cell r="P741" t="str">
            <v/>
          </cell>
          <cell r="Q741" t="str">
            <v/>
          </cell>
          <cell r="R741" t="str">
            <v/>
          </cell>
          <cell r="S741" t="str">
            <v/>
          </cell>
        </row>
        <row r="742">
          <cell r="G742" t="str">
            <v/>
          </cell>
          <cell r="H742" t="str">
            <v/>
          </cell>
          <cell r="I742" t="str">
            <v/>
          </cell>
          <cell r="J742" t="str">
            <v/>
          </cell>
          <cell r="K742" t="str">
            <v/>
          </cell>
          <cell r="L742" t="str">
            <v/>
          </cell>
          <cell r="M742" t="str">
            <v/>
          </cell>
          <cell r="N742" t="str">
            <v/>
          </cell>
          <cell r="O742" t="str">
            <v/>
          </cell>
          <cell r="P742" t="str">
            <v/>
          </cell>
          <cell r="Q742" t="str">
            <v/>
          </cell>
          <cell r="R742" t="str">
            <v/>
          </cell>
          <cell r="S742" t="str">
            <v/>
          </cell>
        </row>
        <row r="743">
          <cell r="G743" t="str">
            <v/>
          </cell>
          <cell r="H743" t="str">
            <v/>
          </cell>
          <cell r="I743" t="str">
            <v/>
          </cell>
          <cell r="J743" t="str">
            <v/>
          </cell>
          <cell r="K743" t="str">
            <v/>
          </cell>
          <cell r="L743" t="str">
            <v/>
          </cell>
          <cell r="M743" t="str">
            <v/>
          </cell>
          <cell r="N743" t="str">
            <v/>
          </cell>
          <cell r="O743" t="str">
            <v/>
          </cell>
          <cell r="P743" t="str">
            <v/>
          </cell>
          <cell r="Q743" t="str">
            <v/>
          </cell>
          <cell r="R743" t="str">
            <v/>
          </cell>
          <cell r="S743" t="str">
            <v/>
          </cell>
        </row>
        <row r="744">
          <cell r="G744" t="str">
            <v/>
          </cell>
          <cell r="H744" t="str">
            <v/>
          </cell>
          <cell r="I744" t="str">
            <v/>
          </cell>
          <cell r="J744" t="str">
            <v/>
          </cell>
          <cell r="K744" t="str">
            <v/>
          </cell>
          <cell r="L744" t="str">
            <v/>
          </cell>
          <cell r="M744" t="str">
            <v/>
          </cell>
          <cell r="N744" t="str">
            <v/>
          </cell>
          <cell r="O744" t="str">
            <v/>
          </cell>
          <cell r="P744" t="str">
            <v/>
          </cell>
          <cell r="Q744" t="str">
            <v/>
          </cell>
          <cell r="R744" t="str">
            <v/>
          </cell>
          <cell r="S744" t="str">
            <v/>
          </cell>
        </row>
        <row r="745">
          <cell r="G745" t="str">
            <v/>
          </cell>
          <cell r="H745" t="str">
            <v/>
          </cell>
          <cell r="I745" t="str">
            <v/>
          </cell>
          <cell r="J745" t="str">
            <v/>
          </cell>
          <cell r="K745" t="str">
            <v/>
          </cell>
          <cell r="L745" t="str">
            <v/>
          </cell>
          <cell r="M745" t="str">
            <v/>
          </cell>
          <cell r="N745" t="str">
            <v/>
          </cell>
          <cell r="O745" t="str">
            <v/>
          </cell>
          <cell r="P745" t="str">
            <v/>
          </cell>
          <cell r="Q745" t="str">
            <v/>
          </cell>
          <cell r="R745" t="str">
            <v/>
          </cell>
          <cell r="S745" t="str">
            <v/>
          </cell>
        </row>
        <row r="746">
          <cell r="G746" t="str">
            <v/>
          </cell>
          <cell r="H746" t="str">
            <v/>
          </cell>
          <cell r="I746" t="str">
            <v/>
          </cell>
          <cell r="J746" t="str">
            <v/>
          </cell>
          <cell r="K746" t="str">
            <v/>
          </cell>
          <cell r="L746" t="str">
            <v/>
          </cell>
          <cell r="M746" t="str">
            <v/>
          </cell>
          <cell r="N746" t="str">
            <v/>
          </cell>
          <cell r="O746" t="str">
            <v/>
          </cell>
          <cell r="P746" t="str">
            <v/>
          </cell>
          <cell r="Q746" t="str">
            <v/>
          </cell>
          <cell r="R746" t="str">
            <v/>
          </cell>
          <cell r="S746" t="str">
            <v/>
          </cell>
        </row>
        <row r="747">
          <cell r="G747" t="str">
            <v/>
          </cell>
          <cell r="H747" t="str">
            <v/>
          </cell>
          <cell r="I747" t="str">
            <v/>
          </cell>
          <cell r="J747" t="str">
            <v/>
          </cell>
          <cell r="K747" t="str">
            <v/>
          </cell>
          <cell r="L747" t="str">
            <v/>
          </cell>
          <cell r="M747" t="str">
            <v/>
          </cell>
          <cell r="N747" t="str">
            <v/>
          </cell>
          <cell r="O747" t="str">
            <v/>
          </cell>
          <cell r="P747" t="str">
            <v/>
          </cell>
          <cell r="Q747" t="str">
            <v/>
          </cell>
          <cell r="R747" t="str">
            <v/>
          </cell>
          <cell r="S747" t="str">
            <v/>
          </cell>
        </row>
        <row r="748">
          <cell r="G748" t="str">
            <v/>
          </cell>
          <cell r="H748" t="str">
            <v/>
          </cell>
          <cell r="I748" t="str">
            <v/>
          </cell>
          <cell r="J748" t="str">
            <v/>
          </cell>
          <cell r="K748" t="str">
            <v/>
          </cell>
          <cell r="L748" t="str">
            <v/>
          </cell>
          <cell r="M748" t="str">
            <v/>
          </cell>
          <cell r="N748" t="str">
            <v/>
          </cell>
          <cell r="O748" t="str">
            <v/>
          </cell>
          <cell r="P748" t="str">
            <v/>
          </cell>
          <cell r="Q748" t="str">
            <v/>
          </cell>
          <cell r="R748" t="str">
            <v/>
          </cell>
          <cell r="S748" t="str">
            <v/>
          </cell>
        </row>
        <row r="749">
          <cell r="G749" t="str">
            <v/>
          </cell>
          <cell r="H749" t="str">
            <v/>
          </cell>
          <cell r="I749" t="str">
            <v/>
          </cell>
          <cell r="J749" t="str">
            <v/>
          </cell>
          <cell r="K749" t="str">
            <v/>
          </cell>
          <cell r="L749" t="str">
            <v/>
          </cell>
          <cell r="M749" t="str">
            <v/>
          </cell>
          <cell r="N749" t="str">
            <v/>
          </cell>
          <cell r="O749" t="str">
            <v/>
          </cell>
          <cell r="P749" t="str">
            <v/>
          </cell>
          <cell r="Q749" t="str">
            <v/>
          </cell>
          <cell r="R749" t="str">
            <v/>
          </cell>
          <cell r="S749" t="str">
            <v/>
          </cell>
        </row>
        <row r="750">
          <cell r="G750" t="str">
            <v/>
          </cell>
          <cell r="H750" t="str">
            <v/>
          </cell>
          <cell r="I750" t="str">
            <v/>
          </cell>
          <cell r="J750" t="str">
            <v/>
          </cell>
          <cell r="K750" t="str">
            <v/>
          </cell>
          <cell r="L750" t="str">
            <v/>
          </cell>
          <cell r="M750" t="str">
            <v/>
          </cell>
          <cell r="N750" t="str">
            <v/>
          </cell>
          <cell r="O750" t="str">
            <v/>
          </cell>
          <cell r="P750" t="str">
            <v/>
          </cell>
          <cell r="Q750" t="str">
            <v/>
          </cell>
          <cell r="R750" t="str">
            <v/>
          </cell>
          <cell r="S750" t="str">
            <v/>
          </cell>
        </row>
        <row r="751">
          <cell r="G751" t="str">
            <v/>
          </cell>
          <cell r="H751" t="str">
            <v/>
          </cell>
          <cell r="I751" t="str">
            <v/>
          </cell>
          <cell r="J751" t="str">
            <v/>
          </cell>
          <cell r="K751" t="str">
            <v/>
          </cell>
          <cell r="L751" t="str">
            <v/>
          </cell>
          <cell r="M751" t="str">
            <v/>
          </cell>
          <cell r="N751" t="str">
            <v/>
          </cell>
          <cell r="O751" t="str">
            <v/>
          </cell>
          <cell r="P751" t="str">
            <v/>
          </cell>
          <cell r="Q751" t="str">
            <v/>
          </cell>
          <cell r="R751" t="str">
            <v/>
          </cell>
          <cell r="S751" t="str">
            <v/>
          </cell>
        </row>
        <row r="752">
          <cell r="G752" t="str">
            <v/>
          </cell>
          <cell r="H752" t="str">
            <v/>
          </cell>
          <cell r="I752" t="str">
            <v/>
          </cell>
          <cell r="J752" t="str">
            <v/>
          </cell>
          <cell r="K752" t="str">
            <v/>
          </cell>
          <cell r="L752" t="str">
            <v/>
          </cell>
          <cell r="M752" t="str">
            <v/>
          </cell>
          <cell r="N752" t="str">
            <v/>
          </cell>
          <cell r="O752" t="str">
            <v/>
          </cell>
          <cell r="P752" t="str">
            <v/>
          </cell>
          <cell r="Q752" t="str">
            <v/>
          </cell>
          <cell r="R752" t="str">
            <v/>
          </cell>
          <cell r="S752" t="str">
            <v/>
          </cell>
        </row>
        <row r="753">
          <cell r="G753" t="str">
            <v/>
          </cell>
          <cell r="H753" t="str">
            <v/>
          </cell>
          <cell r="I753" t="str">
            <v/>
          </cell>
          <cell r="J753" t="str">
            <v/>
          </cell>
          <cell r="K753" t="str">
            <v/>
          </cell>
          <cell r="L753" t="str">
            <v/>
          </cell>
          <cell r="M753" t="str">
            <v/>
          </cell>
          <cell r="N753" t="str">
            <v/>
          </cell>
          <cell r="O753" t="str">
            <v/>
          </cell>
          <cell r="P753" t="str">
            <v/>
          </cell>
          <cell r="Q753" t="str">
            <v/>
          </cell>
          <cell r="R753" t="str">
            <v/>
          </cell>
          <cell r="S753" t="str">
            <v/>
          </cell>
        </row>
        <row r="754">
          <cell r="G754" t="str">
            <v/>
          </cell>
          <cell r="H754" t="str">
            <v/>
          </cell>
          <cell r="I754" t="str">
            <v/>
          </cell>
          <cell r="J754" t="str">
            <v/>
          </cell>
          <cell r="K754" t="str">
            <v/>
          </cell>
          <cell r="L754" t="str">
            <v/>
          </cell>
          <cell r="M754" t="str">
            <v/>
          </cell>
          <cell r="N754" t="str">
            <v/>
          </cell>
          <cell r="O754" t="str">
            <v/>
          </cell>
          <cell r="P754" t="str">
            <v/>
          </cell>
          <cell r="Q754" t="str">
            <v/>
          </cell>
          <cell r="R754" t="str">
            <v/>
          </cell>
          <cell r="S754" t="str">
            <v/>
          </cell>
        </row>
        <row r="755">
          <cell r="G755" t="str">
            <v/>
          </cell>
          <cell r="H755" t="str">
            <v/>
          </cell>
          <cell r="I755" t="str">
            <v/>
          </cell>
          <cell r="J755" t="str">
            <v/>
          </cell>
          <cell r="K755" t="str">
            <v/>
          </cell>
          <cell r="L755" t="str">
            <v/>
          </cell>
          <cell r="M755" t="str">
            <v/>
          </cell>
          <cell r="N755" t="str">
            <v/>
          </cell>
          <cell r="O755" t="str">
            <v/>
          </cell>
          <cell r="P755" t="str">
            <v/>
          </cell>
          <cell r="Q755" t="str">
            <v/>
          </cell>
          <cell r="R755" t="str">
            <v/>
          </cell>
          <cell r="S755" t="str">
            <v/>
          </cell>
        </row>
        <row r="756">
          <cell r="G756" t="str">
            <v/>
          </cell>
          <cell r="H756" t="str">
            <v/>
          </cell>
          <cell r="I756" t="str">
            <v/>
          </cell>
          <cell r="J756" t="str">
            <v/>
          </cell>
          <cell r="K756" t="str">
            <v/>
          </cell>
          <cell r="L756" t="str">
            <v/>
          </cell>
          <cell r="M756" t="str">
            <v/>
          </cell>
          <cell r="N756" t="str">
            <v/>
          </cell>
          <cell r="O756" t="str">
            <v/>
          </cell>
          <cell r="P756" t="str">
            <v/>
          </cell>
          <cell r="Q756" t="str">
            <v/>
          </cell>
          <cell r="R756" t="str">
            <v/>
          </cell>
          <cell r="S756" t="str">
            <v/>
          </cell>
        </row>
        <row r="757">
          <cell r="G757" t="str">
            <v/>
          </cell>
          <cell r="H757" t="str">
            <v/>
          </cell>
          <cell r="I757" t="str">
            <v/>
          </cell>
          <cell r="J757" t="str">
            <v/>
          </cell>
          <cell r="K757" t="str">
            <v/>
          </cell>
          <cell r="L757" t="str">
            <v/>
          </cell>
          <cell r="M757" t="str">
            <v/>
          </cell>
          <cell r="N757" t="str">
            <v/>
          </cell>
          <cell r="O757" t="str">
            <v/>
          </cell>
          <cell r="P757" t="str">
            <v/>
          </cell>
          <cell r="Q757" t="str">
            <v/>
          </cell>
          <cell r="R757" t="str">
            <v/>
          </cell>
          <cell r="S757" t="str">
            <v/>
          </cell>
        </row>
        <row r="758">
          <cell r="G758" t="str">
            <v/>
          </cell>
          <cell r="H758" t="str">
            <v/>
          </cell>
          <cell r="I758" t="str">
            <v/>
          </cell>
          <cell r="J758" t="str">
            <v/>
          </cell>
          <cell r="K758" t="str">
            <v/>
          </cell>
          <cell r="L758" t="str">
            <v/>
          </cell>
          <cell r="M758" t="str">
            <v/>
          </cell>
          <cell r="N758" t="str">
            <v/>
          </cell>
          <cell r="O758" t="str">
            <v/>
          </cell>
          <cell r="P758" t="str">
            <v/>
          </cell>
          <cell r="Q758" t="str">
            <v/>
          </cell>
          <cell r="R758" t="str">
            <v/>
          </cell>
          <cell r="S758" t="str">
            <v/>
          </cell>
        </row>
        <row r="759">
          <cell r="G759" t="str">
            <v/>
          </cell>
          <cell r="H759" t="str">
            <v/>
          </cell>
          <cell r="I759" t="str">
            <v/>
          </cell>
          <cell r="J759" t="str">
            <v/>
          </cell>
          <cell r="K759" t="str">
            <v/>
          </cell>
          <cell r="L759" t="str">
            <v/>
          </cell>
          <cell r="M759" t="str">
            <v/>
          </cell>
          <cell r="N759" t="str">
            <v/>
          </cell>
          <cell r="O759" t="str">
            <v/>
          </cell>
          <cell r="P759" t="str">
            <v/>
          </cell>
          <cell r="Q759" t="str">
            <v/>
          </cell>
          <cell r="R759" t="str">
            <v/>
          </cell>
          <cell r="S759" t="str">
            <v/>
          </cell>
        </row>
        <row r="760">
          <cell r="G760" t="str">
            <v/>
          </cell>
          <cell r="H760" t="str">
            <v/>
          </cell>
          <cell r="I760" t="str">
            <v/>
          </cell>
          <cell r="J760" t="str">
            <v/>
          </cell>
          <cell r="K760" t="str">
            <v/>
          </cell>
          <cell r="L760" t="str">
            <v/>
          </cell>
          <cell r="M760" t="str">
            <v/>
          </cell>
          <cell r="N760" t="str">
            <v/>
          </cell>
          <cell r="O760" t="str">
            <v/>
          </cell>
          <cell r="P760" t="str">
            <v/>
          </cell>
          <cell r="Q760" t="str">
            <v/>
          </cell>
          <cell r="R760" t="str">
            <v/>
          </cell>
          <cell r="S760" t="str">
            <v/>
          </cell>
        </row>
        <row r="761">
          <cell r="G761" t="str">
            <v/>
          </cell>
          <cell r="H761" t="str">
            <v/>
          </cell>
          <cell r="I761" t="str">
            <v/>
          </cell>
          <cell r="J761" t="str">
            <v/>
          </cell>
          <cell r="K761" t="str">
            <v/>
          </cell>
          <cell r="L761" t="str">
            <v/>
          </cell>
          <cell r="M761" t="str">
            <v/>
          </cell>
          <cell r="N761" t="str">
            <v/>
          </cell>
          <cell r="O761" t="str">
            <v/>
          </cell>
          <cell r="P761" t="str">
            <v/>
          </cell>
          <cell r="Q761" t="str">
            <v/>
          </cell>
          <cell r="R761" t="str">
            <v/>
          </cell>
          <cell r="S761" t="str">
            <v/>
          </cell>
        </row>
        <row r="762">
          <cell r="G762" t="str">
            <v/>
          </cell>
          <cell r="H762" t="str">
            <v/>
          </cell>
          <cell r="I762" t="str">
            <v/>
          </cell>
          <cell r="J762" t="str">
            <v/>
          </cell>
          <cell r="K762" t="str">
            <v/>
          </cell>
          <cell r="L762" t="str">
            <v/>
          </cell>
          <cell r="M762" t="str">
            <v/>
          </cell>
          <cell r="N762" t="str">
            <v/>
          </cell>
          <cell r="O762" t="str">
            <v/>
          </cell>
          <cell r="P762" t="str">
            <v/>
          </cell>
          <cell r="Q762" t="str">
            <v/>
          </cell>
          <cell r="R762" t="str">
            <v/>
          </cell>
          <cell r="S762" t="str">
            <v/>
          </cell>
        </row>
        <row r="763">
          <cell r="G763" t="str">
            <v/>
          </cell>
          <cell r="H763" t="str">
            <v/>
          </cell>
          <cell r="I763" t="str">
            <v/>
          </cell>
          <cell r="J763" t="str">
            <v/>
          </cell>
          <cell r="K763" t="str">
            <v/>
          </cell>
          <cell r="L763" t="str">
            <v/>
          </cell>
          <cell r="M763" t="str">
            <v/>
          </cell>
          <cell r="N763" t="str">
            <v/>
          </cell>
          <cell r="O763" t="str">
            <v/>
          </cell>
          <cell r="P763" t="str">
            <v/>
          </cell>
          <cell r="Q763" t="str">
            <v/>
          </cell>
          <cell r="R763" t="str">
            <v/>
          </cell>
          <cell r="S763" t="str">
            <v/>
          </cell>
        </row>
        <row r="764">
          <cell r="G764" t="str">
            <v/>
          </cell>
          <cell r="H764" t="str">
            <v/>
          </cell>
          <cell r="I764" t="str">
            <v/>
          </cell>
          <cell r="J764" t="str">
            <v/>
          </cell>
          <cell r="K764" t="str">
            <v/>
          </cell>
          <cell r="L764" t="str">
            <v/>
          </cell>
          <cell r="M764" t="str">
            <v/>
          </cell>
          <cell r="N764" t="str">
            <v/>
          </cell>
          <cell r="O764" t="str">
            <v/>
          </cell>
          <cell r="P764" t="str">
            <v/>
          </cell>
          <cell r="Q764" t="str">
            <v/>
          </cell>
          <cell r="R764" t="str">
            <v/>
          </cell>
          <cell r="S764" t="str">
            <v/>
          </cell>
        </row>
        <row r="765">
          <cell r="G765" t="str">
            <v/>
          </cell>
          <cell r="H765" t="str">
            <v/>
          </cell>
          <cell r="I765" t="str">
            <v/>
          </cell>
          <cell r="J765" t="str">
            <v/>
          </cell>
          <cell r="K765" t="str">
            <v/>
          </cell>
          <cell r="L765" t="str">
            <v/>
          </cell>
          <cell r="M765" t="str">
            <v/>
          </cell>
          <cell r="N765" t="str">
            <v/>
          </cell>
          <cell r="O765" t="str">
            <v/>
          </cell>
          <cell r="P765" t="str">
            <v/>
          </cell>
          <cell r="Q765" t="str">
            <v/>
          </cell>
          <cell r="R765" t="str">
            <v/>
          </cell>
          <cell r="S765" t="str">
            <v/>
          </cell>
        </row>
        <row r="766">
          <cell r="G766" t="str">
            <v/>
          </cell>
          <cell r="H766" t="str">
            <v/>
          </cell>
          <cell r="I766" t="str">
            <v/>
          </cell>
          <cell r="J766" t="str">
            <v/>
          </cell>
          <cell r="K766" t="str">
            <v/>
          </cell>
          <cell r="L766" t="str">
            <v/>
          </cell>
          <cell r="M766" t="str">
            <v/>
          </cell>
          <cell r="N766" t="str">
            <v/>
          </cell>
          <cell r="O766" t="str">
            <v/>
          </cell>
          <cell r="P766" t="str">
            <v/>
          </cell>
          <cell r="Q766" t="str">
            <v/>
          </cell>
          <cell r="R766" t="str">
            <v/>
          </cell>
          <cell r="S766" t="str">
            <v/>
          </cell>
        </row>
        <row r="767">
          <cell r="G767" t="str">
            <v/>
          </cell>
          <cell r="H767" t="str">
            <v/>
          </cell>
          <cell r="I767" t="str">
            <v/>
          </cell>
          <cell r="J767" t="str">
            <v/>
          </cell>
          <cell r="K767" t="str">
            <v/>
          </cell>
          <cell r="L767" t="str">
            <v/>
          </cell>
          <cell r="M767" t="str">
            <v/>
          </cell>
          <cell r="N767" t="str">
            <v/>
          </cell>
          <cell r="O767" t="str">
            <v/>
          </cell>
          <cell r="P767" t="str">
            <v/>
          </cell>
          <cell r="Q767" t="str">
            <v/>
          </cell>
          <cell r="R767" t="str">
            <v/>
          </cell>
          <cell r="S767" t="str">
            <v/>
          </cell>
        </row>
        <row r="768">
          <cell r="G768" t="str">
            <v/>
          </cell>
          <cell r="H768" t="str">
            <v/>
          </cell>
          <cell r="I768" t="str">
            <v/>
          </cell>
          <cell r="J768" t="str">
            <v/>
          </cell>
          <cell r="K768" t="str">
            <v/>
          </cell>
          <cell r="L768" t="str">
            <v/>
          </cell>
          <cell r="M768" t="str">
            <v/>
          </cell>
          <cell r="N768" t="str">
            <v/>
          </cell>
          <cell r="O768" t="str">
            <v/>
          </cell>
          <cell r="P768" t="str">
            <v/>
          </cell>
          <cell r="Q768" t="str">
            <v/>
          </cell>
          <cell r="R768" t="str">
            <v/>
          </cell>
          <cell r="S768" t="str">
            <v/>
          </cell>
        </row>
        <row r="769">
          <cell r="G769" t="str">
            <v/>
          </cell>
          <cell r="H769" t="str">
            <v/>
          </cell>
          <cell r="I769" t="str">
            <v/>
          </cell>
          <cell r="J769" t="str">
            <v/>
          </cell>
          <cell r="K769" t="str">
            <v/>
          </cell>
          <cell r="L769" t="str">
            <v/>
          </cell>
          <cell r="M769" t="str">
            <v/>
          </cell>
          <cell r="N769" t="str">
            <v/>
          </cell>
          <cell r="O769" t="str">
            <v/>
          </cell>
          <cell r="P769" t="str">
            <v/>
          </cell>
          <cell r="Q769" t="str">
            <v/>
          </cell>
          <cell r="R769" t="str">
            <v/>
          </cell>
          <cell r="S769" t="str">
            <v/>
          </cell>
        </row>
        <row r="770">
          <cell r="G770" t="str">
            <v/>
          </cell>
          <cell r="H770" t="str">
            <v/>
          </cell>
          <cell r="I770" t="str">
            <v/>
          </cell>
          <cell r="J770" t="str">
            <v/>
          </cell>
          <cell r="K770" t="str">
            <v/>
          </cell>
          <cell r="L770" t="str">
            <v/>
          </cell>
          <cell r="M770" t="str">
            <v/>
          </cell>
          <cell r="N770" t="str">
            <v/>
          </cell>
          <cell r="O770" t="str">
            <v/>
          </cell>
          <cell r="P770" t="str">
            <v/>
          </cell>
          <cell r="Q770" t="str">
            <v/>
          </cell>
          <cell r="R770" t="str">
            <v/>
          </cell>
          <cell r="S770" t="str">
            <v/>
          </cell>
        </row>
        <row r="771">
          <cell r="G771" t="str">
            <v/>
          </cell>
          <cell r="H771" t="str">
            <v/>
          </cell>
          <cell r="I771" t="str">
            <v/>
          </cell>
          <cell r="J771" t="str">
            <v/>
          </cell>
          <cell r="K771" t="str">
            <v/>
          </cell>
          <cell r="L771" t="str">
            <v/>
          </cell>
          <cell r="M771" t="str">
            <v/>
          </cell>
          <cell r="N771" t="str">
            <v/>
          </cell>
          <cell r="O771" t="str">
            <v/>
          </cell>
          <cell r="P771" t="str">
            <v/>
          </cell>
          <cell r="Q771" t="str">
            <v/>
          </cell>
          <cell r="R771" t="str">
            <v/>
          </cell>
          <cell r="S771" t="str">
            <v/>
          </cell>
        </row>
        <row r="772">
          <cell r="G772" t="str">
            <v/>
          </cell>
          <cell r="H772" t="str">
            <v/>
          </cell>
          <cell r="I772" t="str">
            <v/>
          </cell>
          <cell r="J772" t="str">
            <v/>
          </cell>
          <cell r="K772" t="str">
            <v/>
          </cell>
          <cell r="L772" t="str">
            <v/>
          </cell>
          <cell r="M772" t="str">
            <v/>
          </cell>
          <cell r="N772" t="str">
            <v/>
          </cell>
          <cell r="O772" t="str">
            <v/>
          </cell>
          <cell r="P772" t="str">
            <v/>
          </cell>
          <cell r="Q772" t="str">
            <v/>
          </cell>
          <cell r="R772" t="str">
            <v/>
          </cell>
          <cell r="S772" t="str">
            <v/>
          </cell>
        </row>
        <row r="773">
          <cell r="G773" t="str">
            <v/>
          </cell>
          <cell r="H773" t="str">
            <v/>
          </cell>
          <cell r="I773" t="str">
            <v/>
          </cell>
          <cell r="J773" t="str">
            <v/>
          </cell>
          <cell r="K773" t="str">
            <v/>
          </cell>
          <cell r="L773" t="str">
            <v/>
          </cell>
          <cell r="M773" t="str">
            <v/>
          </cell>
          <cell r="N773" t="str">
            <v/>
          </cell>
          <cell r="O773" t="str">
            <v/>
          </cell>
          <cell r="P773" t="str">
            <v/>
          </cell>
          <cell r="Q773" t="str">
            <v/>
          </cell>
          <cell r="R773" t="str">
            <v/>
          </cell>
          <cell r="S773" t="str">
            <v/>
          </cell>
        </row>
        <row r="774">
          <cell r="G774" t="str">
            <v/>
          </cell>
          <cell r="H774" t="str">
            <v/>
          </cell>
          <cell r="I774" t="str">
            <v/>
          </cell>
          <cell r="J774" t="str">
            <v/>
          </cell>
          <cell r="K774" t="str">
            <v/>
          </cell>
          <cell r="L774" t="str">
            <v/>
          </cell>
          <cell r="M774" t="str">
            <v/>
          </cell>
          <cell r="N774" t="str">
            <v/>
          </cell>
          <cell r="O774" t="str">
            <v/>
          </cell>
          <cell r="P774" t="str">
            <v/>
          </cell>
          <cell r="Q774" t="str">
            <v/>
          </cell>
          <cell r="R774" t="str">
            <v/>
          </cell>
          <cell r="S774" t="str">
            <v/>
          </cell>
        </row>
        <row r="775">
          <cell r="G775" t="str">
            <v/>
          </cell>
          <cell r="H775" t="str">
            <v/>
          </cell>
          <cell r="I775" t="str">
            <v/>
          </cell>
          <cell r="J775" t="str">
            <v/>
          </cell>
          <cell r="K775" t="str">
            <v/>
          </cell>
          <cell r="L775" t="str">
            <v/>
          </cell>
          <cell r="M775" t="str">
            <v/>
          </cell>
          <cell r="N775" t="str">
            <v/>
          </cell>
          <cell r="O775" t="str">
            <v/>
          </cell>
          <cell r="P775" t="str">
            <v/>
          </cell>
          <cell r="Q775" t="str">
            <v/>
          </cell>
          <cell r="R775" t="str">
            <v/>
          </cell>
          <cell r="S775" t="str">
            <v/>
          </cell>
        </row>
        <row r="776">
          <cell r="G776" t="str">
            <v/>
          </cell>
          <cell r="H776" t="str">
            <v/>
          </cell>
          <cell r="I776" t="str">
            <v/>
          </cell>
          <cell r="J776" t="str">
            <v/>
          </cell>
          <cell r="K776" t="str">
            <v/>
          </cell>
          <cell r="L776" t="str">
            <v/>
          </cell>
          <cell r="M776" t="str">
            <v/>
          </cell>
          <cell r="N776" t="str">
            <v/>
          </cell>
          <cell r="O776" t="str">
            <v/>
          </cell>
          <cell r="P776" t="str">
            <v/>
          </cell>
          <cell r="Q776" t="str">
            <v/>
          </cell>
          <cell r="R776" t="str">
            <v/>
          </cell>
          <cell r="S776" t="str">
            <v/>
          </cell>
        </row>
        <row r="777">
          <cell r="G777" t="str">
            <v/>
          </cell>
          <cell r="H777" t="str">
            <v/>
          </cell>
          <cell r="I777" t="str">
            <v/>
          </cell>
          <cell r="J777" t="str">
            <v/>
          </cell>
          <cell r="K777" t="str">
            <v/>
          </cell>
          <cell r="L777" t="str">
            <v/>
          </cell>
          <cell r="M777" t="str">
            <v/>
          </cell>
          <cell r="N777" t="str">
            <v/>
          </cell>
          <cell r="O777" t="str">
            <v/>
          </cell>
          <cell r="P777" t="str">
            <v/>
          </cell>
          <cell r="Q777" t="str">
            <v/>
          </cell>
          <cell r="R777" t="str">
            <v/>
          </cell>
          <cell r="S777" t="str">
            <v/>
          </cell>
        </row>
        <row r="778">
          <cell r="G778" t="str">
            <v/>
          </cell>
          <cell r="H778" t="str">
            <v/>
          </cell>
          <cell r="I778" t="str">
            <v/>
          </cell>
          <cell r="J778" t="str">
            <v/>
          </cell>
          <cell r="K778" t="str">
            <v/>
          </cell>
          <cell r="L778" t="str">
            <v/>
          </cell>
          <cell r="M778" t="str">
            <v/>
          </cell>
          <cell r="N778" t="str">
            <v/>
          </cell>
          <cell r="O778" t="str">
            <v/>
          </cell>
          <cell r="P778" t="str">
            <v/>
          </cell>
          <cell r="Q778" t="str">
            <v/>
          </cell>
          <cell r="R778" t="str">
            <v/>
          </cell>
          <cell r="S778" t="str">
            <v/>
          </cell>
        </row>
        <row r="779">
          <cell r="G779" t="str">
            <v/>
          </cell>
          <cell r="H779" t="str">
            <v/>
          </cell>
          <cell r="I779" t="str">
            <v/>
          </cell>
          <cell r="J779" t="str">
            <v/>
          </cell>
          <cell r="K779" t="str">
            <v/>
          </cell>
          <cell r="L779" t="str">
            <v/>
          </cell>
          <cell r="M779" t="str">
            <v/>
          </cell>
          <cell r="N779" t="str">
            <v/>
          </cell>
          <cell r="O779" t="str">
            <v/>
          </cell>
          <cell r="P779" t="str">
            <v/>
          </cell>
          <cell r="Q779" t="str">
            <v/>
          </cell>
          <cell r="R779" t="str">
            <v/>
          </cell>
          <cell r="S779" t="str">
            <v/>
          </cell>
        </row>
        <row r="780">
          <cell r="G780" t="str">
            <v/>
          </cell>
          <cell r="H780" t="str">
            <v/>
          </cell>
          <cell r="I780" t="str">
            <v/>
          </cell>
          <cell r="J780" t="str">
            <v/>
          </cell>
          <cell r="K780" t="str">
            <v/>
          </cell>
          <cell r="L780" t="str">
            <v/>
          </cell>
          <cell r="M780" t="str">
            <v/>
          </cell>
          <cell r="N780" t="str">
            <v/>
          </cell>
          <cell r="O780" t="str">
            <v/>
          </cell>
          <cell r="P780" t="str">
            <v/>
          </cell>
          <cell r="Q780" t="str">
            <v/>
          </cell>
          <cell r="R780" t="str">
            <v/>
          </cell>
          <cell r="S780" t="str">
            <v/>
          </cell>
        </row>
        <row r="781">
          <cell r="G781" t="str">
            <v/>
          </cell>
          <cell r="H781" t="str">
            <v/>
          </cell>
          <cell r="I781" t="str">
            <v/>
          </cell>
          <cell r="J781" t="str">
            <v/>
          </cell>
          <cell r="K781" t="str">
            <v/>
          </cell>
          <cell r="L781" t="str">
            <v/>
          </cell>
          <cell r="M781" t="str">
            <v/>
          </cell>
          <cell r="N781" t="str">
            <v/>
          </cell>
          <cell r="O781" t="str">
            <v/>
          </cell>
          <cell r="P781" t="str">
            <v/>
          </cell>
          <cell r="Q781" t="str">
            <v/>
          </cell>
          <cell r="R781" t="str">
            <v/>
          </cell>
          <cell r="S781" t="str">
            <v/>
          </cell>
        </row>
        <row r="782">
          <cell r="G782" t="str">
            <v/>
          </cell>
          <cell r="H782" t="str">
            <v/>
          </cell>
          <cell r="I782" t="str">
            <v/>
          </cell>
          <cell r="J782" t="str">
            <v/>
          </cell>
          <cell r="K782" t="str">
            <v/>
          </cell>
          <cell r="L782" t="str">
            <v/>
          </cell>
          <cell r="M782" t="str">
            <v/>
          </cell>
          <cell r="N782" t="str">
            <v/>
          </cell>
          <cell r="O782" t="str">
            <v/>
          </cell>
          <cell r="P782" t="str">
            <v/>
          </cell>
          <cell r="Q782" t="str">
            <v/>
          </cell>
          <cell r="R782" t="str">
            <v/>
          </cell>
          <cell r="S782" t="str">
            <v/>
          </cell>
        </row>
        <row r="783">
          <cell r="G783" t="str">
            <v/>
          </cell>
          <cell r="H783" t="str">
            <v/>
          </cell>
          <cell r="I783" t="str">
            <v/>
          </cell>
          <cell r="J783" t="str">
            <v/>
          </cell>
          <cell r="K783" t="str">
            <v/>
          </cell>
          <cell r="L783" t="str">
            <v/>
          </cell>
          <cell r="M783" t="str">
            <v/>
          </cell>
          <cell r="N783" t="str">
            <v/>
          </cell>
          <cell r="O783" t="str">
            <v/>
          </cell>
          <cell r="P783" t="str">
            <v/>
          </cell>
          <cell r="Q783" t="str">
            <v/>
          </cell>
          <cell r="R783" t="str">
            <v/>
          </cell>
          <cell r="S783" t="str">
            <v/>
          </cell>
        </row>
        <row r="784">
          <cell r="G784" t="str">
            <v/>
          </cell>
          <cell r="H784" t="str">
            <v/>
          </cell>
          <cell r="I784" t="str">
            <v/>
          </cell>
          <cell r="J784" t="str">
            <v/>
          </cell>
          <cell r="K784" t="str">
            <v/>
          </cell>
          <cell r="L784" t="str">
            <v/>
          </cell>
          <cell r="M784" t="str">
            <v/>
          </cell>
          <cell r="N784" t="str">
            <v/>
          </cell>
          <cell r="O784" t="str">
            <v/>
          </cell>
          <cell r="P784" t="str">
            <v/>
          </cell>
          <cell r="Q784" t="str">
            <v/>
          </cell>
          <cell r="R784" t="str">
            <v/>
          </cell>
          <cell r="S784" t="str">
            <v/>
          </cell>
        </row>
        <row r="785">
          <cell r="G785" t="str">
            <v/>
          </cell>
          <cell r="H785" t="str">
            <v/>
          </cell>
          <cell r="I785" t="str">
            <v/>
          </cell>
          <cell r="J785" t="str">
            <v/>
          </cell>
          <cell r="K785" t="str">
            <v/>
          </cell>
          <cell r="L785" t="str">
            <v/>
          </cell>
          <cell r="M785" t="str">
            <v/>
          </cell>
          <cell r="N785" t="str">
            <v/>
          </cell>
          <cell r="O785" t="str">
            <v/>
          </cell>
          <cell r="P785" t="str">
            <v/>
          </cell>
          <cell r="Q785" t="str">
            <v/>
          </cell>
          <cell r="R785" t="str">
            <v/>
          </cell>
          <cell r="S785" t="str">
            <v/>
          </cell>
        </row>
        <row r="786">
          <cell r="G786" t="str">
            <v/>
          </cell>
          <cell r="H786" t="str">
            <v/>
          </cell>
          <cell r="I786" t="str">
            <v/>
          </cell>
          <cell r="J786" t="str">
            <v/>
          </cell>
          <cell r="K786" t="str">
            <v/>
          </cell>
          <cell r="L786" t="str">
            <v/>
          </cell>
          <cell r="M786" t="str">
            <v/>
          </cell>
          <cell r="N786" t="str">
            <v/>
          </cell>
          <cell r="O786" t="str">
            <v/>
          </cell>
          <cell r="P786" t="str">
            <v/>
          </cell>
          <cell r="Q786" t="str">
            <v/>
          </cell>
          <cell r="R786" t="str">
            <v/>
          </cell>
          <cell r="S786" t="str">
            <v/>
          </cell>
        </row>
        <row r="787">
          <cell r="G787" t="str">
            <v/>
          </cell>
          <cell r="H787" t="str">
            <v/>
          </cell>
          <cell r="I787" t="str">
            <v/>
          </cell>
          <cell r="J787" t="str">
            <v/>
          </cell>
          <cell r="K787" t="str">
            <v/>
          </cell>
          <cell r="L787" t="str">
            <v/>
          </cell>
          <cell r="M787" t="str">
            <v/>
          </cell>
          <cell r="N787" t="str">
            <v/>
          </cell>
          <cell r="O787" t="str">
            <v/>
          </cell>
          <cell r="P787" t="str">
            <v/>
          </cell>
          <cell r="Q787" t="str">
            <v/>
          </cell>
          <cell r="R787" t="str">
            <v/>
          </cell>
          <cell r="S787" t="str">
            <v/>
          </cell>
        </row>
        <row r="788">
          <cell r="G788" t="str">
            <v/>
          </cell>
          <cell r="H788" t="str">
            <v/>
          </cell>
          <cell r="I788" t="str">
            <v/>
          </cell>
          <cell r="J788" t="str">
            <v/>
          </cell>
          <cell r="K788" t="str">
            <v/>
          </cell>
          <cell r="L788" t="str">
            <v/>
          </cell>
          <cell r="M788" t="str">
            <v/>
          </cell>
          <cell r="N788" t="str">
            <v/>
          </cell>
          <cell r="O788" t="str">
            <v/>
          </cell>
          <cell r="P788" t="str">
            <v/>
          </cell>
          <cell r="Q788" t="str">
            <v/>
          </cell>
          <cell r="R788" t="str">
            <v/>
          </cell>
          <cell r="S788" t="str">
            <v/>
          </cell>
        </row>
        <row r="789">
          <cell r="G789" t="str">
            <v/>
          </cell>
          <cell r="H789" t="str">
            <v/>
          </cell>
          <cell r="I789" t="str">
            <v/>
          </cell>
          <cell r="J789" t="str">
            <v/>
          </cell>
          <cell r="K789" t="str">
            <v/>
          </cell>
          <cell r="L789" t="str">
            <v/>
          </cell>
          <cell r="M789" t="str">
            <v/>
          </cell>
          <cell r="N789" t="str">
            <v/>
          </cell>
          <cell r="O789" t="str">
            <v/>
          </cell>
          <cell r="P789" t="str">
            <v/>
          </cell>
          <cell r="Q789" t="str">
            <v/>
          </cell>
          <cell r="R789" t="str">
            <v/>
          </cell>
          <cell r="S789" t="str">
            <v/>
          </cell>
        </row>
        <row r="790">
          <cell r="G790" t="str">
            <v/>
          </cell>
          <cell r="H790" t="str">
            <v/>
          </cell>
          <cell r="I790" t="str">
            <v/>
          </cell>
          <cell r="J790" t="str">
            <v/>
          </cell>
          <cell r="K790" t="str">
            <v/>
          </cell>
          <cell r="L790" t="str">
            <v/>
          </cell>
          <cell r="M790" t="str">
            <v/>
          </cell>
          <cell r="N790" t="str">
            <v/>
          </cell>
          <cell r="O790" t="str">
            <v/>
          </cell>
          <cell r="P790" t="str">
            <v/>
          </cell>
          <cell r="Q790" t="str">
            <v/>
          </cell>
          <cell r="R790" t="str">
            <v/>
          </cell>
          <cell r="S790" t="str">
            <v/>
          </cell>
        </row>
        <row r="791">
          <cell r="G791" t="str">
            <v/>
          </cell>
          <cell r="H791" t="str">
            <v/>
          </cell>
          <cell r="I791" t="str">
            <v/>
          </cell>
          <cell r="J791" t="str">
            <v/>
          </cell>
          <cell r="K791" t="str">
            <v/>
          </cell>
          <cell r="L791" t="str">
            <v/>
          </cell>
          <cell r="M791" t="str">
            <v/>
          </cell>
          <cell r="N791" t="str">
            <v/>
          </cell>
          <cell r="O791" t="str">
            <v/>
          </cell>
          <cell r="P791" t="str">
            <v/>
          </cell>
          <cell r="Q791" t="str">
            <v/>
          </cell>
          <cell r="R791" t="str">
            <v/>
          </cell>
          <cell r="S791" t="str">
            <v/>
          </cell>
        </row>
        <row r="792">
          <cell r="G792" t="str">
            <v/>
          </cell>
          <cell r="H792" t="str">
            <v/>
          </cell>
          <cell r="I792" t="str">
            <v/>
          </cell>
          <cell r="J792" t="str">
            <v/>
          </cell>
          <cell r="K792" t="str">
            <v/>
          </cell>
          <cell r="L792" t="str">
            <v/>
          </cell>
          <cell r="M792" t="str">
            <v/>
          </cell>
          <cell r="N792" t="str">
            <v/>
          </cell>
          <cell r="O792" t="str">
            <v/>
          </cell>
          <cell r="P792" t="str">
            <v/>
          </cell>
          <cell r="Q792" t="str">
            <v/>
          </cell>
          <cell r="R792" t="str">
            <v/>
          </cell>
          <cell r="S792" t="str">
            <v/>
          </cell>
        </row>
        <row r="793">
          <cell r="G793" t="str">
            <v/>
          </cell>
          <cell r="H793" t="str">
            <v/>
          </cell>
          <cell r="I793" t="str">
            <v/>
          </cell>
          <cell r="J793" t="str">
            <v/>
          </cell>
          <cell r="K793" t="str">
            <v/>
          </cell>
          <cell r="L793" t="str">
            <v/>
          </cell>
          <cell r="M793" t="str">
            <v/>
          </cell>
          <cell r="N793" t="str">
            <v/>
          </cell>
          <cell r="O793" t="str">
            <v/>
          </cell>
          <cell r="P793" t="str">
            <v/>
          </cell>
          <cell r="Q793" t="str">
            <v/>
          </cell>
          <cell r="R793" t="str">
            <v/>
          </cell>
          <cell r="S793" t="str">
            <v/>
          </cell>
        </row>
        <row r="794">
          <cell r="G794" t="str">
            <v/>
          </cell>
          <cell r="H794" t="str">
            <v/>
          </cell>
          <cell r="I794" t="str">
            <v/>
          </cell>
          <cell r="J794" t="str">
            <v/>
          </cell>
          <cell r="K794" t="str">
            <v/>
          </cell>
          <cell r="L794" t="str">
            <v/>
          </cell>
          <cell r="M794" t="str">
            <v/>
          </cell>
          <cell r="N794" t="str">
            <v/>
          </cell>
          <cell r="O794" t="str">
            <v/>
          </cell>
          <cell r="P794" t="str">
            <v/>
          </cell>
          <cell r="Q794" t="str">
            <v/>
          </cell>
          <cell r="R794" t="str">
            <v/>
          </cell>
          <cell r="S794" t="str">
            <v/>
          </cell>
        </row>
        <row r="795">
          <cell r="G795" t="str">
            <v/>
          </cell>
          <cell r="H795" t="str">
            <v/>
          </cell>
          <cell r="I795" t="str">
            <v/>
          </cell>
          <cell r="J795" t="str">
            <v/>
          </cell>
          <cell r="K795" t="str">
            <v/>
          </cell>
          <cell r="L795" t="str">
            <v/>
          </cell>
          <cell r="M795" t="str">
            <v/>
          </cell>
          <cell r="N795" t="str">
            <v/>
          </cell>
          <cell r="O795" t="str">
            <v/>
          </cell>
          <cell r="P795" t="str">
            <v/>
          </cell>
          <cell r="Q795" t="str">
            <v/>
          </cell>
          <cell r="R795" t="str">
            <v/>
          </cell>
          <cell r="S795" t="str">
            <v/>
          </cell>
        </row>
        <row r="796">
          <cell r="G796" t="str">
            <v/>
          </cell>
          <cell r="H796" t="str">
            <v/>
          </cell>
          <cell r="I796" t="str">
            <v/>
          </cell>
          <cell r="J796" t="str">
            <v/>
          </cell>
          <cell r="K796" t="str">
            <v/>
          </cell>
          <cell r="L796" t="str">
            <v/>
          </cell>
          <cell r="M796" t="str">
            <v/>
          </cell>
          <cell r="N796" t="str">
            <v/>
          </cell>
          <cell r="O796" t="str">
            <v/>
          </cell>
          <cell r="P796" t="str">
            <v/>
          </cell>
          <cell r="Q796" t="str">
            <v/>
          </cell>
          <cell r="R796" t="str">
            <v/>
          </cell>
          <cell r="S796" t="str">
            <v/>
          </cell>
        </row>
        <row r="797">
          <cell r="G797" t="str">
            <v/>
          </cell>
          <cell r="H797" t="str">
            <v/>
          </cell>
          <cell r="I797" t="str">
            <v/>
          </cell>
          <cell r="J797" t="str">
            <v/>
          </cell>
          <cell r="K797" t="str">
            <v/>
          </cell>
          <cell r="L797" t="str">
            <v/>
          </cell>
          <cell r="M797" t="str">
            <v/>
          </cell>
          <cell r="N797" t="str">
            <v/>
          </cell>
          <cell r="O797" t="str">
            <v/>
          </cell>
          <cell r="P797" t="str">
            <v/>
          </cell>
          <cell r="Q797" t="str">
            <v/>
          </cell>
          <cell r="R797" t="str">
            <v/>
          </cell>
          <cell r="S797" t="str">
            <v/>
          </cell>
        </row>
        <row r="798">
          <cell r="G798" t="str">
            <v/>
          </cell>
          <cell r="H798" t="str">
            <v/>
          </cell>
          <cell r="I798" t="str">
            <v/>
          </cell>
          <cell r="J798" t="str">
            <v/>
          </cell>
          <cell r="K798" t="str">
            <v/>
          </cell>
          <cell r="L798" t="str">
            <v/>
          </cell>
          <cell r="M798" t="str">
            <v/>
          </cell>
          <cell r="N798" t="str">
            <v/>
          </cell>
          <cell r="O798" t="str">
            <v/>
          </cell>
          <cell r="P798" t="str">
            <v/>
          </cell>
          <cell r="Q798" t="str">
            <v/>
          </cell>
          <cell r="R798" t="str">
            <v/>
          </cell>
          <cell r="S798" t="str">
            <v/>
          </cell>
        </row>
        <row r="799">
          <cell r="G799" t="str">
            <v/>
          </cell>
          <cell r="H799" t="str">
            <v/>
          </cell>
          <cell r="I799" t="str">
            <v/>
          </cell>
          <cell r="J799" t="str">
            <v/>
          </cell>
          <cell r="K799" t="str">
            <v/>
          </cell>
          <cell r="L799" t="str">
            <v/>
          </cell>
          <cell r="M799" t="str">
            <v/>
          </cell>
          <cell r="N799" t="str">
            <v/>
          </cell>
          <cell r="O799" t="str">
            <v/>
          </cell>
          <cell r="P799" t="str">
            <v/>
          </cell>
          <cell r="Q799" t="str">
            <v/>
          </cell>
          <cell r="R799" t="str">
            <v/>
          </cell>
          <cell r="S799" t="str">
            <v/>
          </cell>
        </row>
        <row r="800">
          <cell r="G800" t="str">
            <v/>
          </cell>
          <cell r="H800" t="str">
            <v/>
          </cell>
          <cell r="I800" t="str">
            <v/>
          </cell>
          <cell r="J800" t="str">
            <v/>
          </cell>
          <cell r="K800" t="str">
            <v/>
          </cell>
          <cell r="L800" t="str">
            <v/>
          </cell>
          <cell r="M800" t="str">
            <v/>
          </cell>
          <cell r="N800" t="str">
            <v/>
          </cell>
          <cell r="O800" t="str">
            <v/>
          </cell>
          <cell r="P800" t="str">
            <v/>
          </cell>
          <cell r="Q800" t="str">
            <v/>
          </cell>
          <cell r="R800" t="str">
            <v/>
          </cell>
          <cell r="S800" t="str">
            <v/>
          </cell>
        </row>
        <row r="801">
          <cell r="G801" t="str">
            <v/>
          </cell>
          <cell r="H801" t="str">
            <v/>
          </cell>
          <cell r="I801" t="str">
            <v/>
          </cell>
          <cell r="J801" t="str">
            <v/>
          </cell>
          <cell r="K801" t="str">
            <v/>
          </cell>
          <cell r="L801" t="str">
            <v/>
          </cell>
          <cell r="M801" t="str">
            <v/>
          </cell>
          <cell r="N801" t="str">
            <v/>
          </cell>
          <cell r="O801" t="str">
            <v/>
          </cell>
          <cell r="P801" t="str">
            <v/>
          </cell>
          <cell r="Q801" t="str">
            <v/>
          </cell>
          <cell r="R801" t="str">
            <v/>
          </cell>
          <cell r="S801" t="str">
            <v/>
          </cell>
        </row>
        <row r="802">
          <cell r="G802" t="str">
            <v/>
          </cell>
          <cell r="H802" t="str">
            <v/>
          </cell>
          <cell r="I802" t="str">
            <v/>
          </cell>
          <cell r="J802" t="str">
            <v/>
          </cell>
          <cell r="K802" t="str">
            <v/>
          </cell>
          <cell r="L802" t="str">
            <v/>
          </cell>
          <cell r="M802" t="str">
            <v/>
          </cell>
          <cell r="N802" t="str">
            <v/>
          </cell>
          <cell r="O802" t="str">
            <v/>
          </cell>
          <cell r="P802" t="str">
            <v/>
          </cell>
          <cell r="Q802" t="str">
            <v/>
          </cell>
          <cell r="R802" t="str">
            <v/>
          </cell>
          <cell r="S802" t="str">
            <v/>
          </cell>
        </row>
        <row r="803">
          <cell r="G803" t="str">
            <v/>
          </cell>
          <cell r="H803" t="str">
            <v/>
          </cell>
          <cell r="I803" t="str">
            <v/>
          </cell>
          <cell r="J803" t="str">
            <v/>
          </cell>
          <cell r="K803" t="str">
            <v/>
          </cell>
          <cell r="L803" t="str">
            <v/>
          </cell>
          <cell r="M803" t="str">
            <v/>
          </cell>
          <cell r="N803" t="str">
            <v/>
          </cell>
          <cell r="O803" t="str">
            <v/>
          </cell>
          <cell r="P803" t="str">
            <v/>
          </cell>
          <cell r="Q803" t="str">
            <v/>
          </cell>
          <cell r="R803" t="str">
            <v/>
          </cell>
          <cell r="S803" t="str">
            <v/>
          </cell>
        </row>
        <row r="804">
          <cell r="G804" t="str">
            <v/>
          </cell>
          <cell r="H804" t="str">
            <v/>
          </cell>
          <cell r="I804" t="str">
            <v/>
          </cell>
          <cell r="J804" t="str">
            <v/>
          </cell>
          <cell r="K804" t="str">
            <v/>
          </cell>
          <cell r="L804" t="str">
            <v/>
          </cell>
          <cell r="M804" t="str">
            <v/>
          </cell>
          <cell r="N804" t="str">
            <v/>
          </cell>
          <cell r="O804" t="str">
            <v/>
          </cell>
          <cell r="P804" t="str">
            <v/>
          </cell>
          <cell r="Q804" t="str">
            <v/>
          </cell>
          <cell r="R804" t="str">
            <v/>
          </cell>
          <cell r="S804" t="str">
            <v/>
          </cell>
        </row>
        <row r="805">
          <cell r="G805" t="str">
            <v/>
          </cell>
          <cell r="H805" t="str">
            <v/>
          </cell>
          <cell r="I805" t="str">
            <v/>
          </cell>
          <cell r="J805" t="str">
            <v/>
          </cell>
          <cell r="K805" t="str">
            <v/>
          </cell>
          <cell r="L805" t="str">
            <v/>
          </cell>
          <cell r="M805" t="str">
            <v/>
          </cell>
          <cell r="N805" t="str">
            <v/>
          </cell>
          <cell r="O805" t="str">
            <v/>
          </cell>
          <cell r="P805" t="str">
            <v/>
          </cell>
          <cell r="Q805" t="str">
            <v/>
          </cell>
          <cell r="R805" t="str">
            <v/>
          </cell>
          <cell r="S805" t="str">
            <v/>
          </cell>
        </row>
        <row r="806">
          <cell r="G806" t="str">
            <v/>
          </cell>
          <cell r="H806" t="str">
            <v/>
          </cell>
          <cell r="I806" t="str">
            <v/>
          </cell>
          <cell r="J806" t="str">
            <v/>
          </cell>
          <cell r="K806" t="str">
            <v/>
          </cell>
          <cell r="L806" t="str">
            <v/>
          </cell>
          <cell r="M806" t="str">
            <v/>
          </cell>
          <cell r="N806" t="str">
            <v/>
          </cell>
          <cell r="O806" t="str">
            <v/>
          </cell>
          <cell r="P806" t="str">
            <v/>
          </cell>
          <cell r="Q806" t="str">
            <v/>
          </cell>
          <cell r="R806" t="str">
            <v/>
          </cell>
          <cell r="S806" t="str">
            <v/>
          </cell>
        </row>
        <row r="807">
          <cell r="G807" t="str">
            <v/>
          </cell>
          <cell r="H807" t="str">
            <v/>
          </cell>
          <cell r="I807" t="str">
            <v/>
          </cell>
          <cell r="J807" t="str">
            <v/>
          </cell>
          <cell r="K807" t="str">
            <v/>
          </cell>
          <cell r="L807" t="str">
            <v/>
          </cell>
          <cell r="M807" t="str">
            <v/>
          </cell>
          <cell r="N807" t="str">
            <v/>
          </cell>
          <cell r="O807" t="str">
            <v/>
          </cell>
          <cell r="P807" t="str">
            <v/>
          </cell>
          <cell r="Q807" t="str">
            <v/>
          </cell>
          <cell r="R807" t="str">
            <v/>
          </cell>
          <cell r="S807" t="str">
            <v/>
          </cell>
        </row>
        <row r="808">
          <cell r="G808" t="str">
            <v/>
          </cell>
          <cell r="H808" t="str">
            <v/>
          </cell>
          <cell r="I808" t="str">
            <v/>
          </cell>
          <cell r="J808" t="str">
            <v/>
          </cell>
          <cell r="K808" t="str">
            <v/>
          </cell>
          <cell r="L808" t="str">
            <v/>
          </cell>
          <cell r="M808" t="str">
            <v/>
          </cell>
          <cell r="N808" t="str">
            <v/>
          </cell>
          <cell r="O808" t="str">
            <v/>
          </cell>
          <cell r="P808" t="str">
            <v/>
          </cell>
          <cell r="Q808" t="str">
            <v/>
          </cell>
          <cell r="R808" t="str">
            <v/>
          </cell>
          <cell r="S808" t="str">
            <v/>
          </cell>
        </row>
        <row r="809">
          <cell r="G809" t="str">
            <v/>
          </cell>
          <cell r="H809" t="str">
            <v/>
          </cell>
          <cell r="I809" t="str">
            <v/>
          </cell>
          <cell r="J809" t="str">
            <v/>
          </cell>
          <cell r="K809" t="str">
            <v/>
          </cell>
          <cell r="L809" t="str">
            <v/>
          </cell>
          <cell r="M809" t="str">
            <v/>
          </cell>
          <cell r="N809" t="str">
            <v/>
          </cell>
          <cell r="O809" t="str">
            <v/>
          </cell>
          <cell r="P809" t="str">
            <v/>
          </cell>
          <cell r="Q809" t="str">
            <v/>
          </cell>
          <cell r="R809" t="str">
            <v/>
          </cell>
          <cell r="S809" t="str">
            <v/>
          </cell>
        </row>
        <row r="810">
          <cell r="G810" t="str">
            <v/>
          </cell>
          <cell r="H810" t="str">
            <v/>
          </cell>
          <cell r="I810" t="str">
            <v/>
          </cell>
          <cell r="J810" t="str">
            <v/>
          </cell>
          <cell r="K810" t="str">
            <v/>
          </cell>
          <cell r="L810" t="str">
            <v/>
          </cell>
          <cell r="M810" t="str">
            <v/>
          </cell>
          <cell r="N810" t="str">
            <v/>
          </cell>
          <cell r="O810" t="str">
            <v/>
          </cell>
          <cell r="P810" t="str">
            <v/>
          </cell>
          <cell r="Q810" t="str">
            <v/>
          </cell>
          <cell r="R810" t="str">
            <v/>
          </cell>
          <cell r="S810" t="str">
            <v/>
          </cell>
        </row>
        <row r="811">
          <cell r="G811" t="str">
            <v/>
          </cell>
          <cell r="H811" t="str">
            <v/>
          </cell>
          <cell r="I811" t="str">
            <v/>
          </cell>
          <cell r="J811" t="str">
            <v/>
          </cell>
          <cell r="K811" t="str">
            <v/>
          </cell>
          <cell r="L811" t="str">
            <v/>
          </cell>
          <cell r="M811" t="str">
            <v/>
          </cell>
          <cell r="N811" t="str">
            <v/>
          </cell>
          <cell r="O811" t="str">
            <v/>
          </cell>
          <cell r="P811" t="str">
            <v/>
          </cell>
          <cell r="Q811" t="str">
            <v/>
          </cell>
          <cell r="R811" t="str">
            <v/>
          </cell>
          <cell r="S811" t="str">
            <v/>
          </cell>
        </row>
        <row r="812">
          <cell r="G812" t="str">
            <v/>
          </cell>
          <cell r="H812" t="str">
            <v/>
          </cell>
          <cell r="I812" t="str">
            <v/>
          </cell>
          <cell r="J812" t="str">
            <v/>
          </cell>
          <cell r="K812" t="str">
            <v/>
          </cell>
          <cell r="L812" t="str">
            <v/>
          </cell>
          <cell r="M812" t="str">
            <v/>
          </cell>
          <cell r="N812" t="str">
            <v/>
          </cell>
          <cell r="O812" t="str">
            <v/>
          </cell>
          <cell r="P812" t="str">
            <v/>
          </cell>
          <cell r="Q812" t="str">
            <v/>
          </cell>
          <cell r="R812" t="str">
            <v/>
          </cell>
          <cell r="S812" t="str">
            <v/>
          </cell>
        </row>
        <row r="813">
          <cell r="G813" t="str">
            <v/>
          </cell>
          <cell r="H813" t="str">
            <v/>
          </cell>
          <cell r="I813" t="str">
            <v/>
          </cell>
          <cell r="J813" t="str">
            <v/>
          </cell>
          <cell r="K813" t="str">
            <v/>
          </cell>
          <cell r="L813" t="str">
            <v/>
          </cell>
          <cell r="M813" t="str">
            <v/>
          </cell>
          <cell r="N813" t="str">
            <v/>
          </cell>
          <cell r="O813" t="str">
            <v/>
          </cell>
          <cell r="P813" t="str">
            <v/>
          </cell>
          <cell r="Q813" t="str">
            <v/>
          </cell>
          <cell r="R813" t="str">
            <v/>
          </cell>
          <cell r="S813" t="str">
            <v/>
          </cell>
        </row>
        <row r="814">
          <cell r="G814" t="str">
            <v/>
          </cell>
          <cell r="H814" t="str">
            <v/>
          </cell>
          <cell r="I814" t="str">
            <v/>
          </cell>
          <cell r="J814" t="str">
            <v/>
          </cell>
          <cell r="K814" t="str">
            <v/>
          </cell>
          <cell r="L814" t="str">
            <v/>
          </cell>
          <cell r="M814" t="str">
            <v/>
          </cell>
          <cell r="N814" t="str">
            <v/>
          </cell>
          <cell r="O814" t="str">
            <v/>
          </cell>
          <cell r="P814" t="str">
            <v/>
          </cell>
          <cell r="Q814" t="str">
            <v/>
          </cell>
          <cell r="R814" t="str">
            <v/>
          </cell>
          <cell r="S814" t="str">
            <v/>
          </cell>
        </row>
        <row r="815">
          <cell r="G815" t="str">
            <v/>
          </cell>
          <cell r="H815" t="str">
            <v/>
          </cell>
          <cell r="I815" t="str">
            <v/>
          </cell>
          <cell r="J815" t="str">
            <v/>
          </cell>
          <cell r="K815" t="str">
            <v/>
          </cell>
          <cell r="L815" t="str">
            <v/>
          </cell>
          <cell r="M815" t="str">
            <v/>
          </cell>
          <cell r="N815" t="str">
            <v/>
          </cell>
          <cell r="O815" t="str">
            <v/>
          </cell>
          <cell r="P815" t="str">
            <v/>
          </cell>
          <cell r="Q815" t="str">
            <v/>
          </cell>
          <cell r="R815" t="str">
            <v/>
          </cell>
          <cell r="S815" t="str">
            <v/>
          </cell>
        </row>
        <row r="816">
          <cell r="G816" t="str">
            <v/>
          </cell>
          <cell r="H816" t="str">
            <v/>
          </cell>
          <cell r="I816" t="str">
            <v/>
          </cell>
          <cell r="J816" t="str">
            <v/>
          </cell>
          <cell r="K816" t="str">
            <v/>
          </cell>
          <cell r="L816" t="str">
            <v/>
          </cell>
          <cell r="M816" t="str">
            <v/>
          </cell>
          <cell r="N816" t="str">
            <v/>
          </cell>
          <cell r="O816" t="str">
            <v/>
          </cell>
          <cell r="P816" t="str">
            <v/>
          </cell>
          <cell r="Q816" t="str">
            <v/>
          </cell>
          <cell r="R816" t="str">
            <v/>
          </cell>
          <cell r="S816" t="str">
            <v/>
          </cell>
        </row>
        <row r="817">
          <cell r="G817" t="str">
            <v/>
          </cell>
          <cell r="H817" t="str">
            <v/>
          </cell>
          <cell r="I817" t="str">
            <v/>
          </cell>
          <cell r="J817" t="str">
            <v/>
          </cell>
          <cell r="K817" t="str">
            <v/>
          </cell>
          <cell r="L817" t="str">
            <v/>
          </cell>
          <cell r="M817" t="str">
            <v/>
          </cell>
          <cell r="N817" t="str">
            <v/>
          </cell>
          <cell r="O817" t="str">
            <v/>
          </cell>
          <cell r="P817" t="str">
            <v/>
          </cell>
          <cell r="Q817" t="str">
            <v/>
          </cell>
          <cell r="R817" t="str">
            <v/>
          </cell>
          <cell r="S817" t="str">
            <v/>
          </cell>
        </row>
        <row r="818">
          <cell r="G818" t="str">
            <v/>
          </cell>
          <cell r="H818" t="str">
            <v/>
          </cell>
          <cell r="I818" t="str">
            <v/>
          </cell>
          <cell r="J818" t="str">
            <v/>
          </cell>
          <cell r="K818" t="str">
            <v/>
          </cell>
          <cell r="L818" t="str">
            <v/>
          </cell>
          <cell r="M818" t="str">
            <v/>
          </cell>
          <cell r="N818" t="str">
            <v/>
          </cell>
          <cell r="O818" t="str">
            <v/>
          </cell>
          <cell r="P818" t="str">
            <v/>
          </cell>
          <cell r="Q818" t="str">
            <v/>
          </cell>
          <cell r="R818" t="str">
            <v/>
          </cell>
          <cell r="S818" t="str">
            <v/>
          </cell>
        </row>
        <row r="819">
          <cell r="G819" t="str">
            <v/>
          </cell>
          <cell r="H819" t="str">
            <v/>
          </cell>
          <cell r="I819" t="str">
            <v/>
          </cell>
          <cell r="J819" t="str">
            <v/>
          </cell>
          <cell r="K819" t="str">
            <v/>
          </cell>
          <cell r="L819" t="str">
            <v/>
          </cell>
          <cell r="M819" t="str">
            <v/>
          </cell>
          <cell r="N819" t="str">
            <v/>
          </cell>
          <cell r="O819" t="str">
            <v/>
          </cell>
          <cell r="P819" t="str">
            <v/>
          </cell>
          <cell r="Q819" t="str">
            <v/>
          </cell>
          <cell r="R819" t="str">
            <v/>
          </cell>
          <cell r="S819" t="str">
            <v/>
          </cell>
        </row>
        <row r="820">
          <cell r="G820" t="str">
            <v/>
          </cell>
          <cell r="H820" t="str">
            <v/>
          </cell>
          <cell r="I820" t="str">
            <v/>
          </cell>
          <cell r="J820" t="str">
            <v/>
          </cell>
          <cell r="K820" t="str">
            <v/>
          </cell>
          <cell r="L820" t="str">
            <v/>
          </cell>
          <cell r="M820" t="str">
            <v/>
          </cell>
          <cell r="N820" t="str">
            <v/>
          </cell>
          <cell r="O820" t="str">
            <v/>
          </cell>
          <cell r="P820" t="str">
            <v/>
          </cell>
          <cell r="Q820" t="str">
            <v/>
          </cell>
          <cell r="R820" t="str">
            <v/>
          </cell>
          <cell r="S820" t="str">
            <v/>
          </cell>
        </row>
        <row r="821">
          <cell r="G821" t="str">
            <v/>
          </cell>
          <cell r="H821" t="str">
            <v/>
          </cell>
          <cell r="I821" t="str">
            <v/>
          </cell>
          <cell r="J821" t="str">
            <v/>
          </cell>
          <cell r="K821" t="str">
            <v/>
          </cell>
          <cell r="L821" t="str">
            <v/>
          </cell>
          <cell r="M821" t="str">
            <v/>
          </cell>
          <cell r="N821" t="str">
            <v/>
          </cell>
          <cell r="O821" t="str">
            <v/>
          </cell>
          <cell r="P821" t="str">
            <v/>
          </cell>
          <cell r="Q821" t="str">
            <v/>
          </cell>
          <cell r="R821" t="str">
            <v/>
          </cell>
          <cell r="S821" t="str">
            <v/>
          </cell>
        </row>
        <row r="822">
          <cell r="G822" t="str">
            <v/>
          </cell>
          <cell r="H822" t="str">
            <v/>
          </cell>
          <cell r="I822" t="str">
            <v/>
          </cell>
          <cell r="J822" t="str">
            <v/>
          </cell>
          <cell r="K822" t="str">
            <v/>
          </cell>
          <cell r="L822" t="str">
            <v/>
          </cell>
          <cell r="M822" t="str">
            <v/>
          </cell>
          <cell r="N822" t="str">
            <v/>
          </cell>
          <cell r="O822" t="str">
            <v/>
          </cell>
          <cell r="P822" t="str">
            <v/>
          </cell>
          <cell r="Q822" t="str">
            <v/>
          </cell>
          <cell r="R822" t="str">
            <v/>
          </cell>
          <cell r="S822" t="str">
            <v/>
          </cell>
        </row>
        <row r="823">
          <cell r="G823" t="str">
            <v/>
          </cell>
          <cell r="H823" t="str">
            <v/>
          </cell>
          <cell r="I823" t="str">
            <v/>
          </cell>
          <cell r="J823" t="str">
            <v/>
          </cell>
          <cell r="K823" t="str">
            <v/>
          </cell>
          <cell r="L823" t="str">
            <v/>
          </cell>
          <cell r="M823" t="str">
            <v/>
          </cell>
          <cell r="N823" t="str">
            <v/>
          </cell>
          <cell r="O823" t="str">
            <v/>
          </cell>
          <cell r="P823" t="str">
            <v/>
          </cell>
          <cell r="Q823" t="str">
            <v/>
          </cell>
          <cell r="R823" t="str">
            <v/>
          </cell>
          <cell r="S823" t="str">
            <v/>
          </cell>
        </row>
        <row r="824">
          <cell r="G824" t="str">
            <v/>
          </cell>
          <cell r="H824" t="str">
            <v/>
          </cell>
          <cell r="I824" t="str">
            <v/>
          </cell>
          <cell r="J824" t="str">
            <v/>
          </cell>
          <cell r="K824" t="str">
            <v/>
          </cell>
          <cell r="L824" t="str">
            <v/>
          </cell>
          <cell r="M824" t="str">
            <v/>
          </cell>
          <cell r="N824" t="str">
            <v/>
          </cell>
          <cell r="O824" t="str">
            <v/>
          </cell>
          <cell r="P824" t="str">
            <v/>
          </cell>
          <cell r="Q824" t="str">
            <v/>
          </cell>
          <cell r="R824" t="str">
            <v/>
          </cell>
          <cell r="S824" t="str">
            <v/>
          </cell>
        </row>
        <row r="825">
          <cell r="G825" t="str">
            <v/>
          </cell>
          <cell r="H825" t="str">
            <v/>
          </cell>
          <cell r="I825" t="str">
            <v/>
          </cell>
          <cell r="J825" t="str">
            <v/>
          </cell>
          <cell r="K825" t="str">
            <v/>
          </cell>
          <cell r="L825" t="str">
            <v/>
          </cell>
          <cell r="M825" t="str">
            <v/>
          </cell>
          <cell r="N825" t="str">
            <v/>
          </cell>
          <cell r="O825" t="str">
            <v/>
          </cell>
          <cell r="P825" t="str">
            <v/>
          </cell>
          <cell r="Q825" t="str">
            <v/>
          </cell>
          <cell r="R825" t="str">
            <v/>
          </cell>
          <cell r="S825" t="str">
            <v/>
          </cell>
        </row>
        <row r="826">
          <cell r="G826" t="str">
            <v/>
          </cell>
          <cell r="H826" t="str">
            <v/>
          </cell>
          <cell r="I826" t="str">
            <v/>
          </cell>
          <cell r="J826" t="str">
            <v/>
          </cell>
          <cell r="K826" t="str">
            <v/>
          </cell>
          <cell r="L826" t="str">
            <v/>
          </cell>
          <cell r="M826" t="str">
            <v/>
          </cell>
          <cell r="N826" t="str">
            <v/>
          </cell>
          <cell r="O826" t="str">
            <v/>
          </cell>
          <cell r="P826" t="str">
            <v/>
          </cell>
          <cell r="Q826" t="str">
            <v/>
          </cell>
          <cell r="R826" t="str">
            <v/>
          </cell>
          <cell r="S826" t="str">
            <v/>
          </cell>
        </row>
        <row r="827">
          <cell r="G827" t="str">
            <v/>
          </cell>
          <cell r="H827" t="str">
            <v/>
          </cell>
          <cell r="I827" t="str">
            <v/>
          </cell>
          <cell r="J827" t="str">
            <v/>
          </cell>
          <cell r="K827" t="str">
            <v/>
          </cell>
          <cell r="L827" t="str">
            <v/>
          </cell>
          <cell r="M827" t="str">
            <v/>
          </cell>
          <cell r="N827" t="str">
            <v/>
          </cell>
          <cell r="O827" t="str">
            <v/>
          </cell>
          <cell r="P827" t="str">
            <v/>
          </cell>
          <cell r="Q827" t="str">
            <v/>
          </cell>
          <cell r="R827" t="str">
            <v/>
          </cell>
          <cell r="S827" t="str">
            <v/>
          </cell>
        </row>
        <row r="828">
          <cell r="G828" t="str">
            <v/>
          </cell>
          <cell r="H828" t="str">
            <v/>
          </cell>
          <cell r="I828" t="str">
            <v/>
          </cell>
          <cell r="J828" t="str">
            <v/>
          </cell>
          <cell r="K828" t="str">
            <v/>
          </cell>
          <cell r="L828" t="str">
            <v/>
          </cell>
          <cell r="M828" t="str">
            <v/>
          </cell>
          <cell r="N828" t="str">
            <v/>
          </cell>
          <cell r="O828" t="str">
            <v/>
          </cell>
          <cell r="P828" t="str">
            <v/>
          </cell>
          <cell r="Q828" t="str">
            <v/>
          </cell>
          <cell r="R828" t="str">
            <v/>
          </cell>
          <cell r="S828" t="str">
            <v/>
          </cell>
        </row>
        <row r="829">
          <cell r="G829" t="str">
            <v/>
          </cell>
          <cell r="H829" t="str">
            <v/>
          </cell>
          <cell r="I829" t="str">
            <v/>
          </cell>
          <cell r="J829" t="str">
            <v/>
          </cell>
          <cell r="K829" t="str">
            <v/>
          </cell>
          <cell r="L829" t="str">
            <v/>
          </cell>
          <cell r="M829" t="str">
            <v/>
          </cell>
          <cell r="N829" t="str">
            <v/>
          </cell>
          <cell r="O829" t="str">
            <v/>
          </cell>
          <cell r="P829" t="str">
            <v/>
          </cell>
          <cell r="Q829" t="str">
            <v/>
          </cell>
          <cell r="R829" t="str">
            <v/>
          </cell>
          <cell r="S829" t="str">
            <v/>
          </cell>
        </row>
        <row r="830">
          <cell r="G830" t="str">
            <v/>
          </cell>
          <cell r="H830" t="str">
            <v/>
          </cell>
          <cell r="I830" t="str">
            <v/>
          </cell>
          <cell r="J830" t="str">
            <v/>
          </cell>
          <cell r="K830" t="str">
            <v/>
          </cell>
          <cell r="L830" t="str">
            <v/>
          </cell>
          <cell r="M830" t="str">
            <v/>
          </cell>
          <cell r="N830" t="str">
            <v/>
          </cell>
          <cell r="O830" t="str">
            <v/>
          </cell>
          <cell r="P830" t="str">
            <v/>
          </cell>
          <cell r="Q830" t="str">
            <v/>
          </cell>
          <cell r="R830" t="str">
            <v/>
          </cell>
          <cell r="S830" t="str">
            <v/>
          </cell>
        </row>
        <row r="831">
          <cell r="G831" t="str">
            <v/>
          </cell>
          <cell r="H831" t="str">
            <v/>
          </cell>
          <cell r="I831" t="str">
            <v/>
          </cell>
          <cell r="J831" t="str">
            <v/>
          </cell>
          <cell r="K831" t="str">
            <v/>
          </cell>
          <cell r="L831" t="str">
            <v/>
          </cell>
          <cell r="M831" t="str">
            <v/>
          </cell>
          <cell r="N831" t="str">
            <v/>
          </cell>
          <cell r="O831" t="str">
            <v/>
          </cell>
          <cell r="P831" t="str">
            <v/>
          </cell>
          <cell r="Q831" t="str">
            <v/>
          </cell>
          <cell r="R831" t="str">
            <v/>
          </cell>
          <cell r="S831" t="str">
            <v/>
          </cell>
        </row>
        <row r="832">
          <cell r="G832" t="str">
            <v/>
          </cell>
          <cell r="H832" t="str">
            <v/>
          </cell>
          <cell r="I832" t="str">
            <v/>
          </cell>
          <cell r="J832" t="str">
            <v/>
          </cell>
          <cell r="K832" t="str">
            <v/>
          </cell>
          <cell r="L832" t="str">
            <v/>
          </cell>
          <cell r="M832" t="str">
            <v/>
          </cell>
          <cell r="N832" t="str">
            <v/>
          </cell>
          <cell r="O832" t="str">
            <v/>
          </cell>
          <cell r="P832" t="str">
            <v/>
          </cell>
          <cell r="Q832" t="str">
            <v/>
          </cell>
          <cell r="R832" t="str">
            <v/>
          </cell>
          <cell r="S832" t="str">
            <v/>
          </cell>
        </row>
        <row r="833">
          <cell r="G833" t="str">
            <v/>
          </cell>
          <cell r="H833" t="str">
            <v/>
          </cell>
          <cell r="I833" t="str">
            <v/>
          </cell>
          <cell r="J833" t="str">
            <v/>
          </cell>
          <cell r="K833" t="str">
            <v/>
          </cell>
          <cell r="L833" t="str">
            <v/>
          </cell>
          <cell r="M833" t="str">
            <v/>
          </cell>
          <cell r="N833" t="str">
            <v/>
          </cell>
          <cell r="O833" t="str">
            <v/>
          </cell>
          <cell r="P833" t="str">
            <v/>
          </cell>
          <cell r="Q833" t="str">
            <v/>
          </cell>
          <cell r="R833" t="str">
            <v/>
          </cell>
          <cell r="S833" t="str">
            <v/>
          </cell>
        </row>
        <row r="834">
          <cell r="G834" t="str">
            <v/>
          </cell>
          <cell r="H834" t="str">
            <v/>
          </cell>
          <cell r="I834" t="str">
            <v/>
          </cell>
          <cell r="J834" t="str">
            <v/>
          </cell>
          <cell r="K834" t="str">
            <v/>
          </cell>
          <cell r="L834" t="str">
            <v/>
          </cell>
          <cell r="M834" t="str">
            <v/>
          </cell>
          <cell r="N834" t="str">
            <v/>
          </cell>
          <cell r="O834" t="str">
            <v/>
          </cell>
          <cell r="P834" t="str">
            <v/>
          </cell>
          <cell r="Q834" t="str">
            <v/>
          </cell>
          <cell r="R834" t="str">
            <v/>
          </cell>
          <cell r="S834" t="str">
            <v/>
          </cell>
        </row>
        <row r="835">
          <cell r="G835" t="str">
            <v/>
          </cell>
          <cell r="H835" t="str">
            <v/>
          </cell>
          <cell r="I835" t="str">
            <v/>
          </cell>
          <cell r="J835" t="str">
            <v/>
          </cell>
          <cell r="K835" t="str">
            <v/>
          </cell>
          <cell r="L835" t="str">
            <v/>
          </cell>
          <cell r="M835" t="str">
            <v/>
          </cell>
          <cell r="N835" t="str">
            <v/>
          </cell>
          <cell r="O835" t="str">
            <v/>
          </cell>
          <cell r="P835" t="str">
            <v/>
          </cell>
          <cell r="Q835" t="str">
            <v/>
          </cell>
          <cell r="R835" t="str">
            <v/>
          </cell>
          <cell r="S835" t="str">
            <v/>
          </cell>
        </row>
        <row r="836">
          <cell r="G836" t="str">
            <v/>
          </cell>
          <cell r="H836" t="str">
            <v/>
          </cell>
          <cell r="I836" t="str">
            <v/>
          </cell>
          <cell r="J836" t="str">
            <v/>
          </cell>
          <cell r="K836" t="str">
            <v/>
          </cell>
          <cell r="L836" t="str">
            <v/>
          </cell>
          <cell r="M836" t="str">
            <v/>
          </cell>
          <cell r="N836" t="str">
            <v/>
          </cell>
          <cell r="O836" t="str">
            <v/>
          </cell>
          <cell r="P836" t="str">
            <v/>
          </cell>
          <cell r="Q836" t="str">
            <v/>
          </cell>
          <cell r="R836" t="str">
            <v/>
          </cell>
          <cell r="S836" t="str">
            <v/>
          </cell>
        </row>
        <row r="837">
          <cell r="G837" t="str">
            <v/>
          </cell>
          <cell r="H837" t="str">
            <v/>
          </cell>
          <cell r="I837" t="str">
            <v/>
          </cell>
          <cell r="J837" t="str">
            <v/>
          </cell>
          <cell r="K837" t="str">
            <v/>
          </cell>
          <cell r="L837" t="str">
            <v/>
          </cell>
          <cell r="M837" t="str">
            <v/>
          </cell>
          <cell r="N837" t="str">
            <v/>
          </cell>
          <cell r="O837" t="str">
            <v/>
          </cell>
          <cell r="P837" t="str">
            <v/>
          </cell>
          <cell r="Q837" t="str">
            <v/>
          </cell>
          <cell r="R837" t="str">
            <v/>
          </cell>
          <cell r="S837" t="str">
            <v/>
          </cell>
        </row>
        <row r="838">
          <cell r="G838" t="str">
            <v/>
          </cell>
          <cell r="H838" t="str">
            <v/>
          </cell>
          <cell r="I838" t="str">
            <v/>
          </cell>
          <cell r="J838" t="str">
            <v/>
          </cell>
          <cell r="K838" t="str">
            <v/>
          </cell>
          <cell r="L838" t="str">
            <v/>
          </cell>
          <cell r="M838" t="str">
            <v/>
          </cell>
          <cell r="N838" t="str">
            <v/>
          </cell>
          <cell r="O838" t="str">
            <v/>
          </cell>
          <cell r="P838" t="str">
            <v/>
          </cell>
          <cell r="Q838" t="str">
            <v/>
          </cell>
          <cell r="R838" t="str">
            <v/>
          </cell>
          <cell r="S838" t="str">
            <v/>
          </cell>
        </row>
        <row r="839">
          <cell r="G839" t="str">
            <v/>
          </cell>
          <cell r="H839" t="str">
            <v/>
          </cell>
          <cell r="I839" t="str">
            <v/>
          </cell>
          <cell r="J839" t="str">
            <v/>
          </cell>
          <cell r="K839" t="str">
            <v/>
          </cell>
          <cell r="L839" t="str">
            <v/>
          </cell>
          <cell r="M839" t="str">
            <v/>
          </cell>
          <cell r="N839" t="str">
            <v/>
          </cell>
          <cell r="O839" t="str">
            <v/>
          </cell>
          <cell r="P839" t="str">
            <v/>
          </cell>
          <cell r="Q839" t="str">
            <v/>
          </cell>
          <cell r="R839" t="str">
            <v/>
          </cell>
          <cell r="S839" t="str">
            <v/>
          </cell>
        </row>
        <row r="840">
          <cell r="G840" t="str">
            <v/>
          </cell>
          <cell r="H840" t="str">
            <v/>
          </cell>
          <cell r="I840" t="str">
            <v/>
          </cell>
          <cell r="J840" t="str">
            <v/>
          </cell>
          <cell r="K840" t="str">
            <v/>
          </cell>
          <cell r="L840" t="str">
            <v/>
          </cell>
          <cell r="M840" t="str">
            <v/>
          </cell>
          <cell r="N840" t="str">
            <v/>
          </cell>
          <cell r="O840" t="str">
            <v/>
          </cell>
          <cell r="P840" t="str">
            <v/>
          </cell>
          <cell r="Q840" t="str">
            <v/>
          </cell>
          <cell r="R840" t="str">
            <v/>
          </cell>
          <cell r="S840" t="str">
            <v/>
          </cell>
        </row>
        <row r="841">
          <cell r="G841" t="str">
            <v/>
          </cell>
          <cell r="H841" t="str">
            <v/>
          </cell>
          <cell r="I841" t="str">
            <v/>
          </cell>
          <cell r="J841" t="str">
            <v/>
          </cell>
          <cell r="K841" t="str">
            <v/>
          </cell>
          <cell r="L841" t="str">
            <v/>
          </cell>
          <cell r="M841" t="str">
            <v/>
          </cell>
          <cell r="N841" t="str">
            <v/>
          </cell>
          <cell r="O841" t="str">
            <v/>
          </cell>
          <cell r="P841" t="str">
            <v/>
          </cell>
          <cell r="Q841" t="str">
            <v/>
          </cell>
          <cell r="R841" t="str">
            <v/>
          </cell>
          <cell r="S841" t="str">
            <v/>
          </cell>
        </row>
        <row r="842">
          <cell r="G842" t="str">
            <v/>
          </cell>
          <cell r="H842" t="str">
            <v/>
          </cell>
          <cell r="I842" t="str">
            <v/>
          </cell>
          <cell r="J842" t="str">
            <v/>
          </cell>
          <cell r="K842" t="str">
            <v/>
          </cell>
          <cell r="L842" t="str">
            <v/>
          </cell>
          <cell r="M842" t="str">
            <v/>
          </cell>
          <cell r="N842" t="str">
            <v/>
          </cell>
          <cell r="O842" t="str">
            <v/>
          </cell>
          <cell r="P842" t="str">
            <v/>
          </cell>
          <cell r="Q842" t="str">
            <v/>
          </cell>
          <cell r="R842" t="str">
            <v/>
          </cell>
          <cell r="S842" t="str">
            <v/>
          </cell>
        </row>
        <row r="843">
          <cell r="G843" t="str">
            <v/>
          </cell>
          <cell r="H843" t="str">
            <v/>
          </cell>
          <cell r="I843" t="str">
            <v/>
          </cell>
          <cell r="J843" t="str">
            <v/>
          </cell>
          <cell r="K843" t="str">
            <v/>
          </cell>
          <cell r="L843" t="str">
            <v/>
          </cell>
          <cell r="M843" t="str">
            <v/>
          </cell>
          <cell r="N843" t="str">
            <v/>
          </cell>
          <cell r="O843" t="str">
            <v/>
          </cell>
          <cell r="P843" t="str">
            <v/>
          </cell>
          <cell r="Q843" t="str">
            <v/>
          </cell>
          <cell r="R843" t="str">
            <v/>
          </cell>
          <cell r="S843" t="str">
            <v/>
          </cell>
        </row>
        <row r="844">
          <cell r="G844" t="str">
            <v/>
          </cell>
          <cell r="H844" t="str">
            <v/>
          </cell>
          <cell r="I844" t="str">
            <v/>
          </cell>
          <cell r="J844" t="str">
            <v/>
          </cell>
          <cell r="K844" t="str">
            <v/>
          </cell>
          <cell r="L844" t="str">
            <v/>
          </cell>
          <cell r="M844" t="str">
            <v/>
          </cell>
          <cell r="N844" t="str">
            <v/>
          </cell>
          <cell r="O844" t="str">
            <v/>
          </cell>
          <cell r="P844" t="str">
            <v/>
          </cell>
          <cell r="Q844" t="str">
            <v/>
          </cell>
          <cell r="R844" t="str">
            <v/>
          </cell>
          <cell r="S844" t="str">
            <v/>
          </cell>
        </row>
        <row r="845">
          <cell r="G845" t="str">
            <v/>
          </cell>
          <cell r="H845" t="str">
            <v/>
          </cell>
          <cell r="I845" t="str">
            <v/>
          </cell>
          <cell r="J845" t="str">
            <v/>
          </cell>
          <cell r="K845" t="str">
            <v/>
          </cell>
          <cell r="L845" t="str">
            <v/>
          </cell>
          <cell r="M845" t="str">
            <v/>
          </cell>
          <cell r="N845" t="str">
            <v/>
          </cell>
          <cell r="O845" t="str">
            <v/>
          </cell>
          <cell r="P845" t="str">
            <v/>
          </cell>
          <cell r="Q845" t="str">
            <v/>
          </cell>
          <cell r="R845" t="str">
            <v/>
          </cell>
          <cell r="S845" t="str">
            <v/>
          </cell>
        </row>
        <row r="846">
          <cell r="G846" t="str">
            <v/>
          </cell>
          <cell r="H846" t="str">
            <v/>
          </cell>
          <cell r="I846" t="str">
            <v/>
          </cell>
          <cell r="J846" t="str">
            <v/>
          </cell>
          <cell r="K846" t="str">
            <v/>
          </cell>
          <cell r="L846" t="str">
            <v/>
          </cell>
          <cell r="M846" t="str">
            <v/>
          </cell>
          <cell r="N846" t="str">
            <v/>
          </cell>
          <cell r="O846" t="str">
            <v/>
          </cell>
          <cell r="P846" t="str">
            <v/>
          </cell>
          <cell r="Q846" t="str">
            <v/>
          </cell>
          <cell r="R846" t="str">
            <v/>
          </cell>
          <cell r="S846" t="str">
            <v/>
          </cell>
        </row>
        <row r="847">
          <cell r="G847" t="str">
            <v/>
          </cell>
          <cell r="H847" t="str">
            <v/>
          </cell>
          <cell r="I847" t="str">
            <v/>
          </cell>
          <cell r="J847" t="str">
            <v/>
          </cell>
          <cell r="K847" t="str">
            <v/>
          </cell>
          <cell r="L847" t="str">
            <v/>
          </cell>
          <cell r="M847" t="str">
            <v/>
          </cell>
          <cell r="N847" t="str">
            <v/>
          </cell>
          <cell r="O847" t="str">
            <v/>
          </cell>
          <cell r="P847" t="str">
            <v/>
          </cell>
          <cell r="Q847" t="str">
            <v/>
          </cell>
          <cell r="R847" t="str">
            <v/>
          </cell>
          <cell r="S847" t="str">
            <v/>
          </cell>
        </row>
        <row r="848">
          <cell r="G848" t="str">
            <v/>
          </cell>
          <cell r="H848" t="str">
            <v/>
          </cell>
          <cell r="I848" t="str">
            <v/>
          </cell>
          <cell r="J848" t="str">
            <v/>
          </cell>
          <cell r="K848" t="str">
            <v/>
          </cell>
          <cell r="L848" t="str">
            <v/>
          </cell>
          <cell r="M848" t="str">
            <v/>
          </cell>
          <cell r="N848" t="str">
            <v/>
          </cell>
          <cell r="O848" t="str">
            <v/>
          </cell>
          <cell r="P848" t="str">
            <v/>
          </cell>
          <cell r="Q848" t="str">
            <v/>
          </cell>
          <cell r="R848" t="str">
            <v/>
          </cell>
          <cell r="S848" t="str">
            <v/>
          </cell>
        </row>
        <row r="849">
          <cell r="G849" t="str">
            <v/>
          </cell>
          <cell r="H849" t="str">
            <v/>
          </cell>
          <cell r="I849" t="str">
            <v/>
          </cell>
          <cell r="J849" t="str">
            <v/>
          </cell>
          <cell r="K849" t="str">
            <v/>
          </cell>
          <cell r="L849" t="str">
            <v/>
          </cell>
          <cell r="M849" t="str">
            <v/>
          </cell>
          <cell r="N849" t="str">
            <v/>
          </cell>
          <cell r="O849" t="str">
            <v/>
          </cell>
          <cell r="P849" t="str">
            <v/>
          </cell>
          <cell r="Q849" t="str">
            <v/>
          </cell>
          <cell r="R849" t="str">
            <v/>
          </cell>
          <cell r="S849" t="str">
            <v/>
          </cell>
        </row>
        <row r="850">
          <cell r="G850" t="str">
            <v/>
          </cell>
          <cell r="H850" t="str">
            <v/>
          </cell>
          <cell r="I850" t="str">
            <v/>
          </cell>
          <cell r="J850" t="str">
            <v/>
          </cell>
          <cell r="K850" t="str">
            <v/>
          </cell>
          <cell r="L850" t="str">
            <v/>
          </cell>
          <cell r="M850" t="str">
            <v/>
          </cell>
          <cell r="N850" t="str">
            <v/>
          </cell>
          <cell r="O850" t="str">
            <v/>
          </cell>
          <cell r="P850" t="str">
            <v/>
          </cell>
          <cell r="Q850" t="str">
            <v/>
          </cell>
          <cell r="R850" t="str">
            <v/>
          </cell>
          <cell r="S850" t="str">
            <v/>
          </cell>
        </row>
        <row r="851">
          <cell r="G851" t="str">
            <v/>
          </cell>
          <cell r="H851" t="str">
            <v/>
          </cell>
          <cell r="I851" t="str">
            <v/>
          </cell>
          <cell r="J851" t="str">
            <v/>
          </cell>
          <cell r="K851" t="str">
            <v/>
          </cell>
          <cell r="L851" t="str">
            <v/>
          </cell>
          <cell r="M851" t="str">
            <v/>
          </cell>
          <cell r="N851" t="str">
            <v/>
          </cell>
          <cell r="O851" t="str">
            <v/>
          </cell>
          <cell r="P851" t="str">
            <v/>
          </cell>
          <cell r="Q851" t="str">
            <v/>
          </cell>
          <cell r="R851" t="str">
            <v/>
          </cell>
          <cell r="S851" t="str">
            <v/>
          </cell>
        </row>
        <row r="852">
          <cell r="G852" t="str">
            <v/>
          </cell>
          <cell r="H852" t="str">
            <v/>
          </cell>
          <cell r="I852" t="str">
            <v/>
          </cell>
          <cell r="J852" t="str">
            <v/>
          </cell>
          <cell r="K852" t="str">
            <v/>
          </cell>
          <cell r="L852" t="str">
            <v/>
          </cell>
          <cell r="M852" t="str">
            <v/>
          </cell>
          <cell r="N852" t="str">
            <v/>
          </cell>
          <cell r="O852" t="str">
            <v/>
          </cell>
          <cell r="P852" t="str">
            <v/>
          </cell>
          <cell r="Q852" t="str">
            <v/>
          </cell>
          <cell r="R852" t="str">
            <v/>
          </cell>
          <cell r="S852" t="str">
            <v/>
          </cell>
        </row>
        <row r="853">
          <cell r="G853" t="str">
            <v/>
          </cell>
          <cell r="H853" t="str">
            <v/>
          </cell>
          <cell r="I853" t="str">
            <v/>
          </cell>
          <cell r="J853" t="str">
            <v/>
          </cell>
          <cell r="K853" t="str">
            <v/>
          </cell>
          <cell r="L853" t="str">
            <v/>
          </cell>
          <cell r="M853" t="str">
            <v/>
          </cell>
          <cell r="N853" t="str">
            <v/>
          </cell>
          <cell r="O853" t="str">
            <v/>
          </cell>
          <cell r="P853" t="str">
            <v/>
          </cell>
          <cell r="Q853" t="str">
            <v/>
          </cell>
          <cell r="R853" t="str">
            <v/>
          </cell>
          <cell r="S853" t="str">
            <v/>
          </cell>
        </row>
        <row r="854">
          <cell r="G854" t="str">
            <v/>
          </cell>
          <cell r="H854" t="str">
            <v/>
          </cell>
          <cell r="I854" t="str">
            <v/>
          </cell>
          <cell r="J854" t="str">
            <v/>
          </cell>
          <cell r="K854" t="str">
            <v/>
          </cell>
          <cell r="L854" t="str">
            <v/>
          </cell>
          <cell r="M854" t="str">
            <v/>
          </cell>
          <cell r="N854" t="str">
            <v/>
          </cell>
          <cell r="O854" t="str">
            <v/>
          </cell>
          <cell r="P854" t="str">
            <v/>
          </cell>
          <cell r="Q854" t="str">
            <v/>
          </cell>
          <cell r="R854" t="str">
            <v/>
          </cell>
          <cell r="S854" t="str">
            <v/>
          </cell>
        </row>
        <row r="855">
          <cell r="G855" t="str">
            <v/>
          </cell>
          <cell r="H855" t="str">
            <v/>
          </cell>
          <cell r="I855" t="str">
            <v/>
          </cell>
          <cell r="J855" t="str">
            <v/>
          </cell>
          <cell r="K855" t="str">
            <v/>
          </cell>
          <cell r="L855" t="str">
            <v/>
          </cell>
          <cell r="M855" t="str">
            <v/>
          </cell>
          <cell r="N855" t="str">
            <v/>
          </cell>
          <cell r="O855" t="str">
            <v/>
          </cell>
          <cell r="P855" t="str">
            <v/>
          </cell>
          <cell r="Q855" t="str">
            <v/>
          </cell>
          <cell r="R855" t="str">
            <v/>
          </cell>
          <cell r="S855" t="str">
            <v/>
          </cell>
        </row>
        <row r="856">
          <cell r="G856" t="str">
            <v/>
          </cell>
          <cell r="H856" t="str">
            <v/>
          </cell>
          <cell r="I856" t="str">
            <v/>
          </cell>
          <cell r="J856" t="str">
            <v/>
          </cell>
          <cell r="K856" t="str">
            <v/>
          </cell>
          <cell r="L856" t="str">
            <v/>
          </cell>
          <cell r="M856" t="str">
            <v/>
          </cell>
          <cell r="N856" t="str">
            <v/>
          </cell>
          <cell r="O856" t="str">
            <v/>
          </cell>
          <cell r="P856" t="str">
            <v/>
          </cell>
          <cell r="Q856" t="str">
            <v/>
          </cell>
          <cell r="R856" t="str">
            <v/>
          </cell>
          <cell r="S856" t="str">
            <v/>
          </cell>
        </row>
        <row r="857">
          <cell r="G857" t="str">
            <v/>
          </cell>
          <cell r="H857" t="str">
            <v/>
          </cell>
          <cell r="I857" t="str">
            <v/>
          </cell>
          <cell r="J857" t="str">
            <v/>
          </cell>
          <cell r="K857" t="str">
            <v/>
          </cell>
          <cell r="L857" t="str">
            <v/>
          </cell>
          <cell r="M857" t="str">
            <v/>
          </cell>
          <cell r="N857" t="str">
            <v/>
          </cell>
          <cell r="O857" t="str">
            <v/>
          </cell>
          <cell r="P857" t="str">
            <v/>
          </cell>
          <cell r="Q857" t="str">
            <v/>
          </cell>
          <cell r="R857" t="str">
            <v/>
          </cell>
          <cell r="S857" t="str">
            <v/>
          </cell>
        </row>
        <row r="858">
          <cell r="G858" t="str">
            <v/>
          </cell>
          <cell r="H858" t="str">
            <v/>
          </cell>
          <cell r="I858" t="str">
            <v/>
          </cell>
          <cell r="J858" t="str">
            <v/>
          </cell>
          <cell r="K858" t="str">
            <v/>
          </cell>
          <cell r="L858" t="str">
            <v/>
          </cell>
          <cell r="M858" t="str">
            <v/>
          </cell>
          <cell r="N858" t="str">
            <v/>
          </cell>
          <cell r="O858" t="str">
            <v/>
          </cell>
          <cell r="P858" t="str">
            <v/>
          </cell>
          <cell r="Q858" t="str">
            <v/>
          </cell>
          <cell r="R858" t="str">
            <v/>
          </cell>
          <cell r="S858" t="str">
            <v/>
          </cell>
        </row>
        <row r="859">
          <cell r="G859" t="str">
            <v/>
          </cell>
          <cell r="H859" t="str">
            <v/>
          </cell>
          <cell r="I859" t="str">
            <v/>
          </cell>
          <cell r="J859" t="str">
            <v/>
          </cell>
          <cell r="K859" t="str">
            <v/>
          </cell>
          <cell r="L859" t="str">
            <v/>
          </cell>
          <cell r="M859" t="str">
            <v/>
          </cell>
          <cell r="N859" t="str">
            <v/>
          </cell>
          <cell r="O859" t="str">
            <v/>
          </cell>
          <cell r="P859" t="str">
            <v/>
          </cell>
          <cell r="Q859" t="str">
            <v/>
          </cell>
          <cell r="R859" t="str">
            <v/>
          </cell>
          <cell r="S859" t="str">
            <v/>
          </cell>
        </row>
        <row r="860">
          <cell r="G860" t="str">
            <v/>
          </cell>
          <cell r="H860" t="str">
            <v/>
          </cell>
          <cell r="I860" t="str">
            <v/>
          </cell>
          <cell r="J860" t="str">
            <v/>
          </cell>
          <cell r="K860" t="str">
            <v/>
          </cell>
          <cell r="L860" t="str">
            <v/>
          </cell>
          <cell r="M860" t="str">
            <v/>
          </cell>
          <cell r="N860" t="str">
            <v/>
          </cell>
          <cell r="O860" t="str">
            <v/>
          </cell>
          <cell r="P860" t="str">
            <v/>
          </cell>
          <cell r="Q860" t="str">
            <v/>
          </cell>
          <cell r="R860" t="str">
            <v/>
          </cell>
          <cell r="S860" t="str">
            <v/>
          </cell>
        </row>
        <row r="861">
          <cell r="G861" t="str">
            <v/>
          </cell>
          <cell r="H861" t="str">
            <v/>
          </cell>
          <cell r="I861" t="str">
            <v/>
          </cell>
          <cell r="J861" t="str">
            <v/>
          </cell>
          <cell r="K861" t="str">
            <v/>
          </cell>
          <cell r="L861" t="str">
            <v/>
          </cell>
          <cell r="M861" t="str">
            <v/>
          </cell>
          <cell r="N861" t="str">
            <v/>
          </cell>
          <cell r="O861" t="str">
            <v/>
          </cell>
          <cell r="P861" t="str">
            <v/>
          </cell>
          <cell r="Q861" t="str">
            <v/>
          </cell>
          <cell r="R861" t="str">
            <v/>
          </cell>
          <cell r="S861" t="str">
            <v/>
          </cell>
        </row>
        <row r="862">
          <cell r="G862" t="str">
            <v/>
          </cell>
          <cell r="H862" t="str">
            <v/>
          </cell>
          <cell r="I862" t="str">
            <v/>
          </cell>
          <cell r="J862" t="str">
            <v/>
          </cell>
          <cell r="K862" t="str">
            <v/>
          </cell>
          <cell r="L862" t="str">
            <v/>
          </cell>
          <cell r="M862" t="str">
            <v/>
          </cell>
          <cell r="N862" t="str">
            <v/>
          </cell>
          <cell r="O862" t="str">
            <v/>
          </cell>
          <cell r="P862" t="str">
            <v/>
          </cell>
          <cell r="Q862" t="str">
            <v/>
          </cell>
          <cell r="R862" t="str">
            <v/>
          </cell>
          <cell r="S862" t="str">
            <v/>
          </cell>
        </row>
        <row r="863">
          <cell r="G863" t="str">
            <v/>
          </cell>
          <cell r="H863" t="str">
            <v/>
          </cell>
          <cell r="I863" t="str">
            <v/>
          </cell>
          <cell r="J863" t="str">
            <v/>
          </cell>
          <cell r="K863" t="str">
            <v/>
          </cell>
          <cell r="L863" t="str">
            <v/>
          </cell>
          <cell r="M863" t="str">
            <v/>
          </cell>
          <cell r="N863" t="str">
            <v/>
          </cell>
          <cell r="O863" t="str">
            <v/>
          </cell>
          <cell r="P863" t="str">
            <v/>
          </cell>
          <cell r="Q863" t="str">
            <v/>
          </cell>
          <cell r="R863" t="str">
            <v/>
          </cell>
          <cell r="S863" t="str">
            <v/>
          </cell>
        </row>
        <row r="864">
          <cell r="G864" t="str">
            <v/>
          </cell>
          <cell r="H864" t="str">
            <v/>
          </cell>
          <cell r="I864" t="str">
            <v/>
          </cell>
          <cell r="J864" t="str">
            <v/>
          </cell>
          <cell r="K864" t="str">
            <v/>
          </cell>
          <cell r="L864" t="str">
            <v/>
          </cell>
          <cell r="M864" t="str">
            <v/>
          </cell>
          <cell r="N864" t="str">
            <v/>
          </cell>
          <cell r="O864" t="str">
            <v/>
          </cell>
          <cell r="P864" t="str">
            <v/>
          </cell>
          <cell r="Q864" t="str">
            <v/>
          </cell>
          <cell r="R864" t="str">
            <v/>
          </cell>
          <cell r="S864" t="str">
            <v/>
          </cell>
        </row>
        <row r="865">
          <cell r="G865" t="str">
            <v/>
          </cell>
          <cell r="H865" t="str">
            <v/>
          </cell>
          <cell r="I865" t="str">
            <v/>
          </cell>
          <cell r="J865" t="str">
            <v/>
          </cell>
          <cell r="K865" t="str">
            <v/>
          </cell>
          <cell r="L865" t="str">
            <v/>
          </cell>
          <cell r="M865" t="str">
            <v/>
          </cell>
          <cell r="N865" t="str">
            <v/>
          </cell>
          <cell r="O865" t="str">
            <v/>
          </cell>
          <cell r="P865" t="str">
            <v/>
          </cell>
          <cell r="Q865" t="str">
            <v/>
          </cell>
          <cell r="R865" t="str">
            <v/>
          </cell>
          <cell r="S865" t="str">
            <v/>
          </cell>
        </row>
        <row r="866">
          <cell r="G866" t="str">
            <v/>
          </cell>
          <cell r="H866" t="str">
            <v/>
          </cell>
          <cell r="I866" t="str">
            <v/>
          </cell>
          <cell r="J866" t="str">
            <v/>
          </cell>
          <cell r="K866" t="str">
            <v/>
          </cell>
          <cell r="L866" t="str">
            <v/>
          </cell>
          <cell r="M866" t="str">
            <v/>
          </cell>
          <cell r="N866" t="str">
            <v/>
          </cell>
          <cell r="O866" t="str">
            <v/>
          </cell>
          <cell r="P866" t="str">
            <v/>
          </cell>
          <cell r="Q866" t="str">
            <v/>
          </cell>
          <cell r="R866" t="str">
            <v/>
          </cell>
          <cell r="S866" t="str">
            <v/>
          </cell>
        </row>
        <row r="867">
          <cell r="G867" t="str">
            <v/>
          </cell>
          <cell r="H867" t="str">
            <v/>
          </cell>
          <cell r="I867" t="str">
            <v/>
          </cell>
          <cell r="J867" t="str">
            <v/>
          </cell>
          <cell r="K867" t="str">
            <v/>
          </cell>
          <cell r="L867" t="str">
            <v/>
          </cell>
          <cell r="M867" t="str">
            <v/>
          </cell>
          <cell r="N867" t="str">
            <v/>
          </cell>
          <cell r="O867" t="str">
            <v/>
          </cell>
          <cell r="P867" t="str">
            <v/>
          </cell>
          <cell r="Q867" t="str">
            <v/>
          </cell>
          <cell r="R867" t="str">
            <v/>
          </cell>
          <cell r="S867" t="str">
            <v/>
          </cell>
        </row>
        <row r="868">
          <cell r="G868" t="str">
            <v/>
          </cell>
          <cell r="H868" t="str">
            <v/>
          </cell>
          <cell r="I868" t="str">
            <v/>
          </cell>
          <cell r="J868" t="str">
            <v/>
          </cell>
          <cell r="K868" t="str">
            <v/>
          </cell>
          <cell r="L868" t="str">
            <v/>
          </cell>
          <cell r="M868" t="str">
            <v/>
          </cell>
          <cell r="N868" t="str">
            <v/>
          </cell>
          <cell r="O868" t="str">
            <v/>
          </cell>
          <cell r="P868" t="str">
            <v/>
          </cell>
          <cell r="Q868" t="str">
            <v/>
          </cell>
          <cell r="R868" t="str">
            <v/>
          </cell>
          <cell r="S868" t="str">
            <v/>
          </cell>
        </row>
        <row r="869">
          <cell r="G869" t="str">
            <v/>
          </cell>
          <cell r="H869" t="str">
            <v/>
          </cell>
          <cell r="I869" t="str">
            <v/>
          </cell>
          <cell r="J869" t="str">
            <v/>
          </cell>
          <cell r="K869" t="str">
            <v/>
          </cell>
          <cell r="L869" t="str">
            <v/>
          </cell>
          <cell r="M869" t="str">
            <v/>
          </cell>
          <cell r="N869" t="str">
            <v/>
          </cell>
          <cell r="O869" t="str">
            <v/>
          </cell>
          <cell r="P869" t="str">
            <v/>
          </cell>
          <cell r="Q869" t="str">
            <v/>
          </cell>
          <cell r="R869" t="str">
            <v/>
          </cell>
          <cell r="S869" t="str">
            <v/>
          </cell>
        </row>
        <row r="870">
          <cell r="G870" t="str">
            <v/>
          </cell>
          <cell r="H870" t="str">
            <v/>
          </cell>
          <cell r="I870" t="str">
            <v/>
          </cell>
          <cell r="J870" t="str">
            <v/>
          </cell>
          <cell r="K870" t="str">
            <v/>
          </cell>
          <cell r="L870" t="str">
            <v/>
          </cell>
          <cell r="M870" t="str">
            <v/>
          </cell>
          <cell r="N870" t="str">
            <v/>
          </cell>
          <cell r="O870" t="str">
            <v/>
          </cell>
          <cell r="P870" t="str">
            <v/>
          </cell>
          <cell r="Q870" t="str">
            <v/>
          </cell>
          <cell r="R870" t="str">
            <v/>
          </cell>
          <cell r="S870" t="str">
            <v/>
          </cell>
        </row>
        <row r="871">
          <cell r="G871" t="str">
            <v/>
          </cell>
          <cell r="H871" t="str">
            <v/>
          </cell>
          <cell r="I871" t="str">
            <v/>
          </cell>
          <cell r="J871" t="str">
            <v/>
          </cell>
          <cell r="K871" t="str">
            <v/>
          </cell>
          <cell r="L871" t="str">
            <v/>
          </cell>
          <cell r="M871" t="str">
            <v/>
          </cell>
          <cell r="N871" t="str">
            <v/>
          </cell>
          <cell r="O871" t="str">
            <v/>
          </cell>
          <cell r="P871" t="str">
            <v/>
          </cell>
          <cell r="Q871" t="str">
            <v/>
          </cell>
          <cell r="R871" t="str">
            <v/>
          </cell>
          <cell r="S871" t="str">
            <v/>
          </cell>
        </row>
        <row r="872">
          <cell r="G872" t="str">
            <v/>
          </cell>
          <cell r="H872" t="str">
            <v/>
          </cell>
          <cell r="I872" t="str">
            <v/>
          </cell>
          <cell r="J872" t="str">
            <v/>
          </cell>
          <cell r="K872" t="str">
            <v/>
          </cell>
          <cell r="L872" t="str">
            <v/>
          </cell>
          <cell r="M872" t="str">
            <v/>
          </cell>
          <cell r="N872" t="str">
            <v/>
          </cell>
          <cell r="O872" t="str">
            <v/>
          </cell>
          <cell r="P872" t="str">
            <v/>
          </cell>
          <cell r="Q872" t="str">
            <v/>
          </cell>
          <cell r="R872" t="str">
            <v/>
          </cell>
          <cell r="S872" t="str">
            <v/>
          </cell>
        </row>
        <row r="873">
          <cell r="G873" t="str">
            <v/>
          </cell>
          <cell r="H873" t="str">
            <v/>
          </cell>
          <cell r="I873" t="str">
            <v/>
          </cell>
          <cell r="J873" t="str">
            <v/>
          </cell>
          <cell r="K873" t="str">
            <v/>
          </cell>
          <cell r="L873" t="str">
            <v/>
          </cell>
          <cell r="M873" t="str">
            <v/>
          </cell>
          <cell r="N873" t="str">
            <v/>
          </cell>
          <cell r="O873" t="str">
            <v/>
          </cell>
          <cell r="P873" t="str">
            <v/>
          </cell>
          <cell r="Q873" t="str">
            <v/>
          </cell>
          <cell r="R873" t="str">
            <v/>
          </cell>
          <cell r="S873" t="str">
            <v/>
          </cell>
        </row>
        <row r="874">
          <cell r="G874" t="str">
            <v/>
          </cell>
          <cell r="H874" t="str">
            <v/>
          </cell>
          <cell r="I874" t="str">
            <v/>
          </cell>
          <cell r="J874" t="str">
            <v/>
          </cell>
          <cell r="K874" t="str">
            <v/>
          </cell>
          <cell r="L874" t="str">
            <v/>
          </cell>
          <cell r="M874" t="str">
            <v/>
          </cell>
          <cell r="N874" t="str">
            <v/>
          </cell>
          <cell r="O874" t="str">
            <v/>
          </cell>
          <cell r="P874" t="str">
            <v/>
          </cell>
          <cell r="Q874" t="str">
            <v/>
          </cell>
          <cell r="R874" t="str">
            <v/>
          </cell>
          <cell r="S874" t="str">
            <v/>
          </cell>
        </row>
        <row r="875">
          <cell r="G875" t="str">
            <v/>
          </cell>
          <cell r="H875" t="str">
            <v/>
          </cell>
          <cell r="I875" t="str">
            <v/>
          </cell>
          <cell r="J875" t="str">
            <v/>
          </cell>
          <cell r="K875" t="str">
            <v/>
          </cell>
          <cell r="L875" t="str">
            <v/>
          </cell>
          <cell r="M875" t="str">
            <v/>
          </cell>
          <cell r="N875" t="str">
            <v/>
          </cell>
          <cell r="O875" t="str">
            <v/>
          </cell>
          <cell r="P875" t="str">
            <v/>
          </cell>
          <cell r="Q875" t="str">
            <v/>
          </cell>
          <cell r="R875" t="str">
            <v/>
          </cell>
          <cell r="S875" t="str">
            <v/>
          </cell>
        </row>
        <row r="876">
          <cell r="G876" t="str">
            <v/>
          </cell>
          <cell r="H876" t="str">
            <v/>
          </cell>
          <cell r="I876" t="str">
            <v/>
          </cell>
          <cell r="J876" t="str">
            <v/>
          </cell>
          <cell r="K876" t="str">
            <v/>
          </cell>
          <cell r="L876" t="str">
            <v/>
          </cell>
          <cell r="M876" t="str">
            <v/>
          </cell>
          <cell r="N876" t="str">
            <v/>
          </cell>
          <cell r="O876" t="str">
            <v/>
          </cell>
          <cell r="P876" t="str">
            <v/>
          </cell>
          <cell r="Q876" t="str">
            <v/>
          </cell>
          <cell r="R876" t="str">
            <v/>
          </cell>
          <cell r="S876" t="str">
            <v/>
          </cell>
        </row>
        <row r="877">
          <cell r="G877" t="str">
            <v/>
          </cell>
          <cell r="H877" t="str">
            <v/>
          </cell>
          <cell r="I877" t="str">
            <v/>
          </cell>
          <cell r="J877" t="str">
            <v/>
          </cell>
          <cell r="K877" t="str">
            <v/>
          </cell>
          <cell r="L877" t="str">
            <v/>
          </cell>
          <cell r="M877" t="str">
            <v/>
          </cell>
          <cell r="N877" t="str">
            <v/>
          </cell>
          <cell r="O877" t="str">
            <v/>
          </cell>
          <cell r="P877" t="str">
            <v/>
          </cell>
          <cell r="Q877" t="str">
            <v/>
          </cell>
          <cell r="R877" t="str">
            <v/>
          </cell>
          <cell r="S877" t="str">
            <v/>
          </cell>
        </row>
        <row r="878">
          <cell r="G878" t="str">
            <v/>
          </cell>
          <cell r="H878" t="str">
            <v/>
          </cell>
          <cell r="I878" t="str">
            <v/>
          </cell>
          <cell r="J878" t="str">
            <v/>
          </cell>
          <cell r="K878" t="str">
            <v/>
          </cell>
          <cell r="L878" t="str">
            <v/>
          </cell>
          <cell r="M878" t="str">
            <v/>
          </cell>
          <cell r="N878" t="str">
            <v/>
          </cell>
          <cell r="O878" t="str">
            <v/>
          </cell>
          <cell r="P878" t="str">
            <v/>
          </cell>
          <cell r="Q878" t="str">
            <v/>
          </cell>
          <cell r="R878" t="str">
            <v/>
          </cell>
          <cell r="S878" t="str">
            <v/>
          </cell>
        </row>
        <row r="879">
          <cell r="G879" t="str">
            <v/>
          </cell>
          <cell r="H879" t="str">
            <v/>
          </cell>
          <cell r="I879" t="str">
            <v/>
          </cell>
          <cell r="J879" t="str">
            <v/>
          </cell>
          <cell r="K879" t="str">
            <v/>
          </cell>
          <cell r="L879" t="str">
            <v/>
          </cell>
          <cell r="M879" t="str">
            <v/>
          </cell>
          <cell r="N879" t="str">
            <v/>
          </cell>
          <cell r="O879" t="str">
            <v/>
          </cell>
          <cell r="P879" t="str">
            <v/>
          </cell>
          <cell r="Q879" t="str">
            <v/>
          </cell>
          <cell r="R879" t="str">
            <v/>
          </cell>
          <cell r="S879" t="str">
            <v/>
          </cell>
        </row>
        <row r="880">
          <cell r="G880" t="str">
            <v/>
          </cell>
          <cell r="H880" t="str">
            <v/>
          </cell>
          <cell r="I880" t="str">
            <v/>
          </cell>
          <cell r="J880" t="str">
            <v/>
          </cell>
          <cell r="K880" t="str">
            <v/>
          </cell>
          <cell r="L880" t="str">
            <v/>
          </cell>
          <cell r="M880" t="str">
            <v/>
          </cell>
          <cell r="N880" t="str">
            <v/>
          </cell>
          <cell r="O880" t="str">
            <v/>
          </cell>
          <cell r="P880" t="str">
            <v/>
          </cell>
          <cell r="Q880" t="str">
            <v/>
          </cell>
          <cell r="R880" t="str">
            <v/>
          </cell>
          <cell r="S880" t="str">
            <v/>
          </cell>
        </row>
        <row r="881">
          <cell r="G881" t="str">
            <v/>
          </cell>
          <cell r="H881" t="str">
            <v/>
          </cell>
          <cell r="I881" t="str">
            <v/>
          </cell>
          <cell r="J881" t="str">
            <v/>
          </cell>
          <cell r="K881" t="str">
            <v/>
          </cell>
          <cell r="L881" t="str">
            <v/>
          </cell>
          <cell r="M881" t="str">
            <v/>
          </cell>
          <cell r="N881" t="str">
            <v/>
          </cell>
          <cell r="O881" t="str">
            <v/>
          </cell>
          <cell r="P881" t="str">
            <v/>
          </cell>
          <cell r="Q881" t="str">
            <v/>
          </cell>
          <cell r="R881" t="str">
            <v/>
          </cell>
          <cell r="S881" t="str">
            <v/>
          </cell>
        </row>
        <row r="882">
          <cell r="G882" t="str">
            <v/>
          </cell>
          <cell r="H882" t="str">
            <v/>
          </cell>
          <cell r="I882" t="str">
            <v/>
          </cell>
          <cell r="J882" t="str">
            <v/>
          </cell>
          <cell r="K882" t="str">
            <v/>
          </cell>
          <cell r="L882" t="str">
            <v/>
          </cell>
          <cell r="M882" t="str">
            <v/>
          </cell>
          <cell r="N882" t="str">
            <v/>
          </cell>
          <cell r="O882" t="str">
            <v/>
          </cell>
          <cell r="P882" t="str">
            <v/>
          </cell>
          <cell r="Q882" t="str">
            <v/>
          </cell>
          <cell r="R882" t="str">
            <v/>
          </cell>
          <cell r="S882" t="str">
            <v/>
          </cell>
        </row>
        <row r="883">
          <cell r="G883" t="str">
            <v/>
          </cell>
          <cell r="H883" t="str">
            <v/>
          </cell>
          <cell r="I883" t="str">
            <v/>
          </cell>
          <cell r="J883" t="str">
            <v/>
          </cell>
          <cell r="K883" t="str">
            <v/>
          </cell>
          <cell r="L883" t="str">
            <v/>
          </cell>
          <cell r="M883" t="str">
            <v/>
          </cell>
          <cell r="N883" t="str">
            <v/>
          </cell>
          <cell r="O883" t="str">
            <v/>
          </cell>
          <cell r="P883" t="str">
            <v/>
          </cell>
          <cell r="Q883" t="str">
            <v/>
          </cell>
          <cell r="R883" t="str">
            <v/>
          </cell>
          <cell r="S883" t="str">
            <v/>
          </cell>
        </row>
        <row r="884">
          <cell r="G884" t="str">
            <v/>
          </cell>
          <cell r="H884" t="str">
            <v/>
          </cell>
          <cell r="I884" t="str">
            <v/>
          </cell>
          <cell r="J884" t="str">
            <v/>
          </cell>
          <cell r="K884" t="str">
            <v/>
          </cell>
          <cell r="L884" t="str">
            <v/>
          </cell>
          <cell r="M884" t="str">
            <v/>
          </cell>
          <cell r="N884" t="str">
            <v/>
          </cell>
          <cell r="O884" t="str">
            <v/>
          </cell>
          <cell r="P884" t="str">
            <v/>
          </cell>
          <cell r="Q884" t="str">
            <v/>
          </cell>
          <cell r="R884" t="str">
            <v/>
          </cell>
          <cell r="S884" t="str">
            <v/>
          </cell>
        </row>
        <row r="885">
          <cell r="G885" t="str">
            <v/>
          </cell>
          <cell r="H885" t="str">
            <v/>
          </cell>
          <cell r="I885" t="str">
            <v/>
          </cell>
          <cell r="J885" t="str">
            <v/>
          </cell>
          <cell r="K885" t="str">
            <v/>
          </cell>
          <cell r="L885" t="str">
            <v/>
          </cell>
          <cell r="M885" t="str">
            <v/>
          </cell>
          <cell r="N885" t="str">
            <v/>
          </cell>
          <cell r="O885" t="str">
            <v/>
          </cell>
          <cell r="P885" t="str">
            <v/>
          </cell>
          <cell r="Q885" t="str">
            <v/>
          </cell>
          <cell r="R885" t="str">
            <v/>
          </cell>
          <cell r="S885" t="str">
            <v/>
          </cell>
        </row>
        <row r="886">
          <cell r="G886" t="str">
            <v/>
          </cell>
          <cell r="H886" t="str">
            <v/>
          </cell>
          <cell r="I886" t="str">
            <v/>
          </cell>
          <cell r="J886" t="str">
            <v/>
          </cell>
          <cell r="K886" t="str">
            <v/>
          </cell>
          <cell r="L886" t="str">
            <v/>
          </cell>
          <cell r="M886" t="str">
            <v/>
          </cell>
          <cell r="N886" t="str">
            <v/>
          </cell>
          <cell r="O886" t="str">
            <v/>
          </cell>
          <cell r="P886" t="str">
            <v/>
          </cell>
          <cell r="Q886" t="str">
            <v/>
          </cell>
          <cell r="R886" t="str">
            <v/>
          </cell>
          <cell r="S886" t="str">
            <v/>
          </cell>
        </row>
        <row r="887">
          <cell r="G887" t="str">
            <v/>
          </cell>
          <cell r="H887" t="str">
            <v/>
          </cell>
          <cell r="I887" t="str">
            <v/>
          </cell>
          <cell r="J887" t="str">
            <v/>
          </cell>
          <cell r="K887" t="str">
            <v/>
          </cell>
          <cell r="L887" t="str">
            <v/>
          </cell>
          <cell r="M887" t="str">
            <v/>
          </cell>
          <cell r="N887" t="str">
            <v/>
          </cell>
          <cell r="O887" t="str">
            <v/>
          </cell>
          <cell r="P887" t="str">
            <v/>
          </cell>
          <cell r="Q887" t="str">
            <v/>
          </cell>
          <cell r="R887" t="str">
            <v/>
          </cell>
          <cell r="S887" t="str">
            <v/>
          </cell>
        </row>
        <row r="888">
          <cell r="G888" t="str">
            <v/>
          </cell>
          <cell r="H888" t="str">
            <v/>
          </cell>
          <cell r="I888" t="str">
            <v/>
          </cell>
          <cell r="J888" t="str">
            <v/>
          </cell>
          <cell r="K888" t="str">
            <v/>
          </cell>
          <cell r="L888" t="str">
            <v/>
          </cell>
          <cell r="M888" t="str">
            <v/>
          </cell>
          <cell r="N888" t="str">
            <v/>
          </cell>
          <cell r="O888" t="str">
            <v/>
          </cell>
          <cell r="P888" t="str">
            <v/>
          </cell>
          <cell r="Q888" t="str">
            <v/>
          </cell>
          <cell r="R888" t="str">
            <v/>
          </cell>
          <cell r="S888" t="str">
            <v/>
          </cell>
        </row>
        <row r="889">
          <cell r="G889" t="str">
            <v/>
          </cell>
          <cell r="H889" t="str">
            <v/>
          </cell>
          <cell r="I889" t="str">
            <v/>
          </cell>
          <cell r="J889" t="str">
            <v/>
          </cell>
          <cell r="K889" t="str">
            <v/>
          </cell>
          <cell r="L889" t="str">
            <v/>
          </cell>
          <cell r="M889" t="str">
            <v/>
          </cell>
          <cell r="N889" t="str">
            <v/>
          </cell>
          <cell r="O889" t="str">
            <v/>
          </cell>
          <cell r="P889" t="str">
            <v/>
          </cell>
          <cell r="Q889" t="str">
            <v/>
          </cell>
          <cell r="R889" t="str">
            <v/>
          </cell>
          <cell r="S889" t="str">
            <v/>
          </cell>
        </row>
        <row r="890">
          <cell r="G890" t="str">
            <v/>
          </cell>
          <cell r="H890" t="str">
            <v/>
          </cell>
          <cell r="I890" t="str">
            <v/>
          </cell>
          <cell r="J890" t="str">
            <v/>
          </cell>
          <cell r="K890" t="str">
            <v/>
          </cell>
          <cell r="L890" t="str">
            <v/>
          </cell>
          <cell r="M890" t="str">
            <v/>
          </cell>
          <cell r="N890" t="str">
            <v/>
          </cell>
          <cell r="O890" t="str">
            <v/>
          </cell>
          <cell r="P890" t="str">
            <v/>
          </cell>
          <cell r="Q890" t="str">
            <v/>
          </cell>
          <cell r="R890" t="str">
            <v/>
          </cell>
          <cell r="S890" t="str">
            <v/>
          </cell>
        </row>
        <row r="891">
          <cell r="G891" t="str">
            <v/>
          </cell>
          <cell r="H891" t="str">
            <v/>
          </cell>
          <cell r="I891" t="str">
            <v/>
          </cell>
          <cell r="J891" t="str">
            <v/>
          </cell>
          <cell r="K891" t="str">
            <v/>
          </cell>
          <cell r="L891" t="str">
            <v/>
          </cell>
          <cell r="M891" t="str">
            <v/>
          </cell>
          <cell r="N891" t="str">
            <v/>
          </cell>
          <cell r="O891" t="str">
            <v/>
          </cell>
          <cell r="P891" t="str">
            <v/>
          </cell>
          <cell r="Q891" t="str">
            <v/>
          </cell>
          <cell r="R891" t="str">
            <v/>
          </cell>
          <cell r="S891" t="str">
            <v/>
          </cell>
        </row>
        <row r="892">
          <cell r="G892" t="str">
            <v/>
          </cell>
          <cell r="H892" t="str">
            <v/>
          </cell>
          <cell r="I892" t="str">
            <v/>
          </cell>
          <cell r="J892" t="str">
            <v/>
          </cell>
          <cell r="K892" t="str">
            <v/>
          </cell>
          <cell r="L892" t="str">
            <v/>
          </cell>
          <cell r="M892" t="str">
            <v/>
          </cell>
          <cell r="N892" t="str">
            <v/>
          </cell>
          <cell r="O892" t="str">
            <v/>
          </cell>
          <cell r="P892" t="str">
            <v/>
          </cell>
          <cell r="Q892" t="str">
            <v/>
          </cell>
          <cell r="R892" t="str">
            <v/>
          </cell>
          <cell r="S892" t="str">
            <v/>
          </cell>
        </row>
        <row r="893">
          <cell r="G893" t="str">
            <v/>
          </cell>
          <cell r="H893" t="str">
            <v/>
          </cell>
          <cell r="I893" t="str">
            <v/>
          </cell>
          <cell r="J893" t="str">
            <v/>
          </cell>
          <cell r="K893" t="str">
            <v/>
          </cell>
          <cell r="L893" t="str">
            <v/>
          </cell>
          <cell r="M893" t="str">
            <v/>
          </cell>
          <cell r="N893" t="str">
            <v/>
          </cell>
          <cell r="O893" t="str">
            <v/>
          </cell>
          <cell r="P893" t="str">
            <v/>
          </cell>
          <cell r="Q893" t="str">
            <v/>
          </cell>
          <cell r="R893" t="str">
            <v/>
          </cell>
          <cell r="S893" t="str">
            <v/>
          </cell>
        </row>
        <row r="894">
          <cell r="G894" t="str">
            <v/>
          </cell>
          <cell r="H894" t="str">
            <v/>
          </cell>
          <cell r="I894" t="str">
            <v/>
          </cell>
          <cell r="J894" t="str">
            <v/>
          </cell>
          <cell r="K894" t="str">
            <v/>
          </cell>
          <cell r="L894" t="str">
            <v/>
          </cell>
          <cell r="M894" t="str">
            <v/>
          </cell>
          <cell r="N894" t="str">
            <v/>
          </cell>
          <cell r="O894" t="str">
            <v/>
          </cell>
          <cell r="P894" t="str">
            <v/>
          </cell>
          <cell r="Q894" t="str">
            <v/>
          </cell>
          <cell r="R894" t="str">
            <v/>
          </cell>
          <cell r="S894" t="str">
            <v/>
          </cell>
        </row>
        <row r="895">
          <cell r="G895" t="str">
            <v/>
          </cell>
          <cell r="H895" t="str">
            <v/>
          </cell>
          <cell r="I895" t="str">
            <v/>
          </cell>
          <cell r="J895" t="str">
            <v/>
          </cell>
          <cell r="K895" t="str">
            <v/>
          </cell>
          <cell r="L895" t="str">
            <v/>
          </cell>
          <cell r="M895" t="str">
            <v/>
          </cell>
          <cell r="N895" t="str">
            <v/>
          </cell>
          <cell r="O895" t="str">
            <v/>
          </cell>
          <cell r="P895" t="str">
            <v/>
          </cell>
          <cell r="Q895" t="str">
            <v/>
          </cell>
          <cell r="R895" t="str">
            <v/>
          </cell>
          <cell r="S895" t="str">
            <v/>
          </cell>
        </row>
        <row r="896">
          <cell r="G896" t="str">
            <v/>
          </cell>
          <cell r="H896" t="str">
            <v/>
          </cell>
          <cell r="I896" t="str">
            <v/>
          </cell>
          <cell r="J896" t="str">
            <v/>
          </cell>
          <cell r="K896" t="str">
            <v/>
          </cell>
          <cell r="L896" t="str">
            <v/>
          </cell>
          <cell r="M896" t="str">
            <v/>
          </cell>
          <cell r="N896" t="str">
            <v/>
          </cell>
          <cell r="O896" t="str">
            <v/>
          </cell>
          <cell r="P896" t="str">
            <v/>
          </cell>
          <cell r="Q896" t="str">
            <v/>
          </cell>
          <cell r="R896" t="str">
            <v/>
          </cell>
          <cell r="S896" t="str">
            <v/>
          </cell>
        </row>
        <row r="897">
          <cell r="G897" t="str">
            <v/>
          </cell>
          <cell r="H897" t="str">
            <v/>
          </cell>
          <cell r="I897" t="str">
            <v/>
          </cell>
          <cell r="J897" t="str">
            <v/>
          </cell>
          <cell r="K897" t="str">
            <v/>
          </cell>
          <cell r="L897" t="str">
            <v/>
          </cell>
          <cell r="M897" t="str">
            <v/>
          </cell>
          <cell r="N897" t="str">
            <v/>
          </cell>
          <cell r="O897" t="str">
            <v/>
          </cell>
          <cell r="P897" t="str">
            <v/>
          </cell>
          <cell r="Q897" t="str">
            <v/>
          </cell>
          <cell r="R897" t="str">
            <v/>
          </cell>
          <cell r="S897" t="str">
            <v/>
          </cell>
        </row>
        <row r="898">
          <cell r="G898" t="str">
            <v/>
          </cell>
          <cell r="H898" t="str">
            <v/>
          </cell>
          <cell r="I898" t="str">
            <v/>
          </cell>
          <cell r="J898" t="str">
            <v/>
          </cell>
          <cell r="K898" t="str">
            <v/>
          </cell>
          <cell r="L898" t="str">
            <v/>
          </cell>
          <cell r="M898" t="str">
            <v/>
          </cell>
          <cell r="N898" t="str">
            <v/>
          </cell>
          <cell r="O898" t="str">
            <v/>
          </cell>
          <cell r="P898" t="str">
            <v/>
          </cell>
          <cell r="Q898" t="str">
            <v/>
          </cell>
          <cell r="R898" t="str">
            <v/>
          </cell>
          <cell r="S898" t="str">
            <v/>
          </cell>
        </row>
        <row r="899">
          <cell r="G899" t="str">
            <v/>
          </cell>
          <cell r="H899" t="str">
            <v/>
          </cell>
          <cell r="I899" t="str">
            <v/>
          </cell>
          <cell r="J899" t="str">
            <v/>
          </cell>
          <cell r="K899" t="str">
            <v/>
          </cell>
          <cell r="L899" t="str">
            <v/>
          </cell>
          <cell r="M899" t="str">
            <v/>
          </cell>
          <cell r="N899" t="str">
            <v/>
          </cell>
          <cell r="O899" t="str">
            <v/>
          </cell>
          <cell r="P899" t="str">
            <v/>
          </cell>
          <cell r="Q899" t="str">
            <v/>
          </cell>
          <cell r="R899" t="str">
            <v/>
          </cell>
          <cell r="S899" t="str">
            <v/>
          </cell>
        </row>
        <row r="900">
          <cell r="G900" t="str">
            <v/>
          </cell>
          <cell r="H900" t="str">
            <v/>
          </cell>
          <cell r="I900" t="str">
            <v/>
          </cell>
          <cell r="J900" t="str">
            <v/>
          </cell>
          <cell r="K900" t="str">
            <v/>
          </cell>
          <cell r="L900" t="str">
            <v/>
          </cell>
          <cell r="M900" t="str">
            <v/>
          </cell>
          <cell r="N900" t="str">
            <v/>
          </cell>
          <cell r="O900" t="str">
            <v/>
          </cell>
          <cell r="P900" t="str">
            <v/>
          </cell>
          <cell r="Q900" t="str">
            <v/>
          </cell>
          <cell r="R900" t="str">
            <v/>
          </cell>
          <cell r="S900" t="str">
            <v/>
          </cell>
        </row>
        <row r="901">
          <cell r="G901" t="str">
            <v/>
          </cell>
          <cell r="H901" t="str">
            <v/>
          </cell>
          <cell r="I901" t="str">
            <v/>
          </cell>
          <cell r="J901" t="str">
            <v/>
          </cell>
          <cell r="K901" t="str">
            <v/>
          </cell>
          <cell r="L901" t="str">
            <v/>
          </cell>
          <cell r="M901" t="str">
            <v/>
          </cell>
          <cell r="N901" t="str">
            <v/>
          </cell>
          <cell r="O901" t="str">
            <v/>
          </cell>
          <cell r="P901" t="str">
            <v/>
          </cell>
          <cell r="Q901" t="str">
            <v/>
          </cell>
          <cell r="R901" t="str">
            <v/>
          </cell>
          <cell r="S901" t="str">
            <v/>
          </cell>
        </row>
        <row r="902">
          <cell r="G902" t="str">
            <v/>
          </cell>
          <cell r="H902" t="str">
            <v/>
          </cell>
          <cell r="I902" t="str">
            <v/>
          </cell>
          <cell r="J902" t="str">
            <v/>
          </cell>
          <cell r="K902" t="str">
            <v/>
          </cell>
          <cell r="L902" t="str">
            <v/>
          </cell>
          <cell r="M902" t="str">
            <v/>
          </cell>
          <cell r="N902" t="str">
            <v/>
          </cell>
          <cell r="O902" t="str">
            <v/>
          </cell>
          <cell r="P902" t="str">
            <v/>
          </cell>
          <cell r="Q902" t="str">
            <v/>
          </cell>
          <cell r="R902" t="str">
            <v/>
          </cell>
          <cell r="S902" t="str">
            <v/>
          </cell>
        </row>
        <row r="903">
          <cell r="G903" t="str">
            <v/>
          </cell>
          <cell r="H903" t="str">
            <v/>
          </cell>
          <cell r="I903" t="str">
            <v/>
          </cell>
          <cell r="J903" t="str">
            <v/>
          </cell>
          <cell r="K903" t="str">
            <v/>
          </cell>
          <cell r="L903" t="str">
            <v/>
          </cell>
          <cell r="M903" t="str">
            <v/>
          </cell>
          <cell r="N903" t="str">
            <v/>
          </cell>
          <cell r="O903" t="str">
            <v/>
          </cell>
          <cell r="P903" t="str">
            <v/>
          </cell>
          <cell r="Q903" t="str">
            <v/>
          </cell>
          <cell r="R903" t="str">
            <v/>
          </cell>
          <cell r="S903" t="str">
            <v/>
          </cell>
        </row>
        <row r="904">
          <cell r="G904" t="str">
            <v/>
          </cell>
          <cell r="H904" t="str">
            <v/>
          </cell>
          <cell r="I904" t="str">
            <v/>
          </cell>
          <cell r="J904" t="str">
            <v/>
          </cell>
          <cell r="K904" t="str">
            <v/>
          </cell>
          <cell r="L904" t="str">
            <v/>
          </cell>
          <cell r="M904" t="str">
            <v/>
          </cell>
          <cell r="N904" t="str">
            <v/>
          </cell>
          <cell r="O904" t="str">
            <v/>
          </cell>
          <cell r="P904" t="str">
            <v/>
          </cell>
          <cell r="Q904" t="str">
            <v/>
          </cell>
          <cell r="R904" t="str">
            <v/>
          </cell>
          <cell r="S904" t="str">
            <v/>
          </cell>
        </row>
        <row r="905">
          <cell r="G905" t="str">
            <v/>
          </cell>
          <cell r="H905" t="str">
            <v/>
          </cell>
          <cell r="I905" t="str">
            <v/>
          </cell>
          <cell r="J905" t="str">
            <v/>
          </cell>
          <cell r="K905" t="str">
            <v/>
          </cell>
          <cell r="L905" t="str">
            <v/>
          </cell>
          <cell r="M905" t="str">
            <v/>
          </cell>
          <cell r="N905" t="str">
            <v/>
          </cell>
          <cell r="O905" t="str">
            <v/>
          </cell>
          <cell r="P905" t="str">
            <v/>
          </cell>
          <cell r="Q905" t="str">
            <v/>
          </cell>
          <cell r="R905" t="str">
            <v/>
          </cell>
          <cell r="S905" t="str">
            <v/>
          </cell>
        </row>
        <row r="906">
          <cell r="G906" t="str">
            <v/>
          </cell>
          <cell r="H906" t="str">
            <v/>
          </cell>
          <cell r="I906" t="str">
            <v/>
          </cell>
          <cell r="J906" t="str">
            <v/>
          </cell>
          <cell r="K906" t="str">
            <v/>
          </cell>
          <cell r="L906" t="str">
            <v/>
          </cell>
          <cell r="M906" t="str">
            <v/>
          </cell>
          <cell r="N906" t="str">
            <v/>
          </cell>
          <cell r="O906" t="str">
            <v/>
          </cell>
          <cell r="P906" t="str">
            <v/>
          </cell>
          <cell r="Q906" t="str">
            <v/>
          </cell>
          <cell r="R906" t="str">
            <v/>
          </cell>
          <cell r="S906" t="str">
            <v/>
          </cell>
        </row>
        <row r="907">
          <cell r="G907" t="str">
            <v/>
          </cell>
          <cell r="H907" t="str">
            <v/>
          </cell>
          <cell r="I907" t="str">
            <v/>
          </cell>
          <cell r="J907" t="str">
            <v/>
          </cell>
          <cell r="K907" t="str">
            <v/>
          </cell>
          <cell r="L907" t="str">
            <v/>
          </cell>
          <cell r="M907" t="str">
            <v/>
          </cell>
          <cell r="N907" t="str">
            <v/>
          </cell>
          <cell r="O907" t="str">
            <v/>
          </cell>
          <cell r="P907" t="str">
            <v/>
          </cell>
          <cell r="Q907" t="str">
            <v/>
          </cell>
          <cell r="R907" t="str">
            <v/>
          </cell>
          <cell r="S907" t="str">
            <v/>
          </cell>
        </row>
        <row r="908">
          <cell r="G908" t="str">
            <v/>
          </cell>
          <cell r="H908" t="str">
            <v/>
          </cell>
          <cell r="I908" t="str">
            <v/>
          </cell>
          <cell r="J908" t="str">
            <v/>
          </cell>
          <cell r="K908" t="str">
            <v/>
          </cell>
          <cell r="L908" t="str">
            <v/>
          </cell>
          <cell r="M908" t="str">
            <v/>
          </cell>
          <cell r="N908" t="str">
            <v/>
          </cell>
          <cell r="O908" t="str">
            <v/>
          </cell>
          <cell r="P908" t="str">
            <v/>
          </cell>
          <cell r="Q908" t="str">
            <v/>
          </cell>
          <cell r="R908" t="str">
            <v/>
          </cell>
          <cell r="S908" t="str">
            <v/>
          </cell>
        </row>
        <row r="909">
          <cell r="G909" t="str">
            <v/>
          </cell>
          <cell r="H909" t="str">
            <v/>
          </cell>
          <cell r="I909" t="str">
            <v/>
          </cell>
          <cell r="J909" t="str">
            <v/>
          </cell>
          <cell r="K909" t="str">
            <v/>
          </cell>
          <cell r="L909" t="str">
            <v/>
          </cell>
          <cell r="M909" t="str">
            <v/>
          </cell>
          <cell r="N909" t="str">
            <v/>
          </cell>
          <cell r="O909" t="str">
            <v/>
          </cell>
          <cell r="P909" t="str">
            <v/>
          </cell>
          <cell r="Q909" t="str">
            <v/>
          </cell>
          <cell r="R909" t="str">
            <v/>
          </cell>
          <cell r="S909" t="str">
            <v/>
          </cell>
        </row>
        <row r="910">
          <cell r="G910" t="str">
            <v/>
          </cell>
          <cell r="H910" t="str">
            <v/>
          </cell>
          <cell r="I910" t="str">
            <v/>
          </cell>
          <cell r="J910" t="str">
            <v/>
          </cell>
          <cell r="K910" t="str">
            <v/>
          </cell>
          <cell r="L910" t="str">
            <v/>
          </cell>
          <cell r="M910" t="str">
            <v/>
          </cell>
          <cell r="N910" t="str">
            <v/>
          </cell>
          <cell r="O910" t="str">
            <v/>
          </cell>
          <cell r="P910" t="str">
            <v/>
          </cell>
          <cell r="Q910" t="str">
            <v/>
          </cell>
          <cell r="R910" t="str">
            <v/>
          </cell>
          <cell r="S910" t="str">
            <v/>
          </cell>
        </row>
        <row r="911">
          <cell r="G911" t="str">
            <v/>
          </cell>
          <cell r="H911" t="str">
            <v/>
          </cell>
          <cell r="I911" t="str">
            <v/>
          </cell>
          <cell r="J911" t="str">
            <v/>
          </cell>
          <cell r="K911" t="str">
            <v/>
          </cell>
          <cell r="L911" t="str">
            <v/>
          </cell>
          <cell r="M911" t="str">
            <v/>
          </cell>
          <cell r="N911" t="str">
            <v/>
          </cell>
          <cell r="O911" t="str">
            <v/>
          </cell>
          <cell r="P911" t="str">
            <v/>
          </cell>
          <cell r="Q911" t="str">
            <v/>
          </cell>
          <cell r="R911" t="str">
            <v/>
          </cell>
          <cell r="S911" t="str">
            <v/>
          </cell>
        </row>
        <row r="912">
          <cell r="G912" t="str">
            <v/>
          </cell>
          <cell r="H912" t="str">
            <v/>
          </cell>
          <cell r="I912" t="str">
            <v/>
          </cell>
          <cell r="J912" t="str">
            <v/>
          </cell>
          <cell r="K912" t="str">
            <v/>
          </cell>
          <cell r="L912" t="str">
            <v/>
          </cell>
          <cell r="M912" t="str">
            <v/>
          </cell>
          <cell r="N912" t="str">
            <v/>
          </cell>
          <cell r="O912" t="str">
            <v/>
          </cell>
          <cell r="P912" t="str">
            <v/>
          </cell>
          <cell r="Q912" t="str">
            <v/>
          </cell>
          <cell r="R912" t="str">
            <v/>
          </cell>
          <cell r="S912" t="str">
            <v/>
          </cell>
        </row>
        <row r="913">
          <cell r="G913" t="str">
            <v/>
          </cell>
          <cell r="H913" t="str">
            <v/>
          </cell>
          <cell r="I913" t="str">
            <v/>
          </cell>
          <cell r="J913" t="str">
            <v/>
          </cell>
          <cell r="K913" t="str">
            <v/>
          </cell>
          <cell r="L913" t="str">
            <v/>
          </cell>
          <cell r="M913" t="str">
            <v/>
          </cell>
          <cell r="N913" t="str">
            <v/>
          </cell>
          <cell r="O913" t="str">
            <v/>
          </cell>
          <cell r="P913" t="str">
            <v/>
          </cell>
          <cell r="Q913" t="str">
            <v/>
          </cell>
          <cell r="R913" t="str">
            <v/>
          </cell>
          <cell r="S913" t="str">
            <v/>
          </cell>
        </row>
        <row r="914">
          <cell r="G914" t="str">
            <v/>
          </cell>
          <cell r="H914" t="str">
            <v/>
          </cell>
          <cell r="I914" t="str">
            <v/>
          </cell>
          <cell r="J914" t="str">
            <v/>
          </cell>
          <cell r="K914" t="str">
            <v/>
          </cell>
          <cell r="L914" t="str">
            <v/>
          </cell>
          <cell r="M914" t="str">
            <v/>
          </cell>
          <cell r="N914" t="str">
            <v/>
          </cell>
          <cell r="O914" t="str">
            <v/>
          </cell>
          <cell r="P914" t="str">
            <v/>
          </cell>
          <cell r="Q914" t="str">
            <v/>
          </cell>
          <cell r="R914" t="str">
            <v/>
          </cell>
          <cell r="S914" t="str">
            <v/>
          </cell>
        </row>
        <row r="915">
          <cell r="G915" t="str">
            <v/>
          </cell>
          <cell r="H915" t="str">
            <v/>
          </cell>
          <cell r="I915" t="str">
            <v/>
          </cell>
          <cell r="J915" t="str">
            <v/>
          </cell>
          <cell r="K915" t="str">
            <v/>
          </cell>
          <cell r="L915" t="str">
            <v/>
          </cell>
          <cell r="M915" t="str">
            <v/>
          </cell>
          <cell r="N915" t="str">
            <v/>
          </cell>
          <cell r="O915" t="str">
            <v/>
          </cell>
          <cell r="P915" t="str">
            <v/>
          </cell>
          <cell r="Q915" t="str">
            <v/>
          </cell>
          <cell r="R915" t="str">
            <v/>
          </cell>
          <cell r="S915" t="str">
            <v/>
          </cell>
        </row>
        <row r="916">
          <cell r="G916" t="str">
            <v/>
          </cell>
          <cell r="H916" t="str">
            <v/>
          </cell>
          <cell r="I916" t="str">
            <v/>
          </cell>
          <cell r="J916" t="str">
            <v/>
          </cell>
          <cell r="K916" t="str">
            <v/>
          </cell>
          <cell r="L916" t="str">
            <v/>
          </cell>
          <cell r="M916" t="str">
            <v/>
          </cell>
          <cell r="N916" t="str">
            <v/>
          </cell>
          <cell r="O916" t="str">
            <v/>
          </cell>
          <cell r="P916" t="str">
            <v/>
          </cell>
          <cell r="Q916" t="str">
            <v/>
          </cell>
          <cell r="R916" t="str">
            <v/>
          </cell>
          <cell r="S916" t="str">
            <v/>
          </cell>
        </row>
        <row r="917">
          <cell r="G917" t="str">
            <v/>
          </cell>
          <cell r="H917" t="str">
            <v/>
          </cell>
          <cell r="I917" t="str">
            <v/>
          </cell>
          <cell r="J917" t="str">
            <v/>
          </cell>
          <cell r="K917" t="str">
            <v/>
          </cell>
          <cell r="L917" t="str">
            <v/>
          </cell>
          <cell r="M917" t="str">
            <v/>
          </cell>
          <cell r="N917" t="str">
            <v/>
          </cell>
          <cell r="O917" t="str">
            <v/>
          </cell>
          <cell r="P917" t="str">
            <v/>
          </cell>
          <cell r="Q917" t="str">
            <v/>
          </cell>
          <cell r="R917" t="str">
            <v/>
          </cell>
          <cell r="S917" t="str">
            <v/>
          </cell>
        </row>
        <row r="918">
          <cell r="G918" t="str">
            <v/>
          </cell>
          <cell r="H918" t="str">
            <v/>
          </cell>
          <cell r="I918" t="str">
            <v/>
          </cell>
          <cell r="J918" t="str">
            <v/>
          </cell>
          <cell r="K918" t="str">
            <v/>
          </cell>
          <cell r="L918" t="str">
            <v/>
          </cell>
          <cell r="M918" t="str">
            <v/>
          </cell>
          <cell r="N918" t="str">
            <v/>
          </cell>
          <cell r="O918" t="str">
            <v/>
          </cell>
          <cell r="P918" t="str">
            <v/>
          </cell>
          <cell r="Q918" t="str">
            <v/>
          </cell>
          <cell r="R918" t="str">
            <v/>
          </cell>
          <cell r="S918" t="str">
            <v/>
          </cell>
        </row>
        <row r="919">
          <cell r="G919" t="str">
            <v/>
          </cell>
          <cell r="H919" t="str">
            <v/>
          </cell>
          <cell r="I919" t="str">
            <v/>
          </cell>
          <cell r="J919" t="str">
            <v/>
          </cell>
          <cell r="K919" t="str">
            <v/>
          </cell>
          <cell r="L919" t="str">
            <v/>
          </cell>
          <cell r="M919" t="str">
            <v/>
          </cell>
          <cell r="N919" t="str">
            <v/>
          </cell>
          <cell r="O919" t="str">
            <v/>
          </cell>
          <cell r="P919" t="str">
            <v/>
          </cell>
          <cell r="Q919" t="str">
            <v/>
          </cell>
          <cell r="R919" t="str">
            <v/>
          </cell>
          <cell r="S919" t="str">
            <v/>
          </cell>
        </row>
        <row r="920">
          <cell r="G920" t="str">
            <v/>
          </cell>
          <cell r="H920" t="str">
            <v/>
          </cell>
          <cell r="I920" t="str">
            <v/>
          </cell>
          <cell r="J920" t="str">
            <v/>
          </cell>
          <cell r="K920" t="str">
            <v/>
          </cell>
          <cell r="L920" t="str">
            <v/>
          </cell>
          <cell r="M920" t="str">
            <v/>
          </cell>
          <cell r="N920" t="str">
            <v/>
          </cell>
          <cell r="O920" t="str">
            <v/>
          </cell>
          <cell r="P920" t="str">
            <v/>
          </cell>
          <cell r="Q920" t="str">
            <v/>
          </cell>
          <cell r="R920" t="str">
            <v/>
          </cell>
          <cell r="S920" t="str">
            <v/>
          </cell>
        </row>
        <row r="921">
          <cell r="G921" t="str">
            <v/>
          </cell>
          <cell r="H921" t="str">
            <v/>
          </cell>
          <cell r="I921" t="str">
            <v/>
          </cell>
          <cell r="J921" t="str">
            <v/>
          </cell>
          <cell r="K921" t="str">
            <v/>
          </cell>
          <cell r="L921" t="str">
            <v/>
          </cell>
          <cell r="M921" t="str">
            <v/>
          </cell>
          <cell r="N921" t="str">
            <v/>
          </cell>
          <cell r="O921" t="str">
            <v/>
          </cell>
          <cell r="P921" t="str">
            <v/>
          </cell>
          <cell r="Q921" t="str">
            <v/>
          </cell>
          <cell r="R921" t="str">
            <v/>
          </cell>
          <cell r="S921" t="str">
            <v/>
          </cell>
        </row>
        <row r="922">
          <cell r="G922" t="str">
            <v/>
          </cell>
          <cell r="H922" t="str">
            <v/>
          </cell>
          <cell r="I922" t="str">
            <v/>
          </cell>
          <cell r="J922" t="str">
            <v/>
          </cell>
          <cell r="K922" t="str">
            <v/>
          </cell>
          <cell r="L922" t="str">
            <v/>
          </cell>
          <cell r="M922" t="str">
            <v/>
          </cell>
          <cell r="N922" t="str">
            <v/>
          </cell>
          <cell r="O922" t="str">
            <v/>
          </cell>
          <cell r="P922" t="str">
            <v/>
          </cell>
          <cell r="Q922" t="str">
            <v/>
          </cell>
          <cell r="R922" t="str">
            <v/>
          </cell>
          <cell r="S922" t="str">
            <v/>
          </cell>
        </row>
        <row r="923">
          <cell r="G923" t="str">
            <v/>
          </cell>
          <cell r="H923" t="str">
            <v/>
          </cell>
          <cell r="I923" t="str">
            <v/>
          </cell>
          <cell r="J923" t="str">
            <v/>
          </cell>
          <cell r="K923" t="str">
            <v/>
          </cell>
          <cell r="L923" t="str">
            <v/>
          </cell>
          <cell r="M923" t="str">
            <v/>
          </cell>
          <cell r="N923" t="str">
            <v/>
          </cell>
          <cell r="O923" t="str">
            <v/>
          </cell>
          <cell r="P923" t="str">
            <v/>
          </cell>
          <cell r="Q923" t="str">
            <v/>
          </cell>
          <cell r="R923" t="str">
            <v/>
          </cell>
          <cell r="S923" t="str">
            <v/>
          </cell>
        </row>
        <row r="924">
          <cell r="G924" t="str">
            <v/>
          </cell>
          <cell r="H924" t="str">
            <v/>
          </cell>
          <cell r="I924" t="str">
            <v/>
          </cell>
          <cell r="J924" t="str">
            <v/>
          </cell>
          <cell r="K924" t="str">
            <v/>
          </cell>
          <cell r="L924" t="str">
            <v/>
          </cell>
          <cell r="M924" t="str">
            <v/>
          </cell>
          <cell r="N924" t="str">
            <v/>
          </cell>
          <cell r="O924" t="str">
            <v/>
          </cell>
          <cell r="P924" t="str">
            <v/>
          </cell>
          <cell r="Q924" t="str">
            <v/>
          </cell>
          <cell r="R924" t="str">
            <v/>
          </cell>
          <cell r="S924" t="str">
            <v/>
          </cell>
        </row>
        <row r="925">
          <cell r="G925" t="str">
            <v/>
          </cell>
          <cell r="H925" t="str">
            <v/>
          </cell>
          <cell r="I925" t="str">
            <v/>
          </cell>
          <cell r="J925" t="str">
            <v/>
          </cell>
          <cell r="K925" t="str">
            <v/>
          </cell>
          <cell r="L925" t="str">
            <v/>
          </cell>
          <cell r="M925" t="str">
            <v/>
          </cell>
          <cell r="N925" t="str">
            <v/>
          </cell>
          <cell r="O925" t="str">
            <v/>
          </cell>
          <cell r="P925" t="str">
            <v/>
          </cell>
          <cell r="Q925" t="str">
            <v/>
          </cell>
          <cell r="R925" t="str">
            <v/>
          </cell>
          <cell r="S925" t="str">
            <v/>
          </cell>
        </row>
        <row r="926">
          <cell r="G926" t="str">
            <v/>
          </cell>
          <cell r="H926" t="str">
            <v/>
          </cell>
          <cell r="I926" t="str">
            <v/>
          </cell>
          <cell r="J926" t="str">
            <v/>
          </cell>
          <cell r="K926" t="str">
            <v/>
          </cell>
          <cell r="L926" t="str">
            <v/>
          </cell>
          <cell r="M926" t="str">
            <v/>
          </cell>
          <cell r="N926" t="str">
            <v/>
          </cell>
          <cell r="O926" t="str">
            <v/>
          </cell>
          <cell r="P926" t="str">
            <v/>
          </cell>
          <cell r="Q926" t="str">
            <v/>
          </cell>
          <cell r="R926" t="str">
            <v/>
          </cell>
          <cell r="S926" t="str">
            <v/>
          </cell>
        </row>
        <row r="927">
          <cell r="G927" t="str">
            <v/>
          </cell>
          <cell r="H927" t="str">
            <v/>
          </cell>
          <cell r="I927" t="str">
            <v/>
          </cell>
          <cell r="J927" t="str">
            <v/>
          </cell>
          <cell r="K927" t="str">
            <v/>
          </cell>
          <cell r="L927" t="str">
            <v/>
          </cell>
          <cell r="M927" t="str">
            <v/>
          </cell>
          <cell r="N927" t="str">
            <v/>
          </cell>
          <cell r="O927" t="str">
            <v/>
          </cell>
          <cell r="P927" t="str">
            <v/>
          </cell>
          <cell r="Q927" t="str">
            <v/>
          </cell>
          <cell r="R927" t="str">
            <v/>
          </cell>
          <cell r="S927" t="str">
            <v/>
          </cell>
        </row>
        <row r="928">
          <cell r="G928" t="str">
            <v/>
          </cell>
          <cell r="H928" t="str">
            <v/>
          </cell>
          <cell r="I928" t="str">
            <v/>
          </cell>
          <cell r="J928" t="str">
            <v/>
          </cell>
          <cell r="K928" t="str">
            <v/>
          </cell>
          <cell r="L928" t="str">
            <v/>
          </cell>
          <cell r="M928" t="str">
            <v/>
          </cell>
          <cell r="N928" t="str">
            <v/>
          </cell>
          <cell r="O928" t="str">
            <v/>
          </cell>
          <cell r="P928" t="str">
            <v/>
          </cell>
          <cell r="Q928" t="str">
            <v/>
          </cell>
          <cell r="R928" t="str">
            <v/>
          </cell>
          <cell r="S928" t="str">
            <v/>
          </cell>
        </row>
        <row r="929">
          <cell r="G929" t="str">
            <v/>
          </cell>
          <cell r="H929" t="str">
            <v/>
          </cell>
          <cell r="I929" t="str">
            <v/>
          </cell>
          <cell r="J929" t="str">
            <v/>
          </cell>
          <cell r="K929" t="str">
            <v/>
          </cell>
          <cell r="L929" t="str">
            <v/>
          </cell>
          <cell r="M929" t="str">
            <v/>
          </cell>
          <cell r="N929" t="str">
            <v/>
          </cell>
          <cell r="O929" t="str">
            <v/>
          </cell>
          <cell r="P929" t="str">
            <v/>
          </cell>
          <cell r="Q929" t="str">
            <v/>
          </cell>
          <cell r="R929" t="str">
            <v/>
          </cell>
          <cell r="S929" t="str">
            <v/>
          </cell>
        </row>
        <row r="930">
          <cell r="G930" t="str">
            <v/>
          </cell>
          <cell r="H930" t="str">
            <v/>
          </cell>
          <cell r="I930" t="str">
            <v/>
          </cell>
          <cell r="J930" t="str">
            <v/>
          </cell>
          <cell r="K930" t="str">
            <v/>
          </cell>
          <cell r="L930" t="str">
            <v/>
          </cell>
          <cell r="M930" t="str">
            <v/>
          </cell>
          <cell r="N930" t="str">
            <v/>
          </cell>
          <cell r="O930" t="str">
            <v/>
          </cell>
          <cell r="P930" t="str">
            <v/>
          </cell>
          <cell r="Q930" t="str">
            <v/>
          </cell>
          <cell r="R930" t="str">
            <v/>
          </cell>
          <cell r="S930" t="str">
            <v/>
          </cell>
        </row>
        <row r="931">
          <cell r="G931" t="str">
            <v/>
          </cell>
          <cell r="H931" t="str">
            <v/>
          </cell>
          <cell r="I931" t="str">
            <v/>
          </cell>
          <cell r="J931" t="str">
            <v/>
          </cell>
          <cell r="K931" t="str">
            <v/>
          </cell>
          <cell r="L931" t="str">
            <v/>
          </cell>
          <cell r="M931" t="str">
            <v/>
          </cell>
          <cell r="N931" t="str">
            <v/>
          </cell>
          <cell r="O931" t="str">
            <v/>
          </cell>
          <cell r="P931" t="str">
            <v/>
          </cell>
          <cell r="Q931" t="str">
            <v/>
          </cell>
          <cell r="R931" t="str">
            <v/>
          </cell>
          <cell r="S931" t="str">
            <v/>
          </cell>
        </row>
        <row r="932">
          <cell r="G932" t="str">
            <v/>
          </cell>
          <cell r="H932" t="str">
            <v/>
          </cell>
          <cell r="I932" t="str">
            <v/>
          </cell>
          <cell r="J932" t="str">
            <v/>
          </cell>
          <cell r="K932" t="str">
            <v/>
          </cell>
          <cell r="L932" t="str">
            <v/>
          </cell>
          <cell r="M932" t="str">
            <v/>
          </cell>
          <cell r="N932" t="str">
            <v/>
          </cell>
          <cell r="O932" t="str">
            <v/>
          </cell>
          <cell r="P932" t="str">
            <v/>
          </cell>
          <cell r="Q932" t="str">
            <v/>
          </cell>
          <cell r="R932" t="str">
            <v/>
          </cell>
          <cell r="S932" t="str">
            <v/>
          </cell>
        </row>
        <row r="933">
          <cell r="G933" t="str">
            <v/>
          </cell>
          <cell r="H933" t="str">
            <v/>
          </cell>
          <cell r="I933" t="str">
            <v/>
          </cell>
          <cell r="J933" t="str">
            <v/>
          </cell>
          <cell r="K933" t="str">
            <v/>
          </cell>
          <cell r="L933" t="str">
            <v/>
          </cell>
          <cell r="M933" t="str">
            <v/>
          </cell>
          <cell r="N933" t="str">
            <v/>
          </cell>
          <cell r="O933" t="str">
            <v/>
          </cell>
          <cell r="P933" t="str">
            <v/>
          </cell>
          <cell r="Q933" t="str">
            <v/>
          </cell>
          <cell r="R933" t="str">
            <v/>
          </cell>
          <cell r="S933" t="str">
            <v/>
          </cell>
        </row>
        <row r="934">
          <cell r="G934" t="str">
            <v/>
          </cell>
          <cell r="H934" t="str">
            <v/>
          </cell>
          <cell r="I934" t="str">
            <v/>
          </cell>
          <cell r="J934" t="str">
            <v/>
          </cell>
          <cell r="K934" t="str">
            <v/>
          </cell>
          <cell r="L934" t="str">
            <v/>
          </cell>
          <cell r="M934" t="str">
            <v/>
          </cell>
          <cell r="N934" t="str">
            <v/>
          </cell>
          <cell r="O934" t="str">
            <v/>
          </cell>
          <cell r="P934" t="str">
            <v/>
          </cell>
          <cell r="Q934" t="str">
            <v/>
          </cell>
          <cell r="R934" t="str">
            <v/>
          </cell>
          <cell r="S934" t="str">
            <v/>
          </cell>
        </row>
        <row r="935">
          <cell r="G935" t="str">
            <v/>
          </cell>
          <cell r="H935" t="str">
            <v/>
          </cell>
          <cell r="I935" t="str">
            <v/>
          </cell>
          <cell r="J935" t="str">
            <v/>
          </cell>
          <cell r="K935" t="str">
            <v/>
          </cell>
          <cell r="L935" t="str">
            <v/>
          </cell>
          <cell r="M935" t="str">
            <v/>
          </cell>
          <cell r="N935" t="str">
            <v/>
          </cell>
          <cell r="O935" t="str">
            <v/>
          </cell>
          <cell r="P935" t="str">
            <v/>
          </cell>
          <cell r="Q935" t="str">
            <v/>
          </cell>
          <cell r="R935" t="str">
            <v/>
          </cell>
          <cell r="S935" t="str">
            <v/>
          </cell>
        </row>
        <row r="936">
          <cell r="G936" t="str">
            <v/>
          </cell>
          <cell r="H936" t="str">
            <v/>
          </cell>
          <cell r="I936" t="str">
            <v/>
          </cell>
          <cell r="J936" t="str">
            <v/>
          </cell>
          <cell r="K936" t="str">
            <v/>
          </cell>
          <cell r="L936" t="str">
            <v/>
          </cell>
          <cell r="M936" t="str">
            <v/>
          </cell>
          <cell r="N936" t="str">
            <v/>
          </cell>
          <cell r="O936" t="str">
            <v/>
          </cell>
          <cell r="P936" t="str">
            <v/>
          </cell>
          <cell r="Q936" t="str">
            <v/>
          </cell>
          <cell r="R936" t="str">
            <v/>
          </cell>
          <cell r="S936" t="str">
            <v/>
          </cell>
        </row>
        <row r="937">
          <cell r="G937" t="str">
            <v/>
          </cell>
          <cell r="H937" t="str">
            <v/>
          </cell>
          <cell r="I937" t="str">
            <v/>
          </cell>
          <cell r="J937" t="str">
            <v/>
          </cell>
          <cell r="K937" t="str">
            <v/>
          </cell>
          <cell r="L937" t="str">
            <v/>
          </cell>
          <cell r="M937" t="str">
            <v/>
          </cell>
          <cell r="N937" t="str">
            <v/>
          </cell>
          <cell r="O937" t="str">
            <v/>
          </cell>
          <cell r="P937" t="str">
            <v/>
          </cell>
          <cell r="Q937" t="str">
            <v/>
          </cell>
          <cell r="R937" t="str">
            <v/>
          </cell>
          <cell r="S937" t="str">
            <v/>
          </cell>
        </row>
        <row r="938">
          <cell r="G938" t="str">
            <v/>
          </cell>
          <cell r="H938" t="str">
            <v/>
          </cell>
          <cell r="I938" t="str">
            <v/>
          </cell>
          <cell r="J938" t="str">
            <v/>
          </cell>
          <cell r="K938" t="str">
            <v/>
          </cell>
          <cell r="L938" t="str">
            <v/>
          </cell>
          <cell r="M938" t="str">
            <v/>
          </cell>
          <cell r="N938" t="str">
            <v/>
          </cell>
          <cell r="O938" t="str">
            <v/>
          </cell>
          <cell r="P938" t="str">
            <v/>
          </cell>
          <cell r="Q938" t="str">
            <v/>
          </cell>
          <cell r="R938" t="str">
            <v/>
          </cell>
          <cell r="S938" t="str">
            <v/>
          </cell>
        </row>
        <row r="939">
          <cell r="G939" t="str">
            <v/>
          </cell>
          <cell r="H939" t="str">
            <v/>
          </cell>
          <cell r="I939" t="str">
            <v/>
          </cell>
          <cell r="J939" t="str">
            <v/>
          </cell>
          <cell r="K939" t="str">
            <v/>
          </cell>
          <cell r="L939" t="str">
            <v/>
          </cell>
          <cell r="M939" t="str">
            <v/>
          </cell>
          <cell r="N939" t="str">
            <v/>
          </cell>
          <cell r="O939" t="str">
            <v/>
          </cell>
          <cell r="P939" t="str">
            <v/>
          </cell>
          <cell r="Q939" t="str">
            <v/>
          </cell>
          <cell r="R939" t="str">
            <v/>
          </cell>
          <cell r="S939" t="str">
            <v/>
          </cell>
        </row>
        <row r="940">
          <cell r="G940" t="str">
            <v/>
          </cell>
          <cell r="H940" t="str">
            <v/>
          </cell>
          <cell r="I940" t="str">
            <v/>
          </cell>
          <cell r="J940" t="str">
            <v/>
          </cell>
          <cell r="K940" t="str">
            <v/>
          </cell>
          <cell r="L940" t="str">
            <v/>
          </cell>
          <cell r="M940" t="str">
            <v/>
          </cell>
          <cell r="N940" t="str">
            <v/>
          </cell>
          <cell r="O940" t="str">
            <v/>
          </cell>
          <cell r="P940" t="str">
            <v/>
          </cell>
          <cell r="Q940" t="str">
            <v/>
          </cell>
          <cell r="R940" t="str">
            <v/>
          </cell>
          <cell r="S940" t="str">
            <v/>
          </cell>
        </row>
        <row r="941">
          <cell r="G941" t="str">
            <v/>
          </cell>
          <cell r="H941" t="str">
            <v/>
          </cell>
          <cell r="I941" t="str">
            <v/>
          </cell>
          <cell r="J941" t="str">
            <v/>
          </cell>
          <cell r="K941" t="str">
            <v/>
          </cell>
          <cell r="L941" t="str">
            <v/>
          </cell>
          <cell r="M941" t="str">
            <v/>
          </cell>
          <cell r="N941" t="str">
            <v/>
          </cell>
          <cell r="O941" t="str">
            <v/>
          </cell>
          <cell r="P941" t="str">
            <v/>
          </cell>
          <cell r="Q941" t="str">
            <v/>
          </cell>
          <cell r="R941" t="str">
            <v/>
          </cell>
          <cell r="S941" t="str">
            <v/>
          </cell>
        </row>
        <row r="942">
          <cell r="G942" t="str">
            <v/>
          </cell>
          <cell r="H942" t="str">
            <v/>
          </cell>
          <cell r="I942" t="str">
            <v/>
          </cell>
          <cell r="J942" t="str">
            <v/>
          </cell>
          <cell r="K942" t="str">
            <v/>
          </cell>
          <cell r="L942" t="str">
            <v/>
          </cell>
          <cell r="M942" t="str">
            <v/>
          </cell>
          <cell r="N942" t="str">
            <v/>
          </cell>
          <cell r="O942" t="str">
            <v/>
          </cell>
          <cell r="P942" t="str">
            <v/>
          </cell>
          <cell r="Q942" t="str">
            <v/>
          </cell>
          <cell r="R942" t="str">
            <v/>
          </cell>
          <cell r="S942" t="str">
            <v/>
          </cell>
        </row>
        <row r="943">
          <cell r="G943" t="str">
            <v/>
          </cell>
          <cell r="H943" t="str">
            <v/>
          </cell>
          <cell r="I943" t="str">
            <v/>
          </cell>
          <cell r="J943" t="str">
            <v/>
          </cell>
          <cell r="K943" t="str">
            <v/>
          </cell>
          <cell r="L943" t="str">
            <v/>
          </cell>
          <cell r="M943" t="str">
            <v/>
          </cell>
          <cell r="N943" t="str">
            <v/>
          </cell>
          <cell r="O943" t="str">
            <v/>
          </cell>
          <cell r="P943" t="str">
            <v/>
          </cell>
          <cell r="Q943" t="str">
            <v/>
          </cell>
          <cell r="R943" t="str">
            <v/>
          </cell>
          <cell r="S943" t="str">
            <v/>
          </cell>
        </row>
        <row r="944">
          <cell r="G944" t="str">
            <v/>
          </cell>
          <cell r="H944" t="str">
            <v/>
          </cell>
          <cell r="I944" t="str">
            <v/>
          </cell>
          <cell r="J944" t="str">
            <v/>
          </cell>
          <cell r="K944" t="str">
            <v/>
          </cell>
          <cell r="L944" t="str">
            <v/>
          </cell>
          <cell r="M944" t="str">
            <v/>
          </cell>
          <cell r="N944" t="str">
            <v/>
          </cell>
          <cell r="O944" t="str">
            <v/>
          </cell>
          <cell r="P944" t="str">
            <v/>
          </cell>
          <cell r="Q944" t="str">
            <v/>
          </cell>
          <cell r="R944" t="str">
            <v/>
          </cell>
          <cell r="S944" t="str">
            <v/>
          </cell>
        </row>
        <row r="945">
          <cell r="G945" t="str">
            <v/>
          </cell>
          <cell r="H945" t="str">
            <v/>
          </cell>
          <cell r="I945" t="str">
            <v/>
          </cell>
          <cell r="J945" t="str">
            <v/>
          </cell>
          <cell r="K945" t="str">
            <v/>
          </cell>
          <cell r="L945" t="str">
            <v/>
          </cell>
          <cell r="M945" t="str">
            <v/>
          </cell>
          <cell r="N945" t="str">
            <v/>
          </cell>
          <cell r="O945" t="str">
            <v/>
          </cell>
          <cell r="P945" t="str">
            <v/>
          </cell>
          <cell r="Q945" t="str">
            <v/>
          </cell>
          <cell r="R945" t="str">
            <v/>
          </cell>
          <cell r="S945" t="str">
            <v/>
          </cell>
        </row>
        <row r="946">
          <cell r="G946" t="str">
            <v/>
          </cell>
          <cell r="H946" t="str">
            <v/>
          </cell>
          <cell r="I946" t="str">
            <v/>
          </cell>
          <cell r="J946" t="str">
            <v/>
          </cell>
          <cell r="K946" t="str">
            <v/>
          </cell>
          <cell r="L946" t="str">
            <v/>
          </cell>
          <cell r="M946" t="str">
            <v/>
          </cell>
          <cell r="N946" t="str">
            <v/>
          </cell>
          <cell r="O946" t="str">
            <v/>
          </cell>
          <cell r="P946" t="str">
            <v/>
          </cell>
          <cell r="Q946" t="str">
            <v/>
          </cell>
          <cell r="R946" t="str">
            <v/>
          </cell>
          <cell r="S946" t="str">
            <v/>
          </cell>
        </row>
        <row r="947">
          <cell r="G947" t="str">
            <v/>
          </cell>
          <cell r="H947" t="str">
            <v/>
          </cell>
          <cell r="I947" t="str">
            <v/>
          </cell>
          <cell r="J947" t="str">
            <v/>
          </cell>
          <cell r="K947" t="str">
            <v/>
          </cell>
          <cell r="L947" t="str">
            <v/>
          </cell>
          <cell r="M947" t="str">
            <v/>
          </cell>
          <cell r="N947" t="str">
            <v/>
          </cell>
          <cell r="O947" t="str">
            <v/>
          </cell>
          <cell r="P947" t="str">
            <v/>
          </cell>
          <cell r="Q947" t="str">
            <v/>
          </cell>
          <cell r="R947" t="str">
            <v/>
          </cell>
          <cell r="S947" t="str">
            <v/>
          </cell>
        </row>
        <row r="948">
          <cell r="G948" t="str">
            <v/>
          </cell>
          <cell r="H948" t="str">
            <v/>
          </cell>
          <cell r="I948" t="str">
            <v/>
          </cell>
          <cell r="J948" t="str">
            <v/>
          </cell>
          <cell r="K948" t="str">
            <v/>
          </cell>
          <cell r="L948" t="str">
            <v/>
          </cell>
          <cell r="M948" t="str">
            <v/>
          </cell>
          <cell r="N948" t="str">
            <v/>
          </cell>
          <cell r="O948" t="str">
            <v/>
          </cell>
          <cell r="P948" t="str">
            <v/>
          </cell>
          <cell r="Q948" t="str">
            <v/>
          </cell>
          <cell r="R948" t="str">
            <v/>
          </cell>
          <cell r="S948" t="str">
            <v/>
          </cell>
        </row>
        <row r="949">
          <cell r="G949" t="str">
            <v/>
          </cell>
          <cell r="H949" t="str">
            <v/>
          </cell>
          <cell r="I949" t="str">
            <v/>
          </cell>
          <cell r="J949" t="str">
            <v/>
          </cell>
          <cell r="K949" t="str">
            <v/>
          </cell>
          <cell r="L949" t="str">
            <v/>
          </cell>
          <cell r="M949" t="str">
            <v/>
          </cell>
          <cell r="N949" t="str">
            <v/>
          </cell>
          <cell r="O949" t="str">
            <v/>
          </cell>
          <cell r="P949" t="str">
            <v/>
          </cell>
          <cell r="Q949" t="str">
            <v/>
          </cell>
          <cell r="R949" t="str">
            <v/>
          </cell>
          <cell r="S949" t="str">
            <v/>
          </cell>
        </row>
        <row r="950">
          <cell r="G950" t="str">
            <v/>
          </cell>
          <cell r="H950" t="str">
            <v/>
          </cell>
          <cell r="I950" t="str">
            <v/>
          </cell>
          <cell r="J950" t="str">
            <v/>
          </cell>
          <cell r="K950" t="str">
            <v/>
          </cell>
          <cell r="L950" t="str">
            <v/>
          </cell>
          <cell r="M950" t="str">
            <v/>
          </cell>
          <cell r="N950" t="str">
            <v/>
          </cell>
          <cell r="O950" t="str">
            <v/>
          </cell>
          <cell r="P950" t="str">
            <v/>
          </cell>
          <cell r="Q950" t="str">
            <v/>
          </cell>
          <cell r="R950" t="str">
            <v/>
          </cell>
          <cell r="S950" t="str">
            <v/>
          </cell>
        </row>
        <row r="951">
          <cell r="G951" t="str">
            <v/>
          </cell>
          <cell r="H951" t="str">
            <v/>
          </cell>
          <cell r="I951" t="str">
            <v/>
          </cell>
          <cell r="J951" t="str">
            <v/>
          </cell>
          <cell r="K951" t="str">
            <v/>
          </cell>
          <cell r="L951" t="str">
            <v/>
          </cell>
          <cell r="M951" t="str">
            <v/>
          </cell>
          <cell r="N951" t="str">
            <v/>
          </cell>
          <cell r="O951" t="str">
            <v/>
          </cell>
          <cell r="P951" t="str">
            <v/>
          </cell>
          <cell r="Q951" t="str">
            <v/>
          </cell>
          <cell r="R951" t="str">
            <v/>
          </cell>
          <cell r="S951" t="str">
            <v/>
          </cell>
        </row>
        <row r="952">
          <cell r="G952" t="str">
            <v/>
          </cell>
          <cell r="H952" t="str">
            <v/>
          </cell>
          <cell r="I952" t="str">
            <v/>
          </cell>
          <cell r="J952" t="str">
            <v/>
          </cell>
          <cell r="K952" t="str">
            <v/>
          </cell>
          <cell r="L952" t="str">
            <v/>
          </cell>
          <cell r="M952" t="str">
            <v/>
          </cell>
          <cell r="N952" t="str">
            <v/>
          </cell>
          <cell r="O952" t="str">
            <v/>
          </cell>
          <cell r="P952" t="str">
            <v/>
          </cell>
          <cell r="Q952" t="str">
            <v/>
          </cell>
          <cell r="R952" t="str">
            <v/>
          </cell>
          <cell r="S952" t="str">
            <v/>
          </cell>
        </row>
        <row r="953">
          <cell r="G953" t="str">
            <v/>
          </cell>
          <cell r="H953" t="str">
            <v/>
          </cell>
          <cell r="I953" t="str">
            <v/>
          </cell>
          <cell r="J953" t="str">
            <v/>
          </cell>
          <cell r="K953" t="str">
            <v/>
          </cell>
          <cell r="L953" t="str">
            <v/>
          </cell>
          <cell r="M953" t="str">
            <v/>
          </cell>
          <cell r="N953" t="str">
            <v/>
          </cell>
          <cell r="O953" t="str">
            <v/>
          </cell>
          <cell r="P953" t="str">
            <v/>
          </cell>
          <cell r="Q953" t="str">
            <v/>
          </cell>
          <cell r="R953" t="str">
            <v/>
          </cell>
          <cell r="S953" t="str">
            <v/>
          </cell>
        </row>
        <row r="954">
          <cell r="G954" t="str">
            <v/>
          </cell>
          <cell r="H954" t="str">
            <v/>
          </cell>
          <cell r="I954" t="str">
            <v/>
          </cell>
          <cell r="J954" t="str">
            <v/>
          </cell>
          <cell r="K954" t="str">
            <v/>
          </cell>
          <cell r="L954" t="str">
            <v/>
          </cell>
          <cell r="M954" t="str">
            <v/>
          </cell>
          <cell r="N954" t="str">
            <v/>
          </cell>
          <cell r="O954" t="str">
            <v/>
          </cell>
          <cell r="P954" t="str">
            <v/>
          </cell>
          <cell r="Q954" t="str">
            <v/>
          </cell>
          <cell r="R954" t="str">
            <v/>
          </cell>
          <cell r="S954" t="str">
            <v/>
          </cell>
        </row>
        <row r="955">
          <cell r="G955" t="str">
            <v/>
          </cell>
          <cell r="H955" t="str">
            <v/>
          </cell>
          <cell r="I955" t="str">
            <v/>
          </cell>
          <cell r="J955" t="str">
            <v/>
          </cell>
          <cell r="K955" t="str">
            <v/>
          </cell>
          <cell r="L955" t="str">
            <v/>
          </cell>
          <cell r="M955" t="str">
            <v/>
          </cell>
          <cell r="N955" t="str">
            <v/>
          </cell>
          <cell r="O955" t="str">
            <v/>
          </cell>
          <cell r="P955" t="str">
            <v/>
          </cell>
          <cell r="Q955" t="str">
            <v/>
          </cell>
          <cell r="R955" t="str">
            <v/>
          </cell>
          <cell r="S955" t="str">
            <v/>
          </cell>
        </row>
        <row r="956">
          <cell r="G956" t="str">
            <v/>
          </cell>
          <cell r="H956" t="str">
            <v/>
          </cell>
          <cell r="I956" t="str">
            <v/>
          </cell>
          <cell r="J956" t="str">
            <v/>
          </cell>
          <cell r="K956" t="str">
            <v/>
          </cell>
          <cell r="L956" t="str">
            <v/>
          </cell>
          <cell r="M956" t="str">
            <v/>
          </cell>
          <cell r="N956" t="str">
            <v/>
          </cell>
          <cell r="O956" t="str">
            <v/>
          </cell>
          <cell r="P956" t="str">
            <v/>
          </cell>
          <cell r="Q956" t="str">
            <v/>
          </cell>
          <cell r="R956" t="str">
            <v/>
          </cell>
          <cell r="S956" t="str">
            <v/>
          </cell>
        </row>
        <row r="957">
          <cell r="G957" t="str">
            <v/>
          </cell>
          <cell r="H957" t="str">
            <v/>
          </cell>
          <cell r="I957" t="str">
            <v/>
          </cell>
          <cell r="J957" t="str">
            <v/>
          </cell>
          <cell r="K957" t="str">
            <v/>
          </cell>
          <cell r="L957" t="str">
            <v/>
          </cell>
          <cell r="M957" t="str">
            <v/>
          </cell>
          <cell r="N957" t="str">
            <v/>
          </cell>
          <cell r="O957" t="str">
            <v/>
          </cell>
          <cell r="P957" t="str">
            <v/>
          </cell>
          <cell r="Q957" t="str">
            <v/>
          </cell>
          <cell r="R957" t="str">
            <v/>
          </cell>
          <cell r="S957" t="str">
            <v/>
          </cell>
        </row>
        <row r="958">
          <cell r="G958" t="str">
            <v/>
          </cell>
          <cell r="H958" t="str">
            <v/>
          </cell>
          <cell r="I958" t="str">
            <v/>
          </cell>
          <cell r="J958" t="str">
            <v/>
          </cell>
          <cell r="K958" t="str">
            <v/>
          </cell>
          <cell r="L958" t="str">
            <v/>
          </cell>
          <cell r="M958" t="str">
            <v/>
          </cell>
          <cell r="N958" t="str">
            <v/>
          </cell>
          <cell r="O958" t="str">
            <v/>
          </cell>
          <cell r="P958" t="str">
            <v/>
          </cell>
          <cell r="Q958" t="str">
            <v/>
          </cell>
          <cell r="R958" t="str">
            <v/>
          </cell>
          <cell r="S958" t="str">
            <v/>
          </cell>
        </row>
        <row r="959">
          <cell r="G959" t="str">
            <v/>
          </cell>
          <cell r="H959" t="str">
            <v/>
          </cell>
          <cell r="I959" t="str">
            <v/>
          </cell>
          <cell r="J959" t="str">
            <v/>
          </cell>
          <cell r="K959" t="str">
            <v/>
          </cell>
          <cell r="L959" t="str">
            <v/>
          </cell>
          <cell r="M959" t="str">
            <v/>
          </cell>
          <cell r="N959" t="str">
            <v/>
          </cell>
          <cell r="O959" t="str">
            <v/>
          </cell>
          <cell r="P959" t="str">
            <v/>
          </cell>
          <cell r="Q959" t="str">
            <v/>
          </cell>
          <cell r="R959" t="str">
            <v/>
          </cell>
          <cell r="S959" t="str">
            <v/>
          </cell>
        </row>
        <row r="960">
          <cell r="G960" t="str">
            <v/>
          </cell>
          <cell r="H960" t="str">
            <v/>
          </cell>
          <cell r="I960" t="str">
            <v/>
          </cell>
          <cell r="J960" t="str">
            <v/>
          </cell>
          <cell r="K960" t="str">
            <v/>
          </cell>
          <cell r="L960" t="str">
            <v/>
          </cell>
          <cell r="M960" t="str">
            <v/>
          </cell>
          <cell r="N960" t="str">
            <v/>
          </cell>
          <cell r="O960" t="str">
            <v/>
          </cell>
          <cell r="P960" t="str">
            <v/>
          </cell>
          <cell r="Q960" t="str">
            <v/>
          </cell>
          <cell r="R960" t="str">
            <v/>
          </cell>
          <cell r="S960" t="str">
            <v/>
          </cell>
        </row>
        <row r="961">
          <cell r="G961" t="str">
            <v/>
          </cell>
          <cell r="H961" t="str">
            <v/>
          </cell>
          <cell r="I961" t="str">
            <v/>
          </cell>
          <cell r="J961" t="str">
            <v/>
          </cell>
          <cell r="K961" t="str">
            <v/>
          </cell>
          <cell r="L961" t="str">
            <v/>
          </cell>
          <cell r="M961" t="str">
            <v/>
          </cell>
          <cell r="N961" t="str">
            <v/>
          </cell>
          <cell r="O961" t="str">
            <v/>
          </cell>
          <cell r="P961" t="str">
            <v/>
          </cell>
          <cell r="Q961" t="str">
            <v/>
          </cell>
          <cell r="R961" t="str">
            <v/>
          </cell>
          <cell r="S961" t="str">
            <v/>
          </cell>
        </row>
        <row r="962">
          <cell r="G962" t="str">
            <v/>
          </cell>
          <cell r="H962" t="str">
            <v/>
          </cell>
          <cell r="I962" t="str">
            <v/>
          </cell>
          <cell r="J962" t="str">
            <v/>
          </cell>
          <cell r="K962" t="str">
            <v/>
          </cell>
          <cell r="L962" t="str">
            <v/>
          </cell>
          <cell r="M962" t="str">
            <v/>
          </cell>
          <cell r="N962" t="str">
            <v/>
          </cell>
          <cell r="O962" t="str">
            <v/>
          </cell>
          <cell r="P962" t="str">
            <v/>
          </cell>
          <cell r="Q962" t="str">
            <v/>
          </cell>
          <cell r="R962" t="str">
            <v/>
          </cell>
          <cell r="S962" t="str">
            <v/>
          </cell>
        </row>
        <row r="963">
          <cell r="G963" t="str">
            <v/>
          </cell>
          <cell r="H963" t="str">
            <v/>
          </cell>
          <cell r="I963" t="str">
            <v/>
          </cell>
          <cell r="J963" t="str">
            <v/>
          </cell>
          <cell r="K963" t="str">
            <v/>
          </cell>
          <cell r="L963" t="str">
            <v/>
          </cell>
          <cell r="M963" t="str">
            <v/>
          </cell>
          <cell r="N963" t="str">
            <v/>
          </cell>
          <cell r="O963" t="str">
            <v/>
          </cell>
          <cell r="P963" t="str">
            <v/>
          </cell>
          <cell r="Q963" t="str">
            <v/>
          </cell>
          <cell r="R963" t="str">
            <v/>
          </cell>
          <cell r="S963" t="str">
            <v/>
          </cell>
        </row>
        <row r="964">
          <cell r="G964" t="str">
            <v/>
          </cell>
          <cell r="H964" t="str">
            <v/>
          </cell>
          <cell r="I964" t="str">
            <v/>
          </cell>
          <cell r="J964" t="str">
            <v/>
          </cell>
          <cell r="K964" t="str">
            <v/>
          </cell>
          <cell r="L964" t="str">
            <v/>
          </cell>
          <cell r="M964" t="str">
            <v/>
          </cell>
          <cell r="N964" t="str">
            <v/>
          </cell>
          <cell r="O964" t="str">
            <v/>
          </cell>
          <cell r="P964" t="str">
            <v/>
          </cell>
          <cell r="Q964" t="str">
            <v/>
          </cell>
          <cell r="R964" t="str">
            <v/>
          </cell>
          <cell r="S964" t="str">
            <v/>
          </cell>
        </row>
        <row r="965">
          <cell r="G965" t="str">
            <v/>
          </cell>
          <cell r="H965" t="str">
            <v/>
          </cell>
          <cell r="I965" t="str">
            <v/>
          </cell>
          <cell r="J965" t="str">
            <v/>
          </cell>
          <cell r="K965" t="str">
            <v/>
          </cell>
          <cell r="L965" t="str">
            <v/>
          </cell>
          <cell r="M965" t="str">
            <v/>
          </cell>
          <cell r="N965" t="str">
            <v/>
          </cell>
          <cell r="O965" t="str">
            <v/>
          </cell>
          <cell r="P965" t="str">
            <v/>
          </cell>
          <cell r="Q965" t="str">
            <v/>
          </cell>
          <cell r="R965" t="str">
            <v/>
          </cell>
          <cell r="S965" t="str">
            <v/>
          </cell>
        </row>
        <row r="966">
          <cell r="G966" t="str">
            <v/>
          </cell>
          <cell r="H966" t="str">
            <v/>
          </cell>
          <cell r="I966" t="str">
            <v/>
          </cell>
          <cell r="J966" t="str">
            <v/>
          </cell>
          <cell r="K966" t="str">
            <v/>
          </cell>
          <cell r="L966" t="str">
            <v/>
          </cell>
          <cell r="M966" t="str">
            <v/>
          </cell>
          <cell r="N966" t="str">
            <v/>
          </cell>
          <cell r="O966" t="str">
            <v/>
          </cell>
          <cell r="P966" t="str">
            <v/>
          </cell>
          <cell r="Q966" t="str">
            <v/>
          </cell>
          <cell r="R966" t="str">
            <v/>
          </cell>
          <cell r="S966" t="str">
            <v/>
          </cell>
        </row>
        <row r="967">
          <cell r="G967" t="str">
            <v/>
          </cell>
          <cell r="H967" t="str">
            <v/>
          </cell>
          <cell r="I967" t="str">
            <v/>
          </cell>
          <cell r="J967" t="str">
            <v/>
          </cell>
          <cell r="K967" t="str">
            <v/>
          </cell>
          <cell r="L967" t="str">
            <v/>
          </cell>
          <cell r="M967" t="str">
            <v/>
          </cell>
          <cell r="N967" t="str">
            <v/>
          </cell>
          <cell r="O967" t="str">
            <v/>
          </cell>
          <cell r="P967" t="str">
            <v/>
          </cell>
          <cell r="Q967" t="str">
            <v/>
          </cell>
          <cell r="R967" t="str">
            <v/>
          </cell>
          <cell r="S967" t="str">
            <v/>
          </cell>
        </row>
        <row r="968">
          <cell r="G968" t="str">
            <v/>
          </cell>
          <cell r="H968" t="str">
            <v/>
          </cell>
          <cell r="I968" t="str">
            <v/>
          </cell>
          <cell r="J968" t="str">
            <v/>
          </cell>
          <cell r="K968" t="str">
            <v/>
          </cell>
          <cell r="L968" t="str">
            <v/>
          </cell>
          <cell r="M968" t="str">
            <v/>
          </cell>
          <cell r="N968" t="str">
            <v/>
          </cell>
          <cell r="O968" t="str">
            <v/>
          </cell>
          <cell r="P968" t="str">
            <v/>
          </cell>
          <cell r="Q968" t="str">
            <v/>
          </cell>
          <cell r="R968" t="str">
            <v/>
          </cell>
          <cell r="S968" t="str">
            <v/>
          </cell>
        </row>
        <row r="969">
          <cell r="G969" t="str">
            <v/>
          </cell>
          <cell r="H969" t="str">
            <v/>
          </cell>
          <cell r="I969" t="str">
            <v/>
          </cell>
          <cell r="J969" t="str">
            <v/>
          </cell>
          <cell r="K969" t="str">
            <v/>
          </cell>
          <cell r="L969" t="str">
            <v/>
          </cell>
          <cell r="M969" t="str">
            <v/>
          </cell>
          <cell r="N969" t="str">
            <v/>
          </cell>
          <cell r="O969" t="str">
            <v/>
          </cell>
          <cell r="P969" t="str">
            <v/>
          </cell>
          <cell r="Q969" t="str">
            <v/>
          </cell>
          <cell r="R969" t="str">
            <v/>
          </cell>
          <cell r="S969" t="str">
            <v/>
          </cell>
        </row>
        <row r="970">
          <cell r="G970" t="str">
            <v/>
          </cell>
          <cell r="H970" t="str">
            <v/>
          </cell>
          <cell r="I970" t="str">
            <v/>
          </cell>
          <cell r="J970" t="str">
            <v/>
          </cell>
          <cell r="K970" t="str">
            <v/>
          </cell>
          <cell r="L970" t="str">
            <v/>
          </cell>
          <cell r="M970" t="str">
            <v/>
          </cell>
          <cell r="N970" t="str">
            <v/>
          </cell>
          <cell r="O970" t="str">
            <v/>
          </cell>
          <cell r="P970" t="str">
            <v/>
          </cell>
          <cell r="Q970" t="str">
            <v/>
          </cell>
          <cell r="R970" t="str">
            <v/>
          </cell>
          <cell r="S970" t="str">
            <v/>
          </cell>
        </row>
        <row r="971">
          <cell r="G971" t="str">
            <v/>
          </cell>
          <cell r="H971" t="str">
            <v/>
          </cell>
          <cell r="I971" t="str">
            <v/>
          </cell>
          <cell r="J971" t="str">
            <v/>
          </cell>
          <cell r="K971" t="str">
            <v/>
          </cell>
          <cell r="L971" t="str">
            <v/>
          </cell>
          <cell r="M971" t="str">
            <v/>
          </cell>
          <cell r="N971" t="str">
            <v/>
          </cell>
          <cell r="O971" t="str">
            <v/>
          </cell>
          <cell r="P971" t="str">
            <v/>
          </cell>
          <cell r="Q971" t="str">
            <v/>
          </cell>
          <cell r="R971" t="str">
            <v/>
          </cell>
          <cell r="S971" t="str">
            <v/>
          </cell>
        </row>
        <row r="972">
          <cell r="G972" t="str">
            <v/>
          </cell>
          <cell r="H972" t="str">
            <v/>
          </cell>
          <cell r="I972" t="str">
            <v/>
          </cell>
          <cell r="J972" t="str">
            <v/>
          </cell>
          <cell r="K972" t="str">
            <v/>
          </cell>
          <cell r="L972" t="str">
            <v/>
          </cell>
          <cell r="M972" t="str">
            <v/>
          </cell>
          <cell r="N972" t="str">
            <v/>
          </cell>
          <cell r="O972" t="str">
            <v/>
          </cell>
          <cell r="P972" t="str">
            <v/>
          </cell>
          <cell r="Q972" t="str">
            <v/>
          </cell>
          <cell r="R972" t="str">
            <v/>
          </cell>
          <cell r="S972" t="str">
            <v/>
          </cell>
        </row>
        <row r="973">
          <cell r="G973" t="str">
            <v/>
          </cell>
          <cell r="H973" t="str">
            <v/>
          </cell>
          <cell r="I973" t="str">
            <v/>
          </cell>
          <cell r="J973" t="str">
            <v/>
          </cell>
          <cell r="K973" t="str">
            <v/>
          </cell>
          <cell r="L973" t="str">
            <v/>
          </cell>
          <cell r="M973" t="str">
            <v/>
          </cell>
          <cell r="N973" t="str">
            <v/>
          </cell>
          <cell r="O973" t="str">
            <v/>
          </cell>
          <cell r="P973" t="str">
            <v/>
          </cell>
          <cell r="Q973" t="str">
            <v/>
          </cell>
          <cell r="R973" t="str">
            <v/>
          </cell>
          <cell r="S973" t="str">
            <v/>
          </cell>
        </row>
        <row r="974">
          <cell r="G974" t="str">
            <v/>
          </cell>
          <cell r="H974" t="str">
            <v/>
          </cell>
          <cell r="I974" t="str">
            <v/>
          </cell>
          <cell r="J974" t="str">
            <v/>
          </cell>
          <cell r="K974" t="str">
            <v/>
          </cell>
          <cell r="L974" t="str">
            <v/>
          </cell>
          <cell r="M974" t="str">
            <v/>
          </cell>
          <cell r="N974" t="str">
            <v/>
          </cell>
          <cell r="O974" t="str">
            <v/>
          </cell>
          <cell r="P974" t="str">
            <v/>
          </cell>
          <cell r="Q974" t="str">
            <v/>
          </cell>
          <cell r="R974" t="str">
            <v/>
          </cell>
          <cell r="S974" t="str">
            <v/>
          </cell>
        </row>
        <row r="975">
          <cell r="G975" t="str">
            <v/>
          </cell>
          <cell r="H975" t="str">
            <v/>
          </cell>
          <cell r="I975" t="str">
            <v/>
          </cell>
          <cell r="J975" t="str">
            <v/>
          </cell>
          <cell r="K975" t="str">
            <v/>
          </cell>
          <cell r="L975" t="str">
            <v/>
          </cell>
          <cell r="M975" t="str">
            <v/>
          </cell>
          <cell r="N975" t="str">
            <v/>
          </cell>
          <cell r="O975" t="str">
            <v/>
          </cell>
          <cell r="P975" t="str">
            <v/>
          </cell>
          <cell r="Q975" t="str">
            <v/>
          </cell>
          <cell r="R975" t="str">
            <v/>
          </cell>
          <cell r="S975" t="str">
            <v/>
          </cell>
        </row>
        <row r="976">
          <cell r="G976" t="str">
            <v/>
          </cell>
          <cell r="H976" t="str">
            <v/>
          </cell>
          <cell r="I976" t="str">
            <v/>
          </cell>
          <cell r="J976" t="str">
            <v/>
          </cell>
          <cell r="K976" t="str">
            <v/>
          </cell>
          <cell r="L976" t="str">
            <v/>
          </cell>
          <cell r="M976" t="str">
            <v/>
          </cell>
          <cell r="N976" t="str">
            <v/>
          </cell>
          <cell r="O976" t="str">
            <v/>
          </cell>
          <cell r="P976" t="str">
            <v/>
          </cell>
          <cell r="Q976" t="str">
            <v/>
          </cell>
          <cell r="R976" t="str">
            <v/>
          </cell>
          <cell r="S976" t="str">
            <v/>
          </cell>
        </row>
        <row r="977">
          <cell r="G977" t="str">
            <v/>
          </cell>
          <cell r="H977" t="str">
            <v/>
          </cell>
          <cell r="I977" t="str">
            <v/>
          </cell>
          <cell r="J977" t="str">
            <v/>
          </cell>
          <cell r="K977" t="str">
            <v/>
          </cell>
          <cell r="L977" t="str">
            <v/>
          </cell>
          <cell r="M977" t="str">
            <v/>
          </cell>
          <cell r="N977" t="str">
            <v/>
          </cell>
          <cell r="O977" t="str">
            <v/>
          </cell>
          <cell r="P977" t="str">
            <v/>
          </cell>
          <cell r="Q977" t="str">
            <v/>
          </cell>
          <cell r="R977" t="str">
            <v/>
          </cell>
          <cell r="S977" t="str">
            <v/>
          </cell>
        </row>
        <row r="978">
          <cell r="G978" t="str">
            <v/>
          </cell>
          <cell r="H978" t="str">
            <v/>
          </cell>
          <cell r="I978" t="str">
            <v/>
          </cell>
          <cell r="J978" t="str">
            <v/>
          </cell>
          <cell r="K978" t="str">
            <v/>
          </cell>
          <cell r="L978" t="str">
            <v/>
          </cell>
          <cell r="M978" t="str">
            <v/>
          </cell>
          <cell r="N978" t="str">
            <v/>
          </cell>
          <cell r="O978" t="str">
            <v/>
          </cell>
          <cell r="P978" t="str">
            <v/>
          </cell>
          <cell r="Q978" t="str">
            <v/>
          </cell>
          <cell r="R978" t="str">
            <v/>
          </cell>
          <cell r="S978" t="str">
            <v/>
          </cell>
        </row>
        <row r="979">
          <cell r="G979" t="str">
            <v/>
          </cell>
          <cell r="H979" t="str">
            <v/>
          </cell>
          <cell r="I979" t="str">
            <v/>
          </cell>
          <cell r="J979" t="str">
            <v/>
          </cell>
          <cell r="K979" t="str">
            <v/>
          </cell>
          <cell r="L979" t="str">
            <v/>
          </cell>
          <cell r="M979" t="str">
            <v/>
          </cell>
          <cell r="N979" t="str">
            <v/>
          </cell>
          <cell r="O979" t="str">
            <v/>
          </cell>
          <cell r="P979" t="str">
            <v/>
          </cell>
          <cell r="Q979" t="str">
            <v/>
          </cell>
          <cell r="R979" t="str">
            <v/>
          </cell>
          <cell r="S979" t="str">
            <v/>
          </cell>
        </row>
        <row r="980">
          <cell r="G980" t="str">
            <v/>
          </cell>
          <cell r="H980" t="str">
            <v/>
          </cell>
          <cell r="I980" t="str">
            <v/>
          </cell>
          <cell r="J980" t="str">
            <v/>
          </cell>
          <cell r="K980" t="str">
            <v/>
          </cell>
          <cell r="L980" t="str">
            <v/>
          </cell>
          <cell r="M980" t="str">
            <v/>
          </cell>
          <cell r="N980" t="str">
            <v/>
          </cell>
          <cell r="O980" t="str">
            <v/>
          </cell>
          <cell r="P980" t="str">
            <v/>
          </cell>
          <cell r="Q980" t="str">
            <v/>
          </cell>
          <cell r="R980" t="str">
            <v/>
          </cell>
          <cell r="S980" t="str">
            <v/>
          </cell>
        </row>
        <row r="981">
          <cell r="G981" t="str">
            <v/>
          </cell>
          <cell r="H981" t="str">
            <v/>
          </cell>
          <cell r="I981" t="str">
            <v/>
          </cell>
          <cell r="J981" t="str">
            <v/>
          </cell>
          <cell r="K981" t="str">
            <v/>
          </cell>
          <cell r="L981" t="str">
            <v/>
          </cell>
          <cell r="M981" t="str">
            <v/>
          </cell>
          <cell r="N981" t="str">
            <v/>
          </cell>
          <cell r="O981" t="str">
            <v/>
          </cell>
          <cell r="P981" t="str">
            <v/>
          </cell>
          <cell r="Q981" t="str">
            <v/>
          </cell>
          <cell r="R981" t="str">
            <v/>
          </cell>
          <cell r="S981" t="str">
            <v/>
          </cell>
        </row>
        <row r="982">
          <cell r="G982" t="str">
            <v/>
          </cell>
          <cell r="H982" t="str">
            <v/>
          </cell>
          <cell r="I982" t="str">
            <v/>
          </cell>
          <cell r="J982" t="str">
            <v/>
          </cell>
          <cell r="K982" t="str">
            <v/>
          </cell>
          <cell r="L982" t="str">
            <v/>
          </cell>
          <cell r="M982" t="str">
            <v/>
          </cell>
          <cell r="N982" t="str">
            <v/>
          </cell>
          <cell r="O982" t="str">
            <v/>
          </cell>
          <cell r="P982" t="str">
            <v/>
          </cell>
          <cell r="Q982" t="str">
            <v/>
          </cell>
          <cell r="R982" t="str">
            <v/>
          </cell>
          <cell r="S982" t="str">
            <v/>
          </cell>
        </row>
        <row r="983">
          <cell r="G983" t="str">
            <v/>
          </cell>
          <cell r="H983" t="str">
            <v/>
          </cell>
          <cell r="I983" t="str">
            <v/>
          </cell>
          <cell r="J983" t="str">
            <v/>
          </cell>
          <cell r="K983" t="str">
            <v/>
          </cell>
          <cell r="L983" t="str">
            <v/>
          </cell>
          <cell r="M983" t="str">
            <v/>
          </cell>
          <cell r="N983" t="str">
            <v/>
          </cell>
          <cell r="O983" t="str">
            <v/>
          </cell>
          <cell r="P983" t="str">
            <v/>
          </cell>
          <cell r="Q983" t="str">
            <v/>
          </cell>
          <cell r="R983" t="str">
            <v/>
          </cell>
          <cell r="S983" t="str">
            <v/>
          </cell>
        </row>
        <row r="984">
          <cell r="G984" t="str">
            <v/>
          </cell>
          <cell r="H984" t="str">
            <v/>
          </cell>
          <cell r="I984" t="str">
            <v/>
          </cell>
          <cell r="J984" t="str">
            <v/>
          </cell>
          <cell r="K984" t="str">
            <v/>
          </cell>
          <cell r="L984" t="str">
            <v/>
          </cell>
          <cell r="M984" t="str">
            <v/>
          </cell>
          <cell r="N984" t="str">
            <v/>
          </cell>
          <cell r="O984" t="str">
            <v/>
          </cell>
          <cell r="P984" t="str">
            <v/>
          </cell>
          <cell r="Q984" t="str">
            <v/>
          </cell>
          <cell r="R984" t="str">
            <v/>
          </cell>
          <cell r="S984" t="str">
            <v/>
          </cell>
        </row>
        <row r="985">
          <cell r="G985" t="str">
            <v/>
          </cell>
          <cell r="H985" t="str">
            <v/>
          </cell>
          <cell r="I985" t="str">
            <v/>
          </cell>
          <cell r="J985" t="str">
            <v/>
          </cell>
          <cell r="K985" t="str">
            <v/>
          </cell>
          <cell r="L985" t="str">
            <v/>
          </cell>
          <cell r="M985" t="str">
            <v/>
          </cell>
          <cell r="N985" t="str">
            <v/>
          </cell>
          <cell r="O985" t="str">
            <v/>
          </cell>
          <cell r="P985" t="str">
            <v/>
          </cell>
          <cell r="Q985" t="str">
            <v/>
          </cell>
          <cell r="R985" t="str">
            <v/>
          </cell>
          <cell r="S985" t="str">
            <v/>
          </cell>
        </row>
        <row r="986">
          <cell r="G986" t="str">
            <v/>
          </cell>
          <cell r="H986" t="str">
            <v/>
          </cell>
          <cell r="I986" t="str">
            <v/>
          </cell>
          <cell r="J986" t="str">
            <v/>
          </cell>
          <cell r="K986" t="str">
            <v/>
          </cell>
          <cell r="L986" t="str">
            <v/>
          </cell>
          <cell r="M986" t="str">
            <v/>
          </cell>
          <cell r="N986" t="str">
            <v/>
          </cell>
          <cell r="O986" t="str">
            <v/>
          </cell>
          <cell r="P986" t="str">
            <v/>
          </cell>
          <cell r="Q986" t="str">
            <v/>
          </cell>
          <cell r="R986" t="str">
            <v/>
          </cell>
          <cell r="S986" t="str">
            <v/>
          </cell>
        </row>
        <row r="987">
          <cell r="G987" t="str">
            <v/>
          </cell>
          <cell r="H987" t="str">
            <v/>
          </cell>
          <cell r="I987" t="str">
            <v/>
          </cell>
          <cell r="J987" t="str">
            <v/>
          </cell>
          <cell r="K987" t="str">
            <v/>
          </cell>
          <cell r="L987" t="str">
            <v/>
          </cell>
          <cell r="M987" t="str">
            <v/>
          </cell>
          <cell r="N987" t="str">
            <v/>
          </cell>
          <cell r="O987" t="str">
            <v/>
          </cell>
          <cell r="P987" t="str">
            <v/>
          </cell>
          <cell r="Q987" t="str">
            <v/>
          </cell>
          <cell r="R987" t="str">
            <v/>
          </cell>
          <cell r="S987" t="str">
            <v/>
          </cell>
        </row>
        <row r="988">
          <cell r="G988" t="str">
            <v/>
          </cell>
          <cell r="H988" t="str">
            <v/>
          </cell>
          <cell r="I988" t="str">
            <v/>
          </cell>
          <cell r="J988" t="str">
            <v/>
          </cell>
          <cell r="K988" t="str">
            <v/>
          </cell>
          <cell r="L988" t="str">
            <v/>
          </cell>
          <cell r="M988" t="str">
            <v/>
          </cell>
          <cell r="N988" t="str">
            <v/>
          </cell>
          <cell r="O988" t="str">
            <v/>
          </cell>
          <cell r="P988" t="str">
            <v/>
          </cell>
          <cell r="Q988" t="str">
            <v/>
          </cell>
          <cell r="R988" t="str">
            <v/>
          </cell>
          <cell r="S988" t="str">
            <v/>
          </cell>
        </row>
        <row r="989">
          <cell r="G989" t="str">
            <v/>
          </cell>
          <cell r="H989" t="str">
            <v/>
          </cell>
          <cell r="I989" t="str">
            <v/>
          </cell>
          <cell r="J989" t="str">
            <v/>
          </cell>
          <cell r="K989" t="str">
            <v/>
          </cell>
          <cell r="L989" t="str">
            <v/>
          </cell>
          <cell r="M989" t="str">
            <v/>
          </cell>
          <cell r="N989" t="str">
            <v/>
          </cell>
          <cell r="O989" t="str">
            <v/>
          </cell>
          <cell r="P989" t="str">
            <v/>
          </cell>
          <cell r="Q989" t="str">
            <v/>
          </cell>
          <cell r="R989" t="str">
            <v/>
          </cell>
          <cell r="S989" t="str">
            <v/>
          </cell>
        </row>
        <row r="990">
          <cell r="G990" t="str">
            <v/>
          </cell>
          <cell r="H990" t="str">
            <v/>
          </cell>
          <cell r="I990" t="str">
            <v/>
          </cell>
          <cell r="J990" t="str">
            <v/>
          </cell>
          <cell r="K990" t="str">
            <v/>
          </cell>
          <cell r="L990" t="str">
            <v/>
          </cell>
          <cell r="M990" t="str">
            <v/>
          </cell>
          <cell r="N990" t="str">
            <v/>
          </cell>
          <cell r="O990" t="str">
            <v/>
          </cell>
          <cell r="P990" t="str">
            <v/>
          </cell>
          <cell r="Q990" t="str">
            <v/>
          </cell>
          <cell r="R990" t="str">
            <v/>
          </cell>
          <cell r="S990" t="str">
            <v/>
          </cell>
        </row>
        <row r="991">
          <cell r="G991" t="str">
            <v/>
          </cell>
          <cell r="H991" t="str">
            <v/>
          </cell>
          <cell r="I991" t="str">
            <v/>
          </cell>
          <cell r="J991" t="str">
            <v/>
          </cell>
          <cell r="K991" t="str">
            <v/>
          </cell>
          <cell r="L991" t="str">
            <v/>
          </cell>
          <cell r="M991" t="str">
            <v/>
          </cell>
          <cell r="N991" t="str">
            <v/>
          </cell>
          <cell r="O991" t="str">
            <v/>
          </cell>
          <cell r="P991" t="str">
            <v/>
          </cell>
          <cell r="Q991" t="str">
            <v/>
          </cell>
          <cell r="R991" t="str">
            <v/>
          </cell>
          <cell r="S991" t="str">
            <v/>
          </cell>
        </row>
        <row r="992">
          <cell r="G992" t="str">
            <v/>
          </cell>
          <cell r="H992" t="str">
            <v/>
          </cell>
          <cell r="I992" t="str">
            <v/>
          </cell>
          <cell r="J992" t="str">
            <v/>
          </cell>
          <cell r="K992" t="str">
            <v/>
          </cell>
          <cell r="L992" t="str">
            <v/>
          </cell>
          <cell r="M992" t="str">
            <v/>
          </cell>
          <cell r="N992" t="str">
            <v/>
          </cell>
          <cell r="O992" t="str">
            <v/>
          </cell>
          <cell r="P992" t="str">
            <v/>
          </cell>
          <cell r="Q992" t="str">
            <v/>
          </cell>
          <cell r="R992" t="str">
            <v/>
          </cell>
          <cell r="S992" t="str">
            <v/>
          </cell>
        </row>
        <row r="993">
          <cell r="G993" t="str">
            <v/>
          </cell>
          <cell r="H993" t="str">
            <v/>
          </cell>
          <cell r="I993" t="str">
            <v/>
          </cell>
          <cell r="J993" t="str">
            <v/>
          </cell>
          <cell r="K993" t="str">
            <v/>
          </cell>
          <cell r="L993" t="str">
            <v/>
          </cell>
          <cell r="M993" t="str">
            <v/>
          </cell>
          <cell r="N993" t="str">
            <v/>
          </cell>
          <cell r="O993" t="str">
            <v/>
          </cell>
          <cell r="P993" t="str">
            <v/>
          </cell>
          <cell r="Q993" t="str">
            <v/>
          </cell>
          <cell r="R993" t="str">
            <v/>
          </cell>
          <cell r="S993" t="str">
            <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ow r="8">
          <cell r="E8">
            <v>240840870.12455454</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2013.11"/>
      <sheetName val="2013.12"/>
      <sheetName val="2014.01"/>
      <sheetName val="2014.02"/>
      <sheetName val="2014.03"/>
      <sheetName val="2014.04"/>
      <sheetName val="2014.05"/>
      <sheetName val="2014.06"/>
      <sheetName val="2014.07"/>
      <sheetName val="2014.08"/>
      <sheetName val="2014.09"/>
      <sheetName val="2014.10"/>
      <sheetName val="2014.11"/>
      <sheetName val="2014.12"/>
      <sheetName val="2015.01"/>
      <sheetName val="2015.02"/>
      <sheetName val="2015.03"/>
      <sheetName val="2015.04"/>
      <sheetName val="2015.05"/>
      <sheetName val="2015.06"/>
      <sheetName val="2015.07"/>
      <sheetName val="2015.08"/>
      <sheetName val="2015.09"/>
      <sheetName val="2015.10"/>
      <sheetName val="2015.11"/>
      <sheetName val="2015.12"/>
      <sheetName val="2016.01"/>
      <sheetName val="2016.02"/>
      <sheetName val="2016.03"/>
      <sheetName val="2016.04"/>
      <sheetName val="2016.05"/>
      <sheetName val="2016.06"/>
      <sheetName val="2016.07"/>
      <sheetName val="2016.08"/>
      <sheetName val="2016.09"/>
      <sheetName val="2016.10"/>
      <sheetName val="2016.11"/>
      <sheetName val="2016.12"/>
      <sheetName val="2017.01"/>
      <sheetName val="2017.02"/>
      <sheetName val="2017.03"/>
      <sheetName val="2017.04"/>
      <sheetName val="2017.05"/>
      <sheetName val="2017.06"/>
      <sheetName val="2017.07"/>
      <sheetName val="2017.08"/>
      <sheetName val="2017.09"/>
      <sheetName val="2017.10"/>
      <sheetName val="2017.11"/>
      <sheetName val="2017.12"/>
      <sheetName val="2018.01"/>
      <sheetName val="2018.02"/>
      <sheetName val="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ow r="44">
          <cell r="G44">
            <v>280.98</v>
          </cell>
        </row>
      </sheetData>
      <sheetData sheetId="52"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2013.11"/>
      <sheetName val="2013.12"/>
      <sheetName val="2014.01"/>
      <sheetName val="2014.02"/>
      <sheetName val="2014.03"/>
      <sheetName val="2014.04"/>
      <sheetName val="2014.05"/>
      <sheetName val="2014.06"/>
      <sheetName val="2014.07"/>
      <sheetName val="2014.08"/>
      <sheetName val="2014.09"/>
      <sheetName val="2014.10"/>
      <sheetName val="2014.11"/>
      <sheetName val="2014.12"/>
      <sheetName val="2015.01"/>
      <sheetName val="2015.02"/>
      <sheetName val="2015.03"/>
      <sheetName val="2015.04"/>
      <sheetName val="2015.05"/>
      <sheetName val="2015.06"/>
      <sheetName val="2015.07"/>
      <sheetName val="2015.08"/>
      <sheetName val="2015.09"/>
      <sheetName val="2015.10"/>
      <sheetName val="2015.11"/>
      <sheetName val="2015.12"/>
      <sheetName val="2016.01"/>
      <sheetName val="2016.02"/>
      <sheetName val="2016.03"/>
      <sheetName val="2016.04"/>
      <sheetName val="2016.05"/>
      <sheetName val="2016.06"/>
      <sheetName val="2016.07"/>
      <sheetName val="2016.08"/>
      <sheetName val="2016.09"/>
      <sheetName val="2016.10"/>
      <sheetName val="2016.11"/>
      <sheetName val="2016.12"/>
      <sheetName val="2017.01"/>
      <sheetName val="2017.02"/>
      <sheetName val="2017.03"/>
      <sheetName val="2017.04"/>
      <sheetName val="2017.05"/>
      <sheetName val="2017.06"/>
      <sheetName val="2017.07"/>
      <sheetName val="2017.08"/>
      <sheetName val="2017.09"/>
      <sheetName val="2017.10"/>
      <sheetName val="2017.11"/>
      <sheetName val="2017.12"/>
      <sheetName val="2018.01"/>
      <sheetName val="2018.02"/>
      <sheetName val="2018.03"/>
      <sheetName val="2018.04"/>
      <sheetName val="2018.05"/>
      <sheetName val="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row r="40">
          <cell r="J40">
            <v>14786855.555555556</v>
          </cell>
        </row>
      </sheetData>
      <sheetData sheetId="55"/>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Company"/>
      <sheetName val="Accounts"/>
      <sheetName val="Jurnal"/>
      <sheetName val="Цалин "/>
      <sheetName val="Dan_huulga"/>
      <sheetName val="Ug_ablaga"/>
      <sheetName val="RC"/>
      <sheetName val="TN"/>
      <sheetName val="T_or"/>
      <sheetName val="G_Bal1"/>
      <sheetName val="G_Bal2"/>
      <sheetName val="G_bal3"/>
      <sheetName val="G_Bal4"/>
      <sheetName val="BS"/>
      <sheetName val="IS"/>
      <sheetName val="OC"/>
      <sheetName val="CF"/>
      <sheetName val="Tod_1"/>
      <sheetName val="Tod_2"/>
      <sheetName val="Tod_3"/>
      <sheetName val="Tod_4"/>
      <sheetName val="Tod_5"/>
      <sheetName val="Tax_1"/>
      <sheetName val="tax_2"/>
      <sheetName val="Tax_3"/>
      <sheetName val="Tax_4"/>
      <sheetName val="Sheet1"/>
      <sheetName val="SHINEST-TAX - 2016"/>
    </sheetNames>
    <sheetDataSet>
      <sheetData sheetId="0" refreshError="1">
        <row r="6">
          <cell r="C6" t="str">
            <v>ШИНЭСТ ХК</v>
          </cell>
        </row>
        <row r="7">
          <cell r="C7" t="str">
            <v>|_2_|_0_|_1_|_8_|_9_|_4_|_2_|</v>
          </cell>
        </row>
        <row r="10">
          <cell r="C10" t="str">
            <v>Хан уул дүүрэг</v>
          </cell>
        </row>
        <row r="11">
          <cell r="C11" t="str">
            <v xml:space="preserve">3-р хороо </v>
          </cell>
        </row>
        <row r="12">
          <cell r="C12" t="str">
            <v>Эв нэгдэлийн гудамж</v>
          </cell>
        </row>
        <row r="13">
          <cell r="C13" t="str">
            <v xml:space="preserve">Шинэст ХК -н өөрийн байр </v>
          </cell>
        </row>
        <row r="15">
          <cell r="C15" t="str">
            <v>70114414</v>
          </cell>
        </row>
        <row r="16">
          <cell r="C16" t="str">
            <v>99119765 99066093 86001044</v>
          </cell>
        </row>
        <row r="17">
          <cell r="C17" t="str">
            <v>70114404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67">
          <cell r="H67">
            <v>1856593774.5268402</v>
          </cell>
        </row>
      </sheetData>
      <sheetData sheetId="14" refreshError="1"/>
      <sheetData sheetId="15" refreshError="1">
        <row r="22">
          <cell r="J22">
            <v>1856593774.5328693</v>
          </cell>
        </row>
      </sheetData>
      <sheetData sheetId="16" refreshError="1"/>
      <sheetData sheetId="17" refreshError="1"/>
      <sheetData sheetId="18" refreshError="1"/>
      <sheetData sheetId="19" refreshError="1"/>
      <sheetData sheetId="20" refreshError="1"/>
      <sheetData sheetId="21" refreshError="1"/>
      <sheetData sheetId="22" refreshError="1">
        <row r="8">
          <cell r="A8" t="str">
            <v>1. ТТД:  |_2_|_0_|_1_|_8_|_9_|_4_|_2_|                      2. Нэр:  ШИНЭСТ ХК</v>
          </cell>
        </row>
        <row r="102">
          <cell r="B102" t="str">
            <v>Дарга  /Захирал/:    . . . . . . . . . . . . . . . . . . .  /Д.Бахдамдэмбэрэл /</v>
          </cell>
        </row>
        <row r="104">
          <cell r="B104" t="str">
            <v>Ерөнхий нягтлан бодогч: . . . . . . . . . . . . . . /Б.Түмэндэлгэр/</v>
          </cell>
        </row>
      </sheetData>
      <sheetData sheetId="23" refreshError="1"/>
      <sheetData sheetId="24" refreshError="1"/>
      <sheetData sheetId="25" refreshError="1"/>
      <sheetData sheetId="26" refreshError="1"/>
      <sheetData sheetId="27" refreshError="1"/>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company "/>
      <sheetName val="DATA"/>
      <sheetName val="CASH-C2"/>
      <sheetName val="AP-AR"/>
      <sheetName val="TN"/>
      <sheetName val="RC"/>
      <sheetName val="FIXED ASSET"/>
      <sheetName val="JURNAL"/>
      <sheetName val="TSALIN"/>
      <sheetName val="STAT1"/>
      <sheetName val="STAT2"/>
      <sheetName val="STAT3"/>
      <sheetName val="STAT4"/>
      <sheetName val="BS"/>
      <sheetName val="IS"/>
      <sheetName val="OC"/>
      <sheetName val="CF"/>
      <sheetName val="TT-z"/>
      <sheetName val="TT-02"/>
      <sheetName val="TT-02г"/>
      <sheetName val="TT-11"/>
      <sheetName val="TT-11(1)"/>
      <sheetName val="TT-03a"/>
      <sheetName val="NUUR"/>
      <sheetName val="NUUR1"/>
      <sheetName val="Todruulga"/>
      <sheetName val="Sheet1"/>
    </sheetNames>
    <sheetDataSet>
      <sheetData sheetId="0">
        <row r="16">
          <cell r="B16" t="str">
            <v>Утас2:</v>
          </cell>
          <cell r="C16" t="str">
            <v>99119765  99066093</v>
          </cell>
        </row>
        <row r="23">
          <cell r="B23" t="str">
            <v>Тайлант үе:</v>
          </cell>
          <cell r="C23" t="str">
            <v>2018.01.01-2018.09.30</v>
          </cell>
        </row>
        <row r="25">
          <cell r="B25" t="str">
            <v>Ерөнхий захирал</v>
          </cell>
          <cell r="C25" t="str">
            <v>/Г.Солонго /</v>
          </cell>
        </row>
        <row r="28">
          <cell r="B28" t="str">
            <v>Ерөнхий нягтлан бодогч</v>
          </cell>
          <cell r="C28" t="str">
            <v>/Б.Түмэндэлгэр/</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ow r="85">
          <cell r="I85">
            <v>0</v>
          </cell>
        </row>
      </sheetData>
      <sheetData sheetId="10" refreshError="1"/>
      <sheetData sheetId="11" refreshError="1"/>
      <sheetData sheetId="12" refreshError="1"/>
      <sheetData sheetId="13" refreshError="1"/>
      <sheetData sheetId="14">
        <row r="18">
          <cell r="E18">
            <v>0</v>
          </cell>
        </row>
      </sheetData>
      <sheetData sheetId="15" refreshError="1"/>
      <sheetData sheetId="16" refreshError="1"/>
      <sheetData sheetId="17" refreshError="1"/>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company "/>
      <sheetName val="DATA"/>
      <sheetName val="CASH-C2"/>
      <sheetName val="AP-AR"/>
      <sheetName val="TN"/>
      <sheetName val="RC"/>
      <sheetName val="FIXED ASSET"/>
      <sheetName val="JURNAL"/>
      <sheetName val="TSALIN"/>
      <sheetName val="STAT1"/>
      <sheetName val="STAT2"/>
      <sheetName val="STAT3"/>
      <sheetName val="STAT4"/>
      <sheetName val="BS"/>
      <sheetName val="IS"/>
      <sheetName val="OC"/>
      <sheetName val="CF"/>
      <sheetName val="TT-02"/>
      <sheetName val="TT-z"/>
      <sheetName val="TT-02г"/>
      <sheetName val="TT-11"/>
      <sheetName val="TT-11(1)"/>
      <sheetName val="TT-03a"/>
      <sheetName val="NUUR"/>
      <sheetName val="NUUR1"/>
      <sheetName val="Todruulga"/>
    </sheetNames>
    <sheetDataSet>
      <sheetData sheetId="0">
        <row r="14">
          <cell r="B14" t="str">
            <v>Хашаа, хаалга:</v>
          </cell>
        </row>
        <row r="17">
          <cell r="B17" t="str">
            <v>Факс:</v>
          </cell>
        </row>
        <row r="25">
          <cell r="B25" t="str">
            <v>Ерөнхий захирал</v>
          </cell>
          <cell r="C25" t="str">
            <v>/Г.Солонго /</v>
          </cell>
        </row>
        <row r="28">
          <cell r="B28" t="str">
            <v>Ерөнхий нягтлан бодогч</v>
          </cell>
          <cell r="C28" t="str">
            <v>/Б.Түмэндэлгэр/</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tables/table1.xml><?xml version="1.0" encoding="utf-8"?>
<table xmlns="http://schemas.openxmlformats.org/spreadsheetml/2006/main" id="2" name="Table133" displayName="Table133" ref="B6:C30" totalsRowShown="0" headerRowDxfId="10995" dataDxfId="10993" headerRowBorderDxfId="10994" tableBorderDxfId="10992" totalsRowBorderDxfId="10991">
  <tableColumns count="2">
    <tableColumn id="1" name="Компанийн нэр:" dataDxfId="10990"/>
    <tableColumn id="2" name="ШИНЭСТ ХК" dataDxfId="10989"/>
  </tableColumns>
  <tableStyleInfo name="TableStyleMedium14"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table" Target="../tables/table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dimension ref="B3:U42"/>
  <sheetViews>
    <sheetView workbookViewId="0">
      <selection activeCell="C23" sqref="C23"/>
    </sheetView>
  </sheetViews>
  <sheetFormatPr defaultRowHeight="12.75"/>
  <cols>
    <col min="1" max="1" width="9.140625" style="207"/>
    <col min="2" max="2" width="27.85546875" style="207" customWidth="1"/>
    <col min="3" max="3" width="44.85546875" style="207" customWidth="1"/>
    <col min="4" max="4" width="12.85546875" style="207" bestFit="1" customWidth="1"/>
    <col min="5" max="5" width="23.42578125" style="207" bestFit="1" customWidth="1"/>
    <col min="6" max="6" width="27" style="207" bestFit="1" customWidth="1"/>
    <col min="7" max="7" width="28.5703125" style="207" bestFit="1" customWidth="1"/>
    <col min="8" max="8" width="15.42578125" style="207" customWidth="1"/>
    <col min="9" max="9" width="14.7109375" style="207" bestFit="1" customWidth="1"/>
    <col min="10" max="10" width="13.5703125" style="207" bestFit="1" customWidth="1"/>
    <col min="11" max="16384" width="9.140625" style="207"/>
  </cols>
  <sheetData>
    <row r="3" spans="2:11">
      <c r="B3" s="207" t="s">
        <v>1253</v>
      </c>
      <c r="E3" s="835" t="s">
        <v>2445</v>
      </c>
      <c r="F3" s="342"/>
      <c r="G3" s="342"/>
      <c r="H3" s="342"/>
      <c r="I3" s="155"/>
      <c r="J3" s="154"/>
      <c r="K3" s="342"/>
    </row>
    <row r="4" spans="2:11">
      <c r="E4" s="835"/>
      <c r="F4" s="342"/>
      <c r="G4" s="342"/>
      <c r="H4" s="342"/>
      <c r="I4" s="155"/>
      <c r="J4" s="154"/>
      <c r="K4" s="342"/>
    </row>
    <row r="5" spans="2:11">
      <c r="E5" s="835"/>
      <c r="F5" s="342"/>
      <c r="G5" s="342"/>
      <c r="H5" s="342"/>
      <c r="I5" s="155"/>
      <c r="J5" s="154"/>
      <c r="K5" s="342"/>
    </row>
    <row r="6" spans="2:11" s="213" customFormat="1">
      <c r="B6" s="211" t="s">
        <v>1254</v>
      </c>
      <c r="C6" s="212" t="s">
        <v>1351</v>
      </c>
      <c r="E6" s="836" t="s">
        <v>2455</v>
      </c>
      <c r="F6" s="837" t="s">
        <v>1321</v>
      </c>
      <c r="G6" s="837" t="s">
        <v>296</v>
      </c>
      <c r="H6" s="837" t="s">
        <v>2446</v>
      </c>
      <c r="I6" s="838" t="s">
        <v>2447</v>
      </c>
      <c r="J6" s="839" t="s">
        <v>2448</v>
      </c>
      <c r="K6" s="837" t="s">
        <v>2449</v>
      </c>
    </row>
    <row r="7" spans="2:11">
      <c r="B7" s="214" t="s">
        <v>1255</v>
      </c>
      <c r="C7" s="215" t="s">
        <v>1350</v>
      </c>
      <c r="E7" s="840" t="s">
        <v>2456</v>
      </c>
      <c r="F7" s="484" t="s">
        <v>2453</v>
      </c>
      <c r="G7" s="484" t="s">
        <v>2450</v>
      </c>
      <c r="H7" s="484" t="s">
        <v>2454</v>
      </c>
      <c r="I7" s="166">
        <v>5038017776</v>
      </c>
      <c r="J7" s="80"/>
      <c r="K7" s="484"/>
    </row>
    <row r="8" spans="2:11">
      <c r="B8" s="214" t="s">
        <v>1256</v>
      </c>
      <c r="C8" s="215" t="s">
        <v>1257</v>
      </c>
      <c r="E8" s="840" t="s">
        <v>2458</v>
      </c>
      <c r="F8" s="484" t="s">
        <v>2504</v>
      </c>
      <c r="G8" s="484" t="s">
        <v>2457</v>
      </c>
      <c r="H8" s="484" t="s">
        <v>2454</v>
      </c>
      <c r="I8" s="166">
        <v>5003001028</v>
      </c>
      <c r="J8" s="80"/>
      <c r="K8" s="484"/>
    </row>
    <row r="9" spans="2:11">
      <c r="B9" s="216" t="s">
        <v>1258</v>
      </c>
      <c r="C9" s="217" t="s">
        <v>1259</v>
      </c>
      <c r="E9" s="840" t="s">
        <v>2459</v>
      </c>
      <c r="F9" s="484" t="s">
        <v>2460</v>
      </c>
      <c r="G9" s="484" t="s">
        <v>2461</v>
      </c>
      <c r="H9" s="484" t="s">
        <v>2454</v>
      </c>
      <c r="I9" s="166">
        <v>5033026956</v>
      </c>
      <c r="J9" s="80"/>
      <c r="K9" s="484"/>
    </row>
    <row r="10" spans="2:11">
      <c r="B10" s="216" t="s">
        <v>1260</v>
      </c>
      <c r="C10" s="217" t="s">
        <v>1261</v>
      </c>
      <c r="E10" s="840" t="s">
        <v>2466</v>
      </c>
      <c r="F10" s="484" t="s">
        <v>2462</v>
      </c>
      <c r="G10" s="484" t="s">
        <v>2463</v>
      </c>
      <c r="H10" s="484" t="s">
        <v>2454</v>
      </c>
      <c r="I10" s="166">
        <v>5023141406</v>
      </c>
      <c r="J10" s="80"/>
      <c r="K10" s="484"/>
    </row>
    <row r="11" spans="2:11">
      <c r="B11" s="216" t="s">
        <v>1262</v>
      </c>
      <c r="C11" s="217" t="s">
        <v>1263</v>
      </c>
      <c r="E11" s="840" t="s">
        <v>2466</v>
      </c>
      <c r="F11" s="484" t="s">
        <v>2464</v>
      </c>
      <c r="G11" s="484" t="s">
        <v>2465</v>
      </c>
      <c r="H11" s="484" t="s">
        <v>2454</v>
      </c>
      <c r="I11" s="166">
        <v>5020501745</v>
      </c>
      <c r="J11" s="80"/>
      <c r="K11" s="484"/>
    </row>
    <row r="12" spans="2:11">
      <c r="B12" s="216" t="s">
        <v>1264</v>
      </c>
      <c r="C12" s="217" t="s">
        <v>1352</v>
      </c>
      <c r="E12" s="840" t="s">
        <v>2482</v>
      </c>
      <c r="F12" s="484" t="s">
        <v>2825</v>
      </c>
      <c r="G12" s="484" t="s">
        <v>2824</v>
      </c>
      <c r="H12" s="484" t="s">
        <v>2823</v>
      </c>
      <c r="I12" s="166">
        <v>499130928</v>
      </c>
      <c r="J12" s="80"/>
      <c r="K12" s="484"/>
    </row>
    <row r="13" spans="2:11">
      <c r="B13" s="216" t="s">
        <v>1265</v>
      </c>
      <c r="C13" s="217" t="s">
        <v>1353</v>
      </c>
      <c r="E13" s="840"/>
      <c r="F13" s="484"/>
      <c r="G13" s="484"/>
      <c r="H13" s="484"/>
      <c r="I13" s="166"/>
      <c r="J13" s="80"/>
      <c r="K13" s="484"/>
    </row>
    <row r="14" spans="2:11">
      <c r="B14" s="216" t="s">
        <v>1266</v>
      </c>
      <c r="C14" s="217"/>
      <c r="E14" s="840"/>
      <c r="F14" s="484"/>
      <c r="G14" s="484"/>
      <c r="H14" s="484"/>
      <c r="I14" s="166"/>
      <c r="J14" s="80"/>
      <c r="K14" s="484"/>
    </row>
    <row r="15" spans="2:11">
      <c r="B15" s="216" t="s">
        <v>1267</v>
      </c>
      <c r="C15" s="215" t="s">
        <v>1354</v>
      </c>
      <c r="E15" s="840"/>
      <c r="F15" s="484"/>
      <c r="G15" s="484"/>
      <c r="H15" s="484"/>
      <c r="I15" s="166"/>
      <c r="J15" s="80"/>
      <c r="K15" s="484"/>
    </row>
    <row r="16" spans="2:11">
      <c r="B16" s="216" t="s">
        <v>1267</v>
      </c>
      <c r="C16" s="215" t="s">
        <v>1355</v>
      </c>
      <c r="E16" s="482" t="s">
        <v>1998</v>
      </c>
      <c r="F16" s="482"/>
      <c r="G16" s="482"/>
      <c r="H16" s="482"/>
      <c r="I16" s="431"/>
      <c r="J16" s="433">
        <f>SUM(J7:J15)</f>
        <v>0</v>
      </c>
      <c r="K16" s="433">
        <f>SUM(K7:K15)</f>
        <v>0</v>
      </c>
    </row>
    <row r="17" spans="2:11">
      <c r="B17" s="216" t="s">
        <v>1268</v>
      </c>
      <c r="C17" s="215" t="s">
        <v>1356</v>
      </c>
      <c r="E17" s="835"/>
      <c r="F17" s="342"/>
      <c r="G17" s="342"/>
      <c r="H17" s="342"/>
      <c r="I17" s="155"/>
      <c r="J17" s="154"/>
      <c r="K17" s="342"/>
    </row>
    <row r="18" spans="2:11">
      <c r="B18" s="216" t="s">
        <v>1269</v>
      </c>
      <c r="C18" s="217"/>
      <c r="E18" s="835"/>
      <c r="F18" s="342"/>
      <c r="G18" s="342"/>
      <c r="H18" s="342"/>
      <c r="I18" s="155"/>
      <c r="J18" s="154"/>
      <c r="K18" s="342"/>
    </row>
    <row r="19" spans="2:11">
      <c r="B19" s="216" t="s">
        <v>1270</v>
      </c>
      <c r="C19" s="217" t="s">
        <v>1357</v>
      </c>
      <c r="E19" s="836" t="s">
        <v>2455</v>
      </c>
      <c r="F19" s="837" t="s">
        <v>1321</v>
      </c>
      <c r="G19" s="837" t="s">
        <v>296</v>
      </c>
      <c r="H19" s="837" t="s">
        <v>2446</v>
      </c>
      <c r="I19" s="838" t="s">
        <v>2447</v>
      </c>
      <c r="J19" s="839" t="s">
        <v>2448</v>
      </c>
      <c r="K19" s="837" t="s">
        <v>2449</v>
      </c>
    </row>
    <row r="20" spans="2:11">
      <c r="B20" s="216" t="s">
        <v>1271</v>
      </c>
      <c r="C20" s="217" t="s">
        <v>1272</v>
      </c>
      <c r="E20" s="840" t="s">
        <v>2469</v>
      </c>
      <c r="F20" s="484" t="s">
        <v>2468</v>
      </c>
      <c r="G20" s="484" t="s">
        <v>2470</v>
      </c>
      <c r="H20" s="484" t="s">
        <v>2467</v>
      </c>
      <c r="I20" s="166">
        <v>5022395214</v>
      </c>
      <c r="J20" s="80"/>
      <c r="K20" s="484"/>
    </row>
    <row r="21" spans="2:11" ht="25.5">
      <c r="B21" s="218" t="s">
        <v>1273</v>
      </c>
      <c r="C21" s="217" t="s">
        <v>2368</v>
      </c>
      <c r="E21" s="840" t="s">
        <v>2469</v>
      </c>
      <c r="F21" s="484" t="s">
        <v>2452</v>
      </c>
      <c r="G21" s="381" t="s">
        <v>2471</v>
      </c>
      <c r="H21" s="484" t="s">
        <v>2472</v>
      </c>
      <c r="I21" s="779">
        <v>2603033200</v>
      </c>
      <c r="J21" s="80"/>
      <c r="K21" s="484"/>
    </row>
    <row r="22" spans="2:11" ht="25.5">
      <c r="B22" s="218" t="s">
        <v>1274</v>
      </c>
      <c r="C22" s="217" t="s">
        <v>2374</v>
      </c>
      <c r="E22" s="840" t="s">
        <v>2826</v>
      </c>
      <c r="F22" s="484" t="s">
        <v>2451</v>
      </c>
      <c r="G22" s="381" t="s">
        <v>2473</v>
      </c>
      <c r="H22" s="484" t="s">
        <v>2472</v>
      </c>
      <c r="I22" s="166">
        <v>2603033366</v>
      </c>
      <c r="J22" s="80"/>
      <c r="K22" s="484"/>
    </row>
    <row r="23" spans="2:11">
      <c r="B23" s="214" t="s">
        <v>46</v>
      </c>
      <c r="C23" s="217" t="s">
        <v>2821</v>
      </c>
      <c r="E23" s="840" t="s">
        <v>2826</v>
      </c>
      <c r="F23" s="484" t="s">
        <v>2474</v>
      </c>
      <c r="G23" s="484" t="s">
        <v>2475</v>
      </c>
      <c r="H23" s="484" t="s">
        <v>2472</v>
      </c>
      <c r="I23" s="166">
        <v>2603004756</v>
      </c>
      <c r="J23" s="80"/>
      <c r="K23" s="484"/>
    </row>
    <row r="24" spans="2:11">
      <c r="B24" s="214"/>
      <c r="C24" s="219" t="s">
        <v>2822</v>
      </c>
      <c r="E24" s="840" t="s">
        <v>2826</v>
      </c>
      <c r="F24" s="484" t="s">
        <v>2476</v>
      </c>
      <c r="G24" s="484" t="s">
        <v>2477</v>
      </c>
      <c r="H24" s="484" t="s">
        <v>2472</v>
      </c>
      <c r="I24" s="166">
        <v>2611009722</v>
      </c>
      <c r="J24" s="80"/>
      <c r="K24" s="484"/>
    </row>
    <row r="25" spans="2:11">
      <c r="B25" s="214" t="s">
        <v>1275</v>
      </c>
      <c r="C25" s="217" t="s">
        <v>1358</v>
      </c>
      <c r="E25" s="840" t="s">
        <v>2469</v>
      </c>
      <c r="F25" s="484" t="s">
        <v>2478</v>
      </c>
      <c r="G25" s="484" t="s">
        <v>2479</v>
      </c>
      <c r="H25" s="484" t="s">
        <v>2472</v>
      </c>
      <c r="I25" s="166">
        <v>2603033377</v>
      </c>
      <c r="J25" s="80"/>
      <c r="K25" s="484"/>
    </row>
    <row r="26" spans="2:11">
      <c r="B26" s="220" t="s">
        <v>1276</v>
      </c>
      <c r="C26" s="217" t="s">
        <v>1359</v>
      </c>
      <c r="E26" s="840" t="s">
        <v>2826</v>
      </c>
      <c r="F26" s="484" t="s">
        <v>2480</v>
      </c>
      <c r="G26" s="484" t="s">
        <v>2481</v>
      </c>
      <c r="H26" s="484" t="s">
        <v>2472</v>
      </c>
      <c r="I26" s="166">
        <v>2603030009</v>
      </c>
      <c r="J26" s="80"/>
      <c r="K26" s="484"/>
    </row>
    <row r="27" spans="2:11">
      <c r="B27" s="220" t="s">
        <v>1277</v>
      </c>
      <c r="C27" s="217" t="s">
        <v>1360</v>
      </c>
      <c r="E27" s="840"/>
      <c r="F27" s="484"/>
      <c r="G27" s="484"/>
      <c r="H27" s="484"/>
      <c r="I27" s="166"/>
      <c r="J27" s="80"/>
      <c r="K27" s="484"/>
    </row>
    <row r="28" spans="2:11">
      <c r="B28" s="221" t="s">
        <v>1278</v>
      </c>
      <c r="C28" s="222" t="s">
        <v>1337</v>
      </c>
      <c r="E28" s="840"/>
      <c r="F28" s="484"/>
      <c r="G28" s="484"/>
      <c r="H28" s="484"/>
      <c r="I28" s="166"/>
      <c r="J28" s="80"/>
      <c r="K28" s="484"/>
    </row>
    <row r="29" spans="2:11">
      <c r="B29" s="220" t="s">
        <v>1276</v>
      </c>
      <c r="C29" s="217" t="s">
        <v>1339</v>
      </c>
      <c r="E29" s="482" t="s">
        <v>1998</v>
      </c>
      <c r="F29" s="484"/>
      <c r="G29" s="484"/>
      <c r="H29" s="484"/>
      <c r="I29" s="166"/>
      <c r="J29" s="433">
        <f>SUM(J20:J28)</f>
        <v>0</v>
      </c>
      <c r="K29" s="433">
        <f>SUM(K20:K28)</f>
        <v>0</v>
      </c>
    </row>
    <row r="30" spans="2:11">
      <c r="B30" s="220" t="s">
        <v>1277</v>
      </c>
      <c r="C30" s="219" t="s">
        <v>1361</v>
      </c>
    </row>
    <row r="33" spans="2:21">
      <c r="B33" s="203"/>
      <c r="D33" s="223"/>
    </row>
    <row r="34" spans="2:21">
      <c r="B34" s="203"/>
      <c r="D34" s="223"/>
    </row>
    <row r="35" spans="2:21">
      <c r="B35" s="203"/>
    </row>
    <row r="37" spans="2:21">
      <c r="F37" s="223"/>
    </row>
    <row r="39" spans="2:21">
      <c r="U39" s="207" t="s">
        <v>1279</v>
      </c>
    </row>
    <row r="40" spans="2:21">
      <c r="U40" s="207" t="s">
        <v>1257</v>
      </c>
    </row>
    <row r="41" spans="2:21">
      <c r="U41" s="207" t="s">
        <v>1280</v>
      </c>
    </row>
    <row r="42" spans="2:21">
      <c r="U42" s="207" t="s">
        <v>1281</v>
      </c>
    </row>
  </sheetData>
  <dataValidations count="1">
    <dataValidation type="list" allowBlank="1" showInputMessage="1" showErrorMessage="1" sqref="C8">
      <formula1>$U$39:$U$42</formula1>
    </dataValidation>
  </dataValidations>
  <pageMargins left="0.7" right="0.7" top="0.75" bottom="0.75" header="0.3" footer="0.3"/>
  <ignoredErrors>
    <ignoredError sqref="C15:C17" numberStoredAsText="1"/>
  </ignoredErrors>
  <tableParts count="1">
    <tablePart r:id="rId1"/>
  </tableParts>
</worksheet>
</file>

<file path=xl/worksheets/sheet10.xml><?xml version="1.0" encoding="utf-8"?>
<worksheet xmlns="http://schemas.openxmlformats.org/spreadsheetml/2006/main" xmlns:r="http://schemas.openxmlformats.org/officeDocument/2006/relationships">
  <dimension ref="B1:V67"/>
  <sheetViews>
    <sheetView workbookViewId="0">
      <pane xSplit="5" ySplit="6" topLeftCell="F7" activePane="bottomRight" state="frozen"/>
      <selection pane="topRight" activeCell="F1" sqref="F1"/>
      <selection pane="bottomLeft" activeCell="A7" sqref="A7"/>
      <selection pane="bottomRight" activeCell="N14" sqref="N14"/>
    </sheetView>
  </sheetViews>
  <sheetFormatPr defaultRowHeight="14.25" customHeight="1"/>
  <cols>
    <col min="1" max="1" width="4.42578125" style="154" customWidth="1"/>
    <col min="2" max="2" width="4.42578125" style="155" customWidth="1"/>
    <col min="3" max="3" width="7" style="162" customWidth="1"/>
    <col min="4" max="4" width="20.140625" style="154" customWidth="1"/>
    <col min="5" max="5" width="6.5703125" style="162" customWidth="1"/>
    <col min="6" max="6" width="9.85546875" style="154" bestFit="1" customWidth="1"/>
    <col min="7" max="7" width="6.7109375" style="154" customWidth="1"/>
    <col min="8" max="8" width="6.42578125" style="154" customWidth="1"/>
    <col min="9" max="9" width="16" style="154" bestFit="1" customWidth="1"/>
    <col min="10" max="10" width="9.5703125" style="154" customWidth="1"/>
    <col min="11" max="11" width="9.7109375" style="154" customWidth="1"/>
    <col min="12" max="12" width="7.140625" style="154" customWidth="1"/>
    <col min="13" max="13" width="10.7109375" style="154" customWidth="1"/>
    <col min="14" max="14" width="7.85546875" style="154" customWidth="1"/>
    <col min="15" max="16" width="16" style="154" bestFit="1" customWidth="1"/>
    <col min="17" max="17" width="15.140625" style="154" customWidth="1"/>
    <col min="18" max="18" width="14" style="154" customWidth="1"/>
    <col min="19" max="19" width="16" style="154" bestFit="1" customWidth="1"/>
    <col min="20" max="20" width="14.5703125" style="154" bestFit="1" customWidth="1"/>
    <col min="21" max="21" width="15" style="154" customWidth="1"/>
    <col min="22" max="22" width="24.42578125" style="154" bestFit="1" customWidth="1"/>
    <col min="23" max="24" width="9.140625" style="154"/>
    <col min="25" max="25" width="25.28515625" style="154" bestFit="1" customWidth="1"/>
    <col min="26" max="26" width="19.42578125" style="154" bestFit="1" customWidth="1"/>
    <col min="27" max="27" width="10.140625" style="154" bestFit="1" customWidth="1"/>
    <col min="28" max="28" width="11.28515625" style="154" bestFit="1" customWidth="1"/>
    <col min="29" max="29" width="9.140625" style="154"/>
    <col min="30" max="30" width="9.85546875" style="154" bestFit="1" customWidth="1"/>
    <col min="31" max="31" width="11" style="154" bestFit="1" customWidth="1"/>
    <col min="32" max="32" width="10" style="154" bestFit="1" customWidth="1"/>
    <col min="33" max="33" width="11" style="154" bestFit="1" customWidth="1"/>
    <col min="34" max="16384" width="9.140625" style="154"/>
  </cols>
  <sheetData>
    <row r="1" spans="2:22" ht="14.25" customHeight="1">
      <c r="H1" s="156" t="s">
        <v>283</v>
      </c>
    </row>
    <row r="2" spans="2:22" ht="14.25" customHeight="1">
      <c r="C2" s="154"/>
      <c r="D2" s="157"/>
    </row>
    <row r="3" spans="2:22" ht="14.25" customHeight="1">
      <c r="D3" s="154" t="s">
        <v>1655</v>
      </c>
      <c r="F3" s="169"/>
      <c r="L3" s="158" t="s">
        <v>285</v>
      </c>
      <c r="N3" s="165">
        <v>43101</v>
      </c>
      <c r="O3" s="165">
        <v>43465</v>
      </c>
      <c r="Q3" s="159" t="s">
        <v>286</v>
      </c>
      <c r="R3" s="159"/>
      <c r="T3" s="165">
        <v>43465</v>
      </c>
    </row>
    <row r="4" spans="2:22" ht="14.25" customHeight="1">
      <c r="B4" s="96">
        <f>COUNT(B7:B6022)</f>
        <v>55</v>
      </c>
      <c r="C4" s="154" t="s">
        <v>284</v>
      </c>
    </row>
    <row r="5" spans="2:22" ht="14.25" customHeight="1">
      <c r="B5" s="167"/>
      <c r="C5" s="163" t="s">
        <v>317</v>
      </c>
      <c r="D5" s="160" t="s">
        <v>979</v>
      </c>
      <c r="E5" s="163" t="s">
        <v>890</v>
      </c>
      <c r="F5" s="160" t="s">
        <v>980</v>
      </c>
      <c r="G5" s="160" t="s">
        <v>991</v>
      </c>
      <c r="H5" s="992" t="s">
        <v>983</v>
      </c>
      <c r="I5" s="992"/>
      <c r="J5" s="992" t="s">
        <v>984</v>
      </c>
      <c r="K5" s="992"/>
      <c r="L5" s="992" t="s">
        <v>288</v>
      </c>
      <c r="M5" s="992"/>
      <c r="N5" s="992" t="s">
        <v>985</v>
      </c>
      <c r="O5" s="992"/>
      <c r="P5" s="160" t="s">
        <v>987</v>
      </c>
      <c r="Q5" s="160" t="s">
        <v>986</v>
      </c>
      <c r="R5" s="160" t="s">
        <v>990</v>
      </c>
      <c r="S5" s="160" t="s">
        <v>988</v>
      </c>
      <c r="T5" s="160" t="s">
        <v>989</v>
      </c>
    </row>
    <row r="6" spans="2:22" ht="14.25" customHeight="1">
      <c r="B6" s="167"/>
      <c r="C6" s="164"/>
      <c r="D6" s="148"/>
      <c r="E6" s="164"/>
      <c r="F6" s="148"/>
      <c r="G6" s="148"/>
      <c r="H6" s="148" t="s">
        <v>981</v>
      </c>
      <c r="I6" s="148" t="s">
        <v>982</v>
      </c>
      <c r="J6" s="148" t="s">
        <v>981</v>
      </c>
      <c r="K6" s="148" t="s">
        <v>982</v>
      </c>
      <c r="L6" s="148" t="s">
        <v>981</v>
      </c>
      <c r="M6" s="148" t="s">
        <v>982</v>
      </c>
      <c r="N6" s="148" t="s">
        <v>981</v>
      </c>
      <c r="O6" s="148" t="s">
        <v>982</v>
      </c>
      <c r="P6" s="148"/>
      <c r="Q6" s="148"/>
      <c r="R6" s="148"/>
      <c r="S6" s="148"/>
      <c r="T6" s="148"/>
      <c r="U6" s="161"/>
      <c r="V6" s="161"/>
    </row>
    <row r="7" spans="2:22" ht="14.25" customHeight="1">
      <c r="B7" s="168">
        <v>1</v>
      </c>
      <c r="C7" s="166">
        <v>200200</v>
      </c>
      <c r="D7" s="80" t="s">
        <v>1656</v>
      </c>
      <c r="E7" s="166">
        <v>4001</v>
      </c>
      <c r="F7" s="165">
        <v>39630</v>
      </c>
      <c r="G7" s="80">
        <v>40</v>
      </c>
      <c r="H7" s="80">
        <v>1</v>
      </c>
      <c r="I7" s="80">
        <v>1065900000</v>
      </c>
      <c r="J7" s="80"/>
      <c r="K7" s="80"/>
      <c r="L7" s="80"/>
      <c r="M7" s="80"/>
      <c r="N7" s="80">
        <f>+H7+J7-L7</f>
        <v>1</v>
      </c>
      <c r="O7" s="80">
        <f>+I7+K7-M7</f>
        <v>1065900000</v>
      </c>
      <c r="P7" s="80">
        <v>624468309.19000006</v>
      </c>
      <c r="Q7" s="80">
        <f>+($O$3-$N$3)/(G7*364)*O7</f>
        <v>26647500</v>
      </c>
      <c r="R7" s="80"/>
      <c r="S7" s="80">
        <f>+P7+Q7-R7</f>
        <v>651115809.19000006</v>
      </c>
      <c r="T7" s="80">
        <f>+O7-S7</f>
        <v>414784190.80999994</v>
      </c>
      <c r="U7" s="154">
        <f>+O7/40</f>
        <v>26647500</v>
      </c>
      <c r="V7" s="154">
        <f>+($O$3-$N$3)/(G7*364)*(O7-P7)</f>
        <v>11035792.27025</v>
      </c>
    </row>
    <row r="8" spans="2:22" ht="14.25" customHeight="1">
      <c r="B8" s="168">
        <f>+B7+1</f>
        <v>2</v>
      </c>
      <c r="C8" s="166">
        <v>200200</v>
      </c>
      <c r="D8" s="80" t="s">
        <v>1657</v>
      </c>
      <c r="E8" s="166">
        <v>4002</v>
      </c>
      <c r="F8" s="165">
        <v>36707</v>
      </c>
      <c r="G8" s="80">
        <v>40</v>
      </c>
      <c r="H8" s="80">
        <v>1</v>
      </c>
      <c r="I8" s="80">
        <v>106905331</v>
      </c>
      <c r="J8" s="80"/>
      <c r="K8" s="80"/>
      <c r="L8" s="80"/>
      <c r="M8" s="80"/>
      <c r="N8" s="80">
        <f>+H8+J8-L8</f>
        <v>1</v>
      </c>
      <c r="O8" s="80">
        <f>+I8+K8-M8</f>
        <v>106905331</v>
      </c>
      <c r="P8" s="80">
        <v>4677108.24</v>
      </c>
      <c r="Q8" s="80">
        <v>0</v>
      </c>
      <c r="R8" s="80"/>
      <c r="S8" s="80">
        <f>+P8+Q8-R8</f>
        <v>4677108.24</v>
      </c>
      <c r="T8" s="80">
        <f>+O8-S8</f>
        <v>102228222.76000001</v>
      </c>
    </row>
    <row r="9" spans="2:22" ht="14.25" customHeight="1">
      <c r="B9" s="168">
        <f t="shared" ref="B9:B61" si="0">+B8+1</f>
        <v>3</v>
      </c>
      <c r="C9" s="166">
        <v>200100</v>
      </c>
      <c r="D9" s="80" t="s">
        <v>1658</v>
      </c>
      <c r="E9" s="166">
        <v>3001</v>
      </c>
      <c r="F9" s="165"/>
      <c r="G9" s="80">
        <v>3</v>
      </c>
      <c r="H9" s="80">
        <v>1</v>
      </c>
      <c r="I9" s="80">
        <v>1031100</v>
      </c>
      <c r="J9" s="80"/>
      <c r="K9" s="80"/>
      <c r="L9" s="80"/>
      <c r="M9" s="80"/>
      <c r="N9" s="80">
        <f t="shared" ref="N9:N55" si="1">+H9+J9-L9</f>
        <v>1</v>
      </c>
      <c r="O9" s="80">
        <f>+I9+K9-M9</f>
        <v>1031100</v>
      </c>
      <c r="P9" s="80">
        <v>1030996.92</v>
      </c>
      <c r="Q9" s="80">
        <f t="shared" ref="Q9:Q16" si="2">+($O$3-$N$3)/(G9*364)*O9</f>
        <v>343700</v>
      </c>
      <c r="R9" s="80"/>
      <c r="S9" s="80">
        <f t="shared" ref="S9:S55" si="3">+P9+Q9-R9</f>
        <v>1374696.92</v>
      </c>
      <c r="T9" s="80">
        <f t="shared" ref="T9:T55" si="4">+O9-S9</f>
        <v>-343596.91999999993</v>
      </c>
    </row>
    <row r="10" spans="2:22" ht="14.25" customHeight="1">
      <c r="B10" s="168">
        <f t="shared" si="0"/>
        <v>4</v>
      </c>
      <c r="C10" s="166">
        <v>200100</v>
      </c>
      <c r="D10" s="80" t="s">
        <v>1659</v>
      </c>
      <c r="E10" s="166">
        <v>1001</v>
      </c>
      <c r="F10" s="165"/>
      <c r="G10" s="80">
        <v>3</v>
      </c>
      <c r="H10" s="80">
        <v>6</v>
      </c>
      <c r="I10" s="80">
        <v>4534500</v>
      </c>
      <c r="J10" s="80"/>
      <c r="K10" s="80"/>
      <c r="L10" s="80"/>
      <c r="M10" s="80"/>
      <c r="N10" s="80">
        <f t="shared" si="1"/>
        <v>6</v>
      </c>
      <c r="O10" s="80">
        <f>+I10+K10-M10</f>
        <v>4534500</v>
      </c>
      <c r="P10" s="80">
        <v>4468594.25</v>
      </c>
      <c r="Q10" s="80">
        <f t="shared" si="2"/>
        <v>1511500</v>
      </c>
      <c r="R10" s="80"/>
      <c r="S10" s="80">
        <f t="shared" si="3"/>
        <v>5980094.25</v>
      </c>
      <c r="T10" s="80">
        <f t="shared" si="4"/>
        <v>-1445594.25</v>
      </c>
    </row>
    <row r="11" spans="2:22" ht="14.25" customHeight="1">
      <c r="B11" s="168">
        <f t="shared" si="0"/>
        <v>5</v>
      </c>
      <c r="C11" s="166">
        <v>200100</v>
      </c>
      <c r="D11" s="80" t="s">
        <v>1699</v>
      </c>
      <c r="E11" s="166">
        <v>1002</v>
      </c>
      <c r="F11" s="165"/>
      <c r="G11" s="80">
        <v>3</v>
      </c>
      <c r="H11" s="80">
        <v>1</v>
      </c>
      <c r="I11" s="80">
        <v>328160</v>
      </c>
      <c r="J11" s="80"/>
      <c r="K11" s="80"/>
      <c r="L11" s="80"/>
      <c r="M11" s="80"/>
      <c r="N11" s="80">
        <f t="shared" si="1"/>
        <v>1</v>
      </c>
      <c r="O11" s="80">
        <f>+I11+K11-M11</f>
        <v>328160</v>
      </c>
      <c r="P11" s="80">
        <v>328160</v>
      </c>
      <c r="Q11" s="80">
        <f t="shared" si="2"/>
        <v>109386.66666666666</v>
      </c>
      <c r="R11" s="80"/>
      <c r="S11" s="80">
        <f>+P11+Q11-R11</f>
        <v>437546.66666666663</v>
      </c>
      <c r="T11" s="80">
        <f>+O11-S11</f>
        <v>-109386.66666666663</v>
      </c>
    </row>
    <row r="12" spans="2:22" ht="14.25" customHeight="1">
      <c r="B12" s="168">
        <f t="shared" si="0"/>
        <v>6</v>
      </c>
      <c r="C12" s="166">
        <v>200100</v>
      </c>
      <c r="D12" s="80" t="s">
        <v>1700</v>
      </c>
      <c r="E12" s="166">
        <v>1003</v>
      </c>
      <c r="F12" s="165"/>
      <c r="G12" s="80">
        <v>3</v>
      </c>
      <c r="H12" s="80">
        <v>1</v>
      </c>
      <c r="I12" s="80">
        <v>90909.09</v>
      </c>
      <c r="J12" s="80"/>
      <c r="K12" s="80"/>
      <c r="L12" s="80"/>
      <c r="M12" s="80"/>
      <c r="N12" s="80">
        <f t="shared" si="1"/>
        <v>1</v>
      </c>
      <c r="O12" s="80">
        <f>+I12+K12-M12</f>
        <v>90909.09</v>
      </c>
      <c r="P12" s="80">
        <v>90909.09</v>
      </c>
      <c r="Q12" s="80">
        <f t="shared" si="2"/>
        <v>30303.03</v>
      </c>
      <c r="R12" s="80"/>
      <c r="S12" s="80">
        <f>+P12+Q12-R12</f>
        <v>121212.12</v>
      </c>
      <c r="T12" s="80">
        <f>+O12-S12</f>
        <v>-30303.03</v>
      </c>
    </row>
    <row r="13" spans="2:22" ht="14.25" customHeight="1">
      <c r="B13" s="168">
        <f t="shared" si="0"/>
        <v>7</v>
      </c>
      <c r="C13" s="166">
        <v>200100</v>
      </c>
      <c r="D13" s="80" t="s">
        <v>1701</v>
      </c>
      <c r="E13" s="166">
        <v>1004</v>
      </c>
      <c r="F13" s="165"/>
      <c r="G13" s="80">
        <v>3</v>
      </c>
      <c r="H13" s="80">
        <v>1</v>
      </c>
      <c r="I13" s="80">
        <v>216954.6</v>
      </c>
      <c r="J13" s="80"/>
      <c r="K13" s="80"/>
      <c r="L13" s="80"/>
      <c r="M13" s="80"/>
      <c r="N13" s="80">
        <f t="shared" si="1"/>
        <v>1</v>
      </c>
      <c r="O13" s="80">
        <f>+I13+K13-M13</f>
        <v>216954.6</v>
      </c>
      <c r="P13" s="80">
        <v>216954.6</v>
      </c>
      <c r="Q13" s="80">
        <f t="shared" si="2"/>
        <v>72318.2</v>
      </c>
      <c r="R13" s="80"/>
      <c r="S13" s="80">
        <f>+P13+Q13-R13</f>
        <v>289272.8</v>
      </c>
      <c r="T13" s="80">
        <f>+O13-S13</f>
        <v>-72318.199999999983</v>
      </c>
    </row>
    <row r="14" spans="2:22" ht="14.25" customHeight="1">
      <c r="B14" s="168">
        <f t="shared" si="0"/>
        <v>8</v>
      </c>
      <c r="C14" s="166">
        <v>200100</v>
      </c>
      <c r="D14" s="80"/>
      <c r="E14" s="166"/>
      <c r="F14" s="165"/>
      <c r="G14" s="80">
        <v>3</v>
      </c>
      <c r="H14" s="80"/>
      <c r="I14" s="80"/>
      <c r="J14" s="80"/>
      <c r="K14" s="80"/>
      <c r="L14" s="80"/>
      <c r="M14" s="80"/>
      <c r="N14" s="80"/>
      <c r="O14" s="80"/>
      <c r="P14" s="80"/>
      <c r="Q14" s="80">
        <f t="shared" si="2"/>
        <v>0</v>
      </c>
      <c r="R14" s="80"/>
      <c r="S14" s="80">
        <f>+P14+Q14-R14</f>
        <v>0</v>
      </c>
      <c r="T14" s="80">
        <f>+O14-S14</f>
        <v>0</v>
      </c>
    </row>
    <row r="15" spans="2:22" ht="14.25" customHeight="1">
      <c r="B15" s="168">
        <f t="shared" si="0"/>
        <v>9</v>
      </c>
      <c r="C15" s="166">
        <v>200100</v>
      </c>
      <c r="D15" s="80" t="s">
        <v>1660</v>
      </c>
      <c r="E15" s="166">
        <v>1002</v>
      </c>
      <c r="F15" s="165"/>
      <c r="G15" s="80">
        <v>3</v>
      </c>
      <c r="H15" s="80">
        <v>3</v>
      </c>
      <c r="I15" s="80">
        <v>5917000</v>
      </c>
      <c r="J15" s="80"/>
      <c r="K15" s="80"/>
      <c r="L15" s="80"/>
      <c r="M15" s="80"/>
      <c r="N15" s="80">
        <f t="shared" si="1"/>
        <v>3</v>
      </c>
      <c r="O15" s="80">
        <f t="shared" ref="O15:O27" si="5">+I15+K15-M15</f>
        <v>5917000</v>
      </c>
      <c r="P15" s="80">
        <v>5603322</v>
      </c>
      <c r="Q15" s="80">
        <f t="shared" si="2"/>
        <v>1972333.3333333333</v>
      </c>
      <c r="R15" s="80"/>
      <c r="S15" s="80">
        <f t="shared" si="3"/>
        <v>7575655.333333333</v>
      </c>
      <c r="T15" s="80">
        <f t="shared" si="4"/>
        <v>-1658655.333333333</v>
      </c>
    </row>
    <row r="16" spans="2:22" ht="14.25" customHeight="1">
      <c r="B16" s="168">
        <f t="shared" si="0"/>
        <v>10</v>
      </c>
      <c r="C16" s="166">
        <v>200100</v>
      </c>
      <c r="D16" s="80" t="s">
        <v>1661</v>
      </c>
      <c r="E16" s="166">
        <v>1003</v>
      </c>
      <c r="F16" s="165"/>
      <c r="G16" s="80">
        <v>3</v>
      </c>
      <c r="H16" s="80">
        <v>1</v>
      </c>
      <c r="I16" s="80">
        <v>350000</v>
      </c>
      <c r="J16" s="80"/>
      <c r="K16" s="80"/>
      <c r="L16" s="80"/>
      <c r="M16" s="80"/>
      <c r="N16" s="80">
        <f t="shared" si="1"/>
        <v>1</v>
      </c>
      <c r="O16" s="80">
        <f t="shared" si="5"/>
        <v>350000</v>
      </c>
      <c r="P16" s="80">
        <v>291637.5</v>
      </c>
      <c r="Q16" s="80">
        <f t="shared" si="2"/>
        <v>116666.66666666666</v>
      </c>
      <c r="R16" s="80"/>
      <c r="S16" s="80">
        <f t="shared" si="3"/>
        <v>408304.16666666663</v>
      </c>
      <c r="T16" s="80">
        <f t="shared" si="4"/>
        <v>-58304.166666666628</v>
      </c>
    </row>
    <row r="17" spans="2:20" ht="14.25" customHeight="1">
      <c r="B17" s="168">
        <f t="shared" si="0"/>
        <v>11</v>
      </c>
      <c r="C17" s="166">
        <v>200100</v>
      </c>
      <c r="D17" s="80" t="s">
        <v>1662</v>
      </c>
      <c r="E17" s="166">
        <v>1004</v>
      </c>
      <c r="F17" s="165"/>
      <c r="G17" s="80">
        <v>3</v>
      </c>
      <c r="H17" s="80">
        <v>1</v>
      </c>
      <c r="I17" s="80">
        <v>1516000</v>
      </c>
      <c r="J17" s="80"/>
      <c r="K17" s="80"/>
      <c r="L17" s="80"/>
      <c r="M17" s="80"/>
      <c r="N17" s="80">
        <f t="shared" si="1"/>
        <v>1</v>
      </c>
      <c r="O17" s="80">
        <f t="shared" si="5"/>
        <v>1516000</v>
      </c>
      <c r="P17" s="80">
        <v>1263207</v>
      </c>
      <c r="Q17" s="80"/>
      <c r="R17" s="80"/>
      <c r="S17" s="80">
        <f t="shared" si="3"/>
        <v>1263207</v>
      </c>
      <c r="T17" s="80">
        <f t="shared" si="4"/>
        <v>252793</v>
      </c>
    </row>
    <row r="18" spans="2:20" ht="14.25" customHeight="1">
      <c r="B18" s="168">
        <f t="shared" si="0"/>
        <v>12</v>
      </c>
      <c r="C18" s="166">
        <v>200400</v>
      </c>
      <c r="D18" s="80" t="s">
        <v>1663</v>
      </c>
      <c r="E18" s="166">
        <v>5001</v>
      </c>
      <c r="F18" s="165"/>
      <c r="G18" s="80">
        <v>10</v>
      </c>
      <c r="H18" s="80">
        <v>4</v>
      </c>
      <c r="I18" s="80">
        <v>20573692</v>
      </c>
      <c r="J18" s="80"/>
      <c r="K18" s="80"/>
      <c r="L18" s="80"/>
      <c r="M18" s="80"/>
      <c r="N18" s="80">
        <f t="shared" si="1"/>
        <v>4</v>
      </c>
      <c r="O18" s="80">
        <f t="shared" si="5"/>
        <v>20573692</v>
      </c>
      <c r="P18" s="80">
        <v>20359382.710000001</v>
      </c>
      <c r="Q18" s="80"/>
      <c r="R18" s="80"/>
      <c r="S18" s="80">
        <f t="shared" si="3"/>
        <v>20359382.710000001</v>
      </c>
      <c r="T18" s="80">
        <f t="shared" si="4"/>
        <v>214309.28999999911</v>
      </c>
    </row>
    <row r="19" spans="2:20" ht="14.25" customHeight="1">
      <c r="B19" s="168">
        <f t="shared" si="0"/>
        <v>13</v>
      </c>
      <c r="C19" s="166">
        <v>200100</v>
      </c>
      <c r="D19" s="80" t="s">
        <v>1664</v>
      </c>
      <c r="E19" s="166">
        <v>5002</v>
      </c>
      <c r="F19" s="165"/>
      <c r="G19" s="80">
        <v>10</v>
      </c>
      <c r="H19" s="80">
        <v>1</v>
      </c>
      <c r="I19" s="80">
        <v>350000</v>
      </c>
      <c r="J19" s="80"/>
      <c r="K19" s="80"/>
      <c r="L19" s="80"/>
      <c r="M19" s="80"/>
      <c r="N19" s="80">
        <f t="shared" si="1"/>
        <v>1</v>
      </c>
      <c r="O19" s="80">
        <f t="shared" si="5"/>
        <v>350000</v>
      </c>
      <c r="P19" s="80">
        <v>288750</v>
      </c>
      <c r="Q19" s="80"/>
      <c r="R19" s="80"/>
      <c r="S19" s="80">
        <f t="shared" si="3"/>
        <v>288750</v>
      </c>
      <c r="T19" s="80">
        <f t="shared" si="4"/>
        <v>61250</v>
      </c>
    </row>
    <row r="20" spans="2:20" ht="14.25" customHeight="1">
      <c r="B20" s="168">
        <f t="shared" si="0"/>
        <v>14</v>
      </c>
      <c r="C20" s="166">
        <v>200100</v>
      </c>
      <c r="D20" s="80" t="s">
        <v>1665</v>
      </c>
      <c r="E20" s="166">
        <v>5003</v>
      </c>
      <c r="F20" s="165"/>
      <c r="G20" s="80">
        <v>10</v>
      </c>
      <c r="H20" s="80">
        <v>1</v>
      </c>
      <c r="I20" s="80">
        <v>18688000</v>
      </c>
      <c r="J20" s="80"/>
      <c r="K20" s="80"/>
      <c r="L20" s="80"/>
      <c r="M20" s="80"/>
      <c r="N20" s="80">
        <f t="shared" si="1"/>
        <v>1</v>
      </c>
      <c r="O20" s="80">
        <f t="shared" si="5"/>
        <v>18688000</v>
      </c>
      <c r="P20" s="80">
        <v>15417600</v>
      </c>
      <c r="Q20" s="80"/>
      <c r="R20" s="80"/>
      <c r="S20" s="80">
        <f t="shared" si="3"/>
        <v>15417600</v>
      </c>
      <c r="T20" s="80">
        <f t="shared" si="4"/>
        <v>3270400</v>
      </c>
    </row>
    <row r="21" spans="2:20" ht="14.25" customHeight="1">
      <c r="B21" s="168">
        <f t="shared" si="0"/>
        <v>15</v>
      </c>
      <c r="C21" s="166">
        <v>200100</v>
      </c>
      <c r="D21" s="80" t="s">
        <v>1666</v>
      </c>
      <c r="E21" s="166">
        <v>5004</v>
      </c>
      <c r="F21" s="165"/>
      <c r="G21" s="80">
        <v>10</v>
      </c>
      <c r="H21" s="80">
        <v>1</v>
      </c>
      <c r="I21" s="80">
        <v>1039963</v>
      </c>
      <c r="J21" s="80"/>
      <c r="K21" s="80"/>
      <c r="L21" s="80"/>
      <c r="M21" s="80"/>
      <c r="N21" s="80">
        <f t="shared" si="1"/>
        <v>1</v>
      </c>
      <c r="O21" s="80">
        <f t="shared" si="5"/>
        <v>1039963</v>
      </c>
      <c r="P21" s="80">
        <v>805971.48</v>
      </c>
      <c r="Q21" s="80"/>
      <c r="R21" s="80"/>
      <c r="S21" s="80">
        <f t="shared" si="3"/>
        <v>805971.48</v>
      </c>
      <c r="T21" s="80">
        <f t="shared" si="4"/>
        <v>233991.52000000002</v>
      </c>
    </row>
    <row r="22" spans="2:20" ht="14.25" customHeight="1">
      <c r="B22" s="168">
        <f t="shared" si="0"/>
        <v>16</v>
      </c>
      <c r="C22" s="166">
        <v>200100</v>
      </c>
      <c r="D22" s="80" t="s">
        <v>1667</v>
      </c>
      <c r="E22" s="166">
        <v>5005</v>
      </c>
      <c r="F22" s="165"/>
      <c r="G22" s="80">
        <v>10</v>
      </c>
      <c r="H22" s="80">
        <v>1</v>
      </c>
      <c r="I22" s="80">
        <v>2218589.2000000002</v>
      </c>
      <c r="J22" s="80"/>
      <c r="K22" s="80"/>
      <c r="L22" s="80"/>
      <c r="M22" s="80"/>
      <c r="N22" s="80">
        <f t="shared" si="1"/>
        <v>1</v>
      </c>
      <c r="O22" s="80">
        <f t="shared" si="5"/>
        <v>2218589.2000000002</v>
      </c>
      <c r="P22" s="80">
        <v>1719406.63</v>
      </c>
      <c r="Q22" s="80"/>
      <c r="R22" s="80"/>
      <c r="S22" s="80">
        <f t="shared" si="3"/>
        <v>1719406.63</v>
      </c>
      <c r="T22" s="80">
        <f t="shared" si="4"/>
        <v>499182.5700000003</v>
      </c>
    </row>
    <row r="23" spans="2:20" ht="14.25" customHeight="1">
      <c r="B23" s="168">
        <f t="shared" si="0"/>
        <v>17</v>
      </c>
      <c r="C23" s="166">
        <v>200100</v>
      </c>
      <c r="D23" s="80" t="s">
        <v>1667</v>
      </c>
      <c r="E23" s="166">
        <v>5006</v>
      </c>
      <c r="F23" s="165"/>
      <c r="G23" s="80">
        <v>10</v>
      </c>
      <c r="H23" s="80">
        <v>1</v>
      </c>
      <c r="I23" s="80">
        <v>1109294.6000000001</v>
      </c>
      <c r="J23" s="80"/>
      <c r="K23" s="80"/>
      <c r="L23" s="80"/>
      <c r="M23" s="80"/>
      <c r="N23" s="80">
        <f t="shared" si="1"/>
        <v>1</v>
      </c>
      <c r="O23" s="80">
        <f t="shared" si="5"/>
        <v>1109294.6000000001</v>
      </c>
      <c r="P23" s="80">
        <v>859703.47</v>
      </c>
      <c r="Q23" s="80"/>
      <c r="R23" s="80"/>
      <c r="S23" s="80">
        <f t="shared" si="3"/>
        <v>859703.47</v>
      </c>
      <c r="T23" s="80">
        <f t="shared" si="4"/>
        <v>249591.13000000012</v>
      </c>
    </row>
    <row r="24" spans="2:20" ht="14.25" customHeight="1">
      <c r="B24" s="168">
        <f t="shared" si="0"/>
        <v>18</v>
      </c>
      <c r="C24" s="166">
        <v>200100</v>
      </c>
      <c r="D24" s="80" t="s">
        <v>1667</v>
      </c>
      <c r="E24" s="166">
        <v>5007</v>
      </c>
      <c r="F24" s="165"/>
      <c r="G24" s="80">
        <v>10</v>
      </c>
      <c r="H24" s="80">
        <v>1</v>
      </c>
      <c r="I24" s="80">
        <v>1109294.6000000001</v>
      </c>
      <c r="J24" s="80"/>
      <c r="K24" s="80"/>
      <c r="L24" s="80"/>
      <c r="M24" s="80"/>
      <c r="N24" s="80">
        <f>+H24+J24-L24</f>
        <v>1</v>
      </c>
      <c r="O24" s="80">
        <f t="shared" si="5"/>
        <v>1109294.6000000001</v>
      </c>
      <c r="P24" s="80">
        <v>859703.47</v>
      </c>
      <c r="Q24" s="80"/>
      <c r="R24" s="80"/>
      <c r="S24" s="80">
        <f t="shared" si="3"/>
        <v>859703.47</v>
      </c>
      <c r="T24" s="80">
        <f t="shared" si="4"/>
        <v>249591.13000000012</v>
      </c>
    </row>
    <row r="25" spans="2:20" ht="14.25" customHeight="1">
      <c r="B25" s="168">
        <f t="shared" si="0"/>
        <v>19</v>
      </c>
      <c r="C25" s="166">
        <v>200100</v>
      </c>
      <c r="D25" s="80" t="s">
        <v>1668</v>
      </c>
      <c r="E25" s="166">
        <v>5008</v>
      </c>
      <c r="F25" s="165"/>
      <c r="G25" s="80">
        <v>10</v>
      </c>
      <c r="H25" s="80">
        <v>1</v>
      </c>
      <c r="I25" s="80">
        <v>5407811.1699999999</v>
      </c>
      <c r="J25" s="80"/>
      <c r="K25" s="80"/>
      <c r="L25" s="80"/>
      <c r="M25" s="80"/>
      <c r="N25" s="80">
        <f t="shared" si="1"/>
        <v>1</v>
      </c>
      <c r="O25" s="80">
        <f t="shared" si="5"/>
        <v>5407811.1699999999</v>
      </c>
      <c r="P25" s="80">
        <v>4191053.68</v>
      </c>
      <c r="Q25" s="80"/>
      <c r="R25" s="80"/>
      <c r="S25" s="80">
        <f t="shared" si="3"/>
        <v>4191053.68</v>
      </c>
      <c r="T25" s="80">
        <f t="shared" si="4"/>
        <v>1216757.4899999998</v>
      </c>
    </row>
    <row r="26" spans="2:20" ht="14.25" customHeight="1">
      <c r="B26" s="168">
        <f t="shared" si="0"/>
        <v>20</v>
      </c>
      <c r="C26" s="166">
        <v>200100</v>
      </c>
      <c r="D26" s="80" t="s">
        <v>1669</v>
      </c>
      <c r="E26" s="166">
        <v>5009</v>
      </c>
      <c r="F26" s="165"/>
      <c r="G26" s="80">
        <v>10</v>
      </c>
      <c r="H26" s="80">
        <v>1</v>
      </c>
      <c r="I26" s="80">
        <v>25929761.23</v>
      </c>
      <c r="J26" s="80"/>
      <c r="K26" s="80"/>
      <c r="L26" s="80"/>
      <c r="M26" s="80"/>
      <c r="N26" s="80">
        <f t="shared" si="1"/>
        <v>1</v>
      </c>
      <c r="O26" s="80">
        <f t="shared" si="5"/>
        <v>25929761.23</v>
      </c>
      <c r="P26" s="80">
        <v>20095564.93</v>
      </c>
      <c r="Q26" s="80"/>
      <c r="R26" s="80"/>
      <c r="S26" s="80">
        <f t="shared" si="3"/>
        <v>20095564.93</v>
      </c>
      <c r="T26" s="80">
        <f t="shared" si="4"/>
        <v>5834196.3000000007</v>
      </c>
    </row>
    <row r="27" spans="2:20" ht="14.25" customHeight="1">
      <c r="B27" s="168">
        <f t="shared" si="0"/>
        <v>21</v>
      </c>
      <c r="C27" s="166">
        <v>200100</v>
      </c>
      <c r="D27" s="80" t="s">
        <v>1670</v>
      </c>
      <c r="E27" s="166">
        <v>5010</v>
      </c>
      <c r="F27" s="165"/>
      <c r="G27" s="80">
        <v>10</v>
      </c>
      <c r="H27" s="80">
        <v>1</v>
      </c>
      <c r="I27" s="80">
        <v>3050560.14</v>
      </c>
      <c r="J27" s="80"/>
      <c r="K27" s="80"/>
      <c r="L27" s="80"/>
      <c r="M27" s="80"/>
      <c r="N27" s="80">
        <f t="shared" si="1"/>
        <v>1</v>
      </c>
      <c r="O27" s="80">
        <f t="shared" si="5"/>
        <v>3050560.14</v>
      </c>
      <c r="P27" s="80">
        <v>2364184</v>
      </c>
      <c r="Q27" s="80"/>
      <c r="R27" s="80"/>
      <c r="S27" s="80">
        <f t="shared" si="3"/>
        <v>2364184</v>
      </c>
      <c r="T27" s="80">
        <f t="shared" si="4"/>
        <v>686376.14000000013</v>
      </c>
    </row>
    <row r="28" spans="2:20" ht="14.25" customHeight="1">
      <c r="B28" s="168">
        <f t="shared" si="0"/>
        <v>22</v>
      </c>
      <c r="C28" s="166">
        <v>200100</v>
      </c>
      <c r="D28" s="80" t="s">
        <v>1671</v>
      </c>
      <c r="E28" s="166">
        <v>5011</v>
      </c>
      <c r="F28" s="165"/>
      <c r="G28" s="80">
        <v>10</v>
      </c>
      <c r="H28" s="80">
        <v>1</v>
      </c>
      <c r="I28" s="80">
        <v>5269149.34</v>
      </c>
      <c r="J28" s="80"/>
      <c r="K28" s="80"/>
      <c r="L28" s="80"/>
      <c r="M28" s="80"/>
      <c r="N28" s="80">
        <f t="shared" si="1"/>
        <v>1</v>
      </c>
      <c r="O28" s="80">
        <f t="shared" ref="O28:O55" si="6">+I28+K28-M28</f>
        <v>5269149.34</v>
      </c>
      <c r="P28" s="80">
        <v>4083590.63</v>
      </c>
      <c r="Q28" s="80"/>
      <c r="R28" s="80"/>
      <c r="S28" s="80">
        <f t="shared" si="3"/>
        <v>4083590.63</v>
      </c>
      <c r="T28" s="80">
        <f t="shared" si="4"/>
        <v>1185558.71</v>
      </c>
    </row>
    <row r="29" spans="2:20" ht="14.25" customHeight="1">
      <c r="B29" s="168">
        <f t="shared" si="0"/>
        <v>23</v>
      </c>
      <c r="C29" s="166">
        <v>200100</v>
      </c>
      <c r="D29" s="80" t="s">
        <v>1672</v>
      </c>
      <c r="E29" s="166">
        <v>5012</v>
      </c>
      <c r="F29" s="165"/>
      <c r="G29" s="80">
        <v>10</v>
      </c>
      <c r="H29" s="80">
        <v>1</v>
      </c>
      <c r="I29" s="80">
        <v>12479564.220000001</v>
      </c>
      <c r="J29" s="80"/>
      <c r="K29" s="80"/>
      <c r="L29" s="80"/>
      <c r="M29" s="80"/>
      <c r="N29" s="80">
        <f t="shared" si="1"/>
        <v>1</v>
      </c>
      <c r="O29" s="80">
        <f t="shared" si="6"/>
        <v>12479564.220000001</v>
      </c>
      <c r="P29" s="80">
        <v>9671662.4100000001</v>
      </c>
      <c r="Q29" s="80"/>
      <c r="R29" s="80"/>
      <c r="S29" s="80">
        <f t="shared" si="3"/>
        <v>9671662.4100000001</v>
      </c>
      <c r="T29" s="80">
        <f t="shared" si="4"/>
        <v>2807901.8100000005</v>
      </c>
    </row>
    <row r="30" spans="2:20" ht="14.25" customHeight="1">
      <c r="B30" s="168">
        <f t="shared" si="0"/>
        <v>24</v>
      </c>
      <c r="C30" s="166">
        <v>200100</v>
      </c>
      <c r="D30" s="80" t="s">
        <v>1673</v>
      </c>
      <c r="E30" s="166">
        <v>5013</v>
      </c>
      <c r="F30" s="165"/>
      <c r="G30" s="80">
        <v>10</v>
      </c>
      <c r="H30" s="80">
        <v>1</v>
      </c>
      <c r="I30" s="80">
        <v>40211929.18</v>
      </c>
      <c r="J30" s="80"/>
      <c r="K30" s="80"/>
      <c r="L30" s="80"/>
      <c r="M30" s="80"/>
      <c r="N30" s="80">
        <f t="shared" si="1"/>
        <v>1</v>
      </c>
      <c r="O30" s="80">
        <f t="shared" si="6"/>
        <v>40211929.18</v>
      </c>
      <c r="P30" s="80">
        <v>31164245.129999999</v>
      </c>
      <c r="Q30" s="80"/>
      <c r="R30" s="80"/>
      <c r="S30" s="80">
        <f t="shared" si="3"/>
        <v>31164245.129999999</v>
      </c>
      <c r="T30" s="80">
        <f t="shared" si="4"/>
        <v>9047684.0500000007</v>
      </c>
    </row>
    <row r="31" spans="2:20" ht="14.25" customHeight="1">
      <c r="B31" s="168">
        <f t="shared" si="0"/>
        <v>25</v>
      </c>
      <c r="C31" s="166">
        <v>200100</v>
      </c>
      <c r="D31" s="80" t="s">
        <v>1674</v>
      </c>
      <c r="E31" s="166">
        <v>5014</v>
      </c>
      <c r="F31" s="165"/>
      <c r="G31" s="80">
        <v>10</v>
      </c>
      <c r="H31" s="80">
        <v>1</v>
      </c>
      <c r="I31" s="80">
        <v>7487738.54</v>
      </c>
      <c r="J31" s="80"/>
      <c r="K31" s="80"/>
      <c r="L31" s="80"/>
      <c r="M31" s="80"/>
      <c r="N31" s="80">
        <f t="shared" si="1"/>
        <v>1</v>
      </c>
      <c r="O31" s="80">
        <f t="shared" si="6"/>
        <v>7487738.54</v>
      </c>
      <c r="P31" s="80">
        <v>5802997.2599999998</v>
      </c>
      <c r="Q31" s="80"/>
      <c r="R31" s="80"/>
      <c r="S31" s="80">
        <f t="shared" si="3"/>
        <v>5802997.2599999998</v>
      </c>
      <c r="T31" s="80">
        <f t="shared" si="4"/>
        <v>1684741.2800000003</v>
      </c>
    </row>
    <row r="32" spans="2:20" ht="14.25" customHeight="1">
      <c r="B32" s="168">
        <f t="shared" si="0"/>
        <v>26</v>
      </c>
      <c r="C32" s="166">
        <v>200100</v>
      </c>
      <c r="D32" s="80" t="s">
        <v>1675</v>
      </c>
      <c r="E32" s="166">
        <v>5015</v>
      </c>
      <c r="F32" s="165"/>
      <c r="G32" s="80">
        <v>10</v>
      </c>
      <c r="H32" s="80">
        <v>1</v>
      </c>
      <c r="I32" s="80">
        <v>3327883.79</v>
      </c>
      <c r="J32" s="80"/>
      <c r="K32" s="80"/>
      <c r="L32" s="80"/>
      <c r="M32" s="80"/>
      <c r="N32" s="80">
        <f t="shared" si="1"/>
        <v>1</v>
      </c>
      <c r="O32" s="80">
        <f t="shared" si="6"/>
        <v>3327883.79</v>
      </c>
      <c r="P32" s="80">
        <v>2579109.79</v>
      </c>
      <c r="Q32" s="80"/>
      <c r="R32" s="80"/>
      <c r="S32" s="80">
        <f t="shared" si="3"/>
        <v>2579109.79</v>
      </c>
      <c r="T32" s="80">
        <f t="shared" si="4"/>
        <v>748774</v>
      </c>
    </row>
    <row r="33" spans="2:20" ht="14.25" customHeight="1">
      <c r="B33" s="168">
        <f t="shared" si="0"/>
        <v>27</v>
      </c>
      <c r="C33" s="166">
        <v>200100</v>
      </c>
      <c r="D33" s="80" t="s">
        <v>1676</v>
      </c>
      <c r="E33" s="166">
        <v>5016</v>
      </c>
      <c r="F33" s="165"/>
      <c r="G33" s="80">
        <v>10</v>
      </c>
      <c r="H33" s="80">
        <v>1</v>
      </c>
      <c r="I33" s="80">
        <v>26345746.699999999</v>
      </c>
      <c r="J33" s="80"/>
      <c r="K33" s="80"/>
      <c r="L33" s="80"/>
      <c r="M33" s="80"/>
      <c r="N33" s="80">
        <f t="shared" si="1"/>
        <v>1</v>
      </c>
      <c r="O33" s="80">
        <f t="shared" si="6"/>
        <v>26345746.699999999</v>
      </c>
      <c r="P33" s="80">
        <v>20417953.77</v>
      </c>
      <c r="Q33" s="80"/>
      <c r="R33" s="80"/>
      <c r="S33" s="80">
        <f t="shared" si="3"/>
        <v>20417953.77</v>
      </c>
      <c r="T33" s="80">
        <f t="shared" si="4"/>
        <v>5927792.9299999997</v>
      </c>
    </row>
    <row r="34" spans="2:20" ht="14.25" customHeight="1">
      <c r="B34" s="168">
        <f t="shared" si="0"/>
        <v>28</v>
      </c>
      <c r="C34" s="166">
        <v>200100</v>
      </c>
      <c r="D34" s="80" t="s">
        <v>1677</v>
      </c>
      <c r="E34" s="166">
        <v>5017</v>
      </c>
      <c r="F34" s="165"/>
      <c r="G34" s="80">
        <v>10</v>
      </c>
      <c r="H34" s="80">
        <v>1</v>
      </c>
      <c r="I34" s="80">
        <v>68220494.950000003</v>
      </c>
      <c r="J34" s="80"/>
      <c r="K34" s="80"/>
      <c r="L34" s="80"/>
      <c r="M34" s="80"/>
      <c r="N34" s="80">
        <f t="shared" si="1"/>
        <v>1</v>
      </c>
      <c r="O34" s="80">
        <f t="shared" si="6"/>
        <v>68220494.950000003</v>
      </c>
      <c r="P34" s="80">
        <v>52870883.469999999</v>
      </c>
      <c r="Q34" s="80"/>
      <c r="R34" s="80"/>
      <c r="S34" s="80">
        <f t="shared" si="3"/>
        <v>52870883.469999999</v>
      </c>
      <c r="T34" s="80">
        <f t="shared" si="4"/>
        <v>15349611.480000004</v>
      </c>
    </row>
    <row r="35" spans="2:20" ht="14.25" customHeight="1">
      <c r="B35" s="168">
        <f t="shared" si="0"/>
        <v>29</v>
      </c>
      <c r="C35" s="166">
        <v>200100</v>
      </c>
      <c r="D35" s="80" t="s">
        <v>1678</v>
      </c>
      <c r="E35" s="166">
        <v>5018</v>
      </c>
      <c r="F35" s="165"/>
      <c r="G35" s="80">
        <v>10</v>
      </c>
      <c r="H35" s="80">
        <v>1</v>
      </c>
      <c r="I35" s="80">
        <v>46613805.630000003</v>
      </c>
      <c r="J35" s="80"/>
      <c r="K35" s="80"/>
      <c r="L35" s="80"/>
      <c r="M35" s="80"/>
      <c r="N35" s="80">
        <f t="shared" si="1"/>
        <v>1</v>
      </c>
      <c r="O35" s="80">
        <f t="shared" si="6"/>
        <v>46613805.630000003</v>
      </c>
      <c r="P35" s="80">
        <v>36125699.340000004</v>
      </c>
      <c r="Q35" s="80"/>
      <c r="R35" s="80"/>
      <c r="S35" s="80">
        <f t="shared" si="3"/>
        <v>36125699.340000004</v>
      </c>
      <c r="T35" s="80">
        <f t="shared" si="4"/>
        <v>10488106.289999999</v>
      </c>
    </row>
    <row r="36" spans="2:20" ht="14.25" customHeight="1">
      <c r="B36" s="168">
        <f t="shared" si="0"/>
        <v>30</v>
      </c>
      <c r="C36" s="166">
        <v>200100</v>
      </c>
      <c r="D36" s="80" t="s">
        <v>1679</v>
      </c>
      <c r="E36" s="166">
        <v>5019</v>
      </c>
      <c r="F36" s="165"/>
      <c r="G36" s="80">
        <v>10</v>
      </c>
      <c r="H36" s="80">
        <v>1</v>
      </c>
      <c r="I36" s="80">
        <v>970632.77</v>
      </c>
      <c r="J36" s="80"/>
      <c r="K36" s="80"/>
      <c r="L36" s="80"/>
      <c r="M36" s="80"/>
      <c r="N36" s="80">
        <f t="shared" si="1"/>
        <v>1</v>
      </c>
      <c r="O36" s="80">
        <f t="shared" si="6"/>
        <v>970632.77</v>
      </c>
      <c r="P36" s="80">
        <v>752240.42</v>
      </c>
      <c r="Q36" s="80"/>
      <c r="R36" s="80"/>
      <c r="S36" s="80">
        <f t="shared" si="3"/>
        <v>752240.42</v>
      </c>
      <c r="T36" s="80">
        <f t="shared" si="4"/>
        <v>218392.34999999998</v>
      </c>
    </row>
    <row r="37" spans="2:20" ht="14.25" customHeight="1">
      <c r="B37" s="168">
        <f t="shared" si="0"/>
        <v>31</v>
      </c>
      <c r="C37" s="166">
        <v>200100</v>
      </c>
      <c r="D37" s="80" t="s">
        <v>1680</v>
      </c>
      <c r="E37" s="166">
        <v>5020</v>
      </c>
      <c r="F37" s="165"/>
      <c r="G37" s="80">
        <v>10</v>
      </c>
      <c r="H37" s="80">
        <v>1</v>
      </c>
      <c r="I37" s="80">
        <v>17471389.920000002</v>
      </c>
      <c r="J37" s="80"/>
      <c r="K37" s="80"/>
      <c r="L37" s="80"/>
      <c r="M37" s="80"/>
      <c r="N37" s="80">
        <f t="shared" si="1"/>
        <v>1</v>
      </c>
      <c r="O37" s="80">
        <f t="shared" si="6"/>
        <v>17471389.920000002</v>
      </c>
      <c r="P37" s="80">
        <v>13540327.25</v>
      </c>
      <c r="Q37" s="80"/>
      <c r="R37" s="80"/>
      <c r="S37" s="80">
        <f t="shared" si="3"/>
        <v>13540327.25</v>
      </c>
      <c r="T37" s="80">
        <f t="shared" si="4"/>
        <v>3931062.6700000018</v>
      </c>
    </row>
    <row r="38" spans="2:20" ht="14.25" customHeight="1">
      <c r="B38" s="168">
        <f t="shared" si="0"/>
        <v>32</v>
      </c>
      <c r="C38" s="166">
        <v>200100</v>
      </c>
      <c r="D38" s="80" t="s">
        <v>1681</v>
      </c>
      <c r="E38" s="166">
        <v>5021</v>
      </c>
      <c r="F38" s="165"/>
      <c r="G38" s="80">
        <v>10</v>
      </c>
      <c r="H38" s="80">
        <v>1</v>
      </c>
      <c r="I38" s="80">
        <v>34388132.539999999</v>
      </c>
      <c r="J38" s="80"/>
      <c r="K38" s="80"/>
      <c r="L38" s="80"/>
      <c r="M38" s="80"/>
      <c r="N38" s="80">
        <f t="shared" si="1"/>
        <v>1</v>
      </c>
      <c r="O38" s="80">
        <f t="shared" si="6"/>
        <v>34388132.539999999</v>
      </c>
      <c r="P38" s="80">
        <v>26650802.609999999</v>
      </c>
      <c r="Q38" s="80"/>
      <c r="R38" s="80"/>
      <c r="S38" s="80">
        <f t="shared" si="3"/>
        <v>26650802.609999999</v>
      </c>
      <c r="T38" s="80">
        <f t="shared" si="4"/>
        <v>7737329.9299999997</v>
      </c>
    </row>
    <row r="39" spans="2:20" ht="14.25" customHeight="1">
      <c r="B39" s="168">
        <f t="shared" si="0"/>
        <v>33</v>
      </c>
      <c r="C39" s="166">
        <v>200100</v>
      </c>
      <c r="D39" s="80" t="s">
        <v>1682</v>
      </c>
      <c r="E39" s="166">
        <v>5022</v>
      </c>
      <c r="F39" s="165"/>
      <c r="G39" s="80">
        <v>10</v>
      </c>
      <c r="H39" s="80">
        <v>1</v>
      </c>
      <c r="I39" s="80">
        <v>23849833.859999999</v>
      </c>
      <c r="J39" s="80"/>
      <c r="K39" s="80"/>
      <c r="L39" s="80"/>
      <c r="M39" s="80"/>
      <c r="N39" s="80">
        <f t="shared" si="1"/>
        <v>1</v>
      </c>
      <c r="O39" s="80">
        <f t="shared" si="6"/>
        <v>23849833.859999999</v>
      </c>
      <c r="P39" s="80">
        <v>18483621.350000001</v>
      </c>
      <c r="Q39" s="80"/>
      <c r="R39" s="80"/>
      <c r="S39" s="80">
        <f t="shared" si="3"/>
        <v>18483621.350000001</v>
      </c>
      <c r="T39" s="80">
        <f t="shared" si="4"/>
        <v>5366212.5099999979</v>
      </c>
    </row>
    <row r="40" spans="2:20" ht="14.25" customHeight="1">
      <c r="B40" s="168">
        <f t="shared" si="0"/>
        <v>34</v>
      </c>
      <c r="C40" s="166">
        <v>200100</v>
      </c>
      <c r="D40" s="80" t="s">
        <v>1683</v>
      </c>
      <c r="E40" s="166">
        <v>5023</v>
      </c>
      <c r="F40" s="165"/>
      <c r="G40" s="80">
        <v>10</v>
      </c>
      <c r="H40" s="80">
        <v>1</v>
      </c>
      <c r="I40" s="80">
        <v>8181047.6600000001</v>
      </c>
      <c r="J40" s="80"/>
      <c r="K40" s="80"/>
      <c r="L40" s="80"/>
      <c r="M40" s="80"/>
      <c r="N40" s="80">
        <f t="shared" si="1"/>
        <v>1</v>
      </c>
      <c r="O40" s="80">
        <f t="shared" si="6"/>
        <v>8181047.6600000001</v>
      </c>
      <c r="P40" s="80">
        <v>6340311.8899999997</v>
      </c>
      <c r="Q40" s="80"/>
      <c r="R40" s="80"/>
      <c r="S40" s="80">
        <f t="shared" si="3"/>
        <v>6340311.8899999997</v>
      </c>
      <c r="T40" s="80">
        <f t="shared" si="4"/>
        <v>1840735.7700000005</v>
      </c>
    </row>
    <row r="41" spans="2:20" ht="14.25" customHeight="1">
      <c r="B41" s="168">
        <f t="shared" si="0"/>
        <v>35</v>
      </c>
      <c r="C41" s="166">
        <v>200100</v>
      </c>
      <c r="D41" s="80" t="s">
        <v>1684</v>
      </c>
      <c r="E41" s="166">
        <v>5024</v>
      </c>
      <c r="F41" s="165"/>
      <c r="G41" s="80">
        <v>10</v>
      </c>
      <c r="H41" s="80">
        <v>1</v>
      </c>
      <c r="I41" s="80">
        <v>6378443.9400000004</v>
      </c>
      <c r="J41" s="80"/>
      <c r="K41" s="80"/>
      <c r="L41" s="80"/>
      <c r="M41" s="80"/>
      <c r="N41" s="80">
        <f t="shared" si="1"/>
        <v>1</v>
      </c>
      <c r="O41" s="80">
        <f t="shared" si="6"/>
        <v>6378443.9400000004</v>
      </c>
      <c r="P41" s="80">
        <v>4943294.0999999996</v>
      </c>
      <c r="Q41" s="80"/>
      <c r="R41" s="80"/>
      <c r="S41" s="80">
        <f t="shared" si="3"/>
        <v>4943294.0999999996</v>
      </c>
      <c r="T41" s="80">
        <f t="shared" si="4"/>
        <v>1435149.8400000008</v>
      </c>
    </row>
    <row r="42" spans="2:20" ht="14.25" customHeight="1">
      <c r="B42" s="168">
        <f t="shared" si="0"/>
        <v>36</v>
      </c>
      <c r="C42" s="166">
        <v>200100</v>
      </c>
      <c r="D42" s="80" t="s">
        <v>1685</v>
      </c>
      <c r="E42" s="166">
        <v>5025</v>
      </c>
      <c r="F42" s="165"/>
      <c r="G42" s="80">
        <v>10</v>
      </c>
      <c r="H42" s="80">
        <v>1</v>
      </c>
      <c r="I42" s="80">
        <v>6101120.29</v>
      </c>
      <c r="J42" s="80"/>
      <c r="K42" s="80"/>
      <c r="L42" s="80"/>
      <c r="M42" s="80"/>
      <c r="N42" s="80">
        <f t="shared" si="1"/>
        <v>1</v>
      </c>
      <c r="O42" s="80">
        <f t="shared" si="6"/>
        <v>6101120.29</v>
      </c>
      <c r="P42" s="80">
        <v>4728368.3099999996</v>
      </c>
      <c r="Q42" s="80"/>
      <c r="R42" s="80"/>
      <c r="S42" s="80">
        <f t="shared" si="3"/>
        <v>4728368.3099999996</v>
      </c>
      <c r="T42" s="80">
        <f t="shared" si="4"/>
        <v>1372751.9800000004</v>
      </c>
    </row>
    <row r="43" spans="2:20" ht="14.25" customHeight="1">
      <c r="B43" s="168">
        <f t="shared" si="0"/>
        <v>37</v>
      </c>
      <c r="C43" s="166">
        <v>200100</v>
      </c>
      <c r="D43" s="80" t="s">
        <v>1686</v>
      </c>
      <c r="E43" s="166">
        <v>5026</v>
      </c>
      <c r="F43" s="165"/>
      <c r="G43" s="80">
        <v>10</v>
      </c>
      <c r="H43" s="80">
        <v>1</v>
      </c>
      <c r="I43" s="80">
        <v>26153257</v>
      </c>
      <c r="J43" s="80"/>
      <c r="K43" s="80"/>
      <c r="L43" s="80"/>
      <c r="M43" s="80"/>
      <c r="N43" s="80">
        <f t="shared" si="1"/>
        <v>1</v>
      </c>
      <c r="O43" s="80">
        <f t="shared" si="6"/>
        <v>26153257</v>
      </c>
      <c r="P43" s="80">
        <v>20268774.329999998</v>
      </c>
      <c r="Q43" s="80"/>
      <c r="R43" s="80"/>
      <c r="S43" s="80">
        <f t="shared" si="3"/>
        <v>20268774.329999998</v>
      </c>
      <c r="T43" s="80">
        <f t="shared" si="4"/>
        <v>5884482.6700000018</v>
      </c>
    </row>
    <row r="44" spans="2:20" ht="14.25" customHeight="1">
      <c r="B44" s="168">
        <f t="shared" si="0"/>
        <v>38</v>
      </c>
      <c r="C44" s="166">
        <v>200100</v>
      </c>
      <c r="D44" s="80" t="s">
        <v>1687</v>
      </c>
      <c r="E44" s="166">
        <v>5027</v>
      </c>
      <c r="F44" s="165"/>
      <c r="G44" s="80">
        <v>10</v>
      </c>
      <c r="H44" s="80">
        <v>1</v>
      </c>
      <c r="I44" s="80">
        <v>181239.54</v>
      </c>
      <c r="J44" s="80"/>
      <c r="K44" s="80"/>
      <c r="L44" s="80"/>
      <c r="M44" s="80"/>
      <c r="N44" s="80">
        <f t="shared" si="1"/>
        <v>1</v>
      </c>
      <c r="O44" s="80">
        <f t="shared" si="6"/>
        <v>181239.54</v>
      </c>
      <c r="P44" s="80">
        <v>140460.69</v>
      </c>
      <c r="Q44" s="80"/>
      <c r="R44" s="80"/>
      <c r="S44" s="80">
        <f t="shared" si="3"/>
        <v>140460.69</v>
      </c>
      <c r="T44" s="80">
        <f t="shared" si="4"/>
        <v>40778.850000000006</v>
      </c>
    </row>
    <row r="45" spans="2:20" ht="14.25" customHeight="1">
      <c r="B45" s="168">
        <f t="shared" si="0"/>
        <v>39</v>
      </c>
      <c r="C45" s="166">
        <v>200100</v>
      </c>
      <c r="D45" s="80" t="s">
        <v>1688</v>
      </c>
      <c r="E45" s="166">
        <v>5028</v>
      </c>
      <c r="F45" s="165"/>
      <c r="G45" s="80">
        <v>10</v>
      </c>
      <c r="H45" s="80">
        <v>2</v>
      </c>
      <c r="I45" s="80">
        <v>1286131.68</v>
      </c>
      <c r="J45" s="80"/>
      <c r="K45" s="80"/>
      <c r="L45" s="80"/>
      <c r="M45" s="80"/>
      <c r="N45" s="80">
        <f t="shared" si="1"/>
        <v>2</v>
      </c>
      <c r="O45" s="80">
        <f t="shared" si="6"/>
        <v>1286131.68</v>
      </c>
      <c r="P45" s="80">
        <v>996751.99</v>
      </c>
      <c r="Q45" s="80"/>
      <c r="R45" s="80"/>
      <c r="S45" s="80">
        <f t="shared" si="3"/>
        <v>996751.99</v>
      </c>
      <c r="T45" s="80">
        <f t="shared" si="4"/>
        <v>289379.68999999994</v>
      </c>
    </row>
    <row r="46" spans="2:20" ht="14.25" customHeight="1">
      <c r="B46" s="168">
        <f t="shared" si="0"/>
        <v>40</v>
      </c>
      <c r="C46" s="166">
        <v>200100</v>
      </c>
      <c r="D46" s="80" t="s">
        <v>1689</v>
      </c>
      <c r="E46" s="166">
        <v>5029</v>
      </c>
      <c r="F46" s="165"/>
      <c r="G46" s="80">
        <v>10</v>
      </c>
      <c r="H46" s="80">
        <v>1</v>
      </c>
      <c r="I46" s="80">
        <v>50335809.950000003</v>
      </c>
      <c r="J46" s="80"/>
      <c r="K46" s="80"/>
      <c r="L46" s="80"/>
      <c r="M46" s="80"/>
      <c r="N46" s="80">
        <f t="shared" si="1"/>
        <v>1</v>
      </c>
      <c r="O46" s="80">
        <f t="shared" si="6"/>
        <v>50335809.950000003</v>
      </c>
      <c r="P46" s="80">
        <v>42143729.200000003</v>
      </c>
      <c r="Q46" s="80"/>
      <c r="R46" s="80"/>
      <c r="S46" s="80">
        <f t="shared" si="3"/>
        <v>42143729.200000003</v>
      </c>
      <c r="T46" s="80">
        <f t="shared" si="4"/>
        <v>8192080.75</v>
      </c>
    </row>
    <row r="47" spans="2:20" ht="14.25" customHeight="1">
      <c r="B47" s="168">
        <f t="shared" si="0"/>
        <v>41</v>
      </c>
      <c r="C47" s="166">
        <v>200100</v>
      </c>
      <c r="D47" s="80" t="s">
        <v>1690</v>
      </c>
      <c r="E47" s="166">
        <v>5030</v>
      </c>
      <c r="F47" s="165"/>
      <c r="G47" s="80">
        <v>10</v>
      </c>
      <c r="H47" s="80">
        <v>1</v>
      </c>
      <c r="I47" s="80">
        <v>1770000</v>
      </c>
      <c r="J47" s="80"/>
      <c r="K47" s="80"/>
      <c r="L47" s="80"/>
      <c r="M47" s="80"/>
      <c r="N47" s="80">
        <f t="shared" si="1"/>
        <v>1</v>
      </c>
      <c r="O47" s="80">
        <f t="shared" si="6"/>
        <v>1770000</v>
      </c>
      <c r="P47" s="80">
        <v>1179882</v>
      </c>
      <c r="Q47" s="80"/>
      <c r="R47" s="80"/>
      <c r="S47" s="80">
        <f t="shared" si="3"/>
        <v>1179882</v>
      </c>
      <c r="T47" s="80">
        <f t="shared" si="4"/>
        <v>590118</v>
      </c>
    </row>
    <row r="48" spans="2:20" ht="14.25" customHeight="1">
      <c r="B48" s="168">
        <f t="shared" si="0"/>
        <v>42</v>
      </c>
      <c r="C48" s="166">
        <v>200100</v>
      </c>
      <c r="D48" s="80" t="s">
        <v>1691</v>
      </c>
      <c r="E48" s="166">
        <v>5031</v>
      </c>
      <c r="F48" s="165"/>
      <c r="G48" s="80">
        <v>10</v>
      </c>
      <c r="H48" s="80">
        <v>1</v>
      </c>
      <c r="I48" s="80">
        <v>1600000</v>
      </c>
      <c r="J48" s="80"/>
      <c r="K48" s="80"/>
      <c r="L48" s="80"/>
      <c r="M48" s="80"/>
      <c r="N48" s="80">
        <f t="shared" si="1"/>
        <v>1</v>
      </c>
      <c r="O48" s="80">
        <f t="shared" si="6"/>
        <v>1600000</v>
      </c>
      <c r="P48" s="80">
        <v>1066560</v>
      </c>
      <c r="Q48" s="80"/>
      <c r="R48" s="80"/>
      <c r="S48" s="80">
        <f t="shared" si="3"/>
        <v>1066560</v>
      </c>
      <c r="T48" s="80">
        <f t="shared" si="4"/>
        <v>533440</v>
      </c>
    </row>
    <row r="49" spans="2:20" ht="14.25" customHeight="1">
      <c r="B49" s="168">
        <f t="shared" si="0"/>
        <v>43</v>
      </c>
      <c r="C49" s="166">
        <v>200100</v>
      </c>
      <c r="D49" s="80" t="s">
        <v>1692</v>
      </c>
      <c r="E49" s="166">
        <v>5032</v>
      </c>
      <c r="F49" s="165"/>
      <c r="G49" s="80">
        <v>10</v>
      </c>
      <c r="H49" s="80">
        <v>1</v>
      </c>
      <c r="I49" s="80">
        <v>210000000</v>
      </c>
      <c r="J49" s="80"/>
      <c r="K49" s="80"/>
      <c r="L49" s="80"/>
      <c r="M49" s="80"/>
      <c r="N49" s="80">
        <f t="shared" si="1"/>
        <v>1</v>
      </c>
      <c r="O49" s="80">
        <f t="shared" si="6"/>
        <v>210000000</v>
      </c>
      <c r="P49" s="80">
        <v>21000000</v>
      </c>
      <c r="Q49" s="80"/>
      <c r="R49" s="80"/>
      <c r="S49" s="80">
        <f t="shared" si="3"/>
        <v>21000000</v>
      </c>
      <c r="T49" s="80">
        <f t="shared" si="4"/>
        <v>189000000</v>
      </c>
    </row>
    <row r="50" spans="2:20" ht="14.25" customHeight="1">
      <c r="B50" s="168">
        <f t="shared" si="0"/>
        <v>44</v>
      </c>
      <c r="C50" s="166">
        <v>200300</v>
      </c>
      <c r="D50" s="80" t="s">
        <v>1693</v>
      </c>
      <c r="E50" s="166">
        <v>2001</v>
      </c>
      <c r="F50" s="165"/>
      <c r="G50" s="80">
        <v>10</v>
      </c>
      <c r="H50" s="80">
        <v>5</v>
      </c>
      <c r="I50" s="80">
        <v>886111.26</v>
      </c>
      <c r="J50" s="80"/>
      <c r="K50" s="80"/>
      <c r="L50" s="80"/>
      <c r="M50" s="80"/>
      <c r="N50" s="80">
        <f t="shared" si="1"/>
        <v>5</v>
      </c>
      <c r="O50" s="80">
        <f t="shared" si="6"/>
        <v>886111.26</v>
      </c>
      <c r="P50" s="80">
        <v>254135.04000000001</v>
      </c>
      <c r="Q50" s="80"/>
      <c r="R50" s="80"/>
      <c r="S50" s="80">
        <f t="shared" si="3"/>
        <v>254135.04000000001</v>
      </c>
      <c r="T50" s="80">
        <f t="shared" si="4"/>
        <v>631976.22</v>
      </c>
    </row>
    <row r="51" spans="2:20" ht="14.25" customHeight="1">
      <c r="B51" s="168">
        <f t="shared" si="0"/>
        <v>45</v>
      </c>
      <c r="C51" s="166">
        <v>200300</v>
      </c>
      <c r="D51" s="80" t="s">
        <v>1694</v>
      </c>
      <c r="E51" s="166">
        <v>2002</v>
      </c>
      <c r="F51" s="165"/>
      <c r="G51" s="80">
        <v>10</v>
      </c>
      <c r="H51" s="80">
        <v>10</v>
      </c>
      <c r="I51" s="80">
        <v>764954.52</v>
      </c>
      <c r="J51" s="80"/>
      <c r="K51" s="80"/>
      <c r="L51" s="80"/>
      <c r="M51" s="80"/>
      <c r="N51" s="80">
        <f t="shared" si="1"/>
        <v>10</v>
      </c>
      <c r="O51" s="80">
        <f t="shared" si="6"/>
        <v>764954.52</v>
      </c>
      <c r="P51" s="80">
        <v>356702.08</v>
      </c>
      <c r="Q51" s="80"/>
      <c r="R51" s="80"/>
      <c r="S51" s="80">
        <f t="shared" si="3"/>
        <v>356702.08</v>
      </c>
      <c r="T51" s="80">
        <f t="shared" si="4"/>
        <v>408252.44</v>
      </c>
    </row>
    <row r="52" spans="2:20" ht="14.25" customHeight="1">
      <c r="B52" s="168">
        <f t="shared" si="0"/>
        <v>46</v>
      </c>
      <c r="C52" s="166">
        <v>200300</v>
      </c>
      <c r="D52" s="80" t="s">
        <v>1695</v>
      </c>
      <c r="E52" s="166">
        <v>2003</v>
      </c>
      <c r="F52" s="165"/>
      <c r="G52" s="80">
        <v>10</v>
      </c>
      <c r="H52" s="80">
        <v>2</v>
      </c>
      <c r="I52" s="80">
        <v>823736.36</v>
      </c>
      <c r="J52" s="80"/>
      <c r="K52" s="80"/>
      <c r="L52" s="80"/>
      <c r="M52" s="80"/>
      <c r="N52" s="80">
        <f t="shared" si="1"/>
        <v>2</v>
      </c>
      <c r="O52" s="80">
        <f t="shared" si="6"/>
        <v>823736.36</v>
      </c>
      <c r="P52" s="80">
        <v>233391.98</v>
      </c>
      <c r="Q52" s="80"/>
      <c r="R52" s="80"/>
      <c r="S52" s="80">
        <f t="shared" si="3"/>
        <v>233391.98</v>
      </c>
      <c r="T52" s="80">
        <f t="shared" si="4"/>
        <v>590344.38</v>
      </c>
    </row>
    <row r="53" spans="2:20" ht="14.25" customHeight="1">
      <c r="B53" s="168">
        <f t="shared" si="0"/>
        <v>47</v>
      </c>
      <c r="C53" s="166">
        <v>200300</v>
      </c>
      <c r="D53" s="80" t="s">
        <v>1696</v>
      </c>
      <c r="E53" s="166">
        <v>2004</v>
      </c>
      <c r="F53" s="165"/>
      <c r="G53" s="80">
        <v>10</v>
      </c>
      <c r="H53" s="80">
        <v>1</v>
      </c>
      <c r="I53" s="80">
        <v>280000</v>
      </c>
      <c r="J53" s="80"/>
      <c r="K53" s="80"/>
      <c r="L53" s="80"/>
      <c r="M53" s="80"/>
      <c r="N53" s="80">
        <f t="shared" si="1"/>
        <v>1</v>
      </c>
      <c r="O53" s="80">
        <f t="shared" si="6"/>
        <v>280000</v>
      </c>
      <c r="P53" s="80">
        <v>226333.33</v>
      </c>
      <c r="Q53" s="80"/>
      <c r="R53" s="80"/>
      <c r="S53" s="80">
        <f t="shared" si="3"/>
        <v>226333.33</v>
      </c>
      <c r="T53" s="80">
        <f t="shared" si="4"/>
        <v>53666.670000000013</v>
      </c>
    </row>
    <row r="54" spans="2:20" ht="14.25" customHeight="1">
      <c r="B54" s="168">
        <f t="shared" si="0"/>
        <v>48</v>
      </c>
      <c r="C54" s="166">
        <v>200300</v>
      </c>
      <c r="D54" s="80" t="s">
        <v>1697</v>
      </c>
      <c r="E54" s="166">
        <v>2005</v>
      </c>
      <c r="F54" s="165"/>
      <c r="G54" s="80">
        <v>10</v>
      </c>
      <c r="H54" s="80">
        <v>6</v>
      </c>
      <c r="I54" s="80">
        <v>367690.86</v>
      </c>
      <c r="J54" s="80"/>
      <c r="K54" s="80"/>
      <c r="L54" s="80"/>
      <c r="M54" s="80"/>
      <c r="N54" s="80">
        <f t="shared" si="1"/>
        <v>6</v>
      </c>
      <c r="O54" s="80">
        <f t="shared" si="6"/>
        <v>367690.86</v>
      </c>
      <c r="P54" s="80">
        <v>251255.38</v>
      </c>
      <c r="Q54" s="80"/>
      <c r="R54" s="80"/>
      <c r="S54" s="80">
        <f t="shared" si="3"/>
        <v>251255.38</v>
      </c>
      <c r="T54" s="80">
        <f t="shared" si="4"/>
        <v>116435.47999999998</v>
      </c>
    </row>
    <row r="55" spans="2:20" ht="14.25" customHeight="1">
      <c r="B55" s="168">
        <f t="shared" si="0"/>
        <v>49</v>
      </c>
      <c r="C55" s="166">
        <v>200500</v>
      </c>
      <c r="D55" s="80" t="s">
        <v>1698</v>
      </c>
      <c r="E55" s="166">
        <v>6001</v>
      </c>
      <c r="F55" s="165"/>
      <c r="G55" s="80">
        <v>10</v>
      </c>
      <c r="H55" s="80">
        <v>1</v>
      </c>
      <c r="I55" s="80">
        <v>169800000</v>
      </c>
      <c r="J55" s="80"/>
      <c r="K55" s="80"/>
      <c r="L55" s="80"/>
      <c r="M55" s="80"/>
      <c r="N55" s="80">
        <f t="shared" si="1"/>
        <v>1</v>
      </c>
      <c r="O55" s="80">
        <f t="shared" si="6"/>
        <v>169800000</v>
      </c>
      <c r="P55" s="80">
        <v>33960000</v>
      </c>
      <c r="Q55" s="80"/>
      <c r="R55" s="80"/>
      <c r="S55" s="80">
        <f t="shared" si="3"/>
        <v>33960000</v>
      </c>
      <c r="T55" s="80">
        <f t="shared" si="4"/>
        <v>135840000</v>
      </c>
    </row>
    <row r="56" spans="2:20" ht="14.25" customHeight="1">
      <c r="B56" s="168">
        <f t="shared" si="0"/>
        <v>50</v>
      </c>
      <c r="C56" s="166">
        <v>200500</v>
      </c>
      <c r="D56" s="80"/>
      <c r="E56" s="166"/>
      <c r="F56" s="165"/>
      <c r="G56" s="80"/>
      <c r="H56" s="80"/>
      <c r="I56" s="80"/>
      <c r="J56" s="80"/>
      <c r="K56" s="80"/>
      <c r="L56" s="80"/>
      <c r="M56" s="80"/>
      <c r="N56" s="80"/>
      <c r="O56" s="80"/>
      <c r="P56" s="80"/>
      <c r="Q56" s="80"/>
      <c r="R56" s="80"/>
      <c r="S56" s="80"/>
      <c r="T56" s="80"/>
    </row>
    <row r="57" spans="2:20" ht="14.25" customHeight="1">
      <c r="B57" s="168">
        <f t="shared" si="0"/>
        <v>51</v>
      </c>
      <c r="C57" s="166"/>
      <c r="D57" s="80"/>
      <c r="E57" s="166"/>
      <c r="F57" s="165"/>
      <c r="G57" s="80"/>
      <c r="H57" s="80"/>
      <c r="I57" s="80"/>
      <c r="J57" s="80"/>
      <c r="K57" s="80"/>
      <c r="L57" s="80"/>
      <c r="M57" s="80"/>
      <c r="N57" s="80"/>
      <c r="O57" s="80"/>
      <c r="P57" s="80"/>
      <c r="Q57" s="80"/>
      <c r="R57" s="80"/>
      <c r="S57" s="80"/>
      <c r="T57" s="80"/>
    </row>
    <row r="58" spans="2:20" ht="14.25" customHeight="1">
      <c r="B58" s="168">
        <f t="shared" si="0"/>
        <v>52</v>
      </c>
      <c r="C58" s="166"/>
      <c r="D58" s="80"/>
      <c r="E58" s="166"/>
      <c r="F58" s="165"/>
      <c r="G58" s="80"/>
      <c r="H58" s="80"/>
      <c r="I58" s="80"/>
      <c r="J58" s="80"/>
      <c r="K58" s="80"/>
      <c r="L58" s="80"/>
      <c r="M58" s="80"/>
      <c r="N58" s="80"/>
      <c r="O58" s="80"/>
      <c r="P58" s="80"/>
      <c r="Q58" s="80"/>
      <c r="R58" s="80"/>
      <c r="S58" s="80"/>
      <c r="T58" s="80"/>
    </row>
    <row r="59" spans="2:20" ht="14.25" customHeight="1">
      <c r="B59" s="168">
        <f t="shared" si="0"/>
        <v>53</v>
      </c>
      <c r="C59" s="166"/>
      <c r="D59" s="80"/>
      <c r="E59" s="166"/>
      <c r="F59" s="165"/>
      <c r="G59" s="80"/>
      <c r="H59" s="80"/>
      <c r="I59" s="80"/>
      <c r="J59" s="80"/>
      <c r="K59" s="80"/>
      <c r="L59" s="80"/>
      <c r="M59" s="80"/>
      <c r="N59" s="80"/>
      <c r="O59" s="80"/>
      <c r="P59" s="80"/>
      <c r="Q59" s="80"/>
      <c r="R59" s="80"/>
      <c r="S59" s="80"/>
      <c r="T59" s="80"/>
    </row>
    <row r="60" spans="2:20" ht="14.25" customHeight="1">
      <c r="B60" s="168">
        <f t="shared" si="0"/>
        <v>54</v>
      </c>
      <c r="C60" s="166"/>
      <c r="D60" s="80"/>
      <c r="E60" s="166"/>
      <c r="F60" s="165"/>
      <c r="G60" s="80"/>
      <c r="H60" s="80"/>
      <c r="I60" s="80"/>
      <c r="J60" s="80"/>
      <c r="K60" s="80"/>
      <c r="L60" s="80"/>
      <c r="M60" s="80"/>
      <c r="N60" s="80"/>
      <c r="O60" s="80"/>
      <c r="P60" s="80"/>
      <c r="Q60" s="80"/>
      <c r="R60" s="80"/>
      <c r="S60" s="80"/>
      <c r="T60" s="80"/>
    </row>
    <row r="61" spans="2:20" ht="14.25" customHeight="1">
      <c r="B61" s="168">
        <f t="shared" si="0"/>
        <v>55</v>
      </c>
      <c r="C61" s="166"/>
      <c r="D61" s="80"/>
      <c r="E61" s="166"/>
      <c r="F61" s="165"/>
      <c r="G61" s="80"/>
      <c r="H61" s="80"/>
      <c r="I61" s="80"/>
      <c r="J61" s="80"/>
      <c r="K61" s="80"/>
      <c r="L61" s="80"/>
      <c r="M61" s="80"/>
      <c r="N61" s="80"/>
      <c r="O61" s="80"/>
      <c r="P61" s="80"/>
      <c r="Q61" s="80"/>
      <c r="R61" s="80"/>
      <c r="S61" s="80"/>
      <c r="T61" s="80"/>
    </row>
    <row r="63" spans="2:20" s="434" customFormat="1" ht="14.25" customHeight="1">
      <c r="B63" s="431"/>
      <c r="C63" s="432"/>
      <c r="D63" s="626" t="s">
        <v>5</v>
      </c>
      <c r="E63" s="432"/>
      <c r="F63" s="433"/>
      <c r="G63" s="433"/>
      <c r="H63" s="433">
        <f>+SUM(H7:H8)</f>
        <v>2</v>
      </c>
      <c r="I63" s="433">
        <f>+SUM(I7:I61)</f>
        <v>2037812765.1299999</v>
      </c>
      <c r="J63" s="433">
        <f t="shared" ref="J63:T63" si="7">+SUM(J7:J61)</f>
        <v>0</v>
      </c>
      <c r="K63" s="433">
        <f t="shared" si="7"/>
        <v>0</v>
      </c>
      <c r="L63" s="433">
        <f t="shared" si="7"/>
        <v>0</v>
      </c>
      <c r="M63" s="433">
        <f t="shared" si="7"/>
        <v>0</v>
      </c>
      <c r="N63" s="433">
        <f t="shared" si="7"/>
        <v>78</v>
      </c>
      <c r="O63" s="433">
        <f t="shared" si="7"/>
        <v>2037812765.1299999</v>
      </c>
      <c r="P63" s="433">
        <f t="shared" si="7"/>
        <v>1069633602.9100002</v>
      </c>
      <c r="Q63" s="433">
        <f t="shared" si="7"/>
        <v>30803707.896666668</v>
      </c>
      <c r="R63" s="433">
        <f t="shared" si="7"/>
        <v>0</v>
      </c>
      <c r="S63" s="433">
        <f t="shared" si="7"/>
        <v>1100437310.8066669</v>
      </c>
      <c r="T63" s="433">
        <f t="shared" si="7"/>
        <v>937375454.32333314</v>
      </c>
    </row>
    <row r="64" spans="2:20" ht="14.25" customHeight="1">
      <c r="P64" s="154">
        <f>+SUM(STAT1!I85:I91)</f>
        <v>1225144641.8999999</v>
      </c>
      <c r="Q64" s="154">
        <f>+P63-P64</f>
        <v>-155511038.98999965</v>
      </c>
    </row>
    <row r="65" spans="15:19" ht="14.25" customHeight="1">
      <c r="O65" s="308" t="s">
        <v>317</v>
      </c>
      <c r="P65" s="1015" t="s">
        <v>2</v>
      </c>
      <c r="Q65" s="1016"/>
      <c r="R65" s="309" t="s">
        <v>261</v>
      </c>
      <c r="S65" s="309" t="s">
        <v>262</v>
      </c>
    </row>
    <row r="66" spans="15:19" ht="14.25" customHeight="1">
      <c r="O66" s="310">
        <v>701600</v>
      </c>
      <c r="P66" s="1013" t="s">
        <v>1341</v>
      </c>
      <c r="Q66" s="1014"/>
      <c r="R66" s="80">
        <f>+Q63</f>
        <v>30803707.896666668</v>
      </c>
      <c r="S66" s="80"/>
    </row>
    <row r="67" spans="15:19" ht="14.25" customHeight="1">
      <c r="O67" s="310">
        <v>201300</v>
      </c>
      <c r="P67" s="1013" t="s">
        <v>1342</v>
      </c>
      <c r="Q67" s="1014"/>
      <c r="R67" s="80"/>
      <c r="S67" s="80">
        <f>+Q63</f>
        <v>30803707.896666668</v>
      </c>
    </row>
  </sheetData>
  <mergeCells count="7">
    <mergeCell ref="P66:Q66"/>
    <mergeCell ref="P67:Q67"/>
    <mergeCell ref="H5:I5"/>
    <mergeCell ref="J5:K5"/>
    <mergeCell ref="L5:M5"/>
    <mergeCell ref="N5:O5"/>
    <mergeCell ref="P65:Q65"/>
  </mergeCells>
  <pageMargins left="0.7" right="0.7" top="0.75" bottom="0.75" header="0.3" footer="0.3"/>
  <pageSetup orientation="portrait" horizontalDpi="0" verticalDpi="0" r:id="rId1"/>
  <ignoredErrors>
    <ignoredError sqref="H63 P64" formulaRange="1"/>
  </ignoredErrors>
</worksheet>
</file>

<file path=xl/worksheets/sheet11.xml><?xml version="1.0" encoding="utf-8"?>
<worksheet xmlns="http://schemas.openxmlformats.org/spreadsheetml/2006/main" xmlns:r="http://schemas.openxmlformats.org/officeDocument/2006/relationships">
  <dimension ref="A1:Q3233"/>
  <sheetViews>
    <sheetView workbookViewId="0">
      <pane xSplit="5" ySplit="5" topLeftCell="G1768" activePane="bottomRight" state="frozen"/>
      <selection pane="topRight" activeCell="F1" sqref="F1"/>
      <selection pane="bottomLeft" activeCell="A6" sqref="A6"/>
      <selection pane="bottomRight" activeCell="N1782" sqref="N1782"/>
    </sheetView>
  </sheetViews>
  <sheetFormatPr defaultRowHeight="12.75"/>
  <cols>
    <col min="1" max="1" width="4.7109375" style="581" customWidth="1"/>
    <col min="2" max="2" width="6.42578125" style="37" customWidth="1"/>
    <col min="3" max="3" width="9.140625" style="569" bestFit="1" customWidth="1"/>
    <col min="4" max="4" width="29.85546875" style="812" customWidth="1"/>
    <col min="5" max="5" width="7.42578125" style="570" customWidth="1"/>
    <col min="6" max="6" width="24.5703125" style="571" customWidth="1"/>
    <col min="7" max="7" width="15.42578125" style="154" customWidth="1"/>
    <col min="8" max="8" width="15.28515625" style="154" customWidth="1"/>
    <col min="9" max="9" width="13.7109375" style="575" customWidth="1"/>
    <col min="10" max="10" width="11.140625" style="575" bestFit="1" customWidth="1"/>
    <col min="11" max="11" width="10.28515625" style="154" bestFit="1" customWidth="1"/>
    <col min="12" max="12" width="6" style="162" customWidth="1"/>
    <col min="13" max="13" width="16.5703125" style="154" customWidth="1"/>
    <col min="14" max="14" width="5.5703125" style="162" customWidth="1"/>
    <col min="15" max="15" width="20" style="154" customWidth="1"/>
    <col min="16" max="16" width="12" style="154" bestFit="1" customWidth="1"/>
    <col min="17" max="19" width="9.140625" style="154"/>
    <col min="20" max="20" width="12" style="154" bestFit="1" customWidth="1"/>
    <col min="21" max="16384" width="9.140625" style="154"/>
  </cols>
  <sheetData>
    <row r="1" spans="1:17" ht="15">
      <c r="B1" s="37" t="s">
        <v>1332</v>
      </c>
      <c r="H1" s="572" t="s">
        <v>2311</v>
      </c>
      <c r="I1" s="573">
        <f>+'CASH-C2'!D7+SUMIF(E6:E5083,110100,I6:I5083)</f>
        <v>23148.75</v>
      </c>
      <c r="J1" s="573">
        <f>15685.38+SUMIF(E6:E5083,110100,J6:J5083)</f>
        <v>15685.38</v>
      </c>
      <c r="K1" s="572"/>
      <c r="M1" s="574" t="str">
        <f>+Table133[[#Headers],[ШИНЭСТ ХК]]</f>
        <v>ШИНЭСТ ХК</v>
      </c>
    </row>
    <row r="2" spans="1:17">
      <c r="D2" s="813"/>
      <c r="M2" s="574" t="s">
        <v>1323</v>
      </c>
    </row>
    <row r="3" spans="1:17">
      <c r="G3" s="154">
        <f>+SUM(G6:G2954)</f>
        <v>5109242278.3464546</v>
      </c>
      <c r="H3" s="154">
        <f>+SUM(H6:H2954)</f>
        <v>5109242278.3464537</v>
      </c>
      <c r="I3" s="154"/>
      <c r="M3" s="574" t="s">
        <v>1324</v>
      </c>
    </row>
    <row r="4" spans="1:17">
      <c r="B4" s="435">
        <f>+COUNT(B6:B5010)</f>
        <v>1777</v>
      </c>
      <c r="G4" s="154">
        <f>+H3-G3</f>
        <v>0</v>
      </c>
      <c r="H4" s="154">
        <f>+G3-H3</f>
        <v>0</v>
      </c>
    </row>
    <row r="5" spans="1:17" ht="21" customHeight="1">
      <c r="A5" s="890" t="s">
        <v>1569</v>
      </c>
      <c r="B5" s="576" t="s">
        <v>1</v>
      </c>
      <c r="C5" s="291" t="s">
        <v>292</v>
      </c>
      <c r="D5" s="814" t="s">
        <v>1321</v>
      </c>
      <c r="E5" s="561" t="s">
        <v>317</v>
      </c>
      <c r="F5" s="589" t="s">
        <v>2</v>
      </c>
      <c r="G5" s="290" t="s">
        <v>261</v>
      </c>
      <c r="H5" s="290" t="s">
        <v>262</v>
      </c>
      <c r="I5" s="577" t="s">
        <v>1322</v>
      </c>
      <c r="J5" s="960" t="s">
        <v>25</v>
      </c>
      <c r="K5" s="290" t="s">
        <v>26</v>
      </c>
      <c r="L5" s="810" t="s">
        <v>7</v>
      </c>
      <c r="M5" s="579" t="s">
        <v>1326</v>
      </c>
      <c r="N5" s="810" t="s">
        <v>7</v>
      </c>
      <c r="O5" s="578" t="s">
        <v>1322</v>
      </c>
      <c r="P5" s="579"/>
    </row>
    <row r="6" spans="1:17">
      <c r="B6" s="627">
        <f t="shared" ref="B6:B69" si="0">+IF(C6="","",ROW()-5)</f>
        <v>1</v>
      </c>
      <c r="C6" s="429">
        <v>43101</v>
      </c>
      <c r="D6" s="816" t="s">
        <v>2548</v>
      </c>
      <c r="E6" s="807">
        <v>150101</v>
      </c>
      <c r="F6" s="629" t="str">
        <f>IFERROR(VLOOKUP(E6,STAT1!$C$4:$D$1000,2,FALSE),"")</f>
        <v>Бараа бэлэн бүтээгдэхүүн БОЛОВСРУУЛАХ ЦЕХ /нарс/</v>
      </c>
      <c r="G6" s="811">
        <v>142542050.38999996</v>
      </c>
      <c r="H6" s="811"/>
      <c r="I6" s="580">
        <f t="shared" ref="I6:I69" si="1">+IF(OR(E6=100100,E6=100200,E6=110100,E6=110102,E6=110103,E6=110104,E6=110105,E6=110200,E6=110201,E6=110202,E6=110203,E6=110204,E6=110300),G6,0)+IF(OR(E6=100100,E6=100200,E6=110100,E6=110102,E6=110103,E6=110104,E6=110105,E6=110200,E6=110201,E6=110202,E6=110203,E6=110204,E6=110300),H6*-1,0)</f>
        <v>0</v>
      </c>
      <c r="J6" s="961">
        <f t="shared" ref="J6:J69" si="2">+IF(E6=110102,I6/K6,0)</f>
        <v>0</v>
      </c>
      <c r="K6" s="80"/>
      <c r="L6" s="807">
        <v>1004</v>
      </c>
      <c r="M6" s="80" t="str">
        <f>+IFERROR(VLOOKUP(L6,DATA!$G$4:$H$2000,2,FALSE),"")</f>
        <v xml:space="preserve">Түмэндэлгэр </v>
      </c>
      <c r="N6" s="807"/>
      <c r="O6" s="80"/>
      <c r="P6" s="80">
        <f t="shared" ref="P6:P69" si="3">+IF(I6,1,0)</f>
        <v>0</v>
      </c>
      <c r="Q6" s="154">
        <f t="shared" ref="Q6:Q69" si="4">+IF(I6,1,0)</f>
        <v>0</v>
      </c>
    </row>
    <row r="7" spans="1:17" ht="14.25" customHeight="1">
      <c r="B7" s="627">
        <f t="shared" si="0"/>
        <v>2</v>
      </c>
      <c r="C7" s="429">
        <v>43101</v>
      </c>
      <c r="D7" s="816" t="s">
        <v>2548</v>
      </c>
      <c r="E7" s="807">
        <v>140501</v>
      </c>
      <c r="F7" s="629" t="str">
        <f>IFERROR(VLOOKUP(E7,STAT1!$C$4:$D$1000,2,FALSE),"")</f>
        <v>Нэгтгэл зардал БОЛОВСРУУЛАХ ЦЕХ /нарс/</v>
      </c>
      <c r="G7" s="811"/>
      <c r="H7" s="811">
        <v>142542050.38999996</v>
      </c>
      <c r="I7" s="580">
        <f t="shared" si="1"/>
        <v>0</v>
      </c>
      <c r="J7" s="961">
        <f t="shared" si="2"/>
        <v>0</v>
      </c>
      <c r="K7" s="80"/>
      <c r="L7" s="807">
        <v>1004</v>
      </c>
      <c r="M7" s="80" t="str">
        <f>+IFERROR(VLOOKUP(L7,DATA!$G$4:$H$2000,2,FALSE),"")</f>
        <v xml:space="preserve">Түмэндэлгэр </v>
      </c>
      <c r="N7" s="807"/>
      <c r="O7" s="80" t="str">
        <f>IFERROR(VLOOKUP(N7,DATA!$K$4:$L$51,2,FALSE),"")</f>
        <v/>
      </c>
      <c r="P7" s="80">
        <f t="shared" si="3"/>
        <v>0</v>
      </c>
      <c r="Q7" s="154">
        <f t="shared" si="4"/>
        <v>0</v>
      </c>
    </row>
    <row r="8" spans="1:17">
      <c r="B8" s="627">
        <f t="shared" si="0"/>
        <v>3</v>
      </c>
      <c r="C8" s="429">
        <v>43101</v>
      </c>
      <c r="D8" s="816" t="s">
        <v>2550</v>
      </c>
      <c r="E8" s="807">
        <v>160100</v>
      </c>
      <c r="F8" s="629" t="str">
        <f>IFERROR(VLOOKUP(E8,STAT1!$C$4:$D$8000,2,FALSE),"")</f>
        <v xml:space="preserve">Барилгын материал </v>
      </c>
      <c r="G8" s="811"/>
      <c r="H8" s="811">
        <v>2340909.09</v>
      </c>
      <c r="I8" s="580">
        <f t="shared" si="1"/>
        <v>0</v>
      </c>
      <c r="J8" s="961">
        <f t="shared" si="2"/>
        <v>0</v>
      </c>
      <c r="K8" s="379"/>
      <c r="L8" s="807">
        <v>1004</v>
      </c>
      <c r="M8" s="80" t="str">
        <f>+IFERROR(VLOOKUP(L8,DATA!$G$4:$H$2000,2,FALSE),"")</f>
        <v xml:space="preserve">Түмэндэлгэр </v>
      </c>
      <c r="N8" s="807"/>
      <c r="O8" s="80" t="str">
        <f>IFERROR(VLOOKUP(N8,DATA!$K$4:$L$51,2,FALSE),"")</f>
        <v/>
      </c>
      <c r="P8" s="80">
        <f t="shared" si="3"/>
        <v>0</v>
      </c>
      <c r="Q8" s="154">
        <f t="shared" si="4"/>
        <v>0</v>
      </c>
    </row>
    <row r="9" spans="1:17">
      <c r="B9" s="627">
        <f t="shared" si="0"/>
        <v>4</v>
      </c>
      <c r="C9" s="429">
        <v>43101</v>
      </c>
      <c r="D9" s="816" t="s">
        <v>2550</v>
      </c>
      <c r="E9" s="807">
        <v>704600</v>
      </c>
      <c r="F9" s="629" t="str">
        <f>IFERROR(VLOOKUP(E9,STAT1!$C$4:$D$1000,2,FALSE),"")</f>
        <v>Хөдөлмөр хамгаалалын зардал</v>
      </c>
      <c r="G9" s="811">
        <v>2340909.09</v>
      </c>
      <c r="H9" s="811"/>
      <c r="I9" s="580">
        <f t="shared" si="1"/>
        <v>0</v>
      </c>
      <c r="J9" s="961">
        <f t="shared" si="2"/>
        <v>0</v>
      </c>
      <c r="K9" s="80"/>
      <c r="L9" s="807">
        <v>1004</v>
      </c>
      <c r="M9" s="80" t="str">
        <f>+IFERROR(VLOOKUP(L9,DATA!$G$4:$H$2000,2,FALSE),"")</f>
        <v xml:space="preserve">Түмэндэлгэр </v>
      </c>
      <c r="N9" s="807"/>
      <c r="O9" s="80" t="str">
        <f>IFERROR(VLOOKUP(N9,DATA!$K$4:$L$51,2,FALSE),"")</f>
        <v/>
      </c>
      <c r="P9" s="80">
        <f t="shared" si="3"/>
        <v>0</v>
      </c>
      <c r="Q9" s="154">
        <f t="shared" si="4"/>
        <v>0</v>
      </c>
    </row>
    <row r="10" spans="1:17">
      <c r="B10" s="627">
        <f t="shared" si="0"/>
        <v>5</v>
      </c>
      <c r="C10" s="582">
        <v>43102</v>
      </c>
      <c r="D10" s="815" t="s">
        <v>2375</v>
      </c>
      <c r="E10" s="630">
        <v>100100</v>
      </c>
      <c r="F10" s="629" t="str">
        <f>IFERROR(VLOOKUP(E10,STAT1!$C$4:$D$1000,2,FALSE),"")</f>
        <v>Касс мөнгө MNT</v>
      </c>
      <c r="G10" s="376"/>
      <c r="H10" s="376">
        <v>3499027.46</v>
      </c>
      <c r="I10" s="580">
        <f t="shared" si="1"/>
        <v>-3499027.46</v>
      </c>
      <c r="J10" s="961">
        <f t="shared" si="2"/>
        <v>0</v>
      </c>
      <c r="K10" s="428"/>
      <c r="L10" s="630">
        <v>2004</v>
      </c>
      <c r="M10" s="80" t="str">
        <f>+IFERROR(VLOOKUP(L10,DATA!$G$4:$H$2000,2,FALSE),"")</f>
        <v xml:space="preserve">ДЦС-3 ТӨХК </v>
      </c>
      <c r="N10" s="630">
        <v>54</v>
      </c>
      <c r="O10" s="80" t="str">
        <f>IFERROR(VLOOKUP(N10,DATA!$K$4:$L$51,2,FALSE),"")</f>
        <v>Ашиглалтын зардалд төлсөн</v>
      </c>
      <c r="P10" s="80">
        <f t="shared" si="3"/>
        <v>1</v>
      </c>
      <c r="Q10" s="154">
        <f t="shared" si="4"/>
        <v>1</v>
      </c>
    </row>
    <row r="11" spans="1:17">
      <c r="B11" s="627">
        <f t="shared" si="0"/>
        <v>6</v>
      </c>
      <c r="C11" s="582">
        <v>43102</v>
      </c>
      <c r="D11" s="815" t="s">
        <v>2375</v>
      </c>
      <c r="E11" s="630">
        <v>310100</v>
      </c>
      <c r="F11" s="629" t="str">
        <f>IFERROR(VLOOKUP(E11,STAT1!$C$4:$D$1000,2,FALSE),"")</f>
        <v>Дансны өглөг MNT</v>
      </c>
      <c r="G11" s="376">
        <v>3499027.46</v>
      </c>
      <c r="H11" s="376"/>
      <c r="I11" s="580">
        <f t="shared" si="1"/>
        <v>0</v>
      </c>
      <c r="J11" s="961">
        <f t="shared" si="2"/>
        <v>0</v>
      </c>
      <c r="K11" s="80"/>
      <c r="L11" s="630">
        <v>2004</v>
      </c>
      <c r="M11" s="80" t="str">
        <f>+IFERROR(VLOOKUP(L11,DATA!$G$4:$H$2000,2,FALSE),"")</f>
        <v xml:space="preserve">ДЦС-3 ТӨХК </v>
      </c>
      <c r="N11" s="630"/>
      <c r="O11" s="80" t="str">
        <f>IFERROR(VLOOKUP(N11,DATA!$K$4:$L$51,2,FALSE),"")</f>
        <v/>
      </c>
      <c r="P11" s="80">
        <f t="shared" si="3"/>
        <v>0</v>
      </c>
      <c r="Q11" s="154">
        <f t="shared" si="4"/>
        <v>0</v>
      </c>
    </row>
    <row r="12" spans="1:17">
      <c r="B12" s="627">
        <f t="shared" si="0"/>
        <v>7</v>
      </c>
      <c r="C12" s="429">
        <v>43103</v>
      </c>
      <c r="D12" s="816" t="s">
        <v>1571</v>
      </c>
      <c r="E12" s="807">
        <v>110100</v>
      </c>
      <c r="F12" s="629" t="str">
        <f>IFERROR(VLOOKUP(E12,STAT1!$C$4:$D$1000,2,FALSE),"")</f>
        <v>Хаан Банк 5024654020</v>
      </c>
      <c r="G12" s="811">
        <v>693000</v>
      </c>
      <c r="H12" s="811"/>
      <c r="I12" s="580">
        <f t="shared" si="1"/>
        <v>693000</v>
      </c>
      <c r="J12" s="961">
        <f t="shared" si="2"/>
        <v>0</v>
      </c>
      <c r="K12" s="80"/>
      <c r="L12" s="807">
        <v>3052</v>
      </c>
      <c r="M12" s="80" t="str">
        <f>+IFERROR(VLOOKUP(L12,DATA!$G$4:$H$2000,2,FALSE),"")</f>
        <v>ШИНЭ ОРОН СУУЦ ХХК</v>
      </c>
      <c r="N12" s="807">
        <v>41</v>
      </c>
      <c r="O12" s="80" t="str">
        <f>IFERROR(VLOOKUP(N12,DATA!$K$4:$L$51,2,FALSE),"")</f>
        <v>Бараа борлуулсан, үйлчилгээ үзүүлсэний орлого</v>
      </c>
      <c r="P12" s="80">
        <f t="shared" si="3"/>
        <v>1</v>
      </c>
      <c r="Q12" s="154">
        <f t="shared" si="4"/>
        <v>1</v>
      </c>
    </row>
    <row r="13" spans="1:17">
      <c r="B13" s="627">
        <f t="shared" si="0"/>
        <v>8</v>
      </c>
      <c r="C13" s="429">
        <v>43103</v>
      </c>
      <c r="D13" s="816" t="s">
        <v>1571</v>
      </c>
      <c r="E13" s="807">
        <v>320100</v>
      </c>
      <c r="F13" s="629" t="str">
        <f>IFERROR(VLOOKUP(E13,STAT1!$C$4:$D$1000,2,FALSE),"")</f>
        <v>Урьдчилж орсон орлого MNT</v>
      </c>
      <c r="G13" s="811"/>
      <c r="H13" s="811">
        <v>693000</v>
      </c>
      <c r="I13" s="580">
        <f t="shared" si="1"/>
        <v>0</v>
      </c>
      <c r="J13" s="961">
        <f t="shared" si="2"/>
        <v>0</v>
      </c>
      <c r="K13" s="80"/>
      <c r="L13" s="807">
        <v>3052</v>
      </c>
      <c r="M13" s="80" t="str">
        <f>+IFERROR(VLOOKUP(L13,DATA!$G$4:$H$2000,2,FALSE),"")</f>
        <v>ШИНЭ ОРОН СУУЦ ХХК</v>
      </c>
      <c r="N13" s="807"/>
      <c r="O13" s="80" t="str">
        <f>IFERROR(VLOOKUP(N13,DATA!$K$4:$L$51,2,FALSE),"")</f>
        <v/>
      </c>
      <c r="P13" s="80">
        <f t="shared" si="3"/>
        <v>0</v>
      </c>
      <c r="Q13" s="154">
        <f t="shared" si="4"/>
        <v>0</v>
      </c>
    </row>
    <row r="14" spans="1:17">
      <c r="B14" s="627">
        <f t="shared" si="0"/>
        <v>9</v>
      </c>
      <c r="C14" s="429">
        <v>43103</v>
      </c>
      <c r="D14" s="816" t="s">
        <v>2403</v>
      </c>
      <c r="E14" s="807">
        <v>100100</v>
      </c>
      <c r="F14" s="629" t="str">
        <f>IFERROR(VLOOKUP(E14,STAT1!$C$4:$D$1000,2,FALSE),"")</f>
        <v>Касс мөнгө MNT</v>
      </c>
      <c r="G14" s="811">
        <v>980000</v>
      </c>
      <c r="H14" s="811"/>
      <c r="I14" s="580">
        <f t="shared" si="1"/>
        <v>980000</v>
      </c>
      <c r="J14" s="961">
        <f t="shared" si="2"/>
        <v>0</v>
      </c>
      <c r="K14" s="80"/>
      <c r="L14" s="807">
        <v>1005</v>
      </c>
      <c r="M14" s="80" t="str">
        <f>+IFERROR(VLOOKUP(L14,DATA!$G$4:$H$2000,2,FALSE),"")</f>
        <v>Золжаргал</v>
      </c>
      <c r="N14" s="807">
        <v>53</v>
      </c>
      <c r="O14" s="80" t="str">
        <f>IFERROR(VLOOKUP(N14,DATA!$K$4:$L$51,2,FALSE),"")</f>
        <v>Бараа материал худалдан авахад төлсөн</v>
      </c>
      <c r="P14" s="80">
        <f t="shared" si="3"/>
        <v>1</v>
      </c>
      <c r="Q14" s="154">
        <f t="shared" si="4"/>
        <v>1</v>
      </c>
    </row>
    <row r="15" spans="1:17">
      <c r="B15" s="627">
        <f t="shared" si="0"/>
        <v>10</v>
      </c>
      <c r="C15" s="429">
        <v>43103</v>
      </c>
      <c r="D15" s="816" t="s">
        <v>2403</v>
      </c>
      <c r="E15" s="807">
        <v>121200</v>
      </c>
      <c r="F15" s="629" t="str">
        <f>IFERROR(VLOOKUP(E15,STAT1!$C$4:$D$1000,2,FALSE),"")</f>
        <v xml:space="preserve">Ажилчидын дараа тайлангийн тооцоо </v>
      </c>
      <c r="G15" s="811"/>
      <c r="H15" s="811">
        <v>980000</v>
      </c>
      <c r="I15" s="580">
        <f t="shared" si="1"/>
        <v>0</v>
      </c>
      <c r="J15" s="961">
        <f t="shared" si="2"/>
        <v>0</v>
      </c>
      <c r="K15" s="80"/>
      <c r="L15" s="807">
        <v>1005</v>
      </c>
      <c r="M15" s="80" t="str">
        <f>+IFERROR(VLOOKUP(L15,DATA!$G$4:$H$2000,2,FALSE),"")</f>
        <v>Золжаргал</v>
      </c>
      <c r="N15" s="807"/>
      <c r="O15" s="80" t="str">
        <f>IFERROR(VLOOKUP(N15,DATA!$K$4:$L$51,2,FALSE),"")</f>
        <v/>
      </c>
      <c r="P15" s="80">
        <f t="shared" si="3"/>
        <v>0</v>
      </c>
      <c r="Q15" s="154">
        <f t="shared" si="4"/>
        <v>0</v>
      </c>
    </row>
    <row r="16" spans="1:17">
      <c r="B16" s="627">
        <f t="shared" si="0"/>
        <v>11</v>
      </c>
      <c r="C16" s="429">
        <v>43103</v>
      </c>
      <c r="D16" s="816" t="s">
        <v>2405</v>
      </c>
      <c r="E16" s="807">
        <v>140100</v>
      </c>
      <c r="F16" s="629" t="str">
        <f>IFERROR(VLOOKUP(E16,STAT1!$C$4:$D$1000,2,FALSE),"")</f>
        <v>Түүхий эд материал</v>
      </c>
      <c r="G16" s="811"/>
      <c r="H16" s="811">
        <v>77064242.909999996</v>
      </c>
      <c r="I16" s="580">
        <f t="shared" si="1"/>
        <v>0</v>
      </c>
      <c r="J16" s="961">
        <f t="shared" si="2"/>
        <v>0</v>
      </c>
      <c r="K16" s="80"/>
      <c r="L16" s="807">
        <v>1004</v>
      </c>
      <c r="M16" s="80" t="str">
        <f>+IFERROR(VLOOKUP(L16,DATA!$G$4:$H$2000,2,FALSE),"")</f>
        <v xml:space="preserve">Түмэндэлгэр </v>
      </c>
      <c r="N16" s="807"/>
      <c r="O16" s="80" t="str">
        <f>IFERROR(VLOOKUP(N16,DATA!$K$4:$L$51,2,FALSE),"")</f>
        <v/>
      </c>
      <c r="P16" s="80">
        <f t="shared" si="3"/>
        <v>0</v>
      </c>
      <c r="Q16" s="154">
        <f t="shared" si="4"/>
        <v>0</v>
      </c>
    </row>
    <row r="17" spans="2:17">
      <c r="B17" s="627">
        <f t="shared" si="0"/>
        <v>12</v>
      </c>
      <c r="C17" s="429">
        <v>43103</v>
      </c>
      <c r="D17" s="816" t="s">
        <v>2405</v>
      </c>
      <c r="E17" s="807">
        <v>140200</v>
      </c>
      <c r="F17" s="629" t="str">
        <f>IFERROR(VLOOKUP(E17,STAT1!$C$4:$D$1000,2,FALSE),"")</f>
        <v>ШМЗардал ХАТААХ ЦЕХ /нарс/</v>
      </c>
      <c r="G17" s="811">
        <v>77064242.909999996</v>
      </c>
      <c r="H17" s="811"/>
      <c r="I17" s="580">
        <f t="shared" si="1"/>
        <v>0</v>
      </c>
      <c r="J17" s="961">
        <f t="shared" si="2"/>
        <v>0</v>
      </c>
      <c r="K17" s="80"/>
      <c r="L17" s="807">
        <v>1004</v>
      </c>
      <c r="M17" s="80" t="str">
        <f>+IFERROR(VLOOKUP(L17,DATA!$G$4:$H$2000,2,FALSE),"")</f>
        <v xml:space="preserve">Түмэндэлгэр </v>
      </c>
      <c r="N17" s="807"/>
      <c r="O17" s="80" t="str">
        <f>IFERROR(VLOOKUP(N17,DATA!$K$4:$L$51,2,FALSE),"")</f>
        <v/>
      </c>
      <c r="P17" s="80">
        <f t="shared" si="3"/>
        <v>0</v>
      </c>
      <c r="Q17" s="154">
        <f t="shared" si="4"/>
        <v>0</v>
      </c>
    </row>
    <row r="18" spans="2:17">
      <c r="B18" s="627">
        <f t="shared" si="0"/>
        <v>13</v>
      </c>
      <c r="C18" s="429">
        <v>43103</v>
      </c>
      <c r="D18" s="816" t="s">
        <v>2408</v>
      </c>
      <c r="E18" s="807">
        <v>700900</v>
      </c>
      <c r="F18" s="629" t="str">
        <f>IFERROR(VLOOKUP(E18,STAT1!$C$4:$D$1000,2,FALSE),"")</f>
        <v>Уур, ус</v>
      </c>
      <c r="G18" s="811"/>
      <c r="H18" s="811">
        <v>7255290.2000000002</v>
      </c>
      <c r="I18" s="580">
        <f t="shared" si="1"/>
        <v>0</v>
      </c>
      <c r="J18" s="961">
        <f t="shared" si="2"/>
        <v>0</v>
      </c>
      <c r="K18" s="80"/>
      <c r="L18" s="807">
        <v>1004</v>
      </c>
      <c r="M18" s="80" t="str">
        <f>+IFERROR(VLOOKUP(L18,DATA!$G$4:$H$2000,2,FALSE),"")</f>
        <v xml:space="preserve">Түмэндэлгэр </v>
      </c>
      <c r="N18" s="807"/>
      <c r="O18" s="80" t="str">
        <f>IFERROR(VLOOKUP(N18,DATA!$K$4:$L$51,2,FALSE),"")</f>
        <v/>
      </c>
      <c r="P18" s="80">
        <f t="shared" si="3"/>
        <v>0</v>
      </c>
      <c r="Q18" s="154">
        <f t="shared" si="4"/>
        <v>0</v>
      </c>
    </row>
    <row r="19" spans="2:17">
      <c r="B19" s="627">
        <f t="shared" si="0"/>
        <v>14</v>
      </c>
      <c r="C19" s="429">
        <v>43103</v>
      </c>
      <c r="D19" s="816" t="s">
        <v>2408</v>
      </c>
      <c r="E19" s="807">
        <v>140400</v>
      </c>
      <c r="F19" s="629" t="str">
        <f>IFERROR(VLOOKUP(E19,STAT1!$C$4:$D$1000,2,FALSE),"")</f>
        <v>ҮНЗардал ХАТААХ ЦЕХ /нарс/</v>
      </c>
      <c r="G19" s="811">
        <v>7255290.2000000002</v>
      </c>
      <c r="H19" s="811"/>
      <c r="I19" s="580">
        <f t="shared" si="1"/>
        <v>0</v>
      </c>
      <c r="J19" s="961">
        <f t="shared" si="2"/>
        <v>0</v>
      </c>
      <c r="K19" s="80"/>
      <c r="L19" s="807">
        <v>1004</v>
      </c>
      <c r="M19" s="80" t="str">
        <f>+IFERROR(VLOOKUP(L19,DATA!$G$4:$H$2000,2,FALSE),"")</f>
        <v xml:space="preserve">Түмэндэлгэр </v>
      </c>
      <c r="N19" s="807"/>
      <c r="O19" s="80" t="str">
        <f>IFERROR(VLOOKUP(N19,DATA!$K$4:$L$51,2,FALSE),"")</f>
        <v/>
      </c>
      <c r="P19" s="80">
        <f t="shared" si="3"/>
        <v>0</v>
      </c>
      <c r="Q19" s="154">
        <f t="shared" si="4"/>
        <v>0</v>
      </c>
    </row>
    <row r="20" spans="2:17">
      <c r="B20" s="627">
        <f t="shared" si="0"/>
        <v>15</v>
      </c>
      <c r="C20" s="429">
        <v>43103</v>
      </c>
      <c r="D20" s="816" t="s">
        <v>2549</v>
      </c>
      <c r="E20" s="807">
        <v>150101</v>
      </c>
      <c r="F20" s="629" t="str">
        <f>IFERROR(VLOOKUP(E20,STAT1!$C$4:$D$1000,2,FALSE),"")</f>
        <v>Бараа бэлэн бүтээгдэхүүн БОЛОВСРУУЛАХ ЦЕХ /нарс/</v>
      </c>
      <c r="G20" s="811"/>
      <c r="H20" s="811">
        <v>138384.520149905</v>
      </c>
      <c r="I20" s="580">
        <f t="shared" si="1"/>
        <v>0</v>
      </c>
      <c r="J20" s="961">
        <f t="shared" si="2"/>
        <v>0</v>
      </c>
      <c r="K20" s="80"/>
      <c r="L20" s="807">
        <v>3052</v>
      </c>
      <c r="M20" s="80" t="str">
        <f>+IFERROR(VLOOKUP(L20,DATA!$G$4:$H$2000,2,FALSE),"")</f>
        <v>ШИНЭ ОРОН СУУЦ ХХК</v>
      </c>
      <c r="N20" s="807"/>
      <c r="O20" s="80" t="str">
        <f>IFERROR(VLOOKUP(N20,DATA!$K$4:$L$51,2,FALSE),"")</f>
        <v/>
      </c>
      <c r="P20" s="80">
        <f t="shared" si="3"/>
        <v>0</v>
      </c>
      <c r="Q20" s="154">
        <f t="shared" si="4"/>
        <v>0</v>
      </c>
    </row>
    <row r="21" spans="2:17">
      <c r="B21" s="627">
        <f t="shared" si="0"/>
        <v>16</v>
      </c>
      <c r="C21" s="429">
        <v>43103</v>
      </c>
      <c r="D21" s="816" t="s">
        <v>2549</v>
      </c>
      <c r="E21" s="807">
        <v>150101</v>
      </c>
      <c r="F21" s="629" t="str">
        <f>IFERROR(VLOOKUP(E21,STAT1!$C$4:$D$1000,2,FALSE),"")</f>
        <v>Бараа бэлэн бүтээгдэхүүн БОЛОВСРУУЛАХ ЦЕХ /нарс/</v>
      </c>
      <c r="G21" s="811"/>
      <c r="H21" s="811">
        <v>124000.19200276393</v>
      </c>
      <c r="I21" s="580">
        <f t="shared" si="1"/>
        <v>0</v>
      </c>
      <c r="J21" s="961">
        <f t="shared" si="2"/>
        <v>0</v>
      </c>
      <c r="K21" s="80"/>
      <c r="L21" s="807">
        <v>3052</v>
      </c>
      <c r="M21" s="80" t="str">
        <f>+IFERROR(VLOOKUP(L21,DATA!$G$4:$H$2000,2,FALSE),"")</f>
        <v>ШИНЭ ОРОН СУУЦ ХХК</v>
      </c>
      <c r="N21" s="807"/>
      <c r="O21" s="80" t="str">
        <f>IFERROR(VLOOKUP(N21,DATA!$K$4:$L$51,2,FALSE),"")</f>
        <v/>
      </c>
      <c r="P21" s="80">
        <f t="shared" si="3"/>
        <v>0</v>
      </c>
      <c r="Q21" s="154">
        <f t="shared" si="4"/>
        <v>0</v>
      </c>
    </row>
    <row r="22" spans="2:17">
      <c r="B22" s="627">
        <f t="shared" si="0"/>
        <v>17</v>
      </c>
      <c r="C22" s="429">
        <v>43103</v>
      </c>
      <c r="D22" s="816" t="s">
        <v>2549</v>
      </c>
      <c r="E22" s="807">
        <v>610100</v>
      </c>
      <c r="F22" s="629" t="str">
        <f>IFERROR(VLOOKUP(E22,STAT1!$C$4:$D$1000,2,FALSE),"")</f>
        <v>Борлуулсан барааны өртөг</v>
      </c>
      <c r="G22" s="811">
        <v>262384.71215266892</v>
      </c>
      <c r="H22" s="811"/>
      <c r="I22" s="580">
        <f t="shared" si="1"/>
        <v>0</v>
      </c>
      <c r="J22" s="961">
        <f t="shared" si="2"/>
        <v>0</v>
      </c>
      <c r="K22" s="80"/>
      <c r="L22" s="807">
        <v>3052</v>
      </c>
      <c r="M22" s="80" t="str">
        <f>+IFERROR(VLOOKUP(L22,DATA!$G$4:$H$2000,2,FALSE),"")</f>
        <v>ШИНЭ ОРОН СУУЦ ХХК</v>
      </c>
      <c r="N22" s="807"/>
      <c r="O22" s="80" t="str">
        <f>IFERROR(VLOOKUP(N22,DATA!$K$4:$L$51,2,FALSE),"")</f>
        <v/>
      </c>
      <c r="P22" s="80">
        <f t="shared" si="3"/>
        <v>0</v>
      </c>
      <c r="Q22" s="154">
        <f t="shared" si="4"/>
        <v>0</v>
      </c>
    </row>
    <row r="23" spans="2:17">
      <c r="B23" s="627">
        <f t="shared" si="0"/>
        <v>18</v>
      </c>
      <c r="C23" s="429">
        <v>43103</v>
      </c>
      <c r="D23" s="816" t="s">
        <v>2549</v>
      </c>
      <c r="E23" s="807">
        <v>310500</v>
      </c>
      <c r="F23" s="629" t="str">
        <f>IFERROR(VLOOKUP(E23,STAT1!$C$4:$D$1000,2,FALSE),"")</f>
        <v>НӨАТ өглөг</v>
      </c>
      <c r="G23" s="811"/>
      <c r="H23" s="811">
        <v>63000</v>
      </c>
      <c r="I23" s="580">
        <f t="shared" si="1"/>
        <v>0</v>
      </c>
      <c r="J23" s="961">
        <f t="shared" si="2"/>
        <v>0</v>
      </c>
      <c r="K23" s="80"/>
      <c r="L23" s="807">
        <v>3052</v>
      </c>
      <c r="M23" s="80" t="str">
        <f>+IFERROR(VLOOKUP(L23,DATA!$G$4:$H$2000,2,FALSE),"")</f>
        <v>ШИНЭ ОРОН СУУЦ ХХК</v>
      </c>
      <c r="N23" s="807"/>
      <c r="O23" s="80" t="str">
        <f>IFERROR(VLOOKUP(N23,DATA!$K$4:$L$51,2,FALSE),"")</f>
        <v/>
      </c>
      <c r="P23" s="80">
        <f t="shared" si="3"/>
        <v>0</v>
      </c>
      <c r="Q23" s="154">
        <f t="shared" si="4"/>
        <v>0</v>
      </c>
    </row>
    <row r="24" spans="2:17">
      <c r="B24" s="627">
        <f t="shared" si="0"/>
        <v>19</v>
      </c>
      <c r="C24" s="429">
        <v>43103</v>
      </c>
      <c r="D24" s="816" t="s">
        <v>2549</v>
      </c>
      <c r="E24" s="807">
        <v>510000</v>
      </c>
      <c r="F24" s="629" t="str">
        <f>IFERROR(VLOOKUP(E24,STAT1!$C$4:$D$1000,2,FALSE),"")</f>
        <v>Үндсэн үйл ажиллагааны борлуулалт</v>
      </c>
      <c r="G24" s="811"/>
      <c r="H24" s="811">
        <v>630000</v>
      </c>
      <c r="I24" s="580">
        <f t="shared" si="1"/>
        <v>0</v>
      </c>
      <c r="J24" s="961">
        <f t="shared" si="2"/>
        <v>0</v>
      </c>
      <c r="K24" s="80"/>
      <c r="L24" s="807">
        <v>3052</v>
      </c>
      <c r="M24" s="80" t="str">
        <f>+IFERROR(VLOOKUP(L24,DATA!$G$4:$H$2000,2,FALSE),"")</f>
        <v>ШИНЭ ОРОН СУУЦ ХХК</v>
      </c>
      <c r="N24" s="807"/>
      <c r="O24" s="80"/>
      <c r="P24" s="80">
        <f t="shared" si="3"/>
        <v>0</v>
      </c>
      <c r="Q24" s="154">
        <f t="shared" si="4"/>
        <v>0</v>
      </c>
    </row>
    <row r="25" spans="2:17">
      <c r="B25" s="627">
        <f t="shared" si="0"/>
        <v>20</v>
      </c>
      <c r="C25" s="429">
        <v>43103</v>
      </c>
      <c r="D25" s="816" t="s">
        <v>2549</v>
      </c>
      <c r="E25" s="807">
        <v>320100</v>
      </c>
      <c r="F25" s="629" t="str">
        <f>IFERROR(VLOOKUP(E25,STAT1!$C$4:$D$1000,2,FALSE),"")</f>
        <v>Урьдчилж орсон орлого MNT</v>
      </c>
      <c r="G25" s="811">
        <v>693000</v>
      </c>
      <c r="H25" s="811"/>
      <c r="I25" s="580">
        <f t="shared" si="1"/>
        <v>0</v>
      </c>
      <c r="J25" s="961">
        <f t="shared" si="2"/>
        <v>0</v>
      </c>
      <c r="K25" s="80"/>
      <c r="L25" s="807">
        <v>3052</v>
      </c>
      <c r="M25" s="80" t="str">
        <f>+IFERROR(VLOOKUP(L25,DATA!$G$4:$H$2000,2,FALSE),"")</f>
        <v>ШИНЭ ОРОН СУУЦ ХХК</v>
      </c>
      <c r="N25" s="807"/>
      <c r="O25" s="80" t="str">
        <f>IFERROR(VLOOKUP(N25,DATA!$K$4:$L$51,2,FALSE),"")</f>
        <v/>
      </c>
      <c r="P25" s="80">
        <f t="shared" si="3"/>
        <v>0</v>
      </c>
      <c r="Q25" s="154">
        <f t="shared" si="4"/>
        <v>0</v>
      </c>
    </row>
    <row r="26" spans="2:17">
      <c r="B26" s="627">
        <f t="shared" si="0"/>
        <v>21</v>
      </c>
      <c r="C26" s="582">
        <v>43109</v>
      </c>
      <c r="D26" s="815" t="s">
        <v>2376</v>
      </c>
      <c r="E26" s="630">
        <v>100100</v>
      </c>
      <c r="F26" s="629" t="str">
        <f>IFERROR(VLOOKUP(E26,STAT1!$C$4:$D$1000,2,FALSE),"")</f>
        <v>Касс мөнгө MNT</v>
      </c>
      <c r="G26" s="376"/>
      <c r="H26" s="376">
        <v>45000</v>
      </c>
      <c r="I26" s="580">
        <f t="shared" si="1"/>
        <v>-45000</v>
      </c>
      <c r="J26" s="961">
        <f t="shared" si="2"/>
        <v>0</v>
      </c>
      <c r="K26" s="80"/>
      <c r="L26" s="630">
        <v>1005</v>
      </c>
      <c r="M26" s="80" t="str">
        <f>+IFERROR(VLOOKUP(L26,DATA!$G$4:$H$2000,2,FALSE),"")</f>
        <v>Золжаргал</v>
      </c>
      <c r="N26" s="630">
        <v>53</v>
      </c>
      <c r="O26" s="80" t="str">
        <f>IFERROR(VLOOKUP(N26,DATA!$K$4:$L$51,2,FALSE),"")</f>
        <v>Бараа материал худалдан авахад төлсөн</v>
      </c>
      <c r="P26" s="80">
        <f t="shared" si="3"/>
        <v>1</v>
      </c>
      <c r="Q26" s="154">
        <f t="shared" si="4"/>
        <v>1</v>
      </c>
    </row>
    <row r="27" spans="2:17">
      <c r="B27" s="627">
        <f t="shared" si="0"/>
        <v>22</v>
      </c>
      <c r="C27" s="582">
        <v>43109</v>
      </c>
      <c r="D27" s="815" t="s">
        <v>2376</v>
      </c>
      <c r="E27" s="630">
        <v>120600</v>
      </c>
      <c r="F27" s="629" t="str">
        <f>IFERROR(VLOOKUP(E27,STAT1!$C$4:$D$1000,2,FALSE),"")</f>
        <v>НӨАТ авлага</v>
      </c>
      <c r="G27" s="376">
        <v>4090.91</v>
      </c>
      <c r="H27" s="376"/>
      <c r="I27" s="580">
        <f t="shared" si="1"/>
        <v>0</v>
      </c>
      <c r="J27" s="961">
        <f t="shared" si="2"/>
        <v>0</v>
      </c>
      <c r="K27" s="80"/>
      <c r="L27" s="630">
        <v>1005</v>
      </c>
      <c r="M27" s="80" t="str">
        <f>+IFERROR(VLOOKUP(L27,DATA!$G$4:$H$2000,2,FALSE),"")</f>
        <v>Золжаргал</v>
      </c>
      <c r="N27" s="630"/>
      <c r="O27" s="80" t="str">
        <f>IFERROR(VLOOKUP(N27,DATA!$K$4:$L$51,2,FALSE),"")</f>
        <v/>
      </c>
      <c r="P27" s="80">
        <f t="shared" si="3"/>
        <v>0</v>
      </c>
      <c r="Q27" s="154">
        <f t="shared" si="4"/>
        <v>0</v>
      </c>
    </row>
    <row r="28" spans="2:17">
      <c r="B28" s="627">
        <f t="shared" si="0"/>
        <v>23</v>
      </c>
      <c r="C28" s="582">
        <v>43109</v>
      </c>
      <c r="D28" s="815" t="s">
        <v>2376</v>
      </c>
      <c r="E28" s="630">
        <v>703700</v>
      </c>
      <c r="F28" s="629" t="str">
        <f>IFERROR(VLOOKUP(E28,STAT1!$C$4:$D$1000,2,FALSE),"")</f>
        <v>Бичиг хэргийн зардал</v>
      </c>
      <c r="G28" s="376">
        <f>45000-4090.91</f>
        <v>40909.089999999997</v>
      </c>
      <c r="H28" s="376"/>
      <c r="I28" s="580">
        <f t="shared" si="1"/>
        <v>0</v>
      </c>
      <c r="J28" s="961">
        <f t="shared" si="2"/>
        <v>0</v>
      </c>
      <c r="K28" s="80"/>
      <c r="L28" s="630">
        <v>1005</v>
      </c>
      <c r="M28" s="80" t="str">
        <f>+IFERROR(VLOOKUP(L28,DATA!$G$4:$H$2000,2,FALSE),"")</f>
        <v>Золжаргал</v>
      </c>
      <c r="N28" s="630"/>
      <c r="O28" s="80" t="str">
        <f>IFERROR(VLOOKUP(N28,DATA!$K$4:$L$51,2,FALSE),"")</f>
        <v/>
      </c>
      <c r="P28" s="80">
        <f t="shared" si="3"/>
        <v>0</v>
      </c>
      <c r="Q28" s="154">
        <f t="shared" si="4"/>
        <v>0</v>
      </c>
    </row>
    <row r="29" spans="2:17">
      <c r="B29" s="627">
        <f t="shared" si="0"/>
        <v>24</v>
      </c>
      <c r="C29" s="429">
        <v>43110</v>
      </c>
      <c r="D29" s="816" t="s">
        <v>1331</v>
      </c>
      <c r="E29" s="807">
        <v>110100</v>
      </c>
      <c r="F29" s="629" t="str">
        <f>IFERROR(VLOOKUP(E29,STAT1!$C$4:$D$8000,2,FALSE),"")</f>
        <v>Хаан Банк 5024654020</v>
      </c>
      <c r="G29" s="811"/>
      <c r="H29" s="811">
        <v>51320</v>
      </c>
      <c r="I29" s="580">
        <f t="shared" si="1"/>
        <v>-51320</v>
      </c>
      <c r="J29" s="961">
        <f t="shared" si="2"/>
        <v>0</v>
      </c>
      <c r="K29" s="80"/>
      <c r="L29" s="807">
        <v>2006</v>
      </c>
      <c r="M29" s="80" t="str">
        <f>+IFERROR(VLOOKUP(L29,DATA!$G$4:$H$2000,2,FALSE),"")</f>
        <v xml:space="preserve">МЦХОЛБОО </v>
      </c>
      <c r="N29" s="807">
        <v>59</v>
      </c>
      <c r="O29" s="80" t="str">
        <f>IFERROR(VLOOKUP(N29,DATA!$K$4:$L$51,2,FALSE),"")</f>
        <v>Бусад мөнгөн зарлага</v>
      </c>
      <c r="P29" s="80">
        <f t="shared" si="3"/>
        <v>1</v>
      </c>
      <c r="Q29" s="154">
        <f t="shared" si="4"/>
        <v>1</v>
      </c>
    </row>
    <row r="30" spans="2:17">
      <c r="B30" s="627">
        <f t="shared" si="0"/>
        <v>25</v>
      </c>
      <c r="C30" s="429">
        <v>43110</v>
      </c>
      <c r="D30" s="816" t="s">
        <v>1331</v>
      </c>
      <c r="E30" s="807">
        <v>120600</v>
      </c>
      <c r="F30" s="629" t="str">
        <f>IFERROR(VLOOKUP(E30,STAT1!$C$4:$D$8000,2,FALSE),"")</f>
        <v>НӨАТ авлага</v>
      </c>
      <c r="G30" s="811">
        <f>51320/1.1*0.1</f>
        <v>4665.454545454545</v>
      </c>
      <c r="H30" s="811"/>
      <c r="I30" s="580">
        <f t="shared" si="1"/>
        <v>0</v>
      </c>
      <c r="J30" s="961">
        <f t="shared" si="2"/>
        <v>0</v>
      </c>
      <c r="K30" s="80"/>
      <c r="L30" s="807">
        <v>2006</v>
      </c>
      <c r="M30" s="80" t="str">
        <f>+IFERROR(VLOOKUP(L30,DATA!$G$4:$H$2000,2,FALSE),"")</f>
        <v xml:space="preserve">МЦХОЛБОО </v>
      </c>
      <c r="N30" s="807"/>
      <c r="O30" s="80" t="str">
        <f>IFERROR(VLOOKUP(N30,DATA!$K$4:$L$51,2,FALSE),"")</f>
        <v/>
      </c>
      <c r="P30" s="80">
        <f t="shared" si="3"/>
        <v>0</v>
      </c>
      <c r="Q30" s="154">
        <f t="shared" si="4"/>
        <v>0</v>
      </c>
    </row>
    <row r="31" spans="2:17">
      <c r="B31" s="627">
        <f t="shared" si="0"/>
        <v>26</v>
      </c>
      <c r="C31" s="429">
        <v>43110</v>
      </c>
      <c r="D31" s="816" t="s">
        <v>1331</v>
      </c>
      <c r="E31" s="630">
        <v>701900</v>
      </c>
      <c r="F31" s="629" t="str">
        <f>IFERROR(VLOOKUP(E31,STAT1!$C$4:$D$1000,2,FALSE),"")</f>
        <v>Харилцаа холбоо</v>
      </c>
      <c r="G31" s="376">
        <f>51320/1.1</f>
        <v>46654.545454545449</v>
      </c>
      <c r="H31" s="376"/>
      <c r="I31" s="580">
        <f t="shared" si="1"/>
        <v>0</v>
      </c>
      <c r="J31" s="961">
        <f t="shared" si="2"/>
        <v>0</v>
      </c>
      <c r="K31" s="428"/>
      <c r="L31" s="807">
        <v>2006</v>
      </c>
      <c r="M31" s="80" t="str">
        <f>+IFERROR(VLOOKUP(L31,DATA!$G$4:$H$2000,2,FALSE),"")</f>
        <v xml:space="preserve">МЦХОЛБОО </v>
      </c>
      <c r="N31" s="630"/>
      <c r="O31" s="80" t="str">
        <f>IFERROR(VLOOKUP(N31,DATA!$K$4:$L$51,2,FALSE),"")</f>
        <v/>
      </c>
      <c r="P31" s="80">
        <f t="shared" si="3"/>
        <v>0</v>
      </c>
      <c r="Q31" s="154">
        <f t="shared" si="4"/>
        <v>0</v>
      </c>
    </row>
    <row r="32" spans="2:17">
      <c r="B32" s="627">
        <f t="shared" si="0"/>
        <v>27</v>
      </c>
      <c r="C32" s="582">
        <v>43111</v>
      </c>
      <c r="D32" s="815" t="s">
        <v>2377</v>
      </c>
      <c r="E32" s="630">
        <v>100100</v>
      </c>
      <c r="F32" s="629" t="str">
        <f>IFERROR(VLOOKUP(E32,STAT1!$C$4:$D$1000,2,FALSE),"")</f>
        <v>Касс мөнгө MNT</v>
      </c>
      <c r="G32" s="376"/>
      <c r="H32" s="376">
        <v>286000</v>
      </c>
      <c r="I32" s="580">
        <f t="shared" si="1"/>
        <v>-286000</v>
      </c>
      <c r="J32" s="961">
        <f t="shared" si="2"/>
        <v>0</v>
      </c>
      <c r="K32" s="80"/>
      <c r="L32" s="630">
        <v>1008</v>
      </c>
      <c r="M32" s="80" t="str">
        <f>+IFERROR(VLOOKUP(L32,DATA!$G$4:$H$2000,2,FALSE),"")</f>
        <v xml:space="preserve">Оюунтүлхүүр </v>
      </c>
      <c r="N32" s="630">
        <v>59</v>
      </c>
      <c r="O32" s="80" t="str">
        <f>IFERROR(VLOOKUP(N32,DATA!$K$4:$L$51,2,FALSE),"")</f>
        <v>Бусад мөнгөн зарлага</v>
      </c>
      <c r="P32" s="80">
        <f t="shared" si="3"/>
        <v>1</v>
      </c>
      <c r="Q32" s="154">
        <f t="shared" si="4"/>
        <v>1</v>
      </c>
    </row>
    <row r="33" spans="2:17">
      <c r="B33" s="627">
        <f t="shared" si="0"/>
        <v>28</v>
      </c>
      <c r="C33" s="582">
        <v>43111</v>
      </c>
      <c r="D33" s="815" t="s">
        <v>2377</v>
      </c>
      <c r="E33" s="630">
        <v>120600</v>
      </c>
      <c r="F33" s="629" t="str">
        <f>IFERROR(VLOOKUP(E33,STAT1!$C$4:$D$1000,2,FALSE),"")</f>
        <v>НӨАТ авлага</v>
      </c>
      <c r="G33" s="376">
        <v>26000</v>
      </c>
      <c r="H33" s="376"/>
      <c r="I33" s="580">
        <f t="shared" si="1"/>
        <v>0</v>
      </c>
      <c r="J33" s="961">
        <f t="shared" si="2"/>
        <v>0</v>
      </c>
      <c r="K33" s="80"/>
      <c r="L33" s="630">
        <v>1008</v>
      </c>
      <c r="M33" s="80" t="str">
        <f>+IFERROR(VLOOKUP(L33,DATA!$G$4:$H$2000,2,FALSE),"")</f>
        <v xml:space="preserve">Оюунтүлхүүр </v>
      </c>
      <c r="N33" s="630"/>
      <c r="O33" s="80" t="str">
        <f>IFERROR(VLOOKUP(N33,DATA!$K$4:$L$51,2,FALSE),"")</f>
        <v/>
      </c>
      <c r="P33" s="80">
        <f t="shared" si="3"/>
        <v>0</v>
      </c>
      <c r="Q33" s="154">
        <f t="shared" si="4"/>
        <v>0</v>
      </c>
    </row>
    <row r="34" spans="2:17">
      <c r="B34" s="627">
        <f t="shared" si="0"/>
        <v>29</v>
      </c>
      <c r="C34" s="582">
        <v>43111</v>
      </c>
      <c r="D34" s="815" t="s">
        <v>2377</v>
      </c>
      <c r="E34" s="630">
        <v>701900</v>
      </c>
      <c r="F34" s="629" t="str">
        <f>IFERROR(VLOOKUP(E34,STAT1!$C$4:$D$1000,2,FALSE),"")</f>
        <v>Харилцаа холбоо</v>
      </c>
      <c r="G34" s="376">
        <v>260000</v>
      </c>
      <c r="H34" s="376"/>
      <c r="I34" s="580">
        <f t="shared" si="1"/>
        <v>0</v>
      </c>
      <c r="J34" s="961">
        <f t="shared" si="2"/>
        <v>0</v>
      </c>
      <c r="K34" s="80"/>
      <c r="L34" s="630">
        <v>1008</v>
      </c>
      <c r="M34" s="80" t="str">
        <f>+IFERROR(VLOOKUP(L34,DATA!$G$4:$H$2000,2,FALSE),"")</f>
        <v xml:space="preserve">Оюунтүлхүүр </v>
      </c>
      <c r="N34" s="630"/>
      <c r="O34" s="80" t="str">
        <f>IFERROR(VLOOKUP(N34,DATA!$K$4:$L$51,2,FALSE),"")</f>
        <v/>
      </c>
      <c r="P34" s="80">
        <f t="shared" si="3"/>
        <v>0</v>
      </c>
      <c r="Q34" s="154">
        <f t="shared" si="4"/>
        <v>0</v>
      </c>
    </row>
    <row r="35" spans="2:17">
      <c r="B35" s="627">
        <f t="shared" si="0"/>
        <v>30</v>
      </c>
      <c r="C35" s="582">
        <v>43111</v>
      </c>
      <c r="D35" s="815" t="s">
        <v>1570</v>
      </c>
      <c r="E35" s="630">
        <v>100100</v>
      </c>
      <c r="F35" s="629" t="str">
        <f>IFERROR(VLOOKUP(E35,STAT1!$C$4:$D$1000,2,FALSE),"")</f>
        <v>Касс мөнгө MNT</v>
      </c>
      <c r="G35" s="376"/>
      <c r="H35" s="376">
        <v>20000</v>
      </c>
      <c r="I35" s="580">
        <f t="shared" si="1"/>
        <v>-20000</v>
      </c>
      <c r="J35" s="961">
        <f t="shared" si="2"/>
        <v>0</v>
      </c>
      <c r="K35" s="80"/>
      <c r="L35" s="630">
        <v>1008</v>
      </c>
      <c r="M35" s="80" t="str">
        <f>+IFERROR(VLOOKUP(L35,DATA!$G$4:$H$2000,2,FALSE),"")</f>
        <v xml:space="preserve">Оюунтүлхүүр </v>
      </c>
      <c r="N35" s="630">
        <v>55</v>
      </c>
      <c r="O35" s="80" t="str">
        <f>IFERROR(VLOOKUP(N35,DATA!$K$4:$L$51,2,FALSE),"")</f>
        <v>Түлш, шатахуун, тээврийн хөлс, сэлбэг хэрэгсэлд төлсөн</v>
      </c>
      <c r="P35" s="80">
        <f t="shared" si="3"/>
        <v>1</v>
      </c>
      <c r="Q35" s="154">
        <f t="shared" si="4"/>
        <v>1</v>
      </c>
    </row>
    <row r="36" spans="2:17">
      <c r="B36" s="627">
        <f t="shared" si="0"/>
        <v>31</v>
      </c>
      <c r="C36" s="582">
        <v>43111</v>
      </c>
      <c r="D36" s="815" t="s">
        <v>1570</v>
      </c>
      <c r="E36" s="807">
        <v>702000</v>
      </c>
      <c r="F36" s="629" t="str">
        <f>IFERROR(VLOOKUP(E36,STAT1!$C$4:$D$1000,2,FALSE),"")</f>
        <v>Түлш, шатахуун</v>
      </c>
      <c r="G36" s="811">
        <v>20000</v>
      </c>
      <c r="H36" s="811"/>
      <c r="I36" s="580">
        <f t="shared" si="1"/>
        <v>0</v>
      </c>
      <c r="J36" s="961">
        <f t="shared" si="2"/>
        <v>0</v>
      </c>
      <c r="K36" s="80"/>
      <c r="L36" s="630">
        <v>1008</v>
      </c>
      <c r="M36" s="80" t="str">
        <f>+IFERROR(VLOOKUP(L36,DATA!$G$4:$H$2000,2,FALSE),"")</f>
        <v xml:space="preserve">Оюунтүлхүүр </v>
      </c>
      <c r="N36" s="807"/>
      <c r="O36" s="80" t="str">
        <f>IFERROR(VLOOKUP(N36,DATA!$K$4:$L$51,2,FALSE),"")</f>
        <v/>
      </c>
      <c r="P36" s="80">
        <f t="shared" si="3"/>
        <v>0</v>
      </c>
      <c r="Q36" s="154">
        <f t="shared" si="4"/>
        <v>0</v>
      </c>
    </row>
    <row r="37" spans="2:17">
      <c r="B37" s="627">
        <f t="shared" si="0"/>
        <v>32</v>
      </c>
      <c r="C37" s="429">
        <v>43114</v>
      </c>
      <c r="D37" s="816" t="s">
        <v>1570</v>
      </c>
      <c r="E37" s="807">
        <v>100100</v>
      </c>
      <c r="F37" s="629" t="str">
        <f>IFERROR(VLOOKUP(E37,STAT1!$C$4:$D$1000,2,FALSE),"")</f>
        <v>Касс мөнгө MNT</v>
      </c>
      <c r="G37" s="811"/>
      <c r="H37" s="811">
        <v>20000</v>
      </c>
      <c r="I37" s="580">
        <f t="shared" si="1"/>
        <v>-20000</v>
      </c>
      <c r="J37" s="961">
        <f t="shared" si="2"/>
        <v>0</v>
      </c>
      <c r="K37" s="80"/>
      <c r="L37" s="807">
        <v>1005</v>
      </c>
      <c r="M37" s="80" t="str">
        <f>+IFERROR(VLOOKUP(L37,DATA!$G$4:$H$2000,2,FALSE),"")</f>
        <v>Золжаргал</v>
      </c>
      <c r="N37" s="807">
        <v>55</v>
      </c>
      <c r="O37" s="80" t="str">
        <f>IFERROR(VLOOKUP(N37,DATA!$K$4:$L$51,2,FALSE),"")</f>
        <v>Түлш, шатахуун, тээврийн хөлс, сэлбэг хэрэгсэлд төлсөн</v>
      </c>
      <c r="P37" s="80">
        <f t="shared" si="3"/>
        <v>1</v>
      </c>
      <c r="Q37" s="154">
        <f t="shared" si="4"/>
        <v>1</v>
      </c>
    </row>
    <row r="38" spans="2:17">
      <c r="B38" s="627">
        <f t="shared" si="0"/>
        <v>33</v>
      </c>
      <c r="C38" s="429">
        <v>43114</v>
      </c>
      <c r="D38" s="816" t="s">
        <v>1570</v>
      </c>
      <c r="E38" s="807">
        <v>702000</v>
      </c>
      <c r="F38" s="629" t="str">
        <f>IFERROR(VLOOKUP(E38,STAT1!$C$4:$D$1000,2,FALSE),"")</f>
        <v>Түлш, шатахуун</v>
      </c>
      <c r="G38" s="811">
        <v>20000</v>
      </c>
      <c r="H38" s="811"/>
      <c r="I38" s="580">
        <f t="shared" si="1"/>
        <v>0</v>
      </c>
      <c r="J38" s="961">
        <f t="shared" si="2"/>
        <v>0</v>
      </c>
      <c r="K38" s="80"/>
      <c r="L38" s="807">
        <v>1005</v>
      </c>
      <c r="M38" s="80" t="str">
        <f>+IFERROR(VLOOKUP(L38,DATA!$G$4:$H$2000,2,FALSE),"")</f>
        <v>Золжаргал</v>
      </c>
      <c r="N38" s="807"/>
      <c r="O38" s="80" t="str">
        <f>IFERROR(VLOOKUP(N38,DATA!$K$4:$L$51,2,FALSE),"")</f>
        <v/>
      </c>
      <c r="P38" s="80">
        <f t="shared" si="3"/>
        <v>0</v>
      </c>
      <c r="Q38" s="154">
        <f t="shared" si="4"/>
        <v>0</v>
      </c>
    </row>
    <row r="39" spans="2:17">
      <c r="B39" s="627">
        <f t="shared" si="0"/>
        <v>34</v>
      </c>
      <c r="C39" s="582">
        <v>43115</v>
      </c>
      <c r="D39" s="815" t="s">
        <v>1571</v>
      </c>
      <c r="E39" s="630">
        <v>110100</v>
      </c>
      <c r="F39" s="629" t="str">
        <f>IFERROR(VLOOKUP(E39,STAT1!$C$4:$D$1000,2,FALSE),"")</f>
        <v>Хаан Банк 5024654020</v>
      </c>
      <c r="G39" s="376">
        <v>10084510</v>
      </c>
      <c r="H39" s="376"/>
      <c r="I39" s="580">
        <f t="shared" si="1"/>
        <v>10084510</v>
      </c>
      <c r="J39" s="961">
        <f t="shared" si="2"/>
        <v>0</v>
      </c>
      <c r="K39" s="428"/>
      <c r="L39" s="630">
        <v>3002</v>
      </c>
      <c r="M39" s="80" t="str">
        <f>+IFERROR(VLOOKUP(L39,DATA!$G$4:$H$2000,2,FALSE),"")</f>
        <v>ЭКО КОНСТРАКШН ХХК</v>
      </c>
      <c r="N39" s="630">
        <v>41</v>
      </c>
      <c r="O39" s="80" t="str">
        <f>IFERROR(VLOOKUP(N39,DATA!$K$4:$L$51,2,FALSE),"")</f>
        <v>Бараа борлуулсан, үйлчилгээ үзүүлсэний орлого</v>
      </c>
      <c r="P39" s="80">
        <f t="shared" si="3"/>
        <v>1</v>
      </c>
      <c r="Q39" s="154">
        <f t="shared" si="4"/>
        <v>1</v>
      </c>
    </row>
    <row r="40" spans="2:17">
      <c r="B40" s="627">
        <f t="shared" si="0"/>
        <v>35</v>
      </c>
      <c r="C40" s="582">
        <v>43115</v>
      </c>
      <c r="D40" s="815" t="s">
        <v>1571</v>
      </c>
      <c r="E40" s="630">
        <v>320100</v>
      </c>
      <c r="F40" s="629" t="str">
        <f>IFERROR(VLOOKUP(E40,STAT1!$C$4:$D$1000,2,FALSE),"")</f>
        <v>Урьдчилж орсон орлого MNT</v>
      </c>
      <c r="G40" s="376"/>
      <c r="H40" s="376">
        <v>10084510</v>
      </c>
      <c r="I40" s="580">
        <f t="shared" si="1"/>
        <v>0</v>
      </c>
      <c r="J40" s="961">
        <f t="shared" si="2"/>
        <v>0</v>
      </c>
      <c r="K40" s="428"/>
      <c r="L40" s="630">
        <v>3002</v>
      </c>
      <c r="M40" s="80" t="str">
        <f>+IFERROR(VLOOKUP(L40,DATA!$G$4:$H$2000,2,FALSE),"")</f>
        <v>ЭКО КОНСТРАКШН ХХК</v>
      </c>
      <c r="N40" s="630"/>
      <c r="O40" s="80" t="str">
        <f>IFERROR(VLOOKUP(N40,DATA!$K$4:$L$51,2,FALSE),"")</f>
        <v/>
      </c>
      <c r="P40" s="80">
        <f t="shared" si="3"/>
        <v>0</v>
      </c>
      <c r="Q40" s="154">
        <f t="shared" si="4"/>
        <v>0</v>
      </c>
    </row>
    <row r="41" spans="2:17">
      <c r="B41" s="627">
        <f t="shared" si="0"/>
        <v>36</v>
      </c>
      <c r="C41" s="429">
        <v>43115</v>
      </c>
      <c r="D41" s="816" t="s">
        <v>2401</v>
      </c>
      <c r="E41" s="807">
        <v>320100</v>
      </c>
      <c r="F41" s="629" t="str">
        <f>IFERROR(VLOOKUP(E41,STAT1!$C$4:$D$1000,2,FALSE),"")</f>
        <v>Урьдчилж орсон орлого MNT</v>
      </c>
      <c r="G41" s="811">
        <f>10084510-8</f>
        <v>10084502</v>
      </c>
      <c r="H41" s="811"/>
      <c r="I41" s="580">
        <f t="shared" si="1"/>
        <v>0</v>
      </c>
      <c r="J41" s="961">
        <f t="shared" si="2"/>
        <v>0</v>
      </c>
      <c r="K41" s="80"/>
      <c r="L41" s="807">
        <v>3002</v>
      </c>
      <c r="M41" s="80" t="str">
        <f>+IFERROR(VLOOKUP(L41,DATA!$G$4:$H$2000,2,FALSE),"")</f>
        <v>ЭКО КОНСТРАКШН ХХК</v>
      </c>
      <c r="N41" s="807"/>
      <c r="O41" s="80" t="str">
        <f>IFERROR(VLOOKUP(N41,DATA!$K$4:$L$51,2,FALSE),"")</f>
        <v/>
      </c>
      <c r="P41" s="80">
        <f t="shared" si="3"/>
        <v>0</v>
      </c>
      <c r="Q41" s="154">
        <f t="shared" si="4"/>
        <v>0</v>
      </c>
    </row>
    <row r="42" spans="2:17">
      <c r="B42" s="627">
        <f t="shared" si="0"/>
        <v>37</v>
      </c>
      <c r="C42" s="429">
        <v>43115</v>
      </c>
      <c r="D42" s="816" t="s">
        <v>2401</v>
      </c>
      <c r="E42" s="807">
        <v>310500</v>
      </c>
      <c r="F42" s="629" t="str">
        <f>IFERROR(VLOOKUP(E42,STAT1!$C$4:$D$1000,2,FALSE),"")</f>
        <v>НӨАТ өглөг</v>
      </c>
      <c r="G42" s="811"/>
      <c r="H42" s="811">
        <v>916773.64</v>
      </c>
      <c r="I42" s="580">
        <f t="shared" si="1"/>
        <v>0</v>
      </c>
      <c r="J42" s="961">
        <f t="shared" si="2"/>
        <v>0</v>
      </c>
      <c r="K42" s="80"/>
      <c r="L42" s="807">
        <v>3002</v>
      </c>
      <c r="M42" s="80" t="str">
        <f>+IFERROR(VLOOKUP(L42,DATA!$G$4:$H$2000,2,FALSE),"")</f>
        <v>ЭКО КОНСТРАКШН ХХК</v>
      </c>
      <c r="N42" s="807"/>
      <c r="O42" s="80" t="str">
        <f>IFERROR(VLOOKUP(N42,DATA!$K$4:$L$51,2,FALSE),"")</f>
        <v/>
      </c>
      <c r="P42" s="80">
        <f t="shared" si="3"/>
        <v>0</v>
      </c>
      <c r="Q42" s="154">
        <f t="shared" si="4"/>
        <v>0</v>
      </c>
    </row>
    <row r="43" spans="2:17">
      <c r="B43" s="627">
        <f t="shared" si="0"/>
        <v>38</v>
      </c>
      <c r="C43" s="429">
        <v>43115</v>
      </c>
      <c r="D43" s="816" t="s">
        <v>2401</v>
      </c>
      <c r="E43" s="807">
        <v>510100</v>
      </c>
      <c r="F43" s="629" t="str">
        <f>IFERROR(VLOOKUP(E43,STAT1!$C$4:$D$1000,2,FALSE),"")</f>
        <v>Үзүүлсэн ажил үйлчилгээний орлого</v>
      </c>
      <c r="G43" s="811"/>
      <c r="H43" s="811">
        <f>10084510-916773.64-8</f>
        <v>9167728.3599999994</v>
      </c>
      <c r="I43" s="580">
        <f t="shared" si="1"/>
        <v>0</v>
      </c>
      <c r="J43" s="961">
        <f t="shared" si="2"/>
        <v>0</v>
      </c>
      <c r="K43" s="80"/>
      <c r="L43" s="807">
        <v>3002</v>
      </c>
      <c r="M43" s="80" t="str">
        <f>+IFERROR(VLOOKUP(L43,DATA!$G$4:$H$2000,2,FALSE),"")</f>
        <v>ЭКО КОНСТРАКШН ХХК</v>
      </c>
      <c r="N43" s="807"/>
      <c r="O43" s="80" t="str">
        <f>IFERROR(VLOOKUP(N43,DATA!$K$4:$L$51,2,FALSE),"")</f>
        <v/>
      </c>
      <c r="P43" s="80">
        <f t="shared" si="3"/>
        <v>0</v>
      </c>
      <c r="Q43" s="154">
        <f t="shared" si="4"/>
        <v>0</v>
      </c>
    </row>
    <row r="44" spans="2:17">
      <c r="B44" s="627">
        <f t="shared" si="0"/>
        <v>39</v>
      </c>
      <c r="C44" s="429">
        <v>43115</v>
      </c>
      <c r="D44" s="816" t="s">
        <v>2402</v>
      </c>
      <c r="E44" s="807">
        <v>122000</v>
      </c>
      <c r="F44" s="629" t="str">
        <f>IFERROR(VLOOKUP(E44,STAT1!$C$4:$D$1000,2,FALSE),"")</f>
        <v>Борлуулалтын авлагын түр тооцоо MNT</v>
      </c>
      <c r="G44" s="811"/>
      <c r="H44" s="811">
        <v>8</v>
      </c>
      <c r="I44" s="580">
        <f t="shared" si="1"/>
        <v>0</v>
      </c>
      <c r="J44" s="961">
        <f t="shared" si="2"/>
        <v>0</v>
      </c>
      <c r="K44" s="80"/>
      <c r="L44" s="807">
        <v>3002</v>
      </c>
      <c r="M44" s="80" t="str">
        <f>+IFERROR(VLOOKUP(L44,DATA!$G$4:$H$2000,2,FALSE),"")</f>
        <v>ЭКО КОНСТРАКШН ХХК</v>
      </c>
      <c r="N44" s="807"/>
      <c r="O44" s="80" t="str">
        <f>IFERROR(VLOOKUP(N44,DATA!$K$4:$L$51,2,FALSE),"")</f>
        <v/>
      </c>
      <c r="P44" s="80">
        <f t="shared" si="3"/>
        <v>0</v>
      </c>
      <c r="Q44" s="154">
        <f t="shared" si="4"/>
        <v>0</v>
      </c>
    </row>
    <row r="45" spans="2:17">
      <c r="B45" s="627">
        <f t="shared" si="0"/>
        <v>40</v>
      </c>
      <c r="C45" s="429">
        <v>43115</v>
      </c>
      <c r="D45" s="816" t="s">
        <v>2402</v>
      </c>
      <c r="E45" s="807">
        <v>320100</v>
      </c>
      <c r="F45" s="629" t="str">
        <f>IFERROR(VLOOKUP(E45,STAT1!$C$4:$D$1000,2,FALSE),"")</f>
        <v>Урьдчилж орсон орлого MNT</v>
      </c>
      <c r="G45" s="811">
        <v>8</v>
      </c>
      <c r="H45" s="811"/>
      <c r="I45" s="580">
        <f t="shared" si="1"/>
        <v>0</v>
      </c>
      <c r="J45" s="961">
        <f t="shared" si="2"/>
        <v>0</v>
      </c>
      <c r="K45" s="80"/>
      <c r="L45" s="807">
        <v>3002</v>
      </c>
      <c r="M45" s="80" t="str">
        <f>+IFERROR(VLOOKUP(L45,DATA!$G$4:$H$2000,2,FALSE),"")</f>
        <v>ЭКО КОНСТРАКШН ХХК</v>
      </c>
      <c r="N45" s="807"/>
      <c r="O45" s="80" t="str">
        <f>IFERROR(VLOOKUP(N45,DATA!$K$4:$L$51,2,FALSE),"")</f>
        <v/>
      </c>
      <c r="P45" s="80">
        <f t="shared" si="3"/>
        <v>0</v>
      </c>
      <c r="Q45" s="154">
        <f t="shared" si="4"/>
        <v>0</v>
      </c>
    </row>
    <row r="46" spans="2:17">
      <c r="B46" s="627">
        <f t="shared" si="0"/>
        <v>41</v>
      </c>
      <c r="C46" s="429">
        <v>43115</v>
      </c>
      <c r="D46" s="816" t="s">
        <v>2549</v>
      </c>
      <c r="E46" s="807">
        <v>150101</v>
      </c>
      <c r="F46" s="629" t="str">
        <f>IFERROR(VLOOKUP(E46,STAT1!$C$4:$D$1000,2,FALSE),"")</f>
        <v>Бараа бэлэн бүтээгдэхүүн БОЛОВСРУУЛАХ ЦЕХ /нарс/</v>
      </c>
      <c r="G46" s="811"/>
      <c r="H46" s="811">
        <v>4509184.1759660095</v>
      </c>
      <c r="I46" s="580">
        <f t="shared" si="1"/>
        <v>0</v>
      </c>
      <c r="J46" s="961">
        <f t="shared" si="2"/>
        <v>0</v>
      </c>
      <c r="K46" s="80"/>
      <c r="L46" s="807">
        <v>3002</v>
      </c>
      <c r="M46" s="80" t="str">
        <f>+IFERROR(VLOOKUP(L46,DATA!$G$4:$H$2000,2,FALSE),"")</f>
        <v>ЭКО КОНСТРАКШН ХХК</v>
      </c>
      <c r="N46" s="807"/>
      <c r="O46" s="80" t="str">
        <f>IFERROR(VLOOKUP(N46,DATA!$K$4:$L$51,2,FALSE),"")</f>
        <v/>
      </c>
      <c r="P46" s="80">
        <f t="shared" si="3"/>
        <v>0</v>
      </c>
      <c r="Q46" s="154">
        <f t="shared" si="4"/>
        <v>0</v>
      </c>
    </row>
    <row r="47" spans="2:17">
      <c r="B47" s="627">
        <f t="shared" si="0"/>
        <v>42</v>
      </c>
      <c r="C47" s="429">
        <v>43115</v>
      </c>
      <c r="D47" s="816" t="s">
        <v>2549</v>
      </c>
      <c r="E47" s="807">
        <v>150101</v>
      </c>
      <c r="F47" s="629" t="str">
        <f>IFERROR(VLOOKUP(E47,STAT1!$C$4:$D$1000,2,FALSE),"")</f>
        <v>Бараа бэлэн бүтээгдэхүүн БОЛОВСРУУЛАХ ЦЕХ /нарс/</v>
      </c>
      <c r="G47" s="811"/>
      <c r="H47" s="811">
        <v>1351127.9454345442</v>
      </c>
      <c r="I47" s="580">
        <f t="shared" si="1"/>
        <v>0</v>
      </c>
      <c r="J47" s="961">
        <f t="shared" si="2"/>
        <v>0</v>
      </c>
      <c r="K47" s="80"/>
      <c r="L47" s="807">
        <v>3002</v>
      </c>
      <c r="M47" s="80" t="str">
        <f>+IFERROR(VLOOKUP(L47,DATA!$G$4:$H$2000,2,FALSE),"")</f>
        <v>ЭКО КОНСТРАКШН ХХК</v>
      </c>
      <c r="N47" s="807"/>
      <c r="O47" s="80" t="str">
        <f>IFERROR(VLOOKUP(N47,DATA!$K$4:$L$51,2,FALSE),"")</f>
        <v/>
      </c>
      <c r="P47" s="80">
        <f t="shared" si="3"/>
        <v>0</v>
      </c>
      <c r="Q47" s="154">
        <f t="shared" si="4"/>
        <v>0</v>
      </c>
    </row>
    <row r="48" spans="2:17">
      <c r="B48" s="627">
        <f t="shared" si="0"/>
        <v>43</v>
      </c>
      <c r="C48" s="429">
        <v>43115</v>
      </c>
      <c r="D48" s="816" t="s">
        <v>2549</v>
      </c>
      <c r="E48" s="807">
        <v>160100</v>
      </c>
      <c r="F48" s="629" t="str">
        <f>IFERROR(VLOOKUP(E48,STAT1!$C$4:$D$1000,2,FALSE),"")</f>
        <v xml:space="preserve">Барилгын материал </v>
      </c>
      <c r="G48" s="811"/>
      <c r="H48" s="811">
        <v>580155.35752080218</v>
      </c>
      <c r="I48" s="580">
        <f t="shared" si="1"/>
        <v>0</v>
      </c>
      <c r="J48" s="961">
        <f t="shared" si="2"/>
        <v>0</v>
      </c>
      <c r="K48" s="80"/>
      <c r="L48" s="807">
        <v>3002</v>
      </c>
      <c r="M48" s="80" t="str">
        <f>+IFERROR(VLOOKUP(L48,DATA!$G$4:$H$2000,2,FALSE),"")</f>
        <v>ЭКО КОНСТРАКШН ХХК</v>
      </c>
      <c r="N48" s="807"/>
      <c r="O48" s="80" t="str">
        <f>IFERROR(VLOOKUP(N48,DATA!$K$4:$L$51,2,FALSE),"")</f>
        <v/>
      </c>
      <c r="P48" s="80">
        <f t="shared" si="3"/>
        <v>0</v>
      </c>
      <c r="Q48" s="154">
        <f t="shared" si="4"/>
        <v>0</v>
      </c>
    </row>
    <row r="49" spans="2:17">
      <c r="B49" s="627">
        <f t="shared" si="0"/>
        <v>44</v>
      </c>
      <c r="C49" s="429">
        <v>43115</v>
      </c>
      <c r="D49" s="816" t="s">
        <v>2549</v>
      </c>
      <c r="E49" s="807">
        <v>160100</v>
      </c>
      <c r="F49" s="629" t="str">
        <f>IFERROR(VLOOKUP(E49,STAT1!$C$4:$D$1000,2,FALSE),"")</f>
        <v xml:space="preserve">Барилгын материал </v>
      </c>
      <c r="G49" s="811"/>
      <c r="H49" s="811">
        <v>77173.963455149496</v>
      </c>
      <c r="I49" s="580">
        <f t="shared" si="1"/>
        <v>0</v>
      </c>
      <c r="J49" s="961">
        <f t="shared" si="2"/>
        <v>0</v>
      </c>
      <c r="K49" s="80"/>
      <c r="L49" s="807">
        <v>3002</v>
      </c>
      <c r="M49" s="80" t="str">
        <f>+IFERROR(VLOOKUP(L49,DATA!$G$4:$H$2000,2,FALSE),"")</f>
        <v>ЭКО КОНСТРАКШН ХХК</v>
      </c>
      <c r="N49" s="807"/>
      <c r="O49" s="80" t="str">
        <f>IFERROR(VLOOKUP(N49,DATA!$K$4:$L$51,2,FALSE),"")</f>
        <v/>
      </c>
      <c r="P49" s="80">
        <f t="shared" si="3"/>
        <v>0</v>
      </c>
      <c r="Q49" s="154">
        <f t="shared" si="4"/>
        <v>0</v>
      </c>
    </row>
    <row r="50" spans="2:17">
      <c r="B50" s="627">
        <f t="shared" si="0"/>
        <v>45</v>
      </c>
      <c r="C50" s="429">
        <v>43115</v>
      </c>
      <c r="D50" s="816" t="s">
        <v>2549</v>
      </c>
      <c r="E50" s="807">
        <v>160100</v>
      </c>
      <c r="F50" s="629" t="str">
        <f>IFERROR(VLOOKUP(E50,STAT1!$C$4:$D$1000,2,FALSE),"")</f>
        <v xml:space="preserve">Барилгын материал </v>
      </c>
      <c r="G50" s="811"/>
      <c r="H50" s="811">
        <v>98000</v>
      </c>
      <c r="I50" s="580">
        <f t="shared" si="1"/>
        <v>0</v>
      </c>
      <c r="J50" s="961">
        <f t="shared" si="2"/>
        <v>0</v>
      </c>
      <c r="K50" s="80"/>
      <c r="L50" s="807">
        <v>3002</v>
      </c>
      <c r="M50" s="80" t="str">
        <f>+IFERROR(VLOOKUP(L50,DATA!$G$4:$H$2000,2,FALSE),"")</f>
        <v>ЭКО КОНСТРАКШН ХХК</v>
      </c>
      <c r="N50" s="807"/>
      <c r="O50" s="80" t="str">
        <f>IFERROR(VLOOKUP(N50,DATA!$K$4:$L$51,2,FALSE),"")</f>
        <v/>
      </c>
      <c r="P50" s="80">
        <f t="shared" si="3"/>
        <v>0</v>
      </c>
      <c r="Q50" s="154">
        <f t="shared" si="4"/>
        <v>0</v>
      </c>
    </row>
    <row r="51" spans="2:17">
      <c r="B51" s="627">
        <f t="shared" si="0"/>
        <v>46</v>
      </c>
      <c r="C51" s="429">
        <v>43115</v>
      </c>
      <c r="D51" s="816" t="s">
        <v>2549</v>
      </c>
      <c r="E51" s="807">
        <v>610101</v>
      </c>
      <c r="F51" s="629" t="str">
        <f>IFERROR(VLOOKUP(E51,STAT1!$C$4:$D$1000,2,FALSE),"")</f>
        <v>Борлуулсан барааны өртөг - Бусад</v>
      </c>
      <c r="G51" s="811">
        <v>6615641.4423765056</v>
      </c>
      <c r="H51" s="811"/>
      <c r="I51" s="580">
        <f t="shared" si="1"/>
        <v>0</v>
      </c>
      <c r="J51" s="961">
        <f t="shared" si="2"/>
        <v>0</v>
      </c>
      <c r="K51" s="80"/>
      <c r="L51" s="807">
        <v>3002</v>
      </c>
      <c r="M51" s="80" t="str">
        <f>+IFERROR(VLOOKUP(L51,DATA!$G$4:$H$2000,2,FALSE),"")</f>
        <v>ЭКО КОНСТРАКШН ХХК</v>
      </c>
      <c r="N51" s="807"/>
      <c r="O51" s="80" t="str">
        <f>IFERROR(VLOOKUP(N51,DATA!$K$4:$L$51,2,FALSE),"")</f>
        <v/>
      </c>
      <c r="P51" s="80">
        <f t="shared" si="3"/>
        <v>0</v>
      </c>
      <c r="Q51" s="154">
        <f t="shared" si="4"/>
        <v>0</v>
      </c>
    </row>
    <row r="52" spans="2:17">
      <c r="B52" s="627">
        <f t="shared" si="0"/>
        <v>47</v>
      </c>
      <c r="C52" s="429">
        <v>43116</v>
      </c>
      <c r="D52" s="816" t="s">
        <v>1572</v>
      </c>
      <c r="E52" s="807">
        <v>100100</v>
      </c>
      <c r="F52" s="629" t="str">
        <f>IFERROR(VLOOKUP(E52,STAT1!$C$4:$D$1000,2,FALSE),"")</f>
        <v>Касс мөнгө MNT</v>
      </c>
      <c r="G52" s="811"/>
      <c r="H52" s="811">
        <v>4871179</v>
      </c>
      <c r="I52" s="580">
        <f t="shared" si="1"/>
        <v>-4871179</v>
      </c>
      <c r="J52" s="961">
        <f t="shared" si="2"/>
        <v>0</v>
      </c>
      <c r="K52" s="80"/>
      <c r="L52" s="807">
        <v>2013</v>
      </c>
      <c r="M52" s="80" t="str">
        <f>+IFERROR(VLOOKUP(L52,DATA!$G$4:$H$2000,2,FALSE),"")</f>
        <v>УБДС ТӨХК</v>
      </c>
      <c r="N52" s="807">
        <v>54</v>
      </c>
      <c r="O52" s="80" t="str">
        <f>IFERROR(VLOOKUP(N52,DATA!$K$4:$L$51,2,FALSE),"")</f>
        <v>Ашиглалтын зардалд төлсөн</v>
      </c>
      <c r="P52" s="80">
        <f t="shared" si="3"/>
        <v>1</v>
      </c>
      <c r="Q52" s="154">
        <f t="shared" si="4"/>
        <v>1</v>
      </c>
    </row>
    <row r="53" spans="2:17">
      <c r="B53" s="627">
        <f t="shared" si="0"/>
        <v>48</v>
      </c>
      <c r="C53" s="429">
        <v>43116</v>
      </c>
      <c r="D53" s="816" t="s">
        <v>1572</v>
      </c>
      <c r="E53" s="807">
        <v>120600</v>
      </c>
      <c r="F53" s="629" t="str">
        <f>IFERROR(VLOOKUP(E53,STAT1!$C$4:$D$1000,2,FALSE),"")</f>
        <v>НӨАТ авлага</v>
      </c>
      <c r="G53" s="811">
        <v>442834.4</v>
      </c>
      <c r="H53" s="811"/>
      <c r="I53" s="580">
        <f t="shared" si="1"/>
        <v>0</v>
      </c>
      <c r="J53" s="961">
        <f t="shared" si="2"/>
        <v>0</v>
      </c>
      <c r="K53" s="80"/>
      <c r="L53" s="807">
        <v>2013</v>
      </c>
      <c r="M53" s="80" t="str">
        <f>+IFERROR(VLOOKUP(L53,DATA!$G$4:$H$2000,2,FALSE),"")</f>
        <v>УБДС ТӨХК</v>
      </c>
      <c r="N53" s="807"/>
      <c r="O53" s="80" t="str">
        <f>IFERROR(VLOOKUP(N53,DATA!$K$4:$L$51,2,FALSE),"")</f>
        <v/>
      </c>
      <c r="P53" s="80">
        <f t="shared" si="3"/>
        <v>0</v>
      </c>
      <c r="Q53" s="154">
        <f t="shared" si="4"/>
        <v>0</v>
      </c>
    </row>
    <row r="54" spans="2:17">
      <c r="B54" s="627">
        <f t="shared" si="0"/>
        <v>49</v>
      </c>
      <c r="C54" s="429">
        <v>43116</v>
      </c>
      <c r="D54" s="816" t="s">
        <v>1572</v>
      </c>
      <c r="E54" s="807">
        <v>700800</v>
      </c>
      <c r="F54" s="629" t="str">
        <f>IFERROR(VLOOKUP(E54,STAT1!$C$4:$D$1000,2,FALSE),"")</f>
        <v>Дулаан</v>
      </c>
      <c r="G54" s="811">
        <f>4871179-442834.4</f>
        <v>4428344.5999999996</v>
      </c>
      <c r="H54" s="811"/>
      <c r="I54" s="580">
        <f t="shared" si="1"/>
        <v>0</v>
      </c>
      <c r="J54" s="961">
        <f t="shared" si="2"/>
        <v>0</v>
      </c>
      <c r="K54" s="80"/>
      <c r="L54" s="807">
        <v>2013</v>
      </c>
      <c r="M54" s="80" t="str">
        <f>+IFERROR(VLOOKUP(L54,DATA!$G$4:$H$2000,2,FALSE),"")</f>
        <v>УБДС ТӨХК</v>
      </c>
      <c r="N54" s="807"/>
      <c r="O54" s="80" t="str">
        <f>IFERROR(VLOOKUP(N54,DATA!$K$4:$L$51,2,FALSE),"")</f>
        <v/>
      </c>
      <c r="P54" s="80">
        <f t="shared" si="3"/>
        <v>0</v>
      </c>
      <c r="Q54" s="154">
        <f t="shared" si="4"/>
        <v>0</v>
      </c>
    </row>
    <row r="55" spans="2:17">
      <c r="B55" s="627">
        <f t="shared" si="0"/>
        <v>50</v>
      </c>
      <c r="C55" s="429">
        <v>43116</v>
      </c>
      <c r="D55" s="816" t="s">
        <v>2378</v>
      </c>
      <c r="E55" s="807">
        <v>100100</v>
      </c>
      <c r="F55" s="629" t="str">
        <f>IFERROR(VLOOKUP(E55,STAT1!$C$4:$D$1000,2,FALSE),"")</f>
        <v>Касс мөнгө MNT</v>
      </c>
      <c r="G55" s="811">
        <v>10700000</v>
      </c>
      <c r="H55" s="811"/>
      <c r="I55" s="580">
        <f t="shared" si="1"/>
        <v>10700000</v>
      </c>
      <c r="J55" s="961">
        <f t="shared" si="2"/>
        <v>0</v>
      </c>
      <c r="K55" s="80"/>
      <c r="L55" s="807">
        <v>1004</v>
      </c>
      <c r="M55" s="80" t="str">
        <f>+IFERROR(VLOOKUP(L55,DATA!$G$4:$H$2000,2,FALSE),"")</f>
        <v xml:space="preserve">Түмэндэлгэр </v>
      </c>
      <c r="N55" s="807"/>
      <c r="O55" s="80" t="str">
        <f>IFERROR(VLOOKUP(N55,DATA!$K$4:$L$51,2,FALSE),"")</f>
        <v/>
      </c>
      <c r="P55" s="80">
        <f t="shared" si="3"/>
        <v>1</v>
      </c>
      <c r="Q55" s="154">
        <f t="shared" si="4"/>
        <v>1</v>
      </c>
    </row>
    <row r="56" spans="2:17">
      <c r="B56" s="627">
        <f t="shared" si="0"/>
        <v>51</v>
      </c>
      <c r="C56" s="429">
        <v>43116</v>
      </c>
      <c r="D56" s="816" t="s">
        <v>2378</v>
      </c>
      <c r="E56" s="807">
        <v>110100</v>
      </c>
      <c r="F56" s="629" t="str">
        <f>IFERROR(VLOOKUP(E56,STAT1!$C$4:$D$1000,2,FALSE),"")</f>
        <v>Хаан Банк 5024654020</v>
      </c>
      <c r="G56" s="811"/>
      <c r="H56" s="811">
        <v>10700000</v>
      </c>
      <c r="I56" s="580">
        <f t="shared" si="1"/>
        <v>-10700000</v>
      </c>
      <c r="J56" s="961">
        <f t="shared" si="2"/>
        <v>0</v>
      </c>
      <c r="K56" s="80"/>
      <c r="L56" s="807">
        <v>1004</v>
      </c>
      <c r="M56" s="80" t="str">
        <f>+IFERROR(VLOOKUP(L56,DATA!$G$4:$H$2000,2,FALSE),"")</f>
        <v xml:space="preserve">Түмэндэлгэр </v>
      </c>
      <c r="N56" s="807"/>
      <c r="O56" s="80" t="str">
        <f>IFERROR(VLOOKUP(N56,DATA!$K$4:$L$51,2,FALSE),"")</f>
        <v/>
      </c>
      <c r="P56" s="80">
        <f t="shared" si="3"/>
        <v>1</v>
      </c>
      <c r="Q56" s="154">
        <f t="shared" si="4"/>
        <v>1</v>
      </c>
    </row>
    <row r="57" spans="2:17">
      <c r="B57" s="627">
        <f t="shared" si="0"/>
        <v>52</v>
      </c>
      <c r="C57" s="429">
        <v>43117</v>
      </c>
      <c r="D57" s="816" t="s">
        <v>2379</v>
      </c>
      <c r="E57" s="807">
        <v>110100</v>
      </c>
      <c r="F57" s="629" t="str">
        <f>IFERROR(VLOOKUP(E57,STAT1!$C$4:$D$1000,2,FALSE),"")</f>
        <v>Хаан Банк 5024654020</v>
      </c>
      <c r="G57" s="811"/>
      <c r="H57" s="811">
        <v>59087</v>
      </c>
      <c r="I57" s="580">
        <f t="shared" si="1"/>
        <v>-59087</v>
      </c>
      <c r="J57" s="961">
        <f t="shared" si="2"/>
        <v>0</v>
      </c>
      <c r="K57" s="80"/>
      <c r="L57" s="807">
        <v>2009</v>
      </c>
      <c r="M57" s="80" t="str">
        <f>+IFERROR(VLOOKUP(L57,DATA!$G$4:$H$2000,2,FALSE),"")</f>
        <v>ХААН БАНК</v>
      </c>
      <c r="N57" s="807">
        <v>56</v>
      </c>
      <c r="O57" s="80" t="str">
        <f>IFERROR(VLOOKUP(N57,DATA!$K$4:$L$51,2,FALSE),"")</f>
        <v>Хүүний төлбөрт төлсөн</v>
      </c>
      <c r="P57" s="80">
        <f t="shared" si="3"/>
        <v>1</v>
      </c>
      <c r="Q57" s="154">
        <f t="shared" si="4"/>
        <v>1</v>
      </c>
    </row>
    <row r="58" spans="2:17">
      <c r="B58" s="627">
        <f t="shared" si="0"/>
        <v>53</v>
      </c>
      <c r="C58" s="429">
        <v>43117</v>
      </c>
      <c r="D58" s="816" t="s">
        <v>2379</v>
      </c>
      <c r="E58" s="807">
        <v>702500</v>
      </c>
      <c r="F58" s="629" t="str">
        <f>IFERROR(VLOOKUP(E58,STAT1!$C$4:$D$1000,2,FALSE),"")</f>
        <v>Зээлийн хүүгийн зардал</v>
      </c>
      <c r="G58" s="811">
        <v>59087</v>
      </c>
      <c r="H58" s="811"/>
      <c r="I58" s="580">
        <f t="shared" si="1"/>
        <v>0</v>
      </c>
      <c r="J58" s="961">
        <f t="shared" si="2"/>
        <v>0</v>
      </c>
      <c r="K58" s="80"/>
      <c r="L58" s="807">
        <v>2009</v>
      </c>
      <c r="M58" s="80" t="str">
        <f>+IFERROR(VLOOKUP(L58,DATA!$G$4:$H$2000,2,FALSE),"")</f>
        <v>ХААН БАНК</v>
      </c>
      <c r="N58" s="807"/>
      <c r="O58" s="80" t="str">
        <f>IFERROR(VLOOKUP(N58,DATA!$K$4:$L$51,2,FALSE),"")</f>
        <v/>
      </c>
      <c r="P58" s="80">
        <f t="shared" si="3"/>
        <v>0</v>
      </c>
      <c r="Q58" s="154">
        <f t="shared" si="4"/>
        <v>0</v>
      </c>
    </row>
    <row r="59" spans="2:17">
      <c r="B59" s="627">
        <f t="shared" si="0"/>
        <v>54</v>
      </c>
      <c r="C59" s="429">
        <v>43117</v>
      </c>
      <c r="D59" s="816" t="s">
        <v>1571</v>
      </c>
      <c r="E59" s="807">
        <v>100100</v>
      </c>
      <c r="F59" s="629" t="str">
        <f>IFERROR(VLOOKUP(E59,STAT1!$C$4:$D$1000,2,FALSE),"")</f>
        <v>Касс мөнгө MNT</v>
      </c>
      <c r="G59" s="811">
        <v>125400</v>
      </c>
      <c r="H59" s="811"/>
      <c r="I59" s="580">
        <f t="shared" si="1"/>
        <v>125400</v>
      </c>
      <c r="J59" s="961">
        <f t="shared" si="2"/>
        <v>0</v>
      </c>
      <c r="K59" s="80"/>
      <c r="L59" s="807">
        <v>3114</v>
      </c>
      <c r="M59" s="80" t="str">
        <f>+IFERROR(VLOOKUP(L59,DATA!$G$4:$H$2000,2,FALSE),"")</f>
        <v>ИЛД БАМБАЙ ХХК</v>
      </c>
      <c r="N59" s="807">
        <v>41</v>
      </c>
      <c r="O59" s="80" t="str">
        <f>IFERROR(VLOOKUP(N59,DATA!$K$4:$L$51,2,FALSE),"")</f>
        <v>Бараа борлуулсан, үйлчилгээ үзүүлсэний орлого</v>
      </c>
      <c r="P59" s="80">
        <f t="shared" si="3"/>
        <v>1</v>
      </c>
      <c r="Q59" s="154">
        <f t="shared" si="4"/>
        <v>1</v>
      </c>
    </row>
    <row r="60" spans="2:17">
      <c r="B60" s="627">
        <f t="shared" si="0"/>
        <v>55</v>
      </c>
      <c r="C60" s="429">
        <v>43117</v>
      </c>
      <c r="D60" s="816" t="s">
        <v>1571</v>
      </c>
      <c r="E60" s="807">
        <v>320100</v>
      </c>
      <c r="F60" s="629" t="str">
        <f>IFERROR(VLOOKUP(E60,STAT1!$C$4:$D$1000,2,FALSE),"")</f>
        <v>Урьдчилж орсон орлого MNT</v>
      </c>
      <c r="G60" s="811"/>
      <c r="H60" s="811">
        <v>125400</v>
      </c>
      <c r="I60" s="580">
        <f t="shared" si="1"/>
        <v>0</v>
      </c>
      <c r="J60" s="961">
        <f t="shared" si="2"/>
        <v>0</v>
      </c>
      <c r="K60" s="80"/>
      <c r="L60" s="807">
        <v>3114</v>
      </c>
      <c r="M60" s="80" t="str">
        <f>+IFERROR(VLOOKUP(L60,DATA!$G$4:$H$2000,2,FALSE),"")</f>
        <v>ИЛД БАМБАЙ ХХК</v>
      </c>
      <c r="N60" s="807"/>
      <c r="O60" s="80" t="str">
        <f>IFERROR(VLOOKUP(N60,DATA!$K$4:$L$51,2,FALSE),"")</f>
        <v/>
      </c>
      <c r="P60" s="80">
        <f t="shared" si="3"/>
        <v>0</v>
      </c>
      <c r="Q60" s="154">
        <f t="shared" si="4"/>
        <v>0</v>
      </c>
    </row>
    <row r="61" spans="2:17">
      <c r="B61" s="627">
        <f t="shared" si="0"/>
        <v>56</v>
      </c>
      <c r="C61" s="429">
        <v>43117</v>
      </c>
      <c r="D61" s="816" t="s">
        <v>2406</v>
      </c>
      <c r="E61" s="807">
        <v>140200</v>
      </c>
      <c r="F61" s="629" t="str">
        <f>IFERROR(VLOOKUP(E61,STAT1!$C$4:$D$1000,2,FALSE),"")</f>
        <v>ШМЗардал ХАТААХ ЦЕХ /нарс/</v>
      </c>
      <c r="G61" s="811"/>
      <c r="H61" s="811">
        <v>77064242.909999996</v>
      </c>
      <c r="I61" s="580">
        <f t="shared" si="1"/>
        <v>0</v>
      </c>
      <c r="J61" s="961">
        <f t="shared" si="2"/>
        <v>0</v>
      </c>
      <c r="K61" s="80"/>
      <c r="L61" s="807">
        <v>1004</v>
      </c>
      <c r="M61" s="80" t="str">
        <f>+IFERROR(VLOOKUP(L61,DATA!$G$4:$H$2000,2,FALSE),"")</f>
        <v xml:space="preserve">Түмэндэлгэр </v>
      </c>
      <c r="N61" s="807"/>
      <c r="O61" s="80" t="str">
        <f>IFERROR(VLOOKUP(N61,DATA!$K$4:$L$51,2,FALSE),"")</f>
        <v/>
      </c>
      <c r="P61" s="80">
        <f t="shared" si="3"/>
        <v>0</v>
      </c>
      <c r="Q61" s="154">
        <f t="shared" si="4"/>
        <v>0</v>
      </c>
    </row>
    <row r="62" spans="2:17">
      <c r="B62" s="627">
        <f t="shared" si="0"/>
        <v>57</v>
      </c>
      <c r="C62" s="429">
        <v>43117</v>
      </c>
      <c r="D62" s="816" t="s">
        <v>2406</v>
      </c>
      <c r="E62" s="807">
        <v>140400</v>
      </c>
      <c r="F62" s="629" t="str">
        <f>IFERROR(VLOOKUP(E62,STAT1!$C$4:$D$1000,2,FALSE),"")</f>
        <v>ҮНЗардал ХАТААХ ЦЕХ /нарс/</v>
      </c>
      <c r="G62" s="811"/>
      <c r="H62" s="811">
        <v>7255290.2000000002</v>
      </c>
      <c r="I62" s="580">
        <f t="shared" si="1"/>
        <v>0</v>
      </c>
      <c r="J62" s="961">
        <f t="shared" si="2"/>
        <v>0</v>
      </c>
      <c r="K62" s="80"/>
      <c r="L62" s="807">
        <v>1004</v>
      </c>
      <c r="M62" s="80" t="str">
        <f>+IFERROR(VLOOKUP(L62,DATA!$G$4:$H$2000,2,FALSE),"")</f>
        <v xml:space="preserve">Түмэндэлгэр </v>
      </c>
      <c r="N62" s="807"/>
      <c r="O62" s="80" t="str">
        <f>IFERROR(VLOOKUP(N62,DATA!$K$4:$L$51,2,FALSE),"")</f>
        <v/>
      </c>
      <c r="P62" s="80">
        <f t="shared" si="3"/>
        <v>0</v>
      </c>
      <c r="Q62" s="154">
        <f t="shared" si="4"/>
        <v>0</v>
      </c>
    </row>
    <row r="63" spans="2:17">
      <c r="B63" s="627">
        <f t="shared" si="0"/>
        <v>58</v>
      </c>
      <c r="C63" s="429">
        <v>43117</v>
      </c>
      <c r="D63" s="816" t="s">
        <v>2406</v>
      </c>
      <c r="E63" s="807">
        <v>140500</v>
      </c>
      <c r="F63" s="629" t="str">
        <f>IFERROR(VLOOKUP(E63,STAT1!$C$4:$D$1000,2,FALSE),"")</f>
        <v>Нэгтгэл зардал ХАТААХ ЦЕХ /нарс/</v>
      </c>
      <c r="G63" s="811">
        <v>84319533.109999999</v>
      </c>
      <c r="H63" s="811"/>
      <c r="I63" s="580">
        <f t="shared" si="1"/>
        <v>0</v>
      </c>
      <c r="J63" s="961">
        <f t="shared" si="2"/>
        <v>0</v>
      </c>
      <c r="K63" s="80"/>
      <c r="L63" s="807">
        <v>1004</v>
      </c>
      <c r="M63" s="80" t="str">
        <f>+IFERROR(VLOOKUP(L63,DATA!$G$4:$H$2000,2,FALSE),"")</f>
        <v xml:space="preserve">Түмэндэлгэр </v>
      </c>
      <c r="N63" s="807"/>
      <c r="O63" s="80" t="str">
        <f>IFERROR(VLOOKUP(N63,DATA!$K$4:$L$51,2,FALSE),"")</f>
        <v/>
      </c>
      <c r="P63" s="80">
        <f t="shared" si="3"/>
        <v>0</v>
      </c>
      <c r="Q63" s="154">
        <f t="shared" si="4"/>
        <v>0</v>
      </c>
    </row>
    <row r="64" spans="2:17">
      <c r="B64" s="627">
        <f t="shared" si="0"/>
        <v>59</v>
      </c>
      <c r="C64" s="429">
        <v>43117</v>
      </c>
      <c r="D64" s="816" t="s">
        <v>2549</v>
      </c>
      <c r="E64" s="807">
        <v>150101</v>
      </c>
      <c r="F64" s="629" t="str">
        <f>IFERROR(VLOOKUP(E64,STAT1!$C$4:$D$1000,2,FALSE),"")</f>
        <v>Бараа бэлэн бүтээгдэхүүн БОЛОВСРУУЛАХ ЦЕХ /нарс/</v>
      </c>
      <c r="G64" s="811"/>
      <c r="H64" s="811">
        <v>53388.766527777778</v>
      </c>
      <c r="I64" s="580">
        <f t="shared" si="1"/>
        <v>0</v>
      </c>
      <c r="J64" s="961">
        <f t="shared" si="2"/>
        <v>0</v>
      </c>
      <c r="K64" s="80"/>
      <c r="L64" s="807">
        <v>3114</v>
      </c>
      <c r="M64" s="80" t="str">
        <f>+IFERROR(VLOOKUP(L64,DATA!$G$4:$H$2000,2,FALSE),"")</f>
        <v>ИЛД БАМБАЙ ХХК</v>
      </c>
      <c r="N64" s="807"/>
      <c r="O64" s="80" t="str">
        <f>IFERROR(VLOOKUP(N64,DATA!$K$4:$L$51,2,FALSE),"")</f>
        <v/>
      </c>
      <c r="P64" s="80">
        <f t="shared" si="3"/>
        <v>0</v>
      </c>
      <c r="Q64" s="154">
        <f t="shared" si="4"/>
        <v>0</v>
      </c>
    </row>
    <row r="65" spans="2:17">
      <c r="B65" s="627">
        <f t="shared" si="0"/>
        <v>60</v>
      </c>
      <c r="C65" s="429">
        <v>43117</v>
      </c>
      <c r="D65" s="816" t="s">
        <v>2549</v>
      </c>
      <c r="E65" s="807">
        <v>610100</v>
      </c>
      <c r="F65" s="629" t="str">
        <f>IFERROR(VLOOKUP(E65,STAT1!$C$4:$D$1000,2,FALSE),"")</f>
        <v>Борлуулсан барааны өртөг</v>
      </c>
      <c r="G65" s="811">
        <v>53388.766527777778</v>
      </c>
      <c r="H65" s="811"/>
      <c r="I65" s="580">
        <f t="shared" si="1"/>
        <v>0</v>
      </c>
      <c r="J65" s="961">
        <f t="shared" si="2"/>
        <v>0</v>
      </c>
      <c r="K65" s="80"/>
      <c r="L65" s="807">
        <v>3114</v>
      </c>
      <c r="M65" s="80" t="str">
        <f>+IFERROR(VLOOKUP(L65,DATA!$G$4:$H$2000,2,FALSE),"")</f>
        <v>ИЛД БАМБАЙ ХХК</v>
      </c>
      <c r="N65" s="807"/>
      <c r="O65" s="80" t="str">
        <f>IFERROR(VLOOKUP(N65,DATA!$K$4:$L$51,2,FALSE),"")</f>
        <v/>
      </c>
      <c r="P65" s="80">
        <f t="shared" si="3"/>
        <v>0</v>
      </c>
      <c r="Q65" s="154">
        <f t="shared" si="4"/>
        <v>0</v>
      </c>
    </row>
    <row r="66" spans="2:17">
      <c r="B66" s="627">
        <f t="shared" si="0"/>
        <v>61</v>
      </c>
      <c r="C66" s="429">
        <v>43117</v>
      </c>
      <c r="D66" s="816" t="s">
        <v>2549</v>
      </c>
      <c r="E66" s="807">
        <v>310500</v>
      </c>
      <c r="F66" s="629" t="str">
        <f>IFERROR(VLOOKUP(E66,STAT1!$C$4:$D$1000,2,FALSE),"")</f>
        <v>НӨАТ өглөг</v>
      </c>
      <c r="G66" s="811"/>
      <c r="H66" s="811">
        <v>11400</v>
      </c>
      <c r="I66" s="580">
        <f t="shared" si="1"/>
        <v>0</v>
      </c>
      <c r="J66" s="961">
        <f t="shared" si="2"/>
        <v>0</v>
      </c>
      <c r="K66" s="80"/>
      <c r="L66" s="807">
        <v>3114</v>
      </c>
      <c r="M66" s="80" t="str">
        <f>+IFERROR(VLOOKUP(L66,DATA!$G$4:$H$2000,2,FALSE),"")</f>
        <v>ИЛД БАМБАЙ ХХК</v>
      </c>
      <c r="N66" s="807"/>
      <c r="O66" s="80" t="str">
        <f>IFERROR(VLOOKUP(N66,DATA!$K$4:$L$51,2,FALSE),"")</f>
        <v/>
      </c>
      <c r="P66" s="80">
        <f t="shared" si="3"/>
        <v>0</v>
      </c>
      <c r="Q66" s="154">
        <f t="shared" si="4"/>
        <v>0</v>
      </c>
    </row>
    <row r="67" spans="2:17">
      <c r="B67" s="627">
        <f t="shared" si="0"/>
        <v>62</v>
      </c>
      <c r="C67" s="429">
        <v>43117</v>
      </c>
      <c r="D67" s="816" t="s">
        <v>2549</v>
      </c>
      <c r="E67" s="807">
        <v>510000</v>
      </c>
      <c r="F67" s="629" t="str">
        <f>IFERROR(VLOOKUP(E67,STAT1!$C$4:$D$1000,2,FALSE),"")</f>
        <v>Үндсэн үйл ажиллагааны борлуулалт</v>
      </c>
      <c r="G67" s="811"/>
      <c r="H67" s="811">
        <v>114000</v>
      </c>
      <c r="I67" s="580">
        <f t="shared" si="1"/>
        <v>0</v>
      </c>
      <c r="J67" s="961">
        <f t="shared" si="2"/>
        <v>0</v>
      </c>
      <c r="K67" s="80"/>
      <c r="L67" s="807">
        <v>3114</v>
      </c>
      <c r="M67" s="80" t="str">
        <f>+IFERROR(VLOOKUP(L67,DATA!$G$4:$H$2000,2,FALSE),"")</f>
        <v>ИЛД БАМБАЙ ХХК</v>
      </c>
      <c r="N67" s="807"/>
      <c r="O67" s="80" t="str">
        <f>IFERROR(VLOOKUP(N67,DATA!$K$4:$L$51,2,FALSE),"")</f>
        <v/>
      </c>
      <c r="P67" s="80">
        <f t="shared" si="3"/>
        <v>0</v>
      </c>
      <c r="Q67" s="154">
        <f t="shared" si="4"/>
        <v>0</v>
      </c>
    </row>
    <row r="68" spans="2:17">
      <c r="B68" s="627">
        <f t="shared" si="0"/>
        <v>63</v>
      </c>
      <c r="C68" s="429">
        <v>43117</v>
      </c>
      <c r="D68" s="816" t="s">
        <v>2549</v>
      </c>
      <c r="E68" s="807">
        <v>320100</v>
      </c>
      <c r="F68" s="629" t="str">
        <f>IFERROR(VLOOKUP(E68,STAT1!$C$4:$D$1000,2,FALSE),"")</f>
        <v>Урьдчилж орсон орлого MNT</v>
      </c>
      <c r="G68" s="811">
        <v>125400</v>
      </c>
      <c r="H68" s="811"/>
      <c r="I68" s="580">
        <f t="shared" si="1"/>
        <v>0</v>
      </c>
      <c r="J68" s="961">
        <f t="shared" si="2"/>
        <v>0</v>
      </c>
      <c r="K68" s="80"/>
      <c r="L68" s="807">
        <v>3114</v>
      </c>
      <c r="M68" s="80" t="str">
        <f>+IFERROR(VLOOKUP(L68,DATA!$G$4:$H$2000,2,FALSE),"")</f>
        <v>ИЛД БАМБАЙ ХХК</v>
      </c>
      <c r="N68" s="807"/>
      <c r="O68" s="80" t="str">
        <f>IFERROR(VLOOKUP(N68,DATA!$K$4:$L$51,2,FALSE),"")</f>
        <v/>
      </c>
      <c r="P68" s="80">
        <f t="shared" si="3"/>
        <v>0</v>
      </c>
      <c r="Q68" s="154">
        <f t="shared" si="4"/>
        <v>0</v>
      </c>
    </row>
    <row r="69" spans="2:17">
      <c r="B69" s="627">
        <f t="shared" si="0"/>
        <v>64</v>
      </c>
      <c r="C69" s="429">
        <v>43118</v>
      </c>
      <c r="D69" s="816" t="s">
        <v>1570</v>
      </c>
      <c r="E69" s="807">
        <v>100100</v>
      </c>
      <c r="F69" s="629" t="str">
        <f>IFERROR(VLOOKUP(E69,STAT1!$C$4:$D$1000,2,FALSE),"")</f>
        <v>Касс мөнгө MNT</v>
      </c>
      <c r="G69" s="811"/>
      <c r="H69" s="811">
        <v>10000</v>
      </c>
      <c r="I69" s="580">
        <f t="shared" si="1"/>
        <v>-10000</v>
      </c>
      <c r="J69" s="961">
        <f t="shared" si="2"/>
        <v>0</v>
      </c>
      <c r="K69" s="80"/>
      <c r="L69" s="807">
        <v>1008</v>
      </c>
      <c r="M69" s="80" t="str">
        <f>+IFERROR(VLOOKUP(L69,DATA!$G$4:$H$2000,2,FALSE),"")</f>
        <v xml:space="preserve">Оюунтүлхүүр </v>
      </c>
      <c r="N69" s="807">
        <v>55</v>
      </c>
      <c r="O69" s="80" t="str">
        <f>IFERROR(VLOOKUP(N69,DATA!$K$4:$L$51,2,FALSE),"")</f>
        <v>Түлш, шатахуун, тээврийн хөлс, сэлбэг хэрэгсэлд төлсөн</v>
      </c>
      <c r="P69" s="80">
        <f t="shared" si="3"/>
        <v>1</v>
      </c>
      <c r="Q69" s="154">
        <f t="shared" si="4"/>
        <v>1</v>
      </c>
    </row>
    <row r="70" spans="2:17">
      <c r="B70" s="627">
        <f t="shared" ref="B70:B133" si="5">+IF(C70="","",ROW()-5)</f>
        <v>65</v>
      </c>
      <c r="C70" s="429">
        <v>43118</v>
      </c>
      <c r="D70" s="816" t="s">
        <v>1570</v>
      </c>
      <c r="E70" s="807">
        <v>702000</v>
      </c>
      <c r="F70" s="629" t="str">
        <f>IFERROR(VLOOKUP(E70,STAT1!$C$4:$D$1000,2,FALSE),"")</f>
        <v>Түлш, шатахуун</v>
      </c>
      <c r="G70" s="811">
        <v>10000</v>
      </c>
      <c r="H70" s="811"/>
      <c r="I70" s="580">
        <f t="shared" ref="I70:I133" si="6">+IF(OR(E70=100100,E70=100200,E70=110100,E70=110102,E70=110103,E70=110104,E70=110105,E70=110200,E70=110201,E70=110202,E70=110203,E70=110204,E70=110300),G70,0)+IF(OR(E70=100100,E70=100200,E70=110100,E70=110102,E70=110103,E70=110104,E70=110105,E70=110200,E70=110201,E70=110202,E70=110203,E70=110204,E70=110300),H70*-1,0)</f>
        <v>0</v>
      </c>
      <c r="J70" s="961">
        <f t="shared" ref="J70:J133" si="7">+IF(E70=110102,I70/K70,0)</f>
        <v>0</v>
      </c>
      <c r="K70" s="80"/>
      <c r="L70" s="807">
        <v>1008</v>
      </c>
      <c r="M70" s="80" t="str">
        <f>+IFERROR(VLOOKUP(L70,DATA!$G$4:$H$2000,2,FALSE),"")</f>
        <v xml:space="preserve">Оюунтүлхүүр </v>
      </c>
      <c r="N70" s="807"/>
      <c r="O70" s="80" t="str">
        <f>IFERROR(VLOOKUP(N70,DATA!$K$4:$L$51,2,FALSE),"")</f>
        <v/>
      </c>
      <c r="P70" s="80">
        <f t="shared" ref="P70:P133" si="8">+IF(I70,1,0)</f>
        <v>0</v>
      </c>
      <c r="Q70" s="154">
        <f t="shared" ref="Q70:Q133" si="9">+IF(I70,1,0)</f>
        <v>0</v>
      </c>
    </row>
    <row r="71" spans="2:17">
      <c r="B71" s="627">
        <f t="shared" si="5"/>
        <v>66</v>
      </c>
      <c r="C71" s="429">
        <v>43122</v>
      </c>
      <c r="D71" s="816" t="s">
        <v>1570</v>
      </c>
      <c r="E71" s="807">
        <v>100100</v>
      </c>
      <c r="F71" s="629" t="str">
        <f>IFERROR(VLOOKUP(E71,STAT1!$C$4:$D$1000,2,FALSE),"")</f>
        <v>Касс мөнгө MNT</v>
      </c>
      <c r="G71" s="811"/>
      <c r="H71" s="811">
        <v>10000</v>
      </c>
      <c r="I71" s="580">
        <f t="shared" si="6"/>
        <v>-10000</v>
      </c>
      <c r="J71" s="961">
        <f t="shared" si="7"/>
        <v>0</v>
      </c>
      <c r="K71" s="80"/>
      <c r="L71" s="807">
        <v>1008</v>
      </c>
      <c r="M71" s="80" t="str">
        <f>+IFERROR(VLOOKUP(L71,DATA!$G$4:$H$2000,2,FALSE),"")</f>
        <v xml:space="preserve">Оюунтүлхүүр </v>
      </c>
      <c r="N71" s="807">
        <v>55</v>
      </c>
      <c r="O71" s="80" t="str">
        <f>IFERROR(VLOOKUP(N71,DATA!$K$4:$L$51,2,FALSE),"")</f>
        <v>Түлш, шатахуун, тээврийн хөлс, сэлбэг хэрэгсэлд төлсөн</v>
      </c>
      <c r="P71" s="80">
        <f t="shared" si="8"/>
        <v>1</v>
      </c>
      <c r="Q71" s="154">
        <f t="shared" si="9"/>
        <v>1</v>
      </c>
    </row>
    <row r="72" spans="2:17">
      <c r="B72" s="627">
        <f t="shared" si="5"/>
        <v>67</v>
      </c>
      <c r="C72" s="429">
        <v>43122</v>
      </c>
      <c r="D72" s="816" t="s">
        <v>1570</v>
      </c>
      <c r="E72" s="807">
        <v>702000</v>
      </c>
      <c r="F72" s="629" t="str">
        <f>IFERROR(VLOOKUP(E72,STAT1!$C$4:$D$1000,2,FALSE),"")</f>
        <v>Түлш, шатахуун</v>
      </c>
      <c r="G72" s="811">
        <v>10000</v>
      </c>
      <c r="H72" s="811"/>
      <c r="I72" s="580">
        <f t="shared" si="6"/>
        <v>0</v>
      </c>
      <c r="J72" s="961">
        <f t="shared" si="7"/>
        <v>0</v>
      </c>
      <c r="K72" s="80"/>
      <c r="L72" s="807">
        <v>1008</v>
      </c>
      <c r="M72" s="80" t="str">
        <f>+IFERROR(VLOOKUP(L72,DATA!$G$4:$H$2000,2,FALSE),"")</f>
        <v xml:space="preserve">Оюунтүлхүүр </v>
      </c>
      <c r="N72" s="807"/>
      <c r="O72" s="80" t="str">
        <f>IFERROR(VLOOKUP(N72,DATA!$K$4:$L$51,2,FALSE),"")</f>
        <v/>
      </c>
      <c r="P72" s="80">
        <f t="shared" si="8"/>
        <v>0</v>
      </c>
      <c r="Q72" s="154">
        <f t="shared" si="9"/>
        <v>0</v>
      </c>
    </row>
    <row r="73" spans="2:17">
      <c r="B73" s="627">
        <f t="shared" si="5"/>
        <v>68</v>
      </c>
      <c r="C73" s="429">
        <v>43122</v>
      </c>
      <c r="D73" s="816" t="s">
        <v>2383</v>
      </c>
      <c r="E73" s="807">
        <v>100100</v>
      </c>
      <c r="F73" s="629" t="str">
        <f>IFERROR(VLOOKUP(E73,STAT1!$C$4:$D$1000,2,FALSE),"")</f>
        <v>Касс мөнгө MNT</v>
      </c>
      <c r="G73" s="811"/>
      <c r="H73" s="811">
        <v>1500000</v>
      </c>
      <c r="I73" s="580">
        <f t="shared" si="6"/>
        <v>-1500000</v>
      </c>
      <c r="J73" s="961">
        <f t="shared" si="7"/>
        <v>0</v>
      </c>
      <c r="K73" s="80"/>
      <c r="L73" s="807">
        <v>3115</v>
      </c>
      <c r="M73" s="80" t="str">
        <f>+IFERROR(VLOOKUP(L73,DATA!$G$4:$H$2000,2,FALSE),"")</f>
        <v>АЛАГ УУЛ ФИНАНС АУДИТ ХХК</v>
      </c>
      <c r="N73" s="807">
        <v>59</v>
      </c>
      <c r="O73" s="80" t="str">
        <f>IFERROR(VLOOKUP(N73,DATA!$K$4:$L$51,2,FALSE),"")</f>
        <v>Бусад мөнгөн зарлага</v>
      </c>
      <c r="P73" s="80">
        <f t="shared" si="8"/>
        <v>1</v>
      </c>
      <c r="Q73" s="154">
        <f t="shared" si="9"/>
        <v>1</v>
      </c>
    </row>
    <row r="74" spans="2:17">
      <c r="B74" s="627">
        <f t="shared" si="5"/>
        <v>69</v>
      </c>
      <c r="C74" s="429">
        <v>43122</v>
      </c>
      <c r="D74" s="816" t="s">
        <v>2383</v>
      </c>
      <c r="E74" s="807">
        <v>702800</v>
      </c>
      <c r="F74" s="629" t="str">
        <f>IFERROR(VLOOKUP(E74,STAT1!$C$4:$D$1000,2,FALSE),"")</f>
        <v>Аудитын төлбөр</v>
      </c>
      <c r="G74" s="811">
        <v>1500000</v>
      </c>
      <c r="H74" s="811"/>
      <c r="I74" s="580">
        <f t="shared" si="6"/>
        <v>0</v>
      </c>
      <c r="J74" s="961">
        <f t="shared" si="7"/>
        <v>0</v>
      </c>
      <c r="K74" s="80"/>
      <c r="L74" s="807">
        <v>3115</v>
      </c>
      <c r="M74" s="80" t="str">
        <f>+IFERROR(VLOOKUP(L74,DATA!$G$4:$H$2000,2,FALSE),"")</f>
        <v>АЛАГ УУЛ ФИНАНС АУДИТ ХХК</v>
      </c>
      <c r="N74" s="807"/>
      <c r="O74" s="80" t="str">
        <f>IFERROR(VLOOKUP(N74,DATA!$K$4:$L$51,2,FALSE),"")</f>
        <v/>
      </c>
      <c r="P74" s="80">
        <f t="shared" si="8"/>
        <v>0</v>
      </c>
      <c r="Q74" s="154">
        <f t="shared" si="9"/>
        <v>0</v>
      </c>
    </row>
    <row r="75" spans="2:17">
      <c r="B75" s="627">
        <f t="shared" si="5"/>
        <v>70</v>
      </c>
      <c r="C75" s="429">
        <v>43123</v>
      </c>
      <c r="D75" s="816" t="s">
        <v>2380</v>
      </c>
      <c r="E75" s="807">
        <v>110100</v>
      </c>
      <c r="F75" s="629" t="str">
        <f>IFERROR(VLOOKUP(E75,STAT1!$C$4:$D$1000,2,FALSE),"")</f>
        <v>Хаан Банк 5024654020</v>
      </c>
      <c r="G75" s="811">
        <v>1981140</v>
      </c>
      <c r="H75" s="811"/>
      <c r="I75" s="580">
        <f t="shared" si="6"/>
        <v>1981140</v>
      </c>
      <c r="J75" s="961">
        <f t="shared" si="7"/>
        <v>0</v>
      </c>
      <c r="K75" s="80"/>
      <c r="L75" s="807">
        <v>1005</v>
      </c>
      <c r="M75" s="80" t="str">
        <f>+IFERROR(VLOOKUP(L75,DATA!$G$4:$H$2000,2,FALSE),"")</f>
        <v>Золжаргал</v>
      </c>
      <c r="N75" s="807">
        <v>51</v>
      </c>
      <c r="O75" s="80" t="str">
        <f>IFERROR(VLOOKUP(N75,DATA!$K$4:$L$51,2,FALSE),"")</f>
        <v>Ажиллагчдад төлсөн</v>
      </c>
      <c r="P75" s="80">
        <f t="shared" si="8"/>
        <v>1</v>
      </c>
      <c r="Q75" s="154">
        <f t="shared" si="9"/>
        <v>1</v>
      </c>
    </row>
    <row r="76" spans="2:17">
      <c r="B76" s="627">
        <f t="shared" si="5"/>
        <v>71</v>
      </c>
      <c r="C76" s="429">
        <v>43123</v>
      </c>
      <c r="D76" s="816" t="s">
        <v>2380</v>
      </c>
      <c r="E76" s="807">
        <v>310100</v>
      </c>
      <c r="F76" s="629" t="str">
        <f>IFERROR(VLOOKUP(E76,STAT1!$C$4:$D$1000,2,FALSE),"")</f>
        <v>Дансны өглөг MNT</v>
      </c>
      <c r="G76" s="811"/>
      <c r="H76" s="811">
        <v>1981140</v>
      </c>
      <c r="I76" s="580">
        <f t="shared" si="6"/>
        <v>0</v>
      </c>
      <c r="J76" s="961">
        <f t="shared" si="7"/>
        <v>0</v>
      </c>
      <c r="K76" s="80"/>
      <c r="L76" s="807">
        <v>1005</v>
      </c>
      <c r="M76" s="80" t="str">
        <f>+IFERROR(VLOOKUP(L76,DATA!$G$4:$H$2000,2,FALSE),"")</f>
        <v>Золжаргал</v>
      </c>
      <c r="N76" s="807"/>
      <c r="O76" s="80" t="str">
        <f>IFERROR(VLOOKUP(N76,DATA!$K$4:$L$51,2,FALSE),"")</f>
        <v/>
      </c>
      <c r="P76" s="80">
        <f t="shared" si="8"/>
        <v>0</v>
      </c>
      <c r="Q76" s="154">
        <f t="shared" si="9"/>
        <v>0</v>
      </c>
    </row>
    <row r="77" spans="2:17">
      <c r="B77" s="627">
        <f t="shared" si="5"/>
        <v>72</v>
      </c>
      <c r="C77" s="429">
        <v>43123</v>
      </c>
      <c r="D77" s="816" t="s">
        <v>2380</v>
      </c>
      <c r="E77" s="807">
        <v>110100</v>
      </c>
      <c r="F77" s="629" t="str">
        <f>IFERROR(VLOOKUP(E77,STAT1!$C$4:$D$1000,2,FALSE),"")</f>
        <v>Хаан Банк 5024654020</v>
      </c>
      <c r="G77" s="811"/>
      <c r="H77" s="811">
        <v>1981140</v>
      </c>
      <c r="I77" s="580">
        <f t="shared" si="6"/>
        <v>-1981140</v>
      </c>
      <c r="J77" s="961">
        <f t="shared" si="7"/>
        <v>0</v>
      </c>
      <c r="K77" s="80"/>
      <c r="L77" s="807">
        <v>1005</v>
      </c>
      <c r="M77" s="80" t="str">
        <f>+IFERROR(VLOOKUP(L77,DATA!$G$4:$H$2000,2,FALSE),"")</f>
        <v>Золжаргал</v>
      </c>
      <c r="N77" s="807">
        <v>51</v>
      </c>
      <c r="O77" s="80" t="str">
        <f>IFERROR(VLOOKUP(N77,DATA!$K$4:$L$51,2,FALSE),"")</f>
        <v>Ажиллагчдад төлсөн</v>
      </c>
      <c r="P77" s="80">
        <f t="shared" si="8"/>
        <v>1</v>
      </c>
      <c r="Q77" s="154">
        <f t="shared" si="9"/>
        <v>1</v>
      </c>
    </row>
    <row r="78" spans="2:17">
      <c r="B78" s="627">
        <f t="shared" si="5"/>
        <v>73</v>
      </c>
      <c r="C78" s="429">
        <v>43123</v>
      </c>
      <c r="D78" s="816" t="s">
        <v>2380</v>
      </c>
      <c r="E78" s="807">
        <v>310100</v>
      </c>
      <c r="F78" s="629" t="str">
        <f>IFERROR(VLOOKUP(E78,STAT1!$C$4:$D$1000,2,FALSE),"")</f>
        <v>Дансны өглөг MNT</v>
      </c>
      <c r="G78" s="811">
        <v>1981140</v>
      </c>
      <c r="H78" s="811"/>
      <c r="I78" s="580">
        <f t="shared" si="6"/>
        <v>0</v>
      </c>
      <c r="J78" s="961">
        <f t="shared" si="7"/>
        <v>0</v>
      </c>
      <c r="K78" s="80"/>
      <c r="L78" s="807">
        <v>1005</v>
      </c>
      <c r="M78" s="80" t="str">
        <f>+IFERROR(VLOOKUP(L78,DATA!$G$4:$H$2000,2,FALSE),"")</f>
        <v>Золжаргал</v>
      </c>
      <c r="N78" s="807"/>
      <c r="O78" s="80" t="str">
        <f>IFERROR(VLOOKUP(N78,DATA!$K$4:$L$51,2,FALSE),"")</f>
        <v/>
      </c>
      <c r="P78" s="80">
        <f t="shared" si="8"/>
        <v>0</v>
      </c>
      <c r="Q78" s="154">
        <f t="shared" si="9"/>
        <v>0</v>
      </c>
    </row>
    <row r="79" spans="2:17">
      <c r="B79" s="627">
        <f t="shared" si="5"/>
        <v>74</v>
      </c>
      <c r="C79" s="429">
        <v>43123</v>
      </c>
      <c r="D79" s="816" t="s">
        <v>2381</v>
      </c>
      <c r="E79" s="807">
        <v>110100</v>
      </c>
      <c r="F79" s="629" t="str">
        <f>IFERROR(VLOOKUP(E79,STAT1!$C$4:$D$1000,2,FALSE),"")</f>
        <v>Хаан Банк 5024654020</v>
      </c>
      <c r="G79" s="811"/>
      <c r="H79" s="811">
        <v>400</v>
      </c>
      <c r="I79" s="580">
        <f t="shared" si="6"/>
        <v>-400</v>
      </c>
      <c r="J79" s="961">
        <f t="shared" si="7"/>
        <v>0</v>
      </c>
      <c r="K79" s="80"/>
      <c r="L79" s="807">
        <v>2009</v>
      </c>
      <c r="M79" s="80" t="str">
        <f>+IFERROR(VLOOKUP(L79,DATA!$G$4:$H$2000,2,FALSE),"")</f>
        <v>ХААН БАНК</v>
      </c>
      <c r="N79" s="807">
        <v>59</v>
      </c>
      <c r="O79" s="80" t="str">
        <f>IFERROR(VLOOKUP(N79,DATA!$K$4:$L$51,2,FALSE),"")</f>
        <v>Бусад мөнгөн зарлага</v>
      </c>
      <c r="P79" s="80">
        <f t="shared" si="8"/>
        <v>1</v>
      </c>
      <c r="Q79" s="154">
        <f t="shared" si="9"/>
        <v>1</v>
      </c>
    </row>
    <row r="80" spans="2:17">
      <c r="B80" s="627">
        <f t="shared" si="5"/>
        <v>75</v>
      </c>
      <c r="C80" s="429">
        <v>43123</v>
      </c>
      <c r="D80" s="816" t="s">
        <v>2381</v>
      </c>
      <c r="E80" s="807">
        <v>704900</v>
      </c>
      <c r="F80" s="629" t="str">
        <f>IFERROR(VLOOKUP(E80,STAT1!$C$4:$D$1000,2,FALSE),"")</f>
        <v>Банкны үйлчилгээ</v>
      </c>
      <c r="G80" s="811">
        <v>400</v>
      </c>
      <c r="H80" s="811"/>
      <c r="I80" s="580">
        <f t="shared" si="6"/>
        <v>0</v>
      </c>
      <c r="J80" s="961">
        <f t="shared" si="7"/>
        <v>0</v>
      </c>
      <c r="K80" s="80"/>
      <c r="L80" s="807">
        <v>2009</v>
      </c>
      <c r="M80" s="80" t="str">
        <f>+IFERROR(VLOOKUP(L80,DATA!$G$4:$H$2000,2,FALSE),"")</f>
        <v>ХААН БАНК</v>
      </c>
      <c r="N80" s="807"/>
      <c r="O80" s="80" t="str">
        <f>IFERROR(VLOOKUP(N80,DATA!$K$4:$L$51,2,FALSE),"")</f>
        <v/>
      </c>
      <c r="P80" s="80">
        <f t="shared" si="8"/>
        <v>0</v>
      </c>
      <c r="Q80" s="154">
        <f t="shared" si="9"/>
        <v>0</v>
      </c>
    </row>
    <row r="81" spans="2:17">
      <c r="B81" s="627">
        <f t="shared" si="5"/>
        <v>76</v>
      </c>
      <c r="C81" s="429">
        <v>43123</v>
      </c>
      <c r="D81" s="816" t="s">
        <v>1571</v>
      </c>
      <c r="E81" s="807">
        <v>100100</v>
      </c>
      <c r="F81" s="629" t="str">
        <f>IFERROR(VLOOKUP(E81,STAT1!$C$4:$D$1000,2,FALSE),"")</f>
        <v>Касс мөнгө MNT</v>
      </c>
      <c r="G81" s="811">
        <v>157100</v>
      </c>
      <c r="H81" s="811"/>
      <c r="I81" s="580">
        <f t="shared" si="6"/>
        <v>157100</v>
      </c>
      <c r="J81" s="961">
        <f t="shared" si="7"/>
        <v>0</v>
      </c>
      <c r="K81" s="80"/>
      <c r="L81" s="807">
        <v>3109</v>
      </c>
      <c r="M81" s="80" t="str">
        <f>+IFERROR(VLOOKUP(L81,DATA!$G$4:$H$2000,2,FALSE),"")</f>
        <v xml:space="preserve">СИЛК РӨҮТ ТЕКСТИЛЬ ХХК </v>
      </c>
      <c r="N81" s="807">
        <v>41</v>
      </c>
      <c r="O81" s="80" t="str">
        <f>IFERROR(VLOOKUP(N81,DATA!$K$4:$L$51,2,FALSE),"")</f>
        <v>Бараа борлуулсан, үйлчилгээ үзүүлсэний орлого</v>
      </c>
      <c r="P81" s="80">
        <f t="shared" si="8"/>
        <v>1</v>
      </c>
      <c r="Q81" s="154">
        <f t="shared" si="9"/>
        <v>1</v>
      </c>
    </row>
    <row r="82" spans="2:17">
      <c r="B82" s="627">
        <f t="shared" si="5"/>
        <v>77</v>
      </c>
      <c r="C82" s="429">
        <v>43123</v>
      </c>
      <c r="D82" s="816" t="s">
        <v>1571</v>
      </c>
      <c r="E82" s="807">
        <v>320100</v>
      </c>
      <c r="F82" s="629" t="str">
        <f>IFERROR(VLOOKUP(E82,STAT1!$C$4:$D$1000,2,FALSE),"")</f>
        <v>Урьдчилж орсон орлого MNT</v>
      </c>
      <c r="G82" s="811"/>
      <c r="H82" s="811">
        <v>157100</v>
      </c>
      <c r="I82" s="580">
        <f t="shared" si="6"/>
        <v>0</v>
      </c>
      <c r="J82" s="961">
        <f t="shared" si="7"/>
        <v>0</v>
      </c>
      <c r="K82" s="80"/>
      <c r="L82" s="807">
        <v>3109</v>
      </c>
      <c r="M82" s="80" t="str">
        <f>+IFERROR(VLOOKUP(L82,DATA!$G$4:$H$2000,2,FALSE),"")</f>
        <v xml:space="preserve">СИЛК РӨҮТ ТЕКСТИЛЬ ХХК </v>
      </c>
      <c r="N82" s="807"/>
      <c r="O82" s="80" t="str">
        <f>IFERROR(VLOOKUP(N82,DATA!$K$4:$L$51,2,FALSE),"")</f>
        <v/>
      </c>
      <c r="P82" s="80">
        <f t="shared" si="8"/>
        <v>0</v>
      </c>
      <c r="Q82" s="154">
        <f t="shared" si="9"/>
        <v>0</v>
      </c>
    </row>
    <row r="83" spans="2:17">
      <c r="B83" s="627">
        <f t="shared" si="5"/>
        <v>78</v>
      </c>
      <c r="C83" s="429">
        <v>43123</v>
      </c>
      <c r="D83" s="816" t="s">
        <v>1570</v>
      </c>
      <c r="E83" s="807">
        <v>100100</v>
      </c>
      <c r="F83" s="629" t="str">
        <f>IFERROR(VLOOKUP(E83,STAT1!$C$4:$D$1000,2,FALSE),"")</f>
        <v>Касс мөнгө MNT</v>
      </c>
      <c r="G83" s="811"/>
      <c r="H83" s="811">
        <v>20000</v>
      </c>
      <c r="I83" s="580">
        <f t="shared" si="6"/>
        <v>-20000</v>
      </c>
      <c r="J83" s="961">
        <f t="shared" si="7"/>
        <v>0</v>
      </c>
      <c r="K83" s="80"/>
      <c r="L83" s="807">
        <v>1004</v>
      </c>
      <c r="M83" s="80" t="str">
        <f>+IFERROR(VLOOKUP(L83,DATA!$G$4:$H$2000,2,FALSE),"")</f>
        <v xml:space="preserve">Түмэндэлгэр </v>
      </c>
      <c r="N83" s="807">
        <v>55</v>
      </c>
      <c r="O83" s="80" t="str">
        <f>IFERROR(VLOOKUP(N83,DATA!$K$4:$L$51,2,FALSE),"")</f>
        <v>Түлш, шатахуун, тээврийн хөлс, сэлбэг хэрэгсэлд төлсөн</v>
      </c>
      <c r="P83" s="80">
        <f t="shared" si="8"/>
        <v>1</v>
      </c>
      <c r="Q83" s="154">
        <f t="shared" si="9"/>
        <v>1</v>
      </c>
    </row>
    <row r="84" spans="2:17">
      <c r="B84" s="627">
        <f t="shared" si="5"/>
        <v>79</v>
      </c>
      <c r="C84" s="429">
        <v>43123</v>
      </c>
      <c r="D84" s="816" t="s">
        <v>1570</v>
      </c>
      <c r="E84" s="807">
        <v>702000</v>
      </c>
      <c r="F84" s="629" t="str">
        <f>IFERROR(VLOOKUP(E84,STAT1!$C$4:$D$1000,2,FALSE),"")</f>
        <v>Түлш, шатахуун</v>
      </c>
      <c r="G84" s="811">
        <v>20000</v>
      </c>
      <c r="H84" s="811"/>
      <c r="I84" s="580">
        <f t="shared" si="6"/>
        <v>0</v>
      </c>
      <c r="J84" s="961">
        <f t="shared" si="7"/>
        <v>0</v>
      </c>
      <c r="K84" s="80"/>
      <c r="L84" s="807">
        <v>1004</v>
      </c>
      <c r="M84" s="80" t="str">
        <f>+IFERROR(VLOOKUP(L84,DATA!$G$4:$H$2000,2,FALSE),"")</f>
        <v xml:space="preserve">Түмэндэлгэр </v>
      </c>
      <c r="N84" s="807"/>
      <c r="O84" s="80" t="str">
        <f>IFERROR(VLOOKUP(N84,DATA!$K$4:$L$51,2,FALSE),"")</f>
        <v/>
      </c>
      <c r="P84" s="80">
        <f t="shared" si="8"/>
        <v>0</v>
      </c>
      <c r="Q84" s="154">
        <f t="shared" si="9"/>
        <v>0</v>
      </c>
    </row>
    <row r="85" spans="2:17">
      <c r="B85" s="627">
        <f t="shared" si="5"/>
        <v>80</v>
      </c>
      <c r="C85" s="429">
        <v>43123</v>
      </c>
      <c r="D85" s="816" t="s">
        <v>1570</v>
      </c>
      <c r="E85" s="807">
        <v>100100</v>
      </c>
      <c r="F85" s="629" t="str">
        <f>IFERROR(VLOOKUP(E85,STAT1!$C$4:$D$1000,2,FALSE),"")</f>
        <v>Касс мөнгө MNT</v>
      </c>
      <c r="G85" s="811"/>
      <c r="H85" s="811">
        <v>20000</v>
      </c>
      <c r="I85" s="580">
        <f t="shared" si="6"/>
        <v>-20000</v>
      </c>
      <c r="J85" s="961">
        <f t="shared" si="7"/>
        <v>0</v>
      </c>
      <c r="K85" s="80"/>
      <c r="L85" s="807">
        <v>1007</v>
      </c>
      <c r="M85" s="80" t="str">
        <f>+IFERROR(VLOOKUP(L85,DATA!$G$4:$H$2000,2,FALSE),"")</f>
        <v xml:space="preserve">Нэргүй </v>
      </c>
      <c r="N85" s="807">
        <v>55</v>
      </c>
      <c r="O85" s="80" t="str">
        <f>IFERROR(VLOOKUP(N85,DATA!$K$4:$L$51,2,FALSE),"")</f>
        <v>Түлш, шатахуун, тээврийн хөлс, сэлбэг хэрэгсэлд төлсөн</v>
      </c>
      <c r="P85" s="80">
        <f t="shared" si="8"/>
        <v>1</v>
      </c>
      <c r="Q85" s="154">
        <f t="shared" si="9"/>
        <v>1</v>
      </c>
    </row>
    <row r="86" spans="2:17">
      <c r="B86" s="627">
        <f t="shared" si="5"/>
        <v>81</v>
      </c>
      <c r="C86" s="429">
        <v>43123</v>
      </c>
      <c r="D86" s="816" t="s">
        <v>1570</v>
      </c>
      <c r="E86" s="807">
        <v>702000</v>
      </c>
      <c r="F86" s="629" t="str">
        <f>IFERROR(VLOOKUP(E86,STAT1!$C$4:$D$1000,2,FALSE),"")</f>
        <v>Түлш, шатахуун</v>
      </c>
      <c r="G86" s="811">
        <v>20000</v>
      </c>
      <c r="H86" s="811"/>
      <c r="I86" s="580">
        <f t="shared" si="6"/>
        <v>0</v>
      </c>
      <c r="J86" s="961">
        <f t="shared" si="7"/>
        <v>0</v>
      </c>
      <c r="K86" s="80"/>
      <c r="L86" s="807">
        <v>1007</v>
      </c>
      <c r="M86" s="80" t="str">
        <f>+IFERROR(VLOOKUP(L86,DATA!$G$4:$H$2000,2,FALSE),"")</f>
        <v xml:space="preserve">Нэргүй </v>
      </c>
      <c r="N86" s="807"/>
      <c r="O86" s="80" t="str">
        <f>IFERROR(VLOOKUP(N86,DATA!$K$4:$L$51,2,FALSE),"")</f>
        <v/>
      </c>
      <c r="P86" s="80">
        <f t="shared" si="8"/>
        <v>0</v>
      </c>
      <c r="Q86" s="154">
        <f t="shared" si="9"/>
        <v>0</v>
      </c>
    </row>
    <row r="87" spans="2:17">
      <c r="B87" s="627">
        <f t="shared" si="5"/>
        <v>82</v>
      </c>
      <c r="C87" s="429">
        <v>43123</v>
      </c>
      <c r="D87" s="816" t="s">
        <v>2549</v>
      </c>
      <c r="E87" s="807">
        <v>150101</v>
      </c>
      <c r="F87" s="629" t="str">
        <f>IFERROR(VLOOKUP(E87,STAT1!$C$4:$D$1000,2,FALSE),"")</f>
        <v>Бараа бэлэн бүтээгдэхүүн БОЛОВСРУУЛАХ ЦЕХ /нарс/</v>
      </c>
      <c r="G87" s="811"/>
      <c r="H87" s="811">
        <v>59687.050818791598</v>
      </c>
      <c r="I87" s="580">
        <f t="shared" si="6"/>
        <v>0</v>
      </c>
      <c r="J87" s="961">
        <f t="shared" si="7"/>
        <v>0</v>
      </c>
      <c r="K87" s="80"/>
      <c r="L87" s="807">
        <v>3109</v>
      </c>
      <c r="M87" s="80" t="str">
        <f>+IFERROR(VLOOKUP(L87,DATA!$G$4:$H$2000,2,FALSE),"")</f>
        <v xml:space="preserve">СИЛК РӨҮТ ТЕКСТИЛЬ ХХК </v>
      </c>
      <c r="N87" s="807"/>
      <c r="O87" s="80" t="str">
        <f>IFERROR(VLOOKUP(N87,DATA!$K$4:$L$51,2,FALSE),"")</f>
        <v/>
      </c>
      <c r="P87" s="80">
        <f t="shared" si="8"/>
        <v>0</v>
      </c>
      <c r="Q87" s="154">
        <f t="shared" si="9"/>
        <v>0</v>
      </c>
    </row>
    <row r="88" spans="2:17">
      <c r="B88" s="627">
        <f t="shared" si="5"/>
        <v>83</v>
      </c>
      <c r="C88" s="429">
        <v>43123</v>
      </c>
      <c r="D88" s="816" t="s">
        <v>2549</v>
      </c>
      <c r="E88" s="807">
        <v>610100</v>
      </c>
      <c r="F88" s="629" t="str">
        <f>IFERROR(VLOOKUP(E88,STAT1!$C$4:$D$1000,2,FALSE),"")</f>
        <v>Борлуулсан барааны өртөг</v>
      </c>
      <c r="G88" s="811">
        <v>59687.050818791598</v>
      </c>
      <c r="H88" s="811"/>
      <c r="I88" s="580">
        <f t="shared" si="6"/>
        <v>0</v>
      </c>
      <c r="J88" s="961">
        <f t="shared" si="7"/>
        <v>0</v>
      </c>
      <c r="K88" s="80"/>
      <c r="L88" s="807">
        <v>3109</v>
      </c>
      <c r="M88" s="80" t="str">
        <f>+IFERROR(VLOOKUP(L88,DATA!$G$4:$H$2000,2,FALSE),"")</f>
        <v xml:space="preserve">СИЛК РӨҮТ ТЕКСТИЛЬ ХХК </v>
      </c>
      <c r="N88" s="807"/>
      <c r="O88" s="80" t="str">
        <f>IFERROR(VLOOKUP(N88,DATA!$K$4:$L$51,2,FALSE),"")</f>
        <v/>
      </c>
      <c r="P88" s="80">
        <f t="shared" si="8"/>
        <v>0</v>
      </c>
      <c r="Q88" s="154">
        <f t="shared" si="9"/>
        <v>0</v>
      </c>
    </row>
    <row r="89" spans="2:17">
      <c r="B89" s="627">
        <f t="shared" si="5"/>
        <v>84</v>
      </c>
      <c r="C89" s="429">
        <v>43123</v>
      </c>
      <c r="D89" s="816" t="s">
        <v>2549</v>
      </c>
      <c r="E89" s="807">
        <v>310500</v>
      </c>
      <c r="F89" s="629" t="str">
        <f>IFERROR(VLOOKUP(E89,STAT1!$C$4:$D$1000,2,FALSE),"")</f>
        <v>НӨАТ өглөг</v>
      </c>
      <c r="G89" s="811"/>
      <c r="H89" s="811">
        <v>14281.81818181818</v>
      </c>
      <c r="I89" s="580">
        <f t="shared" si="6"/>
        <v>0</v>
      </c>
      <c r="J89" s="961">
        <f t="shared" si="7"/>
        <v>0</v>
      </c>
      <c r="K89" s="80"/>
      <c r="L89" s="807">
        <v>3109</v>
      </c>
      <c r="M89" s="80" t="str">
        <f>+IFERROR(VLOOKUP(L89,DATA!$G$4:$H$2000,2,FALSE),"")</f>
        <v xml:space="preserve">СИЛК РӨҮТ ТЕКСТИЛЬ ХХК </v>
      </c>
      <c r="N89" s="807"/>
      <c r="O89" s="80" t="str">
        <f>IFERROR(VLOOKUP(N89,DATA!$K$4:$L$51,2,FALSE),"")</f>
        <v/>
      </c>
      <c r="P89" s="80">
        <f t="shared" si="8"/>
        <v>0</v>
      </c>
      <c r="Q89" s="154">
        <f t="shared" si="9"/>
        <v>0</v>
      </c>
    </row>
    <row r="90" spans="2:17">
      <c r="B90" s="627">
        <f t="shared" si="5"/>
        <v>85</v>
      </c>
      <c r="C90" s="429">
        <v>43123</v>
      </c>
      <c r="D90" s="816" t="s">
        <v>2549</v>
      </c>
      <c r="E90" s="807">
        <v>510000</v>
      </c>
      <c r="F90" s="629" t="str">
        <f>IFERROR(VLOOKUP(E90,STAT1!$C$4:$D$1000,2,FALSE),"")</f>
        <v>Үндсэн үйл ажиллагааны борлуулалт</v>
      </c>
      <c r="G90" s="811"/>
      <c r="H90" s="811">
        <v>142818.18181818179</v>
      </c>
      <c r="I90" s="580">
        <f t="shared" si="6"/>
        <v>0</v>
      </c>
      <c r="J90" s="961">
        <f t="shared" si="7"/>
        <v>0</v>
      </c>
      <c r="K90" s="80"/>
      <c r="L90" s="807">
        <v>3109</v>
      </c>
      <c r="M90" s="80" t="str">
        <f>+IFERROR(VLOOKUP(L90,DATA!$G$4:$H$2000,2,FALSE),"")</f>
        <v xml:space="preserve">СИЛК РӨҮТ ТЕКСТИЛЬ ХХК </v>
      </c>
      <c r="N90" s="807"/>
      <c r="O90" s="80" t="str">
        <f>IFERROR(VLOOKUP(N90,DATA!$K$4:$L$51,2,FALSE),"")</f>
        <v/>
      </c>
      <c r="P90" s="80">
        <f t="shared" si="8"/>
        <v>0</v>
      </c>
      <c r="Q90" s="154">
        <f t="shared" si="9"/>
        <v>0</v>
      </c>
    </row>
    <row r="91" spans="2:17">
      <c r="B91" s="627">
        <f t="shared" si="5"/>
        <v>86</v>
      </c>
      <c r="C91" s="429">
        <v>43123</v>
      </c>
      <c r="D91" s="816" t="s">
        <v>2549</v>
      </c>
      <c r="E91" s="807">
        <v>320100</v>
      </c>
      <c r="F91" s="629" t="str">
        <f>IFERROR(VLOOKUP(E91,STAT1!$C$4:$D$1000,2,FALSE),"")</f>
        <v>Урьдчилж орсон орлого MNT</v>
      </c>
      <c r="G91" s="811">
        <v>157100</v>
      </c>
      <c r="H91" s="811"/>
      <c r="I91" s="580">
        <f t="shared" si="6"/>
        <v>0</v>
      </c>
      <c r="J91" s="961">
        <f t="shared" si="7"/>
        <v>0</v>
      </c>
      <c r="K91" s="80"/>
      <c r="L91" s="807">
        <v>3109</v>
      </c>
      <c r="M91" s="80" t="str">
        <f>+IFERROR(VLOOKUP(L91,DATA!$G$4:$H$2000,2,FALSE),"")</f>
        <v xml:space="preserve">СИЛК РӨҮТ ТЕКСТИЛЬ ХХК </v>
      </c>
      <c r="N91" s="807"/>
      <c r="O91" s="80" t="str">
        <f>IFERROR(VLOOKUP(N91,DATA!$K$4:$L$51,2,FALSE),"")</f>
        <v/>
      </c>
      <c r="P91" s="80">
        <f t="shared" si="8"/>
        <v>0</v>
      </c>
      <c r="Q91" s="154">
        <f t="shared" si="9"/>
        <v>0</v>
      </c>
    </row>
    <row r="92" spans="2:17">
      <c r="B92" s="627">
        <f t="shared" si="5"/>
        <v>87</v>
      </c>
      <c r="C92" s="429">
        <v>43129</v>
      </c>
      <c r="D92" s="816" t="s">
        <v>1571</v>
      </c>
      <c r="E92" s="807">
        <v>110100</v>
      </c>
      <c r="F92" s="629" t="str">
        <f>IFERROR(VLOOKUP(E92,STAT1!$C$4:$D$1000,2,FALSE),"")</f>
        <v>Хаан Банк 5024654020</v>
      </c>
      <c r="G92" s="811">
        <v>39600</v>
      </c>
      <c r="H92" s="811"/>
      <c r="I92" s="580">
        <f t="shared" si="6"/>
        <v>39600</v>
      </c>
      <c r="J92" s="961">
        <f t="shared" si="7"/>
        <v>0</v>
      </c>
      <c r="K92" s="80"/>
      <c r="L92" s="807">
        <v>3111</v>
      </c>
      <c r="M92" s="80" t="str">
        <f>+IFERROR(VLOOKUP(L92,DATA!$G$4:$H$2000,2,FALSE),"")</f>
        <v xml:space="preserve">ЗУЛЗАГАН ДӨЛ ХХК </v>
      </c>
      <c r="N92" s="807">
        <v>41</v>
      </c>
      <c r="O92" s="80" t="str">
        <f>IFERROR(VLOOKUP(N92,DATA!$K$4:$L$51,2,FALSE),"")</f>
        <v>Бараа борлуулсан, үйлчилгээ үзүүлсэний орлого</v>
      </c>
      <c r="P92" s="80">
        <f t="shared" si="8"/>
        <v>1</v>
      </c>
      <c r="Q92" s="154">
        <f t="shared" si="9"/>
        <v>1</v>
      </c>
    </row>
    <row r="93" spans="2:17">
      <c r="B93" s="627">
        <f t="shared" si="5"/>
        <v>88</v>
      </c>
      <c r="C93" s="429">
        <v>43129</v>
      </c>
      <c r="D93" s="816" t="s">
        <v>1571</v>
      </c>
      <c r="E93" s="807">
        <v>320100</v>
      </c>
      <c r="F93" s="629" t="str">
        <f>IFERROR(VLOOKUP(E93,STAT1!$C$4:$D$1000,2,FALSE),"")</f>
        <v>Урьдчилж орсон орлого MNT</v>
      </c>
      <c r="G93" s="811"/>
      <c r="H93" s="811">
        <v>39600</v>
      </c>
      <c r="I93" s="580">
        <f t="shared" si="6"/>
        <v>0</v>
      </c>
      <c r="J93" s="961">
        <f t="shared" si="7"/>
        <v>0</v>
      </c>
      <c r="K93" s="80"/>
      <c r="L93" s="807">
        <v>3111</v>
      </c>
      <c r="M93" s="80" t="str">
        <f>+IFERROR(VLOOKUP(L93,DATA!$G$4:$H$2000,2,FALSE),"")</f>
        <v xml:space="preserve">ЗУЛЗАГАН ДӨЛ ХХК </v>
      </c>
      <c r="N93" s="807"/>
      <c r="O93" s="80" t="str">
        <f>IFERROR(VLOOKUP(N93,DATA!$K$4:$L$51,2,FALSE),"")</f>
        <v/>
      </c>
      <c r="P93" s="80">
        <f t="shared" si="8"/>
        <v>0</v>
      </c>
      <c r="Q93" s="154">
        <f t="shared" si="9"/>
        <v>0</v>
      </c>
    </row>
    <row r="94" spans="2:17">
      <c r="B94" s="627">
        <f t="shared" si="5"/>
        <v>89</v>
      </c>
      <c r="C94" s="429">
        <v>43129</v>
      </c>
      <c r="D94" s="816" t="s">
        <v>2407</v>
      </c>
      <c r="E94" s="807">
        <v>310100</v>
      </c>
      <c r="F94" s="629" t="str">
        <f>IFERROR(VLOOKUP(E94,STAT1!$C$4:$D$1000,2,FALSE),"")</f>
        <v>Дансны өглөг MNT</v>
      </c>
      <c r="G94" s="811"/>
      <c r="H94" s="811">
        <v>7980819.2199999997</v>
      </c>
      <c r="I94" s="580">
        <f t="shared" si="6"/>
        <v>0</v>
      </c>
      <c r="J94" s="961">
        <f t="shared" si="7"/>
        <v>0</v>
      </c>
      <c r="K94" s="80"/>
      <c r="L94" s="807">
        <v>2004</v>
      </c>
      <c r="M94" s="80" t="str">
        <f>+IFERROR(VLOOKUP(L94,DATA!$G$4:$H$2000,2,FALSE),"")</f>
        <v xml:space="preserve">ДЦС-3 ТӨХК </v>
      </c>
      <c r="N94" s="807"/>
      <c r="O94" s="80" t="str">
        <f>IFERROR(VLOOKUP(N94,DATA!$K$4:$L$51,2,FALSE),"")</f>
        <v/>
      </c>
      <c r="P94" s="80">
        <f t="shared" si="8"/>
        <v>0</v>
      </c>
      <c r="Q94" s="154">
        <f t="shared" si="9"/>
        <v>0</v>
      </c>
    </row>
    <row r="95" spans="2:17">
      <c r="B95" s="627">
        <f t="shared" si="5"/>
        <v>90</v>
      </c>
      <c r="C95" s="429">
        <v>43129</v>
      </c>
      <c r="D95" s="816" t="s">
        <v>2407</v>
      </c>
      <c r="E95" s="807">
        <v>120100</v>
      </c>
      <c r="F95" s="629" t="str">
        <f>IFERROR(VLOOKUP(E95,STAT1!$C$4:$D$1000,2,FALSE),"")</f>
        <v xml:space="preserve">Дансны авлага MNT </v>
      </c>
      <c r="G95" s="811">
        <v>725529.02</v>
      </c>
      <c r="H95" s="811"/>
      <c r="I95" s="580">
        <f t="shared" si="6"/>
        <v>0</v>
      </c>
      <c r="J95" s="961">
        <f t="shared" si="7"/>
        <v>0</v>
      </c>
      <c r="K95" s="80"/>
      <c r="L95" s="807">
        <v>2004</v>
      </c>
      <c r="M95" s="80" t="str">
        <f>+IFERROR(VLOOKUP(L95,DATA!$G$4:$H$2000,2,FALSE),"")</f>
        <v xml:space="preserve">ДЦС-3 ТӨХК </v>
      </c>
      <c r="N95" s="807"/>
      <c r="O95" s="80" t="str">
        <f>IFERROR(VLOOKUP(N95,DATA!$K$4:$L$51,2,FALSE),"")</f>
        <v/>
      </c>
      <c r="P95" s="80">
        <f t="shared" si="8"/>
        <v>0</v>
      </c>
      <c r="Q95" s="154">
        <f t="shared" si="9"/>
        <v>0</v>
      </c>
    </row>
    <row r="96" spans="2:17">
      <c r="B96" s="627">
        <f t="shared" si="5"/>
        <v>91</v>
      </c>
      <c r="C96" s="429">
        <v>43129</v>
      </c>
      <c r="D96" s="816" t="s">
        <v>2407</v>
      </c>
      <c r="E96" s="807">
        <v>700900</v>
      </c>
      <c r="F96" s="629" t="str">
        <f>IFERROR(VLOOKUP(E96,STAT1!$C$4:$D$1000,2,FALSE),"")</f>
        <v>Уур, ус</v>
      </c>
      <c r="G96" s="811">
        <f>7980819.22-725529.02</f>
        <v>7255290.1999999993</v>
      </c>
      <c r="H96" s="811"/>
      <c r="I96" s="580">
        <f t="shared" si="6"/>
        <v>0</v>
      </c>
      <c r="J96" s="961">
        <f t="shared" si="7"/>
        <v>0</v>
      </c>
      <c r="K96" s="80"/>
      <c r="L96" s="807">
        <v>2004</v>
      </c>
      <c r="M96" s="80" t="str">
        <f>+IFERROR(VLOOKUP(L96,DATA!$G$4:$H$2000,2,FALSE),"")</f>
        <v xml:space="preserve">ДЦС-3 ТӨХК </v>
      </c>
      <c r="N96" s="807"/>
      <c r="O96" s="80" t="str">
        <f>IFERROR(VLOOKUP(N96,DATA!$K$4:$L$51,2,FALSE),"")</f>
        <v/>
      </c>
      <c r="P96" s="80">
        <f t="shared" si="8"/>
        <v>0</v>
      </c>
      <c r="Q96" s="154">
        <f t="shared" si="9"/>
        <v>0</v>
      </c>
    </row>
    <row r="97" spans="2:17">
      <c r="B97" s="627">
        <f t="shared" si="5"/>
        <v>92</v>
      </c>
      <c r="C97" s="429">
        <v>43129</v>
      </c>
      <c r="D97" s="816" t="s">
        <v>2404</v>
      </c>
      <c r="E97" s="807">
        <v>100100</v>
      </c>
      <c r="F97" s="629" t="str">
        <f>IFERROR(VLOOKUP(E97,STAT1!$C$4:$D$1000,2,FALSE),"")</f>
        <v>Касс мөнгө MNT</v>
      </c>
      <c r="G97" s="811"/>
      <c r="H97" s="811">
        <f>2414733+320539+3734484.54</f>
        <v>6469756.54</v>
      </c>
      <c r="I97" s="580">
        <f t="shared" si="6"/>
        <v>-6469756.54</v>
      </c>
      <c r="J97" s="961">
        <f t="shared" si="7"/>
        <v>0</v>
      </c>
      <c r="K97" s="80"/>
      <c r="L97" s="807">
        <v>1005</v>
      </c>
      <c r="M97" s="80" t="str">
        <f>+IFERROR(VLOOKUP(L97,DATA!$G$4:$H$2000,2,FALSE),"")</f>
        <v>Золжаргал</v>
      </c>
      <c r="N97" s="807">
        <v>54</v>
      </c>
      <c r="O97" s="80" t="str">
        <f>IFERROR(VLOOKUP(N97,DATA!$K$4:$L$51,2,FALSE),"")</f>
        <v>Ашиглалтын зардалд төлсөн</v>
      </c>
      <c r="P97" s="80">
        <f t="shared" si="8"/>
        <v>1</v>
      </c>
      <c r="Q97" s="154">
        <f t="shared" si="9"/>
        <v>1</v>
      </c>
    </row>
    <row r="98" spans="2:17">
      <c r="B98" s="627">
        <f t="shared" si="5"/>
        <v>93</v>
      </c>
      <c r="C98" s="429">
        <v>43129</v>
      </c>
      <c r="D98" s="816" t="s">
        <v>2404</v>
      </c>
      <c r="E98" s="807">
        <v>120600</v>
      </c>
      <c r="F98" s="629" t="str">
        <f>IFERROR(VLOOKUP(E98,STAT1!$C$4:$D$1000,2,FALSE),"")</f>
        <v>НӨАТ авлага</v>
      </c>
      <c r="G98" s="811">
        <f>219521.18+29398</f>
        <v>248919.18</v>
      </c>
      <c r="H98" s="811"/>
      <c r="I98" s="580">
        <f t="shared" si="6"/>
        <v>0</v>
      </c>
      <c r="J98" s="961">
        <f t="shared" si="7"/>
        <v>0</v>
      </c>
      <c r="K98" s="80"/>
      <c r="L98" s="807">
        <v>1005</v>
      </c>
      <c r="M98" s="80" t="str">
        <f>+IFERROR(VLOOKUP(L98,DATA!$G$4:$H$2000,2,FALSE),"")</f>
        <v>Золжаргал</v>
      </c>
      <c r="N98" s="807"/>
      <c r="O98" s="80" t="str">
        <f>IFERROR(VLOOKUP(N98,DATA!$K$4:$L$51,2,FALSE),"")</f>
        <v/>
      </c>
      <c r="P98" s="80">
        <f t="shared" si="8"/>
        <v>0</v>
      </c>
      <c r="Q98" s="154">
        <f t="shared" si="9"/>
        <v>0</v>
      </c>
    </row>
    <row r="99" spans="2:17">
      <c r="B99" s="627">
        <f t="shared" si="5"/>
        <v>94</v>
      </c>
      <c r="C99" s="429">
        <v>43129</v>
      </c>
      <c r="D99" s="816" t="s">
        <v>2404</v>
      </c>
      <c r="E99" s="807">
        <v>310100</v>
      </c>
      <c r="F99" s="629" t="str">
        <f>IFERROR(VLOOKUP(E99,STAT1!$C$4:$D$1000,2,FALSE),"")</f>
        <v>Дансны өглөг MNT</v>
      </c>
      <c r="G99" s="811">
        <v>3734484.54</v>
      </c>
      <c r="H99" s="811"/>
      <c r="I99" s="580">
        <f t="shared" si="6"/>
        <v>0</v>
      </c>
      <c r="J99" s="961">
        <f t="shared" si="7"/>
        <v>0</v>
      </c>
      <c r="K99" s="80"/>
      <c r="L99" s="807">
        <v>2004</v>
      </c>
      <c r="M99" s="80" t="str">
        <f>+IFERROR(VLOOKUP(L99,DATA!$G$4:$H$2000,2,FALSE),"")</f>
        <v xml:space="preserve">ДЦС-3 ТӨХК </v>
      </c>
      <c r="N99" s="807"/>
      <c r="O99" s="80" t="str">
        <f>IFERROR(VLOOKUP(N99,DATA!$K$4:$L$51,2,FALSE),"")</f>
        <v/>
      </c>
      <c r="P99" s="80">
        <f t="shared" si="8"/>
        <v>0</v>
      </c>
      <c r="Q99" s="154">
        <f t="shared" si="9"/>
        <v>0</v>
      </c>
    </row>
    <row r="100" spans="2:17">
      <c r="B100" s="627">
        <f t="shared" si="5"/>
        <v>95</v>
      </c>
      <c r="C100" s="429">
        <v>43129</v>
      </c>
      <c r="D100" s="816" t="s">
        <v>2404</v>
      </c>
      <c r="E100" s="807">
        <v>700900</v>
      </c>
      <c r="F100" s="629" t="str">
        <f>IFERROR(VLOOKUP(E100,STAT1!$C$4:$D$1000,2,FALSE),"")</f>
        <v>Уур, ус</v>
      </c>
      <c r="G100" s="811">
        <v>291141</v>
      </c>
      <c r="H100" s="811"/>
      <c r="I100" s="580">
        <f t="shared" si="6"/>
        <v>0</v>
      </c>
      <c r="J100" s="961">
        <f t="shared" si="7"/>
        <v>0</v>
      </c>
      <c r="K100" s="80"/>
      <c r="L100" s="807">
        <v>1005</v>
      </c>
      <c r="M100" s="80" t="str">
        <f>+IFERROR(VLOOKUP(L100,DATA!$G$4:$H$2000,2,FALSE),"")</f>
        <v>Золжаргал</v>
      </c>
      <c r="N100" s="807"/>
      <c r="O100" s="80" t="str">
        <f>IFERROR(VLOOKUP(N100,DATA!$K$4:$L$51,2,FALSE),"")</f>
        <v/>
      </c>
      <c r="P100" s="80">
        <f t="shared" si="8"/>
        <v>0</v>
      </c>
      <c r="Q100" s="154">
        <f t="shared" si="9"/>
        <v>0</v>
      </c>
    </row>
    <row r="101" spans="2:17">
      <c r="B101" s="627">
        <f t="shared" si="5"/>
        <v>96</v>
      </c>
      <c r="C101" s="429">
        <v>43129</v>
      </c>
      <c r="D101" s="816" t="s">
        <v>2404</v>
      </c>
      <c r="E101" s="807">
        <v>700700</v>
      </c>
      <c r="F101" s="629" t="str">
        <f>IFERROR(VLOOKUP(E101,STAT1!$C$4:$D$1000,2,FALSE),"")</f>
        <v>Цахилгаан эрчим хүч</v>
      </c>
      <c r="G101" s="811">
        <f>2414733-219521.18</f>
        <v>2195211.8199999998</v>
      </c>
      <c r="H101" s="811"/>
      <c r="I101" s="580">
        <f t="shared" si="6"/>
        <v>0</v>
      </c>
      <c r="J101" s="961">
        <f t="shared" si="7"/>
        <v>0</v>
      </c>
      <c r="K101" s="80"/>
      <c r="L101" s="807">
        <v>1005</v>
      </c>
      <c r="M101" s="80" t="str">
        <f>+IFERROR(VLOOKUP(L101,DATA!$G$4:$H$2000,2,FALSE),"")</f>
        <v>Золжаргал</v>
      </c>
      <c r="N101" s="807"/>
      <c r="O101" s="80" t="str">
        <f>IFERROR(VLOOKUP(N101,DATA!$K$4:$L$51,2,FALSE),"")</f>
        <v/>
      </c>
      <c r="P101" s="80">
        <f t="shared" si="8"/>
        <v>0</v>
      </c>
      <c r="Q101" s="154">
        <f t="shared" si="9"/>
        <v>0</v>
      </c>
    </row>
    <row r="102" spans="2:17">
      <c r="B102" s="627">
        <f t="shared" si="5"/>
        <v>97</v>
      </c>
      <c r="C102" s="429">
        <v>43129</v>
      </c>
      <c r="D102" s="816" t="s">
        <v>2549</v>
      </c>
      <c r="E102" s="807">
        <v>150101</v>
      </c>
      <c r="F102" s="629" t="str">
        <f>IFERROR(VLOOKUP(E102,STAT1!$C$4:$D$1000,2,FALSE),"")</f>
        <v>Бараа бэлэн бүтээгдэхүүн БОЛОВСРУУЛАХ ЦЕХ /нарс/</v>
      </c>
      <c r="G102" s="811"/>
      <c r="H102" s="811">
        <v>16533.35893370186</v>
      </c>
      <c r="I102" s="580">
        <f t="shared" si="6"/>
        <v>0</v>
      </c>
      <c r="J102" s="961">
        <f t="shared" si="7"/>
        <v>0</v>
      </c>
      <c r="K102" s="80"/>
      <c r="L102" s="807">
        <v>3111</v>
      </c>
      <c r="M102" s="80" t="str">
        <f>+IFERROR(VLOOKUP(L102,DATA!$G$4:$H$2000,2,FALSE),"")</f>
        <v xml:space="preserve">ЗУЛЗАГАН ДӨЛ ХХК </v>
      </c>
      <c r="N102" s="807"/>
      <c r="O102" s="80" t="str">
        <f>IFERROR(VLOOKUP(N102,DATA!$K$4:$L$51,2,FALSE),"")</f>
        <v/>
      </c>
      <c r="P102" s="80">
        <f t="shared" si="8"/>
        <v>0</v>
      </c>
      <c r="Q102" s="154">
        <f t="shared" si="9"/>
        <v>0</v>
      </c>
    </row>
    <row r="103" spans="2:17">
      <c r="B103" s="627">
        <f t="shared" si="5"/>
        <v>98</v>
      </c>
      <c r="C103" s="429">
        <v>43129</v>
      </c>
      <c r="D103" s="816" t="s">
        <v>2549</v>
      </c>
      <c r="E103" s="807">
        <v>610100</v>
      </c>
      <c r="F103" s="629" t="str">
        <f>IFERROR(VLOOKUP(E103,STAT1!$C$4:$D$1000,2,FALSE),"")</f>
        <v>Борлуулсан барааны өртөг</v>
      </c>
      <c r="G103" s="811">
        <v>16533.35893370186</v>
      </c>
      <c r="H103" s="811"/>
      <c r="I103" s="580">
        <f t="shared" si="6"/>
        <v>0</v>
      </c>
      <c r="J103" s="961">
        <f t="shared" si="7"/>
        <v>0</v>
      </c>
      <c r="K103" s="80"/>
      <c r="L103" s="807">
        <v>3111</v>
      </c>
      <c r="M103" s="80" t="str">
        <f>+IFERROR(VLOOKUP(L103,DATA!$G$4:$H$2000,2,FALSE),"")</f>
        <v xml:space="preserve">ЗУЛЗАГАН ДӨЛ ХХК </v>
      </c>
      <c r="N103" s="807"/>
      <c r="O103" s="80" t="str">
        <f>IFERROR(VLOOKUP(N103,DATA!$K$4:$L$51,2,FALSE),"")</f>
        <v/>
      </c>
      <c r="P103" s="80">
        <f t="shared" si="8"/>
        <v>0</v>
      </c>
      <c r="Q103" s="154">
        <f t="shared" si="9"/>
        <v>0</v>
      </c>
    </row>
    <row r="104" spans="2:17">
      <c r="B104" s="627">
        <f t="shared" si="5"/>
        <v>99</v>
      </c>
      <c r="C104" s="429">
        <v>43129</v>
      </c>
      <c r="D104" s="816" t="s">
        <v>2549</v>
      </c>
      <c r="E104" s="807">
        <v>310500</v>
      </c>
      <c r="F104" s="629" t="str">
        <f>IFERROR(VLOOKUP(E104,STAT1!$C$4:$D$1000,2,FALSE),"")</f>
        <v>НӨАТ өглөг</v>
      </c>
      <c r="G104" s="811"/>
      <c r="H104" s="811">
        <v>3600</v>
      </c>
      <c r="I104" s="580">
        <f t="shared" si="6"/>
        <v>0</v>
      </c>
      <c r="J104" s="961">
        <f t="shared" si="7"/>
        <v>0</v>
      </c>
      <c r="K104" s="80"/>
      <c r="L104" s="807">
        <v>3111</v>
      </c>
      <c r="M104" s="80" t="str">
        <f>+IFERROR(VLOOKUP(L104,DATA!$G$4:$H$2000,2,FALSE),"")</f>
        <v xml:space="preserve">ЗУЛЗАГАН ДӨЛ ХХК </v>
      </c>
      <c r="N104" s="807"/>
      <c r="O104" s="80" t="str">
        <f>IFERROR(VLOOKUP(N104,DATA!$K$4:$L$51,2,FALSE),"")</f>
        <v/>
      </c>
      <c r="P104" s="80">
        <f t="shared" si="8"/>
        <v>0</v>
      </c>
      <c r="Q104" s="154">
        <f t="shared" si="9"/>
        <v>0</v>
      </c>
    </row>
    <row r="105" spans="2:17">
      <c r="B105" s="627">
        <f t="shared" si="5"/>
        <v>100</v>
      </c>
      <c r="C105" s="429">
        <v>43129</v>
      </c>
      <c r="D105" s="816" t="s">
        <v>2549</v>
      </c>
      <c r="E105" s="807">
        <v>510000</v>
      </c>
      <c r="F105" s="629" t="str">
        <f>IFERROR(VLOOKUP(E105,STAT1!$C$4:$D$1000,2,FALSE),"")</f>
        <v>Үндсэн үйл ажиллагааны борлуулалт</v>
      </c>
      <c r="G105" s="811"/>
      <c r="H105" s="811">
        <v>36000</v>
      </c>
      <c r="I105" s="580">
        <f t="shared" si="6"/>
        <v>0</v>
      </c>
      <c r="J105" s="961">
        <f t="shared" si="7"/>
        <v>0</v>
      </c>
      <c r="K105" s="80"/>
      <c r="L105" s="807">
        <v>3111</v>
      </c>
      <c r="M105" s="80" t="str">
        <f>+IFERROR(VLOOKUP(L105,DATA!$G$4:$H$2000,2,FALSE),"")</f>
        <v xml:space="preserve">ЗУЛЗАГАН ДӨЛ ХХК </v>
      </c>
      <c r="N105" s="807"/>
      <c r="O105" s="80" t="str">
        <f>IFERROR(VLOOKUP(N105,DATA!$K$4:$L$51,2,FALSE),"")</f>
        <v/>
      </c>
      <c r="P105" s="80">
        <f t="shared" si="8"/>
        <v>0</v>
      </c>
      <c r="Q105" s="154">
        <f t="shared" si="9"/>
        <v>0</v>
      </c>
    </row>
    <row r="106" spans="2:17">
      <c r="B106" s="627">
        <f t="shared" si="5"/>
        <v>101</v>
      </c>
      <c r="C106" s="429">
        <v>43129</v>
      </c>
      <c r="D106" s="816" t="s">
        <v>2549</v>
      </c>
      <c r="E106" s="807">
        <v>320100</v>
      </c>
      <c r="F106" s="629" t="str">
        <f>IFERROR(VLOOKUP(E106,STAT1!$C$4:$D$1000,2,FALSE),"")</f>
        <v>Урьдчилж орсон орлого MNT</v>
      </c>
      <c r="G106" s="811">
        <v>39600</v>
      </c>
      <c r="H106" s="811"/>
      <c r="I106" s="580">
        <f t="shared" si="6"/>
        <v>0</v>
      </c>
      <c r="J106" s="961">
        <f t="shared" si="7"/>
        <v>0</v>
      </c>
      <c r="K106" s="80"/>
      <c r="L106" s="807">
        <v>3111</v>
      </c>
      <c r="M106" s="80" t="str">
        <f>+IFERROR(VLOOKUP(L106,DATA!$G$4:$H$2000,2,FALSE),"")</f>
        <v xml:space="preserve">ЗУЛЗАГАН ДӨЛ ХХК </v>
      </c>
      <c r="N106" s="807"/>
      <c r="O106" s="80" t="str">
        <f>IFERROR(VLOOKUP(N106,DATA!$K$4:$L$51,2,FALSE),"")</f>
        <v/>
      </c>
      <c r="P106" s="80">
        <f t="shared" si="8"/>
        <v>0</v>
      </c>
      <c r="Q106" s="154">
        <f t="shared" si="9"/>
        <v>0</v>
      </c>
    </row>
    <row r="107" spans="2:17">
      <c r="B107" s="627">
        <f t="shared" si="5"/>
        <v>102</v>
      </c>
      <c r="C107" s="429">
        <v>43131</v>
      </c>
      <c r="D107" s="816" t="s">
        <v>2444</v>
      </c>
      <c r="E107" s="807">
        <v>702000</v>
      </c>
      <c r="F107" s="629" t="str">
        <f>IFERROR(VLOOKUP(E107,STAT1!$C$4:$D$1000,2,FALSE),"")</f>
        <v>Түлш, шатахуун</v>
      </c>
      <c r="G107" s="811"/>
      <c r="H107" s="811">
        <f>1818.18*5+909.09*2+2681.82</f>
        <v>13590.9</v>
      </c>
      <c r="I107" s="580">
        <f t="shared" si="6"/>
        <v>0</v>
      </c>
      <c r="J107" s="961">
        <f t="shared" si="7"/>
        <v>0</v>
      </c>
      <c r="K107" s="80"/>
      <c r="L107" s="807">
        <v>1004</v>
      </c>
      <c r="M107" s="80" t="str">
        <f>+IFERROR(VLOOKUP(L107,DATA!$G$4:$H$2000,2,FALSE),"")</f>
        <v xml:space="preserve">Түмэндэлгэр </v>
      </c>
      <c r="N107" s="807"/>
      <c r="O107" s="80" t="str">
        <f>IFERROR(VLOOKUP(N107,DATA!$K$4:$L$51,2,FALSE),"")</f>
        <v/>
      </c>
      <c r="P107" s="80">
        <f t="shared" si="8"/>
        <v>0</v>
      </c>
      <c r="Q107" s="154">
        <f t="shared" si="9"/>
        <v>0</v>
      </c>
    </row>
    <row r="108" spans="2:17">
      <c r="B108" s="627">
        <f t="shared" si="5"/>
        <v>103</v>
      </c>
      <c r="C108" s="429">
        <v>43131</v>
      </c>
      <c r="D108" s="816" t="s">
        <v>2444</v>
      </c>
      <c r="E108" s="807">
        <v>120600</v>
      </c>
      <c r="F108" s="629" t="str">
        <f>IFERROR(VLOOKUP(E108,STAT1!$C$4:$D$1000,2,FALSE),"")</f>
        <v>НӨАТ авлага</v>
      </c>
      <c r="G108" s="811">
        <f>1818.18*5+909.09*2+2681.82</f>
        <v>13590.9</v>
      </c>
      <c r="H108" s="811"/>
      <c r="I108" s="580">
        <f t="shared" si="6"/>
        <v>0</v>
      </c>
      <c r="J108" s="961">
        <f t="shared" si="7"/>
        <v>0</v>
      </c>
      <c r="K108" s="80"/>
      <c r="L108" s="807">
        <v>1004</v>
      </c>
      <c r="M108" s="80" t="str">
        <f>+IFERROR(VLOOKUP(L108,DATA!$G$4:$H$2000,2,FALSE),"")</f>
        <v xml:space="preserve">Түмэндэлгэр </v>
      </c>
      <c r="N108" s="807"/>
      <c r="O108" s="80" t="str">
        <f>IFERROR(VLOOKUP(N108,DATA!$K$4:$L$51,2,FALSE),"")</f>
        <v/>
      </c>
      <c r="P108" s="80">
        <f t="shared" si="8"/>
        <v>0</v>
      </c>
      <c r="Q108" s="154">
        <f t="shared" si="9"/>
        <v>0</v>
      </c>
    </row>
    <row r="109" spans="2:17">
      <c r="B109" s="627">
        <f t="shared" si="5"/>
        <v>104</v>
      </c>
      <c r="C109" s="429">
        <v>43131</v>
      </c>
      <c r="D109" s="816" t="s">
        <v>1570</v>
      </c>
      <c r="E109" s="807">
        <v>100100</v>
      </c>
      <c r="F109" s="629" t="str">
        <f>IFERROR(VLOOKUP(E109,STAT1!$C$4:$D$1000,2,FALSE),"")</f>
        <v>Касс мөнгө MNT</v>
      </c>
      <c r="G109" s="811"/>
      <c r="H109" s="811">
        <v>29500</v>
      </c>
      <c r="I109" s="580">
        <f t="shared" si="6"/>
        <v>-29500</v>
      </c>
      <c r="J109" s="961">
        <f t="shared" si="7"/>
        <v>0</v>
      </c>
      <c r="K109" s="80"/>
      <c r="L109" s="807">
        <v>1008</v>
      </c>
      <c r="M109" s="80" t="str">
        <f>+IFERROR(VLOOKUP(L109,DATA!$G$4:$H$2000,2,FALSE),"")</f>
        <v xml:space="preserve">Оюунтүлхүүр </v>
      </c>
      <c r="N109" s="807">
        <v>55</v>
      </c>
      <c r="O109" s="80" t="str">
        <f>IFERROR(VLOOKUP(N109,DATA!$K$4:$L$51,2,FALSE),"")</f>
        <v>Түлш, шатахуун, тээврийн хөлс, сэлбэг хэрэгсэлд төлсөн</v>
      </c>
      <c r="P109" s="80">
        <f t="shared" si="8"/>
        <v>1</v>
      </c>
      <c r="Q109" s="154">
        <f t="shared" si="9"/>
        <v>1</v>
      </c>
    </row>
    <row r="110" spans="2:17">
      <c r="B110" s="627">
        <f t="shared" si="5"/>
        <v>105</v>
      </c>
      <c r="C110" s="429">
        <v>43131</v>
      </c>
      <c r="D110" s="816" t="s">
        <v>1570</v>
      </c>
      <c r="E110" s="807">
        <v>702000</v>
      </c>
      <c r="F110" s="629" t="str">
        <f>IFERROR(VLOOKUP(E110,STAT1!$C$4:$D$1000,2,FALSE),"")</f>
        <v>Түлш, шатахуун</v>
      </c>
      <c r="G110" s="811">
        <v>29500</v>
      </c>
      <c r="H110" s="811"/>
      <c r="I110" s="580">
        <f t="shared" si="6"/>
        <v>0</v>
      </c>
      <c r="J110" s="961">
        <f t="shared" si="7"/>
        <v>0</v>
      </c>
      <c r="K110" s="80"/>
      <c r="L110" s="807">
        <v>1008</v>
      </c>
      <c r="M110" s="80" t="str">
        <f>+IFERROR(VLOOKUP(L110,DATA!$G$4:$H$2000,2,FALSE),"")</f>
        <v xml:space="preserve">Оюунтүлхүүр </v>
      </c>
      <c r="N110" s="807"/>
      <c r="O110" s="80" t="str">
        <f>IFERROR(VLOOKUP(N110,DATA!$K$4:$L$51,2,FALSE),"")</f>
        <v/>
      </c>
      <c r="P110" s="80">
        <f t="shared" si="8"/>
        <v>0</v>
      </c>
      <c r="Q110" s="154">
        <f t="shared" si="9"/>
        <v>0</v>
      </c>
    </row>
    <row r="111" spans="2:17">
      <c r="B111" s="627">
        <f t="shared" si="5"/>
        <v>106</v>
      </c>
      <c r="C111" s="429">
        <v>43131</v>
      </c>
      <c r="D111" s="816" t="s">
        <v>2381</v>
      </c>
      <c r="E111" s="807">
        <v>110100</v>
      </c>
      <c r="F111" s="629" t="str">
        <f>IFERROR(VLOOKUP(E111,STAT1!$C$4:$D$1000,2,FALSE),"")</f>
        <v>Хаан Банк 5024654020</v>
      </c>
      <c r="G111" s="811"/>
      <c r="H111" s="811">
        <v>2000</v>
      </c>
      <c r="I111" s="580">
        <f t="shared" si="6"/>
        <v>-2000</v>
      </c>
      <c r="J111" s="961">
        <f t="shared" si="7"/>
        <v>0</v>
      </c>
      <c r="K111" s="80"/>
      <c r="L111" s="807">
        <v>2009</v>
      </c>
      <c r="M111" s="80" t="str">
        <f>+IFERROR(VLOOKUP(L111,DATA!$G$4:$H$2000,2,FALSE),"")</f>
        <v>ХААН БАНК</v>
      </c>
      <c r="N111" s="807">
        <v>59</v>
      </c>
      <c r="O111" s="80" t="str">
        <f>IFERROR(VLOOKUP(N111,DATA!$K$4:$L$51,2,FALSE),"")</f>
        <v>Бусад мөнгөн зарлага</v>
      </c>
      <c r="P111" s="80">
        <f t="shared" si="8"/>
        <v>1</v>
      </c>
      <c r="Q111" s="154">
        <f t="shared" si="9"/>
        <v>1</v>
      </c>
    </row>
    <row r="112" spans="2:17">
      <c r="B112" s="627">
        <f t="shared" si="5"/>
        <v>107</v>
      </c>
      <c r="C112" s="429">
        <v>43131</v>
      </c>
      <c r="D112" s="816" t="s">
        <v>2381</v>
      </c>
      <c r="E112" s="807">
        <v>704900</v>
      </c>
      <c r="F112" s="629" t="str">
        <f>IFERROR(VLOOKUP(E112,STAT1!$C$4:$D$1000,2,FALSE),"")</f>
        <v>Банкны үйлчилгээ</v>
      </c>
      <c r="G112" s="811">
        <v>2000</v>
      </c>
      <c r="H112" s="811"/>
      <c r="I112" s="580">
        <f t="shared" si="6"/>
        <v>0</v>
      </c>
      <c r="J112" s="961">
        <f t="shared" si="7"/>
        <v>0</v>
      </c>
      <c r="K112" s="80"/>
      <c r="L112" s="807">
        <v>2009</v>
      </c>
      <c r="M112" s="80" t="str">
        <f>+IFERROR(VLOOKUP(L112,DATA!$G$4:$H$2000,2,FALSE),"")</f>
        <v>ХААН БАНК</v>
      </c>
      <c r="N112" s="807"/>
      <c r="O112" s="80" t="str">
        <f>IFERROR(VLOOKUP(N112,DATA!$K$4:$L$51,2,FALSE),"")</f>
        <v/>
      </c>
      <c r="P112" s="80">
        <f t="shared" si="8"/>
        <v>0</v>
      </c>
      <c r="Q112" s="154">
        <f t="shared" si="9"/>
        <v>0</v>
      </c>
    </row>
    <row r="113" spans="2:17">
      <c r="B113" s="627">
        <f t="shared" si="5"/>
        <v>108</v>
      </c>
      <c r="C113" s="429">
        <v>43131</v>
      </c>
      <c r="D113" s="816" t="s">
        <v>2506</v>
      </c>
      <c r="E113" s="633">
        <v>110100</v>
      </c>
      <c r="F113" s="629" t="str">
        <f>IFERROR(VLOOKUP(E113,STAT1!$C$4:$D$1000,2,FALSE),"")</f>
        <v>Хаан Банк 5024654020</v>
      </c>
      <c r="G113" s="811"/>
      <c r="H113" s="811">
        <v>39600</v>
      </c>
      <c r="I113" s="580">
        <f t="shared" si="6"/>
        <v>-39600</v>
      </c>
      <c r="J113" s="961">
        <f t="shared" si="7"/>
        <v>0</v>
      </c>
      <c r="K113" s="80"/>
      <c r="L113" s="807">
        <v>2009</v>
      </c>
      <c r="M113" s="80" t="str">
        <f>+IFERROR(VLOOKUP(L113,DATA!$G$4:$H$2000,2,FALSE),"")</f>
        <v>ХААН БАНК</v>
      </c>
      <c r="N113" s="807">
        <v>56</v>
      </c>
      <c r="O113" s="80" t="str">
        <f>IFERROR(VLOOKUP(N113,DATA!$K$4:$L$51,2,FALSE),"")</f>
        <v>Хүүний төлбөрт төлсөн</v>
      </c>
      <c r="P113" s="80">
        <f t="shared" si="8"/>
        <v>1</v>
      </c>
      <c r="Q113" s="154">
        <f t="shared" si="9"/>
        <v>1</v>
      </c>
    </row>
    <row r="114" spans="2:17">
      <c r="B114" s="627">
        <f t="shared" si="5"/>
        <v>109</v>
      </c>
      <c r="C114" s="429">
        <v>43131</v>
      </c>
      <c r="D114" s="816" t="s">
        <v>2506</v>
      </c>
      <c r="E114" s="809">
        <v>702500</v>
      </c>
      <c r="F114" s="629" t="str">
        <f>IFERROR(VLOOKUP(E114,STAT1!$C$4:$D$1000,2,FALSE),"")</f>
        <v>Зээлийн хүүгийн зардал</v>
      </c>
      <c r="G114" s="811">
        <v>39600</v>
      </c>
      <c r="H114" s="811"/>
      <c r="I114" s="580">
        <f t="shared" si="6"/>
        <v>0</v>
      </c>
      <c r="J114" s="961">
        <f t="shared" si="7"/>
        <v>0</v>
      </c>
      <c r="K114" s="80"/>
      <c r="L114" s="807">
        <v>2009</v>
      </c>
      <c r="M114" s="80" t="str">
        <f>+IFERROR(VLOOKUP(L114,DATA!$G$4:$H$2000,2,FALSE),"")</f>
        <v>ХААН БАНК</v>
      </c>
      <c r="N114" s="807"/>
      <c r="O114" s="80" t="str">
        <f>IFERROR(VLOOKUP(N114,DATA!$K$4:$L$51,2,FALSE),"")</f>
        <v/>
      </c>
      <c r="P114" s="80">
        <f t="shared" si="8"/>
        <v>0</v>
      </c>
      <c r="Q114" s="154">
        <f t="shared" si="9"/>
        <v>0</v>
      </c>
    </row>
    <row r="115" spans="2:17">
      <c r="B115" s="627">
        <f t="shared" si="5"/>
        <v>110</v>
      </c>
      <c r="C115" s="429">
        <v>43131</v>
      </c>
      <c r="D115" s="850" t="s">
        <v>1505</v>
      </c>
      <c r="E115" s="807">
        <v>700200</v>
      </c>
      <c r="F115" s="629" t="str">
        <f>IFERROR(VLOOKUP(E115,STAT1!$C$4:$D$1000,2,FALSE),"")</f>
        <v>НДШимтгэл</v>
      </c>
      <c r="G115" s="811">
        <v>1845387.6956521736</v>
      </c>
      <c r="H115" s="811"/>
      <c r="I115" s="580">
        <f t="shared" si="6"/>
        <v>0</v>
      </c>
      <c r="J115" s="961">
        <f t="shared" si="7"/>
        <v>0</v>
      </c>
      <c r="K115" s="80"/>
      <c r="L115" s="807">
        <v>1005</v>
      </c>
      <c r="M115" s="80" t="str">
        <f>+IFERROR(VLOOKUP(L115,DATA!$G$4:$H$2000,2,FALSE),"")</f>
        <v>Золжаргал</v>
      </c>
      <c r="N115" s="807"/>
      <c r="O115" s="80" t="str">
        <f>IFERROR(VLOOKUP(N115,DATA!$K$4:$L$51,2,FALSE),"")</f>
        <v/>
      </c>
      <c r="P115" s="80">
        <f t="shared" si="8"/>
        <v>0</v>
      </c>
      <c r="Q115" s="154">
        <f t="shared" si="9"/>
        <v>0</v>
      </c>
    </row>
    <row r="116" spans="2:17">
      <c r="B116" s="627">
        <f t="shared" si="5"/>
        <v>111</v>
      </c>
      <c r="C116" s="429">
        <v>43131</v>
      </c>
      <c r="D116" s="850" t="s">
        <v>1505</v>
      </c>
      <c r="E116" s="807">
        <v>310800</v>
      </c>
      <c r="F116" s="629" t="str">
        <f>IFERROR(VLOOKUP(E116,STAT1!$C$4:$D$1000,2,FALSE),"")</f>
        <v>НД-ын байгууллагад өгөх өглөг</v>
      </c>
      <c r="G116" s="811"/>
      <c r="H116" s="811">
        <v>1845387.6956521736</v>
      </c>
      <c r="I116" s="580">
        <f t="shared" si="6"/>
        <v>0</v>
      </c>
      <c r="J116" s="961">
        <f t="shared" si="7"/>
        <v>0</v>
      </c>
      <c r="K116" s="80"/>
      <c r="L116" s="807">
        <v>1005</v>
      </c>
      <c r="M116" s="80" t="str">
        <f>+IFERROR(VLOOKUP(L116,DATA!$G$4:$H$2000,2,FALSE),"")</f>
        <v>Золжаргал</v>
      </c>
      <c r="N116" s="807"/>
      <c r="O116" s="80" t="str">
        <f>IFERROR(VLOOKUP(N116,DATA!$K$4:$L$51,2,FALSE),"")</f>
        <v/>
      </c>
      <c r="P116" s="80">
        <f t="shared" si="8"/>
        <v>0</v>
      </c>
      <c r="Q116" s="154">
        <f t="shared" si="9"/>
        <v>0</v>
      </c>
    </row>
    <row r="117" spans="2:17">
      <c r="B117" s="627">
        <f t="shared" si="5"/>
        <v>112</v>
      </c>
      <c r="C117" s="429">
        <v>43131</v>
      </c>
      <c r="D117" s="850" t="s">
        <v>1506</v>
      </c>
      <c r="E117" s="809">
        <v>310800</v>
      </c>
      <c r="F117" s="629" t="str">
        <f>IFERROR(VLOOKUP(E117,STAT1!$C$4:$D$1000,2,FALSE),"")</f>
        <v>НД-ын байгууллагад өгөх өглөг</v>
      </c>
      <c r="G117" s="811"/>
      <c r="H117" s="811">
        <v>1541959.4347826093</v>
      </c>
      <c r="I117" s="580">
        <f t="shared" si="6"/>
        <v>0</v>
      </c>
      <c r="J117" s="961">
        <f t="shared" si="7"/>
        <v>0</v>
      </c>
      <c r="K117" s="80"/>
      <c r="L117" s="807">
        <v>1005</v>
      </c>
      <c r="M117" s="80" t="str">
        <f>+IFERROR(VLOOKUP(L117,DATA!$G$4:$H$2000,2,FALSE),"")</f>
        <v>Золжаргал</v>
      </c>
      <c r="N117" s="807"/>
      <c r="O117" s="80" t="str">
        <f>IFERROR(VLOOKUP(N117,DATA!$K$4:$L$51,2,FALSE),"")</f>
        <v/>
      </c>
      <c r="P117" s="80">
        <f t="shared" si="8"/>
        <v>0</v>
      </c>
      <c r="Q117" s="154">
        <f t="shared" si="9"/>
        <v>0</v>
      </c>
    </row>
    <row r="118" spans="2:17">
      <c r="B118" s="627">
        <f t="shared" si="5"/>
        <v>113</v>
      </c>
      <c r="C118" s="429">
        <v>43131</v>
      </c>
      <c r="D118" s="850" t="s">
        <v>1507</v>
      </c>
      <c r="E118" s="809">
        <v>310700</v>
      </c>
      <c r="F118" s="629" t="str">
        <f>IFERROR(VLOOKUP(E118,STAT1!$C$4:$D$1000,2,FALSE),"")</f>
        <v>ХАОАТ өглөг</v>
      </c>
      <c r="G118" s="811"/>
      <c r="H118" s="811">
        <v>966612.02753623191</v>
      </c>
      <c r="I118" s="580">
        <f t="shared" si="6"/>
        <v>0</v>
      </c>
      <c r="J118" s="961">
        <f t="shared" si="7"/>
        <v>0</v>
      </c>
      <c r="K118" s="80"/>
      <c r="L118" s="807">
        <v>1005</v>
      </c>
      <c r="M118" s="80" t="str">
        <f>+IFERROR(VLOOKUP(L118,DATA!$G$4:$H$2000,2,FALSE),"")</f>
        <v>Золжаргал</v>
      </c>
      <c r="N118" s="807"/>
      <c r="O118" s="80" t="str">
        <f>IFERROR(VLOOKUP(N118,DATA!$K$4:$L$51,2,FALSE),"")</f>
        <v/>
      </c>
      <c r="P118" s="80">
        <f t="shared" si="8"/>
        <v>0</v>
      </c>
      <c r="Q118" s="154">
        <f t="shared" si="9"/>
        <v>0</v>
      </c>
    </row>
    <row r="119" spans="2:17">
      <c r="B119" s="627">
        <f t="shared" si="5"/>
        <v>114</v>
      </c>
      <c r="C119" s="429">
        <v>43131</v>
      </c>
      <c r="D119" s="850" t="s">
        <v>1508</v>
      </c>
      <c r="E119" s="807">
        <v>311000</v>
      </c>
      <c r="F119" s="629" t="str">
        <f>IFERROR(VLOOKUP(E119,STAT1!$C$4:$D$1000,2,FALSE),"")</f>
        <v>Цалингийн өглөг</v>
      </c>
      <c r="G119" s="811"/>
      <c r="H119" s="811">
        <v>11582841.58</v>
      </c>
      <c r="I119" s="580">
        <f t="shared" si="6"/>
        <v>0</v>
      </c>
      <c r="J119" s="961">
        <f t="shared" si="7"/>
        <v>0</v>
      </c>
      <c r="K119" s="80"/>
      <c r="L119" s="807">
        <v>1005</v>
      </c>
      <c r="M119" s="80" t="str">
        <f>+IFERROR(VLOOKUP(L119,DATA!$G$4:$H$2000,2,FALSE),"")</f>
        <v>Золжаргал</v>
      </c>
      <c r="N119" s="807"/>
      <c r="O119" s="80" t="str">
        <f>IFERROR(VLOOKUP(N119,DATA!$K$4:$L$51,2,FALSE),"")</f>
        <v/>
      </c>
      <c r="P119" s="80">
        <f t="shared" si="8"/>
        <v>0</v>
      </c>
      <c r="Q119" s="154">
        <f t="shared" si="9"/>
        <v>0</v>
      </c>
    </row>
    <row r="120" spans="2:17">
      <c r="B120" s="627">
        <f t="shared" si="5"/>
        <v>115</v>
      </c>
      <c r="C120" s="429">
        <v>43131</v>
      </c>
      <c r="D120" s="850" t="s">
        <v>2387</v>
      </c>
      <c r="E120" s="807">
        <v>700100</v>
      </c>
      <c r="F120" s="629" t="str">
        <f>IFERROR(VLOOKUP(E120,STAT1!$C$4:$D$1000,2,FALSE),"")</f>
        <v>Цалин хөлс, шагнал</v>
      </c>
      <c r="G120" s="811">
        <v>14091413.043478262</v>
      </c>
      <c r="H120" s="811"/>
      <c r="I120" s="580">
        <f t="shared" si="6"/>
        <v>0</v>
      </c>
      <c r="J120" s="961">
        <f t="shared" si="7"/>
        <v>0</v>
      </c>
      <c r="K120" s="80"/>
      <c r="L120" s="807">
        <v>1005</v>
      </c>
      <c r="M120" s="80" t="str">
        <f>+IFERROR(VLOOKUP(L120,DATA!$G$4:$H$2000,2,FALSE),"")</f>
        <v>Золжаргал</v>
      </c>
      <c r="N120" s="807"/>
      <c r="O120" s="80" t="str">
        <f>IFERROR(VLOOKUP(N120,DATA!$K$4:$L$51,2,FALSE),"")</f>
        <v/>
      </c>
      <c r="P120" s="80">
        <f t="shared" si="8"/>
        <v>0</v>
      </c>
      <c r="Q120" s="154">
        <f t="shared" si="9"/>
        <v>0</v>
      </c>
    </row>
    <row r="121" spans="2:17">
      <c r="B121" s="627">
        <f t="shared" si="5"/>
        <v>116</v>
      </c>
      <c r="C121" s="429">
        <v>43131</v>
      </c>
      <c r="D121" s="816" t="s">
        <v>2524</v>
      </c>
      <c r="E121" s="807">
        <v>100100</v>
      </c>
      <c r="F121" s="629" t="str">
        <f>IFERROR(VLOOKUP(E121,STAT1!$C$4:$D$1000,2,FALSE),"")</f>
        <v>Касс мөнгө MNT</v>
      </c>
      <c r="G121" s="811"/>
      <c r="H121" s="811">
        <v>11582841.58115942</v>
      </c>
      <c r="I121" s="580">
        <f t="shared" si="6"/>
        <v>-11582841.58115942</v>
      </c>
      <c r="J121" s="961">
        <f t="shared" si="7"/>
        <v>0</v>
      </c>
      <c r="K121" s="80"/>
      <c r="L121" s="807">
        <v>1005</v>
      </c>
      <c r="M121" s="80" t="str">
        <f>+IFERROR(VLOOKUP(L121,DATA!$G$4:$H$2000,2,FALSE),"")</f>
        <v>Золжаргал</v>
      </c>
      <c r="N121" s="807">
        <v>51</v>
      </c>
      <c r="O121" s="80" t="str">
        <f>IFERROR(VLOOKUP(N121,DATA!$K$4:$L$51,2,FALSE),"")</f>
        <v>Ажиллагчдад төлсөн</v>
      </c>
      <c r="P121" s="80">
        <f t="shared" si="8"/>
        <v>1</v>
      </c>
      <c r="Q121" s="154">
        <f t="shared" si="9"/>
        <v>1</v>
      </c>
    </row>
    <row r="122" spans="2:17">
      <c r="B122" s="627">
        <f t="shared" si="5"/>
        <v>117</v>
      </c>
      <c r="C122" s="429">
        <v>43131</v>
      </c>
      <c r="D122" s="816" t="s">
        <v>2524</v>
      </c>
      <c r="E122" s="807">
        <v>311000</v>
      </c>
      <c r="F122" s="629" t="str">
        <f>IFERROR(VLOOKUP(E122,STAT1!$C$4:$D$1000,2,FALSE),"")</f>
        <v>Цалингийн өглөг</v>
      </c>
      <c r="G122" s="811">
        <v>11582841.58</v>
      </c>
      <c r="H122" s="811"/>
      <c r="I122" s="580">
        <f t="shared" si="6"/>
        <v>0</v>
      </c>
      <c r="J122" s="961">
        <f t="shared" si="7"/>
        <v>0</v>
      </c>
      <c r="K122" s="80"/>
      <c r="L122" s="807">
        <v>1005</v>
      </c>
      <c r="M122" s="80" t="str">
        <f>+IFERROR(VLOOKUP(L122,DATA!$G$4:$H$2000,2,FALSE),"")</f>
        <v>Золжаргал</v>
      </c>
      <c r="N122" s="807"/>
      <c r="O122" s="80" t="str">
        <f>IFERROR(VLOOKUP(N122,DATA!$K$4:$L$51,2,FALSE),"")</f>
        <v/>
      </c>
      <c r="P122" s="80">
        <f t="shared" si="8"/>
        <v>0</v>
      </c>
      <c r="Q122" s="154">
        <f t="shared" si="9"/>
        <v>0</v>
      </c>
    </row>
    <row r="123" spans="2:17">
      <c r="B123" s="627">
        <f t="shared" si="5"/>
        <v>118</v>
      </c>
      <c r="C123" s="429">
        <v>43131</v>
      </c>
      <c r="D123" s="816" t="s">
        <v>2531</v>
      </c>
      <c r="E123" s="807">
        <v>150100</v>
      </c>
      <c r="F123" s="629" t="str">
        <f>IFERROR(VLOOKUP(E123,STAT1!$C$4:$D$1000,2,FALSE),"")</f>
        <v>Бараа бэлэн бүтээгдэхүүн ХАТААХ ЦЕХ /нарс/</v>
      </c>
      <c r="G123" s="811">
        <v>84319533.109999999</v>
      </c>
      <c r="H123" s="811"/>
      <c r="I123" s="580">
        <f t="shared" si="6"/>
        <v>0</v>
      </c>
      <c r="J123" s="961">
        <f t="shared" si="7"/>
        <v>0</v>
      </c>
      <c r="K123" s="80"/>
      <c r="L123" s="807">
        <v>1004</v>
      </c>
      <c r="M123" s="80" t="str">
        <f>+IFERROR(VLOOKUP(L123,DATA!$G$4:$H$2000,2,FALSE),"")</f>
        <v xml:space="preserve">Түмэндэлгэр </v>
      </c>
      <c r="N123" s="807"/>
      <c r="O123" s="80" t="str">
        <f>IFERROR(VLOOKUP(N123,DATA!$K$4:$L$51,2,FALSE),"")</f>
        <v/>
      </c>
      <c r="P123" s="80">
        <f t="shared" si="8"/>
        <v>0</v>
      </c>
      <c r="Q123" s="154">
        <f t="shared" si="9"/>
        <v>0</v>
      </c>
    </row>
    <row r="124" spans="2:17">
      <c r="B124" s="627">
        <f t="shared" si="5"/>
        <v>119</v>
      </c>
      <c r="C124" s="429">
        <v>43131</v>
      </c>
      <c r="D124" s="816" t="s">
        <v>2531</v>
      </c>
      <c r="E124" s="807">
        <v>140500</v>
      </c>
      <c r="F124" s="629" t="str">
        <f>IFERROR(VLOOKUP(E124,STAT1!$C$4:$D$1000,2,FALSE),"")</f>
        <v>Нэгтгэл зардал ХАТААХ ЦЕХ /нарс/</v>
      </c>
      <c r="G124" s="811"/>
      <c r="H124" s="811">
        <v>84319533.109999999</v>
      </c>
      <c r="I124" s="580">
        <f t="shared" si="6"/>
        <v>0</v>
      </c>
      <c r="J124" s="961">
        <f t="shared" si="7"/>
        <v>0</v>
      </c>
      <c r="K124" s="80"/>
      <c r="L124" s="807">
        <v>1004</v>
      </c>
      <c r="M124" s="80" t="str">
        <f>+IFERROR(VLOOKUP(L124,DATA!$G$4:$H$2000,2,FALSE),"")</f>
        <v xml:space="preserve">Түмэндэлгэр </v>
      </c>
      <c r="N124" s="807"/>
      <c r="O124" s="80" t="str">
        <f>IFERROR(VLOOKUP(N124,DATA!$K$4:$L$51,2,FALSE),"")</f>
        <v/>
      </c>
      <c r="P124" s="80">
        <f t="shared" si="8"/>
        <v>0</v>
      </c>
      <c r="Q124" s="154">
        <f t="shared" si="9"/>
        <v>0</v>
      </c>
    </row>
    <row r="125" spans="2:17">
      <c r="B125" s="627">
        <f t="shared" si="5"/>
        <v>120</v>
      </c>
      <c r="C125" s="429">
        <v>43131</v>
      </c>
      <c r="D125" s="816" t="s">
        <v>2534</v>
      </c>
      <c r="E125" s="807">
        <v>100100</v>
      </c>
      <c r="F125" s="629" t="str">
        <f>IFERROR(VLOOKUP(E125,STAT1!$C$4:$D$1000,2,FALSE),"")</f>
        <v>Касс мөнгө MNT</v>
      </c>
      <c r="G125" s="811"/>
      <c r="H125" s="811">
        <v>1500000</v>
      </c>
      <c r="I125" s="580">
        <f t="shared" si="6"/>
        <v>-1500000</v>
      </c>
      <c r="J125" s="961">
        <f t="shared" si="7"/>
        <v>0</v>
      </c>
      <c r="K125" s="80"/>
      <c r="L125" s="807">
        <v>2012</v>
      </c>
      <c r="M125" s="80" t="str">
        <f>+IFERROR(VLOOKUP(L125,DATA!$G$4:$H$2000,2,FALSE),"")</f>
        <v>ИХ ТУГЧ ХХК</v>
      </c>
      <c r="N125" s="807">
        <v>59</v>
      </c>
      <c r="O125" s="80" t="str">
        <f>IFERROR(VLOOKUP(N125,DATA!$K$4:$L$51,2,FALSE),"")</f>
        <v>Бусад мөнгөн зарлага</v>
      </c>
      <c r="P125" s="80">
        <f t="shared" si="8"/>
        <v>1</v>
      </c>
      <c r="Q125" s="154">
        <f t="shared" si="9"/>
        <v>1</v>
      </c>
    </row>
    <row r="126" spans="2:17">
      <c r="B126" s="627">
        <f t="shared" si="5"/>
        <v>121</v>
      </c>
      <c r="C126" s="429">
        <v>43131</v>
      </c>
      <c r="D126" s="816" t="s">
        <v>2534</v>
      </c>
      <c r="E126" s="807">
        <v>705800</v>
      </c>
      <c r="F126" s="629" t="str">
        <f>IFERROR(VLOOKUP(E126,STAT1!$C$4:$D$1000,2,FALSE),"")</f>
        <v>Харуул хамгаалалт</v>
      </c>
      <c r="G126" s="811">
        <v>1500000</v>
      </c>
      <c r="H126" s="811"/>
      <c r="I126" s="580">
        <f t="shared" si="6"/>
        <v>0</v>
      </c>
      <c r="J126" s="961">
        <f t="shared" si="7"/>
        <v>0</v>
      </c>
      <c r="K126" s="80"/>
      <c r="L126" s="807">
        <v>2012</v>
      </c>
      <c r="M126" s="80" t="str">
        <f>+IFERROR(VLOOKUP(L126,DATA!$G$4:$H$2000,2,FALSE),"")</f>
        <v>ИХ ТУГЧ ХХК</v>
      </c>
      <c r="N126" s="807"/>
      <c r="O126" s="80" t="str">
        <f>IFERROR(VLOOKUP(N126,DATA!$K$4:$L$51,2,FALSE),"")</f>
        <v/>
      </c>
      <c r="P126" s="80">
        <f t="shared" si="8"/>
        <v>0</v>
      </c>
      <c r="Q126" s="154">
        <f t="shared" si="9"/>
        <v>0</v>
      </c>
    </row>
    <row r="127" spans="2:17">
      <c r="B127" s="627">
        <f t="shared" si="5"/>
        <v>122</v>
      </c>
      <c r="C127" s="429">
        <v>43131</v>
      </c>
      <c r="D127" s="815" t="s">
        <v>2546</v>
      </c>
      <c r="E127" s="630">
        <v>150100</v>
      </c>
      <c r="F127" s="629" t="str">
        <f>IFERROR(VLOOKUP(E127,STAT1!$C$4:$D$1000,2,FALSE),"")</f>
        <v>Бараа бэлэн бүтээгдэхүүн ХАТААХ ЦЕХ /нарс/</v>
      </c>
      <c r="G127" s="376"/>
      <c r="H127" s="376">
        <v>82600293.549999997</v>
      </c>
      <c r="I127" s="580">
        <f t="shared" si="6"/>
        <v>0</v>
      </c>
      <c r="J127" s="961">
        <f t="shared" si="7"/>
        <v>0</v>
      </c>
      <c r="K127" s="428"/>
      <c r="L127" s="807">
        <v>1004</v>
      </c>
      <c r="M127" s="80" t="str">
        <f>+IFERROR(VLOOKUP(L127,DATA!$G$4:$H$2000,2,FALSE),"")</f>
        <v xml:space="preserve">Түмэндэлгэр </v>
      </c>
      <c r="N127" s="630"/>
      <c r="O127" s="80" t="str">
        <f>IFERROR(VLOOKUP(N127,DATA!$K$4:$L$51,2,FALSE),"")</f>
        <v/>
      </c>
      <c r="P127" s="80">
        <f t="shared" si="8"/>
        <v>0</v>
      </c>
      <c r="Q127" s="154">
        <f t="shared" si="9"/>
        <v>0</v>
      </c>
    </row>
    <row r="128" spans="2:17">
      <c r="B128" s="627">
        <f t="shared" si="5"/>
        <v>123</v>
      </c>
      <c r="C128" s="582">
        <v>43131</v>
      </c>
      <c r="D128" s="815" t="s">
        <v>2546</v>
      </c>
      <c r="E128" s="630">
        <v>140201</v>
      </c>
      <c r="F128" s="629" t="str">
        <f>IFERROR(VLOOKUP(E128,STAT1!$C$4:$D$1000,2,FALSE),"")</f>
        <v>ШМЗардал БОЛОВСРУУЛАХ ЦЕХ /нарс/</v>
      </c>
      <c r="G128" s="376">
        <v>82600293.549999997</v>
      </c>
      <c r="H128" s="376"/>
      <c r="I128" s="580">
        <f t="shared" si="6"/>
        <v>0</v>
      </c>
      <c r="J128" s="961">
        <f t="shared" si="7"/>
        <v>0</v>
      </c>
      <c r="K128" s="428"/>
      <c r="L128" s="807">
        <v>1004</v>
      </c>
      <c r="M128" s="80" t="str">
        <f>+IFERROR(VLOOKUP(L128,DATA!$G$4:$H$2000,2,FALSE),"")</f>
        <v xml:space="preserve">Түмэндэлгэр </v>
      </c>
      <c r="N128" s="630"/>
      <c r="O128" s="80" t="str">
        <f>IFERROR(VLOOKUP(N128,DATA!$K$4:$L$51,2,FALSE),"")</f>
        <v/>
      </c>
      <c r="P128" s="80">
        <f t="shared" si="8"/>
        <v>0</v>
      </c>
      <c r="Q128" s="154">
        <f t="shared" si="9"/>
        <v>0</v>
      </c>
    </row>
    <row r="129" spans="2:17">
      <c r="B129" s="627">
        <f t="shared" si="5"/>
        <v>124</v>
      </c>
      <c r="C129" s="429">
        <v>43133</v>
      </c>
      <c r="D129" s="816" t="s">
        <v>1571</v>
      </c>
      <c r="E129" s="807">
        <v>110100</v>
      </c>
      <c r="F129" s="629" t="str">
        <f>IFERROR(VLOOKUP(E129,STAT1!$C$4:$D$1000,2,FALSE),"")</f>
        <v>Хаан Банк 5024654020</v>
      </c>
      <c r="G129" s="811">
        <v>383040</v>
      </c>
      <c r="H129" s="811"/>
      <c r="I129" s="580">
        <f t="shared" si="6"/>
        <v>383040</v>
      </c>
      <c r="J129" s="961">
        <f t="shared" si="7"/>
        <v>0</v>
      </c>
      <c r="K129" s="80"/>
      <c r="L129" s="807">
        <v>3116</v>
      </c>
      <c r="M129" s="80" t="str">
        <f>+IFERROR(VLOOKUP(L129,DATA!$G$4:$H$2000,2,FALSE),"")</f>
        <v xml:space="preserve">ЮМИКА ХХК </v>
      </c>
      <c r="N129" s="807">
        <v>41</v>
      </c>
      <c r="O129" s="80" t="str">
        <f>IFERROR(VLOOKUP(N129,DATA!$K$4:$L$51,2,FALSE),"")</f>
        <v>Бараа борлуулсан, үйлчилгээ үзүүлсэний орлого</v>
      </c>
      <c r="P129" s="80">
        <f t="shared" si="8"/>
        <v>1</v>
      </c>
      <c r="Q129" s="154">
        <f t="shared" si="9"/>
        <v>1</v>
      </c>
    </row>
    <row r="130" spans="2:17">
      <c r="B130" s="627">
        <f t="shared" si="5"/>
        <v>125</v>
      </c>
      <c r="C130" s="429">
        <v>43133</v>
      </c>
      <c r="D130" s="816" t="s">
        <v>1571</v>
      </c>
      <c r="E130" s="807">
        <v>320100</v>
      </c>
      <c r="F130" s="629" t="str">
        <f>IFERROR(VLOOKUP(E130,STAT1!$C$4:$D$1000,2,FALSE),"")</f>
        <v>Урьдчилж орсон орлого MNT</v>
      </c>
      <c r="G130" s="811"/>
      <c r="H130" s="811">
        <v>383040</v>
      </c>
      <c r="I130" s="580">
        <f t="shared" si="6"/>
        <v>0</v>
      </c>
      <c r="J130" s="961">
        <f t="shared" si="7"/>
        <v>0</v>
      </c>
      <c r="K130" s="80"/>
      <c r="L130" s="807">
        <v>3116</v>
      </c>
      <c r="M130" s="80" t="str">
        <f>+IFERROR(VLOOKUP(L130,DATA!$G$4:$H$2000,2,FALSE),"")</f>
        <v xml:space="preserve">ЮМИКА ХХК </v>
      </c>
      <c r="N130" s="807"/>
      <c r="O130" s="80" t="str">
        <f>IFERROR(VLOOKUP(N130,DATA!$K$4:$L$51,2,FALSE),"")</f>
        <v/>
      </c>
      <c r="P130" s="80">
        <f t="shared" si="8"/>
        <v>0</v>
      </c>
      <c r="Q130" s="154">
        <f t="shared" si="9"/>
        <v>0</v>
      </c>
    </row>
    <row r="131" spans="2:17">
      <c r="B131" s="627">
        <f t="shared" si="5"/>
        <v>126</v>
      </c>
      <c r="C131" s="429">
        <v>43133</v>
      </c>
      <c r="D131" s="816" t="s">
        <v>2405</v>
      </c>
      <c r="E131" s="807">
        <v>140100</v>
      </c>
      <c r="F131" s="629" t="str">
        <f>IFERROR(VLOOKUP(E131,STAT1!$C$4:$D$1000,2,FALSE),"")</f>
        <v>Түүхий эд материал</v>
      </c>
      <c r="G131" s="811"/>
      <c r="H131" s="811">
        <v>35703104.289999999</v>
      </c>
      <c r="I131" s="580">
        <f t="shared" si="6"/>
        <v>0</v>
      </c>
      <c r="J131" s="961">
        <f t="shared" si="7"/>
        <v>0</v>
      </c>
      <c r="K131" s="80"/>
      <c r="L131" s="807">
        <v>1004</v>
      </c>
      <c r="M131" s="80" t="str">
        <f>+IFERROR(VLOOKUP(L131,DATA!$G$4:$H$2000,2,FALSE),"")</f>
        <v xml:space="preserve">Түмэндэлгэр </v>
      </c>
      <c r="N131" s="807"/>
      <c r="O131" s="80" t="str">
        <f>IFERROR(VLOOKUP(N131,DATA!$K$4:$L$51,2,FALSE),"")</f>
        <v/>
      </c>
      <c r="P131" s="80">
        <f t="shared" si="8"/>
        <v>0</v>
      </c>
      <c r="Q131" s="154">
        <f t="shared" si="9"/>
        <v>0</v>
      </c>
    </row>
    <row r="132" spans="2:17">
      <c r="B132" s="627">
        <f t="shared" si="5"/>
        <v>127</v>
      </c>
      <c r="C132" s="429">
        <v>43133</v>
      </c>
      <c r="D132" s="816" t="s">
        <v>2405</v>
      </c>
      <c r="E132" s="807">
        <v>140200</v>
      </c>
      <c r="F132" s="629" t="str">
        <f>IFERROR(VLOOKUP(E132,STAT1!$C$4:$D$1000,2,FALSE),"")</f>
        <v>ШМЗардал ХАТААХ ЦЕХ /нарс/</v>
      </c>
      <c r="G132" s="811">
        <v>35703104.289999999</v>
      </c>
      <c r="H132" s="811"/>
      <c r="I132" s="580">
        <f t="shared" si="6"/>
        <v>0</v>
      </c>
      <c r="J132" s="961">
        <f t="shared" si="7"/>
        <v>0</v>
      </c>
      <c r="K132" s="80"/>
      <c r="L132" s="807">
        <v>1004</v>
      </c>
      <c r="M132" s="80" t="str">
        <f>+IFERROR(VLOOKUP(L132,DATA!$G$4:$H$2000,2,FALSE),"")</f>
        <v xml:space="preserve">Түмэндэлгэр </v>
      </c>
      <c r="N132" s="807"/>
      <c r="O132" s="80" t="str">
        <f>IFERROR(VLOOKUP(N132,DATA!$K$4:$L$51,2,FALSE),"")</f>
        <v/>
      </c>
      <c r="P132" s="80">
        <f t="shared" si="8"/>
        <v>0</v>
      </c>
      <c r="Q132" s="154">
        <f t="shared" si="9"/>
        <v>0</v>
      </c>
    </row>
    <row r="133" spans="2:17">
      <c r="B133" s="627">
        <f t="shared" si="5"/>
        <v>128</v>
      </c>
      <c r="C133" s="429">
        <v>43133</v>
      </c>
      <c r="D133" s="816" t="s">
        <v>2549</v>
      </c>
      <c r="E133" s="807">
        <v>150101</v>
      </c>
      <c r="F133" s="629" t="str">
        <f>IFERROR(VLOOKUP(E133,STAT1!$C$4:$D$1000,2,FALSE),"")</f>
        <v>Бараа бэлэн бүтээгдэхүүн БОЛОВСРУУЛАХ ЦЕХ /нарс/</v>
      </c>
      <c r="G133" s="811"/>
      <c r="H133" s="811">
        <v>234911.4992029359</v>
      </c>
      <c r="I133" s="580">
        <f t="shared" si="6"/>
        <v>0</v>
      </c>
      <c r="J133" s="961">
        <f t="shared" si="7"/>
        <v>0</v>
      </c>
      <c r="K133" s="80"/>
      <c r="L133" s="807">
        <v>3116</v>
      </c>
      <c r="M133" s="80" t="str">
        <f>+IFERROR(VLOOKUP(L133,DATA!$G$4:$H$2000,2,FALSE),"")</f>
        <v xml:space="preserve">ЮМИКА ХХК </v>
      </c>
      <c r="N133" s="807"/>
      <c r="O133" s="80" t="str">
        <f>IFERROR(VLOOKUP(N133,DATA!$K$4:$L$51,2,FALSE),"")</f>
        <v/>
      </c>
      <c r="P133" s="80">
        <f t="shared" si="8"/>
        <v>0</v>
      </c>
      <c r="Q133" s="154">
        <f t="shared" si="9"/>
        <v>0</v>
      </c>
    </row>
    <row r="134" spans="2:17">
      <c r="B134" s="627">
        <f t="shared" ref="B134:B197" si="10">+IF(C134="","",ROW()-5)</f>
        <v>129</v>
      </c>
      <c r="C134" s="429">
        <v>43133</v>
      </c>
      <c r="D134" s="816" t="s">
        <v>2549</v>
      </c>
      <c r="E134" s="807">
        <v>610100</v>
      </c>
      <c r="F134" s="629" t="str">
        <f>IFERROR(VLOOKUP(E134,STAT1!$C$4:$D$1000,2,FALSE),"")</f>
        <v>Борлуулсан барааны өртөг</v>
      </c>
      <c r="G134" s="811">
        <v>234911.4992029359</v>
      </c>
      <c r="H134" s="811"/>
      <c r="I134" s="580">
        <f t="shared" ref="I134:I197" si="11">+IF(OR(E134=100100,E134=100200,E134=110100,E134=110102,E134=110103,E134=110104,E134=110105,E134=110200,E134=110201,E134=110202,E134=110203,E134=110204,E134=110300),G134,0)+IF(OR(E134=100100,E134=100200,E134=110100,E134=110102,E134=110103,E134=110104,E134=110105,E134=110200,E134=110201,E134=110202,E134=110203,E134=110204,E134=110300),H134*-1,0)</f>
        <v>0</v>
      </c>
      <c r="J134" s="961">
        <f t="shared" ref="J134:J197" si="12">+IF(E134=110102,I134/K134,0)</f>
        <v>0</v>
      </c>
      <c r="K134" s="80"/>
      <c r="L134" s="807">
        <v>3116</v>
      </c>
      <c r="M134" s="80" t="str">
        <f>+IFERROR(VLOOKUP(L134,DATA!$G$4:$H$2000,2,FALSE),"")</f>
        <v xml:space="preserve">ЮМИКА ХХК </v>
      </c>
      <c r="N134" s="807"/>
      <c r="O134" s="80" t="str">
        <f>IFERROR(VLOOKUP(N134,DATA!$K$4:$L$51,2,FALSE),"")</f>
        <v/>
      </c>
      <c r="P134" s="80">
        <f t="shared" ref="P134:P197" si="13">+IF(I134,1,0)</f>
        <v>0</v>
      </c>
      <c r="Q134" s="154">
        <f t="shared" ref="Q134:Q197" si="14">+IF(I134,1,0)</f>
        <v>0</v>
      </c>
    </row>
    <row r="135" spans="2:17">
      <c r="B135" s="627">
        <f t="shared" si="10"/>
        <v>130</v>
      </c>
      <c r="C135" s="429">
        <v>43133</v>
      </c>
      <c r="D135" s="816" t="s">
        <v>2549</v>
      </c>
      <c r="E135" s="807">
        <v>310500</v>
      </c>
      <c r="F135" s="629" t="str">
        <f>IFERROR(VLOOKUP(E135,STAT1!$C$4:$D$1000,2,FALSE),"")</f>
        <v>НӨАТ өглөг</v>
      </c>
      <c r="G135" s="811"/>
      <c r="H135" s="811">
        <v>34821.82</v>
      </c>
      <c r="I135" s="580">
        <f t="shared" si="11"/>
        <v>0</v>
      </c>
      <c r="J135" s="961">
        <f t="shared" si="12"/>
        <v>0</v>
      </c>
      <c r="K135" s="80"/>
      <c r="L135" s="807">
        <v>3116</v>
      </c>
      <c r="M135" s="80" t="str">
        <f>+IFERROR(VLOOKUP(L135,DATA!$G$4:$H$2000,2,FALSE),"")</f>
        <v xml:space="preserve">ЮМИКА ХХК </v>
      </c>
      <c r="N135" s="807"/>
      <c r="O135" s="80" t="str">
        <f>IFERROR(VLOOKUP(N135,DATA!$K$4:$L$51,2,FALSE),"")</f>
        <v/>
      </c>
      <c r="P135" s="80">
        <f t="shared" si="13"/>
        <v>0</v>
      </c>
      <c r="Q135" s="154">
        <f t="shared" si="14"/>
        <v>0</v>
      </c>
    </row>
    <row r="136" spans="2:17">
      <c r="B136" s="627">
        <f t="shared" si="10"/>
        <v>131</v>
      </c>
      <c r="C136" s="429">
        <v>43133</v>
      </c>
      <c r="D136" s="816" t="s">
        <v>2549</v>
      </c>
      <c r="E136" s="807">
        <v>510000</v>
      </c>
      <c r="F136" s="629" t="str">
        <f>IFERROR(VLOOKUP(E136,STAT1!$C$4:$D$1000,2,FALSE),"")</f>
        <v>Үндсэн үйл ажиллагааны борлуулалт</v>
      </c>
      <c r="G136" s="811"/>
      <c r="H136" s="811">
        <v>348218.18</v>
      </c>
      <c r="I136" s="580">
        <f t="shared" si="11"/>
        <v>0</v>
      </c>
      <c r="J136" s="961">
        <f t="shared" si="12"/>
        <v>0</v>
      </c>
      <c r="K136" s="80"/>
      <c r="L136" s="807">
        <v>3116</v>
      </c>
      <c r="M136" s="80" t="str">
        <f>+IFERROR(VLOOKUP(L136,DATA!$G$4:$H$2000,2,FALSE),"")</f>
        <v xml:space="preserve">ЮМИКА ХХК </v>
      </c>
      <c r="N136" s="807"/>
      <c r="O136" s="80" t="str">
        <f>IFERROR(VLOOKUP(N136,DATA!$K$4:$L$51,2,FALSE),"")</f>
        <v/>
      </c>
      <c r="P136" s="80">
        <f t="shared" si="13"/>
        <v>0</v>
      </c>
      <c r="Q136" s="154">
        <f t="shared" si="14"/>
        <v>0</v>
      </c>
    </row>
    <row r="137" spans="2:17">
      <c r="B137" s="627">
        <f t="shared" si="10"/>
        <v>132</v>
      </c>
      <c r="C137" s="429">
        <v>43133</v>
      </c>
      <c r="D137" s="816" t="s">
        <v>2549</v>
      </c>
      <c r="E137" s="807">
        <v>320100</v>
      </c>
      <c r="F137" s="629" t="str">
        <f>IFERROR(VLOOKUP(E137,STAT1!$C$4:$D$1000,2,FALSE),"")</f>
        <v>Урьдчилж орсон орлого MNT</v>
      </c>
      <c r="G137" s="811">
        <v>383040</v>
      </c>
      <c r="H137" s="811"/>
      <c r="I137" s="580">
        <f t="shared" si="11"/>
        <v>0</v>
      </c>
      <c r="J137" s="961">
        <f t="shared" si="12"/>
        <v>0</v>
      </c>
      <c r="K137" s="80"/>
      <c r="L137" s="807">
        <v>3116</v>
      </c>
      <c r="M137" s="80" t="str">
        <f>+IFERROR(VLOOKUP(L137,DATA!$G$4:$H$2000,2,FALSE),"")</f>
        <v xml:space="preserve">ЮМИКА ХХК </v>
      </c>
      <c r="N137" s="807"/>
      <c r="O137" s="80" t="str">
        <f>IFERROR(VLOOKUP(N137,DATA!$K$4:$L$51,2,FALSE),"")</f>
        <v/>
      </c>
      <c r="P137" s="80">
        <f t="shared" si="13"/>
        <v>0</v>
      </c>
      <c r="Q137" s="154">
        <f t="shared" si="14"/>
        <v>0</v>
      </c>
    </row>
    <row r="138" spans="2:17">
      <c r="B138" s="627">
        <f t="shared" si="10"/>
        <v>133</v>
      </c>
      <c r="C138" s="429">
        <v>43137</v>
      </c>
      <c r="D138" s="816" t="s">
        <v>2505</v>
      </c>
      <c r="E138" s="807">
        <v>100100</v>
      </c>
      <c r="F138" s="629" t="str">
        <f>IFERROR(VLOOKUP(E138,STAT1!$C$4:$D$1000,2,FALSE),"")</f>
        <v>Касс мөнгө MNT</v>
      </c>
      <c r="G138" s="811"/>
      <c r="H138" s="811">
        <v>10100000</v>
      </c>
      <c r="I138" s="580">
        <f t="shared" si="11"/>
        <v>-10100000</v>
      </c>
      <c r="J138" s="961">
        <f t="shared" si="12"/>
        <v>0</v>
      </c>
      <c r="K138" s="80"/>
      <c r="L138" s="807">
        <v>1004</v>
      </c>
      <c r="M138" s="80" t="str">
        <f>+IFERROR(VLOOKUP(L138,DATA!$G$4:$H$2000,2,FALSE),"")</f>
        <v xml:space="preserve">Түмэндэлгэр </v>
      </c>
      <c r="N138" s="807"/>
      <c r="O138" s="80" t="str">
        <f>IFERROR(VLOOKUP(N138,DATA!$K$4:$L$51,2,FALSE),"")</f>
        <v/>
      </c>
      <c r="P138" s="80">
        <f t="shared" si="13"/>
        <v>1</v>
      </c>
      <c r="Q138" s="154">
        <f t="shared" si="14"/>
        <v>1</v>
      </c>
    </row>
    <row r="139" spans="2:17">
      <c r="B139" s="627">
        <f t="shared" si="10"/>
        <v>134</v>
      </c>
      <c r="C139" s="429">
        <v>43137</v>
      </c>
      <c r="D139" s="816" t="s">
        <v>2505</v>
      </c>
      <c r="E139" s="807">
        <v>110100</v>
      </c>
      <c r="F139" s="629" t="str">
        <f>IFERROR(VLOOKUP(E139,STAT1!$C$4:$D$1000,2,FALSE),"")</f>
        <v>Хаан Банк 5024654020</v>
      </c>
      <c r="G139" s="811">
        <v>10100000</v>
      </c>
      <c r="H139" s="811"/>
      <c r="I139" s="580">
        <f t="shared" si="11"/>
        <v>10100000</v>
      </c>
      <c r="J139" s="961">
        <f t="shared" si="12"/>
        <v>0</v>
      </c>
      <c r="K139" s="80"/>
      <c r="L139" s="807">
        <v>1004</v>
      </c>
      <c r="M139" s="80" t="str">
        <f>+IFERROR(VLOOKUP(L139,DATA!$G$4:$H$2000,2,FALSE),"")</f>
        <v xml:space="preserve">Түмэндэлгэр </v>
      </c>
      <c r="N139" s="807"/>
      <c r="O139" s="80" t="str">
        <f>IFERROR(VLOOKUP(N139,DATA!$K$4:$L$51,2,FALSE),"")</f>
        <v/>
      </c>
      <c r="P139" s="80">
        <f t="shared" si="13"/>
        <v>1</v>
      </c>
      <c r="Q139" s="154">
        <f t="shared" si="14"/>
        <v>1</v>
      </c>
    </row>
    <row r="140" spans="2:17">
      <c r="B140" s="627">
        <f t="shared" si="10"/>
        <v>135</v>
      </c>
      <c r="C140" s="429">
        <v>43137</v>
      </c>
      <c r="D140" s="816" t="s">
        <v>2506</v>
      </c>
      <c r="E140" s="969">
        <v>110100</v>
      </c>
      <c r="F140" s="629" t="str">
        <f>IFERROR(VLOOKUP(E140,STAT1!$C$4:$D$1000,2,FALSE),"")</f>
        <v>Хаан Банк 5024654020</v>
      </c>
      <c r="G140" s="376"/>
      <c r="H140" s="376">
        <v>5420740</v>
      </c>
      <c r="I140" s="580">
        <f t="shared" si="11"/>
        <v>-5420740</v>
      </c>
      <c r="J140" s="961">
        <f t="shared" si="12"/>
        <v>0</v>
      </c>
      <c r="K140" s="428"/>
      <c r="L140" s="630">
        <v>2009</v>
      </c>
      <c r="M140" s="80" t="str">
        <f>+IFERROR(VLOOKUP(L140,DATA!$G$4:$H$2000,2,FALSE),"")</f>
        <v>ХААН БАНК</v>
      </c>
      <c r="N140" s="630">
        <v>91</v>
      </c>
      <c r="O140" s="80" t="str">
        <f>IFERROR(VLOOKUP(N140,DATA!$K$4:$L$51,2,FALSE),"")</f>
        <v>Зээл, өрийн үнэт цаасны төлбөрт төлсөн</v>
      </c>
      <c r="P140" s="80">
        <f t="shared" si="13"/>
        <v>1</v>
      </c>
      <c r="Q140" s="154">
        <f t="shared" si="14"/>
        <v>1</v>
      </c>
    </row>
    <row r="141" spans="2:17" ht="10.5" customHeight="1">
      <c r="B141" s="627">
        <f t="shared" si="10"/>
        <v>136</v>
      </c>
      <c r="C141" s="429">
        <v>43137</v>
      </c>
      <c r="D141" s="816" t="s">
        <v>2506</v>
      </c>
      <c r="E141" s="969">
        <v>310400</v>
      </c>
      <c r="F141" s="629" t="str">
        <f>IFERROR(VLOOKUP(E141,STAT1!$C$4:$D$1000,2,FALSE),"")</f>
        <v>Банкны богино хугацаат зээл MNT</v>
      </c>
      <c r="G141" s="376">
        <v>5420740</v>
      </c>
      <c r="H141" s="376"/>
      <c r="I141" s="580">
        <f t="shared" si="11"/>
        <v>0</v>
      </c>
      <c r="J141" s="961">
        <f t="shared" si="12"/>
        <v>0</v>
      </c>
      <c r="K141" s="428"/>
      <c r="L141" s="630">
        <v>2009</v>
      </c>
      <c r="M141" s="80" t="str">
        <f>+IFERROR(VLOOKUP(L141,DATA!$G$4:$H$2000,2,FALSE),"")</f>
        <v>ХААН БАНК</v>
      </c>
      <c r="N141" s="630"/>
      <c r="O141" s="80" t="str">
        <f>IFERROR(VLOOKUP(N141,DATA!$K$4:$L$51,2,FALSE),"")</f>
        <v/>
      </c>
      <c r="P141" s="80">
        <f t="shared" si="13"/>
        <v>0</v>
      </c>
      <c r="Q141" s="154">
        <f t="shared" si="14"/>
        <v>0</v>
      </c>
    </row>
    <row r="142" spans="2:17" ht="12" customHeight="1">
      <c r="B142" s="627">
        <f t="shared" si="10"/>
        <v>137</v>
      </c>
      <c r="C142" s="429">
        <v>43137</v>
      </c>
      <c r="D142" s="816" t="s">
        <v>2506</v>
      </c>
      <c r="E142" s="630">
        <v>110100</v>
      </c>
      <c r="F142" s="629" t="str">
        <f>IFERROR(VLOOKUP(E142,STAT1!$C$4:$D$1000,2,FALSE),"")</f>
        <v>Хаан Банк 5024654020</v>
      </c>
      <c r="G142" s="376"/>
      <c r="H142" s="376">
        <f>5878480-5420740</f>
        <v>457740</v>
      </c>
      <c r="I142" s="580">
        <f t="shared" si="11"/>
        <v>-457740</v>
      </c>
      <c r="J142" s="961">
        <f t="shared" si="12"/>
        <v>0</v>
      </c>
      <c r="K142" s="428"/>
      <c r="L142" s="630">
        <v>2009</v>
      </c>
      <c r="M142" s="80" t="str">
        <f>+IFERROR(VLOOKUP(L142,DATA!$G$4:$H$2000,2,FALSE),"")</f>
        <v>ХААН БАНК</v>
      </c>
      <c r="N142" s="630">
        <v>56</v>
      </c>
      <c r="O142" s="80" t="str">
        <f>IFERROR(VLOOKUP(N142,DATA!$K$4:$L$51,2,FALSE),"")</f>
        <v>Хүүний төлбөрт төлсөн</v>
      </c>
      <c r="P142" s="80">
        <f t="shared" si="13"/>
        <v>1</v>
      </c>
      <c r="Q142" s="154">
        <f t="shared" si="14"/>
        <v>1</v>
      </c>
    </row>
    <row r="143" spans="2:17">
      <c r="B143" s="627">
        <f t="shared" si="10"/>
        <v>138</v>
      </c>
      <c r="C143" s="429">
        <v>43137</v>
      </c>
      <c r="D143" s="816" t="s">
        <v>2506</v>
      </c>
      <c r="E143" s="807">
        <v>702500</v>
      </c>
      <c r="F143" s="629" t="str">
        <f>IFERROR(VLOOKUP(E143,STAT1!$C$4:$D$1000,2,FALSE),"")</f>
        <v>Зээлийн хүүгийн зардал</v>
      </c>
      <c r="G143" s="376">
        <f>5878480-5420740</f>
        <v>457740</v>
      </c>
      <c r="H143" s="811"/>
      <c r="I143" s="580">
        <f t="shared" si="11"/>
        <v>0</v>
      </c>
      <c r="J143" s="961">
        <f t="shared" si="12"/>
        <v>0</v>
      </c>
      <c r="K143" s="80"/>
      <c r="L143" s="630">
        <v>2009</v>
      </c>
      <c r="M143" s="80" t="str">
        <f>+IFERROR(VLOOKUP(L143,DATA!$G$4:$H$2000,2,FALSE),"")</f>
        <v>ХААН БАНК</v>
      </c>
      <c r="N143" s="807"/>
      <c r="O143" s="80" t="str">
        <f>IFERROR(VLOOKUP(N143,DATA!$K$4:$L$51,2,FALSE),"")</f>
        <v/>
      </c>
      <c r="P143" s="80">
        <f t="shared" si="13"/>
        <v>0</v>
      </c>
      <c r="Q143" s="154">
        <f t="shared" si="14"/>
        <v>0</v>
      </c>
    </row>
    <row r="144" spans="2:17">
      <c r="B144" s="627">
        <f t="shared" si="10"/>
        <v>139</v>
      </c>
      <c r="C144" s="429">
        <v>43137</v>
      </c>
      <c r="D144" s="816" t="s">
        <v>2379</v>
      </c>
      <c r="E144" s="807">
        <v>110100</v>
      </c>
      <c r="F144" s="629" t="str">
        <f>IFERROR(VLOOKUP(E144,STAT1!$C$4:$D$1000,2,FALSE),"")</f>
        <v>Хаан Банк 5024654020</v>
      </c>
      <c r="G144" s="811"/>
      <c r="H144" s="811">
        <v>3316830</v>
      </c>
      <c r="I144" s="580">
        <f t="shared" si="11"/>
        <v>-3316830</v>
      </c>
      <c r="J144" s="961">
        <f t="shared" si="12"/>
        <v>0</v>
      </c>
      <c r="K144" s="80"/>
      <c r="L144" s="630">
        <v>2009</v>
      </c>
      <c r="M144" s="80" t="str">
        <f>+IFERROR(VLOOKUP(L144,DATA!$G$4:$H$2000,2,FALSE),"")</f>
        <v>ХААН БАНК</v>
      </c>
      <c r="N144" s="807">
        <v>91</v>
      </c>
      <c r="O144" s="80" t="str">
        <f>IFERROR(VLOOKUP(N144,DATA!$K$4:$L$51,2,FALSE),"")</f>
        <v>Зээл, өрийн үнэт цаасны төлбөрт төлсөн</v>
      </c>
      <c r="P144" s="80">
        <f t="shared" si="13"/>
        <v>1</v>
      </c>
      <c r="Q144" s="154">
        <f t="shared" si="14"/>
        <v>1</v>
      </c>
    </row>
    <row r="145" spans="2:17">
      <c r="B145" s="627">
        <f t="shared" si="10"/>
        <v>140</v>
      </c>
      <c r="C145" s="429">
        <v>43137</v>
      </c>
      <c r="D145" s="816" t="s">
        <v>2379</v>
      </c>
      <c r="E145" s="807">
        <v>311100</v>
      </c>
      <c r="F145" s="629" t="str">
        <f>IFERROR(VLOOKUP(E145,STAT1!$C$4:$D$1000,2,FALSE),"")</f>
        <v xml:space="preserve">Бусад богино хугацаат өглөг </v>
      </c>
      <c r="G145" s="811">
        <v>3316830</v>
      </c>
      <c r="H145" s="811"/>
      <c r="I145" s="580">
        <f t="shared" si="11"/>
        <v>0</v>
      </c>
      <c r="J145" s="961">
        <f t="shared" si="12"/>
        <v>0</v>
      </c>
      <c r="K145" s="80"/>
      <c r="L145" s="630">
        <v>2009</v>
      </c>
      <c r="M145" s="80" t="str">
        <f>+IFERROR(VLOOKUP(L145,DATA!$G$4:$H$2000,2,FALSE),"")</f>
        <v>ХААН БАНК</v>
      </c>
      <c r="N145" s="807"/>
      <c r="O145" s="80" t="str">
        <f>IFERROR(VLOOKUP(N145,DATA!$K$4:$L$51,2,FALSE),"")</f>
        <v/>
      </c>
      <c r="P145" s="80">
        <f t="shared" si="13"/>
        <v>0</v>
      </c>
      <c r="Q145" s="154">
        <f t="shared" si="14"/>
        <v>0</v>
      </c>
    </row>
    <row r="146" spans="2:17">
      <c r="B146" s="627">
        <f t="shared" si="10"/>
        <v>141</v>
      </c>
      <c r="C146" s="429">
        <v>43137</v>
      </c>
      <c r="D146" s="816" t="s">
        <v>2379</v>
      </c>
      <c r="E146" s="807">
        <v>110100</v>
      </c>
      <c r="F146" s="629" t="str">
        <f>IFERROR(VLOOKUP(E146,STAT1!$C$4:$D$1000,2,FALSE),"")</f>
        <v>Хаан Банк 5024654020</v>
      </c>
      <c r="G146" s="811"/>
      <c r="H146" s="811">
        <f>4580000-3316830</f>
        <v>1263170</v>
      </c>
      <c r="I146" s="580">
        <f t="shared" si="11"/>
        <v>-1263170</v>
      </c>
      <c r="J146" s="961">
        <f t="shared" si="12"/>
        <v>0</v>
      </c>
      <c r="K146" s="80"/>
      <c r="L146" s="630">
        <v>2009</v>
      </c>
      <c r="M146" s="80" t="str">
        <f>+IFERROR(VLOOKUP(L146,DATA!$G$4:$H$2000,2,FALSE),"")</f>
        <v>ХААН БАНК</v>
      </c>
      <c r="N146" s="807">
        <v>56</v>
      </c>
      <c r="O146" s="80" t="str">
        <f>IFERROR(VLOOKUP(N146,DATA!$K$4:$L$51,2,FALSE),"")</f>
        <v>Хүүний төлбөрт төлсөн</v>
      </c>
      <c r="P146" s="80">
        <f t="shared" si="13"/>
        <v>1</v>
      </c>
      <c r="Q146" s="154">
        <f t="shared" si="14"/>
        <v>1</v>
      </c>
    </row>
    <row r="147" spans="2:17">
      <c r="B147" s="627">
        <f t="shared" si="10"/>
        <v>142</v>
      </c>
      <c r="C147" s="429">
        <v>43137</v>
      </c>
      <c r="D147" s="816" t="s">
        <v>2379</v>
      </c>
      <c r="E147" s="807">
        <v>702500</v>
      </c>
      <c r="F147" s="629" t="str">
        <f>IFERROR(VLOOKUP(E147,STAT1!$C$4:$D$1000,2,FALSE),"")</f>
        <v>Зээлийн хүүгийн зардал</v>
      </c>
      <c r="G147" s="811">
        <f>4580000-3316830</f>
        <v>1263170</v>
      </c>
      <c r="H147" s="811"/>
      <c r="I147" s="580">
        <f t="shared" si="11"/>
        <v>0</v>
      </c>
      <c r="J147" s="961">
        <f t="shared" si="12"/>
        <v>0</v>
      </c>
      <c r="K147" s="80"/>
      <c r="L147" s="630">
        <v>2009</v>
      </c>
      <c r="M147" s="80" t="str">
        <f>+IFERROR(VLOOKUP(L147,DATA!$G$4:$H$2000,2,FALSE),"")</f>
        <v>ХААН БАНК</v>
      </c>
      <c r="N147" s="807"/>
      <c r="O147" s="80" t="str">
        <f>IFERROR(VLOOKUP(N147,DATA!$K$4:$L$51,2,FALSE),"")</f>
        <v/>
      </c>
      <c r="P147" s="80">
        <f t="shared" si="13"/>
        <v>0</v>
      </c>
      <c r="Q147" s="154">
        <f t="shared" si="14"/>
        <v>0</v>
      </c>
    </row>
    <row r="148" spans="2:17">
      <c r="B148" s="627">
        <f t="shared" si="10"/>
        <v>143</v>
      </c>
      <c r="C148" s="429">
        <v>43138</v>
      </c>
      <c r="D148" s="816" t="s">
        <v>2376</v>
      </c>
      <c r="E148" s="807">
        <v>100100</v>
      </c>
      <c r="F148" s="629" t="str">
        <f>IFERROR(VLOOKUP(E148,STAT1!$C$4:$D$1000,2,FALSE),"")</f>
        <v>Касс мөнгө MNT</v>
      </c>
      <c r="G148" s="811"/>
      <c r="H148" s="811">
        <v>86650</v>
      </c>
      <c r="I148" s="580">
        <f t="shared" si="11"/>
        <v>-86650</v>
      </c>
      <c r="J148" s="961">
        <f t="shared" si="12"/>
        <v>0</v>
      </c>
      <c r="K148" s="80"/>
      <c r="L148" s="807">
        <v>1008</v>
      </c>
      <c r="M148" s="80" t="str">
        <f>+IFERROR(VLOOKUP(L148,DATA!$G$4:$H$2000,2,FALSE),"")</f>
        <v xml:space="preserve">Оюунтүлхүүр </v>
      </c>
      <c r="N148" s="807">
        <v>53</v>
      </c>
      <c r="O148" s="80" t="str">
        <f>IFERROR(VLOOKUP(N148,DATA!$K$4:$L$51,2,FALSE),"")</f>
        <v>Бараа материал худалдан авахад төлсөн</v>
      </c>
      <c r="P148" s="80">
        <f t="shared" si="13"/>
        <v>1</v>
      </c>
      <c r="Q148" s="154">
        <f t="shared" si="14"/>
        <v>1</v>
      </c>
    </row>
    <row r="149" spans="2:17">
      <c r="B149" s="627">
        <f t="shared" si="10"/>
        <v>144</v>
      </c>
      <c r="C149" s="429">
        <v>43138</v>
      </c>
      <c r="D149" s="816" t="s">
        <v>2376</v>
      </c>
      <c r="E149" s="807">
        <v>120600</v>
      </c>
      <c r="F149" s="629" t="str">
        <f>IFERROR(VLOOKUP(E149,STAT1!$C$4:$D$1000,2,FALSE),"")</f>
        <v>НӨАТ авлага</v>
      </c>
      <c r="G149" s="811">
        <v>7877.27</v>
      </c>
      <c r="H149" s="811"/>
      <c r="I149" s="580">
        <f t="shared" si="11"/>
        <v>0</v>
      </c>
      <c r="J149" s="961">
        <f t="shared" si="12"/>
        <v>0</v>
      </c>
      <c r="K149" s="80"/>
      <c r="L149" s="807">
        <v>1008</v>
      </c>
      <c r="M149" s="80" t="str">
        <f>+IFERROR(VLOOKUP(L149,DATA!$G$4:$H$2000,2,FALSE),"")</f>
        <v xml:space="preserve">Оюунтүлхүүр </v>
      </c>
      <c r="N149" s="807"/>
      <c r="O149" s="80" t="str">
        <f>IFERROR(VLOOKUP(N149,DATA!$K$4:$L$51,2,FALSE),"")</f>
        <v/>
      </c>
      <c r="P149" s="80">
        <f t="shared" si="13"/>
        <v>0</v>
      </c>
      <c r="Q149" s="154">
        <f t="shared" si="14"/>
        <v>0</v>
      </c>
    </row>
    <row r="150" spans="2:17">
      <c r="B150" s="627">
        <f t="shared" si="10"/>
        <v>145</v>
      </c>
      <c r="C150" s="429">
        <v>43138</v>
      </c>
      <c r="D150" s="816" t="s">
        <v>2376</v>
      </c>
      <c r="E150" s="807">
        <v>703700</v>
      </c>
      <c r="F150" s="629" t="str">
        <f>IFERROR(VLOOKUP(E150,STAT1!$C$4:$D$1000,2,FALSE),"")</f>
        <v>Бичиг хэргийн зардал</v>
      </c>
      <c r="G150" s="811">
        <v>78772.73</v>
      </c>
      <c r="H150" s="811"/>
      <c r="I150" s="580">
        <f t="shared" si="11"/>
        <v>0</v>
      </c>
      <c r="J150" s="961">
        <f t="shared" si="12"/>
        <v>0</v>
      </c>
      <c r="K150" s="80"/>
      <c r="L150" s="807">
        <v>1008</v>
      </c>
      <c r="M150" s="80" t="str">
        <f>+IFERROR(VLOOKUP(L150,DATA!$G$4:$H$2000,2,FALSE),"")</f>
        <v xml:space="preserve">Оюунтүлхүүр </v>
      </c>
      <c r="N150" s="807"/>
      <c r="O150" s="80" t="str">
        <f>IFERROR(VLOOKUP(N150,DATA!$K$4:$L$51,2,FALSE),"")</f>
        <v/>
      </c>
      <c r="P150" s="80">
        <f t="shared" si="13"/>
        <v>0</v>
      </c>
      <c r="Q150" s="154">
        <f t="shared" si="14"/>
        <v>0</v>
      </c>
    </row>
    <row r="151" spans="2:17">
      <c r="B151" s="627">
        <f t="shared" si="10"/>
        <v>146</v>
      </c>
      <c r="C151" s="429">
        <v>43138</v>
      </c>
      <c r="D151" s="816" t="s">
        <v>1570</v>
      </c>
      <c r="E151" s="807">
        <v>100100</v>
      </c>
      <c r="F151" s="629" t="str">
        <f>IFERROR(VLOOKUP(E151,STAT1!$C$4:$D$1000,2,FALSE),"")</f>
        <v>Касс мөнгө MNT</v>
      </c>
      <c r="G151" s="811"/>
      <c r="H151" s="811">
        <v>80000</v>
      </c>
      <c r="I151" s="580">
        <f t="shared" si="11"/>
        <v>-80000</v>
      </c>
      <c r="J151" s="961">
        <f t="shared" si="12"/>
        <v>0</v>
      </c>
      <c r="K151" s="80"/>
      <c r="L151" s="807">
        <v>1008</v>
      </c>
      <c r="M151" s="80" t="str">
        <f>+IFERROR(VLOOKUP(L151,DATA!$G$4:$H$2000,2,FALSE),"")</f>
        <v xml:space="preserve">Оюунтүлхүүр </v>
      </c>
      <c r="N151" s="807">
        <v>55</v>
      </c>
      <c r="O151" s="80" t="str">
        <f>IFERROR(VLOOKUP(N151,DATA!$K$4:$L$51,2,FALSE),"")</f>
        <v>Түлш, шатахуун, тээврийн хөлс, сэлбэг хэрэгсэлд төлсөн</v>
      </c>
      <c r="P151" s="80">
        <f t="shared" si="13"/>
        <v>1</v>
      </c>
      <c r="Q151" s="154">
        <f t="shared" si="14"/>
        <v>1</v>
      </c>
    </row>
    <row r="152" spans="2:17">
      <c r="B152" s="627">
        <f t="shared" si="10"/>
        <v>147</v>
      </c>
      <c r="C152" s="429">
        <v>43138</v>
      </c>
      <c r="D152" s="816" t="s">
        <v>1570</v>
      </c>
      <c r="E152" s="807">
        <v>120600</v>
      </c>
      <c r="F152" s="629" t="str">
        <f>IFERROR(VLOOKUP(E152,STAT1!$C$4:$D$1000,2,FALSE),"")</f>
        <v>НӨАТ авлага</v>
      </c>
      <c r="G152" s="811">
        <v>7272.73</v>
      </c>
      <c r="H152" s="811"/>
      <c r="I152" s="580">
        <f t="shared" si="11"/>
        <v>0</v>
      </c>
      <c r="J152" s="961">
        <f t="shared" si="12"/>
        <v>0</v>
      </c>
      <c r="K152" s="80"/>
      <c r="L152" s="807">
        <v>1008</v>
      </c>
      <c r="M152" s="80" t="str">
        <f>+IFERROR(VLOOKUP(L152,DATA!$G$4:$H$2000,2,FALSE),"")</f>
        <v xml:space="preserve">Оюунтүлхүүр </v>
      </c>
      <c r="N152" s="807"/>
      <c r="O152" s="80" t="str">
        <f>IFERROR(VLOOKUP(N152,DATA!$K$4:$L$51,2,FALSE),"")</f>
        <v/>
      </c>
      <c r="P152" s="80">
        <f t="shared" si="13"/>
        <v>0</v>
      </c>
      <c r="Q152" s="154">
        <f t="shared" si="14"/>
        <v>0</v>
      </c>
    </row>
    <row r="153" spans="2:17">
      <c r="B153" s="627">
        <f t="shared" si="10"/>
        <v>148</v>
      </c>
      <c r="C153" s="429">
        <v>43138</v>
      </c>
      <c r="D153" s="816" t="s">
        <v>1570</v>
      </c>
      <c r="E153" s="807">
        <v>702000</v>
      </c>
      <c r="F153" s="629" t="str">
        <f>IFERROR(VLOOKUP(E153,STAT1!$C$4:$D$1000,2,FALSE),"")</f>
        <v>Түлш, шатахуун</v>
      </c>
      <c r="G153" s="811">
        <v>72727.27</v>
      </c>
      <c r="H153" s="811"/>
      <c r="I153" s="580">
        <f t="shared" si="11"/>
        <v>0</v>
      </c>
      <c r="J153" s="961">
        <f t="shared" si="12"/>
        <v>0</v>
      </c>
      <c r="K153" s="80"/>
      <c r="L153" s="807">
        <v>1008</v>
      </c>
      <c r="M153" s="80" t="str">
        <f>+IFERROR(VLOOKUP(L153,DATA!$G$4:$H$2000,2,FALSE),"")</f>
        <v xml:space="preserve">Оюунтүлхүүр </v>
      </c>
      <c r="N153" s="807"/>
      <c r="O153" s="80" t="str">
        <f>IFERROR(VLOOKUP(N153,DATA!$K$4:$L$51,2,FALSE),"")</f>
        <v/>
      </c>
      <c r="P153" s="80">
        <f t="shared" si="13"/>
        <v>0</v>
      </c>
      <c r="Q153" s="154">
        <f t="shared" si="14"/>
        <v>0</v>
      </c>
    </row>
    <row r="154" spans="2:17">
      <c r="B154" s="627">
        <f t="shared" si="10"/>
        <v>149</v>
      </c>
      <c r="C154" s="429">
        <v>43144</v>
      </c>
      <c r="D154" s="816" t="s">
        <v>1570</v>
      </c>
      <c r="E154" s="807">
        <v>100100</v>
      </c>
      <c r="F154" s="629" t="str">
        <f>IFERROR(VLOOKUP(E154,STAT1!$C$4:$D$1000,2,FALSE),"")</f>
        <v>Касс мөнгө MNT</v>
      </c>
      <c r="G154" s="811"/>
      <c r="H154" s="811">
        <v>90000</v>
      </c>
      <c r="I154" s="580">
        <f t="shared" si="11"/>
        <v>-90000</v>
      </c>
      <c r="J154" s="961">
        <f t="shared" si="12"/>
        <v>0</v>
      </c>
      <c r="K154" s="80"/>
      <c r="L154" s="807">
        <v>1003</v>
      </c>
      <c r="M154" s="80" t="str">
        <f>+IFERROR(VLOOKUP(L154,DATA!$G$4:$H$2000,2,FALSE),"")</f>
        <v>Бахдамдэмбэрэл</v>
      </c>
      <c r="N154" s="807">
        <v>55</v>
      </c>
      <c r="O154" s="80" t="str">
        <f>IFERROR(VLOOKUP(N154,DATA!$K$4:$L$51,2,FALSE),"")</f>
        <v>Түлш, шатахуун, тээврийн хөлс, сэлбэг хэрэгсэлд төлсөн</v>
      </c>
      <c r="P154" s="80">
        <f t="shared" si="13"/>
        <v>1</v>
      </c>
      <c r="Q154" s="154">
        <f t="shared" si="14"/>
        <v>1</v>
      </c>
    </row>
    <row r="155" spans="2:17">
      <c r="B155" s="627">
        <f t="shared" si="10"/>
        <v>150</v>
      </c>
      <c r="C155" s="429">
        <v>43144</v>
      </c>
      <c r="D155" s="816" t="s">
        <v>1570</v>
      </c>
      <c r="E155" s="807">
        <v>120600</v>
      </c>
      <c r="F155" s="629" t="str">
        <f>IFERROR(VLOOKUP(E155,STAT1!$C$4:$D$1000,2,FALSE),"")</f>
        <v>НӨАТ авлага</v>
      </c>
      <c r="G155" s="811">
        <v>8181.82</v>
      </c>
      <c r="H155" s="811"/>
      <c r="I155" s="580">
        <f t="shared" si="11"/>
        <v>0</v>
      </c>
      <c r="J155" s="961">
        <f t="shared" si="12"/>
        <v>0</v>
      </c>
      <c r="K155" s="80"/>
      <c r="L155" s="807">
        <v>1003</v>
      </c>
      <c r="M155" s="80" t="str">
        <f>+IFERROR(VLOOKUP(L155,DATA!$G$4:$H$2000,2,FALSE),"")</f>
        <v>Бахдамдэмбэрэл</v>
      </c>
      <c r="N155" s="807"/>
      <c r="O155" s="80" t="str">
        <f>IFERROR(VLOOKUP(N155,DATA!$K$4:$L$51,2,FALSE),"")</f>
        <v/>
      </c>
      <c r="P155" s="80">
        <f t="shared" si="13"/>
        <v>0</v>
      </c>
      <c r="Q155" s="154">
        <f t="shared" si="14"/>
        <v>0</v>
      </c>
    </row>
    <row r="156" spans="2:17">
      <c r="B156" s="627">
        <f t="shared" si="10"/>
        <v>151</v>
      </c>
      <c r="C156" s="429">
        <v>43144</v>
      </c>
      <c r="D156" s="816" t="s">
        <v>1570</v>
      </c>
      <c r="E156" s="807">
        <v>702000</v>
      </c>
      <c r="F156" s="629" t="str">
        <f>IFERROR(VLOOKUP(E156,STAT1!$C$4:$D$1000,2,FALSE),"")</f>
        <v>Түлш, шатахуун</v>
      </c>
      <c r="G156" s="811">
        <v>81818.179999999993</v>
      </c>
      <c r="H156" s="811"/>
      <c r="I156" s="580">
        <f t="shared" si="11"/>
        <v>0</v>
      </c>
      <c r="J156" s="961">
        <f t="shared" si="12"/>
        <v>0</v>
      </c>
      <c r="K156" s="80"/>
      <c r="L156" s="807">
        <v>1003</v>
      </c>
      <c r="M156" s="80" t="str">
        <f>+IFERROR(VLOOKUP(L156,DATA!$G$4:$H$2000,2,FALSE),"")</f>
        <v>Бахдамдэмбэрэл</v>
      </c>
      <c r="N156" s="807"/>
      <c r="O156" s="80" t="str">
        <f>IFERROR(VLOOKUP(N156,DATA!$K$4:$L$51,2,FALSE),"")</f>
        <v/>
      </c>
      <c r="P156" s="80">
        <f t="shared" si="13"/>
        <v>0</v>
      </c>
      <c r="Q156" s="154">
        <f t="shared" si="14"/>
        <v>0</v>
      </c>
    </row>
    <row r="157" spans="2:17">
      <c r="B157" s="627">
        <f t="shared" si="10"/>
        <v>152</v>
      </c>
      <c r="C157" s="429">
        <v>43148</v>
      </c>
      <c r="D157" s="816" t="s">
        <v>2379</v>
      </c>
      <c r="E157" s="807">
        <v>110100</v>
      </c>
      <c r="F157" s="629" t="str">
        <f>IFERROR(VLOOKUP(E157,STAT1!$C$4:$D$1000,2,FALSE),"")</f>
        <v>Хаан Банк 5024654020</v>
      </c>
      <c r="G157" s="811"/>
      <c r="H157" s="811">
        <v>22560</v>
      </c>
      <c r="I157" s="580">
        <f t="shared" si="11"/>
        <v>-22560</v>
      </c>
      <c r="J157" s="961">
        <f t="shared" si="12"/>
        <v>0</v>
      </c>
      <c r="K157" s="80"/>
      <c r="L157" s="807">
        <v>2009</v>
      </c>
      <c r="M157" s="80" t="str">
        <f>+IFERROR(VLOOKUP(L157,DATA!$G$4:$H$2000,2,FALSE),"")</f>
        <v>ХААН БАНК</v>
      </c>
      <c r="N157" s="807">
        <v>56</v>
      </c>
      <c r="O157" s="80" t="str">
        <f>IFERROR(VLOOKUP(N157,DATA!$K$4:$L$51,2,FALSE),"")</f>
        <v>Хүүний төлбөрт төлсөн</v>
      </c>
      <c r="P157" s="80">
        <f t="shared" si="13"/>
        <v>1</v>
      </c>
      <c r="Q157" s="154">
        <f t="shared" si="14"/>
        <v>1</v>
      </c>
    </row>
    <row r="158" spans="2:17">
      <c r="B158" s="627">
        <f t="shared" si="10"/>
        <v>153</v>
      </c>
      <c r="C158" s="429">
        <v>43148</v>
      </c>
      <c r="D158" s="816" t="s">
        <v>2379</v>
      </c>
      <c r="E158" s="807">
        <v>702500</v>
      </c>
      <c r="F158" s="629" t="str">
        <f>IFERROR(VLOOKUP(E158,STAT1!$C$4:$D$1000,2,FALSE),"")</f>
        <v>Зээлийн хүүгийн зардал</v>
      </c>
      <c r="G158" s="811">
        <v>22560</v>
      </c>
      <c r="H158" s="811"/>
      <c r="I158" s="580">
        <f t="shared" si="11"/>
        <v>0</v>
      </c>
      <c r="J158" s="961">
        <f t="shared" si="12"/>
        <v>0</v>
      </c>
      <c r="K158" s="80"/>
      <c r="L158" s="807">
        <v>2009</v>
      </c>
      <c r="M158" s="80" t="str">
        <f>+IFERROR(VLOOKUP(L158,DATA!$G$4:$H$2000,2,FALSE),"")</f>
        <v>ХААН БАНК</v>
      </c>
      <c r="N158" s="807"/>
      <c r="O158" s="80" t="str">
        <f>IFERROR(VLOOKUP(N158,DATA!$K$4:$L$51,2,FALSE),"")</f>
        <v/>
      </c>
      <c r="P158" s="80">
        <f t="shared" si="13"/>
        <v>0</v>
      </c>
      <c r="Q158" s="154">
        <f t="shared" si="14"/>
        <v>0</v>
      </c>
    </row>
    <row r="159" spans="2:17">
      <c r="B159" s="627">
        <f t="shared" si="10"/>
        <v>154</v>
      </c>
      <c r="C159" s="429">
        <v>43150</v>
      </c>
      <c r="D159" s="815" t="s">
        <v>2377</v>
      </c>
      <c r="E159" s="630">
        <v>100100</v>
      </c>
      <c r="F159" s="629" t="str">
        <f>IFERROR(VLOOKUP(E159,STAT1!$C$4:$D$1000,2,FALSE),"")</f>
        <v>Касс мөнгө MNT</v>
      </c>
      <c r="G159" s="811"/>
      <c r="H159" s="811">
        <v>286000</v>
      </c>
      <c r="I159" s="580">
        <f t="shared" si="11"/>
        <v>-286000</v>
      </c>
      <c r="J159" s="961">
        <f t="shared" si="12"/>
        <v>0</v>
      </c>
      <c r="K159" s="80"/>
      <c r="L159" s="807">
        <v>1008</v>
      </c>
      <c r="M159" s="80" t="str">
        <f>+IFERROR(VLOOKUP(L159,DATA!$G$4:$H$2000,2,FALSE),"")</f>
        <v xml:space="preserve">Оюунтүлхүүр </v>
      </c>
      <c r="N159" s="807">
        <v>59</v>
      </c>
      <c r="O159" s="80" t="str">
        <f>IFERROR(VLOOKUP(N159,DATA!$K$4:$L$51,2,FALSE),"")</f>
        <v>Бусад мөнгөн зарлага</v>
      </c>
      <c r="P159" s="80">
        <f t="shared" si="13"/>
        <v>1</v>
      </c>
      <c r="Q159" s="154">
        <f t="shared" si="14"/>
        <v>1</v>
      </c>
    </row>
    <row r="160" spans="2:17">
      <c r="B160" s="627">
        <f t="shared" si="10"/>
        <v>155</v>
      </c>
      <c r="C160" s="429">
        <v>43150</v>
      </c>
      <c r="D160" s="815" t="s">
        <v>2377</v>
      </c>
      <c r="E160" s="630">
        <v>120600</v>
      </c>
      <c r="F160" s="629" t="str">
        <f>IFERROR(VLOOKUP(E160,STAT1!$C$4:$D$1000,2,FALSE),"")</f>
        <v>НӨАТ авлага</v>
      </c>
      <c r="G160" s="811">
        <v>26000</v>
      </c>
      <c r="H160" s="811"/>
      <c r="I160" s="580">
        <f t="shared" si="11"/>
        <v>0</v>
      </c>
      <c r="J160" s="961">
        <f t="shared" si="12"/>
        <v>0</v>
      </c>
      <c r="K160" s="80"/>
      <c r="L160" s="807">
        <v>1008</v>
      </c>
      <c r="M160" s="80" t="str">
        <f>+IFERROR(VLOOKUP(L160,DATA!$G$4:$H$2000,2,FALSE),"")</f>
        <v xml:space="preserve">Оюунтүлхүүр </v>
      </c>
      <c r="N160" s="807"/>
      <c r="O160" s="80" t="str">
        <f>IFERROR(VLOOKUP(N160,DATA!$K$4:$L$51,2,FALSE),"")</f>
        <v/>
      </c>
      <c r="P160" s="80">
        <f t="shared" si="13"/>
        <v>0</v>
      </c>
      <c r="Q160" s="154">
        <f t="shared" si="14"/>
        <v>0</v>
      </c>
    </row>
    <row r="161" spans="2:17">
      <c r="B161" s="627">
        <f t="shared" si="10"/>
        <v>156</v>
      </c>
      <c r="C161" s="429">
        <v>43150</v>
      </c>
      <c r="D161" s="815" t="s">
        <v>2377</v>
      </c>
      <c r="E161" s="630">
        <v>701900</v>
      </c>
      <c r="F161" s="629" t="str">
        <f>IFERROR(VLOOKUP(E161,STAT1!$C$4:$D$1000,2,FALSE),"")</f>
        <v>Харилцаа холбоо</v>
      </c>
      <c r="G161" s="811">
        <v>260000</v>
      </c>
      <c r="H161" s="811"/>
      <c r="I161" s="580">
        <f t="shared" si="11"/>
        <v>0</v>
      </c>
      <c r="J161" s="961">
        <f t="shared" si="12"/>
        <v>0</v>
      </c>
      <c r="K161" s="80"/>
      <c r="L161" s="807">
        <v>1008</v>
      </c>
      <c r="M161" s="80" t="str">
        <f>+IFERROR(VLOOKUP(L161,DATA!$G$4:$H$2000,2,FALSE),"")</f>
        <v xml:space="preserve">Оюунтүлхүүр </v>
      </c>
      <c r="N161" s="807"/>
      <c r="O161" s="80" t="str">
        <f>IFERROR(VLOOKUP(N161,DATA!$K$4:$L$51,2,FALSE),"")</f>
        <v/>
      </c>
      <c r="P161" s="80">
        <f t="shared" si="13"/>
        <v>0</v>
      </c>
      <c r="Q161" s="154">
        <f t="shared" si="14"/>
        <v>0</v>
      </c>
    </row>
    <row r="162" spans="2:17">
      <c r="B162" s="627">
        <f t="shared" si="10"/>
        <v>157</v>
      </c>
      <c r="C162" s="429">
        <v>43150</v>
      </c>
      <c r="D162" s="816" t="s">
        <v>1331</v>
      </c>
      <c r="E162" s="807">
        <v>100100</v>
      </c>
      <c r="F162" s="629" t="str">
        <f>IFERROR(VLOOKUP(E162,STAT1!$C$4:$D$1000,2,FALSE),"")</f>
        <v>Касс мөнгө MNT</v>
      </c>
      <c r="G162" s="811"/>
      <c r="H162" s="811">
        <v>67100</v>
      </c>
      <c r="I162" s="580">
        <f t="shared" si="11"/>
        <v>-67100</v>
      </c>
      <c r="J162" s="961">
        <f t="shared" si="12"/>
        <v>0</v>
      </c>
      <c r="K162" s="80"/>
      <c r="L162" s="807">
        <v>2006</v>
      </c>
      <c r="M162" s="80" t="str">
        <f>+IFERROR(VLOOKUP(L162,DATA!$G$4:$H$2000,2,FALSE),"")</f>
        <v xml:space="preserve">МЦХОЛБОО </v>
      </c>
      <c r="N162" s="807">
        <v>59</v>
      </c>
      <c r="O162" s="80" t="str">
        <f>IFERROR(VLOOKUP(N162,DATA!$K$4:$L$51,2,FALSE),"")</f>
        <v>Бусад мөнгөн зарлага</v>
      </c>
      <c r="P162" s="80">
        <f t="shared" si="13"/>
        <v>1</v>
      </c>
      <c r="Q162" s="154">
        <f t="shared" si="14"/>
        <v>1</v>
      </c>
    </row>
    <row r="163" spans="2:17">
      <c r="B163" s="627">
        <f t="shared" si="10"/>
        <v>158</v>
      </c>
      <c r="C163" s="429">
        <v>43150</v>
      </c>
      <c r="D163" s="816" t="s">
        <v>1331</v>
      </c>
      <c r="E163" s="807">
        <v>120600</v>
      </c>
      <c r="F163" s="629" t="str">
        <f>IFERROR(VLOOKUP(E163,STAT1!$C$4:$D$1000,2,FALSE),"")</f>
        <v>НӨАТ авлага</v>
      </c>
      <c r="G163" s="811">
        <v>6100</v>
      </c>
      <c r="H163" s="811"/>
      <c r="I163" s="580">
        <f t="shared" si="11"/>
        <v>0</v>
      </c>
      <c r="J163" s="961">
        <f t="shared" si="12"/>
        <v>0</v>
      </c>
      <c r="K163" s="80"/>
      <c r="L163" s="807">
        <v>2006</v>
      </c>
      <c r="M163" s="80" t="str">
        <f>+IFERROR(VLOOKUP(L163,DATA!$G$4:$H$2000,2,FALSE),"")</f>
        <v xml:space="preserve">МЦХОЛБОО </v>
      </c>
      <c r="N163" s="807"/>
      <c r="O163" s="80" t="str">
        <f>IFERROR(VLOOKUP(N163,DATA!$K$4:$L$51,2,FALSE),"")</f>
        <v/>
      </c>
      <c r="P163" s="80">
        <f t="shared" si="13"/>
        <v>0</v>
      </c>
      <c r="Q163" s="154">
        <f t="shared" si="14"/>
        <v>0</v>
      </c>
    </row>
    <row r="164" spans="2:17">
      <c r="B164" s="627">
        <f t="shared" si="10"/>
        <v>159</v>
      </c>
      <c r="C164" s="429">
        <v>43150</v>
      </c>
      <c r="D164" s="816" t="s">
        <v>1331</v>
      </c>
      <c r="E164" s="630">
        <v>701900</v>
      </c>
      <c r="F164" s="629" t="str">
        <f>IFERROR(VLOOKUP(E164,STAT1!$C$4:$D$1000,2,FALSE),"")</f>
        <v>Харилцаа холбоо</v>
      </c>
      <c r="G164" s="811">
        <v>61000</v>
      </c>
      <c r="H164" s="811"/>
      <c r="I164" s="580">
        <f t="shared" si="11"/>
        <v>0</v>
      </c>
      <c r="J164" s="961">
        <f t="shared" si="12"/>
        <v>0</v>
      </c>
      <c r="K164" s="80"/>
      <c r="L164" s="807">
        <v>2006</v>
      </c>
      <c r="M164" s="80" t="str">
        <f>+IFERROR(VLOOKUP(L164,DATA!$G$4:$H$2000,2,FALSE),"")</f>
        <v xml:space="preserve">МЦХОЛБОО </v>
      </c>
      <c r="N164" s="807"/>
      <c r="O164" s="80" t="str">
        <f>IFERROR(VLOOKUP(N164,DATA!$K$4:$L$51,2,FALSE),"")</f>
        <v/>
      </c>
      <c r="P164" s="80">
        <f t="shared" si="13"/>
        <v>0</v>
      </c>
      <c r="Q164" s="154">
        <f t="shared" si="14"/>
        <v>0</v>
      </c>
    </row>
    <row r="165" spans="2:17">
      <c r="B165" s="627">
        <f t="shared" si="10"/>
        <v>160</v>
      </c>
      <c r="C165" s="429">
        <v>43151</v>
      </c>
      <c r="D165" s="816" t="s">
        <v>2503</v>
      </c>
      <c r="E165" s="630">
        <v>100100</v>
      </c>
      <c r="F165" s="629" t="str">
        <f>IFERROR(VLOOKUP(E165,STAT1!$C$4:$D$1000,2,FALSE),"")</f>
        <v>Касс мөнгө MNT</v>
      </c>
      <c r="G165" s="811"/>
      <c r="H165" s="811">
        <v>163770</v>
      </c>
      <c r="I165" s="580">
        <f t="shared" si="11"/>
        <v>-163770</v>
      </c>
      <c r="J165" s="961">
        <f t="shared" si="12"/>
        <v>0</v>
      </c>
      <c r="K165" s="80"/>
      <c r="L165" s="807">
        <v>1008</v>
      </c>
      <c r="M165" s="80" t="str">
        <f>+IFERROR(VLOOKUP(L165,DATA!$G$4:$H$2000,2,FALSE),"")</f>
        <v xml:space="preserve">Оюунтүлхүүр </v>
      </c>
      <c r="N165" s="807">
        <v>53</v>
      </c>
      <c r="O165" s="80" t="str">
        <f>IFERROR(VLOOKUP(N165,DATA!$K$4:$L$51,2,FALSE),"")</f>
        <v>Бараа материал худалдан авахад төлсөн</v>
      </c>
      <c r="P165" s="80">
        <f t="shared" si="13"/>
        <v>1</v>
      </c>
      <c r="Q165" s="154">
        <f t="shared" si="14"/>
        <v>1</v>
      </c>
    </row>
    <row r="166" spans="2:17">
      <c r="B166" s="627">
        <f t="shared" si="10"/>
        <v>161</v>
      </c>
      <c r="C166" s="429">
        <v>43151</v>
      </c>
      <c r="D166" s="816" t="s">
        <v>2503</v>
      </c>
      <c r="E166" s="630">
        <v>120100</v>
      </c>
      <c r="F166" s="629" t="str">
        <f>IFERROR(VLOOKUP(E166,STAT1!$C$4:$D$1000,2,FALSE),"")</f>
        <v xml:space="preserve">Дансны авлага MNT </v>
      </c>
      <c r="G166" s="811">
        <v>163770</v>
      </c>
      <c r="H166" s="811"/>
      <c r="I166" s="580">
        <f t="shared" si="11"/>
        <v>0</v>
      </c>
      <c r="J166" s="961">
        <f t="shared" si="12"/>
        <v>0</v>
      </c>
      <c r="K166" s="80"/>
      <c r="L166" s="807">
        <v>1008</v>
      </c>
      <c r="M166" s="80" t="str">
        <f>+IFERROR(VLOOKUP(L166,DATA!$G$4:$H$2000,2,FALSE),"")</f>
        <v xml:space="preserve">Оюунтүлхүүр </v>
      </c>
      <c r="N166" s="807"/>
      <c r="O166" s="80" t="str">
        <f>IFERROR(VLOOKUP(N166,DATA!$K$4:$L$51,2,FALSE),"")</f>
        <v/>
      </c>
      <c r="P166" s="80">
        <f t="shared" si="13"/>
        <v>0</v>
      </c>
      <c r="Q166" s="154">
        <f t="shared" si="14"/>
        <v>0</v>
      </c>
    </row>
    <row r="167" spans="2:17">
      <c r="B167" s="627">
        <f t="shared" si="10"/>
        <v>162</v>
      </c>
      <c r="C167" s="429">
        <v>43151</v>
      </c>
      <c r="D167" s="816" t="s">
        <v>2549</v>
      </c>
      <c r="E167" s="807">
        <v>160100</v>
      </c>
      <c r="F167" s="629" t="str">
        <f>IFERROR(VLOOKUP(E167,STAT1!$C$4:$D$1000,2,FALSE),"")</f>
        <v xml:space="preserve">Барилгын материал </v>
      </c>
      <c r="G167" s="811">
        <v>148881.82</v>
      </c>
      <c r="H167" s="811"/>
      <c r="I167" s="580">
        <f t="shared" si="11"/>
        <v>0</v>
      </c>
      <c r="J167" s="961">
        <f t="shared" si="12"/>
        <v>0</v>
      </c>
      <c r="K167" s="80"/>
      <c r="L167" s="807">
        <v>1008</v>
      </c>
      <c r="M167" s="80" t="str">
        <f>+IFERROR(VLOOKUP(L167,DATA!$G$4:$H$2000,2,FALSE),"")</f>
        <v xml:space="preserve">Оюунтүлхүүр </v>
      </c>
      <c r="N167" s="807"/>
      <c r="O167" s="80"/>
      <c r="P167" s="80">
        <f t="shared" si="13"/>
        <v>0</v>
      </c>
      <c r="Q167" s="154">
        <f t="shared" si="14"/>
        <v>0</v>
      </c>
    </row>
    <row r="168" spans="2:17" ht="13.5" customHeight="1">
      <c r="B168" s="627">
        <f t="shared" si="10"/>
        <v>163</v>
      </c>
      <c r="C168" s="429">
        <v>43151</v>
      </c>
      <c r="D168" s="816" t="s">
        <v>2549</v>
      </c>
      <c r="E168" s="807">
        <v>120600</v>
      </c>
      <c r="F168" s="629" t="str">
        <f>IFERROR(VLOOKUP(E168,STAT1!$C$4:$D$1000,2,FALSE),"")</f>
        <v>НӨАТ авлага</v>
      </c>
      <c r="G168" s="811">
        <v>14888.18</v>
      </c>
      <c r="H168" s="811"/>
      <c r="I168" s="580">
        <f t="shared" si="11"/>
        <v>0</v>
      </c>
      <c r="J168" s="961">
        <f t="shared" si="12"/>
        <v>0</v>
      </c>
      <c r="K168" s="80"/>
      <c r="L168" s="807">
        <v>1008</v>
      </c>
      <c r="M168" s="80" t="str">
        <f>+IFERROR(VLOOKUP(L168,DATA!$G$4:$H$2000,2,FALSE),"")</f>
        <v xml:space="preserve">Оюунтүлхүүр </v>
      </c>
      <c r="N168" s="807"/>
      <c r="O168" s="80" t="str">
        <f>IFERROR(VLOOKUP(N168,DATA!$K$4:$L$51,2,FALSE),"")</f>
        <v/>
      </c>
      <c r="P168" s="80">
        <f t="shared" si="13"/>
        <v>0</v>
      </c>
      <c r="Q168" s="154">
        <f t="shared" si="14"/>
        <v>0</v>
      </c>
    </row>
    <row r="169" spans="2:17">
      <c r="B169" s="627">
        <f t="shared" si="10"/>
        <v>164</v>
      </c>
      <c r="C169" s="429">
        <v>43151</v>
      </c>
      <c r="D169" s="816" t="s">
        <v>2549</v>
      </c>
      <c r="E169" s="807">
        <v>120100</v>
      </c>
      <c r="F169" s="629" t="str">
        <f>IFERROR(VLOOKUP(E169,STAT1!$C$4:$D$1000,2,FALSE),"")</f>
        <v xml:space="preserve">Дансны авлага MNT </v>
      </c>
      <c r="G169" s="811"/>
      <c r="H169" s="811">
        <v>163770</v>
      </c>
      <c r="I169" s="580">
        <f t="shared" si="11"/>
        <v>0</v>
      </c>
      <c r="J169" s="961">
        <f t="shared" si="12"/>
        <v>0</v>
      </c>
      <c r="K169" s="80"/>
      <c r="L169" s="807">
        <v>1008</v>
      </c>
      <c r="M169" s="80" t="str">
        <f>+IFERROR(VLOOKUP(L169,DATA!$G$4:$H$2000,2,FALSE),"")</f>
        <v xml:space="preserve">Оюунтүлхүүр </v>
      </c>
      <c r="N169" s="807"/>
      <c r="O169" s="80" t="str">
        <f>IFERROR(VLOOKUP(N169,DATA!$K$4:$L$51,2,FALSE),"")</f>
        <v/>
      </c>
      <c r="P169" s="80">
        <f t="shared" si="13"/>
        <v>0</v>
      </c>
      <c r="Q169" s="154">
        <f t="shared" si="14"/>
        <v>0</v>
      </c>
    </row>
    <row r="170" spans="2:17">
      <c r="B170" s="627">
        <f t="shared" si="10"/>
        <v>165</v>
      </c>
      <c r="C170" s="429">
        <v>43152</v>
      </c>
      <c r="D170" s="816" t="s">
        <v>2505</v>
      </c>
      <c r="E170" s="807">
        <v>100100</v>
      </c>
      <c r="F170" s="629" t="str">
        <f>IFERROR(VLOOKUP(E170,STAT1!$C$4:$D$1000,2,FALSE),"")</f>
        <v>Касс мөнгө MNT</v>
      </c>
      <c r="G170" s="811"/>
      <c r="H170" s="811">
        <v>10000000</v>
      </c>
      <c r="I170" s="580">
        <f t="shared" si="11"/>
        <v>-10000000</v>
      </c>
      <c r="J170" s="961">
        <f t="shared" si="12"/>
        <v>0</v>
      </c>
      <c r="K170" s="80"/>
      <c r="L170" s="807">
        <v>1004</v>
      </c>
      <c r="M170" s="80" t="str">
        <f>+IFERROR(VLOOKUP(L170,DATA!$G$4:$H$2000,2,FALSE),"")</f>
        <v xml:space="preserve">Түмэндэлгэр </v>
      </c>
      <c r="N170" s="807"/>
      <c r="O170" s="80" t="str">
        <f>IFERROR(VLOOKUP(N170,DATA!$K$4:$L$51,2,FALSE),"")</f>
        <v/>
      </c>
      <c r="P170" s="80">
        <f t="shared" si="13"/>
        <v>1</v>
      </c>
      <c r="Q170" s="154">
        <f t="shared" si="14"/>
        <v>1</v>
      </c>
    </row>
    <row r="171" spans="2:17">
      <c r="B171" s="627">
        <f t="shared" si="10"/>
        <v>166</v>
      </c>
      <c r="C171" s="429">
        <v>43152</v>
      </c>
      <c r="D171" s="816" t="s">
        <v>2505</v>
      </c>
      <c r="E171" s="807">
        <v>110100</v>
      </c>
      <c r="F171" s="629" t="str">
        <f>IFERROR(VLOOKUP(E171,STAT1!$C$4:$D$1000,2,FALSE),"")</f>
        <v>Хаан Банк 5024654020</v>
      </c>
      <c r="G171" s="811">
        <v>10000000</v>
      </c>
      <c r="H171" s="811"/>
      <c r="I171" s="580">
        <f t="shared" si="11"/>
        <v>10000000</v>
      </c>
      <c r="J171" s="961">
        <f t="shared" si="12"/>
        <v>0</v>
      </c>
      <c r="K171" s="80"/>
      <c r="L171" s="807">
        <v>1004</v>
      </c>
      <c r="M171" s="80" t="str">
        <f>+IFERROR(VLOOKUP(L171,DATA!$G$4:$H$2000,2,FALSE),"")</f>
        <v xml:space="preserve">Түмэндэлгэр </v>
      </c>
      <c r="N171" s="807"/>
      <c r="O171" s="80" t="str">
        <f>IFERROR(VLOOKUP(N171,DATA!$K$4:$L$51,2,FALSE),"")</f>
        <v/>
      </c>
      <c r="P171" s="80">
        <f t="shared" si="13"/>
        <v>1</v>
      </c>
      <c r="Q171" s="154">
        <f t="shared" si="14"/>
        <v>1</v>
      </c>
    </row>
    <row r="172" spans="2:17">
      <c r="B172" s="627">
        <f t="shared" si="10"/>
        <v>167</v>
      </c>
      <c r="C172" s="429">
        <v>43152</v>
      </c>
      <c r="D172" s="816" t="s">
        <v>1572</v>
      </c>
      <c r="E172" s="807">
        <v>100100</v>
      </c>
      <c r="F172" s="629" t="str">
        <f>IFERROR(VLOOKUP(E172,STAT1!$C$4:$D$1000,2,FALSE),"")</f>
        <v>Касс мөнгө MNT</v>
      </c>
      <c r="G172" s="811"/>
      <c r="H172" s="811">
        <v>4348678</v>
      </c>
      <c r="I172" s="580">
        <f t="shared" si="11"/>
        <v>-4348678</v>
      </c>
      <c r="J172" s="961">
        <f t="shared" si="12"/>
        <v>0</v>
      </c>
      <c r="K172" s="80"/>
      <c r="L172" s="807">
        <v>2013</v>
      </c>
      <c r="M172" s="80" t="str">
        <f>+IFERROR(VLOOKUP(L172,DATA!$G$4:$H$2000,2,FALSE),"")</f>
        <v>УБДС ТӨХК</v>
      </c>
      <c r="N172" s="807">
        <v>54</v>
      </c>
      <c r="O172" s="80" t="str">
        <f>IFERROR(VLOOKUP(N172,DATA!$K$4:$L$51,2,FALSE),"")</f>
        <v>Ашиглалтын зардалд төлсөн</v>
      </c>
      <c r="P172" s="80">
        <f t="shared" si="13"/>
        <v>1</v>
      </c>
      <c r="Q172" s="154">
        <f t="shared" si="14"/>
        <v>1</v>
      </c>
    </row>
    <row r="173" spans="2:17">
      <c r="B173" s="627">
        <f t="shared" si="10"/>
        <v>168</v>
      </c>
      <c r="C173" s="429">
        <v>43152</v>
      </c>
      <c r="D173" s="816" t="s">
        <v>1572</v>
      </c>
      <c r="E173" s="807">
        <v>120600</v>
      </c>
      <c r="F173" s="629" t="str">
        <f>IFERROR(VLOOKUP(E173,STAT1!$C$4:$D$1000,2,FALSE),"")</f>
        <v>НӨАТ авлага</v>
      </c>
      <c r="G173" s="811">
        <v>395334.36</v>
      </c>
      <c r="H173" s="811"/>
      <c r="I173" s="580">
        <f t="shared" si="11"/>
        <v>0</v>
      </c>
      <c r="J173" s="961">
        <f t="shared" si="12"/>
        <v>0</v>
      </c>
      <c r="K173" s="80"/>
      <c r="L173" s="807">
        <v>2013</v>
      </c>
      <c r="M173" s="80" t="str">
        <f>+IFERROR(VLOOKUP(L173,DATA!$G$4:$H$2000,2,FALSE),"")</f>
        <v>УБДС ТӨХК</v>
      </c>
      <c r="N173" s="807"/>
      <c r="O173" s="80" t="str">
        <f>IFERROR(VLOOKUP(N173,DATA!$K$4:$L$51,2,FALSE),"")</f>
        <v/>
      </c>
      <c r="P173" s="80">
        <f t="shared" si="13"/>
        <v>0</v>
      </c>
      <c r="Q173" s="154">
        <f t="shared" si="14"/>
        <v>0</v>
      </c>
    </row>
    <row r="174" spans="2:17">
      <c r="B174" s="627">
        <f t="shared" si="10"/>
        <v>169</v>
      </c>
      <c r="C174" s="429">
        <v>43152</v>
      </c>
      <c r="D174" s="816" t="s">
        <v>1572</v>
      </c>
      <c r="E174" s="807">
        <v>700800</v>
      </c>
      <c r="F174" s="629" t="str">
        <f>IFERROR(VLOOKUP(E174,STAT1!$C$4:$D$1000,2,FALSE),"")</f>
        <v>Дулаан</v>
      </c>
      <c r="G174" s="811">
        <v>3953343.64</v>
      </c>
      <c r="H174" s="811"/>
      <c r="I174" s="580">
        <f t="shared" si="11"/>
        <v>0</v>
      </c>
      <c r="J174" s="961">
        <f t="shared" si="12"/>
        <v>0</v>
      </c>
      <c r="K174" s="80"/>
      <c r="L174" s="807">
        <v>2013</v>
      </c>
      <c r="M174" s="80" t="str">
        <f>+IFERROR(VLOOKUP(L174,DATA!$G$4:$H$2000,2,FALSE),"")</f>
        <v>УБДС ТӨХК</v>
      </c>
      <c r="N174" s="807"/>
      <c r="O174" s="80" t="str">
        <f>IFERROR(VLOOKUP(N174,DATA!$K$4:$L$51,2,FALSE),"")</f>
        <v/>
      </c>
      <c r="P174" s="80">
        <f t="shared" si="13"/>
        <v>0</v>
      </c>
      <c r="Q174" s="154">
        <f t="shared" si="14"/>
        <v>0</v>
      </c>
    </row>
    <row r="175" spans="2:17">
      <c r="B175" s="627">
        <f t="shared" si="10"/>
        <v>170</v>
      </c>
      <c r="C175" s="429">
        <v>43152</v>
      </c>
      <c r="D175" s="816" t="s">
        <v>2506</v>
      </c>
      <c r="E175" s="969">
        <v>110100</v>
      </c>
      <c r="F175" s="629" t="str">
        <f>IFERROR(VLOOKUP(E175,STAT1!$C$4:$D$1000,2,FALSE),"")</f>
        <v>Хаан Банк 5024654020</v>
      </c>
      <c r="G175" s="811"/>
      <c r="H175" s="811">
        <v>5531234</v>
      </c>
      <c r="I175" s="580">
        <f t="shared" si="11"/>
        <v>-5531234</v>
      </c>
      <c r="J175" s="961">
        <f t="shared" si="12"/>
        <v>0</v>
      </c>
      <c r="K175" s="80"/>
      <c r="L175" s="807">
        <v>2009</v>
      </c>
      <c r="M175" s="80" t="str">
        <f>+IFERROR(VLOOKUP(L175,DATA!$G$4:$H$2000,2,FALSE),"")</f>
        <v>ХААН БАНК</v>
      </c>
      <c r="N175" s="807">
        <v>91</v>
      </c>
      <c r="O175" s="80" t="str">
        <f>IFERROR(VLOOKUP(N175,DATA!$K$4:$L$51,2,FALSE),"")</f>
        <v>Зээл, өрийн үнэт цаасны төлбөрт төлсөн</v>
      </c>
      <c r="P175" s="80">
        <f t="shared" si="13"/>
        <v>1</v>
      </c>
      <c r="Q175" s="154">
        <f t="shared" si="14"/>
        <v>1</v>
      </c>
    </row>
    <row r="176" spans="2:17">
      <c r="B176" s="627">
        <f t="shared" si="10"/>
        <v>171</v>
      </c>
      <c r="C176" s="429">
        <v>43152</v>
      </c>
      <c r="D176" s="816" t="s">
        <v>2506</v>
      </c>
      <c r="E176" s="969">
        <v>310400</v>
      </c>
      <c r="F176" s="629" t="str">
        <f>IFERROR(VLOOKUP(E176,STAT1!$C$4:$D$1000,2,FALSE),"")</f>
        <v>Банкны богино хугацаат зээл MNT</v>
      </c>
      <c r="G176" s="811">
        <v>5531234</v>
      </c>
      <c r="H176" s="811"/>
      <c r="I176" s="580">
        <f t="shared" si="11"/>
        <v>0</v>
      </c>
      <c r="J176" s="961">
        <f t="shared" si="12"/>
        <v>0</v>
      </c>
      <c r="K176" s="80"/>
      <c r="L176" s="807">
        <v>2009</v>
      </c>
      <c r="M176" s="80" t="str">
        <f>+IFERROR(VLOOKUP(L176,DATA!$G$4:$H$2000,2,FALSE),"")</f>
        <v>ХААН БАНК</v>
      </c>
      <c r="N176" s="807"/>
      <c r="O176" s="80" t="str">
        <f>IFERROR(VLOOKUP(N176,DATA!$K$4:$L$51,2,FALSE),"")</f>
        <v/>
      </c>
      <c r="P176" s="80">
        <f t="shared" si="13"/>
        <v>0</v>
      </c>
      <c r="Q176" s="154">
        <f t="shared" si="14"/>
        <v>0</v>
      </c>
    </row>
    <row r="177" spans="2:17">
      <c r="B177" s="627">
        <f t="shared" si="10"/>
        <v>172</v>
      </c>
      <c r="C177" s="429">
        <v>43152</v>
      </c>
      <c r="D177" s="816" t="s">
        <v>2506</v>
      </c>
      <c r="E177" s="630">
        <v>110100</v>
      </c>
      <c r="F177" s="629" t="str">
        <f>IFERROR(VLOOKUP(E177,STAT1!$C$4:$D$1000,2,FALSE),"")</f>
        <v>Хаан Банк 5024654020</v>
      </c>
      <c r="G177" s="811"/>
      <c r="H177" s="811">
        <f>5878480-5531234</f>
        <v>347246</v>
      </c>
      <c r="I177" s="580">
        <f t="shared" si="11"/>
        <v>-347246</v>
      </c>
      <c r="J177" s="961">
        <f t="shared" si="12"/>
        <v>0</v>
      </c>
      <c r="K177" s="80"/>
      <c r="L177" s="807">
        <v>2009</v>
      </c>
      <c r="M177" s="80" t="str">
        <f>+IFERROR(VLOOKUP(L177,DATA!$G$4:$H$2000,2,FALSE),"")</f>
        <v>ХААН БАНК</v>
      </c>
      <c r="N177" s="807">
        <v>56</v>
      </c>
      <c r="O177" s="80" t="str">
        <f>IFERROR(VLOOKUP(N177,DATA!$K$4:$L$51,2,FALSE),"")</f>
        <v>Хүүний төлбөрт төлсөн</v>
      </c>
      <c r="P177" s="80">
        <f t="shared" si="13"/>
        <v>1</v>
      </c>
      <c r="Q177" s="154">
        <f t="shared" si="14"/>
        <v>1</v>
      </c>
    </row>
    <row r="178" spans="2:17">
      <c r="B178" s="627">
        <f t="shared" si="10"/>
        <v>173</v>
      </c>
      <c r="C178" s="429">
        <v>43152</v>
      </c>
      <c r="D178" s="816" t="s">
        <v>2506</v>
      </c>
      <c r="E178" s="807">
        <v>702500</v>
      </c>
      <c r="F178" s="629" t="str">
        <f>IFERROR(VLOOKUP(E178,STAT1!$C$4:$D$1000,2,FALSE),"")</f>
        <v>Зээлийн хүүгийн зардал</v>
      </c>
      <c r="G178" s="811">
        <f>5878480-5531234</f>
        <v>347246</v>
      </c>
      <c r="H178" s="811"/>
      <c r="I178" s="580">
        <f t="shared" si="11"/>
        <v>0</v>
      </c>
      <c r="J178" s="961">
        <f t="shared" si="12"/>
        <v>0</v>
      </c>
      <c r="K178" s="80"/>
      <c r="L178" s="807">
        <v>2009</v>
      </c>
      <c r="M178" s="80" t="str">
        <f>+IFERROR(VLOOKUP(L178,DATA!$G$4:$H$2000,2,FALSE),"")</f>
        <v>ХААН БАНК</v>
      </c>
      <c r="N178" s="807"/>
      <c r="O178" s="80" t="str">
        <f>IFERROR(VLOOKUP(N178,DATA!$K$4:$L$51,2,FALSE),"")</f>
        <v/>
      </c>
      <c r="P178" s="80">
        <f t="shared" si="13"/>
        <v>0</v>
      </c>
      <c r="Q178" s="154">
        <f t="shared" si="14"/>
        <v>0</v>
      </c>
    </row>
    <row r="179" spans="2:17">
      <c r="B179" s="627">
        <f t="shared" si="10"/>
        <v>174</v>
      </c>
      <c r="C179" s="429">
        <v>43152</v>
      </c>
      <c r="D179" s="816" t="s">
        <v>2505</v>
      </c>
      <c r="E179" s="807">
        <v>100100</v>
      </c>
      <c r="F179" s="629" t="str">
        <f>IFERROR(VLOOKUP(E179,STAT1!$C$4:$D$1000,2,FALSE),"")</f>
        <v>Касс мөнгө MNT</v>
      </c>
      <c r="G179" s="811"/>
      <c r="H179" s="811">
        <v>1300000</v>
      </c>
      <c r="I179" s="580">
        <f t="shared" si="11"/>
        <v>-1300000</v>
      </c>
      <c r="J179" s="961">
        <f t="shared" si="12"/>
        <v>0</v>
      </c>
      <c r="K179" s="80"/>
      <c r="L179" s="807">
        <v>1004</v>
      </c>
      <c r="M179" s="80" t="str">
        <f>+IFERROR(VLOOKUP(L179,DATA!$G$4:$H$2000,2,FALSE),"")</f>
        <v xml:space="preserve">Түмэндэлгэр </v>
      </c>
      <c r="N179" s="807"/>
      <c r="O179" s="80" t="str">
        <f>IFERROR(VLOOKUP(N179,DATA!$K$4:$L$51,2,FALSE),"")</f>
        <v/>
      </c>
      <c r="P179" s="80">
        <f t="shared" si="13"/>
        <v>1</v>
      </c>
      <c r="Q179" s="154">
        <f t="shared" si="14"/>
        <v>1</v>
      </c>
    </row>
    <row r="180" spans="2:17">
      <c r="B180" s="627">
        <f t="shared" si="10"/>
        <v>175</v>
      </c>
      <c r="C180" s="429">
        <v>43152</v>
      </c>
      <c r="D180" s="816" t="s">
        <v>2505</v>
      </c>
      <c r="E180" s="807">
        <v>110100</v>
      </c>
      <c r="F180" s="629" t="str">
        <f>IFERROR(VLOOKUP(E180,STAT1!$C$4:$D$1000,2,FALSE),"")</f>
        <v>Хаан Банк 5024654020</v>
      </c>
      <c r="G180" s="811">
        <v>1300000</v>
      </c>
      <c r="H180" s="811"/>
      <c r="I180" s="580">
        <f t="shared" si="11"/>
        <v>1300000</v>
      </c>
      <c r="J180" s="961">
        <f t="shared" si="12"/>
        <v>0</v>
      </c>
      <c r="K180" s="80"/>
      <c r="L180" s="807">
        <v>1004</v>
      </c>
      <c r="M180" s="80" t="str">
        <f>+IFERROR(VLOOKUP(L180,DATA!$G$4:$H$2000,2,FALSE),"")</f>
        <v xml:space="preserve">Түмэндэлгэр </v>
      </c>
      <c r="N180" s="807"/>
      <c r="O180" s="80" t="str">
        <f>IFERROR(VLOOKUP(N180,DATA!$K$4:$L$51,2,FALSE),"")</f>
        <v/>
      </c>
      <c r="P180" s="80">
        <f t="shared" si="13"/>
        <v>1</v>
      </c>
      <c r="Q180" s="154">
        <f t="shared" si="14"/>
        <v>1</v>
      </c>
    </row>
    <row r="181" spans="2:17">
      <c r="B181" s="627">
        <f t="shared" si="10"/>
        <v>176</v>
      </c>
      <c r="C181" s="429">
        <v>43152</v>
      </c>
      <c r="D181" s="816" t="s">
        <v>2379</v>
      </c>
      <c r="E181" s="809">
        <v>110100</v>
      </c>
      <c r="F181" s="629" t="str">
        <f>IFERROR(VLOOKUP(E181,STAT1!$C$4:$D$1000,2,FALSE),"")</f>
        <v>Хаан Банк 5024654020</v>
      </c>
      <c r="G181" s="811"/>
      <c r="H181" s="811">
        <v>3375987</v>
      </c>
      <c r="I181" s="580">
        <f t="shared" si="11"/>
        <v>-3375987</v>
      </c>
      <c r="J181" s="961">
        <f t="shared" si="12"/>
        <v>0</v>
      </c>
      <c r="K181" s="80"/>
      <c r="L181" s="807">
        <v>2009</v>
      </c>
      <c r="M181" s="80" t="str">
        <f>+IFERROR(VLOOKUP(L181,DATA!$G$4:$H$2000,2,FALSE),"")</f>
        <v>ХААН БАНК</v>
      </c>
      <c r="N181" s="807">
        <v>91</v>
      </c>
      <c r="O181" s="80" t="str">
        <f>IFERROR(VLOOKUP(N181,DATA!$K$4:$L$51,2,FALSE),"")</f>
        <v>Зээл, өрийн үнэт цаасны төлбөрт төлсөн</v>
      </c>
      <c r="P181" s="80">
        <f t="shared" si="13"/>
        <v>1</v>
      </c>
      <c r="Q181" s="154">
        <f t="shared" si="14"/>
        <v>1</v>
      </c>
    </row>
    <row r="182" spans="2:17">
      <c r="B182" s="627">
        <f t="shared" si="10"/>
        <v>177</v>
      </c>
      <c r="C182" s="429">
        <v>43152</v>
      </c>
      <c r="D182" s="816" t="s">
        <v>2379</v>
      </c>
      <c r="E182" s="809">
        <v>311100</v>
      </c>
      <c r="F182" s="629" t="str">
        <f>IFERROR(VLOOKUP(E182,STAT1!$C$4:$D$1000,2,FALSE),"")</f>
        <v xml:space="preserve">Бусад богино хугацаат өглөг </v>
      </c>
      <c r="G182" s="811">
        <v>3375987</v>
      </c>
      <c r="H182" s="811"/>
      <c r="I182" s="580">
        <f t="shared" si="11"/>
        <v>0</v>
      </c>
      <c r="J182" s="961">
        <f t="shared" si="12"/>
        <v>0</v>
      </c>
      <c r="K182" s="80"/>
      <c r="L182" s="807">
        <v>2009</v>
      </c>
      <c r="M182" s="80" t="str">
        <f>+IFERROR(VLOOKUP(L182,DATA!$G$4:$H$2000,2,FALSE),"")</f>
        <v>ХААН БАНК</v>
      </c>
      <c r="N182" s="807"/>
      <c r="O182" s="80" t="str">
        <f>IFERROR(VLOOKUP(N182,DATA!$K$4:$L$51,2,FALSE),"")</f>
        <v/>
      </c>
      <c r="P182" s="80">
        <f t="shared" si="13"/>
        <v>0</v>
      </c>
      <c r="Q182" s="154">
        <f t="shared" si="14"/>
        <v>0</v>
      </c>
    </row>
    <row r="183" spans="2:17">
      <c r="B183" s="627">
        <f t="shared" si="10"/>
        <v>178</v>
      </c>
      <c r="C183" s="429">
        <v>43152</v>
      </c>
      <c r="D183" s="816" t="s">
        <v>2379</v>
      </c>
      <c r="E183" s="809">
        <v>110100</v>
      </c>
      <c r="F183" s="629" t="str">
        <f>IFERROR(VLOOKUP(E183,STAT1!$C$4:$D$1000,2,FALSE),"")</f>
        <v>Хаан Банк 5024654020</v>
      </c>
      <c r="G183" s="811"/>
      <c r="H183" s="811">
        <f>4546771.17-3375987</f>
        <v>1170784.17</v>
      </c>
      <c r="I183" s="580">
        <f t="shared" si="11"/>
        <v>-1170784.17</v>
      </c>
      <c r="J183" s="961">
        <f t="shared" si="12"/>
        <v>0</v>
      </c>
      <c r="K183" s="80"/>
      <c r="L183" s="807">
        <v>2009</v>
      </c>
      <c r="M183" s="80" t="str">
        <f>+IFERROR(VLOOKUP(L183,DATA!$G$4:$H$2000,2,FALSE),"")</f>
        <v>ХААН БАНК</v>
      </c>
      <c r="N183" s="807">
        <v>56</v>
      </c>
      <c r="O183" s="80" t="str">
        <f>IFERROR(VLOOKUP(N183,DATA!$K$4:$L$51,2,FALSE),"")</f>
        <v>Хүүний төлбөрт төлсөн</v>
      </c>
      <c r="P183" s="80">
        <f t="shared" si="13"/>
        <v>1</v>
      </c>
      <c r="Q183" s="154">
        <f t="shared" si="14"/>
        <v>1</v>
      </c>
    </row>
    <row r="184" spans="2:17">
      <c r="B184" s="627">
        <f t="shared" si="10"/>
        <v>179</v>
      </c>
      <c r="C184" s="429">
        <v>43152</v>
      </c>
      <c r="D184" s="816" t="s">
        <v>2379</v>
      </c>
      <c r="E184" s="807">
        <v>702500</v>
      </c>
      <c r="F184" s="629" t="str">
        <f>IFERROR(VLOOKUP(E184,STAT1!$C$4:$D$1000,2,FALSE),"")</f>
        <v>Зээлийн хүүгийн зардал</v>
      </c>
      <c r="G184" s="811">
        <f>4546771.17-3375987</f>
        <v>1170784.17</v>
      </c>
      <c r="H184" s="811"/>
      <c r="I184" s="580">
        <f t="shared" si="11"/>
        <v>0</v>
      </c>
      <c r="J184" s="961">
        <f t="shared" si="12"/>
        <v>0</v>
      </c>
      <c r="K184" s="80"/>
      <c r="L184" s="807">
        <v>2009</v>
      </c>
      <c r="M184" s="80" t="str">
        <f>+IFERROR(VLOOKUP(L184,DATA!$G$4:$H$2000,2,FALSE),"")</f>
        <v>ХААН БАНК</v>
      </c>
      <c r="N184" s="807"/>
      <c r="O184" s="80" t="str">
        <f>IFERROR(VLOOKUP(N184,DATA!$K$4:$L$51,2,FALSE),"")</f>
        <v/>
      </c>
      <c r="P184" s="80">
        <f t="shared" si="13"/>
        <v>0</v>
      </c>
      <c r="Q184" s="154">
        <f t="shared" si="14"/>
        <v>0</v>
      </c>
    </row>
    <row r="185" spans="2:17">
      <c r="B185" s="627">
        <f t="shared" si="10"/>
        <v>180</v>
      </c>
      <c r="C185" s="429">
        <v>43153</v>
      </c>
      <c r="D185" s="816" t="s">
        <v>2507</v>
      </c>
      <c r="E185" s="807">
        <v>110100</v>
      </c>
      <c r="F185" s="629" t="str">
        <f>IFERROR(VLOOKUP(E185,STAT1!$C$4:$D$1000,2,FALSE),"")</f>
        <v>Хаан Банк 5024654020</v>
      </c>
      <c r="G185" s="811"/>
      <c r="H185" s="811">
        <v>236500</v>
      </c>
      <c r="I185" s="580">
        <f t="shared" si="11"/>
        <v>-236500</v>
      </c>
      <c r="J185" s="961">
        <f t="shared" si="12"/>
        <v>0</v>
      </c>
      <c r="K185" s="80"/>
      <c r="L185" s="807">
        <v>2005</v>
      </c>
      <c r="M185" s="80" t="str">
        <f>+IFERROR(VLOOKUP(L185,DATA!$G$4:$H$2000,2,FALSE),"")</f>
        <v xml:space="preserve">УСУГ ТӨХК </v>
      </c>
      <c r="N185" s="807">
        <v>54</v>
      </c>
      <c r="O185" s="80" t="str">
        <f>IFERROR(VLOOKUP(N185,DATA!$K$4:$L$51,2,FALSE),"")</f>
        <v>Ашиглалтын зардалд төлсөн</v>
      </c>
      <c r="P185" s="80">
        <f t="shared" si="13"/>
        <v>1</v>
      </c>
      <c r="Q185" s="154">
        <f t="shared" si="14"/>
        <v>1</v>
      </c>
    </row>
    <row r="186" spans="2:17">
      <c r="B186" s="627">
        <f t="shared" si="10"/>
        <v>181</v>
      </c>
      <c r="C186" s="429">
        <v>43153</v>
      </c>
      <c r="D186" s="816" t="s">
        <v>2507</v>
      </c>
      <c r="E186" s="807">
        <v>120600</v>
      </c>
      <c r="F186" s="629" t="str">
        <f>IFERROR(VLOOKUP(E186,STAT1!$C$4:$D$1000,2,FALSE),"")</f>
        <v>НӨАТ авлага</v>
      </c>
      <c r="G186" s="811">
        <v>21438</v>
      </c>
      <c r="H186" s="811"/>
      <c r="I186" s="580">
        <f t="shared" si="11"/>
        <v>0</v>
      </c>
      <c r="J186" s="961">
        <f t="shared" si="12"/>
        <v>0</v>
      </c>
      <c r="K186" s="80"/>
      <c r="L186" s="807">
        <v>2005</v>
      </c>
      <c r="M186" s="80" t="str">
        <f>+IFERROR(VLOOKUP(L186,DATA!$G$4:$H$2000,2,FALSE),"")</f>
        <v xml:space="preserve">УСУГ ТӨХК </v>
      </c>
      <c r="N186" s="807"/>
      <c r="O186" s="80" t="str">
        <f>IFERROR(VLOOKUP(N186,DATA!$K$4:$L$51,2,FALSE),"")</f>
        <v/>
      </c>
      <c r="P186" s="80">
        <f t="shared" si="13"/>
        <v>0</v>
      </c>
      <c r="Q186" s="154">
        <f t="shared" si="14"/>
        <v>0</v>
      </c>
    </row>
    <row r="187" spans="2:17">
      <c r="B187" s="627">
        <f t="shared" si="10"/>
        <v>182</v>
      </c>
      <c r="C187" s="429">
        <v>43153</v>
      </c>
      <c r="D187" s="816" t="s">
        <v>2507</v>
      </c>
      <c r="E187" s="807">
        <v>700900</v>
      </c>
      <c r="F187" s="629" t="str">
        <f>IFERROR(VLOOKUP(E187,STAT1!$C$4:$D$1000,2,FALSE),"")</f>
        <v>Уур, ус</v>
      </c>
      <c r="G187" s="811">
        <v>215062</v>
      </c>
      <c r="H187" s="811"/>
      <c r="I187" s="580">
        <f t="shared" si="11"/>
        <v>0</v>
      </c>
      <c r="J187" s="961">
        <f t="shared" si="12"/>
        <v>0</v>
      </c>
      <c r="K187" s="80"/>
      <c r="L187" s="807">
        <v>2005</v>
      </c>
      <c r="M187" s="80" t="str">
        <f>+IFERROR(VLOOKUP(L187,DATA!$G$4:$H$2000,2,FALSE),"")</f>
        <v xml:space="preserve">УСУГ ТӨХК </v>
      </c>
      <c r="N187" s="807"/>
      <c r="O187" s="80" t="str">
        <f>IFERROR(VLOOKUP(N187,DATA!$K$4:$L$51,2,FALSE),"")</f>
        <v/>
      </c>
      <c r="P187" s="80">
        <f t="shared" si="13"/>
        <v>0</v>
      </c>
      <c r="Q187" s="154">
        <f t="shared" si="14"/>
        <v>0</v>
      </c>
    </row>
    <row r="188" spans="2:17">
      <c r="B188" s="627">
        <f t="shared" si="10"/>
        <v>183</v>
      </c>
      <c r="C188" s="429">
        <v>43153</v>
      </c>
      <c r="D188" s="816" t="s">
        <v>2508</v>
      </c>
      <c r="E188" s="807">
        <v>110100</v>
      </c>
      <c r="F188" s="629" t="str">
        <f>IFERROR(VLOOKUP(E188,STAT1!$C$4:$D$1000,2,FALSE),"")</f>
        <v>Хаан Банк 5024654020</v>
      </c>
      <c r="G188" s="811"/>
      <c r="H188" s="811">
        <v>500000</v>
      </c>
      <c r="I188" s="580">
        <f t="shared" si="11"/>
        <v>-500000</v>
      </c>
      <c r="J188" s="961">
        <f t="shared" si="12"/>
        <v>0</v>
      </c>
      <c r="K188" s="80"/>
      <c r="L188" s="807">
        <v>2007</v>
      </c>
      <c r="M188" s="80" t="str">
        <f>+IFERROR(VLOOKUP(L188,DATA!$G$4:$H$2000,2,FALSE),"")</f>
        <v xml:space="preserve">МХБИРЖ -ТӨХК </v>
      </c>
      <c r="N188" s="807">
        <v>59</v>
      </c>
      <c r="O188" s="80" t="str">
        <f>IFERROR(VLOOKUP(N188,DATA!$K$4:$L$51,2,FALSE),"")</f>
        <v>Бусад мөнгөн зарлага</v>
      </c>
      <c r="P188" s="80">
        <f t="shared" si="13"/>
        <v>1</v>
      </c>
      <c r="Q188" s="154">
        <f t="shared" si="14"/>
        <v>1</v>
      </c>
    </row>
    <row r="189" spans="2:17">
      <c r="B189" s="627">
        <f t="shared" si="10"/>
        <v>184</v>
      </c>
      <c r="C189" s="429">
        <v>43153</v>
      </c>
      <c r="D189" s="816" t="s">
        <v>2508</v>
      </c>
      <c r="E189" s="807">
        <v>706000</v>
      </c>
      <c r="F189" s="629" t="str">
        <f>IFERROR(VLOOKUP(E189,STAT1!$C$4:$D$1000,2,FALSE),"")</f>
        <v>Бусад зардал</v>
      </c>
      <c r="G189" s="811">
        <v>500000</v>
      </c>
      <c r="H189" s="811"/>
      <c r="I189" s="580">
        <f t="shared" si="11"/>
        <v>0</v>
      </c>
      <c r="J189" s="961">
        <f t="shared" si="12"/>
        <v>0</v>
      </c>
      <c r="K189" s="80"/>
      <c r="L189" s="807">
        <v>2007</v>
      </c>
      <c r="M189" s="80" t="str">
        <f>+IFERROR(VLOOKUP(L189,DATA!$G$4:$H$2000,2,FALSE),"")</f>
        <v xml:space="preserve">МХБИРЖ -ТӨХК </v>
      </c>
      <c r="N189" s="807"/>
      <c r="O189" s="80" t="str">
        <f>IFERROR(VLOOKUP(N189,DATA!$K$4:$L$51,2,FALSE),"")</f>
        <v/>
      </c>
      <c r="P189" s="80">
        <f t="shared" si="13"/>
        <v>0</v>
      </c>
      <c r="Q189" s="154">
        <f t="shared" si="14"/>
        <v>0</v>
      </c>
    </row>
    <row r="190" spans="2:17">
      <c r="B190" s="627">
        <f t="shared" si="10"/>
        <v>185</v>
      </c>
      <c r="C190" s="429">
        <v>43153</v>
      </c>
      <c r="D190" s="816" t="s">
        <v>2381</v>
      </c>
      <c r="E190" s="807">
        <v>110100</v>
      </c>
      <c r="F190" s="629" t="str">
        <f>IFERROR(VLOOKUP(E190,STAT1!$C$4:$D$1000,2,FALSE),"")</f>
        <v>Хаан Банк 5024654020</v>
      </c>
      <c r="G190" s="811"/>
      <c r="H190" s="811">
        <v>400</v>
      </c>
      <c r="I190" s="580">
        <f t="shared" si="11"/>
        <v>-400</v>
      </c>
      <c r="J190" s="961">
        <f t="shared" si="12"/>
        <v>0</v>
      </c>
      <c r="K190" s="80"/>
      <c r="L190" s="807">
        <v>2009</v>
      </c>
      <c r="M190" s="80" t="str">
        <f>+IFERROR(VLOOKUP(L190,DATA!$G$4:$H$2000,2,FALSE),"")</f>
        <v>ХААН БАНК</v>
      </c>
      <c r="N190" s="807">
        <v>59</v>
      </c>
      <c r="O190" s="80" t="str">
        <f>IFERROR(VLOOKUP(N190,DATA!$K$4:$L$51,2,FALSE),"")</f>
        <v>Бусад мөнгөн зарлага</v>
      </c>
      <c r="P190" s="80">
        <f t="shared" si="13"/>
        <v>1</v>
      </c>
      <c r="Q190" s="154">
        <f t="shared" si="14"/>
        <v>1</v>
      </c>
    </row>
    <row r="191" spans="2:17">
      <c r="B191" s="627">
        <f t="shared" si="10"/>
        <v>186</v>
      </c>
      <c r="C191" s="429">
        <v>43153</v>
      </c>
      <c r="D191" s="816" t="s">
        <v>2381</v>
      </c>
      <c r="E191" s="807">
        <v>704900</v>
      </c>
      <c r="F191" s="629" t="str">
        <f>IFERROR(VLOOKUP(E191,STAT1!$C$4:$D$1000,2,FALSE),"")</f>
        <v>Банкны үйлчилгээ</v>
      </c>
      <c r="G191" s="811">
        <v>400</v>
      </c>
      <c r="H191" s="811"/>
      <c r="I191" s="580">
        <f t="shared" si="11"/>
        <v>0</v>
      </c>
      <c r="J191" s="961">
        <f t="shared" si="12"/>
        <v>0</v>
      </c>
      <c r="K191" s="80"/>
      <c r="L191" s="807">
        <v>2009</v>
      </c>
      <c r="M191" s="80" t="str">
        <f>+IFERROR(VLOOKUP(L191,DATA!$G$4:$H$2000,2,FALSE),"")</f>
        <v>ХААН БАНК</v>
      </c>
      <c r="N191" s="807"/>
      <c r="O191" s="80" t="str">
        <f>IFERROR(VLOOKUP(N191,DATA!$K$4:$L$51,2,FALSE),"")</f>
        <v/>
      </c>
      <c r="P191" s="80">
        <f t="shared" si="13"/>
        <v>0</v>
      </c>
      <c r="Q191" s="154">
        <f t="shared" si="14"/>
        <v>0</v>
      </c>
    </row>
    <row r="192" spans="2:17">
      <c r="B192" s="627">
        <f t="shared" si="10"/>
        <v>187</v>
      </c>
      <c r="C192" s="429">
        <v>43154</v>
      </c>
      <c r="D192" s="816" t="s">
        <v>2510</v>
      </c>
      <c r="E192" s="807">
        <v>100100</v>
      </c>
      <c r="F192" s="629" t="str">
        <f>IFERROR(VLOOKUP(E192,STAT1!$C$4:$D$1000,2,FALSE),"")</f>
        <v>Касс мөнгө MNT</v>
      </c>
      <c r="G192" s="811"/>
      <c r="H192" s="811">
        <v>1895613</v>
      </c>
      <c r="I192" s="580">
        <f t="shared" si="11"/>
        <v>-1895613</v>
      </c>
      <c r="J192" s="961">
        <f t="shared" si="12"/>
        <v>0</v>
      </c>
      <c r="K192" s="80"/>
      <c r="L192" s="807">
        <v>2003</v>
      </c>
      <c r="M192" s="80" t="str">
        <f>+IFERROR(VLOOKUP(L192,DATA!$G$4:$H$2000,2,FALSE),"")</f>
        <v xml:space="preserve">УБЦТС ТӨХК </v>
      </c>
      <c r="N192" s="807">
        <v>54</v>
      </c>
      <c r="O192" s="80" t="str">
        <f>IFERROR(VLOOKUP(N192,DATA!$K$4:$L$51,2,FALSE),"")</f>
        <v>Ашиглалтын зардалд төлсөн</v>
      </c>
      <c r="P192" s="80">
        <f t="shared" si="13"/>
        <v>1</v>
      </c>
      <c r="Q192" s="154">
        <f t="shared" si="14"/>
        <v>1</v>
      </c>
    </row>
    <row r="193" spans="2:17">
      <c r="B193" s="627">
        <f t="shared" si="10"/>
        <v>188</v>
      </c>
      <c r="C193" s="429">
        <v>43154</v>
      </c>
      <c r="D193" s="816" t="s">
        <v>2510</v>
      </c>
      <c r="E193" s="807">
        <v>120600</v>
      </c>
      <c r="F193" s="629" t="str">
        <f>IFERROR(VLOOKUP(E193,STAT1!$C$4:$D$1000,2,FALSE),"")</f>
        <v>НӨАТ авлага</v>
      </c>
      <c r="G193" s="811">
        <v>172328.45</v>
      </c>
      <c r="H193" s="811"/>
      <c r="I193" s="580">
        <f t="shared" si="11"/>
        <v>0</v>
      </c>
      <c r="J193" s="961">
        <f t="shared" si="12"/>
        <v>0</v>
      </c>
      <c r="K193" s="80"/>
      <c r="L193" s="807">
        <v>2003</v>
      </c>
      <c r="M193" s="80" t="str">
        <f>+IFERROR(VLOOKUP(L193,DATA!$G$4:$H$2000,2,FALSE),"")</f>
        <v xml:space="preserve">УБЦТС ТӨХК </v>
      </c>
      <c r="N193" s="807"/>
      <c r="O193" s="80" t="str">
        <f>IFERROR(VLOOKUP(N193,DATA!$K$4:$L$51,2,FALSE),"")</f>
        <v/>
      </c>
      <c r="P193" s="80">
        <f t="shared" si="13"/>
        <v>0</v>
      </c>
      <c r="Q193" s="154">
        <f t="shared" si="14"/>
        <v>0</v>
      </c>
    </row>
    <row r="194" spans="2:17">
      <c r="B194" s="627">
        <f t="shared" si="10"/>
        <v>189</v>
      </c>
      <c r="C194" s="429">
        <v>43154</v>
      </c>
      <c r="D194" s="816" t="s">
        <v>2510</v>
      </c>
      <c r="E194" s="807">
        <v>700700</v>
      </c>
      <c r="F194" s="629" t="str">
        <f>IFERROR(VLOOKUP(E194,STAT1!$C$4:$D$1000,2,FALSE),"")</f>
        <v>Цахилгаан эрчим хүч</v>
      </c>
      <c r="G194" s="811">
        <v>1723284.55</v>
      </c>
      <c r="H194" s="811"/>
      <c r="I194" s="580">
        <f t="shared" si="11"/>
        <v>0</v>
      </c>
      <c r="J194" s="961">
        <f t="shared" si="12"/>
        <v>0</v>
      </c>
      <c r="K194" s="80"/>
      <c r="L194" s="807">
        <v>2003</v>
      </c>
      <c r="M194" s="80" t="str">
        <f>+IFERROR(VLOOKUP(L194,DATA!$G$4:$H$2000,2,FALSE),"")</f>
        <v xml:space="preserve">УБЦТС ТӨХК </v>
      </c>
      <c r="N194" s="807"/>
      <c r="O194" s="80" t="str">
        <f>IFERROR(VLOOKUP(N194,DATA!$K$4:$L$51,2,FALSE),"")</f>
        <v/>
      </c>
      <c r="P194" s="80">
        <f t="shared" si="13"/>
        <v>0</v>
      </c>
      <c r="Q194" s="154">
        <f t="shared" si="14"/>
        <v>0</v>
      </c>
    </row>
    <row r="195" spans="2:17">
      <c r="B195" s="627">
        <f t="shared" si="10"/>
        <v>190</v>
      </c>
      <c r="C195" s="429">
        <v>43158</v>
      </c>
      <c r="D195" s="816" t="s">
        <v>1571</v>
      </c>
      <c r="E195" s="807">
        <v>110100</v>
      </c>
      <c r="F195" s="629" t="str">
        <f>IFERROR(VLOOKUP(E195,STAT1!$C$4:$D$1000,2,FALSE),"")</f>
        <v>Хаан Банк 5024654020</v>
      </c>
      <c r="G195" s="811">
        <v>1548107</v>
      </c>
      <c r="H195" s="811"/>
      <c r="I195" s="580">
        <f t="shared" si="11"/>
        <v>1548107</v>
      </c>
      <c r="J195" s="961">
        <f t="shared" si="12"/>
        <v>0</v>
      </c>
      <c r="K195" s="80"/>
      <c r="L195" s="807">
        <v>3117</v>
      </c>
      <c r="M195" s="80" t="str">
        <f>+IFERROR(VLOOKUP(L195,DATA!$G$4:$H$2000,2,FALSE),"")</f>
        <v>БРИЛЛИАНТ ХАВТАН ХХК</v>
      </c>
      <c r="N195" s="807">
        <v>41</v>
      </c>
      <c r="O195" s="80" t="str">
        <f>IFERROR(VLOOKUP(N195,DATA!$K$4:$L$51,2,FALSE),"")</f>
        <v>Бараа борлуулсан, үйлчилгээ үзүүлсэний орлого</v>
      </c>
      <c r="P195" s="80">
        <f t="shared" si="13"/>
        <v>1</v>
      </c>
      <c r="Q195" s="154">
        <f t="shared" si="14"/>
        <v>1</v>
      </c>
    </row>
    <row r="196" spans="2:17">
      <c r="B196" s="627">
        <f t="shared" si="10"/>
        <v>191</v>
      </c>
      <c r="C196" s="429">
        <v>43158</v>
      </c>
      <c r="D196" s="816" t="s">
        <v>1571</v>
      </c>
      <c r="E196" s="807">
        <v>320100</v>
      </c>
      <c r="F196" s="629" t="str">
        <f>IFERROR(VLOOKUP(E196,STAT1!$C$4:$D$1000,2,FALSE),"")</f>
        <v>Урьдчилж орсон орлого MNT</v>
      </c>
      <c r="G196" s="811"/>
      <c r="H196" s="811">
        <v>1548107</v>
      </c>
      <c r="I196" s="580">
        <f t="shared" si="11"/>
        <v>0</v>
      </c>
      <c r="J196" s="961">
        <f t="shared" si="12"/>
        <v>0</v>
      </c>
      <c r="K196" s="80"/>
      <c r="L196" s="807">
        <v>3117</v>
      </c>
      <c r="M196" s="80" t="str">
        <f>+IFERROR(VLOOKUP(L196,DATA!$G$4:$H$2000,2,FALSE),"")</f>
        <v>БРИЛЛИАНТ ХАВТАН ХХК</v>
      </c>
      <c r="N196" s="807"/>
      <c r="O196" s="80"/>
      <c r="P196" s="80">
        <f t="shared" si="13"/>
        <v>0</v>
      </c>
      <c r="Q196" s="154">
        <f t="shared" si="14"/>
        <v>0</v>
      </c>
    </row>
    <row r="197" spans="2:17">
      <c r="B197" s="627">
        <f t="shared" si="10"/>
        <v>192</v>
      </c>
      <c r="C197" s="429">
        <v>43158</v>
      </c>
      <c r="D197" s="816" t="s">
        <v>2503</v>
      </c>
      <c r="E197" s="630">
        <v>100100</v>
      </c>
      <c r="F197" s="629" t="str">
        <f>IFERROR(VLOOKUP(E197,STAT1!$C$4:$D$1000,2,FALSE),"")</f>
        <v>Касс мөнгө MNT</v>
      </c>
      <c r="G197" s="811"/>
      <c r="H197" s="811">
        <v>114000</v>
      </c>
      <c r="I197" s="580">
        <f t="shared" si="11"/>
        <v>-114000</v>
      </c>
      <c r="J197" s="961">
        <f t="shared" si="12"/>
        <v>0</v>
      </c>
      <c r="K197" s="80"/>
      <c r="L197" s="807">
        <v>1008</v>
      </c>
      <c r="M197" s="80" t="str">
        <f>+IFERROR(VLOOKUP(L197,DATA!$G$4:$H$2000,2,FALSE),"")</f>
        <v xml:space="preserve">Оюунтүлхүүр </v>
      </c>
      <c r="N197" s="807">
        <v>53</v>
      </c>
      <c r="O197" s="80" t="str">
        <f>IFERROR(VLOOKUP(N197,DATA!$K$4:$L$51,2,FALSE),"")</f>
        <v>Бараа материал худалдан авахад төлсөн</v>
      </c>
      <c r="P197" s="80">
        <f t="shared" si="13"/>
        <v>1</v>
      </c>
      <c r="Q197" s="154">
        <f t="shared" si="14"/>
        <v>1</v>
      </c>
    </row>
    <row r="198" spans="2:17">
      <c r="B198" s="627">
        <f t="shared" ref="B198:B261" si="15">+IF(C198="","",ROW()-5)</f>
        <v>193</v>
      </c>
      <c r="C198" s="429">
        <v>43158</v>
      </c>
      <c r="D198" s="816" t="s">
        <v>2503</v>
      </c>
      <c r="E198" s="630">
        <v>120100</v>
      </c>
      <c r="F198" s="629" t="str">
        <f>IFERROR(VLOOKUP(E198,STAT1!$C$4:$D$1000,2,FALSE),"")</f>
        <v xml:space="preserve">Дансны авлага MNT </v>
      </c>
      <c r="G198" s="811">
        <v>114000</v>
      </c>
      <c r="H198" s="811"/>
      <c r="I198" s="580">
        <f t="shared" ref="I198:I261" si="16">+IF(OR(E198=100100,E198=100200,E198=110100,E198=110102,E198=110103,E198=110104,E198=110105,E198=110200,E198=110201,E198=110202,E198=110203,E198=110204,E198=110300),G198,0)+IF(OR(E198=100100,E198=100200,E198=110100,E198=110102,E198=110103,E198=110104,E198=110105,E198=110200,E198=110201,E198=110202,E198=110203,E198=110204,E198=110300),H198*-1,0)</f>
        <v>0</v>
      </c>
      <c r="J198" s="961">
        <f t="shared" ref="J198:J261" si="17">+IF(E198=110102,I198/K198,0)</f>
        <v>0</v>
      </c>
      <c r="K198" s="80"/>
      <c r="L198" s="807">
        <v>1008</v>
      </c>
      <c r="M198" s="80" t="str">
        <f>+IFERROR(VLOOKUP(L198,DATA!$G$4:$H$2000,2,FALSE),"")</f>
        <v xml:space="preserve">Оюунтүлхүүр </v>
      </c>
      <c r="N198" s="807"/>
      <c r="O198" s="80" t="str">
        <f>IFERROR(VLOOKUP(N198,DATA!$K$4:$L$51,2,FALSE),"")</f>
        <v/>
      </c>
      <c r="P198" s="80">
        <f t="shared" ref="P198:P261" si="18">+IF(I198,1,0)</f>
        <v>0</v>
      </c>
      <c r="Q198" s="154">
        <f t="shared" ref="Q198:Q261" si="19">+IF(I198,1,0)</f>
        <v>0</v>
      </c>
    </row>
    <row r="199" spans="2:17">
      <c r="B199" s="627">
        <f t="shared" si="15"/>
        <v>194</v>
      </c>
      <c r="C199" s="429">
        <v>43158</v>
      </c>
      <c r="D199" s="816" t="s">
        <v>2549</v>
      </c>
      <c r="E199" s="807">
        <v>150101</v>
      </c>
      <c r="F199" s="629" t="str">
        <f>IFERROR(VLOOKUP(E199,STAT1!$C$4:$D$1000,2,FALSE),"")</f>
        <v>Бараа бэлэн бүтээгдэхүүн БОЛОВСРУУЛАХ ЦЕХ /нарс/</v>
      </c>
      <c r="G199" s="811"/>
      <c r="H199" s="811">
        <v>947552.0812424398</v>
      </c>
      <c r="I199" s="580">
        <f t="shared" si="16"/>
        <v>0</v>
      </c>
      <c r="J199" s="961">
        <f t="shared" si="17"/>
        <v>0</v>
      </c>
      <c r="K199" s="80"/>
      <c r="L199" s="807">
        <v>3117</v>
      </c>
      <c r="M199" s="80" t="str">
        <f>+IFERROR(VLOOKUP(L199,DATA!$G$4:$H$2000,2,FALSE),"")</f>
        <v>БРИЛЛИАНТ ХАВТАН ХХК</v>
      </c>
      <c r="N199" s="807"/>
      <c r="O199" s="80" t="str">
        <f>IFERROR(VLOOKUP(N199,DATA!$K$4:$L$51,2,FALSE),"")</f>
        <v/>
      </c>
      <c r="P199" s="80">
        <f t="shared" si="18"/>
        <v>0</v>
      </c>
      <c r="Q199" s="154">
        <f t="shared" si="19"/>
        <v>0</v>
      </c>
    </row>
    <row r="200" spans="2:17">
      <c r="B200" s="627">
        <f t="shared" si="15"/>
        <v>195</v>
      </c>
      <c r="C200" s="582">
        <v>43158</v>
      </c>
      <c r="D200" s="816" t="s">
        <v>2549</v>
      </c>
      <c r="E200" s="630">
        <v>610100</v>
      </c>
      <c r="F200" s="629" t="str">
        <f>IFERROR(VLOOKUP(E200,STAT1!$C$4:$D$1000,2,FALSE),"")</f>
        <v>Борлуулсан барааны өртөг</v>
      </c>
      <c r="G200" s="376">
        <v>947552.0812424398</v>
      </c>
      <c r="H200" s="376"/>
      <c r="I200" s="580">
        <f t="shared" si="16"/>
        <v>0</v>
      </c>
      <c r="J200" s="961">
        <f t="shared" si="17"/>
        <v>0</v>
      </c>
      <c r="K200" s="428"/>
      <c r="L200" s="630">
        <v>3117</v>
      </c>
      <c r="M200" s="80" t="str">
        <f>+IFERROR(VLOOKUP(L200,DATA!$G$4:$H$2000,2,FALSE),"")</f>
        <v>БРИЛЛИАНТ ХАВТАН ХХК</v>
      </c>
      <c r="N200" s="630"/>
      <c r="O200" s="80" t="str">
        <f>IFERROR(VLOOKUP(N200,DATA!$K$4:$L$51,2,FALSE),"")</f>
        <v/>
      </c>
      <c r="P200" s="80">
        <f t="shared" si="18"/>
        <v>0</v>
      </c>
      <c r="Q200" s="154">
        <f t="shared" si="19"/>
        <v>0</v>
      </c>
    </row>
    <row r="201" spans="2:17">
      <c r="B201" s="627">
        <f t="shared" si="15"/>
        <v>196</v>
      </c>
      <c r="C201" s="582">
        <v>43158</v>
      </c>
      <c r="D201" s="816" t="s">
        <v>2549</v>
      </c>
      <c r="E201" s="630">
        <v>310500</v>
      </c>
      <c r="F201" s="629" t="str">
        <f>IFERROR(VLOOKUP(E201,STAT1!$C$4:$D$1000,2,FALSE),"")</f>
        <v>НӨАТ өглөг</v>
      </c>
      <c r="G201" s="376"/>
      <c r="H201" s="376">
        <v>140737</v>
      </c>
      <c r="I201" s="580">
        <f t="shared" si="16"/>
        <v>0</v>
      </c>
      <c r="J201" s="961">
        <f t="shared" si="17"/>
        <v>0</v>
      </c>
      <c r="K201" s="428"/>
      <c r="L201" s="630">
        <v>3117</v>
      </c>
      <c r="M201" s="80" t="str">
        <f>+IFERROR(VLOOKUP(L201,DATA!$G$4:$H$2000,2,FALSE),"")</f>
        <v>БРИЛЛИАНТ ХАВТАН ХХК</v>
      </c>
      <c r="N201" s="630"/>
      <c r="O201" s="80" t="str">
        <f>IFERROR(VLOOKUP(N201,DATA!$K$4:$L$51,2,FALSE),"")</f>
        <v/>
      </c>
      <c r="P201" s="80">
        <f t="shared" si="18"/>
        <v>0</v>
      </c>
      <c r="Q201" s="154">
        <f t="shared" si="19"/>
        <v>0</v>
      </c>
    </row>
    <row r="202" spans="2:17">
      <c r="B202" s="627">
        <f t="shared" si="15"/>
        <v>197</v>
      </c>
      <c r="C202" s="582">
        <v>43158</v>
      </c>
      <c r="D202" s="816" t="s">
        <v>2549</v>
      </c>
      <c r="E202" s="630">
        <v>510000</v>
      </c>
      <c r="F202" s="629" t="str">
        <f>IFERROR(VLOOKUP(E202,STAT1!$C$4:$D$1000,2,FALSE),"")</f>
        <v>Үндсэн үйл ажиллагааны борлуулалт</v>
      </c>
      <c r="G202" s="376"/>
      <c r="H202" s="376">
        <v>1407370</v>
      </c>
      <c r="I202" s="580">
        <f t="shared" si="16"/>
        <v>0</v>
      </c>
      <c r="J202" s="961">
        <f t="shared" si="17"/>
        <v>0</v>
      </c>
      <c r="K202" s="428"/>
      <c r="L202" s="630">
        <v>3117</v>
      </c>
      <c r="M202" s="80" t="str">
        <f>+IFERROR(VLOOKUP(L202,DATA!$G$4:$H$2000,2,FALSE),"")</f>
        <v>БРИЛЛИАНТ ХАВТАН ХХК</v>
      </c>
      <c r="N202" s="630"/>
      <c r="O202" s="80" t="str">
        <f>IFERROR(VLOOKUP(N202,DATA!$K$4:$L$51,2,FALSE),"")</f>
        <v/>
      </c>
      <c r="P202" s="80">
        <f t="shared" si="18"/>
        <v>0</v>
      </c>
      <c r="Q202" s="154">
        <f t="shared" si="19"/>
        <v>0</v>
      </c>
    </row>
    <row r="203" spans="2:17">
      <c r="B203" s="627">
        <f t="shared" si="15"/>
        <v>198</v>
      </c>
      <c r="C203" s="582">
        <v>43158</v>
      </c>
      <c r="D203" s="816" t="s">
        <v>2549</v>
      </c>
      <c r="E203" s="630">
        <v>320100</v>
      </c>
      <c r="F203" s="629" t="str">
        <f>IFERROR(VLOOKUP(E203,STAT1!$C$4:$D$1000,2,FALSE),"")</f>
        <v>Урьдчилж орсон орлого MNT</v>
      </c>
      <c r="G203" s="376">
        <v>1548107</v>
      </c>
      <c r="H203" s="376"/>
      <c r="I203" s="580">
        <f t="shared" si="16"/>
        <v>0</v>
      </c>
      <c r="J203" s="961">
        <f t="shared" si="17"/>
        <v>0</v>
      </c>
      <c r="K203" s="428"/>
      <c r="L203" s="630">
        <v>3117</v>
      </c>
      <c r="M203" s="80" t="str">
        <f>+IFERROR(VLOOKUP(L203,DATA!$G$4:$H$2000,2,FALSE),"")</f>
        <v>БРИЛЛИАНТ ХАВТАН ХХК</v>
      </c>
      <c r="N203" s="630"/>
      <c r="O203" s="80" t="str">
        <f>IFERROR(VLOOKUP(N203,DATA!$K$4:$L$51,2,FALSE),"")</f>
        <v/>
      </c>
      <c r="P203" s="80">
        <f t="shared" si="18"/>
        <v>0</v>
      </c>
      <c r="Q203" s="154">
        <f t="shared" si="19"/>
        <v>0</v>
      </c>
    </row>
    <row r="204" spans="2:17">
      <c r="B204" s="627">
        <f t="shared" si="15"/>
        <v>199</v>
      </c>
      <c r="C204" s="582">
        <v>43158</v>
      </c>
      <c r="D204" s="816" t="s">
        <v>2549</v>
      </c>
      <c r="E204" s="630">
        <v>160100</v>
      </c>
      <c r="F204" s="629" t="str">
        <f>IFERROR(VLOOKUP(E204,STAT1!$C$4:$D$1000,2,FALSE),"")</f>
        <v xml:space="preserve">Барилгын материал </v>
      </c>
      <c r="G204" s="376">
        <v>103636.36</v>
      </c>
      <c r="H204" s="376"/>
      <c r="I204" s="580">
        <f t="shared" si="16"/>
        <v>0</v>
      </c>
      <c r="J204" s="961">
        <f t="shared" si="17"/>
        <v>0</v>
      </c>
      <c r="K204" s="428"/>
      <c r="L204" s="630">
        <v>1008</v>
      </c>
      <c r="M204" s="80" t="str">
        <f>+IFERROR(VLOOKUP(L204,DATA!$G$4:$H$2000,2,FALSE),"")</f>
        <v xml:space="preserve">Оюунтүлхүүр </v>
      </c>
      <c r="N204" s="630"/>
      <c r="O204" s="80" t="str">
        <f>IFERROR(VLOOKUP(N204,DATA!$K$4:$L$51,2,FALSE),"")</f>
        <v/>
      </c>
      <c r="P204" s="80">
        <f t="shared" si="18"/>
        <v>0</v>
      </c>
      <c r="Q204" s="154">
        <f t="shared" si="19"/>
        <v>0</v>
      </c>
    </row>
    <row r="205" spans="2:17">
      <c r="B205" s="627">
        <f t="shared" si="15"/>
        <v>200</v>
      </c>
      <c r="C205" s="582">
        <v>43158</v>
      </c>
      <c r="D205" s="816" t="s">
        <v>2549</v>
      </c>
      <c r="E205" s="630">
        <v>120600</v>
      </c>
      <c r="F205" s="629" t="str">
        <f>IFERROR(VLOOKUP(E205,STAT1!$C$4:$D$1000,2,FALSE),"")</f>
        <v>НӨАТ авлага</v>
      </c>
      <c r="G205" s="376">
        <v>10363.64</v>
      </c>
      <c r="H205" s="376"/>
      <c r="I205" s="580">
        <f t="shared" si="16"/>
        <v>0</v>
      </c>
      <c r="J205" s="961">
        <f t="shared" si="17"/>
        <v>0</v>
      </c>
      <c r="K205" s="428"/>
      <c r="L205" s="630">
        <v>1008</v>
      </c>
      <c r="M205" s="80" t="str">
        <f>+IFERROR(VLOOKUP(L205,DATA!$G$4:$H$2000,2,FALSE),"")</f>
        <v xml:space="preserve">Оюунтүлхүүр </v>
      </c>
      <c r="N205" s="630"/>
      <c r="O205" s="80" t="str">
        <f>IFERROR(VLOOKUP(N205,DATA!$K$4:$L$51,2,FALSE),"")</f>
        <v/>
      </c>
      <c r="P205" s="80">
        <f t="shared" si="18"/>
        <v>0</v>
      </c>
      <c r="Q205" s="154">
        <f t="shared" si="19"/>
        <v>0</v>
      </c>
    </row>
    <row r="206" spans="2:17">
      <c r="B206" s="627">
        <f t="shared" si="15"/>
        <v>201</v>
      </c>
      <c r="C206" s="429">
        <v>43158</v>
      </c>
      <c r="D206" s="816" t="s">
        <v>2549</v>
      </c>
      <c r="E206" s="807">
        <v>120100</v>
      </c>
      <c r="F206" s="629" t="str">
        <f>IFERROR(VLOOKUP(E206,STAT1!$C$4:$D$1000,2,FALSE),"")</f>
        <v xml:space="preserve">Дансны авлага MNT </v>
      </c>
      <c r="G206" s="811"/>
      <c r="H206" s="811">
        <v>114000</v>
      </c>
      <c r="I206" s="580">
        <f t="shared" si="16"/>
        <v>0</v>
      </c>
      <c r="J206" s="961">
        <f t="shared" si="17"/>
        <v>0</v>
      </c>
      <c r="K206" s="80"/>
      <c r="L206" s="807">
        <v>1008</v>
      </c>
      <c r="M206" s="80" t="str">
        <f>+IFERROR(VLOOKUP(L206,DATA!$G$4:$H$2000,2,FALSE),"")</f>
        <v xml:space="preserve">Оюунтүлхүүр </v>
      </c>
      <c r="N206" s="807"/>
      <c r="O206" s="80" t="str">
        <f>IFERROR(VLOOKUP(N206,DATA!$K$4:$L$51,2,FALSE),"")</f>
        <v/>
      </c>
      <c r="P206" s="80">
        <f t="shared" si="18"/>
        <v>0</v>
      </c>
      <c r="Q206" s="154">
        <f t="shared" si="19"/>
        <v>0</v>
      </c>
    </row>
    <row r="207" spans="2:17">
      <c r="B207" s="627">
        <f t="shared" si="15"/>
        <v>202</v>
      </c>
      <c r="C207" s="429">
        <v>43159</v>
      </c>
      <c r="D207" s="816" t="s">
        <v>2505</v>
      </c>
      <c r="E207" s="807">
        <v>100100</v>
      </c>
      <c r="F207" s="629" t="str">
        <f>IFERROR(VLOOKUP(E207,STAT1!$C$4:$D$1000,2,FALSE),"")</f>
        <v>Касс мөнгө MNT</v>
      </c>
      <c r="G207" s="811"/>
      <c r="H207" s="811">
        <v>2640000</v>
      </c>
      <c r="I207" s="580">
        <f t="shared" si="16"/>
        <v>-2640000</v>
      </c>
      <c r="J207" s="961">
        <f t="shared" si="17"/>
        <v>0</v>
      </c>
      <c r="K207" s="80"/>
      <c r="L207" s="807">
        <v>1008</v>
      </c>
      <c r="M207" s="80" t="str">
        <f>+IFERROR(VLOOKUP(L207,DATA!$G$4:$H$2000,2,FALSE),"")</f>
        <v xml:space="preserve">Оюунтүлхүүр </v>
      </c>
      <c r="N207" s="807"/>
      <c r="O207" s="80" t="str">
        <f>IFERROR(VLOOKUP(N207,DATA!$K$4:$L$51,2,FALSE),"")</f>
        <v/>
      </c>
      <c r="P207" s="80">
        <f t="shared" si="18"/>
        <v>1</v>
      </c>
      <c r="Q207" s="154">
        <f t="shared" si="19"/>
        <v>1</v>
      </c>
    </row>
    <row r="208" spans="2:17">
      <c r="B208" s="627">
        <f t="shared" si="15"/>
        <v>203</v>
      </c>
      <c r="C208" s="429">
        <v>43159</v>
      </c>
      <c r="D208" s="816" t="s">
        <v>2505</v>
      </c>
      <c r="E208" s="807">
        <v>110100</v>
      </c>
      <c r="F208" s="629" t="str">
        <f>IFERROR(VLOOKUP(E208,STAT1!$C$4:$D$1000,2,FALSE),"")</f>
        <v>Хаан Банк 5024654020</v>
      </c>
      <c r="G208" s="811">
        <v>2640000</v>
      </c>
      <c r="H208" s="811"/>
      <c r="I208" s="580">
        <f t="shared" si="16"/>
        <v>2640000</v>
      </c>
      <c r="J208" s="961">
        <f t="shared" si="17"/>
        <v>0</v>
      </c>
      <c r="K208" s="80"/>
      <c r="L208" s="807">
        <v>1008</v>
      </c>
      <c r="M208" s="80" t="str">
        <f>+IFERROR(VLOOKUP(L208,DATA!$G$4:$H$2000,2,FALSE),"")</f>
        <v xml:space="preserve">Оюунтүлхүүр </v>
      </c>
      <c r="N208" s="807"/>
      <c r="O208" s="80" t="str">
        <f>IFERROR(VLOOKUP(N208,DATA!$K$4:$L$51,2,FALSE),"")</f>
        <v/>
      </c>
      <c r="P208" s="80">
        <f t="shared" si="18"/>
        <v>1</v>
      </c>
      <c r="Q208" s="154">
        <f t="shared" si="19"/>
        <v>1</v>
      </c>
    </row>
    <row r="209" spans="2:17">
      <c r="B209" s="627">
        <f t="shared" si="15"/>
        <v>204</v>
      </c>
      <c r="C209" s="429">
        <v>43159</v>
      </c>
      <c r="D209" s="816" t="s">
        <v>2375</v>
      </c>
      <c r="E209" s="807">
        <v>110100</v>
      </c>
      <c r="F209" s="629" t="str">
        <f>IFERROR(VLOOKUP(E209,STAT1!$C$4:$D$1000,2,FALSE),"")</f>
        <v>Хаан Банк 5024654020</v>
      </c>
      <c r="G209" s="811"/>
      <c r="H209" s="811">
        <v>3499027.46</v>
      </c>
      <c r="I209" s="580">
        <f t="shared" si="16"/>
        <v>-3499027.46</v>
      </c>
      <c r="J209" s="961">
        <f t="shared" si="17"/>
        <v>0</v>
      </c>
      <c r="K209" s="80"/>
      <c r="L209" s="807">
        <v>2004</v>
      </c>
      <c r="M209" s="80" t="str">
        <f>+IFERROR(VLOOKUP(L209,DATA!$G$4:$H$2000,2,FALSE),"")</f>
        <v xml:space="preserve">ДЦС-3 ТӨХК </v>
      </c>
      <c r="N209" s="807">
        <v>54</v>
      </c>
      <c r="O209" s="80" t="str">
        <f>IFERROR(VLOOKUP(N209,DATA!$K$4:$L$51,2,FALSE),"")</f>
        <v>Ашиглалтын зардалд төлсөн</v>
      </c>
      <c r="P209" s="80">
        <f t="shared" si="18"/>
        <v>1</v>
      </c>
      <c r="Q209" s="154">
        <f t="shared" si="19"/>
        <v>1</v>
      </c>
    </row>
    <row r="210" spans="2:17">
      <c r="B210" s="627">
        <f t="shared" si="15"/>
        <v>205</v>
      </c>
      <c r="C210" s="429">
        <v>43159</v>
      </c>
      <c r="D210" s="816" t="s">
        <v>2375</v>
      </c>
      <c r="E210" s="807">
        <v>310100</v>
      </c>
      <c r="F210" s="629" t="str">
        <f>IFERROR(VLOOKUP(E210,STAT1!$C$4:$D$1000,2,FALSE),"")</f>
        <v>Дансны өглөг MNT</v>
      </c>
      <c r="G210" s="811">
        <v>3499027.46</v>
      </c>
      <c r="H210" s="811"/>
      <c r="I210" s="580">
        <f t="shared" si="16"/>
        <v>0</v>
      </c>
      <c r="J210" s="961">
        <f t="shared" si="17"/>
        <v>0</v>
      </c>
      <c r="K210" s="80"/>
      <c r="L210" s="807">
        <v>2004</v>
      </c>
      <c r="M210" s="80" t="str">
        <f>+IFERROR(VLOOKUP(L210,DATA!$G$4:$H$2000,2,FALSE),"")</f>
        <v xml:space="preserve">ДЦС-3 ТӨХК </v>
      </c>
      <c r="N210" s="807"/>
      <c r="O210" s="80" t="str">
        <f>IFERROR(VLOOKUP(N210,DATA!$K$4:$L$51,2,FALSE),"")</f>
        <v/>
      </c>
      <c r="P210" s="80">
        <f t="shared" si="18"/>
        <v>0</v>
      </c>
      <c r="Q210" s="154">
        <f t="shared" si="19"/>
        <v>0</v>
      </c>
    </row>
    <row r="211" spans="2:17">
      <c r="B211" s="627">
        <f t="shared" si="15"/>
        <v>206</v>
      </c>
      <c r="C211" s="429">
        <v>43159</v>
      </c>
      <c r="D211" s="816" t="s">
        <v>1571</v>
      </c>
      <c r="E211" s="807">
        <v>110100</v>
      </c>
      <c r="F211" s="629" t="str">
        <f>IFERROR(VLOOKUP(E211,STAT1!$C$4:$D$1000,2,FALSE),"")</f>
        <v>Хаан Банк 5024654020</v>
      </c>
      <c r="G211" s="811">
        <v>11167750</v>
      </c>
      <c r="H211" s="811"/>
      <c r="I211" s="580">
        <f t="shared" si="16"/>
        <v>11167750</v>
      </c>
      <c r="J211" s="961">
        <f t="shared" si="17"/>
        <v>0</v>
      </c>
      <c r="K211" s="80"/>
      <c r="L211" s="807">
        <v>3118</v>
      </c>
      <c r="M211" s="80" t="str">
        <f>+IFERROR(VLOOKUP(L211,DATA!$G$4:$H$2000,2,FALSE),"")</f>
        <v>САММИТ ТЕХ КОМ ХХК</v>
      </c>
      <c r="N211" s="807">
        <v>41</v>
      </c>
      <c r="O211" s="80" t="str">
        <f>IFERROR(VLOOKUP(N211,DATA!$K$4:$L$51,2,FALSE),"")</f>
        <v>Бараа борлуулсан, үйлчилгээ үзүүлсэний орлого</v>
      </c>
      <c r="P211" s="80">
        <f t="shared" si="18"/>
        <v>1</v>
      </c>
      <c r="Q211" s="154">
        <f t="shared" si="19"/>
        <v>1</v>
      </c>
    </row>
    <row r="212" spans="2:17">
      <c r="B212" s="627">
        <f t="shared" si="15"/>
        <v>207</v>
      </c>
      <c r="C212" s="429">
        <v>43159</v>
      </c>
      <c r="D212" s="816" t="s">
        <v>1571</v>
      </c>
      <c r="E212" s="807">
        <v>320100</v>
      </c>
      <c r="F212" s="629" t="str">
        <f>IFERROR(VLOOKUP(E212,STAT1!$C$4:$D$1000,2,FALSE),"")</f>
        <v>Урьдчилж орсон орлого MNT</v>
      </c>
      <c r="G212" s="811"/>
      <c r="H212" s="811">
        <v>11167750</v>
      </c>
      <c r="I212" s="580">
        <f t="shared" si="16"/>
        <v>0</v>
      </c>
      <c r="J212" s="961">
        <f t="shared" si="17"/>
        <v>0</v>
      </c>
      <c r="K212" s="80"/>
      <c r="L212" s="807">
        <v>3118</v>
      </c>
      <c r="M212" s="80" t="str">
        <f>+IFERROR(VLOOKUP(L212,DATA!$G$4:$H$2000,2,FALSE),"")</f>
        <v>САММИТ ТЕХ КОМ ХХК</v>
      </c>
      <c r="N212" s="807"/>
      <c r="O212" s="80" t="str">
        <f>IFERROR(VLOOKUP(N212,DATA!$K$4:$L$51,2,FALSE),"")</f>
        <v/>
      </c>
      <c r="P212" s="80">
        <f t="shared" si="18"/>
        <v>0</v>
      </c>
      <c r="Q212" s="154">
        <f t="shared" si="19"/>
        <v>0</v>
      </c>
    </row>
    <row r="213" spans="2:17">
      <c r="B213" s="627">
        <f t="shared" si="15"/>
        <v>208</v>
      </c>
      <c r="C213" s="429">
        <v>43159</v>
      </c>
      <c r="D213" s="816" t="s">
        <v>2381</v>
      </c>
      <c r="E213" s="807">
        <v>110100</v>
      </c>
      <c r="F213" s="629" t="str">
        <f>IFERROR(VLOOKUP(E213,STAT1!$C$4:$D$1000,2,FALSE),"")</f>
        <v>Хаан Банк 5024654020</v>
      </c>
      <c r="G213" s="811"/>
      <c r="H213" s="811">
        <v>2100</v>
      </c>
      <c r="I213" s="580">
        <f t="shared" si="16"/>
        <v>-2100</v>
      </c>
      <c r="J213" s="961">
        <f t="shared" si="17"/>
        <v>0</v>
      </c>
      <c r="K213" s="80"/>
      <c r="L213" s="807">
        <v>2009</v>
      </c>
      <c r="M213" s="80" t="str">
        <f>+IFERROR(VLOOKUP(L213,DATA!$G$4:$H$2000,2,FALSE),"")</f>
        <v>ХААН БАНК</v>
      </c>
      <c r="N213" s="807">
        <v>59</v>
      </c>
      <c r="O213" s="80" t="str">
        <f>IFERROR(VLOOKUP(N213,DATA!$K$4:$L$51,2,FALSE),"")</f>
        <v>Бусад мөнгөн зарлага</v>
      </c>
      <c r="P213" s="80">
        <f t="shared" si="18"/>
        <v>1</v>
      </c>
      <c r="Q213" s="154">
        <f t="shared" si="19"/>
        <v>1</v>
      </c>
    </row>
    <row r="214" spans="2:17">
      <c r="B214" s="627">
        <f t="shared" si="15"/>
        <v>209</v>
      </c>
      <c r="C214" s="429">
        <v>43159</v>
      </c>
      <c r="D214" s="816" t="s">
        <v>2381</v>
      </c>
      <c r="E214" s="807">
        <v>704900</v>
      </c>
      <c r="F214" s="629" t="str">
        <f>IFERROR(VLOOKUP(E214,STAT1!$C$4:$D$1000,2,FALSE),"")</f>
        <v>Банкны үйлчилгээ</v>
      </c>
      <c r="G214" s="811">
        <v>2100</v>
      </c>
      <c r="H214" s="811"/>
      <c r="I214" s="580">
        <f t="shared" si="16"/>
        <v>0</v>
      </c>
      <c r="J214" s="961">
        <f t="shared" si="17"/>
        <v>0</v>
      </c>
      <c r="K214" s="80"/>
      <c r="L214" s="807">
        <v>2009</v>
      </c>
      <c r="M214" s="80" t="str">
        <f>+IFERROR(VLOOKUP(L214,DATA!$G$4:$H$2000,2,FALSE),"")</f>
        <v>ХААН БАНК</v>
      </c>
      <c r="N214" s="807"/>
      <c r="O214" s="80" t="str">
        <f>IFERROR(VLOOKUP(N214,DATA!$K$4:$L$51,2,FALSE),"")</f>
        <v/>
      </c>
      <c r="P214" s="80">
        <f t="shared" si="18"/>
        <v>0</v>
      </c>
      <c r="Q214" s="154">
        <f t="shared" si="19"/>
        <v>0</v>
      </c>
    </row>
    <row r="215" spans="2:17">
      <c r="B215" s="627">
        <f t="shared" si="15"/>
        <v>210</v>
      </c>
      <c r="C215" s="429">
        <v>43159</v>
      </c>
      <c r="D215" s="816" t="s">
        <v>2407</v>
      </c>
      <c r="E215" s="807">
        <v>310100</v>
      </c>
      <c r="F215" s="629" t="str">
        <f>IFERROR(VLOOKUP(E215,STAT1!$C$4:$D$1000,2,FALSE),"")</f>
        <v>Дансны өглөг MNT</v>
      </c>
      <c r="G215" s="811"/>
      <c r="H215" s="811">
        <v>9140764.1600000001</v>
      </c>
      <c r="I215" s="580">
        <f t="shared" si="16"/>
        <v>0</v>
      </c>
      <c r="J215" s="961">
        <f t="shared" si="17"/>
        <v>0</v>
      </c>
      <c r="K215" s="80"/>
      <c r="L215" s="807">
        <v>2004</v>
      </c>
      <c r="M215" s="80" t="str">
        <f>+IFERROR(VLOOKUP(L215,DATA!$G$4:$H$2000,2,FALSE),"")</f>
        <v xml:space="preserve">ДЦС-3 ТӨХК </v>
      </c>
      <c r="N215" s="807"/>
      <c r="O215" s="80" t="str">
        <f>IFERROR(VLOOKUP(N215,DATA!$K$4:$L$51,2,FALSE),"")</f>
        <v/>
      </c>
      <c r="P215" s="80">
        <f t="shared" si="18"/>
        <v>0</v>
      </c>
      <c r="Q215" s="154">
        <f t="shared" si="19"/>
        <v>0</v>
      </c>
    </row>
    <row r="216" spans="2:17">
      <c r="B216" s="627">
        <f t="shared" si="15"/>
        <v>211</v>
      </c>
      <c r="C216" s="429">
        <v>43159</v>
      </c>
      <c r="D216" s="816" t="s">
        <v>2407</v>
      </c>
      <c r="E216" s="807">
        <v>120100</v>
      </c>
      <c r="F216" s="629" t="str">
        <f>IFERROR(VLOOKUP(E216,STAT1!$C$4:$D$1000,2,FALSE),"")</f>
        <v xml:space="preserve">Дансны авлага MNT </v>
      </c>
      <c r="G216" s="811">
        <v>830978.56000000006</v>
      </c>
      <c r="H216" s="811"/>
      <c r="I216" s="580">
        <f t="shared" si="16"/>
        <v>0</v>
      </c>
      <c r="J216" s="961">
        <f t="shared" si="17"/>
        <v>0</v>
      </c>
      <c r="K216" s="80"/>
      <c r="L216" s="807">
        <v>2004</v>
      </c>
      <c r="M216" s="80" t="str">
        <f>+IFERROR(VLOOKUP(L216,DATA!$G$4:$H$2000,2,FALSE),"")</f>
        <v xml:space="preserve">ДЦС-3 ТӨХК </v>
      </c>
      <c r="N216" s="807"/>
      <c r="O216" s="80" t="str">
        <f>IFERROR(VLOOKUP(N216,DATA!$K$4:$L$51,2,FALSE),"")</f>
        <v/>
      </c>
      <c r="P216" s="80">
        <f t="shared" si="18"/>
        <v>0</v>
      </c>
      <c r="Q216" s="154">
        <f t="shared" si="19"/>
        <v>0</v>
      </c>
    </row>
    <row r="217" spans="2:17">
      <c r="B217" s="627">
        <f t="shared" si="15"/>
        <v>212</v>
      </c>
      <c r="C217" s="429">
        <v>43159</v>
      </c>
      <c r="D217" s="816" t="s">
        <v>2407</v>
      </c>
      <c r="E217" s="807">
        <v>700900</v>
      </c>
      <c r="F217" s="629" t="str">
        <f>IFERROR(VLOOKUP(E217,STAT1!$C$4:$D$1000,2,FALSE),"")</f>
        <v>Уур, ус</v>
      </c>
      <c r="G217" s="811">
        <v>8309785.5999999996</v>
      </c>
      <c r="H217" s="811"/>
      <c r="I217" s="580">
        <f t="shared" si="16"/>
        <v>0</v>
      </c>
      <c r="J217" s="961">
        <f t="shared" si="17"/>
        <v>0</v>
      </c>
      <c r="K217" s="80"/>
      <c r="L217" s="807">
        <v>2004</v>
      </c>
      <c r="M217" s="80" t="str">
        <f>+IFERROR(VLOOKUP(L217,DATA!$G$4:$H$2000,2,FALSE),"")</f>
        <v xml:space="preserve">ДЦС-3 ТӨХК </v>
      </c>
      <c r="N217" s="807"/>
      <c r="O217" s="80" t="str">
        <f>IFERROR(VLOOKUP(N217,DATA!$K$4:$L$51,2,FALSE),"")</f>
        <v/>
      </c>
      <c r="P217" s="80">
        <f t="shared" si="18"/>
        <v>0</v>
      </c>
      <c r="Q217" s="154">
        <f t="shared" si="19"/>
        <v>0</v>
      </c>
    </row>
    <row r="218" spans="2:17">
      <c r="B218" s="627">
        <f t="shared" si="15"/>
        <v>213</v>
      </c>
      <c r="C218" s="429">
        <v>43159</v>
      </c>
      <c r="D218" s="850" t="s">
        <v>1509</v>
      </c>
      <c r="E218" s="807">
        <v>700200</v>
      </c>
      <c r="F218" s="629" t="str">
        <f>IFERROR(VLOOKUP(E218,STAT1!$C$4:$D$1000,2,FALSE),"")</f>
        <v>НДШимтгэл</v>
      </c>
      <c r="G218" s="811">
        <v>1317028.0952380951</v>
      </c>
      <c r="H218" s="811"/>
      <c r="I218" s="580">
        <f t="shared" si="16"/>
        <v>0</v>
      </c>
      <c r="J218" s="961">
        <f t="shared" si="17"/>
        <v>0</v>
      </c>
      <c r="K218" s="80"/>
      <c r="L218" s="807">
        <v>1005</v>
      </c>
      <c r="M218" s="80" t="str">
        <f>+IFERROR(VLOOKUP(L218,DATA!$G$4:$H$2000,2,FALSE),"")</f>
        <v>Золжаргал</v>
      </c>
      <c r="N218" s="807"/>
      <c r="O218" s="80" t="str">
        <f>IFERROR(VLOOKUP(N218,DATA!$K$4:$L$51,2,FALSE),"")</f>
        <v/>
      </c>
      <c r="P218" s="80">
        <f t="shared" si="18"/>
        <v>0</v>
      </c>
      <c r="Q218" s="154">
        <f t="shared" si="19"/>
        <v>0</v>
      </c>
    </row>
    <row r="219" spans="2:17">
      <c r="B219" s="627">
        <f t="shared" si="15"/>
        <v>214</v>
      </c>
      <c r="C219" s="429">
        <v>43159</v>
      </c>
      <c r="D219" s="850" t="s">
        <v>1509</v>
      </c>
      <c r="E219" s="807">
        <v>310800</v>
      </c>
      <c r="F219" s="629" t="str">
        <f>IFERROR(VLOOKUP(E219,STAT1!$C$4:$D$1000,2,FALSE),"")</f>
        <v>НД-ын байгууллагад өгөх өглөг</v>
      </c>
      <c r="G219" s="811"/>
      <c r="H219" s="811">
        <v>1317028.0952380951</v>
      </c>
      <c r="I219" s="580">
        <f t="shared" si="16"/>
        <v>0</v>
      </c>
      <c r="J219" s="961">
        <f t="shared" si="17"/>
        <v>0</v>
      </c>
      <c r="K219" s="80"/>
      <c r="L219" s="807">
        <v>1005</v>
      </c>
      <c r="M219" s="80" t="str">
        <f>+IFERROR(VLOOKUP(L219,DATA!$G$4:$H$2000,2,FALSE),"")</f>
        <v>Золжаргал</v>
      </c>
      <c r="N219" s="807"/>
      <c r="O219" s="80" t="str">
        <f>IFERROR(VLOOKUP(N219,DATA!$K$4:$L$51,2,FALSE),"")</f>
        <v/>
      </c>
      <c r="P219" s="80">
        <f t="shared" si="18"/>
        <v>0</v>
      </c>
      <c r="Q219" s="154">
        <f t="shared" si="19"/>
        <v>0</v>
      </c>
    </row>
    <row r="220" spans="2:17">
      <c r="B220" s="627">
        <f t="shared" si="15"/>
        <v>215</v>
      </c>
      <c r="C220" s="429">
        <v>43159</v>
      </c>
      <c r="D220" s="850" t="s">
        <v>1510</v>
      </c>
      <c r="E220" s="807">
        <v>310800</v>
      </c>
      <c r="F220" s="629" t="str">
        <f>IFERROR(VLOOKUP(E220,STAT1!$C$4:$D$1000,2,FALSE),"")</f>
        <v>НД-ын байгууллагад өгөх өглөг</v>
      </c>
      <c r="G220" s="811"/>
      <c r="H220" s="811">
        <v>1069215.7142857143</v>
      </c>
      <c r="I220" s="580">
        <f t="shared" si="16"/>
        <v>0</v>
      </c>
      <c r="J220" s="961">
        <f t="shared" si="17"/>
        <v>0</v>
      </c>
      <c r="K220" s="80"/>
      <c r="L220" s="807">
        <v>1005</v>
      </c>
      <c r="M220" s="80" t="str">
        <f>+IFERROR(VLOOKUP(L220,DATA!$G$4:$H$2000,2,FALSE),"")</f>
        <v>Золжаргал</v>
      </c>
      <c r="N220" s="807"/>
      <c r="O220" s="80" t="str">
        <f>IFERROR(VLOOKUP(N220,DATA!$K$4:$L$51,2,FALSE),"")</f>
        <v/>
      </c>
      <c r="P220" s="80">
        <f t="shared" si="18"/>
        <v>0</v>
      </c>
      <c r="Q220" s="154">
        <f t="shared" si="19"/>
        <v>0</v>
      </c>
    </row>
    <row r="221" spans="2:17">
      <c r="B221" s="627">
        <f t="shared" si="15"/>
        <v>216</v>
      </c>
      <c r="C221" s="429">
        <v>43159</v>
      </c>
      <c r="D221" s="850" t="s">
        <v>1511</v>
      </c>
      <c r="E221" s="807">
        <v>310700</v>
      </c>
      <c r="F221" s="629" t="str">
        <f>IFERROR(VLOOKUP(E221,STAT1!$C$4:$D$1000,2,FALSE),"")</f>
        <v>ХАОАТ өглөг</v>
      </c>
      <c r="G221" s="811"/>
      <c r="H221" s="811">
        <v>598424.21904761891</v>
      </c>
      <c r="I221" s="580">
        <f t="shared" si="16"/>
        <v>0</v>
      </c>
      <c r="J221" s="961">
        <f t="shared" si="17"/>
        <v>0</v>
      </c>
      <c r="K221" s="80"/>
      <c r="L221" s="807">
        <v>1005</v>
      </c>
      <c r="M221" s="80" t="str">
        <f>+IFERROR(VLOOKUP(L221,DATA!$G$4:$H$2000,2,FALSE),"")</f>
        <v>Золжаргал</v>
      </c>
      <c r="N221" s="807"/>
      <c r="O221" s="80" t="str">
        <f>IFERROR(VLOOKUP(N221,DATA!$K$4:$L$51,2,FALSE),"")</f>
        <v/>
      </c>
      <c r="P221" s="80">
        <f t="shared" si="18"/>
        <v>0</v>
      </c>
      <c r="Q221" s="154">
        <f t="shared" si="19"/>
        <v>0</v>
      </c>
    </row>
    <row r="222" spans="2:17">
      <c r="B222" s="627">
        <f t="shared" si="15"/>
        <v>217</v>
      </c>
      <c r="C222" s="429">
        <v>43159</v>
      </c>
      <c r="D222" s="850" t="s">
        <v>1512</v>
      </c>
      <c r="E222" s="807">
        <v>311000</v>
      </c>
      <c r="F222" s="629" t="str">
        <f>IFERROR(VLOOKUP(E222,STAT1!$C$4:$D$1000,2,FALSE),"")</f>
        <v>Цалингийн өглөг</v>
      </c>
      <c r="G222" s="811"/>
      <c r="H222" s="811">
        <v>8082979.1100000003</v>
      </c>
      <c r="I222" s="580">
        <f t="shared" si="16"/>
        <v>0</v>
      </c>
      <c r="J222" s="961">
        <f t="shared" si="17"/>
        <v>0</v>
      </c>
      <c r="K222" s="80"/>
      <c r="L222" s="807">
        <v>1005</v>
      </c>
      <c r="M222" s="80" t="str">
        <f>+IFERROR(VLOOKUP(L222,DATA!$G$4:$H$2000,2,FALSE),"")</f>
        <v>Золжаргал</v>
      </c>
      <c r="N222" s="807"/>
      <c r="O222" s="80" t="str">
        <f>IFERROR(VLOOKUP(N222,DATA!$K$4:$L$51,2,FALSE),"")</f>
        <v/>
      </c>
      <c r="P222" s="80">
        <f t="shared" si="18"/>
        <v>0</v>
      </c>
      <c r="Q222" s="154">
        <f t="shared" si="19"/>
        <v>0</v>
      </c>
    </row>
    <row r="223" spans="2:17">
      <c r="B223" s="627">
        <f t="shared" si="15"/>
        <v>218</v>
      </c>
      <c r="C223" s="429">
        <v>43159</v>
      </c>
      <c r="D223" s="850" t="s">
        <v>2389</v>
      </c>
      <c r="E223" s="807">
        <v>700100</v>
      </c>
      <c r="F223" s="629" t="str">
        <f>IFERROR(VLOOKUP(E223,STAT1!$C$4:$D$1000,2,FALSE),"")</f>
        <v>Цалин хөлс, шагнал</v>
      </c>
      <c r="G223" s="811">
        <v>9750619.0476190466</v>
      </c>
      <c r="H223" s="811"/>
      <c r="I223" s="580">
        <f t="shared" si="16"/>
        <v>0</v>
      </c>
      <c r="J223" s="961">
        <f t="shared" si="17"/>
        <v>0</v>
      </c>
      <c r="K223" s="80"/>
      <c r="L223" s="807">
        <v>1005</v>
      </c>
      <c r="M223" s="80" t="str">
        <f>+IFERROR(VLOOKUP(L223,DATA!$G$4:$H$2000,2,FALSE),"")</f>
        <v>Золжаргал</v>
      </c>
      <c r="N223" s="807"/>
      <c r="O223" s="80" t="str">
        <f>IFERROR(VLOOKUP(N223,DATA!$K$4:$L$51,2,FALSE),"")</f>
        <v/>
      </c>
      <c r="P223" s="80">
        <f t="shared" si="18"/>
        <v>0</v>
      </c>
      <c r="Q223" s="154">
        <f t="shared" si="19"/>
        <v>0</v>
      </c>
    </row>
    <row r="224" spans="2:17">
      <c r="B224" s="627">
        <f t="shared" si="15"/>
        <v>219</v>
      </c>
      <c r="C224" s="429">
        <v>43159</v>
      </c>
      <c r="D224" s="816" t="s">
        <v>2525</v>
      </c>
      <c r="E224" s="807">
        <v>100100</v>
      </c>
      <c r="F224" s="629" t="str">
        <f>IFERROR(VLOOKUP(E224,STAT1!$C$4:$D$1000,2,FALSE),"")</f>
        <v>Касс мөнгө MNT</v>
      </c>
      <c r="G224" s="811"/>
      <c r="H224" s="811">
        <v>8082979.114285714</v>
      </c>
      <c r="I224" s="580">
        <f t="shared" si="16"/>
        <v>-8082979.114285714</v>
      </c>
      <c r="J224" s="961">
        <f t="shared" si="17"/>
        <v>0</v>
      </c>
      <c r="K224" s="80"/>
      <c r="L224" s="807">
        <v>1005</v>
      </c>
      <c r="M224" s="80" t="str">
        <f>+IFERROR(VLOOKUP(L224,DATA!$G$4:$H$2000,2,FALSE),"")</f>
        <v>Золжаргал</v>
      </c>
      <c r="N224" s="807">
        <v>51</v>
      </c>
      <c r="O224" s="80" t="str">
        <f>IFERROR(VLOOKUP(N224,DATA!$K$4:$L$51,2,FALSE),"")</f>
        <v>Ажиллагчдад төлсөн</v>
      </c>
      <c r="P224" s="80">
        <f t="shared" si="18"/>
        <v>1</v>
      </c>
      <c r="Q224" s="154">
        <f t="shared" si="19"/>
        <v>1</v>
      </c>
    </row>
    <row r="225" spans="2:17">
      <c r="B225" s="627">
        <f t="shared" si="15"/>
        <v>220</v>
      </c>
      <c r="C225" s="429">
        <v>43159</v>
      </c>
      <c r="D225" s="816" t="s">
        <v>2525</v>
      </c>
      <c r="E225" s="807">
        <v>311000</v>
      </c>
      <c r="F225" s="629" t="str">
        <f>IFERROR(VLOOKUP(E225,STAT1!$C$4:$D$1000,2,FALSE),"")</f>
        <v>Цалингийн өглөг</v>
      </c>
      <c r="G225" s="811">
        <v>8082979.1100000003</v>
      </c>
      <c r="H225" s="811"/>
      <c r="I225" s="580">
        <f t="shared" si="16"/>
        <v>0</v>
      </c>
      <c r="J225" s="961">
        <f t="shared" si="17"/>
        <v>0</v>
      </c>
      <c r="K225" s="80"/>
      <c r="L225" s="807">
        <v>1005</v>
      </c>
      <c r="M225" s="80" t="str">
        <f>+IFERROR(VLOOKUP(L225,DATA!$G$4:$H$2000,2,FALSE),"")</f>
        <v>Золжаргал</v>
      </c>
      <c r="N225" s="807"/>
      <c r="O225" s="80" t="str">
        <f>IFERROR(VLOOKUP(N225,DATA!$K$4:$L$51,2,FALSE),"")</f>
        <v/>
      </c>
      <c r="P225" s="80">
        <f t="shared" si="18"/>
        <v>0</v>
      </c>
      <c r="Q225" s="154">
        <f t="shared" si="19"/>
        <v>0</v>
      </c>
    </row>
    <row r="226" spans="2:17">
      <c r="B226" s="627">
        <f t="shared" si="15"/>
        <v>221</v>
      </c>
      <c r="C226" s="429">
        <v>43159</v>
      </c>
      <c r="D226" s="816" t="s">
        <v>2527</v>
      </c>
      <c r="E226" s="807">
        <v>120100</v>
      </c>
      <c r="F226" s="629" t="str">
        <f>IFERROR(VLOOKUP(E226,STAT1!$C$4:$D$1000,2,FALSE),"")</f>
        <v xml:space="preserve">Дансны авлага MNT </v>
      </c>
      <c r="G226" s="811"/>
      <c r="H226" s="811">
        <v>725529.02</v>
      </c>
      <c r="I226" s="580">
        <f t="shared" si="16"/>
        <v>0</v>
      </c>
      <c r="J226" s="961">
        <f t="shared" si="17"/>
        <v>0</v>
      </c>
      <c r="K226" s="80"/>
      <c r="L226" s="807">
        <v>2004</v>
      </c>
      <c r="M226" s="80" t="str">
        <f>+IFERROR(VLOOKUP(L226,DATA!$G$4:$H$2000,2,FALSE),"")</f>
        <v xml:space="preserve">ДЦС-3 ТӨХК </v>
      </c>
      <c r="N226" s="807"/>
      <c r="O226" s="80" t="str">
        <f>IFERROR(VLOOKUP(N226,DATA!$K$4:$L$51,2,FALSE),"")</f>
        <v/>
      </c>
      <c r="P226" s="80">
        <f t="shared" si="18"/>
        <v>0</v>
      </c>
      <c r="Q226" s="154">
        <f t="shared" si="19"/>
        <v>0</v>
      </c>
    </row>
    <row r="227" spans="2:17">
      <c r="B227" s="627">
        <f t="shared" si="15"/>
        <v>222</v>
      </c>
      <c r="C227" s="429">
        <v>43159</v>
      </c>
      <c r="D227" s="816" t="s">
        <v>2527</v>
      </c>
      <c r="E227" s="807">
        <v>120600</v>
      </c>
      <c r="F227" s="629" t="str">
        <f>IFERROR(VLOOKUP(E227,STAT1!$C$4:$D$1000,2,FALSE),"")</f>
        <v>НӨАТ авлага</v>
      </c>
      <c r="G227" s="811">
        <v>725529.02</v>
      </c>
      <c r="H227" s="811"/>
      <c r="I227" s="580">
        <f t="shared" si="16"/>
        <v>0</v>
      </c>
      <c r="J227" s="961">
        <f t="shared" si="17"/>
        <v>0</v>
      </c>
      <c r="K227" s="80"/>
      <c r="L227" s="807">
        <v>2004</v>
      </c>
      <c r="M227" s="80" t="str">
        <f>+IFERROR(VLOOKUP(L227,DATA!$G$4:$H$2000,2,FALSE),"")</f>
        <v xml:space="preserve">ДЦС-3 ТӨХК </v>
      </c>
      <c r="N227" s="807"/>
      <c r="O227" s="80" t="str">
        <f>IFERROR(VLOOKUP(N227,DATA!$K$4:$L$51,2,FALSE),"")</f>
        <v/>
      </c>
      <c r="P227" s="80">
        <f t="shared" si="18"/>
        <v>0</v>
      </c>
      <c r="Q227" s="154">
        <f t="shared" si="19"/>
        <v>0</v>
      </c>
    </row>
    <row r="228" spans="2:17">
      <c r="B228" s="627">
        <f t="shared" si="15"/>
        <v>223</v>
      </c>
      <c r="C228" s="429">
        <v>43159</v>
      </c>
      <c r="D228" s="816" t="s">
        <v>2530</v>
      </c>
      <c r="E228" s="807">
        <v>700900</v>
      </c>
      <c r="F228" s="629" t="str">
        <f>IFERROR(VLOOKUP(E228,STAT1!$C$4:$D$1000,2,FALSE),"")</f>
        <v>Уур, ус</v>
      </c>
      <c r="G228" s="811"/>
      <c r="H228" s="811">
        <v>8309785.5999999996</v>
      </c>
      <c r="I228" s="580">
        <f t="shared" si="16"/>
        <v>0</v>
      </c>
      <c r="J228" s="961">
        <f t="shared" si="17"/>
        <v>0</v>
      </c>
      <c r="K228" s="80"/>
      <c r="L228" s="807">
        <v>1004</v>
      </c>
      <c r="M228" s="80" t="str">
        <f>+IFERROR(VLOOKUP(L228,DATA!$G$4:$H$2000,2,FALSE),"")</f>
        <v xml:space="preserve">Түмэндэлгэр </v>
      </c>
      <c r="N228" s="807"/>
      <c r="O228" s="80" t="str">
        <f>IFERROR(VLOOKUP(N228,DATA!$K$4:$L$51,2,FALSE),"")</f>
        <v/>
      </c>
      <c r="P228" s="80">
        <f t="shared" si="18"/>
        <v>0</v>
      </c>
      <c r="Q228" s="154">
        <f t="shared" si="19"/>
        <v>0</v>
      </c>
    </row>
    <row r="229" spans="2:17">
      <c r="B229" s="627">
        <f t="shared" si="15"/>
        <v>224</v>
      </c>
      <c r="C229" s="429">
        <v>43159</v>
      </c>
      <c r="D229" s="816" t="s">
        <v>2530</v>
      </c>
      <c r="E229" s="807">
        <v>140400</v>
      </c>
      <c r="F229" s="629" t="str">
        <f>IFERROR(VLOOKUP(E229,STAT1!$C$4:$D$1000,2,FALSE),"")</f>
        <v>ҮНЗардал ХАТААХ ЦЕХ /нарс/</v>
      </c>
      <c r="G229" s="811">
        <v>8309785.5999999996</v>
      </c>
      <c r="H229" s="811"/>
      <c r="I229" s="580">
        <f t="shared" si="16"/>
        <v>0</v>
      </c>
      <c r="J229" s="961">
        <f t="shared" si="17"/>
        <v>0</v>
      </c>
      <c r="K229" s="80"/>
      <c r="L229" s="807">
        <v>1004</v>
      </c>
      <c r="M229" s="80" t="str">
        <f>+IFERROR(VLOOKUP(L229,DATA!$G$4:$H$2000,2,FALSE),"")</f>
        <v xml:space="preserve">Түмэндэлгэр </v>
      </c>
      <c r="N229" s="807"/>
      <c r="O229" s="80" t="str">
        <f>IFERROR(VLOOKUP(N229,DATA!$K$4:$L$51,2,FALSE),"")</f>
        <v/>
      </c>
      <c r="P229" s="80">
        <f t="shared" si="18"/>
        <v>0</v>
      </c>
      <c r="Q229" s="154">
        <f t="shared" si="19"/>
        <v>0</v>
      </c>
    </row>
    <row r="230" spans="2:17">
      <c r="B230" s="627">
        <f t="shared" si="15"/>
        <v>225</v>
      </c>
      <c r="C230" s="429">
        <v>43159</v>
      </c>
      <c r="D230" s="816" t="s">
        <v>2532</v>
      </c>
      <c r="E230" s="807">
        <v>140200</v>
      </c>
      <c r="F230" s="629" t="str">
        <f>IFERROR(VLOOKUP(E230,STAT1!$C$4:$D$1000,2,FALSE),"")</f>
        <v>ШМЗардал ХАТААХ ЦЕХ /нарс/</v>
      </c>
      <c r="G230" s="811"/>
      <c r="H230" s="811">
        <v>35703104.289999999</v>
      </c>
      <c r="I230" s="580">
        <f t="shared" si="16"/>
        <v>0</v>
      </c>
      <c r="J230" s="961">
        <f t="shared" si="17"/>
        <v>0</v>
      </c>
      <c r="K230" s="80"/>
      <c r="L230" s="807">
        <v>1004</v>
      </c>
      <c r="M230" s="80" t="str">
        <f>+IFERROR(VLOOKUP(L230,DATA!$G$4:$H$2000,2,FALSE),"")</f>
        <v xml:space="preserve">Түмэндэлгэр </v>
      </c>
      <c r="N230" s="807"/>
      <c r="O230" s="80" t="str">
        <f>IFERROR(VLOOKUP(N230,DATA!$K$4:$L$51,2,FALSE),"")</f>
        <v/>
      </c>
      <c r="P230" s="80">
        <f t="shared" si="18"/>
        <v>0</v>
      </c>
      <c r="Q230" s="154">
        <f t="shared" si="19"/>
        <v>0</v>
      </c>
    </row>
    <row r="231" spans="2:17">
      <c r="B231" s="627">
        <f t="shared" si="15"/>
        <v>226</v>
      </c>
      <c r="C231" s="429">
        <v>43159</v>
      </c>
      <c r="D231" s="816" t="s">
        <v>2532</v>
      </c>
      <c r="E231" s="807">
        <v>140400</v>
      </c>
      <c r="F231" s="629" t="str">
        <f>IFERROR(VLOOKUP(E231,STAT1!$C$4:$D$1000,2,FALSE),"")</f>
        <v>ҮНЗардал ХАТААХ ЦЕХ /нарс/</v>
      </c>
      <c r="G231" s="811"/>
      <c r="H231" s="811">
        <v>8309785.5999999996</v>
      </c>
      <c r="I231" s="580">
        <f t="shared" si="16"/>
        <v>0</v>
      </c>
      <c r="J231" s="961">
        <f t="shared" si="17"/>
        <v>0</v>
      </c>
      <c r="K231" s="80"/>
      <c r="L231" s="807">
        <v>1004</v>
      </c>
      <c r="M231" s="80" t="str">
        <f>+IFERROR(VLOOKUP(L231,DATA!$G$4:$H$2000,2,FALSE),"")</f>
        <v xml:space="preserve">Түмэндэлгэр </v>
      </c>
      <c r="N231" s="807"/>
      <c r="O231" s="80" t="str">
        <f>IFERROR(VLOOKUP(N231,DATA!$K$4:$L$51,2,FALSE),"")</f>
        <v/>
      </c>
      <c r="P231" s="80">
        <f t="shared" si="18"/>
        <v>0</v>
      </c>
      <c r="Q231" s="154">
        <f t="shared" si="19"/>
        <v>0</v>
      </c>
    </row>
    <row r="232" spans="2:17">
      <c r="B232" s="627">
        <f t="shared" si="15"/>
        <v>227</v>
      </c>
      <c r="C232" s="429">
        <v>43159</v>
      </c>
      <c r="D232" s="816" t="s">
        <v>2532</v>
      </c>
      <c r="E232" s="807">
        <v>140500</v>
      </c>
      <c r="F232" s="629" t="str">
        <f>IFERROR(VLOOKUP(E232,STAT1!$C$4:$D$1000,2,FALSE),"")</f>
        <v>Нэгтгэл зардал ХАТААХ ЦЕХ /нарс/</v>
      </c>
      <c r="G232" s="811">
        <v>44012889.890000001</v>
      </c>
      <c r="H232" s="811"/>
      <c r="I232" s="580">
        <f t="shared" si="16"/>
        <v>0</v>
      </c>
      <c r="J232" s="961">
        <f t="shared" si="17"/>
        <v>0</v>
      </c>
      <c r="K232" s="80"/>
      <c r="L232" s="807">
        <v>1004</v>
      </c>
      <c r="M232" s="80" t="str">
        <f>+IFERROR(VLOOKUP(L232,DATA!$G$4:$H$2000,2,FALSE),"")</f>
        <v xml:space="preserve">Түмэндэлгэр </v>
      </c>
      <c r="N232" s="807"/>
      <c r="O232" s="80" t="str">
        <f>IFERROR(VLOOKUP(N232,DATA!$K$4:$L$51,2,FALSE),"")</f>
        <v/>
      </c>
      <c r="P232" s="80">
        <f t="shared" si="18"/>
        <v>0</v>
      </c>
      <c r="Q232" s="154">
        <f t="shared" si="19"/>
        <v>0</v>
      </c>
    </row>
    <row r="233" spans="2:17">
      <c r="B233" s="627">
        <f t="shared" si="15"/>
        <v>228</v>
      </c>
      <c r="C233" s="429">
        <v>43159</v>
      </c>
      <c r="D233" s="816" t="s">
        <v>2531</v>
      </c>
      <c r="E233" s="807">
        <v>150100</v>
      </c>
      <c r="F233" s="629" t="str">
        <f>IFERROR(VLOOKUP(E233,STAT1!$C$4:$D$1000,2,FALSE),"")</f>
        <v>Бараа бэлэн бүтээгдэхүүн ХАТААХ ЦЕХ /нарс/</v>
      </c>
      <c r="G233" s="811">
        <v>44012889.890000001</v>
      </c>
      <c r="H233" s="811"/>
      <c r="I233" s="580">
        <f t="shared" si="16"/>
        <v>0</v>
      </c>
      <c r="J233" s="961">
        <f t="shared" si="17"/>
        <v>0</v>
      </c>
      <c r="K233" s="80"/>
      <c r="L233" s="807">
        <v>1004</v>
      </c>
      <c r="M233" s="80" t="str">
        <f>+IFERROR(VLOOKUP(L233,DATA!$G$4:$H$2000,2,FALSE),"")</f>
        <v xml:space="preserve">Түмэндэлгэр </v>
      </c>
      <c r="N233" s="807"/>
      <c r="O233" s="80" t="str">
        <f>IFERROR(VLOOKUP(N233,DATA!$K$4:$L$51,2,FALSE),"")</f>
        <v/>
      </c>
      <c r="P233" s="80">
        <f t="shared" si="18"/>
        <v>0</v>
      </c>
      <c r="Q233" s="154">
        <f t="shared" si="19"/>
        <v>0</v>
      </c>
    </row>
    <row r="234" spans="2:17">
      <c r="B234" s="627">
        <f t="shared" si="15"/>
        <v>229</v>
      </c>
      <c r="C234" s="429">
        <v>43159</v>
      </c>
      <c r="D234" s="816" t="s">
        <v>2531</v>
      </c>
      <c r="E234" s="807">
        <v>140500</v>
      </c>
      <c r="F234" s="629" t="str">
        <f>IFERROR(VLOOKUP(E234,STAT1!$C$4:$D$1000,2,FALSE),"")</f>
        <v>Нэгтгэл зардал ХАТААХ ЦЕХ /нарс/</v>
      </c>
      <c r="G234" s="811"/>
      <c r="H234" s="811">
        <v>44012889.890000001</v>
      </c>
      <c r="I234" s="580">
        <f t="shared" si="16"/>
        <v>0</v>
      </c>
      <c r="J234" s="961">
        <f t="shared" si="17"/>
        <v>0</v>
      </c>
      <c r="K234" s="80"/>
      <c r="L234" s="807">
        <v>1004</v>
      </c>
      <c r="M234" s="80" t="str">
        <f>+IFERROR(VLOOKUP(L234,DATA!$G$4:$H$2000,2,FALSE),"")</f>
        <v xml:space="preserve">Түмэндэлгэр </v>
      </c>
      <c r="N234" s="807"/>
      <c r="O234" s="80" t="str">
        <f>IFERROR(VLOOKUP(N234,DATA!$K$4:$L$51,2,FALSE),"")</f>
        <v/>
      </c>
      <c r="P234" s="80">
        <f t="shared" si="18"/>
        <v>0</v>
      </c>
      <c r="Q234" s="154">
        <f t="shared" si="19"/>
        <v>0</v>
      </c>
    </row>
    <row r="235" spans="2:17">
      <c r="B235" s="627">
        <f t="shared" si="15"/>
        <v>230</v>
      </c>
      <c r="C235" s="429">
        <v>43159</v>
      </c>
      <c r="D235" s="816" t="s">
        <v>2534</v>
      </c>
      <c r="E235" s="807">
        <v>100100</v>
      </c>
      <c r="F235" s="629" t="str">
        <f>IFERROR(VLOOKUP(E235,STAT1!$C$4:$D$1000,2,FALSE),"")</f>
        <v>Касс мөнгө MNT</v>
      </c>
      <c r="G235" s="811"/>
      <c r="H235" s="811">
        <v>1500000</v>
      </c>
      <c r="I235" s="580">
        <f t="shared" si="16"/>
        <v>-1500000</v>
      </c>
      <c r="J235" s="961">
        <f t="shared" si="17"/>
        <v>0</v>
      </c>
      <c r="K235" s="80"/>
      <c r="L235" s="807">
        <v>2012</v>
      </c>
      <c r="M235" s="80" t="str">
        <f>+IFERROR(VLOOKUP(L235,DATA!$G$4:$H$2000,2,FALSE),"")</f>
        <v>ИХ ТУГЧ ХХК</v>
      </c>
      <c r="N235" s="807">
        <v>59</v>
      </c>
      <c r="O235" s="80" t="str">
        <f>IFERROR(VLOOKUP(N235,DATA!$K$4:$L$51,2,FALSE),"")</f>
        <v>Бусад мөнгөн зарлага</v>
      </c>
      <c r="P235" s="80">
        <f t="shared" si="18"/>
        <v>1</v>
      </c>
      <c r="Q235" s="154">
        <f t="shared" si="19"/>
        <v>1</v>
      </c>
    </row>
    <row r="236" spans="2:17">
      <c r="B236" s="627">
        <f t="shared" si="15"/>
        <v>231</v>
      </c>
      <c r="C236" s="429">
        <v>43159</v>
      </c>
      <c r="D236" s="816" t="s">
        <v>2534</v>
      </c>
      <c r="E236" s="807">
        <v>705800</v>
      </c>
      <c r="F236" s="629" t="str">
        <f>IFERROR(VLOOKUP(E236,STAT1!$C$4:$D$1000,2,FALSE),"")</f>
        <v>Харуул хамгаалалт</v>
      </c>
      <c r="G236" s="811">
        <v>1500000</v>
      </c>
      <c r="H236" s="811"/>
      <c r="I236" s="580">
        <f t="shared" si="16"/>
        <v>0</v>
      </c>
      <c r="J236" s="961">
        <f t="shared" si="17"/>
        <v>0</v>
      </c>
      <c r="K236" s="80"/>
      <c r="L236" s="807">
        <v>2012</v>
      </c>
      <c r="M236" s="80" t="str">
        <f>+IFERROR(VLOOKUP(L236,DATA!$G$4:$H$2000,2,FALSE),"")</f>
        <v>ИХ ТУГЧ ХХК</v>
      </c>
      <c r="N236" s="807"/>
      <c r="O236" s="80" t="str">
        <f>IFERROR(VLOOKUP(N236,DATA!$K$4:$L$51,2,FALSE),"")</f>
        <v/>
      </c>
      <c r="P236" s="80">
        <f t="shared" si="18"/>
        <v>0</v>
      </c>
      <c r="Q236" s="154">
        <f t="shared" si="19"/>
        <v>0</v>
      </c>
    </row>
    <row r="237" spans="2:17">
      <c r="B237" s="627">
        <f t="shared" si="15"/>
        <v>232</v>
      </c>
      <c r="C237" s="429">
        <v>43159</v>
      </c>
      <c r="D237" s="816" t="s">
        <v>2549</v>
      </c>
      <c r="E237" s="807">
        <v>150101</v>
      </c>
      <c r="F237" s="629" t="str">
        <f>IFERROR(VLOOKUP(E237,STAT1!$C$4:$D$1000,2,FALSE),"")</f>
        <v>Бараа бэлэн бүтээгдэхүүн БОЛОВСРУУЛАХ ЦЕХ /нарс/</v>
      </c>
      <c r="G237" s="811"/>
      <c r="H237" s="811">
        <v>5616699.6313958066</v>
      </c>
      <c r="I237" s="580">
        <f t="shared" si="16"/>
        <v>0</v>
      </c>
      <c r="J237" s="961">
        <f t="shared" si="17"/>
        <v>0</v>
      </c>
      <c r="K237" s="80"/>
      <c r="L237" s="807">
        <v>3118</v>
      </c>
      <c r="M237" s="80" t="str">
        <f>+IFERROR(VLOOKUP(L237,DATA!$G$4:$H$2000,2,FALSE),"")</f>
        <v>САММИТ ТЕХ КОМ ХХК</v>
      </c>
      <c r="N237" s="807"/>
      <c r="O237" s="80" t="str">
        <f>IFERROR(VLOOKUP(N237,DATA!$K$4:$L$51,2,FALSE),"")</f>
        <v/>
      </c>
      <c r="P237" s="80">
        <f t="shared" si="18"/>
        <v>0</v>
      </c>
      <c r="Q237" s="154">
        <f t="shared" si="19"/>
        <v>0</v>
      </c>
    </row>
    <row r="238" spans="2:17">
      <c r="B238" s="627">
        <f t="shared" si="15"/>
        <v>233</v>
      </c>
      <c r="C238" s="429">
        <v>43159</v>
      </c>
      <c r="D238" s="816" t="s">
        <v>2549</v>
      </c>
      <c r="E238" s="807">
        <v>610100</v>
      </c>
      <c r="F238" s="629" t="str">
        <f>IFERROR(VLOOKUP(E238,STAT1!$C$4:$D$1000,2,FALSE),"")</f>
        <v>Борлуулсан барааны өртөг</v>
      </c>
      <c r="G238" s="811">
        <v>5616699.6313958066</v>
      </c>
      <c r="H238" s="811"/>
      <c r="I238" s="580">
        <f t="shared" si="16"/>
        <v>0</v>
      </c>
      <c r="J238" s="961">
        <f t="shared" si="17"/>
        <v>0</v>
      </c>
      <c r="K238" s="80"/>
      <c r="L238" s="807">
        <v>3118</v>
      </c>
      <c r="M238" s="80" t="str">
        <f>+IFERROR(VLOOKUP(L238,DATA!$G$4:$H$2000,2,FALSE),"")</f>
        <v>САММИТ ТЕХ КОМ ХХК</v>
      </c>
      <c r="N238" s="807"/>
      <c r="O238" s="80" t="str">
        <f>IFERROR(VLOOKUP(N238,DATA!$K$4:$L$51,2,FALSE),"")</f>
        <v/>
      </c>
      <c r="P238" s="80">
        <f t="shared" si="18"/>
        <v>0</v>
      </c>
      <c r="Q238" s="154">
        <f t="shared" si="19"/>
        <v>0</v>
      </c>
    </row>
    <row r="239" spans="2:17">
      <c r="B239" s="627">
        <f t="shared" si="15"/>
        <v>234</v>
      </c>
      <c r="C239" s="429">
        <v>43159</v>
      </c>
      <c r="D239" s="816" t="s">
        <v>2549</v>
      </c>
      <c r="E239" s="807">
        <v>310500</v>
      </c>
      <c r="F239" s="629" t="str">
        <f>IFERROR(VLOOKUP(E239,STAT1!$C$4:$D$1000,2,FALSE),"")</f>
        <v>НӨАТ өглөг</v>
      </c>
      <c r="G239" s="811"/>
      <c r="H239" s="811">
        <v>1015250</v>
      </c>
      <c r="I239" s="580">
        <f t="shared" si="16"/>
        <v>0</v>
      </c>
      <c r="J239" s="961">
        <f t="shared" si="17"/>
        <v>0</v>
      </c>
      <c r="K239" s="80"/>
      <c r="L239" s="807">
        <v>3118</v>
      </c>
      <c r="M239" s="80" t="str">
        <f>+IFERROR(VLOOKUP(L239,DATA!$G$4:$H$2000,2,FALSE),"")</f>
        <v>САММИТ ТЕХ КОМ ХХК</v>
      </c>
      <c r="N239" s="807"/>
      <c r="O239" s="80" t="str">
        <f>IFERROR(VLOOKUP(N239,DATA!$K$4:$L$51,2,FALSE),"")</f>
        <v/>
      </c>
      <c r="P239" s="80">
        <f t="shared" si="18"/>
        <v>0</v>
      </c>
      <c r="Q239" s="154">
        <f t="shared" si="19"/>
        <v>0</v>
      </c>
    </row>
    <row r="240" spans="2:17">
      <c r="B240" s="627">
        <f t="shared" si="15"/>
        <v>235</v>
      </c>
      <c r="C240" s="429">
        <v>43159</v>
      </c>
      <c r="D240" s="816" t="s">
        <v>2549</v>
      </c>
      <c r="E240" s="807">
        <v>510000</v>
      </c>
      <c r="F240" s="629" t="str">
        <f>IFERROR(VLOOKUP(E240,STAT1!$C$4:$D$1000,2,FALSE),"")</f>
        <v>Үндсэн үйл ажиллагааны борлуулалт</v>
      </c>
      <c r="G240" s="811"/>
      <c r="H240" s="811">
        <v>10152500</v>
      </c>
      <c r="I240" s="580">
        <f t="shared" si="16"/>
        <v>0</v>
      </c>
      <c r="J240" s="961">
        <f t="shared" si="17"/>
        <v>0</v>
      </c>
      <c r="K240" s="80"/>
      <c r="L240" s="807">
        <v>3118</v>
      </c>
      <c r="M240" s="80" t="str">
        <f>+IFERROR(VLOOKUP(L240,DATA!$G$4:$H$2000,2,FALSE),"")</f>
        <v>САММИТ ТЕХ КОМ ХХК</v>
      </c>
      <c r="N240" s="807"/>
      <c r="O240" s="80" t="str">
        <f>IFERROR(VLOOKUP(N240,DATA!$K$4:$L$51,2,FALSE),"")</f>
        <v/>
      </c>
      <c r="P240" s="80">
        <f t="shared" si="18"/>
        <v>0</v>
      </c>
      <c r="Q240" s="154">
        <f t="shared" si="19"/>
        <v>0</v>
      </c>
    </row>
    <row r="241" spans="2:17">
      <c r="B241" s="627">
        <f t="shared" si="15"/>
        <v>236</v>
      </c>
      <c r="C241" s="429">
        <v>43159</v>
      </c>
      <c r="D241" s="816" t="s">
        <v>2549</v>
      </c>
      <c r="E241" s="807">
        <v>320100</v>
      </c>
      <c r="F241" s="629" t="str">
        <f>IFERROR(VLOOKUP(E241,STAT1!$C$4:$D$1000,2,FALSE),"")</f>
        <v>Урьдчилж орсон орлого MNT</v>
      </c>
      <c r="G241" s="811">
        <v>11167750</v>
      </c>
      <c r="H241" s="811"/>
      <c r="I241" s="580">
        <f t="shared" si="16"/>
        <v>0</v>
      </c>
      <c r="J241" s="961">
        <f t="shared" si="17"/>
        <v>0</v>
      </c>
      <c r="K241" s="80"/>
      <c r="L241" s="807">
        <v>3118</v>
      </c>
      <c r="M241" s="80" t="str">
        <f>+IFERROR(VLOOKUP(L241,DATA!$G$4:$H$2000,2,FALSE),"")</f>
        <v>САММИТ ТЕХ КОМ ХХК</v>
      </c>
      <c r="N241" s="807"/>
      <c r="O241" s="80" t="str">
        <f>IFERROR(VLOOKUP(N241,DATA!$K$4:$L$51,2,FALSE),"")</f>
        <v/>
      </c>
      <c r="P241" s="80">
        <f t="shared" si="18"/>
        <v>0</v>
      </c>
      <c r="Q241" s="154">
        <f t="shared" si="19"/>
        <v>0</v>
      </c>
    </row>
    <row r="242" spans="2:17">
      <c r="B242" s="627">
        <f t="shared" si="15"/>
        <v>237</v>
      </c>
      <c r="C242" s="429">
        <v>43162</v>
      </c>
      <c r="D242" s="816" t="s">
        <v>1570</v>
      </c>
      <c r="E242" s="807">
        <v>100100</v>
      </c>
      <c r="F242" s="629" t="str">
        <f>IFERROR(VLOOKUP(E242,STAT1!$C$4:$D$1000,2,FALSE),"")</f>
        <v>Касс мөнгө MNT</v>
      </c>
      <c r="G242" s="811"/>
      <c r="H242" s="811">
        <v>100000</v>
      </c>
      <c r="I242" s="580">
        <f t="shared" si="16"/>
        <v>-100000</v>
      </c>
      <c r="J242" s="961">
        <f t="shared" si="17"/>
        <v>0</v>
      </c>
      <c r="K242" s="80"/>
      <c r="L242" s="807">
        <v>1003</v>
      </c>
      <c r="M242" s="80" t="str">
        <f>+IFERROR(VLOOKUP(L242,DATA!$G$4:$H$2000,2,FALSE),"")</f>
        <v>Бахдамдэмбэрэл</v>
      </c>
      <c r="N242" s="807">
        <v>55</v>
      </c>
      <c r="O242" s="80" t="str">
        <f>IFERROR(VLOOKUP(N242,DATA!$K$4:$L$51,2,FALSE),"")</f>
        <v>Түлш, шатахуун, тээврийн хөлс, сэлбэг хэрэгсэлд төлсөн</v>
      </c>
      <c r="P242" s="80">
        <f t="shared" si="18"/>
        <v>1</v>
      </c>
      <c r="Q242" s="154">
        <f t="shared" si="19"/>
        <v>1</v>
      </c>
    </row>
    <row r="243" spans="2:17">
      <c r="B243" s="627">
        <f t="shared" si="15"/>
        <v>238</v>
      </c>
      <c r="C243" s="429">
        <v>43162</v>
      </c>
      <c r="D243" s="816" t="s">
        <v>1570</v>
      </c>
      <c r="E243" s="807">
        <v>120600</v>
      </c>
      <c r="F243" s="629" t="str">
        <f>IFERROR(VLOOKUP(E243,STAT1!$C$4:$D$1000,2,FALSE),"")</f>
        <v>НӨАТ авлага</v>
      </c>
      <c r="G243" s="811">
        <v>9090.9090909090901</v>
      </c>
      <c r="H243" s="811"/>
      <c r="I243" s="580">
        <f t="shared" si="16"/>
        <v>0</v>
      </c>
      <c r="J243" s="961">
        <f t="shared" si="17"/>
        <v>0</v>
      </c>
      <c r="K243" s="80"/>
      <c r="L243" s="807">
        <v>1003</v>
      </c>
      <c r="M243" s="80" t="str">
        <f>+IFERROR(VLOOKUP(L243,DATA!$G$4:$H$2000,2,FALSE),"")</f>
        <v>Бахдамдэмбэрэл</v>
      </c>
      <c r="N243" s="807"/>
      <c r="O243" s="80"/>
      <c r="P243" s="80">
        <f t="shared" si="18"/>
        <v>0</v>
      </c>
      <c r="Q243" s="154">
        <f t="shared" si="19"/>
        <v>0</v>
      </c>
    </row>
    <row r="244" spans="2:17">
      <c r="B244" s="627">
        <f t="shared" si="15"/>
        <v>239</v>
      </c>
      <c r="C244" s="429">
        <v>43162</v>
      </c>
      <c r="D244" s="816" t="s">
        <v>1570</v>
      </c>
      <c r="E244" s="807">
        <v>702000</v>
      </c>
      <c r="F244" s="629" t="str">
        <f>IFERROR(VLOOKUP(E244,STAT1!$C$4:$D$1000,2,FALSE),"")</f>
        <v>Түлш, шатахуун</v>
      </c>
      <c r="G244" s="811">
        <v>90909.090909090897</v>
      </c>
      <c r="H244" s="811"/>
      <c r="I244" s="580">
        <f t="shared" si="16"/>
        <v>0</v>
      </c>
      <c r="J244" s="961">
        <f t="shared" si="17"/>
        <v>0</v>
      </c>
      <c r="K244" s="80"/>
      <c r="L244" s="807">
        <v>1003</v>
      </c>
      <c r="M244" s="80" t="str">
        <f>+IFERROR(VLOOKUP(L244,DATA!$G$4:$H$2000,2,FALSE),"")</f>
        <v>Бахдамдэмбэрэл</v>
      </c>
      <c r="N244" s="807"/>
      <c r="O244" s="80" t="str">
        <f>IFERROR(VLOOKUP(N244,DATA!$K$4:$L$51,2,FALSE),"")</f>
        <v/>
      </c>
      <c r="P244" s="80">
        <f t="shared" si="18"/>
        <v>0</v>
      </c>
      <c r="Q244" s="154">
        <f t="shared" si="19"/>
        <v>0</v>
      </c>
    </row>
    <row r="245" spans="2:17">
      <c r="B245" s="627">
        <f t="shared" si="15"/>
        <v>240</v>
      </c>
      <c r="C245" s="429">
        <v>43165</v>
      </c>
      <c r="D245" s="816" t="s">
        <v>2405</v>
      </c>
      <c r="E245" s="807">
        <v>140100</v>
      </c>
      <c r="F245" s="629" t="str">
        <f>IFERROR(VLOOKUP(E245,STAT1!$C$4:$D$1000,2,FALSE),"")</f>
        <v>Түүхий эд материал</v>
      </c>
      <c r="G245" s="811"/>
      <c r="H245" s="811">
        <v>34492829.579999998</v>
      </c>
      <c r="I245" s="580">
        <f t="shared" si="16"/>
        <v>0</v>
      </c>
      <c r="J245" s="961">
        <f t="shared" si="17"/>
        <v>0</v>
      </c>
      <c r="K245" s="80"/>
      <c r="L245" s="807">
        <v>1004</v>
      </c>
      <c r="M245" s="80" t="str">
        <f>+IFERROR(VLOOKUP(L245,DATA!$G$4:$H$2000,2,FALSE),"")</f>
        <v xml:space="preserve">Түмэндэлгэр </v>
      </c>
      <c r="N245" s="807"/>
      <c r="O245" s="80" t="str">
        <f>IFERROR(VLOOKUP(N245,DATA!$K$4:$L$51,2,FALSE),"")</f>
        <v/>
      </c>
      <c r="P245" s="80">
        <f t="shared" si="18"/>
        <v>0</v>
      </c>
      <c r="Q245" s="154">
        <f t="shared" si="19"/>
        <v>0</v>
      </c>
    </row>
    <row r="246" spans="2:17">
      <c r="B246" s="627">
        <f t="shared" si="15"/>
        <v>241</v>
      </c>
      <c r="C246" s="429">
        <v>43165</v>
      </c>
      <c r="D246" s="816" t="s">
        <v>2405</v>
      </c>
      <c r="E246" s="807">
        <v>140200</v>
      </c>
      <c r="F246" s="629" t="str">
        <f>IFERROR(VLOOKUP(E246,STAT1!$C$4:$D$1000,2,FALSE),"")</f>
        <v>ШМЗардал ХАТААХ ЦЕХ /нарс/</v>
      </c>
      <c r="G246" s="811">
        <v>34492829.579999998</v>
      </c>
      <c r="H246" s="811"/>
      <c r="I246" s="580">
        <f t="shared" si="16"/>
        <v>0</v>
      </c>
      <c r="J246" s="961">
        <f t="shared" si="17"/>
        <v>0</v>
      </c>
      <c r="K246" s="80"/>
      <c r="L246" s="807">
        <v>1004</v>
      </c>
      <c r="M246" s="80" t="str">
        <f>+IFERROR(VLOOKUP(L246,DATA!$G$4:$H$2000,2,FALSE),"")</f>
        <v xml:space="preserve">Түмэндэлгэр </v>
      </c>
      <c r="N246" s="807"/>
      <c r="O246" s="80" t="str">
        <f>IFERROR(VLOOKUP(N246,DATA!$K$4:$L$51,2,FALSE),"")</f>
        <v/>
      </c>
      <c r="P246" s="80">
        <f t="shared" si="18"/>
        <v>0</v>
      </c>
      <c r="Q246" s="154">
        <f t="shared" si="19"/>
        <v>0</v>
      </c>
    </row>
    <row r="247" spans="2:17">
      <c r="B247" s="627">
        <f t="shared" si="15"/>
        <v>242</v>
      </c>
      <c r="C247" s="429">
        <v>43165</v>
      </c>
      <c r="D247" s="816" t="s">
        <v>2530</v>
      </c>
      <c r="E247" s="807">
        <v>700900</v>
      </c>
      <c r="F247" s="629" t="str">
        <f>IFERROR(VLOOKUP(E247,STAT1!$C$4:$D$1000,2,FALSE),"")</f>
        <v>Уур, ус</v>
      </c>
      <c r="G247" s="811"/>
      <c r="H247" s="811">
        <f>230000+5884584.45</f>
        <v>6114584.4500000002</v>
      </c>
      <c r="I247" s="580">
        <f t="shared" si="16"/>
        <v>0</v>
      </c>
      <c r="J247" s="961">
        <f t="shared" si="17"/>
        <v>0</v>
      </c>
      <c r="K247" s="80"/>
      <c r="L247" s="807">
        <v>1004</v>
      </c>
      <c r="M247" s="80" t="str">
        <f>+IFERROR(VLOOKUP(L247,DATA!$G$4:$H$2000,2,FALSE),"")</f>
        <v xml:space="preserve">Түмэндэлгэр </v>
      </c>
      <c r="N247" s="807"/>
      <c r="O247" s="80" t="str">
        <f>IFERROR(VLOOKUP(N247,DATA!$K$4:$L$51,2,FALSE),"")</f>
        <v/>
      </c>
      <c r="P247" s="80">
        <f t="shared" si="18"/>
        <v>0</v>
      </c>
      <c r="Q247" s="154">
        <f t="shared" si="19"/>
        <v>0</v>
      </c>
    </row>
    <row r="248" spans="2:17">
      <c r="B248" s="627">
        <f t="shared" si="15"/>
        <v>243</v>
      </c>
      <c r="C248" s="429">
        <v>43165</v>
      </c>
      <c r="D248" s="816" t="s">
        <v>2530</v>
      </c>
      <c r="E248" s="807">
        <v>140400</v>
      </c>
      <c r="F248" s="629" t="str">
        <f>IFERROR(VLOOKUP(E248,STAT1!$C$4:$D$1000,2,FALSE),"")</f>
        <v>ҮНЗардал ХАТААХ ЦЕХ /нарс/</v>
      </c>
      <c r="G248" s="811">
        <f>230000+5884584.45</f>
        <v>6114584.4500000002</v>
      </c>
      <c r="H248" s="811"/>
      <c r="I248" s="580">
        <f t="shared" si="16"/>
        <v>0</v>
      </c>
      <c r="J248" s="961">
        <f t="shared" si="17"/>
        <v>0</v>
      </c>
      <c r="K248" s="80"/>
      <c r="L248" s="807">
        <v>1004</v>
      </c>
      <c r="M248" s="80" t="str">
        <f>+IFERROR(VLOOKUP(L248,DATA!$G$4:$H$2000,2,FALSE),"")</f>
        <v xml:space="preserve">Түмэндэлгэр </v>
      </c>
      <c r="N248" s="807"/>
      <c r="O248" s="80" t="str">
        <f>IFERROR(VLOOKUP(N248,DATA!$K$4:$L$51,2,FALSE),"")</f>
        <v/>
      </c>
      <c r="P248" s="80">
        <f t="shared" si="18"/>
        <v>0</v>
      </c>
      <c r="Q248" s="154">
        <f t="shared" si="19"/>
        <v>0</v>
      </c>
    </row>
    <row r="249" spans="2:17">
      <c r="B249" s="627">
        <f t="shared" si="15"/>
        <v>244</v>
      </c>
      <c r="C249" s="429">
        <v>43165</v>
      </c>
      <c r="D249" s="816" t="s">
        <v>2531</v>
      </c>
      <c r="E249" s="807">
        <v>150100</v>
      </c>
      <c r="F249" s="629" t="str">
        <f>IFERROR(VLOOKUP(E249,STAT1!$C$4:$D$1000,2,FALSE),"")</f>
        <v>Бараа бэлэн бүтээгдэхүүн ХАТААХ ЦЕХ /нарс/</v>
      </c>
      <c r="G249" s="811">
        <f>+G248+H245</f>
        <v>40607414.030000001</v>
      </c>
      <c r="H249" s="811"/>
      <c r="I249" s="580">
        <f t="shared" si="16"/>
        <v>0</v>
      </c>
      <c r="J249" s="961">
        <f t="shared" si="17"/>
        <v>0</v>
      </c>
      <c r="K249" s="80"/>
      <c r="L249" s="807">
        <v>1004</v>
      </c>
      <c r="M249" s="80" t="str">
        <f>+IFERROR(VLOOKUP(L249,DATA!$G$4:$H$2000,2,FALSE),"")</f>
        <v xml:space="preserve">Түмэндэлгэр </v>
      </c>
      <c r="N249" s="807"/>
      <c r="O249" s="80" t="str">
        <f>IFERROR(VLOOKUP(N249,DATA!$K$4:$L$51,2,FALSE),"")</f>
        <v/>
      </c>
      <c r="P249" s="80">
        <f t="shared" si="18"/>
        <v>0</v>
      </c>
      <c r="Q249" s="154">
        <f t="shared" si="19"/>
        <v>0</v>
      </c>
    </row>
    <row r="250" spans="2:17">
      <c r="B250" s="627">
        <f t="shared" si="15"/>
        <v>245</v>
      </c>
      <c r="C250" s="429">
        <v>43165</v>
      </c>
      <c r="D250" s="816" t="s">
        <v>2531</v>
      </c>
      <c r="E250" s="807">
        <v>140500</v>
      </c>
      <c r="F250" s="629" t="str">
        <f>IFERROR(VLOOKUP(E250,STAT1!$C$4:$D$1000,2,FALSE),"")</f>
        <v>Нэгтгэл зардал ХАТААХ ЦЕХ /нарс/</v>
      </c>
      <c r="G250" s="811"/>
      <c r="H250" s="811">
        <v>40607414.030000001</v>
      </c>
      <c r="I250" s="580">
        <f t="shared" si="16"/>
        <v>0</v>
      </c>
      <c r="J250" s="961">
        <f t="shared" si="17"/>
        <v>0</v>
      </c>
      <c r="K250" s="80"/>
      <c r="L250" s="807">
        <v>1004</v>
      </c>
      <c r="M250" s="80" t="str">
        <f>+IFERROR(VLOOKUP(L250,DATA!$G$4:$H$2000,2,FALSE),"")</f>
        <v xml:space="preserve">Түмэндэлгэр </v>
      </c>
      <c r="N250" s="807"/>
      <c r="O250" s="80" t="str">
        <f>IFERROR(VLOOKUP(N250,DATA!$K$4:$L$51,2,FALSE),"")</f>
        <v/>
      </c>
      <c r="P250" s="80">
        <f t="shared" si="18"/>
        <v>0</v>
      </c>
      <c r="Q250" s="154">
        <f t="shared" si="19"/>
        <v>0</v>
      </c>
    </row>
    <row r="251" spans="2:17">
      <c r="B251" s="627">
        <f t="shared" si="15"/>
        <v>246</v>
      </c>
      <c r="C251" s="429">
        <v>43165</v>
      </c>
      <c r="D251" s="816" t="s">
        <v>2549</v>
      </c>
      <c r="E251" s="807">
        <v>160100</v>
      </c>
      <c r="F251" s="629" t="str">
        <f>IFERROR(VLOOKUP(E251,STAT1!$C$4:$D$1000,2,FALSE),"")</f>
        <v xml:space="preserve">Барилгын материал </v>
      </c>
      <c r="G251" s="811">
        <v>177454.54545454544</v>
      </c>
      <c r="H251" s="811"/>
      <c r="I251" s="580">
        <f t="shared" si="16"/>
        <v>0</v>
      </c>
      <c r="J251" s="961">
        <f t="shared" si="17"/>
        <v>0</v>
      </c>
      <c r="K251" s="80"/>
      <c r="L251" s="807">
        <v>1008</v>
      </c>
      <c r="M251" s="80" t="str">
        <f>+IFERROR(VLOOKUP(L251,DATA!$G$4:$H$2000,2,FALSE),"")</f>
        <v xml:space="preserve">Оюунтүлхүүр </v>
      </c>
      <c r="N251" s="807"/>
      <c r="O251" s="80"/>
      <c r="P251" s="80">
        <f t="shared" si="18"/>
        <v>0</v>
      </c>
      <c r="Q251" s="154">
        <f t="shared" si="19"/>
        <v>0</v>
      </c>
    </row>
    <row r="252" spans="2:17">
      <c r="B252" s="627">
        <f t="shared" si="15"/>
        <v>247</v>
      </c>
      <c r="C252" s="429">
        <v>43165</v>
      </c>
      <c r="D252" s="816" t="s">
        <v>2549</v>
      </c>
      <c r="E252" s="807">
        <v>160100</v>
      </c>
      <c r="F252" s="629" t="str">
        <f>IFERROR(VLOOKUP(E252,STAT1!$C$4:$D$1000,2,FALSE),"")</f>
        <v xml:space="preserve">Барилгын материал </v>
      </c>
      <c r="G252" s="811">
        <v>369999.99999999994</v>
      </c>
      <c r="H252" s="811"/>
      <c r="I252" s="580">
        <f t="shared" si="16"/>
        <v>0</v>
      </c>
      <c r="J252" s="961">
        <f t="shared" si="17"/>
        <v>0</v>
      </c>
      <c r="K252" s="80"/>
      <c r="L252" s="807">
        <v>1008</v>
      </c>
      <c r="M252" s="80" t="str">
        <f>+IFERROR(VLOOKUP(L252,DATA!$G$4:$H$2000,2,FALSE),"")</f>
        <v xml:space="preserve">Оюунтүлхүүр </v>
      </c>
      <c r="N252" s="807"/>
      <c r="O252" s="80" t="str">
        <f>IFERROR(VLOOKUP(N252,DATA!$K$4:$L$51,2,FALSE),"")</f>
        <v/>
      </c>
      <c r="P252" s="80">
        <f t="shared" si="18"/>
        <v>0</v>
      </c>
      <c r="Q252" s="154">
        <f t="shared" si="19"/>
        <v>0</v>
      </c>
    </row>
    <row r="253" spans="2:17">
      <c r="B253" s="627">
        <f t="shared" si="15"/>
        <v>248</v>
      </c>
      <c r="C253" s="429">
        <v>43165</v>
      </c>
      <c r="D253" s="816" t="s">
        <v>2549</v>
      </c>
      <c r="E253" s="807">
        <v>160100</v>
      </c>
      <c r="F253" s="629" t="str">
        <f>IFERROR(VLOOKUP(E253,STAT1!$C$4:$D$1000,2,FALSE),"")</f>
        <v xml:space="preserve">Барилгын материал </v>
      </c>
      <c r="G253" s="811">
        <v>80000</v>
      </c>
      <c r="H253" s="811"/>
      <c r="I253" s="580">
        <f t="shared" si="16"/>
        <v>0</v>
      </c>
      <c r="J253" s="961">
        <f t="shared" si="17"/>
        <v>0</v>
      </c>
      <c r="K253" s="80"/>
      <c r="L253" s="807">
        <v>1008</v>
      </c>
      <c r="M253" s="80" t="str">
        <f>+IFERROR(VLOOKUP(L253,DATA!$G$4:$H$2000,2,FALSE),"")</f>
        <v xml:space="preserve">Оюунтүлхүүр </v>
      </c>
      <c r="N253" s="807"/>
      <c r="O253" s="80" t="str">
        <f>IFERROR(VLOOKUP(N253,DATA!$K$4:$L$51,2,FALSE),"")</f>
        <v/>
      </c>
      <c r="P253" s="80">
        <f t="shared" si="18"/>
        <v>0</v>
      </c>
      <c r="Q253" s="154">
        <f t="shared" si="19"/>
        <v>0</v>
      </c>
    </row>
    <row r="254" spans="2:17">
      <c r="B254" s="627">
        <f t="shared" si="15"/>
        <v>249</v>
      </c>
      <c r="C254" s="429">
        <v>43165</v>
      </c>
      <c r="D254" s="816" t="s">
        <v>2549</v>
      </c>
      <c r="E254" s="807">
        <v>120600</v>
      </c>
      <c r="F254" s="629" t="str">
        <f>IFERROR(VLOOKUP(E254,STAT1!$C$4:$D$1000,2,FALSE),"")</f>
        <v>НӨАТ авлага</v>
      </c>
      <c r="G254" s="811">
        <v>62745.454545454537</v>
      </c>
      <c r="H254" s="811"/>
      <c r="I254" s="580">
        <f t="shared" si="16"/>
        <v>0</v>
      </c>
      <c r="J254" s="961">
        <f t="shared" si="17"/>
        <v>0</v>
      </c>
      <c r="K254" s="80"/>
      <c r="L254" s="807">
        <v>1008</v>
      </c>
      <c r="M254" s="80" t="str">
        <f>+IFERROR(VLOOKUP(L254,DATA!$G$4:$H$2000,2,FALSE),"")</f>
        <v xml:space="preserve">Оюунтүлхүүр </v>
      </c>
      <c r="N254" s="807"/>
      <c r="O254" s="80" t="str">
        <f>IFERROR(VLOOKUP(N254,DATA!$K$4:$L$51,2,FALSE),"")</f>
        <v/>
      </c>
      <c r="P254" s="80">
        <f t="shared" si="18"/>
        <v>0</v>
      </c>
      <c r="Q254" s="154">
        <f t="shared" si="19"/>
        <v>0</v>
      </c>
    </row>
    <row r="255" spans="2:17">
      <c r="B255" s="627">
        <f t="shared" si="15"/>
        <v>250</v>
      </c>
      <c r="C255" s="429">
        <v>43165</v>
      </c>
      <c r="D255" s="816" t="s">
        <v>2549</v>
      </c>
      <c r="E255" s="807">
        <v>120100</v>
      </c>
      <c r="F255" s="629" t="str">
        <f>IFERROR(VLOOKUP(E255,STAT1!$C$4:$D$1000,2,FALSE),"")</f>
        <v xml:space="preserve">Дансны авлага MNT </v>
      </c>
      <c r="G255" s="811"/>
      <c r="H255" s="811">
        <v>690200</v>
      </c>
      <c r="I255" s="580">
        <f t="shared" si="16"/>
        <v>0</v>
      </c>
      <c r="J255" s="961">
        <f t="shared" si="17"/>
        <v>0</v>
      </c>
      <c r="K255" s="80"/>
      <c r="L255" s="807">
        <v>1008</v>
      </c>
      <c r="M255" s="80" t="str">
        <f>+IFERROR(VLOOKUP(L255,DATA!$G$4:$H$2000,2,FALSE),"")</f>
        <v xml:space="preserve">Оюунтүлхүүр </v>
      </c>
      <c r="N255" s="807"/>
      <c r="O255" s="80" t="str">
        <f>IFERROR(VLOOKUP(N255,DATA!$K$4:$L$51,2,FALSE),"")</f>
        <v/>
      </c>
      <c r="P255" s="80">
        <f t="shared" si="18"/>
        <v>0</v>
      </c>
      <c r="Q255" s="154">
        <f t="shared" si="19"/>
        <v>0</v>
      </c>
    </row>
    <row r="256" spans="2:17">
      <c r="B256" s="627">
        <f t="shared" si="15"/>
        <v>251</v>
      </c>
      <c r="C256" s="429">
        <v>43166</v>
      </c>
      <c r="D256" s="816" t="s">
        <v>1570</v>
      </c>
      <c r="E256" s="807">
        <v>100100</v>
      </c>
      <c r="F256" s="629" t="str">
        <f>IFERROR(VLOOKUP(E256,STAT1!$C$4:$D$1000,2,FALSE),"")</f>
        <v>Касс мөнгө MNT</v>
      </c>
      <c r="G256" s="811"/>
      <c r="H256" s="811">
        <v>80000</v>
      </c>
      <c r="I256" s="580">
        <f t="shared" si="16"/>
        <v>-80000</v>
      </c>
      <c r="J256" s="961">
        <f t="shared" si="17"/>
        <v>0</v>
      </c>
      <c r="K256" s="80"/>
      <c r="L256" s="807">
        <v>1008</v>
      </c>
      <c r="M256" s="80" t="str">
        <f>+IFERROR(VLOOKUP(L256,DATA!$G$4:$H$2000,2,FALSE),"")</f>
        <v xml:space="preserve">Оюунтүлхүүр </v>
      </c>
      <c r="N256" s="807">
        <v>55</v>
      </c>
      <c r="O256" s="80" t="str">
        <f>IFERROR(VLOOKUP(N256,DATA!$K$4:$L$51,2,FALSE),"")</f>
        <v>Түлш, шатахуун, тээврийн хөлс, сэлбэг хэрэгсэлд төлсөн</v>
      </c>
      <c r="P256" s="80">
        <f t="shared" si="18"/>
        <v>1</v>
      </c>
      <c r="Q256" s="154">
        <f t="shared" si="19"/>
        <v>1</v>
      </c>
    </row>
    <row r="257" spans="2:17">
      <c r="B257" s="627">
        <f t="shared" si="15"/>
        <v>252</v>
      </c>
      <c r="C257" s="429">
        <v>43166</v>
      </c>
      <c r="D257" s="816" t="s">
        <v>1570</v>
      </c>
      <c r="E257" s="807">
        <v>120600</v>
      </c>
      <c r="F257" s="629" t="str">
        <f>IFERROR(VLOOKUP(E257,STAT1!$C$4:$D$1000,2,FALSE),"")</f>
        <v>НӨАТ авлага</v>
      </c>
      <c r="G257" s="811">
        <v>7272.7272727272721</v>
      </c>
      <c r="H257" s="811"/>
      <c r="I257" s="580">
        <f t="shared" si="16"/>
        <v>0</v>
      </c>
      <c r="J257" s="961">
        <f t="shared" si="17"/>
        <v>0</v>
      </c>
      <c r="K257" s="80"/>
      <c r="L257" s="807">
        <v>1008</v>
      </c>
      <c r="M257" s="80" t="str">
        <f>+IFERROR(VLOOKUP(L257,DATA!$G$4:$H$2000,2,FALSE),"")</f>
        <v xml:space="preserve">Оюунтүлхүүр </v>
      </c>
      <c r="N257" s="807"/>
      <c r="O257" s="80" t="str">
        <f>IFERROR(VLOOKUP(N257,DATA!$K$4:$L$51,2,FALSE),"")</f>
        <v/>
      </c>
      <c r="P257" s="80">
        <f t="shared" si="18"/>
        <v>0</v>
      </c>
      <c r="Q257" s="154">
        <f t="shared" si="19"/>
        <v>0</v>
      </c>
    </row>
    <row r="258" spans="2:17">
      <c r="B258" s="627">
        <f t="shared" si="15"/>
        <v>253</v>
      </c>
      <c r="C258" s="429">
        <v>43166</v>
      </c>
      <c r="D258" s="816" t="s">
        <v>1570</v>
      </c>
      <c r="E258" s="807">
        <v>702000</v>
      </c>
      <c r="F258" s="629" t="str">
        <f>IFERROR(VLOOKUP(E258,STAT1!$C$4:$D$1000,2,FALSE),"")</f>
        <v>Түлш, шатахуун</v>
      </c>
      <c r="G258" s="811">
        <v>72727.272727272721</v>
      </c>
      <c r="H258" s="811"/>
      <c r="I258" s="580">
        <f t="shared" si="16"/>
        <v>0</v>
      </c>
      <c r="J258" s="961">
        <f t="shared" si="17"/>
        <v>0</v>
      </c>
      <c r="K258" s="80"/>
      <c r="L258" s="807">
        <v>1008</v>
      </c>
      <c r="M258" s="80" t="str">
        <f>+IFERROR(VLOOKUP(L258,DATA!$G$4:$H$2000,2,FALSE),"")</f>
        <v xml:space="preserve">Оюунтүлхүүр </v>
      </c>
      <c r="N258" s="807"/>
      <c r="O258" s="80" t="str">
        <f>IFERROR(VLOOKUP(N258,DATA!$K$4:$L$51,2,FALSE),"")</f>
        <v/>
      </c>
      <c r="P258" s="80">
        <f t="shared" si="18"/>
        <v>0</v>
      </c>
      <c r="Q258" s="154">
        <f t="shared" si="19"/>
        <v>0</v>
      </c>
    </row>
    <row r="259" spans="2:17">
      <c r="B259" s="627">
        <f t="shared" si="15"/>
        <v>254</v>
      </c>
      <c r="C259" s="429">
        <v>43166</v>
      </c>
      <c r="D259" s="816" t="s">
        <v>2513</v>
      </c>
      <c r="E259" s="807">
        <v>100100</v>
      </c>
      <c r="F259" s="629" t="str">
        <f>IFERROR(VLOOKUP(E259,STAT1!$C$4:$D$1000,2,FALSE),"")</f>
        <v>Касс мөнгө MNT</v>
      </c>
      <c r="G259" s="811"/>
      <c r="H259" s="811">
        <v>199150</v>
      </c>
      <c r="I259" s="580">
        <f t="shared" si="16"/>
        <v>-199150</v>
      </c>
      <c r="J259" s="961">
        <f t="shared" si="17"/>
        <v>0</v>
      </c>
      <c r="K259" s="80"/>
      <c r="L259" s="807">
        <v>1008</v>
      </c>
      <c r="M259" s="80" t="str">
        <f>+IFERROR(VLOOKUP(L259,DATA!$G$4:$H$2000,2,FALSE),"")</f>
        <v xml:space="preserve">Оюунтүлхүүр </v>
      </c>
      <c r="N259" s="807">
        <v>53</v>
      </c>
      <c r="O259" s="80" t="str">
        <f>IFERROR(VLOOKUP(N259,DATA!$K$4:$L$51,2,FALSE),"")</f>
        <v>Бараа материал худалдан авахад төлсөн</v>
      </c>
      <c r="P259" s="80">
        <f t="shared" si="18"/>
        <v>1</v>
      </c>
      <c r="Q259" s="154">
        <f t="shared" si="19"/>
        <v>1</v>
      </c>
    </row>
    <row r="260" spans="2:17">
      <c r="B260" s="627">
        <f t="shared" si="15"/>
        <v>255</v>
      </c>
      <c r="C260" s="429">
        <v>43166</v>
      </c>
      <c r="D260" s="816" t="s">
        <v>2513</v>
      </c>
      <c r="E260" s="807">
        <v>120100</v>
      </c>
      <c r="F260" s="629" t="str">
        <f>IFERROR(VLOOKUP(E260,STAT1!$C$4:$D$1000,2,FALSE),"")</f>
        <v xml:space="preserve">Дансны авлага MNT </v>
      </c>
      <c r="G260" s="811">
        <v>199150</v>
      </c>
      <c r="H260" s="811"/>
      <c r="I260" s="580">
        <f t="shared" si="16"/>
        <v>0</v>
      </c>
      <c r="J260" s="961">
        <f t="shared" si="17"/>
        <v>0</v>
      </c>
      <c r="K260" s="80"/>
      <c r="L260" s="807">
        <v>1008</v>
      </c>
      <c r="M260" s="80" t="str">
        <f>+IFERROR(VLOOKUP(L260,DATA!$G$4:$H$2000,2,FALSE),"")</f>
        <v xml:space="preserve">Оюунтүлхүүр </v>
      </c>
      <c r="N260" s="807"/>
      <c r="O260" s="80" t="str">
        <f>IFERROR(VLOOKUP(N260,DATA!$K$4:$L$51,2,FALSE),"")</f>
        <v/>
      </c>
      <c r="P260" s="80">
        <f t="shared" si="18"/>
        <v>0</v>
      </c>
      <c r="Q260" s="154">
        <f t="shared" si="19"/>
        <v>0</v>
      </c>
    </row>
    <row r="261" spans="2:17">
      <c r="B261" s="627">
        <f t="shared" si="15"/>
        <v>256</v>
      </c>
      <c r="C261" s="429">
        <v>43166</v>
      </c>
      <c r="D261" s="815" t="s">
        <v>2503</v>
      </c>
      <c r="E261" s="807">
        <v>100100</v>
      </c>
      <c r="F261" s="629" t="str">
        <f>IFERROR(VLOOKUP(E261,STAT1!$C$4:$D$1000,2,FALSE),"")</f>
        <v>Касс мөнгө MNT</v>
      </c>
      <c r="G261" s="376"/>
      <c r="H261" s="376">
        <v>690200</v>
      </c>
      <c r="I261" s="580">
        <f t="shared" si="16"/>
        <v>-690200</v>
      </c>
      <c r="J261" s="961">
        <f t="shared" si="17"/>
        <v>0</v>
      </c>
      <c r="K261" s="428"/>
      <c r="L261" s="807">
        <v>1008</v>
      </c>
      <c r="M261" s="80" t="str">
        <f>+IFERROR(VLOOKUP(L261,DATA!$G$4:$H$2000,2,FALSE),"")</f>
        <v xml:space="preserve">Оюунтүлхүүр </v>
      </c>
      <c r="N261" s="630">
        <v>53</v>
      </c>
      <c r="O261" s="80" t="str">
        <f>IFERROR(VLOOKUP(N261,DATA!$K$4:$L$51,2,FALSE),"")</f>
        <v>Бараа материал худалдан авахад төлсөн</v>
      </c>
      <c r="P261" s="80">
        <f t="shared" si="18"/>
        <v>1</v>
      </c>
      <c r="Q261" s="154">
        <f t="shared" si="19"/>
        <v>1</v>
      </c>
    </row>
    <row r="262" spans="2:17">
      <c r="B262" s="627">
        <f t="shared" ref="B262:B325" si="20">+IF(C262="","",ROW()-5)</f>
        <v>257</v>
      </c>
      <c r="C262" s="429">
        <v>43166</v>
      </c>
      <c r="D262" s="815" t="s">
        <v>2503</v>
      </c>
      <c r="E262" s="807">
        <v>120100</v>
      </c>
      <c r="F262" s="629" t="str">
        <f>IFERROR(VLOOKUP(E262,STAT1!$C$4:$D$1000,2,FALSE),"")</f>
        <v xml:space="preserve">Дансны авлага MNT </v>
      </c>
      <c r="G262" s="376">
        <v>690200</v>
      </c>
      <c r="H262" s="376"/>
      <c r="I262" s="580">
        <f t="shared" ref="I262:I325" si="21">+IF(OR(E262=100100,E262=100200,E262=110100,E262=110102,E262=110103,E262=110104,E262=110105,E262=110200,E262=110201,E262=110202,E262=110203,E262=110204,E262=110300),G262,0)+IF(OR(E262=100100,E262=100200,E262=110100,E262=110102,E262=110103,E262=110104,E262=110105,E262=110200,E262=110201,E262=110202,E262=110203,E262=110204,E262=110300),H262*-1,0)</f>
        <v>0</v>
      </c>
      <c r="J262" s="961">
        <f t="shared" ref="J262:J325" si="22">+IF(E262=110102,I262/K262,0)</f>
        <v>0</v>
      </c>
      <c r="K262" s="428"/>
      <c r="L262" s="807">
        <v>1008</v>
      </c>
      <c r="M262" s="80" t="str">
        <f>+IFERROR(VLOOKUP(L262,DATA!$G$4:$H$2000,2,FALSE),"")</f>
        <v xml:space="preserve">Оюунтүлхүүр </v>
      </c>
      <c r="N262" s="630"/>
      <c r="O262" s="80" t="str">
        <f>IFERROR(VLOOKUP(N262,DATA!$K$4:$L$51,2,FALSE),"")</f>
        <v/>
      </c>
      <c r="P262" s="80">
        <f t="shared" ref="P262:P285" si="23">+IF(I262,1,0)</f>
        <v>0</v>
      </c>
      <c r="Q262" s="154">
        <f t="shared" ref="Q262:Q285" si="24">+IF(I262,1,0)</f>
        <v>0</v>
      </c>
    </row>
    <row r="263" spans="2:17">
      <c r="B263" s="627">
        <f t="shared" si="20"/>
        <v>258</v>
      </c>
      <c r="C263" s="429">
        <v>43166</v>
      </c>
      <c r="D263" s="816" t="s">
        <v>2538</v>
      </c>
      <c r="E263" s="807">
        <v>100100</v>
      </c>
      <c r="F263" s="629" t="str">
        <f>IFERROR(VLOOKUP(E263,STAT1!$C$4:$D$1000,2,FALSE),"")</f>
        <v>Касс мөнгө MNT</v>
      </c>
      <c r="G263" s="811"/>
      <c r="H263" s="811">
        <v>80000</v>
      </c>
      <c r="I263" s="580">
        <f t="shared" si="21"/>
        <v>-80000</v>
      </c>
      <c r="J263" s="961">
        <f t="shared" si="22"/>
        <v>0</v>
      </c>
      <c r="K263" s="80"/>
      <c r="L263" s="807">
        <v>1004</v>
      </c>
      <c r="M263" s="80" t="str">
        <f>+IFERROR(VLOOKUP(L263,DATA!$G$4:$H$2000,2,FALSE),"")</f>
        <v xml:space="preserve">Түмэндэлгэр </v>
      </c>
      <c r="N263" s="807">
        <v>55</v>
      </c>
      <c r="O263" s="80" t="str">
        <f>IFERROR(VLOOKUP(N263,DATA!$K$4:$L$51,2,FALSE),"")</f>
        <v>Түлш, шатахуун, тээврийн хөлс, сэлбэг хэрэгсэлд төлсөн</v>
      </c>
      <c r="P263" s="80">
        <f t="shared" si="23"/>
        <v>1</v>
      </c>
      <c r="Q263" s="154">
        <f t="shared" si="24"/>
        <v>1</v>
      </c>
    </row>
    <row r="264" spans="2:17">
      <c r="B264" s="627">
        <f t="shared" si="20"/>
        <v>259</v>
      </c>
      <c r="C264" s="429">
        <v>43166</v>
      </c>
      <c r="D264" s="816" t="s">
        <v>2538</v>
      </c>
      <c r="E264" s="807">
        <v>120600</v>
      </c>
      <c r="F264" s="629" t="str">
        <f>IFERROR(VLOOKUP(E264,STAT1!$C$4:$D$1000,2,FALSE),"")</f>
        <v>НӨАТ авлага</v>
      </c>
      <c r="G264" s="811">
        <v>7272.73</v>
      </c>
      <c r="H264" s="811"/>
      <c r="I264" s="580">
        <f t="shared" si="21"/>
        <v>0</v>
      </c>
      <c r="J264" s="961">
        <f t="shared" si="22"/>
        <v>0</v>
      </c>
      <c r="K264" s="80"/>
      <c r="L264" s="807">
        <v>1004</v>
      </c>
      <c r="M264" s="80" t="str">
        <f>+IFERROR(VLOOKUP(L264,DATA!$G$4:$H$2000,2,FALSE),"")</f>
        <v xml:space="preserve">Түмэндэлгэр </v>
      </c>
      <c r="N264" s="807"/>
      <c r="O264" s="80" t="str">
        <f>IFERROR(VLOOKUP(N264,DATA!$K$4:$L$51,2,FALSE),"")</f>
        <v/>
      </c>
      <c r="P264" s="80">
        <f t="shared" si="23"/>
        <v>0</v>
      </c>
      <c r="Q264" s="154">
        <f t="shared" si="24"/>
        <v>0</v>
      </c>
    </row>
    <row r="265" spans="2:17">
      <c r="B265" s="627">
        <f t="shared" si="20"/>
        <v>260</v>
      </c>
      <c r="C265" s="429">
        <v>43166</v>
      </c>
      <c r="D265" s="816" t="s">
        <v>2538</v>
      </c>
      <c r="E265" s="807">
        <v>702000</v>
      </c>
      <c r="F265" s="629" t="str">
        <f>IFERROR(VLOOKUP(E265,STAT1!$C$4:$D$1000,2,FALSE),"")</f>
        <v>Түлш, шатахуун</v>
      </c>
      <c r="G265" s="811">
        <v>72727.27</v>
      </c>
      <c r="H265" s="811"/>
      <c r="I265" s="580">
        <f t="shared" si="21"/>
        <v>0</v>
      </c>
      <c r="J265" s="961">
        <f t="shared" si="22"/>
        <v>0</v>
      </c>
      <c r="K265" s="80"/>
      <c r="L265" s="807">
        <v>1004</v>
      </c>
      <c r="M265" s="80" t="str">
        <f>+IFERROR(VLOOKUP(L265,DATA!$G$4:$H$2000,2,FALSE),"")</f>
        <v xml:space="preserve">Түмэндэлгэр </v>
      </c>
      <c r="N265" s="807"/>
      <c r="O265" s="80" t="str">
        <f>IFERROR(VLOOKUP(N265,DATA!$K$4:$L$51,2,FALSE),"")</f>
        <v/>
      </c>
      <c r="P265" s="80">
        <f t="shared" si="23"/>
        <v>0</v>
      </c>
      <c r="Q265" s="154">
        <f t="shared" si="24"/>
        <v>0</v>
      </c>
    </row>
    <row r="266" spans="2:17">
      <c r="B266" s="627">
        <f t="shared" si="20"/>
        <v>261</v>
      </c>
      <c r="C266" s="429">
        <v>43169</v>
      </c>
      <c r="D266" s="816" t="s">
        <v>2549</v>
      </c>
      <c r="E266" s="807">
        <v>160100</v>
      </c>
      <c r="F266" s="629" t="str">
        <f>IFERROR(VLOOKUP(E266,STAT1!$C$4:$D$1000,2,FALSE),"")</f>
        <v xml:space="preserve">Барилгын материал </v>
      </c>
      <c r="G266" s="811">
        <v>181045.45454545453</v>
      </c>
      <c r="H266" s="811"/>
      <c r="I266" s="580">
        <f t="shared" si="21"/>
        <v>0</v>
      </c>
      <c r="J266" s="961">
        <f t="shared" si="22"/>
        <v>0</v>
      </c>
      <c r="K266" s="80"/>
      <c r="L266" s="807">
        <v>1008</v>
      </c>
      <c r="M266" s="80" t="str">
        <f>+IFERROR(VLOOKUP(L266,DATA!$G$4:$H$2000,2,FALSE),"")</f>
        <v xml:space="preserve">Оюунтүлхүүр </v>
      </c>
      <c r="N266" s="807"/>
      <c r="O266" s="80" t="str">
        <f>IFERROR(VLOOKUP(N266,DATA!$K$4:$L$51,2,FALSE),"")</f>
        <v/>
      </c>
      <c r="P266" s="80">
        <f t="shared" si="23"/>
        <v>0</v>
      </c>
      <c r="Q266" s="154">
        <f t="shared" si="24"/>
        <v>0</v>
      </c>
    </row>
    <row r="267" spans="2:17">
      <c r="B267" s="627">
        <f t="shared" si="20"/>
        <v>262</v>
      </c>
      <c r="C267" s="429">
        <v>43169</v>
      </c>
      <c r="D267" s="816" t="s">
        <v>2549</v>
      </c>
      <c r="E267" s="807">
        <v>120600</v>
      </c>
      <c r="F267" s="629" t="str">
        <f>IFERROR(VLOOKUP(E267,STAT1!$C$4:$D$1000,2,FALSE),"")</f>
        <v>НӨАТ авлага</v>
      </c>
      <c r="G267" s="811">
        <v>18104.545454545452</v>
      </c>
      <c r="H267" s="811"/>
      <c r="I267" s="580">
        <f t="shared" si="21"/>
        <v>0</v>
      </c>
      <c r="J267" s="961">
        <f t="shared" si="22"/>
        <v>0</v>
      </c>
      <c r="K267" s="80"/>
      <c r="L267" s="807">
        <v>1008</v>
      </c>
      <c r="M267" s="80" t="str">
        <f>+IFERROR(VLOOKUP(L267,DATA!$G$4:$H$2000,2,FALSE),"")</f>
        <v xml:space="preserve">Оюунтүлхүүр </v>
      </c>
      <c r="N267" s="807"/>
      <c r="O267" s="80" t="str">
        <f>IFERROR(VLOOKUP(N267,DATA!$K$4:$L$51,2,FALSE),"")</f>
        <v/>
      </c>
      <c r="P267" s="80">
        <f t="shared" si="23"/>
        <v>0</v>
      </c>
      <c r="Q267" s="154">
        <f t="shared" si="24"/>
        <v>0</v>
      </c>
    </row>
    <row r="268" spans="2:17">
      <c r="B268" s="627">
        <f t="shared" si="20"/>
        <v>263</v>
      </c>
      <c r="C268" s="429">
        <v>43169</v>
      </c>
      <c r="D268" s="816" t="s">
        <v>2549</v>
      </c>
      <c r="E268" s="807">
        <v>120100</v>
      </c>
      <c r="F268" s="629" t="str">
        <f>IFERROR(VLOOKUP(E268,STAT1!$C$4:$D$1000,2,FALSE),"")</f>
        <v xml:space="preserve">Дансны авлага MNT </v>
      </c>
      <c r="G268" s="811"/>
      <c r="H268" s="811">
        <v>199150</v>
      </c>
      <c r="I268" s="580">
        <f t="shared" si="21"/>
        <v>0</v>
      </c>
      <c r="J268" s="961">
        <f t="shared" si="22"/>
        <v>0</v>
      </c>
      <c r="K268" s="80"/>
      <c r="L268" s="807">
        <v>1008</v>
      </c>
      <c r="M268" s="80" t="str">
        <f>+IFERROR(VLOOKUP(L268,DATA!$G$4:$H$2000,2,FALSE),"")</f>
        <v xml:space="preserve">Оюунтүлхүүр </v>
      </c>
      <c r="N268" s="807"/>
      <c r="O268" s="80" t="str">
        <f>IFERROR(VLOOKUP(N268,DATA!$K$4:$L$51,2,FALSE),"")</f>
        <v/>
      </c>
      <c r="P268" s="80">
        <f t="shared" si="23"/>
        <v>0</v>
      </c>
      <c r="Q268" s="154">
        <f t="shared" si="24"/>
        <v>0</v>
      </c>
    </row>
    <row r="269" spans="2:17">
      <c r="B269" s="627">
        <f t="shared" si="20"/>
        <v>264</v>
      </c>
      <c r="C269" s="429">
        <v>43171</v>
      </c>
      <c r="D269" s="816" t="s">
        <v>1331</v>
      </c>
      <c r="E269" s="807">
        <v>110100</v>
      </c>
      <c r="F269" s="629" t="str">
        <f>IFERROR(VLOOKUP(E269,STAT1!$C$4:$D$1000,2,FALSE),"")</f>
        <v>Хаан Банк 5024654020</v>
      </c>
      <c r="G269" s="811"/>
      <c r="H269" s="811">
        <v>33160</v>
      </c>
      <c r="I269" s="580">
        <f t="shared" si="21"/>
        <v>-33160</v>
      </c>
      <c r="J269" s="961">
        <f t="shared" si="22"/>
        <v>0</v>
      </c>
      <c r="K269" s="80"/>
      <c r="L269" s="807">
        <v>2006</v>
      </c>
      <c r="M269" s="80" t="str">
        <f>+IFERROR(VLOOKUP(L269,DATA!$G$4:$H$2000,2,FALSE),"")</f>
        <v xml:space="preserve">МЦХОЛБОО </v>
      </c>
      <c r="N269" s="807">
        <v>59</v>
      </c>
      <c r="O269" s="80" t="str">
        <f>IFERROR(VLOOKUP(N269,DATA!$K$4:$L$51,2,FALSE),"")</f>
        <v>Бусад мөнгөн зарлага</v>
      </c>
      <c r="P269" s="80">
        <f t="shared" si="23"/>
        <v>1</v>
      </c>
      <c r="Q269" s="154">
        <f t="shared" si="24"/>
        <v>1</v>
      </c>
    </row>
    <row r="270" spans="2:17">
      <c r="B270" s="627">
        <f t="shared" si="20"/>
        <v>265</v>
      </c>
      <c r="C270" s="429">
        <v>43171</v>
      </c>
      <c r="D270" s="816" t="s">
        <v>1331</v>
      </c>
      <c r="E270" s="807">
        <v>120600</v>
      </c>
      <c r="F270" s="629" t="str">
        <f>IFERROR(VLOOKUP(E270,STAT1!$C$4:$D$1000,2,FALSE),"")</f>
        <v>НӨАТ авлага</v>
      </c>
      <c r="G270" s="811">
        <v>3014.5454545454545</v>
      </c>
      <c r="H270" s="811"/>
      <c r="I270" s="580">
        <f t="shared" si="21"/>
        <v>0</v>
      </c>
      <c r="J270" s="961">
        <f t="shared" si="22"/>
        <v>0</v>
      </c>
      <c r="K270" s="80"/>
      <c r="L270" s="807">
        <v>2006</v>
      </c>
      <c r="M270" s="80" t="str">
        <f>+IFERROR(VLOOKUP(L270,DATA!$G$4:$H$2000,2,FALSE),"")</f>
        <v xml:space="preserve">МЦХОЛБОО </v>
      </c>
      <c r="N270" s="807"/>
      <c r="O270" s="80" t="str">
        <f>IFERROR(VLOOKUP(N270,DATA!$K$4:$L$51,2,FALSE),"")</f>
        <v/>
      </c>
      <c r="P270" s="80">
        <f t="shared" si="23"/>
        <v>0</v>
      </c>
      <c r="Q270" s="154">
        <f t="shared" si="24"/>
        <v>0</v>
      </c>
    </row>
    <row r="271" spans="2:17">
      <c r="B271" s="627">
        <f t="shared" si="20"/>
        <v>266</v>
      </c>
      <c r="C271" s="429">
        <v>43171</v>
      </c>
      <c r="D271" s="816" t="s">
        <v>1331</v>
      </c>
      <c r="E271" s="807">
        <v>701900</v>
      </c>
      <c r="F271" s="629" t="str">
        <f>IFERROR(VLOOKUP(E271,STAT1!$C$4:$D$1000,2,FALSE),"")</f>
        <v>Харилцаа холбоо</v>
      </c>
      <c r="G271" s="811">
        <v>30145.454545454544</v>
      </c>
      <c r="H271" s="811"/>
      <c r="I271" s="580">
        <f t="shared" si="21"/>
        <v>0</v>
      </c>
      <c r="J271" s="961">
        <f t="shared" si="22"/>
        <v>0</v>
      </c>
      <c r="K271" s="80"/>
      <c r="L271" s="807">
        <v>2006</v>
      </c>
      <c r="M271" s="80" t="str">
        <f>+IFERROR(VLOOKUP(L271,DATA!$G$4:$H$2000,2,FALSE),"")</f>
        <v xml:space="preserve">МЦХОЛБОО </v>
      </c>
      <c r="N271" s="807"/>
      <c r="O271" s="80" t="str">
        <f>IFERROR(VLOOKUP(N271,DATA!$K$4:$L$51,2,FALSE),"")</f>
        <v/>
      </c>
      <c r="P271" s="80">
        <f t="shared" si="23"/>
        <v>0</v>
      </c>
      <c r="Q271" s="154">
        <f t="shared" si="24"/>
        <v>0</v>
      </c>
    </row>
    <row r="272" spans="2:17">
      <c r="B272" s="627">
        <f t="shared" si="20"/>
        <v>267</v>
      </c>
      <c r="C272" s="429">
        <v>43171</v>
      </c>
      <c r="D272" s="816" t="s">
        <v>2381</v>
      </c>
      <c r="E272" s="807">
        <v>110100</v>
      </c>
      <c r="F272" s="629" t="str">
        <f>IFERROR(VLOOKUP(E272,STAT1!$C$4:$D$1000,2,FALSE),"")</f>
        <v>Хаан Банк 5024654020</v>
      </c>
      <c r="G272" s="811"/>
      <c r="H272" s="811">
        <v>100</v>
      </c>
      <c r="I272" s="580">
        <f t="shared" si="21"/>
        <v>-100</v>
      </c>
      <c r="J272" s="961">
        <f t="shared" si="22"/>
        <v>0</v>
      </c>
      <c r="K272" s="80"/>
      <c r="L272" s="807">
        <v>2009</v>
      </c>
      <c r="M272" s="80" t="str">
        <f>+IFERROR(VLOOKUP(L272,DATA!$G$4:$H$2000,2,FALSE),"")</f>
        <v>ХААН БАНК</v>
      </c>
      <c r="N272" s="807">
        <v>59</v>
      </c>
      <c r="O272" s="80" t="str">
        <f>IFERROR(VLOOKUP(N272,DATA!$K$4:$L$51,2,FALSE),"")</f>
        <v>Бусад мөнгөн зарлага</v>
      </c>
      <c r="P272" s="80">
        <f t="shared" si="23"/>
        <v>1</v>
      </c>
      <c r="Q272" s="154">
        <f t="shared" si="24"/>
        <v>1</v>
      </c>
    </row>
    <row r="273" spans="2:17">
      <c r="B273" s="627">
        <f t="shared" si="20"/>
        <v>268</v>
      </c>
      <c r="C273" s="429">
        <v>43171</v>
      </c>
      <c r="D273" s="816" t="s">
        <v>2381</v>
      </c>
      <c r="E273" s="807">
        <v>704900</v>
      </c>
      <c r="F273" s="629" t="str">
        <f>IFERROR(VLOOKUP(E273,STAT1!$C$4:$D$1000,2,FALSE),"")</f>
        <v>Банкны үйлчилгээ</v>
      </c>
      <c r="G273" s="811">
        <v>100</v>
      </c>
      <c r="H273" s="811"/>
      <c r="I273" s="580">
        <f t="shared" si="21"/>
        <v>0</v>
      </c>
      <c r="J273" s="961">
        <f t="shared" si="22"/>
        <v>0</v>
      </c>
      <c r="K273" s="80"/>
      <c r="L273" s="807">
        <v>2009</v>
      </c>
      <c r="M273" s="80" t="str">
        <f>+IFERROR(VLOOKUP(L273,DATA!$G$4:$H$2000,2,FALSE),"")</f>
        <v>ХААН БАНК</v>
      </c>
      <c r="N273" s="807"/>
      <c r="O273" s="80" t="str">
        <f>IFERROR(VLOOKUP(N273,DATA!$K$4:$L$51,2,FALSE),"")</f>
        <v/>
      </c>
      <c r="P273" s="80">
        <f t="shared" si="23"/>
        <v>0</v>
      </c>
      <c r="Q273" s="154">
        <f t="shared" si="24"/>
        <v>0</v>
      </c>
    </row>
    <row r="274" spans="2:17">
      <c r="B274" s="627">
        <f t="shared" si="20"/>
        <v>269</v>
      </c>
      <c r="C274" s="429">
        <v>43171</v>
      </c>
      <c r="D274" s="816" t="s">
        <v>1570</v>
      </c>
      <c r="E274" s="807">
        <v>100100</v>
      </c>
      <c r="F274" s="629" t="str">
        <f>IFERROR(VLOOKUP(E274,STAT1!$C$4:$D$1000,2,FALSE),"")</f>
        <v>Касс мөнгө MNT</v>
      </c>
      <c r="G274" s="811"/>
      <c r="H274" s="811">
        <v>30000</v>
      </c>
      <c r="I274" s="580">
        <f t="shared" si="21"/>
        <v>-30000</v>
      </c>
      <c r="J274" s="961">
        <f t="shared" si="22"/>
        <v>0</v>
      </c>
      <c r="K274" s="80"/>
      <c r="L274" s="807">
        <v>1008</v>
      </c>
      <c r="M274" s="80" t="str">
        <f>+IFERROR(VLOOKUP(L274,DATA!$G$4:$H$2000,2,FALSE),"")</f>
        <v xml:space="preserve">Оюунтүлхүүр </v>
      </c>
      <c r="N274" s="807">
        <v>55</v>
      </c>
      <c r="O274" s="80" t="str">
        <f>IFERROR(VLOOKUP(N274,DATA!$K$4:$L$51,2,FALSE),"")</f>
        <v>Түлш, шатахуун, тээврийн хөлс, сэлбэг хэрэгсэлд төлсөн</v>
      </c>
      <c r="P274" s="80">
        <f t="shared" si="23"/>
        <v>1</v>
      </c>
      <c r="Q274" s="154">
        <f t="shared" si="24"/>
        <v>1</v>
      </c>
    </row>
    <row r="275" spans="2:17">
      <c r="B275" s="627">
        <f t="shared" si="20"/>
        <v>270</v>
      </c>
      <c r="C275" s="429">
        <v>43171</v>
      </c>
      <c r="D275" s="816" t="s">
        <v>1570</v>
      </c>
      <c r="E275" s="807">
        <v>120600</v>
      </c>
      <c r="F275" s="629" t="str">
        <f>IFERROR(VLOOKUP(E275,STAT1!$C$4:$D$1000,2,FALSE),"")</f>
        <v>НӨАТ авлага</v>
      </c>
      <c r="G275" s="811">
        <v>2727.2727272727275</v>
      </c>
      <c r="H275" s="811"/>
      <c r="I275" s="580">
        <f t="shared" si="21"/>
        <v>0</v>
      </c>
      <c r="J275" s="961">
        <f t="shared" si="22"/>
        <v>0</v>
      </c>
      <c r="K275" s="80"/>
      <c r="L275" s="807">
        <v>1008</v>
      </c>
      <c r="M275" s="80" t="str">
        <f>+IFERROR(VLOOKUP(L275,DATA!$G$4:$H$2000,2,FALSE),"")</f>
        <v xml:space="preserve">Оюунтүлхүүр </v>
      </c>
      <c r="N275" s="807"/>
      <c r="O275" s="80" t="str">
        <f>IFERROR(VLOOKUP(N275,DATA!$K$4:$L$51,2,FALSE),"")</f>
        <v/>
      </c>
      <c r="P275" s="80">
        <f t="shared" si="23"/>
        <v>0</v>
      </c>
      <c r="Q275" s="154">
        <f t="shared" si="24"/>
        <v>0</v>
      </c>
    </row>
    <row r="276" spans="2:17">
      <c r="B276" s="627">
        <f t="shared" si="20"/>
        <v>271</v>
      </c>
      <c r="C276" s="429">
        <v>43171</v>
      </c>
      <c r="D276" s="816" t="s">
        <v>1570</v>
      </c>
      <c r="E276" s="630">
        <v>702000</v>
      </c>
      <c r="F276" s="629" t="str">
        <f>IFERROR(VLOOKUP(E276,STAT1!$C$4:$D$1000,2,FALSE),"")</f>
        <v>Түлш, шатахуун</v>
      </c>
      <c r="G276" s="376">
        <v>27272.727272727272</v>
      </c>
      <c r="H276" s="376"/>
      <c r="I276" s="580">
        <f t="shared" si="21"/>
        <v>0</v>
      </c>
      <c r="J276" s="961">
        <f t="shared" si="22"/>
        <v>0</v>
      </c>
      <c r="K276" s="428"/>
      <c r="L276" s="807">
        <v>1008</v>
      </c>
      <c r="M276" s="80" t="str">
        <f>+IFERROR(VLOOKUP(L276,DATA!$G$4:$H$2000,2,FALSE),"")</f>
        <v xml:space="preserve">Оюунтүлхүүр </v>
      </c>
      <c r="N276" s="630"/>
      <c r="O276" s="80" t="str">
        <f>IFERROR(VLOOKUP(N276,DATA!$K$4:$L$51,2,FALSE),"")</f>
        <v/>
      </c>
      <c r="P276" s="80">
        <f t="shared" si="23"/>
        <v>0</v>
      </c>
      <c r="Q276" s="154">
        <f t="shared" si="24"/>
        <v>0</v>
      </c>
    </row>
    <row r="277" spans="2:17">
      <c r="B277" s="627">
        <f t="shared" si="20"/>
        <v>272</v>
      </c>
      <c r="C277" s="429">
        <v>43174</v>
      </c>
      <c r="D277" s="816" t="s">
        <v>1571</v>
      </c>
      <c r="E277" s="807">
        <v>100100</v>
      </c>
      <c r="F277" s="629" t="str">
        <f>IFERROR(VLOOKUP(E277,STAT1!$C$4:$D$1000,2,FALSE),"")</f>
        <v>Касс мөнгө MNT</v>
      </c>
      <c r="G277" s="811">
        <v>168550</v>
      </c>
      <c r="H277" s="811"/>
      <c r="I277" s="580">
        <f t="shared" si="21"/>
        <v>168550</v>
      </c>
      <c r="J277" s="961">
        <f t="shared" si="22"/>
        <v>0</v>
      </c>
      <c r="K277" s="80"/>
      <c r="L277" s="807">
        <v>3122</v>
      </c>
      <c r="M277" s="80" t="str">
        <f>+IFERROR(VLOOKUP(L277,DATA!$G$4:$H$2000,2,FALSE),"")</f>
        <v xml:space="preserve">РАДД ХХК </v>
      </c>
      <c r="N277" s="807">
        <v>41</v>
      </c>
      <c r="O277" s="80" t="str">
        <f>IFERROR(VLOOKUP(N277,DATA!$K$4:$L$51,2,FALSE),"")</f>
        <v>Бараа борлуулсан, үйлчилгээ үзүүлсэний орлого</v>
      </c>
      <c r="P277" s="80">
        <f t="shared" si="23"/>
        <v>1</v>
      </c>
      <c r="Q277" s="154">
        <f t="shared" si="24"/>
        <v>1</v>
      </c>
    </row>
    <row r="278" spans="2:17">
      <c r="B278" s="627">
        <f t="shared" si="20"/>
        <v>273</v>
      </c>
      <c r="C278" s="429">
        <v>43174</v>
      </c>
      <c r="D278" s="816" t="s">
        <v>1571</v>
      </c>
      <c r="E278" s="807">
        <v>320100</v>
      </c>
      <c r="F278" s="629" t="str">
        <f>IFERROR(VLOOKUP(E278,STAT1!$C$4:$D$8000,2,FALSE),"")</f>
        <v>Урьдчилж орсон орлого MNT</v>
      </c>
      <c r="G278" s="811"/>
      <c r="H278" s="811">
        <v>168550</v>
      </c>
      <c r="I278" s="580">
        <f t="shared" si="21"/>
        <v>0</v>
      </c>
      <c r="J278" s="961">
        <f t="shared" si="22"/>
        <v>0</v>
      </c>
      <c r="K278" s="379"/>
      <c r="L278" s="807">
        <v>3122</v>
      </c>
      <c r="M278" s="80" t="str">
        <f>+IFERROR(VLOOKUP(L278,DATA!$G$4:$H$2000,2,FALSE),"")</f>
        <v xml:space="preserve">РАДД ХХК </v>
      </c>
      <c r="N278" s="807"/>
      <c r="O278" s="80" t="str">
        <f>IFERROR(VLOOKUP(N278,DATA!$K$4:$L$51,2,FALSE),"")</f>
        <v/>
      </c>
      <c r="P278" s="80">
        <f t="shared" si="23"/>
        <v>0</v>
      </c>
      <c r="Q278" s="154">
        <f t="shared" si="24"/>
        <v>0</v>
      </c>
    </row>
    <row r="279" spans="2:17">
      <c r="B279" s="627">
        <f t="shared" si="20"/>
        <v>274</v>
      </c>
      <c r="C279" s="582">
        <v>43175</v>
      </c>
      <c r="D279" s="815" t="s">
        <v>2377</v>
      </c>
      <c r="E279" s="630">
        <v>110100</v>
      </c>
      <c r="F279" s="629" t="str">
        <f>IFERROR(VLOOKUP(E279,STAT1!$C$4:$D$1000,2,FALSE),"")</f>
        <v>Хаан Банк 5024654020</v>
      </c>
      <c r="G279" s="376"/>
      <c r="H279" s="376">
        <v>286000</v>
      </c>
      <c r="I279" s="580">
        <f t="shared" si="21"/>
        <v>-286000</v>
      </c>
      <c r="J279" s="961">
        <f t="shared" si="22"/>
        <v>0</v>
      </c>
      <c r="K279" s="428"/>
      <c r="L279" s="807">
        <v>1008</v>
      </c>
      <c r="M279" s="80" t="str">
        <f>+IFERROR(VLOOKUP(L279,DATA!$G$4:$H$2000,2,FALSE),"")</f>
        <v xml:space="preserve">Оюунтүлхүүр </v>
      </c>
      <c r="N279" s="630">
        <v>59</v>
      </c>
      <c r="O279" s="80" t="str">
        <f>IFERROR(VLOOKUP(N279,DATA!$K$4:$L$51,2,FALSE),"")</f>
        <v>Бусад мөнгөн зарлага</v>
      </c>
      <c r="P279" s="80">
        <f t="shared" si="23"/>
        <v>1</v>
      </c>
      <c r="Q279" s="154">
        <f t="shared" si="24"/>
        <v>1</v>
      </c>
    </row>
    <row r="280" spans="2:17">
      <c r="B280" s="627">
        <f t="shared" si="20"/>
        <v>275</v>
      </c>
      <c r="C280" s="582">
        <v>43175</v>
      </c>
      <c r="D280" s="815" t="s">
        <v>2377</v>
      </c>
      <c r="E280" s="630">
        <v>120600</v>
      </c>
      <c r="F280" s="629" t="str">
        <f>IFERROR(VLOOKUP(E280,STAT1!$C$4:$D$1000,2,FALSE),"")</f>
        <v>НӨАТ авлага</v>
      </c>
      <c r="G280" s="376">
        <v>26000</v>
      </c>
      <c r="H280" s="376"/>
      <c r="I280" s="580">
        <f t="shared" si="21"/>
        <v>0</v>
      </c>
      <c r="J280" s="961">
        <f t="shared" si="22"/>
        <v>0</v>
      </c>
      <c r="K280" s="428"/>
      <c r="L280" s="807">
        <v>1008</v>
      </c>
      <c r="M280" s="80" t="str">
        <f>+IFERROR(VLOOKUP(L280,DATA!$G$4:$H$2000,2,FALSE),"")</f>
        <v xml:space="preserve">Оюунтүлхүүр </v>
      </c>
      <c r="N280" s="630"/>
      <c r="O280" s="80" t="str">
        <f>IFERROR(VLOOKUP(N280,DATA!$K$4:$L$51,2,FALSE),"")</f>
        <v/>
      </c>
      <c r="P280" s="80">
        <f t="shared" si="23"/>
        <v>0</v>
      </c>
      <c r="Q280" s="154">
        <f t="shared" si="24"/>
        <v>0</v>
      </c>
    </row>
    <row r="281" spans="2:17">
      <c r="B281" s="627">
        <f t="shared" si="20"/>
        <v>276</v>
      </c>
      <c r="C281" s="582">
        <v>43175</v>
      </c>
      <c r="D281" s="815" t="s">
        <v>2377</v>
      </c>
      <c r="E281" s="630">
        <v>701900</v>
      </c>
      <c r="F281" s="629" t="str">
        <f>IFERROR(VLOOKUP(E281,STAT1!$C$4:$D$1000,2,FALSE),"")</f>
        <v>Харилцаа холбоо</v>
      </c>
      <c r="G281" s="811">
        <v>260000</v>
      </c>
      <c r="H281" s="811"/>
      <c r="I281" s="580">
        <f t="shared" si="21"/>
        <v>0</v>
      </c>
      <c r="J281" s="961">
        <f t="shared" si="22"/>
        <v>0</v>
      </c>
      <c r="K281" s="80"/>
      <c r="L281" s="807">
        <v>1008</v>
      </c>
      <c r="M281" s="80" t="str">
        <f>+IFERROR(VLOOKUP(L281,DATA!$G$4:$H$2000,2,FALSE),"")</f>
        <v xml:space="preserve">Оюунтүлхүүр </v>
      </c>
      <c r="N281" s="807"/>
      <c r="O281" s="80" t="str">
        <f>IFERROR(VLOOKUP(N281,DATA!$K$4:$L$51,2,FALSE),"")</f>
        <v/>
      </c>
      <c r="P281" s="80">
        <f t="shared" si="23"/>
        <v>0</v>
      </c>
      <c r="Q281" s="154">
        <f t="shared" si="24"/>
        <v>0</v>
      </c>
    </row>
    <row r="282" spans="2:17">
      <c r="B282" s="627">
        <f t="shared" si="20"/>
        <v>277</v>
      </c>
      <c r="C282" s="429">
        <v>43175</v>
      </c>
      <c r="D282" s="816" t="s">
        <v>2537</v>
      </c>
      <c r="E282" s="807">
        <v>100100</v>
      </c>
      <c r="F282" s="629" t="str">
        <f>IFERROR(VLOOKUP(E282,STAT1!$C$4:$D$1000,2,FALSE),"")</f>
        <v>Касс мөнгө MNT</v>
      </c>
      <c r="G282" s="811"/>
      <c r="H282" s="811">
        <v>5500</v>
      </c>
      <c r="I282" s="580">
        <f t="shared" si="21"/>
        <v>-5500</v>
      </c>
      <c r="J282" s="961">
        <f t="shared" si="22"/>
        <v>0</v>
      </c>
      <c r="K282" s="80"/>
      <c r="L282" s="807">
        <v>2004</v>
      </c>
      <c r="M282" s="80" t="str">
        <f>+IFERROR(VLOOKUP(L282,DATA!$G$4:$H$2000,2,FALSE),"")</f>
        <v xml:space="preserve">ДЦС-3 ТӨХК </v>
      </c>
      <c r="N282" s="807">
        <v>54</v>
      </c>
      <c r="O282" s="80" t="str">
        <f>IFERROR(VLOOKUP(N282,DATA!$K$4:$L$51,2,FALSE),"")</f>
        <v>Ашиглалтын зардалд төлсөн</v>
      </c>
      <c r="P282" s="80">
        <f t="shared" si="23"/>
        <v>1</v>
      </c>
      <c r="Q282" s="154">
        <f t="shared" si="24"/>
        <v>1</v>
      </c>
    </row>
    <row r="283" spans="2:17">
      <c r="B283" s="627">
        <f t="shared" si="20"/>
        <v>278</v>
      </c>
      <c r="C283" s="429">
        <v>43175</v>
      </c>
      <c r="D283" s="816" t="s">
        <v>2537</v>
      </c>
      <c r="E283" s="807">
        <v>120600</v>
      </c>
      <c r="F283" s="629" t="str">
        <f>IFERROR(VLOOKUP(E283,STAT1!$C$4:$D$1000,2,FALSE),"")</f>
        <v>НӨАТ авлага</v>
      </c>
      <c r="G283" s="811">
        <v>500</v>
      </c>
      <c r="H283" s="811"/>
      <c r="I283" s="580">
        <f t="shared" si="21"/>
        <v>0</v>
      </c>
      <c r="J283" s="961">
        <f t="shared" si="22"/>
        <v>0</v>
      </c>
      <c r="K283" s="80"/>
      <c r="L283" s="807">
        <v>2004</v>
      </c>
      <c r="M283" s="80" t="str">
        <f>+IFERROR(VLOOKUP(L283,DATA!$G$4:$H$2000,2,FALSE),"")</f>
        <v xml:space="preserve">ДЦС-3 ТӨХК </v>
      </c>
      <c r="N283" s="807"/>
      <c r="O283" s="80" t="str">
        <f>IFERROR(VLOOKUP(N283,DATA!$K$4:$L$51,2,FALSE),"")</f>
        <v/>
      </c>
      <c r="P283" s="80">
        <f t="shared" si="23"/>
        <v>0</v>
      </c>
      <c r="Q283" s="154">
        <f t="shared" si="24"/>
        <v>0</v>
      </c>
    </row>
    <row r="284" spans="2:17">
      <c r="B284" s="627">
        <f t="shared" si="20"/>
        <v>279</v>
      </c>
      <c r="C284" s="429">
        <v>43175</v>
      </c>
      <c r="D284" s="816" t="s">
        <v>2537</v>
      </c>
      <c r="E284" s="807">
        <v>700900</v>
      </c>
      <c r="F284" s="629" t="str">
        <f>IFERROR(VLOOKUP(E284,STAT1!$C$4:$D$1000,2,FALSE),"")</f>
        <v>Уур, ус</v>
      </c>
      <c r="G284" s="811">
        <v>5000</v>
      </c>
      <c r="H284" s="811"/>
      <c r="I284" s="580">
        <f t="shared" si="21"/>
        <v>0</v>
      </c>
      <c r="J284" s="961">
        <f t="shared" si="22"/>
        <v>0</v>
      </c>
      <c r="K284" s="80"/>
      <c r="L284" s="807">
        <v>2004</v>
      </c>
      <c r="M284" s="80" t="str">
        <f>+IFERROR(VLOOKUP(L284,DATA!$G$4:$H$2000,2,FALSE),"")</f>
        <v xml:space="preserve">ДЦС-3 ТӨХК </v>
      </c>
      <c r="N284" s="807"/>
      <c r="O284" s="80" t="str">
        <f>IFERROR(VLOOKUP(N284,DATA!$K$4:$L$51,2,FALSE),"")</f>
        <v/>
      </c>
      <c r="P284" s="80">
        <f t="shared" si="23"/>
        <v>0</v>
      </c>
      <c r="Q284" s="154">
        <f t="shared" si="24"/>
        <v>0</v>
      </c>
    </row>
    <row r="285" spans="2:17">
      <c r="B285" s="627">
        <f t="shared" si="20"/>
        <v>280</v>
      </c>
      <c r="C285" s="429">
        <v>43176</v>
      </c>
      <c r="D285" s="816" t="s">
        <v>2506</v>
      </c>
      <c r="E285" s="969">
        <v>110100</v>
      </c>
      <c r="F285" s="629" t="str">
        <f>IFERROR(VLOOKUP(E285,STAT1!$C$4:$D$1000,2,FALSE),"")</f>
        <v>Хаан Банк 5024654020</v>
      </c>
      <c r="G285" s="811"/>
      <c r="H285" s="811">
        <v>5666674</v>
      </c>
      <c r="I285" s="580">
        <f t="shared" si="21"/>
        <v>-5666674</v>
      </c>
      <c r="J285" s="961">
        <f t="shared" si="22"/>
        <v>0</v>
      </c>
      <c r="K285" s="80"/>
      <c r="L285" s="807">
        <v>2009</v>
      </c>
      <c r="M285" s="80" t="str">
        <f>+IFERROR(VLOOKUP(L285,DATA!$G$4:$H$2000,2,FALSE),"")</f>
        <v>ХААН БАНК</v>
      </c>
      <c r="N285" s="807">
        <v>91</v>
      </c>
      <c r="O285" s="80" t="str">
        <f>IFERROR(VLOOKUP(N285,DATA!$K$4:$L$51,2,FALSE),"")</f>
        <v>Зээл, өрийн үнэт цаасны төлбөрт төлсөн</v>
      </c>
      <c r="P285" s="80">
        <f t="shared" si="23"/>
        <v>1</v>
      </c>
      <c r="Q285" s="154">
        <f t="shared" si="24"/>
        <v>1</v>
      </c>
    </row>
    <row r="286" spans="2:17">
      <c r="B286" s="627">
        <f t="shared" si="20"/>
        <v>281</v>
      </c>
      <c r="C286" s="429">
        <v>43176</v>
      </c>
      <c r="D286" s="816" t="s">
        <v>2506</v>
      </c>
      <c r="E286" s="969">
        <v>310400</v>
      </c>
      <c r="F286" s="629" t="str">
        <f>IFERROR(VLOOKUP(E286,STAT1!$C$4:$D$1000,2,FALSE),"")</f>
        <v>Банкны богино хугацаат зээл MNT</v>
      </c>
      <c r="G286" s="811">
        <v>5666674</v>
      </c>
      <c r="H286" s="811"/>
      <c r="I286" s="580">
        <f t="shared" si="21"/>
        <v>0</v>
      </c>
      <c r="J286" s="961">
        <f t="shared" si="22"/>
        <v>0</v>
      </c>
      <c r="K286" s="80"/>
      <c r="L286" s="807">
        <v>2009</v>
      </c>
      <c r="M286" s="80" t="str">
        <f>+IFERROR(VLOOKUP(L286,DATA!$G$4:$H$2000,2,FALSE),"")</f>
        <v>ХААН БАНК</v>
      </c>
      <c r="N286" s="807"/>
      <c r="O286" s="80"/>
      <c r="P286" s="80"/>
    </row>
    <row r="287" spans="2:17">
      <c r="B287" s="627">
        <f t="shared" si="20"/>
        <v>282</v>
      </c>
      <c r="C287" s="429">
        <v>43176</v>
      </c>
      <c r="D287" s="816" t="s">
        <v>2506</v>
      </c>
      <c r="E287" s="969">
        <v>110100</v>
      </c>
      <c r="F287" s="629" t="str">
        <f>IFERROR(VLOOKUP(E287,STAT1!$C$4:$D$1000,2,FALSE),"")</f>
        <v>Хаан Банк 5024654020</v>
      </c>
      <c r="G287" s="811"/>
      <c r="H287" s="811">
        <v>147409.01999999955</v>
      </c>
      <c r="I287" s="580">
        <f t="shared" si="21"/>
        <v>-147409.01999999955</v>
      </c>
      <c r="J287" s="961">
        <f t="shared" si="22"/>
        <v>0</v>
      </c>
      <c r="K287" s="80"/>
      <c r="L287" s="807">
        <v>2009</v>
      </c>
      <c r="M287" s="80" t="str">
        <f>+IFERROR(VLOOKUP(L287,DATA!$G$4:$H$2000,2,FALSE),"")</f>
        <v>ХААН БАНК</v>
      </c>
      <c r="N287" s="807">
        <v>56</v>
      </c>
      <c r="O287" s="80" t="str">
        <f>IFERROR(VLOOKUP(N287,DATA!$K$4:$L$51,2,FALSE),"")</f>
        <v>Хүүний төлбөрт төлсөн</v>
      </c>
      <c r="P287" s="80">
        <f t="shared" ref="P287:P310" si="25">+IF(I287,1,0)</f>
        <v>1</v>
      </c>
      <c r="Q287" s="154">
        <f t="shared" ref="Q287:Q310" si="26">+IF(I287,1,0)</f>
        <v>1</v>
      </c>
    </row>
    <row r="288" spans="2:17">
      <c r="B288" s="627">
        <f t="shared" si="20"/>
        <v>283</v>
      </c>
      <c r="C288" s="429">
        <v>43176</v>
      </c>
      <c r="D288" s="816" t="s">
        <v>2506</v>
      </c>
      <c r="E288" s="807">
        <v>702500</v>
      </c>
      <c r="F288" s="629" t="str">
        <f>IFERROR(VLOOKUP(E288,STAT1!$C$4:$D$1000,2,FALSE),"")</f>
        <v>Зээлийн хүүгийн зардал</v>
      </c>
      <c r="G288" s="811">
        <v>147409.01999999955</v>
      </c>
      <c r="H288" s="811"/>
      <c r="I288" s="580">
        <f t="shared" si="21"/>
        <v>0</v>
      </c>
      <c r="J288" s="961">
        <f t="shared" si="22"/>
        <v>0</v>
      </c>
      <c r="K288" s="80"/>
      <c r="L288" s="807">
        <v>2009</v>
      </c>
      <c r="M288" s="80" t="str">
        <f>+IFERROR(VLOOKUP(L288,DATA!$G$4:$H$2000,2,FALSE),"")</f>
        <v>ХААН БАНК</v>
      </c>
      <c r="N288" s="807"/>
      <c r="O288" s="80" t="str">
        <f>IFERROR(VLOOKUP(N288,DATA!$K$4:$L$51,2,FALSE),"")</f>
        <v/>
      </c>
      <c r="P288" s="80">
        <f t="shared" si="25"/>
        <v>0</v>
      </c>
      <c r="Q288" s="154">
        <f t="shared" si="26"/>
        <v>0</v>
      </c>
    </row>
    <row r="289" spans="2:17">
      <c r="B289" s="627">
        <f t="shared" si="20"/>
        <v>284</v>
      </c>
      <c r="C289" s="429">
        <v>43176</v>
      </c>
      <c r="D289" s="816" t="s">
        <v>2380</v>
      </c>
      <c r="E289" s="807">
        <v>110100</v>
      </c>
      <c r="F289" s="629" t="str">
        <f>IFERROR(VLOOKUP(E289,STAT1!$C$4:$D$1000,2,FALSE),"")</f>
        <v>Хаан Банк 5024654020</v>
      </c>
      <c r="G289" s="811">
        <v>1933970</v>
      </c>
      <c r="H289" s="811"/>
      <c r="I289" s="580">
        <f t="shared" si="21"/>
        <v>1933970</v>
      </c>
      <c r="J289" s="961">
        <f t="shared" si="22"/>
        <v>0</v>
      </c>
      <c r="K289" s="80"/>
      <c r="L289" s="807">
        <v>1005</v>
      </c>
      <c r="M289" s="80" t="str">
        <f>+IFERROR(VLOOKUP(L289,DATA!$G$4:$H$2000,2,FALSE),"")</f>
        <v>Золжаргал</v>
      </c>
      <c r="N289" s="807">
        <v>51</v>
      </c>
      <c r="O289" s="80" t="str">
        <f>IFERROR(VLOOKUP(N289,DATA!$K$4:$L$51,2,FALSE),"")</f>
        <v>Ажиллагчдад төлсөн</v>
      </c>
      <c r="P289" s="80">
        <f t="shared" si="25"/>
        <v>1</v>
      </c>
      <c r="Q289" s="154">
        <f t="shared" si="26"/>
        <v>1</v>
      </c>
    </row>
    <row r="290" spans="2:17">
      <c r="B290" s="627">
        <f t="shared" si="20"/>
        <v>285</v>
      </c>
      <c r="C290" s="429">
        <v>43176</v>
      </c>
      <c r="D290" s="816" t="s">
        <v>2380</v>
      </c>
      <c r="E290" s="807">
        <v>310100</v>
      </c>
      <c r="F290" s="629" t="str">
        <f>IFERROR(VLOOKUP(E290,STAT1!$C$4:$D$1000,2,FALSE),"")</f>
        <v>Дансны өглөг MNT</v>
      </c>
      <c r="G290" s="811"/>
      <c r="H290" s="811">
        <v>1933970</v>
      </c>
      <c r="I290" s="580">
        <f t="shared" si="21"/>
        <v>0</v>
      </c>
      <c r="J290" s="961">
        <f t="shared" si="22"/>
        <v>0</v>
      </c>
      <c r="K290" s="80"/>
      <c r="L290" s="807">
        <v>1005</v>
      </c>
      <c r="M290" s="80" t="str">
        <f>+IFERROR(VLOOKUP(L290,DATA!$G$4:$H$2000,2,FALSE),"")</f>
        <v>Золжаргал</v>
      </c>
      <c r="N290" s="807"/>
      <c r="O290" s="80" t="str">
        <f>IFERROR(VLOOKUP(N290,DATA!$K$4:$L$51,2,FALSE),"")</f>
        <v/>
      </c>
      <c r="P290" s="80">
        <f t="shared" si="25"/>
        <v>0</v>
      </c>
      <c r="Q290" s="154">
        <f t="shared" si="26"/>
        <v>0</v>
      </c>
    </row>
    <row r="291" spans="2:17">
      <c r="B291" s="627">
        <f t="shared" si="20"/>
        <v>286</v>
      </c>
      <c r="C291" s="429">
        <v>43176</v>
      </c>
      <c r="D291" s="816" t="s">
        <v>2380</v>
      </c>
      <c r="E291" s="807">
        <v>110100</v>
      </c>
      <c r="F291" s="629" t="str">
        <f>IFERROR(VLOOKUP(E291,STAT1!$C$4:$D$1000,2,FALSE),"")</f>
        <v>Хаан Банк 5024654020</v>
      </c>
      <c r="G291" s="811"/>
      <c r="H291" s="811">
        <v>1933970</v>
      </c>
      <c r="I291" s="580">
        <f t="shared" si="21"/>
        <v>-1933970</v>
      </c>
      <c r="J291" s="961">
        <f t="shared" si="22"/>
        <v>0</v>
      </c>
      <c r="K291" s="80"/>
      <c r="L291" s="807">
        <v>1005</v>
      </c>
      <c r="M291" s="80" t="str">
        <f>+IFERROR(VLOOKUP(L291,DATA!$G$4:$H$2000,2,FALSE),"")</f>
        <v>Золжаргал</v>
      </c>
      <c r="N291" s="807">
        <v>51</v>
      </c>
      <c r="O291" s="80" t="str">
        <f>IFERROR(VLOOKUP(N291,DATA!$K$4:$L$51,2,FALSE),"")</f>
        <v>Ажиллагчдад төлсөн</v>
      </c>
      <c r="P291" s="80">
        <f t="shared" si="25"/>
        <v>1</v>
      </c>
      <c r="Q291" s="154">
        <f t="shared" si="26"/>
        <v>1</v>
      </c>
    </row>
    <row r="292" spans="2:17">
      <c r="B292" s="627">
        <f t="shared" si="20"/>
        <v>287</v>
      </c>
      <c r="C292" s="429">
        <v>43176</v>
      </c>
      <c r="D292" s="816" t="s">
        <v>2380</v>
      </c>
      <c r="E292" s="807">
        <v>310100</v>
      </c>
      <c r="F292" s="629" t="str">
        <f>IFERROR(VLOOKUP(E292,STAT1!$C$4:$D$1000,2,FALSE),"")</f>
        <v>Дансны өглөг MNT</v>
      </c>
      <c r="G292" s="811">
        <v>1933970</v>
      </c>
      <c r="H292" s="811"/>
      <c r="I292" s="580">
        <f t="shared" si="21"/>
        <v>0</v>
      </c>
      <c r="J292" s="961">
        <f t="shared" si="22"/>
        <v>0</v>
      </c>
      <c r="K292" s="80"/>
      <c r="L292" s="807">
        <v>1005</v>
      </c>
      <c r="M292" s="80" t="str">
        <f>+IFERROR(VLOOKUP(L292,DATA!$G$4:$H$2000,2,FALSE),"")</f>
        <v>Золжаргал</v>
      </c>
      <c r="N292" s="807"/>
      <c r="O292" s="80"/>
      <c r="P292" s="80">
        <f t="shared" si="25"/>
        <v>0</v>
      </c>
      <c r="Q292" s="154">
        <f t="shared" si="26"/>
        <v>0</v>
      </c>
    </row>
    <row r="293" spans="2:17">
      <c r="B293" s="627">
        <f t="shared" si="20"/>
        <v>288</v>
      </c>
      <c r="C293" s="429">
        <v>43176</v>
      </c>
      <c r="D293" s="816" t="s">
        <v>2381</v>
      </c>
      <c r="E293" s="807">
        <v>110100</v>
      </c>
      <c r="F293" s="629" t="str">
        <f>IFERROR(VLOOKUP(E293,STAT1!$C$4:$D$1000,2,FALSE),"")</f>
        <v>Хаан Банк 5024654020</v>
      </c>
      <c r="G293" s="811"/>
      <c r="H293" s="811">
        <v>200</v>
      </c>
      <c r="I293" s="580">
        <f t="shared" si="21"/>
        <v>-200</v>
      </c>
      <c r="J293" s="961">
        <f t="shared" si="22"/>
        <v>0</v>
      </c>
      <c r="K293" s="80"/>
      <c r="L293" s="807">
        <v>2009</v>
      </c>
      <c r="M293" s="80" t="str">
        <f>+IFERROR(VLOOKUP(L293,DATA!$G$4:$H$2000,2,FALSE),"")</f>
        <v>ХААН БАНК</v>
      </c>
      <c r="N293" s="807">
        <v>59</v>
      </c>
      <c r="O293" s="80" t="str">
        <f>IFERROR(VLOOKUP(N293,DATA!$K$4:$L$51,2,FALSE),"")</f>
        <v>Бусад мөнгөн зарлага</v>
      </c>
      <c r="P293" s="80">
        <f t="shared" si="25"/>
        <v>1</v>
      </c>
      <c r="Q293" s="154">
        <f t="shared" si="26"/>
        <v>1</v>
      </c>
    </row>
    <row r="294" spans="2:17">
      <c r="B294" s="627">
        <f t="shared" si="20"/>
        <v>289</v>
      </c>
      <c r="C294" s="429">
        <v>43176</v>
      </c>
      <c r="D294" s="816" t="s">
        <v>2381</v>
      </c>
      <c r="E294" s="807">
        <v>704900</v>
      </c>
      <c r="F294" s="629" t="str">
        <f>IFERROR(VLOOKUP(E294,STAT1!$C$4:$D$1000,2,FALSE),"")</f>
        <v>Банкны үйлчилгээ</v>
      </c>
      <c r="G294" s="811">
        <v>200</v>
      </c>
      <c r="H294" s="811"/>
      <c r="I294" s="580">
        <f t="shared" si="21"/>
        <v>0</v>
      </c>
      <c r="J294" s="961">
        <f t="shared" si="22"/>
        <v>0</v>
      </c>
      <c r="K294" s="80"/>
      <c r="L294" s="807">
        <v>2009</v>
      </c>
      <c r="M294" s="80" t="str">
        <f>+IFERROR(VLOOKUP(L294,DATA!$G$4:$H$2000,2,FALSE),"")</f>
        <v>ХААН БАНК</v>
      </c>
      <c r="N294" s="807"/>
      <c r="O294" s="80" t="str">
        <f>IFERROR(VLOOKUP(N294,DATA!$K$4:$L$51,2,FALSE),"")</f>
        <v/>
      </c>
      <c r="P294" s="80">
        <f t="shared" si="25"/>
        <v>0</v>
      </c>
      <c r="Q294" s="154">
        <f t="shared" si="26"/>
        <v>0</v>
      </c>
    </row>
    <row r="295" spans="2:17">
      <c r="B295" s="627">
        <f t="shared" si="20"/>
        <v>290</v>
      </c>
      <c r="C295" s="429">
        <v>43176</v>
      </c>
      <c r="D295" s="816" t="s">
        <v>2549</v>
      </c>
      <c r="E295" s="807">
        <v>150101</v>
      </c>
      <c r="F295" s="629" t="str">
        <f>IFERROR(VLOOKUP(E295,STAT1!$C$4:$D$1000,2,FALSE),"")</f>
        <v>Бараа бэлэн бүтээгдэхүүн БОЛОВСРУУЛАХ ЦЕХ /нарс/</v>
      </c>
      <c r="G295" s="811"/>
      <c r="H295" s="811">
        <v>563769.41937287699</v>
      </c>
      <c r="I295" s="580">
        <f t="shared" si="21"/>
        <v>0</v>
      </c>
      <c r="J295" s="961">
        <f t="shared" si="22"/>
        <v>0</v>
      </c>
      <c r="K295" s="80"/>
      <c r="L295" s="807">
        <v>3021</v>
      </c>
      <c r="M295" s="80" t="str">
        <f>+IFERROR(VLOOKUP(L295,DATA!$G$4:$H$2000,2,FALSE),"")</f>
        <v>БАНДИА ХХК</v>
      </c>
      <c r="N295" s="807"/>
      <c r="O295" s="80" t="str">
        <f>IFERROR(VLOOKUP(N295,DATA!$K$4:$L$51,2,FALSE),"")</f>
        <v/>
      </c>
      <c r="P295" s="80">
        <f t="shared" si="25"/>
        <v>0</v>
      </c>
      <c r="Q295" s="154">
        <f t="shared" si="26"/>
        <v>0</v>
      </c>
    </row>
    <row r="296" spans="2:17">
      <c r="B296" s="627">
        <f t="shared" si="20"/>
        <v>291</v>
      </c>
      <c r="C296" s="429">
        <v>43176</v>
      </c>
      <c r="D296" s="816" t="s">
        <v>2549</v>
      </c>
      <c r="E296" s="807">
        <v>610100</v>
      </c>
      <c r="F296" s="629" t="str">
        <f>IFERROR(VLOOKUP(E296,STAT1!$C$4:$D$1000,2,FALSE),"")</f>
        <v>Борлуулсан барааны өртөг</v>
      </c>
      <c r="G296" s="811">
        <v>563769.41937287699</v>
      </c>
      <c r="H296" s="811"/>
      <c r="I296" s="580">
        <f t="shared" si="21"/>
        <v>0</v>
      </c>
      <c r="J296" s="961">
        <f t="shared" si="22"/>
        <v>0</v>
      </c>
      <c r="K296" s="80"/>
      <c r="L296" s="807">
        <v>3021</v>
      </c>
      <c r="M296" s="80" t="str">
        <f>+IFERROR(VLOOKUP(L296,DATA!$G$4:$H$2000,2,FALSE),"")</f>
        <v>БАНДИА ХХК</v>
      </c>
      <c r="N296" s="807"/>
      <c r="O296" s="80" t="str">
        <f>IFERROR(VLOOKUP(N296,DATA!$K$4:$L$51,2,FALSE),"")</f>
        <v/>
      </c>
      <c r="P296" s="80">
        <f t="shared" si="25"/>
        <v>0</v>
      </c>
      <c r="Q296" s="154">
        <f t="shared" si="26"/>
        <v>0</v>
      </c>
    </row>
    <row r="297" spans="2:17">
      <c r="B297" s="627">
        <f t="shared" si="20"/>
        <v>292</v>
      </c>
      <c r="C297" s="429">
        <v>43176</v>
      </c>
      <c r="D297" s="816" t="s">
        <v>2549</v>
      </c>
      <c r="E297" s="807">
        <v>310500</v>
      </c>
      <c r="F297" s="629" t="str">
        <f>IFERROR(VLOOKUP(E297,STAT1!$C$4:$D$1000,2,FALSE),"")</f>
        <v>НӨАТ өглөг</v>
      </c>
      <c r="G297" s="811"/>
      <c r="H297" s="811">
        <v>58050</v>
      </c>
      <c r="I297" s="580">
        <f t="shared" si="21"/>
        <v>0</v>
      </c>
      <c r="J297" s="961">
        <f t="shared" si="22"/>
        <v>0</v>
      </c>
      <c r="K297" s="80"/>
      <c r="L297" s="807">
        <v>3021</v>
      </c>
      <c r="M297" s="80" t="str">
        <f>+IFERROR(VLOOKUP(L297,DATA!$G$4:$H$2000,2,FALSE),"")</f>
        <v>БАНДИА ХХК</v>
      </c>
      <c r="N297" s="807"/>
      <c r="O297" s="80" t="str">
        <f>IFERROR(VLOOKUP(N297,DATA!$K$4:$L$51,2,FALSE),"")</f>
        <v/>
      </c>
      <c r="P297" s="80">
        <f t="shared" si="25"/>
        <v>0</v>
      </c>
      <c r="Q297" s="154">
        <f t="shared" si="26"/>
        <v>0</v>
      </c>
    </row>
    <row r="298" spans="2:17">
      <c r="B298" s="627">
        <f t="shared" si="20"/>
        <v>293</v>
      </c>
      <c r="C298" s="429">
        <v>43176</v>
      </c>
      <c r="D298" s="816" t="s">
        <v>2549</v>
      </c>
      <c r="E298" s="807">
        <v>510000</v>
      </c>
      <c r="F298" s="629" t="str">
        <f>IFERROR(VLOOKUP(E298,STAT1!$C$4:$D$1000,2,FALSE),"")</f>
        <v>Үндсэн үйл ажиллагааны борлуулалт</v>
      </c>
      <c r="G298" s="811"/>
      <c r="H298" s="811">
        <v>580500</v>
      </c>
      <c r="I298" s="580">
        <f t="shared" si="21"/>
        <v>0</v>
      </c>
      <c r="J298" s="961">
        <f t="shared" si="22"/>
        <v>0</v>
      </c>
      <c r="K298" s="80"/>
      <c r="L298" s="807">
        <v>3021</v>
      </c>
      <c r="M298" s="80" t="str">
        <f>+IFERROR(VLOOKUP(L298,DATA!$G$4:$H$2000,2,FALSE),"")</f>
        <v>БАНДИА ХХК</v>
      </c>
      <c r="N298" s="807"/>
      <c r="O298" s="80"/>
      <c r="P298" s="80">
        <f t="shared" si="25"/>
        <v>0</v>
      </c>
      <c r="Q298" s="154">
        <f t="shared" si="26"/>
        <v>0</v>
      </c>
    </row>
    <row r="299" spans="2:17">
      <c r="B299" s="627">
        <f t="shared" si="20"/>
        <v>294</v>
      </c>
      <c r="C299" s="429">
        <v>43176</v>
      </c>
      <c r="D299" s="816" t="s">
        <v>2549</v>
      </c>
      <c r="E299" s="807">
        <v>320100</v>
      </c>
      <c r="F299" s="629" t="str">
        <f>IFERROR(VLOOKUP(E299,STAT1!$C$4:$D$1000,2,FALSE),"")</f>
        <v>Урьдчилж орсон орлого MNT</v>
      </c>
      <c r="G299" s="811">
        <v>638550</v>
      </c>
      <c r="H299" s="811"/>
      <c r="I299" s="580">
        <f t="shared" si="21"/>
        <v>0</v>
      </c>
      <c r="J299" s="961">
        <f t="shared" si="22"/>
        <v>0</v>
      </c>
      <c r="K299" s="80"/>
      <c r="L299" s="807">
        <v>3021</v>
      </c>
      <c r="M299" s="80" t="str">
        <f>+IFERROR(VLOOKUP(L299,DATA!$G$4:$H$2000,2,FALSE),"")</f>
        <v>БАНДИА ХХК</v>
      </c>
      <c r="N299" s="807"/>
      <c r="O299" s="80" t="str">
        <f>IFERROR(VLOOKUP(N299,DATA!$K$4:$L$51,2,FALSE),"")</f>
        <v/>
      </c>
      <c r="P299" s="80">
        <f t="shared" si="25"/>
        <v>0</v>
      </c>
      <c r="Q299" s="154">
        <f t="shared" si="26"/>
        <v>0</v>
      </c>
    </row>
    <row r="300" spans="2:17">
      <c r="B300" s="627">
        <f t="shared" si="20"/>
        <v>295</v>
      </c>
      <c r="C300" s="429">
        <v>43178</v>
      </c>
      <c r="D300" s="816" t="s">
        <v>1571</v>
      </c>
      <c r="E300" s="807">
        <v>110100</v>
      </c>
      <c r="F300" s="629" t="str">
        <f>IFERROR(VLOOKUP(E300,STAT1!$C$4:$D$1000,2,FALSE),"")</f>
        <v>Хаан Банк 5024654020</v>
      </c>
      <c r="G300" s="811">
        <v>12810250</v>
      </c>
      <c r="H300" s="811"/>
      <c r="I300" s="580">
        <f t="shared" si="21"/>
        <v>12810250</v>
      </c>
      <c r="J300" s="961">
        <f t="shared" si="22"/>
        <v>0</v>
      </c>
      <c r="K300" s="80"/>
      <c r="L300" s="807">
        <v>3118</v>
      </c>
      <c r="M300" s="80" t="str">
        <f>+IFERROR(VLOOKUP(L300,DATA!$G$4:$H$2000,2,FALSE),"")</f>
        <v>САММИТ ТЕХ КОМ ХХК</v>
      </c>
      <c r="N300" s="807">
        <v>41</v>
      </c>
      <c r="O300" s="80" t="str">
        <f>IFERROR(VLOOKUP(N300,DATA!$K$4:$L$51,2,FALSE),"")</f>
        <v>Бараа борлуулсан, үйлчилгээ үзүүлсэний орлого</v>
      </c>
      <c r="P300" s="80">
        <f t="shared" si="25"/>
        <v>1</v>
      </c>
      <c r="Q300" s="154">
        <f t="shared" si="26"/>
        <v>1</v>
      </c>
    </row>
    <row r="301" spans="2:17">
      <c r="B301" s="627">
        <f t="shared" si="20"/>
        <v>296</v>
      </c>
      <c r="C301" s="429">
        <v>43178</v>
      </c>
      <c r="D301" s="816" t="s">
        <v>1571</v>
      </c>
      <c r="E301" s="807">
        <v>320100</v>
      </c>
      <c r="F301" s="629" t="str">
        <f>IFERROR(VLOOKUP(E301,STAT1!$C$4:$D$1000,2,FALSE),"")</f>
        <v>Урьдчилж орсон орлого MNT</v>
      </c>
      <c r="G301" s="811"/>
      <c r="H301" s="811">
        <v>12810250</v>
      </c>
      <c r="I301" s="580">
        <f t="shared" si="21"/>
        <v>0</v>
      </c>
      <c r="J301" s="961">
        <f t="shared" si="22"/>
        <v>0</v>
      </c>
      <c r="K301" s="80"/>
      <c r="L301" s="807">
        <v>3118</v>
      </c>
      <c r="M301" s="80" t="str">
        <f>+IFERROR(VLOOKUP(L301,DATA!$G$4:$H$2000,2,FALSE),"")</f>
        <v>САММИТ ТЕХ КОМ ХХК</v>
      </c>
      <c r="N301" s="807"/>
      <c r="O301" s="80" t="str">
        <f>IFERROR(VLOOKUP(N301,DATA!$K$4:$L$51,2,FALSE),"")</f>
        <v/>
      </c>
      <c r="P301" s="80">
        <f t="shared" si="25"/>
        <v>0</v>
      </c>
      <c r="Q301" s="154">
        <f t="shared" si="26"/>
        <v>0</v>
      </c>
    </row>
    <row r="302" spans="2:17">
      <c r="B302" s="627">
        <f t="shared" si="20"/>
        <v>297</v>
      </c>
      <c r="C302" s="582">
        <v>43178</v>
      </c>
      <c r="D302" s="815" t="s">
        <v>1570</v>
      </c>
      <c r="E302" s="630">
        <v>100100</v>
      </c>
      <c r="F302" s="629" t="str">
        <f>IFERROR(VLOOKUP(E302,STAT1!$C$4:$D$1000,2,FALSE),"")</f>
        <v>Касс мөнгө MNT</v>
      </c>
      <c r="G302" s="376"/>
      <c r="H302" s="376">
        <v>20000</v>
      </c>
      <c r="I302" s="580">
        <f t="shared" si="21"/>
        <v>-20000</v>
      </c>
      <c r="J302" s="961">
        <f t="shared" si="22"/>
        <v>0</v>
      </c>
      <c r="K302" s="428"/>
      <c r="L302" s="630">
        <v>1005</v>
      </c>
      <c r="M302" s="80" t="str">
        <f>+IFERROR(VLOOKUP(L302,DATA!$G$4:$H$2000,2,FALSE),"")</f>
        <v>Золжаргал</v>
      </c>
      <c r="N302" s="630">
        <v>55</v>
      </c>
      <c r="O302" s="80" t="str">
        <f>IFERROR(VLOOKUP(N302,DATA!$K$4:$L$51,2,FALSE),"")</f>
        <v>Түлш, шатахуун, тээврийн хөлс, сэлбэг хэрэгсэлд төлсөн</v>
      </c>
      <c r="P302" s="80">
        <f t="shared" si="25"/>
        <v>1</v>
      </c>
      <c r="Q302" s="154">
        <f t="shared" si="26"/>
        <v>1</v>
      </c>
    </row>
    <row r="303" spans="2:17">
      <c r="B303" s="627">
        <f t="shared" si="20"/>
        <v>298</v>
      </c>
      <c r="C303" s="582">
        <v>43178</v>
      </c>
      <c r="D303" s="815" t="s">
        <v>1570</v>
      </c>
      <c r="E303" s="630">
        <v>120600</v>
      </c>
      <c r="F303" s="629" t="str">
        <f>IFERROR(VLOOKUP(E303,STAT1!$C$4:$D$1000,2,FALSE),"")</f>
        <v>НӨАТ авлага</v>
      </c>
      <c r="G303" s="376">
        <v>1818.18</v>
      </c>
      <c r="H303" s="376"/>
      <c r="I303" s="580">
        <f t="shared" si="21"/>
        <v>0</v>
      </c>
      <c r="J303" s="961">
        <f t="shared" si="22"/>
        <v>0</v>
      </c>
      <c r="K303" s="428"/>
      <c r="L303" s="630">
        <v>1005</v>
      </c>
      <c r="M303" s="80" t="str">
        <f>+IFERROR(VLOOKUP(L303,DATA!$G$4:$H$2000,2,FALSE),"")</f>
        <v>Золжаргал</v>
      </c>
      <c r="N303" s="630"/>
      <c r="O303" s="80" t="str">
        <f>IFERROR(VLOOKUP(N303,DATA!$K$4:$L$51,2,FALSE),"")</f>
        <v/>
      </c>
      <c r="P303" s="80">
        <f t="shared" si="25"/>
        <v>0</v>
      </c>
      <c r="Q303" s="154">
        <f t="shared" si="26"/>
        <v>0</v>
      </c>
    </row>
    <row r="304" spans="2:17">
      <c r="B304" s="627">
        <f t="shared" si="20"/>
        <v>299</v>
      </c>
      <c r="C304" s="582">
        <v>43178</v>
      </c>
      <c r="D304" s="815" t="s">
        <v>1570</v>
      </c>
      <c r="E304" s="630">
        <v>702000</v>
      </c>
      <c r="F304" s="629" t="str">
        <f>IFERROR(VLOOKUP(E304,STAT1!$C$4:$D$1000,2,FALSE),"")</f>
        <v>Түлш, шатахуун</v>
      </c>
      <c r="G304" s="376">
        <v>18181.82</v>
      </c>
      <c r="H304" s="376"/>
      <c r="I304" s="580">
        <f t="shared" si="21"/>
        <v>0</v>
      </c>
      <c r="J304" s="961">
        <f t="shared" si="22"/>
        <v>0</v>
      </c>
      <c r="K304" s="428"/>
      <c r="L304" s="630">
        <v>1005</v>
      </c>
      <c r="M304" s="80" t="str">
        <f>+IFERROR(VLOOKUP(L304,DATA!$G$4:$H$2000,2,FALSE),"")</f>
        <v>Золжаргал</v>
      </c>
      <c r="N304" s="630"/>
      <c r="O304" s="80" t="str">
        <f>IFERROR(VLOOKUP(N304,DATA!$K$4:$L$51,2,FALSE),"")</f>
        <v/>
      </c>
      <c r="P304" s="80">
        <f t="shared" si="25"/>
        <v>0</v>
      </c>
      <c r="Q304" s="154">
        <f t="shared" si="26"/>
        <v>0</v>
      </c>
    </row>
    <row r="305" spans="2:17">
      <c r="B305" s="627">
        <f t="shared" si="20"/>
        <v>300</v>
      </c>
      <c r="C305" s="429">
        <v>43178</v>
      </c>
      <c r="D305" s="816" t="s">
        <v>2549</v>
      </c>
      <c r="E305" s="807">
        <v>150101</v>
      </c>
      <c r="F305" s="629" t="str">
        <f>IFERROR(VLOOKUP(E305,STAT1!$C$4:$D$1000,2,FALSE),"")</f>
        <v>Бараа бэлэн бүтээгдэхүүн БОЛОВСРУУЛАХ ЦЕХ /нарс/</v>
      </c>
      <c r="G305" s="811"/>
      <c r="H305" s="811">
        <v>6442729.8412397113</v>
      </c>
      <c r="I305" s="580">
        <f t="shared" si="21"/>
        <v>0</v>
      </c>
      <c r="J305" s="961">
        <f t="shared" si="22"/>
        <v>0</v>
      </c>
      <c r="K305" s="80"/>
      <c r="L305" s="807">
        <v>3118</v>
      </c>
      <c r="M305" s="80" t="str">
        <f>+IFERROR(VLOOKUP(L305,DATA!$G$4:$H$2000,2,FALSE),"")</f>
        <v>САММИТ ТЕХ КОМ ХХК</v>
      </c>
      <c r="N305" s="807"/>
      <c r="O305" s="80" t="str">
        <f>IFERROR(VLOOKUP(N305,DATA!$K$4:$L$51,2,FALSE),"")</f>
        <v/>
      </c>
      <c r="P305" s="80">
        <f t="shared" si="25"/>
        <v>0</v>
      </c>
      <c r="Q305" s="154">
        <f t="shared" si="26"/>
        <v>0</v>
      </c>
    </row>
    <row r="306" spans="2:17">
      <c r="B306" s="627">
        <f t="shared" si="20"/>
        <v>301</v>
      </c>
      <c r="C306" s="429">
        <v>43178</v>
      </c>
      <c r="D306" s="816" t="s">
        <v>2549</v>
      </c>
      <c r="E306" s="807">
        <v>610100</v>
      </c>
      <c r="F306" s="629" t="str">
        <f>IFERROR(VLOOKUP(E306,STAT1!$C$4:$D$1000,2,FALSE),"")</f>
        <v>Борлуулсан барааны өртөг</v>
      </c>
      <c r="G306" s="811">
        <v>6442729.8412397113</v>
      </c>
      <c r="H306" s="811"/>
      <c r="I306" s="580">
        <f t="shared" si="21"/>
        <v>0</v>
      </c>
      <c r="J306" s="961">
        <f t="shared" si="22"/>
        <v>0</v>
      </c>
      <c r="K306" s="80"/>
      <c r="L306" s="807">
        <v>3118</v>
      </c>
      <c r="M306" s="80" t="str">
        <f>+IFERROR(VLOOKUP(L306,DATA!$G$4:$H$2000,2,FALSE),"")</f>
        <v>САММИТ ТЕХ КОМ ХХК</v>
      </c>
      <c r="N306" s="807"/>
      <c r="O306" s="80"/>
      <c r="P306" s="80">
        <f t="shared" si="25"/>
        <v>0</v>
      </c>
      <c r="Q306" s="154">
        <f t="shared" si="26"/>
        <v>0</v>
      </c>
    </row>
    <row r="307" spans="2:17">
      <c r="B307" s="627">
        <f t="shared" si="20"/>
        <v>302</v>
      </c>
      <c r="C307" s="429">
        <v>43178</v>
      </c>
      <c r="D307" s="816" t="s">
        <v>2549</v>
      </c>
      <c r="E307" s="807">
        <v>310500</v>
      </c>
      <c r="F307" s="629" t="str">
        <f>IFERROR(VLOOKUP(E307,STAT1!$C$4:$D$1000,2,FALSE),"")</f>
        <v>НӨАТ өглөг</v>
      </c>
      <c r="G307" s="811"/>
      <c r="H307" s="811">
        <v>1164568.18</v>
      </c>
      <c r="I307" s="580">
        <f t="shared" si="21"/>
        <v>0</v>
      </c>
      <c r="J307" s="961">
        <f t="shared" si="22"/>
        <v>0</v>
      </c>
      <c r="K307" s="80"/>
      <c r="L307" s="807">
        <v>3118</v>
      </c>
      <c r="M307" s="80" t="str">
        <f>+IFERROR(VLOOKUP(L307,DATA!$G$4:$H$2000,2,FALSE),"")</f>
        <v>САММИТ ТЕХ КОМ ХХК</v>
      </c>
      <c r="N307" s="807"/>
      <c r="O307" s="80" t="str">
        <f>IFERROR(VLOOKUP(N307,DATA!$K$4:$L$51,2,FALSE),"")</f>
        <v/>
      </c>
      <c r="P307" s="80">
        <f t="shared" si="25"/>
        <v>0</v>
      </c>
      <c r="Q307" s="154">
        <f t="shared" si="26"/>
        <v>0</v>
      </c>
    </row>
    <row r="308" spans="2:17">
      <c r="B308" s="627">
        <f t="shared" si="20"/>
        <v>303</v>
      </c>
      <c r="C308" s="429">
        <v>43178</v>
      </c>
      <c r="D308" s="816" t="s">
        <v>2549</v>
      </c>
      <c r="E308" s="807">
        <v>510000</v>
      </c>
      <c r="F308" s="629" t="str">
        <f>IFERROR(VLOOKUP(E308,STAT1!$C$4:$D$1000,2,FALSE),"")</f>
        <v>Үндсэн үйл ажиллагааны борлуулалт</v>
      </c>
      <c r="G308" s="811"/>
      <c r="H308" s="811">
        <v>11645681.82</v>
      </c>
      <c r="I308" s="580">
        <f t="shared" si="21"/>
        <v>0</v>
      </c>
      <c r="J308" s="961">
        <f t="shared" si="22"/>
        <v>0</v>
      </c>
      <c r="K308" s="80"/>
      <c r="L308" s="807">
        <v>3118</v>
      </c>
      <c r="M308" s="80" t="str">
        <f>+IFERROR(VLOOKUP(L308,DATA!$G$4:$H$2000,2,FALSE),"")</f>
        <v>САММИТ ТЕХ КОМ ХХК</v>
      </c>
      <c r="N308" s="807"/>
      <c r="O308" s="80" t="str">
        <f>IFERROR(VLOOKUP(N308,DATA!$K$4:$L$51,2,FALSE),"")</f>
        <v/>
      </c>
      <c r="P308" s="80">
        <f t="shared" si="25"/>
        <v>0</v>
      </c>
      <c r="Q308" s="154">
        <f t="shared" si="26"/>
        <v>0</v>
      </c>
    </row>
    <row r="309" spans="2:17">
      <c r="B309" s="627">
        <f t="shared" si="20"/>
        <v>304</v>
      </c>
      <c r="C309" s="429">
        <v>43178</v>
      </c>
      <c r="D309" s="816" t="s">
        <v>2549</v>
      </c>
      <c r="E309" s="807">
        <v>320100</v>
      </c>
      <c r="F309" s="629" t="str">
        <f>IFERROR(VLOOKUP(E309,STAT1!$C$4:$D$1000,2,FALSE),"")</f>
        <v>Урьдчилж орсон орлого MNT</v>
      </c>
      <c r="G309" s="811">
        <v>12810250</v>
      </c>
      <c r="H309" s="811"/>
      <c r="I309" s="580">
        <f t="shared" si="21"/>
        <v>0</v>
      </c>
      <c r="J309" s="961">
        <f t="shared" si="22"/>
        <v>0</v>
      </c>
      <c r="K309" s="80"/>
      <c r="L309" s="807">
        <v>3118</v>
      </c>
      <c r="M309" s="80" t="str">
        <f>+IFERROR(VLOOKUP(L309,DATA!$G$4:$H$2000,2,FALSE),"")</f>
        <v>САММИТ ТЕХ КОМ ХХК</v>
      </c>
      <c r="N309" s="807"/>
      <c r="O309" s="80" t="str">
        <f>IFERROR(VLOOKUP(N309,DATA!$K$4:$L$51,2,FALSE),"")</f>
        <v/>
      </c>
      <c r="P309" s="80">
        <f t="shared" si="25"/>
        <v>0</v>
      </c>
      <c r="Q309" s="154">
        <f t="shared" si="26"/>
        <v>0</v>
      </c>
    </row>
    <row r="310" spans="2:17">
      <c r="B310" s="627">
        <f t="shared" si="20"/>
        <v>305</v>
      </c>
      <c r="C310" s="582">
        <v>43179</v>
      </c>
      <c r="D310" s="816" t="s">
        <v>2379</v>
      </c>
      <c r="E310" s="807">
        <v>110100</v>
      </c>
      <c r="F310" s="629" t="str">
        <f>IFERROR(VLOOKUP(E310,STAT1!$C$4:$D$1000,2,FALSE),"")</f>
        <v>Хаан Банк 5024654020</v>
      </c>
      <c r="G310" s="376"/>
      <c r="H310" s="376">
        <v>3546891</v>
      </c>
      <c r="I310" s="580">
        <f t="shared" si="21"/>
        <v>-3546891</v>
      </c>
      <c r="J310" s="961">
        <f t="shared" si="22"/>
        <v>0</v>
      </c>
      <c r="K310" s="428"/>
      <c r="L310" s="630">
        <v>2009</v>
      </c>
      <c r="M310" s="80" t="str">
        <f>+IFERROR(VLOOKUP(L310,DATA!$G$4:$H$2000,2,FALSE),"")</f>
        <v>ХААН БАНК</v>
      </c>
      <c r="N310" s="630">
        <v>91</v>
      </c>
      <c r="O310" s="80" t="str">
        <f>IFERROR(VLOOKUP(N310,DATA!$K$4:$L$51,2,FALSE),"")</f>
        <v>Зээл, өрийн үнэт цаасны төлбөрт төлсөн</v>
      </c>
      <c r="P310" s="80">
        <f t="shared" si="25"/>
        <v>1</v>
      </c>
      <c r="Q310" s="154">
        <f t="shared" si="26"/>
        <v>1</v>
      </c>
    </row>
    <row r="311" spans="2:17">
      <c r="B311" s="627">
        <f t="shared" si="20"/>
        <v>306</v>
      </c>
      <c r="C311" s="582">
        <v>43179</v>
      </c>
      <c r="D311" s="816" t="s">
        <v>2379</v>
      </c>
      <c r="E311" s="807">
        <v>311100</v>
      </c>
      <c r="F311" s="629" t="str">
        <f>IFERROR(VLOOKUP(E311,STAT1!$C$4:$D$1000,2,FALSE),"")</f>
        <v xml:space="preserve">Бусад богино хугацаат өглөг </v>
      </c>
      <c r="G311" s="376">
        <v>3546891</v>
      </c>
      <c r="H311" s="376"/>
      <c r="I311" s="580">
        <f t="shared" si="21"/>
        <v>0</v>
      </c>
      <c r="J311" s="961">
        <f t="shared" si="22"/>
        <v>0</v>
      </c>
      <c r="K311" s="428"/>
      <c r="L311" s="630">
        <v>2009</v>
      </c>
      <c r="M311" s="80" t="str">
        <f>+IFERROR(VLOOKUP(L311,DATA!$G$4:$H$2000,2,FALSE),"")</f>
        <v>ХААН БАНК</v>
      </c>
      <c r="N311" s="630"/>
      <c r="O311" s="80"/>
      <c r="P311" s="80"/>
    </row>
    <row r="312" spans="2:17">
      <c r="B312" s="627">
        <f t="shared" si="20"/>
        <v>307</v>
      </c>
      <c r="C312" s="582">
        <v>43179</v>
      </c>
      <c r="D312" s="816" t="s">
        <v>2379</v>
      </c>
      <c r="E312" s="807">
        <v>110100</v>
      </c>
      <c r="F312" s="629" t="str">
        <f>IFERROR(VLOOKUP(E312,STAT1!$C$4:$D$1000,2,FALSE),"")</f>
        <v>Хаан Банк 5024654020</v>
      </c>
      <c r="G312" s="376"/>
      <c r="H312" s="811">
        <v>1033109</v>
      </c>
      <c r="I312" s="580">
        <f t="shared" si="21"/>
        <v>-1033109</v>
      </c>
      <c r="J312" s="961">
        <f t="shared" si="22"/>
        <v>0</v>
      </c>
      <c r="K312" s="428"/>
      <c r="L312" s="630">
        <v>2009</v>
      </c>
      <c r="M312" s="80" t="str">
        <f>+IFERROR(VLOOKUP(L312,DATA!$G$4:$H$2000,2,FALSE),"")</f>
        <v>ХААН БАНК</v>
      </c>
      <c r="N312" s="630">
        <v>56</v>
      </c>
      <c r="O312" s="80" t="str">
        <f>IFERROR(VLOOKUP(N312,DATA!$K$4:$L$51,2,FALSE),"")</f>
        <v>Хүүний төлбөрт төлсөн</v>
      </c>
      <c r="P312" s="80">
        <f t="shared" ref="P312:P375" si="27">+IF(I312,1,0)</f>
        <v>1</v>
      </c>
      <c r="Q312" s="154">
        <f t="shared" ref="Q312:Q375" si="28">+IF(I312,1,0)</f>
        <v>1</v>
      </c>
    </row>
    <row r="313" spans="2:17">
      <c r="B313" s="627">
        <f t="shared" si="20"/>
        <v>308</v>
      </c>
      <c r="C313" s="582">
        <v>43179</v>
      </c>
      <c r="D313" s="816" t="s">
        <v>2379</v>
      </c>
      <c r="E313" s="807">
        <v>702500</v>
      </c>
      <c r="F313" s="629" t="str">
        <f>IFERROR(VLOOKUP(E313,STAT1!$C$4:$D$1000,2,FALSE),"")</f>
        <v>Зээлийн хүүгийн зардал</v>
      </c>
      <c r="G313" s="811">
        <v>1033109</v>
      </c>
      <c r="H313" s="811"/>
      <c r="I313" s="580">
        <f t="shared" si="21"/>
        <v>0</v>
      </c>
      <c r="J313" s="961">
        <f t="shared" si="22"/>
        <v>0</v>
      </c>
      <c r="K313" s="80"/>
      <c r="L313" s="630">
        <v>2009</v>
      </c>
      <c r="M313" s="80" t="str">
        <f>+IFERROR(VLOOKUP(L313,DATA!$G$4:$H$2000,2,FALSE),"")</f>
        <v>ХААН БАНК</v>
      </c>
      <c r="N313" s="807"/>
      <c r="O313" s="80" t="str">
        <f>IFERROR(VLOOKUP(N313,DATA!$K$4:$L$51,2,FALSE),"")</f>
        <v/>
      </c>
      <c r="P313" s="80">
        <f t="shared" si="27"/>
        <v>0</v>
      </c>
      <c r="Q313" s="154">
        <f t="shared" si="28"/>
        <v>0</v>
      </c>
    </row>
    <row r="314" spans="2:17">
      <c r="B314" s="627">
        <f t="shared" si="20"/>
        <v>309</v>
      </c>
      <c r="C314" s="429">
        <v>43179</v>
      </c>
      <c r="D314" s="816" t="s">
        <v>2539</v>
      </c>
      <c r="E314" s="807">
        <v>100100</v>
      </c>
      <c r="F314" s="629" t="str">
        <f>IFERROR(VLOOKUP(E314,STAT1!$C$4:$D$1000,2,FALSE),"")</f>
        <v>Касс мөнгө MNT</v>
      </c>
      <c r="G314" s="811"/>
      <c r="H314" s="811">
        <v>212000</v>
      </c>
      <c r="I314" s="580">
        <f t="shared" si="21"/>
        <v>-212000</v>
      </c>
      <c r="J314" s="961">
        <f t="shared" si="22"/>
        <v>0</v>
      </c>
      <c r="K314" s="80"/>
      <c r="L314" s="807">
        <v>1008</v>
      </c>
      <c r="M314" s="80" t="str">
        <f>+IFERROR(VLOOKUP(L314,DATA!$G$4:$H$2000,2,FALSE),"")</f>
        <v xml:space="preserve">Оюунтүлхүүр </v>
      </c>
      <c r="N314" s="807">
        <v>53</v>
      </c>
      <c r="O314" s="80" t="str">
        <f>IFERROR(VLOOKUP(N314,DATA!$K$4:$L$51,2,FALSE),"")</f>
        <v>Бараа материал худалдан авахад төлсөн</v>
      </c>
      <c r="P314" s="80">
        <f t="shared" si="27"/>
        <v>1</v>
      </c>
      <c r="Q314" s="154">
        <f t="shared" si="28"/>
        <v>1</v>
      </c>
    </row>
    <row r="315" spans="2:17">
      <c r="B315" s="627">
        <f t="shared" si="20"/>
        <v>310</v>
      </c>
      <c r="C315" s="429">
        <v>43179</v>
      </c>
      <c r="D315" s="816" t="s">
        <v>2539</v>
      </c>
      <c r="E315" s="807">
        <v>120600</v>
      </c>
      <c r="F315" s="629" t="str">
        <f>IFERROR(VLOOKUP(E315,STAT1!$C$4:$D$1000,2,FALSE),"")</f>
        <v>НӨАТ авлага</v>
      </c>
      <c r="G315" s="811">
        <v>19272.73</v>
      </c>
      <c r="H315" s="811"/>
      <c r="I315" s="580">
        <f t="shared" si="21"/>
        <v>0</v>
      </c>
      <c r="J315" s="961">
        <f t="shared" si="22"/>
        <v>0</v>
      </c>
      <c r="K315" s="80"/>
      <c r="L315" s="807">
        <v>1008</v>
      </c>
      <c r="M315" s="80" t="str">
        <f>+IFERROR(VLOOKUP(L315,DATA!$G$4:$H$2000,2,FALSE),"")</f>
        <v xml:space="preserve">Оюунтүлхүүр </v>
      </c>
      <c r="N315" s="807"/>
      <c r="O315" s="80" t="str">
        <f>IFERROR(VLOOKUP(N315,DATA!$K$4:$L$51,2,FALSE),"")</f>
        <v/>
      </c>
      <c r="P315" s="80">
        <f t="shared" si="27"/>
        <v>0</v>
      </c>
      <c r="Q315" s="154">
        <f t="shared" si="28"/>
        <v>0</v>
      </c>
    </row>
    <row r="316" spans="2:17">
      <c r="B316" s="627">
        <f t="shared" si="20"/>
        <v>311</v>
      </c>
      <c r="C316" s="429">
        <v>43179</v>
      </c>
      <c r="D316" s="816" t="s">
        <v>2539</v>
      </c>
      <c r="E316" s="807">
        <v>704600</v>
      </c>
      <c r="F316" s="629" t="str">
        <f>IFERROR(VLOOKUP(E316,STAT1!$C$4:$D$1000,2,FALSE),"")</f>
        <v>Хөдөлмөр хамгаалалын зардал</v>
      </c>
      <c r="G316" s="811">
        <v>192727.27</v>
      </c>
      <c r="H316" s="811"/>
      <c r="I316" s="580">
        <f t="shared" si="21"/>
        <v>0</v>
      </c>
      <c r="J316" s="961">
        <f t="shared" si="22"/>
        <v>0</v>
      </c>
      <c r="K316" s="80"/>
      <c r="L316" s="807">
        <v>1008</v>
      </c>
      <c r="M316" s="80" t="str">
        <f>+IFERROR(VLOOKUP(L316,DATA!$G$4:$H$2000,2,FALSE),"")</f>
        <v xml:space="preserve">Оюунтүлхүүр </v>
      </c>
      <c r="N316" s="807"/>
      <c r="O316" s="80" t="str">
        <f>IFERROR(VLOOKUP(N316,DATA!$K$4:$L$51,2,FALSE),"")</f>
        <v/>
      </c>
      <c r="P316" s="80">
        <f t="shared" si="27"/>
        <v>0</v>
      </c>
      <c r="Q316" s="154">
        <f t="shared" si="28"/>
        <v>0</v>
      </c>
    </row>
    <row r="317" spans="2:17">
      <c r="B317" s="627">
        <f t="shared" si="20"/>
        <v>312</v>
      </c>
      <c r="C317" s="429">
        <v>43179</v>
      </c>
      <c r="D317" s="816" t="s">
        <v>2549</v>
      </c>
      <c r="E317" s="807">
        <v>150101</v>
      </c>
      <c r="F317" s="629" t="str">
        <f>IFERROR(VLOOKUP(E317,STAT1!$C$4:$D$1000,2,FALSE),"")</f>
        <v>Бараа бэлэн бүтээгдэхүүн БОЛОВСРУУЛАХ ЦЕХ /нарс/</v>
      </c>
      <c r="G317" s="811"/>
      <c r="H317" s="811">
        <v>82666.79466850929</v>
      </c>
      <c r="I317" s="580">
        <f t="shared" si="21"/>
        <v>0</v>
      </c>
      <c r="J317" s="961">
        <f t="shared" si="22"/>
        <v>0</v>
      </c>
      <c r="K317" s="80"/>
      <c r="L317" s="807">
        <v>3102</v>
      </c>
      <c r="M317" s="80" t="str">
        <f>+IFERROR(VLOOKUP(L317,DATA!$G$4:$H$2000,2,FALSE),"")</f>
        <v xml:space="preserve">ВОРК ШОП ХХК </v>
      </c>
      <c r="N317" s="807"/>
      <c r="O317" s="80" t="str">
        <f>IFERROR(VLOOKUP(N317,DATA!$K$4:$L$51,2,FALSE),"")</f>
        <v/>
      </c>
      <c r="P317" s="80">
        <f t="shared" si="27"/>
        <v>0</v>
      </c>
      <c r="Q317" s="154">
        <f t="shared" si="28"/>
        <v>0</v>
      </c>
    </row>
    <row r="318" spans="2:17">
      <c r="B318" s="627">
        <f t="shared" si="20"/>
        <v>313</v>
      </c>
      <c r="C318" s="429">
        <v>43179</v>
      </c>
      <c r="D318" s="816" t="s">
        <v>2549</v>
      </c>
      <c r="E318" s="807">
        <v>610100</v>
      </c>
      <c r="F318" s="629" t="str">
        <f>IFERROR(VLOOKUP(E318,STAT1!$C$4:$D$1000,2,FALSE),"")</f>
        <v>Борлуулсан барааны өртөг</v>
      </c>
      <c r="G318" s="811">
        <v>82666.79466850929</v>
      </c>
      <c r="H318" s="811"/>
      <c r="I318" s="580">
        <f t="shared" si="21"/>
        <v>0</v>
      </c>
      <c r="J318" s="961">
        <f t="shared" si="22"/>
        <v>0</v>
      </c>
      <c r="K318" s="80"/>
      <c r="L318" s="807">
        <v>3102</v>
      </c>
      <c r="M318" s="80" t="str">
        <f>+IFERROR(VLOOKUP(L318,DATA!$G$4:$H$2000,2,FALSE),"")</f>
        <v xml:space="preserve">ВОРК ШОП ХХК </v>
      </c>
      <c r="N318" s="807"/>
      <c r="O318" s="80" t="str">
        <f>IFERROR(VLOOKUP(N318,DATA!$K$4:$L$51,2,FALSE),"")</f>
        <v/>
      </c>
      <c r="P318" s="80">
        <f t="shared" si="27"/>
        <v>0</v>
      </c>
      <c r="Q318" s="154">
        <f t="shared" si="28"/>
        <v>0</v>
      </c>
    </row>
    <row r="319" spans="2:17">
      <c r="B319" s="627">
        <f t="shared" si="20"/>
        <v>314</v>
      </c>
      <c r="C319" s="429">
        <v>43179</v>
      </c>
      <c r="D319" s="816" t="s">
        <v>2549</v>
      </c>
      <c r="E319" s="807">
        <v>310500</v>
      </c>
      <c r="F319" s="629" t="str">
        <f>IFERROR(VLOOKUP(E319,STAT1!$C$4:$D$1000,2,FALSE),"")</f>
        <v>НӨАТ өглөг</v>
      </c>
      <c r="G319" s="811"/>
      <c r="H319" s="811">
        <v>24000</v>
      </c>
      <c r="I319" s="580">
        <f t="shared" si="21"/>
        <v>0</v>
      </c>
      <c r="J319" s="961">
        <f t="shared" si="22"/>
        <v>0</v>
      </c>
      <c r="K319" s="80"/>
      <c r="L319" s="807">
        <v>3102</v>
      </c>
      <c r="M319" s="80" t="str">
        <f>+IFERROR(VLOOKUP(L319,DATA!$G$4:$H$2000,2,FALSE),"")</f>
        <v xml:space="preserve">ВОРК ШОП ХХК </v>
      </c>
      <c r="N319" s="807"/>
      <c r="O319" s="80" t="str">
        <f>IFERROR(VLOOKUP(N319,DATA!$K$4:$L$51,2,FALSE),"")</f>
        <v/>
      </c>
      <c r="P319" s="80">
        <f t="shared" si="27"/>
        <v>0</v>
      </c>
      <c r="Q319" s="154">
        <f t="shared" si="28"/>
        <v>0</v>
      </c>
    </row>
    <row r="320" spans="2:17">
      <c r="B320" s="627">
        <f t="shared" si="20"/>
        <v>315</v>
      </c>
      <c r="C320" s="429">
        <v>43179</v>
      </c>
      <c r="D320" s="816" t="s">
        <v>2549</v>
      </c>
      <c r="E320" s="807">
        <v>510000</v>
      </c>
      <c r="F320" s="629" t="str">
        <f>IFERROR(VLOOKUP(E320,STAT1!$C$4:$D$1000,2,FALSE),"")</f>
        <v>Үндсэн үйл ажиллагааны борлуулалт</v>
      </c>
      <c r="G320" s="811"/>
      <c r="H320" s="811">
        <v>240000</v>
      </c>
      <c r="I320" s="580">
        <f t="shared" si="21"/>
        <v>0</v>
      </c>
      <c r="J320" s="961">
        <f t="shared" si="22"/>
        <v>0</v>
      </c>
      <c r="K320" s="80"/>
      <c r="L320" s="807">
        <v>3102</v>
      </c>
      <c r="M320" s="80" t="str">
        <f>+IFERROR(VLOOKUP(L320,DATA!$G$4:$H$2000,2,FALSE),"")</f>
        <v xml:space="preserve">ВОРК ШОП ХХК </v>
      </c>
      <c r="N320" s="807"/>
      <c r="O320" s="80"/>
      <c r="P320" s="80">
        <f t="shared" si="27"/>
        <v>0</v>
      </c>
      <c r="Q320" s="154">
        <f t="shared" si="28"/>
        <v>0</v>
      </c>
    </row>
    <row r="321" spans="2:17">
      <c r="B321" s="627">
        <f t="shared" si="20"/>
        <v>316</v>
      </c>
      <c r="C321" s="429">
        <v>43179</v>
      </c>
      <c r="D321" s="816" t="s">
        <v>2549</v>
      </c>
      <c r="E321" s="807">
        <v>320100</v>
      </c>
      <c r="F321" s="629" t="str">
        <f>IFERROR(VLOOKUP(E321,STAT1!$C$4:$D$1000,2,FALSE),"")</f>
        <v>Урьдчилж орсон орлого MNT</v>
      </c>
      <c r="G321" s="811">
        <v>264000</v>
      </c>
      <c r="H321" s="811"/>
      <c r="I321" s="580">
        <f t="shared" si="21"/>
        <v>0</v>
      </c>
      <c r="J321" s="961">
        <f t="shared" si="22"/>
        <v>0</v>
      </c>
      <c r="K321" s="80"/>
      <c r="L321" s="807">
        <v>3102</v>
      </c>
      <c r="M321" s="80" t="str">
        <f>+IFERROR(VLOOKUP(L321,DATA!$G$4:$H$2000,2,FALSE),"")</f>
        <v xml:space="preserve">ВОРК ШОП ХХК </v>
      </c>
      <c r="N321" s="807"/>
      <c r="O321" s="80" t="str">
        <f>IFERROR(VLOOKUP(N321,DATA!$K$4:$L$51,2,FALSE),"")</f>
        <v/>
      </c>
      <c r="P321" s="80">
        <f t="shared" si="27"/>
        <v>0</v>
      </c>
      <c r="Q321" s="154">
        <f t="shared" si="28"/>
        <v>0</v>
      </c>
    </row>
    <row r="322" spans="2:17">
      <c r="B322" s="627">
        <f t="shared" si="20"/>
        <v>317</v>
      </c>
      <c r="C322" s="429">
        <v>43179</v>
      </c>
      <c r="D322" s="816" t="s">
        <v>1571</v>
      </c>
      <c r="E322" s="807">
        <v>100100</v>
      </c>
      <c r="F322" s="629" t="str">
        <f>IFERROR(VLOOKUP(E322,STAT1!$C$4:$D$1000,2,FALSE),"")</f>
        <v>Касс мөнгө MNT</v>
      </c>
      <c r="G322" s="811">
        <v>264000</v>
      </c>
      <c r="H322" s="811"/>
      <c r="I322" s="580">
        <f t="shared" si="21"/>
        <v>264000</v>
      </c>
      <c r="J322" s="961">
        <f t="shared" si="22"/>
        <v>0</v>
      </c>
      <c r="K322" s="80"/>
      <c r="L322" s="807">
        <v>3102</v>
      </c>
      <c r="M322" s="80" t="str">
        <f>+IFERROR(VLOOKUP(L322,DATA!$G$4:$H$2000,2,FALSE),"")</f>
        <v xml:space="preserve">ВОРК ШОП ХХК </v>
      </c>
      <c r="N322" s="807">
        <v>41</v>
      </c>
      <c r="O322" s="80" t="str">
        <f>IFERROR(VLOOKUP(N322,DATA!$K$4:$L$51,2,FALSE),"")</f>
        <v>Бараа борлуулсан, үйлчилгээ үзүүлсэний орлого</v>
      </c>
      <c r="P322" s="80">
        <f t="shared" si="27"/>
        <v>1</v>
      </c>
      <c r="Q322" s="154">
        <f t="shared" si="28"/>
        <v>1</v>
      </c>
    </row>
    <row r="323" spans="2:17" ht="12" customHeight="1">
      <c r="B323" s="627">
        <f t="shared" si="20"/>
        <v>318</v>
      </c>
      <c r="C323" s="429">
        <v>43179</v>
      </c>
      <c r="D323" s="816" t="s">
        <v>1571</v>
      </c>
      <c r="E323" s="807">
        <v>320100</v>
      </c>
      <c r="F323" s="629" t="str">
        <f>IFERROR(VLOOKUP(E323,STAT1!$C$4:$D$1000,2,FALSE),"")</f>
        <v>Урьдчилж орсон орлого MNT</v>
      </c>
      <c r="G323" s="811"/>
      <c r="H323" s="811">
        <v>264000</v>
      </c>
      <c r="I323" s="580">
        <f t="shared" si="21"/>
        <v>0</v>
      </c>
      <c r="J323" s="961">
        <f t="shared" si="22"/>
        <v>0</v>
      </c>
      <c r="K323" s="80"/>
      <c r="L323" s="807">
        <v>3102</v>
      </c>
      <c r="M323" s="80" t="str">
        <f>+IFERROR(VLOOKUP(L323,DATA!$G$4:$H$2000,2,FALSE),"")</f>
        <v xml:space="preserve">ВОРК ШОП ХХК </v>
      </c>
      <c r="N323" s="807"/>
      <c r="O323" s="80" t="str">
        <f>IFERROR(VLOOKUP(N323,DATA!$K$4:$L$51,2,FALSE),"")</f>
        <v/>
      </c>
      <c r="P323" s="80">
        <f t="shared" si="27"/>
        <v>0</v>
      </c>
      <c r="Q323" s="154">
        <f t="shared" si="28"/>
        <v>0</v>
      </c>
    </row>
    <row r="324" spans="2:17" ht="12" customHeight="1">
      <c r="B324" s="627">
        <f t="shared" si="20"/>
        <v>319</v>
      </c>
      <c r="C324" s="582">
        <v>43180</v>
      </c>
      <c r="D324" s="815" t="s">
        <v>2503</v>
      </c>
      <c r="E324" s="807">
        <v>100100</v>
      </c>
      <c r="F324" s="629" t="str">
        <f>IFERROR(VLOOKUP(E324,STAT1!$C$4:$D$1000,2,FALSE),"")</f>
        <v>Касс мөнгө MNT</v>
      </c>
      <c r="G324" s="811"/>
      <c r="H324" s="811">
        <v>123600</v>
      </c>
      <c r="I324" s="580">
        <f t="shared" si="21"/>
        <v>-123600</v>
      </c>
      <c r="J324" s="961">
        <f t="shared" si="22"/>
        <v>0</v>
      </c>
      <c r="K324" s="80"/>
      <c r="L324" s="807">
        <v>1008</v>
      </c>
      <c r="M324" s="80" t="str">
        <f>+IFERROR(VLOOKUP(L324,DATA!$G$4:$H$2000,2,FALSE),"")</f>
        <v xml:space="preserve">Оюунтүлхүүр </v>
      </c>
      <c r="N324" s="807">
        <v>53</v>
      </c>
      <c r="O324" s="80" t="str">
        <f>IFERROR(VLOOKUP(N324,DATA!$K$4:$L$51,2,FALSE),"")</f>
        <v>Бараа материал худалдан авахад төлсөн</v>
      </c>
      <c r="P324" s="80">
        <f t="shared" si="27"/>
        <v>1</v>
      </c>
      <c r="Q324" s="154">
        <f t="shared" si="28"/>
        <v>1</v>
      </c>
    </row>
    <row r="325" spans="2:17" ht="12" customHeight="1">
      <c r="B325" s="627">
        <f t="shared" si="20"/>
        <v>320</v>
      </c>
      <c r="C325" s="582">
        <v>43180</v>
      </c>
      <c r="D325" s="815" t="s">
        <v>2503</v>
      </c>
      <c r="E325" s="807">
        <v>120100</v>
      </c>
      <c r="F325" s="629" t="str">
        <f>IFERROR(VLOOKUP(E325,STAT1!$C$4:$D$1000,2,FALSE),"")</f>
        <v xml:space="preserve">Дансны авлага MNT </v>
      </c>
      <c r="G325" s="811">
        <v>123600</v>
      </c>
      <c r="H325" s="811"/>
      <c r="I325" s="580">
        <f t="shared" si="21"/>
        <v>0</v>
      </c>
      <c r="J325" s="961">
        <f t="shared" si="22"/>
        <v>0</v>
      </c>
      <c r="K325" s="80"/>
      <c r="L325" s="807">
        <v>1008</v>
      </c>
      <c r="M325" s="80" t="str">
        <f>+IFERROR(VLOOKUP(L325,DATA!$G$4:$H$2000,2,FALSE),"")</f>
        <v xml:space="preserve">Оюунтүлхүүр </v>
      </c>
      <c r="N325" s="807"/>
      <c r="O325" s="80"/>
      <c r="P325" s="80">
        <f t="shared" si="27"/>
        <v>0</v>
      </c>
      <c r="Q325" s="154">
        <f t="shared" si="28"/>
        <v>0</v>
      </c>
    </row>
    <row r="326" spans="2:17">
      <c r="B326" s="627">
        <f t="shared" ref="B326:B389" si="29">+IF(C326="","",ROW()-5)</f>
        <v>321</v>
      </c>
      <c r="C326" s="582">
        <v>43180</v>
      </c>
      <c r="D326" s="816" t="s">
        <v>2376</v>
      </c>
      <c r="E326" s="807">
        <v>100100</v>
      </c>
      <c r="F326" s="629" t="str">
        <f>IFERROR(VLOOKUP(E326,STAT1!$C$4:$D$1000,2,FALSE),"")</f>
        <v>Касс мөнгө MNT</v>
      </c>
      <c r="G326" s="811"/>
      <c r="H326" s="811">
        <v>46600</v>
      </c>
      <c r="I326" s="580">
        <f t="shared" ref="I326:I389" si="30">+IF(OR(E326=100100,E326=100200,E326=110100,E326=110102,E326=110103,E326=110104,E326=110105,E326=110200,E326=110201,E326=110202,E326=110203,E326=110204,E326=110300),G326,0)+IF(OR(E326=100100,E326=100200,E326=110100,E326=110102,E326=110103,E326=110104,E326=110105,E326=110200,E326=110201,E326=110202,E326=110203,E326=110204,E326=110300),H326*-1,0)</f>
        <v>-46600</v>
      </c>
      <c r="J326" s="961">
        <f t="shared" ref="J326:J389" si="31">+IF(E326=110102,I326/K326,0)</f>
        <v>0</v>
      </c>
      <c r="K326" s="80"/>
      <c r="L326" s="807">
        <v>1008</v>
      </c>
      <c r="M326" s="80" t="str">
        <f>+IFERROR(VLOOKUP(L326,DATA!$G$4:$H$2000,2,FALSE),"")</f>
        <v xml:space="preserve">Оюунтүлхүүр </v>
      </c>
      <c r="N326" s="807">
        <v>53</v>
      </c>
      <c r="O326" s="80" t="str">
        <f>IFERROR(VLOOKUP(N326,DATA!$K$4:$L$51,2,FALSE),"")</f>
        <v>Бараа материал худалдан авахад төлсөн</v>
      </c>
      <c r="P326" s="80">
        <f t="shared" si="27"/>
        <v>1</v>
      </c>
      <c r="Q326" s="154">
        <f t="shared" si="28"/>
        <v>1</v>
      </c>
    </row>
    <row r="327" spans="2:17">
      <c r="B327" s="627">
        <f t="shared" si="29"/>
        <v>322</v>
      </c>
      <c r="C327" s="582">
        <v>43180</v>
      </c>
      <c r="D327" s="816" t="s">
        <v>2376</v>
      </c>
      <c r="E327" s="807">
        <v>120600</v>
      </c>
      <c r="F327" s="629" t="str">
        <f>IFERROR(VLOOKUP(E327,STAT1!$C$4:$D$1000,2,FALSE),"")</f>
        <v>НӨАТ авлага</v>
      </c>
      <c r="G327" s="811">
        <v>4236.3599999999997</v>
      </c>
      <c r="H327" s="811"/>
      <c r="I327" s="580">
        <f t="shared" si="30"/>
        <v>0</v>
      </c>
      <c r="J327" s="961">
        <f t="shared" si="31"/>
        <v>0</v>
      </c>
      <c r="K327" s="80"/>
      <c r="L327" s="807">
        <v>1008</v>
      </c>
      <c r="M327" s="80" t="str">
        <f>+IFERROR(VLOOKUP(L327,DATA!$G$4:$H$2000,2,FALSE),"")</f>
        <v xml:space="preserve">Оюунтүлхүүр </v>
      </c>
      <c r="N327" s="807"/>
      <c r="O327" s="80" t="str">
        <f>IFERROR(VLOOKUP(N327,DATA!$K$4:$L$51,2,FALSE),"")</f>
        <v/>
      </c>
      <c r="P327" s="80">
        <f t="shared" si="27"/>
        <v>0</v>
      </c>
      <c r="Q327" s="154">
        <f t="shared" si="28"/>
        <v>0</v>
      </c>
    </row>
    <row r="328" spans="2:17">
      <c r="B328" s="627">
        <f t="shared" si="29"/>
        <v>323</v>
      </c>
      <c r="C328" s="582">
        <v>43180</v>
      </c>
      <c r="D328" s="816" t="s">
        <v>2376</v>
      </c>
      <c r="E328" s="807">
        <v>703700</v>
      </c>
      <c r="F328" s="629" t="str">
        <f>IFERROR(VLOOKUP(E328,STAT1!$C$4:$D$1000,2,FALSE),"")</f>
        <v>Бичиг хэргийн зардал</v>
      </c>
      <c r="G328" s="811">
        <f>46600-4236.36</f>
        <v>42363.64</v>
      </c>
      <c r="H328" s="811"/>
      <c r="I328" s="580">
        <f t="shared" si="30"/>
        <v>0</v>
      </c>
      <c r="J328" s="961">
        <f t="shared" si="31"/>
        <v>0</v>
      </c>
      <c r="K328" s="80"/>
      <c r="L328" s="807">
        <v>1008</v>
      </c>
      <c r="M328" s="80" t="str">
        <f>+IFERROR(VLOOKUP(L328,DATA!$G$4:$H$2000,2,FALSE),"")</f>
        <v xml:space="preserve">Оюунтүлхүүр </v>
      </c>
      <c r="N328" s="807"/>
      <c r="O328" s="80"/>
      <c r="P328" s="80">
        <f t="shared" si="27"/>
        <v>0</v>
      </c>
      <c r="Q328" s="154">
        <f t="shared" si="28"/>
        <v>0</v>
      </c>
    </row>
    <row r="329" spans="2:17">
      <c r="B329" s="627">
        <f t="shared" si="29"/>
        <v>324</v>
      </c>
      <c r="C329" s="429">
        <v>43180</v>
      </c>
      <c r="D329" s="816" t="s">
        <v>2549</v>
      </c>
      <c r="E329" s="807">
        <v>160100</v>
      </c>
      <c r="F329" s="629" t="str">
        <f>IFERROR(VLOOKUP(E329,STAT1!$C$4:$D$1000,2,FALSE),"")</f>
        <v xml:space="preserve">Барилгын материал </v>
      </c>
      <c r="G329" s="811">
        <v>112363.63636363635</v>
      </c>
      <c r="H329" s="811"/>
      <c r="I329" s="580">
        <f t="shared" si="30"/>
        <v>0</v>
      </c>
      <c r="J329" s="961">
        <f t="shared" si="31"/>
        <v>0</v>
      </c>
      <c r="K329" s="80"/>
      <c r="L329" s="807">
        <v>1008</v>
      </c>
      <c r="M329" s="80" t="str">
        <f>+IFERROR(VLOOKUP(L329,DATA!$G$4:$H$2000,2,FALSE),"")</f>
        <v xml:space="preserve">Оюунтүлхүүр </v>
      </c>
      <c r="N329" s="807"/>
      <c r="O329" s="80" t="str">
        <f>IFERROR(VLOOKUP(N329,DATA!$K$4:$L$51,2,FALSE),"")</f>
        <v/>
      </c>
      <c r="P329" s="80">
        <f t="shared" si="27"/>
        <v>0</v>
      </c>
      <c r="Q329" s="154">
        <f t="shared" si="28"/>
        <v>0</v>
      </c>
    </row>
    <row r="330" spans="2:17">
      <c r="B330" s="627">
        <f t="shared" si="29"/>
        <v>325</v>
      </c>
      <c r="C330" s="429">
        <v>43180</v>
      </c>
      <c r="D330" s="816" t="s">
        <v>2549</v>
      </c>
      <c r="E330" s="807">
        <v>120600</v>
      </c>
      <c r="F330" s="629" t="str">
        <f>IFERROR(VLOOKUP(E330,STAT1!$C$4:$D$1000,2,FALSE),"")</f>
        <v>НӨАТ авлага</v>
      </c>
      <c r="G330" s="811">
        <v>11236.363636363636</v>
      </c>
      <c r="H330" s="811"/>
      <c r="I330" s="580">
        <f t="shared" si="30"/>
        <v>0</v>
      </c>
      <c r="J330" s="961">
        <f t="shared" si="31"/>
        <v>0</v>
      </c>
      <c r="K330" s="80"/>
      <c r="L330" s="807">
        <v>1008</v>
      </c>
      <c r="M330" s="80" t="str">
        <f>+IFERROR(VLOOKUP(L330,DATA!$G$4:$H$2000,2,FALSE),"")</f>
        <v xml:space="preserve">Оюунтүлхүүр </v>
      </c>
      <c r="N330" s="807"/>
      <c r="O330" s="80" t="str">
        <f>IFERROR(VLOOKUP(N330,DATA!$K$4:$L$51,2,FALSE),"")</f>
        <v/>
      </c>
      <c r="P330" s="80">
        <f t="shared" si="27"/>
        <v>0</v>
      </c>
      <c r="Q330" s="154">
        <f t="shared" si="28"/>
        <v>0</v>
      </c>
    </row>
    <row r="331" spans="2:17">
      <c r="B331" s="627">
        <f t="shared" si="29"/>
        <v>326</v>
      </c>
      <c r="C331" s="429">
        <v>43180</v>
      </c>
      <c r="D331" s="816" t="s">
        <v>2549</v>
      </c>
      <c r="E331" s="807">
        <v>120100</v>
      </c>
      <c r="F331" s="629" t="str">
        <f>IFERROR(VLOOKUP(E331,STAT1!$C$4:$D$1000,2,FALSE),"")</f>
        <v xml:space="preserve">Дансны авлага MNT </v>
      </c>
      <c r="G331" s="811"/>
      <c r="H331" s="811">
        <v>123600</v>
      </c>
      <c r="I331" s="580">
        <f t="shared" si="30"/>
        <v>0</v>
      </c>
      <c r="J331" s="961">
        <f t="shared" si="31"/>
        <v>0</v>
      </c>
      <c r="K331" s="80"/>
      <c r="L331" s="807">
        <v>1008</v>
      </c>
      <c r="M331" s="80" t="str">
        <f>+IFERROR(VLOOKUP(L331,DATA!$G$4:$H$2000,2,FALSE),"")</f>
        <v xml:space="preserve">Оюунтүлхүүр </v>
      </c>
      <c r="N331" s="807"/>
      <c r="O331" s="80" t="str">
        <f>IFERROR(VLOOKUP(N331,DATA!$K$4:$L$51,2,FALSE),"")</f>
        <v/>
      </c>
      <c r="P331" s="80">
        <f t="shared" si="27"/>
        <v>0</v>
      </c>
      <c r="Q331" s="154">
        <f t="shared" si="28"/>
        <v>0</v>
      </c>
    </row>
    <row r="332" spans="2:17">
      <c r="B332" s="627">
        <f t="shared" si="29"/>
        <v>327</v>
      </c>
      <c r="C332" s="429">
        <v>43180</v>
      </c>
      <c r="D332" s="816" t="s">
        <v>2551</v>
      </c>
      <c r="E332" s="807">
        <v>100100</v>
      </c>
      <c r="F332" s="629" t="str">
        <f>IFERROR(VLOOKUP(E332,STAT1!$C$4:$D$1000,2,FALSE),"")</f>
        <v>Касс мөнгө MNT</v>
      </c>
      <c r="G332" s="811"/>
      <c r="H332" s="811">
        <v>1143100</v>
      </c>
      <c r="I332" s="580">
        <f t="shared" si="30"/>
        <v>-1143100</v>
      </c>
      <c r="J332" s="961">
        <f t="shared" si="31"/>
        <v>0</v>
      </c>
      <c r="K332" s="80"/>
      <c r="L332" s="807">
        <v>1004</v>
      </c>
      <c r="M332" s="80" t="str">
        <f>+IFERROR(VLOOKUP(L332,DATA!$G$4:$H$2000,2,FALSE),"")</f>
        <v xml:space="preserve">Түмэндэлгэр </v>
      </c>
      <c r="N332" s="807">
        <v>59</v>
      </c>
      <c r="O332" s="80" t="str">
        <f>IFERROR(VLOOKUP(N332,DATA!$K$4:$L$51,2,FALSE),"")</f>
        <v>Бусад мөнгөн зарлага</v>
      </c>
      <c r="P332" s="80">
        <f t="shared" si="27"/>
        <v>1</v>
      </c>
      <c r="Q332" s="154">
        <f t="shared" si="28"/>
        <v>1</v>
      </c>
    </row>
    <row r="333" spans="2:17">
      <c r="B333" s="627">
        <f t="shared" si="29"/>
        <v>328</v>
      </c>
      <c r="C333" s="429">
        <v>43180</v>
      </c>
      <c r="D333" s="816" t="s">
        <v>2551</v>
      </c>
      <c r="E333" s="807">
        <v>706000</v>
      </c>
      <c r="F333" s="629" t="str">
        <f>IFERROR(VLOOKUP(E333,STAT1!$C$4:$D$1000,2,FALSE),"")</f>
        <v>Бусад зардал</v>
      </c>
      <c r="G333" s="811">
        <v>1143100</v>
      </c>
      <c r="H333" s="811"/>
      <c r="I333" s="580">
        <f t="shared" si="30"/>
        <v>0</v>
      </c>
      <c r="J333" s="961">
        <f t="shared" si="31"/>
        <v>0</v>
      </c>
      <c r="K333" s="80"/>
      <c r="L333" s="807">
        <v>1004</v>
      </c>
      <c r="M333" s="80" t="str">
        <f>+IFERROR(VLOOKUP(L333,DATA!$G$4:$H$2000,2,FALSE),"")</f>
        <v xml:space="preserve">Түмэндэлгэр </v>
      </c>
      <c r="N333" s="807"/>
      <c r="O333" s="80" t="str">
        <f>IFERROR(VLOOKUP(N333,DATA!$K$4:$L$51,2,FALSE),"")</f>
        <v/>
      </c>
      <c r="P333" s="80">
        <f t="shared" si="27"/>
        <v>0</v>
      </c>
      <c r="Q333" s="154">
        <f t="shared" si="28"/>
        <v>0</v>
      </c>
    </row>
    <row r="334" spans="2:17">
      <c r="B334" s="627">
        <f t="shared" si="29"/>
        <v>329</v>
      </c>
      <c r="C334" s="429">
        <v>43181</v>
      </c>
      <c r="D334" s="816" t="s">
        <v>1571</v>
      </c>
      <c r="E334" s="807">
        <v>110100</v>
      </c>
      <c r="F334" s="629" t="str">
        <f>IFERROR(VLOOKUP(E334,STAT1!$C$4:$D$1000,2,FALSE),"")</f>
        <v>Хаан Банк 5024654020</v>
      </c>
      <c r="G334" s="811">
        <v>102600</v>
      </c>
      <c r="H334" s="811"/>
      <c r="I334" s="580">
        <f t="shared" si="30"/>
        <v>102600</v>
      </c>
      <c r="J334" s="961">
        <f t="shared" si="31"/>
        <v>0</v>
      </c>
      <c r="K334" s="80"/>
      <c r="L334" s="807">
        <v>3119</v>
      </c>
      <c r="M334" s="80" t="str">
        <f>+IFERROR(VLOOKUP(L334,DATA!$G$4:$H$2000,2,FALSE),"")</f>
        <v>ЭС ТИ СЕРВИС ХХК</v>
      </c>
      <c r="N334" s="807">
        <v>41</v>
      </c>
      <c r="O334" s="80" t="str">
        <f>IFERROR(VLOOKUP(N334,DATA!$K$4:$L$51,2,FALSE),"")</f>
        <v>Бараа борлуулсан, үйлчилгээ үзүүлсэний орлого</v>
      </c>
      <c r="P334" s="80">
        <f t="shared" si="27"/>
        <v>1</v>
      </c>
      <c r="Q334" s="154">
        <f t="shared" si="28"/>
        <v>1</v>
      </c>
    </row>
    <row r="335" spans="2:17">
      <c r="B335" s="627">
        <f t="shared" si="29"/>
        <v>330</v>
      </c>
      <c r="C335" s="429">
        <v>43181</v>
      </c>
      <c r="D335" s="816" t="s">
        <v>1571</v>
      </c>
      <c r="E335" s="807">
        <v>320100</v>
      </c>
      <c r="F335" s="629" t="str">
        <f>IFERROR(VLOOKUP(E335,STAT1!$C$4:$D$1000,2,FALSE),"")</f>
        <v>Урьдчилж орсон орлого MNT</v>
      </c>
      <c r="G335" s="811"/>
      <c r="H335" s="811">
        <v>102600</v>
      </c>
      <c r="I335" s="580">
        <f t="shared" si="30"/>
        <v>0</v>
      </c>
      <c r="J335" s="961">
        <f t="shared" si="31"/>
        <v>0</v>
      </c>
      <c r="K335" s="80"/>
      <c r="L335" s="807">
        <v>3119</v>
      </c>
      <c r="M335" s="80" t="str">
        <f>+IFERROR(VLOOKUP(L335,DATA!$G$4:$H$2000,2,FALSE),"")</f>
        <v>ЭС ТИ СЕРВИС ХХК</v>
      </c>
      <c r="N335" s="807"/>
      <c r="O335" s="80" t="str">
        <f>IFERROR(VLOOKUP(N335,DATA!$K$4:$L$51,2,FALSE),"")</f>
        <v/>
      </c>
      <c r="P335" s="80">
        <f t="shared" si="27"/>
        <v>0</v>
      </c>
      <c r="Q335" s="154">
        <f t="shared" si="28"/>
        <v>0</v>
      </c>
    </row>
    <row r="336" spans="2:17">
      <c r="B336" s="627">
        <f t="shared" si="29"/>
        <v>331</v>
      </c>
      <c r="C336" s="582">
        <v>43181</v>
      </c>
      <c r="D336" s="815" t="s">
        <v>1570</v>
      </c>
      <c r="E336" s="630">
        <v>100100</v>
      </c>
      <c r="F336" s="629" t="str">
        <f>IFERROR(VLOOKUP(E336,STAT1!$C$4:$D$1000,2,FALSE),"")</f>
        <v>Касс мөнгө MNT</v>
      </c>
      <c r="G336" s="376"/>
      <c r="H336" s="376">
        <v>20000</v>
      </c>
      <c r="I336" s="580">
        <f t="shared" si="30"/>
        <v>-20000</v>
      </c>
      <c r="J336" s="961">
        <f t="shared" si="31"/>
        <v>0</v>
      </c>
      <c r="K336" s="428"/>
      <c r="L336" s="630">
        <v>1005</v>
      </c>
      <c r="M336" s="80" t="str">
        <f>+IFERROR(VLOOKUP(L336,DATA!$G$4:$H$2000,2,FALSE),"")</f>
        <v>Золжаргал</v>
      </c>
      <c r="N336" s="630">
        <v>55</v>
      </c>
      <c r="O336" s="80" t="str">
        <f>IFERROR(VLOOKUP(N336,DATA!$K$4:$L$51,2,FALSE),"")</f>
        <v>Түлш, шатахуун, тээврийн хөлс, сэлбэг хэрэгсэлд төлсөн</v>
      </c>
      <c r="P336" s="80">
        <f t="shared" si="27"/>
        <v>1</v>
      </c>
      <c r="Q336" s="154">
        <f t="shared" si="28"/>
        <v>1</v>
      </c>
    </row>
    <row r="337" spans="2:17">
      <c r="B337" s="627">
        <f t="shared" si="29"/>
        <v>332</v>
      </c>
      <c r="C337" s="582">
        <v>43181</v>
      </c>
      <c r="D337" s="815" t="s">
        <v>1570</v>
      </c>
      <c r="E337" s="630">
        <v>120600</v>
      </c>
      <c r="F337" s="629" t="str">
        <f>IFERROR(VLOOKUP(E337,STAT1!$C$4:$D$1000,2,FALSE),"")</f>
        <v>НӨАТ авлага</v>
      </c>
      <c r="G337" s="376">
        <v>1818.18</v>
      </c>
      <c r="H337" s="376"/>
      <c r="I337" s="580">
        <f t="shared" si="30"/>
        <v>0</v>
      </c>
      <c r="J337" s="961">
        <f t="shared" si="31"/>
        <v>0</v>
      </c>
      <c r="K337" s="428"/>
      <c r="L337" s="630">
        <v>1005</v>
      </c>
      <c r="M337" s="80" t="str">
        <f>+IFERROR(VLOOKUP(L337,DATA!$G$4:$H$2000,2,FALSE),"")</f>
        <v>Золжаргал</v>
      </c>
      <c r="N337" s="630"/>
      <c r="O337" s="80" t="str">
        <f>IFERROR(VLOOKUP(N337,DATA!$K$4:$L$51,2,FALSE),"")</f>
        <v/>
      </c>
      <c r="P337" s="80">
        <f t="shared" si="27"/>
        <v>0</v>
      </c>
      <c r="Q337" s="154">
        <f t="shared" si="28"/>
        <v>0</v>
      </c>
    </row>
    <row r="338" spans="2:17">
      <c r="B338" s="627">
        <f t="shared" si="29"/>
        <v>333</v>
      </c>
      <c r="C338" s="582">
        <v>43181</v>
      </c>
      <c r="D338" s="815" t="s">
        <v>1570</v>
      </c>
      <c r="E338" s="630">
        <v>702000</v>
      </c>
      <c r="F338" s="629" t="str">
        <f>IFERROR(VLOOKUP(E338,STAT1!$C$4:$D$1000,2,FALSE),"")</f>
        <v>Түлш, шатахуун</v>
      </c>
      <c r="G338" s="376">
        <v>18181.82</v>
      </c>
      <c r="H338" s="376"/>
      <c r="I338" s="580">
        <f t="shared" si="30"/>
        <v>0</v>
      </c>
      <c r="J338" s="961">
        <f t="shared" si="31"/>
        <v>0</v>
      </c>
      <c r="K338" s="428"/>
      <c r="L338" s="630">
        <v>1005</v>
      </c>
      <c r="M338" s="80" t="str">
        <f>+IFERROR(VLOOKUP(L338,DATA!$G$4:$H$2000,2,FALSE),"")</f>
        <v>Золжаргал</v>
      </c>
      <c r="N338" s="630"/>
      <c r="O338" s="80" t="str">
        <f>IFERROR(VLOOKUP(N338,DATA!$K$4:$L$51,2,FALSE),"")</f>
        <v/>
      </c>
      <c r="P338" s="80">
        <f t="shared" si="27"/>
        <v>0</v>
      </c>
      <c r="Q338" s="154">
        <f t="shared" si="28"/>
        <v>0</v>
      </c>
    </row>
    <row r="339" spans="2:17">
      <c r="B339" s="627">
        <f t="shared" si="29"/>
        <v>334</v>
      </c>
      <c r="C339" s="429">
        <v>43181</v>
      </c>
      <c r="D339" s="816" t="s">
        <v>2549</v>
      </c>
      <c r="E339" s="807">
        <v>150101</v>
      </c>
      <c r="F339" s="629" t="str">
        <f>IFERROR(VLOOKUP(E339,STAT1!$C$4:$D$1000,2,FALSE),"")</f>
        <v>Бараа бэлэн бүтээгдэхүүн БОЛОВСРУУЛАХ ЦЕХ /нарс/</v>
      </c>
      <c r="G339" s="811"/>
      <c r="H339" s="811">
        <v>42835.17743739923</v>
      </c>
      <c r="I339" s="580">
        <f t="shared" si="30"/>
        <v>0</v>
      </c>
      <c r="J339" s="961">
        <f t="shared" si="31"/>
        <v>0</v>
      </c>
      <c r="K339" s="80"/>
      <c r="L339" s="807">
        <v>3119</v>
      </c>
      <c r="M339" s="80" t="str">
        <f>+IFERROR(VLOOKUP(L339,DATA!$G$4:$H$2000,2,FALSE),"")</f>
        <v>ЭС ТИ СЕРВИС ХХК</v>
      </c>
      <c r="N339" s="807"/>
      <c r="O339" s="80" t="str">
        <f>IFERROR(VLOOKUP(N339,DATA!$K$4:$L$51,2,FALSE),"")</f>
        <v/>
      </c>
      <c r="P339" s="80">
        <f t="shared" si="27"/>
        <v>0</v>
      </c>
      <c r="Q339" s="154">
        <f t="shared" si="28"/>
        <v>0</v>
      </c>
    </row>
    <row r="340" spans="2:17">
      <c r="B340" s="627">
        <f t="shared" si="29"/>
        <v>335</v>
      </c>
      <c r="C340" s="429">
        <v>43181</v>
      </c>
      <c r="D340" s="816" t="s">
        <v>2549</v>
      </c>
      <c r="E340" s="807">
        <v>610100</v>
      </c>
      <c r="F340" s="629" t="str">
        <f>IFERROR(VLOOKUP(E340,STAT1!$C$4:$D$1000,2,FALSE),"")</f>
        <v>Борлуулсан барааны өртөг</v>
      </c>
      <c r="G340" s="811">
        <v>42835.17743739923</v>
      </c>
      <c r="H340" s="811"/>
      <c r="I340" s="580">
        <f t="shared" si="30"/>
        <v>0</v>
      </c>
      <c r="J340" s="961">
        <f t="shared" si="31"/>
        <v>0</v>
      </c>
      <c r="K340" s="80"/>
      <c r="L340" s="807">
        <v>3119</v>
      </c>
      <c r="M340" s="80" t="str">
        <f>+IFERROR(VLOOKUP(L340,DATA!$G$4:$H$2000,2,FALSE),"")</f>
        <v>ЭС ТИ СЕРВИС ХХК</v>
      </c>
      <c r="N340" s="807"/>
      <c r="O340" s="80" t="str">
        <f>IFERROR(VLOOKUP(N340,DATA!$K$4:$L$51,2,FALSE),"")</f>
        <v/>
      </c>
      <c r="P340" s="80">
        <f t="shared" si="27"/>
        <v>0</v>
      </c>
      <c r="Q340" s="154">
        <f t="shared" si="28"/>
        <v>0</v>
      </c>
    </row>
    <row r="341" spans="2:17">
      <c r="B341" s="627">
        <f t="shared" si="29"/>
        <v>336</v>
      </c>
      <c r="C341" s="429">
        <v>43181</v>
      </c>
      <c r="D341" s="816" t="s">
        <v>2549</v>
      </c>
      <c r="E341" s="807">
        <v>310500</v>
      </c>
      <c r="F341" s="629" t="str">
        <f>IFERROR(VLOOKUP(E341,STAT1!$C$4:$D$1000,2,FALSE),"")</f>
        <v>НӨАТ өглөг</v>
      </c>
      <c r="G341" s="811"/>
      <c r="H341" s="811">
        <v>9327.2727272727261</v>
      </c>
      <c r="I341" s="580">
        <f t="shared" si="30"/>
        <v>0</v>
      </c>
      <c r="J341" s="961">
        <f t="shared" si="31"/>
        <v>0</v>
      </c>
      <c r="K341" s="80"/>
      <c r="L341" s="807">
        <v>3119</v>
      </c>
      <c r="M341" s="80" t="str">
        <f>+IFERROR(VLOOKUP(L341,DATA!$G$4:$H$2000,2,FALSE),"")</f>
        <v>ЭС ТИ СЕРВИС ХХК</v>
      </c>
      <c r="N341" s="807"/>
      <c r="O341" s="80" t="str">
        <f>IFERROR(VLOOKUP(N341,DATA!$K$4:$L$51,2,FALSE),"")</f>
        <v/>
      </c>
      <c r="P341" s="80">
        <f t="shared" si="27"/>
        <v>0</v>
      </c>
      <c r="Q341" s="154">
        <f t="shared" si="28"/>
        <v>0</v>
      </c>
    </row>
    <row r="342" spans="2:17">
      <c r="B342" s="627">
        <f t="shared" si="29"/>
        <v>337</v>
      </c>
      <c r="C342" s="429">
        <v>43181</v>
      </c>
      <c r="D342" s="816" t="s">
        <v>2549</v>
      </c>
      <c r="E342" s="807">
        <v>510000</v>
      </c>
      <c r="F342" s="629" t="str">
        <f>IFERROR(VLOOKUP(E342,STAT1!$C$4:$D$1000,2,FALSE),"")</f>
        <v>Үндсэн үйл ажиллагааны борлуулалт</v>
      </c>
      <c r="G342" s="811"/>
      <c r="H342" s="811">
        <v>93272.727272727265</v>
      </c>
      <c r="I342" s="580">
        <f t="shared" si="30"/>
        <v>0</v>
      </c>
      <c r="J342" s="961">
        <f t="shared" si="31"/>
        <v>0</v>
      </c>
      <c r="K342" s="80"/>
      <c r="L342" s="807">
        <v>3119</v>
      </c>
      <c r="M342" s="80" t="str">
        <f>+IFERROR(VLOOKUP(L342,DATA!$G$4:$H$2000,2,FALSE),"")</f>
        <v>ЭС ТИ СЕРВИС ХХК</v>
      </c>
      <c r="N342" s="807"/>
      <c r="O342" s="80" t="str">
        <f>IFERROR(VLOOKUP(N342,DATA!$K$4:$L$51,2,FALSE),"")</f>
        <v/>
      </c>
      <c r="P342" s="80">
        <f t="shared" si="27"/>
        <v>0</v>
      </c>
      <c r="Q342" s="154">
        <f t="shared" si="28"/>
        <v>0</v>
      </c>
    </row>
    <row r="343" spans="2:17">
      <c r="B343" s="627">
        <f t="shared" si="29"/>
        <v>338</v>
      </c>
      <c r="C343" s="429">
        <v>43181</v>
      </c>
      <c r="D343" s="816" t="s">
        <v>2549</v>
      </c>
      <c r="E343" s="807">
        <v>320100</v>
      </c>
      <c r="F343" s="629" t="str">
        <f>IFERROR(VLOOKUP(E343,STAT1!$C$4:$D$1000,2,FALSE),"")</f>
        <v>Урьдчилж орсон орлого MNT</v>
      </c>
      <c r="G343" s="811">
        <v>102600</v>
      </c>
      <c r="H343" s="811"/>
      <c r="I343" s="580">
        <f t="shared" si="30"/>
        <v>0</v>
      </c>
      <c r="J343" s="961">
        <f t="shared" si="31"/>
        <v>0</v>
      </c>
      <c r="K343" s="80"/>
      <c r="L343" s="807">
        <v>3119</v>
      </c>
      <c r="M343" s="80" t="str">
        <f>+IFERROR(VLOOKUP(L343,DATA!$G$4:$H$2000,2,FALSE),"")</f>
        <v>ЭС ТИ СЕРВИС ХХК</v>
      </c>
      <c r="N343" s="807"/>
      <c r="O343" s="80" t="str">
        <f>IFERROR(VLOOKUP(N343,DATA!$K$4:$L$51,2,FALSE),"")</f>
        <v/>
      </c>
      <c r="P343" s="80">
        <f t="shared" si="27"/>
        <v>0</v>
      </c>
      <c r="Q343" s="154">
        <f t="shared" si="28"/>
        <v>0</v>
      </c>
    </row>
    <row r="344" spans="2:17">
      <c r="B344" s="627">
        <f t="shared" si="29"/>
        <v>339</v>
      </c>
      <c r="C344" s="429">
        <v>43181</v>
      </c>
      <c r="D344" s="816" t="s">
        <v>2549</v>
      </c>
      <c r="E344" s="807">
        <v>150101</v>
      </c>
      <c r="F344" s="629" t="str">
        <f>IFERROR(VLOOKUP(E344,STAT1!$C$4:$D$1000,2,FALSE),"")</f>
        <v>Бараа бэлэн бүтээгдэхүүн БОЛОВСРУУЛАХ ЦЕХ /нарс/</v>
      </c>
      <c r="G344" s="811"/>
      <c r="H344" s="811">
        <v>78533.215185071094</v>
      </c>
      <c r="I344" s="580">
        <f t="shared" si="30"/>
        <v>0</v>
      </c>
      <c r="J344" s="961">
        <f t="shared" si="31"/>
        <v>0</v>
      </c>
      <c r="K344" s="80"/>
      <c r="L344" s="807">
        <v>3122</v>
      </c>
      <c r="M344" s="80" t="str">
        <f>+IFERROR(VLOOKUP(L344,DATA!$G$4:$H$2000,2,FALSE),"")</f>
        <v xml:space="preserve">РАДД ХХК </v>
      </c>
      <c r="N344" s="807"/>
      <c r="O344" s="80" t="str">
        <f>IFERROR(VLOOKUP(N344,DATA!$K$4:$L$51,2,FALSE),"")</f>
        <v/>
      </c>
      <c r="P344" s="80">
        <f t="shared" si="27"/>
        <v>0</v>
      </c>
      <c r="Q344" s="154">
        <f t="shared" si="28"/>
        <v>0</v>
      </c>
    </row>
    <row r="345" spans="2:17">
      <c r="B345" s="627">
        <f t="shared" si="29"/>
        <v>340</v>
      </c>
      <c r="C345" s="429">
        <v>43181</v>
      </c>
      <c r="D345" s="816" t="s">
        <v>2549</v>
      </c>
      <c r="E345" s="807">
        <v>610100</v>
      </c>
      <c r="F345" s="629" t="str">
        <f>IFERROR(VLOOKUP(E345,STAT1!$C$4:$D$1000,2,FALSE),"")</f>
        <v>Борлуулсан барааны өртөг</v>
      </c>
      <c r="G345" s="811">
        <v>78533.215185071094</v>
      </c>
      <c r="H345" s="811"/>
      <c r="I345" s="580">
        <f t="shared" si="30"/>
        <v>0</v>
      </c>
      <c r="J345" s="961">
        <f t="shared" si="31"/>
        <v>0</v>
      </c>
      <c r="K345" s="80"/>
      <c r="L345" s="807">
        <v>3122</v>
      </c>
      <c r="M345" s="80" t="str">
        <f>+IFERROR(VLOOKUP(L345,DATA!$G$4:$H$2000,2,FALSE),"")</f>
        <v xml:space="preserve">РАДД ХХК </v>
      </c>
      <c r="N345" s="807"/>
      <c r="O345" s="80" t="str">
        <f>IFERROR(VLOOKUP(N345,DATA!$K$4:$L$51,2,FALSE),"")</f>
        <v/>
      </c>
      <c r="P345" s="80">
        <f t="shared" si="27"/>
        <v>0</v>
      </c>
      <c r="Q345" s="154">
        <f t="shared" si="28"/>
        <v>0</v>
      </c>
    </row>
    <row r="346" spans="2:17">
      <c r="B346" s="627">
        <f t="shared" si="29"/>
        <v>341</v>
      </c>
      <c r="C346" s="429">
        <v>43181</v>
      </c>
      <c r="D346" s="816" t="s">
        <v>2549</v>
      </c>
      <c r="E346" s="807">
        <v>310500</v>
      </c>
      <c r="F346" s="629" t="str">
        <f>IFERROR(VLOOKUP(E346,STAT1!$C$4:$D$1000,2,FALSE),"")</f>
        <v>НӨАТ өглөг</v>
      </c>
      <c r="G346" s="811"/>
      <c r="H346" s="811">
        <v>15322.727272727272</v>
      </c>
      <c r="I346" s="580">
        <f t="shared" si="30"/>
        <v>0</v>
      </c>
      <c r="J346" s="961">
        <f t="shared" si="31"/>
        <v>0</v>
      </c>
      <c r="K346" s="80"/>
      <c r="L346" s="807">
        <v>3122</v>
      </c>
      <c r="M346" s="80" t="str">
        <f>+IFERROR(VLOOKUP(L346,DATA!$G$4:$H$2000,2,FALSE),"")</f>
        <v xml:space="preserve">РАДД ХХК </v>
      </c>
      <c r="N346" s="807"/>
      <c r="O346" s="80" t="str">
        <f>IFERROR(VLOOKUP(N346,DATA!$K$4:$L$51,2,FALSE),"")</f>
        <v/>
      </c>
      <c r="P346" s="80">
        <f t="shared" si="27"/>
        <v>0</v>
      </c>
      <c r="Q346" s="154">
        <f t="shared" si="28"/>
        <v>0</v>
      </c>
    </row>
    <row r="347" spans="2:17">
      <c r="B347" s="627">
        <f t="shared" si="29"/>
        <v>342</v>
      </c>
      <c r="C347" s="429">
        <v>43181</v>
      </c>
      <c r="D347" s="816" t="s">
        <v>2549</v>
      </c>
      <c r="E347" s="807">
        <v>510000</v>
      </c>
      <c r="F347" s="629" t="str">
        <f>IFERROR(VLOOKUP(E347,STAT1!$C$4:$D$1000,2,FALSE),"")</f>
        <v>Үндсэн үйл ажиллагааны борлуулалт</v>
      </c>
      <c r="G347" s="811"/>
      <c r="H347" s="811">
        <v>153227.27272727271</v>
      </c>
      <c r="I347" s="580">
        <f t="shared" si="30"/>
        <v>0</v>
      </c>
      <c r="J347" s="961">
        <f t="shared" si="31"/>
        <v>0</v>
      </c>
      <c r="K347" s="80"/>
      <c r="L347" s="807">
        <v>3122</v>
      </c>
      <c r="M347" s="80" t="str">
        <f>+IFERROR(VLOOKUP(L347,DATA!$G$4:$H$2000,2,FALSE),"")</f>
        <v xml:space="preserve">РАДД ХХК </v>
      </c>
      <c r="N347" s="807"/>
      <c r="O347" s="80" t="str">
        <f>IFERROR(VLOOKUP(N347,DATA!$K$4:$L$51,2,FALSE),"")</f>
        <v/>
      </c>
      <c r="P347" s="80">
        <f t="shared" si="27"/>
        <v>0</v>
      </c>
      <c r="Q347" s="154">
        <f t="shared" si="28"/>
        <v>0</v>
      </c>
    </row>
    <row r="348" spans="2:17">
      <c r="B348" s="627">
        <f t="shared" si="29"/>
        <v>343</v>
      </c>
      <c r="C348" s="429">
        <v>43181</v>
      </c>
      <c r="D348" s="816" t="s">
        <v>2549</v>
      </c>
      <c r="E348" s="807">
        <v>320100</v>
      </c>
      <c r="F348" s="629" t="str">
        <f>IFERROR(VLOOKUP(E348,STAT1!$C$4:$D$1000,2,FALSE),"")</f>
        <v>Урьдчилж орсон орлого MNT</v>
      </c>
      <c r="G348" s="811">
        <v>168550</v>
      </c>
      <c r="H348" s="811"/>
      <c r="I348" s="580">
        <f t="shared" si="30"/>
        <v>0</v>
      </c>
      <c r="J348" s="961">
        <f t="shared" si="31"/>
        <v>0</v>
      </c>
      <c r="K348" s="80"/>
      <c r="L348" s="807">
        <v>3122</v>
      </c>
      <c r="M348" s="80" t="str">
        <f>+IFERROR(VLOOKUP(L348,DATA!$G$4:$H$2000,2,FALSE),"")</f>
        <v xml:space="preserve">РАДД ХХК </v>
      </c>
      <c r="N348" s="807"/>
      <c r="O348" s="80" t="str">
        <f>IFERROR(VLOOKUP(N348,DATA!$K$4:$L$51,2,FALSE),"")</f>
        <v/>
      </c>
      <c r="P348" s="80">
        <f t="shared" si="27"/>
        <v>0</v>
      </c>
      <c r="Q348" s="154">
        <f t="shared" si="28"/>
        <v>0</v>
      </c>
    </row>
    <row r="349" spans="2:17">
      <c r="B349" s="627">
        <f t="shared" si="29"/>
        <v>344</v>
      </c>
      <c r="C349" s="429">
        <v>43181</v>
      </c>
      <c r="D349" s="816" t="s">
        <v>1571</v>
      </c>
      <c r="E349" s="807">
        <v>100100</v>
      </c>
      <c r="F349" s="629" t="str">
        <f>IFERROR(VLOOKUP(E349,STAT1!$C$4:$D$1000,2,FALSE),"")</f>
        <v>Касс мөнгө MNT</v>
      </c>
      <c r="G349" s="811">
        <v>305670</v>
      </c>
      <c r="H349" s="811"/>
      <c r="I349" s="580">
        <f t="shared" si="30"/>
        <v>305670</v>
      </c>
      <c r="J349" s="961">
        <f t="shared" si="31"/>
        <v>0</v>
      </c>
      <c r="K349" s="80"/>
      <c r="L349" s="807">
        <v>3121</v>
      </c>
      <c r="M349" s="80" t="str">
        <f>+IFERROR(VLOOKUP(L349,DATA!$G$4:$H$2000,2,FALSE),"")</f>
        <v xml:space="preserve">КОМ ТАВИЛГА ХХК </v>
      </c>
      <c r="N349" s="807">
        <v>41</v>
      </c>
      <c r="O349" s="80" t="str">
        <f>IFERROR(VLOOKUP(N349,DATA!$K$4:$L$51,2,FALSE),"")</f>
        <v>Бараа борлуулсан, үйлчилгээ үзүүлсэний орлого</v>
      </c>
      <c r="P349" s="80">
        <f t="shared" si="27"/>
        <v>1</v>
      </c>
      <c r="Q349" s="154">
        <f t="shared" si="28"/>
        <v>1</v>
      </c>
    </row>
    <row r="350" spans="2:17">
      <c r="B350" s="627">
        <f t="shared" si="29"/>
        <v>345</v>
      </c>
      <c r="C350" s="429">
        <v>43181</v>
      </c>
      <c r="D350" s="816" t="s">
        <v>1571</v>
      </c>
      <c r="E350" s="807">
        <v>320100</v>
      </c>
      <c r="F350" s="629" t="str">
        <f>IFERROR(VLOOKUP(E350,STAT1!$C$4:$D$1000,2,FALSE),"")</f>
        <v>Урьдчилж орсон орлого MNT</v>
      </c>
      <c r="G350" s="811"/>
      <c r="H350" s="811">
        <v>305670</v>
      </c>
      <c r="I350" s="580">
        <f t="shared" si="30"/>
        <v>0</v>
      </c>
      <c r="J350" s="961">
        <f t="shared" si="31"/>
        <v>0</v>
      </c>
      <c r="K350" s="80"/>
      <c r="L350" s="807">
        <v>3121</v>
      </c>
      <c r="M350" s="80" t="str">
        <f>+IFERROR(VLOOKUP(L350,DATA!$G$4:$H$2000,2,FALSE),"")</f>
        <v xml:space="preserve">КОМ ТАВИЛГА ХХК </v>
      </c>
      <c r="N350" s="807"/>
      <c r="O350" s="80" t="str">
        <f>IFERROR(VLOOKUP(N350,DATA!$K$4:$L$51,2,FALSE),"")</f>
        <v/>
      </c>
      <c r="P350" s="80">
        <f t="shared" si="27"/>
        <v>0</v>
      </c>
      <c r="Q350" s="154">
        <f t="shared" si="28"/>
        <v>0</v>
      </c>
    </row>
    <row r="351" spans="2:17">
      <c r="B351" s="627">
        <f t="shared" si="29"/>
        <v>346</v>
      </c>
      <c r="C351" s="429">
        <v>43182</v>
      </c>
      <c r="D351" s="816" t="s">
        <v>2507</v>
      </c>
      <c r="E351" s="807">
        <v>110100</v>
      </c>
      <c r="F351" s="629" t="str">
        <f>IFERROR(VLOOKUP(E351,STAT1!$C$4:$D$1000,2,FALSE),"")</f>
        <v>Хаан Банк 5024654020</v>
      </c>
      <c r="G351" s="811"/>
      <c r="H351" s="811">
        <v>368800</v>
      </c>
      <c r="I351" s="580">
        <f t="shared" si="30"/>
        <v>-368800</v>
      </c>
      <c r="J351" s="961">
        <f t="shared" si="31"/>
        <v>0</v>
      </c>
      <c r="K351" s="80"/>
      <c r="L351" s="807">
        <v>2005</v>
      </c>
      <c r="M351" s="80" t="str">
        <f>+IFERROR(VLOOKUP(L351,DATA!$G$4:$H$2000,2,FALSE),"")</f>
        <v xml:space="preserve">УСУГ ТӨХК </v>
      </c>
      <c r="N351" s="807">
        <v>54</v>
      </c>
      <c r="O351" s="80" t="str">
        <f>IFERROR(VLOOKUP(N351,DATA!$K$4:$L$51,2,FALSE),"")</f>
        <v>Ашиглалтын зардалд төлсөн</v>
      </c>
      <c r="P351" s="80">
        <f t="shared" si="27"/>
        <v>1</v>
      </c>
      <c r="Q351" s="154">
        <f t="shared" si="28"/>
        <v>1</v>
      </c>
    </row>
    <row r="352" spans="2:17">
      <c r="B352" s="627">
        <f t="shared" si="29"/>
        <v>347</v>
      </c>
      <c r="C352" s="429">
        <v>43182</v>
      </c>
      <c r="D352" s="816" t="s">
        <v>2507</v>
      </c>
      <c r="E352" s="807">
        <v>120600</v>
      </c>
      <c r="F352" s="629" t="str">
        <f>IFERROR(VLOOKUP(E352,STAT1!$C$4:$D$1000,2,FALSE),"")</f>
        <v>НӨАТ авлага</v>
      </c>
      <c r="G352" s="811">
        <v>33498</v>
      </c>
      <c r="H352" s="811"/>
      <c r="I352" s="580">
        <f t="shared" si="30"/>
        <v>0</v>
      </c>
      <c r="J352" s="961">
        <f t="shared" si="31"/>
        <v>0</v>
      </c>
      <c r="K352" s="80"/>
      <c r="L352" s="807">
        <v>2005</v>
      </c>
      <c r="M352" s="80" t="str">
        <f>+IFERROR(VLOOKUP(L352,DATA!$G$4:$H$2000,2,FALSE),"")</f>
        <v xml:space="preserve">УСУГ ТӨХК </v>
      </c>
      <c r="N352" s="807"/>
      <c r="O352" s="80" t="str">
        <f>IFERROR(VLOOKUP(N352,DATA!$K$4:$L$51,2,FALSE),"")</f>
        <v/>
      </c>
      <c r="P352" s="80">
        <f t="shared" si="27"/>
        <v>0</v>
      </c>
      <c r="Q352" s="154">
        <f t="shared" si="28"/>
        <v>0</v>
      </c>
    </row>
    <row r="353" spans="2:17">
      <c r="B353" s="627">
        <f t="shared" si="29"/>
        <v>348</v>
      </c>
      <c r="C353" s="429">
        <v>43182</v>
      </c>
      <c r="D353" s="816" t="s">
        <v>2507</v>
      </c>
      <c r="E353" s="807">
        <v>700900</v>
      </c>
      <c r="F353" s="629" t="str">
        <f>IFERROR(VLOOKUP(E353,STAT1!$C$4:$D$1000,2,FALSE),"")</f>
        <v>Уур, ус</v>
      </c>
      <c r="G353" s="811">
        <f>368800-33498</f>
        <v>335302</v>
      </c>
      <c r="H353" s="811"/>
      <c r="I353" s="580">
        <f t="shared" si="30"/>
        <v>0</v>
      </c>
      <c r="J353" s="961">
        <f t="shared" si="31"/>
        <v>0</v>
      </c>
      <c r="K353" s="80"/>
      <c r="L353" s="807">
        <v>2005</v>
      </c>
      <c r="M353" s="80" t="str">
        <f>+IFERROR(VLOOKUP(L353,DATA!$G$4:$H$2000,2,FALSE),"")</f>
        <v xml:space="preserve">УСУГ ТӨХК </v>
      </c>
      <c r="N353" s="807"/>
      <c r="O353" s="80" t="str">
        <f>IFERROR(VLOOKUP(N353,DATA!$K$4:$L$51,2,FALSE),"")</f>
        <v/>
      </c>
      <c r="P353" s="80">
        <f t="shared" si="27"/>
        <v>0</v>
      </c>
      <c r="Q353" s="154">
        <f t="shared" si="28"/>
        <v>0</v>
      </c>
    </row>
    <row r="354" spans="2:17">
      <c r="B354" s="627">
        <f t="shared" si="29"/>
        <v>349</v>
      </c>
      <c r="C354" s="429">
        <v>43184</v>
      </c>
      <c r="D354" s="816" t="s">
        <v>2513</v>
      </c>
      <c r="E354" s="807">
        <v>100100</v>
      </c>
      <c r="F354" s="629" t="str">
        <f>IFERROR(VLOOKUP(E354,STAT1!$C$4:$D$1000,2,FALSE),"")</f>
        <v>Касс мөнгө MNT</v>
      </c>
      <c r="G354" s="811"/>
      <c r="H354" s="811">
        <v>1848000</v>
      </c>
      <c r="I354" s="580">
        <f t="shared" si="30"/>
        <v>-1848000</v>
      </c>
      <c r="J354" s="961">
        <f t="shared" si="31"/>
        <v>0</v>
      </c>
      <c r="K354" s="80"/>
      <c r="L354" s="807">
        <v>1008</v>
      </c>
      <c r="M354" s="80" t="str">
        <f>+IFERROR(VLOOKUP(L354,DATA!$G$4:$H$2000,2,FALSE),"")</f>
        <v xml:space="preserve">Оюунтүлхүүр </v>
      </c>
      <c r="N354" s="807">
        <v>53</v>
      </c>
      <c r="O354" s="80" t="str">
        <f>IFERROR(VLOOKUP(N354,DATA!$K$4:$L$51,2,FALSE),"")</f>
        <v>Бараа материал худалдан авахад төлсөн</v>
      </c>
      <c r="P354" s="80">
        <f t="shared" si="27"/>
        <v>1</v>
      </c>
      <c r="Q354" s="154">
        <f t="shared" si="28"/>
        <v>1</v>
      </c>
    </row>
    <row r="355" spans="2:17">
      <c r="B355" s="627">
        <f t="shared" si="29"/>
        <v>350</v>
      </c>
      <c r="C355" s="429">
        <v>43184</v>
      </c>
      <c r="D355" s="816" t="s">
        <v>2513</v>
      </c>
      <c r="E355" s="807">
        <v>120100</v>
      </c>
      <c r="F355" s="629" t="str">
        <f>IFERROR(VLOOKUP(E355,STAT1!$C$4:$D$1000,2,FALSE),"")</f>
        <v xml:space="preserve">Дансны авлага MNT </v>
      </c>
      <c r="G355" s="811">
        <v>1848000</v>
      </c>
      <c r="H355" s="811"/>
      <c r="I355" s="580">
        <f t="shared" si="30"/>
        <v>0</v>
      </c>
      <c r="J355" s="961">
        <f t="shared" si="31"/>
        <v>0</v>
      </c>
      <c r="K355" s="80"/>
      <c r="L355" s="807">
        <v>1008</v>
      </c>
      <c r="M355" s="80" t="str">
        <f>+IFERROR(VLOOKUP(L355,DATA!$G$4:$H$2000,2,FALSE),"")</f>
        <v xml:space="preserve">Оюунтүлхүүр </v>
      </c>
      <c r="N355" s="807"/>
      <c r="O355" s="80" t="str">
        <f>IFERROR(VLOOKUP(N355,DATA!$K$4:$L$51,2,FALSE),"")</f>
        <v/>
      </c>
      <c r="P355" s="80">
        <f t="shared" si="27"/>
        <v>0</v>
      </c>
      <c r="Q355" s="154">
        <f t="shared" si="28"/>
        <v>0</v>
      </c>
    </row>
    <row r="356" spans="2:17">
      <c r="B356" s="627">
        <f t="shared" si="29"/>
        <v>351</v>
      </c>
      <c r="C356" s="429">
        <v>43184</v>
      </c>
      <c r="D356" s="816" t="s">
        <v>2549</v>
      </c>
      <c r="E356" s="807">
        <v>160100</v>
      </c>
      <c r="F356" s="629" t="str">
        <f>IFERROR(VLOOKUP(E356,STAT1!$C$4:$D$1000,2,FALSE),"")</f>
        <v xml:space="preserve">Барилгын материал </v>
      </c>
      <c r="G356" s="811">
        <v>200000</v>
      </c>
      <c r="H356" s="811"/>
      <c r="I356" s="580">
        <f t="shared" si="30"/>
        <v>0</v>
      </c>
      <c r="J356" s="961">
        <f t="shared" si="31"/>
        <v>0</v>
      </c>
      <c r="K356" s="80"/>
      <c r="L356" s="807">
        <v>1008</v>
      </c>
      <c r="M356" s="80" t="str">
        <f>+IFERROR(VLOOKUP(L356,DATA!$G$4:$H$2000,2,FALSE),"")</f>
        <v xml:space="preserve">Оюунтүлхүүр </v>
      </c>
      <c r="N356" s="807"/>
      <c r="O356" s="80" t="str">
        <f>IFERROR(VLOOKUP(N356,DATA!$K$4:$L$51,2,FALSE),"")</f>
        <v/>
      </c>
      <c r="P356" s="80">
        <f t="shared" si="27"/>
        <v>0</v>
      </c>
      <c r="Q356" s="154">
        <f t="shared" si="28"/>
        <v>0</v>
      </c>
    </row>
    <row r="357" spans="2:17">
      <c r="B357" s="627">
        <f t="shared" si="29"/>
        <v>352</v>
      </c>
      <c r="C357" s="429">
        <v>43184</v>
      </c>
      <c r="D357" s="816" t="s">
        <v>2549</v>
      </c>
      <c r="E357" s="807">
        <v>160100</v>
      </c>
      <c r="F357" s="629" t="str">
        <f>IFERROR(VLOOKUP(E357,STAT1!$C$4:$D$1000,2,FALSE),"")</f>
        <v xml:space="preserve">Барилгын материал </v>
      </c>
      <c r="G357" s="811">
        <v>1480000</v>
      </c>
      <c r="H357" s="811"/>
      <c r="I357" s="580">
        <f t="shared" si="30"/>
        <v>0</v>
      </c>
      <c r="J357" s="961">
        <f t="shared" si="31"/>
        <v>0</v>
      </c>
      <c r="K357" s="80"/>
      <c r="L357" s="807">
        <v>1008</v>
      </c>
      <c r="M357" s="80" t="str">
        <f>+IFERROR(VLOOKUP(L357,DATA!$G$4:$H$2000,2,FALSE),"")</f>
        <v xml:space="preserve">Оюунтүлхүүр </v>
      </c>
      <c r="N357" s="807"/>
      <c r="O357" s="80" t="str">
        <f>IFERROR(VLOOKUP(N357,DATA!$K$4:$L$51,2,FALSE),"")</f>
        <v/>
      </c>
      <c r="P357" s="80">
        <f t="shared" si="27"/>
        <v>0</v>
      </c>
      <c r="Q357" s="154">
        <f t="shared" si="28"/>
        <v>0</v>
      </c>
    </row>
    <row r="358" spans="2:17">
      <c r="B358" s="627">
        <f t="shared" si="29"/>
        <v>353</v>
      </c>
      <c r="C358" s="429">
        <v>43184</v>
      </c>
      <c r="D358" s="816" t="s">
        <v>2549</v>
      </c>
      <c r="E358" s="807">
        <v>120600</v>
      </c>
      <c r="F358" s="629" t="str">
        <f>IFERROR(VLOOKUP(E358,STAT1!$C$4:$D$1000,2,FALSE),"")</f>
        <v>НӨАТ авлага</v>
      </c>
      <c r="G358" s="811">
        <v>168000</v>
      </c>
      <c r="H358" s="811"/>
      <c r="I358" s="580">
        <f t="shared" si="30"/>
        <v>0</v>
      </c>
      <c r="J358" s="961">
        <f t="shared" si="31"/>
        <v>0</v>
      </c>
      <c r="K358" s="80"/>
      <c r="L358" s="807">
        <v>1008</v>
      </c>
      <c r="M358" s="80" t="str">
        <f>+IFERROR(VLOOKUP(L358,DATA!$G$4:$H$2000,2,FALSE),"")</f>
        <v xml:space="preserve">Оюунтүлхүүр </v>
      </c>
      <c r="N358" s="807"/>
      <c r="O358" s="80" t="str">
        <f>IFERROR(VLOOKUP(N358,DATA!$K$4:$L$51,2,FALSE),"")</f>
        <v/>
      </c>
      <c r="P358" s="80">
        <f t="shared" si="27"/>
        <v>0</v>
      </c>
      <c r="Q358" s="154">
        <f t="shared" si="28"/>
        <v>0</v>
      </c>
    </row>
    <row r="359" spans="2:17">
      <c r="B359" s="627">
        <f t="shared" si="29"/>
        <v>354</v>
      </c>
      <c r="C359" s="429">
        <v>43184</v>
      </c>
      <c r="D359" s="816" t="s">
        <v>2549</v>
      </c>
      <c r="E359" s="807">
        <v>120100</v>
      </c>
      <c r="F359" s="629" t="str">
        <f>IFERROR(VLOOKUP(E359,STAT1!$C$4:$D$1000,2,FALSE),"")</f>
        <v xml:space="preserve">Дансны авлага MNT </v>
      </c>
      <c r="G359" s="811"/>
      <c r="H359" s="811">
        <v>1848000</v>
      </c>
      <c r="I359" s="580">
        <f t="shared" si="30"/>
        <v>0</v>
      </c>
      <c r="J359" s="961">
        <f t="shared" si="31"/>
        <v>0</v>
      </c>
      <c r="K359" s="80"/>
      <c r="L359" s="807">
        <v>1008</v>
      </c>
      <c r="M359" s="80" t="str">
        <f>+IFERROR(VLOOKUP(L359,DATA!$G$4:$H$2000,2,FALSE),"")</f>
        <v xml:space="preserve">Оюунтүлхүүр </v>
      </c>
      <c r="N359" s="807"/>
      <c r="O359" s="80" t="str">
        <f>IFERROR(VLOOKUP(N359,DATA!$K$4:$L$51,2,FALSE),"")</f>
        <v/>
      </c>
      <c r="P359" s="80">
        <f t="shared" si="27"/>
        <v>0</v>
      </c>
      <c r="Q359" s="154">
        <f t="shared" si="28"/>
        <v>0</v>
      </c>
    </row>
    <row r="360" spans="2:17">
      <c r="B360" s="627">
        <f t="shared" si="29"/>
        <v>355</v>
      </c>
      <c r="C360" s="429">
        <v>43185</v>
      </c>
      <c r="D360" s="816" t="s">
        <v>2549</v>
      </c>
      <c r="E360" s="807">
        <v>150101</v>
      </c>
      <c r="F360" s="629" t="str">
        <f>IFERROR(VLOOKUP(E360,STAT1!$C$4:$D$8000,2,FALSE),"")</f>
        <v>Бараа бэлэн бүтээгдэхүүн БОЛОВСРУУЛАХ ЦЕХ /нарс/</v>
      </c>
      <c r="G360" s="811"/>
      <c r="H360" s="811">
        <v>126738.86171948399</v>
      </c>
      <c r="I360" s="580">
        <f t="shared" si="30"/>
        <v>0</v>
      </c>
      <c r="J360" s="961">
        <f t="shared" si="31"/>
        <v>0</v>
      </c>
      <c r="K360" s="80"/>
      <c r="L360" s="807">
        <v>3051</v>
      </c>
      <c r="M360" s="80" t="str">
        <f>+IFERROR(VLOOKUP(L360,DATA!$G$4:$H$2000,2,FALSE),"")</f>
        <v xml:space="preserve">НОМАДС ТУР ХХК </v>
      </c>
      <c r="N360" s="807"/>
      <c r="O360" s="80" t="str">
        <f>IFERROR(VLOOKUP(N360,DATA!$K$4:$L$51,2,FALSE),"")</f>
        <v/>
      </c>
      <c r="P360" s="80">
        <f t="shared" si="27"/>
        <v>0</v>
      </c>
      <c r="Q360" s="154">
        <f t="shared" si="28"/>
        <v>0</v>
      </c>
    </row>
    <row r="361" spans="2:17">
      <c r="B361" s="627">
        <f t="shared" si="29"/>
        <v>356</v>
      </c>
      <c r="C361" s="429">
        <v>43185</v>
      </c>
      <c r="D361" s="816" t="s">
        <v>2549</v>
      </c>
      <c r="E361" s="807">
        <v>610100</v>
      </c>
      <c r="F361" s="629" t="str">
        <f>IFERROR(VLOOKUP(E361,STAT1!$C$4:$D$8000,2,FALSE),"")</f>
        <v>Борлуулсан барааны өртөг</v>
      </c>
      <c r="G361" s="811">
        <v>126738.86171948399</v>
      </c>
      <c r="H361" s="811"/>
      <c r="I361" s="580">
        <f t="shared" si="30"/>
        <v>0</v>
      </c>
      <c r="J361" s="961">
        <f t="shared" si="31"/>
        <v>0</v>
      </c>
      <c r="K361" s="80"/>
      <c r="L361" s="807">
        <v>3051</v>
      </c>
      <c r="M361" s="80" t="str">
        <f>+IFERROR(VLOOKUP(L361,DATA!$G$4:$H$2000,2,FALSE),"")</f>
        <v xml:space="preserve">НОМАДС ТУР ХХК </v>
      </c>
      <c r="N361" s="807"/>
      <c r="O361" s="80" t="str">
        <f>IFERROR(VLOOKUP(N361,DATA!$K$4:$L$51,2,FALSE),"")</f>
        <v/>
      </c>
      <c r="P361" s="80">
        <f t="shared" si="27"/>
        <v>0</v>
      </c>
      <c r="Q361" s="154">
        <f t="shared" si="28"/>
        <v>0</v>
      </c>
    </row>
    <row r="362" spans="2:17">
      <c r="B362" s="627">
        <f t="shared" si="29"/>
        <v>357</v>
      </c>
      <c r="C362" s="429">
        <v>43185</v>
      </c>
      <c r="D362" s="816" t="s">
        <v>2549</v>
      </c>
      <c r="E362" s="807">
        <v>310500</v>
      </c>
      <c r="F362" s="629" t="str">
        <f>IFERROR(VLOOKUP(E362,STAT1!$C$4:$D$8000,2,FALSE),"")</f>
        <v>НӨАТ өглөг</v>
      </c>
      <c r="G362" s="811"/>
      <c r="H362" s="811">
        <v>13058.181818181818</v>
      </c>
      <c r="I362" s="580">
        <f t="shared" si="30"/>
        <v>0</v>
      </c>
      <c r="J362" s="961">
        <f t="shared" si="31"/>
        <v>0</v>
      </c>
      <c r="K362" s="80"/>
      <c r="L362" s="807">
        <v>3051</v>
      </c>
      <c r="M362" s="80" t="str">
        <f>+IFERROR(VLOOKUP(L362,DATA!$G$4:$H$2000,2,FALSE),"")</f>
        <v xml:space="preserve">НОМАДС ТУР ХХК </v>
      </c>
      <c r="N362" s="807"/>
      <c r="O362" s="80" t="str">
        <f>IFERROR(VLOOKUP(N362,DATA!$K$4:$L$51,2,FALSE),"")</f>
        <v/>
      </c>
      <c r="P362" s="80">
        <f t="shared" si="27"/>
        <v>0</v>
      </c>
      <c r="Q362" s="154">
        <f t="shared" si="28"/>
        <v>0</v>
      </c>
    </row>
    <row r="363" spans="2:17">
      <c r="B363" s="627">
        <f t="shared" si="29"/>
        <v>358</v>
      </c>
      <c r="C363" s="429">
        <v>43185</v>
      </c>
      <c r="D363" s="816" t="s">
        <v>2549</v>
      </c>
      <c r="E363" s="807">
        <v>510000</v>
      </c>
      <c r="F363" s="629" t="str">
        <f>IFERROR(VLOOKUP(E363,STAT1!$C$4:$D$8000,2,FALSE),"")</f>
        <v>Үндсэн үйл ажиллагааны борлуулалт</v>
      </c>
      <c r="G363" s="811"/>
      <c r="H363" s="811">
        <v>130581.81818181818</v>
      </c>
      <c r="I363" s="580">
        <f t="shared" si="30"/>
        <v>0</v>
      </c>
      <c r="J363" s="961">
        <f t="shared" si="31"/>
        <v>0</v>
      </c>
      <c r="K363" s="80"/>
      <c r="L363" s="807">
        <v>3051</v>
      </c>
      <c r="M363" s="80" t="str">
        <f>+IFERROR(VLOOKUP(L363,DATA!$G$4:$H$2000,2,FALSE),"")</f>
        <v xml:space="preserve">НОМАДС ТУР ХХК </v>
      </c>
      <c r="N363" s="807"/>
      <c r="O363" s="80" t="str">
        <f>IFERROR(VLOOKUP(N363,DATA!$K$4:$L$51,2,FALSE),"")</f>
        <v/>
      </c>
      <c r="P363" s="80">
        <f t="shared" si="27"/>
        <v>0</v>
      </c>
      <c r="Q363" s="154">
        <f t="shared" si="28"/>
        <v>0</v>
      </c>
    </row>
    <row r="364" spans="2:17">
      <c r="B364" s="627">
        <f t="shared" si="29"/>
        <v>359</v>
      </c>
      <c r="C364" s="429">
        <v>43185</v>
      </c>
      <c r="D364" s="816" t="s">
        <v>2549</v>
      </c>
      <c r="E364" s="807">
        <v>320100</v>
      </c>
      <c r="F364" s="629" t="str">
        <f>IFERROR(VLOOKUP(E364,STAT1!$C$4:$D$8000,2,FALSE),"")</f>
        <v>Урьдчилж орсон орлого MNT</v>
      </c>
      <c r="G364" s="811">
        <v>143640</v>
      </c>
      <c r="H364" s="811"/>
      <c r="I364" s="580">
        <f t="shared" si="30"/>
        <v>0</v>
      </c>
      <c r="J364" s="961">
        <f t="shared" si="31"/>
        <v>0</v>
      </c>
      <c r="K364" s="80"/>
      <c r="L364" s="807">
        <v>3051</v>
      </c>
      <c r="M364" s="80" t="str">
        <f>+IFERROR(VLOOKUP(L364,DATA!$G$4:$H$2000,2,FALSE),"")</f>
        <v xml:space="preserve">НОМАДС ТУР ХХК </v>
      </c>
      <c r="N364" s="807"/>
      <c r="O364" s="80" t="str">
        <f>IFERROR(VLOOKUP(N364,DATA!$K$4:$L$51,2,FALSE),"")</f>
        <v/>
      </c>
      <c r="P364" s="80">
        <f t="shared" si="27"/>
        <v>0</v>
      </c>
      <c r="Q364" s="154">
        <f t="shared" si="28"/>
        <v>0</v>
      </c>
    </row>
    <row r="365" spans="2:17">
      <c r="B365" s="627">
        <f t="shared" si="29"/>
        <v>360</v>
      </c>
      <c r="C365" s="429">
        <v>43185</v>
      </c>
      <c r="D365" s="816" t="s">
        <v>2549</v>
      </c>
      <c r="E365" s="807">
        <v>150101</v>
      </c>
      <c r="F365" s="629" t="str">
        <f>IFERROR(VLOOKUP(E365,STAT1!$C$4:$D$8000,2,FALSE),"")</f>
        <v>Бараа бэлэн бүтээгдэхүүн БОЛОВСРУУЛАХ ЦЕХ /нарс/</v>
      </c>
      <c r="G365" s="811"/>
      <c r="H365" s="811">
        <v>183567.4012193965</v>
      </c>
      <c r="I365" s="580">
        <f t="shared" si="30"/>
        <v>0</v>
      </c>
      <c r="J365" s="961">
        <f t="shared" si="31"/>
        <v>0</v>
      </c>
      <c r="K365" s="80"/>
      <c r="L365" s="807">
        <v>3121</v>
      </c>
      <c r="M365" s="80" t="str">
        <f>+IFERROR(VLOOKUP(L365,DATA!$G$4:$H$2000,2,FALSE),"")</f>
        <v xml:space="preserve">КОМ ТАВИЛГА ХХК </v>
      </c>
      <c r="N365" s="807"/>
      <c r="O365" s="80" t="str">
        <f>IFERROR(VLOOKUP(N365,DATA!$K$4:$L$51,2,FALSE),"")</f>
        <v/>
      </c>
      <c r="P365" s="80">
        <f t="shared" si="27"/>
        <v>0</v>
      </c>
      <c r="Q365" s="154">
        <f t="shared" si="28"/>
        <v>0</v>
      </c>
    </row>
    <row r="366" spans="2:17">
      <c r="B366" s="627">
        <f t="shared" si="29"/>
        <v>361</v>
      </c>
      <c r="C366" s="429">
        <v>43185</v>
      </c>
      <c r="D366" s="816" t="s">
        <v>2549</v>
      </c>
      <c r="E366" s="807">
        <v>610100</v>
      </c>
      <c r="F366" s="629" t="str">
        <f>IFERROR(VLOOKUP(E366,STAT1!$C$4:$D$1000,2,FALSE),"")</f>
        <v>Борлуулсан барааны өртөг</v>
      </c>
      <c r="G366" s="811">
        <v>183567.4012193965</v>
      </c>
      <c r="H366" s="811"/>
      <c r="I366" s="580">
        <f t="shared" si="30"/>
        <v>0</v>
      </c>
      <c r="J366" s="961">
        <f t="shared" si="31"/>
        <v>0</v>
      </c>
      <c r="K366" s="80"/>
      <c r="L366" s="807">
        <v>3121</v>
      </c>
      <c r="M366" s="80" t="str">
        <f>+IFERROR(VLOOKUP(L366,DATA!$G$4:$H$2000,2,FALSE),"")</f>
        <v xml:space="preserve">КОМ ТАВИЛГА ХХК </v>
      </c>
      <c r="N366" s="807"/>
      <c r="O366" s="80" t="str">
        <f>IFERROR(VLOOKUP(N366,DATA!$K$4:$L$51,2,FALSE),"")</f>
        <v/>
      </c>
      <c r="P366" s="80">
        <f t="shared" si="27"/>
        <v>0</v>
      </c>
      <c r="Q366" s="154">
        <f t="shared" si="28"/>
        <v>0</v>
      </c>
    </row>
    <row r="367" spans="2:17">
      <c r="B367" s="627">
        <f t="shared" si="29"/>
        <v>362</v>
      </c>
      <c r="C367" s="429">
        <v>43185</v>
      </c>
      <c r="D367" s="816" t="s">
        <v>2549</v>
      </c>
      <c r="E367" s="807">
        <v>310500</v>
      </c>
      <c r="F367" s="629" t="str">
        <f>IFERROR(VLOOKUP(E367,STAT1!$C$4:$D$1000,2,FALSE),"")</f>
        <v>НӨАТ өглөг</v>
      </c>
      <c r="G367" s="811"/>
      <c r="H367" s="811">
        <v>27788.18181818182</v>
      </c>
      <c r="I367" s="580">
        <f t="shared" si="30"/>
        <v>0</v>
      </c>
      <c r="J367" s="961">
        <f t="shared" si="31"/>
        <v>0</v>
      </c>
      <c r="K367" s="80"/>
      <c r="L367" s="807">
        <v>3121</v>
      </c>
      <c r="M367" s="80" t="str">
        <f>+IFERROR(VLOOKUP(L367,DATA!$G$4:$H$2000,2,FALSE),"")</f>
        <v xml:space="preserve">КОМ ТАВИЛГА ХХК </v>
      </c>
      <c r="N367" s="807"/>
      <c r="O367" s="80"/>
      <c r="P367" s="80">
        <f t="shared" si="27"/>
        <v>0</v>
      </c>
      <c r="Q367" s="154">
        <f t="shared" si="28"/>
        <v>0</v>
      </c>
    </row>
    <row r="368" spans="2:17">
      <c r="B368" s="627">
        <f t="shared" si="29"/>
        <v>363</v>
      </c>
      <c r="C368" s="429">
        <v>43185</v>
      </c>
      <c r="D368" s="816" t="s">
        <v>2549</v>
      </c>
      <c r="E368" s="807">
        <v>510000</v>
      </c>
      <c r="F368" s="629" t="str">
        <f>IFERROR(VLOOKUP(E368,STAT1!$C$4:$D$1000,2,FALSE),"")</f>
        <v>Үндсэн үйл ажиллагааны борлуулалт</v>
      </c>
      <c r="G368" s="811"/>
      <c r="H368" s="811">
        <v>277881.81818181818</v>
      </c>
      <c r="I368" s="580">
        <f t="shared" si="30"/>
        <v>0</v>
      </c>
      <c r="J368" s="961">
        <f t="shared" si="31"/>
        <v>0</v>
      </c>
      <c r="K368" s="80"/>
      <c r="L368" s="807">
        <v>3121</v>
      </c>
      <c r="M368" s="80" t="str">
        <f>+IFERROR(VLOOKUP(L368,DATA!$G$4:$H$2000,2,FALSE),"")</f>
        <v xml:space="preserve">КОМ ТАВИЛГА ХХК </v>
      </c>
      <c r="N368" s="807"/>
      <c r="O368" s="80" t="str">
        <f>IFERROR(VLOOKUP(N368,DATA!$K$4:$L$51,2,FALSE),"")</f>
        <v/>
      </c>
      <c r="P368" s="80">
        <f t="shared" si="27"/>
        <v>0</v>
      </c>
      <c r="Q368" s="154">
        <f t="shared" si="28"/>
        <v>0</v>
      </c>
    </row>
    <row r="369" spans="2:17">
      <c r="B369" s="627">
        <f t="shared" si="29"/>
        <v>364</v>
      </c>
      <c r="C369" s="429">
        <v>43185</v>
      </c>
      <c r="D369" s="816" t="s">
        <v>2549</v>
      </c>
      <c r="E369" s="807">
        <v>320100</v>
      </c>
      <c r="F369" s="629" t="str">
        <f>IFERROR(VLOOKUP(E369,STAT1!$C$4:$D$1000,2,FALSE),"")</f>
        <v>Урьдчилж орсон орлого MNT</v>
      </c>
      <c r="G369" s="811">
        <v>305670</v>
      </c>
      <c r="H369" s="811"/>
      <c r="I369" s="580">
        <f t="shared" si="30"/>
        <v>0</v>
      </c>
      <c r="J369" s="961">
        <f t="shared" si="31"/>
        <v>0</v>
      </c>
      <c r="K369" s="80"/>
      <c r="L369" s="807">
        <v>3121</v>
      </c>
      <c r="M369" s="80" t="str">
        <f>+IFERROR(VLOOKUP(L369,DATA!$G$4:$H$2000,2,FALSE),"")</f>
        <v xml:space="preserve">КОМ ТАВИЛГА ХХК </v>
      </c>
      <c r="N369" s="807"/>
      <c r="O369" s="80" t="str">
        <f>IFERROR(VLOOKUP(N369,DATA!$K$4:$L$51,2,FALSE),"")</f>
        <v/>
      </c>
      <c r="P369" s="80">
        <f t="shared" si="27"/>
        <v>0</v>
      </c>
      <c r="Q369" s="154">
        <f t="shared" si="28"/>
        <v>0</v>
      </c>
    </row>
    <row r="370" spans="2:17">
      <c r="B370" s="627">
        <f t="shared" si="29"/>
        <v>365</v>
      </c>
      <c r="C370" s="429">
        <v>43185</v>
      </c>
      <c r="D370" s="816" t="s">
        <v>1571</v>
      </c>
      <c r="E370" s="807">
        <v>100100</v>
      </c>
      <c r="F370" s="629" t="str">
        <f>IFERROR(VLOOKUP(E370,STAT1!$C$4:$D$1000,2,FALSE),"")</f>
        <v>Касс мөнгө MNT</v>
      </c>
      <c r="G370" s="811">
        <v>143640</v>
      </c>
      <c r="H370" s="811"/>
      <c r="I370" s="580">
        <f t="shared" si="30"/>
        <v>143640</v>
      </c>
      <c r="J370" s="961">
        <f t="shared" si="31"/>
        <v>0</v>
      </c>
      <c r="K370" s="80"/>
      <c r="L370" s="807">
        <v>3051</v>
      </c>
      <c r="M370" s="80" t="str">
        <f>+IFERROR(VLOOKUP(L370,DATA!$G$4:$H$2000,2,FALSE),"")</f>
        <v xml:space="preserve">НОМАДС ТУР ХХК </v>
      </c>
      <c r="N370" s="807">
        <v>41</v>
      </c>
      <c r="O370" s="80" t="str">
        <f>IFERROR(VLOOKUP(N370,DATA!$K$4:$L$51,2,FALSE),"")</f>
        <v>Бараа борлуулсан, үйлчилгээ үзүүлсэний орлого</v>
      </c>
      <c r="P370" s="80">
        <f t="shared" si="27"/>
        <v>1</v>
      </c>
      <c r="Q370" s="154">
        <f t="shared" si="28"/>
        <v>1</v>
      </c>
    </row>
    <row r="371" spans="2:17">
      <c r="B371" s="627">
        <f t="shared" si="29"/>
        <v>366</v>
      </c>
      <c r="C371" s="429">
        <v>43185</v>
      </c>
      <c r="D371" s="816" t="s">
        <v>1571</v>
      </c>
      <c r="E371" s="807">
        <v>320100</v>
      </c>
      <c r="F371" s="629" t="str">
        <f>IFERROR(VLOOKUP(E371,STAT1!$C$4:$D$1000,2,FALSE),"")</f>
        <v>Урьдчилж орсон орлого MNT</v>
      </c>
      <c r="G371" s="811"/>
      <c r="H371" s="811">
        <v>143640</v>
      </c>
      <c r="I371" s="580">
        <f t="shared" si="30"/>
        <v>0</v>
      </c>
      <c r="J371" s="961">
        <f t="shared" si="31"/>
        <v>0</v>
      </c>
      <c r="K371" s="80"/>
      <c r="L371" s="807">
        <v>3051</v>
      </c>
      <c r="M371" s="80" t="str">
        <f>+IFERROR(VLOOKUP(L371,DATA!$G$4:$H$2000,2,FALSE),"")</f>
        <v xml:space="preserve">НОМАДС ТУР ХХК </v>
      </c>
      <c r="N371" s="807"/>
      <c r="O371" s="80"/>
      <c r="P371" s="80">
        <f t="shared" si="27"/>
        <v>0</v>
      </c>
      <c r="Q371" s="154">
        <f t="shared" si="28"/>
        <v>0</v>
      </c>
    </row>
    <row r="372" spans="2:17">
      <c r="B372" s="627">
        <f t="shared" si="29"/>
        <v>367</v>
      </c>
      <c r="C372" s="429">
        <v>43186</v>
      </c>
      <c r="D372" s="816" t="s">
        <v>2510</v>
      </c>
      <c r="E372" s="807">
        <v>110100</v>
      </c>
      <c r="F372" s="629" t="str">
        <f>IFERROR(VLOOKUP(E372,STAT1!$C$4:$D$1000,2,FALSE),"")</f>
        <v>Хаан Банк 5024654020</v>
      </c>
      <c r="G372" s="811"/>
      <c r="H372" s="811">
        <v>1929937</v>
      </c>
      <c r="I372" s="580">
        <f t="shared" si="30"/>
        <v>-1929937</v>
      </c>
      <c r="J372" s="961">
        <f t="shared" si="31"/>
        <v>0</v>
      </c>
      <c r="K372" s="80"/>
      <c r="L372" s="807">
        <v>2003</v>
      </c>
      <c r="M372" s="80" t="str">
        <f>+IFERROR(VLOOKUP(L372,DATA!$G$4:$H$2000,2,FALSE),"")</f>
        <v xml:space="preserve">УБЦТС ТӨХК </v>
      </c>
      <c r="N372" s="807">
        <v>54</v>
      </c>
      <c r="O372" s="80" t="str">
        <f>IFERROR(VLOOKUP(N372,DATA!$K$4:$L$51,2,FALSE),"")</f>
        <v>Ашиглалтын зардалд төлсөн</v>
      </c>
      <c r="P372" s="80">
        <f t="shared" si="27"/>
        <v>1</v>
      </c>
      <c r="Q372" s="154">
        <f t="shared" si="28"/>
        <v>1</v>
      </c>
    </row>
    <row r="373" spans="2:17">
      <c r="B373" s="627">
        <f t="shared" si="29"/>
        <v>368</v>
      </c>
      <c r="C373" s="429">
        <v>43186</v>
      </c>
      <c r="D373" s="816" t="s">
        <v>2510</v>
      </c>
      <c r="E373" s="807">
        <v>120600</v>
      </c>
      <c r="F373" s="629" t="str">
        <f>IFERROR(VLOOKUP(E373,STAT1!$C$4:$D$1000,2,FALSE),"")</f>
        <v>НӨАТ авлага</v>
      </c>
      <c r="G373" s="811">
        <v>175448.81818181818</v>
      </c>
      <c r="H373" s="811"/>
      <c r="I373" s="580">
        <f t="shared" si="30"/>
        <v>0</v>
      </c>
      <c r="J373" s="961">
        <f t="shared" si="31"/>
        <v>0</v>
      </c>
      <c r="K373" s="80"/>
      <c r="L373" s="807">
        <v>2003</v>
      </c>
      <c r="M373" s="80" t="str">
        <f>+IFERROR(VLOOKUP(L373,DATA!$G$4:$H$2000,2,FALSE),"")</f>
        <v xml:space="preserve">УБЦТС ТӨХК </v>
      </c>
      <c r="N373" s="807"/>
      <c r="O373" s="80" t="str">
        <f>IFERROR(VLOOKUP(N373,DATA!$K$4:$L$51,2,FALSE),"")</f>
        <v/>
      </c>
      <c r="P373" s="80">
        <f t="shared" si="27"/>
        <v>0</v>
      </c>
      <c r="Q373" s="154">
        <f t="shared" si="28"/>
        <v>0</v>
      </c>
    </row>
    <row r="374" spans="2:17">
      <c r="B374" s="627">
        <f t="shared" si="29"/>
        <v>369</v>
      </c>
      <c r="C374" s="429">
        <v>43186</v>
      </c>
      <c r="D374" s="816" t="s">
        <v>2510</v>
      </c>
      <c r="E374" s="807">
        <v>700700</v>
      </c>
      <c r="F374" s="629" t="str">
        <f>IFERROR(VLOOKUP(E374,STAT1!$C$4:$D$1000,2,FALSE),"")</f>
        <v>Цахилгаан эрчим хүч</v>
      </c>
      <c r="G374" s="811">
        <v>1754488.1818181816</v>
      </c>
      <c r="H374" s="811"/>
      <c r="I374" s="580">
        <f t="shared" si="30"/>
        <v>0</v>
      </c>
      <c r="J374" s="961">
        <f t="shared" si="31"/>
        <v>0</v>
      </c>
      <c r="K374" s="80"/>
      <c r="L374" s="807">
        <v>2003</v>
      </c>
      <c r="M374" s="80" t="str">
        <f>+IFERROR(VLOOKUP(L374,DATA!$G$4:$H$2000,2,FALSE),"")</f>
        <v xml:space="preserve">УБЦТС ТӨХК </v>
      </c>
      <c r="N374" s="807"/>
      <c r="O374" s="80" t="str">
        <f>IFERROR(VLOOKUP(N374,DATA!$K$4:$L$51,2,FALSE),"")</f>
        <v/>
      </c>
      <c r="P374" s="80">
        <f t="shared" si="27"/>
        <v>0</v>
      </c>
      <c r="Q374" s="154">
        <f t="shared" si="28"/>
        <v>0</v>
      </c>
    </row>
    <row r="375" spans="2:17">
      <c r="B375" s="627">
        <f t="shared" si="29"/>
        <v>370</v>
      </c>
      <c r="C375" s="429">
        <v>43187</v>
      </c>
      <c r="D375" s="816" t="s">
        <v>2549</v>
      </c>
      <c r="E375" s="807">
        <v>150101</v>
      </c>
      <c r="F375" s="629" t="str">
        <f>IFERROR(VLOOKUP(E375,STAT1!$C$4:$D$1000,2,FALSE),"")</f>
        <v>Бараа бэлэн бүтээгдэхүүн БОЛОВСРУУЛАХ ЦЕХ /нарс/</v>
      </c>
      <c r="G375" s="811"/>
      <c r="H375" s="811">
        <v>69192.260074952515</v>
      </c>
      <c r="I375" s="580">
        <f t="shared" si="30"/>
        <v>0</v>
      </c>
      <c r="J375" s="961">
        <f t="shared" si="31"/>
        <v>0</v>
      </c>
      <c r="K375" s="80"/>
      <c r="L375" s="807">
        <v>3021</v>
      </c>
      <c r="M375" s="80" t="str">
        <f>+IFERROR(VLOOKUP(L375,DATA!$G$4:$H$2000,2,FALSE),"")</f>
        <v>БАНДИА ХХК</v>
      </c>
      <c r="N375" s="807"/>
      <c r="O375" s="80" t="str">
        <f>IFERROR(VLOOKUP(N375,DATA!$K$4:$L$51,2,FALSE),"")</f>
        <v/>
      </c>
      <c r="P375" s="80">
        <f t="shared" si="27"/>
        <v>0</v>
      </c>
      <c r="Q375" s="154">
        <f t="shared" si="28"/>
        <v>0</v>
      </c>
    </row>
    <row r="376" spans="2:17">
      <c r="B376" s="627">
        <f t="shared" si="29"/>
        <v>371</v>
      </c>
      <c r="C376" s="429">
        <v>43187</v>
      </c>
      <c r="D376" s="816" t="s">
        <v>2549</v>
      </c>
      <c r="E376" s="807">
        <v>610100</v>
      </c>
      <c r="F376" s="629" t="str">
        <f>IFERROR(VLOOKUP(E376,STAT1!$C$4:$D$1000,2,FALSE),"")</f>
        <v>Борлуулсан барааны өртөг</v>
      </c>
      <c r="G376" s="811">
        <v>69192.260074952515</v>
      </c>
      <c r="H376" s="811"/>
      <c r="I376" s="580">
        <f t="shared" si="30"/>
        <v>0</v>
      </c>
      <c r="J376" s="961">
        <f t="shared" si="31"/>
        <v>0</v>
      </c>
      <c r="K376" s="80"/>
      <c r="L376" s="807">
        <v>3021</v>
      </c>
      <c r="M376" s="80" t="str">
        <f>+IFERROR(VLOOKUP(L376,DATA!$G$4:$H$2000,2,FALSE),"")</f>
        <v>БАНДИА ХХК</v>
      </c>
      <c r="N376" s="807"/>
      <c r="O376" s="80" t="str">
        <f>IFERROR(VLOOKUP(N376,DATA!$K$4:$L$51,2,FALSE),"")</f>
        <v/>
      </c>
      <c r="P376" s="80">
        <f t="shared" ref="P376:P439" si="32">+IF(I376,1,0)</f>
        <v>0</v>
      </c>
      <c r="Q376" s="154">
        <f t="shared" ref="Q376:Q439" si="33">+IF(I376,1,0)</f>
        <v>0</v>
      </c>
    </row>
    <row r="377" spans="2:17">
      <c r="B377" s="627">
        <f t="shared" si="29"/>
        <v>372</v>
      </c>
      <c r="C377" s="429">
        <v>43187</v>
      </c>
      <c r="D377" s="816" t="s">
        <v>2549</v>
      </c>
      <c r="E377" s="807">
        <v>310500</v>
      </c>
      <c r="F377" s="629" t="str">
        <f>IFERROR(VLOOKUP(E377,STAT1!$C$4:$D$1000,2,FALSE),"")</f>
        <v>НӨАТ өглөг</v>
      </c>
      <c r="G377" s="811"/>
      <c r="H377" s="811">
        <v>13500</v>
      </c>
      <c r="I377" s="580">
        <f t="shared" si="30"/>
        <v>0</v>
      </c>
      <c r="J377" s="961">
        <f t="shared" si="31"/>
        <v>0</v>
      </c>
      <c r="K377" s="80"/>
      <c r="L377" s="807">
        <v>3021</v>
      </c>
      <c r="M377" s="80" t="str">
        <f>+IFERROR(VLOOKUP(L377,DATA!$G$4:$H$2000,2,FALSE),"")</f>
        <v>БАНДИА ХХК</v>
      </c>
      <c r="N377" s="807"/>
      <c r="O377" s="80" t="str">
        <f>IFERROR(VLOOKUP(N377,DATA!$K$4:$L$51,2,FALSE),"")</f>
        <v/>
      </c>
      <c r="P377" s="80">
        <f t="shared" si="32"/>
        <v>0</v>
      </c>
      <c r="Q377" s="154">
        <f t="shared" si="33"/>
        <v>0</v>
      </c>
    </row>
    <row r="378" spans="2:17">
      <c r="B378" s="627">
        <f t="shared" si="29"/>
        <v>373</v>
      </c>
      <c r="C378" s="429">
        <v>43187</v>
      </c>
      <c r="D378" s="816" t="s">
        <v>2549</v>
      </c>
      <c r="E378" s="807">
        <v>510000</v>
      </c>
      <c r="F378" s="629" t="str">
        <f>IFERROR(VLOOKUP(E378,STAT1!$C$4:$D$1000,2,FALSE),"")</f>
        <v>Үндсэн үйл ажиллагааны борлуулалт</v>
      </c>
      <c r="G378" s="811"/>
      <c r="H378" s="811">
        <v>135000</v>
      </c>
      <c r="I378" s="580">
        <f t="shared" si="30"/>
        <v>0</v>
      </c>
      <c r="J378" s="961">
        <f t="shared" si="31"/>
        <v>0</v>
      </c>
      <c r="K378" s="80"/>
      <c r="L378" s="807">
        <v>3021</v>
      </c>
      <c r="M378" s="80" t="str">
        <f>+IFERROR(VLOOKUP(L378,DATA!$G$4:$H$2000,2,FALSE),"")</f>
        <v>БАНДИА ХХК</v>
      </c>
      <c r="N378" s="807"/>
      <c r="O378" s="80" t="str">
        <f>IFERROR(VLOOKUP(N378,DATA!$K$4:$L$51,2,FALSE),"")</f>
        <v/>
      </c>
      <c r="P378" s="80">
        <f t="shared" si="32"/>
        <v>0</v>
      </c>
      <c r="Q378" s="154">
        <f t="shared" si="33"/>
        <v>0</v>
      </c>
    </row>
    <row r="379" spans="2:17">
      <c r="B379" s="627">
        <f t="shared" si="29"/>
        <v>374</v>
      </c>
      <c r="C379" s="429">
        <v>43187</v>
      </c>
      <c r="D379" s="816" t="s">
        <v>2549</v>
      </c>
      <c r="E379" s="807">
        <v>320100</v>
      </c>
      <c r="F379" s="629" t="str">
        <f>IFERROR(VLOOKUP(E379,STAT1!$C$4:$D$1000,2,FALSE),"")</f>
        <v>Урьдчилж орсон орлого MNT</v>
      </c>
      <c r="G379" s="811">
        <v>148500</v>
      </c>
      <c r="H379" s="811"/>
      <c r="I379" s="580">
        <f t="shared" si="30"/>
        <v>0</v>
      </c>
      <c r="J379" s="961">
        <f t="shared" si="31"/>
        <v>0</v>
      </c>
      <c r="K379" s="80"/>
      <c r="L379" s="807">
        <v>3021</v>
      </c>
      <c r="M379" s="80" t="str">
        <f>+IFERROR(VLOOKUP(L379,DATA!$G$4:$H$2000,2,FALSE),"")</f>
        <v>БАНДИА ХХК</v>
      </c>
      <c r="N379" s="807"/>
      <c r="O379" s="80" t="str">
        <f>IFERROR(VLOOKUP(N379,DATA!$K$4:$L$51,2,FALSE),"")</f>
        <v/>
      </c>
      <c r="P379" s="80">
        <f t="shared" si="32"/>
        <v>0</v>
      </c>
      <c r="Q379" s="154">
        <f t="shared" si="33"/>
        <v>0</v>
      </c>
    </row>
    <row r="380" spans="2:17">
      <c r="B380" s="627">
        <f t="shared" si="29"/>
        <v>375</v>
      </c>
      <c r="C380" s="429">
        <v>43187</v>
      </c>
      <c r="D380" s="816" t="s">
        <v>1571</v>
      </c>
      <c r="E380" s="807">
        <v>100100</v>
      </c>
      <c r="F380" s="629" t="str">
        <f>IFERROR(VLOOKUP(E380,STAT1!$C$4:$D$1000,2,FALSE),"")</f>
        <v>Касс мөнгө MNT</v>
      </c>
      <c r="G380" s="811">
        <v>787050</v>
      </c>
      <c r="H380" s="811"/>
      <c r="I380" s="580">
        <f t="shared" si="30"/>
        <v>787050</v>
      </c>
      <c r="J380" s="961">
        <f t="shared" si="31"/>
        <v>0</v>
      </c>
      <c r="K380" s="80"/>
      <c r="L380" s="807">
        <v>3021</v>
      </c>
      <c r="M380" s="80" t="str">
        <f>+IFERROR(VLOOKUP(L380,DATA!$G$4:$H$2000,2,FALSE),"")</f>
        <v>БАНДИА ХХК</v>
      </c>
      <c r="N380" s="807">
        <v>41</v>
      </c>
      <c r="O380" s="80" t="str">
        <f>IFERROR(VLOOKUP(N380,DATA!$K$4:$L$51,2,FALSE),"")</f>
        <v>Бараа борлуулсан, үйлчилгээ үзүүлсэний орлого</v>
      </c>
      <c r="P380" s="80">
        <f t="shared" si="32"/>
        <v>1</v>
      </c>
      <c r="Q380" s="154">
        <f t="shared" si="33"/>
        <v>1</v>
      </c>
    </row>
    <row r="381" spans="2:17">
      <c r="B381" s="627">
        <f t="shared" si="29"/>
        <v>376</v>
      </c>
      <c r="C381" s="429">
        <v>43187</v>
      </c>
      <c r="D381" s="816" t="s">
        <v>1571</v>
      </c>
      <c r="E381" s="807">
        <v>320100</v>
      </c>
      <c r="F381" s="629" t="str">
        <f>IFERROR(VLOOKUP(E381,STAT1!$C$4:$D$1000,2,FALSE),"")</f>
        <v>Урьдчилж орсон орлого MNT</v>
      </c>
      <c r="G381" s="811"/>
      <c r="H381" s="811">
        <v>787050</v>
      </c>
      <c r="I381" s="580">
        <f t="shared" si="30"/>
        <v>0</v>
      </c>
      <c r="J381" s="961">
        <f t="shared" si="31"/>
        <v>0</v>
      </c>
      <c r="K381" s="80"/>
      <c r="L381" s="807">
        <v>3021</v>
      </c>
      <c r="M381" s="80" t="str">
        <f>+IFERROR(VLOOKUP(L381,DATA!$G$4:$H$2000,2,FALSE),"")</f>
        <v>БАНДИА ХХК</v>
      </c>
      <c r="N381" s="807"/>
      <c r="O381" s="80" t="str">
        <f>IFERROR(VLOOKUP(N381,DATA!$K$4:$L$51,2,FALSE),"")</f>
        <v/>
      </c>
      <c r="P381" s="80">
        <f t="shared" si="32"/>
        <v>0</v>
      </c>
      <c r="Q381" s="154">
        <f t="shared" si="33"/>
        <v>0</v>
      </c>
    </row>
    <row r="382" spans="2:17">
      <c r="B382" s="627">
        <f t="shared" si="29"/>
        <v>377</v>
      </c>
      <c r="C382" s="582">
        <v>43188</v>
      </c>
      <c r="D382" s="815" t="s">
        <v>2533</v>
      </c>
      <c r="E382" s="630">
        <v>100100</v>
      </c>
      <c r="F382" s="629" t="str">
        <f>IFERROR(VLOOKUP(E382,STAT1!$C$4:$D$1000,2,FALSE),"")</f>
        <v>Касс мөнгө MNT</v>
      </c>
      <c r="G382" s="376"/>
      <c r="H382" s="376">
        <v>2774200</v>
      </c>
      <c r="I382" s="580">
        <f t="shared" si="30"/>
        <v>-2774200</v>
      </c>
      <c r="J382" s="961">
        <f t="shared" si="31"/>
        <v>0</v>
      </c>
      <c r="K382" s="428"/>
      <c r="L382" s="630">
        <v>1004</v>
      </c>
      <c r="M382" s="80" t="str">
        <f>+IFERROR(VLOOKUP(L382,DATA!$G$4:$H$2000,2,FALSE),"")</f>
        <v xml:space="preserve">Түмэндэлгэр </v>
      </c>
      <c r="N382" s="630">
        <v>53</v>
      </c>
      <c r="O382" s="80" t="str">
        <f>IFERROR(VLOOKUP(N382,DATA!$K$4:$L$51,2,FALSE),"")</f>
        <v>Бараа материал худалдан авахад төлсөн</v>
      </c>
      <c r="P382" s="80">
        <f t="shared" si="32"/>
        <v>1</v>
      </c>
      <c r="Q382" s="154">
        <f t="shared" si="33"/>
        <v>1</v>
      </c>
    </row>
    <row r="383" spans="2:17">
      <c r="B383" s="627">
        <f t="shared" si="29"/>
        <v>378</v>
      </c>
      <c r="C383" s="582">
        <v>43188</v>
      </c>
      <c r="D383" s="815" t="s">
        <v>2533</v>
      </c>
      <c r="E383" s="630">
        <v>120100</v>
      </c>
      <c r="F383" s="629" t="str">
        <f>IFERROR(VLOOKUP(E383,STAT1!$C$4:$D$1000,2,FALSE),"")</f>
        <v xml:space="preserve">Дансны авлага MNT </v>
      </c>
      <c r="G383" s="376">
        <v>2774200</v>
      </c>
      <c r="H383" s="376"/>
      <c r="I383" s="580">
        <f t="shared" si="30"/>
        <v>0</v>
      </c>
      <c r="J383" s="961">
        <f t="shared" si="31"/>
        <v>0</v>
      </c>
      <c r="K383" s="428"/>
      <c r="L383" s="630">
        <v>1004</v>
      </c>
      <c r="M383" s="80" t="str">
        <f>+IFERROR(VLOOKUP(L383,DATA!$G$4:$H$2000,2,FALSE),"")</f>
        <v xml:space="preserve">Түмэндэлгэр </v>
      </c>
      <c r="N383" s="630"/>
      <c r="O383" s="80" t="str">
        <f>IFERROR(VLOOKUP(N383,DATA!$K$4:$L$51,2,FALSE),"")</f>
        <v/>
      </c>
      <c r="P383" s="80">
        <f t="shared" si="32"/>
        <v>0</v>
      </c>
      <c r="Q383" s="154">
        <f t="shared" si="33"/>
        <v>0</v>
      </c>
    </row>
    <row r="384" spans="2:17">
      <c r="B384" s="627">
        <f t="shared" si="29"/>
        <v>379</v>
      </c>
      <c r="C384" s="429">
        <v>43188</v>
      </c>
      <c r="D384" s="816" t="s">
        <v>2549</v>
      </c>
      <c r="E384" s="807">
        <v>160200</v>
      </c>
      <c r="F384" s="629" t="str">
        <f>IFERROR(VLOOKUP(E384,STAT1!$C$4:$D$1000,2,FALSE),"")</f>
        <v>Агуулахад байгаа материал, хангамж</v>
      </c>
      <c r="G384" s="811">
        <v>1700000</v>
      </c>
      <c r="H384" s="811"/>
      <c r="I384" s="580">
        <f t="shared" si="30"/>
        <v>0</v>
      </c>
      <c r="J384" s="961">
        <f t="shared" si="31"/>
        <v>0</v>
      </c>
      <c r="K384" s="80"/>
      <c r="L384" s="807">
        <v>1004</v>
      </c>
      <c r="M384" s="80" t="str">
        <f>+IFERROR(VLOOKUP(L384,DATA!$G$4:$H$2000,2,FALSE),"")</f>
        <v xml:space="preserve">Түмэндэлгэр </v>
      </c>
      <c r="N384" s="807"/>
      <c r="O384" s="80" t="str">
        <f>IFERROR(VLOOKUP(N384,DATA!$K$4:$L$51,2,FALSE),"")</f>
        <v/>
      </c>
      <c r="P384" s="80">
        <f t="shared" si="32"/>
        <v>0</v>
      </c>
      <c r="Q384" s="154">
        <f t="shared" si="33"/>
        <v>0</v>
      </c>
    </row>
    <row r="385" spans="2:17">
      <c r="B385" s="627">
        <f t="shared" si="29"/>
        <v>380</v>
      </c>
      <c r="C385" s="429">
        <v>43188</v>
      </c>
      <c r="D385" s="816" t="s">
        <v>2549</v>
      </c>
      <c r="E385" s="807">
        <v>160200</v>
      </c>
      <c r="F385" s="629" t="str">
        <f>IFERROR(VLOOKUP(E385,STAT1!$C$4:$D$1000,2,FALSE),"")</f>
        <v>Агуулахад байгаа материал, хангамж</v>
      </c>
      <c r="G385" s="811">
        <v>822000</v>
      </c>
      <c r="H385" s="811"/>
      <c r="I385" s="580">
        <f t="shared" si="30"/>
        <v>0</v>
      </c>
      <c r="J385" s="961">
        <f t="shared" si="31"/>
        <v>0</v>
      </c>
      <c r="K385" s="80"/>
      <c r="L385" s="807">
        <v>1004</v>
      </c>
      <c r="M385" s="80" t="str">
        <f>+IFERROR(VLOOKUP(L385,DATA!$G$4:$H$2000,2,FALSE),"")</f>
        <v xml:space="preserve">Түмэндэлгэр </v>
      </c>
      <c r="N385" s="807"/>
      <c r="O385" s="80"/>
      <c r="P385" s="80">
        <f t="shared" si="32"/>
        <v>0</v>
      </c>
      <c r="Q385" s="154">
        <f t="shared" si="33"/>
        <v>0</v>
      </c>
    </row>
    <row r="386" spans="2:17">
      <c r="B386" s="627">
        <f t="shared" si="29"/>
        <v>381</v>
      </c>
      <c r="C386" s="429">
        <v>43188</v>
      </c>
      <c r="D386" s="816" t="s">
        <v>2549</v>
      </c>
      <c r="E386" s="807">
        <v>120600</v>
      </c>
      <c r="F386" s="629" t="str">
        <f>IFERROR(VLOOKUP(E386,STAT1!$C$4:$D$1000,2,FALSE),"")</f>
        <v>НӨАТ авлага</v>
      </c>
      <c r="G386" s="811">
        <v>252200</v>
      </c>
      <c r="H386" s="811"/>
      <c r="I386" s="580">
        <f t="shared" si="30"/>
        <v>0</v>
      </c>
      <c r="J386" s="961">
        <f t="shared" si="31"/>
        <v>0</v>
      </c>
      <c r="K386" s="80"/>
      <c r="L386" s="807">
        <v>1004</v>
      </c>
      <c r="M386" s="80" t="str">
        <f>+IFERROR(VLOOKUP(L386,DATA!$G$4:$H$2000,2,FALSE),"")</f>
        <v xml:space="preserve">Түмэндэлгэр </v>
      </c>
      <c r="N386" s="807"/>
      <c r="O386" s="80" t="str">
        <f>IFERROR(VLOOKUP(N386,DATA!$K$4:$L$51,2,FALSE),"")</f>
        <v/>
      </c>
      <c r="P386" s="80">
        <f t="shared" si="32"/>
        <v>0</v>
      </c>
      <c r="Q386" s="154">
        <f t="shared" si="33"/>
        <v>0</v>
      </c>
    </row>
    <row r="387" spans="2:17">
      <c r="B387" s="627">
        <f t="shared" si="29"/>
        <v>382</v>
      </c>
      <c r="C387" s="429">
        <v>43188</v>
      </c>
      <c r="D387" s="816" t="s">
        <v>2549</v>
      </c>
      <c r="E387" s="807">
        <v>120100</v>
      </c>
      <c r="F387" s="629" t="str">
        <f>IFERROR(VLOOKUP(E387,STAT1!$C$4:$D$1000,2,FALSE),"")</f>
        <v xml:space="preserve">Дансны авлага MNT </v>
      </c>
      <c r="G387" s="811"/>
      <c r="H387" s="811">
        <v>2774200</v>
      </c>
      <c r="I387" s="580">
        <f t="shared" si="30"/>
        <v>0</v>
      </c>
      <c r="J387" s="961">
        <f t="shared" si="31"/>
        <v>0</v>
      </c>
      <c r="K387" s="80"/>
      <c r="L387" s="807">
        <v>1004</v>
      </c>
      <c r="M387" s="80" t="str">
        <f>+IFERROR(VLOOKUP(L387,DATA!$G$4:$H$2000,2,FALSE),"")</f>
        <v xml:space="preserve">Түмэндэлгэр </v>
      </c>
      <c r="N387" s="807"/>
      <c r="O387" s="80" t="str">
        <f>IFERROR(VLOOKUP(N387,DATA!$K$4:$L$51,2,FALSE),"")</f>
        <v/>
      </c>
      <c r="P387" s="80">
        <f t="shared" si="32"/>
        <v>0</v>
      </c>
      <c r="Q387" s="154">
        <f t="shared" si="33"/>
        <v>0</v>
      </c>
    </row>
    <row r="388" spans="2:17">
      <c r="B388" s="627">
        <f t="shared" si="29"/>
        <v>383</v>
      </c>
      <c r="C388" s="429">
        <v>43189</v>
      </c>
      <c r="D388" s="816" t="s">
        <v>1572</v>
      </c>
      <c r="E388" s="807">
        <v>100100</v>
      </c>
      <c r="F388" s="629" t="str">
        <f>IFERROR(VLOOKUP(E388,STAT1!$C$4:$D$1000,2,FALSE),"")</f>
        <v>Касс мөнгө MNT</v>
      </c>
      <c r="G388" s="811"/>
      <c r="H388" s="811">
        <v>3885141</v>
      </c>
      <c r="I388" s="580">
        <f t="shared" si="30"/>
        <v>-3885141</v>
      </c>
      <c r="J388" s="961">
        <f t="shared" si="31"/>
        <v>0</v>
      </c>
      <c r="K388" s="80"/>
      <c r="L388" s="807">
        <v>1005</v>
      </c>
      <c r="M388" s="80" t="str">
        <f>+IFERROR(VLOOKUP(L388,DATA!$G$4:$H$2000,2,FALSE),"")</f>
        <v>Золжаргал</v>
      </c>
      <c r="N388" s="807">
        <v>54</v>
      </c>
      <c r="O388" s="80" t="str">
        <f>IFERROR(VLOOKUP(N388,DATA!$K$4:$L$51,2,FALSE),"")</f>
        <v>Ашиглалтын зардалд төлсөн</v>
      </c>
      <c r="P388" s="80">
        <f t="shared" si="32"/>
        <v>1</v>
      </c>
      <c r="Q388" s="154">
        <f t="shared" si="33"/>
        <v>1</v>
      </c>
    </row>
    <row r="389" spans="2:17">
      <c r="B389" s="627">
        <f t="shared" si="29"/>
        <v>384</v>
      </c>
      <c r="C389" s="582">
        <v>43189</v>
      </c>
      <c r="D389" s="816" t="s">
        <v>1572</v>
      </c>
      <c r="E389" s="630">
        <v>120600</v>
      </c>
      <c r="F389" s="629" t="str">
        <f>IFERROR(VLOOKUP(E389,STAT1!$C$4:$D$1000,2,FALSE),"")</f>
        <v>НӨАТ авлага</v>
      </c>
      <c r="G389" s="376">
        <v>353194.64</v>
      </c>
      <c r="H389" s="376"/>
      <c r="I389" s="580">
        <f t="shared" si="30"/>
        <v>0</v>
      </c>
      <c r="J389" s="961">
        <f t="shared" si="31"/>
        <v>0</v>
      </c>
      <c r="K389" s="428"/>
      <c r="L389" s="630">
        <v>1005</v>
      </c>
      <c r="M389" s="80" t="str">
        <f>+IFERROR(VLOOKUP(L389,DATA!$G$4:$H$2000,2,FALSE),"")</f>
        <v>Золжаргал</v>
      </c>
      <c r="N389" s="630"/>
      <c r="O389" s="80" t="str">
        <f>IFERROR(VLOOKUP(N389,DATA!$K$4:$L$51,2,FALSE),"")</f>
        <v/>
      </c>
      <c r="P389" s="80">
        <f t="shared" si="32"/>
        <v>0</v>
      </c>
      <c r="Q389" s="154">
        <f t="shared" si="33"/>
        <v>0</v>
      </c>
    </row>
    <row r="390" spans="2:17">
      <c r="B390" s="627">
        <f t="shared" ref="B390:B453" si="34">+IF(C390="","",ROW()-5)</f>
        <v>385</v>
      </c>
      <c r="C390" s="582">
        <v>43189</v>
      </c>
      <c r="D390" s="816" t="s">
        <v>1572</v>
      </c>
      <c r="E390" s="630">
        <v>700800</v>
      </c>
      <c r="F390" s="629" t="str">
        <f>IFERROR(VLOOKUP(E390,STAT1!$C$4:$D$1000,2,FALSE),"")</f>
        <v>Дулаан</v>
      </c>
      <c r="G390" s="376">
        <f>3885141-353194.64</f>
        <v>3531946.36</v>
      </c>
      <c r="H390" s="376"/>
      <c r="I390" s="580">
        <f t="shared" ref="I390:I453" si="35">+IF(OR(E390=100100,E390=100200,E390=110100,E390=110102,E390=110103,E390=110104,E390=110105,E390=110200,E390=110201,E390=110202,E390=110203,E390=110204,E390=110300),G390,0)+IF(OR(E390=100100,E390=100200,E390=110100,E390=110102,E390=110103,E390=110104,E390=110105,E390=110200,E390=110201,E390=110202,E390=110203,E390=110204,E390=110300),H390*-1,0)</f>
        <v>0</v>
      </c>
      <c r="J390" s="961">
        <f t="shared" ref="J390:J453" si="36">+IF(E390=110102,I390/K390,0)</f>
        <v>0</v>
      </c>
      <c r="K390" s="428"/>
      <c r="L390" s="630">
        <v>1005</v>
      </c>
      <c r="M390" s="80" t="str">
        <f>+IFERROR(VLOOKUP(L390,DATA!$G$4:$H$2000,2,FALSE),"")</f>
        <v>Золжаргал</v>
      </c>
      <c r="N390" s="630"/>
      <c r="O390" s="80" t="str">
        <f>IFERROR(VLOOKUP(N390,DATA!$K$4:$L$51,2,FALSE),"")</f>
        <v/>
      </c>
      <c r="P390" s="80">
        <f t="shared" si="32"/>
        <v>0</v>
      </c>
      <c r="Q390" s="154">
        <f t="shared" si="33"/>
        <v>0</v>
      </c>
    </row>
    <row r="391" spans="2:17">
      <c r="B391" s="627">
        <f t="shared" si="34"/>
        <v>386</v>
      </c>
      <c r="C391" s="429">
        <v>43189</v>
      </c>
      <c r="D391" s="816" t="s">
        <v>2534</v>
      </c>
      <c r="E391" s="807">
        <v>100100</v>
      </c>
      <c r="F391" s="629" t="str">
        <f>IFERROR(VLOOKUP(E391,STAT1!$C$4:$D$1000,2,FALSE),"")</f>
        <v>Касс мөнгө MNT</v>
      </c>
      <c r="G391" s="811"/>
      <c r="H391" s="811">
        <v>1500000</v>
      </c>
      <c r="I391" s="580">
        <f t="shared" si="35"/>
        <v>-1500000</v>
      </c>
      <c r="J391" s="961">
        <f t="shared" si="36"/>
        <v>0</v>
      </c>
      <c r="K391" s="80"/>
      <c r="L391" s="807">
        <v>2012</v>
      </c>
      <c r="M391" s="80" t="str">
        <f>+IFERROR(VLOOKUP(L391,DATA!$G$4:$H$2000,2,FALSE),"")</f>
        <v>ИХ ТУГЧ ХХК</v>
      </c>
      <c r="N391" s="807">
        <v>59</v>
      </c>
      <c r="O391" s="80" t="str">
        <f>IFERROR(VLOOKUP(N391,DATA!$K$4:$L$51,2,FALSE),"")</f>
        <v>Бусад мөнгөн зарлага</v>
      </c>
      <c r="P391" s="80">
        <f t="shared" si="32"/>
        <v>1</v>
      </c>
      <c r="Q391" s="154">
        <f t="shared" si="33"/>
        <v>1</v>
      </c>
    </row>
    <row r="392" spans="2:17">
      <c r="B392" s="627">
        <f t="shared" si="34"/>
        <v>387</v>
      </c>
      <c r="C392" s="429">
        <v>43189</v>
      </c>
      <c r="D392" s="816" t="s">
        <v>2534</v>
      </c>
      <c r="E392" s="807">
        <v>705800</v>
      </c>
      <c r="F392" s="629" t="str">
        <f>IFERROR(VLOOKUP(E392,STAT1!$C$4:$D$1000,2,FALSE),"")</f>
        <v>Харуул хамгаалалт</v>
      </c>
      <c r="G392" s="811">
        <v>1500000</v>
      </c>
      <c r="H392" s="811"/>
      <c r="I392" s="580">
        <f t="shared" si="35"/>
        <v>0</v>
      </c>
      <c r="J392" s="961">
        <f t="shared" si="36"/>
        <v>0</v>
      </c>
      <c r="K392" s="80"/>
      <c r="L392" s="807">
        <v>2012</v>
      </c>
      <c r="M392" s="80" t="str">
        <f>+IFERROR(VLOOKUP(L392,DATA!$G$4:$H$2000,2,FALSE),"")</f>
        <v>ИХ ТУГЧ ХХК</v>
      </c>
      <c r="N392" s="807"/>
      <c r="O392" s="80" t="str">
        <f>IFERROR(VLOOKUP(N392,DATA!$K$4:$L$51,2,FALSE),"")</f>
        <v/>
      </c>
      <c r="P392" s="80">
        <f t="shared" si="32"/>
        <v>0</v>
      </c>
      <c r="Q392" s="154">
        <f t="shared" si="33"/>
        <v>0</v>
      </c>
    </row>
    <row r="393" spans="2:17">
      <c r="B393" s="627">
        <f t="shared" si="34"/>
        <v>388</v>
      </c>
      <c r="C393" s="429">
        <v>43190</v>
      </c>
      <c r="D393" s="816" t="s">
        <v>2396</v>
      </c>
      <c r="E393" s="807">
        <v>201200</v>
      </c>
      <c r="F393" s="629" t="str">
        <f>IFERROR(VLOOKUP(E393,STAT1!$C$4:$D$1000,2,FALSE),"")</f>
        <v>Хур. элэгдэл - Барилга байгууламж</v>
      </c>
      <c r="G393" s="811"/>
      <c r="H393" s="811">
        <v>6661875</v>
      </c>
      <c r="I393" s="580">
        <f t="shared" si="35"/>
        <v>0</v>
      </c>
      <c r="J393" s="961">
        <f t="shared" si="36"/>
        <v>0</v>
      </c>
      <c r="K393" s="80"/>
      <c r="L393" s="807">
        <v>1004</v>
      </c>
      <c r="M393" s="80" t="str">
        <f>+IFERROR(VLOOKUP(L393,DATA!$G$4:$H$2000,2,FALSE),"")</f>
        <v xml:space="preserve">Түмэндэлгэр </v>
      </c>
      <c r="N393" s="807"/>
      <c r="O393" s="80" t="str">
        <f>IFERROR(VLOOKUP(N393,DATA!$K$4:$L$51,2,FALSE),"")</f>
        <v/>
      </c>
      <c r="P393" s="80">
        <f t="shared" si="32"/>
        <v>0</v>
      </c>
      <c r="Q393" s="154">
        <f t="shared" si="33"/>
        <v>0</v>
      </c>
    </row>
    <row r="394" spans="2:17">
      <c r="B394" s="627">
        <f t="shared" si="34"/>
        <v>389</v>
      </c>
      <c r="C394" s="429">
        <v>43190</v>
      </c>
      <c r="D394" s="816" t="s">
        <v>2398</v>
      </c>
      <c r="E394" s="807">
        <v>201300</v>
      </c>
      <c r="F394" s="629" t="str">
        <f>IFERROR(VLOOKUP(E394,STAT1!$C$4:$D$1000,2,FALSE),"")</f>
        <v>Хур. элэгдэл - Тавилга эд хогшил</v>
      </c>
      <c r="G394" s="811"/>
      <c r="H394" s="811">
        <v>73072.72</v>
      </c>
      <c r="I394" s="580">
        <f t="shared" si="35"/>
        <v>0</v>
      </c>
      <c r="J394" s="961">
        <f t="shared" si="36"/>
        <v>0</v>
      </c>
      <c r="K394" s="80"/>
      <c r="L394" s="807">
        <v>1004</v>
      </c>
      <c r="M394" s="80" t="str">
        <f>+IFERROR(VLOOKUP(L394,DATA!$G$4:$H$2000,2,FALSE),"")</f>
        <v xml:space="preserve">Түмэндэлгэр </v>
      </c>
      <c r="N394" s="807"/>
      <c r="O394" s="80" t="str">
        <f>IFERROR(VLOOKUP(N394,DATA!$K$4:$L$51,2,FALSE),"")</f>
        <v/>
      </c>
      <c r="P394" s="80">
        <f t="shared" si="32"/>
        <v>0</v>
      </c>
      <c r="Q394" s="154">
        <f t="shared" si="33"/>
        <v>0</v>
      </c>
    </row>
    <row r="395" spans="2:17">
      <c r="B395" s="627">
        <f t="shared" si="34"/>
        <v>390</v>
      </c>
      <c r="C395" s="429">
        <v>43190</v>
      </c>
      <c r="D395" s="816" t="s">
        <v>2397</v>
      </c>
      <c r="E395" s="807">
        <v>201400</v>
      </c>
      <c r="F395" s="629" t="str">
        <f>IFERROR(VLOOKUP(E395,STAT1!$C$4:$D$1000,2,FALSE),"")</f>
        <v>Хур. элэгдэл - Машин тоног төхөөрөмж</v>
      </c>
      <c r="G395" s="811"/>
      <c r="H395" s="811">
        <v>16354252.65</v>
      </c>
      <c r="I395" s="580">
        <f t="shared" si="35"/>
        <v>0</v>
      </c>
      <c r="J395" s="961">
        <f t="shared" si="36"/>
        <v>0</v>
      </c>
      <c r="K395" s="80"/>
      <c r="L395" s="807">
        <v>1004</v>
      </c>
      <c r="M395" s="80" t="str">
        <f>+IFERROR(VLOOKUP(L395,DATA!$G$4:$H$2000,2,FALSE),"")</f>
        <v xml:space="preserve">Түмэндэлгэр </v>
      </c>
      <c r="N395" s="807"/>
      <c r="O395" s="80" t="str">
        <f>IFERROR(VLOOKUP(N395,DATA!$K$4:$L$51,2,FALSE),"")</f>
        <v/>
      </c>
      <c r="P395" s="80">
        <f t="shared" si="32"/>
        <v>0</v>
      </c>
      <c r="Q395" s="154">
        <f t="shared" si="33"/>
        <v>0</v>
      </c>
    </row>
    <row r="396" spans="2:17">
      <c r="B396" s="627">
        <f t="shared" si="34"/>
        <v>391</v>
      </c>
      <c r="C396" s="429">
        <v>43190</v>
      </c>
      <c r="D396" s="816" t="s">
        <v>2399</v>
      </c>
      <c r="E396" s="807">
        <v>201500</v>
      </c>
      <c r="F396" s="629" t="str">
        <f>IFERROR(VLOOKUP(E396,STAT1!$C$4:$D$1000,2,FALSE),"")</f>
        <v>Хур. элэгдэл - Тээврийн хэрэгсэл</v>
      </c>
      <c r="G396" s="811"/>
      <c r="H396" s="811">
        <v>4245000</v>
      </c>
      <c r="I396" s="580">
        <f t="shared" si="35"/>
        <v>0</v>
      </c>
      <c r="J396" s="961">
        <f t="shared" si="36"/>
        <v>0</v>
      </c>
      <c r="K396" s="80"/>
      <c r="L396" s="807">
        <v>1004</v>
      </c>
      <c r="M396" s="80" t="str">
        <f>+IFERROR(VLOOKUP(L396,DATA!$G$4:$H$2000,2,FALSE),"")</f>
        <v xml:space="preserve">Түмэндэлгэр </v>
      </c>
      <c r="N396" s="807"/>
      <c r="O396" s="80" t="str">
        <f>IFERROR(VLOOKUP(N396,DATA!$K$4:$L$51,2,FALSE),"")</f>
        <v/>
      </c>
      <c r="P396" s="80">
        <f t="shared" si="32"/>
        <v>0</v>
      </c>
      <c r="Q396" s="154">
        <f t="shared" si="33"/>
        <v>0</v>
      </c>
    </row>
    <row r="397" spans="2:17">
      <c r="B397" s="627">
        <f t="shared" si="34"/>
        <v>392</v>
      </c>
      <c r="C397" s="429">
        <v>43190</v>
      </c>
      <c r="D397" s="816" t="s">
        <v>2400</v>
      </c>
      <c r="E397" s="807">
        <v>701600</v>
      </c>
      <c r="F397" s="629" t="str">
        <f>IFERROR(VLOOKUP(E397,STAT1!$C$4:$D$1000,2,FALSE),"")</f>
        <v>Элэгдэл, хорогдлын зардал</v>
      </c>
      <c r="G397" s="811">
        <v>27334200.370000001</v>
      </c>
      <c r="H397" s="811"/>
      <c r="I397" s="580">
        <f t="shared" si="35"/>
        <v>0</v>
      </c>
      <c r="J397" s="961">
        <f t="shared" si="36"/>
        <v>0</v>
      </c>
      <c r="K397" s="80"/>
      <c r="L397" s="807">
        <v>1004</v>
      </c>
      <c r="M397" s="80" t="str">
        <f>+IFERROR(VLOOKUP(L397,DATA!$G$4:$H$2000,2,FALSE),"")</f>
        <v xml:space="preserve">Түмэндэлгэр </v>
      </c>
      <c r="N397" s="807"/>
      <c r="O397" s="80" t="str">
        <f>IFERROR(VLOOKUP(N397,DATA!$K$4:$L$51,2,FALSE),"")</f>
        <v/>
      </c>
      <c r="P397" s="80">
        <f t="shared" si="32"/>
        <v>0</v>
      </c>
      <c r="Q397" s="154">
        <f t="shared" si="33"/>
        <v>0</v>
      </c>
    </row>
    <row r="398" spans="2:17">
      <c r="B398" s="627">
        <f t="shared" si="34"/>
        <v>393</v>
      </c>
      <c r="C398" s="429">
        <v>43190</v>
      </c>
      <c r="D398" s="816" t="s">
        <v>2514</v>
      </c>
      <c r="E398" s="807">
        <v>110100</v>
      </c>
      <c r="F398" s="629" t="str">
        <f>IFERROR(VLOOKUP(E398,STAT1!$C$4:$D$1000,2,FALSE),"")</f>
        <v>Хаан Банк 5024654020</v>
      </c>
      <c r="G398" s="811"/>
      <c r="H398" s="811">
        <v>2200</v>
      </c>
      <c r="I398" s="580">
        <f t="shared" si="35"/>
        <v>-2200</v>
      </c>
      <c r="J398" s="961">
        <f t="shared" si="36"/>
        <v>0</v>
      </c>
      <c r="K398" s="80"/>
      <c r="L398" s="807">
        <v>2009</v>
      </c>
      <c r="M398" s="80" t="str">
        <f>+IFERROR(VLOOKUP(L398,DATA!$G$4:$H$2000,2,FALSE),"")</f>
        <v>ХААН БАНК</v>
      </c>
      <c r="N398" s="807">
        <v>59</v>
      </c>
      <c r="O398" s="80" t="str">
        <f>IFERROR(VLOOKUP(N398,DATA!$K$4:$L$51,2,FALSE),"")</f>
        <v>Бусад мөнгөн зарлага</v>
      </c>
      <c r="P398" s="80">
        <f t="shared" si="32"/>
        <v>1</v>
      </c>
      <c r="Q398" s="154">
        <f t="shared" si="33"/>
        <v>1</v>
      </c>
    </row>
    <row r="399" spans="2:17">
      <c r="B399" s="627">
        <f t="shared" si="34"/>
        <v>394</v>
      </c>
      <c r="C399" s="429">
        <v>43190</v>
      </c>
      <c r="D399" s="816" t="s">
        <v>2514</v>
      </c>
      <c r="E399" s="807">
        <v>704900</v>
      </c>
      <c r="F399" s="629" t="str">
        <f>IFERROR(VLOOKUP(E399,STAT1!$C$4:$D$1000,2,FALSE),"")</f>
        <v>Банкны үйлчилгээ</v>
      </c>
      <c r="G399" s="811">
        <v>2200</v>
      </c>
      <c r="H399" s="811"/>
      <c r="I399" s="580">
        <f t="shared" si="35"/>
        <v>0</v>
      </c>
      <c r="J399" s="961">
        <f t="shared" si="36"/>
        <v>0</v>
      </c>
      <c r="K399" s="80"/>
      <c r="L399" s="807">
        <v>2009</v>
      </c>
      <c r="M399" s="80" t="str">
        <f>+IFERROR(VLOOKUP(L399,DATA!$G$4:$H$2000,2,FALSE),"")</f>
        <v>ХААН БАНК</v>
      </c>
      <c r="N399" s="807"/>
      <c r="O399" s="80" t="str">
        <f>IFERROR(VLOOKUP(N399,DATA!$K$4:$L$51,2,FALSE),"")</f>
        <v/>
      </c>
      <c r="P399" s="80">
        <f t="shared" si="32"/>
        <v>0</v>
      </c>
      <c r="Q399" s="154">
        <f t="shared" si="33"/>
        <v>0</v>
      </c>
    </row>
    <row r="400" spans="2:17">
      <c r="B400" s="627">
        <f t="shared" si="34"/>
        <v>395</v>
      </c>
      <c r="C400" s="429">
        <v>43190</v>
      </c>
      <c r="D400" s="850" t="s">
        <v>1513</v>
      </c>
      <c r="E400" s="807">
        <v>700200</v>
      </c>
      <c r="F400" s="629" t="str">
        <f>IFERROR(VLOOKUP(E400,STAT1!$C$4:$D$1000,2,FALSE),"")</f>
        <v>НДШимтгэл</v>
      </c>
      <c r="G400" s="811">
        <v>1683579.2400000002</v>
      </c>
      <c r="H400" s="811"/>
      <c r="I400" s="580">
        <f t="shared" si="35"/>
        <v>0</v>
      </c>
      <c r="J400" s="961">
        <f t="shared" si="36"/>
        <v>0</v>
      </c>
      <c r="K400" s="80"/>
      <c r="L400" s="807">
        <v>1005</v>
      </c>
      <c r="M400" s="80" t="str">
        <f>+IFERROR(VLOOKUP(L400,DATA!$G$4:$H$2000,2,FALSE),"")</f>
        <v>Золжаргал</v>
      </c>
      <c r="N400" s="807"/>
      <c r="O400" s="80" t="str">
        <f>IFERROR(VLOOKUP(N400,DATA!$K$4:$L$51,2,FALSE),"")</f>
        <v/>
      </c>
      <c r="P400" s="80">
        <f t="shared" si="32"/>
        <v>0</v>
      </c>
      <c r="Q400" s="154">
        <f t="shared" si="33"/>
        <v>0</v>
      </c>
    </row>
    <row r="401" spans="2:17">
      <c r="B401" s="627">
        <f t="shared" si="34"/>
        <v>396</v>
      </c>
      <c r="C401" s="429">
        <v>43190</v>
      </c>
      <c r="D401" s="850" t="s">
        <v>1513</v>
      </c>
      <c r="E401" s="807">
        <v>310800</v>
      </c>
      <c r="F401" s="629" t="str">
        <f>IFERROR(VLOOKUP(E401,STAT1!$C$4:$D$1000,2,FALSE),"")</f>
        <v>НД-ын байгууллагад өгөх өглөг</v>
      </c>
      <c r="G401" s="811"/>
      <c r="H401" s="811">
        <v>1683579.2400000002</v>
      </c>
      <c r="I401" s="580">
        <f t="shared" si="35"/>
        <v>0</v>
      </c>
      <c r="J401" s="961">
        <f t="shared" si="36"/>
        <v>0</v>
      </c>
      <c r="K401" s="80"/>
      <c r="L401" s="807">
        <v>1005</v>
      </c>
      <c r="M401" s="80" t="str">
        <f>+IFERROR(VLOOKUP(L401,DATA!$G$4:$H$2000,2,FALSE),"")</f>
        <v>Золжаргал</v>
      </c>
      <c r="N401" s="807"/>
      <c r="O401" s="80" t="str">
        <f>IFERROR(VLOOKUP(N401,DATA!$K$4:$L$51,2,FALSE),"")</f>
        <v/>
      </c>
      <c r="P401" s="80">
        <f t="shared" si="32"/>
        <v>0</v>
      </c>
      <c r="Q401" s="154">
        <f t="shared" si="33"/>
        <v>0</v>
      </c>
    </row>
    <row r="402" spans="2:17">
      <c r="B402" s="627">
        <f t="shared" si="34"/>
        <v>397</v>
      </c>
      <c r="C402" s="429">
        <v>43190</v>
      </c>
      <c r="D402" s="850" t="s">
        <v>1514</v>
      </c>
      <c r="E402" s="807">
        <v>310800</v>
      </c>
      <c r="F402" s="629" t="str">
        <f>IFERROR(VLOOKUP(E402,STAT1!$C$4:$D$1000,2,FALSE),"")</f>
        <v>НД-ын байгууллагад өгөх өглөг</v>
      </c>
      <c r="G402" s="811"/>
      <c r="H402" s="811">
        <v>1378536.28</v>
      </c>
      <c r="I402" s="580">
        <f t="shared" si="35"/>
        <v>0</v>
      </c>
      <c r="J402" s="961">
        <f t="shared" si="36"/>
        <v>0</v>
      </c>
      <c r="K402" s="80"/>
      <c r="L402" s="807">
        <v>1005</v>
      </c>
      <c r="M402" s="80" t="str">
        <f>+IFERROR(VLOOKUP(L402,DATA!$G$4:$H$2000,2,FALSE),"")</f>
        <v>Золжаргал</v>
      </c>
      <c r="N402" s="807"/>
      <c r="O402" s="80" t="str">
        <f>IFERROR(VLOOKUP(N402,DATA!$K$4:$L$51,2,FALSE),"")</f>
        <v/>
      </c>
      <c r="P402" s="80">
        <f t="shared" si="32"/>
        <v>0</v>
      </c>
      <c r="Q402" s="154">
        <f t="shared" si="33"/>
        <v>0</v>
      </c>
    </row>
    <row r="403" spans="2:17">
      <c r="B403" s="627">
        <f t="shared" si="34"/>
        <v>398</v>
      </c>
      <c r="C403" s="429">
        <v>43190</v>
      </c>
      <c r="D403" s="850" t="s">
        <v>1515</v>
      </c>
      <c r="E403" s="807">
        <v>310700</v>
      </c>
      <c r="F403" s="629" t="str">
        <f>IFERROR(VLOOKUP(E403,STAT1!$C$4:$D$1000,2,FALSE),"")</f>
        <v>ХАОАТ өглөг</v>
      </c>
      <c r="G403" s="811"/>
      <c r="H403" s="811">
        <v>856694.50533333339</v>
      </c>
      <c r="I403" s="580">
        <f t="shared" si="35"/>
        <v>0</v>
      </c>
      <c r="J403" s="961">
        <f t="shared" si="36"/>
        <v>0</v>
      </c>
      <c r="K403" s="80"/>
      <c r="L403" s="807">
        <v>1005</v>
      </c>
      <c r="M403" s="80" t="str">
        <f>+IFERROR(VLOOKUP(L403,DATA!$G$4:$H$2000,2,FALSE),"")</f>
        <v>Золжаргал</v>
      </c>
      <c r="N403" s="807"/>
      <c r="O403" s="80" t="str">
        <f>IFERROR(VLOOKUP(N403,DATA!$K$4:$L$51,2,FALSE),"")</f>
        <v/>
      </c>
      <c r="P403" s="80">
        <f t="shared" si="32"/>
        <v>0</v>
      </c>
      <c r="Q403" s="154">
        <f t="shared" si="33"/>
        <v>0</v>
      </c>
    </row>
    <row r="404" spans="2:17">
      <c r="B404" s="627">
        <f t="shared" si="34"/>
        <v>399</v>
      </c>
      <c r="C404" s="429">
        <v>43190</v>
      </c>
      <c r="D404" s="850" t="s">
        <v>1516</v>
      </c>
      <c r="E404" s="807">
        <v>311000</v>
      </c>
      <c r="F404" s="629" t="str">
        <f>IFERROR(VLOOKUP(E404,STAT1!$C$4:$D$1000,2,FALSE),"")</f>
        <v>Цалингийн өглөг</v>
      </c>
      <c r="G404" s="811"/>
      <c r="H404" s="811">
        <v>10376917.210000001</v>
      </c>
      <c r="I404" s="580">
        <f t="shared" si="35"/>
        <v>0</v>
      </c>
      <c r="J404" s="961">
        <f t="shared" si="36"/>
        <v>0</v>
      </c>
      <c r="K404" s="80"/>
      <c r="L404" s="807">
        <v>1005</v>
      </c>
      <c r="M404" s="80" t="str">
        <f>+IFERROR(VLOOKUP(L404,DATA!$G$4:$H$2000,2,FALSE),"")</f>
        <v>Золжаргал</v>
      </c>
      <c r="N404" s="807"/>
      <c r="O404" s="80" t="str">
        <f>IFERROR(VLOOKUP(N404,DATA!$K$4:$L$51,2,FALSE),"")</f>
        <v/>
      </c>
      <c r="P404" s="80">
        <f t="shared" si="32"/>
        <v>0</v>
      </c>
      <c r="Q404" s="154">
        <f t="shared" si="33"/>
        <v>0</v>
      </c>
    </row>
    <row r="405" spans="2:17">
      <c r="B405" s="627">
        <f t="shared" si="34"/>
        <v>400</v>
      </c>
      <c r="C405" s="429">
        <v>43190</v>
      </c>
      <c r="D405" s="850" t="s">
        <v>2391</v>
      </c>
      <c r="E405" s="807">
        <v>700100</v>
      </c>
      <c r="F405" s="629" t="str">
        <f>IFERROR(VLOOKUP(E405,STAT1!$C$4:$D$1000,2,FALSE),"")</f>
        <v>Цалин хөлс, шагнал</v>
      </c>
      <c r="G405" s="811">
        <v>12612148</v>
      </c>
      <c r="H405" s="811"/>
      <c r="I405" s="580">
        <f t="shared" si="35"/>
        <v>0</v>
      </c>
      <c r="J405" s="961">
        <f t="shared" si="36"/>
        <v>0</v>
      </c>
      <c r="K405" s="80"/>
      <c r="L405" s="807">
        <v>1005</v>
      </c>
      <c r="M405" s="80" t="str">
        <f>+IFERROR(VLOOKUP(L405,DATA!$G$4:$H$2000,2,FALSE),"")</f>
        <v>Золжаргал</v>
      </c>
      <c r="N405" s="807"/>
      <c r="O405" s="80" t="str">
        <f>IFERROR(VLOOKUP(N405,DATA!$K$4:$L$51,2,FALSE),"")</f>
        <v/>
      </c>
      <c r="P405" s="80">
        <f t="shared" si="32"/>
        <v>0</v>
      </c>
      <c r="Q405" s="154">
        <f t="shared" si="33"/>
        <v>0</v>
      </c>
    </row>
    <row r="406" spans="2:17">
      <c r="B406" s="627">
        <f t="shared" si="34"/>
        <v>401</v>
      </c>
      <c r="C406" s="429">
        <v>43190</v>
      </c>
      <c r="D406" s="816" t="s">
        <v>2526</v>
      </c>
      <c r="E406" s="807">
        <v>100100</v>
      </c>
      <c r="F406" s="629" t="str">
        <f>IFERROR(VLOOKUP(E406,STAT1!$C$4:$D$1000,2,FALSE),"")</f>
        <v>Касс мөнгө MNT</v>
      </c>
      <c r="G406" s="811"/>
      <c r="H406" s="811">
        <v>10376917.214666666</v>
      </c>
      <c r="I406" s="580">
        <f t="shared" si="35"/>
        <v>-10376917.214666666</v>
      </c>
      <c r="J406" s="961">
        <f t="shared" si="36"/>
        <v>0</v>
      </c>
      <c r="K406" s="80"/>
      <c r="L406" s="807">
        <v>1005</v>
      </c>
      <c r="M406" s="80" t="str">
        <f>+IFERROR(VLOOKUP(L406,DATA!$G$4:$H$2000,2,FALSE),"")</f>
        <v>Золжаргал</v>
      </c>
      <c r="N406" s="807">
        <v>51</v>
      </c>
      <c r="O406" s="80" t="str">
        <f>IFERROR(VLOOKUP(N406,DATA!$K$4:$L$51,2,FALSE),"")</f>
        <v>Ажиллагчдад төлсөн</v>
      </c>
      <c r="P406" s="80">
        <f t="shared" si="32"/>
        <v>1</v>
      </c>
      <c r="Q406" s="154">
        <f t="shared" si="33"/>
        <v>1</v>
      </c>
    </row>
    <row r="407" spans="2:17">
      <c r="B407" s="627">
        <f t="shared" si="34"/>
        <v>402</v>
      </c>
      <c r="C407" s="429">
        <v>43190</v>
      </c>
      <c r="D407" s="816" t="s">
        <v>2526</v>
      </c>
      <c r="E407" s="807">
        <v>311000</v>
      </c>
      <c r="F407" s="629" t="str">
        <f>IFERROR(VLOOKUP(E407,STAT1!$C$4:$D$1000,2,FALSE),"")</f>
        <v>Цалингийн өглөг</v>
      </c>
      <c r="G407" s="811">
        <v>10376917.210000001</v>
      </c>
      <c r="H407" s="811"/>
      <c r="I407" s="580">
        <f t="shared" si="35"/>
        <v>0</v>
      </c>
      <c r="J407" s="961">
        <f t="shared" si="36"/>
        <v>0</v>
      </c>
      <c r="K407" s="80"/>
      <c r="L407" s="807">
        <v>1005</v>
      </c>
      <c r="M407" s="80" t="str">
        <f>+IFERROR(VLOOKUP(L407,DATA!$G$4:$H$2000,2,FALSE),"")</f>
        <v>Золжаргал</v>
      </c>
      <c r="N407" s="807"/>
      <c r="O407" s="80"/>
      <c r="P407" s="80">
        <f t="shared" si="32"/>
        <v>0</v>
      </c>
      <c r="Q407" s="154">
        <f t="shared" si="33"/>
        <v>0</v>
      </c>
    </row>
    <row r="408" spans="2:17">
      <c r="B408" s="627">
        <f t="shared" si="34"/>
        <v>403</v>
      </c>
      <c r="C408" s="429">
        <v>43190</v>
      </c>
      <c r="D408" s="816" t="s">
        <v>2407</v>
      </c>
      <c r="E408" s="807">
        <v>310100</v>
      </c>
      <c r="F408" s="629" t="str">
        <f>IFERROR(VLOOKUP(E408,STAT1!$C$4:$D$1000,2,FALSE),"")</f>
        <v>Дансны өглөг MNT</v>
      </c>
      <c r="G408" s="811"/>
      <c r="H408" s="811">
        <v>6473042.9000000004</v>
      </c>
      <c r="I408" s="580">
        <f t="shared" si="35"/>
        <v>0</v>
      </c>
      <c r="J408" s="961">
        <f t="shared" si="36"/>
        <v>0</v>
      </c>
      <c r="K408" s="80"/>
      <c r="L408" s="807">
        <v>2004</v>
      </c>
      <c r="M408" s="80" t="str">
        <f>+IFERROR(VLOOKUP(L408,DATA!$G$4:$H$2000,2,FALSE),"")</f>
        <v xml:space="preserve">ДЦС-3 ТӨХК </v>
      </c>
      <c r="N408" s="807"/>
      <c r="O408" s="80" t="str">
        <f>IFERROR(VLOOKUP(N408,DATA!$K$4:$L$51,2,FALSE),"")</f>
        <v/>
      </c>
      <c r="P408" s="80">
        <f t="shared" si="32"/>
        <v>0</v>
      </c>
      <c r="Q408" s="154">
        <f t="shared" si="33"/>
        <v>0</v>
      </c>
    </row>
    <row r="409" spans="2:17">
      <c r="B409" s="627">
        <f t="shared" si="34"/>
        <v>404</v>
      </c>
      <c r="C409" s="429">
        <v>43190</v>
      </c>
      <c r="D409" s="816" t="s">
        <v>2407</v>
      </c>
      <c r="E409" s="807">
        <v>120100</v>
      </c>
      <c r="F409" s="629" t="str">
        <f>IFERROR(VLOOKUP(E409,STAT1!$C$4:$D$1000,2,FALSE),"")</f>
        <v xml:space="preserve">Дансны авлага MNT </v>
      </c>
      <c r="G409" s="811">
        <v>588458.44999999995</v>
      </c>
      <c r="H409" s="811"/>
      <c r="I409" s="580">
        <f t="shared" si="35"/>
        <v>0</v>
      </c>
      <c r="J409" s="961">
        <f t="shared" si="36"/>
        <v>0</v>
      </c>
      <c r="K409" s="80"/>
      <c r="L409" s="807">
        <v>2004</v>
      </c>
      <c r="M409" s="80" t="str">
        <f>+IFERROR(VLOOKUP(L409,DATA!$G$4:$H$2000,2,FALSE),"")</f>
        <v xml:space="preserve">ДЦС-3 ТӨХК </v>
      </c>
      <c r="N409" s="807"/>
      <c r="O409" s="80" t="str">
        <f>IFERROR(VLOOKUP(N409,DATA!$K$4:$L$51,2,FALSE),"")</f>
        <v/>
      </c>
      <c r="P409" s="80">
        <f t="shared" si="32"/>
        <v>0</v>
      </c>
      <c r="Q409" s="154">
        <f t="shared" si="33"/>
        <v>0</v>
      </c>
    </row>
    <row r="410" spans="2:17">
      <c r="B410" s="627">
        <f t="shared" si="34"/>
        <v>405</v>
      </c>
      <c r="C410" s="429">
        <v>43190</v>
      </c>
      <c r="D410" s="816" t="s">
        <v>2407</v>
      </c>
      <c r="E410" s="807">
        <v>700900</v>
      </c>
      <c r="F410" s="629" t="str">
        <f>IFERROR(VLOOKUP(E410,STAT1!$C$4:$D$1000,2,FALSE),"")</f>
        <v>Уур, ус</v>
      </c>
      <c r="G410" s="811">
        <f>6473042.9-588458.45</f>
        <v>5884584.4500000002</v>
      </c>
      <c r="H410" s="811"/>
      <c r="I410" s="580">
        <f t="shared" si="35"/>
        <v>0</v>
      </c>
      <c r="J410" s="961">
        <f t="shared" si="36"/>
        <v>0</v>
      </c>
      <c r="K410" s="80"/>
      <c r="L410" s="807">
        <v>2004</v>
      </c>
      <c r="M410" s="80" t="str">
        <f>+IFERROR(VLOOKUP(L410,DATA!$G$4:$H$2000,2,FALSE),"")</f>
        <v xml:space="preserve">ДЦС-3 ТӨХК </v>
      </c>
      <c r="N410" s="807"/>
      <c r="O410" s="80" t="str">
        <f>IFERROR(VLOOKUP(N410,DATA!$K$4:$L$51,2,FALSE),"")</f>
        <v/>
      </c>
      <c r="P410" s="80">
        <f t="shared" si="32"/>
        <v>0</v>
      </c>
      <c r="Q410" s="154">
        <f t="shared" si="33"/>
        <v>0</v>
      </c>
    </row>
    <row r="411" spans="2:17">
      <c r="B411" s="627">
        <f t="shared" si="34"/>
        <v>406</v>
      </c>
      <c r="C411" s="429">
        <v>43190</v>
      </c>
      <c r="D411" s="816" t="s">
        <v>2532</v>
      </c>
      <c r="E411" s="807">
        <v>140200</v>
      </c>
      <c r="F411" s="629" t="str">
        <f>IFERROR(VLOOKUP(E411,STAT1!$C$4:$D$1000,2,FALSE),"")</f>
        <v>ШМЗардал ХАТААХ ЦЕХ /нарс/</v>
      </c>
      <c r="G411" s="811"/>
      <c r="H411" s="811">
        <v>34492829.579999998</v>
      </c>
      <c r="I411" s="580">
        <f t="shared" si="35"/>
        <v>0</v>
      </c>
      <c r="J411" s="961">
        <f t="shared" si="36"/>
        <v>0</v>
      </c>
      <c r="K411" s="80"/>
      <c r="L411" s="807">
        <v>1004</v>
      </c>
      <c r="M411" s="80" t="str">
        <f>+IFERROR(VLOOKUP(L411,DATA!$G$4:$H$2000,2,FALSE),"")</f>
        <v xml:space="preserve">Түмэндэлгэр </v>
      </c>
      <c r="N411" s="807"/>
      <c r="O411" s="80" t="str">
        <f>IFERROR(VLOOKUP(N411,DATA!$K$4:$L$51,2,FALSE),"")</f>
        <v/>
      </c>
      <c r="P411" s="80">
        <f t="shared" si="32"/>
        <v>0</v>
      </c>
      <c r="Q411" s="154">
        <f t="shared" si="33"/>
        <v>0</v>
      </c>
    </row>
    <row r="412" spans="2:17">
      <c r="B412" s="627">
        <f t="shared" si="34"/>
        <v>407</v>
      </c>
      <c r="C412" s="429">
        <v>43190</v>
      </c>
      <c r="D412" s="816" t="s">
        <v>2532</v>
      </c>
      <c r="E412" s="807">
        <v>140400</v>
      </c>
      <c r="F412" s="629" t="str">
        <f>IFERROR(VLOOKUP(E412,STAT1!$C$4:$D$1000,2,FALSE),"")</f>
        <v>ҮНЗардал ХАТААХ ЦЕХ /нарс/</v>
      </c>
      <c r="G412" s="811"/>
      <c r="H412" s="811">
        <v>6114584.4500000002</v>
      </c>
      <c r="I412" s="580">
        <f t="shared" si="35"/>
        <v>0</v>
      </c>
      <c r="J412" s="961">
        <f t="shared" si="36"/>
        <v>0</v>
      </c>
      <c r="K412" s="80"/>
      <c r="L412" s="807">
        <v>1004</v>
      </c>
      <c r="M412" s="80" t="str">
        <f>+IFERROR(VLOOKUP(L412,DATA!$G$4:$H$2000,2,FALSE),"")</f>
        <v xml:space="preserve">Түмэндэлгэр </v>
      </c>
      <c r="N412" s="807"/>
      <c r="O412" s="80" t="str">
        <f>IFERROR(VLOOKUP(N412,DATA!$K$4:$L$51,2,FALSE),"")</f>
        <v/>
      </c>
      <c r="P412" s="80">
        <f t="shared" si="32"/>
        <v>0</v>
      </c>
      <c r="Q412" s="154">
        <f t="shared" si="33"/>
        <v>0</v>
      </c>
    </row>
    <row r="413" spans="2:17">
      <c r="B413" s="627">
        <f t="shared" si="34"/>
        <v>408</v>
      </c>
      <c r="C413" s="429">
        <v>43190</v>
      </c>
      <c r="D413" s="816" t="s">
        <v>2532</v>
      </c>
      <c r="E413" s="807">
        <v>140500</v>
      </c>
      <c r="F413" s="629" t="str">
        <f>IFERROR(VLOOKUP(E413,STAT1!$C$4:$D$1000,2,FALSE),"")</f>
        <v>Нэгтгэл зардал ХАТААХ ЦЕХ /нарс/</v>
      </c>
      <c r="G413" s="811">
        <v>40607414.030000001</v>
      </c>
      <c r="H413" s="811"/>
      <c r="I413" s="580">
        <f t="shared" si="35"/>
        <v>0</v>
      </c>
      <c r="J413" s="961">
        <f t="shared" si="36"/>
        <v>0</v>
      </c>
      <c r="K413" s="80"/>
      <c r="L413" s="807">
        <v>1004</v>
      </c>
      <c r="M413" s="80" t="str">
        <f>+IFERROR(VLOOKUP(L413,DATA!$G$4:$H$2000,2,FALSE),"")</f>
        <v xml:space="preserve">Түмэндэлгэр </v>
      </c>
      <c r="N413" s="807"/>
      <c r="O413" s="80" t="str">
        <f>IFERROR(VLOOKUP(N413,DATA!$K$4:$L$51,2,FALSE),"")</f>
        <v/>
      </c>
      <c r="P413" s="80">
        <f t="shared" si="32"/>
        <v>0</v>
      </c>
      <c r="Q413" s="154">
        <f t="shared" si="33"/>
        <v>0</v>
      </c>
    </row>
    <row r="414" spans="2:17">
      <c r="B414" s="627">
        <f t="shared" si="34"/>
        <v>409</v>
      </c>
      <c r="C414" s="429">
        <v>43190</v>
      </c>
      <c r="D414" s="816" t="s">
        <v>2540</v>
      </c>
      <c r="E414" s="807">
        <v>100100</v>
      </c>
      <c r="F414" s="629" t="str">
        <f>IFERROR(VLOOKUP(E414,STAT1!$C$4:$D$1000,2,FALSE),"")</f>
        <v>Касс мөнгө MNT</v>
      </c>
      <c r="G414" s="811"/>
      <c r="H414" s="811">
        <v>10000000</v>
      </c>
      <c r="I414" s="580">
        <f t="shared" si="35"/>
        <v>-10000000</v>
      </c>
      <c r="J414" s="961">
        <f t="shared" si="36"/>
        <v>0</v>
      </c>
      <c r="K414" s="80"/>
      <c r="L414" s="807">
        <v>3120</v>
      </c>
      <c r="M414" s="80" t="str">
        <f>+IFERROR(VLOOKUP(L414,DATA!$G$4:$H$2000,2,FALSE),"")</f>
        <v>АКВАПЛАСТ МОНГОЛ ХХК</v>
      </c>
      <c r="N414" s="807">
        <v>53</v>
      </c>
      <c r="O414" s="80" t="str">
        <f>IFERROR(VLOOKUP(N414,DATA!$K$4:$L$51,2,FALSE),"")</f>
        <v>Бараа материал худалдан авахад төлсөн</v>
      </c>
      <c r="P414" s="80">
        <f t="shared" si="32"/>
        <v>1</v>
      </c>
      <c r="Q414" s="154">
        <f t="shared" si="33"/>
        <v>1</v>
      </c>
    </row>
    <row r="415" spans="2:17">
      <c r="B415" s="627">
        <f t="shared" si="34"/>
        <v>410</v>
      </c>
      <c r="C415" s="429">
        <v>43190</v>
      </c>
      <c r="D415" s="816" t="s">
        <v>2540</v>
      </c>
      <c r="E415" s="807">
        <v>120600</v>
      </c>
      <c r="F415" s="629" t="str">
        <f>IFERROR(VLOOKUP(E415,STAT1!$C$4:$D$1000,2,FALSE),"")</f>
        <v>НӨАТ авлага</v>
      </c>
      <c r="G415" s="811">
        <v>909090.91</v>
      </c>
      <c r="H415" s="811"/>
      <c r="I415" s="580">
        <f t="shared" si="35"/>
        <v>0</v>
      </c>
      <c r="J415" s="961">
        <f t="shared" si="36"/>
        <v>0</v>
      </c>
      <c r="K415" s="80"/>
      <c r="L415" s="807">
        <v>3120</v>
      </c>
      <c r="M415" s="80" t="str">
        <f>+IFERROR(VLOOKUP(L415,DATA!$G$4:$H$2000,2,FALSE),"")</f>
        <v>АКВАПЛАСТ МОНГОЛ ХХК</v>
      </c>
      <c r="N415" s="807"/>
      <c r="O415" s="80" t="str">
        <f>IFERROR(VLOOKUP(N415,DATA!$K$4:$L$51,2,FALSE),"")</f>
        <v/>
      </c>
      <c r="P415" s="80">
        <f t="shared" si="32"/>
        <v>0</v>
      </c>
      <c r="Q415" s="154">
        <f t="shared" si="33"/>
        <v>0</v>
      </c>
    </row>
    <row r="416" spans="2:17" ht="11.25" customHeight="1">
      <c r="B416" s="627">
        <f t="shared" si="34"/>
        <v>411</v>
      </c>
      <c r="C416" s="429">
        <v>43190</v>
      </c>
      <c r="D416" s="816" t="s">
        <v>2540</v>
      </c>
      <c r="E416" s="807">
        <v>180200</v>
      </c>
      <c r="F416" s="629" t="str">
        <f>IFERROR(VLOOKUP(E416,STAT1!$C$4:$D$1000,2,FALSE),"")</f>
        <v xml:space="preserve">Урьдчилж төлсөн зардал MNT </v>
      </c>
      <c r="G416" s="811">
        <v>9090909.0899999999</v>
      </c>
      <c r="H416" s="811"/>
      <c r="I416" s="580">
        <f t="shared" si="35"/>
        <v>0</v>
      </c>
      <c r="J416" s="961">
        <f t="shared" si="36"/>
        <v>0</v>
      </c>
      <c r="K416" s="80"/>
      <c r="L416" s="807">
        <v>3120</v>
      </c>
      <c r="M416" s="80" t="str">
        <f>+IFERROR(VLOOKUP(L416,DATA!$G$4:$H$2000,2,FALSE),"")</f>
        <v>АКВАПЛАСТ МОНГОЛ ХХК</v>
      </c>
      <c r="N416" s="807"/>
      <c r="O416" s="80" t="str">
        <f>IFERROR(VLOOKUP(N416,DATA!$K$4:$L$51,2,FALSE),"")</f>
        <v/>
      </c>
      <c r="P416" s="80">
        <f t="shared" si="32"/>
        <v>0</v>
      </c>
      <c r="Q416" s="154">
        <f t="shared" si="33"/>
        <v>0</v>
      </c>
    </row>
    <row r="417" spans="2:17" ht="11.25" customHeight="1">
      <c r="B417" s="627">
        <f t="shared" si="34"/>
        <v>412</v>
      </c>
      <c r="C417" s="429">
        <v>43190</v>
      </c>
      <c r="D417" s="816" t="s">
        <v>2544</v>
      </c>
      <c r="E417" s="807">
        <v>700100</v>
      </c>
      <c r="F417" s="629" t="str">
        <f>IFERROR(VLOOKUP(E417,STAT1!$C$4:$D$1000,2,FALSE),"")</f>
        <v>Цалин хөлс, шагнал</v>
      </c>
      <c r="G417" s="811"/>
      <c r="H417" s="811">
        <v>20694496</v>
      </c>
      <c r="I417" s="580">
        <f t="shared" si="35"/>
        <v>0</v>
      </c>
      <c r="J417" s="961">
        <f t="shared" si="36"/>
        <v>0</v>
      </c>
      <c r="K417" s="80"/>
      <c r="L417" s="807">
        <v>1004</v>
      </c>
      <c r="M417" s="80" t="str">
        <f>+IFERROR(VLOOKUP(L417,DATA!$G$4:$H$2000,2,FALSE),"")</f>
        <v xml:space="preserve">Түмэндэлгэр </v>
      </c>
      <c r="N417" s="807"/>
      <c r="O417" s="80" t="str">
        <f>IFERROR(VLOOKUP(N417,DATA!$K$4:$L$51,2,FALSE),"")</f>
        <v/>
      </c>
      <c r="P417" s="80">
        <f t="shared" si="32"/>
        <v>0</v>
      </c>
      <c r="Q417" s="154">
        <f t="shared" si="33"/>
        <v>0</v>
      </c>
    </row>
    <row r="418" spans="2:17">
      <c r="B418" s="627">
        <f t="shared" si="34"/>
        <v>413</v>
      </c>
      <c r="C418" s="429">
        <v>43190</v>
      </c>
      <c r="D418" s="816" t="s">
        <v>2544</v>
      </c>
      <c r="E418" s="807">
        <v>700200</v>
      </c>
      <c r="F418" s="629" t="str">
        <f>IFERROR(VLOOKUP(E418,STAT1!$C$4:$D$1000,2,FALSE),"")</f>
        <v>НДШимтгэл</v>
      </c>
      <c r="G418" s="811"/>
      <c r="H418" s="811">
        <v>2188595</v>
      </c>
      <c r="I418" s="580">
        <f t="shared" si="35"/>
        <v>0</v>
      </c>
      <c r="J418" s="961">
        <f t="shared" si="36"/>
        <v>0</v>
      </c>
      <c r="K418" s="80"/>
      <c r="L418" s="807">
        <v>1004</v>
      </c>
      <c r="M418" s="80" t="str">
        <f>+IFERROR(VLOOKUP(L418,DATA!$G$4:$H$2000,2,FALSE),"")</f>
        <v xml:space="preserve">Түмэндэлгэр </v>
      </c>
      <c r="N418" s="807"/>
      <c r="O418" s="80" t="str">
        <f>IFERROR(VLOOKUP(N418,DATA!$K$4:$L$51,2,FALSE),"")</f>
        <v/>
      </c>
      <c r="P418" s="80">
        <f t="shared" si="32"/>
        <v>0</v>
      </c>
      <c r="Q418" s="154">
        <f t="shared" si="33"/>
        <v>0</v>
      </c>
    </row>
    <row r="419" spans="2:17">
      <c r="B419" s="627">
        <f t="shared" si="34"/>
        <v>414</v>
      </c>
      <c r="C419" s="429">
        <v>43190</v>
      </c>
      <c r="D419" s="816" t="s">
        <v>2544</v>
      </c>
      <c r="E419" s="807">
        <v>140301</v>
      </c>
      <c r="F419" s="629" t="str">
        <f>IFERROR(VLOOKUP(E419,STAT1!$C$4:$D$1000,2,FALSE),"")</f>
        <v>ШХЗрдал БОЛОВСРУУЛАХ ЦЕХ /нарс/</v>
      </c>
      <c r="G419" s="811">
        <v>22883091</v>
      </c>
      <c r="H419" s="811"/>
      <c r="I419" s="580">
        <f t="shared" si="35"/>
        <v>0</v>
      </c>
      <c r="J419" s="961">
        <f t="shared" si="36"/>
        <v>0</v>
      </c>
      <c r="K419" s="80"/>
      <c r="L419" s="807">
        <v>1004</v>
      </c>
      <c r="M419" s="80" t="str">
        <f>+IFERROR(VLOOKUP(L419,DATA!$G$4:$H$2000,2,FALSE),"")</f>
        <v xml:space="preserve">Түмэндэлгэр </v>
      </c>
      <c r="N419" s="807"/>
      <c r="O419" s="80" t="str">
        <f>IFERROR(VLOOKUP(N419,DATA!$K$4:$L$51,2,FALSE),"")</f>
        <v/>
      </c>
      <c r="P419" s="80">
        <f t="shared" si="32"/>
        <v>0</v>
      </c>
      <c r="Q419" s="154">
        <f t="shared" si="33"/>
        <v>0</v>
      </c>
    </row>
    <row r="420" spans="2:17">
      <c r="B420" s="627">
        <f t="shared" si="34"/>
        <v>415</v>
      </c>
      <c r="C420" s="429">
        <v>43190</v>
      </c>
      <c r="D420" s="816" t="s">
        <v>2545</v>
      </c>
      <c r="E420" s="807">
        <v>700700</v>
      </c>
      <c r="F420" s="629" t="str">
        <f>IFERROR(VLOOKUP(E420,STAT1!$C$4:$D$1000,2,FALSE),"")</f>
        <v>Цахилгаан эрчим хүч</v>
      </c>
      <c r="G420" s="811"/>
      <c r="H420" s="811">
        <v>5389335.3200000003</v>
      </c>
      <c r="I420" s="580">
        <f t="shared" si="35"/>
        <v>0</v>
      </c>
      <c r="J420" s="961">
        <f t="shared" si="36"/>
        <v>0</v>
      </c>
      <c r="K420" s="80"/>
      <c r="L420" s="807">
        <v>1004</v>
      </c>
      <c r="M420" s="80" t="str">
        <f>+IFERROR(VLOOKUP(L420,DATA!$G$4:$H$2000,2,FALSE),"")</f>
        <v xml:space="preserve">Түмэндэлгэр </v>
      </c>
      <c r="N420" s="807"/>
      <c r="O420" s="80" t="str">
        <f>IFERROR(VLOOKUP(N420,DATA!$K$4:$L$51,2,FALSE),"")</f>
        <v/>
      </c>
      <c r="P420" s="80">
        <f t="shared" si="32"/>
        <v>0</v>
      </c>
      <c r="Q420" s="154">
        <f t="shared" si="33"/>
        <v>0</v>
      </c>
    </row>
    <row r="421" spans="2:17">
      <c r="B421" s="627">
        <f t="shared" si="34"/>
        <v>416</v>
      </c>
      <c r="C421" s="429">
        <v>43190</v>
      </c>
      <c r="D421" s="816" t="s">
        <v>2545</v>
      </c>
      <c r="E421" s="807">
        <v>700800</v>
      </c>
      <c r="F421" s="629" t="str">
        <f>IFERROR(VLOOKUP(E421,STAT1!$C$4:$D$1000,2,FALSE),"")</f>
        <v>Дулаан</v>
      </c>
      <c r="G421" s="811"/>
      <c r="H421" s="811">
        <v>11317952.869999999</v>
      </c>
      <c r="I421" s="580">
        <f t="shared" si="35"/>
        <v>0</v>
      </c>
      <c r="J421" s="961">
        <f t="shared" si="36"/>
        <v>0</v>
      </c>
      <c r="K421" s="80"/>
      <c r="L421" s="807">
        <v>1004</v>
      </c>
      <c r="M421" s="80" t="str">
        <f>+IFERROR(VLOOKUP(L421,DATA!$G$4:$H$2000,2,FALSE),"")</f>
        <v xml:space="preserve">Түмэндэлгэр </v>
      </c>
      <c r="N421" s="807"/>
      <c r="O421" s="80" t="str">
        <f>IFERROR(VLOOKUP(N421,DATA!$K$4:$L$51,2,FALSE),"")</f>
        <v/>
      </c>
      <c r="P421" s="80">
        <f t="shared" si="32"/>
        <v>0</v>
      </c>
      <c r="Q421" s="154">
        <f t="shared" si="33"/>
        <v>0</v>
      </c>
    </row>
    <row r="422" spans="2:17">
      <c r="B422" s="627">
        <f t="shared" si="34"/>
        <v>417</v>
      </c>
      <c r="C422" s="429">
        <v>43190</v>
      </c>
      <c r="D422" s="816" t="s">
        <v>2545</v>
      </c>
      <c r="E422" s="807">
        <v>701600</v>
      </c>
      <c r="F422" s="629" t="str">
        <f>IFERROR(VLOOKUP(E422,STAT1!$C$4:$D$1000,2,FALSE),"")</f>
        <v>Элэгдэл, хорогдлын зардал</v>
      </c>
      <c r="G422" s="811"/>
      <c r="H422" s="811">
        <v>20351377.649999999</v>
      </c>
      <c r="I422" s="580">
        <f t="shared" si="35"/>
        <v>0</v>
      </c>
      <c r="J422" s="961">
        <f t="shared" si="36"/>
        <v>0</v>
      </c>
      <c r="K422" s="80"/>
      <c r="L422" s="807">
        <v>1004</v>
      </c>
      <c r="M422" s="80" t="str">
        <f>+IFERROR(VLOOKUP(L422,DATA!$G$4:$H$2000,2,FALSE),"")</f>
        <v xml:space="preserve">Түмэндэлгэр </v>
      </c>
      <c r="N422" s="807"/>
      <c r="O422" s="80" t="str">
        <f>IFERROR(VLOOKUP(N422,DATA!$K$4:$L$51,2,FALSE),"")</f>
        <v/>
      </c>
      <c r="P422" s="80">
        <f t="shared" si="32"/>
        <v>0</v>
      </c>
      <c r="Q422" s="154">
        <f t="shared" si="33"/>
        <v>0</v>
      </c>
    </row>
    <row r="423" spans="2:17">
      <c r="B423" s="627">
        <f t="shared" si="34"/>
        <v>418</v>
      </c>
      <c r="C423" s="429">
        <v>43190</v>
      </c>
      <c r="D423" s="816" t="s">
        <v>2545</v>
      </c>
      <c r="E423" s="630">
        <v>140401</v>
      </c>
      <c r="F423" s="629" t="str">
        <f>IFERROR(VLOOKUP(E423,STAT1!$C$4:$D$1000,2,FALSE),"")</f>
        <v>ҮНЗардал БОЛОВСРУУЛАХ ЦЕХ /нарс/</v>
      </c>
      <c r="G423" s="376">
        <v>37058665.839999996</v>
      </c>
      <c r="H423" s="376"/>
      <c r="I423" s="580">
        <f t="shared" si="35"/>
        <v>0</v>
      </c>
      <c r="J423" s="961">
        <f t="shared" si="36"/>
        <v>0</v>
      </c>
      <c r="K423" s="428"/>
      <c r="L423" s="807">
        <v>1004</v>
      </c>
      <c r="M423" s="80" t="str">
        <f>+IFERROR(VLOOKUP(L423,DATA!$G$4:$H$2000,2,FALSE),"")</f>
        <v xml:space="preserve">Түмэндэлгэр </v>
      </c>
      <c r="N423" s="630"/>
      <c r="O423" s="80" t="str">
        <f>IFERROR(VLOOKUP(N423,DATA!$K$4:$L$51,2,FALSE),"")</f>
        <v/>
      </c>
      <c r="P423" s="80">
        <f t="shared" si="32"/>
        <v>0</v>
      </c>
      <c r="Q423" s="154">
        <f t="shared" si="33"/>
        <v>0</v>
      </c>
    </row>
    <row r="424" spans="2:17">
      <c r="B424" s="627">
        <f t="shared" si="34"/>
        <v>419</v>
      </c>
      <c r="C424" s="582">
        <v>43190</v>
      </c>
      <c r="D424" s="815" t="s">
        <v>2547</v>
      </c>
      <c r="E424" s="630">
        <v>140301</v>
      </c>
      <c r="F424" s="629" t="str">
        <f>IFERROR(VLOOKUP(E424,STAT1!$C$4:$D$1000,2,FALSE),"")</f>
        <v>ШХЗрдал БОЛОВСРУУЛАХ ЦЕХ /нарс/</v>
      </c>
      <c r="G424" s="376"/>
      <c r="H424" s="376">
        <v>22883091</v>
      </c>
      <c r="I424" s="580">
        <f t="shared" si="35"/>
        <v>0</v>
      </c>
      <c r="J424" s="961">
        <f t="shared" si="36"/>
        <v>0</v>
      </c>
      <c r="K424" s="428"/>
      <c r="L424" s="807">
        <v>1004</v>
      </c>
      <c r="M424" s="80" t="str">
        <f>+IFERROR(VLOOKUP(L424,DATA!$G$4:$H$2000,2,FALSE),"")</f>
        <v xml:space="preserve">Түмэндэлгэр </v>
      </c>
      <c r="N424" s="630"/>
      <c r="O424" s="80" t="str">
        <f>IFERROR(VLOOKUP(N424,DATA!$K$4:$L$51,2,FALSE),"")</f>
        <v/>
      </c>
      <c r="P424" s="80">
        <f t="shared" si="32"/>
        <v>0</v>
      </c>
      <c r="Q424" s="154">
        <f t="shared" si="33"/>
        <v>0</v>
      </c>
    </row>
    <row r="425" spans="2:17">
      <c r="B425" s="627">
        <f t="shared" si="34"/>
        <v>420</v>
      </c>
      <c r="C425" s="582">
        <v>43190</v>
      </c>
      <c r="D425" s="815" t="s">
        <v>2547</v>
      </c>
      <c r="E425" s="630">
        <v>140401</v>
      </c>
      <c r="F425" s="629" t="str">
        <f>IFERROR(VLOOKUP(E425,STAT1!$C$4:$D$1000,2,FALSE),"")</f>
        <v>ҮНЗардал БОЛОВСРУУЛАХ ЦЕХ /нарс/</v>
      </c>
      <c r="G425" s="376"/>
      <c r="H425" s="376">
        <v>37058665.839999996</v>
      </c>
      <c r="I425" s="580">
        <f t="shared" si="35"/>
        <v>0</v>
      </c>
      <c r="J425" s="961">
        <f t="shared" si="36"/>
        <v>0</v>
      </c>
      <c r="K425" s="428"/>
      <c r="L425" s="807">
        <v>1004</v>
      </c>
      <c r="M425" s="80" t="str">
        <f>+IFERROR(VLOOKUP(L425,DATA!$G$4:$H$2000,2,FALSE),"")</f>
        <v xml:space="preserve">Түмэндэлгэр </v>
      </c>
      <c r="N425" s="630"/>
      <c r="O425" s="80" t="str">
        <f>IFERROR(VLOOKUP(N425,DATA!$K$4:$L$51,2,FALSE),"")</f>
        <v/>
      </c>
      <c r="P425" s="80">
        <f t="shared" si="32"/>
        <v>0</v>
      </c>
      <c r="Q425" s="154">
        <f t="shared" si="33"/>
        <v>0</v>
      </c>
    </row>
    <row r="426" spans="2:17">
      <c r="B426" s="627">
        <f t="shared" si="34"/>
        <v>421</v>
      </c>
      <c r="C426" s="582">
        <v>43190</v>
      </c>
      <c r="D426" s="815" t="s">
        <v>2547</v>
      </c>
      <c r="E426" s="630">
        <v>140201</v>
      </c>
      <c r="F426" s="629" t="str">
        <f>IFERROR(VLOOKUP(E426,STAT1!$C$4:$D$1000,2,FALSE),"")</f>
        <v>ШМЗардал БОЛОВСРУУЛАХ ЦЕХ /нарс/</v>
      </c>
      <c r="G426" s="376"/>
      <c r="H426" s="376">
        <v>82600293.549999997</v>
      </c>
      <c r="I426" s="580">
        <f t="shared" si="35"/>
        <v>0</v>
      </c>
      <c r="J426" s="961">
        <f t="shared" si="36"/>
        <v>0</v>
      </c>
      <c r="K426" s="428"/>
      <c r="L426" s="807">
        <v>1004</v>
      </c>
      <c r="M426" s="80" t="str">
        <f>+IFERROR(VLOOKUP(L426,DATA!$G$4:$H$2000,2,FALSE),"")</f>
        <v xml:space="preserve">Түмэндэлгэр </v>
      </c>
      <c r="N426" s="630"/>
      <c r="O426" s="80" t="str">
        <f>IFERROR(VLOOKUP(N426,DATA!$K$4:$L$51,2,FALSE),"")</f>
        <v/>
      </c>
      <c r="P426" s="80">
        <f t="shared" si="32"/>
        <v>0</v>
      </c>
      <c r="Q426" s="154">
        <f t="shared" si="33"/>
        <v>0</v>
      </c>
    </row>
    <row r="427" spans="2:17">
      <c r="B427" s="627">
        <f t="shared" si="34"/>
        <v>422</v>
      </c>
      <c r="C427" s="582">
        <v>43190</v>
      </c>
      <c r="D427" s="815" t="s">
        <v>2547</v>
      </c>
      <c r="E427" s="807">
        <v>140501</v>
      </c>
      <c r="F427" s="629" t="str">
        <f>IFERROR(VLOOKUP(E427,STAT1!$C$4:$D$1000,2,FALSE),"")</f>
        <v>Нэгтгэл зардал БОЛОВСРУУЛАХ ЦЕХ /нарс/</v>
      </c>
      <c r="G427" s="811">
        <v>142542050.38999999</v>
      </c>
      <c r="H427" s="811"/>
      <c r="I427" s="580">
        <f t="shared" si="35"/>
        <v>0</v>
      </c>
      <c r="J427" s="961">
        <f t="shared" si="36"/>
        <v>0</v>
      </c>
      <c r="K427" s="80"/>
      <c r="L427" s="807">
        <v>1004</v>
      </c>
      <c r="M427" s="80" t="str">
        <f>+IFERROR(VLOOKUP(L427,DATA!$G$4:$H$2000,2,FALSE),"")</f>
        <v xml:space="preserve">Түмэндэлгэр </v>
      </c>
      <c r="N427" s="807"/>
      <c r="O427" s="80" t="str">
        <f>IFERROR(VLOOKUP(N427,DATA!$K$4:$L$51,2,FALSE),"")</f>
        <v/>
      </c>
      <c r="P427" s="80">
        <f t="shared" si="32"/>
        <v>0</v>
      </c>
      <c r="Q427" s="154">
        <f t="shared" si="33"/>
        <v>0</v>
      </c>
    </row>
    <row r="428" spans="2:17">
      <c r="B428" s="627">
        <f t="shared" si="34"/>
        <v>423</v>
      </c>
      <c r="C428" s="429">
        <v>43191</v>
      </c>
      <c r="D428" s="816" t="s">
        <v>2567</v>
      </c>
      <c r="E428" s="807">
        <v>100100</v>
      </c>
      <c r="F428" s="629" t="str">
        <f>IFERROR(VLOOKUP(E428,STAT1!$C$4:$D$1000,2,FALSE),"")</f>
        <v>Касс мөнгө MNT</v>
      </c>
      <c r="G428" s="811"/>
      <c r="H428" s="811">
        <v>341000</v>
      </c>
      <c r="I428" s="580">
        <f t="shared" si="35"/>
        <v>-341000</v>
      </c>
      <c r="J428" s="961">
        <f t="shared" si="36"/>
        <v>0</v>
      </c>
      <c r="K428" s="80"/>
      <c r="L428" s="807">
        <v>1008</v>
      </c>
      <c r="M428" s="80" t="str">
        <f>+IFERROR(VLOOKUP(L428,DATA!$G$4:$H$2000,2,FALSE),"")</f>
        <v xml:space="preserve">Оюунтүлхүүр </v>
      </c>
      <c r="N428" s="807">
        <v>53</v>
      </c>
      <c r="O428" s="80" t="str">
        <f>IFERROR(VLOOKUP(N428,DATA!$K$4:$L$51,2,FALSE),"")</f>
        <v>Бараа материал худалдан авахад төлсөн</v>
      </c>
      <c r="P428" s="80">
        <f t="shared" si="32"/>
        <v>1</v>
      </c>
      <c r="Q428" s="154">
        <f t="shared" si="33"/>
        <v>1</v>
      </c>
    </row>
    <row r="429" spans="2:17">
      <c r="B429" s="627">
        <f t="shared" si="34"/>
        <v>424</v>
      </c>
      <c r="C429" s="429">
        <v>43191</v>
      </c>
      <c r="D429" s="816" t="s">
        <v>2567</v>
      </c>
      <c r="E429" s="807">
        <v>121200</v>
      </c>
      <c r="F429" s="629" t="str">
        <f>IFERROR(VLOOKUP(E429,STAT1!$C$4:$D$1000,2,FALSE),"")</f>
        <v xml:space="preserve">Ажилчидын дараа тайлангийн тооцоо </v>
      </c>
      <c r="G429" s="811">
        <v>341000</v>
      </c>
      <c r="H429" s="811"/>
      <c r="I429" s="580">
        <f t="shared" si="35"/>
        <v>0</v>
      </c>
      <c r="J429" s="961">
        <f t="shared" si="36"/>
        <v>0</v>
      </c>
      <c r="K429" s="80"/>
      <c r="L429" s="807">
        <v>1008</v>
      </c>
      <c r="M429" s="80" t="str">
        <f>+IFERROR(VLOOKUP(L429,DATA!$G$4:$H$2000,2,FALSE),"")</f>
        <v xml:space="preserve">Оюунтүлхүүр </v>
      </c>
      <c r="N429" s="807"/>
      <c r="O429" s="80" t="str">
        <f>IFERROR(VLOOKUP(N429,DATA!$K$4:$L$51,2,FALSE),"")</f>
        <v/>
      </c>
      <c r="P429" s="80">
        <f t="shared" si="32"/>
        <v>0</v>
      </c>
      <c r="Q429" s="154">
        <f t="shared" si="33"/>
        <v>0</v>
      </c>
    </row>
    <row r="430" spans="2:17">
      <c r="B430" s="627">
        <f t="shared" si="34"/>
        <v>425</v>
      </c>
      <c r="C430" s="429">
        <v>43191</v>
      </c>
      <c r="D430" s="816" t="s">
        <v>2569</v>
      </c>
      <c r="E430" s="807">
        <v>160100</v>
      </c>
      <c r="F430" s="629" t="str">
        <f>IFERROR(VLOOKUP(E430,STAT1!$C$4:$D$1000,2,FALSE),"")</f>
        <v xml:space="preserve">Барилгын материал </v>
      </c>
      <c r="G430" s="811">
        <v>310000</v>
      </c>
      <c r="H430" s="811"/>
      <c r="I430" s="580">
        <f t="shared" si="35"/>
        <v>0</v>
      </c>
      <c r="J430" s="961">
        <f t="shared" si="36"/>
        <v>0</v>
      </c>
      <c r="K430" s="80"/>
      <c r="L430" s="807">
        <v>1008</v>
      </c>
      <c r="M430" s="80" t="str">
        <f>+IFERROR(VLOOKUP(L430,DATA!$G$4:$H$2000,2,FALSE),"")</f>
        <v xml:space="preserve">Оюунтүлхүүр </v>
      </c>
      <c r="N430" s="807"/>
      <c r="O430" s="80" t="str">
        <f>IFERROR(VLOOKUP(N430,DATA!$K$4:$L$51,2,FALSE),"")</f>
        <v/>
      </c>
      <c r="P430" s="80">
        <f t="shared" si="32"/>
        <v>0</v>
      </c>
      <c r="Q430" s="154">
        <f t="shared" si="33"/>
        <v>0</v>
      </c>
    </row>
    <row r="431" spans="2:17">
      <c r="B431" s="627">
        <f t="shared" si="34"/>
        <v>426</v>
      </c>
      <c r="C431" s="429">
        <v>43191</v>
      </c>
      <c r="D431" s="816" t="s">
        <v>2569</v>
      </c>
      <c r="E431" s="807">
        <v>120600</v>
      </c>
      <c r="F431" s="629" t="str">
        <f>IFERROR(VLOOKUP(E431,STAT1!$C$4:$D$1000,2,FALSE),"")</f>
        <v>НӨАТ авлага</v>
      </c>
      <c r="G431" s="811">
        <v>31000</v>
      </c>
      <c r="H431" s="811"/>
      <c r="I431" s="580">
        <f t="shared" si="35"/>
        <v>0</v>
      </c>
      <c r="J431" s="961">
        <f t="shared" si="36"/>
        <v>0</v>
      </c>
      <c r="K431" s="80"/>
      <c r="L431" s="807">
        <v>1008</v>
      </c>
      <c r="M431" s="80" t="str">
        <f>+IFERROR(VLOOKUP(L431,DATA!$G$4:$H$2000,2,FALSE),"")</f>
        <v xml:space="preserve">Оюунтүлхүүр </v>
      </c>
      <c r="N431" s="807"/>
      <c r="O431" s="80" t="str">
        <f>IFERROR(VLOOKUP(N431,DATA!$K$4:$L$51,2,FALSE),"")</f>
        <v/>
      </c>
      <c r="P431" s="80">
        <f t="shared" si="32"/>
        <v>0</v>
      </c>
      <c r="Q431" s="154">
        <f t="shared" si="33"/>
        <v>0</v>
      </c>
    </row>
    <row r="432" spans="2:17">
      <c r="B432" s="627">
        <f t="shared" si="34"/>
        <v>427</v>
      </c>
      <c r="C432" s="429">
        <v>43191</v>
      </c>
      <c r="D432" s="816" t="s">
        <v>2569</v>
      </c>
      <c r="E432" s="807">
        <v>121200</v>
      </c>
      <c r="F432" s="629" t="str">
        <f>IFERROR(VLOOKUP(E432,STAT1!$C$4:$D$1000,2,FALSE),"")</f>
        <v xml:space="preserve">Ажилчидын дараа тайлангийн тооцоо </v>
      </c>
      <c r="G432" s="811"/>
      <c r="H432" s="811">
        <v>341000</v>
      </c>
      <c r="I432" s="580">
        <f t="shared" si="35"/>
        <v>0</v>
      </c>
      <c r="J432" s="961">
        <f t="shared" si="36"/>
        <v>0</v>
      </c>
      <c r="K432" s="80"/>
      <c r="L432" s="807">
        <v>1008</v>
      </c>
      <c r="M432" s="80" t="str">
        <f>+IFERROR(VLOOKUP(L432,DATA!$G$4:$H$2000,2,FALSE),"")</f>
        <v xml:space="preserve">Оюунтүлхүүр </v>
      </c>
      <c r="N432" s="807"/>
      <c r="O432" s="80" t="str">
        <f>IFERROR(VLOOKUP(N432,DATA!$K$4:$L$51,2,FALSE),"")</f>
        <v/>
      </c>
      <c r="P432" s="80">
        <f t="shared" si="32"/>
        <v>0</v>
      </c>
      <c r="Q432" s="154">
        <f t="shared" si="33"/>
        <v>0</v>
      </c>
    </row>
    <row r="433" spans="2:17">
      <c r="B433" s="627">
        <f t="shared" si="34"/>
        <v>428</v>
      </c>
      <c r="C433" s="429">
        <v>43191</v>
      </c>
      <c r="D433" s="816" t="s">
        <v>2575</v>
      </c>
      <c r="E433" s="807">
        <v>310100</v>
      </c>
      <c r="F433" s="629" t="str">
        <f>IFERROR(VLOOKUP(E433,STAT1!$C$4:$D$1000,2,FALSE),"")</f>
        <v>Дансны өглөг MNT</v>
      </c>
      <c r="G433" s="811"/>
      <c r="H433" s="811">
        <v>40000000</v>
      </c>
      <c r="I433" s="580">
        <f t="shared" si="35"/>
        <v>0</v>
      </c>
      <c r="J433" s="961">
        <f t="shared" si="36"/>
        <v>0</v>
      </c>
      <c r="K433" s="80"/>
      <c r="L433" s="807">
        <v>3120</v>
      </c>
      <c r="M433" s="80" t="str">
        <f>+IFERROR(VLOOKUP(L433,DATA!$G$4:$H$2000,2,FALSE),"")</f>
        <v>АКВАПЛАСТ МОНГОЛ ХХК</v>
      </c>
      <c r="N433" s="807"/>
      <c r="O433" s="80" t="str">
        <f>IFERROR(VLOOKUP(N433,DATA!$K$4:$L$51,2,FALSE),"")</f>
        <v/>
      </c>
      <c r="P433" s="80">
        <f t="shared" si="32"/>
        <v>0</v>
      </c>
      <c r="Q433" s="154">
        <f t="shared" si="33"/>
        <v>0</v>
      </c>
    </row>
    <row r="434" spans="2:17">
      <c r="B434" s="627">
        <f t="shared" si="34"/>
        <v>429</v>
      </c>
      <c r="C434" s="429">
        <v>43191</v>
      </c>
      <c r="D434" s="816" t="s">
        <v>2575</v>
      </c>
      <c r="E434" s="807">
        <v>180200</v>
      </c>
      <c r="F434" s="629" t="str">
        <f>IFERROR(VLOOKUP(E434,STAT1!$C$4:$D$1000,2,FALSE),"")</f>
        <v xml:space="preserve">Урьдчилж төлсөн зардал MNT </v>
      </c>
      <c r="G434" s="811">
        <v>40000000</v>
      </c>
      <c r="H434" s="811"/>
      <c r="I434" s="580">
        <f t="shared" si="35"/>
        <v>0</v>
      </c>
      <c r="J434" s="961">
        <f t="shared" si="36"/>
        <v>0</v>
      </c>
      <c r="K434" s="80"/>
      <c r="L434" s="807">
        <v>3120</v>
      </c>
      <c r="M434" s="80" t="str">
        <f>+IFERROR(VLOOKUP(L434,DATA!$G$4:$H$2000,2,FALSE),"")</f>
        <v>АКВАПЛАСТ МОНГОЛ ХХК</v>
      </c>
      <c r="N434" s="807"/>
      <c r="O434" s="80" t="str">
        <f>IFERROR(VLOOKUP(N434,DATA!$K$4:$L$51,2,FALSE),"")</f>
        <v/>
      </c>
      <c r="P434" s="80">
        <f t="shared" si="32"/>
        <v>0</v>
      </c>
      <c r="Q434" s="154">
        <f t="shared" si="33"/>
        <v>0</v>
      </c>
    </row>
    <row r="435" spans="2:17">
      <c r="B435" s="627">
        <f t="shared" si="34"/>
        <v>430</v>
      </c>
      <c r="C435" s="582">
        <v>43191</v>
      </c>
      <c r="D435" s="815" t="s">
        <v>2635</v>
      </c>
      <c r="E435" s="630">
        <v>150100</v>
      </c>
      <c r="F435" s="629" t="str">
        <f>IFERROR(VLOOKUP(E435,STAT1!$C$4:$D$1000,2,FALSE),"")</f>
        <v>Бараа бэлэн бүтээгдэхүүн ХАТААХ ЦЕХ /нарс/</v>
      </c>
      <c r="G435" s="376"/>
      <c r="H435" s="376">
        <v>77955155.189999998</v>
      </c>
      <c r="I435" s="580">
        <f t="shared" si="35"/>
        <v>0</v>
      </c>
      <c r="J435" s="961">
        <f t="shared" si="36"/>
        <v>0</v>
      </c>
      <c r="K435" s="80"/>
      <c r="L435" s="630">
        <v>1004</v>
      </c>
      <c r="M435" s="80" t="str">
        <f>+IFERROR(VLOOKUP(L435,DATA!$G$4:$H$2000,2,FALSE),"")</f>
        <v xml:space="preserve">Түмэндэлгэр </v>
      </c>
      <c r="N435" s="630"/>
      <c r="O435" s="80" t="str">
        <f>IFERROR(VLOOKUP(N435,DATA!$K$4:$L$51,2,FALSE),"")</f>
        <v/>
      </c>
      <c r="P435" s="80">
        <f t="shared" si="32"/>
        <v>0</v>
      </c>
      <c r="Q435" s="154">
        <f t="shared" si="33"/>
        <v>0</v>
      </c>
    </row>
    <row r="436" spans="2:17">
      <c r="B436" s="627">
        <f t="shared" si="34"/>
        <v>431</v>
      </c>
      <c r="C436" s="582">
        <v>43191</v>
      </c>
      <c r="D436" s="815" t="s">
        <v>2635</v>
      </c>
      <c r="E436" s="630">
        <v>140201</v>
      </c>
      <c r="F436" s="629" t="str">
        <f>IFERROR(VLOOKUP(E436,STAT1!$C$4:$D$1000,2,FALSE),"")</f>
        <v>ШМЗардал БОЛОВСРУУЛАХ ЦЕХ /нарс/</v>
      </c>
      <c r="G436" s="376">
        <v>77955155.189999998</v>
      </c>
      <c r="H436" s="376"/>
      <c r="I436" s="580">
        <f t="shared" si="35"/>
        <v>0</v>
      </c>
      <c r="J436" s="961">
        <f t="shared" si="36"/>
        <v>0</v>
      </c>
      <c r="K436" s="80"/>
      <c r="L436" s="630">
        <v>1004</v>
      </c>
      <c r="M436" s="80" t="str">
        <f>+IFERROR(VLOOKUP(L436,DATA!$G$4:$H$2000,2,FALSE),"")</f>
        <v xml:space="preserve">Түмэндэлгэр </v>
      </c>
      <c r="N436" s="630"/>
      <c r="O436" s="80" t="str">
        <f>IFERROR(VLOOKUP(N436,DATA!$K$4:$L$51,2,FALSE),"")</f>
        <v/>
      </c>
      <c r="P436" s="80">
        <f t="shared" si="32"/>
        <v>0</v>
      </c>
      <c r="Q436" s="154">
        <f t="shared" si="33"/>
        <v>0</v>
      </c>
    </row>
    <row r="437" spans="2:17">
      <c r="B437" s="627">
        <f t="shared" si="34"/>
        <v>432</v>
      </c>
      <c r="C437" s="429">
        <v>43191</v>
      </c>
      <c r="D437" s="816" t="s">
        <v>2638</v>
      </c>
      <c r="E437" s="807">
        <v>150101</v>
      </c>
      <c r="F437" s="629" t="str">
        <f>IFERROR(VLOOKUP(E437,STAT1!$C$4:$D$1000,2,FALSE),"")</f>
        <v>Бараа бэлэн бүтээгдэхүүн БОЛОВСРУУЛАХ ЦЕХ /нарс/</v>
      </c>
      <c r="G437" s="811">
        <v>139284423.98000002</v>
      </c>
      <c r="H437" s="811"/>
      <c r="I437" s="580">
        <f t="shared" si="35"/>
        <v>0</v>
      </c>
      <c r="J437" s="961">
        <f t="shared" si="36"/>
        <v>0</v>
      </c>
      <c r="K437" s="80"/>
      <c r="L437" s="630">
        <v>1004</v>
      </c>
      <c r="M437" s="80" t="str">
        <f>+IFERROR(VLOOKUP(L437,DATA!$G$4:$H$2000,2,FALSE),"")</f>
        <v xml:space="preserve">Түмэндэлгэр </v>
      </c>
      <c r="N437" s="807"/>
      <c r="O437" s="80"/>
      <c r="P437" s="80">
        <f t="shared" si="32"/>
        <v>0</v>
      </c>
      <c r="Q437" s="154">
        <f t="shared" si="33"/>
        <v>0</v>
      </c>
    </row>
    <row r="438" spans="2:17">
      <c r="B438" s="627">
        <f t="shared" si="34"/>
        <v>433</v>
      </c>
      <c r="C438" s="429">
        <v>43191</v>
      </c>
      <c r="D438" s="816" t="s">
        <v>2638</v>
      </c>
      <c r="E438" s="807">
        <v>140501</v>
      </c>
      <c r="F438" s="629" t="str">
        <f>IFERROR(VLOOKUP(E438,STAT1!$C$4:$D$1000,2,FALSE),"")</f>
        <v>Нэгтгэл зардал БОЛОВСРУУЛАХ ЦЕХ /нарс/</v>
      </c>
      <c r="G438" s="811"/>
      <c r="H438" s="811">
        <v>139284423.98000002</v>
      </c>
      <c r="I438" s="580">
        <f t="shared" si="35"/>
        <v>0</v>
      </c>
      <c r="J438" s="961">
        <f t="shared" si="36"/>
        <v>0</v>
      </c>
      <c r="K438" s="80"/>
      <c r="L438" s="630">
        <v>1004</v>
      </c>
      <c r="M438" s="80" t="str">
        <f>+IFERROR(VLOOKUP(L438,DATA!$G$4:$H$2000,2,FALSE),"")</f>
        <v xml:space="preserve">Түмэндэлгэр </v>
      </c>
      <c r="N438" s="807"/>
      <c r="O438" s="80" t="str">
        <f>IFERROR(VLOOKUP(N438,DATA!$K$4:$L$51,2,FALSE),"")</f>
        <v/>
      </c>
      <c r="P438" s="80">
        <f t="shared" si="32"/>
        <v>0</v>
      </c>
      <c r="Q438" s="154">
        <f t="shared" si="33"/>
        <v>0</v>
      </c>
    </row>
    <row r="439" spans="2:17">
      <c r="B439" s="627">
        <f t="shared" si="34"/>
        <v>434</v>
      </c>
      <c r="C439" s="429">
        <v>43194</v>
      </c>
      <c r="D439" s="816" t="s">
        <v>1571</v>
      </c>
      <c r="E439" s="807">
        <v>110100</v>
      </c>
      <c r="F439" s="629" t="str">
        <f>IFERROR(VLOOKUP(E439,STAT1!$C$4:$D$1000,2,FALSE),"")</f>
        <v>Хаан Банк 5024654020</v>
      </c>
      <c r="G439" s="811">
        <v>601920</v>
      </c>
      <c r="H439" s="811"/>
      <c r="I439" s="580">
        <f t="shared" si="35"/>
        <v>601920</v>
      </c>
      <c r="J439" s="961">
        <f t="shared" si="36"/>
        <v>0</v>
      </c>
      <c r="K439" s="80"/>
      <c r="L439" s="807">
        <v>3059</v>
      </c>
      <c r="M439" s="80" t="str">
        <f>+IFERROR(VLOOKUP(L439,DATA!$G$4:$H$2000,2,FALSE),"")</f>
        <v>ЦАМХАГТ АСАР КОНСТРАКШН ХХК</v>
      </c>
      <c r="N439" s="807">
        <v>41</v>
      </c>
      <c r="O439" s="80" t="str">
        <f>IFERROR(VLOOKUP(N439,DATA!$K$4:$L$51,2,FALSE),"")</f>
        <v>Бараа борлуулсан, үйлчилгээ үзүүлсэний орлого</v>
      </c>
      <c r="P439" s="80">
        <f t="shared" si="32"/>
        <v>1</v>
      </c>
      <c r="Q439" s="154">
        <f t="shared" si="33"/>
        <v>1</v>
      </c>
    </row>
    <row r="440" spans="2:17">
      <c r="B440" s="627">
        <f t="shared" si="34"/>
        <v>435</v>
      </c>
      <c r="C440" s="429">
        <v>43194</v>
      </c>
      <c r="D440" s="816" t="s">
        <v>1571</v>
      </c>
      <c r="E440" s="807">
        <v>320100</v>
      </c>
      <c r="F440" s="629" t="str">
        <f>IFERROR(VLOOKUP(E440,STAT1!$C$4:$D$1000,2,FALSE),"")</f>
        <v>Урьдчилж орсон орлого MNT</v>
      </c>
      <c r="G440" s="811"/>
      <c r="H440" s="811">
        <v>601920</v>
      </c>
      <c r="I440" s="580">
        <f t="shared" si="35"/>
        <v>0</v>
      </c>
      <c r="J440" s="961">
        <f t="shared" si="36"/>
        <v>0</v>
      </c>
      <c r="K440" s="80"/>
      <c r="L440" s="807">
        <v>3059</v>
      </c>
      <c r="M440" s="80" t="str">
        <f>+IFERROR(VLOOKUP(L440,DATA!$G$4:$H$2000,2,FALSE),"")</f>
        <v>ЦАМХАГТ АСАР КОНСТРАКШН ХХК</v>
      </c>
      <c r="N440" s="807"/>
      <c r="O440" s="80" t="str">
        <f>IFERROR(VLOOKUP(N440,DATA!$K$4:$L$51,2,FALSE),"")</f>
        <v/>
      </c>
      <c r="P440" s="80">
        <f t="shared" ref="P440:P503" si="37">+IF(I440,1,0)</f>
        <v>0</v>
      </c>
      <c r="Q440" s="154">
        <f t="shared" ref="Q440:Q503" si="38">+IF(I440,1,0)</f>
        <v>0</v>
      </c>
    </row>
    <row r="441" spans="2:17">
      <c r="B441" s="627">
        <f t="shared" si="34"/>
        <v>436</v>
      </c>
      <c r="C441" s="429">
        <v>43195</v>
      </c>
      <c r="D441" s="816" t="s">
        <v>2566</v>
      </c>
      <c r="E441" s="807">
        <v>100100</v>
      </c>
      <c r="F441" s="629" t="str">
        <f>IFERROR(VLOOKUP(E441,STAT1!$C$4:$D$1000,2,FALSE),"")</f>
        <v>Касс мөнгө MNT</v>
      </c>
      <c r="G441" s="811"/>
      <c r="H441" s="811">
        <v>55200</v>
      </c>
      <c r="I441" s="580">
        <f t="shared" si="35"/>
        <v>-55200</v>
      </c>
      <c r="J441" s="961">
        <f t="shared" si="36"/>
        <v>0</v>
      </c>
      <c r="K441" s="80"/>
      <c r="L441" s="807">
        <v>1004</v>
      </c>
      <c r="M441" s="80" t="str">
        <f>+IFERROR(VLOOKUP(L441,DATA!$G$4:$H$2000,2,FALSE),"")</f>
        <v xml:space="preserve">Түмэндэлгэр </v>
      </c>
      <c r="N441" s="807">
        <v>53</v>
      </c>
      <c r="O441" s="80" t="str">
        <f>IFERROR(VLOOKUP(N441,DATA!$K$4:$L$51,2,FALSE),"")</f>
        <v>Бараа материал худалдан авахад төлсөн</v>
      </c>
      <c r="P441" s="80">
        <f t="shared" si="37"/>
        <v>1</v>
      </c>
      <c r="Q441" s="154">
        <f t="shared" si="38"/>
        <v>1</v>
      </c>
    </row>
    <row r="442" spans="2:17">
      <c r="B442" s="627">
        <f t="shared" si="34"/>
        <v>437</v>
      </c>
      <c r="C442" s="429">
        <v>43195</v>
      </c>
      <c r="D442" s="816" t="s">
        <v>2566</v>
      </c>
      <c r="E442" s="807">
        <v>120600</v>
      </c>
      <c r="F442" s="629" t="str">
        <f>IFERROR(VLOOKUP(E442,STAT1!$C$4:$D$1000,2,FALSE),"")</f>
        <v>НӨАТ авлага</v>
      </c>
      <c r="G442" s="811">
        <v>5018.18</v>
      </c>
      <c r="H442" s="811"/>
      <c r="I442" s="580">
        <f t="shared" si="35"/>
        <v>0</v>
      </c>
      <c r="J442" s="961">
        <f t="shared" si="36"/>
        <v>0</v>
      </c>
      <c r="K442" s="80"/>
      <c r="L442" s="807">
        <v>1004</v>
      </c>
      <c r="M442" s="80" t="str">
        <f>+IFERROR(VLOOKUP(L442,DATA!$G$4:$H$2000,2,FALSE),"")</f>
        <v xml:space="preserve">Түмэндэлгэр </v>
      </c>
      <c r="N442" s="807"/>
      <c r="O442" s="80" t="str">
        <f>IFERROR(VLOOKUP(N442,DATA!$K$4:$L$51,2,FALSE),"")</f>
        <v/>
      </c>
      <c r="P442" s="80">
        <f t="shared" si="37"/>
        <v>0</v>
      </c>
      <c r="Q442" s="154">
        <f t="shared" si="38"/>
        <v>0</v>
      </c>
    </row>
    <row r="443" spans="2:17">
      <c r="B443" s="627">
        <f t="shared" si="34"/>
        <v>438</v>
      </c>
      <c r="C443" s="429">
        <v>43195</v>
      </c>
      <c r="D443" s="816" t="s">
        <v>2566</v>
      </c>
      <c r="E443" s="807">
        <v>703700</v>
      </c>
      <c r="F443" s="629" t="str">
        <f>IFERROR(VLOOKUP(E443,STAT1!$C$4:$D$1000,2,FALSE),"")</f>
        <v>Бичиг хэргийн зардал</v>
      </c>
      <c r="G443" s="811">
        <v>50181.82</v>
      </c>
      <c r="H443" s="811"/>
      <c r="I443" s="580">
        <f t="shared" si="35"/>
        <v>0</v>
      </c>
      <c r="J443" s="961">
        <f t="shared" si="36"/>
        <v>0</v>
      </c>
      <c r="K443" s="80"/>
      <c r="L443" s="807">
        <v>1004</v>
      </c>
      <c r="M443" s="80" t="str">
        <f>+IFERROR(VLOOKUP(L443,DATA!$G$4:$H$2000,2,FALSE),"")</f>
        <v xml:space="preserve">Түмэндэлгэр </v>
      </c>
      <c r="N443" s="807"/>
      <c r="O443" s="80" t="str">
        <f>IFERROR(VLOOKUP(N443,DATA!$K$4:$L$51,2,FALSE),"")</f>
        <v/>
      </c>
      <c r="P443" s="80">
        <f t="shared" si="37"/>
        <v>0</v>
      </c>
      <c r="Q443" s="154">
        <f t="shared" si="38"/>
        <v>0</v>
      </c>
    </row>
    <row r="444" spans="2:17">
      <c r="B444" s="627">
        <f t="shared" si="34"/>
        <v>439</v>
      </c>
      <c r="C444" s="429">
        <v>43195</v>
      </c>
      <c r="D444" s="816" t="s">
        <v>2570</v>
      </c>
      <c r="E444" s="807">
        <v>310100</v>
      </c>
      <c r="F444" s="629" t="str">
        <f>IFERROR(VLOOKUP(E444,STAT1!$C$4:$D$1000,2,FALSE),"")</f>
        <v>Дансны өглөг MNT</v>
      </c>
      <c r="G444" s="811"/>
      <c r="H444" s="811">
        <v>2623585</v>
      </c>
      <c r="I444" s="580">
        <f t="shared" si="35"/>
        <v>0</v>
      </c>
      <c r="J444" s="961">
        <f t="shared" si="36"/>
        <v>0</v>
      </c>
      <c r="K444" s="80"/>
      <c r="L444" s="807">
        <v>2013</v>
      </c>
      <c r="M444" s="80" t="str">
        <f>+IFERROR(VLOOKUP(L444,DATA!$G$4:$H$2000,2,FALSE),"")</f>
        <v>УБДС ТӨХК</v>
      </c>
      <c r="N444" s="807"/>
      <c r="O444" s="80"/>
      <c r="P444" s="80">
        <f t="shared" si="37"/>
        <v>0</v>
      </c>
      <c r="Q444" s="154">
        <f t="shared" si="38"/>
        <v>0</v>
      </c>
    </row>
    <row r="445" spans="2:17">
      <c r="B445" s="627">
        <f t="shared" si="34"/>
        <v>440</v>
      </c>
      <c r="C445" s="429">
        <v>43195</v>
      </c>
      <c r="D445" s="816" t="s">
        <v>2570</v>
      </c>
      <c r="E445" s="807">
        <v>120600</v>
      </c>
      <c r="F445" s="629" t="str">
        <f>IFERROR(VLOOKUP(E445,STAT1!$C$4:$D$1000,2,FALSE),"")</f>
        <v>НӨАТ авлага</v>
      </c>
      <c r="G445" s="811">
        <v>238507.73</v>
      </c>
      <c r="H445" s="811"/>
      <c r="I445" s="580">
        <f t="shared" si="35"/>
        <v>0</v>
      </c>
      <c r="J445" s="961">
        <f t="shared" si="36"/>
        <v>0</v>
      </c>
      <c r="K445" s="80"/>
      <c r="L445" s="807">
        <v>2013</v>
      </c>
      <c r="M445" s="80" t="str">
        <f>+IFERROR(VLOOKUP(L445,DATA!$G$4:$H$2000,2,FALSE),"")</f>
        <v>УБДС ТӨХК</v>
      </c>
      <c r="N445" s="807"/>
      <c r="O445" s="80" t="str">
        <f>IFERROR(VLOOKUP(N445,DATA!$K$4:$L$51,2,FALSE),"")</f>
        <v/>
      </c>
      <c r="P445" s="80">
        <f t="shared" si="37"/>
        <v>0</v>
      </c>
      <c r="Q445" s="154">
        <f t="shared" si="38"/>
        <v>0</v>
      </c>
    </row>
    <row r="446" spans="2:17">
      <c r="B446" s="627">
        <f t="shared" si="34"/>
        <v>441</v>
      </c>
      <c r="C446" s="429">
        <v>43195</v>
      </c>
      <c r="D446" s="816" t="s">
        <v>2570</v>
      </c>
      <c r="E446" s="807">
        <v>700800</v>
      </c>
      <c r="F446" s="629" t="str">
        <f>IFERROR(VLOOKUP(E446,STAT1!$C$4:$D$1000,2,FALSE),"")</f>
        <v>Дулаан</v>
      </c>
      <c r="G446" s="811">
        <v>2385077.27</v>
      </c>
      <c r="H446" s="811"/>
      <c r="I446" s="580">
        <f t="shared" si="35"/>
        <v>0</v>
      </c>
      <c r="J446" s="961">
        <f t="shared" si="36"/>
        <v>0</v>
      </c>
      <c r="K446" s="80"/>
      <c r="L446" s="807">
        <v>2013</v>
      </c>
      <c r="M446" s="80" t="str">
        <f>+IFERROR(VLOOKUP(L446,DATA!$G$4:$H$2000,2,FALSE),"")</f>
        <v>УБДС ТӨХК</v>
      </c>
      <c r="N446" s="807"/>
      <c r="O446" s="80" t="str">
        <f>IFERROR(VLOOKUP(N446,DATA!$K$4:$L$51,2,FALSE),"")</f>
        <v/>
      </c>
      <c r="P446" s="80">
        <f t="shared" si="37"/>
        <v>0</v>
      </c>
      <c r="Q446" s="154">
        <f t="shared" si="38"/>
        <v>0</v>
      </c>
    </row>
    <row r="447" spans="2:17">
      <c r="B447" s="627">
        <f t="shared" si="34"/>
        <v>442</v>
      </c>
      <c r="C447" s="429">
        <v>43199</v>
      </c>
      <c r="D447" s="816" t="s">
        <v>2565</v>
      </c>
      <c r="E447" s="807">
        <v>100100</v>
      </c>
      <c r="F447" s="629" t="str">
        <f>IFERROR(VLOOKUP(E447,STAT1!$C$4:$D$1000,2,FALSE),"")</f>
        <v>Касс мөнгө MNT</v>
      </c>
      <c r="G447" s="811"/>
      <c r="H447" s="811">
        <v>20000</v>
      </c>
      <c r="I447" s="580">
        <f t="shared" si="35"/>
        <v>-20000</v>
      </c>
      <c r="J447" s="961">
        <f t="shared" si="36"/>
        <v>0</v>
      </c>
      <c r="K447" s="80"/>
      <c r="L447" s="807">
        <v>1008</v>
      </c>
      <c r="M447" s="80" t="str">
        <f>+IFERROR(VLOOKUP(L447,DATA!$G$4:$H$2000,2,FALSE),"")</f>
        <v xml:space="preserve">Оюунтүлхүүр </v>
      </c>
      <c r="N447" s="807">
        <v>55</v>
      </c>
      <c r="O447" s="80" t="str">
        <f>IFERROR(VLOOKUP(N447,DATA!$K$4:$L$51,2,FALSE),"")</f>
        <v>Түлш, шатахуун, тээврийн хөлс, сэлбэг хэрэгсэлд төлсөн</v>
      </c>
      <c r="P447" s="80">
        <f t="shared" si="37"/>
        <v>1</v>
      </c>
      <c r="Q447" s="154">
        <f t="shared" si="38"/>
        <v>1</v>
      </c>
    </row>
    <row r="448" spans="2:17">
      <c r="B448" s="627">
        <f t="shared" si="34"/>
        <v>443</v>
      </c>
      <c r="C448" s="429">
        <v>43199</v>
      </c>
      <c r="D448" s="816" t="s">
        <v>2565</v>
      </c>
      <c r="E448" s="807">
        <v>120600</v>
      </c>
      <c r="F448" s="629" t="str">
        <f>IFERROR(VLOOKUP(E448,STAT1!$C$4:$D$1000,2,FALSE),"")</f>
        <v>НӨАТ авлага</v>
      </c>
      <c r="G448" s="811">
        <v>1818.18</v>
      </c>
      <c r="H448" s="811"/>
      <c r="I448" s="580">
        <f t="shared" si="35"/>
        <v>0</v>
      </c>
      <c r="J448" s="961">
        <f t="shared" si="36"/>
        <v>0</v>
      </c>
      <c r="K448" s="80"/>
      <c r="L448" s="807">
        <v>1008</v>
      </c>
      <c r="M448" s="80" t="str">
        <f>+IFERROR(VLOOKUP(L448,DATA!$G$4:$H$2000,2,FALSE),"")</f>
        <v xml:space="preserve">Оюунтүлхүүр </v>
      </c>
      <c r="N448" s="807"/>
      <c r="O448" s="80" t="str">
        <f>IFERROR(VLOOKUP(N448,DATA!$K$4:$L$51,2,FALSE),"")</f>
        <v/>
      </c>
      <c r="P448" s="80">
        <f t="shared" si="37"/>
        <v>0</v>
      </c>
      <c r="Q448" s="154">
        <f t="shared" si="38"/>
        <v>0</v>
      </c>
    </row>
    <row r="449" spans="2:17">
      <c r="B449" s="627">
        <f t="shared" si="34"/>
        <v>444</v>
      </c>
      <c r="C449" s="429">
        <v>43199</v>
      </c>
      <c r="D449" s="816" t="s">
        <v>2565</v>
      </c>
      <c r="E449" s="807">
        <v>180200</v>
      </c>
      <c r="F449" s="629" t="str">
        <f>IFERROR(VLOOKUP(E449,STAT1!$C$4:$D$1000,2,FALSE),"")</f>
        <v xml:space="preserve">Урьдчилж төлсөн зардал MNT </v>
      </c>
      <c r="G449" s="811">
        <v>18181.82</v>
      </c>
      <c r="H449" s="811"/>
      <c r="I449" s="580">
        <f t="shared" si="35"/>
        <v>0</v>
      </c>
      <c r="J449" s="961">
        <f t="shared" si="36"/>
        <v>0</v>
      </c>
      <c r="K449" s="80"/>
      <c r="L449" s="807">
        <v>1008</v>
      </c>
      <c r="M449" s="80" t="str">
        <f>+IFERROR(VLOOKUP(L449,DATA!$G$4:$H$2000,2,FALSE),"")</f>
        <v xml:space="preserve">Оюунтүлхүүр </v>
      </c>
      <c r="N449" s="807"/>
      <c r="O449" s="80" t="str">
        <f>IFERROR(VLOOKUP(N449,DATA!$K$4:$L$51,2,FALSE),"")</f>
        <v/>
      </c>
      <c r="P449" s="80">
        <f t="shared" si="37"/>
        <v>0</v>
      </c>
      <c r="Q449" s="154">
        <f t="shared" si="38"/>
        <v>0</v>
      </c>
    </row>
    <row r="450" spans="2:17">
      <c r="B450" s="627">
        <f t="shared" si="34"/>
        <v>445</v>
      </c>
      <c r="C450" s="429">
        <v>43200</v>
      </c>
      <c r="D450" s="816" t="s">
        <v>1331</v>
      </c>
      <c r="E450" s="807">
        <v>110100</v>
      </c>
      <c r="F450" s="629" t="str">
        <f>IFERROR(VLOOKUP(E450,STAT1!$C$4:$D$1000,2,FALSE),"")</f>
        <v>Хаан Банк 5024654020</v>
      </c>
      <c r="G450" s="811"/>
      <c r="H450" s="811">
        <v>43750</v>
      </c>
      <c r="I450" s="580">
        <f t="shared" si="35"/>
        <v>-43750</v>
      </c>
      <c r="J450" s="961">
        <f t="shared" si="36"/>
        <v>0</v>
      </c>
      <c r="K450" s="80"/>
      <c r="L450" s="807">
        <v>2006</v>
      </c>
      <c r="M450" s="80" t="str">
        <f>+IFERROR(VLOOKUP(L450,DATA!$G$4:$H$2000,2,FALSE),"")</f>
        <v xml:space="preserve">МЦХОЛБОО </v>
      </c>
      <c r="N450" s="807">
        <v>59</v>
      </c>
      <c r="O450" s="80" t="str">
        <f>IFERROR(VLOOKUP(N450,DATA!$K$4:$L$51,2,FALSE),"")</f>
        <v>Бусад мөнгөн зарлага</v>
      </c>
      <c r="P450" s="80">
        <f t="shared" si="37"/>
        <v>1</v>
      </c>
      <c r="Q450" s="154">
        <f t="shared" si="38"/>
        <v>1</v>
      </c>
    </row>
    <row r="451" spans="2:17">
      <c r="B451" s="627">
        <f t="shared" si="34"/>
        <v>446</v>
      </c>
      <c r="C451" s="429">
        <v>43200</v>
      </c>
      <c r="D451" s="816" t="s">
        <v>1331</v>
      </c>
      <c r="E451" s="807">
        <v>120600</v>
      </c>
      <c r="F451" s="629" t="str">
        <f>IFERROR(VLOOKUP(E451,STAT1!$C$4:$D$1000,2,FALSE),"")</f>
        <v>НӨАТ авлага</v>
      </c>
      <c r="G451" s="811">
        <v>3977.27</v>
      </c>
      <c r="H451" s="811"/>
      <c r="I451" s="580">
        <f t="shared" si="35"/>
        <v>0</v>
      </c>
      <c r="J451" s="961">
        <f t="shared" si="36"/>
        <v>0</v>
      </c>
      <c r="K451" s="80"/>
      <c r="L451" s="807">
        <v>2006</v>
      </c>
      <c r="M451" s="80" t="str">
        <f>+IFERROR(VLOOKUP(L451,DATA!$G$4:$H$2000,2,FALSE),"")</f>
        <v xml:space="preserve">МЦХОЛБОО </v>
      </c>
      <c r="N451" s="807"/>
      <c r="O451" s="80"/>
      <c r="P451" s="80">
        <f t="shared" si="37"/>
        <v>0</v>
      </c>
      <c r="Q451" s="154">
        <f t="shared" si="38"/>
        <v>0</v>
      </c>
    </row>
    <row r="452" spans="2:17">
      <c r="B452" s="627">
        <f t="shared" si="34"/>
        <v>447</v>
      </c>
      <c r="C452" s="429">
        <v>43200</v>
      </c>
      <c r="D452" s="816" t="s">
        <v>1331</v>
      </c>
      <c r="E452" s="807">
        <v>701900</v>
      </c>
      <c r="F452" s="629" t="str">
        <f>IFERROR(VLOOKUP(E452,STAT1!$C$4:$D$1000,2,FALSE),"")</f>
        <v>Харилцаа холбоо</v>
      </c>
      <c r="G452" s="811">
        <v>39772.730000000003</v>
      </c>
      <c r="H452" s="811"/>
      <c r="I452" s="580">
        <f t="shared" si="35"/>
        <v>0</v>
      </c>
      <c r="J452" s="961">
        <f t="shared" si="36"/>
        <v>0</v>
      </c>
      <c r="K452" s="80"/>
      <c r="L452" s="807">
        <v>2006</v>
      </c>
      <c r="M452" s="80" t="str">
        <f>+IFERROR(VLOOKUP(L452,DATA!$G$4:$H$2000,2,FALSE),"")</f>
        <v xml:space="preserve">МЦХОЛБОО </v>
      </c>
      <c r="N452" s="807"/>
      <c r="O452" s="80" t="str">
        <f>IFERROR(VLOOKUP(N452,DATA!$K$4:$L$51,2,FALSE),"")</f>
        <v/>
      </c>
      <c r="P452" s="80">
        <f t="shared" si="37"/>
        <v>0</v>
      </c>
      <c r="Q452" s="154">
        <f t="shared" si="38"/>
        <v>0</v>
      </c>
    </row>
    <row r="453" spans="2:17">
      <c r="B453" s="627">
        <f t="shared" si="34"/>
        <v>448</v>
      </c>
      <c r="C453" s="429">
        <v>43200</v>
      </c>
      <c r="D453" s="816" t="s">
        <v>2552</v>
      </c>
      <c r="E453" s="807">
        <v>110100</v>
      </c>
      <c r="F453" s="629" t="str">
        <f>IFERROR(VLOOKUP(E453,STAT1!$C$4:$D$1000,2,FALSE),"")</f>
        <v>Хаан Банк 5024654020</v>
      </c>
      <c r="G453" s="811"/>
      <c r="H453" s="811">
        <v>286000</v>
      </c>
      <c r="I453" s="580">
        <f t="shared" si="35"/>
        <v>-286000</v>
      </c>
      <c r="J453" s="961">
        <f t="shared" si="36"/>
        <v>0</v>
      </c>
      <c r="K453" s="80"/>
      <c r="L453" s="807">
        <v>1005</v>
      </c>
      <c r="M453" s="80" t="str">
        <f>+IFERROR(VLOOKUP(L453,DATA!$G$4:$H$2000,2,FALSE),"")</f>
        <v>Золжаргал</v>
      </c>
      <c r="N453" s="807">
        <v>59</v>
      </c>
      <c r="O453" s="80" t="str">
        <f>IFERROR(VLOOKUP(N453,DATA!$K$4:$L$51,2,FALSE),"")</f>
        <v>Бусад мөнгөн зарлага</v>
      </c>
      <c r="P453" s="80">
        <f t="shared" si="37"/>
        <v>1</v>
      </c>
      <c r="Q453" s="154">
        <f t="shared" si="38"/>
        <v>1</v>
      </c>
    </row>
    <row r="454" spans="2:17">
      <c r="B454" s="627">
        <f t="shared" ref="B454:B517" si="39">+IF(C454="","",ROW()-5)</f>
        <v>449</v>
      </c>
      <c r="C454" s="429">
        <v>43200</v>
      </c>
      <c r="D454" s="816" t="s">
        <v>2552</v>
      </c>
      <c r="E454" s="807">
        <v>120100</v>
      </c>
      <c r="F454" s="629" t="str">
        <f>IFERROR(VLOOKUP(E454,STAT1!$C$4:$D$1000,2,FALSE),"")</f>
        <v xml:space="preserve">Дансны авлага MNT </v>
      </c>
      <c r="G454" s="811">
        <v>286000</v>
      </c>
      <c r="H454" s="811"/>
      <c r="I454" s="580">
        <f t="shared" ref="I454:I517" si="40">+IF(OR(E454=100100,E454=100200,E454=110100,E454=110102,E454=110103,E454=110104,E454=110105,E454=110200,E454=110201,E454=110202,E454=110203,E454=110204,E454=110300),G454,0)+IF(OR(E454=100100,E454=100200,E454=110100,E454=110102,E454=110103,E454=110104,E454=110105,E454=110200,E454=110201,E454=110202,E454=110203,E454=110204,E454=110300),H454*-1,0)</f>
        <v>0</v>
      </c>
      <c r="J454" s="961">
        <f t="shared" ref="J454:J517" si="41">+IF(E454=110102,I454/K454,0)</f>
        <v>0</v>
      </c>
      <c r="K454" s="80"/>
      <c r="L454" s="807">
        <v>1005</v>
      </c>
      <c r="M454" s="80" t="str">
        <f>+IFERROR(VLOOKUP(L454,DATA!$G$4:$H$2000,2,FALSE),"")</f>
        <v>Золжаргал</v>
      </c>
      <c r="N454" s="807"/>
      <c r="O454" s="80" t="str">
        <f>IFERROR(VLOOKUP(N454,DATA!$K$4:$L$51,2,FALSE),"")</f>
        <v/>
      </c>
      <c r="P454" s="80">
        <f t="shared" si="37"/>
        <v>0</v>
      </c>
      <c r="Q454" s="154">
        <f t="shared" si="38"/>
        <v>0</v>
      </c>
    </row>
    <row r="455" spans="2:17">
      <c r="B455" s="627">
        <f t="shared" si="39"/>
        <v>450</v>
      </c>
      <c r="C455" s="429">
        <v>43200</v>
      </c>
      <c r="D455" s="816" t="s">
        <v>2553</v>
      </c>
      <c r="E455" s="807">
        <v>100100</v>
      </c>
      <c r="F455" s="629" t="str">
        <f>IFERROR(VLOOKUP(E455,STAT1!$C$4:$D$1000,2,FALSE),"")</f>
        <v>Касс мөнгө MNT</v>
      </c>
      <c r="G455" s="811">
        <v>286000</v>
      </c>
      <c r="H455" s="811"/>
      <c r="I455" s="580">
        <f t="shared" si="40"/>
        <v>286000</v>
      </c>
      <c r="J455" s="961">
        <f t="shared" si="41"/>
        <v>0</v>
      </c>
      <c r="K455" s="80"/>
      <c r="L455" s="807">
        <v>1005</v>
      </c>
      <c r="M455" s="80" t="str">
        <f>+IFERROR(VLOOKUP(L455,DATA!$G$4:$H$2000,2,FALSE),"")</f>
        <v>Золжаргал</v>
      </c>
      <c r="N455" s="807">
        <v>59</v>
      </c>
      <c r="O455" s="80" t="str">
        <f>IFERROR(VLOOKUP(N455,DATA!$K$4:$L$51,2,FALSE),"")</f>
        <v>Бусад мөнгөн зарлага</v>
      </c>
      <c r="P455" s="80">
        <f t="shared" si="37"/>
        <v>1</v>
      </c>
      <c r="Q455" s="154">
        <f t="shared" si="38"/>
        <v>1</v>
      </c>
    </row>
    <row r="456" spans="2:17">
      <c r="B456" s="627">
        <f t="shared" si="39"/>
        <v>451</v>
      </c>
      <c r="C456" s="429">
        <v>43200</v>
      </c>
      <c r="D456" s="816" t="s">
        <v>2553</v>
      </c>
      <c r="E456" s="807">
        <v>120100</v>
      </c>
      <c r="F456" s="629" t="str">
        <f>IFERROR(VLOOKUP(E456,STAT1!$C$4:$D$1000,2,FALSE),"")</f>
        <v xml:space="preserve">Дансны авлага MNT </v>
      </c>
      <c r="G456" s="811"/>
      <c r="H456" s="811">
        <v>286000</v>
      </c>
      <c r="I456" s="580">
        <f t="shared" si="40"/>
        <v>0</v>
      </c>
      <c r="J456" s="961">
        <f t="shared" si="41"/>
        <v>0</v>
      </c>
      <c r="K456" s="80"/>
      <c r="L456" s="807">
        <v>1005</v>
      </c>
      <c r="M456" s="80" t="str">
        <f>+IFERROR(VLOOKUP(L456,DATA!$G$4:$H$2000,2,FALSE),"")</f>
        <v>Золжаргал</v>
      </c>
      <c r="N456" s="807"/>
      <c r="O456" s="80" t="str">
        <f>IFERROR(VLOOKUP(N456,DATA!$K$4:$L$51,2,FALSE),"")</f>
        <v/>
      </c>
      <c r="P456" s="80">
        <f t="shared" si="37"/>
        <v>0</v>
      </c>
      <c r="Q456" s="154">
        <f t="shared" si="38"/>
        <v>0</v>
      </c>
    </row>
    <row r="457" spans="2:17">
      <c r="B457" s="627">
        <f t="shared" si="39"/>
        <v>452</v>
      </c>
      <c r="C457" s="429">
        <v>43200</v>
      </c>
      <c r="D457" s="815" t="s">
        <v>2375</v>
      </c>
      <c r="E457" s="630">
        <v>110100</v>
      </c>
      <c r="F457" s="629" t="str">
        <f>IFERROR(VLOOKUP(E457,STAT1!$C$4:$D$1000,2,FALSE),"")</f>
        <v>Хаан Банк 5024654020</v>
      </c>
      <c r="G457" s="376"/>
      <c r="H457" s="376">
        <v>9888071.3800000008</v>
      </c>
      <c r="I457" s="580">
        <f t="shared" si="40"/>
        <v>-9888071.3800000008</v>
      </c>
      <c r="J457" s="961">
        <f t="shared" si="41"/>
        <v>0</v>
      </c>
      <c r="K457" s="428"/>
      <c r="L457" s="630">
        <v>2004</v>
      </c>
      <c r="M457" s="80" t="str">
        <f>+IFERROR(VLOOKUP(L457,DATA!$G$4:$H$2000,2,FALSE),"")</f>
        <v xml:space="preserve">ДЦС-3 ТӨХК </v>
      </c>
      <c r="N457" s="630">
        <v>54</v>
      </c>
      <c r="O457" s="80" t="str">
        <f>IFERROR(VLOOKUP(N457,DATA!$K$4:$L$51,2,FALSE),"")</f>
        <v>Ашиглалтын зардалд төлсөн</v>
      </c>
      <c r="P457" s="80">
        <f t="shared" si="37"/>
        <v>1</v>
      </c>
      <c r="Q457" s="154">
        <f t="shared" si="38"/>
        <v>1</v>
      </c>
    </row>
    <row r="458" spans="2:17">
      <c r="B458" s="627">
        <f t="shared" si="39"/>
        <v>453</v>
      </c>
      <c r="C458" s="429">
        <v>43200</v>
      </c>
      <c r="D458" s="815" t="s">
        <v>2375</v>
      </c>
      <c r="E458" s="630">
        <v>310100</v>
      </c>
      <c r="F458" s="629" t="str">
        <f>IFERROR(VLOOKUP(E458,STAT1!$C$4:$D$1000,2,FALSE),"")</f>
        <v>Дансны өглөг MNT</v>
      </c>
      <c r="G458" s="376">
        <v>9888071.3800000008</v>
      </c>
      <c r="H458" s="376"/>
      <c r="I458" s="580">
        <f t="shared" si="40"/>
        <v>0</v>
      </c>
      <c r="J458" s="961">
        <f t="shared" si="41"/>
        <v>0</v>
      </c>
      <c r="K458" s="428"/>
      <c r="L458" s="630">
        <v>2004</v>
      </c>
      <c r="M458" s="80" t="str">
        <f>+IFERROR(VLOOKUP(L458,DATA!$G$4:$H$2000,2,FALSE),"")</f>
        <v xml:space="preserve">ДЦС-3 ТӨХК </v>
      </c>
      <c r="N458" s="630"/>
      <c r="O458" s="80" t="str">
        <f>IFERROR(VLOOKUP(N458,DATA!$K$4:$L$51,2,FALSE),"")</f>
        <v/>
      </c>
      <c r="P458" s="80">
        <f t="shared" si="37"/>
        <v>0</v>
      </c>
      <c r="Q458" s="154">
        <f t="shared" si="38"/>
        <v>0</v>
      </c>
    </row>
    <row r="459" spans="2:17">
      <c r="B459" s="627">
        <f t="shared" si="39"/>
        <v>454</v>
      </c>
      <c r="C459" s="429">
        <v>43200</v>
      </c>
      <c r="D459" s="815" t="s">
        <v>2554</v>
      </c>
      <c r="E459" s="630">
        <v>120600</v>
      </c>
      <c r="F459" s="629" t="str">
        <f>IFERROR(VLOOKUP(E459,STAT1!$C$4:$D$1000,2,FALSE),"")</f>
        <v>НӨАТ авлага</v>
      </c>
      <c r="G459" s="376">
        <v>830978.56000000006</v>
      </c>
      <c r="H459" s="376"/>
      <c r="I459" s="580">
        <f t="shared" si="40"/>
        <v>0</v>
      </c>
      <c r="J459" s="961">
        <f t="shared" si="41"/>
        <v>0</v>
      </c>
      <c r="K459" s="428"/>
      <c r="L459" s="630">
        <v>2004</v>
      </c>
      <c r="M459" s="80" t="str">
        <f>+IFERROR(VLOOKUP(L459,DATA!$G$4:$H$2000,2,FALSE),"")</f>
        <v xml:space="preserve">ДЦС-3 ТӨХК </v>
      </c>
      <c r="N459" s="630"/>
      <c r="O459" s="80" t="str">
        <f>IFERROR(VLOOKUP(N459,DATA!$K$4:$L$51,2,FALSE),"")</f>
        <v/>
      </c>
      <c r="P459" s="80">
        <f t="shared" si="37"/>
        <v>0</v>
      </c>
      <c r="Q459" s="154">
        <f t="shared" si="38"/>
        <v>0</v>
      </c>
    </row>
    <row r="460" spans="2:17">
      <c r="B460" s="627">
        <f t="shared" si="39"/>
        <v>455</v>
      </c>
      <c r="C460" s="429">
        <v>43200</v>
      </c>
      <c r="D460" s="815" t="s">
        <v>2554</v>
      </c>
      <c r="E460" s="630">
        <v>120100</v>
      </c>
      <c r="F460" s="629" t="str">
        <f>IFERROR(VLOOKUP(E460,STAT1!$C$4:$D$1000,2,FALSE),"")</f>
        <v xml:space="preserve">Дансны авлага MNT </v>
      </c>
      <c r="G460" s="376"/>
      <c r="H460" s="376">
        <v>830978.56000000006</v>
      </c>
      <c r="I460" s="580">
        <f t="shared" si="40"/>
        <v>0</v>
      </c>
      <c r="J460" s="961">
        <f t="shared" si="41"/>
        <v>0</v>
      </c>
      <c r="K460" s="428"/>
      <c r="L460" s="630">
        <v>2004</v>
      </c>
      <c r="M460" s="80" t="str">
        <f>+IFERROR(VLOOKUP(L460,DATA!$G$4:$H$2000,2,FALSE),"")</f>
        <v xml:space="preserve">ДЦС-3 ТӨХК </v>
      </c>
      <c r="N460" s="630"/>
      <c r="O460" s="80" t="str">
        <f>IFERROR(VLOOKUP(N460,DATA!$K$4:$L$51,2,FALSE),"")</f>
        <v/>
      </c>
      <c r="P460" s="80">
        <f t="shared" si="37"/>
        <v>0</v>
      </c>
      <c r="Q460" s="154">
        <f t="shared" si="38"/>
        <v>0</v>
      </c>
    </row>
    <row r="461" spans="2:17">
      <c r="B461" s="627">
        <f t="shared" si="39"/>
        <v>456</v>
      </c>
      <c r="C461" s="429">
        <v>43200</v>
      </c>
      <c r="D461" s="816" t="s">
        <v>2565</v>
      </c>
      <c r="E461" s="807">
        <v>100100</v>
      </c>
      <c r="F461" s="629" t="str">
        <f>IFERROR(VLOOKUP(E461,STAT1!$C$4:$D$1000,2,FALSE),"")</f>
        <v>Касс мөнгө MNT</v>
      </c>
      <c r="G461" s="811"/>
      <c r="H461" s="811">
        <v>20000</v>
      </c>
      <c r="I461" s="580">
        <f t="shared" si="40"/>
        <v>-20000</v>
      </c>
      <c r="J461" s="961">
        <f t="shared" si="41"/>
        <v>0</v>
      </c>
      <c r="K461" s="80"/>
      <c r="L461" s="807">
        <v>1008</v>
      </c>
      <c r="M461" s="80" t="str">
        <f>+IFERROR(VLOOKUP(L461,DATA!$G$4:$H$2000,2,FALSE),"")</f>
        <v xml:space="preserve">Оюунтүлхүүр </v>
      </c>
      <c r="N461" s="807">
        <v>55</v>
      </c>
      <c r="O461" s="80" t="str">
        <f>IFERROR(VLOOKUP(N461,DATA!$K$4:$L$51,2,FALSE),"")</f>
        <v>Түлш, шатахуун, тээврийн хөлс, сэлбэг хэрэгсэлд төлсөн</v>
      </c>
      <c r="P461" s="80">
        <f t="shared" si="37"/>
        <v>1</v>
      </c>
      <c r="Q461" s="154">
        <f t="shared" si="38"/>
        <v>1</v>
      </c>
    </row>
    <row r="462" spans="2:17">
      <c r="B462" s="627">
        <f t="shared" si="39"/>
        <v>457</v>
      </c>
      <c r="C462" s="429">
        <v>43200</v>
      </c>
      <c r="D462" s="816" t="s">
        <v>2565</v>
      </c>
      <c r="E462" s="807">
        <v>120600</v>
      </c>
      <c r="F462" s="629" t="str">
        <f>IFERROR(VLOOKUP(E462,STAT1!$C$4:$D$1000,2,FALSE),"")</f>
        <v>НӨАТ авлага</v>
      </c>
      <c r="G462" s="811">
        <v>1818.18</v>
      </c>
      <c r="H462" s="811"/>
      <c r="I462" s="580">
        <f t="shared" si="40"/>
        <v>0</v>
      </c>
      <c r="J462" s="961">
        <f t="shared" si="41"/>
        <v>0</v>
      </c>
      <c r="K462" s="80"/>
      <c r="L462" s="807">
        <v>1008</v>
      </c>
      <c r="M462" s="80" t="str">
        <f>+IFERROR(VLOOKUP(L462,DATA!$G$4:$H$2000,2,FALSE),"")</f>
        <v xml:space="preserve">Оюунтүлхүүр </v>
      </c>
      <c r="N462" s="807"/>
      <c r="O462" s="80" t="str">
        <f>IFERROR(VLOOKUP(N462,DATA!$K$4:$L$51,2,FALSE),"")</f>
        <v/>
      </c>
      <c r="P462" s="80">
        <f t="shared" si="37"/>
        <v>0</v>
      </c>
      <c r="Q462" s="154">
        <f t="shared" si="38"/>
        <v>0</v>
      </c>
    </row>
    <row r="463" spans="2:17">
      <c r="B463" s="627">
        <f t="shared" si="39"/>
        <v>458</v>
      </c>
      <c r="C463" s="429">
        <v>43200</v>
      </c>
      <c r="D463" s="816" t="s">
        <v>2565</v>
      </c>
      <c r="E463" s="807">
        <v>180200</v>
      </c>
      <c r="F463" s="629" t="str">
        <f>IFERROR(VLOOKUP(E463,STAT1!$C$4:$D$1000,2,FALSE),"")</f>
        <v xml:space="preserve">Урьдчилж төлсөн зардал MNT </v>
      </c>
      <c r="G463" s="811">
        <v>18181.82</v>
      </c>
      <c r="H463" s="811"/>
      <c r="I463" s="580">
        <f t="shared" si="40"/>
        <v>0</v>
      </c>
      <c r="J463" s="961">
        <f t="shared" si="41"/>
        <v>0</v>
      </c>
      <c r="K463" s="80"/>
      <c r="L463" s="807">
        <v>1008</v>
      </c>
      <c r="M463" s="80" t="str">
        <f>+IFERROR(VLOOKUP(L463,DATA!$G$4:$H$2000,2,FALSE),"")</f>
        <v xml:space="preserve">Оюунтүлхүүр </v>
      </c>
      <c r="N463" s="807"/>
      <c r="O463" s="80" t="str">
        <f>IFERROR(VLOOKUP(N463,DATA!$K$4:$L$51,2,FALSE),"")</f>
        <v/>
      </c>
      <c r="P463" s="80">
        <f t="shared" si="37"/>
        <v>0</v>
      </c>
      <c r="Q463" s="154">
        <f t="shared" si="38"/>
        <v>0</v>
      </c>
    </row>
    <row r="464" spans="2:17">
      <c r="B464" s="627">
        <f t="shared" si="39"/>
        <v>459</v>
      </c>
      <c r="C464" s="429">
        <v>43201</v>
      </c>
      <c r="D464" s="816" t="s">
        <v>2557</v>
      </c>
      <c r="E464" s="807">
        <v>100100</v>
      </c>
      <c r="F464" s="629" t="str">
        <f>IFERROR(VLOOKUP(E464,STAT1!$C$4:$D$1000,2,FALSE),"")</f>
        <v>Касс мөнгө MNT</v>
      </c>
      <c r="G464" s="811"/>
      <c r="H464" s="811">
        <v>5000000</v>
      </c>
      <c r="I464" s="580">
        <f t="shared" si="40"/>
        <v>-5000000</v>
      </c>
      <c r="J464" s="961">
        <f t="shared" si="41"/>
        <v>0</v>
      </c>
      <c r="K464" s="80"/>
      <c r="L464" s="807">
        <v>1004</v>
      </c>
      <c r="M464" s="80" t="str">
        <f>+IFERROR(VLOOKUP(L464,DATA!$G$4:$H$2000,2,FALSE),"")</f>
        <v xml:space="preserve">Түмэндэлгэр </v>
      </c>
      <c r="N464" s="807"/>
      <c r="O464" s="80" t="str">
        <f>IFERROR(VLOOKUP(N464,DATA!$K$4:$L$51,2,FALSE),"")</f>
        <v/>
      </c>
      <c r="P464" s="80">
        <f t="shared" si="37"/>
        <v>1</v>
      </c>
      <c r="Q464" s="154">
        <f t="shared" si="38"/>
        <v>1</v>
      </c>
    </row>
    <row r="465" spans="2:17">
      <c r="B465" s="627">
        <f t="shared" si="39"/>
        <v>460</v>
      </c>
      <c r="C465" s="429">
        <v>43201</v>
      </c>
      <c r="D465" s="816" t="s">
        <v>2557</v>
      </c>
      <c r="E465" s="807">
        <v>110100</v>
      </c>
      <c r="F465" s="629" t="str">
        <f>IFERROR(VLOOKUP(E465,STAT1!$C$4:$D$1000,2,FALSE),"")</f>
        <v>Хаан Банк 5024654020</v>
      </c>
      <c r="G465" s="811">
        <v>5000000</v>
      </c>
      <c r="H465" s="811"/>
      <c r="I465" s="580">
        <f t="shared" si="40"/>
        <v>5000000</v>
      </c>
      <c r="J465" s="961">
        <f t="shared" si="41"/>
        <v>0</v>
      </c>
      <c r="K465" s="80"/>
      <c r="L465" s="807">
        <v>1004</v>
      </c>
      <c r="M465" s="80" t="str">
        <f>+IFERROR(VLOOKUP(L465,DATA!$G$4:$H$2000,2,FALSE),"")</f>
        <v xml:space="preserve">Түмэндэлгэр </v>
      </c>
      <c r="N465" s="807"/>
      <c r="O465" s="80" t="str">
        <f>IFERROR(VLOOKUP(N465,DATA!$K$4:$L$51,2,FALSE),"")</f>
        <v/>
      </c>
      <c r="P465" s="80">
        <f t="shared" si="37"/>
        <v>1</v>
      </c>
      <c r="Q465" s="154">
        <f t="shared" si="38"/>
        <v>1</v>
      </c>
    </row>
    <row r="466" spans="2:17">
      <c r="B466" s="627">
        <f t="shared" si="39"/>
        <v>461</v>
      </c>
      <c r="C466" s="429">
        <v>43201</v>
      </c>
      <c r="D466" s="816" t="s">
        <v>2565</v>
      </c>
      <c r="E466" s="807">
        <v>100100</v>
      </c>
      <c r="F466" s="629" t="str">
        <f>IFERROR(VLOOKUP(E466,STAT1!$C$4:$D$1000,2,FALSE),"")</f>
        <v>Касс мөнгө MNT</v>
      </c>
      <c r="G466" s="811"/>
      <c r="H466" s="811">
        <v>100000</v>
      </c>
      <c r="I466" s="580">
        <f t="shared" si="40"/>
        <v>-100000</v>
      </c>
      <c r="J466" s="961">
        <f t="shared" si="41"/>
        <v>0</v>
      </c>
      <c r="K466" s="80"/>
      <c r="L466" s="807">
        <v>1008</v>
      </c>
      <c r="M466" s="80" t="str">
        <f>+IFERROR(VLOOKUP(L466,DATA!$G$4:$H$2000,2,FALSE),"")</f>
        <v xml:space="preserve">Оюунтүлхүүр </v>
      </c>
      <c r="N466" s="807">
        <v>55</v>
      </c>
      <c r="O466" s="80" t="str">
        <f>IFERROR(VLOOKUP(N466,DATA!$K$4:$L$51,2,FALSE),"")</f>
        <v>Түлш, шатахуун, тээврийн хөлс, сэлбэг хэрэгсэлд төлсөн</v>
      </c>
      <c r="P466" s="80">
        <f t="shared" si="37"/>
        <v>1</v>
      </c>
      <c r="Q466" s="154">
        <f t="shared" si="38"/>
        <v>1</v>
      </c>
    </row>
    <row r="467" spans="2:17">
      <c r="B467" s="627">
        <f t="shared" si="39"/>
        <v>462</v>
      </c>
      <c r="C467" s="429">
        <v>43201</v>
      </c>
      <c r="D467" s="816" t="s">
        <v>2565</v>
      </c>
      <c r="E467" s="807">
        <v>120600</v>
      </c>
      <c r="F467" s="629" t="str">
        <f>IFERROR(VLOOKUP(E467,STAT1!$C$4:$D$1000,2,FALSE),"")</f>
        <v>НӨАТ авлага</v>
      </c>
      <c r="G467" s="811">
        <v>9090.91</v>
      </c>
      <c r="H467" s="811"/>
      <c r="I467" s="580">
        <f t="shared" si="40"/>
        <v>0</v>
      </c>
      <c r="J467" s="961">
        <f t="shared" si="41"/>
        <v>0</v>
      </c>
      <c r="K467" s="80"/>
      <c r="L467" s="807">
        <v>1008</v>
      </c>
      <c r="M467" s="80" t="str">
        <f>+IFERROR(VLOOKUP(L467,DATA!$G$4:$H$2000,2,FALSE),"")</f>
        <v xml:space="preserve">Оюунтүлхүүр </v>
      </c>
      <c r="N467" s="807"/>
      <c r="O467" s="80" t="str">
        <f>IFERROR(VLOOKUP(N467,DATA!$K$4:$L$51,2,FALSE),"")</f>
        <v/>
      </c>
      <c r="P467" s="80">
        <f t="shared" si="37"/>
        <v>0</v>
      </c>
      <c r="Q467" s="154">
        <f t="shared" si="38"/>
        <v>0</v>
      </c>
    </row>
    <row r="468" spans="2:17">
      <c r="B468" s="627">
        <f t="shared" si="39"/>
        <v>463</v>
      </c>
      <c r="C468" s="429">
        <v>43201</v>
      </c>
      <c r="D468" s="816" t="s">
        <v>2565</v>
      </c>
      <c r="E468" s="807">
        <v>180200</v>
      </c>
      <c r="F468" s="629" t="str">
        <f>IFERROR(VLOOKUP(E468,STAT1!$C$4:$D$1000,2,FALSE),"")</f>
        <v xml:space="preserve">Урьдчилж төлсөн зардал MNT </v>
      </c>
      <c r="G468" s="811">
        <v>90909.09</v>
      </c>
      <c r="H468" s="811"/>
      <c r="I468" s="580">
        <f t="shared" si="40"/>
        <v>0</v>
      </c>
      <c r="J468" s="961">
        <f t="shared" si="41"/>
        <v>0</v>
      </c>
      <c r="K468" s="80"/>
      <c r="L468" s="807">
        <v>1008</v>
      </c>
      <c r="M468" s="80" t="str">
        <f>+IFERROR(VLOOKUP(L468,DATA!$G$4:$H$2000,2,FALSE),"")</f>
        <v xml:space="preserve">Оюунтүлхүүр </v>
      </c>
      <c r="N468" s="807"/>
      <c r="O468" s="80" t="str">
        <f>IFERROR(VLOOKUP(N468,DATA!$K$4:$L$51,2,FALSE),"")</f>
        <v/>
      </c>
      <c r="P468" s="80">
        <f t="shared" si="37"/>
        <v>0</v>
      </c>
      <c r="Q468" s="154">
        <f t="shared" si="38"/>
        <v>0</v>
      </c>
    </row>
    <row r="469" spans="2:17">
      <c r="B469" s="627">
        <f t="shared" si="39"/>
        <v>464</v>
      </c>
      <c r="C469" s="429">
        <v>43203</v>
      </c>
      <c r="D469" s="816" t="s">
        <v>2574</v>
      </c>
      <c r="E469" s="807">
        <v>100100</v>
      </c>
      <c r="F469" s="629" t="str">
        <f>IFERROR(VLOOKUP(E469,STAT1!$C$4:$D$1000,2,FALSE),"")</f>
        <v>Касс мөнгө MNT</v>
      </c>
      <c r="G469" s="811"/>
      <c r="H469" s="811">
        <v>10000000</v>
      </c>
      <c r="I469" s="580">
        <f t="shared" si="40"/>
        <v>-10000000</v>
      </c>
      <c r="J469" s="961">
        <f t="shared" si="41"/>
        <v>0</v>
      </c>
      <c r="K469" s="80"/>
      <c r="L469" s="807">
        <v>3120</v>
      </c>
      <c r="M469" s="80" t="str">
        <f>+IFERROR(VLOOKUP(L469,DATA!$G$4:$H$2000,2,FALSE),"")</f>
        <v>АКВАПЛАСТ МОНГОЛ ХХК</v>
      </c>
      <c r="N469" s="807">
        <v>53</v>
      </c>
      <c r="O469" s="80" t="str">
        <f>IFERROR(VLOOKUP(N469,DATA!$K$4:$L$51,2,FALSE),"")</f>
        <v>Бараа материал худалдан авахад төлсөн</v>
      </c>
      <c r="P469" s="80">
        <f t="shared" si="37"/>
        <v>1</v>
      </c>
      <c r="Q469" s="154">
        <f t="shared" si="38"/>
        <v>1</v>
      </c>
    </row>
    <row r="470" spans="2:17">
      <c r="B470" s="627">
        <f t="shared" si="39"/>
        <v>465</v>
      </c>
      <c r="C470" s="429">
        <v>43203</v>
      </c>
      <c r="D470" s="816" t="s">
        <v>2574</v>
      </c>
      <c r="E470" s="807">
        <v>120100</v>
      </c>
      <c r="F470" s="629" t="str">
        <f>IFERROR(VLOOKUP(E470,STAT1!$C$4:$D$1000,2,FALSE),"")</f>
        <v xml:space="preserve">Дансны авлага MNT </v>
      </c>
      <c r="G470" s="811">
        <v>10000000</v>
      </c>
      <c r="H470" s="811"/>
      <c r="I470" s="580">
        <f t="shared" si="40"/>
        <v>0</v>
      </c>
      <c r="J470" s="961">
        <f t="shared" si="41"/>
        <v>0</v>
      </c>
      <c r="K470" s="80"/>
      <c r="L470" s="807">
        <v>3120</v>
      </c>
      <c r="M470" s="80" t="str">
        <f>+IFERROR(VLOOKUP(L470,DATA!$G$4:$H$2000,2,FALSE),"")</f>
        <v>АКВАПЛАСТ МОНГОЛ ХХК</v>
      </c>
      <c r="N470" s="807"/>
      <c r="O470" s="80" t="str">
        <f>IFERROR(VLOOKUP(N470,DATA!$K$4:$L$51,2,FALSE),"")</f>
        <v/>
      </c>
      <c r="P470" s="80">
        <f t="shared" si="37"/>
        <v>0</v>
      </c>
      <c r="Q470" s="154">
        <f t="shared" si="38"/>
        <v>0</v>
      </c>
    </row>
    <row r="471" spans="2:17">
      <c r="B471" s="627">
        <f t="shared" si="39"/>
        <v>466</v>
      </c>
      <c r="C471" s="429">
        <v>43203</v>
      </c>
      <c r="D471" s="816" t="s">
        <v>2549</v>
      </c>
      <c r="E471" s="807">
        <v>150101</v>
      </c>
      <c r="F471" s="629" t="str">
        <f>IFERROR(VLOOKUP(E471,STAT1!$C$4:$D$1000,2,FALSE),"")</f>
        <v>Бараа бэлэн бүтээгдэхүүн БОЛОВСРУУЛАХ ЦЕХ /нарс/</v>
      </c>
      <c r="G471" s="811"/>
      <c r="H471" s="811">
        <v>363548.22</v>
      </c>
      <c r="I471" s="580">
        <f t="shared" si="40"/>
        <v>0</v>
      </c>
      <c r="J471" s="961">
        <f t="shared" si="41"/>
        <v>0</v>
      </c>
      <c r="K471" s="80"/>
      <c r="L471" s="807">
        <v>3109</v>
      </c>
      <c r="M471" s="80" t="str">
        <f>+IFERROR(VLOOKUP(L471,DATA!$G$4:$H$2000,2,FALSE),"")</f>
        <v xml:space="preserve">СИЛК РӨҮТ ТЕКСТИЛЬ ХХК </v>
      </c>
      <c r="N471" s="807"/>
      <c r="O471" s="80" t="str">
        <f>IFERROR(VLOOKUP(N471,DATA!$K$4:$L$51,2,FALSE),"")</f>
        <v/>
      </c>
      <c r="P471" s="80">
        <f t="shared" si="37"/>
        <v>0</v>
      </c>
      <c r="Q471" s="154">
        <f t="shared" si="38"/>
        <v>0</v>
      </c>
    </row>
    <row r="472" spans="2:17">
      <c r="B472" s="627">
        <f t="shared" si="39"/>
        <v>467</v>
      </c>
      <c r="C472" s="429">
        <v>43203</v>
      </c>
      <c r="D472" s="816" t="s">
        <v>2549</v>
      </c>
      <c r="E472" s="807">
        <v>610100</v>
      </c>
      <c r="F472" s="629" t="str">
        <f>IFERROR(VLOOKUP(E472,STAT1!$C$4:$D$1000,2,FALSE),"")</f>
        <v>Борлуулсан барааны өртөг</v>
      </c>
      <c r="G472" s="811">
        <v>363548.22</v>
      </c>
      <c r="H472" s="811"/>
      <c r="I472" s="580">
        <f t="shared" si="40"/>
        <v>0</v>
      </c>
      <c r="J472" s="961">
        <f t="shared" si="41"/>
        <v>0</v>
      </c>
      <c r="K472" s="80"/>
      <c r="L472" s="807">
        <v>3109</v>
      </c>
      <c r="M472" s="80" t="str">
        <f>+IFERROR(VLOOKUP(L472,DATA!$G$4:$H$2000,2,FALSE),"")</f>
        <v xml:space="preserve">СИЛК РӨҮТ ТЕКСТИЛЬ ХХК </v>
      </c>
      <c r="N472" s="807"/>
      <c r="O472" s="80" t="str">
        <f>IFERROR(VLOOKUP(N472,DATA!$K$4:$L$51,2,FALSE),"")</f>
        <v/>
      </c>
      <c r="P472" s="80">
        <f t="shared" si="37"/>
        <v>0</v>
      </c>
      <c r="Q472" s="154">
        <f t="shared" si="38"/>
        <v>0</v>
      </c>
    </row>
    <row r="473" spans="2:17">
      <c r="B473" s="627">
        <f t="shared" si="39"/>
        <v>468</v>
      </c>
      <c r="C473" s="429">
        <v>43203</v>
      </c>
      <c r="D473" s="816" t="s">
        <v>2549</v>
      </c>
      <c r="E473" s="807">
        <v>310500</v>
      </c>
      <c r="F473" s="629" t="str">
        <f>IFERROR(VLOOKUP(E473,STAT1!$C$4:$D$1000,2,FALSE),"")</f>
        <v>НӨАТ өглөг</v>
      </c>
      <c r="G473" s="811"/>
      <c r="H473" s="811">
        <v>54000</v>
      </c>
      <c r="I473" s="580">
        <f t="shared" si="40"/>
        <v>0</v>
      </c>
      <c r="J473" s="961">
        <f t="shared" si="41"/>
        <v>0</v>
      </c>
      <c r="K473" s="80"/>
      <c r="L473" s="807">
        <v>3109</v>
      </c>
      <c r="M473" s="80" t="str">
        <f>+IFERROR(VLOOKUP(L473,DATA!$G$4:$H$2000,2,FALSE),"")</f>
        <v xml:space="preserve">СИЛК РӨҮТ ТЕКСТИЛЬ ХХК </v>
      </c>
      <c r="N473" s="807"/>
      <c r="O473" s="80" t="str">
        <f>IFERROR(VLOOKUP(N473,DATA!$K$4:$L$51,2,FALSE),"")</f>
        <v/>
      </c>
      <c r="P473" s="80">
        <f t="shared" si="37"/>
        <v>0</v>
      </c>
      <c r="Q473" s="154">
        <f t="shared" si="38"/>
        <v>0</v>
      </c>
    </row>
    <row r="474" spans="2:17">
      <c r="B474" s="627">
        <f t="shared" si="39"/>
        <v>469</v>
      </c>
      <c r="C474" s="429">
        <v>43203</v>
      </c>
      <c r="D474" s="816" t="s">
        <v>2549</v>
      </c>
      <c r="E474" s="807">
        <v>510000</v>
      </c>
      <c r="F474" s="629" t="str">
        <f>IFERROR(VLOOKUP(E474,STAT1!$C$4:$D$1000,2,FALSE),"")</f>
        <v>Үндсэн үйл ажиллагааны борлуулалт</v>
      </c>
      <c r="G474" s="811"/>
      <c r="H474" s="811">
        <v>540000</v>
      </c>
      <c r="I474" s="580">
        <f t="shared" si="40"/>
        <v>0</v>
      </c>
      <c r="J474" s="961">
        <f t="shared" si="41"/>
        <v>0</v>
      </c>
      <c r="K474" s="80"/>
      <c r="L474" s="807">
        <v>3109</v>
      </c>
      <c r="M474" s="80" t="str">
        <f>+IFERROR(VLOOKUP(L474,DATA!$G$4:$H$2000,2,FALSE),"")</f>
        <v xml:space="preserve">СИЛК РӨҮТ ТЕКСТИЛЬ ХХК </v>
      </c>
      <c r="N474" s="807"/>
      <c r="O474" s="80" t="str">
        <f>IFERROR(VLOOKUP(N474,DATA!$K$4:$L$51,2,FALSE),"")</f>
        <v/>
      </c>
      <c r="P474" s="80">
        <f t="shared" si="37"/>
        <v>0</v>
      </c>
      <c r="Q474" s="154">
        <f t="shared" si="38"/>
        <v>0</v>
      </c>
    </row>
    <row r="475" spans="2:17">
      <c r="B475" s="627">
        <f t="shared" si="39"/>
        <v>470</v>
      </c>
      <c r="C475" s="429">
        <v>43203</v>
      </c>
      <c r="D475" s="816" t="s">
        <v>2549</v>
      </c>
      <c r="E475" s="807">
        <v>320100</v>
      </c>
      <c r="F475" s="629" t="str">
        <f>IFERROR(VLOOKUP(E475,STAT1!$C$4:$D$1000,2,FALSE),"")</f>
        <v>Урьдчилж орсон орлого MNT</v>
      </c>
      <c r="G475" s="811">
        <v>594000</v>
      </c>
      <c r="H475" s="811"/>
      <c r="I475" s="580">
        <f t="shared" si="40"/>
        <v>0</v>
      </c>
      <c r="J475" s="961">
        <f t="shared" si="41"/>
        <v>0</v>
      </c>
      <c r="K475" s="80"/>
      <c r="L475" s="807">
        <v>3109</v>
      </c>
      <c r="M475" s="80" t="str">
        <f>+IFERROR(VLOOKUP(L475,DATA!$G$4:$H$2000,2,FALSE),"")</f>
        <v xml:space="preserve">СИЛК РӨҮТ ТЕКСТИЛЬ ХХК </v>
      </c>
      <c r="N475" s="807"/>
      <c r="O475" s="80" t="str">
        <f>IFERROR(VLOOKUP(N475,DATA!$K$4:$L$51,2,FALSE),"")</f>
        <v/>
      </c>
      <c r="P475" s="80">
        <f t="shared" si="37"/>
        <v>0</v>
      </c>
      <c r="Q475" s="154">
        <f t="shared" si="38"/>
        <v>0</v>
      </c>
    </row>
    <row r="476" spans="2:17">
      <c r="B476" s="627">
        <f t="shared" si="39"/>
        <v>471</v>
      </c>
      <c r="C476" s="429">
        <v>43203</v>
      </c>
      <c r="D476" s="816" t="s">
        <v>2549</v>
      </c>
      <c r="E476" s="807">
        <v>150101</v>
      </c>
      <c r="F476" s="629" t="str">
        <f>IFERROR(VLOOKUP(E476,STAT1!$C$4:$D$1000,2,FALSE),"")</f>
        <v>Бараа бэлэн бүтээгдэхүүн БОЛОВСРУУЛАХ ЦЕХ /нарс/</v>
      </c>
      <c r="G476" s="811"/>
      <c r="H476" s="811">
        <v>74460.86</v>
      </c>
      <c r="I476" s="580">
        <f t="shared" si="40"/>
        <v>0</v>
      </c>
      <c r="J476" s="961">
        <f t="shared" si="41"/>
        <v>0</v>
      </c>
      <c r="K476" s="80"/>
      <c r="L476" s="807">
        <v>3021</v>
      </c>
      <c r="M476" s="80" t="str">
        <f>+IFERROR(VLOOKUP(L476,DATA!$G$4:$H$2000,2,FALSE),"")</f>
        <v>БАНДИА ХХК</v>
      </c>
      <c r="N476" s="807"/>
      <c r="O476" s="80" t="str">
        <f>IFERROR(VLOOKUP(N476,DATA!$K$4:$L$51,2,FALSE),"")</f>
        <v/>
      </c>
      <c r="P476" s="80">
        <f t="shared" si="37"/>
        <v>0</v>
      </c>
      <c r="Q476" s="154">
        <f t="shared" si="38"/>
        <v>0</v>
      </c>
    </row>
    <row r="477" spans="2:17">
      <c r="B477" s="627">
        <f t="shared" si="39"/>
        <v>472</v>
      </c>
      <c r="C477" s="429">
        <v>43203</v>
      </c>
      <c r="D477" s="816" t="s">
        <v>2549</v>
      </c>
      <c r="E477" s="807">
        <v>610100</v>
      </c>
      <c r="F477" s="629" t="str">
        <f>IFERROR(VLOOKUP(E477,STAT1!$C$4:$D$1000,2,FALSE),"")</f>
        <v>Борлуулсан барааны өртөг</v>
      </c>
      <c r="G477" s="811">
        <v>74460.86</v>
      </c>
      <c r="H477" s="811"/>
      <c r="I477" s="580">
        <f t="shared" si="40"/>
        <v>0</v>
      </c>
      <c r="J477" s="961">
        <f t="shared" si="41"/>
        <v>0</v>
      </c>
      <c r="K477" s="80"/>
      <c r="L477" s="807">
        <v>3021</v>
      </c>
      <c r="M477" s="80" t="str">
        <f>+IFERROR(VLOOKUP(L477,DATA!$G$4:$H$2000,2,FALSE),"")</f>
        <v>БАНДИА ХХК</v>
      </c>
      <c r="N477" s="807"/>
      <c r="O477" s="80" t="str">
        <f>IFERROR(VLOOKUP(N477,DATA!$K$4:$L$51,2,FALSE),"")</f>
        <v/>
      </c>
      <c r="P477" s="80">
        <f t="shared" si="37"/>
        <v>0</v>
      </c>
      <c r="Q477" s="154">
        <f t="shared" si="38"/>
        <v>0</v>
      </c>
    </row>
    <row r="478" spans="2:17">
      <c r="B478" s="627">
        <f t="shared" si="39"/>
        <v>473</v>
      </c>
      <c r="C478" s="582">
        <v>43203</v>
      </c>
      <c r="D478" s="816" t="s">
        <v>2549</v>
      </c>
      <c r="E478" s="630">
        <v>310500</v>
      </c>
      <c r="F478" s="629" t="str">
        <f>IFERROR(VLOOKUP(E478,STAT1!$C$4:$D$1000,2,FALSE),"")</f>
        <v>НӨАТ өглөг</v>
      </c>
      <c r="G478" s="376"/>
      <c r="H478" s="376">
        <v>9000</v>
      </c>
      <c r="I478" s="580">
        <f t="shared" si="40"/>
        <v>0</v>
      </c>
      <c r="J478" s="961">
        <f t="shared" si="41"/>
        <v>0</v>
      </c>
      <c r="K478" s="80"/>
      <c r="L478" s="630">
        <v>3021</v>
      </c>
      <c r="M478" s="80" t="str">
        <f>+IFERROR(VLOOKUP(L478,DATA!$G$4:$H$2000,2,FALSE),"")</f>
        <v>БАНДИА ХХК</v>
      </c>
      <c r="N478" s="630"/>
      <c r="O478" s="80" t="str">
        <f>IFERROR(VLOOKUP(N478,DATA!$K$4:$L$51,2,FALSE),"")</f>
        <v/>
      </c>
      <c r="P478" s="80">
        <f t="shared" si="37"/>
        <v>0</v>
      </c>
      <c r="Q478" s="154">
        <f t="shared" si="38"/>
        <v>0</v>
      </c>
    </row>
    <row r="479" spans="2:17">
      <c r="B479" s="627">
        <f t="shared" si="39"/>
        <v>474</v>
      </c>
      <c r="C479" s="582">
        <v>43203</v>
      </c>
      <c r="D479" s="816" t="s">
        <v>2549</v>
      </c>
      <c r="E479" s="630">
        <v>510000</v>
      </c>
      <c r="F479" s="629" t="str">
        <f>IFERROR(VLOOKUP(E479,STAT1!$C$4:$D$1000,2,FALSE),"")</f>
        <v>Үндсэн үйл ажиллагааны борлуулалт</v>
      </c>
      <c r="G479" s="376"/>
      <c r="H479" s="376">
        <v>90000</v>
      </c>
      <c r="I479" s="580">
        <f t="shared" si="40"/>
        <v>0</v>
      </c>
      <c r="J479" s="961">
        <f t="shared" si="41"/>
        <v>0</v>
      </c>
      <c r="K479" s="80"/>
      <c r="L479" s="630">
        <v>3021</v>
      </c>
      <c r="M479" s="80" t="str">
        <f>+IFERROR(VLOOKUP(L479,DATA!$G$4:$H$2000,2,FALSE),"")</f>
        <v>БАНДИА ХХК</v>
      </c>
      <c r="N479" s="630"/>
      <c r="O479" s="80" t="str">
        <f>IFERROR(VLOOKUP(N479,DATA!$K$4:$L$51,2,FALSE),"")</f>
        <v/>
      </c>
      <c r="P479" s="80">
        <f t="shared" si="37"/>
        <v>0</v>
      </c>
      <c r="Q479" s="154">
        <f t="shared" si="38"/>
        <v>0</v>
      </c>
    </row>
    <row r="480" spans="2:17">
      <c r="B480" s="627">
        <f t="shared" si="39"/>
        <v>475</v>
      </c>
      <c r="C480" s="582">
        <v>43203</v>
      </c>
      <c r="D480" s="816" t="s">
        <v>2549</v>
      </c>
      <c r="E480" s="630">
        <v>320100</v>
      </c>
      <c r="F480" s="629" t="str">
        <f>IFERROR(VLOOKUP(E480,STAT1!$C$4:$D$1000,2,FALSE),"")</f>
        <v>Урьдчилж орсон орлого MNT</v>
      </c>
      <c r="G480" s="376">
        <v>99000</v>
      </c>
      <c r="H480" s="376"/>
      <c r="I480" s="580">
        <f t="shared" si="40"/>
        <v>0</v>
      </c>
      <c r="J480" s="961">
        <f t="shared" si="41"/>
        <v>0</v>
      </c>
      <c r="K480" s="80"/>
      <c r="L480" s="630">
        <v>3021</v>
      </c>
      <c r="M480" s="80" t="str">
        <f>+IFERROR(VLOOKUP(L480,DATA!$G$4:$H$2000,2,FALSE),"")</f>
        <v>БАНДИА ХХК</v>
      </c>
      <c r="N480" s="630"/>
      <c r="O480" s="80" t="str">
        <f>IFERROR(VLOOKUP(N480,DATA!$K$4:$L$51,2,FALSE),"")</f>
        <v/>
      </c>
      <c r="P480" s="80">
        <f t="shared" si="37"/>
        <v>0</v>
      </c>
      <c r="Q480" s="154">
        <f t="shared" si="38"/>
        <v>0</v>
      </c>
    </row>
    <row r="481" spans="2:17" ht="13.5" customHeight="1">
      <c r="B481" s="627">
        <f t="shared" si="39"/>
        <v>476</v>
      </c>
      <c r="C481" s="582">
        <v>43203</v>
      </c>
      <c r="D481" s="816" t="s">
        <v>2549</v>
      </c>
      <c r="E481" s="630">
        <v>150101</v>
      </c>
      <c r="F481" s="629" t="str">
        <f>IFERROR(VLOOKUP(E481,STAT1!$C$4:$D$1000,2,FALSE),"")</f>
        <v>Бараа бэлэн бүтээгдэхүүн БОЛОВСРУУЛАХ ЦЕХ /нарс/</v>
      </c>
      <c r="G481" s="376"/>
      <c r="H481" s="376">
        <v>21700.03</v>
      </c>
      <c r="I481" s="580">
        <f t="shared" si="40"/>
        <v>0</v>
      </c>
      <c r="J481" s="961">
        <f t="shared" si="41"/>
        <v>0</v>
      </c>
      <c r="K481" s="80"/>
      <c r="L481" s="630">
        <v>3123</v>
      </c>
      <c r="M481" s="80" t="str">
        <f>+IFERROR(VLOOKUP(L481,DATA!$G$4:$H$2000,2,FALSE),"")</f>
        <v>ЭКОСКҮҮЛ ГАРДЕН ХХК</v>
      </c>
      <c r="N481" s="630"/>
      <c r="O481" s="80" t="str">
        <f>IFERROR(VLOOKUP(N481,DATA!$K$4:$L$51,2,FALSE),"")</f>
        <v/>
      </c>
      <c r="P481" s="80">
        <f t="shared" si="37"/>
        <v>0</v>
      </c>
      <c r="Q481" s="154">
        <f t="shared" si="38"/>
        <v>0</v>
      </c>
    </row>
    <row r="482" spans="2:17">
      <c r="B482" s="627">
        <f t="shared" si="39"/>
        <v>477</v>
      </c>
      <c r="C482" s="582">
        <v>43203</v>
      </c>
      <c r="D482" s="816" t="s">
        <v>2549</v>
      </c>
      <c r="E482" s="630">
        <v>610100</v>
      </c>
      <c r="F482" s="629" t="str">
        <f>IFERROR(VLOOKUP(E482,STAT1!$C$4:$D$1000,2,FALSE),"")</f>
        <v>Борлуулсан барааны өртөг</v>
      </c>
      <c r="G482" s="376">
        <v>21700.03</v>
      </c>
      <c r="H482" s="376"/>
      <c r="I482" s="580">
        <f t="shared" si="40"/>
        <v>0</v>
      </c>
      <c r="J482" s="961">
        <f t="shared" si="41"/>
        <v>0</v>
      </c>
      <c r="K482" s="80"/>
      <c r="L482" s="630">
        <v>3123</v>
      </c>
      <c r="M482" s="80" t="str">
        <f>+IFERROR(VLOOKUP(L482,DATA!$G$4:$H$2000,2,FALSE),"")</f>
        <v>ЭКОСКҮҮЛ ГАРДЕН ХХК</v>
      </c>
      <c r="N482" s="630"/>
      <c r="O482" s="80" t="str">
        <f>IFERROR(VLOOKUP(N482,DATA!$K$4:$L$51,2,FALSE),"")</f>
        <v/>
      </c>
      <c r="P482" s="80">
        <f t="shared" si="37"/>
        <v>0</v>
      </c>
      <c r="Q482" s="154">
        <f t="shared" si="38"/>
        <v>0</v>
      </c>
    </row>
    <row r="483" spans="2:17">
      <c r="B483" s="627">
        <f t="shared" si="39"/>
        <v>478</v>
      </c>
      <c r="C483" s="429">
        <v>43203</v>
      </c>
      <c r="D483" s="816" t="s">
        <v>2549</v>
      </c>
      <c r="E483" s="807">
        <v>310500</v>
      </c>
      <c r="F483" s="629" t="str">
        <f>IFERROR(VLOOKUP(E483,STAT1!$C$4:$D$1000,2,FALSE),"")</f>
        <v>НӨАТ өглөг</v>
      </c>
      <c r="G483" s="811"/>
      <c r="H483" s="811">
        <v>4725</v>
      </c>
      <c r="I483" s="580">
        <f t="shared" si="40"/>
        <v>0</v>
      </c>
      <c r="J483" s="961">
        <f t="shared" si="41"/>
        <v>0</v>
      </c>
      <c r="K483" s="80"/>
      <c r="L483" s="807">
        <v>3123</v>
      </c>
      <c r="M483" s="80" t="str">
        <f>+IFERROR(VLOOKUP(L483,DATA!$G$4:$H$2000,2,FALSE),"")</f>
        <v>ЭКОСКҮҮЛ ГАРДЕН ХХК</v>
      </c>
      <c r="N483" s="807"/>
      <c r="O483" s="80" t="str">
        <f>IFERROR(VLOOKUP(N483,DATA!$K$4:$L$51,2,FALSE),"")</f>
        <v/>
      </c>
      <c r="P483" s="80">
        <f t="shared" si="37"/>
        <v>0</v>
      </c>
      <c r="Q483" s="154">
        <f t="shared" si="38"/>
        <v>0</v>
      </c>
    </row>
    <row r="484" spans="2:17">
      <c r="B484" s="627">
        <f t="shared" si="39"/>
        <v>479</v>
      </c>
      <c r="C484" s="429">
        <v>43203</v>
      </c>
      <c r="D484" s="816" t="s">
        <v>2549</v>
      </c>
      <c r="E484" s="807">
        <v>510000</v>
      </c>
      <c r="F484" s="629" t="str">
        <f>IFERROR(VLOOKUP(E484,STAT1!$C$4:$D$1000,2,FALSE),"")</f>
        <v>Үндсэн үйл ажиллагааны борлуулалт</v>
      </c>
      <c r="G484" s="811"/>
      <c r="H484" s="811">
        <v>47250</v>
      </c>
      <c r="I484" s="580">
        <f t="shared" si="40"/>
        <v>0</v>
      </c>
      <c r="J484" s="961">
        <f t="shared" si="41"/>
        <v>0</v>
      </c>
      <c r="K484" s="80"/>
      <c r="L484" s="807">
        <v>3123</v>
      </c>
      <c r="M484" s="80" t="str">
        <f>+IFERROR(VLOOKUP(L484,DATA!$G$4:$H$2000,2,FALSE),"")</f>
        <v>ЭКОСКҮҮЛ ГАРДЕН ХХК</v>
      </c>
      <c r="N484" s="807"/>
      <c r="O484" s="80" t="str">
        <f>IFERROR(VLOOKUP(N484,DATA!$K$4:$L$51,2,FALSE),"")</f>
        <v/>
      </c>
      <c r="P484" s="80">
        <f t="shared" si="37"/>
        <v>0</v>
      </c>
      <c r="Q484" s="154">
        <f t="shared" si="38"/>
        <v>0</v>
      </c>
    </row>
    <row r="485" spans="2:17">
      <c r="B485" s="627">
        <f t="shared" si="39"/>
        <v>480</v>
      </c>
      <c r="C485" s="429">
        <v>43203</v>
      </c>
      <c r="D485" s="816" t="s">
        <v>2549</v>
      </c>
      <c r="E485" s="807">
        <v>320100</v>
      </c>
      <c r="F485" s="629" t="str">
        <f>IFERROR(VLOOKUP(E485,STAT1!$C$4:$D$1000,2,FALSE),"")</f>
        <v>Урьдчилж орсон орлого MNT</v>
      </c>
      <c r="G485" s="811">
        <v>51975</v>
      </c>
      <c r="H485" s="811"/>
      <c r="I485" s="580">
        <f t="shared" si="40"/>
        <v>0</v>
      </c>
      <c r="J485" s="961">
        <f t="shared" si="41"/>
        <v>0</v>
      </c>
      <c r="K485" s="80"/>
      <c r="L485" s="807">
        <v>3123</v>
      </c>
      <c r="M485" s="80" t="str">
        <f>+IFERROR(VLOOKUP(L485,DATA!$G$4:$H$2000,2,FALSE),"")</f>
        <v>ЭКОСКҮҮЛ ГАРДЕН ХХК</v>
      </c>
      <c r="N485" s="807"/>
      <c r="O485" s="80" t="str">
        <f>IFERROR(VLOOKUP(N485,DATA!$K$4:$L$51,2,FALSE),"")</f>
        <v/>
      </c>
      <c r="P485" s="80">
        <f t="shared" si="37"/>
        <v>0</v>
      </c>
      <c r="Q485" s="154">
        <f t="shared" si="38"/>
        <v>0</v>
      </c>
    </row>
    <row r="486" spans="2:17">
      <c r="B486" s="627">
        <f t="shared" si="39"/>
        <v>481</v>
      </c>
      <c r="C486" s="429">
        <v>43204</v>
      </c>
      <c r="D486" s="816" t="s">
        <v>2538</v>
      </c>
      <c r="E486" s="807">
        <v>100100</v>
      </c>
      <c r="F486" s="629" t="str">
        <f>IFERROR(VLOOKUP(E486,STAT1!$C$4:$D$1000,2,FALSE),"")</f>
        <v>Касс мөнгө MNT</v>
      </c>
      <c r="G486" s="811"/>
      <c r="H486" s="811">
        <v>80000</v>
      </c>
      <c r="I486" s="580">
        <f t="shared" si="40"/>
        <v>-80000</v>
      </c>
      <c r="J486" s="961">
        <f t="shared" si="41"/>
        <v>0</v>
      </c>
      <c r="K486" s="80"/>
      <c r="L486" s="807">
        <v>1008</v>
      </c>
      <c r="M486" s="80" t="str">
        <f>+IFERROR(VLOOKUP(L486,DATA!$G$4:$H$2000,2,FALSE),"")</f>
        <v xml:space="preserve">Оюунтүлхүүр </v>
      </c>
      <c r="N486" s="807">
        <v>55</v>
      </c>
      <c r="O486" s="80" t="str">
        <f>IFERROR(VLOOKUP(N486,DATA!$K$4:$L$51,2,FALSE),"")</f>
        <v>Түлш, шатахуун, тээврийн хөлс, сэлбэг хэрэгсэлд төлсөн</v>
      </c>
      <c r="P486" s="80">
        <f t="shared" si="37"/>
        <v>1</v>
      </c>
      <c r="Q486" s="154">
        <f t="shared" si="38"/>
        <v>1</v>
      </c>
    </row>
    <row r="487" spans="2:17">
      <c r="B487" s="627">
        <f t="shared" si="39"/>
        <v>482</v>
      </c>
      <c r="C487" s="429">
        <v>43204</v>
      </c>
      <c r="D487" s="816" t="s">
        <v>2538</v>
      </c>
      <c r="E487" s="807">
        <v>120600</v>
      </c>
      <c r="F487" s="629" t="str">
        <f>IFERROR(VLOOKUP(E487,STAT1!$C$4:$D$1000,2,FALSE),"")</f>
        <v>НӨАТ авлага</v>
      </c>
      <c r="G487" s="811">
        <v>7272.73</v>
      </c>
      <c r="H487" s="811"/>
      <c r="I487" s="580">
        <f t="shared" si="40"/>
        <v>0</v>
      </c>
      <c r="J487" s="961">
        <f t="shared" si="41"/>
        <v>0</v>
      </c>
      <c r="K487" s="80"/>
      <c r="L487" s="807">
        <v>1008</v>
      </c>
      <c r="M487" s="80" t="str">
        <f>+IFERROR(VLOOKUP(L487,DATA!$G$4:$H$2000,2,FALSE),"")</f>
        <v xml:space="preserve">Оюунтүлхүүр </v>
      </c>
      <c r="N487" s="807"/>
      <c r="O487" s="80" t="str">
        <f>IFERROR(VLOOKUP(N487,DATA!$K$4:$L$51,2,FALSE),"")</f>
        <v/>
      </c>
      <c r="P487" s="80">
        <f t="shared" si="37"/>
        <v>0</v>
      </c>
      <c r="Q487" s="154">
        <f t="shared" si="38"/>
        <v>0</v>
      </c>
    </row>
    <row r="488" spans="2:17">
      <c r="B488" s="627">
        <f t="shared" si="39"/>
        <v>483</v>
      </c>
      <c r="C488" s="429">
        <v>43204</v>
      </c>
      <c r="D488" s="816" t="s">
        <v>2538</v>
      </c>
      <c r="E488" s="807">
        <v>140401</v>
      </c>
      <c r="F488" s="629" t="str">
        <f>IFERROR(VLOOKUP(E488,STAT1!$C$4:$D$1000,2,FALSE),"")</f>
        <v>ҮНЗардал БОЛОВСРУУЛАХ ЦЕХ /нарс/</v>
      </c>
      <c r="G488" s="811">
        <v>72727.27</v>
      </c>
      <c r="H488" s="811"/>
      <c r="I488" s="580">
        <f t="shared" si="40"/>
        <v>0</v>
      </c>
      <c r="J488" s="961">
        <f t="shared" si="41"/>
        <v>0</v>
      </c>
      <c r="K488" s="80"/>
      <c r="L488" s="807">
        <v>1008</v>
      </c>
      <c r="M488" s="80" t="str">
        <f>+IFERROR(VLOOKUP(L488,DATA!$G$4:$H$2000,2,FALSE),"")</f>
        <v xml:space="preserve">Оюунтүлхүүр </v>
      </c>
      <c r="N488" s="807"/>
      <c r="O488" s="80" t="str">
        <f>IFERROR(VLOOKUP(N488,DATA!$K$4:$L$51,2,FALSE),"")</f>
        <v/>
      </c>
      <c r="P488" s="80">
        <f t="shared" si="37"/>
        <v>0</v>
      </c>
      <c r="Q488" s="154">
        <f t="shared" si="38"/>
        <v>0</v>
      </c>
    </row>
    <row r="489" spans="2:17">
      <c r="B489" s="627">
        <f t="shared" si="39"/>
        <v>484</v>
      </c>
      <c r="C489" s="429">
        <v>43206</v>
      </c>
      <c r="D489" s="816" t="s">
        <v>2578</v>
      </c>
      <c r="E489" s="807">
        <v>160100</v>
      </c>
      <c r="F489" s="629" t="str">
        <f>IFERROR(VLOOKUP(E489,STAT1!$C$4:$D$8000,2,FALSE),"")</f>
        <v xml:space="preserve">Барилгын материал </v>
      </c>
      <c r="G489" s="811">
        <v>2692000</v>
      </c>
      <c r="H489" s="811"/>
      <c r="I489" s="580">
        <f t="shared" si="40"/>
        <v>0</v>
      </c>
      <c r="J489" s="961">
        <f t="shared" si="41"/>
        <v>0</v>
      </c>
      <c r="K489" s="80"/>
      <c r="L489" s="807">
        <v>3017</v>
      </c>
      <c r="M489" s="80" t="str">
        <f>+IFERROR(VLOOKUP(L489,DATA!$G$4:$H$2000,2,FALSE),"")</f>
        <v xml:space="preserve">ВОС ХХК </v>
      </c>
      <c r="N489" s="807"/>
      <c r="O489" s="80" t="str">
        <f>IFERROR(VLOOKUP(N489,DATA!$K$4:$L$51,2,FALSE),"")</f>
        <v/>
      </c>
      <c r="P489" s="80">
        <f t="shared" si="37"/>
        <v>0</v>
      </c>
      <c r="Q489" s="154">
        <f t="shared" si="38"/>
        <v>0</v>
      </c>
    </row>
    <row r="490" spans="2:17">
      <c r="B490" s="627">
        <f t="shared" si="39"/>
        <v>485</v>
      </c>
      <c r="C490" s="429">
        <v>43206</v>
      </c>
      <c r="D490" s="816" t="s">
        <v>2578</v>
      </c>
      <c r="E490" s="807">
        <v>120600</v>
      </c>
      <c r="F490" s="629" t="str">
        <f>IFERROR(VLOOKUP(E490,STAT1!$C$4:$D$8000,2,FALSE),"")</f>
        <v>НӨАТ авлага</v>
      </c>
      <c r="G490" s="811">
        <v>269200</v>
      </c>
      <c r="H490" s="811"/>
      <c r="I490" s="580">
        <f t="shared" si="40"/>
        <v>0</v>
      </c>
      <c r="J490" s="961">
        <f t="shared" si="41"/>
        <v>0</v>
      </c>
      <c r="K490" s="80"/>
      <c r="L490" s="807">
        <v>3017</v>
      </c>
      <c r="M490" s="80" t="str">
        <f>+IFERROR(VLOOKUP(L490,DATA!$G$4:$H$2000,2,FALSE),"")</f>
        <v xml:space="preserve">ВОС ХХК </v>
      </c>
      <c r="N490" s="807"/>
      <c r="O490" s="80" t="str">
        <f>IFERROR(VLOOKUP(N490,DATA!$K$4:$L$51,2,FALSE),"")</f>
        <v/>
      </c>
      <c r="P490" s="80">
        <f t="shared" si="37"/>
        <v>0</v>
      </c>
      <c r="Q490" s="154">
        <f t="shared" si="38"/>
        <v>0</v>
      </c>
    </row>
    <row r="491" spans="2:17">
      <c r="B491" s="627">
        <f t="shared" si="39"/>
        <v>486</v>
      </c>
      <c r="C491" s="429">
        <v>43206</v>
      </c>
      <c r="D491" s="816" t="s">
        <v>2578</v>
      </c>
      <c r="E491" s="807">
        <v>120100</v>
      </c>
      <c r="F491" s="629" t="str">
        <f>IFERROR(VLOOKUP(E491,STAT1!$C$4:$D$8000,2,FALSE),"")</f>
        <v xml:space="preserve">Дансны авлага MNT </v>
      </c>
      <c r="G491" s="811"/>
      <c r="H491" s="811">
        <f>+G490+G489</f>
        <v>2961200</v>
      </c>
      <c r="I491" s="580">
        <f t="shared" si="40"/>
        <v>0</v>
      </c>
      <c r="J491" s="961">
        <f t="shared" si="41"/>
        <v>0</v>
      </c>
      <c r="K491" s="80"/>
      <c r="L491" s="807">
        <v>3017</v>
      </c>
      <c r="M491" s="80" t="str">
        <f>+IFERROR(VLOOKUP(L491,DATA!$G$4:$H$2000,2,FALSE),"")</f>
        <v xml:space="preserve">ВОС ХХК </v>
      </c>
      <c r="N491" s="807"/>
      <c r="O491" s="80" t="str">
        <f>IFERROR(VLOOKUP(N491,DATA!$K$4:$L$51,2,FALSE),"")</f>
        <v/>
      </c>
      <c r="P491" s="80">
        <f t="shared" si="37"/>
        <v>0</v>
      </c>
      <c r="Q491" s="154">
        <f t="shared" si="38"/>
        <v>0</v>
      </c>
    </row>
    <row r="492" spans="2:17">
      <c r="B492" s="627">
        <f t="shared" si="39"/>
        <v>487</v>
      </c>
      <c r="C492" s="429">
        <v>43206</v>
      </c>
      <c r="D492" s="816" t="s">
        <v>2513</v>
      </c>
      <c r="E492" s="807">
        <v>100100</v>
      </c>
      <c r="F492" s="629" t="str">
        <f>IFERROR(VLOOKUP(E492,STAT1!$C$4:$D$8000,2,FALSE),"")</f>
        <v>Касс мөнгө MNT</v>
      </c>
      <c r="G492" s="811"/>
      <c r="H492" s="811">
        <v>2961200</v>
      </c>
      <c r="I492" s="580">
        <f t="shared" si="40"/>
        <v>-2961200</v>
      </c>
      <c r="J492" s="961">
        <f t="shared" si="41"/>
        <v>0</v>
      </c>
      <c r="K492" s="80"/>
      <c r="L492" s="807">
        <v>3017</v>
      </c>
      <c r="M492" s="80" t="str">
        <f>+IFERROR(VLOOKUP(L492,DATA!$G$4:$H$2000,2,FALSE),"")</f>
        <v xml:space="preserve">ВОС ХХК </v>
      </c>
      <c r="N492" s="807">
        <v>53</v>
      </c>
      <c r="O492" s="80" t="str">
        <f>IFERROR(VLOOKUP(N492,DATA!$K$4:$L$51,2,FALSE),"")</f>
        <v>Бараа материал худалдан авахад төлсөн</v>
      </c>
      <c r="P492" s="80">
        <f t="shared" si="37"/>
        <v>1</v>
      </c>
      <c r="Q492" s="154">
        <f t="shared" si="38"/>
        <v>1</v>
      </c>
    </row>
    <row r="493" spans="2:17">
      <c r="B493" s="627">
        <f t="shared" si="39"/>
        <v>488</v>
      </c>
      <c r="C493" s="429">
        <v>43206</v>
      </c>
      <c r="D493" s="816" t="s">
        <v>2513</v>
      </c>
      <c r="E493" s="807">
        <v>120100</v>
      </c>
      <c r="F493" s="629" t="str">
        <f>IFERROR(VLOOKUP(E493,STAT1!$C$4:$D$8000,2,FALSE),"")</f>
        <v xml:space="preserve">Дансны авлага MNT </v>
      </c>
      <c r="G493" s="811">
        <v>2961200</v>
      </c>
      <c r="H493" s="811"/>
      <c r="I493" s="580">
        <f t="shared" si="40"/>
        <v>0</v>
      </c>
      <c r="J493" s="961">
        <f t="shared" si="41"/>
        <v>0</v>
      </c>
      <c r="K493" s="80"/>
      <c r="L493" s="807">
        <v>3017</v>
      </c>
      <c r="M493" s="80" t="str">
        <f>+IFERROR(VLOOKUP(L493,DATA!$G$4:$H$2000,2,FALSE),"")</f>
        <v xml:space="preserve">ВОС ХХК </v>
      </c>
      <c r="N493" s="807"/>
      <c r="O493" s="80" t="str">
        <f>IFERROR(VLOOKUP(N493,DATA!$K$4:$L$51,2,FALSE),"")</f>
        <v/>
      </c>
      <c r="P493" s="80">
        <f t="shared" si="37"/>
        <v>0</v>
      </c>
      <c r="Q493" s="154">
        <f t="shared" si="38"/>
        <v>0</v>
      </c>
    </row>
    <row r="494" spans="2:17">
      <c r="B494" s="627">
        <f t="shared" si="39"/>
        <v>489</v>
      </c>
      <c r="C494" s="582">
        <v>43207</v>
      </c>
      <c r="D494" s="815" t="s">
        <v>2555</v>
      </c>
      <c r="E494" s="630">
        <v>110100</v>
      </c>
      <c r="F494" s="629" t="str">
        <f>IFERROR(VLOOKUP(E494,STAT1!$C$4:$D$1000,2,FALSE),"")</f>
        <v>Хаан Банк 5024654020</v>
      </c>
      <c r="G494" s="376"/>
      <c r="H494" s="376">
        <v>5837685</v>
      </c>
      <c r="I494" s="580">
        <f t="shared" si="40"/>
        <v>-5837685</v>
      </c>
      <c r="J494" s="961">
        <f t="shared" si="41"/>
        <v>0</v>
      </c>
      <c r="K494" s="428"/>
      <c r="L494" s="630">
        <v>2009</v>
      </c>
      <c r="M494" s="80" t="str">
        <f>+IFERROR(VLOOKUP(L494,DATA!$G$4:$H$2000,2,FALSE),"")</f>
        <v>ХААН БАНК</v>
      </c>
      <c r="N494" s="630">
        <v>91</v>
      </c>
      <c r="O494" s="80" t="str">
        <f>IFERROR(VLOOKUP(N494,DATA!$K$4:$L$51,2,FALSE),"")</f>
        <v>Зээл, өрийн үнэт цаасны төлбөрт төлсөн</v>
      </c>
      <c r="P494" s="80">
        <f t="shared" si="37"/>
        <v>1</v>
      </c>
      <c r="Q494" s="154">
        <f t="shared" si="38"/>
        <v>1</v>
      </c>
    </row>
    <row r="495" spans="2:17">
      <c r="B495" s="627">
        <f t="shared" si="39"/>
        <v>490</v>
      </c>
      <c r="C495" s="582">
        <v>43207</v>
      </c>
      <c r="D495" s="815" t="s">
        <v>2555</v>
      </c>
      <c r="E495" s="630">
        <v>310400</v>
      </c>
      <c r="F495" s="629" t="str">
        <f>IFERROR(VLOOKUP(E495,STAT1!$C$4:$D$1000,2,FALSE),"")</f>
        <v>Банкны богино хугацаат зээл MNT</v>
      </c>
      <c r="G495" s="376">
        <v>5837685</v>
      </c>
      <c r="H495" s="376"/>
      <c r="I495" s="580">
        <f t="shared" si="40"/>
        <v>0</v>
      </c>
      <c r="J495" s="961">
        <f t="shared" si="41"/>
        <v>0</v>
      </c>
      <c r="K495" s="428"/>
      <c r="L495" s="630">
        <v>2009</v>
      </c>
      <c r="M495" s="80" t="str">
        <f>+IFERROR(VLOOKUP(L495,DATA!$G$4:$H$2000,2,FALSE),"")</f>
        <v>ХААН БАНК</v>
      </c>
      <c r="N495" s="630"/>
      <c r="O495" s="80" t="str">
        <f>IFERROR(VLOOKUP(N495,DATA!$K$4:$L$51,2,FALSE),"")</f>
        <v/>
      </c>
      <c r="P495" s="80">
        <f t="shared" si="37"/>
        <v>0</v>
      </c>
      <c r="Q495" s="154">
        <f t="shared" si="38"/>
        <v>0</v>
      </c>
    </row>
    <row r="496" spans="2:17">
      <c r="B496" s="627">
        <f t="shared" si="39"/>
        <v>491</v>
      </c>
      <c r="C496" s="582">
        <v>43207</v>
      </c>
      <c r="D496" s="816" t="s">
        <v>2556</v>
      </c>
      <c r="E496" s="807">
        <v>110100</v>
      </c>
      <c r="F496" s="629" t="str">
        <f>IFERROR(VLOOKUP(E496,STAT1!$C$4:$D$1000,2,FALSE),"")</f>
        <v>Хаан Банк 5024654020</v>
      </c>
      <c r="G496" s="811"/>
      <c r="H496" s="811">
        <v>400981.93</v>
      </c>
      <c r="I496" s="580">
        <f t="shared" si="40"/>
        <v>-400981.93</v>
      </c>
      <c r="J496" s="961">
        <f t="shared" si="41"/>
        <v>0</v>
      </c>
      <c r="K496" s="80"/>
      <c r="L496" s="630">
        <v>2009</v>
      </c>
      <c r="M496" s="80" t="str">
        <f>+IFERROR(VLOOKUP(L496,DATA!$G$4:$H$2000,2,FALSE),"")</f>
        <v>ХААН БАНК</v>
      </c>
      <c r="N496" s="807">
        <v>56</v>
      </c>
      <c r="O496" s="80" t="str">
        <f>IFERROR(VLOOKUP(N496,DATA!$K$4:$L$51,2,FALSE),"")</f>
        <v>Хүүний төлбөрт төлсөн</v>
      </c>
      <c r="P496" s="80">
        <f t="shared" si="37"/>
        <v>1</v>
      </c>
      <c r="Q496" s="154">
        <f t="shared" si="38"/>
        <v>1</v>
      </c>
    </row>
    <row r="497" spans="2:17">
      <c r="B497" s="627">
        <f t="shared" si="39"/>
        <v>492</v>
      </c>
      <c r="C497" s="429">
        <v>43207</v>
      </c>
      <c r="D497" s="816" t="s">
        <v>2556</v>
      </c>
      <c r="E497" s="807">
        <v>702500</v>
      </c>
      <c r="F497" s="629" t="str">
        <f>IFERROR(VLOOKUP(E497,STAT1!$C$4:$D$1000,2,FALSE),"")</f>
        <v>Зээлийн хүүгийн зардал</v>
      </c>
      <c r="G497" s="811">
        <v>400981.93</v>
      </c>
      <c r="H497" s="811"/>
      <c r="I497" s="580">
        <f t="shared" si="40"/>
        <v>0</v>
      </c>
      <c r="J497" s="961">
        <f t="shared" si="41"/>
        <v>0</v>
      </c>
      <c r="K497" s="80"/>
      <c r="L497" s="630">
        <v>2009</v>
      </c>
      <c r="M497" s="80" t="str">
        <f>+IFERROR(VLOOKUP(L497,DATA!$G$4:$H$2000,2,FALSE),"")</f>
        <v>ХААН БАНК</v>
      </c>
      <c r="N497" s="807"/>
      <c r="O497" s="80"/>
      <c r="P497" s="80">
        <f t="shared" si="37"/>
        <v>0</v>
      </c>
      <c r="Q497" s="154">
        <f t="shared" si="38"/>
        <v>0</v>
      </c>
    </row>
    <row r="498" spans="2:17">
      <c r="B498" s="627">
        <f t="shared" si="39"/>
        <v>493</v>
      </c>
      <c r="C498" s="429">
        <v>43208</v>
      </c>
      <c r="D498" s="816" t="s">
        <v>2513</v>
      </c>
      <c r="E498" s="807">
        <v>100100</v>
      </c>
      <c r="F498" s="629" t="str">
        <f>IFERROR(VLOOKUP(E498,STAT1!$C$4:$D$1000,2,FALSE),"")</f>
        <v>Касс мөнгө MNT</v>
      </c>
      <c r="G498" s="811"/>
      <c r="H498" s="811">
        <v>4510000</v>
      </c>
      <c r="I498" s="580">
        <f t="shared" si="40"/>
        <v>-4510000</v>
      </c>
      <c r="J498" s="961">
        <f t="shared" si="41"/>
        <v>0</v>
      </c>
      <c r="K498" s="80"/>
      <c r="L498" s="807">
        <v>3017</v>
      </c>
      <c r="M498" s="80" t="str">
        <f>+IFERROR(VLOOKUP(L498,DATA!$G$4:$H$2000,2,FALSE),"")</f>
        <v xml:space="preserve">ВОС ХХК </v>
      </c>
      <c r="N498" s="807">
        <v>53</v>
      </c>
      <c r="O498" s="80" t="str">
        <f>IFERROR(VLOOKUP(N498,DATA!$K$4:$L$51,2,FALSE),"")</f>
        <v>Бараа материал худалдан авахад төлсөн</v>
      </c>
      <c r="P498" s="80">
        <f t="shared" si="37"/>
        <v>1</v>
      </c>
      <c r="Q498" s="154">
        <f t="shared" si="38"/>
        <v>1</v>
      </c>
    </row>
    <row r="499" spans="2:17">
      <c r="B499" s="627">
        <f t="shared" si="39"/>
        <v>494</v>
      </c>
      <c r="C499" s="429">
        <v>43208</v>
      </c>
      <c r="D499" s="816" t="s">
        <v>2513</v>
      </c>
      <c r="E499" s="807">
        <v>120100</v>
      </c>
      <c r="F499" s="629" t="str">
        <f>IFERROR(VLOOKUP(E499,STAT1!$C$4:$D$1000,2,FALSE),"")</f>
        <v xml:space="preserve">Дансны авлага MNT </v>
      </c>
      <c r="G499" s="811">
        <v>4510000</v>
      </c>
      <c r="H499" s="811"/>
      <c r="I499" s="580">
        <f t="shared" si="40"/>
        <v>0</v>
      </c>
      <c r="J499" s="961">
        <f t="shared" si="41"/>
        <v>0</v>
      </c>
      <c r="K499" s="80"/>
      <c r="L499" s="807">
        <v>3017</v>
      </c>
      <c r="M499" s="80" t="str">
        <f>+IFERROR(VLOOKUP(L499,DATA!$G$4:$H$2000,2,FALSE),"")</f>
        <v xml:space="preserve">ВОС ХХК </v>
      </c>
      <c r="N499" s="807"/>
      <c r="O499" s="80" t="str">
        <f>IFERROR(VLOOKUP(N499,DATA!$K$4:$L$51,2,FALSE),"")</f>
        <v/>
      </c>
      <c r="P499" s="80">
        <f t="shared" si="37"/>
        <v>0</v>
      </c>
      <c r="Q499" s="154">
        <f t="shared" si="38"/>
        <v>0</v>
      </c>
    </row>
    <row r="500" spans="2:17">
      <c r="B500" s="627">
        <f t="shared" si="39"/>
        <v>495</v>
      </c>
      <c r="C500" s="429">
        <v>43208</v>
      </c>
      <c r="D500" s="816" t="s">
        <v>2578</v>
      </c>
      <c r="E500" s="807">
        <v>160100</v>
      </c>
      <c r="F500" s="629" t="str">
        <f>IFERROR(VLOOKUP(E500,STAT1!$C$4:$D$8000,2,FALSE),"")</f>
        <v xml:space="preserve">Барилгын материал </v>
      </c>
      <c r="G500" s="811">
        <v>4100000</v>
      </c>
      <c r="H500" s="811"/>
      <c r="I500" s="580">
        <f t="shared" si="40"/>
        <v>0</v>
      </c>
      <c r="J500" s="961">
        <f t="shared" si="41"/>
        <v>0</v>
      </c>
      <c r="K500" s="80"/>
      <c r="L500" s="807">
        <v>3017</v>
      </c>
      <c r="M500" s="80" t="str">
        <f>+IFERROR(VLOOKUP(L500,DATA!$G$4:$H$2000,2,FALSE),"")</f>
        <v xml:space="preserve">ВОС ХХК </v>
      </c>
      <c r="N500" s="807"/>
      <c r="O500" s="80" t="str">
        <f>IFERROR(VLOOKUP(N500,DATA!$K$4:$L$51,2,FALSE),"")</f>
        <v/>
      </c>
      <c r="P500" s="80">
        <f t="shared" si="37"/>
        <v>0</v>
      </c>
      <c r="Q500" s="154">
        <f t="shared" si="38"/>
        <v>0</v>
      </c>
    </row>
    <row r="501" spans="2:17">
      <c r="B501" s="627">
        <f t="shared" si="39"/>
        <v>496</v>
      </c>
      <c r="C501" s="429">
        <v>43208</v>
      </c>
      <c r="D501" s="816" t="s">
        <v>2578</v>
      </c>
      <c r="E501" s="807">
        <v>120600</v>
      </c>
      <c r="F501" s="629" t="str">
        <f>IFERROR(VLOOKUP(E501,STAT1!$C$4:$D$8000,2,FALSE),"")</f>
        <v>НӨАТ авлага</v>
      </c>
      <c r="G501" s="811">
        <v>410000</v>
      </c>
      <c r="H501" s="811"/>
      <c r="I501" s="580">
        <f t="shared" si="40"/>
        <v>0</v>
      </c>
      <c r="J501" s="961">
        <f t="shared" si="41"/>
        <v>0</v>
      </c>
      <c r="K501" s="80"/>
      <c r="L501" s="807">
        <v>3017</v>
      </c>
      <c r="M501" s="80" t="str">
        <f>+IFERROR(VLOOKUP(L501,DATA!$G$4:$H$2000,2,FALSE),"")</f>
        <v xml:space="preserve">ВОС ХХК </v>
      </c>
      <c r="N501" s="807"/>
      <c r="O501" s="80" t="str">
        <f>IFERROR(VLOOKUP(N501,DATA!$K$4:$L$51,2,FALSE),"")</f>
        <v/>
      </c>
      <c r="P501" s="80">
        <f t="shared" si="37"/>
        <v>0</v>
      </c>
      <c r="Q501" s="154">
        <f t="shared" si="38"/>
        <v>0</v>
      </c>
    </row>
    <row r="502" spans="2:17">
      <c r="B502" s="627">
        <f t="shared" si="39"/>
        <v>497</v>
      </c>
      <c r="C502" s="429">
        <v>43208</v>
      </c>
      <c r="D502" s="816" t="s">
        <v>2578</v>
      </c>
      <c r="E502" s="807">
        <v>120100</v>
      </c>
      <c r="F502" s="629" t="str">
        <f>IFERROR(VLOOKUP(E502,STAT1!$C$4:$D$8000,2,FALSE),"")</f>
        <v xml:space="preserve">Дансны авлага MNT </v>
      </c>
      <c r="G502" s="811"/>
      <c r="H502" s="811">
        <v>4510000</v>
      </c>
      <c r="I502" s="580">
        <f t="shared" si="40"/>
        <v>0</v>
      </c>
      <c r="J502" s="961">
        <f t="shared" si="41"/>
        <v>0</v>
      </c>
      <c r="K502" s="80"/>
      <c r="L502" s="807">
        <v>3017</v>
      </c>
      <c r="M502" s="80" t="str">
        <f>+IFERROR(VLOOKUP(L502,DATA!$G$4:$H$2000,2,FALSE),"")</f>
        <v xml:space="preserve">ВОС ХХК </v>
      </c>
      <c r="N502" s="807"/>
      <c r="O502" s="80" t="str">
        <f>IFERROR(VLOOKUP(N502,DATA!$K$4:$L$51,2,FALSE),"")</f>
        <v/>
      </c>
      <c r="P502" s="80">
        <f t="shared" si="37"/>
        <v>0</v>
      </c>
      <c r="Q502" s="154">
        <f t="shared" si="38"/>
        <v>0</v>
      </c>
    </row>
    <row r="503" spans="2:17">
      <c r="B503" s="627">
        <f t="shared" si="39"/>
        <v>498</v>
      </c>
      <c r="C503" s="429">
        <v>43210</v>
      </c>
      <c r="D503" s="816" t="s">
        <v>2557</v>
      </c>
      <c r="E503" s="807">
        <v>100100</v>
      </c>
      <c r="F503" s="629" t="str">
        <f>IFERROR(VLOOKUP(E503,STAT1!$C$4:$D$1000,2,FALSE),"")</f>
        <v>Касс мөнгө MNT</v>
      </c>
      <c r="G503" s="811"/>
      <c r="H503" s="811">
        <v>3500000</v>
      </c>
      <c r="I503" s="580">
        <f t="shared" si="40"/>
        <v>-3500000</v>
      </c>
      <c r="J503" s="961">
        <f t="shared" si="41"/>
        <v>0</v>
      </c>
      <c r="K503" s="80"/>
      <c r="L503" s="807">
        <v>1004</v>
      </c>
      <c r="M503" s="80" t="str">
        <f>+IFERROR(VLOOKUP(L503,DATA!$G$4:$H$2000,2,FALSE),"")</f>
        <v xml:space="preserve">Түмэндэлгэр </v>
      </c>
      <c r="N503" s="807"/>
      <c r="O503" s="80" t="str">
        <f>IFERROR(VLOOKUP(N503,DATA!$K$4:$L$51,2,FALSE),"")</f>
        <v/>
      </c>
      <c r="P503" s="80">
        <f t="shared" si="37"/>
        <v>1</v>
      </c>
      <c r="Q503" s="154">
        <f t="shared" si="38"/>
        <v>1</v>
      </c>
    </row>
    <row r="504" spans="2:17">
      <c r="B504" s="627">
        <f t="shared" si="39"/>
        <v>499</v>
      </c>
      <c r="C504" s="429">
        <v>43210</v>
      </c>
      <c r="D504" s="816" t="s">
        <v>2557</v>
      </c>
      <c r="E504" s="807">
        <v>110100</v>
      </c>
      <c r="F504" s="629" t="str">
        <f>IFERROR(VLOOKUP(E504,STAT1!$C$4:$D$1000,2,FALSE),"")</f>
        <v>Хаан Банк 5024654020</v>
      </c>
      <c r="G504" s="811">
        <v>3500000</v>
      </c>
      <c r="H504" s="811"/>
      <c r="I504" s="580">
        <f t="shared" si="40"/>
        <v>3500000</v>
      </c>
      <c r="J504" s="961">
        <f t="shared" si="41"/>
        <v>0</v>
      </c>
      <c r="K504" s="80"/>
      <c r="L504" s="807">
        <v>1004</v>
      </c>
      <c r="M504" s="80" t="str">
        <f>+IFERROR(VLOOKUP(L504,DATA!$G$4:$H$2000,2,FALSE),"")</f>
        <v xml:space="preserve">Түмэндэлгэр </v>
      </c>
      <c r="N504" s="807"/>
      <c r="O504" s="80" t="str">
        <f>IFERROR(VLOOKUP(N504,DATA!$K$4:$L$51,2,FALSE),"")</f>
        <v/>
      </c>
      <c r="P504" s="80">
        <f t="shared" ref="P504:P567" si="42">+IF(I504,1,0)</f>
        <v>1</v>
      </c>
      <c r="Q504" s="154">
        <f t="shared" ref="Q504:Q567" si="43">+IF(I504,1,0)</f>
        <v>1</v>
      </c>
    </row>
    <row r="505" spans="2:17">
      <c r="B505" s="627">
        <f t="shared" si="39"/>
        <v>500</v>
      </c>
      <c r="C505" s="429">
        <v>43210</v>
      </c>
      <c r="D505" s="816" t="s">
        <v>2379</v>
      </c>
      <c r="E505" s="807">
        <v>110100</v>
      </c>
      <c r="F505" s="629" t="str">
        <f>IFERROR(VLOOKUP(E505,STAT1!$C$4:$D$1000,2,FALSE),"")</f>
        <v>Хаан Банк 5024654020</v>
      </c>
      <c r="G505" s="811"/>
      <c r="H505" s="811">
        <v>3499461</v>
      </c>
      <c r="I505" s="580">
        <f t="shared" si="40"/>
        <v>-3499461</v>
      </c>
      <c r="J505" s="961">
        <f t="shared" si="41"/>
        <v>0</v>
      </c>
      <c r="K505" s="80"/>
      <c r="L505" s="807">
        <v>2009</v>
      </c>
      <c r="M505" s="80" t="str">
        <f>+IFERROR(VLOOKUP(L505,DATA!$G$4:$H$2000,2,FALSE),"")</f>
        <v>ХААН БАНК</v>
      </c>
      <c r="N505" s="807">
        <v>91</v>
      </c>
      <c r="O505" s="80" t="str">
        <f>IFERROR(VLOOKUP(N505,DATA!$K$4:$L$51,2,FALSE),"")</f>
        <v>Зээл, өрийн үнэт цаасны төлбөрт төлсөн</v>
      </c>
      <c r="P505" s="80">
        <f t="shared" si="42"/>
        <v>1</v>
      </c>
      <c r="Q505" s="154">
        <f t="shared" si="43"/>
        <v>1</v>
      </c>
    </row>
    <row r="506" spans="2:17">
      <c r="B506" s="627">
        <f t="shared" si="39"/>
        <v>501</v>
      </c>
      <c r="C506" s="429">
        <v>43210</v>
      </c>
      <c r="D506" s="816" t="s">
        <v>2379</v>
      </c>
      <c r="E506" s="807">
        <v>311100</v>
      </c>
      <c r="F506" s="629" t="str">
        <f>IFERROR(VLOOKUP(E506,STAT1!$C$4:$D$1000,2,FALSE),"")</f>
        <v xml:space="preserve">Бусад богино хугацаат өглөг </v>
      </c>
      <c r="G506" s="811">
        <v>3499461</v>
      </c>
      <c r="H506" s="811"/>
      <c r="I506" s="580">
        <f t="shared" si="40"/>
        <v>0</v>
      </c>
      <c r="J506" s="961">
        <f t="shared" si="41"/>
        <v>0</v>
      </c>
      <c r="K506" s="80"/>
      <c r="L506" s="807">
        <v>2009</v>
      </c>
      <c r="M506" s="80" t="str">
        <f>+IFERROR(VLOOKUP(L506,DATA!$G$4:$H$2000,2,FALSE),"")</f>
        <v>ХААН БАНК</v>
      </c>
      <c r="N506" s="807"/>
      <c r="O506" s="80" t="str">
        <f>IFERROR(VLOOKUP(N506,DATA!$K$4:$L$51,2,FALSE),"")</f>
        <v/>
      </c>
      <c r="P506" s="80">
        <f t="shared" si="42"/>
        <v>0</v>
      </c>
      <c r="Q506" s="154">
        <f t="shared" si="43"/>
        <v>0</v>
      </c>
    </row>
    <row r="507" spans="2:17">
      <c r="B507" s="627">
        <f t="shared" si="39"/>
        <v>502</v>
      </c>
      <c r="C507" s="429">
        <v>43210</v>
      </c>
      <c r="D507" s="816" t="s">
        <v>2379</v>
      </c>
      <c r="E507" s="807">
        <v>110100</v>
      </c>
      <c r="F507" s="629" t="str">
        <f>IFERROR(VLOOKUP(E507,STAT1!$C$4:$D$1000,2,FALSE),"")</f>
        <v>Хаан Банк 5024654020</v>
      </c>
      <c r="G507" s="811"/>
      <c r="H507" s="811">
        <f>1036080.04+3500000-3499461</f>
        <v>1036619.04</v>
      </c>
      <c r="I507" s="580">
        <f t="shared" si="40"/>
        <v>-1036619.04</v>
      </c>
      <c r="J507" s="961">
        <f t="shared" si="41"/>
        <v>0</v>
      </c>
      <c r="K507" s="80"/>
      <c r="L507" s="807">
        <v>2009</v>
      </c>
      <c r="M507" s="80" t="str">
        <f>+IFERROR(VLOOKUP(L507,DATA!$G$4:$H$2000,2,FALSE),"")</f>
        <v>ХААН БАНК</v>
      </c>
      <c r="N507" s="807">
        <v>56</v>
      </c>
      <c r="O507" s="80" t="str">
        <f>IFERROR(VLOOKUP(N507,DATA!$K$4:$L$51,2,FALSE),"")</f>
        <v>Хүүний төлбөрт төлсөн</v>
      </c>
      <c r="P507" s="80">
        <f t="shared" si="42"/>
        <v>1</v>
      </c>
      <c r="Q507" s="154">
        <f t="shared" si="43"/>
        <v>1</v>
      </c>
    </row>
    <row r="508" spans="2:17">
      <c r="B508" s="627">
        <f t="shared" si="39"/>
        <v>503</v>
      </c>
      <c r="C508" s="429">
        <v>43210</v>
      </c>
      <c r="D508" s="816" t="s">
        <v>2379</v>
      </c>
      <c r="E508" s="807">
        <v>702500</v>
      </c>
      <c r="F508" s="629" t="str">
        <f>IFERROR(VLOOKUP(E508,STAT1!$C$4:$D$1000,2,FALSE),"")</f>
        <v>Зээлийн хүүгийн зардал</v>
      </c>
      <c r="G508" s="811">
        <f>1036080.04+3500000-3499461</f>
        <v>1036619.04</v>
      </c>
      <c r="H508" s="811"/>
      <c r="I508" s="580">
        <f t="shared" si="40"/>
        <v>0</v>
      </c>
      <c r="J508" s="961">
        <f t="shared" si="41"/>
        <v>0</v>
      </c>
      <c r="K508" s="80"/>
      <c r="L508" s="807">
        <v>2009</v>
      </c>
      <c r="M508" s="80" t="str">
        <f>+IFERROR(VLOOKUP(L508,DATA!$G$4:$H$2000,2,FALSE),"")</f>
        <v>ХААН БАНК</v>
      </c>
      <c r="N508" s="807"/>
      <c r="O508" s="80" t="str">
        <f>IFERROR(VLOOKUP(N508,DATA!$K$4:$L$51,2,FALSE),"")</f>
        <v/>
      </c>
      <c r="P508" s="80">
        <f t="shared" si="42"/>
        <v>0</v>
      </c>
      <c r="Q508" s="154">
        <f t="shared" si="43"/>
        <v>0</v>
      </c>
    </row>
    <row r="509" spans="2:17">
      <c r="B509" s="627">
        <f t="shared" si="39"/>
        <v>504</v>
      </c>
      <c r="C509" s="429">
        <v>43210</v>
      </c>
      <c r="D509" s="816" t="s">
        <v>2510</v>
      </c>
      <c r="E509" s="807">
        <v>100100</v>
      </c>
      <c r="F509" s="629" t="str">
        <f>IFERROR(VLOOKUP(E509,STAT1!$C$4:$D$1000,2,FALSE),"")</f>
        <v>Касс мөнгө MNT</v>
      </c>
      <c r="G509" s="811"/>
      <c r="H509" s="811">
        <v>1846339</v>
      </c>
      <c r="I509" s="580">
        <f t="shared" si="40"/>
        <v>-1846339</v>
      </c>
      <c r="J509" s="961">
        <f t="shared" si="41"/>
        <v>0</v>
      </c>
      <c r="K509" s="80"/>
      <c r="L509" s="807">
        <v>2003</v>
      </c>
      <c r="M509" s="80" t="str">
        <f>+IFERROR(VLOOKUP(L509,DATA!$G$4:$H$2000,2,FALSE),"")</f>
        <v xml:space="preserve">УБЦТС ТӨХК </v>
      </c>
      <c r="N509" s="807">
        <v>54</v>
      </c>
      <c r="O509" s="80" t="str">
        <f>IFERROR(VLOOKUP(N509,DATA!$K$4:$L$51,2,FALSE),"")</f>
        <v>Ашиглалтын зардалд төлсөн</v>
      </c>
      <c r="P509" s="80">
        <f t="shared" si="42"/>
        <v>1</v>
      </c>
      <c r="Q509" s="154">
        <f t="shared" si="43"/>
        <v>1</v>
      </c>
    </row>
    <row r="510" spans="2:17">
      <c r="B510" s="627">
        <f t="shared" si="39"/>
        <v>505</v>
      </c>
      <c r="C510" s="429">
        <v>43210</v>
      </c>
      <c r="D510" s="816" t="s">
        <v>2510</v>
      </c>
      <c r="E510" s="807">
        <v>120100</v>
      </c>
      <c r="F510" s="629" t="str">
        <f>IFERROR(VLOOKUP(E510,STAT1!$C$4:$D$1000,2,FALSE),"")</f>
        <v xml:space="preserve">Дансны авлага MNT </v>
      </c>
      <c r="G510" s="811">
        <v>167849.09</v>
      </c>
      <c r="H510" s="811"/>
      <c r="I510" s="580">
        <f t="shared" si="40"/>
        <v>0</v>
      </c>
      <c r="J510" s="961">
        <f t="shared" si="41"/>
        <v>0</v>
      </c>
      <c r="K510" s="80"/>
      <c r="L510" s="807">
        <v>2003</v>
      </c>
      <c r="M510" s="80" t="str">
        <f>+IFERROR(VLOOKUP(L510,DATA!$G$4:$H$2000,2,FALSE),"")</f>
        <v xml:space="preserve">УБЦТС ТӨХК </v>
      </c>
      <c r="N510" s="807"/>
      <c r="O510" s="80" t="str">
        <f>IFERROR(VLOOKUP(N510,DATA!$K$4:$L$51,2,FALSE),"")</f>
        <v/>
      </c>
      <c r="P510" s="80">
        <f t="shared" si="42"/>
        <v>0</v>
      </c>
      <c r="Q510" s="154">
        <f t="shared" si="43"/>
        <v>0</v>
      </c>
    </row>
    <row r="511" spans="2:17">
      <c r="B511" s="627">
        <f t="shared" si="39"/>
        <v>506</v>
      </c>
      <c r="C511" s="429">
        <v>43210</v>
      </c>
      <c r="D511" s="816" t="s">
        <v>2510</v>
      </c>
      <c r="E511" s="807">
        <v>700700</v>
      </c>
      <c r="F511" s="629" t="str">
        <f>IFERROR(VLOOKUP(E511,STAT1!$C$4:$D$1000,2,FALSE),"")</f>
        <v>Цахилгаан эрчим хүч</v>
      </c>
      <c r="G511" s="811">
        <v>1678489.91</v>
      </c>
      <c r="H511" s="811"/>
      <c r="I511" s="580">
        <f t="shared" si="40"/>
        <v>0</v>
      </c>
      <c r="J511" s="961">
        <f t="shared" si="41"/>
        <v>0</v>
      </c>
      <c r="K511" s="80"/>
      <c r="L511" s="807">
        <v>2003</v>
      </c>
      <c r="M511" s="80" t="str">
        <f>+IFERROR(VLOOKUP(L511,DATA!$G$4:$H$2000,2,FALSE),"")</f>
        <v xml:space="preserve">УБЦТС ТӨХК </v>
      </c>
      <c r="N511" s="807"/>
      <c r="O511" s="80"/>
      <c r="P511" s="80">
        <f t="shared" si="42"/>
        <v>0</v>
      </c>
      <c r="Q511" s="154">
        <f t="shared" si="43"/>
        <v>0</v>
      </c>
    </row>
    <row r="512" spans="2:17">
      <c r="B512" s="627">
        <f t="shared" si="39"/>
        <v>507</v>
      </c>
      <c r="C512" s="429">
        <v>43210</v>
      </c>
      <c r="D512" s="816" t="s">
        <v>2534</v>
      </c>
      <c r="E512" s="807">
        <v>100100</v>
      </c>
      <c r="F512" s="629" t="str">
        <f>IFERROR(VLOOKUP(E512,STAT1!$C$4:$D$1000,2,FALSE),"")</f>
        <v>Касс мөнгө MNT</v>
      </c>
      <c r="G512" s="811"/>
      <c r="H512" s="811">
        <v>1500000</v>
      </c>
      <c r="I512" s="580">
        <f t="shared" si="40"/>
        <v>-1500000</v>
      </c>
      <c r="J512" s="961">
        <f t="shared" si="41"/>
        <v>0</v>
      </c>
      <c r="K512" s="80"/>
      <c r="L512" s="807">
        <v>2012</v>
      </c>
      <c r="M512" s="80" t="str">
        <f>+IFERROR(VLOOKUP(L512,DATA!$G$4:$H$2000,2,FALSE),"")</f>
        <v>ИХ ТУГЧ ХХК</v>
      </c>
      <c r="N512" s="807">
        <v>59</v>
      </c>
      <c r="O512" s="80" t="str">
        <f>IFERROR(VLOOKUP(N512,DATA!$K$4:$L$51,2,FALSE),"")</f>
        <v>Бусад мөнгөн зарлага</v>
      </c>
      <c r="P512" s="80">
        <f t="shared" si="42"/>
        <v>1</v>
      </c>
      <c r="Q512" s="154">
        <f t="shared" si="43"/>
        <v>1</v>
      </c>
    </row>
    <row r="513" spans="2:17">
      <c r="B513" s="627">
        <f t="shared" si="39"/>
        <v>508</v>
      </c>
      <c r="C513" s="429">
        <v>43210</v>
      </c>
      <c r="D513" s="816" t="s">
        <v>2534</v>
      </c>
      <c r="E513" s="807">
        <v>705800</v>
      </c>
      <c r="F513" s="629" t="str">
        <f>IFERROR(VLOOKUP(E513,STAT1!$C$4:$D$1000,2,FALSE),"")</f>
        <v>Харуул хамгаалалт</v>
      </c>
      <c r="G513" s="811">
        <v>1500000</v>
      </c>
      <c r="H513" s="811"/>
      <c r="I513" s="580">
        <f t="shared" si="40"/>
        <v>0</v>
      </c>
      <c r="J513" s="961">
        <f t="shared" si="41"/>
        <v>0</v>
      </c>
      <c r="K513" s="80"/>
      <c r="L513" s="807">
        <v>2012</v>
      </c>
      <c r="M513" s="80" t="str">
        <f>+IFERROR(VLOOKUP(L513,DATA!$G$4:$H$2000,2,FALSE),"")</f>
        <v>ИХ ТУГЧ ХХК</v>
      </c>
      <c r="N513" s="807"/>
      <c r="O513" s="80" t="str">
        <f>IFERROR(VLOOKUP(N513,DATA!$K$4:$L$51,2,FALSE),"")</f>
        <v/>
      </c>
      <c r="P513" s="80">
        <f t="shared" si="42"/>
        <v>0</v>
      </c>
      <c r="Q513" s="154">
        <f t="shared" si="43"/>
        <v>0</v>
      </c>
    </row>
    <row r="514" spans="2:17">
      <c r="B514" s="627">
        <f t="shared" si="39"/>
        <v>509</v>
      </c>
      <c r="C514" s="429">
        <v>43210</v>
      </c>
      <c r="D514" s="816" t="s">
        <v>2549</v>
      </c>
      <c r="E514" s="807">
        <v>150101</v>
      </c>
      <c r="F514" s="629" t="str">
        <f>IFERROR(VLOOKUP(E514,STAT1!$C$4:$D$1000,2,FALSE),"")</f>
        <v>Бараа бэлэн бүтээгдэхүүн БОЛОВСРУУЛАХ ЦЕХ /нарс/</v>
      </c>
      <c r="G514" s="811"/>
      <c r="H514" s="811">
        <v>361662.28</v>
      </c>
      <c r="I514" s="580">
        <f t="shared" si="40"/>
        <v>0</v>
      </c>
      <c r="J514" s="961">
        <f t="shared" si="41"/>
        <v>0</v>
      </c>
      <c r="K514" s="80"/>
      <c r="L514" s="807">
        <v>3059</v>
      </c>
      <c r="M514" s="80" t="str">
        <f>+IFERROR(VLOOKUP(L514,DATA!$G$4:$H$2000,2,FALSE),"")</f>
        <v>ЦАМХАГТ АСАР КОНСТРАКШН ХХК</v>
      </c>
      <c r="N514" s="807"/>
      <c r="O514" s="80" t="str">
        <f>IFERROR(VLOOKUP(N514,DATA!$K$4:$L$51,2,FALSE),"")</f>
        <v/>
      </c>
      <c r="P514" s="80">
        <f t="shared" si="42"/>
        <v>0</v>
      </c>
      <c r="Q514" s="154">
        <f t="shared" si="43"/>
        <v>0</v>
      </c>
    </row>
    <row r="515" spans="2:17">
      <c r="B515" s="627">
        <f t="shared" si="39"/>
        <v>510</v>
      </c>
      <c r="C515" s="429">
        <v>43210</v>
      </c>
      <c r="D515" s="816" t="s">
        <v>2549</v>
      </c>
      <c r="E515" s="807">
        <v>610100</v>
      </c>
      <c r="F515" s="629" t="str">
        <f>IFERROR(VLOOKUP(E515,STAT1!$C$4:$D$1000,2,FALSE),"")</f>
        <v>Борлуулсан барааны өртөг</v>
      </c>
      <c r="G515" s="811">
        <v>361662.28</v>
      </c>
      <c r="H515" s="811"/>
      <c r="I515" s="580">
        <f t="shared" si="40"/>
        <v>0</v>
      </c>
      <c r="J515" s="961">
        <f t="shared" si="41"/>
        <v>0</v>
      </c>
      <c r="K515" s="80"/>
      <c r="L515" s="807">
        <v>3059</v>
      </c>
      <c r="M515" s="80" t="str">
        <f>+IFERROR(VLOOKUP(L515,DATA!$G$4:$H$2000,2,FALSE),"")</f>
        <v>ЦАМХАГТ АСАР КОНСТРАКШН ХХК</v>
      </c>
      <c r="N515" s="807"/>
      <c r="O515" s="80" t="str">
        <f>IFERROR(VLOOKUP(N515,DATA!$K$4:$L$51,2,FALSE),"")</f>
        <v/>
      </c>
      <c r="P515" s="80">
        <f t="shared" si="42"/>
        <v>0</v>
      </c>
      <c r="Q515" s="154">
        <f t="shared" si="43"/>
        <v>0</v>
      </c>
    </row>
    <row r="516" spans="2:17">
      <c r="B516" s="627">
        <f t="shared" si="39"/>
        <v>511</v>
      </c>
      <c r="C516" s="429">
        <v>43210</v>
      </c>
      <c r="D516" s="816" t="s">
        <v>2549</v>
      </c>
      <c r="E516" s="807">
        <v>310500</v>
      </c>
      <c r="F516" s="629" t="str">
        <f>IFERROR(VLOOKUP(E516,STAT1!$C$4:$D$1000,2,FALSE),"")</f>
        <v>НӨАТ өглөг</v>
      </c>
      <c r="G516" s="811"/>
      <c r="H516" s="811">
        <v>54720</v>
      </c>
      <c r="I516" s="580">
        <f t="shared" si="40"/>
        <v>0</v>
      </c>
      <c r="J516" s="961">
        <f t="shared" si="41"/>
        <v>0</v>
      </c>
      <c r="K516" s="80"/>
      <c r="L516" s="807">
        <v>3059</v>
      </c>
      <c r="M516" s="80" t="str">
        <f>+IFERROR(VLOOKUP(L516,DATA!$G$4:$H$2000,2,FALSE),"")</f>
        <v>ЦАМХАГТ АСАР КОНСТРАКШН ХХК</v>
      </c>
      <c r="N516" s="807"/>
      <c r="O516" s="80" t="str">
        <f>IFERROR(VLOOKUP(N516,DATA!$K$4:$L$51,2,FALSE),"")</f>
        <v/>
      </c>
      <c r="P516" s="80">
        <f t="shared" si="42"/>
        <v>0</v>
      </c>
      <c r="Q516" s="154">
        <f t="shared" si="43"/>
        <v>0</v>
      </c>
    </row>
    <row r="517" spans="2:17">
      <c r="B517" s="627">
        <f t="shared" si="39"/>
        <v>512</v>
      </c>
      <c r="C517" s="429">
        <v>43210</v>
      </c>
      <c r="D517" s="816" t="s">
        <v>2549</v>
      </c>
      <c r="E517" s="807">
        <v>510000</v>
      </c>
      <c r="F517" s="629" t="str">
        <f>IFERROR(VLOOKUP(E517,STAT1!$C$4:$D$1000,2,FALSE),"")</f>
        <v>Үндсэн үйл ажиллагааны борлуулалт</v>
      </c>
      <c r="G517" s="811"/>
      <c r="H517" s="811">
        <v>547200</v>
      </c>
      <c r="I517" s="580">
        <f t="shared" si="40"/>
        <v>0</v>
      </c>
      <c r="J517" s="961">
        <f t="shared" si="41"/>
        <v>0</v>
      </c>
      <c r="K517" s="80"/>
      <c r="L517" s="807">
        <v>3059</v>
      </c>
      <c r="M517" s="80" t="str">
        <f>+IFERROR(VLOOKUP(L517,DATA!$G$4:$H$2000,2,FALSE),"")</f>
        <v>ЦАМХАГТ АСАР КОНСТРАКШН ХХК</v>
      </c>
      <c r="N517" s="807"/>
      <c r="O517" s="80" t="str">
        <f>IFERROR(VLOOKUP(N517,DATA!$K$4:$L$51,2,FALSE),"")</f>
        <v/>
      </c>
      <c r="P517" s="80">
        <f t="shared" si="42"/>
        <v>0</v>
      </c>
      <c r="Q517" s="154">
        <f t="shared" si="43"/>
        <v>0</v>
      </c>
    </row>
    <row r="518" spans="2:17">
      <c r="B518" s="627">
        <f t="shared" ref="B518:B581" si="44">+IF(C518="","",ROW()-5)</f>
        <v>513</v>
      </c>
      <c r="C518" s="429">
        <v>43210</v>
      </c>
      <c r="D518" s="816" t="s">
        <v>2549</v>
      </c>
      <c r="E518" s="807">
        <v>320100</v>
      </c>
      <c r="F518" s="629" t="str">
        <f>IFERROR(VLOOKUP(E518,STAT1!$C$4:$D$1000,2,FALSE),"")</f>
        <v>Урьдчилж орсон орлого MNT</v>
      </c>
      <c r="G518" s="811">
        <v>601920</v>
      </c>
      <c r="H518" s="811"/>
      <c r="I518" s="580">
        <f t="shared" ref="I518:I581" si="45">+IF(OR(E518=100100,E518=100200,E518=110100,E518=110102,E518=110103,E518=110104,E518=110105,E518=110200,E518=110201,E518=110202,E518=110203,E518=110204,E518=110300),G518,0)+IF(OR(E518=100100,E518=100200,E518=110100,E518=110102,E518=110103,E518=110104,E518=110105,E518=110200,E518=110201,E518=110202,E518=110203,E518=110204,E518=110300),H518*-1,0)</f>
        <v>0</v>
      </c>
      <c r="J518" s="961">
        <f t="shared" ref="J518:J581" si="46">+IF(E518=110102,I518/K518,0)</f>
        <v>0</v>
      </c>
      <c r="K518" s="80"/>
      <c r="L518" s="807">
        <v>3059</v>
      </c>
      <c r="M518" s="80" t="str">
        <f>+IFERROR(VLOOKUP(L518,DATA!$G$4:$H$2000,2,FALSE),"")</f>
        <v>ЦАМХАГТ АСАР КОНСТРАКШН ХХК</v>
      </c>
      <c r="N518" s="807"/>
      <c r="O518" s="80" t="str">
        <f>IFERROR(VLOOKUP(N518,DATA!$K$4:$L$51,2,FALSE),"")</f>
        <v/>
      </c>
      <c r="P518" s="80">
        <f t="shared" si="42"/>
        <v>0</v>
      </c>
      <c r="Q518" s="154">
        <f t="shared" si="43"/>
        <v>0</v>
      </c>
    </row>
    <row r="519" spans="2:17">
      <c r="B519" s="627">
        <f t="shared" si="44"/>
        <v>514</v>
      </c>
      <c r="C519" s="429">
        <v>43210</v>
      </c>
      <c r="D519" s="816" t="s">
        <v>2549</v>
      </c>
      <c r="E519" s="807">
        <v>150101</v>
      </c>
      <c r="F519" s="629" t="str">
        <f>IFERROR(VLOOKUP(E519,STAT1!$C$4:$D$1000,2,FALSE),"")</f>
        <v>Бараа бэлэн бүтээгдэхүүн БОЛОВСРУУЛАХ ЦЕХ /нарс/</v>
      </c>
      <c r="G519" s="811"/>
      <c r="H519" s="811">
        <v>36354.82</v>
      </c>
      <c r="I519" s="580">
        <f t="shared" si="45"/>
        <v>0</v>
      </c>
      <c r="J519" s="961">
        <f t="shared" si="46"/>
        <v>0</v>
      </c>
      <c r="K519" s="80"/>
      <c r="L519" s="807">
        <v>3121</v>
      </c>
      <c r="M519" s="80" t="str">
        <f>+IFERROR(VLOOKUP(L519,DATA!$G$4:$H$2000,2,FALSE),"")</f>
        <v xml:space="preserve">КОМ ТАВИЛГА ХХК </v>
      </c>
      <c r="N519" s="807"/>
      <c r="O519" s="80" t="str">
        <f>IFERROR(VLOOKUP(N519,DATA!$K$4:$L$51,2,FALSE),"")</f>
        <v/>
      </c>
      <c r="P519" s="80">
        <f t="shared" si="42"/>
        <v>0</v>
      </c>
      <c r="Q519" s="154">
        <f t="shared" si="43"/>
        <v>0</v>
      </c>
    </row>
    <row r="520" spans="2:17">
      <c r="B520" s="627">
        <f t="shared" si="44"/>
        <v>515</v>
      </c>
      <c r="C520" s="429">
        <v>43210</v>
      </c>
      <c r="D520" s="816" t="s">
        <v>2549</v>
      </c>
      <c r="E520" s="807">
        <v>610100</v>
      </c>
      <c r="F520" s="629" t="str">
        <f>IFERROR(VLOOKUP(E520,STAT1!$C$4:$D$1000,2,FALSE),"")</f>
        <v>Борлуулсан барааны өртөг</v>
      </c>
      <c r="G520" s="811">
        <v>36354.82</v>
      </c>
      <c r="H520" s="811"/>
      <c r="I520" s="580">
        <f t="shared" si="45"/>
        <v>0</v>
      </c>
      <c r="J520" s="961">
        <f t="shared" si="46"/>
        <v>0</v>
      </c>
      <c r="K520" s="80"/>
      <c r="L520" s="807">
        <v>3121</v>
      </c>
      <c r="M520" s="80" t="str">
        <f>+IFERROR(VLOOKUP(L520,DATA!$G$4:$H$2000,2,FALSE),"")</f>
        <v xml:space="preserve">КОМ ТАВИЛГА ХХК </v>
      </c>
      <c r="N520" s="807"/>
      <c r="O520" s="80" t="str">
        <f>IFERROR(VLOOKUP(N520,DATA!$K$4:$L$51,2,FALSE),"")</f>
        <v/>
      </c>
      <c r="P520" s="80">
        <f t="shared" si="42"/>
        <v>0</v>
      </c>
      <c r="Q520" s="154">
        <f t="shared" si="43"/>
        <v>0</v>
      </c>
    </row>
    <row r="521" spans="2:17">
      <c r="B521" s="627">
        <f t="shared" si="44"/>
        <v>516</v>
      </c>
      <c r="C521" s="429">
        <v>43210</v>
      </c>
      <c r="D521" s="816" t="s">
        <v>2549</v>
      </c>
      <c r="E521" s="807">
        <v>310500</v>
      </c>
      <c r="F521" s="629" t="str">
        <f>IFERROR(VLOOKUP(E521,STAT1!$C$4:$D$1000,2,FALSE),"")</f>
        <v>НӨАТ өглөг</v>
      </c>
      <c r="G521" s="811"/>
      <c r="H521" s="811">
        <v>5400</v>
      </c>
      <c r="I521" s="580">
        <f t="shared" si="45"/>
        <v>0</v>
      </c>
      <c r="J521" s="961">
        <f t="shared" si="46"/>
        <v>0</v>
      </c>
      <c r="K521" s="80"/>
      <c r="L521" s="807">
        <v>3121</v>
      </c>
      <c r="M521" s="80" t="str">
        <f>+IFERROR(VLOOKUP(L521,DATA!$G$4:$H$2000,2,FALSE),"")</f>
        <v xml:space="preserve">КОМ ТАВИЛГА ХХК </v>
      </c>
      <c r="N521" s="807"/>
      <c r="O521" s="80" t="str">
        <f>IFERROR(VLOOKUP(N521,DATA!$K$4:$L$51,2,FALSE),"")</f>
        <v/>
      </c>
      <c r="P521" s="80">
        <f t="shared" si="42"/>
        <v>0</v>
      </c>
      <c r="Q521" s="154">
        <f t="shared" si="43"/>
        <v>0</v>
      </c>
    </row>
    <row r="522" spans="2:17">
      <c r="B522" s="627">
        <f t="shared" si="44"/>
        <v>517</v>
      </c>
      <c r="C522" s="582">
        <v>43210</v>
      </c>
      <c r="D522" s="816" t="s">
        <v>2549</v>
      </c>
      <c r="E522" s="630">
        <v>510000</v>
      </c>
      <c r="F522" s="629" t="str">
        <f>IFERROR(VLOOKUP(E522,STAT1!$C$4:$D$1000,2,FALSE),"")</f>
        <v>Үндсэн үйл ажиллагааны борлуулалт</v>
      </c>
      <c r="G522" s="376"/>
      <c r="H522" s="376">
        <v>54000</v>
      </c>
      <c r="I522" s="580">
        <f t="shared" si="45"/>
        <v>0</v>
      </c>
      <c r="J522" s="961">
        <f t="shared" si="46"/>
        <v>0</v>
      </c>
      <c r="K522" s="80"/>
      <c r="L522" s="630">
        <v>3121</v>
      </c>
      <c r="M522" s="80" t="str">
        <f>+IFERROR(VLOOKUP(L522,DATA!$G$4:$H$2000,2,FALSE),"")</f>
        <v xml:space="preserve">КОМ ТАВИЛГА ХХК </v>
      </c>
      <c r="N522" s="630"/>
      <c r="O522" s="80" t="str">
        <f>IFERROR(VLOOKUP(N522,DATA!$K$4:$L$51,2,FALSE),"")</f>
        <v/>
      </c>
      <c r="P522" s="80">
        <f t="shared" si="42"/>
        <v>0</v>
      </c>
      <c r="Q522" s="154">
        <f t="shared" si="43"/>
        <v>0</v>
      </c>
    </row>
    <row r="523" spans="2:17">
      <c r="B523" s="627">
        <f t="shared" si="44"/>
        <v>518</v>
      </c>
      <c r="C523" s="582">
        <v>43210</v>
      </c>
      <c r="D523" s="816" t="s">
        <v>2549</v>
      </c>
      <c r="E523" s="630">
        <v>320100</v>
      </c>
      <c r="F523" s="629" t="str">
        <f>IFERROR(VLOOKUP(E523,STAT1!$C$4:$D$1000,2,FALSE),"")</f>
        <v>Урьдчилж орсон орлого MNT</v>
      </c>
      <c r="G523" s="376">
        <v>59400</v>
      </c>
      <c r="H523" s="376"/>
      <c r="I523" s="580">
        <f t="shared" si="45"/>
        <v>0</v>
      </c>
      <c r="J523" s="961">
        <f t="shared" si="46"/>
        <v>0</v>
      </c>
      <c r="K523" s="80"/>
      <c r="L523" s="630">
        <v>3121</v>
      </c>
      <c r="M523" s="80" t="str">
        <f>+IFERROR(VLOOKUP(L523,DATA!$G$4:$H$2000,2,FALSE),"")</f>
        <v xml:space="preserve">КОМ ТАВИЛГА ХХК </v>
      </c>
      <c r="N523" s="630"/>
      <c r="O523" s="80" t="str">
        <f>IFERROR(VLOOKUP(N523,DATA!$K$4:$L$51,2,FALSE),"")</f>
        <v/>
      </c>
      <c r="P523" s="80">
        <f t="shared" si="42"/>
        <v>0</v>
      </c>
      <c r="Q523" s="154">
        <f t="shared" si="43"/>
        <v>0</v>
      </c>
    </row>
    <row r="524" spans="2:17">
      <c r="B524" s="627">
        <f t="shared" si="44"/>
        <v>519</v>
      </c>
      <c r="C524" s="582">
        <v>43210</v>
      </c>
      <c r="D524" s="816" t="s">
        <v>2549</v>
      </c>
      <c r="E524" s="630">
        <v>150101</v>
      </c>
      <c r="F524" s="629" t="str">
        <f>IFERROR(VLOOKUP(E524,STAT1!$C$4:$D$1000,2,FALSE),"")</f>
        <v>Бараа бэлэн бүтээгдэхүүн БОЛОВСРУУЛАХ ЦЕХ /нарс/</v>
      </c>
      <c r="G524" s="376"/>
      <c r="H524" s="376">
        <v>232178.47</v>
      </c>
      <c r="I524" s="580">
        <f t="shared" si="45"/>
        <v>0</v>
      </c>
      <c r="J524" s="961">
        <f t="shared" si="46"/>
        <v>0</v>
      </c>
      <c r="K524" s="80"/>
      <c r="L524" s="630">
        <v>3061</v>
      </c>
      <c r="M524" s="80" t="str">
        <f>+IFERROR(VLOOKUP(L524,DATA!$G$4:$H$2000,2,FALSE),"")</f>
        <v>СТИМО ХХК</v>
      </c>
      <c r="N524" s="630"/>
      <c r="O524" s="80" t="str">
        <f>IFERROR(VLOOKUP(N524,DATA!$K$4:$L$51,2,FALSE),"")</f>
        <v/>
      </c>
      <c r="P524" s="80">
        <f t="shared" si="42"/>
        <v>0</v>
      </c>
      <c r="Q524" s="154">
        <f t="shared" si="43"/>
        <v>0</v>
      </c>
    </row>
    <row r="525" spans="2:17">
      <c r="B525" s="627">
        <f t="shared" si="44"/>
        <v>520</v>
      </c>
      <c r="C525" s="582">
        <v>43210</v>
      </c>
      <c r="D525" s="816" t="s">
        <v>2549</v>
      </c>
      <c r="E525" s="630">
        <v>610100</v>
      </c>
      <c r="F525" s="629" t="str">
        <f>IFERROR(VLOOKUP(E525,STAT1!$C$4:$D$1000,2,FALSE),"")</f>
        <v>Борлуулсан барааны өртөг</v>
      </c>
      <c r="G525" s="376">
        <v>232178.47</v>
      </c>
      <c r="H525" s="376"/>
      <c r="I525" s="580">
        <f t="shared" si="45"/>
        <v>0</v>
      </c>
      <c r="J525" s="961">
        <f t="shared" si="46"/>
        <v>0</v>
      </c>
      <c r="K525" s="80"/>
      <c r="L525" s="630">
        <v>3061</v>
      </c>
      <c r="M525" s="80" t="str">
        <f>+IFERROR(VLOOKUP(L525,DATA!$G$4:$H$2000,2,FALSE),"")</f>
        <v>СТИМО ХХК</v>
      </c>
      <c r="N525" s="630"/>
      <c r="O525" s="80" t="str">
        <f>IFERROR(VLOOKUP(N525,DATA!$K$4:$L$51,2,FALSE),"")</f>
        <v/>
      </c>
      <c r="P525" s="80">
        <f t="shared" si="42"/>
        <v>0</v>
      </c>
      <c r="Q525" s="154">
        <f t="shared" si="43"/>
        <v>0</v>
      </c>
    </row>
    <row r="526" spans="2:17">
      <c r="B526" s="627">
        <f t="shared" si="44"/>
        <v>521</v>
      </c>
      <c r="C526" s="582">
        <v>43210</v>
      </c>
      <c r="D526" s="816" t="s">
        <v>2549</v>
      </c>
      <c r="E526" s="630">
        <v>310500</v>
      </c>
      <c r="F526" s="629" t="str">
        <f>IFERROR(VLOOKUP(E526,STAT1!$C$4:$D$1000,2,FALSE),"")</f>
        <v>НӨАТ өглөг</v>
      </c>
      <c r="G526" s="376"/>
      <c r="H526" s="376">
        <v>45300</v>
      </c>
      <c r="I526" s="580">
        <f t="shared" si="45"/>
        <v>0</v>
      </c>
      <c r="J526" s="961">
        <f t="shared" si="46"/>
        <v>0</v>
      </c>
      <c r="K526" s="80"/>
      <c r="L526" s="630">
        <v>3061</v>
      </c>
      <c r="M526" s="80" t="str">
        <f>+IFERROR(VLOOKUP(L526,DATA!$G$4:$H$2000,2,FALSE),"")</f>
        <v>СТИМО ХХК</v>
      </c>
      <c r="N526" s="630"/>
      <c r="O526" s="80" t="str">
        <f>IFERROR(VLOOKUP(N526,DATA!$K$4:$L$51,2,FALSE),"")</f>
        <v/>
      </c>
      <c r="P526" s="80">
        <f t="shared" si="42"/>
        <v>0</v>
      </c>
      <c r="Q526" s="154">
        <f t="shared" si="43"/>
        <v>0</v>
      </c>
    </row>
    <row r="527" spans="2:17">
      <c r="B527" s="627">
        <f t="shared" si="44"/>
        <v>522</v>
      </c>
      <c r="C527" s="582">
        <v>43210</v>
      </c>
      <c r="D527" s="816" t="s">
        <v>2549</v>
      </c>
      <c r="E527" s="630">
        <v>510000</v>
      </c>
      <c r="F527" s="629" t="str">
        <f>IFERROR(VLOOKUP(E527,STAT1!$C$4:$D$1000,2,FALSE),"")</f>
        <v>Үндсэн үйл ажиллагааны борлуулалт</v>
      </c>
      <c r="G527" s="376"/>
      <c r="H527" s="376">
        <v>453000</v>
      </c>
      <c r="I527" s="580">
        <f t="shared" si="45"/>
        <v>0</v>
      </c>
      <c r="J527" s="961">
        <f t="shared" si="46"/>
        <v>0</v>
      </c>
      <c r="K527" s="80"/>
      <c r="L527" s="630">
        <v>3061</v>
      </c>
      <c r="M527" s="80" t="str">
        <f>+IFERROR(VLOOKUP(L527,DATA!$G$4:$H$2000,2,FALSE),"")</f>
        <v>СТИМО ХХК</v>
      </c>
      <c r="N527" s="630"/>
      <c r="O527" s="80" t="str">
        <f>IFERROR(VLOOKUP(N527,DATA!$K$4:$L$51,2,FALSE),"")</f>
        <v/>
      </c>
      <c r="P527" s="80">
        <f t="shared" si="42"/>
        <v>0</v>
      </c>
      <c r="Q527" s="154">
        <f t="shared" si="43"/>
        <v>0</v>
      </c>
    </row>
    <row r="528" spans="2:17">
      <c r="B528" s="627">
        <f t="shared" si="44"/>
        <v>523</v>
      </c>
      <c r="C528" s="582">
        <v>43210</v>
      </c>
      <c r="D528" s="816" t="s">
        <v>2549</v>
      </c>
      <c r="E528" s="630">
        <v>320100</v>
      </c>
      <c r="F528" s="629" t="str">
        <f>IFERROR(VLOOKUP(E528,STAT1!$C$4:$D$1000,2,FALSE),"")</f>
        <v>Урьдчилж орсон орлого MNT</v>
      </c>
      <c r="G528" s="376">
        <v>498300</v>
      </c>
      <c r="H528" s="376"/>
      <c r="I528" s="580">
        <f t="shared" si="45"/>
        <v>0</v>
      </c>
      <c r="J528" s="961">
        <f t="shared" si="46"/>
        <v>0</v>
      </c>
      <c r="K528" s="80"/>
      <c r="L528" s="630">
        <v>3061</v>
      </c>
      <c r="M528" s="80" t="str">
        <f>+IFERROR(VLOOKUP(L528,DATA!$G$4:$H$2000,2,FALSE),"")</f>
        <v>СТИМО ХХК</v>
      </c>
      <c r="N528" s="630"/>
      <c r="O528" s="80" t="str">
        <f>IFERROR(VLOOKUP(N528,DATA!$K$4:$L$51,2,FALSE),"")</f>
        <v/>
      </c>
      <c r="P528" s="80">
        <f t="shared" si="42"/>
        <v>0</v>
      </c>
      <c r="Q528" s="154">
        <f t="shared" si="43"/>
        <v>0</v>
      </c>
    </row>
    <row r="529" spans="2:17">
      <c r="B529" s="627">
        <f t="shared" si="44"/>
        <v>524</v>
      </c>
      <c r="C529" s="582">
        <v>43210</v>
      </c>
      <c r="D529" s="816" t="s">
        <v>2549</v>
      </c>
      <c r="E529" s="630">
        <v>610100</v>
      </c>
      <c r="F529" s="629" t="str">
        <f>IFERROR(VLOOKUP(E529,STAT1!$C$4:$D$1000,2,FALSE),"")</f>
        <v>Борлуулсан барааны өртөг</v>
      </c>
      <c r="G529" s="376">
        <v>1036668.48</v>
      </c>
      <c r="H529" s="376"/>
      <c r="I529" s="580">
        <f t="shared" si="45"/>
        <v>0</v>
      </c>
      <c r="J529" s="961">
        <f t="shared" si="46"/>
        <v>0</v>
      </c>
      <c r="K529" s="80"/>
      <c r="L529" s="630">
        <v>3124</v>
      </c>
      <c r="M529" s="80" t="str">
        <f>+IFERROR(VLOOKUP(L529,DATA!$G$4:$H$2000,2,FALSE),"")</f>
        <v xml:space="preserve">ШИНЭЛЭГ СУУЦ ХХК </v>
      </c>
      <c r="N529" s="630"/>
      <c r="O529" s="80" t="str">
        <f>IFERROR(VLOOKUP(N529,DATA!$K$4:$L$51,2,FALSE),"")</f>
        <v/>
      </c>
      <c r="P529" s="80">
        <f t="shared" si="42"/>
        <v>0</v>
      </c>
      <c r="Q529" s="154">
        <f t="shared" si="43"/>
        <v>0</v>
      </c>
    </row>
    <row r="530" spans="2:17">
      <c r="B530" s="627">
        <f t="shared" si="44"/>
        <v>525</v>
      </c>
      <c r="C530" s="582">
        <v>43210</v>
      </c>
      <c r="D530" s="816" t="s">
        <v>2549</v>
      </c>
      <c r="E530" s="630">
        <v>310500</v>
      </c>
      <c r="F530" s="629" t="str">
        <f>IFERROR(VLOOKUP(E530,STAT1!$C$4:$D$1000,2,FALSE),"")</f>
        <v>НӨАТ өглөг</v>
      </c>
      <c r="G530" s="376"/>
      <c r="H530" s="376">
        <v>121507.27</v>
      </c>
      <c r="I530" s="580">
        <f t="shared" si="45"/>
        <v>0</v>
      </c>
      <c r="J530" s="961">
        <f t="shared" si="46"/>
        <v>0</v>
      </c>
      <c r="K530" s="80"/>
      <c r="L530" s="630">
        <v>3124</v>
      </c>
      <c r="M530" s="80" t="str">
        <f>+IFERROR(VLOOKUP(L530,DATA!$G$4:$H$2000,2,FALSE),"")</f>
        <v xml:space="preserve">ШИНЭЛЭГ СУУЦ ХХК </v>
      </c>
      <c r="N530" s="630"/>
      <c r="O530" s="80" t="str">
        <f>IFERROR(VLOOKUP(N530,DATA!$K$4:$L$51,2,FALSE),"")</f>
        <v/>
      </c>
      <c r="P530" s="80">
        <f t="shared" si="42"/>
        <v>0</v>
      </c>
      <c r="Q530" s="154">
        <f t="shared" si="43"/>
        <v>0</v>
      </c>
    </row>
    <row r="531" spans="2:17">
      <c r="B531" s="627">
        <f t="shared" si="44"/>
        <v>526</v>
      </c>
      <c r="C531" s="582">
        <v>43210</v>
      </c>
      <c r="D531" s="816" t="s">
        <v>2549</v>
      </c>
      <c r="E531" s="630">
        <v>510000</v>
      </c>
      <c r="F531" s="629" t="str">
        <f>IFERROR(VLOOKUP(E531,STAT1!$C$4:$D$1000,2,FALSE),"")</f>
        <v>Үндсэн үйл ажиллагааны борлуулалт</v>
      </c>
      <c r="G531" s="376"/>
      <c r="H531" s="376">
        <v>1215072.73</v>
      </c>
      <c r="I531" s="580">
        <f t="shared" si="45"/>
        <v>0</v>
      </c>
      <c r="J531" s="961">
        <f t="shared" si="46"/>
        <v>0</v>
      </c>
      <c r="K531" s="80"/>
      <c r="L531" s="630">
        <v>3124</v>
      </c>
      <c r="M531" s="80" t="str">
        <f>+IFERROR(VLOOKUP(L531,DATA!$G$4:$H$2000,2,FALSE),"")</f>
        <v xml:space="preserve">ШИНЭЛЭГ СУУЦ ХХК </v>
      </c>
      <c r="N531" s="630"/>
      <c r="O531" s="80" t="str">
        <f>IFERROR(VLOOKUP(N531,DATA!$K$4:$L$51,2,FALSE),"")</f>
        <v/>
      </c>
      <c r="P531" s="80">
        <f t="shared" si="42"/>
        <v>0</v>
      </c>
      <c r="Q531" s="154">
        <f t="shared" si="43"/>
        <v>0</v>
      </c>
    </row>
    <row r="532" spans="2:17">
      <c r="B532" s="627">
        <f t="shared" si="44"/>
        <v>527</v>
      </c>
      <c r="C532" s="582">
        <v>43210</v>
      </c>
      <c r="D532" s="816" t="s">
        <v>2549</v>
      </c>
      <c r="E532" s="630">
        <v>320100</v>
      </c>
      <c r="F532" s="629" t="str">
        <f>IFERROR(VLOOKUP(E532,STAT1!$C$4:$D$1000,2,FALSE),"")</f>
        <v>Урьдчилж орсон орлого MNT</v>
      </c>
      <c r="G532" s="376">
        <v>1336580</v>
      </c>
      <c r="H532" s="376"/>
      <c r="I532" s="580">
        <f t="shared" si="45"/>
        <v>0</v>
      </c>
      <c r="J532" s="961">
        <f t="shared" si="46"/>
        <v>0</v>
      </c>
      <c r="K532" s="80"/>
      <c r="L532" s="630">
        <v>3124</v>
      </c>
      <c r="M532" s="80" t="str">
        <f>+IFERROR(VLOOKUP(L532,DATA!$G$4:$H$2000,2,FALSE),"")</f>
        <v xml:space="preserve">ШИНЭЛЭГ СУУЦ ХХК </v>
      </c>
      <c r="N532" s="630"/>
      <c r="O532" s="80" t="str">
        <f>IFERROR(VLOOKUP(N532,DATA!$K$4:$L$51,2,FALSE),"")</f>
        <v/>
      </c>
      <c r="P532" s="80">
        <f t="shared" si="42"/>
        <v>0</v>
      </c>
      <c r="Q532" s="154">
        <f t="shared" si="43"/>
        <v>0</v>
      </c>
    </row>
    <row r="533" spans="2:17">
      <c r="B533" s="627">
        <f t="shared" si="44"/>
        <v>528</v>
      </c>
      <c r="C533" s="582">
        <v>43211</v>
      </c>
      <c r="D533" s="815" t="s">
        <v>2602</v>
      </c>
      <c r="E533" s="807">
        <v>100100</v>
      </c>
      <c r="F533" s="629" t="str">
        <f>IFERROR(VLOOKUP(E533,STAT1!$C$4:$D$1000,2,FALSE),"")</f>
        <v>Касс мөнгө MNT</v>
      </c>
      <c r="G533" s="811"/>
      <c r="H533" s="811">
        <v>222563</v>
      </c>
      <c r="I533" s="580">
        <f t="shared" si="45"/>
        <v>-222563</v>
      </c>
      <c r="J533" s="961">
        <f t="shared" si="46"/>
        <v>0</v>
      </c>
      <c r="K533" s="80"/>
      <c r="L533" s="807">
        <v>2005</v>
      </c>
      <c r="M533" s="80" t="str">
        <f>+IFERROR(VLOOKUP(L533,DATA!$G$4:$H$2000,2,FALSE),"")</f>
        <v xml:space="preserve">УСУГ ТӨХК </v>
      </c>
      <c r="N533" s="807">
        <v>54</v>
      </c>
      <c r="O533" s="80" t="str">
        <f>IFERROR(VLOOKUP(N533,DATA!$K$4:$L$51,2,FALSE),"")</f>
        <v>Ашиглалтын зардалд төлсөн</v>
      </c>
      <c r="P533" s="80">
        <f t="shared" si="42"/>
        <v>1</v>
      </c>
      <c r="Q533" s="154">
        <f t="shared" si="43"/>
        <v>1</v>
      </c>
    </row>
    <row r="534" spans="2:17">
      <c r="B534" s="627">
        <f t="shared" si="44"/>
        <v>529</v>
      </c>
      <c r="C534" s="582">
        <v>43211</v>
      </c>
      <c r="D534" s="815" t="s">
        <v>2602</v>
      </c>
      <c r="E534" s="807">
        <v>120600</v>
      </c>
      <c r="F534" s="629" t="str">
        <f>IFERROR(VLOOKUP(E534,STAT1!$C$4:$D$8000,2,FALSE),"")</f>
        <v>НӨАТ авлага</v>
      </c>
      <c r="G534" s="811">
        <v>20233</v>
      </c>
      <c r="H534" s="811"/>
      <c r="I534" s="580">
        <f t="shared" si="45"/>
        <v>0</v>
      </c>
      <c r="J534" s="961">
        <f t="shared" si="46"/>
        <v>0</v>
      </c>
      <c r="K534" s="80"/>
      <c r="L534" s="807">
        <v>2005</v>
      </c>
      <c r="M534" s="80" t="str">
        <f>+IFERROR(VLOOKUP(L534,DATA!$G$4:$H$2000,2,FALSE),"")</f>
        <v xml:space="preserve">УСУГ ТӨХК </v>
      </c>
      <c r="N534" s="807"/>
      <c r="O534" s="80" t="str">
        <f>IFERROR(VLOOKUP(N534,DATA!$K$4:$L$51,2,FALSE),"")</f>
        <v/>
      </c>
      <c r="P534" s="80">
        <f t="shared" si="42"/>
        <v>0</v>
      </c>
      <c r="Q534" s="154">
        <f t="shared" si="43"/>
        <v>0</v>
      </c>
    </row>
    <row r="535" spans="2:17">
      <c r="B535" s="627">
        <f t="shared" si="44"/>
        <v>530</v>
      </c>
      <c r="C535" s="582">
        <v>43211</v>
      </c>
      <c r="D535" s="815" t="s">
        <v>2602</v>
      </c>
      <c r="E535" s="807">
        <v>700900</v>
      </c>
      <c r="F535" s="629" t="str">
        <f>IFERROR(VLOOKUP(E535,STAT1!$C$4:$D$8000,2,FALSE),"")</f>
        <v>Уур, ус</v>
      </c>
      <c r="G535" s="811">
        <v>202330</v>
      </c>
      <c r="H535" s="811"/>
      <c r="I535" s="580">
        <f t="shared" si="45"/>
        <v>0</v>
      </c>
      <c r="J535" s="961">
        <f t="shared" si="46"/>
        <v>0</v>
      </c>
      <c r="K535" s="80"/>
      <c r="L535" s="807">
        <v>2005</v>
      </c>
      <c r="M535" s="80" t="str">
        <f>+IFERROR(VLOOKUP(L535,DATA!$G$4:$H$2000,2,FALSE),"")</f>
        <v xml:space="preserve">УСУГ ТӨХК </v>
      </c>
      <c r="N535" s="807"/>
      <c r="O535" s="80" t="str">
        <f>IFERROR(VLOOKUP(N535,DATA!$K$4:$L$51,2,FALSE),"")</f>
        <v/>
      </c>
      <c r="P535" s="80">
        <f t="shared" si="42"/>
        <v>0</v>
      </c>
      <c r="Q535" s="154">
        <f t="shared" si="43"/>
        <v>0</v>
      </c>
    </row>
    <row r="536" spans="2:17">
      <c r="B536" s="627">
        <f t="shared" si="44"/>
        <v>531</v>
      </c>
      <c r="C536" s="582">
        <v>43211</v>
      </c>
      <c r="D536" s="815" t="s">
        <v>2564</v>
      </c>
      <c r="E536" s="807">
        <v>100100</v>
      </c>
      <c r="F536" s="629" t="str">
        <f>IFERROR(VLOOKUP(E536,STAT1!$C$4:$D$1000,2,FALSE),"")</f>
        <v>Касс мөнгө MNT</v>
      </c>
      <c r="G536" s="811"/>
      <c r="H536" s="811">
        <v>42350</v>
      </c>
      <c r="I536" s="580">
        <f t="shared" si="45"/>
        <v>-42350</v>
      </c>
      <c r="J536" s="961">
        <f t="shared" si="46"/>
        <v>0</v>
      </c>
      <c r="K536" s="80"/>
      <c r="L536" s="807">
        <v>1008</v>
      </c>
      <c r="M536" s="80" t="str">
        <f>+IFERROR(VLOOKUP(L536,DATA!$G$4:$H$2000,2,FALSE),"")</f>
        <v xml:space="preserve">Оюунтүлхүүр </v>
      </c>
      <c r="N536" s="807">
        <v>53</v>
      </c>
      <c r="O536" s="80" t="str">
        <f>IFERROR(VLOOKUP(N536,DATA!$K$4:$L$51,2,FALSE),"")</f>
        <v>Бараа материал худалдан авахад төлсөн</v>
      </c>
      <c r="P536" s="80">
        <f t="shared" si="42"/>
        <v>1</v>
      </c>
      <c r="Q536" s="154">
        <f t="shared" si="43"/>
        <v>1</v>
      </c>
    </row>
    <row r="537" spans="2:17">
      <c r="B537" s="627">
        <f t="shared" si="44"/>
        <v>532</v>
      </c>
      <c r="C537" s="582">
        <v>43211</v>
      </c>
      <c r="D537" s="815" t="s">
        <v>2564</v>
      </c>
      <c r="E537" s="807">
        <v>120600</v>
      </c>
      <c r="F537" s="629" t="str">
        <f>IFERROR(VLOOKUP(E537,STAT1!$C$4:$D$1000,2,FALSE),"")</f>
        <v>НӨАТ авлага</v>
      </c>
      <c r="G537" s="811">
        <v>3850</v>
      </c>
      <c r="H537" s="811"/>
      <c r="I537" s="580">
        <f t="shared" si="45"/>
        <v>0</v>
      </c>
      <c r="J537" s="961">
        <f t="shared" si="46"/>
        <v>0</v>
      </c>
      <c r="K537" s="80"/>
      <c r="L537" s="807">
        <v>1008</v>
      </c>
      <c r="M537" s="80" t="str">
        <f>+IFERROR(VLOOKUP(L537,DATA!$G$4:$H$2000,2,FALSE),"")</f>
        <v xml:space="preserve">Оюунтүлхүүр </v>
      </c>
      <c r="N537" s="807"/>
      <c r="O537" s="80" t="str">
        <f>IFERROR(VLOOKUP(N537,DATA!$K$4:$L$51,2,FALSE),"")</f>
        <v/>
      </c>
      <c r="P537" s="80">
        <f t="shared" si="42"/>
        <v>0</v>
      </c>
      <c r="Q537" s="154">
        <f t="shared" si="43"/>
        <v>0</v>
      </c>
    </row>
    <row r="538" spans="2:17">
      <c r="B538" s="627">
        <f t="shared" si="44"/>
        <v>533</v>
      </c>
      <c r="C538" s="582">
        <v>43211</v>
      </c>
      <c r="D538" s="815" t="s">
        <v>2564</v>
      </c>
      <c r="E538" s="807">
        <v>703700</v>
      </c>
      <c r="F538" s="629" t="str">
        <f>IFERROR(VLOOKUP(E538,STAT1!$C$4:$D$1000,2,FALSE),"")</f>
        <v>Бичиг хэргийн зардал</v>
      </c>
      <c r="G538" s="811">
        <v>38500</v>
      </c>
      <c r="H538" s="811"/>
      <c r="I538" s="580">
        <f t="shared" si="45"/>
        <v>0</v>
      </c>
      <c r="J538" s="961">
        <f t="shared" si="46"/>
        <v>0</v>
      </c>
      <c r="K538" s="80"/>
      <c r="L538" s="807">
        <v>1008</v>
      </c>
      <c r="M538" s="80" t="str">
        <f>+IFERROR(VLOOKUP(L538,DATA!$G$4:$H$2000,2,FALSE),"")</f>
        <v xml:space="preserve">Оюунтүлхүүр </v>
      </c>
      <c r="N538" s="807"/>
      <c r="O538" s="80" t="str">
        <f>IFERROR(VLOOKUP(N538,DATA!$K$4:$L$51,2,FALSE),"")</f>
        <v/>
      </c>
      <c r="P538" s="80">
        <f t="shared" si="42"/>
        <v>0</v>
      </c>
      <c r="Q538" s="154">
        <f t="shared" si="43"/>
        <v>0</v>
      </c>
    </row>
    <row r="539" spans="2:17">
      <c r="B539" s="627">
        <f t="shared" si="44"/>
        <v>534</v>
      </c>
      <c r="C539" s="582">
        <v>43211</v>
      </c>
      <c r="D539" s="816" t="s">
        <v>2549</v>
      </c>
      <c r="E539" s="630">
        <v>150101</v>
      </c>
      <c r="F539" s="629" t="str">
        <f>IFERROR(VLOOKUP(E539,STAT1!$C$4:$D$1000,2,FALSE),"")</f>
        <v>Бараа бэлэн бүтээгдэхүүн БОЛОВСРУУЛАХ ЦЕХ /нарс/</v>
      </c>
      <c r="G539" s="376"/>
      <c r="H539" s="376">
        <v>327161.59999999998</v>
      </c>
      <c r="I539" s="580">
        <f t="shared" si="45"/>
        <v>0</v>
      </c>
      <c r="J539" s="961">
        <f t="shared" si="46"/>
        <v>0</v>
      </c>
      <c r="K539" s="80"/>
      <c r="L539" s="630">
        <v>3124</v>
      </c>
      <c r="M539" s="80" t="str">
        <f>+IFERROR(VLOOKUP(L539,DATA!$G$4:$H$2000,2,FALSE),"")</f>
        <v xml:space="preserve">ШИНЭЛЭГ СУУЦ ХХК </v>
      </c>
      <c r="N539" s="630"/>
      <c r="O539" s="80" t="str">
        <f>IFERROR(VLOOKUP(N539,DATA!$K$4:$L$51,2,FALSE),"")</f>
        <v/>
      </c>
      <c r="P539" s="80">
        <f t="shared" si="42"/>
        <v>0</v>
      </c>
      <c r="Q539" s="154">
        <f t="shared" si="43"/>
        <v>0</v>
      </c>
    </row>
    <row r="540" spans="2:17">
      <c r="B540" s="627">
        <f t="shared" si="44"/>
        <v>535</v>
      </c>
      <c r="C540" s="582">
        <v>43212</v>
      </c>
      <c r="D540" s="816" t="s">
        <v>2549</v>
      </c>
      <c r="E540" s="630">
        <v>150101</v>
      </c>
      <c r="F540" s="629" t="str">
        <f>IFERROR(VLOOKUP(E540,STAT1!$C$4:$D$1000,2,FALSE),"")</f>
        <v>Бараа бэлэн бүтээгдэхүүн БОЛОВСРУУЛАХ ЦЕХ /нарс/</v>
      </c>
      <c r="G540" s="376"/>
      <c r="H540" s="376">
        <v>709506.88</v>
      </c>
      <c r="I540" s="580">
        <f t="shared" si="45"/>
        <v>0</v>
      </c>
      <c r="J540" s="961">
        <f t="shared" si="46"/>
        <v>0</v>
      </c>
      <c r="K540" s="80"/>
      <c r="L540" s="630">
        <v>3124</v>
      </c>
      <c r="M540" s="80" t="str">
        <f>+IFERROR(VLOOKUP(L540,DATA!$G$4:$H$2000,2,FALSE),"")</f>
        <v xml:space="preserve">ШИНЭЛЭГ СУУЦ ХХК </v>
      </c>
      <c r="N540" s="630"/>
      <c r="O540" s="80" t="str">
        <f>IFERROR(VLOOKUP(N540,DATA!$K$4:$L$51,2,FALSE),"")</f>
        <v/>
      </c>
      <c r="P540" s="80">
        <f t="shared" si="42"/>
        <v>0</v>
      </c>
      <c r="Q540" s="154">
        <f t="shared" si="43"/>
        <v>0</v>
      </c>
    </row>
    <row r="541" spans="2:17">
      <c r="B541" s="627">
        <f t="shared" si="44"/>
        <v>536</v>
      </c>
      <c r="C541" s="429">
        <v>43213</v>
      </c>
      <c r="D541" s="816" t="s">
        <v>2576</v>
      </c>
      <c r="E541" s="807">
        <v>100100</v>
      </c>
      <c r="F541" s="629" t="str">
        <f>IFERROR(VLOOKUP(E541,STAT1!$C$4:$D$1000,2,FALSE),"")</f>
        <v>Касс мөнгө MNT</v>
      </c>
      <c r="G541" s="811"/>
      <c r="H541" s="811">
        <v>480000</v>
      </c>
      <c r="I541" s="580">
        <f t="shared" si="45"/>
        <v>-480000</v>
      </c>
      <c r="J541" s="961">
        <f t="shared" si="46"/>
        <v>0</v>
      </c>
      <c r="K541" s="80"/>
      <c r="L541" s="807">
        <v>1008</v>
      </c>
      <c r="M541" s="80" t="str">
        <f>+IFERROR(VLOOKUP(L541,DATA!$G$4:$H$2000,2,FALSE),"")</f>
        <v xml:space="preserve">Оюунтүлхүүр </v>
      </c>
      <c r="N541" s="807">
        <v>59</v>
      </c>
      <c r="O541" s="80" t="str">
        <f>IFERROR(VLOOKUP(N541,DATA!$K$4:$L$51,2,FALSE),"")</f>
        <v>Бусад мөнгөн зарлага</v>
      </c>
      <c r="P541" s="80">
        <f t="shared" si="42"/>
        <v>1</v>
      </c>
      <c r="Q541" s="154">
        <f t="shared" si="43"/>
        <v>1</v>
      </c>
    </row>
    <row r="542" spans="2:17">
      <c r="B542" s="627">
        <f t="shared" si="44"/>
        <v>537</v>
      </c>
      <c r="C542" s="429">
        <v>43213</v>
      </c>
      <c r="D542" s="816" t="s">
        <v>2576</v>
      </c>
      <c r="E542" s="807">
        <v>706000</v>
      </c>
      <c r="F542" s="629" t="str">
        <f>IFERROR(VLOOKUP(E542,STAT1!$C$4:$D$1000,2,FALSE),"")</f>
        <v>Бусад зардал</v>
      </c>
      <c r="G542" s="811">
        <v>480000</v>
      </c>
      <c r="H542" s="811"/>
      <c r="I542" s="580">
        <f t="shared" si="45"/>
        <v>0</v>
      </c>
      <c r="J542" s="961">
        <f t="shared" si="46"/>
        <v>0</v>
      </c>
      <c r="K542" s="80"/>
      <c r="L542" s="807">
        <v>1008</v>
      </c>
      <c r="M542" s="80" t="str">
        <f>+IFERROR(VLOOKUP(L542,DATA!$G$4:$H$2000,2,FALSE),"")</f>
        <v xml:space="preserve">Оюунтүлхүүр </v>
      </c>
      <c r="N542" s="807"/>
      <c r="O542" s="80" t="str">
        <f>IFERROR(VLOOKUP(N542,DATA!$K$4:$L$51,2,FALSE),"")</f>
        <v/>
      </c>
      <c r="P542" s="80">
        <f t="shared" si="42"/>
        <v>0</v>
      </c>
      <c r="Q542" s="154">
        <f t="shared" si="43"/>
        <v>0</v>
      </c>
    </row>
    <row r="543" spans="2:17">
      <c r="B543" s="627">
        <f t="shared" si="44"/>
        <v>538</v>
      </c>
      <c r="C543" s="429">
        <v>43213</v>
      </c>
      <c r="D543" s="816" t="s">
        <v>2577</v>
      </c>
      <c r="E543" s="807">
        <v>100100</v>
      </c>
      <c r="F543" s="629" t="str">
        <f>IFERROR(VLOOKUP(E543,STAT1!$C$4:$D$1000,2,FALSE),"")</f>
        <v>Касс мөнгө MNT</v>
      </c>
      <c r="G543" s="811"/>
      <c r="H543" s="811">
        <v>61100</v>
      </c>
      <c r="I543" s="580">
        <f t="shared" si="45"/>
        <v>-61100</v>
      </c>
      <c r="J543" s="961">
        <f t="shared" si="46"/>
        <v>0</v>
      </c>
      <c r="K543" s="80"/>
      <c r="L543" s="807">
        <v>1008</v>
      </c>
      <c r="M543" s="80" t="str">
        <f>+IFERROR(VLOOKUP(L543,DATA!$G$4:$H$2000,2,FALSE),"")</f>
        <v xml:space="preserve">Оюунтүлхүүр </v>
      </c>
      <c r="N543" s="807">
        <v>59</v>
      </c>
      <c r="O543" s="80" t="str">
        <f>IFERROR(VLOOKUP(N543,DATA!$K$4:$L$51,2,FALSE),"")</f>
        <v>Бусад мөнгөн зарлага</v>
      </c>
      <c r="P543" s="80">
        <f t="shared" si="42"/>
        <v>1</v>
      </c>
      <c r="Q543" s="154">
        <f t="shared" si="43"/>
        <v>1</v>
      </c>
    </row>
    <row r="544" spans="2:17">
      <c r="B544" s="627">
        <f t="shared" si="44"/>
        <v>539</v>
      </c>
      <c r="C544" s="429">
        <v>43213</v>
      </c>
      <c r="D544" s="816" t="s">
        <v>2577</v>
      </c>
      <c r="E544" s="807">
        <v>706000</v>
      </c>
      <c r="F544" s="629" t="str">
        <f>IFERROR(VLOOKUP(E544,STAT1!$C$4:$D$1000,2,FALSE),"")</f>
        <v>Бусад зардал</v>
      </c>
      <c r="G544" s="811">
        <v>61100</v>
      </c>
      <c r="H544" s="811"/>
      <c r="I544" s="580">
        <f t="shared" si="45"/>
        <v>0</v>
      </c>
      <c r="J544" s="961">
        <f t="shared" si="46"/>
        <v>0</v>
      </c>
      <c r="K544" s="80"/>
      <c r="L544" s="807">
        <v>1008</v>
      </c>
      <c r="M544" s="80" t="str">
        <f>+IFERROR(VLOOKUP(L544,DATA!$G$4:$H$2000,2,FALSE),"")</f>
        <v xml:space="preserve">Оюунтүлхүүр </v>
      </c>
      <c r="N544" s="807"/>
      <c r="O544" s="80" t="str">
        <f>IFERROR(VLOOKUP(N544,DATA!$K$4:$L$51,2,FALSE),"")</f>
        <v/>
      </c>
      <c r="P544" s="80">
        <f t="shared" si="42"/>
        <v>0</v>
      </c>
      <c r="Q544" s="154">
        <f t="shared" si="43"/>
        <v>0</v>
      </c>
    </row>
    <row r="545" spans="2:17">
      <c r="B545" s="627">
        <f t="shared" si="44"/>
        <v>540</v>
      </c>
      <c r="C545" s="582">
        <v>43213</v>
      </c>
      <c r="D545" s="816" t="s">
        <v>2549</v>
      </c>
      <c r="E545" s="630">
        <v>150101</v>
      </c>
      <c r="F545" s="629" t="str">
        <f>IFERROR(VLOOKUP(E545,STAT1!$C$4:$D$1000,2,FALSE),"")</f>
        <v>Бараа бэлэн бүтээгдэхүүн БОЛОВСРУУЛАХ ЦЕХ /нарс/</v>
      </c>
      <c r="G545" s="376"/>
      <c r="H545" s="376">
        <v>112338.59</v>
      </c>
      <c r="I545" s="580">
        <f t="shared" si="45"/>
        <v>0</v>
      </c>
      <c r="J545" s="961">
        <f t="shared" si="46"/>
        <v>0</v>
      </c>
      <c r="K545" s="80"/>
      <c r="L545" s="630">
        <v>3006</v>
      </c>
      <c r="M545" s="80" t="str">
        <f>+IFERROR(VLOOKUP(L545,DATA!$G$4:$H$2000,2,FALSE),"")</f>
        <v xml:space="preserve">ПАЙОНЕРИНГ ИНТЕРНЭШНЛ ХХК </v>
      </c>
      <c r="N545" s="630"/>
      <c r="O545" s="80" t="str">
        <f>IFERROR(VLOOKUP(N545,DATA!$K$4:$L$51,2,FALSE),"")</f>
        <v/>
      </c>
      <c r="P545" s="80">
        <f t="shared" si="42"/>
        <v>0</v>
      </c>
      <c r="Q545" s="154">
        <f t="shared" si="43"/>
        <v>0</v>
      </c>
    </row>
    <row r="546" spans="2:17">
      <c r="B546" s="627">
        <f t="shared" si="44"/>
        <v>541</v>
      </c>
      <c r="C546" s="582">
        <v>43213</v>
      </c>
      <c r="D546" s="816" t="s">
        <v>2549</v>
      </c>
      <c r="E546" s="630">
        <v>610100</v>
      </c>
      <c r="F546" s="629" t="str">
        <f>IFERROR(VLOOKUP(E546,STAT1!$C$4:$D$1000,2,FALSE),"")</f>
        <v>Борлуулсан барааны өртөг</v>
      </c>
      <c r="G546" s="376">
        <v>112338.59</v>
      </c>
      <c r="H546" s="376"/>
      <c r="I546" s="580">
        <f t="shared" si="45"/>
        <v>0</v>
      </c>
      <c r="J546" s="961">
        <f t="shared" si="46"/>
        <v>0</v>
      </c>
      <c r="K546" s="80"/>
      <c r="L546" s="630">
        <v>3006</v>
      </c>
      <c r="M546" s="80" t="str">
        <f>+IFERROR(VLOOKUP(L546,DATA!$G$4:$H$2000,2,FALSE),"")</f>
        <v xml:space="preserve">ПАЙОНЕРИНГ ИНТЕРНЭШНЛ ХХК </v>
      </c>
      <c r="N546" s="630"/>
      <c r="O546" s="80" t="str">
        <f>IFERROR(VLOOKUP(N546,DATA!$K$4:$L$51,2,FALSE),"")</f>
        <v/>
      </c>
      <c r="P546" s="80">
        <f t="shared" si="42"/>
        <v>0</v>
      </c>
      <c r="Q546" s="154">
        <f t="shared" si="43"/>
        <v>0</v>
      </c>
    </row>
    <row r="547" spans="2:17">
      <c r="B547" s="627">
        <f t="shared" si="44"/>
        <v>542</v>
      </c>
      <c r="C547" s="429">
        <v>43213</v>
      </c>
      <c r="D547" s="816" t="s">
        <v>2549</v>
      </c>
      <c r="E547" s="807">
        <v>310500</v>
      </c>
      <c r="F547" s="629" t="str">
        <f>IFERROR(VLOOKUP(E547,STAT1!$C$4:$D$1000,2,FALSE),"")</f>
        <v>НӨАТ өглөг</v>
      </c>
      <c r="G547" s="811"/>
      <c r="H547" s="811">
        <v>11400</v>
      </c>
      <c r="I547" s="580">
        <f t="shared" si="45"/>
        <v>0</v>
      </c>
      <c r="J547" s="961">
        <f t="shared" si="46"/>
        <v>0</v>
      </c>
      <c r="K547" s="80"/>
      <c r="L547" s="630">
        <v>3006</v>
      </c>
      <c r="M547" s="80" t="str">
        <f>+IFERROR(VLOOKUP(L547,DATA!$G$4:$H$2000,2,FALSE),"")</f>
        <v xml:space="preserve">ПАЙОНЕРИНГ ИНТЕРНЭШНЛ ХХК </v>
      </c>
      <c r="N547" s="807"/>
      <c r="O547" s="80" t="str">
        <f>IFERROR(VLOOKUP(N547,DATA!$K$4:$L$51,2,FALSE),"")</f>
        <v/>
      </c>
      <c r="P547" s="80">
        <f t="shared" si="42"/>
        <v>0</v>
      </c>
      <c r="Q547" s="154">
        <f t="shared" si="43"/>
        <v>0</v>
      </c>
    </row>
    <row r="548" spans="2:17">
      <c r="B548" s="627">
        <f t="shared" si="44"/>
        <v>543</v>
      </c>
      <c r="C548" s="429">
        <v>43213</v>
      </c>
      <c r="D548" s="816" t="s">
        <v>2549</v>
      </c>
      <c r="E548" s="807">
        <v>510000</v>
      </c>
      <c r="F548" s="629" t="str">
        <f>IFERROR(VLOOKUP(E548,STAT1!$C$4:$D$1000,2,FALSE),"")</f>
        <v>Үндсэн үйл ажиллагааны борлуулалт</v>
      </c>
      <c r="G548" s="811"/>
      <c r="H548" s="811">
        <v>114000</v>
      </c>
      <c r="I548" s="580">
        <f t="shared" si="45"/>
        <v>0</v>
      </c>
      <c r="J548" s="961">
        <f t="shared" si="46"/>
        <v>0</v>
      </c>
      <c r="K548" s="80"/>
      <c r="L548" s="630">
        <v>3006</v>
      </c>
      <c r="M548" s="80" t="str">
        <f>+IFERROR(VLOOKUP(L548,DATA!$G$4:$H$2000,2,FALSE),"")</f>
        <v xml:space="preserve">ПАЙОНЕРИНГ ИНТЕРНЭШНЛ ХХК </v>
      </c>
      <c r="N548" s="807"/>
      <c r="O548" s="80" t="str">
        <f>IFERROR(VLOOKUP(N548,DATA!$K$4:$L$51,2,FALSE),"")</f>
        <v/>
      </c>
      <c r="P548" s="80">
        <f t="shared" si="42"/>
        <v>0</v>
      </c>
      <c r="Q548" s="154">
        <f t="shared" si="43"/>
        <v>0</v>
      </c>
    </row>
    <row r="549" spans="2:17">
      <c r="B549" s="627">
        <f t="shared" si="44"/>
        <v>544</v>
      </c>
      <c r="C549" s="582">
        <v>43213</v>
      </c>
      <c r="D549" s="816" t="s">
        <v>2549</v>
      </c>
      <c r="E549" s="630">
        <v>320100</v>
      </c>
      <c r="F549" s="629" t="str">
        <f>IFERROR(VLOOKUP(E549,STAT1!$C$4:$D$1000,2,FALSE),"")</f>
        <v>Урьдчилж орсон орлого MNT</v>
      </c>
      <c r="G549" s="376">
        <v>125400</v>
      </c>
      <c r="H549" s="376"/>
      <c r="I549" s="580">
        <f t="shared" si="45"/>
        <v>0</v>
      </c>
      <c r="J549" s="961">
        <f t="shared" si="46"/>
        <v>0</v>
      </c>
      <c r="K549" s="80"/>
      <c r="L549" s="630">
        <v>3006</v>
      </c>
      <c r="M549" s="80" t="str">
        <f>+IFERROR(VLOOKUP(L549,DATA!$G$4:$H$2000,2,FALSE),"")</f>
        <v xml:space="preserve">ПАЙОНЕРИНГ ИНТЕРНЭШНЛ ХХК </v>
      </c>
      <c r="N549" s="630"/>
      <c r="O549" s="80" t="str">
        <f>IFERROR(VLOOKUP(N549,DATA!$K$4:$L$51,2,FALSE),"")</f>
        <v/>
      </c>
      <c r="P549" s="80">
        <f t="shared" si="42"/>
        <v>0</v>
      </c>
      <c r="Q549" s="154">
        <f t="shared" si="43"/>
        <v>0</v>
      </c>
    </row>
    <row r="550" spans="2:17">
      <c r="B550" s="627">
        <f t="shared" si="44"/>
        <v>545</v>
      </c>
      <c r="C550" s="429">
        <v>43214</v>
      </c>
      <c r="D550" s="816" t="s">
        <v>1571</v>
      </c>
      <c r="E550" s="807">
        <v>110100</v>
      </c>
      <c r="F550" s="629" t="str">
        <f>IFERROR(VLOOKUP(E550,STAT1!$C$4:$D$1000,2,FALSE),"")</f>
        <v>Хаан Банк 5024654020</v>
      </c>
      <c r="G550" s="811">
        <v>277200</v>
      </c>
      <c r="H550" s="811"/>
      <c r="I550" s="580">
        <f t="shared" si="45"/>
        <v>277200</v>
      </c>
      <c r="J550" s="961">
        <f t="shared" si="46"/>
        <v>0</v>
      </c>
      <c r="K550" s="80"/>
      <c r="L550" s="807">
        <v>3109</v>
      </c>
      <c r="M550" s="80" t="str">
        <f>+IFERROR(VLOOKUP(L550,DATA!$G$4:$H$2000,2,FALSE),"")</f>
        <v xml:space="preserve">СИЛК РӨҮТ ТЕКСТИЛЬ ХХК </v>
      </c>
      <c r="N550" s="807">
        <v>41</v>
      </c>
      <c r="O550" s="80" t="str">
        <f>IFERROR(VLOOKUP(N550,DATA!$K$4:$L$51,2,FALSE),"")</f>
        <v>Бараа борлуулсан, үйлчилгээ үзүүлсэний орлого</v>
      </c>
      <c r="P550" s="80">
        <f t="shared" si="42"/>
        <v>1</v>
      </c>
      <c r="Q550" s="154">
        <f t="shared" si="43"/>
        <v>1</v>
      </c>
    </row>
    <row r="551" spans="2:17">
      <c r="B551" s="627">
        <f t="shared" si="44"/>
        <v>546</v>
      </c>
      <c r="C551" s="429">
        <v>43214</v>
      </c>
      <c r="D551" s="816" t="s">
        <v>1571</v>
      </c>
      <c r="E551" s="807">
        <v>320100</v>
      </c>
      <c r="F551" s="629" t="str">
        <f>IFERROR(VLOOKUP(E551,STAT1!$C$4:$D$1000,2,FALSE),"")</f>
        <v>Урьдчилж орсон орлого MNT</v>
      </c>
      <c r="G551" s="811"/>
      <c r="H551" s="811">
        <v>277200</v>
      </c>
      <c r="I551" s="580">
        <f t="shared" si="45"/>
        <v>0</v>
      </c>
      <c r="J551" s="961">
        <f t="shared" si="46"/>
        <v>0</v>
      </c>
      <c r="K551" s="80"/>
      <c r="L551" s="807">
        <v>3109</v>
      </c>
      <c r="M551" s="80" t="str">
        <f>+IFERROR(VLOOKUP(L551,DATA!$G$4:$H$2000,2,FALSE),"")</f>
        <v xml:space="preserve">СИЛК РӨҮТ ТЕКСТИЛЬ ХХК </v>
      </c>
      <c r="N551" s="807"/>
      <c r="O551" s="80" t="str">
        <f>IFERROR(VLOOKUP(N551,DATA!$K$4:$L$51,2,FALSE),"")</f>
        <v/>
      </c>
      <c r="P551" s="80">
        <f t="shared" si="42"/>
        <v>0</v>
      </c>
      <c r="Q551" s="154">
        <f t="shared" si="43"/>
        <v>0</v>
      </c>
    </row>
    <row r="552" spans="2:17">
      <c r="B552" s="627">
        <f t="shared" si="44"/>
        <v>547</v>
      </c>
      <c r="C552" s="429">
        <v>43214</v>
      </c>
      <c r="D552" s="816" t="s">
        <v>2379</v>
      </c>
      <c r="E552" s="807">
        <v>110100</v>
      </c>
      <c r="F552" s="629" t="str">
        <f>IFERROR(VLOOKUP(E552,STAT1!$C$4:$D$1000,2,FALSE),"")</f>
        <v>Хаан Банк 5024654020</v>
      </c>
      <c r="G552" s="811"/>
      <c r="H552" s="811">
        <v>131585.54</v>
      </c>
      <c r="I552" s="580">
        <f t="shared" si="45"/>
        <v>-131585.54</v>
      </c>
      <c r="J552" s="961">
        <f t="shared" si="46"/>
        <v>0</v>
      </c>
      <c r="K552" s="80"/>
      <c r="L552" s="807">
        <v>2009</v>
      </c>
      <c r="M552" s="80" t="str">
        <f>+IFERROR(VLOOKUP(L552,DATA!$G$4:$H$2000,2,FALSE),"")</f>
        <v>ХААН БАНК</v>
      </c>
      <c r="N552" s="807">
        <v>56</v>
      </c>
      <c r="O552" s="80" t="str">
        <f>IFERROR(VLOOKUP(N552,DATA!$K$4:$L$51,2,FALSE),"")</f>
        <v>Хүүний төлбөрт төлсөн</v>
      </c>
      <c r="P552" s="80">
        <f t="shared" si="42"/>
        <v>1</v>
      </c>
      <c r="Q552" s="154">
        <f t="shared" si="43"/>
        <v>1</v>
      </c>
    </row>
    <row r="553" spans="2:17">
      <c r="B553" s="627">
        <f t="shared" si="44"/>
        <v>548</v>
      </c>
      <c r="C553" s="429">
        <v>43214</v>
      </c>
      <c r="D553" s="816" t="s">
        <v>2379</v>
      </c>
      <c r="E553" s="807">
        <v>702500</v>
      </c>
      <c r="F553" s="629" t="str">
        <f>IFERROR(VLOOKUP(E553,STAT1!$C$4:$D$1000,2,FALSE),"")</f>
        <v>Зээлийн хүүгийн зардал</v>
      </c>
      <c r="G553" s="811">
        <v>131585.54</v>
      </c>
      <c r="H553" s="811"/>
      <c r="I553" s="580">
        <f t="shared" si="45"/>
        <v>0</v>
      </c>
      <c r="J553" s="961">
        <f t="shared" si="46"/>
        <v>0</v>
      </c>
      <c r="K553" s="80"/>
      <c r="L553" s="807">
        <v>2009</v>
      </c>
      <c r="M553" s="80" t="str">
        <f>+IFERROR(VLOOKUP(L553,DATA!$G$4:$H$2000,2,FALSE),"")</f>
        <v>ХААН БАНК</v>
      </c>
      <c r="N553" s="807"/>
      <c r="O553" s="80" t="str">
        <f>IFERROR(VLOOKUP(N553,DATA!$K$4:$L$51,2,FALSE),"")</f>
        <v/>
      </c>
      <c r="P553" s="80">
        <f t="shared" si="42"/>
        <v>0</v>
      </c>
      <c r="Q553" s="154">
        <f t="shared" si="43"/>
        <v>0</v>
      </c>
    </row>
    <row r="554" spans="2:17">
      <c r="B554" s="627">
        <f t="shared" si="44"/>
        <v>549</v>
      </c>
      <c r="C554" s="582">
        <v>43215</v>
      </c>
      <c r="D554" s="816" t="s">
        <v>2549</v>
      </c>
      <c r="E554" s="630">
        <v>150101</v>
      </c>
      <c r="F554" s="629" t="str">
        <f>IFERROR(VLOOKUP(E554,STAT1!$C$4:$D$1000,2,FALSE),"")</f>
        <v>Бараа бэлэн бүтээгдэхүүн БОЛОВСРУУЛАХ ЦЕХ /нарс/</v>
      </c>
      <c r="G554" s="376"/>
      <c r="H554" s="376">
        <v>129158.89</v>
      </c>
      <c r="I554" s="580">
        <f t="shared" si="45"/>
        <v>0</v>
      </c>
      <c r="J554" s="961">
        <f t="shared" si="46"/>
        <v>0</v>
      </c>
      <c r="K554" s="80"/>
      <c r="L554" s="630">
        <v>3109</v>
      </c>
      <c r="M554" s="80" t="str">
        <f>+IFERROR(VLOOKUP(L554,DATA!$G$4:$H$2000,2,FALSE),"")</f>
        <v xml:space="preserve">СИЛК РӨҮТ ТЕКСТИЛЬ ХХК </v>
      </c>
      <c r="N554" s="630"/>
      <c r="O554" s="80" t="str">
        <f>IFERROR(VLOOKUP(N554,DATA!$K$4:$L$51,2,FALSE),"")</f>
        <v/>
      </c>
      <c r="P554" s="80">
        <f t="shared" si="42"/>
        <v>0</v>
      </c>
      <c r="Q554" s="154">
        <f t="shared" si="43"/>
        <v>0</v>
      </c>
    </row>
    <row r="555" spans="2:17">
      <c r="B555" s="627">
        <f t="shared" si="44"/>
        <v>550</v>
      </c>
      <c r="C555" s="582">
        <v>43215</v>
      </c>
      <c r="D555" s="816" t="s">
        <v>2549</v>
      </c>
      <c r="E555" s="630">
        <v>610100</v>
      </c>
      <c r="F555" s="629" t="str">
        <f>IFERROR(VLOOKUP(E555,STAT1!$C$4:$D$1000,2,FALSE),"")</f>
        <v>Борлуулсан барааны өртөг</v>
      </c>
      <c r="G555" s="376">
        <v>129158.89</v>
      </c>
      <c r="H555" s="376"/>
      <c r="I555" s="580">
        <f t="shared" si="45"/>
        <v>0</v>
      </c>
      <c r="J555" s="961">
        <f t="shared" si="46"/>
        <v>0</v>
      </c>
      <c r="K555" s="80"/>
      <c r="L555" s="630">
        <v>3109</v>
      </c>
      <c r="M555" s="80" t="str">
        <f>+IFERROR(VLOOKUP(L555,DATA!$G$4:$H$2000,2,FALSE),"")</f>
        <v xml:space="preserve">СИЛК РӨҮТ ТЕКСТИЛЬ ХХК </v>
      </c>
      <c r="N555" s="630"/>
      <c r="O555" s="80" t="str">
        <f>IFERROR(VLOOKUP(N555,DATA!$K$4:$L$51,2,FALSE),"")</f>
        <v/>
      </c>
      <c r="P555" s="80">
        <f t="shared" si="42"/>
        <v>0</v>
      </c>
      <c r="Q555" s="154">
        <f t="shared" si="43"/>
        <v>0</v>
      </c>
    </row>
    <row r="556" spans="2:17">
      <c r="B556" s="627">
        <f t="shared" si="44"/>
        <v>551</v>
      </c>
      <c r="C556" s="582">
        <v>43215</v>
      </c>
      <c r="D556" s="816" t="s">
        <v>2549</v>
      </c>
      <c r="E556" s="630">
        <v>310500</v>
      </c>
      <c r="F556" s="629" t="str">
        <f>IFERROR(VLOOKUP(E556,STAT1!$C$4:$D$1000,2,FALSE),"")</f>
        <v>НӨАТ өглөг</v>
      </c>
      <c r="G556" s="376"/>
      <c r="H556" s="376">
        <v>25200</v>
      </c>
      <c r="I556" s="580">
        <f t="shared" si="45"/>
        <v>0</v>
      </c>
      <c r="J556" s="961">
        <f t="shared" si="46"/>
        <v>0</v>
      </c>
      <c r="K556" s="80"/>
      <c r="L556" s="630">
        <v>3109</v>
      </c>
      <c r="M556" s="80" t="str">
        <f>+IFERROR(VLOOKUP(L556,DATA!$G$4:$H$2000,2,FALSE),"")</f>
        <v xml:space="preserve">СИЛК РӨҮТ ТЕКСТИЛЬ ХХК </v>
      </c>
      <c r="N556" s="630"/>
      <c r="O556" s="80" t="str">
        <f>IFERROR(VLOOKUP(N556,DATA!$K$4:$L$51,2,FALSE),"")</f>
        <v/>
      </c>
      <c r="P556" s="80">
        <f t="shared" si="42"/>
        <v>0</v>
      </c>
      <c r="Q556" s="154">
        <f t="shared" si="43"/>
        <v>0</v>
      </c>
    </row>
    <row r="557" spans="2:17">
      <c r="B557" s="627">
        <f t="shared" si="44"/>
        <v>552</v>
      </c>
      <c r="C557" s="582">
        <v>43215</v>
      </c>
      <c r="D557" s="816" t="s">
        <v>2549</v>
      </c>
      <c r="E557" s="630">
        <v>510000</v>
      </c>
      <c r="F557" s="629" t="str">
        <f>IFERROR(VLOOKUP(E557,STAT1!$C$4:$D$1000,2,FALSE),"")</f>
        <v>Үндсэн үйл ажиллагааны борлуулалт</v>
      </c>
      <c r="G557" s="376"/>
      <c r="H557" s="376">
        <v>252000</v>
      </c>
      <c r="I557" s="580">
        <f t="shared" si="45"/>
        <v>0</v>
      </c>
      <c r="J557" s="961">
        <f t="shared" si="46"/>
        <v>0</v>
      </c>
      <c r="K557" s="80"/>
      <c r="L557" s="630">
        <v>3109</v>
      </c>
      <c r="M557" s="80" t="str">
        <f>+IFERROR(VLOOKUP(L557,DATA!$G$4:$H$2000,2,FALSE),"")</f>
        <v xml:space="preserve">СИЛК РӨҮТ ТЕКСТИЛЬ ХХК </v>
      </c>
      <c r="N557" s="630"/>
      <c r="O557" s="80" t="str">
        <f>IFERROR(VLOOKUP(N557,DATA!$K$4:$L$51,2,FALSE),"")</f>
        <v/>
      </c>
      <c r="P557" s="80">
        <f t="shared" si="42"/>
        <v>0</v>
      </c>
      <c r="Q557" s="154">
        <f t="shared" si="43"/>
        <v>0</v>
      </c>
    </row>
    <row r="558" spans="2:17">
      <c r="B558" s="627">
        <f t="shared" si="44"/>
        <v>553</v>
      </c>
      <c r="C558" s="429">
        <v>43215</v>
      </c>
      <c r="D558" s="816" t="s">
        <v>2549</v>
      </c>
      <c r="E558" s="807">
        <v>320100</v>
      </c>
      <c r="F558" s="629" t="str">
        <f>IFERROR(VLOOKUP(E558,STAT1!$C$4:$D$1000,2,FALSE),"")</f>
        <v>Урьдчилж орсон орлого MNT</v>
      </c>
      <c r="G558" s="811">
        <v>277200</v>
      </c>
      <c r="H558" s="811"/>
      <c r="I558" s="580">
        <f t="shared" si="45"/>
        <v>0</v>
      </c>
      <c r="J558" s="961">
        <f t="shared" si="46"/>
        <v>0</v>
      </c>
      <c r="K558" s="80"/>
      <c r="L558" s="807">
        <v>3109</v>
      </c>
      <c r="M558" s="80" t="str">
        <f>+IFERROR(VLOOKUP(L558,DATA!$G$4:$H$2000,2,FALSE),"")</f>
        <v xml:space="preserve">СИЛК РӨҮТ ТЕКСТИЛЬ ХХК </v>
      </c>
      <c r="N558" s="807"/>
      <c r="O558" s="80" t="str">
        <f>IFERROR(VLOOKUP(N558,DATA!$K$4:$L$51,2,FALSE),"")</f>
        <v/>
      </c>
      <c r="P558" s="80">
        <f t="shared" si="42"/>
        <v>0</v>
      </c>
      <c r="Q558" s="154">
        <f t="shared" si="43"/>
        <v>0</v>
      </c>
    </row>
    <row r="559" spans="2:17">
      <c r="B559" s="627">
        <f t="shared" si="44"/>
        <v>554</v>
      </c>
      <c r="C559" s="429">
        <v>43215</v>
      </c>
      <c r="D559" s="816" t="s">
        <v>2549</v>
      </c>
      <c r="E559" s="807">
        <v>150101</v>
      </c>
      <c r="F559" s="629" t="str">
        <f>IFERROR(VLOOKUP(E559,STAT1!$C$4:$D$1000,2,FALSE),"")</f>
        <v>Бараа бэлэн бүтээгдэхүүн БОЛОВСРУУЛАХ ЦЕХ /нарс/</v>
      </c>
      <c r="G559" s="811"/>
      <c r="H559" s="811">
        <v>544515.88</v>
      </c>
      <c r="I559" s="580">
        <f t="shared" si="45"/>
        <v>0</v>
      </c>
      <c r="J559" s="961">
        <f t="shared" si="46"/>
        <v>0</v>
      </c>
      <c r="K559" s="80"/>
      <c r="L559" s="807">
        <v>3125</v>
      </c>
      <c r="M559" s="80" t="str">
        <f>+IFERROR(VLOOKUP(L559,DATA!$G$4:$H$2000,2,FALSE),"")</f>
        <v xml:space="preserve">ХАНИР ТЭНГЭР ХХК </v>
      </c>
      <c r="N559" s="807"/>
      <c r="O559" s="80" t="str">
        <f>IFERROR(VLOOKUP(N559,DATA!$K$4:$L$51,2,FALSE),"")</f>
        <v/>
      </c>
      <c r="P559" s="80">
        <f t="shared" si="42"/>
        <v>0</v>
      </c>
      <c r="Q559" s="154">
        <f t="shared" si="43"/>
        <v>0</v>
      </c>
    </row>
    <row r="560" spans="2:17">
      <c r="B560" s="627">
        <f t="shared" si="44"/>
        <v>555</v>
      </c>
      <c r="C560" s="429">
        <v>43215</v>
      </c>
      <c r="D560" s="816" t="s">
        <v>2549</v>
      </c>
      <c r="E560" s="807">
        <v>610100</v>
      </c>
      <c r="F560" s="629" t="str">
        <f>IFERROR(VLOOKUP(E560,STAT1!$C$4:$D$1000,2,FALSE),"")</f>
        <v>Борлуулсан барааны өртөг</v>
      </c>
      <c r="G560" s="811">
        <v>544515.88</v>
      </c>
      <c r="H560" s="811"/>
      <c r="I560" s="580">
        <f t="shared" si="45"/>
        <v>0</v>
      </c>
      <c r="J560" s="961">
        <f t="shared" si="46"/>
        <v>0</v>
      </c>
      <c r="K560" s="80"/>
      <c r="L560" s="807">
        <v>3125</v>
      </c>
      <c r="M560" s="80" t="str">
        <f>+IFERROR(VLOOKUP(L560,DATA!$G$4:$H$2000,2,FALSE),"")</f>
        <v xml:space="preserve">ХАНИР ТЭНГЭР ХХК </v>
      </c>
      <c r="N560" s="807"/>
      <c r="O560" s="80" t="str">
        <f>IFERROR(VLOOKUP(N560,DATA!$K$4:$L$51,2,FALSE),"")</f>
        <v/>
      </c>
      <c r="P560" s="80">
        <f t="shared" si="42"/>
        <v>0</v>
      </c>
      <c r="Q560" s="154">
        <f t="shared" si="43"/>
        <v>0</v>
      </c>
    </row>
    <row r="561" spans="2:17">
      <c r="B561" s="627">
        <f t="shared" si="44"/>
        <v>556</v>
      </c>
      <c r="C561" s="429">
        <v>43215</v>
      </c>
      <c r="D561" s="816" t="s">
        <v>2549</v>
      </c>
      <c r="E561" s="807">
        <v>310500</v>
      </c>
      <c r="F561" s="629" t="str">
        <f>IFERROR(VLOOKUP(E561,STAT1!$C$4:$D$1000,2,FALSE),"")</f>
        <v>НӨАТ өглөг</v>
      </c>
      <c r="G561" s="811"/>
      <c r="H561" s="811">
        <v>82390.91</v>
      </c>
      <c r="I561" s="580">
        <f t="shared" si="45"/>
        <v>0</v>
      </c>
      <c r="J561" s="961">
        <f t="shared" si="46"/>
        <v>0</v>
      </c>
      <c r="K561" s="80"/>
      <c r="L561" s="807">
        <v>3125</v>
      </c>
      <c r="M561" s="80" t="str">
        <f>+IFERROR(VLOOKUP(L561,DATA!$G$4:$H$2000,2,FALSE),"")</f>
        <v xml:space="preserve">ХАНИР ТЭНГЭР ХХК </v>
      </c>
      <c r="N561" s="807"/>
      <c r="O561" s="80" t="str">
        <f>IFERROR(VLOOKUP(N561,DATA!$K$4:$L$51,2,FALSE),"")</f>
        <v/>
      </c>
      <c r="P561" s="80">
        <f t="shared" si="42"/>
        <v>0</v>
      </c>
      <c r="Q561" s="154">
        <f t="shared" si="43"/>
        <v>0</v>
      </c>
    </row>
    <row r="562" spans="2:17">
      <c r="B562" s="627">
        <f t="shared" si="44"/>
        <v>557</v>
      </c>
      <c r="C562" s="429">
        <v>43215</v>
      </c>
      <c r="D562" s="816" t="s">
        <v>2549</v>
      </c>
      <c r="E562" s="807">
        <v>510000</v>
      </c>
      <c r="F562" s="629" t="str">
        <f>IFERROR(VLOOKUP(E562,STAT1!$C$4:$D$1000,2,FALSE),"")</f>
        <v>Үндсэн үйл ажиллагааны борлуулалт</v>
      </c>
      <c r="G562" s="811"/>
      <c r="H562" s="811">
        <v>823909.09</v>
      </c>
      <c r="I562" s="580">
        <f t="shared" si="45"/>
        <v>0</v>
      </c>
      <c r="J562" s="961">
        <f t="shared" si="46"/>
        <v>0</v>
      </c>
      <c r="K562" s="80"/>
      <c r="L562" s="807">
        <v>3125</v>
      </c>
      <c r="M562" s="80" t="str">
        <f>+IFERROR(VLOOKUP(L562,DATA!$G$4:$H$2000,2,FALSE),"")</f>
        <v xml:space="preserve">ХАНИР ТЭНГЭР ХХК </v>
      </c>
      <c r="N562" s="807"/>
      <c r="O562" s="80" t="str">
        <f>IFERROR(VLOOKUP(N562,DATA!$K$4:$L$51,2,FALSE),"")</f>
        <v/>
      </c>
      <c r="P562" s="80">
        <f t="shared" si="42"/>
        <v>0</v>
      </c>
      <c r="Q562" s="154">
        <f t="shared" si="43"/>
        <v>0</v>
      </c>
    </row>
    <row r="563" spans="2:17">
      <c r="B563" s="627">
        <f t="shared" si="44"/>
        <v>558</v>
      </c>
      <c r="C563" s="429">
        <v>43215</v>
      </c>
      <c r="D563" s="816" t="s">
        <v>2549</v>
      </c>
      <c r="E563" s="807">
        <v>320100</v>
      </c>
      <c r="F563" s="629" t="str">
        <f>IFERROR(VLOOKUP(E563,STAT1!$C$4:$D$1000,2,FALSE),"")</f>
        <v>Урьдчилж орсон орлого MNT</v>
      </c>
      <c r="G563" s="811">
        <v>906300</v>
      </c>
      <c r="H563" s="811"/>
      <c r="I563" s="580">
        <f t="shared" si="45"/>
        <v>0</v>
      </c>
      <c r="J563" s="961">
        <f t="shared" si="46"/>
        <v>0</v>
      </c>
      <c r="K563" s="80"/>
      <c r="L563" s="807">
        <v>3125</v>
      </c>
      <c r="M563" s="80" t="str">
        <f>+IFERROR(VLOOKUP(L563,DATA!$G$4:$H$2000,2,FALSE),"")</f>
        <v xml:space="preserve">ХАНИР ТЭНГЭР ХХК </v>
      </c>
      <c r="N563" s="807"/>
      <c r="O563" s="80" t="str">
        <f>IFERROR(VLOOKUP(N563,DATA!$K$4:$L$51,2,FALSE),"")</f>
        <v/>
      </c>
      <c r="P563" s="80">
        <f t="shared" si="42"/>
        <v>0</v>
      </c>
      <c r="Q563" s="154">
        <f t="shared" si="43"/>
        <v>0</v>
      </c>
    </row>
    <row r="564" spans="2:17">
      <c r="B564" s="627">
        <f t="shared" si="44"/>
        <v>559</v>
      </c>
      <c r="C564" s="429">
        <v>43217</v>
      </c>
      <c r="D564" s="816" t="s">
        <v>2574</v>
      </c>
      <c r="E564" s="807">
        <v>100100</v>
      </c>
      <c r="F564" s="629" t="str">
        <f>IFERROR(VLOOKUP(E564,STAT1!$C$4:$D$1000,2,FALSE),"")</f>
        <v>Касс мөнгө MNT</v>
      </c>
      <c r="G564" s="811"/>
      <c r="H564" s="811">
        <v>5000000</v>
      </c>
      <c r="I564" s="580">
        <f t="shared" si="45"/>
        <v>-5000000</v>
      </c>
      <c r="J564" s="961">
        <f t="shared" si="46"/>
        <v>0</v>
      </c>
      <c r="K564" s="80"/>
      <c r="L564" s="807">
        <v>3120</v>
      </c>
      <c r="M564" s="80" t="str">
        <f>+IFERROR(VLOOKUP(L564,DATA!$G$4:$H$2000,2,FALSE),"")</f>
        <v>АКВАПЛАСТ МОНГОЛ ХХК</v>
      </c>
      <c r="N564" s="807">
        <v>53</v>
      </c>
      <c r="O564" s="80" t="str">
        <f>IFERROR(VLOOKUP(N564,DATA!$K$4:$L$51,2,FALSE),"")</f>
        <v>Бараа материал худалдан авахад төлсөн</v>
      </c>
      <c r="P564" s="80">
        <f t="shared" si="42"/>
        <v>1</v>
      </c>
      <c r="Q564" s="154">
        <f t="shared" si="43"/>
        <v>1</v>
      </c>
    </row>
    <row r="565" spans="2:17">
      <c r="B565" s="627">
        <f t="shared" si="44"/>
        <v>560</v>
      </c>
      <c r="C565" s="429">
        <v>43217</v>
      </c>
      <c r="D565" s="816" t="s">
        <v>2574</v>
      </c>
      <c r="E565" s="807">
        <v>120100</v>
      </c>
      <c r="F565" s="629" t="str">
        <f>IFERROR(VLOOKUP(E565,STAT1!$C$4:$D$1000,2,FALSE),"")</f>
        <v xml:space="preserve">Дансны авлага MNT </v>
      </c>
      <c r="G565" s="811">
        <v>5000000</v>
      </c>
      <c r="H565" s="811"/>
      <c r="I565" s="580">
        <f t="shared" si="45"/>
        <v>0</v>
      </c>
      <c r="J565" s="961">
        <f t="shared" si="46"/>
        <v>0</v>
      </c>
      <c r="K565" s="80"/>
      <c r="L565" s="807">
        <v>3120</v>
      </c>
      <c r="M565" s="80" t="str">
        <f>+IFERROR(VLOOKUP(L565,DATA!$G$4:$H$2000,2,FALSE),"")</f>
        <v>АКВАПЛАСТ МОНГОЛ ХХК</v>
      </c>
      <c r="N565" s="807"/>
      <c r="O565" s="80" t="str">
        <f>IFERROR(VLOOKUP(N565,DATA!$K$4:$L$51,2,FALSE),"")</f>
        <v/>
      </c>
      <c r="P565" s="80">
        <f t="shared" si="42"/>
        <v>0</v>
      </c>
      <c r="Q565" s="154">
        <f t="shared" si="43"/>
        <v>0</v>
      </c>
    </row>
    <row r="566" spans="2:17">
      <c r="B566" s="627">
        <f t="shared" si="44"/>
        <v>561</v>
      </c>
      <c r="C566" s="429">
        <v>43220</v>
      </c>
      <c r="D566" s="816" t="s">
        <v>2381</v>
      </c>
      <c r="E566" s="807">
        <v>110100</v>
      </c>
      <c r="F566" s="629" t="str">
        <f>IFERROR(VLOOKUP(E566,STAT1!$C$4:$D$1000,2,FALSE),"")</f>
        <v>Хаан Банк 5024654020</v>
      </c>
      <c r="G566" s="811"/>
      <c r="H566" s="811">
        <v>300</v>
      </c>
      <c r="I566" s="580">
        <f t="shared" si="45"/>
        <v>-300</v>
      </c>
      <c r="J566" s="961">
        <f t="shared" si="46"/>
        <v>0</v>
      </c>
      <c r="K566" s="80"/>
      <c r="L566" s="807">
        <v>2009</v>
      </c>
      <c r="M566" s="80" t="str">
        <f>+IFERROR(VLOOKUP(L566,DATA!$G$4:$H$2000,2,FALSE),"")</f>
        <v>ХААН БАНК</v>
      </c>
      <c r="N566" s="807">
        <v>59</v>
      </c>
      <c r="O566" s="80" t="str">
        <f>IFERROR(VLOOKUP(N566,DATA!$K$4:$L$51,2,FALSE),"")</f>
        <v>Бусад мөнгөн зарлага</v>
      </c>
      <c r="P566" s="80">
        <f t="shared" si="42"/>
        <v>1</v>
      </c>
      <c r="Q566" s="154">
        <f t="shared" si="43"/>
        <v>1</v>
      </c>
    </row>
    <row r="567" spans="2:17">
      <c r="B567" s="627">
        <f t="shared" si="44"/>
        <v>562</v>
      </c>
      <c r="C567" s="429">
        <v>43220</v>
      </c>
      <c r="D567" s="816" t="s">
        <v>2381</v>
      </c>
      <c r="E567" s="807">
        <v>704900</v>
      </c>
      <c r="F567" s="629" t="str">
        <f>IFERROR(VLOOKUP(E567,STAT1!$C$4:$D$1000,2,FALSE),"")</f>
        <v>Банкны үйлчилгээ</v>
      </c>
      <c r="G567" s="811">
        <v>300</v>
      </c>
      <c r="H567" s="811"/>
      <c r="I567" s="580">
        <f t="shared" si="45"/>
        <v>0</v>
      </c>
      <c r="J567" s="961">
        <f t="shared" si="46"/>
        <v>0</v>
      </c>
      <c r="K567" s="80"/>
      <c r="L567" s="807">
        <v>2009</v>
      </c>
      <c r="M567" s="80" t="str">
        <f>+IFERROR(VLOOKUP(L567,DATA!$G$4:$H$2000,2,FALSE),"")</f>
        <v>ХААН БАНК</v>
      </c>
      <c r="N567" s="807"/>
      <c r="O567" s="80" t="str">
        <f>IFERROR(VLOOKUP(N567,DATA!$K$4:$L$51,2,FALSE),"")</f>
        <v/>
      </c>
      <c r="P567" s="80">
        <f t="shared" si="42"/>
        <v>0</v>
      </c>
      <c r="Q567" s="154">
        <f t="shared" si="43"/>
        <v>0</v>
      </c>
    </row>
    <row r="568" spans="2:17">
      <c r="B568" s="627">
        <f t="shared" si="44"/>
        <v>563</v>
      </c>
      <c r="C568" s="429">
        <v>43220</v>
      </c>
      <c r="D568" s="816" t="s">
        <v>2558</v>
      </c>
      <c r="E568" s="807">
        <v>110100</v>
      </c>
      <c r="F568" s="629" t="str">
        <f>IFERROR(VLOOKUP(E568,STAT1!$C$4:$D$1000,2,FALSE),"")</f>
        <v>Хаан Банк 5024654020</v>
      </c>
      <c r="G568" s="811"/>
      <c r="H568" s="811">
        <v>2000</v>
      </c>
      <c r="I568" s="580">
        <f t="shared" si="45"/>
        <v>-2000</v>
      </c>
      <c r="J568" s="961">
        <f t="shared" si="46"/>
        <v>0</v>
      </c>
      <c r="K568" s="80"/>
      <c r="L568" s="807">
        <v>2009</v>
      </c>
      <c r="M568" s="80" t="str">
        <f>+IFERROR(VLOOKUP(L568,DATA!$G$4:$H$2000,2,FALSE),"")</f>
        <v>ХААН БАНК</v>
      </c>
      <c r="N568" s="807">
        <v>59</v>
      </c>
      <c r="O568" s="80" t="str">
        <f>IFERROR(VLOOKUP(N568,DATA!$K$4:$L$51,2,FALSE),"")</f>
        <v>Бусад мөнгөн зарлага</v>
      </c>
      <c r="P568" s="80">
        <f t="shared" ref="P568:P631" si="47">+IF(I568,1,0)</f>
        <v>1</v>
      </c>
      <c r="Q568" s="154">
        <f t="shared" ref="Q568:Q631" si="48">+IF(I568,1,0)</f>
        <v>1</v>
      </c>
    </row>
    <row r="569" spans="2:17">
      <c r="B569" s="627">
        <f t="shared" si="44"/>
        <v>564</v>
      </c>
      <c r="C569" s="429">
        <v>43220</v>
      </c>
      <c r="D569" s="816" t="s">
        <v>2558</v>
      </c>
      <c r="E569" s="807">
        <v>704900</v>
      </c>
      <c r="F569" s="629" t="str">
        <f>IFERROR(VLOOKUP(E569,STAT1!$C$4:$D$1000,2,FALSE),"")</f>
        <v>Банкны үйлчилгээ</v>
      </c>
      <c r="G569" s="811">
        <v>2000</v>
      </c>
      <c r="H569" s="811"/>
      <c r="I569" s="580">
        <f t="shared" si="45"/>
        <v>0</v>
      </c>
      <c r="J569" s="961">
        <f t="shared" si="46"/>
        <v>0</v>
      </c>
      <c r="K569" s="80"/>
      <c r="L569" s="807">
        <v>2009</v>
      </c>
      <c r="M569" s="80" t="str">
        <f>+IFERROR(VLOOKUP(L569,DATA!$G$4:$H$2000,2,FALSE),"")</f>
        <v>ХААН БАНК</v>
      </c>
      <c r="N569" s="807"/>
      <c r="O569" s="80" t="str">
        <f>IFERROR(VLOOKUP(N569,DATA!$K$4:$L$51,2,FALSE),"")</f>
        <v/>
      </c>
      <c r="P569" s="80">
        <f t="shared" si="47"/>
        <v>0</v>
      </c>
      <c r="Q569" s="154">
        <f t="shared" si="48"/>
        <v>0</v>
      </c>
    </row>
    <row r="570" spans="2:17">
      <c r="B570" s="627">
        <f t="shared" si="44"/>
        <v>565</v>
      </c>
      <c r="C570" s="429">
        <v>43220</v>
      </c>
      <c r="D570" s="816" t="s">
        <v>1570</v>
      </c>
      <c r="E570" s="807">
        <v>100100</v>
      </c>
      <c r="F570" s="629" t="str">
        <f>IFERROR(VLOOKUP(E570,STAT1!$C$4:$D$1000,2,FALSE),"")</f>
        <v>Касс мөнгө MNT</v>
      </c>
      <c r="G570" s="811"/>
      <c r="H570" s="811">
        <v>60000</v>
      </c>
      <c r="I570" s="580">
        <f t="shared" si="45"/>
        <v>-60000</v>
      </c>
      <c r="J570" s="961">
        <f t="shared" si="46"/>
        <v>0</v>
      </c>
      <c r="K570" s="80"/>
      <c r="L570" s="807">
        <v>1008</v>
      </c>
      <c r="M570" s="80" t="str">
        <f>+IFERROR(VLOOKUP(L570,DATA!$G$4:$H$2000,2,FALSE),"")</f>
        <v xml:space="preserve">Оюунтүлхүүр </v>
      </c>
      <c r="N570" s="807">
        <v>55</v>
      </c>
      <c r="O570" s="80" t="str">
        <f>IFERROR(VLOOKUP(N570,DATA!$K$4:$L$51,2,FALSE),"")</f>
        <v>Түлш, шатахуун, тээврийн хөлс, сэлбэг хэрэгсэлд төлсөн</v>
      </c>
      <c r="P570" s="80">
        <f t="shared" si="47"/>
        <v>1</v>
      </c>
      <c r="Q570" s="154">
        <f t="shared" si="48"/>
        <v>1</v>
      </c>
    </row>
    <row r="571" spans="2:17">
      <c r="B571" s="627">
        <f t="shared" si="44"/>
        <v>566</v>
      </c>
      <c r="C571" s="429">
        <v>43220</v>
      </c>
      <c r="D571" s="816" t="s">
        <v>1570</v>
      </c>
      <c r="E571" s="807">
        <v>120600</v>
      </c>
      <c r="F571" s="629" t="str">
        <f>IFERROR(VLOOKUP(E571,STAT1!$C$4:$D$1000,2,FALSE),"")</f>
        <v>НӨАТ авлага</v>
      </c>
      <c r="G571" s="811">
        <f>1818.18*3</f>
        <v>5454.54</v>
      </c>
      <c r="H571" s="811"/>
      <c r="I571" s="580">
        <f t="shared" si="45"/>
        <v>0</v>
      </c>
      <c r="J571" s="961">
        <f t="shared" si="46"/>
        <v>0</v>
      </c>
      <c r="K571" s="80"/>
      <c r="L571" s="807">
        <v>1008</v>
      </c>
      <c r="M571" s="80" t="str">
        <f>+IFERROR(VLOOKUP(L571,DATA!$G$4:$H$2000,2,FALSE),"")</f>
        <v xml:space="preserve">Оюунтүлхүүр </v>
      </c>
      <c r="N571" s="807"/>
      <c r="O571" s="80" t="str">
        <f>IFERROR(VLOOKUP(N571,DATA!$K$4:$L$51,2,FALSE),"")</f>
        <v/>
      </c>
      <c r="P571" s="80">
        <f t="shared" si="47"/>
        <v>0</v>
      </c>
      <c r="Q571" s="154">
        <f t="shared" si="48"/>
        <v>0</v>
      </c>
    </row>
    <row r="572" spans="2:17">
      <c r="B572" s="627">
        <f t="shared" si="44"/>
        <v>567</v>
      </c>
      <c r="C572" s="429">
        <v>43220</v>
      </c>
      <c r="D572" s="816" t="s">
        <v>1570</v>
      </c>
      <c r="E572" s="807">
        <v>702000</v>
      </c>
      <c r="F572" s="629" t="str">
        <f>IFERROR(VLOOKUP(E572,STAT1!$C$4:$D$1000,2,FALSE),"")</f>
        <v>Түлш, шатахуун</v>
      </c>
      <c r="G572" s="811">
        <f>60000-5454.54</f>
        <v>54545.46</v>
      </c>
      <c r="H572" s="811"/>
      <c r="I572" s="580">
        <f t="shared" si="45"/>
        <v>0</v>
      </c>
      <c r="J572" s="961">
        <f t="shared" si="46"/>
        <v>0</v>
      </c>
      <c r="K572" s="80"/>
      <c r="L572" s="807">
        <v>1008</v>
      </c>
      <c r="M572" s="80" t="str">
        <f>+IFERROR(VLOOKUP(L572,DATA!$G$4:$H$2000,2,FALSE),"")</f>
        <v xml:space="preserve">Оюунтүлхүүр </v>
      </c>
      <c r="N572" s="807"/>
      <c r="O572" s="80" t="str">
        <f>IFERROR(VLOOKUP(N572,DATA!$K$4:$L$51,2,FALSE),"")</f>
        <v/>
      </c>
      <c r="P572" s="80">
        <f t="shared" si="47"/>
        <v>0</v>
      </c>
      <c r="Q572" s="154">
        <f t="shared" si="48"/>
        <v>0</v>
      </c>
    </row>
    <row r="573" spans="2:17">
      <c r="B573" s="627">
        <f t="shared" si="44"/>
        <v>568</v>
      </c>
      <c r="C573" s="429">
        <v>43220</v>
      </c>
      <c r="D573" s="816" t="s">
        <v>1572</v>
      </c>
      <c r="E573" s="807">
        <v>100100</v>
      </c>
      <c r="F573" s="629" t="str">
        <f>IFERROR(VLOOKUP(E573,STAT1!$C$4:$D$1000,2,FALSE),"")</f>
        <v>Касс мөнгө MNT</v>
      </c>
      <c r="G573" s="811"/>
      <c r="H573" s="811">
        <v>1200000</v>
      </c>
      <c r="I573" s="580">
        <f t="shared" si="45"/>
        <v>-1200000</v>
      </c>
      <c r="J573" s="961">
        <f t="shared" si="46"/>
        <v>0</v>
      </c>
      <c r="K573" s="80"/>
      <c r="L573" s="807">
        <v>2013</v>
      </c>
      <c r="M573" s="80" t="str">
        <f>+IFERROR(VLOOKUP(L573,DATA!$G$4:$H$2000,2,FALSE),"")</f>
        <v>УБДС ТӨХК</v>
      </c>
      <c r="N573" s="807">
        <v>54</v>
      </c>
      <c r="O573" s="80" t="str">
        <f>IFERROR(VLOOKUP(N573,DATA!$K$4:$L$51,2,FALSE),"")</f>
        <v>Ашиглалтын зардалд төлсөн</v>
      </c>
      <c r="P573" s="80">
        <f t="shared" si="47"/>
        <v>1</v>
      </c>
      <c r="Q573" s="154">
        <f t="shared" si="48"/>
        <v>1</v>
      </c>
    </row>
    <row r="574" spans="2:17">
      <c r="B574" s="627">
        <f t="shared" si="44"/>
        <v>569</v>
      </c>
      <c r="C574" s="429">
        <v>43220</v>
      </c>
      <c r="D574" s="816" t="s">
        <v>1572</v>
      </c>
      <c r="E574" s="807">
        <v>310100</v>
      </c>
      <c r="F574" s="629" t="str">
        <f>IFERROR(VLOOKUP(E574,STAT1!$C$4:$D$1000,2,FALSE),"")</f>
        <v>Дансны өглөг MNT</v>
      </c>
      <c r="G574" s="811">
        <v>1200000</v>
      </c>
      <c r="H574" s="811"/>
      <c r="I574" s="580">
        <f t="shared" si="45"/>
        <v>0</v>
      </c>
      <c r="J574" s="961">
        <f t="shared" si="46"/>
        <v>0</v>
      </c>
      <c r="K574" s="80"/>
      <c r="L574" s="807">
        <v>2013</v>
      </c>
      <c r="M574" s="80" t="str">
        <f>+IFERROR(VLOOKUP(L574,DATA!$G$4:$H$2000,2,FALSE),"")</f>
        <v>УБДС ТӨХК</v>
      </c>
      <c r="N574" s="807"/>
      <c r="O574" s="80" t="str">
        <f>IFERROR(VLOOKUP(N574,DATA!$K$4:$L$51,2,FALSE),"")</f>
        <v/>
      </c>
      <c r="P574" s="80">
        <f t="shared" si="47"/>
        <v>0</v>
      </c>
      <c r="Q574" s="154">
        <f t="shared" si="48"/>
        <v>0</v>
      </c>
    </row>
    <row r="575" spans="2:17">
      <c r="B575" s="627">
        <f t="shared" si="44"/>
        <v>570</v>
      </c>
      <c r="C575" s="429">
        <v>43220</v>
      </c>
      <c r="D575" s="850" t="s">
        <v>1517</v>
      </c>
      <c r="E575" s="807">
        <v>700200</v>
      </c>
      <c r="F575" s="629" t="str">
        <f>IFERROR(VLOOKUP(E575,STAT1!$C$4:$D$1000,2,FALSE),"")</f>
        <v>НДШимтгэл</v>
      </c>
      <c r="G575" s="811">
        <v>1767929.9999999995</v>
      </c>
      <c r="H575" s="811"/>
      <c r="I575" s="580">
        <f t="shared" si="45"/>
        <v>0</v>
      </c>
      <c r="J575" s="961">
        <f t="shared" si="46"/>
        <v>0</v>
      </c>
      <c r="K575" s="80"/>
      <c r="L575" s="807">
        <v>1004</v>
      </c>
      <c r="M575" s="80" t="str">
        <f>+IFERROR(VLOOKUP(L575,DATA!$G$4:$H$2000,2,FALSE),"")</f>
        <v xml:space="preserve">Түмэндэлгэр </v>
      </c>
      <c r="N575" s="807"/>
      <c r="O575" s="80" t="str">
        <f>IFERROR(VLOOKUP(N575,DATA!$K$4:$L$51,2,FALSE),"")</f>
        <v/>
      </c>
      <c r="P575" s="80">
        <f t="shared" si="47"/>
        <v>0</v>
      </c>
      <c r="Q575" s="154">
        <f t="shared" si="48"/>
        <v>0</v>
      </c>
    </row>
    <row r="576" spans="2:17">
      <c r="B576" s="627">
        <f t="shared" si="44"/>
        <v>571</v>
      </c>
      <c r="C576" s="429">
        <v>43220</v>
      </c>
      <c r="D576" s="850" t="s">
        <v>1517</v>
      </c>
      <c r="E576" s="807">
        <v>310800</v>
      </c>
      <c r="F576" s="629" t="str">
        <f>IFERROR(VLOOKUP(E576,STAT1!$C$4:$D$1000,2,FALSE),"")</f>
        <v>НД-ын байгууллагад өгөх өглөг</v>
      </c>
      <c r="G576" s="811"/>
      <c r="H576" s="811">
        <v>1767929.9999999995</v>
      </c>
      <c r="I576" s="580">
        <f t="shared" si="45"/>
        <v>0</v>
      </c>
      <c r="J576" s="961">
        <f t="shared" si="46"/>
        <v>0</v>
      </c>
      <c r="K576" s="80"/>
      <c r="L576" s="807">
        <v>1004</v>
      </c>
      <c r="M576" s="80" t="str">
        <f>+IFERROR(VLOOKUP(L576,DATA!$G$4:$H$2000,2,FALSE),"")</f>
        <v xml:space="preserve">Түмэндэлгэр </v>
      </c>
      <c r="N576" s="807"/>
      <c r="O576" s="80" t="str">
        <f>IFERROR(VLOOKUP(N576,DATA!$K$4:$L$51,2,FALSE),"")</f>
        <v/>
      </c>
      <c r="P576" s="80">
        <f t="shared" si="47"/>
        <v>0</v>
      </c>
      <c r="Q576" s="154">
        <f t="shared" si="48"/>
        <v>0</v>
      </c>
    </row>
    <row r="577" spans="2:17">
      <c r="B577" s="627">
        <f t="shared" si="44"/>
        <v>572</v>
      </c>
      <c r="C577" s="429">
        <v>43220</v>
      </c>
      <c r="D577" s="850" t="s">
        <v>1518</v>
      </c>
      <c r="E577" s="807">
        <v>310800</v>
      </c>
      <c r="F577" s="629" t="str">
        <f>IFERROR(VLOOKUP(E577,STAT1!$C$4:$D$1000,2,FALSE),"")</f>
        <v>НД-ын байгууллагад өгөх өглөг</v>
      </c>
      <c r="G577" s="811"/>
      <c r="H577" s="811">
        <v>1449910.0000000002</v>
      </c>
      <c r="I577" s="580">
        <f t="shared" si="45"/>
        <v>0</v>
      </c>
      <c r="J577" s="961">
        <f t="shared" si="46"/>
        <v>0</v>
      </c>
      <c r="K577" s="80"/>
      <c r="L577" s="807">
        <v>1004</v>
      </c>
      <c r="M577" s="80" t="str">
        <f>+IFERROR(VLOOKUP(L577,DATA!$G$4:$H$2000,2,FALSE),"")</f>
        <v xml:space="preserve">Түмэндэлгэр </v>
      </c>
      <c r="N577" s="807"/>
      <c r="O577" s="80" t="str">
        <f>IFERROR(VLOOKUP(N577,DATA!$K$4:$L$51,2,FALSE),"")</f>
        <v/>
      </c>
      <c r="P577" s="80">
        <f t="shared" si="47"/>
        <v>0</v>
      </c>
      <c r="Q577" s="154">
        <f t="shared" si="48"/>
        <v>0</v>
      </c>
    </row>
    <row r="578" spans="2:17">
      <c r="B578" s="627">
        <f t="shared" si="44"/>
        <v>573</v>
      </c>
      <c r="C578" s="429">
        <v>43220</v>
      </c>
      <c r="D578" s="850" t="s">
        <v>1519</v>
      </c>
      <c r="E578" s="807">
        <v>310700</v>
      </c>
      <c r="F578" s="629" t="str">
        <f>IFERROR(VLOOKUP(E578,STAT1!$C$4:$D$1000,2,FALSE),"")</f>
        <v>ХАОАТ өглөг</v>
      </c>
      <c r="G578" s="811"/>
      <c r="H578" s="811">
        <v>902775.67</v>
      </c>
      <c r="I578" s="580">
        <f t="shared" si="45"/>
        <v>0</v>
      </c>
      <c r="J578" s="961">
        <f t="shared" si="46"/>
        <v>0</v>
      </c>
      <c r="K578" s="80"/>
      <c r="L578" s="807">
        <v>1004</v>
      </c>
      <c r="M578" s="80" t="str">
        <f>+IFERROR(VLOOKUP(L578,DATA!$G$4:$H$2000,2,FALSE),"")</f>
        <v xml:space="preserve">Түмэндэлгэр </v>
      </c>
      <c r="N578" s="807"/>
      <c r="O578" s="80" t="str">
        <f>IFERROR(VLOOKUP(N578,DATA!$K$4:$L$51,2,FALSE),"")</f>
        <v/>
      </c>
      <c r="P578" s="80">
        <f t="shared" si="47"/>
        <v>0</v>
      </c>
      <c r="Q578" s="154">
        <f t="shared" si="48"/>
        <v>0</v>
      </c>
    </row>
    <row r="579" spans="2:17">
      <c r="B579" s="627">
        <f t="shared" si="44"/>
        <v>574</v>
      </c>
      <c r="C579" s="429">
        <v>43220</v>
      </c>
      <c r="D579" s="850" t="s">
        <v>1520</v>
      </c>
      <c r="E579" s="807">
        <v>311000</v>
      </c>
      <c r="F579" s="629" t="str">
        <f>IFERROR(VLOOKUP(E579,STAT1!$C$4:$D$1000,2,FALSE),"")</f>
        <v>Цалингийн өглөг</v>
      </c>
      <c r="G579" s="811"/>
      <c r="H579" s="811">
        <v>10908314.33</v>
      </c>
      <c r="I579" s="580">
        <f t="shared" si="45"/>
        <v>0</v>
      </c>
      <c r="J579" s="961">
        <f t="shared" si="46"/>
        <v>0</v>
      </c>
      <c r="K579" s="80"/>
      <c r="L579" s="807">
        <v>1004</v>
      </c>
      <c r="M579" s="80" t="str">
        <f>+IFERROR(VLOOKUP(L579,DATA!$G$4:$H$2000,2,FALSE),"")</f>
        <v xml:space="preserve">Түмэндэлгэр </v>
      </c>
      <c r="N579" s="807"/>
      <c r="O579" s="80" t="str">
        <f>IFERROR(VLOOKUP(N579,DATA!$K$4:$L$51,2,FALSE),"")</f>
        <v/>
      </c>
      <c r="P579" s="80">
        <f t="shared" si="47"/>
        <v>0</v>
      </c>
      <c r="Q579" s="154">
        <f t="shared" si="48"/>
        <v>0</v>
      </c>
    </row>
    <row r="580" spans="2:17">
      <c r="B580" s="627">
        <f t="shared" si="44"/>
        <v>575</v>
      </c>
      <c r="C580" s="429">
        <v>43220</v>
      </c>
      <c r="D580" s="850" t="s">
        <v>2393</v>
      </c>
      <c r="E580" s="807">
        <v>700100</v>
      </c>
      <c r="F580" s="629" t="str">
        <f>IFERROR(VLOOKUP(E580,STAT1!$C$4:$D$1000,2,FALSE),"")</f>
        <v>Цалин хөлс, шагнал</v>
      </c>
      <c r="G580" s="811">
        <v>13260999.999999998</v>
      </c>
      <c r="H580" s="811"/>
      <c r="I580" s="580">
        <f t="shared" si="45"/>
        <v>0</v>
      </c>
      <c r="J580" s="961">
        <f t="shared" si="46"/>
        <v>0</v>
      </c>
      <c r="K580" s="80"/>
      <c r="L580" s="807">
        <v>1004</v>
      </c>
      <c r="M580" s="80" t="str">
        <f>+IFERROR(VLOOKUP(L580,DATA!$G$4:$H$2000,2,FALSE),"")</f>
        <v xml:space="preserve">Түмэндэлгэр </v>
      </c>
      <c r="N580" s="807"/>
      <c r="O580" s="80" t="str">
        <f>IFERROR(VLOOKUP(N580,DATA!$K$4:$L$51,2,FALSE),"")</f>
        <v/>
      </c>
      <c r="P580" s="80">
        <f t="shared" si="47"/>
        <v>0</v>
      </c>
      <c r="Q580" s="154">
        <f t="shared" si="48"/>
        <v>0</v>
      </c>
    </row>
    <row r="581" spans="2:17">
      <c r="B581" s="627">
        <f t="shared" si="44"/>
        <v>576</v>
      </c>
      <c r="C581" s="429">
        <v>43220</v>
      </c>
      <c r="D581" s="816" t="s">
        <v>2586</v>
      </c>
      <c r="E581" s="807">
        <v>100100</v>
      </c>
      <c r="F581" s="629" t="str">
        <f>IFERROR(VLOOKUP(E581,STAT1!$C$4:$D$1000,2,FALSE),"")</f>
        <v>Касс мөнгө MNT</v>
      </c>
      <c r="G581" s="811"/>
      <c r="H581" s="811">
        <v>10908314.33</v>
      </c>
      <c r="I581" s="580">
        <f t="shared" si="45"/>
        <v>-10908314.33</v>
      </c>
      <c r="J581" s="961">
        <f t="shared" si="46"/>
        <v>0</v>
      </c>
      <c r="K581" s="80"/>
      <c r="L581" s="807">
        <v>1004</v>
      </c>
      <c r="M581" s="80" t="str">
        <f>+IFERROR(VLOOKUP(L581,DATA!$G$4:$H$2000,2,FALSE),"")</f>
        <v xml:space="preserve">Түмэндэлгэр </v>
      </c>
      <c r="N581" s="807">
        <v>51</v>
      </c>
      <c r="O581" s="80" t="str">
        <f>IFERROR(VLOOKUP(N581,DATA!$K$4:$L$51,2,FALSE),"")</f>
        <v>Ажиллагчдад төлсөн</v>
      </c>
      <c r="P581" s="80">
        <f t="shared" si="47"/>
        <v>1</v>
      </c>
      <c r="Q581" s="154">
        <f t="shared" si="48"/>
        <v>1</v>
      </c>
    </row>
    <row r="582" spans="2:17">
      <c r="B582" s="627">
        <f t="shared" ref="B582:B645" si="49">+IF(C582="","",ROW()-5)</f>
        <v>577</v>
      </c>
      <c r="C582" s="429">
        <v>43220</v>
      </c>
      <c r="D582" s="816" t="s">
        <v>2586</v>
      </c>
      <c r="E582" s="807">
        <v>311000</v>
      </c>
      <c r="F582" s="629" t="str">
        <f>IFERROR(VLOOKUP(E582,STAT1!$C$4:$D$1000,2,FALSE),"")</f>
        <v>Цалингийн өглөг</v>
      </c>
      <c r="G582" s="811">
        <v>10908314.33</v>
      </c>
      <c r="H582" s="811"/>
      <c r="I582" s="580">
        <f t="shared" ref="I582:I645" si="50">+IF(OR(E582=100100,E582=100200,E582=110100,E582=110102,E582=110103,E582=110104,E582=110105,E582=110200,E582=110201,E582=110202,E582=110203,E582=110204,E582=110300),G582,0)+IF(OR(E582=100100,E582=100200,E582=110100,E582=110102,E582=110103,E582=110104,E582=110105,E582=110200,E582=110201,E582=110202,E582=110203,E582=110204,E582=110300),H582*-1,0)</f>
        <v>0</v>
      </c>
      <c r="J582" s="961">
        <f t="shared" ref="J582:J645" si="51">+IF(E582=110102,I582/K582,0)</f>
        <v>0</v>
      </c>
      <c r="K582" s="80"/>
      <c r="L582" s="807">
        <v>1004</v>
      </c>
      <c r="M582" s="80" t="str">
        <f>+IFERROR(VLOOKUP(L582,DATA!$G$4:$H$2000,2,FALSE),"")</f>
        <v xml:space="preserve">Түмэндэлгэр </v>
      </c>
      <c r="N582" s="807"/>
      <c r="O582" s="80" t="str">
        <f>IFERROR(VLOOKUP(N582,DATA!$K$4:$L$51,2,FALSE),"")</f>
        <v/>
      </c>
      <c r="P582" s="80">
        <f t="shared" si="47"/>
        <v>0</v>
      </c>
      <c r="Q582" s="154">
        <f t="shared" si="48"/>
        <v>0</v>
      </c>
    </row>
    <row r="583" spans="2:17">
      <c r="B583" s="627">
        <f t="shared" si="49"/>
        <v>578</v>
      </c>
      <c r="C583" s="429">
        <v>43220</v>
      </c>
      <c r="D583" s="816" t="s">
        <v>2606</v>
      </c>
      <c r="E583" s="807">
        <v>180200</v>
      </c>
      <c r="F583" s="629" t="str">
        <f>IFERROR(VLOOKUP(E583,STAT1!$C$4:$D$8000,2,FALSE),"")</f>
        <v xml:space="preserve">Урьдчилж төлсөн зардал MNT </v>
      </c>
      <c r="G583" s="811"/>
      <c r="H583" s="811">
        <v>1818181.82</v>
      </c>
      <c r="I583" s="580">
        <f t="shared" si="50"/>
        <v>0</v>
      </c>
      <c r="J583" s="961">
        <f t="shared" si="51"/>
        <v>0</v>
      </c>
      <c r="K583" s="80"/>
      <c r="L583" s="807">
        <v>3120</v>
      </c>
      <c r="M583" s="80" t="str">
        <f>+IFERROR(VLOOKUP(L583,DATA!$G$4:$H$2000,2,FALSE),"")</f>
        <v>АКВАПЛАСТ МОНГОЛ ХХК</v>
      </c>
      <c r="N583" s="807"/>
      <c r="O583" s="80" t="str">
        <f>IFERROR(VLOOKUP(N583,DATA!$K$4:$L$51,2,FALSE),"")</f>
        <v/>
      </c>
      <c r="P583" s="80">
        <f t="shared" si="47"/>
        <v>0</v>
      </c>
      <c r="Q583" s="154">
        <f t="shared" si="48"/>
        <v>0</v>
      </c>
    </row>
    <row r="584" spans="2:17">
      <c r="B584" s="627">
        <f t="shared" si="49"/>
        <v>579</v>
      </c>
      <c r="C584" s="429">
        <v>43220</v>
      </c>
      <c r="D584" s="816" t="s">
        <v>2606</v>
      </c>
      <c r="E584" s="807">
        <v>120600</v>
      </c>
      <c r="F584" s="629" t="str">
        <f>IFERROR(VLOOKUP(E584,STAT1!$C$4:$D$8000,2,FALSE),"")</f>
        <v>НӨАТ авлага</v>
      </c>
      <c r="G584" s="811">
        <v>1818181.82</v>
      </c>
      <c r="H584" s="811"/>
      <c r="I584" s="580">
        <f t="shared" si="50"/>
        <v>0</v>
      </c>
      <c r="J584" s="961">
        <f t="shared" si="51"/>
        <v>0</v>
      </c>
      <c r="K584" s="80"/>
      <c r="L584" s="807">
        <v>3120</v>
      </c>
      <c r="M584" s="80" t="str">
        <f>+IFERROR(VLOOKUP(L584,DATA!$G$4:$H$2000,2,FALSE),"")</f>
        <v>АКВАПЛАСТ МОНГОЛ ХХК</v>
      </c>
      <c r="N584" s="807"/>
      <c r="O584" s="80" t="str">
        <f>IFERROR(VLOOKUP(N584,DATA!$K$4:$L$51,2,FALSE),"")</f>
        <v/>
      </c>
      <c r="P584" s="80">
        <f t="shared" si="47"/>
        <v>0</v>
      </c>
      <c r="Q584" s="154">
        <f t="shared" si="48"/>
        <v>0</v>
      </c>
    </row>
    <row r="585" spans="2:17">
      <c r="B585" s="627">
        <f t="shared" si="49"/>
        <v>580</v>
      </c>
      <c r="C585" s="429">
        <v>43220</v>
      </c>
      <c r="D585" s="816" t="s">
        <v>2549</v>
      </c>
      <c r="E585" s="807">
        <v>150101</v>
      </c>
      <c r="F585" s="629" t="str">
        <f>IFERROR(VLOOKUP(E585,STAT1!$C$4:$D$1000,2,FALSE),"")</f>
        <v>Бараа бэлэн бүтээгдэхүүн БОЛОВСРУУЛАХ ЦЕХ /нарс/</v>
      </c>
      <c r="G585" s="811"/>
      <c r="H585" s="811">
        <v>297957.17</v>
      </c>
      <c r="I585" s="580">
        <f t="shared" si="50"/>
        <v>0</v>
      </c>
      <c r="J585" s="961">
        <f t="shared" si="51"/>
        <v>0</v>
      </c>
      <c r="K585" s="80"/>
      <c r="L585" s="807">
        <v>3039</v>
      </c>
      <c r="M585" s="80" t="str">
        <f>+IFERROR(VLOOKUP(L585,DATA!$G$4:$H$2000,2,FALSE),"")</f>
        <v xml:space="preserve">САССИР ХХК </v>
      </c>
      <c r="N585" s="807"/>
      <c r="O585" s="80" t="str">
        <f>IFERROR(VLOOKUP(N585,DATA!$K$4:$L$51,2,FALSE),"")</f>
        <v/>
      </c>
      <c r="P585" s="80">
        <f t="shared" si="47"/>
        <v>0</v>
      </c>
      <c r="Q585" s="154">
        <f t="shared" si="48"/>
        <v>0</v>
      </c>
    </row>
    <row r="586" spans="2:17">
      <c r="B586" s="627">
        <f t="shared" si="49"/>
        <v>581</v>
      </c>
      <c r="C586" s="429">
        <v>43220</v>
      </c>
      <c r="D586" s="816" t="s">
        <v>2549</v>
      </c>
      <c r="E586" s="807">
        <v>610100</v>
      </c>
      <c r="F586" s="629" t="str">
        <f>IFERROR(VLOOKUP(E586,STAT1!$C$4:$D$1000,2,FALSE),"")</f>
        <v>Борлуулсан барааны өртөг</v>
      </c>
      <c r="G586" s="811">
        <v>297957.17</v>
      </c>
      <c r="H586" s="811"/>
      <c r="I586" s="580">
        <f t="shared" si="50"/>
        <v>0</v>
      </c>
      <c r="J586" s="961">
        <f t="shared" si="51"/>
        <v>0</v>
      </c>
      <c r="K586" s="80"/>
      <c r="L586" s="807">
        <v>3039</v>
      </c>
      <c r="M586" s="80" t="str">
        <f>+IFERROR(VLOOKUP(L586,DATA!$G$4:$H$2000,2,FALSE),"")</f>
        <v xml:space="preserve">САССИР ХХК </v>
      </c>
      <c r="N586" s="807"/>
      <c r="O586" s="80" t="str">
        <f>IFERROR(VLOOKUP(N586,DATA!$K$4:$L$51,2,FALSE),"")</f>
        <v/>
      </c>
      <c r="P586" s="80">
        <f t="shared" si="47"/>
        <v>0</v>
      </c>
      <c r="Q586" s="154">
        <f t="shared" si="48"/>
        <v>0</v>
      </c>
    </row>
    <row r="587" spans="2:17">
      <c r="B587" s="627">
        <f t="shared" si="49"/>
        <v>582</v>
      </c>
      <c r="C587" s="429">
        <v>43220</v>
      </c>
      <c r="D587" s="816" t="s">
        <v>2549</v>
      </c>
      <c r="E587" s="807">
        <v>310500</v>
      </c>
      <c r="F587" s="629" t="str">
        <f>IFERROR(VLOOKUP(E587,STAT1!$C$4:$D$1000,2,FALSE),"")</f>
        <v>НӨАТ өглөг</v>
      </c>
      <c r="G587" s="811"/>
      <c r="H587" s="811">
        <v>29545.45</v>
      </c>
      <c r="I587" s="580">
        <f t="shared" si="50"/>
        <v>0</v>
      </c>
      <c r="J587" s="961">
        <f t="shared" si="51"/>
        <v>0</v>
      </c>
      <c r="K587" s="80"/>
      <c r="L587" s="807">
        <v>3039</v>
      </c>
      <c r="M587" s="80" t="str">
        <f>+IFERROR(VLOOKUP(L587,DATA!$G$4:$H$2000,2,FALSE),"")</f>
        <v xml:space="preserve">САССИР ХХК </v>
      </c>
      <c r="N587" s="807"/>
      <c r="O587" s="80" t="str">
        <f>IFERROR(VLOOKUP(N587,DATA!$K$4:$L$51,2,FALSE),"")</f>
        <v/>
      </c>
      <c r="P587" s="80">
        <f t="shared" si="47"/>
        <v>0</v>
      </c>
      <c r="Q587" s="154">
        <f t="shared" si="48"/>
        <v>0</v>
      </c>
    </row>
    <row r="588" spans="2:17">
      <c r="B588" s="627">
        <f t="shared" si="49"/>
        <v>583</v>
      </c>
      <c r="C588" s="429">
        <v>43220</v>
      </c>
      <c r="D588" s="816" t="s">
        <v>2549</v>
      </c>
      <c r="E588" s="807">
        <v>510000</v>
      </c>
      <c r="F588" s="629" t="str">
        <f>IFERROR(VLOOKUP(E588,STAT1!$C$4:$D$1000,2,FALSE),"")</f>
        <v>Үндсэн үйл ажиллагааны борлуулалт</v>
      </c>
      <c r="G588" s="811"/>
      <c r="H588" s="811">
        <v>295454.55</v>
      </c>
      <c r="I588" s="580">
        <f t="shared" si="50"/>
        <v>0</v>
      </c>
      <c r="J588" s="961">
        <f t="shared" si="51"/>
        <v>0</v>
      </c>
      <c r="K588" s="80"/>
      <c r="L588" s="807">
        <v>3039</v>
      </c>
      <c r="M588" s="80" t="str">
        <f>+IFERROR(VLOOKUP(L588,DATA!$G$4:$H$2000,2,FALSE),"")</f>
        <v xml:space="preserve">САССИР ХХК </v>
      </c>
      <c r="N588" s="807"/>
      <c r="O588" s="80" t="str">
        <f>IFERROR(VLOOKUP(N588,DATA!$K$4:$L$51,2,FALSE),"")</f>
        <v/>
      </c>
      <c r="P588" s="80">
        <f t="shared" si="47"/>
        <v>0</v>
      </c>
      <c r="Q588" s="154">
        <f t="shared" si="48"/>
        <v>0</v>
      </c>
    </row>
    <row r="589" spans="2:17">
      <c r="B589" s="627">
        <f t="shared" si="49"/>
        <v>584</v>
      </c>
      <c r="C589" s="429">
        <v>43220</v>
      </c>
      <c r="D589" s="816" t="s">
        <v>2549</v>
      </c>
      <c r="E589" s="807">
        <v>320100</v>
      </c>
      <c r="F589" s="629" t="str">
        <f>IFERROR(VLOOKUP(E589,STAT1!$C$4:$D$1000,2,FALSE),"")</f>
        <v>Урьдчилж орсон орлого MNT</v>
      </c>
      <c r="G589" s="811">
        <v>325000</v>
      </c>
      <c r="H589" s="811"/>
      <c r="I589" s="580">
        <f t="shared" si="50"/>
        <v>0</v>
      </c>
      <c r="J589" s="961">
        <f t="shared" si="51"/>
        <v>0</v>
      </c>
      <c r="K589" s="80"/>
      <c r="L589" s="807">
        <v>3039</v>
      </c>
      <c r="M589" s="80" t="str">
        <f>+IFERROR(VLOOKUP(L589,DATA!$G$4:$H$2000,2,FALSE),"")</f>
        <v xml:space="preserve">САССИР ХХК </v>
      </c>
      <c r="N589" s="807"/>
      <c r="O589" s="80" t="str">
        <f>IFERROR(VLOOKUP(N589,DATA!$K$4:$L$51,2,FALSE),"")</f>
        <v/>
      </c>
      <c r="P589" s="80">
        <f t="shared" si="47"/>
        <v>0</v>
      </c>
      <c r="Q589" s="154">
        <f t="shared" si="48"/>
        <v>0</v>
      </c>
    </row>
    <row r="590" spans="2:17">
      <c r="B590" s="627">
        <f t="shared" si="49"/>
        <v>585</v>
      </c>
      <c r="C590" s="429">
        <v>43220</v>
      </c>
      <c r="D590" s="816" t="s">
        <v>2549</v>
      </c>
      <c r="E590" s="807">
        <v>150101</v>
      </c>
      <c r="F590" s="629" t="str">
        <f>IFERROR(VLOOKUP(E590,STAT1!$C$4:$D$1000,2,FALSE),"")</f>
        <v>Бараа бэлэн бүтээгдэхүүн БОЛОВСРУУЛАХ ЦЕХ /нарс/</v>
      </c>
      <c r="G590" s="811"/>
      <c r="H590" s="811">
        <v>2308286.59</v>
      </c>
      <c r="I590" s="580">
        <f t="shared" si="50"/>
        <v>0</v>
      </c>
      <c r="J590" s="961">
        <f t="shared" si="51"/>
        <v>0</v>
      </c>
      <c r="K590" s="80"/>
      <c r="L590" s="807">
        <v>3126</v>
      </c>
      <c r="M590" s="80" t="str">
        <f>+IFERROR(VLOOKUP(L590,DATA!$G$4:$H$2000,2,FALSE),"")</f>
        <v>МАТРИКС</v>
      </c>
      <c r="N590" s="807"/>
      <c r="O590" s="80" t="str">
        <f>IFERROR(VLOOKUP(N590,DATA!$K$4:$L$51,2,FALSE),"")</f>
        <v/>
      </c>
      <c r="P590" s="80">
        <f t="shared" si="47"/>
        <v>0</v>
      </c>
      <c r="Q590" s="154">
        <f t="shared" si="48"/>
        <v>0</v>
      </c>
    </row>
    <row r="591" spans="2:17">
      <c r="B591" s="627">
        <f t="shared" si="49"/>
        <v>586</v>
      </c>
      <c r="C591" s="429">
        <v>43220</v>
      </c>
      <c r="D591" s="816" t="s">
        <v>2549</v>
      </c>
      <c r="E591" s="807">
        <v>150101</v>
      </c>
      <c r="F591" s="629" t="str">
        <f>IFERROR(VLOOKUP(E591,STAT1!$C$4:$D$1000,2,FALSE),"")</f>
        <v>Бараа бэлэн бүтээгдэхүүн БОЛОВСРУУЛАХ ЦЕХ /нарс/</v>
      </c>
      <c r="G591" s="811"/>
      <c r="H591" s="811">
        <v>294697.52</v>
      </c>
      <c r="I591" s="580">
        <f t="shared" si="50"/>
        <v>0</v>
      </c>
      <c r="J591" s="961">
        <f t="shared" si="51"/>
        <v>0</v>
      </c>
      <c r="K591" s="80"/>
      <c r="L591" s="807">
        <v>3126</v>
      </c>
      <c r="M591" s="80" t="str">
        <f>+IFERROR(VLOOKUP(L591,DATA!$G$4:$H$2000,2,FALSE),"")</f>
        <v>МАТРИКС</v>
      </c>
      <c r="N591" s="807"/>
      <c r="O591" s="80" t="str">
        <f>IFERROR(VLOOKUP(N591,DATA!$K$4:$L$51,2,FALSE),"")</f>
        <v/>
      </c>
      <c r="P591" s="80">
        <f t="shared" si="47"/>
        <v>0</v>
      </c>
      <c r="Q591" s="154">
        <f t="shared" si="48"/>
        <v>0</v>
      </c>
    </row>
    <row r="592" spans="2:17">
      <c r="B592" s="627">
        <f t="shared" si="49"/>
        <v>587</v>
      </c>
      <c r="C592" s="429">
        <v>43220</v>
      </c>
      <c r="D592" s="816" t="s">
        <v>2549</v>
      </c>
      <c r="E592" s="807">
        <v>610100</v>
      </c>
      <c r="F592" s="629" t="str">
        <f>IFERROR(VLOOKUP(E592,STAT1!$C$4:$D$1000,2,FALSE),"")</f>
        <v>Борлуулсан барааны өртөг</v>
      </c>
      <c r="G592" s="811">
        <v>2602984.11</v>
      </c>
      <c r="H592" s="811"/>
      <c r="I592" s="580">
        <f t="shared" si="50"/>
        <v>0</v>
      </c>
      <c r="J592" s="961">
        <f t="shared" si="51"/>
        <v>0</v>
      </c>
      <c r="K592" s="80"/>
      <c r="L592" s="807">
        <v>3126</v>
      </c>
      <c r="M592" s="80" t="str">
        <f>+IFERROR(VLOOKUP(L592,DATA!$G$4:$H$2000,2,FALSE),"")</f>
        <v>МАТРИКС</v>
      </c>
      <c r="N592" s="807"/>
      <c r="O592" s="80" t="str">
        <f>IFERROR(VLOOKUP(N592,DATA!$K$4:$L$51,2,FALSE),"")</f>
        <v/>
      </c>
      <c r="P592" s="80">
        <f t="shared" si="47"/>
        <v>0</v>
      </c>
      <c r="Q592" s="154">
        <f t="shared" si="48"/>
        <v>0</v>
      </c>
    </row>
    <row r="593" spans="2:17">
      <c r="B593" s="627">
        <f t="shared" si="49"/>
        <v>588</v>
      </c>
      <c r="C593" s="429">
        <v>43220</v>
      </c>
      <c r="D593" s="816" t="s">
        <v>2549</v>
      </c>
      <c r="E593" s="807">
        <v>310500</v>
      </c>
      <c r="F593" s="629" t="str">
        <f>IFERROR(VLOOKUP(E593,STAT1!$C$4:$D$1000,2,FALSE),"")</f>
        <v>НӨАТ өглөг</v>
      </c>
      <c r="G593" s="811"/>
      <c r="H593" s="811">
        <v>336498</v>
      </c>
      <c r="I593" s="580">
        <f t="shared" si="50"/>
        <v>0</v>
      </c>
      <c r="J593" s="961">
        <f t="shared" si="51"/>
        <v>0</v>
      </c>
      <c r="K593" s="80"/>
      <c r="L593" s="807">
        <v>3126</v>
      </c>
      <c r="M593" s="80" t="str">
        <f>+IFERROR(VLOOKUP(L593,DATA!$G$4:$H$2000,2,FALSE),"")</f>
        <v>МАТРИКС</v>
      </c>
      <c r="N593" s="807"/>
      <c r="O593" s="80" t="str">
        <f>IFERROR(VLOOKUP(N593,DATA!$K$4:$L$51,2,FALSE),"")</f>
        <v/>
      </c>
      <c r="P593" s="80">
        <f t="shared" si="47"/>
        <v>0</v>
      </c>
      <c r="Q593" s="154">
        <f t="shared" si="48"/>
        <v>0</v>
      </c>
    </row>
    <row r="594" spans="2:17">
      <c r="B594" s="627">
        <f t="shared" si="49"/>
        <v>589</v>
      </c>
      <c r="C594" s="429">
        <v>43220</v>
      </c>
      <c r="D594" s="816" t="s">
        <v>2549</v>
      </c>
      <c r="E594" s="807">
        <v>510000</v>
      </c>
      <c r="F594" s="629" t="str">
        <f>IFERROR(VLOOKUP(E594,STAT1!$C$4:$D$1000,2,FALSE),"")</f>
        <v>Үндсэн үйл ажиллагааны борлуулалт</v>
      </c>
      <c r="G594" s="811"/>
      <c r="H594" s="811">
        <v>3364980</v>
      </c>
      <c r="I594" s="580">
        <f t="shared" si="50"/>
        <v>0</v>
      </c>
      <c r="J594" s="961">
        <f t="shared" si="51"/>
        <v>0</v>
      </c>
      <c r="K594" s="80"/>
      <c r="L594" s="807">
        <v>3126</v>
      </c>
      <c r="M594" s="80" t="str">
        <f>+IFERROR(VLOOKUP(L594,DATA!$G$4:$H$2000,2,FALSE),"")</f>
        <v>МАТРИКС</v>
      </c>
      <c r="N594" s="807"/>
      <c r="O594" s="80" t="str">
        <f>IFERROR(VLOOKUP(N594,DATA!$K$4:$L$51,2,FALSE),"")</f>
        <v/>
      </c>
      <c r="P594" s="80">
        <f t="shared" si="47"/>
        <v>0</v>
      </c>
      <c r="Q594" s="154">
        <f t="shared" si="48"/>
        <v>0</v>
      </c>
    </row>
    <row r="595" spans="2:17">
      <c r="B595" s="627">
        <f t="shared" si="49"/>
        <v>590</v>
      </c>
      <c r="C595" s="429">
        <v>43220</v>
      </c>
      <c r="D595" s="816" t="s">
        <v>2549</v>
      </c>
      <c r="E595" s="807">
        <v>320100</v>
      </c>
      <c r="F595" s="629" t="str">
        <f>IFERROR(VLOOKUP(E595,STAT1!$C$4:$D$1000,2,FALSE),"")</f>
        <v>Урьдчилж орсон орлого MNT</v>
      </c>
      <c r="G595" s="811">
        <v>3701478</v>
      </c>
      <c r="H595" s="811"/>
      <c r="I595" s="580">
        <f t="shared" si="50"/>
        <v>0</v>
      </c>
      <c r="J595" s="961">
        <f t="shared" si="51"/>
        <v>0</v>
      </c>
      <c r="K595" s="80"/>
      <c r="L595" s="807">
        <v>3126</v>
      </c>
      <c r="M595" s="80" t="str">
        <f>+IFERROR(VLOOKUP(L595,DATA!$G$4:$H$2000,2,FALSE),"")</f>
        <v>МАТРИКС</v>
      </c>
      <c r="N595" s="807"/>
      <c r="O595" s="80" t="str">
        <f>IFERROR(VLOOKUP(N595,DATA!$K$4:$L$51,2,FALSE),"")</f>
        <v/>
      </c>
      <c r="P595" s="80">
        <f t="shared" si="47"/>
        <v>0</v>
      </c>
      <c r="Q595" s="154">
        <f t="shared" si="48"/>
        <v>0</v>
      </c>
    </row>
    <row r="596" spans="2:17">
      <c r="B596" s="627">
        <f t="shared" si="49"/>
        <v>591</v>
      </c>
      <c r="C596" s="429">
        <v>43220</v>
      </c>
      <c r="D596" s="816" t="s">
        <v>2549</v>
      </c>
      <c r="E596" s="807">
        <v>150101</v>
      </c>
      <c r="F596" s="629" t="str">
        <f>IFERROR(VLOOKUP(E596,STAT1!$C$4:$D$1000,2,FALSE),"")</f>
        <v>Бараа бэлэн бүтээгдэхүүн БОЛОВСРУУЛАХ ЦЕХ /нарс/</v>
      </c>
      <c r="G596" s="811"/>
      <c r="H596" s="811">
        <v>705453.07</v>
      </c>
      <c r="I596" s="580">
        <f t="shared" si="50"/>
        <v>0</v>
      </c>
      <c r="J596" s="961">
        <f t="shared" si="51"/>
        <v>0</v>
      </c>
      <c r="K596" s="80"/>
      <c r="L596" s="807">
        <v>3124</v>
      </c>
      <c r="M596" s="80" t="str">
        <f>+IFERROR(VLOOKUP(L596,DATA!$G$4:$H$2000,2,FALSE),"")</f>
        <v xml:space="preserve">ШИНЭЛЭГ СУУЦ ХХК </v>
      </c>
      <c r="N596" s="807"/>
      <c r="O596" s="80" t="str">
        <f>IFERROR(VLOOKUP(N596,DATA!$K$4:$L$51,2,FALSE),"")</f>
        <v/>
      </c>
      <c r="P596" s="80">
        <f t="shared" si="47"/>
        <v>0</v>
      </c>
      <c r="Q596" s="154">
        <f t="shared" si="48"/>
        <v>0</v>
      </c>
    </row>
    <row r="597" spans="2:17">
      <c r="B597" s="627">
        <f t="shared" si="49"/>
        <v>592</v>
      </c>
      <c r="C597" s="429">
        <v>43220</v>
      </c>
      <c r="D597" s="816" t="s">
        <v>2549</v>
      </c>
      <c r="E597" s="807">
        <v>150101</v>
      </c>
      <c r="F597" s="629" t="str">
        <f>IFERROR(VLOOKUP(E597,STAT1!$C$4:$D$1000,2,FALSE),"")</f>
        <v>Бараа бэлэн бүтээгдэхүүн БОЛОВСРУУЛАХ ЦЕХ /нарс/</v>
      </c>
      <c r="G597" s="811"/>
      <c r="H597" s="811">
        <v>192200.72</v>
      </c>
      <c r="I597" s="580">
        <f t="shared" si="50"/>
        <v>0</v>
      </c>
      <c r="J597" s="961">
        <f t="shared" si="51"/>
        <v>0</v>
      </c>
      <c r="K597" s="80"/>
      <c r="L597" s="807">
        <v>3124</v>
      </c>
      <c r="M597" s="80" t="str">
        <f>+IFERROR(VLOOKUP(L597,DATA!$G$4:$H$2000,2,FALSE),"")</f>
        <v xml:space="preserve">ШИНЭЛЭГ СУУЦ ХХК </v>
      </c>
      <c r="N597" s="807"/>
      <c r="O597" s="80" t="str">
        <f>IFERROR(VLOOKUP(N597,DATA!$K$4:$L$51,2,FALSE),"")</f>
        <v/>
      </c>
      <c r="P597" s="80">
        <f t="shared" si="47"/>
        <v>0</v>
      </c>
      <c r="Q597" s="154">
        <f t="shared" si="48"/>
        <v>0</v>
      </c>
    </row>
    <row r="598" spans="2:17">
      <c r="B598" s="627">
        <f t="shared" si="49"/>
        <v>593</v>
      </c>
      <c r="C598" s="429">
        <v>43221</v>
      </c>
      <c r="D598" s="816" t="s">
        <v>2573</v>
      </c>
      <c r="E598" s="807">
        <v>310100</v>
      </c>
      <c r="F598" s="629" t="str">
        <f>IFERROR(VLOOKUP(E598,STAT1!$C$4:$D$1000,2,FALSE),"")</f>
        <v>Дансны өглөг MNT</v>
      </c>
      <c r="G598" s="811"/>
      <c r="H598" s="811">
        <v>120418.21</v>
      </c>
      <c r="I598" s="580">
        <f t="shared" si="50"/>
        <v>0</v>
      </c>
      <c r="J598" s="961">
        <f t="shared" si="51"/>
        <v>0</v>
      </c>
      <c r="K598" s="80"/>
      <c r="L598" s="807">
        <v>2004</v>
      </c>
      <c r="M598" s="80" t="str">
        <f>+IFERROR(VLOOKUP(L598,DATA!$G$4:$H$2000,2,FALSE),"")</f>
        <v xml:space="preserve">ДЦС-3 ТӨХК </v>
      </c>
      <c r="N598" s="807"/>
      <c r="O598" s="80" t="str">
        <f>IFERROR(VLOOKUP(N598,DATA!$K$4:$L$51,2,FALSE),"")</f>
        <v/>
      </c>
      <c r="P598" s="80">
        <f t="shared" si="47"/>
        <v>0</v>
      </c>
      <c r="Q598" s="154">
        <f t="shared" si="48"/>
        <v>0</v>
      </c>
    </row>
    <row r="599" spans="2:17">
      <c r="B599" s="627">
        <f t="shared" si="49"/>
        <v>594</v>
      </c>
      <c r="C599" s="429">
        <v>43221</v>
      </c>
      <c r="D599" s="816" t="s">
        <v>2573</v>
      </c>
      <c r="E599" s="807">
        <v>120600</v>
      </c>
      <c r="F599" s="629" t="str">
        <f>IFERROR(VLOOKUP(E599,STAT1!$C$4:$D$1000,2,FALSE),"")</f>
        <v>НӨАТ авлага</v>
      </c>
      <c r="G599" s="811">
        <v>10947.11</v>
      </c>
      <c r="H599" s="811"/>
      <c r="I599" s="580">
        <f t="shared" si="50"/>
        <v>0</v>
      </c>
      <c r="J599" s="961">
        <f t="shared" si="51"/>
        <v>0</v>
      </c>
      <c r="K599" s="80"/>
      <c r="L599" s="807">
        <v>2004</v>
      </c>
      <c r="M599" s="80" t="str">
        <f>+IFERROR(VLOOKUP(L599,DATA!$G$4:$H$2000,2,FALSE),"")</f>
        <v xml:space="preserve">ДЦС-3 ТӨХК </v>
      </c>
      <c r="N599" s="807"/>
      <c r="O599" s="80" t="str">
        <f>IFERROR(VLOOKUP(N599,DATA!$K$4:$L$51,2,FALSE),"")</f>
        <v/>
      </c>
      <c r="P599" s="80">
        <f t="shared" si="47"/>
        <v>0</v>
      </c>
      <c r="Q599" s="154">
        <f t="shared" si="48"/>
        <v>0</v>
      </c>
    </row>
    <row r="600" spans="2:17">
      <c r="B600" s="627">
        <f t="shared" si="49"/>
        <v>595</v>
      </c>
      <c r="C600" s="429">
        <v>43221</v>
      </c>
      <c r="D600" s="816" t="s">
        <v>2573</v>
      </c>
      <c r="E600" s="807">
        <v>700900</v>
      </c>
      <c r="F600" s="629" t="str">
        <f>IFERROR(VLOOKUP(E600,STAT1!$C$4:$D$1000,2,FALSE),"")</f>
        <v>Уур, ус</v>
      </c>
      <c r="G600" s="811">
        <v>109471.1</v>
      </c>
      <c r="H600" s="811"/>
      <c r="I600" s="580">
        <f t="shared" si="50"/>
        <v>0</v>
      </c>
      <c r="J600" s="961">
        <f t="shared" si="51"/>
        <v>0</v>
      </c>
      <c r="K600" s="80"/>
      <c r="L600" s="807">
        <v>2004</v>
      </c>
      <c r="M600" s="80" t="str">
        <f>+IFERROR(VLOOKUP(L600,DATA!$G$4:$H$2000,2,FALSE),"")</f>
        <v xml:space="preserve">ДЦС-3 ТӨХК </v>
      </c>
      <c r="N600" s="807"/>
      <c r="O600" s="80" t="str">
        <f>IFERROR(VLOOKUP(N600,DATA!$K$4:$L$51,2,FALSE),"")</f>
        <v/>
      </c>
      <c r="P600" s="80">
        <f t="shared" si="47"/>
        <v>0</v>
      </c>
      <c r="Q600" s="154">
        <f t="shared" si="48"/>
        <v>0</v>
      </c>
    </row>
    <row r="601" spans="2:17">
      <c r="B601" s="627">
        <f t="shared" si="49"/>
        <v>596</v>
      </c>
      <c r="C601" s="429">
        <v>43221</v>
      </c>
      <c r="D601" s="816" t="s">
        <v>2549</v>
      </c>
      <c r="E601" s="807">
        <v>610100</v>
      </c>
      <c r="F601" s="629" t="str">
        <f>IFERROR(VLOOKUP(E601,STAT1!$C$4:$D$1000,2,FALSE),"")</f>
        <v>Борлуулсан барааны өртөг</v>
      </c>
      <c r="G601" s="811">
        <v>897653.79</v>
      </c>
      <c r="H601" s="811"/>
      <c r="I601" s="580">
        <f t="shared" si="50"/>
        <v>0</v>
      </c>
      <c r="J601" s="961">
        <f t="shared" si="51"/>
        <v>0</v>
      </c>
      <c r="K601" s="80"/>
      <c r="L601" s="807">
        <v>3124</v>
      </c>
      <c r="M601" s="80" t="str">
        <f>+IFERROR(VLOOKUP(L601,DATA!$G$4:$H$2000,2,FALSE),"")</f>
        <v xml:space="preserve">ШИНЭЛЭГ СУУЦ ХХК </v>
      </c>
      <c r="N601" s="807"/>
      <c r="O601" s="80" t="str">
        <f>IFERROR(VLOOKUP(N601,DATA!$K$4:$L$51,2,FALSE),"")</f>
        <v/>
      </c>
      <c r="P601" s="80">
        <f t="shared" si="47"/>
        <v>0</v>
      </c>
      <c r="Q601" s="154">
        <f t="shared" si="48"/>
        <v>0</v>
      </c>
    </row>
    <row r="602" spans="2:17">
      <c r="B602" s="627">
        <f t="shared" si="49"/>
        <v>597</v>
      </c>
      <c r="C602" s="429">
        <v>43221</v>
      </c>
      <c r="D602" s="816" t="s">
        <v>2549</v>
      </c>
      <c r="E602" s="807">
        <v>310500</v>
      </c>
      <c r="F602" s="629" t="str">
        <f>IFERROR(VLOOKUP(E602,STAT1!$C$4:$D$1000,2,FALSE),"")</f>
        <v>НӨАТ өглөг</v>
      </c>
      <c r="G602" s="811"/>
      <c r="H602" s="811">
        <v>130137.27</v>
      </c>
      <c r="I602" s="580">
        <f t="shared" si="50"/>
        <v>0</v>
      </c>
      <c r="J602" s="961">
        <f t="shared" si="51"/>
        <v>0</v>
      </c>
      <c r="K602" s="80"/>
      <c r="L602" s="807">
        <v>3124</v>
      </c>
      <c r="M602" s="80" t="str">
        <f>+IFERROR(VLOOKUP(L602,DATA!$G$4:$H$2000,2,FALSE),"")</f>
        <v xml:space="preserve">ШИНЭЛЭГ СУУЦ ХХК </v>
      </c>
      <c r="N602" s="807"/>
      <c r="O602" s="80" t="str">
        <f>IFERROR(VLOOKUP(N602,DATA!$K$4:$L$51,2,FALSE),"")</f>
        <v/>
      </c>
      <c r="P602" s="80">
        <f t="shared" si="47"/>
        <v>0</v>
      </c>
      <c r="Q602" s="154">
        <f t="shared" si="48"/>
        <v>0</v>
      </c>
    </row>
    <row r="603" spans="2:17">
      <c r="B603" s="627">
        <f t="shared" si="49"/>
        <v>598</v>
      </c>
      <c r="C603" s="429">
        <v>43221</v>
      </c>
      <c r="D603" s="816" t="s">
        <v>2549</v>
      </c>
      <c r="E603" s="807">
        <v>510000</v>
      </c>
      <c r="F603" s="629" t="str">
        <f>IFERROR(VLOOKUP(E603,STAT1!$C$4:$D$1000,2,FALSE),"")</f>
        <v>Үндсэн үйл ажиллагааны борлуулалт</v>
      </c>
      <c r="G603" s="811"/>
      <c r="H603" s="811">
        <v>1301372.73</v>
      </c>
      <c r="I603" s="580">
        <f t="shared" si="50"/>
        <v>0</v>
      </c>
      <c r="J603" s="961">
        <f t="shared" si="51"/>
        <v>0</v>
      </c>
      <c r="K603" s="80"/>
      <c r="L603" s="807">
        <v>3124</v>
      </c>
      <c r="M603" s="80" t="str">
        <f>+IFERROR(VLOOKUP(L603,DATA!$G$4:$H$2000,2,FALSE),"")</f>
        <v xml:space="preserve">ШИНЭЛЭГ СУУЦ ХХК </v>
      </c>
      <c r="N603" s="807"/>
      <c r="O603" s="80" t="str">
        <f>IFERROR(VLOOKUP(N603,DATA!$K$4:$L$51,2,FALSE),"")</f>
        <v/>
      </c>
      <c r="P603" s="80">
        <f t="shared" si="47"/>
        <v>0</v>
      </c>
      <c r="Q603" s="154">
        <f t="shared" si="48"/>
        <v>0</v>
      </c>
    </row>
    <row r="604" spans="2:17">
      <c r="B604" s="627">
        <f t="shared" si="49"/>
        <v>599</v>
      </c>
      <c r="C604" s="429">
        <v>43221</v>
      </c>
      <c r="D604" s="816" t="s">
        <v>2549</v>
      </c>
      <c r="E604" s="807">
        <v>320100</v>
      </c>
      <c r="F604" s="629" t="str">
        <f>IFERROR(VLOOKUP(E604,STAT1!$C$4:$D$1000,2,FALSE),"")</f>
        <v>Урьдчилж орсон орлого MNT</v>
      </c>
      <c r="G604" s="811">
        <v>1431510</v>
      </c>
      <c r="H604" s="811"/>
      <c r="I604" s="580">
        <f t="shared" si="50"/>
        <v>0</v>
      </c>
      <c r="J604" s="961">
        <f t="shared" si="51"/>
        <v>0</v>
      </c>
      <c r="K604" s="80"/>
      <c r="L604" s="807">
        <v>3124</v>
      </c>
      <c r="M604" s="80" t="str">
        <f>+IFERROR(VLOOKUP(L604,DATA!$G$4:$H$2000,2,FALSE),"")</f>
        <v xml:space="preserve">ШИНЭЛЭГ СУУЦ ХХК </v>
      </c>
      <c r="N604" s="807"/>
      <c r="O604" s="80" t="str">
        <f>IFERROR(VLOOKUP(N604,DATA!$K$4:$L$51,2,FALSE),"")</f>
        <v/>
      </c>
      <c r="P604" s="80">
        <f t="shared" si="47"/>
        <v>0</v>
      </c>
      <c r="Q604" s="154">
        <f t="shared" si="48"/>
        <v>0</v>
      </c>
    </row>
    <row r="605" spans="2:17">
      <c r="B605" s="627">
        <f t="shared" si="49"/>
        <v>600</v>
      </c>
      <c r="C605" s="429">
        <v>43222</v>
      </c>
      <c r="D605" s="816" t="s">
        <v>2564</v>
      </c>
      <c r="E605" s="807">
        <v>100100</v>
      </c>
      <c r="F605" s="629" t="str">
        <f>IFERROR(VLOOKUP(E605,STAT1!$C$4:$D$1000,2,FALSE),"")</f>
        <v>Касс мөнгө MNT</v>
      </c>
      <c r="G605" s="811"/>
      <c r="H605" s="811">
        <v>24750</v>
      </c>
      <c r="I605" s="580">
        <f t="shared" si="50"/>
        <v>-24750</v>
      </c>
      <c r="J605" s="961">
        <f t="shared" si="51"/>
        <v>0</v>
      </c>
      <c r="K605" s="80"/>
      <c r="L605" s="807">
        <v>1008</v>
      </c>
      <c r="M605" s="80" t="str">
        <f>+IFERROR(VLOOKUP(L605,DATA!$G$4:$H$2000,2,FALSE),"")</f>
        <v xml:space="preserve">Оюунтүлхүүр </v>
      </c>
      <c r="N605" s="807">
        <v>53</v>
      </c>
      <c r="O605" s="80" t="str">
        <f>IFERROR(VLOOKUP(N605,DATA!$K$4:$L$51,2,FALSE),"")</f>
        <v>Бараа материал худалдан авахад төлсөн</v>
      </c>
      <c r="P605" s="80">
        <f t="shared" si="47"/>
        <v>1</v>
      </c>
      <c r="Q605" s="154">
        <f t="shared" si="48"/>
        <v>1</v>
      </c>
    </row>
    <row r="606" spans="2:17">
      <c r="B606" s="627">
        <f t="shared" si="49"/>
        <v>601</v>
      </c>
      <c r="C606" s="429">
        <v>43222</v>
      </c>
      <c r="D606" s="816" t="s">
        <v>2564</v>
      </c>
      <c r="E606" s="807">
        <v>120600</v>
      </c>
      <c r="F606" s="629" t="str">
        <f>IFERROR(VLOOKUP(E606,STAT1!$C$4:$D$1000,2,FALSE),"")</f>
        <v>НӨАТ авлага</v>
      </c>
      <c r="G606" s="811">
        <v>2250</v>
      </c>
      <c r="H606" s="811"/>
      <c r="I606" s="580">
        <f t="shared" si="50"/>
        <v>0</v>
      </c>
      <c r="J606" s="961">
        <f t="shared" si="51"/>
        <v>0</v>
      </c>
      <c r="K606" s="80"/>
      <c r="L606" s="807">
        <v>1008</v>
      </c>
      <c r="M606" s="80" t="str">
        <f>+IFERROR(VLOOKUP(L606,DATA!$G$4:$H$2000,2,FALSE),"")</f>
        <v xml:space="preserve">Оюунтүлхүүр </v>
      </c>
      <c r="N606" s="807"/>
      <c r="O606" s="80" t="str">
        <f>IFERROR(VLOOKUP(N606,DATA!$K$4:$L$51,2,FALSE),"")</f>
        <v/>
      </c>
      <c r="P606" s="80">
        <f t="shared" si="47"/>
        <v>0</v>
      </c>
      <c r="Q606" s="154">
        <f t="shared" si="48"/>
        <v>0</v>
      </c>
    </row>
    <row r="607" spans="2:17">
      <c r="B607" s="627">
        <f t="shared" si="49"/>
        <v>602</v>
      </c>
      <c r="C607" s="429">
        <v>43222</v>
      </c>
      <c r="D607" s="816" t="s">
        <v>2564</v>
      </c>
      <c r="E607" s="807">
        <v>703700</v>
      </c>
      <c r="F607" s="629" t="str">
        <f>IFERROR(VLOOKUP(E607,STAT1!$C$4:$D$1000,2,FALSE),"")</f>
        <v>Бичиг хэргийн зардал</v>
      </c>
      <c r="G607" s="811">
        <v>22500</v>
      </c>
      <c r="H607" s="811"/>
      <c r="I607" s="580">
        <f t="shared" si="50"/>
        <v>0</v>
      </c>
      <c r="J607" s="961">
        <f t="shared" si="51"/>
        <v>0</v>
      </c>
      <c r="K607" s="80"/>
      <c r="L607" s="807">
        <v>1008</v>
      </c>
      <c r="M607" s="80" t="str">
        <f>+IFERROR(VLOOKUP(L607,DATA!$G$4:$H$2000,2,FALSE),"")</f>
        <v xml:space="preserve">Оюунтүлхүүр </v>
      </c>
      <c r="N607" s="807"/>
      <c r="O607" s="80" t="str">
        <f>IFERROR(VLOOKUP(N607,DATA!$K$4:$L$51,2,FALSE),"")</f>
        <v/>
      </c>
      <c r="P607" s="80">
        <f t="shared" si="47"/>
        <v>0</v>
      </c>
      <c r="Q607" s="154">
        <f t="shared" si="48"/>
        <v>0</v>
      </c>
    </row>
    <row r="608" spans="2:17">
      <c r="B608" s="627">
        <f t="shared" si="49"/>
        <v>603</v>
      </c>
      <c r="C608" s="429">
        <v>43223</v>
      </c>
      <c r="D608" s="816" t="s">
        <v>1571</v>
      </c>
      <c r="E608" s="807">
        <v>110100</v>
      </c>
      <c r="F608" s="629" t="str">
        <f>IFERROR(VLOOKUP(E608,STAT1!$C$4:$D$1000,2,FALSE),"")</f>
        <v>Хаан Банк 5024654020</v>
      </c>
      <c r="G608" s="811">
        <v>125400</v>
      </c>
      <c r="H608" s="811"/>
      <c r="I608" s="580">
        <f t="shared" si="50"/>
        <v>125400</v>
      </c>
      <c r="J608" s="961">
        <f t="shared" si="51"/>
        <v>0</v>
      </c>
      <c r="K608" s="80"/>
      <c r="L608" s="807">
        <v>3006</v>
      </c>
      <c r="M608" s="80" t="str">
        <f>+IFERROR(VLOOKUP(L608,DATA!$G$4:$H$2000,2,FALSE),"")</f>
        <v xml:space="preserve">ПАЙОНЕРИНГ ИНТЕРНЭШНЛ ХХК </v>
      </c>
      <c r="N608" s="807">
        <v>41</v>
      </c>
      <c r="O608" s="80" t="str">
        <f>IFERROR(VLOOKUP(N608,DATA!$K$4:$L$51,2,FALSE),"")</f>
        <v>Бараа борлуулсан, үйлчилгээ үзүүлсэний орлого</v>
      </c>
      <c r="P608" s="80">
        <f t="shared" si="47"/>
        <v>1</v>
      </c>
      <c r="Q608" s="154">
        <f t="shared" si="48"/>
        <v>1</v>
      </c>
    </row>
    <row r="609" spans="2:17">
      <c r="B609" s="627">
        <f t="shared" si="49"/>
        <v>604</v>
      </c>
      <c r="C609" s="429">
        <v>43223</v>
      </c>
      <c r="D609" s="816" t="s">
        <v>1571</v>
      </c>
      <c r="E609" s="807">
        <v>320100</v>
      </c>
      <c r="F609" s="629" t="str">
        <f>IFERROR(VLOOKUP(E609,STAT1!$C$4:$D$1000,2,FALSE),"")</f>
        <v>Урьдчилж орсон орлого MNT</v>
      </c>
      <c r="G609" s="811"/>
      <c r="H609" s="811">
        <v>125400</v>
      </c>
      <c r="I609" s="580">
        <f t="shared" si="50"/>
        <v>0</v>
      </c>
      <c r="J609" s="961">
        <f t="shared" si="51"/>
        <v>0</v>
      </c>
      <c r="K609" s="80"/>
      <c r="L609" s="807">
        <v>3006</v>
      </c>
      <c r="M609" s="80" t="str">
        <f>+IFERROR(VLOOKUP(L609,DATA!$G$4:$H$2000,2,FALSE),"")</f>
        <v xml:space="preserve">ПАЙОНЕРИНГ ИНТЕРНЭШНЛ ХХК </v>
      </c>
      <c r="N609" s="807"/>
      <c r="O609" s="80"/>
      <c r="P609" s="80">
        <f t="shared" si="47"/>
        <v>0</v>
      </c>
      <c r="Q609" s="154">
        <f t="shared" si="48"/>
        <v>0</v>
      </c>
    </row>
    <row r="610" spans="2:17">
      <c r="B610" s="627">
        <f t="shared" si="49"/>
        <v>605</v>
      </c>
      <c r="C610" s="429">
        <v>43226</v>
      </c>
      <c r="D610" s="816" t="s">
        <v>2571</v>
      </c>
      <c r="E610" s="807">
        <v>310100</v>
      </c>
      <c r="F610" s="629" t="str">
        <f>IFERROR(VLOOKUP(E610,STAT1!$C$4:$D$1000,2,FALSE),"")</f>
        <v>Дансны өглөг MNT</v>
      </c>
      <c r="G610" s="811"/>
      <c r="H610" s="811">
        <v>925212</v>
      </c>
      <c r="I610" s="580">
        <f t="shared" si="50"/>
        <v>0</v>
      </c>
      <c r="J610" s="961">
        <f t="shared" si="51"/>
        <v>0</v>
      </c>
      <c r="K610" s="80"/>
      <c r="L610" s="807">
        <v>2013</v>
      </c>
      <c r="M610" s="80" t="str">
        <f>+IFERROR(VLOOKUP(L610,DATA!$G$4:$H$2000,2,FALSE),"")</f>
        <v>УБДС ТӨХК</v>
      </c>
      <c r="N610" s="807"/>
      <c r="O610" s="80"/>
      <c r="P610" s="80">
        <f t="shared" si="47"/>
        <v>0</v>
      </c>
      <c r="Q610" s="154">
        <f t="shared" si="48"/>
        <v>0</v>
      </c>
    </row>
    <row r="611" spans="2:17">
      <c r="B611" s="627">
        <f t="shared" si="49"/>
        <v>606</v>
      </c>
      <c r="C611" s="429">
        <v>43226</v>
      </c>
      <c r="D611" s="816" t="s">
        <v>2571</v>
      </c>
      <c r="E611" s="807">
        <v>120600</v>
      </c>
      <c r="F611" s="629" t="str">
        <f>IFERROR(VLOOKUP(E611,STAT1!$C$4:$D$1000,2,FALSE),"")</f>
        <v>НӨАТ авлага</v>
      </c>
      <c r="G611" s="811">
        <v>84110.2</v>
      </c>
      <c r="H611" s="811"/>
      <c r="I611" s="580">
        <f t="shared" si="50"/>
        <v>0</v>
      </c>
      <c r="J611" s="961">
        <f t="shared" si="51"/>
        <v>0</v>
      </c>
      <c r="K611" s="80"/>
      <c r="L611" s="807">
        <v>2013</v>
      </c>
      <c r="M611" s="80" t="str">
        <f>+IFERROR(VLOOKUP(L611,DATA!$G$4:$H$2000,2,FALSE),"")</f>
        <v>УБДС ТӨХК</v>
      </c>
      <c r="N611" s="807"/>
      <c r="O611" s="80" t="str">
        <f>IFERROR(VLOOKUP(N611,DATA!$K$4:$L$51,2,FALSE),"")</f>
        <v/>
      </c>
      <c r="P611" s="80">
        <f t="shared" si="47"/>
        <v>0</v>
      </c>
      <c r="Q611" s="154">
        <f t="shared" si="48"/>
        <v>0</v>
      </c>
    </row>
    <row r="612" spans="2:17">
      <c r="B612" s="627">
        <f t="shared" si="49"/>
        <v>607</v>
      </c>
      <c r="C612" s="429">
        <v>43226</v>
      </c>
      <c r="D612" s="816" t="s">
        <v>2571</v>
      </c>
      <c r="E612" s="807">
        <v>700800</v>
      </c>
      <c r="F612" s="629" t="str">
        <f>IFERROR(VLOOKUP(E612,STAT1!$C$4:$D$1000,2,FALSE),"")</f>
        <v>Дулаан</v>
      </c>
      <c r="G612" s="811">
        <v>841101.8</v>
      </c>
      <c r="H612" s="811"/>
      <c r="I612" s="580">
        <f t="shared" si="50"/>
        <v>0</v>
      </c>
      <c r="J612" s="961">
        <f t="shared" si="51"/>
        <v>0</v>
      </c>
      <c r="K612" s="80"/>
      <c r="L612" s="807">
        <v>2013</v>
      </c>
      <c r="M612" s="80" t="str">
        <f>+IFERROR(VLOOKUP(L612,DATA!$G$4:$H$2000,2,FALSE),"")</f>
        <v>УБДС ТӨХК</v>
      </c>
      <c r="N612" s="807"/>
      <c r="O612" s="80" t="str">
        <f>IFERROR(VLOOKUP(N612,DATA!$K$4:$L$51,2,FALSE),"")</f>
        <v/>
      </c>
      <c r="P612" s="80">
        <f t="shared" si="47"/>
        <v>0</v>
      </c>
      <c r="Q612" s="154">
        <f t="shared" si="48"/>
        <v>0</v>
      </c>
    </row>
    <row r="613" spans="2:17">
      <c r="B613" s="627">
        <f t="shared" si="49"/>
        <v>608</v>
      </c>
      <c r="C613" s="429">
        <v>43229</v>
      </c>
      <c r="D613" s="816" t="s">
        <v>2572</v>
      </c>
      <c r="E613" s="807">
        <v>120600</v>
      </c>
      <c r="F613" s="629" t="str">
        <f>IFERROR(VLOOKUP(E613,STAT1!$C$4:$D$1000,2,FALSE),"")</f>
        <v>НӨАТ авлага</v>
      </c>
      <c r="G613" s="811">
        <v>167849.09</v>
      </c>
      <c r="H613" s="811"/>
      <c r="I613" s="580">
        <f t="shared" si="50"/>
        <v>0</v>
      </c>
      <c r="J613" s="961">
        <f t="shared" si="51"/>
        <v>0</v>
      </c>
      <c r="K613" s="80"/>
      <c r="L613" s="807">
        <v>2003</v>
      </c>
      <c r="M613" s="80" t="str">
        <f>+IFERROR(VLOOKUP(L613,DATA!$G$4:$H$2000,2,FALSE),"")</f>
        <v xml:space="preserve">УБЦТС ТӨХК </v>
      </c>
      <c r="N613" s="807"/>
      <c r="O613" s="80" t="str">
        <f>IFERROR(VLOOKUP(N613,DATA!$K$4:$L$51,2,FALSE),"")</f>
        <v/>
      </c>
      <c r="P613" s="80">
        <f t="shared" si="47"/>
        <v>0</v>
      </c>
      <c r="Q613" s="154">
        <f t="shared" si="48"/>
        <v>0</v>
      </c>
    </row>
    <row r="614" spans="2:17">
      <c r="B614" s="627">
        <f t="shared" si="49"/>
        <v>609</v>
      </c>
      <c r="C614" s="429">
        <v>43229</v>
      </c>
      <c r="D614" s="816" t="s">
        <v>2572</v>
      </c>
      <c r="E614" s="807">
        <v>120100</v>
      </c>
      <c r="F614" s="629" t="str">
        <f>IFERROR(VLOOKUP(E614,STAT1!$C$4:$D$1000,2,FALSE),"")</f>
        <v xml:space="preserve">Дансны авлага MNT </v>
      </c>
      <c r="G614" s="811"/>
      <c r="H614" s="811">
        <v>167849.09</v>
      </c>
      <c r="I614" s="580">
        <f t="shared" si="50"/>
        <v>0</v>
      </c>
      <c r="J614" s="961">
        <f t="shared" si="51"/>
        <v>0</v>
      </c>
      <c r="K614" s="80"/>
      <c r="L614" s="807">
        <v>2003</v>
      </c>
      <c r="M614" s="80" t="str">
        <f>+IFERROR(VLOOKUP(L614,DATA!$G$4:$H$2000,2,FALSE),"")</f>
        <v xml:space="preserve">УБЦТС ТӨХК </v>
      </c>
      <c r="N614" s="807"/>
      <c r="O614" s="80" t="str">
        <f>IFERROR(VLOOKUP(N614,DATA!$K$4:$L$51,2,FALSE),"")</f>
        <v/>
      </c>
      <c r="P614" s="80">
        <f t="shared" si="47"/>
        <v>0</v>
      </c>
      <c r="Q614" s="154">
        <f t="shared" si="48"/>
        <v>0</v>
      </c>
    </row>
    <row r="615" spans="2:17">
      <c r="B615" s="627">
        <f t="shared" si="49"/>
        <v>610</v>
      </c>
      <c r="C615" s="429">
        <v>43231</v>
      </c>
      <c r="D615" s="816" t="s">
        <v>2513</v>
      </c>
      <c r="E615" s="807">
        <v>100100</v>
      </c>
      <c r="F615" s="629" t="str">
        <f>IFERROR(VLOOKUP(E615,STAT1!$C$4:$D$8000,2,FALSE),"")</f>
        <v>Касс мөнгө MNT</v>
      </c>
      <c r="G615" s="811"/>
      <c r="H615" s="811">
        <v>4510000</v>
      </c>
      <c r="I615" s="580">
        <f t="shared" si="50"/>
        <v>-4510000</v>
      </c>
      <c r="J615" s="961">
        <f t="shared" si="51"/>
        <v>0</v>
      </c>
      <c r="K615" s="80"/>
      <c r="L615" s="807">
        <v>3017</v>
      </c>
      <c r="M615" s="80" t="str">
        <f>+IFERROR(VLOOKUP(L615,DATA!$G$4:$H$2000,2,FALSE),"")</f>
        <v xml:space="preserve">ВОС ХХК </v>
      </c>
      <c r="N615" s="807">
        <v>53</v>
      </c>
      <c r="O615" s="80" t="str">
        <f>IFERROR(VLOOKUP(N615,DATA!$K$4:$L$51,2,FALSE),"")</f>
        <v>Бараа материал худалдан авахад төлсөн</v>
      </c>
      <c r="P615" s="80">
        <f t="shared" si="47"/>
        <v>1</v>
      </c>
      <c r="Q615" s="154">
        <f t="shared" si="48"/>
        <v>1</v>
      </c>
    </row>
    <row r="616" spans="2:17">
      <c r="B616" s="627">
        <f t="shared" si="49"/>
        <v>611</v>
      </c>
      <c r="C616" s="429">
        <v>43231</v>
      </c>
      <c r="D616" s="816" t="s">
        <v>2513</v>
      </c>
      <c r="E616" s="807">
        <v>120100</v>
      </c>
      <c r="F616" s="629" t="str">
        <f>IFERROR(VLOOKUP(E616,STAT1!$C$4:$D$8000,2,FALSE),"")</f>
        <v xml:space="preserve">Дансны авлага MNT </v>
      </c>
      <c r="G616" s="811">
        <v>4510000</v>
      </c>
      <c r="H616" s="811"/>
      <c r="I616" s="580">
        <f t="shared" si="50"/>
        <v>0</v>
      </c>
      <c r="J616" s="961">
        <f t="shared" si="51"/>
        <v>0</v>
      </c>
      <c r="K616" s="80"/>
      <c r="L616" s="807">
        <v>3017</v>
      </c>
      <c r="M616" s="80" t="str">
        <f>+IFERROR(VLOOKUP(L616,DATA!$G$4:$H$2000,2,FALSE),"")</f>
        <v xml:space="preserve">ВОС ХХК </v>
      </c>
      <c r="N616" s="807"/>
      <c r="O616" s="80" t="str">
        <f>IFERROR(VLOOKUP(N616,DATA!$K$4:$L$51,2,FALSE),"")</f>
        <v/>
      </c>
      <c r="P616" s="80">
        <f t="shared" si="47"/>
        <v>0</v>
      </c>
      <c r="Q616" s="154">
        <f t="shared" si="48"/>
        <v>0</v>
      </c>
    </row>
    <row r="617" spans="2:17">
      <c r="B617" s="627">
        <f t="shared" si="49"/>
        <v>612</v>
      </c>
      <c r="C617" s="429">
        <v>43233</v>
      </c>
      <c r="D617" s="816" t="s">
        <v>2538</v>
      </c>
      <c r="E617" s="807">
        <v>100100</v>
      </c>
      <c r="F617" s="629" t="str">
        <f>IFERROR(VLOOKUP(E617,STAT1!$C$4:$D$8000,2,FALSE),"")</f>
        <v>Касс мөнгө MNT</v>
      </c>
      <c r="G617" s="811"/>
      <c r="H617" s="811">
        <v>80000</v>
      </c>
      <c r="I617" s="580">
        <f t="shared" si="50"/>
        <v>-80000</v>
      </c>
      <c r="J617" s="961">
        <f t="shared" si="51"/>
        <v>0</v>
      </c>
      <c r="K617" s="80"/>
      <c r="L617" s="807">
        <v>1008</v>
      </c>
      <c r="M617" s="80" t="str">
        <f>+IFERROR(VLOOKUP(L617,DATA!$G$4:$H$2000,2,FALSE),"")</f>
        <v xml:space="preserve">Оюунтүлхүүр </v>
      </c>
      <c r="N617" s="807">
        <v>55</v>
      </c>
      <c r="O617" s="80" t="str">
        <f>IFERROR(VLOOKUP(N617,DATA!$K$4:$L$51,2,FALSE),"")</f>
        <v>Түлш, шатахуун, тээврийн хөлс, сэлбэг хэрэгсэлд төлсөн</v>
      </c>
      <c r="P617" s="80">
        <f t="shared" si="47"/>
        <v>1</v>
      </c>
      <c r="Q617" s="154">
        <f t="shared" si="48"/>
        <v>1</v>
      </c>
    </row>
    <row r="618" spans="2:17">
      <c r="B618" s="627">
        <f t="shared" si="49"/>
        <v>613</v>
      </c>
      <c r="C618" s="429">
        <v>43233</v>
      </c>
      <c r="D618" s="816" t="s">
        <v>2538</v>
      </c>
      <c r="E618" s="807">
        <v>120600</v>
      </c>
      <c r="F618" s="629" t="str">
        <f>IFERROR(VLOOKUP(E618,STAT1!$C$4:$D$8000,2,FALSE),"")</f>
        <v>НӨАТ авлага</v>
      </c>
      <c r="G618" s="811">
        <v>7272.73</v>
      </c>
      <c r="H618" s="811"/>
      <c r="I618" s="580">
        <f t="shared" si="50"/>
        <v>0</v>
      </c>
      <c r="J618" s="961">
        <f t="shared" si="51"/>
        <v>0</v>
      </c>
      <c r="K618" s="80"/>
      <c r="L618" s="807">
        <v>1008</v>
      </c>
      <c r="M618" s="80" t="str">
        <f>+IFERROR(VLOOKUP(L618,DATA!$G$4:$H$2000,2,FALSE),"")</f>
        <v xml:space="preserve">Оюунтүлхүүр </v>
      </c>
      <c r="N618" s="807"/>
      <c r="O618" s="80" t="str">
        <f>IFERROR(VLOOKUP(N618,DATA!$K$4:$L$51,2,FALSE),"")</f>
        <v/>
      </c>
      <c r="P618" s="80">
        <f t="shared" si="47"/>
        <v>0</v>
      </c>
      <c r="Q618" s="154">
        <f t="shared" si="48"/>
        <v>0</v>
      </c>
    </row>
    <row r="619" spans="2:17">
      <c r="B619" s="627">
        <f t="shared" si="49"/>
        <v>614</v>
      </c>
      <c r="C619" s="429">
        <v>43233</v>
      </c>
      <c r="D619" s="816" t="s">
        <v>2538</v>
      </c>
      <c r="E619" s="807">
        <v>702000</v>
      </c>
      <c r="F619" s="629" t="str">
        <f>IFERROR(VLOOKUP(E619,STAT1!$C$4:$D$8000,2,FALSE),"")</f>
        <v>Түлш, шатахуун</v>
      </c>
      <c r="G619" s="811">
        <f>80000-7272.73</f>
        <v>72727.27</v>
      </c>
      <c r="H619" s="811"/>
      <c r="I619" s="580">
        <f t="shared" si="50"/>
        <v>0</v>
      </c>
      <c r="J619" s="961">
        <f t="shared" si="51"/>
        <v>0</v>
      </c>
      <c r="K619" s="80"/>
      <c r="L619" s="807">
        <v>1008</v>
      </c>
      <c r="M619" s="80" t="str">
        <f>+IFERROR(VLOOKUP(L619,DATA!$G$4:$H$2000,2,FALSE),"")</f>
        <v xml:space="preserve">Оюунтүлхүүр </v>
      </c>
      <c r="N619" s="807"/>
      <c r="O619" s="80" t="str">
        <f>IFERROR(VLOOKUP(N619,DATA!$K$4:$L$51,2,FALSE),"")</f>
        <v/>
      </c>
      <c r="P619" s="80">
        <f t="shared" si="47"/>
        <v>0</v>
      </c>
      <c r="Q619" s="154">
        <f t="shared" si="48"/>
        <v>0</v>
      </c>
    </row>
    <row r="620" spans="2:17">
      <c r="B620" s="627">
        <f t="shared" si="49"/>
        <v>615</v>
      </c>
      <c r="C620" s="429">
        <v>43234</v>
      </c>
      <c r="D620" s="816" t="s">
        <v>2375</v>
      </c>
      <c r="E620" s="807">
        <v>100100</v>
      </c>
      <c r="F620" s="629" t="str">
        <f>IFERROR(VLOOKUP(E620,STAT1!$C$4:$D$1000,2,FALSE),"")</f>
        <v>Касс мөнгө MNT</v>
      </c>
      <c r="G620" s="811"/>
      <c r="H620" s="811">
        <v>6593461.1100000003</v>
      </c>
      <c r="I620" s="580">
        <f t="shared" si="50"/>
        <v>-6593461.1100000003</v>
      </c>
      <c r="J620" s="961">
        <f t="shared" si="51"/>
        <v>0</v>
      </c>
      <c r="K620" s="80"/>
      <c r="L620" s="807">
        <v>2004</v>
      </c>
      <c r="M620" s="80" t="str">
        <f>+IFERROR(VLOOKUP(L620,DATA!$G$4:$H$2000,2,FALSE),"")</f>
        <v xml:space="preserve">ДЦС-3 ТӨХК </v>
      </c>
      <c r="N620" s="807">
        <v>54</v>
      </c>
      <c r="O620" s="80" t="str">
        <f>IFERROR(VLOOKUP(N620,DATA!$K$4:$L$51,2,FALSE),"")</f>
        <v>Ашиглалтын зардалд төлсөн</v>
      </c>
      <c r="P620" s="80">
        <f t="shared" si="47"/>
        <v>1</v>
      </c>
      <c r="Q620" s="154">
        <f t="shared" si="48"/>
        <v>1</v>
      </c>
    </row>
    <row r="621" spans="2:17">
      <c r="B621" s="627">
        <f t="shared" si="49"/>
        <v>616</v>
      </c>
      <c r="C621" s="429">
        <v>43234</v>
      </c>
      <c r="D621" s="816" t="s">
        <v>2375</v>
      </c>
      <c r="E621" s="807">
        <v>310100</v>
      </c>
      <c r="F621" s="629" t="str">
        <f>IFERROR(VLOOKUP(E621,STAT1!$C$4:$D$1000,2,FALSE),"")</f>
        <v>Дансны өглөг MNT</v>
      </c>
      <c r="G621" s="811">
        <v>6593461.1100000003</v>
      </c>
      <c r="H621" s="811"/>
      <c r="I621" s="580">
        <f t="shared" si="50"/>
        <v>0</v>
      </c>
      <c r="J621" s="961">
        <f t="shared" si="51"/>
        <v>0</v>
      </c>
      <c r="K621" s="80"/>
      <c r="L621" s="807">
        <v>2004</v>
      </c>
      <c r="M621" s="80" t="str">
        <f>+IFERROR(VLOOKUP(L621,DATA!$G$4:$H$2000,2,FALSE),"")</f>
        <v xml:space="preserve">ДЦС-3 ТӨХК </v>
      </c>
      <c r="N621" s="807"/>
      <c r="O621" s="80" t="str">
        <f>IFERROR(VLOOKUP(N621,DATA!$K$4:$L$51,2,FALSE),"")</f>
        <v/>
      </c>
      <c r="P621" s="80">
        <f t="shared" si="47"/>
        <v>0</v>
      </c>
      <c r="Q621" s="154">
        <f t="shared" si="48"/>
        <v>0</v>
      </c>
    </row>
    <row r="622" spans="2:17">
      <c r="B622" s="627">
        <f t="shared" si="49"/>
        <v>617</v>
      </c>
      <c r="C622" s="429">
        <v>43234</v>
      </c>
      <c r="D622" s="816" t="s">
        <v>2538</v>
      </c>
      <c r="E622" s="807">
        <v>100100</v>
      </c>
      <c r="F622" s="629" t="str">
        <f>IFERROR(VLOOKUP(E622,STAT1!$C$4:$D$1000,2,FALSE),"")</f>
        <v>Касс мөнгө MNT</v>
      </c>
      <c r="G622" s="811"/>
      <c r="H622" s="811">
        <v>80000</v>
      </c>
      <c r="I622" s="580">
        <f t="shared" si="50"/>
        <v>-80000</v>
      </c>
      <c r="J622" s="961">
        <f t="shared" si="51"/>
        <v>0</v>
      </c>
      <c r="K622" s="80"/>
      <c r="L622" s="807">
        <v>1008</v>
      </c>
      <c r="M622" s="80" t="str">
        <f>+IFERROR(VLOOKUP(L622,DATA!$G$4:$H$2000,2,FALSE),"")</f>
        <v xml:space="preserve">Оюунтүлхүүр </v>
      </c>
      <c r="N622" s="807">
        <v>55</v>
      </c>
      <c r="O622" s="80" t="str">
        <f>IFERROR(VLOOKUP(N622,DATA!$K$4:$L$51,2,FALSE),"")</f>
        <v>Түлш, шатахуун, тээврийн хөлс, сэлбэг хэрэгсэлд төлсөн</v>
      </c>
      <c r="P622" s="80">
        <f t="shared" si="47"/>
        <v>1</v>
      </c>
      <c r="Q622" s="154">
        <f t="shared" si="48"/>
        <v>1</v>
      </c>
    </row>
    <row r="623" spans="2:17">
      <c r="B623" s="627">
        <f t="shared" si="49"/>
        <v>618</v>
      </c>
      <c r="C623" s="429">
        <v>43234</v>
      </c>
      <c r="D623" s="816" t="s">
        <v>2538</v>
      </c>
      <c r="E623" s="807">
        <v>120600</v>
      </c>
      <c r="F623" s="629" t="str">
        <f>IFERROR(VLOOKUP(E623,STAT1!$C$4:$D$1000,2,FALSE),"")</f>
        <v>НӨАТ авлага</v>
      </c>
      <c r="G623" s="811">
        <v>7272.73</v>
      </c>
      <c r="H623" s="811"/>
      <c r="I623" s="580">
        <f t="shared" si="50"/>
        <v>0</v>
      </c>
      <c r="J623" s="961">
        <f t="shared" si="51"/>
        <v>0</v>
      </c>
      <c r="K623" s="80"/>
      <c r="L623" s="807">
        <v>1008</v>
      </c>
      <c r="M623" s="80" t="str">
        <f>+IFERROR(VLOOKUP(L623,DATA!$G$4:$H$2000,2,FALSE),"")</f>
        <v xml:space="preserve">Оюунтүлхүүр </v>
      </c>
      <c r="N623" s="807"/>
      <c r="O623" s="80" t="str">
        <f>IFERROR(VLOOKUP(N623,DATA!$K$4:$L$51,2,FALSE),"")</f>
        <v/>
      </c>
      <c r="P623" s="80">
        <f t="shared" si="47"/>
        <v>0</v>
      </c>
      <c r="Q623" s="154">
        <f t="shared" si="48"/>
        <v>0</v>
      </c>
    </row>
    <row r="624" spans="2:17">
      <c r="B624" s="627">
        <f t="shared" si="49"/>
        <v>619</v>
      </c>
      <c r="C624" s="429">
        <v>43234</v>
      </c>
      <c r="D624" s="816" t="s">
        <v>2538</v>
      </c>
      <c r="E624" s="807">
        <v>140401</v>
      </c>
      <c r="F624" s="629" t="str">
        <f>IFERROR(VLOOKUP(E624,STAT1!$C$4:$D$1000,2,FALSE),"")</f>
        <v>ҮНЗардал БОЛОВСРУУЛАХ ЦЕХ /нарс/</v>
      </c>
      <c r="G624" s="811">
        <v>72727.27</v>
      </c>
      <c r="H624" s="811"/>
      <c r="I624" s="580">
        <f t="shared" si="50"/>
        <v>0</v>
      </c>
      <c r="J624" s="961">
        <f t="shared" si="51"/>
        <v>0</v>
      </c>
      <c r="K624" s="80"/>
      <c r="L624" s="807">
        <v>1008</v>
      </c>
      <c r="M624" s="80" t="str">
        <f>+IFERROR(VLOOKUP(L624,DATA!$G$4:$H$2000,2,FALSE),"")</f>
        <v xml:space="preserve">Оюунтүлхүүр </v>
      </c>
      <c r="N624" s="807"/>
      <c r="O624" s="80" t="str">
        <f>IFERROR(VLOOKUP(N624,DATA!$K$4:$L$51,2,FALSE),"")</f>
        <v/>
      </c>
      <c r="P624" s="80">
        <f t="shared" si="47"/>
        <v>0</v>
      </c>
      <c r="Q624" s="154">
        <f t="shared" si="48"/>
        <v>0</v>
      </c>
    </row>
    <row r="625" spans="2:17">
      <c r="B625" s="627">
        <f t="shared" si="49"/>
        <v>620</v>
      </c>
      <c r="C625" s="429">
        <v>43235</v>
      </c>
      <c r="D625" s="816" t="s">
        <v>2578</v>
      </c>
      <c r="E625" s="807">
        <v>160100</v>
      </c>
      <c r="F625" s="629" t="str">
        <f>IFERROR(VLOOKUP(E625,STAT1!$C$4:$D$1000,2,FALSE),"")</f>
        <v xml:space="preserve">Барилгын материал </v>
      </c>
      <c r="G625" s="811">
        <v>4100000</v>
      </c>
      <c r="H625" s="811"/>
      <c r="I625" s="580">
        <f t="shared" si="50"/>
        <v>0</v>
      </c>
      <c r="J625" s="961">
        <f t="shared" si="51"/>
        <v>0</v>
      </c>
      <c r="K625" s="80"/>
      <c r="L625" s="807">
        <v>3017</v>
      </c>
      <c r="M625" s="80" t="str">
        <f>+IFERROR(VLOOKUP(L625,DATA!$G$4:$H$2000,2,FALSE),"")</f>
        <v xml:space="preserve">ВОС ХХК </v>
      </c>
      <c r="N625" s="807"/>
      <c r="O625" s="80"/>
      <c r="P625" s="80">
        <f t="shared" si="47"/>
        <v>0</v>
      </c>
      <c r="Q625" s="154">
        <f t="shared" si="48"/>
        <v>0</v>
      </c>
    </row>
    <row r="626" spans="2:17">
      <c r="B626" s="627">
        <f t="shared" si="49"/>
        <v>621</v>
      </c>
      <c r="C626" s="429">
        <v>43235</v>
      </c>
      <c r="D626" s="816" t="s">
        <v>2578</v>
      </c>
      <c r="E626" s="807">
        <v>120600</v>
      </c>
      <c r="F626" s="629" t="str">
        <f>IFERROR(VLOOKUP(E626,STAT1!$C$4:$D$1000,2,FALSE),"")</f>
        <v>НӨАТ авлага</v>
      </c>
      <c r="G626" s="811">
        <v>410000</v>
      </c>
      <c r="H626" s="811"/>
      <c r="I626" s="580">
        <f t="shared" si="50"/>
        <v>0</v>
      </c>
      <c r="J626" s="961">
        <f t="shared" si="51"/>
        <v>0</v>
      </c>
      <c r="K626" s="80"/>
      <c r="L626" s="807">
        <v>3017</v>
      </c>
      <c r="M626" s="80" t="str">
        <f>+IFERROR(VLOOKUP(L626,DATA!$G$4:$H$2000,2,FALSE),"")</f>
        <v xml:space="preserve">ВОС ХХК </v>
      </c>
      <c r="N626" s="807"/>
      <c r="O626" s="80" t="str">
        <f>IFERROR(VLOOKUP(N626,DATA!$K$4:$L$51,2,FALSE),"")</f>
        <v/>
      </c>
      <c r="P626" s="80">
        <f t="shared" si="47"/>
        <v>0</v>
      </c>
      <c r="Q626" s="154">
        <f t="shared" si="48"/>
        <v>0</v>
      </c>
    </row>
    <row r="627" spans="2:17">
      <c r="B627" s="627">
        <f t="shared" si="49"/>
        <v>622</v>
      </c>
      <c r="C627" s="429">
        <v>43235</v>
      </c>
      <c r="D627" s="816" t="s">
        <v>2578</v>
      </c>
      <c r="E627" s="807">
        <v>120100</v>
      </c>
      <c r="F627" s="629" t="str">
        <f>IFERROR(VLOOKUP(E627,STAT1!$C$4:$D$1000,2,FALSE),"")</f>
        <v xml:space="preserve">Дансны авлага MNT </v>
      </c>
      <c r="G627" s="811"/>
      <c r="H627" s="811">
        <v>4510000</v>
      </c>
      <c r="I627" s="580">
        <f t="shared" si="50"/>
        <v>0</v>
      </c>
      <c r="J627" s="961">
        <f t="shared" si="51"/>
        <v>0</v>
      </c>
      <c r="K627" s="80"/>
      <c r="L627" s="807">
        <v>3017</v>
      </c>
      <c r="M627" s="80" t="str">
        <f>+IFERROR(VLOOKUP(L627,DATA!$G$4:$H$2000,2,FALSE),"")</f>
        <v xml:space="preserve">ВОС ХХК </v>
      </c>
      <c r="N627" s="807"/>
      <c r="O627" s="80" t="str">
        <f>IFERROR(VLOOKUP(N627,DATA!$K$4:$L$51,2,FALSE),"")</f>
        <v/>
      </c>
      <c r="P627" s="80">
        <f t="shared" si="47"/>
        <v>0</v>
      </c>
      <c r="Q627" s="154">
        <f t="shared" si="48"/>
        <v>0</v>
      </c>
    </row>
    <row r="628" spans="2:17">
      <c r="B628" s="627">
        <f t="shared" si="49"/>
        <v>623</v>
      </c>
      <c r="C628" s="582">
        <v>43235</v>
      </c>
      <c r="D628" s="815" t="s">
        <v>1331</v>
      </c>
      <c r="E628" s="630">
        <v>100100</v>
      </c>
      <c r="F628" s="629" t="str">
        <f>IFERROR(VLOOKUP(E628,STAT1!$C$4:$D$8000,2,FALSE),"")</f>
        <v>Касс мөнгө MNT</v>
      </c>
      <c r="G628" s="376"/>
      <c r="H628" s="376">
        <v>41170</v>
      </c>
      <c r="I628" s="580">
        <f t="shared" si="50"/>
        <v>-41170</v>
      </c>
      <c r="J628" s="961">
        <f t="shared" si="51"/>
        <v>0</v>
      </c>
      <c r="K628" s="80"/>
      <c r="L628" s="630">
        <v>1008</v>
      </c>
      <c r="M628" s="80" t="str">
        <f>+IFERROR(VLOOKUP(L628,DATA!$G$4:$H$2000,2,FALSE),"")</f>
        <v xml:space="preserve">Оюунтүлхүүр </v>
      </c>
      <c r="N628" s="630">
        <v>59</v>
      </c>
      <c r="O628" s="80" t="str">
        <f>IFERROR(VLOOKUP(N628,DATA!$K$4:$L$51,2,FALSE),"")</f>
        <v>Бусад мөнгөн зарлага</v>
      </c>
      <c r="P628" s="80">
        <f t="shared" si="47"/>
        <v>1</v>
      </c>
      <c r="Q628" s="154">
        <f t="shared" si="48"/>
        <v>1</v>
      </c>
    </row>
    <row r="629" spans="2:17">
      <c r="B629" s="627">
        <f t="shared" si="49"/>
        <v>624</v>
      </c>
      <c r="C629" s="582">
        <v>43235</v>
      </c>
      <c r="D629" s="815" t="s">
        <v>1331</v>
      </c>
      <c r="E629" s="630">
        <v>120600</v>
      </c>
      <c r="F629" s="629" t="str">
        <f>IFERROR(VLOOKUP(E629,STAT1!$C$4:$D$8000,2,FALSE),"")</f>
        <v>НӨАТ авлага</v>
      </c>
      <c r="G629" s="376">
        <v>3742.73</v>
      </c>
      <c r="H629" s="376"/>
      <c r="I629" s="580">
        <f t="shared" si="50"/>
        <v>0</v>
      </c>
      <c r="J629" s="961">
        <f t="shared" si="51"/>
        <v>0</v>
      </c>
      <c r="K629" s="80"/>
      <c r="L629" s="630">
        <v>1008</v>
      </c>
      <c r="M629" s="80" t="str">
        <f>+IFERROR(VLOOKUP(L629,DATA!$G$4:$H$2000,2,FALSE),"")</f>
        <v xml:space="preserve">Оюунтүлхүүр </v>
      </c>
      <c r="N629" s="630"/>
      <c r="O629" s="80" t="str">
        <f>IFERROR(VLOOKUP(N629,DATA!$K$4:$L$51,2,FALSE),"")</f>
        <v/>
      </c>
      <c r="P629" s="80">
        <f t="shared" si="47"/>
        <v>0</v>
      </c>
      <c r="Q629" s="154">
        <f t="shared" si="48"/>
        <v>0</v>
      </c>
    </row>
    <row r="630" spans="2:17">
      <c r="B630" s="627">
        <f t="shared" si="49"/>
        <v>625</v>
      </c>
      <c r="C630" s="582">
        <v>43235</v>
      </c>
      <c r="D630" s="815" t="s">
        <v>1331</v>
      </c>
      <c r="E630" s="630">
        <v>701900</v>
      </c>
      <c r="F630" s="629" t="str">
        <f>IFERROR(VLOOKUP(E630,STAT1!$C$4:$D$8000,2,FALSE),"")</f>
        <v>Харилцаа холбоо</v>
      </c>
      <c r="G630" s="376">
        <f>41170-3742.73</f>
        <v>37427.269999999997</v>
      </c>
      <c r="H630" s="376"/>
      <c r="I630" s="580">
        <f t="shared" si="50"/>
        <v>0</v>
      </c>
      <c r="J630" s="961">
        <f t="shared" si="51"/>
        <v>0</v>
      </c>
      <c r="K630" s="80"/>
      <c r="L630" s="630">
        <v>1008</v>
      </c>
      <c r="M630" s="80" t="str">
        <f>+IFERROR(VLOOKUP(L630,DATA!$G$4:$H$2000,2,FALSE),"")</f>
        <v xml:space="preserve">Оюунтүлхүүр </v>
      </c>
      <c r="N630" s="630"/>
      <c r="O630" s="80" t="str">
        <f>IFERROR(VLOOKUP(N630,DATA!$K$4:$L$51,2,FALSE),"")</f>
        <v/>
      </c>
      <c r="P630" s="80">
        <f t="shared" si="47"/>
        <v>0</v>
      </c>
      <c r="Q630" s="154">
        <f t="shared" si="48"/>
        <v>0</v>
      </c>
    </row>
    <row r="631" spans="2:17">
      <c r="B631" s="627">
        <f t="shared" si="49"/>
        <v>626</v>
      </c>
      <c r="C631" s="429">
        <v>43235</v>
      </c>
      <c r="D631" s="816" t="s">
        <v>2549</v>
      </c>
      <c r="E631" s="807">
        <v>150101</v>
      </c>
      <c r="F631" s="629" t="str">
        <f>IFERROR(VLOOKUP(E631,STAT1!$C$4:$D$1000,2,FALSE),"")</f>
        <v>Бараа бэлэн бүтээгдэхүүн БОЛОВСРУУЛАХ ЦЕХ /нарс/</v>
      </c>
      <c r="G631" s="811"/>
      <c r="H631" s="811">
        <v>372485</v>
      </c>
      <c r="I631" s="580">
        <f t="shared" si="50"/>
        <v>0</v>
      </c>
      <c r="J631" s="961">
        <f t="shared" si="51"/>
        <v>0</v>
      </c>
      <c r="K631" s="80"/>
      <c r="L631" s="807">
        <v>3126</v>
      </c>
      <c r="M631" s="80" t="str">
        <f>+IFERROR(VLOOKUP(L631,DATA!$G$4:$H$2000,2,FALSE),"")</f>
        <v>МАТРИКС</v>
      </c>
      <c r="N631" s="807"/>
      <c r="O631" s="80" t="str">
        <f>IFERROR(VLOOKUP(N631,DATA!$K$4:$L$51,2,FALSE),"")</f>
        <v/>
      </c>
      <c r="P631" s="80">
        <f t="shared" si="47"/>
        <v>0</v>
      </c>
      <c r="Q631" s="154">
        <f t="shared" si="48"/>
        <v>0</v>
      </c>
    </row>
    <row r="632" spans="2:17">
      <c r="B632" s="627">
        <f t="shared" si="49"/>
        <v>627</v>
      </c>
      <c r="C632" s="429">
        <v>43235</v>
      </c>
      <c r="D632" s="816" t="s">
        <v>2549</v>
      </c>
      <c r="E632" s="807">
        <v>150101</v>
      </c>
      <c r="F632" s="629" t="str">
        <f>IFERROR(VLOOKUP(E632,STAT1!$C$4:$D$1000,2,FALSE),"")</f>
        <v>Бараа бэлэн бүтээгдэхүүн БОЛОВСРУУЛАХ ЦЕХ /нарс/</v>
      </c>
      <c r="G632" s="811"/>
      <c r="H632" s="811">
        <v>1174260.75</v>
      </c>
      <c r="I632" s="580">
        <f t="shared" si="50"/>
        <v>0</v>
      </c>
      <c r="J632" s="961">
        <f t="shared" si="51"/>
        <v>0</v>
      </c>
      <c r="K632" s="80"/>
      <c r="L632" s="807">
        <v>3126</v>
      </c>
      <c r="M632" s="80" t="str">
        <f>+IFERROR(VLOOKUP(L632,DATA!$G$4:$H$2000,2,FALSE),"")</f>
        <v>МАТРИКС</v>
      </c>
      <c r="N632" s="807"/>
      <c r="O632" s="80" t="str">
        <f>IFERROR(VLOOKUP(N632,DATA!$K$4:$L$51,2,FALSE),"")</f>
        <v/>
      </c>
      <c r="P632" s="80">
        <f t="shared" ref="P632:P681" si="52">+IF(I632,1,0)</f>
        <v>0</v>
      </c>
      <c r="Q632" s="154">
        <f t="shared" ref="Q632:Q681" si="53">+IF(I632,1,0)</f>
        <v>0</v>
      </c>
    </row>
    <row r="633" spans="2:17">
      <c r="B633" s="627">
        <f t="shared" si="49"/>
        <v>628</v>
      </c>
      <c r="C633" s="429">
        <v>43235</v>
      </c>
      <c r="D633" s="816" t="s">
        <v>2549</v>
      </c>
      <c r="E633" s="807">
        <v>610100</v>
      </c>
      <c r="F633" s="629" t="str">
        <f>IFERROR(VLOOKUP(E633,STAT1!$C$4:$D$1000,2,FALSE),"")</f>
        <v>Борлуулсан барааны өртөг</v>
      </c>
      <c r="G633" s="811">
        <v>1546745.75</v>
      </c>
      <c r="H633" s="811"/>
      <c r="I633" s="580">
        <f t="shared" si="50"/>
        <v>0</v>
      </c>
      <c r="J633" s="961">
        <f t="shared" si="51"/>
        <v>0</v>
      </c>
      <c r="K633" s="80"/>
      <c r="L633" s="807">
        <v>3126</v>
      </c>
      <c r="M633" s="80" t="str">
        <f>+IFERROR(VLOOKUP(L633,DATA!$G$4:$H$2000,2,FALSE),"")</f>
        <v>МАТРИКС</v>
      </c>
      <c r="N633" s="807"/>
      <c r="O633" s="80" t="str">
        <f>IFERROR(VLOOKUP(N633,DATA!$K$4:$L$51,2,FALSE),"")</f>
        <v/>
      </c>
      <c r="P633" s="80">
        <f t="shared" si="52"/>
        <v>0</v>
      </c>
      <c r="Q633" s="154">
        <f t="shared" si="53"/>
        <v>0</v>
      </c>
    </row>
    <row r="634" spans="2:17">
      <c r="B634" s="627">
        <f t="shared" si="49"/>
        <v>629</v>
      </c>
      <c r="C634" s="429">
        <v>43235</v>
      </c>
      <c r="D634" s="816" t="s">
        <v>2549</v>
      </c>
      <c r="E634" s="807">
        <v>310500</v>
      </c>
      <c r="F634" s="629" t="str">
        <f>IFERROR(VLOOKUP(E634,STAT1!$C$4:$D$1000,2,FALSE),"")</f>
        <v>НӨАТ өглөг</v>
      </c>
      <c r="G634" s="811"/>
      <c r="H634" s="811">
        <v>247095</v>
      </c>
      <c r="I634" s="580">
        <f t="shared" si="50"/>
        <v>0</v>
      </c>
      <c r="J634" s="961">
        <f t="shared" si="51"/>
        <v>0</v>
      </c>
      <c r="K634" s="80"/>
      <c r="L634" s="807">
        <v>3126</v>
      </c>
      <c r="M634" s="80" t="str">
        <f>+IFERROR(VLOOKUP(L634,DATA!$G$4:$H$2000,2,FALSE),"")</f>
        <v>МАТРИКС</v>
      </c>
      <c r="N634" s="807"/>
      <c r="O634" s="80" t="str">
        <f>IFERROR(VLOOKUP(N634,DATA!$K$4:$L$51,2,FALSE),"")</f>
        <v/>
      </c>
      <c r="P634" s="80">
        <f t="shared" si="52"/>
        <v>0</v>
      </c>
      <c r="Q634" s="154">
        <f t="shared" si="53"/>
        <v>0</v>
      </c>
    </row>
    <row r="635" spans="2:17">
      <c r="B635" s="627">
        <f t="shared" si="49"/>
        <v>630</v>
      </c>
      <c r="C635" s="582">
        <v>43235</v>
      </c>
      <c r="D635" s="816" t="s">
        <v>2549</v>
      </c>
      <c r="E635" s="630">
        <v>510000</v>
      </c>
      <c r="F635" s="629" t="str">
        <f>IFERROR(VLOOKUP(E635,STAT1!$C$4:$D$1000,2,FALSE),"")</f>
        <v>Үндсэн үйл ажиллагааны борлуулалт</v>
      </c>
      <c r="G635" s="376"/>
      <c r="H635" s="376">
        <v>2470950</v>
      </c>
      <c r="I635" s="580">
        <f t="shared" si="50"/>
        <v>0</v>
      </c>
      <c r="J635" s="961">
        <f t="shared" si="51"/>
        <v>0</v>
      </c>
      <c r="K635" s="80"/>
      <c r="L635" s="630">
        <v>3126</v>
      </c>
      <c r="M635" s="80" t="str">
        <f>+IFERROR(VLOOKUP(L635,DATA!$G$4:$H$2000,2,FALSE),"")</f>
        <v>МАТРИКС</v>
      </c>
      <c r="N635" s="630"/>
      <c r="O635" s="80" t="str">
        <f>IFERROR(VLOOKUP(N635,DATA!$K$4:$L$51,2,FALSE),"")</f>
        <v/>
      </c>
      <c r="P635" s="80">
        <f t="shared" si="52"/>
        <v>0</v>
      </c>
      <c r="Q635" s="154">
        <f t="shared" si="53"/>
        <v>0</v>
      </c>
    </row>
    <row r="636" spans="2:17">
      <c r="B636" s="627">
        <f t="shared" si="49"/>
        <v>631</v>
      </c>
      <c r="C636" s="582">
        <v>43235</v>
      </c>
      <c r="D636" s="816" t="s">
        <v>2549</v>
      </c>
      <c r="E636" s="630">
        <v>320100</v>
      </c>
      <c r="F636" s="629" t="str">
        <f>IFERROR(VLOOKUP(E636,STAT1!$C$4:$D$1000,2,FALSE),"")</f>
        <v>Урьдчилж орсон орлого MNT</v>
      </c>
      <c r="G636" s="376">
        <v>2718045</v>
      </c>
      <c r="H636" s="376"/>
      <c r="I636" s="580">
        <f t="shared" si="50"/>
        <v>0</v>
      </c>
      <c r="J636" s="961">
        <f t="shared" si="51"/>
        <v>0</v>
      </c>
      <c r="K636" s="80"/>
      <c r="L636" s="630">
        <v>3126</v>
      </c>
      <c r="M636" s="80" t="str">
        <f>+IFERROR(VLOOKUP(L636,DATA!$G$4:$H$2000,2,FALSE),"")</f>
        <v>МАТРИКС</v>
      </c>
      <c r="N636" s="630"/>
      <c r="O636" s="80" t="str">
        <f>IFERROR(VLOOKUP(N636,DATA!$K$4:$L$51,2,FALSE),"")</f>
        <v/>
      </c>
      <c r="P636" s="80">
        <f t="shared" si="52"/>
        <v>0</v>
      </c>
      <c r="Q636" s="154">
        <f t="shared" si="53"/>
        <v>0</v>
      </c>
    </row>
    <row r="637" spans="2:17">
      <c r="B637" s="627">
        <f t="shared" si="49"/>
        <v>632</v>
      </c>
      <c r="C637" s="582">
        <v>43236</v>
      </c>
      <c r="D637" s="816" t="s">
        <v>2549</v>
      </c>
      <c r="E637" s="630">
        <v>150101</v>
      </c>
      <c r="F637" s="629" t="str">
        <f>IFERROR(VLOOKUP(E637,STAT1!$C$4:$D$1000,2,FALSE),"")</f>
        <v>Бараа бэлэн бүтээгдэхүүн БОЛОВСРУУЛАХ ЦЕХ /нарс/</v>
      </c>
      <c r="G637" s="376"/>
      <c r="H637" s="376">
        <v>94317.09</v>
      </c>
      <c r="I637" s="580">
        <f t="shared" si="50"/>
        <v>0</v>
      </c>
      <c r="J637" s="961">
        <f t="shared" si="51"/>
        <v>0</v>
      </c>
      <c r="K637" s="80"/>
      <c r="L637" s="630">
        <v>3089</v>
      </c>
      <c r="M637" s="80" t="str">
        <f>+IFERROR(VLOOKUP(L637,DATA!$G$4:$H$2000,2,FALSE),"")</f>
        <v>ГУУЛИЙН ДӨШ ХХК</v>
      </c>
      <c r="N637" s="630"/>
      <c r="O637" s="80" t="str">
        <f>IFERROR(VLOOKUP(N637,DATA!$K$4:$L$51,2,FALSE),"")</f>
        <v/>
      </c>
      <c r="P637" s="80">
        <f t="shared" si="52"/>
        <v>0</v>
      </c>
      <c r="Q637" s="154">
        <f t="shared" si="53"/>
        <v>0</v>
      </c>
    </row>
    <row r="638" spans="2:17">
      <c r="B638" s="627">
        <f t="shared" si="49"/>
        <v>633</v>
      </c>
      <c r="C638" s="582">
        <v>43236</v>
      </c>
      <c r="D638" s="816" t="s">
        <v>2549</v>
      </c>
      <c r="E638" s="630">
        <v>610100</v>
      </c>
      <c r="F638" s="629" t="str">
        <f>IFERROR(VLOOKUP(E638,STAT1!$C$4:$D$1000,2,FALSE),"")</f>
        <v>Борлуулсан барааны өртөг</v>
      </c>
      <c r="G638" s="376">
        <v>94317.09</v>
      </c>
      <c r="H638" s="376"/>
      <c r="I638" s="580">
        <f t="shared" si="50"/>
        <v>0</v>
      </c>
      <c r="J638" s="961">
        <f t="shared" si="51"/>
        <v>0</v>
      </c>
      <c r="K638" s="80"/>
      <c r="L638" s="630">
        <v>3089</v>
      </c>
      <c r="M638" s="80" t="str">
        <f>+IFERROR(VLOOKUP(L638,DATA!$G$4:$H$2000,2,FALSE),"")</f>
        <v>ГУУЛИЙН ДӨШ ХХК</v>
      </c>
      <c r="N638" s="630"/>
      <c r="O638" s="80" t="str">
        <f>IFERROR(VLOOKUP(N638,DATA!$K$4:$L$51,2,FALSE),"")</f>
        <v/>
      </c>
      <c r="P638" s="80">
        <f t="shared" si="52"/>
        <v>0</v>
      </c>
      <c r="Q638" s="154">
        <f t="shared" si="53"/>
        <v>0</v>
      </c>
    </row>
    <row r="639" spans="2:17">
      <c r="B639" s="627">
        <f t="shared" si="49"/>
        <v>634</v>
      </c>
      <c r="C639" s="582">
        <v>43236</v>
      </c>
      <c r="D639" s="816" t="s">
        <v>2549</v>
      </c>
      <c r="E639" s="630">
        <v>310500</v>
      </c>
      <c r="F639" s="629" t="str">
        <f>IFERROR(VLOOKUP(E639,STAT1!$C$4:$D$1000,2,FALSE),"")</f>
        <v>НӨАТ өглөг</v>
      </c>
      <c r="G639" s="376"/>
      <c r="H639" s="376">
        <v>11400</v>
      </c>
      <c r="I639" s="580">
        <f t="shared" si="50"/>
        <v>0</v>
      </c>
      <c r="J639" s="961">
        <f t="shared" si="51"/>
        <v>0</v>
      </c>
      <c r="K639" s="80"/>
      <c r="L639" s="630">
        <v>3089</v>
      </c>
      <c r="M639" s="80" t="str">
        <f>+IFERROR(VLOOKUP(L639,DATA!$G$4:$H$2000,2,FALSE),"")</f>
        <v>ГУУЛИЙН ДӨШ ХХК</v>
      </c>
      <c r="N639" s="630"/>
      <c r="O639" s="80" t="str">
        <f>IFERROR(VLOOKUP(N639,DATA!$K$4:$L$51,2,FALSE),"")</f>
        <v/>
      </c>
      <c r="P639" s="80">
        <f t="shared" si="52"/>
        <v>0</v>
      </c>
      <c r="Q639" s="154">
        <f t="shared" si="53"/>
        <v>0</v>
      </c>
    </row>
    <row r="640" spans="2:17">
      <c r="B640" s="627">
        <f t="shared" si="49"/>
        <v>635</v>
      </c>
      <c r="C640" s="429">
        <v>43236</v>
      </c>
      <c r="D640" s="816" t="s">
        <v>2549</v>
      </c>
      <c r="E640" s="807">
        <v>510000</v>
      </c>
      <c r="F640" s="629" t="str">
        <f>IFERROR(VLOOKUP(E640,STAT1!$C$4:$D$8000,2,FALSE),"")</f>
        <v>Үндсэн үйл ажиллагааны борлуулалт</v>
      </c>
      <c r="G640" s="811"/>
      <c r="H640" s="811">
        <v>114000</v>
      </c>
      <c r="I640" s="580">
        <f t="shared" si="50"/>
        <v>0</v>
      </c>
      <c r="J640" s="961">
        <f t="shared" si="51"/>
        <v>0</v>
      </c>
      <c r="K640" s="80"/>
      <c r="L640" s="807">
        <v>3089</v>
      </c>
      <c r="M640" s="80" t="str">
        <f>+IFERROR(VLOOKUP(L640,DATA!$G$4:$H$2000,2,FALSE),"")</f>
        <v>ГУУЛИЙН ДӨШ ХХК</v>
      </c>
      <c r="N640" s="807"/>
      <c r="O640" s="80" t="str">
        <f>IFERROR(VLOOKUP(N640,DATA!$K$4:$L$51,2,FALSE),"")</f>
        <v/>
      </c>
      <c r="P640" s="80">
        <f t="shared" si="52"/>
        <v>0</v>
      </c>
      <c r="Q640" s="154">
        <f t="shared" si="53"/>
        <v>0</v>
      </c>
    </row>
    <row r="641" spans="2:17">
      <c r="B641" s="627">
        <f t="shared" si="49"/>
        <v>636</v>
      </c>
      <c r="C641" s="429">
        <v>43236</v>
      </c>
      <c r="D641" s="816" t="s">
        <v>2549</v>
      </c>
      <c r="E641" s="807">
        <v>320100</v>
      </c>
      <c r="F641" s="629" t="str">
        <f>IFERROR(VLOOKUP(E641,STAT1!$C$4:$D$8000,2,FALSE),"")</f>
        <v>Урьдчилж орсон орлого MNT</v>
      </c>
      <c r="G641" s="811">
        <v>125400</v>
      </c>
      <c r="H641" s="811"/>
      <c r="I641" s="580">
        <f t="shared" si="50"/>
        <v>0</v>
      </c>
      <c r="J641" s="961">
        <f t="shared" si="51"/>
        <v>0</v>
      </c>
      <c r="K641" s="80"/>
      <c r="L641" s="807">
        <v>3089</v>
      </c>
      <c r="M641" s="80" t="str">
        <f>+IFERROR(VLOOKUP(L641,DATA!$G$4:$H$2000,2,FALSE),"")</f>
        <v>ГУУЛИЙН ДӨШ ХХК</v>
      </c>
      <c r="N641" s="807"/>
      <c r="O641" s="80" t="str">
        <f>IFERROR(VLOOKUP(N641,DATA!$K$4:$L$51,2,FALSE),"")</f>
        <v/>
      </c>
      <c r="P641" s="80">
        <f t="shared" si="52"/>
        <v>0</v>
      </c>
      <c r="Q641" s="154">
        <f t="shared" si="53"/>
        <v>0</v>
      </c>
    </row>
    <row r="642" spans="2:17">
      <c r="B642" s="627">
        <f t="shared" si="49"/>
        <v>637</v>
      </c>
      <c r="C642" s="429">
        <v>43238</v>
      </c>
      <c r="D642" s="816" t="s">
        <v>2510</v>
      </c>
      <c r="E642" s="807">
        <v>100100</v>
      </c>
      <c r="F642" s="629" t="str">
        <f>IFERROR(VLOOKUP(E642,STAT1!$C$4:$D$8000,2,FALSE),"")</f>
        <v>Касс мөнгө MNT</v>
      </c>
      <c r="G642" s="811"/>
      <c r="H642" s="811">
        <v>2099293.9</v>
      </c>
      <c r="I642" s="580">
        <f t="shared" si="50"/>
        <v>-2099293.9</v>
      </c>
      <c r="J642" s="961">
        <f t="shared" si="51"/>
        <v>0</v>
      </c>
      <c r="K642" s="80"/>
      <c r="L642" s="807">
        <v>2003</v>
      </c>
      <c r="M642" s="80" t="str">
        <f>+IFERROR(VLOOKUP(L642,DATA!$G$4:$H$2000,2,FALSE),"")</f>
        <v xml:space="preserve">УБЦТС ТӨХК </v>
      </c>
      <c r="N642" s="807">
        <v>54</v>
      </c>
      <c r="O642" s="80" t="str">
        <f>IFERROR(VLOOKUP(N642,DATA!$K$4:$L$51,2,FALSE),"")</f>
        <v>Ашиглалтын зардалд төлсөн</v>
      </c>
      <c r="P642" s="80">
        <f t="shared" si="52"/>
        <v>1</v>
      </c>
      <c r="Q642" s="154">
        <f t="shared" si="53"/>
        <v>1</v>
      </c>
    </row>
    <row r="643" spans="2:17">
      <c r="B643" s="627">
        <f t="shared" si="49"/>
        <v>638</v>
      </c>
      <c r="C643" s="429">
        <v>43238</v>
      </c>
      <c r="D643" s="816" t="s">
        <v>2510</v>
      </c>
      <c r="E643" s="807">
        <v>120600</v>
      </c>
      <c r="F643" s="629" t="str">
        <f>IFERROR(VLOOKUP(E643,STAT1!$C$4:$D$8000,2,FALSE),"")</f>
        <v>НӨАТ авлага</v>
      </c>
      <c r="G643" s="811">
        <v>190844.91</v>
      </c>
      <c r="H643" s="811"/>
      <c r="I643" s="580">
        <f t="shared" si="50"/>
        <v>0</v>
      </c>
      <c r="J643" s="961">
        <f t="shared" si="51"/>
        <v>0</v>
      </c>
      <c r="K643" s="80"/>
      <c r="L643" s="807">
        <v>2003</v>
      </c>
      <c r="M643" s="80" t="str">
        <f>+IFERROR(VLOOKUP(L643,DATA!$G$4:$H$2000,2,FALSE),"")</f>
        <v xml:space="preserve">УБЦТС ТӨХК </v>
      </c>
      <c r="N643" s="807"/>
      <c r="O643" s="80" t="str">
        <f>IFERROR(VLOOKUP(N643,DATA!$K$4:$L$51,2,FALSE),"")</f>
        <v/>
      </c>
      <c r="P643" s="80">
        <f t="shared" si="52"/>
        <v>0</v>
      </c>
      <c r="Q643" s="154">
        <f t="shared" si="53"/>
        <v>0</v>
      </c>
    </row>
    <row r="644" spans="2:17">
      <c r="B644" s="627">
        <f t="shared" si="49"/>
        <v>639</v>
      </c>
      <c r="C644" s="429">
        <v>43238</v>
      </c>
      <c r="D644" s="816" t="s">
        <v>2510</v>
      </c>
      <c r="E644" s="807">
        <v>700700</v>
      </c>
      <c r="F644" s="629" t="str">
        <f>IFERROR(VLOOKUP(E644,STAT1!$C$4:$D$8000,2,FALSE),"")</f>
        <v>Цахилгаан эрчим хүч</v>
      </c>
      <c r="G644" s="811">
        <f>+H642-G643</f>
        <v>1908448.99</v>
      </c>
      <c r="H644" s="811"/>
      <c r="I644" s="580">
        <f t="shared" si="50"/>
        <v>0</v>
      </c>
      <c r="J644" s="961">
        <f t="shared" si="51"/>
        <v>0</v>
      </c>
      <c r="K644" s="80"/>
      <c r="L644" s="807">
        <v>2003</v>
      </c>
      <c r="M644" s="80" t="str">
        <f>+IFERROR(VLOOKUP(L644,DATA!$G$4:$H$2000,2,FALSE),"")</f>
        <v xml:space="preserve">УБЦТС ТӨХК </v>
      </c>
      <c r="N644" s="807"/>
      <c r="O644" s="80" t="str">
        <f>IFERROR(VLOOKUP(N644,DATA!$K$4:$L$51,2,FALSE),"")</f>
        <v/>
      </c>
      <c r="P644" s="80">
        <f t="shared" si="52"/>
        <v>0</v>
      </c>
      <c r="Q644" s="154">
        <f t="shared" si="53"/>
        <v>0</v>
      </c>
    </row>
    <row r="645" spans="2:17">
      <c r="B645" s="627">
        <f t="shared" si="49"/>
        <v>640</v>
      </c>
      <c r="C645" s="429">
        <v>43238</v>
      </c>
      <c r="D645" s="816" t="s">
        <v>2566</v>
      </c>
      <c r="E645" s="807">
        <v>100100</v>
      </c>
      <c r="F645" s="629" t="str">
        <f>IFERROR(VLOOKUP(E645,STAT1!$C$4:$D$8000,2,FALSE),"")</f>
        <v>Касс мөнгө MNT</v>
      </c>
      <c r="G645" s="811"/>
      <c r="H645" s="811">
        <v>121800</v>
      </c>
      <c r="I645" s="580">
        <f t="shared" si="50"/>
        <v>-121800</v>
      </c>
      <c r="J645" s="961">
        <f t="shared" si="51"/>
        <v>0</v>
      </c>
      <c r="K645" s="80"/>
      <c r="L645" s="807">
        <v>1008</v>
      </c>
      <c r="M645" s="80" t="str">
        <f>+IFERROR(VLOOKUP(L645,DATA!$G$4:$H$2000,2,FALSE),"")</f>
        <v xml:space="preserve">Оюунтүлхүүр </v>
      </c>
      <c r="N645" s="807">
        <v>53</v>
      </c>
      <c r="O645" s="80" t="str">
        <f>IFERROR(VLOOKUP(N645,DATA!$K$4:$L$51,2,FALSE),"")</f>
        <v>Бараа материал худалдан авахад төлсөн</v>
      </c>
      <c r="P645" s="80">
        <f t="shared" si="52"/>
        <v>1</v>
      </c>
      <c r="Q645" s="154">
        <f t="shared" si="53"/>
        <v>1</v>
      </c>
    </row>
    <row r="646" spans="2:17">
      <c r="B646" s="627">
        <f t="shared" ref="B646:B709" si="54">+IF(C646="","",ROW()-5)</f>
        <v>641</v>
      </c>
      <c r="C646" s="429">
        <v>43238</v>
      </c>
      <c r="D646" s="816" t="s">
        <v>2566</v>
      </c>
      <c r="E646" s="807">
        <v>120600</v>
      </c>
      <c r="F646" s="629" t="str">
        <f>IFERROR(VLOOKUP(E646,STAT1!$C$4:$D$8000,2,FALSE),"")</f>
        <v>НӨАТ авлага</v>
      </c>
      <c r="G646" s="811">
        <v>11047.73</v>
      </c>
      <c r="H646" s="811"/>
      <c r="I646" s="580">
        <f t="shared" ref="I646:I709" si="55">+IF(OR(E646=100100,E646=100200,E646=110100,E646=110102,E646=110103,E646=110104,E646=110105,E646=110200,E646=110201,E646=110202,E646=110203,E646=110204,E646=110300),G646,0)+IF(OR(E646=100100,E646=100200,E646=110100,E646=110102,E646=110103,E646=110104,E646=110105,E646=110200,E646=110201,E646=110202,E646=110203,E646=110204,E646=110300),H646*-1,0)</f>
        <v>0</v>
      </c>
      <c r="J646" s="961">
        <f t="shared" ref="J646:J709" si="56">+IF(E646=110102,I646/K646,0)</f>
        <v>0</v>
      </c>
      <c r="K646" s="80"/>
      <c r="L646" s="807">
        <v>1008</v>
      </c>
      <c r="M646" s="80" t="str">
        <f>+IFERROR(VLOOKUP(L646,DATA!$G$4:$H$2000,2,FALSE),"")</f>
        <v xml:space="preserve">Оюунтүлхүүр </v>
      </c>
      <c r="N646" s="807"/>
      <c r="O646" s="80" t="str">
        <f>IFERROR(VLOOKUP(N646,DATA!$K$4:$L$51,2,FALSE),"")</f>
        <v/>
      </c>
      <c r="P646" s="80">
        <f t="shared" si="52"/>
        <v>0</v>
      </c>
      <c r="Q646" s="154">
        <f t="shared" si="53"/>
        <v>0</v>
      </c>
    </row>
    <row r="647" spans="2:17">
      <c r="B647" s="627">
        <f t="shared" si="54"/>
        <v>642</v>
      </c>
      <c r="C647" s="429">
        <v>43238</v>
      </c>
      <c r="D647" s="816" t="s">
        <v>2566</v>
      </c>
      <c r="E647" s="807">
        <v>703700</v>
      </c>
      <c r="F647" s="629" t="str">
        <f>IFERROR(VLOOKUP(E647,STAT1!$C$4:$D$8000,2,FALSE),"")</f>
        <v>Бичиг хэргийн зардал</v>
      </c>
      <c r="G647" s="811">
        <f>121800-11047.73</f>
        <v>110752.27</v>
      </c>
      <c r="H647" s="811"/>
      <c r="I647" s="580">
        <f t="shared" si="55"/>
        <v>0</v>
      </c>
      <c r="J647" s="961">
        <f t="shared" si="56"/>
        <v>0</v>
      </c>
      <c r="K647" s="80"/>
      <c r="L647" s="807">
        <v>1008</v>
      </c>
      <c r="M647" s="80" t="str">
        <f>+IFERROR(VLOOKUP(L647,DATA!$G$4:$H$2000,2,FALSE),"")</f>
        <v xml:space="preserve">Оюунтүлхүүр </v>
      </c>
      <c r="N647" s="807"/>
      <c r="O647" s="80" t="str">
        <f>IFERROR(VLOOKUP(N647,DATA!$K$4:$L$51,2,FALSE),"")</f>
        <v/>
      </c>
      <c r="P647" s="80">
        <f t="shared" si="52"/>
        <v>0</v>
      </c>
      <c r="Q647" s="154">
        <f t="shared" si="53"/>
        <v>0</v>
      </c>
    </row>
    <row r="648" spans="2:17">
      <c r="B648" s="627">
        <f t="shared" si="54"/>
        <v>643</v>
      </c>
      <c r="C648" s="429">
        <v>43240</v>
      </c>
      <c r="D648" s="816" t="s">
        <v>2534</v>
      </c>
      <c r="E648" s="807">
        <v>100100</v>
      </c>
      <c r="F648" s="629" t="str">
        <f>IFERROR(VLOOKUP(E648,STAT1!$C$4:$D$1000,2,FALSE),"")</f>
        <v>Касс мөнгө MNT</v>
      </c>
      <c r="G648" s="811"/>
      <c r="H648" s="811">
        <v>1500000</v>
      </c>
      <c r="I648" s="580">
        <f t="shared" si="55"/>
        <v>-1500000</v>
      </c>
      <c r="J648" s="961">
        <f t="shared" si="56"/>
        <v>0</v>
      </c>
      <c r="K648" s="80"/>
      <c r="L648" s="807">
        <v>2012</v>
      </c>
      <c r="M648" s="80" t="str">
        <f>+IFERROR(VLOOKUP(L648,DATA!$G$4:$H$2000,2,FALSE),"")</f>
        <v>ИХ ТУГЧ ХХК</v>
      </c>
      <c r="N648" s="807">
        <v>59</v>
      </c>
      <c r="O648" s="80" t="str">
        <f>IFERROR(VLOOKUP(N648,DATA!$K$4:$L$51,2,FALSE),"")</f>
        <v>Бусад мөнгөн зарлага</v>
      </c>
      <c r="P648" s="80">
        <f t="shared" si="52"/>
        <v>1</v>
      </c>
      <c r="Q648" s="154">
        <f t="shared" si="53"/>
        <v>1</v>
      </c>
    </row>
    <row r="649" spans="2:17">
      <c r="B649" s="627">
        <f t="shared" si="54"/>
        <v>644</v>
      </c>
      <c r="C649" s="429">
        <v>43240</v>
      </c>
      <c r="D649" s="816" t="s">
        <v>2534</v>
      </c>
      <c r="E649" s="807">
        <v>705800</v>
      </c>
      <c r="F649" s="629" t="str">
        <f>IFERROR(VLOOKUP(E649,STAT1!$C$4:$D$1000,2,FALSE),"")</f>
        <v>Харуул хамгаалалт</v>
      </c>
      <c r="G649" s="811">
        <v>1500000</v>
      </c>
      <c r="H649" s="811"/>
      <c r="I649" s="580">
        <f t="shared" si="55"/>
        <v>0</v>
      </c>
      <c r="J649" s="961">
        <f t="shared" si="56"/>
        <v>0</v>
      </c>
      <c r="K649" s="80"/>
      <c r="L649" s="807">
        <v>2012</v>
      </c>
      <c r="M649" s="80" t="str">
        <f>+IFERROR(VLOOKUP(L649,DATA!$G$4:$H$2000,2,FALSE),"")</f>
        <v>ИХ ТУГЧ ХХК</v>
      </c>
      <c r="N649" s="807"/>
      <c r="O649" s="80" t="str">
        <f>IFERROR(VLOOKUP(N649,DATA!$K$4:$L$51,2,FALSE),"")</f>
        <v/>
      </c>
      <c r="P649" s="80">
        <f t="shared" si="52"/>
        <v>0</v>
      </c>
      <c r="Q649" s="154">
        <f t="shared" si="53"/>
        <v>0</v>
      </c>
    </row>
    <row r="650" spans="2:17">
      <c r="B650" s="627">
        <f t="shared" si="54"/>
        <v>645</v>
      </c>
      <c r="C650" s="429">
        <v>43240</v>
      </c>
      <c r="D650" s="816" t="s">
        <v>2379</v>
      </c>
      <c r="E650" s="807">
        <v>110100</v>
      </c>
      <c r="F650" s="629" t="str">
        <f>IFERROR(VLOOKUP(E650,STAT1!$C$4:$D$1000,2,FALSE),"")</f>
        <v>Хаан Банк 5024654020</v>
      </c>
      <c r="G650" s="811"/>
      <c r="H650" s="811">
        <v>269014.46000000002</v>
      </c>
      <c r="I650" s="580">
        <f t="shared" si="55"/>
        <v>-269014.46000000002</v>
      </c>
      <c r="J650" s="961">
        <f t="shared" si="56"/>
        <v>0</v>
      </c>
      <c r="K650" s="80"/>
      <c r="L650" s="807">
        <v>2009</v>
      </c>
      <c r="M650" s="80" t="str">
        <f>+IFERROR(VLOOKUP(L650,DATA!$G$4:$H$2000,2,FALSE),"")</f>
        <v>ХААН БАНК</v>
      </c>
      <c r="N650" s="807">
        <v>56</v>
      </c>
      <c r="O650" s="80" t="str">
        <f>IFERROR(VLOOKUP(N650,DATA!$K$4:$L$51,2,FALSE),"")</f>
        <v>Хүүний төлбөрт төлсөн</v>
      </c>
      <c r="P650" s="80">
        <f t="shared" si="52"/>
        <v>1</v>
      </c>
      <c r="Q650" s="154">
        <f t="shared" si="53"/>
        <v>1</v>
      </c>
    </row>
    <row r="651" spans="2:17">
      <c r="B651" s="627">
        <f t="shared" si="54"/>
        <v>646</v>
      </c>
      <c r="C651" s="429">
        <v>43240</v>
      </c>
      <c r="D651" s="816" t="s">
        <v>2379</v>
      </c>
      <c r="E651" s="807">
        <v>702500</v>
      </c>
      <c r="F651" s="629" t="str">
        <f>IFERROR(VLOOKUP(E651,STAT1!$C$4:$D$1000,2,FALSE),"")</f>
        <v>Зээлийн хүүгийн зардал</v>
      </c>
      <c r="G651" s="811">
        <v>269014.46000000002</v>
      </c>
      <c r="H651" s="811"/>
      <c r="I651" s="580">
        <f t="shared" si="55"/>
        <v>0</v>
      </c>
      <c r="J651" s="961">
        <f t="shared" si="56"/>
        <v>0</v>
      </c>
      <c r="K651" s="80"/>
      <c r="L651" s="807">
        <v>2009</v>
      </c>
      <c r="M651" s="80" t="str">
        <f>+IFERROR(VLOOKUP(L651,DATA!$G$4:$H$2000,2,FALSE),"")</f>
        <v>ХААН БАНК</v>
      </c>
      <c r="N651" s="807"/>
      <c r="O651" s="80" t="str">
        <f>IFERROR(VLOOKUP(N651,DATA!$K$4:$L$51,2,FALSE),"")</f>
        <v/>
      </c>
      <c r="P651" s="80">
        <f t="shared" si="52"/>
        <v>0</v>
      </c>
      <c r="Q651" s="154">
        <f t="shared" si="53"/>
        <v>0</v>
      </c>
    </row>
    <row r="652" spans="2:17">
      <c r="B652" s="627">
        <f t="shared" si="54"/>
        <v>647</v>
      </c>
      <c r="C652" s="429">
        <v>43240</v>
      </c>
      <c r="D652" s="816" t="s">
        <v>2377</v>
      </c>
      <c r="E652" s="807">
        <v>100100</v>
      </c>
      <c r="F652" s="629" t="str">
        <f>IFERROR(VLOOKUP(E652,STAT1!$C$4:$D$1000,2,FALSE),"")</f>
        <v>Касс мөнгө MNT</v>
      </c>
      <c r="G652" s="811"/>
      <c r="H652" s="811">
        <v>286000</v>
      </c>
      <c r="I652" s="580">
        <f t="shared" si="55"/>
        <v>-286000</v>
      </c>
      <c r="J652" s="961">
        <f t="shared" si="56"/>
        <v>0</v>
      </c>
      <c r="K652" s="80"/>
      <c r="L652" s="807">
        <v>1004</v>
      </c>
      <c r="M652" s="80" t="str">
        <f>+IFERROR(VLOOKUP(L652,DATA!$G$4:$H$2000,2,FALSE),"")</f>
        <v xml:space="preserve">Түмэндэлгэр </v>
      </c>
      <c r="N652" s="807">
        <v>59</v>
      </c>
      <c r="O652" s="80" t="str">
        <f>IFERROR(VLOOKUP(N652,DATA!$K$4:$L$51,2,FALSE),"")</f>
        <v>Бусад мөнгөн зарлага</v>
      </c>
      <c r="P652" s="80">
        <f t="shared" si="52"/>
        <v>1</v>
      </c>
      <c r="Q652" s="154">
        <f t="shared" si="53"/>
        <v>1</v>
      </c>
    </row>
    <row r="653" spans="2:17">
      <c r="B653" s="627">
        <f t="shared" si="54"/>
        <v>648</v>
      </c>
      <c r="C653" s="429">
        <v>43240</v>
      </c>
      <c r="D653" s="816" t="s">
        <v>2377</v>
      </c>
      <c r="E653" s="807">
        <v>120600</v>
      </c>
      <c r="F653" s="629" t="str">
        <f>IFERROR(VLOOKUP(E653,STAT1!$C$4:$D$1000,2,FALSE),"")</f>
        <v>НӨАТ авлага</v>
      </c>
      <c r="G653" s="811">
        <v>26000</v>
      </c>
      <c r="H653" s="811"/>
      <c r="I653" s="580">
        <f t="shared" si="55"/>
        <v>0</v>
      </c>
      <c r="J653" s="961">
        <f t="shared" si="56"/>
        <v>0</v>
      </c>
      <c r="K653" s="80"/>
      <c r="L653" s="807">
        <v>1004</v>
      </c>
      <c r="M653" s="80" t="str">
        <f>+IFERROR(VLOOKUP(L653,DATA!$G$4:$H$2000,2,FALSE),"")</f>
        <v xml:space="preserve">Түмэндэлгэр </v>
      </c>
      <c r="N653" s="807"/>
      <c r="O653" s="80" t="str">
        <f>IFERROR(VLOOKUP(N653,DATA!$K$4:$L$51,2,FALSE),"")</f>
        <v/>
      </c>
      <c r="P653" s="80">
        <f t="shared" si="52"/>
        <v>0</v>
      </c>
      <c r="Q653" s="154">
        <f t="shared" si="53"/>
        <v>0</v>
      </c>
    </row>
    <row r="654" spans="2:17">
      <c r="B654" s="627">
        <f t="shared" si="54"/>
        <v>649</v>
      </c>
      <c r="C654" s="429">
        <v>43240</v>
      </c>
      <c r="D654" s="816" t="s">
        <v>2377</v>
      </c>
      <c r="E654" s="807">
        <v>701900</v>
      </c>
      <c r="F654" s="629" t="str">
        <f>IFERROR(VLOOKUP(E654,STAT1!$C$4:$D$1000,2,FALSE),"")</f>
        <v>Харилцаа холбоо</v>
      </c>
      <c r="G654" s="811">
        <v>260000</v>
      </c>
      <c r="H654" s="811"/>
      <c r="I654" s="580">
        <f t="shared" si="55"/>
        <v>0</v>
      </c>
      <c r="J654" s="961">
        <f t="shared" si="56"/>
        <v>0</v>
      </c>
      <c r="K654" s="80"/>
      <c r="L654" s="807">
        <v>1004</v>
      </c>
      <c r="M654" s="80" t="str">
        <f>+IFERROR(VLOOKUP(L654,DATA!$G$4:$H$2000,2,FALSE),"")</f>
        <v xml:space="preserve">Түмэндэлгэр </v>
      </c>
      <c r="N654" s="807"/>
      <c r="O654" s="80" t="str">
        <f>IFERROR(VLOOKUP(N654,DATA!$K$4:$L$51,2,FALSE),"")</f>
        <v/>
      </c>
      <c r="P654" s="80">
        <f t="shared" si="52"/>
        <v>0</v>
      </c>
      <c r="Q654" s="154">
        <f t="shared" si="53"/>
        <v>0</v>
      </c>
    </row>
    <row r="655" spans="2:17">
      <c r="B655" s="627">
        <f t="shared" si="54"/>
        <v>650</v>
      </c>
      <c r="C655" s="582">
        <v>43240</v>
      </c>
      <c r="D655" s="816" t="s">
        <v>2549</v>
      </c>
      <c r="E655" s="630">
        <v>150101</v>
      </c>
      <c r="F655" s="629" t="str">
        <f>IFERROR(VLOOKUP(E655,STAT1!$C$4:$D$1000,2,FALSE),"")</f>
        <v>Бараа бэлэн бүтээгдэхүүн БОЛОВСРУУЛАХ ЦЕХ /нарс/</v>
      </c>
      <c r="G655" s="376"/>
      <c r="H655" s="376">
        <v>116335.43</v>
      </c>
      <c r="I655" s="580">
        <f t="shared" si="55"/>
        <v>0</v>
      </c>
      <c r="J655" s="961">
        <f t="shared" si="56"/>
        <v>0</v>
      </c>
      <c r="K655" s="80"/>
      <c r="L655" s="630">
        <v>3109</v>
      </c>
      <c r="M655" s="80" t="str">
        <f>+IFERROR(VLOOKUP(L655,DATA!$G$4:$H$2000,2,FALSE),"")</f>
        <v xml:space="preserve">СИЛК РӨҮТ ТЕКСТИЛЬ ХХК </v>
      </c>
      <c r="N655" s="630"/>
      <c r="O655" s="80" t="str">
        <f>IFERROR(VLOOKUP(N655,DATA!$K$4:$L$51,2,FALSE),"")</f>
        <v/>
      </c>
      <c r="P655" s="80">
        <f t="shared" si="52"/>
        <v>0</v>
      </c>
      <c r="Q655" s="154">
        <f t="shared" si="53"/>
        <v>0</v>
      </c>
    </row>
    <row r="656" spans="2:17">
      <c r="B656" s="627">
        <f t="shared" si="54"/>
        <v>651</v>
      </c>
      <c r="C656" s="582">
        <v>43240</v>
      </c>
      <c r="D656" s="816" t="s">
        <v>2549</v>
      </c>
      <c r="E656" s="630">
        <v>610100</v>
      </c>
      <c r="F656" s="629" t="str">
        <f>IFERROR(VLOOKUP(E656,STAT1!$C$4:$D$1000,2,FALSE),"")</f>
        <v>Борлуулсан барааны өртөг</v>
      </c>
      <c r="G656" s="376">
        <v>116335.43</v>
      </c>
      <c r="H656" s="376"/>
      <c r="I656" s="580">
        <f t="shared" si="55"/>
        <v>0</v>
      </c>
      <c r="J656" s="961">
        <f t="shared" si="56"/>
        <v>0</v>
      </c>
      <c r="K656" s="80"/>
      <c r="L656" s="630">
        <v>3109</v>
      </c>
      <c r="M656" s="80" t="str">
        <f>+IFERROR(VLOOKUP(L656,DATA!$G$4:$H$2000,2,FALSE),"")</f>
        <v xml:space="preserve">СИЛК РӨҮТ ТЕКСТИЛЬ ХХК </v>
      </c>
      <c r="N656" s="630"/>
      <c r="O656" s="80" t="str">
        <f>IFERROR(VLOOKUP(N656,DATA!$K$4:$L$51,2,FALSE),"")</f>
        <v/>
      </c>
      <c r="P656" s="80">
        <f t="shared" si="52"/>
        <v>0</v>
      </c>
      <c r="Q656" s="154">
        <f t="shared" si="53"/>
        <v>0</v>
      </c>
    </row>
    <row r="657" spans="2:17">
      <c r="B657" s="627">
        <f t="shared" si="54"/>
        <v>652</v>
      </c>
      <c r="C657" s="582">
        <v>43240</v>
      </c>
      <c r="D657" s="816" t="s">
        <v>2549</v>
      </c>
      <c r="E657" s="630">
        <v>310500</v>
      </c>
      <c r="F657" s="629" t="str">
        <f>IFERROR(VLOOKUP(E657,STAT1!$C$4:$D$1000,2,FALSE),"")</f>
        <v>НӨАТ өглөг</v>
      </c>
      <c r="G657" s="376"/>
      <c r="H657" s="376">
        <v>14400</v>
      </c>
      <c r="I657" s="580">
        <f t="shared" si="55"/>
        <v>0</v>
      </c>
      <c r="J657" s="961">
        <f t="shared" si="56"/>
        <v>0</v>
      </c>
      <c r="K657" s="80"/>
      <c r="L657" s="630">
        <v>3109</v>
      </c>
      <c r="M657" s="80" t="str">
        <f>+IFERROR(VLOOKUP(L657,DATA!$G$4:$H$2000,2,FALSE),"")</f>
        <v xml:space="preserve">СИЛК РӨҮТ ТЕКСТИЛЬ ХХК </v>
      </c>
      <c r="N657" s="630"/>
      <c r="O657" s="80" t="str">
        <f>IFERROR(VLOOKUP(N657,DATA!$K$4:$L$51,2,FALSE),"")</f>
        <v/>
      </c>
      <c r="P657" s="80">
        <f t="shared" si="52"/>
        <v>0</v>
      </c>
      <c r="Q657" s="154">
        <f t="shared" si="53"/>
        <v>0</v>
      </c>
    </row>
    <row r="658" spans="2:17">
      <c r="B658" s="627">
        <f t="shared" si="54"/>
        <v>653</v>
      </c>
      <c r="C658" s="582">
        <v>43240</v>
      </c>
      <c r="D658" s="816" t="s">
        <v>2549</v>
      </c>
      <c r="E658" s="630">
        <v>510000</v>
      </c>
      <c r="F658" s="629" t="str">
        <f>IFERROR(VLOOKUP(E658,STAT1!$C$4:$D$1000,2,FALSE),"")</f>
        <v>Үндсэн үйл ажиллагааны борлуулалт</v>
      </c>
      <c r="G658" s="376"/>
      <c r="H658" s="376">
        <v>144000</v>
      </c>
      <c r="I658" s="580">
        <f t="shared" si="55"/>
        <v>0</v>
      </c>
      <c r="J658" s="961">
        <f t="shared" si="56"/>
        <v>0</v>
      </c>
      <c r="K658" s="80"/>
      <c r="L658" s="630">
        <v>3109</v>
      </c>
      <c r="M658" s="80" t="str">
        <f>+IFERROR(VLOOKUP(L658,DATA!$G$4:$H$2000,2,FALSE),"")</f>
        <v xml:space="preserve">СИЛК РӨҮТ ТЕКСТИЛЬ ХХК </v>
      </c>
      <c r="N658" s="630"/>
      <c r="O658" s="80" t="str">
        <f>IFERROR(VLOOKUP(N658,DATA!$K$4:$L$51,2,FALSE),"")</f>
        <v/>
      </c>
      <c r="P658" s="80">
        <f t="shared" si="52"/>
        <v>0</v>
      </c>
      <c r="Q658" s="154">
        <f t="shared" si="53"/>
        <v>0</v>
      </c>
    </row>
    <row r="659" spans="2:17">
      <c r="B659" s="627">
        <f t="shared" si="54"/>
        <v>654</v>
      </c>
      <c r="C659" s="582">
        <v>43240</v>
      </c>
      <c r="D659" s="816" t="s">
        <v>2549</v>
      </c>
      <c r="E659" s="630">
        <v>320100</v>
      </c>
      <c r="F659" s="629" t="str">
        <f>IFERROR(VLOOKUP(E659,STAT1!$C$4:$D$1000,2,FALSE),"")</f>
        <v>Урьдчилж орсон орлого MNT</v>
      </c>
      <c r="G659" s="376">
        <v>158400</v>
      </c>
      <c r="H659" s="376"/>
      <c r="I659" s="580">
        <f t="shared" si="55"/>
        <v>0</v>
      </c>
      <c r="J659" s="961">
        <f t="shared" si="56"/>
        <v>0</v>
      </c>
      <c r="K659" s="80"/>
      <c r="L659" s="630">
        <v>3109</v>
      </c>
      <c r="M659" s="80" t="str">
        <f>+IFERROR(VLOOKUP(L659,DATA!$G$4:$H$2000,2,FALSE),"")</f>
        <v xml:space="preserve">СИЛК РӨҮТ ТЕКСТИЛЬ ХХК </v>
      </c>
      <c r="N659" s="630"/>
      <c r="O659" s="80" t="str">
        <f>IFERROR(VLOOKUP(N659,DATA!$K$4:$L$51,2,FALSE),"")</f>
        <v/>
      </c>
      <c r="P659" s="80">
        <f t="shared" si="52"/>
        <v>0</v>
      </c>
      <c r="Q659" s="154">
        <f t="shared" si="53"/>
        <v>0</v>
      </c>
    </row>
    <row r="660" spans="2:17">
      <c r="B660" s="627">
        <f t="shared" si="54"/>
        <v>655</v>
      </c>
      <c r="C660" s="429">
        <v>43241</v>
      </c>
      <c r="D660" s="816" t="s">
        <v>2579</v>
      </c>
      <c r="E660" s="807">
        <v>100100</v>
      </c>
      <c r="F660" s="629" t="str">
        <f>IFERROR(VLOOKUP(E660,STAT1!$C$4:$D$1000,2,FALSE),"")</f>
        <v>Касс мөнгө MNT</v>
      </c>
      <c r="G660" s="811"/>
      <c r="H660" s="811">
        <v>5000000</v>
      </c>
      <c r="I660" s="580">
        <f t="shared" si="55"/>
        <v>-5000000</v>
      </c>
      <c r="J660" s="961">
        <f t="shared" si="56"/>
        <v>0</v>
      </c>
      <c r="K660" s="80"/>
      <c r="L660" s="807">
        <v>1004</v>
      </c>
      <c r="M660" s="80" t="str">
        <f>+IFERROR(VLOOKUP(L660,DATA!$G$4:$H$2000,2,FALSE),"")</f>
        <v xml:space="preserve">Түмэндэлгэр </v>
      </c>
      <c r="N660" s="807"/>
      <c r="O660" s="80" t="str">
        <f>IFERROR(VLOOKUP(N660,DATA!$K$4:$L$51,2,FALSE),"")</f>
        <v/>
      </c>
      <c r="P660" s="80">
        <f t="shared" si="52"/>
        <v>1</v>
      </c>
      <c r="Q660" s="154">
        <f t="shared" si="53"/>
        <v>1</v>
      </c>
    </row>
    <row r="661" spans="2:17">
      <c r="B661" s="627">
        <f t="shared" si="54"/>
        <v>656</v>
      </c>
      <c r="C661" s="429">
        <v>43241</v>
      </c>
      <c r="D661" s="816" t="s">
        <v>2579</v>
      </c>
      <c r="E661" s="807">
        <v>110100</v>
      </c>
      <c r="F661" s="629" t="str">
        <f>IFERROR(VLOOKUP(E661,STAT1!$C$4:$D$1000,2,FALSE),"")</f>
        <v>Хаан Банк 5024654020</v>
      </c>
      <c r="G661" s="811">
        <v>5000000</v>
      </c>
      <c r="H661" s="811"/>
      <c r="I661" s="580">
        <f t="shared" si="55"/>
        <v>5000000</v>
      </c>
      <c r="J661" s="961">
        <f t="shared" si="56"/>
        <v>0</v>
      </c>
      <c r="K661" s="80"/>
      <c r="L661" s="807">
        <v>1004</v>
      </c>
      <c r="M661" s="80" t="str">
        <f>+IFERROR(VLOOKUP(L661,DATA!$G$4:$H$2000,2,FALSE),"")</f>
        <v xml:space="preserve">Түмэндэлгэр </v>
      </c>
      <c r="N661" s="807"/>
      <c r="O661" s="80" t="str">
        <f>IFERROR(VLOOKUP(N661,DATA!$K$4:$L$51,2,FALSE),"")</f>
        <v/>
      </c>
      <c r="P661" s="80">
        <f t="shared" si="52"/>
        <v>1</v>
      </c>
      <c r="Q661" s="154">
        <f t="shared" si="53"/>
        <v>1</v>
      </c>
    </row>
    <row r="662" spans="2:17">
      <c r="B662" s="627">
        <f t="shared" si="54"/>
        <v>657</v>
      </c>
      <c r="C662" s="429">
        <v>43241</v>
      </c>
      <c r="D662" s="816" t="s">
        <v>2379</v>
      </c>
      <c r="E662" s="807">
        <v>110100</v>
      </c>
      <c r="F662" s="629" t="str">
        <f>IFERROR(VLOOKUP(E662,STAT1!$C$4:$D$1000,2,FALSE),"")</f>
        <v>Хаан Банк 5024654020</v>
      </c>
      <c r="G662" s="811"/>
      <c r="H662" s="811">
        <v>3594719</v>
      </c>
      <c r="I662" s="580">
        <f t="shared" si="55"/>
        <v>-3594719</v>
      </c>
      <c r="J662" s="961">
        <f t="shared" si="56"/>
        <v>0</v>
      </c>
      <c r="K662" s="80"/>
      <c r="L662" s="807">
        <v>2009</v>
      </c>
      <c r="M662" s="80" t="str">
        <f>+IFERROR(VLOOKUP(L662,DATA!$G$4:$H$2000,2,FALSE),"")</f>
        <v>ХААН БАНК</v>
      </c>
      <c r="N662" s="807">
        <v>91</v>
      </c>
      <c r="O662" s="80" t="str">
        <f>IFERROR(VLOOKUP(N662,DATA!$K$4:$L$51,2,FALSE),"")</f>
        <v>Зээл, өрийн үнэт цаасны төлбөрт төлсөн</v>
      </c>
      <c r="P662" s="80">
        <f t="shared" si="52"/>
        <v>1</v>
      </c>
      <c r="Q662" s="154">
        <f t="shared" si="53"/>
        <v>1</v>
      </c>
    </row>
    <row r="663" spans="2:17">
      <c r="B663" s="627">
        <f t="shared" si="54"/>
        <v>658</v>
      </c>
      <c r="C663" s="429">
        <v>43241</v>
      </c>
      <c r="D663" s="816" t="s">
        <v>2379</v>
      </c>
      <c r="E663" s="807">
        <v>311100</v>
      </c>
      <c r="F663" s="629" t="str">
        <f>IFERROR(VLOOKUP(E663,STAT1!$C$4:$D$1000,2,FALSE),"")</f>
        <v xml:space="preserve">Бусад богино хугацаат өглөг </v>
      </c>
      <c r="G663" s="811">
        <v>3594719</v>
      </c>
      <c r="H663" s="811"/>
      <c r="I663" s="580">
        <f t="shared" si="55"/>
        <v>0</v>
      </c>
      <c r="J663" s="961">
        <f t="shared" si="56"/>
        <v>0</v>
      </c>
      <c r="K663" s="80"/>
      <c r="L663" s="807">
        <v>2009</v>
      </c>
      <c r="M663" s="80" t="str">
        <f>+IFERROR(VLOOKUP(L663,DATA!$G$4:$H$2000,2,FALSE),"")</f>
        <v>ХААН БАНК</v>
      </c>
      <c r="N663" s="807"/>
      <c r="O663" s="80" t="str">
        <f>IFERROR(VLOOKUP(N663,DATA!$K$4:$L$51,2,FALSE),"")</f>
        <v/>
      </c>
      <c r="P663" s="80">
        <f t="shared" si="52"/>
        <v>0</v>
      </c>
      <c r="Q663" s="154">
        <f t="shared" si="53"/>
        <v>0</v>
      </c>
    </row>
    <row r="664" spans="2:17">
      <c r="B664" s="627">
        <f t="shared" si="54"/>
        <v>659</v>
      </c>
      <c r="C664" s="429">
        <v>43241</v>
      </c>
      <c r="D664" s="816" t="s">
        <v>2379</v>
      </c>
      <c r="E664" s="807">
        <v>110100</v>
      </c>
      <c r="F664" s="629" t="str">
        <f>IFERROR(VLOOKUP(E664,STAT1!$C$4:$D$1000,2,FALSE),"")</f>
        <v>Хаан Банк 5024654020</v>
      </c>
      <c r="G664" s="811"/>
      <c r="H664" s="811">
        <v>629039.70000000019</v>
      </c>
      <c r="I664" s="580">
        <f t="shared" si="55"/>
        <v>-629039.70000000019</v>
      </c>
      <c r="J664" s="961">
        <f t="shared" si="56"/>
        <v>0</v>
      </c>
      <c r="K664" s="80"/>
      <c r="L664" s="807">
        <v>2009</v>
      </c>
      <c r="M664" s="80" t="str">
        <f>+IFERROR(VLOOKUP(L664,DATA!$G$4:$H$2000,2,FALSE),"")</f>
        <v>ХААН БАНК</v>
      </c>
      <c r="N664" s="807">
        <v>56</v>
      </c>
      <c r="O664" s="80" t="str">
        <f>IFERROR(VLOOKUP(N664,DATA!$K$4:$L$51,2,FALSE),"")</f>
        <v>Хүүний төлбөрт төлсөн</v>
      </c>
      <c r="P664" s="80">
        <f t="shared" si="52"/>
        <v>1</v>
      </c>
      <c r="Q664" s="154">
        <f t="shared" si="53"/>
        <v>1</v>
      </c>
    </row>
    <row r="665" spans="2:17">
      <c r="B665" s="627">
        <f t="shared" si="54"/>
        <v>660</v>
      </c>
      <c r="C665" s="429">
        <v>43241</v>
      </c>
      <c r="D665" s="816" t="s">
        <v>2379</v>
      </c>
      <c r="E665" s="807">
        <v>702500</v>
      </c>
      <c r="F665" s="629" t="str">
        <f>IFERROR(VLOOKUP(E665,STAT1!$C$4:$D$1000,2,FALSE),"")</f>
        <v>Зээлийн хүүгийн зардал</v>
      </c>
      <c r="G665" s="811">
        <v>629039.70000000019</v>
      </c>
      <c r="H665" s="811"/>
      <c r="I665" s="580">
        <f t="shared" si="55"/>
        <v>0</v>
      </c>
      <c r="J665" s="961">
        <f t="shared" si="56"/>
        <v>0</v>
      </c>
      <c r="K665" s="80"/>
      <c r="L665" s="807">
        <v>2009</v>
      </c>
      <c r="M665" s="80" t="str">
        <f>+IFERROR(VLOOKUP(L665,DATA!$G$4:$H$2000,2,FALSE),"")</f>
        <v>ХААН БАНК</v>
      </c>
      <c r="N665" s="807"/>
      <c r="O665" s="80" t="str">
        <f>IFERROR(VLOOKUP(N665,DATA!$K$4:$L$51,2,FALSE),"")</f>
        <v/>
      </c>
      <c r="P665" s="80">
        <f t="shared" si="52"/>
        <v>0</v>
      </c>
      <c r="Q665" s="154">
        <f t="shared" si="53"/>
        <v>0</v>
      </c>
    </row>
    <row r="666" spans="2:17">
      <c r="B666" s="627">
        <f t="shared" si="54"/>
        <v>661</v>
      </c>
      <c r="C666" s="582">
        <v>43241</v>
      </c>
      <c r="D666" s="816" t="s">
        <v>2549</v>
      </c>
      <c r="E666" s="630">
        <v>150101</v>
      </c>
      <c r="F666" s="629" t="str">
        <f>IFERROR(VLOOKUP(E666,STAT1!$C$4:$D$1000,2,FALSE),"")</f>
        <v>Бараа бэлэн бүтээгдэхүүн БОЛОВСРУУЛАХ ЦЕХ /нарс/</v>
      </c>
      <c r="G666" s="376"/>
      <c r="H666" s="376">
        <v>15424</v>
      </c>
      <c r="I666" s="580">
        <f t="shared" si="55"/>
        <v>0</v>
      </c>
      <c r="J666" s="961">
        <f t="shared" si="56"/>
        <v>0</v>
      </c>
      <c r="K666" s="80"/>
      <c r="L666" s="630">
        <v>3089</v>
      </c>
      <c r="M666" s="80" t="str">
        <f>+IFERROR(VLOOKUP(L666,DATA!$G$4:$H$2000,2,FALSE),"")</f>
        <v>ГУУЛИЙН ДӨШ ХХК</v>
      </c>
      <c r="N666" s="630"/>
      <c r="O666" s="80" t="str">
        <f>IFERROR(VLOOKUP(N666,DATA!$K$4:$L$51,2,FALSE),"")</f>
        <v/>
      </c>
      <c r="P666" s="80">
        <f t="shared" si="52"/>
        <v>0</v>
      </c>
      <c r="Q666" s="154">
        <f t="shared" si="53"/>
        <v>0</v>
      </c>
    </row>
    <row r="667" spans="2:17">
      <c r="B667" s="627">
        <f t="shared" si="54"/>
        <v>662</v>
      </c>
      <c r="C667" s="582">
        <v>43241</v>
      </c>
      <c r="D667" s="816" t="s">
        <v>2549</v>
      </c>
      <c r="E667" s="630">
        <v>610100</v>
      </c>
      <c r="F667" s="629" t="str">
        <f>IFERROR(VLOOKUP(E667,STAT1!$C$4:$D$1000,2,FALSE),"")</f>
        <v>Борлуулсан барааны өртөг</v>
      </c>
      <c r="G667" s="376">
        <v>15424</v>
      </c>
      <c r="H667" s="376"/>
      <c r="I667" s="580">
        <f t="shared" si="55"/>
        <v>0</v>
      </c>
      <c r="J667" s="961">
        <f t="shared" si="56"/>
        <v>0</v>
      </c>
      <c r="K667" s="80"/>
      <c r="L667" s="630">
        <v>3089</v>
      </c>
      <c r="M667" s="80" t="str">
        <f>+IFERROR(VLOOKUP(L667,DATA!$G$4:$H$2000,2,FALSE),"")</f>
        <v>ГУУЛИЙН ДӨШ ХХК</v>
      </c>
      <c r="N667" s="630"/>
      <c r="O667" s="80" t="str">
        <f>IFERROR(VLOOKUP(N667,DATA!$K$4:$L$51,2,FALSE),"")</f>
        <v/>
      </c>
      <c r="P667" s="80">
        <f t="shared" si="52"/>
        <v>0</v>
      </c>
      <c r="Q667" s="154">
        <f t="shared" si="53"/>
        <v>0</v>
      </c>
    </row>
    <row r="668" spans="2:17">
      <c r="B668" s="627">
        <f t="shared" si="54"/>
        <v>663</v>
      </c>
      <c r="C668" s="582">
        <v>43241</v>
      </c>
      <c r="D668" s="816" t="s">
        <v>2549</v>
      </c>
      <c r="E668" s="630">
        <v>310500</v>
      </c>
      <c r="F668" s="629" t="str">
        <f>IFERROR(VLOOKUP(E668,STAT1!$C$4:$D$1000,2,FALSE),"")</f>
        <v>НӨАТ өглөг</v>
      </c>
      <c r="G668" s="376"/>
      <c r="H668" s="376">
        <v>2850</v>
      </c>
      <c r="I668" s="580">
        <f t="shared" si="55"/>
        <v>0</v>
      </c>
      <c r="J668" s="961">
        <f t="shared" si="56"/>
        <v>0</v>
      </c>
      <c r="K668" s="80"/>
      <c r="L668" s="630">
        <v>3089</v>
      </c>
      <c r="M668" s="80" t="str">
        <f>+IFERROR(VLOOKUP(L668,DATA!$G$4:$H$2000,2,FALSE),"")</f>
        <v>ГУУЛИЙН ДӨШ ХХК</v>
      </c>
      <c r="N668" s="630"/>
      <c r="O668" s="80" t="str">
        <f>IFERROR(VLOOKUP(N668,DATA!$K$4:$L$51,2,FALSE),"")</f>
        <v/>
      </c>
      <c r="P668" s="80">
        <f t="shared" si="52"/>
        <v>0</v>
      </c>
      <c r="Q668" s="154">
        <f t="shared" si="53"/>
        <v>0</v>
      </c>
    </row>
    <row r="669" spans="2:17">
      <c r="B669" s="627">
        <f t="shared" si="54"/>
        <v>664</v>
      </c>
      <c r="C669" s="582">
        <v>43241</v>
      </c>
      <c r="D669" s="816" t="s">
        <v>2549</v>
      </c>
      <c r="E669" s="630">
        <v>510000</v>
      </c>
      <c r="F669" s="629" t="str">
        <f>IFERROR(VLOOKUP(E669,STAT1!$C$4:$D$1000,2,FALSE),"")</f>
        <v>Үндсэн үйл ажиллагааны борлуулалт</v>
      </c>
      <c r="G669" s="376"/>
      <c r="H669" s="376">
        <v>28500</v>
      </c>
      <c r="I669" s="580">
        <f t="shared" si="55"/>
        <v>0</v>
      </c>
      <c r="J669" s="961">
        <f t="shared" si="56"/>
        <v>0</v>
      </c>
      <c r="K669" s="80"/>
      <c r="L669" s="630">
        <v>3089</v>
      </c>
      <c r="M669" s="80" t="str">
        <f>+IFERROR(VLOOKUP(L669,DATA!$G$4:$H$2000,2,FALSE),"")</f>
        <v>ГУУЛИЙН ДӨШ ХХК</v>
      </c>
      <c r="N669" s="630"/>
      <c r="O669" s="80" t="str">
        <f>IFERROR(VLOOKUP(N669,DATA!$K$4:$L$51,2,FALSE),"")</f>
        <v/>
      </c>
      <c r="P669" s="80">
        <f t="shared" si="52"/>
        <v>0</v>
      </c>
      <c r="Q669" s="154">
        <f t="shared" si="53"/>
        <v>0</v>
      </c>
    </row>
    <row r="670" spans="2:17">
      <c r="B670" s="627">
        <f t="shared" si="54"/>
        <v>665</v>
      </c>
      <c r="C670" s="582">
        <v>43241</v>
      </c>
      <c r="D670" s="816" t="s">
        <v>2549</v>
      </c>
      <c r="E670" s="630">
        <v>320100</v>
      </c>
      <c r="F670" s="629" t="str">
        <f>IFERROR(VLOOKUP(E670,STAT1!$C$4:$D$1000,2,FALSE),"")</f>
        <v>Урьдчилж орсон орлого MNT</v>
      </c>
      <c r="G670" s="376">
        <v>31350</v>
      </c>
      <c r="H670" s="376"/>
      <c r="I670" s="580">
        <f t="shared" si="55"/>
        <v>0</v>
      </c>
      <c r="J670" s="961">
        <f t="shared" si="56"/>
        <v>0</v>
      </c>
      <c r="K670" s="80"/>
      <c r="L670" s="630">
        <v>3089</v>
      </c>
      <c r="M670" s="80" t="str">
        <f>+IFERROR(VLOOKUP(L670,DATA!$G$4:$H$2000,2,FALSE),"")</f>
        <v>ГУУЛИЙН ДӨШ ХХК</v>
      </c>
      <c r="N670" s="630"/>
      <c r="O670" s="80" t="str">
        <f>IFERROR(VLOOKUP(N670,DATA!$K$4:$L$51,2,FALSE),"")</f>
        <v/>
      </c>
      <c r="P670" s="80">
        <f t="shared" si="52"/>
        <v>0</v>
      </c>
      <c r="Q670" s="154">
        <f t="shared" si="53"/>
        <v>0</v>
      </c>
    </row>
    <row r="671" spans="2:17">
      <c r="B671" s="627">
        <f t="shared" si="54"/>
        <v>666</v>
      </c>
      <c r="C671" s="429">
        <v>43242</v>
      </c>
      <c r="D671" s="816" t="s">
        <v>1571</v>
      </c>
      <c r="E671" s="807">
        <v>110100</v>
      </c>
      <c r="F671" s="629" t="str">
        <f>IFERROR(VLOOKUP(E671,STAT1!$C$4:$D$1000,2,FALSE),"")</f>
        <v>Хаан Банк 5024654020</v>
      </c>
      <c r="G671" s="811">
        <v>158400</v>
      </c>
      <c r="H671" s="811"/>
      <c r="I671" s="580">
        <f t="shared" si="55"/>
        <v>158400</v>
      </c>
      <c r="J671" s="961">
        <f t="shared" si="56"/>
        <v>0</v>
      </c>
      <c r="K671" s="80"/>
      <c r="L671" s="807">
        <v>3109</v>
      </c>
      <c r="M671" s="80" t="str">
        <f>+IFERROR(VLOOKUP(L671,DATA!$G$4:$H$2000,2,FALSE),"")</f>
        <v xml:space="preserve">СИЛК РӨҮТ ТЕКСТИЛЬ ХХК </v>
      </c>
      <c r="N671" s="807">
        <v>41</v>
      </c>
      <c r="O671" s="80" t="str">
        <f>IFERROR(VLOOKUP(N671,DATA!$K$4:$L$51,2,FALSE),"")</f>
        <v>Бараа борлуулсан, үйлчилгээ үзүүлсэний орлого</v>
      </c>
      <c r="P671" s="80">
        <f t="shared" si="52"/>
        <v>1</v>
      </c>
      <c r="Q671" s="154">
        <f t="shared" si="53"/>
        <v>1</v>
      </c>
    </row>
    <row r="672" spans="2:17">
      <c r="B672" s="627">
        <f t="shared" si="54"/>
        <v>667</v>
      </c>
      <c r="C672" s="429">
        <v>43242</v>
      </c>
      <c r="D672" s="816" t="s">
        <v>1571</v>
      </c>
      <c r="E672" s="807">
        <v>320100</v>
      </c>
      <c r="F672" s="629" t="str">
        <f>IFERROR(VLOOKUP(E672,STAT1!$C$4:$D$1000,2,FALSE),"")</f>
        <v>Урьдчилж орсон орлого MNT</v>
      </c>
      <c r="G672" s="811"/>
      <c r="H672" s="811">
        <v>158400</v>
      </c>
      <c r="I672" s="580">
        <f t="shared" si="55"/>
        <v>0</v>
      </c>
      <c r="J672" s="961">
        <f t="shared" si="56"/>
        <v>0</v>
      </c>
      <c r="K672" s="80"/>
      <c r="L672" s="807">
        <v>3109</v>
      </c>
      <c r="M672" s="80" t="str">
        <f>+IFERROR(VLOOKUP(L672,DATA!$G$4:$H$2000,2,FALSE),"")</f>
        <v xml:space="preserve">СИЛК РӨҮТ ТЕКСТИЛЬ ХХК </v>
      </c>
      <c r="N672" s="807"/>
      <c r="O672" s="80" t="str">
        <f>IFERROR(VLOOKUP(N672,DATA!$K$4:$L$51,2,FALSE),"")</f>
        <v/>
      </c>
      <c r="P672" s="80">
        <f t="shared" si="52"/>
        <v>0</v>
      </c>
      <c r="Q672" s="154">
        <f t="shared" si="53"/>
        <v>0</v>
      </c>
    </row>
    <row r="673" spans="2:17">
      <c r="B673" s="627">
        <f t="shared" si="54"/>
        <v>668</v>
      </c>
      <c r="C673" s="429">
        <v>43242</v>
      </c>
      <c r="D673" s="816" t="s">
        <v>2602</v>
      </c>
      <c r="E673" s="807">
        <v>110100</v>
      </c>
      <c r="F673" s="629" t="str">
        <f>IFERROR(VLOOKUP(E673,STAT1!$C$4:$D$1000,2,FALSE),"")</f>
        <v>Хаан Банк 5024654020</v>
      </c>
      <c r="G673" s="811"/>
      <c r="H673" s="811">
        <v>378700</v>
      </c>
      <c r="I673" s="580">
        <f t="shared" si="55"/>
        <v>-378700</v>
      </c>
      <c r="J673" s="961">
        <f t="shared" si="56"/>
        <v>0</v>
      </c>
      <c r="K673" s="80"/>
      <c r="L673" s="807">
        <v>2005</v>
      </c>
      <c r="M673" s="80" t="str">
        <f>+IFERROR(VLOOKUP(L673,DATA!$G$4:$H$2000,2,FALSE),"")</f>
        <v xml:space="preserve">УСУГ ТӨХК </v>
      </c>
      <c r="N673" s="807">
        <v>54</v>
      </c>
      <c r="O673" s="80" t="str">
        <f>IFERROR(VLOOKUP(N673,DATA!$K$4:$L$51,2,FALSE),"")</f>
        <v>Ашиглалтын зардалд төлсөн</v>
      </c>
      <c r="P673" s="80">
        <f t="shared" si="52"/>
        <v>1</v>
      </c>
      <c r="Q673" s="154">
        <f t="shared" si="53"/>
        <v>1</v>
      </c>
    </row>
    <row r="674" spans="2:17">
      <c r="B674" s="627">
        <f t="shared" si="54"/>
        <v>669</v>
      </c>
      <c r="C674" s="429">
        <v>43242</v>
      </c>
      <c r="D674" s="816" t="s">
        <v>2602</v>
      </c>
      <c r="E674" s="807">
        <v>120600</v>
      </c>
      <c r="F674" s="629" t="str">
        <f>IFERROR(VLOOKUP(E674,STAT1!$C$4:$D$8000,2,FALSE),"")</f>
        <v>НӨАТ авлага</v>
      </c>
      <c r="G674" s="811">
        <v>34425</v>
      </c>
      <c r="H674" s="811"/>
      <c r="I674" s="580">
        <f t="shared" si="55"/>
        <v>0</v>
      </c>
      <c r="J674" s="961">
        <f t="shared" si="56"/>
        <v>0</v>
      </c>
      <c r="K674" s="80"/>
      <c r="L674" s="807">
        <v>2005</v>
      </c>
      <c r="M674" s="80" t="str">
        <f>+IFERROR(VLOOKUP(L674,DATA!$G$4:$H$2000,2,FALSE),"")</f>
        <v xml:space="preserve">УСУГ ТӨХК </v>
      </c>
      <c r="N674" s="807"/>
      <c r="O674" s="80" t="str">
        <f>IFERROR(VLOOKUP(N674,DATA!$K$4:$L$51,2,FALSE),"")</f>
        <v/>
      </c>
      <c r="P674" s="80">
        <f t="shared" si="52"/>
        <v>0</v>
      </c>
      <c r="Q674" s="154">
        <f t="shared" si="53"/>
        <v>0</v>
      </c>
    </row>
    <row r="675" spans="2:17">
      <c r="B675" s="627">
        <f t="shared" si="54"/>
        <v>670</v>
      </c>
      <c r="C675" s="429">
        <v>43242</v>
      </c>
      <c r="D675" s="816" t="s">
        <v>2602</v>
      </c>
      <c r="E675" s="807">
        <v>700900</v>
      </c>
      <c r="F675" s="629" t="str">
        <f>IFERROR(VLOOKUP(E675,STAT1!$C$4:$D$8000,2,FALSE),"")</f>
        <v>Уур, ус</v>
      </c>
      <c r="G675" s="811">
        <f>378700-34425</f>
        <v>344275</v>
      </c>
      <c r="H675" s="811"/>
      <c r="I675" s="580">
        <f t="shared" si="55"/>
        <v>0</v>
      </c>
      <c r="J675" s="961">
        <f t="shared" si="56"/>
        <v>0</v>
      </c>
      <c r="K675" s="80"/>
      <c r="L675" s="807">
        <v>2005</v>
      </c>
      <c r="M675" s="80" t="str">
        <f>+IFERROR(VLOOKUP(L675,DATA!$G$4:$H$2000,2,FALSE),"")</f>
        <v xml:space="preserve">УСУГ ТӨХК </v>
      </c>
      <c r="N675" s="807"/>
      <c r="O675" s="80" t="str">
        <f>IFERROR(VLOOKUP(N675,DATA!$K$4:$L$51,2,FALSE),"")</f>
        <v/>
      </c>
      <c r="P675" s="80">
        <f t="shared" si="52"/>
        <v>0</v>
      </c>
      <c r="Q675" s="154">
        <f t="shared" si="53"/>
        <v>0</v>
      </c>
    </row>
    <row r="676" spans="2:17">
      <c r="B676" s="627">
        <f t="shared" si="54"/>
        <v>671</v>
      </c>
      <c r="C676" s="429">
        <v>43243</v>
      </c>
      <c r="D676" s="816" t="s">
        <v>2549</v>
      </c>
      <c r="E676" s="807">
        <v>150101</v>
      </c>
      <c r="F676" s="629" t="str">
        <f>IFERROR(VLOOKUP(E676,STAT1!$C$4:$D$8000,2,FALSE),"")</f>
        <v>Бараа бэлэн бүтээгдэхүүн БОЛОВСРУУЛАХ ЦЕХ /нарс/</v>
      </c>
      <c r="G676" s="811"/>
      <c r="H676" s="811">
        <v>199175.97</v>
      </c>
      <c r="I676" s="580">
        <f t="shared" si="55"/>
        <v>0</v>
      </c>
      <c r="J676" s="961">
        <f t="shared" si="56"/>
        <v>0</v>
      </c>
      <c r="K676" s="80"/>
      <c r="L676" s="807">
        <v>3110</v>
      </c>
      <c r="M676" s="80" t="str">
        <f>+IFERROR(VLOOKUP(L676,DATA!$G$4:$H$2000,2,FALSE),"")</f>
        <v xml:space="preserve">СҮЙХЭНТ ХХК </v>
      </c>
      <c r="N676" s="807"/>
      <c r="O676" s="80" t="str">
        <f>IFERROR(VLOOKUP(N676,DATA!$K$4:$L$51,2,FALSE),"")</f>
        <v/>
      </c>
      <c r="P676" s="80">
        <f t="shared" si="52"/>
        <v>0</v>
      </c>
      <c r="Q676" s="154">
        <f t="shared" si="53"/>
        <v>0</v>
      </c>
    </row>
    <row r="677" spans="2:17">
      <c r="B677" s="627">
        <f t="shared" si="54"/>
        <v>672</v>
      </c>
      <c r="C677" s="429">
        <v>43243</v>
      </c>
      <c r="D677" s="816" t="s">
        <v>2549</v>
      </c>
      <c r="E677" s="807">
        <v>610100</v>
      </c>
      <c r="F677" s="629" t="str">
        <f>IFERROR(VLOOKUP(E677,STAT1!$C$4:$D$8000,2,FALSE),"")</f>
        <v>Борлуулсан барааны өртөг</v>
      </c>
      <c r="G677" s="811">
        <v>199175.97</v>
      </c>
      <c r="H677" s="811"/>
      <c r="I677" s="580">
        <f t="shared" si="55"/>
        <v>0</v>
      </c>
      <c r="J677" s="961">
        <f t="shared" si="56"/>
        <v>0</v>
      </c>
      <c r="K677" s="80"/>
      <c r="L677" s="807">
        <v>3110</v>
      </c>
      <c r="M677" s="80" t="str">
        <f>+IFERROR(VLOOKUP(L677,DATA!$G$4:$H$2000,2,FALSE),"")</f>
        <v xml:space="preserve">СҮЙХЭНТ ХХК </v>
      </c>
      <c r="N677" s="807"/>
      <c r="O677" s="80" t="str">
        <f>IFERROR(VLOOKUP(N677,DATA!$K$4:$L$51,2,FALSE),"")</f>
        <v/>
      </c>
      <c r="P677" s="80">
        <f t="shared" si="52"/>
        <v>0</v>
      </c>
      <c r="Q677" s="154">
        <f t="shared" si="53"/>
        <v>0</v>
      </c>
    </row>
    <row r="678" spans="2:17">
      <c r="B678" s="627">
        <f t="shared" si="54"/>
        <v>673</v>
      </c>
      <c r="C678" s="429">
        <v>43243</v>
      </c>
      <c r="D678" s="816" t="s">
        <v>2549</v>
      </c>
      <c r="E678" s="807">
        <v>310500</v>
      </c>
      <c r="F678" s="629" t="str">
        <f>IFERROR(VLOOKUP(E678,STAT1!$C$4:$D$8000,2,FALSE),"")</f>
        <v>НӨАТ өглөг</v>
      </c>
      <c r="G678" s="811"/>
      <c r="H678" s="811">
        <v>19745.45</v>
      </c>
      <c r="I678" s="580">
        <f t="shared" si="55"/>
        <v>0</v>
      </c>
      <c r="J678" s="961">
        <f t="shared" si="56"/>
        <v>0</v>
      </c>
      <c r="K678" s="80"/>
      <c r="L678" s="807">
        <v>3110</v>
      </c>
      <c r="M678" s="80" t="str">
        <f>+IFERROR(VLOOKUP(L678,DATA!$G$4:$H$2000,2,FALSE),"")</f>
        <v xml:space="preserve">СҮЙХЭНТ ХХК </v>
      </c>
      <c r="N678" s="807"/>
      <c r="O678" s="80" t="str">
        <f>IFERROR(VLOOKUP(N678,DATA!$K$4:$L$51,2,FALSE),"")</f>
        <v/>
      </c>
      <c r="P678" s="80">
        <f t="shared" si="52"/>
        <v>0</v>
      </c>
      <c r="Q678" s="154">
        <f t="shared" si="53"/>
        <v>0</v>
      </c>
    </row>
    <row r="679" spans="2:17">
      <c r="B679" s="627">
        <f t="shared" si="54"/>
        <v>674</v>
      </c>
      <c r="C679" s="429">
        <v>43243</v>
      </c>
      <c r="D679" s="816" t="s">
        <v>2549</v>
      </c>
      <c r="E679" s="807">
        <v>510000</v>
      </c>
      <c r="F679" s="629" t="str">
        <f>IFERROR(VLOOKUP(E679,STAT1!$C$4:$D$8000,2,FALSE),"")</f>
        <v>Үндсэн үйл ажиллагааны борлуулалт</v>
      </c>
      <c r="G679" s="811"/>
      <c r="H679" s="811">
        <v>197454.55</v>
      </c>
      <c r="I679" s="580">
        <f t="shared" si="55"/>
        <v>0</v>
      </c>
      <c r="J679" s="961">
        <f t="shared" si="56"/>
        <v>0</v>
      </c>
      <c r="K679" s="80"/>
      <c r="L679" s="807">
        <v>3110</v>
      </c>
      <c r="M679" s="80" t="str">
        <f>+IFERROR(VLOOKUP(L679,DATA!$G$4:$H$2000,2,FALSE),"")</f>
        <v xml:space="preserve">СҮЙХЭНТ ХХК </v>
      </c>
      <c r="N679" s="807"/>
      <c r="O679" s="80" t="str">
        <f>IFERROR(VLOOKUP(N679,DATA!$K$4:$L$51,2,FALSE),"")</f>
        <v/>
      </c>
      <c r="P679" s="80">
        <f t="shared" si="52"/>
        <v>0</v>
      </c>
      <c r="Q679" s="154">
        <f t="shared" si="53"/>
        <v>0</v>
      </c>
    </row>
    <row r="680" spans="2:17">
      <c r="B680" s="627">
        <f t="shared" si="54"/>
        <v>675</v>
      </c>
      <c r="C680" s="429">
        <v>43243</v>
      </c>
      <c r="D680" s="816" t="s">
        <v>2549</v>
      </c>
      <c r="E680" s="807">
        <v>320100</v>
      </c>
      <c r="F680" s="629" t="str">
        <f>IFERROR(VLOOKUP(E680,STAT1!$C$4:$D$8000,2,FALSE),"")</f>
        <v>Урьдчилж орсон орлого MNT</v>
      </c>
      <c r="G680" s="811">
        <v>217200</v>
      </c>
      <c r="H680" s="811"/>
      <c r="I680" s="580">
        <f t="shared" si="55"/>
        <v>0</v>
      </c>
      <c r="J680" s="961">
        <f t="shared" si="56"/>
        <v>0</v>
      </c>
      <c r="K680" s="80"/>
      <c r="L680" s="807">
        <v>3110</v>
      </c>
      <c r="M680" s="80" t="str">
        <f>+IFERROR(VLOOKUP(L680,DATA!$G$4:$H$2000,2,FALSE),"")</f>
        <v xml:space="preserve">СҮЙХЭНТ ХХК </v>
      </c>
      <c r="N680" s="807"/>
      <c r="O680" s="80" t="str">
        <f>IFERROR(VLOOKUP(N680,DATA!$K$4:$L$51,2,FALSE),"")</f>
        <v/>
      </c>
      <c r="P680" s="80">
        <f t="shared" si="52"/>
        <v>0</v>
      </c>
      <c r="Q680" s="154">
        <f t="shared" si="53"/>
        <v>0</v>
      </c>
    </row>
    <row r="681" spans="2:17">
      <c r="B681" s="627">
        <f t="shared" si="54"/>
        <v>676</v>
      </c>
      <c r="C681" s="429">
        <v>43249</v>
      </c>
      <c r="D681" s="816" t="s">
        <v>2604</v>
      </c>
      <c r="E681" s="807">
        <v>100100</v>
      </c>
      <c r="F681" s="629" t="str">
        <f>IFERROR(VLOOKUP(E681,STAT1!$C$4:$D$8000,2,FALSE),"")</f>
        <v>Касс мөнгө MNT</v>
      </c>
      <c r="G681" s="811"/>
      <c r="H681" s="811">
        <v>89100</v>
      </c>
      <c r="I681" s="580">
        <f t="shared" si="55"/>
        <v>-89100</v>
      </c>
      <c r="J681" s="961">
        <f t="shared" si="56"/>
        <v>0</v>
      </c>
      <c r="K681" s="80"/>
      <c r="L681" s="807">
        <v>1003</v>
      </c>
      <c r="M681" s="80" t="str">
        <f>+IFERROR(VLOOKUP(L681,DATA!$G$4:$H$2000,2,FALSE),"")</f>
        <v>Бахдамдэмбэрэл</v>
      </c>
      <c r="N681" s="807">
        <v>59</v>
      </c>
      <c r="O681" s="80" t="str">
        <f>IFERROR(VLOOKUP(N681,DATA!$K$4:$L$51,2,FALSE),"")</f>
        <v>Бусад мөнгөн зарлага</v>
      </c>
      <c r="P681" s="80">
        <f t="shared" si="52"/>
        <v>1</v>
      </c>
      <c r="Q681" s="154">
        <f t="shared" si="53"/>
        <v>1</v>
      </c>
    </row>
    <row r="682" spans="2:17">
      <c r="B682" s="627">
        <f t="shared" si="54"/>
        <v>677</v>
      </c>
      <c r="C682" s="429">
        <v>43249</v>
      </c>
      <c r="D682" s="816" t="s">
        <v>2604</v>
      </c>
      <c r="E682" s="807">
        <v>120600</v>
      </c>
      <c r="F682" s="629" t="str">
        <f>IFERROR(VLOOKUP(E682,STAT1!$C$4:$D$8000,2,FALSE),"")</f>
        <v>НӨАТ авлага</v>
      </c>
      <c r="G682" s="811">
        <v>8100</v>
      </c>
      <c r="H682" s="811"/>
      <c r="I682" s="580">
        <f t="shared" si="55"/>
        <v>0</v>
      </c>
      <c r="J682" s="961">
        <f t="shared" si="56"/>
        <v>0</v>
      </c>
      <c r="K682" s="80"/>
      <c r="L682" s="807">
        <v>1003</v>
      </c>
      <c r="M682" s="80" t="str">
        <f>+IFERROR(VLOOKUP(L682,DATA!$G$4:$H$2000,2,FALSE),"")</f>
        <v>Бахдамдэмбэрэл</v>
      </c>
      <c r="N682" s="807"/>
      <c r="O682" s="80"/>
      <c r="P682" s="80"/>
    </row>
    <row r="683" spans="2:17">
      <c r="B683" s="627">
        <f t="shared" si="54"/>
        <v>678</v>
      </c>
      <c r="C683" s="429">
        <v>43249</v>
      </c>
      <c r="D683" s="816" t="s">
        <v>2603</v>
      </c>
      <c r="E683" s="807">
        <v>706000</v>
      </c>
      <c r="F683" s="629" t="str">
        <f>IFERROR(VLOOKUP(E683,STAT1!$C$4:$D$8000,2,FALSE),"")</f>
        <v>Бусад зардал</v>
      </c>
      <c r="G683" s="811">
        <v>81000</v>
      </c>
      <c r="H683" s="811"/>
      <c r="I683" s="580">
        <f t="shared" si="55"/>
        <v>0</v>
      </c>
      <c r="J683" s="961">
        <f t="shared" si="56"/>
        <v>0</v>
      </c>
      <c r="K683" s="80"/>
      <c r="L683" s="807">
        <v>1003</v>
      </c>
      <c r="M683" s="80" t="str">
        <f>+IFERROR(VLOOKUP(L683,DATA!$G$4:$H$2000,2,FALSE),"")</f>
        <v>Бахдамдэмбэрэл</v>
      </c>
      <c r="N683" s="807"/>
      <c r="O683" s="80" t="str">
        <f>IFERROR(VLOOKUP(N683,DATA!$K$4:$L$51,2,FALSE),"")</f>
        <v/>
      </c>
      <c r="P683" s="80">
        <f t="shared" ref="P683:P746" si="57">+IF(I683,1,0)</f>
        <v>0</v>
      </c>
      <c r="Q683" s="154">
        <f t="shared" ref="Q683:Q746" si="58">+IF(I683,1,0)</f>
        <v>0</v>
      </c>
    </row>
    <row r="684" spans="2:17">
      <c r="B684" s="627">
        <f t="shared" si="54"/>
        <v>679</v>
      </c>
      <c r="C684" s="429">
        <v>43249</v>
      </c>
      <c r="D684" s="816" t="s">
        <v>2513</v>
      </c>
      <c r="E684" s="807">
        <v>100100</v>
      </c>
      <c r="F684" s="629" t="str">
        <f>IFERROR(VLOOKUP(E684,STAT1!$C$4:$D$1000,2,FALSE),"")</f>
        <v>Касс мөнгө MNT</v>
      </c>
      <c r="G684" s="811"/>
      <c r="H684" s="811">
        <v>4281200</v>
      </c>
      <c r="I684" s="580">
        <f t="shared" si="55"/>
        <v>-4281200</v>
      </c>
      <c r="J684" s="961">
        <f t="shared" si="56"/>
        <v>0</v>
      </c>
      <c r="K684" s="80"/>
      <c r="L684" s="807">
        <v>3017</v>
      </c>
      <c r="M684" s="80" t="str">
        <f>+IFERROR(VLOOKUP(L684,DATA!$G$4:$H$2000,2,FALSE),"")</f>
        <v xml:space="preserve">ВОС ХХК </v>
      </c>
      <c r="N684" s="807">
        <v>53</v>
      </c>
      <c r="O684" s="80" t="str">
        <f>IFERROR(VLOOKUP(N684,DATA!$K$4:$L$51,2,FALSE),"")</f>
        <v>Бараа материал худалдан авахад төлсөн</v>
      </c>
      <c r="P684" s="80">
        <f t="shared" si="57"/>
        <v>1</v>
      </c>
      <c r="Q684" s="154">
        <f t="shared" si="58"/>
        <v>1</v>
      </c>
    </row>
    <row r="685" spans="2:17">
      <c r="B685" s="627">
        <f t="shared" si="54"/>
        <v>680</v>
      </c>
      <c r="C685" s="429">
        <v>43249</v>
      </c>
      <c r="D685" s="816" t="s">
        <v>2513</v>
      </c>
      <c r="E685" s="807">
        <v>120100</v>
      </c>
      <c r="F685" s="629" t="str">
        <f>IFERROR(VLOOKUP(E685,STAT1!$C$4:$D$1000,2,FALSE),"")</f>
        <v xml:space="preserve">Дансны авлага MNT </v>
      </c>
      <c r="G685" s="811">
        <v>4281200</v>
      </c>
      <c r="H685" s="811"/>
      <c r="I685" s="580">
        <f t="shared" si="55"/>
        <v>0</v>
      </c>
      <c r="J685" s="961">
        <f t="shared" si="56"/>
        <v>0</v>
      </c>
      <c r="K685" s="80"/>
      <c r="L685" s="807">
        <v>3017</v>
      </c>
      <c r="M685" s="80" t="str">
        <f>+IFERROR(VLOOKUP(L685,DATA!$G$4:$H$2000,2,FALSE),"")</f>
        <v xml:space="preserve">ВОС ХХК </v>
      </c>
      <c r="N685" s="807"/>
      <c r="O685" s="80" t="str">
        <f>IFERROR(VLOOKUP(N685,DATA!$K$4:$L$51,2,FALSE),"")</f>
        <v/>
      </c>
      <c r="P685" s="80">
        <f t="shared" si="57"/>
        <v>0</v>
      </c>
      <c r="Q685" s="154">
        <f t="shared" si="58"/>
        <v>0</v>
      </c>
    </row>
    <row r="686" spans="2:17">
      <c r="B686" s="627">
        <f t="shared" si="54"/>
        <v>681</v>
      </c>
      <c r="C686" s="429">
        <v>43249</v>
      </c>
      <c r="D686" s="816" t="s">
        <v>2578</v>
      </c>
      <c r="E686" s="807">
        <v>160100</v>
      </c>
      <c r="F686" s="629" t="str">
        <f>IFERROR(VLOOKUP(E686,STAT1!$C$4:$D$1000,2,FALSE),"")</f>
        <v xml:space="preserve">Барилгын материал </v>
      </c>
      <c r="G686" s="811">
        <f>4281200/1.1</f>
        <v>3891999.9999999995</v>
      </c>
      <c r="H686" s="811"/>
      <c r="I686" s="580">
        <f t="shared" si="55"/>
        <v>0</v>
      </c>
      <c r="J686" s="961">
        <f t="shared" si="56"/>
        <v>0</v>
      </c>
      <c r="K686" s="80"/>
      <c r="L686" s="807">
        <v>3017</v>
      </c>
      <c r="M686" s="80" t="str">
        <f>+IFERROR(VLOOKUP(L686,DATA!$G$4:$H$2000,2,FALSE),"")</f>
        <v xml:space="preserve">ВОС ХХК </v>
      </c>
      <c r="N686" s="807"/>
      <c r="O686" s="80" t="str">
        <f>IFERROR(VLOOKUP(N686,DATA!$K$4:$L$51,2,FALSE),"")</f>
        <v/>
      </c>
      <c r="P686" s="80">
        <f t="shared" si="57"/>
        <v>0</v>
      </c>
      <c r="Q686" s="154">
        <f t="shared" si="58"/>
        <v>0</v>
      </c>
    </row>
    <row r="687" spans="2:17">
      <c r="B687" s="627">
        <f t="shared" si="54"/>
        <v>682</v>
      </c>
      <c r="C687" s="429">
        <v>43249</v>
      </c>
      <c r="D687" s="816" t="s">
        <v>2578</v>
      </c>
      <c r="E687" s="807">
        <v>120600</v>
      </c>
      <c r="F687" s="629" t="str">
        <f>IFERROR(VLOOKUP(E687,STAT1!$C$4:$D$8000,2,FALSE),"")</f>
        <v>НӨАТ авлага</v>
      </c>
      <c r="G687" s="376">
        <v>389200</v>
      </c>
      <c r="H687" s="376"/>
      <c r="I687" s="580">
        <f t="shared" si="55"/>
        <v>0</v>
      </c>
      <c r="J687" s="961">
        <f t="shared" si="56"/>
        <v>0</v>
      </c>
      <c r="K687" s="80"/>
      <c r="L687" s="807">
        <v>3017</v>
      </c>
      <c r="M687" s="80" t="str">
        <f>+IFERROR(VLOOKUP(L687,DATA!$G$4:$H$2000,2,FALSE),"")</f>
        <v xml:space="preserve">ВОС ХХК </v>
      </c>
      <c r="N687" s="630"/>
      <c r="O687" s="80" t="str">
        <f>IFERROR(VLOOKUP(N687,DATA!$K$4:$L$51,2,FALSE),"")</f>
        <v/>
      </c>
      <c r="P687" s="80">
        <f t="shared" si="57"/>
        <v>0</v>
      </c>
      <c r="Q687" s="154">
        <f t="shared" si="58"/>
        <v>0</v>
      </c>
    </row>
    <row r="688" spans="2:17">
      <c r="B688" s="627">
        <f t="shared" si="54"/>
        <v>683</v>
      </c>
      <c r="C688" s="429">
        <v>43249</v>
      </c>
      <c r="D688" s="816" t="s">
        <v>2578</v>
      </c>
      <c r="E688" s="807">
        <v>120100</v>
      </c>
      <c r="F688" s="629" t="str">
        <f>IFERROR(VLOOKUP(E688,STAT1!$C$4:$D$8000,2,FALSE),"")</f>
        <v xml:space="preserve">Дансны авлага MNT </v>
      </c>
      <c r="G688" s="376"/>
      <c r="H688" s="376">
        <v>4281200</v>
      </c>
      <c r="I688" s="580">
        <f t="shared" si="55"/>
        <v>0</v>
      </c>
      <c r="J688" s="961">
        <f t="shared" si="56"/>
        <v>0</v>
      </c>
      <c r="K688" s="80"/>
      <c r="L688" s="807">
        <v>3017</v>
      </c>
      <c r="M688" s="80" t="str">
        <f>+IFERROR(VLOOKUP(L688,DATA!$G$4:$H$2000,2,FALSE),"")</f>
        <v xml:space="preserve">ВОС ХХК </v>
      </c>
      <c r="N688" s="630"/>
      <c r="O688" s="80" t="str">
        <f>IFERROR(VLOOKUP(N688,DATA!$K$4:$L$51,2,FALSE),"")</f>
        <v/>
      </c>
      <c r="P688" s="80">
        <f t="shared" si="57"/>
        <v>0</v>
      </c>
      <c r="Q688" s="154">
        <f t="shared" si="58"/>
        <v>0</v>
      </c>
    </row>
    <row r="689" spans="2:17">
      <c r="B689" s="627">
        <f t="shared" si="54"/>
        <v>684</v>
      </c>
      <c r="C689" s="429">
        <v>43250</v>
      </c>
      <c r="D689" s="816" t="s">
        <v>2549</v>
      </c>
      <c r="E689" s="807">
        <v>150101</v>
      </c>
      <c r="F689" s="629" t="str">
        <f>IFERROR(VLOOKUP(E689,STAT1!$C$4:$D$8000,2,FALSE),"")</f>
        <v>Бараа бэлэн бүтээгдэхүүн БОЛОВСРУУЛАХ ЦЕХ /нарс/</v>
      </c>
      <c r="G689" s="811"/>
      <c r="H689" s="811">
        <v>239125.39</v>
      </c>
      <c r="I689" s="580">
        <f t="shared" si="55"/>
        <v>0</v>
      </c>
      <c r="J689" s="961">
        <f t="shared" si="56"/>
        <v>0</v>
      </c>
      <c r="K689" s="80"/>
      <c r="L689" s="807">
        <v>3128</v>
      </c>
      <c r="M689" s="80" t="str">
        <f>+IFERROR(VLOOKUP(L689,DATA!$G$4:$H$2000,2,FALSE),"")</f>
        <v>ЦАСТБААТАР ЦАМХАГ ХХК</v>
      </c>
      <c r="N689" s="807"/>
      <c r="O689" s="80" t="str">
        <f>IFERROR(VLOOKUP(N689,DATA!$K$4:$L$51,2,FALSE),"")</f>
        <v/>
      </c>
      <c r="P689" s="80">
        <f t="shared" si="57"/>
        <v>0</v>
      </c>
      <c r="Q689" s="154">
        <f t="shared" si="58"/>
        <v>0</v>
      </c>
    </row>
    <row r="690" spans="2:17">
      <c r="B690" s="627">
        <f t="shared" si="54"/>
        <v>685</v>
      </c>
      <c r="C690" s="429">
        <v>43250</v>
      </c>
      <c r="D690" s="816" t="s">
        <v>2549</v>
      </c>
      <c r="E690" s="807">
        <v>610100</v>
      </c>
      <c r="F690" s="629" t="str">
        <f>IFERROR(VLOOKUP(E690,STAT1!$C$4:$D$1000,2,FALSE),"")</f>
        <v>Борлуулсан барааны өртөг</v>
      </c>
      <c r="G690" s="811">
        <v>239125.39</v>
      </c>
      <c r="H690" s="811"/>
      <c r="I690" s="580">
        <f t="shared" si="55"/>
        <v>0</v>
      </c>
      <c r="J690" s="961">
        <f t="shared" si="56"/>
        <v>0</v>
      </c>
      <c r="K690" s="80"/>
      <c r="L690" s="807">
        <v>3128</v>
      </c>
      <c r="M690" s="80" t="str">
        <f>+IFERROR(VLOOKUP(L690,DATA!$G$4:$H$2000,2,FALSE),"")</f>
        <v>ЦАСТБААТАР ЦАМХАГ ХХК</v>
      </c>
      <c r="N690" s="807"/>
      <c r="O690" s="80" t="str">
        <f>IFERROR(VLOOKUP(N690,DATA!$K$4:$L$51,2,FALSE),"")</f>
        <v/>
      </c>
      <c r="P690" s="80">
        <f t="shared" si="57"/>
        <v>0</v>
      </c>
      <c r="Q690" s="154">
        <f t="shared" si="58"/>
        <v>0</v>
      </c>
    </row>
    <row r="691" spans="2:17">
      <c r="B691" s="627">
        <f t="shared" si="54"/>
        <v>686</v>
      </c>
      <c r="C691" s="429">
        <v>43250</v>
      </c>
      <c r="D691" s="816" t="s">
        <v>2549</v>
      </c>
      <c r="E691" s="807">
        <v>310500</v>
      </c>
      <c r="F691" s="629" t="str">
        <f>IFERROR(VLOOKUP(E691,STAT1!$C$4:$D$1000,2,FALSE),"")</f>
        <v>НӨАТ өглөг</v>
      </c>
      <c r="G691" s="811"/>
      <c r="H691" s="811">
        <v>36181.82</v>
      </c>
      <c r="I691" s="580">
        <f t="shared" si="55"/>
        <v>0</v>
      </c>
      <c r="J691" s="961">
        <f t="shared" si="56"/>
        <v>0</v>
      </c>
      <c r="K691" s="80"/>
      <c r="L691" s="807">
        <v>3128</v>
      </c>
      <c r="M691" s="80" t="str">
        <f>+IFERROR(VLOOKUP(L691,DATA!$G$4:$H$2000,2,FALSE),"")</f>
        <v>ЦАСТБААТАР ЦАМХАГ ХХК</v>
      </c>
      <c r="N691" s="807"/>
      <c r="O691" s="80" t="str">
        <f>IFERROR(VLOOKUP(N691,DATA!$K$4:$L$51,2,FALSE),"")</f>
        <v/>
      </c>
      <c r="P691" s="80">
        <f t="shared" si="57"/>
        <v>0</v>
      </c>
      <c r="Q691" s="154">
        <f t="shared" si="58"/>
        <v>0</v>
      </c>
    </row>
    <row r="692" spans="2:17">
      <c r="B692" s="627">
        <f t="shared" si="54"/>
        <v>687</v>
      </c>
      <c r="C692" s="429">
        <v>43250</v>
      </c>
      <c r="D692" s="816" t="s">
        <v>2549</v>
      </c>
      <c r="E692" s="807">
        <v>510000</v>
      </c>
      <c r="F692" s="629" t="str">
        <f>IFERROR(VLOOKUP(E692,STAT1!$C$4:$D$1000,2,FALSE),"")</f>
        <v>Үндсэн үйл ажиллагааны борлуулалт</v>
      </c>
      <c r="G692" s="811"/>
      <c r="H692" s="811">
        <v>361818.18</v>
      </c>
      <c r="I692" s="580">
        <f t="shared" si="55"/>
        <v>0</v>
      </c>
      <c r="J692" s="961">
        <f t="shared" si="56"/>
        <v>0</v>
      </c>
      <c r="K692" s="80"/>
      <c r="L692" s="807">
        <v>3128</v>
      </c>
      <c r="M692" s="80" t="str">
        <f>+IFERROR(VLOOKUP(L692,DATA!$G$4:$H$2000,2,FALSE),"")</f>
        <v>ЦАСТБААТАР ЦАМХАГ ХХК</v>
      </c>
      <c r="N692" s="807"/>
      <c r="O692" s="80" t="str">
        <f>IFERROR(VLOOKUP(N692,DATA!$K$4:$L$51,2,FALSE),"")</f>
        <v/>
      </c>
      <c r="P692" s="80">
        <f t="shared" si="57"/>
        <v>0</v>
      </c>
      <c r="Q692" s="154">
        <f t="shared" si="58"/>
        <v>0</v>
      </c>
    </row>
    <row r="693" spans="2:17">
      <c r="B693" s="627">
        <f t="shared" si="54"/>
        <v>688</v>
      </c>
      <c r="C693" s="429">
        <v>43250</v>
      </c>
      <c r="D693" s="816" t="s">
        <v>2549</v>
      </c>
      <c r="E693" s="807">
        <v>320100</v>
      </c>
      <c r="F693" s="629" t="str">
        <f>IFERROR(VLOOKUP(E693,STAT1!$C$4:$D$1000,2,FALSE),"")</f>
        <v>Урьдчилж орсон орлого MNT</v>
      </c>
      <c r="G693" s="811">
        <v>398000</v>
      </c>
      <c r="H693" s="811"/>
      <c r="I693" s="580">
        <f t="shared" si="55"/>
        <v>0</v>
      </c>
      <c r="J693" s="961">
        <f t="shared" si="56"/>
        <v>0</v>
      </c>
      <c r="K693" s="80"/>
      <c r="L693" s="807">
        <v>3128</v>
      </c>
      <c r="M693" s="80" t="str">
        <f>+IFERROR(VLOOKUP(L693,DATA!$G$4:$H$2000,2,FALSE),"")</f>
        <v>ЦАСТБААТАР ЦАМХАГ ХХК</v>
      </c>
      <c r="N693" s="807"/>
      <c r="O693" s="80" t="str">
        <f>IFERROR(VLOOKUP(N693,DATA!$K$4:$L$51,2,FALSE),"")</f>
        <v/>
      </c>
      <c r="P693" s="80">
        <f t="shared" si="57"/>
        <v>0</v>
      </c>
      <c r="Q693" s="154">
        <f t="shared" si="58"/>
        <v>0</v>
      </c>
    </row>
    <row r="694" spans="2:17">
      <c r="B694" s="627">
        <f t="shared" si="54"/>
        <v>689</v>
      </c>
      <c r="C694" s="429">
        <v>43250</v>
      </c>
      <c r="D694" s="816" t="s">
        <v>2549</v>
      </c>
      <c r="E694" s="807">
        <v>150101</v>
      </c>
      <c r="F694" s="629" t="str">
        <f>IFERROR(VLOOKUP(E694,STAT1!$C$4:$D$1000,2,FALSE),"")</f>
        <v>Бараа бэлэн бүтээгдэхүүн БОЛОВСРУУЛАХ ЦЕХ /нарс/</v>
      </c>
      <c r="G694" s="811"/>
      <c r="H694" s="811">
        <v>343936.07</v>
      </c>
      <c r="I694" s="580">
        <f t="shared" si="55"/>
        <v>0</v>
      </c>
      <c r="J694" s="961">
        <f t="shared" si="56"/>
        <v>0</v>
      </c>
      <c r="K694" s="80"/>
      <c r="L694" s="807">
        <v>4002</v>
      </c>
      <c r="M694" s="80" t="str">
        <f>+IFERROR(VLOOKUP(L694,DATA!$G$4:$H$2000,2,FALSE),"")</f>
        <v xml:space="preserve">Хувь хүн </v>
      </c>
      <c r="N694" s="807"/>
      <c r="O694" s="80"/>
      <c r="P694" s="80">
        <f t="shared" si="57"/>
        <v>0</v>
      </c>
      <c r="Q694" s="154">
        <f t="shared" si="58"/>
        <v>0</v>
      </c>
    </row>
    <row r="695" spans="2:17">
      <c r="B695" s="627">
        <f t="shared" si="54"/>
        <v>690</v>
      </c>
      <c r="C695" s="429">
        <v>43250</v>
      </c>
      <c r="D695" s="816" t="s">
        <v>2549</v>
      </c>
      <c r="E695" s="807">
        <v>610100</v>
      </c>
      <c r="F695" s="629" t="str">
        <f>IFERROR(VLOOKUP(E695,STAT1!$C$4:$D$1000,2,FALSE),"")</f>
        <v>Борлуулсан барааны өртөг</v>
      </c>
      <c r="G695" s="811">
        <v>343936.07</v>
      </c>
      <c r="H695" s="811"/>
      <c r="I695" s="580">
        <f t="shared" si="55"/>
        <v>0</v>
      </c>
      <c r="J695" s="961">
        <f t="shared" si="56"/>
        <v>0</v>
      </c>
      <c r="K695" s="80"/>
      <c r="L695" s="807">
        <v>4002</v>
      </c>
      <c r="M695" s="80" t="str">
        <f>+IFERROR(VLOOKUP(L695,DATA!$G$4:$H$2000,2,FALSE),"")</f>
        <v xml:space="preserve">Хувь хүн </v>
      </c>
      <c r="N695" s="807"/>
      <c r="O695" s="80" t="str">
        <f>IFERROR(VLOOKUP(N695,DATA!$K$4:$L$51,2,FALSE),"")</f>
        <v/>
      </c>
      <c r="P695" s="80">
        <f t="shared" si="57"/>
        <v>0</v>
      </c>
      <c r="Q695" s="154">
        <f t="shared" si="58"/>
        <v>0</v>
      </c>
    </row>
    <row r="696" spans="2:17">
      <c r="B696" s="627">
        <f t="shared" si="54"/>
        <v>691</v>
      </c>
      <c r="C696" s="429">
        <v>43250</v>
      </c>
      <c r="D696" s="816" t="s">
        <v>2549</v>
      </c>
      <c r="E696" s="807">
        <v>310500</v>
      </c>
      <c r="F696" s="629" t="str">
        <f>IFERROR(VLOOKUP(E696,STAT1!$C$4:$D$1000,2,FALSE),"")</f>
        <v>НӨАТ өглөг</v>
      </c>
      <c r="G696" s="811"/>
      <c r="H696" s="811">
        <v>52047.55</v>
      </c>
      <c r="I696" s="580">
        <f t="shared" si="55"/>
        <v>0</v>
      </c>
      <c r="J696" s="961">
        <f t="shared" si="56"/>
        <v>0</v>
      </c>
      <c r="K696" s="80"/>
      <c r="L696" s="807">
        <v>4002</v>
      </c>
      <c r="M696" s="80" t="str">
        <f>+IFERROR(VLOOKUP(L696,DATA!$G$4:$H$2000,2,FALSE),"")</f>
        <v xml:space="preserve">Хувь хүн </v>
      </c>
      <c r="N696" s="807"/>
      <c r="O696" s="80" t="str">
        <f>IFERROR(VLOOKUP(N696,DATA!$K$4:$L$51,2,FALSE),"")</f>
        <v/>
      </c>
      <c r="P696" s="80">
        <f t="shared" si="57"/>
        <v>0</v>
      </c>
      <c r="Q696" s="154">
        <f t="shared" si="58"/>
        <v>0</v>
      </c>
    </row>
    <row r="697" spans="2:17">
      <c r="B697" s="627">
        <f t="shared" si="54"/>
        <v>692</v>
      </c>
      <c r="C697" s="429">
        <v>43250</v>
      </c>
      <c r="D697" s="816" t="s">
        <v>2549</v>
      </c>
      <c r="E697" s="807">
        <v>510000</v>
      </c>
      <c r="F697" s="629" t="str">
        <f>IFERROR(VLOOKUP(E697,STAT1!$C$4:$D$1000,2,FALSE),"")</f>
        <v>Үндсэн үйл ажиллагааны борлуулалт</v>
      </c>
      <c r="G697" s="811"/>
      <c r="H697" s="811">
        <v>520475.45</v>
      </c>
      <c r="I697" s="580">
        <f t="shared" si="55"/>
        <v>0</v>
      </c>
      <c r="J697" s="961">
        <f t="shared" si="56"/>
        <v>0</v>
      </c>
      <c r="K697" s="80"/>
      <c r="L697" s="807">
        <v>4002</v>
      </c>
      <c r="M697" s="80" t="str">
        <f>+IFERROR(VLOOKUP(L697,DATA!$G$4:$H$2000,2,FALSE),"")</f>
        <v xml:space="preserve">Хувь хүн </v>
      </c>
      <c r="N697" s="807"/>
      <c r="O697" s="80" t="str">
        <f>IFERROR(VLOOKUP(N697,DATA!$K$4:$L$51,2,FALSE),"")</f>
        <v/>
      </c>
      <c r="P697" s="80">
        <f t="shared" si="57"/>
        <v>0</v>
      </c>
      <c r="Q697" s="154">
        <f t="shared" si="58"/>
        <v>0</v>
      </c>
    </row>
    <row r="698" spans="2:17">
      <c r="B698" s="627">
        <f t="shared" si="54"/>
        <v>693</v>
      </c>
      <c r="C698" s="429">
        <v>43250</v>
      </c>
      <c r="D698" s="816" t="s">
        <v>2549</v>
      </c>
      <c r="E698" s="807">
        <v>320100</v>
      </c>
      <c r="F698" s="629" t="str">
        <f>IFERROR(VLOOKUP(E698,STAT1!$C$4:$D$1000,2,FALSE),"")</f>
        <v>Урьдчилж орсон орлого MNT</v>
      </c>
      <c r="G698" s="811">
        <v>572523</v>
      </c>
      <c r="H698" s="811"/>
      <c r="I698" s="580">
        <f t="shared" si="55"/>
        <v>0</v>
      </c>
      <c r="J698" s="961">
        <f t="shared" si="56"/>
        <v>0</v>
      </c>
      <c r="K698" s="80"/>
      <c r="L698" s="807">
        <v>4002</v>
      </c>
      <c r="M698" s="80" t="str">
        <f>+IFERROR(VLOOKUP(L698,DATA!$G$4:$H$2000,2,FALSE),"")</f>
        <v xml:space="preserve">Хувь хүн </v>
      </c>
      <c r="N698" s="807"/>
      <c r="O698" s="80" t="str">
        <f>IFERROR(VLOOKUP(N698,DATA!$K$4:$L$51,2,FALSE),"")</f>
        <v/>
      </c>
      <c r="P698" s="80">
        <f t="shared" si="57"/>
        <v>0</v>
      </c>
      <c r="Q698" s="154">
        <f t="shared" si="58"/>
        <v>0</v>
      </c>
    </row>
    <row r="699" spans="2:17">
      <c r="B699" s="627">
        <f t="shared" si="54"/>
        <v>694</v>
      </c>
      <c r="C699" s="429">
        <v>43251</v>
      </c>
      <c r="D699" s="850" t="s">
        <v>2581</v>
      </c>
      <c r="E699" s="807">
        <v>700200</v>
      </c>
      <c r="F699" s="629" t="str">
        <f>IFERROR(VLOOKUP(E699,STAT1!$C$4:$D$1000,2,FALSE),"")</f>
        <v>НДШимтгэл</v>
      </c>
      <c r="G699" s="811">
        <v>1957017.1481481481</v>
      </c>
      <c r="H699" s="811"/>
      <c r="I699" s="580">
        <f t="shared" si="55"/>
        <v>0</v>
      </c>
      <c r="J699" s="961">
        <f t="shared" si="56"/>
        <v>0</v>
      </c>
      <c r="K699" s="80"/>
      <c r="L699" s="807">
        <v>1004</v>
      </c>
      <c r="M699" s="80" t="str">
        <f>+IFERROR(VLOOKUP(L699,DATA!$G$4:$H$2000,2,FALSE),"")</f>
        <v xml:space="preserve">Түмэндэлгэр </v>
      </c>
      <c r="N699" s="807"/>
      <c r="O699" s="80" t="str">
        <f>IFERROR(VLOOKUP(N699,DATA!$K$4:$L$51,2,FALSE),"")</f>
        <v/>
      </c>
      <c r="P699" s="80">
        <f t="shared" si="57"/>
        <v>0</v>
      </c>
      <c r="Q699" s="154">
        <f t="shared" si="58"/>
        <v>0</v>
      </c>
    </row>
    <row r="700" spans="2:17">
      <c r="B700" s="627">
        <f t="shared" si="54"/>
        <v>695</v>
      </c>
      <c r="C700" s="429">
        <v>43251</v>
      </c>
      <c r="D700" s="850" t="s">
        <v>2581</v>
      </c>
      <c r="E700" s="807">
        <v>310800</v>
      </c>
      <c r="F700" s="629" t="str">
        <f>IFERROR(VLOOKUP(E700,STAT1!$C$4:$D$1000,2,FALSE),"")</f>
        <v>НД-ын байгууллагад өгөх өглөг</v>
      </c>
      <c r="G700" s="811"/>
      <c r="H700" s="811">
        <v>1957017.1481481481</v>
      </c>
      <c r="I700" s="580">
        <f t="shared" si="55"/>
        <v>0</v>
      </c>
      <c r="J700" s="961">
        <f t="shared" si="56"/>
        <v>0</v>
      </c>
      <c r="K700" s="80"/>
      <c r="L700" s="807">
        <v>1004</v>
      </c>
      <c r="M700" s="80" t="str">
        <f>+IFERROR(VLOOKUP(L700,DATA!$G$4:$H$2000,2,FALSE),"")</f>
        <v xml:space="preserve">Түмэндэлгэр </v>
      </c>
      <c r="N700" s="807"/>
      <c r="O700" s="80" t="str">
        <f>IFERROR(VLOOKUP(N700,DATA!$K$4:$L$51,2,FALSE),"")</f>
        <v/>
      </c>
      <c r="P700" s="80">
        <f t="shared" si="57"/>
        <v>0</v>
      </c>
      <c r="Q700" s="154">
        <f t="shared" si="58"/>
        <v>0</v>
      </c>
    </row>
    <row r="701" spans="2:17">
      <c r="B701" s="627">
        <f t="shared" si="54"/>
        <v>696</v>
      </c>
      <c r="C701" s="429">
        <v>43251</v>
      </c>
      <c r="D701" s="850" t="s">
        <v>2582</v>
      </c>
      <c r="E701" s="807">
        <v>310800</v>
      </c>
      <c r="F701" s="629" t="str">
        <f>IFERROR(VLOOKUP(E701,STAT1!$C$4:$D$1000,2,FALSE),"")</f>
        <v>НД-ын байгууллагад өгөх өглөг</v>
      </c>
      <c r="G701" s="811"/>
      <c r="H701" s="811">
        <v>1618080.03</v>
      </c>
      <c r="I701" s="580">
        <f t="shared" si="55"/>
        <v>0</v>
      </c>
      <c r="J701" s="961">
        <f t="shared" si="56"/>
        <v>0</v>
      </c>
      <c r="K701" s="80"/>
      <c r="L701" s="807">
        <v>1004</v>
      </c>
      <c r="M701" s="80" t="str">
        <f>+IFERROR(VLOOKUP(L701,DATA!$G$4:$H$2000,2,FALSE),"")</f>
        <v xml:space="preserve">Түмэндэлгэр </v>
      </c>
      <c r="N701" s="807"/>
      <c r="O701" s="80" t="str">
        <f>IFERROR(VLOOKUP(N701,DATA!$K$4:$L$51,2,FALSE),"")</f>
        <v/>
      </c>
      <c r="P701" s="80">
        <f t="shared" si="57"/>
        <v>0</v>
      </c>
      <c r="Q701" s="154">
        <f t="shared" si="58"/>
        <v>0</v>
      </c>
    </row>
    <row r="702" spans="2:17">
      <c r="B702" s="627">
        <f t="shared" si="54"/>
        <v>697</v>
      </c>
      <c r="C702" s="429">
        <v>43251</v>
      </c>
      <c r="D702" s="850" t="s">
        <v>2583</v>
      </c>
      <c r="E702" s="807">
        <v>310700</v>
      </c>
      <c r="F702" s="629" t="str">
        <f>IFERROR(VLOOKUP(E702,STAT1!$C$4:$D$1000,2,FALSE),"")</f>
        <v>ХАОАТ өглөг</v>
      </c>
      <c r="G702" s="811"/>
      <c r="H702" s="811">
        <v>1025379.77</v>
      </c>
      <c r="I702" s="580">
        <f t="shared" si="55"/>
        <v>0</v>
      </c>
      <c r="J702" s="961">
        <f t="shared" si="56"/>
        <v>0</v>
      </c>
      <c r="K702" s="80"/>
      <c r="L702" s="807">
        <v>1004</v>
      </c>
      <c r="M702" s="80" t="str">
        <f>+IFERROR(VLOOKUP(L702,DATA!$G$4:$H$2000,2,FALSE),"")</f>
        <v xml:space="preserve">Түмэндэлгэр </v>
      </c>
      <c r="N702" s="807"/>
      <c r="O702" s="80" t="str">
        <f>IFERROR(VLOOKUP(N702,DATA!$K$4:$L$51,2,FALSE),"")</f>
        <v/>
      </c>
      <c r="P702" s="80">
        <f t="shared" si="57"/>
        <v>0</v>
      </c>
      <c r="Q702" s="154">
        <f t="shared" si="58"/>
        <v>0</v>
      </c>
    </row>
    <row r="703" spans="2:17">
      <c r="B703" s="627">
        <f t="shared" si="54"/>
        <v>698</v>
      </c>
      <c r="C703" s="429">
        <v>43251</v>
      </c>
      <c r="D703" s="850" t="s">
        <v>2584</v>
      </c>
      <c r="E703" s="807">
        <v>311000</v>
      </c>
      <c r="F703" s="629" t="str">
        <f>IFERROR(VLOOKUP(E703,STAT1!$C$4:$D$1000,2,FALSE),"")</f>
        <v>Цалингийн өглөг</v>
      </c>
      <c r="G703" s="811"/>
      <c r="H703" s="811">
        <v>12143395.74</v>
      </c>
      <c r="I703" s="580">
        <f t="shared" si="55"/>
        <v>0</v>
      </c>
      <c r="J703" s="961">
        <f t="shared" si="56"/>
        <v>0</v>
      </c>
      <c r="K703" s="80"/>
      <c r="L703" s="807">
        <v>1004</v>
      </c>
      <c r="M703" s="80" t="str">
        <f>+IFERROR(VLOOKUP(L703,DATA!$G$4:$H$2000,2,FALSE),"")</f>
        <v xml:space="preserve">Түмэндэлгэр </v>
      </c>
      <c r="N703" s="807"/>
      <c r="O703" s="80" t="str">
        <f>IFERROR(VLOOKUP(N703,DATA!$K$4:$L$51,2,FALSE),"")</f>
        <v/>
      </c>
      <c r="P703" s="80">
        <f t="shared" si="57"/>
        <v>0</v>
      </c>
      <c r="Q703" s="154">
        <f t="shared" si="58"/>
        <v>0</v>
      </c>
    </row>
    <row r="704" spans="2:17">
      <c r="B704" s="627">
        <f t="shared" si="54"/>
        <v>699</v>
      </c>
      <c r="C704" s="429">
        <v>43251</v>
      </c>
      <c r="D704" s="850" t="s">
        <v>2585</v>
      </c>
      <c r="E704" s="807">
        <v>700100</v>
      </c>
      <c r="F704" s="629" t="str">
        <f>IFERROR(VLOOKUP(E704,STAT1!$C$4:$D$1000,2,FALSE),"")</f>
        <v>Цалин хөлс, шагнал</v>
      </c>
      <c r="G704" s="811">
        <v>14786855.539999999</v>
      </c>
      <c r="H704" s="811"/>
      <c r="I704" s="580">
        <f t="shared" si="55"/>
        <v>0</v>
      </c>
      <c r="J704" s="961">
        <f t="shared" si="56"/>
        <v>0</v>
      </c>
      <c r="K704" s="80"/>
      <c r="L704" s="807">
        <v>1004</v>
      </c>
      <c r="M704" s="80" t="str">
        <f>+IFERROR(VLOOKUP(L704,DATA!$G$4:$H$2000,2,FALSE),"")</f>
        <v xml:space="preserve">Түмэндэлгэр </v>
      </c>
      <c r="N704" s="807"/>
      <c r="O704" s="80" t="str">
        <f>IFERROR(VLOOKUP(N704,DATA!$K$4:$L$51,2,FALSE),"")</f>
        <v/>
      </c>
      <c r="P704" s="80">
        <f t="shared" si="57"/>
        <v>0</v>
      </c>
      <c r="Q704" s="154">
        <f t="shared" si="58"/>
        <v>0</v>
      </c>
    </row>
    <row r="705" spans="2:17">
      <c r="B705" s="627">
        <f t="shared" si="54"/>
        <v>700</v>
      </c>
      <c r="C705" s="429">
        <v>43251</v>
      </c>
      <c r="D705" s="816" t="s">
        <v>2595</v>
      </c>
      <c r="E705" s="807">
        <v>100100</v>
      </c>
      <c r="F705" s="629" t="str">
        <f>IFERROR(VLOOKUP(E705,STAT1!$C$4:$D$1000,2,FALSE),"")</f>
        <v>Касс мөнгө MNT</v>
      </c>
      <c r="G705" s="811"/>
      <c r="H705" s="811">
        <v>12143395.74</v>
      </c>
      <c r="I705" s="580">
        <f t="shared" si="55"/>
        <v>-12143395.74</v>
      </c>
      <c r="J705" s="961">
        <f t="shared" si="56"/>
        <v>0</v>
      </c>
      <c r="K705" s="80"/>
      <c r="L705" s="807">
        <v>1004</v>
      </c>
      <c r="M705" s="80" t="str">
        <f>+IFERROR(VLOOKUP(L705,DATA!$G$4:$H$2000,2,FALSE),"")</f>
        <v xml:space="preserve">Түмэндэлгэр </v>
      </c>
      <c r="N705" s="807">
        <v>51</v>
      </c>
      <c r="O705" s="80" t="str">
        <f>IFERROR(VLOOKUP(N705,DATA!$K$4:$L$51,2,FALSE),"")</f>
        <v>Ажиллагчдад төлсөн</v>
      </c>
      <c r="P705" s="80">
        <f t="shared" si="57"/>
        <v>1</v>
      </c>
      <c r="Q705" s="154">
        <f t="shared" si="58"/>
        <v>1</v>
      </c>
    </row>
    <row r="706" spans="2:17">
      <c r="B706" s="627">
        <f t="shared" si="54"/>
        <v>701</v>
      </c>
      <c r="C706" s="429">
        <v>43251</v>
      </c>
      <c r="D706" s="816" t="s">
        <v>2595</v>
      </c>
      <c r="E706" s="807">
        <v>311000</v>
      </c>
      <c r="F706" s="629" t="str">
        <f>IFERROR(VLOOKUP(E706,STAT1!$C$4:$D$1000,2,FALSE),"")</f>
        <v>Цалингийн өглөг</v>
      </c>
      <c r="G706" s="811">
        <v>12143395.74</v>
      </c>
      <c r="H706" s="811"/>
      <c r="I706" s="580">
        <f t="shared" si="55"/>
        <v>0</v>
      </c>
      <c r="J706" s="961">
        <f t="shared" si="56"/>
        <v>0</v>
      </c>
      <c r="K706" s="80"/>
      <c r="L706" s="807">
        <v>1004</v>
      </c>
      <c r="M706" s="80" t="str">
        <f>+IFERROR(VLOOKUP(L706,DATA!$G$4:$H$2000,2,FALSE),"")</f>
        <v xml:space="preserve">Түмэндэлгэр </v>
      </c>
      <c r="N706" s="807"/>
      <c r="O706" s="80" t="str">
        <f>IFERROR(VLOOKUP(N706,DATA!$K$4:$L$51,2,FALSE),"")</f>
        <v/>
      </c>
      <c r="P706" s="80">
        <f t="shared" si="57"/>
        <v>0</v>
      </c>
      <c r="Q706" s="154">
        <f t="shared" si="58"/>
        <v>0</v>
      </c>
    </row>
    <row r="707" spans="2:17">
      <c r="B707" s="627">
        <f t="shared" si="54"/>
        <v>702</v>
      </c>
      <c r="C707" s="429">
        <v>43251</v>
      </c>
      <c r="D707" s="816" t="s">
        <v>2381</v>
      </c>
      <c r="E707" s="807">
        <v>110100</v>
      </c>
      <c r="F707" s="629" t="str">
        <f>IFERROR(VLOOKUP(E707,STAT1!$C$4:$D$8000,2,FALSE),"")</f>
        <v>Хаан Банк 5024654020</v>
      </c>
      <c r="G707" s="811"/>
      <c r="H707" s="811">
        <v>100</v>
      </c>
      <c r="I707" s="580">
        <f t="shared" si="55"/>
        <v>-100</v>
      </c>
      <c r="J707" s="961">
        <f t="shared" si="56"/>
        <v>0</v>
      </c>
      <c r="K707" s="80"/>
      <c r="L707" s="807">
        <v>2009</v>
      </c>
      <c r="M707" s="80" t="str">
        <f>+IFERROR(VLOOKUP(L707,DATA!$G$4:$H$2000,2,FALSE),"")</f>
        <v>ХААН БАНК</v>
      </c>
      <c r="N707" s="807">
        <v>59</v>
      </c>
      <c r="O707" s="80" t="str">
        <f>IFERROR(VLOOKUP(N707,DATA!$K$4:$L$51,2,FALSE),"")</f>
        <v>Бусад мөнгөн зарлага</v>
      </c>
      <c r="P707" s="80">
        <f t="shared" si="57"/>
        <v>1</v>
      </c>
      <c r="Q707" s="154">
        <f t="shared" si="58"/>
        <v>1</v>
      </c>
    </row>
    <row r="708" spans="2:17">
      <c r="B708" s="627">
        <f t="shared" si="54"/>
        <v>703</v>
      </c>
      <c r="C708" s="429">
        <v>43251</v>
      </c>
      <c r="D708" s="816" t="s">
        <v>2381</v>
      </c>
      <c r="E708" s="807">
        <v>704900</v>
      </c>
      <c r="F708" s="629" t="str">
        <f>IFERROR(VLOOKUP(E708,STAT1!$C$4:$D$8000,2,FALSE),"")</f>
        <v>Банкны үйлчилгээ</v>
      </c>
      <c r="G708" s="811">
        <v>100</v>
      </c>
      <c r="H708" s="811"/>
      <c r="I708" s="580">
        <f t="shared" si="55"/>
        <v>0</v>
      </c>
      <c r="J708" s="961">
        <f t="shared" si="56"/>
        <v>0</v>
      </c>
      <c r="K708" s="80"/>
      <c r="L708" s="807">
        <v>2009</v>
      </c>
      <c r="M708" s="80" t="str">
        <f>+IFERROR(VLOOKUP(L708,DATA!$G$4:$H$2000,2,FALSE),"")</f>
        <v>ХААН БАНК</v>
      </c>
      <c r="N708" s="807"/>
      <c r="O708" s="80" t="str">
        <f>IFERROR(VLOOKUP(N708,DATA!$K$4:$L$51,2,FALSE),"")</f>
        <v/>
      </c>
      <c r="P708" s="80">
        <f t="shared" si="57"/>
        <v>0</v>
      </c>
      <c r="Q708" s="154">
        <f t="shared" si="58"/>
        <v>0</v>
      </c>
    </row>
    <row r="709" spans="2:17">
      <c r="B709" s="627">
        <f t="shared" si="54"/>
        <v>704</v>
      </c>
      <c r="C709" s="429">
        <v>43251</v>
      </c>
      <c r="D709" s="816" t="s">
        <v>2514</v>
      </c>
      <c r="E709" s="807">
        <v>110100</v>
      </c>
      <c r="F709" s="629" t="str">
        <f>IFERROR(VLOOKUP(E709,STAT1!$C$4:$D$8000,2,FALSE),"")</f>
        <v>Хаан Банк 5024654020</v>
      </c>
      <c r="G709" s="811"/>
      <c r="H709" s="811">
        <v>2000</v>
      </c>
      <c r="I709" s="580">
        <f t="shared" si="55"/>
        <v>-2000</v>
      </c>
      <c r="J709" s="961">
        <f t="shared" si="56"/>
        <v>0</v>
      </c>
      <c r="K709" s="80"/>
      <c r="L709" s="807">
        <v>2009</v>
      </c>
      <c r="M709" s="80" t="str">
        <f>+IFERROR(VLOOKUP(L709,DATA!$G$4:$H$2000,2,FALSE),"")</f>
        <v>ХААН БАНК</v>
      </c>
      <c r="N709" s="807">
        <v>59</v>
      </c>
      <c r="O709" s="80" t="str">
        <f>IFERROR(VLOOKUP(N709,DATA!$K$4:$L$51,2,FALSE),"")</f>
        <v>Бусад мөнгөн зарлага</v>
      </c>
      <c r="P709" s="80">
        <f t="shared" si="57"/>
        <v>1</v>
      </c>
      <c r="Q709" s="154">
        <f t="shared" si="58"/>
        <v>1</v>
      </c>
    </row>
    <row r="710" spans="2:17">
      <c r="B710" s="627">
        <f t="shared" ref="B710:B773" si="59">+IF(C710="","",ROW()-5)</f>
        <v>705</v>
      </c>
      <c r="C710" s="429">
        <v>43251</v>
      </c>
      <c r="D710" s="816" t="s">
        <v>2514</v>
      </c>
      <c r="E710" s="807">
        <v>704900</v>
      </c>
      <c r="F710" s="629" t="str">
        <f>IFERROR(VLOOKUP(E710,STAT1!$C$4:$D$8000,2,FALSE),"")</f>
        <v>Банкны үйлчилгээ</v>
      </c>
      <c r="G710" s="811">
        <v>2000</v>
      </c>
      <c r="H710" s="811"/>
      <c r="I710" s="580">
        <f t="shared" ref="I710:I773" si="60">+IF(OR(E710=100100,E710=100200,E710=110100,E710=110102,E710=110103,E710=110104,E710=110105,E710=110200,E710=110201,E710=110202,E710=110203,E710=110204,E710=110300),G710,0)+IF(OR(E710=100100,E710=100200,E710=110100,E710=110102,E710=110103,E710=110104,E710=110105,E710=110200,E710=110201,E710=110202,E710=110203,E710=110204,E710=110300),H710*-1,0)</f>
        <v>0</v>
      </c>
      <c r="J710" s="961">
        <f t="shared" ref="J710:J773" si="61">+IF(E710=110102,I710/K710,0)</f>
        <v>0</v>
      </c>
      <c r="K710" s="80"/>
      <c r="L710" s="807">
        <v>2009</v>
      </c>
      <c r="M710" s="80" t="str">
        <f>+IFERROR(VLOOKUP(L710,DATA!$G$4:$H$2000,2,FALSE),"")</f>
        <v>ХААН БАНК</v>
      </c>
      <c r="N710" s="807"/>
      <c r="O710" s="80" t="str">
        <f>IFERROR(VLOOKUP(N710,DATA!$K$4:$L$51,2,FALSE),"")</f>
        <v/>
      </c>
      <c r="P710" s="80">
        <f t="shared" si="57"/>
        <v>0</v>
      </c>
      <c r="Q710" s="154">
        <f t="shared" si="58"/>
        <v>0</v>
      </c>
    </row>
    <row r="711" spans="2:17">
      <c r="B711" s="627">
        <f t="shared" si="59"/>
        <v>706</v>
      </c>
      <c r="C711" s="429">
        <v>43251</v>
      </c>
      <c r="D711" s="816" t="s">
        <v>2608</v>
      </c>
      <c r="E711" s="807">
        <v>120600</v>
      </c>
      <c r="F711" s="629" t="str">
        <f>IFERROR(VLOOKUP(E711,STAT1!$C$4:$D$8000,2,FALSE),"")</f>
        <v>НӨАТ авлага</v>
      </c>
      <c r="G711" s="811">
        <v>588458.44999999995</v>
      </c>
      <c r="H711" s="811"/>
      <c r="I711" s="580">
        <f t="shared" si="60"/>
        <v>0</v>
      </c>
      <c r="J711" s="961">
        <f t="shared" si="61"/>
        <v>0</v>
      </c>
      <c r="K711" s="80"/>
      <c r="L711" s="807">
        <v>2004</v>
      </c>
      <c r="M711" s="80" t="str">
        <f>+IFERROR(VLOOKUP(L711,DATA!$G$4:$H$2000,2,FALSE),"")</f>
        <v xml:space="preserve">ДЦС-3 ТӨХК </v>
      </c>
      <c r="N711" s="807"/>
      <c r="O711" s="80" t="str">
        <f>IFERROR(VLOOKUP(N711,DATA!$K$4:$L$51,2,FALSE),"")</f>
        <v/>
      </c>
      <c r="P711" s="80">
        <f t="shared" si="57"/>
        <v>0</v>
      </c>
      <c r="Q711" s="154">
        <f t="shared" si="58"/>
        <v>0</v>
      </c>
    </row>
    <row r="712" spans="2:17">
      <c r="B712" s="627">
        <f t="shared" si="59"/>
        <v>707</v>
      </c>
      <c r="C712" s="429">
        <v>43251</v>
      </c>
      <c r="D712" s="816" t="s">
        <v>2608</v>
      </c>
      <c r="E712" s="807">
        <v>120100</v>
      </c>
      <c r="F712" s="629" t="str">
        <f>IFERROR(VLOOKUP(E712,STAT1!$C$4:$D$8000,2,FALSE),"")</f>
        <v xml:space="preserve">Дансны авлага MNT </v>
      </c>
      <c r="G712" s="811"/>
      <c r="H712" s="811">
        <v>588458.44999999995</v>
      </c>
      <c r="I712" s="580">
        <f t="shared" si="60"/>
        <v>0</v>
      </c>
      <c r="J712" s="961">
        <f t="shared" si="61"/>
        <v>0</v>
      </c>
      <c r="K712" s="80"/>
      <c r="L712" s="807">
        <v>2004</v>
      </c>
      <c r="M712" s="80" t="str">
        <f>+IFERROR(VLOOKUP(L712,DATA!$G$4:$H$2000,2,FALSE),"")</f>
        <v xml:space="preserve">ДЦС-3 ТӨХК </v>
      </c>
      <c r="N712" s="807"/>
      <c r="O712" s="80" t="str">
        <f>IFERROR(VLOOKUP(N712,DATA!$K$4:$L$51,2,FALSE),"")</f>
        <v/>
      </c>
      <c r="P712" s="80">
        <f t="shared" si="57"/>
        <v>0</v>
      </c>
      <c r="Q712" s="154">
        <f t="shared" si="58"/>
        <v>0</v>
      </c>
    </row>
    <row r="713" spans="2:17">
      <c r="B713" s="627">
        <f t="shared" si="59"/>
        <v>708</v>
      </c>
      <c r="C713" s="429">
        <v>43251</v>
      </c>
      <c r="D713" s="816" t="s">
        <v>2623</v>
      </c>
      <c r="E713" s="807">
        <v>100100</v>
      </c>
      <c r="F713" s="629" t="str">
        <f>IFERROR(VLOOKUP(E713,STAT1!$C$4:$D$1000,2,FALSE),"")</f>
        <v>Касс мөнгө MNT</v>
      </c>
      <c r="G713" s="811"/>
      <c r="H713" s="811">
        <v>2348797</v>
      </c>
      <c r="I713" s="580">
        <f t="shared" si="60"/>
        <v>-2348797</v>
      </c>
      <c r="J713" s="961">
        <f t="shared" si="61"/>
        <v>0</v>
      </c>
      <c r="K713" s="80"/>
      <c r="L713" s="807">
        <v>2013</v>
      </c>
      <c r="M713" s="80" t="str">
        <f>+IFERROR(VLOOKUP(L713,DATA!$G$4:$H$2000,2,FALSE),"")</f>
        <v>УБДС ТӨХК</v>
      </c>
      <c r="N713" s="807">
        <v>54</v>
      </c>
      <c r="O713" s="80" t="str">
        <f>IFERROR(VLOOKUP(N713,DATA!$K$4:$L$51,2,FALSE),"")</f>
        <v>Ашиглалтын зардалд төлсөн</v>
      </c>
      <c r="P713" s="80">
        <f t="shared" si="57"/>
        <v>1</v>
      </c>
      <c r="Q713" s="154">
        <f t="shared" si="58"/>
        <v>1</v>
      </c>
    </row>
    <row r="714" spans="2:17">
      <c r="B714" s="627">
        <f t="shared" si="59"/>
        <v>709</v>
      </c>
      <c r="C714" s="429">
        <v>43251</v>
      </c>
      <c r="D714" s="816" t="s">
        <v>2623</v>
      </c>
      <c r="E714" s="807">
        <v>310100</v>
      </c>
      <c r="F714" s="629" t="str">
        <f>IFERROR(VLOOKUP(E714,STAT1!$C$4:$D$1000,2,FALSE),"")</f>
        <v>Дансны өглөг MNT</v>
      </c>
      <c r="G714" s="811">
        <v>2348797</v>
      </c>
      <c r="H714" s="811"/>
      <c r="I714" s="580">
        <f t="shared" si="60"/>
        <v>0</v>
      </c>
      <c r="J714" s="961">
        <f t="shared" si="61"/>
        <v>0</v>
      </c>
      <c r="K714" s="80"/>
      <c r="L714" s="807">
        <v>2013</v>
      </c>
      <c r="M714" s="80" t="str">
        <f>+IFERROR(VLOOKUP(L714,DATA!$G$4:$H$2000,2,FALSE),"")</f>
        <v>УБДС ТӨХК</v>
      </c>
      <c r="N714" s="807"/>
      <c r="O714" s="80" t="str">
        <f>IFERROR(VLOOKUP(N714,DATA!$K$4:$L$51,2,FALSE),"")</f>
        <v/>
      </c>
      <c r="P714" s="80">
        <f t="shared" si="57"/>
        <v>0</v>
      </c>
      <c r="Q714" s="154">
        <f t="shared" si="58"/>
        <v>0</v>
      </c>
    </row>
    <row r="715" spans="2:17">
      <c r="B715" s="627">
        <f t="shared" si="59"/>
        <v>710</v>
      </c>
      <c r="C715" s="429">
        <v>43251</v>
      </c>
      <c r="D715" s="816" t="s">
        <v>2629</v>
      </c>
      <c r="E715" s="807">
        <v>310800</v>
      </c>
      <c r="F715" s="629" t="str">
        <f>IFERROR(VLOOKUP(E715,STAT1!$C$4:$D$1000,2,FALSE),"")</f>
        <v>НД-ын байгууллагад өгөх өглөг</v>
      </c>
      <c r="G715" s="811">
        <v>66481</v>
      </c>
      <c r="H715" s="811"/>
      <c r="I715" s="580">
        <f t="shared" si="60"/>
        <v>0</v>
      </c>
      <c r="J715" s="961">
        <f t="shared" si="61"/>
        <v>0</v>
      </c>
      <c r="K715" s="80"/>
      <c r="L715" s="807">
        <v>2002</v>
      </c>
      <c r="M715" s="80" t="str">
        <f>+IFERROR(VLOOKUP(L715,DATA!$G$4:$H$2000,2,FALSE),"")</f>
        <v xml:space="preserve">ХУД-н ЭМНД ХЭЛТЭС </v>
      </c>
      <c r="N715" s="807"/>
      <c r="O715" s="80" t="str">
        <f>IFERROR(VLOOKUP(N715,DATA!$K$4:$L$51,2,FALSE),"")</f>
        <v/>
      </c>
      <c r="P715" s="80">
        <f t="shared" si="57"/>
        <v>0</v>
      </c>
      <c r="Q715" s="154">
        <f t="shared" si="58"/>
        <v>0</v>
      </c>
    </row>
    <row r="716" spans="2:17">
      <c r="B716" s="627">
        <f t="shared" si="59"/>
        <v>711</v>
      </c>
      <c r="C716" s="429">
        <v>43251</v>
      </c>
      <c r="D716" s="816" t="s">
        <v>2629</v>
      </c>
      <c r="E716" s="807">
        <v>700100</v>
      </c>
      <c r="F716" s="629" t="str">
        <f>IFERROR(VLOOKUP(E716,STAT1!$C$4:$D$1000,2,FALSE),"")</f>
        <v>Цалин хөлс, шагнал</v>
      </c>
      <c r="G716" s="811"/>
      <c r="H716" s="811">
        <v>66481</v>
      </c>
      <c r="I716" s="580">
        <f t="shared" si="60"/>
        <v>0</v>
      </c>
      <c r="J716" s="961">
        <f t="shared" si="61"/>
        <v>0</v>
      </c>
      <c r="K716" s="80"/>
      <c r="L716" s="807">
        <v>2002</v>
      </c>
      <c r="M716" s="80" t="str">
        <f>+IFERROR(VLOOKUP(L716,DATA!$G$4:$H$2000,2,FALSE),"")</f>
        <v xml:space="preserve">ХУД-н ЭМНД ХЭЛТЭС </v>
      </c>
      <c r="N716" s="807"/>
      <c r="O716" s="80" t="str">
        <f>IFERROR(VLOOKUP(N716,DATA!$K$4:$L$51,2,FALSE),"")</f>
        <v/>
      </c>
      <c r="P716" s="80">
        <f t="shared" si="57"/>
        <v>0</v>
      </c>
      <c r="Q716" s="154">
        <f t="shared" si="58"/>
        <v>0</v>
      </c>
    </row>
    <row r="717" spans="2:17">
      <c r="B717" s="627">
        <f t="shared" si="59"/>
        <v>712</v>
      </c>
      <c r="C717" s="429">
        <v>43256</v>
      </c>
      <c r="D717" s="816" t="s">
        <v>1331</v>
      </c>
      <c r="E717" s="807">
        <v>110100</v>
      </c>
      <c r="F717" s="629" t="str">
        <f>IFERROR(VLOOKUP(E717,STAT1!$C$4:$D$8000,2,FALSE),"")</f>
        <v>Хаан Банк 5024654020</v>
      </c>
      <c r="G717" s="811"/>
      <c r="H717" s="811">
        <v>30020</v>
      </c>
      <c r="I717" s="580">
        <f t="shared" si="60"/>
        <v>-30020</v>
      </c>
      <c r="J717" s="961">
        <f t="shared" si="61"/>
        <v>0</v>
      </c>
      <c r="K717" s="80"/>
      <c r="L717" s="807">
        <v>2006</v>
      </c>
      <c r="M717" s="80" t="str">
        <f>+IFERROR(VLOOKUP(L717,DATA!$G$4:$H$2000,2,FALSE),"")</f>
        <v xml:space="preserve">МЦХОЛБОО </v>
      </c>
      <c r="N717" s="807">
        <v>59</v>
      </c>
      <c r="O717" s="80" t="str">
        <f>IFERROR(VLOOKUP(N717,DATA!$K$4:$L$51,2,FALSE),"")</f>
        <v>Бусад мөнгөн зарлага</v>
      </c>
      <c r="P717" s="80">
        <f t="shared" si="57"/>
        <v>1</v>
      </c>
      <c r="Q717" s="154">
        <f t="shared" si="58"/>
        <v>1</v>
      </c>
    </row>
    <row r="718" spans="2:17">
      <c r="B718" s="627">
        <f t="shared" si="59"/>
        <v>713</v>
      </c>
      <c r="C718" s="429">
        <v>43256</v>
      </c>
      <c r="D718" s="816" t="s">
        <v>1331</v>
      </c>
      <c r="E718" s="807">
        <v>120600</v>
      </c>
      <c r="F718" s="629" t="str">
        <f>IFERROR(VLOOKUP(E718,STAT1!$C$4:$D$8000,2,FALSE),"")</f>
        <v>НӨАТ авлага</v>
      </c>
      <c r="G718" s="811">
        <v>2729</v>
      </c>
      <c r="H718" s="811"/>
      <c r="I718" s="580">
        <f t="shared" si="60"/>
        <v>0</v>
      </c>
      <c r="J718" s="961">
        <f t="shared" si="61"/>
        <v>0</v>
      </c>
      <c r="K718" s="80"/>
      <c r="L718" s="807">
        <v>2006</v>
      </c>
      <c r="M718" s="80" t="str">
        <f>+IFERROR(VLOOKUP(L718,DATA!$G$4:$H$2000,2,FALSE),"")</f>
        <v xml:space="preserve">МЦХОЛБОО </v>
      </c>
      <c r="N718" s="807"/>
      <c r="O718" s="80" t="str">
        <f>IFERROR(VLOOKUP(N718,DATA!$K$4:$L$51,2,FALSE),"")</f>
        <v/>
      </c>
      <c r="P718" s="80">
        <f t="shared" si="57"/>
        <v>0</v>
      </c>
      <c r="Q718" s="154">
        <f t="shared" si="58"/>
        <v>0</v>
      </c>
    </row>
    <row r="719" spans="2:17">
      <c r="B719" s="627">
        <f t="shared" si="59"/>
        <v>714</v>
      </c>
      <c r="C719" s="429">
        <v>43256</v>
      </c>
      <c r="D719" s="816" t="s">
        <v>1331</v>
      </c>
      <c r="E719" s="807">
        <v>701900</v>
      </c>
      <c r="F719" s="629" t="str">
        <f>IFERROR(VLOOKUP(E719,STAT1!$C$4:$D$8000,2,FALSE),"")</f>
        <v>Харилцаа холбоо</v>
      </c>
      <c r="G719" s="811">
        <f>30020-2729</f>
        <v>27291</v>
      </c>
      <c r="H719" s="811"/>
      <c r="I719" s="580">
        <f t="shared" si="60"/>
        <v>0</v>
      </c>
      <c r="J719" s="961">
        <f t="shared" si="61"/>
        <v>0</v>
      </c>
      <c r="K719" s="80"/>
      <c r="L719" s="807">
        <v>2006</v>
      </c>
      <c r="M719" s="80" t="str">
        <f>+IFERROR(VLOOKUP(L719,DATA!$G$4:$H$2000,2,FALSE),"")</f>
        <v xml:space="preserve">МЦХОЛБОО </v>
      </c>
      <c r="N719" s="807"/>
      <c r="O719" s="80" t="str">
        <f>IFERROR(VLOOKUP(N719,DATA!$K$4:$L$51,2,FALSE),"")</f>
        <v/>
      </c>
      <c r="P719" s="80">
        <f t="shared" si="57"/>
        <v>0</v>
      </c>
      <c r="Q719" s="154">
        <f t="shared" si="58"/>
        <v>0</v>
      </c>
    </row>
    <row r="720" spans="2:17">
      <c r="B720" s="627">
        <f t="shared" si="59"/>
        <v>715</v>
      </c>
      <c r="C720" s="429">
        <v>43259</v>
      </c>
      <c r="D720" s="816" t="s">
        <v>2381</v>
      </c>
      <c r="E720" s="807">
        <v>110100</v>
      </c>
      <c r="F720" s="629" t="str">
        <f>IFERROR(VLOOKUP(E720,STAT1!$C$4:$D$8000,2,FALSE),"")</f>
        <v>Хаан Банк 5024654020</v>
      </c>
      <c r="G720" s="811"/>
      <c r="H720" s="811">
        <v>200</v>
      </c>
      <c r="I720" s="580">
        <f t="shared" si="60"/>
        <v>-200</v>
      </c>
      <c r="J720" s="961">
        <f t="shared" si="61"/>
        <v>0</v>
      </c>
      <c r="K720" s="80"/>
      <c r="L720" s="807">
        <v>2009</v>
      </c>
      <c r="M720" s="80" t="str">
        <f>+IFERROR(VLOOKUP(L720,DATA!$G$4:$H$2000,2,FALSE),"")</f>
        <v>ХААН БАНК</v>
      </c>
      <c r="N720" s="807">
        <v>59</v>
      </c>
      <c r="O720" s="80" t="str">
        <f>IFERROR(VLOOKUP(N720,DATA!$K$4:$L$51,2,FALSE),"")</f>
        <v>Бусад мөнгөн зарлага</v>
      </c>
      <c r="P720" s="80">
        <f t="shared" si="57"/>
        <v>1</v>
      </c>
      <c r="Q720" s="154">
        <f t="shared" si="58"/>
        <v>1</v>
      </c>
    </row>
    <row r="721" spans="2:17">
      <c r="B721" s="627">
        <f t="shared" si="59"/>
        <v>716</v>
      </c>
      <c r="C721" s="429">
        <v>43259</v>
      </c>
      <c r="D721" s="816" t="s">
        <v>2381</v>
      </c>
      <c r="E721" s="807">
        <v>704900</v>
      </c>
      <c r="F721" s="629" t="str">
        <f>IFERROR(VLOOKUP(E721,STAT1!$C$4:$D$8000,2,FALSE),"")</f>
        <v>Банкны үйлчилгээ</v>
      </c>
      <c r="G721" s="811">
        <v>200</v>
      </c>
      <c r="H721" s="811"/>
      <c r="I721" s="580">
        <f t="shared" si="60"/>
        <v>0</v>
      </c>
      <c r="J721" s="961">
        <f t="shared" si="61"/>
        <v>0</v>
      </c>
      <c r="K721" s="80"/>
      <c r="L721" s="807">
        <v>2009</v>
      </c>
      <c r="M721" s="80" t="str">
        <f>+IFERROR(VLOOKUP(L721,DATA!$G$4:$H$2000,2,FALSE),"")</f>
        <v>ХААН БАНК</v>
      </c>
      <c r="N721" s="807"/>
      <c r="O721" s="80" t="str">
        <f>IFERROR(VLOOKUP(N721,DATA!$K$4:$L$51,2,FALSE),"")</f>
        <v/>
      </c>
      <c r="P721" s="80">
        <f t="shared" si="57"/>
        <v>0</v>
      </c>
      <c r="Q721" s="154">
        <f t="shared" si="58"/>
        <v>0</v>
      </c>
    </row>
    <row r="722" spans="2:17">
      <c r="B722" s="627">
        <f t="shared" si="59"/>
        <v>717</v>
      </c>
      <c r="C722" s="582">
        <v>43259</v>
      </c>
      <c r="D722" s="816" t="s">
        <v>2377</v>
      </c>
      <c r="E722" s="807">
        <v>110100</v>
      </c>
      <c r="F722" s="629" t="str">
        <f>IFERROR(VLOOKUP(E722,STAT1!$C$4:$D$1000,2,FALSE),"")</f>
        <v>Хаан Банк 5024654020</v>
      </c>
      <c r="G722" s="811"/>
      <c r="H722" s="811">
        <v>286000</v>
      </c>
      <c r="I722" s="580">
        <f t="shared" si="60"/>
        <v>-286000</v>
      </c>
      <c r="J722" s="961">
        <f t="shared" si="61"/>
        <v>0</v>
      </c>
      <c r="K722" s="80"/>
      <c r="L722" s="807">
        <v>1004</v>
      </c>
      <c r="M722" s="80" t="str">
        <f>+IFERROR(VLOOKUP(L722,DATA!$G$4:$H$2000,2,FALSE),"")</f>
        <v xml:space="preserve">Түмэндэлгэр </v>
      </c>
      <c r="N722" s="807">
        <v>59</v>
      </c>
      <c r="O722" s="80" t="str">
        <f>IFERROR(VLOOKUP(N722,DATA!$K$4:$L$51,2,FALSE),"")</f>
        <v>Бусад мөнгөн зарлага</v>
      </c>
      <c r="P722" s="80">
        <f t="shared" si="57"/>
        <v>1</v>
      </c>
      <c r="Q722" s="154">
        <f t="shared" si="58"/>
        <v>1</v>
      </c>
    </row>
    <row r="723" spans="2:17">
      <c r="B723" s="627">
        <f t="shared" si="59"/>
        <v>718</v>
      </c>
      <c r="C723" s="582">
        <v>43259</v>
      </c>
      <c r="D723" s="816" t="s">
        <v>2377</v>
      </c>
      <c r="E723" s="807">
        <v>120600</v>
      </c>
      <c r="F723" s="629" t="str">
        <f>IFERROR(VLOOKUP(E723,STAT1!$C$4:$D$1000,2,FALSE),"")</f>
        <v>НӨАТ авлага</v>
      </c>
      <c r="G723" s="811">
        <v>26000</v>
      </c>
      <c r="H723" s="811"/>
      <c r="I723" s="580">
        <f t="shared" si="60"/>
        <v>0</v>
      </c>
      <c r="J723" s="961">
        <f t="shared" si="61"/>
        <v>0</v>
      </c>
      <c r="K723" s="80"/>
      <c r="L723" s="807">
        <v>1004</v>
      </c>
      <c r="M723" s="80" t="str">
        <f>+IFERROR(VLOOKUP(L723,DATA!$G$4:$H$2000,2,FALSE),"")</f>
        <v xml:space="preserve">Түмэндэлгэр </v>
      </c>
      <c r="N723" s="807"/>
      <c r="O723" s="80" t="str">
        <f>IFERROR(VLOOKUP(N723,DATA!$K$4:$L$51,2,FALSE),"")</f>
        <v/>
      </c>
      <c r="P723" s="80">
        <f t="shared" si="57"/>
        <v>0</v>
      </c>
      <c r="Q723" s="154">
        <f t="shared" si="58"/>
        <v>0</v>
      </c>
    </row>
    <row r="724" spans="2:17">
      <c r="B724" s="627">
        <f t="shared" si="59"/>
        <v>719</v>
      </c>
      <c r="C724" s="582">
        <v>43259</v>
      </c>
      <c r="D724" s="816" t="s">
        <v>2377</v>
      </c>
      <c r="E724" s="807">
        <v>701900</v>
      </c>
      <c r="F724" s="629" t="str">
        <f>IFERROR(VLOOKUP(E724,STAT1!$C$4:$D$1000,2,FALSE),"")</f>
        <v>Харилцаа холбоо</v>
      </c>
      <c r="G724" s="811">
        <v>260000</v>
      </c>
      <c r="H724" s="811"/>
      <c r="I724" s="580">
        <f t="shared" si="60"/>
        <v>0</v>
      </c>
      <c r="J724" s="961">
        <f t="shared" si="61"/>
        <v>0</v>
      </c>
      <c r="K724" s="80"/>
      <c r="L724" s="807">
        <v>1004</v>
      </c>
      <c r="M724" s="80" t="str">
        <f>+IFERROR(VLOOKUP(L724,DATA!$G$4:$H$2000,2,FALSE),"")</f>
        <v xml:space="preserve">Түмэндэлгэр </v>
      </c>
      <c r="N724" s="807"/>
      <c r="O724" s="80" t="str">
        <f>IFERROR(VLOOKUP(N724,DATA!$K$4:$L$51,2,FALSE),"")</f>
        <v/>
      </c>
      <c r="P724" s="80">
        <f t="shared" si="57"/>
        <v>0</v>
      </c>
      <c r="Q724" s="154">
        <f t="shared" si="58"/>
        <v>0</v>
      </c>
    </row>
    <row r="725" spans="2:17">
      <c r="B725" s="627">
        <f t="shared" si="59"/>
        <v>720</v>
      </c>
      <c r="C725" s="429">
        <v>43262</v>
      </c>
      <c r="D725" s="816" t="s">
        <v>1570</v>
      </c>
      <c r="E725" s="807">
        <v>100100</v>
      </c>
      <c r="F725" s="629" t="str">
        <f>IFERROR(VLOOKUP(E725,STAT1!$C$4:$D$1000,2,FALSE),"")</f>
        <v>Касс мөнгө MNT</v>
      </c>
      <c r="G725" s="811"/>
      <c r="H725" s="811">
        <v>40000</v>
      </c>
      <c r="I725" s="580">
        <f t="shared" si="60"/>
        <v>-40000</v>
      </c>
      <c r="J725" s="961">
        <f t="shared" si="61"/>
        <v>0</v>
      </c>
      <c r="K725" s="80"/>
      <c r="L725" s="807">
        <v>1003</v>
      </c>
      <c r="M725" s="80" t="str">
        <f>+IFERROR(VLOOKUP(L725,DATA!$G$4:$H$2000,2,FALSE),"")</f>
        <v>Бахдамдэмбэрэл</v>
      </c>
      <c r="N725" s="807">
        <v>55</v>
      </c>
      <c r="O725" s="80" t="str">
        <f>IFERROR(VLOOKUP(N725,DATA!$K$4:$L$51,2,FALSE),"")</f>
        <v>Түлш, шатахуун, тээврийн хөлс, сэлбэг хэрэгсэлд төлсөн</v>
      </c>
      <c r="P725" s="80">
        <f t="shared" si="57"/>
        <v>1</v>
      </c>
      <c r="Q725" s="154">
        <f t="shared" si="58"/>
        <v>1</v>
      </c>
    </row>
    <row r="726" spans="2:17">
      <c r="B726" s="627">
        <f t="shared" si="59"/>
        <v>721</v>
      </c>
      <c r="C726" s="429">
        <v>43262</v>
      </c>
      <c r="D726" s="816" t="s">
        <v>1570</v>
      </c>
      <c r="E726" s="807">
        <v>120600</v>
      </c>
      <c r="F726" s="629" t="str">
        <f>IFERROR(VLOOKUP(E726,STAT1!$C$4:$D$1000,2,FALSE),"")</f>
        <v>НӨАТ авлага</v>
      </c>
      <c r="G726" s="811">
        <f>40000-36363.63</f>
        <v>3636.3700000000026</v>
      </c>
      <c r="H726" s="811"/>
      <c r="I726" s="580">
        <f t="shared" si="60"/>
        <v>0</v>
      </c>
      <c r="J726" s="961">
        <f t="shared" si="61"/>
        <v>0</v>
      </c>
      <c r="K726" s="80"/>
      <c r="L726" s="807">
        <v>1003</v>
      </c>
      <c r="M726" s="80" t="str">
        <f>+IFERROR(VLOOKUP(L726,DATA!$G$4:$H$2000,2,FALSE),"")</f>
        <v>Бахдамдэмбэрэл</v>
      </c>
      <c r="N726" s="807"/>
      <c r="O726" s="80" t="str">
        <f>IFERROR(VLOOKUP(N726,DATA!$K$4:$L$51,2,FALSE),"")</f>
        <v/>
      </c>
      <c r="P726" s="80">
        <f t="shared" si="57"/>
        <v>0</v>
      </c>
      <c r="Q726" s="154">
        <f t="shared" si="58"/>
        <v>0</v>
      </c>
    </row>
    <row r="727" spans="2:17">
      <c r="B727" s="627">
        <f t="shared" si="59"/>
        <v>722</v>
      </c>
      <c r="C727" s="429">
        <v>43262</v>
      </c>
      <c r="D727" s="816" t="s">
        <v>1570</v>
      </c>
      <c r="E727" s="807">
        <v>702000</v>
      </c>
      <c r="F727" s="629" t="str">
        <f>IFERROR(VLOOKUP(E727,STAT1!$C$4:$D$1000,2,FALSE),"")</f>
        <v>Түлш, шатахуун</v>
      </c>
      <c r="G727" s="811">
        <v>36363.629999999997</v>
      </c>
      <c r="H727" s="811"/>
      <c r="I727" s="580">
        <f t="shared" si="60"/>
        <v>0</v>
      </c>
      <c r="J727" s="961">
        <f t="shared" si="61"/>
        <v>0</v>
      </c>
      <c r="K727" s="80"/>
      <c r="L727" s="807">
        <v>1003</v>
      </c>
      <c r="M727" s="80" t="str">
        <f>+IFERROR(VLOOKUP(L727,DATA!$G$4:$H$2000,2,FALSE),"")</f>
        <v>Бахдамдэмбэрэл</v>
      </c>
      <c r="N727" s="807"/>
      <c r="O727" s="80" t="str">
        <f>IFERROR(VLOOKUP(N727,DATA!$K$4:$L$51,2,FALSE),"")</f>
        <v/>
      </c>
      <c r="P727" s="80">
        <f t="shared" si="57"/>
        <v>0</v>
      </c>
      <c r="Q727" s="154">
        <f t="shared" si="58"/>
        <v>0</v>
      </c>
    </row>
    <row r="728" spans="2:17">
      <c r="B728" s="627">
        <f t="shared" si="59"/>
        <v>723</v>
      </c>
      <c r="C728" s="582">
        <v>43263</v>
      </c>
      <c r="D728" s="815" t="s">
        <v>1571</v>
      </c>
      <c r="E728" s="630">
        <v>110100</v>
      </c>
      <c r="F728" s="629" t="str">
        <f>IFERROR(VLOOKUP(E728,STAT1!$C$4:$D$8000,2,FALSE),"")</f>
        <v>Хаан Банк 5024654020</v>
      </c>
      <c r="G728" s="376">
        <v>1650000</v>
      </c>
      <c r="H728" s="376"/>
      <c r="I728" s="580">
        <f t="shared" si="60"/>
        <v>1650000</v>
      </c>
      <c r="J728" s="961">
        <f t="shared" si="61"/>
        <v>0</v>
      </c>
      <c r="K728" s="80"/>
      <c r="L728" s="630">
        <v>3129</v>
      </c>
      <c r="M728" s="80" t="str">
        <f>+IFERROR(VLOOKUP(L728,DATA!$G$4:$H$2000,2,FALSE),"")</f>
        <v>МЕТРИК ДИЗАЙН ХХК</v>
      </c>
      <c r="N728" s="630">
        <v>41</v>
      </c>
      <c r="O728" s="80" t="str">
        <f>IFERROR(VLOOKUP(N728,DATA!$K$4:$L$51,2,FALSE),"")</f>
        <v>Бараа борлуулсан, үйлчилгээ үзүүлсэний орлого</v>
      </c>
      <c r="P728" s="80">
        <f t="shared" si="57"/>
        <v>1</v>
      </c>
      <c r="Q728" s="154">
        <f t="shared" si="58"/>
        <v>1</v>
      </c>
    </row>
    <row r="729" spans="2:17">
      <c r="B729" s="627">
        <f t="shared" si="59"/>
        <v>724</v>
      </c>
      <c r="C729" s="582">
        <v>43263</v>
      </c>
      <c r="D729" s="815" t="s">
        <v>1571</v>
      </c>
      <c r="E729" s="807">
        <v>320100</v>
      </c>
      <c r="F729" s="629" t="str">
        <f>IFERROR(VLOOKUP(E729,STAT1!$C$4:$D$1000,2,FALSE),"")</f>
        <v>Урьдчилж орсон орлого MNT</v>
      </c>
      <c r="G729" s="811"/>
      <c r="H729" s="811">
        <v>1650000</v>
      </c>
      <c r="I729" s="580">
        <f t="shared" si="60"/>
        <v>0</v>
      </c>
      <c r="J729" s="961">
        <f t="shared" si="61"/>
        <v>0</v>
      </c>
      <c r="K729" s="80"/>
      <c r="L729" s="630">
        <v>3129</v>
      </c>
      <c r="M729" s="80" t="str">
        <f>+IFERROR(VLOOKUP(L729,DATA!$G$4:$H$2000,2,FALSE),"")</f>
        <v>МЕТРИК ДИЗАЙН ХХК</v>
      </c>
      <c r="N729" s="807"/>
      <c r="O729" s="80" t="str">
        <f>IFERROR(VLOOKUP(N729,DATA!$K$4:$L$51,2,FALSE),"")</f>
        <v/>
      </c>
      <c r="P729" s="80">
        <f t="shared" si="57"/>
        <v>0</v>
      </c>
      <c r="Q729" s="154">
        <f t="shared" si="58"/>
        <v>0</v>
      </c>
    </row>
    <row r="730" spans="2:17">
      <c r="B730" s="627">
        <f t="shared" si="59"/>
        <v>725</v>
      </c>
      <c r="C730" s="429">
        <v>43263</v>
      </c>
      <c r="D730" s="816" t="s">
        <v>2549</v>
      </c>
      <c r="E730" s="807">
        <v>150101</v>
      </c>
      <c r="F730" s="629" t="str">
        <f>IFERROR(VLOOKUP(E730,STAT1!$C$4:$D$1000,2,FALSE),"")</f>
        <v>Бараа бэлэн бүтээгдэхүүн БОЛОВСРУУЛАХ ЦЕХ /нарс/</v>
      </c>
      <c r="G730" s="811"/>
      <c r="H730" s="811">
        <v>346434.4</v>
      </c>
      <c r="I730" s="580">
        <f t="shared" si="60"/>
        <v>0</v>
      </c>
      <c r="J730" s="961">
        <f t="shared" si="61"/>
        <v>0</v>
      </c>
      <c r="K730" s="80"/>
      <c r="L730" s="807">
        <v>3039</v>
      </c>
      <c r="M730" s="80" t="str">
        <f>+IFERROR(VLOOKUP(L730,DATA!$G$4:$H$2000,2,FALSE),"")</f>
        <v xml:space="preserve">САССИР ХХК </v>
      </c>
      <c r="N730" s="807"/>
      <c r="O730" s="80" t="str">
        <f>IFERROR(VLOOKUP(N730,DATA!$K$4:$L$51,2,FALSE),"")</f>
        <v/>
      </c>
      <c r="P730" s="80">
        <f t="shared" si="57"/>
        <v>0</v>
      </c>
      <c r="Q730" s="154">
        <f t="shared" si="58"/>
        <v>0</v>
      </c>
    </row>
    <row r="731" spans="2:17">
      <c r="B731" s="627">
        <f t="shared" si="59"/>
        <v>726</v>
      </c>
      <c r="C731" s="429">
        <v>43263</v>
      </c>
      <c r="D731" s="816" t="s">
        <v>2549</v>
      </c>
      <c r="E731" s="807">
        <v>610100</v>
      </c>
      <c r="F731" s="629" t="str">
        <f>IFERROR(VLOOKUP(E731,STAT1!$C$4:$D$1000,2,FALSE),"")</f>
        <v>Борлуулсан барааны өртөг</v>
      </c>
      <c r="G731" s="811">
        <v>346434.4</v>
      </c>
      <c r="H731" s="811"/>
      <c r="I731" s="580">
        <f t="shared" si="60"/>
        <v>0</v>
      </c>
      <c r="J731" s="961">
        <f t="shared" si="61"/>
        <v>0</v>
      </c>
      <c r="K731" s="80"/>
      <c r="L731" s="807">
        <v>3039</v>
      </c>
      <c r="M731" s="80" t="str">
        <f>+IFERROR(VLOOKUP(L731,DATA!$G$4:$H$2000,2,FALSE),"")</f>
        <v xml:space="preserve">САССИР ХХК </v>
      </c>
      <c r="N731" s="807"/>
      <c r="O731" s="80" t="str">
        <f>IFERROR(VLOOKUP(N731,DATA!$K$4:$L$51,2,FALSE),"")</f>
        <v/>
      </c>
      <c r="P731" s="80">
        <f t="shared" si="57"/>
        <v>0</v>
      </c>
      <c r="Q731" s="154">
        <f t="shared" si="58"/>
        <v>0</v>
      </c>
    </row>
    <row r="732" spans="2:17">
      <c r="B732" s="627">
        <f t="shared" si="59"/>
        <v>727</v>
      </c>
      <c r="C732" s="429">
        <v>43263</v>
      </c>
      <c r="D732" s="816" t="s">
        <v>2549</v>
      </c>
      <c r="E732" s="807">
        <v>310500</v>
      </c>
      <c r="F732" s="629" t="str">
        <f>IFERROR(VLOOKUP(E732,STAT1!$C$4:$D$1000,2,FALSE),"")</f>
        <v>НӨАТ өглөг</v>
      </c>
      <c r="G732" s="811"/>
      <c r="H732" s="811">
        <v>52416</v>
      </c>
      <c r="I732" s="580">
        <f t="shared" si="60"/>
        <v>0</v>
      </c>
      <c r="J732" s="961">
        <f t="shared" si="61"/>
        <v>0</v>
      </c>
      <c r="K732" s="80"/>
      <c r="L732" s="807">
        <v>3039</v>
      </c>
      <c r="M732" s="80" t="str">
        <f>+IFERROR(VLOOKUP(L732,DATA!$G$4:$H$2000,2,FALSE),"")</f>
        <v xml:space="preserve">САССИР ХХК </v>
      </c>
      <c r="N732" s="807"/>
      <c r="O732" s="80" t="str">
        <f>IFERROR(VLOOKUP(N732,DATA!$K$4:$L$51,2,FALSE),"")</f>
        <v/>
      </c>
      <c r="P732" s="80">
        <f t="shared" si="57"/>
        <v>0</v>
      </c>
      <c r="Q732" s="154">
        <f t="shared" si="58"/>
        <v>0</v>
      </c>
    </row>
    <row r="733" spans="2:17">
      <c r="B733" s="627">
        <f t="shared" si="59"/>
        <v>728</v>
      </c>
      <c r="C733" s="429">
        <v>43263</v>
      </c>
      <c r="D733" s="816" t="s">
        <v>2549</v>
      </c>
      <c r="E733" s="807">
        <v>510000</v>
      </c>
      <c r="F733" s="629" t="str">
        <f>IFERROR(VLOOKUP(E733,STAT1!$C$4:$D$1000,2,FALSE),"")</f>
        <v>Үндсэн үйл ажиллагааны борлуулалт</v>
      </c>
      <c r="G733" s="811"/>
      <c r="H733" s="811">
        <v>524160</v>
      </c>
      <c r="I733" s="580">
        <f t="shared" si="60"/>
        <v>0</v>
      </c>
      <c r="J733" s="961">
        <f t="shared" si="61"/>
        <v>0</v>
      </c>
      <c r="K733" s="80"/>
      <c r="L733" s="807">
        <v>3039</v>
      </c>
      <c r="M733" s="80" t="str">
        <f>+IFERROR(VLOOKUP(L733,DATA!$G$4:$H$2000,2,FALSE),"")</f>
        <v xml:space="preserve">САССИР ХХК </v>
      </c>
      <c r="N733" s="807"/>
      <c r="O733" s="80" t="str">
        <f>IFERROR(VLOOKUP(N733,DATA!$K$4:$L$51,2,FALSE),"")</f>
        <v/>
      </c>
      <c r="P733" s="80">
        <f t="shared" si="57"/>
        <v>0</v>
      </c>
      <c r="Q733" s="154">
        <f t="shared" si="58"/>
        <v>0</v>
      </c>
    </row>
    <row r="734" spans="2:17">
      <c r="B734" s="627">
        <f t="shared" si="59"/>
        <v>729</v>
      </c>
      <c r="C734" s="429">
        <v>43263</v>
      </c>
      <c r="D734" s="816" t="s">
        <v>2549</v>
      </c>
      <c r="E734" s="807">
        <v>320100</v>
      </c>
      <c r="F734" s="629" t="str">
        <f>IFERROR(VLOOKUP(E734,STAT1!$C$4:$D$1000,2,FALSE),"")</f>
        <v>Урьдчилж орсон орлого MNT</v>
      </c>
      <c r="G734" s="811">
        <v>576576</v>
      </c>
      <c r="H734" s="811"/>
      <c r="I734" s="580">
        <f t="shared" si="60"/>
        <v>0</v>
      </c>
      <c r="J734" s="961">
        <f t="shared" si="61"/>
        <v>0</v>
      </c>
      <c r="K734" s="80"/>
      <c r="L734" s="807">
        <v>3039</v>
      </c>
      <c r="M734" s="80" t="str">
        <f>+IFERROR(VLOOKUP(L734,DATA!$G$4:$H$2000,2,FALSE),"")</f>
        <v xml:space="preserve">САССИР ХХК </v>
      </c>
      <c r="N734" s="807"/>
      <c r="O734" s="80" t="str">
        <f>IFERROR(VLOOKUP(N734,DATA!$K$4:$L$51,2,FALSE),"")</f>
        <v/>
      </c>
      <c r="P734" s="80">
        <f t="shared" si="57"/>
        <v>0</v>
      </c>
      <c r="Q734" s="154">
        <f t="shared" si="58"/>
        <v>0</v>
      </c>
    </row>
    <row r="735" spans="2:17">
      <c r="B735" s="627">
        <f t="shared" si="59"/>
        <v>730</v>
      </c>
      <c r="C735" s="429">
        <v>43263</v>
      </c>
      <c r="D735" s="816" t="s">
        <v>2549</v>
      </c>
      <c r="E735" s="807">
        <v>150101</v>
      </c>
      <c r="F735" s="629" t="str">
        <f>IFERROR(VLOOKUP(E735,STAT1!$C$4:$D$1000,2,FALSE),"")</f>
        <v>Бараа бэлэн бүтээгдэхүүн БОЛОВСРУУЛАХ ЦЕХ /нарс/</v>
      </c>
      <c r="G735" s="811"/>
      <c r="H735" s="811">
        <v>169905.44</v>
      </c>
      <c r="I735" s="580">
        <f t="shared" si="60"/>
        <v>0</v>
      </c>
      <c r="J735" s="961">
        <f t="shared" si="61"/>
        <v>0</v>
      </c>
      <c r="K735" s="80"/>
      <c r="L735" s="807">
        <v>3124</v>
      </c>
      <c r="M735" s="80" t="str">
        <f>+IFERROR(VLOOKUP(L735,DATA!$G$4:$H$2000,2,FALSE),"")</f>
        <v xml:space="preserve">ШИНЭЛЭГ СУУЦ ХХК </v>
      </c>
      <c r="N735" s="807"/>
      <c r="O735" s="80" t="str">
        <f>IFERROR(VLOOKUP(N735,DATA!$K$4:$L$51,2,FALSE),"")</f>
        <v/>
      </c>
      <c r="P735" s="80">
        <f t="shared" si="57"/>
        <v>0</v>
      </c>
      <c r="Q735" s="154">
        <f t="shared" si="58"/>
        <v>0</v>
      </c>
    </row>
    <row r="736" spans="2:17">
      <c r="B736" s="627">
        <f t="shared" si="59"/>
        <v>731</v>
      </c>
      <c r="C736" s="582">
        <v>43263</v>
      </c>
      <c r="D736" s="816" t="s">
        <v>2549</v>
      </c>
      <c r="E736" s="630">
        <v>610100</v>
      </c>
      <c r="F736" s="629" t="str">
        <f>IFERROR(VLOOKUP(E736,STAT1!$C$4:$D$8000,2,FALSE),"")</f>
        <v>Борлуулсан барааны өртөг</v>
      </c>
      <c r="G736" s="811">
        <v>169905.44</v>
      </c>
      <c r="H736" s="376"/>
      <c r="I736" s="580">
        <f t="shared" si="60"/>
        <v>0</v>
      </c>
      <c r="J736" s="961">
        <f t="shared" si="61"/>
        <v>0</v>
      </c>
      <c r="K736" s="80"/>
      <c r="L736" s="630">
        <v>3124</v>
      </c>
      <c r="M736" s="80" t="str">
        <f>+IFERROR(VLOOKUP(L736,DATA!$G$4:$H$2000,2,FALSE),"")</f>
        <v xml:space="preserve">ШИНЭЛЭГ СУУЦ ХХК </v>
      </c>
      <c r="N736" s="630"/>
      <c r="O736" s="80" t="str">
        <f>IFERROR(VLOOKUP(N736,DATA!$K$4:$L$51,2,FALSE),"")</f>
        <v/>
      </c>
      <c r="P736" s="80">
        <f t="shared" si="57"/>
        <v>0</v>
      </c>
      <c r="Q736" s="154">
        <f t="shared" si="58"/>
        <v>0</v>
      </c>
    </row>
    <row r="737" spans="2:17">
      <c r="B737" s="627">
        <f t="shared" si="59"/>
        <v>732</v>
      </c>
      <c r="C737" s="582">
        <v>43263</v>
      </c>
      <c r="D737" s="816" t="s">
        <v>2549</v>
      </c>
      <c r="E737" s="630">
        <v>310500</v>
      </c>
      <c r="F737" s="629" t="str">
        <f>IFERROR(VLOOKUP(E737,STAT1!$C$4:$D$8000,2,FALSE),"")</f>
        <v>НӨАТ өглөг</v>
      </c>
      <c r="G737" s="376"/>
      <c r="H737" s="376">
        <v>33150</v>
      </c>
      <c r="I737" s="580">
        <f t="shared" si="60"/>
        <v>0</v>
      </c>
      <c r="J737" s="961">
        <f t="shared" si="61"/>
        <v>0</v>
      </c>
      <c r="K737" s="80"/>
      <c r="L737" s="630">
        <v>3124</v>
      </c>
      <c r="M737" s="80" t="str">
        <f>+IFERROR(VLOOKUP(L737,DATA!$G$4:$H$2000,2,FALSE),"")</f>
        <v xml:space="preserve">ШИНЭЛЭГ СУУЦ ХХК </v>
      </c>
      <c r="N737" s="630"/>
      <c r="O737" s="80" t="str">
        <f>IFERROR(VLOOKUP(N737,DATA!$K$4:$L$51,2,FALSE),"")</f>
        <v/>
      </c>
      <c r="P737" s="80">
        <f t="shared" si="57"/>
        <v>0</v>
      </c>
      <c r="Q737" s="154">
        <f t="shared" si="58"/>
        <v>0</v>
      </c>
    </row>
    <row r="738" spans="2:17">
      <c r="B738" s="627">
        <f t="shared" si="59"/>
        <v>733</v>
      </c>
      <c r="C738" s="582">
        <v>43263</v>
      </c>
      <c r="D738" s="816" t="s">
        <v>2549</v>
      </c>
      <c r="E738" s="630">
        <v>510000</v>
      </c>
      <c r="F738" s="629" t="str">
        <f>IFERROR(VLOOKUP(E738,STAT1!$C$4:$D$8000,2,FALSE),"")</f>
        <v>Үндсэн үйл ажиллагааны борлуулалт</v>
      </c>
      <c r="G738" s="376"/>
      <c r="H738" s="376">
        <v>331500</v>
      </c>
      <c r="I738" s="580">
        <f t="shared" si="60"/>
        <v>0</v>
      </c>
      <c r="J738" s="961">
        <f t="shared" si="61"/>
        <v>0</v>
      </c>
      <c r="K738" s="80"/>
      <c r="L738" s="630">
        <v>3124</v>
      </c>
      <c r="M738" s="80" t="str">
        <f>+IFERROR(VLOOKUP(L738,DATA!$G$4:$H$2000,2,FALSE),"")</f>
        <v xml:space="preserve">ШИНЭЛЭГ СУУЦ ХХК </v>
      </c>
      <c r="N738" s="630"/>
      <c r="O738" s="80" t="str">
        <f>IFERROR(VLOOKUP(N738,DATA!$K$4:$L$51,2,FALSE),"")</f>
        <v/>
      </c>
      <c r="P738" s="80">
        <f t="shared" si="57"/>
        <v>0</v>
      </c>
      <c r="Q738" s="154">
        <f t="shared" si="58"/>
        <v>0</v>
      </c>
    </row>
    <row r="739" spans="2:17">
      <c r="B739" s="627">
        <f t="shared" si="59"/>
        <v>734</v>
      </c>
      <c r="C739" s="582">
        <v>43263</v>
      </c>
      <c r="D739" s="816" t="s">
        <v>2549</v>
      </c>
      <c r="E739" s="630">
        <v>320100</v>
      </c>
      <c r="F739" s="629" t="str">
        <f>IFERROR(VLOOKUP(E739,STAT1!$C$4:$D$8000,2,FALSE),"")</f>
        <v>Урьдчилж орсон орлого MNT</v>
      </c>
      <c r="G739" s="376">
        <v>364650</v>
      </c>
      <c r="H739" s="376"/>
      <c r="I739" s="580">
        <f t="shared" si="60"/>
        <v>0</v>
      </c>
      <c r="J739" s="961">
        <f t="shared" si="61"/>
        <v>0</v>
      </c>
      <c r="K739" s="80"/>
      <c r="L739" s="630">
        <v>3124</v>
      </c>
      <c r="M739" s="80" t="str">
        <f>+IFERROR(VLOOKUP(L739,DATA!$G$4:$H$2000,2,FALSE),"")</f>
        <v xml:space="preserve">ШИНЭЛЭГ СУУЦ ХХК </v>
      </c>
      <c r="N739" s="630"/>
      <c r="O739" s="80" t="str">
        <f>IFERROR(VLOOKUP(N739,DATA!$K$4:$L$51,2,FALSE),"")</f>
        <v/>
      </c>
      <c r="P739" s="80">
        <f t="shared" si="57"/>
        <v>0</v>
      </c>
      <c r="Q739" s="154">
        <f t="shared" si="58"/>
        <v>0</v>
      </c>
    </row>
    <row r="740" spans="2:17">
      <c r="B740" s="627">
        <f t="shared" si="59"/>
        <v>735</v>
      </c>
      <c r="C740" s="582">
        <v>43263</v>
      </c>
      <c r="D740" s="816" t="s">
        <v>2549</v>
      </c>
      <c r="E740" s="630">
        <v>150101</v>
      </c>
      <c r="F740" s="629" t="str">
        <f>IFERROR(VLOOKUP(E740,STAT1!$C$4:$D$8000,2,FALSE),"")</f>
        <v>Бараа бэлэн бүтээгдэхүүн БОЛОВСРУУЛАХ ЦЕХ /нарс/</v>
      </c>
      <c r="G740" s="376"/>
      <c r="H740" s="376">
        <v>135022.43</v>
      </c>
      <c r="I740" s="580">
        <f t="shared" si="60"/>
        <v>0</v>
      </c>
      <c r="J740" s="961">
        <f t="shared" si="61"/>
        <v>0</v>
      </c>
      <c r="K740" s="80"/>
      <c r="L740" s="630">
        <v>3007</v>
      </c>
      <c r="M740" s="80" t="str">
        <f>+IFERROR(VLOOKUP(L740,DATA!$G$4:$H$2000,2,FALSE),"")</f>
        <v xml:space="preserve">АЯНЧИН АУТФИТТЕРС ХХК </v>
      </c>
      <c r="N740" s="630"/>
      <c r="O740" s="80" t="str">
        <f>IFERROR(VLOOKUP(N740,DATA!$K$4:$L$51,2,FALSE),"")</f>
        <v/>
      </c>
      <c r="P740" s="80">
        <f t="shared" si="57"/>
        <v>0</v>
      </c>
      <c r="Q740" s="154">
        <f t="shared" si="58"/>
        <v>0</v>
      </c>
    </row>
    <row r="741" spans="2:17">
      <c r="B741" s="627">
        <f t="shared" si="59"/>
        <v>736</v>
      </c>
      <c r="C741" s="429">
        <v>43263</v>
      </c>
      <c r="D741" s="816" t="s">
        <v>2549</v>
      </c>
      <c r="E741" s="807">
        <v>610100</v>
      </c>
      <c r="F741" s="629" t="str">
        <f>IFERROR(VLOOKUP(E741,STAT1!$C$4:$D$1000,2,FALSE),"")</f>
        <v>Борлуулсан барааны өртөг</v>
      </c>
      <c r="G741" s="376">
        <v>135022.43</v>
      </c>
      <c r="H741" s="811"/>
      <c r="I741" s="580">
        <f t="shared" si="60"/>
        <v>0</v>
      </c>
      <c r="J741" s="961">
        <f t="shared" si="61"/>
        <v>0</v>
      </c>
      <c r="K741" s="80"/>
      <c r="L741" s="807">
        <v>3007</v>
      </c>
      <c r="M741" s="80" t="str">
        <f>+IFERROR(VLOOKUP(L741,DATA!$G$4:$H$2000,2,FALSE),"")</f>
        <v xml:space="preserve">АЯНЧИН АУТФИТТЕРС ХХК </v>
      </c>
      <c r="N741" s="807"/>
      <c r="O741" s="80" t="str">
        <f>IFERROR(VLOOKUP(N741,DATA!$K$4:$L$51,2,FALSE),"")</f>
        <v/>
      </c>
      <c r="P741" s="80">
        <f t="shared" si="57"/>
        <v>0</v>
      </c>
      <c r="Q741" s="154">
        <f t="shared" si="58"/>
        <v>0</v>
      </c>
    </row>
    <row r="742" spans="2:17">
      <c r="B742" s="627">
        <f t="shared" si="59"/>
        <v>737</v>
      </c>
      <c r="C742" s="429">
        <v>43263</v>
      </c>
      <c r="D742" s="816" t="s">
        <v>2549</v>
      </c>
      <c r="E742" s="807">
        <v>310500</v>
      </c>
      <c r="F742" s="629" t="str">
        <f>IFERROR(VLOOKUP(E742,STAT1!$C$4:$D$1000,2,FALSE),"")</f>
        <v>НӨАТ өглөг</v>
      </c>
      <c r="G742" s="811"/>
      <c r="H742" s="811">
        <v>39200</v>
      </c>
      <c r="I742" s="580">
        <f t="shared" si="60"/>
        <v>0</v>
      </c>
      <c r="J742" s="961">
        <f t="shared" si="61"/>
        <v>0</v>
      </c>
      <c r="K742" s="80"/>
      <c r="L742" s="807">
        <v>3007</v>
      </c>
      <c r="M742" s="80" t="str">
        <f>+IFERROR(VLOOKUP(L742,DATA!$G$4:$H$2000,2,FALSE),"")</f>
        <v xml:space="preserve">АЯНЧИН АУТФИТТЕРС ХХК </v>
      </c>
      <c r="N742" s="807"/>
      <c r="O742" s="80" t="str">
        <f>IFERROR(VLOOKUP(N742,DATA!$K$4:$L$51,2,FALSE),"")</f>
        <v/>
      </c>
      <c r="P742" s="80">
        <f t="shared" si="57"/>
        <v>0</v>
      </c>
      <c r="Q742" s="154">
        <f t="shared" si="58"/>
        <v>0</v>
      </c>
    </row>
    <row r="743" spans="2:17">
      <c r="B743" s="627">
        <f t="shared" si="59"/>
        <v>738</v>
      </c>
      <c r="C743" s="582">
        <v>43263</v>
      </c>
      <c r="D743" s="816" t="s">
        <v>2549</v>
      </c>
      <c r="E743" s="630">
        <v>510000</v>
      </c>
      <c r="F743" s="629" t="str">
        <f>IFERROR(VLOOKUP(E743,STAT1!$C$4:$D$8000,2,FALSE),"")</f>
        <v>Үндсэн үйл ажиллагааны борлуулалт</v>
      </c>
      <c r="G743" s="376"/>
      <c r="H743" s="376">
        <v>392000</v>
      </c>
      <c r="I743" s="580">
        <f t="shared" si="60"/>
        <v>0</v>
      </c>
      <c r="J743" s="961">
        <f t="shared" si="61"/>
        <v>0</v>
      </c>
      <c r="K743" s="80"/>
      <c r="L743" s="630">
        <v>3007</v>
      </c>
      <c r="M743" s="80" t="str">
        <f>+IFERROR(VLOOKUP(L743,DATA!$G$4:$H$2000,2,FALSE),"")</f>
        <v xml:space="preserve">АЯНЧИН АУТФИТТЕРС ХХК </v>
      </c>
      <c r="N743" s="630"/>
      <c r="O743" s="80" t="str">
        <f>IFERROR(VLOOKUP(N743,DATA!$K$4:$L$51,2,FALSE),"")</f>
        <v/>
      </c>
      <c r="P743" s="80">
        <f t="shared" si="57"/>
        <v>0</v>
      </c>
      <c r="Q743" s="154">
        <f t="shared" si="58"/>
        <v>0</v>
      </c>
    </row>
    <row r="744" spans="2:17">
      <c r="B744" s="627">
        <f t="shared" si="59"/>
        <v>739</v>
      </c>
      <c r="C744" s="429">
        <v>43263</v>
      </c>
      <c r="D744" s="816" t="s">
        <v>2549</v>
      </c>
      <c r="E744" s="807">
        <v>320100</v>
      </c>
      <c r="F744" s="629" t="str">
        <f>IFERROR(VLOOKUP(E744,STAT1!$C$4:$D$1000,2,FALSE),"")</f>
        <v>Урьдчилж орсон орлого MNT</v>
      </c>
      <c r="G744" s="811">
        <v>431200</v>
      </c>
      <c r="H744" s="811"/>
      <c r="I744" s="580">
        <f t="shared" si="60"/>
        <v>0</v>
      </c>
      <c r="J744" s="961">
        <f t="shared" si="61"/>
        <v>0</v>
      </c>
      <c r="K744" s="80"/>
      <c r="L744" s="807">
        <v>3007</v>
      </c>
      <c r="M744" s="80" t="str">
        <f>+IFERROR(VLOOKUP(L744,DATA!$G$4:$H$2000,2,FALSE),"")</f>
        <v xml:space="preserve">АЯНЧИН АУТФИТТЕРС ХХК </v>
      </c>
      <c r="N744" s="807"/>
      <c r="O744" s="80" t="str">
        <f>IFERROR(VLOOKUP(N744,DATA!$K$4:$L$51,2,FALSE),"")</f>
        <v/>
      </c>
      <c r="P744" s="80">
        <f t="shared" si="57"/>
        <v>0</v>
      </c>
      <c r="Q744" s="154">
        <f t="shared" si="58"/>
        <v>0</v>
      </c>
    </row>
    <row r="745" spans="2:17">
      <c r="B745" s="627">
        <f t="shared" si="59"/>
        <v>740</v>
      </c>
      <c r="C745" s="429">
        <v>43263</v>
      </c>
      <c r="D745" s="816" t="s">
        <v>2549</v>
      </c>
      <c r="E745" s="807">
        <v>150101</v>
      </c>
      <c r="F745" s="629" t="str">
        <f>IFERROR(VLOOKUP(E745,STAT1!$C$4:$D$1000,2,FALSE),"")</f>
        <v>Бараа бэлэн бүтээгдэхүүн БОЛОВСРУУЛАХ ЦЕХ /нарс/</v>
      </c>
      <c r="G745" s="811"/>
      <c r="H745" s="811">
        <v>118967.86</v>
      </c>
      <c r="I745" s="580">
        <f t="shared" si="60"/>
        <v>0</v>
      </c>
      <c r="J745" s="961">
        <f t="shared" si="61"/>
        <v>0</v>
      </c>
      <c r="K745" s="80"/>
      <c r="L745" s="807">
        <v>3109</v>
      </c>
      <c r="M745" s="80" t="str">
        <f>+IFERROR(VLOOKUP(L745,DATA!$G$4:$H$2000,2,FALSE),"")</f>
        <v xml:space="preserve">СИЛК РӨҮТ ТЕКСТИЛЬ ХХК </v>
      </c>
      <c r="N745" s="807"/>
      <c r="O745" s="80" t="str">
        <f>IFERROR(VLOOKUP(N745,DATA!$K$4:$L$51,2,FALSE),"")</f>
        <v/>
      </c>
      <c r="P745" s="80">
        <f t="shared" si="57"/>
        <v>0</v>
      </c>
      <c r="Q745" s="154">
        <f t="shared" si="58"/>
        <v>0</v>
      </c>
    </row>
    <row r="746" spans="2:17">
      <c r="B746" s="627">
        <f t="shared" si="59"/>
        <v>741</v>
      </c>
      <c r="C746" s="429">
        <v>43263</v>
      </c>
      <c r="D746" s="816" t="s">
        <v>2549</v>
      </c>
      <c r="E746" s="807">
        <v>610100</v>
      </c>
      <c r="F746" s="629" t="str">
        <f>IFERROR(VLOOKUP(E746,STAT1!$C$4:$D$1000,2,FALSE),"")</f>
        <v>Борлуулсан барааны өртөг</v>
      </c>
      <c r="G746" s="811">
        <v>118967.86</v>
      </c>
      <c r="H746" s="811"/>
      <c r="I746" s="580">
        <f t="shared" si="60"/>
        <v>0</v>
      </c>
      <c r="J746" s="961">
        <f t="shared" si="61"/>
        <v>0</v>
      </c>
      <c r="K746" s="80"/>
      <c r="L746" s="807">
        <v>3109</v>
      </c>
      <c r="M746" s="80" t="str">
        <f>+IFERROR(VLOOKUP(L746,DATA!$G$4:$H$2000,2,FALSE),"")</f>
        <v xml:space="preserve">СИЛК РӨҮТ ТЕКСТИЛЬ ХХК </v>
      </c>
      <c r="N746" s="807"/>
      <c r="O746" s="80" t="str">
        <f>IFERROR(VLOOKUP(N746,DATA!$K$4:$L$51,2,FALSE),"")</f>
        <v/>
      </c>
      <c r="P746" s="80">
        <f t="shared" si="57"/>
        <v>0</v>
      </c>
      <c r="Q746" s="154">
        <f t="shared" si="58"/>
        <v>0</v>
      </c>
    </row>
    <row r="747" spans="2:17">
      <c r="B747" s="627">
        <f t="shared" si="59"/>
        <v>742</v>
      </c>
      <c r="C747" s="429">
        <v>43263</v>
      </c>
      <c r="D747" s="816" t="s">
        <v>2549</v>
      </c>
      <c r="E747" s="807">
        <v>310500</v>
      </c>
      <c r="F747" s="629" t="str">
        <f>IFERROR(VLOOKUP(E747,STAT1!$C$4:$D$1000,2,FALSE),"")</f>
        <v>НӨАТ өглөг</v>
      </c>
      <c r="G747" s="811"/>
      <c r="H747" s="811">
        <v>18000</v>
      </c>
      <c r="I747" s="580">
        <f t="shared" si="60"/>
        <v>0</v>
      </c>
      <c r="J747" s="961">
        <f t="shared" si="61"/>
        <v>0</v>
      </c>
      <c r="K747" s="80"/>
      <c r="L747" s="807">
        <v>3109</v>
      </c>
      <c r="M747" s="80" t="str">
        <f>+IFERROR(VLOOKUP(L747,DATA!$G$4:$H$2000,2,FALSE),"")</f>
        <v xml:space="preserve">СИЛК РӨҮТ ТЕКСТИЛЬ ХХК </v>
      </c>
      <c r="N747" s="807"/>
      <c r="O747" s="80" t="str">
        <f>IFERROR(VLOOKUP(N747,DATA!$K$4:$L$51,2,FALSE),"")</f>
        <v/>
      </c>
      <c r="P747" s="80">
        <f t="shared" ref="P747:P810" si="62">+IF(I747,1,0)</f>
        <v>0</v>
      </c>
      <c r="Q747" s="154">
        <f t="shared" ref="Q747:Q810" si="63">+IF(I747,1,0)</f>
        <v>0</v>
      </c>
    </row>
    <row r="748" spans="2:17">
      <c r="B748" s="627">
        <f t="shared" si="59"/>
        <v>743</v>
      </c>
      <c r="C748" s="429">
        <v>43263</v>
      </c>
      <c r="D748" s="816" t="s">
        <v>2549</v>
      </c>
      <c r="E748" s="807">
        <v>510000</v>
      </c>
      <c r="F748" s="629" t="str">
        <f>IFERROR(VLOOKUP(E748,STAT1!$C$4:$D$1000,2,FALSE),"")</f>
        <v>Үндсэн үйл ажиллагааны борлуулалт</v>
      </c>
      <c r="G748" s="811"/>
      <c r="H748" s="811">
        <v>180000</v>
      </c>
      <c r="I748" s="580">
        <f t="shared" si="60"/>
        <v>0</v>
      </c>
      <c r="J748" s="961">
        <f t="shared" si="61"/>
        <v>0</v>
      </c>
      <c r="K748" s="80"/>
      <c r="L748" s="807">
        <v>3109</v>
      </c>
      <c r="M748" s="80" t="str">
        <f>+IFERROR(VLOOKUP(L748,DATA!$G$4:$H$2000,2,FALSE),"")</f>
        <v xml:space="preserve">СИЛК РӨҮТ ТЕКСТИЛЬ ХХК </v>
      </c>
      <c r="N748" s="807"/>
      <c r="O748" s="80" t="str">
        <f>IFERROR(VLOOKUP(N748,DATA!$K$4:$L$51,2,FALSE),"")</f>
        <v/>
      </c>
      <c r="P748" s="80">
        <f t="shared" si="62"/>
        <v>0</v>
      </c>
      <c r="Q748" s="154">
        <f t="shared" si="63"/>
        <v>0</v>
      </c>
    </row>
    <row r="749" spans="2:17">
      <c r="B749" s="627">
        <f t="shared" si="59"/>
        <v>744</v>
      </c>
      <c r="C749" s="582">
        <v>43263</v>
      </c>
      <c r="D749" s="816" t="s">
        <v>2549</v>
      </c>
      <c r="E749" s="630">
        <v>320100</v>
      </c>
      <c r="F749" s="629" t="str">
        <f>IFERROR(VLOOKUP(E749,STAT1!$C$4:$D$1000,2,FALSE),"")</f>
        <v>Урьдчилж орсон орлого MNT</v>
      </c>
      <c r="G749" s="376">
        <v>198000</v>
      </c>
      <c r="H749" s="376"/>
      <c r="I749" s="580">
        <f t="shared" si="60"/>
        <v>0</v>
      </c>
      <c r="J749" s="961">
        <f t="shared" si="61"/>
        <v>0</v>
      </c>
      <c r="K749" s="80"/>
      <c r="L749" s="630">
        <v>3109</v>
      </c>
      <c r="M749" s="80" t="str">
        <f>+IFERROR(VLOOKUP(L749,DATA!$G$4:$H$2000,2,FALSE),"")</f>
        <v xml:space="preserve">СИЛК РӨҮТ ТЕКСТИЛЬ ХХК </v>
      </c>
      <c r="N749" s="630"/>
      <c r="O749" s="80" t="str">
        <f>IFERROR(VLOOKUP(N749,DATA!$K$4:$L$51,2,FALSE),"")</f>
        <v/>
      </c>
      <c r="P749" s="80">
        <f t="shared" si="62"/>
        <v>0</v>
      </c>
      <c r="Q749" s="154">
        <f t="shared" si="63"/>
        <v>0</v>
      </c>
    </row>
    <row r="750" spans="2:17">
      <c r="B750" s="627">
        <f t="shared" si="59"/>
        <v>745</v>
      </c>
      <c r="C750" s="582">
        <v>43264</v>
      </c>
      <c r="D750" s="815" t="s">
        <v>1571</v>
      </c>
      <c r="E750" s="807">
        <v>110100</v>
      </c>
      <c r="F750" s="629" t="str">
        <f>IFERROR(VLOOKUP(E750,STAT1!$C$4:$D$1000,2,FALSE),"")</f>
        <v>Хаан Банк 5024654020</v>
      </c>
      <c r="G750" s="811">
        <v>1443200</v>
      </c>
      <c r="H750" s="811"/>
      <c r="I750" s="580">
        <f t="shared" si="60"/>
        <v>1443200</v>
      </c>
      <c r="J750" s="961">
        <f t="shared" si="61"/>
        <v>0</v>
      </c>
      <c r="K750" s="80"/>
      <c r="L750" s="807">
        <v>3116</v>
      </c>
      <c r="M750" s="80" t="str">
        <f>+IFERROR(VLOOKUP(L750,DATA!$G$4:$H$2000,2,FALSE),"")</f>
        <v xml:space="preserve">ЮМИКА ХХК </v>
      </c>
      <c r="N750" s="807">
        <v>41</v>
      </c>
      <c r="O750" s="80" t="str">
        <f>IFERROR(VLOOKUP(N750,DATA!$K$4:$L$51,2,FALSE),"")</f>
        <v>Бараа борлуулсан, үйлчилгээ үзүүлсэний орлого</v>
      </c>
      <c r="P750" s="80">
        <f t="shared" si="62"/>
        <v>1</v>
      </c>
      <c r="Q750" s="154">
        <f t="shared" si="63"/>
        <v>1</v>
      </c>
    </row>
    <row r="751" spans="2:17">
      <c r="B751" s="627">
        <f t="shared" si="59"/>
        <v>746</v>
      </c>
      <c r="C751" s="429">
        <v>43264</v>
      </c>
      <c r="D751" s="815" t="s">
        <v>1571</v>
      </c>
      <c r="E751" s="807">
        <v>320100</v>
      </c>
      <c r="F751" s="629" t="str">
        <f>IFERROR(VLOOKUP(E751,STAT1!$C$4:$D$1000,2,FALSE),"")</f>
        <v>Урьдчилж орсон орлого MNT</v>
      </c>
      <c r="G751" s="811"/>
      <c r="H751" s="811">
        <v>1443200</v>
      </c>
      <c r="I751" s="580">
        <f t="shared" si="60"/>
        <v>0</v>
      </c>
      <c r="J751" s="961">
        <f t="shared" si="61"/>
        <v>0</v>
      </c>
      <c r="K751" s="80"/>
      <c r="L751" s="807">
        <v>3116</v>
      </c>
      <c r="M751" s="80" t="str">
        <f>+IFERROR(VLOOKUP(L751,DATA!$G$4:$H$2000,2,FALSE),"")</f>
        <v xml:space="preserve">ЮМИКА ХХК </v>
      </c>
      <c r="N751" s="807"/>
      <c r="O751" s="80" t="str">
        <f>IFERROR(VLOOKUP(N751,DATA!$K$4:$L$51,2,FALSE),"")</f>
        <v/>
      </c>
      <c r="P751" s="80">
        <f t="shared" si="62"/>
        <v>0</v>
      </c>
      <c r="Q751" s="154">
        <f t="shared" si="63"/>
        <v>0</v>
      </c>
    </row>
    <row r="752" spans="2:17">
      <c r="B752" s="627">
        <f t="shared" si="59"/>
        <v>747</v>
      </c>
      <c r="C752" s="429">
        <v>43265</v>
      </c>
      <c r="D752" s="816" t="s">
        <v>2549</v>
      </c>
      <c r="E752" s="807">
        <v>150101</v>
      </c>
      <c r="F752" s="629" t="str">
        <f>IFERROR(VLOOKUP(E752,STAT1!$C$4:$D$1000,2,FALSE),"")</f>
        <v>Бараа бэлэн бүтээгдэхүүн БОЛОВСРУУЛАХ ЦЕХ /нарс/</v>
      </c>
      <c r="G752" s="811"/>
      <c r="H752" s="811">
        <v>133838.84</v>
      </c>
      <c r="I752" s="580">
        <f t="shared" si="60"/>
        <v>0</v>
      </c>
      <c r="J752" s="961">
        <f t="shared" si="61"/>
        <v>0</v>
      </c>
      <c r="K752" s="80"/>
      <c r="L752" s="807">
        <v>4002</v>
      </c>
      <c r="M752" s="80" t="str">
        <f>+IFERROR(VLOOKUP(L752,DATA!$G$4:$H$2000,2,FALSE),"")</f>
        <v xml:space="preserve">Хувь хүн </v>
      </c>
      <c r="N752" s="807"/>
      <c r="O752" s="80" t="str">
        <f>IFERROR(VLOOKUP(N752,DATA!$K$4:$L$51,2,FALSE),"")</f>
        <v/>
      </c>
      <c r="P752" s="80">
        <f t="shared" si="62"/>
        <v>0</v>
      </c>
      <c r="Q752" s="154">
        <f t="shared" si="63"/>
        <v>0</v>
      </c>
    </row>
    <row r="753" spans="2:17">
      <c r="B753" s="627">
        <f t="shared" si="59"/>
        <v>748</v>
      </c>
      <c r="C753" s="429">
        <v>43265</v>
      </c>
      <c r="D753" s="816" t="s">
        <v>2549</v>
      </c>
      <c r="E753" s="807">
        <v>610100</v>
      </c>
      <c r="F753" s="629" t="str">
        <f>IFERROR(VLOOKUP(E753,STAT1!$C$4:$D$1000,2,FALSE),"")</f>
        <v>Борлуулсан барааны өртөг</v>
      </c>
      <c r="G753" s="811">
        <v>133838.84</v>
      </c>
      <c r="H753" s="811"/>
      <c r="I753" s="580">
        <f t="shared" si="60"/>
        <v>0</v>
      </c>
      <c r="J753" s="961">
        <f t="shared" si="61"/>
        <v>0</v>
      </c>
      <c r="K753" s="80"/>
      <c r="L753" s="807">
        <v>4002</v>
      </c>
      <c r="M753" s="80" t="str">
        <f>+IFERROR(VLOOKUP(L753,DATA!$G$4:$H$2000,2,FALSE),"")</f>
        <v xml:space="preserve">Хувь хүн </v>
      </c>
      <c r="N753" s="807"/>
      <c r="O753" s="80" t="str">
        <f>IFERROR(VLOOKUP(N753,DATA!$K$4:$L$51,2,FALSE),"")</f>
        <v/>
      </c>
      <c r="P753" s="80">
        <f t="shared" si="62"/>
        <v>0</v>
      </c>
      <c r="Q753" s="154">
        <f t="shared" si="63"/>
        <v>0</v>
      </c>
    </row>
    <row r="754" spans="2:17">
      <c r="B754" s="627">
        <f t="shared" si="59"/>
        <v>749</v>
      </c>
      <c r="C754" s="429">
        <v>43265</v>
      </c>
      <c r="D754" s="816" t="s">
        <v>2549</v>
      </c>
      <c r="E754" s="807">
        <v>310500</v>
      </c>
      <c r="F754" s="629" t="str">
        <f>IFERROR(VLOOKUP(E754,STAT1!$C$4:$D$1000,2,FALSE),"")</f>
        <v>НӨАТ өглөг</v>
      </c>
      <c r="G754" s="811"/>
      <c r="H754" s="811">
        <v>20250</v>
      </c>
      <c r="I754" s="580">
        <f t="shared" si="60"/>
        <v>0</v>
      </c>
      <c r="J754" s="961">
        <f t="shared" si="61"/>
        <v>0</v>
      </c>
      <c r="K754" s="80"/>
      <c r="L754" s="807">
        <v>4002</v>
      </c>
      <c r="M754" s="80" t="str">
        <f>+IFERROR(VLOOKUP(L754,DATA!$G$4:$H$2000,2,FALSE),"")</f>
        <v xml:space="preserve">Хувь хүн </v>
      </c>
      <c r="N754" s="807"/>
      <c r="O754" s="80" t="str">
        <f>IFERROR(VLOOKUP(N754,DATA!$K$4:$L$51,2,FALSE),"")</f>
        <v/>
      </c>
      <c r="P754" s="80">
        <f t="shared" si="62"/>
        <v>0</v>
      </c>
      <c r="Q754" s="154">
        <f t="shared" si="63"/>
        <v>0</v>
      </c>
    </row>
    <row r="755" spans="2:17">
      <c r="B755" s="627">
        <f t="shared" si="59"/>
        <v>750</v>
      </c>
      <c r="C755" s="429">
        <v>43265</v>
      </c>
      <c r="D755" s="816" t="s">
        <v>2549</v>
      </c>
      <c r="E755" s="807">
        <v>510000</v>
      </c>
      <c r="F755" s="629" t="str">
        <f>IFERROR(VLOOKUP(E755,STAT1!$C$4:$D$1000,2,FALSE),"")</f>
        <v>Үндсэн үйл ажиллагааны борлуулалт</v>
      </c>
      <c r="G755" s="811"/>
      <c r="H755" s="811">
        <v>202500</v>
      </c>
      <c r="I755" s="580">
        <f t="shared" si="60"/>
        <v>0</v>
      </c>
      <c r="J755" s="961">
        <f t="shared" si="61"/>
        <v>0</v>
      </c>
      <c r="K755" s="80"/>
      <c r="L755" s="807">
        <v>4002</v>
      </c>
      <c r="M755" s="80" t="str">
        <f>+IFERROR(VLOOKUP(L755,DATA!$G$4:$H$2000,2,FALSE),"")</f>
        <v xml:space="preserve">Хувь хүн </v>
      </c>
      <c r="N755" s="807"/>
      <c r="O755" s="80" t="str">
        <f>IFERROR(VLOOKUP(N755,DATA!$K$4:$L$51,2,FALSE),"")</f>
        <v/>
      </c>
      <c r="P755" s="80">
        <f t="shared" si="62"/>
        <v>0</v>
      </c>
      <c r="Q755" s="154">
        <f t="shared" si="63"/>
        <v>0</v>
      </c>
    </row>
    <row r="756" spans="2:17">
      <c r="B756" s="627">
        <f t="shared" si="59"/>
        <v>751</v>
      </c>
      <c r="C756" s="429">
        <v>43265</v>
      </c>
      <c r="D756" s="816" t="s">
        <v>2549</v>
      </c>
      <c r="E756" s="807">
        <v>320100</v>
      </c>
      <c r="F756" s="629" t="str">
        <f>IFERROR(VLOOKUP(E756,STAT1!$C$4:$D$1000,2,FALSE),"")</f>
        <v>Урьдчилж орсон орлого MNT</v>
      </c>
      <c r="G756" s="811">
        <v>222750</v>
      </c>
      <c r="H756" s="811"/>
      <c r="I756" s="580">
        <f t="shared" si="60"/>
        <v>0</v>
      </c>
      <c r="J756" s="961">
        <f t="shared" si="61"/>
        <v>0</v>
      </c>
      <c r="K756" s="80"/>
      <c r="L756" s="807">
        <v>4002</v>
      </c>
      <c r="M756" s="80" t="str">
        <f>+IFERROR(VLOOKUP(L756,DATA!$G$4:$H$2000,2,FALSE),"")</f>
        <v xml:space="preserve">Хувь хүн </v>
      </c>
      <c r="N756" s="807"/>
      <c r="O756" s="80" t="str">
        <f>IFERROR(VLOOKUP(N756,DATA!$K$4:$L$51,2,FALSE),"")</f>
        <v/>
      </c>
      <c r="P756" s="80">
        <f t="shared" si="62"/>
        <v>0</v>
      </c>
      <c r="Q756" s="154">
        <f t="shared" si="63"/>
        <v>0</v>
      </c>
    </row>
    <row r="757" spans="2:17">
      <c r="B757" s="627">
        <f t="shared" si="59"/>
        <v>752</v>
      </c>
      <c r="C757" s="582">
        <v>43267</v>
      </c>
      <c r="D757" s="816" t="s">
        <v>1570</v>
      </c>
      <c r="E757" s="807">
        <v>100100</v>
      </c>
      <c r="F757" s="629" t="str">
        <f>IFERROR(VLOOKUP(E757,STAT1!$C$4:$D$1000,2,FALSE),"")</f>
        <v>Касс мөнгө MNT</v>
      </c>
      <c r="G757" s="811"/>
      <c r="H757" s="811">
        <v>50000</v>
      </c>
      <c r="I757" s="580">
        <f t="shared" si="60"/>
        <v>-50000</v>
      </c>
      <c r="J757" s="961">
        <f t="shared" si="61"/>
        <v>0</v>
      </c>
      <c r="K757" s="80"/>
      <c r="L757" s="807">
        <v>1004</v>
      </c>
      <c r="M757" s="80" t="str">
        <f>+IFERROR(VLOOKUP(L757,DATA!$G$4:$H$2000,2,FALSE),"")</f>
        <v xml:space="preserve">Түмэндэлгэр </v>
      </c>
      <c r="N757" s="807">
        <v>55</v>
      </c>
      <c r="O757" s="80" t="str">
        <f>IFERROR(VLOOKUP(N757,DATA!$K$4:$L$51,2,FALSE),"")</f>
        <v>Түлш, шатахуун, тээврийн хөлс, сэлбэг хэрэгсэлд төлсөн</v>
      </c>
      <c r="P757" s="80">
        <f t="shared" si="62"/>
        <v>1</v>
      </c>
      <c r="Q757" s="154">
        <f t="shared" si="63"/>
        <v>1</v>
      </c>
    </row>
    <row r="758" spans="2:17">
      <c r="B758" s="627">
        <f t="shared" si="59"/>
        <v>753</v>
      </c>
      <c r="C758" s="582">
        <v>43267</v>
      </c>
      <c r="D758" s="816" t="s">
        <v>1570</v>
      </c>
      <c r="E758" s="807">
        <v>120600</v>
      </c>
      <c r="F758" s="629" t="str">
        <f>IFERROR(VLOOKUP(E758,STAT1!$C$4:$D$1000,2,FALSE),"")</f>
        <v>НӨАТ авлага</v>
      </c>
      <c r="G758" s="811">
        <v>4545.45</v>
      </c>
      <c r="H758" s="811"/>
      <c r="I758" s="580">
        <f t="shared" si="60"/>
        <v>0</v>
      </c>
      <c r="J758" s="961">
        <f t="shared" si="61"/>
        <v>0</v>
      </c>
      <c r="K758" s="80"/>
      <c r="L758" s="807">
        <v>1004</v>
      </c>
      <c r="M758" s="80" t="str">
        <f>+IFERROR(VLOOKUP(L758,DATA!$G$4:$H$2000,2,FALSE),"")</f>
        <v xml:space="preserve">Түмэндэлгэр </v>
      </c>
      <c r="N758" s="807"/>
      <c r="O758" s="80" t="str">
        <f>IFERROR(VLOOKUP(N758,DATA!$K$4:$L$51,2,FALSE),"")</f>
        <v/>
      </c>
      <c r="P758" s="80">
        <f t="shared" si="62"/>
        <v>0</v>
      </c>
      <c r="Q758" s="154">
        <f t="shared" si="63"/>
        <v>0</v>
      </c>
    </row>
    <row r="759" spans="2:17">
      <c r="B759" s="627">
        <f t="shared" si="59"/>
        <v>754</v>
      </c>
      <c r="C759" s="582">
        <v>43267</v>
      </c>
      <c r="D759" s="816" t="s">
        <v>1570</v>
      </c>
      <c r="E759" s="807">
        <v>702000</v>
      </c>
      <c r="F759" s="629" t="str">
        <f>IFERROR(VLOOKUP(E759,STAT1!$C$4:$D$1000,2,FALSE),"")</f>
        <v>Түлш, шатахуун</v>
      </c>
      <c r="G759" s="811">
        <f>+H757-G758</f>
        <v>45454.55</v>
      </c>
      <c r="H759" s="811"/>
      <c r="I759" s="580">
        <f t="shared" si="60"/>
        <v>0</v>
      </c>
      <c r="J759" s="961">
        <f t="shared" si="61"/>
        <v>0</v>
      </c>
      <c r="K759" s="80"/>
      <c r="L759" s="807">
        <v>1004</v>
      </c>
      <c r="M759" s="80" t="str">
        <f>+IFERROR(VLOOKUP(L759,DATA!$G$4:$H$2000,2,FALSE),"")</f>
        <v xml:space="preserve">Түмэндэлгэр </v>
      </c>
      <c r="N759" s="807"/>
      <c r="O759" s="80" t="str">
        <f>IFERROR(VLOOKUP(N759,DATA!$K$4:$L$51,2,FALSE),"")</f>
        <v/>
      </c>
      <c r="P759" s="80">
        <f t="shared" si="62"/>
        <v>0</v>
      </c>
      <c r="Q759" s="154">
        <f t="shared" si="63"/>
        <v>0</v>
      </c>
    </row>
    <row r="760" spans="2:17">
      <c r="B760" s="627">
        <f t="shared" si="59"/>
        <v>755</v>
      </c>
      <c r="C760" s="429">
        <v>43268</v>
      </c>
      <c r="D760" s="816" t="s">
        <v>1570</v>
      </c>
      <c r="E760" s="807">
        <v>100100</v>
      </c>
      <c r="F760" s="629" t="str">
        <f>IFERROR(VLOOKUP(E760,STAT1!$C$4:$D$1000,2,FALSE),"")</f>
        <v>Касс мөнгө MNT</v>
      </c>
      <c r="G760" s="811"/>
      <c r="H760" s="811">
        <v>120000</v>
      </c>
      <c r="I760" s="580">
        <f t="shared" si="60"/>
        <v>-120000</v>
      </c>
      <c r="J760" s="961">
        <f t="shared" si="61"/>
        <v>0</v>
      </c>
      <c r="K760" s="80"/>
      <c r="L760" s="807">
        <v>1004</v>
      </c>
      <c r="M760" s="80" t="str">
        <f>+IFERROR(VLOOKUP(L760,DATA!$G$4:$H$2000,2,FALSE),"")</f>
        <v xml:space="preserve">Түмэндэлгэр </v>
      </c>
      <c r="N760" s="807">
        <v>55</v>
      </c>
      <c r="O760" s="80" t="str">
        <f>IFERROR(VLOOKUP(N760,DATA!$K$4:$L$51,2,FALSE),"")</f>
        <v>Түлш, шатахуун, тээврийн хөлс, сэлбэг хэрэгсэлд төлсөн</v>
      </c>
      <c r="P760" s="80">
        <f t="shared" si="62"/>
        <v>1</v>
      </c>
      <c r="Q760" s="154">
        <f t="shared" si="63"/>
        <v>1</v>
      </c>
    </row>
    <row r="761" spans="2:17">
      <c r="B761" s="627">
        <f t="shared" si="59"/>
        <v>756</v>
      </c>
      <c r="C761" s="429">
        <v>43268</v>
      </c>
      <c r="D761" s="816" t="s">
        <v>1570</v>
      </c>
      <c r="E761" s="807">
        <v>120600</v>
      </c>
      <c r="F761" s="629" t="str">
        <f>IFERROR(VLOOKUP(E761,STAT1!$C$4:$D$1000,2,FALSE),"")</f>
        <v>НӨАТ авлага</v>
      </c>
      <c r="G761" s="811">
        <v>10909.09</v>
      </c>
      <c r="H761" s="811"/>
      <c r="I761" s="580">
        <f t="shared" si="60"/>
        <v>0</v>
      </c>
      <c r="J761" s="961">
        <f t="shared" si="61"/>
        <v>0</v>
      </c>
      <c r="K761" s="80"/>
      <c r="L761" s="807">
        <v>1004</v>
      </c>
      <c r="M761" s="80" t="str">
        <f>+IFERROR(VLOOKUP(L761,DATA!$G$4:$H$2000,2,FALSE),"")</f>
        <v xml:space="preserve">Түмэндэлгэр </v>
      </c>
      <c r="N761" s="807"/>
      <c r="O761" s="80" t="str">
        <f>IFERROR(VLOOKUP(N761,DATA!$K$4:$L$51,2,FALSE),"")</f>
        <v/>
      </c>
      <c r="P761" s="80">
        <f t="shared" si="62"/>
        <v>0</v>
      </c>
      <c r="Q761" s="154">
        <f t="shared" si="63"/>
        <v>0</v>
      </c>
    </row>
    <row r="762" spans="2:17">
      <c r="B762" s="627">
        <f t="shared" si="59"/>
        <v>757</v>
      </c>
      <c r="C762" s="429">
        <v>43268</v>
      </c>
      <c r="D762" s="816" t="s">
        <v>1570</v>
      </c>
      <c r="E762" s="807">
        <v>702000</v>
      </c>
      <c r="F762" s="629" t="str">
        <f>IFERROR(VLOOKUP(E762,STAT1!$C$4:$D$1000,2,FALSE),"")</f>
        <v>Түлш, шатахуун</v>
      </c>
      <c r="G762" s="811">
        <f>+H760-G761</f>
        <v>109090.91</v>
      </c>
      <c r="H762" s="811"/>
      <c r="I762" s="580">
        <f t="shared" si="60"/>
        <v>0</v>
      </c>
      <c r="J762" s="961">
        <f t="shared" si="61"/>
        <v>0</v>
      </c>
      <c r="K762" s="80"/>
      <c r="L762" s="807">
        <v>1004</v>
      </c>
      <c r="M762" s="80" t="str">
        <f>+IFERROR(VLOOKUP(L762,DATA!$G$4:$H$2000,2,FALSE),"")</f>
        <v xml:space="preserve">Түмэндэлгэр </v>
      </c>
      <c r="N762" s="807"/>
      <c r="O762" s="80" t="str">
        <f>IFERROR(VLOOKUP(N762,DATA!$K$4:$L$51,2,FALSE),"")</f>
        <v/>
      </c>
      <c r="P762" s="80">
        <f t="shared" si="62"/>
        <v>0</v>
      </c>
      <c r="Q762" s="154">
        <f t="shared" si="63"/>
        <v>0</v>
      </c>
    </row>
    <row r="763" spans="2:17">
      <c r="B763" s="627">
        <f t="shared" si="59"/>
        <v>758</v>
      </c>
      <c r="C763" s="429">
        <v>43270</v>
      </c>
      <c r="D763" s="816" t="s">
        <v>2549</v>
      </c>
      <c r="E763" s="807">
        <v>150101</v>
      </c>
      <c r="F763" s="629" t="str">
        <f>IFERROR(VLOOKUP(E763,STAT1!$C$4:$D$1000,2,FALSE),"")</f>
        <v>Бараа бэлэн бүтээгдэхүүн БОЛОВСРУУЛАХ ЦЕХ /нарс/</v>
      </c>
      <c r="G763" s="811"/>
      <c r="H763" s="811">
        <v>1241014.3</v>
      </c>
      <c r="I763" s="580">
        <f t="shared" si="60"/>
        <v>0</v>
      </c>
      <c r="J763" s="961">
        <f t="shared" si="61"/>
        <v>0</v>
      </c>
      <c r="K763" s="80"/>
      <c r="L763" s="807">
        <v>3129</v>
      </c>
      <c r="M763" s="80" t="str">
        <f>+IFERROR(VLOOKUP(L763,DATA!$G$4:$H$2000,2,FALSE),"")</f>
        <v>МЕТРИК ДИЗАЙН ХХК</v>
      </c>
      <c r="N763" s="807"/>
      <c r="O763" s="80" t="str">
        <f>IFERROR(VLOOKUP(N763,DATA!$K$4:$L$51,2,FALSE),"")</f>
        <v/>
      </c>
      <c r="P763" s="80">
        <f t="shared" si="62"/>
        <v>0</v>
      </c>
      <c r="Q763" s="154">
        <f t="shared" si="63"/>
        <v>0</v>
      </c>
    </row>
    <row r="764" spans="2:17">
      <c r="B764" s="627">
        <f t="shared" si="59"/>
        <v>759</v>
      </c>
      <c r="C764" s="429">
        <v>43270</v>
      </c>
      <c r="D764" s="816" t="s">
        <v>2549</v>
      </c>
      <c r="E764" s="807">
        <v>610100</v>
      </c>
      <c r="F764" s="629" t="str">
        <f>IFERROR(VLOOKUP(E764,STAT1!$C$4:$D$1000,2,FALSE),"")</f>
        <v>Борлуулсан барааны өртөг</v>
      </c>
      <c r="G764" s="811">
        <v>1241014.3</v>
      </c>
      <c r="H764" s="811"/>
      <c r="I764" s="580">
        <f t="shared" si="60"/>
        <v>0</v>
      </c>
      <c r="J764" s="961">
        <f t="shared" si="61"/>
        <v>0</v>
      </c>
      <c r="K764" s="80"/>
      <c r="L764" s="807">
        <v>3129</v>
      </c>
      <c r="M764" s="80" t="str">
        <f>+IFERROR(VLOOKUP(L764,DATA!$G$4:$H$2000,2,FALSE),"")</f>
        <v>МЕТРИК ДИЗАЙН ХХК</v>
      </c>
      <c r="N764" s="807"/>
      <c r="O764" s="80" t="str">
        <f>IFERROR(VLOOKUP(N764,DATA!$K$4:$L$51,2,FALSE),"")</f>
        <v/>
      </c>
      <c r="P764" s="80">
        <f t="shared" si="62"/>
        <v>0</v>
      </c>
      <c r="Q764" s="154">
        <f t="shared" si="63"/>
        <v>0</v>
      </c>
    </row>
    <row r="765" spans="2:17">
      <c r="B765" s="627">
        <f t="shared" si="59"/>
        <v>760</v>
      </c>
      <c r="C765" s="429">
        <v>43270</v>
      </c>
      <c r="D765" s="816" t="s">
        <v>2549</v>
      </c>
      <c r="E765" s="807">
        <v>310500</v>
      </c>
      <c r="F765" s="629" t="str">
        <f>IFERROR(VLOOKUP(E765,STAT1!$C$4:$D$1000,2,FALSE),"")</f>
        <v>НӨАТ өглөг</v>
      </c>
      <c r="G765" s="811"/>
      <c r="H765" s="811">
        <v>150000</v>
      </c>
      <c r="I765" s="580">
        <f t="shared" si="60"/>
        <v>0</v>
      </c>
      <c r="J765" s="961">
        <f t="shared" si="61"/>
        <v>0</v>
      </c>
      <c r="K765" s="80"/>
      <c r="L765" s="807">
        <v>3129</v>
      </c>
      <c r="M765" s="80" t="str">
        <f>+IFERROR(VLOOKUP(L765,DATA!$G$4:$H$2000,2,FALSE),"")</f>
        <v>МЕТРИК ДИЗАЙН ХХК</v>
      </c>
      <c r="N765" s="807"/>
      <c r="O765" s="80" t="str">
        <f>IFERROR(VLOOKUP(N765,DATA!$K$4:$L$51,2,FALSE),"")</f>
        <v/>
      </c>
      <c r="P765" s="80">
        <f t="shared" si="62"/>
        <v>0</v>
      </c>
      <c r="Q765" s="154">
        <f t="shared" si="63"/>
        <v>0</v>
      </c>
    </row>
    <row r="766" spans="2:17">
      <c r="B766" s="627">
        <f t="shared" si="59"/>
        <v>761</v>
      </c>
      <c r="C766" s="429">
        <v>43270</v>
      </c>
      <c r="D766" s="816" t="s">
        <v>2549</v>
      </c>
      <c r="E766" s="807">
        <v>510000</v>
      </c>
      <c r="F766" s="629" t="str">
        <f>IFERROR(VLOOKUP(E766,STAT1!$C$4:$D$1000,2,FALSE),"")</f>
        <v>Үндсэн үйл ажиллагааны борлуулалт</v>
      </c>
      <c r="G766" s="811"/>
      <c r="H766" s="811">
        <v>1500000</v>
      </c>
      <c r="I766" s="580">
        <f t="shared" si="60"/>
        <v>0</v>
      </c>
      <c r="J766" s="961">
        <f t="shared" si="61"/>
        <v>0</v>
      </c>
      <c r="K766" s="80"/>
      <c r="L766" s="807">
        <v>3129</v>
      </c>
      <c r="M766" s="80" t="str">
        <f>+IFERROR(VLOOKUP(L766,DATA!$G$4:$H$2000,2,FALSE),"")</f>
        <v>МЕТРИК ДИЗАЙН ХХК</v>
      </c>
      <c r="N766" s="807"/>
      <c r="O766" s="80" t="str">
        <f>IFERROR(VLOOKUP(N766,DATA!$K$4:$L$51,2,FALSE),"")</f>
        <v/>
      </c>
      <c r="P766" s="80">
        <f t="shared" si="62"/>
        <v>0</v>
      </c>
      <c r="Q766" s="154">
        <f t="shared" si="63"/>
        <v>0</v>
      </c>
    </row>
    <row r="767" spans="2:17">
      <c r="B767" s="627">
        <f t="shared" si="59"/>
        <v>762</v>
      </c>
      <c r="C767" s="582">
        <v>43270</v>
      </c>
      <c r="D767" s="816" t="s">
        <v>2549</v>
      </c>
      <c r="E767" s="630">
        <v>320100</v>
      </c>
      <c r="F767" s="629" t="str">
        <f>IFERROR(VLOOKUP(E767,STAT1!$C$4:$D$8000,2,FALSE),"")</f>
        <v>Урьдчилж орсон орлого MNT</v>
      </c>
      <c r="G767" s="376">
        <v>1650000</v>
      </c>
      <c r="H767" s="376"/>
      <c r="I767" s="580">
        <f t="shared" si="60"/>
        <v>0</v>
      </c>
      <c r="J767" s="961">
        <f t="shared" si="61"/>
        <v>0</v>
      </c>
      <c r="K767" s="80"/>
      <c r="L767" s="630">
        <v>3129</v>
      </c>
      <c r="M767" s="80" t="str">
        <f>+IFERROR(VLOOKUP(L767,DATA!$G$4:$H$2000,2,FALSE),"")</f>
        <v>МЕТРИК ДИЗАЙН ХХК</v>
      </c>
      <c r="N767" s="630"/>
      <c r="O767" s="80" t="str">
        <f>IFERROR(VLOOKUP(N767,DATA!$K$4:$L$51,2,FALSE),"")</f>
        <v/>
      </c>
      <c r="P767" s="80">
        <f t="shared" si="62"/>
        <v>0</v>
      </c>
      <c r="Q767" s="154">
        <f t="shared" si="63"/>
        <v>0</v>
      </c>
    </row>
    <row r="768" spans="2:17">
      <c r="B768" s="627">
        <f t="shared" si="59"/>
        <v>763</v>
      </c>
      <c r="C768" s="582">
        <v>43270</v>
      </c>
      <c r="D768" s="816" t="s">
        <v>2549</v>
      </c>
      <c r="E768" s="630">
        <v>150101</v>
      </c>
      <c r="F768" s="629" t="str">
        <f>IFERROR(VLOOKUP(E768,STAT1!$C$4:$D$8000,2,FALSE),"")</f>
        <v>Бараа бэлэн бүтээгдэхүүн БОЛОВСРУУЛАХ ЦЕХ /нарс/</v>
      </c>
      <c r="G768" s="376"/>
      <c r="H768" s="376">
        <v>658037.07999999996</v>
      </c>
      <c r="I768" s="580">
        <f t="shared" si="60"/>
        <v>0</v>
      </c>
      <c r="J768" s="961">
        <f t="shared" si="61"/>
        <v>0</v>
      </c>
      <c r="K768" s="80"/>
      <c r="L768" s="630">
        <v>3021</v>
      </c>
      <c r="M768" s="80" t="str">
        <f>+IFERROR(VLOOKUP(L768,DATA!$G$4:$H$2000,2,FALSE),"")</f>
        <v>БАНДИА ХХК</v>
      </c>
      <c r="N768" s="630"/>
      <c r="O768" s="80" t="str">
        <f>IFERROR(VLOOKUP(N768,DATA!$K$4:$L$51,2,FALSE),"")</f>
        <v/>
      </c>
      <c r="P768" s="80">
        <f t="shared" si="62"/>
        <v>0</v>
      </c>
      <c r="Q768" s="154">
        <f t="shared" si="63"/>
        <v>0</v>
      </c>
    </row>
    <row r="769" spans="2:17">
      <c r="B769" s="627">
        <f t="shared" si="59"/>
        <v>764</v>
      </c>
      <c r="C769" s="429">
        <v>43270</v>
      </c>
      <c r="D769" s="816" t="s">
        <v>2549</v>
      </c>
      <c r="E769" s="807">
        <v>610100</v>
      </c>
      <c r="F769" s="629" t="str">
        <f>IFERROR(VLOOKUP(E769,STAT1!$C$4:$D$1000,2,FALSE),"")</f>
        <v>Борлуулсан барааны өртөг</v>
      </c>
      <c r="G769" s="376">
        <v>658037.07999999996</v>
      </c>
      <c r="H769" s="811"/>
      <c r="I769" s="580">
        <f t="shared" si="60"/>
        <v>0</v>
      </c>
      <c r="J769" s="961">
        <f t="shared" si="61"/>
        <v>0</v>
      </c>
      <c r="K769" s="80"/>
      <c r="L769" s="807">
        <v>3021</v>
      </c>
      <c r="M769" s="80" t="str">
        <f>+IFERROR(VLOOKUP(L769,DATA!$G$4:$H$2000,2,FALSE),"")</f>
        <v>БАНДИА ХХК</v>
      </c>
      <c r="N769" s="807"/>
      <c r="O769" s="80" t="str">
        <f>IFERROR(VLOOKUP(N769,DATA!$K$4:$L$51,2,FALSE),"")</f>
        <v/>
      </c>
      <c r="P769" s="80">
        <f t="shared" si="62"/>
        <v>0</v>
      </c>
      <c r="Q769" s="154">
        <f t="shared" si="63"/>
        <v>0</v>
      </c>
    </row>
    <row r="770" spans="2:17">
      <c r="B770" s="627">
        <f t="shared" si="59"/>
        <v>765</v>
      </c>
      <c r="C770" s="429">
        <v>43270</v>
      </c>
      <c r="D770" s="816" t="s">
        <v>2549</v>
      </c>
      <c r="E770" s="807">
        <v>310500</v>
      </c>
      <c r="F770" s="629" t="str">
        <f>IFERROR(VLOOKUP(E770,STAT1!$C$4:$D$1000,2,FALSE),"")</f>
        <v>НӨАТ өглөг</v>
      </c>
      <c r="G770" s="811"/>
      <c r="H770" s="811">
        <v>65250</v>
      </c>
      <c r="I770" s="580">
        <f t="shared" si="60"/>
        <v>0</v>
      </c>
      <c r="J770" s="961">
        <f t="shared" si="61"/>
        <v>0</v>
      </c>
      <c r="K770" s="80"/>
      <c r="L770" s="807">
        <v>3021</v>
      </c>
      <c r="M770" s="80" t="str">
        <f>+IFERROR(VLOOKUP(L770,DATA!$G$4:$H$2000,2,FALSE),"")</f>
        <v>БАНДИА ХХК</v>
      </c>
      <c r="N770" s="807"/>
      <c r="O770" s="80" t="str">
        <f>IFERROR(VLOOKUP(N770,DATA!$K$4:$L$51,2,FALSE),"")</f>
        <v/>
      </c>
      <c r="P770" s="80">
        <f t="shared" si="62"/>
        <v>0</v>
      </c>
      <c r="Q770" s="154">
        <f t="shared" si="63"/>
        <v>0</v>
      </c>
    </row>
    <row r="771" spans="2:17">
      <c r="B771" s="627">
        <f t="shared" si="59"/>
        <v>766</v>
      </c>
      <c r="C771" s="429">
        <v>43270</v>
      </c>
      <c r="D771" s="816" t="s">
        <v>2549</v>
      </c>
      <c r="E771" s="807">
        <v>510000</v>
      </c>
      <c r="F771" s="629" t="str">
        <f>IFERROR(VLOOKUP(E771,STAT1!$C$4:$D$1000,2,FALSE),"")</f>
        <v>Үндсэн үйл ажиллагааны борлуулалт</v>
      </c>
      <c r="G771" s="811"/>
      <c r="H771" s="811">
        <v>652500</v>
      </c>
      <c r="I771" s="580">
        <f t="shared" si="60"/>
        <v>0</v>
      </c>
      <c r="J771" s="961">
        <f t="shared" si="61"/>
        <v>0</v>
      </c>
      <c r="K771" s="80"/>
      <c r="L771" s="807">
        <v>3021</v>
      </c>
      <c r="M771" s="80" t="str">
        <f>+IFERROR(VLOOKUP(L771,DATA!$G$4:$H$2000,2,FALSE),"")</f>
        <v>БАНДИА ХХК</v>
      </c>
      <c r="N771" s="807"/>
      <c r="O771" s="80" t="str">
        <f>IFERROR(VLOOKUP(N771,DATA!$K$4:$L$51,2,FALSE),"")</f>
        <v/>
      </c>
      <c r="P771" s="80">
        <f t="shared" si="62"/>
        <v>0</v>
      </c>
      <c r="Q771" s="154">
        <f t="shared" si="63"/>
        <v>0</v>
      </c>
    </row>
    <row r="772" spans="2:17">
      <c r="B772" s="627">
        <f t="shared" si="59"/>
        <v>767</v>
      </c>
      <c r="C772" s="429">
        <v>43270</v>
      </c>
      <c r="D772" s="816" t="s">
        <v>2549</v>
      </c>
      <c r="E772" s="807">
        <v>320100</v>
      </c>
      <c r="F772" s="629" t="str">
        <f>IFERROR(VLOOKUP(E772,STAT1!$C$4:$D$1000,2,FALSE),"")</f>
        <v>Урьдчилж орсон орлого MNT</v>
      </c>
      <c r="G772" s="811">
        <v>717750</v>
      </c>
      <c r="H772" s="811"/>
      <c r="I772" s="580">
        <f t="shared" si="60"/>
        <v>0</v>
      </c>
      <c r="J772" s="961">
        <f t="shared" si="61"/>
        <v>0</v>
      </c>
      <c r="K772" s="80"/>
      <c r="L772" s="807">
        <v>3021</v>
      </c>
      <c r="M772" s="80" t="str">
        <f>+IFERROR(VLOOKUP(L772,DATA!$G$4:$H$2000,2,FALSE),"")</f>
        <v>БАНДИА ХХК</v>
      </c>
      <c r="N772" s="807"/>
      <c r="O772" s="80" t="str">
        <f>IFERROR(VLOOKUP(N772,DATA!$K$4:$L$51,2,FALSE),"")</f>
        <v/>
      </c>
      <c r="P772" s="80">
        <f t="shared" si="62"/>
        <v>0</v>
      </c>
      <c r="Q772" s="154">
        <f t="shared" si="63"/>
        <v>0</v>
      </c>
    </row>
    <row r="773" spans="2:17">
      <c r="B773" s="627">
        <f t="shared" si="59"/>
        <v>768</v>
      </c>
      <c r="C773" s="429">
        <v>43271</v>
      </c>
      <c r="D773" s="816" t="s">
        <v>2379</v>
      </c>
      <c r="E773" s="807">
        <v>110100</v>
      </c>
      <c r="F773" s="629" t="str">
        <f>IFERROR(VLOOKUP(E773,STAT1!$C$4:$D$1000,2,FALSE),"")</f>
        <v>Хаан Банк 5024654020</v>
      </c>
      <c r="G773" s="811"/>
      <c r="H773" s="811">
        <v>3330821.3</v>
      </c>
      <c r="I773" s="580">
        <f t="shared" si="60"/>
        <v>-3330821.3</v>
      </c>
      <c r="J773" s="961">
        <f t="shared" si="61"/>
        <v>0</v>
      </c>
      <c r="K773" s="80"/>
      <c r="L773" s="807">
        <v>2009</v>
      </c>
      <c r="M773" s="80" t="str">
        <f>+IFERROR(VLOOKUP(L773,DATA!$G$4:$H$2000,2,FALSE),"")</f>
        <v>ХААН БАНК</v>
      </c>
      <c r="N773" s="807">
        <v>91</v>
      </c>
      <c r="O773" s="80" t="str">
        <f>IFERROR(VLOOKUP(N773,DATA!$K$4:$L$51,2,FALSE),"")</f>
        <v>Зээл, өрийн үнэт цаасны төлбөрт төлсөн</v>
      </c>
      <c r="P773" s="80">
        <f t="shared" si="62"/>
        <v>1</v>
      </c>
      <c r="Q773" s="154">
        <f t="shared" si="63"/>
        <v>1</v>
      </c>
    </row>
    <row r="774" spans="2:17">
      <c r="B774" s="627">
        <f t="shared" ref="B774:B837" si="64">+IF(C774="","",ROW()-5)</f>
        <v>769</v>
      </c>
      <c r="C774" s="429">
        <v>43271</v>
      </c>
      <c r="D774" s="816" t="s">
        <v>2379</v>
      </c>
      <c r="E774" s="807">
        <v>311100</v>
      </c>
      <c r="F774" s="629" t="str">
        <f>IFERROR(VLOOKUP(E774,STAT1!$C$4:$D$1000,2,FALSE),"")</f>
        <v xml:space="preserve">Бусад богино хугацаат өглөг </v>
      </c>
      <c r="G774" s="811">
        <v>3330821.3</v>
      </c>
      <c r="H774" s="811"/>
      <c r="I774" s="580">
        <f t="shared" ref="I774:I780" si="65">+IF(OR(E774=100100,E774=100200,E774=110100,E774=110102,E774=110103,E774=110104,E774=110105,E774=110200,E774=110201,E774=110202,E774=110203,E774=110204,E774=110300),G774,0)+IF(OR(E774=100100,E774=100200,E774=110100,E774=110102,E774=110103,E774=110104,E774=110105,E774=110200,E774=110201,E774=110202,E774=110203,E774=110204,E774=110300),H774*-1,0)</f>
        <v>0</v>
      </c>
      <c r="J774" s="961">
        <f t="shared" ref="J774:J837" si="66">+IF(E774=110102,I774/K774,0)</f>
        <v>0</v>
      </c>
      <c r="K774" s="80"/>
      <c r="L774" s="807">
        <v>2009</v>
      </c>
      <c r="M774" s="80" t="str">
        <f>+IFERROR(VLOOKUP(L774,DATA!$G$4:$H$2000,2,FALSE),"")</f>
        <v>ХААН БАНК</v>
      </c>
      <c r="N774" s="807"/>
      <c r="O774" s="80" t="str">
        <f>IFERROR(VLOOKUP(N774,DATA!$K$4:$L$51,2,FALSE),"")</f>
        <v/>
      </c>
      <c r="P774" s="80">
        <f t="shared" si="62"/>
        <v>0</v>
      </c>
      <c r="Q774" s="154">
        <f t="shared" si="63"/>
        <v>0</v>
      </c>
    </row>
    <row r="775" spans="2:17">
      <c r="B775" s="627">
        <f t="shared" si="64"/>
        <v>770</v>
      </c>
      <c r="C775" s="429">
        <v>43271</v>
      </c>
      <c r="D775" s="816" t="s">
        <v>2379</v>
      </c>
      <c r="E775" s="807">
        <v>110100</v>
      </c>
      <c r="F775" s="629" t="str">
        <f>IFERROR(VLOOKUP(E775,STAT1!$C$4:$D$1000,2,FALSE),"")</f>
        <v>Хаан Банк 5024654020</v>
      </c>
      <c r="G775" s="811"/>
      <c r="H775" s="376">
        <v>295169.7</v>
      </c>
      <c r="I775" s="580">
        <f t="shared" si="65"/>
        <v>-295169.7</v>
      </c>
      <c r="J775" s="961">
        <f t="shared" si="66"/>
        <v>0</v>
      </c>
      <c r="K775" s="80"/>
      <c r="L775" s="807">
        <v>2009</v>
      </c>
      <c r="M775" s="80" t="str">
        <f>+IFERROR(VLOOKUP(L775,DATA!$G$4:$H$2000,2,FALSE),"")</f>
        <v>ХААН БАНК</v>
      </c>
      <c r="N775" s="807">
        <v>91</v>
      </c>
      <c r="O775" s="80" t="str">
        <f>IFERROR(VLOOKUP(N775,DATA!$K$4:$L$51,2,FALSE),"")</f>
        <v>Зээл, өрийн үнэт цаасны төлбөрт төлсөн</v>
      </c>
      <c r="P775" s="80">
        <f t="shared" si="62"/>
        <v>1</v>
      </c>
      <c r="Q775" s="154">
        <f t="shared" si="63"/>
        <v>1</v>
      </c>
    </row>
    <row r="776" spans="2:17">
      <c r="B776" s="627">
        <f t="shared" si="64"/>
        <v>771</v>
      </c>
      <c r="C776" s="429">
        <v>43271</v>
      </c>
      <c r="D776" s="816" t="s">
        <v>2379</v>
      </c>
      <c r="E776" s="807">
        <v>311100</v>
      </c>
      <c r="F776" s="629" t="str">
        <f>IFERROR(VLOOKUP(E776,STAT1!$C$4:$D$1000,2,FALSE),"")</f>
        <v xml:space="preserve">Бусад богино хугацаат өглөг </v>
      </c>
      <c r="G776" s="376">
        <v>295169.7</v>
      </c>
      <c r="H776" s="376"/>
      <c r="I776" s="580">
        <f t="shared" si="65"/>
        <v>0</v>
      </c>
      <c r="J776" s="961">
        <f t="shared" si="66"/>
        <v>0</v>
      </c>
      <c r="K776" s="80"/>
      <c r="L776" s="807">
        <v>2009</v>
      </c>
      <c r="M776" s="80" t="str">
        <f>+IFERROR(VLOOKUP(L776,DATA!$G$4:$H$2000,2,FALSE),"")</f>
        <v>ХААН БАНК</v>
      </c>
      <c r="N776" s="630"/>
      <c r="O776" s="80" t="str">
        <f>IFERROR(VLOOKUP(N776,DATA!$K$4:$L$51,2,FALSE),"")</f>
        <v/>
      </c>
      <c r="P776" s="80">
        <f t="shared" si="62"/>
        <v>0</v>
      </c>
      <c r="Q776" s="154">
        <f t="shared" si="63"/>
        <v>0</v>
      </c>
    </row>
    <row r="777" spans="2:17">
      <c r="B777" s="627">
        <f t="shared" si="64"/>
        <v>772</v>
      </c>
      <c r="C777" s="429">
        <v>43271</v>
      </c>
      <c r="D777" s="816" t="s">
        <v>2557</v>
      </c>
      <c r="E777" s="630">
        <v>110100</v>
      </c>
      <c r="F777" s="629" t="str">
        <f>IFERROR(VLOOKUP(E777,STAT1!$C$4:$D$1000,2,FALSE),"")</f>
        <v>Хаан Банк 5024654020</v>
      </c>
      <c r="G777" s="376">
        <v>1230000</v>
      </c>
      <c r="H777" s="376"/>
      <c r="I777" s="580">
        <f t="shared" si="65"/>
        <v>1230000</v>
      </c>
      <c r="J777" s="961">
        <f t="shared" si="66"/>
        <v>0</v>
      </c>
      <c r="K777" s="80"/>
      <c r="L777" s="630">
        <v>1004</v>
      </c>
      <c r="M777" s="80" t="str">
        <f>+IFERROR(VLOOKUP(L777,DATA!$G$4:$H$2000,2,FALSE),"")</f>
        <v xml:space="preserve">Түмэндэлгэр </v>
      </c>
      <c r="N777" s="630"/>
      <c r="O777" s="80" t="str">
        <f>IFERROR(VLOOKUP(N777,DATA!$K$4:$L$51,2,FALSE),"")</f>
        <v/>
      </c>
      <c r="P777" s="80">
        <f t="shared" si="62"/>
        <v>1</v>
      </c>
      <c r="Q777" s="154">
        <f t="shared" si="63"/>
        <v>1</v>
      </c>
    </row>
    <row r="778" spans="2:17">
      <c r="B778" s="627">
        <f t="shared" si="64"/>
        <v>773</v>
      </c>
      <c r="C778" s="429">
        <v>43271</v>
      </c>
      <c r="D778" s="816" t="s">
        <v>2557</v>
      </c>
      <c r="E778" s="630">
        <v>100100</v>
      </c>
      <c r="F778" s="629" t="str">
        <f>IFERROR(VLOOKUP(E778,STAT1!$C$4:$D$1000,2,FALSE),"")</f>
        <v>Касс мөнгө MNT</v>
      </c>
      <c r="G778" s="376"/>
      <c r="H778" s="376">
        <v>1230000</v>
      </c>
      <c r="I778" s="580">
        <f t="shared" si="65"/>
        <v>-1230000</v>
      </c>
      <c r="J778" s="961">
        <f t="shared" si="66"/>
        <v>0</v>
      </c>
      <c r="K778" s="80"/>
      <c r="L778" s="630">
        <v>1004</v>
      </c>
      <c r="M778" s="80" t="str">
        <f>+IFERROR(VLOOKUP(L778,DATA!$G$4:$H$2000,2,FALSE),"")</f>
        <v xml:space="preserve">Түмэндэлгэр </v>
      </c>
      <c r="N778" s="630"/>
      <c r="O778" s="80" t="str">
        <f>IFERROR(VLOOKUP(N778,DATA!$K$4:$L$51,2,FALSE),"")</f>
        <v/>
      </c>
      <c r="P778" s="80">
        <f t="shared" si="62"/>
        <v>1</v>
      </c>
      <c r="Q778" s="154">
        <f t="shared" si="63"/>
        <v>1</v>
      </c>
    </row>
    <row r="779" spans="2:17">
      <c r="B779" s="627">
        <f t="shared" si="64"/>
        <v>774</v>
      </c>
      <c r="C779" s="429">
        <v>43271</v>
      </c>
      <c r="D779" s="816" t="s">
        <v>2557</v>
      </c>
      <c r="E779" s="630">
        <v>110100</v>
      </c>
      <c r="F779" s="629" t="str">
        <f>IFERROR(VLOOKUP(E779,STAT1!$C$4:$D$1000,2,FALSE),"")</f>
        <v>Хаан Банк 5024654020</v>
      </c>
      <c r="G779" s="376">
        <v>50000</v>
      </c>
      <c r="H779" s="376"/>
      <c r="I779" s="580">
        <f t="shared" si="65"/>
        <v>50000</v>
      </c>
      <c r="J779" s="961">
        <f t="shared" si="66"/>
        <v>0</v>
      </c>
      <c r="K779" s="80"/>
      <c r="L779" s="630">
        <v>1004</v>
      </c>
      <c r="M779" s="80" t="str">
        <f>+IFERROR(VLOOKUP(L779,DATA!$G$4:$H$2000,2,FALSE),"")</f>
        <v xml:space="preserve">Түмэндэлгэр </v>
      </c>
      <c r="N779" s="630"/>
      <c r="O779" s="80" t="str">
        <f>IFERROR(VLOOKUP(N779,DATA!$K$4:$L$51,2,FALSE),"")</f>
        <v/>
      </c>
      <c r="P779" s="80">
        <f t="shared" si="62"/>
        <v>1</v>
      </c>
      <c r="Q779" s="154">
        <f t="shared" si="63"/>
        <v>1</v>
      </c>
    </row>
    <row r="780" spans="2:17">
      <c r="B780" s="627">
        <f t="shared" si="64"/>
        <v>775</v>
      </c>
      <c r="C780" s="429">
        <v>43271</v>
      </c>
      <c r="D780" s="816" t="s">
        <v>2557</v>
      </c>
      <c r="E780" s="630">
        <v>100100</v>
      </c>
      <c r="F780" s="629" t="str">
        <f>IFERROR(VLOOKUP(E780,STAT1!$C$4:$D$1000,2,FALSE),"")</f>
        <v>Касс мөнгө MNT</v>
      </c>
      <c r="G780" s="376"/>
      <c r="H780" s="376">
        <v>50000</v>
      </c>
      <c r="I780" s="580">
        <f t="shared" si="65"/>
        <v>-50000</v>
      </c>
      <c r="J780" s="961">
        <f t="shared" si="66"/>
        <v>0</v>
      </c>
      <c r="K780" s="80"/>
      <c r="L780" s="630">
        <v>1004</v>
      </c>
      <c r="M780" s="80" t="str">
        <f>+IFERROR(VLOOKUP(L780,DATA!$G$4:$H$2000,2,FALSE),"")</f>
        <v xml:space="preserve">Түмэндэлгэр </v>
      </c>
      <c r="N780" s="630"/>
      <c r="O780" s="80" t="str">
        <f>IFERROR(VLOOKUP(N780,DATA!$K$4:$L$51,2,FALSE),"")</f>
        <v/>
      </c>
      <c r="P780" s="80">
        <f t="shared" si="62"/>
        <v>1</v>
      </c>
      <c r="Q780" s="154">
        <f t="shared" si="63"/>
        <v>1</v>
      </c>
    </row>
    <row r="781" spans="2:17">
      <c r="B781" s="627">
        <f t="shared" si="64"/>
        <v>776</v>
      </c>
      <c r="C781" s="429">
        <v>43271</v>
      </c>
      <c r="D781" s="816" t="s">
        <v>2379</v>
      </c>
      <c r="E781" s="807">
        <v>110100</v>
      </c>
      <c r="F781" s="629" t="str">
        <f>IFERROR(VLOOKUP(E781,STAT1!$C$4:$D$1000,2,FALSE),"")</f>
        <v>Хаан Банк 5024654020</v>
      </c>
      <c r="G781" s="811"/>
      <c r="H781" s="811">
        <f>1250000-295169.7</f>
        <v>954830.3</v>
      </c>
      <c r="I781" s="580">
        <f>+IF(OR(E781=100100,E781=100200,E781=110100,E781=110102,E781=110103,E781=110104,E781=110105,E781=110200,E781=110201,E781=110202,E781=110203,E781=110204,E781=110300),G781,0)+IF(OR(E781=100100,E781=100200,E781=110100,E781=110102,E781=110103,E781=110104,E781=110105,E781=110200,E781=110201,E781=110202,E781=110203,E781=110204,E781=110300),G782*-1,0)</f>
        <v>-954830.3</v>
      </c>
      <c r="J781" s="961">
        <f t="shared" si="66"/>
        <v>0</v>
      </c>
      <c r="K781" s="80"/>
      <c r="L781" s="807">
        <v>2009</v>
      </c>
      <c r="M781" s="80" t="str">
        <f>+IFERROR(VLOOKUP(L781,DATA!$G$4:$H$2000,2,FALSE),"")</f>
        <v>ХААН БАНК</v>
      </c>
      <c r="N781" s="807">
        <v>56</v>
      </c>
      <c r="O781" s="80" t="str">
        <f>IFERROR(VLOOKUP(N781,DATA!$K$4:$L$51,2,FALSE),"")</f>
        <v>Хүүний төлбөрт төлсөн</v>
      </c>
      <c r="P781" s="80">
        <f t="shared" si="62"/>
        <v>1</v>
      </c>
      <c r="Q781" s="154">
        <f t="shared" si="63"/>
        <v>1</v>
      </c>
    </row>
    <row r="782" spans="2:17">
      <c r="B782" s="627">
        <f t="shared" si="64"/>
        <v>777</v>
      </c>
      <c r="C782" s="429">
        <v>43271</v>
      </c>
      <c r="D782" s="816" t="s">
        <v>2379</v>
      </c>
      <c r="E782" s="807">
        <v>702500</v>
      </c>
      <c r="F782" s="629" t="str">
        <f>IFERROR(VLOOKUP(E782,STAT1!$C$4:$D$1000,2,FALSE),"")</f>
        <v>Зээлийн хүүгийн зардал</v>
      </c>
      <c r="G782" s="811">
        <f>1250000-295169.7</f>
        <v>954830.3</v>
      </c>
      <c r="H782" s="376"/>
      <c r="I782" s="580">
        <f>+IF(OR(E782=100100,E782=100200,E782=110100,E782=110102,E782=110103,E782=110104,E782=110105,E782=110200,E782=110201,E782=110202,E782=110203,E782=110204,E782=110300),#REF!,0)+IF(OR(E782=100100,E782=100200,E782=110100,E782=110102,E782=110103,E782=110104,E782=110105,E782=110200,E782=110201,E782=110202,E782=110203,E782=110204,E782=110300),H782*-1,0)</f>
        <v>0</v>
      </c>
      <c r="J782" s="961">
        <f t="shared" si="66"/>
        <v>0</v>
      </c>
      <c r="K782" s="80"/>
      <c r="L782" s="807">
        <v>2009</v>
      </c>
      <c r="M782" s="80" t="str">
        <f>+IFERROR(VLOOKUP(L782,DATA!$G$4:$H$2000,2,FALSE),"")</f>
        <v>ХААН БАНК</v>
      </c>
      <c r="N782" s="807"/>
      <c r="O782" s="80" t="str">
        <f>IFERROR(VLOOKUP(N782,DATA!$K$4:$L$51,2,FALSE),"")</f>
        <v/>
      </c>
      <c r="P782" s="80">
        <f t="shared" si="62"/>
        <v>0</v>
      </c>
      <c r="Q782" s="154">
        <f t="shared" si="63"/>
        <v>0</v>
      </c>
    </row>
    <row r="783" spans="2:17">
      <c r="B783" s="627">
        <f t="shared" si="64"/>
        <v>778</v>
      </c>
      <c r="C783" s="582">
        <v>43272</v>
      </c>
      <c r="D783" s="815" t="s">
        <v>1571</v>
      </c>
      <c r="E783" s="630">
        <v>110100</v>
      </c>
      <c r="F783" s="629" t="str">
        <f>IFERROR(VLOOKUP(E783,STAT1!$C$4:$D$1000,2,FALSE),"")</f>
        <v>Хаан Банк 5024654020</v>
      </c>
      <c r="G783" s="376">
        <v>1557600</v>
      </c>
      <c r="H783" s="376"/>
      <c r="I783" s="580">
        <f t="shared" ref="I783:I846" si="67">+IF(OR(E783=100100,E783=100200,E783=110100,E783=110102,E783=110103,E783=110104,E783=110105,E783=110200,E783=110201,E783=110202,E783=110203,E783=110204,E783=110300),G783,0)+IF(OR(E783=100100,E783=100200,E783=110100,E783=110102,E783=110103,E783=110104,E783=110105,E783=110200,E783=110201,E783=110202,E783=110203,E783=110204,E783=110300),H783*-1,0)</f>
        <v>1557600</v>
      </c>
      <c r="J783" s="961">
        <f t="shared" si="66"/>
        <v>0</v>
      </c>
      <c r="K783" s="80"/>
      <c r="L783" s="630">
        <v>4001</v>
      </c>
      <c r="M783" s="80" t="str">
        <f>+IFERROR(VLOOKUP(L783,DATA!$G$4:$H$2000,2,FALSE),"")</f>
        <v>Сайннямбуу</v>
      </c>
      <c r="N783" s="630">
        <v>41</v>
      </c>
      <c r="O783" s="80" t="str">
        <f>IFERROR(VLOOKUP(N783,DATA!$K$4:$L$51,2,FALSE),"")</f>
        <v>Бараа борлуулсан, үйлчилгээ үзүүлсэний орлого</v>
      </c>
      <c r="P783" s="80">
        <f t="shared" si="62"/>
        <v>1</v>
      </c>
      <c r="Q783" s="154">
        <f t="shared" si="63"/>
        <v>1</v>
      </c>
    </row>
    <row r="784" spans="2:17">
      <c r="B784" s="627">
        <f t="shared" si="64"/>
        <v>779</v>
      </c>
      <c r="C784" s="582">
        <v>43272</v>
      </c>
      <c r="D784" s="815" t="s">
        <v>1571</v>
      </c>
      <c r="E784" s="630">
        <v>320100</v>
      </c>
      <c r="F784" s="629" t="str">
        <f>IFERROR(VLOOKUP(E784,STAT1!$C$4:$D$1000,2,FALSE),"")</f>
        <v>Урьдчилж орсон орлого MNT</v>
      </c>
      <c r="G784" s="376"/>
      <c r="H784" s="376">
        <v>1557600</v>
      </c>
      <c r="I784" s="580">
        <f t="shared" si="67"/>
        <v>0</v>
      </c>
      <c r="J784" s="961">
        <f t="shared" si="66"/>
        <v>0</v>
      </c>
      <c r="K784" s="80"/>
      <c r="L784" s="630">
        <v>4001</v>
      </c>
      <c r="M784" s="80" t="str">
        <f>+IFERROR(VLOOKUP(L784,DATA!$G$4:$H$2000,2,FALSE),"")</f>
        <v>Сайннямбуу</v>
      </c>
      <c r="N784" s="630"/>
      <c r="O784" s="80" t="str">
        <f>IFERROR(VLOOKUP(N784,DATA!$K$4:$L$51,2,FALSE),"")</f>
        <v/>
      </c>
      <c r="P784" s="80">
        <f t="shared" si="62"/>
        <v>0</v>
      </c>
      <c r="Q784" s="154">
        <f t="shared" si="63"/>
        <v>0</v>
      </c>
    </row>
    <row r="785" spans="2:17">
      <c r="B785" s="627">
        <f t="shared" si="64"/>
        <v>780</v>
      </c>
      <c r="C785" s="582">
        <v>43272</v>
      </c>
      <c r="D785" s="816" t="s">
        <v>1570</v>
      </c>
      <c r="E785" s="807">
        <v>100100</v>
      </c>
      <c r="F785" s="629" t="str">
        <f>IFERROR(VLOOKUP(E785,STAT1!$C$4:$D$1000,2,FALSE),"")</f>
        <v>Касс мөнгө MNT</v>
      </c>
      <c r="G785" s="811"/>
      <c r="H785" s="811">
        <v>80000</v>
      </c>
      <c r="I785" s="580">
        <f t="shared" si="67"/>
        <v>-80000</v>
      </c>
      <c r="J785" s="961">
        <f t="shared" si="66"/>
        <v>0</v>
      </c>
      <c r="K785" s="80"/>
      <c r="L785" s="807">
        <v>1004</v>
      </c>
      <c r="M785" s="80" t="str">
        <f>+IFERROR(VLOOKUP(L785,DATA!$G$4:$H$2000,2,FALSE),"")</f>
        <v xml:space="preserve">Түмэндэлгэр </v>
      </c>
      <c r="N785" s="807">
        <v>55</v>
      </c>
      <c r="O785" s="80" t="str">
        <f>IFERROR(VLOOKUP(N785,DATA!$K$4:$L$51,2,FALSE),"")</f>
        <v>Түлш, шатахуун, тээврийн хөлс, сэлбэг хэрэгсэлд төлсөн</v>
      </c>
      <c r="P785" s="80">
        <f t="shared" si="62"/>
        <v>1</v>
      </c>
      <c r="Q785" s="154">
        <f t="shared" si="63"/>
        <v>1</v>
      </c>
    </row>
    <row r="786" spans="2:17">
      <c r="B786" s="627">
        <f t="shared" si="64"/>
        <v>781</v>
      </c>
      <c r="C786" s="582">
        <v>43272</v>
      </c>
      <c r="D786" s="816" t="s">
        <v>1570</v>
      </c>
      <c r="E786" s="807">
        <v>120600</v>
      </c>
      <c r="F786" s="629" t="str">
        <f>IFERROR(VLOOKUP(E786,STAT1!$C$4:$D$1000,2,FALSE),"")</f>
        <v>НӨАТ авлага</v>
      </c>
      <c r="G786" s="811">
        <v>7272.73</v>
      </c>
      <c r="H786" s="811"/>
      <c r="I786" s="580">
        <f t="shared" si="67"/>
        <v>0</v>
      </c>
      <c r="J786" s="961">
        <f t="shared" si="66"/>
        <v>0</v>
      </c>
      <c r="K786" s="80"/>
      <c r="L786" s="807">
        <v>1004</v>
      </c>
      <c r="M786" s="80" t="str">
        <f>+IFERROR(VLOOKUP(L786,DATA!$G$4:$H$2000,2,FALSE),"")</f>
        <v xml:space="preserve">Түмэндэлгэр </v>
      </c>
      <c r="N786" s="807"/>
      <c r="O786" s="80" t="str">
        <f>IFERROR(VLOOKUP(N786,DATA!$K$4:$L$51,2,FALSE),"")</f>
        <v/>
      </c>
      <c r="P786" s="80">
        <f t="shared" si="62"/>
        <v>0</v>
      </c>
      <c r="Q786" s="154">
        <f t="shared" si="63"/>
        <v>0</v>
      </c>
    </row>
    <row r="787" spans="2:17">
      <c r="B787" s="627">
        <f t="shared" si="64"/>
        <v>782</v>
      </c>
      <c r="C787" s="582">
        <v>43272</v>
      </c>
      <c r="D787" s="816" t="s">
        <v>1570</v>
      </c>
      <c r="E787" s="807">
        <v>702000</v>
      </c>
      <c r="F787" s="629" t="str">
        <f>IFERROR(VLOOKUP(E787,STAT1!$C$4:$D$1000,2,FALSE),"")</f>
        <v>Түлш, шатахуун</v>
      </c>
      <c r="G787" s="811">
        <f>80000-7272.73</f>
        <v>72727.27</v>
      </c>
      <c r="H787" s="811"/>
      <c r="I787" s="580">
        <f t="shared" si="67"/>
        <v>0</v>
      </c>
      <c r="J787" s="961">
        <f t="shared" si="66"/>
        <v>0</v>
      </c>
      <c r="K787" s="80"/>
      <c r="L787" s="807">
        <v>1004</v>
      </c>
      <c r="M787" s="80" t="str">
        <f>+IFERROR(VLOOKUP(L787,DATA!$G$4:$H$2000,2,FALSE),"")</f>
        <v xml:space="preserve">Түмэндэлгэр </v>
      </c>
      <c r="N787" s="807"/>
      <c r="O787" s="80" t="str">
        <f>IFERROR(VLOOKUP(N787,DATA!$K$4:$L$51,2,FALSE),"")</f>
        <v/>
      </c>
      <c r="P787" s="80">
        <f t="shared" si="62"/>
        <v>0</v>
      </c>
      <c r="Q787" s="154">
        <f t="shared" si="63"/>
        <v>0</v>
      </c>
    </row>
    <row r="788" spans="2:17">
      <c r="B788" s="627">
        <f t="shared" si="64"/>
        <v>783</v>
      </c>
      <c r="C788" s="582">
        <v>43273</v>
      </c>
      <c r="D788" s="815" t="s">
        <v>1331</v>
      </c>
      <c r="E788" s="630">
        <v>110100</v>
      </c>
      <c r="F788" s="629" t="str">
        <f>IFERROR(VLOOKUP(E788,STAT1!$C$4:$D$1000,2,FALSE),"")</f>
        <v>Хаан Банк 5024654020</v>
      </c>
      <c r="G788" s="376"/>
      <c r="H788" s="376">
        <v>9000</v>
      </c>
      <c r="I788" s="580">
        <f t="shared" si="67"/>
        <v>-9000</v>
      </c>
      <c r="J788" s="961">
        <f t="shared" si="66"/>
        <v>0</v>
      </c>
      <c r="K788" s="80"/>
      <c r="L788" s="630">
        <v>2006</v>
      </c>
      <c r="M788" s="80" t="str">
        <f>+IFERROR(VLOOKUP(L788,DATA!$G$4:$H$2000,2,FALSE),"")</f>
        <v xml:space="preserve">МЦХОЛБОО </v>
      </c>
      <c r="N788" s="630">
        <v>59</v>
      </c>
      <c r="O788" s="80" t="str">
        <f>IFERROR(VLOOKUP(N788,DATA!$K$4:$L$51,2,FALSE),"")</f>
        <v>Бусад мөнгөн зарлага</v>
      </c>
      <c r="P788" s="80">
        <f t="shared" si="62"/>
        <v>1</v>
      </c>
      <c r="Q788" s="154">
        <f t="shared" si="63"/>
        <v>1</v>
      </c>
    </row>
    <row r="789" spans="2:17">
      <c r="B789" s="627">
        <f t="shared" si="64"/>
        <v>784</v>
      </c>
      <c r="C789" s="582">
        <v>43273</v>
      </c>
      <c r="D789" s="815" t="s">
        <v>1331</v>
      </c>
      <c r="E789" s="630">
        <v>120600</v>
      </c>
      <c r="F789" s="629" t="str">
        <f>IFERROR(VLOOKUP(E789,STAT1!$C$4:$D$1000,2,FALSE),"")</f>
        <v>НӨАТ авлага</v>
      </c>
      <c r="G789" s="376">
        <v>818.18</v>
      </c>
      <c r="H789" s="376"/>
      <c r="I789" s="580">
        <f t="shared" si="67"/>
        <v>0</v>
      </c>
      <c r="J789" s="961">
        <f t="shared" si="66"/>
        <v>0</v>
      </c>
      <c r="K789" s="80"/>
      <c r="L789" s="630">
        <v>2006</v>
      </c>
      <c r="M789" s="80" t="str">
        <f>+IFERROR(VLOOKUP(L789,DATA!$G$4:$H$2000,2,FALSE),"")</f>
        <v xml:space="preserve">МЦХОЛБОО </v>
      </c>
      <c r="N789" s="630"/>
      <c r="O789" s="80" t="str">
        <f>IFERROR(VLOOKUP(N789,DATA!$K$4:$L$51,2,FALSE),"")</f>
        <v/>
      </c>
      <c r="P789" s="80">
        <f t="shared" si="62"/>
        <v>0</v>
      </c>
      <c r="Q789" s="154">
        <f t="shared" si="63"/>
        <v>0</v>
      </c>
    </row>
    <row r="790" spans="2:17">
      <c r="B790" s="627">
        <f t="shared" si="64"/>
        <v>785</v>
      </c>
      <c r="C790" s="582">
        <v>43273</v>
      </c>
      <c r="D790" s="815" t="s">
        <v>1331</v>
      </c>
      <c r="E790" s="630">
        <v>701900</v>
      </c>
      <c r="F790" s="629" t="str">
        <f>IFERROR(VLOOKUP(E790,STAT1!$C$4:$D$1000,2,FALSE),"")</f>
        <v>Харилцаа холбоо</v>
      </c>
      <c r="G790" s="376">
        <f>9000-818.18</f>
        <v>8181.82</v>
      </c>
      <c r="H790" s="376"/>
      <c r="I790" s="580">
        <f t="shared" si="67"/>
        <v>0</v>
      </c>
      <c r="J790" s="961">
        <f t="shared" si="66"/>
        <v>0</v>
      </c>
      <c r="K790" s="80"/>
      <c r="L790" s="630">
        <v>2006</v>
      </c>
      <c r="M790" s="80" t="str">
        <f>+IFERROR(VLOOKUP(L790,DATA!$G$4:$H$2000,2,FALSE),"")</f>
        <v xml:space="preserve">МЦХОЛБОО </v>
      </c>
      <c r="N790" s="630"/>
      <c r="O790" s="80" t="str">
        <f>IFERROR(VLOOKUP(N790,DATA!$K$4:$L$51,2,FALSE),"")</f>
        <v/>
      </c>
      <c r="P790" s="80">
        <f t="shared" si="62"/>
        <v>0</v>
      </c>
      <c r="Q790" s="154">
        <f t="shared" si="63"/>
        <v>0</v>
      </c>
    </row>
    <row r="791" spans="2:17">
      <c r="B791" s="627">
        <f t="shared" si="64"/>
        <v>786</v>
      </c>
      <c r="C791" s="582">
        <v>43273</v>
      </c>
      <c r="D791" s="816" t="s">
        <v>2381</v>
      </c>
      <c r="E791" s="807">
        <v>110100</v>
      </c>
      <c r="F791" s="629" t="str">
        <f>IFERROR(VLOOKUP(E791,STAT1!$C$4:$D$8000,2,FALSE),"")</f>
        <v>Хаан Банк 5024654020</v>
      </c>
      <c r="G791" s="811"/>
      <c r="H791" s="811">
        <v>100</v>
      </c>
      <c r="I791" s="580">
        <f t="shared" si="67"/>
        <v>-100</v>
      </c>
      <c r="J791" s="961">
        <f t="shared" si="66"/>
        <v>0</v>
      </c>
      <c r="K791" s="80"/>
      <c r="L791" s="807">
        <v>2009</v>
      </c>
      <c r="M791" s="80" t="str">
        <f>+IFERROR(VLOOKUP(L791,DATA!$G$4:$H$2000,2,FALSE),"")</f>
        <v>ХААН БАНК</v>
      </c>
      <c r="N791" s="807">
        <v>59</v>
      </c>
      <c r="O791" s="80" t="str">
        <f>IFERROR(VLOOKUP(N791,DATA!$K$4:$L$51,2,FALSE),"")</f>
        <v>Бусад мөнгөн зарлага</v>
      </c>
      <c r="P791" s="80">
        <f t="shared" si="62"/>
        <v>1</v>
      </c>
      <c r="Q791" s="154">
        <f t="shared" si="63"/>
        <v>1</v>
      </c>
    </row>
    <row r="792" spans="2:17">
      <c r="B792" s="627">
        <f t="shared" si="64"/>
        <v>787</v>
      </c>
      <c r="C792" s="582">
        <v>43273</v>
      </c>
      <c r="D792" s="816" t="s">
        <v>2381</v>
      </c>
      <c r="E792" s="807">
        <v>704900</v>
      </c>
      <c r="F792" s="629" t="str">
        <f>IFERROR(VLOOKUP(E792,STAT1!$C$4:$D$8000,2,FALSE),"")</f>
        <v>Банкны үйлчилгээ</v>
      </c>
      <c r="G792" s="811">
        <v>100</v>
      </c>
      <c r="H792" s="811"/>
      <c r="I792" s="580">
        <f t="shared" si="67"/>
        <v>0</v>
      </c>
      <c r="J792" s="961">
        <f t="shared" si="66"/>
        <v>0</v>
      </c>
      <c r="K792" s="80"/>
      <c r="L792" s="807">
        <v>2009</v>
      </c>
      <c r="M792" s="80" t="str">
        <f>+IFERROR(VLOOKUP(L792,DATA!$G$4:$H$2000,2,FALSE),"")</f>
        <v>ХААН БАНК</v>
      </c>
      <c r="N792" s="807"/>
      <c r="O792" s="80" t="str">
        <f>IFERROR(VLOOKUP(N792,DATA!$K$4:$L$51,2,FALSE),"")</f>
        <v/>
      </c>
      <c r="P792" s="80">
        <f t="shared" si="62"/>
        <v>0</v>
      </c>
      <c r="Q792" s="154">
        <f t="shared" si="63"/>
        <v>0</v>
      </c>
    </row>
    <row r="793" spans="2:17">
      <c r="B793" s="627">
        <f t="shared" si="64"/>
        <v>788</v>
      </c>
      <c r="C793" s="429">
        <v>43273</v>
      </c>
      <c r="D793" s="816" t="s">
        <v>2566</v>
      </c>
      <c r="E793" s="807">
        <v>100100</v>
      </c>
      <c r="F793" s="629" t="str">
        <f>IFERROR(VLOOKUP(E793,STAT1!$C$4:$D$1000,2,FALSE),"")</f>
        <v>Касс мөнгө MNT</v>
      </c>
      <c r="G793" s="811"/>
      <c r="H793" s="811">
        <v>128260</v>
      </c>
      <c r="I793" s="580">
        <f t="shared" si="67"/>
        <v>-128260</v>
      </c>
      <c r="J793" s="961">
        <f t="shared" si="66"/>
        <v>0</v>
      </c>
      <c r="K793" s="80"/>
      <c r="L793" s="807">
        <v>1008</v>
      </c>
      <c r="M793" s="80" t="str">
        <f>+IFERROR(VLOOKUP(L793,DATA!$G$4:$H$2000,2,FALSE),"")</f>
        <v xml:space="preserve">Оюунтүлхүүр </v>
      </c>
      <c r="N793" s="807">
        <v>53</v>
      </c>
      <c r="O793" s="80" t="str">
        <f>IFERROR(VLOOKUP(N793,DATA!$K$4:$L$51,2,FALSE),"")</f>
        <v>Бараа материал худалдан авахад төлсөн</v>
      </c>
      <c r="P793" s="80">
        <f t="shared" si="62"/>
        <v>1</v>
      </c>
      <c r="Q793" s="154">
        <f t="shared" si="63"/>
        <v>1</v>
      </c>
    </row>
    <row r="794" spans="2:17">
      <c r="B794" s="627">
        <f t="shared" si="64"/>
        <v>789</v>
      </c>
      <c r="C794" s="429">
        <v>43273</v>
      </c>
      <c r="D794" s="816" t="s">
        <v>2566</v>
      </c>
      <c r="E794" s="807">
        <v>120600</v>
      </c>
      <c r="F794" s="629" t="str">
        <f>IFERROR(VLOOKUP(E794,STAT1!$C$4:$D$1000,2,FALSE),"")</f>
        <v>НӨАТ авлага</v>
      </c>
      <c r="G794" s="811">
        <v>11660</v>
      </c>
      <c r="H794" s="811"/>
      <c r="I794" s="580">
        <f t="shared" si="67"/>
        <v>0</v>
      </c>
      <c r="J794" s="961">
        <f t="shared" si="66"/>
        <v>0</v>
      </c>
      <c r="K794" s="80"/>
      <c r="L794" s="807">
        <v>1008</v>
      </c>
      <c r="M794" s="80" t="str">
        <f>+IFERROR(VLOOKUP(L794,DATA!$G$4:$H$2000,2,FALSE),"")</f>
        <v xml:space="preserve">Оюунтүлхүүр </v>
      </c>
      <c r="N794" s="807"/>
      <c r="O794" s="80" t="str">
        <f>IFERROR(VLOOKUP(N794,DATA!$K$4:$L$51,2,FALSE),"")</f>
        <v/>
      </c>
      <c r="P794" s="80">
        <f t="shared" si="62"/>
        <v>0</v>
      </c>
      <c r="Q794" s="154">
        <f t="shared" si="63"/>
        <v>0</v>
      </c>
    </row>
    <row r="795" spans="2:17">
      <c r="B795" s="627">
        <f t="shared" si="64"/>
        <v>790</v>
      </c>
      <c r="C795" s="429">
        <v>43273</v>
      </c>
      <c r="D795" s="816" t="s">
        <v>2566</v>
      </c>
      <c r="E795" s="807">
        <v>703700</v>
      </c>
      <c r="F795" s="629" t="str">
        <f>IFERROR(VLOOKUP(E795,STAT1!$C$4:$D$1000,2,FALSE),"")</f>
        <v>Бичиг хэргийн зардал</v>
      </c>
      <c r="G795" s="811">
        <f>128260-11660</f>
        <v>116600</v>
      </c>
      <c r="H795" s="811"/>
      <c r="I795" s="580">
        <f t="shared" si="67"/>
        <v>0</v>
      </c>
      <c r="J795" s="961">
        <f t="shared" si="66"/>
        <v>0</v>
      </c>
      <c r="K795" s="80"/>
      <c r="L795" s="807">
        <v>1008</v>
      </c>
      <c r="M795" s="80" t="str">
        <f>+IFERROR(VLOOKUP(L795,DATA!$G$4:$H$2000,2,FALSE),"")</f>
        <v xml:space="preserve">Оюунтүлхүүр </v>
      </c>
      <c r="N795" s="807"/>
      <c r="O795" s="80" t="str">
        <f>IFERROR(VLOOKUP(N795,DATA!$K$4:$L$51,2,FALSE),"")</f>
        <v/>
      </c>
      <c r="P795" s="80">
        <f t="shared" si="62"/>
        <v>0</v>
      </c>
      <c r="Q795" s="154">
        <f t="shared" si="63"/>
        <v>0</v>
      </c>
    </row>
    <row r="796" spans="2:17">
      <c r="B796" s="627">
        <f t="shared" si="64"/>
        <v>791</v>
      </c>
      <c r="C796" s="582">
        <v>43277</v>
      </c>
      <c r="D796" s="815" t="s">
        <v>2627</v>
      </c>
      <c r="E796" s="630">
        <v>100100</v>
      </c>
      <c r="F796" s="629" t="str">
        <f>IFERROR(VLOOKUP(E796,STAT1!$C$4:$D$1000,2,FALSE),"")</f>
        <v>Касс мөнгө MNT</v>
      </c>
      <c r="G796" s="376"/>
      <c r="H796" s="376">
        <v>1500000</v>
      </c>
      <c r="I796" s="580">
        <f t="shared" si="67"/>
        <v>-1500000</v>
      </c>
      <c r="J796" s="961">
        <f t="shared" si="66"/>
        <v>0</v>
      </c>
      <c r="K796" s="80"/>
      <c r="L796" s="630">
        <v>2001</v>
      </c>
      <c r="M796" s="80" t="str">
        <f>+IFERROR(VLOOKUP(L796,DATA!$G$4:$H$2000,2,FALSE),"")</f>
        <v>ХУД-н ТАТВАРЫН ХЭЛТЭС</v>
      </c>
      <c r="N796" s="630">
        <v>57</v>
      </c>
      <c r="O796" s="80" t="str">
        <f>IFERROR(VLOOKUP(N796,DATA!$K$4:$L$51,2,FALSE),"")</f>
        <v>Татварын байгууллагад төлсөн</v>
      </c>
      <c r="P796" s="80">
        <f t="shared" si="62"/>
        <v>1</v>
      </c>
      <c r="Q796" s="154">
        <f t="shared" si="63"/>
        <v>1</v>
      </c>
    </row>
    <row r="797" spans="2:17">
      <c r="B797" s="627">
        <f t="shared" si="64"/>
        <v>792</v>
      </c>
      <c r="C797" s="582">
        <v>43277</v>
      </c>
      <c r="D797" s="815" t="s">
        <v>2627</v>
      </c>
      <c r="E797" s="630">
        <v>120600</v>
      </c>
      <c r="F797" s="629" t="str">
        <f>IFERROR(VLOOKUP(E797,STAT1!$C$4:$D$1000,2,FALSE),"")</f>
        <v>НӨАТ авлага</v>
      </c>
      <c r="G797" s="376">
        <v>500000</v>
      </c>
      <c r="H797" s="376"/>
      <c r="I797" s="580">
        <f t="shared" si="67"/>
        <v>0</v>
      </c>
      <c r="J797" s="961">
        <f t="shared" si="66"/>
        <v>0</v>
      </c>
      <c r="K797" s="80"/>
      <c r="L797" s="630">
        <v>2001</v>
      </c>
      <c r="M797" s="80" t="str">
        <f>+IFERROR(VLOOKUP(L797,DATA!$G$4:$H$2000,2,FALSE),"")</f>
        <v>ХУД-н ТАТВАРЫН ХЭЛТЭС</v>
      </c>
      <c r="N797" s="630"/>
      <c r="O797" s="80" t="str">
        <f>IFERROR(VLOOKUP(N797,DATA!$K$4:$L$51,2,FALSE),"")</f>
        <v/>
      </c>
      <c r="P797" s="80">
        <f t="shared" si="62"/>
        <v>0</v>
      </c>
      <c r="Q797" s="154">
        <f t="shared" si="63"/>
        <v>0</v>
      </c>
    </row>
    <row r="798" spans="2:17">
      <c r="B798" s="627">
        <f t="shared" si="64"/>
        <v>793</v>
      </c>
      <c r="C798" s="582">
        <v>43277</v>
      </c>
      <c r="D798" s="815" t="s">
        <v>2627</v>
      </c>
      <c r="E798" s="630">
        <v>703900</v>
      </c>
      <c r="F798" s="629" t="str">
        <f>IFERROR(VLOOKUP(E798,STAT1!$C$4:$D$1000,2,FALSE),"")</f>
        <v>Үл хөдлөхийн татвар</v>
      </c>
      <c r="G798" s="376">
        <v>500000</v>
      </c>
      <c r="H798" s="376"/>
      <c r="I798" s="580">
        <f t="shared" si="67"/>
        <v>0</v>
      </c>
      <c r="J798" s="961">
        <f t="shared" si="66"/>
        <v>0</v>
      </c>
      <c r="K798" s="80"/>
      <c r="L798" s="630">
        <v>2001</v>
      </c>
      <c r="M798" s="80" t="str">
        <f>+IFERROR(VLOOKUP(L798,DATA!$G$4:$H$2000,2,FALSE),"")</f>
        <v>ХУД-н ТАТВАРЫН ХЭЛТЭС</v>
      </c>
      <c r="N798" s="630"/>
      <c r="O798" s="80" t="str">
        <f>IFERROR(VLOOKUP(N798,DATA!$K$4:$L$51,2,FALSE),"")</f>
        <v/>
      </c>
      <c r="P798" s="80">
        <f t="shared" si="62"/>
        <v>0</v>
      </c>
      <c r="Q798" s="154">
        <f t="shared" si="63"/>
        <v>0</v>
      </c>
    </row>
    <row r="799" spans="2:17">
      <c r="B799" s="627">
        <f t="shared" si="64"/>
        <v>794</v>
      </c>
      <c r="C799" s="582">
        <v>43277</v>
      </c>
      <c r="D799" s="815" t="s">
        <v>2627</v>
      </c>
      <c r="E799" s="630">
        <v>120800</v>
      </c>
      <c r="F799" s="629" t="str">
        <f>IFERROR(VLOOKUP(E799,STAT1!$C$4:$D$8000,2,FALSE),"")</f>
        <v>ХАОАТ авлага</v>
      </c>
      <c r="G799" s="376">
        <v>500000</v>
      </c>
      <c r="H799" s="376"/>
      <c r="I799" s="580">
        <f t="shared" si="67"/>
        <v>0</v>
      </c>
      <c r="J799" s="961">
        <f t="shared" si="66"/>
        <v>0</v>
      </c>
      <c r="K799" s="80"/>
      <c r="L799" s="630">
        <v>2001</v>
      </c>
      <c r="M799" s="80" t="str">
        <f>+IFERROR(VLOOKUP(L799,DATA!$G$4:$H$2000,2,FALSE),"")</f>
        <v>ХУД-н ТАТВАРЫН ХЭЛТЭС</v>
      </c>
      <c r="N799" s="630"/>
      <c r="O799" s="80" t="str">
        <f>IFERROR(VLOOKUP(N799,DATA!$K$4:$L$51,2,FALSE),"")</f>
        <v/>
      </c>
      <c r="P799" s="80">
        <f t="shared" si="62"/>
        <v>0</v>
      </c>
      <c r="Q799" s="154">
        <f t="shared" si="63"/>
        <v>0</v>
      </c>
    </row>
    <row r="800" spans="2:17">
      <c r="B800" s="627">
        <f t="shared" si="64"/>
        <v>795</v>
      </c>
      <c r="C800" s="582">
        <v>43277</v>
      </c>
      <c r="D800" s="816" t="s">
        <v>2510</v>
      </c>
      <c r="E800" s="807">
        <v>100100</v>
      </c>
      <c r="F800" s="629" t="str">
        <f>IFERROR(VLOOKUP(E800,STAT1!$C$4:$D$8000,2,FALSE),"")</f>
        <v>Касс мөнгө MNT</v>
      </c>
      <c r="G800" s="811"/>
      <c r="H800" s="811">
        <v>2772611</v>
      </c>
      <c r="I800" s="580">
        <f t="shared" si="67"/>
        <v>-2772611</v>
      </c>
      <c r="J800" s="961">
        <f t="shared" si="66"/>
        <v>0</v>
      </c>
      <c r="K800" s="80"/>
      <c r="L800" s="807">
        <v>2003</v>
      </c>
      <c r="M800" s="80" t="str">
        <f>+IFERROR(VLOOKUP(L800,DATA!$G$4:$H$2000,2,FALSE),"")</f>
        <v xml:space="preserve">УБЦТС ТӨХК </v>
      </c>
      <c r="N800" s="807">
        <v>54</v>
      </c>
      <c r="O800" s="80" t="str">
        <f>IFERROR(VLOOKUP(N800,DATA!$K$4:$L$51,2,FALSE),"")</f>
        <v>Ашиглалтын зардалд төлсөн</v>
      </c>
      <c r="P800" s="80">
        <f t="shared" si="62"/>
        <v>1</v>
      </c>
      <c r="Q800" s="154">
        <f t="shared" si="63"/>
        <v>1</v>
      </c>
    </row>
    <row r="801" spans="2:17">
      <c r="B801" s="627">
        <f t="shared" si="64"/>
        <v>796</v>
      </c>
      <c r="C801" s="582">
        <v>43277</v>
      </c>
      <c r="D801" s="816" t="s">
        <v>2510</v>
      </c>
      <c r="E801" s="807">
        <v>120100</v>
      </c>
      <c r="F801" s="629" t="str">
        <f>IFERROR(VLOOKUP(E801,STAT1!$C$4:$D$8000,2,FALSE),"")</f>
        <v xml:space="preserve">Дансны авлага MNT </v>
      </c>
      <c r="G801" s="811">
        <v>252055.9</v>
      </c>
      <c r="H801" s="811"/>
      <c r="I801" s="580">
        <f t="shared" si="67"/>
        <v>0</v>
      </c>
      <c r="J801" s="961">
        <f t="shared" si="66"/>
        <v>0</v>
      </c>
      <c r="K801" s="80"/>
      <c r="L801" s="807">
        <v>2003</v>
      </c>
      <c r="M801" s="80" t="str">
        <f>+IFERROR(VLOOKUP(L801,DATA!$G$4:$H$2000,2,FALSE),"")</f>
        <v xml:space="preserve">УБЦТС ТӨХК </v>
      </c>
      <c r="N801" s="807"/>
      <c r="O801" s="80" t="str">
        <f>IFERROR(VLOOKUP(N801,DATA!$K$4:$L$51,2,FALSE),"")</f>
        <v/>
      </c>
      <c r="P801" s="80">
        <f t="shared" si="62"/>
        <v>0</v>
      </c>
      <c r="Q801" s="154">
        <f t="shared" si="63"/>
        <v>0</v>
      </c>
    </row>
    <row r="802" spans="2:17">
      <c r="B802" s="627">
        <f t="shared" si="64"/>
        <v>797</v>
      </c>
      <c r="C802" s="582">
        <v>43277</v>
      </c>
      <c r="D802" s="816" t="s">
        <v>2510</v>
      </c>
      <c r="E802" s="807">
        <v>700700</v>
      </c>
      <c r="F802" s="629" t="str">
        <f>IFERROR(VLOOKUP(E802,STAT1!$C$4:$D$8000,2,FALSE),"")</f>
        <v>Цахилгаан эрчим хүч</v>
      </c>
      <c r="G802" s="811">
        <f>+H800-G801</f>
        <v>2520555.1</v>
      </c>
      <c r="H802" s="811"/>
      <c r="I802" s="580">
        <f t="shared" si="67"/>
        <v>0</v>
      </c>
      <c r="J802" s="961">
        <f t="shared" si="66"/>
        <v>0</v>
      </c>
      <c r="K802" s="80"/>
      <c r="L802" s="807">
        <v>2003</v>
      </c>
      <c r="M802" s="80" t="str">
        <f>+IFERROR(VLOOKUP(L802,DATA!$G$4:$H$2000,2,FALSE),"")</f>
        <v xml:space="preserve">УБЦТС ТӨХК </v>
      </c>
      <c r="N802" s="807"/>
      <c r="O802" s="80" t="str">
        <f>IFERROR(VLOOKUP(N802,DATA!$K$4:$L$51,2,FALSE),"")</f>
        <v/>
      </c>
      <c r="P802" s="80">
        <f t="shared" si="62"/>
        <v>0</v>
      </c>
      <c r="Q802" s="154">
        <f t="shared" si="63"/>
        <v>0</v>
      </c>
    </row>
    <row r="803" spans="2:17">
      <c r="B803" s="627">
        <f t="shared" si="64"/>
        <v>798</v>
      </c>
      <c r="C803" s="582">
        <v>43277</v>
      </c>
      <c r="D803" s="816" t="s">
        <v>1570</v>
      </c>
      <c r="E803" s="807">
        <v>100100</v>
      </c>
      <c r="F803" s="629" t="str">
        <f>IFERROR(VLOOKUP(E803,STAT1!$C$4:$D$1000,2,FALSE),"")</f>
        <v>Касс мөнгө MNT</v>
      </c>
      <c r="G803" s="811"/>
      <c r="H803" s="811">
        <v>30000</v>
      </c>
      <c r="I803" s="580">
        <f t="shared" si="67"/>
        <v>-30000</v>
      </c>
      <c r="J803" s="961">
        <f t="shared" si="66"/>
        <v>0</v>
      </c>
      <c r="K803" s="80"/>
      <c r="L803" s="807">
        <v>1004</v>
      </c>
      <c r="M803" s="80" t="str">
        <f>+IFERROR(VLOOKUP(L803,DATA!$G$4:$H$2000,2,FALSE),"")</f>
        <v xml:space="preserve">Түмэндэлгэр </v>
      </c>
      <c r="N803" s="807">
        <v>55</v>
      </c>
      <c r="O803" s="80" t="str">
        <f>IFERROR(VLOOKUP(N803,DATA!$K$4:$L$51,2,FALSE),"")</f>
        <v>Түлш, шатахуун, тээврийн хөлс, сэлбэг хэрэгсэлд төлсөн</v>
      </c>
      <c r="P803" s="80">
        <f t="shared" si="62"/>
        <v>1</v>
      </c>
      <c r="Q803" s="154">
        <f t="shared" si="63"/>
        <v>1</v>
      </c>
    </row>
    <row r="804" spans="2:17">
      <c r="B804" s="627">
        <f t="shared" si="64"/>
        <v>799</v>
      </c>
      <c r="C804" s="582">
        <v>43277</v>
      </c>
      <c r="D804" s="816" t="s">
        <v>1570</v>
      </c>
      <c r="E804" s="807">
        <v>120600</v>
      </c>
      <c r="F804" s="629" t="str">
        <f>IFERROR(VLOOKUP(E804,STAT1!$C$4:$D$1000,2,FALSE),"")</f>
        <v>НӨАТ авлага</v>
      </c>
      <c r="G804" s="811">
        <v>2727.27</v>
      </c>
      <c r="H804" s="811"/>
      <c r="I804" s="580">
        <f t="shared" si="67"/>
        <v>0</v>
      </c>
      <c r="J804" s="961">
        <f t="shared" si="66"/>
        <v>0</v>
      </c>
      <c r="K804" s="80"/>
      <c r="L804" s="807">
        <v>1004</v>
      </c>
      <c r="M804" s="80" t="str">
        <f>+IFERROR(VLOOKUP(L804,DATA!$G$4:$H$2000,2,FALSE),"")</f>
        <v xml:space="preserve">Түмэндэлгэр </v>
      </c>
      <c r="N804" s="807"/>
      <c r="O804" s="80" t="str">
        <f>IFERROR(VLOOKUP(N804,DATA!$K$4:$L$51,2,FALSE),"")</f>
        <v/>
      </c>
      <c r="P804" s="80">
        <f t="shared" si="62"/>
        <v>0</v>
      </c>
      <c r="Q804" s="154">
        <f t="shared" si="63"/>
        <v>0</v>
      </c>
    </row>
    <row r="805" spans="2:17">
      <c r="B805" s="627">
        <f t="shared" si="64"/>
        <v>800</v>
      </c>
      <c r="C805" s="582">
        <v>43277</v>
      </c>
      <c r="D805" s="816" t="s">
        <v>1570</v>
      </c>
      <c r="E805" s="807">
        <v>702000</v>
      </c>
      <c r="F805" s="629" t="str">
        <f>IFERROR(VLOOKUP(E805,STAT1!$C$4:$D$1000,2,FALSE),"")</f>
        <v>Түлш, шатахуун</v>
      </c>
      <c r="G805" s="811">
        <f>+H803-G804</f>
        <v>27272.73</v>
      </c>
      <c r="H805" s="811"/>
      <c r="I805" s="580">
        <f t="shared" si="67"/>
        <v>0</v>
      </c>
      <c r="J805" s="961">
        <f t="shared" si="66"/>
        <v>0</v>
      </c>
      <c r="K805" s="80"/>
      <c r="L805" s="807">
        <v>1004</v>
      </c>
      <c r="M805" s="80" t="str">
        <f>+IFERROR(VLOOKUP(L805,DATA!$G$4:$H$2000,2,FALSE),"")</f>
        <v xml:space="preserve">Түмэндэлгэр </v>
      </c>
      <c r="N805" s="807"/>
      <c r="O805" s="80" t="str">
        <f>IFERROR(VLOOKUP(N805,DATA!$K$4:$L$51,2,FALSE),"")</f>
        <v/>
      </c>
      <c r="P805" s="80">
        <f t="shared" si="62"/>
        <v>0</v>
      </c>
      <c r="Q805" s="154">
        <f t="shared" si="63"/>
        <v>0</v>
      </c>
    </row>
    <row r="806" spans="2:17">
      <c r="B806" s="627">
        <f t="shared" si="64"/>
        <v>801</v>
      </c>
      <c r="C806" s="429">
        <v>43278</v>
      </c>
      <c r="D806" s="816" t="s">
        <v>2602</v>
      </c>
      <c r="E806" s="807">
        <v>110100</v>
      </c>
      <c r="F806" s="629" t="str">
        <f>IFERROR(VLOOKUP(E806,STAT1!$C$4:$D$1000,2,FALSE),"")</f>
        <v>Хаан Банк 5024654020</v>
      </c>
      <c r="G806" s="811"/>
      <c r="H806" s="811">
        <v>326755</v>
      </c>
      <c r="I806" s="580">
        <f t="shared" si="67"/>
        <v>-326755</v>
      </c>
      <c r="J806" s="961">
        <f t="shared" si="66"/>
        <v>0</v>
      </c>
      <c r="K806" s="80"/>
      <c r="L806" s="807">
        <v>1008</v>
      </c>
      <c r="M806" s="80" t="str">
        <f>+IFERROR(VLOOKUP(L806,DATA!$G$4:$H$2000,2,FALSE),"")</f>
        <v xml:space="preserve">Оюунтүлхүүр </v>
      </c>
      <c r="N806" s="807">
        <v>54</v>
      </c>
      <c r="O806" s="80" t="str">
        <f>IFERROR(VLOOKUP(N806,DATA!$K$4:$L$51,2,FALSE),"")</f>
        <v>Ашиглалтын зардалд төлсөн</v>
      </c>
      <c r="P806" s="80">
        <f t="shared" si="62"/>
        <v>1</v>
      </c>
      <c r="Q806" s="154">
        <f t="shared" si="63"/>
        <v>1</v>
      </c>
    </row>
    <row r="807" spans="2:17">
      <c r="B807" s="627">
        <f t="shared" si="64"/>
        <v>802</v>
      </c>
      <c r="C807" s="429">
        <v>43278</v>
      </c>
      <c r="D807" s="816" t="s">
        <v>2602</v>
      </c>
      <c r="E807" s="807">
        <v>120600</v>
      </c>
      <c r="F807" s="629" t="str">
        <f>IFERROR(VLOOKUP(E807,STAT1!$C$4:$D$1000,2,FALSE),"")</f>
        <v>НӨАТ авлага</v>
      </c>
      <c r="G807" s="811">
        <v>29705</v>
      </c>
      <c r="H807" s="811"/>
      <c r="I807" s="580">
        <f t="shared" si="67"/>
        <v>0</v>
      </c>
      <c r="J807" s="961">
        <f t="shared" si="66"/>
        <v>0</v>
      </c>
      <c r="K807" s="80"/>
      <c r="L807" s="807">
        <v>1008</v>
      </c>
      <c r="M807" s="80" t="str">
        <f>+IFERROR(VLOOKUP(L807,DATA!$G$4:$H$2000,2,FALSE),"")</f>
        <v xml:space="preserve">Оюунтүлхүүр </v>
      </c>
      <c r="N807" s="807"/>
      <c r="O807" s="80" t="str">
        <f>IFERROR(VLOOKUP(N807,DATA!$K$4:$L$51,2,FALSE),"")</f>
        <v/>
      </c>
      <c r="P807" s="80">
        <f t="shared" si="62"/>
        <v>0</v>
      </c>
      <c r="Q807" s="154">
        <f t="shared" si="63"/>
        <v>0</v>
      </c>
    </row>
    <row r="808" spans="2:17">
      <c r="B808" s="627">
        <f t="shared" si="64"/>
        <v>803</v>
      </c>
      <c r="C808" s="429">
        <v>43278</v>
      </c>
      <c r="D808" s="816" t="s">
        <v>2602</v>
      </c>
      <c r="E808" s="807">
        <v>700900</v>
      </c>
      <c r="F808" s="629" t="str">
        <f>IFERROR(VLOOKUP(E808,STAT1!$C$4:$D$1000,2,FALSE),"")</f>
        <v>Уур, ус</v>
      </c>
      <c r="G808" s="811">
        <f>326755-29705</f>
        <v>297050</v>
      </c>
      <c r="H808" s="811"/>
      <c r="I808" s="580">
        <f t="shared" si="67"/>
        <v>0</v>
      </c>
      <c r="J808" s="961">
        <f t="shared" si="66"/>
        <v>0</v>
      </c>
      <c r="K808" s="80"/>
      <c r="L808" s="807">
        <v>1008</v>
      </c>
      <c r="M808" s="80" t="str">
        <f>+IFERROR(VLOOKUP(L808,DATA!$G$4:$H$2000,2,FALSE),"")</f>
        <v xml:space="preserve">Оюунтүлхүүр </v>
      </c>
      <c r="N808" s="807"/>
      <c r="O808" s="80" t="str">
        <f>IFERROR(VLOOKUP(N808,DATA!$K$4:$L$51,2,FALSE),"")</f>
        <v/>
      </c>
      <c r="P808" s="80">
        <f t="shared" si="62"/>
        <v>0</v>
      </c>
      <c r="Q808" s="154">
        <f t="shared" si="63"/>
        <v>0</v>
      </c>
    </row>
    <row r="809" spans="2:17">
      <c r="B809" s="627">
        <f t="shared" si="64"/>
        <v>804</v>
      </c>
      <c r="C809" s="429">
        <v>43278</v>
      </c>
      <c r="D809" s="816" t="s">
        <v>2381</v>
      </c>
      <c r="E809" s="807">
        <v>110100</v>
      </c>
      <c r="F809" s="629" t="str">
        <f>IFERROR(VLOOKUP(E809,STAT1!$C$4:$D$8000,2,FALSE),"")</f>
        <v>Хаан Банк 5024654020</v>
      </c>
      <c r="G809" s="811"/>
      <c r="H809" s="811">
        <v>100</v>
      </c>
      <c r="I809" s="580">
        <f t="shared" si="67"/>
        <v>-100</v>
      </c>
      <c r="J809" s="961">
        <f t="shared" si="66"/>
        <v>0</v>
      </c>
      <c r="K809" s="80"/>
      <c r="L809" s="807">
        <v>2009</v>
      </c>
      <c r="M809" s="80" t="str">
        <f>+IFERROR(VLOOKUP(L809,DATA!$G$4:$H$2000,2,FALSE),"")</f>
        <v>ХААН БАНК</v>
      </c>
      <c r="N809" s="807">
        <v>59</v>
      </c>
      <c r="O809" s="80" t="str">
        <f>IFERROR(VLOOKUP(N809,DATA!$K$4:$L$51,2,FALSE),"")</f>
        <v>Бусад мөнгөн зарлага</v>
      </c>
      <c r="P809" s="80">
        <f t="shared" si="62"/>
        <v>1</v>
      </c>
      <c r="Q809" s="154">
        <f t="shared" si="63"/>
        <v>1</v>
      </c>
    </row>
    <row r="810" spans="2:17">
      <c r="B810" s="627">
        <f t="shared" si="64"/>
        <v>805</v>
      </c>
      <c r="C810" s="582">
        <v>43278</v>
      </c>
      <c r="D810" s="816" t="s">
        <v>2381</v>
      </c>
      <c r="E810" s="807">
        <v>704900</v>
      </c>
      <c r="F810" s="629" t="str">
        <f>IFERROR(VLOOKUP(E810,STAT1!$C$4:$D$8000,2,FALSE),"")</f>
        <v>Банкны үйлчилгээ</v>
      </c>
      <c r="G810" s="811">
        <v>100</v>
      </c>
      <c r="H810" s="811"/>
      <c r="I810" s="580">
        <f t="shared" si="67"/>
        <v>0</v>
      </c>
      <c r="J810" s="961">
        <f t="shared" si="66"/>
        <v>0</v>
      </c>
      <c r="K810" s="80"/>
      <c r="L810" s="807">
        <v>2009</v>
      </c>
      <c r="M810" s="80" t="str">
        <f>+IFERROR(VLOOKUP(L810,DATA!$G$4:$H$2000,2,FALSE),"")</f>
        <v>ХААН БАНК</v>
      </c>
      <c r="N810" s="807"/>
      <c r="O810" s="80" t="str">
        <f>IFERROR(VLOOKUP(N810,DATA!$K$4:$L$51,2,FALSE),"")</f>
        <v/>
      </c>
      <c r="P810" s="80">
        <f t="shared" si="62"/>
        <v>0</v>
      </c>
      <c r="Q810" s="154">
        <f t="shared" si="63"/>
        <v>0</v>
      </c>
    </row>
    <row r="811" spans="2:17">
      <c r="B811" s="627">
        <f t="shared" si="64"/>
        <v>806</v>
      </c>
      <c r="C811" s="582">
        <v>43278</v>
      </c>
      <c r="D811" s="815" t="s">
        <v>2626</v>
      </c>
      <c r="E811" s="630">
        <v>100100</v>
      </c>
      <c r="F811" s="629" t="str">
        <f>IFERROR(VLOOKUP(E811,STAT1!$C$4:$D$1000,2,FALSE),"")</f>
        <v>Касс мөнгө MNT</v>
      </c>
      <c r="G811" s="376"/>
      <c r="H811" s="376">
        <v>100000</v>
      </c>
      <c r="I811" s="580">
        <f t="shared" si="67"/>
        <v>-100000</v>
      </c>
      <c r="J811" s="961">
        <f t="shared" si="66"/>
        <v>0</v>
      </c>
      <c r="K811" s="80"/>
      <c r="L811" s="630">
        <v>2001</v>
      </c>
      <c r="M811" s="80" t="str">
        <f>+IFERROR(VLOOKUP(L811,DATA!$G$4:$H$2000,2,FALSE),"")</f>
        <v>ХУД-н ТАТВАРЫН ХЭЛТЭС</v>
      </c>
      <c r="N811" s="630">
        <v>57</v>
      </c>
      <c r="O811" s="80" t="str">
        <f>IFERROR(VLOOKUP(N811,DATA!$K$4:$L$51,2,FALSE),"")</f>
        <v>Татварын байгууллагад төлсөн</v>
      </c>
      <c r="P811" s="80">
        <f t="shared" ref="P811:P874" si="68">+IF(I811,1,0)</f>
        <v>1</v>
      </c>
      <c r="Q811" s="154">
        <f t="shared" ref="Q811:Q874" si="69">+IF(I811,1,0)</f>
        <v>1</v>
      </c>
    </row>
    <row r="812" spans="2:17">
      <c r="B812" s="627">
        <f t="shared" si="64"/>
        <v>807</v>
      </c>
      <c r="C812" s="582">
        <v>43278</v>
      </c>
      <c r="D812" s="815" t="s">
        <v>2626</v>
      </c>
      <c r="E812" s="630">
        <v>120800</v>
      </c>
      <c r="F812" s="629" t="str">
        <f>IFERROR(VLOOKUP(E812,STAT1!$C$4:$D$1000,2,FALSE),"")</f>
        <v>ХАОАТ авлага</v>
      </c>
      <c r="G812" s="376">
        <v>100000</v>
      </c>
      <c r="H812" s="376"/>
      <c r="I812" s="580">
        <f t="shared" si="67"/>
        <v>0</v>
      </c>
      <c r="J812" s="961">
        <f t="shared" si="66"/>
        <v>0</v>
      </c>
      <c r="K812" s="80"/>
      <c r="L812" s="630">
        <v>2001</v>
      </c>
      <c r="M812" s="80" t="str">
        <f>+IFERROR(VLOOKUP(L812,DATA!$G$4:$H$2000,2,FALSE),"")</f>
        <v>ХУД-н ТАТВАРЫН ХЭЛТЭС</v>
      </c>
      <c r="N812" s="630"/>
      <c r="O812" s="80" t="str">
        <f>IFERROR(VLOOKUP(N812,DATA!$K$4:$L$51,2,FALSE),"")</f>
        <v/>
      </c>
      <c r="P812" s="80">
        <f t="shared" si="68"/>
        <v>0</v>
      </c>
      <c r="Q812" s="154">
        <f t="shared" si="69"/>
        <v>0</v>
      </c>
    </row>
    <row r="813" spans="2:17">
      <c r="B813" s="627">
        <f t="shared" si="64"/>
        <v>808</v>
      </c>
      <c r="C813" s="582">
        <v>43279</v>
      </c>
      <c r="D813" s="815" t="s">
        <v>2625</v>
      </c>
      <c r="E813" s="630">
        <v>100100</v>
      </c>
      <c r="F813" s="629" t="str">
        <f>IFERROR(VLOOKUP(E813,STAT1!$C$4:$D$1000,2,FALSE),"")</f>
        <v>Касс мөнгө MNT</v>
      </c>
      <c r="G813" s="376"/>
      <c r="H813" s="376">
        <v>210000</v>
      </c>
      <c r="I813" s="580">
        <f t="shared" si="67"/>
        <v>-210000</v>
      </c>
      <c r="J813" s="961">
        <f t="shared" si="66"/>
        <v>0</v>
      </c>
      <c r="K813" s="80"/>
      <c r="L813" s="630">
        <v>1004</v>
      </c>
      <c r="M813" s="80" t="str">
        <f>+IFERROR(VLOOKUP(L813,DATA!$G$4:$H$2000,2,FALSE),"")</f>
        <v xml:space="preserve">Түмэндэлгэр </v>
      </c>
      <c r="N813" s="630">
        <v>53</v>
      </c>
      <c r="O813" s="80" t="str">
        <f>IFERROR(VLOOKUP(N813,DATA!$K$4:$L$51,2,FALSE),"")</f>
        <v>Бараа материал худалдан авахад төлсөн</v>
      </c>
      <c r="P813" s="80">
        <f t="shared" si="68"/>
        <v>1</v>
      </c>
      <c r="Q813" s="154">
        <f t="shared" si="69"/>
        <v>1</v>
      </c>
    </row>
    <row r="814" spans="2:17">
      <c r="B814" s="627">
        <f t="shared" si="64"/>
        <v>809</v>
      </c>
      <c r="C814" s="582">
        <v>43279</v>
      </c>
      <c r="D814" s="815" t="s">
        <v>2625</v>
      </c>
      <c r="E814" s="630">
        <v>120600</v>
      </c>
      <c r="F814" s="629" t="str">
        <f>IFERROR(VLOOKUP(E814,STAT1!$C$4:$D$1000,2,FALSE),"")</f>
        <v>НӨАТ авлага</v>
      </c>
      <c r="G814" s="376">
        <v>19090.91</v>
      </c>
      <c r="H814" s="376"/>
      <c r="I814" s="580">
        <f t="shared" si="67"/>
        <v>0</v>
      </c>
      <c r="J814" s="961">
        <f t="shared" si="66"/>
        <v>0</v>
      </c>
      <c r="K814" s="80"/>
      <c r="L814" s="630">
        <v>1004</v>
      </c>
      <c r="M814" s="80" t="str">
        <f>+IFERROR(VLOOKUP(L814,DATA!$G$4:$H$2000,2,FALSE),"")</f>
        <v xml:space="preserve">Түмэндэлгэр </v>
      </c>
      <c r="N814" s="630"/>
      <c r="O814" s="80" t="str">
        <f>IFERROR(VLOOKUP(N814,DATA!$K$4:$L$51,2,FALSE),"")</f>
        <v/>
      </c>
      <c r="P814" s="80">
        <f t="shared" si="68"/>
        <v>0</v>
      </c>
      <c r="Q814" s="154">
        <f t="shared" si="69"/>
        <v>0</v>
      </c>
    </row>
    <row r="815" spans="2:17">
      <c r="B815" s="627">
        <f t="shared" si="64"/>
        <v>810</v>
      </c>
      <c r="C815" s="582">
        <v>43279</v>
      </c>
      <c r="D815" s="815" t="s">
        <v>2625</v>
      </c>
      <c r="E815" s="630">
        <v>701500</v>
      </c>
      <c r="F815" s="629" t="str">
        <f>IFERROR(VLOOKUP(E815,STAT1!$C$4:$D$1000,2,FALSE),"")</f>
        <v>Урсгал засварын зардал</v>
      </c>
      <c r="G815" s="376">
        <f>210000-19090.91</f>
        <v>190909.09</v>
      </c>
      <c r="H815" s="376"/>
      <c r="I815" s="580">
        <f t="shared" si="67"/>
        <v>0</v>
      </c>
      <c r="J815" s="961">
        <f t="shared" si="66"/>
        <v>0</v>
      </c>
      <c r="K815" s="80"/>
      <c r="L815" s="630">
        <v>1004</v>
      </c>
      <c r="M815" s="80" t="str">
        <f>+IFERROR(VLOOKUP(L815,DATA!$G$4:$H$2000,2,FALSE),"")</f>
        <v xml:space="preserve">Түмэндэлгэр </v>
      </c>
      <c r="N815" s="630"/>
      <c r="O815" s="80" t="str">
        <f>IFERROR(VLOOKUP(N815,DATA!$K$4:$L$51,2,FALSE),"")</f>
        <v/>
      </c>
      <c r="P815" s="80">
        <f t="shared" si="68"/>
        <v>0</v>
      </c>
      <c r="Q815" s="154">
        <f t="shared" si="69"/>
        <v>0</v>
      </c>
    </row>
    <row r="816" spans="2:17">
      <c r="B816" s="627">
        <f t="shared" si="64"/>
        <v>811</v>
      </c>
      <c r="C816" s="582">
        <v>43280</v>
      </c>
      <c r="D816" s="815" t="s">
        <v>2624</v>
      </c>
      <c r="E816" s="630">
        <v>100100</v>
      </c>
      <c r="F816" s="629" t="str">
        <f>IFERROR(VLOOKUP(E816,STAT1!$C$4:$D$1000,2,FALSE),"")</f>
        <v>Касс мөнгө MNT</v>
      </c>
      <c r="G816" s="376"/>
      <c r="H816" s="376">
        <v>5000000</v>
      </c>
      <c r="I816" s="580">
        <f t="shared" si="67"/>
        <v>-5000000</v>
      </c>
      <c r="J816" s="961">
        <f t="shared" si="66"/>
        <v>0</v>
      </c>
      <c r="K816" s="80"/>
      <c r="L816" s="630">
        <v>2002</v>
      </c>
      <c r="M816" s="80" t="str">
        <f>+IFERROR(VLOOKUP(L816,DATA!$G$4:$H$2000,2,FALSE),"")</f>
        <v xml:space="preserve">ХУД-н ЭМНД ХЭЛТЭС </v>
      </c>
      <c r="N816" s="630">
        <v>52</v>
      </c>
      <c r="O816" s="80" t="str">
        <f>IFERROR(VLOOKUP(N816,DATA!$K$4:$L$51,2,FALSE),"")</f>
        <v>Нийгмийн даатгалын байгууллагад төлсөн</v>
      </c>
      <c r="P816" s="80">
        <f t="shared" si="68"/>
        <v>1</v>
      </c>
      <c r="Q816" s="154">
        <f t="shared" si="69"/>
        <v>1</v>
      </c>
    </row>
    <row r="817" spans="2:17">
      <c r="B817" s="627">
        <f t="shared" si="64"/>
        <v>812</v>
      </c>
      <c r="C817" s="582">
        <v>43280</v>
      </c>
      <c r="D817" s="815" t="s">
        <v>2624</v>
      </c>
      <c r="E817" s="630">
        <v>120900</v>
      </c>
      <c r="F817" s="629" t="str">
        <f>IFERROR(VLOOKUP(E817,STAT1!$C$4:$D$1000,2,FALSE),"")</f>
        <v>НД-ын байгууллагаас авах авлага</v>
      </c>
      <c r="G817" s="376">
        <v>5000000</v>
      </c>
      <c r="H817" s="376"/>
      <c r="I817" s="580">
        <f t="shared" si="67"/>
        <v>0</v>
      </c>
      <c r="J817" s="961">
        <f t="shared" si="66"/>
        <v>0</v>
      </c>
      <c r="K817" s="80"/>
      <c r="L817" s="630">
        <v>2002</v>
      </c>
      <c r="M817" s="80" t="str">
        <f>+IFERROR(VLOOKUP(L817,DATA!$G$4:$H$2000,2,FALSE),"")</f>
        <v xml:space="preserve">ХУД-н ЭМНД ХЭЛТЭС </v>
      </c>
      <c r="N817" s="630"/>
      <c r="O817" s="80" t="str">
        <f>IFERROR(VLOOKUP(N817,DATA!$K$4:$L$51,2,FALSE),"")</f>
        <v/>
      </c>
      <c r="P817" s="80">
        <f t="shared" si="68"/>
        <v>0</v>
      </c>
      <c r="Q817" s="154">
        <f t="shared" si="69"/>
        <v>0</v>
      </c>
    </row>
    <row r="818" spans="2:17">
      <c r="B818" s="627">
        <f t="shared" si="64"/>
        <v>813</v>
      </c>
      <c r="C818" s="582">
        <v>43280</v>
      </c>
      <c r="D818" s="815" t="s">
        <v>2625</v>
      </c>
      <c r="E818" s="630">
        <v>100100</v>
      </c>
      <c r="F818" s="629" t="str">
        <f>IFERROR(VLOOKUP(E818,STAT1!$C$4:$D$1000,2,FALSE),"")</f>
        <v>Касс мөнгө MNT</v>
      </c>
      <c r="G818" s="376"/>
      <c r="H818" s="376">
        <v>150000</v>
      </c>
      <c r="I818" s="580">
        <f t="shared" si="67"/>
        <v>-150000</v>
      </c>
      <c r="J818" s="961">
        <f t="shared" si="66"/>
        <v>0</v>
      </c>
      <c r="K818" s="80"/>
      <c r="L818" s="630">
        <v>1004</v>
      </c>
      <c r="M818" s="80" t="str">
        <f>+IFERROR(VLOOKUP(L818,DATA!$G$4:$H$2000,2,FALSE),"")</f>
        <v xml:space="preserve">Түмэндэлгэр </v>
      </c>
      <c r="N818" s="630">
        <v>53</v>
      </c>
      <c r="O818" s="80" t="str">
        <f>IFERROR(VLOOKUP(N818,DATA!$K$4:$L$51,2,FALSE),"")</f>
        <v>Бараа материал худалдан авахад төлсөн</v>
      </c>
      <c r="P818" s="80">
        <f t="shared" si="68"/>
        <v>1</v>
      </c>
      <c r="Q818" s="154">
        <f t="shared" si="69"/>
        <v>1</v>
      </c>
    </row>
    <row r="819" spans="2:17">
      <c r="B819" s="627">
        <f t="shared" si="64"/>
        <v>814</v>
      </c>
      <c r="C819" s="582">
        <v>43280</v>
      </c>
      <c r="D819" s="815" t="s">
        <v>2625</v>
      </c>
      <c r="E819" s="630">
        <v>120600</v>
      </c>
      <c r="F819" s="629" t="str">
        <f>IFERROR(VLOOKUP(E819,STAT1!$C$4:$D$1000,2,FALSE),"")</f>
        <v>НӨАТ авлага</v>
      </c>
      <c r="G819" s="376">
        <v>12727.27</v>
      </c>
      <c r="H819" s="376"/>
      <c r="I819" s="580">
        <f t="shared" si="67"/>
        <v>0</v>
      </c>
      <c r="J819" s="961">
        <f t="shared" si="66"/>
        <v>0</v>
      </c>
      <c r="K819" s="80"/>
      <c r="L819" s="630">
        <v>1004</v>
      </c>
      <c r="M819" s="80" t="str">
        <f>+IFERROR(VLOOKUP(L819,DATA!$G$4:$H$2000,2,FALSE),"")</f>
        <v xml:space="preserve">Түмэндэлгэр </v>
      </c>
      <c r="N819" s="630"/>
      <c r="O819" s="80" t="str">
        <f>IFERROR(VLOOKUP(N819,DATA!$K$4:$L$51,2,FALSE),"")</f>
        <v/>
      </c>
      <c r="P819" s="80">
        <f t="shared" si="68"/>
        <v>0</v>
      </c>
      <c r="Q819" s="154">
        <f t="shared" si="69"/>
        <v>0</v>
      </c>
    </row>
    <row r="820" spans="2:17">
      <c r="B820" s="627">
        <f t="shared" si="64"/>
        <v>815</v>
      </c>
      <c r="C820" s="582">
        <v>43280</v>
      </c>
      <c r="D820" s="815" t="s">
        <v>2625</v>
      </c>
      <c r="E820" s="630">
        <v>701500</v>
      </c>
      <c r="F820" s="629" t="str">
        <f>IFERROR(VLOOKUP(E820,STAT1!$C$4:$D$1000,2,FALSE),"")</f>
        <v>Урсгал засварын зардал</v>
      </c>
      <c r="G820" s="376">
        <f>150000-G819</f>
        <v>137272.73000000001</v>
      </c>
      <c r="H820" s="376"/>
      <c r="I820" s="580">
        <f t="shared" si="67"/>
        <v>0</v>
      </c>
      <c r="J820" s="961">
        <f t="shared" si="66"/>
        <v>0</v>
      </c>
      <c r="K820" s="80"/>
      <c r="L820" s="630">
        <v>1004</v>
      </c>
      <c r="M820" s="80" t="str">
        <f>+IFERROR(VLOOKUP(L820,DATA!$G$4:$H$2000,2,FALSE),"")</f>
        <v xml:space="preserve">Түмэндэлгэр </v>
      </c>
      <c r="N820" s="630"/>
      <c r="O820" s="80" t="str">
        <f>IFERROR(VLOOKUP(N820,DATA!$K$4:$L$51,2,FALSE),"")</f>
        <v/>
      </c>
      <c r="P820" s="80">
        <f t="shared" si="68"/>
        <v>0</v>
      </c>
      <c r="Q820" s="154">
        <f t="shared" si="69"/>
        <v>0</v>
      </c>
    </row>
    <row r="821" spans="2:17">
      <c r="B821" s="627">
        <f t="shared" si="64"/>
        <v>816</v>
      </c>
      <c r="C821" s="582">
        <v>43280</v>
      </c>
      <c r="D821" s="815" t="s">
        <v>2375</v>
      </c>
      <c r="E821" s="630">
        <v>100100</v>
      </c>
      <c r="F821" s="629" t="str">
        <f>IFERROR(VLOOKUP(E821,STAT1!$C$4:$D$1000,2,FALSE),"")</f>
        <v>Касс мөнгө MNT</v>
      </c>
      <c r="G821" s="376"/>
      <c r="H821" s="376">
        <v>4488630.1399999997</v>
      </c>
      <c r="I821" s="580">
        <f t="shared" si="67"/>
        <v>-4488630.1399999997</v>
      </c>
      <c r="J821" s="961">
        <f t="shared" si="66"/>
        <v>0</v>
      </c>
      <c r="K821" s="80"/>
      <c r="L821" s="630">
        <v>2004</v>
      </c>
      <c r="M821" s="80" t="str">
        <f>+IFERROR(VLOOKUP(L821,DATA!$G$4:$H$2000,2,FALSE),"")</f>
        <v xml:space="preserve">ДЦС-3 ТӨХК </v>
      </c>
      <c r="N821" s="630">
        <v>54</v>
      </c>
      <c r="O821" s="80" t="str">
        <f>IFERROR(VLOOKUP(N821,DATA!$K$4:$L$51,2,FALSE),"")</f>
        <v>Ашиглалтын зардалд төлсөн</v>
      </c>
      <c r="P821" s="80">
        <f t="shared" si="68"/>
        <v>1</v>
      </c>
      <c r="Q821" s="154">
        <f t="shared" si="69"/>
        <v>1</v>
      </c>
    </row>
    <row r="822" spans="2:17">
      <c r="B822" s="627">
        <f t="shared" si="64"/>
        <v>817</v>
      </c>
      <c r="C822" s="582">
        <v>43280</v>
      </c>
      <c r="D822" s="815" t="s">
        <v>2375</v>
      </c>
      <c r="E822" s="630">
        <v>120600</v>
      </c>
      <c r="F822" s="629" t="str">
        <f>IFERROR(VLOOKUP(E822,STAT1!$C$4:$D$1000,2,FALSE),"")</f>
        <v>НӨАТ авлага</v>
      </c>
      <c r="G822" s="376">
        <f>93883.26+314174.02</f>
        <v>408057.28</v>
      </c>
      <c r="H822" s="376"/>
      <c r="I822" s="580">
        <f t="shared" si="67"/>
        <v>0</v>
      </c>
      <c r="J822" s="961">
        <f t="shared" si="66"/>
        <v>0</v>
      </c>
      <c r="K822" s="80"/>
      <c r="L822" s="630">
        <v>2004</v>
      </c>
      <c r="M822" s="80" t="str">
        <f>+IFERROR(VLOOKUP(L822,DATA!$G$4:$H$2000,2,FALSE),"")</f>
        <v xml:space="preserve">ДЦС-3 ТӨХК </v>
      </c>
      <c r="N822" s="630"/>
      <c r="O822" s="80" t="str">
        <f>IFERROR(VLOOKUP(N822,DATA!$K$4:$L$51,2,FALSE),"")</f>
        <v/>
      </c>
      <c r="P822" s="80">
        <f t="shared" si="68"/>
        <v>0</v>
      </c>
      <c r="Q822" s="154">
        <f t="shared" si="69"/>
        <v>0</v>
      </c>
    </row>
    <row r="823" spans="2:17">
      <c r="B823" s="627">
        <f t="shared" si="64"/>
        <v>818</v>
      </c>
      <c r="C823" s="582">
        <v>43280</v>
      </c>
      <c r="D823" s="815" t="s">
        <v>2375</v>
      </c>
      <c r="E823" s="630">
        <v>700900</v>
      </c>
      <c r="F823" s="629" t="str">
        <f>IFERROR(VLOOKUP(E823,STAT1!$C$4:$D$1000,2,FALSE),"")</f>
        <v>Уур, ус</v>
      </c>
      <c r="G823" s="376">
        <f>4488630.14-314174.02-93883.26</f>
        <v>4080572.86</v>
      </c>
      <c r="H823" s="376"/>
      <c r="I823" s="580">
        <f t="shared" si="67"/>
        <v>0</v>
      </c>
      <c r="J823" s="961">
        <f t="shared" si="66"/>
        <v>0</v>
      </c>
      <c r="K823" s="80"/>
      <c r="L823" s="630">
        <v>2004</v>
      </c>
      <c r="M823" s="80" t="str">
        <f>+IFERROR(VLOOKUP(L823,DATA!$G$4:$H$2000,2,FALSE),"")</f>
        <v xml:space="preserve">ДЦС-3 ТӨХК </v>
      </c>
      <c r="N823" s="630"/>
      <c r="O823" s="80" t="str">
        <f>IFERROR(VLOOKUP(N823,DATA!$K$4:$L$51,2,FALSE),"")</f>
        <v/>
      </c>
      <c r="P823" s="80">
        <f t="shared" si="68"/>
        <v>0</v>
      </c>
      <c r="Q823" s="154">
        <f t="shared" si="69"/>
        <v>0</v>
      </c>
    </row>
    <row r="824" spans="2:17">
      <c r="B824" s="627">
        <f t="shared" si="64"/>
        <v>819</v>
      </c>
      <c r="C824" s="429">
        <v>43281</v>
      </c>
      <c r="D824" s="816" t="s">
        <v>2534</v>
      </c>
      <c r="E824" s="807">
        <v>100100</v>
      </c>
      <c r="F824" s="629" t="str">
        <f>IFERROR(VLOOKUP(E824,STAT1!$C$4:$D$1000,2,FALSE),"")</f>
        <v>Касс мөнгө MNT</v>
      </c>
      <c r="G824" s="811"/>
      <c r="H824" s="811">
        <v>1500000</v>
      </c>
      <c r="I824" s="580">
        <f t="shared" si="67"/>
        <v>-1500000</v>
      </c>
      <c r="J824" s="961">
        <f t="shared" si="66"/>
        <v>0</v>
      </c>
      <c r="K824" s="80"/>
      <c r="L824" s="807">
        <v>2012</v>
      </c>
      <c r="M824" s="80" t="str">
        <f>+IFERROR(VLOOKUP(L824,DATA!$G$4:$H$2000,2,FALSE),"")</f>
        <v>ИХ ТУГЧ ХХК</v>
      </c>
      <c r="N824" s="807">
        <v>59</v>
      </c>
      <c r="O824" s="80" t="str">
        <f>IFERROR(VLOOKUP(N824,DATA!$K$4:$L$51,2,FALSE),"")</f>
        <v>Бусад мөнгөн зарлага</v>
      </c>
      <c r="P824" s="80">
        <f t="shared" si="68"/>
        <v>1</v>
      </c>
      <c r="Q824" s="154">
        <f t="shared" si="69"/>
        <v>1</v>
      </c>
    </row>
    <row r="825" spans="2:17">
      <c r="B825" s="627">
        <f t="shared" si="64"/>
        <v>820</v>
      </c>
      <c r="C825" s="429">
        <v>43281</v>
      </c>
      <c r="D825" s="816" t="s">
        <v>2534</v>
      </c>
      <c r="E825" s="807">
        <v>705800</v>
      </c>
      <c r="F825" s="629" t="str">
        <f>IFERROR(VLOOKUP(E825,STAT1!$C$4:$D$1000,2,FALSE),"")</f>
        <v>Харуул хамгаалалт</v>
      </c>
      <c r="G825" s="811">
        <v>1500000</v>
      </c>
      <c r="H825" s="811"/>
      <c r="I825" s="580">
        <f t="shared" si="67"/>
        <v>0</v>
      </c>
      <c r="J825" s="961">
        <f t="shared" si="66"/>
        <v>0</v>
      </c>
      <c r="K825" s="80"/>
      <c r="L825" s="807">
        <v>2012</v>
      </c>
      <c r="M825" s="80" t="str">
        <f>+IFERROR(VLOOKUP(L825,DATA!$G$4:$H$2000,2,FALSE),"")</f>
        <v>ИХ ТУГЧ ХХК</v>
      </c>
      <c r="N825" s="807"/>
      <c r="O825" s="80" t="str">
        <f>IFERROR(VLOOKUP(N825,DATA!$K$4:$L$51,2,FALSE),"")</f>
        <v/>
      </c>
      <c r="P825" s="80">
        <f t="shared" si="68"/>
        <v>0</v>
      </c>
      <c r="Q825" s="154">
        <f t="shared" si="69"/>
        <v>0</v>
      </c>
    </row>
    <row r="826" spans="2:17">
      <c r="B826" s="627">
        <f t="shared" si="64"/>
        <v>821</v>
      </c>
      <c r="C826" s="582">
        <v>43281</v>
      </c>
      <c r="D826" s="816" t="s">
        <v>2609</v>
      </c>
      <c r="E826" s="807">
        <v>201200</v>
      </c>
      <c r="F826" s="629" t="str">
        <f>IFERROR(VLOOKUP(E826,STAT1!$C$4:$D$1000,2,FALSE),"")</f>
        <v>Хур. элэгдэл - Барилга байгууламж</v>
      </c>
      <c r="G826" s="811"/>
      <c r="H826" s="811">
        <v>7330033.3200000003</v>
      </c>
      <c r="I826" s="580">
        <f t="shared" si="67"/>
        <v>0</v>
      </c>
      <c r="J826" s="961">
        <f t="shared" si="66"/>
        <v>0</v>
      </c>
      <c r="K826" s="80"/>
      <c r="L826" s="807">
        <v>1004</v>
      </c>
      <c r="M826" s="80" t="str">
        <f>+IFERROR(VLOOKUP(L826,DATA!$G$4:$H$2000,2,FALSE),"")</f>
        <v xml:space="preserve">Түмэндэлгэр </v>
      </c>
      <c r="N826" s="630"/>
      <c r="O826" s="80" t="str">
        <f>IFERROR(VLOOKUP(N826,DATA!$K$4:$L$51,2,FALSE),"")</f>
        <v/>
      </c>
      <c r="P826" s="80">
        <f t="shared" si="68"/>
        <v>0</v>
      </c>
      <c r="Q826" s="154">
        <f t="shared" si="69"/>
        <v>0</v>
      </c>
    </row>
    <row r="827" spans="2:17">
      <c r="B827" s="627">
        <f t="shared" si="64"/>
        <v>822</v>
      </c>
      <c r="C827" s="582">
        <v>43281</v>
      </c>
      <c r="D827" s="816" t="s">
        <v>2610</v>
      </c>
      <c r="E827" s="807">
        <v>201300</v>
      </c>
      <c r="F827" s="629" t="str">
        <f>IFERROR(VLOOKUP(E827,STAT1!$C$4:$D$1000,2,FALSE),"")</f>
        <v>Хур. элэгдэл - Тавилга эд хогшил</v>
      </c>
      <c r="G827" s="811"/>
      <c r="H827" s="811">
        <v>73072.72</v>
      </c>
      <c r="I827" s="580">
        <f t="shared" si="67"/>
        <v>0</v>
      </c>
      <c r="J827" s="961">
        <f t="shared" si="66"/>
        <v>0</v>
      </c>
      <c r="K827" s="80"/>
      <c r="L827" s="807">
        <v>1004</v>
      </c>
      <c r="M827" s="80" t="str">
        <f>+IFERROR(VLOOKUP(L827,DATA!$G$4:$H$2000,2,FALSE),"")</f>
        <v xml:space="preserve">Түмэндэлгэр </v>
      </c>
      <c r="N827" s="630"/>
      <c r="O827" s="80" t="str">
        <f>IFERROR(VLOOKUP(N827,DATA!$K$4:$L$51,2,FALSE),"")</f>
        <v/>
      </c>
      <c r="P827" s="80">
        <f t="shared" si="68"/>
        <v>0</v>
      </c>
      <c r="Q827" s="154">
        <f t="shared" si="69"/>
        <v>0</v>
      </c>
    </row>
    <row r="828" spans="2:17">
      <c r="B828" s="627">
        <f t="shared" si="64"/>
        <v>823</v>
      </c>
      <c r="C828" s="582">
        <v>43281</v>
      </c>
      <c r="D828" s="816" t="s">
        <v>2611</v>
      </c>
      <c r="E828" s="807">
        <v>201400</v>
      </c>
      <c r="F828" s="629" t="str">
        <f>IFERROR(VLOOKUP(E828,STAT1!$C$4:$D$1000,2,FALSE),"")</f>
        <v>Хур. элэгдэл - Машин тоног төхөөрөмж</v>
      </c>
      <c r="G828" s="811"/>
      <c r="H828" s="811">
        <v>16363915.65</v>
      </c>
      <c r="I828" s="580">
        <f t="shared" si="67"/>
        <v>0</v>
      </c>
      <c r="J828" s="961">
        <f t="shared" si="66"/>
        <v>0</v>
      </c>
      <c r="K828" s="80"/>
      <c r="L828" s="807">
        <v>1004</v>
      </c>
      <c r="M828" s="80" t="str">
        <f>+IFERROR(VLOOKUP(L828,DATA!$G$4:$H$2000,2,FALSE),"")</f>
        <v xml:space="preserve">Түмэндэлгэр </v>
      </c>
      <c r="N828" s="630"/>
      <c r="O828" s="80" t="str">
        <f>IFERROR(VLOOKUP(N828,DATA!$K$4:$L$51,2,FALSE),"")</f>
        <v/>
      </c>
      <c r="P828" s="80">
        <f t="shared" si="68"/>
        <v>0</v>
      </c>
      <c r="Q828" s="154">
        <f t="shared" si="69"/>
        <v>0</v>
      </c>
    </row>
    <row r="829" spans="2:17">
      <c r="B829" s="627">
        <f t="shared" si="64"/>
        <v>824</v>
      </c>
      <c r="C829" s="582">
        <v>43281</v>
      </c>
      <c r="D829" s="816" t="s">
        <v>2612</v>
      </c>
      <c r="E829" s="807">
        <v>201500</v>
      </c>
      <c r="F829" s="629" t="str">
        <f>IFERROR(VLOOKUP(E829,STAT1!$C$4:$D$1000,2,FALSE),"")</f>
        <v>Хур. элэгдэл - Тээврийн хэрэгсэл</v>
      </c>
      <c r="G829" s="811"/>
      <c r="H829" s="811">
        <v>4245000</v>
      </c>
      <c r="I829" s="580">
        <f t="shared" si="67"/>
        <v>0</v>
      </c>
      <c r="J829" s="961">
        <f t="shared" si="66"/>
        <v>0</v>
      </c>
      <c r="K829" s="80"/>
      <c r="L829" s="807">
        <v>1004</v>
      </c>
      <c r="M829" s="80" t="str">
        <f>+IFERROR(VLOOKUP(L829,DATA!$G$4:$H$2000,2,FALSE),"")</f>
        <v xml:space="preserve">Түмэндэлгэр </v>
      </c>
      <c r="N829" s="630"/>
      <c r="O829" s="80" t="str">
        <f>IFERROR(VLOOKUP(N829,DATA!$K$4:$L$51,2,FALSE),"")</f>
        <v/>
      </c>
      <c r="P829" s="80">
        <f t="shared" si="68"/>
        <v>0</v>
      </c>
      <c r="Q829" s="154">
        <f t="shared" si="69"/>
        <v>0</v>
      </c>
    </row>
    <row r="830" spans="2:17">
      <c r="B830" s="627">
        <f t="shared" si="64"/>
        <v>825</v>
      </c>
      <c r="C830" s="582">
        <v>43281</v>
      </c>
      <c r="D830" s="816" t="s">
        <v>2613</v>
      </c>
      <c r="E830" s="807">
        <v>701600</v>
      </c>
      <c r="F830" s="629" t="str">
        <f>IFERROR(VLOOKUP(E830,STAT1!$C$4:$D$1000,2,FALSE),"")</f>
        <v>Элэгдэл, хорогдлын зардал</v>
      </c>
      <c r="G830" s="811">
        <v>28012021.690000001</v>
      </c>
      <c r="H830" s="811"/>
      <c r="I830" s="580">
        <f t="shared" si="67"/>
        <v>0</v>
      </c>
      <c r="J830" s="961">
        <f t="shared" si="66"/>
        <v>0</v>
      </c>
      <c r="K830" s="80"/>
      <c r="L830" s="807">
        <v>1004</v>
      </c>
      <c r="M830" s="80" t="str">
        <f>+IFERROR(VLOOKUP(L830,DATA!$G$4:$H$2000,2,FALSE),"")</f>
        <v xml:space="preserve">Түмэндэлгэр </v>
      </c>
      <c r="N830" s="630"/>
      <c r="O830" s="80" t="str">
        <f>IFERROR(VLOOKUP(N830,DATA!$K$4:$L$51,2,FALSE),"")</f>
        <v/>
      </c>
      <c r="P830" s="80">
        <f t="shared" si="68"/>
        <v>0</v>
      </c>
      <c r="Q830" s="154">
        <f t="shared" si="69"/>
        <v>0</v>
      </c>
    </row>
    <row r="831" spans="2:17">
      <c r="B831" s="627">
        <f t="shared" si="64"/>
        <v>826</v>
      </c>
      <c r="C831" s="582">
        <v>43281</v>
      </c>
      <c r="D831" s="815" t="s">
        <v>2558</v>
      </c>
      <c r="E831" s="807">
        <v>110100</v>
      </c>
      <c r="F831" s="629" t="str">
        <f>IFERROR(VLOOKUP(E831,STAT1!$C$4:$D$1000,2,FALSE),"")</f>
        <v>Хаан Банк 5024654020</v>
      </c>
      <c r="G831" s="376"/>
      <c r="H831" s="376">
        <v>2000</v>
      </c>
      <c r="I831" s="580">
        <f t="shared" si="67"/>
        <v>-2000</v>
      </c>
      <c r="J831" s="961">
        <f t="shared" si="66"/>
        <v>0</v>
      </c>
      <c r="K831" s="80"/>
      <c r="L831" s="807">
        <v>2009</v>
      </c>
      <c r="M831" s="80" t="str">
        <f>+IFERROR(VLOOKUP(L831,DATA!$G$4:$H$2000,2,FALSE),"")</f>
        <v>ХААН БАНК</v>
      </c>
      <c r="N831" s="807">
        <v>59</v>
      </c>
      <c r="O831" s="80" t="str">
        <f>IFERROR(VLOOKUP(N831,DATA!$K$4:$L$51,2,FALSE),"")</f>
        <v>Бусад мөнгөн зарлага</v>
      </c>
      <c r="P831" s="80">
        <f t="shared" si="68"/>
        <v>1</v>
      </c>
      <c r="Q831" s="154">
        <f t="shared" si="69"/>
        <v>1</v>
      </c>
    </row>
    <row r="832" spans="2:17">
      <c r="B832" s="627">
        <f t="shared" si="64"/>
        <v>827</v>
      </c>
      <c r="C832" s="582">
        <v>43281</v>
      </c>
      <c r="D832" s="815" t="s">
        <v>2558</v>
      </c>
      <c r="E832" s="807">
        <v>704900</v>
      </c>
      <c r="F832" s="629" t="str">
        <f>IFERROR(VLOOKUP(E832,STAT1!$C$4:$D$1000,2,FALSE),"")</f>
        <v>Банкны үйлчилгээ</v>
      </c>
      <c r="G832" s="376">
        <v>2000</v>
      </c>
      <c r="H832" s="376"/>
      <c r="I832" s="580">
        <f t="shared" si="67"/>
        <v>0</v>
      </c>
      <c r="J832" s="961">
        <f t="shared" si="66"/>
        <v>0</v>
      </c>
      <c r="K832" s="80"/>
      <c r="L832" s="807">
        <v>2009</v>
      </c>
      <c r="M832" s="80" t="str">
        <f>+IFERROR(VLOOKUP(L832,DATA!$G$4:$H$2000,2,FALSE),"")</f>
        <v>ХААН БАНК</v>
      </c>
      <c r="N832" s="807"/>
      <c r="O832" s="80" t="str">
        <f>IFERROR(VLOOKUP(N832,DATA!$K$4:$L$51,2,FALSE),"")</f>
        <v/>
      </c>
      <c r="P832" s="80">
        <f t="shared" si="68"/>
        <v>0</v>
      </c>
      <c r="Q832" s="154">
        <f t="shared" si="69"/>
        <v>0</v>
      </c>
    </row>
    <row r="833" spans="2:17">
      <c r="B833" s="627">
        <f t="shared" si="64"/>
        <v>828</v>
      </c>
      <c r="C833" s="429">
        <v>43281</v>
      </c>
      <c r="D833" s="850" t="s">
        <v>2597</v>
      </c>
      <c r="E833" s="807">
        <v>700200</v>
      </c>
      <c r="F833" s="629" t="str">
        <f>IFERROR(VLOOKUP(E833,STAT1!$C$4:$D$1000,2,FALSE),"")</f>
        <v>НДШимтгэл</v>
      </c>
      <c r="G833" s="811">
        <v>1833082.9600000002</v>
      </c>
      <c r="H833" s="811"/>
      <c r="I833" s="580">
        <f t="shared" si="67"/>
        <v>0</v>
      </c>
      <c r="J833" s="961">
        <f t="shared" si="66"/>
        <v>0</v>
      </c>
      <c r="K833" s="80"/>
      <c r="L833" s="807">
        <v>1004</v>
      </c>
      <c r="M833" s="80" t="str">
        <f>+IFERROR(VLOOKUP(L833,DATA!$G$4:$H$2000,2,FALSE),"")</f>
        <v xml:space="preserve">Түмэндэлгэр </v>
      </c>
      <c r="N833" s="807"/>
      <c r="O833" s="80" t="str">
        <f>IFERROR(VLOOKUP(N833,DATA!$K$4:$L$51,2,FALSE),"")</f>
        <v/>
      </c>
      <c r="P833" s="80">
        <f t="shared" si="68"/>
        <v>0</v>
      </c>
      <c r="Q833" s="154">
        <f t="shared" si="69"/>
        <v>0</v>
      </c>
    </row>
    <row r="834" spans="2:17">
      <c r="B834" s="627">
        <f t="shared" si="64"/>
        <v>829</v>
      </c>
      <c r="C834" s="429">
        <v>43281</v>
      </c>
      <c r="D834" s="850" t="s">
        <v>2597</v>
      </c>
      <c r="E834" s="807">
        <v>310800</v>
      </c>
      <c r="F834" s="629" t="str">
        <f>IFERROR(VLOOKUP(E834,STAT1!$C$4:$D$1000,2,FALSE),"")</f>
        <v>НД-ын байгууллагад өгөх өглөг</v>
      </c>
      <c r="G834" s="811"/>
      <c r="H834" s="811">
        <v>1833082.9600000002</v>
      </c>
      <c r="I834" s="580">
        <f t="shared" si="67"/>
        <v>0</v>
      </c>
      <c r="J834" s="961">
        <f t="shared" si="66"/>
        <v>0</v>
      </c>
      <c r="K834" s="80"/>
      <c r="L834" s="807">
        <v>1004</v>
      </c>
      <c r="M834" s="80" t="str">
        <f>+IFERROR(VLOOKUP(L834,DATA!$G$4:$H$2000,2,FALSE),"")</f>
        <v xml:space="preserve">Түмэндэлгэр </v>
      </c>
      <c r="N834" s="807"/>
      <c r="O834" s="80" t="str">
        <f>IFERROR(VLOOKUP(N834,DATA!$K$4:$L$51,2,FALSE),"")</f>
        <v/>
      </c>
      <c r="P834" s="80">
        <f t="shared" si="68"/>
        <v>0</v>
      </c>
      <c r="Q834" s="154">
        <f t="shared" si="69"/>
        <v>0</v>
      </c>
    </row>
    <row r="835" spans="2:17">
      <c r="B835" s="627">
        <f t="shared" si="64"/>
        <v>830</v>
      </c>
      <c r="C835" s="429">
        <v>43281</v>
      </c>
      <c r="D835" s="850" t="s">
        <v>2598</v>
      </c>
      <c r="E835" s="807">
        <v>310800</v>
      </c>
      <c r="F835" s="629" t="str">
        <f>IFERROR(VLOOKUP(E835,STAT1!$C$4:$D$1000,2,FALSE),"")</f>
        <v>НД-ын байгууллагад өгөх өглөг</v>
      </c>
      <c r="G835" s="811"/>
      <c r="H835" s="811">
        <v>1513174.9600000002</v>
      </c>
      <c r="I835" s="580">
        <f t="shared" si="67"/>
        <v>0</v>
      </c>
      <c r="J835" s="961">
        <f t="shared" si="66"/>
        <v>0</v>
      </c>
      <c r="K835" s="80"/>
      <c r="L835" s="807">
        <v>1004</v>
      </c>
      <c r="M835" s="80" t="str">
        <f>+IFERROR(VLOOKUP(L835,DATA!$G$4:$H$2000,2,FALSE),"")</f>
        <v xml:space="preserve">Түмэндэлгэр </v>
      </c>
      <c r="N835" s="807"/>
      <c r="O835" s="80" t="str">
        <f>IFERROR(VLOOKUP(N835,DATA!$K$4:$L$51,2,FALSE),"")</f>
        <v/>
      </c>
      <c r="P835" s="80">
        <f t="shared" si="68"/>
        <v>0</v>
      </c>
      <c r="Q835" s="154">
        <f t="shared" si="69"/>
        <v>0</v>
      </c>
    </row>
    <row r="836" spans="2:17">
      <c r="B836" s="627">
        <f t="shared" si="64"/>
        <v>831</v>
      </c>
      <c r="C836" s="429">
        <v>43281</v>
      </c>
      <c r="D836" s="850" t="s">
        <v>2599</v>
      </c>
      <c r="E836" s="807">
        <v>310700</v>
      </c>
      <c r="F836" s="629" t="str">
        <f>IFERROR(VLOOKUP(E836,STAT1!$C$4:$D$1000,2,FALSE),"")</f>
        <v>ХАОАТ өглөг</v>
      </c>
      <c r="G836" s="811"/>
      <c r="H836" s="811">
        <v>929875.84</v>
      </c>
      <c r="I836" s="580">
        <f t="shared" si="67"/>
        <v>0</v>
      </c>
      <c r="J836" s="961">
        <f t="shared" si="66"/>
        <v>0</v>
      </c>
      <c r="K836" s="80"/>
      <c r="L836" s="807">
        <v>1004</v>
      </c>
      <c r="M836" s="80" t="str">
        <f>+IFERROR(VLOOKUP(L836,DATA!$G$4:$H$2000,2,FALSE),"")</f>
        <v xml:space="preserve">Түмэндэлгэр </v>
      </c>
      <c r="N836" s="807"/>
      <c r="O836" s="80" t="str">
        <f>IFERROR(VLOOKUP(N836,DATA!$K$4:$L$51,2,FALSE),"")</f>
        <v/>
      </c>
      <c r="P836" s="80">
        <f t="shared" si="68"/>
        <v>0</v>
      </c>
      <c r="Q836" s="154">
        <f t="shared" si="69"/>
        <v>0</v>
      </c>
    </row>
    <row r="837" spans="2:17">
      <c r="B837" s="627">
        <f t="shared" si="64"/>
        <v>832</v>
      </c>
      <c r="C837" s="429">
        <v>43281</v>
      </c>
      <c r="D837" s="850" t="s">
        <v>2600</v>
      </c>
      <c r="E837" s="807">
        <v>311000</v>
      </c>
      <c r="F837" s="629" t="str">
        <f>IFERROR(VLOOKUP(E837,STAT1!$C$4:$D$1000,2,FALSE),"")</f>
        <v>Цалингийн өглөг</v>
      </c>
      <c r="G837" s="811"/>
      <c r="H837" s="811">
        <v>11392349.199999999</v>
      </c>
      <c r="I837" s="580">
        <f t="shared" si="67"/>
        <v>0</v>
      </c>
      <c r="J837" s="961">
        <f t="shared" si="66"/>
        <v>0</v>
      </c>
      <c r="K837" s="80"/>
      <c r="L837" s="807">
        <v>1004</v>
      </c>
      <c r="M837" s="80" t="str">
        <f>+IFERROR(VLOOKUP(L837,DATA!$G$4:$H$2000,2,FALSE),"")</f>
        <v xml:space="preserve">Түмэндэлгэр </v>
      </c>
      <c r="N837" s="807"/>
      <c r="O837" s="80" t="str">
        <f>IFERROR(VLOOKUP(N837,DATA!$K$4:$L$51,2,FALSE),"")</f>
        <v/>
      </c>
      <c r="P837" s="80">
        <f t="shared" si="68"/>
        <v>0</v>
      </c>
      <c r="Q837" s="154">
        <f t="shared" si="69"/>
        <v>0</v>
      </c>
    </row>
    <row r="838" spans="2:17">
      <c r="B838" s="627">
        <f t="shared" ref="B838:B901" si="70">+IF(C838="","",ROW()-5)</f>
        <v>833</v>
      </c>
      <c r="C838" s="429">
        <v>43281</v>
      </c>
      <c r="D838" s="850" t="s">
        <v>2601</v>
      </c>
      <c r="E838" s="807">
        <v>700100</v>
      </c>
      <c r="F838" s="629" t="str">
        <f>IFERROR(VLOOKUP(E838,STAT1!$C$4:$D$1000,2,FALSE),"")</f>
        <v>Цалин хөлс, шагнал</v>
      </c>
      <c r="G838" s="811">
        <v>13835399.999999998</v>
      </c>
      <c r="H838" s="811"/>
      <c r="I838" s="580">
        <f t="shared" si="67"/>
        <v>0</v>
      </c>
      <c r="J838" s="961">
        <f t="shared" ref="J838:J901" si="71">+IF(E838=110102,I838/K838,0)</f>
        <v>0</v>
      </c>
      <c r="K838" s="80"/>
      <c r="L838" s="807">
        <v>1004</v>
      </c>
      <c r="M838" s="80" t="str">
        <f>+IFERROR(VLOOKUP(L838,DATA!$G$4:$H$2000,2,FALSE),"")</f>
        <v xml:space="preserve">Түмэндэлгэр </v>
      </c>
      <c r="N838" s="807"/>
      <c r="O838" s="80" t="str">
        <f>IFERROR(VLOOKUP(N838,DATA!$K$4:$L$51,2,FALSE),"")</f>
        <v/>
      </c>
      <c r="P838" s="80">
        <f t="shared" si="68"/>
        <v>0</v>
      </c>
      <c r="Q838" s="154">
        <f t="shared" si="69"/>
        <v>0</v>
      </c>
    </row>
    <row r="839" spans="2:17">
      <c r="B839" s="627">
        <f t="shared" si="70"/>
        <v>834</v>
      </c>
      <c r="C839" s="429">
        <v>43281</v>
      </c>
      <c r="D839" s="816" t="s">
        <v>2628</v>
      </c>
      <c r="E839" s="807">
        <v>100100</v>
      </c>
      <c r="F839" s="629" t="str">
        <f>IFERROR(VLOOKUP(E839,STAT1!$C$4:$D$1000,2,FALSE),"")</f>
        <v>Касс мөнгө MNT</v>
      </c>
      <c r="G839" s="811"/>
      <c r="H839" s="811">
        <v>11392349.199999999</v>
      </c>
      <c r="I839" s="580">
        <f t="shared" si="67"/>
        <v>-11392349.199999999</v>
      </c>
      <c r="J839" s="961">
        <f t="shared" si="71"/>
        <v>0</v>
      </c>
      <c r="K839" s="80"/>
      <c r="L839" s="807">
        <v>1004</v>
      </c>
      <c r="M839" s="80" t="str">
        <f>+IFERROR(VLOOKUP(L839,DATA!$G$4:$H$2000,2,FALSE),"")</f>
        <v xml:space="preserve">Түмэндэлгэр </v>
      </c>
      <c r="N839" s="807">
        <v>51</v>
      </c>
      <c r="O839" s="80" t="str">
        <f>IFERROR(VLOOKUP(N839,DATA!$K$4:$L$51,2,FALSE),"")</f>
        <v>Ажиллагчдад төлсөн</v>
      </c>
      <c r="P839" s="80">
        <f t="shared" si="68"/>
        <v>1</v>
      </c>
      <c r="Q839" s="154">
        <f t="shared" si="69"/>
        <v>1</v>
      </c>
    </row>
    <row r="840" spans="2:17">
      <c r="B840" s="627">
        <f t="shared" si="70"/>
        <v>835</v>
      </c>
      <c r="C840" s="429">
        <v>43281</v>
      </c>
      <c r="D840" s="816" t="s">
        <v>2628</v>
      </c>
      <c r="E840" s="807">
        <v>311000</v>
      </c>
      <c r="F840" s="629" t="str">
        <f>IFERROR(VLOOKUP(E840,STAT1!$C$4:$D$1000,2,FALSE),"")</f>
        <v>Цалингийн өглөг</v>
      </c>
      <c r="G840" s="811">
        <v>11392349.199999999</v>
      </c>
      <c r="H840" s="811"/>
      <c r="I840" s="580">
        <f t="shared" si="67"/>
        <v>0</v>
      </c>
      <c r="J840" s="961">
        <f t="shared" si="71"/>
        <v>0</v>
      </c>
      <c r="K840" s="80"/>
      <c r="L840" s="807">
        <v>1004</v>
      </c>
      <c r="M840" s="80" t="str">
        <f>+IFERROR(VLOOKUP(L840,DATA!$G$4:$H$2000,2,FALSE),"")</f>
        <v xml:space="preserve">Түмэндэлгэр </v>
      </c>
      <c r="N840" s="807"/>
      <c r="O840" s="80" t="str">
        <f>IFERROR(VLOOKUP(N840,DATA!$K$4:$L$51,2,FALSE),"")</f>
        <v/>
      </c>
      <c r="P840" s="80">
        <f t="shared" si="68"/>
        <v>0</v>
      </c>
      <c r="Q840" s="154">
        <f t="shared" si="69"/>
        <v>0</v>
      </c>
    </row>
    <row r="841" spans="2:17">
      <c r="B841" s="627">
        <f t="shared" si="70"/>
        <v>836</v>
      </c>
      <c r="C841" s="429">
        <v>43281</v>
      </c>
      <c r="D841" s="816" t="s">
        <v>2630</v>
      </c>
      <c r="E841" s="807">
        <v>120100</v>
      </c>
      <c r="F841" s="629" t="str">
        <f>IFERROR(VLOOKUP(E841,STAT1!$C$4:$D$1000,2,FALSE),"")</f>
        <v xml:space="preserve">Дансны авлага MNT </v>
      </c>
      <c r="G841" s="811"/>
      <c r="H841" s="811">
        <v>15000000</v>
      </c>
      <c r="I841" s="580">
        <f t="shared" si="67"/>
        <v>0</v>
      </c>
      <c r="J841" s="961">
        <f t="shared" si="71"/>
        <v>0</v>
      </c>
      <c r="K841" s="80"/>
      <c r="L841" s="807">
        <v>3120</v>
      </c>
      <c r="M841" s="80" t="str">
        <f>+IFERROR(VLOOKUP(L841,DATA!$G$4:$H$2000,2,FALSE),"")</f>
        <v>АКВАПЛАСТ МОНГОЛ ХХК</v>
      </c>
      <c r="N841" s="807"/>
      <c r="O841" s="80" t="str">
        <f>IFERROR(VLOOKUP(N841,DATA!$K$4:$L$51,2,FALSE),"")</f>
        <v/>
      </c>
      <c r="P841" s="80">
        <f t="shared" si="68"/>
        <v>0</v>
      </c>
      <c r="Q841" s="154">
        <f t="shared" si="69"/>
        <v>0</v>
      </c>
    </row>
    <row r="842" spans="2:17">
      <c r="B842" s="627">
        <f t="shared" si="70"/>
        <v>837</v>
      </c>
      <c r="C842" s="429">
        <v>43281</v>
      </c>
      <c r="D842" s="816" t="s">
        <v>2630</v>
      </c>
      <c r="E842" s="807">
        <v>310100</v>
      </c>
      <c r="F842" s="629" t="str">
        <f>IFERROR(VLOOKUP(E842,STAT1!$C$4:$D$1000,2,FALSE),"")</f>
        <v>Дансны өглөг MNT</v>
      </c>
      <c r="G842" s="811">
        <v>15000000</v>
      </c>
      <c r="H842" s="811"/>
      <c r="I842" s="580">
        <f t="shared" si="67"/>
        <v>0</v>
      </c>
      <c r="J842" s="961">
        <f t="shared" si="71"/>
        <v>0</v>
      </c>
      <c r="K842" s="80"/>
      <c r="L842" s="807">
        <v>3120</v>
      </c>
      <c r="M842" s="80" t="str">
        <f>+IFERROR(VLOOKUP(L842,DATA!$G$4:$H$2000,2,FALSE),"")</f>
        <v>АКВАПЛАСТ МОНГОЛ ХХК</v>
      </c>
      <c r="N842" s="807"/>
      <c r="O842" s="80" t="str">
        <f>IFERROR(VLOOKUP(N842,DATA!$K$4:$L$51,2,FALSE),"")</f>
        <v/>
      </c>
      <c r="P842" s="80">
        <f t="shared" si="68"/>
        <v>0</v>
      </c>
      <c r="Q842" s="154">
        <f t="shared" si="69"/>
        <v>0</v>
      </c>
    </row>
    <row r="843" spans="2:17">
      <c r="B843" s="627">
        <f t="shared" si="70"/>
        <v>838</v>
      </c>
      <c r="C843" s="429">
        <v>43281</v>
      </c>
      <c r="D843" s="815" t="s">
        <v>2631</v>
      </c>
      <c r="E843" s="630">
        <v>700900</v>
      </c>
      <c r="F843" s="629" t="str">
        <f>IFERROR(VLOOKUP(E843,STAT1!$C$4:$D$1000,2,FALSE),"")</f>
        <v>Уур, ус</v>
      </c>
      <c r="G843" s="376"/>
      <c r="H843" s="376">
        <f>4488630.14-314174.02-93883.26</f>
        <v>4080572.86</v>
      </c>
      <c r="I843" s="580">
        <f t="shared" si="67"/>
        <v>0</v>
      </c>
      <c r="J843" s="961">
        <f t="shared" si="71"/>
        <v>0</v>
      </c>
      <c r="K843" s="80"/>
      <c r="L843" s="630">
        <v>1003</v>
      </c>
      <c r="M843" s="80" t="str">
        <f>+IFERROR(VLOOKUP(L843,DATA!$G$4:$H$2000,2,FALSE),"")</f>
        <v>Бахдамдэмбэрэл</v>
      </c>
      <c r="N843" s="630"/>
      <c r="O843" s="80" t="str">
        <f>IFERROR(VLOOKUP(N843,DATA!$K$4:$L$51,2,FALSE),"")</f>
        <v/>
      </c>
      <c r="P843" s="80">
        <f t="shared" si="68"/>
        <v>0</v>
      </c>
      <c r="Q843" s="154">
        <f t="shared" si="69"/>
        <v>0</v>
      </c>
    </row>
    <row r="844" spans="2:17">
      <c r="B844" s="627">
        <f t="shared" si="70"/>
        <v>839</v>
      </c>
      <c r="C844" s="429">
        <v>43281</v>
      </c>
      <c r="D844" s="815" t="s">
        <v>2631</v>
      </c>
      <c r="E844" s="630">
        <v>140401</v>
      </c>
      <c r="F844" s="629" t="str">
        <f>IFERROR(VLOOKUP(E844,STAT1!$C$4:$D$1000,2,FALSE),"")</f>
        <v>ҮНЗардал БОЛОВСРУУЛАХ ЦЕХ /нарс/</v>
      </c>
      <c r="G844" s="376">
        <f>4488630.14-314174.02-93883.26</f>
        <v>4080572.86</v>
      </c>
      <c r="H844" s="376"/>
      <c r="I844" s="580">
        <f t="shared" si="67"/>
        <v>0</v>
      </c>
      <c r="J844" s="961">
        <f t="shared" si="71"/>
        <v>0</v>
      </c>
      <c r="K844" s="80"/>
      <c r="L844" s="630">
        <v>1003</v>
      </c>
      <c r="M844" s="80" t="str">
        <f>+IFERROR(VLOOKUP(L844,DATA!$G$4:$H$2000,2,FALSE),"")</f>
        <v>Бахдамдэмбэрэл</v>
      </c>
      <c r="N844" s="630"/>
      <c r="O844" s="80" t="str">
        <f>IFERROR(VLOOKUP(N844,DATA!$K$4:$L$51,2,FALSE),"")</f>
        <v/>
      </c>
      <c r="P844" s="80">
        <f t="shared" si="68"/>
        <v>0</v>
      </c>
      <c r="Q844" s="154">
        <f t="shared" si="69"/>
        <v>0</v>
      </c>
    </row>
    <row r="845" spans="2:17">
      <c r="B845" s="627">
        <f t="shared" si="70"/>
        <v>840</v>
      </c>
      <c r="C845" s="582">
        <v>43281</v>
      </c>
      <c r="D845" s="815" t="s">
        <v>2636</v>
      </c>
      <c r="E845" s="630">
        <v>700700</v>
      </c>
      <c r="F845" s="629" t="str">
        <f>IFERROR(VLOOKUP(E845,STAT1!$C$4:$D$1000,2,FALSE),"")</f>
        <v>Цахилгаан эрчим хүч</v>
      </c>
      <c r="G845" s="376"/>
      <c r="H845" s="376">
        <v>5802119.2999999998</v>
      </c>
      <c r="I845" s="580">
        <f t="shared" si="67"/>
        <v>0</v>
      </c>
      <c r="J845" s="961">
        <f t="shared" si="71"/>
        <v>0</v>
      </c>
      <c r="K845" s="80"/>
      <c r="L845" s="630">
        <v>1004</v>
      </c>
      <c r="M845" s="80" t="str">
        <f>+IFERROR(VLOOKUP(L845,DATA!$G$4:$H$2000,2,FALSE),"")</f>
        <v xml:space="preserve">Түмэндэлгэр </v>
      </c>
      <c r="N845" s="630"/>
      <c r="O845" s="80" t="str">
        <f>IFERROR(VLOOKUP(N845,DATA!$K$4:$L$51,2,FALSE),"")</f>
        <v/>
      </c>
      <c r="P845" s="80">
        <f t="shared" si="68"/>
        <v>0</v>
      </c>
      <c r="Q845" s="154">
        <f t="shared" si="69"/>
        <v>0</v>
      </c>
    </row>
    <row r="846" spans="2:17">
      <c r="B846" s="627">
        <f t="shared" si="70"/>
        <v>841</v>
      </c>
      <c r="C846" s="582">
        <v>43281</v>
      </c>
      <c r="D846" s="815" t="s">
        <v>2636</v>
      </c>
      <c r="E846" s="630">
        <v>700800</v>
      </c>
      <c r="F846" s="629" t="str">
        <f>IFERROR(VLOOKUP(E846,STAT1!$C$4:$D$1000,2,FALSE),"")</f>
        <v>Дулаан</v>
      </c>
      <c r="G846" s="376"/>
      <c r="H846" s="376">
        <v>3064870.12</v>
      </c>
      <c r="I846" s="580">
        <f t="shared" si="67"/>
        <v>0</v>
      </c>
      <c r="J846" s="961">
        <f t="shared" si="71"/>
        <v>0</v>
      </c>
      <c r="K846" s="80"/>
      <c r="L846" s="630">
        <v>1004</v>
      </c>
      <c r="M846" s="80" t="str">
        <f>+IFERROR(VLOOKUP(L846,DATA!$G$4:$H$2000,2,FALSE),"")</f>
        <v xml:space="preserve">Түмэндэлгэр </v>
      </c>
      <c r="N846" s="630"/>
      <c r="O846" s="80" t="str">
        <f>IFERROR(VLOOKUP(N846,DATA!$K$4:$L$51,2,FALSE),"")</f>
        <v/>
      </c>
      <c r="P846" s="80">
        <f t="shared" si="68"/>
        <v>0</v>
      </c>
      <c r="Q846" s="154">
        <f t="shared" si="69"/>
        <v>0</v>
      </c>
    </row>
    <row r="847" spans="2:17">
      <c r="B847" s="627">
        <f t="shared" si="70"/>
        <v>842</v>
      </c>
      <c r="C847" s="582">
        <v>43281</v>
      </c>
      <c r="D847" s="815" t="s">
        <v>2636</v>
      </c>
      <c r="E847" s="630">
        <v>701600</v>
      </c>
      <c r="F847" s="629" t="str">
        <f>IFERROR(VLOOKUP(E847,STAT1!$C$4:$D$1000,2,FALSE),"")</f>
        <v>Элэгдэл, хорогдлын зардал</v>
      </c>
      <c r="G847" s="376"/>
      <c r="H847" s="376">
        <v>23327447.300000001</v>
      </c>
      <c r="I847" s="580">
        <f t="shared" ref="I847:I910" si="72">+IF(OR(E847=100100,E847=100200,E847=110100,E847=110102,E847=110103,E847=110104,E847=110105,E847=110200,E847=110201,E847=110202,E847=110203,E847=110204,E847=110300),G847,0)+IF(OR(E847=100100,E847=100200,E847=110100,E847=110102,E847=110103,E847=110104,E847=110105,E847=110200,E847=110201,E847=110202,E847=110203,E847=110204,E847=110300),H847*-1,0)</f>
        <v>0</v>
      </c>
      <c r="J847" s="961">
        <f t="shared" si="71"/>
        <v>0</v>
      </c>
      <c r="K847" s="80"/>
      <c r="L847" s="630">
        <v>1004</v>
      </c>
      <c r="M847" s="80" t="str">
        <f>+IFERROR(VLOOKUP(L847,DATA!$G$4:$H$2000,2,FALSE),"")</f>
        <v xml:space="preserve">Түмэндэлгэр </v>
      </c>
      <c r="N847" s="630"/>
      <c r="O847" s="80" t="str">
        <f>IFERROR(VLOOKUP(N847,DATA!$K$4:$L$51,2,FALSE),"")</f>
        <v/>
      </c>
      <c r="P847" s="80">
        <f t="shared" si="68"/>
        <v>0</v>
      </c>
      <c r="Q847" s="154">
        <f t="shared" si="69"/>
        <v>0</v>
      </c>
    </row>
    <row r="848" spans="2:17">
      <c r="B848" s="627">
        <f t="shared" si="70"/>
        <v>843</v>
      </c>
      <c r="C848" s="582">
        <v>43281</v>
      </c>
      <c r="D848" s="815" t="s">
        <v>2636</v>
      </c>
      <c r="E848" s="630">
        <v>140401</v>
      </c>
      <c r="F848" s="629" t="str">
        <f>IFERROR(VLOOKUP(E848,STAT1!$C$4:$D$1000,2,FALSE),"")</f>
        <v>ҮНЗардал БОЛОВСРУУЛАХ ЦЕХ /нарс/</v>
      </c>
      <c r="G848" s="376">
        <f>+H847+H846+H845</f>
        <v>32194436.720000003</v>
      </c>
      <c r="H848" s="376"/>
      <c r="I848" s="580">
        <f t="shared" si="72"/>
        <v>0</v>
      </c>
      <c r="J848" s="961">
        <f t="shared" si="71"/>
        <v>0</v>
      </c>
      <c r="K848" s="80"/>
      <c r="L848" s="630">
        <v>1004</v>
      </c>
      <c r="M848" s="80" t="str">
        <f>+IFERROR(VLOOKUP(L848,DATA!$G$4:$H$2000,2,FALSE),"")</f>
        <v xml:space="preserve">Түмэндэлгэр </v>
      </c>
      <c r="N848" s="630"/>
      <c r="O848" s="80" t="str">
        <f>IFERROR(VLOOKUP(N848,DATA!$K$4:$L$51,2,FALSE),"")</f>
        <v/>
      </c>
      <c r="P848" s="80">
        <f t="shared" si="68"/>
        <v>0</v>
      </c>
      <c r="Q848" s="154">
        <f t="shared" si="69"/>
        <v>0</v>
      </c>
    </row>
    <row r="849" spans="2:17">
      <c r="B849" s="627">
        <f t="shared" si="70"/>
        <v>844</v>
      </c>
      <c r="C849" s="582">
        <v>43281</v>
      </c>
      <c r="D849" s="815" t="s">
        <v>2639</v>
      </c>
      <c r="E849" s="630">
        <v>700100</v>
      </c>
      <c r="F849" s="629" t="str">
        <f>IFERROR(VLOOKUP(E849,STAT1!$C$4:$D$1000,2,FALSE),"")</f>
        <v>Цалин хөлс, шагнал</v>
      </c>
      <c r="G849" s="376"/>
      <c r="H849" s="376">
        <v>22037774.559999999</v>
      </c>
      <c r="I849" s="580">
        <f t="shared" si="72"/>
        <v>0</v>
      </c>
      <c r="J849" s="961">
        <f t="shared" si="71"/>
        <v>0</v>
      </c>
      <c r="K849" s="80"/>
      <c r="L849" s="630">
        <v>1004</v>
      </c>
      <c r="M849" s="80" t="str">
        <f>+IFERROR(VLOOKUP(L849,DATA!$G$4:$H$2000,2,FALSE),"")</f>
        <v xml:space="preserve">Түмэндэлгэр </v>
      </c>
      <c r="N849" s="630"/>
      <c r="O849" s="80" t="str">
        <f>IFERROR(VLOOKUP(N849,DATA!$K$4:$L$51,2,FALSE),"")</f>
        <v/>
      </c>
      <c r="P849" s="80">
        <f t="shared" si="68"/>
        <v>0</v>
      </c>
      <c r="Q849" s="154">
        <f t="shared" si="69"/>
        <v>0</v>
      </c>
    </row>
    <row r="850" spans="2:17">
      <c r="B850" s="627">
        <f t="shared" si="70"/>
        <v>845</v>
      </c>
      <c r="C850" s="582">
        <v>43281</v>
      </c>
      <c r="D850" s="815" t="s">
        <v>2639</v>
      </c>
      <c r="E850" s="630">
        <v>700200</v>
      </c>
      <c r="F850" s="629" t="str">
        <f>IFERROR(VLOOKUP(E850,STAT1!$C$4:$D$1000,2,FALSE),"")</f>
        <v>НДШимтгэл</v>
      </c>
      <c r="G850" s="376"/>
      <c r="H850" s="376">
        <v>2871030.11</v>
      </c>
      <c r="I850" s="580">
        <f t="shared" si="72"/>
        <v>0</v>
      </c>
      <c r="J850" s="961">
        <f t="shared" si="71"/>
        <v>0</v>
      </c>
      <c r="K850" s="80"/>
      <c r="L850" s="630">
        <v>1004</v>
      </c>
      <c r="M850" s="80" t="str">
        <f>+IFERROR(VLOOKUP(L850,DATA!$G$4:$H$2000,2,FALSE),"")</f>
        <v xml:space="preserve">Түмэндэлгэр </v>
      </c>
      <c r="N850" s="630"/>
      <c r="O850" s="80" t="str">
        <f>IFERROR(VLOOKUP(N850,DATA!$K$4:$L$51,2,FALSE),"")</f>
        <v/>
      </c>
      <c r="P850" s="80">
        <f t="shared" si="68"/>
        <v>0</v>
      </c>
      <c r="Q850" s="154">
        <f t="shared" si="69"/>
        <v>0</v>
      </c>
    </row>
    <row r="851" spans="2:17">
      <c r="B851" s="627">
        <f t="shared" si="70"/>
        <v>846</v>
      </c>
      <c r="C851" s="582">
        <v>43281</v>
      </c>
      <c r="D851" s="815" t="s">
        <v>2639</v>
      </c>
      <c r="E851" s="630">
        <v>140301</v>
      </c>
      <c r="F851" s="629" t="str">
        <f>IFERROR(VLOOKUP(E851,STAT1!$C$4:$D$8000,2,FALSE),"")</f>
        <v>ШХЗрдал БОЛОВСРУУЛАХ ЦЕХ /нарс/</v>
      </c>
      <c r="G851" s="376">
        <v>24908804.669999998</v>
      </c>
      <c r="H851" s="376"/>
      <c r="I851" s="580">
        <f t="shared" si="72"/>
        <v>0</v>
      </c>
      <c r="J851" s="961">
        <f t="shared" si="71"/>
        <v>0</v>
      </c>
      <c r="K851" s="80"/>
      <c r="L851" s="630">
        <v>1004</v>
      </c>
      <c r="M851" s="80" t="str">
        <f>+IFERROR(VLOOKUP(L851,DATA!$G$4:$H$2000,2,FALSE),"")</f>
        <v xml:space="preserve">Түмэндэлгэр </v>
      </c>
      <c r="N851" s="630"/>
      <c r="O851" s="80" t="str">
        <f>IFERROR(VLOOKUP(N851,DATA!$K$4:$L$51,2,FALSE),"")</f>
        <v/>
      </c>
      <c r="P851" s="80">
        <f t="shared" si="68"/>
        <v>0</v>
      </c>
      <c r="Q851" s="154">
        <f t="shared" si="69"/>
        <v>0</v>
      </c>
    </row>
    <row r="852" spans="2:17">
      <c r="B852" s="627">
        <f t="shared" si="70"/>
        <v>847</v>
      </c>
      <c r="C852" s="582">
        <v>43281</v>
      </c>
      <c r="D852" s="815" t="s">
        <v>2637</v>
      </c>
      <c r="E852" s="630">
        <v>140401</v>
      </c>
      <c r="F852" s="629" t="str">
        <f>IFERROR(VLOOKUP(E852,STAT1!$C$4:$D$8000,2,FALSE),"")</f>
        <v>ҮНЗардал БОЛОВСРУУЛАХ ЦЕХ /нарс/</v>
      </c>
      <c r="G852" s="376"/>
      <c r="H852" s="376">
        <v>36420464.120000005</v>
      </c>
      <c r="I852" s="580">
        <f t="shared" si="72"/>
        <v>0</v>
      </c>
      <c r="J852" s="961">
        <f t="shared" si="71"/>
        <v>0</v>
      </c>
      <c r="K852" s="80"/>
      <c r="L852" s="630">
        <v>1004</v>
      </c>
      <c r="M852" s="80" t="str">
        <f>+IFERROR(VLOOKUP(L852,DATA!$G$4:$H$2000,2,FALSE),"")</f>
        <v xml:space="preserve">Түмэндэлгэр </v>
      </c>
      <c r="N852" s="630"/>
      <c r="O852" s="80" t="str">
        <f>IFERROR(VLOOKUP(N852,DATA!$K$4:$L$51,2,FALSE),"")</f>
        <v/>
      </c>
      <c r="P852" s="80">
        <f t="shared" si="68"/>
        <v>0</v>
      </c>
      <c r="Q852" s="154">
        <f t="shared" si="69"/>
        <v>0</v>
      </c>
    </row>
    <row r="853" spans="2:17">
      <c r="B853" s="627">
        <f t="shared" si="70"/>
        <v>848</v>
      </c>
      <c r="C853" s="582">
        <v>43281</v>
      </c>
      <c r="D853" s="815" t="s">
        <v>2637</v>
      </c>
      <c r="E853" s="630">
        <v>140301</v>
      </c>
      <c r="F853" s="629" t="str">
        <f>IFERROR(VLOOKUP(E853,STAT1!$C$4:$D$8000,2,FALSE),"")</f>
        <v>ШХЗрдал БОЛОВСРУУЛАХ ЦЕХ /нарс/</v>
      </c>
      <c r="G853" s="376"/>
      <c r="H853" s="376">
        <v>24908804.669999998</v>
      </c>
      <c r="I853" s="580">
        <f t="shared" si="72"/>
        <v>0</v>
      </c>
      <c r="J853" s="961">
        <f t="shared" si="71"/>
        <v>0</v>
      </c>
      <c r="K853" s="80"/>
      <c r="L853" s="630">
        <v>1004</v>
      </c>
      <c r="M853" s="80" t="str">
        <f>+IFERROR(VLOOKUP(L853,DATA!$G$4:$H$2000,2,FALSE),"")</f>
        <v xml:space="preserve">Түмэндэлгэр </v>
      </c>
      <c r="N853" s="630"/>
      <c r="O853" s="80" t="str">
        <f>IFERROR(VLOOKUP(N853,DATA!$K$4:$L$51,2,FALSE),"")</f>
        <v/>
      </c>
      <c r="P853" s="80">
        <f t="shared" si="68"/>
        <v>0</v>
      </c>
      <c r="Q853" s="154">
        <f t="shared" si="69"/>
        <v>0</v>
      </c>
    </row>
    <row r="854" spans="2:17">
      <c r="B854" s="627">
        <f t="shared" si="70"/>
        <v>849</v>
      </c>
      <c r="C854" s="582">
        <v>43281</v>
      </c>
      <c r="D854" s="815" t="s">
        <v>2637</v>
      </c>
      <c r="E854" s="630">
        <v>140201</v>
      </c>
      <c r="F854" s="629" t="str">
        <f>IFERROR(VLOOKUP(E854,STAT1!$C$4:$D$8000,2,FALSE),"")</f>
        <v>ШМЗардал БОЛОВСРУУЛАХ ЦЕХ /нарс/</v>
      </c>
      <c r="G854" s="376"/>
      <c r="H854" s="376">
        <v>77955155.189999998</v>
      </c>
      <c r="I854" s="580">
        <f t="shared" si="72"/>
        <v>0</v>
      </c>
      <c r="J854" s="961">
        <f t="shared" si="71"/>
        <v>0</v>
      </c>
      <c r="K854" s="80"/>
      <c r="L854" s="630">
        <v>1004</v>
      </c>
      <c r="M854" s="80" t="str">
        <f>+IFERROR(VLOOKUP(L854,DATA!$G$4:$H$2000,2,FALSE),"")</f>
        <v xml:space="preserve">Түмэндэлгэр </v>
      </c>
      <c r="N854" s="630"/>
      <c r="O854" s="80" t="str">
        <f>IFERROR(VLOOKUP(N854,DATA!$K$4:$L$51,2,FALSE),"")</f>
        <v/>
      </c>
      <c r="P854" s="80">
        <f t="shared" si="68"/>
        <v>0</v>
      </c>
      <c r="Q854" s="154">
        <f t="shared" si="69"/>
        <v>0</v>
      </c>
    </row>
    <row r="855" spans="2:17">
      <c r="B855" s="627">
        <f t="shared" si="70"/>
        <v>850</v>
      </c>
      <c r="C855" s="429">
        <v>43281</v>
      </c>
      <c r="D855" s="815" t="s">
        <v>2637</v>
      </c>
      <c r="E855" s="807">
        <v>140501</v>
      </c>
      <c r="F855" s="629" t="str">
        <f>IFERROR(VLOOKUP(E855,STAT1!$C$4:$D$1000,2,FALSE),"")</f>
        <v>Нэгтгэл зардал БОЛОВСРУУЛАХ ЦЕХ /нарс/</v>
      </c>
      <c r="G855" s="811">
        <v>139284423.98000002</v>
      </c>
      <c r="H855" s="811"/>
      <c r="I855" s="580">
        <f t="shared" si="72"/>
        <v>0</v>
      </c>
      <c r="J855" s="961">
        <f t="shared" si="71"/>
        <v>0</v>
      </c>
      <c r="K855" s="80"/>
      <c r="L855" s="630">
        <v>1004</v>
      </c>
      <c r="M855" s="80" t="str">
        <f>+IFERROR(VLOOKUP(L855,DATA!$G$4:$H$2000,2,FALSE),"")</f>
        <v xml:space="preserve">Түмэндэлгэр </v>
      </c>
      <c r="N855" s="807"/>
      <c r="O855" s="80" t="str">
        <f>IFERROR(VLOOKUP(N855,DATA!$K$4:$L$51,2,FALSE),"")</f>
        <v/>
      </c>
      <c r="P855" s="80">
        <f t="shared" si="68"/>
        <v>0</v>
      </c>
      <c r="Q855" s="154">
        <f t="shared" si="69"/>
        <v>0</v>
      </c>
    </row>
    <row r="856" spans="2:17">
      <c r="B856" s="627">
        <f t="shared" si="70"/>
        <v>851</v>
      </c>
      <c r="C856" s="582">
        <v>43281</v>
      </c>
      <c r="D856" s="816" t="s">
        <v>2549</v>
      </c>
      <c r="E856" s="630">
        <v>150101</v>
      </c>
      <c r="F856" s="629" t="str">
        <f>IFERROR(VLOOKUP(E856,STAT1!$C$4:$D$1000,2,FALSE),"")</f>
        <v>Бараа бэлэн бүтээгдэхүүн БОЛОВСРУУЛАХ ЦЕХ /нарс/</v>
      </c>
      <c r="G856" s="376"/>
      <c r="H856" s="376">
        <v>1292879.2</v>
      </c>
      <c r="I856" s="580">
        <f t="shared" si="72"/>
        <v>0</v>
      </c>
      <c r="J856" s="961">
        <f t="shared" si="71"/>
        <v>0</v>
      </c>
      <c r="K856" s="80"/>
      <c r="L856" s="630">
        <v>3116</v>
      </c>
      <c r="M856" s="80" t="str">
        <f>+IFERROR(VLOOKUP(L856,DATA!$G$4:$H$2000,2,FALSE),"")</f>
        <v xml:space="preserve">ЮМИКА ХХК </v>
      </c>
      <c r="N856" s="630"/>
      <c r="O856" s="80" t="str">
        <f>IFERROR(VLOOKUP(N856,DATA!$K$4:$L$51,2,FALSE),"")</f>
        <v/>
      </c>
      <c r="P856" s="80">
        <f t="shared" si="68"/>
        <v>0</v>
      </c>
      <c r="Q856" s="154">
        <f t="shared" si="69"/>
        <v>0</v>
      </c>
    </row>
    <row r="857" spans="2:17">
      <c r="B857" s="627">
        <f t="shared" si="70"/>
        <v>852</v>
      </c>
      <c r="C857" s="582">
        <v>43281</v>
      </c>
      <c r="D857" s="816" t="s">
        <v>2549</v>
      </c>
      <c r="E857" s="630">
        <v>610100</v>
      </c>
      <c r="F857" s="629" t="str">
        <f>IFERROR(VLOOKUP(E857,STAT1!$C$4:$D$1000,2,FALSE),"")</f>
        <v>Борлуулсан барааны өртөг</v>
      </c>
      <c r="G857" s="376">
        <v>1292879.2</v>
      </c>
      <c r="H857" s="376"/>
      <c r="I857" s="580">
        <f t="shared" si="72"/>
        <v>0</v>
      </c>
      <c r="J857" s="961">
        <f t="shared" si="71"/>
        <v>0</v>
      </c>
      <c r="K857" s="80"/>
      <c r="L857" s="630">
        <v>3116</v>
      </c>
      <c r="M857" s="80" t="str">
        <f>+IFERROR(VLOOKUP(L857,DATA!$G$4:$H$2000,2,FALSE),"")</f>
        <v xml:space="preserve">ЮМИКА ХХК </v>
      </c>
      <c r="N857" s="630"/>
      <c r="O857" s="80" t="str">
        <f>IFERROR(VLOOKUP(N857,DATA!$K$4:$L$51,2,FALSE),"")</f>
        <v/>
      </c>
      <c r="P857" s="80">
        <f t="shared" si="68"/>
        <v>0</v>
      </c>
      <c r="Q857" s="154">
        <f t="shared" si="69"/>
        <v>0</v>
      </c>
    </row>
    <row r="858" spans="2:17">
      <c r="B858" s="627">
        <f t="shared" si="70"/>
        <v>853</v>
      </c>
      <c r="C858" s="582">
        <v>43281</v>
      </c>
      <c r="D858" s="816" t="s">
        <v>2549</v>
      </c>
      <c r="E858" s="630">
        <v>310500</v>
      </c>
      <c r="F858" s="629" t="str">
        <f>IFERROR(VLOOKUP(E858,STAT1!$C$4:$D$1000,2,FALSE),"")</f>
        <v>НӨАТ өглөг</v>
      </c>
      <c r="G858" s="376"/>
      <c r="H858" s="376">
        <v>131200</v>
      </c>
      <c r="I858" s="580">
        <f t="shared" si="72"/>
        <v>0</v>
      </c>
      <c r="J858" s="961">
        <f t="shared" si="71"/>
        <v>0</v>
      </c>
      <c r="K858" s="80"/>
      <c r="L858" s="630">
        <v>3116</v>
      </c>
      <c r="M858" s="80" t="str">
        <f>+IFERROR(VLOOKUP(L858,DATA!$G$4:$H$2000,2,FALSE),"")</f>
        <v xml:space="preserve">ЮМИКА ХХК </v>
      </c>
      <c r="N858" s="630"/>
      <c r="O858" s="80" t="str">
        <f>IFERROR(VLOOKUP(N858,DATA!$K$4:$L$51,2,FALSE),"")</f>
        <v/>
      </c>
      <c r="P858" s="80">
        <f t="shared" si="68"/>
        <v>0</v>
      </c>
      <c r="Q858" s="154">
        <f t="shared" si="69"/>
        <v>0</v>
      </c>
    </row>
    <row r="859" spans="2:17">
      <c r="B859" s="627">
        <f t="shared" si="70"/>
        <v>854</v>
      </c>
      <c r="C859" s="582">
        <v>43281</v>
      </c>
      <c r="D859" s="816" t="s">
        <v>2549</v>
      </c>
      <c r="E859" s="630">
        <v>510000</v>
      </c>
      <c r="F859" s="629" t="str">
        <f>IFERROR(VLOOKUP(E859,STAT1!$C$4:$D$1000,2,FALSE),"")</f>
        <v>Үндсэн үйл ажиллагааны борлуулалт</v>
      </c>
      <c r="G859" s="376"/>
      <c r="H859" s="376">
        <v>1312000</v>
      </c>
      <c r="I859" s="580">
        <f t="shared" si="72"/>
        <v>0</v>
      </c>
      <c r="J859" s="961">
        <f t="shared" si="71"/>
        <v>0</v>
      </c>
      <c r="K859" s="80"/>
      <c r="L859" s="630">
        <v>3116</v>
      </c>
      <c r="M859" s="80" t="str">
        <f>+IFERROR(VLOOKUP(L859,DATA!$G$4:$H$2000,2,FALSE),"")</f>
        <v xml:space="preserve">ЮМИКА ХХК </v>
      </c>
      <c r="N859" s="630"/>
      <c r="O859" s="80" t="str">
        <f>IFERROR(VLOOKUP(N859,DATA!$K$4:$L$51,2,FALSE),"")</f>
        <v/>
      </c>
      <c r="P859" s="80">
        <f t="shared" si="68"/>
        <v>0</v>
      </c>
      <c r="Q859" s="154">
        <f t="shared" si="69"/>
        <v>0</v>
      </c>
    </row>
    <row r="860" spans="2:17">
      <c r="B860" s="627">
        <f t="shared" si="70"/>
        <v>855</v>
      </c>
      <c r="C860" s="429">
        <v>43281</v>
      </c>
      <c r="D860" s="816" t="s">
        <v>2549</v>
      </c>
      <c r="E860" s="807">
        <v>320100</v>
      </c>
      <c r="F860" s="629" t="str">
        <f>IFERROR(VLOOKUP(E860,STAT1!$C$4:$D$1000,2,FALSE),"")</f>
        <v>Урьдчилж орсон орлого MNT</v>
      </c>
      <c r="G860" s="811">
        <v>1443200</v>
      </c>
      <c r="H860" s="811"/>
      <c r="I860" s="580">
        <f t="shared" si="72"/>
        <v>0</v>
      </c>
      <c r="J860" s="961">
        <f t="shared" si="71"/>
        <v>0</v>
      </c>
      <c r="K860" s="80"/>
      <c r="L860" s="807">
        <v>3116</v>
      </c>
      <c r="M860" s="80" t="str">
        <f>+IFERROR(VLOOKUP(L860,DATA!$G$4:$H$2000,2,FALSE),"")</f>
        <v xml:space="preserve">ЮМИКА ХХК </v>
      </c>
      <c r="N860" s="807"/>
      <c r="O860" s="80" t="str">
        <f>IFERROR(VLOOKUP(N860,DATA!$K$4:$L$51,2,FALSE),"")</f>
        <v/>
      </c>
      <c r="P860" s="80">
        <f t="shared" si="68"/>
        <v>0</v>
      </c>
      <c r="Q860" s="154">
        <f t="shared" si="69"/>
        <v>0</v>
      </c>
    </row>
    <row r="861" spans="2:17">
      <c r="B861" s="627">
        <f t="shared" si="70"/>
        <v>856</v>
      </c>
      <c r="C861" s="429">
        <v>43281</v>
      </c>
      <c r="D861" s="816" t="s">
        <v>2549</v>
      </c>
      <c r="E861" s="807">
        <v>150101</v>
      </c>
      <c r="F861" s="629" t="str">
        <f>IFERROR(VLOOKUP(E861,STAT1!$C$4:$D$1000,2,FALSE),"")</f>
        <v>Бараа бэлэн бүтээгдэхүүн БОЛОВСРУУЛАХ ЦЕХ /нарс/</v>
      </c>
      <c r="G861" s="811"/>
      <c r="H861" s="811">
        <v>93342.99</v>
      </c>
      <c r="I861" s="580">
        <f t="shared" si="72"/>
        <v>0</v>
      </c>
      <c r="J861" s="961">
        <f t="shared" si="71"/>
        <v>0</v>
      </c>
      <c r="K861" s="80"/>
      <c r="L861" s="807">
        <v>4002</v>
      </c>
      <c r="M861" s="80" t="str">
        <f>+IFERROR(VLOOKUP(L861,DATA!$G$4:$H$2000,2,FALSE),"")</f>
        <v xml:space="preserve">Хувь хүн </v>
      </c>
      <c r="N861" s="807"/>
      <c r="O861" s="80"/>
      <c r="P861" s="80">
        <f t="shared" si="68"/>
        <v>0</v>
      </c>
      <c r="Q861" s="154">
        <f t="shared" si="69"/>
        <v>0</v>
      </c>
    </row>
    <row r="862" spans="2:17">
      <c r="B862" s="627">
        <f t="shared" si="70"/>
        <v>857</v>
      </c>
      <c r="C862" s="429">
        <v>43281</v>
      </c>
      <c r="D862" s="816" t="s">
        <v>2549</v>
      </c>
      <c r="E862" s="807">
        <v>610100</v>
      </c>
      <c r="F862" s="629" t="str">
        <f>IFERROR(VLOOKUP(E862,STAT1!$C$4:$D$1000,2,FALSE),"")</f>
        <v>Борлуулсан барааны өртөг</v>
      </c>
      <c r="G862" s="811">
        <v>93342.99</v>
      </c>
      <c r="H862" s="811"/>
      <c r="I862" s="580">
        <f t="shared" si="72"/>
        <v>0</v>
      </c>
      <c r="J862" s="961">
        <f t="shared" si="71"/>
        <v>0</v>
      </c>
      <c r="K862" s="80"/>
      <c r="L862" s="807">
        <v>4002</v>
      </c>
      <c r="M862" s="80" t="str">
        <f>+IFERROR(VLOOKUP(L862,DATA!$G$4:$H$2000,2,FALSE),"")</f>
        <v xml:space="preserve">Хувь хүн </v>
      </c>
      <c r="N862" s="807"/>
      <c r="O862" s="80" t="str">
        <f>IFERROR(VLOOKUP(N862,DATA!$K$4:$L$51,2,FALSE),"")</f>
        <v/>
      </c>
      <c r="P862" s="80">
        <f t="shared" si="68"/>
        <v>0</v>
      </c>
      <c r="Q862" s="154">
        <f t="shared" si="69"/>
        <v>0</v>
      </c>
    </row>
    <row r="863" spans="2:17">
      <c r="B863" s="627">
        <f t="shared" si="70"/>
        <v>858</v>
      </c>
      <c r="C863" s="429">
        <v>43281</v>
      </c>
      <c r="D863" s="816" t="s">
        <v>2549</v>
      </c>
      <c r="E863" s="807">
        <v>310500</v>
      </c>
      <c r="F863" s="629" t="str">
        <f>IFERROR(VLOOKUP(E863,STAT1!$C$4:$D$1000,2,FALSE),"")</f>
        <v>НӨАТ өглөг</v>
      </c>
      <c r="G863" s="811"/>
      <c r="H863" s="811">
        <v>19740.91</v>
      </c>
      <c r="I863" s="580">
        <f t="shared" si="72"/>
        <v>0</v>
      </c>
      <c r="J863" s="961">
        <f t="shared" si="71"/>
        <v>0</v>
      </c>
      <c r="K863" s="80"/>
      <c r="L863" s="807">
        <v>4002</v>
      </c>
      <c r="M863" s="80" t="str">
        <f>+IFERROR(VLOOKUP(L863,DATA!$G$4:$H$2000,2,FALSE),"")</f>
        <v xml:space="preserve">Хувь хүн </v>
      </c>
      <c r="N863" s="807"/>
      <c r="O863" s="80" t="str">
        <f>IFERROR(VLOOKUP(N863,DATA!$K$4:$L$51,2,FALSE),"")</f>
        <v/>
      </c>
      <c r="P863" s="80">
        <f t="shared" si="68"/>
        <v>0</v>
      </c>
      <c r="Q863" s="154">
        <f t="shared" si="69"/>
        <v>0</v>
      </c>
    </row>
    <row r="864" spans="2:17">
      <c r="B864" s="627">
        <f t="shared" si="70"/>
        <v>859</v>
      </c>
      <c r="C864" s="429">
        <v>43281</v>
      </c>
      <c r="D864" s="816" t="s">
        <v>2549</v>
      </c>
      <c r="E864" s="807">
        <v>510000</v>
      </c>
      <c r="F864" s="629" t="str">
        <f>IFERROR(VLOOKUP(E864,STAT1!$C$4:$D$1000,2,FALSE),"")</f>
        <v>Үндсэн үйл ажиллагааны борлуулалт</v>
      </c>
      <c r="G864" s="811"/>
      <c r="H864" s="811">
        <v>197409.09</v>
      </c>
      <c r="I864" s="580">
        <f t="shared" si="72"/>
        <v>0</v>
      </c>
      <c r="J864" s="961">
        <f t="shared" si="71"/>
        <v>0</v>
      </c>
      <c r="K864" s="80"/>
      <c r="L864" s="807">
        <v>4002</v>
      </c>
      <c r="M864" s="80" t="str">
        <f>+IFERROR(VLOOKUP(L864,DATA!$G$4:$H$2000,2,FALSE),"")</f>
        <v xml:space="preserve">Хувь хүн </v>
      </c>
      <c r="N864" s="807"/>
      <c r="O864" s="80" t="str">
        <f>IFERROR(VLOOKUP(N864,DATA!$K$4:$L$51,2,FALSE),"")</f>
        <v/>
      </c>
      <c r="P864" s="80">
        <f t="shared" si="68"/>
        <v>0</v>
      </c>
      <c r="Q864" s="154">
        <f t="shared" si="69"/>
        <v>0</v>
      </c>
    </row>
    <row r="865" spans="2:17">
      <c r="B865" s="627">
        <f t="shared" si="70"/>
        <v>860</v>
      </c>
      <c r="C865" s="429">
        <v>43281</v>
      </c>
      <c r="D865" s="816" t="s">
        <v>2549</v>
      </c>
      <c r="E865" s="807">
        <v>320100</v>
      </c>
      <c r="F865" s="629" t="str">
        <f>IFERROR(VLOOKUP(E865,STAT1!$C$4:$D$1000,2,FALSE),"")</f>
        <v>Урьдчилж орсон орлого MNT</v>
      </c>
      <c r="G865" s="811">
        <v>217150</v>
      </c>
      <c r="H865" s="811"/>
      <c r="I865" s="580">
        <f t="shared" si="72"/>
        <v>0</v>
      </c>
      <c r="J865" s="961">
        <f t="shared" si="71"/>
        <v>0</v>
      </c>
      <c r="K865" s="80"/>
      <c r="L865" s="807">
        <v>4002</v>
      </c>
      <c r="M865" s="80" t="str">
        <f>+IFERROR(VLOOKUP(L865,DATA!$G$4:$H$2000,2,FALSE),"")</f>
        <v xml:space="preserve">Хувь хүн </v>
      </c>
      <c r="N865" s="807"/>
      <c r="O865" s="80" t="str">
        <f>IFERROR(VLOOKUP(N865,DATA!$K$4:$L$51,2,FALSE),"")</f>
        <v/>
      </c>
      <c r="P865" s="80">
        <f t="shared" si="68"/>
        <v>0</v>
      </c>
      <c r="Q865" s="154">
        <f t="shared" si="69"/>
        <v>0</v>
      </c>
    </row>
    <row r="866" spans="2:17">
      <c r="B866" s="627">
        <f t="shared" si="70"/>
        <v>861</v>
      </c>
      <c r="C866" s="429">
        <v>43281</v>
      </c>
      <c r="D866" s="816" t="s">
        <v>2549</v>
      </c>
      <c r="E866" s="807">
        <v>150101</v>
      </c>
      <c r="F866" s="629" t="str">
        <f>IFERROR(VLOOKUP(E866,STAT1!$C$4:$D$1000,2,FALSE),"")</f>
        <v>Бараа бэлэн бүтээгдэхүүн БОЛОВСРУУЛАХ ЦЕХ /нарс/</v>
      </c>
      <c r="G866" s="811"/>
      <c r="H866" s="811">
        <v>1395363.52</v>
      </c>
      <c r="I866" s="580">
        <f t="shared" si="72"/>
        <v>0</v>
      </c>
      <c r="J866" s="961">
        <f t="shared" si="71"/>
        <v>0</v>
      </c>
      <c r="K866" s="80"/>
      <c r="L866" s="807">
        <v>4001</v>
      </c>
      <c r="M866" s="80" t="str">
        <f>+IFERROR(VLOOKUP(L866,DATA!$G$4:$H$2000,2,FALSE),"")</f>
        <v>Сайннямбуу</v>
      </c>
      <c r="N866" s="807"/>
      <c r="O866" s="80" t="str">
        <f>IFERROR(VLOOKUP(N866,DATA!$K$4:$L$51,2,FALSE),"")</f>
        <v/>
      </c>
      <c r="P866" s="80">
        <f t="shared" si="68"/>
        <v>0</v>
      </c>
      <c r="Q866" s="154">
        <f t="shared" si="69"/>
        <v>0</v>
      </c>
    </row>
    <row r="867" spans="2:17">
      <c r="B867" s="627">
        <f t="shared" si="70"/>
        <v>862</v>
      </c>
      <c r="C867" s="429">
        <v>43281</v>
      </c>
      <c r="D867" s="816" t="s">
        <v>2549</v>
      </c>
      <c r="E867" s="807">
        <v>610100</v>
      </c>
      <c r="F867" s="629" t="str">
        <f>IFERROR(VLOOKUP(E867,STAT1!$C$4:$D$1000,2,FALSE),"")</f>
        <v>Борлуулсан барааны өртөг</v>
      </c>
      <c r="G867" s="811">
        <v>1395363.52</v>
      </c>
      <c r="H867" s="811"/>
      <c r="I867" s="580">
        <f t="shared" si="72"/>
        <v>0</v>
      </c>
      <c r="J867" s="961">
        <f t="shared" si="71"/>
        <v>0</v>
      </c>
      <c r="K867" s="80"/>
      <c r="L867" s="807">
        <v>4001</v>
      </c>
      <c r="M867" s="80" t="str">
        <f>+IFERROR(VLOOKUP(L867,DATA!$G$4:$H$2000,2,FALSE),"")</f>
        <v>Сайннямбуу</v>
      </c>
      <c r="N867" s="807"/>
      <c r="O867" s="80" t="str">
        <f>IFERROR(VLOOKUP(N867,DATA!$K$4:$L$51,2,FALSE),"")</f>
        <v/>
      </c>
      <c r="P867" s="80">
        <f t="shared" si="68"/>
        <v>0</v>
      </c>
      <c r="Q867" s="154">
        <f t="shared" si="69"/>
        <v>0</v>
      </c>
    </row>
    <row r="868" spans="2:17">
      <c r="B868" s="627">
        <f t="shared" si="70"/>
        <v>863</v>
      </c>
      <c r="C868" s="429">
        <v>43281</v>
      </c>
      <c r="D868" s="816" t="s">
        <v>2549</v>
      </c>
      <c r="E868" s="807">
        <v>310500</v>
      </c>
      <c r="F868" s="629" t="str">
        <f>IFERROR(VLOOKUP(E868,STAT1!$C$4:$D$1000,2,FALSE),"")</f>
        <v>НӨАТ өглөг</v>
      </c>
      <c r="G868" s="811"/>
      <c r="H868" s="811">
        <v>141600</v>
      </c>
      <c r="I868" s="580">
        <f t="shared" si="72"/>
        <v>0</v>
      </c>
      <c r="J868" s="961">
        <f t="shared" si="71"/>
        <v>0</v>
      </c>
      <c r="K868" s="80"/>
      <c r="L868" s="807">
        <v>4001</v>
      </c>
      <c r="M868" s="80" t="str">
        <f>+IFERROR(VLOOKUP(L868,DATA!$G$4:$H$2000,2,FALSE),"")</f>
        <v>Сайннямбуу</v>
      </c>
      <c r="N868" s="807"/>
      <c r="O868" s="80" t="str">
        <f>IFERROR(VLOOKUP(N868,DATA!$K$4:$L$51,2,FALSE),"")</f>
        <v/>
      </c>
      <c r="P868" s="80">
        <f t="shared" si="68"/>
        <v>0</v>
      </c>
      <c r="Q868" s="154">
        <f t="shared" si="69"/>
        <v>0</v>
      </c>
    </row>
    <row r="869" spans="2:17">
      <c r="B869" s="627">
        <f t="shared" si="70"/>
        <v>864</v>
      </c>
      <c r="C869" s="429">
        <v>43281</v>
      </c>
      <c r="D869" s="816" t="s">
        <v>2549</v>
      </c>
      <c r="E869" s="807">
        <v>510000</v>
      </c>
      <c r="F869" s="629" t="str">
        <f>IFERROR(VLOOKUP(E869,STAT1!$C$4:$D$1000,2,FALSE),"")</f>
        <v>Үндсэн үйл ажиллагааны борлуулалт</v>
      </c>
      <c r="G869" s="811"/>
      <c r="H869" s="811">
        <v>1416000</v>
      </c>
      <c r="I869" s="580">
        <f t="shared" si="72"/>
        <v>0</v>
      </c>
      <c r="J869" s="961">
        <f t="shared" si="71"/>
        <v>0</v>
      </c>
      <c r="K869" s="80"/>
      <c r="L869" s="807">
        <v>4001</v>
      </c>
      <c r="M869" s="80" t="str">
        <f>+IFERROR(VLOOKUP(L869,DATA!$G$4:$H$2000,2,FALSE),"")</f>
        <v>Сайннямбуу</v>
      </c>
      <c r="N869" s="807"/>
      <c r="O869" s="80" t="str">
        <f>IFERROR(VLOOKUP(N869,DATA!$K$4:$L$51,2,FALSE),"")</f>
        <v/>
      </c>
      <c r="P869" s="80">
        <f t="shared" si="68"/>
        <v>0</v>
      </c>
      <c r="Q869" s="154">
        <f t="shared" si="69"/>
        <v>0</v>
      </c>
    </row>
    <row r="870" spans="2:17">
      <c r="B870" s="627">
        <f t="shared" si="70"/>
        <v>865</v>
      </c>
      <c r="C870" s="582">
        <v>43281</v>
      </c>
      <c r="D870" s="816" t="s">
        <v>2549</v>
      </c>
      <c r="E870" s="630">
        <v>320100</v>
      </c>
      <c r="F870" s="629" t="str">
        <f>IFERROR(VLOOKUP(E870,STAT1!$C$4:$D$1000,2,FALSE),"")</f>
        <v>Урьдчилж орсон орлого MNT</v>
      </c>
      <c r="G870" s="376">
        <v>1557600</v>
      </c>
      <c r="H870" s="376"/>
      <c r="I870" s="580">
        <f t="shared" si="72"/>
        <v>0</v>
      </c>
      <c r="J870" s="961">
        <f t="shared" si="71"/>
        <v>0</v>
      </c>
      <c r="K870" s="80"/>
      <c r="L870" s="630">
        <v>4001</v>
      </c>
      <c r="M870" s="80" t="str">
        <f>+IFERROR(VLOOKUP(L870,DATA!$G$4:$H$2000,2,FALSE),"")</f>
        <v>Сайннямбуу</v>
      </c>
      <c r="N870" s="630"/>
      <c r="O870" s="80" t="str">
        <f>IFERROR(VLOOKUP(N870,DATA!$K$4:$L$51,2,FALSE),"")</f>
        <v/>
      </c>
      <c r="P870" s="80">
        <f t="shared" si="68"/>
        <v>0</v>
      </c>
      <c r="Q870" s="154">
        <f t="shared" si="69"/>
        <v>0</v>
      </c>
    </row>
    <row r="871" spans="2:17">
      <c r="B871" s="627">
        <f t="shared" si="70"/>
        <v>866</v>
      </c>
      <c r="C871" s="582">
        <v>43281</v>
      </c>
      <c r="D871" s="815" t="s">
        <v>1571</v>
      </c>
      <c r="E871" s="630">
        <v>100100</v>
      </c>
      <c r="F871" s="629" t="str">
        <f>IFERROR(VLOOKUP(E871,STAT1!$C$4:$D$1000,2,FALSE),"")</f>
        <v>Касс мөнгө MNT</v>
      </c>
      <c r="G871" s="376">
        <v>431200</v>
      </c>
      <c r="H871" s="376"/>
      <c r="I871" s="580">
        <f t="shared" si="72"/>
        <v>431200</v>
      </c>
      <c r="J871" s="961">
        <f t="shared" si="71"/>
        <v>0</v>
      </c>
      <c r="K871" s="80"/>
      <c r="L871" s="630">
        <v>3007</v>
      </c>
      <c r="M871" s="80" t="str">
        <f>+IFERROR(VLOOKUP(L871,DATA!$G$4:$H$2000,2,FALSE),"")</f>
        <v xml:space="preserve">АЯНЧИН АУТФИТТЕРС ХХК </v>
      </c>
      <c r="N871" s="630">
        <v>41</v>
      </c>
      <c r="O871" s="80" t="str">
        <f>IFERROR(VLOOKUP(N871,DATA!$K$4:$L$51,2,FALSE),"")</f>
        <v>Бараа борлуулсан, үйлчилгээ үзүүлсэний орлого</v>
      </c>
      <c r="P871" s="80">
        <f t="shared" si="68"/>
        <v>1</v>
      </c>
      <c r="Q871" s="154">
        <f t="shared" si="69"/>
        <v>1</v>
      </c>
    </row>
    <row r="872" spans="2:17">
      <c r="B872" s="627">
        <f t="shared" si="70"/>
        <v>867</v>
      </c>
      <c r="C872" s="582">
        <v>43281</v>
      </c>
      <c r="D872" s="815" t="s">
        <v>1571</v>
      </c>
      <c r="E872" s="630">
        <v>320100</v>
      </c>
      <c r="F872" s="629" t="str">
        <f>IFERROR(VLOOKUP(E872,STAT1!$C$4:$D$1000,2,FALSE),"")</f>
        <v>Урьдчилж орсон орлого MNT</v>
      </c>
      <c r="G872" s="376"/>
      <c r="H872" s="376">
        <v>431200</v>
      </c>
      <c r="I872" s="580">
        <f t="shared" si="72"/>
        <v>0</v>
      </c>
      <c r="J872" s="961">
        <f t="shared" si="71"/>
        <v>0</v>
      </c>
      <c r="K872" s="80"/>
      <c r="L872" s="630">
        <v>3007</v>
      </c>
      <c r="M872" s="80" t="str">
        <f>+IFERROR(VLOOKUP(L872,DATA!$G$4:$H$2000,2,FALSE),"")</f>
        <v xml:space="preserve">АЯНЧИН АУТФИТТЕРС ХХК </v>
      </c>
      <c r="N872" s="630"/>
      <c r="O872" s="80" t="str">
        <f>IFERROR(VLOOKUP(N872,DATA!$K$4:$L$51,2,FALSE),"")</f>
        <v/>
      </c>
      <c r="P872" s="80">
        <f t="shared" si="68"/>
        <v>0</v>
      </c>
      <c r="Q872" s="154">
        <f t="shared" si="69"/>
        <v>0</v>
      </c>
    </row>
    <row r="873" spans="2:17">
      <c r="B873" s="627">
        <f t="shared" si="70"/>
        <v>868</v>
      </c>
      <c r="C873" s="582">
        <v>43281</v>
      </c>
      <c r="D873" s="815" t="s">
        <v>1571</v>
      </c>
      <c r="E873" s="630">
        <v>100100</v>
      </c>
      <c r="F873" s="629" t="str">
        <f>IFERROR(VLOOKUP(E873,STAT1!$C$4:$D$1000,2,FALSE),"")</f>
        <v>Касс мөнгө MNT</v>
      </c>
      <c r="G873" s="376">
        <v>816750</v>
      </c>
      <c r="H873" s="376"/>
      <c r="I873" s="580">
        <f t="shared" si="72"/>
        <v>816750</v>
      </c>
      <c r="J873" s="961">
        <f t="shared" si="71"/>
        <v>0</v>
      </c>
      <c r="K873" s="80"/>
      <c r="L873" s="630">
        <v>3021</v>
      </c>
      <c r="M873" s="80" t="str">
        <f>+IFERROR(VLOOKUP(L873,DATA!$G$4:$H$2000,2,FALSE),"")</f>
        <v>БАНДИА ХХК</v>
      </c>
      <c r="N873" s="630">
        <v>41</v>
      </c>
      <c r="O873" s="80" t="str">
        <f>IFERROR(VLOOKUP(N873,DATA!$K$4:$L$51,2,FALSE),"")</f>
        <v>Бараа борлуулсан, үйлчилгээ үзүүлсэний орлого</v>
      </c>
      <c r="P873" s="80">
        <f t="shared" si="68"/>
        <v>1</v>
      </c>
      <c r="Q873" s="154">
        <f t="shared" si="69"/>
        <v>1</v>
      </c>
    </row>
    <row r="874" spans="2:17">
      <c r="B874" s="627">
        <f t="shared" si="70"/>
        <v>869</v>
      </c>
      <c r="C874" s="582">
        <v>43281</v>
      </c>
      <c r="D874" s="815" t="s">
        <v>1571</v>
      </c>
      <c r="E874" s="630">
        <v>320100</v>
      </c>
      <c r="F874" s="629" t="str">
        <f>IFERROR(VLOOKUP(E874,STAT1!$C$4:$D$1000,2,FALSE),"")</f>
        <v>Урьдчилж орсон орлого MNT</v>
      </c>
      <c r="G874" s="376"/>
      <c r="H874" s="376">
        <v>816750</v>
      </c>
      <c r="I874" s="580">
        <f t="shared" si="72"/>
        <v>0</v>
      </c>
      <c r="J874" s="961">
        <f t="shared" si="71"/>
        <v>0</v>
      </c>
      <c r="K874" s="80"/>
      <c r="L874" s="630">
        <v>3021</v>
      </c>
      <c r="M874" s="80" t="str">
        <f>+IFERROR(VLOOKUP(L874,DATA!$G$4:$H$2000,2,FALSE),"")</f>
        <v>БАНДИА ХХК</v>
      </c>
      <c r="N874" s="630"/>
      <c r="O874" s="80" t="str">
        <f>IFERROR(VLOOKUP(N874,DATA!$K$4:$L$51,2,FALSE),"")</f>
        <v/>
      </c>
      <c r="P874" s="80">
        <f t="shared" si="68"/>
        <v>0</v>
      </c>
      <c r="Q874" s="154">
        <f t="shared" si="69"/>
        <v>0</v>
      </c>
    </row>
    <row r="875" spans="2:17">
      <c r="B875" s="627">
        <f t="shared" si="70"/>
        <v>870</v>
      </c>
      <c r="C875" s="582">
        <v>43281</v>
      </c>
      <c r="D875" s="815" t="s">
        <v>1571</v>
      </c>
      <c r="E875" s="630">
        <v>100100</v>
      </c>
      <c r="F875" s="629" t="str">
        <f>IFERROR(VLOOKUP(E875,STAT1!$C$4:$D$1000,2,FALSE),"")</f>
        <v>Касс мөнгө MNT</v>
      </c>
      <c r="G875" s="811">
        <v>901576</v>
      </c>
      <c r="H875" s="811"/>
      <c r="I875" s="580">
        <f t="shared" si="72"/>
        <v>901576</v>
      </c>
      <c r="J875" s="961">
        <f t="shared" si="71"/>
        <v>0</v>
      </c>
      <c r="K875" s="80"/>
      <c r="L875" s="807">
        <v>3039</v>
      </c>
      <c r="M875" s="80" t="str">
        <f>+IFERROR(VLOOKUP(L875,DATA!$G$4:$H$2000,2,FALSE),"")</f>
        <v xml:space="preserve">САССИР ХХК </v>
      </c>
      <c r="N875" s="630">
        <v>41</v>
      </c>
      <c r="O875" s="80" t="str">
        <f>IFERROR(VLOOKUP(N875,DATA!$K$4:$L$51,2,FALSE),"")</f>
        <v>Бараа борлуулсан, үйлчилгээ үзүүлсэний орлого</v>
      </c>
      <c r="P875" s="80">
        <f t="shared" ref="P875:P938" si="73">+IF(I875,1,0)</f>
        <v>1</v>
      </c>
      <c r="Q875" s="154">
        <f t="shared" ref="Q875:Q938" si="74">+IF(I875,1,0)</f>
        <v>1</v>
      </c>
    </row>
    <row r="876" spans="2:17">
      <c r="B876" s="627">
        <f t="shared" si="70"/>
        <v>871</v>
      </c>
      <c r="C876" s="582">
        <v>43281</v>
      </c>
      <c r="D876" s="815" t="s">
        <v>1571</v>
      </c>
      <c r="E876" s="630">
        <v>320100</v>
      </c>
      <c r="F876" s="629" t="str">
        <f>IFERROR(VLOOKUP(E876,STAT1!$C$4:$D$1000,2,FALSE),"")</f>
        <v>Урьдчилж орсон орлого MNT</v>
      </c>
      <c r="G876" s="811"/>
      <c r="H876" s="811">
        <v>901576</v>
      </c>
      <c r="I876" s="580">
        <f t="shared" si="72"/>
        <v>0</v>
      </c>
      <c r="J876" s="961">
        <f t="shared" si="71"/>
        <v>0</v>
      </c>
      <c r="K876" s="80"/>
      <c r="L876" s="807">
        <v>3039</v>
      </c>
      <c r="M876" s="80" t="str">
        <f>+IFERROR(VLOOKUP(L876,DATA!$G$4:$H$2000,2,FALSE),"")</f>
        <v xml:space="preserve">САССИР ХХК </v>
      </c>
      <c r="N876" s="807"/>
      <c r="O876" s="80" t="str">
        <f>IFERROR(VLOOKUP(N876,DATA!$K$4:$L$51,2,FALSE),"")</f>
        <v/>
      </c>
      <c r="P876" s="80">
        <f t="shared" si="73"/>
        <v>0</v>
      </c>
      <c r="Q876" s="154">
        <f t="shared" si="74"/>
        <v>0</v>
      </c>
    </row>
    <row r="877" spans="2:17">
      <c r="B877" s="627">
        <f t="shared" si="70"/>
        <v>872</v>
      </c>
      <c r="C877" s="582">
        <v>43281</v>
      </c>
      <c r="D877" s="815" t="s">
        <v>1571</v>
      </c>
      <c r="E877" s="630">
        <v>100100</v>
      </c>
      <c r="F877" s="629" t="str">
        <f>IFERROR(VLOOKUP(E877,STAT1!$C$4:$D$1000,2,FALSE),"")</f>
        <v>Касс мөнгө MNT</v>
      </c>
      <c r="G877" s="811">
        <v>498300</v>
      </c>
      <c r="H877" s="811"/>
      <c r="I877" s="580">
        <f t="shared" si="72"/>
        <v>498300</v>
      </c>
      <c r="J877" s="961">
        <f t="shared" si="71"/>
        <v>0</v>
      </c>
      <c r="K877" s="80"/>
      <c r="L877" s="807">
        <v>3061</v>
      </c>
      <c r="M877" s="80" t="str">
        <f>+IFERROR(VLOOKUP(L877,DATA!$G$4:$H$2000,2,FALSE),"")</f>
        <v>СТИМО ХХК</v>
      </c>
      <c r="N877" s="630">
        <v>41</v>
      </c>
      <c r="O877" s="80" t="str">
        <f>IFERROR(VLOOKUP(N877,DATA!$K$4:$L$51,2,FALSE),"")</f>
        <v>Бараа борлуулсан, үйлчилгээ үзүүлсэний орлого</v>
      </c>
      <c r="P877" s="80">
        <f t="shared" si="73"/>
        <v>1</v>
      </c>
      <c r="Q877" s="154">
        <f t="shared" si="74"/>
        <v>1</v>
      </c>
    </row>
    <row r="878" spans="2:17">
      <c r="B878" s="627">
        <f t="shared" si="70"/>
        <v>873</v>
      </c>
      <c r="C878" s="582">
        <v>43281</v>
      </c>
      <c r="D878" s="815" t="s">
        <v>1571</v>
      </c>
      <c r="E878" s="630">
        <v>320100</v>
      </c>
      <c r="F878" s="629" t="str">
        <f>IFERROR(VLOOKUP(E878,STAT1!$C$4:$D$1000,2,FALSE),"")</f>
        <v>Урьдчилж орсон орлого MNT</v>
      </c>
      <c r="G878" s="811"/>
      <c r="H878" s="811">
        <v>498300</v>
      </c>
      <c r="I878" s="580">
        <f t="shared" si="72"/>
        <v>0</v>
      </c>
      <c r="J878" s="961">
        <f t="shared" si="71"/>
        <v>0</v>
      </c>
      <c r="K878" s="80"/>
      <c r="L878" s="807">
        <v>3061</v>
      </c>
      <c r="M878" s="80" t="str">
        <f>+IFERROR(VLOOKUP(L878,DATA!$G$4:$H$2000,2,FALSE),"")</f>
        <v>СТИМО ХХК</v>
      </c>
      <c r="N878" s="630"/>
      <c r="O878" s="80" t="str">
        <f>IFERROR(VLOOKUP(N878,DATA!$K$4:$L$51,2,FALSE),"")</f>
        <v/>
      </c>
      <c r="P878" s="80">
        <f t="shared" si="73"/>
        <v>0</v>
      </c>
      <c r="Q878" s="154">
        <f t="shared" si="74"/>
        <v>0</v>
      </c>
    </row>
    <row r="879" spans="2:17">
      <c r="B879" s="627">
        <f t="shared" si="70"/>
        <v>874</v>
      </c>
      <c r="C879" s="582">
        <v>43281</v>
      </c>
      <c r="D879" s="815" t="s">
        <v>1571</v>
      </c>
      <c r="E879" s="630">
        <v>100100</v>
      </c>
      <c r="F879" s="629" t="str">
        <f>IFERROR(VLOOKUP(E879,STAT1!$C$4:$D$1000,2,FALSE),"")</f>
        <v>Касс мөнгө MNT</v>
      </c>
      <c r="G879" s="811">
        <v>156750</v>
      </c>
      <c r="H879" s="811"/>
      <c r="I879" s="580">
        <f t="shared" si="72"/>
        <v>156750</v>
      </c>
      <c r="J879" s="961">
        <f t="shared" si="71"/>
        <v>0</v>
      </c>
      <c r="K879" s="80"/>
      <c r="L879" s="807">
        <v>3089</v>
      </c>
      <c r="M879" s="80" t="str">
        <f>+IFERROR(VLOOKUP(L879,DATA!$G$4:$H$2000,2,FALSE),"")</f>
        <v>ГУУЛИЙН ДӨШ ХХК</v>
      </c>
      <c r="N879" s="630">
        <v>41</v>
      </c>
      <c r="O879" s="80" t="str">
        <f>IFERROR(VLOOKUP(N879,DATA!$K$4:$L$51,2,FALSE),"")</f>
        <v>Бараа борлуулсан, үйлчилгээ үзүүлсэний орлого</v>
      </c>
      <c r="P879" s="80">
        <f t="shared" si="73"/>
        <v>1</v>
      </c>
      <c r="Q879" s="154">
        <f t="shared" si="74"/>
        <v>1</v>
      </c>
    </row>
    <row r="880" spans="2:17">
      <c r="B880" s="627">
        <f t="shared" si="70"/>
        <v>875</v>
      </c>
      <c r="C880" s="582">
        <v>43281</v>
      </c>
      <c r="D880" s="815" t="s">
        <v>1571</v>
      </c>
      <c r="E880" s="630">
        <v>320100</v>
      </c>
      <c r="F880" s="629" t="str">
        <f>IFERROR(VLOOKUP(E880,STAT1!$C$4:$D$1000,2,FALSE),"")</f>
        <v>Урьдчилж орсон орлого MNT</v>
      </c>
      <c r="G880" s="811"/>
      <c r="H880" s="811">
        <v>156750</v>
      </c>
      <c r="I880" s="580">
        <f t="shared" si="72"/>
        <v>0</v>
      </c>
      <c r="J880" s="961">
        <f t="shared" si="71"/>
        <v>0</v>
      </c>
      <c r="K880" s="80"/>
      <c r="L880" s="807">
        <v>3089</v>
      </c>
      <c r="M880" s="80" t="str">
        <f>+IFERROR(VLOOKUP(L880,DATA!$G$4:$H$2000,2,FALSE),"")</f>
        <v>ГУУЛИЙН ДӨШ ХХК</v>
      </c>
      <c r="N880" s="630"/>
      <c r="O880" s="80" t="str">
        <f>IFERROR(VLOOKUP(N880,DATA!$K$4:$L$51,2,FALSE),"")</f>
        <v/>
      </c>
      <c r="P880" s="80">
        <f t="shared" si="73"/>
        <v>0</v>
      </c>
      <c r="Q880" s="154">
        <f t="shared" si="74"/>
        <v>0</v>
      </c>
    </row>
    <row r="881" spans="2:17">
      <c r="B881" s="627">
        <f t="shared" si="70"/>
        <v>876</v>
      </c>
      <c r="C881" s="582">
        <v>43281</v>
      </c>
      <c r="D881" s="815" t="s">
        <v>1571</v>
      </c>
      <c r="E881" s="630">
        <v>100100</v>
      </c>
      <c r="F881" s="629" t="str">
        <f>IFERROR(VLOOKUP(E881,STAT1!$C$4:$D$1000,2,FALSE),"")</f>
        <v>Касс мөнгө MNT</v>
      </c>
      <c r="G881" s="811">
        <v>792000</v>
      </c>
      <c r="H881" s="811"/>
      <c r="I881" s="580">
        <f t="shared" si="72"/>
        <v>792000</v>
      </c>
      <c r="J881" s="961">
        <f t="shared" si="71"/>
        <v>0</v>
      </c>
      <c r="K881" s="80"/>
      <c r="L881" s="807">
        <v>3109</v>
      </c>
      <c r="M881" s="80" t="str">
        <f>+IFERROR(VLOOKUP(L881,DATA!$G$4:$H$2000,2,FALSE),"")</f>
        <v xml:space="preserve">СИЛК РӨҮТ ТЕКСТИЛЬ ХХК </v>
      </c>
      <c r="N881" s="630">
        <v>41</v>
      </c>
      <c r="O881" s="80" t="str">
        <f>IFERROR(VLOOKUP(N881,DATA!$K$4:$L$51,2,FALSE),"")</f>
        <v>Бараа борлуулсан, үйлчилгээ үзүүлсэний орлого</v>
      </c>
      <c r="P881" s="80">
        <f t="shared" si="73"/>
        <v>1</v>
      </c>
      <c r="Q881" s="154">
        <f t="shared" si="74"/>
        <v>1</v>
      </c>
    </row>
    <row r="882" spans="2:17">
      <c r="B882" s="627">
        <f t="shared" si="70"/>
        <v>877</v>
      </c>
      <c r="C882" s="582">
        <v>43281</v>
      </c>
      <c r="D882" s="815" t="s">
        <v>1571</v>
      </c>
      <c r="E882" s="630">
        <v>320100</v>
      </c>
      <c r="F882" s="629" t="str">
        <f>IFERROR(VLOOKUP(E882,STAT1!$C$4:$D$1000,2,FALSE),"")</f>
        <v>Урьдчилж орсон орлого MNT</v>
      </c>
      <c r="G882" s="811"/>
      <c r="H882" s="811">
        <v>792000</v>
      </c>
      <c r="I882" s="580">
        <f t="shared" si="72"/>
        <v>0</v>
      </c>
      <c r="J882" s="961">
        <f t="shared" si="71"/>
        <v>0</v>
      </c>
      <c r="K882" s="80"/>
      <c r="L882" s="807">
        <v>3109</v>
      </c>
      <c r="M882" s="80" t="str">
        <f>+IFERROR(VLOOKUP(L882,DATA!$G$4:$H$2000,2,FALSE),"")</f>
        <v xml:space="preserve">СИЛК РӨҮТ ТЕКСТИЛЬ ХХК </v>
      </c>
      <c r="N882" s="807"/>
      <c r="O882" s="80" t="str">
        <f>IFERROR(VLOOKUP(N882,DATA!$K$4:$L$51,2,FALSE),"")</f>
        <v/>
      </c>
      <c r="P882" s="80">
        <f t="shared" si="73"/>
        <v>0</v>
      </c>
      <c r="Q882" s="154">
        <f t="shared" si="74"/>
        <v>0</v>
      </c>
    </row>
    <row r="883" spans="2:17">
      <c r="B883" s="627">
        <f t="shared" si="70"/>
        <v>878</v>
      </c>
      <c r="C883" s="582">
        <v>43281</v>
      </c>
      <c r="D883" s="815" t="s">
        <v>1571</v>
      </c>
      <c r="E883" s="630">
        <v>100100</v>
      </c>
      <c r="F883" s="629" t="str">
        <f>IFERROR(VLOOKUP(E883,STAT1!$C$4:$D$1000,2,FALSE),"")</f>
        <v>Касс мөнгө MNT</v>
      </c>
      <c r="G883" s="811">
        <v>217200</v>
      </c>
      <c r="H883" s="811"/>
      <c r="I883" s="580">
        <f t="shared" si="72"/>
        <v>217200</v>
      </c>
      <c r="J883" s="961">
        <f t="shared" si="71"/>
        <v>0</v>
      </c>
      <c r="K883" s="80"/>
      <c r="L883" s="807">
        <v>3110</v>
      </c>
      <c r="M883" s="80" t="str">
        <f>+IFERROR(VLOOKUP(L883,DATA!$G$4:$H$2000,2,FALSE),"")</f>
        <v xml:space="preserve">СҮЙХЭНТ ХХК </v>
      </c>
      <c r="N883" s="630">
        <v>41</v>
      </c>
      <c r="O883" s="80" t="str">
        <f>IFERROR(VLOOKUP(N883,DATA!$K$4:$L$51,2,FALSE),"")</f>
        <v>Бараа борлуулсан, үйлчилгээ үзүүлсэний орлого</v>
      </c>
      <c r="P883" s="80">
        <f t="shared" si="73"/>
        <v>1</v>
      </c>
      <c r="Q883" s="154">
        <f t="shared" si="74"/>
        <v>1</v>
      </c>
    </row>
    <row r="884" spans="2:17">
      <c r="B884" s="627">
        <f t="shared" si="70"/>
        <v>879</v>
      </c>
      <c r="C884" s="582">
        <v>43281</v>
      </c>
      <c r="D884" s="815" t="s">
        <v>1571</v>
      </c>
      <c r="E884" s="630">
        <v>320100</v>
      </c>
      <c r="F884" s="629" t="str">
        <f>IFERROR(VLOOKUP(E884,STAT1!$C$4:$D$1000,2,FALSE),"")</f>
        <v>Урьдчилж орсон орлого MNT</v>
      </c>
      <c r="G884" s="811"/>
      <c r="H884" s="811">
        <v>217200</v>
      </c>
      <c r="I884" s="580">
        <f t="shared" si="72"/>
        <v>0</v>
      </c>
      <c r="J884" s="961">
        <f t="shared" si="71"/>
        <v>0</v>
      </c>
      <c r="K884" s="80"/>
      <c r="L884" s="807">
        <v>3110</v>
      </c>
      <c r="M884" s="80" t="str">
        <f>+IFERROR(VLOOKUP(L884,DATA!$G$4:$H$2000,2,FALSE),"")</f>
        <v xml:space="preserve">СҮЙХЭНТ ХХК </v>
      </c>
      <c r="N884" s="630"/>
      <c r="O884" s="80" t="str">
        <f>IFERROR(VLOOKUP(N884,DATA!$K$4:$L$51,2,FALSE),"")</f>
        <v/>
      </c>
      <c r="P884" s="80">
        <f t="shared" si="73"/>
        <v>0</v>
      </c>
      <c r="Q884" s="154">
        <f t="shared" si="74"/>
        <v>0</v>
      </c>
    </row>
    <row r="885" spans="2:17">
      <c r="B885" s="627">
        <f t="shared" si="70"/>
        <v>880</v>
      </c>
      <c r="C885" s="582">
        <v>43281</v>
      </c>
      <c r="D885" s="815" t="s">
        <v>1571</v>
      </c>
      <c r="E885" s="630">
        <v>100100</v>
      </c>
      <c r="F885" s="629" t="str">
        <f>IFERROR(VLOOKUP(E885,STAT1!$C$4:$D$1000,2,FALSE),"")</f>
        <v>Касс мөнгө MNT</v>
      </c>
      <c r="G885" s="811">
        <v>1012423</v>
      </c>
      <c r="H885" s="811"/>
      <c r="I885" s="580">
        <f t="shared" si="72"/>
        <v>1012423</v>
      </c>
      <c r="J885" s="961">
        <f t="shared" si="71"/>
        <v>0</v>
      </c>
      <c r="K885" s="80"/>
      <c r="L885" s="807">
        <v>4002</v>
      </c>
      <c r="M885" s="80" t="str">
        <f>+IFERROR(VLOOKUP(L885,DATA!$G$4:$H$2000,2,FALSE),"")</f>
        <v xml:space="preserve">Хувь хүн </v>
      </c>
      <c r="N885" s="630">
        <v>41</v>
      </c>
      <c r="O885" s="80" t="str">
        <f>IFERROR(VLOOKUP(N885,DATA!$K$4:$L$51,2,FALSE),"")</f>
        <v>Бараа борлуулсан, үйлчилгээ үзүүлсэний орлого</v>
      </c>
      <c r="P885" s="80">
        <f t="shared" si="73"/>
        <v>1</v>
      </c>
      <c r="Q885" s="154">
        <f t="shared" si="74"/>
        <v>1</v>
      </c>
    </row>
    <row r="886" spans="2:17">
      <c r="B886" s="627">
        <f t="shared" si="70"/>
        <v>881</v>
      </c>
      <c r="C886" s="582">
        <v>43281</v>
      </c>
      <c r="D886" s="815" t="s">
        <v>1571</v>
      </c>
      <c r="E886" s="630">
        <v>320100</v>
      </c>
      <c r="F886" s="629" t="str">
        <f>IFERROR(VLOOKUP(E886,STAT1!$C$4:$D$1000,2,FALSE),"")</f>
        <v>Урьдчилж орсон орлого MNT</v>
      </c>
      <c r="G886" s="376"/>
      <c r="H886" s="376">
        <v>1012423</v>
      </c>
      <c r="I886" s="580">
        <f t="shared" si="72"/>
        <v>0</v>
      </c>
      <c r="J886" s="961">
        <f t="shared" si="71"/>
        <v>0</v>
      </c>
      <c r="K886" s="80"/>
      <c r="L886" s="630">
        <v>4002</v>
      </c>
      <c r="M886" s="80" t="str">
        <f>+IFERROR(VLOOKUP(L886,DATA!$G$4:$H$2000,2,FALSE),"")</f>
        <v xml:space="preserve">Хувь хүн </v>
      </c>
      <c r="N886" s="630"/>
      <c r="O886" s="80" t="str">
        <f>IFERROR(VLOOKUP(N886,DATA!$K$4:$L$51,2,FALSE),"")</f>
        <v/>
      </c>
      <c r="P886" s="80">
        <f t="shared" si="73"/>
        <v>0</v>
      </c>
      <c r="Q886" s="154">
        <f t="shared" si="74"/>
        <v>0</v>
      </c>
    </row>
    <row r="887" spans="2:17">
      <c r="B887" s="627">
        <f t="shared" si="70"/>
        <v>882</v>
      </c>
      <c r="C887" s="582">
        <v>43281</v>
      </c>
      <c r="D887" s="815" t="s">
        <v>1571</v>
      </c>
      <c r="E887" s="630">
        <v>100100</v>
      </c>
      <c r="F887" s="629" t="str">
        <f>IFERROR(VLOOKUP(E887,STAT1!$C$4:$D$1000,2,FALSE),"")</f>
        <v>Касс мөнгө MNT</v>
      </c>
      <c r="G887" s="376">
        <v>59400</v>
      </c>
      <c r="H887" s="376"/>
      <c r="I887" s="580">
        <f t="shared" si="72"/>
        <v>59400</v>
      </c>
      <c r="J887" s="961">
        <f t="shared" si="71"/>
        <v>0</v>
      </c>
      <c r="K887" s="80"/>
      <c r="L887" s="630">
        <v>3121</v>
      </c>
      <c r="M887" s="80" t="str">
        <f>+IFERROR(VLOOKUP(L887,DATA!$G$4:$H$2000,2,FALSE),"")</f>
        <v xml:space="preserve">КОМ ТАВИЛГА ХХК </v>
      </c>
      <c r="N887" s="630">
        <v>41</v>
      </c>
      <c r="O887" s="80" t="str">
        <f>IFERROR(VLOOKUP(N887,DATA!$K$4:$L$51,2,FALSE),"")</f>
        <v>Бараа борлуулсан, үйлчилгээ үзүүлсэний орлого</v>
      </c>
      <c r="P887" s="80">
        <f t="shared" si="73"/>
        <v>1</v>
      </c>
      <c r="Q887" s="154">
        <f t="shared" si="74"/>
        <v>1</v>
      </c>
    </row>
    <row r="888" spans="2:17">
      <c r="B888" s="627">
        <f t="shared" si="70"/>
        <v>883</v>
      </c>
      <c r="C888" s="582">
        <v>43281</v>
      </c>
      <c r="D888" s="815" t="s">
        <v>1571</v>
      </c>
      <c r="E888" s="630">
        <v>320100</v>
      </c>
      <c r="F888" s="629" t="str">
        <f>IFERROR(VLOOKUP(E888,STAT1!$C$4:$D$1000,2,FALSE),"")</f>
        <v>Урьдчилж орсон орлого MNT</v>
      </c>
      <c r="G888" s="376"/>
      <c r="H888" s="376">
        <v>59400</v>
      </c>
      <c r="I888" s="580">
        <f t="shared" si="72"/>
        <v>0</v>
      </c>
      <c r="J888" s="961">
        <f t="shared" si="71"/>
        <v>0</v>
      </c>
      <c r="K888" s="80"/>
      <c r="L888" s="630">
        <v>3121</v>
      </c>
      <c r="M888" s="80" t="str">
        <f>+IFERROR(VLOOKUP(L888,DATA!$G$4:$H$2000,2,FALSE),"")</f>
        <v xml:space="preserve">КОМ ТАВИЛГА ХХК </v>
      </c>
      <c r="N888" s="807"/>
      <c r="O888" s="80" t="str">
        <f>IFERROR(VLOOKUP(N888,DATA!$K$4:$L$51,2,FALSE),"")</f>
        <v/>
      </c>
      <c r="P888" s="80">
        <f t="shared" si="73"/>
        <v>0</v>
      </c>
      <c r="Q888" s="154">
        <f t="shared" si="74"/>
        <v>0</v>
      </c>
    </row>
    <row r="889" spans="2:17">
      <c r="B889" s="627">
        <f t="shared" si="70"/>
        <v>884</v>
      </c>
      <c r="C889" s="582">
        <v>43281</v>
      </c>
      <c r="D889" s="815" t="s">
        <v>1571</v>
      </c>
      <c r="E889" s="630">
        <v>100100</v>
      </c>
      <c r="F889" s="629" t="str">
        <f>IFERROR(VLOOKUP(E889,STAT1!$C$4:$D$1000,2,FALSE),"")</f>
        <v>Касс мөнгө MNT</v>
      </c>
      <c r="G889" s="376">
        <v>51975</v>
      </c>
      <c r="H889" s="376"/>
      <c r="I889" s="580">
        <f t="shared" si="72"/>
        <v>51975</v>
      </c>
      <c r="J889" s="961">
        <f t="shared" si="71"/>
        <v>0</v>
      </c>
      <c r="K889" s="80"/>
      <c r="L889" s="630">
        <v>3123</v>
      </c>
      <c r="M889" s="80" t="str">
        <f>+IFERROR(VLOOKUP(L889,DATA!$G$4:$H$2000,2,FALSE),"")</f>
        <v>ЭКОСКҮҮЛ ГАРДЕН ХХК</v>
      </c>
      <c r="N889" s="630">
        <v>41</v>
      </c>
      <c r="O889" s="80" t="str">
        <f>IFERROR(VLOOKUP(N889,DATA!$K$4:$L$51,2,FALSE),"")</f>
        <v>Бараа борлуулсан, үйлчилгээ үзүүлсэний орлого</v>
      </c>
      <c r="P889" s="80">
        <f t="shared" si="73"/>
        <v>1</v>
      </c>
      <c r="Q889" s="154">
        <f t="shared" si="74"/>
        <v>1</v>
      </c>
    </row>
    <row r="890" spans="2:17">
      <c r="B890" s="627">
        <f t="shared" si="70"/>
        <v>885</v>
      </c>
      <c r="C890" s="582">
        <v>43281</v>
      </c>
      <c r="D890" s="815" t="s">
        <v>1571</v>
      </c>
      <c r="E890" s="630">
        <v>320100</v>
      </c>
      <c r="F890" s="629" t="str">
        <f>IFERROR(VLOOKUP(E890,STAT1!$C$4:$D$1000,2,FALSE),"")</f>
        <v>Урьдчилж орсон орлого MNT</v>
      </c>
      <c r="G890" s="376"/>
      <c r="H890" s="376">
        <v>51975</v>
      </c>
      <c r="I890" s="580">
        <f t="shared" si="72"/>
        <v>0</v>
      </c>
      <c r="J890" s="961">
        <f t="shared" si="71"/>
        <v>0</v>
      </c>
      <c r="K890" s="80"/>
      <c r="L890" s="630">
        <v>3123</v>
      </c>
      <c r="M890" s="80" t="str">
        <f>+IFERROR(VLOOKUP(L890,DATA!$G$4:$H$2000,2,FALSE),"")</f>
        <v>ЭКОСКҮҮЛ ГАРДЕН ХХК</v>
      </c>
      <c r="N890" s="630"/>
      <c r="O890" s="80" t="str">
        <f>IFERROR(VLOOKUP(N890,DATA!$K$4:$L$51,2,FALSE),"")</f>
        <v/>
      </c>
      <c r="P890" s="80">
        <f t="shared" si="73"/>
        <v>0</v>
      </c>
      <c r="Q890" s="154">
        <f t="shared" si="74"/>
        <v>0</v>
      </c>
    </row>
    <row r="891" spans="2:17">
      <c r="B891" s="627">
        <f t="shared" si="70"/>
        <v>886</v>
      </c>
      <c r="C891" s="582">
        <v>43281</v>
      </c>
      <c r="D891" s="815" t="s">
        <v>1571</v>
      </c>
      <c r="E891" s="630">
        <v>100100</v>
      </c>
      <c r="F891" s="629" t="str">
        <f>IFERROR(VLOOKUP(E891,STAT1!$C$4:$D$1000,2,FALSE),"")</f>
        <v>Касс мөнгө MNT</v>
      </c>
      <c r="G891" s="376">
        <v>3132740</v>
      </c>
      <c r="H891" s="376"/>
      <c r="I891" s="580">
        <f t="shared" si="72"/>
        <v>3132740</v>
      </c>
      <c r="J891" s="961">
        <f t="shared" si="71"/>
        <v>0</v>
      </c>
      <c r="K891" s="80"/>
      <c r="L891" s="630">
        <v>3124</v>
      </c>
      <c r="M891" s="80" t="str">
        <f>+IFERROR(VLOOKUP(L891,DATA!$G$4:$H$2000,2,FALSE),"")</f>
        <v xml:space="preserve">ШИНЭЛЭГ СУУЦ ХХК </v>
      </c>
      <c r="N891" s="630">
        <v>41</v>
      </c>
      <c r="O891" s="80" t="str">
        <f>IFERROR(VLOOKUP(N891,DATA!$K$4:$L$51,2,FALSE),"")</f>
        <v>Бараа борлуулсан, үйлчилгээ үзүүлсэний орлого</v>
      </c>
      <c r="P891" s="80">
        <f t="shared" si="73"/>
        <v>1</v>
      </c>
      <c r="Q891" s="154">
        <f t="shared" si="74"/>
        <v>1</v>
      </c>
    </row>
    <row r="892" spans="2:17">
      <c r="B892" s="627">
        <f t="shared" si="70"/>
        <v>887</v>
      </c>
      <c r="C892" s="582">
        <v>43281</v>
      </c>
      <c r="D892" s="815" t="s">
        <v>1571</v>
      </c>
      <c r="E892" s="630">
        <v>320100</v>
      </c>
      <c r="F892" s="629" t="str">
        <f>IFERROR(VLOOKUP(E892,STAT1!$C$4:$D$1000,2,FALSE),"")</f>
        <v>Урьдчилж орсон орлого MNT</v>
      </c>
      <c r="G892" s="376"/>
      <c r="H892" s="376">
        <v>3132740</v>
      </c>
      <c r="I892" s="580">
        <f t="shared" si="72"/>
        <v>0</v>
      </c>
      <c r="J892" s="961">
        <f t="shared" si="71"/>
        <v>0</v>
      </c>
      <c r="K892" s="80"/>
      <c r="L892" s="630">
        <v>3124</v>
      </c>
      <c r="M892" s="80" t="str">
        <f>+IFERROR(VLOOKUP(L892,DATA!$G$4:$H$2000,2,FALSE),"")</f>
        <v xml:space="preserve">ШИНЭЛЭГ СУУЦ ХХК </v>
      </c>
      <c r="N892" s="630"/>
      <c r="O892" s="80" t="str">
        <f>IFERROR(VLOOKUP(N892,DATA!$K$4:$L$51,2,FALSE),"")</f>
        <v/>
      </c>
      <c r="P892" s="80">
        <f t="shared" si="73"/>
        <v>0</v>
      </c>
      <c r="Q892" s="154">
        <f t="shared" si="74"/>
        <v>0</v>
      </c>
    </row>
    <row r="893" spans="2:17">
      <c r="B893" s="627">
        <f t="shared" si="70"/>
        <v>888</v>
      </c>
      <c r="C893" s="582">
        <v>43281</v>
      </c>
      <c r="D893" s="815" t="s">
        <v>1571</v>
      </c>
      <c r="E893" s="630">
        <v>100100</v>
      </c>
      <c r="F893" s="629" t="str">
        <f>IFERROR(VLOOKUP(E893,STAT1!$C$4:$D$1000,2,FALSE),"")</f>
        <v>Касс мөнгө MNT</v>
      </c>
      <c r="G893" s="376">
        <v>906300</v>
      </c>
      <c r="H893" s="376"/>
      <c r="I893" s="580">
        <f t="shared" si="72"/>
        <v>906300</v>
      </c>
      <c r="J893" s="961">
        <f t="shared" si="71"/>
        <v>0</v>
      </c>
      <c r="K893" s="80"/>
      <c r="L893" s="630">
        <v>3125</v>
      </c>
      <c r="M893" s="80" t="str">
        <f>+IFERROR(VLOOKUP(L893,DATA!$G$4:$H$2000,2,FALSE),"")</f>
        <v xml:space="preserve">ХАНИР ТЭНГЭР ХХК </v>
      </c>
      <c r="N893" s="630">
        <v>41</v>
      </c>
      <c r="O893" s="80" t="str">
        <f>IFERROR(VLOOKUP(N893,DATA!$K$4:$L$51,2,FALSE),"")</f>
        <v>Бараа борлуулсан, үйлчилгээ үзүүлсэний орлого</v>
      </c>
      <c r="P893" s="80">
        <f t="shared" si="73"/>
        <v>1</v>
      </c>
      <c r="Q893" s="154">
        <f t="shared" si="74"/>
        <v>1</v>
      </c>
    </row>
    <row r="894" spans="2:17">
      <c r="B894" s="627">
        <f t="shared" si="70"/>
        <v>889</v>
      </c>
      <c r="C894" s="582">
        <v>43281</v>
      </c>
      <c r="D894" s="815" t="s">
        <v>1571</v>
      </c>
      <c r="E894" s="630">
        <v>320100</v>
      </c>
      <c r="F894" s="629" t="str">
        <f>IFERROR(VLOOKUP(E894,STAT1!$C$4:$D$1000,2,FALSE),"")</f>
        <v>Урьдчилж орсон орлого MNT</v>
      </c>
      <c r="G894" s="376"/>
      <c r="H894" s="376">
        <v>906300</v>
      </c>
      <c r="I894" s="580">
        <f t="shared" si="72"/>
        <v>0</v>
      </c>
      <c r="J894" s="961">
        <f t="shared" si="71"/>
        <v>0</v>
      </c>
      <c r="K894" s="80"/>
      <c r="L894" s="630">
        <v>3125</v>
      </c>
      <c r="M894" s="80" t="str">
        <f>+IFERROR(VLOOKUP(L894,DATA!$G$4:$H$2000,2,FALSE),"")</f>
        <v xml:space="preserve">ХАНИР ТЭНГЭР ХХК </v>
      </c>
      <c r="N894" s="630"/>
      <c r="O894" s="80" t="str">
        <f>IFERROR(VLOOKUP(N894,DATA!$K$4:$L$51,2,FALSE),"")</f>
        <v/>
      </c>
      <c r="P894" s="80">
        <f t="shared" si="73"/>
        <v>0</v>
      </c>
      <c r="Q894" s="154">
        <f t="shared" si="74"/>
        <v>0</v>
      </c>
    </row>
    <row r="895" spans="2:17">
      <c r="B895" s="627">
        <f t="shared" si="70"/>
        <v>890</v>
      </c>
      <c r="C895" s="582">
        <v>43281</v>
      </c>
      <c r="D895" s="815" t="s">
        <v>1571</v>
      </c>
      <c r="E895" s="630">
        <v>100100</v>
      </c>
      <c r="F895" s="629" t="str">
        <f>IFERROR(VLOOKUP(E895,STAT1!$C$4:$D$1000,2,FALSE),"")</f>
        <v>Касс мөнгө MNT</v>
      </c>
      <c r="G895" s="376">
        <v>6419523</v>
      </c>
      <c r="H895" s="376"/>
      <c r="I895" s="580">
        <f t="shared" si="72"/>
        <v>6419523</v>
      </c>
      <c r="J895" s="961">
        <f t="shared" si="71"/>
        <v>0</v>
      </c>
      <c r="K895" s="80"/>
      <c r="L895" s="630">
        <v>3126</v>
      </c>
      <c r="M895" s="80" t="str">
        <f>+IFERROR(VLOOKUP(L895,DATA!$G$4:$H$2000,2,FALSE),"")</f>
        <v>МАТРИКС</v>
      </c>
      <c r="N895" s="630">
        <v>41</v>
      </c>
      <c r="O895" s="80" t="str">
        <f>IFERROR(VLOOKUP(N895,DATA!$K$4:$L$51,2,FALSE),"")</f>
        <v>Бараа борлуулсан, үйлчилгээ үзүүлсэний орлого</v>
      </c>
      <c r="P895" s="80">
        <f t="shared" si="73"/>
        <v>1</v>
      </c>
      <c r="Q895" s="154">
        <f t="shared" si="74"/>
        <v>1</v>
      </c>
    </row>
    <row r="896" spans="2:17">
      <c r="B896" s="627">
        <f t="shared" si="70"/>
        <v>891</v>
      </c>
      <c r="C896" s="582">
        <v>43281</v>
      </c>
      <c r="D896" s="815" t="s">
        <v>1571</v>
      </c>
      <c r="E896" s="630">
        <v>320100</v>
      </c>
      <c r="F896" s="629" t="str">
        <f>IFERROR(VLOOKUP(E896,STAT1!$C$4:$D$1000,2,FALSE),"")</f>
        <v>Урьдчилж орсон орлого MNT</v>
      </c>
      <c r="G896" s="376"/>
      <c r="H896" s="376">
        <v>6419523</v>
      </c>
      <c r="I896" s="580">
        <f t="shared" si="72"/>
        <v>0</v>
      </c>
      <c r="J896" s="961">
        <f t="shared" si="71"/>
        <v>0</v>
      </c>
      <c r="K896" s="80"/>
      <c r="L896" s="630">
        <v>3126</v>
      </c>
      <c r="M896" s="80" t="str">
        <f>+IFERROR(VLOOKUP(L896,DATA!$G$4:$H$2000,2,FALSE),"")</f>
        <v>МАТРИКС</v>
      </c>
      <c r="N896" s="630"/>
      <c r="O896" s="80" t="str">
        <f>IFERROR(VLOOKUP(N896,DATA!$K$4:$L$51,2,FALSE),"")</f>
        <v/>
      </c>
      <c r="P896" s="80">
        <f t="shared" si="73"/>
        <v>0</v>
      </c>
      <c r="Q896" s="154">
        <f t="shared" si="74"/>
        <v>0</v>
      </c>
    </row>
    <row r="897" spans="2:17">
      <c r="B897" s="627">
        <f t="shared" si="70"/>
        <v>892</v>
      </c>
      <c r="C897" s="582">
        <v>43281</v>
      </c>
      <c r="D897" s="815" t="s">
        <v>1571</v>
      </c>
      <c r="E897" s="630">
        <v>100100</v>
      </c>
      <c r="F897" s="629" t="str">
        <f>IFERROR(VLOOKUP(E897,STAT1!$C$4:$D$1000,2,FALSE),"")</f>
        <v>Касс мөнгө MNT</v>
      </c>
      <c r="G897" s="376">
        <v>398000</v>
      </c>
      <c r="H897" s="376"/>
      <c r="I897" s="580">
        <f t="shared" si="72"/>
        <v>398000</v>
      </c>
      <c r="J897" s="961">
        <f t="shared" si="71"/>
        <v>0</v>
      </c>
      <c r="K897" s="80"/>
      <c r="L897" s="630">
        <v>3128</v>
      </c>
      <c r="M897" s="80" t="str">
        <f>+IFERROR(VLOOKUP(L897,DATA!$G$4:$H$2000,2,FALSE),"")</f>
        <v>ЦАСТБААТАР ЦАМХАГ ХХК</v>
      </c>
      <c r="N897" s="630">
        <v>41</v>
      </c>
      <c r="O897" s="80" t="str">
        <f>IFERROR(VLOOKUP(N897,DATA!$K$4:$L$51,2,FALSE),"")</f>
        <v>Бараа борлуулсан, үйлчилгээ үзүүлсэний орлого</v>
      </c>
      <c r="P897" s="80">
        <f t="shared" si="73"/>
        <v>1</v>
      </c>
      <c r="Q897" s="154">
        <f t="shared" si="74"/>
        <v>1</v>
      </c>
    </row>
    <row r="898" spans="2:17">
      <c r="B898" s="627">
        <f t="shared" si="70"/>
        <v>893</v>
      </c>
      <c r="C898" s="582">
        <v>43281</v>
      </c>
      <c r="D898" s="815" t="s">
        <v>1571</v>
      </c>
      <c r="E898" s="630">
        <v>320100</v>
      </c>
      <c r="F898" s="629" t="str">
        <f>IFERROR(VLOOKUP(E898,STAT1!$C$4:$D$1000,2,FALSE),"")</f>
        <v>Урьдчилж орсон орлого MNT</v>
      </c>
      <c r="G898" s="376"/>
      <c r="H898" s="376">
        <v>398000</v>
      </c>
      <c r="I898" s="580">
        <f t="shared" si="72"/>
        <v>0</v>
      </c>
      <c r="J898" s="961">
        <f t="shared" si="71"/>
        <v>0</v>
      </c>
      <c r="K898" s="80"/>
      <c r="L898" s="630">
        <v>3128</v>
      </c>
      <c r="M898" s="80" t="str">
        <f>+IFERROR(VLOOKUP(L898,DATA!$G$4:$H$2000,2,FALSE),"")</f>
        <v>ЦАСТБААТАР ЦАМХАГ ХХК</v>
      </c>
      <c r="N898" s="807"/>
      <c r="O898" s="80" t="str">
        <f>IFERROR(VLOOKUP(N898,DATA!$K$4:$L$51,2,FALSE),"")</f>
        <v/>
      </c>
      <c r="P898" s="80">
        <f t="shared" si="73"/>
        <v>0</v>
      </c>
      <c r="Q898" s="154">
        <f t="shared" si="74"/>
        <v>0</v>
      </c>
    </row>
    <row r="899" spans="2:17">
      <c r="B899" s="627">
        <f t="shared" si="70"/>
        <v>894</v>
      </c>
      <c r="C899" s="429">
        <v>43282</v>
      </c>
      <c r="D899" s="816" t="s">
        <v>2727</v>
      </c>
      <c r="E899" s="807">
        <v>150101</v>
      </c>
      <c r="F899" s="629" t="str">
        <f>IFERROR(VLOOKUP(E899,STAT1!$C$4:$D$8000,2,FALSE),"")</f>
        <v>Бараа бэлэн бүтээгдэхүүн БОЛОВСРУУЛАХ ЦЕХ /нарс/</v>
      </c>
      <c r="G899" s="376"/>
      <c r="H899" s="376">
        <v>1783991.17</v>
      </c>
      <c r="I899" s="580">
        <f t="shared" si="72"/>
        <v>0</v>
      </c>
      <c r="J899" s="961">
        <f t="shared" si="71"/>
        <v>0</v>
      </c>
      <c r="K899" s="80"/>
      <c r="L899" s="630">
        <v>3130</v>
      </c>
      <c r="M899" s="80" t="str">
        <f>+IFERROR(VLOOKUP(L899,DATA!$G$4:$H$2000,2,FALSE),"")</f>
        <v>АРУМА ХХК</v>
      </c>
      <c r="N899" s="630"/>
      <c r="O899" s="80" t="str">
        <f>IFERROR(VLOOKUP(N899,DATA!$K$4:$L$51,2,FALSE),"")</f>
        <v/>
      </c>
      <c r="P899" s="80">
        <f t="shared" si="73"/>
        <v>0</v>
      </c>
      <c r="Q899" s="154">
        <f t="shared" si="74"/>
        <v>0</v>
      </c>
    </row>
    <row r="900" spans="2:17">
      <c r="B900" s="627">
        <f t="shared" si="70"/>
        <v>895</v>
      </c>
      <c r="C900" s="582">
        <v>43282</v>
      </c>
      <c r="D900" s="816" t="s">
        <v>2727</v>
      </c>
      <c r="E900" s="807">
        <v>610100</v>
      </c>
      <c r="F900" s="629" t="str">
        <f>IFERROR(VLOOKUP(E900,STAT1!$C$4:$D$8000,2,FALSE),"")</f>
        <v>Борлуулсан барааны өртөг</v>
      </c>
      <c r="G900" s="376">
        <v>1783991.17</v>
      </c>
      <c r="H900" s="376"/>
      <c r="I900" s="580">
        <f t="shared" si="72"/>
        <v>0</v>
      </c>
      <c r="J900" s="961">
        <f t="shared" si="71"/>
        <v>0</v>
      </c>
      <c r="K900" s="80"/>
      <c r="L900" s="630">
        <v>3130</v>
      </c>
      <c r="M900" s="80" t="str">
        <f>+IFERROR(VLOOKUP(L900,DATA!$G$4:$H$2000,2,FALSE),"")</f>
        <v>АРУМА ХХК</v>
      </c>
      <c r="N900" s="630"/>
      <c r="O900" s="80" t="str">
        <f>IFERROR(VLOOKUP(N900,DATA!$K$4:$L$51,2,FALSE),"")</f>
        <v/>
      </c>
      <c r="P900" s="80">
        <f t="shared" si="73"/>
        <v>0</v>
      </c>
      <c r="Q900" s="154">
        <f t="shared" si="74"/>
        <v>0</v>
      </c>
    </row>
    <row r="901" spans="2:17">
      <c r="B901" s="627">
        <f t="shared" si="70"/>
        <v>896</v>
      </c>
      <c r="C901" s="582">
        <v>43282</v>
      </c>
      <c r="D901" s="816" t="s">
        <v>2727</v>
      </c>
      <c r="E901" s="807">
        <v>310500</v>
      </c>
      <c r="F901" s="629" t="str">
        <f>IFERROR(VLOOKUP(E901,STAT1!$C$4:$D$8000,2,FALSE),"")</f>
        <v>НӨАТ өглөг</v>
      </c>
      <c r="G901" s="376"/>
      <c r="H901" s="376">
        <v>250677.27</v>
      </c>
      <c r="I901" s="580">
        <f t="shared" si="72"/>
        <v>0</v>
      </c>
      <c r="J901" s="961">
        <f t="shared" si="71"/>
        <v>0</v>
      </c>
      <c r="K901" s="80"/>
      <c r="L901" s="630">
        <v>3130</v>
      </c>
      <c r="M901" s="80" t="str">
        <f>+IFERROR(VLOOKUP(L901,DATA!$G$4:$H$2000,2,FALSE),"")</f>
        <v>АРУМА ХХК</v>
      </c>
      <c r="N901" s="630"/>
      <c r="O901" s="80" t="str">
        <f>IFERROR(VLOOKUP(N901,DATA!$K$4:$L$51,2,FALSE),"")</f>
        <v/>
      </c>
      <c r="P901" s="80">
        <f t="shared" si="73"/>
        <v>0</v>
      </c>
      <c r="Q901" s="154">
        <f t="shared" si="74"/>
        <v>0</v>
      </c>
    </row>
    <row r="902" spans="2:17">
      <c r="B902" s="627">
        <f t="shared" ref="B902:B965" si="75">+IF(C902="","",ROW()-5)</f>
        <v>897</v>
      </c>
      <c r="C902" s="582">
        <v>43282</v>
      </c>
      <c r="D902" s="816" t="s">
        <v>2727</v>
      </c>
      <c r="E902" s="807">
        <v>510000</v>
      </c>
      <c r="F902" s="629" t="str">
        <f>IFERROR(VLOOKUP(E902,STAT1!$C$4:$D$8000,2,FALSE),"")</f>
        <v>Үндсэн үйл ажиллагааны борлуулалт</v>
      </c>
      <c r="G902" s="376"/>
      <c r="H902" s="376">
        <v>2506772.73</v>
      </c>
      <c r="I902" s="580">
        <f t="shared" si="72"/>
        <v>0</v>
      </c>
      <c r="J902" s="961">
        <f t="shared" ref="J902:J908" si="76">+IF(E902=110102,I902/K902,0)</f>
        <v>0</v>
      </c>
      <c r="K902" s="80"/>
      <c r="L902" s="630">
        <v>3130</v>
      </c>
      <c r="M902" s="80" t="str">
        <f>+IFERROR(VLOOKUP(L902,DATA!$G$4:$H$2000,2,FALSE),"")</f>
        <v>АРУМА ХХК</v>
      </c>
      <c r="N902" s="630"/>
      <c r="O902" s="80" t="str">
        <f>IFERROR(VLOOKUP(N902,DATA!$K$4:$L$51,2,FALSE),"")</f>
        <v/>
      </c>
      <c r="P902" s="80">
        <f t="shared" si="73"/>
        <v>0</v>
      </c>
      <c r="Q902" s="154">
        <f t="shared" si="74"/>
        <v>0</v>
      </c>
    </row>
    <row r="903" spans="2:17">
      <c r="B903" s="627">
        <f t="shared" si="75"/>
        <v>898</v>
      </c>
      <c r="C903" s="582">
        <v>43282</v>
      </c>
      <c r="D903" s="816" t="s">
        <v>2727</v>
      </c>
      <c r="E903" s="807">
        <v>320100</v>
      </c>
      <c r="F903" s="629" t="str">
        <f>IFERROR(VLOOKUP(E903,STAT1!$C$4:$D$8000,2,FALSE),"")</f>
        <v>Урьдчилж орсон орлого MNT</v>
      </c>
      <c r="G903" s="376">
        <v>2757450</v>
      </c>
      <c r="H903" s="376"/>
      <c r="I903" s="580">
        <f t="shared" si="72"/>
        <v>0</v>
      </c>
      <c r="J903" s="961">
        <f t="shared" si="76"/>
        <v>0</v>
      </c>
      <c r="K903" s="80"/>
      <c r="L903" s="630">
        <v>3130</v>
      </c>
      <c r="M903" s="80" t="str">
        <f>+IFERROR(VLOOKUP(L903,DATA!$G$4:$H$2000,2,FALSE),"")</f>
        <v>АРУМА ХХК</v>
      </c>
      <c r="N903" s="630"/>
      <c r="O903" s="80" t="str">
        <f>IFERROR(VLOOKUP(N903,DATA!$K$4:$L$51,2,FALSE),"")</f>
        <v/>
      </c>
      <c r="P903" s="80">
        <f t="shared" si="73"/>
        <v>0</v>
      </c>
      <c r="Q903" s="154">
        <f t="shared" si="74"/>
        <v>0</v>
      </c>
    </row>
    <row r="904" spans="2:17">
      <c r="B904" s="627">
        <f t="shared" si="75"/>
        <v>899</v>
      </c>
      <c r="C904" s="582">
        <v>43283</v>
      </c>
      <c r="D904" s="815" t="s">
        <v>2660</v>
      </c>
      <c r="E904" s="630">
        <v>100100</v>
      </c>
      <c r="F904" s="629" t="str">
        <f>IFERROR(VLOOKUP(E904,STAT1!$C$4:$D$8000,2,FALSE),"")</f>
        <v>Касс мөнгө MNT</v>
      </c>
      <c r="G904" s="376"/>
      <c r="H904" s="376">
        <v>197000</v>
      </c>
      <c r="I904" s="580">
        <f t="shared" si="72"/>
        <v>-197000</v>
      </c>
      <c r="J904" s="961">
        <f t="shared" si="76"/>
        <v>0</v>
      </c>
      <c r="K904" s="80"/>
      <c r="L904" s="630">
        <v>1008</v>
      </c>
      <c r="M904" s="80" t="str">
        <f>+IFERROR(VLOOKUP(L904,DATA!$G$4:$H$2000,2,FALSE),"")</f>
        <v xml:space="preserve">Оюунтүлхүүр </v>
      </c>
      <c r="N904" s="630">
        <v>53</v>
      </c>
      <c r="O904" s="80" t="str">
        <f>IFERROR(VLOOKUP(N904,DATA!$K$4:$L$51,2,FALSE),"")</f>
        <v>Бараа материал худалдан авахад төлсөн</v>
      </c>
      <c r="P904" s="80">
        <f t="shared" si="73"/>
        <v>1</v>
      </c>
      <c r="Q904" s="154">
        <f t="shared" si="74"/>
        <v>1</v>
      </c>
    </row>
    <row r="905" spans="2:17">
      <c r="B905" s="627">
        <f t="shared" si="75"/>
        <v>900</v>
      </c>
      <c r="C905" s="582">
        <v>43283</v>
      </c>
      <c r="D905" s="815" t="s">
        <v>2660</v>
      </c>
      <c r="E905" s="630">
        <v>120600</v>
      </c>
      <c r="F905" s="629" t="str">
        <f>IFERROR(VLOOKUP(E905,STAT1!$C$4:$D$8000,2,FALSE),"")</f>
        <v>НӨАТ авлага</v>
      </c>
      <c r="G905" s="376">
        <v>17909.09</v>
      </c>
      <c r="H905" s="376"/>
      <c r="I905" s="580">
        <f t="shared" si="72"/>
        <v>0</v>
      </c>
      <c r="J905" s="961">
        <f t="shared" si="76"/>
        <v>0</v>
      </c>
      <c r="K905" s="80"/>
      <c r="L905" s="630">
        <v>1008</v>
      </c>
      <c r="M905" s="80" t="str">
        <f>+IFERROR(VLOOKUP(L905,DATA!$G$4:$H$2000,2,FALSE),"")</f>
        <v xml:space="preserve">Оюунтүлхүүр </v>
      </c>
      <c r="N905" s="630"/>
      <c r="O905" s="80" t="str">
        <f>IFERROR(VLOOKUP(N905,DATA!$K$4:$L$51,2,FALSE),"")</f>
        <v/>
      </c>
      <c r="P905" s="80">
        <f t="shared" si="73"/>
        <v>0</v>
      </c>
      <c r="Q905" s="154">
        <f t="shared" si="74"/>
        <v>0</v>
      </c>
    </row>
    <row r="906" spans="2:17">
      <c r="B906" s="627">
        <f t="shared" si="75"/>
        <v>901</v>
      </c>
      <c r="C906" s="582">
        <v>43283</v>
      </c>
      <c r="D906" s="815" t="s">
        <v>2660</v>
      </c>
      <c r="E906" s="807">
        <v>701400</v>
      </c>
      <c r="F906" s="629" t="str">
        <f>IFERROR(VLOOKUP(E906,STAT1!$C$4:$D$1000,2,FALSE),"")</f>
        <v>Засвар үйлчилгээний зардал</v>
      </c>
      <c r="G906" s="811">
        <f>197000-17909.09</f>
        <v>179090.91</v>
      </c>
      <c r="H906" s="811"/>
      <c r="I906" s="580">
        <f t="shared" si="72"/>
        <v>0</v>
      </c>
      <c r="J906" s="961">
        <f t="shared" si="76"/>
        <v>0</v>
      </c>
      <c r="K906" s="80"/>
      <c r="L906" s="807">
        <v>1008</v>
      </c>
      <c r="M906" s="80" t="str">
        <f>+IFERROR(VLOOKUP(L906,DATA!$G$4:$H$2000,2,FALSE),"")</f>
        <v xml:space="preserve">Оюунтүлхүүр </v>
      </c>
      <c r="N906" s="807"/>
      <c r="O906" s="80" t="str">
        <f>IFERROR(VLOOKUP(N906,DATA!$K$4:$L$51,2,FALSE),"")</f>
        <v/>
      </c>
      <c r="P906" s="80">
        <f t="shared" si="73"/>
        <v>0</v>
      </c>
      <c r="Q906" s="154">
        <f t="shared" si="74"/>
        <v>0</v>
      </c>
    </row>
    <row r="907" spans="2:17">
      <c r="B907" s="627">
        <f t="shared" si="75"/>
        <v>902</v>
      </c>
      <c r="C907" s="582">
        <v>43285</v>
      </c>
      <c r="D907" s="816" t="s">
        <v>1571</v>
      </c>
      <c r="E907" s="807">
        <v>110100</v>
      </c>
      <c r="F907" s="629" t="str">
        <f>IFERROR(VLOOKUP(E907,STAT1!$C$4:$D$1000,2,FALSE),"")</f>
        <v>Хаан Банк 5024654020</v>
      </c>
      <c r="G907" s="811">
        <v>528000</v>
      </c>
      <c r="H907" s="811"/>
      <c r="I907" s="580">
        <f t="shared" si="72"/>
        <v>528000</v>
      </c>
      <c r="J907" s="961">
        <f t="shared" si="76"/>
        <v>0</v>
      </c>
      <c r="K907" s="80"/>
      <c r="L907" s="807">
        <v>2003</v>
      </c>
      <c r="M907" s="80" t="str">
        <f>+IFERROR(VLOOKUP(L907,DATA!$G$4:$H$2000,2,FALSE),"")</f>
        <v xml:space="preserve">УБЦТС ТӨХК </v>
      </c>
      <c r="N907" s="630">
        <v>41</v>
      </c>
      <c r="O907" s="80" t="str">
        <f>IFERROR(VLOOKUP(N907,DATA!$K$4:$L$51,2,FALSE),"")</f>
        <v>Бараа борлуулсан, үйлчилгээ үзүүлсэний орлого</v>
      </c>
      <c r="P907" s="80">
        <f t="shared" si="73"/>
        <v>1</v>
      </c>
      <c r="Q907" s="154">
        <f t="shared" si="74"/>
        <v>1</v>
      </c>
    </row>
    <row r="908" spans="2:17">
      <c r="B908" s="627">
        <f t="shared" si="75"/>
        <v>903</v>
      </c>
      <c r="C908" s="582">
        <v>43285</v>
      </c>
      <c r="D908" s="816" t="s">
        <v>1571</v>
      </c>
      <c r="E908" s="807">
        <v>320100</v>
      </c>
      <c r="F908" s="629" t="str">
        <f>IFERROR(VLOOKUP(E908,STAT1!$C$4:$D$1000,2,FALSE),"")</f>
        <v>Урьдчилж орсон орлого MNT</v>
      </c>
      <c r="G908" s="811"/>
      <c r="H908" s="811">
        <v>528000</v>
      </c>
      <c r="I908" s="580">
        <f t="shared" si="72"/>
        <v>0</v>
      </c>
      <c r="J908" s="961">
        <f t="shared" si="76"/>
        <v>0</v>
      </c>
      <c r="K908" s="80"/>
      <c r="L908" s="807">
        <v>2003</v>
      </c>
      <c r="M908" s="80" t="str">
        <f>+IFERROR(VLOOKUP(L908,DATA!$G$4:$H$2000,2,FALSE),"")</f>
        <v xml:space="preserve">УБЦТС ТӨХК </v>
      </c>
      <c r="N908" s="630"/>
      <c r="O908" s="80" t="str">
        <f>IFERROR(VLOOKUP(N908,DATA!$K$4:$L$51,2,FALSE),"")</f>
        <v/>
      </c>
      <c r="P908" s="80">
        <f t="shared" si="73"/>
        <v>0</v>
      </c>
      <c r="Q908" s="154">
        <f t="shared" si="74"/>
        <v>0</v>
      </c>
    </row>
    <row r="909" spans="2:17">
      <c r="B909" s="627">
        <f t="shared" si="75"/>
        <v>904</v>
      </c>
      <c r="C909" s="429">
        <v>43287</v>
      </c>
      <c r="D909" s="816" t="s">
        <v>2727</v>
      </c>
      <c r="E909" s="807">
        <v>150101</v>
      </c>
      <c r="F909" s="629" t="str">
        <f>IFERROR(VLOOKUP(E909,STAT1!$C$4:$D$1000,2,FALSE),"")</f>
        <v>Бараа бэлэн бүтээгдэхүүн БОЛОВСРУУЛАХ ЦЕХ /нарс/</v>
      </c>
      <c r="G909" s="811"/>
      <c r="H909" s="811">
        <v>198914.25</v>
      </c>
      <c r="I909" s="580">
        <f t="shared" si="72"/>
        <v>0</v>
      </c>
      <c r="J909" s="961">
        <f>+IF(E905=110102,I909/K909,0)</f>
        <v>0</v>
      </c>
      <c r="K909" s="80"/>
      <c r="L909" s="807">
        <v>3055</v>
      </c>
      <c r="M909" s="80" t="str">
        <f>+IFERROR(VLOOKUP(L909,DATA!$G$4:$H$2000,2,FALSE),"")</f>
        <v xml:space="preserve">МЧБС ХХК </v>
      </c>
      <c r="N909" s="807"/>
      <c r="O909" s="80" t="str">
        <f>IFERROR(VLOOKUP(N909,DATA!$K$4:$L$51,2,FALSE),"")</f>
        <v/>
      </c>
      <c r="P909" s="80">
        <f t="shared" si="73"/>
        <v>0</v>
      </c>
      <c r="Q909" s="154">
        <f t="shared" si="74"/>
        <v>0</v>
      </c>
    </row>
    <row r="910" spans="2:17">
      <c r="B910" s="627">
        <f t="shared" si="75"/>
        <v>905</v>
      </c>
      <c r="C910" s="429">
        <v>43287</v>
      </c>
      <c r="D910" s="816" t="s">
        <v>2727</v>
      </c>
      <c r="E910" s="807">
        <v>610100</v>
      </c>
      <c r="F910" s="629" t="str">
        <f>IFERROR(VLOOKUP(E910,STAT1!$C$4:$D$1000,2,FALSE),"")</f>
        <v>Борлуулсан барааны өртөг</v>
      </c>
      <c r="G910" s="811">
        <v>198914.25</v>
      </c>
      <c r="H910" s="811"/>
      <c r="I910" s="580">
        <f t="shared" si="72"/>
        <v>0</v>
      </c>
      <c r="J910" s="961">
        <f>+IF(E906=110102,I910/K910,0)</f>
        <v>0</v>
      </c>
      <c r="K910" s="80"/>
      <c r="L910" s="807">
        <v>3055</v>
      </c>
      <c r="M910" s="80" t="str">
        <f>+IFERROR(VLOOKUP(L910,DATA!$G$4:$H$2000,2,FALSE),"")</f>
        <v xml:space="preserve">МЧБС ХХК </v>
      </c>
      <c r="N910" s="807"/>
      <c r="O910" s="80" t="str">
        <f>IFERROR(VLOOKUP(N910,DATA!$K$4:$L$51,2,FALSE),"")</f>
        <v/>
      </c>
      <c r="P910" s="80">
        <f t="shared" si="73"/>
        <v>0</v>
      </c>
      <c r="Q910" s="154">
        <f t="shared" si="74"/>
        <v>0</v>
      </c>
    </row>
    <row r="911" spans="2:17">
      <c r="B911" s="627">
        <f t="shared" si="75"/>
        <v>906</v>
      </c>
      <c r="C911" s="429">
        <v>43287</v>
      </c>
      <c r="D911" s="816" t="s">
        <v>2727</v>
      </c>
      <c r="E911" s="807">
        <v>310500</v>
      </c>
      <c r="F911" s="629" t="str">
        <f>IFERROR(VLOOKUP(E911,STAT1!$C$4:$D$1000,2,FALSE),"")</f>
        <v>НӨАТ өглөг</v>
      </c>
      <c r="G911" s="811"/>
      <c r="H911" s="811">
        <v>36118.18</v>
      </c>
      <c r="I911" s="580">
        <f t="shared" ref="I911:I974" si="77">+IF(OR(E911=100100,E911=100200,E911=110100,E911=110102,E911=110103,E911=110104,E911=110105,E911=110200,E911=110201,E911=110202,E911=110203,E911=110204,E911=110300),G911,0)+IF(OR(E911=100100,E911=100200,E911=110100,E911=110102,E911=110103,E911=110104,E911=110105,E911=110200,E911=110201,E911=110202,E911=110203,E911=110204,E911=110300),H911*-1,0)</f>
        <v>0</v>
      </c>
      <c r="J911" s="961">
        <f t="shared" ref="J911:J974" si="78">+IF(E911=110102,I911/K911,0)</f>
        <v>0</v>
      </c>
      <c r="K911" s="80"/>
      <c r="L911" s="807">
        <v>3055</v>
      </c>
      <c r="M911" s="80" t="str">
        <f>+IFERROR(VLOOKUP(L911,DATA!$G$4:$H$2000,2,FALSE),"")</f>
        <v xml:space="preserve">МЧБС ХХК </v>
      </c>
      <c r="N911" s="807"/>
      <c r="O911" s="80" t="str">
        <f>IFERROR(VLOOKUP(N911,DATA!$K$4:$L$51,2,FALSE),"")</f>
        <v/>
      </c>
      <c r="P911" s="80">
        <f t="shared" si="73"/>
        <v>0</v>
      </c>
      <c r="Q911" s="154">
        <f t="shared" si="74"/>
        <v>0</v>
      </c>
    </row>
    <row r="912" spans="2:17">
      <c r="B912" s="627">
        <f t="shared" si="75"/>
        <v>907</v>
      </c>
      <c r="C912" s="429">
        <v>43287</v>
      </c>
      <c r="D912" s="816" t="s">
        <v>2727</v>
      </c>
      <c r="E912" s="807">
        <v>510000</v>
      </c>
      <c r="F912" s="629" t="str">
        <f>IFERROR(VLOOKUP(E912,STAT1!$C$4:$D$1000,2,FALSE),"")</f>
        <v>Үндсэн үйл ажиллагааны борлуулалт</v>
      </c>
      <c r="G912" s="811"/>
      <c r="H912" s="811">
        <v>361181.82</v>
      </c>
      <c r="I912" s="580">
        <f t="shared" si="77"/>
        <v>0</v>
      </c>
      <c r="J912" s="961">
        <f t="shared" si="78"/>
        <v>0</v>
      </c>
      <c r="K912" s="80"/>
      <c r="L912" s="807">
        <v>3055</v>
      </c>
      <c r="M912" s="80" t="str">
        <f>+IFERROR(VLOOKUP(L912,DATA!$G$4:$H$2000,2,FALSE),"")</f>
        <v xml:space="preserve">МЧБС ХХК </v>
      </c>
      <c r="N912" s="807"/>
      <c r="O912" s="80" t="str">
        <f>IFERROR(VLOOKUP(N912,DATA!$K$4:$L$51,2,FALSE),"")</f>
        <v/>
      </c>
      <c r="P912" s="80">
        <f t="shared" si="73"/>
        <v>0</v>
      </c>
      <c r="Q912" s="154">
        <f t="shared" si="74"/>
        <v>0</v>
      </c>
    </row>
    <row r="913" spans="2:17">
      <c r="B913" s="627">
        <f t="shared" si="75"/>
        <v>908</v>
      </c>
      <c r="C913" s="429">
        <v>43287</v>
      </c>
      <c r="D913" s="816" t="s">
        <v>2727</v>
      </c>
      <c r="E913" s="807">
        <v>320100</v>
      </c>
      <c r="F913" s="629" t="str">
        <f>IFERROR(VLOOKUP(E913,STAT1!$C$4:$D$1000,2,FALSE),"")</f>
        <v>Урьдчилж орсон орлого MNT</v>
      </c>
      <c r="G913" s="811">
        <v>397300</v>
      </c>
      <c r="H913" s="811"/>
      <c r="I913" s="580">
        <f t="shared" si="77"/>
        <v>0</v>
      </c>
      <c r="J913" s="961">
        <f t="shared" si="78"/>
        <v>0</v>
      </c>
      <c r="K913" s="80"/>
      <c r="L913" s="807">
        <v>3055</v>
      </c>
      <c r="M913" s="80" t="str">
        <f>+IFERROR(VLOOKUP(L913,DATA!$G$4:$H$2000,2,FALSE),"")</f>
        <v xml:space="preserve">МЧБС ХХК </v>
      </c>
      <c r="N913" s="807"/>
      <c r="O913" s="80" t="str">
        <f>IFERROR(VLOOKUP(N913,DATA!$K$4:$L$51,2,FALSE),"")</f>
        <v/>
      </c>
      <c r="P913" s="80">
        <f t="shared" si="73"/>
        <v>0</v>
      </c>
      <c r="Q913" s="154">
        <f t="shared" si="74"/>
        <v>0</v>
      </c>
    </row>
    <row r="914" spans="2:17">
      <c r="B914" s="627">
        <f t="shared" si="75"/>
        <v>909</v>
      </c>
      <c r="C914" s="429">
        <v>43287</v>
      </c>
      <c r="D914" s="815" t="s">
        <v>1571</v>
      </c>
      <c r="E914" s="807">
        <v>100100</v>
      </c>
      <c r="F914" s="629" t="str">
        <f>IFERROR(VLOOKUP(E914,STAT1!$C$4:$D$1000,2,FALSE),"")</f>
        <v>Касс мөнгө MNT</v>
      </c>
      <c r="G914" s="811">
        <v>397300</v>
      </c>
      <c r="H914" s="811"/>
      <c r="I914" s="580">
        <f t="shared" si="77"/>
        <v>397300</v>
      </c>
      <c r="J914" s="961">
        <f t="shared" si="78"/>
        <v>0</v>
      </c>
      <c r="K914" s="80"/>
      <c r="L914" s="807">
        <v>3055</v>
      </c>
      <c r="M914" s="80" t="str">
        <f>+IFERROR(VLOOKUP(L914,DATA!$G$4:$H$2000,2,FALSE),"")</f>
        <v xml:space="preserve">МЧБС ХХК </v>
      </c>
      <c r="N914" s="807">
        <v>41</v>
      </c>
      <c r="O914" s="80" t="str">
        <f>IFERROR(VLOOKUP(N914,DATA!$K$4:$L$51,2,FALSE),"")</f>
        <v>Бараа борлуулсан, үйлчилгээ үзүүлсэний орлого</v>
      </c>
      <c r="P914" s="80">
        <f t="shared" si="73"/>
        <v>1</v>
      </c>
      <c r="Q914" s="154">
        <f t="shared" si="74"/>
        <v>1</v>
      </c>
    </row>
    <row r="915" spans="2:17">
      <c r="B915" s="627">
        <f t="shared" si="75"/>
        <v>910</v>
      </c>
      <c r="C915" s="429">
        <v>43287</v>
      </c>
      <c r="D915" s="815" t="s">
        <v>1571</v>
      </c>
      <c r="E915" s="630">
        <v>320100</v>
      </c>
      <c r="F915" s="629" t="str">
        <f>IFERROR(VLOOKUP(E915,STAT1!$C$4:$D$8000,2,FALSE),"")</f>
        <v>Урьдчилж орсон орлого MNT</v>
      </c>
      <c r="G915" s="376"/>
      <c r="H915" s="811">
        <v>397300</v>
      </c>
      <c r="I915" s="580">
        <f t="shared" si="77"/>
        <v>0</v>
      </c>
      <c r="J915" s="961">
        <f t="shared" si="78"/>
        <v>0</v>
      </c>
      <c r="K915" s="80"/>
      <c r="L915" s="630">
        <v>3055</v>
      </c>
      <c r="M915" s="80" t="str">
        <f>+IFERROR(VLOOKUP(L915,DATA!$G$4:$H$2000,2,FALSE),"")</f>
        <v xml:space="preserve">МЧБС ХХК </v>
      </c>
      <c r="N915" s="630"/>
      <c r="O915" s="80" t="str">
        <f>IFERROR(VLOOKUP(N915,DATA!$K$4:$L$51,2,FALSE),"")</f>
        <v/>
      </c>
      <c r="P915" s="80">
        <f t="shared" si="73"/>
        <v>0</v>
      </c>
      <c r="Q915" s="154">
        <f t="shared" si="74"/>
        <v>0</v>
      </c>
    </row>
    <row r="916" spans="2:17">
      <c r="B916" s="627">
        <f t="shared" si="75"/>
        <v>911</v>
      </c>
      <c r="C916" s="582">
        <v>43289</v>
      </c>
      <c r="D916" s="815" t="s">
        <v>2377</v>
      </c>
      <c r="E916" s="630">
        <v>110100</v>
      </c>
      <c r="F916" s="629" t="str">
        <f>IFERROR(VLOOKUP(E916,STAT1!$C$4:$D$1000,2,FALSE),"")</f>
        <v>Хаан Банк 5024654020</v>
      </c>
      <c r="G916" s="376"/>
      <c r="H916" s="376">
        <v>286000</v>
      </c>
      <c r="I916" s="580">
        <f t="shared" si="77"/>
        <v>-286000</v>
      </c>
      <c r="J916" s="961">
        <f t="shared" si="78"/>
        <v>0</v>
      </c>
      <c r="K916" s="80"/>
      <c r="L916" s="630">
        <v>1004</v>
      </c>
      <c r="M916" s="80" t="str">
        <f>+IFERROR(VLOOKUP(L916,DATA!$G$4:$H$2000,2,FALSE),"")</f>
        <v xml:space="preserve">Түмэндэлгэр </v>
      </c>
      <c r="N916" s="630">
        <v>59</v>
      </c>
      <c r="O916" s="80" t="str">
        <f>IFERROR(VLOOKUP(N916,DATA!$K$4:$L$51,2,FALSE),"")</f>
        <v>Бусад мөнгөн зарлага</v>
      </c>
      <c r="P916" s="80">
        <f t="shared" si="73"/>
        <v>1</v>
      </c>
      <c r="Q916" s="154">
        <f t="shared" si="74"/>
        <v>1</v>
      </c>
    </row>
    <row r="917" spans="2:17">
      <c r="B917" s="627">
        <f t="shared" si="75"/>
        <v>912</v>
      </c>
      <c r="C917" s="582">
        <v>43289</v>
      </c>
      <c r="D917" s="815" t="s">
        <v>2377</v>
      </c>
      <c r="E917" s="630">
        <v>120600</v>
      </c>
      <c r="F917" s="629" t="str">
        <f>IFERROR(VLOOKUP(E917,STAT1!$C$4:$D$1000,2,FALSE),"")</f>
        <v>НӨАТ авлага</v>
      </c>
      <c r="G917" s="376">
        <v>26000</v>
      </c>
      <c r="H917" s="376"/>
      <c r="I917" s="580">
        <f t="shared" si="77"/>
        <v>0</v>
      </c>
      <c r="J917" s="961">
        <f t="shared" si="78"/>
        <v>0</v>
      </c>
      <c r="K917" s="80"/>
      <c r="L917" s="630">
        <v>1004</v>
      </c>
      <c r="M917" s="80" t="str">
        <f>+IFERROR(VLOOKUP(L917,DATA!$G$4:$H$2000,2,FALSE),"")</f>
        <v xml:space="preserve">Түмэндэлгэр </v>
      </c>
      <c r="N917" s="807"/>
      <c r="O917" s="80" t="str">
        <f>IFERROR(VLOOKUP(N917,DATA!$K$4:$L$51,2,FALSE),"")</f>
        <v/>
      </c>
      <c r="P917" s="80">
        <f t="shared" si="73"/>
        <v>0</v>
      </c>
      <c r="Q917" s="154">
        <f t="shared" si="74"/>
        <v>0</v>
      </c>
    </row>
    <row r="918" spans="2:17">
      <c r="B918" s="627">
        <f t="shared" si="75"/>
        <v>913</v>
      </c>
      <c r="C918" s="582">
        <v>43289</v>
      </c>
      <c r="D918" s="815" t="s">
        <v>2377</v>
      </c>
      <c r="E918" s="630">
        <v>701900</v>
      </c>
      <c r="F918" s="629" t="str">
        <f>IFERROR(VLOOKUP(E918,STAT1!$C$4:$D$1000,2,FALSE),"")</f>
        <v>Харилцаа холбоо</v>
      </c>
      <c r="G918" s="376">
        <v>260000</v>
      </c>
      <c r="H918" s="376"/>
      <c r="I918" s="580">
        <f t="shared" si="77"/>
        <v>0</v>
      </c>
      <c r="J918" s="961">
        <f t="shared" si="78"/>
        <v>0</v>
      </c>
      <c r="K918" s="80"/>
      <c r="L918" s="630">
        <v>1004</v>
      </c>
      <c r="M918" s="80" t="str">
        <f>+IFERROR(VLOOKUP(L918,DATA!$G$4:$H$2000,2,FALSE),"")</f>
        <v xml:space="preserve">Түмэндэлгэр </v>
      </c>
      <c r="N918" s="630"/>
      <c r="O918" s="80" t="str">
        <f>IFERROR(VLOOKUP(N918,DATA!$K$4:$L$51,2,FALSE),"")</f>
        <v/>
      </c>
      <c r="P918" s="80">
        <f t="shared" si="73"/>
        <v>0</v>
      </c>
      <c r="Q918" s="154">
        <f t="shared" si="74"/>
        <v>0</v>
      </c>
    </row>
    <row r="919" spans="2:17">
      <c r="B919" s="627">
        <f t="shared" si="75"/>
        <v>914</v>
      </c>
      <c r="C919" s="582">
        <v>43289</v>
      </c>
      <c r="D919" s="815" t="s">
        <v>1331</v>
      </c>
      <c r="E919" s="630">
        <v>110100</v>
      </c>
      <c r="F919" s="629" t="str">
        <f>IFERROR(VLOOKUP(E919,STAT1!$C$4:$D$1000,2,FALSE),"")</f>
        <v>Хаан Банк 5024654020</v>
      </c>
      <c r="G919" s="376"/>
      <c r="H919" s="376">
        <v>39824</v>
      </c>
      <c r="I919" s="580">
        <f t="shared" si="77"/>
        <v>-39824</v>
      </c>
      <c r="J919" s="961">
        <f t="shared" si="78"/>
        <v>0</v>
      </c>
      <c r="K919" s="80"/>
      <c r="L919" s="630">
        <v>2006</v>
      </c>
      <c r="M919" s="80" t="str">
        <f>+IFERROR(VLOOKUP(L919,DATA!$G$4:$H$2000,2,FALSE),"")</f>
        <v xml:space="preserve">МЦХОЛБОО </v>
      </c>
      <c r="N919" s="630">
        <v>59</v>
      </c>
      <c r="O919" s="80" t="str">
        <f>IFERROR(VLOOKUP(N919,DATA!$K$4:$L$51,2,FALSE),"")</f>
        <v>Бусад мөнгөн зарлага</v>
      </c>
      <c r="P919" s="80">
        <f t="shared" si="73"/>
        <v>1</v>
      </c>
      <c r="Q919" s="154">
        <f t="shared" si="74"/>
        <v>1</v>
      </c>
    </row>
    <row r="920" spans="2:17">
      <c r="B920" s="627">
        <f t="shared" si="75"/>
        <v>915</v>
      </c>
      <c r="C920" s="582">
        <v>43289</v>
      </c>
      <c r="D920" s="815" t="s">
        <v>1331</v>
      </c>
      <c r="E920" s="630">
        <v>120600</v>
      </c>
      <c r="F920" s="629" t="str">
        <f>IFERROR(VLOOKUP(E920,STAT1!$C$4:$D$1000,2,FALSE),"")</f>
        <v>НӨАТ авлага</v>
      </c>
      <c r="G920" s="376">
        <v>3620.4</v>
      </c>
      <c r="H920" s="376"/>
      <c r="I920" s="580">
        <f t="shared" si="77"/>
        <v>0</v>
      </c>
      <c r="J920" s="961">
        <f t="shared" si="78"/>
        <v>0</v>
      </c>
      <c r="K920" s="80"/>
      <c r="L920" s="630">
        <v>2006</v>
      </c>
      <c r="M920" s="80" t="str">
        <f>+IFERROR(VLOOKUP(L920,DATA!$G$4:$H$2000,2,FALSE),"")</f>
        <v xml:space="preserve">МЦХОЛБОО </v>
      </c>
      <c r="N920" s="630"/>
      <c r="O920" s="80" t="str">
        <f>IFERROR(VLOOKUP(N920,DATA!$K$4:$L$51,2,FALSE),"")</f>
        <v/>
      </c>
      <c r="P920" s="80">
        <f t="shared" si="73"/>
        <v>0</v>
      </c>
      <c r="Q920" s="154">
        <f t="shared" si="74"/>
        <v>0</v>
      </c>
    </row>
    <row r="921" spans="2:17">
      <c r="B921" s="627">
        <f t="shared" si="75"/>
        <v>916</v>
      </c>
      <c r="C921" s="582">
        <v>43289</v>
      </c>
      <c r="D921" s="815" t="s">
        <v>1331</v>
      </c>
      <c r="E921" s="630">
        <v>701900</v>
      </c>
      <c r="F921" s="629" t="str">
        <f>IFERROR(VLOOKUP(E921,STAT1!$C$4:$D$1000,2,FALSE),"")</f>
        <v>Харилцаа холбоо</v>
      </c>
      <c r="G921" s="811">
        <f>39824-3620.4</f>
        <v>36203.599999999999</v>
      </c>
      <c r="H921" s="811"/>
      <c r="I921" s="580">
        <f t="shared" si="77"/>
        <v>0</v>
      </c>
      <c r="J921" s="961">
        <f t="shared" si="78"/>
        <v>0</v>
      </c>
      <c r="K921" s="80"/>
      <c r="L921" s="807">
        <v>2006</v>
      </c>
      <c r="M921" s="80" t="str">
        <f>+IFERROR(VLOOKUP(L921,DATA!$G$4:$H$2000,2,FALSE),"")</f>
        <v xml:space="preserve">МЦХОЛБОО </v>
      </c>
      <c r="N921" s="630"/>
      <c r="O921" s="80" t="str">
        <f>IFERROR(VLOOKUP(N921,DATA!$K$4:$L$51,2,FALSE),"")</f>
        <v/>
      </c>
      <c r="P921" s="80">
        <f t="shared" si="73"/>
        <v>0</v>
      </c>
      <c r="Q921" s="154">
        <f t="shared" si="74"/>
        <v>0</v>
      </c>
    </row>
    <row r="922" spans="2:17">
      <c r="B922" s="627">
        <f t="shared" si="75"/>
        <v>917</v>
      </c>
      <c r="C922" s="429">
        <v>43290</v>
      </c>
      <c r="D922" s="816" t="s">
        <v>1571</v>
      </c>
      <c r="E922" s="807">
        <v>100100</v>
      </c>
      <c r="F922" s="629" t="str">
        <f>IFERROR(VLOOKUP(E922,STAT1!$C$4:$D$1000,2,FALSE),"")</f>
        <v>Касс мөнгө MNT</v>
      </c>
      <c r="G922" s="811">
        <v>396000</v>
      </c>
      <c r="H922" s="811"/>
      <c r="I922" s="580">
        <f t="shared" si="77"/>
        <v>396000</v>
      </c>
      <c r="J922" s="961">
        <f t="shared" si="78"/>
        <v>0</v>
      </c>
      <c r="K922" s="80"/>
      <c r="L922" s="807">
        <v>4002</v>
      </c>
      <c r="M922" s="80" t="str">
        <f>+IFERROR(VLOOKUP(L922,DATA!$G$4:$H$2000,2,FALSE),"")</f>
        <v xml:space="preserve">Хувь хүн </v>
      </c>
      <c r="N922" s="807">
        <v>41</v>
      </c>
      <c r="O922" s="80" t="str">
        <f>IFERROR(VLOOKUP(N922,DATA!$K$4:$L$51,2,FALSE),"")</f>
        <v>Бараа борлуулсан, үйлчилгээ үзүүлсэний орлого</v>
      </c>
      <c r="P922" s="80">
        <f t="shared" si="73"/>
        <v>1</v>
      </c>
      <c r="Q922" s="154">
        <f t="shared" si="74"/>
        <v>1</v>
      </c>
    </row>
    <row r="923" spans="2:17">
      <c r="B923" s="627">
        <f t="shared" si="75"/>
        <v>918</v>
      </c>
      <c r="C923" s="429">
        <v>43290</v>
      </c>
      <c r="D923" s="816" t="s">
        <v>1571</v>
      </c>
      <c r="E923" s="807">
        <v>320100</v>
      </c>
      <c r="F923" s="629" t="str">
        <f>IFERROR(VLOOKUP(E923,STAT1!$C$4:$D$1000,2,FALSE),"")</f>
        <v>Урьдчилж орсон орлого MNT</v>
      </c>
      <c r="G923" s="811"/>
      <c r="H923" s="811">
        <v>396000</v>
      </c>
      <c r="I923" s="580">
        <f t="shared" si="77"/>
        <v>0</v>
      </c>
      <c r="J923" s="961">
        <f t="shared" si="78"/>
        <v>0</v>
      </c>
      <c r="K923" s="80"/>
      <c r="L923" s="807">
        <v>4002</v>
      </c>
      <c r="M923" s="80" t="str">
        <f>+IFERROR(VLOOKUP(L923,DATA!$G$4:$H$2000,2,FALSE),"")</f>
        <v xml:space="preserve">Хувь хүн </v>
      </c>
      <c r="N923" s="807"/>
      <c r="O923" s="80" t="str">
        <f>IFERROR(VLOOKUP(N923,DATA!$K$4:$L$51,2,FALSE),"")</f>
        <v/>
      </c>
      <c r="P923" s="80">
        <f t="shared" si="73"/>
        <v>0</v>
      </c>
      <c r="Q923" s="154">
        <f t="shared" si="74"/>
        <v>0</v>
      </c>
    </row>
    <row r="924" spans="2:17">
      <c r="B924" s="627">
        <f t="shared" si="75"/>
        <v>919</v>
      </c>
      <c r="C924" s="582">
        <v>43290</v>
      </c>
      <c r="D924" s="816" t="s">
        <v>2727</v>
      </c>
      <c r="E924" s="807">
        <v>150101</v>
      </c>
      <c r="F924" s="629" t="str">
        <f>IFERROR(VLOOKUP(E924,STAT1!$C$4:$D$8000,2,FALSE),"")</f>
        <v>Бараа бэлэн бүтээгдэхүүн БОЛОВСРУУЛАХ ЦЕХ /нарс/</v>
      </c>
      <c r="G924" s="376"/>
      <c r="H924" s="376">
        <v>165333.59</v>
      </c>
      <c r="I924" s="580">
        <f t="shared" si="77"/>
        <v>0</v>
      </c>
      <c r="J924" s="961">
        <f t="shared" si="78"/>
        <v>0</v>
      </c>
      <c r="K924" s="80"/>
      <c r="L924" s="630">
        <v>4002</v>
      </c>
      <c r="M924" s="80" t="str">
        <f>+IFERROR(VLOOKUP(L924,DATA!$G$4:$H$2000,2,FALSE),"")</f>
        <v xml:space="preserve">Хувь хүн </v>
      </c>
      <c r="N924" s="630"/>
      <c r="O924" s="80" t="str">
        <f>IFERROR(VLOOKUP(N924,DATA!$K$4:$L$51,2,FALSE),"")</f>
        <v/>
      </c>
      <c r="P924" s="80">
        <f t="shared" si="73"/>
        <v>0</v>
      </c>
      <c r="Q924" s="154">
        <f t="shared" si="74"/>
        <v>0</v>
      </c>
    </row>
    <row r="925" spans="2:17">
      <c r="B925" s="627">
        <f t="shared" si="75"/>
        <v>920</v>
      </c>
      <c r="C925" s="582">
        <v>43290</v>
      </c>
      <c r="D925" s="816" t="s">
        <v>2727</v>
      </c>
      <c r="E925" s="807">
        <v>610100</v>
      </c>
      <c r="F925" s="629" t="str">
        <f>IFERROR(VLOOKUP(E925,STAT1!$C$4:$D$8000,2,FALSE),"")</f>
        <v>Борлуулсан барааны өртөг</v>
      </c>
      <c r="G925" s="376">
        <v>165333.59</v>
      </c>
      <c r="H925" s="376"/>
      <c r="I925" s="580">
        <f t="shared" si="77"/>
        <v>0</v>
      </c>
      <c r="J925" s="961">
        <f t="shared" si="78"/>
        <v>0</v>
      </c>
      <c r="K925" s="80"/>
      <c r="L925" s="630">
        <v>4002</v>
      </c>
      <c r="M925" s="80" t="str">
        <f>+IFERROR(VLOOKUP(L925,DATA!$G$4:$H$2000,2,FALSE),"")</f>
        <v xml:space="preserve">Хувь хүн </v>
      </c>
      <c r="N925" s="630"/>
      <c r="O925" s="80" t="str">
        <f>IFERROR(VLOOKUP(N925,DATA!$K$4:$L$51,2,FALSE),"")</f>
        <v/>
      </c>
      <c r="P925" s="80">
        <f t="shared" si="73"/>
        <v>0</v>
      </c>
      <c r="Q925" s="154">
        <f t="shared" si="74"/>
        <v>0</v>
      </c>
    </row>
    <row r="926" spans="2:17">
      <c r="B926" s="627">
        <f t="shared" si="75"/>
        <v>921</v>
      </c>
      <c r="C926" s="429">
        <v>43290</v>
      </c>
      <c r="D926" s="816" t="s">
        <v>2727</v>
      </c>
      <c r="E926" s="807">
        <v>310500</v>
      </c>
      <c r="F926" s="629" t="str">
        <f>IFERROR(VLOOKUP(E926,STAT1!$C$4:$D$1000,2,FALSE),"")</f>
        <v>НӨАТ өглөг</v>
      </c>
      <c r="G926" s="811"/>
      <c r="H926" s="811">
        <v>36000</v>
      </c>
      <c r="I926" s="580">
        <f t="shared" si="77"/>
        <v>0</v>
      </c>
      <c r="J926" s="961">
        <f t="shared" si="78"/>
        <v>0</v>
      </c>
      <c r="K926" s="80"/>
      <c r="L926" s="807">
        <v>4002</v>
      </c>
      <c r="M926" s="80" t="str">
        <f>+IFERROR(VLOOKUP(L926,DATA!$G$4:$H$2000,2,FALSE),"")</f>
        <v xml:space="preserve">Хувь хүн </v>
      </c>
      <c r="N926" s="807"/>
      <c r="O926" s="80" t="str">
        <f>IFERROR(VLOOKUP(N926,DATA!$K$4:$L$51,2,FALSE),"")</f>
        <v/>
      </c>
      <c r="P926" s="80">
        <f t="shared" si="73"/>
        <v>0</v>
      </c>
      <c r="Q926" s="154">
        <f t="shared" si="74"/>
        <v>0</v>
      </c>
    </row>
    <row r="927" spans="2:17">
      <c r="B927" s="627">
        <f t="shared" si="75"/>
        <v>922</v>
      </c>
      <c r="C927" s="429">
        <v>43290</v>
      </c>
      <c r="D927" s="816" t="s">
        <v>2727</v>
      </c>
      <c r="E927" s="807">
        <v>510000</v>
      </c>
      <c r="F927" s="629" t="str">
        <f>IFERROR(VLOOKUP(E927,STAT1!$C$4:$D$1000,2,FALSE),"")</f>
        <v>Үндсэн үйл ажиллагааны борлуулалт</v>
      </c>
      <c r="G927" s="811"/>
      <c r="H927" s="811">
        <v>360000</v>
      </c>
      <c r="I927" s="580">
        <f t="shared" si="77"/>
        <v>0</v>
      </c>
      <c r="J927" s="961">
        <f t="shared" si="78"/>
        <v>0</v>
      </c>
      <c r="K927" s="80"/>
      <c r="L927" s="807">
        <v>4002</v>
      </c>
      <c r="M927" s="80" t="str">
        <f>+IFERROR(VLOOKUP(L927,DATA!$G$4:$H$2000,2,FALSE),"")</f>
        <v xml:space="preserve">Хувь хүн </v>
      </c>
      <c r="N927" s="807"/>
      <c r="O927" s="80" t="str">
        <f>IFERROR(VLOOKUP(N927,DATA!$K$4:$L$51,2,FALSE),"")</f>
        <v/>
      </c>
      <c r="P927" s="80">
        <f t="shared" si="73"/>
        <v>0</v>
      </c>
      <c r="Q927" s="154">
        <f t="shared" si="74"/>
        <v>0</v>
      </c>
    </row>
    <row r="928" spans="2:17">
      <c r="B928" s="627">
        <f t="shared" si="75"/>
        <v>923</v>
      </c>
      <c r="C928" s="429">
        <v>43290</v>
      </c>
      <c r="D928" s="816" t="s">
        <v>2727</v>
      </c>
      <c r="E928" s="807">
        <v>320100</v>
      </c>
      <c r="F928" s="629" t="str">
        <f>IFERROR(VLOOKUP(E928,STAT1!$C$4:$D$1000,2,FALSE),"")</f>
        <v>Урьдчилж орсон орлого MNT</v>
      </c>
      <c r="G928" s="811">
        <v>396000</v>
      </c>
      <c r="H928" s="811"/>
      <c r="I928" s="580">
        <f t="shared" si="77"/>
        <v>0</v>
      </c>
      <c r="J928" s="961">
        <f t="shared" si="78"/>
        <v>0</v>
      </c>
      <c r="K928" s="80"/>
      <c r="L928" s="807">
        <v>4002</v>
      </c>
      <c r="M928" s="80" t="str">
        <f>+IFERROR(VLOOKUP(L928,DATA!$G$4:$H$2000,2,FALSE),"")</f>
        <v xml:space="preserve">Хувь хүн </v>
      </c>
      <c r="N928" s="807"/>
      <c r="O928" s="80" t="str">
        <f>IFERROR(VLOOKUP(N928,DATA!$K$4:$L$51,2,FALSE),"")</f>
        <v/>
      </c>
      <c r="P928" s="80">
        <f t="shared" si="73"/>
        <v>0</v>
      </c>
      <c r="Q928" s="154">
        <f t="shared" si="74"/>
        <v>0</v>
      </c>
    </row>
    <row r="929" spans="2:17">
      <c r="B929" s="627">
        <f t="shared" si="75"/>
        <v>924</v>
      </c>
      <c r="C929" s="582">
        <v>43298</v>
      </c>
      <c r="D929" s="816" t="s">
        <v>1571</v>
      </c>
      <c r="E929" s="807">
        <v>110100</v>
      </c>
      <c r="F929" s="629" t="str">
        <f>IFERROR(VLOOKUP(E929,STAT1!$C$4:$D$1000,2,FALSE),"")</f>
        <v>Хаан Банк 5024654020</v>
      </c>
      <c r="G929" s="811">
        <v>1400000</v>
      </c>
      <c r="H929" s="811"/>
      <c r="I929" s="580">
        <f t="shared" si="77"/>
        <v>1400000</v>
      </c>
      <c r="J929" s="961">
        <f t="shared" si="78"/>
        <v>0</v>
      </c>
      <c r="K929" s="80"/>
      <c r="L929" s="807">
        <v>3130</v>
      </c>
      <c r="M929" s="80" t="str">
        <f>+IFERROR(VLOOKUP(L929,DATA!$G$4:$H$2000,2,FALSE),"")</f>
        <v>АРУМА ХХК</v>
      </c>
      <c r="N929" s="630">
        <v>41</v>
      </c>
      <c r="O929" s="80" t="str">
        <f>IFERROR(VLOOKUP(N929,DATA!$K$4:$L$51,2,FALSE),"")</f>
        <v>Бараа борлуулсан, үйлчилгээ үзүүлсэний орлого</v>
      </c>
      <c r="P929" s="80">
        <f t="shared" si="73"/>
        <v>1</v>
      </c>
      <c r="Q929" s="154">
        <f t="shared" si="74"/>
        <v>1</v>
      </c>
    </row>
    <row r="930" spans="2:17">
      <c r="B930" s="627">
        <f t="shared" si="75"/>
        <v>925</v>
      </c>
      <c r="C930" s="582">
        <v>43298</v>
      </c>
      <c r="D930" s="816" t="s">
        <v>1571</v>
      </c>
      <c r="E930" s="630">
        <v>320100</v>
      </c>
      <c r="F930" s="629" t="str">
        <f>IFERROR(VLOOKUP(E930,STAT1!$C$4:$D$1000,2,FALSE),"")</f>
        <v>Урьдчилж орсон орлого MNT</v>
      </c>
      <c r="G930" s="376"/>
      <c r="H930" s="376">
        <v>1400000</v>
      </c>
      <c r="I930" s="580">
        <f t="shared" si="77"/>
        <v>0</v>
      </c>
      <c r="J930" s="961">
        <f t="shared" si="78"/>
        <v>0</v>
      </c>
      <c r="K930" s="80"/>
      <c r="L930" s="630">
        <v>3130</v>
      </c>
      <c r="M930" s="80" t="str">
        <f>+IFERROR(VLOOKUP(L930,DATA!$G$4:$H$2000,2,FALSE),"")</f>
        <v>АРУМА ХХК</v>
      </c>
      <c r="N930" s="807"/>
      <c r="O930" s="80" t="str">
        <f>IFERROR(VLOOKUP(N930,DATA!$K$4:$L$51,2,FALSE),"")</f>
        <v/>
      </c>
      <c r="P930" s="80">
        <f t="shared" si="73"/>
        <v>0</v>
      </c>
      <c r="Q930" s="154">
        <f t="shared" si="74"/>
        <v>0</v>
      </c>
    </row>
    <row r="931" spans="2:17">
      <c r="B931" s="627">
        <f t="shared" si="75"/>
        <v>926</v>
      </c>
      <c r="C931" s="582">
        <v>43298</v>
      </c>
      <c r="D931" s="815" t="s">
        <v>1570</v>
      </c>
      <c r="E931" s="630">
        <v>100100</v>
      </c>
      <c r="F931" s="629" t="str">
        <f>IFERROR(VLOOKUP(E931,STAT1!$C$4:$D$8000,2,FALSE),"")</f>
        <v>Касс мөнгө MNT</v>
      </c>
      <c r="G931" s="376"/>
      <c r="H931" s="376">
        <v>7000</v>
      </c>
      <c r="I931" s="580">
        <f t="shared" si="77"/>
        <v>-7000</v>
      </c>
      <c r="J931" s="961">
        <f t="shared" si="78"/>
        <v>0</v>
      </c>
      <c r="K931" s="80"/>
      <c r="L931" s="630">
        <v>1004</v>
      </c>
      <c r="M931" s="80" t="str">
        <f>+IFERROR(VLOOKUP(L931,DATA!$G$4:$H$2000,2,FALSE),"")</f>
        <v xml:space="preserve">Түмэндэлгэр </v>
      </c>
      <c r="N931" s="630">
        <v>55</v>
      </c>
      <c r="O931" s="80" t="str">
        <f>IFERROR(VLOOKUP(N931,DATA!$K$4:$L$51,2,FALSE),"")</f>
        <v>Түлш, шатахуун, тээврийн хөлс, сэлбэг хэрэгсэлд төлсөн</v>
      </c>
      <c r="P931" s="80">
        <f t="shared" si="73"/>
        <v>1</v>
      </c>
      <c r="Q931" s="154">
        <f t="shared" si="74"/>
        <v>1</v>
      </c>
    </row>
    <row r="932" spans="2:17">
      <c r="B932" s="627">
        <f t="shared" si="75"/>
        <v>927</v>
      </c>
      <c r="C932" s="582">
        <v>43298</v>
      </c>
      <c r="D932" s="815" t="s">
        <v>1570</v>
      </c>
      <c r="E932" s="630">
        <v>120600</v>
      </c>
      <c r="F932" s="629" t="str">
        <f>IFERROR(VLOOKUP(E932,STAT1!$C$4:$D$8000,2,FALSE),"")</f>
        <v>НӨАТ авлага</v>
      </c>
      <c r="G932" s="376">
        <v>636.36</v>
      </c>
      <c r="H932" s="376"/>
      <c r="I932" s="580">
        <f t="shared" si="77"/>
        <v>0</v>
      </c>
      <c r="J932" s="961">
        <f t="shared" si="78"/>
        <v>0</v>
      </c>
      <c r="K932" s="80"/>
      <c r="L932" s="630">
        <v>1004</v>
      </c>
      <c r="M932" s="80" t="str">
        <f>+IFERROR(VLOOKUP(L932,DATA!$G$4:$H$2000,2,FALSE),"")</f>
        <v xml:space="preserve">Түмэндэлгэр </v>
      </c>
      <c r="N932" s="630"/>
      <c r="O932" s="80" t="str">
        <f>IFERROR(VLOOKUP(N932,DATA!$K$4:$L$51,2,FALSE),"")</f>
        <v/>
      </c>
      <c r="P932" s="80">
        <f t="shared" si="73"/>
        <v>0</v>
      </c>
      <c r="Q932" s="154">
        <f t="shared" si="74"/>
        <v>0</v>
      </c>
    </row>
    <row r="933" spans="2:17">
      <c r="B933" s="627">
        <f t="shared" si="75"/>
        <v>928</v>
      </c>
      <c r="C933" s="582">
        <v>43298</v>
      </c>
      <c r="D933" s="815" t="s">
        <v>1570</v>
      </c>
      <c r="E933" s="630">
        <v>702000</v>
      </c>
      <c r="F933" s="629" t="str">
        <f>IFERROR(VLOOKUP(E933,STAT1!$C$4:$D$8000,2,FALSE),"")</f>
        <v>Түлш, шатахуун</v>
      </c>
      <c r="G933" s="376">
        <f>7000-636.36</f>
        <v>6363.64</v>
      </c>
      <c r="H933" s="376"/>
      <c r="I933" s="580">
        <f t="shared" si="77"/>
        <v>0</v>
      </c>
      <c r="J933" s="961">
        <f t="shared" si="78"/>
        <v>0</v>
      </c>
      <c r="K933" s="80"/>
      <c r="L933" s="630">
        <v>1004</v>
      </c>
      <c r="M933" s="80" t="str">
        <f>+IFERROR(VLOOKUP(L933,DATA!$G$4:$H$2000,2,FALSE),"")</f>
        <v xml:space="preserve">Түмэндэлгэр </v>
      </c>
      <c r="N933" s="630"/>
      <c r="O933" s="80" t="str">
        <f>IFERROR(VLOOKUP(N933,DATA!$K$4:$L$51,2,FALSE),"")</f>
        <v/>
      </c>
      <c r="P933" s="80">
        <f t="shared" si="73"/>
        <v>0</v>
      </c>
      <c r="Q933" s="154">
        <f t="shared" si="74"/>
        <v>0</v>
      </c>
    </row>
    <row r="934" spans="2:17">
      <c r="B934" s="627">
        <f t="shared" si="75"/>
        <v>929</v>
      </c>
      <c r="C934" s="582">
        <v>43301</v>
      </c>
      <c r="D934" s="816" t="s">
        <v>2379</v>
      </c>
      <c r="E934" s="807">
        <v>110100</v>
      </c>
      <c r="F934" s="629" t="str">
        <f>IFERROR(VLOOKUP(E934,STAT1!$C$4:$D$1000,2,FALSE),"")</f>
        <v>Хаан Банк 5024654020</v>
      </c>
      <c r="G934" s="376"/>
      <c r="H934" s="376">
        <v>2851621</v>
      </c>
      <c r="I934" s="580">
        <f t="shared" si="77"/>
        <v>-2851621</v>
      </c>
      <c r="J934" s="961">
        <f t="shared" si="78"/>
        <v>0</v>
      </c>
      <c r="K934" s="80"/>
      <c r="L934" s="630">
        <v>2009</v>
      </c>
      <c r="M934" s="80" t="str">
        <f>+IFERROR(VLOOKUP(L934,DATA!$G$4:$H$2000,2,FALSE),"")</f>
        <v>ХААН БАНК</v>
      </c>
      <c r="N934" s="630">
        <v>91</v>
      </c>
      <c r="O934" s="80" t="str">
        <f>IFERROR(VLOOKUP(N934,DATA!$K$4:$L$51,2,FALSE),"")</f>
        <v>Зээл, өрийн үнэт цаасны төлбөрт төлсөн</v>
      </c>
      <c r="P934" s="80">
        <f t="shared" si="73"/>
        <v>1</v>
      </c>
      <c r="Q934" s="154">
        <f t="shared" si="74"/>
        <v>1</v>
      </c>
    </row>
    <row r="935" spans="2:17">
      <c r="B935" s="627">
        <f t="shared" si="75"/>
        <v>930</v>
      </c>
      <c r="C935" s="582">
        <v>43301</v>
      </c>
      <c r="D935" s="816" t="s">
        <v>2379</v>
      </c>
      <c r="E935" s="807">
        <v>311100</v>
      </c>
      <c r="F935" s="629" t="str">
        <f>IFERROR(VLOOKUP(E935,STAT1!$C$4:$D$1000,2,FALSE),"")</f>
        <v xml:space="preserve">Бусад богино хугацаат өглөг </v>
      </c>
      <c r="G935" s="376">
        <v>2851621</v>
      </c>
      <c r="H935" s="376"/>
      <c r="I935" s="580">
        <f t="shared" si="77"/>
        <v>0</v>
      </c>
      <c r="J935" s="961">
        <f t="shared" si="78"/>
        <v>0</v>
      </c>
      <c r="K935" s="80"/>
      <c r="L935" s="630">
        <v>2009</v>
      </c>
      <c r="M935" s="80" t="str">
        <f>+IFERROR(VLOOKUP(L935,DATA!$G$4:$H$2000,2,FALSE),"")</f>
        <v>ХААН БАНК</v>
      </c>
      <c r="N935" s="630"/>
      <c r="O935" s="80" t="str">
        <f>IFERROR(VLOOKUP(N935,DATA!$K$4:$L$51,2,FALSE),"")</f>
        <v/>
      </c>
      <c r="P935" s="80">
        <f t="shared" si="73"/>
        <v>0</v>
      </c>
      <c r="Q935" s="154">
        <f t="shared" si="74"/>
        <v>0</v>
      </c>
    </row>
    <row r="936" spans="2:17">
      <c r="B936" s="627">
        <f t="shared" si="75"/>
        <v>931</v>
      </c>
      <c r="C936" s="429">
        <v>43301</v>
      </c>
      <c r="D936" s="816" t="s">
        <v>2534</v>
      </c>
      <c r="E936" s="807">
        <v>100100</v>
      </c>
      <c r="F936" s="629" t="str">
        <f>IFERROR(VLOOKUP(E936,STAT1!$C$4:$D$1000,2,FALSE),"")</f>
        <v>Касс мөнгө MNT</v>
      </c>
      <c r="G936" s="811"/>
      <c r="H936" s="811">
        <v>1500000</v>
      </c>
      <c r="I936" s="580">
        <f t="shared" si="77"/>
        <v>-1500000</v>
      </c>
      <c r="J936" s="961">
        <f t="shared" si="78"/>
        <v>0</v>
      </c>
      <c r="K936" s="80"/>
      <c r="L936" s="807">
        <v>2012</v>
      </c>
      <c r="M936" s="80" t="str">
        <f>+IFERROR(VLOOKUP(L936,DATA!$G$4:$H$2000,2,FALSE),"")</f>
        <v>ИХ ТУГЧ ХХК</v>
      </c>
      <c r="N936" s="807">
        <v>59</v>
      </c>
      <c r="O936" s="80" t="str">
        <f>IFERROR(VLOOKUP(N936,DATA!$K$4:$L$51,2,FALSE),"")</f>
        <v>Бусад мөнгөн зарлага</v>
      </c>
      <c r="P936" s="80">
        <f t="shared" si="73"/>
        <v>1</v>
      </c>
      <c r="Q936" s="154">
        <f t="shared" si="74"/>
        <v>1</v>
      </c>
    </row>
    <row r="937" spans="2:17">
      <c r="B937" s="627">
        <f t="shared" si="75"/>
        <v>932</v>
      </c>
      <c r="C937" s="429">
        <v>43301</v>
      </c>
      <c r="D937" s="816" t="s">
        <v>2534</v>
      </c>
      <c r="E937" s="807">
        <v>705800</v>
      </c>
      <c r="F937" s="629" t="str">
        <f>IFERROR(VLOOKUP(E937,STAT1!$C$4:$D$1000,2,FALSE),"")</f>
        <v>Харуул хамгаалалт</v>
      </c>
      <c r="G937" s="811">
        <v>1500000</v>
      </c>
      <c r="H937" s="811"/>
      <c r="I937" s="580">
        <f t="shared" si="77"/>
        <v>0</v>
      </c>
      <c r="J937" s="961">
        <f t="shared" si="78"/>
        <v>0</v>
      </c>
      <c r="K937" s="80"/>
      <c r="L937" s="807">
        <v>2012</v>
      </c>
      <c r="M937" s="80" t="str">
        <f>+IFERROR(VLOOKUP(L937,DATA!$G$4:$H$2000,2,FALSE),"")</f>
        <v>ИХ ТУГЧ ХХК</v>
      </c>
      <c r="N937" s="807"/>
      <c r="O937" s="80" t="str">
        <f>IFERROR(VLOOKUP(N937,DATA!$K$4:$L$51,2,FALSE),"")</f>
        <v/>
      </c>
      <c r="P937" s="80">
        <f t="shared" si="73"/>
        <v>0</v>
      </c>
      <c r="Q937" s="154">
        <f t="shared" si="74"/>
        <v>0</v>
      </c>
    </row>
    <row r="938" spans="2:17">
      <c r="B938" s="627">
        <f t="shared" si="75"/>
        <v>933</v>
      </c>
      <c r="C938" s="429">
        <v>43302</v>
      </c>
      <c r="D938" s="816" t="s">
        <v>2727</v>
      </c>
      <c r="E938" s="807">
        <v>150101</v>
      </c>
      <c r="F938" s="629" t="str">
        <f>IFERROR(VLOOKUP(E938,STAT1!$C$4:$D$1000,2,FALSE),"")</f>
        <v>Бараа бэлэн бүтээгдэхүүн БОЛОВСРУУЛАХ ЦЕХ /нарс/</v>
      </c>
      <c r="G938" s="811"/>
      <c r="H938" s="811">
        <v>252133.72</v>
      </c>
      <c r="I938" s="580">
        <f t="shared" si="77"/>
        <v>0</v>
      </c>
      <c r="J938" s="961">
        <f t="shared" si="78"/>
        <v>0</v>
      </c>
      <c r="K938" s="80"/>
      <c r="L938" s="807">
        <v>3104</v>
      </c>
      <c r="M938" s="80" t="str">
        <f>+IFERROR(VLOOKUP(L938,DATA!$G$4:$H$2000,2,FALSE),"")</f>
        <v>ХҮРЭЭ ЦАМХАГ ХХК</v>
      </c>
      <c r="N938" s="807"/>
      <c r="O938" s="80" t="str">
        <f>IFERROR(VLOOKUP(N938,DATA!$K$4:$L$51,2,FALSE),"")</f>
        <v/>
      </c>
      <c r="P938" s="80">
        <f t="shared" si="73"/>
        <v>0</v>
      </c>
      <c r="Q938" s="154">
        <f t="shared" si="74"/>
        <v>0</v>
      </c>
    </row>
    <row r="939" spans="2:17">
      <c r="B939" s="627">
        <f t="shared" si="75"/>
        <v>934</v>
      </c>
      <c r="C939" s="429">
        <v>43302</v>
      </c>
      <c r="D939" s="816" t="s">
        <v>2727</v>
      </c>
      <c r="E939" s="807">
        <v>610100</v>
      </c>
      <c r="F939" s="629" t="str">
        <f>IFERROR(VLOOKUP(E939,STAT1!$C$4:$D$1000,2,FALSE),"")</f>
        <v>Борлуулсан барааны өртөг</v>
      </c>
      <c r="G939" s="811">
        <v>252133.72</v>
      </c>
      <c r="H939" s="811"/>
      <c r="I939" s="580">
        <f t="shared" si="77"/>
        <v>0</v>
      </c>
      <c r="J939" s="961">
        <f t="shared" si="78"/>
        <v>0</v>
      </c>
      <c r="K939" s="80"/>
      <c r="L939" s="807">
        <v>3104</v>
      </c>
      <c r="M939" s="80" t="str">
        <f>+IFERROR(VLOOKUP(L939,DATA!$G$4:$H$2000,2,FALSE),"")</f>
        <v>ХҮРЭЭ ЦАМХАГ ХХК</v>
      </c>
      <c r="N939" s="807"/>
      <c r="O939" s="80" t="str">
        <f>IFERROR(VLOOKUP(N939,DATA!$K$4:$L$51,2,FALSE),"")</f>
        <v/>
      </c>
      <c r="P939" s="80">
        <f t="shared" ref="P939:P1002" si="79">+IF(I939,1,0)</f>
        <v>0</v>
      </c>
      <c r="Q939" s="154">
        <f t="shared" ref="Q939:Q1002" si="80">+IF(I939,1,0)</f>
        <v>0</v>
      </c>
    </row>
    <row r="940" spans="2:17">
      <c r="B940" s="627">
        <f t="shared" si="75"/>
        <v>935</v>
      </c>
      <c r="C940" s="429">
        <v>43302</v>
      </c>
      <c r="D940" s="816" t="s">
        <v>2727</v>
      </c>
      <c r="E940" s="807">
        <v>310500</v>
      </c>
      <c r="F940" s="629" t="str">
        <f>IFERROR(VLOOKUP(E940,STAT1!$C$4:$D$8000,2,FALSE),"")</f>
        <v>НӨАТ өглөг</v>
      </c>
      <c r="G940" s="376"/>
      <c r="H940" s="376">
        <v>73194.55</v>
      </c>
      <c r="I940" s="580">
        <f t="shared" si="77"/>
        <v>0</v>
      </c>
      <c r="J940" s="961">
        <f t="shared" si="78"/>
        <v>0</v>
      </c>
      <c r="K940" s="80"/>
      <c r="L940" s="807">
        <v>3104</v>
      </c>
      <c r="M940" s="80" t="str">
        <f>+IFERROR(VLOOKUP(L940,DATA!$G$4:$H$2000,2,FALSE),"")</f>
        <v>ХҮРЭЭ ЦАМХАГ ХХК</v>
      </c>
      <c r="N940" s="630"/>
      <c r="O940" s="80" t="str">
        <f>IFERROR(VLOOKUP(N940,DATA!$K$4:$L$51,2,FALSE),"")</f>
        <v/>
      </c>
      <c r="P940" s="80">
        <f t="shared" si="79"/>
        <v>0</v>
      </c>
      <c r="Q940" s="154">
        <f t="shared" si="80"/>
        <v>0</v>
      </c>
    </row>
    <row r="941" spans="2:17">
      <c r="B941" s="627">
        <f t="shared" si="75"/>
        <v>936</v>
      </c>
      <c r="C941" s="429">
        <v>43302</v>
      </c>
      <c r="D941" s="816" t="s">
        <v>2727</v>
      </c>
      <c r="E941" s="807">
        <v>510000</v>
      </c>
      <c r="F941" s="629" t="str">
        <f>IFERROR(VLOOKUP(E941,STAT1!$C$4:$D$8000,2,FALSE),"")</f>
        <v>Үндсэн үйл ажиллагааны борлуулалт</v>
      </c>
      <c r="G941" s="376"/>
      <c r="H941" s="376">
        <v>731945.45</v>
      </c>
      <c r="I941" s="580">
        <f t="shared" si="77"/>
        <v>0</v>
      </c>
      <c r="J941" s="961">
        <f t="shared" si="78"/>
        <v>0</v>
      </c>
      <c r="K941" s="80"/>
      <c r="L941" s="807">
        <v>3104</v>
      </c>
      <c r="M941" s="80" t="str">
        <f>+IFERROR(VLOOKUP(L941,DATA!$G$4:$H$2000,2,FALSE),"")</f>
        <v>ХҮРЭЭ ЦАМХАГ ХХК</v>
      </c>
      <c r="N941" s="630"/>
      <c r="O941" s="80" t="str">
        <f>IFERROR(VLOOKUP(N941,DATA!$K$4:$L$51,2,FALSE),"")</f>
        <v/>
      </c>
      <c r="P941" s="80">
        <f t="shared" si="79"/>
        <v>0</v>
      </c>
      <c r="Q941" s="154">
        <f t="shared" si="80"/>
        <v>0</v>
      </c>
    </row>
    <row r="942" spans="2:17">
      <c r="B942" s="627">
        <f t="shared" si="75"/>
        <v>937</v>
      </c>
      <c r="C942" s="429">
        <v>43302</v>
      </c>
      <c r="D942" s="816" t="s">
        <v>2727</v>
      </c>
      <c r="E942" s="807">
        <v>320100</v>
      </c>
      <c r="F942" s="629" t="str">
        <f>IFERROR(VLOOKUP(E942,STAT1!$C$4:$D$8000,2,FALSE),"")</f>
        <v>Урьдчилж орсон орлого MNT</v>
      </c>
      <c r="G942" s="376">
        <v>805140</v>
      </c>
      <c r="H942" s="376"/>
      <c r="I942" s="580">
        <f t="shared" si="77"/>
        <v>0</v>
      </c>
      <c r="J942" s="961">
        <f t="shared" si="78"/>
        <v>0</v>
      </c>
      <c r="K942" s="80"/>
      <c r="L942" s="807">
        <v>3104</v>
      </c>
      <c r="M942" s="80" t="str">
        <f>+IFERROR(VLOOKUP(L942,DATA!$G$4:$H$2000,2,FALSE),"")</f>
        <v>ХҮРЭЭ ЦАМХАГ ХХК</v>
      </c>
      <c r="N942" s="630"/>
      <c r="O942" s="80" t="str">
        <f>IFERROR(VLOOKUP(N942,DATA!$K$4:$L$51,2,FALSE),"")</f>
        <v/>
      </c>
      <c r="P942" s="80">
        <f t="shared" si="79"/>
        <v>0</v>
      </c>
      <c r="Q942" s="154">
        <f t="shared" si="80"/>
        <v>0</v>
      </c>
    </row>
    <row r="943" spans="2:17">
      <c r="B943" s="627">
        <f t="shared" si="75"/>
        <v>938</v>
      </c>
      <c r="C943" s="582">
        <v>43304</v>
      </c>
      <c r="D943" s="816" t="s">
        <v>1570</v>
      </c>
      <c r="E943" s="807">
        <v>100100</v>
      </c>
      <c r="F943" s="629" t="str">
        <f>IFERROR(VLOOKUP(E943,STAT1!$C$4:$D$1000,2,FALSE),"")</f>
        <v>Касс мөнгө MNT</v>
      </c>
      <c r="G943" s="811"/>
      <c r="H943" s="811">
        <v>100000</v>
      </c>
      <c r="I943" s="580">
        <f t="shared" si="77"/>
        <v>-100000</v>
      </c>
      <c r="J943" s="961">
        <f t="shared" si="78"/>
        <v>0</v>
      </c>
      <c r="K943" s="80"/>
      <c r="L943" s="807">
        <v>1003</v>
      </c>
      <c r="M943" s="80" t="str">
        <f>+IFERROR(VLOOKUP(L943,DATA!$G$4:$H$2000,2,FALSE),"")</f>
        <v>Бахдамдэмбэрэл</v>
      </c>
      <c r="N943" s="807">
        <v>55</v>
      </c>
      <c r="O943" s="80" t="str">
        <f>IFERROR(VLOOKUP(N943,DATA!$K$4:$L$51,2,FALSE),"")</f>
        <v>Түлш, шатахуун, тээврийн хөлс, сэлбэг хэрэгсэлд төлсөн</v>
      </c>
      <c r="P943" s="80">
        <f t="shared" si="79"/>
        <v>1</v>
      </c>
      <c r="Q943" s="154">
        <f t="shared" si="80"/>
        <v>1</v>
      </c>
    </row>
    <row r="944" spans="2:17">
      <c r="B944" s="627">
        <f t="shared" si="75"/>
        <v>939</v>
      </c>
      <c r="C944" s="582">
        <v>43304</v>
      </c>
      <c r="D944" s="816" t="s">
        <v>1570</v>
      </c>
      <c r="E944" s="630">
        <v>120600</v>
      </c>
      <c r="F944" s="629" t="str">
        <f>IFERROR(VLOOKUP(E944,STAT1!$C$4:$D$1000,2,FALSE),"")</f>
        <v>НӨАТ авлага</v>
      </c>
      <c r="G944" s="811">
        <v>9090.91</v>
      </c>
      <c r="H944" s="811"/>
      <c r="I944" s="580">
        <f t="shared" si="77"/>
        <v>0</v>
      </c>
      <c r="J944" s="961">
        <f t="shared" si="78"/>
        <v>0</v>
      </c>
      <c r="K944" s="80"/>
      <c r="L944" s="807">
        <v>1003</v>
      </c>
      <c r="M944" s="80" t="str">
        <f>+IFERROR(VLOOKUP(L944,DATA!$G$4:$H$2000,2,FALSE),"")</f>
        <v>Бахдамдэмбэрэл</v>
      </c>
      <c r="N944" s="807"/>
      <c r="O944" s="80" t="str">
        <f>IFERROR(VLOOKUP(N944,DATA!$K$4:$L$51,2,FALSE),"")</f>
        <v/>
      </c>
      <c r="P944" s="80">
        <f t="shared" si="79"/>
        <v>0</v>
      </c>
      <c r="Q944" s="154">
        <f t="shared" si="80"/>
        <v>0</v>
      </c>
    </row>
    <row r="945" spans="2:17">
      <c r="B945" s="627">
        <f t="shared" si="75"/>
        <v>940</v>
      </c>
      <c r="C945" s="582">
        <v>43304</v>
      </c>
      <c r="D945" s="816" t="s">
        <v>1570</v>
      </c>
      <c r="E945" s="630">
        <v>702000</v>
      </c>
      <c r="F945" s="629" t="str">
        <f>IFERROR(VLOOKUP(E945,STAT1!$C$4:$D$1000,2,FALSE),"")</f>
        <v>Түлш, шатахуун</v>
      </c>
      <c r="G945" s="811">
        <f>100000-9090.91</f>
        <v>90909.09</v>
      </c>
      <c r="H945" s="811"/>
      <c r="I945" s="580">
        <f t="shared" si="77"/>
        <v>0</v>
      </c>
      <c r="J945" s="961">
        <f t="shared" si="78"/>
        <v>0</v>
      </c>
      <c r="K945" s="80"/>
      <c r="L945" s="807">
        <v>1003</v>
      </c>
      <c r="M945" s="80" t="str">
        <f>+IFERROR(VLOOKUP(L945,DATA!$G$4:$H$2000,2,FALSE),"")</f>
        <v>Бахдамдэмбэрэл</v>
      </c>
      <c r="N945" s="807"/>
      <c r="O945" s="80" t="str">
        <f>IFERROR(VLOOKUP(N945,DATA!$K$4:$L$51,2,FALSE),"")</f>
        <v/>
      </c>
      <c r="P945" s="80">
        <f t="shared" si="79"/>
        <v>0</v>
      </c>
      <c r="Q945" s="154">
        <f t="shared" si="80"/>
        <v>0</v>
      </c>
    </row>
    <row r="946" spans="2:17">
      <c r="B946" s="627">
        <f t="shared" si="75"/>
        <v>941</v>
      </c>
      <c r="C946" s="582">
        <v>43304</v>
      </c>
      <c r="D946" s="815" t="s">
        <v>2661</v>
      </c>
      <c r="E946" s="630">
        <v>100100</v>
      </c>
      <c r="F946" s="629" t="str">
        <f>IFERROR(VLOOKUP(E946,STAT1!$C$4:$D$1000,2,FALSE),"")</f>
        <v>Касс мөнгө MNT</v>
      </c>
      <c r="G946" s="376"/>
      <c r="H946" s="376">
        <v>3900000</v>
      </c>
      <c r="I946" s="580">
        <f t="shared" si="77"/>
        <v>-3900000</v>
      </c>
      <c r="J946" s="961">
        <f t="shared" si="78"/>
        <v>0</v>
      </c>
      <c r="K946" s="80"/>
      <c r="L946" s="630">
        <v>1008</v>
      </c>
      <c r="M946" s="80" t="str">
        <f>+IFERROR(VLOOKUP(L946,DATA!$G$4:$H$2000,2,FALSE),"")</f>
        <v xml:space="preserve">Оюунтүлхүүр </v>
      </c>
      <c r="N946" s="630">
        <v>53</v>
      </c>
      <c r="O946" s="80" t="str">
        <f>IFERROR(VLOOKUP(N946,DATA!$K$4:$L$51,2,FALSE),"")</f>
        <v>Бараа материал худалдан авахад төлсөн</v>
      </c>
      <c r="P946" s="80">
        <f t="shared" si="79"/>
        <v>1</v>
      </c>
      <c r="Q946" s="154">
        <f t="shared" si="80"/>
        <v>1</v>
      </c>
    </row>
    <row r="947" spans="2:17">
      <c r="B947" s="627">
        <f t="shared" si="75"/>
        <v>942</v>
      </c>
      <c r="C947" s="582">
        <v>43304</v>
      </c>
      <c r="D947" s="815" t="s">
        <v>2661</v>
      </c>
      <c r="E947" s="630">
        <v>121200</v>
      </c>
      <c r="F947" s="629" t="str">
        <f>IFERROR(VLOOKUP(E947,STAT1!$C$4:$D$1000,2,FALSE),"")</f>
        <v xml:space="preserve">Ажилчидын дараа тайлангийн тооцоо </v>
      </c>
      <c r="G947" s="376">
        <v>3900000</v>
      </c>
      <c r="H947" s="376"/>
      <c r="I947" s="580">
        <f t="shared" si="77"/>
        <v>0</v>
      </c>
      <c r="J947" s="961">
        <f t="shared" si="78"/>
        <v>0</v>
      </c>
      <c r="K947" s="80"/>
      <c r="L947" s="630">
        <v>1008</v>
      </c>
      <c r="M947" s="80" t="str">
        <f>+IFERROR(VLOOKUP(L947,DATA!$G$4:$H$2000,2,FALSE),"")</f>
        <v xml:space="preserve">Оюунтүлхүүр </v>
      </c>
      <c r="N947" s="630"/>
      <c r="O947" s="80" t="str">
        <f>IFERROR(VLOOKUP(N947,DATA!$K$4:$L$51,2,FALSE),"")</f>
        <v/>
      </c>
      <c r="P947" s="80">
        <f t="shared" si="79"/>
        <v>0</v>
      </c>
      <c r="Q947" s="154">
        <f t="shared" si="80"/>
        <v>0</v>
      </c>
    </row>
    <row r="948" spans="2:17">
      <c r="B948" s="627">
        <f t="shared" si="75"/>
        <v>943</v>
      </c>
      <c r="C948" s="582">
        <v>43304</v>
      </c>
      <c r="D948" s="816" t="s">
        <v>2665</v>
      </c>
      <c r="E948" s="630">
        <v>160100</v>
      </c>
      <c r="F948" s="629" t="str">
        <f>IFERROR(VLOOKUP(E948,STAT1!$C$4:$D$1000,2,FALSE),"")</f>
        <v xml:space="preserve">Барилгын материал </v>
      </c>
      <c r="G948" s="376">
        <v>3545454.55</v>
      </c>
      <c r="H948" s="376"/>
      <c r="I948" s="580">
        <f t="shared" si="77"/>
        <v>0</v>
      </c>
      <c r="J948" s="961">
        <f t="shared" si="78"/>
        <v>0</v>
      </c>
      <c r="K948" s="80"/>
      <c r="L948" s="630">
        <v>1008</v>
      </c>
      <c r="M948" s="80" t="str">
        <f>+IFERROR(VLOOKUP(L948,DATA!$G$4:$H$2000,2,FALSE),"")</f>
        <v xml:space="preserve">Оюунтүлхүүр </v>
      </c>
      <c r="N948" s="630"/>
      <c r="O948" s="80" t="str">
        <f>IFERROR(VLOOKUP(N948,DATA!$K$4:$L$51,2,FALSE),"")</f>
        <v/>
      </c>
      <c r="P948" s="80">
        <f t="shared" si="79"/>
        <v>0</v>
      </c>
      <c r="Q948" s="154">
        <f t="shared" si="80"/>
        <v>0</v>
      </c>
    </row>
    <row r="949" spans="2:17">
      <c r="B949" s="627">
        <f t="shared" si="75"/>
        <v>944</v>
      </c>
      <c r="C949" s="582">
        <v>43304</v>
      </c>
      <c r="D949" s="816" t="s">
        <v>2665</v>
      </c>
      <c r="E949" s="630">
        <v>120600</v>
      </c>
      <c r="F949" s="629" t="str">
        <f>IFERROR(VLOOKUP(E949,STAT1!$C$4:$D$1000,2,FALSE),"")</f>
        <v>НӨАТ авлага</v>
      </c>
      <c r="G949" s="376">
        <v>354545.45</v>
      </c>
      <c r="H949" s="376"/>
      <c r="I949" s="580">
        <f t="shared" si="77"/>
        <v>0</v>
      </c>
      <c r="J949" s="961">
        <f t="shared" si="78"/>
        <v>0</v>
      </c>
      <c r="K949" s="80"/>
      <c r="L949" s="630">
        <v>1008</v>
      </c>
      <c r="M949" s="80" t="str">
        <f>+IFERROR(VLOOKUP(L949,DATA!$G$4:$H$2000,2,FALSE),"")</f>
        <v xml:space="preserve">Оюунтүлхүүр </v>
      </c>
      <c r="N949" s="630"/>
      <c r="O949" s="80" t="str">
        <f>IFERROR(VLOOKUP(N949,DATA!$K$4:$L$51,2,FALSE),"")</f>
        <v/>
      </c>
      <c r="P949" s="80">
        <f t="shared" si="79"/>
        <v>0</v>
      </c>
      <c r="Q949" s="154">
        <f t="shared" si="80"/>
        <v>0</v>
      </c>
    </row>
    <row r="950" spans="2:17">
      <c r="B950" s="627">
        <f t="shared" si="75"/>
        <v>945</v>
      </c>
      <c r="C950" s="582">
        <v>43304</v>
      </c>
      <c r="D950" s="816" t="s">
        <v>2665</v>
      </c>
      <c r="E950" s="630">
        <v>121200</v>
      </c>
      <c r="F950" s="629" t="str">
        <f>IFERROR(VLOOKUP(E950,STAT1!$C$4:$D$1000,2,FALSE),"")</f>
        <v xml:space="preserve">Ажилчидын дараа тайлангийн тооцоо </v>
      </c>
      <c r="G950" s="376"/>
      <c r="H950" s="376">
        <v>3900000</v>
      </c>
      <c r="I950" s="580">
        <f t="shared" si="77"/>
        <v>0</v>
      </c>
      <c r="J950" s="961">
        <f t="shared" si="78"/>
        <v>0</v>
      </c>
      <c r="K950" s="80"/>
      <c r="L950" s="630">
        <v>1008</v>
      </c>
      <c r="M950" s="80" t="str">
        <f>+IFERROR(VLOOKUP(L950,DATA!$G$4:$H$2000,2,FALSE),"")</f>
        <v xml:space="preserve">Оюунтүлхүүр </v>
      </c>
      <c r="N950" s="630"/>
      <c r="O950" s="80" t="str">
        <f>IFERROR(VLOOKUP(N950,DATA!$K$4:$L$51,2,FALSE),"")</f>
        <v/>
      </c>
      <c r="P950" s="80">
        <f t="shared" si="79"/>
        <v>0</v>
      </c>
      <c r="Q950" s="154">
        <f t="shared" si="80"/>
        <v>0</v>
      </c>
    </row>
    <row r="951" spans="2:17">
      <c r="B951" s="627">
        <f t="shared" si="75"/>
        <v>946</v>
      </c>
      <c r="C951" s="582">
        <v>43304</v>
      </c>
      <c r="D951" s="816" t="s">
        <v>2665</v>
      </c>
      <c r="E951" s="630">
        <v>160100</v>
      </c>
      <c r="F951" s="629" t="str">
        <f>IFERROR(VLOOKUP(E951,STAT1!$C$4:$D$8000,2,FALSE),"")</f>
        <v xml:space="preserve">Барилгын материал </v>
      </c>
      <c r="G951" s="376">
        <v>438545.45</v>
      </c>
      <c r="H951" s="376"/>
      <c r="I951" s="580">
        <f t="shared" si="77"/>
        <v>0</v>
      </c>
      <c r="J951" s="961">
        <f t="shared" si="78"/>
        <v>0</v>
      </c>
      <c r="K951" s="80"/>
      <c r="L951" s="630">
        <v>1008</v>
      </c>
      <c r="M951" s="80" t="str">
        <f>+IFERROR(VLOOKUP(L951,DATA!$G$4:$H$2000,2,FALSE),"")</f>
        <v xml:space="preserve">Оюунтүлхүүр </v>
      </c>
      <c r="N951" s="630"/>
      <c r="O951" s="80" t="str">
        <f>IFERROR(VLOOKUP(N951,DATA!$K$4:$L$51,2,FALSE),"")</f>
        <v/>
      </c>
      <c r="P951" s="80">
        <f t="shared" si="79"/>
        <v>0</v>
      </c>
      <c r="Q951" s="154">
        <f t="shared" si="80"/>
        <v>0</v>
      </c>
    </row>
    <row r="952" spans="2:17">
      <c r="B952" s="627">
        <f t="shared" si="75"/>
        <v>947</v>
      </c>
      <c r="C952" s="582">
        <v>43304</v>
      </c>
      <c r="D952" s="816" t="s">
        <v>2665</v>
      </c>
      <c r="E952" s="630">
        <v>120600</v>
      </c>
      <c r="F952" s="629" t="str">
        <f>IFERROR(VLOOKUP(E952,STAT1!$C$4:$D$8000,2,FALSE),"")</f>
        <v>НӨАТ авлага</v>
      </c>
      <c r="G952" s="376">
        <v>43854.55</v>
      </c>
      <c r="H952" s="376"/>
      <c r="I952" s="580">
        <f t="shared" si="77"/>
        <v>0</v>
      </c>
      <c r="J952" s="961">
        <f t="shared" si="78"/>
        <v>0</v>
      </c>
      <c r="K952" s="80"/>
      <c r="L952" s="630">
        <v>1008</v>
      </c>
      <c r="M952" s="80" t="str">
        <f>+IFERROR(VLOOKUP(L952,DATA!$G$4:$H$2000,2,FALSE),"")</f>
        <v xml:space="preserve">Оюунтүлхүүр </v>
      </c>
      <c r="N952" s="630"/>
      <c r="O952" s="80" t="str">
        <f>IFERROR(VLOOKUP(N952,DATA!$K$4:$L$51,2,FALSE),"")</f>
        <v/>
      </c>
      <c r="P952" s="80">
        <f t="shared" si="79"/>
        <v>0</v>
      </c>
      <c r="Q952" s="154">
        <f t="shared" si="80"/>
        <v>0</v>
      </c>
    </row>
    <row r="953" spans="2:17">
      <c r="B953" s="627">
        <f t="shared" si="75"/>
        <v>948</v>
      </c>
      <c r="C953" s="582">
        <v>43304</v>
      </c>
      <c r="D953" s="816" t="s">
        <v>2665</v>
      </c>
      <c r="E953" s="630">
        <v>121200</v>
      </c>
      <c r="F953" s="629" t="str">
        <f>IFERROR(VLOOKUP(E953,STAT1!$C$4:$D$8000,2,FALSE),"")</f>
        <v xml:space="preserve">Ажилчидын дараа тайлангийн тооцоо </v>
      </c>
      <c r="G953" s="376"/>
      <c r="H953" s="376">
        <v>482400</v>
      </c>
      <c r="I953" s="580">
        <f t="shared" si="77"/>
        <v>0</v>
      </c>
      <c r="J953" s="961">
        <f t="shared" si="78"/>
        <v>0</v>
      </c>
      <c r="K953" s="80"/>
      <c r="L953" s="630">
        <v>1008</v>
      </c>
      <c r="M953" s="80" t="str">
        <f>+IFERROR(VLOOKUP(L953,DATA!$G$4:$H$2000,2,FALSE),"")</f>
        <v xml:space="preserve">Оюунтүлхүүр </v>
      </c>
      <c r="N953" s="630"/>
      <c r="O953" s="80" t="str">
        <f>IFERROR(VLOOKUP(N953,DATA!$K$4:$L$51,2,FALSE),"")</f>
        <v/>
      </c>
      <c r="P953" s="80">
        <f t="shared" si="79"/>
        <v>0</v>
      </c>
      <c r="Q953" s="154">
        <f t="shared" si="80"/>
        <v>0</v>
      </c>
    </row>
    <row r="954" spans="2:17">
      <c r="B954" s="627">
        <f t="shared" si="75"/>
        <v>949</v>
      </c>
      <c r="C954" s="582">
        <v>43305</v>
      </c>
      <c r="D954" s="815" t="s">
        <v>1571</v>
      </c>
      <c r="E954" s="630">
        <v>110100</v>
      </c>
      <c r="F954" s="629" t="str">
        <f>IFERROR(VLOOKUP(E954,STAT1!$C$4:$D$1000,2,FALSE),"")</f>
        <v>Хаан Банк 5024654020</v>
      </c>
      <c r="G954" s="376">
        <v>805140</v>
      </c>
      <c r="H954" s="376"/>
      <c r="I954" s="580">
        <f t="shared" si="77"/>
        <v>805140</v>
      </c>
      <c r="J954" s="961">
        <f t="shared" si="78"/>
        <v>0</v>
      </c>
      <c r="K954" s="80"/>
      <c r="L954" s="630">
        <v>3104</v>
      </c>
      <c r="M954" s="80" t="str">
        <f>+IFERROR(VLOOKUP(L954,DATA!$G$4:$H$2000,2,FALSE),"")</f>
        <v>ХҮРЭЭ ЦАМХАГ ХХК</v>
      </c>
      <c r="N954" s="630">
        <v>41</v>
      </c>
      <c r="O954" s="80" t="str">
        <f>IFERROR(VLOOKUP(N954,DATA!$K$4:$L$51,2,FALSE),"")</f>
        <v>Бараа борлуулсан, үйлчилгээ үзүүлсэний орлого</v>
      </c>
      <c r="P954" s="80">
        <f t="shared" si="79"/>
        <v>1</v>
      </c>
      <c r="Q954" s="154">
        <f t="shared" si="80"/>
        <v>1</v>
      </c>
    </row>
    <row r="955" spans="2:17">
      <c r="B955" s="627">
        <f t="shared" si="75"/>
        <v>950</v>
      </c>
      <c r="C955" s="582">
        <v>43305</v>
      </c>
      <c r="D955" s="815" t="s">
        <v>1571</v>
      </c>
      <c r="E955" s="630">
        <v>320100</v>
      </c>
      <c r="F955" s="629" t="str">
        <f>IFERROR(VLOOKUP(E955,STAT1!$C$4:$D$1000,2,FALSE),"")</f>
        <v>Урьдчилж орсон орлого MNT</v>
      </c>
      <c r="G955" s="376"/>
      <c r="H955" s="376">
        <v>805140</v>
      </c>
      <c r="I955" s="580">
        <f t="shared" si="77"/>
        <v>0</v>
      </c>
      <c r="J955" s="961">
        <f t="shared" si="78"/>
        <v>0</v>
      </c>
      <c r="K955" s="80"/>
      <c r="L955" s="630">
        <v>3104</v>
      </c>
      <c r="M955" s="80" t="str">
        <f>+IFERROR(VLOOKUP(L955,DATA!$G$4:$H$2000,2,FALSE),"")</f>
        <v>ХҮРЭЭ ЦАМХАГ ХХК</v>
      </c>
      <c r="N955" s="630"/>
      <c r="O955" s="80" t="str">
        <f>IFERROR(VLOOKUP(N955,DATA!$K$4:$L$51,2,FALSE),"")</f>
        <v/>
      </c>
      <c r="P955" s="80">
        <f t="shared" si="79"/>
        <v>0</v>
      </c>
      <c r="Q955" s="154">
        <f t="shared" si="80"/>
        <v>0</v>
      </c>
    </row>
    <row r="956" spans="2:17">
      <c r="B956" s="627">
        <f t="shared" si="75"/>
        <v>951</v>
      </c>
      <c r="C956" s="582">
        <v>43305</v>
      </c>
      <c r="D956" s="815" t="s">
        <v>2658</v>
      </c>
      <c r="E956" s="630">
        <v>100100</v>
      </c>
      <c r="F956" s="629" t="str">
        <f>IFERROR(VLOOKUP(E956,STAT1!$C$4:$D$1000,2,FALSE),"")</f>
        <v>Касс мөнгө MNT</v>
      </c>
      <c r="G956" s="376"/>
      <c r="H956" s="376">
        <v>30800</v>
      </c>
      <c r="I956" s="580">
        <f t="shared" si="77"/>
        <v>-30800</v>
      </c>
      <c r="J956" s="961">
        <f t="shared" si="78"/>
        <v>0</v>
      </c>
      <c r="K956" s="80"/>
      <c r="L956" s="630">
        <v>1004</v>
      </c>
      <c r="M956" s="80" t="str">
        <f>+IFERROR(VLOOKUP(L956,DATA!$G$4:$H$2000,2,FALSE),"")</f>
        <v xml:space="preserve">Түмэндэлгэр </v>
      </c>
      <c r="N956" s="630">
        <v>53</v>
      </c>
      <c r="O956" s="80" t="str">
        <f>IFERROR(VLOOKUP(N956,DATA!$K$4:$L$51,2,FALSE),"")</f>
        <v>Бараа материал худалдан авахад төлсөн</v>
      </c>
      <c r="P956" s="80">
        <f t="shared" si="79"/>
        <v>1</v>
      </c>
      <c r="Q956" s="154">
        <f t="shared" si="80"/>
        <v>1</v>
      </c>
    </row>
    <row r="957" spans="2:17">
      <c r="B957" s="627">
        <f t="shared" si="75"/>
        <v>952</v>
      </c>
      <c r="C957" s="582">
        <v>43305</v>
      </c>
      <c r="D957" s="815" t="s">
        <v>2658</v>
      </c>
      <c r="E957" s="630">
        <v>120600</v>
      </c>
      <c r="F957" s="629" t="str">
        <f>IFERROR(VLOOKUP(E957,STAT1!$C$4:$D$1000,2,FALSE),"")</f>
        <v>НӨАТ авлага</v>
      </c>
      <c r="G957" s="376">
        <v>2800</v>
      </c>
      <c r="H957" s="376"/>
      <c r="I957" s="580">
        <f t="shared" si="77"/>
        <v>0</v>
      </c>
      <c r="J957" s="961">
        <f t="shared" si="78"/>
        <v>0</v>
      </c>
      <c r="K957" s="80"/>
      <c r="L957" s="630">
        <v>1004</v>
      </c>
      <c r="M957" s="80" t="str">
        <f>+IFERROR(VLOOKUP(L957,DATA!$G$4:$H$2000,2,FALSE),"")</f>
        <v xml:space="preserve">Түмэндэлгэр </v>
      </c>
      <c r="N957" s="630"/>
      <c r="O957" s="80" t="str">
        <f>IFERROR(VLOOKUP(N957,DATA!$K$4:$L$51,2,FALSE),"")</f>
        <v/>
      </c>
      <c r="P957" s="80">
        <f t="shared" si="79"/>
        <v>0</v>
      </c>
      <c r="Q957" s="154">
        <f t="shared" si="80"/>
        <v>0</v>
      </c>
    </row>
    <row r="958" spans="2:17">
      <c r="B958" s="627">
        <f t="shared" si="75"/>
        <v>953</v>
      </c>
      <c r="C958" s="582">
        <v>43305</v>
      </c>
      <c r="D958" s="815" t="s">
        <v>2658</v>
      </c>
      <c r="E958" s="630">
        <v>141401</v>
      </c>
      <c r="F958" s="629" t="str">
        <f>IFERROR(VLOOKUP(E958,STAT1!$C$4:$D$1000,2,FALSE),"")</f>
        <v xml:space="preserve">ҮНЗардал БУСАД </v>
      </c>
      <c r="G958" s="376">
        <v>28000</v>
      </c>
      <c r="H958" s="376"/>
      <c r="I958" s="580">
        <f t="shared" si="77"/>
        <v>0</v>
      </c>
      <c r="J958" s="961">
        <f t="shared" si="78"/>
        <v>0</v>
      </c>
      <c r="K958" s="80"/>
      <c r="L958" s="630">
        <v>1004</v>
      </c>
      <c r="M958" s="80" t="str">
        <f>+IFERROR(VLOOKUP(L958,DATA!$G$4:$H$2000,2,FALSE),"")</f>
        <v xml:space="preserve">Түмэндэлгэр </v>
      </c>
      <c r="N958" s="630"/>
      <c r="O958" s="80" t="str">
        <f>IFERROR(VLOOKUP(N958,DATA!$K$4:$L$51,2,FALSE),"")</f>
        <v/>
      </c>
      <c r="P958" s="80">
        <f t="shared" si="79"/>
        <v>0</v>
      </c>
      <c r="Q958" s="154">
        <f t="shared" si="80"/>
        <v>0</v>
      </c>
    </row>
    <row r="959" spans="2:17">
      <c r="B959" s="627">
        <f t="shared" si="75"/>
        <v>954</v>
      </c>
      <c r="C959" s="429">
        <v>43305</v>
      </c>
      <c r="D959" s="816" t="s">
        <v>1571</v>
      </c>
      <c r="E959" s="807">
        <v>100100</v>
      </c>
      <c r="F959" s="629" t="str">
        <f>IFERROR(VLOOKUP(E959,STAT1!$C$4:$D$1000,2,FALSE),"")</f>
        <v>Касс мөнгө MNT</v>
      </c>
      <c r="G959" s="811">
        <v>805240</v>
      </c>
      <c r="H959" s="811"/>
      <c r="I959" s="580">
        <f t="shared" si="77"/>
        <v>805240</v>
      </c>
      <c r="J959" s="961">
        <f t="shared" si="78"/>
        <v>0</v>
      </c>
      <c r="K959" s="80"/>
      <c r="L959" s="807">
        <v>4002</v>
      </c>
      <c r="M959" s="80" t="str">
        <f>+IFERROR(VLOOKUP(L959,DATA!$G$4:$H$2000,2,FALSE),"")</f>
        <v xml:space="preserve">Хувь хүн </v>
      </c>
      <c r="N959" s="807">
        <v>41</v>
      </c>
      <c r="O959" s="80" t="str">
        <f>IFERROR(VLOOKUP(N959,DATA!$K$4:$L$51,2,FALSE),"")</f>
        <v>Бараа борлуулсан, үйлчилгээ үзүүлсэний орлого</v>
      </c>
      <c r="P959" s="80">
        <f t="shared" si="79"/>
        <v>1</v>
      </c>
      <c r="Q959" s="154">
        <f t="shared" si="80"/>
        <v>1</v>
      </c>
    </row>
    <row r="960" spans="2:17">
      <c r="B960" s="627">
        <f t="shared" si="75"/>
        <v>955</v>
      </c>
      <c r="C960" s="429">
        <v>43305</v>
      </c>
      <c r="D960" s="816" t="s">
        <v>1571</v>
      </c>
      <c r="E960" s="807">
        <v>320100</v>
      </c>
      <c r="F960" s="629" t="str">
        <f>IFERROR(VLOOKUP(E960,STAT1!$C$4:$D$1000,2,FALSE),"")</f>
        <v>Урьдчилж орсон орлого MNT</v>
      </c>
      <c r="G960" s="811"/>
      <c r="H960" s="811">
        <v>805240</v>
      </c>
      <c r="I960" s="580">
        <f t="shared" si="77"/>
        <v>0</v>
      </c>
      <c r="J960" s="961">
        <f t="shared" si="78"/>
        <v>0</v>
      </c>
      <c r="K960" s="80"/>
      <c r="L960" s="807">
        <v>4002</v>
      </c>
      <c r="M960" s="80" t="str">
        <f>+IFERROR(VLOOKUP(L960,DATA!$G$4:$H$2000,2,FALSE),"")</f>
        <v xml:space="preserve">Хувь хүн </v>
      </c>
      <c r="N960" s="807"/>
      <c r="O960" s="80" t="str">
        <f>IFERROR(VLOOKUP(N960,DATA!$K$4:$L$51,2,FALSE),"")</f>
        <v/>
      </c>
      <c r="P960" s="80">
        <f t="shared" si="79"/>
        <v>0</v>
      </c>
      <c r="Q960" s="154">
        <f t="shared" si="80"/>
        <v>0</v>
      </c>
    </row>
    <row r="961" spans="2:17">
      <c r="B961" s="627">
        <f t="shared" si="75"/>
        <v>956</v>
      </c>
      <c r="C961" s="429">
        <v>43305</v>
      </c>
      <c r="D961" s="816" t="s">
        <v>2727</v>
      </c>
      <c r="E961" s="807">
        <v>150101</v>
      </c>
      <c r="F961" s="629" t="str">
        <f>IFERROR(VLOOKUP(E961,STAT1!$C$4:$D$1000,2,FALSE),"")</f>
        <v>Бараа бэлэн бүтээгдэхүүн БОЛОВСРУУЛАХ ЦЕХ /нарс/</v>
      </c>
      <c r="G961" s="811"/>
      <c r="H961" s="811">
        <v>310629.17</v>
      </c>
      <c r="I961" s="580">
        <f t="shared" si="77"/>
        <v>0</v>
      </c>
      <c r="J961" s="961">
        <f t="shared" si="78"/>
        <v>0</v>
      </c>
      <c r="K961" s="80"/>
      <c r="L961" s="807">
        <v>4002</v>
      </c>
      <c r="M961" s="80" t="str">
        <f>+IFERROR(VLOOKUP(L961,DATA!$G$4:$H$2000,2,FALSE),"")</f>
        <v xml:space="preserve">Хувь хүн </v>
      </c>
      <c r="N961" s="807"/>
      <c r="O961" s="80" t="str">
        <f>IFERROR(VLOOKUP(N961,DATA!$K$4:$L$51,2,FALSE),"")</f>
        <v/>
      </c>
      <c r="P961" s="80">
        <f t="shared" si="79"/>
        <v>0</v>
      </c>
      <c r="Q961" s="154">
        <f t="shared" si="80"/>
        <v>0</v>
      </c>
    </row>
    <row r="962" spans="2:17">
      <c r="B962" s="627">
        <f t="shared" si="75"/>
        <v>957</v>
      </c>
      <c r="C962" s="582">
        <v>43305</v>
      </c>
      <c r="D962" s="816" t="s">
        <v>2727</v>
      </c>
      <c r="E962" s="807">
        <v>610100</v>
      </c>
      <c r="F962" s="629" t="str">
        <f>IFERROR(VLOOKUP(E962,STAT1!$C$4:$D$8000,2,FALSE),"")</f>
        <v>Борлуулсан барааны өртөг</v>
      </c>
      <c r="G962" s="376">
        <v>310629.17</v>
      </c>
      <c r="H962" s="376"/>
      <c r="I962" s="580">
        <f t="shared" si="77"/>
        <v>0</v>
      </c>
      <c r="J962" s="961">
        <f t="shared" si="78"/>
        <v>0</v>
      </c>
      <c r="K962" s="80"/>
      <c r="L962" s="630">
        <v>4002</v>
      </c>
      <c r="M962" s="80" t="str">
        <f>+IFERROR(VLOOKUP(L962,DATA!$G$4:$H$2000,2,FALSE),"")</f>
        <v xml:space="preserve">Хувь хүн </v>
      </c>
      <c r="N962" s="630"/>
      <c r="O962" s="80" t="str">
        <f>IFERROR(VLOOKUP(N962,DATA!$K$4:$L$51,2,FALSE),"")</f>
        <v/>
      </c>
      <c r="P962" s="80">
        <f t="shared" si="79"/>
        <v>0</v>
      </c>
      <c r="Q962" s="154">
        <f t="shared" si="80"/>
        <v>0</v>
      </c>
    </row>
    <row r="963" spans="2:17">
      <c r="B963" s="627">
        <f t="shared" si="75"/>
        <v>958</v>
      </c>
      <c r="C963" s="582">
        <v>43305</v>
      </c>
      <c r="D963" s="816" t="s">
        <v>2727</v>
      </c>
      <c r="E963" s="807">
        <v>310500</v>
      </c>
      <c r="F963" s="629" t="str">
        <f>IFERROR(VLOOKUP(E963,STAT1!$C$4:$D$8000,2,FALSE),"")</f>
        <v>НӨАТ өглөг</v>
      </c>
      <c r="G963" s="376"/>
      <c r="H963" s="376">
        <v>73203.64</v>
      </c>
      <c r="I963" s="580">
        <f t="shared" si="77"/>
        <v>0</v>
      </c>
      <c r="J963" s="961">
        <f t="shared" si="78"/>
        <v>0</v>
      </c>
      <c r="K963" s="80"/>
      <c r="L963" s="630">
        <v>4002</v>
      </c>
      <c r="M963" s="80" t="str">
        <f>+IFERROR(VLOOKUP(L963,DATA!$G$4:$H$2000,2,FALSE),"")</f>
        <v xml:space="preserve">Хувь хүн </v>
      </c>
      <c r="N963" s="630"/>
      <c r="O963" s="80" t="str">
        <f>IFERROR(VLOOKUP(N963,DATA!$K$4:$L$51,2,FALSE),"")</f>
        <v/>
      </c>
      <c r="P963" s="80">
        <f t="shared" si="79"/>
        <v>0</v>
      </c>
      <c r="Q963" s="154">
        <f t="shared" si="80"/>
        <v>0</v>
      </c>
    </row>
    <row r="964" spans="2:17">
      <c r="B964" s="627">
        <f t="shared" si="75"/>
        <v>959</v>
      </c>
      <c r="C964" s="582">
        <v>43305</v>
      </c>
      <c r="D964" s="816" t="s">
        <v>2727</v>
      </c>
      <c r="E964" s="807">
        <v>510000</v>
      </c>
      <c r="F964" s="629" t="str">
        <f>IFERROR(VLOOKUP(E964,STAT1!$C$4:$D$8000,2,FALSE),"")</f>
        <v>Үндсэн үйл ажиллагааны борлуулалт</v>
      </c>
      <c r="G964" s="376"/>
      <c r="H964" s="376">
        <v>732036.36</v>
      </c>
      <c r="I964" s="580">
        <f t="shared" si="77"/>
        <v>0</v>
      </c>
      <c r="J964" s="961">
        <f t="shared" si="78"/>
        <v>0</v>
      </c>
      <c r="K964" s="80"/>
      <c r="L964" s="630">
        <v>4002</v>
      </c>
      <c r="M964" s="80" t="str">
        <f>+IFERROR(VLOOKUP(L964,DATA!$G$4:$H$2000,2,FALSE),"")</f>
        <v xml:space="preserve">Хувь хүн </v>
      </c>
      <c r="N964" s="630"/>
      <c r="O964" s="80" t="str">
        <f>IFERROR(VLOOKUP(N964,DATA!$K$4:$L$51,2,FALSE),"")</f>
        <v/>
      </c>
      <c r="P964" s="80">
        <f t="shared" si="79"/>
        <v>0</v>
      </c>
      <c r="Q964" s="154">
        <f t="shared" si="80"/>
        <v>0</v>
      </c>
    </row>
    <row r="965" spans="2:17">
      <c r="B965" s="627">
        <f t="shared" si="75"/>
        <v>960</v>
      </c>
      <c r="C965" s="582">
        <v>43305</v>
      </c>
      <c r="D965" s="816" t="s">
        <v>2727</v>
      </c>
      <c r="E965" s="807">
        <v>320100</v>
      </c>
      <c r="F965" s="629" t="str">
        <f>IFERROR(VLOOKUP(E965,STAT1!$C$4:$D$8000,2,FALSE),"")</f>
        <v>Урьдчилж орсон орлого MNT</v>
      </c>
      <c r="G965" s="376">
        <v>805240</v>
      </c>
      <c r="H965" s="376"/>
      <c r="I965" s="580">
        <f t="shared" si="77"/>
        <v>0</v>
      </c>
      <c r="J965" s="961">
        <f t="shared" si="78"/>
        <v>0</v>
      </c>
      <c r="K965" s="80"/>
      <c r="L965" s="630">
        <v>4002</v>
      </c>
      <c r="M965" s="80" t="str">
        <f>+IFERROR(VLOOKUP(L965,DATA!$G$4:$H$2000,2,FALSE),"")</f>
        <v xml:space="preserve">Хувь хүн </v>
      </c>
      <c r="N965" s="630"/>
      <c r="O965" s="80" t="str">
        <f>IFERROR(VLOOKUP(N965,DATA!$K$4:$L$51,2,FALSE),"")</f>
        <v/>
      </c>
      <c r="P965" s="80">
        <f t="shared" si="79"/>
        <v>0</v>
      </c>
      <c r="Q965" s="154">
        <f t="shared" si="80"/>
        <v>0</v>
      </c>
    </row>
    <row r="966" spans="2:17">
      <c r="B966" s="627">
        <f t="shared" ref="B966:B1029" si="81">+IF(C966="","",ROW()-5)</f>
        <v>961</v>
      </c>
      <c r="C966" s="429">
        <v>43306</v>
      </c>
      <c r="D966" s="816" t="s">
        <v>2513</v>
      </c>
      <c r="E966" s="807">
        <v>100100</v>
      </c>
      <c r="F966" s="629" t="str">
        <f>IFERROR(VLOOKUP(E966,STAT1!$C$4:$D$1000,2,FALSE),"")</f>
        <v>Касс мөнгө MNT</v>
      </c>
      <c r="G966" s="811"/>
      <c r="H966" s="811">
        <v>2371600</v>
      </c>
      <c r="I966" s="580">
        <f t="shared" si="77"/>
        <v>-2371600</v>
      </c>
      <c r="J966" s="961">
        <f t="shared" si="78"/>
        <v>0</v>
      </c>
      <c r="K966" s="80"/>
      <c r="L966" s="807">
        <v>3017</v>
      </c>
      <c r="M966" s="80" t="str">
        <f>+IFERROR(VLOOKUP(L966,DATA!$G$4:$H$2000,2,FALSE),"")</f>
        <v xml:space="preserve">ВОС ХХК </v>
      </c>
      <c r="N966" s="807">
        <v>53</v>
      </c>
      <c r="O966" s="80" t="str">
        <f>IFERROR(VLOOKUP(N966,DATA!$K$4:$L$51,2,FALSE),"")</f>
        <v>Бараа материал худалдан авахад төлсөн</v>
      </c>
      <c r="P966" s="80">
        <f t="shared" si="79"/>
        <v>1</v>
      </c>
      <c r="Q966" s="154">
        <f t="shared" si="80"/>
        <v>1</v>
      </c>
    </row>
    <row r="967" spans="2:17">
      <c r="B967" s="627">
        <f t="shared" si="81"/>
        <v>962</v>
      </c>
      <c r="C967" s="429">
        <v>43306</v>
      </c>
      <c r="D967" s="816" t="s">
        <v>2513</v>
      </c>
      <c r="E967" s="807">
        <v>120100</v>
      </c>
      <c r="F967" s="629" t="str">
        <f>IFERROR(VLOOKUP(E967,STAT1!$C$4:$D$1000,2,FALSE),"")</f>
        <v xml:space="preserve">Дансны авлага MNT </v>
      </c>
      <c r="G967" s="811">
        <v>2371600</v>
      </c>
      <c r="H967" s="811"/>
      <c r="I967" s="580">
        <f t="shared" si="77"/>
        <v>0</v>
      </c>
      <c r="J967" s="961">
        <f t="shared" si="78"/>
        <v>0</v>
      </c>
      <c r="K967" s="80"/>
      <c r="L967" s="807">
        <v>3017</v>
      </c>
      <c r="M967" s="80" t="str">
        <f>+IFERROR(VLOOKUP(L967,DATA!$G$4:$H$2000,2,FALSE),"")</f>
        <v xml:space="preserve">ВОС ХХК </v>
      </c>
      <c r="N967" s="807"/>
      <c r="O967" s="80" t="str">
        <f>IFERROR(VLOOKUP(N967,DATA!$K$4:$L$51,2,FALSE),"")</f>
        <v/>
      </c>
      <c r="P967" s="80">
        <f t="shared" si="79"/>
        <v>0</v>
      </c>
      <c r="Q967" s="154">
        <f t="shared" si="80"/>
        <v>0</v>
      </c>
    </row>
    <row r="968" spans="2:17">
      <c r="B968" s="627">
        <f t="shared" si="81"/>
        <v>963</v>
      </c>
      <c r="C968" s="582">
        <v>43306</v>
      </c>
      <c r="D968" s="815" t="s">
        <v>2655</v>
      </c>
      <c r="E968" s="630">
        <v>100100</v>
      </c>
      <c r="F968" s="629" t="str">
        <f>IFERROR(VLOOKUP(E968,STAT1!$C$4:$D$1000,2,FALSE),"")</f>
        <v>Касс мөнгө MNT</v>
      </c>
      <c r="G968" s="376"/>
      <c r="H968" s="376">
        <v>482400</v>
      </c>
      <c r="I968" s="580">
        <f t="shared" si="77"/>
        <v>-482400</v>
      </c>
      <c r="J968" s="961">
        <f t="shared" si="78"/>
        <v>0</v>
      </c>
      <c r="K968" s="80"/>
      <c r="L968" s="630">
        <v>1008</v>
      </c>
      <c r="M968" s="80" t="str">
        <f>+IFERROR(VLOOKUP(L968,DATA!$G$4:$H$2000,2,FALSE),"")</f>
        <v xml:space="preserve">Оюунтүлхүүр </v>
      </c>
      <c r="N968" s="630">
        <v>53</v>
      </c>
      <c r="O968" s="80" t="str">
        <f>IFERROR(VLOOKUP(N968,DATA!$K$4:$L$51,2,FALSE),"")</f>
        <v>Бараа материал худалдан авахад төлсөн</v>
      </c>
      <c r="P968" s="80">
        <f t="shared" si="79"/>
        <v>1</v>
      </c>
      <c r="Q968" s="154">
        <f t="shared" si="80"/>
        <v>1</v>
      </c>
    </row>
    <row r="969" spans="2:17">
      <c r="B969" s="627">
        <f t="shared" si="81"/>
        <v>964</v>
      </c>
      <c r="C969" s="582">
        <v>43306</v>
      </c>
      <c r="D969" s="815" t="s">
        <v>2655</v>
      </c>
      <c r="E969" s="630">
        <v>121200</v>
      </c>
      <c r="F969" s="629" t="str">
        <f>IFERROR(VLOOKUP(E969,STAT1!$C$4:$D$1000,2,FALSE),"")</f>
        <v xml:space="preserve">Ажилчидын дараа тайлангийн тооцоо </v>
      </c>
      <c r="G969" s="376">
        <v>482400</v>
      </c>
      <c r="H969" s="376"/>
      <c r="I969" s="580">
        <f t="shared" si="77"/>
        <v>0</v>
      </c>
      <c r="J969" s="961">
        <f t="shared" si="78"/>
        <v>0</v>
      </c>
      <c r="K969" s="80"/>
      <c r="L969" s="630">
        <v>1008</v>
      </c>
      <c r="M969" s="80" t="str">
        <f>+IFERROR(VLOOKUP(L969,DATA!$G$4:$H$2000,2,FALSE),"")</f>
        <v xml:space="preserve">Оюунтүлхүүр </v>
      </c>
      <c r="N969" s="630"/>
      <c r="O969" s="80" t="str">
        <f>IFERROR(VLOOKUP(N969,DATA!$K$4:$L$51,2,FALSE),"")</f>
        <v/>
      </c>
      <c r="P969" s="80">
        <f t="shared" si="79"/>
        <v>0</v>
      </c>
      <c r="Q969" s="154">
        <f t="shared" si="80"/>
        <v>0</v>
      </c>
    </row>
    <row r="970" spans="2:17">
      <c r="B970" s="627">
        <f t="shared" si="81"/>
        <v>965</v>
      </c>
      <c r="C970" s="582">
        <v>43306</v>
      </c>
      <c r="D970" s="816" t="s">
        <v>2665</v>
      </c>
      <c r="E970" s="630">
        <v>160100</v>
      </c>
      <c r="F970" s="629" t="str">
        <f>IFERROR(VLOOKUP(E970,STAT1!$C$4:$D$1000,2,FALSE),"")</f>
        <v xml:space="preserve">Барилгын материал </v>
      </c>
      <c r="G970" s="376">
        <v>1850000</v>
      </c>
      <c r="H970" s="376"/>
      <c r="I970" s="580">
        <f t="shared" si="77"/>
        <v>0</v>
      </c>
      <c r="J970" s="961">
        <f t="shared" si="78"/>
        <v>0</v>
      </c>
      <c r="K970" s="80"/>
      <c r="L970" s="630">
        <v>3017</v>
      </c>
      <c r="M970" s="80" t="str">
        <f>+IFERROR(VLOOKUP(L970,DATA!$G$4:$H$2000,2,FALSE),"")</f>
        <v xml:space="preserve">ВОС ХХК </v>
      </c>
      <c r="N970" s="630"/>
      <c r="O970" s="80" t="str">
        <f>IFERROR(VLOOKUP(N970,DATA!$K$4:$L$51,2,FALSE),"")</f>
        <v/>
      </c>
      <c r="P970" s="80">
        <f t="shared" si="79"/>
        <v>0</v>
      </c>
      <c r="Q970" s="154">
        <f t="shared" si="80"/>
        <v>0</v>
      </c>
    </row>
    <row r="971" spans="2:17">
      <c r="B971" s="627">
        <f t="shared" si="81"/>
        <v>966</v>
      </c>
      <c r="C971" s="582">
        <v>43306</v>
      </c>
      <c r="D971" s="816" t="s">
        <v>2665</v>
      </c>
      <c r="E971" s="630">
        <v>160100</v>
      </c>
      <c r="F971" s="629" t="str">
        <f>IFERROR(VLOOKUP(E971,STAT1!$C$4:$D$1000,2,FALSE),"")</f>
        <v xml:space="preserve">Барилгын материал </v>
      </c>
      <c r="G971" s="376">
        <v>210000</v>
      </c>
      <c r="H971" s="376"/>
      <c r="I971" s="580">
        <f t="shared" si="77"/>
        <v>0</v>
      </c>
      <c r="J971" s="961">
        <f t="shared" si="78"/>
        <v>0</v>
      </c>
      <c r="K971" s="80"/>
      <c r="L971" s="630">
        <v>3017</v>
      </c>
      <c r="M971" s="80" t="str">
        <f>+IFERROR(VLOOKUP(L971,DATA!$G$4:$H$2000,2,FALSE),"")</f>
        <v xml:space="preserve">ВОС ХХК </v>
      </c>
      <c r="N971" s="630"/>
      <c r="O971" s="80" t="str">
        <f>IFERROR(VLOOKUP(N971,DATA!$K$4:$L$51,2,FALSE),"")</f>
        <v/>
      </c>
      <c r="P971" s="80">
        <f t="shared" si="79"/>
        <v>0</v>
      </c>
      <c r="Q971" s="154">
        <f t="shared" si="80"/>
        <v>0</v>
      </c>
    </row>
    <row r="972" spans="2:17">
      <c r="B972" s="627">
        <f t="shared" si="81"/>
        <v>967</v>
      </c>
      <c r="C972" s="582">
        <v>43306</v>
      </c>
      <c r="D972" s="816" t="s">
        <v>2665</v>
      </c>
      <c r="E972" s="630">
        <v>160100</v>
      </c>
      <c r="F972" s="629" t="str">
        <f>IFERROR(VLOOKUP(E972,STAT1!$C$4:$D$8000,2,FALSE),"")</f>
        <v xml:space="preserve">Барилгын материал </v>
      </c>
      <c r="G972" s="376">
        <v>96000</v>
      </c>
      <c r="H972" s="376"/>
      <c r="I972" s="580">
        <f t="shared" si="77"/>
        <v>0</v>
      </c>
      <c r="J972" s="961">
        <f t="shared" si="78"/>
        <v>0</v>
      </c>
      <c r="K972" s="80"/>
      <c r="L972" s="630">
        <v>3017</v>
      </c>
      <c r="M972" s="80" t="str">
        <f>+IFERROR(VLOOKUP(L972,DATA!$G$4:$H$2000,2,FALSE),"")</f>
        <v xml:space="preserve">ВОС ХХК </v>
      </c>
      <c r="N972" s="630"/>
      <c r="O972" s="80" t="str">
        <f>IFERROR(VLOOKUP(N972,DATA!$K$4:$L$51,2,FALSE),"")</f>
        <v/>
      </c>
      <c r="P972" s="80">
        <f t="shared" si="79"/>
        <v>0</v>
      </c>
      <c r="Q972" s="154">
        <f t="shared" si="80"/>
        <v>0</v>
      </c>
    </row>
    <row r="973" spans="2:17">
      <c r="B973" s="627">
        <f t="shared" si="81"/>
        <v>968</v>
      </c>
      <c r="C973" s="582">
        <v>43306</v>
      </c>
      <c r="D973" s="816" t="s">
        <v>2665</v>
      </c>
      <c r="E973" s="630">
        <v>120600</v>
      </c>
      <c r="F973" s="629" t="str">
        <f>IFERROR(VLOOKUP(E973,STAT1!$C$4:$D$8000,2,FALSE),"")</f>
        <v>НӨАТ авлага</v>
      </c>
      <c r="G973" s="376">
        <v>215600</v>
      </c>
      <c r="H973" s="376"/>
      <c r="I973" s="580">
        <f t="shared" si="77"/>
        <v>0</v>
      </c>
      <c r="J973" s="961">
        <f t="shared" si="78"/>
        <v>0</v>
      </c>
      <c r="K973" s="80"/>
      <c r="L973" s="630">
        <v>3017</v>
      </c>
      <c r="M973" s="80" t="str">
        <f>+IFERROR(VLOOKUP(L973,DATA!$G$4:$H$2000,2,FALSE),"")</f>
        <v xml:space="preserve">ВОС ХХК </v>
      </c>
      <c r="N973" s="630"/>
      <c r="O973" s="80" t="str">
        <f>IFERROR(VLOOKUP(N973,DATA!$K$4:$L$51,2,FALSE),"")</f>
        <v/>
      </c>
      <c r="P973" s="80">
        <f t="shared" si="79"/>
        <v>0</v>
      </c>
      <c r="Q973" s="154">
        <f t="shared" si="80"/>
        <v>0</v>
      </c>
    </row>
    <row r="974" spans="2:17">
      <c r="B974" s="627">
        <f t="shared" si="81"/>
        <v>969</v>
      </c>
      <c r="C974" s="582">
        <v>43306</v>
      </c>
      <c r="D974" s="816" t="s">
        <v>2665</v>
      </c>
      <c r="E974" s="630">
        <v>120100</v>
      </c>
      <c r="F974" s="629" t="str">
        <f>IFERROR(VLOOKUP(E974,STAT1!$C$4:$D$8000,2,FALSE),"")</f>
        <v xml:space="preserve">Дансны авлага MNT </v>
      </c>
      <c r="G974" s="376"/>
      <c r="H974" s="376">
        <v>2371600</v>
      </c>
      <c r="I974" s="580">
        <f t="shared" si="77"/>
        <v>0</v>
      </c>
      <c r="J974" s="961">
        <f t="shared" si="78"/>
        <v>0</v>
      </c>
      <c r="K974" s="80"/>
      <c r="L974" s="630">
        <v>3017</v>
      </c>
      <c r="M974" s="80" t="str">
        <f>+IFERROR(VLOOKUP(L974,DATA!$G$4:$H$2000,2,FALSE),"")</f>
        <v xml:space="preserve">ВОС ХХК </v>
      </c>
      <c r="N974" s="630"/>
      <c r="O974" s="80" t="str">
        <f>IFERROR(VLOOKUP(N974,DATA!$K$4:$L$51,2,FALSE),"")</f>
        <v/>
      </c>
      <c r="P974" s="80">
        <f t="shared" si="79"/>
        <v>0</v>
      </c>
      <c r="Q974" s="154">
        <f t="shared" si="80"/>
        <v>0</v>
      </c>
    </row>
    <row r="975" spans="2:17">
      <c r="B975" s="627">
        <f t="shared" si="81"/>
        <v>970</v>
      </c>
      <c r="C975" s="429">
        <v>43307</v>
      </c>
      <c r="D975" s="816" t="s">
        <v>2579</v>
      </c>
      <c r="E975" s="807">
        <v>110100</v>
      </c>
      <c r="F975" s="629" t="str">
        <f>IFERROR(VLOOKUP(E975,STAT1!$C$4:$D$1000,2,FALSE),"")</f>
        <v>Хаан Банк 5024654020</v>
      </c>
      <c r="G975" s="811">
        <v>1000000</v>
      </c>
      <c r="H975" s="811"/>
      <c r="I975" s="580">
        <f t="shared" ref="I975:I1038" si="82">+IF(OR(E975=100100,E975=100200,E975=110100,E975=110102,E975=110103,E975=110104,E975=110105,E975=110200,E975=110201,E975=110202,E975=110203,E975=110204,E975=110300),G975,0)+IF(OR(E975=100100,E975=100200,E975=110100,E975=110102,E975=110103,E975=110104,E975=110105,E975=110200,E975=110201,E975=110202,E975=110203,E975=110204,E975=110300),H975*-1,0)</f>
        <v>1000000</v>
      </c>
      <c r="J975" s="961">
        <f t="shared" ref="J975:J1038" si="83">+IF(E975=110102,I975/K975,0)</f>
        <v>0</v>
      </c>
      <c r="K975" s="80"/>
      <c r="L975" s="807">
        <v>1004</v>
      </c>
      <c r="M975" s="80" t="str">
        <f>+IFERROR(VLOOKUP(L975,DATA!$G$4:$H$2000,2,FALSE),"")</f>
        <v xml:space="preserve">Түмэндэлгэр </v>
      </c>
      <c r="N975" s="630"/>
      <c r="O975" s="80" t="str">
        <f>IFERROR(VLOOKUP(N975,DATA!$K$4:$L$51,2,FALSE),"")</f>
        <v/>
      </c>
      <c r="P975" s="80">
        <f t="shared" si="79"/>
        <v>1</v>
      </c>
      <c r="Q975" s="154">
        <f t="shared" si="80"/>
        <v>1</v>
      </c>
    </row>
    <row r="976" spans="2:17">
      <c r="B976" s="627">
        <f t="shared" si="81"/>
        <v>971</v>
      </c>
      <c r="C976" s="429">
        <v>43307</v>
      </c>
      <c r="D976" s="816" t="s">
        <v>2579</v>
      </c>
      <c r="E976" s="807">
        <v>100100</v>
      </c>
      <c r="F976" s="629" t="str">
        <f>IFERROR(VLOOKUP(E976,STAT1!$C$4:$D$1000,2,FALSE),"")</f>
        <v>Касс мөнгө MNT</v>
      </c>
      <c r="G976" s="811"/>
      <c r="H976" s="811">
        <v>1000000</v>
      </c>
      <c r="I976" s="580">
        <f t="shared" si="82"/>
        <v>-1000000</v>
      </c>
      <c r="J976" s="961">
        <f t="shared" si="83"/>
        <v>0</v>
      </c>
      <c r="K976" s="80"/>
      <c r="L976" s="807">
        <v>1004</v>
      </c>
      <c r="M976" s="80" t="str">
        <f>+IFERROR(VLOOKUP(L976,DATA!$G$4:$H$2000,2,FALSE),"")</f>
        <v xml:space="preserve">Түмэндэлгэр </v>
      </c>
      <c r="N976" s="807"/>
      <c r="O976" s="80" t="str">
        <f>IFERROR(VLOOKUP(N976,DATA!$K$4:$L$51,2,FALSE),"")</f>
        <v/>
      </c>
      <c r="P976" s="80">
        <f t="shared" si="79"/>
        <v>1</v>
      </c>
      <c r="Q976" s="154">
        <f t="shared" si="80"/>
        <v>1</v>
      </c>
    </row>
    <row r="977" spans="2:17">
      <c r="B977" s="627">
        <f t="shared" si="81"/>
        <v>972</v>
      </c>
      <c r="C977" s="429">
        <v>43307</v>
      </c>
      <c r="D977" s="816" t="s">
        <v>2379</v>
      </c>
      <c r="E977" s="807">
        <v>110100</v>
      </c>
      <c r="F977" s="629" t="str">
        <f>IFERROR(VLOOKUP(E977,STAT1!$C$4:$D$1000,2,FALSE),"")</f>
        <v>Хаан Банк 5024654020</v>
      </c>
      <c r="G977" s="811"/>
      <c r="H977" s="811">
        <f>3719350-2851621</f>
        <v>867729</v>
      </c>
      <c r="I977" s="580">
        <f t="shared" si="82"/>
        <v>-867729</v>
      </c>
      <c r="J977" s="961">
        <f t="shared" si="83"/>
        <v>0</v>
      </c>
      <c r="K977" s="80"/>
      <c r="L977" s="807">
        <v>2009</v>
      </c>
      <c r="M977" s="80" t="str">
        <f>+IFERROR(VLOOKUP(L977,DATA!$G$4:$H$2000,2,FALSE),"")</f>
        <v>ХААН БАНК</v>
      </c>
      <c r="N977" s="807">
        <v>91</v>
      </c>
      <c r="O977" s="80" t="str">
        <f>IFERROR(VLOOKUP(N977,DATA!$K$4:$L$51,2,FALSE),"")</f>
        <v>Зээл, өрийн үнэт цаасны төлбөрт төлсөн</v>
      </c>
      <c r="P977" s="80">
        <f t="shared" si="79"/>
        <v>1</v>
      </c>
      <c r="Q977" s="154">
        <f t="shared" si="80"/>
        <v>1</v>
      </c>
    </row>
    <row r="978" spans="2:17">
      <c r="B978" s="627">
        <f t="shared" si="81"/>
        <v>973</v>
      </c>
      <c r="C978" s="429">
        <v>43307</v>
      </c>
      <c r="D978" s="816" t="s">
        <v>2379</v>
      </c>
      <c r="E978" s="807">
        <v>311100</v>
      </c>
      <c r="F978" s="629" t="str">
        <f>IFERROR(VLOOKUP(E978,STAT1!$C$4:$D$1000,2,FALSE),"")</f>
        <v xml:space="preserve">Бусад богино хугацаат өглөг </v>
      </c>
      <c r="G978" s="811">
        <f>3719350-2851621</f>
        <v>867729</v>
      </c>
      <c r="H978" s="811"/>
      <c r="I978" s="580">
        <f t="shared" si="82"/>
        <v>0</v>
      </c>
      <c r="J978" s="961">
        <f t="shared" si="83"/>
        <v>0</v>
      </c>
      <c r="K978" s="80"/>
      <c r="L978" s="807">
        <v>2009</v>
      </c>
      <c r="M978" s="80" t="str">
        <f>+IFERROR(VLOOKUP(L978,DATA!$G$4:$H$2000,2,FALSE),"")</f>
        <v>ХААН БАНК</v>
      </c>
      <c r="N978" s="807"/>
      <c r="O978" s="80" t="str">
        <f>IFERROR(VLOOKUP(N978,DATA!$K$4:$L$51,2,FALSE),"")</f>
        <v/>
      </c>
      <c r="P978" s="80">
        <f t="shared" si="79"/>
        <v>0</v>
      </c>
      <c r="Q978" s="154">
        <f t="shared" si="80"/>
        <v>0</v>
      </c>
    </row>
    <row r="979" spans="2:17">
      <c r="B979" s="627">
        <f t="shared" si="81"/>
        <v>974</v>
      </c>
      <c r="C979" s="429">
        <v>43307</v>
      </c>
      <c r="D979" s="816" t="s">
        <v>2379</v>
      </c>
      <c r="E979" s="807">
        <v>110100</v>
      </c>
      <c r="F979" s="629" t="str">
        <f>IFERROR(VLOOKUP(E979,STAT1!$C$4:$D$1000,2,FALSE),"")</f>
        <v>Хаан Банк 5024654020</v>
      </c>
      <c r="G979" s="811"/>
      <c r="H979" s="811">
        <f>4084261-2851621-867729-10000</f>
        <v>354911</v>
      </c>
      <c r="I979" s="580">
        <f t="shared" si="82"/>
        <v>-354911</v>
      </c>
      <c r="J979" s="961">
        <f t="shared" si="83"/>
        <v>0</v>
      </c>
      <c r="K979" s="80"/>
      <c r="L979" s="807">
        <v>2009</v>
      </c>
      <c r="M979" s="80" t="str">
        <f>+IFERROR(VLOOKUP(L979,DATA!$G$4:$H$2000,2,FALSE),"")</f>
        <v>ХААН БАНК</v>
      </c>
      <c r="N979" s="807">
        <v>56</v>
      </c>
      <c r="O979" s="80" t="str">
        <f>IFERROR(VLOOKUP(N979,DATA!$K$4:$L$51,2,FALSE),"")</f>
        <v>Хүүний төлбөрт төлсөн</v>
      </c>
      <c r="P979" s="80">
        <f t="shared" si="79"/>
        <v>1</v>
      </c>
      <c r="Q979" s="154">
        <f t="shared" si="80"/>
        <v>1</v>
      </c>
    </row>
    <row r="980" spans="2:17">
      <c r="B980" s="627">
        <f t="shared" si="81"/>
        <v>975</v>
      </c>
      <c r="C980" s="429">
        <v>43307</v>
      </c>
      <c r="D980" s="816" t="s">
        <v>2379</v>
      </c>
      <c r="E980" s="807">
        <v>702500</v>
      </c>
      <c r="F980" s="629" t="str">
        <f>IFERROR(VLOOKUP(E980,STAT1!$C$4:$D$1000,2,FALSE),"")</f>
        <v>Зээлийн хүүгийн зардал</v>
      </c>
      <c r="G980" s="811">
        <f>4084261-2851621-867729-10000</f>
        <v>354911</v>
      </c>
      <c r="H980" s="811"/>
      <c r="I980" s="580">
        <f t="shared" si="82"/>
        <v>0</v>
      </c>
      <c r="J980" s="961">
        <f t="shared" si="83"/>
        <v>0</v>
      </c>
      <c r="K980" s="80"/>
      <c r="L980" s="807">
        <v>2009</v>
      </c>
      <c r="M980" s="80" t="str">
        <f>+IFERROR(VLOOKUP(L980,DATA!$G$4:$H$2000,2,FALSE),"")</f>
        <v>ХААН БАНК</v>
      </c>
      <c r="N980" s="807">
        <v>0</v>
      </c>
      <c r="O980" s="80" t="str">
        <f>IFERROR(VLOOKUP(N980,DATA!$K$4:$L$51,2,FALSE),"")</f>
        <v/>
      </c>
      <c r="P980" s="80">
        <f t="shared" si="79"/>
        <v>0</v>
      </c>
      <c r="Q980" s="154">
        <f t="shared" si="80"/>
        <v>0</v>
      </c>
    </row>
    <row r="981" spans="2:17">
      <c r="B981" s="627">
        <f t="shared" si="81"/>
        <v>976</v>
      </c>
      <c r="C981" s="429">
        <v>43307</v>
      </c>
      <c r="D981" s="816" t="s">
        <v>2602</v>
      </c>
      <c r="E981" s="807">
        <v>100100</v>
      </c>
      <c r="F981" s="629" t="str">
        <f>IFERROR(VLOOKUP(E981,STAT1!$C$4:$D$1000,2,FALSE),"")</f>
        <v>Касс мөнгө MNT</v>
      </c>
      <c r="G981" s="811"/>
      <c r="H981" s="811">
        <v>355330</v>
      </c>
      <c r="I981" s="580">
        <f t="shared" si="82"/>
        <v>-355330</v>
      </c>
      <c r="J981" s="961">
        <f t="shared" si="83"/>
        <v>0</v>
      </c>
      <c r="K981" s="80"/>
      <c r="L981" s="807">
        <v>2005</v>
      </c>
      <c r="M981" s="80" t="str">
        <f>+IFERROR(VLOOKUP(L981,DATA!$G$4:$H$2000,2,FALSE),"")</f>
        <v xml:space="preserve">УСУГ ТӨХК </v>
      </c>
      <c r="N981" s="807">
        <v>54</v>
      </c>
      <c r="O981" s="80" t="str">
        <f>IFERROR(VLOOKUP(N981,DATA!$K$4:$L$51,2,FALSE),"")</f>
        <v>Ашиглалтын зардалд төлсөн</v>
      </c>
      <c r="P981" s="80">
        <f t="shared" si="79"/>
        <v>1</v>
      </c>
      <c r="Q981" s="154">
        <f t="shared" si="80"/>
        <v>1</v>
      </c>
    </row>
    <row r="982" spans="2:17">
      <c r="B982" s="627">
        <f t="shared" si="81"/>
        <v>977</v>
      </c>
      <c r="C982" s="429">
        <v>43307</v>
      </c>
      <c r="D982" s="816" t="s">
        <v>2602</v>
      </c>
      <c r="E982" s="807">
        <v>120600</v>
      </c>
      <c r="F982" s="629" t="str">
        <f>IFERROR(VLOOKUP(E982,STAT1!$C$4:$D$1000,2,FALSE),"")</f>
        <v>НӨАТ авлага</v>
      </c>
      <c r="G982" s="811">
        <v>32305</v>
      </c>
      <c r="H982" s="811"/>
      <c r="I982" s="580">
        <f t="shared" si="82"/>
        <v>0</v>
      </c>
      <c r="J982" s="961">
        <f t="shared" si="83"/>
        <v>0</v>
      </c>
      <c r="K982" s="80"/>
      <c r="L982" s="807">
        <v>2005</v>
      </c>
      <c r="M982" s="80" t="str">
        <f>+IFERROR(VLOOKUP(L982,DATA!$G$4:$H$2000,2,FALSE),"")</f>
        <v xml:space="preserve">УСУГ ТӨХК </v>
      </c>
      <c r="N982" s="807"/>
      <c r="O982" s="80" t="str">
        <f>IFERROR(VLOOKUP(N982,DATA!$K$4:$L$51,2,FALSE),"")</f>
        <v/>
      </c>
      <c r="P982" s="80">
        <f t="shared" si="79"/>
        <v>0</v>
      </c>
      <c r="Q982" s="154">
        <f t="shared" si="80"/>
        <v>0</v>
      </c>
    </row>
    <row r="983" spans="2:17">
      <c r="B983" s="627">
        <f t="shared" si="81"/>
        <v>978</v>
      </c>
      <c r="C983" s="429">
        <v>43307</v>
      </c>
      <c r="D983" s="816" t="s">
        <v>2602</v>
      </c>
      <c r="E983" s="807">
        <v>700900</v>
      </c>
      <c r="F983" s="629" t="str">
        <f>IFERROR(VLOOKUP(E983,STAT1!$C$4:$D$1000,2,FALSE),"")</f>
        <v>Уур, ус</v>
      </c>
      <c r="G983" s="811">
        <f>355330-32305</f>
        <v>323025</v>
      </c>
      <c r="H983" s="811"/>
      <c r="I983" s="580">
        <f t="shared" si="82"/>
        <v>0</v>
      </c>
      <c r="J983" s="961">
        <f t="shared" si="83"/>
        <v>0</v>
      </c>
      <c r="K983" s="80"/>
      <c r="L983" s="807">
        <v>2005</v>
      </c>
      <c r="M983" s="80" t="str">
        <f>+IFERROR(VLOOKUP(L983,DATA!$G$4:$H$2000,2,FALSE),"")</f>
        <v xml:space="preserve">УСУГ ТӨХК </v>
      </c>
      <c r="N983" s="807"/>
      <c r="O983" s="80" t="str">
        <f>IFERROR(VLOOKUP(N983,DATA!$K$4:$L$51,2,FALSE),"")</f>
        <v/>
      </c>
      <c r="P983" s="80">
        <f t="shared" si="79"/>
        <v>0</v>
      </c>
      <c r="Q983" s="154">
        <f t="shared" si="80"/>
        <v>0</v>
      </c>
    </row>
    <row r="984" spans="2:17">
      <c r="B984" s="627">
        <f t="shared" si="81"/>
        <v>979</v>
      </c>
      <c r="C984" s="429">
        <v>43307</v>
      </c>
      <c r="D984" s="816" t="s">
        <v>2730</v>
      </c>
      <c r="E984" s="807">
        <v>310100</v>
      </c>
      <c r="F984" s="629" t="str">
        <f>IFERROR(VLOOKUP(E984,STAT1!$C$4:$D$1000,2,FALSE),"")</f>
        <v>Дансны өглөг MNT</v>
      </c>
      <c r="G984" s="811"/>
      <c r="H984" s="811">
        <v>1653944.55</v>
      </c>
      <c r="I984" s="580">
        <f t="shared" si="82"/>
        <v>0</v>
      </c>
      <c r="J984" s="961">
        <f t="shared" si="83"/>
        <v>0</v>
      </c>
      <c r="K984" s="80"/>
      <c r="L984" s="807">
        <v>2004</v>
      </c>
      <c r="M984" s="80" t="str">
        <f>+IFERROR(VLOOKUP(L984,DATA!$G$4:$H$2000,2,FALSE),"")</f>
        <v xml:space="preserve">ДЦС-3 ТӨХК </v>
      </c>
      <c r="N984" s="807"/>
      <c r="O984" s="80" t="str">
        <f>IFERROR(VLOOKUP(N984,DATA!$K$4:$L$51,2,FALSE),"")</f>
        <v/>
      </c>
      <c r="P984" s="80">
        <f t="shared" si="79"/>
        <v>0</v>
      </c>
      <c r="Q984" s="154">
        <f t="shared" si="80"/>
        <v>0</v>
      </c>
    </row>
    <row r="985" spans="2:17">
      <c r="B985" s="627">
        <f t="shared" si="81"/>
        <v>980</v>
      </c>
      <c r="C985" s="429">
        <v>43307</v>
      </c>
      <c r="D985" s="816" t="s">
        <v>2730</v>
      </c>
      <c r="E985" s="807">
        <v>120100</v>
      </c>
      <c r="F985" s="629" t="str">
        <f>IFERROR(VLOOKUP(E985,STAT1!$C$4:$D$1000,2,FALSE),"")</f>
        <v xml:space="preserve">Дансны авлага MNT </v>
      </c>
      <c r="G985" s="811">
        <v>150358.6</v>
      </c>
      <c r="H985" s="811"/>
      <c r="I985" s="580">
        <f t="shared" si="82"/>
        <v>0</v>
      </c>
      <c r="J985" s="961">
        <f t="shared" si="83"/>
        <v>0</v>
      </c>
      <c r="K985" s="80"/>
      <c r="L985" s="807">
        <v>2004</v>
      </c>
      <c r="M985" s="80" t="str">
        <f>+IFERROR(VLOOKUP(L985,DATA!$G$4:$H$2000,2,FALSE),"")</f>
        <v xml:space="preserve">ДЦС-3 ТӨХК </v>
      </c>
      <c r="N985" s="807"/>
      <c r="O985" s="80" t="str">
        <f>IFERROR(VLOOKUP(N985,DATA!$K$4:$L$51,2,FALSE),"")</f>
        <v/>
      </c>
      <c r="P985" s="80">
        <f t="shared" si="79"/>
        <v>0</v>
      </c>
      <c r="Q985" s="154">
        <f t="shared" si="80"/>
        <v>0</v>
      </c>
    </row>
    <row r="986" spans="2:17">
      <c r="B986" s="627">
        <f t="shared" si="81"/>
        <v>981</v>
      </c>
      <c r="C986" s="429">
        <v>43307</v>
      </c>
      <c r="D986" s="816" t="s">
        <v>2730</v>
      </c>
      <c r="E986" s="807">
        <v>700900</v>
      </c>
      <c r="F986" s="629" t="str">
        <f>IFERROR(VLOOKUP(E986,STAT1!$C$4:$D$1000,2,FALSE),"")</f>
        <v>Уур, ус</v>
      </c>
      <c r="G986" s="811">
        <f>1653944.55-150358.6</f>
        <v>1503585.95</v>
      </c>
      <c r="H986" s="811"/>
      <c r="I986" s="580">
        <f t="shared" si="82"/>
        <v>0</v>
      </c>
      <c r="J986" s="961">
        <f t="shared" si="83"/>
        <v>0</v>
      </c>
      <c r="K986" s="80"/>
      <c r="L986" s="807">
        <v>2004</v>
      </c>
      <c r="M986" s="80" t="str">
        <f>+IFERROR(VLOOKUP(L986,DATA!$G$4:$H$2000,2,FALSE),"")</f>
        <v xml:space="preserve">ДЦС-3 ТӨХК </v>
      </c>
      <c r="N986" s="807"/>
      <c r="O986" s="80" t="str">
        <f>IFERROR(VLOOKUP(N986,DATA!$K$4:$L$51,2,FALSE),"")</f>
        <v/>
      </c>
      <c r="P986" s="80">
        <f t="shared" si="79"/>
        <v>0</v>
      </c>
      <c r="Q986" s="154">
        <f t="shared" si="80"/>
        <v>0</v>
      </c>
    </row>
    <row r="987" spans="2:17">
      <c r="B987" s="627">
        <f t="shared" si="81"/>
        <v>982</v>
      </c>
      <c r="C987" s="429">
        <v>43308</v>
      </c>
      <c r="D987" s="816" t="s">
        <v>1571</v>
      </c>
      <c r="E987" s="807">
        <v>110100</v>
      </c>
      <c r="F987" s="629" t="str">
        <f>IFERROR(VLOOKUP(E987,STAT1!$C$4:$D$1000,2,FALSE),"")</f>
        <v>Хаан Банк 5024654020</v>
      </c>
      <c r="G987" s="811">
        <v>6267456</v>
      </c>
      <c r="H987" s="811"/>
      <c r="I987" s="580">
        <f t="shared" si="82"/>
        <v>6267456</v>
      </c>
      <c r="J987" s="961">
        <f t="shared" si="83"/>
        <v>0</v>
      </c>
      <c r="K987" s="80"/>
      <c r="L987" s="807">
        <v>3131</v>
      </c>
      <c r="M987" s="80" t="str">
        <f>+IFERROR(VLOOKUP(L987,DATA!$G$4:$H$2000,2,FALSE),"")</f>
        <v>ДЕЛЬТА КОНСТРАКШН ХХК</v>
      </c>
      <c r="N987" s="807">
        <v>41</v>
      </c>
      <c r="O987" s="80" t="str">
        <f>IFERROR(VLOOKUP(N987,DATA!$K$4:$L$51,2,FALSE),"")</f>
        <v>Бараа борлуулсан, үйлчилгээ үзүүлсэний орлого</v>
      </c>
      <c r="P987" s="80">
        <f t="shared" si="79"/>
        <v>1</v>
      </c>
      <c r="Q987" s="154">
        <f t="shared" si="80"/>
        <v>1</v>
      </c>
    </row>
    <row r="988" spans="2:17">
      <c r="B988" s="627">
        <f t="shared" si="81"/>
        <v>983</v>
      </c>
      <c r="C988" s="429">
        <v>43308</v>
      </c>
      <c r="D988" s="816" t="s">
        <v>1571</v>
      </c>
      <c r="E988" s="807">
        <v>320100</v>
      </c>
      <c r="F988" s="629" t="str">
        <f>IFERROR(VLOOKUP(E988,STAT1!$C$4:$D$1000,2,FALSE),"")</f>
        <v>Урьдчилж орсон орлого MNT</v>
      </c>
      <c r="G988" s="811"/>
      <c r="H988" s="811">
        <v>6267456</v>
      </c>
      <c r="I988" s="580">
        <f t="shared" si="82"/>
        <v>0</v>
      </c>
      <c r="J988" s="961">
        <f t="shared" si="83"/>
        <v>0</v>
      </c>
      <c r="K988" s="80"/>
      <c r="L988" s="807">
        <v>3131</v>
      </c>
      <c r="M988" s="80" t="str">
        <f>+IFERROR(VLOOKUP(L988,DATA!$G$4:$H$2000,2,FALSE),"")</f>
        <v>ДЕЛЬТА КОНСТРАКШН ХХК</v>
      </c>
      <c r="N988" s="807">
        <v>0</v>
      </c>
      <c r="O988" s="80" t="str">
        <f>IFERROR(VLOOKUP(N988,DATA!$K$4:$L$51,2,FALSE),"")</f>
        <v/>
      </c>
      <c r="P988" s="80">
        <f t="shared" si="79"/>
        <v>0</v>
      </c>
      <c r="Q988" s="154">
        <f t="shared" si="80"/>
        <v>0</v>
      </c>
    </row>
    <row r="989" spans="2:17">
      <c r="B989" s="627">
        <f t="shared" si="81"/>
        <v>984</v>
      </c>
      <c r="C989" s="429">
        <v>43308</v>
      </c>
      <c r="D989" s="816" t="s">
        <v>1570</v>
      </c>
      <c r="E989" s="807">
        <v>100100</v>
      </c>
      <c r="F989" s="629" t="str">
        <f>IFERROR(VLOOKUP(E989,STAT1!$C$4:$D$1000,2,FALSE),"")</f>
        <v>Касс мөнгө MNT</v>
      </c>
      <c r="G989" s="811"/>
      <c r="H989" s="811">
        <v>20000</v>
      </c>
      <c r="I989" s="580">
        <f t="shared" si="82"/>
        <v>-20000</v>
      </c>
      <c r="J989" s="961">
        <f t="shared" si="83"/>
        <v>0</v>
      </c>
      <c r="K989" s="80"/>
      <c r="L989" s="807">
        <v>1004</v>
      </c>
      <c r="M989" s="80" t="str">
        <f>+IFERROR(VLOOKUP(L989,DATA!$G$4:$H$2000,2,FALSE),"")</f>
        <v xml:space="preserve">Түмэндэлгэр </v>
      </c>
      <c r="N989" s="807">
        <v>55</v>
      </c>
      <c r="O989" s="80" t="str">
        <f>IFERROR(VLOOKUP(N989,DATA!$K$4:$L$51,2,FALSE),"")</f>
        <v>Түлш, шатахуун, тээврийн хөлс, сэлбэг хэрэгсэлд төлсөн</v>
      </c>
      <c r="P989" s="80">
        <f t="shared" si="79"/>
        <v>1</v>
      </c>
      <c r="Q989" s="154">
        <f t="shared" si="80"/>
        <v>1</v>
      </c>
    </row>
    <row r="990" spans="2:17">
      <c r="B990" s="627">
        <f t="shared" si="81"/>
        <v>985</v>
      </c>
      <c r="C990" s="429">
        <v>43308</v>
      </c>
      <c r="D990" s="816" t="s">
        <v>1570</v>
      </c>
      <c r="E990" s="630">
        <v>120600</v>
      </c>
      <c r="F990" s="629" t="str">
        <f>IFERROR(VLOOKUP(E990,STAT1!$C$4:$D$1000,2,FALSE),"")</f>
        <v>НӨАТ авлага</v>
      </c>
      <c r="G990" s="811">
        <v>1818.18</v>
      </c>
      <c r="H990" s="811"/>
      <c r="I990" s="580">
        <f t="shared" si="82"/>
        <v>0</v>
      </c>
      <c r="J990" s="961">
        <f t="shared" si="83"/>
        <v>0</v>
      </c>
      <c r="K990" s="80"/>
      <c r="L990" s="807">
        <v>1004</v>
      </c>
      <c r="M990" s="80" t="str">
        <f>+IFERROR(VLOOKUP(L990,DATA!$G$4:$H$2000,2,FALSE),"")</f>
        <v xml:space="preserve">Түмэндэлгэр </v>
      </c>
      <c r="N990" s="807"/>
      <c r="O990" s="80" t="str">
        <f>IFERROR(VLOOKUP(N990,DATA!$K$4:$L$51,2,FALSE),"")</f>
        <v/>
      </c>
      <c r="P990" s="80">
        <f t="shared" si="79"/>
        <v>0</v>
      </c>
      <c r="Q990" s="154">
        <f t="shared" si="80"/>
        <v>0</v>
      </c>
    </row>
    <row r="991" spans="2:17">
      <c r="B991" s="627">
        <f t="shared" si="81"/>
        <v>986</v>
      </c>
      <c r="C991" s="429">
        <v>43308</v>
      </c>
      <c r="D991" s="816" t="s">
        <v>1570</v>
      </c>
      <c r="E991" s="630">
        <v>702000</v>
      </c>
      <c r="F991" s="629" t="str">
        <f>IFERROR(VLOOKUP(E991,STAT1!$C$4:$D$1000,2,FALSE),"")</f>
        <v>Түлш, шатахуун</v>
      </c>
      <c r="G991" s="811">
        <f>20000-1818.18</f>
        <v>18181.82</v>
      </c>
      <c r="H991" s="811"/>
      <c r="I991" s="580">
        <f t="shared" si="82"/>
        <v>0</v>
      </c>
      <c r="J991" s="961">
        <f t="shared" si="83"/>
        <v>0</v>
      </c>
      <c r="K991" s="80"/>
      <c r="L991" s="807">
        <v>1004</v>
      </c>
      <c r="M991" s="80" t="str">
        <f>+IFERROR(VLOOKUP(L991,DATA!$G$4:$H$2000,2,FALSE),"")</f>
        <v xml:space="preserve">Түмэндэлгэр </v>
      </c>
      <c r="N991" s="807"/>
      <c r="O991" s="80" t="str">
        <f>IFERROR(VLOOKUP(N991,DATA!$K$4:$L$51,2,FALSE),"")</f>
        <v/>
      </c>
      <c r="P991" s="80">
        <f t="shared" si="79"/>
        <v>0</v>
      </c>
      <c r="Q991" s="154">
        <f t="shared" si="80"/>
        <v>0</v>
      </c>
    </row>
    <row r="992" spans="2:17">
      <c r="B992" s="627">
        <f t="shared" si="81"/>
        <v>987</v>
      </c>
      <c r="C992" s="582">
        <v>43308</v>
      </c>
      <c r="D992" s="816" t="s">
        <v>2727</v>
      </c>
      <c r="E992" s="807">
        <v>150101</v>
      </c>
      <c r="F992" s="629" t="str">
        <f>IFERROR(VLOOKUP(E992,STAT1!$C$4:$D$8000,2,FALSE),"")</f>
        <v>Бараа бэлэн бүтээгдэхүүн БОЛОВСРУУЛАХ ЦЕХ /нарс/</v>
      </c>
      <c r="G992" s="376"/>
      <c r="H992" s="376">
        <v>397124.57</v>
      </c>
      <c r="I992" s="580">
        <f t="shared" si="82"/>
        <v>0</v>
      </c>
      <c r="J992" s="961">
        <f t="shared" si="83"/>
        <v>0</v>
      </c>
      <c r="K992" s="80"/>
      <c r="L992" s="630">
        <v>2003</v>
      </c>
      <c r="M992" s="80" t="str">
        <f>+IFERROR(VLOOKUP(L992,DATA!$G$4:$H$2000,2,FALSE),"")</f>
        <v xml:space="preserve">УБЦТС ТӨХК </v>
      </c>
      <c r="N992" s="630"/>
      <c r="O992" s="80" t="str">
        <f>IFERROR(VLOOKUP(N992,DATA!$K$4:$L$51,2,FALSE),"")</f>
        <v/>
      </c>
      <c r="P992" s="80">
        <f t="shared" si="79"/>
        <v>0</v>
      </c>
      <c r="Q992" s="154">
        <f t="shared" si="80"/>
        <v>0</v>
      </c>
    </row>
    <row r="993" spans="2:17">
      <c r="B993" s="627">
        <f t="shared" si="81"/>
        <v>988</v>
      </c>
      <c r="C993" s="582">
        <v>43308</v>
      </c>
      <c r="D993" s="816" t="s">
        <v>2727</v>
      </c>
      <c r="E993" s="807">
        <v>610100</v>
      </c>
      <c r="F993" s="629" t="str">
        <f>IFERROR(VLOOKUP(E993,STAT1!$C$4:$D$8000,2,FALSE),"")</f>
        <v>Борлуулсан барааны өртөг</v>
      </c>
      <c r="G993" s="376">
        <v>397124.57</v>
      </c>
      <c r="H993" s="376"/>
      <c r="I993" s="580">
        <f t="shared" si="82"/>
        <v>0</v>
      </c>
      <c r="J993" s="961">
        <f t="shared" si="83"/>
        <v>0</v>
      </c>
      <c r="K993" s="80"/>
      <c r="L993" s="630">
        <v>2003</v>
      </c>
      <c r="M993" s="80" t="str">
        <f>+IFERROR(VLOOKUP(L993,DATA!$G$4:$H$2000,2,FALSE),"")</f>
        <v xml:space="preserve">УБЦТС ТӨХК </v>
      </c>
      <c r="N993" s="630"/>
      <c r="O993" s="80" t="str">
        <f>IFERROR(VLOOKUP(N993,DATA!$K$4:$L$51,2,FALSE),"")</f>
        <v/>
      </c>
      <c r="P993" s="80">
        <f t="shared" si="79"/>
        <v>0</v>
      </c>
      <c r="Q993" s="154">
        <f t="shared" si="80"/>
        <v>0</v>
      </c>
    </row>
    <row r="994" spans="2:17">
      <c r="B994" s="627">
        <f t="shared" si="81"/>
        <v>989</v>
      </c>
      <c r="C994" s="582">
        <v>43308</v>
      </c>
      <c r="D994" s="816" t="s">
        <v>2727</v>
      </c>
      <c r="E994" s="807">
        <v>310500</v>
      </c>
      <c r="F994" s="629" t="str">
        <f>IFERROR(VLOOKUP(E994,STAT1!$C$4:$D$8000,2,FALSE),"")</f>
        <v>НӨАТ өглөг</v>
      </c>
      <c r="G994" s="376"/>
      <c r="H994" s="376">
        <v>48000</v>
      </c>
      <c r="I994" s="580">
        <f t="shared" si="82"/>
        <v>0</v>
      </c>
      <c r="J994" s="961">
        <f t="shared" si="83"/>
        <v>0</v>
      </c>
      <c r="K994" s="80"/>
      <c r="L994" s="630">
        <v>2003</v>
      </c>
      <c r="M994" s="80" t="str">
        <f>+IFERROR(VLOOKUP(L994,DATA!$G$4:$H$2000,2,FALSE),"")</f>
        <v xml:space="preserve">УБЦТС ТӨХК </v>
      </c>
      <c r="N994" s="630"/>
      <c r="O994" s="80" t="str">
        <f>IFERROR(VLOOKUP(N994,DATA!$K$4:$L$51,2,FALSE),"")</f>
        <v/>
      </c>
      <c r="P994" s="80">
        <f t="shared" si="79"/>
        <v>0</v>
      </c>
      <c r="Q994" s="154">
        <f t="shared" si="80"/>
        <v>0</v>
      </c>
    </row>
    <row r="995" spans="2:17">
      <c r="B995" s="627">
        <f t="shared" si="81"/>
        <v>990</v>
      </c>
      <c r="C995" s="582">
        <v>43308</v>
      </c>
      <c r="D995" s="816" t="s">
        <v>2727</v>
      </c>
      <c r="E995" s="807">
        <v>510000</v>
      </c>
      <c r="F995" s="629" t="str">
        <f>IFERROR(VLOOKUP(E995,STAT1!$C$4:$D$8000,2,FALSE),"")</f>
        <v>Үндсэн үйл ажиллагааны борлуулалт</v>
      </c>
      <c r="G995" s="376"/>
      <c r="H995" s="376">
        <v>480000</v>
      </c>
      <c r="I995" s="580">
        <f t="shared" si="82"/>
        <v>0</v>
      </c>
      <c r="J995" s="961">
        <f t="shared" si="83"/>
        <v>0</v>
      </c>
      <c r="K995" s="80"/>
      <c r="L995" s="630">
        <v>2003</v>
      </c>
      <c r="M995" s="80" t="str">
        <f>+IFERROR(VLOOKUP(L995,DATA!$G$4:$H$2000,2,FALSE),"")</f>
        <v xml:space="preserve">УБЦТС ТӨХК </v>
      </c>
      <c r="N995" s="630"/>
      <c r="O995" s="80" t="str">
        <f>IFERROR(VLOOKUP(N995,DATA!$K$4:$L$51,2,FALSE),"")</f>
        <v/>
      </c>
      <c r="P995" s="80">
        <f t="shared" si="79"/>
        <v>0</v>
      </c>
      <c r="Q995" s="154">
        <f t="shared" si="80"/>
        <v>0</v>
      </c>
    </row>
    <row r="996" spans="2:17">
      <c r="B996" s="627">
        <f t="shared" si="81"/>
        <v>991</v>
      </c>
      <c r="C996" s="582">
        <v>43308</v>
      </c>
      <c r="D996" s="816" t="s">
        <v>2727</v>
      </c>
      <c r="E996" s="807">
        <v>320100</v>
      </c>
      <c r="F996" s="629" t="str">
        <f>IFERROR(VLOOKUP(E996,STAT1!$C$4:$D$1000,2,FALSE),"")</f>
        <v>Урьдчилж орсон орлого MNT</v>
      </c>
      <c r="G996" s="811">
        <v>528000</v>
      </c>
      <c r="H996" s="811"/>
      <c r="I996" s="580">
        <f t="shared" si="82"/>
        <v>0</v>
      </c>
      <c r="J996" s="961">
        <f t="shared" si="83"/>
        <v>0</v>
      </c>
      <c r="K996" s="80"/>
      <c r="L996" s="630">
        <v>2003</v>
      </c>
      <c r="M996" s="80" t="str">
        <f>+IFERROR(VLOOKUP(L996,DATA!$G$4:$H$2000,2,FALSE),"")</f>
        <v xml:space="preserve">УБЦТС ТӨХК </v>
      </c>
      <c r="N996" s="807"/>
      <c r="O996" s="80"/>
      <c r="P996" s="80">
        <f t="shared" si="79"/>
        <v>0</v>
      </c>
      <c r="Q996" s="154">
        <f t="shared" si="80"/>
        <v>0</v>
      </c>
    </row>
    <row r="997" spans="2:17">
      <c r="B997" s="627">
        <f t="shared" si="81"/>
        <v>992</v>
      </c>
      <c r="C997" s="429">
        <v>43311</v>
      </c>
      <c r="D997" s="816" t="s">
        <v>1571</v>
      </c>
      <c r="E997" s="807">
        <v>110100</v>
      </c>
      <c r="F997" s="629" t="str">
        <f>IFERROR(VLOOKUP(E997,STAT1!$C$4:$D$1000,2,FALSE),"")</f>
        <v>Хаан Банк 5024654020</v>
      </c>
      <c r="G997" s="811">
        <v>1357450</v>
      </c>
      <c r="H997" s="811"/>
      <c r="I997" s="580">
        <f t="shared" si="82"/>
        <v>1357450</v>
      </c>
      <c r="J997" s="961">
        <f t="shared" si="83"/>
        <v>0</v>
      </c>
      <c r="K997" s="80"/>
      <c r="L997" s="807">
        <v>3130</v>
      </c>
      <c r="M997" s="80" t="str">
        <f>+IFERROR(VLOOKUP(L997,DATA!$G$4:$H$2000,2,FALSE),"")</f>
        <v>АРУМА ХХК</v>
      </c>
      <c r="N997" s="807">
        <v>41</v>
      </c>
      <c r="O997" s="80" t="str">
        <f>IFERROR(VLOOKUP(N997,DATA!$K$4:$L$51,2,FALSE),"")</f>
        <v>Бараа борлуулсан, үйлчилгээ үзүүлсэний орлого</v>
      </c>
      <c r="P997" s="80">
        <f t="shared" si="79"/>
        <v>1</v>
      </c>
      <c r="Q997" s="154">
        <f t="shared" si="80"/>
        <v>1</v>
      </c>
    </row>
    <row r="998" spans="2:17">
      <c r="B998" s="627">
        <f t="shared" si="81"/>
        <v>993</v>
      </c>
      <c r="C998" s="429">
        <v>43311</v>
      </c>
      <c r="D998" s="816" t="s">
        <v>1571</v>
      </c>
      <c r="E998" s="807">
        <v>320100</v>
      </c>
      <c r="F998" s="629" t="str">
        <f>IFERROR(VLOOKUP(E998,STAT1!$C$4:$D$1000,2,FALSE),"")</f>
        <v>Урьдчилж орсон орлого MNT</v>
      </c>
      <c r="G998" s="811"/>
      <c r="H998" s="811">
        <v>1357450</v>
      </c>
      <c r="I998" s="580">
        <f t="shared" si="82"/>
        <v>0</v>
      </c>
      <c r="J998" s="961">
        <f t="shared" si="83"/>
        <v>0</v>
      </c>
      <c r="K998" s="80"/>
      <c r="L998" s="807">
        <v>3130</v>
      </c>
      <c r="M998" s="80" t="str">
        <f>+IFERROR(VLOOKUP(L998,DATA!$G$4:$H$2000,2,FALSE),"")</f>
        <v>АРУМА ХХК</v>
      </c>
      <c r="N998" s="807"/>
      <c r="O998" s="80" t="str">
        <f>IFERROR(VLOOKUP(N998,DATA!$K$4:$L$51,2,FALSE),"")</f>
        <v/>
      </c>
      <c r="P998" s="80">
        <f t="shared" si="79"/>
        <v>0</v>
      </c>
      <c r="Q998" s="154">
        <f t="shared" si="80"/>
        <v>0</v>
      </c>
    </row>
    <row r="999" spans="2:17">
      <c r="B999" s="627">
        <f t="shared" si="81"/>
        <v>994</v>
      </c>
      <c r="C999" s="429">
        <v>43311</v>
      </c>
      <c r="D999" s="816" t="s">
        <v>2510</v>
      </c>
      <c r="E999" s="807">
        <v>110100</v>
      </c>
      <c r="F999" s="629" t="str">
        <f>IFERROR(VLOOKUP(E999,STAT1!$C$4:$D$1000,2,FALSE),"")</f>
        <v>Хаан Банк 5024654020</v>
      </c>
      <c r="G999" s="811"/>
      <c r="H999" s="811">
        <v>2589283</v>
      </c>
      <c r="I999" s="580">
        <f t="shared" si="82"/>
        <v>-2589283</v>
      </c>
      <c r="J999" s="961">
        <f t="shared" si="83"/>
        <v>0</v>
      </c>
      <c r="K999" s="80"/>
      <c r="L999" s="807">
        <v>2003</v>
      </c>
      <c r="M999" s="80" t="str">
        <f>+IFERROR(VLOOKUP(L999,DATA!$G$4:$H$2000,2,FALSE),"")</f>
        <v xml:space="preserve">УБЦТС ТӨХК </v>
      </c>
      <c r="N999" s="807">
        <v>54</v>
      </c>
      <c r="O999" s="80" t="str">
        <f>IFERROR(VLOOKUP(N999,DATA!$K$4:$L$51,2,FALSE),"")</f>
        <v>Ашиглалтын зардалд төлсөн</v>
      </c>
      <c r="P999" s="80">
        <f t="shared" si="79"/>
        <v>1</v>
      </c>
      <c r="Q999" s="154">
        <f t="shared" si="80"/>
        <v>1</v>
      </c>
    </row>
    <row r="1000" spans="2:17">
      <c r="B1000" s="627">
        <f t="shared" si="81"/>
        <v>995</v>
      </c>
      <c r="C1000" s="429">
        <v>43311</v>
      </c>
      <c r="D1000" s="816" t="s">
        <v>2510</v>
      </c>
      <c r="E1000" s="807">
        <v>120600</v>
      </c>
      <c r="F1000" s="629" t="str">
        <f>IFERROR(VLOOKUP(E1000,STAT1!$C$4:$D$1000,2,FALSE),"")</f>
        <v>НӨАТ авлага</v>
      </c>
      <c r="G1000" s="811">
        <v>235389.4</v>
      </c>
      <c r="H1000" s="811"/>
      <c r="I1000" s="580">
        <f t="shared" si="82"/>
        <v>0</v>
      </c>
      <c r="J1000" s="961">
        <f t="shared" si="83"/>
        <v>0</v>
      </c>
      <c r="K1000" s="80"/>
      <c r="L1000" s="807">
        <v>2003</v>
      </c>
      <c r="M1000" s="80" t="str">
        <f>+IFERROR(VLOOKUP(L1000,DATA!$G$4:$H$2000,2,FALSE),"")</f>
        <v xml:space="preserve">УБЦТС ТӨХК </v>
      </c>
      <c r="N1000" s="807"/>
      <c r="O1000" s="80" t="str">
        <f>IFERROR(VLOOKUP(N1000,DATA!$K$4:$L$51,2,FALSE),"")</f>
        <v/>
      </c>
      <c r="P1000" s="80">
        <f t="shared" si="79"/>
        <v>0</v>
      </c>
      <c r="Q1000" s="154">
        <f t="shared" si="80"/>
        <v>0</v>
      </c>
    </row>
    <row r="1001" spans="2:17">
      <c r="B1001" s="627">
        <f t="shared" si="81"/>
        <v>996</v>
      </c>
      <c r="C1001" s="429">
        <v>43311</v>
      </c>
      <c r="D1001" s="816" t="s">
        <v>2510</v>
      </c>
      <c r="E1001" s="630">
        <v>700700</v>
      </c>
      <c r="F1001" s="629" t="str">
        <f>IFERROR(VLOOKUP(E1001,STAT1!$C$4:$D$1000,2,FALSE),"")</f>
        <v>Цахилгаан эрчим хүч</v>
      </c>
      <c r="G1001" s="376">
        <f>2589283-235389.4</f>
        <v>2353893.6</v>
      </c>
      <c r="H1001" s="376"/>
      <c r="I1001" s="580">
        <f t="shared" si="82"/>
        <v>0</v>
      </c>
      <c r="J1001" s="961">
        <f t="shared" si="83"/>
        <v>0</v>
      </c>
      <c r="K1001" s="80"/>
      <c r="L1001" s="807">
        <v>2003</v>
      </c>
      <c r="M1001" s="80" t="str">
        <f>+IFERROR(VLOOKUP(L1001,DATA!$G$4:$H$2000,2,FALSE),"")</f>
        <v xml:space="preserve">УБЦТС ТӨХК </v>
      </c>
      <c r="N1001" s="630"/>
      <c r="O1001" s="80" t="str">
        <f>IFERROR(VLOOKUP(N1001,DATA!$K$4:$L$51,2,FALSE),"")</f>
        <v/>
      </c>
      <c r="P1001" s="80">
        <f t="shared" si="79"/>
        <v>0</v>
      </c>
      <c r="Q1001" s="154">
        <f t="shared" si="80"/>
        <v>0</v>
      </c>
    </row>
    <row r="1002" spans="2:17">
      <c r="B1002" s="627">
        <f t="shared" si="81"/>
        <v>997</v>
      </c>
      <c r="C1002" s="429">
        <v>43311</v>
      </c>
      <c r="D1002" s="815" t="s">
        <v>2648</v>
      </c>
      <c r="E1002" s="630">
        <v>120600</v>
      </c>
      <c r="F1002" s="629" t="str">
        <f>IFERROR(VLOOKUP(E1002,STAT1!$C$4:$D$1000,2,FALSE),"")</f>
        <v>НӨАТ авлага</v>
      </c>
      <c r="G1002" s="376">
        <v>252055.6</v>
      </c>
      <c r="H1002" s="376"/>
      <c r="I1002" s="580">
        <f t="shared" si="82"/>
        <v>0</v>
      </c>
      <c r="J1002" s="961">
        <f t="shared" si="83"/>
        <v>0</v>
      </c>
      <c r="K1002" s="80"/>
      <c r="L1002" s="807">
        <v>2003</v>
      </c>
      <c r="M1002" s="80" t="str">
        <f>+IFERROR(VLOOKUP(L1002,DATA!$G$4:$H$2000,2,FALSE),"")</f>
        <v xml:space="preserve">УБЦТС ТӨХК </v>
      </c>
      <c r="N1002" s="630"/>
      <c r="O1002" s="80" t="str">
        <f>IFERROR(VLOOKUP(N1002,DATA!$K$4:$L$51,2,FALSE),"")</f>
        <v/>
      </c>
      <c r="P1002" s="80">
        <f t="shared" si="79"/>
        <v>0</v>
      </c>
      <c r="Q1002" s="154">
        <f t="shared" si="80"/>
        <v>0</v>
      </c>
    </row>
    <row r="1003" spans="2:17">
      <c r="B1003" s="627">
        <f t="shared" si="81"/>
        <v>998</v>
      </c>
      <c r="C1003" s="429">
        <v>43311</v>
      </c>
      <c r="D1003" s="815" t="s">
        <v>2648</v>
      </c>
      <c r="E1003" s="630">
        <v>120100</v>
      </c>
      <c r="F1003" s="629" t="str">
        <f>IFERROR(VLOOKUP(E1003,STAT1!$C$4:$D$1000,2,FALSE),"")</f>
        <v xml:space="preserve">Дансны авлага MNT </v>
      </c>
      <c r="G1003" s="376"/>
      <c r="H1003" s="376">
        <v>252055.6</v>
      </c>
      <c r="I1003" s="580">
        <f t="shared" si="82"/>
        <v>0</v>
      </c>
      <c r="J1003" s="961">
        <f t="shared" si="83"/>
        <v>0</v>
      </c>
      <c r="K1003" s="80"/>
      <c r="L1003" s="630">
        <v>2003</v>
      </c>
      <c r="M1003" s="80" t="str">
        <f>+IFERROR(VLOOKUP(L1003,DATA!$G$4:$H$2000,2,FALSE),"")</f>
        <v xml:space="preserve">УБЦТС ТӨХК </v>
      </c>
      <c r="N1003" s="630"/>
      <c r="O1003" s="80" t="str">
        <f>IFERROR(VLOOKUP(N1003,DATA!$K$4:$L$51,2,FALSE),"")</f>
        <v/>
      </c>
      <c r="P1003" s="80">
        <f t="shared" ref="P1003:P1066" si="84">+IF(I1003,1,0)</f>
        <v>0</v>
      </c>
      <c r="Q1003" s="154">
        <f t="shared" ref="Q1003:Q1066" si="85">+IF(I1003,1,0)</f>
        <v>0</v>
      </c>
    </row>
    <row r="1004" spans="2:17">
      <c r="B1004" s="627">
        <f t="shared" si="81"/>
        <v>999</v>
      </c>
      <c r="C1004" s="429">
        <v>43311</v>
      </c>
      <c r="D1004" s="815" t="s">
        <v>2381</v>
      </c>
      <c r="E1004" s="630">
        <v>110100</v>
      </c>
      <c r="F1004" s="629" t="str">
        <f>IFERROR(VLOOKUP(E1004,STAT1!$C$4:$D$1000,2,FALSE),"")</f>
        <v>Хаан Банк 5024654020</v>
      </c>
      <c r="G1004" s="376"/>
      <c r="H1004" s="376">
        <v>300</v>
      </c>
      <c r="I1004" s="580">
        <f t="shared" si="82"/>
        <v>-300</v>
      </c>
      <c r="J1004" s="961">
        <f t="shared" si="83"/>
        <v>0</v>
      </c>
      <c r="K1004" s="80"/>
      <c r="L1004" s="630">
        <v>2009</v>
      </c>
      <c r="M1004" s="80" t="str">
        <f>+IFERROR(VLOOKUP(L1004,DATA!$G$4:$H$2000,2,FALSE),"")</f>
        <v>ХААН БАНК</v>
      </c>
      <c r="N1004" s="630">
        <v>59</v>
      </c>
      <c r="O1004" s="80" t="str">
        <f>IFERROR(VLOOKUP(N1004,DATA!$K$4:$L$51,2,FALSE),"")</f>
        <v>Бусад мөнгөн зарлага</v>
      </c>
      <c r="P1004" s="80">
        <f t="shared" si="84"/>
        <v>1</v>
      </c>
      <c r="Q1004" s="154">
        <f t="shared" si="85"/>
        <v>1</v>
      </c>
    </row>
    <row r="1005" spans="2:17">
      <c r="B1005" s="627">
        <f t="shared" si="81"/>
        <v>1000</v>
      </c>
      <c r="C1005" s="429">
        <v>43311</v>
      </c>
      <c r="D1005" s="815" t="s">
        <v>2381</v>
      </c>
      <c r="E1005" s="630">
        <v>704900</v>
      </c>
      <c r="F1005" s="629" t="str">
        <f>IFERROR(VLOOKUP(E1005,STAT1!$C$4:$D$1000,2,FALSE),"")</f>
        <v>Банкны үйлчилгээ</v>
      </c>
      <c r="G1005" s="376">
        <v>300</v>
      </c>
      <c r="H1005" s="376"/>
      <c r="I1005" s="580">
        <f t="shared" si="82"/>
        <v>0</v>
      </c>
      <c r="J1005" s="961">
        <f t="shared" si="83"/>
        <v>0</v>
      </c>
      <c r="K1005" s="80"/>
      <c r="L1005" s="630">
        <v>2009</v>
      </c>
      <c r="M1005" s="80" t="str">
        <f>+IFERROR(VLOOKUP(L1005,DATA!$G$4:$H$2000,2,FALSE),"")</f>
        <v>ХААН БАНК</v>
      </c>
      <c r="N1005" s="630"/>
      <c r="O1005" s="80" t="str">
        <f>IFERROR(VLOOKUP(N1005,DATA!$K$4:$L$51,2,FALSE),"")</f>
        <v/>
      </c>
      <c r="P1005" s="80">
        <f t="shared" si="84"/>
        <v>0</v>
      </c>
      <c r="Q1005" s="154">
        <f t="shared" si="85"/>
        <v>0</v>
      </c>
    </row>
    <row r="1006" spans="2:17">
      <c r="B1006" s="627">
        <f t="shared" si="81"/>
        <v>1001</v>
      </c>
      <c r="C1006" s="429">
        <v>43311</v>
      </c>
      <c r="D1006" s="815" t="s">
        <v>2558</v>
      </c>
      <c r="E1006" s="630">
        <v>110100</v>
      </c>
      <c r="F1006" s="629" t="str">
        <f>IFERROR(VLOOKUP(E1006,STAT1!$C$4:$D$8000,2,FALSE),"")</f>
        <v>Хаан Банк 5024654020</v>
      </c>
      <c r="G1006" s="376"/>
      <c r="H1006" s="376">
        <v>2000</v>
      </c>
      <c r="I1006" s="580">
        <f t="shared" si="82"/>
        <v>-2000</v>
      </c>
      <c r="J1006" s="961">
        <f t="shared" si="83"/>
        <v>0</v>
      </c>
      <c r="K1006" s="80"/>
      <c r="L1006" s="630">
        <v>2009</v>
      </c>
      <c r="M1006" s="80" t="str">
        <f>+IFERROR(VLOOKUP(L1006,DATA!$G$4:$H$2000,2,FALSE),"")</f>
        <v>ХААН БАНК</v>
      </c>
      <c r="N1006" s="630">
        <v>59</v>
      </c>
      <c r="O1006" s="80" t="str">
        <f>IFERROR(VLOOKUP(N1006,DATA!$K$4:$L$51,2,FALSE),"")</f>
        <v>Бусад мөнгөн зарлага</v>
      </c>
      <c r="P1006" s="80">
        <f t="shared" si="84"/>
        <v>1</v>
      </c>
      <c r="Q1006" s="154">
        <f t="shared" si="85"/>
        <v>1</v>
      </c>
    </row>
    <row r="1007" spans="2:17">
      <c r="B1007" s="627">
        <f t="shared" si="81"/>
        <v>1002</v>
      </c>
      <c r="C1007" s="429">
        <v>43311</v>
      </c>
      <c r="D1007" s="815" t="s">
        <v>2558</v>
      </c>
      <c r="E1007" s="630">
        <v>704900</v>
      </c>
      <c r="F1007" s="629" t="str">
        <f>IFERROR(VLOOKUP(E1007,STAT1!$C$4:$D$8000,2,FALSE),"")</f>
        <v>Банкны үйлчилгээ</v>
      </c>
      <c r="G1007" s="376">
        <v>2000</v>
      </c>
      <c r="H1007" s="376"/>
      <c r="I1007" s="580">
        <f t="shared" si="82"/>
        <v>0</v>
      </c>
      <c r="J1007" s="961">
        <f t="shared" si="83"/>
        <v>0</v>
      </c>
      <c r="K1007" s="80"/>
      <c r="L1007" s="630">
        <v>2009</v>
      </c>
      <c r="M1007" s="80" t="str">
        <f>+IFERROR(VLOOKUP(L1007,DATA!$G$4:$H$2000,2,FALSE),"")</f>
        <v>ХААН БАНК</v>
      </c>
      <c r="N1007" s="630"/>
      <c r="O1007" s="80" t="str">
        <f>IFERROR(VLOOKUP(N1007,DATA!$K$4:$L$51,2,FALSE),"")</f>
        <v/>
      </c>
      <c r="P1007" s="80">
        <f t="shared" si="84"/>
        <v>0</v>
      </c>
      <c r="Q1007" s="154">
        <f t="shared" si="85"/>
        <v>0</v>
      </c>
    </row>
    <row r="1008" spans="2:17">
      <c r="B1008" s="627">
        <f t="shared" si="81"/>
        <v>1003</v>
      </c>
      <c r="C1008" s="429">
        <v>43312</v>
      </c>
      <c r="D1008" s="816" t="s">
        <v>1570</v>
      </c>
      <c r="E1008" s="807">
        <v>100100</v>
      </c>
      <c r="F1008" s="629" t="str">
        <f>IFERROR(VLOOKUP(E1008,STAT1!$C$4:$D$1000,2,FALSE),"")</f>
        <v>Касс мөнгө MNT</v>
      </c>
      <c r="G1008" s="811"/>
      <c r="H1008" s="811">
        <v>20000</v>
      </c>
      <c r="I1008" s="580">
        <f t="shared" si="82"/>
        <v>-20000</v>
      </c>
      <c r="J1008" s="961">
        <f t="shared" si="83"/>
        <v>0</v>
      </c>
      <c r="K1008" s="80"/>
      <c r="L1008" s="807">
        <v>1008</v>
      </c>
      <c r="M1008" s="80" t="str">
        <f>+IFERROR(VLOOKUP(L1008,DATA!$G$4:$H$2000,2,FALSE),"")</f>
        <v xml:space="preserve">Оюунтүлхүүр </v>
      </c>
      <c r="N1008" s="807">
        <v>55</v>
      </c>
      <c r="O1008" s="80" t="str">
        <f>IFERROR(VLOOKUP(N1008,DATA!$K$4:$L$51,2,FALSE),"")</f>
        <v>Түлш, шатахуун, тээврийн хөлс, сэлбэг хэрэгсэлд төлсөн</v>
      </c>
      <c r="P1008" s="80">
        <f t="shared" si="84"/>
        <v>1</v>
      </c>
      <c r="Q1008" s="154">
        <f t="shared" si="85"/>
        <v>1</v>
      </c>
    </row>
    <row r="1009" spans="2:17">
      <c r="B1009" s="627">
        <f t="shared" si="81"/>
        <v>1004</v>
      </c>
      <c r="C1009" s="429">
        <v>43312</v>
      </c>
      <c r="D1009" s="816" t="s">
        <v>1570</v>
      </c>
      <c r="E1009" s="630">
        <v>120600</v>
      </c>
      <c r="F1009" s="629" t="str">
        <f>IFERROR(VLOOKUP(E1009,STAT1!$C$4:$D$1000,2,FALSE),"")</f>
        <v>НӨАТ авлага</v>
      </c>
      <c r="G1009" s="811">
        <v>1818.18</v>
      </c>
      <c r="H1009" s="811"/>
      <c r="I1009" s="580">
        <f t="shared" si="82"/>
        <v>0</v>
      </c>
      <c r="J1009" s="961">
        <f t="shared" si="83"/>
        <v>0</v>
      </c>
      <c r="K1009" s="80"/>
      <c r="L1009" s="807">
        <v>1008</v>
      </c>
      <c r="M1009" s="80" t="str">
        <f>+IFERROR(VLOOKUP(L1009,DATA!$G$4:$H$2000,2,FALSE),"")</f>
        <v xml:space="preserve">Оюунтүлхүүр </v>
      </c>
      <c r="N1009" s="807"/>
      <c r="O1009" s="80"/>
      <c r="P1009" s="80">
        <f t="shared" si="84"/>
        <v>0</v>
      </c>
      <c r="Q1009" s="154">
        <f t="shared" si="85"/>
        <v>0</v>
      </c>
    </row>
    <row r="1010" spans="2:17">
      <c r="B1010" s="627">
        <f t="shared" si="81"/>
        <v>1005</v>
      </c>
      <c r="C1010" s="429">
        <v>43312</v>
      </c>
      <c r="D1010" s="816" t="s">
        <v>1570</v>
      </c>
      <c r="E1010" s="630">
        <v>702000</v>
      </c>
      <c r="F1010" s="629" t="str">
        <f>IFERROR(VLOOKUP(E1010,STAT1!$C$4:$D$1000,2,FALSE),"")</f>
        <v>Түлш, шатахуун</v>
      </c>
      <c r="G1010" s="811">
        <f>20000-1818.18</f>
        <v>18181.82</v>
      </c>
      <c r="H1010" s="811"/>
      <c r="I1010" s="580">
        <f t="shared" si="82"/>
        <v>0</v>
      </c>
      <c r="J1010" s="961">
        <f t="shared" si="83"/>
        <v>0</v>
      </c>
      <c r="K1010" s="80"/>
      <c r="L1010" s="807">
        <v>1008</v>
      </c>
      <c r="M1010" s="80" t="str">
        <f>+IFERROR(VLOOKUP(L1010,DATA!$G$4:$H$2000,2,FALSE),"")</f>
        <v xml:space="preserve">Оюунтүлхүүр </v>
      </c>
      <c r="N1010" s="807"/>
      <c r="O1010" s="80" t="str">
        <f>IFERROR(VLOOKUP(N1010,DATA!$K$4:$L$51,2,FALSE),"")</f>
        <v/>
      </c>
      <c r="P1010" s="80">
        <f t="shared" si="84"/>
        <v>0</v>
      </c>
      <c r="Q1010" s="154">
        <f t="shared" si="85"/>
        <v>0</v>
      </c>
    </row>
    <row r="1011" spans="2:17">
      <c r="B1011" s="627">
        <f t="shared" si="81"/>
        <v>1006</v>
      </c>
      <c r="C1011" s="582">
        <v>43312</v>
      </c>
      <c r="D1011" s="895" t="s">
        <v>2667</v>
      </c>
      <c r="E1011" s="630">
        <v>700200</v>
      </c>
      <c r="F1011" s="629" t="str">
        <f>IFERROR(VLOOKUP(E1011,STAT1!$C$4:$D$8000,2,FALSE),"")</f>
        <v>НДШимтгэл</v>
      </c>
      <c r="G1011" s="376">
        <v>1280847.92</v>
      </c>
      <c r="H1011" s="896"/>
      <c r="I1011" s="580">
        <f t="shared" si="82"/>
        <v>0</v>
      </c>
      <c r="J1011" s="961">
        <f t="shared" si="83"/>
        <v>0</v>
      </c>
      <c r="K1011" s="80"/>
      <c r="L1011" s="630">
        <v>1004</v>
      </c>
      <c r="M1011" s="80" t="str">
        <f>+IFERROR(VLOOKUP(L1011,DATA!$G$4:$H$2000,2,FALSE),"")</f>
        <v xml:space="preserve">Түмэндэлгэр </v>
      </c>
      <c r="N1011" s="630"/>
      <c r="O1011" s="80" t="str">
        <f>IFERROR(VLOOKUP(N1011,DATA!$K$4:$L$51,2,FALSE),"")</f>
        <v/>
      </c>
      <c r="P1011" s="80">
        <f t="shared" si="84"/>
        <v>0</v>
      </c>
      <c r="Q1011" s="154">
        <f t="shared" si="85"/>
        <v>0</v>
      </c>
    </row>
    <row r="1012" spans="2:17">
      <c r="B1012" s="627">
        <f t="shared" si="81"/>
        <v>1007</v>
      </c>
      <c r="C1012" s="582">
        <v>43312</v>
      </c>
      <c r="D1012" s="895" t="s">
        <v>2667</v>
      </c>
      <c r="E1012" s="630">
        <v>310800</v>
      </c>
      <c r="F1012" s="629" t="str">
        <f>IFERROR(VLOOKUP(E1012,STAT1!$C$4:$D$8000,2,FALSE),"")</f>
        <v>НД-ын байгууллагад өгөх өглөг</v>
      </c>
      <c r="G1012" s="896"/>
      <c r="H1012" s="376">
        <v>1280847.92</v>
      </c>
      <c r="I1012" s="580">
        <f t="shared" si="82"/>
        <v>0</v>
      </c>
      <c r="J1012" s="961">
        <f t="shared" si="83"/>
        <v>0</v>
      </c>
      <c r="K1012" s="80"/>
      <c r="L1012" s="630">
        <v>1004</v>
      </c>
      <c r="M1012" s="80" t="str">
        <f>+IFERROR(VLOOKUP(L1012,DATA!$G$4:$H$2000,2,FALSE),"")</f>
        <v xml:space="preserve">Түмэндэлгэр </v>
      </c>
      <c r="N1012" s="630"/>
      <c r="O1012" s="80" t="str">
        <f>IFERROR(VLOOKUP(N1012,DATA!$K$4:$L$51,2,FALSE),"")</f>
        <v/>
      </c>
      <c r="P1012" s="80">
        <f t="shared" si="84"/>
        <v>0</v>
      </c>
      <c r="Q1012" s="154">
        <f t="shared" si="85"/>
        <v>0</v>
      </c>
    </row>
    <row r="1013" spans="2:17">
      <c r="B1013" s="627">
        <f t="shared" si="81"/>
        <v>1008</v>
      </c>
      <c r="C1013" s="582">
        <v>43312</v>
      </c>
      <c r="D1013" s="895" t="s">
        <v>2668</v>
      </c>
      <c r="E1013" s="630">
        <v>310800</v>
      </c>
      <c r="F1013" s="629" t="str">
        <f>IFERROR(VLOOKUP(E1013,STAT1!$C$4:$D$8000,2,FALSE),"")</f>
        <v>НД-ын байгууллагад өгөх өглөг</v>
      </c>
      <c r="G1013" s="896"/>
      <c r="H1013" s="376">
        <v>1045774.23</v>
      </c>
      <c r="I1013" s="580">
        <f t="shared" si="82"/>
        <v>0</v>
      </c>
      <c r="J1013" s="961">
        <f t="shared" si="83"/>
        <v>0</v>
      </c>
      <c r="K1013" s="80"/>
      <c r="L1013" s="630">
        <v>1004</v>
      </c>
      <c r="M1013" s="80" t="str">
        <f>+IFERROR(VLOOKUP(L1013,DATA!$G$4:$H$2000,2,FALSE),"")</f>
        <v xml:space="preserve">Түмэндэлгэр </v>
      </c>
      <c r="N1013" s="630"/>
      <c r="O1013" s="80" t="str">
        <f>IFERROR(VLOOKUP(N1013,DATA!$K$4:$L$51,2,FALSE),"")</f>
        <v/>
      </c>
      <c r="P1013" s="80">
        <f t="shared" si="84"/>
        <v>0</v>
      </c>
      <c r="Q1013" s="154">
        <f t="shared" si="85"/>
        <v>0</v>
      </c>
    </row>
    <row r="1014" spans="2:17">
      <c r="B1014" s="627">
        <f t="shared" si="81"/>
        <v>1009</v>
      </c>
      <c r="C1014" s="582">
        <v>43312</v>
      </c>
      <c r="D1014" s="895" t="s">
        <v>2669</v>
      </c>
      <c r="E1014" s="630">
        <v>310700</v>
      </c>
      <c r="F1014" s="629" t="str">
        <f>IFERROR(VLOOKUP(E1014,STAT1!$C$4:$D$8000,2,FALSE),"")</f>
        <v>ХАОАТ өглөг</v>
      </c>
      <c r="G1014" s="896"/>
      <c r="H1014" s="376">
        <v>666457.71</v>
      </c>
      <c r="I1014" s="580">
        <f t="shared" si="82"/>
        <v>0</v>
      </c>
      <c r="J1014" s="961">
        <f t="shared" si="83"/>
        <v>0</v>
      </c>
      <c r="K1014" s="80"/>
      <c r="L1014" s="630">
        <v>1004</v>
      </c>
      <c r="M1014" s="80" t="str">
        <f>+IFERROR(VLOOKUP(L1014,DATA!$G$4:$H$2000,2,FALSE),"")</f>
        <v xml:space="preserve">Түмэндэлгэр </v>
      </c>
      <c r="N1014" s="630"/>
      <c r="O1014" s="80" t="str">
        <f>IFERROR(VLOOKUP(N1014,DATA!$K$4:$L$51,2,FALSE),"")</f>
        <v/>
      </c>
      <c r="P1014" s="80">
        <f t="shared" si="84"/>
        <v>0</v>
      </c>
      <c r="Q1014" s="154">
        <f t="shared" si="85"/>
        <v>0</v>
      </c>
    </row>
    <row r="1015" spans="2:17">
      <c r="B1015" s="627">
        <f t="shared" si="81"/>
        <v>1010</v>
      </c>
      <c r="C1015" s="582">
        <v>43312</v>
      </c>
      <c r="D1015" s="895" t="s">
        <v>2670</v>
      </c>
      <c r="E1015" s="630">
        <v>311000</v>
      </c>
      <c r="F1015" s="629" t="str">
        <f>IFERROR(VLOOKUP(E1015,STAT1!$C$4:$D$8000,2,FALSE),"")</f>
        <v>Цалингийн өглөг</v>
      </c>
      <c r="G1015" s="896"/>
      <c r="H1015" s="376">
        <v>7881452.6799999997</v>
      </c>
      <c r="I1015" s="580">
        <f t="shared" si="82"/>
        <v>0</v>
      </c>
      <c r="J1015" s="961">
        <f t="shared" si="83"/>
        <v>0</v>
      </c>
      <c r="K1015" s="80"/>
      <c r="L1015" s="630">
        <v>1004</v>
      </c>
      <c r="M1015" s="80" t="str">
        <f>+IFERROR(VLOOKUP(L1015,DATA!$G$4:$H$2000,2,FALSE),"")</f>
        <v xml:space="preserve">Түмэндэлгэр </v>
      </c>
      <c r="N1015" s="630"/>
      <c r="O1015" s="80" t="str">
        <f>IFERROR(VLOOKUP(N1015,DATA!$K$4:$L$51,2,FALSE),"")</f>
        <v/>
      </c>
      <c r="P1015" s="80">
        <f t="shared" si="84"/>
        <v>0</v>
      </c>
      <c r="Q1015" s="154">
        <f t="shared" si="85"/>
        <v>0</v>
      </c>
    </row>
    <row r="1016" spans="2:17">
      <c r="B1016" s="627">
        <f t="shared" si="81"/>
        <v>1011</v>
      </c>
      <c r="C1016" s="582">
        <v>43312</v>
      </c>
      <c r="D1016" s="850" t="s">
        <v>2671</v>
      </c>
      <c r="E1016" s="807">
        <v>700100</v>
      </c>
      <c r="F1016" s="629" t="str">
        <f>IFERROR(VLOOKUP(E1016,STAT1!$C$4:$D$1000,2,FALSE),"")</f>
        <v>Цалин хөлс, шагнал</v>
      </c>
      <c r="G1016" s="811">
        <v>9593684.6199999992</v>
      </c>
      <c r="H1016" s="807"/>
      <c r="I1016" s="580">
        <f t="shared" si="82"/>
        <v>0</v>
      </c>
      <c r="J1016" s="961">
        <f t="shared" si="83"/>
        <v>0</v>
      </c>
      <c r="K1016" s="80"/>
      <c r="L1016" s="630">
        <v>1004</v>
      </c>
      <c r="M1016" s="80" t="str">
        <f>+IFERROR(VLOOKUP(L1016,DATA!$G$4:$H$2000,2,FALSE),"")</f>
        <v xml:space="preserve">Түмэндэлгэр </v>
      </c>
      <c r="N1016" s="807"/>
      <c r="O1016" s="80" t="str">
        <f>IFERROR(VLOOKUP(N1016,DATA!$K$4:$L$51,2,FALSE),"")</f>
        <v/>
      </c>
      <c r="P1016" s="80">
        <f t="shared" si="84"/>
        <v>0</v>
      </c>
      <c r="Q1016" s="154">
        <f t="shared" si="85"/>
        <v>0</v>
      </c>
    </row>
    <row r="1017" spans="2:17">
      <c r="B1017" s="627">
        <f t="shared" si="81"/>
        <v>1012</v>
      </c>
      <c r="C1017" s="582">
        <v>43312</v>
      </c>
      <c r="D1017" s="816" t="s">
        <v>2672</v>
      </c>
      <c r="E1017" s="807">
        <v>100100</v>
      </c>
      <c r="F1017" s="629" t="str">
        <f>IFERROR(VLOOKUP(E1017,STAT1!$C$4:$D$1000,2,FALSE),"")</f>
        <v>Касс мөнгө MNT</v>
      </c>
      <c r="G1017" s="811"/>
      <c r="H1017" s="811">
        <v>7881452.6799999997</v>
      </c>
      <c r="I1017" s="580">
        <f t="shared" si="82"/>
        <v>-7881452.6799999997</v>
      </c>
      <c r="J1017" s="961">
        <f t="shared" si="83"/>
        <v>0</v>
      </c>
      <c r="K1017" s="80"/>
      <c r="L1017" s="807">
        <v>1004</v>
      </c>
      <c r="M1017" s="80" t="str">
        <f>+IFERROR(VLOOKUP(L1017,DATA!$G$4:$H$2000,2,FALSE),"")</f>
        <v xml:space="preserve">Түмэндэлгэр </v>
      </c>
      <c r="N1017" s="807">
        <v>51</v>
      </c>
      <c r="O1017" s="80" t="str">
        <f>IFERROR(VLOOKUP(N1017,DATA!$K$4:$L$51,2,FALSE),"")</f>
        <v>Ажиллагчдад төлсөн</v>
      </c>
      <c r="P1017" s="80">
        <f t="shared" si="84"/>
        <v>1</v>
      </c>
      <c r="Q1017" s="154">
        <f t="shared" si="85"/>
        <v>1</v>
      </c>
    </row>
    <row r="1018" spans="2:17">
      <c r="B1018" s="627">
        <f t="shared" si="81"/>
        <v>1013</v>
      </c>
      <c r="C1018" s="582">
        <v>43312</v>
      </c>
      <c r="D1018" s="816" t="s">
        <v>2672</v>
      </c>
      <c r="E1018" s="807">
        <v>311000</v>
      </c>
      <c r="F1018" s="629" t="str">
        <f>IFERROR(VLOOKUP(E1018,STAT1!$C$4:$D$1000,2,FALSE),"")</f>
        <v>Цалингийн өглөг</v>
      </c>
      <c r="G1018" s="376">
        <v>7881452.6799999997</v>
      </c>
      <c r="H1018" s="811"/>
      <c r="I1018" s="580">
        <f t="shared" si="82"/>
        <v>0</v>
      </c>
      <c r="J1018" s="961">
        <f t="shared" si="83"/>
        <v>0</v>
      </c>
      <c r="K1018" s="80"/>
      <c r="L1018" s="807">
        <v>1004</v>
      </c>
      <c r="M1018" s="80" t="str">
        <f>+IFERROR(VLOOKUP(L1018,DATA!$G$4:$H$2000,2,FALSE),"")</f>
        <v xml:space="preserve">Түмэндэлгэр </v>
      </c>
      <c r="N1018" s="807"/>
      <c r="O1018" s="80" t="str">
        <f>IFERROR(VLOOKUP(N1018,DATA!$K$4:$L$51,2,FALSE),"")</f>
        <v/>
      </c>
      <c r="P1018" s="80">
        <f t="shared" si="84"/>
        <v>0</v>
      </c>
      <c r="Q1018" s="154">
        <f t="shared" si="85"/>
        <v>0</v>
      </c>
    </row>
    <row r="1019" spans="2:17">
      <c r="B1019" s="627">
        <f t="shared" si="81"/>
        <v>1014</v>
      </c>
      <c r="C1019" s="582">
        <v>43312</v>
      </c>
      <c r="D1019" s="815" t="s">
        <v>2715</v>
      </c>
      <c r="E1019" s="630">
        <v>702000</v>
      </c>
      <c r="F1019" s="629" t="str">
        <f>IFERROR(VLOOKUP(E1019,STAT1!$C$4:$D$8000,2,FALSE),"")</f>
        <v>Түлш, шатахуун</v>
      </c>
      <c r="G1019" s="376"/>
      <c r="H1019" s="376">
        <v>14545.45</v>
      </c>
      <c r="I1019" s="580">
        <f t="shared" si="82"/>
        <v>0</v>
      </c>
      <c r="J1019" s="961">
        <f t="shared" si="83"/>
        <v>0</v>
      </c>
      <c r="K1019" s="80"/>
      <c r="L1019" s="630">
        <v>1004</v>
      </c>
      <c r="M1019" s="80" t="str">
        <f>+IFERROR(VLOOKUP(L1019,DATA!$G$4:$H$2000,2,FALSE),"")</f>
        <v xml:space="preserve">Түмэндэлгэр </v>
      </c>
      <c r="N1019" s="630"/>
      <c r="O1019" s="80" t="str">
        <f>IFERROR(VLOOKUP(N1019,DATA!$K$4:$L$51,2,FALSE),"")</f>
        <v/>
      </c>
      <c r="P1019" s="80">
        <f t="shared" si="84"/>
        <v>0</v>
      </c>
      <c r="Q1019" s="154">
        <f t="shared" si="85"/>
        <v>0</v>
      </c>
    </row>
    <row r="1020" spans="2:17">
      <c r="B1020" s="627">
        <f t="shared" si="81"/>
        <v>1015</v>
      </c>
      <c r="C1020" s="582">
        <v>43312</v>
      </c>
      <c r="D1020" s="815" t="s">
        <v>2715</v>
      </c>
      <c r="E1020" s="630">
        <v>120600</v>
      </c>
      <c r="F1020" s="629" t="str">
        <f>IFERROR(VLOOKUP(E1020,STAT1!$C$4:$D$8000,2,FALSE),"")</f>
        <v>НӨАТ авлага</v>
      </c>
      <c r="G1020" s="376">
        <v>14545.45</v>
      </c>
      <c r="H1020" s="376"/>
      <c r="I1020" s="580">
        <f t="shared" si="82"/>
        <v>0</v>
      </c>
      <c r="J1020" s="961">
        <f t="shared" si="83"/>
        <v>0</v>
      </c>
      <c r="K1020" s="80"/>
      <c r="L1020" s="630">
        <v>1004</v>
      </c>
      <c r="M1020" s="80" t="str">
        <f>+IFERROR(VLOOKUP(L1020,DATA!$G$4:$H$2000,2,FALSE),"")</f>
        <v xml:space="preserve">Түмэндэлгэр </v>
      </c>
      <c r="N1020" s="630"/>
      <c r="O1020" s="80" t="str">
        <f>IFERROR(VLOOKUP(N1020,DATA!$K$4:$L$51,2,FALSE),"")</f>
        <v/>
      </c>
      <c r="P1020" s="80">
        <f t="shared" si="84"/>
        <v>0</v>
      </c>
      <c r="Q1020" s="154">
        <f t="shared" si="85"/>
        <v>0</v>
      </c>
    </row>
    <row r="1021" spans="2:17">
      <c r="B1021" s="627">
        <f t="shared" si="81"/>
        <v>1016</v>
      </c>
      <c r="C1021" s="582">
        <v>43313</v>
      </c>
      <c r="D1021" s="816" t="s">
        <v>1570</v>
      </c>
      <c r="E1021" s="807">
        <v>100100</v>
      </c>
      <c r="F1021" s="629" t="str">
        <f>IFERROR(VLOOKUP(E1021,STAT1!$C$4:$D$1000,2,FALSE),"")</f>
        <v>Касс мөнгө MNT</v>
      </c>
      <c r="G1021" s="376"/>
      <c r="H1021" s="376">
        <v>30000</v>
      </c>
      <c r="I1021" s="580">
        <f t="shared" si="82"/>
        <v>-30000</v>
      </c>
      <c r="J1021" s="961">
        <f t="shared" si="83"/>
        <v>0</v>
      </c>
      <c r="K1021" s="80"/>
      <c r="L1021" s="630">
        <v>1004</v>
      </c>
      <c r="M1021" s="80" t="str">
        <f>+IFERROR(VLOOKUP(L1021,DATA!$G$4:$H$2000,2,FALSE),"")</f>
        <v xml:space="preserve">Түмэндэлгэр </v>
      </c>
      <c r="N1021" s="630">
        <v>55</v>
      </c>
      <c r="O1021" s="80" t="str">
        <f>IFERROR(VLOOKUP(N1021,DATA!$K$4:$L$51,2,FALSE),"")</f>
        <v>Түлш, шатахуун, тээврийн хөлс, сэлбэг хэрэгсэлд төлсөн</v>
      </c>
      <c r="P1021" s="80">
        <f t="shared" si="84"/>
        <v>1</v>
      </c>
      <c r="Q1021" s="154">
        <f t="shared" si="85"/>
        <v>1</v>
      </c>
    </row>
    <row r="1022" spans="2:17">
      <c r="B1022" s="627">
        <f t="shared" si="81"/>
        <v>1017</v>
      </c>
      <c r="C1022" s="582">
        <v>43313</v>
      </c>
      <c r="D1022" s="816" t="s">
        <v>1570</v>
      </c>
      <c r="E1022" s="630">
        <v>120600</v>
      </c>
      <c r="F1022" s="629" t="str">
        <f>IFERROR(VLOOKUP(E1022,STAT1!$C$4:$D$1000,2,FALSE),"")</f>
        <v>НӨАТ авлага</v>
      </c>
      <c r="G1022" s="376">
        <v>2727.27</v>
      </c>
      <c r="H1022" s="376"/>
      <c r="I1022" s="580">
        <f t="shared" si="82"/>
        <v>0</v>
      </c>
      <c r="J1022" s="961">
        <f t="shared" si="83"/>
        <v>0</v>
      </c>
      <c r="K1022" s="80"/>
      <c r="L1022" s="630">
        <v>1004</v>
      </c>
      <c r="M1022" s="80" t="str">
        <f>+IFERROR(VLOOKUP(L1022,DATA!$G$4:$H$2000,2,FALSE),"")</f>
        <v xml:space="preserve">Түмэндэлгэр </v>
      </c>
      <c r="N1022" s="630"/>
      <c r="O1022" s="80" t="str">
        <f>IFERROR(VLOOKUP(N1022,DATA!$K$4:$L$51,2,FALSE),"")</f>
        <v/>
      </c>
      <c r="P1022" s="80">
        <f t="shared" si="84"/>
        <v>0</v>
      </c>
      <c r="Q1022" s="154">
        <f t="shared" si="85"/>
        <v>0</v>
      </c>
    </row>
    <row r="1023" spans="2:17">
      <c r="B1023" s="627">
        <f t="shared" si="81"/>
        <v>1018</v>
      </c>
      <c r="C1023" s="582">
        <v>43313</v>
      </c>
      <c r="D1023" s="816" t="s">
        <v>1570</v>
      </c>
      <c r="E1023" s="630">
        <v>702000</v>
      </c>
      <c r="F1023" s="629" t="str">
        <f>IFERROR(VLOOKUP(E1023,STAT1!$C$4:$D$1000,2,FALSE),"")</f>
        <v>Түлш, шатахуун</v>
      </c>
      <c r="G1023" s="376">
        <f>30000-2727.27</f>
        <v>27272.73</v>
      </c>
      <c r="H1023" s="376"/>
      <c r="I1023" s="580">
        <f t="shared" si="82"/>
        <v>0</v>
      </c>
      <c r="J1023" s="961">
        <f t="shared" si="83"/>
        <v>0</v>
      </c>
      <c r="K1023" s="80"/>
      <c r="L1023" s="630">
        <v>1004</v>
      </c>
      <c r="M1023" s="80" t="str">
        <f>+IFERROR(VLOOKUP(L1023,DATA!$G$4:$H$2000,2,FALSE),"")</f>
        <v xml:space="preserve">Түмэндэлгэр </v>
      </c>
      <c r="N1023" s="630"/>
      <c r="O1023" s="80" t="str">
        <f>IFERROR(VLOOKUP(N1023,DATA!$K$4:$L$51,2,FALSE),"")</f>
        <v/>
      </c>
      <c r="P1023" s="80">
        <f t="shared" si="84"/>
        <v>0</v>
      </c>
      <c r="Q1023" s="154">
        <f t="shared" si="85"/>
        <v>0</v>
      </c>
    </row>
    <row r="1024" spans="2:17">
      <c r="B1024" s="627">
        <f t="shared" si="81"/>
        <v>1019</v>
      </c>
      <c r="C1024" s="429">
        <v>43314</v>
      </c>
      <c r="D1024" s="816" t="s">
        <v>1570</v>
      </c>
      <c r="E1024" s="807">
        <v>100100</v>
      </c>
      <c r="F1024" s="629" t="str">
        <f>IFERROR(VLOOKUP(E1024,STAT1!$C$4:$D$1000,2,FALSE),"")</f>
        <v>Касс мөнгө MNT</v>
      </c>
      <c r="G1024" s="811"/>
      <c r="H1024" s="811">
        <v>10000</v>
      </c>
      <c r="I1024" s="580">
        <f t="shared" si="82"/>
        <v>-10000</v>
      </c>
      <c r="J1024" s="961">
        <f t="shared" si="83"/>
        <v>0</v>
      </c>
      <c r="K1024" s="80"/>
      <c r="L1024" s="807">
        <v>1004</v>
      </c>
      <c r="M1024" s="80" t="str">
        <f>+IFERROR(VLOOKUP(L1024,DATA!$G$4:$H$2000,2,FALSE),"")</f>
        <v xml:space="preserve">Түмэндэлгэр </v>
      </c>
      <c r="N1024" s="807">
        <v>55</v>
      </c>
      <c r="O1024" s="80" t="str">
        <f>IFERROR(VLOOKUP(N1024,DATA!$K$4:$L$51,2,FALSE),"")</f>
        <v>Түлш, шатахуун, тээврийн хөлс, сэлбэг хэрэгсэлд төлсөн</v>
      </c>
      <c r="P1024" s="80">
        <f t="shared" si="84"/>
        <v>1</v>
      </c>
      <c r="Q1024" s="154">
        <f t="shared" si="85"/>
        <v>1</v>
      </c>
    </row>
    <row r="1025" spans="2:17">
      <c r="B1025" s="627">
        <f t="shared" si="81"/>
        <v>1020</v>
      </c>
      <c r="C1025" s="582">
        <v>43314</v>
      </c>
      <c r="D1025" s="816" t="s">
        <v>1570</v>
      </c>
      <c r="E1025" s="630">
        <v>120600</v>
      </c>
      <c r="F1025" s="629" t="str">
        <f>IFERROR(VLOOKUP(E1025,STAT1!$C$4:$D$1000,2,FALSE),"")</f>
        <v>НӨАТ авлага</v>
      </c>
      <c r="G1025" s="376">
        <v>909.09</v>
      </c>
      <c r="H1025" s="376"/>
      <c r="I1025" s="580">
        <f t="shared" si="82"/>
        <v>0</v>
      </c>
      <c r="J1025" s="961">
        <f t="shared" si="83"/>
        <v>0</v>
      </c>
      <c r="K1025" s="80"/>
      <c r="L1025" s="630">
        <v>1004</v>
      </c>
      <c r="M1025" s="80" t="str">
        <f>+IFERROR(VLOOKUP(L1025,DATA!$G$4:$H$2000,2,FALSE),"")</f>
        <v xml:space="preserve">Түмэндэлгэр </v>
      </c>
      <c r="N1025" s="630"/>
      <c r="O1025" s="80" t="str">
        <f>IFERROR(VLOOKUP(N1025,DATA!$K$4:$L$51,2,FALSE),"")</f>
        <v/>
      </c>
      <c r="P1025" s="80">
        <f t="shared" si="84"/>
        <v>0</v>
      </c>
      <c r="Q1025" s="154">
        <f t="shared" si="85"/>
        <v>0</v>
      </c>
    </row>
    <row r="1026" spans="2:17">
      <c r="B1026" s="627">
        <f t="shared" si="81"/>
        <v>1021</v>
      </c>
      <c r="C1026" s="582">
        <v>43314</v>
      </c>
      <c r="D1026" s="816" t="s">
        <v>1570</v>
      </c>
      <c r="E1026" s="630">
        <v>702000</v>
      </c>
      <c r="F1026" s="629" t="str">
        <f>IFERROR(VLOOKUP(E1026,STAT1!$C$4:$D$1000,2,FALSE),"")</f>
        <v>Түлш, шатахуун</v>
      </c>
      <c r="G1026" s="376">
        <v>9090.91</v>
      </c>
      <c r="H1026" s="376"/>
      <c r="I1026" s="580">
        <f t="shared" si="82"/>
        <v>0</v>
      </c>
      <c r="J1026" s="961">
        <f t="shared" si="83"/>
        <v>0</v>
      </c>
      <c r="K1026" s="80"/>
      <c r="L1026" s="630">
        <v>1004</v>
      </c>
      <c r="M1026" s="80" t="str">
        <f>+IFERROR(VLOOKUP(L1026,DATA!$G$4:$H$2000,2,FALSE),"")</f>
        <v xml:space="preserve">Түмэндэлгэр </v>
      </c>
      <c r="N1026" s="630"/>
      <c r="O1026" s="80" t="str">
        <f>IFERROR(VLOOKUP(N1026,DATA!$K$4:$L$51,2,FALSE),"")</f>
        <v/>
      </c>
      <c r="P1026" s="80">
        <f t="shared" si="84"/>
        <v>0</v>
      </c>
      <c r="Q1026" s="154">
        <f t="shared" si="85"/>
        <v>0</v>
      </c>
    </row>
    <row r="1027" spans="2:17">
      <c r="B1027" s="627">
        <f t="shared" si="81"/>
        <v>1022</v>
      </c>
      <c r="C1027" s="429">
        <v>43314</v>
      </c>
      <c r="D1027" s="816" t="s">
        <v>2731</v>
      </c>
      <c r="E1027" s="807">
        <v>310100</v>
      </c>
      <c r="F1027" s="629" t="str">
        <f>IFERROR(VLOOKUP(E1027,STAT1!$C$4:$D$1000,2,FALSE),"")</f>
        <v>Дансны өглөг MNT</v>
      </c>
      <c r="G1027" s="811"/>
      <c r="H1027" s="811">
        <v>130000</v>
      </c>
      <c r="I1027" s="580">
        <f t="shared" si="82"/>
        <v>0</v>
      </c>
      <c r="J1027" s="961">
        <f t="shared" si="83"/>
        <v>0</v>
      </c>
      <c r="K1027" s="80"/>
      <c r="L1027" s="807">
        <v>2013</v>
      </c>
      <c r="M1027" s="80" t="str">
        <f>+IFERROR(VLOOKUP(L1027,DATA!$G$4:$H$2000,2,FALSE),"")</f>
        <v>УБДС ТӨХК</v>
      </c>
      <c r="N1027" s="807"/>
      <c r="O1027" s="80" t="str">
        <f>IFERROR(VLOOKUP(N1027,DATA!$K$4:$L$51,2,FALSE),"")</f>
        <v/>
      </c>
      <c r="P1027" s="80">
        <f t="shared" si="84"/>
        <v>0</v>
      </c>
      <c r="Q1027" s="154">
        <f t="shared" si="85"/>
        <v>0</v>
      </c>
    </row>
    <row r="1028" spans="2:17">
      <c r="B1028" s="627">
        <f t="shared" si="81"/>
        <v>1023</v>
      </c>
      <c r="C1028" s="429">
        <v>43314</v>
      </c>
      <c r="D1028" s="816" t="s">
        <v>2731</v>
      </c>
      <c r="E1028" s="807">
        <v>700800</v>
      </c>
      <c r="F1028" s="629" t="str">
        <f>IFERROR(VLOOKUP(E1028,STAT1!$C$4:$D$1000,2,FALSE),"")</f>
        <v>Дулаан</v>
      </c>
      <c r="G1028" s="811">
        <v>130000</v>
      </c>
      <c r="H1028" s="811"/>
      <c r="I1028" s="580">
        <f t="shared" si="82"/>
        <v>0</v>
      </c>
      <c r="J1028" s="961">
        <f t="shared" si="83"/>
        <v>0</v>
      </c>
      <c r="K1028" s="80"/>
      <c r="L1028" s="807">
        <v>2013</v>
      </c>
      <c r="M1028" s="80" t="str">
        <f>+IFERROR(VLOOKUP(L1028,DATA!$G$4:$H$2000,2,FALSE),"")</f>
        <v>УБДС ТӨХК</v>
      </c>
      <c r="N1028" s="807"/>
      <c r="O1028" s="80" t="str">
        <f>IFERROR(VLOOKUP(N1028,DATA!$K$4:$L$51,2,FALSE),"")</f>
        <v/>
      </c>
      <c r="P1028" s="80">
        <f t="shared" si="84"/>
        <v>0</v>
      </c>
      <c r="Q1028" s="154">
        <f t="shared" si="85"/>
        <v>0</v>
      </c>
    </row>
    <row r="1029" spans="2:17">
      <c r="B1029" s="627">
        <f t="shared" si="81"/>
        <v>1024</v>
      </c>
      <c r="C1029" s="429">
        <v>43315</v>
      </c>
      <c r="D1029" s="816" t="s">
        <v>2655</v>
      </c>
      <c r="E1029" s="807">
        <v>100100</v>
      </c>
      <c r="F1029" s="629" t="str">
        <f>IFERROR(VLOOKUP(E1029,STAT1!$C$4:$D$1000,2,FALSE),"")</f>
        <v>Касс мөнгө MNT</v>
      </c>
      <c r="G1029" s="811"/>
      <c r="H1029" s="811">
        <v>47800</v>
      </c>
      <c r="I1029" s="580">
        <f t="shared" si="82"/>
        <v>-47800</v>
      </c>
      <c r="J1029" s="961">
        <f t="shared" si="83"/>
        <v>0</v>
      </c>
      <c r="K1029" s="80"/>
      <c r="L1029" s="807">
        <v>1008</v>
      </c>
      <c r="M1029" s="80" t="str">
        <f>+IFERROR(VLOOKUP(L1029,DATA!$G$4:$H$2000,2,FALSE),"")</f>
        <v xml:space="preserve">Оюунтүлхүүр </v>
      </c>
      <c r="N1029" s="807">
        <v>53</v>
      </c>
      <c r="O1029" s="80" t="str">
        <f>IFERROR(VLOOKUP(N1029,DATA!$K$4:$L$51,2,FALSE),"")</f>
        <v>Бараа материал худалдан авахад төлсөн</v>
      </c>
      <c r="P1029" s="80">
        <f t="shared" si="84"/>
        <v>1</v>
      </c>
      <c r="Q1029" s="154">
        <f t="shared" si="85"/>
        <v>1</v>
      </c>
    </row>
    <row r="1030" spans="2:17">
      <c r="B1030" s="627">
        <f t="shared" ref="B1030:B1093" si="86">+IF(C1030="","",ROW()-5)</f>
        <v>1025</v>
      </c>
      <c r="C1030" s="429">
        <v>43315</v>
      </c>
      <c r="D1030" s="816" t="s">
        <v>2655</v>
      </c>
      <c r="E1030" s="807">
        <v>121200</v>
      </c>
      <c r="F1030" s="629" t="str">
        <f>IFERROR(VLOOKUP(E1030,STAT1!$C$4:$D$1000,2,FALSE),"")</f>
        <v xml:space="preserve">Ажилчидын дараа тайлангийн тооцоо </v>
      </c>
      <c r="G1030" s="811">
        <v>47800</v>
      </c>
      <c r="H1030" s="811"/>
      <c r="I1030" s="580">
        <f t="shared" si="82"/>
        <v>0</v>
      </c>
      <c r="J1030" s="961">
        <f t="shared" si="83"/>
        <v>0</v>
      </c>
      <c r="K1030" s="80"/>
      <c r="L1030" s="807">
        <v>1008</v>
      </c>
      <c r="M1030" s="80" t="str">
        <f>+IFERROR(VLOOKUP(L1030,DATA!$G$4:$H$2000,2,FALSE),"")</f>
        <v xml:space="preserve">Оюунтүлхүүр </v>
      </c>
      <c r="N1030" s="807"/>
      <c r="O1030" s="80" t="str">
        <f>IFERROR(VLOOKUP(N1030,DATA!$K$4:$L$51,2,FALSE),"")</f>
        <v/>
      </c>
      <c r="P1030" s="80">
        <f t="shared" si="84"/>
        <v>0</v>
      </c>
      <c r="Q1030" s="154">
        <f t="shared" si="85"/>
        <v>0</v>
      </c>
    </row>
    <row r="1031" spans="2:17">
      <c r="B1031" s="627">
        <f t="shared" si="86"/>
        <v>1026</v>
      </c>
      <c r="C1031" s="582">
        <v>43315</v>
      </c>
      <c r="D1031" s="816" t="s">
        <v>2665</v>
      </c>
      <c r="E1031" s="630">
        <v>160100</v>
      </c>
      <c r="F1031" s="629" t="str">
        <f>IFERROR(VLOOKUP(E1031,STAT1!$C$4:$D$1000,2,FALSE),"")</f>
        <v xml:space="preserve">Барилгын материал </v>
      </c>
      <c r="G1031" s="376">
        <v>43454.55</v>
      </c>
      <c r="H1031" s="376"/>
      <c r="I1031" s="580">
        <f t="shared" si="82"/>
        <v>0</v>
      </c>
      <c r="J1031" s="961">
        <f t="shared" si="83"/>
        <v>0</v>
      </c>
      <c r="K1031" s="80"/>
      <c r="L1031" s="630">
        <v>1008</v>
      </c>
      <c r="M1031" s="80" t="str">
        <f>+IFERROR(VLOOKUP(L1031,DATA!$G$4:$H$2000,2,FALSE),"")</f>
        <v xml:space="preserve">Оюунтүлхүүр </v>
      </c>
      <c r="N1031" s="630"/>
      <c r="O1031" s="80" t="str">
        <f>IFERROR(VLOOKUP(N1031,DATA!$K$4:$L$51,2,FALSE),"")</f>
        <v/>
      </c>
      <c r="P1031" s="80">
        <f t="shared" si="84"/>
        <v>0</v>
      </c>
      <c r="Q1031" s="154">
        <f t="shared" si="85"/>
        <v>0</v>
      </c>
    </row>
    <row r="1032" spans="2:17">
      <c r="B1032" s="627">
        <f t="shared" si="86"/>
        <v>1027</v>
      </c>
      <c r="C1032" s="582">
        <v>43315</v>
      </c>
      <c r="D1032" s="816" t="s">
        <v>2665</v>
      </c>
      <c r="E1032" s="630">
        <v>120600</v>
      </c>
      <c r="F1032" s="629" t="str">
        <f>IFERROR(VLOOKUP(E1032,STAT1!$C$4:$D$1000,2,FALSE),"")</f>
        <v>НӨАТ авлага</v>
      </c>
      <c r="G1032" s="376">
        <v>4345.45</v>
      </c>
      <c r="H1032" s="376"/>
      <c r="I1032" s="580">
        <f t="shared" si="82"/>
        <v>0</v>
      </c>
      <c r="J1032" s="961">
        <f t="shared" si="83"/>
        <v>0</v>
      </c>
      <c r="K1032" s="80"/>
      <c r="L1032" s="630">
        <v>1008</v>
      </c>
      <c r="M1032" s="80" t="str">
        <f>+IFERROR(VLOOKUP(L1032,DATA!$G$4:$H$2000,2,FALSE),"")</f>
        <v xml:space="preserve">Оюунтүлхүүр </v>
      </c>
      <c r="N1032" s="630"/>
      <c r="O1032" s="80" t="str">
        <f>IFERROR(VLOOKUP(N1032,DATA!$K$4:$L$51,2,FALSE),"")</f>
        <v/>
      </c>
      <c r="P1032" s="80">
        <f t="shared" si="84"/>
        <v>0</v>
      </c>
      <c r="Q1032" s="154">
        <f t="shared" si="85"/>
        <v>0</v>
      </c>
    </row>
    <row r="1033" spans="2:17">
      <c r="B1033" s="627">
        <f t="shared" si="86"/>
        <v>1028</v>
      </c>
      <c r="C1033" s="582">
        <v>43315</v>
      </c>
      <c r="D1033" s="816" t="s">
        <v>2665</v>
      </c>
      <c r="E1033" s="630">
        <v>121200</v>
      </c>
      <c r="F1033" s="629" t="str">
        <f>IFERROR(VLOOKUP(E1033,STAT1!$C$4:$D$1000,2,FALSE),"")</f>
        <v xml:space="preserve">Ажилчидын дараа тайлангийн тооцоо </v>
      </c>
      <c r="G1033" s="376"/>
      <c r="H1033" s="376">
        <v>47800</v>
      </c>
      <c r="I1033" s="580">
        <f t="shared" si="82"/>
        <v>0</v>
      </c>
      <c r="J1033" s="961">
        <f t="shared" si="83"/>
        <v>0</v>
      </c>
      <c r="K1033" s="80"/>
      <c r="L1033" s="630">
        <v>1008</v>
      </c>
      <c r="M1033" s="80" t="str">
        <f>+IFERROR(VLOOKUP(L1033,DATA!$G$4:$H$2000,2,FALSE),"")</f>
        <v xml:space="preserve">Оюунтүлхүүр </v>
      </c>
      <c r="N1033" s="630"/>
      <c r="O1033" s="80" t="str">
        <f>IFERROR(VLOOKUP(N1033,DATA!$K$4:$L$51,2,FALSE),"")</f>
        <v/>
      </c>
      <c r="P1033" s="80">
        <f t="shared" si="84"/>
        <v>0</v>
      </c>
      <c r="Q1033" s="154">
        <f t="shared" si="85"/>
        <v>0</v>
      </c>
    </row>
    <row r="1034" spans="2:17">
      <c r="B1034" s="627">
        <f t="shared" si="86"/>
        <v>1029</v>
      </c>
      <c r="C1034" s="429">
        <v>43316</v>
      </c>
      <c r="D1034" s="816" t="s">
        <v>2657</v>
      </c>
      <c r="E1034" s="807">
        <v>100100</v>
      </c>
      <c r="F1034" s="629" t="str">
        <f>IFERROR(VLOOKUP(E1034,STAT1!$C$4:$D$1000,2,FALSE),"")</f>
        <v>Касс мөнгө MNT</v>
      </c>
      <c r="G1034" s="811"/>
      <c r="H1034" s="811">
        <v>384000</v>
      </c>
      <c r="I1034" s="580">
        <f t="shared" si="82"/>
        <v>-384000</v>
      </c>
      <c r="J1034" s="961">
        <f t="shared" si="83"/>
        <v>0</v>
      </c>
      <c r="K1034" s="80"/>
      <c r="L1034" s="807">
        <v>1008</v>
      </c>
      <c r="M1034" s="80" t="str">
        <f>+IFERROR(VLOOKUP(L1034,DATA!$G$4:$H$2000,2,FALSE),"")</f>
        <v xml:space="preserve">Оюунтүлхүүр </v>
      </c>
      <c r="N1034" s="807">
        <v>53</v>
      </c>
      <c r="O1034" s="80" t="str">
        <f>IFERROR(VLOOKUP(N1034,DATA!$K$4:$L$51,2,FALSE),"")</f>
        <v>Бараа материал худалдан авахад төлсөн</v>
      </c>
      <c r="P1034" s="80">
        <f t="shared" si="84"/>
        <v>1</v>
      </c>
      <c r="Q1034" s="154">
        <f t="shared" si="85"/>
        <v>1</v>
      </c>
    </row>
    <row r="1035" spans="2:17">
      <c r="B1035" s="627">
        <f t="shared" si="86"/>
        <v>1030</v>
      </c>
      <c r="C1035" s="429">
        <v>43316</v>
      </c>
      <c r="D1035" s="816" t="s">
        <v>2657</v>
      </c>
      <c r="E1035" s="807">
        <v>120600</v>
      </c>
      <c r="F1035" s="629" t="str">
        <f>IFERROR(VLOOKUP(E1035,STAT1!$C$4:$D$1000,2,FALSE),"")</f>
        <v>НӨАТ авлага</v>
      </c>
      <c r="G1035" s="811">
        <v>34909.089999999997</v>
      </c>
      <c r="H1035" s="811"/>
      <c r="I1035" s="580">
        <f t="shared" si="82"/>
        <v>0</v>
      </c>
      <c r="J1035" s="961">
        <f t="shared" si="83"/>
        <v>0</v>
      </c>
      <c r="K1035" s="80"/>
      <c r="L1035" s="807">
        <v>1008</v>
      </c>
      <c r="M1035" s="80" t="str">
        <f>+IFERROR(VLOOKUP(L1035,DATA!$G$4:$H$2000,2,FALSE),"")</f>
        <v xml:space="preserve">Оюунтүлхүүр </v>
      </c>
      <c r="N1035" s="807"/>
      <c r="O1035" s="80" t="str">
        <f>IFERROR(VLOOKUP(N1035,DATA!$K$4:$L$51,2,FALSE),"")</f>
        <v/>
      </c>
      <c r="P1035" s="80">
        <f t="shared" si="84"/>
        <v>0</v>
      </c>
      <c r="Q1035" s="154">
        <f t="shared" si="85"/>
        <v>0</v>
      </c>
    </row>
    <row r="1036" spans="2:17">
      <c r="B1036" s="627">
        <f t="shared" si="86"/>
        <v>1031</v>
      </c>
      <c r="C1036" s="429">
        <v>43316</v>
      </c>
      <c r="D1036" s="816" t="s">
        <v>2657</v>
      </c>
      <c r="E1036" s="807">
        <v>701500</v>
      </c>
      <c r="F1036" s="629" t="str">
        <f>IFERROR(VLOOKUP(E1036,STAT1!$C$4:$D$1000,2,FALSE),"")</f>
        <v>Урсгал засварын зардал</v>
      </c>
      <c r="G1036" s="811">
        <f>384000-34909.09</f>
        <v>349090.91000000003</v>
      </c>
      <c r="H1036" s="811"/>
      <c r="I1036" s="580">
        <f t="shared" si="82"/>
        <v>0</v>
      </c>
      <c r="J1036" s="961">
        <f t="shared" si="83"/>
        <v>0</v>
      </c>
      <c r="K1036" s="80"/>
      <c r="L1036" s="807">
        <v>1008</v>
      </c>
      <c r="M1036" s="80" t="str">
        <f>+IFERROR(VLOOKUP(L1036,DATA!$G$4:$H$2000,2,FALSE),"")</f>
        <v xml:space="preserve">Оюунтүлхүүр </v>
      </c>
      <c r="N1036" s="807"/>
      <c r="O1036" s="80" t="str">
        <f>IFERROR(VLOOKUP(N1036,DATA!$K$4:$L$51,2,FALSE),"")</f>
        <v/>
      </c>
      <c r="P1036" s="80">
        <f t="shared" si="84"/>
        <v>0</v>
      </c>
      <c r="Q1036" s="154">
        <f t="shared" si="85"/>
        <v>0</v>
      </c>
    </row>
    <row r="1037" spans="2:17">
      <c r="B1037" s="627">
        <f t="shared" si="86"/>
        <v>1032</v>
      </c>
      <c r="C1037" s="429">
        <v>43319</v>
      </c>
      <c r="D1037" s="815" t="s">
        <v>1331</v>
      </c>
      <c r="E1037" s="630">
        <v>110100</v>
      </c>
      <c r="F1037" s="629" t="str">
        <f>IFERROR(VLOOKUP(E1037,STAT1!$C$4:$D$1000,2,FALSE),"")</f>
        <v>Хаан Банк 5024654020</v>
      </c>
      <c r="G1037" s="376"/>
      <c r="H1037" s="376">
        <v>42840</v>
      </c>
      <c r="I1037" s="580">
        <f t="shared" si="82"/>
        <v>-42840</v>
      </c>
      <c r="J1037" s="961">
        <f t="shared" si="83"/>
        <v>0</v>
      </c>
      <c r="K1037" s="80"/>
      <c r="L1037" s="630">
        <v>2006</v>
      </c>
      <c r="M1037" s="80" t="str">
        <f>+IFERROR(VLOOKUP(L1037,DATA!$G$4:$H$2000,2,FALSE),"")</f>
        <v xml:space="preserve">МЦХОЛБОО </v>
      </c>
      <c r="N1037" s="630">
        <v>59</v>
      </c>
      <c r="O1037" s="80" t="str">
        <f>IFERROR(VLOOKUP(N1037,DATA!$K$4:$L$51,2,FALSE),"")</f>
        <v>Бусад мөнгөн зарлага</v>
      </c>
      <c r="P1037" s="80">
        <f t="shared" si="84"/>
        <v>1</v>
      </c>
      <c r="Q1037" s="154">
        <f t="shared" si="85"/>
        <v>1</v>
      </c>
    </row>
    <row r="1038" spans="2:17">
      <c r="B1038" s="627">
        <f t="shared" si="86"/>
        <v>1033</v>
      </c>
      <c r="C1038" s="429">
        <v>43319</v>
      </c>
      <c r="D1038" s="815" t="s">
        <v>1331</v>
      </c>
      <c r="E1038" s="630">
        <v>120600</v>
      </c>
      <c r="F1038" s="629" t="str">
        <f>IFERROR(VLOOKUP(E1038,STAT1!$C$4:$D$1000,2,FALSE),"")</f>
        <v>НӨАТ авлага</v>
      </c>
      <c r="G1038" s="376">
        <v>3894.55</v>
      </c>
      <c r="H1038" s="376"/>
      <c r="I1038" s="580">
        <f t="shared" si="82"/>
        <v>0</v>
      </c>
      <c r="J1038" s="961">
        <f t="shared" si="83"/>
        <v>0</v>
      </c>
      <c r="K1038" s="80"/>
      <c r="L1038" s="630">
        <v>2006</v>
      </c>
      <c r="M1038" s="80" t="str">
        <f>+IFERROR(VLOOKUP(L1038,DATA!$G$4:$H$2000,2,FALSE),"")</f>
        <v xml:space="preserve">МЦХОЛБОО </v>
      </c>
      <c r="N1038" s="630"/>
      <c r="O1038" s="80" t="str">
        <f>IFERROR(VLOOKUP(N1038,DATA!$K$4:$L$51,2,FALSE),"")</f>
        <v/>
      </c>
      <c r="P1038" s="80">
        <f t="shared" si="84"/>
        <v>0</v>
      </c>
      <c r="Q1038" s="154">
        <f t="shared" si="85"/>
        <v>0</v>
      </c>
    </row>
    <row r="1039" spans="2:17">
      <c r="B1039" s="627">
        <f t="shared" si="86"/>
        <v>1034</v>
      </c>
      <c r="C1039" s="429">
        <v>43319</v>
      </c>
      <c r="D1039" s="815" t="s">
        <v>1331</v>
      </c>
      <c r="E1039" s="630">
        <v>701900</v>
      </c>
      <c r="F1039" s="629" t="str">
        <f>IFERROR(VLOOKUP(E1039,STAT1!$C$4:$D$1000,2,FALSE),"")</f>
        <v>Харилцаа холбоо</v>
      </c>
      <c r="G1039" s="811">
        <f>42840-3894.55</f>
        <v>38945.449999999997</v>
      </c>
      <c r="H1039" s="811"/>
      <c r="I1039" s="580">
        <f t="shared" ref="I1039:I1102" si="87">+IF(OR(E1039=100100,E1039=100200,E1039=110100,E1039=110102,E1039=110103,E1039=110104,E1039=110105,E1039=110200,E1039=110201,E1039=110202,E1039=110203,E1039=110204,E1039=110300),G1039,0)+IF(OR(E1039=100100,E1039=100200,E1039=110100,E1039=110102,E1039=110103,E1039=110104,E1039=110105,E1039=110200,E1039=110201,E1039=110202,E1039=110203,E1039=110204,E1039=110300),H1039*-1,0)</f>
        <v>0</v>
      </c>
      <c r="J1039" s="961">
        <f t="shared" ref="J1039:J1102" si="88">+IF(E1039=110102,I1039/K1039,0)</f>
        <v>0</v>
      </c>
      <c r="K1039" s="80"/>
      <c r="L1039" s="807">
        <v>2006</v>
      </c>
      <c r="M1039" s="80" t="str">
        <f>+IFERROR(VLOOKUP(L1039,DATA!$G$4:$H$2000,2,FALSE),"")</f>
        <v xml:space="preserve">МЦХОЛБОО </v>
      </c>
      <c r="N1039" s="630"/>
      <c r="O1039" s="80" t="str">
        <f>IFERROR(VLOOKUP(N1039,DATA!$K$4:$L$51,2,FALSE),"")</f>
        <v/>
      </c>
      <c r="P1039" s="80">
        <f t="shared" si="84"/>
        <v>0</v>
      </c>
      <c r="Q1039" s="154">
        <f t="shared" si="85"/>
        <v>0</v>
      </c>
    </row>
    <row r="1040" spans="2:17">
      <c r="B1040" s="627">
        <f t="shared" si="86"/>
        <v>1035</v>
      </c>
      <c r="C1040" s="582">
        <v>43319</v>
      </c>
      <c r="D1040" s="816" t="s">
        <v>1570</v>
      </c>
      <c r="E1040" s="807">
        <v>120600</v>
      </c>
      <c r="F1040" s="629" t="str">
        <f>IFERROR(VLOOKUP(E1040,STAT1!$C$4:$D$1000,2,FALSE),"")</f>
        <v>НӨАТ авлага</v>
      </c>
      <c r="G1040" s="811">
        <v>1818.18</v>
      </c>
      <c r="H1040" s="811"/>
      <c r="I1040" s="580">
        <f t="shared" si="87"/>
        <v>0</v>
      </c>
      <c r="J1040" s="961">
        <f t="shared" si="88"/>
        <v>0</v>
      </c>
      <c r="K1040" s="80"/>
      <c r="L1040" s="807">
        <v>1008</v>
      </c>
      <c r="M1040" s="80" t="str">
        <f>+IFERROR(VLOOKUP(L1040,DATA!$G$4:$H$2000,2,FALSE),"")</f>
        <v xml:space="preserve">Оюунтүлхүүр </v>
      </c>
      <c r="N1040" s="807"/>
      <c r="O1040" s="80" t="str">
        <f>IFERROR(VLOOKUP(N1040,DATA!$K$4:$L$51,2,FALSE),"")</f>
        <v/>
      </c>
      <c r="P1040" s="80">
        <f t="shared" si="84"/>
        <v>0</v>
      </c>
      <c r="Q1040" s="154">
        <f t="shared" si="85"/>
        <v>0</v>
      </c>
    </row>
    <row r="1041" spans="2:17">
      <c r="B1041" s="627">
        <f t="shared" si="86"/>
        <v>1036</v>
      </c>
      <c r="C1041" s="582">
        <v>43319</v>
      </c>
      <c r="D1041" s="816" t="s">
        <v>1570</v>
      </c>
      <c r="E1041" s="807">
        <v>702000</v>
      </c>
      <c r="F1041" s="629" t="str">
        <f>IFERROR(VLOOKUP(E1041,STAT1!$C$4:$D$1000,2,FALSE),"")</f>
        <v>Түлш, шатахуун</v>
      </c>
      <c r="G1041" s="811">
        <f>20000-1818.18</f>
        <v>18181.82</v>
      </c>
      <c r="H1041" s="811"/>
      <c r="I1041" s="580">
        <f t="shared" si="87"/>
        <v>0</v>
      </c>
      <c r="J1041" s="961">
        <f t="shared" si="88"/>
        <v>0</v>
      </c>
      <c r="K1041" s="80"/>
      <c r="L1041" s="807">
        <v>1008</v>
      </c>
      <c r="M1041" s="80" t="str">
        <f>+IFERROR(VLOOKUP(L1041,DATA!$G$4:$H$2000,2,FALSE),"")</f>
        <v xml:space="preserve">Оюунтүлхүүр </v>
      </c>
      <c r="N1041" s="807"/>
      <c r="O1041" s="80" t="str">
        <f>IFERROR(VLOOKUP(N1041,DATA!$K$4:$L$51,2,FALSE),"")</f>
        <v/>
      </c>
      <c r="P1041" s="80">
        <f t="shared" si="84"/>
        <v>0</v>
      </c>
      <c r="Q1041" s="154">
        <f t="shared" si="85"/>
        <v>0</v>
      </c>
    </row>
    <row r="1042" spans="2:17">
      <c r="B1042" s="627">
        <f t="shared" si="86"/>
        <v>1037</v>
      </c>
      <c r="C1042" s="582">
        <v>43319</v>
      </c>
      <c r="D1042" s="816" t="s">
        <v>1570</v>
      </c>
      <c r="E1042" s="807">
        <v>100100</v>
      </c>
      <c r="F1042" s="629" t="str">
        <f>IFERROR(VLOOKUP(E1042,STAT1!$C$4:$D$1000,2,FALSE),"")</f>
        <v>Касс мөнгө MNT</v>
      </c>
      <c r="G1042" s="811"/>
      <c r="H1042" s="811">
        <v>20000</v>
      </c>
      <c r="I1042" s="580">
        <f t="shared" si="87"/>
        <v>-20000</v>
      </c>
      <c r="J1042" s="961">
        <f t="shared" si="88"/>
        <v>0</v>
      </c>
      <c r="K1042" s="80"/>
      <c r="L1042" s="807">
        <v>1008</v>
      </c>
      <c r="M1042" s="80" t="str">
        <f>+IFERROR(VLOOKUP(L1042,DATA!$G$4:$H$2000,2,FALSE),"")</f>
        <v xml:space="preserve">Оюунтүлхүүр </v>
      </c>
      <c r="N1042" s="807">
        <v>55</v>
      </c>
      <c r="O1042" s="80" t="str">
        <f>IFERROR(VLOOKUP(N1042,DATA!$K$4:$L$51,2,FALSE),"")</f>
        <v>Түлш, шатахуун, тээврийн хөлс, сэлбэг хэрэгсэлд төлсөн</v>
      </c>
      <c r="P1042" s="80">
        <f t="shared" si="84"/>
        <v>1</v>
      </c>
      <c r="Q1042" s="154">
        <f t="shared" si="85"/>
        <v>1</v>
      </c>
    </row>
    <row r="1043" spans="2:17">
      <c r="B1043" s="627">
        <f t="shared" si="86"/>
        <v>1038</v>
      </c>
      <c r="C1043" s="582">
        <v>43319</v>
      </c>
      <c r="D1043" s="816" t="s">
        <v>1570</v>
      </c>
      <c r="E1043" s="807">
        <v>120600</v>
      </c>
      <c r="F1043" s="629" t="str">
        <f>IFERROR(VLOOKUP(E1043,STAT1!$C$4:$D$1000,2,FALSE),"")</f>
        <v>НӨАТ авлага</v>
      </c>
      <c r="G1043" s="811">
        <v>1818.18</v>
      </c>
      <c r="H1043" s="811"/>
      <c r="I1043" s="580">
        <f t="shared" si="87"/>
        <v>0</v>
      </c>
      <c r="J1043" s="961">
        <f t="shared" si="88"/>
        <v>0</v>
      </c>
      <c r="K1043" s="80"/>
      <c r="L1043" s="807">
        <v>1008</v>
      </c>
      <c r="M1043" s="80" t="str">
        <f>+IFERROR(VLOOKUP(L1043,DATA!$G$4:$H$2000,2,FALSE),"")</f>
        <v xml:space="preserve">Оюунтүлхүүр </v>
      </c>
      <c r="N1043" s="807"/>
      <c r="O1043" s="80" t="str">
        <f>IFERROR(VLOOKUP(N1043,DATA!$K$4:$L$51,2,FALSE),"")</f>
        <v/>
      </c>
      <c r="P1043" s="80">
        <f t="shared" si="84"/>
        <v>0</v>
      </c>
      <c r="Q1043" s="154">
        <f t="shared" si="85"/>
        <v>0</v>
      </c>
    </row>
    <row r="1044" spans="2:17">
      <c r="B1044" s="627">
        <f t="shared" si="86"/>
        <v>1039</v>
      </c>
      <c r="C1044" s="582">
        <v>43319</v>
      </c>
      <c r="D1044" s="816" t="s">
        <v>1570</v>
      </c>
      <c r="E1044" s="807">
        <v>702000</v>
      </c>
      <c r="F1044" s="629" t="str">
        <f>IFERROR(VLOOKUP(E1044,STAT1!$C$4:$D$1000,2,FALSE),"")</f>
        <v>Түлш, шатахуун</v>
      </c>
      <c r="G1044" s="811">
        <f>20000-1818.18</f>
        <v>18181.82</v>
      </c>
      <c r="H1044" s="811"/>
      <c r="I1044" s="580">
        <f t="shared" si="87"/>
        <v>0</v>
      </c>
      <c r="J1044" s="961">
        <f t="shared" si="88"/>
        <v>0</v>
      </c>
      <c r="K1044" s="80"/>
      <c r="L1044" s="807">
        <v>1008</v>
      </c>
      <c r="M1044" s="80" t="str">
        <f>+IFERROR(VLOOKUP(L1044,DATA!$G$4:$H$2000,2,FALSE),"")</f>
        <v xml:space="preserve">Оюунтүлхүүр </v>
      </c>
      <c r="N1044" s="807"/>
      <c r="O1044" s="80" t="str">
        <f>IFERROR(VLOOKUP(N1044,DATA!$K$4:$L$51,2,FALSE),"")</f>
        <v/>
      </c>
      <c r="P1044" s="80">
        <f t="shared" si="84"/>
        <v>0</v>
      </c>
      <c r="Q1044" s="154">
        <f t="shared" si="85"/>
        <v>0</v>
      </c>
    </row>
    <row r="1045" spans="2:17">
      <c r="B1045" s="627">
        <f t="shared" si="86"/>
        <v>1040</v>
      </c>
      <c r="C1045" s="429">
        <v>43320</v>
      </c>
      <c r="D1045" s="816" t="s">
        <v>2650</v>
      </c>
      <c r="E1045" s="807">
        <v>110100</v>
      </c>
      <c r="F1045" s="629" t="str">
        <f>IFERROR(VLOOKUP(E1045,STAT1!$C$4:$D$1000,2,FALSE),"")</f>
        <v>Хаан Банк 5024654020</v>
      </c>
      <c r="G1045" s="811">
        <v>778624</v>
      </c>
      <c r="H1045" s="811"/>
      <c r="I1045" s="580">
        <f t="shared" si="87"/>
        <v>778624</v>
      </c>
      <c r="J1045" s="961">
        <f t="shared" si="88"/>
        <v>0</v>
      </c>
      <c r="K1045" s="80"/>
      <c r="L1045" s="807">
        <v>1004</v>
      </c>
      <c r="M1045" s="80" t="str">
        <f>+IFERROR(VLOOKUP(L1045,DATA!$G$4:$H$2000,2,FALSE),"")</f>
        <v xml:space="preserve">Түмэндэлгэр </v>
      </c>
      <c r="N1045" s="807">
        <v>51</v>
      </c>
      <c r="O1045" s="80" t="str">
        <f>IFERROR(VLOOKUP(N1045,DATA!$K$4:$L$51,2,FALSE),"")</f>
        <v>Ажиллагчдад төлсөн</v>
      </c>
      <c r="P1045" s="80">
        <f t="shared" si="84"/>
        <v>1</v>
      </c>
      <c r="Q1045" s="154">
        <f t="shared" si="85"/>
        <v>1</v>
      </c>
    </row>
    <row r="1046" spans="2:17">
      <c r="B1046" s="627">
        <f t="shared" si="86"/>
        <v>1041</v>
      </c>
      <c r="C1046" s="429">
        <v>43320</v>
      </c>
      <c r="D1046" s="816" t="s">
        <v>2650</v>
      </c>
      <c r="E1046" s="807">
        <v>310100</v>
      </c>
      <c r="F1046" s="629" t="str">
        <f>IFERROR(VLOOKUP(E1046,STAT1!$C$4:$D$1000,2,FALSE),"")</f>
        <v>Дансны өглөг MNT</v>
      </c>
      <c r="G1046" s="811"/>
      <c r="H1046" s="811">
        <v>778624</v>
      </c>
      <c r="I1046" s="580">
        <f t="shared" si="87"/>
        <v>0</v>
      </c>
      <c r="J1046" s="961">
        <f t="shared" si="88"/>
        <v>0</v>
      </c>
      <c r="K1046" s="80"/>
      <c r="L1046" s="807">
        <v>1004</v>
      </c>
      <c r="M1046" s="80" t="str">
        <f>+IFERROR(VLOOKUP(L1046,DATA!$G$4:$H$2000,2,FALSE),"")</f>
        <v xml:space="preserve">Түмэндэлгэр </v>
      </c>
      <c r="N1046" s="807"/>
      <c r="O1046" s="80" t="str">
        <f>IFERROR(VLOOKUP(N1046,DATA!$K$4:$L$51,2,FALSE),"")</f>
        <v/>
      </c>
      <c r="P1046" s="80">
        <f t="shared" si="84"/>
        <v>0</v>
      </c>
      <c r="Q1046" s="154">
        <f t="shared" si="85"/>
        <v>0</v>
      </c>
    </row>
    <row r="1047" spans="2:17">
      <c r="B1047" s="627">
        <f t="shared" si="86"/>
        <v>1042</v>
      </c>
      <c r="C1047" s="582">
        <v>43320</v>
      </c>
      <c r="D1047" s="816" t="s">
        <v>1570</v>
      </c>
      <c r="E1047" s="807">
        <v>100100</v>
      </c>
      <c r="F1047" s="629" t="str">
        <f>IFERROR(VLOOKUP(E1047,STAT1!$C$4:$D$1000,2,FALSE),"")</f>
        <v>Касс мөнгө MNT</v>
      </c>
      <c r="G1047" s="811"/>
      <c r="H1047" s="811">
        <v>20000</v>
      </c>
      <c r="I1047" s="580">
        <f t="shared" si="87"/>
        <v>-20000</v>
      </c>
      <c r="J1047" s="961">
        <f t="shared" si="88"/>
        <v>0</v>
      </c>
      <c r="K1047" s="80"/>
      <c r="L1047" s="807">
        <v>1008</v>
      </c>
      <c r="M1047" s="80" t="str">
        <f>+IFERROR(VLOOKUP(L1047,DATA!$G$4:$H$2000,2,FALSE),"")</f>
        <v xml:space="preserve">Оюунтүлхүүр </v>
      </c>
      <c r="N1047" s="807">
        <v>55</v>
      </c>
      <c r="O1047" s="80" t="str">
        <f>IFERROR(VLOOKUP(N1047,DATA!$K$4:$L$51,2,FALSE),"")</f>
        <v>Түлш, шатахуун, тээврийн хөлс, сэлбэг хэрэгсэлд төлсөн</v>
      </c>
      <c r="P1047" s="80">
        <f t="shared" si="84"/>
        <v>1</v>
      </c>
      <c r="Q1047" s="154">
        <f t="shared" si="85"/>
        <v>1</v>
      </c>
    </row>
    <row r="1048" spans="2:17">
      <c r="B1048" s="627">
        <f t="shared" si="86"/>
        <v>1043</v>
      </c>
      <c r="C1048" s="582">
        <v>43320</v>
      </c>
      <c r="D1048" s="816" t="s">
        <v>1570</v>
      </c>
      <c r="E1048" s="807">
        <v>120600</v>
      </c>
      <c r="F1048" s="629" t="str">
        <f>IFERROR(VLOOKUP(E1048,STAT1!$C$4:$D$1000,2,FALSE),"")</f>
        <v>НӨАТ авлага</v>
      </c>
      <c r="G1048" s="811">
        <v>1818.18</v>
      </c>
      <c r="H1048" s="811"/>
      <c r="I1048" s="580">
        <f t="shared" si="87"/>
        <v>0</v>
      </c>
      <c r="J1048" s="961">
        <f t="shared" si="88"/>
        <v>0</v>
      </c>
      <c r="K1048" s="80"/>
      <c r="L1048" s="807">
        <v>1008</v>
      </c>
      <c r="M1048" s="80" t="str">
        <f>+IFERROR(VLOOKUP(L1048,DATA!$G$4:$H$2000,2,FALSE),"")</f>
        <v xml:space="preserve">Оюунтүлхүүр </v>
      </c>
      <c r="N1048" s="807"/>
      <c r="O1048" s="80" t="str">
        <f>IFERROR(VLOOKUP(N1048,DATA!$K$4:$L$51,2,FALSE),"")</f>
        <v/>
      </c>
      <c r="P1048" s="80">
        <f t="shared" si="84"/>
        <v>0</v>
      </c>
      <c r="Q1048" s="154">
        <f t="shared" si="85"/>
        <v>0</v>
      </c>
    </row>
    <row r="1049" spans="2:17">
      <c r="B1049" s="627">
        <f t="shared" si="86"/>
        <v>1044</v>
      </c>
      <c r="C1049" s="582">
        <v>43320</v>
      </c>
      <c r="D1049" s="816" t="s">
        <v>1570</v>
      </c>
      <c r="E1049" s="807">
        <v>702000</v>
      </c>
      <c r="F1049" s="629" t="str">
        <f>IFERROR(VLOOKUP(E1049,STAT1!$C$4:$D$1000,2,FALSE),"")</f>
        <v>Түлш, шатахуун</v>
      </c>
      <c r="G1049" s="811">
        <f>20000-1818.18</f>
        <v>18181.82</v>
      </c>
      <c r="H1049" s="811"/>
      <c r="I1049" s="580">
        <f t="shared" si="87"/>
        <v>0</v>
      </c>
      <c r="J1049" s="961">
        <f t="shared" si="88"/>
        <v>0</v>
      </c>
      <c r="K1049" s="80"/>
      <c r="L1049" s="807">
        <v>1008</v>
      </c>
      <c r="M1049" s="80" t="str">
        <f>+IFERROR(VLOOKUP(L1049,DATA!$G$4:$H$2000,2,FALSE),"")</f>
        <v xml:space="preserve">Оюунтүлхүүр </v>
      </c>
      <c r="N1049" s="807"/>
      <c r="O1049" s="80" t="str">
        <f>IFERROR(VLOOKUP(N1049,DATA!$K$4:$L$51,2,FALSE),"")</f>
        <v/>
      </c>
      <c r="P1049" s="80">
        <f t="shared" si="84"/>
        <v>0</v>
      </c>
      <c r="Q1049" s="154">
        <f t="shared" si="85"/>
        <v>0</v>
      </c>
    </row>
    <row r="1050" spans="2:17">
      <c r="B1050" s="627">
        <f t="shared" si="86"/>
        <v>1045</v>
      </c>
      <c r="C1050" s="582">
        <v>43322</v>
      </c>
      <c r="D1050" s="816" t="s">
        <v>1570</v>
      </c>
      <c r="E1050" s="807">
        <v>100100</v>
      </c>
      <c r="F1050" s="629" t="str">
        <f>IFERROR(VLOOKUP(E1050,STAT1!$C$4:$D$1000,2,FALSE),"")</f>
        <v>Касс мөнгө MNT</v>
      </c>
      <c r="G1050" s="811"/>
      <c r="H1050" s="811">
        <v>40000</v>
      </c>
      <c r="I1050" s="580">
        <f t="shared" si="87"/>
        <v>-40000</v>
      </c>
      <c r="J1050" s="961">
        <f t="shared" si="88"/>
        <v>0</v>
      </c>
      <c r="K1050" s="80"/>
      <c r="L1050" s="807">
        <v>1008</v>
      </c>
      <c r="M1050" s="80" t="str">
        <f>+IFERROR(VLOOKUP(L1050,DATA!$G$4:$H$2000,2,FALSE),"")</f>
        <v xml:space="preserve">Оюунтүлхүүр </v>
      </c>
      <c r="N1050" s="807">
        <v>55</v>
      </c>
      <c r="O1050" s="80" t="str">
        <f>IFERROR(VLOOKUP(N1050,DATA!$K$4:$L$51,2,FALSE),"")</f>
        <v>Түлш, шатахуун, тээврийн хөлс, сэлбэг хэрэгсэлд төлсөн</v>
      </c>
      <c r="P1050" s="80">
        <f t="shared" si="84"/>
        <v>1</v>
      </c>
      <c r="Q1050" s="154">
        <f t="shared" si="85"/>
        <v>1</v>
      </c>
    </row>
    <row r="1051" spans="2:17">
      <c r="B1051" s="627">
        <f t="shared" si="86"/>
        <v>1046</v>
      </c>
      <c r="C1051" s="582">
        <v>43322</v>
      </c>
      <c r="D1051" s="816" t="s">
        <v>1570</v>
      </c>
      <c r="E1051" s="807">
        <v>120600</v>
      </c>
      <c r="F1051" s="629" t="str">
        <f>IFERROR(VLOOKUP(E1051,STAT1!$C$4:$D$1000,2,FALSE),"")</f>
        <v>НӨАТ авлага</v>
      </c>
      <c r="G1051" s="811">
        <f>1818.18*2</f>
        <v>3636.36</v>
      </c>
      <c r="H1051" s="811"/>
      <c r="I1051" s="580">
        <f t="shared" si="87"/>
        <v>0</v>
      </c>
      <c r="J1051" s="961">
        <f t="shared" si="88"/>
        <v>0</v>
      </c>
      <c r="K1051" s="80"/>
      <c r="L1051" s="807">
        <v>1008</v>
      </c>
      <c r="M1051" s="80" t="str">
        <f>+IFERROR(VLOOKUP(L1051,DATA!$G$4:$H$2000,2,FALSE),"")</f>
        <v xml:space="preserve">Оюунтүлхүүр </v>
      </c>
      <c r="N1051" s="807"/>
      <c r="O1051" s="80" t="str">
        <f>IFERROR(VLOOKUP(N1051,DATA!$K$4:$L$51,2,FALSE),"")</f>
        <v/>
      </c>
      <c r="P1051" s="80">
        <f t="shared" si="84"/>
        <v>0</v>
      </c>
      <c r="Q1051" s="154">
        <f t="shared" si="85"/>
        <v>0</v>
      </c>
    </row>
    <row r="1052" spans="2:17">
      <c r="B1052" s="627">
        <f t="shared" si="86"/>
        <v>1047</v>
      </c>
      <c r="C1052" s="582">
        <v>43322</v>
      </c>
      <c r="D1052" s="816" t="s">
        <v>1570</v>
      </c>
      <c r="E1052" s="807">
        <v>702000</v>
      </c>
      <c r="F1052" s="629" t="str">
        <f>IFERROR(VLOOKUP(E1052,STAT1!$C$4:$D$1000,2,FALSE),"")</f>
        <v>Түлш, шатахуун</v>
      </c>
      <c r="G1052" s="811">
        <f>40000-3636.36</f>
        <v>36363.64</v>
      </c>
      <c r="H1052" s="811"/>
      <c r="I1052" s="580">
        <f t="shared" si="87"/>
        <v>0</v>
      </c>
      <c r="J1052" s="961">
        <f t="shared" si="88"/>
        <v>0</v>
      </c>
      <c r="K1052" s="80"/>
      <c r="L1052" s="807">
        <v>1008</v>
      </c>
      <c r="M1052" s="80" t="str">
        <f>+IFERROR(VLOOKUP(L1052,DATA!$G$4:$H$2000,2,FALSE),"")</f>
        <v xml:space="preserve">Оюунтүлхүүр </v>
      </c>
      <c r="N1052" s="807"/>
      <c r="O1052" s="80" t="str">
        <f>IFERROR(VLOOKUP(N1052,DATA!$K$4:$L$51,2,FALSE),"")</f>
        <v/>
      </c>
      <c r="P1052" s="80">
        <f t="shared" si="84"/>
        <v>0</v>
      </c>
      <c r="Q1052" s="154">
        <f t="shared" si="85"/>
        <v>0</v>
      </c>
    </row>
    <row r="1053" spans="2:17">
      <c r="B1053" s="627">
        <f t="shared" si="86"/>
        <v>1048</v>
      </c>
      <c r="C1053" s="582">
        <v>43322</v>
      </c>
      <c r="D1053" s="816" t="s">
        <v>2655</v>
      </c>
      <c r="E1053" s="807">
        <v>100100</v>
      </c>
      <c r="F1053" s="629" t="str">
        <f>IFERROR(VLOOKUP(E1053,STAT1!$C$4:$D$1000,2,FALSE),"")</f>
        <v>Касс мөнгө MNT</v>
      </c>
      <c r="G1053" s="811"/>
      <c r="H1053" s="811">
        <v>239200</v>
      </c>
      <c r="I1053" s="580">
        <f t="shared" si="87"/>
        <v>-239200</v>
      </c>
      <c r="J1053" s="961">
        <f t="shared" si="88"/>
        <v>0</v>
      </c>
      <c r="K1053" s="80"/>
      <c r="L1053" s="807">
        <v>1008</v>
      </c>
      <c r="M1053" s="80" t="str">
        <f>+IFERROR(VLOOKUP(L1053,DATA!$G$4:$H$2000,2,FALSE),"")</f>
        <v xml:space="preserve">Оюунтүлхүүр </v>
      </c>
      <c r="N1053" s="807">
        <v>53</v>
      </c>
      <c r="O1053" s="80" t="str">
        <f>IFERROR(VLOOKUP(N1053,DATA!$K$4:$L$51,2,FALSE),"")</f>
        <v>Бараа материал худалдан авахад төлсөн</v>
      </c>
      <c r="P1053" s="80">
        <f t="shared" si="84"/>
        <v>1</v>
      </c>
      <c r="Q1053" s="154">
        <f t="shared" si="85"/>
        <v>1</v>
      </c>
    </row>
    <row r="1054" spans="2:17">
      <c r="B1054" s="627">
        <f t="shared" si="86"/>
        <v>1049</v>
      </c>
      <c r="C1054" s="582">
        <v>43322</v>
      </c>
      <c r="D1054" s="816" t="s">
        <v>2655</v>
      </c>
      <c r="E1054" s="807">
        <v>121200</v>
      </c>
      <c r="F1054" s="629" t="str">
        <f>IFERROR(VLOOKUP(E1054,STAT1!$C$4:$D$1000,2,FALSE),"")</f>
        <v xml:space="preserve">Ажилчидын дараа тайлангийн тооцоо </v>
      </c>
      <c r="G1054" s="811">
        <v>239200</v>
      </c>
      <c r="H1054" s="811"/>
      <c r="I1054" s="580">
        <f t="shared" si="87"/>
        <v>0</v>
      </c>
      <c r="J1054" s="961">
        <f t="shared" si="88"/>
        <v>0</v>
      </c>
      <c r="K1054" s="80"/>
      <c r="L1054" s="807">
        <v>1008</v>
      </c>
      <c r="M1054" s="80" t="str">
        <f>+IFERROR(VLOOKUP(L1054,DATA!$G$4:$H$2000,2,FALSE),"")</f>
        <v xml:space="preserve">Оюунтүлхүүр </v>
      </c>
      <c r="N1054" s="807"/>
      <c r="O1054" s="80" t="str">
        <f>IFERROR(VLOOKUP(N1054,DATA!$K$4:$L$51,2,FALSE),"")</f>
        <v/>
      </c>
      <c r="P1054" s="80">
        <f t="shared" si="84"/>
        <v>0</v>
      </c>
      <c r="Q1054" s="154">
        <f t="shared" si="85"/>
        <v>0</v>
      </c>
    </row>
    <row r="1055" spans="2:17">
      <c r="B1055" s="627">
        <f t="shared" si="86"/>
        <v>1050</v>
      </c>
      <c r="C1055" s="429">
        <v>43322</v>
      </c>
      <c r="D1055" s="816" t="s">
        <v>2656</v>
      </c>
      <c r="E1055" s="807">
        <v>100100</v>
      </c>
      <c r="F1055" s="629" t="str">
        <f>IFERROR(VLOOKUP(E1055,STAT1!$C$4:$D$1000,2,FALSE),"")</f>
        <v>Касс мөнгө MNT</v>
      </c>
      <c r="G1055" s="811"/>
      <c r="H1055" s="811">
        <v>182000</v>
      </c>
      <c r="I1055" s="580">
        <f t="shared" si="87"/>
        <v>-182000</v>
      </c>
      <c r="J1055" s="961">
        <f t="shared" si="88"/>
        <v>0</v>
      </c>
      <c r="K1055" s="80"/>
      <c r="L1055" s="807">
        <v>1008</v>
      </c>
      <c r="M1055" s="80" t="str">
        <f>+IFERROR(VLOOKUP(L1055,DATA!$G$4:$H$2000,2,FALSE),"")</f>
        <v xml:space="preserve">Оюунтүлхүүр </v>
      </c>
      <c r="N1055" s="807">
        <v>53</v>
      </c>
      <c r="O1055" s="80" t="str">
        <f>IFERROR(VLOOKUP(N1055,DATA!$K$4:$L$51,2,FALSE),"")</f>
        <v>Бараа материал худалдан авахад төлсөн</v>
      </c>
      <c r="P1055" s="80">
        <f t="shared" si="84"/>
        <v>1</v>
      </c>
      <c r="Q1055" s="154">
        <f t="shared" si="85"/>
        <v>1</v>
      </c>
    </row>
    <row r="1056" spans="2:17">
      <c r="B1056" s="627">
        <f t="shared" si="86"/>
        <v>1051</v>
      </c>
      <c r="C1056" s="429">
        <v>43322</v>
      </c>
      <c r="D1056" s="816" t="s">
        <v>2656</v>
      </c>
      <c r="E1056" s="807">
        <v>141401</v>
      </c>
      <c r="F1056" s="629" t="str">
        <f>IFERROR(VLOOKUP(E1056,STAT1!$C$4:$D$1000,2,FALSE),"")</f>
        <v xml:space="preserve">ҮНЗардал БУСАД </v>
      </c>
      <c r="G1056" s="811">
        <v>182000</v>
      </c>
      <c r="H1056" s="811"/>
      <c r="I1056" s="580">
        <f t="shared" si="87"/>
        <v>0</v>
      </c>
      <c r="J1056" s="961">
        <f t="shared" si="88"/>
        <v>0</v>
      </c>
      <c r="K1056" s="80"/>
      <c r="L1056" s="807">
        <v>1008</v>
      </c>
      <c r="M1056" s="80" t="str">
        <f>+IFERROR(VLOOKUP(L1056,DATA!$G$4:$H$2000,2,FALSE),"")</f>
        <v xml:space="preserve">Оюунтүлхүүр </v>
      </c>
      <c r="N1056" s="807"/>
      <c r="O1056" s="80" t="str">
        <f>IFERROR(VLOOKUP(N1056,DATA!$K$4:$L$51,2,FALSE),"")</f>
        <v/>
      </c>
      <c r="P1056" s="80">
        <f t="shared" si="84"/>
        <v>0</v>
      </c>
      <c r="Q1056" s="154">
        <f t="shared" si="85"/>
        <v>0</v>
      </c>
    </row>
    <row r="1057" spans="2:17">
      <c r="B1057" s="627">
        <f t="shared" si="86"/>
        <v>1052</v>
      </c>
      <c r="C1057" s="429">
        <v>43322</v>
      </c>
      <c r="D1057" s="816" t="s">
        <v>1570</v>
      </c>
      <c r="E1057" s="807">
        <v>100100</v>
      </c>
      <c r="F1057" s="629" t="str">
        <f>IFERROR(VLOOKUP(E1057,STAT1!$C$4:$D$1000,2,FALSE),"")</f>
        <v>Касс мөнгө MNT</v>
      </c>
      <c r="G1057" s="811"/>
      <c r="H1057" s="811">
        <v>20000</v>
      </c>
      <c r="I1057" s="580">
        <f t="shared" si="87"/>
        <v>-20000</v>
      </c>
      <c r="J1057" s="961">
        <f t="shared" si="88"/>
        <v>0</v>
      </c>
      <c r="K1057" s="80"/>
      <c r="L1057" s="807">
        <v>1008</v>
      </c>
      <c r="M1057" s="80" t="str">
        <f>+IFERROR(VLOOKUP(L1057,DATA!$G$4:$H$2000,2,FALSE),"")</f>
        <v xml:space="preserve">Оюунтүлхүүр </v>
      </c>
      <c r="N1057" s="807">
        <v>55</v>
      </c>
      <c r="O1057" s="80" t="str">
        <f>IFERROR(VLOOKUP(N1057,DATA!$K$4:$L$51,2,FALSE),"")</f>
        <v>Түлш, шатахуун, тээврийн хөлс, сэлбэг хэрэгсэлд төлсөн</v>
      </c>
      <c r="P1057" s="80">
        <f t="shared" si="84"/>
        <v>1</v>
      </c>
      <c r="Q1057" s="154">
        <f t="shared" si="85"/>
        <v>1</v>
      </c>
    </row>
    <row r="1058" spans="2:17">
      <c r="B1058" s="627">
        <f t="shared" si="86"/>
        <v>1053</v>
      </c>
      <c r="C1058" s="429">
        <v>43323</v>
      </c>
      <c r="D1058" s="815" t="s">
        <v>2377</v>
      </c>
      <c r="E1058" s="630">
        <v>110100</v>
      </c>
      <c r="F1058" s="629" t="str">
        <f>IFERROR(VLOOKUP(E1058,STAT1!$C$4:$D$1000,2,FALSE),"")</f>
        <v>Хаан Банк 5024654020</v>
      </c>
      <c r="G1058" s="376"/>
      <c r="H1058" s="376">
        <v>286000</v>
      </c>
      <c r="I1058" s="580">
        <f t="shared" si="87"/>
        <v>-286000</v>
      </c>
      <c r="J1058" s="961">
        <f t="shared" si="88"/>
        <v>0</v>
      </c>
      <c r="K1058" s="80"/>
      <c r="L1058" s="630">
        <v>1004</v>
      </c>
      <c r="M1058" s="80" t="str">
        <f>+IFERROR(VLOOKUP(L1058,DATA!$G$4:$H$2000,2,FALSE),"")</f>
        <v xml:space="preserve">Түмэндэлгэр </v>
      </c>
      <c r="N1058" s="630">
        <v>59</v>
      </c>
      <c r="O1058" s="80" t="str">
        <f>IFERROR(VLOOKUP(N1058,DATA!$K$4:$L$51,2,FALSE),"")</f>
        <v>Бусад мөнгөн зарлага</v>
      </c>
      <c r="P1058" s="80">
        <f t="shared" si="84"/>
        <v>1</v>
      </c>
      <c r="Q1058" s="154">
        <f t="shared" si="85"/>
        <v>1</v>
      </c>
    </row>
    <row r="1059" spans="2:17">
      <c r="B1059" s="627">
        <f t="shared" si="86"/>
        <v>1054</v>
      </c>
      <c r="C1059" s="429">
        <v>43323</v>
      </c>
      <c r="D1059" s="815" t="s">
        <v>2377</v>
      </c>
      <c r="E1059" s="630">
        <v>120600</v>
      </c>
      <c r="F1059" s="629" t="str">
        <f>IFERROR(VLOOKUP(E1059,STAT1!$C$4:$D$1000,2,FALSE),"")</f>
        <v>НӨАТ авлага</v>
      </c>
      <c r="G1059" s="376">
        <v>26000</v>
      </c>
      <c r="H1059" s="376"/>
      <c r="I1059" s="580">
        <f t="shared" si="87"/>
        <v>0</v>
      </c>
      <c r="J1059" s="961">
        <f t="shared" si="88"/>
        <v>0</v>
      </c>
      <c r="K1059" s="80"/>
      <c r="L1059" s="630">
        <v>1004</v>
      </c>
      <c r="M1059" s="80" t="str">
        <f>+IFERROR(VLOOKUP(L1059,DATA!$G$4:$H$2000,2,FALSE),"")</f>
        <v xml:space="preserve">Түмэндэлгэр </v>
      </c>
      <c r="N1059" s="807"/>
      <c r="O1059" s="80" t="str">
        <f>IFERROR(VLOOKUP(N1059,DATA!$K$4:$L$51,2,FALSE),"")</f>
        <v/>
      </c>
      <c r="P1059" s="80">
        <f t="shared" si="84"/>
        <v>0</v>
      </c>
      <c r="Q1059" s="154">
        <f t="shared" si="85"/>
        <v>0</v>
      </c>
    </row>
    <row r="1060" spans="2:17">
      <c r="B1060" s="627">
        <f t="shared" si="86"/>
        <v>1055</v>
      </c>
      <c r="C1060" s="429">
        <v>43323</v>
      </c>
      <c r="D1060" s="815" t="s">
        <v>2377</v>
      </c>
      <c r="E1060" s="630">
        <v>701900</v>
      </c>
      <c r="F1060" s="629" t="str">
        <f>IFERROR(VLOOKUP(E1060,STAT1!$C$4:$D$1000,2,FALSE),"")</f>
        <v>Харилцаа холбоо</v>
      </c>
      <c r="G1060" s="376">
        <v>260000</v>
      </c>
      <c r="H1060" s="376"/>
      <c r="I1060" s="580">
        <f t="shared" si="87"/>
        <v>0</v>
      </c>
      <c r="J1060" s="961">
        <f t="shared" si="88"/>
        <v>0</v>
      </c>
      <c r="K1060" s="80"/>
      <c r="L1060" s="630">
        <v>1004</v>
      </c>
      <c r="M1060" s="80" t="str">
        <f>+IFERROR(VLOOKUP(L1060,DATA!$G$4:$H$2000,2,FALSE),"")</f>
        <v xml:space="preserve">Түмэндэлгэр </v>
      </c>
      <c r="N1060" s="630"/>
      <c r="O1060" s="80" t="str">
        <f>IFERROR(VLOOKUP(N1060,DATA!$K$4:$L$51,2,FALSE),"")</f>
        <v/>
      </c>
      <c r="P1060" s="80">
        <f t="shared" si="84"/>
        <v>0</v>
      </c>
      <c r="Q1060" s="154">
        <f t="shared" si="85"/>
        <v>0</v>
      </c>
    </row>
    <row r="1061" spans="2:17">
      <c r="B1061" s="627">
        <f t="shared" si="86"/>
        <v>1056</v>
      </c>
      <c r="C1061" s="429">
        <v>43326</v>
      </c>
      <c r="D1061" s="816" t="s">
        <v>1571</v>
      </c>
      <c r="E1061" s="807">
        <v>110100</v>
      </c>
      <c r="F1061" s="629" t="str">
        <f>IFERROR(VLOOKUP(E1061,STAT1!$C$4:$D$1000,2,FALSE),"")</f>
        <v>Хаан Банк 5024654020</v>
      </c>
      <c r="G1061" s="811">
        <v>5857600</v>
      </c>
      <c r="H1061" s="811"/>
      <c r="I1061" s="580">
        <f t="shared" si="87"/>
        <v>5857600</v>
      </c>
      <c r="J1061" s="961">
        <f t="shared" si="88"/>
        <v>0</v>
      </c>
      <c r="K1061" s="80"/>
      <c r="L1061" s="630">
        <v>3135</v>
      </c>
      <c r="M1061" s="80" t="str">
        <f>+IFERROR(VLOOKUP(L1061,DATA!$G$4:$H$2000,2,FALSE),"")</f>
        <v xml:space="preserve">ЛИДЕР БУЯНТ ХОЛДИНГ </v>
      </c>
      <c r="N1061" s="807">
        <v>41</v>
      </c>
      <c r="O1061" s="80" t="str">
        <f>IFERROR(VLOOKUP(N1061,DATA!$K$4:$L$51,2,FALSE),"")</f>
        <v>Бараа борлуулсан, үйлчилгээ үзүүлсэний орлого</v>
      </c>
      <c r="P1061" s="80">
        <f t="shared" si="84"/>
        <v>1</v>
      </c>
      <c r="Q1061" s="154">
        <f t="shared" si="85"/>
        <v>1</v>
      </c>
    </row>
    <row r="1062" spans="2:17">
      <c r="B1062" s="627">
        <f t="shared" si="86"/>
        <v>1057</v>
      </c>
      <c r="C1062" s="429">
        <v>43326</v>
      </c>
      <c r="D1062" s="816" t="s">
        <v>1571</v>
      </c>
      <c r="E1062" s="807">
        <v>320100</v>
      </c>
      <c r="F1062" s="629" t="str">
        <f>IFERROR(VLOOKUP(E1062,STAT1!$C$4:$D$1000,2,FALSE),"")</f>
        <v>Урьдчилж орсон орлого MNT</v>
      </c>
      <c r="G1062" s="811"/>
      <c r="H1062" s="811">
        <v>5857600</v>
      </c>
      <c r="I1062" s="580">
        <f t="shared" si="87"/>
        <v>0</v>
      </c>
      <c r="J1062" s="961">
        <f t="shared" si="88"/>
        <v>0</v>
      </c>
      <c r="K1062" s="80"/>
      <c r="L1062" s="630">
        <v>3135</v>
      </c>
      <c r="M1062" s="80" t="str">
        <f>+IFERROR(VLOOKUP(L1062,DATA!$G$4:$H$2000,2,FALSE),"")</f>
        <v xml:space="preserve">ЛИДЕР БУЯНТ ХОЛДИНГ </v>
      </c>
      <c r="N1062" s="807"/>
      <c r="O1062" s="80" t="str">
        <f>IFERROR(VLOOKUP(N1062,DATA!$K$4:$L$51,2,FALSE),"")</f>
        <v/>
      </c>
      <c r="P1062" s="80">
        <f t="shared" si="84"/>
        <v>0</v>
      </c>
      <c r="Q1062" s="154">
        <f t="shared" si="85"/>
        <v>0</v>
      </c>
    </row>
    <row r="1063" spans="2:17">
      <c r="B1063" s="627">
        <f t="shared" si="86"/>
        <v>1058</v>
      </c>
      <c r="C1063" s="429">
        <v>43326</v>
      </c>
      <c r="D1063" s="816" t="s">
        <v>2727</v>
      </c>
      <c r="E1063" s="807">
        <v>150101</v>
      </c>
      <c r="F1063" s="629" t="str">
        <f>IFERROR(VLOOKUP(E1063,STAT1!$C$4:$D$1000,2,FALSE),"")</f>
        <v>Бараа бэлэн бүтээгдэхүүн БОЛОВСРУУЛАХ ЦЕХ /нарс/</v>
      </c>
      <c r="G1063" s="811"/>
      <c r="H1063" s="811">
        <v>7485798.2400000002</v>
      </c>
      <c r="I1063" s="580">
        <f t="shared" si="87"/>
        <v>0</v>
      </c>
      <c r="J1063" s="961">
        <f t="shared" si="88"/>
        <v>0</v>
      </c>
      <c r="K1063" s="80"/>
      <c r="L1063" s="807">
        <v>3135</v>
      </c>
      <c r="M1063" s="80" t="str">
        <f>+IFERROR(VLOOKUP(L1063,DATA!$G$4:$H$2000,2,FALSE),"")</f>
        <v xml:space="preserve">ЛИДЕР БУЯНТ ХОЛДИНГ </v>
      </c>
      <c r="N1063" s="807"/>
      <c r="O1063" s="80" t="str">
        <f>IFERROR(VLOOKUP(N1063,DATA!$K$4:$L$51,2,FALSE),"")</f>
        <v/>
      </c>
      <c r="P1063" s="80">
        <f t="shared" si="84"/>
        <v>0</v>
      </c>
      <c r="Q1063" s="154">
        <f t="shared" si="85"/>
        <v>0</v>
      </c>
    </row>
    <row r="1064" spans="2:17">
      <c r="B1064" s="627">
        <f t="shared" si="86"/>
        <v>1059</v>
      </c>
      <c r="C1064" s="582">
        <v>43326</v>
      </c>
      <c r="D1064" s="816" t="s">
        <v>2727</v>
      </c>
      <c r="E1064" s="807">
        <v>610100</v>
      </c>
      <c r="F1064" s="629" t="str">
        <f>IFERROR(VLOOKUP(E1064,STAT1!$C$4:$D$8000,2,FALSE),"")</f>
        <v>Борлуулсан барааны өртөг</v>
      </c>
      <c r="G1064" s="376">
        <v>7485798.2400000002</v>
      </c>
      <c r="H1064" s="376"/>
      <c r="I1064" s="580">
        <f t="shared" si="87"/>
        <v>0</v>
      </c>
      <c r="J1064" s="961">
        <f t="shared" si="88"/>
        <v>0</v>
      </c>
      <c r="K1064" s="80"/>
      <c r="L1064" s="630">
        <v>3135</v>
      </c>
      <c r="M1064" s="80" t="str">
        <f>+IFERROR(VLOOKUP(L1064,DATA!$G$4:$H$2000,2,FALSE),"")</f>
        <v xml:space="preserve">ЛИДЕР БУЯНТ ХОЛДИНГ </v>
      </c>
      <c r="N1064" s="630"/>
      <c r="O1064" s="80" t="str">
        <f>IFERROR(VLOOKUP(N1064,DATA!$K$4:$L$51,2,FALSE),"")</f>
        <v/>
      </c>
      <c r="P1064" s="80">
        <f t="shared" si="84"/>
        <v>0</v>
      </c>
      <c r="Q1064" s="154">
        <f t="shared" si="85"/>
        <v>0</v>
      </c>
    </row>
    <row r="1065" spans="2:17">
      <c r="B1065" s="627">
        <f t="shared" si="86"/>
        <v>1060</v>
      </c>
      <c r="C1065" s="582">
        <v>43326</v>
      </c>
      <c r="D1065" s="816" t="s">
        <v>2727</v>
      </c>
      <c r="E1065" s="807">
        <v>310500</v>
      </c>
      <c r="F1065" s="629" t="str">
        <f>IFERROR(VLOOKUP(E1065,STAT1!$C$4:$D$8000,2,FALSE),"")</f>
        <v>НӨАТ өглөг</v>
      </c>
      <c r="G1065" s="376"/>
      <c r="H1065" s="376">
        <v>987054.55</v>
      </c>
      <c r="I1065" s="580">
        <f t="shared" si="87"/>
        <v>0</v>
      </c>
      <c r="J1065" s="961">
        <f t="shared" si="88"/>
        <v>0</v>
      </c>
      <c r="K1065" s="80"/>
      <c r="L1065" s="630">
        <v>3135</v>
      </c>
      <c r="M1065" s="80" t="str">
        <f>+IFERROR(VLOOKUP(L1065,DATA!$G$4:$H$2000,2,FALSE),"")</f>
        <v xml:space="preserve">ЛИДЕР БУЯНТ ХОЛДИНГ </v>
      </c>
      <c r="N1065" s="630"/>
      <c r="O1065" s="80" t="str">
        <f>IFERROR(VLOOKUP(N1065,DATA!$K$4:$L$51,2,FALSE),"")</f>
        <v/>
      </c>
      <c r="P1065" s="80">
        <f t="shared" si="84"/>
        <v>0</v>
      </c>
      <c r="Q1065" s="154">
        <f t="shared" si="85"/>
        <v>0</v>
      </c>
    </row>
    <row r="1066" spans="2:17">
      <c r="B1066" s="627">
        <f t="shared" si="86"/>
        <v>1061</v>
      </c>
      <c r="C1066" s="582">
        <v>43326</v>
      </c>
      <c r="D1066" s="816" t="s">
        <v>2727</v>
      </c>
      <c r="E1066" s="807">
        <v>510000</v>
      </c>
      <c r="F1066" s="629" t="str">
        <f>IFERROR(VLOOKUP(E1066,STAT1!$C$4:$D$8000,2,FALSE),"")</f>
        <v>Үндсэн үйл ажиллагааны борлуулалт</v>
      </c>
      <c r="G1066" s="376"/>
      <c r="H1066" s="376">
        <v>9870545.4499999993</v>
      </c>
      <c r="I1066" s="580">
        <f t="shared" si="87"/>
        <v>0</v>
      </c>
      <c r="J1066" s="961">
        <f t="shared" si="88"/>
        <v>0</v>
      </c>
      <c r="K1066" s="80"/>
      <c r="L1066" s="630">
        <v>3135</v>
      </c>
      <c r="M1066" s="80" t="str">
        <f>+IFERROR(VLOOKUP(L1066,DATA!$G$4:$H$2000,2,FALSE),"")</f>
        <v xml:space="preserve">ЛИДЕР БУЯНТ ХОЛДИНГ </v>
      </c>
      <c r="N1066" s="630"/>
      <c r="O1066" s="80" t="str">
        <f>IFERROR(VLOOKUP(N1066,DATA!$K$4:$L$51,2,FALSE),"")</f>
        <v/>
      </c>
      <c r="P1066" s="80">
        <f t="shared" si="84"/>
        <v>0</v>
      </c>
      <c r="Q1066" s="154">
        <f t="shared" si="85"/>
        <v>0</v>
      </c>
    </row>
    <row r="1067" spans="2:17">
      <c r="B1067" s="627">
        <f t="shared" si="86"/>
        <v>1062</v>
      </c>
      <c r="C1067" s="582">
        <v>43326</v>
      </c>
      <c r="D1067" s="816" t="s">
        <v>2727</v>
      </c>
      <c r="E1067" s="807">
        <v>320100</v>
      </c>
      <c r="F1067" s="629" t="str">
        <f>IFERROR(VLOOKUP(E1067,STAT1!$C$4:$D$8000,2,FALSE),"")</f>
        <v>Урьдчилж орсон орлого MNT</v>
      </c>
      <c r="G1067" s="376">
        <v>10857600</v>
      </c>
      <c r="H1067" s="376"/>
      <c r="I1067" s="580">
        <f t="shared" si="87"/>
        <v>0</v>
      </c>
      <c r="J1067" s="961">
        <f t="shared" si="88"/>
        <v>0</v>
      </c>
      <c r="K1067" s="80"/>
      <c r="L1067" s="630">
        <v>3135</v>
      </c>
      <c r="M1067" s="80" t="str">
        <f>+IFERROR(VLOOKUP(L1067,DATA!$G$4:$H$2000,2,FALSE),"")</f>
        <v xml:space="preserve">ЛИДЕР БУЯНТ ХОЛДИНГ </v>
      </c>
      <c r="N1067" s="630"/>
      <c r="O1067" s="80" t="str">
        <f>IFERROR(VLOOKUP(N1067,DATA!$K$4:$L$51,2,FALSE),"")</f>
        <v/>
      </c>
      <c r="P1067" s="80">
        <f t="shared" ref="P1067:P1130" si="89">+IF(I1067,1,0)</f>
        <v>0</v>
      </c>
      <c r="Q1067" s="154">
        <f t="shared" ref="Q1067:Q1130" si="90">+IF(I1067,1,0)</f>
        <v>0</v>
      </c>
    </row>
    <row r="1068" spans="2:17">
      <c r="B1068" s="627">
        <f t="shared" si="86"/>
        <v>1063</v>
      </c>
      <c r="C1068" s="582">
        <v>43326</v>
      </c>
      <c r="D1068" s="816" t="s">
        <v>2727</v>
      </c>
      <c r="E1068" s="807">
        <v>150101</v>
      </c>
      <c r="F1068" s="629" t="str">
        <f>IFERROR(VLOOKUP(E1068,STAT1!$C$4:$D$8000,2,FALSE),"")</f>
        <v>Бараа бэлэн бүтээгдэхүүн БОЛОВСРУУЛАХ ЦЕХ /нарс/</v>
      </c>
      <c r="G1068" s="376"/>
      <c r="H1068" s="376">
        <v>4151951.76</v>
      </c>
      <c r="I1068" s="580">
        <f t="shared" si="87"/>
        <v>0</v>
      </c>
      <c r="J1068" s="961">
        <f t="shared" si="88"/>
        <v>0</v>
      </c>
      <c r="K1068" s="80"/>
      <c r="L1068" s="630">
        <v>3131</v>
      </c>
      <c r="M1068" s="80" t="str">
        <f>+IFERROR(VLOOKUP(L1068,DATA!$G$4:$H$2000,2,FALSE),"")</f>
        <v>ДЕЛЬТА КОНСТРАКШН ХХК</v>
      </c>
      <c r="N1068" s="630"/>
      <c r="O1068" s="80" t="str">
        <f>IFERROR(VLOOKUP(N1068,DATA!$K$4:$L$51,2,FALSE),"")</f>
        <v/>
      </c>
      <c r="P1068" s="80">
        <f t="shared" si="89"/>
        <v>0</v>
      </c>
      <c r="Q1068" s="154">
        <f t="shared" si="90"/>
        <v>0</v>
      </c>
    </row>
    <row r="1069" spans="2:17">
      <c r="B1069" s="627">
        <f t="shared" si="86"/>
        <v>1064</v>
      </c>
      <c r="C1069" s="429">
        <v>43326</v>
      </c>
      <c r="D1069" s="816" t="s">
        <v>2727</v>
      </c>
      <c r="E1069" s="807">
        <v>610100</v>
      </c>
      <c r="F1069" s="629" t="str">
        <f>IFERROR(VLOOKUP(E1069,STAT1!$C$4:$D$1000,2,FALSE),"")</f>
        <v>Борлуулсан барааны өртөг</v>
      </c>
      <c r="G1069" s="811">
        <v>4151951.76</v>
      </c>
      <c r="H1069" s="811"/>
      <c r="I1069" s="580">
        <f t="shared" si="87"/>
        <v>0</v>
      </c>
      <c r="J1069" s="961">
        <f t="shared" si="88"/>
        <v>0</v>
      </c>
      <c r="K1069" s="80"/>
      <c r="L1069" s="807">
        <v>3131</v>
      </c>
      <c r="M1069" s="80" t="str">
        <f>+IFERROR(VLOOKUP(L1069,DATA!$G$4:$H$2000,2,FALSE),"")</f>
        <v>ДЕЛЬТА КОНСТРАКШН ХХК</v>
      </c>
      <c r="N1069" s="807"/>
      <c r="O1069" s="80" t="str">
        <f>IFERROR(VLOOKUP(N1069,DATA!$K$4:$L$51,2,FALSE),"")</f>
        <v/>
      </c>
      <c r="P1069" s="80">
        <f t="shared" si="89"/>
        <v>0</v>
      </c>
      <c r="Q1069" s="154">
        <f t="shared" si="90"/>
        <v>0</v>
      </c>
    </row>
    <row r="1070" spans="2:17">
      <c r="B1070" s="627">
        <f t="shared" si="86"/>
        <v>1065</v>
      </c>
      <c r="C1070" s="429">
        <v>43326</v>
      </c>
      <c r="D1070" s="816" t="s">
        <v>2727</v>
      </c>
      <c r="E1070" s="807">
        <v>310500</v>
      </c>
      <c r="F1070" s="629" t="str">
        <f>IFERROR(VLOOKUP(E1070,STAT1!$C$4:$D$1000,2,FALSE),"")</f>
        <v>НӨАТ өглөг</v>
      </c>
      <c r="G1070" s="811"/>
      <c r="H1070" s="811">
        <v>949614.55</v>
      </c>
      <c r="I1070" s="580">
        <f t="shared" si="87"/>
        <v>0</v>
      </c>
      <c r="J1070" s="961">
        <f t="shared" si="88"/>
        <v>0</v>
      </c>
      <c r="K1070" s="80"/>
      <c r="L1070" s="807">
        <v>3131</v>
      </c>
      <c r="M1070" s="80" t="str">
        <f>+IFERROR(VLOOKUP(L1070,DATA!$G$4:$H$2000,2,FALSE),"")</f>
        <v>ДЕЛЬТА КОНСТРАКШН ХХК</v>
      </c>
      <c r="N1070" s="807"/>
      <c r="O1070" s="80" t="str">
        <f>IFERROR(VLOOKUP(N1070,DATA!$K$4:$L$51,2,FALSE),"")</f>
        <v/>
      </c>
      <c r="P1070" s="80">
        <f t="shared" si="89"/>
        <v>0</v>
      </c>
      <c r="Q1070" s="154">
        <f t="shared" si="90"/>
        <v>0</v>
      </c>
    </row>
    <row r="1071" spans="2:17">
      <c r="B1071" s="627">
        <f t="shared" si="86"/>
        <v>1066</v>
      </c>
      <c r="C1071" s="429">
        <v>43326</v>
      </c>
      <c r="D1071" s="816" t="s">
        <v>2727</v>
      </c>
      <c r="E1071" s="807">
        <v>510000</v>
      </c>
      <c r="F1071" s="629" t="str">
        <f>IFERROR(VLOOKUP(E1071,STAT1!$C$4:$D$1000,2,FALSE),"")</f>
        <v>Үндсэн үйл ажиллагааны борлуулалт</v>
      </c>
      <c r="G1071" s="811"/>
      <c r="H1071" s="811">
        <v>9496145.4499999993</v>
      </c>
      <c r="I1071" s="580">
        <f t="shared" si="87"/>
        <v>0</v>
      </c>
      <c r="J1071" s="961">
        <f t="shared" si="88"/>
        <v>0</v>
      </c>
      <c r="K1071" s="80"/>
      <c r="L1071" s="807">
        <v>3131</v>
      </c>
      <c r="M1071" s="80" t="str">
        <f>+IFERROR(VLOOKUP(L1071,DATA!$G$4:$H$2000,2,FALSE),"")</f>
        <v>ДЕЛЬТА КОНСТРАКШН ХХК</v>
      </c>
      <c r="N1071" s="807"/>
      <c r="O1071" s="80" t="str">
        <f>IFERROR(VLOOKUP(N1071,DATA!$K$4:$L$51,2,FALSE),"")</f>
        <v/>
      </c>
      <c r="P1071" s="80">
        <f t="shared" si="89"/>
        <v>0</v>
      </c>
      <c r="Q1071" s="154">
        <f t="shared" si="90"/>
        <v>0</v>
      </c>
    </row>
    <row r="1072" spans="2:17">
      <c r="B1072" s="627">
        <f t="shared" si="86"/>
        <v>1067</v>
      </c>
      <c r="C1072" s="429">
        <v>43326</v>
      </c>
      <c r="D1072" s="816" t="s">
        <v>2727</v>
      </c>
      <c r="E1072" s="807">
        <v>320100</v>
      </c>
      <c r="F1072" s="629" t="str">
        <f>IFERROR(VLOOKUP(E1072,STAT1!$C$4:$D$1000,2,FALSE),"")</f>
        <v>Урьдчилж орсон орлого MNT</v>
      </c>
      <c r="G1072" s="811">
        <v>10445760</v>
      </c>
      <c r="H1072" s="811"/>
      <c r="I1072" s="580">
        <f t="shared" si="87"/>
        <v>0</v>
      </c>
      <c r="J1072" s="961">
        <f t="shared" si="88"/>
        <v>0</v>
      </c>
      <c r="K1072" s="80"/>
      <c r="L1072" s="807">
        <v>3131</v>
      </c>
      <c r="M1072" s="80" t="str">
        <f>+IFERROR(VLOOKUP(L1072,DATA!$G$4:$H$2000,2,FALSE),"")</f>
        <v>ДЕЛЬТА КОНСТРАКШН ХХК</v>
      </c>
      <c r="N1072" s="807"/>
      <c r="O1072" s="80" t="str">
        <f>IFERROR(VLOOKUP(N1072,DATA!$K$4:$L$51,2,FALSE),"")</f>
        <v/>
      </c>
      <c r="P1072" s="80">
        <f t="shared" si="89"/>
        <v>0</v>
      </c>
      <c r="Q1072" s="154">
        <f t="shared" si="90"/>
        <v>0</v>
      </c>
    </row>
    <row r="1073" spans="2:17">
      <c r="B1073" s="627">
        <f t="shared" si="86"/>
        <v>1068</v>
      </c>
      <c r="C1073" s="429">
        <v>43327</v>
      </c>
      <c r="D1073" s="816" t="s">
        <v>1571</v>
      </c>
      <c r="E1073" s="807">
        <v>110100</v>
      </c>
      <c r="F1073" s="629" t="str">
        <f>IFERROR(VLOOKUP(E1073,STAT1!$C$4:$D$1000,2,FALSE),"")</f>
        <v>Хаан Банк 5024654020</v>
      </c>
      <c r="G1073" s="811">
        <v>4178304</v>
      </c>
      <c r="H1073" s="811"/>
      <c r="I1073" s="580">
        <f t="shared" si="87"/>
        <v>4178304</v>
      </c>
      <c r="J1073" s="961">
        <f t="shared" si="88"/>
        <v>0</v>
      </c>
      <c r="K1073" s="80"/>
      <c r="L1073" s="807">
        <v>3131</v>
      </c>
      <c r="M1073" s="80" t="str">
        <f>+IFERROR(VLOOKUP(L1073,DATA!$G$4:$H$2000,2,FALSE),"")</f>
        <v>ДЕЛЬТА КОНСТРАКШН ХХК</v>
      </c>
      <c r="N1073" s="807">
        <v>41</v>
      </c>
      <c r="O1073" s="80" t="str">
        <f>IFERROR(VLOOKUP(N1073,DATA!$K$4:$L$51,2,FALSE),"")</f>
        <v>Бараа борлуулсан, үйлчилгээ үзүүлсэний орлого</v>
      </c>
      <c r="P1073" s="80">
        <f t="shared" si="89"/>
        <v>1</v>
      </c>
      <c r="Q1073" s="154">
        <f t="shared" si="90"/>
        <v>1</v>
      </c>
    </row>
    <row r="1074" spans="2:17">
      <c r="B1074" s="627">
        <f t="shared" si="86"/>
        <v>1069</v>
      </c>
      <c r="C1074" s="429">
        <v>43327</v>
      </c>
      <c r="D1074" s="816" t="s">
        <v>1571</v>
      </c>
      <c r="E1074" s="807">
        <v>320100</v>
      </c>
      <c r="F1074" s="629" t="str">
        <f>IFERROR(VLOOKUP(E1074,STAT1!$C$4:$D$1000,2,FALSE),"")</f>
        <v>Урьдчилж орсон орлого MNT</v>
      </c>
      <c r="G1074" s="811"/>
      <c r="H1074" s="811">
        <v>4178304</v>
      </c>
      <c r="I1074" s="580">
        <f t="shared" si="87"/>
        <v>0</v>
      </c>
      <c r="J1074" s="961">
        <f t="shared" si="88"/>
        <v>0</v>
      </c>
      <c r="K1074" s="80"/>
      <c r="L1074" s="807">
        <v>3131</v>
      </c>
      <c r="M1074" s="80" t="str">
        <f>+IFERROR(VLOOKUP(L1074,DATA!$G$4:$H$2000,2,FALSE),"")</f>
        <v>ДЕЛЬТА КОНСТРАКШН ХХК</v>
      </c>
      <c r="N1074" s="807"/>
      <c r="O1074" s="80"/>
      <c r="P1074" s="80">
        <f t="shared" si="89"/>
        <v>0</v>
      </c>
      <c r="Q1074" s="154">
        <f t="shared" si="90"/>
        <v>0</v>
      </c>
    </row>
    <row r="1075" spans="2:17">
      <c r="B1075" s="627">
        <f t="shared" si="86"/>
        <v>1070</v>
      </c>
      <c r="C1075" s="429">
        <v>43327</v>
      </c>
      <c r="D1075" s="816" t="s">
        <v>2649</v>
      </c>
      <c r="E1075" s="807">
        <v>110100</v>
      </c>
      <c r="F1075" s="629" t="str">
        <f>IFERROR(VLOOKUP(E1075,STAT1!$C$4:$D$1000,2,FALSE),"")</f>
        <v>Хаан Банк 5024654020</v>
      </c>
      <c r="G1075" s="811"/>
      <c r="H1075" s="811">
        <v>15600000</v>
      </c>
      <c r="I1075" s="580">
        <f t="shared" si="87"/>
        <v>-15600000</v>
      </c>
      <c r="J1075" s="961">
        <f t="shared" si="88"/>
        <v>0</v>
      </c>
      <c r="K1075" s="80"/>
      <c r="L1075" s="807">
        <v>1004</v>
      </c>
      <c r="M1075" s="80" t="str">
        <f>+IFERROR(VLOOKUP(L1075,DATA!$G$4:$H$2000,2,FALSE),"")</f>
        <v xml:space="preserve">Түмэндэлгэр </v>
      </c>
      <c r="N1075" s="807"/>
      <c r="O1075" s="80" t="str">
        <f>IFERROR(VLOOKUP(N1075,DATA!$K$4:$L$51,2,FALSE),"")</f>
        <v/>
      </c>
      <c r="P1075" s="80">
        <f t="shared" si="89"/>
        <v>1</v>
      </c>
      <c r="Q1075" s="154">
        <f t="shared" si="90"/>
        <v>1</v>
      </c>
    </row>
    <row r="1076" spans="2:17">
      <c r="B1076" s="627">
        <f t="shared" si="86"/>
        <v>1071</v>
      </c>
      <c r="C1076" s="429">
        <v>43327</v>
      </c>
      <c r="D1076" s="816" t="s">
        <v>2649</v>
      </c>
      <c r="E1076" s="807">
        <v>100100</v>
      </c>
      <c r="F1076" s="629" t="str">
        <f>IFERROR(VLOOKUP(E1076,STAT1!$C$4:$D$1000,2,FALSE),"")</f>
        <v>Касс мөнгө MNT</v>
      </c>
      <c r="G1076" s="811">
        <v>15600000</v>
      </c>
      <c r="H1076" s="811"/>
      <c r="I1076" s="580">
        <f t="shared" si="87"/>
        <v>15600000</v>
      </c>
      <c r="J1076" s="961">
        <f t="shared" si="88"/>
        <v>0</v>
      </c>
      <c r="K1076" s="80"/>
      <c r="L1076" s="807">
        <v>1004</v>
      </c>
      <c r="M1076" s="80" t="str">
        <f>+IFERROR(VLOOKUP(L1076,DATA!$G$4:$H$2000,2,FALSE),"")</f>
        <v xml:space="preserve">Түмэндэлгэр </v>
      </c>
      <c r="N1076" s="807"/>
      <c r="O1076" s="80" t="str">
        <f>IFERROR(VLOOKUP(N1076,DATA!$K$4:$L$51,2,FALSE),"")</f>
        <v/>
      </c>
      <c r="P1076" s="80">
        <f t="shared" si="89"/>
        <v>1</v>
      </c>
      <c r="Q1076" s="154">
        <f t="shared" si="90"/>
        <v>1</v>
      </c>
    </row>
    <row r="1077" spans="2:17">
      <c r="B1077" s="627">
        <f t="shared" si="86"/>
        <v>1072</v>
      </c>
      <c r="C1077" s="429">
        <v>43327</v>
      </c>
      <c r="D1077" s="816" t="s">
        <v>2650</v>
      </c>
      <c r="E1077" s="807">
        <v>110100</v>
      </c>
      <c r="F1077" s="629" t="str">
        <f>IFERROR(VLOOKUP(E1077,STAT1!$C$4:$D$1000,2,FALSE),"")</f>
        <v>Хаан Банк 5024654020</v>
      </c>
      <c r="G1077" s="811"/>
      <c r="H1077" s="811">
        <v>778624</v>
      </c>
      <c r="I1077" s="580">
        <f t="shared" si="87"/>
        <v>-778624</v>
      </c>
      <c r="J1077" s="961">
        <f t="shared" si="88"/>
        <v>0</v>
      </c>
      <c r="K1077" s="80"/>
      <c r="L1077" s="807">
        <v>1004</v>
      </c>
      <c r="M1077" s="80" t="str">
        <f>+IFERROR(VLOOKUP(L1077,DATA!$G$4:$H$2000,2,FALSE),"")</f>
        <v xml:space="preserve">Түмэндэлгэр </v>
      </c>
      <c r="N1077" s="807">
        <v>51</v>
      </c>
      <c r="O1077" s="80" t="str">
        <f>IFERROR(VLOOKUP(N1077,DATA!$K$4:$L$51,2,FALSE),"")</f>
        <v>Ажиллагчдад төлсөн</v>
      </c>
      <c r="P1077" s="80">
        <f t="shared" si="89"/>
        <v>1</v>
      </c>
      <c r="Q1077" s="154">
        <f t="shared" si="90"/>
        <v>1</v>
      </c>
    </row>
    <row r="1078" spans="2:17">
      <c r="B1078" s="627">
        <f t="shared" si="86"/>
        <v>1073</v>
      </c>
      <c r="C1078" s="429">
        <v>43327</v>
      </c>
      <c r="D1078" s="816" t="s">
        <v>2650</v>
      </c>
      <c r="E1078" s="807">
        <v>310100</v>
      </c>
      <c r="F1078" s="629" t="str">
        <f>IFERROR(VLOOKUP(E1078,STAT1!$C$4:$D$1000,2,FALSE),"")</f>
        <v>Дансны өглөг MNT</v>
      </c>
      <c r="G1078" s="811">
        <v>778624</v>
      </c>
      <c r="H1078" s="811"/>
      <c r="I1078" s="580">
        <f t="shared" si="87"/>
        <v>0</v>
      </c>
      <c r="J1078" s="961">
        <f t="shared" si="88"/>
        <v>0</v>
      </c>
      <c r="K1078" s="80"/>
      <c r="L1078" s="807">
        <v>1004</v>
      </c>
      <c r="M1078" s="80" t="str">
        <f>+IFERROR(VLOOKUP(L1078,DATA!$G$4:$H$2000,2,FALSE),"")</f>
        <v xml:space="preserve">Түмэндэлгэр </v>
      </c>
      <c r="N1078" s="807"/>
      <c r="O1078" s="80" t="str">
        <f>IFERROR(VLOOKUP(N1078,DATA!$K$4:$L$51,2,FALSE),"")</f>
        <v/>
      </c>
      <c r="P1078" s="80">
        <f t="shared" si="89"/>
        <v>0</v>
      </c>
      <c r="Q1078" s="154">
        <f t="shared" si="90"/>
        <v>0</v>
      </c>
    </row>
    <row r="1079" spans="2:17">
      <c r="B1079" s="627">
        <f t="shared" si="86"/>
        <v>1074</v>
      </c>
      <c r="C1079" s="582">
        <v>43330</v>
      </c>
      <c r="D1079" s="815" t="s">
        <v>2659</v>
      </c>
      <c r="E1079" s="630">
        <v>100100</v>
      </c>
      <c r="F1079" s="629" t="str">
        <f>IFERROR(VLOOKUP(E1079,STAT1!$C$4:$D$1000,2,FALSE),"")</f>
        <v>Касс мөнгө MNT</v>
      </c>
      <c r="G1079" s="376"/>
      <c r="H1079" s="376">
        <v>35000</v>
      </c>
      <c r="I1079" s="580">
        <f t="shared" si="87"/>
        <v>-35000</v>
      </c>
      <c r="J1079" s="961">
        <f t="shared" si="88"/>
        <v>0</v>
      </c>
      <c r="K1079" s="80"/>
      <c r="L1079" s="630">
        <v>1008</v>
      </c>
      <c r="M1079" s="80" t="str">
        <f>+IFERROR(VLOOKUP(L1079,DATA!$G$4:$H$2000,2,FALSE),"")</f>
        <v xml:space="preserve">Оюунтүлхүүр </v>
      </c>
      <c r="N1079" s="630">
        <v>53</v>
      </c>
      <c r="O1079" s="80" t="str">
        <f>IFERROR(VLOOKUP(N1079,DATA!$K$4:$L$51,2,FALSE),"")</f>
        <v>Бараа материал худалдан авахад төлсөн</v>
      </c>
      <c r="P1079" s="80">
        <f t="shared" si="89"/>
        <v>1</v>
      </c>
      <c r="Q1079" s="154">
        <f t="shared" si="90"/>
        <v>1</v>
      </c>
    </row>
    <row r="1080" spans="2:17">
      <c r="B1080" s="627">
        <f t="shared" si="86"/>
        <v>1075</v>
      </c>
      <c r="C1080" s="582">
        <v>43330</v>
      </c>
      <c r="D1080" s="815" t="s">
        <v>2659</v>
      </c>
      <c r="E1080" s="630">
        <v>120600</v>
      </c>
      <c r="F1080" s="629" t="str">
        <f>IFERROR(VLOOKUP(E1080,STAT1!$C$4:$D$1000,2,FALSE),"")</f>
        <v>НӨАТ авлага</v>
      </c>
      <c r="G1080" s="376">
        <v>3181.81</v>
      </c>
      <c r="H1080" s="376"/>
      <c r="I1080" s="580">
        <f t="shared" si="87"/>
        <v>0</v>
      </c>
      <c r="J1080" s="961">
        <f t="shared" si="88"/>
        <v>0</v>
      </c>
      <c r="K1080" s="80"/>
      <c r="L1080" s="630">
        <v>1008</v>
      </c>
      <c r="M1080" s="80" t="str">
        <f>+IFERROR(VLOOKUP(L1080,DATA!$G$4:$H$2000,2,FALSE),"")</f>
        <v xml:space="preserve">Оюунтүлхүүр </v>
      </c>
      <c r="N1080" s="630"/>
      <c r="O1080" s="80" t="str">
        <f>IFERROR(VLOOKUP(N1080,DATA!$K$4:$L$51,2,FALSE),"")</f>
        <v/>
      </c>
      <c r="P1080" s="80">
        <f t="shared" si="89"/>
        <v>0</v>
      </c>
      <c r="Q1080" s="154">
        <f t="shared" si="90"/>
        <v>0</v>
      </c>
    </row>
    <row r="1081" spans="2:17">
      <c r="B1081" s="627">
        <f t="shared" si="86"/>
        <v>1076</v>
      </c>
      <c r="C1081" s="582">
        <v>43330</v>
      </c>
      <c r="D1081" s="815" t="s">
        <v>2659</v>
      </c>
      <c r="E1081" s="630">
        <v>141401</v>
      </c>
      <c r="F1081" s="629" t="str">
        <f>IFERROR(VLOOKUP(E1081,STAT1!$C$4:$D$1000,2,FALSE),"")</f>
        <v xml:space="preserve">ҮНЗардал БУСАД </v>
      </c>
      <c r="G1081" s="376">
        <f>35000-3181.81</f>
        <v>31818.19</v>
      </c>
      <c r="H1081" s="376"/>
      <c r="I1081" s="580">
        <f t="shared" si="87"/>
        <v>0</v>
      </c>
      <c r="J1081" s="961">
        <f t="shared" si="88"/>
        <v>0</v>
      </c>
      <c r="K1081" s="80"/>
      <c r="L1081" s="630">
        <v>1008</v>
      </c>
      <c r="M1081" s="80" t="str">
        <f>+IFERROR(VLOOKUP(L1081,DATA!$G$4:$H$2000,2,FALSE),"")</f>
        <v xml:space="preserve">Оюунтүлхүүр </v>
      </c>
      <c r="N1081" s="630"/>
      <c r="O1081" s="80" t="str">
        <f>IFERROR(VLOOKUP(N1081,DATA!$K$4:$L$51,2,FALSE),"")</f>
        <v/>
      </c>
      <c r="P1081" s="80">
        <f t="shared" si="89"/>
        <v>0</v>
      </c>
      <c r="Q1081" s="154">
        <f t="shared" si="90"/>
        <v>0</v>
      </c>
    </row>
    <row r="1082" spans="2:17">
      <c r="B1082" s="627">
        <f t="shared" si="86"/>
        <v>1077</v>
      </c>
      <c r="C1082" s="429">
        <v>43332</v>
      </c>
      <c r="D1082" s="816" t="s">
        <v>2379</v>
      </c>
      <c r="E1082" s="807">
        <v>110100</v>
      </c>
      <c r="F1082" s="629" t="str">
        <f>IFERROR(VLOOKUP(E1082,STAT1!$C$4:$D$1000,2,FALSE),"")</f>
        <v>Хаан Банк 5024654020</v>
      </c>
      <c r="G1082" s="811"/>
      <c r="H1082" s="811">
        <v>3756999</v>
      </c>
      <c r="I1082" s="580">
        <f t="shared" si="87"/>
        <v>-3756999</v>
      </c>
      <c r="J1082" s="961">
        <f t="shared" si="88"/>
        <v>0</v>
      </c>
      <c r="K1082" s="80"/>
      <c r="L1082" s="807">
        <v>2009</v>
      </c>
      <c r="M1082" s="80" t="str">
        <f>+IFERROR(VLOOKUP(L1082,DATA!$G$4:$H$2000,2,FALSE),"")</f>
        <v>ХААН БАНК</v>
      </c>
      <c r="N1082" s="807">
        <v>91</v>
      </c>
      <c r="O1082" s="80" t="str">
        <f>IFERROR(VLOOKUP(N1082,DATA!$K$4:$L$51,2,FALSE),"")</f>
        <v>Зээл, өрийн үнэт цаасны төлбөрт төлсөн</v>
      </c>
      <c r="P1082" s="80">
        <f t="shared" si="89"/>
        <v>1</v>
      </c>
      <c r="Q1082" s="154">
        <f t="shared" si="90"/>
        <v>1</v>
      </c>
    </row>
    <row r="1083" spans="2:17">
      <c r="B1083" s="627">
        <f t="shared" si="86"/>
        <v>1078</v>
      </c>
      <c r="C1083" s="429">
        <v>43332</v>
      </c>
      <c r="D1083" s="816" t="s">
        <v>2379</v>
      </c>
      <c r="E1083" s="807">
        <v>311100</v>
      </c>
      <c r="F1083" s="629" t="str">
        <f>IFERROR(VLOOKUP(E1083,STAT1!$C$4:$D$1000,2,FALSE),"")</f>
        <v xml:space="preserve">Бусад богино хугацаат өглөг </v>
      </c>
      <c r="G1083" s="811">
        <v>3756999</v>
      </c>
      <c r="H1083" s="811"/>
      <c r="I1083" s="580">
        <f t="shared" si="87"/>
        <v>0</v>
      </c>
      <c r="J1083" s="961">
        <f t="shared" si="88"/>
        <v>0</v>
      </c>
      <c r="K1083" s="80"/>
      <c r="L1083" s="807">
        <v>2009</v>
      </c>
      <c r="M1083" s="80" t="str">
        <f>+IFERROR(VLOOKUP(L1083,DATA!$G$4:$H$2000,2,FALSE),"")</f>
        <v>ХААН БАНК</v>
      </c>
      <c r="N1083" s="807"/>
      <c r="O1083" s="80" t="str">
        <f>IFERROR(VLOOKUP(N1083,DATA!$K$4:$L$51,2,FALSE),"")</f>
        <v/>
      </c>
      <c r="P1083" s="80">
        <f t="shared" si="89"/>
        <v>0</v>
      </c>
      <c r="Q1083" s="154">
        <f t="shared" si="90"/>
        <v>0</v>
      </c>
    </row>
    <row r="1084" spans="2:17">
      <c r="B1084" s="627">
        <f t="shared" si="86"/>
        <v>1079</v>
      </c>
      <c r="C1084" s="429">
        <v>43332</v>
      </c>
      <c r="D1084" s="816" t="s">
        <v>2379</v>
      </c>
      <c r="E1084" s="807">
        <v>110100</v>
      </c>
      <c r="F1084" s="629" t="str">
        <f>IFERROR(VLOOKUP(E1084,STAT1!$C$4:$D$1000,2,FALSE),"")</f>
        <v>Хаан Банк 5024654020</v>
      </c>
      <c r="G1084" s="811"/>
      <c r="H1084" s="811">
        <v>822896.61000000034</v>
      </c>
      <c r="I1084" s="580">
        <f t="shared" si="87"/>
        <v>-822896.61000000034</v>
      </c>
      <c r="J1084" s="961">
        <f t="shared" si="88"/>
        <v>0</v>
      </c>
      <c r="K1084" s="80"/>
      <c r="L1084" s="807">
        <v>2009</v>
      </c>
      <c r="M1084" s="80" t="str">
        <f>+IFERROR(VLOOKUP(L1084,DATA!$G$4:$H$2000,2,FALSE),"")</f>
        <v>ХААН БАНК</v>
      </c>
      <c r="N1084" s="807">
        <v>56</v>
      </c>
      <c r="O1084" s="80" t="str">
        <f>IFERROR(VLOOKUP(N1084,DATA!$K$4:$L$51,2,FALSE),"")</f>
        <v>Хүүний төлбөрт төлсөн</v>
      </c>
      <c r="P1084" s="80">
        <f t="shared" si="89"/>
        <v>1</v>
      </c>
      <c r="Q1084" s="154">
        <f t="shared" si="90"/>
        <v>1</v>
      </c>
    </row>
    <row r="1085" spans="2:17">
      <c r="B1085" s="627">
        <f t="shared" si="86"/>
        <v>1080</v>
      </c>
      <c r="C1085" s="429">
        <v>43332</v>
      </c>
      <c r="D1085" s="816" t="s">
        <v>2379</v>
      </c>
      <c r="E1085" s="807">
        <v>702500</v>
      </c>
      <c r="F1085" s="629" t="str">
        <f>IFERROR(VLOOKUP(E1085,STAT1!$C$4:$D$1000,2,FALSE),"")</f>
        <v>Зээлийн хүүгийн зардал</v>
      </c>
      <c r="G1085" s="811">
        <v>822896.61000000034</v>
      </c>
      <c r="H1085" s="811"/>
      <c r="I1085" s="580">
        <f t="shared" si="87"/>
        <v>0</v>
      </c>
      <c r="J1085" s="961">
        <f t="shared" si="88"/>
        <v>0</v>
      </c>
      <c r="K1085" s="80"/>
      <c r="L1085" s="807">
        <v>2009</v>
      </c>
      <c r="M1085" s="80" t="str">
        <f>+IFERROR(VLOOKUP(L1085,DATA!$G$4:$H$2000,2,FALSE),"")</f>
        <v>ХААН БАНК</v>
      </c>
      <c r="N1085" s="807"/>
      <c r="O1085" s="80" t="str">
        <f>IFERROR(VLOOKUP(N1085,DATA!$K$4:$L$51,2,FALSE),"")</f>
        <v/>
      </c>
      <c r="P1085" s="80">
        <f t="shared" si="89"/>
        <v>0</v>
      </c>
      <c r="Q1085" s="154">
        <f t="shared" si="90"/>
        <v>0</v>
      </c>
    </row>
    <row r="1086" spans="2:17">
      <c r="B1086" s="627">
        <f t="shared" si="86"/>
        <v>1081</v>
      </c>
      <c r="C1086" s="429">
        <v>43332</v>
      </c>
      <c r="D1086" s="816" t="s">
        <v>1570</v>
      </c>
      <c r="E1086" s="807">
        <v>100100</v>
      </c>
      <c r="F1086" s="629" t="str">
        <f>IFERROR(VLOOKUP(E1086,STAT1!$C$4:$D$1000,2,FALSE),"")</f>
        <v>Касс мөнгө MNT</v>
      </c>
      <c r="G1086" s="811"/>
      <c r="H1086" s="811">
        <v>20000</v>
      </c>
      <c r="I1086" s="580">
        <f t="shared" si="87"/>
        <v>-20000</v>
      </c>
      <c r="J1086" s="961">
        <f t="shared" si="88"/>
        <v>0</v>
      </c>
      <c r="K1086" s="80"/>
      <c r="L1086" s="807">
        <v>1008</v>
      </c>
      <c r="M1086" s="80" t="str">
        <f>+IFERROR(VLOOKUP(L1086,DATA!$G$4:$H$2000,2,FALSE),"")</f>
        <v xml:space="preserve">Оюунтүлхүүр </v>
      </c>
      <c r="N1086" s="807">
        <v>55</v>
      </c>
      <c r="O1086" s="80" t="str">
        <f>IFERROR(VLOOKUP(N1086,DATA!$K$4:$L$51,2,FALSE),"")</f>
        <v>Түлш, шатахуун, тээврийн хөлс, сэлбэг хэрэгсэлд төлсөн</v>
      </c>
      <c r="P1086" s="80">
        <f t="shared" si="89"/>
        <v>1</v>
      </c>
      <c r="Q1086" s="154">
        <f t="shared" si="90"/>
        <v>1</v>
      </c>
    </row>
    <row r="1087" spans="2:17">
      <c r="B1087" s="627">
        <f t="shared" si="86"/>
        <v>1082</v>
      </c>
      <c r="C1087" s="429">
        <v>43332</v>
      </c>
      <c r="D1087" s="816" t="s">
        <v>1570</v>
      </c>
      <c r="E1087" s="807">
        <v>120600</v>
      </c>
      <c r="F1087" s="629" t="str">
        <f>IFERROR(VLOOKUP(E1087,STAT1!$C$4:$D$1000,2,FALSE),"")</f>
        <v>НӨАТ авлага</v>
      </c>
      <c r="G1087" s="811">
        <v>1818.18</v>
      </c>
      <c r="H1087" s="811"/>
      <c r="I1087" s="580">
        <f t="shared" si="87"/>
        <v>0</v>
      </c>
      <c r="J1087" s="961">
        <f t="shared" si="88"/>
        <v>0</v>
      </c>
      <c r="K1087" s="80"/>
      <c r="L1087" s="807">
        <v>1008</v>
      </c>
      <c r="M1087" s="80" t="str">
        <f>+IFERROR(VLOOKUP(L1087,DATA!$G$4:$H$2000,2,FALSE),"")</f>
        <v xml:space="preserve">Оюунтүлхүүр </v>
      </c>
      <c r="N1087" s="807"/>
      <c r="O1087" s="80" t="str">
        <f>IFERROR(VLOOKUP(N1087,DATA!$K$4:$L$51,2,FALSE),"")</f>
        <v/>
      </c>
      <c r="P1087" s="80">
        <f t="shared" si="89"/>
        <v>0</v>
      </c>
      <c r="Q1087" s="154">
        <f t="shared" si="90"/>
        <v>0</v>
      </c>
    </row>
    <row r="1088" spans="2:17">
      <c r="B1088" s="627">
        <f t="shared" si="86"/>
        <v>1083</v>
      </c>
      <c r="C1088" s="429">
        <v>43332</v>
      </c>
      <c r="D1088" s="816" t="s">
        <v>1570</v>
      </c>
      <c r="E1088" s="807">
        <v>702000</v>
      </c>
      <c r="F1088" s="629" t="str">
        <f>IFERROR(VLOOKUP(E1088,STAT1!$C$4:$D$1000,2,FALSE),"")</f>
        <v>Түлш, шатахуун</v>
      </c>
      <c r="G1088" s="811">
        <f>20000-1818.18</f>
        <v>18181.82</v>
      </c>
      <c r="H1088" s="811"/>
      <c r="I1088" s="580">
        <f t="shared" si="87"/>
        <v>0</v>
      </c>
      <c r="J1088" s="961">
        <f t="shared" si="88"/>
        <v>0</v>
      </c>
      <c r="K1088" s="80"/>
      <c r="L1088" s="807">
        <v>1008</v>
      </c>
      <c r="M1088" s="80" t="str">
        <f>+IFERROR(VLOOKUP(L1088,DATA!$G$4:$H$2000,2,FALSE),"")</f>
        <v xml:space="preserve">Оюунтүлхүүр </v>
      </c>
      <c r="N1088" s="807"/>
      <c r="O1088" s="80" t="str">
        <f>IFERROR(VLOOKUP(N1088,DATA!$K$4:$L$51,2,FALSE),"")</f>
        <v/>
      </c>
      <c r="P1088" s="80">
        <f t="shared" si="89"/>
        <v>0</v>
      </c>
      <c r="Q1088" s="154">
        <f t="shared" si="90"/>
        <v>0</v>
      </c>
    </row>
    <row r="1089" spans="2:17">
      <c r="B1089" s="627">
        <f t="shared" si="86"/>
        <v>1084</v>
      </c>
      <c r="C1089" s="429">
        <v>43332</v>
      </c>
      <c r="D1089" s="816" t="s">
        <v>2654</v>
      </c>
      <c r="E1089" s="807">
        <v>100100</v>
      </c>
      <c r="F1089" s="629" t="str">
        <f>IFERROR(VLOOKUP(E1089,STAT1!$C$4:$D$1000,2,FALSE),"")</f>
        <v>Касс мөнгө MNT</v>
      </c>
      <c r="G1089" s="811"/>
      <c r="H1089" s="811">
        <v>60500</v>
      </c>
      <c r="I1089" s="580">
        <f t="shared" si="87"/>
        <v>-60500</v>
      </c>
      <c r="J1089" s="961">
        <f t="shared" si="88"/>
        <v>0</v>
      </c>
      <c r="K1089" s="80"/>
      <c r="L1089" s="807">
        <v>1008</v>
      </c>
      <c r="M1089" s="80" t="str">
        <f>+IFERROR(VLOOKUP(L1089,DATA!$G$4:$H$2000,2,FALSE),"")</f>
        <v xml:space="preserve">Оюунтүлхүүр </v>
      </c>
      <c r="N1089" s="807">
        <v>53</v>
      </c>
      <c r="O1089" s="80" t="str">
        <f>IFERROR(VLOOKUP(N1089,DATA!$K$4:$L$51,2,FALSE),"")</f>
        <v>Бараа материал худалдан авахад төлсөн</v>
      </c>
      <c r="P1089" s="80">
        <f t="shared" si="89"/>
        <v>1</v>
      </c>
      <c r="Q1089" s="154">
        <f t="shared" si="90"/>
        <v>1</v>
      </c>
    </row>
    <row r="1090" spans="2:17">
      <c r="B1090" s="627">
        <f t="shared" si="86"/>
        <v>1085</v>
      </c>
      <c r="C1090" s="429">
        <v>43332</v>
      </c>
      <c r="D1090" s="816" t="s">
        <v>2654</v>
      </c>
      <c r="E1090" s="807">
        <v>121200</v>
      </c>
      <c r="F1090" s="629" t="str">
        <f>IFERROR(VLOOKUP(E1090,STAT1!$C$4:$D$1000,2,FALSE),"")</f>
        <v xml:space="preserve">Ажилчидын дараа тайлангийн тооцоо </v>
      </c>
      <c r="G1090" s="811">
        <v>60500</v>
      </c>
      <c r="H1090" s="811"/>
      <c r="I1090" s="580">
        <f t="shared" si="87"/>
        <v>0</v>
      </c>
      <c r="J1090" s="961">
        <f t="shared" si="88"/>
        <v>0</v>
      </c>
      <c r="K1090" s="80"/>
      <c r="L1090" s="807">
        <v>1008</v>
      </c>
      <c r="M1090" s="80" t="str">
        <f>+IFERROR(VLOOKUP(L1090,DATA!$G$4:$H$2000,2,FALSE),"")</f>
        <v xml:space="preserve">Оюунтүлхүүр </v>
      </c>
      <c r="N1090" s="807"/>
      <c r="O1090" s="80" t="str">
        <f>IFERROR(VLOOKUP(N1090,DATA!$K$4:$L$51,2,FALSE),"")</f>
        <v/>
      </c>
      <c r="P1090" s="80">
        <f t="shared" si="89"/>
        <v>0</v>
      </c>
      <c r="Q1090" s="154">
        <f t="shared" si="90"/>
        <v>0</v>
      </c>
    </row>
    <row r="1091" spans="2:17">
      <c r="B1091" s="627">
        <f t="shared" si="86"/>
        <v>1086</v>
      </c>
      <c r="C1091" s="429">
        <v>43332</v>
      </c>
      <c r="D1091" s="816" t="s">
        <v>2534</v>
      </c>
      <c r="E1091" s="807">
        <v>100100</v>
      </c>
      <c r="F1091" s="629" t="str">
        <f>IFERROR(VLOOKUP(E1091,STAT1!$C$4:$D$1000,2,FALSE),"")</f>
        <v>Касс мөнгө MNT</v>
      </c>
      <c r="G1091" s="811"/>
      <c r="H1091" s="811">
        <v>1500000</v>
      </c>
      <c r="I1091" s="580">
        <f t="shared" si="87"/>
        <v>-1500000</v>
      </c>
      <c r="J1091" s="961">
        <f t="shared" si="88"/>
        <v>0</v>
      </c>
      <c r="K1091" s="80"/>
      <c r="L1091" s="807">
        <v>2012</v>
      </c>
      <c r="M1091" s="80" t="str">
        <f>+IFERROR(VLOOKUP(L1091,DATA!$G$4:$H$2000,2,FALSE),"")</f>
        <v>ИХ ТУГЧ ХХК</v>
      </c>
      <c r="N1091" s="807">
        <v>59</v>
      </c>
      <c r="O1091" s="80" t="str">
        <f>IFERROR(VLOOKUP(N1091,DATA!$K$4:$L$51,2,FALSE),"")</f>
        <v>Бусад мөнгөн зарлага</v>
      </c>
      <c r="P1091" s="80">
        <f t="shared" si="89"/>
        <v>1</v>
      </c>
      <c r="Q1091" s="154">
        <f t="shared" si="90"/>
        <v>1</v>
      </c>
    </row>
    <row r="1092" spans="2:17">
      <c r="B1092" s="627">
        <f t="shared" si="86"/>
        <v>1087</v>
      </c>
      <c r="C1092" s="429">
        <v>43332</v>
      </c>
      <c r="D1092" s="816" t="s">
        <v>2534</v>
      </c>
      <c r="E1092" s="807">
        <v>705800</v>
      </c>
      <c r="F1092" s="629" t="str">
        <f>IFERROR(VLOOKUP(E1092,STAT1!$C$4:$D$1000,2,FALSE),"")</f>
        <v>Харуул хамгаалалт</v>
      </c>
      <c r="G1092" s="811">
        <v>1500000</v>
      </c>
      <c r="H1092" s="811"/>
      <c r="I1092" s="580">
        <f t="shared" si="87"/>
        <v>0</v>
      </c>
      <c r="J1092" s="961">
        <f t="shared" si="88"/>
        <v>0</v>
      </c>
      <c r="K1092" s="80"/>
      <c r="L1092" s="807">
        <v>2012</v>
      </c>
      <c r="M1092" s="80" t="str">
        <f>+IFERROR(VLOOKUP(L1092,DATA!$G$4:$H$2000,2,FALSE),"")</f>
        <v>ИХ ТУГЧ ХХК</v>
      </c>
      <c r="N1092" s="807"/>
      <c r="O1092" s="80" t="str">
        <f>IFERROR(VLOOKUP(N1092,DATA!$K$4:$L$51,2,FALSE),"")</f>
        <v/>
      </c>
      <c r="P1092" s="80">
        <f t="shared" si="89"/>
        <v>0</v>
      </c>
      <c r="Q1092" s="154">
        <f t="shared" si="90"/>
        <v>0</v>
      </c>
    </row>
    <row r="1093" spans="2:17">
      <c r="B1093" s="627">
        <f t="shared" si="86"/>
        <v>1088</v>
      </c>
      <c r="C1093" s="429">
        <v>43332</v>
      </c>
      <c r="D1093" s="816" t="s">
        <v>2665</v>
      </c>
      <c r="E1093" s="807">
        <v>160100</v>
      </c>
      <c r="F1093" s="629" t="str">
        <f>IFERROR(VLOOKUP(E1093,STAT1!$C$4:$D$1000,2,FALSE),"")</f>
        <v xml:space="preserve">Барилгын материал </v>
      </c>
      <c r="G1093" s="811">
        <v>55000</v>
      </c>
      <c r="H1093" s="811"/>
      <c r="I1093" s="580">
        <f t="shared" si="87"/>
        <v>0</v>
      </c>
      <c r="J1093" s="961">
        <f t="shared" si="88"/>
        <v>0</v>
      </c>
      <c r="K1093" s="80"/>
      <c r="L1093" s="807">
        <v>1008</v>
      </c>
      <c r="M1093" s="80" t="str">
        <f>+IFERROR(VLOOKUP(L1093,DATA!$G$4:$H$2000,2,FALSE),"")</f>
        <v xml:space="preserve">Оюунтүлхүүр </v>
      </c>
      <c r="N1093" s="807"/>
      <c r="O1093" s="80" t="str">
        <f>IFERROR(VLOOKUP(N1093,DATA!$K$4:$L$51,2,FALSE),"")</f>
        <v/>
      </c>
      <c r="P1093" s="80">
        <f t="shared" si="89"/>
        <v>0</v>
      </c>
      <c r="Q1093" s="154">
        <f t="shared" si="90"/>
        <v>0</v>
      </c>
    </row>
    <row r="1094" spans="2:17">
      <c r="B1094" s="627">
        <f t="shared" ref="B1094:B1157" si="91">+IF(C1094="","",ROW()-5)</f>
        <v>1089</v>
      </c>
      <c r="C1094" s="429">
        <v>43332</v>
      </c>
      <c r="D1094" s="816" t="s">
        <v>2665</v>
      </c>
      <c r="E1094" s="807">
        <v>120600</v>
      </c>
      <c r="F1094" s="629" t="str">
        <f>IFERROR(VLOOKUP(E1094,STAT1!$C$4:$D$1000,2,FALSE),"")</f>
        <v>НӨАТ авлага</v>
      </c>
      <c r="G1094" s="811">
        <v>5500</v>
      </c>
      <c r="H1094" s="811"/>
      <c r="I1094" s="580">
        <f t="shared" si="87"/>
        <v>0</v>
      </c>
      <c r="J1094" s="961">
        <f t="shared" si="88"/>
        <v>0</v>
      </c>
      <c r="K1094" s="80"/>
      <c r="L1094" s="807">
        <v>1008</v>
      </c>
      <c r="M1094" s="80" t="str">
        <f>+IFERROR(VLOOKUP(L1094,DATA!$G$4:$H$2000,2,FALSE),"")</f>
        <v xml:space="preserve">Оюунтүлхүүр </v>
      </c>
      <c r="N1094" s="807"/>
      <c r="O1094" s="80" t="str">
        <f>IFERROR(VLOOKUP(N1094,DATA!$K$4:$L$51,2,FALSE),"")</f>
        <v/>
      </c>
      <c r="P1094" s="80">
        <f t="shared" si="89"/>
        <v>0</v>
      </c>
      <c r="Q1094" s="154">
        <f t="shared" si="90"/>
        <v>0</v>
      </c>
    </row>
    <row r="1095" spans="2:17">
      <c r="B1095" s="627">
        <f t="shared" si="91"/>
        <v>1090</v>
      </c>
      <c r="C1095" s="429">
        <v>43332</v>
      </c>
      <c r="D1095" s="816" t="s">
        <v>2665</v>
      </c>
      <c r="E1095" s="807">
        <v>121200</v>
      </c>
      <c r="F1095" s="629" t="str">
        <f>IFERROR(VLOOKUP(E1095,STAT1!$C$4:$D$1000,2,FALSE),"")</f>
        <v xml:space="preserve">Ажилчидын дараа тайлангийн тооцоо </v>
      </c>
      <c r="G1095" s="811"/>
      <c r="H1095" s="811">
        <v>60500</v>
      </c>
      <c r="I1095" s="580">
        <f t="shared" si="87"/>
        <v>0</v>
      </c>
      <c r="J1095" s="961">
        <f t="shared" si="88"/>
        <v>0</v>
      </c>
      <c r="K1095" s="80"/>
      <c r="L1095" s="807">
        <v>1008</v>
      </c>
      <c r="M1095" s="80" t="str">
        <f>+IFERROR(VLOOKUP(L1095,DATA!$G$4:$H$2000,2,FALSE),"")</f>
        <v xml:space="preserve">Оюунтүлхүүр </v>
      </c>
      <c r="N1095" s="807"/>
      <c r="O1095" s="80" t="str">
        <f>IFERROR(VLOOKUP(N1095,DATA!$K$4:$L$51,2,FALSE),"")</f>
        <v/>
      </c>
      <c r="P1095" s="80">
        <f t="shared" si="89"/>
        <v>0</v>
      </c>
      <c r="Q1095" s="154">
        <f t="shared" si="90"/>
        <v>0</v>
      </c>
    </row>
    <row r="1096" spans="2:17">
      <c r="B1096" s="627">
        <f t="shared" si="91"/>
        <v>1091</v>
      </c>
      <c r="C1096" s="429">
        <v>43332</v>
      </c>
      <c r="D1096" s="816" t="s">
        <v>2665</v>
      </c>
      <c r="E1096" s="807">
        <v>160100</v>
      </c>
      <c r="F1096" s="629" t="str">
        <f>IFERROR(VLOOKUP(E1096,STAT1!$C$4:$D$1000,2,FALSE),"")</f>
        <v xml:space="preserve">Барилгын материал </v>
      </c>
      <c r="G1096" s="811">
        <v>217454.55</v>
      </c>
      <c r="H1096" s="811"/>
      <c r="I1096" s="580">
        <f t="shared" si="87"/>
        <v>0</v>
      </c>
      <c r="J1096" s="961">
        <f t="shared" si="88"/>
        <v>0</v>
      </c>
      <c r="K1096" s="80"/>
      <c r="L1096" s="807">
        <v>1008</v>
      </c>
      <c r="M1096" s="80" t="str">
        <f>+IFERROR(VLOOKUP(L1096,DATA!$G$4:$H$2000,2,FALSE),"")</f>
        <v xml:space="preserve">Оюунтүлхүүр </v>
      </c>
      <c r="N1096" s="807"/>
      <c r="O1096" s="80" t="str">
        <f>IFERROR(VLOOKUP(N1096,DATA!$K$4:$L$51,2,FALSE),"")</f>
        <v/>
      </c>
      <c r="P1096" s="80">
        <f t="shared" si="89"/>
        <v>0</v>
      </c>
      <c r="Q1096" s="154">
        <f t="shared" si="90"/>
        <v>0</v>
      </c>
    </row>
    <row r="1097" spans="2:17">
      <c r="B1097" s="627">
        <f t="shared" si="91"/>
        <v>1092</v>
      </c>
      <c r="C1097" s="429">
        <v>43332</v>
      </c>
      <c r="D1097" s="816" t="s">
        <v>2665</v>
      </c>
      <c r="E1097" s="807">
        <v>120600</v>
      </c>
      <c r="F1097" s="629" t="str">
        <f>IFERROR(VLOOKUP(E1097,STAT1!$C$4:$D$1000,2,FALSE),"")</f>
        <v>НӨАТ авлага</v>
      </c>
      <c r="G1097" s="811">
        <v>21745.45</v>
      </c>
      <c r="H1097" s="811"/>
      <c r="I1097" s="580">
        <f t="shared" si="87"/>
        <v>0</v>
      </c>
      <c r="J1097" s="961">
        <f t="shared" si="88"/>
        <v>0</v>
      </c>
      <c r="K1097" s="80"/>
      <c r="L1097" s="807">
        <v>1008</v>
      </c>
      <c r="M1097" s="80" t="str">
        <f>+IFERROR(VLOOKUP(L1097,DATA!$G$4:$H$2000,2,FALSE),"")</f>
        <v xml:space="preserve">Оюунтүлхүүр </v>
      </c>
      <c r="N1097" s="807"/>
      <c r="O1097" s="80" t="str">
        <f>IFERROR(VLOOKUP(N1097,DATA!$K$4:$L$51,2,FALSE),"")</f>
        <v/>
      </c>
      <c r="P1097" s="80">
        <f t="shared" si="89"/>
        <v>0</v>
      </c>
      <c r="Q1097" s="154">
        <f t="shared" si="90"/>
        <v>0</v>
      </c>
    </row>
    <row r="1098" spans="2:17">
      <c r="B1098" s="627">
        <f t="shared" si="91"/>
        <v>1093</v>
      </c>
      <c r="C1098" s="582">
        <v>43332</v>
      </c>
      <c r="D1098" s="816" t="s">
        <v>2665</v>
      </c>
      <c r="E1098" s="630">
        <v>121200</v>
      </c>
      <c r="F1098" s="629" t="str">
        <f>IFERROR(VLOOKUP(E1098,STAT1!$C$4:$D$1000,2,FALSE),"")</f>
        <v xml:space="preserve">Ажилчидын дараа тайлангийн тооцоо </v>
      </c>
      <c r="G1098" s="376"/>
      <c r="H1098" s="376">
        <v>239200</v>
      </c>
      <c r="I1098" s="580">
        <f t="shared" si="87"/>
        <v>0</v>
      </c>
      <c r="J1098" s="961">
        <f t="shared" si="88"/>
        <v>0</v>
      </c>
      <c r="K1098" s="80"/>
      <c r="L1098" s="630">
        <v>1008</v>
      </c>
      <c r="M1098" s="80" t="str">
        <f>+IFERROR(VLOOKUP(L1098,DATA!$G$4:$H$2000,2,FALSE),"")</f>
        <v xml:space="preserve">Оюунтүлхүүр </v>
      </c>
      <c r="N1098" s="630"/>
      <c r="O1098" s="80" t="str">
        <f>IFERROR(VLOOKUP(N1098,DATA!$K$4:$L$51,2,FALSE),"")</f>
        <v/>
      </c>
      <c r="P1098" s="80">
        <f t="shared" si="89"/>
        <v>0</v>
      </c>
      <c r="Q1098" s="154">
        <f t="shared" si="90"/>
        <v>0</v>
      </c>
    </row>
    <row r="1099" spans="2:17">
      <c r="B1099" s="627">
        <f t="shared" si="91"/>
        <v>1094</v>
      </c>
      <c r="C1099" s="429">
        <v>43334</v>
      </c>
      <c r="D1099" s="815" t="s">
        <v>1571</v>
      </c>
      <c r="E1099" s="630">
        <v>110100</v>
      </c>
      <c r="F1099" s="629" t="str">
        <f>IFERROR(VLOOKUP(E1099,STAT1!$C$4:$D$1000,2,FALSE),"")</f>
        <v>Хаан Банк 5024654020</v>
      </c>
      <c r="G1099" s="376">
        <v>49500</v>
      </c>
      <c r="H1099" s="376"/>
      <c r="I1099" s="580">
        <f t="shared" si="87"/>
        <v>49500</v>
      </c>
      <c r="J1099" s="961">
        <f t="shared" si="88"/>
        <v>0</v>
      </c>
      <c r="K1099" s="80"/>
      <c r="L1099" s="630">
        <v>3006</v>
      </c>
      <c r="M1099" s="80" t="str">
        <f>+IFERROR(VLOOKUP(L1099,DATA!$G$4:$H$2000,2,FALSE),"")</f>
        <v xml:space="preserve">ПАЙОНЕРИНГ ИНТЕРНЭШНЛ ХХК </v>
      </c>
      <c r="N1099" s="630">
        <v>41</v>
      </c>
      <c r="O1099" s="80" t="str">
        <f>IFERROR(VLOOKUP(N1099,DATA!$K$4:$L$51,2,FALSE),"")</f>
        <v>Бараа борлуулсан, үйлчилгээ үзүүлсэний орлого</v>
      </c>
      <c r="P1099" s="80">
        <f t="shared" si="89"/>
        <v>1</v>
      </c>
      <c r="Q1099" s="154">
        <f t="shared" si="90"/>
        <v>1</v>
      </c>
    </row>
    <row r="1100" spans="2:17">
      <c r="B1100" s="627">
        <f t="shared" si="91"/>
        <v>1095</v>
      </c>
      <c r="C1100" s="429">
        <v>43334</v>
      </c>
      <c r="D1100" s="815" t="s">
        <v>1571</v>
      </c>
      <c r="E1100" s="630">
        <v>320100</v>
      </c>
      <c r="F1100" s="629" t="str">
        <f>IFERROR(VLOOKUP(E1100,STAT1!$C$4:$D$1000,2,FALSE),"")</f>
        <v>Урьдчилж орсон орлого MNT</v>
      </c>
      <c r="G1100" s="376"/>
      <c r="H1100" s="376">
        <v>49500</v>
      </c>
      <c r="I1100" s="580">
        <f t="shared" si="87"/>
        <v>0</v>
      </c>
      <c r="J1100" s="961">
        <f t="shared" si="88"/>
        <v>0</v>
      </c>
      <c r="K1100" s="80"/>
      <c r="L1100" s="630">
        <v>3006</v>
      </c>
      <c r="M1100" s="80" t="str">
        <f>+IFERROR(VLOOKUP(L1100,DATA!$G$4:$H$2000,2,FALSE),"")</f>
        <v xml:space="preserve">ПАЙОНЕРИНГ ИНТЕРНЭШНЛ ХХК </v>
      </c>
      <c r="N1100" s="630"/>
      <c r="O1100" s="80" t="str">
        <f>IFERROR(VLOOKUP(N1100,DATA!$K$4:$L$51,2,FALSE),"")</f>
        <v/>
      </c>
      <c r="P1100" s="80">
        <f t="shared" si="89"/>
        <v>0</v>
      </c>
      <c r="Q1100" s="154">
        <f t="shared" si="90"/>
        <v>0</v>
      </c>
    </row>
    <row r="1101" spans="2:17">
      <c r="B1101" s="627">
        <f t="shared" si="91"/>
        <v>1096</v>
      </c>
      <c r="C1101" s="429">
        <v>43334</v>
      </c>
      <c r="D1101" s="815" t="s">
        <v>1571</v>
      </c>
      <c r="E1101" s="630">
        <v>110100</v>
      </c>
      <c r="F1101" s="629" t="str">
        <f>IFERROR(VLOOKUP(E1101,STAT1!$C$4:$D$1000,2,FALSE),"")</f>
        <v>Хаан Банк 5024654020</v>
      </c>
      <c r="G1101" s="376">
        <v>16500</v>
      </c>
      <c r="H1101" s="376"/>
      <c r="I1101" s="580">
        <f t="shared" si="87"/>
        <v>16500</v>
      </c>
      <c r="J1101" s="961">
        <f t="shared" si="88"/>
        <v>0</v>
      </c>
      <c r="K1101" s="80"/>
      <c r="L1101" s="630">
        <v>3006</v>
      </c>
      <c r="M1101" s="80" t="str">
        <f>+IFERROR(VLOOKUP(L1101,DATA!$G$4:$H$2000,2,FALSE),"")</f>
        <v xml:space="preserve">ПАЙОНЕРИНГ ИНТЕРНЭШНЛ ХХК </v>
      </c>
      <c r="N1101" s="630">
        <v>41</v>
      </c>
      <c r="O1101" s="80" t="str">
        <f>IFERROR(VLOOKUP(N1101,DATA!$K$4:$L$51,2,FALSE),"")</f>
        <v>Бараа борлуулсан, үйлчилгээ үзүүлсэний орлого</v>
      </c>
      <c r="P1101" s="80">
        <f t="shared" si="89"/>
        <v>1</v>
      </c>
      <c r="Q1101" s="154">
        <f t="shared" si="90"/>
        <v>1</v>
      </c>
    </row>
    <row r="1102" spans="2:17">
      <c r="B1102" s="627">
        <f t="shared" si="91"/>
        <v>1097</v>
      </c>
      <c r="C1102" s="429">
        <v>43334</v>
      </c>
      <c r="D1102" s="815" t="s">
        <v>1571</v>
      </c>
      <c r="E1102" s="630">
        <v>320100</v>
      </c>
      <c r="F1102" s="629" t="str">
        <f>IFERROR(VLOOKUP(E1102,STAT1!$C$4:$D$1000,2,FALSE),"")</f>
        <v>Урьдчилж орсон орлого MNT</v>
      </c>
      <c r="G1102" s="376"/>
      <c r="H1102" s="376">
        <v>16500</v>
      </c>
      <c r="I1102" s="580">
        <f t="shared" si="87"/>
        <v>0</v>
      </c>
      <c r="J1102" s="961">
        <f t="shared" si="88"/>
        <v>0</v>
      </c>
      <c r="K1102" s="80"/>
      <c r="L1102" s="630">
        <v>3006</v>
      </c>
      <c r="M1102" s="80" t="str">
        <f>+IFERROR(VLOOKUP(L1102,DATA!$G$4:$H$2000,2,FALSE),"")</f>
        <v xml:space="preserve">ПАЙОНЕРИНГ ИНТЕРНЭШНЛ ХХК </v>
      </c>
      <c r="N1102" s="630"/>
      <c r="O1102" s="80" t="str">
        <f>IFERROR(VLOOKUP(N1102,DATA!$K$4:$L$51,2,FALSE),"")</f>
        <v/>
      </c>
      <c r="P1102" s="80">
        <f t="shared" si="89"/>
        <v>0</v>
      </c>
      <c r="Q1102" s="154">
        <f t="shared" si="90"/>
        <v>0</v>
      </c>
    </row>
    <row r="1103" spans="2:17">
      <c r="B1103" s="627">
        <f t="shared" si="91"/>
        <v>1098</v>
      </c>
      <c r="C1103" s="429">
        <v>43335</v>
      </c>
      <c r="D1103" s="816" t="s">
        <v>2653</v>
      </c>
      <c r="E1103" s="807">
        <v>100100</v>
      </c>
      <c r="F1103" s="629" t="str">
        <f>IFERROR(VLOOKUP(E1103,STAT1!$C$4:$D$1000,2,FALSE),"")</f>
        <v>Касс мөнгө MNT</v>
      </c>
      <c r="G1103" s="811"/>
      <c r="H1103" s="811">
        <v>21824</v>
      </c>
      <c r="I1103" s="580">
        <f t="shared" ref="I1103:I1166" si="92">+IF(OR(E1103=100100,E1103=100200,E1103=110100,E1103=110102,E1103=110103,E1103=110104,E1103=110105,E1103=110200,E1103=110201,E1103=110202,E1103=110203,E1103=110204,E1103=110300),G1103,0)+IF(OR(E1103=100100,E1103=100200,E1103=110100,E1103=110102,E1103=110103,E1103=110104,E1103=110105,E1103=110200,E1103=110201,E1103=110202,E1103=110203,E1103=110204,E1103=110300),H1103*-1,0)</f>
        <v>-21824</v>
      </c>
      <c r="J1103" s="961">
        <f t="shared" ref="J1103:J1166" si="93">+IF(E1103=110102,I1103/K1103,0)</f>
        <v>0</v>
      </c>
      <c r="K1103" s="80"/>
      <c r="L1103" s="807">
        <v>1008</v>
      </c>
      <c r="M1103" s="80" t="str">
        <f>+IFERROR(VLOOKUP(L1103,DATA!$G$4:$H$2000,2,FALSE),"")</f>
        <v xml:space="preserve">Оюунтүлхүүр </v>
      </c>
      <c r="N1103" s="807">
        <v>53</v>
      </c>
      <c r="O1103" s="80" t="str">
        <f>IFERROR(VLOOKUP(N1103,DATA!$K$4:$L$51,2,FALSE),"")</f>
        <v>Бараа материал худалдан авахад төлсөн</v>
      </c>
      <c r="P1103" s="80">
        <f t="shared" si="89"/>
        <v>1</v>
      </c>
      <c r="Q1103" s="154">
        <f t="shared" si="90"/>
        <v>1</v>
      </c>
    </row>
    <row r="1104" spans="2:17">
      <c r="B1104" s="627">
        <f t="shared" si="91"/>
        <v>1099</v>
      </c>
      <c r="C1104" s="429">
        <v>43335</v>
      </c>
      <c r="D1104" s="816" t="s">
        <v>2653</v>
      </c>
      <c r="E1104" s="807">
        <v>120600</v>
      </c>
      <c r="F1104" s="629" t="str">
        <f>IFERROR(VLOOKUP(E1104,STAT1!$C$4:$D$1000,2,FALSE),"")</f>
        <v>НӨАТ авлага</v>
      </c>
      <c r="G1104" s="811">
        <v>1984</v>
      </c>
      <c r="H1104" s="811"/>
      <c r="I1104" s="580">
        <f t="shared" si="92"/>
        <v>0</v>
      </c>
      <c r="J1104" s="961">
        <f t="shared" si="93"/>
        <v>0</v>
      </c>
      <c r="K1104" s="80"/>
      <c r="L1104" s="807">
        <v>1008</v>
      </c>
      <c r="M1104" s="80" t="str">
        <f>+IFERROR(VLOOKUP(L1104,DATA!$G$4:$H$2000,2,FALSE),"")</f>
        <v xml:space="preserve">Оюунтүлхүүр </v>
      </c>
      <c r="N1104" s="807"/>
      <c r="O1104" s="80" t="str">
        <f>IFERROR(VLOOKUP(N1104,DATA!$K$4:$L$51,2,FALSE),"")</f>
        <v/>
      </c>
      <c r="P1104" s="80">
        <f t="shared" si="89"/>
        <v>0</v>
      </c>
      <c r="Q1104" s="154">
        <f t="shared" si="90"/>
        <v>0</v>
      </c>
    </row>
    <row r="1105" spans="2:17">
      <c r="B1105" s="627">
        <f t="shared" si="91"/>
        <v>1100</v>
      </c>
      <c r="C1105" s="429">
        <v>43335</v>
      </c>
      <c r="D1105" s="816" t="s">
        <v>2653</v>
      </c>
      <c r="E1105" s="807">
        <v>141401</v>
      </c>
      <c r="F1105" s="629" t="str">
        <f>IFERROR(VLOOKUP(E1105,STAT1!$C$4:$D$1000,2,FALSE),"")</f>
        <v xml:space="preserve">ҮНЗардал БУСАД </v>
      </c>
      <c r="G1105" s="811">
        <f>21824-1984</f>
        <v>19840</v>
      </c>
      <c r="H1105" s="811"/>
      <c r="I1105" s="580">
        <f t="shared" si="92"/>
        <v>0</v>
      </c>
      <c r="J1105" s="961">
        <f t="shared" si="93"/>
        <v>0</v>
      </c>
      <c r="K1105" s="80"/>
      <c r="L1105" s="807">
        <v>1008</v>
      </c>
      <c r="M1105" s="80" t="str">
        <f>+IFERROR(VLOOKUP(L1105,DATA!$G$4:$H$2000,2,FALSE),"")</f>
        <v xml:space="preserve">Оюунтүлхүүр </v>
      </c>
      <c r="N1105" s="807"/>
      <c r="O1105" s="80" t="str">
        <f>IFERROR(VLOOKUP(N1105,DATA!$K$4:$L$51,2,FALSE),"")</f>
        <v/>
      </c>
      <c r="P1105" s="80">
        <f t="shared" si="89"/>
        <v>0</v>
      </c>
      <c r="Q1105" s="154">
        <f t="shared" si="90"/>
        <v>0</v>
      </c>
    </row>
    <row r="1106" spans="2:17">
      <c r="B1106" s="627">
        <f t="shared" si="91"/>
        <v>1101</v>
      </c>
      <c r="C1106" s="429">
        <v>43335</v>
      </c>
      <c r="D1106" s="816" t="s">
        <v>1570</v>
      </c>
      <c r="E1106" s="807">
        <v>100100</v>
      </c>
      <c r="F1106" s="629" t="str">
        <f>IFERROR(VLOOKUP(E1106,STAT1!$C$4:$D$1000,2,FALSE),"")</f>
        <v>Касс мөнгө MNT</v>
      </c>
      <c r="G1106" s="811"/>
      <c r="H1106" s="811">
        <v>10000</v>
      </c>
      <c r="I1106" s="580">
        <f t="shared" si="92"/>
        <v>-10000</v>
      </c>
      <c r="J1106" s="961">
        <f t="shared" si="93"/>
        <v>0</v>
      </c>
      <c r="K1106" s="80"/>
      <c r="L1106" s="807">
        <v>1008</v>
      </c>
      <c r="M1106" s="80" t="str">
        <f>+IFERROR(VLOOKUP(L1106,DATA!$G$4:$H$2000,2,FALSE),"")</f>
        <v xml:space="preserve">Оюунтүлхүүр </v>
      </c>
      <c r="N1106" s="807">
        <v>55</v>
      </c>
      <c r="O1106" s="80" t="str">
        <f>IFERROR(VLOOKUP(N1106,DATA!$K$4:$L$51,2,FALSE),"")</f>
        <v>Түлш, шатахуун, тээврийн хөлс, сэлбэг хэрэгсэлд төлсөн</v>
      </c>
      <c r="P1106" s="80">
        <f t="shared" si="89"/>
        <v>1</v>
      </c>
      <c r="Q1106" s="154">
        <f t="shared" si="90"/>
        <v>1</v>
      </c>
    </row>
    <row r="1107" spans="2:17">
      <c r="B1107" s="627">
        <f t="shared" si="91"/>
        <v>1102</v>
      </c>
      <c r="C1107" s="429">
        <v>43335</v>
      </c>
      <c r="D1107" s="816" t="s">
        <v>1570</v>
      </c>
      <c r="E1107" s="807">
        <v>120600</v>
      </c>
      <c r="F1107" s="629" t="str">
        <f>IFERROR(VLOOKUP(E1107,STAT1!$C$4:$D$1000,2,FALSE),"")</f>
        <v>НӨАТ авлага</v>
      </c>
      <c r="G1107" s="811">
        <v>909.09</v>
      </c>
      <c r="H1107" s="811"/>
      <c r="I1107" s="580">
        <f t="shared" si="92"/>
        <v>0</v>
      </c>
      <c r="J1107" s="961">
        <f t="shared" si="93"/>
        <v>0</v>
      </c>
      <c r="K1107" s="80"/>
      <c r="L1107" s="807">
        <v>1008</v>
      </c>
      <c r="M1107" s="80" t="str">
        <f>+IFERROR(VLOOKUP(L1107,DATA!$G$4:$H$2000,2,FALSE),"")</f>
        <v xml:space="preserve">Оюунтүлхүүр </v>
      </c>
      <c r="N1107" s="807"/>
      <c r="O1107" s="80" t="str">
        <f>IFERROR(VLOOKUP(N1107,DATA!$K$4:$L$51,2,FALSE),"")</f>
        <v/>
      </c>
      <c r="P1107" s="80">
        <f t="shared" si="89"/>
        <v>0</v>
      </c>
      <c r="Q1107" s="154">
        <f t="shared" si="90"/>
        <v>0</v>
      </c>
    </row>
    <row r="1108" spans="2:17">
      <c r="B1108" s="627">
        <f t="shared" si="91"/>
        <v>1103</v>
      </c>
      <c r="C1108" s="429">
        <v>43335</v>
      </c>
      <c r="D1108" s="816" t="s">
        <v>1570</v>
      </c>
      <c r="E1108" s="807">
        <v>702000</v>
      </c>
      <c r="F1108" s="629" t="str">
        <f>IFERROR(VLOOKUP(E1108,STAT1!$C$4:$D$1000,2,FALSE),"")</f>
        <v>Түлш, шатахуун</v>
      </c>
      <c r="G1108" s="811">
        <v>9090.91</v>
      </c>
      <c r="H1108" s="811"/>
      <c r="I1108" s="580">
        <f t="shared" si="92"/>
        <v>0</v>
      </c>
      <c r="J1108" s="961">
        <f t="shared" si="93"/>
        <v>0</v>
      </c>
      <c r="K1108" s="80"/>
      <c r="L1108" s="807">
        <v>1008</v>
      </c>
      <c r="M1108" s="80" t="str">
        <f>+IFERROR(VLOOKUP(L1108,DATA!$G$4:$H$2000,2,FALSE),"")</f>
        <v xml:space="preserve">Оюунтүлхүүр </v>
      </c>
      <c r="N1108" s="807"/>
      <c r="O1108" s="80" t="str">
        <f>IFERROR(VLOOKUP(N1108,DATA!$K$4:$L$51,2,FALSE),"")</f>
        <v/>
      </c>
      <c r="P1108" s="80">
        <f t="shared" si="89"/>
        <v>0</v>
      </c>
      <c r="Q1108" s="154">
        <f t="shared" si="90"/>
        <v>0</v>
      </c>
    </row>
    <row r="1109" spans="2:17">
      <c r="B1109" s="627">
        <f t="shared" si="91"/>
        <v>1104</v>
      </c>
      <c r="C1109" s="429">
        <v>43335</v>
      </c>
      <c r="D1109" s="816" t="s">
        <v>1570</v>
      </c>
      <c r="E1109" s="807">
        <v>100100</v>
      </c>
      <c r="F1109" s="629" t="str">
        <f>IFERROR(VLOOKUP(E1109,STAT1!$C$4:$D$1000,2,FALSE),"")</f>
        <v>Касс мөнгө MNT</v>
      </c>
      <c r="G1109" s="811"/>
      <c r="H1109" s="811">
        <v>20000</v>
      </c>
      <c r="I1109" s="580">
        <f t="shared" si="92"/>
        <v>-20000</v>
      </c>
      <c r="J1109" s="961">
        <f t="shared" si="93"/>
        <v>0</v>
      </c>
      <c r="K1109" s="80"/>
      <c r="L1109" s="807">
        <v>1008</v>
      </c>
      <c r="M1109" s="80" t="str">
        <f>+IFERROR(VLOOKUP(L1109,DATA!$G$4:$H$2000,2,FALSE),"")</f>
        <v xml:space="preserve">Оюунтүлхүүр </v>
      </c>
      <c r="N1109" s="807">
        <v>55</v>
      </c>
      <c r="O1109" s="80" t="str">
        <f>IFERROR(VLOOKUP(N1109,DATA!$K$4:$L$51,2,FALSE),"")</f>
        <v>Түлш, шатахуун, тээврийн хөлс, сэлбэг хэрэгсэлд төлсөн</v>
      </c>
      <c r="P1109" s="80">
        <f t="shared" si="89"/>
        <v>1</v>
      </c>
      <c r="Q1109" s="154">
        <f t="shared" si="90"/>
        <v>1</v>
      </c>
    </row>
    <row r="1110" spans="2:17">
      <c r="B1110" s="627">
        <f t="shared" si="91"/>
        <v>1105</v>
      </c>
      <c r="C1110" s="429">
        <v>43335</v>
      </c>
      <c r="D1110" s="816" t="s">
        <v>1570</v>
      </c>
      <c r="E1110" s="807">
        <v>120600</v>
      </c>
      <c r="F1110" s="629" t="str">
        <f>IFERROR(VLOOKUP(E1110,STAT1!$C$4:$D$1000,2,FALSE),"")</f>
        <v>НӨАТ авлага</v>
      </c>
      <c r="G1110" s="811">
        <v>1818.18</v>
      </c>
      <c r="H1110" s="811"/>
      <c r="I1110" s="580">
        <f t="shared" si="92"/>
        <v>0</v>
      </c>
      <c r="J1110" s="961">
        <f t="shared" si="93"/>
        <v>0</v>
      </c>
      <c r="K1110" s="80"/>
      <c r="L1110" s="807">
        <v>1008</v>
      </c>
      <c r="M1110" s="80" t="str">
        <f>+IFERROR(VLOOKUP(L1110,DATA!$G$4:$H$2000,2,FALSE),"")</f>
        <v xml:space="preserve">Оюунтүлхүүр </v>
      </c>
      <c r="N1110" s="807"/>
      <c r="O1110" s="80" t="str">
        <f>IFERROR(VLOOKUP(N1110,DATA!$K$4:$L$51,2,FALSE),"")</f>
        <v/>
      </c>
      <c r="P1110" s="80">
        <f t="shared" si="89"/>
        <v>0</v>
      </c>
      <c r="Q1110" s="154">
        <f t="shared" si="90"/>
        <v>0</v>
      </c>
    </row>
    <row r="1111" spans="2:17">
      <c r="B1111" s="627">
        <f t="shared" si="91"/>
        <v>1106</v>
      </c>
      <c r="C1111" s="429">
        <v>43335</v>
      </c>
      <c r="D1111" s="816" t="s">
        <v>1570</v>
      </c>
      <c r="E1111" s="807">
        <v>702000</v>
      </c>
      <c r="F1111" s="629" t="str">
        <f>IFERROR(VLOOKUP(E1111,STAT1!$C$4:$D$1000,2,FALSE),"")</f>
        <v>Түлш, шатахуун</v>
      </c>
      <c r="G1111" s="811">
        <f>20000-1818.18</f>
        <v>18181.82</v>
      </c>
      <c r="H1111" s="811"/>
      <c r="I1111" s="580">
        <f t="shared" si="92"/>
        <v>0</v>
      </c>
      <c r="J1111" s="961">
        <f t="shared" si="93"/>
        <v>0</v>
      </c>
      <c r="K1111" s="80"/>
      <c r="L1111" s="807">
        <v>1008</v>
      </c>
      <c r="M1111" s="80" t="str">
        <f>+IFERROR(VLOOKUP(L1111,DATA!$G$4:$H$2000,2,FALSE),"")</f>
        <v xml:space="preserve">Оюунтүлхүүр </v>
      </c>
      <c r="N1111" s="807"/>
      <c r="O1111" s="80" t="str">
        <f>IFERROR(VLOOKUP(N1111,DATA!$K$4:$L$51,2,FALSE),"")</f>
        <v/>
      </c>
      <c r="P1111" s="80">
        <f t="shared" si="89"/>
        <v>0</v>
      </c>
      <c r="Q1111" s="154">
        <f t="shared" si="90"/>
        <v>0</v>
      </c>
    </row>
    <row r="1112" spans="2:17">
      <c r="B1112" s="627">
        <f t="shared" si="91"/>
        <v>1107</v>
      </c>
      <c r="C1112" s="582">
        <v>43336</v>
      </c>
      <c r="D1112" s="816" t="s">
        <v>2727</v>
      </c>
      <c r="E1112" s="807">
        <v>150101</v>
      </c>
      <c r="F1112" s="629" t="str">
        <f>IFERROR(VLOOKUP(E1112,STAT1!$C$4:$D$8000,2,FALSE),"")</f>
        <v>Бараа бэлэн бүтээгдэхүүн БОЛОВСРУУЛАХ ЦЕХ /нарс/</v>
      </c>
      <c r="G1112" s="376"/>
      <c r="H1112" s="376">
        <v>49640.57</v>
      </c>
      <c r="I1112" s="580">
        <f t="shared" si="92"/>
        <v>0</v>
      </c>
      <c r="J1112" s="961">
        <f t="shared" si="93"/>
        <v>0</v>
      </c>
      <c r="K1112" s="80"/>
      <c r="L1112" s="630">
        <v>3006</v>
      </c>
      <c r="M1112" s="80" t="str">
        <f>+IFERROR(VLOOKUP(L1112,DATA!$G$4:$H$2000,2,FALSE),"")</f>
        <v xml:space="preserve">ПАЙОНЕРИНГ ИНТЕРНЭШНЛ ХХК </v>
      </c>
      <c r="N1112" s="630"/>
      <c r="O1112" s="80" t="str">
        <f>IFERROR(VLOOKUP(N1112,DATA!$K$4:$L$51,2,FALSE),"")</f>
        <v/>
      </c>
      <c r="P1112" s="80">
        <f t="shared" si="89"/>
        <v>0</v>
      </c>
      <c r="Q1112" s="154">
        <f t="shared" si="90"/>
        <v>0</v>
      </c>
    </row>
    <row r="1113" spans="2:17">
      <c r="B1113" s="627">
        <f t="shared" si="91"/>
        <v>1108</v>
      </c>
      <c r="C1113" s="582">
        <v>43336</v>
      </c>
      <c r="D1113" s="816" t="s">
        <v>2727</v>
      </c>
      <c r="E1113" s="807">
        <v>610100</v>
      </c>
      <c r="F1113" s="629" t="str">
        <f>IFERROR(VLOOKUP(E1113,STAT1!$C$4:$D$8000,2,FALSE),"")</f>
        <v>Борлуулсан барааны өртөг</v>
      </c>
      <c r="G1113" s="376">
        <v>49640.57</v>
      </c>
      <c r="H1113" s="376"/>
      <c r="I1113" s="580">
        <f t="shared" si="92"/>
        <v>0</v>
      </c>
      <c r="J1113" s="961">
        <f t="shared" si="93"/>
        <v>0</v>
      </c>
      <c r="K1113" s="80"/>
      <c r="L1113" s="630">
        <v>3006</v>
      </c>
      <c r="M1113" s="80" t="str">
        <f>+IFERROR(VLOOKUP(L1113,DATA!$G$4:$H$2000,2,FALSE),"")</f>
        <v xml:space="preserve">ПАЙОНЕРИНГ ИНТЕРНЭШНЛ ХХК </v>
      </c>
      <c r="N1113" s="630"/>
      <c r="O1113" s="80" t="str">
        <f>IFERROR(VLOOKUP(N1113,DATA!$K$4:$L$51,2,FALSE),"")</f>
        <v/>
      </c>
      <c r="P1113" s="80">
        <f t="shared" si="89"/>
        <v>0</v>
      </c>
      <c r="Q1113" s="154">
        <f t="shared" si="90"/>
        <v>0</v>
      </c>
    </row>
    <row r="1114" spans="2:17">
      <c r="B1114" s="627">
        <f t="shared" si="91"/>
        <v>1109</v>
      </c>
      <c r="C1114" s="582">
        <v>43336</v>
      </c>
      <c r="D1114" s="816" t="s">
        <v>2727</v>
      </c>
      <c r="E1114" s="807">
        <v>310500</v>
      </c>
      <c r="F1114" s="629" t="str">
        <f>IFERROR(VLOOKUP(E1114,STAT1!$C$4:$D$1000,2,FALSE),"")</f>
        <v>НӨАТ өглөг</v>
      </c>
      <c r="G1114" s="811"/>
      <c r="H1114" s="811">
        <v>6000</v>
      </c>
      <c r="I1114" s="580">
        <f t="shared" si="92"/>
        <v>0</v>
      </c>
      <c r="J1114" s="961">
        <f t="shared" si="93"/>
        <v>0</v>
      </c>
      <c r="K1114" s="80"/>
      <c r="L1114" s="630">
        <v>3006</v>
      </c>
      <c r="M1114" s="80" t="str">
        <f>+IFERROR(VLOOKUP(L1114,DATA!$G$4:$H$2000,2,FALSE),"")</f>
        <v xml:space="preserve">ПАЙОНЕРИНГ ИНТЕРНЭШНЛ ХХК </v>
      </c>
      <c r="N1114" s="807"/>
      <c r="O1114" s="80" t="str">
        <f>IFERROR(VLOOKUP(N1114,DATA!$K$4:$L$51,2,FALSE),"")</f>
        <v/>
      </c>
      <c r="P1114" s="80">
        <f t="shared" si="89"/>
        <v>0</v>
      </c>
      <c r="Q1114" s="154">
        <f t="shared" si="90"/>
        <v>0</v>
      </c>
    </row>
    <row r="1115" spans="2:17">
      <c r="B1115" s="627">
        <f t="shared" si="91"/>
        <v>1110</v>
      </c>
      <c r="C1115" s="582">
        <v>43336</v>
      </c>
      <c r="D1115" s="816" t="s">
        <v>2727</v>
      </c>
      <c r="E1115" s="807">
        <v>510000</v>
      </c>
      <c r="F1115" s="629" t="str">
        <f>IFERROR(VLOOKUP(E1115,STAT1!$C$4:$D$1000,2,FALSE),"")</f>
        <v>Үндсэн үйл ажиллагааны борлуулалт</v>
      </c>
      <c r="G1115" s="811"/>
      <c r="H1115" s="811">
        <v>60000</v>
      </c>
      <c r="I1115" s="580">
        <f t="shared" si="92"/>
        <v>0</v>
      </c>
      <c r="J1115" s="961">
        <f t="shared" si="93"/>
        <v>0</v>
      </c>
      <c r="K1115" s="80"/>
      <c r="L1115" s="630">
        <v>3006</v>
      </c>
      <c r="M1115" s="80" t="str">
        <f>+IFERROR(VLOOKUP(L1115,DATA!$G$4:$H$2000,2,FALSE),"")</f>
        <v xml:space="preserve">ПАЙОНЕРИНГ ИНТЕРНЭШНЛ ХХК </v>
      </c>
      <c r="N1115" s="807"/>
      <c r="O1115" s="80" t="str">
        <f>IFERROR(VLOOKUP(N1115,DATA!$K$4:$L$51,2,FALSE),"")</f>
        <v/>
      </c>
      <c r="P1115" s="80">
        <f t="shared" si="89"/>
        <v>0</v>
      </c>
      <c r="Q1115" s="154">
        <f t="shared" si="90"/>
        <v>0</v>
      </c>
    </row>
    <row r="1116" spans="2:17">
      <c r="B1116" s="627">
        <f t="shared" si="91"/>
        <v>1111</v>
      </c>
      <c r="C1116" s="582">
        <v>43336</v>
      </c>
      <c r="D1116" s="816" t="s">
        <v>2727</v>
      </c>
      <c r="E1116" s="807">
        <v>320100</v>
      </c>
      <c r="F1116" s="629" t="str">
        <f>IFERROR(VLOOKUP(E1116,STAT1!$C$4:$D$1000,2,FALSE),"")</f>
        <v>Урьдчилж орсон орлого MNT</v>
      </c>
      <c r="G1116" s="811">
        <v>66000</v>
      </c>
      <c r="H1116" s="811"/>
      <c r="I1116" s="580">
        <f t="shared" si="92"/>
        <v>0</v>
      </c>
      <c r="J1116" s="961">
        <f t="shared" si="93"/>
        <v>0</v>
      </c>
      <c r="K1116" s="80"/>
      <c r="L1116" s="630">
        <v>3006</v>
      </c>
      <c r="M1116" s="80" t="str">
        <f>+IFERROR(VLOOKUP(L1116,DATA!$G$4:$H$2000,2,FALSE),"")</f>
        <v xml:space="preserve">ПАЙОНЕРИНГ ИНТЕРНЭШНЛ ХХК </v>
      </c>
      <c r="N1116" s="807"/>
      <c r="O1116" s="80" t="str">
        <f>IFERROR(VLOOKUP(N1116,DATA!$K$4:$L$51,2,FALSE),"")</f>
        <v/>
      </c>
      <c r="P1116" s="80">
        <f t="shared" si="89"/>
        <v>0</v>
      </c>
      <c r="Q1116" s="154">
        <f t="shared" si="90"/>
        <v>0</v>
      </c>
    </row>
    <row r="1117" spans="2:17">
      <c r="B1117" s="627">
        <f t="shared" si="91"/>
        <v>1112</v>
      </c>
      <c r="C1117" s="429">
        <v>43336</v>
      </c>
      <c r="D1117" s="816" t="s">
        <v>2730</v>
      </c>
      <c r="E1117" s="807">
        <v>310100</v>
      </c>
      <c r="F1117" s="629" t="str">
        <f>IFERROR(VLOOKUP(E1117,STAT1!$C$4:$D$1000,2,FALSE),"")</f>
        <v>Дансны өглөг MNT</v>
      </c>
      <c r="G1117" s="811"/>
      <c r="H1117" s="811">
        <v>1027734.46</v>
      </c>
      <c r="I1117" s="580">
        <f t="shared" si="92"/>
        <v>0</v>
      </c>
      <c r="J1117" s="961">
        <f t="shared" si="93"/>
        <v>0</v>
      </c>
      <c r="K1117" s="80"/>
      <c r="L1117" s="807">
        <v>2004</v>
      </c>
      <c r="M1117" s="80" t="str">
        <f>+IFERROR(VLOOKUP(L1117,DATA!$G$4:$H$2000,2,FALSE),"")</f>
        <v xml:space="preserve">ДЦС-3 ТӨХК </v>
      </c>
      <c r="N1117" s="807"/>
      <c r="O1117" s="80" t="str">
        <f>IFERROR(VLOOKUP(N1117,DATA!$K$4:$L$51,2,FALSE),"")</f>
        <v/>
      </c>
      <c r="P1117" s="80">
        <f t="shared" si="89"/>
        <v>0</v>
      </c>
      <c r="Q1117" s="154">
        <f t="shared" si="90"/>
        <v>0</v>
      </c>
    </row>
    <row r="1118" spans="2:17">
      <c r="B1118" s="627">
        <f t="shared" si="91"/>
        <v>1113</v>
      </c>
      <c r="C1118" s="429">
        <v>43336</v>
      </c>
      <c r="D1118" s="816" t="s">
        <v>2730</v>
      </c>
      <c r="E1118" s="807">
        <v>120100</v>
      </c>
      <c r="F1118" s="629" t="str">
        <f>IFERROR(VLOOKUP(E1118,STAT1!$C$4:$D$1000,2,FALSE),"")</f>
        <v xml:space="preserve">Дансны авлага MNT </v>
      </c>
      <c r="G1118" s="811">
        <v>93430.41</v>
      </c>
      <c r="H1118" s="811"/>
      <c r="I1118" s="580">
        <f t="shared" si="92"/>
        <v>0</v>
      </c>
      <c r="J1118" s="961">
        <f t="shared" si="93"/>
        <v>0</v>
      </c>
      <c r="K1118" s="80"/>
      <c r="L1118" s="807">
        <v>2004</v>
      </c>
      <c r="M1118" s="80" t="str">
        <f>+IFERROR(VLOOKUP(L1118,DATA!$G$4:$H$2000,2,FALSE),"")</f>
        <v xml:space="preserve">ДЦС-3 ТӨХК </v>
      </c>
      <c r="N1118" s="807"/>
      <c r="O1118" s="80" t="str">
        <f>IFERROR(VLOOKUP(N1118,DATA!$K$4:$L$51,2,FALSE),"")</f>
        <v/>
      </c>
      <c r="P1118" s="80">
        <f t="shared" si="89"/>
        <v>0</v>
      </c>
      <c r="Q1118" s="154">
        <f t="shared" si="90"/>
        <v>0</v>
      </c>
    </row>
    <row r="1119" spans="2:17">
      <c r="B1119" s="627">
        <f t="shared" si="91"/>
        <v>1114</v>
      </c>
      <c r="C1119" s="429">
        <v>43336</v>
      </c>
      <c r="D1119" s="816" t="s">
        <v>2730</v>
      </c>
      <c r="E1119" s="807">
        <v>700900</v>
      </c>
      <c r="F1119" s="629" t="str">
        <f>IFERROR(VLOOKUP(E1119,STAT1!$C$4:$D$1000,2,FALSE),"")</f>
        <v>Уур, ус</v>
      </c>
      <c r="G1119" s="811">
        <f>1027734.46-93430.41</f>
        <v>934304.04999999993</v>
      </c>
      <c r="H1119" s="811"/>
      <c r="I1119" s="580">
        <f t="shared" si="92"/>
        <v>0</v>
      </c>
      <c r="J1119" s="961">
        <f t="shared" si="93"/>
        <v>0</v>
      </c>
      <c r="K1119" s="80"/>
      <c r="L1119" s="807">
        <v>2004</v>
      </c>
      <c r="M1119" s="80" t="str">
        <f>+IFERROR(VLOOKUP(L1119,DATA!$G$4:$H$2000,2,FALSE),"")</f>
        <v xml:space="preserve">ДЦС-3 ТӨХК </v>
      </c>
      <c r="N1119" s="807"/>
      <c r="O1119" s="80" t="str">
        <f>IFERROR(VLOOKUP(N1119,DATA!$K$4:$L$51,2,FALSE),"")</f>
        <v/>
      </c>
      <c r="P1119" s="80">
        <f t="shared" si="89"/>
        <v>0</v>
      </c>
      <c r="Q1119" s="154">
        <f t="shared" si="90"/>
        <v>0</v>
      </c>
    </row>
    <row r="1120" spans="2:17">
      <c r="B1120" s="627">
        <f t="shared" si="91"/>
        <v>1115</v>
      </c>
      <c r="C1120" s="429">
        <v>43337</v>
      </c>
      <c r="D1120" s="816" t="s">
        <v>2727</v>
      </c>
      <c r="E1120" s="807">
        <v>150101</v>
      </c>
      <c r="F1120" s="629" t="str">
        <f>IFERROR(VLOOKUP(E1120,STAT1!$C$4:$D$1000,2,FALSE),"")</f>
        <v>Бараа бэлэн бүтээгдэхүүн БОЛОВСРУУЛАХ ЦЕХ /нарс/</v>
      </c>
      <c r="G1120" s="811"/>
      <c r="H1120" s="811">
        <v>29741.96</v>
      </c>
      <c r="I1120" s="580">
        <f t="shared" si="92"/>
        <v>0</v>
      </c>
      <c r="J1120" s="961">
        <f t="shared" si="93"/>
        <v>0</v>
      </c>
      <c r="K1120" s="80"/>
      <c r="L1120" s="807">
        <v>3132</v>
      </c>
      <c r="M1120" s="80" t="str">
        <f>+IFERROR(VLOOKUP(L1120,DATA!$G$4:$H$2000,2,FALSE),"")</f>
        <v xml:space="preserve">СЭКҮ ХХК </v>
      </c>
      <c r="N1120" s="807"/>
      <c r="O1120" s="80" t="str">
        <f>IFERROR(VLOOKUP(N1120,DATA!$K$4:$L$51,2,FALSE),"")</f>
        <v/>
      </c>
      <c r="P1120" s="80">
        <f t="shared" si="89"/>
        <v>0</v>
      </c>
      <c r="Q1120" s="154">
        <f t="shared" si="90"/>
        <v>0</v>
      </c>
    </row>
    <row r="1121" spans="2:17">
      <c r="B1121" s="627">
        <f t="shared" si="91"/>
        <v>1116</v>
      </c>
      <c r="C1121" s="429">
        <v>43337</v>
      </c>
      <c r="D1121" s="816" t="s">
        <v>2727</v>
      </c>
      <c r="E1121" s="807">
        <v>610100</v>
      </c>
      <c r="F1121" s="629" t="str">
        <f>IFERROR(VLOOKUP(E1121,STAT1!$C$4:$D$1000,2,FALSE),"")</f>
        <v>Борлуулсан барааны өртөг</v>
      </c>
      <c r="G1121" s="811">
        <v>29741.96</v>
      </c>
      <c r="H1121" s="811"/>
      <c r="I1121" s="580">
        <f t="shared" si="92"/>
        <v>0</v>
      </c>
      <c r="J1121" s="961">
        <f t="shared" si="93"/>
        <v>0</v>
      </c>
      <c r="K1121" s="80"/>
      <c r="L1121" s="807">
        <v>3132</v>
      </c>
      <c r="M1121" s="80" t="str">
        <f>+IFERROR(VLOOKUP(L1121,DATA!$G$4:$H$2000,2,FALSE),"")</f>
        <v xml:space="preserve">СЭКҮ ХХК </v>
      </c>
      <c r="N1121" s="807"/>
      <c r="O1121" s="80" t="str">
        <f>IFERROR(VLOOKUP(N1121,DATA!$K$4:$L$51,2,FALSE),"")</f>
        <v/>
      </c>
      <c r="P1121" s="80">
        <f t="shared" si="89"/>
        <v>0</v>
      </c>
      <c r="Q1121" s="154">
        <f t="shared" si="90"/>
        <v>0</v>
      </c>
    </row>
    <row r="1122" spans="2:17">
      <c r="B1122" s="627">
        <f t="shared" si="91"/>
        <v>1117</v>
      </c>
      <c r="C1122" s="429">
        <v>43337</v>
      </c>
      <c r="D1122" s="816" t="s">
        <v>2727</v>
      </c>
      <c r="E1122" s="807">
        <v>310500</v>
      </c>
      <c r="F1122" s="629" t="str">
        <f>IFERROR(VLOOKUP(E1122,STAT1!$C$4:$D$1000,2,FALSE),"")</f>
        <v>НӨАТ өглөг</v>
      </c>
      <c r="G1122" s="811"/>
      <c r="H1122" s="811">
        <v>4352.7299999999996</v>
      </c>
      <c r="I1122" s="580">
        <f t="shared" si="92"/>
        <v>0</v>
      </c>
      <c r="J1122" s="961">
        <f t="shared" si="93"/>
        <v>0</v>
      </c>
      <c r="K1122" s="80"/>
      <c r="L1122" s="807">
        <v>3132</v>
      </c>
      <c r="M1122" s="80" t="str">
        <f>+IFERROR(VLOOKUP(L1122,DATA!$G$4:$H$2000,2,FALSE),"")</f>
        <v xml:space="preserve">СЭКҮ ХХК </v>
      </c>
      <c r="N1122" s="807"/>
      <c r="O1122" s="80" t="str">
        <f>IFERROR(VLOOKUP(N1122,DATA!$K$4:$L$51,2,FALSE),"")</f>
        <v/>
      </c>
      <c r="P1122" s="80">
        <f t="shared" si="89"/>
        <v>0</v>
      </c>
      <c r="Q1122" s="154">
        <f t="shared" si="90"/>
        <v>0</v>
      </c>
    </row>
    <row r="1123" spans="2:17">
      <c r="B1123" s="627">
        <f t="shared" si="91"/>
        <v>1118</v>
      </c>
      <c r="C1123" s="429">
        <v>43337</v>
      </c>
      <c r="D1123" s="816" t="s">
        <v>2727</v>
      </c>
      <c r="E1123" s="807">
        <v>510000</v>
      </c>
      <c r="F1123" s="629" t="str">
        <f>IFERROR(VLOOKUP(E1123,STAT1!$C$4:$D$1000,2,FALSE),"")</f>
        <v>Үндсэн үйл ажиллагааны борлуулалт</v>
      </c>
      <c r="G1123" s="811"/>
      <c r="H1123" s="811">
        <v>43527.27</v>
      </c>
      <c r="I1123" s="580">
        <f t="shared" si="92"/>
        <v>0</v>
      </c>
      <c r="J1123" s="961">
        <f t="shared" si="93"/>
        <v>0</v>
      </c>
      <c r="K1123" s="80"/>
      <c r="L1123" s="807">
        <v>3132</v>
      </c>
      <c r="M1123" s="80" t="str">
        <f>+IFERROR(VLOOKUP(L1123,DATA!$G$4:$H$2000,2,FALSE),"")</f>
        <v xml:space="preserve">СЭКҮ ХХК </v>
      </c>
      <c r="N1123" s="807"/>
      <c r="O1123" s="80" t="str">
        <f>IFERROR(VLOOKUP(N1123,DATA!$K$4:$L$51,2,FALSE),"")</f>
        <v/>
      </c>
      <c r="P1123" s="80">
        <f t="shared" si="89"/>
        <v>0</v>
      </c>
      <c r="Q1123" s="154">
        <f t="shared" si="90"/>
        <v>0</v>
      </c>
    </row>
    <row r="1124" spans="2:17">
      <c r="B1124" s="627">
        <f t="shared" si="91"/>
        <v>1119</v>
      </c>
      <c r="C1124" s="582">
        <v>43337</v>
      </c>
      <c r="D1124" s="816" t="s">
        <v>2727</v>
      </c>
      <c r="E1124" s="807">
        <v>320100</v>
      </c>
      <c r="F1124" s="629" t="str">
        <f>IFERROR(VLOOKUP(E1124,STAT1!$C$4:$D$8000,2,FALSE),"")</f>
        <v>Урьдчилж орсон орлого MNT</v>
      </c>
      <c r="G1124" s="376">
        <v>47880</v>
      </c>
      <c r="H1124" s="376"/>
      <c r="I1124" s="580">
        <f t="shared" si="92"/>
        <v>0</v>
      </c>
      <c r="J1124" s="961">
        <f t="shared" si="93"/>
        <v>0</v>
      </c>
      <c r="K1124" s="80"/>
      <c r="L1124" s="630">
        <v>3132</v>
      </c>
      <c r="M1124" s="80" t="str">
        <f>+IFERROR(VLOOKUP(L1124,DATA!$G$4:$H$2000,2,FALSE),"")</f>
        <v xml:space="preserve">СЭКҮ ХХК </v>
      </c>
      <c r="N1124" s="630"/>
      <c r="O1124" s="80" t="str">
        <f>IFERROR(VLOOKUP(N1124,DATA!$K$4:$L$51,2,FALSE),"")</f>
        <v/>
      </c>
      <c r="P1124" s="80">
        <f t="shared" si="89"/>
        <v>0</v>
      </c>
      <c r="Q1124" s="154">
        <f t="shared" si="90"/>
        <v>0</v>
      </c>
    </row>
    <row r="1125" spans="2:17">
      <c r="B1125" s="627">
        <f t="shared" si="91"/>
        <v>1120</v>
      </c>
      <c r="C1125" s="429">
        <v>43340</v>
      </c>
      <c r="D1125" s="816" t="s">
        <v>2538</v>
      </c>
      <c r="E1125" s="807">
        <v>100100</v>
      </c>
      <c r="F1125" s="629" t="str">
        <f>IFERROR(VLOOKUP(E1125,STAT1!$C$4:$D$1000,2,FALSE),"")</f>
        <v>Касс мөнгө MNT</v>
      </c>
      <c r="G1125" s="811"/>
      <c r="H1125" s="811">
        <v>80000</v>
      </c>
      <c r="I1125" s="580">
        <f t="shared" si="92"/>
        <v>-80000</v>
      </c>
      <c r="J1125" s="961">
        <f t="shared" si="93"/>
        <v>0</v>
      </c>
      <c r="K1125" s="80"/>
      <c r="L1125" s="807">
        <v>1004</v>
      </c>
      <c r="M1125" s="80" t="str">
        <f>+IFERROR(VLOOKUP(L1125,DATA!$G$4:$H$2000,2,FALSE),"")</f>
        <v xml:space="preserve">Түмэндэлгэр </v>
      </c>
      <c r="N1125" s="807">
        <v>55</v>
      </c>
      <c r="O1125" s="80" t="str">
        <f>IFERROR(VLOOKUP(N1125,DATA!$K$4:$L$51,2,FALSE),"")</f>
        <v>Түлш, шатахуун, тээврийн хөлс, сэлбэг хэрэгсэлд төлсөн</v>
      </c>
      <c r="P1125" s="80">
        <f t="shared" si="89"/>
        <v>1</v>
      </c>
      <c r="Q1125" s="154">
        <f t="shared" si="90"/>
        <v>1</v>
      </c>
    </row>
    <row r="1126" spans="2:17">
      <c r="B1126" s="627">
        <f t="shared" si="91"/>
        <v>1121</v>
      </c>
      <c r="C1126" s="429">
        <v>43340</v>
      </c>
      <c r="D1126" s="816" t="s">
        <v>2538</v>
      </c>
      <c r="E1126" s="807">
        <v>120600</v>
      </c>
      <c r="F1126" s="629" t="str">
        <f>IFERROR(VLOOKUP(E1126,STAT1!$C$4:$D$1000,2,FALSE),"")</f>
        <v>НӨАТ авлага</v>
      </c>
      <c r="G1126" s="811">
        <v>7272.73</v>
      </c>
      <c r="H1126" s="811"/>
      <c r="I1126" s="580">
        <f t="shared" si="92"/>
        <v>0</v>
      </c>
      <c r="J1126" s="961">
        <f t="shared" si="93"/>
        <v>0</v>
      </c>
      <c r="K1126" s="80"/>
      <c r="L1126" s="807">
        <v>1004</v>
      </c>
      <c r="M1126" s="80" t="str">
        <f>+IFERROR(VLOOKUP(L1126,DATA!$G$4:$H$2000,2,FALSE),"")</f>
        <v xml:space="preserve">Түмэндэлгэр </v>
      </c>
      <c r="N1126" s="807"/>
      <c r="O1126" s="80" t="str">
        <f>IFERROR(VLOOKUP(N1126,DATA!$K$4:$L$51,2,FALSE),"")</f>
        <v/>
      </c>
      <c r="P1126" s="80">
        <f t="shared" si="89"/>
        <v>0</v>
      </c>
      <c r="Q1126" s="154">
        <f t="shared" si="90"/>
        <v>0</v>
      </c>
    </row>
    <row r="1127" spans="2:17">
      <c r="B1127" s="627">
        <f t="shared" si="91"/>
        <v>1122</v>
      </c>
      <c r="C1127" s="429">
        <v>43340</v>
      </c>
      <c r="D1127" s="816" t="s">
        <v>2538</v>
      </c>
      <c r="E1127" s="807">
        <v>702000</v>
      </c>
      <c r="F1127" s="629" t="str">
        <f>IFERROR(VLOOKUP(E1127,STAT1!$C$4:$D$1000,2,FALSE),"")</f>
        <v>Түлш, шатахуун</v>
      </c>
      <c r="G1127" s="811">
        <v>72727.27</v>
      </c>
      <c r="H1127" s="811"/>
      <c r="I1127" s="580">
        <f t="shared" si="92"/>
        <v>0</v>
      </c>
      <c r="J1127" s="961">
        <f t="shared" si="93"/>
        <v>0</v>
      </c>
      <c r="K1127" s="80"/>
      <c r="L1127" s="807">
        <v>1004</v>
      </c>
      <c r="M1127" s="80" t="str">
        <f>+IFERROR(VLOOKUP(L1127,DATA!$G$4:$H$2000,2,FALSE),"")</f>
        <v xml:space="preserve">Түмэндэлгэр </v>
      </c>
      <c r="N1127" s="807"/>
      <c r="O1127" s="80" t="str">
        <f>IFERROR(VLOOKUP(N1127,DATA!$K$4:$L$51,2,FALSE),"")</f>
        <v/>
      </c>
      <c r="P1127" s="80">
        <f t="shared" si="89"/>
        <v>0</v>
      </c>
      <c r="Q1127" s="154">
        <f t="shared" si="90"/>
        <v>0</v>
      </c>
    </row>
    <row r="1128" spans="2:17">
      <c r="B1128" s="627">
        <f t="shared" si="91"/>
        <v>1123</v>
      </c>
      <c r="C1128" s="582">
        <v>43341</v>
      </c>
      <c r="D1128" s="815" t="s">
        <v>1571</v>
      </c>
      <c r="E1128" s="630">
        <v>110100</v>
      </c>
      <c r="F1128" s="629" t="str">
        <f>IFERROR(VLOOKUP(E1128,STAT1!$C$4:$D$1000,2,FALSE),"")</f>
        <v>Хаан Банк 5024654020</v>
      </c>
      <c r="G1128" s="376">
        <v>47880</v>
      </c>
      <c r="H1128" s="376"/>
      <c r="I1128" s="580">
        <f t="shared" si="92"/>
        <v>47880</v>
      </c>
      <c r="J1128" s="961">
        <f t="shared" si="93"/>
        <v>0</v>
      </c>
      <c r="K1128" s="80"/>
      <c r="L1128" s="630">
        <v>3132</v>
      </c>
      <c r="M1128" s="80" t="str">
        <f>+IFERROR(VLOOKUP(L1128,DATA!$G$4:$H$2000,2,FALSE),"")</f>
        <v xml:space="preserve">СЭКҮ ХХК </v>
      </c>
      <c r="N1128" s="630">
        <v>41</v>
      </c>
      <c r="O1128" s="80" t="str">
        <f>IFERROR(VLOOKUP(N1128,DATA!$K$4:$L$51,2,FALSE),"")</f>
        <v>Бараа борлуулсан, үйлчилгээ үзүүлсэний орлого</v>
      </c>
      <c r="P1128" s="80">
        <f t="shared" si="89"/>
        <v>1</v>
      </c>
      <c r="Q1128" s="154">
        <f t="shared" si="90"/>
        <v>1</v>
      </c>
    </row>
    <row r="1129" spans="2:17">
      <c r="B1129" s="627">
        <f t="shared" si="91"/>
        <v>1124</v>
      </c>
      <c r="C1129" s="582">
        <v>43341</v>
      </c>
      <c r="D1129" s="815" t="s">
        <v>1571</v>
      </c>
      <c r="E1129" s="630">
        <v>320100</v>
      </c>
      <c r="F1129" s="629" t="str">
        <f>IFERROR(VLOOKUP(E1129,STAT1!$C$4:$D$1000,2,FALSE),"")</f>
        <v>Урьдчилж орсон орлого MNT</v>
      </c>
      <c r="G1129" s="376"/>
      <c r="H1129" s="376">
        <v>47880</v>
      </c>
      <c r="I1129" s="580">
        <f t="shared" si="92"/>
        <v>0</v>
      </c>
      <c r="J1129" s="961">
        <f t="shared" si="93"/>
        <v>0</v>
      </c>
      <c r="K1129" s="80"/>
      <c r="L1129" s="630">
        <v>3132</v>
      </c>
      <c r="M1129" s="80" t="str">
        <f>+IFERROR(VLOOKUP(L1129,DATA!$G$4:$H$2000,2,FALSE),"")</f>
        <v xml:space="preserve">СЭКҮ ХХК </v>
      </c>
      <c r="N1129" s="630"/>
      <c r="O1129" s="80" t="str">
        <f>IFERROR(VLOOKUP(N1129,DATA!$K$4:$L$51,2,FALSE),"")</f>
        <v/>
      </c>
      <c r="P1129" s="80">
        <f t="shared" si="89"/>
        <v>0</v>
      </c>
      <c r="Q1129" s="154">
        <f t="shared" si="90"/>
        <v>0</v>
      </c>
    </row>
    <row r="1130" spans="2:17">
      <c r="B1130" s="627">
        <f t="shared" si="91"/>
        <v>1125</v>
      </c>
      <c r="C1130" s="429">
        <v>43341</v>
      </c>
      <c r="D1130" s="816" t="s">
        <v>1570</v>
      </c>
      <c r="E1130" s="807">
        <v>100100</v>
      </c>
      <c r="F1130" s="629" t="str">
        <f>IFERROR(VLOOKUP(E1130,STAT1!$C$4:$D$1000,2,FALSE),"")</f>
        <v>Касс мөнгө MNT</v>
      </c>
      <c r="G1130" s="811"/>
      <c r="H1130" s="811">
        <v>10000</v>
      </c>
      <c r="I1130" s="580">
        <f t="shared" si="92"/>
        <v>-10000</v>
      </c>
      <c r="J1130" s="961">
        <f t="shared" si="93"/>
        <v>0</v>
      </c>
      <c r="K1130" s="80"/>
      <c r="L1130" s="807">
        <v>1008</v>
      </c>
      <c r="M1130" s="80" t="str">
        <f>+IFERROR(VLOOKUP(L1130,DATA!$G$4:$H$2000,2,FALSE),"")</f>
        <v xml:space="preserve">Оюунтүлхүүр </v>
      </c>
      <c r="N1130" s="807">
        <v>55</v>
      </c>
      <c r="O1130" s="80" t="str">
        <f>IFERROR(VLOOKUP(N1130,DATA!$K$4:$L$51,2,FALSE),"")</f>
        <v>Түлш, шатахуун, тээврийн хөлс, сэлбэг хэрэгсэлд төлсөн</v>
      </c>
      <c r="P1130" s="80">
        <f t="shared" si="89"/>
        <v>1</v>
      </c>
      <c r="Q1130" s="154">
        <f t="shared" si="90"/>
        <v>1</v>
      </c>
    </row>
    <row r="1131" spans="2:17">
      <c r="B1131" s="627">
        <f t="shared" si="91"/>
        <v>1126</v>
      </c>
      <c r="C1131" s="429">
        <v>43341</v>
      </c>
      <c r="D1131" s="816" t="s">
        <v>1570</v>
      </c>
      <c r="E1131" s="807">
        <v>120600</v>
      </c>
      <c r="F1131" s="629" t="str">
        <f>IFERROR(VLOOKUP(E1131,STAT1!$C$4:$D$1000,2,FALSE),"")</f>
        <v>НӨАТ авлага</v>
      </c>
      <c r="G1131" s="811">
        <v>909.09</v>
      </c>
      <c r="H1131" s="811"/>
      <c r="I1131" s="580">
        <f t="shared" si="92"/>
        <v>0</v>
      </c>
      <c r="J1131" s="961">
        <f t="shared" si="93"/>
        <v>0</v>
      </c>
      <c r="K1131" s="80"/>
      <c r="L1131" s="807">
        <v>1008</v>
      </c>
      <c r="M1131" s="80" t="str">
        <f>+IFERROR(VLOOKUP(L1131,DATA!$G$4:$H$2000,2,FALSE),"")</f>
        <v xml:space="preserve">Оюунтүлхүүр </v>
      </c>
      <c r="N1131" s="807"/>
      <c r="O1131" s="80" t="str">
        <f>IFERROR(VLOOKUP(N1131,DATA!$K$4:$L$51,2,FALSE),"")</f>
        <v/>
      </c>
      <c r="P1131" s="80">
        <f t="shared" ref="P1131:P1194" si="94">+IF(I1131,1,0)</f>
        <v>0</v>
      </c>
      <c r="Q1131" s="154">
        <f t="shared" ref="Q1131:Q1194" si="95">+IF(I1131,1,0)</f>
        <v>0</v>
      </c>
    </row>
    <row r="1132" spans="2:17">
      <c r="B1132" s="627">
        <f t="shared" si="91"/>
        <v>1127</v>
      </c>
      <c r="C1132" s="429">
        <v>43341</v>
      </c>
      <c r="D1132" s="816" t="s">
        <v>1570</v>
      </c>
      <c r="E1132" s="807">
        <v>702000</v>
      </c>
      <c r="F1132" s="629" t="str">
        <f>IFERROR(VLOOKUP(E1132,STAT1!$C$4:$D$1000,2,FALSE),"")</f>
        <v>Түлш, шатахуун</v>
      </c>
      <c r="G1132" s="811">
        <v>9090.91</v>
      </c>
      <c r="H1132" s="811"/>
      <c r="I1132" s="580">
        <f t="shared" si="92"/>
        <v>0</v>
      </c>
      <c r="J1132" s="961">
        <f t="shared" si="93"/>
        <v>0</v>
      </c>
      <c r="K1132" s="80"/>
      <c r="L1132" s="807">
        <v>1008</v>
      </c>
      <c r="M1132" s="80" t="str">
        <f>+IFERROR(VLOOKUP(L1132,DATA!$G$4:$H$2000,2,FALSE),"")</f>
        <v xml:space="preserve">Оюунтүлхүүр </v>
      </c>
      <c r="N1132" s="807"/>
      <c r="O1132" s="80" t="str">
        <f>IFERROR(VLOOKUP(N1132,DATA!$K$4:$L$51,2,FALSE),"")</f>
        <v/>
      </c>
      <c r="P1132" s="80">
        <f t="shared" si="94"/>
        <v>0</v>
      </c>
      <c r="Q1132" s="154">
        <f t="shared" si="95"/>
        <v>0</v>
      </c>
    </row>
    <row r="1133" spans="2:17">
      <c r="B1133" s="627">
        <f t="shared" si="91"/>
        <v>1128</v>
      </c>
      <c r="C1133" s="582">
        <v>43342</v>
      </c>
      <c r="D1133" s="815" t="s">
        <v>1571</v>
      </c>
      <c r="E1133" s="630">
        <v>110100</v>
      </c>
      <c r="F1133" s="629" t="str">
        <f>IFERROR(VLOOKUP(E1133,STAT1!$C$4:$D$8000,2,FALSE),"")</f>
        <v>Хаан Банк 5024654020</v>
      </c>
      <c r="G1133" s="376">
        <v>5000000</v>
      </c>
      <c r="H1133" s="376"/>
      <c r="I1133" s="580">
        <f t="shared" si="92"/>
        <v>5000000</v>
      </c>
      <c r="J1133" s="961">
        <f t="shared" si="93"/>
        <v>0</v>
      </c>
      <c r="K1133" s="80"/>
      <c r="L1133" s="630">
        <v>3135</v>
      </c>
      <c r="M1133" s="80" t="str">
        <f>+IFERROR(VLOOKUP(L1133,DATA!$G$4:$H$2000,2,FALSE),"")</f>
        <v xml:space="preserve">ЛИДЕР БУЯНТ ХОЛДИНГ </v>
      </c>
      <c r="N1133" s="630">
        <v>41</v>
      </c>
      <c r="O1133" s="80" t="str">
        <f>IFERROR(VLOOKUP(N1133,DATA!$K$4:$L$51,2,FALSE),"")</f>
        <v>Бараа борлуулсан, үйлчилгээ үзүүлсэний орлого</v>
      </c>
      <c r="P1133" s="80">
        <f t="shared" si="94"/>
        <v>1</v>
      </c>
      <c r="Q1133" s="154">
        <f t="shared" si="95"/>
        <v>1</v>
      </c>
    </row>
    <row r="1134" spans="2:17">
      <c r="B1134" s="627">
        <f t="shared" si="91"/>
        <v>1129</v>
      </c>
      <c r="C1134" s="429">
        <v>43342</v>
      </c>
      <c r="D1134" s="815" t="s">
        <v>1571</v>
      </c>
      <c r="E1134" s="807">
        <v>320100</v>
      </c>
      <c r="F1134" s="629" t="str">
        <f>IFERROR(VLOOKUP(E1134,STAT1!$C$4:$D$1000,2,FALSE),"")</f>
        <v>Урьдчилж орсон орлого MNT</v>
      </c>
      <c r="G1134" s="811"/>
      <c r="H1134" s="811">
        <v>5000000</v>
      </c>
      <c r="I1134" s="580">
        <f t="shared" si="92"/>
        <v>0</v>
      </c>
      <c r="J1134" s="961">
        <f t="shared" si="93"/>
        <v>0</v>
      </c>
      <c r="K1134" s="80"/>
      <c r="L1134" s="630">
        <v>3135</v>
      </c>
      <c r="M1134" s="80" t="str">
        <f>+IFERROR(VLOOKUP(L1134,DATA!$G$4:$H$2000,2,FALSE),"")</f>
        <v xml:space="preserve">ЛИДЕР БУЯНТ ХОЛДИНГ </v>
      </c>
      <c r="N1134" s="807"/>
      <c r="O1134" s="80" t="str">
        <f>IFERROR(VLOOKUP(N1134,DATA!$K$4:$L$51,2,FALSE),"")</f>
        <v/>
      </c>
      <c r="P1134" s="80">
        <f t="shared" si="94"/>
        <v>0</v>
      </c>
      <c r="Q1134" s="154">
        <f t="shared" si="95"/>
        <v>0</v>
      </c>
    </row>
    <row r="1135" spans="2:17">
      <c r="B1135" s="627">
        <f t="shared" si="91"/>
        <v>1130</v>
      </c>
      <c r="C1135" s="429">
        <v>43342</v>
      </c>
      <c r="D1135" s="816" t="s">
        <v>2602</v>
      </c>
      <c r="E1135" s="807">
        <v>100100</v>
      </c>
      <c r="F1135" s="629" t="str">
        <f>IFERROR(VLOOKUP(E1135,STAT1!$C$4:$D$1000,2,FALSE),"")</f>
        <v>Касс мөнгө MNT</v>
      </c>
      <c r="G1135" s="811"/>
      <c r="H1135" s="811">
        <v>333630</v>
      </c>
      <c r="I1135" s="580">
        <f t="shared" si="92"/>
        <v>-333630</v>
      </c>
      <c r="J1135" s="961">
        <f t="shared" si="93"/>
        <v>0</v>
      </c>
      <c r="K1135" s="80"/>
      <c r="L1135" s="807">
        <v>2005</v>
      </c>
      <c r="M1135" s="80" t="str">
        <f>+IFERROR(VLOOKUP(L1135,DATA!$G$4:$H$2000,2,FALSE),"")</f>
        <v xml:space="preserve">УСУГ ТӨХК </v>
      </c>
      <c r="N1135" s="807">
        <v>54</v>
      </c>
      <c r="O1135" s="80" t="str">
        <f>IFERROR(VLOOKUP(N1135,DATA!$K$4:$L$51,2,FALSE),"")</f>
        <v>Ашиглалтын зардалд төлсөн</v>
      </c>
      <c r="P1135" s="80">
        <f t="shared" si="94"/>
        <v>1</v>
      </c>
      <c r="Q1135" s="154">
        <f t="shared" si="95"/>
        <v>1</v>
      </c>
    </row>
    <row r="1136" spans="2:17">
      <c r="B1136" s="627">
        <f t="shared" si="91"/>
        <v>1131</v>
      </c>
      <c r="C1136" s="429">
        <v>43342</v>
      </c>
      <c r="D1136" s="816" t="s">
        <v>2602</v>
      </c>
      <c r="E1136" s="807">
        <v>120600</v>
      </c>
      <c r="F1136" s="629" t="str">
        <f>IFERROR(VLOOKUP(E1136,STAT1!$C$4:$D$1000,2,FALSE),"")</f>
        <v>НӨАТ авлага</v>
      </c>
      <c r="G1136" s="811">
        <v>30330</v>
      </c>
      <c r="H1136" s="811"/>
      <c r="I1136" s="580">
        <f t="shared" si="92"/>
        <v>0</v>
      </c>
      <c r="J1136" s="961">
        <f t="shared" si="93"/>
        <v>0</v>
      </c>
      <c r="K1136" s="80"/>
      <c r="L1136" s="807">
        <v>2005</v>
      </c>
      <c r="M1136" s="80" t="str">
        <f>+IFERROR(VLOOKUP(L1136,DATA!$G$4:$H$2000,2,FALSE),"")</f>
        <v xml:space="preserve">УСУГ ТӨХК </v>
      </c>
      <c r="N1136" s="807"/>
      <c r="O1136" s="80" t="str">
        <f>IFERROR(VLOOKUP(N1136,DATA!$K$4:$L$51,2,FALSE),"")</f>
        <v/>
      </c>
      <c r="P1136" s="80">
        <f t="shared" si="94"/>
        <v>0</v>
      </c>
      <c r="Q1136" s="154">
        <f t="shared" si="95"/>
        <v>0</v>
      </c>
    </row>
    <row r="1137" spans="2:17">
      <c r="B1137" s="627">
        <f t="shared" si="91"/>
        <v>1132</v>
      </c>
      <c r="C1137" s="429">
        <v>43342</v>
      </c>
      <c r="D1137" s="816" t="s">
        <v>2602</v>
      </c>
      <c r="E1137" s="807">
        <v>700900</v>
      </c>
      <c r="F1137" s="629" t="str">
        <f>IFERROR(VLOOKUP(E1137,STAT1!$C$4:$D$1000,2,FALSE),"")</f>
        <v>Уур, ус</v>
      </c>
      <c r="G1137" s="811">
        <f>333630-30330</f>
        <v>303300</v>
      </c>
      <c r="H1137" s="811"/>
      <c r="I1137" s="580">
        <f t="shared" si="92"/>
        <v>0</v>
      </c>
      <c r="J1137" s="961">
        <f t="shared" si="93"/>
        <v>0</v>
      </c>
      <c r="K1137" s="80"/>
      <c r="L1137" s="807">
        <v>2005</v>
      </c>
      <c r="M1137" s="80" t="str">
        <f>+IFERROR(VLOOKUP(L1137,DATA!$G$4:$H$2000,2,FALSE),"")</f>
        <v xml:space="preserve">УСУГ ТӨХК </v>
      </c>
      <c r="N1137" s="807"/>
      <c r="O1137" s="80" t="str">
        <f>IFERROR(VLOOKUP(N1137,DATA!$K$4:$L$51,2,FALSE),"")</f>
        <v/>
      </c>
      <c r="P1137" s="80">
        <f t="shared" si="94"/>
        <v>0</v>
      </c>
      <c r="Q1137" s="154">
        <f t="shared" si="95"/>
        <v>0</v>
      </c>
    </row>
    <row r="1138" spans="2:17">
      <c r="B1138" s="627">
        <f t="shared" si="91"/>
        <v>1133</v>
      </c>
      <c r="C1138" s="582">
        <v>43343</v>
      </c>
      <c r="D1138" s="815" t="s">
        <v>2558</v>
      </c>
      <c r="E1138" s="630">
        <v>110100</v>
      </c>
      <c r="F1138" s="629" t="str">
        <f>IFERROR(VLOOKUP(E1138,STAT1!$C$4:$D$1000,2,FALSE),"")</f>
        <v>Хаан Банк 5024654020</v>
      </c>
      <c r="G1138" s="376"/>
      <c r="H1138" s="376">
        <v>600</v>
      </c>
      <c r="I1138" s="580">
        <f t="shared" si="92"/>
        <v>-600</v>
      </c>
      <c r="J1138" s="961">
        <f t="shared" si="93"/>
        <v>0</v>
      </c>
      <c r="K1138" s="80"/>
      <c r="L1138" s="630">
        <v>2009</v>
      </c>
      <c r="M1138" s="80" t="str">
        <f>+IFERROR(VLOOKUP(L1138,DATA!$G$4:$H$2000,2,FALSE),"")</f>
        <v>ХААН БАНК</v>
      </c>
      <c r="N1138" s="630">
        <v>59</v>
      </c>
      <c r="O1138" s="80" t="str">
        <f>IFERROR(VLOOKUP(N1138,DATA!$K$4:$L$51,2,FALSE),"")</f>
        <v>Бусад мөнгөн зарлага</v>
      </c>
      <c r="P1138" s="80">
        <f t="shared" si="94"/>
        <v>1</v>
      </c>
      <c r="Q1138" s="154">
        <f t="shared" si="95"/>
        <v>1</v>
      </c>
    </row>
    <row r="1139" spans="2:17">
      <c r="B1139" s="627">
        <f t="shared" si="91"/>
        <v>1134</v>
      </c>
      <c r="C1139" s="582">
        <v>43343</v>
      </c>
      <c r="D1139" s="815" t="s">
        <v>2558</v>
      </c>
      <c r="E1139" s="630">
        <v>704900</v>
      </c>
      <c r="F1139" s="629" t="str">
        <f>IFERROR(VLOOKUP(E1139,STAT1!$C$4:$D$1000,2,FALSE),"")</f>
        <v>Банкны үйлчилгээ</v>
      </c>
      <c r="G1139" s="376">
        <v>600</v>
      </c>
      <c r="H1139" s="376"/>
      <c r="I1139" s="580">
        <f t="shared" si="92"/>
        <v>0</v>
      </c>
      <c r="J1139" s="961">
        <f t="shared" si="93"/>
        <v>0</v>
      </c>
      <c r="K1139" s="80"/>
      <c r="L1139" s="630">
        <v>2009</v>
      </c>
      <c r="M1139" s="80" t="str">
        <f>+IFERROR(VLOOKUP(L1139,DATA!$G$4:$H$2000,2,FALSE),"")</f>
        <v>ХААН БАНК</v>
      </c>
      <c r="N1139" s="630"/>
      <c r="O1139" s="80" t="str">
        <f>IFERROR(VLOOKUP(N1139,DATA!$K$4:$L$51,2,FALSE),"")</f>
        <v/>
      </c>
      <c r="P1139" s="80">
        <f t="shared" si="94"/>
        <v>0</v>
      </c>
      <c r="Q1139" s="154">
        <f t="shared" si="95"/>
        <v>0</v>
      </c>
    </row>
    <row r="1140" spans="2:17">
      <c r="B1140" s="627">
        <f t="shared" si="91"/>
        <v>1135</v>
      </c>
      <c r="C1140" s="582">
        <v>43343</v>
      </c>
      <c r="D1140" s="815" t="s">
        <v>2558</v>
      </c>
      <c r="E1140" s="630">
        <v>110100</v>
      </c>
      <c r="F1140" s="629" t="str">
        <f>IFERROR(VLOOKUP(E1140,STAT1!$C$4:$D$1000,2,FALSE),"")</f>
        <v>Хаан Банк 5024654020</v>
      </c>
      <c r="G1140" s="376"/>
      <c r="H1140" s="376">
        <v>2000</v>
      </c>
      <c r="I1140" s="580">
        <f t="shared" si="92"/>
        <v>-2000</v>
      </c>
      <c r="J1140" s="961">
        <f t="shared" si="93"/>
        <v>0</v>
      </c>
      <c r="K1140" s="80"/>
      <c r="L1140" s="630">
        <v>2009</v>
      </c>
      <c r="M1140" s="80" t="str">
        <f>+IFERROR(VLOOKUP(L1140,DATA!$G$4:$H$2000,2,FALSE),"")</f>
        <v>ХААН БАНК</v>
      </c>
      <c r="N1140" s="630">
        <v>59</v>
      </c>
      <c r="O1140" s="80" t="str">
        <f>IFERROR(VLOOKUP(N1140,DATA!$K$4:$L$51,2,FALSE),"")</f>
        <v>Бусад мөнгөн зарлага</v>
      </c>
      <c r="P1140" s="80">
        <f t="shared" si="94"/>
        <v>1</v>
      </c>
      <c r="Q1140" s="154">
        <f t="shared" si="95"/>
        <v>1</v>
      </c>
    </row>
    <row r="1141" spans="2:17">
      <c r="B1141" s="627">
        <f t="shared" si="91"/>
        <v>1136</v>
      </c>
      <c r="C1141" s="582">
        <v>43343</v>
      </c>
      <c r="D1141" s="815" t="s">
        <v>2558</v>
      </c>
      <c r="E1141" s="807">
        <v>704900</v>
      </c>
      <c r="F1141" s="629" t="str">
        <f>IFERROR(VLOOKUP(E1141,STAT1!$C$4:$D$1000,2,FALSE),"")</f>
        <v>Банкны үйлчилгээ</v>
      </c>
      <c r="G1141" s="811">
        <v>2000</v>
      </c>
      <c r="H1141" s="811"/>
      <c r="I1141" s="580">
        <f t="shared" si="92"/>
        <v>0</v>
      </c>
      <c r="J1141" s="961">
        <f t="shared" si="93"/>
        <v>0</v>
      </c>
      <c r="K1141" s="80"/>
      <c r="L1141" s="630">
        <v>2009</v>
      </c>
      <c r="M1141" s="80" t="str">
        <f>+IFERROR(VLOOKUP(L1141,DATA!$G$4:$H$2000,2,FALSE),"")</f>
        <v>ХААН БАНК</v>
      </c>
      <c r="N1141" s="807"/>
      <c r="O1141" s="80" t="str">
        <f>IFERROR(VLOOKUP(N1141,DATA!$K$4:$L$51,2,FALSE),"")</f>
        <v/>
      </c>
      <c r="P1141" s="80">
        <f t="shared" si="94"/>
        <v>0</v>
      </c>
      <c r="Q1141" s="154">
        <f t="shared" si="95"/>
        <v>0</v>
      </c>
    </row>
    <row r="1142" spans="2:17">
      <c r="B1142" s="627">
        <f t="shared" si="91"/>
        <v>1137</v>
      </c>
      <c r="C1142" s="429">
        <v>43343</v>
      </c>
      <c r="D1142" s="816" t="s">
        <v>2510</v>
      </c>
      <c r="E1142" s="807">
        <v>100100</v>
      </c>
      <c r="F1142" s="629" t="str">
        <f>IFERROR(VLOOKUP(E1142,STAT1!$C$4:$D$1000,2,FALSE),"")</f>
        <v>Касс мөнгө MNT</v>
      </c>
      <c r="G1142" s="811"/>
      <c r="H1142" s="811">
        <v>3015112</v>
      </c>
      <c r="I1142" s="580">
        <f t="shared" si="92"/>
        <v>-3015112</v>
      </c>
      <c r="J1142" s="961">
        <f t="shared" si="93"/>
        <v>0</v>
      </c>
      <c r="K1142" s="80"/>
      <c r="L1142" s="807">
        <v>2003</v>
      </c>
      <c r="M1142" s="80" t="str">
        <f>+IFERROR(VLOOKUP(L1142,DATA!$G$4:$H$2000,2,FALSE),"")</f>
        <v xml:space="preserve">УБЦТС ТӨХК </v>
      </c>
      <c r="N1142" s="807">
        <v>54</v>
      </c>
      <c r="O1142" s="80" t="str">
        <f>IFERROR(VLOOKUP(N1142,DATA!$K$4:$L$51,2,FALSE),"")</f>
        <v>Ашиглалтын зардалд төлсөн</v>
      </c>
      <c r="P1142" s="80">
        <f t="shared" si="94"/>
        <v>1</v>
      </c>
      <c r="Q1142" s="154">
        <f t="shared" si="95"/>
        <v>1</v>
      </c>
    </row>
    <row r="1143" spans="2:17">
      <c r="B1143" s="627">
        <f t="shared" si="91"/>
        <v>1138</v>
      </c>
      <c r="C1143" s="429">
        <v>43343</v>
      </c>
      <c r="D1143" s="816" t="s">
        <v>2510</v>
      </c>
      <c r="E1143" s="807">
        <v>120600</v>
      </c>
      <c r="F1143" s="629" t="str">
        <f>IFERROR(VLOOKUP(E1143,STAT1!$C$4:$D$1000,2,FALSE),"")</f>
        <v>НӨАТ авлага</v>
      </c>
      <c r="G1143" s="811">
        <v>274101.09000000003</v>
      </c>
      <c r="H1143" s="811"/>
      <c r="I1143" s="580">
        <f t="shared" si="92"/>
        <v>0</v>
      </c>
      <c r="J1143" s="961">
        <f t="shared" si="93"/>
        <v>0</v>
      </c>
      <c r="K1143" s="80"/>
      <c r="L1143" s="807">
        <v>2003</v>
      </c>
      <c r="M1143" s="80" t="str">
        <f>+IFERROR(VLOOKUP(L1143,DATA!$G$4:$H$2000,2,FALSE),"")</f>
        <v xml:space="preserve">УБЦТС ТӨХК </v>
      </c>
      <c r="N1143" s="807"/>
      <c r="O1143" s="80" t="str">
        <f>IFERROR(VLOOKUP(N1143,DATA!$K$4:$L$51,2,FALSE),"")</f>
        <v/>
      </c>
      <c r="P1143" s="80">
        <f t="shared" si="94"/>
        <v>0</v>
      </c>
      <c r="Q1143" s="154">
        <f t="shared" si="95"/>
        <v>0</v>
      </c>
    </row>
    <row r="1144" spans="2:17">
      <c r="B1144" s="627">
        <f t="shared" si="91"/>
        <v>1139</v>
      </c>
      <c r="C1144" s="429">
        <v>43343</v>
      </c>
      <c r="D1144" s="816" t="s">
        <v>2510</v>
      </c>
      <c r="E1144" s="630">
        <v>700700</v>
      </c>
      <c r="F1144" s="629" t="str">
        <f>IFERROR(VLOOKUP(E1144,STAT1!$C$4:$D$1000,2,FALSE),"")</f>
        <v>Цахилгаан эрчим хүч</v>
      </c>
      <c r="G1144" s="376">
        <f>3015112-274101.09</f>
        <v>2741010.91</v>
      </c>
      <c r="H1144" s="376"/>
      <c r="I1144" s="580">
        <f t="shared" si="92"/>
        <v>0</v>
      </c>
      <c r="J1144" s="961">
        <f t="shared" si="93"/>
        <v>0</v>
      </c>
      <c r="K1144" s="80"/>
      <c r="L1144" s="807">
        <v>2003</v>
      </c>
      <c r="M1144" s="80" t="str">
        <f>+IFERROR(VLOOKUP(L1144,DATA!$G$4:$H$2000,2,FALSE),"")</f>
        <v xml:space="preserve">УБЦТС ТӨХК </v>
      </c>
      <c r="N1144" s="630"/>
      <c r="O1144" s="80" t="str">
        <f>IFERROR(VLOOKUP(N1144,DATA!$K$4:$L$51,2,FALSE),"")</f>
        <v/>
      </c>
      <c r="P1144" s="80">
        <f t="shared" si="94"/>
        <v>0</v>
      </c>
      <c r="Q1144" s="154">
        <f t="shared" si="95"/>
        <v>0</v>
      </c>
    </row>
    <row r="1145" spans="2:17">
      <c r="B1145" s="627">
        <f t="shared" si="91"/>
        <v>1140</v>
      </c>
      <c r="C1145" s="429">
        <v>43343</v>
      </c>
      <c r="D1145" s="850" t="s">
        <v>2674</v>
      </c>
      <c r="E1145" s="630">
        <v>700200</v>
      </c>
      <c r="F1145" s="629" t="str">
        <f>IFERROR(VLOOKUP(E1145,STAT1!$C$4:$D$1000,2,FALSE),"")</f>
        <v>НДШимтгэл</v>
      </c>
      <c r="G1145" s="811">
        <v>1225715.78</v>
      </c>
      <c r="H1145" s="807"/>
      <c r="I1145" s="580">
        <f t="shared" si="92"/>
        <v>0</v>
      </c>
      <c r="J1145" s="961">
        <f t="shared" si="93"/>
        <v>0</v>
      </c>
      <c r="K1145" s="80"/>
      <c r="L1145" s="807">
        <v>1004</v>
      </c>
      <c r="M1145" s="80" t="str">
        <f>+IFERROR(VLOOKUP(L1145,DATA!$G$4:$H$2000,2,FALSE),"")</f>
        <v xml:space="preserve">Түмэндэлгэр </v>
      </c>
      <c r="N1145" s="807"/>
      <c r="O1145" s="80" t="str">
        <f>IFERROR(VLOOKUP(N1145,DATA!$K$4:$L$51,2,FALSE),"")</f>
        <v/>
      </c>
      <c r="P1145" s="80">
        <f t="shared" si="94"/>
        <v>0</v>
      </c>
      <c r="Q1145" s="154">
        <f t="shared" si="95"/>
        <v>0</v>
      </c>
    </row>
    <row r="1146" spans="2:17">
      <c r="B1146" s="627">
        <f t="shared" si="91"/>
        <v>1141</v>
      </c>
      <c r="C1146" s="429">
        <v>43343</v>
      </c>
      <c r="D1146" s="850" t="s">
        <v>2674</v>
      </c>
      <c r="E1146" s="630">
        <v>310800</v>
      </c>
      <c r="F1146" s="629" t="str">
        <f>IFERROR(VLOOKUP(E1146,STAT1!$C$4:$D$1000,2,FALSE),"")</f>
        <v>НД-ын байгууллагад өгөх өглөг</v>
      </c>
      <c r="G1146" s="807"/>
      <c r="H1146" s="811">
        <v>1225715.78</v>
      </c>
      <c r="I1146" s="580">
        <f t="shared" si="92"/>
        <v>0</v>
      </c>
      <c r="J1146" s="961">
        <f t="shared" si="93"/>
        <v>0</v>
      </c>
      <c r="K1146" s="80"/>
      <c r="L1146" s="807">
        <v>1004</v>
      </c>
      <c r="M1146" s="80" t="str">
        <f>+IFERROR(VLOOKUP(L1146,DATA!$G$4:$H$2000,2,FALSE),"")</f>
        <v xml:space="preserve">Түмэндэлгэр </v>
      </c>
      <c r="N1146" s="807"/>
      <c r="O1146" s="80" t="str">
        <f>IFERROR(VLOOKUP(N1146,DATA!$K$4:$L$51,2,FALSE),"")</f>
        <v/>
      </c>
      <c r="P1146" s="80">
        <f t="shared" si="94"/>
        <v>0</v>
      </c>
      <c r="Q1146" s="154">
        <f t="shared" si="95"/>
        <v>0</v>
      </c>
    </row>
    <row r="1147" spans="2:17">
      <c r="B1147" s="627">
        <f t="shared" si="91"/>
        <v>1142</v>
      </c>
      <c r="C1147" s="429">
        <v>43343</v>
      </c>
      <c r="D1147" s="850" t="s">
        <v>2675</v>
      </c>
      <c r="E1147" s="630">
        <v>310800</v>
      </c>
      <c r="F1147" s="629" t="str">
        <f>IFERROR(VLOOKUP(E1147,STAT1!$C$4:$D$1000,2,FALSE),"")</f>
        <v>НД-ын байгууллагад өгөх өглөг</v>
      </c>
      <c r="G1147" s="807"/>
      <c r="H1147" s="811">
        <v>972751.18</v>
      </c>
      <c r="I1147" s="580">
        <f t="shared" si="92"/>
        <v>0</v>
      </c>
      <c r="J1147" s="961">
        <f t="shared" si="93"/>
        <v>0</v>
      </c>
      <c r="K1147" s="80"/>
      <c r="L1147" s="807">
        <v>1004</v>
      </c>
      <c r="M1147" s="80" t="str">
        <f>+IFERROR(VLOOKUP(L1147,DATA!$G$4:$H$2000,2,FALSE),"")</f>
        <v xml:space="preserve">Түмэндэлгэр </v>
      </c>
      <c r="N1147" s="807"/>
      <c r="O1147" s="80" t="str">
        <f>IFERROR(VLOOKUP(N1147,DATA!$K$4:$L$51,2,FALSE),"")</f>
        <v/>
      </c>
      <c r="P1147" s="80">
        <f t="shared" si="94"/>
        <v>0</v>
      </c>
      <c r="Q1147" s="154">
        <f t="shared" si="95"/>
        <v>0</v>
      </c>
    </row>
    <row r="1148" spans="2:17">
      <c r="B1148" s="627">
        <f t="shared" si="91"/>
        <v>1143</v>
      </c>
      <c r="C1148" s="429">
        <v>43343</v>
      </c>
      <c r="D1148" s="850" t="s">
        <v>2676</v>
      </c>
      <c r="E1148" s="630">
        <v>310700</v>
      </c>
      <c r="F1148" s="629" t="str">
        <f>IFERROR(VLOOKUP(E1148,STAT1!$C$4:$D$1000,2,FALSE),"")</f>
        <v>ХАОАТ өглөг</v>
      </c>
      <c r="G1148" s="807"/>
      <c r="H1148" s="811">
        <v>620547.83999999997</v>
      </c>
      <c r="I1148" s="580">
        <f t="shared" si="92"/>
        <v>0</v>
      </c>
      <c r="J1148" s="961">
        <f t="shared" si="93"/>
        <v>0</v>
      </c>
      <c r="K1148" s="80"/>
      <c r="L1148" s="807">
        <v>1004</v>
      </c>
      <c r="M1148" s="80" t="str">
        <f>+IFERROR(VLOOKUP(L1148,DATA!$G$4:$H$2000,2,FALSE),"")</f>
        <v xml:space="preserve">Түмэндэлгэр </v>
      </c>
      <c r="N1148" s="807"/>
      <c r="O1148" s="80" t="str">
        <f>IFERROR(VLOOKUP(N1148,DATA!$K$4:$L$51,2,FALSE),"")</f>
        <v/>
      </c>
      <c r="P1148" s="80">
        <f t="shared" si="94"/>
        <v>0</v>
      </c>
      <c r="Q1148" s="154">
        <f t="shared" si="95"/>
        <v>0</v>
      </c>
    </row>
    <row r="1149" spans="2:17">
      <c r="B1149" s="627">
        <f t="shared" si="91"/>
        <v>1144</v>
      </c>
      <c r="C1149" s="429">
        <v>43343</v>
      </c>
      <c r="D1149" s="850" t="s">
        <v>2677</v>
      </c>
      <c r="E1149" s="630">
        <v>311000</v>
      </c>
      <c r="F1149" s="629" t="str">
        <f>IFERROR(VLOOKUP(E1149,STAT1!$C$4:$D$1000,2,FALSE),"")</f>
        <v>Цалингийн өглөг</v>
      </c>
      <c r="G1149" s="807"/>
      <c r="H1149" s="811">
        <v>7334930.5999999996</v>
      </c>
      <c r="I1149" s="580">
        <f t="shared" si="92"/>
        <v>0</v>
      </c>
      <c r="J1149" s="961">
        <f t="shared" si="93"/>
        <v>0</v>
      </c>
      <c r="K1149" s="80"/>
      <c r="L1149" s="807">
        <v>1004</v>
      </c>
      <c r="M1149" s="80" t="str">
        <f>+IFERROR(VLOOKUP(L1149,DATA!$G$4:$H$2000,2,FALSE),"")</f>
        <v xml:space="preserve">Түмэндэлгэр </v>
      </c>
      <c r="N1149" s="807"/>
      <c r="O1149" s="80" t="str">
        <f>IFERROR(VLOOKUP(N1149,DATA!$K$4:$L$51,2,FALSE),"")</f>
        <v/>
      </c>
      <c r="P1149" s="80">
        <f t="shared" si="94"/>
        <v>0</v>
      </c>
      <c r="Q1149" s="154">
        <f t="shared" si="95"/>
        <v>0</v>
      </c>
    </row>
    <row r="1150" spans="2:17">
      <c r="B1150" s="627">
        <f t="shared" si="91"/>
        <v>1145</v>
      </c>
      <c r="C1150" s="429">
        <v>43343</v>
      </c>
      <c r="D1150" s="850" t="s">
        <v>2678</v>
      </c>
      <c r="E1150" s="807">
        <v>700100</v>
      </c>
      <c r="F1150" s="629" t="str">
        <f>IFERROR(VLOOKUP(E1150,STAT1!$C$4:$D$1000,2,FALSE),"")</f>
        <v>Цалин хөлс, шагнал</v>
      </c>
      <c r="G1150" s="811">
        <v>8928229.6199999992</v>
      </c>
      <c r="H1150" s="807"/>
      <c r="I1150" s="580">
        <f t="shared" si="92"/>
        <v>0</v>
      </c>
      <c r="J1150" s="961">
        <f t="shared" si="93"/>
        <v>0</v>
      </c>
      <c r="K1150" s="80"/>
      <c r="L1150" s="807">
        <v>1004</v>
      </c>
      <c r="M1150" s="80" t="str">
        <f>+IFERROR(VLOOKUP(L1150,DATA!$G$4:$H$2000,2,FALSE),"")</f>
        <v xml:space="preserve">Түмэндэлгэр </v>
      </c>
      <c r="N1150" s="807"/>
      <c r="O1150" s="80" t="str">
        <f>IFERROR(VLOOKUP(N1150,DATA!$K$4:$L$51,2,FALSE),"")</f>
        <v/>
      </c>
      <c r="P1150" s="80">
        <f t="shared" si="94"/>
        <v>0</v>
      </c>
      <c r="Q1150" s="154">
        <f t="shared" si="95"/>
        <v>0</v>
      </c>
    </row>
    <row r="1151" spans="2:17">
      <c r="B1151" s="627">
        <f t="shared" si="91"/>
        <v>1146</v>
      </c>
      <c r="C1151" s="429">
        <v>43343</v>
      </c>
      <c r="D1151" s="816" t="s">
        <v>2679</v>
      </c>
      <c r="E1151" s="807">
        <v>100100</v>
      </c>
      <c r="F1151" s="629" t="str">
        <f>IFERROR(VLOOKUP(E1151,STAT1!$C$4:$D$1000,2,FALSE),"")</f>
        <v>Касс мөнгө MNT</v>
      </c>
      <c r="G1151" s="811"/>
      <c r="H1151" s="811">
        <v>7334930.5999999996</v>
      </c>
      <c r="I1151" s="580">
        <f t="shared" si="92"/>
        <v>-7334930.5999999996</v>
      </c>
      <c r="J1151" s="961">
        <f t="shared" si="93"/>
        <v>0</v>
      </c>
      <c r="K1151" s="80"/>
      <c r="L1151" s="807">
        <v>1004</v>
      </c>
      <c r="M1151" s="80" t="str">
        <f>+IFERROR(VLOOKUP(L1151,DATA!$G$4:$H$2000,2,FALSE),"")</f>
        <v xml:space="preserve">Түмэндэлгэр </v>
      </c>
      <c r="N1151" s="807">
        <v>51</v>
      </c>
      <c r="O1151" s="80" t="str">
        <f>IFERROR(VLOOKUP(N1151,DATA!$K$4:$L$51,2,FALSE),"")</f>
        <v>Ажиллагчдад төлсөн</v>
      </c>
      <c r="P1151" s="80">
        <f t="shared" si="94"/>
        <v>1</v>
      </c>
      <c r="Q1151" s="154">
        <f t="shared" si="95"/>
        <v>1</v>
      </c>
    </row>
    <row r="1152" spans="2:17">
      <c r="B1152" s="627">
        <f t="shared" si="91"/>
        <v>1147</v>
      </c>
      <c r="C1152" s="429">
        <v>43343</v>
      </c>
      <c r="D1152" s="816" t="s">
        <v>2679</v>
      </c>
      <c r="E1152" s="807">
        <v>311000</v>
      </c>
      <c r="F1152" s="629" t="str">
        <f>IFERROR(VLOOKUP(E1152,STAT1!$C$4:$D$8000,2,FALSE),"")</f>
        <v>Цалингийн өглөг</v>
      </c>
      <c r="G1152" s="811">
        <v>7334930.5999999996</v>
      </c>
      <c r="H1152" s="376"/>
      <c r="I1152" s="580">
        <f t="shared" si="92"/>
        <v>0</v>
      </c>
      <c r="J1152" s="961">
        <f t="shared" si="93"/>
        <v>0</v>
      </c>
      <c r="K1152" s="80"/>
      <c r="L1152" s="807">
        <v>1004</v>
      </c>
      <c r="M1152" s="80" t="str">
        <f>+IFERROR(VLOOKUP(L1152,DATA!$G$4:$H$2000,2,FALSE),"")</f>
        <v xml:space="preserve">Түмэндэлгэр </v>
      </c>
      <c r="N1152" s="630"/>
      <c r="O1152" s="80" t="str">
        <f>IFERROR(VLOOKUP(N1152,DATA!$K$4:$L$51,2,FALSE),"")</f>
        <v/>
      </c>
      <c r="P1152" s="80">
        <f t="shared" si="94"/>
        <v>0</v>
      </c>
      <c r="Q1152" s="154">
        <f t="shared" si="95"/>
        <v>0</v>
      </c>
    </row>
    <row r="1153" spans="2:17">
      <c r="B1153" s="627">
        <f t="shared" si="91"/>
        <v>1148</v>
      </c>
      <c r="C1153" s="582">
        <v>43343</v>
      </c>
      <c r="D1153" s="815" t="s">
        <v>2710</v>
      </c>
      <c r="E1153" s="630">
        <v>310100</v>
      </c>
      <c r="F1153" s="629" t="str">
        <f>IFERROR(VLOOKUP(E1153,STAT1!$C$4:$D$8000,2,FALSE),"")</f>
        <v>Дансны өглөг MNT</v>
      </c>
      <c r="G1153" s="376"/>
      <c r="H1153" s="376">
        <f>52500+462000</f>
        <v>514500</v>
      </c>
      <c r="I1153" s="580">
        <f t="shared" si="92"/>
        <v>0</v>
      </c>
      <c r="J1153" s="961">
        <f t="shared" si="93"/>
        <v>0</v>
      </c>
      <c r="K1153" s="80"/>
      <c r="L1153" s="630">
        <v>3134</v>
      </c>
      <c r="M1153" s="80" t="str">
        <f>+IFERROR(VLOOKUP(L1153,DATA!$G$4:$H$2000,2,FALSE),"")</f>
        <v xml:space="preserve">ЖИ МОБАЙЛ </v>
      </c>
      <c r="N1153" s="630"/>
      <c r="O1153" s="80" t="str">
        <f>IFERROR(VLOOKUP(N1153,DATA!$K$4:$L$51,2,FALSE),"")</f>
        <v/>
      </c>
      <c r="P1153" s="80">
        <f t="shared" si="94"/>
        <v>0</v>
      </c>
      <c r="Q1153" s="154">
        <f t="shared" si="95"/>
        <v>0</v>
      </c>
    </row>
    <row r="1154" spans="2:17">
      <c r="B1154" s="627">
        <f t="shared" si="91"/>
        <v>1149</v>
      </c>
      <c r="C1154" s="582">
        <v>43343</v>
      </c>
      <c r="D1154" s="815" t="s">
        <v>2710</v>
      </c>
      <c r="E1154" s="630">
        <v>120600</v>
      </c>
      <c r="F1154" s="629" t="str">
        <f>IFERROR(VLOOKUP(E1154,STAT1!$C$4:$D$8000,2,FALSE),"")</f>
        <v>НӨАТ авлага</v>
      </c>
      <c r="G1154" s="376">
        <f>4772.73+42000</f>
        <v>46772.729999999996</v>
      </c>
      <c r="H1154" s="376"/>
      <c r="I1154" s="580">
        <f t="shared" si="92"/>
        <v>0</v>
      </c>
      <c r="J1154" s="961">
        <f t="shared" si="93"/>
        <v>0</v>
      </c>
      <c r="K1154" s="80"/>
      <c r="L1154" s="630">
        <v>3134</v>
      </c>
      <c r="M1154" s="80" t="str">
        <f>+IFERROR(VLOOKUP(L1154,DATA!$G$4:$H$2000,2,FALSE),"")</f>
        <v xml:space="preserve">ЖИ МОБАЙЛ </v>
      </c>
      <c r="N1154" s="630"/>
      <c r="O1154" s="80" t="str">
        <f>IFERROR(VLOOKUP(N1154,DATA!$K$4:$L$51,2,FALSE),"")</f>
        <v/>
      </c>
      <c r="P1154" s="80">
        <f t="shared" si="94"/>
        <v>0</v>
      </c>
      <c r="Q1154" s="154">
        <f t="shared" si="95"/>
        <v>0</v>
      </c>
    </row>
    <row r="1155" spans="2:17">
      <c r="B1155" s="627">
        <f t="shared" si="91"/>
        <v>1150</v>
      </c>
      <c r="C1155" s="582">
        <v>43343</v>
      </c>
      <c r="D1155" s="815" t="s">
        <v>2710</v>
      </c>
      <c r="E1155" s="630">
        <v>701900</v>
      </c>
      <c r="F1155" s="629" t="str">
        <f>IFERROR(VLOOKUP(E1155,STAT1!$C$4:$D$8000,2,FALSE),"")</f>
        <v>Харилцаа холбоо</v>
      </c>
      <c r="G1155" s="376">
        <f>514500-46772.73</f>
        <v>467727.27</v>
      </c>
      <c r="H1155" s="376"/>
      <c r="I1155" s="580">
        <f t="shared" si="92"/>
        <v>0</v>
      </c>
      <c r="J1155" s="961">
        <f t="shared" si="93"/>
        <v>0</v>
      </c>
      <c r="K1155" s="80"/>
      <c r="L1155" s="630">
        <v>3134</v>
      </c>
      <c r="M1155" s="80" t="str">
        <f>+IFERROR(VLOOKUP(L1155,DATA!$G$4:$H$2000,2,FALSE),"")</f>
        <v xml:space="preserve">ЖИ МОБАЙЛ </v>
      </c>
      <c r="N1155" s="630"/>
      <c r="O1155" s="80" t="str">
        <f>IFERROR(VLOOKUP(N1155,DATA!$K$4:$L$51,2,FALSE),"")</f>
        <v/>
      </c>
      <c r="P1155" s="80">
        <f t="shared" si="94"/>
        <v>0</v>
      </c>
      <c r="Q1155" s="154">
        <f t="shared" si="95"/>
        <v>0</v>
      </c>
    </row>
    <row r="1156" spans="2:17">
      <c r="B1156" s="627">
        <f t="shared" si="91"/>
        <v>1151</v>
      </c>
      <c r="C1156" s="582">
        <v>43343</v>
      </c>
      <c r="D1156" s="815" t="s">
        <v>2567</v>
      </c>
      <c r="E1156" s="630">
        <v>100100</v>
      </c>
      <c r="F1156" s="629" t="str">
        <f>IFERROR(VLOOKUP(E1156,STAT1!$C$4:$D$8000,2,FALSE),"")</f>
        <v>Касс мөнгө MNT</v>
      </c>
      <c r="G1156" s="376"/>
      <c r="H1156" s="376">
        <v>713700</v>
      </c>
      <c r="I1156" s="580">
        <f t="shared" si="92"/>
        <v>-713700</v>
      </c>
      <c r="J1156" s="961">
        <f t="shared" si="93"/>
        <v>0</v>
      </c>
      <c r="K1156" s="80"/>
      <c r="L1156" s="630">
        <v>1004</v>
      </c>
      <c r="M1156" s="80" t="str">
        <f>+IFERROR(VLOOKUP(L1156,DATA!$G$4:$H$2000,2,FALSE),"")</f>
        <v xml:space="preserve">Түмэндэлгэр </v>
      </c>
      <c r="N1156" s="630">
        <v>53</v>
      </c>
      <c r="O1156" s="80" t="str">
        <f>IFERROR(VLOOKUP(N1156,DATA!$K$4:$L$51,2,FALSE),"")</f>
        <v>Бараа материал худалдан авахад төлсөн</v>
      </c>
      <c r="P1156" s="80">
        <f t="shared" si="94"/>
        <v>1</v>
      </c>
      <c r="Q1156" s="154">
        <f t="shared" si="95"/>
        <v>1</v>
      </c>
    </row>
    <row r="1157" spans="2:17">
      <c r="B1157" s="627">
        <f t="shared" si="91"/>
        <v>1152</v>
      </c>
      <c r="C1157" s="582">
        <v>43343</v>
      </c>
      <c r="D1157" s="815" t="s">
        <v>2567</v>
      </c>
      <c r="E1157" s="630">
        <v>121200</v>
      </c>
      <c r="F1157" s="629" t="str">
        <f>IFERROR(VLOOKUP(E1157,STAT1!$C$4:$D$8000,2,FALSE),"")</f>
        <v xml:space="preserve">Ажилчидын дараа тайлангийн тооцоо </v>
      </c>
      <c r="G1157" s="376">
        <v>713700</v>
      </c>
      <c r="H1157" s="376"/>
      <c r="I1157" s="580">
        <f t="shared" si="92"/>
        <v>0</v>
      </c>
      <c r="J1157" s="961">
        <f t="shared" si="93"/>
        <v>0</v>
      </c>
      <c r="K1157" s="80"/>
      <c r="L1157" s="630">
        <v>1004</v>
      </c>
      <c r="M1157" s="80" t="str">
        <f>+IFERROR(VLOOKUP(L1157,DATA!$G$4:$H$2000,2,FALSE),"")</f>
        <v xml:space="preserve">Түмэндэлгэр </v>
      </c>
      <c r="N1157" s="630"/>
      <c r="O1157" s="80" t="str">
        <f>IFERROR(VLOOKUP(N1157,DATA!$K$4:$L$51,2,FALSE),"")</f>
        <v/>
      </c>
      <c r="P1157" s="80">
        <f t="shared" si="94"/>
        <v>0</v>
      </c>
      <c r="Q1157" s="154">
        <f t="shared" si="95"/>
        <v>0</v>
      </c>
    </row>
    <row r="1158" spans="2:17">
      <c r="B1158" s="627">
        <f t="shared" ref="B1158:B1221" si="96">+IF(C1158="","",ROW()-5)</f>
        <v>1153</v>
      </c>
      <c r="C1158" s="582">
        <v>43343</v>
      </c>
      <c r="D1158" s="815" t="s">
        <v>2665</v>
      </c>
      <c r="E1158" s="630">
        <v>160100</v>
      </c>
      <c r="F1158" s="629" t="str">
        <f>IFERROR(VLOOKUP(E1158,STAT1!$C$4:$D$8000,2,FALSE),"")</f>
        <v xml:space="preserve">Барилгын материал </v>
      </c>
      <c r="G1158" s="376">
        <v>648818.18181818177</v>
      </c>
      <c r="H1158" s="376"/>
      <c r="I1158" s="580">
        <f t="shared" si="92"/>
        <v>0</v>
      </c>
      <c r="J1158" s="961">
        <f t="shared" si="93"/>
        <v>0</v>
      </c>
      <c r="K1158" s="80"/>
      <c r="L1158" s="630">
        <v>1004</v>
      </c>
      <c r="M1158" s="80" t="str">
        <f>+IFERROR(VLOOKUP(L1158,DATA!$G$4:$H$2000,2,FALSE),"")</f>
        <v xml:space="preserve">Түмэндэлгэр </v>
      </c>
      <c r="N1158" s="630"/>
      <c r="O1158" s="80" t="str">
        <f>IFERROR(VLOOKUP(N1158,DATA!$K$4:$L$51,2,FALSE),"")</f>
        <v/>
      </c>
      <c r="P1158" s="80">
        <f t="shared" si="94"/>
        <v>0</v>
      </c>
      <c r="Q1158" s="154">
        <f t="shared" si="95"/>
        <v>0</v>
      </c>
    </row>
    <row r="1159" spans="2:17">
      <c r="B1159" s="627">
        <f t="shared" si="96"/>
        <v>1154</v>
      </c>
      <c r="C1159" s="582">
        <v>43343</v>
      </c>
      <c r="D1159" s="815" t="s">
        <v>2665</v>
      </c>
      <c r="E1159" s="630">
        <v>120600</v>
      </c>
      <c r="F1159" s="629" t="str">
        <f>IFERROR(VLOOKUP(E1159,STAT1!$C$4:$D$8000,2,FALSE),"")</f>
        <v>НӨАТ авлага</v>
      </c>
      <c r="G1159" s="376">
        <v>64881.818181818177</v>
      </c>
      <c r="H1159" s="376"/>
      <c r="I1159" s="580">
        <f t="shared" si="92"/>
        <v>0</v>
      </c>
      <c r="J1159" s="961">
        <f t="shared" si="93"/>
        <v>0</v>
      </c>
      <c r="K1159" s="80"/>
      <c r="L1159" s="630">
        <v>1004</v>
      </c>
      <c r="M1159" s="80" t="str">
        <f>+IFERROR(VLOOKUP(L1159,DATA!$G$4:$H$2000,2,FALSE),"")</f>
        <v xml:space="preserve">Түмэндэлгэр </v>
      </c>
      <c r="N1159" s="630"/>
      <c r="O1159" s="80" t="str">
        <f>IFERROR(VLOOKUP(N1159,DATA!$K$4:$L$51,2,FALSE),"")</f>
        <v/>
      </c>
      <c r="P1159" s="80">
        <f t="shared" si="94"/>
        <v>0</v>
      </c>
      <c r="Q1159" s="154">
        <f t="shared" si="95"/>
        <v>0</v>
      </c>
    </row>
    <row r="1160" spans="2:17">
      <c r="B1160" s="627">
        <f t="shared" si="96"/>
        <v>1155</v>
      </c>
      <c r="C1160" s="582">
        <v>43343</v>
      </c>
      <c r="D1160" s="815" t="s">
        <v>2665</v>
      </c>
      <c r="E1160" s="630">
        <v>121200</v>
      </c>
      <c r="F1160" s="629" t="str">
        <f>IFERROR(VLOOKUP(E1160,STAT1!$C$4:$D$8000,2,FALSE),"")</f>
        <v xml:space="preserve">Ажилчидын дараа тайлангийн тооцоо </v>
      </c>
      <c r="G1160" s="376"/>
      <c r="H1160" s="376">
        <v>713700</v>
      </c>
      <c r="I1160" s="580">
        <f t="shared" si="92"/>
        <v>0</v>
      </c>
      <c r="J1160" s="961">
        <f t="shared" si="93"/>
        <v>0</v>
      </c>
      <c r="K1160" s="80"/>
      <c r="L1160" s="630">
        <v>1004</v>
      </c>
      <c r="M1160" s="80" t="str">
        <f>+IFERROR(VLOOKUP(L1160,DATA!$G$4:$H$2000,2,FALSE),"")</f>
        <v xml:space="preserve">Түмэндэлгэр </v>
      </c>
      <c r="N1160" s="630"/>
      <c r="O1160" s="80" t="str">
        <f>IFERROR(VLOOKUP(N1160,DATA!$K$4:$L$51,2,FALSE),"")</f>
        <v/>
      </c>
      <c r="P1160" s="80">
        <f t="shared" si="94"/>
        <v>0</v>
      </c>
      <c r="Q1160" s="154">
        <f t="shared" si="95"/>
        <v>0</v>
      </c>
    </row>
    <row r="1161" spans="2:17">
      <c r="B1161" s="627">
        <f t="shared" si="96"/>
        <v>1156</v>
      </c>
      <c r="C1161" s="582">
        <v>43343</v>
      </c>
      <c r="D1161" s="816" t="s">
        <v>2727</v>
      </c>
      <c r="E1161" s="807">
        <v>150101</v>
      </c>
      <c r="F1161" s="629" t="str">
        <f>IFERROR(VLOOKUP(E1161,STAT1!$C$4:$D$8000,2,FALSE),"")</f>
        <v>Бараа бэлэн бүтээгдэхүүн БОЛОВСРУУЛАХ ЦЕХ /нарс/</v>
      </c>
      <c r="G1161" s="376"/>
      <c r="H1161" s="376">
        <v>65432.32059019318</v>
      </c>
      <c r="I1161" s="580">
        <f t="shared" si="92"/>
        <v>0</v>
      </c>
      <c r="J1161" s="961">
        <f t="shared" si="93"/>
        <v>0</v>
      </c>
      <c r="K1161" s="80"/>
      <c r="L1161" s="630">
        <v>3137</v>
      </c>
      <c r="M1161" s="80" t="str">
        <f>+IFERROR(VLOOKUP(L1161,DATA!$G$4:$H$2000,2,FALSE),"")</f>
        <v xml:space="preserve">ЭМХХ ХХК </v>
      </c>
      <c r="N1161" s="630"/>
      <c r="O1161" s="80" t="str">
        <f>IFERROR(VLOOKUP(N1161,DATA!$K$4:$L$51,2,FALSE),"")</f>
        <v/>
      </c>
      <c r="P1161" s="80">
        <f t="shared" si="94"/>
        <v>0</v>
      </c>
      <c r="Q1161" s="154">
        <f t="shared" si="95"/>
        <v>0</v>
      </c>
    </row>
    <row r="1162" spans="2:17">
      <c r="B1162" s="627">
        <f t="shared" si="96"/>
        <v>1157</v>
      </c>
      <c r="C1162" s="582">
        <v>43343</v>
      </c>
      <c r="D1162" s="816" t="s">
        <v>2727</v>
      </c>
      <c r="E1162" s="807">
        <v>610100</v>
      </c>
      <c r="F1162" s="629" t="str">
        <f>IFERROR(VLOOKUP(E1162,STAT1!$C$4:$D$8000,2,FALSE),"")</f>
        <v>Борлуулсан барааны өртөг</v>
      </c>
      <c r="G1162" s="376">
        <v>65432.32059019318</v>
      </c>
      <c r="H1162" s="376"/>
      <c r="I1162" s="580">
        <f t="shared" si="92"/>
        <v>0</v>
      </c>
      <c r="J1162" s="961">
        <f t="shared" si="93"/>
        <v>0</v>
      </c>
      <c r="K1162" s="80"/>
      <c r="L1162" s="630">
        <v>3137</v>
      </c>
      <c r="M1162" s="80" t="str">
        <f>+IFERROR(VLOOKUP(L1162,DATA!$G$4:$H$2000,2,FALSE),"")</f>
        <v xml:space="preserve">ЭМХХ ХХК </v>
      </c>
      <c r="N1162" s="630"/>
      <c r="O1162" s="80" t="str">
        <f>IFERROR(VLOOKUP(N1162,DATA!$K$4:$L$51,2,FALSE),"")</f>
        <v/>
      </c>
      <c r="P1162" s="80">
        <f t="shared" si="94"/>
        <v>0</v>
      </c>
      <c r="Q1162" s="154">
        <f t="shared" si="95"/>
        <v>0</v>
      </c>
    </row>
    <row r="1163" spans="2:17">
      <c r="B1163" s="627">
        <f t="shared" si="96"/>
        <v>1158</v>
      </c>
      <c r="C1163" s="582">
        <v>43343</v>
      </c>
      <c r="D1163" s="816" t="s">
        <v>2727</v>
      </c>
      <c r="E1163" s="807">
        <v>310500</v>
      </c>
      <c r="F1163" s="629" t="str">
        <f>IFERROR(VLOOKUP(E1163,STAT1!$C$4:$D$8000,2,FALSE),"")</f>
        <v>НӨАТ өглөг</v>
      </c>
      <c r="G1163" s="376"/>
      <c r="H1163" s="376">
        <v>9828.18</v>
      </c>
      <c r="I1163" s="580">
        <f t="shared" si="92"/>
        <v>0</v>
      </c>
      <c r="J1163" s="961">
        <f t="shared" si="93"/>
        <v>0</v>
      </c>
      <c r="K1163" s="80"/>
      <c r="L1163" s="630">
        <v>3137</v>
      </c>
      <c r="M1163" s="80" t="str">
        <f>+IFERROR(VLOOKUP(L1163,DATA!$G$4:$H$2000,2,FALSE),"")</f>
        <v xml:space="preserve">ЭМХХ ХХК </v>
      </c>
      <c r="N1163" s="630"/>
      <c r="O1163" s="80" t="str">
        <f>IFERROR(VLOOKUP(N1163,DATA!$K$4:$L$51,2,FALSE),"")</f>
        <v/>
      </c>
      <c r="P1163" s="80">
        <f t="shared" si="94"/>
        <v>0</v>
      </c>
      <c r="Q1163" s="154">
        <f t="shared" si="95"/>
        <v>0</v>
      </c>
    </row>
    <row r="1164" spans="2:17">
      <c r="B1164" s="627">
        <f t="shared" si="96"/>
        <v>1159</v>
      </c>
      <c r="C1164" s="429">
        <v>43343</v>
      </c>
      <c r="D1164" s="816" t="s">
        <v>2727</v>
      </c>
      <c r="E1164" s="807">
        <v>510000</v>
      </c>
      <c r="F1164" s="629" t="str">
        <f>IFERROR(VLOOKUP(E1164,STAT1!$C$4:$D$1000,2,FALSE),"")</f>
        <v>Үндсэн үйл ажиллагааны борлуулалт</v>
      </c>
      <c r="G1164" s="811"/>
      <c r="H1164" s="811">
        <v>98281.82</v>
      </c>
      <c r="I1164" s="580">
        <f t="shared" si="92"/>
        <v>0</v>
      </c>
      <c r="J1164" s="961">
        <f t="shared" si="93"/>
        <v>0</v>
      </c>
      <c r="K1164" s="80"/>
      <c r="L1164" s="807">
        <v>3137</v>
      </c>
      <c r="M1164" s="80" t="str">
        <f>+IFERROR(VLOOKUP(L1164,DATA!$G$4:$H$2000,2,FALSE),"")</f>
        <v xml:space="preserve">ЭМХХ ХХК </v>
      </c>
      <c r="N1164" s="807"/>
      <c r="O1164" s="80" t="str">
        <f>IFERROR(VLOOKUP(N1164,DATA!$K$4:$L$51,2,FALSE),"")</f>
        <v/>
      </c>
      <c r="P1164" s="80">
        <f t="shared" si="94"/>
        <v>0</v>
      </c>
      <c r="Q1164" s="154">
        <f t="shared" si="95"/>
        <v>0</v>
      </c>
    </row>
    <row r="1165" spans="2:17">
      <c r="B1165" s="627">
        <f t="shared" si="96"/>
        <v>1160</v>
      </c>
      <c r="C1165" s="429">
        <v>43343</v>
      </c>
      <c r="D1165" s="816" t="s">
        <v>2727</v>
      </c>
      <c r="E1165" s="807">
        <v>320100</v>
      </c>
      <c r="F1165" s="629" t="str">
        <f>IFERROR(VLOOKUP(E1165,STAT1!$C$4:$D$1000,2,FALSE),"")</f>
        <v>Урьдчилж орсон орлого MNT</v>
      </c>
      <c r="G1165" s="811">
        <v>108110</v>
      </c>
      <c r="H1165" s="811"/>
      <c r="I1165" s="580">
        <f t="shared" si="92"/>
        <v>0</v>
      </c>
      <c r="J1165" s="961">
        <f t="shared" si="93"/>
        <v>0</v>
      </c>
      <c r="K1165" s="80"/>
      <c r="L1165" s="807">
        <v>3137</v>
      </c>
      <c r="M1165" s="80" t="str">
        <f>+IFERROR(VLOOKUP(L1165,DATA!$G$4:$H$2000,2,FALSE),"")</f>
        <v xml:space="preserve">ЭМХХ ХХК </v>
      </c>
      <c r="N1165" s="807"/>
      <c r="O1165" s="80" t="str">
        <f>IFERROR(VLOOKUP(N1165,DATA!$K$4:$L$51,2,FALSE),"")</f>
        <v/>
      </c>
      <c r="P1165" s="80">
        <f t="shared" si="94"/>
        <v>0</v>
      </c>
      <c r="Q1165" s="154">
        <f t="shared" si="95"/>
        <v>0</v>
      </c>
    </row>
    <row r="1166" spans="2:17">
      <c r="B1166" s="627">
        <f t="shared" si="96"/>
        <v>1161</v>
      </c>
      <c r="C1166" s="429">
        <v>43343</v>
      </c>
      <c r="D1166" s="815" t="s">
        <v>1571</v>
      </c>
      <c r="E1166" s="807">
        <v>100100</v>
      </c>
      <c r="F1166" s="629" t="str">
        <f>IFERROR(VLOOKUP(E1166,STAT1!$C$4:$D$1000,2,FALSE),"")</f>
        <v>Касс мөнгө MNT</v>
      </c>
      <c r="G1166" s="811">
        <v>108110</v>
      </c>
      <c r="H1166" s="811"/>
      <c r="I1166" s="580">
        <f t="shared" si="92"/>
        <v>108110</v>
      </c>
      <c r="J1166" s="961">
        <f t="shared" si="93"/>
        <v>0</v>
      </c>
      <c r="K1166" s="80"/>
      <c r="L1166" s="807">
        <v>3137</v>
      </c>
      <c r="M1166" s="80" t="str">
        <f>+IFERROR(VLOOKUP(L1166,DATA!$G$4:$H$2000,2,FALSE),"")</f>
        <v xml:space="preserve">ЭМХХ ХХК </v>
      </c>
      <c r="N1166" s="807">
        <v>41</v>
      </c>
      <c r="O1166" s="80" t="str">
        <f>IFERROR(VLOOKUP(N1166,DATA!$K$4:$L$51,2,FALSE),"")</f>
        <v>Бараа борлуулсан, үйлчилгээ үзүүлсэний орлого</v>
      </c>
      <c r="P1166" s="80">
        <f t="shared" si="94"/>
        <v>1</v>
      </c>
      <c r="Q1166" s="154">
        <f t="shared" si="95"/>
        <v>1</v>
      </c>
    </row>
    <row r="1167" spans="2:17">
      <c r="B1167" s="627">
        <f t="shared" si="96"/>
        <v>1162</v>
      </c>
      <c r="C1167" s="429">
        <v>43343</v>
      </c>
      <c r="D1167" s="815" t="s">
        <v>1571</v>
      </c>
      <c r="E1167" s="630">
        <v>320100</v>
      </c>
      <c r="F1167" s="629" t="str">
        <f>IFERROR(VLOOKUP(E1167,STAT1!$C$4:$D$1000,2,FALSE),"")</f>
        <v>Урьдчилж орсон орлого MNT</v>
      </c>
      <c r="G1167" s="811"/>
      <c r="H1167" s="811">
        <v>108110</v>
      </c>
      <c r="I1167" s="580">
        <f t="shared" ref="I1167:I1230" si="97">+IF(OR(E1167=100100,E1167=100200,E1167=110100,E1167=110102,E1167=110103,E1167=110104,E1167=110105,E1167=110200,E1167=110201,E1167=110202,E1167=110203,E1167=110204,E1167=110300),G1167,0)+IF(OR(E1167=100100,E1167=100200,E1167=110100,E1167=110102,E1167=110103,E1167=110104,E1167=110105,E1167=110200,E1167=110201,E1167=110202,E1167=110203,E1167=110204,E1167=110300),H1167*-1,0)</f>
        <v>0</v>
      </c>
      <c r="J1167" s="961">
        <f t="shared" ref="J1167:J1230" si="98">+IF(E1167=110102,I1167/K1167,0)</f>
        <v>0</v>
      </c>
      <c r="K1167" s="80"/>
      <c r="L1167" s="807">
        <v>3137</v>
      </c>
      <c r="M1167" s="80" t="str">
        <f>+IFERROR(VLOOKUP(L1167,DATA!$G$4:$H$2000,2,FALSE),"")</f>
        <v xml:space="preserve">ЭМХХ ХХК </v>
      </c>
      <c r="N1167" s="807"/>
      <c r="O1167" s="80" t="str">
        <f>IFERROR(VLOOKUP(N1167,DATA!$K$4:$L$51,2,FALSE),"")</f>
        <v/>
      </c>
      <c r="P1167" s="80">
        <f t="shared" si="94"/>
        <v>0</v>
      </c>
      <c r="Q1167" s="154">
        <f t="shared" si="95"/>
        <v>0</v>
      </c>
    </row>
    <row r="1168" spans="2:17">
      <c r="B1168" s="627">
        <f t="shared" si="96"/>
        <v>1163</v>
      </c>
      <c r="C1168" s="429">
        <v>43348</v>
      </c>
      <c r="D1168" s="816" t="s">
        <v>2652</v>
      </c>
      <c r="E1168" s="807">
        <v>100100</v>
      </c>
      <c r="F1168" s="629" t="str">
        <f>IFERROR(VLOOKUP(E1168,STAT1!$C$4:$D$1000,2,FALSE),"")</f>
        <v>Касс мөнгө MNT</v>
      </c>
      <c r="G1168" s="811"/>
      <c r="H1168" s="811">
        <v>2535000</v>
      </c>
      <c r="I1168" s="580">
        <f t="shared" si="97"/>
        <v>-2535000</v>
      </c>
      <c r="J1168" s="961">
        <f t="shared" si="98"/>
        <v>0</v>
      </c>
      <c r="K1168" s="80"/>
      <c r="L1168" s="807">
        <v>1008</v>
      </c>
      <c r="M1168" s="80" t="str">
        <f>+IFERROR(VLOOKUP(L1168,DATA!$G$4:$H$2000,2,FALSE),"")</f>
        <v xml:space="preserve">Оюунтүлхүүр </v>
      </c>
      <c r="N1168" s="807">
        <v>53</v>
      </c>
      <c r="O1168" s="80" t="str">
        <f>IFERROR(VLOOKUP(N1168,DATA!$K$4:$L$51,2,FALSE),"")</f>
        <v>Бараа материал худалдан авахад төлсөн</v>
      </c>
      <c r="P1168" s="80">
        <f t="shared" si="94"/>
        <v>1</v>
      </c>
      <c r="Q1168" s="154">
        <f t="shared" si="95"/>
        <v>1</v>
      </c>
    </row>
    <row r="1169" spans="2:17">
      <c r="B1169" s="627">
        <f t="shared" si="96"/>
        <v>1164</v>
      </c>
      <c r="C1169" s="429">
        <v>43348</v>
      </c>
      <c r="D1169" s="816" t="s">
        <v>2652</v>
      </c>
      <c r="E1169" s="807">
        <v>121200</v>
      </c>
      <c r="F1169" s="629" t="str">
        <f>IFERROR(VLOOKUP(E1169,STAT1!$C$4:$D$1000,2,FALSE),"")</f>
        <v xml:space="preserve">Ажилчидын дараа тайлангийн тооцоо </v>
      </c>
      <c r="G1169" s="811">
        <v>2535000</v>
      </c>
      <c r="H1169" s="811"/>
      <c r="I1169" s="580">
        <f t="shared" si="97"/>
        <v>0</v>
      </c>
      <c r="J1169" s="961">
        <f t="shared" si="98"/>
        <v>0</v>
      </c>
      <c r="K1169" s="80"/>
      <c r="L1169" s="807">
        <v>1008</v>
      </c>
      <c r="M1169" s="80" t="str">
        <f>+IFERROR(VLOOKUP(L1169,DATA!$G$4:$H$2000,2,FALSE),"")</f>
        <v xml:space="preserve">Оюунтүлхүүр </v>
      </c>
      <c r="N1169" s="807"/>
      <c r="O1169" s="80" t="str">
        <f>IFERROR(VLOOKUP(N1169,DATA!$K$4:$L$51,2,FALSE),"")</f>
        <v/>
      </c>
      <c r="P1169" s="80">
        <f t="shared" si="94"/>
        <v>0</v>
      </c>
      <c r="Q1169" s="154">
        <f t="shared" si="95"/>
        <v>0</v>
      </c>
    </row>
    <row r="1170" spans="2:17">
      <c r="B1170" s="627">
        <f t="shared" si="96"/>
        <v>1165</v>
      </c>
      <c r="C1170" s="429">
        <v>43348</v>
      </c>
      <c r="D1170" s="816" t="s">
        <v>2665</v>
      </c>
      <c r="E1170" s="807">
        <v>160100</v>
      </c>
      <c r="F1170" s="629" t="str">
        <f>IFERROR(VLOOKUP(E1170,STAT1!$C$4:$D$1000,2,FALSE),"")</f>
        <v xml:space="preserve">Барилгын материал </v>
      </c>
      <c r="G1170" s="811">
        <v>2304545.4500000002</v>
      </c>
      <c r="H1170" s="811"/>
      <c r="I1170" s="580">
        <f t="shared" si="97"/>
        <v>0</v>
      </c>
      <c r="J1170" s="961">
        <f t="shared" si="98"/>
        <v>0</v>
      </c>
      <c r="K1170" s="80"/>
      <c r="L1170" s="807">
        <v>1008</v>
      </c>
      <c r="M1170" s="80" t="str">
        <f>+IFERROR(VLOOKUP(L1170,DATA!$G$4:$H$2000,2,FALSE),"")</f>
        <v xml:space="preserve">Оюунтүлхүүр </v>
      </c>
      <c r="N1170" s="807"/>
      <c r="O1170" s="80" t="str">
        <f>IFERROR(VLOOKUP(N1170,DATA!$K$4:$L$51,2,FALSE),"")</f>
        <v/>
      </c>
      <c r="P1170" s="80">
        <f t="shared" si="94"/>
        <v>0</v>
      </c>
      <c r="Q1170" s="154">
        <f t="shared" si="95"/>
        <v>0</v>
      </c>
    </row>
    <row r="1171" spans="2:17">
      <c r="B1171" s="627">
        <f t="shared" si="96"/>
        <v>1166</v>
      </c>
      <c r="C1171" s="429">
        <v>43348</v>
      </c>
      <c r="D1171" s="816" t="s">
        <v>2665</v>
      </c>
      <c r="E1171" s="807">
        <v>120600</v>
      </c>
      <c r="F1171" s="629" t="str">
        <f>IFERROR(VLOOKUP(E1171,STAT1!$C$4:$D$1000,2,FALSE),"")</f>
        <v>НӨАТ авлага</v>
      </c>
      <c r="G1171" s="811">
        <v>230454.55</v>
      </c>
      <c r="H1171" s="811"/>
      <c r="I1171" s="580">
        <f t="shared" si="97"/>
        <v>0</v>
      </c>
      <c r="J1171" s="961">
        <f t="shared" si="98"/>
        <v>0</v>
      </c>
      <c r="K1171" s="80"/>
      <c r="L1171" s="807">
        <v>1008</v>
      </c>
      <c r="M1171" s="80" t="str">
        <f>+IFERROR(VLOOKUP(L1171,DATA!$G$4:$H$2000,2,FALSE),"")</f>
        <v xml:space="preserve">Оюунтүлхүүр </v>
      </c>
      <c r="N1171" s="807"/>
      <c r="O1171" s="80" t="str">
        <f>IFERROR(VLOOKUP(N1171,DATA!$K$4:$L$51,2,FALSE),"")</f>
        <v/>
      </c>
      <c r="P1171" s="80">
        <f t="shared" si="94"/>
        <v>0</v>
      </c>
      <c r="Q1171" s="154">
        <f t="shared" si="95"/>
        <v>0</v>
      </c>
    </row>
    <row r="1172" spans="2:17">
      <c r="B1172" s="627">
        <f t="shared" si="96"/>
        <v>1167</v>
      </c>
      <c r="C1172" s="429">
        <v>43348</v>
      </c>
      <c r="D1172" s="816" t="s">
        <v>2665</v>
      </c>
      <c r="E1172" s="807">
        <v>121200</v>
      </c>
      <c r="F1172" s="629" t="str">
        <f>IFERROR(VLOOKUP(E1172,STAT1!$C$4:$D$1000,2,FALSE),"")</f>
        <v xml:space="preserve">Ажилчидын дараа тайлангийн тооцоо </v>
      </c>
      <c r="G1172" s="811"/>
      <c r="H1172" s="811">
        <v>2535000</v>
      </c>
      <c r="I1172" s="580">
        <f t="shared" si="97"/>
        <v>0</v>
      </c>
      <c r="J1172" s="961">
        <f t="shared" si="98"/>
        <v>0</v>
      </c>
      <c r="K1172" s="80"/>
      <c r="L1172" s="807">
        <v>1008</v>
      </c>
      <c r="M1172" s="80" t="str">
        <f>+IFERROR(VLOOKUP(L1172,DATA!$G$4:$H$2000,2,FALSE),"")</f>
        <v xml:space="preserve">Оюунтүлхүүр </v>
      </c>
      <c r="N1172" s="807"/>
      <c r="O1172" s="80" t="str">
        <f>IFERROR(VLOOKUP(N1172,DATA!$K$4:$L$51,2,FALSE),"")</f>
        <v/>
      </c>
      <c r="P1172" s="80">
        <f t="shared" si="94"/>
        <v>0</v>
      </c>
      <c r="Q1172" s="154">
        <f t="shared" si="95"/>
        <v>0</v>
      </c>
    </row>
    <row r="1173" spans="2:17">
      <c r="B1173" s="627">
        <f t="shared" si="96"/>
        <v>1168</v>
      </c>
      <c r="C1173" s="429">
        <v>43353</v>
      </c>
      <c r="D1173" s="816" t="s">
        <v>1331</v>
      </c>
      <c r="E1173" s="630">
        <v>110100</v>
      </c>
      <c r="F1173" s="629" t="str">
        <f>IFERROR(VLOOKUP(E1173,STAT1!$C$4:$D$1000,2,FALSE),"")</f>
        <v>Хаан Банк 5024654020</v>
      </c>
      <c r="G1173" s="376"/>
      <c r="H1173" s="376">
        <v>38840</v>
      </c>
      <c r="I1173" s="580">
        <f t="shared" si="97"/>
        <v>-38840</v>
      </c>
      <c r="J1173" s="961">
        <f t="shared" si="98"/>
        <v>0</v>
      </c>
      <c r="K1173" s="80"/>
      <c r="L1173" s="630">
        <v>2006</v>
      </c>
      <c r="M1173" s="80" t="str">
        <f>+IFERROR(VLOOKUP(L1173,DATA!$G$4:$H$2000,2,FALSE),"")</f>
        <v xml:space="preserve">МЦХОЛБОО </v>
      </c>
      <c r="N1173" s="630">
        <v>59</v>
      </c>
      <c r="O1173" s="80" t="str">
        <f>IFERROR(VLOOKUP(N1173,DATA!$K$4:$L$51,2,FALSE),"")</f>
        <v>Бусад мөнгөн зарлага</v>
      </c>
      <c r="P1173" s="80">
        <f t="shared" si="94"/>
        <v>1</v>
      </c>
      <c r="Q1173" s="154">
        <f t="shared" si="95"/>
        <v>1</v>
      </c>
    </row>
    <row r="1174" spans="2:17">
      <c r="B1174" s="627">
        <f t="shared" si="96"/>
        <v>1169</v>
      </c>
      <c r="C1174" s="429">
        <v>43353</v>
      </c>
      <c r="D1174" s="816" t="s">
        <v>1331</v>
      </c>
      <c r="E1174" s="630">
        <v>120600</v>
      </c>
      <c r="F1174" s="629" t="str">
        <f>IFERROR(VLOOKUP(E1174,STAT1!$C$4:$D$1000,2,FALSE),"")</f>
        <v>НӨАТ авлага</v>
      </c>
      <c r="G1174" s="376">
        <v>3530.91</v>
      </c>
      <c r="H1174" s="376"/>
      <c r="I1174" s="580">
        <f t="shared" si="97"/>
        <v>0</v>
      </c>
      <c r="J1174" s="961">
        <f t="shared" si="98"/>
        <v>0</v>
      </c>
      <c r="K1174" s="80"/>
      <c r="L1174" s="630">
        <v>2006</v>
      </c>
      <c r="M1174" s="80" t="str">
        <f>+IFERROR(VLOOKUP(L1174,DATA!$G$4:$H$2000,2,FALSE),"")</f>
        <v xml:space="preserve">МЦХОЛБОО </v>
      </c>
      <c r="N1174" s="630"/>
      <c r="O1174" s="80" t="str">
        <f>IFERROR(VLOOKUP(N1174,DATA!$K$4:$L$51,2,FALSE),"")</f>
        <v/>
      </c>
      <c r="P1174" s="80">
        <f t="shared" si="94"/>
        <v>0</v>
      </c>
      <c r="Q1174" s="154">
        <f t="shared" si="95"/>
        <v>0</v>
      </c>
    </row>
    <row r="1175" spans="2:17">
      <c r="B1175" s="627">
        <f t="shared" si="96"/>
        <v>1170</v>
      </c>
      <c r="C1175" s="429">
        <v>43353</v>
      </c>
      <c r="D1175" s="816" t="s">
        <v>1331</v>
      </c>
      <c r="E1175" s="630">
        <v>701900</v>
      </c>
      <c r="F1175" s="629" t="str">
        <f>IFERROR(VLOOKUP(E1175,STAT1!$C$4:$D$1000,2,FALSE),"")</f>
        <v>Харилцаа холбоо</v>
      </c>
      <c r="G1175" s="376">
        <f>38840-3530.91</f>
        <v>35309.089999999997</v>
      </c>
      <c r="H1175" s="376"/>
      <c r="I1175" s="580">
        <f t="shared" si="97"/>
        <v>0</v>
      </c>
      <c r="J1175" s="961">
        <f t="shared" si="98"/>
        <v>0</v>
      </c>
      <c r="K1175" s="80"/>
      <c r="L1175" s="630">
        <v>2006</v>
      </c>
      <c r="M1175" s="80" t="str">
        <f>+IFERROR(VLOOKUP(L1175,DATA!$G$4:$H$2000,2,FALSE),"")</f>
        <v xml:space="preserve">МЦХОЛБОО </v>
      </c>
      <c r="N1175" s="630"/>
      <c r="O1175" s="80" t="str">
        <f>IFERROR(VLOOKUP(N1175,DATA!$K$4:$L$51,2,FALSE),"")</f>
        <v/>
      </c>
      <c r="P1175" s="80">
        <f t="shared" si="94"/>
        <v>0</v>
      </c>
      <c r="Q1175" s="154">
        <f t="shared" si="95"/>
        <v>0</v>
      </c>
    </row>
    <row r="1176" spans="2:17">
      <c r="B1176" s="627">
        <f t="shared" si="96"/>
        <v>1171</v>
      </c>
      <c r="C1176" s="582">
        <v>43354</v>
      </c>
      <c r="D1176" s="815" t="s">
        <v>2712</v>
      </c>
      <c r="E1176" s="630">
        <v>100100</v>
      </c>
      <c r="F1176" s="629" t="str">
        <f>IFERROR(VLOOKUP(E1176,STAT1!$C$4:$D$8000,2,FALSE),"")</f>
        <v>Касс мөнгө MNT</v>
      </c>
      <c r="G1176" s="376"/>
      <c r="H1176" s="376">
        <v>514500</v>
      </c>
      <c r="I1176" s="580">
        <f t="shared" si="97"/>
        <v>-514500</v>
      </c>
      <c r="J1176" s="961">
        <f t="shared" si="98"/>
        <v>0</v>
      </c>
      <c r="K1176" s="80"/>
      <c r="L1176" s="630">
        <v>3134</v>
      </c>
      <c r="M1176" s="80" t="str">
        <f>+IFERROR(VLOOKUP(L1176,DATA!$G$4:$H$2000,2,FALSE),"")</f>
        <v xml:space="preserve">ЖИ МОБАЙЛ </v>
      </c>
      <c r="N1176" s="630">
        <v>59</v>
      </c>
      <c r="O1176" s="80" t="str">
        <f>IFERROR(VLOOKUP(N1176,DATA!$K$4:$L$51,2,FALSE),"")</f>
        <v>Бусад мөнгөн зарлага</v>
      </c>
      <c r="P1176" s="80">
        <f t="shared" si="94"/>
        <v>1</v>
      </c>
      <c r="Q1176" s="154">
        <f t="shared" si="95"/>
        <v>1</v>
      </c>
    </row>
    <row r="1177" spans="2:17">
      <c r="B1177" s="627">
        <f t="shared" si="96"/>
        <v>1172</v>
      </c>
      <c r="C1177" s="582">
        <v>43354</v>
      </c>
      <c r="D1177" s="815" t="s">
        <v>2712</v>
      </c>
      <c r="E1177" s="807">
        <v>310100</v>
      </c>
      <c r="F1177" s="629" t="str">
        <f>IFERROR(VLOOKUP(E1177,STAT1!$C$4:$D$1000,2,FALSE),"")</f>
        <v>Дансны өглөг MNT</v>
      </c>
      <c r="G1177" s="376">
        <v>514500</v>
      </c>
      <c r="H1177" s="811"/>
      <c r="I1177" s="580">
        <f t="shared" si="97"/>
        <v>0</v>
      </c>
      <c r="J1177" s="961">
        <f t="shared" si="98"/>
        <v>0</v>
      </c>
      <c r="K1177" s="80"/>
      <c r="L1177" s="630">
        <v>3134</v>
      </c>
      <c r="M1177" s="80" t="str">
        <f>+IFERROR(VLOOKUP(L1177,DATA!$G$4:$H$2000,2,FALSE),"")</f>
        <v xml:space="preserve">ЖИ МОБАЙЛ </v>
      </c>
      <c r="N1177" s="807"/>
      <c r="O1177" s="80" t="str">
        <f>IFERROR(VLOOKUP(N1177,DATA!$K$4:$L$51,2,FALSE),"")</f>
        <v/>
      </c>
      <c r="P1177" s="80">
        <f t="shared" si="94"/>
        <v>0</v>
      </c>
      <c r="Q1177" s="154">
        <f t="shared" si="95"/>
        <v>0</v>
      </c>
    </row>
    <row r="1178" spans="2:17">
      <c r="B1178" s="627">
        <f t="shared" si="96"/>
        <v>1173</v>
      </c>
      <c r="C1178" s="429">
        <v>43355</v>
      </c>
      <c r="D1178" s="816" t="s">
        <v>1571</v>
      </c>
      <c r="E1178" s="807">
        <v>110100</v>
      </c>
      <c r="F1178" s="629" t="str">
        <f>IFERROR(VLOOKUP(E1178,STAT1!$C$4:$D$1000,2,FALSE),"")</f>
        <v>Хаан Банк 5024654020</v>
      </c>
      <c r="G1178" s="811">
        <v>103356</v>
      </c>
      <c r="H1178" s="811"/>
      <c r="I1178" s="580">
        <f t="shared" si="97"/>
        <v>103356</v>
      </c>
      <c r="J1178" s="961">
        <f t="shared" si="98"/>
        <v>0</v>
      </c>
      <c r="K1178" s="80"/>
      <c r="L1178" s="807">
        <v>3104</v>
      </c>
      <c r="M1178" s="80" t="str">
        <f>+IFERROR(VLOOKUP(L1178,DATA!$G$4:$H$2000,2,FALSE),"")</f>
        <v>ХҮРЭЭ ЦАМХАГ ХХК</v>
      </c>
      <c r="N1178" s="807">
        <v>41</v>
      </c>
      <c r="O1178" s="80" t="str">
        <f>IFERROR(VLOOKUP(N1178,DATA!$K$4:$L$51,2,FALSE),"")</f>
        <v>Бараа борлуулсан, үйлчилгээ үзүүлсэний орлого</v>
      </c>
      <c r="P1178" s="80">
        <f t="shared" si="94"/>
        <v>1</v>
      </c>
      <c r="Q1178" s="154">
        <f t="shared" si="95"/>
        <v>1</v>
      </c>
    </row>
    <row r="1179" spans="2:17">
      <c r="B1179" s="627">
        <f t="shared" si="96"/>
        <v>1174</v>
      </c>
      <c r="C1179" s="429">
        <v>43355</v>
      </c>
      <c r="D1179" s="816" t="s">
        <v>1571</v>
      </c>
      <c r="E1179" s="807">
        <v>320100</v>
      </c>
      <c r="F1179" s="629" t="str">
        <f>IFERROR(VLOOKUP(E1179,STAT1!$C$4:$D$1000,2,FALSE),"")</f>
        <v>Урьдчилж орсон орлого MNT</v>
      </c>
      <c r="G1179" s="811"/>
      <c r="H1179" s="811">
        <v>103356</v>
      </c>
      <c r="I1179" s="580">
        <f t="shared" si="97"/>
        <v>0</v>
      </c>
      <c r="J1179" s="961">
        <f t="shared" si="98"/>
        <v>0</v>
      </c>
      <c r="K1179" s="80"/>
      <c r="L1179" s="807">
        <v>3104</v>
      </c>
      <c r="M1179" s="80" t="str">
        <f>+IFERROR(VLOOKUP(L1179,DATA!$G$4:$H$2000,2,FALSE),"")</f>
        <v>ХҮРЭЭ ЦАМХАГ ХХК</v>
      </c>
      <c r="N1179" s="807"/>
      <c r="O1179" s="80" t="str">
        <f>IFERROR(VLOOKUP(N1179,DATA!$K$4:$L$51,2,FALSE),"")</f>
        <v/>
      </c>
      <c r="P1179" s="80">
        <f t="shared" si="94"/>
        <v>0</v>
      </c>
      <c r="Q1179" s="154">
        <f t="shared" si="95"/>
        <v>0</v>
      </c>
    </row>
    <row r="1180" spans="2:17">
      <c r="B1180" s="627">
        <f t="shared" si="96"/>
        <v>1175</v>
      </c>
      <c r="C1180" s="429">
        <v>43355</v>
      </c>
      <c r="D1180" s="816" t="s">
        <v>2713</v>
      </c>
      <c r="E1180" s="807">
        <v>100100</v>
      </c>
      <c r="F1180" s="629" t="str">
        <f>IFERROR(VLOOKUP(E1180,STAT1!$C$4:$D$1000,2,FALSE),"")</f>
        <v>Касс мөнгө MNT</v>
      </c>
      <c r="G1180" s="811"/>
      <c r="H1180" s="811">
        <v>88804.31</v>
      </c>
      <c r="I1180" s="580">
        <f t="shared" si="97"/>
        <v>-88804.31</v>
      </c>
      <c r="J1180" s="961">
        <f t="shared" si="98"/>
        <v>0</v>
      </c>
      <c r="K1180" s="80"/>
      <c r="L1180" s="807">
        <v>1003</v>
      </c>
      <c r="M1180" s="80" t="str">
        <f>+IFERROR(VLOOKUP(L1180,DATA!$G$4:$H$2000,2,FALSE),"")</f>
        <v>Бахдамдэмбэрэл</v>
      </c>
      <c r="N1180" s="807">
        <v>59</v>
      </c>
      <c r="O1180" s="80" t="str">
        <f>IFERROR(VLOOKUP(N1180,DATA!$K$4:$L$51,2,FALSE),"")</f>
        <v>Бусад мөнгөн зарлага</v>
      </c>
      <c r="P1180" s="80">
        <f t="shared" si="94"/>
        <v>1</v>
      </c>
      <c r="Q1180" s="154">
        <f t="shared" si="95"/>
        <v>1</v>
      </c>
    </row>
    <row r="1181" spans="2:17">
      <c r="B1181" s="627">
        <f t="shared" si="96"/>
        <v>1176</v>
      </c>
      <c r="C1181" s="429">
        <v>43355</v>
      </c>
      <c r="D1181" s="816" t="s">
        <v>2713</v>
      </c>
      <c r="E1181" s="807">
        <v>120600</v>
      </c>
      <c r="F1181" s="629" t="str">
        <f>IFERROR(VLOOKUP(E1181,STAT1!$C$4:$D$1000,2,FALSE),"")</f>
        <v>НӨАТ авлага</v>
      </c>
      <c r="G1181" s="811">
        <v>3800</v>
      </c>
      <c r="H1181" s="811"/>
      <c r="I1181" s="580">
        <f t="shared" si="97"/>
        <v>0</v>
      </c>
      <c r="J1181" s="961">
        <f t="shared" si="98"/>
        <v>0</v>
      </c>
      <c r="K1181" s="80"/>
      <c r="L1181" s="807">
        <v>1003</v>
      </c>
      <c r="M1181" s="80" t="str">
        <f>+IFERROR(VLOOKUP(L1181,DATA!$G$4:$H$2000,2,FALSE),"")</f>
        <v>Бахдамдэмбэрэл</v>
      </c>
      <c r="N1181" s="807"/>
      <c r="O1181" s="80" t="str">
        <f>IFERROR(VLOOKUP(N1181,DATA!$K$4:$L$51,2,FALSE),"")</f>
        <v/>
      </c>
      <c r="P1181" s="80">
        <f t="shared" si="94"/>
        <v>0</v>
      </c>
      <c r="Q1181" s="154">
        <f t="shared" si="95"/>
        <v>0</v>
      </c>
    </row>
    <row r="1182" spans="2:17">
      <c r="B1182" s="627">
        <f t="shared" si="96"/>
        <v>1177</v>
      </c>
      <c r="C1182" s="429">
        <v>43355</v>
      </c>
      <c r="D1182" s="816" t="s">
        <v>2713</v>
      </c>
      <c r="E1182" s="807">
        <v>706000</v>
      </c>
      <c r="F1182" s="629" t="str">
        <f>IFERROR(VLOOKUP(E1182,STAT1!$C$4:$D$1000,2,FALSE),"")</f>
        <v>Бусад зардал</v>
      </c>
      <c r="G1182" s="811">
        <f>88804.31-3800</f>
        <v>85004.31</v>
      </c>
      <c r="H1182" s="811"/>
      <c r="I1182" s="580">
        <f t="shared" si="97"/>
        <v>0</v>
      </c>
      <c r="J1182" s="961">
        <f t="shared" si="98"/>
        <v>0</v>
      </c>
      <c r="K1182" s="80"/>
      <c r="L1182" s="807">
        <v>1003</v>
      </c>
      <c r="M1182" s="80" t="str">
        <f>+IFERROR(VLOOKUP(L1182,DATA!$G$4:$H$2000,2,FALSE),"")</f>
        <v>Бахдамдэмбэрэл</v>
      </c>
      <c r="N1182" s="807"/>
      <c r="O1182" s="80" t="str">
        <f>IFERROR(VLOOKUP(N1182,DATA!$K$4:$L$51,2,FALSE),"")</f>
        <v/>
      </c>
      <c r="P1182" s="80">
        <f t="shared" si="94"/>
        <v>0</v>
      </c>
      <c r="Q1182" s="154">
        <f t="shared" si="95"/>
        <v>0</v>
      </c>
    </row>
    <row r="1183" spans="2:17">
      <c r="B1183" s="627">
        <f t="shared" si="96"/>
        <v>1178</v>
      </c>
      <c r="C1183" s="429">
        <v>43356</v>
      </c>
      <c r="D1183" s="816" t="s">
        <v>2727</v>
      </c>
      <c r="E1183" s="807">
        <v>150101</v>
      </c>
      <c r="F1183" s="629" t="str">
        <f>IFERROR(VLOOKUP(E1183,STAT1!$C$4:$D$1000,2,FALSE),"")</f>
        <v>Бараа бэлэн бүтээгдэхүүн БОЛОВСРУУЛАХ ЦЕХ /нарс/</v>
      </c>
      <c r="G1183" s="811"/>
      <c r="H1183" s="811">
        <v>29780.75</v>
      </c>
      <c r="I1183" s="580">
        <f t="shared" si="97"/>
        <v>0</v>
      </c>
      <c r="J1183" s="961">
        <f t="shared" si="98"/>
        <v>0</v>
      </c>
      <c r="K1183" s="80"/>
      <c r="L1183" s="807">
        <v>3123</v>
      </c>
      <c r="M1183" s="80" t="str">
        <f>+IFERROR(VLOOKUP(L1183,DATA!$G$4:$H$2000,2,FALSE),"")</f>
        <v>ЭКОСКҮҮЛ ГАРДЕН ХХК</v>
      </c>
      <c r="N1183" s="807"/>
      <c r="O1183" s="80" t="str">
        <f>IFERROR(VLOOKUP(N1183,DATA!$K$4:$L$51,2,FALSE),"")</f>
        <v/>
      </c>
      <c r="P1183" s="80">
        <f t="shared" si="94"/>
        <v>0</v>
      </c>
      <c r="Q1183" s="154">
        <f t="shared" si="95"/>
        <v>0</v>
      </c>
    </row>
    <row r="1184" spans="2:17">
      <c r="B1184" s="627">
        <f t="shared" si="96"/>
        <v>1179</v>
      </c>
      <c r="C1184" s="429">
        <v>43356</v>
      </c>
      <c r="D1184" s="816" t="s">
        <v>2727</v>
      </c>
      <c r="E1184" s="807">
        <v>610100</v>
      </c>
      <c r="F1184" s="629" t="str">
        <f>IFERROR(VLOOKUP(E1184,STAT1!$C$4:$D$1000,2,FALSE),"")</f>
        <v>Борлуулсан барааны өртөг</v>
      </c>
      <c r="G1184" s="811">
        <v>29780.75</v>
      </c>
      <c r="H1184" s="811"/>
      <c r="I1184" s="580">
        <f t="shared" si="97"/>
        <v>0</v>
      </c>
      <c r="J1184" s="961">
        <f t="shared" si="98"/>
        <v>0</v>
      </c>
      <c r="K1184" s="80"/>
      <c r="L1184" s="807">
        <v>3123</v>
      </c>
      <c r="M1184" s="80" t="str">
        <f>+IFERROR(VLOOKUP(L1184,DATA!$G$4:$H$2000,2,FALSE),"")</f>
        <v>ЭКОСКҮҮЛ ГАРДЕН ХХК</v>
      </c>
      <c r="N1184" s="807"/>
      <c r="O1184" s="80" t="str">
        <f>IFERROR(VLOOKUP(N1184,DATA!$K$4:$L$51,2,FALSE),"")</f>
        <v/>
      </c>
      <c r="P1184" s="80">
        <f t="shared" si="94"/>
        <v>0</v>
      </c>
      <c r="Q1184" s="154">
        <f t="shared" si="95"/>
        <v>0</v>
      </c>
    </row>
    <row r="1185" spans="2:17">
      <c r="B1185" s="627">
        <f t="shared" si="96"/>
        <v>1180</v>
      </c>
      <c r="C1185" s="429">
        <v>43356</v>
      </c>
      <c r="D1185" s="816" t="s">
        <v>2727</v>
      </c>
      <c r="E1185" s="807">
        <v>310500</v>
      </c>
      <c r="F1185" s="629" t="str">
        <f>IFERROR(VLOOKUP(E1185,STAT1!$C$4:$D$1000,2,FALSE),"")</f>
        <v>НӨАТ өглөг</v>
      </c>
      <c r="G1185" s="811"/>
      <c r="H1185" s="811">
        <v>15400</v>
      </c>
      <c r="I1185" s="580">
        <f t="shared" si="97"/>
        <v>0</v>
      </c>
      <c r="J1185" s="961">
        <f t="shared" si="98"/>
        <v>0</v>
      </c>
      <c r="K1185" s="80"/>
      <c r="L1185" s="807">
        <v>3123</v>
      </c>
      <c r="M1185" s="80" t="str">
        <f>+IFERROR(VLOOKUP(L1185,DATA!$G$4:$H$2000,2,FALSE),"")</f>
        <v>ЭКОСКҮҮЛ ГАРДЕН ХХК</v>
      </c>
      <c r="N1185" s="807"/>
      <c r="O1185" s="80" t="str">
        <f>IFERROR(VLOOKUP(N1185,DATA!$K$4:$L$51,2,FALSE),"")</f>
        <v/>
      </c>
      <c r="P1185" s="80">
        <f t="shared" si="94"/>
        <v>0</v>
      </c>
      <c r="Q1185" s="154">
        <f t="shared" si="95"/>
        <v>0</v>
      </c>
    </row>
    <row r="1186" spans="2:17">
      <c r="B1186" s="627">
        <f t="shared" si="96"/>
        <v>1181</v>
      </c>
      <c r="C1186" s="429">
        <v>43356</v>
      </c>
      <c r="D1186" s="816" t="s">
        <v>2727</v>
      </c>
      <c r="E1186" s="807">
        <v>510000</v>
      </c>
      <c r="F1186" s="629" t="str">
        <f>IFERROR(VLOOKUP(E1186,STAT1!$C$4:$D$1000,2,FALSE),"")</f>
        <v>Үндсэн үйл ажиллагааны борлуулалт</v>
      </c>
      <c r="G1186" s="811"/>
      <c r="H1186" s="811">
        <v>154000</v>
      </c>
      <c r="I1186" s="580">
        <f t="shared" si="97"/>
        <v>0</v>
      </c>
      <c r="J1186" s="961">
        <f t="shared" si="98"/>
        <v>0</v>
      </c>
      <c r="K1186" s="80"/>
      <c r="L1186" s="807">
        <v>3123</v>
      </c>
      <c r="M1186" s="80" t="str">
        <f>+IFERROR(VLOOKUP(L1186,DATA!$G$4:$H$2000,2,FALSE),"")</f>
        <v>ЭКОСКҮҮЛ ГАРДЕН ХХК</v>
      </c>
      <c r="N1186" s="807"/>
      <c r="O1186" s="80" t="str">
        <f>IFERROR(VLOOKUP(N1186,DATA!$K$4:$L$51,2,FALSE),"")</f>
        <v/>
      </c>
      <c r="P1186" s="80">
        <f t="shared" si="94"/>
        <v>0</v>
      </c>
      <c r="Q1186" s="154">
        <f t="shared" si="95"/>
        <v>0</v>
      </c>
    </row>
    <row r="1187" spans="2:17">
      <c r="B1187" s="627">
        <f t="shared" si="96"/>
        <v>1182</v>
      </c>
      <c r="C1187" s="429">
        <v>43356</v>
      </c>
      <c r="D1187" s="816" t="s">
        <v>2727</v>
      </c>
      <c r="E1187" s="807">
        <v>320100</v>
      </c>
      <c r="F1187" s="629" t="str">
        <f>IFERROR(VLOOKUP(E1187,STAT1!$C$4:$D$1000,2,FALSE),"")</f>
        <v>Урьдчилж орсон орлого MNT</v>
      </c>
      <c r="G1187" s="811">
        <v>169400</v>
      </c>
      <c r="H1187" s="811"/>
      <c r="I1187" s="580">
        <f t="shared" si="97"/>
        <v>0</v>
      </c>
      <c r="J1187" s="961">
        <f t="shared" si="98"/>
        <v>0</v>
      </c>
      <c r="K1187" s="80"/>
      <c r="L1187" s="807">
        <v>3123</v>
      </c>
      <c r="M1187" s="80" t="str">
        <f>+IFERROR(VLOOKUP(L1187,DATA!$G$4:$H$2000,2,FALSE),"")</f>
        <v>ЭКОСКҮҮЛ ГАРДЕН ХХК</v>
      </c>
      <c r="N1187" s="807"/>
      <c r="O1187" s="80" t="str">
        <f>IFERROR(VLOOKUP(N1187,DATA!$K$4:$L$51,2,FALSE),"")</f>
        <v/>
      </c>
      <c r="P1187" s="80">
        <f t="shared" si="94"/>
        <v>0</v>
      </c>
      <c r="Q1187" s="154">
        <f t="shared" si="95"/>
        <v>0</v>
      </c>
    </row>
    <row r="1188" spans="2:17">
      <c r="B1188" s="627">
        <f t="shared" si="96"/>
        <v>1183</v>
      </c>
      <c r="C1188" s="582">
        <v>43356</v>
      </c>
      <c r="D1188" s="815" t="s">
        <v>1571</v>
      </c>
      <c r="E1188" s="807">
        <v>100100</v>
      </c>
      <c r="F1188" s="629" t="str">
        <f>IFERROR(VLOOKUP(E1188,STAT1!$C$4:$D$8000,2,FALSE),"")</f>
        <v>Касс мөнгө MNT</v>
      </c>
      <c r="G1188" s="376">
        <v>169400</v>
      </c>
      <c r="H1188" s="376"/>
      <c r="I1188" s="580">
        <f t="shared" si="97"/>
        <v>169400</v>
      </c>
      <c r="J1188" s="961">
        <f t="shared" si="98"/>
        <v>0</v>
      </c>
      <c r="K1188" s="80"/>
      <c r="L1188" s="630">
        <v>3123</v>
      </c>
      <c r="M1188" s="80" t="str">
        <f>+IFERROR(VLOOKUP(L1188,DATA!$G$4:$H$2000,2,FALSE),"")</f>
        <v>ЭКОСКҮҮЛ ГАРДЕН ХХК</v>
      </c>
      <c r="N1188" s="630">
        <v>41</v>
      </c>
      <c r="O1188" s="80" t="str">
        <f>IFERROR(VLOOKUP(N1188,DATA!$K$4:$L$51,2,FALSE),"")</f>
        <v>Бараа борлуулсан, үйлчилгээ үзүүлсэний орлого</v>
      </c>
      <c r="P1188" s="80">
        <f t="shared" si="94"/>
        <v>1</v>
      </c>
      <c r="Q1188" s="154">
        <f t="shared" si="95"/>
        <v>1</v>
      </c>
    </row>
    <row r="1189" spans="2:17">
      <c r="B1189" s="627">
        <f t="shared" si="96"/>
        <v>1184</v>
      </c>
      <c r="C1189" s="582">
        <v>43356</v>
      </c>
      <c r="D1189" s="815" t="s">
        <v>1571</v>
      </c>
      <c r="E1189" s="630">
        <v>320100</v>
      </c>
      <c r="F1189" s="629" t="str">
        <f>IFERROR(VLOOKUP(E1189,STAT1!$C$4:$D$8000,2,FALSE),"")</f>
        <v>Урьдчилж орсон орлого MNT</v>
      </c>
      <c r="G1189" s="376"/>
      <c r="H1189" s="376">
        <v>169400</v>
      </c>
      <c r="I1189" s="580">
        <f t="shared" si="97"/>
        <v>0</v>
      </c>
      <c r="J1189" s="961">
        <f t="shared" si="98"/>
        <v>0</v>
      </c>
      <c r="K1189" s="80"/>
      <c r="L1189" s="630">
        <v>3123</v>
      </c>
      <c r="M1189" s="80" t="str">
        <f>+IFERROR(VLOOKUP(L1189,DATA!$G$4:$H$2000,2,FALSE),"")</f>
        <v>ЭКОСКҮҮЛ ГАРДЕН ХХК</v>
      </c>
      <c r="N1189" s="630"/>
      <c r="O1189" s="80" t="str">
        <f>IFERROR(VLOOKUP(N1189,DATA!$K$4:$L$51,2,FALSE),"")</f>
        <v/>
      </c>
      <c r="P1189" s="80">
        <f t="shared" si="94"/>
        <v>0</v>
      </c>
      <c r="Q1189" s="154">
        <f t="shared" si="95"/>
        <v>0</v>
      </c>
    </row>
    <row r="1190" spans="2:17">
      <c r="B1190" s="627">
        <f t="shared" si="96"/>
        <v>1185</v>
      </c>
      <c r="C1190" s="429">
        <v>43357</v>
      </c>
      <c r="D1190" s="816" t="s">
        <v>2696</v>
      </c>
      <c r="E1190" s="807">
        <v>110100</v>
      </c>
      <c r="F1190" s="629" t="str">
        <f>IFERROR(VLOOKUP(E1190,STAT1!$C$4:$D$1000,2,FALSE),"")</f>
        <v>Хаан Банк 5024654020</v>
      </c>
      <c r="G1190" s="811">
        <v>5000000</v>
      </c>
      <c r="H1190" s="811"/>
      <c r="I1190" s="580">
        <f t="shared" si="97"/>
        <v>5000000</v>
      </c>
      <c r="J1190" s="961">
        <f t="shared" si="98"/>
        <v>0</v>
      </c>
      <c r="K1190" s="80"/>
      <c r="L1190" s="807">
        <v>1004</v>
      </c>
      <c r="M1190" s="80" t="str">
        <f>+IFERROR(VLOOKUP(L1190,DATA!$G$4:$H$2000,2,FALSE),"")</f>
        <v xml:space="preserve">Түмэндэлгэр </v>
      </c>
      <c r="N1190" s="807"/>
      <c r="O1190" s="80" t="str">
        <f>IFERROR(VLOOKUP(N1190,DATA!$K$4:$L$51,2,FALSE),"")</f>
        <v/>
      </c>
      <c r="P1190" s="80">
        <f t="shared" si="94"/>
        <v>1</v>
      </c>
      <c r="Q1190" s="154">
        <f t="shared" si="95"/>
        <v>1</v>
      </c>
    </row>
    <row r="1191" spans="2:17">
      <c r="B1191" s="627">
        <f t="shared" si="96"/>
        <v>1186</v>
      </c>
      <c r="C1191" s="429">
        <v>43357</v>
      </c>
      <c r="D1191" s="816" t="s">
        <v>2696</v>
      </c>
      <c r="E1191" s="630">
        <v>100100</v>
      </c>
      <c r="F1191" s="629" t="str">
        <f>IFERROR(VLOOKUP(E1191,STAT1!$C$4:$D$8000,2,FALSE),"")</f>
        <v>Касс мөнгө MNT</v>
      </c>
      <c r="G1191" s="376"/>
      <c r="H1191" s="811">
        <v>5000000</v>
      </c>
      <c r="I1191" s="580">
        <f t="shared" si="97"/>
        <v>-5000000</v>
      </c>
      <c r="J1191" s="961">
        <f t="shared" si="98"/>
        <v>0</v>
      </c>
      <c r="K1191" s="80"/>
      <c r="L1191" s="630">
        <v>1004</v>
      </c>
      <c r="M1191" s="80" t="str">
        <f>+IFERROR(VLOOKUP(L1191,DATA!$G$4:$H$2000,2,FALSE),"")</f>
        <v xml:space="preserve">Түмэндэлгэр </v>
      </c>
      <c r="N1191" s="630"/>
      <c r="O1191" s="80" t="str">
        <f>IFERROR(VLOOKUP(N1191,DATA!$K$4:$L$51,2,FALSE),"")</f>
        <v/>
      </c>
      <c r="P1191" s="80">
        <f t="shared" si="94"/>
        <v>1</v>
      </c>
      <c r="Q1191" s="154">
        <f t="shared" si="95"/>
        <v>1</v>
      </c>
    </row>
    <row r="1192" spans="2:17">
      <c r="B1192" s="627">
        <f t="shared" si="96"/>
        <v>1187</v>
      </c>
      <c r="C1192" s="429">
        <v>43357</v>
      </c>
      <c r="D1192" s="815" t="s">
        <v>2697</v>
      </c>
      <c r="E1192" s="630">
        <v>110100</v>
      </c>
      <c r="F1192" s="629" t="str">
        <f>IFERROR(VLOOKUP(E1192,STAT1!$C$4:$D$8000,2,FALSE),"")</f>
        <v>Хаан Банк 5024654020</v>
      </c>
      <c r="G1192" s="376"/>
      <c r="H1192" s="376">
        <v>2447442</v>
      </c>
      <c r="I1192" s="580">
        <f t="shared" si="97"/>
        <v>-2447442</v>
      </c>
      <c r="J1192" s="961">
        <f t="shared" si="98"/>
        <v>0</v>
      </c>
      <c r="K1192" s="80"/>
      <c r="L1192" s="630">
        <v>1003</v>
      </c>
      <c r="M1192" s="80" t="str">
        <f>+IFERROR(VLOOKUP(L1192,DATA!$G$4:$H$2000,2,FALSE),"")</f>
        <v>Бахдамдэмбэрэл</v>
      </c>
      <c r="N1192" s="630">
        <v>53</v>
      </c>
      <c r="O1192" s="80" t="str">
        <f>IFERROR(VLOOKUP(N1192,DATA!$K$4:$L$51,2,FALSE),"")</f>
        <v>Бараа материал худалдан авахад төлсөн</v>
      </c>
      <c r="P1192" s="80">
        <f t="shared" si="94"/>
        <v>1</v>
      </c>
      <c r="Q1192" s="154">
        <f t="shared" si="95"/>
        <v>1</v>
      </c>
    </row>
    <row r="1193" spans="2:17">
      <c r="B1193" s="627">
        <f t="shared" si="96"/>
        <v>1188</v>
      </c>
      <c r="C1193" s="429">
        <v>43357</v>
      </c>
      <c r="D1193" s="815" t="s">
        <v>2697</v>
      </c>
      <c r="E1193" s="630">
        <v>120100</v>
      </c>
      <c r="F1193" s="629" t="str">
        <f>IFERROR(VLOOKUP(E1193,STAT1!$C$4:$D$8000,2,FALSE),"")</f>
        <v xml:space="preserve">Дансны авлага MNT </v>
      </c>
      <c r="G1193" s="376">
        <v>2447442</v>
      </c>
      <c r="H1193" s="376"/>
      <c r="I1193" s="580">
        <f t="shared" si="97"/>
        <v>0</v>
      </c>
      <c r="J1193" s="961">
        <f t="shared" si="98"/>
        <v>0</v>
      </c>
      <c r="K1193" s="80"/>
      <c r="L1193" s="630">
        <v>1003</v>
      </c>
      <c r="M1193" s="80" t="str">
        <f>+IFERROR(VLOOKUP(L1193,DATA!$G$4:$H$2000,2,FALSE),"")</f>
        <v>Бахдамдэмбэрэл</v>
      </c>
      <c r="N1193" s="630"/>
      <c r="O1193" s="80" t="str">
        <f>IFERROR(VLOOKUP(N1193,DATA!$K$4:$L$51,2,FALSE),"")</f>
        <v/>
      </c>
      <c r="P1193" s="80">
        <f t="shared" si="94"/>
        <v>0</v>
      </c>
      <c r="Q1193" s="154">
        <f t="shared" si="95"/>
        <v>0</v>
      </c>
    </row>
    <row r="1194" spans="2:17">
      <c r="B1194" s="627">
        <f t="shared" si="96"/>
        <v>1189</v>
      </c>
      <c r="C1194" s="429">
        <v>43357</v>
      </c>
      <c r="D1194" s="815" t="s">
        <v>2698</v>
      </c>
      <c r="E1194" s="630">
        <v>110100</v>
      </c>
      <c r="F1194" s="629" t="str">
        <f>IFERROR(VLOOKUP(E1194,STAT1!$C$4:$D$8000,2,FALSE),"")</f>
        <v>Хаан Банк 5024654020</v>
      </c>
      <c r="G1194" s="376"/>
      <c r="H1194" s="376">
        <v>7500</v>
      </c>
      <c r="I1194" s="580">
        <f t="shared" si="97"/>
        <v>-7500</v>
      </c>
      <c r="J1194" s="961">
        <f t="shared" si="98"/>
        <v>0</v>
      </c>
      <c r="K1194" s="80"/>
      <c r="L1194" s="630">
        <v>2009</v>
      </c>
      <c r="M1194" s="80" t="str">
        <f>+IFERROR(VLOOKUP(L1194,DATA!$G$4:$H$2000,2,FALSE),"")</f>
        <v>ХААН БАНК</v>
      </c>
      <c r="N1194" s="630">
        <v>59</v>
      </c>
      <c r="O1194" s="80" t="str">
        <f>IFERROR(VLOOKUP(N1194,DATA!$K$4:$L$51,2,FALSE),"")</f>
        <v>Бусад мөнгөн зарлага</v>
      </c>
      <c r="P1194" s="80">
        <f t="shared" si="94"/>
        <v>1</v>
      </c>
      <c r="Q1194" s="154">
        <f t="shared" si="95"/>
        <v>1</v>
      </c>
    </row>
    <row r="1195" spans="2:17">
      <c r="B1195" s="627">
        <f t="shared" si="96"/>
        <v>1190</v>
      </c>
      <c r="C1195" s="429">
        <v>43357</v>
      </c>
      <c r="D1195" s="815" t="s">
        <v>2698</v>
      </c>
      <c r="E1195" s="630">
        <v>704900</v>
      </c>
      <c r="F1195" s="629" t="str">
        <f>IFERROR(VLOOKUP(E1195,STAT1!$C$4:$D$8000,2,FALSE),"")</f>
        <v>Банкны үйлчилгээ</v>
      </c>
      <c r="G1195" s="376">
        <v>7500</v>
      </c>
      <c r="H1195" s="376"/>
      <c r="I1195" s="580">
        <f t="shared" si="97"/>
        <v>0</v>
      </c>
      <c r="J1195" s="961">
        <f t="shared" si="98"/>
        <v>0</v>
      </c>
      <c r="K1195" s="80"/>
      <c r="L1195" s="630">
        <v>2009</v>
      </c>
      <c r="M1195" s="80" t="str">
        <f>+IFERROR(VLOOKUP(L1195,DATA!$G$4:$H$2000,2,FALSE),"")</f>
        <v>ХААН БАНК</v>
      </c>
      <c r="N1195" s="630"/>
      <c r="O1195" s="80" t="str">
        <f>IFERROR(VLOOKUP(N1195,DATA!$K$4:$L$51,2,FALSE),"")</f>
        <v/>
      </c>
      <c r="P1195" s="80">
        <f t="shared" ref="P1195:P1258" si="99">+IF(I1195,1,0)</f>
        <v>0</v>
      </c>
      <c r="Q1195" s="154">
        <f t="shared" ref="Q1195:Q1258" si="100">+IF(I1195,1,0)</f>
        <v>0</v>
      </c>
    </row>
    <row r="1196" spans="2:17">
      <c r="B1196" s="627">
        <f t="shared" si="96"/>
        <v>1191</v>
      </c>
      <c r="C1196" s="429">
        <v>43357</v>
      </c>
      <c r="D1196" s="815" t="s">
        <v>2698</v>
      </c>
      <c r="E1196" s="630">
        <v>110100</v>
      </c>
      <c r="F1196" s="629" t="str">
        <f>IFERROR(VLOOKUP(E1196,STAT1!$C$4:$D$8000,2,FALSE),"")</f>
        <v>Хаан Банк 5024654020</v>
      </c>
      <c r="G1196" s="376"/>
      <c r="H1196" s="376">
        <v>24474.42</v>
      </c>
      <c r="I1196" s="580">
        <f t="shared" si="97"/>
        <v>-24474.42</v>
      </c>
      <c r="J1196" s="961">
        <f t="shared" si="98"/>
        <v>0</v>
      </c>
      <c r="K1196" s="80"/>
      <c r="L1196" s="630">
        <v>2009</v>
      </c>
      <c r="M1196" s="80" t="str">
        <f>+IFERROR(VLOOKUP(L1196,DATA!$G$4:$H$2000,2,FALSE),"")</f>
        <v>ХААН БАНК</v>
      </c>
      <c r="N1196" s="630">
        <v>59</v>
      </c>
      <c r="O1196" s="80" t="str">
        <f>IFERROR(VLOOKUP(N1196,DATA!$K$4:$L$51,2,FALSE),"")</f>
        <v>Бусад мөнгөн зарлага</v>
      </c>
      <c r="P1196" s="80">
        <f t="shared" si="99"/>
        <v>1</v>
      </c>
      <c r="Q1196" s="154">
        <f t="shared" si="100"/>
        <v>1</v>
      </c>
    </row>
    <row r="1197" spans="2:17">
      <c r="B1197" s="627">
        <f t="shared" si="96"/>
        <v>1192</v>
      </c>
      <c r="C1197" s="429">
        <v>43357</v>
      </c>
      <c r="D1197" s="815" t="s">
        <v>2698</v>
      </c>
      <c r="E1197" s="630">
        <v>704900</v>
      </c>
      <c r="F1197" s="629" t="str">
        <f>IFERROR(VLOOKUP(E1197,STAT1!$C$4:$D$8000,2,FALSE),"")</f>
        <v>Банкны үйлчилгээ</v>
      </c>
      <c r="G1197" s="376">
        <v>24474.42</v>
      </c>
      <c r="H1197" s="376"/>
      <c r="I1197" s="580">
        <f t="shared" si="97"/>
        <v>0</v>
      </c>
      <c r="J1197" s="961">
        <f t="shared" si="98"/>
        <v>0</v>
      </c>
      <c r="K1197" s="80"/>
      <c r="L1197" s="630">
        <v>2009</v>
      </c>
      <c r="M1197" s="80" t="str">
        <f>+IFERROR(VLOOKUP(L1197,DATA!$G$4:$H$2000,2,FALSE),"")</f>
        <v>ХААН БАНК</v>
      </c>
      <c r="N1197" s="630"/>
      <c r="O1197" s="80" t="str">
        <f>IFERROR(VLOOKUP(N1197,DATA!$K$4:$L$51,2,FALSE),"")</f>
        <v/>
      </c>
      <c r="P1197" s="80">
        <f t="shared" si="99"/>
        <v>0</v>
      </c>
      <c r="Q1197" s="154">
        <f t="shared" si="100"/>
        <v>0</v>
      </c>
    </row>
    <row r="1198" spans="2:17">
      <c r="B1198" s="627">
        <f t="shared" si="96"/>
        <v>1193</v>
      </c>
      <c r="C1198" s="429">
        <v>43357</v>
      </c>
      <c r="D1198" s="815" t="s">
        <v>1570</v>
      </c>
      <c r="E1198" s="630">
        <v>100100</v>
      </c>
      <c r="F1198" s="629" t="str">
        <f>IFERROR(VLOOKUP(E1198,STAT1!$C$4:$D$8000,2,FALSE),"")</f>
        <v>Касс мөнгө MNT</v>
      </c>
      <c r="G1198" s="376"/>
      <c r="H1198" s="376">
        <v>10000</v>
      </c>
      <c r="I1198" s="580">
        <f t="shared" si="97"/>
        <v>-10000</v>
      </c>
      <c r="J1198" s="961">
        <f t="shared" si="98"/>
        <v>0</v>
      </c>
      <c r="K1198" s="80"/>
      <c r="L1198" s="807">
        <v>1008</v>
      </c>
      <c r="M1198" s="80" t="str">
        <f>+IFERROR(VLOOKUP(L1198,DATA!$G$4:$H$2000,2,FALSE),"")</f>
        <v xml:space="preserve">Оюунтүлхүүр </v>
      </c>
      <c r="N1198" s="630">
        <v>55</v>
      </c>
      <c r="O1198" s="80" t="str">
        <f>IFERROR(VLOOKUP(N1198,DATA!$K$4:$L$51,2,FALSE),"")</f>
        <v>Түлш, шатахуун, тээврийн хөлс, сэлбэг хэрэгсэлд төлсөн</v>
      </c>
      <c r="P1198" s="80">
        <f t="shared" si="99"/>
        <v>1</v>
      </c>
      <c r="Q1198" s="154">
        <f t="shared" si="100"/>
        <v>1</v>
      </c>
    </row>
    <row r="1199" spans="2:17">
      <c r="B1199" s="627">
        <f t="shared" si="96"/>
        <v>1194</v>
      </c>
      <c r="C1199" s="429">
        <v>43357</v>
      </c>
      <c r="D1199" s="815" t="s">
        <v>1570</v>
      </c>
      <c r="E1199" s="630">
        <v>120600</v>
      </c>
      <c r="F1199" s="629" t="str">
        <f>IFERROR(VLOOKUP(E1199,STAT1!$C$4:$D$8000,2,FALSE),"")</f>
        <v>НӨАТ авлага</v>
      </c>
      <c r="G1199" s="376">
        <v>909.09</v>
      </c>
      <c r="H1199" s="376"/>
      <c r="I1199" s="580">
        <f t="shared" si="97"/>
        <v>0</v>
      </c>
      <c r="J1199" s="961">
        <f t="shared" si="98"/>
        <v>0</v>
      </c>
      <c r="K1199" s="80"/>
      <c r="L1199" s="807">
        <v>1008</v>
      </c>
      <c r="M1199" s="80" t="str">
        <f>+IFERROR(VLOOKUP(L1199,DATA!$G$4:$H$2000,2,FALSE),"")</f>
        <v xml:space="preserve">Оюунтүлхүүр </v>
      </c>
      <c r="N1199" s="807"/>
      <c r="O1199" s="80" t="str">
        <f>IFERROR(VLOOKUP(N1199,DATA!$K$4:$L$51,2,FALSE),"")</f>
        <v/>
      </c>
      <c r="P1199" s="80">
        <f t="shared" si="99"/>
        <v>0</v>
      </c>
      <c r="Q1199" s="154">
        <f t="shared" si="100"/>
        <v>0</v>
      </c>
    </row>
    <row r="1200" spans="2:17">
      <c r="B1200" s="627">
        <f t="shared" si="96"/>
        <v>1195</v>
      </c>
      <c r="C1200" s="429">
        <v>43357</v>
      </c>
      <c r="D1200" s="815" t="s">
        <v>1570</v>
      </c>
      <c r="E1200" s="630">
        <v>702000</v>
      </c>
      <c r="F1200" s="629" t="str">
        <f>IFERROR(VLOOKUP(E1200,STAT1!$C$4:$D$8000,2,FALSE),"")</f>
        <v>Түлш, шатахуун</v>
      </c>
      <c r="G1200" s="376">
        <f>10000-909.09</f>
        <v>9090.91</v>
      </c>
      <c r="H1200" s="376"/>
      <c r="I1200" s="580">
        <f t="shared" si="97"/>
        <v>0</v>
      </c>
      <c r="J1200" s="961">
        <f t="shared" si="98"/>
        <v>0</v>
      </c>
      <c r="K1200" s="80"/>
      <c r="L1200" s="807">
        <v>1008</v>
      </c>
      <c r="M1200" s="80" t="str">
        <f>+IFERROR(VLOOKUP(L1200,DATA!$G$4:$H$2000,2,FALSE),"")</f>
        <v xml:space="preserve">Оюунтүлхүүр </v>
      </c>
      <c r="N1200" s="807"/>
      <c r="O1200" s="80" t="str">
        <f>IFERROR(VLOOKUP(N1200,DATA!$K$4:$L$51,2,FALSE),"")</f>
        <v/>
      </c>
      <c r="P1200" s="80">
        <f t="shared" si="99"/>
        <v>0</v>
      </c>
      <c r="Q1200" s="154">
        <f t="shared" si="100"/>
        <v>0</v>
      </c>
    </row>
    <row r="1201" spans="2:17">
      <c r="B1201" s="627">
        <f t="shared" si="96"/>
        <v>1196</v>
      </c>
      <c r="C1201" s="429">
        <v>43360</v>
      </c>
      <c r="D1201" s="816" t="s">
        <v>2727</v>
      </c>
      <c r="E1201" s="807">
        <v>150101</v>
      </c>
      <c r="F1201" s="629" t="str">
        <f>IFERROR(VLOOKUP(E1201,STAT1!$C$4:$D$1000,2,FALSE),"")</f>
        <v>Бараа бэлэн бүтээгдэхүүн БОЛОВСРУУЛАХ ЦЕХ /нарс/</v>
      </c>
      <c r="G1201" s="811"/>
      <c r="H1201" s="811">
        <v>3467744.36</v>
      </c>
      <c r="I1201" s="580">
        <f t="shared" si="97"/>
        <v>0</v>
      </c>
      <c r="J1201" s="961">
        <f t="shared" si="98"/>
        <v>0</v>
      </c>
      <c r="K1201" s="80"/>
      <c r="L1201" s="807">
        <v>3136</v>
      </c>
      <c r="M1201" s="80" t="str">
        <f>+IFERROR(VLOOKUP(L1201,DATA!$G$4:$H$2000,2,FALSE),"")</f>
        <v xml:space="preserve">ЭМ ЭС ЭН ЭС ХХК </v>
      </c>
      <c r="N1201" s="807"/>
      <c r="O1201" s="80" t="str">
        <f>IFERROR(VLOOKUP(N1201,DATA!$K$4:$L$51,2,FALSE),"")</f>
        <v/>
      </c>
      <c r="P1201" s="80">
        <f t="shared" si="99"/>
        <v>0</v>
      </c>
      <c r="Q1201" s="154">
        <f t="shared" si="100"/>
        <v>0</v>
      </c>
    </row>
    <row r="1202" spans="2:17">
      <c r="B1202" s="627">
        <f t="shared" si="96"/>
        <v>1197</v>
      </c>
      <c r="C1202" s="429">
        <v>43360</v>
      </c>
      <c r="D1202" s="816" t="s">
        <v>2727</v>
      </c>
      <c r="E1202" s="807">
        <v>610100</v>
      </c>
      <c r="F1202" s="629" t="str">
        <f>IFERROR(VLOOKUP(E1202,STAT1!$C$4:$D$1000,2,FALSE),"")</f>
        <v>Борлуулсан барааны өртөг</v>
      </c>
      <c r="G1202" s="811">
        <v>3467744.36</v>
      </c>
      <c r="H1202" s="811"/>
      <c r="I1202" s="580">
        <f t="shared" si="97"/>
        <v>0</v>
      </c>
      <c r="J1202" s="961">
        <f t="shared" si="98"/>
        <v>0</v>
      </c>
      <c r="K1202" s="80"/>
      <c r="L1202" s="807">
        <v>3136</v>
      </c>
      <c r="M1202" s="80" t="str">
        <f>+IFERROR(VLOOKUP(L1202,DATA!$G$4:$H$2000,2,FALSE),"")</f>
        <v xml:space="preserve">ЭМ ЭС ЭН ЭС ХХК </v>
      </c>
      <c r="N1202" s="807"/>
      <c r="O1202" s="80" t="str">
        <f>IFERROR(VLOOKUP(N1202,DATA!$K$4:$L$51,2,FALSE),"")</f>
        <v/>
      </c>
      <c r="P1202" s="80">
        <f t="shared" si="99"/>
        <v>0</v>
      </c>
      <c r="Q1202" s="154">
        <f t="shared" si="100"/>
        <v>0</v>
      </c>
    </row>
    <row r="1203" spans="2:17">
      <c r="B1203" s="627">
        <f t="shared" si="96"/>
        <v>1198</v>
      </c>
      <c r="C1203" s="429">
        <v>43360</v>
      </c>
      <c r="D1203" s="816" t="s">
        <v>2727</v>
      </c>
      <c r="E1203" s="807">
        <v>310500</v>
      </c>
      <c r="F1203" s="629" t="str">
        <f>IFERROR(VLOOKUP(E1203,STAT1!$C$4:$D$1000,2,FALSE),"")</f>
        <v>НӨАТ өглөг</v>
      </c>
      <c r="G1203" s="811"/>
      <c r="H1203" s="811">
        <v>456818.18</v>
      </c>
      <c r="I1203" s="580">
        <f t="shared" si="97"/>
        <v>0</v>
      </c>
      <c r="J1203" s="961">
        <f t="shared" si="98"/>
        <v>0</v>
      </c>
      <c r="K1203" s="80"/>
      <c r="L1203" s="807">
        <v>3136</v>
      </c>
      <c r="M1203" s="80" t="str">
        <f>+IFERROR(VLOOKUP(L1203,DATA!$G$4:$H$2000,2,FALSE),"")</f>
        <v xml:space="preserve">ЭМ ЭС ЭН ЭС ХХК </v>
      </c>
      <c r="N1203" s="807"/>
      <c r="O1203" s="80" t="str">
        <f>IFERROR(VLOOKUP(N1203,DATA!$K$4:$L$51,2,FALSE),"")</f>
        <v/>
      </c>
      <c r="P1203" s="80">
        <f t="shared" si="99"/>
        <v>0</v>
      </c>
      <c r="Q1203" s="154">
        <f t="shared" si="100"/>
        <v>0</v>
      </c>
    </row>
    <row r="1204" spans="2:17">
      <c r="B1204" s="627">
        <f t="shared" si="96"/>
        <v>1199</v>
      </c>
      <c r="C1204" s="429">
        <v>43360</v>
      </c>
      <c r="D1204" s="816" t="s">
        <v>2727</v>
      </c>
      <c r="E1204" s="807">
        <v>510000</v>
      </c>
      <c r="F1204" s="629" t="str">
        <f>IFERROR(VLOOKUP(E1204,STAT1!$C$4:$D$1000,2,FALSE),"")</f>
        <v>Үндсэн үйл ажиллагааны борлуулалт</v>
      </c>
      <c r="G1204" s="811"/>
      <c r="H1204" s="811">
        <v>4568181.82</v>
      </c>
      <c r="I1204" s="580">
        <f t="shared" si="97"/>
        <v>0</v>
      </c>
      <c r="J1204" s="961">
        <f t="shared" si="98"/>
        <v>0</v>
      </c>
      <c r="K1204" s="80"/>
      <c r="L1204" s="807">
        <v>3136</v>
      </c>
      <c r="M1204" s="80" t="str">
        <f>+IFERROR(VLOOKUP(L1204,DATA!$G$4:$H$2000,2,FALSE),"")</f>
        <v xml:space="preserve">ЭМ ЭС ЭН ЭС ХХК </v>
      </c>
      <c r="N1204" s="807"/>
      <c r="O1204" s="80"/>
      <c r="P1204" s="80">
        <f t="shared" si="99"/>
        <v>0</v>
      </c>
      <c r="Q1204" s="154">
        <f t="shared" si="100"/>
        <v>0</v>
      </c>
    </row>
    <row r="1205" spans="2:17">
      <c r="B1205" s="627">
        <f t="shared" si="96"/>
        <v>1200</v>
      </c>
      <c r="C1205" s="429">
        <v>43360</v>
      </c>
      <c r="D1205" s="816" t="s">
        <v>2727</v>
      </c>
      <c r="E1205" s="807">
        <v>320100</v>
      </c>
      <c r="F1205" s="629" t="str">
        <f>IFERROR(VLOOKUP(E1205,STAT1!$C$4:$D$1000,2,FALSE),"")</f>
        <v>Урьдчилж орсон орлого MNT</v>
      </c>
      <c r="G1205" s="811">
        <v>5025000</v>
      </c>
      <c r="H1205" s="811"/>
      <c r="I1205" s="580">
        <f t="shared" si="97"/>
        <v>0</v>
      </c>
      <c r="J1205" s="961">
        <f t="shared" si="98"/>
        <v>0</v>
      </c>
      <c r="K1205" s="80"/>
      <c r="L1205" s="807">
        <v>3136</v>
      </c>
      <c r="M1205" s="80" t="str">
        <f>+IFERROR(VLOOKUP(L1205,DATA!$G$4:$H$2000,2,FALSE),"")</f>
        <v xml:space="preserve">ЭМ ЭС ЭН ЭС ХХК </v>
      </c>
      <c r="N1205" s="807"/>
      <c r="O1205" s="80" t="str">
        <f>IFERROR(VLOOKUP(N1205,DATA!$K$4:$L$51,2,FALSE),"")</f>
        <v/>
      </c>
      <c r="P1205" s="80">
        <f t="shared" si="99"/>
        <v>0</v>
      </c>
      <c r="Q1205" s="154">
        <f t="shared" si="100"/>
        <v>0</v>
      </c>
    </row>
    <row r="1206" spans="2:17">
      <c r="B1206" s="627">
        <f t="shared" si="96"/>
        <v>1201</v>
      </c>
      <c r="C1206" s="582">
        <v>43360</v>
      </c>
      <c r="D1206" s="815" t="s">
        <v>1571</v>
      </c>
      <c r="E1206" s="807">
        <v>100100</v>
      </c>
      <c r="F1206" s="629" t="str">
        <f>IFERROR(VLOOKUP(E1206,STAT1!$C$4:$D$8000,2,FALSE),"")</f>
        <v>Касс мөнгө MNT</v>
      </c>
      <c r="G1206" s="376">
        <v>5025000</v>
      </c>
      <c r="H1206" s="376"/>
      <c r="I1206" s="580">
        <f t="shared" si="97"/>
        <v>5025000</v>
      </c>
      <c r="J1206" s="961">
        <f t="shared" si="98"/>
        <v>0</v>
      </c>
      <c r="K1206" s="80"/>
      <c r="L1206" s="630">
        <v>3136</v>
      </c>
      <c r="M1206" s="80" t="str">
        <f>+IFERROR(VLOOKUP(L1206,DATA!$G$4:$H$2000,2,FALSE),"")</f>
        <v xml:space="preserve">ЭМ ЭС ЭН ЭС ХХК </v>
      </c>
      <c r="N1206" s="630">
        <v>41</v>
      </c>
      <c r="O1206" s="80" t="str">
        <f>IFERROR(VLOOKUP(N1206,DATA!$K$4:$L$51,2,FALSE),"")</f>
        <v>Бараа борлуулсан, үйлчилгээ үзүүлсэний орлого</v>
      </c>
      <c r="P1206" s="80">
        <f t="shared" si="99"/>
        <v>1</v>
      </c>
      <c r="Q1206" s="154">
        <f t="shared" si="100"/>
        <v>1</v>
      </c>
    </row>
    <row r="1207" spans="2:17">
      <c r="B1207" s="627">
        <f t="shared" si="96"/>
        <v>1202</v>
      </c>
      <c r="C1207" s="582">
        <v>43360</v>
      </c>
      <c r="D1207" s="815" t="s">
        <v>1571</v>
      </c>
      <c r="E1207" s="630">
        <v>320100</v>
      </c>
      <c r="F1207" s="629" t="str">
        <f>IFERROR(VLOOKUP(E1207,STAT1!$C$4:$D$8000,2,FALSE),"")</f>
        <v>Урьдчилж орсон орлого MNT</v>
      </c>
      <c r="G1207" s="376"/>
      <c r="H1207" s="376">
        <v>5025000</v>
      </c>
      <c r="I1207" s="580">
        <f t="shared" si="97"/>
        <v>0</v>
      </c>
      <c r="J1207" s="961">
        <f t="shared" si="98"/>
        <v>0</v>
      </c>
      <c r="K1207" s="80"/>
      <c r="L1207" s="630">
        <v>3136</v>
      </c>
      <c r="M1207" s="80" t="str">
        <f>+IFERROR(VLOOKUP(L1207,DATA!$G$4:$H$2000,2,FALSE),"")</f>
        <v xml:space="preserve">ЭМ ЭС ЭН ЭС ХХК </v>
      </c>
      <c r="N1207" s="630"/>
      <c r="O1207" s="80" t="str">
        <f>IFERROR(VLOOKUP(N1207,DATA!$K$4:$L$51,2,FALSE),"")</f>
        <v/>
      </c>
      <c r="P1207" s="80">
        <f t="shared" si="99"/>
        <v>0</v>
      </c>
      <c r="Q1207" s="154">
        <f t="shared" si="100"/>
        <v>0</v>
      </c>
    </row>
    <row r="1208" spans="2:17">
      <c r="B1208" s="627">
        <f t="shared" si="96"/>
        <v>1203</v>
      </c>
      <c r="C1208" s="582">
        <v>43361</v>
      </c>
      <c r="D1208" s="815" t="s">
        <v>1571</v>
      </c>
      <c r="E1208" s="630">
        <v>110100</v>
      </c>
      <c r="F1208" s="629" t="str">
        <f>IFERROR(VLOOKUP(E1208,STAT1!$C$4:$D$8000,2,FALSE),"")</f>
        <v>Хаан Банк 5024654020</v>
      </c>
      <c r="G1208" s="376">
        <v>18007500</v>
      </c>
      <c r="H1208" s="376"/>
      <c r="I1208" s="580">
        <f t="shared" si="97"/>
        <v>18007500</v>
      </c>
      <c r="J1208" s="961">
        <f t="shared" si="98"/>
        <v>0</v>
      </c>
      <c r="K1208" s="80"/>
      <c r="L1208" s="630">
        <v>3133</v>
      </c>
      <c r="M1208" s="80" t="str">
        <f>+IFERROR(VLOOKUP(L1208,DATA!$G$4:$H$2000,2,FALSE),"")</f>
        <v xml:space="preserve">ДЭВЖИХ ЭРДЭНЭ ХХК </v>
      </c>
      <c r="N1208" s="630">
        <v>41</v>
      </c>
      <c r="O1208" s="80" t="str">
        <f>IFERROR(VLOOKUP(N1208,DATA!$K$4:$L$51,2,FALSE),"")</f>
        <v>Бараа борлуулсан, үйлчилгээ үзүүлсэний орлого</v>
      </c>
      <c r="P1208" s="80">
        <f t="shared" si="99"/>
        <v>1</v>
      </c>
      <c r="Q1208" s="154">
        <f t="shared" si="100"/>
        <v>1</v>
      </c>
    </row>
    <row r="1209" spans="2:17">
      <c r="B1209" s="627">
        <f t="shared" si="96"/>
        <v>1204</v>
      </c>
      <c r="C1209" s="582">
        <v>43361</v>
      </c>
      <c r="D1209" s="815" t="s">
        <v>1571</v>
      </c>
      <c r="E1209" s="630">
        <v>320100</v>
      </c>
      <c r="F1209" s="629" t="str">
        <f>IFERROR(VLOOKUP(E1209,STAT1!$C$4:$D$8000,2,FALSE),"")</f>
        <v>Урьдчилж орсон орлого MNT</v>
      </c>
      <c r="G1209" s="376"/>
      <c r="H1209" s="376">
        <v>18007500</v>
      </c>
      <c r="I1209" s="580">
        <f t="shared" si="97"/>
        <v>0</v>
      </c>
      <c r="J1209" s="961">
        <f t="shared" si="98"/>
        <v>0</v>
      </c>
      <c r="K1209" s="80"/>
      <c r="L1209" s="630">
        <v>3133</v>
      </c>
      <c r="M1209" s="80" t="str">
        <f>+IFERROR(VLOOKUP(L1209,DATA!$G$4:$H$2000,2,FALSE),"")</f>
        <v xml:space="preserve">ДЭВЖИХ ЭРДЭНЭ ХХК </v>
      </c>
      <c r="N1209" s="630"/>
      <c r="O1209" s="80" t="str">
        <f>IFERROR(VLOOKUP(N1209,DATA!$K$4:$L$51,2,FALSE),"")</f>
        <v/>
      </c>
      <c r="P1209" s="80">
        <f t="shared" si="99"/>
        <v>0</v>
      </c>
      <c r="Q1209" s="154">
        <f t="shared" si="100"/>
        <v>0</v>
      </c>
    </row>
    <row r="1210" spans="2:17">
      <c r="B1210" s="627">
        <f t="shared" si="96"/>
        <v>1205</v>
      </c>
      <c r="C1210" s="582">
        <v>43361</v>
      </c>
      <c r="D1210" s="815" t="s">
        <v>1570</v>
      </c>
      <c r="E1210" s="630">
        <v>100100</v>
      </c>
      <c r="F1210" s="629" t="str">
        <f>IFERROR(VLOOKUP(E1210,STAT1!$C$4:$D$8000,2,FALSE),"")</f>
        <v>Касс мөнгө MNT</v>
      </c>
      <c r="G1210" s="376"/>
      <c r="H1210" s="376">
        <v>20000</v>
      </c>
      <c r="I1210" s="580">
        <f t="shared" si="97"/>
        <v>-20000</v>
      </c>
      <c r="J1210" s="961">
        <f t="shared" si="98"/>
        <v>0</v>
      </c>
      <c r="K1210" s="80"/>
      <c r="L1210" s="630">
        <v>1004</v>
      </c>
      <c r="M1210" s="80" t="str">
        <f>+IFERROR(VLOOKUP(L1210,DATA!$G$4:$H$2000,2,FALSE),"")</f>
        <v xml:space="preserve">Түмэндэлгэр </v>
      </c>
      <c r="N1210" s="630">
        <v>55</v>
      </c>
      <c r="O1210" s="80" t="str">
        <f>IFERROR(VLOOKUP(N1210,DATA!$K$4:$L$51,2,FALSE),"")</f>
        <v>Түлш, шатахуун, тээврийн хөлс, сэлбэг хэрэгсэлд төлсөн</v>
      </c>
      <c r="P1210" s="80">
        <f t="shared" si="99"/>
        <v>1</v>
      </c>
      <c r="Q1210" s="154">
        <f t="shared" si="100"/>
        <v>1</v>
      </c>
    </row>
    <row r="1211" spans="2:17">
      <c r="B1211" s="627">
        <f t="shared" si="96"/>
        <v>1206</v>
      </c>
      <c r="C1211" s="582">
        <v>43361</v>
      </c>
      <c r="D1211" s="815" t="s">
        <v>1570</v>
      </c>
      <c r="E1211" s="630">
        <v>120600</v>
      </c>
      <c r="F1211" s="629" t="str">
        <f>IFERROR(VLOOKUP(E1211,STAT1!$C$4:$D$8000,2,FALSE),"")</f>
        <v>НӨАТ авлага</v>
      </c>
      <c r="G1211" s="376">
        <v>1818.18</v>
      </c>
      <c r="H1211" s="376"/>
      <c r="I1211" s="580">
        <f t="shared" si="97"/>
        <v>0</v>
      </c>
      <c r="J1211" s="961">
        <f t="shared" si="98"/>
        <v>0</v>
      </c>
      <c r="K1211" s="80"/>
      <c r="L1211" s="630">
        <v>1004</v>
      </c>
      <c r="M1211" s="80" t="str">
        <f>+IFERROR(VLOOKUP(L1211,DATA!$G$4:$H$2000,2,FALSE),"")</f>
        <v xml:space="preserve">Түмэндэлгэр </v>
      </c>
      <c r="N1211" s="807"/>
      <c r="O1211" s="80" t="str">
        <f>IFERROR(VLOOKUP(N1211,DATA!$K$4:$L$51,2,FALSE),"")</f>
        <v/>
      </c>
      <c r="P1211" s="80">
        <f t="shared" si="99"/>
        <v>0</v>
      </c>
      <c r="Q1211" s="154">
        <f t="shared" si="100"/>
        <v>0</v>
      </c>
    </row>
    <row r="1212" spans="2:17">
      <c r="B1212" s="627">
        <f t="shared" si="96"/>
        <v>1207</v>
      </c>
      <c r="C1212" s="582">
        <v>43361</v>
      </c>
      <c r="D1212" s="815" t="s">
        <v>1570</v>
      </c>
      <c r="E1212" s="630">
        <v>702000</v>
      </c>
      <c r="F1212" s="629" t="str">
        <f>IFERROR(VLOOKUP(E1212,STAT1!$C$4:$D$8000,2,FALSE),"")</f>
        <v>Түлш, шатахуун</v>
      </c>
      <c r="G1212" s="376">
        <f>20000-1818.18</f>
        <v>18181.82</v>
      </c>
      <c r="H1212" s="376"/>
      <c r="I1212" s="580">
        <f t="shared" si="97"/>
        <v>0</v>
      </c>
      <c r="J1212" s="961">
        <f t="shared" si="98"/>
        <v>0</v>
      </c>
      <c r="K1212" s="80"/>
      <c r="L1212" s="630">
        <v>1004</v>
      </c>
      <c r="M1212" s="80" t="str">
        <f>+IFERROR(VLOOKUP(L1212,DATA!$G$4:$H$2000,2,FALSE),"")</f>
        <v xml:space="preserve">Түмэндэлгэр </v>
      </c>
      <c r="N1212" s="807"/>
      <c r="O1212" s="80" t="str">
        <f>IFERROR(VLOOKUP(N1212,DATA!$K$4:$L$51,2,FALSE),"")</f>
        <v/>
      </c>
      <c r="P1212" s="80">
        <f t="shared" si="99"/>
        <v>0</v>
      </c>
      <c r="Q1212" s="154">
        <f t="shared" si="100"/>
        <v>0</v>
      </c>
    </row>
    <row r="1213" spans="2:17">
      <c r="B1213" s="627">
        <f t="shared" si="96"/>
        <v>1208</v>
      </c>
      <c r="C1213" s="429">
        <v>43361</v>
      </c>
      <c r="D1213" s="816" t="s">
        <v>2566</v>
      </c>
      <c r="E1213" s="807">
        <v>100100</v>
      </c>
      <c r="F1213" s="629" t="str">
        <f>IFERROR(VLOOKUP(E1213,STAT1!$C$4:$D$1000,2,FALSE),"")</f>
        <v>Касс мөнгө MNT</v>
      </c>
      <c r="G1213" s="811"/>
      <c r="H1213" s="811">
        <v>133750</v>
      </c>
      <c r="I1213" s="580">
        <f t="shared" si="97"/>
        <v>-133750</v>
      </c>
      <c r="J1213" s="961">
        <f t="shared" si="98"/>
        <v>0</v>
      </c>
      <c r="K1213" s="80"/>
      <c r="L1213" s="807">
        <v>1008</v>
      </c>
      <c r="M1213" s="80" t="str">
        <f>+IFERROR(VLOOKUP(L1213,DATA!$G$4:$H$2000,2,FALSE),"")</f>
        <v xml:space="preserve">Оюунтүлхүүр </v>
      </c>
      <c r="N1213" s="807">
        <v>53</v>
      </c>
      <c r="O1213" s="80" t="str">
        <f>IFERROR(VLOOKUP(N1213,DATA!$K$4:$L$51,2,FALSE),"")</f>
        <v>Бараа материал худалдан авахад төлсөн</v>
      </c>
      <c r="P1213" s="80">
        <f t="shared" si="99"/>
        <v>1</v>
      </c>
      <c r="Q1213" s="154">
        <f t="shared" si="100"/>
        <v>1</v>
      </c>
    </row>
    <row r="1214" spans="2:17">
      <c r="B1214" s="627">
        <f t="shared" si="96"/>
        <v>1209</v>
      </c>
      <c r="C1214" s="429">
        <v>43361</v>
      </c>
      <c r="D1214" s="816" t="s">
        <v>2566</v>
      </c>
      <c r="E1214" s="807">
        <v>120600</v>
      </c>
      <c r="F1214" s="629" t="str">
        <f>IFERROR(VLOOKUP(E1214,STAT1!$C$4:$D$1000,2,FALSE),"")</f>
        <v>НӨАТ авлага</v>
      </c>
      <c r="G1214" s="811">
        <v>12159.09</v>
      </c>
      <c r="H1214" s="811"/>
      <c r="I1214" s="580">
        <f t="shared" si="97"/>
        <v>0</v>
      </c>
      <c r="J1214" s="961">
        <f t="shared" si="98"/>
        <v>0</v>
      </c>
      <c r="K1214" s="80"/>
      <c r="L1214" s="807">
        <v>1008</v>
      </c>
      <c r="M1214" s="80" t="str">
        <f>+IFERROR(VLOOKUP(L1214,DATA!$G$4:$H$2000,2,FALSE),"")</f>
        <v xml:space="preserve">Оюунтүлхүүр </v>
      </c>
      <c r="N1214" s="807"/>
      <c r="O1214" s="80" t="str">
        <f>IFERROR(VLOOKUP(N1214,DATA!$K$4:$L$51,2,FALSE),"")</f>
        <v/>
      </c>
      <c r="P1214" s="80">
        <f t="shared" si="99"/>
        <v>0</v>
      </c>
      <c r="Q1214" s="154">
        <f t="shared" si="100"/>
        <v>0</v>
      </c>
    </row>
    <row r="1215" spans="2:17">
      <c r="B1215" s="627">
        <f t="shared" si="96"/>
        <v>1210</v>
      </c>
      <c r="C1215" s="429">
        <v>43361</v>
      </c>
      <c r="D1215" s="816" t="s">
        <v>2566</v>
      </c>
      <c r="E1215" s="807">
        <v>703700</v>
      </c>
      <c r="F1215" s="629" t="str">
        <f>IFERROR(VLOOKUP(E1215,STAT1!$C$4:$D$1000,2,FALSE),"")</f>
        <v>Бичиг хэргийн зардал</v>
      </c>
      <c r="G1215" s="811">
        <f>133750-12159.09</f>
        <v>121590.91</v>
      </c>
      <c r="H1215" s="811"/>
      <c r="I1215" s="580">
        <f t="shared" si="97"/>
        <v>0</v>
      </c>
      <c r="J1215" s="961">
        <f t="shared" si="98"/>
        <v>0</v>
      </c>
      <c r="K1215" s="80"/>
      <c r="L1215" s="807">
        <v>1008</v>
      </c>
      <c r="M1215" s="80" t="str">
        <f>+IFERROR(VLOOKUP(L1215,DATA!$G$4:$H$2000,2,FALSE),"")</f>
        <v xml:space="preserve">Оюунтүлхүүр </v>
      </c>
      <c r="N1215" s="807"/>
      <c r="O1215" s="80" t="str">
        <f>IFERROR(VLOOKUP(N1215,DATA!$K$4:$L$51,2,FALSE),"")</f>
        <v/>
      </c>
      <c r="P1215" s="80">
        <f t="shared" si="99"/>
        <v>0</v>
      </c>
      <c r="Q1215" s="154">
        <f t="shared" si="100"/>
        <v>0</v>
      </c>
    </row>
    <row r="1216" spans="2:17">
      <c r="B1216" s="627">
        <f t="shared" si="96"/>
        <v>1211</v>
      </c>
      <c r="C1216" s="429">
        <v>43363</v>
      </c>
      <c r="D1216" s="816" t="s">
        <v>2379</v>
      </c>
      <c r="E1216" s="807">
        <v>110100</v>
      </c>
      <c r="F1216" s="629" t="str">
        <f>IFERROR(VLOOKUP(E1216,STAT1!$C$4:$D$1000,2,FALSE),"")</f>
        <v>Хаан Банк 5024654020</v>
      </c>
      <c r="G1216" s="811"/>
      <c r="H1216" s="811">
        <v>3824007</v>
      </c>
      <c r="I1216" s="580">
        <f t="shared" si="97"/>
        <v>-3824007</v>
      </c>
      <c r="J1216" s="961">
        <f t="shared" si="98"/>
        <v>0</v>
      </c>
      <c r="K1216" s="80"/>
      <c r="L1216" s="807">
        <v>2009</v>
      </c>
      <c r="M1216" s="80" t="str">
        <f>+IFERROR(VLOOKUP(L1216,DATA!$G$4:$H$2000,2,FALSE),"")</f>
        <v>ХААН БАНК</v>
      </c>
      <c r="N1216" s="807">
        <v>91</v>
      </c>
      <c r="O1216" s="80" t="str">
        <f>IFERROR(VLOOKUP(N1216,DATA!$K$4:$L$51,2,FALSE),"")</f>
        <v>Зээл, өрийн үнэт цаасны төлбөрт төлсөн</v>
      </c>
      <c r="P1216" s="80">
        <f t="shared" si="99"/>
        <v>1</v>
      </c>
      <c r="Q1216" s="154">
        <f t="shared" si="100"/>
        <v>1</v>
      </c>
    </row>
    <row r="1217" spans="2:17">
      <c r="B1217" s="627">
        <f t="shared" si="96"/>
        <v>1212</v>
      </c>
      <c r="C1217" s="429">
        <v>43363</v>
      </c>
      <c r="D1217" s="816" t="s">
        <v>2379</v>
      </c>
      <c r="E1217" s="807">
        <v>311100</v>
      </c>
      <c r="F1217" s="629" t="str">
        <f>IFERROR(VLOOKUP(E1217,STAT1!$C$4:$D$1000,2,FALSE),"")</f>
        <v xml:space="preserve">Бусад богино хугацаат өглөг </v>
      </c>
      <c r="G1217" s="811">
        <v>3824007</v>
      </c>
      <c r="H1217" s="811"/>
      <c r="I1217" s="580">
        <f t="shared" si="97"/>
        <v>0</v>
      </c>
      <c r="J1217" s="961">
        <f t="shared" si="98"/>
        <v>0</v>
      </c>
      <c r="K1217" s="80"/>
      <c r="L1217" s="807">
        <v>2009</v>
      </c>
      <c r="M1217" s="80" t="str">
        <f>+IFERROR(VLOOKUP(L1217,DATA!$G$4:$H$2000,2,FALSE),"")</f>
        <v>ХААН БАНК</v>
      </c>
      <c r="N1217" s="807"/>
      <c r="O1217" s="80" t="str">
        <f>IFERROR(VLOOKUP(N1217,DATA!$K$4:$L$51,2,FALSE),"")</f>
        <v/>
      </c>
      <c r="P1217" s="80">
        <f t="shared" si="99"/>
        <v>0</v>
      </c>
      <c r="Q1217" s="154">
        <f t="shared" si="100"/>
        <v>0</v>
      </c>
    </row>
    <row r="1218" spans="2:17">
      <c r="B1218" s="627">
        <f t="shared" si="96"/>
        <v>1213</v>
      </c>
      <c r="C1218" s="429">
        <v>43363</v>
      </c>
      <c r="D1218" s="816" t="s">
        <v>2379</v>
      </c>
      <c r="E1218" s="807">
        <v>110100</v>
      </c>
      <c r="F1218" s="629" t="str">
        <f>IFERROR(VLOOKUP(E1218,STAT1!$C$4:$D$1000,2,FALSE),"")</f>
        <v>Хаан Банк 5024654020</v>
      </c>
      <c r="G1218" s="811"/>
      <c r="H1218" s="811">
        <v>755993</v>
      </c>
      <c r="I1218" s="580">
        <f t="shared" si="97"/>
        <v>-755993</v>
      </c>
      <c r="J1218" s="961">
        <f t="shared" si="98"/>
        <v>0</v>
      </c>
      <c r="K1218" s="80"/>
      <c r="L1218" s="807">
        <v>2009</v>
      </c>
      <c r="M1218" s="80" t="str">
        <f>+IFERROR(VLOOKUP(L1218,DATA!$G$4:$H$2000,2,FALSE),"")</f>
        <v>ХААН БАНК</v>
      </c>
      <c r="N1218" s="807">
        <v>56</v>
      </c>
      <c r="O1218" s="80" t="str">
        <f>IFERROR(VLOOKUP(N1218,DATA!$K$4:$L$51,2,FALSE),"")</f>
        <v>Хүүний төлбөрт төлсөн</v>
      </c>
      <c r="P1218" s="80">
        <f t="shared" si="99"/>
        <v>1</v>
      </c>
      <c r="Q1218" s="154">
        <f t="shared" si="100"/>
        <v>1</v>
      </c>
    </row>
    <row r="1219" spans="2:17">
      <c r="B1219" s="627">
        <f t="shared" si="96"/>
        <v>1214</v>
      </c>
      <c r="C1219" s="429">
        <v>43363</v>
      </c>
      <c r="D1219" s="816" t="s">
        <v>2379</v>
      </c>
      <c r="E1219" s="807">
        <v>702500</v>
      </c>
      <c r="F1219" s="629" t="str">
        <f>IFERROR(VLOOKUP(E1219,STAT1!$C$4:$D$1000,2,FALSE),"")</f>
        <v>Зээлийн хүүгийн зардал</v>
      </c>
      <c r="G1219" s="811">
        <v>755993</v>
      </c>
      <c r="H1219" s="811"/>
      <c r="I1219" s="580">
        <f t="shared" si="97"/>
        <v>0</v>
      </c>
      <c r="J1219" s="961">
        <f t="shared" si="98"/>
        <v>0</v>
      </c>
      <c r="K1219" s="80"/>
      <c r="L1219" s="807">
        <v>2009</v>
      </c>
      <c r="M1219" s="80" t="str">
        <f>+IFERROR(VLOOKUP(L1219,DATA!$G$4:$H$2000,2,FALSE),"")</f>
        <v>ХААН БАНК</v>
      </c>
      <c r="N1219" s="807"/>
      <c r="O1219" s="80" t="str">
        <f>IFERROR(VLOOKUP(N1219,DATA!$K$4:$L$51,2,FALSE),"")</f>
        <v/>
      </c>
      <c r="P1219" s="80">
        <f t="shared" si="99"/>
        <v>0</v>
      </c>
      <c r="Q1219" s="154">
        <f t="shared" si="100"/>
        <v>0</v>
      </c>
    </row>
    <row r="1220" spans="2:17">
      <c r="B1220" s="627">
        <f t="shared" si="96"/>
        <v>1215</v>
      </c>
      <c r="C1220" s="582">
        <v>43363</v>
      </c>
      <c r="D1220" s="815" t="s">
        <v>2709</v>
      </c>
      <c r="E1220" s="630">
        <v>100100</v>
      </c>
      <c r="F1220" s="629" t="str">
        <f>IFERROR(VLOOKUP(E1220,STAT1!$C$4:$D$8000,2,FALSE),"")</f>
        <v>Касс мөнгө MNT</v>
      </c>
      <c r="G1220" s="376"/>
      <c r="H1220" s="376">
        <v>100000</v>
      </c>
      <c r="I1220" s="580">
        <f t="shared" si="97"/>
        <v>-100000</v>
      </c>
      <c r="J1220" s="961">
        <f t="shared" si="98"/>
        <v>0</v>
      </c>
      <c r="K1220" s="80"/>
      <c r="L1220" s="630">
        <v>1003</v>
      </c>
      <c r="M1220" s="80" t="str">
        <f>+IFERROR(VLOOKUP(L1220,DATA!$G$4:$H$2000,2,FALSE),"")</f>
        <v>Бахдамдэмбэрэл</v>
      </c>
      <c r="N1220" s="630">
        <v>55</v>
      </c>
      <c r="O1220" s="80" t="str">
        <f>IFERROR(VLOOKUP(N1220,DATA!$K$4:$L$51,2,FALSE),"")</f>
        <v>Түлш, шатахуун, тээврийн хөлс, сэлбэг хэрэгсэлд төлсөн</v>
      </c>
      <c r="P1220" s="80">
        <f t="shared" si="99"/>
        <v>1</v>
      </c>
      <c r="Q1220" s="154">
        <f t="shared" si="100"/>
        <v>1</v>
      </c>
    </row>
    <row r="1221" spans="2:17">
      <c r="B1221" s="627">
        <f t="shared" si="96"/>
        <v>1216</v>
      </c>
      <c r="C1221" s="582">
        <v>43363</v>
      </c>
      <c r="D1221" s="815" t="s">
        <v>2709</v>
      </c>
      <c r="E1221" s="630">
        <v>120600</v>
      </c>
      <c r="F1221" s="629" t="str">
        <f>IFERROR(VLOOKUP(E1221,STAT1!$C$4:$D$8000,2,FALSE),"")</f>
        <v>НӨАТ авлага</v>
      </c>
      <c r="G1221" s="376">
        <v>9090.91</v>
      </c>
      <c r="H1221" s="376"/>
      <c r="I1221" s="580">
        <f t="shared" si="97"/>
        <v>0</v>
      </c>
      <c r="J1221" s="961">
        <f t="shared" si="98"/>
        <v>0</v>
      </c>
      <c r="K1221" s="80"/>
      <c r="L1221" s="630">
        <v>1003</v>
      </c>
      <c r="M1221" s="80" t="str">
        <f>+IFERROR(VLOOKUP(L1221,DATA!$G$4:$H$2000,2,FALSE),"")</f>
        <v>Бахдамдэмбэрэл</v>
      </c>
      <c r="N1221" s="630"/>
      <c r="O1221" s="80" t="str">
        <f>IFERROR(VLOOKUP(N1221,DATA!$K$4:$L$51,2,FALSE),"")</f>
        <v/>
      </c>
      <c r="P1221" s="80">
        <f t="shared" si="99"/>
        <v>0</v>
      </c>
      <c r="Q1221" s="154">
        <f t="shared" si="100"/>
        <v>0</v>
      </c>
    </row>
    <row r="1222" spans="2:17">
      <c r="B1222" s="627">
        <f t="shared" ref="B1222:B1284" si="101">+IF(C1222="","",ROW()-5)</f>
        <v>1217</v>
      </c>
      <c r="C1222" s="582">
        <v>43363</v>
      </c>
      <c r="D1222" s="815" t="s">
        <v>2709</v>
      </c>
      <c r="E1222" s="630">
        <v>702000</v>
      </c>
      <c r="F1222" s="629" t="str">
        <f>IFERROR(VLOOKUP(E1222,STAT1!$C$4:$D$8000,2,FALSE),"")</f>
        <v>Түлш, шатахуун</v>
      </c>
      <c r="G1222" s="376">
        <f>100000-9090.91</f>
        <v>90909.09</v>
      </c>
      <c r="H1222" s="376"/>
      <c r="I1222" s="580">
        <f t="shared" si="97"/>
        <v>0</v>
      </c>
      <c r="J1222" s="961">
        <f t="shared" si="98"/>
        <v>0</v>
      </c>
      <c r="K1222" s="80"/>
      <c r="L1222" s="630">
        <v>1003</v>
      </c>
      <c r="M1222" s="80" t="str">
        <f>+IFERROR(VLOOKUP(L1222,DATA!$G$4:$H$2000,2,FALSE),"")</f>
        <v>Бахдамдэмбэрэл</v>
      </c>
      <c r="N1222" s="630"/>
      <c r="O1222" s="80" t="str">
        <f>IFERROR(VLOOKUP(N1222,DATA!$K$4:$L$51,2,FALSE),"")</f>
        <v/>
      </c>
      <c r="P1222" s="80">
        <f t="shared" si="99"/>
        <v>0</v>
      </c>
      <c r="Q1222" s="154">
        <f t="shared" si="100"/>
        <v>0</v>
      </c>
    </row>
    <row r="1223" spans="2:17">
      <c r="B1223" s="627">
        <f t="shared" si="101"/>
        <v>1218</v>
      </c>
      <c r="C1223" s="429">
        <v>43364</v>
      </c>
      <c r="D1223" s="816" t="s">
        <v>2700</v>
      </c>
      <c r="E1223" s="807">
        <v>110100</v>
      </c>
      <c r="F1223" s="629" t="str">
        <f>IFERROR(VLOOKUP(E1223,STAT1!$C$4:$D$8000,2,FALSE),"")</f>
        <v>Хаан Банк 5024654020</v>
      </c>
      <c r="G1223" s="811">
        <v>2457472.5</v>
      </c>
      <c r="H1223" s="811"/>
      <c r="I1223" s="580">
        <f t="shared" si="97"/>
        <v>2457472.5</v>
      </c>
      <c r="J1223" s="961">
        <f t="shared" si="98"/>
        <v>0</v>
      </c>
      <c r="K1223" s="80"/>
      <c r="L1223" s="807">
        <v>1003</v>
      </c>
      <c r="M1223" s="80" t="str">
        <f>+IFERROR(VLOOKUP(L1223,DATA!$G$4:$H$2000,2,FALSE),"")</f>
        <v>Бахдамдэмбэрэл</v>
      </c>
      <c r="N1223" s="807">
        <v>53</v>
      </c>
      <c r="O1223" s="80" t="str">
        <f>IFERROR(VLOOKUP(N1223,DATA!$K$4:$L$51,2,FALSE),"")</f>
        <v>Бараа материал худалдан авахад төлсөн</v>
      </c>
      <c r="P1223" s="80">
        <f t="shared" si="99"/>
        <v>1</v>
      </c>
      <c r="Q1223" s="154">
        <f t="shared" si="100"/>
        <v>1</v>
      </c>
    </row>
    <row r="1224" spans="2:17">
      <c r="B1224" s="627">
        <f t="shared" si="101"/>
        <v>1219</v>
      </c>
      <c r="C1224" s="429">
        <v>43364</v>
      </c>
      <c r="D1224" s="816" t="s">
        <v>2700</v>
      </c>
      <c r="E1224" s="807">
        <v>120100</v>
      </c>
      <c r="F1224" s="629" t="str">
        <f>IFERROR(VLOOKUP(E1224,STAT1!$C$4:$D$8000,2,FALSE),"")</f>
        <v xml:space="preserve">Дансны авлага MNT </v>
      </c>
      <c r="G1224" s="811"/>
      <c r="H1224" s="811">
        <v>2457472.5</v>
      </c>
      <c r="I1224" s="580">
        <f t="shared" si="97"/>
        <v>0</v>
      </c>
      <c r="J1224" s="961">
        <f t="shared" si="98"/>
        <v>0</v>
      </c>
      <c r="K1224" s="80"/>
      <c r="L1224" s="807">
        <v>1003</v>
      </c>
      <c r="M1224" s="80" t="str">
        <f>+IFERROR(VLOOKUP(L1224,DATA!$G$4:$H$2000,2,FALSE),"")</f>
        <v>Бахдамдэмбэрэл</v>
      </c>
      <c r="N1224" s="807"/>
      <c r="O1224" s="80" t="str">
        <f>IFERROR(VLOOKUP(N1224,DATA!$K$4:$L$51,2,FALSE),"")</f>
        <v/>
      </c>
      <c r="P1224" s="80">
        <f t="shared" si="99"/>
        <v>0</v>
      </c>
      <c r="Q1224" s="154">
        <f t="shared" si="100"/>
        <v>0</v>
      </c>
    </row>
    <row r="1225" spans="2:17">
      <c r="B1225" s="627">
        <f t="shared" si="101"/>
        <v>1220</v>
      </c>
      <c r="C1225" s="429">
        <v>43364</v>
      </c>
      <c r="D1225" s="816" t="s">
        <v>2727</v>
      </c>
      <c r="E1225" s="807">
        <v>150101</v>
      </c>
      <c r="F1225" s="629" t="str">
        <f>IFERROR(VLOOKUP(E1225,STAT1!$C$4:$D$1000,2,FALSE),"")</f>
        <v>Бараа бэлэн бүтээгдэхүүн БОЛОВСРУУЛАХ ЦЕХ /нарс/</v>
      </c>
      <c r="G1225" s="811"/>
      <c r="H1225" s="811">
        <v>49884.98</v>
      </c>
      <c r="I1225" s="580">
        <f t="shared" si="97"/>
        <v>0</v>
      </c>
      <c r="J1225" s="961">
        <f t="shared" si="98"/>
        <v>0</v>
      </c>
      <c r="K1225" s="80"/>
      <c r="L1225" s="807">
        <v>3104</v>
      </c>
      <c r="M1225" s="80" t="str">
        <f>+IFERROR(VLOOKUP(L1225,DATA!$G$4:$H$2000,2,FALSE),"")</f>
        <v>ХҮРЭЭ ЦАМХАГ ХХК</v>
      </c>
      <c r="N1225" s="807"/>
      <c r="O1225" s="80" t="str">
        <f>IFERROR(VLOOKUP(N1225,DATA!$K$4:$L$51,2,FALSE),"")</f>
        <v/>
      </c>
      <c r="P1225" s="80">
        <f t="shared" si="99"/>
        <v>0</v>
      </c>
      <c r="Q1225" s="154">
        <f t="shared" si="100"/>
        <v>0</v>
      </c>
    </row>
    <row r="1226" spans="2:17">
      <c r="B1226" s="627">
        <f t="shared" si="101"/>
        <v>1221</v>
      </c>
      <c r="C1226" s="429">
        <v>43364</v>
      </c>
      <c r="D1226" s="816" t="s">
        <v>2727</v>
      </c>
      <c r="E1226" s="807">
        <v>610100</v>
      </c>
      <c r="F1226" s="629" t="str">
        <f>IFERROR(VLOOKUP(E1226,STAT1!$C$4:$D$1000,2,FALSE),"")</f>
        <v>Борлуулсан барааны өртөг</v>
      </c>
      <c r="G1226" s="811">
        <v>49884.98</v>
      </c>
      <c r="H1226" s="811"/>
      <c r="I1226" s="580">
        <f t="shared" si="97"/>
        <v>0</v>
      </c>
      <c r="J1226" s="961">
        <f t="shared" si="98"/>
        <v>0</v>
      </c>
      <c r="K1226" s="80"/>
      <c r="L1226" s="807">
        <v>3104</v>
      </c>
      <c r="M1226" s="80" t="str">
        <f>+IFERROR(VLOOKUP(L1226,DATA!$G$4:$H$2000,2,FALSE),"")</f>
        <v>ХҮРЭЭ ЦАМХАГ ХХК</v>
      </c>
      <c r="N1226" s="807"/>
      <c r="O1226" s="80" t="str">
        <f>IFERROR(VLOOKUP(N1226,DATA!$K$4:$L$51,2,FALSE),"")</f>
        <v/>
      </c>
      <c r="P1226" s="80">
        <f t="shared" si="99"/>
        <v>0</v>
      </c>
      <c r="Q1226" s="154">
        <f t="shared" si="100"/>
        <v>0</v>
      </c>
    </row>
    <row r="1227" spans="2:17">
      <c r="B1227" s="627">
        <f t="shared" si="101"/>
        <v>1222</v>
      </c>
      <c r="C1227" s="429">
        <v>43364</v>
      </c>
      <c r="D1227" s="816" t="s">
        <v>2727</v>
      </c>
      <c r="E1227" s="807">
        <v>310500</v>
      </c>
      <c r="F1227" s="629" t="str">
        <f>IFERROR(VLOOKUP(E1227,STAT1!$C$4:$D$1000,2,FALSE),"")</f>
        <v>НӨАТ өглөг</v>
      </c>
      <c r="G1227" s="811"/>
      <c r="H1227" s="811">
        <v>9396</v>
      </c>
      <c r="I1227" s="580">
        <f t="shared" si="97"/>
        <v>0</v>
      </c>
      <c r="J1227" s="961">
        <f t="shared" si="98"/>
        <v>0</v>
      </c>
      <c r="K1227" s="80"/>
      <c r="L1227" s="807">
        <v>3104</v>
      </c>
      <c r="M1227" s="80" t="str">
        <f>+IFERROR(VLOOKUP(L1227,DATA!$G$4:$H$2000,2,FALSE),"")</f>
        <v>ХҮРЭЭ ЦАМХАГ ХХК</v>
      </c>
      <c r="N1227" s="807"/>
      <c r="O1227" s="80" t="str">
        <f>IFERROR(VLOOKUP(N1227,DATA!$K$4:$L$51,2,FALSE),"")</f>
        <v/>
      </c>
      <c r="P1227" s="80">
        <f t="shared" si="99"/>
        <v>0</v>
      </c>
      <c r="Q1227" s="154">
        <f t="shared" si="100"/>
        <v>0</v>
      </c>
    </row>
    <row r="1228" spans="2:17">
      <c r="B1228" s="627">
        <f t="shared" si="101"/>
        <v>1223</v>
      </c>
      <c r="C1228" s="429">
        <v>43364</v>
      </c>
      <c r="D1228" s="816" t="s">
        <v>2727</v>
      </c>
      <c r="E1228" s="807">
        <v>510000</v>
      </c>
      <c r="F1228" s="629" t="str">
        <f>IFERROR(VLOOKUP(E1228,STAT1!$C$4:$D$1000,2,FALSE),"")</f>
        <v>Үндсэн үйл ажиллагааны борлуулалт</v>
      </c>
      <c r="G1228" s="811"/>
      <c r="H1228" s="811">
        <v>93960</v>
      </c>
      <c r="I1228" s="580">
        <f t="shared" si="97"/>
        <v>0</v>
      </c>
      <c r="J1228" s="961">
        <f t="shared" si="98"/>
        <v>0</v>
      </c>
      <c r="K1228" s="80"/>
      <c r="L1228" s="807">
        <v>3104</v>
      </c>
      <c r="M1228" s="80" t="str">
        <f>+IFERROR(VLOOKUP(L1228,DATA!$G$4:$H$2000,2,FALSE),"")</f>
        <v>ХҮРЭЭ ЦАМХАГ ХХК</v>
      </c>
      <c r="N1228" s="807"/>
      <c r="O1228" s="80" t="str">
        <f>IFERROR(VLOOKUP(N1228,DATA!$K$4:$L$51,2,FALSE),"")</f>
        <v/>
      </c>
      <c r="P1228" s="80">
        <f t="shared" si="99"/>
        <v>0</v>
      </c>
      <c r="Q1228" s="154">
        <f t="shared" si="100"/>
        <v>0</v>
      </c>
    </row>
    <row r="1229" spans="2:17">
      <c r="B1229" s="627">
        <f t="shared" si="101"/>
        <v>1224</v>
      </c>
      <c r="C1229" s="429">
        <v>43364</v>
      </c>
      <c r="D1229" s="816" t="s">
        <v>2727</v>
      </c>
      <c r="E1229" s="807">
        <v>320100</v>
      </c>
      <c r="F1229" s="629" t="str">
        <f>IFERROR(VLOOKUP(E1229,STAT1!$C$4:$D$1000,2,FALSE),"")</f>
        <v>Урьдчилж орсон орлого MNT</v>
      </c>
      <c r="G1229" s="811">
        <v>103356</v>
      </c>
      <c r="H1229" s="811"/>
      <c r="I1229" s="580">
        <f t="shared" si="97"/>
        <v>0</v>
      </c>
      <c r="J1229" s="961">
        <f t="shared" si="98"/>
        <v>0</v>
      </c>
      <c r="K1229" s="80"/>
      <c r="L1229" s="807">
        <v>3104</v>
      </c>
      <c r="M1229" s="80" t="str">
        <f>+IFERROR(VLOOKUP(L1229,DATA!$G$4:$H$2000,2,FALSE),"")</f>
        <v>ХҮРЭЭ ЦАМХАГ ХХК</v>
      </c>
      <c r="N1229" s="807"/>
      <c r="O1229" s="80" t="str">
        <f>IFERROR(VLOOKUP(N1229,DATA!$K$4:$L$51,2,FALSE),"")</f>
        <v/>
      </c>
      <c r="P1229" s="80">
        <f t="shared" si="99"/>
        <v>0</v>
      </c>
      <c r="Q1229" s="154">
        <f t="shared" si="100"/>
        <v>0</v>
      </c>
    </row>
    <row r="1230" spans="2:17">
      <c r="B1230" s="627">
        <f t="shared" si="101"/>
        <v>1225</v>
      </c>
      <c r="C1230" s="582">
        <v>43367</v>
      </c>
      <c r="D1230" s="815" t="s">
        <v>2602</v>
      </c>
      <c r="E1230" s="630">
        <v>110100</v>
      </c>
      <c r="F1230" s="629" t="str">
        <f>IFERROR(VLOOKUP(E1230,STAT1!$C$4:$D$8000,2,FALSE),"")</f>
        <v>Хаан Банк 5024654020</v>
      </c>
      <c r="G1230" s="376"/>
      <c r="H1230" s="376">
        <v>320578</v>
      </c>
      <c r="I1230" s="580">
        <f t="shared" si="97"/>
        <v>-320578</v>
      </c>
      <c r="J1230" s="961">
        <f t="shared" si="98"/>
        <v>0</v>
      </c>
      <c r="K1230" s="80"/>
      <c r="L1230" s="630">
        <v>2005</v>
      </c>
      <c r="M1230" s="80" t="str">
        <f>+IFERROR(VLOOKUP(L1230,DATA!$G$4:$H$2000,2,FALSE),"")</f>
        <v xml:space="preserve">УСУГ ТӨХК </v>
      </c>
      <c r="N1230" s="630">
        <v>54</v>
      </c>
      <c r="O1230" s="80" t="str">
        <f>IFERROR(VLOOKUP(N1230,DATA!$K$4:$L$51,2,FALSE),"")</f>
        <v>Ашиглалтын зардалд төлсөн</v>
      </c>
      <c r="P1230" s="80">
        <f t="shared" si="99"/>
        <v>1</v>
      </c>
      <c r="Q1230" s="154">
        <f t="shared" si="100"/>
        <v>1</v>
      </c>
    </row>
    <row r="1231" spans="2:17">
      <c r="B1231" s="627">
        <f t="shared" si="101"/>
        <v>1226</v>
      </c>
      <c r="C1231" s="582">
        <v>43367</v>
      </c>
      <c r="D1231" s="815" t="s">
        <v>2602</v>
      </c>
      <c r="E1231" s="630">
        <v>120600</v>
      </c>
      <c r="F1231" s="629" t="str">
        <f>IFERROR(VLOOKUP(E1231,STAT1!$C$4:$D$8000,2,FALSE),"")</f>
        <v>НӨАТ авлага</v>
      </c>
      <c r="G1231" s="376">
        <v>29143.45</v>
      </c>
      <c r="H1231" s="376"/>
      <c r="I1231" s="580">
        <f t="shared" ref="I1231:I1293" si="102">+IF(OR(E1231=100100,E1231=100200,E1231=110100,E1231=110102,E1231=110103,E1231=110104,E1231=110105,E1231=110200,E1231=110201,E1231=110202,E1231=110203,E1231=110204,E1231=110300),G1231,0)+IF(OR(E1231=100100,E1231=100200,E1231=110100,E1231=110102,E1231=110103,E1231=110104,E1231=110105,E1231=110200,E1231=110201,E1231=110202,E1231=110203,E1231=110204,E1231=110300),H1231*-1,0)</f>
        <v>0</v>
      </c>
      <c r="J1231" s="961">
        <f t="shared" ref="J1231:J1272" si="103">+IF(E1231=110102,I1231/K1231,0)</f>
        <v>0</v>
      </c>
      <c r="K1231" s="80"/>
      <c r="L1231" s="630">
        <v>2005</v>
      </c>
      <c r="M1231" s="80" t="str">
        <f>+IFERROR(VLOOKUP(L1231,DATA!$G$4:$H$2000,2,FALSE),"")</f>
        <v xml:space="preserve">УСУГ ТӨХК </v>
      </c>
      <c r="N1231" s="630"/>
      <c r="O1231" s="80" t="str">
        <f>IFERROR(VLOOKUP(N1231,DATA!$K$4:$L$51,2,FALSE),"")</f>
        <v/>
      </c>
      <c r="P1231" s="80">
        <f t="shared" si="99"/>
        <v>0</v>
      </c>
      <c r="Q1231" s="154">
        <f t="shared" si="100"/>
        <v>0</v>
      </c>
    </row>
    <row r="1232" spans="2:17">
      <c r="B1232" s="627">
        <f t="shared" si="101"/>
        <v>1227</v>
      </c>
      <c r="C1232" s="582">
        <v>43367</v>
      </c>
      <c r="D1232" s="815" t="s">
        <v>2602</v>
      </c>
      <c r="E1232" s="630">
        <v>700900</v>
      </c>
      <c r="F1232" s="629" t="str">
        <f>IFERROR(VLOOKUP(E1232,STAT1!$C$4:$D$8000,2,FALSE),"")</f>
        <v>Уур, ус</v>
      </c>
      <c r="G1232" s="376">
        <f>320578-29143.45</f>
        <v>291434.55</v>
      </c>
      <c r="H1232" s="376"/>
      <c r="I1232" s="580">
        <f t="shared" si="102"/>
        <v>0</v>
      </c>
      <c r="J1232" s="961">
        <f t="shared" si="103"/>
        <v>0</v>
      </c>
      <c r="K1232" s="80"/>
      <c r="L1232" s="630">
        <v>2005</v>
      </c>
      <c r="M1232" s="80" t="str">
        <f>+IFERROR(VLOOKUP(L1232,DATA!$G$4:$H$2000,2,FALSE),"")</f>
        <v xml:space="preserve">УСУГ ТӨХК </v>
      </c>
      <c r="N1232" s="630"/>
      <c r="O1232" s="80" t="str">
        <f>IFERROR(VLOOKUP(N1232,DATA!$K$4:$L$51,2,FALSE),"")</f>
        <v/>
      </c>
      <c r="P1232" s="80">
        <f t="shared" si="99"/>
        <v>0</v>
      </c>
      <c r="Q1232" s="154">
        <f t="shared" si="100"/>
        <v>0</v>
      </c>
    </row>
    <row r="1233" spans="2:17">
      <c r="B1233" s="627">
        <f t="shared" si="101"/>
        <v>1228</v>
      </c>
      <c r="C1233" s="429">
        <v>43367</v>
      </c>
      <c r="D1233" s="816" t="s">
        <v>2730</v>
      </c>
      <c r="E1233" s="807">
        <v>310100</v>
      </c>
      <c r="F1233" s="629" t="str">
        <f>IFERROR(VLOOKUP(E1233,STAT1!$C$4:$D$1000,2,FALSE),"")</f>
        <v>Дансны өглөг MNT</v>
      </c>
      <c r="G1233" s="811"/>
      <c r="H1233" s="811">
        <v>2502894.9</v>
      </c>
      <c r="I1233" s="580">
        <f t="shared" si="102"/>
        <v>0</v>
      </c>
      <c r="J1233" s="961">
        <f t="shared" si="103"/>
        <v>0</v>
      </c>
      <c r="K1233" s="80"/>
      <c r="L1233" s="807">
        <v>2004</v>
      </c>
      <c r="M1233" s="80" t="str">
        <f>+IFERROR(VLOOKUP(L1233,DATA!$G$4:$H$2000,2,FALSE),"")</f>
        <v xml:space="preserve">ДЦС-3 ТӨХК </v>
      </c>
      <c r="N1233" s="807"/>
      <c r="O1233" s="80" t="str">
        <f>IFERROR(VLOOKUP(N1233,DATA!$K$4:$L$51,2,FALSE),"")</f>
        <v/>
      </c>
      <c r="P1233" s="80">
        <f t="shared" si="99"/>
        <v>0</v>
      </c>
      <c r="Q1233" s="154">
        <f t="shared" si="100"/>
        <v>0</v>
      </c>
    </row>
    <row r="1234" spans="2:17">
      <c r="B1234" s="627">
        <f t="shared" si="101"/>
        <v>1229</v>
      </c>
      <c r="C1234" s="429">
        <v>43367</v>
      </c>
      <c r="D1234" s="816" t="s">
        <v>2730</v>
      </c>
      <c r="E1234" s="807">
        <v>120100</v>
      </c>
      <c r="F1234" s="629" t="str">
        <f>IFERROR(VLOOKUP(E1234,STAT1!$C$4:$D$1000,2,FALSE),"")</f>
        <v xml:space="preserve">Дансны авлага MNT </v>
      </c>
      <c r="G1234" s="811">
        <v>227535.9</v>
      </c>
      <c r="H1234" s="811"/>
      <c r="I1234" s="580">
        <f t="shared" si="102"/>
        <v>0</v>
      </c>
      <c r="J1234" s="961">
        <f t="shared" si="103"/>
        <v>0</v>
      </c>
      <c r="K1234" s="80"/>
      <c r="L1234" s="807">
        <v>2004</v>
      </c>
      <c r="M1234" s="80" t="str">
        <f>+IFERROR(VLOOKUP(L1234,DATA!$G$4:$H$2000,2,FALSE),"")</f>
        <v xml:space="preserve">ДЦС-3 ТӨХК </v>
      </c>
      <c r="N1234" s="807"/>
      <c r="O1234" s="80" t="str">
        <f>IFERROR(VLOOKUP(N1234,DATA!$K$4:$L$51,2,FALSE),"")</f>
        <v/>
      </c>
      <c r="P1234" s="80">
        <f t="shared" si="99"/>
        <v>0</v>
      </c>
      <c r="Q1234" s="154">
        <f t="shared" si="100"/>
        <v>0</v>
      </c>
    </row>
    <row r="1235" spans="2:17">
      <c r="B1235" s="627">
        <f t="shared" si="101"/>
        <v>1230</v>
      </c>
      <c r="C1235" s="429">
        <v>43367</v>
      </c>
      <c r="D1235" s="816" t="s">
        <v>2730</v>
      </c>
      <c r="E1235" s="807">
        <v>700900</v>
      </c>
      <c r="F1235" s="629" t="str">
        <f>IFERROR(VLOOKUP(E1235,STAT1!$C$4:$D$1000,2,FALSE),"")</f>
        <v>Уур, ус</v>
      </c>
      <c r="G1235" s="811">
        <f>2502894.9-227535.9</f>
        <v>2275359</v>
      </c>
      <c r="H1235" s="811"/>
      <c r="I1235" s="580">
        <f t="shared" si="102"/>
        <v>0</v>
      </c>
      <c r="J1235" s="961">
        <f t="shared" si="103"/>
        <v>0</v>
      </c>
      <c r="K1235" s="80"/>
      <c r="L1235" s="807">
        <v>2004</v>
      </c>
      <c r="M1235" s="80" t="str">
        <f>+IFERROR(VLOOKUP(L1235,DATA!$G$4:$H$2000,2,FALSE),"")</f>
        <v xml:space="preserve">ДЦС-3 ТӨХК </v>
      </c>
      <c r="N1235" s="807"/>
      <c r="O1235" s="80" t="str">
        <f>IFERROR(VLOOKUP(N1235,DATA!$K$4:$L$51,2,FALSE),"")</f>
        <v/>
      </c>
      <c r="P1235" s="80">
        <f t="shared" si="99"/>
        <v>0</v>
      </c>
      <c r="Q1235" s="154">
        <f t="shared" si="100"/>
        <v>0</v>
      </c>
    </row>
    <row r="1236" spans="2:17">
      <c r="B1236" s="627">
        <f t="shared" si="101"/>
        <v>1231</v>
      </c>
      <c r="C1236" s="582">
        <v>43370</v>
      </c>
      <c r="D1236" s="815" t="s">
        <v>2649</v>
      </c>
      <c r="E1236" s="630">
        <v>110100</v>
      </c>
      <c r="F1236" s="629" t="str">
        <f>IFERROR(VLOOKUP(E1236,STAT1!$C$4:$D$8000,2,FALSE),"")</f>
        <v>Хаан Банк 5024654020</v>
      </c>
      <c r="G1236" s="376"/>
      <c r="H1236" s="376">
        <v>18390000</v>
      </c>
      <c r="I1236" s="580">
        <f t="shared" si="102"/>
        <v>-18390000</v>
      </c>
      <c r="J1236" s="961">
        <f t="shared" si="103"/>
        <v>0</v>
      </c>
      <c r="K1236" s="80"/>
      <c r="L1236" s="630">
        <v>1004</v>
      </c>
      <c r="M1236" s="80" t="str">
        <f>+IFERROR(VLOOKUP(L1236,DATA!$G$4:$H$2000,2,FALSE),"")</f>
        <v xml:space="preserve">Түмэндэлгэр </v>
      </c>
      <c r="N1236" s="630"/>
      <c r="O1236" s="80" t="str">
        <f>IFERROR(VLOOKUP(N1236,DATA!$K$4:$L$51,2,FALSE),"")</f>
        <v/>
      </c>
      <c r="P1236" s="80">
        <f t="shared" si="99"/>
        <v>1</v>
      </c>
      <c r="Q1236" s="154">
        <f t="shared" si="100"/>
        <v>1</v>
      </c>
    </row>
    <row r="1237" spans="2:17">
      <c r="B1237" s="627">
        <f t="shared" si="101"/>
        <v>1232</v>
      </c>
      <c r="C1237" s="582">
        <v>43370</v>
      </c>
      <c r="D1237" s="815" t="s">
        <v>2649</v>
      </c>
      <c r="E1237" s="807">
        <v>100100</v>
      </c>
      <c r="F1237" s="629" t="str">
        <f>IFERROR(VLOOKUP(E1237,STAT1!$C$4:$D$8000,2,FALSE),"")</f>
        <v>Касс мөнгө MNT</v>
      </c>
      <c r="G1237" s="376">
        <v>18390000</v>
      </c>
      <c r="H1237" s="811"/>
      <c r="I1237" s="580">
        <f t="shared" si="102"/>
        <v>18390000</v>
      </c>
      <c r="J1237" s="961">
        <f t="shared" si="103"/>
        <v>0</v>
      </c>
      <c r="K1237" s="80"/>
      <c r="L1237" s="807">
        <v>1004</v>
      </c>
      <c r="M1237" s="80" t="str">
        <f>+IFERROR(VLOOKUP(L1237,DATA!$G$4:$H$2000,2,FALSE),"")</f>
        <v xml:space="preserve">Түмэндэлгэр </v>
      </c>
      <c r="N1237" s="807"/>
      <c r="O1237" s="80" t="str">
        <f>IFERROR(VLOOKUP(N1237,DATA!$K$4:$L$51,2,FALSE),"")</f>
        <v/>
      </c>
      <c r="P1237" s="80">
        <f t="shared" si="99"/>
        <v>1</v>
      </c>
      <c r="Q1237" s="154">
        <f t="shared" si="100"/>
        <v>1</v>
      </c>
    </row>
    <row r="1238" spans="2:17">
      <c r="B1238" s="627">
        <f t="shared" si="101"/>
        <v>1233</v>
      </c>
      <c r="C1238" s="429">
        <v>43370</v>
      </c>
      <c r="D1238" s="816" t="s">
        <v>2624</v>
      </c>
      <c r="E1238" s="807">
        <v>100100</v>
      </c>
      <c r="F1238" s="629" t="str">
        <f>IFERROR(VLOOKUP(E1238,STAT1!$C$4:$D$1000,2,FALSE),"")</f>
        <v>Касс мөнгө MNT</v>
      </c>
      <c r="G1238" s="811"/>
      <c r="H1238" s="811">
        <v>10000000</v>
      </c>
      <c r="I1238" s="580">
        <f t="shared" si="102"/>
        <v>-10000000</v>
      </c>
      <c r="J1238" s="961">
        <f t="shared" si="103"/>
        <v>0</v>
      </c>
      <c r="K1238" s="80"/>
      <c r="L1238" s="807">
        <v>2002</v>
      </c>
      <c r="M1238" s="80" t="str">
        <f>+IFERROR(VLOOKUP(L1238,DATA!$G$4:$H$2000,2,FALSE),"")</f>
        <v xml:space="preserve">ХУД-н ЭМНД ХЭЛТЭС </v>
      </c>
      <c r="N1238" s="807">
        <v>52</v>
      </c>
      <c r="O1238" s="80" t="str">
        <f>IFERROR(VLOOKUP(N1238,DATA!$K$4:$L$51,2,FALSE),"")</f>
        <v>Нийгмийн даатгалын байгууллагад төлсөн</v>
      </c>
      <c r="P1238" s="80">
        <f t="shared" si="99"/>
        <v>1</v>
      </c>
      <c r="Q1238" s="154">
        <f t="shared" si="100"/>
        <v>1</v>
      </c>
    </row>
    <row r="1239" spans="2:17">
      <c r="B1239" s="627">
        <f t="shared" si="101"/>
        <v>1234</v>
      </c>
      <c r="C1239" s="429">
        <v>43370</v>
      </c>
      <c r="D1239" s="816" t="s">
        <v>2624</v>
      </c>
      <c r="E1239" s="630">
        <v>120900</v>
      </c>
      <c r="F1239" s="629" t="str">
        <f>IFERROR(VLOOKUP(E1239,STAT1!$C$4:$D$8000,2,FALSE),"")</f>
        <v>НД-ын байгууллагаас авах авлага</v>
      </c>
      <c r="G1239" s="811">
        <v>10000000</v>
      </c>
      <c r="H1239" s="376"/>
      <c r="I1239" s="580">
        <f t="shared" si="102"/>
        <v>0</v>
      </c>
      <c r="J1239" s="961">
        <f t="shared" si="103"/>
        <v>0</v>
      </c>
      <c r="K1239" s="80"/>
      <c r="L1239" s="807">
        <v>2002</v>
      </c>
      <c r="M1239" s="80" t="str">
        <f>+IFERROR(VLOOKUP(L1239,DATA!$G$4:$H$2000,2,FALSE),"")</f>
        <v xml:space="preserve">ХУД-н ЭМНД ХЭЛТЭС </v>
      </c>
      <c r="N1239" s="630"/>
      <c r="O1239" s="80" t="str">
        <f>IFERROR(VLOOKUP(N1239,DATA!$K$4:$L$51,2,FALSE),"")</f>
        <v/>
      </c>
      <c r="P1239" s="80">
        <f t="shared" si="99"/>
        <v>0</v>
      </c>
      <c r="Q1239" s="154">
        <f t="shared" si="100"/>
        <v>0</v>
      </c>
    </row>
    <row r="1240" spans="2:17">
      <c r="B1240" s="627">
        <f t="shared" si="101"/>
        <v>1235</v>
      </c>
      <c r="C1240" s="429">
        <v>43371</v>
      </c>
      <c r="D1240" s="816" t="s">
        <v>2510</v>
      </c>
      <c r="E1240" s="807">
        <v>100100</v>
      </c>
      <c r="F1240" s="629" t="str">
        <f>IFERROR(VLOOKUP(E1240,STAT1!$C$4:$D$1000,2,FALSE),"")</f>
        <v>Касс мөнгө MNT</v>
      </c>
      <c r="G1240" s="811"/>
      <c r="H1240" s="811">
        <v>2683987</v>
      </c>
      <c r="I1240" s="580">
        <f t="shared" si="102"/>
        <v>-2683987</v>
      </c>
      <c r="J1240" s="961">
        <f t="shared" si="103"/>
        <v>0</v>
      </c>
      <c r="K1240" s="80"/>
      <c r="L1240" s="807">
        <v>2003</v>
      </c>
      <c r="M1240" s="80" t="str">
        <f>+IFERROR(VLOOKUP(L1240,DATA!$G$4:$H$2000,2,FALSE),"")</f>
        <v xml:space="preserve">УБЦТС ТӨХК </v>
      </c>
      <c r="N1240" s="807">
        <v>54</v>
      </c>
      <c r="O1240" s="80" t="str">
        <f>IFERROR(VLOOKUP(N1240,DATA!$K$4:$L$51,2,FALSE),"")</f>
        <v>Ашиглалтын зардалд төлсөн</v>
      </c>
      <c r="P1240" s="80">
        <f t="shared" si="99"/>
        <v>1</v>
      </c>
      <c r="Q1240" s="154">
        <f t="shared" si="100"/>
        <v>1</v>
      </c>
    </row>
    <row r="1241" spans="2:17">
      <c r="B1241" s="627">
        <f t="shared" si="101"/>
        <v>1236</v>
      </c>
      <c r="C1241" s="429">
        <v>43371</v>
      </c>
      <c r="D1241" s="816" t="s">
        <v>2510</v>
      </c>
      <c r="E1241" s="807">
        <v>120100</v>
      </c>
      <c r="F1241" s="629" t="str">
        <f>IFERROR(VLOOKUP(E1241,STAT1!$C$4:$D$1000,2,FALSE),"")</f>
        <v xml:space="preserve">Дансны авлага MNT </v>
      </c>
      <c r="G1241" s="811">
        <v>274100.8</v>
      </c>
      <c r="H1241" s="811"/>
      <c r="I1241" s="580">
        <f t="shared" si="102"/>
        <v>0</v>
      </c>
      <c r="J1241" s="961">
        <f t="shared" si="103"/>
        <v>0</v>
      </c>
      <c r="K1241" s="80"/>
      <c r="L1241" s="807">
        <v>2003</v>
      </c>
      <c r="M1241" s="80" t="str">
        <f>+IFERROR(VLOOKUP(L1241,DATA!$G$4:$H$2000,2,FALSE),"")</f>
        <v xml:space="preserve">УБЦТС ТӨХК </v>
      </c>
      <c r="N1241" s="807"/>
      <c r="O1241" s="80" t="str">
        <f>IFERROR(VLOOKUP(N1241,DATA!$K$4:$L$51,2,FALSE),"")</f>
        <v/>
      </c>
      <c r="P1241" s="80">
        <f t="shared" si="99"/>
        <v>0</v>
      </c>
      <c r="Q1241" s="154">
        <f t="shared" si="100"/>
        <v>0</v>
      </c>
    </row>
    <row r="1242" spans="2:17">
      <c r="B1242" s="627">
        <f t="shared" si="101"/>
        <v>1237</v>
      </c>
      <c r="C1242" s="429">
        <v>43371</v>
      </c>
      <c r="D1242" s="816" t="s">
        <v>2510</v>
      </c>
      <c r="E1242" s="807">
        <v>700700</v>
      </c>
      <c r="F1242" s="629" t="str">
        <f>IFERROR(VLOOKUP(E1242,STAT1!$C$4:$D$1000,2,FALSE),"")</f>
        <v>Цахилгаан эрчим хүч</v>
      </c>
      <c r="G1242" s="811">
        <f>2683987-274100.8</f>
        <v>2409886.2000000002</v>
      </c>
      <c r="H1242" s="811"/>
      <c r="I1242" s="580">
        <f t="shared" si="102"/>
        <v>0</v>
      </c>
      <c r="J1242" s="961">
        <f t="shared" si="103"/>
        <v>0</v>
      </c>
      <c r="K1242" s="80"/>
      <c r="L1242" s="807">
        <v>2003</v>
      </c>
      <c r="M1242" s="80" t="str">
        <f>+IFERROR(VLOOKUP(L1242,DATA!$G$4:$H$2000,2,FALSE),"")</f>
        <v xml:space="preserve">УБЦТС ТӨХК </v>
      </c>
      <c r="N1242" s="807"/>
      <c r="O1242" s="80" t="str">
        <f>IFERROR(VLOOKUP(N1242,DATA!$K$4:$L$51,2,FALSE),"")</f>
        <v/>
      </c>
      <c r="P1242" s="80">
        <f t="shared" si="99"/>
        <v>0</v>
      </c>
      <c r="Q1242" s="154">
        <f t="shared" si="100"/>
        <v>0</v>
      </c>
    </row>
    <row r="1243" spans="2:17">
      <c r="B1243" s="627">
        <f t="shared" si="101"/>
        <v>1238</v>
      </c>
      <c r="C1243" s="429">
        <v>43371</v>
      </c>
      <c r="D1243" s="816" t="s">
        <v>2708</v>
      </c>
      <c r="E1243" s="807">
        <v>100100</v>
      </c>
      <c r="F1243" s="629" t="str">
        <f>IFERROR(VLOOKUP(E1243,STAT1!$C$4:$D$1000,2,FALSE),"")</f>
        <v>Касс мөнгө MNT</v>
      </c>
      <c r="G1243" s="811"/>
      <c r="H1243" s="811">
        <v>601885</v>
      </c>
      <c r="I1243" s="580">
        <f t="shared" si="102"/>
        <v>-601885</v>
      </c>
      <c r="J1243" s="961">
        <f t="shared" si="103"/>
        <v>0</v>
      </c>
      <c r="K1243" s="80"/>
      <c r="L1243" s="807">
        <v>1004</v>
      </c>
      <c r="M1243" s="80" t="str">
        <f>+IFERROR(VLOOKUP(L1243,DATA!$G$4:$H$2000,2,FALSE),"")</f>
        <v xml:space="preserve">Түмэндэлгэр </v>
      </c>
      <c r="N1243" s="807">
        <v>54</v>
      </c>
      <c r="O1243" s="80" t="str">
        <f>IFERROR(VLOOKUP(N1243,DATA!$K$4:$L$51,2,FALSE),"")</f>
        <v>Ашиглалтын зардалд төлсөн</v>
      </c>
      <c r="P1243" s="80">
        <f t="shared" si="99"/>
        <v>1</v>
      </c>
      <c r="Q1243" s="154">
        <f t="shared" si="100"/>
        <v>1</v>
      </c>
    </row>
    <row r="1244" spans="2:17">
      <c r="B1244" s="627">
        <f t="shared" si="101"/>
        <v>1239</v>
      </c>
      <c r="C1244" s="429">
        <v>43371</v>
      </c>
      <c r="D1244" s="816" t="s">
        <v>2708</v>
      </c>
      <c r="E1244" s="807">
        <v>120600</v>
      </c>
      <c r="F1244" s="629" t="str">
        <f>IFERROR(VLOOKUP(E1244,STAT1!$C$4:$D$1000,2,FALSE),"")</f>
        <v>НӨАТ авлага</v>
      </c>
      <c r="G1244" s="811">
        <f>181.82+54535</f>
        <v>54716.82</v>
      </c>
      <c r="H1244" s="811"/>
      <c r="I1244" s="580">
        <f t="shared" si="102"/>
        <v>0</v>
      </c>
      <c r="J1244" s="961">
        <f t="shared" si="103"/>
        <v>0</v>
      </c>
      <c r="K1244" s="80"/>
      <c r="L1244" s="807">
        <v>1004</v>
      </c>
      <c r="M1244" s="80" t="str">
        <f>+IFERROR(VLOOKUP(L1244,DATA!$G$4:$H$2000,2,FALSE),"")</f>
        <v xml:space="preserve">Түмэндэлгэр </v>
      </c>
      <c r="N1244" s="807"/>
      <c r="O1244" s="80" t="str">
        <f>IFERROR(VLOOKUP(N1244,DATA!$K$4:$L$51,2,FALSE),"")</f>
        <v/>
      </c>
      <c r="P1244" s="80">
        <f t="shared" si="99"/>
        <v>0</v>
      </c>
      <c r="Q1244" s="154">
        <f t="shared" si="100"/>
        <v>0</v>
      </c>
    </row>
    <row r="1245" spans="2:17">
      <c r="B1245" s="627">
        <f t="shared" si="101"/>
        <v>1240</v>
      </c>
      <c r="C1245" s="429">
        <v>43371</v>
      </c>
      <c r="D1245" s="816" t="s">
        <v>2708</v>
      </c>
      <c r="E1245" s="807">
        <v>700800</v>
      </c>
      <c r="F1245" s="629" t="str">
        <f>IFERROR(VLOOKUP(E1245,STAT1!$C$4:$D$1000,2,FALSE),"")</f>
        <v>Дулаан</v>
      </c>
      <c r="G1245" s="811">
        <f>601885-54716.82</f>
        <v>547168.18000000005</v>
      </c>
      <c r="H1245" s="811"/>
      <c r="I1245" s="580">
        <f t="shared" si="102"/>
        <v>0</v>
      </c>
      <c r="J1245" s="961">
        <f t="shared" si="103"/>
        <v>0</v>
      </c>
      <c r="K1245" s="80"/>
      <c r="L1245" s="807">
        <v>1004</v>
      </c>
      <c r="M1245" s="80" t="str">
        <f>+IFERROR(VLOOKUP(L1245,DATA!$G$4:$H$2000,2,FALSE),"")</f>
        <v xml:space="preserve">Түмэндэлгэр </v>
      </c>
      <c r="N1245" s="807"/>
      <c r="O1245" s="80" t="str">
        <f>IFERROR(VLOOKUP(N1245,DATA!$K$4:$L$51,2,FALSE),"")</f>
        <v/>
      </c>
      <c r="P1245" s="80">
        <f t="shared" si="99"/>
        <v>0</v>
      </c>
      <c r="Q1245" s="154">
        <f t="shared" si="100"/>
        <v>0</v>
      </c>
    </row>
    <row r="1246" spans="2:17">
      <c r="B1246" s="627">
        <f t="shared" si="101"/>
        <v>1241</v>
      </c>
      <c r="C1246" s="582">
        <v>43373</v>
      </c>
      <c r="D1246" s="895" t="s">
        <v>2681</v>
      </c>
      <c r="E1246" s="630">
        <v>700200</v>
      </c>
      <c r="F1246" s="629" t="str">
        <f>IFERROR(VLOOKUP(E1246,STAT1!$C$4:$D$8000,2,FALSE),"")</f>
        <v>НДШимтгэл</v>
      </c>
      <c r="G1246" s="376">
        <v>1239978.75</v>
      </c>
      <c r="H1246" s="896"/>
      <c r="I1246" s="580">
        <f t="shared" si="102"/>
        <v>0</v>
      </c>
      <c r="J1246" s="961">
        <f t="shared" si="103"/>
        <v>0</v>
      </c>
      <c r="K1246" s="80"/>
      <c r="L1246" s="807">
        <v>1004</v>
      </c>
      <c r="M1246" s="80" t="str">
        <f>+IFERROR(VLOOKUP(L1246,DATA!$G$4:$H$2000,2,FALSE),"")</f>
        <v xml:space="preserve">Түмэндэлгэр </v>
      </c>
      <c r="N1246" s="630"/>
      <c r="O1246" s="80" t="str">
        <f>IFERROR(VLOOKUP(N1246,DATA!$K$4:$L$51,2,FALSE),"")</f>
        <v/>
      </c>
      <c r="P1246" s="80">
        <f t="shared" si="99"/>
        <v>0</v>
      </c>
      <c r="Q1246" s="154">
        <f t="shared" si="100"/>
        <v>0</v>
      </c>
    </row>
    <row r="1247" spans="2:17">
      <c r="B1247" s="627">
        <f t="shared" si="101"/>
        <v>1242</v>
      </c>
      <c r="C1247" s="582">
        <v>43373</v>
      </c>
      <c r="D1247" s="895" t="s">
        <v>2681</v>
      </c>
      <c r="E1247" s="630">
        <v>310800</v>
      </c>
      <c r="F1247" s="629" t="str">
        <f>IFERROR(VLOOKUP(E1247,STAT1!$C$4:$D$8000,2,FALSE),"")</f>
        <v>НД-ын байгууллагад өгөх өглөг</v>
      </c>
      <c r="G1247" s="896"/>
      <c r="H1247" s="376">
        <v>1239978.75</v>
      </c>
      <c r="I1247" s="580">
        <f t="shared" si="102"/>
        <v>0</v>
      </c>
      <c r="J1247" s="961">
        <f t="shared" si="103"/>
        <v>0</v>
      </c>
      <c r="K1247" s="80"/>
      <c r="L1247" s="807">
        <v>1004</v>
      </c>
      <c r="M1247" s="80" t="str">
        <f>+IFERROR(VLOOKUP(L1247,DATA!$G$4:$H$2000,2,FALSE),"")</f>
        <v xml:space="preserve">Түмэндэлгэр </v>
      </c>
      <c r="N1247" s="630"/>
      <c r="O1247" s="80" t="str">
        <f>IFERROR(VLOOKUP(N1247,DATA!$K$4:$L$51,2,FALSE),"")</f>
        <v/>
      </c>
      <c r="P1247" s="80">
        <f t="shared" si="99"/>
        <v>0</v>
      </c>
      <c r="Q1247" s="154">
        <f t="shared" si="100"/>
        <v>0</v>
      </c>
    </row>
    <row r="1248" spans="2:17">
      <c r="B1248" s="627">
        <f t="shared" si="101"/>
        <v>1243</v>
      </c>
      <c r="C1248" s="582">
        <v>43373</v>
      </c>
      <c r="D1248" s="895" t="s">
        <v>2682</v>
      </c>
      <c r="E1248" s="630">
        <v>310800</v>
      </c>
      <c r="F1248" s="629" t="str">
        <f>IFERROR(VLOOKUP(E1248,STAT1!$C$4:$D$8000,2,FALSE),"")</f>
        <v>НД-ын байгууллагад өгөх өглөг</v>
      </c>
      <c r="G1248" s="896"/>
      <c r="H1248" s="376">
        <v>1002933.25</v>
      </c>
      <c r="I1248" s="580">
        <f t="shared" si="102"/>
        <v>0</v>
      </c>
      <c r="J1248" s="961">
        <f t="shared" si="103"/>
        <v>0</v>
      </c>
      <c r="K1248" s="80"/>
      <c r="L1248" s="807">
        <v>1004</v>
      </c>
      <c r="M1248" s="80" t="str">
        <f>+IFERROR(VLOOKUP(L1248,DATA!$G$4:$H$2000,2,FALSE),"")</f>
        <v xml:space="preserve">Түмэндэлгэр </v>
      </c>
      <c r="N1248" s="630"/>
      <c r="O1248" s="80" t="str">
        <f>IFERROR(VLOOKUP(N1248,DATA!$K$4:$L$51,2,FALSE),"")</f>
        <v/>
      </c>
      <c r="P1248" s="80">
        <f t="shared" si="99"/>
        <v>0</v>
      </c>
      <c r="Q1248" s="154">
        <f t="shared" si="100"/>
        <v>0</v>
      </c>
    </row>
    <row r="1249" spans="2:17">
      <c r="B1249" s="627">
        <f t="shared" si="101"/>
        <v>1244</v>
      </c>
      <c r="C1249" s="582">
        <v>43373</v>
      </c>
      <c r="D1249" s="895" t="s">
        <v>2683</v>
      </c>
      <c r="E1249" s="630">
        <v>310700</v>
      </c>
      <c r="F1249" s="629" t="str">
        <f>IFERROR(VLOOKUP(E1249,STAT1!$C$4:$D$8000,2,FALSE),"")</f>
        <v>ХАОАТ өглөг</v>
      </c>
      <c r="G1249" s="896"/>
      <c r="H1249" s="376">
        <v>650934.17499999993</v>
      </c>
      <c r="I1249" s="580">
        <f t="shared" si="102"/>
        <v>0</v>
      </c>
      <c r="J1249" s="961">
        <f t="shared" si="103"/>
        <v>0</v>
      </c>
      <c r="K1249" s="80"/>
      <c r="L1249" s="807">
        <v>1004</v>
      </c>
      <c r="M1249" s="80" t="str">
        <f>+IFERROR(VLOOKUP(L1249,DATA!$G$4:$H$2000,2,FALSE),"")</f>
        <v xml:space="preserve">Түмэндэлгэр </v>
      </c>
      <c r="N1249" s="630"/>
      <c r="O1249" s="80" t="str">
        <f>IFERROR(VLOOKUP(N1249,DATA!$K$4:$L$51,2,FALSE),"")</f>
        <v/>
      </c>
      <c r="P1249" s="80">
        <f t="shared" si="99"/>
        <v>0</v>
      </c>
      <c r="Q1249" s="154">
        <f t="shared" si="100"/>
        <v>0</v>
      </c>
    </row>
    <row r="1250" spans="2:17">
      <c r="B1250" s="627">
        <f t="shared" si="101"/>
        <v>1245</v>
      </c>
      <c r="C1250" s="582">
        <v>43373</v>
      </c>
      <c r="D1250" s="850" t="s">
        <v>2684</v>
      </c>
      <c r="E1250" s="807">
        <v>311000</v>
      </c>
      <c r="F1250" s="629" t="str">
        <f>IFERROR(VLOOKUP(E1250,STAT1!$C$4:$D$1000,2,FALSE),"")</f>
        <v>Цалингийн өглөг</v>
      </c>
      <c r="G1250" s="807"/>
      <c r="H1250" s="811">
        <v>7558407.5749999993</v>
      </c>
      <c r="I1250" s="580">
        <f t="shared" si="102"/>
        <v>0</v>
      </c>
      <c r="J1250" s="961">
        <f t="shared" si="103"/>
        <v>0</v>
      </c>
      <c r="K1250" s="80"/>
      <c r="L1250" s="807">
        <v>1004</v>
      </c>
      <c r="M1250" s="80" t="str">
        <f>+IFERROR(VLOOKUP(L1250,DATA!$G$4:$H$2000,2,FALSE),"")</f>
        <v xml:space="preserve">Түмэндэлгэр </v>
      </c>
      <c r="N1250" s="807"/>
      <c r="O1250" s="80" t="str">
        <f>IFERROR(VLOOKUP(N1250,DATA!$K$4:$L$51,2,FALSE),"")</f>
        <v/>
      </c>
      <c r="P1250" s="80">
        <f t="shared" si="99"/>
        <v>0</v>
      </c>
      <c r="Q1250" s="154">
        <f t="shared" si="100"/>
        <v>0</v>
      </c>
    </row>
    <row r="1251" spans="2:17">
      <c r="B1251" s="627">
        <f t="shared" si="101"/>
        <v>1246</v>
      </c>
      <c r="C1251" s="582">
        <v>43373</v>
      </c>
      <c r="D1251" s="850" t="s">
        <v>2685</v>
      </c>
      <c r="E1251" s="807">
        <v>700100</v>
      </c>
      <c r="F1251" s="629" t="str">
        <f>IFERROR(VLOOKUP(E1251,STAT1!$C$4:$D$1000,2,FALSE),"")</f>
        <v>Цалин хөлс, шагнал</v>
      </c>
      <c r="G1251" s="811">
        <v>9212275</v>
      </c>
      <c r="H1251" s="807"/>
      <c r="I1251" s="580">
        <f t="shared" si="102"/>
        <v>0</v>
      </c>
      <c r="J1251" s="961">
        <f t="shared" si="103"/>
        <v>0</v>
      </c>
      <c r="K1251" s="80"/>
      <c r="L1251" s="807">
        <v>1004</v>
      </c>
      <c r="M1251" s="80" t="str">
        <f>+IFERROR(VLOOKUP(L1251,DATA!$G$4:$H$2000,2,FALSE),"")</f>
        <v xml:space="preserve">Түмэндэлгэр </v>
      </c>
      <c r="N1251" s="807"/>
      <c r="O1251" s="80" t="str">
        <f>IFERROR(VLOOKUP(N1251,DATA!$K$4:$L$51,2,FALSE),"")</f>
        <v/>
      </c>
      <c r="P1251" s="80">
        <f t="shared" si="99"/>
        <v>0</v>
      </c>
      <c r="Q1251" s="154">
        <f t="shared" si="100"/>
        <v>0</v>
      </c>
    </row>
    <row r="1252" spans="2:17">
      <c r="B1252" s="627">
        <f t="shared" si="101"/>
        <v>1247</v>
      </c>
      <c r="C1252" s="582">
        <v>43373</v>
      </c>
      <c r="D1252" s="816" t="s">
        <v>2686</v>
      </c>
      <c r="E1252" s="807">
        <v>100100</v>
      </c>
      <c r="F1252" s="629" t="str">
        <f>IFERROR(VLOOKUP(E1252,STAT1!$C$4:$D$1000,2,FALSE),"")</f>
        <v>Касс мөнгө MNT</v>
      </c>
      <c r="G1252" s="811"/>
      <c r="H1252" s="811">
        <v>7558407.5749999993</v>
      </c>
      <c r="I1252" s="580">
        <f t="shared" si="102"/>
        <v>-7558407.5749999993</v>
      </c>
      <c r="J1252" s="961">
        <f t="shared" si="103"/>
        <v>0</v>
      </c>
      <c r="K1252" s="80"/>
      <c r="L1252" s="807">
        <v>1004</v>
      </c>
      <c r="M1252" s="80" t="str">
        <f>+IFERROR(VLOOKUP(L1252,DATA!$G$4:$H$2000,2,FALSE),"")</f>
        <v xml:space="preserve">Түмэндэлгэр </v>
      </c>
      <c r="N1252" s="807">
        <v>51</v>
      </c>
      <c r="O1252" s="80" t="str">
        <f>IFERROR(VLOOKUP(N1252,DATA!$K$4:$L$51,2,FALSE),"")</f>
        <v>Ажиллагчдад төлсөн</v>
      </c>
      <c r="P1252" s="80">
        <f t="shared" si="99"/>
        <v>1</v>
      </c>
      <c r="Q1252" s="154">
        <f t="shared" si="100"/>
        <v>1</v>
      </c>
    </row>
    <row r="1253" spans="2:17">
      <c r="B1253" s="627">
        <f t="shared" si="101"/>
        <v>1248</v>
      </c>
      <c r="C1253" s="582">
        <v>43373</v>
      </c>
      <c r="D1253" s="816" t="s">
        <v>2686</v>
      </c>
      <c r="E1253" s="807">
        <v>311000</v>
      </c>
      <c r="F1253" s="629" t="str">
        <f>IFERROR(VLOOKUP(E1253,STAT1!$C$4:$D$1000,2,FALSE),"")</f>
        <v>Цалингийн өглөг</v>
      </c>
      <c r="G1253" s="811">
        <v>7558407.5749999993</v>
      </c>
      <c r="H1253" s="811"/>
      <c r="I1253" s="580">
        <f t="shared" si="102"/>
        <v>0</v>
      </c>
      <c r="J1253" s="961">
        <f t="shared" si="103"/>
        <v>0</v>
      </c>
      <c r="K1253" s="80"/>
      <c r="L1253" s="807">
        <v>1004</v>
      </c>
      <c r="M1253" s="80" t="str">
        <f>+IFERROR(VLOOKUP(L1253,DATA!$G$4:$H$2000,2,FALSE),"")</f>
        <v xml:space="preserve">Түмэндэлгэр </v>
      </c>
      <c r="N1253" s="807"/>
      <c r="O1253" s="80" t="str">
        <f>IFERROR(VLOOKUP(N1253,DATA!$K$4:$L$51,2,FALSE),"")</f>
        <v/>
      </c>
      <c r="P1253" s="80">
        <f t="shared" si="99"/>
        <v>0</v>
      </c>
      <c r="Q1253" s="154">
        <f t="shared" si="100"/>
        <v>0</v>
      </c>
    </row>
    <row r="1254" spans="2:17">
      <c r="B1254" s="627">
        <f t="shared" si="101"/>
        <v>1249</v>
      </c>
      <c r="C1254" s="582">
        <v>43373</v>
      </c>
      <c r="D1254" s="816" t="s">
        <v>2687</v>
      </c>
      <c r="E1254" s="807">
        <v>700100</v>
      </c>
      <c r="F1254" s="629" t="str">
        <f>IFERROR(VLOOKUP(E1254,STAT1!$C$4:$D$1000,2,FALSE),"")</f>
        <v>Цалин хөлс, шагнал</v>
      </c>
      <c r="G1254" s="811"/>
      <c r="H1254" s="811">
        <v>75821.86</v>
      </c>
      <c r="I1254" s="580">
        <f t="shared" si="102"/>
        <v>0</v>
      </c>
      <c r="J1254" s="961">
        <f t="shared" si="103"/>
        <v>0</v>
      </c>
      <c r="K1254" s="80"/>
      <c r="L1254" s="807">
        <v>1004</v>
      </c>
      <c r="M1254" s="80" t="str">
        <f>+IFERROR(VLOOKUP(L1254,DATA!$G$4:$H$2000,2,FALSE),"")</f>
        <v xml:space="preserve">Түмэндэлгэр </v>
      </c>
      <c r="N1254" s="807"/>
      <c r="O1254" s="80" t="str">
        <f>IFERROR(VLOOKUP(N1254,DATA!$K$4:$L$51,2,FALSE),"")</f>
        <v/>
      </c>
      <c r="P1254" s="80">
        <f t="shared" si="99"/>
        <v>0</v>
      </c>
      <c r="Q1254" s="154">
        <f t="shared" si="100"/>
        <v>0</v>
      </c>
    </row>
    <row r="1255" spans="2:17">
      <c r="B1255" s="627">
        <f t="shared" si="101"/>
        <v>1250</v>
      </c>
      <c r="C1255" s="582">
        <v>43373</v>
      </c>
      <c r="D1255" s="816" t="s">
        <v>2687</v>
      </c>
      <c r="E1255" s="807">
        <v>310800</v>
      </c>
      <c r="F1255" s="629" t="str">
        <f>IFERROR(VLOOKUP(E1255,STAT1!$C$4:$D$1000,2,FALSE),"")</f>
        <v>НД-ын байгууллагад өгөх өглөг</v>
      </c>
      <c r="G1255" s="811">
        <v>75821.86</v>
      </c>
      <c r="H1255" s="811"/>
      <c r="I1255" s="580">
        <f t="shared" si="102"/>
        <v>0</v>
      </c>
      <c r="J1255" s="961">
        <f t="shared" si="103"/>
        <v>0</v>
      </c>
      <c r="K1255" s="80"/>
      <c r="L1255" s="807">
        <v>1004</v>
      </c>
      <c r="M1255" s="80" t="str">
        <f>+IFERROR(VLOOKUP(L1255,DATA!$G$4:$H$2000,2,FALSE),"")</f>
        <v xml:space="preserve">Түмэндэлгэр </v>
      </c>
      <c r="N1255" s="807"/>
      <c r="O1255" s="80" t="str">
        <f>IFERROR(VLOOKUP(N1255,DATA!$K$4:$L$51,2,FALSE),"")</f>
        <v/>
      </c>
      <c r="P1255" s="80">
        <f t="shared" si="99"/>
        <v>0</v>
      </c>
      <c r="Q1255" s="154">
        <f t="shared" si="100"/>
        <v>0</v>
      </c>
    </row>
    <row r="1256" spans="2:17">
      <c r="B1256" s="627">
        <f t="shared" si="101"/>
        <v>1251</v>
      </c>
      <c r="C1256" s="429">
        <v>43373</v>
      </c>
      <c r="D1256" s="816" t="s">
        <v>2381</v>
      </c>
      <c r="E1256" s="807">
        <v>110100</v>
      </c>
      <c r="F1256" s="629" t="str">
        <f>IFERROR(VLOOKUP(E1256,STAT1!$C$4:$D$8000,2,FALSE),"")</f>
        <v>Хаан Банк 5024654020</v>
      </c>
      <c r="G1256" s="811"/>
      <c r="H1256" s="811">
        <v>500</v>
      </c>
      <c r="I1256" s="580">
        <f t="shared" si="102"/>
        <v>-500</v>
      </c>
      <c r="J1256" s="961">
        <f t="shared" si="103"/>
        <v>0</v>
      </c>
      <c r="K1256" s="80"/>
      <c r="L1256" s="807">
        <v>2009</v>
      </c>
      <c r="M1256" s="80" t="str">
        <f>+IFERROR(VLOOKUP(L1256,DATA!$G$4:$H$2000,2,FALSE),"")</f>
        <v>ХААН БАНК</v>
      </c>
      <c r="N1256" s="807">
        <v>59</v>
      </c>
      <c r="O1256" s="80" t="str">
        <f>IFERROR(VLOOKUP(N1256,DATA!$K$4:$L$51,2,FALSE),"")</f>
        <v>Бусад мөнгөн зарлага</v>
      </c>
      <c r="P1256" s="80">
        <f t="shared" si="99"/>
        <v>1</v>
      </c>
      <c r="Q1256" s="154">
        <f t="shared" si="100"/>
        <v>1</v>
      </c>
    </row>
    <row r="1257" spans="2:17">
      <c r="B1257" s="627">
        <f t="shared" si="101"/>
        <v>1252</v>
      </c>
      <c r="C1257" s="429">
        <v>43373</v>
      </c>
      <c r="D1257" s="816" t="s">
        <v>2381</v>
      </c>
      <c r="E1257" s="807">
        <v>704900</v>
      </c>
      <c r="F1257" s="629" t="str">
        <f>IFERROR(VLOOKUP(E1257,STAT1!$C$4:$D$8000,2,FALSE),"")</f>
        <v>Банкны үйлчилгээ</v>
      </c>
      <c r="G1257" s="811">
        <v>500</v>
      </c>
      <c r="H1257" s="811"/>
      <c r="I1257" s="580">
        <f t="shared" si="102"/>
        <v>0</v>
      </c>
      <c r="J1257" s="961">
        <f t="shared" si="103"/>
        <v>0</v>
      </c>
      <c r="K1257" s="80"/>
      <c r="L1257" s="807">
        <v>2009</v>
      </c>
      <c r="M1257" s="80" t="str">
        <f>+IFERROR(VLOOKUP(L1257,DATA!$G$4:$H$2000,2,FALSE),"")</f>
        <v>ХААН БАНК</v>
      </c>
      <c r="N1257" s="807"/>
      <c r="O1257" s="80" t="str">
        <f>IFERROR(VLOOKUP(N1257,DATA!$K$4:$L$51,2,FALSE),"")</f>
        <v/>
      </c>
      <c r="P1257" s="80">
        <f t="shared" si="99"/>
        <v>0</v>
      </c>
      <c r="Q1257" s="154">
        <f t="shared" si="100"/>
        <v>0</v>
      </c>
    </row>
    <row r="1258" spans="2:17">
      <c r="B1258" s="627">
        <f t="shared" si="101"/>
        <v>1253</v>
      </c>
      <c r="C1258" s="429">
        <v>43373</v>
      </c>
      <c r="D1258" s="816" t="s">
        <v>2514</v>
      </c>
      <c r="E1258" s="807">
        <v>110100</v>
      </c>
      <c r="F1258" s="629" t="str">
        <f>IFERROR(VLOOKUP(E1258,STAT1!$C$4:$D$8000,2,FALSE),"")</f>
        <v>Хаан Банк 5024654020</v>
      </c>
      <c r="G1258" s="811"/>
      <c r="H1258" s="811">
        <v>2000</v>
      </c>
      <c r="I1258" s="580">
        <f t="shared" si="102"/>
        <v>-2000</v>
      </c>
      <c r="J1258" s="961">
        <f t="shared" si="103"/>
        <v>0</v>
      </c>
      <c r="K1258" s="80"/>
      <c r="L1258" s="807">
        <v>2009</v>
      </c>
      <c r="M1258" s="80" t="str">
        <f>+IFERROR(VLOOKUP(L1258,DATA!$G$4:$H$2000,2,FALSE),"")</f>
        <v>ХААН БАНК</v>
      </c>
      <c r="N1258" s="807">
        <v>59</v>
      </c>
      <c r="O1258" s="80" t="str">
        <f>IFERROR(VLOOKUP(N1258,DATA!$K$4:$L$51,2,FALSE),"")</f>
        <v>Бусад мөнгөн зарлага</v>
      </c>
      <c r="P1258" s="80">
        <f t="shared" si="99"/>
        <v>1</v>
      </c>
      <c r="Q1258" s="154">
        <f t="shared" si="100"/>
        <v>1</v>
      </c>
    </row>
    <row r="1259" spans="2:17">
      <c r="B1259" s="627">
        <f t="shared" si="101"/>
        <v>1254</v>
      </c>
      <c r="C1259" s="429">
        <v>43373</v>
      </c>
      <c r="D1259" s="816" t="s">
        <v>2514</v>
      </c>
      <c r="E1259" s="807">
        <v>704900</v>
      </c>
      <c r="F1259" s="629" t="str">
        <f>IFERROR(VLOOKUP(E1259,STAT1!$C$4:$D$8000,2,FALSE),"")</f>
        <v>Банкны үйлчилгээ</v>
      </c>
      <c r="G1259" s="811">
        <v>2000</v>
      </c>
      <c r="H1259" s="811"/>
      <c r="I1259" s="580">
        <f t="shared" si="102"/>
        <v>0</v>
      </c>
      <c r="J1259" s="961">
        <f t="shared" si="103"/>
        <v>0</v>
      </c>
      <c r="K1259" s="80"/>
      <c r="L1259" s="807">
        <v>2009</v>
      </c>
      <c r="M1259" s="80" t="str">
        <f>+IFERROR(VLOOKUP(L1259,DATA!$G$4:$H$2000,2,FALSE),"")</f>
        <v>ХААН БАНК</v>
      </c>
      <c r="N1259" s="807"/>
      <c r="O1259" s="80" t="str">
        <f>IFERROR(VLOOKUP(N1259,DATA!$K$4:$L$51,2,FALSE),"")</f>
        <v/>
      </c>
      <c r="P1259" s="80">
        <f t="shared" ref="P1259:P1313" si="104">+IF(I1259,1,0)</f>
        <v>0</v>
      </c>
      <c r="Q1259" s="154">
        <f t="shared" ref="Q1259:Q1313" si="105">+IF(I1259,1,0)</f>
        <v>0</v>
      </c>
    </row>
    <row r="1260" spans="2:17">
      <c r="B1260" s="627">
        <f t="shared" si="101"/>
        <v>1255</v>
      </c>
      <c r="C1260" s="582">
        <v>43373</v>
      </c>
      <c r="D1260" s="816" t="s">
        <v>2718</v>
      </c>
      <c r="E1260" s="807">
        <v>201200</v>
      </c>
      <c r="F1260" s="629" t="str">
        <f>IFERROR(VLOOKUP(E1260,STAT1!$C$4:$D$1000,2,FALSE),"")</f>
        <v>Хур. элэгдэл - Барилга байгууламж</v>
      </c>
      <c r="G1260" s="811"/>
      <c r="H1260" s="811">
        <v>6661875</v>
      </c>
      <c r="I1260" s="580">
        <f t="shared" si="102"/>
        <v>0</v>
      </c>
      <c r="J1260" s="961">
        <f t="shared" si="103"/>
        <v>0</v>
      </c>
      <c r="K1260" s="80"/>
      <c r="L1260" s="630">
        <v>1004</v>
      </c>
      <c r="M1260" s="80" t="str">
        <f>+IFERROR(VLOOKUP(L1260,DATA!$G$4:$H$2000,2,FALSE),"")</f>
        <v xml:space="preserve">Түмэндэлгэр </v>
      </c>
      <c r="N1260" s="630"/>
      <c r="O1260" s="80" t="str">
        <f>IFERROR(VLOOKUP(N1260,DATA!$K$4:$L$51,2,FALSE),"")</f>
        <v/>
      </c>
      <c r="P1260" s="80">
        <f t="shared" si="104"/>
        <v>0</v>
      </c>
      <c r="Q1260" s="154">
        <f t="shared" si="105"/>
        <v>0</v>
      </c>
    </row>
    <row r="1261" spans="2:17">
      <c r="B1261" s="627">
        <f t="shared" si="101"/>
        <v>1256</v>
      </c>
      <c r="C1261" s="582">
        <v>43373</v>
      </c>
      <c r="D1261" s="816" t="s">
        <v>2719</v>
      </c>
      <c r="E1261" s="807">
        <v>201300</v>
      </c>
      <c r="F1261" s="629" t="str">
        <f>IFERROR(VLOOKUP(E1261,STAT1!$C$4:$D$1000,2,FALSE),"")</f>
        <v>Хур. элэгдэл - Тавилга эд хогшил</v>
      </c>
      <c r="G1261" s="811"/>
      <c r="H1261" s="811">
        <v>73072.72</v>
      </c>
      <c r="I1261" s="580">
        <f t="shared" si="102"/>
        <v>0</v>
      </c>
      <c r="J1261" s="961">
        <f t="shared" si="103"/>
        <v>0</v>
      </c>
      <c r="K1261" s="80"/>
      <c r="L1261" s="630">
        <v>1004</v>
      </c>
      <c r="M1261" s="80" t="str">
        <f>+IFERROR(VLOOKUP(L1261,DATA!$G$4:$H$2000,2,FALSE),"")</f>
        <v xml:space="preserve">Түмэндэлгэр </v>
      </c>
      <c r="N1261" s="630"/>
      <c r="O1261" s="80" t="str">
        <f>IFERROR(VLOOKUP(N1261,DATA!$K$4:$L$51,2,FALSE),"")</f>
        <v/>
      </c>
      <c r="P1261" s="80">
        <f t="shared" si="104"/>
        <v>0</v>
      </c>
      <c r="Q1261" s="154">
        <f t="shared" si="105"/>
        <v>0</v>
      </c>
    </row>
    <row r="1262" spans="2:17">
      <c r="B1262" s="627">
        <f t="shared" si="101"/>
        <v>1257</v>
      </c>
      <c r="C1262" s="582">
        <v>43373</v>
      </c>
      <c r="D1262" s="816" t="s">
        <v>2720</v>
      </c>
      <c r="E1262" s="807">
        <v>201400</v>
      </c>
      <c r="F1262" s="629" t="str">
        <f>IFERROR(VLOOKUP(E1262,STAT1!$C$4:$D$1000,2,FALSE),"")</f>
        <v>Хур. элэгдэл - Машин тоног төхөөрөмж</v>
      </c>
      <c r="G1262" s="811"/>
      <c r="H1262" s="811">
        <v>15737229.65</v>
      </c>
      <c r="I1262" s="580">
        <f t="shared" si="102"/>
        <v>0</v>
      </c>
      <c r="J1262" s="961">
        <f t="shared" si="103"/>
        <v>0</v>
      </c>
      <c r="K1262" s="80"/>
      <c r="L1262" s="630">
        <v>1004</v>
      </c>
      <c r="M1262" s="80" t="str">
        <f>+IFERROR(VLOOKUP(L1262,DATA!$G$4:$H$2000,2,FALSE),"")</f>
        <v xml:space="preserve">Түмэндэлгэр </v>
      </c>
      <c r="N1262" s="630"/>
      <c r="O1262" s="80" t="str">
        <f>IFERROR(VLOOKUP(N1262,DATA!$K$4:$L$51,2,FALSE),"")</f>
        <v/>
      </c>
      <c r="P1262" s="80">
        <f t="shared" si="104"/>
        <v>0</v>
      </c>
      <c r="Q1262" s="154">
        <f t="shared" si="105"/>
        <v>0</v>
      </c>
    </row>
    <row r="1263" spans="2:17">
      <c r="B1263" s="627">
        <f t="shared" si="101"/>
        <v>1258</v>
      </c>
      <c r="C1263" s="582">
        <v>43373</v>
      </c>
      <c r="D1263" s="816" t="s">
        <v>2721</v>
      </c>
      <c r="E1263" s="807">
        <v>201500</v>
      </c>
      <c r="F1263" s="629" t="str">
        <f>IFERROR(VLOOKUP(E1263,STAT1!$C$4:$D$1000,2,FALSE),"")</f>
        <v>Хур. элэгдэл - Тээврийн хэрэгсэл</v>
      </c>
      <c r="G1263" s="811"/>
      <c r="H1263" s="811">
        <v>4245000</v>
      </c>
      <c r="I1263" s="580">
        <f t="shared" si="102"/>
        <v>0</v>
      </c>
      <c r="J1263" s="961">
        <f t="shared" si="103"/>
        <v>0</v>
      </c>
      <c r="K1263" s="80"/>
      <c r="L1263" s="630">
        <v>1004</v>
      </c>
      <c r="M1263" s="80" t="str">
        <f>+IFERROR(VLOOKUP(L1263,DATA!$G$4:$H$2000,2,FALSE),"")</f>
        <v xml:space="preserve">Түмэндэлгэр </v>
      </c>
      <c r="N1263" s="807"/>
      <c r="O1263" s="80" t="str">
        <f>IFERROR(VLOOKUP(N1263,DATA!$K$4:$L$51,2,FALSE),"")</f>
        <v/>
      </c>
      <c r="P1263" s="80">
        <f t="shared" si="104"/>
        <v>0</v>
      </c>
      <c r="Q1263" s="154">
        <f t="shared" si="105"/>
        <v>0</v>
      </c>
    </row>
    <row r="1264" spans="2:17">
      <c r="B1264" s="627">
        <f t="shared" si="101"/>
        <v>1259</v>
      </c>
      <c r="C1264" s="582">
        <v>43373</v>
      </c>
      <c r="D1264" s="816" t="s">
        <v>2722</v>
      </c>
      <c r="E1264" s="807">
        <v>701600</v>
      </c>
      <c r="F1264" s="629" t="str">
        <f>IFERROR(VLOOKUP(E1264,STAT1!$C$4:$D$1000,2,FALSE),"")</f>
        <v>Элэгдэл, хорогдлын зардал</v>
      </c>
      <c r="G1264" s="811">
        <v>26717177.370000001</v>
      </c>
      <c r="H1264" s="811"/>
      <c r="I1264" s="580">
        <f t="shared" si="102"/>
        <v>0</v>
      </c>
      <c r="J1264" s="961">
        <f t="shared" si="103"/>
        <v>0</v>
      </c>
      <c r="K1264" s="80"/>
      <c r="L1264" s="630">
        <v>1004</v>
      </c>
      <c r="M1264" s="80" t="str">
        <f>+IFERROR(VLOOKUP(L1264,DATA!$G$4:$H$2000,2,FALSE),"")</f>
        <v xml:space="preserve">Түмэндэлгэр </v>
      </c>
      <c r="N1264" s="807"/>
      <c r="O1264" s="80" t="str">
        <f>IFERROR(VLOOKUP(N1264,DATA!$K$4:$L$51,2,FALSE),"")</f>
        <v/>
      </c>
      <c r="P1264" s="80">
        <f t="shared" si="104"/>
        <v>0</v>
      </c>
      <c r="Q1264" s="154">
        <f t="shared" si="105"/>
        <v>0</v>
      </c>
    </row>
    <row r="1265" spans="2:17">
      <c r="B1265" s="627">
        <f t="shared" si="101"/>
        <v>1260</v>
      </c>
      <c r="C1265" s="582">
        <v>43373</v>
      </c>
      <c r="D1265" s="815" t="s">
        <v>2723</v>
      </c>
      <c r="E1265" s="630">
        <v>700100</v>
      </c>
      <c r="F1265" s="629" t="str">
        <f>IFERROR(VLOOKUP(E1265,STAT1!$C$4:$D$8000,2,FALSE),"")</f>
        <v>Цалин хөлс, шагнал</v>
      </c>
      <c r="G1265" s="376"/>
      <c r="H1265" s="376">
        <v>15826451.43</v>
      </c>
      <c r="I1265" s="580">
        <f t="shared" si="102"/>
        <v>0</v>
      </c>
      <c r="J1265" s="961">
        <f t="shared" si="103"/>
        <v>0</v>
      </c>
      <c r="K1265" s="80"/>
      <c r="L1265" s="630">
        <v>1004</v>
      </c>
      <c r="M1265" s="80" t="str">
        <f>+IFERROR(VLOOKUP(L1265,DATA!$G$4:$H$2000,2,FALSE),"")</f>
        <v xml:space="preserve">Түмэндэлгэр </v>
      </c>
      <c r="N1265" s="630"/>
      <c r="O1265" s="80" t="str">
        <f>IFERROR(VLOOKUP(N1265,DATA!$K$4:$L$51,2,FALSE),"")</f>
        <v/>
      </c>
      <c r="P1265" s="80">
        <f t="shared" si="104"/>
        <v>0</v>
      </c>
      <c r="Q1265" s="154">
        <f t="shared" si="105"/>
        <v>0</v>
      </c>
    </row>
    <row r="1266" spans="2:17">
      <c r="B1266" s="627">
        <f t="shared" si="101"/>
        <v>1261</v>
      </c>
      <c r="C1266" s="582">
        <v>43373</v>
      </c>
      <c r="D1266" s="815" t="s">
        <v>2726</v>
      </c>
      <c r="E1266" s="630">
        <v>700200</v>
      </c>
      <c r="F1266" s="629" t="str">
        <f>IFERROR(VLOOKUP(E1266,STAT1!$C$4:$D$8000,2,FALSE),"")</f>
        <v>НДШимтгэл</v>
      </c>
      <c r="G1266" s="376"/>
      <c r="H1266" s="376">
        <v>2129695.5300000003</v>
      </c>
      <c r="I1266" s="580">
        <f t="shared" si="102"/>
        <v>0</v>
      </c>
      <c r="J1266" s="961">
        <f t="shared" si="103"/>
        <v>0</v>
      </c>
      <c r="K1266" s="80"/>
      <c r="L1266" s="630">
        <v>1004</v>
      </c>
      <c r="M1266" s="80" t="str">
        <f>+IFERROR(VLOOKUP(L1266,DATA!$G$4:$H$2000,2,FALSE),"")</f>
        <v xml:space="preserve">Түмэндэлгэр </v>
      </c>
      <c r="N1266" s="630"/>
      <c r="O1266" s="80" t="str">
        <f>IFERROR(VLOOKUP(N1266,DATA!$K$4:$L$51,2,FALSE),"")</f>
        <v/>
      </c>
      <c r="P1266" s="80">
        <f t="shared" si="104"/>
        <v>0</v>
      </c>
      <c r="Q1266" s="154">
        <f t="shared" si="105"/>
        <v>0</v>
      </c>
    </row>
    <row r="1267" spans="2:17">
      <c r="B1267" s="627">
        <f t="shared" si="101"/>
        <v>1262</v>
      </c>
      <c r="C1267" s="582">
        <v>43373</v>
      </c>
      <c r="D1267" s="815" t="s">
        <v>2726</v>
      </c>
      <c r="E1267" s="630">
        <v>141301</v>
      </c>
      <c r="F1267" s="629" t="str">
        <f>IFERROR(VLOOKUP(E1267,STAT1!$C$4:$D$8000,2,FALSE),"")</f>
        <v xml:space="preserve">ШХЗардал БУСАД </v>
      </c>
      <c r="G1267" s="376">
        <v>17956146.960000001</v>
      </c>
      <c r="H1267" s="376"/>
      <c r="I1267" s="580">
        <f t="shared" si="102"/>
        <v>0</v>
      </c>
      <c r="J1267" s="961">
        <f t="shared" si="103"/>
        <v>0</v>
      </c>
      <c r="K1267" s="80"/>
      <c r="L1267" s="630">
        <v>1004</v>
      </c>
      <c r="M1267" s="80" t="str">
        <f>+IFERROR(VLOOKUP(L1267,DATA!$G$4:$H$2000,2,FALSE),"")</f>
        <v xml:space="preserve">Түмэндэлгэр </v>
      </c>
      <c r="N1267" s="630"/>
      <c r="O1267" s="80" t="str">
        <f>IFERROR(VLOOKUP(N1267,DATA!$K$4:$L$51,2,FALSE),"")</f>
        <v/>
      </c>
      <c r="P1267" s="80">
        <f t="shared" si="104"/>
        <v>0</v>
      </c>
      <c r="Q1267" s="154">
        <f t="shared" si="105"/>
        <v>0</v>
      </c>
    </row>
    <row r="1268" spans="2:17">
      <c r="B1268" s="627">
        <f t="shared" si="101"/>
        <v>1263</v>
      </c>
      <c r="C1268" s="582">
        <v>43373</v>
      </c>
      <c r="D1268" s="815" t="s">
        <v>2725</v>
      </c>
      <c r="E1268" s="630">
        <v>700700</v>
      </c>
      <c r="F1268" s="629" t="str">
        <f>IFERROR(VLOOKUP(E1268,STAT1!$C$4:$D$8000,2,FALSE),"")</f>
        <v>Цахилгаан эрчим хүч</v>
      </c>
      <c r="G1268" s="376"/>
      <c r="H1268" s="376">
        <v>7129551.1699999999</v>
      </c>
      <c r="I1268" s="580">
        <f t="shared" si="102"/>
        <v>0</v>
      </c>
      <c r="J1268" s="961">
        <f t="shared" si="103"/>
        <v>0</v>
      </c>
      <c r="K1268" s="80"/>
      <c r="L1268" s="630">
        <v>1004</v>
      </c>
      <c r="M1268" s="80" t="str">
        <f>+IFERROR(VLOOKUP(L1268,DATA!$G$4:$H$2000,2,FALSE),"")</f>
        <v xml:space="preserve">Түмэндэлгэр </v>
      </c>
      <c r="N1268" s="630"/>
      <c r="O1268" s="80" t="str">
        <f>IFERROR(VLOOKUP(N1268,DATA!$K$4:$L$51,2,FALSE),"")</f>
        <v/>
      </c>
      <c r="P1268" s="80">
        <f t="shared" si="104"/>
        <v>0</v>
      </c>
      <c r="Q1268" s="154">
        <f t="shared" si="105"/>
        <v>0</v>
      </c>
    </row>
    <row r="1269" spans="2:17">
      <c r="B1269" s="627">
        <f t="shared" si="101"/>
        <v>1264</v>
      </c>
      <c r="C1269" s="582">
        <v>43373</v>
      </c>
      <c r="D1269" s="815" t="s">
        <v>2725</v>
      </c>
      <c r="E1269" s="630">
        <v>700800</v>
      </c>
      <c r="F1269" s="629" t="str">
        <f>IFERROR(VLOOKUP(E1269,STAT1!$C$4:$D$8000,2,FALSE),"")</f>
        <v>Дулаан</v>
      </c>
      <c r="G1269" s="376"/>
      <c r="H1269" s="376">
        <v>519809.77</v>
      </c>
      <c r="I1269" s="580">
        <f t="shared" si="102"/>
        <v>0</v>
      </c>
      <c r="J1269" s="961">
        <f t="shared" si="103"/>
        <v>0</v>
      </c>
      <c r="K1269" s="80"/>
      <c r="L1269" s="630">
        <v>1004</v>
      </c>
      <c r="M1269" s="80" t="str">
        <f>+IFERROR(VLOOKUP(L1269,DATA!$G$4:$H$2000,2,FALSE),"")</f>
        <v xml:space="preserve">Түмэндэлгэр </v>
      </c>
      <c r="N1269" s="630"/>
      <c r="O1269" s="80" t="str">
        <f>IFERROR(VLOOKUP(N1269,DATA!$K$4:$L$51,2,FALSE),"")</f>
        <v/>
      </c>
      <c r="P1269" s="80">
        <f t="shared" si="104"/>
        <v>0</v>
      </c>
      <c r="Q1269" s="154">
        <f t="shared" si="105"/>
        <v>0</v>
      </c>
    </row>
    <row r="1270" spans="2:17">
      <c r="B1270" s="627">
        <f t="shared" si="101"/>
        <v>1265</v>
      </c>
      <c r="C1270" s="582">
        <v>43373</v>
      </c>
      <c r="D1270" s="815" t="s">
        <v>2725</v>
      </c>
      <c r="E1270" s="630">
        <v>700900</v>
      </c>
      <c r="F1270" s="629" t="str">
        <f>IFERROR(VLOOKUP(E1270,STAT1!$C$4:$D$8000,2,FALSE),"")</f>
        <v>Уур, ус</v>
      </c>
      <c r="G1270" s="376"/>
      <c r="H1270" s="376">
        <v>5585120.5700000003</v>
      </c>
      <c r="I1270" s="580">
        <f t="shared" si="102"/>
        <v>0</v>
      </c>
      <c r="J1270" s="961">
        <f t="shared" si="103"/>
        <v>0</v>
      </c>
      <c r="K1270" s="80"/>
      <c r="L1270" s="630">
        <v>1004</v>
      </c>
      <c r="M1270" s="80" t="str">
        <f>+IFERROR(VLOOKUP(L1270,DATA!$G$4:$H$2000,2,FALSE),"")</f>
        <v xml:space="preserve">Түмэндэлгэр </v>
      </c>
      <c r="N1270" s="630"/>
      <c r="O1270" s="80" t="str">
        <f>IFERROR(VLOOKUP(N1270,DATA!$K$4:$L$51,2,FALSE),"")</f>
        <v/>
      </c>
      <c r="P1270" s="80">
        <f t="shared" si="104"/>
        <v>0</v>
      </c>
      <c r="Q1270" s="154">
        <f t="shared" si="105"/>
        <v>0</v>
      </c>
    </row>
    <row r="1271" spans="2:17">
      <c r="B1271" s="627">
        <f t="shared" si="101"/>
        <v>1266</v>
      </c>
      <c r="C1271" s="582">
        <v>43373</v>
      </c>
      <c r="D1271" s="815" t="s">
        <v>2725</v>
      </c>
      <c r="E1271" s="630">
        <v>701600</v>
      </c>
      <c r="F1271" s="629" t="str">
        <f>IFERROR(VLOOKUP(E1271,STAT1!$C$4:$D$8000,2,FALSE),"")</f>
        <v>Элэгдэл, хорогдлын зардал</v>
      </c>
      <c r="G1271" s="376"/>
      <c r="H1271" s="376">
        <v>22066010.899999999</v>
      </c>
      <c r="I1271" s="580">
        <f t="shared" si="102"/>
        <v>0</v>
      </c>
      <c r="J1271" s="961">
        <f t="shared" si="103"/>
        <v>0</v>
      </c>
      <c r="K1271" s="80"/>
      <c r="L1271" s="630">
        <v>1004</v>
      </c>
      <c r="M1271" s="80" t="str">
        <f>+IFERROR(VLOOKUP(L1271,DATA!$G$4:$H$2000,2,FALSE),"")</f>
        <v xml:space="preserve">Түмэндэлгэр </v>
      </c>
      <c r="N1271" s="630"/>
      <c r="O1271" s="80" t="str">
        <f>IFERROR(VLOOKUP(N1271,DATA!$K$4:$L$51,2,FALSE),"")</f>
        <v/>
      </c>
      <c r="P1271" s="80">
        <f t="shared" si="104"/>
        <v>0</v>
      </c>
      <c r="Q1271" s="154">
        <f t="shared" si="105"/>
        <v>0</v>
      </c>
    </row>
    <row r="1272" spans="2:17">
      <c r="B1272" s="627">
        <f t="shared" si="101"/>
        <v>1267</v>
      </c>
      <c r="C1272" s="582">
        <v>43373</v>
      </c>
      <c r="D1272" s="815" t="s">
        <v>2725</v>
      </c>
      <c r="E1272" s="630">
        <v>141401</v>
      </c>
      <c r="F1272" s="629" t="str">
        <f>IFERROR(VLOOKUP(E1272,STAT1!$C$4:$D$8000,2,FALSE),"")</f>
        <v xml:space="preserve">ҮНЗардал БУСАД </v>
      </c>
      <c r="G1272" s="376">
        <v>35300492.409999996</v>
      </c>
      <c r="H1272" s="376"/>
      <c r="I1272" s="580">
        <f t="shared" si="102"/>
        <v>0</v>
      </c>
      <c r="J1272" s="961">
        <f t="shared" si="103"/>
        <v>0</v>
      </c>
      <c r="K1272" s="80"/>
      <c r="L1272" s="630">
        <v>1004</v>
      </c>
      <c r="M1272" s="80" t="str">
        <f>+IFERROR(VLOOKUP(L1272,DATA!$G$4:$H$2000,2,FALSE),"")</f>
        <v xml:space="preserve">Түмэндэлгэр </v>
      </c>
      <c r="N1272" s="630"/>
      <c r="O1272" s="80" t="str">
        <f>IFERROR(VLOOKUP(N1272,DATA!$K$4:$L$51,2,FALSE),"")</f>
        <v/>
      </c>
      <c r="P1272" s="80">
        <f t="shared" si="104"/>
        <v>0</v>
      </c>
      <c r="Q1272" s="154">
        <f t="shared" si="105"/>
        <v>0</v>
      </c>
    </row>
    <row r="1273" spans="2:17">
      <c r="B1273" s="627">
        <f t="shared" si="101"/>
        <v>1268</v>
      </c>
      <c r="C1273" s="582">
        <v>43373</v>
      </c>
      <c r="D1273" s="816" t="s">
        <v>2724</v>
      </c>
      <c r="E1273" s="807">
        <v>120100</v>
      </c>
      <c r="F1273" s="629" t="str">
        <f>IFERROR(VLOOKUP(E1273,STAT1!$C$4:$D$1000,2,FALSE),"")</f>
        <v xml:space="preserve">Дансны авлага MNT </v>
      </c>
      <c r="G1273" s="376">
        <v>10030.5</v>
      </c>
      <c r="H1273" s="376"/>
      <c r="I1273" s="580">
        <f t="shared" si="102"/>
        <v>0</v>
      </c>
      <c r="J1273" s="961">
        <f>+IF(E1275=110102,I1273/K1273,0)</f>
        <v>0</v>
      </c>
      <c r="K1273" s="80"/>
      <c r="L1273" s="630">
        <v>1003</v>
      </c>
      <c r="M1273" s="80" t="str">
        <f>+IFERROR(VLOOKUP(L1273,DATA!$G$4:$H$2000,2,FALSE),"")</f>
        <v>Бахдамдэмбэрэл</v>
      </c>
      <c r="N1273" s="630"/>
      <c r="O1273" s="80" t="str">
        <f>IFERROR(VLOOKUP(N1273,DATA!$K$4:$L$51,2,FALSE),"")</f>
        <v/>
      </c>
      <c r="P1273" s="80">
        <f t="shared" si="104"/>
        <v>0</v>
      </c>
      <c r="Q1273" s="154">
        <f t="shared" si="105"/>
        <v>0</v>
      </c>
    </row>
    <row r="1274" spans="2:17">
      <c r="B1274" s="627">
        <f t="shared" si="101"/>
        <v>1269</v>
      </c>
      <c r="C1274" s="582">
        <v>43373</v>
      </c>
      <c r="D1274" s="816" t="s">
        <v>2724</v>
      </c>
      <c r="E1274" s="807">
        <v>704900</v>
      </c>
      <c r="F1274" s="629" t="str">
        <f>IFERROR(VLOOKUP(E1274,STAT1!$C$4:$D$1000,2,FALSE),"")</f>
        <v>Банкны үйлчилгээ</v>
      </c>
      <c r="G1274" s="376"/>
      <c r="H1274" s="376">
        <v>10030.5</v>
      </c>
      <c r="I1274" s="580">
        <f t="shared" si="102"/>
        <v>0</v>
      </c>
      <c r="J1274" s="961">
        <f>+IF(E1276=110102,I1274/K1274,0)</f>
        <v>0</v>
      </c>
      <c r="K1274" s="80"/>
      <c r="L1274" s="630">
        <v>1003</v>
      </c>
      <c r="M1274" s="80" t="str">
        <f>+IFERROR(VLOOKUP(L1274,DATA!$G$4:$H$2000,2,FALSE),"")</f>
        <v>Бахдамдэмбэрэл</v>
      </c>
      <c r="N1274" s="630"/>
      <c r="O1274" s="80" t="str">
        <f>IFERROR(VLOOKUP(N1274,DATA!$K$4:$L$51,2,FALSE),"")</f>
        <v/>
      </c>
      <c r="P1274" s="80">
        <f t="shared" si="104"/>
        <v>0</v>
      </c>
      <c r="Q1274" s="154">
        <f t="shared" si="105"/>
        <v>0</v>
      </c>
    </row>
    <row r="1275" spans="2:17">
      <c r="B1275" s="627">
        <f t="shared" si="101"/>
        <v>1270</v>
      </c>
      <c r="C1275" s="582">
        <v>43373</v>
      </c>
      <c r="D1275" s="815" t="s">
        <v>2534</v>
      </c>
      <c r="E1275" s="630">
        <v>100100</v>
      </c>
      <c r="F1275" s="629" t="str">
        <f>IFERROR(VLOOKUP(E1275,STAT1!$C$4:$D$8000,2,FALSE),"")</f>
        <v>Касс мөнгө MNT</v>
      </c>
      <c r="G1275" s="811"/>
      <c r="H1275" s="811">
        <v>1500000</v>
      </c>
      <c r="I1275" s="580">
        <f t="shared" si="102"/>
        <v>-1500000</v>
      </c>
      <c r="J1275" s="961">
        <f>+IF(E1277=110102,I1275/K1275,0)</f>
        <v>0</v>
      </c>
      <c r="K1275" s="80"/>
      <c r="L1275" s="807">
        <v>2012</v>
      </c>
      <c r="M1275" s="80" t="str">
        <f>+IFERROR(VLOOKUP(L1275,DATA!$G$4:$H$2000,2,FALSE),"")</f>
        <v>ИХ ТУГЧ ХХК</v>
      </c>
      <c r="N1275" s="807">
        <v>59</v>
      </c>
      <c r="O1275" s="80" t="str">
        <f>IFERROR(VLOOKUP(N1275,DATA!$K$4:$L$51,2,FALSE),"")</f>
        <v>Бусад мөнгөн зарлага</v>
      </c>
      <c r="P1275" s="80">
        <f t="shared" si="104"/>
        <v>1</v>
      </c>
      <c r="Q1275" s="154">
        <f t="shared" si="105"/>
        <v>1</v>
      </c>
    </row>
    <row r="1276" spans="2:17">
      <c r="B1276" s="627">
        <f t="shared" si="101"/>
        <v>1271</v>
      </c>
      <c r="C1276" s="582">
        <v>43373</v>
      </c>
      <c r="D1276" s="815" t="s">
        <v>2534</v>
      </c>
      <c r="E1276" s="630">
        <v>705800</v>
      </c>
      <c r="F1276" s="629" t="str">
        <f>IFERROR(VLOOKUP(E1276,STAT1!$C$4:$D$8000,2,FALSE),"")</f>
        <v>Харуул хамгаалалт</v>
      </c>
      <c r="G1276" s="811">
        <v>1500000</v>
      </c>
      <c r="H1276" s="811"/>
      <c r="I1276" s="580">
        <f t="shared" si="102"/>
        <v>0</v>
      </c>
      <c r="J1276" s="961">
        <f>+IF(E1278=110102,I1276/K1276,0)</f>
        <v>0</v>
      </c>
      <c r="K1276" s="80"/>
      <c r="L1276" s="807">
        <v>2012</v>
      </c>
      <c r="M1276" s="80" t="str">
        <f>+IFERROR(VLOOKUP(L1276,DATA!$G$4:$H$2000,2,FALSE),"")</f>
        <v>ИХ ТУГЧ ХХК</v>
      </c>
      <c r="N1276" s="807"/>
      <c r="O1276" s="80" t="str">
        <f>IFERROR(VLOOKUP(N1276,DATA!$K$4:$L$51,2,FALSE),"")</f>
        <v/>
      </c>
      <c r="P1276" s="80">
        <f t="shared" si="104"/>
        <v>0</v>
      </c>
      <c r="Q1276" s="154">
        <f t="shared" si="105"/>
        <v>0</v>
      </c>
    </row>
    <row r="1277" spans="2:17">
      <c r="B1277" s="627">
        <f t="shared" si="101"/>
        <v>1272</v>
      </c>
      <c r="C1277" s="582">
        <v>43373</v>
      </c>
      <c r="D1277" s="815" t="s">
        <v>2729</v>
      </c>
      <c r="E1277" s="630">
        <v>160100</v>
      </c>
      <c r="F1277" s="629" t="str">
        <f>IFERROR(VLOOKUP(E1277,STAT1!$C$4:$D$8000,2,FALSE),"")</f>
        <v xml:space="preserve">Барилгын материал </v>
      </c>
      <c r="G1277" s="376"/>
      <c r="H1277" s="376">
        <v>35688147.340000004</v>
      </c>
      <c r="I1277" s="580">
        <f t="shared" si="102"/>
        <v>0</v>
      </c>
      <c r="J1277" s="961">
        <f>+IF(E1277=110102,I1277/K1277,0)</f>
        <v>0</v>
      </c>
      <c r="K1277" s="80"/>
      <c r="L1277" s="630">
        <v>3001</v>
      </c>
      <c r="M1277" s="80" t="str">
        <f>+IFERROR(VLOOKUP(L1277,DATA!$G$4:$H$2000,2,FALSE),"")</f>
        <v>ХУРД ГРУПП ХХК</v>
      </c>
      <c r="N1277" s="630"/>
      <c r="O1277" s="80" t="str">
        <f>IFERROR(VLOOKUP(N1277,DATA!$K$4:$L$51,2,FALSE),"")</f>
        <v/>
      </c>
      <c r="P1277" s="80">
        <f t="shared" si="104"/>
        <v>0</v>
      </c>
      <c r="Q1277" s="154">
        <f t="shared" si="105"/>
        <v>0</v>
      </c>
    </row>
    <row r="1278" spans="2:17">
      <c r="B1278" s="627">
        <f t="shared" si="101"/>
        <v>1273</v>
      </c>
      <c r="C1278" s="582">
        <v>43373</v>
      </c>
      <c r="D1278" s="815" t="s">
        <v>2729</v>
      </c>
      <c r="E1278" s="630">
        <v>141401</v>
      </c>
      <c r="F1278" s="629" t="str">
        <f>IFERROR(VLOOKUP(E1278,STAT1!$C$4:$D$8000,2,FALSE),"")</f>
        <v xml:space="preserve">ҮНЗардал БУСАД </v>
      </c>
      <c r="G1278" s="376">
        <v>35688147.340000004</v>
      </c>
      <c r="H1278" s="376"/>
      <c r="I1278" s="580">
        <f t="shared" si="102"/>
        <v>0</v>
      </c>
      <c r="J1278" s="961">
        <f>+IF(E1278=110102,I1278/K1278,0)</f>
        <v>0</v>
      </c>
      <c r="K1278" s="80"/>
      <c r="L1278" s="630">
        <v>3001</v>
      </c>
      <c r="M1278" s="80" t="str">
        <f>+IFERROR(VLOOKUP(L1278,DATA!$G$4:$H$2000,2,FALSE),"")</f>
        <v>ХУРД ГРУПП ХХК</v>
      </c>
      <c r="N1278" s="630"/>
      <c r="O1278" s="80" t="str">
        <f>IFERROR(VLOOKUP(N1278,DATA!$K$4:$L$51,2,FALSE),"")</f>
        <v/>
      </c>
      <c r="P1278" s="80">
        <f t="shared" si="104"/>
        <v>0</v>
      </c>
      <c r="Q1278" s="154">
        <f t="shared" si="105"/>
        <v>0</v>
      </c>
    </row>
    <row r="1279" spans="2:17">
      <c r="B1279" s="627">
        <f t="shared" si="101"/>
        <v>1274</v>
      </c>
      <c r="C1279" s="582">
        <v>43373</v>
      </c>
      <c r="D1279" s="815" t="s">
        <v>2728</v>
      </c>
      <c r="E1279" s="630">
        <v>150101</v>
      </c>
      <c r="F1279" s="629" t="str">
        <f>IFERROR(VLOOKUP(E1279,STAT1!$C$4:$D$8000,2,FALSE),"")</f>
        <v>Бараа бэлэн бүтээгдэхүүн БОЛОВСРУУЛАХ ЦЕХ /нарс/</v>
      </c>
      <c r="G1279" s="376"/>
      <c r="H1279" s="376">
        <v>140605743.36000001</v>
      </c>
      <c r="I1279" s="580">
        <f t="shared" si="102"/>
        <v>0</v>
      </c>
      <c r="J1279" s="961">
        <f>+IF(E1279=110102,I1279/K1279,0)</f>
        <v>0</v>
      </c>
      <c r="K1279" s="80"/>
      <c r="L1279" s="630">
        <v>3001</v>
      </c>
      <c r="M1279" s="80" t="str">
        <f>+IFERROR(VLOOKUP(L1279,DATA!$G$4:$H$2000,2,FALSE),"")</f>
        <v>ХУРД ГРУПП ХХК</v>
      </c>
      <c r="N1279" s="630"/>
      <c r="O1279" s="80" t="str">
        <f>IFERROR(VLOOKUP(N1279,DATA!$K$4:$L$51,2,FALSE),"")</f>
        <v/>
      </c>
      <c r="P1279" s="80">
        <f t="shared" si="104"/>
        <v>0</v>
      </c>
      <c r="Q1279" s="154">
        <f t="shared" si="105"/>
        <v>0</v>
      </c>
    </row>
    <row r="1280" spans="2:17">
      <c r="B1280" s="627">
        <f t="shared" si="101"/>
        <v>1275</v>
      </c>
      <c r="C1280" s="582">
        <v>43373</v>
      </c>
      <c r="D1280" s="815" t="s">
        <v>2728</v>
      </c>
      <c r="E1280" s="630">
        <v>141201</v>
      </c>
      <c r="F1280" s="629" t="str">
        <f>IFERROR(VLOOKUP(E1280,STAT1!$C$4:$D$8000,2,FALSE),"")</f>
        <v>ШМЗардал БУСАД</v>
      </c>
      <c r="G1280" s="376">
        <v>140605743.36000001</v>
      </c>
      <c r="H1280" s="376"/>
      <c r="I1280" s="580">
        <f t="shared" si="102"/>
        <v>0</v>
      </c>
      <c r="J1280" s="961">
        <f>+IF(E1280=110102,I1280/K1280,0)</f>
        <v>0</v>
      </c>
      <c r="K1280" s="80"/>
      <c r="L1280" s="630">
        <v>3001</v>
      </c>
      <c r="M1280" s="80" t="str">
        <f>+IFERROR(VLOOKUP(L1280,DATA!$G$4:$H$2000,2,FALSE),"")</f>
        <v>ХУРД ГРУПП ХХК</v>
      </c>
      <c r="N1280" s="630"/>
      <c r="O1280" s="80" t="str">
        <f>IFERROR(VLOOKUP(N1280,DATA!$K$4:$L$51,2,FALSE),"")</f>
        <v/>
      </c>
      <c r="P1280" s="80">
        <f t="shared" si="104"/>
        <v>0</v>
      </c>
      <c r="Q1280" s="154">
        <f t="shared" si="105"/>
        <v>0</v>
      </c>
    </row>
    <row r="1281" spans="2:17">
      <c r="B1281" s="627">
        <f t="shared" si="101"/>
        <v>1276</v>
      </c>
      <c r="C1281" s="429">
        <v>43374</v>
      </c>
      <c r="D1281" s="816" t="s">
        <v>2514</v>
      </c>
      <c r="E1281" s="807">
        <v>110200</v>
      </c>
      <c r="F1281" s="629" t="str">
        <f>IFERROR(VLOOKUP(E1281,STAT1!$C$4:$D$1000,2,FALSE),"")</f>
        <v>Хаан Банк 5022577237</v>
      </c>
      <c r="G1281" s="811"/>
      <c r="H1281" s="958">
        <v>17864.91</v>
      </c>
      <c r="I1281" s="580">
        <f t="shared" si="102"/>
        <v>-17864.91</v>
      </c>
      <c r="J1281" s="961">
        <f t="shared" ref="J1281:J1288" si="106">+IF(E1281=110200,I1281/K1281,0)</f>
        <v>-7</v>
      </c>
      <c r="K1281" s="80">
        <v>2552.13</v>
      </c>
      <c r="L1281" s="807">
        <v>2009</v>
      </c>
      <c r="M1281" s="80" t="str">
        <f>+IFERROR(VLOOKUP(L1281,DATA!$G$4:$H$2000,2,FALSE),"")</f>
        <v>ХААН БАНК</v>
      </c>
      <c r="N1281" s="807">
        <v>59</v>
      </c>
      <c r="O1281" s="80" t="str">
        <f>IFERROR(VLOOKUP(N1281,DATA!$K$4:$L$51,2,FALSE),"")</f>
        <v>Бусад мөнгөн зарлага</v>
      </c>
      <c r="P1281" s="80">
        <f t="shared" si="104"/>
        <v>1</v>
      </c>
      <c r="Q1281" s="154">
        <f t="shared" si="105"/>
        <v>1</v>
      </c>
    </row>
    <row r="1282" spans="2:17">
      <c r="B1282" s="627">
        <f t="shared" si="101"/>
        <v>1277</v>
      </c>
      <c r="C1282" s="429">
        <v>43374</v>
      </c>
      <c r="D1282" s="816" t="s">
        <v>2514</v>
      </c>
      <c r="E1282" s="807">
        <v>704900</v>
      </c>
      <c r="F1282" s="629" t="str">
        <f>IFERROR(VLOOKUP(E1282,STAT1!$C$4:$D$1000,2,FALSE),"")</f>
        <v>Банкны үйлчилгээ</v>
      </c>
      <c r="G1282" s="958">
        <v>17864.91</v>
      </c>
      <c r="H1282" s="811"/>
      <c r="I1282" s="580">
        <f t="shared" si="102"/>
        <v>0</v>
      </c>
      <c r="J1282" s="961">
        <f t="shared" si="106"/>
        <v>0</v>
      </c>
      <c r="K1282" s="80"/>
      <c r="L1282" s="807">
        <v>2009</v>
      </c>
      <c r="M1282" s="80" t="str">
        <f>+IFERROR(VLOOKUP(L1282,DATA!$G$4:$H$2000,2,FALSE),"")</f>
        <v>ХААН БАНК</v>
      </c>
      <c r="N1282" s="807"/>
      <c r="O1282" s="80" t="str">
        <f>IFERROR(VLOOKUP(N1282,DATA!$K$4:$L$51,2,FALSE),"")</f>
        <v/>
      </c>
      <c r="P1282" s="80">
        <f t="shared" si="104"/>
        <v>0</v>
      </c>
      <c r="Q1282" s="154">
        <f t="shared" si="105"/>
        <v>0</v>
      </c>
    </row>
    <row r="1283" spans="2:17">
      <c r="B1283" s="627">
        <f t="shared" si="101"/>
        <v>1278</v>
      </c>
      <c r="C1283" s="429">
        <v>43374</v>
      </c>
      <c r="D1283" s="816" t="s">
        <v>2514</v>
      </c>
      <c r="E1283" s="807">
        <v>110102</v>
      </c>
      <c r="F1283" s="629" t="str">
        <f>IFERROR(VLOOKUP(E1283,STAT1!$C$4:$D$1000,2,FALSE),"")</f>
        <v>ХХБ 406094330</v>
      </c>
      <c r="G1283" s="811"/>
      <c r="H1283" s="958">
        <v>16584.13</v>
      </c>
      <c r="I1283" s="580">
        <f t="shared" si="102"/>
        <v>-16584.13</v>
      </c>
      <c r="J1283" s="961">
        <f t="shared" si="106"/>
        <v>0</v>
      </c>
      <c r="K1283" s="80"/>
      <c r="L1283" s="807">
        <v>1004</v>
      </c>
      <c r="M1283" s="80" t="str">
        <f>+IFERROR(VLOOKUP(L1283,DATA!$G$4:$H$2000,2,FALSE),"")</f>
        <v xml:space="preserve">Түмэндэлгэр </v>
      </c>
      <c r="N1283" s="807">
        <v>59</v>
      </c>
      <c r="O1283" s="80" t="str">
        <f>IFERROR(VLOOKUP(N1283,DATA!$K$4:$L$51,2,FALSE),"")</f>
        <v>Бусад мөнгөн зарлага</v>
      </c>
      <c r="P1283" s="80">
        <f t="shared" si="104"/>
        <v>1</v>
      </c>
      <c r="Q1283" s="154">
        <f t="shared" si="105"/>
        <v>1</v>
      </c>
    </row>
    <row r="1284" spans="2:17">
      <c r="B1284" s="627">
        <f t="shared" si="101"/>
        <v>1279</v>
      </c>
      <c r="C1284" s="429">
        <v>43374</v>
      </c>
      <c r="D1284" s="816" t="s">
        <v>2514</v>
      </c>
      <c r="E1284" s="807">
        <v>704900</v>
      </c>
      <c r="F1284" s="629" t="str">
        <f>IFERROR(VLOOKUP(E1284,STAT1!$C$4:$D$1000,2,FALSE),"")</f>
        <v>Банкны үйлчилгээ</v>
      </c>
      <c r="G1284" s="958">
        <v>16584.13</v>
      </c>
      <c r="H1284" s="811"/>
      <c r="I1284" s="580">
        <f t="shared" si="102"/>
        <v>0</v>
      </c>
      <c r="J1284" s="961">
        <f t="shared" si="106"/>
        <v>0</v>
      </c>
      <c r="K1284" s="80"/>
      <c r="L1284" s="807">
        <v>1004</v>
      </c>
      <c r="M1284" s="80" t="str">
        <f>+IFERROR(VLOOKUP(L1284,DATA!$G$4:$H$2000,2,FALSE),"")</f>
        <v xml:space="preserve">Түмэндэлгэр </v>
      </c>
      <c r="N1284" s="807"/>
      <c r="O1284" s="80" t="str">
        <f>IFERROR(VLOOKUP(N1284,DATA!$K$4:$L$51,2,FALSE),"")</f>
        <v/>
      </c>
      <c r="P1284" s="80">
        <f t="shared" si="104"/>
        <v>0</v>
      </c>
      <c r="Q1284" s="154">
        <f t="shared" si="105"/>
        <v>0</v>
      </c>
    </row>
    <row r="1285" spans="2:17">
      <c r="B1285" s="627">
        <f t="shared" ref="B1285:B1348" si="107">+IF(C1285="","",ROW()-5)</f>
        <v>1280</v>
      </c>
      <c r="C1285" s="429">
        <v>43374</v>
      </c>
      <c r="D1285" s="816" t="s">
        <v>2514</v>
      </c>
      <c r="E1285" s="807">
        <v>110103</v>
      </c>
      <c r="F1285" s="629" t="str">
        <f>IFERROR(VLOOKUP(E1285,STAT1!$C$4:$D$1000,2,FALSE),"")</f>
        <v>Хас Банк 5000558299</v>
      </c>
      <c r="G1285" s="811"/>
      <c r="H1285" s="811">
        <v>88499.17</v>
      </c>
      <c r="I1285" s="580">
        <f t="shared" si="102"/>
        <v>-88499.17</v>
      </c>
      <c r="J1285" s="961">
        <f t="shared" si="106"/>
        <v>0</v>
      </c>
      <c r="K1285" s="80"/>
      <c r="L1285" s="807">
        <v>1004</v>
      </c>
      <c r="M1285" s="80" t="str">
        <f>+IFERROR(VLOOKUP(L1285,DATA!$G$4:$H$2000,2,FALSE),"")</f>
        <v xml:space="preserve">Түмэндэлгэр </v>
      </c>
      <c r="N1285" s="807">
        <v>59</v>
      </c>
      <c r="O1285" s="80" t="str">
        <f>IFERROR(VLOOKUP(N1285,DATA!$K$4:$L$51,2,FALSE),"")</f>
        <v>Бусад мөнгөн зарлага</v>
      </c>
      <c r="P1285" s="80">
        <f t="shared" si="104"/>
        <v>1</v>
      </c>
      <c r="Q1285" s="154">
        <f t="shared" si="105"/>
        <v>1</v>
      </c>
    </row>
    <row r="1286" spans="2:17">
      <c r="B1286" s="627">
        <f t="shared" si="107"/>
        <v>1281</v>
      </c>
      <c r="C1286" s="429">
        <v>43374</v>
      </c>
      <c r="D1286" s="816" t="s">
        <v>2514</v>
      </c>
      <c r="E1286" s="807">
        <v>704900</v>
      </c>
      <c r="F1286" s="629" t="str">
        <f>IFERROR(VLOOKUP(E1286,STAT1!$C$4:$D$1000,2,FALSE),"")</f>
        <v>Банкны үйлчилгээ</v>
      </c>
      <c r="G1286" s="811">
        <v>88499.17</v>
      </c>
      <c r="H1286" s="811"/>
      <c r="I1286" s="580">
        <f t="shared" si="102"/>
        <v>0</v>
      </c>
      <c r="J1286" s="961">
        <f t="shared" si="106"/>
        <v>0</v>
      </c>
      <c r="K1286" s="80"/>
      <c r="L1286" s="807">
        <v>1004</v>
      </c>
      <c r="M1286" s="80" t="str">
        <f>+IFERROR(VLOOKUP(L1286,DATA!$G$4:$H$2000,2,FALSE),"")</f>
        <v xml:space="preserve">Түмэндэлгэр </v>
      </c>
      <c r="N1286" s="807"/>
      <c r="O1286" s="80" t="str">
        <f>IFERROR(VLOOKUP(N1286,DATA!$K$4:$L$51,2,FALSE),"")</f>
        <v/>
      </c>
      <c r="P1286" s="80">
        <f t="shared" si="104"/>
        <v>0</v>
      </c>
      <c r="Q1286" s="154">
        <f t="shared" si="105"/>
        <v>0</v>
      </c>
    </row>
    <row r="1287" spans="2:17">
      <c r="B1287" s="627">
        <f t="shared" si="107"/>
        <v>1282</v>
      </c>
      <c r="C1287" s="429">
        <v>43374</v>
      </c>
      <c r="D1287" s="816" t="s">
        <v>2514</v>
      </c>
      <c r="E1287" s="630">
        <v>110104</v>
      </c>
      <c r="F1287" s="629" t="str">
        <f>IFERROR(VLOOKUP(E1287,STAT1!$C$4:$D$1000,2,FALSE),"")</f>
        <v>ХХБ 404052927</v>
      </c>
      <c r="G1287" s="376"/>
      <c r="H1287" s="376">
        <v>27647.96</v>
      </c>
      <c r="I1287" s="580">
        <f t="shared" si="102"/>
        <v>-27647.96</v>
      </c>
      <c r="J1287" s="961">
        <f t="shared" si="106"/>
        <v>0</v>
      </c>
      <c r="K1287" s="80"/>
      <c r="L1287" s="807">
        <v>1004</v>
      </c>
      <c r="M1287" s="80" t="str">
        <f>+IFERROR(VLOOKUP(L1287,DATA!$G$4:$H$2000,2,FALSE),"")</f>
        <v xml:space="preserve">Түмэндэлгэр </v>
      </c>
      <c r="N1287" s="630">
        <v>59</v>
      </c>
      <c r="O1287" s="80" t="str">
        <f>IFERROR(VLOOKUP(N1287,DATA!$K$4:$L$51,2,FALSE),"")</f>
        <v>Бусад мөнгөн зарлага</v>
      </c>
      <c r="P1287" s="80">
        <f t="shared" si="104"/>
        <v>1</v>
      </c>
      <c r="Q1287" s="154">
        <f t="shared" si="105"/>
        <v>1</v>
      </c>
    </row>
    <row r="1288" spans="2:17">
      <c r="B1288" s="627">
        <f t="shared" si="107"/>
        <v>1283</v>
      </c>
      <c r="C1288" s="429">
        <v>43374</v>
      </c>
      <c r="D1288" s="816" t="s">
        <v>2514</v>
      </c>
      <c r="E1288" s="807">
        <v>704900</v>
      </c>
      <c r="F1288" s="629" t="str">
        <f>IFERROR(VLOOKUP(E1288,STAT1!$C$4:$D$1000,2,FALSE),"")</f>
        <v>Банкны үйлчилгээ</v>
      </c>
      <c r="G1288" s="376">
        <v>27647.96</v>
      </c>
      <c r="H1288" s="811"/>
      <c r="I1288" s="580">
        <f t="shared" si="102"/>
        <v>0</v>
      </c>
      <c r="J1288" s="961">
        <f t="shared" si="106"/>
        <v>0</v>
      </c>
      <c r="K1288" s="80"/>
      <c r="L1288" s="807">
        <v>1004</v>
      </c>
      <c r="M1288" s="80" t="str">
        <f>+IFERROR(VLOOKUP(L1288,DATA!$G$4:$H$2000,2,FALSE),"")</f>
        <v xml:space="preserve">Түмэндэлгэр </v>
      </c>
      <c r="N1288" s="807"/>
      <c r="O1288" s="80" t="str">
        <f>IFERROR(VLOOKUP(N1288,DATA!$K$4:$L$51,2,FALSE),"")</f>
        <v/>
      </c>
      <c r="P1288" s="80">
        <f t="shared" si="104"/>
        <v>0</v>
      </c>
      <c r="Q1288" s="154">
        <f t="shared" si="105"/>
        <v>0</v>
      </c>
    </row>
    <row r="1289" spans="2:17">
      <c r="B1289" s="627">
        <f t="shared" si="107"/>
        <v>1284</v>
      </c>
      <c r="C1289" s="429">
        <v>43374</v>
      </c>
      <c r="D1289" s="816" t="s">
        <v>2514</v>
      </c>
      <c r="E1289" s="807">
        <v>110202</v>
      </c>
      <c r="F1289" s="629" t="str">
        <f>IFERROR(VLOOKUP(E1289,STAT1!$C$4:$D$1000,2,FALSE),"")</f>
        <v>ГОЛОМТ БАНК 2101004089</v>
      </c>
      <c r="G1289" s="811"/>
      <c r="H1289" s="958">
        <v>110430.66510000001</v>
      </c>
      <c r="I1289" s="580">
        <f t="shared" si="102"/>
        <v>-110430.66510000001</v>
      </c>
      <c r="J1289" s="961">
        <f>+IF(E1289=110202,I1289/K1289,0)</f>
        <v>-43.27</v>
      </c>
      <c r="K1289" s="80">
        <v>2552.13</v>
      </c>
      <c r="L1289" s="807">
        <v>1004</v>
      </c>
      <c r="M1289" s="80" t="str">
        <f>+IFERROR(VLOOKUP(L1289,DATA!$G$4:$H$2000,2,FALSE),"")</f>
        <v xml:space="preserve">Түмэндэлгэр </v>
      </c>
      <c r="N1289" s="807">
        <v>59</v>
      </c>
      <c r="O1289" s="80" t="str">
        <f>IFERROR(VLOOKUP(N1289,DATA!$K$4:$L$51,2,FALSE),"")</f>
        <v>Бусад мөнгөн зарлага</v>
      </c>
      <c r="P1289" s="80">
        <f t="shared" si="104"/>
        <v>1</v>
      </c>
      <c r="Q1289" s="154">
        <f t="shared" si="105"/>
        <v>1</v>
      </c>
    </row>
    <row r="1290" spans="2:17">
      <c r="B1290" s="627">
        <f t="shared" si="107"/>
        <v>1285</v>
      </c>
      <c r="C1290" s="429">
        <v>43374</v>
      </c>
      <c r="D1290" s="816" t="s">
        <v>2514</v>
      </c>
      <c r="E1290" s="807">
        <v>704900</v>
      </c>
      <c r="F1290" s="629" t="str">
        <f>IFERROR(VLOOKUP(E1290,STAT1!$C$4:$D$1000,2,FALSE),"")</f>
        <v>Банкны үйлчилгээ</v>
      </c>
      <c r="G1290" s="958">
        <v>110430.66510000001</v>
      </c>
      <c r="H1290" s="958"/>
      <c r="I1290" s="580">
        <f t="shared" si="102"/>
        <v>0</v>
      </c>
      <c r="J1290" s="961">
        <f>+IF(E1290=110200,I1290/K1290,0)</f>
        <v>0</v>
      </c>
      <c r="K1290" s="80"/>
      <c r="L1290" s="807">
        <v>1004</v>
      </c>
      <c r="M1290" s="80" t="str">
        <f>+IFERROR(VLOOKUP(L1290,DATA!$G$4:$H$2000,2,FALSE),"")</f>
        <v xml:space="preserve">Түмэндэлгэр </v>
      </c>
      <c r="N1290" s="807"/>
      <c r="O1290" s="80" t="str">
        <f>IFERROR(VLOOKUP(N1290,DATA!$K$4:$L$51,2,FALSE),"")</f>
        <v/>
      </c>
      <c r="P1290" s="80">
        <f t="shared" si="104"/>
        <v>0</v>
      </c>
      <c r="Q1290" s="154">
        <f t="shared" si="105"/>
        <v>0</v>
      </c>
    </row>
    <row r="1291" spans="2:17">
      <c r="B1291" s="627">
        <f t="shared" si="107"/>
        <v>1286</v>
      </c>
      <c r="C1291" s="429">
        <v>43374</v>
      </c>
      <c r="D1291" s="816" t="s">
        <v>2514</v>
      </c>
      <c r="E1291" s="807">
        <v>110204</v>
      </c>
      <c r="F1291" s="629" t="str">
        <f>IFERROR(VLOOKUP(E1291,STAT1!$C$4:$D$1000,2,FALSE),"")</f>
        <v>ХХБ БАНК 406094331</v>
      </c>
      <c r="G1291" s="811"/>
      <c r="H1291" s="958">
        <v>26618.711099999997</v>
      </c>
      <c r="I1291" s="580">
        <f t="shared" si="102"/>
        <v>-26618.711099999997</v>
      </c>
      <c r="J1291" s="961">
        <f>+IF(E1291=110204,I1291/K1291,0)</f>
        <v>-10.429998119218062</v>
      </c>
      <c r="K1291" s="80">
        <v>2552.13</v>
      </c>
      <c r="L1291" s="807">
        <v>1004</v>
      </c>
      <c r="M1291" s="80" t="str">
        <f>+IFERROR(VLOOKUP(L1291,DATA!$G$4:$H$2000,2,FALSE),"")</f>
        <v xml:space="preserve">Түмэндэлгэр </v>
      </c>
      <c r="N1291" s="807">
        <v>59</v>
      </c>
      <c r="O1291" s="80" t="str">
        <f>IFERROR(VLOOKUP(N1291,DATA!$K$4:$L$51,2,FALSE),"")</f>
        <v>Бусад мөнгөн зарлага</v>
      </c>
      <c r="P1291" s="80">
        <f t="shared" si="104"/>
        <v>1</v>
      </c>
      <c r="Q1291" s="154">
        <f t="shared" si="105"/>
        <v>1</v>
      </c>
    </row>
    <row r="1292" spans="2:17">
      <c r="B1292" s="627">
        <f t="shared" si="107"/>
        <v>1287</v>
      </c>
      <c r="C1292" s="429">
        <v>43374</v>
      </c>
      <c r="D1292" s="816" t="s">
        <v>2514</v>
      </c>
      <c r="E1292" s="807">
        <v>704900</v>
      </c>
      <c r="F1292" s="629" t="str">
        <f>IFERROR(VLOOKUP(E1292,STAT1!$C$4:$D$1000,2,FALSE),"")</f>
        <v>Банкны үйлчилгээ</v>
      </c>
      <c r="G1292" s="958">
        <v>26618.711099999997</v>
      </c>
      <c r="H1292" s="811"/>
      <c r="I1292" s="580">
        <f t="shared" si="102"/>
        <v>0</v>
      </c>
      <c r="J1292" s="961">
        <f>+IF(E1292=110200,I1292/K1292,0)</f>
        <v>0</v>
      </c>
      <c r="K1292" s="80"/>
      <c r="L1292" s="807">
        <v>1004</v>
      </c>
      <c r="M1292" s="80" t="str">
        <f>+IFERROR(VLOOKUP(L1292,DATA!$G$4:$H$2000,2,FALSE),"")</f>
        <v xml:space="preserve">Түмэндэлгэр </v>
      </c>
      <c r="N1292" s="807"/>
      <c r="O1292" s="80" t="str">
        <f>IFERROR(VLOOKUP(N1292,DATA!$K$4:$L$51,2,FALSE),"")</f>
        <v/>
      </c>
      <c r="P1292" s="80">
        <f t="shared" si="104"/>
        <v>0</v>
      </c>
      <c r="Q1292" s="154">
        <f t="shared" si="105"/>
        <v>0</v>
      </c>
    </row>
    <row r="1293" spans="2:17">
      <c r="B1293" s="627">
        <f t="shared" si="107"/>
        <v>1288</v>
      </c>
      <c r="C1293" s="429">
        <v>43374</v>
      </c>
      <c r="D1293" s="816" t="s">
        <v>2514</v>
      </c>
      <c r="E1293" s="807">
        <v>110203</v>
      </c>
      <c r="F1293" s="629" t="str">
        <f>IFERROR(VLOOKUP(E1293,STAT1!$C$4:$D$1000,2,FALSE),"")</f>
        <v>ХАС БАНК 5000558440</v>
      </c>
      <c r="G1293" s="811"/>
      <c r="H1293" s="958">
        <v>133170.1434</v>
      </c>
      <c r="I1293" s="580">
        <f t="shared" si="102"/>
        <v>-133170.1434</v>
      </c>
      <c r="J1293" s="961">
        <f>+IF(E1293=110203,I1293/K1293,0)</f>
        <v>-52.18</v>
      </c>
      <c r="K1293" s="80">
        <v>2552.13</v>
      </c>
      <c r="L1293" s="807">
        <v>1004</v>
      </c>
      <c r="M1293" s="80" t="str">
        <f>+IFERROR(VLOOKUP(L1293,DATA!$G$4:$H$2000,2,FALSE),"")</f>
        <v xml:space="preserve">Түмэндэлгэр </v>
      </c>
      <c r="N1293" s="807">
        <v>59</v>
      </c>
      <c r="O1293" s="80" t="str">
        <f>IFERROR(VLOOKUP(N1293,DATA!$K$4:$L$51,2,FALSE),"")</f>
        <v>Бусад мөнгөн зарлага</v>
      </c>
      <c r="P1293" s="80">
        <f t="shared" si="104"/>
        <v>1</v>
      </c>
      <c r="Q1293" s="154">
        <f t="shared" si="105"/>
        <v>1</v>
      </c>
    </row>
    <row r="1294" spans="2:17">
      <c r="B1294" s="627">
        <f t="shared" si="107"/>
        <v>1289</v>
      </c>
      <c r="C1294" s="429">
        <v>43374</v>
      </c>
      <c r="D1294" s="816" t="s">
        <v>2514</v>
      </c>
      <c r="E1294" s="807">
        <v>704900</v>
      </c>
      <c r="F1294" s="629" t="str">
        <f>IFERROR(VLOOKUP(E1294,STAT1!$C$4:$D$1000,2,FALSE),"")</f>
        <v>Банкны үйлчилгээ</v>
      </c>
      <c r="G1294" s="958">
        <v>133170.1434</v>
      </c>
      <c r="H1294" s="811"/>
      <c r="I1294" s="580">
        <f t="shared" ref="I1294:I1357" si="108">+IF(OR(E1294=100100,E1294=100200,E1294=110100,E1294=110102,E1294=110103,E1294=110104,E1294=110105,E1294=110200,E1294=110201,E1294=110202,E1294=110203,E1294=110204,E1294=110300),G1294,0)+IF(OR(E1294=100100,E1294=100200,E1294=110100,E1294=110102,E1294=110103,E1294=110104,E1294=110105,E1294=110200,E1294=110201,E1294=110202,E1294=110203,E1294=110204,E1294=110300),H1294*-1,0)</f>
        <v>0</v>
      </c>
      <c r="J1294" s="961">
        <f>+IF(E1294=110200,I1294/K1294,0)</f>
        <v>0</v>
      </c>
      <c r="K1294" s="80"/>
      <c r="L1294" s="807">
        <v>1004</v>
      </c>
      <c r="M1294" s="80" t="str">
        <f>+IFERROR(VLOOKUP(L1294,DATA!$G$4:$H$2000,2,FALSE),"")</f>
        <v xml:space="preserve">Түмэндэлгэр </v>
      </c>
      <c r="N1294" s="807"/>
      <c r="O1294" s="80" t="str">
        <f>IFERROR(VLOOKUP(N1294,DATA!$K$4:$L$51,2,FALSE),"")</f>
        <v/>
      </c>
      <c r="P1294" s="80">
        <f t="shared" si="104"/>
        <v>0</v>
      </c>
      <c r="Q1294" s="154">
        <f t="shared" si="105"/>
        <v>0</v>
      </c>
    </row>
    <row r="1295" spans="2:17">
      <c r="B1295" s="627">
        <f t="shared" si="107"/>
        <v>1290</v>
      </c>
      <c r="C1295" s="429">
        <v>43374</v>
      </c>
      <c r="D1295" s="816" t="s">
        <v>2514</v>
      </c>
      <c r="E1295" s="807">
        <v>110105</v>
      </c>
      <c r="F1295" s="629" t="str">
        <f>IFERROR(VLOOKUP(E1295,STAT1!$C$4:$D$1000,2,FALSE),"")</f>
        <v>Голомт Банк 2101004077</v>
      </c>
      <c r="G1295" s="811"/>
      <c r="H1295" s="958">
        <v>135889.92000000001</v>
      </c>
      <c r="I1295" s="580">
        <f t="shared" si="108"/>
        <v>-135889.92000000001</v>
      </c>
      <c r="J1295" s="961">
        <f>+IF(E1295=110200,I1295/K1295,0)</f>
        <v>0</v>
      </c>
      <c r="K1295" s="80"/>
      <c r="L1295" s="807">
        <v>1004</v>
      </c>
      <c r="M1295" s="80" t="str">
        <f>+IFERROR(VLOOKUP(L1295,DATA!$G$4:$H$2000,2,FALSE),"")</f>
        <v xml:space="preserve">Түмэндэлгэр </v>
      </c>
      <c r="N1295" s="807">
        <v>59</v>
      </c>
      <c r="O1295" s="80" t="str">
        <f>IFERROR(VLOOKUP(N1295,DATA!$K$4:$L$51,2,FALSE),"")</f>
        <v>Бусад мөнгөн зарлага</v>
      </c>
      <c r="P1295" s="80">
        <f t="shared" si="104"/>
        <v>1</v>
      </c>
      <c r="Q1295" s="154">
        <f t="shared" si="105"/>
        <v>1</v>
      </c>
    </row>
    <row r="1296" spans="2:17">
      <c r="B1296" s="627">
        <f t="shared" si="107"/>
        <v>1291</v>
      </c>
      <c r="C1296" s="429">
        <v>43374</v>
      </c>
      <c r="D1296" s="816" t="s">
        <v>2514</v>
      </c>
      <c r="E1296" s="807">
        <v>704900</v>
      </c>
      <c r="F1296" s="629" t="str">
        <f>IFERROR(VLOOKUP(E1296,STAT1!$C$4:$D$1000,2,FALSE),"")</f>
        <v>Банкны үйлчилгээ</v>
      </c>
      <c r="G1296" s="958">
        <v>135889.92000000001</v>
      </c>
      <c r="H1296" s="811"/>
      <c r="I1296" s="580">
        <f t="shared" si="108"/>
        <v>0</v>
      </c>
      <c r="J1296" s="961">
        <f>+IF(E1296=110200,I1296/K1296,0)</f>
        <v>0</v>
      </c>
      <c r="K1296" s="80"/>
      <c r="L1296" s="807">
        <v>1004</v>
      </c>
      <c r="M1296" s="80" t="str">
        <f>+IFERROR(VLOOKUP(L1296,DATA!$G$4:$H$2000,2,FALSE),"")</f>
        <v xml:space="preserve">Түмэндэлгэр </v>
      </c>
      <c r="N1296" s="807"/>
      <c r="O1296" s="80" t="str">
        <f>IFERROR(VLOOKUP(N1296,DATA!$K$4:$L$51,2,FALSE),"")</f>
        <v/>
      </c>
      <c r="P1296" s="80">
        <f t="shared" si="104"/>
        <v>0</v>
      </c>
      <c r="Q1296" s="154">
        <f t="shared" si="105"/>
        <v>0</v>
      </c>
    </row>
    <row r="1297" spans="2:17">
      <c r="B1297" s="627">
        <f t="shared" si="107"/>
        <v>1292</v>
      </c>
      <c r="C1297" s="429">
        <v>43375</v>
      </c>
      <c r="D1297" s="816" t="s">
        <v>1570</v>
      </c>
      <c r="E1297" s="807">
        <v>100100</v>
      </c>
      <c r="F1297" s="629" t="str">
        <f>IFERROR(VLOOKUP(E1297,STAT1!$C$4:$D$1000,2,FALSE),"")</f>
        <v>Касс мөнгө MNT</v>
      </c>
      <c r="G1297" s="811"/>
      <c r="H1297" s="811">
        <v>25000</v>
      </c>
      <c r="I1297" s="580">
        <f t="shared" si="108"/>
        <v>-25000</v>
      </c>
      <c r="J1297" s="961">
        <f t="shared" ref="J1297:J1321" si="109">+IF(E1297=110102,I1297/K1297,0)</f>
        <v>0</v>
      </c>
      <c r="K1297" s="80"/>
      <c r="L1297" s="807">
        <v>1008</v>
      </c>
      <c r="M1297" s="80" t="str">
        <f>+IFERROR(VLOOKUP(L1297,DATA!$G$4:$H$2000,2,FALSE),"")</f>
        <v xml:space="preserve">Оюунтүлхүүр </v>
      </c>
      <c r="N1297" s="807">
        <v>55</v>
      </c>
      <c r="O1297" s="80" t="str">
        <f>IFERROR(VLOOKUP(N1297,DATA!$K$4:$L$51,2,FALSE),"")</f>
        <v>Түлш, шатахуун, тээврийн хөлс, сэлбэг хэрэгсэлд төлсөн</v>
      </c>
      <c r="P1297" s="80">
        <f t="shared" si="104"/>
        <v>1</v>
      </c>
      <c r="Q1297" s="154">
        <f t="shared" si="105"/>
        <v>1</v>
      </c>
    </row>
    <row r="1298" spans="2:17">
      <c r="B1298" s="627">
        <f t="shared" si="107"/>
        <v>1293</v>
      </c>
      <c r="C1298" s="429">
        <v>43375</v>
      </c>
      <c r="D1298" s="816" t="s">
        <v>1570</v>
      </c>
      <c r="E1298" s="807">
        <v>702000</v>
      </c>
      <c r="F1298" s="629" t="str">
        <f>IFERROR(VLOOKUP(E1298,STAT1!$C$4:$D$1000,2,FALSE),"")</f>
        <v>Түлш, шатахуун</v>
      </c>
      <c r="G1298" s="811">
        <v>25000</v>
      </c>
      <c r="H1298" s="811"/>
      <c r="I1298" s="580">
        <f t="shared" si="108"/>
        <v>0</v>
      </c>
      <c r="J1298" s="961">
        <f t="shared" si="109"/>
        <v>0</v>
      </c>
      <c r="K1298" s="80"/>
      <c r="L1298" s="807">
        <v>1008</v>
      </c>
      <c r="M1298" s="80" t="str">
        <f>+IFERROR(VLOOKUP(L1298,DATA!$G$4:$H$2000,2,FALSE),"")</f>
        <v xml:space="preserve">Оюунтүлхүүр </v>
      </c>
      <c r="N1298" s="807"/>
      <c r="O1298" s="80" t="str">
        <f>IFERROR(VLOOKUP(N1298,DATA!$K$4:$L$51,2,FALSE),"")</f>
        <v/>
      </c>
      <c r="P1298" s="80">
        <f t="shared" si="104"/>
        <v>0</v>
      </c>
      <c r="Q1298" s="154">
        <f t="shared" si="105"/>
        <v>0</v>
      </c>
    </row>
    <row r="1299" spans="2:17">
      <c r="B1299" s="627">
        <f t="shared" si="107"/>
        <v>1294</v>
      </c>
      <c r="C1299" s="429">
        <v>43376</v>
      </c>
      <c r="D1299" s="816" t="s">
        <v>2696</v>
      </c>
      <c r="E1299" s="807">
        <v>110100</v>
      </c>
      <c r="F1299" s="629" t="str">
        <f>IFERROR(VLOOKUP(E1299,STAT1!$C$4:$D$1000,2,FALSE),"")</f>
        <v>Хаан Банк 5024654020</v>
      </c>
      <c r="G1299" s="811">
        <v>900000</v>
      </c>
      <c r="H1299" s="811"/>
      <c r="I1299" s="580">
        <f t="shared" si="108"/>
        <v>900000</v>
      </c>
      <c r="J1299" s="961">
        <f t="shared" si="109"/>
        <v>0</v>
      </c>
      <c r="K1299" s="80"/>
      <c r="L1299" s="807">
        <v>1003</v>
      </c>
      <c r="M1299" s="80" t="str">
        <f>+IFERROR(VLOOKUP(L1299,DATA!$G$4:$H$2000,2,FALSE),"")</f>
        <v>Бахдамдэмбэрэл</v>
      </c>
      <c r="N1299" s="807"/>
      <c r="O1299" s="80" t="str">
        <f>IFERROR(VLOOKUP(N1299,DATA!$K$4:$L$51,2,FALSE),"")</f>
        <v/>
      </c>
      <c r="P1299" s="80">
        <f t="shared" si="104"/>
        <v>1</v>
      </c>
      <c r="Q1299" s="154">
        <f t="shared" si="105"/>
        <v>1</v>
      </c>
    </row>
    <row r="1300" spans="2:17">
      <c r="B1300" s="627">
        <f t="shared" si="107"/>
        <v>1295</v>
      </c>
      <c r="C1300" s="429">
        <v>43376</v>
      </c>
      <c r="D1300" s="816" t="s">
        <v>2696</v>
      </c>
      <c r="E1300" s="807">
        <v>100100</v>
      </c>
      <c r="F1300" s="629" t="str">
        <f>IFERROR(VLOOKUP(E1300,STAT1!$C$4:$D$1000,2,FALSE),"")</f>
        <v>Касс мөнгө MNT</v>
      </c>
      <c r="G1300" s="811"/>
      <c r="H1300" s="811">
        <v>900000</v>
      </c>
      <c r="I1300" s="580">
        <f t="shared" si="108"/>
        <v>-900000</v>
      </c>
      <c r="J1300" s="961">
        <f t="shared" si="109"/>
        <v>0</v>
      </c>
      <c r="K1300" s="80"/>
      <c r="L1300" s="807">
        <v>1003</v>
      </c>
      <c r="M1300" s="80" t="str">
        <f>+IFERROR(VLOOKUP(L1300,DATA!$G$4:$H$2000,2,FALSE),"")</f>
        <v>Бахдамдэмбэрэл</v>
      </c>
      <c r="N1300" s="807"/>
      <c r="O1300" s="80" t="str">
        <f>IFERROR(VLOOKUP(N1300,DATA!$K$4:$L$51,2,FALSE),"")</f>
        <v/>
      </c>
      <c r="P1300" s="80">
        <f t="shared" si="104"/>
        <v>1</v>
      </c>
      <c r="Q1300" s="154">
        <f t="shared" si="105"/>
        <v>1</v>
      </c>
    </row>
    <row r="1301" spans="2:17">
      <c r="B1301" s="627">
        <f t="shared" si="107"/>
        <v>1296</v>
      </c>
      <c r="C1301" s="429">
        <v>43376</v>
      </c>
      <c r="D1301" s="816" t="s">
        <v>2774</v>
      </c>
      <c r="E1301" s="807">
        <v>110100</v>
      </c>
      <c r="F1301" s="629" t="str">
        <f>IFERROR(VLOOKUP(E1301,STAT1!$C$4:$D$1000,2,FALSE),"")</f>
        <v>Хаан Банк 5024654020</v>
      </c>
      <c r="G1301" s="811"/>
      <c r="H1301" s="811">
        <v>771000</v>
      </c>
      <c r="I1301" s="580">
        <f t="shared" si="108"/>
        <v>-771000</v>
      </c>
      <c r="J1301" s="961">
        <f t="shared" si="109"/>
        <v>0</v>
      </c>
      <c r="K1301" s="80"/>
      <c r="L1301" s="807">
        <v>1003</v>
      </c>
      <c r="M1301" s="80" t="str">
        <f>+IFERROR(VLOOKUP(L1301,DATA!$G$4:$H$2000,2,FALSE),"")</f>
        <v>Бахдамдэмбэрэл</v>
      </c>
      <c r="N1301" s="807">
        <v>53</v>
      </c>
      <c r="O1301" s="80" t="str">
        <f>IFERROR(VLOOKUP(N1301,DATA!$K$4:$L$51,2,FALSE),"")</f>
        <v>Бараа материал худалдан авахад төлсөн</v>
      </c>
      <c r="P1301" s="80">
        <f t="shared" si="104"/>
        <v>1</v>
      </c>
      <c r="Q1301" s="154">
        <f t="shared" si="105"/>
        <v>1</v>
      </c>
    </row>
    <row r="1302" spans="2:17">
      <c r="B1302" s="627">
        <f t="shared" si="107"/>
        <v>1297</v>
      </c>
      <c r="C1302" s="429">
        <v>43376</v>
      </c>
      <c r="D1302" s="816" t="s">
        <v>2774</v>
      </c>
      <c r="E1302" s="807">
        <v>141401</v>
      </c>
      <c r="F1302" s="629" t="str">
        <f>IFERROR(VLOOKUP(E1302,STAT1!$C$4:$D$1000,2,FALSE),"")</f>
        <v xml:space="preserve">ҮНЗардал БУСАД </v>
      </c>
      <c r="G1302" s="811">
        <v>771000</v>
      </c>
      <c r="H1302" s="811"/>
      <c r="I1302" s="580">
        <f t="shared" si="108"/>
        <v>0</v>
      </c>
      <c r="J1302" s="961">
        <f t="shared" si="109"/>
        <v>0</v>
      </c>
      <c r="K1302" s="80"/>
      <c r="L1302" s="807">
        <v>1003</v>
      </c>
      <c r="M1302" s="80" t="str">
        <f>+IFERROR(VLOOKUP(L1302,DATA!$G$4:$H$2000,2,FALSE),"")</f>
        <v>Бахдамдэмбэрэл</v>
      </c>
      <c r="N1302" s="807"/>
      <c r="O1302" s="80" t="str">
        <f>IFERROR(VLOOKUP(N1302,DATA!$K$4:$L$51,2,FALSE),"")</f>
        <v/>
      </c>
      <c r="P1302" s="80">
        <f t="shared" si="104"/>
        <v>0</v>
      </c>
      <c r="Q1302" s="154">
        <f t="shared" si="105"/>
        <v>0</v>
      </c>
    </row>
    <row r="1303" spans="2:17">
      <c r="B1303" s="627">
        <f t="shared" si="107"/>
        <v>1298</v>
      </c>
      <c r="C1303" s="429">
        <v>43376</v>
      </c>
      <c r="D1303" s="816" t="s">
        <v>2774</v>
      </c>
      <c r="E1303" s="807">
        <v>110100</v>
      </c>
      <c r="F1303" s="629" t="str">
        <f>IFERROR(VLOOKUP(E1303,STAT1!$C$4:$D$1000,2,FALSE),"")</f>
        <v>Хаан Банк 5024654020</v>
      </c>
      <c r="G1303" s="811"/>
      <c r="H1303" s="811">
        <v>20000</v>
      </c>
      <c r="I1303" s="580">
        <f t="shared" si="108"/>
        <v>-20000</v>
      </c>
      <c r="J1303" s="961">
        <f t="shared" si="109"/>
        <v>0</v>
      </c>
      <c r="K1303" s="80"/>
      <c r="L1303" s="807">
        <v>1003</v>
      </c>
      <c r="M1303" s="80" t="str">
        <f>+IFERROR(VLOOKUP(L1303,DATA!$G$4:$H$2000,2,FALSE),"")</f>
        <v>Бахдамдэмбэрэл</v>
      </c>
      <c r="N1303" s="807">
        <v>59</v>
      </c>
      <c r="O1303" s="80" t="str">
        <f>IFERROR(VLOOKUP(N1303,DATA!$K$4:$L$51,2,FALSE),"")</f>
        <v>Бусад мөнгөн зарлага</v>
      </c>
      <c r="P1303" s="80">
        <f t="shared" si="104"/>
        <v>1</v>
      </c>
      <c r="Q1303" s="154">
        <f t="shared" si="105"/>
        <v>1</v>
      </c>
    </row>
    <row r="1304" spans="2:17">
      <c r="B1304" s="627">
        <f t="shared" si="107"/>
        <v>1299</v>
      </c>
      <c r="C1304" s="429">
        <v>43376</v>
      </c>
      <c r="D1304" s="816" t="s">
        <v>2698</v>
      </c>
      <c r="E1304" s="807">
        <v>704900</v>
      </c>
      <c r="F1304" s="629" t="str">
        <f>IFERROR(VLOOKUP(E1304,STAT1!$C$4:$D$1000,2,FALSE),"")</f>
        <v>Банкны үйлчилгээ</v>
      </c>
      <c r="G1304" s="811">
        <v>20000</v>
      </c>
      <c r="H1304" s="811"/>
      <c r="I1304" s="580">
        <f t="shared" si="108"/>
        <v>0</v>
      </c>
      <c r="J1304" s="961">
        <f t="shared" si="109"/>
        <v>0</v>
      </c>
      <c r="K1304" s="80"/>
      <c r="L1304" s="807">
        <v>1003</v>
      </c>
      <c r="M1304" s="80" t="str">
        <f>+IFERROR(VLOOKUP(L1304,DATA!$G$4:$H$2000,2,FALSE),"")</f>
        <v>Бахдамдэмбэрэл</v>
      </c>
      <c r="N1304" s="807"/>
      <c r="O1304" s="80" t="str">
        <f>IFERROR(VLOOKUP(N1304,DATA!$K$4:$L$51,2,FALSE),"")</f>
        <v/>
      </c>
      <c r="P1304" s="80">
        <f t="shared" si="104"/>
        <v>0</v>
      </c>
      <c r="Q1304" s="154">
        <f t="shared" si="105"/>
        <v>0</v>
      </c>
    </row>
    <row r="1305" spans="2:17">
      <c r="B1305" s="627">
        <f t="shared" si="107"/>
        <v>1300</v>
      </c>
      <c r="C1305" s="429">
        <v>43376</v>
      </c>
      <c r="D1305" s="816" t="s">
        <v>2698</v>
      </c>
      <c r="E1305" s="807">
        <v>110100</v>
      </c>
      <c r="F1305" s="629" t="str">
        <f>IFERROR(VLOOKUP(E1305,STAT1!$C$4:$D$1000,2,FALSE),"")</f>
        <v>Хаан Банк 5024654020</v>
      </c>
      <c r="G1305" s="811"/>
      <c r="H1305" s="811">
        <v>71960</v>
      </c>
      <c r="I1305" s="580">
        <f t="shared" si="108"/>
        <v>-71960</v>
      </c>
      <c r="J1305" s="961">
        <f t="shared" si="109"/>
        <v>0</v>
      </c>
      <c r="K1305" s="80"/>
      <c r="L1305" s="807">
        <v>1003</v>
      </c>
      <c r="M1305" s="80" t="str">
        <f>+IFERROR(VLOOKUP(L1305,DATA!$G$4:$H$2000,2,FALSE),"")</f>
        <v>Бахдамдэмбэрэл</v>
      </c>
      <c r="N1305" s="807">
        <v>59</v>
      </c>
      <c r="O1305" s="80" t="str">
        <f>IFERROR(VLOOKUP(N1305,DATA!$K$4:$L$51,2,FALSE),"")</f>
        <v>Бусад мөнгөн зарлага</v>
      </c>
      <c r="P1305" s="80">
        <f t="shared" si="104"/>
        <v>1</v>
      </c>
      <c r="Q1305" s="154">
        <f t="shared" si="105"/>
        <v>1</v>
      </c>
    </row>
    <row r="1306" spans="2:17">
      <c r="B1306" s="627">
        <f t="shared" si="107"/>
        <v>1301</v>
      </c>
      <c r="C1306" s="429">
        <v>43376</v>
      </c>
      <c r="D1306" s="816" t="s">
        <v>2698</v>
      </c>
      <c r="E1306" s="807">
        <v>704900</v>
      </c>
      <c r="F1306" s="629" t="str">
        <f>IFERROR(VLOOKUP(E1306,STAT1!$C$4:$D$1000,2,FALSE),"")</f>
        <v>Банкны үйлчилгээ</v>
      </c>
      <c r="G1306" s="811">
        <v>71960</v>
      </c>
      <c r="H1306" s="811"/>
      <c r="I1306" s="580">
        <f t="shared" si="108"/>
        <v>0</v>
      </c>
      <c r="J1306" s="961">
        <f t="shared" si="109"/>
        <v>0</v>
      </c>
      <c r="K1306" s="80"/>
      <c r="L1306" s="807">
        <v>1003</v>
      </c>
      <c r="M1306" s="80" t="str">
        <f>+IFERROR(VLOOKUP(L1306,DATA!$G$4:$H$2000,2,FALSE),"")</f>
        <v>Бахдамдэмбэрэл</v>
      </c>
      <c r="N1306" s="807"/>
      <c r="O1306" s="80" t="str">
        <f>IFERROR(VLOOKUP(N1306,DATA!$K$4:$L$51,2,FALSE),"")</f>
        <v/>
      </c>
      <c r="P1306" s="80">
        <f t="shared" si="104"/>
        <v>0</v>
      </c>
      <c r="Q1306" s="154">
        <f t="shared" si="105"/>
        <v>0</v>
      </c>
    </row>
    <row r="1307" spans="2:17">
      <c r="B1307" s="627">
        <f t="shared" si="107"/>
        <v>1302</v>
      </c>
      <c r="C1307" s="582">
        <v>43376</v>
      </c>
      <c r="D1307" s="816" t="s">
        <v>1570</v>
      </c>
      <c r="E1307" s="807">
        <v>100100</v>
      </c>
      <c r="F1307" s="629" t="str">
        <f>IFERROR(VLOOKUP(E1307,STAT1!$C$4:$D$1000,2,FALSE),"")</f>
        <v>Касс мөнгө MNT</v>
      </c>
      <c r="G1307" s="376"/>
      <c r="H1307" s="376">
        <v>20000</v>
      </c>
      <c r="I1307" s="580">
        <f t="shared" si="108"/>
        <v>-20000</v>
      </c>
      <c r="J1307" s="961">
        <f t="shared" si="109"/>
        <v>0</v>
      </c>
      <c r="K1307" s="80"/>
      <c r="L1307" s="807">
        <v>1008</v>
      </c>
      <c r="M1307" s="80" t="str">
        <f>+IFERROR(VLOOKUP(L1307,DATA!$G$4:$H$2000,2,FALSE),"")</f>
        <v xml:space="preserve">Оюунтүлхүүр </v>
      </c>
      <c r="N1307" s="807">
        <v>55</v>
      </c>
      <c r="O1307" s="80" t="str">
        <f>IFERROR(VLOOKUP(N1307,DATA!$K$4:$L$51,2,FALSE),"")</f>
        <v>Түлш, шатахуун, тээврийн хөлс, сэлбэг хэрэгсэлд төлсөн</v>
      </c>
      <c r="P1307" s="80">
        <f t="shared" si="104"/>
        <v>1</v>
      </c>
      <c r="Q1307" s="154">
        <f t="shared" si="105"/>
        <v>1</v>
      </c>
    </row>
    <row r="1308" spans="2:17">
      <c r="B1308" s="627">
        <f t="shared" si="107"/>
        <v>1303</v>
      </c>
      <c r="C1308" s="582">
        <v>43376</v>
      </c>
      <c r="D1308" s="816" t="s">
        <v>1570</v>
      </c>
      <c r="E1308" s="807">
        <v>702000</v>
      </c>
      <c r="F1308" s="629" t="str">
        <f>IFERROR(VLOOKUP(E1308,STAT1!$C$4:$D$1000,2,FALSE),"")</f>
        <v>Түлш, шатахуун</v>
      </c>
      <c r="G1308" s="376">
        <v>20000</v>
      </c>
      <c r="H1308" s="376"/>
      <c r="I1308" s="580">
        <f t="shared" si="108"/>
        <v>0</v>
      </c>
      <c r="J1308" s="961">
        <f t="shared" si="109"/>
        <v>0</v>
      </c>
      <c r="K1308" s="80"/>
      <c r="L1308" s="807">
        <v>1008</v>
      </c>
      <c r="M1308" s="80" t="str">
        <f>+IFERROR(VLOOKUP(L1308,DATA!$G$4:$H$2000,2,FALSE),"")</f>
        <v xml:space="preserve">Оюунтүлхүүр </v>
      </c>
      <c r="N1308" s="630"/>
      <c r="O1308" s="80" t="str">
        <f>IFERROR(VLOOKUP(N1308,DATA!$K$4:$L$51,2,FALSE),"")</f>
        <v/>
      </c>
      <c r="P1308" s="80">
        <f t="shared" si="104"/>
        <v>0</v>
      </c>
      <c r="Q1308" s="154">
        <f t="shared" si="105"/>
        <v>0</v>
      </c>
    </row>
    <row r="1309" spans="2:17">
      <c r="B1309" s="627">
        <f t="shared" si="107"/>
        <v>1304</v>
      </c>
      <c r="C1309" s="582">
        <v>43376</v>
      </c>
      <c r="D1309" s="816" t="s">
        <v>1570</v>
      </c>
      <c r="E1309" s="807">
        <v>100100</v>
      </c>
      <c r="F1309" s="629" t="str">
        <f>IFERROR(VLOOKUP(E1309,STAT1!$C$4:$D$1000,2,FALSE),"")</f>
        <v>Касс мөнгө MNT</v>
      </c>
      <c r="G1309" s="376"/>
      <c r="H1309" s="376">
        <v>10000</v>
      </c>
      <c r="I1309" s="580">
        <f t="shared" si="108"/>
        <v>-10000</v>
      </c>
      <c r="J1309" s="961">
        <f t="shared" si="109"/>
        <v>0</v>
      </c>
      <c r="K1309" s="80"/>
      <c r="L1309" s="807">
        <v>1008</v>
      </c>
      <c r="M1309" s="80" t="str">
        <f>+IFERROR(VLOOKUP(L1309,DATA!$G$4:$H$2000,2,FALSE),"")</f>
        <v xml:space="preserve">Оюунтүлхүүр </v>
      </c>
      <c r="N1309" s="807">
        <v>55</v>
      </c>
      <c r="O1309" s="80" t="str">
        <f>IFERROR(VLOOKUP(N1309,DATA!$K$4:$L$51,2,FALSE),"")</f>
        <v>Түлш, шатахуун, тээврийн хөлс, сэлбэг хэрэгсэлд төлсөн</v>
      </c>
      <c r="P1309" s="80">
        <f t="shared" si="104"/>
        <v>1</v>
      </c>
      <c r="Q1309" s="154">
        <f t="shared" si="105"/>
        <v>1</v>
      </c>
    </row>
    <row r="1310" spans="2:17">
      <c r="B1310" s="627">
        <f t="shared" si="107"/>
        <v>1305</v>
      </c>
      <c r="C1310" s="582">
        <v>43376</v>
      </c>
      <c r="D1310" s="816" t="s">
        <v>1570</v>
      </c>
      <c r="E1310" s="807">
        <v>702000</v>
      </c>
      <c r="F1310" s="629" t="str">
        <f>IFERROR(VLOOKUP(E1310,STAT1!$C$4:$D$1000,2,FALSE),"")</f>
        <v>Түлш, шатахуун</v>
      </c>
      <c r="G1310" s="376">
        <v>10000</v>
      </c>
      <c r="H1310" s="376"/>
      <c r="I1310" s="580">
        <f t="shared" si="108"/>
        <v>0</v>
      </c>
      <c r="J1310" s="961">
        <f t="shared" si="109"/>
        <v>0</v>
      </c>
      <c r="K1310" s="80"/>
      <c r="L1310" s="807">
        <v>1008</v>
      </c>
      <c r="M1310" s="80" t="str">
        <f>+IFERROR(VLOOKUP(L1310,DATA!$G$4:$H$2000,2,FALSE),"")</f>
        <v xml:space="preserve">Оюунтүлхүүр </v>
      </c>
      <c r="N1310" s="630"/>
      <c r="O1310" s="80" t="str">
        <f>IFERROR(VLOOKUP(N1310,DATA!$K$4:$L$51,2,FALSE),"")</f>
        <v/>
      </c>
      <c r="P1310" s="80">
        <f t="shared" si="104"/>
        <v>0</v>
      </c>
      <c r="Q1310" s="154">
        <f t="shared" si="105"/>
        <v>0</v>
      </c>
    </row>
    <row r="1311" spans="2:17">
      <c r="B1311" s="627">
        <f t="shared" si="107"/>
        <v>1306</v>
      </c>
      <c r="C1311" s="429">
        <v>43376</v>
      </c>
      <c r="D1311" s="816" t="s">
        <v>2776</v>
      </c>
      <c r="E1311" s="807">
        <v>100100</v>
      </c>
      <c r="F1311" s="629" t="str">
        <f>IFERROR(VLOOKUP(E1311,STAT1!$C$4:$D$1000,2,FALSE),"")</f>
        <v>Касс мөнгө MNT</v>
      </c>
      <c r="G1311" s="811"/>
      <c r="H1311" s="811">
        <v>3000000</v>
      </c>
      <c r="I1311" s="580">
        <f t="shared" si="108"/>
        <v>-3000000</v>
      </c>
      <c r="J1311" s="961">
        <f t="shared" si="109"/>
        <v>0</v>
      </c>
      <c r="K1311" s="80"/>
      <c r="L1311" s="807">
        <v>2002</v>
      </c>
      <c r="M1311" s="80" t="str">
        <f>+IFERROR(VLOOKUP(L1311,DATA!$G$4:$H$2000,2,FALSE),"")</f>
        <v xml:space="preserve">ХУД-н ЭМНД ХЭЛТЭС </v>
      </c>
      <c r="N1311" s="807">
        <v>52</v>
      </c>
      <c r="O1311" s="80" t="str">
        <f>IFERROR(VLOOKUP(N1311,DATA!$K$4:$L$51,2,FALSE),"")</f>
        <v>Нийгмийн даатгалын байгууллагад төлсөн</v>
      </c>
      <c r="P1311" s="80">
        <f t="shared" si="104"/>
        <v>1</v>
      </c>
      <c r="Q1311" s="154">
        <f t="shared" si="105"/>
        <v>1</v>
      </c>
    </row>
    <row r="1312" spans="2:17">
      <c r="B1312" s="627">
        <f t="shared" si="107"/>
        <v>1307</v>
      </c>
      <c r="C1312" s="429">
        <v>43376</v>
      </c>
      <c r="D1312" s="816" t="s">
        <v>2776</v>
      </c>
      <c r="E1312" s="807">
        <v>120900</v>
      </c>
      <c r="F1312" s="629" t="str">
        <f>IFERROR(VLOOKUP(E1312,STAT1!$C$4:$D$1000,2,FALSE),"")</f>
        <v>НД-ын байгууллагаас авах авлага</v>
      </c>
      <c r="G1312" s="811">
        <v>3000000</v>
      </c>
      <c r="H1312" s="811"/>
      <c r="I1312" s="580">
        <f t="shared" si="108"/>
        <v>0</v>
      </c>
      <c r="J1312" s="961">
        <f t="shared" si="109"/>
        <v>0</v>
      </c>
      <c r="K1312" s="80"/>
      <c r="L1312" s="807">
        <v>2002</v>
      </c>
      <c r="M1312" s="80" t="str">
        <f>+IFERROR(VLOOKUP(L1312,DATA!$G$4:$H$2000,2,FALSE),"")</f>
        <v xml:space="preserve">ХУД-н ЭМНД ХЭЛТЭС </v>
      </c>
      <c r="N1312" s="807"/>
      <c r="O1312" s="80" t="str">
        <f>IFERROR(VLOOKUP(N1312,DATA!$K$4:$L$51,2,FALSE),"")</f>
        <v/>
      </c>
      <c r="P1312" s="80">
        <f t="shared" si="104"/>
        <v>0</v>
      </c>
      <c r="Q1312" s="154">
        <f t="shared" si="105"/>
        <v>0</v>
      </c>
    </row>
    <row r="1313" spans="2:17">
      <c r="B1313" s="627">
        <f t="shared" si="107"/>
        <v>1308</v>
      </c>
      <c r="C1313" s="429">
        <v>43376</v>
      </c>
      <c r="D1313" s="816" t="s">
        <v>2778</v>
      </c>
      <c r="E1313" s="807">
        <v>100100</v>
      </c>
      <c r="F1313" s="629" t="str">
        <f>IFERROR(VLOOKUP(E1313,STAT1!$C$4:$D$1000,2,FALSE),"")</f>
        <v>Касс мөнгө MNT</v>
      </c>
      <c r="G1313" s="811"/>
      <c r="H1313" s="811">
        <v>17815058</v>
      </c>
      <c r="I1313" s="580">
        <f t="shared" si="108"/>
        <v>-17815058</v>
      </c>
      <c r="J1313" s="961">
        <f t="shared" si="109"/>
        <v>0</v>
      </c>
      <c r="K1313" s="80"/>
      <c r="L1313" s="807">
        <v>3083</v>
      </c>
      <c r="M1313" s="80" t="str">
        <f>+IFERROR(VLOOKUP(L1313,DATA!$G$4:$H$2000,2,FALSE),"")</f>
        <v xml:space="preserve">БЧГ ХХК </v>
      </c>
      <c r="N1313" s="807">
        <v>54</v>
      </c>
      <c r="O1313" s="80" t="str">
        <f>IFERROR(VLOOKUP(N1313,DATA!$K$4:$L$51,2,FALSE),"")</f>
        <v>Ашиглалтын зардалд төлсөн</v>
      </c>
      <c r="P1313" s="80">
        <f t="shared" si="104"/>
        <v>1</v>
      </c>
      <c r="Q1313" s="154">
        <f t="shared" si="105"/>
        <v>1</v>
      </c>
    </row>
    <row r="1314" spans="2:17">
      <c r="B1314" s="627">
        <f t="shared" si="107"/>
        <v>1309</v>
      </c>
      <c r="C1314" s="429">
        <v>43376</v>
      </c>
      <c r="D1314" s="816" t="s">
        <v>2778</v>
      </c>
      <c r="E1314" s="807">
        <v>120600</v>
      </c>
      <c r="F1314" s="629" t="str">
        <f>IFERROR(VLOOKUP(E1314,STAT1!$C$4:$D$1000,2,FALSE),"")</f>
        <v>НӨАТ авлага</v>
      </c>
      <c r="G1314" s="811">
        <v>1619550.64</v>
      </c>
      <c r="H1314" s="811"/>
      <c r="I1314" s="580">
        <f t="shared" si="108"/>
        <v>0</v>
      </c>
      <c r="J1314" s="961">
        <f t="shared" si="109"/>
        <v>0</v>
      </c>
      <c r="K1314" s="80"/>
      <c r="L1314" s="807">
        <v>3083</v>
      </c>
      <c r="M1314" s="80" t="str">
        <f>+IFERROR(VLOOKUP(L1314,DATA!$G$4:$H$2000,2,FALSE),"")</f>
        <v xml:space="preserve">БЧГ ХХК </v>
      </c>
      <c r="N1314" s="807"/>
      <c r="O1314" s="80"/>
      <c r="P1314" s="80"/>
    </row>
    <row r="1315" spans="2:17">
      <c r="B1315" s="627">
        <f t="shared" si="107"/>
        <v>1310</v>
      </c>
      <c r="C1315" s="429">
        <v>43376</v>
      </c>
      <c r="D1315" s="816" t="s">
        <v>2778</v>
      </c>
      <c r="E1315" s="807">
        <v>701500</v>
      </c>
      <c r="F1315" s="629" t="str">
        <f>IFERROR(VLOOKUP(E1315,STAT1!$C$4:$D$1000,2,FALSE),"")</f>
        <v>Урсгал засварын зардал</v>
      </c>
      <c r="G1315" s="811">
        <f>17815058-1619550.64</f>
        <v>16195507.359999999</v>
      </c>
      <c r="H1315" s="811"/>
      <c r="I1315" s="580">
        <f t="shared" si="108"/>
        <v>0</v>
      </c>
      <c r="J1315" s="961">
        <f t="shared" si="109"/>
        <v>0</v>
      </c>
      <c r="K1315" s="80"/>
      <c r="L1315" s="807">
        <v>3083</v>
      </c>
      <c r="M1315" s="80" t="str">
        <f>+IFERROR(VLOOKUP(L1315,DATA!$G$4:$H$2000,2,FALSE),"")</f>
        <v xml:space="preserve">БЧГ ХХК </v>
      </c>
      <c r="N1315" s="807"/>
      <c r="O1315" s="80" t="str">
        <f>IFERROR(VLOOKUP(N1315,DATA!$K$4:$L$51,2,FALSE),"")</f>
        <v/>
      </c>
      <c r="P1315" s="80">
        <f t="shared" ref="P1315:P1346" si="110">+IF(I1315,1,0)</f>
        <v>0</v>
      </c>
      <c r="Q1315" s="154">
        <f t="shared" ref="Q1315:Q1346" si="111">+IF(I1315,1,0)</f>
        <v>0</v>
      </c>
    </row>
    <row r="1316" spans="2:17">
      <c r="B1316" s="627">
        <f t="shared" si="107"/>
        <v>1311</v>
      </c>
      <c r="C1316" s="429">
        <v>43378</v>
      </c>
      <c r="D1316" s="816" t="s">
        <v>1331</v>
      </c>
      <c r="E1316" s="630">
        <v>110100</v>
      </c>
      <c r="F1316" s="629" t="str">
        <f>IFERROR(VLOOKUP(E1316,STAT1!$C$4:$D$1000,2,FALSE),"")</f>
        <v>Хаан Банк 5024654020</v>
      </c>
      <c r="G1316" s="376"/>
      <c r="H1316" s="376">
        <v>37450</v>
      </c>
      <c r="I1316" s="580">
        <f t="shared" si="108"/>
        <v>-37450</v>
      </c>
      <c r="J1316" s="961">
        <f t="shared" si="109"/>
        <v>0</v>
      </c>
      <c r="K1316" s="80"/>
      <c r="L1316" s="630">
        <v>2006</v>
      </c>
      <c r="M1316" s="80" t="str">
        <f>+IFERROR(VLOOKUP(L1316,DATA!$G$4:$H$2000,2,FALSE),"")</f>
        <v xml:space="preserve">МЦХОЛБОО </v>
      </c>
      <c r="N1316" s="630">
        <v>59</v>
      </c>
      <c r="O1316" s="80" t="str">
        <f>IFERROR(VLOOKUP(N1316,DATA!$K$4:$L$51,2,FALSE),"")</f>
        <v>Бусад мөнгөн зарлага</v>
      </c>
      <c r="P1316" s="80">
        <f t="shared" si="110"/>
        <v>1</v>
      </c>
      <c r="Q1316" s="154">
        <f t="shared" si="111"/>
        <v>1</v>
      </c>
    </row>
    <row r="1317" spans="2:17">
      <c r="B1317" s="627">
        <f t="shared" si="107"/>
        <v>1312</v>
      </c>
      <c r="C1317" s="429">
        <v>43378</v>
      </c>
      <c r="D1317" s="816" t="s">
        <v>1331</v>
      </c>
      <c r="E1317" s="630">
        <v>120600</v>
      </c>
      <c r="F1317" s="629" t="str">
        <f>IFERROR(VLOOKUP(E1317,STAT1!$C$4:$D$1000,2,FALSE),"")</f>
        <v>НӨАТ авлага</v>
      </c>
      <c r="G1317" s="376">
        <v>3404.55</v>
      </c>
      <c r="H1317" s="376"/>
      <c r="I1317" s="580">
        <f t="shared" si="108"/>
        <v>0</v>
      </c>
      <c r="J1317" s="961">
        <f t="shared" si="109"/>
        <v>0</v>
      </c>
      <c r="K1317" s="80"/>
      <c r="L1317" s="630">
        <v>2006</v>
      </c>
      <c r="M1317" s="80" t="str">
        <f>+IFERROR(VLOOKUP(L1317,DATA!$G$4:$H$2000,2,FALSE),"")</f>
        <v xml:space="preserve">МЦХОЛБОО </v>
      </c>
      <c r="N1317" s="630"/>
      <c r="O1317" s="80" t="str">
        <f>IFERROR(VLOOKUP(N1317,DATA!$K$4:$L$51,2,FALSE),"")</f>
        <v/>
      </c>
      <c r="P1317" s="80">
        <f t="shared" si="110"/>
        <v>0</v>
      </c>
      <c r="Q1317" s="154">
        <f t="shared" si="111"/>
        <v>0</v>
      </c>
    </row>
    <row r="1318" spans="2:17">
      <c r="B1318" s="627">
        <f t="shared" si="107"/>
        <v>1313</v>
      </c>
      <c r="C1318" s="429">
        <v>43378</v>
      </c>
      <c r="D1318" s="816" t="s">
        <v>1331</v>
      </c>
      <c r="E1318" s="630">
        <v>701900</v>
      </c>
      <c r="F1318" s="629" t="str">
        <f>IFERROR(VLOOKUP(E1318,STAT1!$C$4:$D$1000,2,FALSE),"")</f>
        <v>Харилцаа холбоо</v>
      </c>
      <c r="G1318" s="376">
        <f>37450-3404.55</f>
        <v>34045.449999999997</v>
      </c>
      <c r="H1318" s="376"/>
      <c r="I1318" s="580">
        <f t="shared" si="108"/>
        <v>0</v>
      </c>
      <c r="J1318" s="961">
        <f t="shared" si="109"/>
        <v>0</v>
      </c>
      <c r="K1318" s="80"/>
      <c r="L1318" s="630">
        <v>2006</v>
      </c>
      <c r="M1318" s="80" t="str">
        <f>+IFERROR(VLOOKUP(L1318,DATA!$G$4:$H$2000,2,FALSE),"")</f>
        <v xml:space="preserve">МЦХОЛБОО </v>
      </c>
      <c r="N1318" s="630"/>
      <c r="O1318" s="80" t="str">
        <f>IFERROR(VLOOKUP(N1318,DATA!$K$4:$L$51,2,FALSE),"")</f>
        <v/>
      </c>
      <c r="P1318" s="80">
        <f t="shared" si="110"/>
        <v>0</v>
      </c>
      <c r="Q1318" s="154">
        <f t="shared" si="111"/>
        <v>0</v>
      </c>
    </row>
    <row r="1319" spans="2:17">
      <c r="B1319" s="627">
        <f t="shared" si="107"/>
        <v>1314</v>
      </c>
      <c r="C1319" s="582">
        <v>43378</v>
      </c>
      <c r="D1319" s="815" t="s">
        <v>2377</v>
      </c>
      <c r="E1319" s="630">
        <v>100100</v>
      </c>
      <c r="F1319" s="629" t="str">
        <f>IFERROR(VLOOKUP(E1319,STAT1!$C$4:$D$1000,2,FALSE),"")</f>
        <v>Касс мөнгө MNT</v>
      </c>
      <c r="G1319" s="376"/>
      <c r="H1319" s="376">
        <v>178000</v>
      </c>
      <c r="I1319" s="580">
        <f t="shared" si="108"/>
        <v>-178000</v>
      </c>
      <c r="J1319" s="961">
        <f t="shared" si="109"/>
        <v>0</v>
      </c>
      <c r="K1319" s="80"/>
      <c r="L1319" s="630">
        <v>1005</v>
      </c>
      <c r="M1319" s="80" t="str">
        <f>+IFERROR(VLOOKUP(L1319,DATA!$G$4:$H$2000,2,FALSE),"")</f>
        <v>Золжаргал</v>
      </c>
      <c r="N1319" s="630">
        <v>59</v>
      </c>
      <c r="O1319" s="80" t="str">
        <f>IFERROR(VLOOKUP(N1319,DATA!$K$4:$L$51,2,FALSE),"")</f>
        <v>Бусад мөнгөн зарлага</v>
      </c>
      <c r="P1319" s="80">
        <f t="shared" si="110"/>
        <v>1</v>
      </c>
      <c r="Q1319" s="154">
        <f t="shared" si="111"/>
        <v>1</v>
      </c>
    </row>
    <row r="1320" spans="2:17">
      <c r="B1320" s="627">
        <f t="shared" si="107"/>
        <v>1315</v>
      </c>
      <c r="C1320" s="582">
        <v>43378</v>
      </c>
      <c r="D1320" s="815" t="s">
        <v>2377</v>
      </c>
      <c r="E1320" s="630">
        <v>120600</v>
      </c>
      <c r="F1320" s="629" t="str">
        <f>IFERROR(VLOOKUP(E1320,STAT1!$C$4:$D$1000,2,FALSE),"")</f>
        <v>НӨАТ авлага</v>
      </c>
      <c r="G1320" s="376">
        <v>15909.09</v>
      </c>
      <c r="H1320" s="376"/>
      <c r="I1320" s="580">
        <f t="shared" si="108"/>
        <v>0</v>
      </c>
      <c r="J1320" s="961">
        <f t="shared" si="109"/>
        <v>0</v>
      </c>
      <c r="K1320" s="80"/>
      <c r="L1320" s="630">
        <v>1005</v>
      </c>
      <c r="M1320" s="80" t="str">
        <f>+IFERROR(VLOOKUP(L1320,DATA!$G$4:$H$2000,2,FALSE),"")</f>
        <v>Золжаргал</v>
      </c>
      <c r="N1320" s="630"/>
      <c r="O1320" s="80" t="str">
        <f>IFERROR(VLOOKUP(N1320,DATA!$K$4:$L$51,2,FALSE),"")</f>
        <v/>
      </c>
      <c r="P1320" s="80">
        <f t="shared" si="110"/>
        <v>0</v>
      </c>
      <c r="Q1320" s="154">
        <f t="shared" si="111"/>
        <v>0</v>
      </c>
    </row>
    <row r="1321" spans="2:17">
      <c r="B1321" s="627">
        <f t="shared" si="107"/>
        <v>1316</v>
      </c>
      <c r="C1321" s="582">
        <v>43378</v>
      </c>
      <c r="D1321" s="815" t="s">
        <v>2377</v>
      </c>
      <c r="E1321" s="807">
        <v>701900</v>
      </c>
      <c r="F1321" s="629" t="str">
        <f>IFERROR(VLOOKUP(E1321,STAT1!$C$4:$D$1000,2,FALSE),"")</f>
        <v>Харилцаа холбоо</v>
      </c>
      <c r="G1321" s="811">
        <f>178000-15909.09</f>
        <v>162090.91</v>
      </c>
      <c r="H1321" s="811"/>
      <c r="I1321" s="580">
        <f t="shared" si="108"/>
        <v>0</v>
      </c>
      <c r="J1321" s="961">
        <f t="shared" si="109"/>
        <v>0</v>
      </c>
      <c r="K1321" s="80"/>
      <c r="L1321" s="630">
        <v>1005</v>
      </c>
      <c r="M1321" s="80" t="str">
        <f>+IFERROR(VLOOKUP(L1321,DATA!$G$4:$H$2000,2,FALSE),"")</f>
        <v>Золжаргал</v>
      </c>
      <c r="N1321" s="807"/>
      <c r="O1321" s="80" t="str">
        <f>IFERROR(VLOOKUP(N1321,DATA!$K$4:$L$51,2,FALSE),"")</f>
        <v/>
      </c>
      <c r="P1321" s="80">
        <f t="shared" si="110"/>
        <v>0</v>
      </c>
      <c r="Q1321" s="154">
        <f t="shared" si="111"/>
        <v>0</v>
      </c>
    </row>
    <row r="1322" spans="2:17">
      <c r="B1322" s="627">
        <f t="shared" si="107"/>
        <v>1317</v>
      </c>
      <c r="C1322" s="429">
        <v>43378</v>
      </c>
      <c r="D1322" s="816" t="s">
        <v>2780</v>
      </c>
      <c r="E1322" s="807">
        <v>100100</v>
      </c>
      <c r="F1322" s="629" t="str">
        <f>IFERROR(VLOOKUP(E1322,STAT1!$C$4:$D$1000,2,FALSE),"")</f>
        <v>Касс мөнгө MNT</v>
      </c>
      <c r="G1322" s="811"/>
      <c r="H1322" s="811">
        <v>3075600</v>
      </c>
      <c r="I1322" s="580">
        <f t="shared" si="108"/>
        <v>-3075600</v>
      </c>
      <c r="J1322" s="961">
        <f>+IF(E1322=110200,I1322/K1322,0)</f>
        <v>0</v>
      </c>
      <c r="K1322" s="80"/>
      <c r="L1322" s="807">
        <v>1005</v>
      </c>
      <c r="M1322" s="80" t="str">
        <f>+IFERROR(VLOOKUP(L1322,DATA!$G$4:$H$2000,2,FALSE),"")</f>
        <v>Золжаргал</v>
      </c>
      <c r="N1322" s="807">
        <v>53</v>
      </c>
      <c r="O1322" s="80" t="str">
        <f>IFERROR(VLOOKUP(N1322,DATA!$K$4:$L$51,2,FALSE),"")</f>
        <v>Бараа материал худалдан авахад төлсөн</v>
      </c>
      <c r="P1322" s="80">
        <f t="shared" si="110"/>
        <v>1</v>
      </c>
      <c r="Q1322" s="154">
        <f t="shared" si="111"/>
        <v>1</v>
      </c>
    </row>
    <row r="1323" spans="2:17">
      <c r="B1323" s="627">
        <f t="shared" si="107"/>
        <v>1318</v>
      </c>
      <c r="C1323" s="429">
        <v>43378</v>
      </c>
      <c r="D1323" s="816" t="s">
        <v>2780</v>
      </c>
      <c r="E1323" s="807">
        <v>121200</v>
      </c>
      <c r="F1323" s="629" t="str">
        <f>IFERROR(VLOOKUP(E1323,STAT1!$C$4:$D$1000,2,FALSE),"")</f>
        <v xml:space="preserve">Ажилчидын дараа тайлангийн тооцоо </v>
      </c>
      <c r="G1323" s="811">
        <v>3075600</v>
      </c>
      <c r="H1323" s="811"/>
      <c r="I1323" s="580">
        <f t="shared" si="108"/>
        <v>0</v>
      </c>
      <c r="J1323" s="961">
        <f>+IF(E1323=110200,I1323/K1323,0)</f>
        <v>0</v>
      </c>
      <c r="K1323" s="80"/>
      <c r="L1323" s="807">
        <v>1005</v>
      </c>
      <c r="M1323" s="80" t="str">
        <f>+IFERROR(VLOOKUP(L1323,DATA!$G$4:$H$2000,2,FALSE),"")</f>
        <v>Золжаргал</v>
      </c>
      <c r="N1323" s="807"/>
      <c r="O1323" s="80" t="str">
        <f>IFERROR(VLOOKUP(N1323,DATA!$K$4:$L$51,2,FALSE),"")</f>
        <v/>
      </c>
      <c r="P1323" s="80">
        <f t="shared" si="110"/>
        <v>0</v>
      </c>
      <c r="Q1323" s="154">
        <f t="shared" si="111"/>
        <v>0</v>
      </c>
    </row>
    <row r="1324" spans="2:17">
      <c r="B1324" s="627">
        <f t="shared" si="107"/>
        <v>1319</v>
      </c>
      <c r="C1324" s="429">
        <v>43379</v>
      </c>
      <c r="D1324" s="816" t="s">
        <v>1570</v>
      </c>
      <c r="E1324" s="807">
        <v>100100</v>
      </c>
      <c r="F1324" s="629" t="str">
        <f>IFERROR(VLOOKUP(E1324,STAT1!$C$4:$D$1000,2,FALSE),"")</f>
        <v>Касс мөнгө MNT</v>
      </c>
      <c r="G1324" s="811"/>
      <c r="H1324" s="811">
        <v>50000</v>
      </c>
      <c r="I1324" s="580">
        <f t="shared" si="108"/>
        <v>-50000</v>
      </c>
      <c r="J1324" s="961">
        <f>+IF(E1324=110102,I1324/K1324,0)</f>
        <v>0</v>
      </c>
      <c r="K1324" s="80"/>
      <c r="L1324" s="807">
        <v>1008</v>
      </c>
      <c r="M1324" s="80" t="str">
        <f>+IFERROR(VLOOKUP(L1324,DATA!$G$4:$H$2000,2,FALSE),"")</f>
        <v xml:space="preserve">Оюунтүлхүүр </v>
      </c>
      <c r="N1324" s="807">
        <v>55</v>
      </c>
      <c r="O1324" s="80" t="str">
        <f>IFERROR(VLOOKUP(N1324,DATA!$K$4:$L$51,2,FALSE),"")</f>
        <v>Түлш, шатахуун, тээврийн хөлс, сэлбэг хэрэгсэлд төлсөн</v>
      </c>
      <c r="P1324" s="80">
        <f t="shared" si="110"/>
        <v>1</v>
      </c>
      <c r="Q1324" s="154">
        <f t="shared" si="111"/>
        <v>1</v>
      </c>
    </row>
    <row r="1325" spans="2:17">
      <c r="B1325" s="627">
        <f t="shared" si="107"/>
        <v>1320</v>
      </c>
      <c r="C1325" s="429">
        <v>43379</v>
      </c>
      <c r="D1325" s="816" t="s">
        <v>1570</v>
      </c>
      <c r="E1325" s="807">
        <v>702000</v>
      </c>
      <c r="F1325" s="629" t="str">
        <f>IFERROR(VLOOKUP(E1325,STAT1!$C$4:$D$1000,2,FALSE),"")</f>
        <v>Түлш, шатахуун</v>
      </c>
      <c r="G1325" s="811">
        <v>50000</v>
      </c>
      <c r="H1325" s="811"/>
      <c r="I1325" s="580">
        <f t="shared" si="108"/>
        <v>0</v>
      </c>
      <c r="J1325" s="961">
        <f>+IF(E1325=110102,I1325/K1325,0)</f>
        <v>0</v>
      </c>
      <c r="K1325" s="80"/>
      <c r="L1325" s="807">
        <v>1008</v>
      </c>
      <c r="M1325" s="80" t="str">
        <f>+IFERROR(VLOOKUP(L1325,DATA!$G$4:$H$2000,2,FALSE),"")</f>
        <v xml:space="preserve">Оюунтүлхүүр </v>
      </c>
      <c r="N1325" s="807"/>
      <c r="O1325" s="80" t="str">
        <f>IFERROR(VLOOKUP(N1325,DATA!$K$4:$L$51,2,FALSE),"")</f>
        <v/>
      </c>
      <c r="P1325" s="80">
        <f t="shared" si="110"/>
        <v>0</v>
      </c>
      <c r="Q1325" s="154">
        <f t="shared" si="111"/>
        <v>0</v>
      </c>
    </row>
    <row r="1326" spans="2:17">
      <c r="B1326" s="627">
        <f t="shared" si="107"/>
        <v>1321</v>
      </c>
      <c r="C1326" s="429">
        <v>43382</v>
      </c>
      <c r="D1326" s="816" t="s">
        <v>1570</v>
      </c>
      <c r="E1326" s="807">
        <v>100100</v>
      </c>
      <c r="F1326" s="629" t="str">
        <f>IFERROR(VLOOKUP(E1326,STAT1!$C$4:$D$1000,2,FALSE),"")</f>
        <v>Касс мөнгө MNT</v>
      </c>
      <c r="G1326" s="811"/>
      <c r="H1326" s="811">
        <v>130000</v>
      </c>
      <c r="I1326" s="580">
        <f t="shared" si="108"/>
        <v>-130000</v>
      </c>
      <c r="J1326" s="961">
        <f>+IF(E1326=110102,I1326/K1326,0)</f>
        <v>0</v>
      </c>
      <c r="K1326" s="379"/>
      <c r="L1326" s="807">
        <v>1008</v>
      </c>
      <c r="M1326" s="80" t="str">
        <f>+IFERROR(VLOOKUP(L1326,DATA!$G$4:$H$2000,2,FALSE),"")</f>
        <v xml:space="preserve">Оюунтүлхүүр </v>
      </c>
      <c r="N1326" s="807">
        <v>55</v>
      </c>
      <c r="O1326" s="80" t="str">
        <f>IFERROR(VLOOKUP(N1326,DATA!$K$4:$L$51,2,FALSE),"")</f>
        <v>Түлш, шатахуун, тээврийн хөлс, сэлбэг хэрэгсэлд төлсөн</v>
      </c>
      <c r="P1326" s="80">
        <f t="shared" si="110"/>
        <v>1</v>
      </c>
      <c r="Q1326" s="154">
        <f t="shared" si="111"/>
        <v>1</v>
      </c>
    </row>
    <row r="1327" spans="2:17">
      <c r="B1327" s="627">
        <f t="shared" si="107"/>
        <v>1322</v>
      </c>
      <c r="C1327" s="429">
        <v>43382</v>
      </c>
      <c r="D1327" s="816" t="s">
        <v>1570</v>
      </c>
      <c r="E1327" s="807">
        <v>702000</v>
      </c>
      <c r="F1327" s="629" t="str">
        <f>IFERROR(VLOOKUP(E1327,STAT1!$C$4:$D$1000,2,FALSE),"")</f>
        <v>Түлш, шатахуун</v>
      </c>
      <c r="G1327" s="811">
        <v>130000</v>
      </c>
      <c r="H1327" s="811"/>
      <c r="I1327" s="580">
        <f t="shared" si="108"/>
        <v>0</v>
      </c>
      <c r="J1327" s="961">
        <f>+IF(E1327=110102,I1327/K1327,0)</f>
        <v>0</v>
      </c>
      <c r="K1327" s="379"/>
      <c r="L1327" s="807">
        <v>1008</v>
      </c>
      <c r="M1327" s="80" t="str">
        <f>+IFERROR(VLOOKUP(L1327,DATA!$G$4:$H$2000,2,FALSE),"")</f>
        <v xml:space="preserve">Оюунтүлхүүр </v>
      </c>
      <c r="N1327" s="807"/>
      <c r="O1327" s="80" t="str">
        <f>IFERROR(VLOOKUP(N1327,DATA!$K$4:$L$51,2,FALSE),"")</f>
        <v/>
      </c>
      <c r="P1327" s="80">
        <f t="shared" si="110"/>
        <v>0</v>
      </c>
      <c r="Q1327" s="154">
        <f t="shared" si="111"/>
        <v>0</v>
      </c>
    </row>
    <row r="1328" spans="2:17">
      <c r="B1328" s="627">
        <f t="shared" si="107"/>
        <v>1323</v>
      </c>
      <c r="C1328" s="429">
        <v>43382</v>
      </c>
      <c r="D1328" s="816" t="s">
        <v>2793</v>
      </c>
      <c r="E1328" s="807">
        <v>100100</v>
      </c>
      <c r="F1328" s="629" t="str">
        <f>IFERROR(VLOOKUP(E1328,STAT1!$C$4:$D$1000,2,FALSE),"")</f>
        <v>Касс мөнгө MNT</v>
      </c>
      <c r="G1328" s="811"/>
      <c r="H1328" s="811">
        <v>54121.58</v>
      </c>
      <c r="I1328" s="580">
        <f t="shared" si="108"/>
        <v>-54121.58</v>
      </c>
      <c r="J1328" s="961">
        <f>+IF(E1328=110200,I1328/K1328,0)</f>
        <v>0</v>
      </c>
      <c r="K1328" s="80"/>
      <c r="L1328" s="807">
        <v>1005</v>
      </c>
      <c r="M1328" s="80" t="str">
        <f>+IFERROR(VLOOKUP(L1328,DATA!$G$4:$H$2000,2,FALSE),"")</f>
        <v>Золжаргал</v>
      </c>
      <c r="N1328" s="807">
        <v>53</v>
      </c>
      <c r="O1328" s="80" t="str">
        <f>IFERROR(VLOOKUP(N1328,DATA!$K$4:$L$51,2,FALSE),"")</f>
        <v>Бараа материал худалдан авахад төлсөн</v>
      </c>
      <c r="P1328" s="80">
        <f t="shared" si="110"/>
        <v>1</v>
      </c>
      <c r="Q1328" s="154">
        <f t="shared" si="111"/>
        <v>1</v>
      </c>
    </row>
    <row r="1329" spans="2:17">
      <c r="B1329" s="627">
        <f t="shared" si="107"/>
        <v>1324</v>
      </c>
      <c r="C1329" s="429">
        <v>43382</v>
      </c>
      <c r="D1329" s="816" t="s">
        <v>2793</v>
      </c>
      <c r="E1329" s="807">
        <v>120600</v>
      </c>
      <c r="F1329" s="629" t="str">
        <f>IFERROR(VLOOKUP(E1329,STAT1!$C$4:$D$1000,2,FALSE),"")</f>
        <v>НӨАТ авлага</v>
      </c>
      <c r="G1329" s="811">
        <v>4920.1400000000003</v>
      </c>
      <c r="H1329" s="811"/>
      <c r="I1329" s="580">
        <f t="shared" si="108"/>
        <v>0</v>
      </c>
      <c r="J1329" s="961">
        <f>+IF(E1329=110200,I1329/K1329,0)</f>
        <v>0</v>
      </c>
      <c r="K1329" s="80"/>
      <c r="L1329" s="807">
        <v>1005</v>
      </c>
      <c r="M1329" s="80" t="str">
        <f>+IFERROR(VLOOKUP(L1329,DATA!$G$4:$H$2000,2,FALSE),"")</f>
        <v>Золжаргал</v>
      </c>
      <c r="N1329" s="807"/>
      <c r="O1329" s="80" t="str">
        <f>IFERROR(VLOOKUP(N1329,DATA!$K$4:$L$51,2,FALSE),"")</f>
        <v/>
      </c>
      <c r="P1329" s="80">
        <f t="shared" si="110"/>
        <v>0</v>
      </c>
      <c r="Q1329" s="154">
        <f t="shared" si="111"/>
        <v>0</v>
      </c>
    </row>
    <row r="1330" spans="2:17">
      <c r="B1330" s="627">
        <f t="shared" si="107"/>
        <v>1325</v>
      </c>
      <c r="C1330" s="429">
        <v>43382</v>
      </c>
      <c r="D1330" s="816" t="s">
        <v>2793</v>
      </c>
      <c r="E1330" s="807">
        <v>141401</v>
      </c>
      <c r="F1330" s="629" t="str">
        <f>IFERROR(VLOOKUP(E1330,STAT1!$C$4:$D$1000,2,FALSE),"")</f>
        <v xml:space="preserve">ҮНЗардал БУСАД </v>
      </c>
      <c r="G1330" s="811">
        <v>49201.440000000002</v>
      </c>
      <c r="H1330" s="811"/>
      <c r="I1330" s="580">
        <f t="shared" si="108"/>
        <v>0</v>
      </c>
      <c r="J1330" s="961">
        <f>+IF(E1330=110200,I1330/K1330,0)</f>
        <v>0</v>
      </c>
      <c r="K1330" s="80"/>
      <c r="L1330" s="807">
        <v>1005</v>
      </c>
      <c r="M1330" s="80" t="str">
        <f>+IFERROR(VLOOKUP(L1330,DATA!$G$4:$H$2000,2,FALSE),"")</f>
        <v>Золжаргал</v>
      </c>
      <c r="N1330" s="807"/>
      <c r="O1330" s="80" t="str">
        <f>IFERROR(VLOOKUP(N1330,DATA!$K$4:$L$51,2,FALSE),"")</f>
        <v/>
      </c>
      <c r="P1330" s="80">
        <f t="shared" si="110"/>
        <v>0</v>
      </c>
      <c r="Q1330" s="154">
        <f t="shared" si="111"/>
        <v>0</v>
      </c>
    </row>
    <row r="1331" spans="2:17">
      <c r="B1331" s="627">
        <f t="shared" si="107"/>
        <v>1326</v>
      </c>
      <c r="C1331" s="429">
        <v>43383</v>
      </c>
      <c r="D1331" s="816" t="s">
        <v>2775</v>
      </c>
      <c r="E1331" s="807">
        <v>110100</v>
      </c>
      <c r="F1331" s="629" t="str">
        <f>IFERROR(VLOOKUP(E1331,STAT1!$C$4:$D$1000,2,FALSE),"")</f>
        <v>Хаан Банк 5024654020</v>
      </c>
      <c r="G1331" s="811">
        <v>760928</v>
      </c>
      <c r="H1331" s="811"/>
      <c r="I1331" s="580">
        <f t="shared" si="108"/>
        <v>760928</v>
      </c>
      <c r="J1331" s="961">
        <f t="shared" ref="J1331:J1355" si="112">+IF(E1331=110102,I1331/K1331,0)</f>
        <v>0</v>
      </c>
      <c r="K1331" s="80"/>
      <c r="L1331" s="807">
        <v>1004</v>
      </c>
      <c r="M1331" s="80" t="str">
        <f>+IFERROR(VLOOKUP(L1331,DATA!$G$4:$H$2000,2,FALSE),"")</f>
        <v xml:space="preserve">Түмэндэлгэр </v>
      </c>
      <c r="N1331" s="807">
        <v>51</v>
      </c>
      <c r="O1331" s="80" t="str">
        <f>IFERROR(VLOOKUP(N1331,DATA!$K$4:$L$51,2,FALSE),"")</f>
        <v>Ажиллагчдад төлсөн</v>
      </c>
      <c r="P1331" s="80">
        <f t="shared" si="110"/>
        <v>1</v>
      </c>
      <c r="Q1331" s="154">
        <f t="shared" si="111"/>
        <v>1</v>
      </c>
    </row>
    <row r="1332" spans="2:17">
      <c r="B1332" s="627">
        <f t="shared" si="107"/>
        <v>1327</v>
      </c>
      <c r="C1332" s="429">
        <v>43383</v>
      </c>
      <c r="D1332" s="816" t="s">
        <v>2775</v>
      </c>
      <c r="E1332" s="807">
        <v>311000</v>
      </c>
      <c r="F1332" s="629" t="str">
        <f>IFERROR(VLOOKUP(E1332,STAT1!$C$4:$D$1000,2,FALSE),"")</f>
        <v>Цалингийн өглөг</v>
      </c>
      <c r="G1332" s="811"/>
      <c r="H1332" s="811">
        <v>760928</v>
      </c>
      <c r="I1332" s="580">
        <f t="shared" si="108"/>
        <v>0</v>
      </c>
      <c r="J1332" s="961">
        <f t="shared" si="112"/>
        <v>0</v>
      </c>
      <c r="K1332" s="80"/>
      <c r="L1332" s="807">
        <v>1004</v>
      </c>
      <c r="M1332" s="80" t="str">
        <f>+IFERROR(VLOOKUP(L1332,DATA!$G$4:$H$2000,2,FALSE),"")</f>
        <v xml:space="preserve">Түмэндэлгэр </v>
      </c>
      <c r="N1332" s="807"/>
      <c r="O1332" s="80" t="str">
        <f>IFERROR(VLOOKUP(N1332,DATA!$K$4:$L$51,2,FALSE),"")</f>
        <v/>
      </c>
      <c r="P1332" s="80">
        <f t="shared" si="110"/>
        <v>0</v>
      </c>
      <c r="Q1332" s="154">
        <f t="shared" si="111"/>
        <v>0</v>
      </c>
    </row>
    <row r="1333" spans="2:17">
      <c r="B1333" s="627">
        <f t="shared" si="107"/>
        <v>1328</v>
      </c>
      <c r="C1333" s="429">
        <v>43385</v>
      </c>
      <c r="D1333" s="816" t="s">
        <v>2375</v>
      </c>
      <c r="E1333" s="807">
        <v>100100</v>
      </c>
      <c r="F1333" s="629" t="str">
        <f>IFERROR(VLOOKUP(E1333,STAT1!$C$4:$D$1000,2,FALSE),"")</f>
        <v>Касс мөнгө MNT</v>
      </c>
      <c r="G1333" s="811"/>
      <c r="H1333" s="811">
        <v>2681679.0099999998</v>
      </c>
      <c r="I1333" s="580">
        <f t="shared" si="108"/>
        <v>-2681679.0099999998</v>
      </c>
      <c r="J1333" s="961">
        <f t="shared" si="112"/>
        <v>0</v>
      </c>
      <c r="K1333" s="80"/>
      <c r="L1333" s="807">
        <v>2004</v>
      </c>
      <c r="M1333" s="80" t="str">
        <f>+IFERROR(VLOOKUP(L1333,DATA!$G$4:$H$2000,2,FALSE),"")</f>
        <v xml:space="preserve">ДЦС-3 ТӨХК </v>
      </c>
      <c r="N1333" s="807">
        <v>54</v>
      </c>
      <c r="O1333" s="80" t="str">
        <f>IFERROR(VLOOKUP(N1333,DATA!$K$4:$L$51,2,FALSE),"")</f>
        <v>Ашиглалтын зардалд төлсөн</v>
      </c>
      <c r="P1333" s="80">
        <f t="shared" si="110"/>
        <v>1</v>
      </c>
      <c r="Q1333" s="154">
        <f t="shared" si="111"/>
        <v>1</v>
      </c>
    </row>
    <row r="1334" spans="2:17">
      <c r="B1334" s="627">
        <f t="shared" si="107"/>
        <v>1329</v>
      </c>
      <c r="C1334" s="429">
        <v>43385</v>
      </c>
      <c r="D1334" s="816" t="s">
        <v>2375</v>
      </c>
      <c r="E1334" s="807">
        <v>310100</v>
      </c>
      <c r="F1334" s="629" t="str">
        <f>IFERROR(VLOOKUP(E1334,STAT1!$C$4:$D$1000,2,FALSE),"")</f>
        <v>Дансны өглөг MNT</v>
      </c>
      <c r="G1334" s="811">
        <v>2681679.0099999998</v>
      </c>
      <c r="H1334" s="811"/>
      <c r="I1334" s="580">
        <f t="shared" si="108"/>
        <v>0</v>
      </c>
      <c r="J1334" s="961">
        <f t="shared" si="112"/>
        <v>0</v>
      </c>
      <c r="K1334" s="80"/>
      <c r="L1334" s="807">
        <v>2004</v>
      </c>
      <c r="M1334" s="80" t="str">
        <f>+IFERROR(VLOOKUP(L1334,DATA!$G$4:$H$2000,2,FALSE),"")</f>
        <v xml:space="preserve">ДЦС-3 ТӨХК </v>
      </c>
      <c r="N1334" s="807"/>
      <c r="O1334" s="80" t="str">
        <f>IFERROR(VLOOKUP(N1334,DATA!$K$4:$L$51,2,FALSE),"")</f>
        <v/>
      </c>
      <c r="P1334" s="80">
        <f t="shared" si="110"/>
        <v>0</v>
      </c>
      <c r="Q1334" s="154">
        <f t="shared" si="111"/>
        <v>0</v>
      </c>
    </row>
    <row r="1335" spans="2:17">
      <c r="B1335" s="627">
        <f t="shared" si="107"/>
        <v>1330</v>
      </c>
      <c r="C1335" s="429">
        <v>43386</v>
      </c>
      <c r="D1335" s="816" t="s">
        <v>1570</v>
      </c>
      <c r="E1335" s="807">
        <v>100100</v>
      </c>
      <c r="F1335" s="629" t="str">
        <f>IFERROR(VLOOKUP(E1335,STAT1!$C$4:$D$1000,2,FALSE),"")</f>
        <v>Касс мөнгө MNT</v>
      </c>
      <c r="G1335" s="811"/>
      <c r="H1335" s="811">
        <v>20000</v>
      </c>
      <c r="I1335" s="580">
        <f t="shared" si="108"/>
        <v>-20000</v>
      </c>
      <c r="J1335" s="961">
        <f t="shared" si="112"/>
        <v>0</v>
      </c>
      <c r="K1335" s="379"/>
      <c r="L1335" s="807">
        <v>1008</v>
      </c>
      <c r="M1335" s="80" t="str">
        <f>+IFERROR(VLOOKUP(L1335,DATA!$G$4:$H$2000,2,FALSE),"")</f>
        <v xml:space="preserve">Оюунтүлхүүр </v>
      </c>
      <c r="N1335" s="807">
        <v>55</v>
      </c>
      <c r="O1335" s="80" t="str">
        <f>IFERROR(VLOOKUP(N1335,DATA!$K$4:$L$51,2,FALSE),"")</f>
        <v>Түлш, шатахуун, тээврийн хөлс, сэлбэг хэрэгсэлд төлсөн</v>
      </c>
      <c r="P1335" s="80">
        <f t="shared" si="110"/>
        <v>1</v>
      </c>
      <c r="Q1335" s="154">
        <f t="shared" si="111"/>
        <v>1</v>
      </c>
    </row>
    <row r="1336" spans="2:17">
      <c r="B1336" s="627">
        <f t="shared" si="107"/>
        <v>1331</v>
      </c>
      <c r="C1336" s="429">
        <v>43386</v>
      </c>
      <c r="D1336" s="816" t="s">
        <v>1570</v>
      </c>
      <c r="E1336" s="807">
        <v>702000</v>
      </c>
      <c r="F1336" s="629" t="str">
        <f>IFERROR(VLOOKUP(E1336,STAT1!$C$4:$D$1000,2,FALSE),"")</f>
        <v>Түлш, шатахуун</v>
      </c>
      <c r="G1336" s="811">
        <v>20000</v>
      </c>
      <c r="H1336" s="811"/>
      <c r="I1336" s="580">
        <f t="shared" si="108"/>
        <v>0</v>
      </c>
      <c r="J1336" s="961">
        <f t="shared" si="112"/>
        <v>0</v>
      </c>
      <c r="K1336" s="379"/>
      <c r="L1336" s="807">
        <v>1008</v>
      </c>
      <c r="M1336" s="80" t="str">
        <f>+IFERROR(VLOOKUP(L1336,DATA!$G$4:$H$2000,2,FALSE),"")</f>
        <v xml:space="preserve">Оюунтүлхүүр </v>
      </c>
      <c r="N1336" s="807"/>
      <c r="O1336" s="80" t="str">
        <f>IFERROR(VLOOKUP(N1336,DATA!$K$4:$L$51,2,FALSE),"")</f>
        <v/>
      </c>
      <c r="P1336" s="80">
        <f t="shared" si="110"/>
        <v>0</v>
      </c>
      <c r="Q1336" s="154">
        <f t="shared" si="111"/>
        <v>0</v>
      </c>
    </row>
    <row r="1337" spans="2:17">
      <c r="B1337" s="627">
        <f t="shared" si="107"/>
        <v>1332</v>
      </c>
      <c r="C1337" s="429">
        <v>43388</v>
      </c>
      <c r="D1337" s="816" t="s">
        <v>2775</v>
      </c>
      <c r="E1337" s="807">
        <v>110100</v>
      </c>
      <c r="F1337" s="629" t="str">
        <f>IFERROR(VLOOKUP(E1337,STAT1!$C$4:$D$1000,2,FALSE),"")</f>
        <v>Хаан Банк 5024654020</v>
      </c>
      <c r="G1337" s="811"/>
      <c r="H1337" s="811">
        <v>760928</v>
      </c>
      <c r="I1337" s="580">
        <f t="shared" si="108"/>
        <v>-760928</v>
      </c>
      <c r="J1337" s="961">
        <f t="shared" si="112"/>
        <v>0</v>
      </c>
      <c r="K1337" s="80"/>
      <c r="L1337" s="807">
        <v>1004</v>
      </c>
      <c r="M1337" s="80" t="str">
        <f>+IFERROR(VLOOKUP(L1337,DATA!$G$4:$H$2000,2,FALSE),"")</f>
        <v xml:space="preserve">Түмэндэлгэр </v>
      </c>
      <c r="N1337" s="807">
        <v>51</v>
      </c>
      <c r="O1337" s="80" t="str">
        <f>IFERROR(VLOOKUP(N1337,DATA!$K$4:$L$51,2,FALSE),"")</f>
        <v>Ажиллагчдад төлсөн</v>
      </c>
      <c r="P1337" s="80">
        <f t="shared" si="110"/>
        <v>1</v>
      </c>
      <c r="Q1337" s="154">
        <f t="shared" si="111"/>
        <v>1</v>
      </c>
    </row>
    <row r="1338" spans="2:17">
      <c r="B1338" s="627">
        <f t="shared" si="107"/>
        <v>1333</v>
      </c>
      <c r="C1338" s="429">
        <v>43388</v>
      </c>
      <c r="D1338" s="816" t="s">
        <v>2775</v>
      </c>
      <c r="E1338" s="807">
        <v>311000</v>
      </c>
      <c r="F1338" s="629" t="str">
        <f>IFERROR(VLOOKUP(E1338,STAT1!$C$4:$D$1000,2,FALSE),"")</f>
        <v>Цалингийн өглөг</v>
      </c>
      <c r="G1338" s="811">
        <v>760928</v>
      </c>
      <c r="H1338" s="811"/>
      <c r="I1338" s="580">
        <f t="shared" si="108"/>
        <v>0</v>
      </c>
      <c r="J1338" s="961">
        <f t="shared" si="112"/>
        <v>0</v>
      </c>
      <c r="K1338" s="80"/>
      <c r="L1338" s="807">
        <v>1004</v>
      </c>
      <c r="M1338" s="80" t="str">
        <f>+IFERROR(VLOOKUP(L1338,DATA!$G$4:$H$2000,2,FALSE),"")</f>
        <v xml:space="preserve">Түмэндэлгэр </v>
      </c>
      <c r="N1338" s="807"/>
      <c r="O1338" s="80" t="str">
        <f>IFERROR(VLOOKUP(N1338,DATA!$K$4:$L$51,2,FALSE),"")</f>
        <v/>
      </c>
      <c r="P1338" s="80">
        <f t="shared" si="110"/>
        <v>0</v>
      </c>
      <c r="Q1338" s="154">
        <f t="shared" si="111"/>
        <v>0</v>
      </c>
    </row>
    <row r="1339" spans="2:17">
      <c r="B1339" s="627">
        <f t="shared" si="107"/>
        <v>1334</v>
      </c>
      <c r="C1339" s="429">
        <v>43391</v>
      </c>
      <c r="D1339" s="816" t="s">
        <v>1571</v>
      </c>
      <c r="E1339" s="807">
        <v>110100</v>
      </c>
      <c r="F1339" s="629" t="str">
        <f>IFERROR(VLOOKUP(E1339,STAT1!$C$4:$D$1000,2,FALSE),"")</f>
        <v>Хаан Банк 5024654020</v>
      </c>
      <c r="G1339" s="811">
        <v>50000000</v>
      </c>
      <c r="H1339" s="811"/>
      <c r="I1339" s="580">
        <f t="shared" si="108"/>
        <v>50000000</v>
      </c>
      <c r="J1339" s="961">
        <f t="shared" si="112"/>
        <v>0</v>
      </c>
      <c r="K1339" s="80"/>
      <c r="L1339" s="807">
        <v>3001</v>
      </c>
      <c r="M1339" s="80" t="str">
        <f>+IFERROR(VLOOKUP(L1339,DATA!$G$4:$H$2000,2,FALSE),"")</f>
        <v>ХУРД ГРУПП ХХК</v>
      </c>
      <c r="N1339" s="807">
        <v>41</v>
      </c>
      <c r="O1339" s="80" t="str">
        <f>IFERROR(VLOOKUP(N1339,DATA!$K$4:$L$51,2,FALSE),"")</f>
        <v>Бараа борлуулсан, үйлчилгээ үзүүлсэний орлого</v>
      </c>
      <c r="P1339" s="80">
        <f t="shared" si="110"/>
        <v>1</v>
      </c>
      <c r="Q1339" s="154">
        <f t="shared" si="111"/>
        <v>1</v>
      </c>
    </row>
    <row r="1340" spans="2:17">
      <c r="B1340" s="627">
        <f t="shared" si="107"/>
        <v>1335</v>
      </c>
      <c r="C1340" s="429">
        <v>43391</v>
      </c>
      <c r="D1340" s="816" t="s">
        <v>1571</v>
      </c>
      <c r="E1340" s="807">
        <v>320100</v>
      </c>
      <c r="F1340" s="629" t="str">
        <f>IFERROR(VLOOKUP(E1340,STAT1!$C$4:$D$1000,2,FALSE),"")</f>
        <v>Урьдчилж орсон орлого MNT</v>
      </c>
      <c r="G1340" s="811"/>
      <c r="H1340" s="811">
        <v>50000000</v>
      </c>
      <c r="I1340" s="580">
        <f t="shared" si="108"/>
        <v>0</v>
      </c>
      <c r="J1340" s="961">
        <f t="shared" si="112"/>
        <v>0</v>
      </c>
      <c r="K1340" s="80"/>
      <c r="L1340" s="807">
        <v>3001</v>
      </c>
      <c r="M1340" s="80" t="str">
        <f>+IFERROR(VLOOKUP(L1340,DATA!$G$4:$H$2000,2,FALSE),"")</f>
        <v>ХУРД ГРУПП ХХК</v>
      </c>
      <c r="N1340" s="807"/>
      <c r="O1340" s="80" t="str">
        <f>IFERROR(VLOOKUP(N1340,DATA!$K$4:$L$51,2,FALSE),"")</f>
        <v/>
      </c>
      <c r="P1340" s="80">
        <f t="shared" si="110"/>
        <v>0</v>
      </c>
      <c r="Q1340" s="154">
        <f t="shared" si="111"/>
        <v>0</v>
      </c>
    </row>
    <row r="1341" spans="2:17">
      <c r="B1341" s="627">
        <f t="shared" si="107"/>
        <v>1336</v>
      </c>
      <c r="C1341" s="429">
        <v>43391</v>
      </c>
      <c r="D1341" s="816" t="s">
        <v>1571</v>
      </c>
      <c r="E1341" s="807">
        <v>100100</v>
      </c>
      <c r="F1341" s="629" t="str">
        <f>IFERROR(VLOOKUP(E1341,STAT1!$C$4:$D$1000,2,FALSE),"")</f>
        <v>Касс мөнгө MNT</v>
      </c>
      <c r="G1341" s="811">
        <v>32856250</v>
      </c>
      <c r="H1341" s="811"/>
      <c r="I1341" s="580">
        <f t="shared" si="108"/>
        <v>32856250</v>
      </c>
      <c r="J1341" s="961">
        <f t="shared" si="112"/>
        <v>0</v>
      </c>
      <c r="K1341" s="80"/>
      <c r="L1341" s="807">
        <v>3001</v>
      </c>
      <c r="M1341" s="80" t="str">
        <f>+IFERROR(VLOOKUP(L1341,DATA!$G$4:$H$2000,2,FALSE),"")</f>
        <v>ХУРД ГРУПП ХХК</v>
      </c>
      <c r="N1341" s="807">
        <v>41</v>
      </c>
      <c r="O1341" s="80" t="str">
        <f>IFERROR(VLOOKUP(N1341,DATA!$K$4:$L$51,2,FALSE),"")</f>
        <v>Бараа борлуулсан, үйлчилгээ үзүүлсэний орлого</v>
      </c>
      <c r="P1341" s="80">
        <f t="shared" si="110"/>
        <v>1</v>
      </c>
      <c r="Q1341" s="154">
        <f t="shared" si="111"/>
        <v>1</v>
      </c>
    </row>
    <row r="1342" spans="2:17">
      <c r="B1342" s="627">
        <f t="shared" si="107"/>
        <v>1337</v>
      </c>
      <c r="C1342" s="429">
        <v>43391</v>
      </c>
      <c r="D1342" s="816" t="s">
        <v>1571</v>
      </c>
      <c r="E1342" s="807">
        <v>320100</v>
      </c>
      <c r="F1342" s="629" t="str">
        <f>IFERROR(VLOOKUP(E1342,STAT1!$C$4:$D$1000,2,FALSE),"")</f>
        <v>Урьдчилж орсон орлого MNT</v>
      </c>
      <c r="G1342" s="811"/>
      <c r="H1342" s="811">
        <v>32856250</v>
      </c>
      <c r="I1342" s="580">
        <f t="shared" si="108"/>
        <v>0</v>
      </c>
      <c r="J1342" s="961">
        <f t="shared" si="112"/>
        <v>0</v>
      </c>
      <c r="K1342" s="80"/>
      <c r="L1342" s="807">
        <v>3001</v>
      </c>
      <c r="M1342" s="80" t="str">
        <f>+IFERROR(VLOOKUP(L1342,DATA!$G$4:$H$2000,2,FALSE),"")</f>
        <v>ХУРД ГРУПП ХХК</v>
      </c>
      <c r="N1342" s="807"/>
      <c r="O1342" s="80" t="str">
        <f>IFERROR(VLOOKUP(N1342,DATA!$K$4:$L$51,2,FALSE),"")</f>
        <v/>
      </c>
      <c r="P1342" s="80">
        <f t="shared" si="110"/>
        <v>0</v>
      </c>
      <c r="Q1342" s="154">
        <f t="shared" si="111"/>
        <v>0</v>
      </c>
    </row>
    <row r="1343" spans="2:17">
      <c r="B1343" s="627">
        <f t="shared" si="107"/>
        <v>1338</v>
      </c>
      <c r="C1343" s="429">
        <v>43391</v>
      </c>
      <c r="D1343" s="816" t="s">
        <v>2777</v>
      </c>
      <c r="E1343" s="807">
        <v>100100</v>
      </c>
      <c r="F1343" s="629" t="str">
        <f>IFERROR(VLOOKUP(E1343,STAT1!$C$4:$D$1000,2,FALSE),"")</f>
        <v>Касс мөнгө MNT</v>
      </c>
      <c r="G1343" s="811"/>
      <c r="H1343" s="811">
        <v>50000</v>
      </c>
      <c r="I1343" s="580">
        <f t="shared" si="108"/>
        <v>-50000</v>
      </c>
      <c r="J1343" s="961">
        <f t="shared" si="112"/>
        <v>0</v>
      </c>
      <c r="K1343" s="80"/>
      <c r="L1343" s="807">
        <v>1005</v>
      </c>
      <c r="M1343" s="80" t="str">
        <f>+IFERROR(VLOOKUP(L1343,DATA!$G$4:$H$2000,2,FALSE),"")</f>
        <v>Золжаргал</v>
      </c>
      <c r="N1343" s="807">
        <v>55</v>
      </c>
      <c r="O1343" s="80" t="str">
        <f>IFERROR(VLOOKUP(N1343,DATA!$K$4:$L$51,2,FALSE),"")</f>
        <v>Түлш, шатахуун, тээврийн хөлс, сэлбэг хэрэгсэлд төлсөн</v>
      </c>
      <c r="P1343" s="80">
        <f t="shared" si="110"/>
        <v>1</v>
      </c>
      <c r="Q1343" s="154">
        <f t="shared" si="111"/>
        <v>1</v>
      </c>
    </row>
    <row r="1344" spans="2:17">
      <c r="B1344" s="627">
        <f t="shared" si="107"/>
        <v>1339</v>
      </c>
      <c r="C1344" s="429">
        <v>43391</v>
      </c>
      <c r="D1344" s="816" t="s">
        <v>2777</v>
      </c>
      <c r="E1344" s="807">
        <v>120600</v>
      </c>
      <c r="F1344" s="629" t="str">
        <f>IFERROR(VLOOKUP(E1344,STAT1!$C$4:$D$1000,2,FALSE),"")</f>
        <v>НӨАТ авлага</v>
      </c>
      <c r="G1344" s="811">
        <v>4545.45</v>
      </c>
      <c r="H1344" s="811"/>
      <c r="I1344" s="580">
        <f t="shared" si="108"/>
        <v>0</v>
      </c>
      <c r="J1344" s="961">
        <f t="shared" si="112"/>
        <v>0</v>
      </c>
      <c r="K1344" s="80"/>
      <c r="L1344" s="807">
        <v>1005</v>
      </c>
      <c r="M1344" s="80" t="str">
        <f>+IFERROR(VLOOKUP(L1344,DATA!$G$4:$H$2000,2,FALSE),"")</f>
        <v>Золжаргал</v>
      </c>
      <c r="N1344" s="807"/>
      <c r="O1344" s="80" t="str">
        <f>IFERROR(VLOOKUP(N1344,DATA!$K$4:$L$51,2,FALSE),"")</f>
        <v/>
      </c>
      <c r="P1344" s="80">
        <f t="shared" si="110"/>
        <v>0</v>
      </c>
      <c r="Q1344" s="154">
        <f t="shared" si="111"/>
        <v>0</v>
      </c>
    </row>
    <row r="1345" spans="2:17">
      <c r="B1345" s="627">
        <f t="shared" si="107"/>
        <v>1340</v>
      </c>
      <c r="C1345" s="429">
        <v>43391</v>
      </c>
      <c r="D1345" s="816" t="s">
        <v>2777</v>
      </c>
      <c r="E1345" s="807">
        <v>702100</v>
      </c>
      <c r="F1345" s="629" t="str">
        <f>IFERROR(VLOOKUP(E1345,STAT1!$C$4:$D$1000,2,FALSE),"")</f>
        <v>Тослох материал</v>
      </c>
      <c r="G1345" s="811">
        <f>50000-4545.45</f>
        <v>45454.55</v>
      </c>
      <c r="H1345" s="811"/>
      <c r="I1345" s="580">
        <f t="shared" si="108"/>
        <v>0</v>
      </c>
      <c r="J1345" s="961">
        <f t="shared" si="112"/>
        <v>0</v>
      </c>
      <c r="K1345" s="80"/>
      <c r="L1345" s="807">
        <v>1005</v>
      </c>
      <c r="M1345" s="80" t="str">
        <f>+IFERROR(VLOOKUP(L1345,DATA!$G$4:$H$2000,2,FALSE),"")</f>
        <v>Золжаргал</v>
      </c>
      <c r="N1345" s="807"/>
      <c r="O1345" s="80" t="str">
        <f>IFERROR(VLOOKUP(N1345,DATA!$K$4:$L$51,2,FALSE),"")</f>
        <v/>
      </c>
      <c r="P1345" s="80">
        <f t="shared" si="110"/>
        <v>0</v>
      </c>
      <c r="Q1345" s="154">
        <f t="shared" si="111"/>
        <v>0</v>
      </c>
    </row>
    <row r="1346" spans="2:17">
      <c r="B1346" s="627">
        <f t="shared" si="107"/>
        <v>1341</v>
      </c>
      <c r="C1346" s="429">
        <v>43391</v>
      </c>
      <c r="D1346" s="816" t="s">
        <v>1570</v>
      </c>
      <c r="E1346" s="807">
        <v>100100</v>
      </c>
      <c r="F1346" s="629" t="str">
        <f>IFERROR(VLOOKUP(E1346,STAT1!$C$4:$D$1000,2,FALSE),"")</f>
        <v>Касс мөнгө MNT</v>
      </c>
      <c r="G1346" s="811"/>
      <c r="H1346" s="811">
        <v>20000</v>
      </c>
      <c r="I1346" s="580">
        <f t="shared" si="108"/>
        <v>-20000</v>
      </c>
      <c r="J1346" s="961">
        <f t="shared" si="112"/>
        <v>0</v>
      </c>
      <c r="K1346" s="80"/>
      <c r="L1346" s="807">
        <v>1008</v>
      </c>
      <c r="M1346" s="80" t="str">
        <f>+IFERROR(VLOOKUP(L1346,DATA!$G$4:$H$2000,2,FALSE),"")</f>
        <v xml:space="preserve">Оюунтүлхүүр </v>
      </c>
      <c r="N1346" s="807">
        <v>55</v>
      </c>
      <c r="O1346" s="80" t="str">
        <f>IFERROR(VLOOKUP(N1346,DATA!$K$4:$L$51,2,FALSE),"")</f>
        <v>Түлш, шатахуун, тээврийн хөлс, сэлбэг хэрэгсэлд төлсөн</v>
      </c>
      <c r="P1346" s="80">
        <f t="shared" si="110"/>
        <v>1</v>
      </c>
      <c r="Q1346" s="154">
        <f t="shared" si="111"/>
        <v>1</v>
      </c>
    </row>
    <row r="1347" spans="2:17">
      <c r="B1347" s="627">
        <f t="shared" si="107"/>
        <v>1342</v>
      </c>
      <c r="C1347" s="429">
        <v>43391</v>
      </c>
      <c r="D1347" s="816" t="s">
        <v>1570</v>
      </c>
      <c r="E1347" s="807">
        <v>702000</v>
      </c>
      <c r="F1347" s="629" t="str">
        <f>IFERROR(VLOOKUP(E1347,STAT1!$C$4:$D$1000,2,FALSE),"")</f>
        <v>Түлш, шатахуун</v>
      </c>
      <c r="G1347" s="811">
        <v>20000</v>
      </c>
      <c r="H1347" s="811"/>
      <c r="I1347" s="580">
        <f t="shared" si="108"/>
        <v>0</v>
      </c>
      <c r="J1347" s="961">
        <f t="shared" si="112"/>
        <v>0</v>
      </c>
      <c r="K1347" s="379"/>
      <c r="L1347" s="807">
        <v>1008</v>
      </c>
      <c r="M1347" s="80" t="str">
        <f>+IFERROR(VLOOKUP(L1347,DATA!$G$4:$H$2000,2,FALSE),"")</f>
        <v xml:space="preserve">Оюунтүлхүүр </v>
      </c>
      <c r="N1347" s="807"/>
      <c r="O1347" s="80" t="str">
        <f>IFERROR(VLOOKUP(N1347,DATA!$K$4:$L$51,2,FALSE),"")</f>
        <v/>
      </c>
      <c r="P1347" s="80">
        <f t="shared" ref="P1347:P1378" si="113">+IF(I1347,1,0)</f>
        <v>0</v>
      </c>
      <c r="Q1347" s="154">
        <f t="shared" ref="Q1347:Q1378" si="114">+IF(I1347,1,0)</f>
        <v>0</v>
      </c>
    </row>
    <row r="1348" spans="2:17">
      <c r="B1348" s="627">
        <f t="shared" si="107"/>
        <v>1343</v>
      </c>
      <c r="C1348" s="429">
        <v>43392</v>
      </c>
      <c r="D1348" s="816" t="s">
        <v>2649</v>
      </c>
      <c r="E1348" s="807">
        <v>110100</v>
      </c>
      <c r="F1348" s="629" t="str">
        <f>IFERROR(VLOOKUP(E1348,STAT1!$C$4:$D$1000,2,FALSE),"")</f>
        <v>Хаан Банк 5024654020</v>
      </c>
      <c r="G1348" s="811"/>
      <c r="H1348" s="811">
        <v>50000000</v>
      </c>
      <c r="I1348" s="580">
        <f t="shared" si="108"/>
        <v>-50000000</v>
      </c>
      <c r="J1348" s="961">
        <f t="shared" si="112"/>
        <v>0</v>
      </c>
      <c r="K1348" s="80"/>
      <c r="L1348" s="807">
        <v>1004</v>
      </c>
      <c r="M1348" s="80" t="str">
        <f>+IFERROR(VLOOKUP(L1348,DATA!$G$4:$H$2000,2,FALSE),"")</f>
        <v xml:space="preserve">Түмэндэлгэр </v>
      </c>
      <c r="N1348" s="807"/>
      <c r="O1348" s="80" t="str">
        <f>IFERROR(VLOOKUP(N1348,DATA!$K$4:$L$51,2,FALSE),"")</f>
        <v/>
      </c>
      <c r="P1348" s="80">
        <f t="shared" si="113"/>
        <v>1</v>
      </c>
      <c r="Q1348" s="154">
        <f t="shared" si="114"/>
        <v>1</v>
      </c>
    </row>
    <row r="1349" spans="2:17">
      <c r="B1349" s="627">
        <f t="shared" ref="B1349:B1412" si="115">+IF(C1349="","",ROW()-5)</f>
        <v>1344</v>
      </c>
      <c r="C1349" s="429">
        <v>43392</v>
      </c>
      <c r="D1349" s="816" t="s">
        <v>2649</v>
      </c>
      <c r="E1349" s="807">
        <v>100100</v>
      </c>
      <c r="F1349" s="629" t="str">
        <f>IFERROR(VLOOKUP(E1349,STAT1!$C$4:$D$1000,2,FALSE),"")</f>
        <v>Касс мөнгө MNT</v>
      </c>
      <c r="G1349" s="811">
        <v>50000000</v>
      </c>
      <c r="H1349" s="811"/>
      <c r="I1349" s="580">
        <f t="shared" si="108"/>
        <v>50000000</v>
      </c>
      <c r="J1349" s="961">
        <f t="shared" si="112"/>
        <v>0</v>
      </c>
      <c r="K1349" s="80"/>
      <c r="L1349" s="807">
        <v>1004</v>
      </c>
      <c r="M1349" s="80" t="str">
        <f>+IFERROR(VLOOKUP(L1349,DATA!$G$4:$H$2000,2,FALSE),"")</f>
        <v xml:space="preserve">Түмэндэлгэр </v>
      </c>
      <c r="N1349" s="807"/>
      <c r="O1349" s="80" t="str">
        <f>IFERROR(VLOOKUP(N1349,DATA!$K$4:$L$51,2,FALSE),"")</f>
        <v/>
      </c>
      <c r="P1349" s="80">
        <f t="shared" si="113"/>
        <v>1</v>
      </c>
      <c r="Q1349" s="154">
        <f t="shared" si="114"/>
        <v>1</v>
      </c>
    </row>
    <row r="1350" spans="2:17">
      <c r="B1350" s="627">
        <f t="shared" si="115"/>
        <v>1345</v>
      </c>
      <c r="C1350" s="429">
        <v>43392</v>
      </c>
      <c r="D1350" s="816" t="s">
        <v>2776</v>
      </c>
      <c r="E1350" s="807">
        <v>100100</v>
      </c>
      <c r="F1350" s="629" t="str">
        <f>IFERROR(VLOOKUP(E1350,STAT1!$C$4:$D$1000,2,FALSE),"")</f>
        <v>Касс мөнгө MNT</v>
      </c>
      <c r="G1350" s="811"/>
      <c r="H1350" s="811">
        <v>2000000</v>
      </c>
      <c r="I1350" s="580">
        <f t="shared" si="108"/>
        <v>-2000000</v>
      </c>
      <c r="J1350" s="961">
        <f t="shared" si="112"/>
        <v>0</v>
      </c>
      <c r="K1350" s="80"/>
      <c r="L1350" s="807">
        <v>2002</v>
      </c>
      <c r="M1350" s="80" t="str">
        <f>+IFERROR(VLOOKUP(L1350,DATA!$G$4:$H$2000,2,FALSE),"")</f>
        <v xml:space="preserve">ХУД-н ЭМНД ХЭЛТЭС </v>
      </c>
      <c r="N1350" s="807">
        <v>52</v>
      </c>
      <c r="O1350" s="80" t="str">
        <f>IFERROR(VLOOKUP(N1350,DATA!$K$4:$L$51,2,FALSE),"")</f>
        <v>Нийгмийн даатгалын байгууллагад төлсөн</v>
      </c>
      <c r="P1350" s="80">
        <f t="shared" si="113"/>
        <v>1</v>
      </c>
      <c r="Q1350" s="154">
        <f t="shared" si="114"/>
        <v>1</v>
      </c>
    </row>
    <row r="1351" spans="2:17">
      <c r="B1351" s="627">
        <f t="shared" si="115"/>
        <v>1346</v>
      </c>
      <c r="C1351" s="429">
        <v>43392</v>
      </c>
      <c r="D1351" s="816" t="s">
        <v>2776</v>
      </c>
      <c r="E1351" s="807">
        <v>120900</v>
      </c>
      <c r="F1351" s="629" t="str">
        <f>IFERROR(VLOOKUP(E1351,STAT1!$C$4:$D$1000,2,FALSE),"")</f>
        <v>НД-ын байгууллагаас авах авлага</v>
      </c>
      <c r="G1351" s="811">
        <v>2000000</v>
      </c>
      <c r="H1351" s="811"/>
      <c r="I1351" s="580">
        <f t="shared" si="108"/>
        <v>0</v>
      </c>
      <c r="J1351" s="961">
        <f t="shared" si="112"/>
        <v>0</v>
      </c>
      <c r="K1351" s="80"/>
      <c r="L1351" s="807">
        <v>2002</v>
      </c>
      <c r="M1351" s="80" t="str">
        <f>+IFERROR(VLOOKUP(L1351,DATA!$G$4:$H$2000,2,FALSE),"")</f>
        <v xml:space="preserve">ХУД-н ЭМНД ХЭЛТЭС </v>
      </c>
      <c r="N1351" s="807"/>
      <c r="O1351" s="80" t="str">
        <f>IFERROR(VLOOKUP(N1351,DATA!$K$4:$L$51,2,FALSE),"")</f>
        <v/>
      </c>
      <c r="P1351" s="80">
        <f t="shared" si="113"/>
        <v>0</v>
      </c>
      <c r="Q1351" s="154">
        <f t="shared" si="114"/>
        <v>0</v>
      </c>
    </row>
    <row r="1352" spans="2:17">
      <c r="B1352" s="627">
        <f t="shared" si="115"/>
        <v>1347</v>
      </c>
      <c r="C1352" s="429">
        <v>43392</v>
      </c>
      <c r="D1352" s="816" t="s">
        <v>2375</v>
      </c>
      <c r="E1352" s="807">
        <v>100100</v>
      </c>
      <c r="F1352" s="629" t="str">
        <f>IFERROR(VLOOKUP(E1352,STAT1!$C$4:$D$1000,2,FALSE),"")</f>
        <v>Касс мөнгө MNT</v>
      </c>
      <c r="G1352" s="811"/>
      <c r="H1352" s="811">
        <v>2502894.9</v>
      </c>
      <c r="I1352" s="580">
        <f t="shared" si="108"/>
        <v>-2502894.9</v>
      </c>
      <c r="J1352" s="961">
        <f t="shared" si="112"/>
        <v>0</v>
      </c>
      <c r="K1352" s="80"/>
      <c r="L1352" s="807">
        <v>2004</v>
      </c>
      <c r="M1352" s="80" t="str">
        <f>+IFERROR(VLOOKUP(L1352,DATA!$G$4:$H$2000,2,FALSE),"")</f>
        <v xml:space="preserve">ДЦС-3 ТӨХК </v>
      </c>
      <c r="N1352" s="807">
        <v>54</v>
      </c>
      <c r="O1352" s="80" t="str">
        <f>IFERROR(VLOOKUP(N1352,DATA!$K$4:$L$51,2,FALSE),"")</f>
        <v>Ашиглалтын зардалд төлсөн</v>
      </c>
      <c r="P1352" s="80">
        <f t="shared" si="113"/>
        <v>1</v>
      </c>
      <c r="Q1352" s="154">
        <f t="shared" si="114"/>
        <v>1</v>
      </c>
    </row>
    <row r="1353" spans="2:17">
      <c r="B1353" s="627">
        <f t="shared" si="115"/>
        <v>1348</v>
      </c>
      <c r="C1353" s="429">
        <v>43392</v>
      </c>
      <c r="D1353" s="816" t="s">
        <v>2375</v>
      </c>
      <c r="E1353" s="807">
        <v>310100</v>
      </c>
      <c r="F1353" s="629" t="str">
        <f>IFERROR(VLOOKUP(E1353,STAT1!$C$4:$D$1000,2,FALSE),"")</f>
        <v>Дансны өглөг MNT</v>
      </c>
      <c r="G1353" s="811">
        <v>2502894.9</v>
      </c>
      <c r="H1353" s="811"/>
      <c r="I1353" s="580">
        <f t="shared" si="108"/>
        <v>0</v>
      </c>
      <c r="J1353" s="961">
        <f t="shared" si="112"/>
        <v>0</v>
      </c>
      <c r="K1353" s="80"/>
      <c r="L1353" s="807">
        <v>2004</v>
      </c>
      <c r="M1353" s="80" t="str">
        <f>+IFERROR(VLOOKUP(L1353,DATA!$G$4:$H$2000,2,FALSE),"")</f>
        <v xml:space="preserve">ДЦС-3 ТӨХК </v>
      </c>
      <c r="N1353" s="807"/>
      <c r="O1353" s="80" t="str">
        <f>IFERROR(VLOOKUP(N1353,DATA!$K$4:$L$51,2,FALSE),"")</f>
        <v/>
      </c>
      <c r="P1353" s="80">
        <f t="shared" si="113"/>
        <v>0</v>
      </c>
      <c r="Q1353" s="154">
        <f t="shared" si="114"/>
        <v>0</v>
      </c>
    </row>
    <row r="1354" spans="2:17">
      <c r="B1354" s="627">
        <f t="shared" si="115"/>
        <v>1349</v>
      </c>
      <c r="C1354" s="429">
        <v>43392</v>
      </c>
      <c r="D1354" s="816" t="s">
        <v>1570</v>
      </c>
      <c r="E1354" s="807">
        <v>100100</v>
      </c>
      <c r="F1354" s="629" t="str">
        <f>IFERROR(VLOOKUP(E1354,STAT1!$C$4:$D$1000,2,FALSE),"")</f>
        <v>Касс мөнгө MNT</v>
      </c>
      <c r="G1354" s="376"/>
      <c r="H1354" s="376">
        <v>20000</v>
      </c>
      <c r="I1354" s="580">
        <f t="shared" si="108"/>
        <v>-20000</v>
      </c>
      <c r="J1354" s="961">
        <f t="shared" si="112"/>
        <v>0</v>
      </c>
      <c r="K1354" s="80"/>
      <c r="L1354" s="807">
        <v>1008</v>
      </c>
      <c r="M1354" s="80" t="str">
        <f>+IFERROR(VLOOKUP(L1354,DATA!$G$4:$H$2000,2,FALSE),"")</f>
        <v xml:space="preserve">Оюунтүлхүүр </v>
      </c>
      <c r="N1354" s="807">
        <v>55</v>
      </c>
      <c r="O1354" s="80" t="str">
        <f>IFERROR(VLOOKUP(N1354,DATA!$K$4:$L$51,2,FALSE),"")</f>
        <v>Түлш, шатахуун, тээврийн хөлс, сэлбэг хэрэгсэлд төлсөн</v>
      </c>
      <c r="P1354" s="80">
        <f t="shared" si="113"/>
        <v>1</v>
      </c>
      <c r="Q1354" s="154">
        <f t="shared" si="114"/>
        <v>1</v>
      </c>
    </row>
    <row r="1355" spans="2:17">
      <c r="B1355" s="627">
        <f t="shared" si="115"/>
        <v>1350</v>
      </c>
      <c r="C1355" s="429">
        <v>43392</v>
      </c>
      <c r="D1355" s="816" t="s">
        <v>1570</v>
      </c>
      <c r="E1355" s="807">
        <v>702000</v>
      </c>
      <c r="F1355" s="629" t="str">
        <f>IFERROR(VLOOKUP(E1355,STAT1!$C$4:$D$1000,2,FALSE),"")</f>
        <v>Түлш, шатахуун</v>
      </c>
      <c r="G1355" s="376">
        <v>20000</v>
      </c>
      <c r="H1355" s="376"/>
      <c r="I1355" s="580">
        <f t="shared" si="108"/>
        <v>0</v>
      </c>
      <c r="J1355" s="961">
        <f t="shared" si="112"/>
        <v>0</v>
      </c>
      <c r="K1355" s="80"/>
      <c r="L1355" s="807">
        <v>1008</v>
      </c>
      <c r="M1355" s="80" t="str">
        <f>+IFERROR(VLOOKUP(L1355,DATA!$G$4:$H$2000,2,FALSE),"")</f>
        <v xml:space="preserve">Оюунтүлхүүр </v>
      </c>
      <c r="N1355" s="630"/>
      <c r="O1355" s="80" t="str">
        <f>IFERROR(VLOOKUP(N1355,DATA!$K$4:$L$51,2,FALSE),"")</f>
        <v/>
      </c>
      <c r="P1355" s="80">
        <f t="shared" si="113"/>
        <v>0</v>
      </c>
      <c r="Q1355" s="154">
        <f t="shared" si="114"/>
        <v>0</v>
      </c>
    </row>
    <row r="1356" spans="2:17">
      <c r="B1356" s="627">
        <f t="shared" si="115"/>
        <v>1351</v>
      </c>
      <c r="C1356" s="429">
        <v>43392</v>
      </c>
      <c r="D1356" s="816" t="s">
        <v>2781</v>
      </c>
      <c r="E1356" s="807">
        <v>100100</v>
      </c>
      <c r="F1356" s="629" t="str">
        <f>IFERROR(VLOOKUP(E1356,STAT1!$C$4:$D$1000,2,FALSE),"")</f>
        <v>Касс мөнгө MNT</v>
      </c>
      <c r="G1356" s="811"/>
      <c r="H1356" s="811">
        <v>92500</v>
      </c>
      <c r="I1356" s="580">
        <f t="shared" si="108"/>
        <v>-92500</v>
      </c>
      <c r="J1356" s="961">
        <f>+IF(E1356=110200,I1356/K1356,0)</f>
        <v>0</v>
      </c>
      <c r="K1356" s="80"/>
      <c r="L1356" s="807">
        <v>1008</v>
      </c>
      <c r="M1356" s="80" t="str">
        <f>+IFERROR(VLOOKUP(L1356,DATA!$G$4:$H$2000,2,FALSE),"")</f>
        <v xml:space="preserve">Оюунтүлхүүр </v>
      </c>
      <c r="N1356" s="807">
        <v>53</v>
      </c>
      <c r="O1356" s="80" t="str">
        <f>IFERROR(VLOOKUP(N1356,DATA!$K$4:$L$51,2,FALSE),"")</f>
        <v>Бараа материал худалдан авахад төлсөн</v>
      </c>
      <c r="P1356" s="80">
        <f t="shared" si="113"/>
        <v>1</v>
      </c>
      <c r="Q1356" s="154">
        <f t="shared" si="114"/>
        <v>1</v>
      </c>
    </row>
    <row r="1357" spans="2:17">
      <c r="B1357" s="627">
        <f t="shared" si="115"/>
        <v>1352</v>
      </c>
      <c r="C1357" s="429">
        <v>43392</v>
      </c>
      <c r="D1357" s="816" t="s">
        <v>2781</v>
      </c>
      <c r="E1357" s="807">
        <v>121200</v>
      </c>
      <c r="F1357" s="629" t="str">
        <f>IFERROR(VLOOKUP(E1357,STAT1!$C$4:$D$1000,2,FALSE),"")</f>
        <v xml:space="preserve">Ажилчидын дараа тайлангийн тооцоо </v>
      </c>
      <c r="G1357" s="811">
        <v>92500</v>
      </c>
      <c r="H1357" s="811"/>
      <c r="I1357" s="580">
        <f t="shared" si="108"/>
        <v>0</v>
      </c>
      <c r="J1357" s="961">
        <f>+IF(E1357=110200,I1357/K1357,0)</f>
        <v>0</v>
      </c>
      <c r="K1357" s="80"/>
      <c r="L1357" s="807">
        <v>1008</v>
      </c>
      <c r="M1357" s="80" t="str">
        <f>+IFERROR(VLOOKUP(L1357,DATA!$G$4:$H$2000,2,FALSE),"")</f>
        <v xml:space="preserve">Оюунтүлхүүр </v>
      </c>
      <c r="N1357" s="807"/>
      <c r="O1357" s="80" t="str">
        <f>IFERROR(VLOOKUP(N1357,DATA!$K$4:$L$51,2,FALSE),"")</f>
        <v/>
      </c>
      <c r="P1357" s="80">
        <f t="shared" si="113"/>
        <v>0</v>
      </c>
      <c r="Q1357" s="154">
        <f t="shared" si="114"/>
        <v>0</v>
      </c>
    </row>
    <row r="1358" spans="2:17">
      <c r="B1358" s="627">
        <f t="shared" si="115"/>
        <v>1353</v>
      </c>
      <c r="C1358" s="429">
        <v>43392</v>
      </c>
      <c r="D1358" s="816" t="s">
        <v>2800</v>
      </c>
      <c r="E1358" s="807">
        <v>140100</v>
      </c>
      <c r="F1358" s="629" t="str">
        <f>IFERROR(VLOOKUP(E1358,STAT1!$C$4:$D$1000,2,FALSE),"")</f>
        <v>Түүхий эд материал</v>
      </c>
      <c r="G1358" s="811">
        <v>84090.91</v>
      </c>
      <c r="H1358" s="811"/>
      <c r="I1358" s="580">
        <f t="shared" ref="I1358:I1421" si="116">+IF(OR(E1358=100100,E1358=100200,E1358=110100,E1358=110102,E1358=110103,E1358=110104,E1358=110105,E1358=110200,E1358=110201,E1358=110202,E1358=110203,E1358=110204,E1358=110300),G1358,0)+IF(OR(E1358=100100,E1358=100200,E1358=110100,E1358=110102,E1358=110103,E1358=110104,E1358=110105,E1358=110200,E1358=110201,E1358=110202,E1358=110203,E1358=110204,E1358=110300),H1358*-1,0)</f>
        <v>0</v>
      </c>
      <c r="J1358" s="961">
        <f>+IF(E1358=110200,I1358/K1358,0)</f>
        <v>0</v>
      </c>
      <c r="K1358" s="80"/>
      <c r="L1358" s="807">
        <v>1008</v>
      </c>
      <c r="M1358" s="80" t="str">
        <f>+IFERROR(VLOOKUP(L1358,DATA!$G$4:$H$2000,2,FALSE),"")</f>
        <v xml:space="preserve">Оюунтүлхүүр </v>
      </c>
      <c r="N1358" s="807"/>
      <c r="O1358" s="80" t="str">
        <f>IFERROR(VLOOKUP(N1358,DATA!$K$4:$L$51,2,FALSE),"")</f>
        <v/>
      </c>
      <c r="P1358" s="80">
        <f t="shared" si="113"/>
        <v>0</v>
      </c>
      <c r="Q1358" s="154">
        <f t="shared" si="114"/>
        <v>0</v>
      </c>
    </row>
    <row r="1359" spans="2:17">
      <c r="B1359" s="627">
        <f t="shared" si="115"/>
        <v>1354</v>
      </c>
      <c r="C1359" s="429">
        <v>43392</v>
      </c>
      <c r="D1359" s="816" t="s">
        <v>2800</v>
      </c>
      <c r="E1359" s="807">
        <v>120600</v>
      </c>
      <c r="F1359" s="629" t="str">
        <f>IFERROR(VLOOKUP(E1359,STAT1!$C$4:$D$1000,2,FALSE),"")</f>
        <v>НӨАТ авлага</v>
      </c>
      <c r="G1359" s="811">
        <v>8409.09</v>
      </c>
      <c r="H1359" s="811"/>
      <c r="I1359" s="580">
        <f t="shared" si="116"/>
        <v>0</v>
      </c>
      <c r="J1359" s="961">
        <f>+IF(E1359=110200,I1359/K1359,0)</f>
        <v>0</v>
      </c>
      <c r="K1359" s="80"/>
      <c r="L1359" s="807">
        <v>1008</v>
      </c>
      <c r="M1359" s="80" t="str">
        <f>+IFERROR(VLOOKUP(L1359,DATA!$G$4:$H$2000,2,FALSE),"")</f>
        <v xml:space="preserve">Оюунтүлхүүр </v>
      </c>
      <c r="N1359" s="807"/>
      <c r="O1359" s="80" t="str">
        <f>IFERROR(VLOOKUP(N1359,DATA!$K$4:$L$51,2,FALSE),"")</f>
        <v/>
      </c>
      <c r="P1359" s="80">
        <f t="shared" si="113"/>
        <v>0</v>
      </c>
      <c r="Q1359" s="154">
        <f t="shared" si="114"/>
        <v>0</v>
      </c>
    </row>
    <row r="1360" spans="2:17">
      <c r="B1360" s="627">
        <f t="shared" si="115"/>
        <v>1355</v>
      </c>
      <c r="C1360" s="429">
        <v>43392</v>
      </c>
      <c r="D1360" s="816" t="s">
        <v>2800</v>
      </c>
      <c r="E1360" s="807">
        <v>121200</v>
      </c>
      <c r="F1360" s="629" t="str">
        <f>IFERROR(VLOOKUP(E1360,STAT1!$C$4:$D$1000,2,FALSE),"")</f>
        <v xml:space="preserve">Ажилчидын дараа тайлангийн тооцоо </v>
      </c>
      <c r="G1360" s="811"/>
      <c r="H1360" s="811">
        <v>92500</v>
      </c>
      <c r="I1360" s="580">
        <f t="shared" si="116"/>
        <v>0</v>
      </c>
      <c r="J1360" s="961">
        <f>+IF(E1360=110200,I1360/K1360,0)</f>
        <v>0</v>
      </c>
      <c r="K1360" s="80"/>
      <c r="L1360" s="807">
        <v>1008</v>
      </c>
      <c r="M1360" s="80" t="str">
        <f>+IFERROR(VLOOKUP(L1360,DATA!$G$4:$H$2000,2,FALSE),"")</f>
        <v xml:space="preserve">Оюунтүлхүүр </v>
      </c>
      <c r="N1360" s="807"/>
      <c r="O1360" s="80" t="str">
        <f>IFERROR(VLOOKUP(N1360,DATA!$K$4:$L$51,2,FALSE),"")</f>
        <v/>
      </c>
      <c r="P1360" s="80">
        <f t="shared" si="113"/>
        <v>0</v>
      </c>
      <c r="Q1360" s="154">
        <f t="shared" si="114"/>
        <v>0</v>
      </c>
    </row>
    <row r="1361" spans="2:17">
      <c r="B1361" s="627">
        <f t="shared" si="115"/>
        <v>1356</v>
      </c>
      <c r="C1361" s="429">
        <v>43393</v>
      </c>
      <c r="D1361" s="816" t="s">
        <v>2379</v>
      </c>
      <c r="E1361" s="807">
        <v>110100</v>
      </c>
      <c r="F1361" s="629" t="str">
        <f>IFERROR(VLOOKUP(E1361,STAT1!$C$4:$D$1000,2,FALSE),"")</f>
        <v>Хаан Банк 5024654020</v>
      </c>
      <c r="G1361" s="811"/>
      <c r="H1361" s="811">
        <v>10555.47</v>
      </c>
      <c r="I1361" s="580">
        <f t="shared" si="116"/>
        <v>-10555.47</v>
      </c>
      <c r="J1361" s="961">
        <f t="shared" ref="J1361:J1366" si="117">+IF(E1361=110102,I1361/K1361,0)</f>
        <v>0</v>
      </c>
      <c r="K1361" s="80"/>
      <c r="L1361" s="807">
        <v>2009</v>
      </c>
      <c r="M1361" s="80" t="str">
        <f>+IFERROR(VLOOKUP(L1361,DATA!$G$4:$H$2000,2,FALSE),"")</f>
        <v>ХААН БАНК</v>
      </c>
      <c r="N1361" s="807">
        <v>56</v>
      </c>
      <c r="O1361" s="80" t="str">
        <f>IFERROR(VLOOKUP(N1361,DATA!$K$4:$L$51,2,FALSE),"")</f>
        <v>Хүүний төлбөрт төлсөн</v>
      </c>
      <c r="P1361" s="80">
        <f t="shared" si="113"/>
        <v>1</v>
      </c>
      <c r="Q1361" s="154">
        <f t="shared" si="114"/>
        <v>1</v>
      </c>
    </row>
    <row r="1362" spans="2:17">
      <c r="B1362" s="627">
        <f t="shared" si="115"/>
        <v>1357</v>
      </c>
      <c r="C1362" s="429">
        <v>43393</v>
      </c>
      <c r="D1362" s="816" t="s">
        <v>2379</v>
      </c>
      <c r="E1362" s="807">
        <v>702500</v>
      </c>
      <c r="F1362" s="629" t="str">
        <f>IFERROR(VLOOKUP(E1362,STAT1!$C$4:$D$1000,2,FALSE),"")</f>
        <v>Зээлийн хүүгийн зардал</v>
      </c>
      <c r="G1362" s="811">
        <v>10555.47</v>
      </c>
      <c r="H1362" s="811"/>
      <c r="I1362" s="580">
        <f t="shared" si="116"/>
        <v>0</v>
      </c>
      <c r="J1362" s="961">
        <f t="shared" si="117"/>
        <v>0</v>
      </c>
      <c r="K1362" s="80"/>
      <c r="L1362" s="807">
        <v>2009</v>
      </c>
      <c r="M1362" s="80" t="str">
        <f>+IFERROR(VLOOKUP(L1362,DATA!$G$4:$H$2000,2,FALSE),"")</f>
        <v>ХААН БАНК</v>
      </c>
      <c r="N1362" s="807"/>
      <c r="O1362" s="80" t="str">
        <f>IFERROR(VLOOKUP(N1362,DATA!$K$4:$L$51,2,FALSE),"")</f>
        <v/>
      </c>
      <c r="P1362" s="80">
        <f t="shared" si="113"/>
        <v>0</v>
      </c>
      <c r="Q1362" s="154">
        <f t="shared" si="114"/>
        <v>0</v>
      </c>
    </row>
    <row r="1363" spans="2:17">
      <c r="B1363" s="627">
        <f t="shared" si="115"/>
        <v>1358</v>
      </c>
      <c r="C1363" s="429">
        <v>43395</v>
      </c>
      <c r="D1363" s="816" t="s">
        <v>2779</v>
      </c>
      <c r="E1363" s="807">
        <v>110100</v>
      </c>
      <c r="F1363" s="629" t="str">
        <f>IFERROR(VLOOKUP(E1363,STAT1!$C$4:$D$1000,2,FALSE),"")</f>
        <v>Хаан Банк 5024654020</v>
      </c>
      <c r="G1363" s="811">
        <v>4600000</v>
      </c>
      <c r="H1363" s="811"/>
      <c r="I1363" s="580">
        <f t="shared" si="116"/>
        <v>4600000</v>
      </c>
      <c r="J1363" s="961">
        <f t="shared" si="117"/>
        <v>0</v>
      </c>
      <c r="K1363" s="80"/>
      <c r="L1363" s="807">
        <v>1004</v>
      </c>
      <c r="M1363" s="80" t="str">
        <f>+IFERROR(VLOOKUP(L1363,DATA!$G$4:$H$2000,2,FALSE),"")</f>
        <v xml:space="preserve">Түмэндэлгэр </v>
      </c>
      <c r="N1363" s="807"/>
      <c r="O1363" s="80" t="str">
        <f>IFERROR(VLOOKUP(N1363,DATA!$K$4:$L$51,2,FALSE),"")</f>
        <v/>
      </c>
      <c r="P1363" s="80">
        <f t="shared" si="113"/>
        <v>1</v>
      </c>
      <c r="Q1363" s="154">
        <f t="shared" si="114"/>
        <v>1</v>
      </c>
    </row>
    <row r="1364" spans="2:17">
      <c r="B1364" s="627">
        <f t="shared" si="115"/>
        <v>1359</v>
      </c>
      <c r="C1364" s="429">
        <v>43395</v>
      </c>
      <c r="D1364" s="816" t="s">
        <v>2779</v>
      </c>
      <c r="E1364" s="807">
        <v>100100</v>
      </c>
      <c r="F1364" s="629" t="str">
        <f>IFERROR(VLOOKUP(E1364,STAT1!$C$4:$D$1000,2,FALSE),"")</f>
        <v>Касс мөнгө MNT</v>
      </c>
      <c r="G1364" s="811"/>
      <c r="H1364" s="811">
        <v>4600000</v>
      </c>
      <c r="I1364" s="580">
        <f t="shared" si="116"/>
        <v>-4600000</v>
      </c>
      <c r="J1364" s="961">
        <f t="shared" si="117"/>
        <v>0</v>
      </c>
      <c r="K1364" s="80"/>
      <c r="L1364" s="807">
        <v>1004</v>
      </c>
      <c r="M1364" s="80" t="str">
        <f>+IFERROR(VLOOKUP(L1364,DATA!$G$4:$H$2000,2,FALSE),"")</f>
        <v xml:space="preserve">Түмэндэлгэр </v>
      </c>
      <c r="N1364" s="807"/>
      <c r="O1364" s="80" t="str">
        <f>IFERROR(VLOOKUP(N1364,DATA!$K$4:$L$51,2,FALSE),"")</f>
        <v/>
      </c>
      <c r="P1364" s="80">
        <f t="shared" si="113"/>
        <v>1</v>
      </c>
      <c r="Q1364" s="154">
        <f t="shared" si="114"/>
        <v>1</v>
      </c>
    </row>
    <row r="1365" spans="2:17">
      <c r="B1365" s="627">
        <f t="shared" si="115"/>
        <v>1360</v>
      </c>
      <c r="C1365" s="429">
        <v>43395</v>
      </c>
      <c r="D1365" s="816" t="s">
        <v>2379</v>
      </c>
      <c r="E1365" s="807">
        <v>110100</v>
      </c>
      <c r="F1365" s="629" t="str">
        <f>IFERROR(VLOOKUP(E1365,STAT1!$C$4:$D$1000,2,FALSE),"")</f>
        <v>Хаан Банк 5024654020</v>
      </c>
      <c r="G1365" s="811"/>
      <c r="H1365" s="811">
        <v>3914398</v>
      </c>
      <c r="I1365" s="580">
        <f t="shared" si="116"/>
        <v>-3914398</v>
      </c>
      <c r="J1365" s="961">
        <f t="shared" si="117"/>
        <v>0</v>
      </c>
      <c r="K1365" s="80"/>
      <c r="L1365" s="807">
        <v>2009</v>
      </c>
      <c r="M1365" s="80" t="str">
        <f>+IFERROR(VLOOKUP(L1365,DATA!$G$4:$H$2000,2,FALSE),"")</f>
        <v>ХААН БАНК</v>
      </c>
      <c r="N1365" s="807">
        <v>91</v>
      </c>
      <c r="O1365" s="80" t="str">
        <f>IFERROR(VLOOKUP(N1365,DATA!$K$4:$L$51,2,FALSE),"")</f>
        <v>Зээл, өрийн үнэт цаасны төлбөрт төлсөн</v>
      </c>
      <c r="P1365" s="80">
        <f t="shared" si="113"/>
        <v>1</v>
      </c>
      <c r="Q1365" s="154">
        <f t="shared" si="114"/>
        <v>1</v>
      </c>
    </row>
    <row r="1366" spans="2:17">
      <c r="B1366" s="627">
        <f t="shared" si="115"/>
        <v>1361</v>
      </c>
      <c r="C1366" s="429">
        <v>43395</v>
      </c>
      <c r="D1366" s="816" t="s">
        <v>2379</v>
      </c>
      <c r="E1366" s="807">
        <v>311100</v>
      </c>
      <c r="F1366" s="629" t="str">
        <f>IFERROR(VLOOKUP(E1366,STAT1!$C$4:$D$1000,2,FALSE),"")</f>
        <v xml:space="preserve">Бусад богино хугацаат өглөг </v>
      </c>
      <c r="G1366" s="811">
        <v>3914398</v>
      </c>
      <c r="H1366" s="811"/>
      <c r="I1366" s="580">
        <f t="shared" si="116"/>
        <v>0</v>
      </c>
      <c r="J1366" s="961">
        <f t="shared" si="117"/>
        <v>0</v>
      </c>
      <c r="K1366" s="80"/>
      <c r="L1366" s="807">
        <v>2009</v>
      </c>
      <c r="M1366" s="80" t="str">
        <f>+IFERROR(VLOOKUP(L1366,DATA!$G$4:$H$2000,2,FALSE),"")</f>
        <v>ХААН БАНК</v>
      </c>
      <c r="N1366" s="807"/>
      <c r="O1366" s="80" t="str">
        <f>IFERROR(VLOOKUP(N1366,DATA!$K$4:$L$51,2,FALSE),"")</f>
        <v/>
      </c>
      <c r="P1366" s="80">
        <f t="shared" si="113"/>
        <v>0</v>
      </c>
      <c r="Q1366" s="154">
        <f t="shared" si="114"/>
        <v>0</v>
      </c>
    </row>
    <row r="1367" spans="2:17">
      <c r="B1367" s="627">
        <f t="shared" si="115"/>
        <v>1362</v>
      </c>
      <c r="C1367" s="429">
        <v>43395</v>
      </c>
      <c r="D1367" s="816" t="s">
        <v>2379</v>
      </c>
      <c r="E1367" s="807">
        <v>110100</v>
      </c>
      <c r="F1367" s="629" t="str">
        <f>IFERROR(VLOOKUP(E1367,STAT1!$C$4:$D$1000,2,FALSE),"")</f>
        <v>Хаан Банк 5024654020</v>
      </c>
      <c r="G1367" s="811"/>
      <c r="H1367" s="811">
        <v>655947.16000000015</v>
      </c>
      <c r="I1367" s="580">
        <f t="shared" si="116"/>
        <v>-655947.16000000015</v>
      </c>
      <c r="J1367" s="961">
        <f t="shared" ref="J1367:J1398" si="118">+IF(E1367=110200,I1367/K1367,0)</f>
        <v>0</v>
      </c>
      <c r="K1367" s="80"/>
      <c r="L1367" s="807">
        <v>2009</v>
      </c>
      <c r="M1367" s="80" t="str">
        <f>+IFERROR(VLOOKUP(L1367,DATA!$G$4:$H$2000,2,FALSE),"")</f>
        <v>ХААН БАНК</v>
      </c>
      <c r="N1367" s="807">
        <v>56</v>
      </c>
      <c r="O1367" s="80" t="str">
        <f>IFERROR(VLOOKUP(N1367,DATA!$K$4:$L$51,2,FALSE),"")</f>
        <v>Хүүний төлбөрт төлсөн</v>
      </c>
      <c r="P1367" s="80">
        <f t="shared" si="113"/>
        <v>1</v>
      </c>
      <c r="Q1367" s="154">
        <f t="shared" si="114"/>
        <v>1</v>
      </c>
    </row>
    <row r="1368" spans="2:17">
      <c r="B1368" s="627">
        <f t="shared" si="115"/>
        <v>1363</v>
      </c>
      <c r="C1368" s="429">
        <v>43395</v>
      </c>
      <c r="D1368" s="816" t="s">
        <v>2379</v>
      </c>
      <c r="E1368" s="807">
        <v>702500</v>
      </c>
      <c r="F1368" s="629" t="str">
        <f>IFERROR(VLOOKUP(E1368,STAT1!$C$4:$D$1000,2,FALSE),"")</f>
        <v>Зээлийн хүүгийн зардал</v>
      </c>
      <c r="G1368" s="811">
        <v>655947.16000000015</v>
      </c>
      <c r="H1368" s="811"/>
      <c r="I1368" s="580">
        <f t="shared" si="116"/>
        <v>0</v>
      </c>
      <c r="J1368" s="961">
        <f t="shared" si="118"/>
        <v>0</v>
      </c>
      <c r="K1368" s="80"/>
      <c r="L1368" s="807">
        <v>2009</v>
      </c>
      <c r="M1368" s="80" t="str">
        <f>+IFERROR(VLOOKUP(L1368,DATA!$G$4:$H$2000,2,FALSE),"")</f>
        <v>ХААН БАНК</v>
      </c>
      <c r="N1368" s="807"/>
      <c r="O1368" s="80" t="str">
        <f>IFERROR(VLOOKUP(N1368,DATA!$K$4:$L$51,2,FALSE),"")</f>
        <v/>
      </c>
      <c r="P1368" s="80">
        <f t="shared" si="113"/>
        <v>0</v>
      </c>
      <c r="Q1368" s="154">
        <f t="shared" si="114"/>
        <v>0</v>
      </c>
    </row>
    <row r="1369" spans="2:17">
      <c r="B1369" s="627">
        <f t="shared" si="115"/>
        <v>1364</v>
      </c>
      <c r="C1369" s="429">
        <v>43395</v>
      </c>
      <c r="D1369" s="815" t="s">
        <v>2538</v>
      </c>
      <c r="E1369" s="807">
        <v>100100</v>
      </c>
      <c r="F1369" s="629" t="str">
        <f>IFERROR(VLOOKUP(E1369,STAT1!$C$4:$D$1000,2,FALSE),"")</f>
        <v>Касс мөнгө MNT</v>
      </c>
      <c r="G1369" s="811"/>
      <c r="H1369" s="811">
        <v>80000</v>
      </c>
      <c r="I1369" s="580">
        <f t="shared" si="116"/>
        <v>-80000</v>
      </c>
      <c r="J1369" s="961">
        <f t="shared" si="118"/>
        <v>0</v>
      </c>
      <c r="K1369" s="80"/>
      <c r="L1369" s="807">
        <v>1005</v>
      </c>
      <c r="M1369" s="80" t="str">
        <f>+IFERROR(VLOOKUP(L1369,DATA!$G$4:$H$2000,2,FALSE),"")</f>
        <v>Золжаргал</v>
      </c>
      <c r="N1369" s="807">
        <v>55</v>
      </c>
      <c r="O1369" s="80" t="str">
        <f>IFERROR(VLOOKUP(N1369,DATA!$K$4:$L$51,2,FALSE),"")</f>
        <v>Түлш, шатахуун, тээврийн хөлс, сэлбэг хэрэгсэлд төлсөн</v>
      </c>
      <c r="P1369" s="80">
        <f t="shared" si="113"/>
        <v>1</v>
      </c>
      <c r="Q1369" s="154">
        <f t="shared" si="114"/>
        <v>1</v>
      </c>
    </row>
    <row r="1370" spans="2:17">
      <c r="B1370" s="627">
        <f t="shared" si="115"/>
        <v>1365</v>
      </c>
      <c r="C1370" s="429">
        <v>43395</v>
      </c>
      <c r="D1370" s="815" t="s">
        <v>2538</v>
      </c>
      <c r="E1370" s="630">
        <v>120600</v>
      </c>
      <c r="F1370" s="629" t="str">
        <f>IFERROR(VLOOKUP(E1370,STAT1!$C$4:$D$1000,2,FALSE),"")</f>
        <v>НӨАТ авлага</v>
      </c>
      <c r="G1370" s="376">
        <v>7272.72</v>
      </c>
      <c r="H1370" s="376"/>
      <c r="I1370" s="580">
        <f t="shared" si="116"/>
        <v>0</v>
      </c>
      <c r="J1370" s="961">
        <f t="shared" si="118"/>
        <v>0</v>
      </c>
      <c r="K1370" s="80"/>
      <c r="L1370" s="630">
        <v>1005</v>
      </c>
      <c r="M1370" s="80" t="str">
        <f>+IFERROR(VLOOKUP(L1370,DATA!$G$4:$H$2000,2,FALSE),"")</f>
        <v>Золжаргал</v>
      </c>
      <c r="N1370" s="630"/>
      <c r="O1370" s="80" t="str">
        <f>IFERROR(VLOOKUP(N1370,DATA!$K$4:$L$51,2,FALSE),"")</f>
        <v/>
      </c>
      <c r="P1370" s="80">
        <f t="shared" si="113"/>
        <v>0</v>
      </c>
      <c r="Q1370" s="154">
        <f t="shared" si="114"/>
        <v>0</v>
      </c>
    </row>
    <row r="1371" spans="2:17">
      <c r="B1371" s="627">
        <f t="shared" si="115"/>
        <v>1366</v>
      </c>
      <c r="C1371" s="429">
        <v>43395</v>
      </c>
      <c r="D1371" s="815" t="s">
        <v>2538</v>
      </c>
      <c r="E1371" s="630">
        <v>702000</v>
      </c>
      <c r="F1371" s="629" t="str">
        <f>IFERROR(VLOOKUP(E1371,STAT1!$C$4:$D$1000,2,FALSE),"")</f>
        <v>Түлш, шатахуун</v>
      </c>
      <c r="G1371" s="376">
        <f>80000-7272.72</f>
        <v>72727.28</v>
      </c>
      <c r="H1371" s="376"/>
      <c r="I1371" s="580">
        <f t="shared" si="116"/>
        <v>0</v>
      </c>
      <c r="J1371" s="961">
        <f t="shared" si="118"/>
        <v>0</v>
      </c>
      <c r="K1371" s="80"/>
      <c r="L1371" s="630">
        <v>1005</v>
      </c>
      <c r="M1371" s="80" t="str">
        <f>+IFERROR(VLOOKUP(L1371,DATA!$G$4:$H$2000,2,FALSE),"")</f>
        <v>Золжаргал</v>
      </c>
      <c r="N1371" s="630"/>
      <c r="O1371" s="80" t="str">
        <f>IFERROR(VLOOKUP(N1371,DATA!$K$4:$L$51,2,FALSE),"")</f>
        <v/>
      </c>
      <c r="P1371" s="80">
        <f t="shared" si="113"/>
        <v>0</v>
      </c>
      <c r="Q1371" s="154">
        <f t="shared" si="114"/>
        <v>0</v>
      </c>
    </row>
    <row r="1372" spans="2:17">
      <c r="B1372" s="627">
        <f t="shared" si="115"/>
        <v>1367</v>
      </c>
      <c r="C1372" s="429">
        <v>43397</v>
      </c>
      <c r="D1372" s="816" t="s">
        <v>2794</v>
      </c>
      <c r="E1372" s="807">
        <v>310100</v>
      </c>
      <c r="F1372" s="629" t="str">
        <f>IFERROR(VLOOKUP(E1372,STAT1!$C$4:$D$1000,2,FALSE),"")</f>
        <v>Дансны өглөг MNT</v>
      </c>
      <c r="G1372" s="811"/>
      <c r="H1372" s="811">
        <v>2840202</v>
      </c>
      <c r="I1372" s="580">
        <f t="shared" si="116"/>
        <v>0</v>
      </c>
      <c r="J1372" s="961">
        <f t="shared" si="118"/>
        <v>0</v>
      </c>
      <c r="K1372" s="80"/>
      <c r="L1372" s="807">
        <v>2004</v>
      </c>
      <c r="M1372" s="80" t="str">
        <f>+IFERROR(VLOOKUP(L1372,DATA!$G$4:$H$2000,2,FALSE),"")</f>
        <v xml:space="preserve">ДЦС-3 ТӨХК </v>
      </c>
      <c r="N1372" s="807"/>
      <c r="O1372" s="80" t="str">
        <f>IFERROR(VLOOKUP(N1372,DATA!$K$4:$L$51,2,FALSE),"")</f>
        <v/>
      </c>
      <c r="P1372" s="80">
        <f t="shared" si="113"/>
        <v>0</v>
      </c>
      <c r="Q1372" s="154">
        <f t="shared" si="114"/>
        <v>0</v>
      </c>
    </row>
    <row r="1373" spans="2:17">
      <c r="B1373" s="627">
        <f t="shared" si="115"/>
        <v>1368</v>
      </c>
      <c r="C1373" s="429">
        <v>43397</v>
      </c>
      <c r="D1373" s="816" t="s">
        <v>2794</v>
      </c>
      <c r="E1373" s="807">
        <v>120100</v>
      </c>
      <c r="F1373" s="629" t="str">
        <f>IFERROR(VLOOKUP(E1373,STAT1!$C$4:$D$1000,2,FALSE),"")</f>
        <v xml:space="preserve">Дансны авлага MNT </v>
      </c>
      <c r="G1373" s="811">
        <v>258200.14</v>
      </c>
      <c r="H1373" s="811"/>
      <c r="I1373" s="580">
        <f t="shared" si="116"/>
        <v>0</v>
      </c>
      <c r="J1373" s="961">
        <f t="shared" si="118"/>
        <v>0</v>
      </c>
      <c r="K1373" s="80"/>
      <c r="L1373" s="807">
        <v>2004</v>
      </c>
      <c r="M1373" s="80" t="str">
        <f>+IFERROR(VLOOKUP(L1373,DATA!$G$4:$H$2000,2,FALSE),"")</f>
        <v xml:space="preserve">ДЦС-3 ТӨХК </v>
      </c>
      <c r="N1373" s="807"/>
      <c r="O1373" s="80" t="str">
        <f>IFERROR(VLOOKUP(N1373,DATA!$K$4:$L$51,2,FALSE),"")</f>
        <v/>
      </c>
      <c r="P1373" s="80">
        <f t="shared" si="113"/>
        <v>0</v>
      </c>
      <c r="Q1373" s="154">
        <f t="shared" si="114"/>
        <v>0</v>
      </c>
    </row>
    <row r="1374" spans="2:17">
      <c r="B1374" s="627">
        <f t="shared" si="115"/>
        <v>1369</v>
      </c>
      <c r="C1374" s="429">
        <v>43397</v>
      </c>
      <c r="D1374" s="816" t="s">
        <v>2794</v>
      </c>
      <c r="E1374" s="807">
        <v>700900</v>
      </c>
      <c r="F1374" s="629" t="str">
        <f>IFERROR(VLOOKUP(E1374,STAT1!$C$4:$D$1000,2,FALSE),"")</f>
        <v>Уур, ус</v>
      </c>
      <c r="G1374" s="811">
        <f>2840202-258200.14</f>
        <v>2582001.86</v>
      </c>
      <c r="H1374" s="811"/>
      <c r="I1374" s="580">
        <f t="shared" si="116"/>
        <v>0</v>
      </c>
      <c r="J1374" s="961">
        <f t="shared" si="118"/>
        <v>0</v>
      </c>
      <c r="K1374" s="80"/>
      <c r="L1374" s="807">
        <v>2004</v>
      </c>
      <c r="M1374" s="80" t="str">
        <f>+IFERROR(VLOOKUP(L1374,DATA!$G$4:$H$2000,2,FALSE),"")</f>
        <v xml:space="preserve">ДЦС-3 ТӨХК </v>
      </c>
      <c r="N1374" s="807"/>
      <c r="O1374" s="80" t="str">
        <f>IFERROR(VLOOKUP(N1374,DATA!$K$4:$L$51,2,FALSE),"")</f>
        <v/>
      </c>
      <c r="P1374" s="80">
        <f t="shared" si="113"/>
        <v>0</v>
      </c>
      <c r="Q1374" s="154">
        <f t="shared" si="114"/>
        <v>0</v>
      </c>
    </row>
    <row r="1375" spans="2:17">
      <c r="B1375" s="627">
        <f t="shared" si="115"/>
        <v>1370</v>
      </c>
      <c r="C1375" s="429">
        <v>43397</v>
      </c>
      <c r="D1375" s="816" t="s">
        <v>1570</v>
      </c>
      <c r="E1375" s="807">
        <v>100100</v>
      </c>
      <c r="F1375" s="629" t="str">
        <f>IFERROR(VLOOKUP(E1375,STAT1!$C$4:$D$1000,2,FALSE),"")</f>
        <v>Касс мөнгө MNT</v>
      </c>
      <c r="G1375" s="811"/>
      <c r="H1375" s="811">
        <v>40000</v>
      </c>
      <c r="I1375" s="580">
        <f t="shared" si="116"/>
        <v>-40000</v>
      </c>
      <c r="J1375" s="961">
        <f t="shared" si="118"/>
        <v>0</v>
      </c>
      <c r="K1375" s="80"/>
      <c r="L1375" s="807">
        <v>1005</v>
      </c>
      <c r="M1375" s="80" t="str">
        <f>+IFERROR(VLOOKUP(L1375,DATA!$G$4:$H$2000,2,FALSE),"")</f>
        <v>Золжаргал</v>
      </c>
      <c r="N1375" s="807">
        <v>55</v>
      </c>
      <c r="O1375" s="80" t="str">
        <f>IFERROR(VLOOKUP(N1375,DATA!$K$4:$L$51,2,FALSE),"")</f>
        <v>Түлш, шатахуун, тээврийн хөлс, сэлбэг хэрэгсэлд төлсөн</v>
      </c>
      <c r="P1375" s="80">
        <f t="shared" si="113"/>
        <v>1</v>
      </c>
      <c r="Q1375" s="154">
        <f t="shared" si="114"/>
        <v>1</v>
      </c>
    </row>
    <row r="1376" spans="2:17">
      <c r="B1376" s="627">
        <f t="shared" si="115"/>
        <v>1371</v>
      </c>
      <c r="C1376" s="429">
        <v>43397</v>
      </c>
      <c r="D1376" s="816" t="s">
        <v>1570</v>
      </c>
      <c r="E1376" s="807">
        <v>702000</v>
      </c>
      <c r="F1376" s="629" t="str">
        <f>IFERROR(VLOOKUP(E1376,STAT1!$C$4:$D$1000,2,FALSE),"")</f>
        <v>Түлш, шатахуун</v>
      </c>
      <c r="G1376" s="811">
        <v>40000</v>
      </c>
      <c r="H1376" s="811"/>
      <c r="I1376" s="580">
        <f t="shared" si="116"/>
        <v>0</v>
      </c>
      <c r="J1376" s="961">
        <f t="shared" si="118"/>
        <v>0</v>
      </c>
      <c r="K1376" s="80"/>
      <c r="L1376" s="807">
        <v>1005</v>
      </c>
      <c r="M1376" s="80" t="str">
        <f>+IFERROR(VLOOKUP(L1376,DATA!$G$4:$H$2000,2,FALSE),"")</f>
        <v>Золжаргал</v>
      </c>
      <c r="N1376" s="807"/>
      <c r="O1376" s="80" t="str">
        <f>IFERROR(VLOOKUP(N1376,DATA!$K$4:$L$51,2,FALSE),"")</f>
        <v/>
      </c>
      <c r="P1376" s="80">
        <f t="shared" si="113"/>
        <v>0</v>
      </c>
      <c r="Q1376" s="154">
        <f t="shared" si="114"/>
        <v>0</v>
      </c>
    </row>
    <row r="1377" spans="2:17">
      <c r="B1377" s="627">
        <f t="shared" si="115"/>
        <v>1372</v>
      </c>
      <c r="C1377" s="429">
        <v>43398</v>
      </c>
      <c r="D1377" s="816" t="s">
        <v>2779</v>
      </c>
      <c r="E1377" s="807">
        <v>100100</v>
      </c>
      <c r="F1377" s="629" t="str">
        <f>IFERROR(VLOOKUP(E1377,STAT1!$C$4:$D$1000,2,FALSE),"")</f>
        <v>Касс мөнгө MNT</v>
      </c>
      <c r="G1377" s="811"/>
      <c r="H1377" s="811">
        <v>3430000</v>
      </c>
      <c r="I1377" s="580">
        <f t="shared" si="116"/>
        <v>-3430000</v>
      </c>
      <c r="J1377" s="961">
        <f t="shared" si="118"/>
        <v>0</v>
      </c>
      <c r="K1377" s="80"/>
      <c r="L1377" s="807">
        <v>1005</v>
      </c>
      <c r="M1377" s="80" t="str">
        <f>+IFERROR(VLOOKUP(L1377,DATA!$G$4:$H$2000,2,FALSE),"")</f>
        <v>Золжаргал</v>
      </c>
      <c r="N1377" s="807"/>
      <c r="O1377" s="80" t="str">
        <f>IFERROR(VLOOKUP(N1377,DATA!$K$4:$L$51,2,FALSE),"")</f>
        <v/>
      </c>
      <c r="P1377" s="80">
        <f t="shared" si="113"/>
        <v>1</v>
      </c>
      <c r="Q1377" s="154">
        <f t="shared" si="114"/>
        <v>1</v>
      </c>
    </row>
    <row r="1378" spans="2:17">
      <c r="B1378" s="627">
        <f t="shared" si="115"/>
        <v>1373</v>
      </c>
      <c r="C1378" s="429">
        <v>43398</v>
      </c>
      <c r="D1378" s="816" t="s">
        <v>2779</v>
      </c>
      <c r="E1378" s="807">
        <v>110100</v>
      </c>
      <c r="F1378" s="629" t="str">
        <f>IFERROR(VLOOKUP(E1378,STAT1!$C$4:$D$1000,2,FALSE),"")</f>
        <v>Хаан Банк 5024654020</v>
      </c>
      <c r="G1378" s="811">
        <v>3430000</v>
      </c>
      <c r="H1378" s="811"/>
      <c r="I1378" s="580">
        <f t="shared" si="116"/>
        <v>3430000</v>
      </c>
      <c r="J1378" s="961">
        <f t="shared" si="118"/>
        <v>0</v>
      </c>
      <c r="K1378" s="80"/>
      <c r="L1378" s="807">
        <v>1005</v>
      </c>
      <c r="M1378" s="80" t="str">
        <f>+IFERROR(VLOOKUP(L1378,DATA!$G$4:$H$2000,2,FALSE),"")</f>
        <v>Золжаргал</v>
      </c>
      <c r="N1378" s="807"/>
      <c r="O1378" s="80" t="str">
        <f>IFERROR(VLOOKUP(N1378,DATA!$K$4:$L$51,2,FALSE),"")</f>
        <v/>
      </c>
      <c r="P1378" s="80">
        <f t="shared" si="113"/>
        <v>1</v>
      </c>
      <c r="Q1378" s="154">
        <f t="shared" si="114"/>
        <v>1</v>
      </c>
    </row>
    <row r="1379" spans="2:17">
      <c r="B1379" s="627">
        <f t="shared" si="115"/>
        <v>1374</v>
      </c>
      <c r="C1379" s="429">
        <v>43398</v>
      </c>
      <c r="D1379" s="815" t="s">
        <v>2510</v>
      </c>
      <c r="E1379" s="807">
        <v>110100</v>
      </c>
      <c r="F1379" s="629" t="str">
        <f>IFERROR(VLOOKUP(E1379,STAT1!$C$4:$D$1000,2,FALSE),"")</f>
        <v>Хаан Банк 5024654020</v>
      </c>
      <c r="G1379" s="811"/>
      <c r="H1379" s="811">
        <v>3295820</v>
      </c>
      <c r="I1379" s="580">
        <f t="shared" si="116"/>
        <v>-3295820</v>
      </c>
      <c r="J1379" s="961">
        <f t="shared" si="118"/>
        <v>0</v>
      </c>
      <c r="K1379" s="80"/>
      <c r="L1379" s="807">
        <v>1005</v>
      </c>
      <c r="M1379" s="80" t="str">
        <f>+IFERROR(VLOOKUP(L1379,DATA!$G$4:$H$2000,2,FALSE),"")</f>
        <v>Золжаргал</v>
      </c>
      <c r="N1379" s="807">
        <v>54</v>
      </c>
      <c r="O1379" s="80" t="str">
        <f>IFERROR(VLOOKUP(N1379,DATA!$K$4:$L$51,2,FALSE),"")</f>
        <v>Ашиглалтын зардалд төлсөн</v>
      </c>
      <c r="P1379" s="80">
        <f t="shared" ref="P1379:P1410" si="119">+IF(I1379,1,0)</f>
        <v>1</v>
      </c>
      <c r="Q1379" s="154">
        <f t="shared" ref="Q1379:Q1410" si="120">+IF(I1379,1,0)</f>
        <v>1</v>
      </c>
    </row>
    <row r="1380" spans="2:17">
      <c r="B1380" s="627">
        <f t="shared" si="115"/>
        <v>1375</v>
      </c>
      <c r="C1380" s="429">
        <v>43398</v>
      </c>
      <c r="D1380" s="815" t="s">
        <v>2510</v>
      </c>
      <c r="E1380" s="630">
        <v>120600</v>
      </c>
      <c r="F1380" s="629" t="str">
        <f>IFERROR(VLOOKUP(E1380,STAT1!$C$4:$D$1000,2,FALSE),"")</f>
        <v>НӨАТ авлага</v>
      </c>
      <c r="G1380" s="376">
        <v>299620</v>
      </c>
      <c r="H1380" s="376"/>
      <c r="I1380" s="580">
        <f t="shared" si="116"/>
        <v>0</v>
      </c>
      <c r="J1380" s="961">
        <f t="shared" si="118"/>
        <v>0</v>
      </c>
      <c r="K1380" s="80"/>
      <c r="L1380" s="807">
        <v>1005</v>
      </c>
      <c r="M1380" s="80" t="str">
        <f>+IFERROR(VLOOKUP(L1380,DATA!$G$4:$H$2000,2,FALSE),"")</f>
        <v>Золжаргал</v>
      </c>
      <c r="N1380" s="630"/>
      <c r="O1380" s="80" t="str">
        <f>IFERROR(VLOOKUP(N1380,DATA!$K$4:$L$51,2,FALSE),"")</f>
        <v/>
      </c>
      <c r="P1380" s="80">
        <f t="shared" si="119"/>
        <v>0</v>
      </c>
      <c r="Q1380" s="154">
        <f t="shared" si="120"/>
        <v>0</v>
      </c>
    </row>
    <row r="1381" spans="2:17">
      <c r="B1381" s="627">
        <f t="shared" si="115"/>
        <v>1376</v>
      </c>
      <c r="C1381" s="429">
        <v>43398</v>
      </c>
      <c r="D1381" s="815" t="s">
        <v>2510</v>
      </c>
      <c r="E1381" s="630">
        <v>700700</v>
      </c>
      <c r="F1381" s="629" t="str">
        <f>IFERROR(VLOOKUP(E1381,STAT1!$C$4:$D$1000,2,FALSE),"")</f>
        <v>Цахилгаан эрчим хүч</v>
      </c>
      <c r="G1381" s="376">
        <f>3295820-299620</f>
        <v>2996200</v>
      </c>
      <c r="H1381" s="376"/>
      <c r="I1381" s="580">
        <f t="shared" si="116"/>
        <v>0</v>
      </c>
      <c r="J1381" s="961">
        <f t="shared" si="118"/>
        <v>0</v>
      </c>
      <c r="K1381" s="80"/>
      <c r="L1381" s="807">
        <v>1005</v>
      </c>
      <c r="M1381" s="80" t="str">
        <f>+IFERROR(VLOOKUP(L1381,DATA!$G$4:$H$2000,2,FALSE),"")</f>
        <v>Золжаргал</v>
      </c>
      <c r="N1381" s="630"/>
      <c r="O1381" s="80" t="str">
        <f>IFERROR(VLOOKUP(N1381,DATA!$K$4:$L$51,2,FALSE),"")</f>
        <v/>
      </c>
      <c r="P1381" s="80">
        <f t="shared" si="119"/>
        <v>0</v>
      </c>
      <c r="Q1381" s="154">
        <f t="shared" si="120"/>
        <v>0</v>
      </c>
    </row>
    <row r="1382" spans="2:17">
      <c r="B1382" s="627">
        <f t="shared" si="115"/>
        <v>1377</v>
      </c>
      <c r="C1382" s="429">
        <v>43398</v>
      </c>
      <c r="D1382" s="815" t="s">
        <v>2602</v>
      </c>
      <c r="E1382" s="630">
        <v>110100</v>
      </c>
      <c r="F1382" s="629" t="str">
        <f>IFERROR(VLOOKUP(E1382,STAT1!$C$4:$D$1000,2,FALSE),"")</f>
        <v>Хаан Банк 5024654020</v>
      </c>
      <c r="G1382" s="376"/>
      <c r="H1382" s="376">
        <v>131400</v>
      </c>
      <c r="I1382" s="580">
        <f t="shared" si="116"/>
        <v>-131400</v>
      </c>
      <c r="J1382" s="961">
        <f t="shared" si="118"/>
        <v>0</v>
      </c>
      <c r="K1382" s="80"/>
      <c r="L1382" s="807">
        <v>1005</v>
      </c>
      <c r="M1382" s="80" t="str">
        <f>+IFERROR(VLOOKUP(L1382,DATA!$G$4:$H$2000,2,FALSE),"")</f>
        <v>Золжаргал</v>
      </c>
      <c r="N1382" s="807">
        <v>54</v>
      </c>
      <c r="O1382" s="80" t="str">
        <f>IFERROR(VLOOKUP(N1382,DATA!$K$4:$L$51,2,FALSE),"")</f>
        <v>Ашиглалтын зардалд төлсөн</v>
      </c>
      <c r="P1382" s="80">
        <f t="shared" si="119"/>
        <v>1</v>
      </c>
      <c r="Q1382" s="154">
        <f t="shared" si="120"/>
        <v>1</v>
      </c>
    </row>
    <row r="1383" spans="2:17">
      <c r="B1383" s="627">
        <f t="shared" si="115"/>
        <v>1378</v>
      </c>
      <c r="C1383" s="429">
        <v>43398</v>
      </c>
      <c r="D1383" s="815" t="s">
        <v>2602</v>
      </c>
      <c r="E1383" s="630">
        <v>120600</v>
      </c>
      <c r="F1383" s="629" t="str">
        <f>IFERROR(VLOOKUP(E1383,STAT1!$C$4:$D$1000,2,FALSE),"")</f>
        <v>НӨАТ авлага</v>
      </c>
      <c r="G1383" s="376">
        <v>11945.45</v>
      </c>
      <c r="H1383" s="376"/>
      <c r="I1383" s="580">
        <f t="shared" si="116"/>
        <v>0</v>
      </c>
      <c r="J1383" s="961">
        <f t="shared" si="118"/>
        <v>0</v>
      </c>
      <c r="K1383" s="80"/>
      <c r="L1383" s="807">
        <v>1005</v>
      </c>
      <c r="M1383" s="80" t="str">
        <f>+IFERROR(VLOOKUP(L1383,DATA!$G$4:$H$2000,2,FALSE),"")</f>
        <v>Золжаргал</v>
      </c>
      <c r="N1383" s="630"/>
      <c r="O1383" s="80" t="str">
        <f>IFERROR(VLOOKUP(N1383,DATA!$K$4:$L$51,2,FALSE),"")</f>
        <v/>
      </c>
      <c r="P1383" s="80">
        <f t="shared" si="119"/>
        <v>0</v>
      </c>
      <c r="Q1383" s="154">
        <f t="shared" si="120"/>
        <v>0</v>
      </c>
    </row>
    <row r="1384" spans="2:17">
      <c r="B1384" s="627">
        <f t="shared" si="115"/>
        <v>1379</v>
      </c>
      <c r="C1384" s="429">
        <v>43398</v>
      </c>
      <c r="D1384" s="815" t="s">
        <v>2602</v>
      </c>
      <c r="E1384" s="630">
        <v>700900</v>
      </c>
      <c r="F1384" s="629" t="str">
        <f>IFERROR(VLOOKUP(E1384,STAT1!$C$4:$D$1000,2,FALSE),"")</f>
        <v>Уур, ус</v>
      </c>
      <c r="G1384" s="376">
        <v>119454.55</v>
      </c>
      <c r="H1384" s="376"/>
      <c r="I1384" s="580">
        <f t="shared" si="116"/>
        <v>0</v>
      </c>
      <c r="J1384" s="961">
        <f t="shared" si="118"/>
        <v>0</v>
      </c>
      <c r="K1384" s="80"/>
      <c r="L1384" s="807">
        <v>1005</v>
      </c>
      <c r="M1384" s="80" t="str">
        <f>+IFERROR(VLOOKUP(L1384,DATA!$G$4:$H$2000,2,FALSE),"")</f>
        <v>Золжаргал</v>
      </c>
      <c r="N1384" s="630"/>
      <c r="O1384" s="80" t="str">
        <f>IFERROR(VLOOKUP(N1384,DATA!$K$4:$L$51,2,FALSE),"")</f>
        <v/>
      </c>
      <c r="P1384" s="80">
        <f t="shared" si="119"/>
        <v>0</v>
      </c>
      <c r="Q1384" s="154">
        <f t="shared" si="120"/>
        <v>0</v>
      </c>
    </row>
    <row r="1385" spans="2:17">
      <c r="B1385" s="627">
        <f t="shared" si="115"/>
        <v>1380</v>
      </c>
      <c r="C1385" s="582">
        <v>43402</v>
      </c>
      <c r="D1385" s="815" t="s">
        <v>2796</v>
      </c>
      <c r="E1385" s="630">
        <v>100100</v>
      </c>
      <c r="F1385" s="629" t="str">
        <f>IFERROR(VLOOKUP(E1385,STAT1!$C$4:$D$1000,2,FALSE),"")</f>
        <v>Касс мөнгө MNT</v>
      </c>
      <c r="G1385" s="376"/>
      <c r="H1385" s="376">
        <v>1097470</v>
      </c>
      <c r="I1385" s="580">
        <f t="shared" si="116"/>
        <v>-1097470</v>
      </c>
      <c r="J1385" s="961">
        <f t="shared" si="118"/>
        <v>0</v>
      </c>
      <c r="K1385" s="80"/>
      <c r="L1385" s="630">
        <v>3017</v>
      </c>
      <c r="M1385" s="80" t="str">
        <f>+IFERROR(VLOOKUP(L1385,DATA!$G$4:$H$2000,2,FALSE),"")</f>
        <v xml:space="preserve">ВОС ХХК </v>
      </c>
      <c r="N1385" s="630">
        <v>53</v>
      </c>
      <c r="O1385" s="80" t="str">
        <f>IFERROR(VLOOKUP(N1385,DATA!$K$4:$L$51,2,FALSE),"")</f>
        <v>Бараа материал худалдан авахад төлсөн</v>
      </c>
      <c r="P1385" s="80">
        <f t="shared" si="119"/>
        <v>1</v>
      </c>
      <c r="Q1385" s="154">
        <f t="shared" si="120"/>
        <v>1</v>
      </c>
    </row>
    <row r="1386" spans="2:17">
      <c r="B1386" s="627">
        <f t="shared" si="115"/>
        <v>1381</v>
      </c>
      <c r="C1386" s="582">
        <v>43402</v>
      </c>
      <c r="D1386" s="815" t="s">
        <v>2796</v>
      </c>
      <c r="E1386" s="630">
        <v>120100</v>
      </c>
      <c r="F1386" s="629" t="str">
        <f>IFERROR(VLOOKUP(E1386,STAT1!$C$4:$D$1000,2,FALSE),"")</f>
        <v xml:space="preserve">Дансны авлага MNT </v>
      </c>
      <c r="G1386" s="376">
        <v>1097470</v>
      </c>
      <c r="H1386" s="376"/>
      <c r="I1386" s="580">
        <f t="shared" si="116"/>
        <v>0</v>
      </c>
      <c r="J1386" s="961">
        <f t="shared" si="118"/>
        <v>0</v>
      </c>
      <c r="K1386" s="80"/>
      <c r="L1386" s="630">
        <v>3017</v>
      </c>
      <c r="M1386" s="80" t="str">
        <f>+IFERROR(VLOOKUP(L1386,DATA!$G$4:$H$2000,2,FALSE),"")</f>
        <v xml:space="preserve">ВОС ХХК </v>
      </c>
      <c r="N1386" s="630"/>
      <c r="O1386" s="80" t="str">
        <f>IFERROR(VLOOKUP(N1386,DATA!$K$4:$L$51,2,FALSE),"")</f>
        <v/>
      </c>
      <c r="P1386" s="80">
        <f t="shared" si="119"/>
        <v>0</v>
      </c>
      <c r="Q1386" s="154">
        <f t="shared" si="120"/>
        <v>0</v>
      </c>
    </row>
    <row r="1387" spans="2:17">
      <c r="B1387" s="627">
        <f t="shared" si="115"/>
        <v>1382</v>
      </c>
      <c r="C1387" s="582">
        <v>43402</v>
      </c>
      <c r="D1387" s="815" t="s">
        <v>1570</v>
      </c>
      <c r="E1387" s="630">
        <v>100100</v>
      </c>
      <c r="F1387" s="629" t="str">
        <f>IFERROR(VLOOKUP(E1387,STAT1!$C$4:$D$1000,2,FALSE),"")</f>
        <v>Касс мөнгө MNT</v>
      </c>
      <c r="G1387" s="376"/>
      <c r="H1387" s="376">
        <v>30000</v>
      </c>
      <c r="I1387" s="580">
        <f t="shared" si="116"/>
        <v>-30000</v>
      </c>
      <c r="J1387" s="961">
        <f t="shared" si="118"/>
        <v>0</v>
      </c>
      <c r="K1387" s="80"/>
      <c r="L1387" s="630">
        <v>1005</v>
      </c>
      <c r="M1387" s="80" t="str">
        <f>+IFERROR(VLOOKUP(L1387,DATA!$G$4:$H$2000,2,FALSE),"")</f>
        <v>Золжаргал</v>
      </c>
      <c r="N1387" s="630">
        <v>55</v>
      </c>
      <c r="O1387" s="80" t="str">
        <f>IFERROR(VLOOKUP(N1387,DATA!$K$4:$L$51,2,FALSE),"")</f>
        <v>Түлш, шатахуун, тээврийн хөлс, сэлбэг хэрэгсэлд төлсөн</v>
      </c>
      <c r="P1387" s="80">
        <f t="shared" si="119"/>
        <v>1</v>
      </c>
      <c r="Q1387" s="154">
        <f t="shared" si="120"/>
        <v>1</v>
      </c>
    </row>
    <row r="1388" spans="2:17">
      <c r="B1388" s="627">
        <f t="shared" si="115"/>
        <v>1383</v>
      </c>
      <c r="C1388" s="582">
        <v>43402</v>
      </c>
      <c r="D1388" s="815" t="s">
        <v>1570</v>
      </c>
      <c r="E1388" s="630">
        <v>702000</v>
      </c>
      <c r="F1388" s="629" t="str">
        <f>IFERROR(VLOOKUP(E1388,STAT1!$C$4:$D$1000,2,FALSE),"")</f>
        <v>Түлш, шатахуун</v>
      </c>
      <c r="G1388" s="376">
        <v>30000</v>
      </c>
      <c r="H1388" s="376"/>
      <c r="I1388" s="580">
        <f t="shared" si="116"/>
        <v>0</v>
      </c>
      <c r="J1388" s="961">
        <f t="shared" si="118"/>
        <v>0</v>
      </c>
      <c r="K1388" s="80"/>
      <c r="L1388" s="630">
        <v>1005</v>
      </c>
      <c r="M1388" s="80" t="str">
        <f>+IFERROR(VLOOKUP(L1388,DATA!$G$4:$H$2000,2,FALSE),"")</f>
        <v>Золжаргал</v>
      </c>
      <c r="N1388" s="630"/>
      <c r="O1388" s="80" t="str">
        <f>IFERROR(VLOOKUP(N1388,DATA!$K$4:$L$51,2,FALSE),"")</f>
        <v/>
      </c>
      <c r="P1388" s="80">
        <f t="shared" si="119"/>
        <v>0</v>
      </c>
      <c r="Q1388" s="154">
        <f t="shared" si="120"/>
        <v>0</v>
      </c>
    </row>
    <row r="1389" spans="2:17">
      <c r="B1389" s="627">
        <f t="shared" si="115"/>
        <v>1384</v>
      </c>
      <c r="C1389" s="582">
        <v>43402</v>
      </c>
      <c r="D1389" s="815" t="s">
        <v>1570</v>
      </c>
      <c r="E1389" s="630">
        <v>100100</v>
      </c>
      <c r="F1389" s="629" t="str">
        <f>IFERROR(VLOOKUP(E1389,STAT1!$C$4:$D$1000,2,FALSE),"")</f>
        <v>Касс мөнгө MNT</v>
      </c>
      <c r="G1389" s="376"/>
      <c r="H1389" s="376">
        <v>20000</v>
      </c>
      <c r="I1389" s="580">
        <f t="shared" si="116"/>
        <v>-20000</v>
      </c>
      <c r="J1389" s="961">
        <f t="shared" si="118"/>
        <v>0</v>
      </c>
      <c r="K1389" s="80"/>
      <c r="L1389" s="630">
        <v>1005</v>
      </c>
      <c r="M1389" s="80" t="str">
        <f>+IFERROR(VLOOKUP(L1389,DATA!$G$4:$H$2000,2,FALSE),"")</f>
        <v>Золжаргал</v>
      </c>
      <c r="N1389" s="630">
        <v>55</v>
      </c>
      <c r="O1389" s="80" t="str">
        <f>IFERROR(VLOOKUP(N1389,DATA!$K$4:$L$51,2,FALSE),"")</f>
        <v>Түлш, шатахуун, тээврийн хөлс, сэлбэг хэрэгсэлд төлсөн</v>
      </c>
      <c r="P1389" s="80">
        <f t="shared" si="119"/>
        <v>1</v>
      </c>
      <c r="Q1389" s="154">
        <f t="shared" si="120"/>
        <v>1</v>
      </c>
    </row>
    <row r="1390" spans="2:17">
      <c r="B1390" s="627">
        <f t="shared" si="115"/>
        <v>1385</v>
      </c>
      <c r="C1390" s="429">
        <v>43402</v>
      </c>
      <c r="D1390" s="816" t="s">
        <v>2799</v>
      </c>
      <c r="E1390" s="807">
        <v>160100</v>
      </c>
      <c r="F1390" s="629" t="str">
        <f>IFERROR(VLOOKUP(E1390,STAT1!$C$4:$D$1000,2,FALSE),"")</f>
        <v xml:space="preserve">Барилгын материал </v>
      </c>
      <c r="G1390" s="811">
        <v>997700</v>
      </c>
      <c r="H1390" s="811"/>
      <c r="I1390" s="580">
        <f t="shared" si="116"/>
        <v>0</v>
      </c>
      <c r="J1390" s="961">
        <f t="shared" si="118"/>
        <v>0</v>
      </c>
      <c r="K1390" s="80"/>
      <c r="L1390" s="807">
        <v>3017</v>
      </c>
      <c r="M1390" s="80" t="str">
        <f>+IFERROR(VLOOKUP(L1390,DATA!$G$4:$H$2000,2,FALSE),"")</f>
        <v xml:space="preserve">ВОС ХХК </v>
      </c>
      <c r="N1390" s="807"/>
      <c r="O1390" s="80" t="str">
        <f>IFERROR(VLOOKUP(N1390,DATA!$K$4:$L$51,2,FALSE),"")</f>
        <v/>
      </c>
      <c r="P1390" s="80">
        <f t="shared" si="119"/>
        <v>0</v>
      </c>
      <c r="Q1390" s="154">
        <f t="shared" si="120"/>
        <v>0</v>
      </c>
    </row>
    <row r="1391" spans="2:17">
      <c r="B1391" s="627">
        <f t="shared" si="115"/>
        <v>1386</v>
      </c>
      <c r="C1391" s="429">
        <v>43402</v>
      </c>
      <c r="D1391" s="816" t="s">
        <v>2799</v>
      </c>
      <c r="E1391" s="807">
        <v>120600</v>
      </c>
      <c r="F1391" s="629" t="str">
        <f>IFERROR(VLOOKUP(E1391,STAT1!$C$4:$D$1000,2,FALSE),"")</f>
        <v>НӨАТ авлага</v>
      </c>
      <c r="G1391" s="811">
        <v>99770</v>
      </c>
      <c r="H1391" s="811"/>
      <c r="I1391" s="580">
        <f t="shared" si="116"/>
        <v>0</v>
      </c>
      <c r="J1391" s="961">
        <f t="shared" si="118"/>
        <v>0</v>
      </c>
      <c r="K1391" s="80"/>
      <c r="L1391" s="807">
        <v>3017</v>
      </c>
      <c r="M1391" s="80" t="str">
        <f>+IFERROR(VLOOKUP(L1391,DATA!$G$4:$H$2000,2,FALSE),"")</f>
        <v xml:space="preserve">ВОС ХХК </v>
      </c>
      <c r="N1391" s="807"/>
      <c r="O1391" s="80" t="str">
        <f>IFERROR(VLOOKUP(N1391,DATA!$K$4:$L$51,2,FALSE),"")</f>
        <v/>
      </c>
      <c r="P1391" s="80">
        <f t="shared" si="119"/>
        <v>0</v>
      </c>
      <c r="Q1391" s="154">
        <f t="shared" si="120"/>
        <v>0</v>
      </c>
    </row>
    <row r="1392" spans="2:17">
      <c r="B1392" s="627">
        <f t="shared" si="115"/>
        <v>1387</v>
      </c>
      <c r="C1392" s="429">
        <v>43402</v>
      </c>
      <c r="D1392" s="816" t="s">
        <v>2799</v>
      </c>
      <c r="E1392" s="807">
        <v>120100</v>
      </c>
      <c r="F1392" s="629" t="str">
        <f>IFERROR(VLOOKUP(E1392,STAT1!$C$4:$D$1000,2,FALSE),"")</f>
        <v xml:space="preserve">Дансны авлага MNT </v>
      </c>
      <c r="G1392" s="811"/>
      <c r="H1392" s="811">
        <v>1097470</v>
      </c>
      <c r="I1392" s="580">
        <f t="shared" si="116"/>
        <v>0</v>
      </c>
      <c r="J1392" s="961">
        <f t="shared" si="118"/>
        <v>0</v>
      </c>
      <c r="K1392" s="80"/>
      <c r="L1392" s="807">
        <v>3017</v>
      </c>
      <c r="M1392" s="80" t="str">
        <f>+IFERROR(VLOOKUP(L1392,DATA!$G$4:$H$2000,2,FALSE),"")</f>
        <v xml:space="preserve">ВОС ХХК </v>
      </c>
      <c r="N1392" s="807"/>
      <c r="O1392" s="80" t="str">
        <f>IFERROR(VLOOKUP(N1392,DATA!$K$4:$L$51,2,FALSE),"")</f>
        <v/>
      </c>
      <c r="P1392" s="80">
        <f t="shared" si="119"/>
        <v>0</v>
      </c>
      <c r="Q1392" s="154">
        <f t="shared" si="120"/>
        <v>0</v>
      </c>
    </row>
    <row r="1393" spans="2:17">
      <c r="B1393" s="627">
        <f t="shared" si="115"/>
        <v>1388</v>
      </c>
      <c r="C1393" s="582">
        <v>43403</v>
      </c>
      <c r="D1393" s="815" t="s">
        <v>1570</v>
      </c>
      <c r="E1393" s="630">
        <v>702000</v>
      </c>
      <c r="F1393" s="629" t="str">
        <f>IFERROR(VLOOKUP(E1393,STAT1!$C$4:$D$1000,2,FALSE),"")</f>
        <v>Түлш, шатахуун</v>
      </c>
      <c r="G1393" s="376">
        <v>20000</v>
      </c>
      <c r="H1393" s="376"/>
      <c r="I1393" s="580">
        <f t="shared" si="116"/>
        <v>0</v>
      </c>
      <c r="J1393" s="961">
        <f t="shared" si="118"/>
        <v>0</v>
      </c>
      <c r="K1393" s="80"/>
      <c r="L1393" s="630">
        <v>1005</v>
      </c>
      <c r="M1393" s="80" t="str">
        <f>+IFERROR(VLOOKUP(L1393,DATA!$G$4:$H$2000,2,FALSE),"")</f>
        <v>Золжаргал</v>
      </c>
      <c r="N1393" s="630"/>
      <c r="O1393" s="80" t="str">
        <f>IFERROR(VLOOKUP(N1393,DATA!$K$4:$L$51,2,FALSE),"")</f>
        <v/>
      </c>
      <c r="P1393" s="80">
        <f t="shared" si="119"/>
        <v>0</v>
      </c>
      <c r="Q1393" s="154">
        <f t="shared" si="120"/>
        <v>0</v>
      </c>
    </row>
    <row r="1394" spans="2:17">
      <c r="B1394" s="627">
        <f t="shared" si="115"/>
        <v>1389</v>
      </c>
      <c r="C1394" s="582">
        <v>43403</v>
      </c>
      <c r="D1394" s="815" t="s">
        <v>2797</v>
      </c>
      <c r="E1394" s="630">
        <v>100100</v>
      </c>
      <c r="F1394" s="629" t="str">
        <f>IFERROR(VLOOKUP(E1394,STAT1!$C$4:$D$1000,2,FALSE),"")</f>
        <v>Касс мөнгө MNT</v>
      </c>
      <c r="G1394" s="376"/>
      <c r="H1394" s="376">
        <v>1440000</v>
      </c>
      <c r="I1394" s="580">
        <f t="shared" si="116"/>
        <v>-1440000</v>
      </c>
      <c r="J1394" s="961">
        <f t="shared" si="118"/>
        <v>0</v>
      </c>
      <c r="K1394" s="80"/>
      <c r="L1394" s="630">
        <v>1005</v>
      </c>
      <c r="M1394" s="80" t="str">
        <f>+IFERROR(VLOOKUP(L1394,DATA!$G$4:$H$2000,2,FALSE),"")</f>
        <v>Золжаргал</v>
      </c>
      <c r="N1394" s="630">
        <v>53</v>
      </c>
      <c r="O1394" s="80" t="str">
        <f>IFERROR(VLOOKUP(N1394,DATA!$K$4:$L$51,2,FALSE),"")</f>
        <v>Бараа материал худалдан авахад төлсөн</v>
      </c>
      <c r="P1394" s="80">
        <f t="shared" si="119"/>
        <v>1</v>
      </c>
      <c r="Q1394" s="154">
        <f t="shared" si="120"/>
        <v>1</v>
      </c>
    </row>
    <row r="1395" spans="2:17">
      <c r="B1395" s="627">
        <f t="shared" si="115"/>
        <v>1390</v>
      </c>
      <c r="C1395" s="582">
        <v>43403</v>
      </c>
      <c r="D1395" s="815" t="s">
        <v>2797</v>
      </c>
      <c r="E1395" s="630">
        <v>121200</v>
      </c>
      <c r="F1395" s="629" t="str">
        <f>IFERROR(VLOOKUP(E1395,STAT1!$C$4:$D$1000,2,FALSE),"")</f>
        <v xml:space="preserve">Ажилчидын дараа тайлангийн тооцоо </v>
      </c>
      <c r="G1395" s="376">
        <v>1440000</v>
      </c>
      <c r="H1395" s="376"/>
      <c r="I1395" s="580">
        <f t="shared" si="116"/>
        <v>0</v>
      </c>
      <c r="J1395" s="961">
        <f t="shared" si="118"/>
        <v>0</v>
      </c>
      <c r="K1395" s="80"/>
      <c r="L1395" s="630">
        <v>1005</v>
      </c>
      <c r="M1395" s="80" t="str">
        <f>+IFERROR(VLOOKUP(L1395,DATA!$G$4:$H$2000,2,FALSE),"")</f>
        <v>Золжаргал</v>
      </c>
      <c r="N1395" s="630"/>
      <c r="O1395" s="80" t="str">
        <f>IFERROR(VLOOKUP(N1395,DATA!$K$4:$L$51,2,FALSE),"")</f>
        <v/>
      </c>
      <c r="P1395" s="80">
        <f t="shared" si="119"/>
        <v>0</v>
      </c>
      <c r="Q1395" s="154">
        <f t="shared" si="120"/>
        <v>0</v>
      </c>
    </row>
    <row r="1396" spans="2:17">
      <c r="B1396" s="627">
        <f t="shared" si="115"/>
        <v>1391</v>
      </c>
      <c r="C1396" s="582">
        <v>43403</v>
      </c>
      <c r="D1396" s="816" t="s">
        <v>2798</v>
      </c>
      <c r="E1396" s="630">
        <v>120100</v>
      </c>
      <c r="F1396" s="629" t="str">
        <f>IFERROR(VLOOKUP(E1396,STAT1!$C$4:$D$1000,2,FALSE),"")</f>
        <v xml:space="preserve">Дансны авлага MNT </v>
      </c>
      <c r="G1396" s="376"/>
      <c r="H1396" s="376">
        <v>274101.10000000003</v>
      </c>
      <c r="I1396" s="580">
        <f t="shared" si="116"/>
        <v>0</v>
      </c>
      <c r="J1396" s="961">
        <f t="shared" si="118"/>
        <v>0</v>
      </c>
      <c r="K1396" s="80"/>
      <c r="L1396" s="807">
        <v>2003</v>
      </c>
      <c r="M1396" s="80" t="str">
        <f>+IFERROR(VLOOKUP(L1396,DATA!$G$4:$H$2000,2,FALSE),"")</f>
        <v xml:space="preserve">УБЦТС ТӨХК </v>
      </c>
      <c r="N1396" s="630"/>
      <c r="O1396" s="80" t="str">
        <f>IFERROR(VLOOKUP(N1396,DATA!$K$4:$L$51,2,FALSE),"")</f>
        <v/>
      </c>
      <c r="P1396" s="80">
        <f t="shared" si="119"/>
        <v>0</v>
      </c>
      <c r="Q1396" s="154">
        <f t="shared" si="120"/>
        <v>0</v>
      </c>
    </row>
    <row r="1397" spans="2:17">
      <c r="B1397" s="627">
        <f t="shared" si="115"/>
        <v>1392</v>
      </c>
      <c r="C1397" s="582">
        <v>43403</v>
      </c>
      <c r="D1397" s="816" t="s">
        <v>2798</v>
      </c>
      <c r="E1397" s="807">
        <v>120600</v>
      </c>
      <c r="F1397" s="629" t="str">
        <f>IFERROR(VLOOKUP(E1397,STAT1!$C$4:$D$1000,2,FALSE),"")</f>
        <v>НӨАТ авлага</v>
      </c>
      <c r="G1397" s="811">
        <v>243999.18</v>
      </c>
      <c r="H1397" s="811"/>
      <c r="I1397" s="580">
        <f t="shared" si="116"/>
        <v>0</v>
      </c>
      <c r="J1397" s="961">
        <f t="shared" si="118"/>
        <v>0</v>
      </c>
      <c r="K1397" s="80"/>
      <c r="L1397" s="807">
        <v>2003</v>
      </c>
      <c r="M1397" s="80" t="str">
        <f>+IFERROR(VLOOKUP(L1397,DATA!$G$4:$H$2000,2,FALSE),"")</f>
        <v xml:space="preserve">УБЦТС ТӨХК </v>
      </c>
      <c r="N1397" s="807"/>
      <c r="O1397" s="80" t="str">
        <f>IFERROR(VLOOKUP(N1397,DATA!$K$4:$L$51,2,FALSE),"")</f>
        <v/>
      </c>
      <c r="P1397" s="80">
        <f t="shared" si="119"/>
        <v>0</v>
      </c>
      <c r="Q1397" s="154">
        <f t="shared" si="120"/>
        <v>0</v>
      </c>
    </row>
    <row r="1398" spans="2:17">
      <c r="B1398" s="627">
        <f t="shared" si="115"/>
        <v>1393</v>
      </c>
      <c r="C1398" s="582">
        <v>43403</v>
      </c>
      <c r="D1398" s="816" t="s">
        <v>2798</v>
      </c>
      <c r="E1398" s="807">
        <v>700700</v>
      </c>
      <c r="F1398" s="629" t="str">
        <f>IFERROR(VLOOKUP(E1398,STAT1!$C$4:$D$1000,2,FALSE),"")</f>
        <v>Цахилгаан эрчим хүч</v>
      </c>
      <c r="G1398" s="811">
        <f>274101.1-243999.18</f>
        <v>30101.919999999984</v>
      </c>
      <c r="H1398" s="811"/>
      <c r="I1398" s="580">
        <f t="shared" si="116"/>
        <v>0</v>
      </c>
      <c r="J1398" s="961">
        <f t="shared" si="118"/>
        <v>0</v>
      </c>
      <c r="K1398" s="80"/>
      <c r="L1398" s="807">
        <v>2003</v>
      </c>
      <c r="M1398" s="80" t="str">
        <f>+IFERROR(VLOOKUP(L1398,DATA!$G$4:$H$2000,2,FALSE),"")</f>
        <v xml:space="preserve">УБЦТС ТӨХК </v>
      </c>
      <c r="N1398" s="807"/>
      <c r="O1398" s="80" t="str">
        <f>IFERROR(VLOOKUP(N1398,DATA!$K$4:$L$51,2,FALSE),"")</f>
        <v/>
      </c>
      <c r="P1398" s="80">
        <f t="shared" si="119"/>
        <v>0</v>
      </c>
      <c r="Q1398" s="154">
        <f t="shared" si="120"/>
        <v>0</v>
      </c>
    </row>
    <row r="1399" spans="2:17">
      <c r="B1399" s="627">
        <f t="shared" si="115"/>
        <v>1394</v>
      </c>
      <c r="C1399" s="429">
        <v>43403</v>
      </c>
      <c r="D1399" s="816" t="s">
        <v>2800</v>
      </c>
      <c r="E1399" s="807">
        <v>140100</v>
      </c>
      <c r="F1399" s="629" t="str">
        <f>IFERROR(VLOOKUP(E1399,STAT1!$C$4:$D$1000,2,FALSE),"")</f>
        <v>Түүхий эд материал</v>
      </c>
      <c r="G1399" s="811">
        <v>1440000</v>
      </c>
      <c r="H1399" s="811"/>
      <c r="I1399" s="580">
        <f t="shared" si="116"/>
        <v>0</v>
      </c>
      <c r="J1399" s="961">
        <f t="shared" ref="J1399:J1430" si="121">+IF(E1399=110200,I1399/K1399,0)</f>
        <v>0</v>
      </c>
      <c r="K1399" s="80"/>
      <c r="L1399" s="807">
        <v>1005</v>
      </c>
      <c r="M1399" s="80" t="str">
        <f>+IFERROR(VLOOKUP(L1399,DATA!$G$4:$H$2000,2,FALSE),"")</f>
        <v>Золжаргал</v>
      </c>
      <c r="N1399" s="807"/>
      <c r="O1399" s="80" t="str">
        <f>IFERROR(VLOOKUP(N1399,DATA!$K$4:$L$51,2,FALSE),"")</f>
        <v/>
      </c>
      <c r="P1399" s="80">
        <f t="shared" si="119"/>
        <v>0</v>
      </c>
      <c r="Q1399" s="154">
        <f t="shared" si="120"/>
        <v>0</v>
      </c>
    </row>
    <row r="1400" spans="2:17">
      <c r="B1400" s="627">
        <f t="shared" si="115"/>
        <v>1395</v>
      </c>
      <c r="C1400" s="429">
        <v>43403</v>
      </c>
      <c r="D1400" s="816" t="s">
        <v>2800</v>
      </c>
      <c r="E1400" s="807">
        <v>121200</v>
      </c>
      <c r="F1400" s="629" t="str">
        <f>IFERROR(VLOOKUP(E1400,STAT1!$C$4:$D$1000,2,FALSE),"")</f>
        <v xml:space="preserve">Ажилчидын дараа тайлангийн тооцоо </v>
      </c>
      <c r="G1400" s="811"/>
      <c r="H1400" s="811">
        <v>1440000</v>
      </c>
      <c r="I1400" s="580">
        <f t="shared" si="116"/>
        <v>0</v>
      </c>
      <c r="J1400" s="961">
        <f t="shared" si="121"/>
        <v>0</v>
      </c>
      <c r="K1400" s="80"/>
      <c r="L1400" s="807">
        <v>1005</v>
      </c>
      <c r="M1400" s="80" t="str">
        <f>+IFERROR(VLOOKUP(L1400,DATA!$G$4:$H$2000,2,FALSE),"")</f>
        <v>Золжаргал</v>
      </c>
      <c r="N1400" s="807"/>
      <c r="O1400" s="80" t="str">
        <f>IFERROR(VLOOKUP(N1400,DATA!$K$4:$L$51,2,FALSE),"")</f>
        <v/>
      </c>
      <c r="P1400" s="80">
        <f t="shared" si="119"/>
        <v>0</v>
      </c>
      <c r="Q1400" s="154">
        <f t="shared" si="120"/>
        <v>0</v>
      </c>
    </row>
    <row r="1401" spans="2:17">
      <c r="B1401" s="627">
        <f t="shared" si="115"/>
        <v>1396</v>
      </c>
      <c r="C1401" s="582">
        <v>43404</v>
      </c>
      <c r="D1401" s="895" t="s">
        <v>2783</v>
      </c>
      <c r="E1401" s="630">
        <v>700200</v>
      </c>
      <c r="F1401" s="629" t="str">
        <f>IFERROR(VLOOKUP(E1401,STAT1!$C$4:$D$1000,2,FALSE),"")</f>
        <v>НДШимтгэл</v>
      </c>
      <c r="G1401" s="376">
        <v>1406278.69</v>
      </c>
      <c r="H1401" s="896"/>
      <c r="I1401" s="580">
        <f t="shared" si="116"/>
        <v>0</v>
      </c>
      <c r="J1401" s="961">
        <f t="shared" si="121"/>
        <v>0</v>
      </c>
      <c r="K1401" s="80"/>
      <c r="L1401" s="630">
        <v>1004</v>
      </c>
      <c r="M1401" s="80" t="str">
        <f>+IFERROR(VLOOKUP(L1401,DATA!$G$4:$H$2000,2,FALSE),"")</f>
        <v xml:space="preserve">Түмэндэлгэр </v>
      </c>
      <c r="N1401" s="630"/>
      <c r="O1401" s="80" t="str">
        <f>IFERROR(VLOOKUP(N1401,DATA!$K$4:$L$51,2,FALSE),"")</f>
        <v/>
      </c>
      <c r="P1401" s="80">
        <f t="shared" si="119"/>
        <v>0</v>
      </c>
      <c r="Q1401" s="154">
        <f t="shared" si="120"/>
        <v>0</v>
      </c>
    </row>
    <row r="1402" spans="2:17">
      <c r="B1402" s="627">
        <f t="shared" si="115"/>
        <v>1397</v>
      </c>
      <c r="C1402" s="582">
        <v>43404</v>
      </c>
      <c r="D1402" s="895" t="s">
        <v>2783</v>
      </c>
      <c r="E1402" s="630">
        <v>310800</v>
      </c>
      <c r="F1402" s="629" t="str">
        <f>IFERROR(VLOOKUP(E1402,STAT1!$C$4:$D$1000,2,FALSE),"")</f>
        <v>НД-ын байгууллагад өгөх өглөг</v>
      </c>
      <c r="G1402" s="896"/>
      <c r="H1402" s="376">
        <v>1406278.69</v>
      </c>
      <c r="I1402" s="580">
        <f t="shared" si="116"/>
        <v>0</v>
      </c>
      <c r="J1402" s="961">
        <f t="shared" si="121"/>
        <v>0</v>
      </c>
      <c r="K1402" s="80"/>
      <c r="L1402" s="630">
        <v>1004</v>
      </c>
      <c r="M1402" s="80" t="str">
        <f>+IFERROR(VLOOKUP(L1402,DATA!$G$4:$H$2000,2,FALSE),"")</f>
        <v xml:space="preserve">Түмэндэлгэр </v>
      </c>
      <c r="N1402" s="630"/>
      <c r="O1402" s="80" t="str">
        <f>IFERROR(VLOOKUP(N1402,DATA!$K$4:$L$51,2,FALSE),"")</f>
        <v/>
      </c>
      <c r="P1402" s="80">
        <f t="shared" si="119"/>
        <v>0</v>
      </c>
      <c r="Q1402" s="154">
        <f t="shared" si="120"/>
        <v>0</v>
      </c>
    </row>
    <row r="1403" spans="2:17">
      <c r="B1403" s="627">
        <f t="shared" si="115"/>
        <v>1398</v>
      </c>
      <c r="C1403" s="582">
        <v>43404</v>
      </c>
      <c r="D1403" s="895" t="s">
        <v>2784</v>
      </c>
      <c r="E1403" s="630">
        <v>310800</v>
      </c>
      <c r="F1403" s="629" t="str">
        <f>IFERROR(VLOOKUP(E1403,STAT1!$C$4:$D$1000,2,FALSE),"")</f>
        <v>НД-ын байгууллагад өгөх өглөг</v>
      </c>
      <c r="G1403" s="896"/>
      <c r="H1403" s="376">
        <v>1161534.8500000001</v>
      </c>
      <c r="I1403" s="580">
        <f t="shared" si="116"/>
        <v>0</v>
      </c>
      <c r="J1403" s="961">
        <f t="shared" si="121"/>
        <v>0</v>
      </c>
      <c r="K1403" s="80"/>
      <c r="L1403" s="630">
        <v>1004</v>
      </c>
      <c r="M1403" s="80" t="str">
        <f>+IFERROR(VLOOKUP(L1403,DATA!$G$4:$H$2000,2,FALSE),"")</f>
        <v xml:space="preserve">Түмэндэлгэр </v>
      </c>
      <c r="N1403" s="630"/>
      <c r="O1403" s="80" t="str">
        <f>IFERROR(VLOOKUP(N1403,DATA!$K$4:$L$51,2,FALSE),"")</f>
        <v/>
      </c>
      <c r="P1403" s="80">
        <f t="shared" si="119"/>
        <v>0</v>
      </c>
      <c r="Q1403" s="154">
        <f t="shared" si="120"/>
        <v>0</v>
      </c>
    </row>
    <row r="1404" spans="2:17">
      <c r="B1404" s="627">
        <f t="shared" si="115"/>
        <v>1399</v>
      </c>
      <c r="C1404" s="582">
        <v>43404</v>
      </c>
      <c r="D1404" s="895" t="s">
        <v>2785</v>
      </c>
      <c r="E1404" s="630">
        <v>310700</v>
      </c>
      <c r="F1404" s="629" t="str">
        <f>IFERROR(VLOOKUP(E1404,STAT1!$C$4:$D$1000,2,FALSE),"")</f>
        <v>ХАОАТ өглөг</v>
      </c>
      <c r="G1404" s="896"/>
      <c r="H1404" s="376">
        <v>788232.41</v>
      </c>
      <c r="I1404" s="580">
        <f t="shared" si="116"/>
        <v>0</v>
      </c>
      <c r="J1404" s="961">
        <f t="shared" si="121"/>
        <v>0</v>
      </c>
      <c r="K1404" s="80"/>
      <c r="L1404" s="630">
        <v>1004</v>
      </c>
      <c r="M1404" s="80" t="str">
        <f>+IFERROR(VLOOKUP(L1404,DATA!$G$4:$H$2000,2,FALSE),"")</f>
        <v xml:space="preserve">Түмэндэлгэр </v>
      </c>
      <c r="N1404" s="630"/>
      <c r="O1404" s="80" t="str">
        <f>IFERROR(VLOOKUP(N1404,DATA!$K$4:$L$51,2,FALSE),"")</f>
        <v/>
      </c>
      <c r="P1404" s="80">
        <f t="shared" si="119"/>
        <v>0</v>
      </c>
      <c r="Q1404" s="154">
        <f t="shared" si="120"/>
        <v>0</v>
      </c>
    </row>
    <row r="1405" spans="2:17">
      <c r="B1405" s="627">
        <f t="shared" si="115"/>
        <v>1400</v>
      </c>
      <c r="C1405" s="582">
        <v>43404</v>
      </c>
      <c r="D1405" s="895" t="s">
        <v>2786</v>
      </c>
      <c r="E1405" s="630">
        <v>311000</v>
      </c>
      <c r="F1405" s="629" t="str">
        <f>IFERROR(VLOOKUP(E1405,STAT1!$C$4:$D$1000,2,FALSE),"")</f>
        <v>Цалингийн өглөг</v>
      </c>
      <c r="G1405" s="896"/>
      <c r="H1405" s="376">
        <v>8727425.0500000007</v>
      </c>
      <c r="I1405" s="580">
        <f t="shared" si="116"/>
        <v>0</v>
      </c>
      <c r="J1405" s="961">
        <f t="shared" si="121"/>
        <v>0</v>
      </c>
      <c r="K1405" s="80"/>
      <c r="L1405" s="630">
        <v>1004</v>
      </c>
      <c r="M1405" s="80" t="str">
        <f>+IFERROR(VLOOKUP(L1405,DATA!$G$4:$H$2000,2,FALSE),"")</f>
        <v xml:space="preserve">Түмэндэлгэр </v>
      </c>
      <c r="N1405" s="630"/>
      <c r="O1405" s="80" t="str">
        <f>IFERROR(VLOOKUP(N1405,DATA!$K$4:$L$51,2,FALSE),"")</f>
        <v/>
      </c>
      <c r="P1405" s="80">
        <f t="shared" si="119"/>
        <v>0</v>
      </c>
      <c r="Q1405" s="154">
        <f t="shared" si="120"/>
        <v>0</v>
      </c>
    </row>
    <row r="1406" spans="2:17">
      <c r="B1406" s="627">
        <f t="shared" si="115"/>
        <v>1401</v>
      </c>
      <c r="C1406" s="582">
        <v>43404</v>
      </c>
      <c r="D1406" s="895" t="s">
        <v>2787</v>
      </c>
      <c r="E1406" s="630">
        <v>700100</v>
      </c>
      <c r="F1406" s="629" t="str">
        <f>IFERROR(VLOOKUP(E1406,STAT1!$C$4:$D$1000,2,FALSE),"")</f>
        <v>Цалин хөлс, шагнал</v>
      </c>
      <c r="G1406" s="376">
        <v>10677192.310000001</v>
      </c>
      <c r="H1406" s="896"/>
      <c r="I1406" s="580">
        <f t="shared" si="116"/>
        <v>0</v>
      </c>
      <c r="J1406" s="961">
        <f t="shared" si="121"/>
        <v>0</v>
      </c>
      <c r="K1406" s="80"/>
      <c r="L1406" s="630">
        <v>1004</v>
      </c>
      <c r="M1406" s="80" t="str">
        <f>+IFERROR(VLOOKUP(L1406,DATA!$G$4:$H$2000,2,FALSE),"")</f>
        <v xml:space="preserve">Түмэндэлгэр </v>
      </c>
      <c r="N1406" s="630"/>
      <c r="O1406" s="80" t="str">
        <f>IFERROR(VLOOKUP(N1406,DATA!$K$4:$L$51,2,FALSE),"")</f>
        <v/>
      </c>
      <c r="P1406" s="80">
        <f t="shared" si="119"/>
        <v>0</v>
      </c>
      <c r="Q1406" s="154">
        <f t="shared" si="120"/>
        <v>0</v>
      </c>
    </row>
    <row r="1407" spans="2:17">
      <c r="B1407" s="627">
        <f t="shared" si="115"/>
        <v>1402</v>
      </c>
      <c r="C1407" s="582">
        <v>43404</v>
      </c>
      <c r="D1407" s="815" t="s">
        <v>2795</v>
      </c>
      <c r="E1407" s="630">
        <v>100100</v>
      </c>
      <c r="F1407" s="629" t="str">
        <f>IFERROR(VLOOKUP(E1407,STAT1!$C$4:$D$1000,2,FALSE),"")</f>
        <v>Касс мөнгө MNT</v>
      </c>
      <c r="G1407" s="376"/>
      <c r="H1407" s="376">
        <v>8727425.0500000007</v>
      </c>
      <c r="I1407" s="580">
        <f t="shared" si="116"/>
        <v>-8727425.0500000007</v>
      </c>
      <c r="J1407" s="961">
        <f t="shared" si="121"/>
        <v>0</v>
      </c>
      <c r="K1407" s="80"/>
      <c r="L1407" s="630">
        <v>1004</v>
      </c>
      <c r="M1407" s="80" t="str">
        <f>+IFERROR(VLOOKUP(L1407,DATA!$G$4:$H$2000,2,FALSE),"")</f>
        <v xml:space="preserve">Түмэндэлгэр </v>
      </c>
      <c r="N1407" s="630">
        <v>51</v>
      </c>
      <c r="O1407" s="80" t="str">
        <f>IFERROR(VLOOKUP(N1407,DATA!$K$4:$L$51,2,FALSE),"")</f>
        <v>Ажиллагчдад төлсөн</v>
      </c>
      <c r="P1407" s="80">
        <f t="shared" si="119"/>
        <v>1</v>
      </c>
      <c r="Q1407" s="154">
        <f t="shared" si="120"/>
        <v>1</v>
      </c>
    </row>
    <row r="1408" spans="2:17">
      <c r="B1408" s="627">
        <f t="shared" si="115"/>
        <v>1403</v>
      </c>
      <c r="C1408" s="582">
        <v>43404</v>
      </c>
      <c r="D1408" s="815" t="s">
        <v>2795</v>
      </c>
      <c r="E1408" s="630">
        <v>311000</v>
      </c>
      <c r="F1408" s="629" t="str">
        <f>IFERROR(VLOOKUP(E1408,STAT1!$C$4:$D$1000,2,FALSE),"")</f>
        <v>Цалингийн өглөг</v>
      </c>
      <c r="G1408" s="376">
        <v>8727425.0500000007</v>
      </c>
      <c r="H1408" s="376"/>
      <c r="I1408" s="580">
        <f t="shared" si="116"/>
        <v>0</v>
      </c>
      <c r="J1408" s="961">
        <f t="shared" si="121"/>
        <v>0</v>
      </c>
      <c r="K1408" s="80"/>
      <c r="L1408" s="630">
        <v>1004</v>
      </c>
      <c r="M1408" s="80" t="str">
        <f>+IFERROR(VLOOKUP(L1408,DATA!$G$4:$H$2000,2,FALSE),"")</f>
        <v xml:space="preserve">Түмэндэлгэр </v>
      </c>
      <c r="N1408" s="630"/>
      <c r="O1408" s="80" t="str">
        <f>IFERROR(VLOOKUP(N1408,DATA!$K$4:$L$51,2,FALSE),"")</f>
        <v/>
      </c>
      <c r="P1408" s="80">
        <f t="shared" si="119"/>
        <v>0</v>
      </c>
      <c r="Q1408" s="154">
        <f t="shared" si="120"/>
        <v>0</v>
      </c>
    </row>
    <row r="1409" spans="2:17">
      <c r="B1409" s="627">
        <f t="shared" si="115"/>
        <v>1404</v>
      </c>
      <c r="C1409" s="429">
        <v>43404</v>
      </c>
      <c r="D1409" s="816" t="s">
        <v>2801</v>
      </c>
      <c r="E1409" s="807">
        <v>120100</v>
      </c>
      <c r="F1409" s="629" t="str">
        <f>IFERROR(VLOOKUP(E1409,STAT1!$C$4:$D$1000,2,FALSE),"")</f>
        <v xml:space="preserve">Дансны авлага MNT </v>
      </c>
      <c r="G1409" s="811"/>
      <c r="H1409" s="811">
        <v>93430.41</v>
      </c>
      <c r="I1409" s="580">
        <f t="shared" si="116"/>
        <v>0</v>
      </c>
      <c r="J1409" s="961">
        <f t="shared" si="121"/>
        <v>0</v>
      </c>
      <c r="K1409" s="80"/>
      <c r="L1409" s="807">
        <v>2004</v>
      </c>
      <c r="M1409" s="80" t="str">
        <f>+IFERROR(VLOOKUP(L1409,DATA!$G$4:$H$2000,2,FALSE),"")</f>
        <v xml:space="preserve">ДЦС-3 ТӨХК </v>
      </c>
      <c r="N1409" s="807"/>
      <c r="O1409" s="80" t="str">
        <f>IFERROR(VLOOKUP(N1409,DATA!$K$4:$L$51,2,FALSE),"")</f>
        <v/>
      </c>
      <c r="P1409" s="80">
        <f t="shared" si="119"/>
        <v>0</v>
      </c>
      <c r="Q1409" s="154">
        <f t="shared" si="120"/>
        <v>0</v>
      </c>
    </row>
    <row r="1410" spans="2:17">
      <c r="B1410" s="627">
        <f t="shared" si="115"/>
        <v>1405</v>
      </c>
      <c r="C1410" s="429">
        <v>43404</v>
      </c>
      <c r="D1410" s="816" t="s">
        <v>2801</v>
      </c>
      <c r="E1410" s="807">
        <v>120600</v>
      </c>
      <c r="F1410" s="629" t="str">
        <f>IFERROR(VLOOKUP(E1410,STAT1!$C$4:$D$1000,2,FALSE),"")</f>
        <v>НӨАТ авлага</v>
      </c>
      <c r="G1410" s="811">
        <v>93430.41</v>
      </c>
      <c r="H1410" s="811"/>
      <c r="I1410" s="580">
        <f t="shared" si="116"/>
        <v>0</v>
      </c>
      <c r="J1410" s="961">
        <f t="shared" si="121"/>
        <v>0</v>
      </c>
      <c r="K1410" s="80"/>
      <c r="L1410" s="807">
        <v>2004</v>
      </c>
      <c r="M1410" s="80" t="str">
        <f>+IFERROR(VLOOKUP(L1410,DATA!$G$4:$H$2000,2,FALSE),"")</f>
        <v xml:space="preserve">ДЦС-3 ТӨХК </v>
      </c>
      <c r="N1410" s="807"/>
      <c r="O1410" s="80" t="str">
        <f>IFERROR(VLOOKUP(N1410,DATA!$K$4:$L$51,2,FALSE),"")</f>
        <v/>
      </c>
      <c r="P1410" s="80">
        <f t="shared" si="119"/>
        <v>0</v>
      </c>
      <c r="Q1410" s="154">
        <f t="shared" si="120"/>
        <v>0</v>
      </c>
    </row>
    <row r="1411" spans="2:17">
      <c r="B1411" s="627">
        <f t="shared" si="115"/>
        <v>1406</v>
      </c>
      <c r="C1411" s="429">
        <v>43404</v>
      </c>
      <c r="D1411" s="816" t="s">
        <v>2802</v>
      </c>
      <c r="E1411" s="807">
        <v>120100</v>
      </c>
      <c r="F1411" s="629" t="str">
        <f>IFERROR(VLOOKUP(E1411,STAT1!$C$4:$D$1000,2,FALSE),"")</f>
        <v xml:space="preserve">Дансны авлага MNT </v>
      </c>
      <c r="G1411" s="811"/>
      <c r="H1411" s="811">
        <v>227535.9</v>
      </c>
      <c r="I1411" s="580">
        <f t="shared" si="116"/>
        <v>0</v>
      </c>
      <c r="J1411" s="961">
        <f t="shared" si="121"/>
        <v>0</v>
      </c>
      <c r="K1411" s="80"/>
      <c r="L1411" s="807">
        <v>2004</v>
      </c>
      <c r="M1411" s="80" t="str">
        <f>+IFERROR(VLOOKUP(L1411,DATA!$G$4:$H$2000,2,FALSE),"")</f>
        <v xml:space="preserve">ДЦС-3 ТӨХК </v>
      </c>
      <c r="N1411" s="807"/>
      <c r="O1411" s="80" t="str">
        <f>IFERROR(VLOOKUP(N1411,DATA!$K$4:$L$51,2,FALSE),"")</f>
        <v/>
      </c>
      <c r="P1411" s="80">
        <f t="shared" ref="P1411:P1446" si="122">+IF(I1411,1,0)</f>
        <v>0</v>
      </c>
      <c r="Q1411" s="154">
        <f t="shared" ref="Q1411:Q1446" si="123">+IF(I1411,1,0)</f>
        <v>0</v>
      </c>
    </row>
    <row r="1412" spans="2:17">
      <c r="B1412" s="627">
        <f t="shared" si="115"/>
        <v>1407</v>
      </c>
      <c r="C1412" s="429">
        <v>43404</v>
      </c>
      <c r="D1412" s="816" t="s">
        <v>2802</v>
      </c>
      <c r="E1412" s="807">
        <v>120600</v>
      </c>
      <c r="F1412" s="629" t="str">
        <f>IFERROR(VLOOKUP(E1412,STAT1!$C$4:$D$1000,2,FALSE),"")</f>
        <v>НӨАТ авлага</v>
      </c>
      <c r="G1412" s="811">
        <v>227535.9</v>
      </c>
      <c r="H1412" s="811"/>
      <c r="I1412" s="580">
        <f t="shared" si="116"/>
        <v>0</v>
      </c>
      <c r="J1412" s="961">
        <f t="shared" si="121"/>
        <v>0</v>
      </c>
      <c r="K1412" s="80"/>
      <c r="L1412" s="807">
        <v>2004</v>
      </c>
      <c r="M1412" s="80" t="str">
        <f>+IFERROR(VLOOKUP(L1412,DATA!$G$4:$H$2000,2,FALSE),"")</f>
        <v xml:space="preserve">ДЦС-3 ТӨХК </v>
      </c>
      <c r="N1412" s="807"/>
      <c r="O1412" s="80" t="str">
        <f>IFERROR(VLOOKUP(N1412,DATA!$K$4:$L$51,2,FALSE),"")</f>
        <v/>
      </c>
      <c r="P1412" s="80">
        <f t="shared" si="122"/>
        <v>0</v>
      </c>
      <c r="Q1412" s="154">
        <f t="shared" si="123"/>
        <v>0</v>
      </c>
    </row>
    <row r="1413" spans="2:17">
      <c r="B1413" s="627">
        <f t="shared" ref="B1413:B1446" si="124">+IF(C1413="","",ROW()-5)</f>
        <v>1408</v>
      </c>
      <c r="C1413" s="429">
        <v>43404</v>
      </c>
      <c r="D1413" s="815" t="s">
        <v>2803</v>
      </c>
      <c r="E1413" s="807">
        <v>100100</v>
      </c>
      <c r="F1413" s="629" t="str">
        <f>IFERROR(VLOOKUP(E1413,STAT1!$C$4:$D$1000,2,FALSE),"")</f>
        <v>Касс мөнгө MNT</v>
      </c>
      <c r="G1413" s="811"/>
      <c r="H1413" s="811">
        <v>250000</v>
      </c>
      <c r="I1413" s="580">
        <f t="shared" si="116"/>
        <v>-250000</v>
      </c>
      <c r="J1413" s="961">
        <f t="shared" si="121"/>
        <v>0</v>
      </c>
      <c r="K1413" s="80"/>
      <c r="L1413" s="807">
        <v>1005</v>
      </c>
      <c r="M1413" s="80" t="str">
        <f>+IFERROR(VLOOKUP(L1413,DATA!$G$4:$H$2000,2,FALSE),"")</f>
        <v>Золжаргал</v>
      </c>
      <c r="N1413" s="807">
        <v>53</v>
      </c>
      <c r="O1413" s="80" t="str">
        <f>IFERROR(VLOOKUP(N1413,DATA!$K$4:$L$51,2,FALSE),"")</f>
        <v>Бараа материал худалдан авахад төлсөн</v>
      </c>
      <c r="P1413" s="80">
        <f t="shared" si="122"/>
        <v>1</v>
      </c>
      <c r="Q1413" s="154">
        <f t="shared" si="123"/>
        <v>1</v>
      </c>
    </row>
    <row r="1414" spans="2:17">
      <c r="B1414" s="627">
        <f t="shared" si="124"/>
        <v>1409</v>
      </c>
      <c r="C1414" s="429">
        <v>43404</v>
      </c>
      <c r="D1414" s="815" t="s">
        <v>2803</v>
      </c>
      <c r="E1414" s="630">
        <v>120600</v>
      </c>
      <c r="F1414" s="629" t="str">
        <f>IFERROR(VLOOKUP(E1414,STAT1!$C$4:$D$1000,2,FALSE),"")</f>
        <v>НӨАТ авлага</v>
      </c>
      <c r="G1414" s="376">
        <v>22727.27</v>
      </c>
      <c r="H1414" s="376"/>
      <c r="I1414" s="580">
        <f t="shared" si="116"/>
        <v>0</v>
      </c>
      <c r="J1414" s="961">
        <f t="shared" si="121"/>
        <v>0</v>
      </c>
      <c r="K1414" s="80"/>
      <c r="L1414" s="807">
        <v>1005</v>
      </c>
      <c r="M1414" s="80" t="str">
        <f>+IFERROR(VLOOKUP(L1414,DATA!$G$4:$H$2000,2,FALSE),"")</f>
        <v>Золжаргал</v>
      </c>
      <c r="N1414" s="630"/>
      <c r="O1414" s="80" t="str">
        <f>IFERROR(VLOOKUP(N1414,DATA!$K$4:$L$51,2,FALSE),"")</f>
        <v/>
      </c>
      <c r="P1414" s="80">
        <f t="shared" si="122"/>
        <v>0</v>
      </c>
      <c r="Q1414" s="154">
        <f t="shared" si="123"/>
        <v>0</v>
      </c>
    </row>
    <row r="1415" spans="2:17">
      <c r="B1415" s="627">
        <f t="shared" si="124"/>
        <v>1410</v>
      </c>
      <c r="C1415" s="429">
        <v>43404</v>
      </c>
      <c r="D1415" s="815" t="s">
        <v>2803</v>
      </c>
      <c r="E1415" s="630">
        <v>701500</v>
      </c>
      <c r="F1415" s="629" t="str">
        <f>IFERROR(VLOOKUP(E1415,STAT1!$C$4:$D$1000,2,FALSE),"")</f>
        <v>Урсгал засварын зардал</v>
      </c>
      <c r="G1415" s="376">
        <v>227272.73</v>
      </c>
      <c r="H1415" s="376"/>
      <c r="I1415" s="580">
        <f t="shared" si="116"/>
        <v>0</v>
      </c>
      <c r="J1415" s="961">
        <f t="shared" si="121"/>
        <v>0</v>
      </c>
      <c r="K1415" s="80"/>
      <c r="L1415" s="807">
        <v>1005</v>
      </c>
      <c r="M1415" s="80" t="str">
        <f>+IFERROR(VLOOKUP(L1415,DATA!$G$4:$H$2000,2,FALSE),"")</f>
        <v>Золжаргал</v>
      </c>
      <c r="N1415" s="630"/>
      <c r="O1415" s="80" t="str">
        <f>IFERROR(VLOOKUP(N1415,DATA!$K$4:$L$51,2,FALSE),"")</f>
        <v/>
      </c>
      <c r="P1415" s="80">
        <f t="shared" si="122"/>
        <v>0</v>
      </c>
      <c r="Q1415" s="154">
        <f t="shared" si="123"/>
        <v>0</v>
      </c>
    </row>
    <row r="1416" spans="2:17">
      <c r="B1416" s="627">
        <f t="shared" si="124"/>
        <v>1411</v>
      </c>
      <c r="C1416" s="429">
        <v>43404</v>
      </c>
      <c r="D1416" s="815" t="s">
        <v>1570</v>
      </c>
      <c r="E1416" s="630">
        <v>100100</v>
      </c>
      <c r="F1416" s="629" t="str">
        <f>IFERROR(VLOOKUP(E1416,STAT1!$C$4:$D$1000,2,FALSE),"")</f>
        <v>Касс мөнгө MNT</v>
      </c>
      <c r="G1416" s="376"/>
      <c r="H1416" s="376">
        <v>30000</v>
      </c>
      <c r="I1416" s="580">
        <f t="shared" si="116"/>
        <v>-30000</v>
      </c>
      <c r="J1416" s="961">
        <f t="shared" si="121"/>
        <v>0</v>
      </c>
      <c r="K1416" s="80"/>
      <c r="L1416" s="630">
        <v>1005</v>
      </c>
      <c r="M1416" s="80" t="str">
        <f>+IFERROR(VLOOKUP(L1416,DATA!$G$4:$H$2000,2,FALSE),"")</f>
        <v>Золжаргал</v>
      </c>
      <c r="N1416" s="630">
        <v>55</v>
      </c>
      <c r="O1416" s="80" t="str">
        <f>IFERROR(VLOOKUP(N1416,DATA!$K$4:$L$51,2,FALSE),"")</f>
        <v>Түлш, шатахуун, тээврийн хөлс, сэлбэг хэрэгсэлд төлсөн</v>
      </c>
      <c r="P1416" s="80">
        <f t="shared" si="122"/>
        <v>1</v>
      </c>
      <c r="Q1416" s="154">
        <f t="shared" si="123"/>
        <v>1</v>
      </c>
    </row>
    <row r="1417" spans="2:17">
      <c r="B1417" s="627">
        <f t="shared" si="124"/>
        <v>1412</v>
      </c>
      <c r="C1417" s="429">
        <v>43404</v>
      </c>
      <c r="D1417" s="815" t="s">
        <v>1570</v>
      </c>
      <c r="E1417" s="630">
        <v>702000</v>
      </c>
      <c r="F1417" s="629" t="str">
        <f>IFERROR(VLOOKUP(E1417,STAT1!$C$4:$D$1000,2,FALSE),"")</f>
        <v>Түлш, шатахуун</v>
      </c>
      <c r="G1417" s="376">
        <v>30000</v>
      </c>
      <c r="H1417" s="376"/>
      <c r="I1417" s="580">
        <f t="shared" si="116"/>
        <v>0</v>
      </c>
      <c r="J1417" s="961">
        <f t="shared" si="121"/>
        <v>0</v>
      </c>
      <c r="K1417" s="80"/>
      <c r="L1417" s="630">
        <v>1005</v>
      </c>
      <c r="M1417" s="80" t="str">
        <f>+IFERROR(VLOOKUP(L1417,DATA!$G$4:$H$2000,2,FALSE),"")</f>
        <v>Золжаргал</v>
      </c>
      <c r="N1417" s="630"/>
      <c r="O1417" s="80" t="str">
        <f>IFERROR(VLOOKUP(N1417,DATA!$K$4:$L$51,2,FALSE),"")</f>
        <v/>
      </c>
      <c r="P1417" s="80">
        <f t="shared" si="122"/>
        <v>0</v>
      </c>
      <c r="Q1417" s="154">
        <f t="shared" si="123"/>
        <v>0</v>
      </c>
    </row>
    <row r="1418" spans="2:17">
      <c r="B1418" s="627">
        <f t="shared" si="124"/>
        <v>1413</v>
      </c>
      <c r="C1418" s="429">
        <v>43404</v>
      </c>
      <c r="D1418" s="816" t="s">
        <v>2381</v>
      </c>
      <c r="E1418" s="807">
        <v>110100</v>
      </c>
      <c r="F1418" s="629" t="str">
        <f>IFERROR(VLOOKUP(E1418,STAT1!$C$4:$D$1000,2,FALSE),"")</f>
        <v>Хаан Банк 5024654020</v>
      </c>
      <c r="G1418" s="811"/>
      <c r="H1418" s="811">
        <v>700</v>
      </c>
      <c r="I1418" s="580">
        <f t="shared" si="116"/>
        <v>-700</v>
      </c>
      <c r="J1418" s="961">
        <f t="shared" si="121"/>
        <v>0</v>
      </c>
      <c r="K1418" s="80"/>
      <c r="L1418" s="807">
        <v>2009</v>
      </c>
      <c r="M1418" s="80" t="str">
        <f>+IFERROR(VLOOKUP(L1418,DATA!$G$4:$H$2000,2,FALSE),"")</f>
        <v>ХААН БАНК</v>
      </c>
      <c r="N1418" s="807">
        <v>59</v>
      </c>
      <c r="O1418" s="80" t="str">
        <f>IFERROR(VLOOKUP(N1418,DATA!$K$4:$L$51,2,FALSE),"")</f>
        <v>Бусад мөнгөн зарлага</v>
      </c>
      <c r="P1418" s="80">
        <f t="shared" si="122"/>
        <v>1</v>
      </c>
      <c r="Q1418" s="154">
        <f t="shared" si="123"/>
        <v>1</v>
      </c>
    </row>
    <row r="1419" spans="2:17">
      <c r="B1419" s="627">
        <f t="shared" si="124"/>
        <v>1414</v>
      </c>
      <c r="C1419" s="429">
        <v>43404</v>
      </c>
      <c r="D1419" s="816" t="s">
        <v>2381</v>
      </c>
      <c r="E1419" s="807">
        <v>704900</v>
      </c>
      <c r="F1419" s="629" t="str">
        <f>IFERROR(VLOOKUP(E1419,STAT1!$C$4:$D$1000,2,FALSE),"")</f>
        <v>Банкны үйлчилгээ</v>
      </c>
      <c r="G1419" s="811">
        <v>700</v>
      </c>
      <c r="H1419" s="811"/>
      <c r="I1419" s="580">
        <f t="shared" si="116"/>
        <v>0</v>
      </c>
      <c r="J1419" s="961">
        <f t="shared" si="121"/>
        <v>0</v>
      </c>
      <c r="K1419" s="80"/>
      <c r="L1419" s="807">
        <v>2009</v>
      </c>
      <c r="M1419" s="80" t="str">
        <f>+IFERROR(VLOOKUP(L1419,DATA!$G$4:$H$2000,2,FALSE),"")</f>
        <v>ХААН БАНК</v>
      </c>
      <c r="N1419" s="807"/>
      <c r="O1419" s="80" t="str">
        <f>IFERROR(VLOOKUP(N1419,DATA!$K$4:$L$51,2,FALSE),"")</f>
        <v/>
      </c>
      <c r="P1419" s="80">
        <f t="shared" si="122"/>
        <v>0</v>
      </c>
      <c r="Q1419" s="154">
        <f t="shared" si="123"/>
        <v>0</v>
      </c>
    </row>
    <row r="1420" spans="2:17">
      <c r="B1420" s="627">
        <f t="shared" si="124"/>
        <v>1415</v>
      </c>
      <c r="C1420" s="429">
        <v>43404</v>
      </c>
      <c r="D1420" s="816" t="s">
        <v>2514</v>
      </c>
      <c r="E1420" s="807">
        <v>110100</v>
      </c>
      <c r="F1420" s="629" t="str">
        <f>IFERROR(VLOOKUP(E1420,STAT1!$C$4:$D$1000,2,FALSE),"")</f>
        <v>Хаан Банк 5024654020</v>
      </c>
      <c r="G1420" s="811"/>
      <c r="H1420" s="811">
        <v>2000</v>
      </c>
      <c r="I1420" s="580">
        <f t="shared" si="116"/>
        <v>-2000</v>
      </c>
      <c r="J1420" s="961">
        <f t="shared" si="121"/>
        <v>0</v>
      </c>
      <c r="K1420" s="80"/>
      <c r="L1420" s="807">
        <v>2009</v>
      </c>
      <c r="M1420" s="80" t="str">
        <f>+IFERROR(VLOOKUP(L1420,DATA!$G$4:$H$2000,2,FALSE),"")</f>
        <v>ХААН БАНК</v>
      </c>
      <c r="N1420" s="807">
        <v>59</v>
      </c>
      <c r="O1420" s="80" t="str">
        <f>IFERROR(VLOOKUP(N1420,DATA!$K$4:$L$51,2,FALSE),"")</f>
        <v>Бусад мөнгөн зарлага</v>
      </c>
      <c r="P1420" s="80">
        <f t="shared" si="122"/>
        <v>1</v>
      </c>
      <c r="Q1420" s="154">
        <f t="shared" si="123"/>
        <v>1</v>
      </c>
    </row>
    <row r="1421" spans="2:17">
      <c r="B1421" s="627">
        <f t="shared" si="124"/>
        <v>1416</v>
      </c>
      <c r="C1421" s="429">
        <v>43404</v>
      </c>
      <c r="D1421" s="816" t="s">
        <v>2514</v>
      </c>
      <c r="E1421" s="807">
        <v>704900</v>
      </c>
      <c r="F1421" s="629" t="str">
        <f>IFERROR(VLOOKUP(E1421,STAT1!$C$4:$D$1000,2,FALSE),"")</f>
        <v>Банкны үйлчилгээ</v>
      </c>
      <c r="G1421" s="811">
        <v>2000</v>
      </c>
      <c r="H1421" s="811"/>
      <c r="I1421" s="580">
        <f t="shared" si="116"/>
        <v>0</v>
      </c>
      <c r="J1421" s="961">
        <f t="shared" si="121"/>
        <v>0</v>
      </c>
      <c r="K1421" s="80"/>
      <c r="L1421" s="807">
        <v>2009</v>
      </c>
      <c r="M1421" s="80" t="str">
        <f>+IFERROR(VLOOKUP(L1421,DATA!$G$4:$H$2000,2,FALSE),"")</f>
        <v>ХААН БАНК</v>
      </c>
      <c r="N1421" s="807"/>
      <c r="O1421" s="80" t="str">
        <f>IFERROR(VLOOKUP(N1421,DATA!$K$4:$L$51,2,FALSE),"")</f>
        <v/>
      </c>
      <c r="P1421" s="80">
        <f t="shared" si="122"/>
        <v>0</v>
      </c>
      <c r="Q1421" s="154">
        <f t="shared" si="123"/>
        <v>0</v>
      </c>
    </row>
    <row r="1422" spans="2:17">
      <c r="B1422" s="627">
        <f t="shared" si="124"/>
        <v>1417</v>
      </c>
      <c r="C1422" s="429">
        <v>43404</v>
      </c>
      <c r="D1422" s="816" t="s">
        <v>2805</v>
      </c>
      <c r="E1422" s="807">
        <v>120600</v>
      </c>
      <c r="F1422" s="629" t="str">
        <f>IFERROR(VLOOKUP(E1422,STAT1!$C$4:$D$1000,2,FALSE),"")</f>
        <v>НӨАТ авлага</v>
      </c>
      <c r="G1422" s="811">
        <v>150358.6</v>
      </c>
      <c r="H1422" s="811"/>
      <c r="I1422" s="580">
        <f t="shared" ref="I1422:I1446" si="125">+IF(OR(E1422=100100,E1422=100200,E1422=110100,E1422=110102,E1422=110103,E1422=110104,E1422=110105,E1422=110200,E1422=110201,E1422=110202,E1422=110203,E1422=110204,E1422=110300),G1422,0)+IF(OR(E1422=100100,E1422=100200,E1422=110100,E1422=110102,E1422=110103,E1422=110104,E1422=110105,E1422=110200,E1422=110201,E1422=110202,E1422=110203,E1422=110204,E1422=110300),H1422*-1,0)</f>
        <v>0</v>
      </c>
      <c r="J1422" s="961">
        <f t="shared" si="121"/>
        <v>0</v>
      </c>
      <c r="K1422" s="80"/>
      <c r="L1422" s="807">
        <v>2004</v>
      </c>
      <c r="M1422" s="80" t="str">
        <f>+IFERROR(VLOOKUP(L1422,DATA!$G$4:$H$2000,2,FALSE),"")</f>
        <v xml:space="preserve">ДЦС-3 ТӨХК </v>
      </c>
      <c r="N1422" s="807"/>
      <c r="O1422" s="80" t="str">
        <f>IFERROR(VLOOKUP(N1422,DATA!$K$4:$L$51,2,FALSE),"")</f>
        <v/>
      </c>
      <c r="P1422" s="80">
        <f t="shared" si="122"/>
        <v>0</v>
      </c>
      <c r="Q1422" s="154">
        <f t="shared" si="123"/>
        <v>0</v>
      </c>
    </row>
    <row r="1423" spans="2:17">
      <c r="B1423" s="627">
        <f t="shared" si="124"/>
        <v>1418</v>
      </c>
      <c r="C1423" s="429">
        <v>43404</v>
      </c>
      <c r="D1423" s="816" t="s">
        <v>2805</v>
      </c>
      <c r="E1423" s="807">
        <v>120100</v>
      </c>
      <c r="F1423" s="629" t="str">
        <f>IFERROR(VLOOKUP(E1423,STAT1!$C$4:$D$1000,2,FALSE),"")</f>
        <v xml:space="preserve">Дансны авлага MNT </v>
      </c>
      <c r="G1423" s="811"/>
      <c r="H1423" s="811">
        <v>150358.6</v>
      </c>
      <c r="I1423" s="580">
        <f t="shared" si="125"/>
        <v>0</v>
      </c>
      <c r="J1423" s="961">
        <f t="shared" si="121"/>
        <v>0</v>
      </c>
      <c r="K1423" s="80"/>
      <c r="L1423" s="807">
        <v>2004</v>
      </c>
      <c r="M1423" s="80" t="str">
        <f>+IFERROR(VLOOKUP(L1423,DATA!$G$4:$H$2000,2,FALSE),"")</f>
        <v xml:space="preserve">ДЦС-3 ТӨХК </v>
      </c>
      <c r="N1423" s="807"/>
      <c r="O1423" s="80" t="str">
        <f>IFERROR(VLOOKUP(N1423,DATA!$K$4:$L$51,2,FALSE),"")</f>
        <v/>
      </c>
      <c r="P1423" s="80">
        <f t="shared" si="122"/>
        <v>0</v>
      </c>
      <c r="Q1423" s="154">
        <f t="shared" si="123"/>
        <v>0</v>
      </c>
    </row>
    <row r="1424" spans="2:17">
      <c r="B1424" s="627">
        <f t="shared" si="124"/>
        <v>1419</v>
      </c>
      <c r="C1424" s="429">
        <v>43404</v>
      </c>
      <c r="D1424" s="815" t="s">
        <v>2806</v>
      </c>
      <c r="E1424" s="807">
        <v>702000</v>
      </c>
      <c r="F1424" s="629" t="str">
        <f>IFERROR(VLOOKUP(E1424,STAT1!$C$4:$D$1000,2,FALSE),"")</f>
        <v>Түлш, шатахуун</v>
      </c>
      <c r="G1424" s="811"/>
      <c r="H1424" s="811">
        <v>37727.279999999999</v>
      </c>
      <c r="I1424" s="580">
        <f t="shared" si="125"/>
        <v>0</v>
      </c>
      <c r="J1424" s="961">
        <f t="shared" si="121"/>
        <v>0</v>
      </c>
      <c r="K1424" s="80"/>
      <c r="L1424" s="807">
        <v>1005</v>
      </c>
      <c r="M1424" s="80" t="str">
        <f>+IFERROR(VLOOKUP(L1424,DATA!$G$4:$H$2000,2,FALSE),"")</f>
        <v>Золжаргал</v>
      </c>
      <c r="N1424" s="807"/>
      <c r="O1424" s="80" t="str">
        <f>IFERROR(VLOOKUP(N1424,DATA!$K$4:$L$51,2,FALSE),"")</f>
        <v/>
      </c>
      <c r="P1424" s="80">
        <f t="shared" si="122"/>
        <v>0</v>
      </c>
      <c r="Q1424" s="154">
        <f t="shared" si="123"/>
        <v>0</v>
      </c>
    </row>
    <row r="1425" spans="2:17">
      <c r="B1425" s="627">
        <f t="shared" si="124"/>
        <v>1420</v>
      </c>
      <c r="C1425" s="429">
        <v>43404</v>
      </c>
      <c r="D1425" s="815" t="s">
        <v>2806</v>
      </c>
      <c r="E1425" s="630">
        <v>120600</v>
      </c>
      <c r="F1425" s="629" t="str">
        <f>IFERROR(VLOOKUP(E1425,STAT1!$C$4:$D$1000,2,FALSE),"")</f>
        <v>НӨАТ авлага</v>
      </c>
      <c r="G1425" s="811">
        <v>37727.279999999999</v>
      </c>
      <c r="H1425" s="376"/>
      <c r="I1425" s="580">
        <f t="shared" si="125"/>
        <v>0</v>
      </c>
      <c r="J1425" s="961">
        <f t="shared" si="121"/>
        <v>0</v>
      </c>
      <c r="K1425" s="80"/>
      <c r="L1425" s="630">
        <v>1005</v>
      </c>
      <c r="M1425" s="80" t="str">
        <f>+IFERROR(VLOOKUP(L1425,DATA!$G$4:$H$2000,2,FALSE),"")</f>
        <v>Золжаргал</v>
      </c>
      <c r="N1425" s="630"/>
      <c r="O1425" s="80" t="str">
        <f>IFERROR(VLOOKUP(N1425,DATA!$K$4:$L$51,2,FALSE),"")</f>
        <v/>
      </c>
      <c r="P1425" s="80">
        <f t="shared" si="122"/>
        <v>0</v>
      </c>
      <c r="Q1425" s="154">
        <f t="shared" si="123"/>
        <v>0</v>
      </c>
    </row>
    <row r="1426" spans="2:17">
      <c r="B1426" s="627">
        <f t="shared" si="124"/>
        <v>1421</v>
      </c>
      <c r="C1426" s="429">
        <v>43406</v>
      </c>
      <c r="D1426" s="816" t="s">
        <v>1571</v>
      </c>
      <c r="E1426" s="807">
        <v>110100</v>
      </c>
      <c r="F1426" s="629" t="str">
        <f>IFERROR(VLOOKUP(E1426,STAT1!$C$4:$D$1000,2,FALSE),"")</f>
        <v>Хаан Банк 5024654020</v>
      </c>
      <c r="G1426" s="811">
        <v>50000000</v>
      </c>
      <c r="H1426" s="811"/>
      <c r="I1426" s="580">
        <f t="shared" si="125"/>
        <v>50000000</v>
      </c>
      <c r="J1426" s="961">
        <f t="shared" si="121"/>
        <v>0</v>
      </c>
      <c r="K1426" s="80"/>
      <c r="L1426" s="807">
        <v>3001</v>
      </c>
      <c r="M1426" s="80" t="str">
        <f>+IFERROR(VLOOKUP(L1426,DATA!$G$4:$H$2000,2,FALSE),"")</f>
        <v>ХУРД ГРУПП ХХК</v>
      </c>
      <c r="N1426" s="807">
        <v>41</v>
      </c>
      <c r="O1426" s="80" t="str">
        <f>IFERROR(VLOOKUP(N1426,DATA!$K$4:$L$51,2,FALSE),"")</f>
        <v>Бараа борлуулсан, үйлчилгээ үзүүлсэний орлого</v>
      </c>
      <c r="P1426" s="80">
        <f t="shared" si="122"/>
        <v>1</v>
      </c>
      <c r="Q1426" s="154">
        <f t="shared" si="123"/>
        <v>1</v>
      </c>
    </row>
    <row r="1427" spans="2:17">
      <c r="B1427" s="627">
        <f t="shared" si="124"/>
        <v>1422</v>
      </c>
      <c r="C1427" s="429">
        <v>43406</v>
      </c>
      <c r="D1427" s="816" t="s">
        <v>1571</v>
      </c>
      <c r="E1427" s="807">
        <v>320100</v>
      </c>
      <c r="F1427" s="629" t="str">
        <f>IFERROR(VLOOKUP(E1427,STAT1!$C$4:$D$1000,2,FALSE),"")</f>
        <v>Урьдчилж орсон орлого MNT</v>
      </c>
      <c r="G1427" s="811"/>
      <c r="H1427" s="811">
        <v>50000000</v>
      </c>
      <c r="I1427" s="580">
        <f t="shared" si="125"/>
        <v>0</v>
      </c>
      <c r="J1427" s="961">
        <f t="shared" si="121"/>
        <v>0</v>
      </c>
      <c r="K1427" s="80"/>
      <c r="L1427" s="807">
        <v>3001</v>
      </c>
      <c r="M1427" s="80" t="str">
        <f>+IFERROR(VLOOKUP(L1427,DATA!$G$4:$H$2000,2,FALSE),"")</f>
        <v>ХУРД ГРУПП ХХК</v>
      </c>
      <c r="N1427" s="807"/>
      <c r="O1427" s="80" t="str">
        <f>IFERROR(VLOOKUP(N1427,DATA!$K$4:$L$51,2,FALSE),"")</f>
        <v/>
      </c>
      <c r="P1427" s="80">
        <f t="shared" si="122"/>
        <v>0</v>
      </c>
      <c r="Q1427" s="154">
        <f t="shared" si="123"/>
        <v>0</v>
      </c>
    </row>
    <row r="1428" spans="2:17">
      <c r="B1428" s="627">
        <f t="shared" si="124"/>
        <v>1423</v>
      </c>
      <c r="C1428" s="429">
        <v>43408</v>
      </c>
      <c r="D1428" s="815" t="s">
        <v>2804</v>
      </c>
      <c r="E1428" s="630">
        <v>100100</v>
      </c>
      <c r="F1428" s="629" t="str">
        <f>IFERROR(VLOOKUP(E1428,STAT1!$C$4:$D$1000,2,FALSE),"")</f>
        <v>Касс мөнгө MNT</v>
      </c>
      <c r="G1428" s="376"/>
      <c r="H1428" s="376">
        <v>90309</v>
      </c>
      <c r="I1428" s="580">
        <f t="shared" si="125"/>
        <v>-90309</v>
      </c>
      <c r="J1428" s="961">
        <f t="shared" si="121"/>
        <v>0</v>
      </c>
      <c r="K1428" s="80"/>
      <c r="L1428" s="630">
        <v>1005</v>
      </c>
      <c r="M1428" s="80" t="str">
        <f>+IFERROR(VLOOKUP(L1428,DATA!$G$4:$H$2000,2,FALSE),"")</f>
        <v>Золжаргал</v>
      </c>
      <c r="N1428" s="630">
        <v>53</v>
      </c>
      <c r="O1428" s="80" t="str">
        <f>IFERROR(VLOOKUP(N1428,DATA!$K$4:$L$51,2,FALSE),"")</f>
        <v>Бараа материал худалдан авахад төлсөн</v>
      </c>
      <c r="P1428" s="80">
        <f t="shared" si="122"/>
        <v>1</v>
      </c>
      <c r="Q1428" s="154">
        <f t="shared" si="123"/>
        <v>1</v>
      </c>
    </row>
    <row r="1429" spans="2:17">
      <c r="B1429" s="627">
        <f t="shared" si="124"/>
        <v>1424</v>
      </c>
      <c r="C1429" s="429">
        <v>43408</v>
      </c>
      <c r="D1429" s="815" t="s">
        <v>2804</v>
      </c>
      <c r="E1429" s="630">
        <v>120600</v>
      </c>
      <c r="F1429" s="629" t="str">
        <f>IFERROR(VLOOKUP(E1429,STAT1!$C$4:$D$1000,2,FALSE),"")</f>
        <v>НӨАТ авлага</v>
      </c>
      <c r="G1429" s="376">
        <v>7875.09</v>
      </c>
      <c r="H1429" s="376"/>
      <c r="I1429" s="580">
        <f t="shared" si="125"/>
        <v>0</v>
      </c>
      <c r="J1429" s="961">
        <f t="shared" si="121"/>
        <v>0</v>
      </c>
      <c r="K1429" s="80"/>
      <c r="L1429" s="630">
        <v>1005</v>
      </c>
      <c r="M1429" s="80" t="str">
        <f>+IFERROR(VLOOKUP(L1429,DATA!$G$4:$H$2000,2,FALSE),"")</f>
        <v>Золжаргал</v>
      </c>
      <c r="N1429" s="630"/>
      <c r="O1429" s="80" t="str">
        <f>IFERROR(VLOOKUP(N1429,DATA!$K$4:$L$51,2,FALSE),"")</f>
        <v/>
      </c>
      <c r="P1429" s="80">
        <f t="shared" si="122"/>
        <v>0</v>
      </c>
      <c r="Q1429" s="154">
        <f t="shared" si="123"/>
        <v>0</v>
      </c>
    </row>
    <row r="1430" spans="2:17">
      <c r="B1430" s="627">
        <f t="shared" si="124"/>
        <v>1425</v>
      </c>
      <c r="C1430" s="429">
        <v>43408</v>
      </c>
      <c r="D1430" s="815" t="s">
        <v>2804</v>
      </c>
      <c r="E1430" s="807">
        <v>704700</v>
      </c>
      <c r="F1430" s="629" t="str">
        <f>IFERROR(VLOOKUP(E1430,STAT1!$C$4:$D$1000,2,FALSE),"")</f>
        <v>Цэвэрлэгээ</v>
      </c>
      <c r="G1430" s="811">
        <f>90309-7875.09</f>
        <v>82433.91</v>
      </c>
      <c r="H1430" s="811"/>
      <c r="I1430" s="580">
        <f t="shared" si="125"/>
        <v>0</v>
      </c>
      <c r="J1430" s="961">
        <f t="shared" si="121"/>
        <v>0</v>
      </c>
      <c r="K1430" s="80"/>
      <c r="L1430" s="630">
        <v>1005</v>
      </c>
      <c r="M1430" s="80" t="str">
        <f>+IFERROR(VLOOKUP(L1430,DATA!$G$4:$H$2000,2,FALSE),"")</f>
        <v>Золжаргал</v>
      </c>
      <c r="N1430" s="807"/>
      <c r="O1430" s="80" t="str">
        <f>IFERROR(VLOOKUP(N1430,DATA!$K$4:$L$51,2,FALSE),"")</f>
        <v/>
      </c>
      <c r="P1430" s="80">
        <f t="shared" si="122"/>
        <v>0</v>
      </c>
      <c r="Q1430" s="154">
        <f t="shared" si="123"/>
        <v>0</v>
      </c>
    </row>
    <row r="1431" spans="2:17">
      <c r="B1431" s="627">
        <f t="shared" si="124"/>
        <v>1426</v>
      </c>
      <c r="C1431" s="429">
        <v>43409</v>
      </c>
      <c r="D1431" s="816" t="s">
        <v>2776</v>
      </c>
      <c r="E1431" s="807">
        <v>100100</v>
      </c>
      <c r="F1431" s="629" t="str">
        <f>IFERROR(VLOOKUP(E1431,STAT1!$C$4:$D$1000,2,FALSE),"")</f>
        <v>Касс мөнгө MNT</v>
      </c>
      <c r="G1431" s="811"/>
      <c r="H1431" s="811">
        <v>2000000</v>
      </c>
      <c r="I1431" s="580">
        <f t="shared" si="125"/>
        <v>-2000000</v>
      </c>
      <c r="J1431" s="961">
        <f t="shared" ref="J1431:J1441" si="126">+IF(E1431=110200,I1431/K1431,0)</f>
        <v>0</v>
      </c>
      <c r="K1431" s="80"/>
      <c r="L1431" s="807">
        <v>2002</v>
      </c>
      <c r="M1431" s="80" t="str">
        <f>+IFERROR(VLOOKUP(L1431,DATA!$G$4:$H$2000,2,FALSE),"")</f>
        <v xml:space="preserve">ХУД-н ЭМНД ХЭЛТЭС </v>
      </c>
      <c r="N1431" s="807">
        <v>52</v>
      </c>
      <c r="O1431" s="80" t="str">
        <f>IFERROR(VLOOKUP(N1431,DATA!$K$4:$L$51,2,FALSE),"")</f>
        <v>Нийгмийн даатгалын байгууллагад төлсөн</v>
      </c>
      <c r="P1431" s="80">
        <f t="shared" si="122"/>
        <v>1</v>
      </c>
      <c r="Q1431" s="154">
        <f t="shared" si="123"/>
        <v>1</v>
      </c>
    </row>
    <row r="1432" spans="2:17">
      <c r="B1432" s="627">
        <f t="shared" si="124"/>
        <v>1427</v>
      </c>
      <c r="C1432" s="429">
        <v>43409</v>
      </c>
      <c r="D1432" s="816" t="s">
        <v>2776</v>
      </c>
      <c r="E1432" s="807">
        <v>120900</v>
      </c>
      <c r="F1432" s="629" t="str">
        <f>IFERROR(VLOOKUP(E1432,STAT1!$C$4:$D$1000,2,FALSE),"")</f>
        <v>НД-ын байгууллагаас авах авлага</v>
      </c>
      <c r="G1432" s="811">
        <v>2000000</v>
      </c>
      <c r="H1432" s="811"/>
      <c r="I1432" s="580">
        <f t="shared" si="125"/>
        <v>0</v>
      </c>
      <c r="J1432" s="961">
        <f t="shared" si="126"/>
        <v>0</v>
      </c>
      <c r="K1432" s="80"/>
      <c r="L1432" s="807">
        <v>2002</v>
      </c>
      <c r="M1432" s="80" t="str">
        <f>+IFERROR(VLOOKUP(L1432,DATA!$G$4:$H$2000,2,FALSE),"")</f>
        <v xml:space="preserve">ХУД-н ЭМНД ХЭЛТЭС </v>
      </c>
      <c r="N1432" s="807"/>
      <c r="O1432" s="80" t="str">
        <f>IFERROR(VLOOKUP(N1432,DATA!$K$4:$L$51,2,FALSE),"")</f>
        <v/>
      </c>
      <c r="P1432" s="80">
        <f t="shared" si="122"/>
        <v>0</v>
      </c>
      <c r="Q1432" s="154">
        <f t="shared" si="123"/>
        <v>0</v>
      </c>
    </row>
    <row r="1433" spans="2:17">
      <c r="B1433" s="627">
        <f t="shared" si="124"/>
        <v>1428</v>
      </c>
      <c r="C1433" s="429">
        <v>43409</v>
      </c>
      <c r="D1433" s="816" t="s">
        <v>2649</v>
      </c>
      <c r="E1433" s="807">
        <v>110100</v>
      </c>
      <c r="F1433" s="629" t="str">
        <f>IFERROR(VLOOKUP(E1433,STAT1!$C$4:$D$1000,2,FALSE),"")</f>
        <v>Хаан Банк 5024654020</v>
      </c>
      <c r="G1433" s="811"/>
      <c r="H1433" s="811">
        <v>50000000</v>
      </c>
      <c r="I1433" s="580">
        <f t="shared" si="125"/>
        <v>-50000000</v>
      </c>
      <c r="J1433" s="961">
        <f t="shared" si="126"/>
        <v>0</v>
      </c>
      <c r="K1433" s="80"/>
      <c r="L1433" s="807">
        <v>1005</v>
      </c>
      <c r="M1433" s="80" t="str">
        <f>+IFERROR(VLOOKUP(L1433,DATA!$G$4:$H$2000,2,FALSE),"")</f>
        <v>Золжаргал</v>
      </c>
      <c r="N1433" s="807"/>
      <c r="O1433" s="80" t="str">
        <f>IFERROR(VLOOKUP(N1433,DATA!$K$4:$L$51,2,FALSE),"")</f>
        <v/>
      </c>
      <c r="P1433" s="80">
        <f t="shared" si="122"/>
        <v>1</v>
      </c>
      <c r="Q1433" s="154">
        <f t="shared" si="123"/>
        <v>1</v>
      </c>
    </row>
    <row r="1434" spans="2:17">
      <c r="B1434" s="627">
        <f t="shared" si="124"/>
        <v>1429</v>
      </c>
      <c r="C1434" s="429">
        <v>43409</v>
      </c>
      <c r="D1434" s="816" t="s">
        <v>2649</v>
      </c>
      <c r="E1434" s="807">
        <v>100100</v>
      </c>
      <c r="F1434" s="629" t="str">
        <f>IFERROR(VLOOKUP(E1434,STAT1!$C$4:$D$1000,2,FALSE),"")</f>
        <v>Касс мөнгө MNT</v>
      </c>
      <c r="G1434" s="811">
        <v>50000000</v>
      </c>
      <c r="H1434" s="811"/>
      <c r="I1434" s="580">
        <f t="shared" si="125"/>
        <v>50000000</v>
      </c>
      <c r="J1434" s="961">
        <f t="shared" si="126"/>
        <v>0</v>
      </c>
      <c r="K1434" s="80"/>
      <c r="L1434" s="807">
        <v>1005</v>
      </c>
      <c r="M1434" s="80" t="str">
        <f>+IFERROR(VLOOKUP(L1434,DATA!$G$4:$H$2000,2,FALSE),"")</f>
        <v>Золжаргал</v>
      </c>
      <c r="N1434" s="807"/>
      <c r="O1434" s="80" t="str">
        <f>IFERROR(VLOOKUP(N1434,DATA!$K$4:$L$51,2,FALSE),"")</f>
        <v/>
      </c>
      <c r="P1434" s="80">
        <f t="shared" si="122"/>
        <v>1</v>
      </c>
      <c r="Q1434" s="154">
        <f t="shared" si="123"/>
        <v>1</v>
      </c>
    </row>
    <row r="1435" spans="2:17">
      <c r="B1435" s="627">
        <f t="shared" si="124"/>
        <v>1430</v>
      </c>
      <c r="C1435" s="429">
        <v>43409</v>
      </c>
      <c r="D1435" s="816" t="s">
        <v>2381</v>
      </c>
      <c r="E1435" s="807">
        <v>110100</v>
      </c>
      <c r="F1435" s="629" t="str">
        <f>IFERROR(VLOOKUP(E1435,STAT1!$C$4:$D$1000,2,FALSE),"")</f>
        <v>Хаан Банк 5024654020</v>
      </c>
      <c r="G1435" s="811"/>
      <c r="H1435" s="811">
        <v>300</v>
      </c>
      <c r="I1435" s="580">
        <f t="shared" si="125"/>
        <v>-300</v>
      </c>
      <c r="J1435" s="961">
        <f t="shared" si="126"/>
        <v>0</v>
      </c>
      <c r="K1435" s="80"/>
      <c r="L1435" s="807">
        <v>2009</v>
      </c>
      <c r="M1435" s="80" t="str">
        <f>+IFERROR(VLOOKUP(L1435,DATA!$G$4:$H$2000,2,FALSE),"")</f>
        <v>ХААН БАНК</v>
      </c>
      <c r="N1435" s="807">
        <v>59</v>
      </c>
      <c r="O1435" s="80" t="str">
        <f>IFERROR(VLOOKUP(N1435,DATA!$K$4:$L$51,2,FALSE),"")</f>
        <v>Бусад мөнгөн зарлага</v>
      </c>
      <c r="P1435" s="80">
        <f t="shared" si="122"/>
        <v>1</v>
      </c>
      <c r="Q1435" s="154">
        <f t="shared" si="123"/>
        <v>1</v>
      </c>
    </row>
    <row r="1436" spans="2:17">
      <c r="B1436" s="627">
        <f t="shared" si="124"/>
        <v>1431</v>
      </c>
      <c r="C1436" s="429">
        <v>43409</v>
      </c>
      <c r="D1436" s="816" t="s">
        <v>2381</v>
      </c>
      <c r="E1436" s="807">
        <v>704900</v>
      </c>
      <c r="F1436" s="629" t="str">
        <f>IFERROR(VLOOKUP(E1436,STAT1!$C$4:$D$1000,2,FALSE),"")</f>
        <v>Банкны үйлчилгээ</v>
      </c>
      <c r="G1436" s="811">
        <v>300</v>
      </c>
      <c r="H1436" s="811"/>
      <c r="I1436" s="580">
        <f t="shared" si="125"/>
        <v>0</v>
      </c>
      <c r="J1436" s="961">
        <f t="shared" si="126"/>
        <v>0</v>
      </c>
      <c r="K1436" s="80"/>
      <c r="L1436" s="807">
        <v>2009</v>
      </c>
      <c r="M1436" s="80" t="str">
        <f>+IFERROR(VLOOKUP(L1436,DATA!$G$4:$H$2000,2,FALSE),"")</f>
        <v>ХААН БАНК</v>
      </c>
      <c r="N1436" s="807"/>
      <c r="O1436" s="80" t="str">
        <f>IFERROR(VLOOKUP(N1436,DATA!$K$4:$L$51,2,FALSE),"")</f>
        <v/>
      </c>
      <c r="P1436" s="80">
        <f t="shared" si="122"/>
        <v>0</v>
      </c>
      <c r="Q1436" s="154">
        <f t="shared" si="123"/>
        <v>0</v>
      </c>
    </row>
    <row r="1437" spans="2:17">
      <c r="B1437" s="627">
        <f t="shared" si="124"/>
        <v>1432</v>
      </c>
      <c r="C1437" s="582">
        <v>43409</v>
      </c>
      <c r="D1437" s="816" t="s">
        <v>1570</v>
      </c>
      <c r="E1437" s="630">
        <v>100100</v>
      </c>
      <c r="F1437" s="629" t="str">
        <f>IFERROR(VLOOKUP(E1437,STAT1!$C$4:$D$1000,2,FALSE),"")</f>
        <v>Касс мөнгө MNT</v>
      </c>
      <c r="G1437" s="376"/>
      <c r="H1437" s="376">
        <v>50000</v>
      </c>
      <c r="I1437" s="580">
        <f t="shared" si="125"/>
        <v>-50000</v>
      </c>
      <c r="J1437" s="961">
        <f t="shared" si="126"/>
        <v>0</v>
      </c>
      <c r="K1437" s="80"/>
      <c r="L1437" s="630">
        <v>1005</v>
      </c>
      <c r="M1437" s="80" t="str">
        <f>+IFERROR(VLOOKUP(L1437,DATA!$G$4:$H$2000,2,FALSE),"")</f>
        <v>Золжаргал</v>
      </c>
      <c r="N1437" s="630">
        <v>55</v>
      </c>
      <c r="O1437" s="80" t="str">
        <f>IFERROR(VLOOKUP(N1437,DATA!$K$4:$L$51,2,FALSE),"")</f>
        <v>Түлш, шатахуун, тээврийн хөлс, сэлбэг хэрэгсэлд төлсөн</v>
      </c>
      <c r="P1437" s="80">
        <f t="shared" si="122"/>
        <v>1</v>
      </c>
      <c r="Q1437" s="154">
        <f t="shared" si="123"/>
        <v>1</v>
      </c>
    </row>
    <row r="1438" spans="2:17">
      <c r="B1438" s="627">
        <f t="shared" si="124"/>
        <v>1433</v>
      </c>
      <c r="C1438" s="582">
        <v>43409</v>
      </c>
      <c r="D1438" s="816" t="s">
        <v>1570</v>
      </c>
      <c r="E1438" s="807">
        <v>702000</v>
      </c>
      <c r="F1438" s="629" t="str">
        <f>IFERROR(VLOOKUP(E1438,STAT1!$C$4:$D$1000,2,FALSE),"")</f>
        <v>Түлш, шатахуун</v>
      </c>
      <c r="G1438" s="811">
        <v>50000</v>
      </c>
      <c r="H1438" s="811"/>
      <c r="I1438" s="580">
        <f t="shared" si="125"/>
        <v>0</v>
      </c>
      <c r="J1438" s="961">
        <f t="shared" si="126"/>
        <v>0</v>
      </c>
      <c r="K1438" s="80"/>
      <c r="L1438" s="807">
        <v>1005</v>
      </c>
      <c r="M1438" s="80" t="str">
        <f>+IFERROR(VLOOKUP(L1438,DATA!$G$4:$H$2000,2,FALSE),"")</f>
        <v>Золжаргал</v>
      </c>
      <c r="N1438" s="807"/>
      <c r="O1438" s="80" t="str">
        <f>IFERROR(VLOOKUP(N1438,DATA!$K$4:$L$51,2,FALSE),"")</f>
        <v/>
      </c>
      <c r="P1438" s="80">
        <f t="shared" si="122"/>
        <v>0</v>
      </c>
      <c r="Q1438" s="154">
        <f t="shared" si="123"/>
        <v>0</v>
      </c>
    </row>
    <row r="1439" spans="2:17">
      <c r="B1439" s="627">
        <f t="shared" si="124"/>
        <v>1434</v>
      </c>
      <c r="C1439" s="429">
        <v>43410</v>
      </c>
      <c r="D1439" s="816" t="s">
        <v>2566</v>
      </c>
      <c r="E1439" s="807">
        <v>100100</v>
      </c>
      <c r="F1439" s="629" t="str">
        <f>IFERROR(VLOOKUP(E1439,STAT1!$C$4:$D$1000,2,FALSE),"")</f>
        <v>Касс мөнгө MNT</v>
      </c>
      <c r="G1439" s="811"/>
      <c r="H1439" s="811">
        <v>89000</v>
      </c>
      <c r="I1439" s="580">
        <f t="shared" si="125"/>
        <v>-89000</v>
      </c>
      <c r="J1439" s="961">
        <f t="shared" si="126"/>
        <v>0</v>
      </c>
      <c r="K1439" s="80"/>
      <c r="L1439" s="807">
        <v>1008</v>
      </c>
      <c r="M1439" s="80" t="str">
        <f>+IFERROR(VLOOKUP(L1439,DATA!$G$4:$H$2000,2,FALSE),"")</f>
        <v xml:space="preserve">Оюунтүлхүүр </v>
      </c>
      <c r="N1439" s="807">
        <v>53</v>
      </c>
      <c r="O1439" s="80" t="str">
        <f>IFERROR(VLOOKUP(N1439,DATA!$K$4:$L$51,2,FALSE),"")</f>
        <v>Бараа материал худалдан авахад төлсөн</v>
      </c>
      <c r="P1439" s="80">
        <f t="shared" si="122"/>
        <v>1</v>
      </c>
      <c r="Q1439" s="154">
        <f t="shared" si="123"/>
        <v>1</v>
      </c>
    </row>
    <row r="1440" spans="2:17">
      <c r="B1440" s="627">
        <f t="shared" si="124"/>
        <v>1435</v>
      </c>
      <c r="C1440" s="429">
        <v>43410</v>
      </c>
      <c r="D1440" s="816" t="s">
        <v>2566</v>
      </c>
      <c r="E1440" s="807">
        <v>120600</v>
      </c>
      <c r="F1440" s="629" t="str">
        <f>IFERROR(VLOOKUP(E1440,STAT1!$C$4:$D$1000,2,FALSE),"")</f>
        <v>НӨАТ авлага</v>
      </c>
      <c r="G1440" s="811">
        <v>8090.91</v>
      </c>
      <c r="H1440" s="811"/>
      <c r="I1440" s="580">
        <f t="shared" si="125"/>
        <v>0</v>
      </c>
      <c r="J1440" s="961">
        <f t="shared" si="126"/>
        <v>0</v>
      </c>
      <c r="K1440" s="80"/>
      <c r="L1440" s="807">
        <v>1008</v>
      </c>
      <c r="M1440" s="80" t="str">
        <f>+IFERROR(VLOOKUP(L1440,DATA!$G$4:$H$2000,2,FALSE),"")</f>
        <v xml:space="preserve">Оюунтүлхүүр </v>
      </c>
      <c r="N1440" s="807"/>
      <c r="O1440" s="80" t="str">
        <f>IFERROR(VLOOKUP(N1440,DATA!$K$4:$L$51,2,FALSE),"")</f>
        <v/>
      </c>
      <c r="P1440" s="80">
        <f t="shared" si="122"/>
        <v>0</v>
      </c>
      <c r="Q1440" s="154">
        <f t="shared" si="123"/>
        <v>0</v>
      </c>
    </row>
    <row r="1441" spans="2:17">
      <c r="B1441" s="627">
        <f t="shared" si="124"/>
        <v>1436</v>
      </c>
      <c r="C1441" s="429">
        <v>43410</v>
      </c>
      <c r="D1441" s="816" t="s">
        <v>2566</v>
      </c>
      <c r="E1441" s="807">
        <v>703700</v>
      </c>
      <c r="F1441" s="629" t="str">
        <f>IFERROR(VLOOKUP(E1441,STAT1!$C$4:$D$1000,2,FALSE),"")</f>
        <v>Бичиг хэргийн зардал</v>
      </c>
      <c r="G1441" s="811">
        <v>80909.09</v>
      </c>
      <c r="H1441" s="811"/>
      <c r="I1441" s="580">
        <f t="shared" si="125"/>
        <v>0</v>
      </c>
      <c r="J1441" s="961">
        <f t="shared" si="126"/>
        <v>0</v>
      </c>
      <c r="K1441" s="80"/>
      <c r="L1441" s="807">
        <v>1008</v>
      </c>
      <c r="M1441" s="80" t="str">
        <f>+IFERROR(VLOOKUP(L1441,DATA!$G$4:$H$2000,2,FALSE),"")</f>
        <v xml:space="preserve">Оюунтүлхүүр </v>
      </c>
      <c r="N1441" s="807"/>
      <c r="O1441" s="80" t="str">
        <f>IFERROR(VLOOKUP(N1441,DATA!$K$4:$L$51,2,FALSE),"")</f>
        <v/>
      </c>
      <c r="P1441" s="80">
        <f t="shared" si="122"/>
        <v>0</v>
      </c>
      <c r="Q1441" s="154">
        <f t="shared" si="123"/>
        <v>0</v>
      </c>
    </row>
    <row r="1442" spans="2:17">
      <c r="B1442" s="627">
        <f t="shared" si="124"/>
        <v>1437</v>
      </c>
      <c r="C1442" s="582">
        <v>43465</v>
      </c>
      <c r="D1442" s="816" t="s">
        <v>2788</v>
      </c>
      <c r="E1442" s="807">
        <v>201200</v>
      </c>
      <c r="F1442" s="629" t="str">
        <f>IFERROR(VLOOKUP(E1442,STAT1!$C$4:$D$1000,2,FALSE),"")</f>
        <v>Хур. элэгдэл - Барилга байгууламж</v>
      </c>
      <c r="G1442" s="811"/>
      <c r="H1442" s="811">
        <v>7330033.3200000003</v>
      </c>
      <c r="I1442" s="580">
        <f t="shared" si="125"/>
        <v>0</v>
      </c>
      <c r="J1442" s="961">
        <f>+IF(E1442=110102,I1442/K1442,0)</f>
        <v>0</v>
      </c>
      <c r="K1442" s="80"/>
      <c r="L1442" s="807">
        <v>1004</v>
      </c>
      <c r="M1442" s="80" t="str">
        <f>+IFERROR(VLOOKUP(L1442,DATA!$G$4:$H$2000,2,FALSE),"")</f>
        <v xml:space="preserve">Түмэндэлгэр </v>
      </c>
      <c r="N1442" s="630"/>
      <c r="O1442" s="80" t="str">
        <f>IFERROR(VLOOKUP(N1442,DATA!$K$4:$L$51,2,FALSE),"")</f>
        <v/>
      </c>
      <c r="P1442" s="80">
        <f t="shared" si="122"/>
        <v>0</v>
      </c>
      <c r="Q1442" s="154">
        <f t="shared" si="123"/>
        <v>0</v>
      </c>
    </row>
    <row r="1443" spans="2:17">
      <c r="B1443" s="627">
        <f t="shared" si="124"/>
        <v>1438</v>
      </c>
      <c r="C1443" s="582">
        <v>43465</v>
      </c>
      <c r="D1443" s="816" t="s">
        <v>2789</v>
      </c>
      <c r="E1443" s="807">
        <v>201300</v>
      </c>
      <c r="F1443" s="629" t="str">
        <f>IFERROR(VLOOKUP(E1443,STAT1!$C$4:$D$1000,2,FALSE),"")</f>
        <v>Хур. элэгдэл - Тавилга эд хогшил</v>
      </c>
      <c r="G1443" s="811"/>
      <c r="H1443" s="811">
        <v>70739.39</v>
      </c>
      <c r="I1443" s="580">
        <f t="shared" si="125"/>
        <v>0</v>
      </c>
      <c r="J1443" s="961">
        <f>+IF(E1443=110102,I1443/K1443,0)</f>
        <v>0</v>
      </c>
      <c r="K1443" s="80"/>
      <c r="L1443" s="807">
        <v>1004</v>
      </c>
      <c r="M1443" s="80" t="str">
        <f>+IFERROR(VLOOKUP(L1443,DATA!$G$4:$H$2000,2,FALSE),"")</f>
        <v xml:space="preserve">Түмэндэлгэр </v>
      </c>
      <c r="N1443" s="630"/>
      <c r="O1443" s="80" t="str">
        <f>IFERROR(VLOOKUP(N1443,DATA!$K$4:$L$51,2,FALSE),"")</f>
        <v/>
      </c>
      <c r="P1443" s="80">
        <f t="shared" si="122"/>
        <v>0</v>
      </c>
      <c r="Q1443" s="154">
        <f t="shared" si="123"/>
        <v>0</v>
      </c>
    </row>
    <row r="1444" spans="2:17">
      <c r="B1444" s="627">
        <f t="shared" si="124"/>
        <v>1439</v>
      </c>
      <c r="C1444" s="582">
        <v>43465</v>
      </c>
      <c r="D1444" s="816" t="s">
        <v>2790</v>
      </c>
      <c r="E1444" s="807">
        <v>201400</v>
      </c>
      <c r="F1444" s="629" t="str">
        <f>IFERROR(VLOOKUP(E1444,STAT1!$C$4:$D$1000,2,FALSE),"")</f>
        <v>Хур. элэгдэл - Машин тоног төхөөрөмж</v>
      </c>
      <c r="G1444" s="811"/>
      <c r="H1444" s="811">
        <v>14619570.4</v>
      </c>
      <c r="I1444" s="580">
        <f t="shared" si="125"/>
        <v>0</v>
      </c>
      <c r="J1444" s="961">
        <f>+IF(E1444=110102,I1444/K1444,0)</f>
        <v>0</v>
      </c>
      <c r="K1444" s="80"/>
      <c r="L1444" s="807">
        <v>1004</v>
      </c>
      <c r="M1444" s="80" t="str">
        <f>+IFERROR(VLOOKUP(L1444,DATA!$G$4:$H$2000,2,FALSE),"")</f>
        <v xml:space="preserve">Түмэндэлгэр </v>
      </c>
      <c r="N1444" s="807"/>
      <c r="O1444" s="80" t="str">
        <f>IFERROR(VLOOKUP(N1444,DATA!$K$4:$L$51,2,FALSE),"")</f>
        <v/>
      </c>
      <c r="P1444" s="80">
        <f t="shared" si="122"/>
        <v>0</v>
      </c>
      <c r="Q1444" s="154">
        <f t="shared" si="123"/>
        <v>0</v>
      </c>
    </row>
    <row r="1445" spans="2:17">
      <c r="B1445" s="627">
        <f t="shared" si="124"/>
        <v>1440</v>
      </c>
      <c r="C1445" s="582">
        <v>43465</v>
      </c>
      <c r="D1445" s="816" t="s">
        <v>2791</v>
      </c>
      <c r="E1445" s="807">
        <v>201500</v>
      </c>
      <c r="F1445" s="629" t="str">
        <f>IFERROR(VLOOKUP(E1445,STAT1!$C$4:$D$1000,2,FALSE),"")</f>
        <v>Хур. элэгдэл - Тээврийн хэрэгсэл</v>
      </c>
      <c r="G1445" s="811"/>
      <c r="H1445" s="811">
        <v>4245000</v>
      </c>
      <c r="I1445" s="580">
        <f t="shared" si="125"/>
        <v>0</v>
      </c>
      <c r="J1445" s="961">
        <f>+IF(E1445=110102,I1445/K1445,0)</f>
        <v>0</v>
      </c>
      <c r="K1445" s="80"/>
      <c r="L1445" s="807">
        <v>1004</v>
      </c>
      <c r="M1445" s="80" t="str">
        <f>+IFERROR(VLOOKUP(L1445,DATA!$G$4:$H$2000,2,FALSE),"")</f>
        <v xml:space="preserve">Түмэндэлгэр </v>
      </c>
      <c r="N1445" s="807"/>
      <c r="O1445" s="80" t="str">
        <f>IFERROR(VLOOKUP(N1445,DATA!$K$4:$L$51,2,FALSE),"")</f>
        <v/>
      </c>
      <c r="P1445" s="80">
        <f t="shared" si="122"/>
        <v>0</v>
      </c>
      <c r="Q1445" s="154">
        <f t="shared" si="123"/>
        <v>0</v>
      </c>
    </row>
    <row r="1446" spans="2:17">
      <c r="B1446" s="627">
        <f t="shared" si="124"/>
        <v>1441</v>
      </c>
      <c r="C1446" s="582">
        <v>43465</v>
      </c>
      <c r="D1446" s="816" t="s">
        <v>2792</v>
      </c>
      <c r="E1446" s="807">
        <v>701600</v>
      </c>
      <c r="F1446" s="629" t="str">
        <f>IFERROR(VLOOKUP(E1446,STAT1!$C$4:$D$1000,2,FALSE),"")</f>
        <v>Элэгдэл, хорогдлын зардал</v>
      </c>
      <c r="G1446" s="811">
        <v>26265343.109999999</v>
      </c>
      <c r="H1446" s="811"/>
      <c r="I1446" s="580">
        <f t="shared" si="125"/>
        <v>0</v>
      </c>
      <c r="J1446" s="961">
        <f>+IF(E1446=110102,I1446/K1446,0)</f>
        <v>0</v>
      </c>
      <c r="K1446" s="80"/>
      <c r="L1446" s="807">
        <v>1004</v>
      </c>
      <c r="M1446" s="80" t="str">
        <f>+IFERROR(VLOOKUP(L1446,DATA!$G$4:$H$2000,2,FALSE),"")</f>
        <v xml:space="preserve">Түмэндэлгэр </v>
      </c>
      <c r="N1446" s="807"/>
      <c r="O1446" s="80" t="str">
        <f>IFERROR(VLOOKUP(N1446,DATA!$K$4:$L$51,2,FALSE),"")</f>
        <v/>
      </c>
      <c r="P1446" s="80">
        <f t="shared" si="122"/>
        <v>0</v>
      </c>
      <c r="Q1446" s="154">
        <f t="shared" si="123"/>
        <v>0</v>
      </c>
    </row>
    <row r="1447" spans="2:17">
      <c r="B1447" s="627">
        <f t="shared" ref="B1447:B1489" si="127">+IF(C1447="","",ROW()-5)</f>
        <v>1442</v>
      </c>
      <c r="C1447" s="429">
        <v>43404</v>
      </c>
      <c r="D1447" s="815" t="s">
        <v>2807</v>
      </c>
      <c r="E1447" s="807">
        <v>701900</v>
      </c>
      <c r="F1447" s="629" t="str">
        <f>IFERROR(VLOOKUP(E1447,STAT1!$C$4:$D$1000,2,FALSE),"")</f>
        <v>Харилцаа холбоо</v>
      </c>
      <c r="G1447" s="811"/>
      <c r="H1447" s="376">
        <v>15909.09</v>
      </c>
      <c r="I1447" s="580">
        <f t="shared" ref="I1447:I1471" si="128">+IF(OR(E1447=100100,E1447=100200,E1447=110100,E1447=110102,E1447=110103,E1447=110104,E1447=110105,E1447=110200,E1447=110201,E1447=110202,E1447=110203,E1447=110204,E1447=110300),G1447,0)+IF(OR(E1447=100100,E1447=100200,E1447=110100,E1447=110102,E1447=110103,E1447=110104,E1447=110105,E1447=110200,E1447=110201,E1447=110202,E1447=110203,E1447=110204,E1447=110300),H1447*-1,0)</f>
        <v>0</v>
      </c>
      <c r="J1447" s="961">
        <f t="shared" ref="J1447:J1471" si="129">+IF(E1447=110200,I1447/K1447,0)</f>
        <v>0</v>
      </c>
      <c r="K1447" s="80"/>
      <c r="L1447" s="807">
        <v>1008</v>
      </c>
      <c r="M1447" s="80" t="str">
        <f>+IFERROR(VLOOKUP(L1447,DATA!$G$4:$H$2000,2,FALSE),"")</f>
        <v xml:space="preserve">Оюунтүлхүүр </v>
      </c>
      <c r="N1447" s="807"/>
      <c r="O1447" s="80" t="str">
        <f>IFERROR(VLOOKUP(N1447,DATA!$K$4:$L$51,2,FALSE),"")</f>
        <v/>
      </c>
      <c r="P1447" s="80">
        <f t="shared" ref="P1447:P1469" si="130">+IF(I1447,1,0)</f>
        <v>0</v>
      </c>
      <c r="Q1447" s="154">
        <f t="shared" ref="Q1447:Q1502" si="131">+IF(I1447,1,0)</f>
        <v>0</v>
      </c>
    </row>
    <row r="1448" spans="2:17">
      <c r="B1448" s="627">
        <f t="shared" si="127"/>
        <v>1443</v>
      </c>
      <c r="C1448" s="429">
        <v>43404</v>
      </c>
      <c r="D1448" s="815" t="s">
        <v>2807</v>
      </c>
      <c r="E1448" s="807">
        <v>120600</v>
      </c>
      <c r="F1448" s="629" t="str">
        <f>IFERROR(VLOOKUP(E1448,STAT1!$C$4:$D$1000,2,FALSE),"")</f>
        <v>НӨАТ авлага</v>
      </c>
      <c r="G1448" s="376">
        <v>15909.09</v>
      </c>
      <c r="H1448" s="376"/>
      <c r="I1448" s="580">
        <f t="shared" si="128"/>
        <v>0</v>
      </c>
      <c r="J1448" s="961">
        <f t="shared" si="129"/>
        <v>0</v>
      </c>
      <c r="K1448" s="80"/>
      <c r="L1448" s="630">
        <v>1008</v>
      </c>
      <c r="M1448" s="80" t="str">
        <f>+IFERROR(VLOOKUP(L1448,DATA!$G$4:$H$2000,2,FALSE),"")</f>
        <v xml:space="preserve">Оюунтүлхүүр </v>
      </c>
      <c r="N1448" s="630"/>
      <c r="O1448" s="80" t="str">
        <f>IFERROR(VLOOKUP(N1448,DATA!$K$4:$L$51,2,FALSE),"")</f>
        <v/>
      </c>
      <c r="P1448" s="80">
        <f t="shared" si="130"/>
        <v>0</v>
      </c>
      <c r="Q1448" s="154">
        <f t="shared" si="131"/>
        <v>0</v>
      </c>
    </row>
    <row r="1449" spans="2:17">
      <c r="B1449" s="627">
        <f t="shared" si="127"/>
        <v>1444</v>
      </c>
      <c r="C1449" s="582">
        <v>43404</v>
      </c>
      <c r="D1449" s="815" t="s">
        <v>2810</v>
      </c>
      <c r="E1449" s="630">
        <v>320100</v>
      </c>
      <c r="F1449" s="629" t="str">
        <f>IFERROR(VLOOKUP(E1449,STAT1!$C$4:$D$1000,2,FALSE),"")</f>
        <v>Урьдчилж орсон орлого MNT</v>
      </c>
      <c r="G1449" s="376">
        <f>50000000+32856250</f>
        <v>82856250</v>
      </c>
      <c r="H1449" s="376"/>
      <c r="I1449" s="580">
        <f t="shared" si="128"/>
        <v>0</v>
      </c>
      <c r="J1449" s="961">
        <f t="shared" si="129"/>
        <v>0</v>
      </c>
      <c r="K1449" s="80"/>
      <c r="L1449" s="630">
        <v>3001</v>
      </c>
      <c r="M1449" s="80" t="str">
        <f>+IFERROR(VLOOKUP(L1449,DATA!$G$4:$H$2000,2,FALSE),"")</f>
        <v>ХУРД ГРУПП ХХК</v>
      </c>
      <c r="N1449" s="630"/>
      <c r="O1449" s="80" t="str">
        <f>IFERROR(VLOOKUP(N1449,DATA!$K$4:$L$51,2,FALSE),"")</f>
        <v/>
      </c>
      <c r="P1449" s="80">
        <f t="shared" si="130"/>
        <v>0</v>
      </c>
      <c r="Q1449" s="154">
        <f t="shared" si="131"/>
        <v>0</v>
      </c>
    </row>
    <row r="1450" spans="2:17">
      <c r="B1450" s="627">
        <f t="shared" si="127"/>
        <v>1445</v>
      </c>
      <c r="C1450" s="582">
        <v>43404</v>
      </c>
      <c r="D1450" s="815" t="s">
        <v>2810</v>
      </c>
      <c r="E1450" s="630">
        <v>310500</v>
      </c>
      <c r="F1450" s="629" t="str">
        <f>IFERROR(VLOOKUP(E1450,STAT1!$C$4:$D$1000,2,FALSE),"")</f>
        <v>НӨАТ өглөг</v>
      </c>
      <c r="G1450" s="376"/>
      <c r="H1450" s="376">
        <v>7532386.3600000003</v>
      </c>
      <c r="I1450" s="580">
        <f t="shared" si="128"/>
        <v>0</v>
      </c>
      <c r="J1450" s="961">
        <f t="shared" si="129"/>
        <v>0</v>
      </c>
      <c r="K1450" s="80"/>
      <c r="L1450" s="630">
        <v>3001</v>
      </c>
      <c r="M1450" s="80" t="str">
        <f>+IFERROR(VLOOKUP(L1450,DATA!$G$4:$H$2000,2,FALSE),"")</f>
        <v>ХУРД ГРУПП ХХК</v>
      </c>
      <c r="N1450" s="630"/>
      <c r="O1450" s="80" t="str">
        <f>IFERROR(VLOOKUP(N1450,DATA!$K$4:$L$51,2,FALSE),"")</f>
        <v/>
      </c>
      <c r="P1450" s="80">
        <f t="shared" si="130"/>
        <v>0</v>
      </c>
      <c r="Q1450" s="154">
        <f t="shared" si="131"/>
        <v>0</v>
      </c>
    </row>
    <row r="1451" spans="2:17">
      <c r="B1451" s="627">
        <f t="shared" si="127"/>
        <v>1446</v>
      </c>
      <c r="C1451" s="582">
        <v>43404</v>
      </c>
      <c r="D1451" s="815" t="s">
        <v>2810</v>
      </c>
      <c r="E1451" s="630">
        <v>510400</v>
      </c>
      <c r="F1451" s="629" t="str">
        <f>IFERROR(VLOOKUP(E1451,STAT1!$C$4:$D$1000,2,FALSE),"")</f>
        <v>Бусад борлуулалт</v>
      </c>
      <c r="G1451" s="376"/>
      <c r="H1451" s="376">
        <v>75323863.640000001</v>
      </c>
      <c r="I1451" s="580">
        <f t="shared" si="128"/>
        <v>0</v>
      </c>
      <c r="J1451" s="961">
        <f t="shared" si="129"/>
        <v>0</v>
      </c>
      <c r="K1451" s="80"/>
      <c r="L1451" s="630">
        <v>3001</v>
      </c>
      <c r="M1451" s="80" t="str">
        <f>+IFERROR(VLOOKUP(L1451,DATA!$G$4:$H$2000,2,FALSE),"")</f>
        <v>ХУРД ГРУПП ХХК</v>
      </c>
      <c r="N1451" s="630"/>
      <c r="O1451" s="80" t="str">
        <f>IFERROR(VLOOKUP(N1451,DATA!$K$4:$L$51,2,FALSE),"")</f>
        <v/>
      </c>
      <c r="P1451" s="80">
        <f t="shared" si="130"/>
        <v>0</v>
      </c>
      <c r="Q1451" s="154">
        <f t="shared" si="131"/>
        <v>0</v>
      </c>
    </row>
    <row r="1452" spans="2:17">
      <c r="B1452" s="627">
        <f t="shared" si="127"/>
        <v>1447</v>
      </c>
      <c r="C1452" s="582">
        <v>43374</v>
      </c>
      <c r="D1452" s="816" t="s">
        <v>2816</v>
      </c>
      <c r="E1452" s="630">
        <v>704100</v>
      </c>
      <c r="F1452" s="629" t="str">
        <f>IFERROR(VLOOKUP(E1452,STAT1!$C$4:$D$1000,2,FALSE),"")</f>
        <v>Газар, байгалийн нөөц ашигласны төлбөр, хураамж</v>
      </c>
      <c r="G1452" s="376">
        <v>3443616</v>
      </c>
      <c r="H1452" s="376"/>
      <c r="I1452" s="580">
        <f t="shared" si="128"/>
        <v>0</v>
      </c>
      <c r="J1452" s="961">
        <f t="shared" si="129"/>
        <v>0</v>
      </c>
      <c r="K1452" s="80"/>
      <c r="L1452" s="630">
        <v>2001</v>
      </c>
      <c r="M1452" s="80" t="str">
        <f>+IFERROR(VLOOKUP(L1452,DATA!$G$4:$H$2000,2,FALSE),"")</f>
        <v>ХУД-н ТАТВАРЫН ХЭЛТЭС</v>
      </c>
      <c r="N1452" s="630"/>
      <c r="O1452" s="80" t="str">
        <f>IFERROR(VLOOKUP(N1452,DATA!$K$4:$L$51,2,FALSE),"")</f>
        <v/>
      </c>
      <c r="P1452" s="80">
        <f t="shared" si="130"/>
        <v>0</v>
      </c>
      <c r="Q1452" s="154">
        <f t="shared" si="131"/>
        <v>0</v>
      </c>
    </row>
    <row r="1453" spans="2:17">
      <c r="B1453" s="627">
        <f t="shared" si="127"/>
        <v>1448</v>
      </c>
      <c r="C1453" s="582">
        <v>43374</v>
      </c>
      <c r="D1453" s="816" t="s">
        <v>2816</v>
      </c>
      <c r="E1453" s="807">
        <v>310900</v>
      </c>
      <c r="F1453" s="629" t="str">
        <f>IFERROR(VLOOKUP(E1453,STAT1!$C$4:$D$1000,2,FALSE),"")</f>
        <v>Бусад татварын өглөг</v>
      </c>
      <c r="G1453" s="811"/>
      <c r="H1453" s="376">
        <v>3443616</v>
      </c>
      <c r="I1453" s="580">
        <f t="shared" si="128"/>
        <v>0</v>
      </c>
      <c r="J1453" s="961">
        <f t="shared" si="129"/>
        <v>0</v>
      </c>
      <c r="K1453" s="80"/>
      <c r="L1453" s="807">
        <v>2001</v>
      </c>
      <c r="M1453" s="80" t="str">
        <f>+IFERROR(VLOOKUP(L1453,DATA!$G$4:$H$2000,2,FALSE),"")</f>
        <v>ХУД-н ТАТВАРЫН ХЭЛТЭС</v>
      </c>
      <c r="N1453" s="807"/>
      <c r="O1453" s="80" t="str">
        <f>IFERROR(VLOOKUP(N1453,DATA!$K$4:$L$51,2,FALSE),"")</f>
        <v/>
      </c>
      <c r="P1453" s="80">
        <f t="shared" si="130"/>
        <v>0</v>
      </c>
      <c r="Q1453" s="154">
        <f t="shared" si="131"/>
        <v>0</v>
      </c>
    </row>
    <row r="1454" spans="2:17">
      <c r="B1454" s="627">
        <f t="shared" si="127"/>
        <v>1449</v>
      </c>
      <c r="C1454" s="582">
        <v>43374</v>
      </c>
      <c r="D1454" s="816" t="s">
        <v>2817</v>
      </c>
      <c r="E1454" s="807">
        <v>703900</v>
      </c>
      <c r="F1454" s="629" t="str">
        <f>IFERROR(VLOOKUP(E1454,STAT1!$C$4:$D$1000,2,FALSE),"")</f>
        <v>Үл хөдлөхийн татвар</v>
      </c>
      <c r="G1454" s="811">
        <f>10659000-500000</f>
        <v>10159000</v>
      </c>
      <c r="H1454" s="811"/>
      <c r="I1454" s="580">
        <f t="shared" si="128"/>
        <v>0</v>
      </c>
      <c r="J1454" s="961">
        <f t="shared" si="129"/>
        <v>0</v>
      </c>
      <c r="K1454" s="80"/>
      <c r="L1454" s="807">
        <v>2001</v>
      </c>
      <c r="M1454" s="80" t="str">
        <f>+IFERROR(VLOOKUP(L1454,DATA!$G$4:$H$2000,2,FALSE),"")</f>
        <v>ХУД-н ТАТВАРЫН ХЭЛТЭС</v>
      </c>
      <c r="N1454" s="807"/>
      <c r="O1454" s="80" t="str">
        <f>IFERROR(VLOOKUP(N1454,DATA!$K$4:$L$51,2,FALSE),"")</f>
        <v/>
      </c>
      <c r="P1454" s="80">
        <f t="shared" si="130"/>
        <v>0</v>
      </c>
      <c r="Q1454" s="154">
        <f t="shared" si="131"/>
        <v>0</v>
      </c>
    </row>
    <row r="1455" spans="2:17">
      <c r="B1455" s="627">
        <f t="shared" si="127"/>
        <v>1450</v>
      </c>
      <c r="C1455" s="582">
        <v>43374</v>
      </c>
      <c r="D1455" s="816" t="s">
        <v>2817</v>
      </c>
      <c r="E1455" s="807">
        <v>310900</v>
      </c>
      <c r="F1455" s="629" t="str">
        <f>IFERROR(VLOOKUP(E1455,STAT1!$C$4:$D$1000,2,FALSE),"")</f>
        <v>Бусад татварын өглөг</v>
      </c>
      <c r="G1455" s="811"/>
      <c r="H1455" s="811">
        <f>10659000-500000</f>
        <v>10159000</v>
      </c>
      <c r="I1455" s="580">
        <f t="shared" si="128"/>
        <v>0</v>
      </c>
      <c r="J1455" s="961">
        <f t="shared" si="129"/>
        <v>0</v>
      </c>
      <c r="K1455" s="80"/>
      <c r="L1455" s="807">
        <v>2001</v>
      </c>
      <c r="M1455" s="80" t="str">
        <f>+IFERROR(VLOOKUP(L1455,DATA!$G$4:$H$2000,2,FALSE),"")</f>
        <v>ХУД-н ТАТВАРЫН ХЭЛТЭС</v>
      </c>
      <c r="N1455" s="807"/>
      <c r="O1455" s="80" t="str">
        <f>IFERROR(VLOOKUP(N1455,DATA!$K$4:$L$51,2,FALSE),"")</f>
        <v/>
      </c>
      <c r="P1455" s="80">
        <f t="shared" si="130"/>
        <v>0</v>
      </c>
      <c r="Q1455" s="154">
        <f t="shared" si="131"/>
        <v>0</v>
      </c>
    </row>
    <row r="1456" spans="2:17">
      <c r="B1456" s="627">
        <f t="shared" si="127"/>
        <v>1451</v>
      </c>
      <c r="C1456" s="582">
        <v>43410</v>
      </c>
      <c r="D1456" s="816" t="s">
        <v>1571</v>
      </c>
      <c r="E1456" s="807">
        <v>110100</v>
      </c>
      <c r="F1456" s="629" t="str">
        <f>IFERROR(VLOOKUP(E1456,STAT1!$C$4:$D$1000,2,FALSE),"")</f>
        <v>Хаан Банк 5024654020</v>
      </c>
      <c r="G1456" s="811">
        <v>374400</v>
      </c>
      <c r="H1456" s="811"/>
      <c r="I1456" s="580">
        <f t="shared" si="128"/>
        <v>374400</v>
      </c>
      <c r="J1456" s="961">
        <f t="shared" si="129"/>
        <v>0</v>
      </c>
      <c r="K1456" s="80"/>
      <c r="L1456" s="807">
        <v>3135</v>
      </c>
      <c r="M1456" s="80" t="str">
        <f>+IFERROR(VLOOKUP(L1456,DATA!$G$4:$H$2000,2,FALSE),"")</f>
        <v xml:space="preserve">ЛИДЕР БУЯНТ ХОЛДИНГ </v>
      </c>
      <c r="N1456" s="807">
        <v>41</v>
      </c>
      <c r="O1456" s="80" t="str">
        <f>IFERROR(VLOOKUP(N1456,DATA!$K$4:$L$51,2,FALSE),"")</f>
        <v>Бараа борлуулсан, үйлчилгээ үзүүлсэний орлого</v>
      </c>
      <c r="P1456" s="80">
        <f t="shared" si="130"/>
        <v>1</v>
      </c>
      <c r="Q1456" s="154">
        <f t="shared" si="131"/>
        <v>1</v>
      </c>
    </row>
    <row r="1457" spans="2:17">
      <c r="B1457" s="627">
        <f t="shared" si="127"/>
        <v>1452</v>
      </c>
      <c r="C1457" s="582">
        <v>43410</v>
      </c>
      <c r="D1457" s="816" t="s">
        <v>1571</v>
      </c>
      <c r="E1457" s="807">
        <v>320100</v>
      </c>
      <c r="F1457" s="629" t="str">
        <f>IFERROR(VLOOKUP(E1457,STAT1!$C$4:$D$1000,2,FALSE),"")</f>
        <v>Урьдчилж орсон орлого MNT</v>
      </c>
      <c r="G1457" s="811"/>
      <c r="H1457" s="811">
        <v>374400</v>
      </c>
      <c r="I1457" s="580">
        <f t="shared" si="128"/>
        <v>0</v>
      </c>
      <c r="J1457" s="961">
        <f t="shared" si="129"/>
        <v>0</v>
      </c>
      <c r="K1457" s="80"/>
      <c r="L1457" s="807">
        <v>3135</v>
      </c>
      <c r="M1457" s="80" t="str">
        <f>+IFERROR(VLOOKUP(L1457,DATA!$G$4:$H$2000,2,FALSE),"")</f>
        <v xml:space="preserve">ЛИДЕР БУЯНТ ХОЛДИНГ </v>
      </c>
      <c r="N1457" s="807"/>
      <c r="O1457" s="80" t="str">
        <f>IFERROR(VLOOKUP(N1457,DATA!$K$4:$L$51,2,FALSE),"")</f>
        <v/>
      </c>
      <c r="P1457" s="80">
        <f t="shared" si="130"/>
        <v>0</v>
      </c>
      <c r="Q1457" s="154">
        <f t="shared" si="131"/>
        <v>0</v>
      </c>
    </row>
    <row r="1458" spans="2:17">
      <c r="B1458" s="627">
        <f t="shared" si="127"/>
        <v>1453</v>
      </c>
      <c r="C1458" s="582">
        <v>43410</v>
      </c>
      <c r="D1458" s="815" t="s">
        <v>1331</v>
      </c>
      <c r="E1458" s="630">
        <v>110100</v>
      </c>
      <c r="F1458" s="629" t="str">
        <f>IFERROR(VLOOKUP(E1458,STAT1!$C$4:$D$1000,2,FALSE),"")</f>
        <v>Хаан Банк 5024654020</v>
      </c>
      <c r="G1458" s="376"/>
      <c r="H1458" s="376">
        <v>31300</v>
      </c>
      <c r="I1458" s="580">
        <f t="shared" si="128"/>
        <v>-31300</v>
      </c>
      <c r="J1458" s="961">
        <f t="shared" si="129"/>
        <v>0</v>
      </c>
      <c r="K1458" s="80"/>
      <c r="L1458" s="630">
        <v>2006</v>
      </c>
      <c r="M1458" s="80" t="str">
        <f>+IFERROR(VLOOKUP(L1458,DATA!$G$4:$H$2000,2,FALSE),"")</f>
        <v xml:space="preserve">МЦХОЛБОО </v>
      </c>
      <c r="N1458" s="630">
        <v>59</v>
      </c>
      <c r="O1458" s="80" t="str">
        <f>IFERROR(VLOOKUP(N1458,DATA!$K$4:$L$51,2,FALSE),"")</f>
        <v>Бусад мөнгөн зарлага</v>
      </c>
      <c r="P1458" s="80">
        <f t="shared" si="130"/>
        <v>1</v>
      </c>
      <c r="Q1458" s="154">
        <f t="shared" si="131"/>
        <v>1</v>
      </c>
    </row>
    <row r="1459" spans="2:17">
      <c r="B1459" s="627">
        <f t="shared" si="127"/>
        <v>1454</v>
      </c>
      <c r="C1459" s="582">
        <v>43410</v>
      </c>
      <c r="D1459" s="815" t="s">
        <v>1331</v>
      </c>
      <c r="E1459" s="630">
        <v>120600</v>
      </c>
      <c r="F1459" s="629" t="str">
        <f>IFERROR(VLOOKUP(E1459,STAT1!$C$4:$D$1000,2,FALSE),"")</f>
        <v>НӨАТ авлага</v>
      </c>
      <c r="G1459" s="376">
        <v>2845.45</v>
      </c>
      <c r="H1459" s="376"/>
      <c r="I1459" s="580">
        <f t="shared" si="128"/>
        <v>0</v>
      </c>
      <c r="J1459" s="961">
        <f t="shared" si="129"/>
        <v>0</v>
      </c>
      <c r="K1459" s="80"/>
      <c r="L1459" s="630">
        <v>2006</v>
      </c>
      <c r="M1459" s="80" t="str">
        <f>+IFERROR(VLOOKUP(L1459,DATA!$G$4:$H$2000,2,FALSE),"")</f>
        <v xml:space="preserve">МЦХОЛБОО </v>
      </c>
      <c r="N1459" s="630"/>
      <c r="O1459" s="80" t="str">
        <f>IFERROR(VLOOKUP(N1459,DATA!$K$4:$L$51,2,FALSE),"")</f>
        <v/>
      </c>
      <c r="P1459" s="80">
        <f t="shared" si="130"/>
        <v>0</v>
      </c>
      <c r="Q1459" s="154">
        <f t="shared" si="131"/>
        <v>0</v>
      </c>
    </row>
    <row r="1460" spans="2:17">
      <c r="B1460" s="627">
        <f t="shared" si="127"/>
        <v>1455</v>
      </c>
      <c r="C1460" s="582">
        <v>43410</v>
      </c>
      <c r="D1460" s="815" t="s">
        <v>1331</v>
      </c>
      <c r="E1460" s="630">
        <v>701900</v>
      </c>
      <c r="F1460" s="629" t="str">
        <f>IFERROR(VLOOKUP(E1460,STAT1!$C$4:$D$1000,2,FALSE),"")</f>
        <v>Харилцаа холбоо</v>
      </c>
      <c r="G1460" s="376">
        <f>31300-2845.45</f>
        <v>28454.55</v>
      </c>
      <c r="H1460" s="376"/>
      <c r="I1460" s="580">
        <f t="shared" si="128"/>
        <v>0</v>
      </c>
      <c r="J1460" s="961">
        <f t="shared" si="129"/>
        <v>0</v>
      </c>
      <c r="K1460" s="80"/>
      <c r="L1460" s="630">
        <v>2006</v>
      </c>
      <c r="M1460" s="80" t="str">
        <f>+IFERROR(VLOOKUP(L1460,DATA!$G$4:$H$2000,2,FALSE),"")</f>
        <v xml:space="preserve">МЦХОЛБОО </v>
      </c>
      <c r="N1460" s="630"/>
      <c r="O1460" s="80" t="str">
        <f>IFERROR(VLOOKUP(N1460,DATA!$K$4:$L$51,2,FALSE),"")</f>
        <v/>
      </c>
      <c r="P1460" s="80">
        <f t="shared" si="130"/>
        <v>0</v>
      </c>
      <c r="Q1460" s="154">
        <f t="shared" si="131"/>
        <v>0</v>
      </c>
    </row>
    <row r="1461" spans="2:17">
      <c r="B1461" s="627">
        <f t="shared" si="127"/>
        <v>1456</v>
      </c>
      <c r="C1461" s="582">
        <v>43410</v>
      </c>
      <c r="D1461" s="815" t="s">
        <v>2377</v>
      </c>
      <c r="E1461" s="630">
        <v>110100</v>
      </c>
      <c r="F1461" s="629" t="str">
        <f>IFERROR(VLOOKUP(E1461,STAT1!$C$4:$D$1000,2,FALSE),"")</f>
        <v>Хаан Банк 5024654020</v>
      </c>
      <c r="G1461" s="376"/>
      <c r="H1461" s="376">
        <v>172000</v>
      </c>
      <c r="I1461" s="580">
        <f t="shared" si="128"/>
        <v>-172000</v>
      </c>
      <c r="J1461" s="961">
        <f t="shared" si="129"/>
        <v>0</v>
      </c>
      <c r="K1461" s="80"/>
      <c r="L1461" s="630">
        <v>1005</v>
      </c>
      <c r="M1461" s="80" t="str">
        <f>+IFERROR(VLOOKUP(L1461,DATA!$G$4:$H$2000,2,FALSE),"")</f>
        <v>Золжаргал</v>
      </c>
      <c r="N1461" s="630">
        <v>59</v>
      </c>
      <c r="O1461" s="80" t="str">
        <f>IFERROR(VLOOKUP(N1461,DATA!$K$4:$L$51,2,FALSE),"")</f>
        <v>Бусад мөнгөн зарлага</v>
      </c>
      <c r="P1461" s="80">
        <f t="shared" si="130"/>
        <v>1</v>
      </c>
      <c r="Q1461" s="154">
        <f t="shared" si="131"/>
        <v>1</v>
      </c>
    </row>
    <row r="1462" spans="2:17">
      <c r="B1462" s="627">
        <f t="shared" si="127"/>
        <v>1457</v>
      </c>
      <c r="C1462" s="582">
        <v>43410</v>
      </c>
      <c r="D1462" s="815" t="s">
        <v>2377</v>
      </c>
      <c r="E1462" s="630">
        <v>120600</v>
      </c>
      <c r="F1462" s="629" t="str">
        <f>IFERROR(VLOOKUP(E1462,STAT1!$C$4:$D$1000,2,FALSE),"")</f>
        <v>НӨАТ авлага</v>
      </c>
      <c r="G1462" s="376">
        <v>15909.09</v>
      </c>
      <c r="H1462" s="376"/>
      <c r="I1462" s="580">
        <f t="shared" si="128"/>
        <v>0</v>
      </c>
      <c r="J1462" s="961">
        <f t="shared" si="129"/>
        <v>0</v>
      </c>
      <c r="K1462" s="80"/>
      <c r="L1462" s="630">
        <v>1005</v>
      </c>
      <c r="M1462" s="80" t="str">
        <f>+IFERROR(VLOOKUP(L1462,DATA!$G$4:$H$2000,2,FALSE),"")</f>
        <v>Золжаргал</v>
      </c>
      <c r="N1462" s="630"/>
      <c r="O1462" s="80" t="str">
        <f>IFERROR(VLOOKUP(N1462,DATA!$K$4:$L$51,2,FALSE),"")</f>
        <v/>
      </c>
      <c r="P1462" s="80">
        <f t="shared" si="130"/>
        <v>0</v>
      </c>
      <c r="Q1462" s="154">
        <f t="shared" si="131"/>
        <v>0</v>
      </c>
    </row>
    <row r="1463" spans="2:17">
      <c r="B1463" s="627">
        <f t="shared" si="127"/>
        <v>1458</v>
      </c>
      <c r="C1463" s="582">
        <v>43410</v>
      </c>
      <c r="D1463" s="815" t="s">
        <v>2377</v>
      </c>
      <c r="E1463" s="630">
        <v>701900</v>
      </c>
      <c r="F1463" s="629" t="str">
        <f>IFERROR(VLOOKUP(E1463,STAT1!$C$4:$D$1000,2,FALSE),"")</f>
        <v>Харилцаа холбоо</v>
      </c>
      <c r="G1463" s="376">
        <f>172000-15909.09</f>
        <v>156090.91</v>
      </c>
      <c r="H1463" s="376"/>
      <c r="I1463" s="580">
        <f t="shared" si="128"/>
        <v>0</v>
      </c>
      <c r="J1463" s="961">
        <f t="shared" si="129"/>
        <v>0</v>
      </c>
      <c r="K1463" s="80"/>
      <c r="L1463" s="630">
        <v>1005</v>
      </c>
      <c r="M1463" s="80" t="str">
        <f>+IFERROR(VLOOKUP(L1463,DATA!$G$4:$H$2000,2,FALSE),"")</f>
        <v>Золжаргал</v>
      </c>
      <c r="N1463" s="630"/>
      <c r="O1463" s="80" t="str">
        <f>IFERROR(VLOOKUP(N1463,DATA!$K$4:$L$51,2,FALSE),"")</f>
        <v/>
      </c>
      <c r="P1463" s="80">
        <f t="shared" si="130"/>
        <v>0</v>
      </c>
      <c r="Q1463" s="154">
        <f t="shared" si="131"/>
        <v>0</v>
      </c>
    </row>
    <row r="1464" spans="2:17">
      <c r="B1464" s="627">
        <f t="shared" si="127"/>
        <v>1459</v>
      </c>
      <c r="C1464" s="582">
        <v>43410</v>
      </c>
      <c r="D1464" s="815" t="s">
        <v>2381</v>
      </c>
      <c r="E1464" s="630">
        <v>110100</v>
      </c>
      <c r="F1464" s="629" t="str">
        <f>IFERROR(VLOOKUP(E1464,STAT1!$C$4:$D$1000,2,FALSE),"")</f>
        <v>Хаан Банк 5024654020</v>
      </c>
      <c r="G1464" s="376"/>
      <c r="H1464" s="376">
        <v>400</v>
      </c>
      <c r="I1464" s="580">
        <f t="shared" si="128"/>
        <v>-400</v>
      </c>
      <c r="J1464" s="961">
        <f t="shared" si="129"/>
        <v>0</v>
      </c>
      <c r="K1464" s="80"/>
      <c r="L1464" s="630">
        <v>2009</v>
      </c>
      <c r="M1464" s="80" t="str">
        <f>+IFERROR(VLOOKUP(L1464,DATA!$G$4:$H$2000,2,FALSE),"")</f>
        <v>ХААН БАНК</v>
      </c>
      <c r="N1464" s="630">
        <v>59</v>
      </c>
      <c r="O1464" s="80" t="str">
        <f>IFERROR(VLOOKUP(N1464,DATA!$K$4:$L$51,2,FALSE),"")</f>
        <v>Бусад мөнгөн зарлага</v>
      </c>
      <c r="P1464" s="80">
        <f t="shared" si="130"/>
        <v>1</v>
      </c>
      <c r="Q1464" s="154">
        <f t="shared" si="131"/>
        <v>1</v>
      </c>
    </row>
    <row r="1465" spans="2:17">
      <c r="B1465" s="627">
        <f t="shared" si="127"/>
        <v>1460</v>
      </c>
      <c r="C1465" s="582">
        <v>43410</v>
      </c>
      <c r="D1465" s="815" t="s">
        <v>2381</v>
      </c>
      <c r="E1465" s="630">
        <v>704900</v>
      </c>
      <c r="F1465" s="629" t="str">
        <f>IFERROR(VLOOKUP(E1465,STAT1!$C$4:$D$1000,2,FALSE),"")</f>
        <v>Банкны үйлчилгээ</v>
      </c>
      <c r="G1465" s="376">
        <v>400</v>
      </c>
      <c r="H1465" s="376"/>
      <c r="I1465" s="580">
        <f t="shared" si="128"/>
        <v>0</v>
      </c>
      <c r="J1465" s="961">
        <f t="shared" si="129"/>
        <v>0</v>
      </c>
      <c r="K1465" s="80"/>
      <c r="L1465" s="630">
        <v>2009</v>
      </c>
      <c r="M1465" s="80" t="str">
        <f>+IFERROR(VLOOKUP(L1465,DATA!$G$4:$H$2000,2,FALSE),"")</f>
        <v>ХААН БАНК</v>
      </c>
      <c r="N1465" s="630"/>
      <c r="O1465" s="80" t="str">
        <f>IFERROR(VLOOKUP(N1465,DATA!$K$4:$L$51,2,FALSE),"")</f>
        <v/>
      </c>
      <c r="P1465" s="80">
        <f t="shared" si="130"/>
        <v>0</v>
      </c>
      <c r="Q1465" s="154">
        <f t="shared" si="131"/>
        <v>0</v>
      </c>
    </row>
    <row r="1466" spans="2:17">
      <c r="B1466" s="627">
        <f t="shared" si="127"/>
        <v>1461</v>
      </c>
      <c r="C1466" s="582">
        <v>43413</v>
      </c>
      <c r="D1466" s="816" t="s">
        <v>1571</v>
      </c>
      <c r="E1466" s="630">
        <v>110100</v>
      </c>
      <c r="F1466" s="629" t="str">
        <f>IFERROR(VLOOKUP(E1466,STAT1!$C$4:$D$1000,2,FALSE),"")</f>
        <v>Хаан Банк 5024654020</v>
      </c>
      <c r="G1466" s="376">
        <v>168300</v>
      </c>
      <c r="H1466" s="376"/>
      <c r="I1466" s="580">
        <f t="shared" si="128"/>
        <v>168300</v>
      </c>
      <c r="J1466" s="961">
        <f t="shared" si="129"/>
        <v>0</v>
      </c>
      <c r="K1466" s="80"/>
      <c r="L1466" s="630">
        <v>3138</v>
      </c>
      <c r="M1466" s="80" t="str">
        <f>+IFERROR(VLOOKUP(L1466,DATA!$G$4:$H$2000,2,FALSE),"")</f>
        <v>ХӨХ БҮРДНИЙ ЭХ ХХК</v>
      </c>
      <c r="N1466" s="807">
        <v>41</v>
      </c>
      <c r="O1466" s="80" t="str">
        <f>IFERROR(VLOOKUP(N1466,DATA!$K$4:$L$51,2,FALSE),"")</f>
        <v>Бараа борлуулсан, үйлчилгээ үзүүлсэний орлого</v>
      </c>
      <c r="P1466" s="80">
        <f t="shared" si="130"/>
        <v>1</v>
      </c>
      <c r="Q1466" s="154">
        <f t="shared" si="131"/>
        <v>1</v>
      </c>
    </row>
    <row r="1467" spans="2:17">
      <c r="B1467" s="627">
        <f t="shared" si="127"/>
        <v>1462</v>
      </c>
      <c r="C1467" s="582">
        <v>43413</v>
      </c>
      <c r="D1467" s="816" t="s">
        <v>1571</v>
      </c>
      <c r="E1467" s="807">
        <v>320100</v>
      </c>
      <c r="F1467" s="629" t="str">
        <f>IFERROR(VLOOKUP(E1467,STAT1!$C$4:$D$1000,2,FALSE),"")</f>
        <v>Урьдчилж орсон орлого MNT</v>
      </c>
      <c r="G1467" s="811"/>
      <c r="H1467" s="376">
        <v>168300</v>
      </c>
      <c r="I1467" s="580">
        <f t="shared" si="128"/>
        <v>0</v>
      </c>
      <c r="J1467" s="961">
        <f t="shared" si="129"/>
        <v>0</v>
      </c>
      <c r="K1467" s="80"/>
      <c r="L1467" s="807">
        <v>3138</v>
      </c>
      <c r="M1467" s="80" t="str">
        <f>+IFERROR(VLOOKUP(L1467,DATA!$G$4:$H$2000,2,FALSE),"")</f>
        <v>ХӨХ БҮРДНИЙ ЭХ ХХК</v>
      </c>
      <c r="N1467" s="807"/>
      <c r="O1467" s="80" t="str">
        <f>IFERROR(VLOOKUP(N1467,DATA!$K$4:$L$51,2,FALSE),"")</f>
        <v/>
      </c>
      <c r="P1467" s="80">
        <f t="shared" si="130"/>
        <v>0</v>
      </c>
      <c r="Q1467" s="154">
        <f t="shared" si="131"/>
        <v>0</v>
      </c>
    </row>
    <row r="1468" spans="2:17">
      <c r="B1468" s="627">
        <f t="shared" si="127"/>
        <v>1463</v>
      </c>
      <c r="C1468" s="429">
        <v>43413</v>
      </c>
      <c r="D1468" s="816" t="s">
        <v>1570</v>
      </c>
      <c r="E1468" s="807">
        <v>100100</v>
      </c>
      <c r="F1468" s="629" t="str">
        <f>IFERROR(VLOOKUP(E1468,STAT1!$C$4:$D$1000,2,FALSE),"")</f>
        <v>Касс мөнгө MNT</v>
      </c>
      <c r="G1468" s="811"/>
      <c r="H1468" s="811">
        <v>30000</v>
      </c>
      <c r="I1468" s="580">
        <f t="shared" si="128"/>
        <v>-30000</v>
      </c>
      <c r="J1468" s="961">
        <f t="shared" si="129"/>
        <v>0</v>
      </c>
      <c r="K1468" s="80"/>
      <c r="L1468" s="807">
        <v>1008</v>
      </c>
      <c r="M1468" s="80" t="str">
        <f>+IFERROR(VLOOKUP(L1468,DATA!$G$4:$H$2000,2,FALSE),"")</f>
        <v xml:space="preserve">Оюунтүлхүүр </v>
      </c>
      <c r="N1468" s="807">
        <v>55</v>
      </c>
      <c r="O1468" s="80" t="str">
        <f>IFERROR(VLOOKUP(N1468,DATA!$K$4:$L$51,2,FALSE),"")</f>
        <v>Түлш, шатахуун, тээврийн хөлс, сэлбэг хэрэгсэлд төлсөн</v>
      </c>
      <c r="P1468" s="80">
        <f t="shared" si="130"/>
        <v>1</v>
      </c>
      <c r="Q1468" s="154">
        <f t="shared" si="131"/>
        <v>1</v>
      </c>
    </row>
    <row r="1469" spans="2:17">
      <c r="B1469" s="627">
        <f t="shared" si="127"/>
        <v>1464</v>
      </c>
      <c r="C1469" s="429">
        <v>43413</v>
      </c>
      <c r="D1469" s="816" t="s">
        <v>1570</v>
      </c>
      <c r="E1469" s="807">
        <v>702000</v>
      </c>
      <c r="F1469" s="629" t="str">
        <f>IFERROR(VLOOKUP(E1469,STAT1!$C$4:$D$1000,2,FALSE),"")</f>
        <v>Түлш, шатахуун</v>
      </c>
      <c r="G1469" s="811">
        <v>30000</v>
      </c>
      <c r="H1469" s="811"/>
      <c r="I1469" s="580">
        <f t="shared" si="128"/>
        <v>0</v>
      </c>
      <c r="J1469" s="961">
        <f t="shared" si="129"/>
        <v>0</v>
      </c>
      <c r="K1469" s="80"/>
      <c r="L1469" s="807">
        <v>1008</v>
      </c>
      <c r="M1469" s="80" t="str">
        <f>+IFERROR(VLOOKUP(L1469,DATA!$G$4:$H$2000,2,FALSE),"")</f>
        <v xml:space="preserve">Оюунтүлхүүр </v>
      </c>
      <c r="N1469" s="807"/>
      <c r="O1469" s="80" t="str">
        <f>IFERROR(VLOOKUP(N1469,DATA!$K$4:$L$51,2,FALSE),"")</f>
        <v/>
      </c>
      <c r="P1469" s="80">
        <f t="shared" si="130"/>
        <v>0</v>
      </c>
      <c r="Q1469" s="154">
        <f t="shared" si="131"/>
        <v>0</v>
      </c>
    </row>
    <row r="1470" spans="2:17">
      <c r="B1470" s="627">
        <f t="shared" si="127"/>
        <v>1465</v>
      </c>
      <c r="C1470" s="429">
        <v>43419</v>
      </c>
      <c r="D1470" s="816" t="s">
        <v>1572</v>
      </c>
      <c r="E1470" s="807">
        <v>100100</v>
      </c>
      <c r="F1470" s="629" t="str">
        <f>IFERROR(VLOOKUP(E1470,STAT1!$C$4:$D$1000,2,FALSE),"")</f>
        <v>Касс мөнгө MNT</v>
      </c>
      <c r="G1470" s="811"/>
      <c r="H1470" s="811">
        <v>1568136</v>
      </c>
      <c r="I1470" s="580">
        <f t="shared" si="128"/>
        <v>-1568136</v>
      </c>
      <c r="J1470" s="961">
        <f t="shared" si="129"/>
        <v>0</v>
      </c>
      <c r="K1470" s="80"/>
      <c r="L1470" s="807">
        <v>2013</v>
      </c>
      <c r="M1470" s="80" t="str">
        <f>+IFERROR(VLOOKUP(L1470,DATA!$G$4:$H$2000,2,FALSE),"")</f>
        <v>УБДС ТӨХК</v>
      </c>
      <c r="N1470" s="807">
        <v>54</v>
      </c>
      <c r="O1470" s="80" t="str">
        <f>IFERROR(VLOOKUP(N1470,DATA!$K$4:$L$51,2,FALSE),"")</f>
        <v>Ашиглалтын зардалд төлсөн</v>
      </c>
      <c r="P1470" s="80">
        <f t="shared" ref="P1470:P1532" si="132">+IF(I1470,1,0)</f>
        <v>1</v>
      </c>
      <c r="Q1470" s="154">
        <f t="shared" si="131"/>
        <v>1</v>
      </c>
    </row>
    <row r="1471" spans="2:17">
      <c r="B1471" s="627">
        <f t="shared" si="127"/>
        <v>1466</v>
      </c>
      <c r="C1471" s="429">
        <v>43419</v>
      </c>
      <c r="D1471" s="816" t="s">
        <v>1572</v>
      </c>
      <c r="E1471" s="807">
        <v>120600</v>
      </c>
      <c r="F1471" s="629" t="str">
        <f>IFERROR(VLOOKUP(E1471,STAT1!$C$4:$D$1000,2,FALSE),"")</f>
        <v>НӨАТ авлага</v>
      </c>
      <c r="G1471" s="811">
        <v>142557.9</v>
      </c>
      <c r="H1471" s="811"/>
      <c r="I1471" s="580">
        <f t="shared" si="128"/>
        <v>0</v>
      </c>
      <c r="J1471" s="961">
        <f t="shared" si="129"/>
        <v>0</v>
      </c>
      <c r="K1471" s="80"/>
      <c r="L1471" s="807">
        <v>2013</v>
      </c>
      <c r="M1471" s="80" t="str">
        <f>+IFERROR(VLOOKUP(L1471,DATA!$G$4:$H$2000,2,FALSE),"")</f>
        <v>УБДС ТӨХК</v>
      </c>
      <c r="N1471" s="807"/>
      <c r="O1471" s="80" t="str">
        <f>IFERROR(VLOOKUP(N1471,DATA!$K$4:$L$51,2,FALSE),"")</f>
        <v/>
      </c>
      <c r="P1471" s="80">
        <f t="shared" si="132"/>
        <v>0</v>
      </c>
      <c r="Q1471" s="154">
        <f t="shared" si="131"/>
        <v>0</v>
      </c>
    </row>
    <row r="1472" spans="2:17">
      <c r="B1472" s="627">
        <f t="shared" si="127"/>
        <v>1467</v>
      </c>
      <c r="C1472" s="429">
        <v>43419</v>
      </c>
      <c r="D1472" s="816" t="s">
        <v>1572</v>
      </c>
      <c r="E1472" s="807">
        <v>700800</v>
      </c>
      <c r="F1472" s="629" t="str">
        <f>IFERROR(VLOOKUP(E1472,STAT1!$C$4:$D$1000,2,FALSE),"")</f>
        <v>Дулаан</v>
      </c>
      <c r="G1472" s="811">
        <f>1568136-142557.9</f>
        <v>1425578.1</v>
      </c>
      <c r="H1472" s="811"/>
      <c r="I1472" s="580">
        <f t="shared" ref="I1472:I1534" si="133">+IF(OR(E1472=100100,E1472=100200,E1472=110100,E1472=110102,E1472=110103,E1472=110104,E1472=110105,E1472=110200,E1472=110201,E1472=110202,E1472=110203,E1472=110204,E1472=110300),G1472,0)+IF(OR(E1472=100100,E1472=100200,E1472=110100,E1472=110102,E1472=110103,E1472=110104,E1472=110105,E1472=110200,E1472=110201,E1472=110202,E1472=110203,E1472=110204,E1472=110300),H1472*-1,0)</f>
        <v>0</v>
      </c>
      <c r="J1472" s="961">
        <f t="shared" ref="J1472:J1534" si="134">+IF(E1472=110200,I1472/K1472,0)</f>
        <v>0</v>
      </c>
      <c r="K1472" s="80"/>
      <c r="L1472" s="807">
        <v>2013</v>
      </c>
      <c r="M1472" s="80" t="str">
        <f>+IFERROR(VLOOKUP(L1472,DATA!$G$4:$H$2000,2,FALSE),"")</f>
        <v>УБДС ТӨХК</v>
      </c>
      <c r="N1472" s="807"/>
      <c r="O1472" s="80" t="str">
        <f>IFERROR(VLOOKUP(N1472,DATA!$K$4:$L$51,2,FALSE),"")</f>
        <v/>
      </c>
      <c r="P1472" s="80">
        <f t="shared" si="132"/>
        <v>0</v>
      </c>
      <c r="Q1472" s="154">
        <f t="shared" si="131"/>
        <v>0</v>
      </c>
    </row>
    <row r="1473" spans="2:17">
      <c r="B1473" s="627">
        <f t="shared" si="127"/>
        <v>1468</v>
      </c>
      <c r="C1473" s="429">
        <v>43418</v>
      </c>
      <c r="D1473" s="816" t="s">
        <v>2375</v>
      </c>
      <c r="E1473" s="807">
        <v>100100</v>
      </c>
      <c r="F1473" s="629" t="str">
        <f>IFERROR(VLOOKUP(E1473,STAT1!$C$4:$D$1000,2,FALSE),"")</f>
        <v>Касс мөнгө MNT</v>
      </c>
      <c r="G1473" s="811"/>
      <c r="H1473" s="811">
        <v>2840202</v>
      </c>
      <c r="I1473" s="580">
        <f t="shared" si="133"/>
        <v>-2840202</v>
      </c>
      <c r="J1473" s="961">
        <f t="shared" si="134"/>
        <v>0</v>
      </c>
      <c r="K1473" s="80"/>
      <c r="L1473" s="807">
        <v>2004</v>
      </c>
      <c r="M1473" s="80" t="str">
        <f>+IFERROR(VLOOKUP(L1473,DATA!$G$4:$H$2000,2,FALSE),"")</f>
        <v xml:space="preserve">ДЦС-3 ТӨХК </v>
      </c>
      <c r="N1473" s="807">
        <v>54</v>
      </c>
      <c r="O1473" s="80" t="str">
        <f>IFERROR(VLOOKUP(N1473,DATA!$K$4:$L$51,2,FALSE),"")</f>
        <v>Ашиглалтын зардалд төлсөн</v>
      </c>
      <c r="P1473" s="80">
        <f t="shared" si="132"/>
        <v>1</v>
      </c>
      <c r="Q1473" s="154">
        <f t="shared" si="131"/>
        <v>1</v>
      </c>
    </row>
    <row r="1474" spans="2:17">
      <c r="B1474" s="627">
        <f t="shared" si="127"/>
        <v>1469</v>
      </c>
      <c r="C1474" s="429">
        <v>43418</v>
      </c>
      <c r="D1474" s="816" t="s">
        <v>2375</v>
      </c>
      <c r="E1474" s="807">
        <v>310100</v>
      </c>
      <c r="F1474" s="629" t="str">
        <f>IFERROR(VLOOKUP(E1474,STAT1!$C$4:$D$1000,2,FALSE),"")</f>
        <v>Дансны өглөг MNT</v>
      </c>
      <c r="G1474" s="811">
        <v>2840202</v>
      </c>
      <c r="H1474" s="811"/>
      <c r="I1474" s="580">
        <f t="shared" si="133"/>
        <v>0</v>
      </c>
      <c r="J1474" s="961">
        <f t="shared" si="134"/>
        <v>0</v>
      </c>
      <c r="K1474" s="80"/>
      <c r="L1474" s="807">
        <v>2004</v>
      </c>
      <c r="M1474" s="80" t="str">
        <f>+IFERROR(VLOOKUP(L1474,DATA!$G$4:$H$2000,2,FALSE),"")</f>
        <v xml:space="preserve">ДЦС-3 ТӨХК </v>
      </c>
      <c r="N1474" s="807"/>
      <c r="O1474" s="80" t="str">
        <f>IFERROR(VLOOKUP(N1474,DATA!$K$4:$L$51,2,FALSE),"")</f>
        <v/>
      </c>
      <c r="P1474" s="80">
        <f t="shared" si="132"/>
        <v>0</v>
      </c>
      <c r="Q1474" s="154">
        <f t="shared" si="131"/>
        <v>0</v>
      </c>
    </row>
    <row r="1475" spans="2:17">
      <c r="B1475" s="627">
        <f t="shared" si="127"/>
        <v>1470</v>
      </c>
      <c r="C1475" s="429">
        <v>43421</v>
      </c>
      <c r="D1475" s="816" t="s">
        <v>2538</v>
      </c>
      <c r="E1475" s="807">
        <v>100100</v>
      </c>
      <c r="F1475" s="629" t="str">
        <f>IFERROR(VLOOKUP(E1475,STAT1!$C$4:$D$1000,2,FALSE),"")</f>
        <v>Касс мөнгө MNT</v>
      </c>
      <c r="G1475" s="811"/>
      <c r="H1475" s="811">
        <v>90000</v>
      </c>
      <c r="I1475" s="580">
        <f t="shared" si="133"/>
        <v>-90000</v>
      </c>
      <c r="J1475" s="961">
        <f t="shared" si="134"/>
        <v>0</v>
      </c>
      <c r="K1475" s="80"/>
      <c r="L1475" s="807">
        <v>1005</v>
      </c>
      <c r="M1475" s="80" t="str">
        <f>+IFERROR(VLOOKUP(L1475,DATA!$G$4:$H$2000,2,FALSE),"")</f>
        <v>Золжаргал</v>
      </c>
      <c r="N1475" s="807">
        <v>55</v>
      </c>
      <c r="O1475" s="80" t="str">
        <f>IFERROR(VLOOKUP(N1475,DATA!$K$4:$L$51,2,FALSE),"")</f>
        <v>Түлш, шатахуун, тээврийн хөлс, сэлбэг хэрэгсэлд төлсөн</v>
      </c>
      <c r="P1475" s="80">
        <f t="shared" si="132"/>
        <v>1</v>
      </c>
      <c r="Q1475" s="154">
        <f t="shared" si="131"/>
        <v>1</v>
      </c>
    </row>
    <row r="1476" spans="2:17">
      <c r="B1476" s="627">
        <f t="shared" si="127"/>
        <v>1471</v>
      </c>
      <c r="C1476" s="429">
        <v>43421</v>
      </c>
      <c r="D1476" s="816" t="s">
        <v>2538</v>
      </c>
      <c r="E1476" s="807">
        <v>702000</v>
      </c>
      <c r="F1476" s="629" t="str">
        <f>IFERROR(VLOOKUP(E1476,STAT1!$C$4:$D$1000,2,FALSE),"")</f>
        <v>Түлш, шатахуун</v>
      </c>
      <c r="G1476" s="811">
        <v>90000</v>
      </c>
      <c r="H1476" s="811"/>
      <c r="I1476" s="580">
        <f t="shared" si="133"/>
        <v>0</v>
      </c>
      <c r="J1476" s="961">
        <f t="shared" si="134"/>
        <v>0</v>
      </c>
      <c r="K1476" s="80"/>
      <c r="L1476" s="807">
        <v>1005</v>
      </c>
      <c r="M1476" s="80" t="str">
        <f>+IFERROR(VLOOKUP(L1476,DATA!$G$4:$H$2000,2,FALSE),"")</f>
        <v>Золжаргал</v>
      </c>
      <c r="N1476" s="807"/>
      <c r="O1476" s="80" t="str">
        <f>IFERROR(VLOOKUP(N1476,DATA!$K$4:$L$51,2,FALSE),"")</f>
        <v/>
      </c>
      <c r="P1476" s="80">
        <f t="shared" si="132"/>
        <v>0</v>
      </c>
      <c r="Q1476" s="154">
        <f t="shared" si="131"/>
        <v>0</v>
      </c>
    </row>
    <row r="1477" spans="2:17">
      <c r="B1477" s="627">
        <f t="shared" si="127"/>
        <v>1472</v>
      </c>
      <c r="C1477" s="429">
        <v>43421</v>
      </c>
      <c r="D1477" s="816" t="s">
        <v>1570</v>
      </c>
      <c r="E1477" s="807">
        <v>100100</v>
      </c>
      <c r="F1477" s="629" t="str">
        <f>IFERROR(VLOOKUP(E1477,STAT1!$C$4:$D$1000,2,FALSE),"")</f>
        <v>Касс мөнгө MNT</v>
      </c>
      <c r="G1477" s="811"/>
      <c r="H1477" s="811">
        <v>30000</v>
      </c>
      <c r="I1477" s="580">
        <f t="shared" si="133"/>
        <v>-30000</v>
      </c>
      <c r="J1477" s="961">
        <f t="shared" si="134"/>
        <v>0</v>
      </c>
      <c r="K1477" s="80"/>
      <c r="L1477" s="807">
        <v>1008</v>
      </c>
      <c r="M1477" s="80" t="str">
        <f>+IFERROR(VLOOKUP(L1477,DATA!$G$4:$H$2000,2,FALSE),"")</f>
        <v xml:space="preserve">Оюунтүлхүүр </v>
      </c>
      <c r="N1477" s="807">
        <v>55</v>
      </c>
      <c r="O1477" s="80" t="str">
        <f>IFERROR(VLOOKUP(N1477,DATA!$K$4:$L$51,2,FALSE),"")</f>
        <v>Түлш, шатахуун, тээврийн хөлс, сэлбэг хэрэгсэлд төлсөн</v>
      </c>
      <c r="P1477" s="80">
        <f t="shared" si="132"/>
        <v>1</v>
      </c>
      <c r="Q1477" s="154">
        <f t="shared" si="131"/>
        <v>1</v>
      </c>
    </row>
    <row r="1478" spans="2:17">
      <c r="B1478" s="627">
        <f t="shared" si="127"/>
        <v>1473</v>
      </c>
      <c r="C1478" s="429">
        <v>43421</v>
      </c>
      <c r="D1478" s="816" t="s">
        <v>1570</v>
      </c>
      <c r="E1478" s="807">
        <v>702000</v>
      </c>
      <c r="F1478" s="629" t="str">
        <f>IFERROR(VLOOKUP(E1478,STAT1!$C$4:$D$1000,2,FALSE),"")</f>
        <v>Түлш, шатахуун</v>
      </c>
      <c r="G1478" s="811">
        <v>30000</v>
      </c>
      <c r="H1478" s="811"/>
      <c r="I1478" s="580">
        <f t="shared" si="133"/>
        <v>0</v>
      </c>
      <c r="J1478" s="961">
        <f t="shared" si="134"/>
        <v>0</v>
      </c>
      <c r="K1478" s="80"/>
      <c r="L1478" s="807">
        <v>1008</v>
      </c>
      <c r="M1478" s="80" t="str">
        <f>+IFERROR(VLOOKUP(L1478,DATA!$G$4:$H$2000,2,FALSE),"")</f>
        <v xml:space="preserve">Оюунтүлхүүр </v>
      </c>
      <c r="N1478" s="807"/>
      <c r="O1478" s="80" t="str">
        <f>IFERROR(VLOOKUP(N1478,DATA!$K$4:$L$51,2,FALSE),"")</f>
        <v/>
      </c>
      <c r="P1478" s="80">
        <f t="shared" si="132"/>
        <v>0</v>
      </c>
      <c r="Q1478" s="154">
        <f t="shared" si="131"/>
        <v>0</v>
      </c>
    </row>
    <row r="1479" spans="2:17">
      <c r="B1479" s="627">
        <f t="shared" si="127"/>
        <v>1474</v>
      </c>
      <c r="C1479" s="429">
        <v>43425</v>
      </c>
      <c r="D1479" s="816" t="s">
        <v>2797</v>
      </c>
      <c r="E1479" s="807">
        <v>100100</v>
      </c>
      <c r="F1479" s="629" t="str">
        <f>IFERROR(VLOOKUP(E1479,STAT1!$C$4:$D$1000,2,FALSE),"")</f>
        <v>Касс мөнгө MNT</v>
      </c>
      <c r="G1479" s="811"/>
      <c r="H1479" s="811">
        <v>960000</v>
      </c>
      <c r="I1479" s="580">
        <f t="shared" si="133"/>
        <v>-960000</v>
      </c>
      <c r="J1479" s="961">
        <f t="shared" si="134"/>
        <v>0</v>
      </c>
      <c r="K1479" s="80"/>
      <c r="L1479" s="807">
        <v>1008</v>
      </c>
      <c r="M1479" s="80" t="str">
        <f>+IFERROR(VLOOKUP(L1479,DATA!$G$4:$H$2000,2,FALSE),"")</f>
        <v xml:space="preserve">Оюунтүлхүүр </v>
      </c>
      <c r="N1479" s="807">
        <v>53</v>
      </c>
      <c r="O1479" s="80" t="str">
        <f>IFERROR(VLOOKUP(N1479,DATA!$K$4:$L$51,2,FALSE),"")</f>
        <v>Бараа материал худалдан авахад төлсөн</v>
      </c>
      <c r="P1479" s="80">
        <f t="shared" si="132"/>
        <v>1</v>
      </c>
      <c r="Q1479" s="154">
        <f t="shared" si="131"/>
        <v>1</v>
      </c>
    </row>
    <row r="1480" spans="2:17">
      <c r="B1480" s="627">
        <f t="shared" si="127"/>
        <v>1475</v>
      </c>
      <c r="C1480" s="429">
        <v>43425</v>
      </c>
      <c r="D1480" s="816" t="s">
        <v>2797</v>
      </c>
      <c r="E1480" s="807">
        <v>120100</v>
      </c>
      <c r="F1480" s="629" t="str">
        <f>IFERROR(VLOOKUP(E1480,STAT1!$C$4:$D$1000,2,FALSE),"")</f>
        <v xml:space="preserve">Дансны авлага MNT </v>
      </c>
      <c r="G1480" s="811">
        <v>960000</v>
      </c>
      <c r="H1480" s="811"/>
      <c r="I1480" s="580">
        <f t="shared" si="133"/>
        <v>0</v>
      </c>
      <c r="J1480" s="961">
        <f t="shared" si="134"/>
        <v>0</v>
      </c>
      <c r="K1480" s="80"/>
      <c r="L1480" s="807">
        <v>1008</v>
      </c>
      <c r="M1480" s="80" t="str">
        <f>+IFERROR(VLOOKUP(L1480,DATA!$G$4:$H$2000,2,FALSE),"")</f>
        <v xml:space="preserve">Оюунтүлхүүр </v>
      </c>
      <c r="N1480" s="807"/>
      <c r="O1480" s="80" t="str">
        <f>IFERROR(VLOOKUP(N1480,DATA!$K$4:$L$51,2,FALSE),"")</f>
        <v/>
      </c>
      <c r="P1480" s="80">
        <f t="shared" si="132"/>
        <v>0</v>
      </c>
      <c r="Q1480" s="154">
        <f t="shared" si="131"/>
        <v>0</v>
      </c>
    </row>
    <row r="1481" spans="2:17">
      <c r="B1481" s="627">
        <f t="shared" si="127"/>
        <v>1476</v>
      </c>
      <c r="C1481" s="429">
        <v>43425</v>
      </c>
      <c r="D1481" s="816" t="s">
        <v>2819</v>
      </c>
      <c r="E1481" s="807">
        <v>140100</v>
      </c>
      <c r="F1481" s="629" t="str">
        <f>IFERROR(VLOOKUP(E1481,STAT1!$C$4:$D$1000,2,FALSE),"")</f>
        <v>Түүхий эд материал</v>
      </c>
      <c r="G1481" s="811">
        <v>960000</v>
      </c>
      <c r="H1481" s="811"/>
      <c r="I1481" s="580">
        <f t="shared" si="133"/>
        <v>0</v>
      </c>
      <c r="J1481" s="961">
        <f t="shared" si="134"/>
        <v>0</v>
      </c>
      <c r="K1481" s="80"/>
      <c r="L1481" s="807">
        <v>1008</v>
      </c>
      <c r="M1481" s="80" t="str">
        <f>+IFERROR(VLOOKUP(L1481,DATA!$G$4:$H$2000,2,FALSE),"")</f>
        <v xml:space="preserve">Оюунтүлхүүр </v>
      </c>
      <c r="N1481" s="807"/>
      <c r="O1481" s="80" t="str">
        <f>IFERROR(VLOOKUP(N1481,DATA!$K$4:$L$51,2,FALSE),"")</f>
        <v/>
      </c>
      <c r="P1481" s="80">
        <f t="shared" si="132"/>
        <v>0</v>
      </c>
      <c r="Q1481" s="154">
        <f t="shared" si="131"/>
        <v>0</v>
      </c>
    </row>
    <row r="1482" spans="2:17">
      <c r="B1482" s="627">
        <f t="shared" si="127"/>
        <v>1477</v>
      </c>
      <c r="C1482" s="429">
        <v>43425</v>
      </c>
      <c r="D1482" s="816" t="s">
        <v>2819</v>
      </c>
      <c r="E1482" s="807">
        <v>120100</v>
      </c>
      <c r="F1482" s="629" t="str">
        <f>IFERROR(VLOOKUP(E1482,STAT1!$C$4:$D$1000,2,FALSE),"")</f>
        <v xml:space="preserve">Дансны авлага MNT </v>
      </c>
      <c r="G1482" s="811"/>
      <c r="H1482" s="811">
        <v>960000</v>
      </c>
      <c r="I1482" s="580">
        <f t="shared" si="133"/>
        <v>0</v>
      </c>
      <c r="J1482" s="961">
        <f t="shared" si="134"/>
        <v>0</v>
      </c>
      <c r="K1482" s="80"/>
      <c r="L1482" s="807">
        <v>1008</v>
      </c>
      <c r="M1482" s="80" t="str">
        <f>+IFERROR(VLOOKUP(L1482,DATA!$G$4:$H$2000,2,FALSE),"")</f>
        <v xml:space="preserve">Оюунтүлхүүр </v>
      </c>
      <c r="N1482" s="807"/>
      <c r="O1482" s="80" t="str">
        <f>IFERROR(VLOOKUP(N1482,DATA!$K$4:$L$51,2,FALSE),"")</f>
        <v/>
      </c>
      <c r="P1482" s="80">
        <f t="shared" si="132"/>
        <v>0</v>
      </c>
      <c r="Q1482" s="154">
        <f t="shared" si="131"/>
        <v>0</v>
      </c>
    </row>
    <row r="1483" spans="2:17">
      <c r="B1483" s="627">
        <f t="shared" si="127"/>
        <v>1478</v>
      </c>
      <c r="C1483" s="582">
        <v>43424</v>
      </c>
      <c r="D1483" s="815" t="s">
        <v>1570</v>
      </c>
      <c r="E1483" s="630">
        <v>100100</v>
      </c>
      <c r="F1483" s="629" t="str">
        <f>IFERROR(VLOOKUP(E1483,STAT1!$C$4:$D$1000,2,FALSE),"")</f>
        <v>Касс мөнгө MNT</v>
      </c>
      <c r="G1483" s="376"/>
      <c r="H1483" s="376">
        <v>20000</v>
      </c>
      <c r="I1483" s="580">
        <f t="shared" si="133"/>
        <v>-20000</v>
      </c>
      <c r="J1483" s="961">
        <f t="shared" si="134"/>
        <v>0</v>
      </c>
      <c r="K1483" s="80"/>
      <c r="L1483" s="630">
        <v>1005</v>
      </c>
      <c r="M1483" s="80" t="str">
        <f>+IFERROR(VLOOKUP(L1483,DATA!$G$4:$H$2000,2,FALSE),"")</f>
        <v>Золжаргал</v>
      </c>
      <c r="N1483" s="630">
        <v>55</v>
      </c>
      <c r="O1483" s="80" t="str">
        <f>IFERROR(VLOOKUP(N1483,DATA!$K$4:$L$51,2,FALSE),"")</f>
        <v>Түлш, шатахуун, тээврийн хөлс, сэлбэг хэрэгсэлд төлсөн</v>
      </c>
      <c r="P1483" s="80">
        <f t="shared" si="132"/>
        <v>1</v>
      </c>
      <c r="Q1483" s="154">
        <f t="shared" si="131"/>
        <v>1</v>
      </c>
    </row>
    <row r="1484" spans="2:17">
      <c r="B1484" s="627">
        <f t="shared" si="127"/>
        <v>1479</v>
      </c>
      <c r="C1484" s="582">
        <v>43424</v>
      </c>
      <c r="D1484" s="815" t="s">
        <v>1570</v>
      </c>
      <c r="E1484" s="630">
        <v>702000</v>
      </c>
      <c r="F1484" s="629" t="str">
        <f>IFERROR(VLOOKUP(E1484,STAT1!$C$4:$D$1000,2,FALSE),"")</f>
        <v>Түлш, шатахуун</v>
      </c>
      <c r="G1484" s="376">
        <v>20000</v>
      </c>
      <c r="H1484" s="376"/>
      <c r="I1484" s="580">
        <f t="shared" si="133"/>
        <v>0</v>
      </c>
      <c r="J1484" s="961">
        <f t="shared" si="134"/>
        <v>0</v>
      </c>
      <c r="K1484" s="80"/>
      <c r="L1484" s="630">
        <v>1005</v>
      </c>
      <c r="M1484" s="80" t="str">
        <f>+IFERROR(VLOOKUP(L1484,DATA!$G$4:$H$2000,2,FALSE),"")</f>
        <v>Золжаргал</v>
      </c>
      <c r="N1484" s="630"/>
      <c r="O1484" s="80" t="str">
        <f>IFERROR(VLOOKUP(N1484,DATA!$K$4:$L$51,2,FALSE),"")</f>
        <v/>
      </c>
      <c r="P1484" s="80">
        <f t="shared" si="132"/>
        <v>0</v>
      </c>
      <c r="Q1484" s="154">
        <f t="shared" si="131"/>
        <v>0</v>
      </c>
    </row>
    <row r="1485" spans="2:17">
      <c r="B1485" s="627">
        <f t="shared" si="127"/>
        <v>1480</v>
      </c>
      <c r="C1485" s="582">
        <v>43409</v>
      </c>
      <c r="D1485" s="815" t="s">
        <v>2820</v>
      </c>
      <c r="E1485" s="630">
        <v>100100</v>
      </c>
      <c r="F1485" s="629" t="str">
        <f>IFERROR(VLOOKUP(E1485,STAT1!$C$4:$D$1000,2,FALSE),"")</f>
        <v>Касс мөнгө MNT</v>
      </c>
      <c r="G1485" s="376"/>
      <c r="H1485" s="376">
        <v>10000000</v>
      </c>
      <c r="I1485" s="580">
        <f t="shared" si="133"/>
        <v>-10000000</v>
      </c>
      <c r="J1485" s="961">
        <f t="shared" si="134"/>
        <v>0</v>
      </c>
      <c r="K1485" s="80"/>
      <c r="L1485" s="630">
        <v>3120</v>
      </c>
      <c r="M1485" s="80" t="str">
        <f>+IFERROR(VLOOKUP(L1485,DATA!$G$4:$H$2000,2,FALSE),"")</f>
        <v>АКВАПЛАСТ МОНГОЛ ХХК</v>
      </c>
      <c r="N1485" s="630">
        <v>53</v>
      </c>
      <c r="O1485" s="80" t="str">
        <f>IFERROR(VLOOKUP(N1485,DATA!$K$4:$L$51,2,FALSE),"")</f>
        <v>Бараа материал худалдан авахад төлсөн</v>
      </c>
      <c r="P1485" s="80">
        <f t="shared" si="132"/>
        <v>1</v>
      </c>
      <c r="Q1485" s="154">
        <f t="shared" si="131"/>
        <v>1</v>
      </c>
    </row>
    <row r="1486" spans="2:17">
      <c r="B1486" s="627">
        <f t="shared" si="127"/>
        <v>1481</v>
      </c>
      <c r="C1486" s="582">
        <v>43409</v>
      </c>
      <c r="D1486" s="815" t="s">
        <v>2820</v>
      </c>
      <c r="E1486" s="630">
        <v>310100</v>
      </c>
      <c r="F1486" s="629" t="str">
        <f>IFERROR(VLOOKUP(E1486,STAT1!$C$4:$D$1000,2,FALSE),"")</f>
        <v>Дансны өглөг MNT</v>
      </c>
      <c r="G1486" s="376">
        <v>10000000</v>
      </c>
      <c r="H1486" s="376"/>
      <c r="I1486" s="580">
        <f t="shared" si="133"/>
        <v>0</v>
      </c>
      <c r="J1486" s="961">
        <f t="shared" si="134"/>
        <v>0</v>
      </c>
      <c r="K1486" s="80"/>
      <c r="L1486" s="630">
        <v>3120</v>
      </c>
      <c r="M1486" s="80" t="str">
        <f>+IFERROR(VLOOKUP(L1486,DATA!$G$4:$H$2000,2,FALSE),"")</f>
        <v>АКВАПЛАСТ МОНГОЛ ХХК</v>
      </c>
      <c r="N1486" s="630"/>
      <c r="O1486" s="80" t="str">
        <f>IFERROR(VLOOKUP(N1486,DATA!$K$4:$L$51,2,FALSE),"")</f>
        <v/>
      </c>
      <c r="P1486" s="80">
        <f t="shared" si="132"/>
        <v>0</v>
      </c>
      <c r="Q1486" s="154">
        <f t="shared" si="131"/>
        <v>0</v>
      </c>
    </row>
    <row r="1487" spans="2:17">
      <c r="B1487" s="627">
        <f t="shared" si="127"/>
        <v>1482</v>
      </c>
      <c r="C1487" s="582">
        <v>43424</v>
      </c>
      <c r="D1487" s="815" t="s">
        <v>2379</v>
      </c>
      <c r="E1487" s="630">
        <v>110100</v>
      </c>
      <c r="F1487" s="629" t="str">
        <f>IFERROR(VLOOKUP(E1487,STAT1!$C$4:$D$1000,2,FALSE),"")</f>
        <v>Хаан Банк 5024654020</v>
      </c>
      <c r="G1487" s="376"/>
      <c r="H1487" s="376">
        <v>368934.84</v>
      </c>
      <c r="I1487" s="580">
        <f t="shared" si="133"/>
        <v>-368934.84</v>
      </c>
      <c r="J1487" s="961">
        <f t="shared" si="134"/>
        <v>0</v>
      </c>
      <c r="K1487" s="80"/>
      <c r="L1487" s="630">
        <v>2009</v>
      </c>
      <c r="M1487" s="80" t="str">
        <f>+IFERROR(VLOOKUP(L1487,DATA!$G$4:$H$2000,2,FALSE),"")</f>
        <v>ХААН БАНК</v>
      </c>
      <c r="N1487" s="630">
        <v>56</v>
      </c>
      <c r="O1487" s="80" t="str">
        <f>IFERROR(VLOOKUP(N1487,DATA!$K$4:$L$51,2,FALSE),"")</f>
        <v>Хүүний төлбөрт төлсөн</v>
      </c>
      <c r="P1487" s="80">
        <f t="shared" si="132"/>
        <v>1</v>
      </c>
      <c r="Q1487" s="154">
        <f t="shared" si="131"/>
        <v>1</v>
      </c>
    </row>
    <row r="1488" spans="2:17">
      <c r="B1488" s="627">
        <f t="shared" si="127"/>
        <v>1483</v>
      </c>
      <c r="C1488" s="582">
        <v>43424</v>
      </c>
      <c r="D1488" s="815" t="s">
        <v>2379</v>
      </c>
      <c r="E1488" s="807">
        <v>702500</v>
      </c>
      <c r="F1488" s="629" t="str">
        <f>IFERROR(VLOOKUP(E1488,STAT1!$C$4:$D$1000,2,FALSE),"")</f>
        <v>Зээлийн хүүгийн зардал</v>
      </c>
      <c r="G1488" s="376">
        <v>368934.84</v>
      </c>
      <c r="H1488" s="376"/>
      <c r="I1488" s="580">
        <f t="shared" si="133"/>
        <v>0</v>
      </c>
      <c r="J1488" s="961">
        <f t="shared" si="134"/>
        <v>0</v>
      </c>
      <c r="K1488" s="80"/>
      <c r="L1488" s="630">
        <v>2009</v>
      </c>
      <c r="M1488" s="80" t="str">
        <f>+IFERROR(VLOOKUP(L1488,DATA!$G$4:$H$2000,2,FALSE),"")</f>
        <v>ХААН БАНК</v>
      </c>
      <c r="N1488" s="630"/>
      <c r="O1488" s="80" t="str">
        <f>IFERROR(VLOOKUP(N1488,DATA!$K$4:$L$51,2,FALSE),"")</f>
        <v/>
      </c>
      <c r="P1488" s="80">
        <f t="shared" si="132"/>
        <v>0</v>
      </c>
      <c r="Q1488" s="154">
        <f t="shared" si="131"/>
        <v>0</v>
      </c>
    </row>
    <row r="1489" spans="2:17">
      <c r="B1489" s="627">
        <f t="shared" si="127"/>
        <v>1484</v>
      </c>
      <c r="C1489" s="582">
        <v>43431</v>
      </c>
      <c r="D1489" s="815" t="s">
        <v>2579</v>
      </c>
      <c r="E1489" s="630">
        <v>110100</v>
      </c>
      <c r="F1489" s="629" t="str">
        <f>IFERROR(VLOOKUP(E1489,STAT1!$C$4:$D$1000,2,FALSE),"")</f>
        <v>Хаан Банк 5024654020</v>
      </c>
      <c r="G1489" s="376">
        <v>4600000</v>
      </c>
      <c r="H1489" s="376"/>
      <c r="I1489" s="580">
        <f t="shared" si="133"/>
        <v>4600000</v>
      </c>
      <c r="J1489" s="961">
        <f t="shared" si="134"/>
        <v>0</v>
      </c>
      <c r="K1489" s="80"/>
      <c r="L1489" s="630">
        <v>1003</v>
      </c>
      <c r="M1489" s="80" t="str">
        <f>+IFERROR(VLOOKUP(L1489,DATA!$G$4:$H$2000,2,FALSE),"")</f>
        <v>Бахдамдэмбэрэл</v>
      </c>
      <c r="N1489" s="630"/>
      <c r="O1489" s="80" t="str">
        <f>IFERROR(VLOOKUP(N1489,DATA!$K$4:$L$51,2,FALSE),"")</f>
        <v/>
      </c>
      <c r="P1489" s="80">
        <f t="shared" si="132"/>
        <v>1</v>
      </c>
      <c r="Q1489" s="154">
        <f t="shared" si="131"/>
        <v>1</v>
      </c>
    </row>
    <row r="1490" spans="2:17">
      <c r="B1490" s="627">
        <f t="shared" ref="B1490:B1553" si="135">+IF(C1490="","",ROW()-5)</f>
        <v>1485</v>
      </c>
      <c r="C1490" s="582">
        <v>43431</v>
      </c>
      <c r="D1490" s="815" t="s">
        <v>2579</v>
      </c>
      <c r="E1490" s="630">
        <v>100100</v>
      </c>
      <c r="F1490" s="629" t="str">
        <f>IFERROR(VLOOKUP(E1490,STAT1!$C$4:$D$1000,2,FALSE),"")</f>
        <v>Касс мөнгө MNT</v>
      </c>
      <c r="G1490" s="376"/>
      <c r="H1490" s="376">
        <v>4600000</v>
      </c>
      <c r="I1490" s="580">
        <f t="shared" si="133"/>
        <v>-4600000</v>
      </c>
      <c r="J1490" s="961">
        <f t="shared" si="134"/>
        <v>0</v>
      </c>
      <c r="K1490" s="80"/>
      <c r="L1490" s="630">
        <v>1003</v>
      </c>
      <c r="M1490" s="80" t="str">
        <f>+IFERROR(VLOOKUP(L1490,DATA!$G$4:$H$2000,2,FALSE),"")</f>
        <v>Бахдамдэмбэрэл</v>
      </c>
      <c r="N1490" s="630"/>
      <c r="O1490" s="80" t="str">
        <f>IFERROR(VLOOKUP(N1490,DATA!$K$4:$L$51,2,FALSE),"")</f>
        <v/>
      </c>
      <c r="P1490" s="80">
        <f t="shared" si="132"/>
        <v>1</v>
      </c>
      <c r="Q1490" s="154">
        <f t="shared" si="131"/>
        <v>1</v>
      </c>
    </row>
    <row r="1491" spans="2:17">
      <c r="B1491" s="627">
        <f t="shared" si="135"/>
        <v>1486</v>
      </c>
      <c r="C1491" s="582">
        <v>43432</v>
      </c>
      <c r="D1491" s="815" t="s">
        <v>2379</v>
      </c>
      <c r="E1491" s="807">
        <v>110100</v>
      </c>
      <c r="F1491" s="629" t="str">
        <f>IFERROR(VLOOKUP(E1491,STAT1!$C$4:$D$1000,2,FALSE),"")</f>
        <v>Хаан Банк 5024654020</v>
      </c>
      <c r="G1491" s="376"/>
      <c r="H1491" s="376">
        <v>3962027</v>
      </c>
      <c r="I1491" s="580">
        <f t="shared" si="133"/>
        <v>-3962027</v>
      </c>
      <c r="J1491" s="961">
        <f t="shared" si="134"/>
        <v>0</v>
      </c>
      <c r="K1491" s="80"/>
      <c r="L1491" s="630">
        <v>2009</v>
      </c>
      <c r="M1491" s="80" t="str">
        <f>+IFERROR(VLOOKUP(L1491,DATA!$G$4:$H$2000,2,FALSE),"")</f>
        <v>ХААН БАНК</v>
      </c>
      <c r="N1491" s="630">
        <v>91</v>
      </c>
      <c r="O1491" s="80" t="str">
        <f>IFERROR(VLOOKUP(N1491,DATA!$K$4:$L$51,2,FALSE),"")</f>
        <v>Зээл, өрийн үнэт цаасны төлбөрт төлсөн</v>
      </c>
      <c r="P1491" s="80">
        <f t="shared" si="132"/>
        <v>1</v>
      </c>
      <c r="Q1491" s="154">
        <f t="shared" si="131"/>
        <v>1</v>
      </c>
    </row>
    <row r="1492" spans="2:17">
      <c r="B1492" s="627">
        <f t="shared" si="135"/>
        <v>1487</v>
      </c>
      <c r="C1492" s="582">
        <v>43432</v>
      </c>
      <c r="D1492" s="815" t="s">
        <v>2379</v>
      </c>
      <c r="E1492" s="807">
        <v>311100</v>
      </c>
      <c r="F1492" s="629" t="str">
        <f>IFERROR(VLOOKUP(E1492,STAT1!$C$4:$D$1000,2,FALSE),"")</f>
        <v xml:space="preserve">Бусад богино хугацаат өглөг </v>
      </c>
      <c r="G1492" s="376">
        <v>3962027</v>
      </c>
      <c r="H1492" s="376"/>
      <c r="I1492" s="580">
        <f t="shared" si="133"/>
        <v>0</v>
      </c>
      <c r="J1492" s="961">
        <f t="shared" si="134"/>
        <v>0</v>
      </c>
      <c r="K1492" s="80"/>
      <c r="L1492" s="630">
        <v>2009</v>
      </c>
      <c r="M1492" s="80" t="str">
        <f>+IFERROR(VLOOKUP(L1492,DATA!$G$4:$H$2000,2,FALSE),"")</f>
        <v>ХААН БАНК</v>
      </c>
      <c r="N1492" s="630"/>
      <c r="O1492" s="80" t="str">
        <f>IFERROR(VLOOKUP(N1492,DATA!$K$4:$L$51,2,FALSE),"")</f>
        <v/>
      </c>
      <c r="P1492" s="80">
        <f t="shared" si="132"/>
        <v>0</v>
      </c>
      <c r="Q1492" s="154">
        <f t="shared" si="131"/>
        <v>0</v>
      </c>
    </row>
    <row r="1493" spans="2:17">
      <c r="B1493" s="627">
        <f t="shared" si="135"/>
        <v>1488</v>
      </c>
      <c r="C1493" s="582">
        <v>43432</v>
      </c>
      <c r="D1493" s="815" t="s">
        <v>2379</v>
      </c>
      <c r="E1493" s="807">
        <v>110100</v>
      </c>
      <c r="F1493" s="629" t="str">
        <f>IFERROR(VLOOKUP(E1493,STAT1!$C$4:$D$1000,2,FALSE),"")</f>
        <v>Хаан Банк 5024654020</v>
      </c>
      <c r="G1493" s="376"/>
      <c r="H1493" s="376">
        <f>4215000-3962027</f>
        <v>252973</v>
      </c>
      <c r="I1493" s="580">
        <f t="shared" si="133"/>
        <v>-252973</v>
      </c>
      <c r="J1493" s="961">
        <f t="shared" si="134"/>
        <v>0</v>
      </c>
      <c r="K1493" s="80"/>
      <c r="L1493" s="630">
        <v>2009</v>
      </c>
      <c r="M1493" s="80" t="str">
        <f>+IFERROR(VLOOKUP(L1493,DATA!$G$4:$H$2000,2,FALSE),"")</f>
        <v>ХААН БАНК</v>
      </c>
      <c r="N1493" s="630">
        <v>56</v>
      </c>
      <c r="O1493" s="80" t="str">
        <f>IFERROR(VLOOKUP(N1493,DATA!$K$4:$L$51,2,FALSE),"")</f>
        <v>Хүүний төлбөрт төлсөн</v>
      </c>
      <c r="P1493" s="80">
        <f t="shared" si="132"/>
        <v>1</v>
      </c>
      <c r="Q1493" s="154">
        <f t="shared" si="131"/>
        <v>1</v>
      </c>
    </row>
    <row r="1494" spans="2:17">
      <c r="B1494" s="627">
        <f t="shared" si="135"/>
        <v>1489</v>
      </c>
      <c r="C1494" s="582">
        <v>43432</v>
      </c>
      <c r="D1494" s="815" t="s">
        <v>2379</v>
      </c>
      <c r="E1494" s="807">
        <v>702500</v>
      </c>
      <c r="F1494" s="629" t="str">
        <f>IFERROR(VLOOKUP(E1494,STAT1!$C$4:$D$1000,2,FALSE),"")</f>
        <v>Зээлийн хүүгийн зардал</v>
      </c>
      <c r="G1494" s="376">
        <f>4215000-3962027</f>
        <v>252973</v>
      </c>
      <c r="H1494" s="376"/>
      <c r="I1494" s="580">
        <f t="shared" si="133"/>
        <v>0</v>
      </c>
      <c r="J1494" s="961">
        <f t="shared" si="134"/>
        <v>0</v>
      </c>
      <c r="K1494" s="80"/>
      <c r="L1494" s="630">
        <v>2009</v>
      </c>
      <c r="M1494" s="80" t="str">
        <f>+IFERROR(VLOOKUP(L1494,DATA!$G$4:$H$2000,2,FALSE),"")</f>
        <v>ХААН БАНК</v>
      </c>
      <c r="N1494" s="630"/>
      <c r="O1494" s="80" t="str">
        <f>IFERROR(VLOOKUP(N1494,DATA!$K$4:$L$51,2,FALSE),"")</f>
        <v/>
      </c>
      <c r="P1494" s="80">
        <f t="shared" si="132"/>
        <v>0</v>
      </c>
      <c r="Q1494" s="154">
        <f t="shared" si="131"/>
        <v>0</v>
      </c>
    </row>
    <row r="1495" spans="2:17">
      <c r="B1495" s="627">
        <f t="shared" si="135"/>
        <v>1490</v>
      </c>
      <c r="C1495" s="582">
        <v>43432</v>
      </c>
      <c r="D1495" s="815" t="s">
        <v>2602</v>
      </c>
      <c r="E1495" s="630">
        <v>110100</v>
      </c>
      <c r="F1495" s="629" t="str">
        <f>IFERROR(VLOOKUP(E1495,STAT1!$C$4:$D$1000,2,FALSE),"")</f>
        <v>Хаан Банк 5024654020</v>
      </c>
      <c r="G1495" s="376"/>
      <c r="H1495" s="376">
        <v>138710</v>
      </c>
      <c r="I1495" s="580">
        <f t="shared" si="133"/>
        <v>-138710</v>
      </c>
      <c r="J1495" s="961">
        <f t="shared" si="134"/>
        <v>0</v>
      </c>
      <c r="K1495" s="80"/>
      <c r="L1495" s="630">
        <v>2005</v>
      </c>
      <c r="M1495" s="80" t="str">
        <f>+IFERROR(VLOOKUP(L1495,DATA!$G$4:$H$2000,2,FALSE),"")</f>
        <v xml:space="preserve">УСУГ ТӨХК </v>
      </c>
      <c r="N1495" s="630">
        <v>54</v>
      </c>
      <c r="O1495" s="80" t="str">
        <f>IFERROR(VLOOKUP(N1495,DATA!$K$4:$L$51,2,FALSE),"")</f>
        <v>Ашиглалтын зардалд төлсөн</v>
      </c>
      <c r="P1495" s="80">
        <f t="shared" si="132"/>
        <v>1</v>
      </c>
      <c r="Q1495" s="154">
        <f t="shared" si="131"/>
        <v>1</v>
      </c>
    </row>
    <row r="1496" spans="2:17">
      <c r="B1496" s="627">
        <f t="shared" si="135"/>
        <v>1491</v>
      </c>
      <c r="C1496" s="582">
        <v>43432</v>
      </c>
      <c r="D1496" s="815" t="s">
        <v>2602</v>
      </c>
      <c r="E1496" s="630">
        <v>120600</v>
      </c>
      <c r="F1496" s="629" t="str">
        <f>IFERROR(VLOOKUP(E1496,STAT1!$C$4:$D$1000,2,FALSE),"")</f>
        <v>НӨАТ авлага</v>
      </c>
      <c r="G1496" s="376">
        <v>12610</v>
      </c>
      <c r="H1496" s="376"/>
      <c r="I1496" s="580">
        <f t="shared" si="133"/>
        <v>0</v>
      </c>
      <c r="J1496" s="961">
        <f t="shared" si="134"/>
        <v>0</v>
      </c>
      <c r="K1496" s="80"/>
      <c r="L1496" s="630">
        <v>2005</v>
      </c>
      <c r="M1496" s="80" t="str">
        <f>+IFERROR(VLOOKUP(L1496,DATA!$G$4:$H$2000,2,FALSE),"")</f>
        <v xml:space="preserve">УСУГ ТӨХК </v>
      </c>
      <c r="N1496" s="630"/>
      <c r="O1496" s="80" t="str">
        <f>IFERROR(VLOOKUP(N1496,DATA!$K$4:$L$51,2,FALSE),"")</f>
        <v/>
      </c>
      <c r="P1496" s="80">
        <f t="shared" si="132"/>
        <v>0</v>
      </c>
      <c r="Q1496" s="154">
        <f t="shared" si="131"/>
        <v>0</v>
      </c>
    </row>
    <row r="1497" spans="2:17">
      <c r="B1497" s="627">
        <f t="shared" si="135"/>
        <v>1492</v>
      </c>
      <c r="C1497" s="582">
        <v>43432</v>
      </c>
      <c r="D1497" s="815" t="s">
        <v>2602</v>
      </c>
      <c r="E1497" s="630">
        <v>700900</v>
      </c>
      <c r="F1497" s="629" t="str">
        <f>IFERROR(VLOOKUP(E1497,STAT1!$C$4:$D$1000,2,FALSE),"")</f>
        <v>Уур, ус</v>
      </c>
      <c r="G1497" s="376">
        <f>138710-12610</f>
        <v>126100</v>
      </c>
      <c r="H1497" s="376"/>
      <c r="I1497" s="580">
        <f t="shared" si="133"/>
        <v>0</v>
      </c>
      <c r="J1497" s="961">
        <f t="shared" si="134"/>
        <v>0</v>
      </c>
      <c r="K1497" s="80"/>
      <c r="L1497" s="630">
        <v>2005</v>
      </c>
      <c r="M1497" s="80" t="str">
        <f>+IFERROR(VLOOKUP(L1497,DATA!$G$4:$H$2000,2,FALSE),"")</f>
        <v xml:space="preserve">УСУГ ТӨХК </v>
      </c>
      <c r="N1497" s="630"/>
      <c r="O1497" s="80" t="str">
        <f>IFERROR(VLOOKUP(N1497,DATA!$K$4:$L$51,2,FALSE),"")</f>
        <v/>
      </c>
      <c r="P1497" s="80">
        <f t="shared" si="132"/>
        <v>0</v>
      </c>
      <c r="Q1497" s="154">
        <f t="shared" si="131"/>
        <v>0</v>
      </c>
    </row>
    <row r="1498" spans="2:17">
      <c r="B1498" s="627">
        <f t="shared" si="135"/>
        <v>1493</v>
      </c>
      <c r="C1498" s="582">
        <v>43432</v>
      </c>
      <c r="D1498" s="815" t="s">
        <v>2377</v>
      </c>
      <c r="E1498" s="630">
        <v>110100</v>
      </c>
      <c r="F1498" s="629" t="str">
        <f>IFERROR(VLOOKUP(E1498,STAT1!$C$4:$D$1000,2,FALSE),"")</f>
        <v>Хаан Банк 5024654020</v>
      </c>
      <c r="G1498" s="376"/>
      <c r="H1498" s="376">
        <v>175000</v>
      </c>
      <c r="I1498" s="580">
        <f t="shared" si="133"/>
        <v>-175000</v>
      </c>
      <c r="J1498" s="961">
        <f t="shared" si="134"/>
        <v>0</v>
      </c>
      <c r="K1498" s="80"/>
      <c r="L1498" s="630">
        <v>1008</v>
      </c>
      <c r="M1498" s="80" t="str">
        <f>+IFERROR(VLOOKUP(L1498,DATA!$G$4:$H$2000,2,FALSE),"")</f>
        <v xml:space="preserve">Оюунтүлхүүр </v>
      </c>
      <c r="N1498" s="630">
        <v>59</v>
      </c>
      <c r="O1498" s="80" t="str">
        <f>IFERROR(VLOOKUP(N1498,DATA!$K$4:$L$51,2,FALSE),"")</f>
        <v>Бусад мөнгөн зарлага</v>
      </c>
      <c r="P1498" s="80">
        <f t="shared" si="132"/>
        <v>1</v>
      </c>
      <c r="Q1498" s="154">
        <f t="shared" si="131"/>
        <v>1</v>
      </c>
    </row>
    <row r="1499" spans="2:17">
      <c r="B1499" s="627">
        <f t="shared" si="135"/>
        <v>1494</v>
      </c>
      <c r="C1499" s="582">
        <v>43432</v>
      </c>
      <c r="D1499" s="815" t="s">
        <v>2377</v>
      </c>
      <c r="E1499" s="630">
        <v>120100</v>
      </c>
      <c r="F1499" s="629" t="str">
        <f>IFERROR(VLOOKUP(E1499,STAT1!$C$4:$D$1000,2,FALSE),"")</f>
        <v xml:space="preserve">Дансны авлага MNT </v>
      </c>
      <c r="G1499" s="376">
        <v>15909.09</v>
      </c>
      <c r="H1499" s="376"/>
      <c r="I1499" s="580">
        <f t="shared" si="133"/>
        <v>0</v>
      </c>
      <c r="J1499" s="961">
        <f t="shared" si="134"/>
        <v>0</v>
      </c>
      <c r="K1499" s="80"/>
      <c r="L1499" s="630">
        <v>1008</v>
      </c>
      <c r="M1499" s="80" t="str">
        <f>+IFERROR(VLOOKUP(L1499,DATA!$G$4:$H$2000,2,FALSE),"")</f>
        <v xml:space="preserve">Оюунтүлхүүр </v>
      </c>
      <c r="N1499" s="630"/>
      <c r="O1499" s="80" t="str">
        <f>IFERROR(VLOOKUP(N1499,DATA!$K$4:$L$51,2,FALSE),"")</f>
        <v/>
      </c>
      <c r="P1499" s="80">
        <f t="shared" si="132"/>
        <v>0</v>
      </c>
      <c r="Q1499" s="154">
        <f t="shared" si="131"/>
        <v>0</v>
      </c>
    </row>
    <row r="1500" spans="2:17">
      <c r="B1500" s="627">
        <f t="shared" si="135"/>
        <v>1495</v>
      </c>
      <c r="C1500" s="582">
        <v>43432</v>
      </c>
      <c r="D1500" s="815" t="s">
        <v>2377</v>
      </c>
      <c r="E1500" s="630">
        <v>701900</v>
      </c>
      <c r="F1500" s="629" t="str">
        <f>IFERROR(VLOOKUP(E1500,STAT1!$C$4:$D$1000,2,FALSE),"")</f>
        <v>Харилцаа холбоо</v>
      </c>
      <c r="G1500" s="376">
        <v>159090.91</v>
      </c>
      <c r="H1500" s="376"/>
      <c r="I1500" s="580">
        <f t="shared" si="133"/>
        <v>0</v>
      </c>
      <c r="J1500" s="961">
        <f t="shared" si="134"/>
        <v>0</v>
      </c>
      <c r="K1500" s="80"/>
      <c r="L1500" s="630">
        <v>1008</v>
      </c>
      <c r="M1500" s="80" t="str">
        <f>+IFERROR(VLOOKUP(L1500,DATA!$G$4:$H$2000,2,FALSE),"")</f>
        <v xml:space="preserve">Оюунтүлхүүр </v>
      </c>
      <c r="N1500" s="630"/>
      <c r="O1500" s="80" t="str">
        <f>IFERROR(VLOOKUP(N1500,DATA!$K$4:$L$51,2,FALSE),"")</f>
        <v/>
      </c>
      <c r="P1500" s="80">
        <f t="shared" si="132"/>
        <v>0</v>
      </c>
      <c r="Q1500" s="154">
        <f t="shared" si="131"/>
        <v>0</v>
      </c>
    </row>
    <row r="1501" spans="2:17">
      <c r="B1501" s="627">
        <f t="shared" si="135"/>
        <v>1496</v>
      </c>
      <c r="C1501" s="582">
        <v>43432</v>
      </c>
      <c r="D1501" s="815" t="s">
        <v>2381</v>
      </c>
      <c r="E1501" s="630">
        <v>110100</v>
      </c>
      <c r="F1501" s="629" t="str">
        <f>IFERROR(VLOOKUP(E1501,STAT1!$C$4:$D$1000,2,FALSE),"")</f>
        <v>Хаан Банк 5024654020</v>
      </c>
      <c r="G1501" s="376"/>
      <c r="H1501" s="376">
        <v>400</v>
      </c>
      <c r="I1501" s="580">
        <f t="shared" si="133"/>
        <v>-400</v>
      </c>
      <c r="J1501" s="961">
        <f t="shared" si="134"/>
        <v>0</v>
      </c>
      <c r="K1501" s="80"/>
      <c r="L1501" s="630">
        <v>2009</v>
      </c>
      <c r="M1501" s="80" t="str">
        <f>+IFERROR(VLOOKUP(L1501,DATA!$G$4:$H$2000,2,FALSE),"")</f>
        <v>ХААН БАНК</v>
      </c>
      <c r="N1501" s="630">
        <v>59</v>
      </c>
      <c r="O1501" s="80" t="str">
        <f>IFERROR(VLOOKUP(N1501,DATA!$K$4:$L$51,2,FALSE),"")</f>
        <v>Бусад мөнгөн зарлага</v>
      </c>
      <c r="P1501" s="80">
        <f t="shared" si="132"/>
        <v>1</v>
      </c>
      <c r="Q1501" s="154">
        <f t="shared" si="131"/>
        <v>1</v>
      </c>
    </row>
    <row r="1502" spans="2:17">
      <c r="B1502" s="627">
        <f t="shared" si="135"/>
        <v>1497</v>
      </c>
      <c r="C1502" s="582">
        <v>43432</v>
      </c>
      <c r="D1502" s="815" t="s">
        <v>2381</v>
      </c>
      <c r="E1502" s="630">
        <v>704900</v>
      </c>
      <c r="F1502" s="629" t="str">
        <f>IFERROR(VLOOKUP(E1502,STAT1!$C$4:$D$1000,2,FALSE),"")</f>
        <v>Банкны үйлчилгээ</v>
      </c>
      <c r="G1502" s="376">
        <v>400</v>
      </c>
      <c r="H1502" s="376"/>
      <c r="I1502" s="580">
        <f t="shared" si="133"/>
        <v>0</v>
      </c>
      <c r="J1502" s="961">
        <f t="shared" si="134"/>
        <v>0</v>
      </c>
      <c r="K1502" s="80"/>
      <c r="L1502" s="630">
        <v>2009</v>
      </c>
      <c r="M1502" s="80" t="str">
        <f>+IFERROR(VLOOKUP(L1502,DATA!$G$4:$H$2000,2,FALSE),"")</f>
        <v>ХААН БАНК</v>
      </c>
      <c r="N1502" s="630"/>
      <c r="O1502" s="80" t="str">
        <f>IFERROR(VLOOKUP(N1502,DATA!$K$4:$L$51,2,FALSE),"")</f>
        <v/>
      </c>
      <c r="P1502" s="80">
        <f t="shared" si="132"/>
        <v>0</v>
      </c>
      <c r="Q1502" s="154">
        <f t="shared" si="131"/>
        <v>0</v>
      </c>
    </row>
    <row r="1503" spans="2:17">
      <c r="B1503" s="627">
        <f t="shared" si="135"/>
        <v>1498</v>
      </c>
      <c r="C1503" s="582">
        <v>43433</v>
      </c>
      <c r="D1503" s="815" t="s">
        <v>2794</v>
      </c>
      <c r="E1503" s="630">
        <v>310100</v>
      </c>
      <c r="F1503" s="629" t="str">
        <f>IFERROR(VLOOKUP(E1503,STAT1!$C$4:$D$1000,2,FALSE),"")</f>
        <v>Дансны өглөг MNT</v>
      </c>
      <c r="G1503" s="376"/>
      <c r="H1503" s="376">
        <v>3732518.52</v>
      </c>
      <c r="I1503" s="580">
        <f t="shared" si="133"/>
        <v>0</v>
      </c>
      <c r="J1503" s="961">
        <f t="shared" si="134"/>
        <v>0</v>
      </c>
      <c r="K1503" s="80"/>
      <c r="L1503" s="630">
        <v>2004</v>
      </c>
      <c r="M1503" s="80" t="str">
        <f>+IFERROR(VLOOKUP(L1503,DATA!$G$4:$H$2000,2,FALSE),"")</f>
        <v xml:space="preserve">ДЦС-3 ТӨХК </v>
      </c>
      <c r="N1503" s="630"/>
      <c r="O1503" s="80" t="str">
        <f>IFERROR(VLOOKUP(N1503,DATA!$K$4:$L$51,2,FALSE),"")</f>
        <v/>
      </c>
      <c r="P1503" s="80">
        <f t="shared" si="132"/>
        <v>0</v>
      </c>
      <c r="Q1503" s="154">
        <f t="shared" ref="Q1503:Q1566" si="136">+IF(I1503,1,0)</f>
        <v>0</v>
      </c>
    </row>
    <row r="1504" spans="2:17">
      <c r="B1504" s="627">
        <f t="shared" si="135"/>
        <v>1499</v>
      </c>
      <c r="C1504" s="582">
        <v>43433</v>
      </c>
      <c r="D1504" s="815" t="s">
        <v>2794</v>
      </c>
      <c r="E1504" s="630">
        <v>120100</v>
      </c>
      <c r="F1504" s="629" t="str">
        <f>IFERROR(VLOOKUP(E1504,STAT1!$C$4:$D$1000,2,FALSE),"")</f>
        <v xml:space="preserve">Дансны авлага MNT </v>
      </c>
      <c r="G1504" s="376">
        <v>339319.87</v>
      </c>
      <c r="H1504" s="376"/>
      <c r="I1504" s="580">
        <f t="shared" si="133"/>
        <v>0</v>
      </c>
      <c r="J1504" s="961">
        <f t="shared" si="134"/>
        <v>0</v>
      </c>
      <c r="K1504" s="80"/>
      <c r="L1504" s="630">
        <v>2004</v>
      </c>
      <c r="M1504" s="80" t="str">
        <f>+IFERROR(VLOOKUP(L1504,DATA!$G$4:$H$2000,2,FALSE),"")</f>
        <v xml:space="preserve">ДЦС-3 ТӨХК </v>
      </c>
      <c r="N1504" s="630"/>
      <c r="O1504" s="80" t="str">
        <f>IFERROR(VLOOKUP(N1504,DATA!$K$4:$L$51,2,FALSE),"")</f>
        <v/>
      </c>
      <c r="P1504" s="80">
        <f t="shared" si="132"/>
        <v>0</v>
      </c>
      <c r="Q1504" s="154">
        <f t="shared" si="136"/>
        <v>0</v>
      </c>
    </row>
    <row r="1505" spans="2:17">
      <c r="B1505" s="627">
        <f t="shared" si="135"/>
        <v>1500</v>
      </c>
      <c r="C1505" s="582">
        <v>43433</v>
      </c>
      <c r="D1505" s="815" t="s">
        <v>2794</v>
      </c>
      <c r="E1505" s="630">
        <v>700900</v>
      </c>
      <c r="F1505" s="629" t="str">
        <f>IFERROR(VLOOKUP(E1505,STAT1!$C$4:$D$1000,2,FALSE),"")</f>
        <v>Уур, ус</v>
      </c>
      <c r="G1505" s="376">
        <f>3732518.52-339319.87</f>
        <v>3393198.65</v>
      </c>
      <c r="H1505" s="376"/>
      <c r="I1505" s="580">
        <f t="shared" si="133"/>
        <v>0</v>
      </c>
      <c r="J1505" s="961">
        <f t="shared" si="134"/>
        <v>0</v>
      </c>
      <c r="K1505" s="80"/>
      <c r="L1505" s="630">
        <v>2004</v>
      </c>
      <c r="M1505" s="80" t="str">
        <f>+IFERROR(VLOOKUP(L1505,DATA!$G$4:$H$2000,2,FALSE),"")</f>
        <v xml:space="preserve">ДЦС-3 ТӨХК </v>
      </c>
      <c r="N1505" s="630"/>
      <c r="O1505" s="80" t="str">
        <f>IFERROR(VLOOKUP(N1505,DATA!$K$4:$L$51,2,FALSE),"")</f>
        <v/>
      </c>
      <c r="P1505" s="80">
        <f t="shared" si="132"/>
        <v>0</v>
      </c>
      <c r="Q1505" s="154">
        <f t="shared" si="136"/>
        <v>0</v>
      </c>
    </row>
    <row r="1506" spans="2:17">
      <c r="B1506" s="627">
        <f t="shared" si="135"/>
        <v>1501</v>
      </c>
      <c r="C1506" s="582">
        <v>43430</v>
      </c>
      <c r="D1506" s="815" t="s">
        <v>1570</v>
      </c>
      <c r="E1506" s="630">
        <v>100100</v>
      </c>
      <c r="F1506" s="629" t="str">
        <f>IFERROR(VLOOKUP(E1506,STAT1!$C$4:$D$1000,2,FALSE),"")</f>
        <v>Касс мөнгө MNT</v>
      </c>
      <c r="G1506" s="376"/>
      <c r="H1506" s="376">
        <v>100000</v>
      </c>
      <c r="I1506" s="580">
        <f t="shared" si="133"/>
        <v>-100000</v>
      </c>
      <c r="J1506" s="961">
        <f t="shared" si="134"/>
        <v>0</v>
      </c>
      <c r="K1506" s="80"/>
      <c r="L1506" s="630">
        <v>1003</v>
      </c>
      <c r="M1506" s="80" t="str">
        <f>+IFERROR(VLOOKUP(L1506,DATA!$G$4:$H$2000,2,FALSE),"")</f>
        <v>Бахдамдэмбэрэл</v>
      </c>
      <c r="N1506" s="630">
        <v>55</v>
      </c>
      <c r="O1506" s="80" t="str">
        <f>IFERROR(VLOOKUP(N1506,DATA!$K$4:$L$51,2,FALSE),"")</f>
        <v>Түлш, шатахуун, тээврийн хөлс, сэлбэг хэрэгсэлд төлсөн</v>
      </c>
      <c r="P1506" s="80">
        <f t="shared" si="132"/>
        <v>1</v>
      </c>
      <c r="Q1506" s="154">
        <f t="shared" si="136"/>
        <v>1</v>
      </c>
    </row>
    <row r="1507" spans="2:17">
      <c r="B1507" s="627">
        <f t="shared" si="135"/>
        <v>1502</v>
      </c>
      <c r="C1507" s="582">
        <v>43430</v>
      </c>
      <c r="D1507" s="815" t="s">
        <v>1570</v>
      </c>
      <c r="E1507" s="630">
        <v>702000</v>
      </c>
      <c r="F1507" s="629" t="str">
        <f>IFERROR(VLOOKUP(E1507,STAT1!$C$4:$D$1000,2,FALSE),"")</f>
        <v>Түлш, шатахуун</v>
      </c>
      <c r="G1507" s="376">
        <v>100000</v>
      </c>
      <c r="H1507" s="376"/>
      <c r="I1507" s="580">
        <f t="shared" si="133"/>
        <v>0</v>
      </c>
      <c r="J1507" s="961">
        <f t="shared" si="134"/>
        <v>0</v>
      </c>
      <c r="K1507" s="80"/>
      <c r="L1507" s="630">
        <v>1003</v>
      </c>
      <c r="M1507" s="80" t="str">
        <f>+IFERROR(VLOOKUP(L1507,DATA!$G$4:$H$2000,2,FALSE),"")</f>
        <v>Бахдамдэмбэрэл</v>
      </c>
      <c r="N1507" s="630"/>
      <c r="O1507" s="80" t="str">
        <f>IFERROR(VLOOKUP(N1507,DATA!$K$4:$L$51,2,FALSE),"")</f>
        <v/>
      </c>
      <c r="P1507" s="80">
        <f t="shared" si="132"/>
        <v>0</v>
      </c>
      <c r="Q1507" s="154">
        <f t="shared" si="136"/>
        <v>0</v>
      </c>
    </row>
    <row r="1508" spans="2:17">
      <c r="B1508" s="627">
        <f t="shared" si="135"/>
        <v>1503</v>
      </c>
      <c r="C1508" s="582">
        <v>43433</v>
      </c>
      <c r="D1508" s="815" t="s">
        <v>2510</v>
      </c>
      <c r="E1508" s="630">
        <v>100100</v>
      </c>
      <c r="F1508" s="629" t="str">
        <f>IFERROR(VLOOKUP(E1508,STAT1!$C$4:$D$1000,2,FALSE),"")</f>
        <v>Касс мөнгө MNT</v>
      </c>
      <c r="G1508" s="376"/>
      <c r="H1508" s="376">
        <v>2112580.7999999998</v>
      </c>
      <c r="I1508" s="580">
        <f t="shared" si="133"/>
        <v>-2112580.7999999998</v>
      </c>
      <c r="J1508" s="961">
        <f t="shared" si="134"/>
        <v>0</v>
      </c>
      <c r="K1508" s="80"/>
      <c r="L1508" s="630">
        <v>2003</v>
      </c>
      <c r="M1508" s="80" t="str">
        <f>+IFERROR(VLOOKUP(L1508,DATA!$G$4:$H$2000,2,FALSE),"")</f>
        <v xml:space="preserve">УБЦТС ТӨХК </v>
      </c>
      <c r="N1508" s="630">
        <v>54</v>
      </c>
      <c r="O1508" s="80" t="str">
        <f>IFERROR(VLOOKUP(N1508,DATA!$K$4:$L$51,2,FALSE),"")</f>
        <v>Ашиглалтын зардалд төлсөн</v>
      </c>
      <c r="P1508" s="80">
        <f t="shared" si="132"/>
        <v>1</v>
      </c>
      <c r="Q1508" s="154">
        <f t="shared" si="136"/>
        <v>1</v>
      </c>
    </row>
    <row r="1509" spans="2:17">
      <c r="B1509" s="627">
        <f t="shared" si="135"/>
        <v>1504</v>
      </c>
      <c r="C1509" s="582">
        <v>43433</v>
      </c>
      <c r="D1509" s="815" t="s">
        <v>2510</v>
      </c>
      <c r="E1509" s="630">
        <v>120600</v>
      </c>
      <c r="F1509" s="629" t="str">
        <f>IFERROR(VLOOKUP(E1509,STAT1!$C$4:$D$1000,2,FALSE),"")</f>
        <v>НӨАТ авлага</v>
      </c>
      <c r="G1509" s="376">
        <v>192052.5</v>
      </c>
      <c r="H1509" s="376"/>
      <c r="I1509" s="580">
        <f t="shared" si="133"/>
        <v>0</v>
      </c>
      <c r="J1509" s="961">
        <f t="shared" si="134"/>
        <v>0</v>
      </c>
      <c r="K1509" s="80"/>
      <c r="L1509" s="630">
        <v>2003</v>
      </c>
      <c r="M1509" s="80" t="str">
        <f>+IFERROR(VLOOKUP(L1509,DATA!$G$4:$H$2000,2,FALSE),"")</f>
        <v xml:space="preserve">УБЦТС ТӨХК </v>
      </c>
      <c r="N1509" s="630"/>
      <c r="O1509" s="80" t="str">
        <f>IFERROR(VLOOKUP(N1509,DATA!$K$4:$L$51,2,FALSE),"")</f>
        <v/>
      </c>
      <c r="P1509" s="80">
        <f t="shared" si="132"/>
        <v>0</v>
      </c>
      <c r="Q1509" s="154">
        <f t="shared" si="136"/>
        <v>0</v>
      </c>
    </row>
    <row r="1510" spans="2:17">
      <c r="B1510" s="627">
        <f t="shared" si="135"/>
        <v>1505</v>
      </c>
      <c r="C1510" s="582">
        <v>43433</v>
      </c>
      <c r="D1510" s="815" t="s">
        <v>2510</v>
      </c>
      <c r="E1510" s="630">
        <v>700700</v>
      </c>
      <c r="F1510" s="629" t="str">
        <f>IFERROR(VLOOKUP(E1510,STAT1!$C$4:$D$1000,2,FALSE),"")</f>
        <v>Цахилгаан эрчим хүч</v>
      </c>
      <c r="G1510" s="376">
        <f>2112580.8-192052.5</f>
        <v>1920528.2999999998</v>
      </c>
      <c r="H1510" s="376"/>
      <c r="I1510" s="580">
        <f t="shared" si="133"/>
        <v>0</v>
      </c>
      <c r="J1510" s="961">
        <f t="shared" si="134"/>
        <v>0</v>
      </c>
      <c r="K1510" s="80"/>
      <c r="L1510" s="630">
        <v>2003</v>
      </c>
      <c r="M1510" s="80" t="str">
        <f>+IFERROR(VLOOKUP(L1510,DATA!$G$4:$H$2000,2,FALSE),"")</f>
        <v xml:space="preserve">УБЦТС ТӨХК </v>
      </c>
      <c r="N1510" s="630"/>
      <c r="O1510" s="80" t="str">
        <f>IFERROR(VLOOKUP(N1510,DATA!$K$4:$L$51,2,FALSE),"")</f>
        <v/>
      </c>
      <c r="P1510" s="80">
        <f t="shared" si="132"/>
        <v>0</v>
      </c>
      <c r="Q1510" s="154">
        <f t="shared" si="136"/>
        <v>0</v>
      </c>
    </row>
    <row r="1511" spans="2:17">
      <c r="B1511" s="627">
        <f t="shared" si="135"/>
        <v>1506</v>
      </c>
      <c r="C1511" s="582">
        <v>43434</v>
      </c>
      <c r="D1511" s="815" t="s">
        <v>1571</v>
      </c>
      <c r="E1511" s="630">
        <v>100100</v>
      </c>
      <c r="F1511" s="629" t="str">
        <f>IFERROR(VLOOKUP(E1511,STAT1!$C$4:$D$1000,2,FALSE),"")</f>
        <v>Касс мөнгө MNT</v>
      </c>
      <c r="G1511" s="376">
        <v>445500</v>
      </c>
      <c r="H1511" s="376"/>
      <c r="I1511" s="580">
        <f t="shared" si="133"/>
        <v>445500</v>
      </c>
      <c r="J1511" s="961">
        <f t="shared" si="134"/>
        <v>0</v>
      </c>
      <c r="K1511" s="80"/>
      <c r="L1511" s="630">
        <v>3021</v>
      </c>
      <c r="M1511" s="80" t="str">
        <f>+IFERROR(VLOOKUP(L1511,DATA!$G$4:$H$2000,2,FALSE),"")</f>
        <v>БАНДИА ХХК</v>
      </c>
      <c r="N1511" s="630">
        <v>41</v>
      </c>
      <c r="O1511" s="80" t="str">
        <f>IFERROR(VLOOKUP(N1511,DATA!$K$4:$L$51,2,FALSE),"")</f>
        <v>Бараа борлуулсан, үйлчилгээ үзүүлсэний орлого</v>
      </c>
      <c r="P1511" s="80">
        <f t="shared" si="132"/>
        <v>1</v>
      </c>
      <c r="Q1511" s="154">
        <f t="shared" si="136"/>
        <v>1</v>
      </c>
    </row>
    <row r="1512" spans="2:17">
      <c r="B1512" s="627">
        <f t="shared" si="135"/>
        <v>1507</v>
      </c>
      <c r="C1512" s="582">
        <v>43434</v>
      </c>
      <c r="D1512" s="815" t="s">
        <v>1571</v>
      </c>
      <c r="E1512" s="630">
        <v>320100</v>
      </c>
      <c r="F1512" s="629" t="str">
        <f>IFERROR(VLOOKUP(E1512,STAT1!$C$4:$D$1000,2,FALSE),"")</f>
        <v>Урьдчилж орсон орлого MNT</v>
      </c>
      <c r="G1512" s="376"/>
      <c r="H1512" s="376">
        <v>445500</v>
      </c>
      <c r="I1512" s="580">
        <f t="shared" si="133"/>
        <v>0</v>
      </c>
      <c r="J1512" s="961">
        <f t="shared" si="134"/>
        <v>0</v>
      </c>
      <c r="K1512" s="80"/>
      <c r="L1512" s="630">
        <v>3021</v>
      </c>
      <c r="M1512" s="80" t="str">
        <f>+IFERROR(VLOOKUP(L1512,DATA!$G$4:$H$2000,2,FALSE),"")</f>
        <v>БАНДИА ХХК</v>
      </c>
      <c r="N1512" s="630"/>
      <c r="O1512" s="80" t="str">
        <f>IFERROR(VLOOKUP(N1512,DATA!$K$4:$L$51,2,FALSE),"")</f>
        <v/>
      </c>
      <c r="P1512" s="80">
        <f t="shared" si="132"/>
        <v>0</v>
      </c>
      <c r="Q1512" s="154">
        <f t="shared" si="136"/>
        <v>0</v>
      </c>
    </row>
    <row r="1513" spans="2:17">
      <c r="B1513" s="627">
        <f t="shared" si="135"/>
        <v>1508</v>
      </c>
      <c r="C1513" s="582">
        <v>43434</v>
      </c>
      <c r="D1513" s="815" t="s">
        <v>1570</v>
      </c>
      <c r="E1513" s="630">
        <v>100100</v>
      </c>
      <c r="F1513" s="629" t="str">
        <f>IFERROR(VLOOKUP(E1513,STAT1!$C$4:$D$1000,2,FALSE),"")</f>
        <v>Касс мөнгө MNT</v>
      </c>
      <c r="G1513" s="376"/>
      <c r="H1513" s="376">
        <v>20000</v>
      </c>
      <c r="I1513" s="580">
        <f t="shared" ref="I1513:I1514" si="137">+IF(OR(E1513=100100,E1513=100200,E1513=110100,E1513=110102,E1513=110103,E1513=110104,E1513=110105,E1513=110200,E1513=110201,E1513=110202,E1513=110203,E1513=110204,E1513=110300),G1513,0)+IF(OR(E1513=100100,E1513=100200,E1513=110100,E1513=110102,E1513=110103,E1513=110104,E1513=110105,E1513=110200,E1513=110201,E1513=110202,E1513=110203,E1513=110204,E1513=110300),H1513*-1,0)</f>
        <v>-20000</v>
      </c>
      <c r="J1513" s="961">
        <f t="shared" ref="J1513:J1514" si="138">+IF(E1513=110200,I1513/K1513,0)</f>
        <v>0</v>
      </c>
      <c r="K1513" s="80"/>
      <c r="L1513" s="630">
        <v>1003</v>
      </c>
      <c r="M1513" s="80" t="str">
        <f>+IFERROR(VLOOKUP(L1513,DATA!$G$4:$H$2000,2,FALSE),"")</f>
        <v>Бахдамдэмбэрэл</v>
      </c>
      <c r="N1513" s="630">
        <v>55</v>
      </c>
      <c r="O1513" s="80" t="str">
        <f>IFERROR(VLOOKUP(N1513,DATA!$K$4:$L$51,2,FALSE),"")</f>
        <v>Түлш, шатахуун, тээврийн хөлс, сэлбэг хэрэгсэлд төлсөн</v>
      </c>
      <c r="P1513" s="80">
        <f t="shared" ref="P1513:P1514" si="139">+IF(I1513,1,0)</f>
        <v>1</v>
      </c>
      <c r="Q1513" s="154">
        <f t="shared" ref="Q1513:Q1514" si="140">+IF(I1513,1,0)</f>
        <v>1</v>
      </c>
    </row>
    <row r="1514" spans="2:17">
      <c r="B1514" s="627">
        <f t="shared" si="135"/>
        <v>1509</v>
      </c>
      <c r="C1514" s="582">
        <v>43434</v>
      </c>
      <c r="D1514" s="815" t="s">
        <v>1570</v>
      </c>
      <c r="E1514" s="630">
        <v>702000</v>
      </c>
      <c r="F1514" s="629" t="str">
        <f>IFERROR(VLOOKUP(E1514,STAT1!$C$4:$D$1000,2,FALSE),"")</f>
        <v>Түлш, шатахуун</v>
      </c>
      <c r="G1514" s="376">
        <v>20000</v>
      </c>
      <c r="H1514" s="376"/>
      <c r="I1514" s="580">
        <f t="shared" si="137"/>
        <v>0</v>
      </c>
      <c r="J1514" s="961">
        <f t="shared" si="138"/>
        <v>0</v>
      </c>
      <c r="K1514" s="80"/>
      <c r="L1514" s="630">
        <v>1003</v>
      </c>
      <c r="M1514" s="80" t="str">
        <f>+IFERROR(VLOOKUP(L1514,DATA!$G$4:$H$2000,2,FALSE),"")</f>
        <v>Бахдамдэмбэрэл</v>
      </c>
      <c r="N1514" s="630"/>
      <c r="O1514" s="80" t="str">
        <f>IFERROR(VLOOKUP(N1514,DATA!$K$4:$L$51,2,FALSE),"")</f>
        <v/>
      </c>
      <c r="P1514" s="80">
        <f t="shared" si="139"/>
        <v>0</v>
      </c>
      <c r="Q1514" s="154">
        <f t="shared" si="140"/>
        <v>0</v>
      </c>
    </row>
    <row r="1515" spans="2:17">
      <c r="B1515" s="627">
        <f t="shared" si="135"/>
        <v>1510</v>
      </c>
      <c r="C1515" s="582">
        <v>43434</v>
      </c>
      <c r="D1515" s="850" t="s">
        <v>2811</v>
      </c>
      <c r="E1515" s="630">
        <v>700200</v>
      </c>
      <c r="F1515" s="629" t="str">
        <f>IFERROR(VLOOKUP(E1515,STAT1!$C$4:$D$1000,2,FALSE),"")</f>
        <v>НДШимтгэл</v>
      </c>
      <c r="G1515" s="376">
        <v>1237346.25</v>
      </c>
      <c r="H1515" s="896"/>
      <c r="I1515" s="580">
        <f t="shared" si="133"/>
        <v>0</v>
      </c>
      <c r="J1515" s="961">
        <f t="shared" si="134"/>
        <v>0</v>
      </c>
      <c r="K1515" s="80"/>
      <c r="L1515" s="630">
        <v>1004</v>
      </c>
      <c r="M1515" s="80" t="str">
        <f>+IFERROR(VLOOKUP(L1515,DATA!$G$4:$H$2000,2,FALSE),"")</f>
        <v xml:space="preserve">Түмэндэлгэр </v>
      </c>
      <c r="N1515" s="630"/>
      <c r="O1515" s="80" t="str">
        <f>IFERROR(VLOOKUP(N1515,DATA!$K$4:$L$51,2,FALSE),"")</f>
        <v/>
      </c>
      <c r="P1515" s="80">
        <f t="shared" si="132"/>
        <v>0</v>
      </c>
      <c r="Q1515" s="154">
        <f t="shared" si="136"/>
        <v>0</v>
      </c>
    </row>
    <row r="1516" spans="2:17">
      <c r="B1516" s="627">
        <f t="shared" si="135"/>
        <v>1511</v>
      </c>
      <c r="C1516" s="582">
        <v>43434</v>
      </c>
      <c r="D1516" s="850" t="s">
        <v>2811</v>
      </c>
      <c r="E1516" s="807">
        <v>310800</v>
      </c>
      <c r="F1516" s="629" t="str">
        <f>IFERROR(VLOOKUP(E1516,STAT1!$C$4:$D$1000,2,FALSE),"")</f>
        <v>НД-ын байгууллагад өгөх өглөг</v>
      </c>
      <c r="G1516" s="807"/>
      <c r="H1516" s="811">
        <v>1237346.25</v>
      </c>
      <c r="I1516" s="580">
        <f t="shared" si="133"/>
        <v>0</v>
      </c>
      <c r="J1516" s="961">
        <f t="shared" si="134"/>
        <v>0</v>
      </c>
      <c r="K1516" s="80"/>
      <c r="L1516" s="630">
        <v>1004</v>
      </c>
      <c r="M1516" s="80" t="str">
        <f>+IFERROR(VLOOKUP(L1516,DATA!$G$4:$H$2000,2,FALSE),"")</f>
        <v xml:space="preserve">Түмэндэлгэр </v>
      </c>
      <c r="N1516" s="807"/>
      <c r="O1516" s="80" t="str">
        <f>IFERROR(VLOOKUP(N1516,DATA!$K$4:$L$51,2,FALSE),"")</f>
        <v/>
      </c>
      <c r="P1516" s="80">
        <f t="shared" si="132"/>
        <v>0</v>
      </c>
      <c r="Q1516" s="154">
        <f t="shared" si="136"/>
        <v>0</v>
      </c>
    </row>
    <row r="1517" spans="2:17">
      <c r="B1517" s="627">
        <f t="shared" si="135"/>
        <v>1512</v>
      </c>
      <c r="C1517" s="582">
        <v>43434</v>
      </c>
      <c r="D1517" s="895" t="s">
        <v>2812</v>
      </c>
      <c r="E1517" s="807">
        <v>310800</v>
      </c>
      <c r="F1517" s="629" t="str">
        <f>IFERROR(VLOOKUP(E1517,STAT1!$C$4:$D$1000,2,FALSE),"")</f>
        <v>НД-ын байгууллагад өгөх өглөг</v>
      </c>
      <c r="G1517" s="807"/>
      <c r="H1517" s="811">
        <v>992323.75</v>
      </c>
      <c r="I1517" s="580">
        <f t="shared" si="133"/>
        <v>0</v>
      </c>
      <c r="J1517" s="961">
        <f t="shared" si="134"/>
        <v>0</v>
      </c>
      <c r="K1517" s="80"/>
      <c r="L1517" s="630">
        <v>1004</v>
      </c>
      <c r="M1517" s="80" t="str">
        <f>+IFERROR(VLOOKUP(L1517,DATA!$G$4:$H$2000,2,FALSE),"")</f>
        <v xml:space="preserve">Түмэндэлгэр </v>
      </c>
      <c r="N1517" s="807"/>
      <c r="O1517" s="80" t="str">
        <f>IFERROR(VLOOKUP(N1517,DATA!$K$4:$L$51,2,FALSE),"")</f>
        <v/>
      </c>
      <c r="P1517" s="80">
        <f t="shared" si="132"/>
        <v>0</v>
      </c>
      <c r="Q1517" s="154">
        <f t="shared" si="136"/>
        <v>0</v>
      </c>
    </row>
    <row r="1518" spans="2:17">
      <c r="B1518" s="627">
        <f t="shared" si="135"/>
        <v>1513</v>
      </c>
      <c r="C1518" s="582">
        <v>43434</v>
      </c>
      <c r="D1518" s="895" t="s">
        <v>2813</v>
      </c>
      <c r="E1518" s="630">
        <v>310700</v>
      </c>
      <c r="F1518" s="629" t="str">
        <f>IFERROR(VLOOKUP(E1518,STAT1!$C$4:$D$1000,2,FALSE),"")</f>
        <v>ХАОАТ өглөг</v>
      </c>
      <c r="G1518" s="896"/>
      <c r="H1518" s="376">
        <v>673880.125</v>
      </c>
      <c r="I1518" s="580">
        <f t="shared" si="133"/>
        <v>0</v>
      </c>
      <c r="J1518" s="961">
        <f t="shared" si="134"/>
        <v>0</v>
      </c>
      <c r="K1518" s="80"/>
      <c r="L1518" s="630">
        <v>1004</v>
      </c>
      <c r="M1518" s="80" t="str">
        <f>+IFERROR(VLOOKUP(L1518,DATA!$G$4:$H$2000,2,FALSE),"")</f>
        <v xml:space="preserve">Түмэндэлгэр </v>
      </c>
      <c r="N1518" s="630"/>
      <c r="O1518" s="80" t="str">
        <f>IFERROR(VLOOKUP(N1518,DATA!$K$4:$L$51,2,FALSE),"")</f>
        <v/>
      </c>
      <c r="P1518" s="80">
        <f t="shared" si="132"/>
        <v>0</v>
      </c>
      <c r="Q1518" s="154">
        <f t="shared" si="136"/>
        <v>0</v>
      </c>
    </row>
    <row r="1519" spans="2:17">
      <c r="B1519" s="627">
        <f t="shared" si="135"/>
        <v>1514</v>
      </c>
      <c r="C1519" s="582">
        <v>43434</v>
      </c>
      <c r="D1519" s="895" t="s">
        <v>2814</v>
      </c>
      <c r="E1519" s="630">
        <v>311000</v>
      </c>
      <c r="F1519" s="629" t="str">
        <f>IFERROR(VLOOKUP(E1519,STAT1!$C$4:$D$1000,2,FALSE),"")</f>
        <v>Цалингийн өглөг</v>
      </c>
      <c r="G1519" s="896"/>
      <c r="H1519" s="376">
        <v>7464921.125</v>
      </c>
      <c r="I1519" s="580">
        <f t="shared" si="133"/>
        <v>0</v>
      </c>
      <c r="J1519" s="961">
        <f t="shared" si="134"/>
        <v>0</v>
      </c>
      <c r="K1519" s="80"/>
      <c r="L1519" s="630">
        <v>1004</v>
      </c>
      <c r="M1519" s="80" t="str">
        <f>+IFERROR(VLOOKUP(L1519,DATA!$G$4:$H$2000,2,FALSE),"")</f>
        <v xml:space="preserve">Түмэндэлгэр </v>
      </c>
      <c r="N1519" s="630"/>
      <c r="O1519" s="80" t="str">
        <f>IFERROR(VLOOKUP(N1519,DATA!$K$4:$L$51,2,FALSE),"")</f>
        <v/>
      </c>
      <c r="P1519" s="80">
        <f t="shared" si="132"/>
        <v>0</v>
      </c>
      <c r="Q1519" s="154">
        <f t="shared" si="136"/>
        <v>0</v>
      </c>
    </row>
    <row r="1520" spans="2:17">
      <c r="B1520" s="627">
        <f t="shared" si="135"/>
        <v>1515</v>
      </c>
      <c r="C1520" s="582">
        <v>43434</v>
      </c>
      <c r="D1520" s="895" t="s">
        <v>2815</v>
      </c>
      <c r="E1520" s="630">
        <v>700100</v>
      </c>
      <c r="F1520" s="629" t="str">
        <f>IFERROR(VLOOKUP(E1520,STAT1!$C$4:$D$1000,2,FALSE),"")</f>
        <v>Цалин хөлс, шагнал</v>
      </c>
      <c r="G1520" s="376">
        <v>9131125</v>
      </c>
      <c r="H1520" s="896"/>
      <c r="I1520" s="580">
        <f t="shared" si="133"/>
        <v>0</v>
      </c>
      <c r="J1520" s="961">
        <f t="shared" si="134"/>
        <v>0</v>
      </c>
      <c r="K1520" s="80"/>
      <c r="L1520" s="630">
        <v>1004</v>
      </c>
      <c r="M1520" s="80" t="str">
        <f>+IFERROR(VLOOKUP(L1520,DATA!$G$4:$H$2000,2,FALSE),"")</f>
        <v xml:space="preserve">Түмэндэлгэр </v>
      </c>
      <c r="N1520" s="630"/>
      <c r="O1520" s="80" t="str">
        <f>IFERROR(VLOOKUP(N1520,DATA!$K$4:$L$51,2,FALSE),"")</f>
        <v/>
      </c>
      <c r="P1520" s="80">
        <f t="shared" si="132"/>
        <v>0</v>
      </c>
      <c r="Q1520" s="154">
        <f t="shared" si="136"/>
        <v>0</v>
      </c>
    </row>
    <row r="1521" spans="2:17">
      <c r="B1521" s="627">
        <f t="shared" si="135"/>
        <v>1516</v>
      </c>
      <c r="C1521" s="582">
        <v>43434</v>
      </c>
      <c r="D1521" s="895" t="s">
        <v>2827</v>
      </c>
      <c r="E1521" s="630">
        <v>100100</v>
      </c>
      <c r="F1521" s="629" t="str">
        <f>IFERROR(VLOOKUP(E1521,STAT1!$C$4:$D$1000,2,FALSE),"")</f>
        <v>Касс мөнгө MNT</v>
      </c>
      <c r="G1521" s="376"/>
      <c r="H1521" s="376">
        <v>7464921.125</v>
      </c>
      <c r="I1521" s="580">
        <f t="shared" si="133"/>
        <v>-7464921.125</v>
      </c>
      <c r="J1521" s="961">
        <f t="shared" si="134"/>
        <v>0</v>
      </c>
      <c r="K1521" s="80"/>
      <c r="L1521" s="630">
        <v>1004</v>
      </c>
      <c r="M1521" s="80" t="str">
        <f>+IFERROR(VLOOKUP(L1521,DATA!$G$4:$H$2000,2,FALSE),"")</f>
        <v xml:space="preserve">Түмэндэлгэр </v>
      </c>
      <c r="N1521" s="630">
        <v>51</v>
      </c>
      <c r="O1521" s="80" t="str">
        <f>IFERROR(VLOOKUP(N1521,DATA!$K$4:$L$51,2,FALSE),"")</f>
        <v>Ажиллагчдад төлсөн</v>
      </c>
      <c r="P1521" s="80">
        <f t="shared" si="132"/>
        <v>1</v>
      </c>
      <c r="Q1521" s="154">
        <f t="shared" si="136"/>
        <v>1</v>
      </c>
    </row>
    <row r="1522" spans="2:17">
      <c r="B1522" s="627">
        <f t="shared" si="135"/>
        <v>1517</v>
      </c>
      <c r="C1522" s="582">
        <v>43434</v>
      </c>
      <c r="D1522" s="895" t="s">
        <v>2827</v>
      </c>
      <c r="E1522" s="630">
        <v>311000</v>
      </c>
      <c r="F1522" s="629" t="str">
        <f>IFERROR(VLOOKUP(E1522,STAT1!$C$4:$D$1000,2,FALSE),"")</f>
        <v>Цалингийн өглөг</v>
      </c>
      <c r="G1522" s="376">
        <v>7464921.125</v>
      </c>
      <c r="H1522" s="376"/>
      <c r="I1522" s="580">
        <f t="shared" si="133"/>
        <v>0</v>
      </c>
      <c r="J1522" s="961">
        <f t="shared" si="134"/>
        <v>0</v>
      </c>
      <c r="K1522" s="80"/>
      <c r="L1522" s="630">
        <v>1004</v>
      </c>
      <c r="M1522" s="80" t="str">
        <f>+IFERROR(VLOOKUP(L1522,DATA!$G$4:$H$2000,2,FALSE),"")</f>
        <v xml:space="preserve">Түмэндэлгэр </v>
      </c>
      <c r="N1522" s="630"/>
      <c r="O1522" s="80" t="str">
        <f>IFERROR(VLOOKUP(N1522,DATA!$K$4:$L$51,2,FALSE),"")</f>
        <v/>
      </c>
      <c r="P1522" s="80">
        <f t="shared" si="132"/>
        <v>0</v>
      </c>
      <c r="Q1522" s="154">
        <f t="shared" si="136"/>
        <v>0</v>
      </c>
    </row>
    <row r="1523" spans="2:17">
      <c r="B1523" s="627">
        <f t="shared" si="135"/>
        <v>1518</v>
      </c>
      <c r="C1523" s="582">
        <v>43434</v>
      </c>
      <c r="D1523" s="815" t="s">
        <v>2558</v>
      </c>
      <c r="E1523" s="630">
        <v>110100</v>
      </c>
      <c r="F1523" s="629" t="str">
        <f>IFERROR(VLOOKUP(E1523,STAT1!$C$4:$D$1000,2,FALSE),"")</f>
        <v>Хаан Банк 5024654020</v>
      </c>
      <c r="G1523" s="376"/>
      <c r="H1523" s="376">
        <v>2000</v>
      </c>
      <c r="I1523" s="580">
        <f t="shared" si="133"/>
        <v>-2000</v>
      </c>
      <c r="J1523" s="961">
        <f t="shared" si="134"/>
        <v>0</v>
      </c>
      <c r="K1523" s="80"/>
      <c r="L1523" s="630">
        <v>2009</v>
      </c>
      <c r="M1523" s="80" t="str">
        <f>+IFERROR(VLOOKUP(L1523,DATA!$G$4:$H$2000,2,FALSE),"")</f>
        <v>ХААН БАНК</v>
      </c>
      <c r="N1523" s="630">
        <v>59</v>
      </c>
      <c r="O1523" s="80" t="str">
        <f>IFERROR(VLOOKUP(N1523,DATA!$K$4:$L$51,2,FALSE),"")</f>
        <v>Бусад мөнгөн зарлага</v>
      </c>
      <c r="P1523" s="80">
        <f t="shared" si="132"/>
        <v>1</v>
      </c>
      <c r="Q1523" s="154">
        <f t="shared" si="136"/>
        <v>1</v>
      </c>
    </row>
    <row r="1524" spans="2:17">
      <c r="B1524" s="627">
        <f t="shared" si="135"/>
        <v>1519</v>
      </c>
      <c r="C1524" s="582">
        <v>43434</v>
      </c>
      <c r="D1524" s="815" t="s">
        <v>2558</v>
      </c>
      <c r="E1524" s="630">
        <v>704900</v>
      </c>
      <c r="F1524" s="629" t="str">
        <f>IFERROR(VLOOKUP(E1524,STAT1!$C$4:$D$1000,2,FALSE),"")</f>
        <v>Банкны үйлчилгээ</v>
      </c>
      <c r="G1524" s="376">
        <v>2000</v>
      </c>
      <c r="H1524" s="376"/>
      <c r="I1524" s="580">
        <f t="shared" si="133"/>
        <v>0</v>
      </c>
      <c r="J1524" s="961">
        <f t="shared" si="134"/>
        <v>0</v>
      </c>
      <c r="K1524" s="80"/>
      <c r="L1524" s="630">
        <v>2009</v>
      </c>
      <c r="M1524" s="80" t="str">
        <f>+IFERROR(VLOOKUP(L1524,DATA!$G$4:$H$2000,2,FALSE),"")</f>
        <v>ХААН БАНК</v>
      </c>
      <c r="N1524" s="630"/>
      <c r="O1524" s="80" t="str">
        <f>IFERROR(VLOOKUP(N1524,DATA!$K$4:$L$51,2,FALSE),"")</f>
        <v/>
      </c>
      <c r="P1524" s="80">
        <f t="shared" si="132"/>
        <v>0</v>
      </c>
      <c r="Q1524" s="154">
        <f t="shared" si="136"/>
        <v>0</v>
      </c>
    </row>
    <row r="1525" spans="2:17">
      <c r="B1525" s="627">
        <f t="shared" si="135"/>
        <v>1520</v>
      </c>
      <c r="C1525" s="582">
        <v>43439</v>
      </c>
      <c r="D1525" s="815" t="s">
        <v>2776</v>
      </c>
      <c r="E1525" s="630">
        <v>100100</v>
      </c>
      <c r="F1525" s="629" t="str">
        <f>IFERROR(VLOOKUP(E1525,STAT1!$C$4:$D$1000,2,FALSE),"")</f>
        <v>Касс мөнгө MNT</v>
      </c>
      <c r="G1525" s="376"/>
      <c r="H1525" s="376">
        <v>1000000</v>
      </c>
      <c r="I1525" s="580">
        <f t="shared" si="133"/>
        <v>-1000000</v>
      </c>
      <c r="J1525" s="961">
        <f t="shared" si="134"/>
        <v>0</v>
      </c>
      <c r="K1525" s="80"/>
      <c r="L1525" s="807">
        <v>2002</v>
      </c>
      <c r="M1525" s="80" t="str">
        <f>+IFERROR(VLOOKUP(L1525,DATA!$G$4:$H$2000,2,FALSE),"")</f>
        <v xml:space="preserve">ХУД-н ЭМНД ХЭЛТЭС </v>
      </c>
      <c r="N1525" s="630">
        <v>52</v>
      </c>
      <c r="O1525" s="80" t="str">
        <f>IFERROR(VLOOKUP(N1525,DATA!$K$4:$L$51,2,FALSE),"")</f>
        <v>Нийгмийн даатгалын байгууллагад төлсөн</v>
      </c>
      <c r="P1525" s="80">
        <f t="shared" si="132"/>
        <v>1</v>
      </c>
      <c r="Q1525" s="154">
        <f t="shared" si="136"/>
        <v>1</v>
      </c>
    </row>
    <row r="1526" spans="2:17">
      <c r="B1526" s="627">
        <f t="shared" si="135"/>
        <v>1521</v>
      </c>
      <c r="C1526" s="582">
        <v>43439</v>
      </c>
      <c r="D1526" s="815" t="s">
        <v>2776</v>
      </c>
      <c r="E1526" s="630">
        <v>120900</v>
      </c>
      <c r="F1526" s="629" t="str">
        <f>IFERROR(VLOOKUP(E1526,STAT1!$C$4:$D$1000,2,FALSE),"")</f>
        <v>НД-ын байгууллагаас авах авлага</v>
      </c>
      <c r="G1526" s="376">
        <v>1000000</v>
      </c>
      <c r="H1526" s="376"/>
      <c r="I1526" s="580">
        <f t="shared" si="133"/>
        <v>0</v>
      </c>
      <c r="J1526" s="961">
        <f t="shared" si="134"/>
        <v>0</v>
      </c>
      <c r="K1526" s="80"/>
      <c r="L1526" s="807">
        <v>2002</v>
      </c>
      <c r="M1526" s="80" t="str">
        <f>+IFERROR(VLOOKUP(L1526,DATA!$G$4:$H$2000,2,FALSE),"")</f>
        <v xml:space="preserve">ХУД-н ЭМНД ХЭЛТЭС </v>
      </c>
      <c r="N1526" s="630"/>
      <c r="O1526" s="80" t="str">
        <f>IFERROR(VLOOKUP(N1526,DATA!$K$4:$L$51,2,FALSE),"")</f>
        <v/>
      </c>
      <c r="P1526" s="80">
        <f t="shared" si="132"/>
        <v>0</v>
      </c>
      <c r="Q1526" s="154">
        <f t="shared" si="136"/>
        <v>0</v>
      </c>
    </row>
    <row r="1527" spans="2:17">
      <c r="B1527" s="627">
        <f t="shared" si="135"/>
        <v>1522</v>
      </c>
      <c r="C1527" s="582">
        <v>43438</v>
      </c>
      <c r="D1527" s="815" t="s">
        <v>1570</v>
      </c>
      <c r="E1527" s="630">
        <v>100100</v>
      </c>
      <c r="F1527" s="629" t="str">
        <f>IFERROR(VLOOKUP(E1527,STAT1!$C$4:$D$1000,2,FALSE),"")</f>
        <v>Касс мөнгө MNT</v>
      </c>
      <c r="G1527" s="376"/>
      <c r="H1527" s="376">
        <v>30000</v>
      </c>
      <c r="I1527" s="580">
        <f t="shared" si="133"/>
        <v>-30000</v>
      </c>
      <c r="J1527" s="961">
        <f t="shared" si="134"/>
        <v>0</v>
      </c>
      <c r="K1527" s="80"/>
      <c r="L1527" s="630">
        <v>1005</v>
      </c>
      <c r="M1527" s="80" t="str">
        <f>+IFERROR(VLOOKUP(L1527,DATA!$G$4:$H$2000,2,FALSE),"")</f>
        <v>Золжаргал</v>
      </c>
      <c r="N1527" s="630">
        <v>55</v>
      </c>
      <c r="O1527" s="80" t="str">
        <f>IFERROR(VLOOKUP(N1527,DATA!$K$4:$L$51,2,FALSE),"")</f>
        <v>Түлш, шатахуун, тээврийн хөлс, сэлбэг хэрэгсэлд төлсөн</v>
      </c>
      <c r="P1527" s="80">
        <f t="shared" si="132"/>
        <v>1</v>
      </c>
      <c r="Q1527" s="154">
        <f t="shared" si="136"/>
        <v>1</v>
      </c>
    </row>
    <row r="1528" spans="2:17">
      <c r="B1528" s="627">
        <f t="shared" si="135"/>
        <v>1523</v>
      </c>
      <c r="C1528" s="582">
        <v>43438</v>
      </c>
      <c r="D1528" s="815" t="s">
        <v>1570</v>
      </c>
      <c r="E1528" s="630">
        <v>702000</v>
      </c>
      <c r="F1528" s="629" t="str">
        <f>IFERROR(VLOOKUP(E1528,STAT1!$C$4:$D$1000,2,FALSE),"")</f>
        <v>Түлш, шатахуун</v>
      </c>
      <c r="G1528" s="376">
        <v>30000</v>
      </c>
      <c r="H1528" s="376"/>
      <c r="I1528" s="580">
        <f t="shared" si="133"/>
        <v>0</v>
      </c>
      <c r="J1528" s="961">
        <f t="shared" si="134"/>
        <v>0</v>
      </c>
      <c r="K1528" s="80"/>
      <c r="L1528" s="630">
        <v>1005</v>
      </c>
      <c r="M1528" s="80" t="str">
        <f>+IFERROR(VLOOKUP(L1528,DATA!$G$4:$H$2000,2,FALSE),"")</f>
        <v>Золжаргал</v>
      </c>
      <c r="N1528" s="630"/>
      <c r="O1528" s="80" t="str">
        <f>IFERROR(VLOOKUP(N1528,DATA!$K$4:$L$51,2,FALSE),"")</f>
        <v/>
      </c>
      <c r="P1528" s="80">
        <f t="shared" si="132"/>
        <v>0</v>
      </c>
      <c r="Q1528" s="154">
        <f t="shared" si="136"/>
        <v>0</v>
      </c>
    </row>
    <row r="1529" spans="2:17">
      <c r="B1529" s="627">
        <f t="shared" si="135"/>
        <v>1524</v>
      </c>
      <c r="C1529" s="582">
        <v>43439</v>
      </c>
      <c r="D1529" s="816" t="s">
        <v>2514</v>
      </c>
      <c r="E1529" s="630">
        <v>100100</v>
      </c>
      <c r="F1529" s="629" t="str">
        <f>IFERROR(VLOOKUP(E1529,STAT1!$C$4:$D$1000,2,FALSE),"")</f>
        <v>Касс мөнгө MNT</v>
      </c>
      <c r="G1529" s="376"/>
      <c r="H1529" s="376">
        <v>200</v>
      </c>
      <c r="I1529" s="580">
        <f t="shared" si="133"/>
        <v>-200</v>
      </c>
      <c r="J1529" s="961">
        <f t="shared" si="134"/>
        <v>0</v>
      </c>
      <c r="K1529" s="80"/>
      <c r="L1529" s="630">
        <v>1005</v>
      </c>
      <c r="M1529" s="80" t="str">
        <f>+IFERROR(VLOOKUP(L1529,DATA!$G$4:$H$2000,2,FALSE),"")</f>
        <v>Золжаргал</v>
      </c>
      <c r="N1529" s="630">
        <v>59</v>
      </c>
      <c r="O1529" s="80" t="str">
        <f>IFERROR(VLOOKUP(N1529,DATA!$K$4:$L$51,2,FALSE),"")</f>
        <v>Бусад мөнгөн зарлага</v>
      </c>
      <c r="P1529" s="80">
        <f t="shared" si="132"/>
        <v>1</v>
      </c>
      <c r="Q1529" s="154">
        <f t="shared" si="136"/>
        <v>1</v>
      </c>
    </row>
    <row r="1530" spans="2:17">
      <c r="B1530" s="627">
        <f t="shared" si="135"/>
        <v>1525</v>
      </c>
      <c r="C1530" s="582">
        <v>43439</v>
      </c>
      <c r="D1530" s="816" t="s">
        <v>2514</v>
      </c>
      <c r="E1530" s="807">
        <v>704900</v>
      </c>
      <c r="F1530" s="629" t="str">
        <f>IFERROR(VLOOKUP(E1530,STAT1!$C$4:$D$1000,2,FALSE),"")</f>
        <v>Банкны үйлчилгээ</v>
      </c>
      <c r="G1530" s="811">
        <v>200</v>
      </c>
      <c r="H1530" s="811"/>
      <c r="I1530" s="580">
        <f t="shared" si="133"/>
        <v>0</v>
      </c>
      <c r="J1530" s="961">
        <f t="shared" si="134"/>
        <v>0</v>
      </c>
      <c r="K1530" s="80"/>
      <c r="L1530" s="807">
        <v>1005</v>
      </c>
      <c r="M1530" s="80" t="str">
        <f>+IFERROR(VLOOKUP(L1530,DATA!$G$4:$H$2000,2,FALSE),"")</f>
        <v>Золжаргал</v>
      </c>
      <c r="N1530" s="807"/>
      <c r="O1530" s="80" t="str">
        <f>IFERROR(VLOOKUP(N1530,DATA!$K$4:$L$51,2,FALSE),"")</f>
        <v/>
      </c>
      <c r="P1530" s="80">
        <f t="shared" si="132"/>
        <v>0</v>
      </c>
      <c r="Q1530" s="154">
        <f t="shared" si="136"/>
        <v>0</v>
      </c>
    </row>
    <row r="1531" spans="2:17">
      <c r="B1531" s="627">
        <f t="shared" si="135"/>
        <v>1526</v>
      </c>
      <c r="C1531" s="582">
        <v>43439</v>
      </c>
      <c r="D1531" s="815" t="s">
        <v>1570</v>
      </c>
      <c r="E1531" s="807">
        <v>100100</v>
      </c>
      <c r="F1531" s="629" t="str">
        <f>IFERROR(VLOOKUP(E1531,STAT1!$C$4:$D$1000,2,FALSE),"")</f>
        <v>Касс мөнгө MNT</v>
      </c>
      <c r="G1531" s="811"/>
      <c r="H1531" s="811">
        <v>39500</v>
      </c>
      <c r="I1531" s="580">
        <f t="shared" si="133"/>
        <v>-39500</v>
      </c>
      <c r="J1531" s="961">
        <f t="shared" si="134"/>
        <v>0</v>
      </c>
      <c r="K1531" s="80"/>
      <c r="L1531" s="807">
        <v>1008</v>
      </c>
      <c r="M1531" s="80" t="str">
        <f>+IFERROR(VLOOKUP(L1531,DATA!$G$4:$H$2000,2,FALSE),"")</f>
        <v xml:space="preserve">Оюунтүлхүүр </v>
      </c>
      <c r="N1531" s="807">
        <v>55</v>
      </c>
      <c r="O1531" s="80" t="str">
        <f>IFERROR(VLOOKUP(N1531,DATA!$K$4:$L$51,2,FALSE),"")</f>
        <v>Түлш, шатахуун, тээврийн хөлс, сэлбэг хэрэгсэлд төлсөн</v>
      </c>
      <c r="P1531" s="80">
        <f t="shared" si="132"/>
        <v>1</v>
      </c>
      <c r="Q1531" s="154">
        <f t="shared" si="136"/>
        <v>1</v>
      </c>
    </row>
    <row r="1532" spans="2:17">
      <c r="B1532" s="627">
        <f>+IF(C1532="","",ROW()-5)</f>
        <v>1527</v>
      </c>
      <c r="C1532" s="582">
        <v>43439</v>
      </c>
      <c r="D1532" s="815" t="s">
        <v>1570</v>
      </c>
      <c r="E1532" s="807">
        <v>702000</v>
      </c>
      <c r="F1532" s="629" t="str">
        <f>IFERROR(VLOOKUP(E1532,STAT1!$C$4:$D$1000,2,FALSE),"")</f>
        <v>Түлш, шатахуун</v>
      </c>
      <c r="G1532" s="811">
        <v>39500</v>
      </c>
      <c r="H1532" s="811"/>
      <c r="I1532" s="580">
        <f t="shared" si="133"/>
        <v>0</v>
      </c>
      <c r="J1532" s="961">
        <f t="shared" si="134"/>
        <v>0</v>
      </c>
      <c r="K1532" s="80"/>
      <c r="L1532" s="807">
        <v>1008</v>
      </c>
      <c r="M1532" s="80" t="str">
        <f>+IFERROR(VLOOKUP(L1532,DATA!$G$4:$H$2000,2,FALSE),"")</f>
        <v xml:space="preserve">Оюунтүлхүүр </v>
      </c>
      <c r="N1532" s="807"/>
      <c r="O1532" s="80" t="str">
        <f>IFERROR(VLOOKUP(N1532,DATA!$K$4:$L$51,2,FALSE),"")</f>
        <v/>
      </c>
      <c r="P1532" s="80">
        <f t="shared" si="132"/>
        <v>0</v>
      </c>
      <c r="Q1532" s="154">
        <f t="shared" si="136"/>
        <v>0</v>
      </c>
    </row>
    <row r="1533" spans="2:17">
      <c r="B1533" s="627">
        <f t="shared" si="135"/>
        <v>1528</v>
      </c>
      <c r="C1533" s="429">
        <v>43434</v>
      </c>
      <c r="D1533" s="816" t="s">
        <v>2806</v>
      </c>
      <c r="E1533" s="807">
        <v>702000</v>
      </c>
      <c r="F1533" s="629" t="str">
        <f>IFERROR(VLOOKUP(E1533,STAT1!$C$4:$D$1000,2,FALSE),"")</f>
        <v>Түлш, шатахуун</v>
      </c>
      <c r="G1533" s="811"/>
      <c r="H1533" s="811">
        <v>37272.720000000001</v>
      </c>
      <c r="I1533" s="580">
        <f t="shared" si="133"/>
        <v>0</v>
      </c>
      <c r="J1533" s="961">
        <f t="shared" si="134"/>
        <v>0</v>
      </c>
      <c r="K1533" s="80"/>
      <c r="L1533" s="807">
        <v>1005</v>
      </c>
      <c r="M1533" s="80" t="str">
        <f>+IFERROR(VLOOKUP(L1533,DATA!$G$4:$H$2000,2,FALSE),"")</f>
        <v>Золжаргал</v>
      </c>
      <c r="N1533" s="807"/>
      <c r="O1533" s="80" t="str">
        <f>IFERROR(VLOOKUP(N1533,DATA!$K$4:$L$51,2,FALSE),"")</f>
        <v/>
      </c>
      <c r="P1533" s="80">
        <f t="shared" ref="P1533:P1596" si="141">+IF(I1533,1,0)</f>
        <v>0</v>
      </c>
      <c r="Q1533" s="154">
        <f t="shared" si="136"/>
        <v>0</v>
      </c>
    </row>
    <row r="1534" spans="2:17">
      <c r="B1534" s="627">
        <f t="shared" si="135"/>
        <v>1529</v>
      </c>
      <c r="C1534" s="429">
        <v>43434</v>
      </c>
      <c r="D1534" s="816" t="s">
        <v>2806</v>
      </c>
      <c r="E1534" s="807">
        <v>120600</v>
      </c>
      <c r="F1534" s="629" t="str">
        <f>IFERROR(VLOOKUP(E1534,STAT1!$C$4:$D$1000,2,FALSE),"")</f>
        <v>НӨАТ авлага</v>
      </c>
      <c r="G1534" s="811">
        <v>37272.720000000001</v>
      </c>
      <c r="H1534" s="811"/>
      <c r="I1534" s="580">
        <f t="shared" si="133"/>
        <v>0</v>
      </c>
      <c r="J1534" s="961">
        <f t="shared" si="134"/>
        <v>0</v>
      </c>
      <c r="K1534" s="80"/>
      <c r="L1534" s="807">
        <v>1005</v>
      </c>
      <c r="M1534" s="80" t="str">
        <f>+IFERROR(VLOOKUP(L1534,DATA!$G$4:$H$2000,2,FALSE),"")</f>
        <v>Золжаргал</v>
      </c>
      <c r="N1534" s="807"/>
      <c r="O1534" s="80" t="str">
        <f>IFERROR(VLOOKUP(N1534,DATA!$K$4:$L$51,2,FALSE),"")</f>
        <v/>
      </c>
      <c r="P1534" s="80">
        <f t="shared" si="141"/>
        <v>0</v>
      </c>
      <c r="Q1534" s="154">
        <f t="shared" si="136"/>
        <v>0</v>
      </c>
    </row>
    <row r="1535" spans="2:17">
      <c r="B1535" s="627">
        <f t="shared" si="135"/>
        <v>1530</v>
      </c>
      <c r="C1535" s="429">
        <v>43427</v>
      </c>
      <c r="D1535" s="816" t="s">
        <v>2834</v>
      </c>
      <c r="E1535" s="807">
        <v>100100</v>
      </c>
      <c r="F1535" s="629" t="str">
        <f>IFERROR(VLOOKUP(E1535,STAT1!$C$4:$D$1000,2,FALSE),"")</f>
        <v>Касс мөнгө MNT</v>
      </c>
      <c r="G1535" s="811"/>
      <c r="H1535" s="811">
        <v>9900</v>
      </c>
      <c r="I1535" s="580">
        <f t="shared" ref="I1535:I1597" si="142">+IF(OR(E1535=100100,E1535=100200,E1535=110100,E1535=110102,E1535=110103,E1535=110104,E1535=110105,E1535=110200,E1535=110201,E1535=110202,E1535=110203,E1535=110204,E1535=110300),G1535,0)+IF(OR(E1535=100100,E1535=100200,E1535=110100,E1535=110102,E1535=110103,E1535=110104,E1535=110105,E1535=110200,E1535=110201,E1535=110202,E1535=110203,E1535=110204,E1535=110300),H1535*-1,0)</f>
        <v>-9900</v>
      </c>
      <c r="J1535" s="961">
        <f t="shared" ref="J1535:J1597" si="143">+IF(E1535=110200,I1535/K1535,0)</f>
        <v>0</v>
      </c>
      <c r="K1535" s="80"/>
      <c r="L1535" s="807">
        <v>3001</v>
      </c>
      <c r="M1535" s="80" t="str">
        <f>+IFERROR(VLOOKUP(L1535,DATA!$G$4:$H$2000,2,FALSE),"")</f>
        <v>ХУРД ГРУПП ХХК</v>
      </c>
      <c r="N1535" s="807">
        <v>53</v>
      </c>
      <c r="O1535" s="80" t="str">
        <f>IFERROR(VLOOKUP(N1535,DATA!$K$4:$L$51,2,FALSE),"")</f>
        <v>Бараа материал худалдан авахад төлсөн</v>
      </c>
      <c r="P1535" s="80">
        <f t="shared" si="141"/>
        <v>1</v>
      </c>
      <c r="Q1535" s="154">
        <f t="shared" si="136"/>
        <v>1</v>
      </c>
    </row>
    <row r="1536" spans="2:17">
      <c r="B1536" s="627">
        <f t="shared" si="135"/>
        <v>1531</v>
      </c>
      <c r="C1536" s="429">
        <v>43427</v>
      </c>
      <c r="D1536" s="816" t="s">
        <v>2834</v>
      </c>
      <c r="E1536" s="807">
        <v>120600</v>
      </c>
      <c r="F1536" s="629" t="str">
        <f>IFERROR(VLOOKUP(E1536,STAT1!$C$4:$D$1000,2,FALSE),"")</f>
        <v>НӨАТ авлага</v>
      </c>
      <c r="G1536" s="811">
        <v>900</v>
      </c>
      <c r="H1536" s="811"/>
      <c r="I1536" s="580">
        <f t="shared" si="142"/>
        <v>0</v>
      </c>
      <c r="J1536" s="961">
        <f t="shared" si="143"/>
        <v>0</v>
      </c>
      <c r="K1536" s="80"/>
      <c r="L1536" s="807">
        <v>3001</v>
      </c>
      <c r="M1536" s="80" t="str">
        <f>+IFERROR(VLOOKUP(L1536,DATA!$G$4:$H$2000,2,FALSE),"")</f>
        <v>ХУРД ГРУПП ХХК</v>
      </c>
      <c r="N1536" s="807"/>
      <c r="O1536" s="80" t="str">
        <f>IFERROR(VLOOKUP(N1536,DATA!$K$4:$L$51,2,FALSE),"")</f>
        <v/>
      </c>
      <c r="P1536" s="80">
        <f t="shared" si="141"/>
        <v>0</v>
      </c>
      <c r="Q1536" s="154">
        <f t="shared" si="136"/>
        <v>0</v>
      </c>
    </row>
    <row r="1537" spans="2:17">
      <c r="B1537" s="627">
        <f t="shared" si="135"/>
        <v>1532</v>
      </c>
      <c r="C1537" s="429">
        <v>43427</v>
      </c>
      <c r="D1537" s="816" t="s">
        <v>2834</v>
      </c>
      <c r="E1537" s="807">
        <v>180200</v>
      </c>
      <c r="F1537" s="629" t="str">
        <f>IFERROR(VLOOKUP(E1537,STAT1!$C$4:$D$1000,2,FALSE),"")</f>
        <v xml:space="preserve">Урьдчилж төлсөн зардал MNT </v>
      </c>
      <c r="G1537" s="811">
        <v>9000</v>
      </c>
      <c r="H1537" s="811"/>
      <c r="I1537" s="580">
        <f t="shared" si="142"/>
        <v>0</v>
      </c>
      <c r="J1537" s="961">
        <f t="shared" si="143"/>
        <v>0</v>
      </c>
      <c r="K1537" s="80"/>
      <c r="L1537" s="807">
        <v>3001</v>
      </c>
      <c r="M1537" s="80" t="str">
        <f>+IFERROR(VLOOKUP(L1537,DATA!$G$4:$H$2000,2,FALSE),"")</f>
        <v>ХУРД ГРУПП ХХК</v>
      </c>
      <c r="N1537" s="807"/>
      <c r="O1537" s="80" t="str">
        <f>IFERROR(VLOOKUP(N1537,DATA!$K$4:$L$51,2,FALSE),"")</f>
        <v/>
      </c>
      <c r="P1537" s="80">
        <f t="shared" si="141"/>
        <v>0</v>
      </c>
      <c r="Q1537" s="154">
        <f t="shared" si="136"/>
        <v>0</v>
      </c>
    </row>
    <row r="1538" spans="2:17">
      <c r="B1538" s="627">
        <f t="shared" si="135"/>
        <v>1533</v>
      </c>
      <c r="C1538" s="429">
        <v>43426</v>
      </c>
      <c r="D1538" s="815" t="s">
        <v>1570</v>
      </c>
      <c r="E1538" s="630">
        <v>100100</v>
      </c>
      <c r="F1538" s="629" t="str">
        <f>IFERROR(VLOOKUP(E1538,STAT1!$C$4:$D$1000,2,FALSE),"")</f>
        <v>Касс мөнгө MNT</v>
      </c>
      <c r="G1538" s="376"/>
      <c r="H1538" s="376">
        <v>30000</v>
      </c>
      <c r="I1538" s="580">
        <f t="shared" si="142"/>
        <v>-30000</v>
      </c>
      <c r="J1538" s="961">
        <f t="shared" si="143"/>
        <v>0</v>
      </c>
      <c r="K1538" s="80"/>
      <c r="L1538" s="630">
        <v>1005</v>
      </c>
      <c r="M1538" s="80" t="str">
        <f>+IFERROR(VLOOKUP(L1538,DATA!$G$4:$H$2000,2,FALSE),"")</f>
        <v>Золжаргал</v>
      </c>
      <c r="N1538" s="630">
        <v>55</v>
      </c>
      <c r="O1538" s="80" t="str">
        <f>IFERROR(VLOOKUP(N1538,DATA!$K$4:$L$51,2,FALSE),"")</f>
        <v>Түлш, шатахуун, тээврийн хөлс, сэлбэг хэрэгсэлд төлсөн</v>
      </c>
      <c r="P1538" s="80">
        <f t="shared" si="141"/>
        <v>1</v>
      </c>
      <c r="Q1538" s="154">
        <f t="shared" si="136"/>
        <v>1</v>
      </c>
    </row>
    <row r="1539" spans="2:17">
      <c r="B1539" s="627">
        <f t="shared" si="135"/>
        <v>1534</v>
      </c>
      <c r="C1539" s="429">
        <v>43426</v>
      </c>
      <c r="D1539" s="815" t="s">
        <v>1570</v>
      </c>
      <c r="E1539" s="630">
        <v>702000</v>
      </c>
      <c r="F1539" s="629" t="str">
        <f>IFERROR(VLOOKUP(E1539,STAT1!$C$4:$D$1000,2,FALSE),"")</f>
        <v>Түлш, шатахуун</v>
      </c>
      <c r="G1539" s="376">
        <v>30000</v>
      </c>
      <c r="H1539" s="376"/>
      <c r="I1539" s="580">
        <f t="shared" si="142"/>
        <v>0</v>
      </c>
      <c r="J1539" s="961">
        <f t="shared" si="143"/>
        <v>0</v>
      </c>
      <c r="K1539" s="80"/>
      <c r="L1539" s="630">
        <v>1005</v>
      </c>
      <c r="M1539" s="80" t="str">
        <f>+IFERROR(VLOOKUP(L1539,DATA!$G$4:$H$2000,2,FALSE),"")</f>
        <v>Золжаргал</v>
      </c>
      <c r="N1539" s="630"/>
      <c r="O1539" s="80" t="str">
        <f>IFERROR(VLOOKUP(N1539,DATA!$K$4:$L$51,2,FALSE),"")</f>
        <v/>
      </c>
      <c r="P1539" s="80">
        <f t="shared" si="141"/>
        <v>0</v>
      </c>
      <c r="Q1539" s="154">
        <f t="shared" si="136"/>
        <v>0</v>
      </c>
    </row>
    <row r="1540" spans="2:17">
      <c r="B1540" s="627">
        <f t="shared" si="135"/>
        <v>1535</v>
      </c>
      <c r="C1540" s="582">
        <v>43428</v>
      </c>
      <c r="D1540" s="815" t="s">
        <v>1570</v>
      </c>
      <c r="E1540" s="630">
        <v>100100</v>
      </c>
      <c r="F1540" s="629" t="str">
        <f>IFERROR(VLOOKUP(E1540,STAT1!$C$4:$D$1000,2,FALSE),"")</f>
        <v>Касс мөнгө MNT</v>
      </c>
      <c r="G1540" s="376"/>
      <c r="H1540" s="376">
        <v>30000</v>
      </c>
      <c r="I1540" s="580">
        <f t="shared" ref="I1540:I1541" si="144">+IF(OR(E1540=100100,E1540=100200,E1540=110100,E1540=110102,E1540=110103,E1540=110104,E1540=110105,E1540=110200,E1540=110201,E1540=110202,E1540=110203,E1540=110204,E1540=110300),G1540,0)+IF(OR(E1540=100100,E1540=100200,E1540=110100,E1540=110102,E1540=110103,E1540=110104,E1540=110105,E1540=110200,E1540=110201,E1540=110202,E1540=110203,E1540=110204,E1540=110300),H1540*-1,0)</f>
        <v>-30000</v>
      </c>
      <c r="J1540" s="961">
        <f t="shared" ref="J1540:J1541" si="145">+IF(E1540=110200,I1540/K1540,0)</f>
        <v>0</v>
      </c>
      <c r="K1540" s="80"/>
      <c r="L1540" s="630">
        <v>1005</v>
      </c>
      <c r="M1540" s="80" t="str">
        <f>+IFERROR(VLOOKUP(L1540,DATA!$G$4:$H$2000,2,FALSE),"")</f>
        <v>Золжаргал</v>
      </c>
      <c r="N1540" s="630">
        <v>55</v>
      </c>
      <c r="O1540" s="80" t="str">
        <f>IFERROR(VLOOKUP(N1540,DATA!$K$4:$L$51,2,FALSE),"")</f>
        <v>Түлш, шатахуун, тээврийн хөлс, сэлбэг хэрэгсэлд төлсөн</v>
      </c>
      <c r="P1540" s="80">
        <f t="shared" si="141"/>
        <v>1</v>
      </c>
      <c r="Q1540" s="154">
        <f t="shared" si="136"/>
        <v>1</v>
      </c>
    </row>
    <row r="1541" spans="2:17">
      <c r="B1541" s="627">
        <f t="shared" si="135"/>
        <v>1536</v>
      </c>
      <c r="C1541" s="582">
        <v>43428</v>
      </c>
      <c r="D1541" s="815" t="s">
        <v>1570</v>
      </c>
      <c r="E1541" s="630">
        <v>702000</v>
      </c>
      <c r="F1541" s="629" t="str">
        <f>IFERROR(VLOOKUP(E1541,STAT1!$C$4:$D$1000,2,FALSE),"")</f>
        <v>Түлш, шатахуун</v>
      </c>
      <c r="G1541" s="376">
        <v>30000</v>
      </c>
      <c r="H1541" s="376"/>
      <c r="I1541" s="580">
        <f t="shared" si="144"/>
        <v>0</v>
      </c>
      <c r="J1541" s="961">
        <f t="shared" si="145"/>
        <v>0</v>
      </c>
      <c r="K1541" s="80"/>
      <c r="L1541" s="630">
        <v>1005</v>
      </c>
      <c r="M1541" s="80" t="str">
        <f>+IFERROR(VLOOKUP(L1541,DATA!$G$4:$H$2000,2,FALSE),"")</f>
        <v>Золжаргал</v>
      </c>
      <c r="N1541" s="630"/>
      <c r="O1541" s="80" t="str">
        <f>IFERROR(VLOOKUP(N1541,DATA!$K$4:$L$51,2,FALSE),"")</f>
        <v/>
      </c>
      <c r="P1541" s="80">
        <f t="shared" si="141"/>
        <v>0</v>
      </c>
      <c r="Q1541" s="154">
        <f t="shared" si="136"/>
        <v>0</v>
      </c>
    </row>
    <row r="1542" spans="2:17">
      <c r="B1542" s="627">
        <f t="shared" si="135"/>
        <v>1537</v>
      </c>
      <c r="C1542" s="582">
        <v>43421</v>
      </c>
      <c r="D1542" s="815" t="s">
        <v>2835</v>
      </c>
      <c r="E1542" s="630">
        <v>100100</v>
      </c>
      <c r="F1542" s="629" t="str">
        <f>IFERROR(VLOOKUP(E1542,STAT1!$C$4:$D$1000,2,FALSE),"")</f>
        <v>Касс мөнгө MNT</v>
      </c>
      <c r="G1542" s="376"/>
      <c r="H1542" s="376">
        <v>91700</v>
      </c>
      <c r="I1542" s="580">
        <f t="shared" si="142"/>
        <v>-91700</v>
      </c>
      <c r="J1542" s="961">
        <f t="shared" si="143"/>
        <v>0</v>
      </c>
      <c r="K1542" s="80"/>
      <c r="L1542" s="630">
        <v>3001</v>
      </c>
      <c r="M1542" s="80" t="str">
        <f>+IFERROR(VLOOKUP(L1542,DATA!$G$4:$H$2000,2,FALSE),"")</f>
        <v>ХУРД ГРУПП ХХК</v>
      </c>
      <c r="N1542" s="630">
        <v>53</v>
      </c>
      <c r="O1542" s="80" t="str">
        <f>IFERROR(VLOOKUP(N1542,DATA!$K$4:$L$51,2,FALSE),"")</f>
        <v>Бараа материал худалдан авахад төлсөн</v>
      </c>
      <c r="P1542" s="80">
        <f t="shared" si="141"/>
        <v>1</v>
      </c>
      <c r="Q1542" s="154">
        <f t="shared" si="136"/>
        <v>1</v>
      </c>
    </row>
    <row r="1543" spans="2:17">
      <c r="B1543" s="627">
        <f t="shared" si="135"/>
        <v>1538</v>
      </c>
      <c r="C1543" s="582">
        <v>43421</v>
      </c>
      <c r="D1543" s="815" t="s">
        <v>2835</v>
      </c>
      <c r="E1543" s="630">
        <v>120600</v>
      </c>
      <c r="F1543" s="629" t="str">
        <f>IFERROR(VLOOKUP(E1543,STAT1!$C$4:$D$1000,2,FALSE),"")</f>
        <v>НӨАТ авлага</v>
      </c>
      <c r="G1543" s="376">
        <v>8336.36</v>
      </c>
      <c r="H1543" s="376"/>
      <c r="I1543" s="580">
        <f t="shared" si="142"/>
        <v>0</v>
      </c>
      <c r="J1543" s="961">
        <f t="shared" si="143"/>
        <v>0</v>
      </c>
      <c r="K1543" s="80"/>
      <c r="L1543" s="630">
        <v>3001</v>
      </c>
      <c r="M1543" s="80" t="str">
        <f>+IFERROR(VLOOKUP(L1543,DATA!$G$4:$H$2000,2,FALSE),"")</f>
        <v>ХУРД ГРУПП ХХК</v>
      </c>
      <c r="N1543" s="630"/>
      <c r="O1543" s="80" t="str">
        <f>IFERROR(VLOOKUP(N1543,DATA!$K$4:$L$51,2,FALSE),"")</f>
        <v/>
      </c>
      <c r="P1543" s="80">
        <f t="shared" si="141"/>
        <v>0</v>
      </c>
      <c r="Q1543" s="154">
        <f t="shared" si="136"/>
        <v>0</v>
      </c>
    </row>
    <row r="1544" spans="2:17">
      <c r="B1544" s="627">
        <f t="shared" si="135"/>
        <v>1539</v>
      </c>
      <c r="C1544" s="582">
        <v>43421</v>
      </c>
      <c r="D1544" s="815" t="s">
        <v>2835</v>
      </c>
      <c r="E1544" s="630">
        <v>180200</v>
      </c>
      <c r="F1544" s="629" t="str">
        <f>IFERROR(VLOOKUP(E1544,STAT1!$C$4:$D$1000,2,FALSE),"")</f>
        <v xml:space="preserve">Урьдчилж төлсөн зардал MNT </v>
      </c>
      <c r="G1544" s="376">
        <f>91700-8336.36</f>
        <v>83363.64</v>
      </c>
      <c r="H1544" s="376"/>
      <c r="I1544" s="580">
        <f t="shared" si="142"/>
        <v>0</v>
      </c>
      <c r="J1544" s="961">
        <f t="shared" si="143"/>
        <v>0</v>
      </c>
      <c r="K1544" s="80"/>
      <c r="L1544" s="630">
        <v>3001</v>
      </c>
      <c r="M1544" s="80" t="str">
        <f>+IFERROR(VLOOKUP(L1544,DATA!$G$4:$H$2000,2,FALSE),"")</f>
        <v>ХУРД ГРУПП ХХК</v>
      </c>
      <c r="N1544" s="630"/>
      <c r="O1544" s="80" t="str">
        <f>IFERROR(VLOOKUP(N1544,DATA!$K$4:$L$51,2,FALSE),"")</f>
        <v/>
      </c>
      <c r="P1544" s="80">
        <f t="shared" si="141"/>
        <v>0</v>
      </c>
      <c r="Q1544" s="154">
        <f t="shared" si="136"/>
        <v>0</v>
      </c>
    </row>
    <row r="1545" spans="2:17">
      <c r="B1545" s="627">
        <f t="shared" si="135"/>
        <v>1540</v>
      </c>
      <c r="C1545" s="429">
        <v>43441</v>
      </c>
      <c r="D1545" s="816" t="s">
        <v>2776</v>
      </c>
      <c r="E1545" s="807">
        <v>100100</v>
      </c>
      <c r="F1545" s="629" t="str">
        <f>IFERROR(VLOOKUP(E1545,STAT1!$C$4:$D$1000,2,FALSE),"")</f>
        <v>Касс мөнгө MNT</v>
      </c>
      <c r="G1545" s="811"/>
      <c r="H1545" s="811">
        <v>3500000</v>
      </c>
      <c r="I1545" s="580">
        <f t="shared" si="142"/>
        <v>-3500000</v>
      </c>
      <c r="J1545" s="961">
        <f t="shared" si="143"/>
        <v>0</v>
      </c>
      <c r="K1545" s="80"/>
      <c r="L1545" s="807">
        <v>2002</v>
      </c>
      <c r="M1545" s="80" t="str">
        <f>+IFERROR(VLOOKUP(L1545,DATA!$G$4:$H$2000,2,FALSE),"")</f>
        <v xml:space="preserve">ХУД-н ЭМНД ХЭЛТЭС </v>
      </c>
      <c r="N1545" s="807">
        <v>52</v>
      </c>
      <c r="O1545" s="80" t="str">
        <f>IFERROR(VLOOKUP(N1545,DATA!$K$4:$L$51,2,FALSE),"")</f>
        <v>Нийгмийн даатгалын байгууллагад төлсөн</v>
      </c>
      <c r="P1545" s="80">
        <f t="shared" si="141"/>
        <v>1</v>
      </c>
      <c r="Q1545" s="154">
        <f t="shared" si="136"/>
        <v>1</v>
      </c>
    </row>
    <row r="1546" spans="2:17">
      <c r="B1546" s="627">
        <f t="shared" si="135"/>
        <v>1541</v>
      </c>
      <c r="C1546" s="429">
        <v>43441</v>
      </c>
      <c r="D1546" s="816" t="s">
        <v>2776</v>
      </c>
      <c r="E1546" s="807">
        <v>120900</v>
      </c>
      <c r="F1546" s="629" t="str">
        <f>IFERROR(VLOOKUP(E1546,STAT1!$C$4:$D$1000,2,FALSE),"")</f>
        <v>НД-ын байгууллагаас авах авлага</v>
      </c>
      <c r="G1546" s="811">
        <v>3500000</v>
      </c>
      <c r="H1546" s="811"/>
      <c r="I1546" s="580">
        <f t="shared" si="142"/>
        <v>0</v>
      </c>
      <c r="J1546" s="961">
        <f t="shared" si="143"/>
        <v>0</v>
      </c>
      <c r="K1546" s="80"/>
      <c r="L1546" s="807">
        <v>2002</v>
      </c>
      <c r="M1546" s="80" t="str">
        <f>+IFERROR(VLOOKUP(L1546,DATA!$G$4:$H$2000,2,FALSE),"")</f>
        <v xml:space="preserve">ХУД-н ЭМНД ХЭЛТЭС </v>
      </c>
      <c r="N1546" s="807"/>
      <c r="O1546" s="80" t="str">
        <f>IFERROR(VLOOKUP(N1546,DATA!$K$4:$L$51,2,FALSE),"")</f>
        <v/>
      </c>
      <c r="P1546" s="80">
        <f t="shared" si="141"/>
        <v>0</v>
      </c>
      <c r="Q1546" s="154">
        <f t="shared" si="136"/>
        <v>0</v>
      </c>
    </row>
    <row r="1547" spans="2:17">
      <c r="B1547" s="627">
        <f t="shared" si="135"/>
        <v>1542</v>
      </c>
      <c r="C1547" s="429">
        <v>43439</v>
      </c>
      <c r="D1547" s="816" t="s">
        <v>1571</v>
      </c>
      <c r="E1547" s="807">
        <v>110100</v>
      </c>
      <c r="F1547" s="629" t="str">
        <f>IFERROR(VLOOKUP(E1547,STAT1!$C$4:$D$1000,2,FALSE),"")</f>
        <v>Хаан Банк 5024654020</v>
      </c>
      <c r="G1547" s="811">
        <v>2400000</v>
      </c>
      <c r="H1547" s="811"/>
      <c r="I1547" s="580">
        <f t="shared" si="142"/>
        <v>2400000</v>
      </c>
      <c r="J1547" s="961">
        <f t="shared" si="143"/>
        <v>0</v>
      </c>
      <c r="K1547" s="80"/>
      <c r="L1547" s="807">
        <v>3003</v>
      </c>
      <c r="M1547" s="80" t="str">
        <f>+IFERROR(VLOOKUP(L1547,DATA!$G$4:$H$2000,2,FALSE),"")</f>
        <v xml:space="preserve">МУХИА ХХК </v>
      </c>
      <c r="N1547" s="807">
        <v>41</v>
      </c>
      <c r="O1547" s="80" t="str">
        <f>IFERROR(VLOOKUP(N1547,DATA!$K$4:$L$51,2,FALSE),"")</f>
        <v>Бараа борлуулсан, үйлчилгээ үзүүлсэний орлого</v>
      </c>
      <c r="P1547" s="80">
        <f t="shared" si="141"/>
        <v>1</v>
      </c>
      <c r="Q1547" s="154">
        <f t="shared" si="136"/>
        <v>1</v>
      </c>
    </row>
    <row r="1548" spans="2:17">
      <c r="B1548" s="627">
        <f t="shared" si="135"/>
        <v>1543</v>
      </c>
      <c r="C1548" s="429">
        <v>43439</v>
      </c>
      <c r="D1548" s="816" t="s">
        <v>1571</v>
      </c>
      <c r="E1548" s="807">
        <v>320100</v>
      </c>
      <c r="F1548" s="629" t="str">
        <f>IFERROR(VLOOKUP(E1548,STAT1!$C$4:$D$1000,2,FALSE),"")</f>
        <v>Урьдчилж орсон орлого MNT</v>
      </c>
      <c r="G1548" s="811"/>
      <c r="H1548" s="811">
        <v>2400000</v>
      </c>
      <c r="I1548" s="580">
        <f t="shared" si="142"/>
        <v>0</v>
      </c>
      <c r="J1548" s="961">
        <f t="shared" si="143"/>
        <v>0</v>
      </c>
      <c r="K1548" s="80"/>
      <c r="L1548" s="807">
        <v>3003</v>
      </c>
      <c r="M1548" s="80" t="str">
        <f>+IFERROR(VLOOKUP(L1548,DATA!$G$4:$H$2000,2,FALSE),"")</f>
        <v xml:space="preserve">МУХИА ХХК </v>
      </c>
      <c r="N1548" s="807"/>
      <c r="O1548" s="80" t="str">
        <f>IFERROR(VLOOKUP(N1548,DATA!$K$4:$L$51,2,FALSE),"")</f>
        <v/>
      </c>
      <c r="P1548" s="80">
        <f t="shared" si="141"/>
        <v>0</v>
      </c>
      <c r="Q1548" s="154">
        <f t="shared" si="136"/>
        <v>0</v>
      </c>
    </row>
    <row r="1549" spans="2:17">
      <c r="B1549" s="627">
        <f t="shared" si="135"/>
        <v>1544</v>
      </c>
      <c r="C1549" s="429">
        <v>43440</v>
      </c>
      <c r="D1549" s="816" t="s">
        <v>2776</v>
      </c>
      <c r="E1549" s="807">
        <v>110100</v>
      </c>
      <c r="F1549" s="629" t="str">
        <f>IFERROR(VLOOKUP(E1549,STAT1!$C$4:$D$1000,2,FALSE),"")</f>
        <v>Хаан Банк 5024654020</v>
      </c>
      <c r="G1549" s="811"/>
      <c r="H1549" s="811">
        <v>2400000</v>
      </c>
      <c r="I1549" s="580">
        <f t="shared" si="142"/>
        <v>-2400000</v>
      </c>
      <c r="J1549" s="961">
        <f t="shared" si="143"/>
        <v>0</v>
      </c>
      <c r="K1549" s="80"/>
      <c r="L1549" s="807">
        <v>2002</v>
      </c>
      <c r="M1549" s="80" t="str">
        <f>+IFERROR(VLOOKUP(L1549,DATA!$G$4:$H$2000,2,FALSE),"")</f>
        <v xml:space="preserve">ХУД-н ЭМНД ХЭЛТЭС </v>
      </c>
      <c r="N1549" s="807">
        <v>52</v>
      </c>
      <c r="O1549" s="80" t="str">
        <f>IFERROR(VLOOKUP(N1549,DATA!$K$4:$L$51,2,FALSE),"")</f>
        <v>Нийгмийн даатгалын байгууллагад төлсөн</v>
      </c>
      <c r="P1549" s="80">
        <f t="shared" si="141"/>
        <v>1</v>
      </c>
      <c r="Q1549" s="154">
        <f t="shared" si="136"/>
        <v>1</v>
      </c>
    </row>
    <row r="1550" spans="2:17">
      <c r="B1550" s="627">
        <f t="shared" si="135"/>
        <v>1545</v>
      </c>
      <c r="C1550" s="429">
        <v>43440</v>
      </c>
      <c r="D1550" s="816" t="s">
        <v>2776</v>
      </c>
      <c r="E1550" s="807">
        <v>120900</v>
      </c>
      <c r="F1550" s="629" t="str">
        <f>IFERROR(VLOOKUP(E1550,STAT1!$C$4:$D$1000,2,FALSE),"")</f>
        <v>НД-ын байгууллагаас авах авлага</v>
      </c>
      <c r="G1550" s="811">
        <v>2400000</v>
      </c>
      <c r="H1550" s="811"/>
      <c r="I1550" s="580">
        <f t="shared" si="142"/>
        <v>0</v>
      </c>
      <c r="J1550" s="961">
        <f t="shared" si="143"/>
        <v>0</v>
      </c>
      <c r="K1550" s="80"/>
      <c r="L1550" s="807">
        <v>2002</v>
      </c>
      <c r="M1550" s="80" t="str">
        <f>+IFERROR(VLOOKUP(L1550,DATA!$G$4:$H$2000,2,FALSE),"")</f>
        <v xml:space="preserve">ХУД-н ЭМНД ХЭЛТЭС </v>
      </c>
      <c r="N1550" s="807"/>
      <c r="O1550" s="80" t="str">
        <f>IFERROR(VLOOKUP(N1550,DATA!$K$4:$L$51,2,FALSE),"")</f>
        <v/>
      </c>
      <c r="P1550" s="80">
        <f t="shared" si="141"/>
        <v>0</v>
      </c>
      <c r="Q1550" s="154">
        <f t="shared" si="136"/>
        <v>0</v>
      </c>
    </row>
    <row r="1551" spans="2:17">
      <c r="B1551" s="627">
        <f t="shared" si="135"/>
        <v>1546</v>
      </c>
      <c r="C1551" s="582">
        <v>43419</v>
      </c>
      <c r="D1551" s="815" t="s">
        <v>1571</v>
      </c>
      <c r="E1551" s="630">
        <v>100100</v>
      </c>
      <c r="F1551" s="629" t="str">
        <f>IFERROR(VLOOKUP(E1551,STAT1!$C$4:$D$1000,2,FALSE),"")</f>
        <v>Касс мөнгө MNT</v>
      </c>
      <c r="G1551" s="376">
        <v>103500</v>
      </c>
      <c r="H1551" s="376"/>
      <c r="I1551" s="580">
        <f t="shared" si="142"/>
        <v>103500</v>
      </c>
      <c r="J1551" s="961">
        <f t="shared" si="143"/>
        <v>0</v>
      </c>
      <c r="K1551" s="80"/>
      <c r="L1551" s="630">
        <v>3061</v>
      </c>
      <c r="M1551" s="80" t="str">
        <f>+IFERROR(VLOOKUP(L1551,DATA!$G$4:$H$2000,2,FALSE),"")</f>
        <v>СТИМО ХХК</v>
      </c>
      <c r="N1551" s="630">
        <v>41</v>
      </c>
      <c r="O1551" s="80" t="str">
        <f>IFERROR(VLOOKUP(N1551,DATA!$K$4:$L$51,2,FALSE),"")</f>
        <v>Бараа борлуулсан, үйлчилгээ үзүүлсэний орлого</v>
      </c>
      <c r="P1551" s="80">
        <f t="shared" si="141"/>
        <v>1</v>
      </c>
      <c r="Q1551" s="154">
        <f t="shared" si="136"/>
        <v>1</v>
      </c>
    </row>
    <row r="1552" spans="2:17">
      <c r="B1552" s="627">
        <f t="shared" si="135"/>
        <v>1547</v>
      </c>
      <c r="C1552" s="582">
        <v>43419</v>
      </c>
      <c r="D1552" s="815" t="s">
        <v>1571</v>
      </c>
      <c r="E1552" s="630">
        <v>320100</v>
      </c>
      <c r="F1552" s="629" t="str">
        <f>IFERROR(VLOOKUP(E1552,STAT1!$C$4:$D$1000,2,FALSE),"")</f>
        <v>Урьдчилж орсон орлого MNT</v>
      </c>
      <c r="G1552" s="376"/>
      <c r="H1552" s="376">
        <v>103500</v>
      </c>
      <c r="I1552" s="580">
        <f t="shared" si="142"/>
        <v>0</v>
      </c>
      <c r="J1552" s="961">
        <f t="shared" si="143"/>
        <v>0</v>
      </c>
      <c r="K1552" s="80"/>
      <c r="L1552" s="630">
        <v>3061</v>
      </c>
      <c r="M1552" s="80" t="str">
        <f>+IFERROR(VLOOKUP(L1552,DATA!$G$4:$H$2000,2,FALSE),"")</f>
        <v>СТИМО ХХК</v>
      </c>
      <c r="N1552" s="630"/>
      <c r="O1552" s="80" t="str">
        <f>IFERROR(VLOOKUP(N1552,DATA!$K$4:$L$51,2,FALSE),"")</f>
        <v/>
      </c>
      <c r="P1552" s="80">
        <f t="shared" si="141"/>
        <v>0</v>
      </c>
      <c r="Q1552" s="154">
        <f t="shared" si="136"/>
        <v>0</v>
      </c>
    </row>
    <row r="1553" spans="2:17">
      <c r="B1553" s="627">
        <f t="shared" si="135"/>
        <v>1548</v>
      </c>
      <c r="C1553" s="582">
        <v>43434</v>
      </c>
      <c r="D1553" s="815" t="s">
        <v>2810</v>
      </c>
      <c r="E1553" s="630">
        <v>320100</v>
      </c>
      <c r="F1553" s="629" t="str">
        <f>IFERROR(VLOOKUP(E1553,STAT1!$C$4:$D$1000,2,FALSE),"")</f>
        <v>Урьдчилж орсон орлого MNT</v>
      </c>
      <c r="G1553" s="376">
        <v>50000000</v>
      </c>
      <c r="H1553" s="376"/>
      <c r="I1553" s="580">
        <f t="shared" si="142"/>
        <v>0</v>
      </c>
      <c r="J1553" s="961">
        <f t="shared" si="143"/>
        <v>0</v>
      </c>
      <c r="K1553" s="80"/>
      <c r="L1553" s="630">
        <v>3001</v>
      </c>
      <c r="M1553" s="80" t="str">
        <f>+IFERROR(VLOOKUP(L1553,DATA!$G$4:$H$2000,2,FALSE),"")</f>
        <v>ХУРД ГРУПП ХХК</v>
      </c>
      <c r="N1553" s="630"/>
      <c r="O1553" s="80" t="str">
        <f>IFERROR(VLOOKUP(N1553,DATA!$K$4:$L$51,2,FALSE),"")</f>
        <v/>
      </c>
      <c r="P1553" s="80">
        <f t="shared" si="141"/>
        <v>0</v>
      </c>
      <c r="Q1553" s="154">
        <f t="shared" si="136"/>
        <v>0</v>
      </c>
    </row>
    <row r="1554" spans="2:17">
      <c r="B1554" s="627">
        <f t="shared" ref="B1554:B1617" si="146">+IF(C1554="","",ROW()-5)</f>
        <v>1549</v>
      </c>
      <c r="C1554" s="582">
        <v>43434</v>
      </c>
      <c r="D1554" s="815" t="s">
        <v>2810</v>
      </c>
      <c r="E1554" s="630">
        <v>310500</v>
      </c>
      <c r="F1554" s="629" t="str">
        <f>IFERROR(VLOOKUP(E1554,STAT1!$C$4:$D$1000,2,FALSE),"")</f>
        <v>НӨАТ өглөг</v>
      </c>
      <c r="G1554" s="376"/>
      <c r="H1554" s="376">
        <v>4545454.55</v>
      </c>
      <c r="I1554" s="580">
        <f t="shared" si="142"/>
        <v>0</v>
      </c>
      <c r="J1554" s="961">
        <f t="shared" si="143"/>
        <v>0</v>
      </c>
      <c r="K1554" s="80"/>
      <c r="L1554" s="630">
        <v>3001</v>
      </c>
      <c r="M1554" s="80" t="str">
        <f>+IFERROR(VLOOKUP(L1554,DATA!$G$4:$H$2000,2,FALSE),"")</f>
        <v>ХУРД ГРУПП ХХК</v>
      </c>
      <c r="N1554" s="630"/>
      <c r="O1554" s="80" t="str">
        <f>IFERROR(VLOOKUP(N1554,DATA!$K$4:$L$51,2,FALSE),"")</f>
        <v/>
      </c>
      <c r="P1554" s="80">
        <f t="shared" si="141"/>
        <v>0</v>
      </c>
      <c r="Q1554" s="154">
        <f t="shared" si="136"/>
        <v>0</v>
      </c>
    </row>
    <row r="1555" spans="2:17">
      <c r="B1555" s="627">
        <f t="shared" si="146"/>
        <v>1550</v>
      </c>
      <c r="C1555" s="582">
        <v>43434</v>
      </c>
      <c r="D1555" s="815" t="s">
        <v>2810</v>
      </c>
      <c r="E1555" s="630">
        <v>510400</v>
      </c>
      <c r="F1555" s="629" t="str">
        <f>IFERROR(VLOOKUP(E1555,STAT1!$C$4:$D$1000,2,FALSE),"")</f>
        <v>Бусад борлуулалт</v>
      </c>
      <c r="G1555" s="376"/>
      <c r="H1555" s="376">
        <v>45454545.450000003</v>
      </c>
      <c r="I1555" s="580">
        <f t="shared" si="142"/>
        <v>0</v>
      </c>
      <c r="J1555" s="961">
        <f t="shared" si="143"/>
        <v>0</v>
      </c>
      <c r="K1555" s="80"/>
      <c r="L1555" s="630">
        <v>3001</v>
      </c>
      <c r="M1555" s="80" t="str">
        <f>+IFERROR(VLOOKUP(L1555,DATA!$G$4:$H$2000,2,FALSE),"")</f>
        <v>ХУРД ГРУПП ХХК</v>
      </c>
      <c r="N1555" s="630"/>
      <c r="O1555" s="80" t="str">
        <f>IFERROR(VLOOKUP(N1555,DATA!$K$4:$L$51,2,FALSE),"")</f>
        <v/>
      </c>
      <c r="P1555" s="80">
        <f t="shared" si="141"/>
        <v>0</v>
      </c>
      <c r="Q1555" s="154">
        <f t="shared" si="136"/>
        <v>0</v>
      </c>
    </row>
    <row r="1556" spans="2:17">
      <c r="B1556" s="627">
        <f t="shared" si="146"/>
        <v>1551</v>
      </c>
      <c r="C1556" s="429">
        <v>43439</v>
      </c>
      <c r="D1556" s="816" t="s">
        <v>1331</v>
      </c>
      <c r="E1556" s="807">
        <v>110100</v>
      </c>
      <c r="F1556" s="629" t="str">
        <f>IFERROR(VLOOKUP(E1556,STAT1!$C$4:$D$1000,2,FALSE),"")</f>
        <v>Хаан Банк 5024654020</v>
      </c>
      <c r="G1556" s="811"/>
      <c r="H1556" s="811">
        <v>30240</v>
      </c>
      <c r="I1556" s="580">
        <f t="shared" si="142"/>
        <v>-30240</v>
      </c>
      <c r="J1556" s="961">
        <f t="shared" si="143"/>
        <v>0</v>
      </c>
      <c r="K1556" s="80"/>
      <c r="L1556" s="807">
        <v>1005</v>
      </c>
      <c r="M1556" s="80" t="str">
        <f>+IFERROR(VLOOKUP(L1556,DATA!$G$4:$H$2000,2,FALSE),"")</f>
        <v>Золжаргал</v>
      </c>
      <c r="N1556" s="807">
        <v>59</v>
      </c>
      <c r="O1556" s="80" t="str">
        <f>IFERROR(VLOOKUP(N1556,DATA!$K$4:$L$51,2,FALSE),"")</f>
        <v>Бусад мөнгөн зарлага</v>
      </c>
      <c r="P1556" s="80">
        <f t="shared" si="141"/>
        <v>1</v>
      </c>
      <c r="Q1556" s="154">
        <f t="shared" si="136"/>
        <v>1</v>
      </c>
    </row>
    <row r="1557" spans="2:17">
      <c r="B1557" s="627">
        <f t="shared" si="146"/>
        <v>1552</v>
      </c>
      <c r="C1557" s="429">
        <v>43439</v>
      </c>
      <c r="D1557" s="816" t="s">
        <v>1331</v>
      </c>
      <c r="E1557" s="807">
        <v>120600</v>
      </c>
      <c r="F1557" s="629" t="str">
        <f>IFERROR(VLOOKUP(E1557,STAT1!$C$4:$D$1000,2,FALSE),"")</f>
        <v>НӨАТ авлага</v>
      </c>
      <c r="G1557" s="811">
        <v>2749.09</v>
      </c>
      <c r="H1557" s="811"/>
      <c r="I1557" s="580">
        <f t="shared" si="142"/>
        <v>0</v>
      </c>
      <c r="J1557" s="961">
        <f t="shared" si="143"/>
        <v>0</v>
      </c>
      <c r="K1557" s="80"/>
      <c r="L1557" s="807">
        <v>1005</v>
      </c>
      <c r="M1557" s="80" t="str">
        <f>+IFERROR(VLOOKUP(L1557,DATA!$G$4:$H$2000,2,FALSE),"")</f>
        <v>Золжаргал</v>
      </c>
      <c r="N1557" s="807"/>
      <c r="O1557" s="80" t="str">
        <f>IFERROR(VLOOKUP(N1557,DATA!$K$4:$L$51,2,FALSE),"")</f>
        <v/>
      </c>
      <c r="P1557" s="80">
        <f t="shared" si="141"/>
        <v>0</v>
      </c>
      <c r="Q1557" s="154">
        <f t="shared" si="136"/>
        <v>0</v>
      </c>
    </row>
    <row r="1558" spans="2:17">
      <c r="B1558" s="627">
        <f t="shared" si="146"/>
        <v>1553</v>
      </c>
      <c r="C1558" s="429">
        <v>43439</v>
      </c>
      <c r="D1558" s="816" t="s">
        <v>1331</v>
      </c>
      <c r="E1558" s="630">
        <v>701900</v>
      </c>
      <c r="F1558" s="629" t="str">
        <f>IFERROR(VLOOKUP(E1558,STAT1!$C$4:$D$1000,2,FALSE),"")</f>
        <v>Харилцаа холбоо</v>
      </c>
      <c r="G1558" s="376">
        <v>27490.91</v>
      </c>
      <c r="H1558" s="376"/>
      <c r="I1558" s="580">
        <f t="shared" si="142"/>
        <v>0</v>
      </c>
      <c r="J1558" s="961">
        <f t="shared" si="143"/>
        <v>0</v>
      </c>
      <c r="K1558" s="80"/>
      <c r="L1558" s="807">
        <v>1005</v>
      </c>
      <c r="M1558" s="80" t="str">
        <f>+IFERROR(VLOOKUP(L1558,DATA!$G$4:$H$2000,2,FALSE),"")</f>
        <v>Золжаргал</v>
      </c>
      <c r="N1558" s="630"/>
      <c r="O1558" s="80" t="str">
        <f>IFERROR(VLOOKUP(N1558,DATA!$K$4:$L$51,2,FALSE),"")</f>
        <v/>
      </c>
      <c r="P1558" s="80">
        <f t="shared" si="141"/>
        <v>0</v>
      </c>
      <c r="Q1558" s="154">
        <f t="shared" si="136"/>
        <v>0</v>
      </c>
    </row>
    <row r="1559" spans="2:17">
      <c r="B1559" s="627">
        <f t="shared" si="146"/>
        <v>1554</v>
      </c>
      <c r="C1559" s="429">
        <v>43441</v>
      </c>
      <c r="D1559" s="815" t="s">
        <v>2836</v>
      </c>
      <c r="E1559" s="630">
        <v>110100</v>
      </c>
      <c r="F1559" s="629" t="str">
        <f>IFERROR(VLOOKUP(E1559,STAT1!$C$4:$D$1000,2,FALSE),"")</f>
        <v>Хаан Банк 5024654020</v>
      </c>
      <c r="G1559" s="376">
        <v>815579</v>
      </c>
      <c r="H1559" s="376"/>
      <c r="I1559" s="580">
        <f t="shared" si="142"/>
        <v>815579</v>
      </c>
      <c r="J1559" s="961">
        <f t="shared" si="143"/>
        <v>0</v>
      </c>
      <c r="K1559" s="80"/>
      <c r="L1559" s="630">
        <v>1004</v>
      </c>
      <c r="M1559" s="80" t="str">
        <f>+IFERROR(VLOOKUP(L1559,DATA!$G$4:$H$2000,2,FALSE),"")</f>
        <v xml:space="preserve">Түмэндэлгэр </v>
      </c>
      <c r="N1559" s="630">
        <v>51</v>
      </c>
      <c r="O1559" s="80" t="str">
        <f>IFERROR(VLOOKUP(N1559,DATA!$K$4:$L$51,2,FALSE),"")</f>
        <v>Ажиллагчдад төлсөн</v>
      </c>
      <c r="P1559" s="80">
        <f t="shared" si="141"/>
        <v>1</v>
      </c>
      <c r="Q1559" s="154">
        <f t="shared" si="136"/>
        <v>1</v>
      </c>
    </row>
    <row r="1560" spans="2:17">
      <c r="B1560" s="627">
        <f t="shared" si="146"/>
        <v>1555</v>
      </c>
      <c r="C1560" s="429">
        <v>43441</v>
      </c>
      <c r="D1560" s="815" t="s">
        <v>2836</v>
      </c>
      <c r="E1560" s="630">
        <v>310100</v>
      </c>
      <c r="F1560" s="629" t="str">
        <f>IFERROR(VLOOKUP(E1560,STAT1!$C$4:$D$1000,2,FALSE),"")</f>
        <v>Дансны өглөг MNT</v>
      </c>
      <c r="G1560" s="376"/>
      <c r="H1560" s="376">
        <v>815579</v>
      </c>
      <c r="I1560" s="580">
        <f t="shared" si="142"/>
        <v>0</v>
      </c>
      <c r="J1560" s="961">
        <f t="shared" si="143"/>
        <v>0</v>
      </c>
      <c r="K1560" s="80"/>
      <c r="L1560" s="630">
        <v>1004</v>
      </c>
      <c r="M1560" s="80" t="str">
        <f>+IFERROR(VLOOKUP(L1560,DATA!$G$4:$H$2000,2,FALSE),"")</f>
        <v xml:space="preserve">Түмэндэлгэр </v>
      </c>
      <c r="N1560" s="630"/>
      <c r="O1560" s="80" t="str">
        <f>IFERROR(VLOOKUP(N1560,DATA!$K$4:$L$51,2,FALSE),"")</f>
        <v/>
      </c>
      <c r="P1560" s="80">
        <f t="shared" si="141"/>
        <v>0</v>
      </c>
      <c r="Q1560" s="154">
        <f t="shared" si="136"/>
        <v>0</v>
      </c>
    </row>
    <row r="1561" spans="2:17">
      <c r="B1561" s="627">
        <f t="shared" si="146"/>
        <v>1556</v>
      </c>
      <c r="C1561" s="582">
        <v>43444</v>
      </c>
      <c r="D1561" s="815" t="s">
        <v>2836</v>
      </c>
      <c r="E1561" s="630">
        <v>310100</v>
      </c>
      <c r="F1561" s="629" t="str">
        <f>IFERROR(VLOOKUP(E1561,STAT1!$C$4:$D$1000,2,FALSE),"")</f>
        <v>Дансны өглөг MNT</v>
      </c>
      <c r="G1561" s="376">
        <v>815579</v>
      </c>
      <c r="H1561" s="376"/>
      <c r="I1561" s="580">
        <f t="shared" si="142"/>
        <v>0</v>
      </c>
      <c r="J1561" s="961">
        <f t="shared" si="143"/>
        <v>0</v>
      </c>
      <c r="K1561" s="80"/>
      <c r="L1561" s="630">
        <v>1004</v>
      </c>
      <c r="M1561" s="80" t="str">
        <f>+IFERROR(VLOOKUP(L1561,DATA!$G$4:$H$2000,2,FALSE),"")</f>
        <v xml:space="preserve">Түмэндэлгэр </v>
      </c>
      <c r="N1561" s="630"/>
      <c r="O1561" s="80" t="str">
        <f>IFERROR(VLOOKUP(N1561,DATA!$K$4:$L$51,2,FALSE),"")</f>
        <v/>
      </c>
      <c r="P1561" s="80">
        <f t="shared" si="141"/>
        <v>0</v>
      </c>
      <c r="Q1561" s="154">
        <f t="shared" si="136"/>
        <v>0</v>
      </c>
    </row>
    <row r="1562" spans="2:17">
      <c r="B1562" s="627">
        <f t="shared" si="146"/>
        <v>1557</v>
      </c>
      <c r="C1562" s="582">
        <v>43444</v>
      </c>
      <c r="D1562" s="815" t="s">
        <v>2836</v>
      </c>
      <c r="E1562" s="630">
        <v>110100</v>
      </c>
      <c r="F1562" s="629" t="str">
        <f>IFERROR(VLOOKUP(E1562,STAT1!$C$4:$D$1000,2,FALSE),"")</f>
        <v>Хаан Банк 5024654020</v>
      </c>
      <c r="G1562" s="376"/>
      <c r="H1562" s="376">
        <v>815579</v>
      </c>
      <c r="I1562" s="580">
        <f t="shared" si="142"/>
        <v>-815579</v>
      </c>
      <c r="J1562" s="961">
        <f t="shared" si="143"/>
        <v>0</v>
      </c>
      <c r="K1562" s="80"/>
      <c r="L1562" s="630">
        <v>1004</v>
      </c>
      <c r="M1562" s="80" t="str">
        <f>+IFERROR(VLOOKUP(L1562,DATA!$G$4:$H$2000,2,FALSE),"")</f>
        <v xml:space="preserve">Түмэндэлгэр </v>
      </c>
      <c r="N1562" s="630">
        <v>51</v>
      </c>
      <c r="O1562" s="80" t="str">
        <f>IFERROR(VLOOKUP(N1562,DATA!$K$4:$L$51,2,FALSE),"")</f>
        <v>Ажиллагчдад төлсөн</v>
      </c>
      <c r="P1562" s="80">
        <f t="shared" si="141"/>
        <v>1</v>
      </c>
      <c r="Q1562" s="154">
        <f t="shared" si="136"/>
        <v>1</v>
      </c>
    </row>
    <row r="1563" spans="2:17">
      <c r="B1563" s="627">
        <f t="shared" si="146"/>
        <v>1558</v>
      </c>
      <c r="C1563" s="582">
        <v>43446</v>
      </c>
      <c r="D1563" s="815" t="s">
        <v>1571</v>
      </c>
      <c r="E1563" s="630">
        <v>110100</v>
      </c>
      <c r="F1563" s="629" t="str">
        <f>IFERROR(VLOOKUP(E1563,STAT1!$C$4:$D$1000,2,FALSE),"")</f>
        <v>Хаан Банк 5024654020</v>
      </c>
      <c r="G1563" s="376">
        <v>620010</v>
      </c>
      <c r="H1563" s="376"/>
      <c r="I1563" s="580">
        <f t="shared" si="142"/>
        <v>620010</v>
      </c>
      <c r="J1563" s="961">
        <f t="shared" si="143"/>
        <v>0</v>
      </c>
      <c r="K1563" s="80"/>
      <c r="L1563" s="630">
        <v>3003</v>
      </c>
      <c r="M1563" s="80" t="str">
        <f>+IFERROR(VLOOKUP(L1563,DATA!$G$4:$H$2000,2,FALSE),"")</f>
        <v xml:space="preserve">МУХИА ХХК </v>
      </c>
      <c r="N1563" s="630">
        <v>41</v>
      </c>
      <c r="O1563" s="80" t="str">
        <f>IFERROR(VLOOKUP(N1563,DATA!$K$4:$L$51,2,FALSE),"")</f>
        <v>Бараа борлуулсан, үйлчилгээ үзүүлсэний орлого</v>
      </c>
      <c r="P1563" s="80">
        <f t="shared" si="141"/>
        <v>1</v>
      </c>
      <c r="Q1563" s="154">
        <f t="shared" si="136"/>
        <v>1</v>
      </c>
    </row>
    <row r="1564" spans="2:17">
      <c r="B1564" s="627">
        <f t="shared" si="146"/>
        <v>1559</v>
      </c>
      <c r="C1564" s="582">
        <v>43446</v>
      </c>
      <c r="D1564" s="815" t="s">
        <v>1571</v>
      </c>
      <c r="E1564" s="630">
        <v>320100</v>
      </c>
      <c r="F1564" s="629" t="str">
        <f>IFERROR(VLOOKUP(E1564,STAT1!$C$4:$D$1000,2,FALSE),"")</f>
        <v>Урьдчилж орсон орлого MNT</v>
      </c>
      <c r="G1564" s="376"/>
      <c r="H1564" s="376">
        <v>620010</v>
      </c>
      <c r="I1564" s="580">
        <f t="shared" si="142"/>
        <v>0</v>
      </c>
      <c r="J1564" s="961">
        <f t="shared" si="143"/>
        <v>0</v>
      </c>
      <c r="K1564" s="80"/>
      <c r="L1564" s="630">
        <v>3003</v>
      </c>
      <c r="M1564" s="80" t="str">
        <f>+IFERROR(VLOOKUP(L1564,DATA!$G$4:$H$2000,2,FALSE),"")</f>
        <v xml:space="preserve">МУХИА ХХК </v>
      </c>
      <c r="N1564" s="630"/>
      <c r="O1564" s="80" t="str">
        <f>IFERROR(VLOOKUP(N1564,DATA!$K$4:$L$51,2,FALSE),"")</f>
        <v/>
      </c>
      <c r="P1564" s="80">
        <f t="shared" si="141"/>
        <v>0</v>
      </c>
      <c r="Q1564" s="154">
        <f t="shared" si="136"/>
        <v>0</v>
      </c>
    </row>
    <row r="1565" spans="2:17">
      <c r="B1565" s="627">
        <f t="shared" si="146"/>
        <v>1560</v>
      </c>
      <c r="C1565" s="582">
        <v>43446</v>
      </c>
      <c r="D1565" s="815" t="s">
        <v>2649</v>
      </c>
      <c r="E1565" s="630">
        <v>110100</v>
      </c>
      <c r="F1565" s="629" t="str">
        <f>IFERROR(VLOOKUP(E1565,STAT1!$C$4:$D$1000,2,FALSE),"")</f>
        <v>Хаан Банк 5024654020</v>
      </c>
      <c r="G1565" s="376"/>
      <c r="H1565" s="376">
        <v>650000</v>
      </c>
      <c r="I1565" s="580">
        <f t="shared" si="142"/>
        <v>-650000</v>
      </c>
      <c r="J1565" s="961">
        <f t="shared" si="143"/>
        <v>0</v>
      </c>
      <c r="K1565" s="80"/>
      <c r="L1565" s="630">
        <v>1003</v>
      </c>
      <c r="M1565" s="80" t="str">
        <f>+IFERROR(VLOOKUP(L1565,DATA!$G$4:$H$2000,2,FALSE),"")</f>
        <v>Бахдамдэмбэрэл</v>
      </c>
      <c r="N1565" s="630"/>
      <c r="O1565" s="80" t="str">
        <f>IFERROR(VLOOKUP(N1565,DATA!$K$4:$L$51,2,FALSE),"")</f>
        <v/>
      </c>
      <c r="P1565" s="80">
        <f t="shared" si="141"/>
        <v>1</v>
      </c>
      <c r="Q1565" s="154">
        <f t="shared" si="136"/>
        <v>1</v>
      </c>
    </row>
    <row r="1566" spans="2:17">
      <c r="B1566" s="627">
        <f t="shared" si="146"/>
        <v>1561</v>
      </c>
      <c r="C1566" s="582">
        <v>43446</v>
      </c>
      <c r="D1566" s="815" t="s">
        <v>2649</v>
      </c>
      <c r="E1566" s="630">
        <v>100100</v>
      </c>
      <c r="F1566" s="629" t="str">
        <f>IFERROR(VLOOKUP(E1566,STAT1!$C$4:$D$1000,2,FALSE),"")</f>
        <v>Касс мөнгө MNT</v>
      </c>
      <c r="G1566" s="376">
        <v>650000</v>
      </c>
      <c r="H1566" s="376"/>
      <c r="I1566" s="580">
        <f t="shared" si="142"/>
        <v>650000</v>
      </c>
      <c r="J1566" s="961">
        <f t="shared" si="143"/>
        <v>0</v>
      </c>
      <c r="K1566" s="80"/>
      <c r="L1566" s="630">
        <v>1003</v>
      </c>
      <c r="M1566" s="80" t="str">
        <f>+IFERROR(VLOOKUP(L1566,DATA!$G$4:$H$2000,2,FALSE),"")</f>
        <v>Бахдамдэмбэрэл</v>
      </c>
      <c r="N1566" s="630"/>
      <c r="O1566" s="80" t="str">
        <f>IFERROR(VLOOKUP(N1566,DATA!$K$4:$L$51,2,FALSE),"")</f>
        <v/>
      </c>
      <c r="P1566" s="80">
        <f t="shared" si="141"/>
        <v>1</v>
      </c>
      <c r="Q1566" s="154">
        <f t="shared" si="136"/>
        <v>1</v>
      </c>
    </row>
    <row r="1567" spans="2:17">
      <c r="B1567" s="627">
        <f t="shared" si="146"/>
        <v>1562</v>
      </c>
      <c r="C1567" s="582">
        <v>43451</v>
      </c>
      <c r="D1567" s="815" t="s">
        <v>1571</v>
      </c>
      <c r="E1567" s="630">
        <v>110100</v>
      </c>
      <c r="F1567" s="629" t="str">
        <f>IFERROR(VLOOKUP(E1567,STAT1!$C$4:$D$1000,2,FALSE),"")</f>
        <v>Хаан Банк 5024654020</v>
      </c>
      <c r="G1567" s="376">
        <v>50000000</v>
      </c>
      <c r="H1567" s="376"/>
      <c r="I1567" s="580">
        <f t="shared" si="142"/>
        <v>50000000</v>
      </c>
      <c r="J1567" s="961">
        <f t="shared" si="143"/>
        <v>0</v>
      </c>
      <c r="K1567" s="80"/>
      <c r="L1567" s="630">
        <v>3001</v>
      </c>
      <c r="M1567" s="80" t="str">
        <f>+IFERROR(VLOOKUP(L1567,DATA!$G$4:$H$2000,2,FALSE),"")</f>
        <v>ХУРД ГРУПП ХХК</v>
      </c>
      <c r="N1567" s="630">
        <v>41</v>
      </c>
      <c r="O1567" s="80" t="str">
        <f>IFERROR(VLOOKUP(N1567,DATA!$K$4:$L$51,2,FALSE),"")</f>
        <v>Бараа борлуулсан, үйлчилгээ үзүүлсэний орлого</v>
      </c>
      <c r="P1567" s="80">
        <f t="shared" si="141"/>
        <v>1</v>
      </c>
      <c r="Q1567" s="154">
        <f t="shared" ref="Q1567:Q1629" si="147">+IF(I1567,1,0)</f>
        <v>1</v>
      </c>
    </row>
    <row r="1568" spans="2:17">
      <c r="B1568" s="627">
        <f t="shared" si="146"/>
        <v>1563</v>
      </c>
      <c r="C1568" s="582">
        <v>43451</v>
      </c>
      <c r="D1568" s="815" t="s">
        <v>1571</v>
      </c>
      <c r="E1568" s="630">
        <v>320100</v>
      </c>
      <c r="F1568" s="629" t="str">
        <f>IFERROR(VLOOKUP(E1568,STAT1!$C$4:$D$1000,2,FALSE),"")</f>
        <v>Урьдчилж орсон орлого MNT</v>
      </c>
      <c r="G1568" s="376"/>
      <c r="H1568" s="376">
        <v>50000000</v>
      </c>
      <c r="I1568" s="580">
        <f t="shared" si="142"/>
        <v>0</v>
      </c>
      <c r="J1568" s="961">
        <f t="shared" si="143"/>
        <v>0</v>
      </c>
      <c r="K1568" s="80"/>
      <c r="L1568" s="630">
        <v>3001</v>
      </c>
      <c r="M1568" s="80" t="str">
        <f>+IFERROR(VLOOKUP(L1568,DATA!$G$4:$H$2000,2,FALSE),"")</f>
        <v>ХУРД ГРУПП ХХК</v>
      </c>
      <c r="N1568" s="630"/>
      <c r="O1568" s="80" t="str">
        <f>IFERROR(VLOOKUP(N1568,DATA!$K$4:$L$51,2,FALSE),"")</f>
        <v/>
      </c>
      <c r="P1568" s="80">
        <f t="shared" si="141"/>
        <v>0</v>
      </c>
      <c r="Q1568" s="154">
        <f t="shared" si="147"/>
        <v>0</v>
      </c>
    </row>
    <row r="1569" spans="2:17">
      <c r="B1569" s="627">
        <f t="shared" si="146"/>
        <v>1564</v>
      </c>
      <c r="C1569" s="582">
        <v>43451</v>
      </c>
      <c r="D1569" s="816" t="s">
        <v>2649</v>
      </c>
      <c r="E1569" s="807">
        <v>110100</v>
      </c>
      <c r="F1569" s="629" t="str">
        <f>IFERROR(VLOOKUP(E1569,STAT1!$C$4:$D$1000,2,FALSE),"")</f>
        <v>Хаан Банк 5024654020</v>
      </c>
      <c r="G1569" s="811"/>
      <c r="H1569" s="376">
        <v>50000000</v>
      </c>
      <c r="I1569" s="580">
        <f t="shared" si="142"/>
        <v>-50000000</v>
      </c>
      <c r="J1569" s="961">
        <f t="shared" si="143"/>
        <v>0</v>
      </c>
      <c r="K1569" s="80"/>
      <c r="L1569" s="630">
        <v>1003</v>
      </c>
      <c r="M1569" s="80" t="str">
        <f>+IFERROR(VLOOKUP(L1569,DATA!$G$4:$H$2000,2,FALSE),"")</f>
        <v>Бахдамдэмбэрэл</v>
      </c>
      <c r="N1569" s="807"/>
      <c r="O1569" s="80" t="str">
        <f>IFERROR(VLOOKUP(N1569,DATA!$K$4:$L$51,2,FALSE),"")</f>
        <v/>
      </c>
      <c r="P1569" s="80">
        <f t="shared" si="141"/>
        <v>1</v>
      </c>
      <c r="Q1569" s="154">
        <f t="shared" si="147"/>
        <v>1</v>
      </c>
    </row>
    <row r="1570" spans="2:17">
      <c r="B1570" s="627">
        <f t="shared" si="146"/>
        <v>1565</v>
      </c>
      <c r="C1570" s="582">
        <v>43451</v>
      </c>
      <c r="D1570" s="816" t="s">
        <v>2649</v>
      </c>
      <c r="E1570" s="807">
        <v>100100</v>
      </c>
      <c r="F1570" s="629" t="str">
        <f>IFERROR(VLOOKUP(E1570,STAT1!$C$4:$D$1000,2,FALSE),"")</f>
        <v>Касс мөнгө MNT</v>
      </c>
      <c r="G1570" s="376">
        <v>50000000</v>
      </c>
      <c r="H1570" s="811"/>
      <c r="I1570" s="580">
        <f t="shared" si="142"/>
        <v>50000000</v>
      </c>
      <c r="J1570" s="961">
        <f t="shared" si="143"/>
        <v>0</v>
      </c>
      <c r="K1570" s="80"/>
      <c r="L1570" s="630">
        <v>1003</v>
      </c>
      <c r="M1570" s="80" t="str">
        <f>+IFERROR(VLOOKUP(L1570,DATA!$G$4:$H$2000,2,FALSE),"")</f>
        <v>Бахдамдэмбэрэл</v>
      </c>
      <c r="N1570" s="807"/>
      <c r="O1570" s="80" t="str">
        <f>IFERROR(VLOOKUP(N1570,DATA!$K$4:$L$51,2,FALSE),"")</f>
        <v/>
      </c>
      <c r="P1570" s="80">
        <f t="shared" si="141"/>
        <v>1</v>
      </c>
      <c r="Q1570" s="154">
        <f t="shared" si="147"/>
        <v>1</v>
      </c>
    </row>
    <row r="1571" spans="2:17">
      <c r="B1571" s="627">
        <f t="shared" si="146"/>
        <v>1566</v>
      </c>
      <c r="C1571" s="582">
        <v>43451</v>
      </c>
      <c r="D1571" s="816" t="s">
        <v>2514</v>
      </c>
      <c r="E1571" s="807">
        <v>110100</v>
      </c>
      <c r="F1571" s="629" t="str">
        <f>IFERROR(VLOOKUP(E1571,STAT1!$C$4:$D$1000,2,FALSE),"")</f>
        <v>Хаан Банк 5024654020</v>
      </c>
      <c r="G1571" s="811"/>
      <c r="H1571" s="811">
        <v>700</v>
      </c>
      <c r="I1571" s="580">
        <f t="shared" si="142"/>
        <v>-700</v>
      </c>
      <c r="J1571" s="961">
        <f t="shared" si="143"/>
        <v>0</v>
      </c>
      <c r="K1571" s="80"/>
      <c r="L1571" s="807">
        <v>2009</v>
      </c>
      <c r="M1571" s="80" t="str">
        <f>+IFERROR(VLOOKUP(L1571,DATA!$G$4:$H$2000,2,FALSE),"")</f>
        <v>ХААН БАНК</v>
      </c>
      <c r="N1571" s="807">
        <v>59</v>
      </c>
      <c r="O1571" s="80" t="str">
        <f>IFERROR(VLOOKUP(N1571,DATA!$K$4:$L$51,2,FALSE),"")</f>
        <v>Бусад мөнгөн зарлага</v>
      </c>
      <c r="P1571" s="80">
        <f t="shared" si="141"/>
        <v>1</v>
      </c>
      <c r="Q1571" s="154">
        <f t="shared" si="147"/>
        <v>1</v>
      </c>
    </row>
    <row r="1572" spans="2:17">
      <c r="B1572" s="627">
        <f t="shared" si="146"/>
        <v>1567</v>
      </c>
      <c r="C1572" s="582">
        <v>43451</v>
      </c>
      <c r="D1572" s="816" t="s">
        <v>2514</v>
      </c>
      <c r="E1572" s="807">
        <v>704900</v>
      </c>
      <c r="F1572" s="629" t="str">
        <f>IFERROR(VLOOKUP(E1572,STAT1!$C$4:$D$1000,2,FALSE),"")</f>
        <v>Банкны үйлчилгээ</v>
      </c>
      <c r="G1572" s="811">
        <v>700</v>
      </c>
      <c r="H1572" s="811"/>
      <c r="I1572" s="580">
        <f t="shared" si="142"/>
        <v>0</v>
      </c>
      <c r="J1572" s="961">
        <f t="shared" si="143"/>
        <v>0</v>
      </c>
      <c r="K1572" s="80"/>
      <c r="L1572" s="807">
        <v>2009</v>
      </c>
      <c r="M1572" s="80" t="str">
        <f>+IFERROR(VLOOKUP(L1572,DATA!$G$4:$H$2000,2,FALSE),"")</f>
        <v>ХААН БАНК</v>
      </c>
      <c r="N1572" s="807"/>
      <c r="O1572" s="80" t="str">
        <f>IFERROR(VLOOKUP(N1572,DATA!$K$4:$L$51,2,FALSE),"")</f>
        <v/>
      </c>
      <c r="P1572" s="80">
        <f t="shared" si="141"/>
        <v>0</v>
      </c>
      <c r="Q1572" s="154">
        <f t="shared" si="147"/>
        <v>0</v>
      </c>
    </row>
    <row r="1573" spans="2:17">
      <c r="B1573" s="627">
        <f t="shared" si="146"/>
        <v>1568</v>
      </c>
      <c r="C1573" s="582">
        <v>43451</v>
      </c>
      <c r="D1573" s="815" t="s">
        <v>2810</v>
      </c>
      <c r="E1573" s="630">
        <v>320100</v>
      </c>
      <c r="F1573" s="629" t="str">
        <f>IFERROR(VLOOKUP(E1573,STAT1!$C$4:$D$1000,2,FALSE),"")</f>
        <v>Урьдчилж орсон орлого MNT</v>
      </c>
      <c r="G1573" s="376">
        <v>50000000</v>
      </c>
      <c r="H1573" s="376"/>
      <c r="I1573" s="580">
        <f t="shared" ref="I1573:I1575" si="148">+IF(OR(E1573=100100,E1573=100200,E1573=110100,E1573=110102,E1573=110103,E1573=110104,E1573=110105,E1573=110200,E1573=110201,E1573=110202,E1573=110203,E1573=110204,E1573=110300),G1573,0)+IF(OR(E1573=100100,E1573=100200,E1573=110100,E1573=110102,E1573=110103,E1573=110104,E1573=110105,E1573=110200,E1573=110201,E1573=110202,E1573=110203,E1573=110204,E1573=110300),H1573*-1,0)</f>
        <v>0</v>
      </c>
      <c r="J1573" s="961">
        <f t="shared" ref="J1573:J1575" si="149">+IF(E1573=110200,I1573/K1573,0)</f>
        <v>0</v>
      </c>
      <c r="K1573" s="80"/>
      <c r="L1573" s="630">
        <v>3001</v>
      </c>
      <c r="M1573" s="80" t="str">
        <f>+IFERROR(VLOOKUP(L1573,DATA!$G$4:$H$2000,2,FALSE),"")</f>
        <v>ХУРД ГРУПП ХХК</v>
      </c>
      <c r="N1573" s="630"/>
      <c r="O1573" s="80" t="str">
        <f>IFERROR(VLOOKUP(N1573,DATA!$K$4:$L$51,2,FALSE),"")</f>
        <v/>
      </c>
      <c r="P1573" s="80">
        <f t="shared" si="141"/>
        <v>0</v>
      </c>
      <c r="Q1573" s="154">
        <f t="shared" si="147"/>
        <v>0</v>
      </c>
    </row>
    <row r="1574" spans="2:17">
      <c r="B1574" s="627">
        <f t="shared" si="146"/>
        <v>1569</v>
      </c>
      <c r="C1574" s="582">
        <v>43451</v>
      </c>
      <c r="D1574" s="815" t="s">
        <v>2810</v>
      </c>
      <c r="E1574" s="630">
        <v>310500</v>
      </c>
      <c r="F1574" s="629" t="str">
        <f>IFERROR(VLOOKUP(E1574,STAT1!$C$4:$D$1000,2,FALSE),"")</f>
        <v>НӨАТ өглөг</v>
      </c>
      <c r="G1574" s="376"/>
      <c r="H1574" s="376">
        <v>4545454.55</v>
      </c>
      <c r="I1574" s="580">
        <f t="shared" si="148"/>
        <v>0</v>
      </c>
      <c r="J1574" s="961">
        <f t="shared" si="149"/>
        <v>0</v>
      </c>
      <c r="K1574" s="80"/>
      <c r="L1574" s="630">
        <v>3001</v>
      </c>
      <c r="M1574" s="80" t="str">
        <f>+IFERROR(VLOOKUP(L1574,DATA!$G$4:$H$2000,2,FALSE),"")</f>
        <v>ХУРД ГРУПП ХХК</v>
      </c>
      <c r="N1574" s="630"/>
      <c r="O1574" s="80" t="str">
        <f>IFERROR(VLOOKUP(N1574,DATA!$K$4:$L$51,2,FALSE),"")</f>
        <v/>
      </c>
      <c r="P1574" s="80">
        <f t="shared" si="141"/>
        <v>0</v>
      </c>
      <c r="Q1574" s="154">
        <f t="shared" si="147"/>
        <v>0</v>
      </c>
    </row>
    <row r="1575" spans="2:17">
      <c r="B1575" s="627">
        <f t="shared" si="146"/>
        <v>1570</v>
      </c>
      <c r="C1575" s="582">
        <v>43451</v>
      </c>
      <c r="D1575" s="815" t="s">
        <v>2810</v>
      </c>
      <c r="E1575" s="630">
        <v>510400</v>
      </c>
      <c r="F1575" s="629" t="str">
        <f>IFERROR(VLOOKUP(E1575,STAT1!$C$4:$D$1000,2,FALSE),"")</f>
        <v>Бусад борлуулалт</v>
      </c>
      <c r="G1575" s="376"/>
      <c r="H1575" s="376">
        <v>45454545.450000003</v>
      </c>
      <c r="I1575" s="580">
        <f t="shared" si="148"/>
        <v>0</v>
      </c>
      <c r="J1575" s="961">
        <f t="shared" si="149"/>
        <v>0</v>
      </c>
      <c r="K1575" s="80"/>
      <c r="L1575" s="630">
        <v>3001</v>
      </c>
      <c r="M1575" s="80" t="str">
        <f>+IFERROR(VLOOKUP(L1575,DATA!$G$4:$H$2000,2,FALSE),"")</f>
        <v>ХУРД ГРУПП ХХК</v>
      </c>
      <c r="N1575" s="630"/>
      <c r="O1575" s="80" t="str">
        <f>IFERROR(VLOOKUP(N1575,DATA!$K$4:$L$51,2,FALSE),"")</f>
        <v/>
      </c>
      <c r="P1575" s="80">
        <f t="shared" si="141"/>
        <v>0</v>
      </c>
      <c r="Q1575" s="154">
        <f t="shared" si="147"/>
        <v>0</v>
      </c>
    </row>
    <row r="1576" spans="2:17">
      <c r="B1576" s="627">
        <f t="shared" si="146"/>
        <v>1571</v>
      </c>
      <c r="C1576" s="582">
        <v>43441</v>
      </c>
      <c r="D1576" s="815" t="s">
        <v>2838</v>
      </c>
      <c r="E1576" s="630">
        <v>160100</v>
      </c>
      <c r="F1576" s="629" t="str">
        <f>IFERROR(VLOOKUP(E1576,STAT1!$C$4:$D$1000,2,FALSE),"")</f>
        <v xml:space="preserve">Барилгын материал </v>
      </c>
      <c r="G1576" s="376">
        <v>2796000</v>
      </c>
      <c r="H1576" s="376"/>
      <c r="I1576" s="580">
        <f t="shared" si="142"/>
        <v>0</v>
      </c>
      <c r="J1576" s="961">
        <f t="shared" si="143"/>
        <v>0</v>
      </c>
      <c r="K1576" s="80"/>
      <c r="L1576" s="630">
        <v>1005</v>
      </c>
      <c r="M1576" s="80" t="str">
        <f>+IFERROR(VLOOKUP(L1576,DATA!$G$4:$H$2000,2,FALSE),"")</f>
        <v>Золжаргал</v>
      </c>
      <c r="N1576" s="630"/>
      <c r="O1576" s="80" t="str">
        <f>IFERROR(VLOOKUP(N1576,DATA!$K$4:$L$51,2,FALSE),"")</f>
        <v/>
      </c>
      <c r="P1576" s="80">
        <f t="shared" si="141"/>
        <v>0</v>
      </c>
      <c r="Q1576" s="154">
        <f t="shared" si="147"/>
        <v>0</v>
      </c>
    </row>
    <row r="1577" spans="2:17">
      <c r="B1577" s="627">
        <f t="shared" si="146"/>
        <v>1572</v>
      </c>
      <c r="C1577" s="582">
        <v>43441</v>
      </c>
      <c r="D1577" s="815" t="s">
        <v>2838</v>
      </c>
      <c r="E1577" s="630">
        <v>120600</v>
      </c>
      <c r="F1577" s="629" t="str">
        <f>IFERROR(VLOOKUP(E1577,STAT1!$C$4:$D$1000,2,FALSE),"")</f>
        <v>НӨАТ авлага</v>
      </c>
      <c r="G1577" s="376">
        <v>279600</v>
      </c>
      <c r="H1577" s="376"/>
      <c r="I1577" s="580">
        <f t="shared" si="142"/>
        <v>0</v>
      </c>
      <c r="J1577" s="961">
        <f t="shared" si="143"/>
        <v>0</v>
      </c>
      <c r="K1577" s="80"/>
      <c r="L1577" s="630">
        <v>1005</v>
      </c>
      <c r="M1577" s="80" t="str">
        <f>+IFERROR(VLOOKUP(L1577,DATA!$G$4:$H$2000,2,FALSE),"")</f>
        <v>Золжаргал</v>
      </c>
      <c r="N1577" s="630"/>
      <c r="O1577" s="80" t="str">
        <f>IFERROR(VLOOKUP(N1577,DATA!$K$4:$L$51,2,FALSE),"")</f>
        <v/>
      </c>
      <c r="P1577" s="80">
        <f t="shared" si="141"/>
        <v>0</v>
      </c>
      <c r="Q1577" s="154">
        <f t="shared" si="147"/>
        <v>0</v>
      </c>
    </row>
    <row r="1578" spans="2:17">
      <c r="B1578" s="627">
        <f t="shared" si="146"/>
        <v>1573</v>
      </c>
      <c r="C1578" s="582">
        <v>43441</v>
      </c>
      <c r="D1578" s="815" t="s">
        <v>2838</v>
      </c>
      <c r="E1578" s="807">
        <v>121200</v>
      </c>
      <c r="F1578" s="629" t="str">
        <f>IFERROR(VLOOKUP(E1578,STAT1!$C$4:$D$1000,2,FALSE),"")</f>
        <v xml:space="preserve">Ажилчидын дараа тайлангийн тооцоо </v>
      </c>
      <c r="G1578" s="811"/>
      <c r="H1578" s="811">
        <v>3075600</v>
      </c>
      <c r="I1578" s="580">
        <f t="shared" si="142"/>
        <v>0</v>
      </c>
      <c r="J1578" s="961">
        <f t="shared" si="143"/>
        <v>0</v>
      </c>
      <c r="K1578" s="80"/>
      <c r="L1578" s="807">
        <v>1005</v>
      </c>
      <c r="M1578" s="80" t="str">
        <f>+IFERROR(VLOOKUP(L1578,DATA!$G$4:$H$2000,2,FALSE),"")</f>
        <v>Золжаргал</v>
      </c>
      <c r="N1578" s="807"/>
      <c r="O1578" s="80" t="str">
        <f>IFERROR(VLOOKUP(N1578,DATA!$K$4:$L$51,2,FALSE),"")</f>
        <v/>
      </c>
      <c r="P1578" s="80">
        <f t="shared" si="141"/>
        <v>0</v>
      </c>
      <c r="Q1578" s="154">
        <f t="shared" si="147"/>
        <v>0</v>
      </c>
    </row>
    <row r="1579" spans="2:17">
      <c r="B1579" s="627">
        <f t="shared" si="146"/>
        <v>1574</v>
      </c>
      <c r="C1579" s="429">
        <v>43446</v>
      </c>
      <c r="D1579" s="816" t="s">
        <v>1570</v>
      </c>
      <c r="E1579" s="807">
        <v>100100</v>
      </c>
      <c r="F1579" s="629" t="str">
        <f>IFERROR(VLOOKUP(E1579,STAT1!$C$4:$D$1000,2,FALSE),"")</f>
        <v>Касс мөнгө MNT</v>
      </c>
      <c r="G1579" s="811"/>
      <c r="H1579" s="811">
        <v>20000</v>
      </c>
      <c r="I1579" s="580">
        <f t="shared" si="142"/>
        <v>-20000</v>
      </c>
      <c r="J1579" s="961">
        <f t="shared" si="143"/>
        <v>0</v>
      </c>
      <c r="K1579" s="80"/>
      <c r="L1579" s="807">
        <v>1005</v>
      </c>
      <c r="M1579" s="80" t="str">
        <f>+IFERROR(VLOOKUP(L1579,DATA!$G$4:$H$2000,2,FALSE),"")</f>
        <v>Золжаргал</v>
      </c>
      <c r="N1579" s="807">
        <v>55</v>
      </c>
      <c r="O1579" s="80" t="str">
        <f>IFERROR(VLOOKUP(N1579,DATA!$K$4:$L$51,2,FALSE),"")</f>
        <v>Түлш, шатахуун, тээврийн хөлс, сэлбэг хэрэгсэлд төлсөн</v>
      </c>
      <c r="P1579" s="80">
        <f t="shared" si="141"/>
        <v>1</v>
      </c>
      <c r="Q1579" s="154">
        <f t="shared" si="147"/>
        <v>1</v>
      </c>
    </row>
    <row r="1580" spans="2:17">
      <c r="B1580" s="627">
        <f t="shared" si="146"/>
        <v>1575</v>
      </c>
      <c r="C1580" s="429">
        <v>43446</v>
      </c>
      <c r="D1580" s="816" t="s">
        <v>1570</v>
      </c>
      <c r="E1580" s="807">
        <v>702000</v>
      </c>
      <c r="F1580" s="629" t="str">
        <f>IFERROR(VLOOKUP(E1580,STAT1!$C$4:$D$1000,2,FALSE),"")</f>
        <v>Түлш, шатахуун</v>
      </c>
      <c r="G1580" s="811">
        <v>20000</v>
      </c>
      <c r="H1580" s="811"/>
      <c r="I1580" s="580">
        <f t="shared" si="142"/>
        <v>0</v>
      </c>
      <c r="J1580" s="961">
        <f t="shared" si="143"/>
        <v>0</v>
      </c>
      <c r="K1580" s="80"/>
      <c r="L1580" s="807">
        <v>1005</v>
      </c>
      <c r="M1580" s="80" t="str">
        <f>+IFERROR(VLOOKUP(L1580,DATA!$G$4:$H$2000,2,FALSE),"")</f>
        <v>Золжаргал</v>
      </c>
      <c r="N1580" s="807"/>
      <c r="O1580" s="80" t="str">
        <f>IFERROR(VLOOKUP(N1580,DATA!$K$4:$L$51,2,FALSE),"")</f>
        <v/>
      </c>
      <c r="P1580" s="80">
        <f t="shared" si="141"/>
        <v>0</v>
      </c>
      <c r="Q1580" s="154">
        <f t="shared" si="147"/>
        <v>0</v>
      </c>
    </row>
    <row r="1581" spans="2:17">
      <c r="B1581" s="627">
        <f t="shared" si="146"/>
        <v>1576</v>
      </c>
      <c r="C1581" s="429">
        <v>43442</v>
      </c>
      <c r="D1581" s="816" t="s">
        <v>1570</v>
      </c>
      <c r="E1581" s="807">
        <v>100100</v>
      </c>
      <c r="F1581" s="629" t="str">
        <f>IFERROR(VLOOKUP(E1581,STAT1!$C$4:$D$1000,2,FALSE),"")</f>
        <v>Касс мөнгө MNT</v>
      </c>
      <c r="G1581" s="811"/>
      <c r="H1581" s="811">
        <v>30000</v>
      </c>
      <c r="I1581" s="580">
        <f t="shared" ref="I1581:I1582" si="150">+IF(OR(E1581=100100,E1581=100200,E1581=110100,E1581=110102,E1581=110103,E1581=110104,E1581=110105,E1581=110200,E1581=110201,E1581=110202,E1581=110203,E1581=110204,E1581=110300),G1581,0)+IF(OR(E1581=100100,E1581=100200,E1581=110100,E1581=110102,E1581=110103,E1581=110104,E1581=110105,E1581=110200,E1581=110201,E1581=110202,E1581=110203,E1581=110204,E1581=110300),H1581*-1,0)</f>
        <v>-30000</v>
      </c>
      <c r="J1581" s="961">
        <f t="shared" ref="J1581:J1582" si="151">+IF(E1581=110200,I1581/K1581,0)</f>
        <v>0</v>
      </c>
      <c r="K1581" s="80"/>
      <c r="L1581" s="807">
        <v>1008</v>
      </c>
      <c r="M1581" s="80" t="str">
        <f>+IFERROR(VLOOKUP(L1581,DATA!$G$4:$H$2000,2,FALSE),"")</f>
        <v xml:space="preserve">Оюунтүлхүүр </v>
      </c>
      <c r="N1581" s="807">
        <v>55</v>
      </c>
      <c r="O1581" s="80" t="str">
        <f>IFERROR(VLOOKUP(N1581,DATA!$K$4:$L$51,2,FALSE),"")</f>
        <v>Түлш, шатахуун, тээврийн хөлс, сэлбэг хэрэгсэлд төлсөн</v>
      </c>
      <c r="P1581" s="80">
        <f t="shared" ref="P1581:P1582" si="152">+IF(I1581,1,0)</f>
        <v>1</v>
      </c>
      <c r="Q1581" s="154">
        <f t="shared" si="147"/>
        <v>1</v>
      </c>
    </row>
    <row r="1582" spans="2:17">
      <c r="B1582" s="627">
        <f t="shared" si="146"/>
        <v>1577</v>
      </c>
      <c r="C1582" s="429">
        <v>43442</v>
      </c>
      <c r="D1582" s="816" t="s">
        <v>1570</v>
      </c>
      <c r="E1582" s="807">
        <v>702000</v>
      </c>
      <c r="F1582" s="629" t="str">
        <f>IFERROR(VLOOKUP(E1582,STAT1!$C$4:$D$1000,2,FALSE),"")</f>
        <v>Түлш, шатахуун</v>
      </c>
      <c r="G1582" s="811">
        <v>30000</v>
      </c>
      <c r="H1582" s="811"/>
      <c r="I1582" s="580">
        <f t="shared" si="150"/>
        <v>0</v>
      </c>
      <c r="J1582" s="961">
        <f t="shared" si="151"/>
        <v>0</v>
      </c>
      <c r="K1582" s="80"/>
      <c r="L1582" s="807">
        <v>1008</v>
      </c>
      <c r="M1582" s="80" t="str">
        <f>+IFERROR(VLOOKUP(L1582,DATA!$G$4:$H$2000,2,FALSE),"")</f>
        <v xml:space="preserve">Оюунтүлхүүр </v>
      </c>
      <c r="N1582" s="807"/>
      <c r="O1582" s="80" t="str">
        <f>IFERROR(VLOOKUP(N1582,DATA!$K$4:$L$51,2,FALSE),"")</f>
        <v/>
      </c>
      <c r="P1582" s="80">
        <f t="shared" si="152"/>
        <v>0</v>
      </c>
      <c r="Q1582" s="154">
        <f t="shared" si="147"/>
        <v>0</v>
      </c>
    </row>
    <row r="1583" spans="2:17">
      <c r="B1583" s="627">
        <f t="shared" si="146"/>
        <v>1578</v>
      </c>
      <c r="C1583" s="429">
        <v>43424</v>
      </c>
      <c r="D1583" s="816" t="s">
        <v>2534</v>
      </c>
      <c r="E1583" s="807">
        <v>100100</v>
      </c>
      <c r="F1583" s="629" t="str">
        <f>IFERROR(VLOOKUP(E1583,STAT1!$C$4:$D$1000,2,FALSE),"")</f>
        <v>Касс мөнгө MNT</v>
      </c>
      <c r="G1583" s="811"/>
      <c r="H1583" s="811">
        <v>1500000</v>
      </c>
      <c r="I1583" s="580">
        <f t="shared" si="142"/>
        <v>-1500000</v>
      </c>
      <c r="J1583" s="961">
        <f t="shared" si="143"/>
        <v>0</v>
      </c>
      <c r="K1583" s="80"/>
      <c r="L1583" s="807">
        <v>2012</v>
      </c>
      <c r="M1583" s="80" t="str">
        <f>+IFERROR(VLOOKUP(L1583,DATA!$G$4:$H$2000,2,FALSE),"")</f>
        <v>ИХ ТУГЧ ХХК</v>
      </c>
      <c r="N1583" s="807">
        <v>59</v>
      </c>
      <c r="O1583" s="80" t="str">
        <f>IFERROR(VLOOKUP(N1583,DATA!$K$4:$L$51,2,FALSE),"")</f>
        <v>Бусад мөнгөн зарлага</v>
      </c>
      <c r="P1583" s="80">
        <f t="shared" si="141"/>
        <v>1</v>
      </c>
      <c r="Q1583" s="154">
        <f t="shared" si="147"/>
        <v>1</v>
      </c>
    </row>
    <row r="1584" spans="2:17">
      <c r="B1584" s="627">
        <f t="shared" si="146"/>
        <v>1579</v>
      </c>
      <c r="C1584" s="429">
        <v>43424</v>
      </c>
      <c r="D1584" s="816" t="s">
        <v>2534</v>
      </c>
      <c r="E1584" s="807">
        <v>705800</v>
      </c>
      <c r="F1584" s="629" t="str">
        <f>IFERROR(VLOOKUP(E1584,STAT1!$C$4:$D$1000,2,FALSE),"")</f>
        <v>Харуул хамгаалалт</v>
      </c>
      <c r="G1584" s="811">
        <v>1500000</v>
      </c>
      <c r="H1584" s="811"/>
      <c r="I1584" s="580">
        <f t="shared" si="142"/>
        <v>0</v>
      </c>
      <c r="J1584" s="961">
        <f t="shared" si="143"/>
        <v>0</v>
      </c>
      <c r="K1584" s="80"/>
      <c r="L1584" s="807">
        <v>2012</v>
      </c>
      <c r="M1584" s="80" t="str">
        <f>+IFERROR(VLOOKUP(L1584,DATA!$G$4:$H$2000,2,FALSE),"")</f>
        <v>ИХ ТУГЧ ХХК</v>
      </c>
      <c r="N1584" s="807"/>
      <c r="O1584" s="80" t="str">
        <f>IFERROR(VLOOKUP(N1584,DATA!$K$4:$L$51,2,FALSE),"")</f>
        <v/>
      </c>
      <c r="P1584" s="80">
        <f t="shared" si="141"/>
        <v>0</v>
      </c>
      <c r="Q1584" s="154">
        <f t="shared" si="147"/>
        <v>0</v>
      </c>
    </row>
    <row r="1585" spans="2:17">
      <c r="B1585" s="627">
        <f t="shared" si="146"/>
        <v>1580</v>
      </c>
      <c r="C1585" s="582">
        <v>43448</v>
      </c>
      <c r="D1585" s="816" t="s">
        <v>2534</v>
      </c>
      <c r="E1585" s="807">
        <v>100100</v>
      </c>
      <c r="F1585" s="629" t="str">
        <f>IFERROR(VLOOKUP(E1585,STAT1!$C$4:$D$1000,2,FALSE),"")</f>
        <v>Касс мөнгө MNT</v>
      </c>
      <c r="G1585" s="811"/>
      <c r="H1585" s="811">
        <v>1500000</v>
      </c>
      <c r="I1585" s="580">
        <f t="shared" ref="I1585:I1586" si="153">+IF(OR(E1585=100100,E1585=100200,E1585=110100,E1585=110102,E1585=110103,E1585=110104,E1585=110105,E1585=110200,E1585=110201,E1585=110202,E1585=110203,E1585=110204,E1585=110300),G1585,0)+IF(OR(E1585=100100,E1585=100200,E1585=110100,E1585=110102,E1585=110103,E1585=110104,E1585=110105,E1585=110200,E1585=110201,E1585=110202,E1585=110203,E1585=110204,E1585=110300),H1585*-1,0)</f>
        <v>-1500000</v>
      </c>
      <c r="J1585" s="961">
        <f t="shared" ref="J1585:J1586" si="154">+IF(E1585=110200,I1585/K1585,0)</f>
        <v>0</v>
      </c>
      <c r="K1585" s="80"/>
      <c r="L1585" s="807">
        <v>2012</v>
      </c>
      <c r="M1585" s="80" t="str">
        <f>+IFERROR(VLOOKUP(L1585,DATA!$G$4:$H$2000,2,FALSE),"")</f>
        <v>ИХ ТУГЧ ХХК</v>
      </c>
      <c r="N1585" s="807">
        <v>59</v>
      </c>
      <c r="O1585" s="80" t="str">
        <f>IFERROR(VLOOKUP(N1585,DATA!$K$4:$L$51,2,FALSE),"")</f>
        <v>Бусад мөнгөн зарлага</v>
      </c>
      <c r="P1585" s="80">
        <f t="shared" si="141"/>
        <v>1</v>
      </c>
      <c r="Q1585" s="154">
        <f t="shared" si="147"/>
        <v>1</v>
      </c>
    </row>
    <row r="1586" spans="2:17">
      <c r="B1586" s="627">
        <f t="shared" si="146"/>
        <v>1581</v>
      </c>
      <c r="C1586" s="582">
        <v>43448</v>
      </c>
      <c r="D1586" s="816" t="s">
        <v>2534</v>
      </c>
      <c r="E1586" s="807">
        <v>705800</v>
      </c>
      <c r="F1586" s="629" t="str">
        <f>IFERROR(VLOOKUP(E1586,STAT1!$C$4:$D$1000,2,FALSE),"")</f>
        <v>Харуул хамгаалалт</v>
      </c>
      <c r="G1586" s="811">
        <v>1500000</v>
      </c>
      <c r="H1586" s="811"/>
      <c r="I1586" s="580">
        <f t="shared" si="153"/>
        <v>0</v>
      </c>
      <c r="J1586" s="961">
        <f t="shared" si="154"/>
        <v>0</v>
      </c>
      <c r="K1586" s="80"/>
      <c r="L1586" s="807">
        <v>2012</v>
      </c>
      <c r="M1586" s="80" t="str">
        <f>+IFERROR(VLOOKUP(L1586,DATA!$G$4:$H$2000,2,FALSE),"")</f>
        <v>ИХ ТУГЧ ХХК</v>
      </c>
      <c r="N1586" s="807"/>
      <c r="O1586" s="80" t="str">
        <f>IFERROR(VLOOKUP(N1586,DATA!$K$4:$L$51,2,FALSE),"")</f>
        <v/>
      </c>
      <c r="P1586" s="80">
        <f t="shared" si="141"/>
        <v>0</v>
      </c>
      <c r="Q1586" s="154">
        <f t="shared" si="147"/>
        <v>0</v>
      </c>
    </row>
    <row r="1587" spans="2:17">
      <c r="B1587" s="627">
        <f t="shared" si="146"/>
        <v>1582</v>
      </c>
      <c r="C1587" s="582">
        <v>43404</v>
      </c>
      <c r="D1587" s="816" t="s">
        <v>2534</v>
      </c>
      <c r="E1587" s="807">
        <v>100100</v>
      </c>
      <c r="F1587" s="629" t="str">
        <f>IFERROR(VLOOKUP(E1587,STAT1!$C$4:$D$1000,2,FALSE),"")</f>
        <v>Касс мөнгө MNT</v>
      </c>
      <c r="G1587" s="811"/>
      <c r="H1587" s="811">
        <v>1500000</v>
      </c>
      <c r="I1587" s="580">
        <f t="shared" ref="I1587:I1592" si="155">+IF(OR(E1587=100100,E1587=100200,E1587=110100,E1587=110102,E1587=110103,E1587=110104,E1587=110105,E1587=110200,E1587=110201,E1587=110202,E1587=110203,E1587=110204,E1587=110300),G1587,0)+IF(OR(E1587=100100,E1587=100200,E1587=110100,E1587=110102,E1587=110103,E1587=110104,E1587=110105,E1587=110200,E1587=110201,E1587=110202,E1587=110203,E1587=110204,E1587=110300),H1587*-1,0)</f>
        <v>-1500000</v>
      </c>
      <c r="J1587" s="961">
        <f t="shared" ref="J1587:J1592" si="156">+IF(E1587=110200,I1587/K1587,0)</f>
        <v>0</v>
      </c>
      <c r="K1587" s="80"/>
      <c r="L1587" s="807">
        <v>2012</v>
      </c>
      <c r="M1587" s="80" t="str">
        <f>+IFERROR(VLOOKUP(L1587,DATA!$G$4:$H$2000,2,FALSE),"")</f>
        <v>ИХ ТУГЧ ХХК</v>
      </c>
      <c r="N1587" s="807">
        <v>59</v>
      </c>
      <c r="O1587" s="80" t="str">
        <f>IFERROR(VLOOKUP(N1587,DATA!$K$4:$L$51,2,FALSE),"")</f>
        <v>Бусад мөнгөн зарлага</v>
      </c>
      <c r="P1587" s="80">
        <f t="shared" si="141"/>
        <v>1</v>
      </c>
      <c r="Q1587" s="154">
        <f t="shared" si="147"/>
        <v>1</v>
      </c>
    </row>
    <row r="1588" spans="2:17">
      <c r="B1588" s="627">
        <f t="shared" si="146"/>
        <v>1583</v>
      </c>
      <c r="C1588" s="582">
        <v>43404</v>
      </c>
      <c r="D1588" s="816" t="s">
        <v>2534</v>
      </c>
      <c r="E1588" s="807">
        <v>705800</v>
      </c>
      <c r="F1588" s="629" t="str">
        <f>IFERROR(VLOOKUP(E1588,STAT1!$C$4:$D$1000,2,FALSE),"")</f>
        <v>Харуул хамгаалалт</v>
      </c>
      <c r="G1588" s="811">
        <v>1500000</v>
      </c>
      <c r="H1588" s="811"/>
      <c r="I1588" s="580">
        <f t="shared" si="155"/>
        <v>0</v>
      </c>
      <c r="J1588" s="961">
        <f t="shared" si="156"/>
        <v>0</v>
      </c>
      <c r="K1588" s="80"/>
      <c r="L1588" s="807">
        <v>2012</v>
      </c>
      <c r="M1588" s="80" t="str">
        <f>+IFERROR(VLOOKUP(L1588,DATA!$G$4:$H$2000,2,FALSE),"")</f>
        <v>ИХ ТУГЧ ХХК</v>
      </c>
      <c r="N1588" s="807"/>
      <c r="O1588" s="80" t="str">
        <f>IFERROR(VLOOKUP(N1588,DATA!$K$4:$L$51,2,FALSE),"")</f>
        <v/>
      </c>
      <c r="P1588" s="80">
        <f t="shared" si="141"/>
        <v>0</v>
      </c>
      <c r="Q1588" s="154">
        <f t="shared" si="147"/>
        <v>0</v>
      </c>
    </row>
    <row r="1589" spans="2:17">
      <c r="B1589" s="627">
        <f t="shared" si="146"/>
        <v>1584</v>
      </c>
      <c r="C1589" s="582">
        <v>43453</v>
      </c>
      <c r="D1589" s="816" t="s">
        <v>1570</v>
      </c>
      <c r="E1589" s="807">
        <v>100100</v>
      </c>
      <c r="F1589" s="629" t="str">
        <f>IFERROR(VLOOKUP(E1589,STAT1!$C$4:$D$1000,2,FALSE),"")</f>
        <v>Касс мөнгө MNT</v>
      </c>
      <c r="G1589" s="811"/>
      <c r="H1589" s="811">
        <v>30000</v>
      </c>
      <c r="I1589" s="580">
        <f t="shared" si="155"/>
        <v>-30000</v>
      </c>
      <c r="J1589" s="961">
        <f t="shared" si="156"/>
        <v>0</v>
      </c>
      <c r="K1589" s="80"/>
      <c r="L1589" s="807">
        <v>1008</v>
      </c>
      <c r="M1589" s="80" t="str">
        <f>+IFERROR(VLOOKUP(L1589,DATA!$G$4:$H$2000,2,FALSE),"")</f>
        <v xml:space="preserve">Оюунтүлхүүр </v>
      </c>
      <c r="N1589" s="807">
        <v>55</v>
      </c>
      <c r="O1589" s="80" t="str">
        <f>IFERROR(VLOOKUP(N1589,DATA!$K$4:$L$51,2,FALSE),"")</f>
        <v>Түлш, шатахуун, тээврийн хөлс, сэлбэг хэрэгсэлд төлсөн</v>
      </c>
      <c r="P1589" s="80">
        <f t="shared" si="141"/>
        <v>1</v>
      </c>
      <c r="Q1589" s="154">
        <f t="shared" si="147"/>
        <v>1</v>
      </c>
    </row>
    <row r="1590" spans="2:17">
      <c r="B1590" s="627">
        <f t="shared" si="146"/>
        <v>1585</v>
      </c>
      <c r="C1590" s="582">
        <v>43453</v>
      </c>
      <c r="D1590" s="816" t="s">
        <v>1570</v>
      </c>
      <c r="E1590" s="807">
        <v>702000</v>
      </c>
      <c r="F1590" s="629" t="str">
        <f>IFERROR(VLOOKUP(E1590,STAT1!$C$4:$D$1000,2,FALSE),"")</f>
        <v>Түлш, шатахуун</v>
      </c>
      <c r="G1590" s="811">
        <v>30000</v>
      </c>
      <c r="H1590" s="811"/>
      <c r="I1590" s="580">
        <f t="shared" si="155"/>
        <v>0</v>
      </c>
      <c r="J1590" s="961">
        <f t="shared" si="156"/>
        <v>0</v>
      </c>
      <c r="K1590" s="80"/>
      <c r="L1590" s="807">
        <v>1008</v>
      </c>
      <c r="M1590" s="80" t="str">
        <f>+IFERROR(VLOOKUP(L1590,DATA!$G$4:$H$2000,2,FALSE),"")</f>
        <v xml:space="preserve">Оюунтүлхүүр </v>
      </c>
      <c r="N1590" s="807"/>
      <c r="O1590" s="80" t="str">
        <f>IFERROR(VLOOKUP(N1590,DATA!$K$4:$L$51,2,FALSE),"")</f>
        <v/>
      </c>
      <c r="P1590" s="80">
        <f t="shared" si="141"/>
        <v>0</v>
      </c>
      <c r="Q1590" s="154">
        <f t="shared" si="147"/>
        <v>0</v>
      </c>
    </row>
    <row r="1591" spans="2:17">
      <c r="B1591" s="627">
        <f t="shared" si="146"/>
        <v>1586</v>
      </c>
      <c r="C1591" s="429">
        <v>43452</v>
      </c>
      <c r="D1591" s="816" t="s">
        <v>2776</v>
      </c>
      <c r="E1591" s="807">
        <v>100100</v>
      </c>
      <c r="F1591" s="629" t="str">
        <f>IFERROR(VLOOKUP(E1591,STAT1!$C$4:$D$1000,2,FALSE),"")</f>
        <v>Касс мөнгө MNT</v>
      </c>
      <c r="G1591" s="811"/>
      <c r="H1591" s="811">
        <v>2000000</v>
      </c>
      <c r="I1591" s="580">
        <f t="shared" si="155"/>
        <v>-2000000</v>
      </c>
      <c r="J1591" s="961">
        <f t="shared" si="156"/>
        <v>0</v>
      </c>
      <c r="K1591" s="80"/>
      <c r="L1591" s="807">
        <v>2002</v>
      </c>
      <c r="M1591" s="80" t="str">
        <f>+IFERROR(VLOOKUP(L1591,DATA!$G$4:$H$2000,2,FALSE),"")</f>
        <v xml:space="preserve">ХУД-н ЭМНД ХЭЛТЭС </v>
      </c>
      <c r="N1591" s="807">
        <v>52</v>
      </c>
      <c r="O1591" s="80" t="str">
        <f>IFERROR(VLOOKUP(N1591,DATA!$K$4:$L$51,2,FALSE),"")</f>
        <v>Нийгмийн даатгалын байгууллагад төлсөн</v>
      </c>
      <c r="P1591" s="80">
        <f t="shared" si="141"/>
        <v>1</v>
      </c>
      <c r="Q1591" s="154">
        <f t="shared" si="147"/>
        <v>1</v>
      </c>
    </row>
    <row r="1592" spans="2:17">
      <c r="B1592" s="627">
        <f t="shared" si="146"/>
        <v>1587</v>
      </c>
      <c r="C1592" s="429">
        <v>43452</v>
      </c>
      <c r="D1592" s="816" t="s">
        <v>2776</v>
      </c>
      <c r="E1592" s="807">
        <v>120900</v>
      </c>
      <c r="F1592" s="629" t="str">
        <f>IFERROR(VLOOKUP(E1592,STAT1!$C$4:$D$1000,2,FALSE),"")</f>
        <v>НД-ын байгууллагаас авах авлага</v>
      </c>
      <c r="G1592" s="811">
        <v>2000000</v>
      </c>
      <c r="H1592" s="811"/>
      <c r="I1592" s="580">
        <f t="shared" si="155"/>
        <v>0</v>
      </c>
      <c r="J1592" s="961">
        <f t="shared" si="156"/>
        <v>0</v>
      </c>
      <c r="K1592" s="80"/>
      <c r="L1592" s="807">
        <v>2002</v>
      </c>
      <c r="M1592" s="80" t="str">
        <f>+IFERROR(VLOOKUP(L1592,DATA!$G$4:$H$2000,2,FALSE),"")</f>
        <v xml:space="preserve">ХУД-н ЭМНД ХЭЛТЭС </v>
      </c>
      <c r="N1592" s="807"/>
      <c r="O1592" s="80" t="str">
        <f>IFERROR(VLOOKUP(N1592,DATA!$K$4:$L$51,2,FALSE),"")</f>
        <v/>
      </c>
      <c r="P1592" s="80">
        <f t="shared" si="141"/>
        <v>0</v>
      </c>
      <c r="Q1592" s="154">
        <f t="shared" si="147"/>
        <v>0</v>
      </c>
    </row>
    <row r="1593" spans="2:17">
      <c r="B1593" s="627">
        <f t="shared" si="146"/>
        <v>1588</v>
      </c>
      <c r="C1593" s="429">
        <v>43452</v>
      </c>
      <c r="D1593" s="816" t="s">
        <v>2841</v>
      </c>
      <c r="E1593" s="807">
        <v>100100</v>
      </c>
      <c r="F1593" s="629" t="str">
        <f>IFERROR(VLOOKUP(E1593,STAT1!$C$4:$D$1000,2,FALSE),"")</f>
        <v>Касс мөнгө MNT</v>
      </c>
      <c r="G1593" s="811"/>
      <c r="H1593" s="811">
        <v>18959000</v>
      </c>
      <c r="I1593" s="580">
        <f t="shared" si="142"/>
        <v>-18959000</v>
      </c>
      <c r="J1593" s="961">
        <f t="shared" si="143"/>
        <v>0</v>
      </c>
      <c r="K1593" s="80"/>
      <c r="L1593" s="807">
        <v>1003</v>
      </c>
      <c r="M1593" s="80" t="str">
        <f>+IFERROR(VLOOKUP(L1593,DATA!$G$4:$H$2000,2,FALSE),"")</f>
        <v>Бахдамдэмбэрэл</v>
      </c>
      <c r="N1593" s="807">
        <v>57</v>
      </c>
      <c r="O1593" s="80" t="str">
        <f>IFERROR(VLOOKUP(N1593,DATA!$K$4:$L$51,2,FALSE),"")</f>
        <v>Татварын байгууллагад төлсөн</v>
      </c>
      <c r="P1593" s="80">
        <f t="shared" si="141"/>
        <v>1</v>
      </c>
      <c r="Q1593" s="154">
        <f t="shared" si="147"/>
        <v>1</v>
      </c>
    </row>
    <row r="1594" spans="2:17">
      <c r="B1594" s="627">
        <f t="shared" si="146"/>
        <v>1589</v>
      </c>
      <c r="C1594" s="429">
        <v>43452</v>
      </c>
      <c r="D1594" s="816" t="s">
        <v>2841</v>
      </c>
      <c r="E1594" s="807">
        <v>120800</v>
      </c>
      <c r="F1594" s="629" t="str">
        <f>IFERROR(VLOOKUP(E1594,STAT1!$C$4:$D$1000,2,FALSE),"")</f>
        <v>ХАОАТ авлага</v>
      </c>
      <c r="G1594" s="811">
        <v>8800000</v>
      </c>
      <c r="H1594" s="811"/>
      <c r="I1594" s="580">
        <f t="shared" si="142"/>
        <v>0</v>
      </c>
      <c r="J1594" s="961">
        <f t="shared" si="143"/>
        <v>0</v>
      </c>
      <c r="K1594" s="80"/>
      <c r="L1594" s="807">
        <v>1003</v>
      </c>
      <c r="M1594" s="80" t="str">
        <f>+IFERROR(VLOOKUP(L1594,DATA!$G$4:$H$2000,2,FALSE),"")</f>
        <v>Бахдамдэмбэрэл</v>
      </c>
      <c r="N1594" s="807"/>
      <c r="O1594" s="80" t="str">
        <f>IFERROR(VLOOKUP(N1594,DATA!$K$4:$L$51,2,FALSE),"")</f>
        <v/>
      </c>
      <c r="P1594" s="80">
        <f t="shared" si="141"/>
        <v>0</v>
      </c>
      <c r="Q1594" s="154">
        <f t="shared" si="147"/>
        <v>0</v>
      </c>
    </row>
    <row r="1595" spans="2:17">
      <c r="B1595" s="627">
        <f t="shared" si="146"/>
        <v>1590</v>
      </c>
      <c r="C1595" s="429">
        <v>43452</v>
      </c>
      <c r="D1595" s="816" t="s">
        <v>2841</v>
      </c>
      <c r="E1595" s="807">
        <v>310900</v>
      </c>
      <c r="F1595" s="629" t="str">
        <f>IFERROR(VLOOKUP(E1595,STAT1!$C$4:$D$1000,2,FALSE),"")</f>
        <v>Бусад татварын өглөг</v>
      </c>
      <c r="G1595" s="811">
        <v>10159000</v>
      </c>
      <c r="H1595" s="811"/>
      <c r="I1595" s="580">
        <f t="shared" si="142"/>
        <v>0</v>
      </c>
      <c r="J1595" s="961">
        <f t="shared" si="143"/>
        <v>0</v>
      </c>
      <c r="K1595" s="80"/>
      <c r="L1595" s="807">
        <v>1003</v>
      </c>
      <c r="M1595" s="80" t="str">
        <f>+IFERROR(VLOOKUP(L1595,DATA!$G$4:$H$2000,2,FALSE),"")</f>
        <v>Бахдамдэмбэрэл</v>
      </c>
      <c r="N1595" s="807"/>
      <c r="O1595" s="80" t="str">
        <f>IFERROR(VLOOKUP(N1595,DATA!$K$4:$L$51,2,FALSE),"")</f>
        <v/>
      </c>
      <c r="P1595" s="80">
        <f t="shared" si="141"/>
        <v>0</v>
      </c>
      <c r="Q1595" s="154">
        <f t="shared" si="147"/>
        <v>0</v>
      </c>
    </row>
    <row r="1596" spans="2:17">
      <c r="B1596" s="627">
        <f t="shared" si="146"/>
        <v>1591</v>
      </c>
      <c r="C1596" s="429">
        <v>43460</v>
      </c>
      <c r="D1596" s="816" t="s">
        <v>1570</v>
      </c>
      <c r="E1596" s="807">
        <v>100100</v>
      </c>
      <c r="F1596" s="629" t="str">
        <f>IFERROR(VLOOKUP(E1596,STAT1!$C$4:$D$1000,2,FALSE),"")</f>
        <v>Касс мөнгө MNT</v>
      </c>
      <c r="G1596" s="811"/>
      <c r="H1596" s="811">
        <v>130000</v>
      </c>
      <c r="I1596" s="580">
        <f t="shared" si="142"/>
        <v>-130000</v>
      </c>
      <c r="J1596" s="961">
        <f t="shared" si="143"/>
        <v>0</v>
      </c>
      <c r="K1596" s="80"/>
      <c r="L1596" s="807">
        <v>1003</v>
      </c>
      <c r="M1596" s="80" t="str">
        <f>+IFERROR(VLOOKUP(L1596,DATA!$G$4:$H$2000,2,FALSE),"")</f>
        <v>Бахдамдэмбэрэл</v>
      </c>
      <c r="N1596" s="807">
        <v>55</v>
      </c>
      <c r="O1596" s="80" t="str">
        <f>IFERROR(VLOOKUP(N1596,DATA!$K$4:$L$51,2,FALSE),"")</f>
        <v>Түлш, шатахуун, тээврийн хөлс, сэлбэг хэрэгсэлд төлсөн</v>
      </c>
      <c r="P1596" s="80">
        <f t="shared" si="141"/>
        <v>1</v>
      </c>
      <c r="Q1596" s="154">
        <f t="shared" si="147"/>
        <v>1</v>
      </c>
    </row>
    <row r="1597" spans="2:17">
      <c r="B1597" s="627">
        <f t="shared" si="146"/>
        <v>1592</v>
      </c>
      <c r="C1597" s="429">
        <v>43460</v>
      </c>
      <c r="D1597" s="816" t="s">
        <v>1570</v>
      </c>
      <c r="E1597" s="807">
        <v>702000</v>
      </c>
      <c r="F1597" s="629" t="str">
        <f>IFERROR(VLOOKUP(E1597,STAT1!$C$4:$D$1000,2,FALSE),"")</f>
        <v>Түлш, шатахуун</v>
      </c>
      <c r="G1597" s="811">
        <v>130000</v>
      </c>
      <c r="H1597" s="811"/>
      <c r="I1597" s="580">
        <f t="shared" si="142"/>
        <v>0</v>
      </c>
      <c r="J1597" s="961">
        <f t="shared" si="143"/>
        <v>0</v>
      </c>
      <c r="K1597" s="80"/>
      <c r="L1597" s="807">
        <v>1003</v>
      </c>
      <c r="M1597" s="80" t="str">
        <f>+IFERROR(VLOOKUP(L1597,DATA!$G$4:$H$2000,2,FALSE),"")</f>
        <v>Бахдамдэмбэрэл</v>
      </c>
      <c r="N1597" s="807"/>
      <c r="O1597" s="80" t="str">
        <f>IFERROR(VLOOKUP(N1597,DATA!$K$4:$L$51,2,FALSE),"")</f>
        <v/>
      </c>
      <c r="P1597" s="80">
        <f t="shared" ref="P1597:P1659" si="157">+IF(I1597,1,0)</f>
        <v>0</v>
      </c>
      <c r="Q1597" s="154">
        <f t="shared" si="147"/>
        <v>0</v>
      </c>
    </row>
    <row r="1598" spans="2:17">
      <c r="B1598" s="627">
        <f t="shared" si="146"/>
        <v>1593</v>
      </c>
      <c r="C1598" s="429">
        <v>43453</v>
      </c>
      <c r="D1598" s="815" t="s">
        <v>1571</v>
      </c>
      <c r="E1598" s="630">
        <v>110100</v>
      </c>
      <c r="F1598" s="629" t="str">
        <f>IFERROR(VLOOKUP(E1598,STAT1!$C$4:$D$1000,2,FALSE),"")</f>
        <v>Хаан Банк 5024654020</v>
      </c>
      <c r="G1598" s="376">
        <v>30000000</v>
      </c>
      <c r="H1598" s="376"/>
      <c r="I1598" s="580">
        <f t="shared" ref="I1598:I1599" si="158">+IF(OR(E1598=100100,E1598=100200,E1598=110100,E1598=110102,E1598=110103,E1598=110104,E1598=110105,E1598=110200,E1598=110201,E1598=110202,E1598=110203,E1598=110204,E1598=110300),G1598,0)+IF(OR(E1598=100100,E1598=100200,E1598=110100,E1598=110102,E1598=110103,E1598=110104,E1598=110105,E1598=110200,E1598=110201,E1598=110202,E1598=110203,E1598=110204,E1598=110300),H1598*-1,0)</f>
        <v>30000000</v>
      </c>
      <c r="J1598" s="961">
        <f t="shared" ref="J1598:J1599" si="159">+IF(E1598=110200,I1598/K1598,0)</f>
        <v>0</v>
      </c>
      <c r="K1598" s="80"/>
      <c r="L1598" s="630">
        <v>3001</v>
      </c>
      <c r="M1598" s="80" t="str">
        <f>+IFERROR(VLOOKUP(L1598,DATA!$G$4:$H$2000,2,FALSE),"")</f>
        <v>ХУРД ГРУПП ХХК</v>
      </c>
      <c r="N1598" s="630">
        <v>41</v>
      </c>
      <c r="O1598" s="80" t="str">
        <f>IFERROR(VLOOKUP(N1598,DATA!$K$4:$L$51,2,FALSE),"")</f>
        <v>Бараа борлуулсан, үйлчилгээ үзүүлсэний орлого</v>
      </c>
      <c r="P1598" s="80">
        <f t="shared" si="157"/>
        <v>1</v>
      </c>
      <c r="Q1598" s="154">
        <f t="shared" si="147"/>
        <v>1</v>
      </c>
    </row>
    <row r="1599" spans="2:17">
      <c r="B1599" s="627">
        <f t="shared" si="146"/>
        <v>1594</v>
      </c>
      <c r="C1599" s="429">
        <v>43453</v>
      </c>
      <c r="D1599" s="815" t="s">
        <v>1571</v>
      </c>
      <c r="E1599" s="630">
        <v>320100</v>
      </c>
      <c r="F1599" s="629" t="str">
        <f>IFERROR(VLOOKUP(E1599,STAT1!$C$4:$D$1000,2,FALSE),"")</f>
        <v>Урьдчилж орсон орлого MNT</v>
      </c>
      <c r="G1599" s="376"/>
      <c r="H1599" s="376">
        <v>30000000</v>
      </c>
      <c r="I1599" s="580">
        <f t="shared" si="158"/>
        <v>0</v>
      </c>
      <c r="J1599" s="961">
        <f t="shared" si="159"/>
        <v>0</v>
      </c>
      <c r="K1599" s="80"/>
      <c r="L1599" s="630">
        <v>3001</v>
      </c>
      <c r="M1599" s="80" t="str">
        <f>+IFERROR(VLOOKUP(L1599,DATA!$G$4:$H$2000,2,FALSE),"")</f>
        <v>ХУРД ГРУПП ХХК</v>
      </c>
      <c r="N1599" s="630"/>
      <c r="O1599" s="80" t="str">
        <f>IFERROR(VLOOKUP(N1599,DATA!$K$4:$L$51,2,FALSE),"")</f>
        <v/>
      </c>
      <c r="P1599" s="80">
        <f t="shared" si="157"/>
        <v>0</v>
      </c>
      <c r="Q1599" s="154">
        <f t="shared" si="147"/>
        <v>0</v>
      </c>
    </row>
    <row r="1600" spans="2:17">
      <c r="B1600" s="627">
        <f t="shared" si="146"/>
        <v>1595</v>
      </c>
      <c r="C1600" s="429">
        <v>43454</v>
      </c>
      <c r="D1600" s="815" t="s">
        <v>2379</v>
      </c>
      <c r="E1600" s="807">
        <v>110100</v>
      </c>
      <c r="F1600" s="629" t="str">
        <f>IFERROR(VLOOKUP(E1600,STAT1!$C$4:$D$1000,2,FALSE),"")</f>
        <v>Хаан Банк 5024654020</v>
      </c>
      <c r="G1600" s="811"/>
      <c r="H1600" s="811">
        <v>4050347</v>
      </c>
      <c r="I1600" s="580">
        <f t="shared" ref="I1600:I1661" si="160">+IF(OR(E1600=100100,E1600=100200,E1600=110100,E1600=110102,E1600=110103,E1600=110104,E1600=110105,E1600=110200,E1600=110201,E1600=110202,E1600=110203,E1600=110204,E1600=110300),G1600,0)+IF(OR(E1600=100100,E1600=100200,E1600=110100,E1600=110102,E1600=110103,E1600=110104,E1600=110105,E1600=110200,E1600=110201,E1600=110202,E1600=110203,E1600=110204,E1600=110300),H1600*-1,0)</f>
        <v>-4050347</v>
      </c>
      <c r="J1600" s="961">
        <f t="shared" ref="J1600:J1661" si="161">+IF(E1600=110200,I1600/K1600,0)</f>
        <v>0</v>
      </c>
      <c r="K1600" s="80"/>
      <c r="L1600" s="807">
        <v>2009</v>
      </c>
      <c r="M1600" s="80" t="str">
        <f>+IFERROR(VLOOKUP(L1600,DATA!$G$4:$H$2000,2,FALSE),"")</f>
        <v>ХААН БАНК</v>
      </c>
      <c r="N1600" s="807">
        <v>91</v>
      </c>
      <c r="O1600" s="80" t="str">
        <f>IFERROR(VLOOKUP(N1600,DATA!$K$4:$L$51,2,FALSE),"")</f>
        <v>Зээл, өрийн үнэт цаасны төлбөрт төлсөн</v>
      </c>
      <c r="P1600" s="80">
        <f t="shared" si="157"/>
        <v>1</v>
      </c>
      <c r="Q1600" s="154">
        <f t="shared" si="147"/>
        <v>1</v>
      </c>
    </row>
    <row r="1601" spans="2:17">
      <c r="B1601" s="627">
        <f t="shared" si="146"/>
        <v>1596</v>
      </c>
      <c r="C1601" s="429">
        <v>43454</v>
      </c>
      <c r="D1601" s="815" t="s">
        <v>2379</v>
      </c>
      <c r="E1601" s="807">
        <v>311100</v>
      </c>
      <c r="F1601" s="629" t="str">
        <f>IFERROR(VLOOKUP(E1601,STAT1!$C$4:$D$1000,2,FALSE),"")</f>
        <v xml:space="preserve">Бусад богино хугацаат өглөг </v>
      </c>
      <c r="G1601" s="811">
        <v>4050347</v>
      </c>
      <c r="H1601" s="811"/>
      <c r="I1601" s="580">
        <f t="shared" si="160"/>
        <v>0</v>
      </c>
      <c r="J1601" s="961">
        <f t="shared" si="161"/>
        <v>0</v>
      </c>
      <c r="K1601" s="80"/>
      <c r="L1601" s="807">
        <v>2009</v>
      </c>
      <c r="M1601" s="80" t="str">
        <f>+IFERROR(VLOOKUP(L1601,DATA!$G$4:$H$2000,2,FALSE),"")</f>
        <v>ХААН БАНК</v>
      </c>
      <c r="N1601" s="807"/>
      <c r="O1601" s="80" t="str">
        <f>IFERROR(VLOOKUP(N1601,DATA!$K$4:$L$51,2,FALSE),"")</f>
        <v/>
      </c>
      <c r="P1601" s="80">
        <f t="shared" si="157"/>
        <v>0</v>
      </c>
      <c r="Q1601" s="154">
        <f t="shared" si="147"/>
        <v>0</v>
      </c>
    </row>
    <row r="1602" spans="2:17">
      <c r="B1602" s="627">
        <f t="shared" si="146"/>
        <v>1597</v>
      </c>
      <c r="C1602" s="429">
        <v>43454</v>
      </c>
      <c r="D1602" s="815" t="s">
        <v>2379</v>
      </c>
      <c r="E1602" s="807">
        <v>110100</v>
      </c>
      <c r="F1602" s="629" t="str">
        <f>IFERROR(VLOOKUP(E1602,STAT1!$C$4:$D$1000,2,FALSE),"")</f>
        <v>Хаан Банк 5024654020</v>
      </c>
      <c r="G1602" s="811"/>
      <c r="H1602" s="811">
        <v>528940.25</v>
      </c>
      <c r="I1602" s="580">
        <f t="shared" si="160"/>
        <v>-528940.25</v>
      </c>
      <c r="J1602" s="961">
        <f t="shared" si="161"/>
        <v>0</v>
      </c>
      <c r="K1602" s="80"/>
      <c r="L1602" s="807">
        <v>2009</v>
      </c>
      <c r="M1602" s="80" t="str">
        <f>+IFERROR(VLOOKUP(L1602,DATA!$G$4:$H$2000,2,FALSE),"")</f>
        <v>ХААН БАНК</v>
      </c>
      <c r="N1602" s="807">
        <v>56</v>
      </c>
      <c r="O1602" s="80" t="str">
        <f>IFERROR(VLOOKUP(N1602,DATA!$K$4:$L$51,2,FALSE),"")</f>
        <v>Хүүний төлбөрт төлсөн</v>
      </c>
      <c r="P1602" s="80">
        <f t="shared" si="157"/>
        <v>1</v>
      </c>
      <c r="Q1602" s="154">
        <f t="shared" si="147"/>
        <v>1</v>
      </c>
    </row>
    <row r="1603" spans="2:17">
      <c r="B1603" s="627">
        <f t="shared" si="146"/>
        <v>1598</v>
      </c>
      <c r="C1603" s="429">
        <v>43454</v>
      </c>
      <c r="D1603" s="815" t="s">
        <v>2379</v>
      </c>
      <c r="E1603" s="807">
        <v>702500</v>
      </c>
      <c r="F1603" s="629" t="str">
        <f>IFERROR(VLOOKUP(E1603,STAT1!$C$4:$D$1000,2,FALSE),"")</f>
        <v>Зээлийн хүүгийн зардал</v>
      </c>
      <c r="G1603" s="811">
        <v>528940.25</v>
      </c>
      <c r="H1603" s="811"/>
      <c r="I1603" s="580">
        <f t="shared" si="160"/>
        <v>0</v>
      </c>
      <c r="J1603" s="961">
        <f t="shared" si="161"/>
        <v>0</v>
      </c>
      <c r="K1603" s="80"/>
      <c r="L1603" s="807">
        <v>2009</v>
      </c>
      <c r="M1603" s="80" t="str">
        <f>+IFERROR(VLOOKUP(L1603,DATA!$G$4:$H$2000,2,FALSE),"")</f>
        <v>ХААН БАНК</v>
      </c>
      <c r="N1603" s="807"/>
      <c r="O1603" s="80" t="str">
        <f>IFERROR(VLOOKUP(N1603,DATA!$K$4:$L$51,2,FALSE),"")</f>
        <v/>
      </c>
      <c r="P1603" s="80">
        <f t="shared" si="157"/>
        <v>0</v>
      </c>
      <c r="Q1603" s="154">
        <f t="shared" si="147"/>
        <v>0</v>
      </c>
    </row>
    <row r="1604" spans="2:17">
      <c r="B1604" s="627">
        <f t="shared" si="146"/>
        <v>1599</v>
      </c>
      <c r="C1604" s="429">
        <v>43458</v>
      </c>
      <c r="D1604" s="816" t="s">
        <v>2649</v>
      </c>
      <c r="E1604" s="807">
        <v>110100</v>
      </c>
      <c r="F1604" s="629" t="str">
        <f>IFERROR(VLOOKUP(E1604,STAT1!$C$4:$D$1000,2,FALSE),"")</f>
        <v>Хаан Банк 5024654020</v>
      </c>
      <c r="G1604" s="811"/>
      <c r="H1604" s="811">
        <v>21000000</v>
      </c>
      <c r="I1604" s="580">
        <f t="shared" si="160"/>
        <v>-21000000</v>
      </c>
      <c r="J1604" s="961">
        <f t="shared" si="161"/>
        <v>0</v>
      </c>
      <c r="K1604" s="80"/>
      <c r="L1604" s="807">
        <v>1004</v>
      </c>
      <c r="M1604" s="80" t="str">
        <f>+IFERROR(VLOOKUP(L1604,DATA!$G$4:$H$2000,2,FALSE),"")</f>
        <v xml:space="preserve">Түмэндэлгэр </v>
      </c>
      <c r="N1604" s="807"/>
      <c r="O1604" s="80" t="str">
        <f>IFERROR(VLOOKUP(N1604,DATA!$K$4:$L$51,2,FALSE),"")</f>
        <v/>
      </c>
      <c r="P1604" s="80">
        <f t="shared" si="157"/>
        <v>1</v>
      </c>
      <c r="Q1604" s="154">
        <f t="shared" si="147"/>
        <v>1</v>
      </c>
    </row>
    <row r="1605" spans="2:17">
      <c r="B1605" s="627">
        <f t="shared" si="146"/>
        <v>1600</v>
      </c>
      <c r="C1605" s="429">
        <v>43458</v>
      </c>
      <c r="D1605" s="816" t="s">
        <v>2649</v>
      </c>
      <c r="E1605" s="807">
        <v>100100</v>
      </c>
      <c r="F1605" s="629" t="str">
        <f>IFERROR(VLOOKUP(E1605,STAT1!$C$4:$D$1000,2,FALSE),"")</f>
        <v>Касс мөнгө MNT</v>
      </c>
      <c r="G1605" s="811">
        <v>21000000</v>
      </c>
      <c r="H1605" s="811"/>
      <c r="I1605" s="580">
        <f t="shared" si="160"/>
        <v>21000000</v>
      </c>
      <c r="J1605" s="961">
        <f t="shared" si="161"/>
        <v>0</v>
      </c>
      <c r="K1605" s="80"/>
      <c r="L1605" s="807">
        <v>1004</v>
      </c>
      <c r="M1605" s="80" t="str">
        <f>+IFERROR(VLOOKUP(L1605,DATA!$G$4:$H$2000,2,FALSE),"")</f>
        <v xml:space="preserve">Түмэндэлгэр </v>
      </c>
      <c r="N1605" s="807"/>
      <c r="O1605" s="80" t="str">
        <f>IFERROR(VLOOKUP(N1605,DATA!$K$4:$L$51,2,FALSE),"")</f>
        <v/>
      </c>
      <c r="P1605" s="80">
        <f t="shared" si="157"/>
        <v>1</v>
      </c>
      <c r="Q1605" s="154">
        <f t="shared" si="147"/>
        <v>1</v>
      </c>
    </row>
    <row r="1606" spans="2:17">
      <c r="B1606" s="627">
        <f t="shared" si="146"/>
        <v>1601</v>
      </c>
      <c r="C1606" s="429">
        <v>43458</v>
      </c>
      <c r="D1606" s="816" t="s">
        <v>2602</v>
      </c>
      <c r="E1606" s="807">
        <v>110100</v>
      </c>
      <c r="F1606" s="629" t="str">
        <f>IFERROR(VLOOKUP(E1606,STAT1!$C$4:$D$1000,2,FALSE),"")</f>
        <v>Хаан Банк 5024654020</v>
      </c>
      <c r="G1606" s="811"/>
      <c r="H1606" s="811">
        <v>112150</v>
      </c>
      <c r="I1606" s="580">
        <f t="shared" si="160"/>
        <v>-112150</v>
      </c>
      <c r="J1606" s="961">
        <f t="shared" si="161"/>
        <v>0</v>
      </c>
      <c r="K1606" s="80"/>
      <c r="L1606" s="807">
        <v>2005</v>
      </c>
      <c r="M1606" s="80" t="str">
        <f>+IFERROR(VLOOKUP(L1606,DATA!$G$4:$H$2000,2,FALSE),"")</f>
        <v xml:space="preserve">УСУГ ТӨХК </v>
      </c>
      <c r="N1606" s="807">
        <v>54</v>
      </c>
      <c r="O1606" s="80" t="str">
        <f>IFERROR(VLOOKUP(N1606,DATA!$K$4:$L$51,2,FALSE),"")</f>
        <v>Ашиглалтын зардалд төлсөн</v>
      </c>
      <c r="P1606" s="80">
        <f t="shared" si="157"/>
        <v>1</v>
      </c>
      <c r="Q1606" s="154">
        <f t="shared" si="147"/>
        <v>1</v>
      </c>
    </row>
    <row r="1607" spans="2:17">
      <c r="B1607" s="627">
        <f t="shared" si="146"/>
        <v>1602</v>
      </c>
      <c r="C1607" s="429">
        <v>43458</v>
      </c>
      <c r="D1607" s="816" t="s">
        <v>2602</v>
      </c>
      <c r="E1607" s="807">
        <v>120600</v>
      </c>
      <c r="F1607" s="629" t="str">
        <f>IFERROR(VLOOKUP(E1607,STAT1!$C$4:$D$1000,2,FALSE),"")</f>
        <v>НӨАТ авлага</v>
      </c>
      <c r="G1607" s="811">
        <v>10195</v>
      </c>
      <c r="H1607" s="811"/>
      <c r="I1607" s="580">
        <f t="shared" si="160"/>
        <v>0</v>
      </c>
      <c r="J1607" s="961">
        <f t="shared" si="161"/>
        <v>0</v>
      </c>
      <c r="K1607" s="80"/>
      <c r="L1607" s="807">
        <v>2005</v>
      </c>
      <c r="M1607" s="80" t="str">
        <f>+IFERROR(VLOOKUP(L1607,DATA!$G$4:$H$2000,2,FALSE),"")</f>
        <v xml:space="preserve">УСУГ ТӨХК </v>
      </c>
      <c r="N1607" s="807"/>
      <c r="O1607" s="80" t="str">
        <f>IFERROR(VLOOKUP(N1607,DATA!$K$4:$L$51,2,FALSE),"")</f>
        <v/>
      </c>
      <c r="P1607" s="80">
        <f t="shared" si="157"/>
        <v>0</v>
      </c>
      <c r="Q1607" s="154">
        <f t="shared" si="147"/>
        <v>0</v>
      </c>
    </row>
    <row r="1608" spans="2:17">
      <c r="B1608" s="627">
        <f t="shared" si="146"/>
        <v>1603</v>
      </c>
      <c r="C1608" s="429">
        <v>43458</v>
      </c>
      <c r="D1608" s="816" t="s">
        <v>2602</v>
      </c>
      <c r="E1608" s="807">
        <v>700900</v>
      </c>
      <c r="F1608" s="629" t="str">
        <f>IFERROR(VLOOKUP(E1608,STAT1!$C$4:$D$1000,2,FALSE),"")</f>
        <v>Уур, ус</v>
      </c>
      <c r="G1608" s="811">
        <f>112150-10195</f>
        <v>101955</v>
      </c>
      <c r="H1608" s="811"/>
      <c r="I1608" s="580">
        <f t="shared" si="160"/>
        <v>0</v>
      </c>
      <c r="J1608" s="961">
        <f t="shared" si="161"/>
        <v>0</v>
      </c>
      <c r="K1608" s="80"/>
      <c r="L1608" s="807">
        <v>2005</v>
      </c>
      <c r="M1608" s="80" t="str">
        <f>+IFERROR(VLOOKUP(L1608,DATA!$G$4:$H$2000,2,FALSE),"")</f>
        <v xml:space="preserve">УСУГ ТӨХК </v>
      </c>
      <c r="N1608" s="807"/>
      <c r="O1608" s="80" t="str">
        <f>IFERROR(VLOOKUP(N1608,DATA!$K$4:$L$51,2,FALSE),"")</f>
        <v/>
      </c>
      <c r="P1608" s="80">
        <f t="shared" si="157"/>
        <v>0</v>
      </c>
      <c r="Q1608" s="154">
        <f t="shared" si="147"/>
        <v>0</v>
      </c>
    </row>
    <row r="1609" spans="2:17">
      <c r="B1609" s="627">
        <f t="shared" si="146"/>
        <v>1604</v>
      </c>
      <c r="C1609" s="429">
        <v>43459</v>
      </c>
      <c r="D1609" s="815" t="s">
        <v>1571</v>
      </c>
      <c r="E1609" s="630">
        <v>110100</v>
      </c>
      <c r="F1609" s="629" t="str">
        <f>IFERROR(VLOOKUP(E1609,STAT1!$C$4:$D$1000,2,FALSE),"")</f>
        <v>Хаан Банк 5024654020</v>
      </c>
      <c r="G1609" s="376">
        <v>20000000</v>
      </c>
      <c r="H1609" s="376"/>
      <c r="I1609" s="580">
        <f t="shared" si="160"/>
        <v>20000000</v>
      </c>
      <c r="J1609" s="961">
        <f t="shared" si="161"/>
        <v>0</v>
      </c>
      <c r="K1609" s="80"/>
      <c r="L1609" s="630">
        <v>3001</v>
      </c>
      <c r="M1609" s="80" t="str">
        <f>+IFERROR(VLOOKUP(L1609,DATA!$G$4:$H$2000,2,FALSE),"")</f>
        <v>ХУРД ГРУПП ХХК</v>
      </c>
      <c r="N1609" s="630">
        <v>41</v>
      </c>
      <c r="O1609" s="80" t="str">
        <f>IFERROR(VLOOKUP(N1609,DATA!$K$4:$L$51,2,FALSE),"")</f>
        <v>Бараа борлуулсан, үйлчилгээ үзүүлсэний орлого</v>
      </c>
      <c r="P1609" s="80">
        <f t="shared" si="157"/>
        <v>1</v>
      </c>
      <c r="Q1609" s="154">
        <f t="shared" si="147"/>
        <v>1</v>
      </c>
    </row>
    <row r="1610" spans="2:17">
      <c r="B1610" s="627">
        <f t="shared" si="146"/>
        <v>1605</v>
      </c>
      <c r="C1610" s="429">
        <v>43459</v>
      </c>
      <c r="D1610" s="815" t="s">
        <v>1571</v>
      </c>
      <c r="E1610" s="630">
        <v>320100</v>
      </c>
      <c r="F1610" s="629" t="str">
        <f>IFERROR(VLOOKUP(E1610,STAT1!$C$4:$D$1000,2,FALSE),"")</f>
        <v>Урьдчилж орсон орлого MNT</v>
      </c>
      <c r="G1610" s="376"/>
      <c r="H1610" s="376">
        <v>20000000</v>
      </c>
      <c r="I1610" s="580">
        <f t="shared" si="160"/>
        <v>0</v>
      </c>
      <c r="J1610" s="961">
        <f t="shared" si="161"/>
        <v>0</v>
      </c>
      <c r="K1610" s="80"/>
      <c r="L1610" s="630">
        <v>3001</v>
      </c>
      <c r="M1610" s="80" t="str">
        <f>+IFERROR(VLOOKUP(L1610,DATA!$G$4:$H$2000,2,FALSE),"")</f>
        <v>ХУРД ГРУПП ХХК</v>
      </c>
      <c r="N1610" s="630"/>
      <c r="O1610" s="80" t="str">
        <f>IFERROR(VLOOKUP(N1610,DATA!$K$4:$L$51,2,FALSE),"")</f>
        <v/>
      </c>
      <c r="P1610" s="80">
        <f t="shared" si="157"/>
        <v>0</v>
      </c>
      <c r="Q1610" s="154">
        <f t="shared" si="147"/>
        <v>0</v>
      </c>
    </row>
    <row r="1611" spans="2:17">
      <c r="B1611" s="627">
        <f t="shared" si="146"/>
        <v>1606</v>
      </c>
      <c r="C1611" s="429">
        <v>43460</v>
      </c>
      <c r="D1611" s="815" t="s">
        <v>2510</v>
      </c>
      <c r="E1611" s="630">
        <v>110100</v>
      </c>
      <c r="F1611" s="629" t="str">
        <f>IFERROR(VLOOKUP(E1611,STAT1!$C$4:$D$1000,2,FALSE),"")</f>
        <v>Хаан Банк 5024654020</v>
      </c>
      <c r="G1611" s="376"/>
      <c r="H1611" s="376">
        <v>2438707</v>
      </c>
      <c r="I1611" s="580">
        <f t="shared" si="160"/>
        <v>-2438707</v>
      </c>
      <c r="J1611" s="961">
        <f t="shared" si="161"/>
        <v>0</v>
      </c>
      <c r="K1611" s="80"/>
      <c r="L1611" s="630">
        <v>2003</v>
      </c>
      <c r="M1611" s="80" t="str">
        <f>+IFERROR(VLOOKUP(L1611,DATA!$G$4:$H$2000,2,FALSE),"")</f>
        <v xml:space="preserve">УБЦТС ТӨХК </v>
      </c>
      <c r="N1611" s="630">
        <v>54</v>
      </c>
      <c r="O1611" s="80" t="str">
        <f>IFERROR(VLOOKUP(N1611,DATA!$K$4:$L$51,2,FALSE),"")</f>
        <v>Ашиглалтын зардалд төлсөн</v>
      </c>
      <c r="P1611" s="80">
        <f t="shared" si="157"/>
        <v>1</v>
      </c>
      <c r="Q1611" s="154">
        <f t="shared" si="147"/>
        <v>1</v>
      </c>
    </row>
    <row r="1612" spans="2:17">
      <c r="B1612" s="627">
        <f t="shared" si="146"/>
        <v>1607</v>
      </c>
      <c r="C1612" s="429">
        <v>43460</v>
      </c>
      <c r="D1612" s="815" t="s">
        <v>2510</v>
      </c>
      <c r="E1612" s="630">
        <v>120600</v>
      </c>
      <c r="F1612" s="629" t="str">
        <f>IFERROR(VLOOKUP(E1612,STAT1!$C$4:$D$1000,2,FALSE),"")</f>
        <v>НӨАТ авлага</v>
      </c>
      <c r="G1612" s="376">
        <v>221700.64</v>
      </c>
      <c r="H1612" s="376"/>
      <c r="I1612" s="580">
        <f t="shared" si="160"/>
        <v>0</v>
      </c>
      <c r="J1612" s="961">
        <f t="shared" si="161"/>
        <v>0</v>
      </c>
      <c r="K1612" s="80"/>
      <c r="L1612" s="630">
        <v>2003</v>
      </c>
      <c r="M1612" s="80" t="str">
        <f>+IFERROR(VLOOKUP(L1612,DATA!$G$4:$H$2000,2,FALSE),"")</f>
        <v xml:space="preserve">УБЦТС ТӨХК </v>
      </c>
      <c r="N1612" s="630"/>
      <c r="O1612" s="80" t="str">
        <f>IFERROR(VLOOKUP(N1612,DATA!$K$4:$L$51,2,FALSE),"")</f>
        <v/>
      </c>
      <c r="P1612" s="80">
        <f t="shared" si="157"/>
        <v>0</v>
      </c>
      <c r="Q1612" s="154">
        <f t="shared" si="147"/>
        <v>0</v>
      </c>
    </row>
    <row r="1613" spans="2:17">
      <c r="B1613" s="627">
        <f t="shared" si="146"/>
        <v>1608</v>
      </c>
      <c r="C1613" s="429">
        <v>43460</v>
      </c>
      <c r="D1613" s="815" t="s">
        <v>2510</v>
      </c>
      <c r="E1613" s="630">
        <v>700700</v>
      </c>
      <c r="F1613" s="629" t="str">
        <f>IFERROR(VLOOKUP(E1613,STAT1!$C$4:$D$1000,2,FALSE),"")</f>
        <v>Цахилгаан эрчим хүч</v>
      </c>
      <c r="G1613" s="376">
        <f>2438707-221700.64</f>
        <v>2217006.36</v>
      </c>
      <c r="H1613" s="376"/>
      <c r="I1613" s="580">
        <f t="shared" si="160"/>
        <v>0</v>
      </c>
      <c r="J1613" s="961">
        <f t="shared" si="161"/>
        <v>0</v>
      </c>
      <c r="K1613" s="80"/>
      <c r="L1613" s="630">
        <v>2003</v>
      </c>
      <c r="M1613" s="80" t="str">
        <f>+IFERROR(VLOOKUP(L1613,DATA!$G$4:$H$2000,2,FALSE),"")</f>
        <v xml:space="preserve">УБЦТС ТӨХК </v>
      </c>
      <c r="N1613" s="630"/>
      <c r="O1613" s="80" t="str">
        <f>IFERROR(VLOOKUP(N1613,DATA!$K$4:$L$51,2,FALSE),"")</f>
        <v/>
      </c>
      <c r="P1613" s="80">
        <f t="shared" si="157"/>
        <v>0</v>
      </c>
      <c r="Q1613" s="154">
        <f t="shared" si="147"/>
        <v>0</v>
      </c>
    </row>
    <row r="1614" spans="2:17">
      <c r="B1614" s="627">
        <f t="shared" si="146"/>
        <v>1609</v>
      </c>
      <c r="C1614" s="429">
        <v>43460</v>
      </c>
      <c r="D1614" s="816" t="s">
        <v>1572</v>
      </c>
      <c r="E1614" s="630">
        <v>110100</v>
      </c>
      <c r="F1614" s="629" t="str">
        <f>IFERROR(VLOOKUP(E1614,STAT1!$C$4:$D$1000,2,FALSE),"")</f>
        <v>Хаан Банк 5024654020</v>
      </c>
      <c r="G1614" s="811"/>
      <c r="H1614" s="811">
        <v>2565831</v>
      </c>
      <c r="I1614" s="580">
        <f t="shared" si="160"/>
        <v>-2565831</v>
      </c>
      <c r="J1614" s="961">
        <f t="shared" si="161"/>
        <v>0</v>
      </c>
      <c r="K1614" s="80"/>
      <c r="L1614" s="807">
        <v>2013</v>
      </c>
      <c r="M1614" s="80" t="str">
        <f>+IFERROR(VLOOKUP(L1614,DATA!$G$4:$H$2000,2,FALSE),"")</f>
        <v>УБДС ТӨХК</v>
      </c>
      <c r="N1614" s="807">
        <v>54</v>
      </c>
      <c r="O1614" s="80" t="str">
        <f>IFERROR(VLOOKUP(N1614,DATA!$K$4:$L$51,2,FALSE),"")</f>
        <v>Ашиглалтын зардалд төлсөн</v>
      </c>
      <c r="P1614" s="80">
        <f t="shared" si="157"/>
        <v>1</v>
      </c>
      <c r="Q1614" s="154">
        <f t="shared" si="147"/>
        <v>1</v>
      </c>
    </row>
    <row r="1615" spans="2:17">
      <c r="B1615" s="627">
        <f t="shared" si="146"/>
        <v>1610</v>
      </c>
      <c r="C1615" s="429">
        <v>43460</v>
      </c>
      <c r="D1615" s="816" t="s">
        <v>1572</v>
      </c>
      <c r="E1615" s="807">
        <v>120600</v>
      </c>
      <c r="F1615" s="629" t="str">
        <f>IFERROR(VLOOKUP(E1615,STAT1!$C$4:$D$1000,2,FALSE),"")</f>
        <v>НӨАТ авлага</v>
      </c>
      <c r="G1615" s="811">
        <v>233257.4</v>
      </c>
      <c r="H1615" s="811"/>
      <c r="I1615" s="580">
        <f t="shared" si="160"/>
        <v>0</v>
      </c>
      <c r="J1615" s="961">
        <f t="shared" si="161"/>
        <v>0</v>
      </c>
      <c r="K1615" s="80"/>
      <c r="L1615" s="807">
        <v>2013</v>
      </c>
      <c r="M1615" s="80" t="str">
        <f>+IFERROR(VLOOKUP(L1615,DATA!$G$4:$H$2000,2,FALSE),"")</f>
        <v>УБДС ТӨХК</v>
      </c>
      <c r="N1615" s="807"/>
      <c r="O1615" s="80" t="str">
        <f>IFERROR(VLOOKUP(N1615,DATA!$K$4:$L$51,2,FALSE),"")</f>
        <v/>
      </c>
      <c r="P1615" s="80">
        <f t="shared" si="157"/>
        <v>0</v>
      </c>
      <c r="Q1615" s="154">
        <f t="shared" si="147"/>
        <v>0</v>
      </c>
    </row>
    <row r="1616" spans="2:17">
      <c r="B1616" s="627">
        <f t="shared" si="146"/>
        <v>1611</v>
      </c>
      <c r="C1616" s="429">
        <v>43460</v>
      </c>
      <c r="D1616" s="816" t="s">
        <v>1572</v>
      </c>
      <c r="E1616" s="807">
        <v>700800</v>
      </c>
      <c r="F1616" s="629" t="str">
        <f>IFERROR(VLOOKUP(E1616,STAT1!$C$4:$D$1000,2,FALSE),"")</f>
        <v>Дулаан</v>
      </c>
      <c r="G1616" s="811">
        <f>2565831-233257.4</f>
        <v>2332573.6</v>
      </c>
      <c r="H1616" s="811"/>
      <c r="I1616" s="580">
        <f t="shared" si="160"/>
        <v>0</v>
      </c>
      <c r="J1616" s="961">
        <f t="shared" si="161"/>
        <v>0</v>
      </c>
      <c r="K1616" s="80"/>
      <c r="L1616" s="807">
        <v>2013</v>
      </c>
      <c r="M1616" s="80" t="str">
        <f>+IFERROR(VLOOKUP(L1616,DATA!$G$4:$H$2000,2,FALSE),"")</f>
        <v>УБДС ТӨХК</v>
      </c>
      <c r="N1616" s="807"/>
      <c r="O1616" s="80" t="str">
        <f>IFERROR(VLOOKUP(N1616,DATA!$K$4:$L$51,2,FALSE),"")</f>
        <v/>
      </c>
      <c r="P1616" s="80">
        <f t="shared" si="157"/>
        <v>0</v>
      </c>
      <c r="Q1616" s="154">
        <f t="shared" si="147"/>
        <v>0</v>
      </c>
    </row>
    <row r="1617" spans="2:17">
      <c r="B1617" s="627">
        <f t="shared" si="146"/>
        <v>1612</v>
      </c>
      <c r="C1617" s="429">
        <v>43460</v>
      </c>
      <c r="D1617" s="816" t="s">
        <v>2375</v>
      </c>
      <c r="E1617" s="630">
        <v>110100</v>
      </c>
      <c r="F1617" s="629" t="str">
        <f>IFERROR(VLOOKUP(E1617,STAT1!$C$4:$D$1000,2,FALSE),"")</f>
        <v>Хаан Банк 5024654020</v>
      </c>
      <c r="G1617" s="811"/>
      <c r="H1617" s="811">
        <v>8351820</v>
      </c>
      <c r="I1617" s="580">
        <f t="shared" si="160"/>
        <v>-8351820</v>
      </c>
      <c r="J1617" s="961">
        <f t="shared" si="161"/>
        <v>0</v>
      </c>
      <c r="K1617" s="80"/>
      <c r="L1617" s="807">
        <v>2004</v>
      </c>
      <c r="M1617" s="80" t="str">
        <f>+IFERROR(VLOOKUP(L1617,DATA!$G$4:$H$2000,2,FALSE),"")</f>
        <v xml:space="preserve">ДЦС-3 ТӨХК </v>
      </c>
      <c r="N1617" s="807">
        <v>54</v>
      </c>
      <c r="O1617" s="80" t="str">
        <f>IFERROR(VLOOKUP(N1617,DATA!$K$4:$L$51,2,FALSE),"")</f>
        <v>Ашиглалтын зардалд төлсөн</v>
      </c>
      <c r="P1617" s="80">
        <f t="shared" si="157"/>
        <v>1</v>
      </c>
      <c r="Q1617" s="154">
        <f t="shared" si="147"/>
        <v>1</v>
      </c>
    </row>
    <row r="1618" spans="2:17">
      <c r="B1618" s="627">
        <f t="shared" ref="B1618:B1680" si="162">+IF(C1618="","",ROW()-5)</f>
        <v>1613</v>
      </c>
      <c r="C1618" s="429">
        <v>43460</v>
      </c>
      <c r="D1618" s="816" t="s">
        <v>2375</v>
      </c>
      <c r="E1618" s="807">
        <v>310100</v>
      </c>
      <c r="F1618" s="629" t="str">
        <f>IFERROR(VLOOKUP(E1618,STAT1!$C$4:$D$1000,2,FALSE),"")</f>
        <v>Дансны өглөг MNT</v>
      </c>
      <c r="G1618" s="811">
        <v>8351820</v>
      </c>
      <c r="H1618" s="811"/>
      <c r="I1618" s="580">
        <f t="shared" si="160"/>
        <v>0</v>
      </c>
      <c r="J1618" s="961">
        <f t="shared" si="161"/>
        <v>0</v>
      </c>
      <c r="K1618" s="80"/>
      <c r="L1618" s="807">
        <v>2004</v>
      </c>
      <c r="M1618" s="80" t="str">
        <f>+IFERROR(VLOOKUP(L1618,DATA!$G$4:$H$2000,2,FALSE),"")</f>
        <v xml:space="preserve">ДЦС-3 ТӨХК </v>
      </c>
      <c r="N1618" s="807"/>
      <c r="O1618" s="80" t="str">
        <f>IFERROR(VLOOKUP(N1618,DATA!$K$4:$L$51,2,FALSE),"")</f>
        <v/>
      </c>
      <c r="P1618" s="80">
        <f t="shared" si="157"/>
        <v>0</v>
      </c>
      <c r="Q1618" s="154">
        <f t="shared" si="147"/>
        <v>0</v>
      </c>
    </row>
    <row r="1619" spans="2:17">
      <c r="B1619" s="627">
        <f t="shared" si="162"/>
        <v>1614</v>
      </c>
      <c r="C1619" s="429">
        <v>43460</v>
      </c>
      <c r="D1619" s="815" t="s">
        <v>2842</v>
      </c>
      <c r="E1619" s="630">
        <v>110100</v>
      </c>
      <c r="F1619" s="629" t="str">
        <f>IFERROR(VLOOKUP(E1619,STAT1!$C$4:$D$1000,2,FALSE),"")</f>
        <v>Хаан Банк 5024654020</v>
      </c>
      <c r="G1619" s="376"/>
      <c r="H1619" s="376">
        <v>3443616</v>
      </c>
      <c r="I1619" s="580">
        <f t="shared" si="160"/>
        <v>-3443616</v>
      </c>
      <c r="J1619" s="961">
        <f t="shared" si="161"/>
        <v>0</v>
      </c>
      <c r="K1619" s="80"/>
      <c r="L1619" s="630">
        <v>2001</v>
      </c>
      <c r="M1619" s="80" t="str">
        <f>+IFERROR(VLOOKUP(L1619,DATA!$G$4:$H$2000,2,FALSE),"")</f>
        <v>ХУД-н ТАТВАРЫН ХЭЛТЭС</v>
      </c>
      <c r="N1619" s="630">
        <v>57</v>
      </c>
      <c r="O1619" s="80" t="str">
        <f>IFERROR(VLOOKUP(N1619,DATA!$K$4:$L$51,2,FALSE),"")</f>
        <v>Татварын байгууллагад төлсөн</v>
      </c>
      <c r="P1619" s="80">
        <f t="shared" si="157"/>
        <v>1</v>
      </c>
      <c r="Q1619" s="154">
        <f t="shared" si="147"/>
        <v>1</v>
      </c>
    </row>
    <row r="1620" spans="2:17">
      <c r="B1620" s="627">
        <f t="shared" si="162"/>
        <v>1615</v>
      </c>
      <c r="C1620" s="429">
        <v>43460</v>
      </c>
      <c r="D1620" s="815" t="s">
        <v>2842</v>
      </c>
      <c r="E1620" s="630">
        <v>310900</v>
      </c>
      <c r="F1620" s="629" t="str">
        <f>IFERROR(VLOOKUP(E1620,STAT1!$C$4:$D$1000,2,FALSE),"")</f>
        <v>Бусад татварын өглөг</v>
      </c>
      <c r="G1620" s="376">
        <v>3443616</v>
      </c>
      <c r="H1620" s="376"/>
      <c r="I1620" s="580">
        <f t="shared" si="160"/>
        <v>0</v>
      </c>
      <c r="J1620" s="961">
        <f t="shared" si="161"/>
        <v>0</v>
      </c>
      <c r="K1620" s="80"/>
      <c r="L1620" s="630">
        <v>2001</v>
      </c>
      <c r="M1620" s="80" t="str">
        <f>+IFERROR(VLOOKUP(L1620,DATA!$G$4:$H$2000,2,FALSE),"")</f>
        <v>ХУД-н ТАТВАРЫН ХЭЛТЭС</v>
      </c>
      <c r="N1620" s="630"/>
      <c r="O1620" s="80" t="str">
        <f>IFERROR(VLOOKUP(N1620,DATA!$K$4:$L$51,2,FALSE),"")</f>
        <v/>
      </c>
      <c r="P1620" s="80">
        <f t="shared" si="157"/>
        <v>0</v>
      </c>
      <c r="Q1620" s="154">
        <f t="shared" si="147"/>
        <v>0</v>
      </c>
    </row>
    <row r="1621" spans="2:17">
      <c r="B1621" s="627">
        <f t="shared" si="162"/>
        <v>1616</v>
      </c>
      <c r="C1621" s="429">
        <v>43461</v>
      </c>
      <c r="D1621" s="815" t="s">
        <v>2776</v>
      </c>
      <c r="E1621" s="630">
        <v>110100</v>
      </c>
      <c r="F1621" s="629" t="str">
        <f>IFERROR(VLOOKUP(E1621,STAT1!$C$4:$D$1000,2,FALSE),"")</f>
        <v>Хаан Банк 5024654020</v>
      </c>
      <c r="G1621" s="376"/>
      <c r="H1621" s="376">
        <v>1800000</v>
      </c>
      <c r="I1621" s="580">
        <f t="shared" si="160"/>
        <v>-1800000</v>
      </c>
      <c r="J1621" s="961">
        <f t="shared" si="161"/>
        <v>0</v>
      </c>
      <c r="K1621" s="80"/>
      <c r="L1621" s="630">
        <v>2002</v>
      </c>
      <c r="M1621" s="80" t="str">
        <f>+IFERROR(VLOOKUP(L1621,DATA!$G$4:$H$2000,2,FALSE),"")</f>
        <v xml:space="preserve">ХУД-н ЭМНД ХЭЛТЭС </v>
      </c>
      <c r="N1621" s="630">
        <v>52</v>
      </c>
      <c r="O1621" s="80" t="str">
        <f>IFERROR(VLOOKUP(N1621,DATA!$K$4:$L$51,2,FALSE),"")</f>
        <v>Нийгмийн даатгалын байгууллагад төлсөн</v>
      </c>
      <c r="P1621" s="80">
        <f t="shared" si="157"/>
        <v>1</v>
      </c>
      <c r="Q1621" s="154">
        <f t="shared" si="147"/>
        <v>1</v>
      </c>
    </row>
    <row r="1622" spans="2:17">
      <c r="B1622" s="627">
        <f t="shared" si="162"/>
        <v>1617</v>
      </c>
      <c r="C1622" s="429">
        <v>43461</v>
      </c>
      <c r="D1622" s="815" t="s">
        <v>2776</v>
      </c>
      <c r="E1622" s="630">
        <v>120900</v>
      </c>
      <c r="F1622" s="629" t="str">
        <f>IFERROR(VLOOKUP(E1622,STAT1!$C$4:$D$1000,2,FALSE),"")</f>
        <v>НД-ын байгууллагаас авах авлага</v>
      </c>
      <c r="G1622" s="376">
        <v>1800000</v>
      </c>
      <c r="H1622" s="376"/>
      <c r="I1622" s="580">
        <f t="shared" si="160"/>
        <v>0</v>
      </c>
      <c r="J1622" s="961">
        <f t="shared" si="161"/>
        <v>0</v>
      </c>
      <c r="K1622" s="80"/>
      <c r="L1622" s="630">
        <v>2002</v>
      </c>
      <c r="M1622" s="80" t="str">
        <f>+IFERROR(VLOOKUP(L1622,DATA!$G$4:$H$2000,2,FALSE),"")</f>
        <v xml:space="preserve">ХУД-н ЭМНД ХЭЛТЭС </v>
      </c>
      <c r="N1622" s="630"/>
      <c r="O1622" s="80" t="str">
        <f>IFERROR(VLOOKUP(N1622,DATA!$K$4:$L$51,2,FALSE),"")</f>
        <v/>
      </c>
      <c r="P1622" s="80">
        <f t="shared" si="157"/>
        <v>0</v>
      </c>
      <c r="Q1622" s="154">
        <f t="shared" si="147"/>
        <v>0</v>
      </c>
    </row>
    <row r="1623" spans="2:17">
      <c r="B1623" s="627">
        <f t="shared" si="162"/>
        <v>1618</v>
      </c>
      <c r="C1623" s="429">
        <v>43460</v>
      </c>
      <c r="D1623" s="815" t="s">
        <v>2794</v>
      </c>
      <c r="E1623" s="630">
        <v>310100</v>
      </c>
      <c r="F1623" s="629" t="str">
        <f>IFERROR(VLOOKUP(E1623,STAT1!$C$4:$D$1000,2,FALSE),"")</f>
        <v>Дансны өглөг MNT</v>
      </c>
      <c r="G1623" s="376"/>
      <c r="H1623" s="376">
        <v>4619301.4800000004</v>
      </c>
      <c r="I1623" s="580">
        <f t="shared" si="160"/>
        <v>0</v>
      </c>
      <c r="J1623" s="961">
        <f t="shared" si="161"/>
        <v>0</v>
      </c>
      <c r="K1623" s="80"/>
      <c r="L1623" s="807">
        <v>2004</v>
      </c>
      <c r="M1623" s="80" t="str">
        <f>+IFERROR(VLOOKUP(L1623,DATA!$G$4:$H$2000,2,FALSE),"")</f>
        <v xml:space="preserve">ДЦС-3 ТӨХК </v>
      </c>
      <c r="N1623" s="630"/>
      <c r="O1623" s="80" t="str">
        <f>IFERROR(VLOOKUP(N1623,DATA!$K$4:$L$51,2,FALSE),"")</f>
        <v/>
      </c>
      <c r="P1623" s="80">
        <f t="shared" si="157"/>
        <v>0</v>
      </c>
      <c r="Q1623" s="154">
        <f t="shared" si="147"/>
        <v>0</v>
      </c>
    </row>
    <row r="1624" spans="2:17">
      <c r="B1624" s="627">
        <f t="shared" si="162"/>
        <v>1619</v>
      </c>
      <c r="C1624" s="429">
        <v>43460</v>
      </c>
      <c r="D1624" s="815" t="s">
        <v>2794</v>
      </c>
      <c r="E1624" s="630">
        <v>120100</v>
      </c>
      <c r="F1624" s="629" t="str">
        <f>IFERROR(VLOOKUP(E1624,STAT1!$C$4:$D$1000,2,FALSE),"")</f>
        <v xml:space="preserve">Дансны авлага MNT </v>
      </c>
      <c r="G1624" s="811">
        <v>419935.65</v>
      </c>
      <c r="H1624" s="376"/>
      <c r="I1624" s="580">
        <f t="shared" si="160"/>
        <v>0</v>
      </c>
      <c r="J1624" s="961">
        <f t="shared" si="161"/>
        <v>0</v>
      </c>
      <c r="K1624" s="80"/>
      <c r="L1624" s="807">
        <v>2004</v>
      </c>
      <c r="M1624" s="80" t="str">
        <f>+IFERROR(VLOOKUP(L1624,DATA!$G$4:$H$2000,2,FALSE),"")</f>
        <v xml:space="preserve">ДЦС-3 ТӨХК </v>
      </c>
      <c r="N1624" s="630"/>
      <c r="O1624" s="80" t="str">
        <f>IFERROR(VLOOKUP(N1624,DATA!$K$4:$L$51,2,FALSE),"")</f>
        <v/>
      </c>
      <c r="P1624" s="80">
        <f t="shared" si="157"/>
        <v>0</v>
      </c>
      <c r="Q1624" s="154">
        <f t="shared" si="147"/>
        <v>0</v>
      </c>
    </row>
    <row r="1625" spans="2:17">
      <c r="B1625" s="627">
        <f t="shared" si="162"/>
        <v>1620</v>
      </c>
      <c r="C1625" s="429">
        <v>43460</v>
      </c>
      <c r="D1625" s="815" t="s">
        <v>2794</v>
      </c>
      <c r="E1625" s="807">
        <v>700900</v>
      </c>
      <c r="F1625" s="629" t="str">
        <f>IFERROR(VLOOKUP(E1625,STAT1!$C$4:$D$1000,2,FALSE),"")</f>
        <v>Уур, ус</v>
      </c>
      <c r="G1625" s="811">
        <v>4199365.83</v>
      </c>
      <c r="H1625" s="811"/>
      <c r="I1625" s="580">
        <f t="shared" si="160"/>
        <v>0</v>
      </c>
      <c r="J1625" s="961">
        <f t="shared" si="161"/>
        <v>0</v>
      </c>
      <c r="K1625" s="80"/>
      <c r="L1625" s="807">
        <v>2004</v>
      </c>
      <c r="M1625" s="80" t="str">
        <f>+IFERROR(VLOOKUP(L1625,DATA!$G$4:$H$2000,2,FALSE),"")</f>
        <v xml:space="preserve">ДЦС-3 ТӨХК </v>
      </c>
      <c r="N1625" s="807"/>
      <c r="O1625" s="80" t="str">
        <f>IFERROR(VLOOKUP(N1625,DATA!$K$4:$L$51,2,FALSE),"")</f>
        <v/>
      </c>
      <c r="P1625" s="80">
        <f t="shared" si="157"/>
        <v>0</v>
      </c>
      <c r="Q1625" s="154">
        <f t="shared" si="147"/>
        <v>0</v>
      </c>
    </row>
    <row r="1626" spans="2:17">
      <c r="B1626" s="627">
        <f t="shared" si="162"/>
        <v>1621</v>
      </c>
      <c r="C1626" s="429">
        <v>43460</v>
      </c>
      <c r="D1626" s="816" t="s">
        <v>2514</v>
      </c>
      <c r="E1626" s="807">
        <v>110100</v>
      </c>
      <c r="F1626" s="629" t="str">
        <f>IFERROR(VLOOKUP(E1626,STAT1!$C$4:$D$1000,2,FALSE),"")</f>
        <v>Хаан Банк 5024654020</v>
      </c>
      <c r="G1626" s="811"/>
      <c r="H1626" s="811">
        <v>1000</v>
      </c>
      <c r="I1626" s="580">
        <f t="shared" si="160"/>
        <v>-1000</v>
      </c>
      <c r="J1626" s="961">
        <f t="shared" si="161"/>
        <v>0</v>
      </c>
      <c r="K1626" s="80"/>
      <c r="L1626" s="807">
        <v>2009</v>
      </c>
      <c r="M1626" s="80" t="str">
        <f>+IFERROR(VLOOKUP(L1626,DATA!$G$4:$H$2000,2,FALSE),"")</f>
        <v>ХААН БАНК</v>
      </c>
      <c r="N1626" s="807">
        <v>59</v>
      </c>
      <c r="O1626" s="80" t="str">
        <f>IFERROR(VLOOKUP(N1626,DATA!$K$4:$L$51,2,FALSE),"")</f>
        <v>Бусад мөнгөн зарлага</v>
      </c>
      <c r="P1626" s="80">
        <f t="shared" si="157"/>
        <v>1</v>
      </c>
      <c r="Q1626" s="154">
        <f t="shared" si="147"/>
        <v>1</v>
      </c>
    </row>
    <row r="1627" spans="2:17">
      <c r="B1627" s="627">
        <f t="shared" si="162"/>
        <v>1622</v>
      </c>
      <c r="C1627" s="429">
        <v>43460</v>
      </c>
      <c r="D1627" s="816" t="s">
        <v>2514</v>
      </c>
      <c r="E1627" s="807">
        <v>704900</v>
      </c>
      <c r="F1627" s="629" t="str">
        <f>IFERROR(VLOOKUP(E1627,STAT1!$C$4:$D$1000,2,FALSE),"")</f>
        <v>Банкны үйлчилгээ</v>
      </c>
      <c r="G1627" s="811">
        <v>1000</v>
      </c>
      <c r="H1627" s="811"/>
      <c r="I1627" s="580">
        <f t="shared" si="160"/>
        <v>0</v>
      </c>
      <c r="J1627" s="961">
        <f t="shared" si="161"/>
        <v>0</v>
      </c>
      <c r="K1627" s="80"/>
      <c r="L1627" s="807">
        <v>2009</v>
      </c>
      <c r="M1627" s="80" t="str">
        <f>+IFERROR(VLOOKUP(L1627,DATA!$G$4:$H$2000,2,FALSE),"")</f>
        <v>ХААН БАНК</v>
      </c>
      <c r="N1627" s="807"/>
      <c r="O1627" s="80" t="str">
        <f>IFERROR(VLOOKUP(N1627,DATA!$K$4:$L$51,2,FALSE),"")</f>
        <v/>
      </c>
      <c r="P1627" s="80">
        <f t="shared" si="157"/>
        <v>0</v>
      </c>
      <c r="Q1627" s="154">
        <f t="shared" si="147"/>
        <v>0</v>
      </c>
    </row>
    <row r="1628" spans="2:17">
      <c r="B1628" s="627">
        <f t="shared" si="162"/>
        <v>1623</v>
      </c>
      <c r="C1628" s="429">
        <v>43461</v>
      </c>
      <c r="D1628" s="815" t="s">
        <v>1571</v>
      </c>
      <c r="E1628" s="807">
        <v>100100</v>
      </c>
      <c r="F1628" s="629" t="str">
        <f>IFERROR(VLOOKUP(E1628,STAT1!$C$4:$D$1000,2,FALSE),"")</f>
        <v>Касс мөнгө MNT</v>
      </c>
      <c r="G1628" s="811">
        <f>301143750-50000000</f>
        <v>251143750</v>
      </c>
      <c r="H1628" s="811"/>
      <c r="I1628" s="580">
        <f t="shared" si="160"/>
        <v>251143750</v>
      </c>
      <c r="J1628" s="961">
        <f t="shared" si="161"/>
        <v>0</v>
      </c>
      <c r="K1628" s="80"/>
      <c r="L1628" s="807">
        <v>3001</v>
      </c>
      <c r="M1628" s="80" t="str">
        <f>+IFERROR(VLOOKUP(L1628,DATA!$G$4:$H$2000,2,FALSE),"")</f>
        <v>ХУРД ГРУПП ХХК</v>
      </c>
      <c r="N1628" s="807">
        <v>41</v>
      </c>
      <c r="O1628" s="80" t="str">
        <f>IFERROR(VLOOKUP(N1628,DATA!$K$4:$L$51,2,FALSE),"")</f>
        <v>Бараа борлуулсан, үйлчилгээ үзүүлсэний орлого</v>
      </c>
      <c r="P1628" s="80">
        <f t="shared" si="157"/>
        <v>1</v>
      </c>
      <c r="Q1628" s="154">
        <f t="shared" si="147"/>
        <v>1</v>
      </c>
    </row>
    <row r="1629" spans="2:17">
      <c r="B1629" s="627">
        <f t="shared" si="162"/>
        <v>1624</v>
      </c>
      <c r="C1629" s="429">
        <v>43461</v>
      </c>
      <c r="D1629" s="815" t="s">
        <v>1571</v>
      </c>
      <c r="E1629" s="807">
        <v>320100</v>
      </c>
      <c r="F1629" s="629" t="str">
        <f>IFERROR(VLOOKUP(E1629,STAT1!$C$4:$D$1000,2,FALSE),"")</f>
        <v>Урьдчилж орсон орлого MNT</v>
      </c>
      <c r="G1629" s="811"/>
      <c r="H1629" s="811">
        <f>301143750-50000000</f>
        <v>251143750</v>
      </c>
      <c r="I1629" s="580">
        <f t="shared" si="160"/>
        <v>0</v>
      </c>
      <c r="J1629" s="961">
        <f t="shared" si="161"/>
        <v>0</v>
      </c>
      <c r="K1629" s="80"/>
      <c r="L1629" s="807">
        <v>3001</v>
      </c>
      <c r="M1629" s="80" t="str">
        <f>+IFERROR(VLOOKUP(L1629,DATA!$G$4:$H$2000,2,FALSE),"")</f>
        <v>ХУРД ГРУПП ХХК</v>
      </c>
      <c r="N1629" s="807"/>
      <c r="O1629" s="80" t="str">
        <f>IFERROR(VLOOKUP(N1629,DATA!$K$4:$L$51,2,FALSE),"")</f>
        <v/>
      </c>
      <c r="P1629" s="80">
        <f t="shared" si="157"/>
        <v>0</v>
      </c>
      <c r="Q1629" s="154">
        <f t="shared" si="147"/>
        <v>0</v>
      </c>
    </row>
    <row r="1630" spans="2:17">
      <c r="B1630" s="627">
        <f t="shared" si="162"/>
        <v>1625</v>
      </c>
      <c r="C1630" s="429">
        <v>43434</v>
      </c>
      <c r="D1630" s="816" t="s">
        <v>2805</v>
      </c>
      <c r="E1630" s="807">
        <v>120100</v>
      </c>
      <c r="F1630" s="629" t="str">
        <f>IFERROR(VLOOKUP(E1630,STAT1!$C$4:$D$1000,2,FALSE),"")</f>
        <v xml:space="preserve">Дансны авлага MNT </v>
      </c>
      <c r="G1630" s="811"/>
      <c r="H1630" s="811">
        <v>258200.14</v>
      </c>
      <c r="I1630" s="580">
        <f t="shared" si="160"/>
        <v>0</v>
      </c>
      <c r="J1630" s="961">
        <f t="shared" si="161"/>
        <v>0</v>
      </c>
      <c r="K1630" s="80"/>
      <c r="L1630" s="807">
        <v>2004</v>
      </c>
      <c r="M1630" s="80" t="str">
        <f>+IFERROR(VLOOKUP(L1630,DATA!$G$4:$H$2000,2,FALSE),"")</f>
        <v xml:space="preserve">ДЦС-3 ТӨХК </v>
      </c>
      <c r="N1630" s="807"/>
      <c r="O1630" s="80" t="str">
        <f>IFERROR(VLOOKUP(N1630,DATA!$K$4:$L$51,2,FALSE),"")</f>
        <v/>
      </c>
      <c r="P1630" s="80">
        <f t="shared" si="157"/>
        <v>0</v>
      </c>
      <c r="Q1630" s="154">
        <f t="shared" ref="Q1630:Q1694" si="163">+IF(I1630,1,0)</f>
        <v>0</v>
      </c>
    </row>
    <row r="1631" spans="2:17">
      <c r="B1631" s="627">
        <f t="shared" si="162"/>
        <v>1626</v>
      </c>
      <c r="C1631" s="429">
        <v>43434</v>
      </c>
      <c r="D1631" s="816" t="s">
        <v>2805</v>
      </c>
      <c r="E1631" s="807">
        <v>120600</v>
      </c>
      <c r="F1631" s="629" t="str">
        <f>IFERROR(VLOOKUP(E1631,STAT1!$C$4:$D$1000,2,FALSE),"")</f>
        <v>НӨАТ авлага</v>
      </c>
      <c r="G1631" s="811">
        <v>258200.14</v>
      </c>
      <c r="H1631" s="811"/>
      <c r="I1631" s="580">
        <f t="shared" si="160"/>
        <v>0</v>
      </c>
      <c r="J1631" s="961">
        <f t="shared" si="161"/>
        <v>0</v>
      </c>
      <c r="K1631" s="80"/>
      <c r="L1631" s="807">
        <v>2004</v>
      </c>
      <c r="M1631" s="80" t="str">
        <f>+IFERROR(VLOOKUP(L1631,DATA!$G$4:$H$2000,2,FALSE),"")</f>
        <v xml:space="preserve">ДЦС-3 ТӨХК </v>
      </c>
      <c r="N1631" s="807"/>
      <c r="O1631" s="80" t="str">
        <f>IFERROR(VLOOKUP(N1631,DATA!$K$4:$L$51,2,FALSE),"")</f>
        <v/>
      </c>
      <c r="P1631" s="80">
        <f t="shared" si="157"/>
        <v>0</v>
      </c>
      <c r="Q1631" s="154">
        <f t="shared" si="163"/>
        <v>0</v>
      </c>
    </row>
    <row r="1632" spans="2:17">
      <c r="B1632" s="627">
        <f t="shared" si="162"/>
        <v>1627</v>
      </c>
      <c r="C1632" s="429">
        <v>43460</v>
      </c>
      <c r="D1632" s="816" t="s">
        <v>2820</v>
      </c>
      <c r="E1632" s="807">
        <v>100100</v>
      </c>
      <c r="F1632" s="629" t="str">
        <f>IFERROR(VLOOKUP(E1632,STAT1!$C$4:$D$1000,2,FALSE),"")</f>
        <v>Касс мөнгө MNT</v>
      </c>
      <c r="G1632" s="811"/>
      <c r="H1632" s="811">
        <v>15000000</v>
      </c>
      <c r="I1632" s="580">
        <f t="shared" si="160"/>
        <v>-15000000</v>
      </c>
      <c r="J1632" s="961">
        <f t="shared" si="161"/>
        <v>0</v>
      </c>
      <c r="K1632" s="80"/>
      <c r="L1632" s="807">
        <v>3120</v>
      </c>
      <c r="M1632" s="80" t="str">
        <f>+IFERROR(VLOOKUP(L1632,DATA!$G$4:$H$2000,2,FALSE),"")</f>
        <v>АКВАПЛАСТ МОНГОЛ ХХК</v>
      </c>
      <c r="N1632" s="807">
        <v>53</v>
      </c>
      <c r="O1632" s="80" t="str">
        <f>IFERROR(VLOOKUP(N1632,DATA!$K$4:$L$51,2,FALSE),"")</f>
        <v>Бараа материал худалдан авахад төлсөн</v>
      </c>
      <c r="P1632" s="80">
        <f t="shared" si="157"/>
        <v>1</v>
      </c>
      <c r="Q1632" s="154">
        <f t="shared" si="163"/>
        <v>1</v>
      </c>
    </row>
    <row r="1633" spans="2:17">
      <c r="B1633" s="627">
        <f t="shared" si="162"/>
        <v>1628</v>
      </c>
      <c r="C1633" s="429">
        <v>43460</v>
      </c>
      <c r="D1633" s="816" t="s">
        <v>2820</v>
      </c>
      <c r="E1633" s="807">
        <v>310100</v>
      </c>
      <c r="F1633" s="629" t="str">
        <f>IFERROR(VLOOKUP(E1633,STAT1!$C$4:$D$1000,2,FALSE),"")</f>
        <v>Дансны өглөг MNT</v>
      </c>
      <c r="G1633" s="811">
        <v>15000000</v>
      </c>
      <c r="H1633" s="811"/>
      <c r="I1633" s="580">
        <f t="shared" si="160"/>
        <v>0</v>
      </c>
      <c r="J1633" s="961">
        <f t="shared" si="161"/>
        <v>0</v>
      </c>
      <c r="K1633" s="80"/>
      <c r="L1633" s="807">
        <v>3120</v>
      </c>
      <c r="M1633" s="80" t="str">
        <f>+IFERROR(VLOOKUP(L1633,DATA!$G$4:$H$2000,2,FALSE),"")</f>
        <v>АКВАПЛАСТ МОНГОЛ ХХК</v>
      </c>
      <c r="N1633" s="807"/>
      <c r="O1633" s="80" t="str">
        <f>IFERROR(VLOOKUP(N1633,DATA!$K$4:$L$51,2,FALSE),"")</f>
        <v/>
      </c>
      <c r="P1633" s="80">
        <f t="shared" si="157"/>
        <v>0</v>
      </c>
      <c r="Q1633" s="154">
        <f t="shared" si="163"/>
        <v>0</v>
      </c>
    </row>
    <row r="1634" spans="2:17">
      <c r="B1634" s="627">
        <f t="shared" si="162"/>
        <v>1629</v>
      </c>
      <c r="C1634" s="429">
        <v>43462</v>
      </c>
      <c r="D1634" s="850" t="s">
        <v>2829</v>
      </c>
      <c r="E1634" s="807">
        <v>700200</v>
      </c>
      <c r="F1634" s="629" t="str">
        <f>IFERROR(VLOOKUP(E1634,STAT1!$C$4:$D$1000,2,FALSE),"")</f>
        <v>НДШимтгэл</v>
      </c>
      <c r="G1634" s="811">
        <v>1273264.1200000001</v>
      </c>
      <c r="H1634" s="807"/>
      <c r="I1634" s="580">
        <f t="shared" si="160"/>
        <v>0</v>
      </c>
      <c r="J1634" s="961">
        <f t="shared" si="161"/>
        <v>0</v>
      </c>
      <c r="K1634" s="80"/>
      <c r="L1634" s="807">
        <v>1004</v>
      </c>
      <c r="M1634" s="80" t="str">
        <f>+IFERROR(VLOOKUP(L1634,DATA!$G$4:$H$2000,2,FALSE),"")</f>
        <v xml:space="preserve">Түмэндэлгэр </v>
      </c>
      <c r="N1634" s="807"/>
      <c r="O1634" s="80" t="str">
        <f>IFERROR(VLOOKUP(N1634,DATA!$K$4:$L$51,2,FALSE),"")</f>
        <v/>
      </c>
      <c r="P1634" s="80">
        <f t="shared" si="157"/>
        <v>0</v>
      </c>
      <c r="Q1634" s="154">
        <f t="shared" si="163"/>
        <v>0</v>
      </c>
    </row>
    <row r="1635" spans="2:17">
      <c r="B1635" s="627">
        <f t="shared" si="162"/>
        <v>1630</v>
      </c>
      <c r="C1635" s="429">
        <v>43462</v>
      </c>
      <c r="D1635" s="895" t="s">
        <v>2829</v>
      </c>
      <c r="E1635" s="807">
        <v>310800</v>
      </c>
      <c r="F1635" s="629" t="str">
        <f>IFERROR(VLOOKUP(E1635,STAT1!$C$4:$D$1000,2,FALSE),"")</f>
        <v>НД-ын байгууллагад өгөх өглөг</v>
      </c>
      <c r="G1635" s="807"/>
      <c r="H1635" s="811">
        <v>1273264.1200000001</v>
      </c>
      <c r="I1635" s="580">
        <f t="shared" si="160"/>
        <v>0</v>
      </c>
      <c r="J1635" s="961">
        <f t="shared" si="161"/>
        <v>0</v>
      </c>
      <c r="K1635" s="80"/>
      <c r="L1635" s="807">
        <v>1004</v>
      </c>
      <c r="M1635" s="80" t="str">
        <f>+IFERROR(VLOOKUP(L1635,DATA!$G$4:$H$2000,2,FALSE),"")</f>
        <v xml:space="preserve">Түмэндэлгэр </v>
      </c>
      <c r="N1635" s="807"/>
      <c r="O1635" s="80" t="str">
        <f>IFERROR(VLOOKUP(N1635,DATA!$K$4:$L$51,2,FALSE),"")</f>
        <v/>
      </c>
      <c r="P1635" s="80">
        <f t="shared" si="157"/>
        <v>0</v>
      </c>
      <c r="Q1635" s="154">
        <f t="shared" si="163"/>
        <v>0</v>
      </c>
    </row>
    <row r="1636" spans="2:17">
      <c r="B1636" s="627">
        <f t="shared" si="162"/>
        <v>1631</v>
      </c>
      <c r="C1636" s="429">
        <v>43462</v>
      </c>
      <c r="D1636" s="895" t="s">
        <v>2830</v>
      </c>
      <c r="E1636" s="630">
        <v>310800</v>
      </c>
      <c r="F1636" s="629" t="str">
        <f>IFERROR(VLOOKUP(E1636,STAT1!$C$4:$D$1000,2,FALSE),"")</f>
        <v>НД-ын байгууллагад өгөх өглөг</v>
      </c>
      <c r="G1636" s="896"/>
      <c r="H1636" s="376">
        <v>1030662.88</v>
      </c>
      <c r="I1636" s="580">
        <f t="shared" si="160"/>
        <v>0</v>
      </c>
      <c r="J1636" s="961">
        <f t="shared" si="161"/>
        <v>0</v>
      </c>
      <c r="K1636" s="80"/>
      <c r="L1636" s="807">
        <v>1004</v>
      </c>
      <c r="M1636" s="80" t="str">
        <f>+IFERROR(VLOOKUP(L1636,DATA!$G$4:$H$2000,2,FALSE),"")</f>
        <v xml:space="preserve">Түмэндэлгэр </v>
      </c>
      <c r="N1636" s="630"/>
      <c r="O1636" s="80" t="str">
        <f>IFERROR(VLOOKUP(N1636,DATA!$K$4:$L$51,2,FALSE),"")</f>
        <v/>
      </c>
      <c r="P1636" s="80">
        <f t="shared" si="157"/>
        <v>0</v>
      </c>
      <c r="Q1636" s="154">
        <f t="shared" si="163"/>
        <v>0</v>
      </c>
    </row>
    <row r="1637" spans="2:17">
      <c r="B1637" s="627">
        <f t="shared" si="162"/>
        <v>1632</v>
      </c>
      <c r="C1637" s="429">
        <v>43462</v>
      </c>
      <c r="D1637" s="895" t="s">
        <v>2831</v>
      </c>
      <c r="E1637" s="630">
        <v>310700</v>
      </c>
      <c r="F1637" s="629" t="str">
        <f>IFERROR(VLOOKUP(E1637,STAT1!$C$4:$D$1000,2,FALSE),"")</f>
        <v>ХАОАТ өглөг</v>
      </c>
      <c r="G1637" s="896"/>
      <c r="H1637" s="376">
        <v>705939.96</v>
      </c>
      <c r="I1637" s="580">
        <f t="shared" si="160"/>
        <v>0</v>
      </c>
      <c r="J1637" s="961">
        <f t="shared" si="161"/>
        <v>0</v>
      </c>
      <c r="K1637" s="80"/>
      <c r="L1637" s="807">
        <v>1004</v>
      </c>
      <c r="M1637" s="80" t="str">
        <f>+IFERROR(VLOOKUP(L1637,DATA!$G$4:$H$2000,2,FALSE),"")</f>
        <v xml:space="preserve">Түмэндэлгэр </v>
      </c>
      <c r="N1637" s="630"/>
      <c r="O1637" s="80" t="str">
        <f>IFERROR(VLOOKUP(N1637,DATA!$K$4:$L$51,2,FALSE),"")</f>
        <v/>
      </c>
      <c r="P1637" s="80">
        <f t="shared" si="157"/>
        <v>0</v>
      </c>
      <c r="Q1637" s="154">
        <f t="shared" si="163"/>
        <v>0</v>
      </c>
    </row>
    <row r="1638" spans="2:17">
      <c r="B1638" s="627">
        <f t="shared" si="162"/>
        <v>1633</v>
      </c>
      <c r="C1638" s="429">
        <v>43462</v>
      </c>
      <c r="D1638" s="895" t="s">
        <v>2832</v>
      </c>
      <c r="E1638" s="630">
        <v>311000</v>
      </c>
      <c r="F1638" s="629" t="str">
        <f>IFERROR(VLOOKUP(E1638,STAT1!$C$4:$D$1000,2,FALSE),"")</f>
        <v>Цалингийн өглөг</v>
      </c>
      <c r="G1638" s="896"/>
      <c r="H1638" s="376">
        <v>7753459.6600000001</v>
      </c>
      <c r="I1638" s="580">
        <f t="shared" si="160"/>
        <v>0</v>
      </c>
      <c r="J1638" s="961">
        <f t="shared" si="161"/>
        <v>0</v>
      </c>
      <c r="K1638" s="80"/>
      <c r="L1638" s="807">
        <v>1004</v>
      </c>
      <c r="M1638" s="80" t="str">
        <f>+IFERROR(VLOOKUP(L1638,DATA!$G$4:$H$2000,2,FALSE),"")</f>
        <v xml:space="preserve">Түмэндэлгэр </v>
      </c>
      <c r="N1638" s="630"/>
      <c r="O1638" s="80" t="str">
        <f>IFERROR(VLOOKUP(N1638,DATA!$K$4:$L$51,2,FALSE),"")</f>
        <v/>
      </c>
      <c r="P1638" s="80">
        <f t="shared" si="157"/>
        <v>0</v>
      </c>
      <c r="Q1638" s="154">
        <f t="shared" si="163"/>
        <v>0</v>
      </c>
    </row>
    <row r="1639" spans="2:17">
      <c r="B1639" s="627">
        <f t="shared" si="162"/>
        <v>1634</v>
      </c>
      <c r="C1639" s="429">
        <v>43462</v>
      </c>
      <c r="D1639" s="895" t="s">
        <v>2833</v>
      </c>
      <c r="E1639" s="630">
        <v>700100</v>
      </c>
      <c r="F1639" s="629" t="str">
        <f>IFERROR(VLOOKUP(E1639,STAT1!$C$4:$D$1000,2,FALSE),"")</f>
        <v>Цалин хөлс, шагнал</v>
      </c>
      <c r="G1639" s="376">
        <v>9490062.5</v>
      </c>
      <c r="H1639" s="896"/>
      <c r="I1639" s="580">
        <f t="shared" si="160"/>
        <v>0</v>
      </c>
      <c r="J1639" s="961">
        <f t="shared" si="161"/>
        <v>0</v>
      </c>
      <c r="K1639" s="80"/>
      <c r="L1639" s="807">
        <v>1004</v>
      </c>
      <c r="M1639" s="80" t="str">
        <f>+IFERROR(VLOOKUP(L1639,DATA!$G$4:$H$2000,2,FALSE),"")</f>
        <v xml:space="preserve">Түмэндэлгэр </v>
      </c>
      <c r="N1639" s="630"/>
      <c r="O1639" s="80" t="str">
        <f>IFERROR(VLOOKUP(N1639,DATA!$K$4:$L$51,2,FALSE),"")</f>
        <v/>
      </c>
      <c r="P1639" s="80">
        <f t="shared" si="157"/>
        <v>0</v>
      </c>
      <c r="Q1639" s="154">
        <f t="shared" si="163"/>
        <v>0</v>
      </c>
    </row>
    <row r="1640" spans="2:17">
      <c r="B1640" s="627">
        <f t="shared" si="162"/>
        <v>1635</v>
      </c>
      <c r="C1640" s="429">
        <v>43462</v>
      </c>
      <c r="D1640" s="816" t="s">
        <v>2843</v>
      </c>
      <c r="E1640" s="630">
        <v>100100</v>
      </c>
      <c r="F1640" s="629" t="str">
        <f>IFERROR(VLOOKUP(E1640,STAT1!$C$4:$D$1000,2,FALSE),"")</f>
        <v>Касс мөнгө MNT</v>
      </c>
      <c r="G1640" s="376"/>
      <c r="H1640" s="376">
        <v>7753459.6625000006</v>
      </c>
      <c r="I1640" s="580">
        <f t="shared" si="160"/>
        <v>-7753459.6625000006</v>
      </c>
      <c r="J1640" s="961">
        <f t="shared" si="161"/>
        <v>0</v>
      </c>
      <c r="K1640" s="80"/>
      <c r="L1640" s="807">
        <v>1004</v>
      </c>
      <c r="M1640" s="80" t="str">
        <f>+IFERROR(VLOOKUP(L1640,DATA!$G$4:$H$2000,2,FALSE),"")</f>
        <v xml:space="preserve">Түмэндэлгэр </v>
      </c>
      <c r="N1640" s="630">
        <v>51</v>
      </c>
      <c r="O1640" s="80" t="str">
        <f>IFERROR(VLOOKUP(N1640,DATA!$K$4:$L$51,2,FALSE),"")</f>
        <v>Ажиллагчдад төлсөн</v>
      </c>
      <c r="P1640" s="80">
        <f t="shared" si="157"/>
        <v>1</v>
      </c>
      <c r="Q1640" s="154">
        <f t="shared" si="163"/>
        <v>1</v>
      </c>
    </row>
    <row r="1641" spans="2:17">
      <c r="B1641" s="627">
        <f t="shared" si="162"/>
        <v>1636</v>
      </c>
      <c r="C1641" s="429">
        <v>43462</v>
      </c>
      <c r="D1641" s="816" t="s">
        <v>2843</v>
      </c>
      <c r="E1641" s="807">
        <v>311000</v>
      </c>
      <c r="F1641" s="629" t="str">
        <f>IFERROR(VLOOKUP(E1641,STAT1!$C$4:$D$1000,2,FALSE),"")</f>
        <v>Цалингийн өглөг</v>
      </c>
      <c r="G1641" s="376">
        <v>7753459.6625000006</v>
      </c>
      <c r="H1641" s="811"/>
      <c r="I1641" s="580">
        <f t="shared" si="160"/>
        <v>0</v>
      </c>
      <c r="J1641" s="961">
        <f t="shared" si="161"/>
        <v>0</v>
      </c>
      <c r="K1641" s="80"/>
      <c r="L1641" s="807">
        <v>1004</v>
      </c>
      <c r="M1641" s="80" t="str">
        <f>+IFERROR(VLOOKUP(L1641,DATA!$G$4:$H$2000,2,FALSE),"")</f>
        <v xml:space="preserve">Түмэндэлгэр </v>
      </c>
      <c r="N1641" s="807"/>
      <c r="O1641" s="80" t="str">
        <f>IFERROR(VLOOKUP(N1641,DATA!$K$4:$L$51,2,FALSE),"")</f>
        <v/>
      </c>
      <c r="P1641" s="80">
        <f t="shared" si="157"/>
        <v>0</v>
      </c>
      <c r="Q1641" s="154">
        <f t="shared" si="163"/>
        <v>0</v>
      </c>
    </row>
    <row r="1642" spans="2:17">
      <c r="B1642" s="627">
        <f t="shared" si="162"/>
        <v>1637</v>
      </c>
      <c r="C1642" s="429">
        <v>43462</v>
      </c>
      <c r="D1642" s="816" t="s">
        <v>2810</v>
      </c>
      <c r="E1642" s="807">
        <v>320100</v>
      </c>
      <c r="F1642" s="629" t="str">
        <f>IFERROR(VLOOKUP(E1642,STAT1!$C$4:$D$1000,2,FALSE),"")</f>
        <v>Урьдчилж орсон орлого MNT</v>
      </c>
      <c r="G1642" s="811">
        <v>301143750</v>
      </c>
      <c r="H1642" s="811"/>
      <c r="I1642" s="580">
        <f t="shared" si="160"/>
        <v>0</v>
      </c>
      <c r="J1642" s="961">
        <f t="shared" si="161"/>
        <v>0</v>
      </c>
      <c r="K1642" s="80"/>
      <c r="L1642" s="807">
        <v>3001</v>
      </c>
      <c r="M1642" s="80" t="str">
        <f>+IFERROR(VLOOKUP(L1642,DATA!$G$4:$H$2000,2,FALSE),"")</f>
        <v>ХУРД ГРУПП ХХК</v>
      </c>
      <c r="N1642" s="807"/>
      <c r="O1642" s="80" t="str">
        <f>IFERROR(VLOOKUP(N1642,DATA!$K$4:$L$51,2,FALSE),"")</f>
        <v/>
      </c>
      <c r="P1642" s="80">
        <f t="shared" si="157"/>
        <v>0</v>
      </c>
      <c r="Q1642" s="154">
        <f t="shared" si="163"/>
        <v>0</v>
      </c>
    </row>
    <row r="1643" spans="2:17">
      <c r="B1643" s="627">
        <f t="shared" si="162"/>
        <v>1638</v>
      </c>
      <c r="C1643" s="429">
        <v>43462</v>
      </c>
      <c r="D1643" s="816" t="s">
        <v>2810</v>
      </c>
      <c r="E1643" s="807">
        <v>310500</v>
      </c>
      <c r="F1643" s="629" t="str">
        <f>IFERROR(VLOOKUP(E1643,STAT1!$C$4:$D$1000,2,FALSE),"")</f>
        <v>НӨАТ өглөг</v>
      </c>
      <c r="G1643" s="811"/>
      <c r="H1643" s="811">
        <v>27376704.449999999</v>
      </c>
      <c r="I1643" s="580">
        <f t="shared" si="160"/>
        <v>0</v>
      </c>
      <c r="J1643" s="961">
        <f t="shared" si="161"/>
        <v>0</v>
      </c>
      <c r="K1643" s="80"/>
      <c r="L1643" s="807">
        <v>3001</v>
      </c>
      <c r="M1643" s="80" t="str">
        <f>+IFERROR(VLOOKUP(L1643,DATA!$G$4:$H$2000,2,FALSE),"")</f>
        <v>ХУРД ГРУПП ХХК</v>
      </c>
      <c r="N1643" s="807"/>
      <c r="O1643" s="80" t="str">
        <f>IFERROR(VLOOKUP(N1643,DATA!$K$4:$L$51,2,FALSE),"")</f>
        <v/>
      </c>
      <c r="P1643" s="80">
        <f t="shared" si="157"/>
        <v>0</v>
      </c>
      <c r="Q1643" s="154">
        <f t="shared" si="163"/>
        <v>0</v>
      </c>
    </row>
    <row r="1644" spans="2:17">
      <c r="B1644" s="627">
        <f t="shared" si="162"/>
        <v>1639</v>
      </c>
      <c r="C1644" s="429">
        <v>43462</v>
      </c>
      <c r="D1644" s="816" t="s">
        <v>2810</v>
      </c>
      <c r="E1644" s="807">
        <v>510400</v>
      </c>
      <c r="F1644" s="629" t="str">
        <f>IFERROR(VLOOKUP(E1644,STAT1!$C$4:$D$1000,2,FALSE),"")</f>
        <v>Бусад борлуулалт</v>
      </c>
      <c r="G1644" s="811"/>
      <c r="H1644" s="811">
        <f>301143750-27376704.45</f>
        <v>273767045.55000001</v>
      </c>
      <c r="I1644" s="580">
        <f t="shared" si="160"/>
        <v>0</v>
      </c>
      <c r="J1644" s="961">
        <f t="shared" si="161"/>
        <v>0</v>
      </c>
      <c r="K1644" s="80"/>
      <c r="L1644" s="807">
        <v>3001</v>
      </c>
      <c r="M1644" s="80" t="str">
        <f>+IFERROR(VLOOKUP(L1644,DATA!$G$4:$H$2000,2,FALSE),"")</f>
        <v>ХУРД ГРУПП ХХК</v>
      </c>
      <c r="N1644" s="807"/>
      <c r="O1644" s="80" t="str">
        <f>IFERROR(VLOOKUP(N1644,DATA!$K$4:$L$51,2,FALSE),"")</f>
        <v/>
      </c>
      <c r="P1644" s="80">
        <f t="shared" si="157"/>
        <v>0</v>
      </c>
      <c r="Q1644" s="154">
        <f t="shared" si="163"/>
        <v>0</v>
      </c>
    </row>
    <row r="1645" spans="2:17">
      <c r="B1645" s="627">
        <f t="shared" si="162"/>
        <v>1640</v>
      </c>
      <c r="C1645" s="429">
        <v>43465</v>
      </c>
      <c r="D1645" s="816" t="s">
        <v>2844</v>
      </c>
      <c r="E1645" s="807">
        <v>120600</v>
      </c>
      <c r="F1645" s="629" t="str">
        <f>IFERROR(VLOOKUP(E1645,STAT1!$C$4:$D$1000,2,FALSE),"")</f>
        <v>НӨАТ авлага</v>
      </c>
      <c r="G1645" s="376">
        <v>15909.09</v>
      </c>
      <c r="H1645" s="811"/>
      <c r="I1645" s="580">
        <f t="shared" si="160"/>
        <v>0</v>
      </c>
      <c r="J1645" s="961">
        <f t="shared" si="161"/>
        <v>0</v>
      </c>
      <c r="K1645" s="80"/>
      <c r="L1645" s="807">
        <v>1008</v>
      </c>
      <c r="M1645" s="80" t="str">
        <f>+IFERROR(VLOOKUP(L1645,DATA!$G$4:$H$2000,2,FALSE),"")</f>
        <v xml:space="preserve">Оюунтүлхүүр </v>
      </c>
      <c r="N1645" s="807"/>
      <c r="O1645" s="80" t="str">
        <f>IFERROR(VLOOKUP(N1645,DATA!$K$4:$L$51,2,FALSE),"")</f>
        <v/>
      </c>
      <c r="P1645" s="80">
        <f t="shared" si="157"/>
        <v>0</v>
      </c>
      <c r="Q1645" s="154">
        <f t="shared" si="163"/>
        <v>0</v>
      </c>
    </row>
    <row r="1646" spans="2:17">
      <c r="B1646" s="627">
        <f t="shared" si="162"/>
        <v>1641</v>
      </c>
      <c r="C1646" s="429">
        <v>43465</v>
      </c>
      <c r="D1646" s="816" t="s">
        <v>2844</v>
      </c>
      <c r="E1646" s="807">
        <v>120100</v>
      </c>
      <c r="F1646" s="629" t="str">
        <f>IFERROR(VLOOKUP(E1646,STAT1!$C$4:$D$1000,2,FALSE),"")</f>
        <v xml:space="preserve">Дансны авлага MNT </v>
      </c>
      <c r="G1646" s="811"/>
      <c r="H1646" s="376">
        <v>15909.09</v>
      </c>
      <c r="I1646" s="580">
        <f t="shared" si="160"/>
        <v>0</v>
      </c>
      <c r="J1646" s="961">
        <f t="shared" si="161"/>
        <v>0</v>
      </c>
      <c r="K1646" s="80"/>
      <c r="L1646" s="807">
        <v>1008</v>
      </c>
      <c r="M1646" s="80" t="str">
        <f>+IFERROR(VLOOKUP(L1646,DATA!$G$4:$H$2000,2,FALSE),"")</f>
        <v xml:space="preserve">Оюунтүлхүүр </v>
      </c>
      <c r="N1646" s="807"/>
      <c r="O1646" s="80" t="str">
        <f>IFERROR(VLOOKUP(N1646,DATA!$K$4:$L$51,2,FALSE),"")</f>
        <v/>
      </c>
      <c r="P1646" s="80">
        <f t="shared" si="157"/>
        <v>0</v>
      </c>
      <c r="Q1646" s="154">
        <f t="shared" si="163"/>
        <v>0</v>
      </c>
    </row>
    <row r="1647" spans="2:17">
      <c r="B1647" s="627">
        <f t="shared" si="162"/>
        <v>1642</v>
      </c>
      <c r="C1647" s="429">
        <v>43465</v>
      </c>
      <c r="D1647" s="816" t="s">
        <v>2845</v>
      </c>
      <c r="E1647" s="807">
        <v>120900</v>
      </c>
      <c r="F1647" s="629" t="str">
        <f>IFERROR(VLOOKUP(E1647,STAT1!$C$4:$D$1000,2,FALSE),"")</f>
        <v>НД-ын байгууллагаас авах авлага</v>
      </c>
      <c r="G1647" s="811">
        <v>106211.99</v>
      </c>
      <c r="H1647" s="811"/>
      <c r="I1647" s="580">
        <f t="shared" si="160"/>
        <v>0</v>
      </c>
      <c r="J1647" s="961">
        <f t="shared" si="161"/>
        <v>0</v>
      </c>
      <c r="K1647" s="80"/>
      <c r="L1647" s="807">
        <v>1004</v>
      </c>
      <c r="M1647" s="80" t="str">
        <f>+IFERROR(VLOOKUP(L1647,DATA!$G$4:$H$2000,2,FALSE),"")</f>
        <v xml:space="preserve">Түмэндэлгэр </v>
      </c>
      <c r="N1647" s="807"/>
      <c r="O1647" s="80" t="str">
        <f>IFERROR(VLOOKUP(N1647,DATA!$K$4:$L$51,2,FALSE),"")</f>
        <v/>
      </c>
      <c r="P1647" s="80">
        <f t="shared" si="157"/>
        <v>0</v>
      </c>
      <c r="Q1647" s="154">
        <f t="shared" si="163"/>
        <v>0</v>
      </c>
    </row>
    <row r="1648" spans="2:17">
      <c r="B1648" s="627">
        <f t="shared" si="162"/>
        <v>1643</v>
      </c>
      <c r="C1648" s="429">
        <v>43465</v>
      </c>
      <c r="D1648" s="816" t="s">
        <v>2845</v>
      </c>
      <c r="E1648" s="807">
        <v>700100</v>
      </c>
      <c r="F1648" s="629" t="str">
        <f>IFERROR(VLOOKUP(E1648,STAT1!$C$4:$D$1000,2,FALSE),"")</f>
        <v>Цалин хөлс, шагнал</v>
      </c>
      <c r="G1648" s="811"/>
      <c r="H1648" s="811">
        <v>106211.99</v>
      </c>
      <c r="I1648" s="580">
        <f t="shared" si="160"/>
        <v>0</v>
      </c>
      <c r="J1648" s="961">
        <f t="shared" si="161"/>
        <v>0</v>
      </c>
      <c r="K1648" s="80"/>
      <c r="L1648" s="807">
        <v>1004</v>
      </c>
      <c r="M1648" s="80" t="str">
        <f>+IFERROR(VLOOKUP(L1648,DATA!$G$4:$H$2000,2,FALSE),"")</f>
        <v xml:space="preserve">Түмэндэлгэр </v>
      </c>
      <c r="N1648" s="807"/>
      <c r="O1648" s="80" t="str">
        <f>IFERROR(VLOOKUP(N1648,DATA!$K$4:$L$51,2,FALSE),"")</f>
        <v/>
      </c>
      <c r="P1648" s="80">
        <f t="shared" si="157"/>
        <v>0</v>
      </c>
      <c r="Q1648" s="154">
        <f t="shared" si="163"/>
        <v>0</v>
      </c>
    </row>
    <row r="1649" spans="2:17">
      <c r="B1649" s="627">
        <f t="shared" si="162"/>
        <v>1644</v>
      </c>
      <c r="C1649" s="582">
        <v>43462</v>
      </c>
      <c r="D1649" s="815" t="s">
        <v>2649</v>
      </c>
      <c r="E1649" s="630">
        <v>110100</v>
      </c>
      <c r="F1649" s="629" t="str">
        <f>IFERROR(VLOOKUP(E1649,STAT1!$C$4:$D$1000,2,FALSE),"")</f>
        <v>Хаан Банк 5024654020</v>
      </c>
      <c r="G1649" s="376"/>
      <c r="H1649" s="376">
        <v>5700000</v>
      </c>
      <c r="I1649" s="580">
        <f t="shared" si="160"/>
        <v>-5700000</v>
      </c>
      <c r="J1649" s="961">
        <f t="shared" si="161"/>
        <v>0</v>
      </c>
      <c r="K1649" s="80"/>
      <c r="L1649" s="807">
        <v>1004</v>
      </c>
      <c r="M1649" s="80" t="str">
        <f>+IFERROR(VLOOKUP(L1649,DATA!$G$4:$H$2000,2,FALSE),"")</f>
        <v xml:space="preserve">Түмэндэлгэр </v>
      </c>
      <c r="N1649" s="630"/>
      <c r="O1649" s="80" t="str">
        <f>IFERROR(VLOOKUP(N1649,DATA!$K$4:$L$51,2,FALSE),"")</f>
        <v/>
      </c>
      <c r="P1649" s="80">
        <f t="shared" si="157"/>
        <v>1</v>
      </c>
      <c r="Q1649" s="154">
        <f t="shared" si="163"/>
        <v>1</v>
      </c>
    </row>
    <row r="1650" spans="2:17">
      <c r="B1650" s="627">
        <f t="shared" si="162"/>
        <v>1645</v>
      </c>
      <c r="C1650" s="582">
        <v>43462</v>
      </c>
      <c r="D1650" s="815" t="s">
        <v>2649</v>
      </c>
      <c r="E1650" s="630">
        <v>100100</v>
      </c>
      <c r="F1650" s="629" t="str">
        <f>IFERROR(VLOOKUP(E1650,STAT1!$C$4:$D$1000,2,FALSE),"")</f>
        <v>Касс мөнгө MNT</v>
      </c>
      <c r="G1650" s="376">
        <v>5700000</v>
      </c>
      <c r="H1650" s="376"/>
      <c r="I1650" s="580">
        <f t="shared" si="160"/>
        <v>5700000</v>
      </c>
      <c r="J1650" s="961">
        <f t="shared" si="161"/>
        <v>0</v>
      </c>
      <c r="K1650" s="80"/>
      <c r="L1650" s="807">
        <v>1004</v>
      </c>
      <c r="M1650" s="80" t="str">
        <f>+IFERROR(VLOOKUP(L1650,DATA!$G$4:$H$2000,2,FALSE),"")</f>
        <v xml:space="preserve">Түмэндэлгэр </v>
      </c>
      <c r="N1650" s="630"/>
      <c r="O1650" s="80" t="str">
        <f>IFERROR(VLOOKUP(N1650,DATA!$K$4:$L$51,2,FALSE),"")</f>
        <v/>
      </c>
      <c r="P1650" s="80">
        <f t="shared" si="157"/>
        <v>1</v>
      </c>
      <c r="Q1650" s="154">
        <f t="shared" si="163"/>
        <v>1</v>
      </c>
    </row>
    <row r="1651" spans="2:17">
      <c r="B1651" s="627">
        <f t="shared" si="162"/>
        <v>1646</v>
      </c>
      <c r="C1651" s="582">
        <v>43462</v>
      </c>
      <c r="D1651" s="815" t="s">
        <v>2858</v>
      </c>
      <c r="E1651" s="630">
        <v>110100</v>
      </c>
      <c r="F1651" s="629" t="str">
        <f>IFERROR(VLOOKUP(E1651,STAT1!$C$4:$D$1000,2,FALSE),"")</f>
        <v>Хаан Банк 5024654020</v>
      </c>
      <c r="G1651" s="376"/>
      <c r="H1651" s="376">
        <v>400</v>
      </c>
      <c r="I1651" s="580">
        <f t="shared" si="160"/>
        <v>-400</v>
      </c>
      <c r="J1651" s="961">
        <f t="shared" si="161"/>
        <v>0</v>
      </c>
      <c r="K1651" s="80"/>
      <c r="L1651" s="630">
        <v>2009</v>
      </c>
      <c r="M1651" s="80" t="str">
        <f>+IFERROR(VLOOKUP(L1651,DATA!$G$4:$H$2000,2,FALSE),"")</f>
        <v>ХААН БАНК</v>
      </c>
      <c r="N1651" s="630">
        <v>59</v>
      </c>
      <c r="O1651" s="80" t="str">
        <f>IFERROR(VLOOKUP(N1651,DATA!$K$4:$L$51,2,FALSE),"")</f>
        <v>Бусад мөнгөн зарлага</v>
      </c>
      <c r="P1651" s="80">
        <f t="shared" si="157"/>
        <v>1</v>
      </c>
      <c r="Q1651" s="154">
        <f t="shared" si="163"/>
        <v>1</v>
      </c>
    </row>
    <row r="1652" spans="2:17">
      <c r="B1652" s="627">
        <f t="shared" si="162"/>
        <v>1647</v>
      </c>
      <c r="C1652" s="582">
        <v>43462</v>
      </c>
      <c r="D1652" s="815" t="s">
        <v>2858</v>
      </c>
      <c r="E1652" s="630">
        <v>704900</v>
      </c>
      <c r="F1652" s="629" t="str">
        <f>IFERROR(VLOOKUP(E1652,STAT1!$C$4:$D$1000,2,FALSE),"")</f>
        <v>Банкны үйлчилгээ</v>
      </c>
      <c r="G1652" s="376">
        <v>400</v>
      </c>
      <c r="H1652" s="376"/>
      <c r="I1652" s="580">
        <f t="shared" si="160"/>
        <v>0</v>
      </c>
      <c r="J1652" s="961">
        <f t="shared" si="161"/>
        <v>0</v>
      </c>
      <c r="K1652" s="80"/>
      <c r="L1652" s="630">
        <v>2009</v>
      </c>
      <c r="M1652" s="80" t="str">
        <f>+IFERROR(VLOOKUP(L1652,DATA!$G$4:$H$2000,2,FALSE),"")</f>
        <v>ХААН БАНК</v>
      </c>
      <c r="N1652" s="630"/>
      <c r="O1652" s="80" t="str">
        <f>IFERROR(VLOOKUP(N1652,DATA!$K$4:$L$51,2,FALSE),"")</f>
        <v/>
      </c>
      <c r="P1652" s="80">
        <f t="shared" si="157"/>
        <v>0</v>
      </c>
      <c r="Q1652" s="154">
        <f t="shared" si="163"/>
        <v>0</v>
      </c>
    </row>
    <row r="1653" spans="2:17">
      <c r="B1653" s="627">
        <f t="shared" si="162"/>
        <v>1648</v>
      </c>
      <c r="C1653" s="582">
        <v>43465</v>
      </c>
      <c r="D1653" s="815" t="s">
        <v>2514</v>
      </c>
      <c r="E1653" s="630">
        <v>110100</v>
      </c>
      <c r="F1653" s="629" t="str">
        <f>IFERROR(VLOOKUP(E1653,STAT1!$C$4:$D$1000,2,FALSE),"")</f>
        <v>Хаан Банк 5024654020</v>
      </c>
      <c r="G1653" s="376"/>
      <c r="H1653" s="376">
        <v>2000</v>
      </c>
      <c r="I1653" s="580">
        <f t="shared" si="160"/>
        <v>-2000</v>
      </c>
      <c r="J1653" s="961">
        <f t="shared" si="161"/>
        <v>0</v>
      </c>
      <c r="K1653" s="80"/>
      <c r="L1653" s="630">
        <v>2009</v>
      </c>
      <c r="M1653" s="80" t="str">
        <f>+IFERROR(VLOOKUP(L1653,DATA!$G$4:$H$2000,2,FALSE),"")</f>
        <v>ХААН БАНК</v>
      </c>
      <c r="N1653" s="630">
        <v>59</v>
      </c>
      <c r="O1653" s="80" t="str">
        <f>IFERROR(VLOOKUP(N1653,DATA!$K$4:$L$51,2,FALSE),"")</f>
        <v>Бусад мөнгөн зарлага</v>
      </c>
      <c r="P1653" s="80">
        <f t="shared" si="157"/>
        <v>1</v>
      </c>
      <c r="Q1653" s="154">
        <f t="shared" si="163"/>
        <v>1</v>
      </c>
    </row>
    <row r="1654" spans="2:17">
      <c r="B1654" s="627">
        <f t="shared" si="162"/>
        <v>1649</v>
      </c>
      <c r="C1654" s="582">
        <v>43465</v>
      </c>
      <c r="D1654" s="815" t="s">
        <v>2514</v>
      </c>
      <c r="E1654" s="630">
        <v>704900</v>
      </c>
      <c r="F1654" s="629" t="str">
        <f>IFERROR(VLOOKUP(E1654,STAT1!$C$4:$D$1000,2,FALSE),"")</f>
        <v>Банкны үйлчилгээ</v>
      </c>
      <c r="G1654" s="376">
        <v>2000</v>
      </c>
      <c r="H1654" s="376"/>
      <c r="I1654" s="580">
        <f t="shared" si="160"/>
        <v>0</v>
      </c>
      <c r="J1654" s="961">
        <f t="shared" si="161"/>
        <v>0</v>
      </c>
      <c r="K1654" s="80"/>
      <c r="L1654" s="630">
        <v>2009</v>
      </c>
      <c r="M1654" s="80" t="str">
        <f>+IFERROR(VLOOKUP(L1654,DATA!$G$4:$H$2000,2,FALSE),"")</f>
        <v>ХААН БАНК</v>
      </c>
      <c r="N1654" s="630"/>
      <c r="O1654" s="80" t="str">
        <f>IFERROR(VLOOKUP(N1654,DATA!$K$4:$L$51,2,FALSE),"")</f>
        <v/>
      </c>
      <c r="P1654" s="80">
        <f t="shared" si="157"/>
        <v>0</v>
      </c>
      <c r="Q1654" s="154">
        <f t="shared" si="163"/>
        <v>0</v>
      </c>
    </row>
    <row r="1655" spans="2:17">
      <c r="B1655" s="627">
        <f t="shared" si="162"/>
        <v>1650</v>
      </c>
      <c r="C1655" s="582">
        <v>43465</v>
      </c>
      <c r="D1655" s="815" t="s">
        <v>2806</v>
      </c>
      <c r="E1655" s="630">
        <v>120600</v>
      </c>
      <c r="F1655" s="629" t="str">
        <f>IFERROR(VLOOKUP(E1655,STAT1!$C$4:$D$1000,2,FALSE),"")</f>
        <v>НӨАТ авлага</v>
      </c>
      <c r="G1655" s="376">
        <f>46820.63+863.64</f>
        <v>47684.27</v>
      </c>
      <c r="H1655" s="376"/>
      <c r="I1655" s="580">
        <f t="shared" si="160"/>
        <v>0</v>
      </c>
      <c r="J1655" s="961">
        <f t="shared" si="161"/>
        <v>0</v>
      </c>
      <c r="K1655" s="80"/>
      <c r="L1655" s="630">
        <v>1003</v>
      </c>
      <c r="M1655" s="80" t="str">
        <f>+IFERROR(VLOOKUP(L1655,DATA!$G$4:$H$2000,2,FALSE),"")</f>
        <v>Бахдамдэмбэрэл</v>
      </c>
      <c r="N1655" s="630"/>
      <c r="O1655" s="80" t="str">
        <f>IFERROR(VLOOKUP(N1655,DATA!$K$4:$L$51,2,FALSE),"")</f>
        <v/>
      </c>
      <c r="P1655" s="80">
        <f t="shared" si="157"/>
        <v>0</v>
      </c>
      <c r="Q1655" s="154">
        <f t="shared" si="163"/>
        <v>0</v>
      </c>
    </row>
    <row r="1656" spans="2:17">
      <c r="B1656" s="627">
        <f t="shared" si="162"/>
        <v>1651</v>
      </c>
      <c r="C1656" s="582">
        <v>43465</v>
      </c>
      <c r="D1656" s="815" t="s">
        <v>2806</v>
      </c>
      <c r="E1656" s="630">
        <v>702000</v>
      </c>
      <c r="F1656" s="629" t="str">
        <f>IFERROR(VLOOKUP(E1656,STAT1!$C$4:$D$1000,2,FALSE),"")</f>
        <v>Түлш, шатахуун</v>
      </c>
      <c r="G1656" s="376"/>
      <c r="H1656" s="376">
        <f>46820.63+863.64</f>
        <v>47684.27</v>
      </c>
      <c r="I1656" s="580">
        <f t="shared" si="160"/>
        <v>0</v>
      </c>
      <c r="J1656" s="961">
        <f t="shared" si="161"/>
        <v>0</v>
      </c>
      <c r="K1656" s="80"/>
      <c r="L1656" s="630">
        <v>1003</v>
      </c>
      <c r="M1656" s="80" t="str">
        <f>+IFERROR(VLOOKUP(L1656,DATA!$G$4:$H$2000,2,FALSE),"")</f>
        <v>Бахдамдэмбэрэл</v>
      </c>
      <c r="N1656" s="630"/>
      <c r="O1656" s="80" t="str">
        <f>IFERROR(VLOOKUP(N1656,DATA!$K$4:$L$51,2,FALSE),"")</f>
        <v/>
      </c>
      <c r="P1656" s="80">
        <f t="shared" si="157"/>
        <v>0</v>
      </c>
      <c r="Q1656" s="154">
        <f t="shared" si="163"/>
        <v>0</v>
      </c>
    </row>
    <row r="1657" spans="2:17">
      <c r="B1657" s="627">
        <f t="shared" si="162"/>
        <v>1652</v>
      </c>
      <c r="C1657" s="582">
        <v>43452</v>
      </c>
      <c r="D1657" s="816" t="s">
        <v>1570</v>
      </c>
      <c r="E1657" s="807">
        <v>100100</v>
      </c>
      <c r="F1657" s="629" t="str">
        <f>IFERROR(VLOOKUP(E1657,STAT1!$C$4:$D$1000,2,FALSE),"")</f>
        <v>Касс мөнгө MNT</v>
      </c>
      <c r="G1657" s="811"/>
      <c r="H1657" s="811">
        <v>75000</v>
      </c>
      <c r="I1657" s="580">
        <f t="shared" si="160"/>
        <v>-75000</v>
      </c>
      <c r="J1657" s="961">
        <f t="shared" si="161"/>
        <v>0</v>
      </c>
      <c r="K1657" s="80"/>
      <c r="L1657" s="807">
        <v>1003</v>
      </c>
      <c r="M1657" s="80" t="str">
        <f>+IFERROR(VLOOKUP(L1657,DATA!$G$4:$H$2000,2,FALSE),"")</f>
        <v>Бахдамдэмбэрэл</v>
      </c>
      <c r="N1657" s="807">
        <v>55</v>
      </c>
      <c r="O1657" s="80" t="str">
        <f>IFERROR(VLOOKUP(N1657,DATA!$K$4:$L$51,2,FALSE),"")</f>
        <v>Түлш, шатахуун, тээврийн хөлс, сэлбэг хэрэгсэлд төлсөн</v>
      </c>
      <c r="P1657" s="80">
        <f t="shared" si="157"/>
        <v>1</v>
      </c>
      <c r="Q1657" s="154">
        <f t="shared" si="163"/>
        <v>1</v>
      </c>
    </row>
    <row r="1658" spans="2:17">
      <c r="B1658" s="627">
        <f t="shared" si="162"/>
        <v>1653</v>
      </c>
      <c r="C1658" s="582">
        <v>43452</v>
      </c>
      <c r="D1658" s="816" t="s">
        <v>1570</v>
      </c>
      <c r="E1658" s="807">
        <v>702000</v>
      </c>
      <c r="F1658" s="629" t="str">
        <f>IFERROR(VLOOKUP(E1658,STAT1!$C$4:$D$1000,2,FALSE),"")</f>
        <v>Түлш, шатахуун</v>
      </c>
      <c r="G1658" s="811">
        <v>75000</v>
      </c>
      <c r="H1658" s="811"/>
      <c r="I1658" s="580">
        <f t="shared" si="160"/>
        <v>0</v>
      </c>
      <c r="J1658" s="961">
        <f t="shared" si="161"/>
        <v>0</v>
      </c>
      <c r="K1658" s="80"/>
      <c r="L1658" s="807">
        <v>1003</v>
      </c>
      <c r="M1658" s="80" t="str">
        <f>+IFERROR(VLOOKUP(L1658,DATA!$G$4:$H$2000,2,FALSE),"")</f>
        <v>Бахдамдэмбэрэл</v>
      </c>
      <c r="N1658" s="807"/>
      <c r="O1658" s="80" t="str">
        <f>IFERROR(VLOOKUP(N1658,DATA!$K$4:$L$51,2,FALSE),"")</f>
        <v/>
      </c>
      <c r="P1658" s="80">
        <f t="shared" si="157"/>
        <v>0</v>
      </c>
      <c r="Q1658" s="154">
        <f t="shared" si="163"/>
        <v>0</v>
      </c>
    </row>
    <row r="1659" spans="2:17">
      <c r="B1659" s="627">
        <f t="shared" si="162"/>
        <v>1654</v>
      </c>
      <c r="C1659" s="429">
        <v>43458</v>
      </c>
      <c r="D1659" s="816" t="s">
        <v>1570</v>
      </c>
      <c r="E1659" s="807">
        <v>100100</v>
      </c>
      <c r="F1659" s="629" t="str">
        <f>IFERROR(VLOOKUP(E1659,STAT1!$C$4:$D$1000,2,FALSE),"")</f>
        <v>Касс мөнгө MNT</v>
      </c>
      <c r="G1659" s="811"/>
      <c r="H1659" s="811">
        <v>130000</v>
      </c>
      <c r="I1659" s="580">
        <f t="shared" si="160"/>
        <v>-130000</v>
      </c>
      <c r="J1659" s="961">
        <f t="shared" si="161"/>
        <v>0</v>
      </c>
      <c r="K1659" s="80"/>
      <c r="L1659" s="807">
        <v>1003</v>
      </c>
      <c r="M1659" s="80" t="str">
        <f>+IFERROR(VLOOKUP(L1659,DATA!$G$4:$H$2000,2,FALSE),"")</f>
        <v>Бахдамдэмбэрэл</v>
      </c>
      <c r="N1659" s="807">
        <v>55</v>
      </c>
      <c r="O1659" s="80" t="str">
        <f>IFERROR(VLOOKUP(N1659,DATA!$K$4:$L$51,2,FALSE),"")</f>
        <v>Түлш, шатахуун, тээврийн хөлс, сэлбэг хэрэгсэлд төлсөн</v>
      </c>
      <c r="P1659" s="80">
        <f t="shared" si="157"/>
        <v>1</v>
      </c>
      <c r="Q1659" s="154">
        <f t="shared" si="163"/>
        <v>1</v>
      </c>
    </row>
    <row r="1660" spans="2:17">
      <c r="B1660" s="627">
        <f t="shared" si="162"/>
        <v>1655</v>
      </c>
      <c r="C1660" s="429">
        <v>43458</v>
      </c>
      <c r="D1660" s="816" t="s">
        <v>1570</v>
      </c>
      <c r="E1660" s="807">
        <v>702000</v>
      </c>
      <c r="F1660" s="629" t="str">
        <f>IFERROR(VLOOKUP(E1660,STAT1!$C$4:$D$1000,2,FALSE),"")</f>
        <v>Түлш, шатахуун</v>
      </c>
      <c r="G1660" s="811">
        <v>130000</v>
      </c>
      <c r="H1660" s="811"/>
      <c r="I1660" s="580">
        <f t="shared" si="160"/>
        <v>0</v>
      </c>
      <c r="J1660" s="961">
        <f t="shared" si="161"/>
        <v>0</v>
      </c>
      <c r="K1660" s="80"/>
      <c r="L1660" s="807">
        <v>1003</v>
      </c>
      <c r="M1660" s="80" t="str">
        <f>+IFERROR(VLOOKUP(L1660,DATA!$G$4:$H$2000,2,FALSE),"")</f>
        <v>Бахдамдэмбэрэл</v>
      </c>
      <c r="N1660" s="807"/>
      <c r="O1660" s="80" t="str">
        <f>IFERROR(VLOOKUP(N1660,DATA!$K$4:$L$51,2,FALSE),"")</f>
        <v/>
      </c>
      <c r="P1660" s="80">
        <f t="shared" ref="P1660:P1723" si="164">+IF(I1660,1,0)</f>
        <v>0</v>
      </c>
      <c r="Q1660" s="154">
        <f t="shared" si="163"/>
        <v>0</v>
      </c>
    </row>
    <row r="1661" spans="2:17">
      <c r="B1661" s="627">
        <f t="shared" si="162"/>
        <v>1656</v>
      </c>
      <c r="C1661" s="429">
        <v>43454</v>
      </c>
      <c r="D1661" s="815" t="s">
        <v>2781</v>
      </c>
      <c r="E1661" s="807">
        <v>100100</v>
      </c>
      <c r="F1661" s="629" t="str">
        <f>IFERROR(VLOOKUP(E1661,STAT1!$C$4:$D$1000,2,FALSE),"")</f>
        <v>Касс мөнгө MNT</v>
      </c>
      <c r="G1661" s="811"/>
      <c r="H1661" s="811">
        <v>158400</v>
      </c>
      <c r="I1661" s="580">
        <f t="shared" si="160"/>
        <v>-158400</v>
      </c>
      <c r="J1661" s="961">
        <f t="shared" si="161"/>
        <v>0</v>
      </c>
      <c r="K1661" s="80"/>
      <c r="L1661" s="807">
        <v>1005</v>
      </c>
      <c r="M1661" s="80" t="str">
        <f>+IFERROR(VLOOKUP(L1661,DATA!$G$4:$H$2000,2,FALSE),"")</f>
        <v>Золжаргал</v>
      </c>
      <c r="N1661" s="807">
        <v>53</v>
      </c>
      <c r="O1661" s="80" t="str">
        <f>IFERROR(VLOOKUP(N1661,DATA!$K$4:$L$51,2,FALSE),"")</f>
        <v>Бараа материал худалдан авахад төлсөн</v>
      </c>
      <c r="P1661" s="80">
        <f t="shared" si="164"/>
        <v>1</v>
      </c>
      <c r="Q1661" s="154">
        <f t="shared" si="163"/>
        <v>1</v>
      </c>
    </row>
    <row r="1662" spans="2:17">
      <c r="B1662" s="627">
        <f t="shared" si="162"/>
        <v>1657</v>
      </c>
      <c r="C1662" s="429">
        <v>43454</v>
      </c>
      <c r="D1662" s="815" t="s">
        <v>2781</v>
      </c>
      <c r="E1662" s="630">
        <v>121200</v>
      </c>
      <c r="F1662" s="629" t="str">
        <f>IFERROR(VLOOKUP(E1662,STAT1!$C$4:$D$1000,2,FALSE),"")</f>
        <v xml:space="preserve">Ажилчидын дараа тайлангийн тооцоо </v>
      </c>
      <c r="G1662" s="811">
        <v>158400</v>
      </c>
      <c r="H1662" s="376"/>
      <c r="I1662" s="580">
        <f t="shared" ref="I1662:I1725" si="165">+IF(OR(E1662=100100,E1662=100200,E1662=110100,E1662=110102,E1662=110103,E1662=110104,E1662=110105,E1662=110200,E1662=110201,E1662=110202,E1662=110203,E1662=110204,E1662=110300),G1662,0)+IF(OR(E1662=100100,E1662=100200,E1662=110100,E1662=110102,E1662=110103,E1662=110104,E1662=110105,E1662=110200,E1662=110201,E1662=110202,E1662=110203,E1662=110204,E1662=110300),H1662*-1,0)</f>
        <v>0</v>
      </c>
      <c r="J1662" s="961">
        <f t="shared" ref="J1662:J1725" si="166">+IF(E1662=110200,I1662/K1662,0)</f>
        <v>0</v>
      </c>
      <c r="K1662" s="80"/>
      <c r="L1662" s="630">
        <v>1005</v>
      </c>
      <c r="M1662" s="80" t="str">
        <f>+IFERROR(VLOOKUP(L1662,DATA!$G$4:$H$2000,2,FALSE),"")</f>
        <v>Золжаргал</v>
      </c>
      <c r="N1662" s="630"/>
      <c r="O1662" s="80" t="str">
        <f>IFERROR(VLOOKUP(N1662,DATA!$K$4:$L$51,2,FALSE),"")</f>
        <v/>
      </c>
      <c r="P1662" s="80">
        <f t="shared" si="164"/>
        <v>0</v>
      </c>
      <c r="Q1662" s="154">
        <f t="shared" si="163"/>
        <v>0</v>
      </c>
    </row>
    <row r="1663" spans="2:17">
      <c r="B1663" s="627">
        <f t="shared" si="162"/>
        <v>1658</v>
      </c>
      <c r="C1663" s="582">
        <v>43465</v>
      </c>
      <c r="D1663" s="815" t="s">
        <v>2805</v>
      </c>
      <c r="E1663" s="630">
        <v>120600</v>
      </c>
      <c r="F1663" s="629" t="str">
        <f>IFERROR(VLOOKUP(E1663,STAT1!$C$4:$D$1000,2,FALSE),"")</f>
        <v>НӨАТ авлага</v>
      </c>
      <c r="G1663" s="376">
        <v>759255.52</v>
      </c>
      <c r="H1663" s="376"/>
      <c r="I1663" s="580">
        <f t="shared" si="165"/>
        <v>0</v>
      </c>
      <c r="J1663" s="961">
        <f t="shared" si="166"/>
        <v>0</v>
      </c>
      <c r="K1663" s="80"/>
      <c r="L1663" s="630">
        <v>2004</v>
      </c>
      <c r="M1663" s="80" t="str">
        <f>+IFERROR(VLOOKUP(L1663,DATA!$G$4:$H$2000,2,FALSE),"")</f>
        <v xml:space="preserve">ДЦС-3 ТӨХК </v>
      </c>
      <c r="N1663" s="630"/>
      <c r="O1663" s="80" t="str">
        <f>IFERROR(VLOOKUP(N1663,DATA!$K$4:$L$51,2,FALSE),"")</f>
        <v/>
      </c>
      <c r="P1663" s="80">
        <f t="shared" si="164"/>
        <v>0</v>
      </c>
      <c r="Q1663" s="154">
        <f t="shared" si="163"/>
        <v>0</v>
      </c>
    </row>
    <row r="1664" spans="2:17">
      <c r="B1664" s="627">
        <f t="shared" si="162"/>
        <v>1659</v>
      </c>
      <c r="C1664" s="582">
        <v>43465</v>
      </c>
      <c r="D1664" s="815" t="s">
        <v>2805</v>
      </c>
      <c r="E1664" s="630">
        <v>120100</v>
      </c>
      <c r="F1664" s="629" t="str">
        <f>IFERROR(VLOOKUP(E1664,STAT1!$C$4:$D$1000,2,FALSE),"")</f>
        <v xml:space="preserve">Дансны авлага MNT </v>
      </c>
      <c r="G1664" s="376"/>
      <c r="H1664" s="376">
        <v>759255.52</v>
      </c>
      <c r="I1664" s="580">
        <f t="shared" si="165"/>
        <v>0</v>
      </c>
      <c r="J1664" s="961">
        <f t="shared" si="166"/>
        <v>0</v>
      </c>
      <c r="K1664" s="80"/>
      <c r="L1664" s="630">
        <v>2004</v>
      </c>
      <c r="M1664" s="80" t="str">
        <f>+IFERROR(VLOOKUP(L1664,DATA!$G$4:$H$2000,2,FALSE),"")</f>
        <v xml:space="preserve">ДЦС-3 ТӨХК </v>
      </c>
      <c r="N1664" s="630"/>
      <c r="O1664" s="80" t="str">
        <f>IFERROR(VLOOKUP(N1664,DATA!$K$4:$L$51,2,FALSE),"")</f>
        <v/>
      </c>
      <c r="P1664" s="80">
        <f t="shared" si="164"/>
        <v>0</v>
      </c>
      <c r="Q1664" s="154">
        <f t="shared" si="163"/>
        <v>0</v>
      </c>
    </row>
    <row r="1665" spans="2:17">
      <c r="B1665" s="627">
        <f t="shared" si="162"/>
        <v>1660</v>
      </c>
      <c r="C1665" s="429">
        <v>43454</v>
      </c>
      <c r="D1665" s="815" t="s">
        <v>2800</v>
      </c>
      <c r="E1665" s="630">
        <v>140100</v>
      </c>
      <c r="F1665" s="629" t="str">
        <f>IFERROR(VLOOKUP(E1665,STAT1!$C$4:$D$1000,2,FALSE),"")</f>
        <v>Түүхий эд материал</v>
      </c>
      <c r="G1665" s="376">
        <v>144000</v>
      </c>
      <c r="H1665" s="376"/>
      <c r="I1665" s="580">
        <f t="shared" si="165"/>
        <v>0</v>
      </c>
      <c r="J1665" s="961">
        <f t="shared" si="166"/>
        <v>0</v>
      </c>
      <c r="K1665" s="80"/>
      <c r="L1665" s="807">
        <v>1005</v>
      </c>
      <c r="M1665" s="80" t="str">
        <f>+IFERROR(VLOOKUP(L1665,DATA!$G$4:$H$2000,2,FALSE),"")</f>
        <v>Золжаргал</v>
      </c>
      <c r="N1665" s="630"/>
      <c r="O1665" s="80" t="str">
        <f>IFERROR(VLOOKUP(N1665,DATA!$K$4:$L$51,2,FALSE),"")</f>
        <v/>
      </c>
      <c r="P1665" s="80">
        <f t="shared" si="164"/>
        <v>0</v>
      </c>
      <c r="Q1665" s="154">
        <f t="shared" si="163"/>
        <v>0</v>
      </c>
    </row>
    <row r="1666" spans="2:17">
      <c r="B1666" s="627">
        <f t="shared" si="162"/>
        <v>1661</v>
      </c>
      <c r="C1666" s="429">
        <v>43454</v>
      </c>
      <c r="D1666" s="815" t="s">
        <v>2800</v>
      </c>
      <c r="E1666" s="630">
        <v>120600</v>
      </c>
      <c r="F1666" s="629" t="str">
        <f>IFERROR(VLOOKUP(E1666,STAT1!$C$4:$D$1000,2,FALSE),"")</f>
        <v>НӨАТ авлага</v>
      </c>
      <c r="G1666" s="376">
        <v>14400</v>
      </c>
      <c r="H1666" s="376"/>
      <c r="I1666" s="580">
        <f t="shared" si="165"/>
        <v>0</v>
      </c>
      <c r="J1666" s="961">
        <f t="shared" si="166"/>
        <v>0</v>
      </c>
      <c r="K1666" s="80"/>
      <c r="L1666" s="807">
        <v>1005</v>
      </c>
      <c r="M1666" s="80" t="str">
        <f>+IFERROR(VLOOKUP(L1666,DATA!$G$4:$H$2000,2,FALSE),"")</f>
        <v>Золжаргал</v>
      </c>
      <c r="N1666" s="630"/>
      <c r="O1666" s="80" t="str">
        <f>IFERROR(VLOOKUP(N1666,DATA!$K$4:$L$51,2,FALSE),"")</f>
        <v/>
      </c>
      <c r="P1666" s="80">
        <f t="shared" si="164"/>
        <v>0</v>
      </c>
    </row>
    <row r="1667" spans="2:17">
      <c r="B1667" s="627">
        <f t="shared" si="162"/>
        <v>1662</v>
      </c>
      <c r="C1667" s="429">
        <v>43454</v>
      </c>
      <c r="D1667" s="815" t="s">
        <v>2800</v>
      </c>
      <c r="E1667" s="807">
        <v>121200</v>
      </c>
      <c r="F1667" s="629" t="str">
        <f>IFERROR(VLOOKUP(E1667,STAT1!$C$4:$D$1000,2,FALSE),"")</f>
        <v xml:space="preserve">Ажилчидын дараа тайлангийн тооцоо </v>
      </c>
      <c r="G1667" s="811"/>
      <c r="H1667" s="811">
        <v>158400</v>
      </c>
      <c r="I1667" s="580">
        <f t="shared" si="165"/>
        <v>0</v>
      </c>
      <c r="J1667" s="961">
        <f t="shared" si="166"/>
        <v>0</v>
      </c>
      <c r="K1667" s="80"/>
      <c r="L1667" s="807">
        <v>1005</v>
      </c>
      <c r="M1667" s="80" t="str">
        <f>+IFERROR(VLOOKUP(L1667,DATA!$G$4:$H$2000,2,FALSE),"")</f>
        <v>Золжаргал</v>
      </c>
      <c r="N1667" s="807"/>
      <c r="O1667" s="80" t="str">
        <f>IFERROR(VLOOKUP(N1667,DATA!$K$4:$L$51,2,FALSE),"")</f>
        <v/>
      </c>
      <c r="P1667" s="80">
        <f t="shared" si="164"/>
        <v>0</v>
      </c>
      <c r="Q1667" s="154">
        <f t="shared" si="163"/>
        <v>0</v>
      </c>
    </row>
    <row r="1668" spans="2:17">
      <c r="B1668" s="627">
        <f t="shared" si="162"/>
        <v>1663</v>
      </c>
      <c r="C1668" s="429">
        <v>43390</v>
      </c>
      <c r="D1668" s="815" t="s">
        <v>2861</v>
      </c>
      <c r="E1668" s="807">
        <v>140100</v>
      </c>
      <c r="F1668" s="629" t="str">
        <f>IFERROR(VLOOKUP(E1668,STAT1!$C$4:$D$1000,2,FALSE),"")</f>
        <v>Түүхий эд материал</v>
      </c>
      <c r="G1668" s="811">
        <v>19090909.09</v>
      </c>
      <c r="H1668" s="811"/>
      <c r="I1668" s="580">
        <f t="shared" si="165"/>
        <v>0</v>
      </c>
      <c r="J1668" s="961">
        <f t="shared" si="166"/>
        <v>0</v>
      </c>
      <c r="K1668" s="80"/>
      <c r="L1668" s="807">
        <v>3139</v>
      </c>
      <c r="M1668" s="80" t="str">
        <f>+IFERROR(VLOOKUP(L1668,DATA!$G$4:$H$2000,2,FALSE),"")</f>
        <v xml:space="preserve">БУЯН ОД ХХК </v>
      </c>
      <c r="N1668" s="807"/>
      <c r="O1668" s="80" t="str">
        <f>IFERROR(VLOOKUP(N1668,DATA!$K$4:$L$51,2,FALSE),"")</f>
        <v/>
      </c>
      <c r="P1668" s="80">
        <f t="shared" si="164"/>
        <v>0</v>
      </c>
      <c r="Q1668" s="154">
        <f t="shared" si="163"/>
        <v>0</v>
      </c>
    </row>
    <row r="1669" spans="2:17">
      <c r="B1669" s="627">
        <f t="shared" si="162"/>
        <v>1664</v>
      </c>
      <c r="C1669" s="582">
        <v>43390</v>
      </c>
      <c r="D1669" s="815" t="s">
        <v>2861</v>
      </c>
      <c r="E1669" s="630">
        <v>120600</v>
      </c>
      <c r="F1669" s="629" t="str">
        <f>IFERROR(VLOOKUP(E1669,STAT1!$C$4:$D$1000,2,FALSE),"")</f>
        <v>НӨАТ авлага</v>
      </c>
      <c r="G1669" s="376">
        <v>1909090.91</v>
      </c>
      <c r="H1669" s="376"/>
      <c r="I1669" s="580">
        <f t="shared" si="165"/>
        <v>0</v>
      </c>
      <c r="J1669" s="961">
        <f t="shared" si="166"/>
        <v>0</v>
      </c>
      <c r="K1669" s="80"/>
      <c r="L1669" s="807">
        <v>3139</v>
      </c>
      <c r="M1669" s="80" t="str">
        <f>+IFERROR(VLOOKUP(L1669,DATA!$G$4:$H$2000,2,FALSE),"")</f>
        <v xml:space="preserve">БУЯН ОД ХХК </v>
      </c>
      <c r="N1669" s="630"/>
      <c r="O1669" s="80" t="str">
        <f>IFERROR(VLOOKUP(N1669,DATA!$K$4:$L$51,2,FALSE),"")</f>
        <v/>
      </c>
      <c r="P1669" s="80">
        <f t="shared" si="164"/>
        <v>0</v>
      </c>
      <c r="Q1669" s="154">
        <f t="shared" si="163"/>
        <v>0</v>
      </c>
    </row>
    <row r="1670" spans="2:17">
      <c r="B1670" s="627">
        <f t="shared" si="162"/>
        <v>1665</v>
      </c>
      <c r="C1670" s="582">
        <v>43384</v>
      </c>
      <c r="D1670" s="815" t="s">
        <v>2861</v>
      </c>
      <c r="E1670" s="630">
        <v>120100</v>
      </c>
      <c r="F1670" s="629" t="str">
        <f>IFERROR(VLOOKUP(E1670,STAT1!$C$4:$D$1000,2,FALSE),"")</f>
        <v xml:space="preserve">Дансны авлага MNT </v>
      </c>
      <c r="G1670" s="376"/>
      <c r="H1670" s="376">
        <v>21000000</v>
      </c>
      <c r="I1670" s="580">
        <f t="shared" si="165"/>
        <v>0</v>
      </c>
      <c r="J1670" s="961">
        <f t="shared" si="166"/>
        <v>0</v>
      </c>
      <c r="K1670" s="80"/>
      <c r="L1670" s="807">
        <v>3139</v>
      </c>
      <c r="M1670" s="80" t="str">
        <f>+IFERROR(VLOOKUP(L1670,DATA!$G$4:$H$2000,2,FALSE),"")</f>
        <v xml:space="preserve">БУЯН ОД ХХК </v>
      </c>
      <c r="N1670" s="630"/>
      <c r="O1670" s="80" t="str">
        <f>IFERROR(VLOOKUP(N1670,DATA!$K$4:$L$51,2,FALSE),"")</f>
        <v/>
      </c>
      <c r="P1670" s="80">
        <f t="shared" si="164"/>
        <v>0</v>
      </c>
      <c r="Q1670" s="154">
        <f t="shared" si="163"/>
        <v>0</v>
      </c>
    </row>
    <row r="1671" spans="2:17">
      <c r="B1671" s="627">
        <f t="shared" si="162"/>
        <v>1666</v>
      </c>
      <c r="C1671" s="582">
        <v>43384</v>
      </c>
      <c r="D1671" s="815" t="s">
        <v>2861</v>
      </c>
      <c r="E1671" s="630">
        <v>140100</v>
      </c>
      <c r="F1671" s="629" t="str">
        <f>IFERROR(VLOOKUP(E1671,STAT1!$C$4:$D$1000,2,FALSE),"")</f>
        <v>Түүхий эд материал</v>
      </c>
      <c r="G1671" s="376">
        <v>9545454.5500000007</v>
      </c>
      <c r="H1671" s="376"/>
      <c r="I1671" s="580">
        <f t="shared" si="165"/>
        <v>0</v>
      </c>
      <c r="J1671" s="961">
        <f t="shared" si="166"/>
        <v>0</v>
      </c>
      <c r="K1671" s="80"/>
      <c r="L1671" s="807">
        <v>3139</v>
      </c>
      <c r="M1671" s="80" t="str">
        <f>+IFERROR(VLOOKUP(L1671,DATA!$G$4:$H$2000,2,FALSE),"")</f>
        <v xml:space="preserve">БУЯН ОД ХХК </v>
      </c>
      <c r="N1671" s="630"/>
      <c r="O1671" s="80" t="str">
        <f>IFERROR(VLOOKUP(N1671,DATA!$K$4:$L$51,2,FALSE),"")</f>
        <v/>
      </c>
      <c r="P1671" s="80">
        <f t="shared" si="164"/>
        <v>0</v>
      </c>
      <c r="Q1671" s="154">
        <f t="shared" si="163"/>
        <v>0</v>
      </c>
    </row>
    <row r="1672" spans="2:17">
      <c r="B1672" s="627">
        <f t="shared" si="162"/>
        <v>1667</v>
      </c>
      <c r="C1672" s="582">
        <v>43384</v>
      </c>
      <c r="D1672" s="815" t="s">
        <v>2861</v>
      </c>
      <c r="E1672" s="630">
        <v>120600</v>
      </c>
      <c r="F1672" s="629" t="str">
        <f>IFERROR(VLOOKUP(E1672,STAT1!$C$4:$D$1000,2,FALSE),"")</f>
        <v>НӨАТ авлага</v>
      </c>
      <c r="G1672" s="376">
        <v>954545.45</v>
      </c>
      <c r="H1672" s="376"/>
      <c r="I1672" s="580">
        <f t="shared" si="165"/>
        <v>0</v>
      </c>
      <c r="J1672" s="961">
        <f t="shared" si="166"/>
        <v>0</v>
      </c>
      <c r="K1672" s="80"/>
      <c r="L1672" s="807">
        <v>3139</v>
      </c>
      <c r="M1672" s="80" t="str">
        <f>+IFERROR(VLOOKUP(L1672,DATA!$G$4:$H$2000,2,FALSE),"")</f>
        <v xml:space="preserve">БУЯН ОД ХХК </v>
      </c>
      <c r="N1672" s="630"/>
      <c r="O1672" s="80" t="str">
        <f>IFERROR(VLOOKUP(N1672,DATA!$K$4:$L$51,2,FALSE),"")</f>
        <v/>
      </c>
      <c r="P1672" s="80">
        <f t="shared" si="164"/>
        <v>0</v>
      </c>
      <c r="Q1672" s="154">
        <f t="shared" si="163"/>
        <v>0</v>
      </c>
    </row>
    <row r="1673" spans="2:17">
      <c r="B1673" s="627">
        <f t="shared" si="162"/>
        <v>1668</v>
      </c>
      <c r="C1673" s="582">
        <v>43384</v>
      </c>
      <c r="D1673" s="815" t="s">
        <v>2861</v>
      </c>
      <c r="E1673" s="630">
        <v>120100</v>
      </c>
      <c r="F1673" s="629" t="str">
        <f>IFERROR(VLOOKUP(E1673,STAT1!$C$4:$D$1000,2,FALSE),"")</f>
        <v xml:space="preserve">Дансны авлага MNT </v>
      </c>
      <c r="G1673" s="376"/>
      <c r="H1673" s="376">
        <v>10500000</v>
      </c>
      <c r="I1673" s="580">
        <f t="shared" si="165"/>
        <v>0</v>
      </c>
      <c r="J1673" s="961">
        <f t="shared" si="166"/>
        <v>0</v>
      </c>
      <c r="K1673" s="80"/>
      <c r="L1673" s="807">
        <v>3139</v>
      </c>
      <c r="M1673" s="80" t="str">
        <f>+IFERROR(VLOOKUP(L1673,DATA!$G$4:$H$2000,2,FALSE),"")</f>
        <v xml:space="preserve">БУЯН ОД ХХК </v>
      </c>
      <c r="N1673" s="630"/>
      <c r="O1673" s="80" t="str">
        <f>IFERROR(VLOOKUP(N1673,DATA!$K$4:$L$51,2,FALSE),"")</f>
        <v/>
      </c>
      <c r="P1673" s="80">
        <f t="shared" si="164"/>
        <v>0</v>
      </c>
      <c r="Q1673" s="154">
        <f t="shared" si="163"/>
        <v>0</v>
      </c>
    </row>
    <row r="1674" spans="2:17">
      <c r="B1674" s="627">
        <f t="shared" si="162"/>
        <v>1669</v>
      </c>
      <c r="C1674" s="429">
        <v>43449</v>
      </c>
      <c r="D1674" s="815" t="s">
        <v>2861</v>
      </c>
      <c r="E1674" s="807">
        <v>140100</v>
      </c>
      <c r="F1674" s="629" t="str">
        <f>IFERROR(VLOOKUP(E1674,STAT1!$C$4:$D$1000,2,FALSE),"")</f>
        <v>Түүхий эд материал</v>
      </c>
      <c r="G1674" s="811">
        <v>19090909.09</v>
      </c>
      <c r="H1674" s="811"/>
      <c r="I1674" s="580">
        <f t="shared" si="165"/>
        <v>0</v>
      </c>
      <c r="J1674" s="961">
        <f t="shared" si="166"/>
        <v>0</v>
      </c>
      <c r="K1674" s="80"/>
      <c r="L1674" s="807">
        <v>3139</v>
      </c>
      <c r="M1674" s="80" t="str">
        <f>+IFERROR(VLOOKUP(L1674,DATA!$G$4:$H$2000,2,FALSE),"")</f>
        <v xml:space="preserve">БУЯН ОД ХХК </v>
      </c>
      <c r="N1674" s="807"/>
      <c r="O1674" s="80" t="str">
        <f>IFERROR(VLOOKUP(N1674,DATA!$K$4:$L$51,2,FALSE),"")</f>
        <v/>
      </c>
      <c r="P1674" s="80">
        <f t="shared" si="164"/>
        <v>0</v>
      </c>
      <c r="Q1674" s="154">
        <f t="shared" si="163"/>
        <v>0</v>
      </c>
    </row>
    <row r="1675" spans="2:17">
      <c r="B1675" s="627">
        <f t="shared" si="162"/>
        <v>1670</v>
      </c>
      <c r="C1675" s="429">
        <v>43449</v>
      </c>
      <c r="D1675" s="815" t="s">
        <v>2861</v>
      </c>
      <c r="E1675" s="807">
        <v>120600</v>
      </c>
      <c r="F1675" s="629" t="str">
        <f>IFERROR(VLOOKUP(E1675,STAT1!$C$4:$D$1000,2,FALSE),"")</f>
        <v>НӨАТ авлага</v>
      </c>
      <c r="G1675" s="811">
        <v>1909090.91</v>
      </c>
      <c r="H1675" s="811"/>
      <c r="I1675" s="580">
        <f t="shared" si="165"/>
        <v>0</v>
      </c>
      <c r="J1675" s="961">
        <f t="shared" si="166"/>
        <v>0</v>
      </c>
      <c r="K1675" s="80"/>
      <c r="L1675" s="807">
        <v>3139</v>
      </c>
      <c r="M1675" s="80" t="str">
        <f>+IFERROR(VLOOKUP(L1675,DATA!$G$4:$H$2000,2,FALSE),"")</f>
        <v xml:space="preserve">БУЯН ОД ХХК </v>
      </c>
      <c r="N1675" s="807"/>
      <c r="O1675" s="80" t="str">
        <f>IFERROR(VLOOKUP(N1675,DATA!$K$4:$L$51,2,FALSE),"")</f>
        <v/>
      </c>
      <c r="P1675" s="80">
        <f t="shared" si="164"/>
        <v>0</v>
      </c>
      <c r="Q1675" s="154">
        <f t="shared" si="163"/>
        <v>0</v>
      </c>
    </row>
    <row r="1676" spans="2:17">
      <c r="B1676" s="627">
        <f t="shared" si="162"/>
        <v>1671</v>
      </c>
      <c r="C1676" s="429">
        <v>43449</v>
      </c>
      <c r="D1676" s="815" t="s">
        <v>2861</v>
      </c>
      <c r="E1676" s="807">
        <v>120100</v>
      </c>
      <c r="F1676" s="629" t="str">
        <f>IFERROR(VLOOKUP(E1676,STAT1!$C$4:$D$1000,2,FALSE),"")</f>
        <v xml:space="preserve">Дансны авлага MNT </v>
      </c>
      <c r="G1676" s="811"/>
      <c r="H1676" s="811">
        <v>21000000</v>
      </c>
      <c r="I1676" s="580">
        <f t="shared" si="165"/>
        <v>0</v>
      </c>
      <c r="J1676" s="961">
        <f t="shared" si="166"/>
        <v>0</v>
      </c>
      <c r="K1676" s="80"/>
      <c r="L1676" s="807">
        <v>3139</v>
      </c>
      <c r="M1676" s="80" t="str">
        <f>+IFERROR(VLOOKUP(L1676,DATA!$G$4:$H$2000,2,FALSE),"")</f>
        <v xml:space="preserve">БУЯН ОД ХХК </v>
      </c>
      <c r="N1676" s="807"/>
      <c r="O1676" s="80" t="str">
        <f>IFERROR(VLOOKUP(N1676,DATA!$K$4:$L$51,2,FALSE),"")</f>
        <v/>
      </c>
      <c r="P1676" s="80">
        <f t="shared" si="164"/>
        <v>0</v>
      </c>
      <c r="Q1676" s="154">
        <f t="shared" si="163"/>
        <v>0</v>
      </c>
    </row>
    <row r="1677" spans="2:17">
      <c r="B1677" s="627">
        <f t="shared" si="162"/>
        <v>1672</v>
      </c>
      <c r="C1677" s="429">
        <v>43393</v>
      </c>
      <c r="D1677" s="815" t="s">
        <v>2861</v>
      </c>
      <c r="E1677" s="807">
        <v>140100</v>
      </c>
      <c r="F1677" s="629" t="str">
        <f>IFERROR(VLOOKUP(E1677,STAT1!$C$4:$D$1000,2,FALSE),"")</f>
        <v>Түүхий эд материал</v>
      </c>
      <c r="G1677" s="811">
        <v>8181818.1799999997</v>
      </c>
      <c r="H1677" s="811"/>
      <c r="I1677" s="580">
        <f t="shared" si="165"/>
        <v>0</v>
      </c>
      <c r="J1677" s="961">
        <f t="shared" si="166"/>
        <v>0</v>
      </c>
      <c r="K1677" s="80"/>
      <c r="L1677" s="807">
        <v>3139</v>
      </c>
      <c r="M1677" s="80" t="str">
        <f>+IFERROR(VLOOKUP(L1677,DATA!$G$4:$H$2000,2,FALSE),"")</f>
        <v xml:space="preserve">БУЯН ОД ХХК </v>
      </c>
      <c r="N1677" s="807"/>
      <c r="O1677" s="80" t="str">
        <f>IFERROR(VLOOKUP(N1677,DATA!$K$4:$L$51,2,FALSE),"")</f>
        <v/>
      </c>
      <c r="P1677" s="80">
        <f t="shared" si="164"/>
        <v>0</v>
      </c>
      <c r="Q1677" s="154">
        <f t="shared" si="163"/>
        <v>0</v>
      </c>
    </row>
    <row r="1678" spans="2:17">
      <c r="B1678" s="627">
        <f t="shared" si="162"/>
        <v>1673</v>
      </c>
      <c r="C1678" s="429">
        <v>43393</v>
      </c>
      <c r="D1678" s="815" t="s">
        <v>2861</v>
      </c>
      <c r="E1678" s="807">
        <v>120600</v>
      </c>
      <c r="F1678" s="629" t="str">
        <f>IFERROR(VLOOKUP(E1678,STAT1!$C$4:$D$1000,2,FALSE),"")</f>
        <v>НӨАТ авлага</v>
      </c>
      <c r="G1678" s="811">
        <v>818181.82</v>
      </c>
      <c r="H1678" s="811"/>
      <c r="I1678" s="580">
        <f t="shared" si="165"/>
        <v>0</v>
      </c>
      <c r="J1678" s="961">
        <f t="shared" si="166"/>
        <v>0</v>
      </c>
      <c r="K1678" s="80"/>
      <c r="L1678" s="807">
        <v>3139</v>
      </c>
      <c r="M1678" s="80" t="str">
        <f>+IFERROR(VLOOKUP(L1678,DATA!$G$4:$H$2000,2,FALSE),"")</f>
        <v xml:space="preserve">БУЯН ОД ХХК </v>
      </c>
      <c r="N1678" s="807"/>
      <c r="O1678" s="80" t="str">
        <f>IFERROR(VLOOKUP(N1678,DATA!$K$4:$L$51,2,FALSE),"")</f>
        <v/>
      </c>
      <c r="P1678" s="80">
        <f t="shared" si="164"/>
        <v>0</v>
      </c>
      <c r="Q1678" s="154">
        <f t="shared" si="163"/>
        <v>0</v>
      </c>
    </row>
    <row r="1679" spans="2:17">
      <c r="B1679" s="627">
        <f t="shared" si="162"/>
        <v>1674</v>
      </c>
      <c r="C1679" s="429">
        <v>43393</v>
      </c>
      <c r="D1679" s="815" t="s">
        <v>2861</v>
      </c>
      <c r="E1679" s="807">
        <v>120100</v>
      </c>
      <c r="F1679" s="629" t="str">
        <f>IFERROR(VLOOKUP(E1679,STAT1!$C$4:$D$1000,2,FALSE),"")</f>
        <v xml:space="preserve">Дансны авлага MNT </v>
      </c>
      <c r="G1679" s="811"/>
      <c r="H1679" s="811">
        <v>9000000</v>
      </c>
      <c r="I1679" s="580">
        <f t="shared" si="165"/>
        <v>0</v>
      </c>
      <c r="J1679" s="961">
        <f t="shared" si="166"/>
        <v>0</v>
      </c>
      <c r="K1679" s="80"/>
      <c r="L1679" s="807">
        <v>3139</v>
      </c>
      <c r="M1679" s="80" t="str">
        <f>+IFERROR(VLOOKUP(L1679,DATA!$G$4:$H$2000,2,FALSE),"")</f>
        <v xml:space="preserve">БУЯН ОД ХХК </v>
      </c>
      <c r="N1679" s="807"/>
      <c r="O1679" s="80" t="str">
        <f>IFERROR(VLOOKUP(N1679,DATA!$K$4:$L$51,2,FALSE),"")</f>
        <v/>
      </c>
      <c r="P1679" s="80">
        <f t="shared" si="164"/>
        <v>0</v>
      </c>
      <c r="Q1679" s="154">
        <f t="shared" si="163"/>
        <v>0</v>
      </c>
    </row>
    <row r="1680" spans="2:17">
      <c r="B1680" s="627">
        <f t="shared" si="162"/>
        <v>1675</v>
      </c>
      <c r="C1680" s="429">
        <v>43374</v>
      </c>
      <c r="D1680" s="815" t="s">
        <v>2861</v>
      </c>
      <c r="E1680" s="807">
        <v>140100</v>
      </c>
      <c r="F1680" s="629" t="str">
        <f>IFERROR(VLOOKUP(E1680,STAT1!$C$4:$D$1000,2,FALSE),"")</f>
        <v>Түүхий эд материал</v>
      </c>
      <c r="G1680" s="811">
        <v>9545454.5500000007</v>
      </c>
      <c r="H1680" s="811"/>
      <c r="I1680" s="580">
        <f t="shared" si="165"/>
        <v>0</v>
      </c>
      <c r="J1680" s="961">
        <f t="shared" si="166"/>
        <v>0</v>
      </c>
      <c r="K1680" s="80"/>
      <c r="L1680" s="807">
        <v>3139</v>
      </c>
      <c r="M1680" s="80" t="str">
        <f>+IFERROR(VLOOKUP(L1680,DATA!$G$4:$H$2000,2,FALSE),"")</f>
        <v xml:space="preserve">БУЯН ОД ХХК </v>
      </c>
      <c r="N1680" s="807"/>
      <c r="O1680" s="80" t="str">
        <f>IFERROR(VLOOKUP(N1680,DATA!$K$4:$L$51,2,FALSE),"")</f>
        <v/>
      </c>
      <c r="P1680" s="80">
        <f t="shared" si="164"/>
        <v>0</v>
      </c>
      <c r="Q1680" s="154">
        <f t="shared" si="163"/>
        <v>0</v>
      </c>
    </row>
    <row r="1681" spans="2:17">
      <c r="B1681" s="627">
        <f t="shared" ref="B1681:B1744" si="167">+IF(C1681="","",ROW()-5)</f>
        <v>1676</v>
      </c>
      <c r="C1681" s="429">
        <v>43374</v>
      </c>
      <c r="D1681" s="815" t="s">
        <v>2861</v>
      </c>
      <c r="E1681" s="807">
        <v>120600</v>
      </c>
      <c r="F1681" s="629" t="str">
        <f>IFERROR(VLOOKUP(E1681,STAT1!$C$4:$D$1000,2,FALSE),"")</f>
        <v>НӨАТ авлага</v>
      </c>
      <c r="G1681" s="811">
        <v>954545.45</v>
      </c>
      <c r="H1681" s="811"/>
      <c r="I1681" s="580">
        <f t="shared" si="165"/>
        <v>0</v>
      </c>
      <c r="J1681" s="961">
        <f t="shared" si="166"/>
        <v>0</v>
      </c>
      <c r="K1681" s="80"/>
      <c r="L1681" s="807">
        <v>3139</v>
      </c>
      <c r="M1681" s="80" t="str">
        <f>+IFERROR(VLOOKUP(L1681,DATA!$G$4:$H$2000,2,FALSE),"")</f>
        <v xml:space="preserve">БУЯН ОД ХХК </v>
      </c>
      <c r="N1681" s="807"/>
      <c r="O1681" s="80" t="str">
        <f>IFERROR(VLOOKUP(N1681,DATA!$K$4:$L$51,2,FALSE),"")</f>
        <v/>
      </c>
      <c r="P1681" s="80">
        <f t="shared" si="164"/>
        <v>0</v>
      </c>
      <c r="Q1681" s="154">
        <f t="shared" si="163"/>
        <v>0</v>
      </c>
    </row>
    <row r="1682" spans="2:17">
      <c r="B1682" s="627">
        <f t="shared" si="167"/>
        <v>1677</v>
      </c>
      <c r="C1682" s="429">
        <v>43374</v>
      </c>
      <c r="D1682" s="815" t="s">
        <v>2861</v>
      </c>
      <c r="E1682" s="807">
        <v>120100</v>
      </c>
      <c r="F1682" s="629" t="str">
        <f>IFERROR(VLOOKUP(E1682,STAT1!$C$4:$D$1000,2,FALSE),"")</f>
        <v xml:space="preserve">Дансны авлага MNT </v>
      </c>
      <c r="G1682" s="811"/>
      <c r="H1682" s="811">
        <v>10500000</v>
      </c>
      <c r="I1682" s="580">
        <f t="shared" si="165"/>
        <v>0</v>
      </c>
      <c r="J1682" s="961">
        <f t="shared" si="166"/>
        <v>0</v>
      </c>
      <c r="K1682" s="80"/>
      <c r="L1682" s="807">
        <v>3139</v>
      </c>
      <c r="M1682" s="80" t="str">
        <f>+IFERROR(VLOOKUP(L1682,DATA!$G$4:$H$2000,2,FALSE),"")</f>
        <v xml:space="preserve">БУЯН ОД ХХК </v>
      </c>
      <c r="N1682" s="807"/>
      <c r="O1682" s="80" t="str">
        <f>IFERROR(VLOOKUP(N1682,DATA!$K$4:$L$51,2,FALSE),"")</f>
        <v/>
      </c>
      <c r="P1682" s="80">
        <f t="shared" si="164"/>
        <v>0</v>
      </c>
      <c r="Q1682" s="154">
        <f t="shared" si="163"/>
        <v>0</v>
      </c>
    </row>
    <row r="1683" spans="2:17">
      <c r="B1683" s="627">
        <f t="shared" si="167"/>
        <v>1678</v>
      </c>
      <c r="C1683" s="582">
        <v>43384</v>
      </c>
      <c r="D1683" s="816" t="s">
        <v>2862</v>
      </c>
      <c r="E1683" s="807">
        <v>100100</v>
      </c>
      <c r="F1683" s="629" t="str">
        <f>IFERROR(VLOOKUP(E1683,STAT1!$C$4:$D$1000,2,FALSE),"")</f>
        <v>Касс мөнгө MNT</v>
      </c>
      <c r="G1683" s="811"/>
      <c r="H1683" s="811">
        <v>21000000</v>
      </c>
      <c r="I1683" s="580">
        <f t="shared" si="165"/>
        <v>-21000000</v>
      </c>
      <c r="J1683" s="961">
        <f t="shared" si="166"/>
        <v>0</v>
      </c>
      <c r="K1683" s="80"/>
      <c r="L1683" s="807">
        <v>3139</v>
      </c>
      <c r="M1683" s="80" t="str">
        <f>+IFERROR(VLOOKUP(L1683,DATA!$G$4:$H$2000,2,FALSE),"")</f>
        <v xml:space="preserve">БУЯН ОД ХХК </v>
      </c>
      <c r="N1683" s="807">
        <v>53</v>
      </c>
      <c r="O1683" s="80" t="str">
        <f>IFERROR(VLOOKUP(N1683,DATA!$K$4:$L$51,2,FALSE),"")</f>
        <v>Бараа материал худалдан авахад төлсөн</v>
      </c>
      <c r="P1683" s="80">
        <f t="shared" si="164"/>
        <v>1</v>
      </c>
      <c r="Q1683" s="154">
        <f t="shared" si="163"/>
        <v>1</v>
      </c>
    </row>
    <row r="1684" spans="2:17">
      <c r="B1684" s="627">
        <f t="shared" si="167"/>
        <v>1679</v>
      </c>
      <c r="C1684" s="582">
        <v>43384</v>
      </c>
      <c r="D1684" s="816" t="s">
        <v>2862</v>
      </c>
      <c r="E1684" s="807">
        <v>120100</v>
      </c>
      <c r="F1684" s="629" t="str">
        <f>IFERROR(VLOOKUP(E1684,STAT1!$C$4:$D$1000,2,FALSE),"")</f>
        <v xml:space="preserve">Дансны авлага MNT </v>
      </c>
      <c r="G1684" s="811">
        <v>21000000</v>
      </c>
      <c r="H1684" s="811"/>
      <c r="I1684" s="580">
        <f t="shared" si="165"/>
        <v>0</v>
      </c>
      <c r="J1684" s="961">
        <f t="shared" si="166"/>
        <v>0</v>
      </c>
      <c r="K1684" s="80"/>
      <c r="L1684" s="807">
        <v>3139</v>
      </c>
      <c r="M1684" s="80" t="str">
        <f>+IFERROR(VLOOKUP(L1684,DATA!$G$4:$H$2000,2,FALSE),"")</f>
        <v xml:space="preserve">БУЯН ОД ХХК </v>
      </c>
      <c r="N1684" s="807"/>
      <c r="O1684" s="80" t="str">
        <f>IFERROR(VLOOKUP(N1684,DATA!$K$4:$L$51,2,FALSE),"")</f>
        <v/>
      </c>
      <c r="P1684" s="80">
        <f t="shared" si="164"/>
        <v>0</v>
      </c>
      <c r="Q1684" s="154">
        <f t="shared" si="163"/>
        <v>0</v>
      </c>
    </row>
    <row r="1685" spans="2:17">
      <c r="B1685" s="627">
        <f t="shared" si="167"/>
        <v>1680</v>
      </c>
      <c r="C1685" s="429">
        <v>43409</v>
      </c>
      <c r="D1685" s="816" t="s">
        <v>2862</v>
      </c>
      <c r="E1685" s="807">
        <v>100100</v>
      </c>
      <c r="F1685" s="629" t="str">
        <f>IFERROR(VLOOKUP(E1685,STAT1!$C$4:$D$1000,2,FALSE),"")</f>
        <v>Касс мөнгө MNT</v>
      </c>
      <c r="G1685" s="811"/>
      <c r="H1685" s="811">
        <v>30000000</v>
      </c>
      <c r="I1685" s="580">
        <f t="shared" si="165"/>
        <v>-30000000</v>
      </c>
      <c r="J1685" s="961">
        <f t="shared" si="166"/>
        <v>0</v>
      </c>
      <c r="K1685" s="80"/>
      <c r="L1685" s="807">
        <v>3139</v>
      </c>
      <c r="M1685" s="80" t="str">
        <f>+IFERROR(VLOOKUP(L1685,DATA!$G$4:$H$2000,2,FALSE),"")</f>
        <v xml:space="preserve">БУЯН ОД ХХК </v>
      </c>
      <c r="N1685" s="807">
        <v>53</v>
      </c>
      <c r="O1685" s="80" t="str">
        <f>IFERROR(VLOOKUP(N1685,DATA!$K$4:$L$51,2,FALSE),"")</f>
        <v>Бараа материал худалдан авахад төлсөн</v>
      </c>
      <c r="P1685" s="80">
        <f t="shared" si="164"/>
        <v>1</v>
      </c>
      <c r="Q1685" s="154">
        <f t="shared" si="163"/>
        <v>1</v>
      </c>
    </row>
    <row r="1686" spans="2:17">
      <c r="B1686" s="627">
        <f t="shared" si="167"/>
        <v>1681</v>
      </c>
      <c r="C1686" s="429">
        <v>43409</v>
      </c>
      <c r="D1686" s="816" t="s">
        <v>2862</v>
      </c>
      <c r="E1686" s="807">
        <v>120100</v>
      </c>
      <c r="F1686" s="629" t="str">
        <f>IFERROR(VLOOKUP(E1686,STAT1!$C$4:$D$1000,2,FALSE),"")</f>
        <v xml:space="preserve">Дансны авлага MNT </v>
      </c>
      <c r="G1686" s="811">
        <v>30000000</v>
      </c>
      <c r="H1686" s="811"/>
      <c r="I1686" s="580">
        <f t="shared" si="165"/>
        <v>0</v>
      </c>
      <c r="J1686" s="961">
        <f t="shared" si="166"/>
        <v>0</v>
      </c>
      <c r="K1686" s="80"/>
      <c r="L1686" s="807">
        <v>3139</v>
      </c>
      <c r="M1686" s="80" t="str">
        <f>+IFERROR(VLOOKUP(L1686,DATA!$G$4:$H$2000,2,FALSE),"")</f>
        <v xml:space="preserve">БУЯН ОД ХХК </v>
      </c>
      <c r="N1686" s="807"/>
      <c r="O1686" s="80" t="str">
        <f>IFERROR(VLOOKUP(N1686,DATA!$K$4:$L$51,2,FALSE),"")</f>
        <v/>
      </c>
      <c r="P1686" s="80">
        <f t="shared" si="164"/>
        <v>0</v>
      </c>
      <c r="Q1686" s="154">
        <f t="shared" si="163"/>
        <v>0</v>
      </c>
    </row>
    <row r="1687" spans="2:17">
      <c r="B1687" s="627">
        <f t="shared" si="167"/>
        <v>1682</v>
      </c>
      <c r="C1687" s="429">
        <v>43449</v>
      </c>
      <c r="D1687" s="816" t="s">
        <v>2862</v>
      </c>
      <c r="E1687" s="807">
        <v>100100</v>
      </c>
      <c r="F1687" s="629" t="str">
        <f>IFERROR(VLOOKUP(E1687,STAT1!$C$4:$D$1000,2,FALSE),"")</f>
        <v>Касс мөнгө MNT</v>
      </c>
      <c r="G1687" s="811"/>
      <c r="H1687" s="811">
        <v>21000000</v>
      </c>
      <c r="I1687" s="580">
        <f t="shared" si="165"/>
        <v>-21000000</v>
      </c>
      <c r="J1687" s="961">
        <f t="shared" si="166"/>
        <v>0</v>
      </c>
      <c r="K1687" s="80"/>
      <c r="L1687" s="807">
        <v>3139</v>
      </c>
      <c r="M1687" s="80" t="str">
        <f>+IFERROR(VLOOKUP(L1687,DATA!$G$4:$H$2000,2,FALSE),"")</f>
        <v xml:space="preserve">БУЯН ОД ХХК </v>
      </c>
      <c r="N1687" s="807">
        <v>53</v>
      </c>
      <c r="O1687" s="80" t="str">
        <f>IFERROR(VLOOKUP(N1687,DATA!$K$4:$L$51,2,FALSE),"")</f>
        <v>Бараа материал худалдан авахад төлсөн</v>
      </c>
      <c r="P1687" s="80">
        <f t="shared" si="164"/>
        <v>1</v>
      </c>
      <c r="Q1687" s="154">
        <f t="shared" si="163"/>
        <v>1</v>
      </c>
    </row>
    <row r="1688" spans="2:17">
      <c r="B1688" s="627">
        <f t="shared" si="167"/>
        <v>1683</v>
      </c>
      <c r="C1688" s="429">
        <v>43449</v>
      </c>
      <c r="D1688" s="816" t="s">
        <v>2862</v>
      </c>
      <c r="E1688" s="807">
        <v>120100</v>
      </c>
      <c r="F1688" s="629" t="str">
        <f>IFERROR(VLOOKUP(E1688,STAT1!$C$4:$D$1000,2,FALSE),"")</f>
        <v xml:space="preserve">Дансны авлага MNT </v>
      </c>
      <c r="G1688" s="811">
        <v>21000000</v>
      </c>
      <c r="H1688" s="811"/>
      <c r="I1688" s="580">
        <f t="shared" si="165"/>
        <v>0</v>
      </c>
      <c r="J1688" s="961">
        <f t="shared" si="166"/>
        <v>0</v>
      </c>
      <c r="K1688" s="80"/>
      <c r="L1688" s="807">
        <v>3139</v>
      </c>
      <c r="M1688" s="80" t="str">
        <f>+IFERROR(VLOOKUP(L1688,DATA!$G$4:$H$2000,2,FALSE),"")</f>
        <v xml:space="preserve">БУЯН ОД ХХК </v>
      </c>
      <c r="N1688" s="807"/>
      <c r="O1688" s="80" t="str">
        <f>IFERROR(VLOOKUP(N1688,DATA!$K$4:$L$51,2,FALSE),"")</f>
        <v/>
      </c>
      <c r="P1688" s="80">
        <f t="shared" si="164"/>
        <v>0</v>
      </c>
      <c r="Q1688" s="154">
        <f t="shared" si="163"/>
        <v>0</v>
      </c>
    </row>
    <row r="1689" spans="2:17">
      <c r="B1689" s="627">
        <f t="shared" si="167"/>
        <v>1684</v>
      </c>
      <c r="C1689" s="429">
        <v>43395</v>
      </c>
      <c r="D1689" s="816" t="s">
        <v>2863</v>
      </c>
      <c r="E1689" s="807">
        <v>150101</v>
      </c>
      <c r="F1689" s="629" t="str">
        <f>IFERROR(VLOOKUP(E1689,STAT1!$C$4:$D$1000,2,FALSE),"")</f>
        <v>Бараа бэлэн бүтээгдэхүүн БОЛОВСРУУЛАХ ЦЕХ /нарс/</v>
      </c>
      <c r="G1689" s="811"/>
      <c r="H1689" s="811">
        <v>67011.03</v>
      </c>
      <c r="I1689" s="580">
        <f t="shared" si="165"/>
        <v>0</v>
      </c>
      <c r="J1689" s="961">
        <f t="shared" si="166"/>
        <v>0</v>
      </c>
      <c r="K1689" s="80"/>
      <c r="L1689" s="807">
        <v>3045</v>
      </c>
      <c r="M1689" s="80" t="str">
        <f>+IFERROR(VLOOKUP(L1689,DATA!$G$4:$H$2000,2,FALSE),"")</f>
        <v xml:space="preserve">МОНГОЛ ИДЕАЛ ХХК </v>
      </c>
      <c r="N1689" s="807"/>
      <c r="O1689" s="80" t="str">
        <f>IFERROR(VLOOKUP(N1689,DATA!$K$4:$L$51,2,FALSE),"")</f>
        <v/>
      </c>
      <c r="P1689" s="80">
        <f t="shared" si="164"/>
        <v>0</v>
      </c>
      <c r="Q1689" s="154">
        <f t="shared" si="163"/>
        <v>0</v>
      </c>
    </row>
    <row r="1690" spans="2:17">
      <c r="B1690" s="627">
        <f t="shared" si="167"/>
        <v>1685</v>
      </c>
      <c r="C1690" s="429">
        <v>43395</v>
      </c>
      <c r="D1690" s="816" t="s">
        <v>2863</v>
      </c>
      <c r="E1690" s="807">
        <v>610100</v>
      </c>
      <c r="F1690" s="629" t="str">
        <f>IFERROR(VLOOKUP(E1690,STAT1!$C$4:$D$1000,2,FALSE),"")</f>
        <v>Борлуулсан барааны өртөг</v>
      </c>
      <c r="G1690" s="811">
        <v>67011.03</v>
      </c>
      <c r="H1690" s="811"/>
      <c r="I1690" s="580">
        <f t="shared" si="165"/>
        <v>0</v>
      </c>
      <c r="J1690" s="961">
        <f t="shared" si="166"/>
        <v>0</v>
      </c>
      <c r="K1690" s="80"/>
      <c r="L1690" s="807">
        <v>3045</v>
      </c>
      <c r="M1690" s="80" t="str">
        <f>+IFERROR(VLOOKUP(L1690,DATA!$G$4:$H$2000,2,FALSE),"")</f>
        <v xml:space="preserve">МОНГОЛ ИДЕАЛ ХХК </v>
      </c>
      <c r="N1690" s="807"/>
      <c r="O1690" s="80" t="str">
        <f>IFERROR(VLOOKUP(N1690,DATA!$K$4:$L$51,2,FALSE),"")</f>
        <v/>
      </c>
      <c r="P1690" s="80">
        <f t="shared" si="164"/>
        <v>0</v>
      </c>
      <c r="Q1690" s="154">
        <f t="shared" si="163"/>
        <v>0</v>
      </c>
    </row>
    <row r="1691" spans="2:17">
      <c r="B1691" s="627">
        <f t="shared" si="167"/>
        <v>1686</v>
      </c>
      <c r="C1691" s="429">
        <v>43395</v>
      </c>
      <c r="D1691" s="816" t="s">
        <v>2863</v>
      </c>
      <c r="E1691" s="807">
        <v>310500</v>
      </c>
      <c r="F1691" s="629" t="str">
        <f>IFERROR(VLOOKUP(E1691,STAT1!$C$4:$D$1000,2,FALSE),"")</f>
        <v>НӨАТ өглөг</v>
      </c>
      <c r="G1691" s="811"/>
      <c r="H1691" s="811">
        <v>8000</v>
      </c>
      <c r="I1691" s="580">
        <f t="shared" si="165"/>
        <v>0</v>
      </c>
      <c r="J1691" s="961">
        <f t="shared" si="166"/>
        <v>0</v>
      </c>
      <c r="K1691" s="80"/>
      <c r="L1691" s="807">
        <v>3045</v>
      </c>
      <c r="M1691" s="80" t="str">
        <f>+IFERROR(VLOOKUP(L1691,DATA!$G$4:$H$2000,2,FALSE),"")</f>
        <v xml:space="preserve">МОНГОЛ ИДЕАЛ ХХК </v>
      </c>
      <c r="N1691" s="807"/>
      <c r="O1691" s="80" t="str">
        <f>IFERROR(VLOOKUP(N1691,DATA!$K$4:$L$51,2,FALSE),"")</f>
        <v/>
      </c>
      <c r="P1691" s="80">
        <f t="shared" si="164"/>
        <v>0</v>
      </c>
      <c r="Q1691" s="154">
        <f t="shared" si="163"/>
        <v>0</v>
      </c>
    </row>
    <row r="1692" spans="2:17">
      <c r="B1692" s="627">
        <f t="shared" si="167"/>
        <v>1687</v>
      </c>
      <c r="C1692" s="429">
        <v>43395</v>
      </c>
      <c r="D1692" s="816" t="s">
        <v>2863</v>
      </c>
      <c r="E1692" s="807">
        <v>510000</v>
      </c>
      <c r="F1692" s="629" t="str">
        <f>IFERROR(VLOOKUP(E1692,STAT1!$C$4:$D$1000,2,FALSE),"")</f>
        <v>Үндсэн үйл ажиллагааны борлуулалт</v>
      </c>
      <c r="G1692" s="811"/>
      <c r="H1692" s="811">
        <v>80000</v>
      </c>
      <c r="I1692" s="580">
        <f t="shared" si="165"/>
        <v>0</v>
      </c>
      <c r="J1692" s="961">
        <f t="shared" si="166"/>
        <v>0</v>
      </c>
      <c r="K1692" s="80"/>
      <c r="L1692" s="807">
        <v>3045</v>
      </c>
      <c r="M1692" s="80" t="str">
        <f>+IFERROR(VLOOKUP(L1692,DATA!$G$4:$H$2000,2,FALSE),"")</f>
        <v xml:space="preserve">МОНГОЛ ИДЕАЛ ХХК </v>
      </c>
      <c r="N1692" s="807"/>
      <c r="O1692" s="80" t="str">
        <f>IFERROR(VLOOKUP(N1692,DATA!$K$4:$L$51,2,FALSE),"")</f>
        <v/>
      </c>
      <c r="P1692" s="80">
        <f t="shared" si="164"/>
        <v>0</v>
      </c>
      <c r="Q1692" s="154">
        <f t="shared" si="163"/>
        <v>0</v>
      </c>
    </row>
    <row r="1693" spans="2:17">
      <c r="B1693" s="627">
        <f t="shared" si="167"/>
        <v>1688</v>
      </c>
      <c r="C1693" s="429">
        <v>43395</v>
      </c>
      <c r="D1693" s="816" t="s">
        <v>2863</v>
      </c>
      <c r="E1693" s="807">
        <v>320100</v>
      </c>
      <c r="F1693" s="629" t="str">
        <f>IFERROR(VLOOKUP(E1693,STAT1!$C$4:$D$1000,2,FALSE),"")</f>
        <v>Урьдчилж орсон орлого MNT</v>
      </c>
      <c r="G1693" s="811">
        <v>88000.000110000008</v>
      </c>
      <c r="H1693" s="811"/>
      <c r="I1693" s="580">
        <f t="shared" si="165"/>
        <v>0</v>
      </c>
      <c r="J1693" s="961">
        <f t="shared" si="166"/>
        <v>0</v>
      </c>
      <c r="K1693" s="80"/>
      <c r="L1693" s="807">
        <v>3045</v>
      </c>
      <c r="M1693" s="80" t="str">
        <f>+IFERROR(VLOOKUP(L1693,DATA!$G$4:$H$2000,2,FALSE),"")</f>
        <v xml:space="preserve">МОНГОЛ ИДЕАЛ ХХК </v>
      </c>
      <c r="N1693" s="807"/>
      <c r="O1693" s="80" t="str">
        <f>IFERROR(VLOOKUP(N1693,DATA!$K$4:$L$51,2,FALSE),"")</f>
        <v/>
      </c>
      <c r="P1693" s="80">
        <f t="shared" si="164"/>
        <v>0</v>
      </c>
      <c r="Q1693" s="154">
        <f t="shared" si="163"/>
        <v>0</v>
      </c>
    </row>
    <row r="1694" spans="2:17">
      <c r="B1694" s="627">
        <f t="shared" si="167"/>
        <v>1689</v>
      </c>
      <c r="C1694" s="429">
        <v>43395</v>
      </c>
      <c r="D1694" s="816" t="s">
        <v>2863</v>
      </c>
      <c r="E1694" s="807">
        <v>150101</v>
      </c>
      <c r="F1694" s="629" t="str">
        <f>IFERROR(VLOOKUP(E1694,STAT1!$C$4:$D$1000,2,FALSE),"")</f>
        <v>Бараа бэлэн бүтээгдэхүүн БОЛОВСРУУЛАХ ЦЕХ /нарс/</v>
      </c>
      <c r="G1694" s="811"/>
      <c r="H1694" s="811">
        <v>124000.19</v>
      </c>
      <c r="I1694" s="580">
        <f t="shared" si="165"/>
        <v>0</v>
      </c>
      <c r="J1694" s="961">
        <f t="shared" si="166"/>
        <v>0</v>
      </c>
      <c r="K1694" s="80"/>
      <c r="L1694" s="807">
        <v>3061</v>
      </c>
      <c r="M1694" s="80" t="str">
        <f>+IFERROR(VLOOKUP(L1694,DATA!$G$4:$H$2000,2,FALSE),"")</f>
        <v>СТИМО ХХК</v>
      </c>
      <c r="N1694" s="807"/>
      <c r="O1694" s="80" t="str">
        <f>IFERROR(VLOOKUP(N1694,DATA!$K$4:$L$51,2,FALSE),"")</f>
        <v/>
      </c>
      <c r="P1694" s="80">
        <f t="shared" si="164"/>
        <v>0</v>
      </c>
      <c r="Q1694" s="154">
        <f t="shared" si="163"/>
        <v>0</v>
      </c>
    </row>
    <row r="1695" spans="2:17">
      <c r="B1695" s="627">
        <f t="shared" si="167"/>
        <v>1690</v>
      </c>
      <c r="C1695" s="429">
        <v>43404</v>
      </c>
      <c r="D1695" s="816" t="s">
        <v>2863</v>
      </c>
      <c r="E1695" s="807">
        <v>610100</v>
      </c>
      <c r="F1695" s="629" t="str">
        <f>IFERROR(VLOOKUP(E1695,STAT1!$C$4:$D$1000,2,FALSE),"")</f>
        <v>Борлуулсан барааны өртөг</v>
      </c>
      <c r="G1695" s="811">
        <v>124000.19</v>
      </c>
      <c r="H1695" s="811"/>
      <c r="I1695" s="580">
        <f t="shared" si="165"/>
        <v>0</v>
      </c>
      <c r="J1695" s="961">
        <f t="shared" si="166"/>
        <v>0</v>
      </c>
      <c r="K1695" s="80"/>
      <c r="L1695" s="807">
        <v>3061</v>
      </c>
      <c r="M1695" s="80" t="str">
        <f>+IFERROR(VLOOKUP(L1695,DATA!$G$4:$H$2000,2,FALSE),"")</f>
        <v>СТИМО ХХК</v>
      </c>
      <c r="N1695" s="807"/>
      <c r="O1695" s="80" t="str">
        <f>IFERROR(VLOOKUP(N1695,DATA!$K$4:$L$51,2,FALSE),"")</f>
        <v/>
      </c>
      <c r="P1695" s="80">
        <f t="shared" si="164"/>
        <v>0</v>
      </c>
      <c r="Q1695" s="154">
        <f t="shared" ref="Q1695:Q1758" si="168">+IF(I1695,1,0)</f>
        <v>0</v>
      </c>
    </row>
    <row r="1696" spans="2:17">
      <c r="B1696" s="627">
        <f t="shared" si="167"/>
        <v>1691</v>
      </c>
      <c r="C1696" s="429">
        <v>43404</v>
      </c>
      <c r="D1696" s="816" t="s">
        <v>2863</v>
      </c>
      <c r="E1696" s="807">
        <v>310500</v>
      </c>
      <c r="F1696" s="629" t="str">
        <f>IFERROR(VLOOKUP(E1696,STAT1!$C$4:$D$1000,2,FALSE),"")</f>
        <v>НӨАТ өглөг</v>
      </c>
      <c r="G1696" s="811"/>
      <c r="H1696" s="811">
        <v>27000</v>
      </c>
      <c r="I1696" s="580">
        <f t="shared" si="165"/>
        <v>0</v>
      </c>
      <c r="J1696" s="961">
        <f t="shared" si="166"/>
        <v>0</v>
      </c>
      <c r="K1696" s="80"/>
      <c r="L1696" s="807">
        <v>3061</v>
      </c>
      <c r="M1696" s="80" t="str">
        <f>+IFERROR(VLOOKUP(L1696,DATA!$G$4:$H$2000,2,FALSE),"")</f>
        <v>СТИМО ХХК</v>
      </c>
      <c r="N1696" s="807"/>
      <c r="O1696" s="80" t="str">
        <f>IFERROR(VLOOKUP(N1696,DATA!$K$4:$L$51,2,FALSE),"")</f>
        <v/>
      </c>
      <c r="P1696" s="80">
        <f t="shared" si="164"/>
        <v>0</v>
      </c>
      <c r="Q1696" s="154">
        <f t="shared" si="168"/>
        <v>0</v>
      </c>
    </row>
    <row r="1697" spans="2:17">
      <c r="B1697" s="627">
        <f t="shared" si="167"/>
        <v>1692</v>
      </c>
      <c r="C1697" s="429">
        <v>43404</v>
      </c>
      <c r="D1697" s="816" t="s">
        <v>2863</v>
      </c>
      <c r="E1697" s="807">
        <v>510000</v>
      </c>
      <c r="F1697" s="629" t="str">
        <f>IFERROR(VLOOKUP(E1697,STAT1!$C$4:$D$1000,2,FALSE),"")</f>
        <v>Үндсэн үйл ажиллагааны борлуулалт</v>
      </c>
      <c r="G1697" s="811"/>
      <c r="H1697" s="811">
        <v>270000</v>
      </c>
      <c r="I1697" s="580">
        <f t="shared" si="165"/>
        <v>0</v>
      </c>
      <c r="J1697" s="961">
        <f t="shared" si="166"/>
        <v>0</v>
      </c>
      <c r="K1697" s="80"/>
      <c r="L1697" s="807">
        <v>3061</v>
      </c>
      <c r="M1697" s="80" t="str">
        <f>+IFERROR(VLOOKUP(L1697,DATA!$G$4:$H$2000,2,FALSE),"")</f>
        <v>СТИМО ХХК</v>
      </c>
      <c r="N1697" s="807"/>
      <c r="O1697" s="80" t="str">
        <f>IFERROR(VLOOKUP(N1697,DATA!$K$4:$L$51,2,FALSE),"")</f>
        <v/>
      </c>
      <c r="P1697" s="80">
        <f t="shared" si="164"/>
        <v>0</v>
      </c>
      <c r="Q1697" s="154">
        <f t="shared" si="168"/>
        <v>0</v>
      </c>
    </row>
    <row r="1698" spans="2:17">
      <c r="B1698" s="627">
        <f t="shared" si="167"/>
        <v>1693</v>
      </c>
      <c r="C1698" s="429">
        <v>43404</v>
      </c>
      <c r="D1698" s="816" t="s">
        <v>2863</v>
      </c>
      <c r="E1698" s="807">
        <v>320100</v>
      </c>
      <c r="F1698" s="629" t="str">
        <f>IFERROR(VLOOKUP(E1698,STAT1!$C$4:$D$1000,2,FALSE),"")</f>
        <v>Урьдчилж орсон орлого MNT</v>
      </c>
      <c r="G1698" s="811">
        <v>297000</v>
      </c>
      <c r="H1698" s="811"/>
      <c r="I1698" s="580">
        <f t="shared" si="165"/>
        <v>0</v>
      </c>
      <c r="J1698" s="961">
        <f t="shared" si="166"/>
        <v>0</v>
      </c>
      <c r="K1698" s="80"/>
      <c r="L1698" s="807">
        <v>3061</v>
      </c>
      <c r="M1698" s="80" t="str">
        <f>+IFERROR(VLOOKUP(L1698,DATA!$G$4:$H$2000,2,FALSE),"")</f>
        <v>СТИМО ХХК</v>
      </c>
      <c r="N1698" s="807"/>
      <c r="O1698" s="80" t="str">
        <f>IFERROR(VLOOKUP(N1698,DATA!$K$4:$L$51,2,FALSE),"")</f>
        <v/>
      </c>
      <c r="P1698" s="80">
        <f t="shared" si="164"/>
        <v>0</v>
      </c>
      <c r="Q1698" s="154">
        <f t="shared" si="168"/>
        <v>0</v>
      </c>
    </row>
    <row r="1699" spans="2:17">
      <c r="B1699" s="627">
        <f t="shared" si="167"/>
        <v>1694</v>
      </c>
      <c r="C1699" s="429">
        <v>43410</v>
      </c>
      <c r="D1699" s="816" t="s">
        <v>2863</v>
      </c>
      <c r="E1699" s="807">
        <v>150101</v>
      </c>
      <c r="F1699" s="629" t="str">
        <f>IFERROR(VLOOKUP(E1699,STAT1!$C$4:$D$1000,2,FALSE),"")</f>
        <v>Бараа бэлэн бүтээгдэхүүн БОЛОВСРУУЛАХ ЦЕХ /нарс/</v>
      </c>
      <c r="G1699" s="811"/>
      <c r="H1699" s="811">
        <v>229035.38</v>
      </c>
      <c r="I1699" s="580">
        <f t="shared" si="165"/>
        <v>0</v>
      </c>
      <c r="J1699" s="961">
        <f t="shared" si="166"/>
        <v>0</v>
      </c>
      <c r="K1699" s="80"/>
      <c r="L1699" s="807">
        <v>3135</v>
      </c>
      <c r="M1699" s="80" t="str">
        <f>+IFERROR(VLOOKUP(L1699,DATA!$G$4:$H$2000,2,FALSE),"")</f>
        <v xml:space="preserve">ЛИДЕР БУЯНТ ХОЛДИНГ </v>
      </c>
      <c r="N1699" s="807"/>
      <c r="O1699" s="80" t="str">
        <f>IFERROR(VLOOKUP(N1699,DATA!$K$4:$L$51,2,FALSE),"")</f>
        <v/>
      </c>
      <c r="P1699" s="80">
        <f t="shared" si="164"/>
        <v>0</v>
      </c>
      <c r="Q1699" s="154">
        <f t="shared" si="168"/>
        <v>0</v>
      </c>
    </row>
    <row r="1700" spans="2:17">
      <c r="B1700" s="627">
        <f t="shared" si="167"/>
        <v>1695</v>
      </c>
      <c r="C1700" s="429">
        <v>43410</v>
      </c>
      <c r="D1700" s="816" t="s">
        <v>2863</v>
      </c>
      <c r="E1700" s="807">
        <v>610100</v>
      </c>
      <c r="F1700" s="629" t="str">
        <f>IFERROR(VLOOKUP(E1700,STAT1!$C$4:$D$1000,2,FALSE),"")</f>
        <v>Борлуулсан барааны өртөг</v>
      </c>
      <c r="G1700" s="811">
        <v>229035.38</v>
      </c>
      <c r="H1700" s="811"/>
      <c r="I1700" s="580">
        <f t="shared" si="165"/>
        <v>0</v>
      </c>
      <c r="J1700" s="961">
        <f t="shared" si="166"/>
        <v>0</v>
      </c>
      <c r="K1700" s="80"/>
      <c r="L1700" s="807">
        <v>3135</v>
      </c>
      <c r="M1700" s="80" t="str">
        <f>+IFERROR(VLOOKUP(L1700,DATA!$G$4:$H$2000,2,FALSE),"")</f>
        <v xml:space="preserve">ЛИДЕР БУЯНТ ХОЛДИНГ </v>
      </c>
      <c r="N1700" s="807"/>
      <c r="O1700" s="80" t="str">
        <f>IFERROR(VLOOKUP(N1700,DATA!$K$4:$L$51,2,FALSE),"")</f>
        <v/>
      </c>
      <c r="P1700" s="80">
        <f t="shared" si="164"/>
        <v>0</v>
      </c>
      <c r="Q1700" s="154">
        <f t="shared" si="168"/>
        <v>0</v>
      </c>
    </row>
    <row r="1701" spans="2:17">
      <c r="B1701" s="627">
        <f t="shared" si="167"/>
        <v>1696</v>
      </c>
      <c r="C1701" s="429">
        <v>43410</v>
      </c>
      <c r="D1701" s="816" t="s">
        <v>2863</v>
      </c>
      <c r="E1701" s="807">
        <v>310500</v>
      </c>
      <c r="F1701" s="629" t="str">
        <f>IFERROR(VLOOKUP(E1701,STAT1!$C$4:$D$1000,2,FALSE),"")</f>
        <v>НӨАТ өглөг</v>
      </c>
      <c r="G1701" s="811"/>
      <c r="H1701" s="811">
        <v>34036.36</v>
      </c>
      <c r="I1701" s="580">
        <f t="shared" si="165"/>
        <v>0</v>
      </c>
      <c r="J1701" s="961">
        <f t="shared" si="166"/>
        <v>0</v>
      </c>
      <c r="K1701" s="80"/>
      <c r="L1701" s="807">
        <v>3135</v>
      </c>
      <c r="M1701" s="80" t="str">
        <f>+IFERROR(VLOOKUP(L1701,DATA!$G$4:$H$2000,2,FALSE),"")</f>
        <v xml:space="preserve">ЛИДЕР БУЯНТ ХОЛДИНГ </v>
      </c>
      <c r="N1701" s="807"/>
      <c r="O1701" s="80" t="str">
        <f>IFERROR(VLOOKUP(N1701,DATA!$K$4:$L$51,2,FALSE),"")</f>
        <v/>
      </c>
      <c r="P1701" s="80">
        <f t="shared" si="164"/>
        <v>0</v>
      </c>
      <c r="Q1701" s="154">
        <f t="shared" si="168"/>
        <v>0</v>
      </c>
    </row>
    <row r="1702" spans="2:17">
      <c r="B1702" s="627">
        <f t="shared" si="167"/>
        <v>1697</v>
      </c>
      <c r="C1702" s="429">
        <v>43410</v>
      </c>
      <c r="D1702" s="816" t="s">
        <v>2863</v>
      </c>
      <c r="E1702" s="807">
        <v>510000</v>
      </c>
      <c r="F1702" s="629" t="str">
        <f>IFERROR(VLOOKUP(E1702,STAT1!$C$4:$D$1000,2,FALSE),"")</f>
        <v>Үндсэн үйл ажиллагааны борлуулалт</v>
      </c>
      <c r="G1702" s="811"/>
      <c r="H1702" s="811">
        <v>340363.64</v>
      </c>
      <c r="I1702" s="580">
        <f t="shared" si="165"/>
        <v>0</v>
      </c>
      <c r="J1702" s="961">
        <f t="shared" si="166"/>
        <v>0</v>
      </c>
      <c r="K1702" s="80"/>
      <c r="L1702" s="807">
        <v>3135</v>
      </c>
      <c r="M1702" s="80" t="str">
        <f>+IFERROR(VLOOKUP(L1702,DATA!$G$4:$H$2000,2,FALSE),"")</f>
        <v xml:space="preserve">ЛИДЕР БУЯНТ ХОЛДИНГ </v>
      </c>
      <c r="N1702" s="807"/>
      <c r="O1702" s="80" t="str">
        <f>IFERROR(VLOOKUP(N1702,DATA!$K$4:$L$51,2,FALSE),"")</f>
        <v/>
      </c>
      <c r="P1702" s="80">
        <f t="shared" si="164"/>
        <v>0</v>
      </c>
      <c r="Q1702" s="154">
        <f t="shared" si="168"/>
        <v>0</v>
      </c>
    </row>
    <row r="1703" spans="2:17">
      <c r="B1703" s="627">
        <f t="shared" si="167"/>
        <v>1698</v>
      </c>
      <c r="C1703" s="429">
        <v>43410</v>
      </c>
      <c r="D1703" s="816" t="s">
        <v>2863</v>
      </c>
      <c r="E1703" s="807">
        <v>320100</v>
      </c>
      <c r="F1703" s="629" t="str">
        <f>IFERROR(VLOOKUP(E1703,STAT1!$C$4:$D$1000,2,FALSE),"")</f>
        <v>Урьдчилж орсон орлого MNT</v>
      </c>
      <c r="G1703" s="811">
        <v>374400</v>
      </c>
      <c r="H1703" s="811"/>
      <c r="I1703" s="580">
        <f t="shared" si="165"/>
        <v>0</v>
      </c>
      <c r="J1703" s="961">
        <f t="shared" si="166"/>
        <v>0</v>
      </c>
      <c r="K1703" s="80"/>
      <c r="L1703" s="807">
        <v>3135</v>
      </c>
      <c r="M1703" s="80" t="str">
        <f>+IFERROR(VLOOKUP(L1703,DATA!$G$4:$H$2000,2,FALSE),"")</f>
        <v xml:space="preserve">ЛИДЕР БУЯНТ ХОЛДИНГ </v>
      </c>
      <c r="N1703" s="807"/>
      <c r="O1703" s="80" t="str">
        <f>IFERROR(VLOOKUP(N1703,DATA!$K$4:$L$51,2,FALSE),"")</f>
        <v/>
      </c>
      <c r="P1703" s="80">
        <f t="shared" si="164"/>
        <v>0</v>
      </c>
      <c r="Q1703" s="154">
        <f t="shared" si="168"/>
        <v>0</v>
      </c>
    </row>
    <row r="1704" spans="2:17">
      <c r="B1704" s="627">
        <f t="shared" si="167"/>
        <v>1699</v>
      </c>
      <c r="C1704" s="429">
        <v>43413</v>
      </c>
      <c r="D1704" s="816" t="s">
        <v>2863</v>
      </c>
      <c r="E1704" s="807">
        <v>150101</v>
      </c>
      <c r="F1704" s="629" t="str">
        <f>IFERROR(VLOOKUP(E1704,STAT1!$C$4:$D$1000,2,FALSE),"")</f>
        <v>Бараа бэлэн бүтээгдэхүүн БОЛОВСРУУЛАХ ЦЕХ /нарс/</v>
      </c>
      <c r="G1704" s="811"/>
      <c r="H1704" s="811">
        <v>140533.54999999999</v>
      </c>
      <c r="I1704" s="580">
        <f t="shared" si="165"/>
        <v>0</v>
      </c>
      <c r="J1704" s="961">
        <f t="shared" si="166"/>
        <v>0</v>
      </c>
      <c r="K1704" s="80"/>
      <c r="L1704" s="807">
        <v>3138</v>
      </c>
      <c r="M1704" s="80" t="str">
        <f>+IFERROR(VLOOKUP(L1704,DATA!$G$4:$H$2000,2,FALSE),"")</f>
        <v>ХӨХ БҮРДНИЙ ЭХ ХХК</v>
      </c>
      <c r="N1704" s="807"/>
      <c r="O1704" s="80" t="str">
        <f>IFERROR(VLOOKUP(N1704,DATA!$K$4:$L$51,2,FALSE),"")</f>
        <v/>
      </c>
      <c r="P1704" s="80">
        <f t="shared" si="164"/>
        <v>0</v>
      </c>
      <c r="Q1704" s="154">
        <f t="shared" si="168"/>
        <v>0</v>
      </c>
    </row>
    <row r="1705" spans="2:17">
      <c r="B1705" s="627">
        <f t="shared" si="167"/>
        <v>1700</v>
      </c>
      <c r="C1705" s="429">
        <v>43413</v>
      </c>
      <c r="D1705" s="816" t="s">
        <v>2863</v>
      </c>
      <c r="E1705" s="807">
        <v>610100</v>
      </c>
      <c r="F1705" s="629" t="str">
        <f>IFERROR(VLOOKUP(E1705,STAT1!$C$4:$D$1000,2,FALSE),"")</f>
        <v>Борлуулсан барааны өртөг</v>
      </c>
      <c r="G1705" s="811">
        <v>140533.54999999999</v>
      </c>
      <c r="H1705" s="811"/>
      <c r="I1705" s="580">
        <f t="shared" si="165"/>
        <v>0</v>
      </c>
      <c r="J1705" s="961">
        <f t="shared" si="166"/>
        <v>0</v>
      </c>
      <c r="K1705" s="80"/>
      <c r="L1705" s="807">
        <v>3138</v>
      </c>
      <c r="M1705" s="80" t="str">
        <f>+IFERROR(VLOOKUP(L1705,DATA!$G$4:$H$2000,2,FALSE),"")</f>
        <v>ХӨХ БҮРДНИЙ ЭХ ХХК</v>
      </c>
      <c r="N1705" s="807"/>
      <c r="O1705" s="80" t="str">
        <f>IFERROR(VLOOKUP(N1705,DATA!$K$4:$L$51,2,FALSE),"")</f>
        <v/>
      </c>
      <c r="P1705" s="80">
        <f t="shared" si="164"/>
        <v>0</v>
      </c>
      <c r="Q1705" s="154">
        <f t="shared" si="168"/>
        <v>0</v>
      </c>
    </row>
    <row r="1706" spans="2:17">
      <c r="B1706" s="627">
        <f t="shared" si="167"/>
        <v>1701</v>
      </c>
      <c r="C1706" s="429">
        <v>43413</v>
      </c>
      <c r="D1706" s="816" t="s">
        <v>2863</v>
      </c>
      <c r="E1706" s="807">
        <v>310500</v>
      </c>
      <c r="F1706" s="629" t="str">
        <f>IFERROR(VLOOKUP(E1706,STAT1!$C$4:$D$1000,2,FALSE),"")</f>
        <v>НӨАТ өглөг</v>
      </c>
      <c r="G1706" s="811"/>
      <c r="H1706" s="811">
        <v>15300</v>
      </c>
      <c r="I1706" s="580">
        <f t="shared" si="165"/>
        <v>0</v>
      </c>
      <c r="J1706" s="961">
        <f t="shared" si="166"/>
        <v>0</v>
      </c>
      <c r="K1706" s="80"/>
      <c r="L1706" s="807">
        <v>3138</v>
      </c>
      <c r="M1706" s="80" t="str">
        <f>+IFERROR(VLOOKUP(L1706,DATA!$G$4:$H$2000,2,FALSE),"")</f>
        <v>ХӨХ БҮРДНИЙ ЭХ ХХК</v>
      </c>
      <c r="N1706" s="807"/>
      <c r="O1706" s="80" t="str">
        <f>IFERROR(VLOOKUP(N1706,DATA!$K$4:$L$51,2,FALSE),"")</f>
        <v/>
      </c>
      <c r="P1706" s="80">
        <f t="shared" si="164"/>
        <v>0</v>
      </c>
      <c r="Q1706" s="154">
        <f t="shared" si="168"/>
        <v>0</v>
      </c>
    </row>
    <row r="1707" spans="2:17">
      <c r="B1707" s="627">
        <f t="shared" si="167"/>
        <v>1702</v>
      </c>
      <c r="C1707" s="429">
        <v>43413</v>
      </c>
      <c r="D1707" s="816" t="s">
        <v>2863</v>
      </c>
      <c r="E1707" s="807">
        <v>510000</v>
      </c>
      <c r="F1707" s="629" t="str">
        <f>IFERROR(VLOOKUP(E1707,STAT1!$C$4:$D$1000,2,FALSE),"")</f>
        <v>Үндсэн үйл ажиллагааны борлуулалт</v>
      </c>
      <c r="G1707" s="811"/>
      <c r="H1707" s="811">
        <v>153000</v>
      </c>
      <c r="I1707" s="580">
        <f t="shared" si="165"/>
        <v>0</v>
      </c>
      <c r="J1707" s="961">
        <f t="shared" si="166"/>
        <v>0</v>
      </c>
      <c r="K1707" s="80"/>
      <c r="L1707" s="807">
        <v>3138</v>
      </c>
      <c r="M1707" s="80" t="str">
        <f>+IFERROR(VLOOKUP(L1707,DATA!$G$4:$H$2000,2,FALSE),"")</f>
        <v>ХӨХ БҮРДНИЙ ЭХ ХХК</v>
      </c>
      <c r="N1707" s="807"/>
      <c r="O1707" s="80" t="str">
        <f>IFERROR(VLOOKUP(N1707,DATA!$K$4:$L$51,2,FALSE),"")</f>
        <v/>
      </c>
      <c r="P1707" s="80">
        <f t="shared" si="164"/>
        <v>0</v>
      </c>
      <c r="Q1707" s="154">
        <f t="shared" si="168"/>
        <v>0</v>
      </c>
    </row>
    <row r="1708" spans="2:17">
      <c r="B1708" s="627">
        <f t="shared" si="167"/>
        <v>1703</v>
      </c>
      <c r="C1708" s="429">
        <v>43413</v>
      </c>
      <c r="D1708" s="816" t="s">
        <v>2863</v>
      </c>
      <c r="E1708" s="807">
        <v>320100</v>
      </c>
      <c r="F1708" s="629" t="str">
        <f>IFERROR(VLOOKUP(E1708,STAT1!$C$4:$D$1000,2,FALSE),"")</f>
        <v>Урьдчилж орсон орлого MNT</v>
      </c>
      <c r="G1708" s="811">
        <v>168300</v>
      </c>
      <c r="H1708" s="811"/>
      <c r="I1708" s="580">
        <f t="shared" si="165"/>
        <v>0</v>
      </c>
      <c r="J1708" s="961">
        <f t="shared" si="166"/>
        <v>0</v>
      </c>
      <c r="K1708" s="80"/>
      <c r="L1708" s="807">
        <v>3138</v>
      </c>
      <c r="M1708" s="80" t="str">
        <f>+IFERROR(VLOOKUP(L1708,DATA!$G$4:$H$2000,2,FALSE),"")</f>
        <v>ХӨХ БҮРДНИЙ ЭХ ХХК</v>
      </c>
      <c r="N1708" s="807"/>
      <c r="O1708" s="80" t="str">
        <f>IFERROR(VLOOKUP(N1708,DATA!$K$4:$L$51,2,FALSE),"")</f>
        <v/>
      </c>
      <c r="P1708" s="80">
        <f t="shared" si="164"/>
        <v>0</v>
      </c>
      <c r="Q1708" s="154">
        <f t="shared" si="168"/>
        <v>0</v>
      </c>
    </row>
    <row r="1709" spans="2:17">
      <c r="B1709" s="627">
        <f t="shared" si="167"/>
        <v>1704</v>
      </c>
      <c r="C1709" s="582">
        <v>43434</v>
      </c>
      <c r="D1709" s="816" t="s">
        <v>2863</v>
      </c>
      <c r="E1709" s="630">
        <v>150101</v>
      </c>
      <c r="F1709" s="629" t="str">
        <f>IFERROR(VLOOKUP(E1709,STAT1!$C$4:$D$1000,2,FALSE),"")</f>
        <v>Бараа бэлэн бүтээгдэхүүн БОЛОВСРУУЛАХ ЦЕХ /нарс/</v>
      </c>
      <c r="G1709" s="376"/>
      <c r="H1709" s="376">
        <v>372000.57</v>
      </c>
      <c r="I1709" s="580">
        <f t="shared" si="165"/>
        <v>0</v>
      </c>
      <c r="J1709" s="961">
        <f t="shared" si="166"/>
        <v>0</v>
      </c>
      <c r="K1709" s="80"/>
      <c r="L1709" s="630">
        <v>3021</v>
      </c>
      <c r="M1709" s="80" t="str">
        <f>+IFERROR(VLOOKUP(L1709,DATA!$G$4:$H$2000,2,FALSE),"")</f>
        <v>БАНДИА ХХК</v>
      </c>
      <c r="N1709" s="630"/>
      <c r="O1709" s="80" t="str">
        <f>IFERROR(VLOOKUP(N1709,DATA!$K$4:$L$51,2,FALSE),"")</f>
        <v/>
      </c>
      <c r="P1709" s="80">
        <f t="shared" si="164"/>
        <v>0</v>
      </c>
      <c r="Q1709" s="154">
        <f t="shared" si="168"/>
        <v>0</v>
      </c>
    </row>
    <row r="1710" spans="2:17">
      <c r="B1710" s="627">
        <f t="shared" si="167"/>
        <v>1705</v>
      </c>
      <c r="C1710" s="582">
        <v>43434</v>
      </c>
      <c r="D1710" s="816" t="s">
        <v>2863</v>
      </c>
      <c r="E1710" s="630">
        <v>610100</v>
      </c>
      <c r="F1710" s="629" t="str">
        <f>IFERROR(VLOOKUP(E1710,STAT1!$C$4:$D$1000,2,FALSE),"")</f>
        <v>Борлуулсан барааны өртөг</v>
      </c>
      <c r="G1710" s="376">
        <v>372000.57</v>
      </c>
      <c r="H1710" s="376"/>
      <c r="I1710" s="580">
        <f t="shared" si="165"/>
        <v>0</v>
      </c>
      <c r="J1710" s="961">
        <f t="shared" si="166"/>
        <v>0</v>
      </c>
      <c r="K1710" s="80"/>
      <c r="L1710" s="630">
        <v>3021</v>
      </c>
      <c r="M1710" s="80" t="str">
        <f>+IFERROR(VLOOKUP(L1710,DATA!$G$4:$H$2000,2,FALSE),"")</f>
        <v>БАНДИА ХХК</v>
      </c>
      <c r="N1710" s="630"/>
      <c r="O1710" s="80" t="str">
        <f>IFERROR(VLOOKUP(N1710,DATA!$K$4:$L$51,2,FALSE),"")</f>
        <v/>
      </c>
      <c r="P1710" s="80">
        <f t="shared" si="164"/>
        <v>0</v>
      </c>
      <c r="Q1710" s="154">
        <f t="shared" si="168"/>
        <v>0</v>
      </c>
    </row>
    <row r="1711" spans="2:17">
      <c r="B1711" s="627">
        <f t="shared" si="167"/>
        <v>1706</v>
      </c>
      <c r="C1711" s="582">
        <v>43434</v>
      </c>
      <c r="D1711" s="816" t="s">
        <v>2863</v>
      </c>
      <c r="E1711" s="630">
        <v>310500</v>
      </c>
      <c r="F1711" s="629" t="str">
        <f>IFERROR(VLOOKUP(E1711,STAT1!$C$4:$D$1000,2,FALSE),"")</f>
        <v>НӨАТ өглөг</v>
      </c>
      <c r="G1711" s="376"/>
      <c r="H1711" s="376">
        <v>40500</v>
      </c>
      <c r="I1711" s="580">
        <f t="shared" si="165"/>
        <v>0</v>
      </c>
      <c r="J1711" s="961">
        <f t="shared" si="166"/>
        <v>0</v>
      </c>
      <c r="K1711" s="80"/>
      <c r="L1711" s="630">
        <v>3021</v>
      </c>
      <c r="M1711" s="80" t="str">
        <f>+IFERROR(VLOOKUP(L1711,DATA!$G$4:$H$2000,2,FALSE),"")</f>
        <v>БАНДИА ХХК</v>
      </c>
      <c r="N1711" s="630"/>
      <c r="O1711" s="80" t="str">
        <f>IFERROR(VLOOKUP(N1711,DATA!$K$4:$L$51,2,FALSE),"")</f>
        <v/>
      </c>
      <c r="P1711" s="80">
        <f t="shared" si="164"/>
        <v>0</v>
      </c>
      <c r="Q1711" s="154">
        <f t="shared" si="168"/>
        <v>0</v>
      </c>
    </row>
    <row r="1712" spans="2:17">
      <c r="B1712" s="627">
        <f t="shared" si="167"/>
        <v>1707</v>
      </c>
      <c r="C1712" s="582">
        <v>43434</v>
      </c>
      <c r="D1712" s="816" t="s">
        <v>2863</v>
      </c>
      <c r="E1712" s="630">
        <v>510000</v>
      </c>
      <c r="F1712" s="629" t="str">
        <f>IFERROR(VLOOKUP(E1712,STAT1!$C$4:$D$1000,2,FALSE),"")</f>
        <v>Үндсэн үйл ажиллагааны борлуулалт</v>
      </c>
      <c r="G1712" s="376"/>
      <c r="H1712" s="376">
        <v>405000</v>
      </c>
      <c r="I1712" s="580">
        <f t="shared" si="165"/>
        <v>0</v>
      </c>
      <c r="J1712" s="961">
        <f t="shared" si="166"/>
        <v>0</v>
      </c>
      <c r="K1712" s="80"/>
      <c r="L1712" s="807">
        <v>3021</v>
      </c>
      <c r="M1712" s="80" t="str">
        <f>+IFERROR(VLOOKUP(L1712,DATA!$G$4:$H$2000,2,FALSE),"")</f>
        <v>БАНДИА ХХК</v>
      </c>
      <c r="N1712" s="630"/>
      <c r="O1712" s="80" t="str">
        <f>IFERROR(VLOOKUP(N1712,DATA!$K$4:$L$51,2,FALSE),"")</f>
        <v/>
      </c>
      <c r="P1712" s="80">
        <f t="shared" si="164"/>
        <v>0</v>
      </c>
      <c r="Q1712" s="154">
        <f t="shared" si="168"/>
        <v>0</v>
      </c>
    </row>
    <row r="1713" spans="2:17">
      <c r="B1713" s="627">
        <f t="shared" si="167"/>
        <v>1708</v>
      </c>
      <c r="C1713" s="582">
        <v>43434</v>
      </c>
      <c r="D1713" s="816" t="s">
        <v>2863</v>
      </c>
      <c r="E1713" s="630">
        <v>320100</v>
      </c>
      <c r="F1713" s="629" t="str">
        <f>IFERROR(VLOOKUP(E1713,STAT1!$C$4:$D$1000,2,FALSE),"")</f>
        <v>Урьдчилж орсон орлого MNT</v>
      </c>
      <c r="G1713" s="376">
        <v>445500</v>
      </c>
      <c r="H1713" s="376"/>
      <c r="I1713" s="580">
        <f t="shared" si="165"/>
        <v>0</v>
      </c>
      <c r="J1713" s="961">
        <f t="shared" si="166"/>
        <v>0</v>
      </c>
      <c r="K1713" s="80"/>
      <c r="L1713" s="807">
        <v>3021</v>
      </c>
      <c r="M1713" s="80" t="str">
        <f>+IFERROR(VLOOKUP(L1713,DATA!$G$4:$H$2000,2,FALSE),"")</f>
        <v>БАНДИА ХХК</v>
      </c>
      <c r="N1713" s="630"/>
      <c r="O1713" s="80" t="str">
        <f>IFERROR(VLOOKUP(N1713,DATA!$K$4:$L$51,2,FALSE),"")</f>
        <v/>
      </c>
      <c r="P1713" s="80">
        <f t="shared" si="164"/>
        <v>0</v>
      </c>
      <c r="Q1713" s="154">
        <f t="shared" si="168"/>
        <v>0</v>
      </c>
    </row>
    <row r="1714" spans="2:17">
      <c r="B1714" s="627">
        <f t="shared" si="167"/>
        <v>1709</v>
      </c>
      <c r="C1714" s="429">
        <v>43419</v>
      </c>
      <c r="D1714" s="816" t="s">
        <v>2863</v>
      </c>
      <c r="E1714" s="807">
        <v>150101</v>
      </c>
      <c r="F1714" s="629" t="str">
        <f>IFERROR(VLOOKUP(E1714,STAT1!$C$4:$D$1000,2,FALSE),"")</f>
        <v>Бараа бэлэн бүтээгдэхүүн БОЛОВСРУУЛАХ ЦЕХ /нарс/</v>
      </c>
      <c r="G1714" s="811"/>
      <c r="H1714" s="811">
        <v>86800.13</v>
      </c>
      <c r="I1714" s="580">
        <f t="shared" si="165"/>
        <v>0</v>
      </c>
      <c r="J1714" s="961">
        <f t="shared" si="166"/>
        <v>0</v>
      </c>
      <c r="K1714" s="80"/>
      <c r="L1714" s="807">
        <v>3061</v>
      </c>
      <c r="M1714" s="80" t="str">
        <f>+IFERROR(VLOOKUP(L1714,DATA!$G$4:$H$2000,2,FALSE),"")</f>
        <v>СТИМО ХХК</v>
      </c>
      <c r="N1714" s="807"/>
      <c r="O1714" s="80" t="str">
        <f>IFERROR(VLOOKUP(N1714,DATA!$K$4:$L$51,2,FALSE),"")</f>
        <v/>
      </c>
      <c r="P1714" s="80">
        <f t="shared" si="164"/>
        <v>0</v>
      </c>
      <c r="Q1714" s="154">
        <f t="shared" si="168"/>
        <v>0</v>
      </c>
    </row>
    <row r="1715" spans="2:17">
      <c r="B1715" s="627">
        <f t="shared" si="167"/>
        <v>1710</v>
      </c>
      <c r="C1715" s="429">
        <v>43419</v>
      </c>
      <c r="D1715" s="816" t="s">
        <v>2863</v>
      </c>
      <c r="E1715" s="807">
        <v>610100</v>
      </c>
      <c r="F1715" s="629" t="str">
        <f>IFERROR(VLOOKUP(E1715,STAT1!$C$4:$D$1000,2,FALSE),"")</f>
        <v>Борлуулсан барааны өртөг</v>
      </c>
      <c r="G1715" s="811">
        <v>86800.13</v>
      </c>
      <c r="H1715" s="811"/>
      <c r="I1715" s="580">
        <f t="shared" si="165"/>
        <v>0</v>
      </c>
      <c r="J1715" s="961">
        <f t="shared" si="166"/>
        <v>0</v>
      </c>
      <c r="K1715" s="80"/>
      <c r="L1715" s="807">
        <v>3061</v>
      </c>
      <c r="M1715" s="80" t="str">
        <f>+IFERROR(VLOOKUP(L1715,DATA!$G$4:$H$2000,2,FALSE),"")</f>
        <v>СТИМО ХХК</v>
      </c>
      <c r="N1715" s="807"/>
      <c r="O1715" s="80" t="str">
        <f>IFERROR(VLOOKUP(N1715,DATA!$K$4:$L$51,2,FALSE),"")</f>
        <v/>
      </c>
      <c r="P1715" s="80">
        <f t="shared" si="164"/>
        <v>0</v>
      </c>
      <c r="Q1715" s="154">
        <f t="shared" si="168"/>
        <v>0</v>
      </c>
    </row>
    <row r="1716" spans="2:17">
      <c r="B1716" s="627">
        <f t="shared" si="167"/>
        <v>1711</v>
      </c>
      <c r="C1716" s="429">
        <v>43419</v>
      </c>
      <c r="D1716" s="816" t="s">
        <v>2863</v>
      </c>
      <c r="E1716" s="807">
        <v>310500</v>
      </c>
      <c r="F1716" s="629" t="str">
        <f>IFERROR(VLOOKUP(E1716,STAT1!$C$4:$D$1000,2,FALSE),"")</f>
        <v>НӨАТ өглөг</v>
      </c>
      <c r="G1716" s="811"/>
      <c r="H1716" s="811">
        <v>9450</v>
      </c>
      <c r="I1716" s="580">
        <f t="shared" si="165"/>
        <v>0</v>
      </c>
      <c r="J1716" s="961">
        <f t="shared" si="166"/>
        <v>0</v>
      </c>
      <c r="K1716" s="80"/>
      <c r="L1716" s="807">
        <v>3061</v>
      </c>
      <c r="M1716" s="80" t="str">
        <f>+IFERROR(VLOOKUP(L1716,DATA!$G$4:$H$2000,2,FALSE),"")</f>
        <v>СТИМО ХХК</v>
      </c>
      <c r="N1716" s="807"/>
      <c r="O1716" s="80" t="str">
        <f>IFERROR(VLOOKUP(N1716,DATA!$K$4:$L$51,2,FALSE),"")</f>
        <v/>
      </c>
      <c r="P1716" s="80">
        <f t="shared" si="164"/>
        <v>0</v>
      </c>
      <c r="Q1716" s="154">
        <f t="shared" si="168"/>
        <v>0</v>
      </c>
    </row>
    <row r="1717" spans="2:17">
      <c r="B1717" s="627">
        <f t="shared" si="167"/>
        <v>1712</v>
      </c>
      <c r="C1717" s="429">
        <v>43419</v>
      </c>
      <c r="D1717" s="816" t="s">
        <v>2863</v>
      </c>
      <c r="E1717" s="807">
        <v>510000</v>
      </c>
      <c r="F1717" s="629" t="str">
        <f>IFERROR(VLOOKUP(E1717,STAT1!$C$4:$D$1000,2,FALSE),"")</f>
        <v>Үндсэн үйл ажиллагааны борлуулалт</v>
      </c>
      <c r="G1717" s="811"/>
      <c r="H1717" s="811">
        <v>94500</v>
      </c>
      <c r="I1717" s="580">
        <f t="shared" si="165"/>
        <v>0</v>
      </c>
      <c r="J1717" s="961">
        <f t="shared" si="166"/>
        <v>0</v>
      </c>
      <c r="K1717" s="80"/>
      <c r="L1717" s="807">
        <v>3061</v>
      </c>
      <c r="M1717" s="80" t="str">
        <f>+IFERROR(VLOOKUP(L1717,DATA!$G$4:$H$2000,2,FALSE),"")</f>
        <v>СТИМО ХХК</v>
      </c>
      <c r="N1717" s="807"/>
      <c r="O1717" s="80" t="str">
        <f>IFERROR(VLOOKUP(N1717,DATA!$K$4:$L$51,2,FALSE),"")</f>
        <v/>
      </c>
      <c r="P1717" s="80">
        <f t="shared" si="164"/>
        <v>0</v>
      </c>
      <c r="Q1717" s="154">
        <f t="shared" si="168"/>
        <v>0</v>
      </c>
    </row>
    <row r="1718" spans="2:17">
      <c r="B1718" s="627">
        <f t="shared" si="167"/>
        <v>1713</v>
      </c>
      <c r="C1718" s="429">
        <v>43419</v>
      </c>
      <c r="D1718" s="816" t="s">
        <v>2863</v>
      </c>
      <c r="E1718" s="807">
        <v>320100</v>
      </c>
      <c r="F1718" s="629" t="str">
        <f>IFERROR(VLOOKUP(E1718,STAT1!$C$4:$D$1000,2,FALSE),"")</f>
        <v>Урьдчилж орсон орлого MNT</v>
      </c>
      <c r="G1718" s="811">
        <v>103950</v>
      </c>
      <c r="H1718" s="811"/>
      <c r="I1718" s="580">
        <f t="shared" si="165"/>
        <v>0</v>
      </c>
      <c r="J1718" s="961">
        <f t="shared" si="166"/>
        <v>0</v>
      </c>
      <c r="K1718" s="80"/>
      <c r="L1718" s="807">
        <v>3061</v>
      </c>
      <c r="M1718" s="80" t="str">
        <f>+IFERROR(VLOOKUP(L1718,DATA!$G$4:$H$2000,2,FALSE),"")</f>
        <v>СТИМО ХХК</v>
      </c>
      <c r="N1718" s="807"/>
      <c r="O1718" s="80" t="str">
        <f>IFERROR(VLOOKUP(N1718,DATA!$K$4:$L$51,2,FALSE),"")</f>
        <v/>
      </c>
      <c r="P1718" s="80">
        <f t="shared" si="164"/>
        <v>0</v>
      </c>
      <c r="Q1718" s="154">
        <f t="shared" si="168"/>
        <v>0</v>
      </c>
    </row>
    <row r="1719" spans="2:17">
      <c r="B1719" s="627">
        <f t="shared" si="167"/>
        <v>1714</v>
      </c>
      <c r="C1719" s="429">
        <v>43419</v>
      </c>
      <c r="D1719" s="816" t="s">
        <v>2865</v>
      </c>
      <c r="E1719" s="807">
        <v>150101</v>
      </c>
      <c r="F1719" s="629" t="str">
        <f>IFERROR(VLOOKUP(E1719,STAT1!$C$4:$D$1000,2,FALSE),"")</f>
        <v>Бараа бэлэн бүтээгдэхүүн БОЛОВСРУУЛАХ ЦЕХ /нарс/</v>
      </c>
      <c r="G1719" s="811"/>
      <c r="H1719" s="811">
        <v>30538050.5</v>
      </c>
      <c r="I1719" s="580">
        <f t="shared" si="165"/>
        <v>0</v>
      </c>
      <c r="J1719" s="961">
        <f t="shared" si="166"/>
        <v>0</v>
      </c>
      <c r="K1719" s="80"/>
      <c r="L1719" s="807">
        <v>3001</v>
      </c>
      <c r="M1719" s="80" t="str">
        <f>+IFERROR(VLOOKUP(L1719,DATA!$G$4:$H$2000,2,FALSE),"")</f>
        <v>ХУРД ГРУПП ХХК</v>
      </c>
      <c r="N1719" s="807"/>
      <c r="O1719" s="80" t="str">
        <f>IFERROR(VLOOKUP(N1719,DATA!$K$4:$L$51,2,FALSE),"")</f>
        <v/>
      </c>
      <c r="P1719" s="80">
        <f t="shared" si="164"/>
        <v>0</v>
      </c>
      <c r="Q1719" s="154">
        <f t="shared" si="168"/>
        <v>0</v>
      </c>
    </row>
    <row r="1720" spans="2:17">
      <c r="B1720" s="627">
        <f t="shared" si="167"/>
        <v>1715</v>
      </c>
      <c r="C1720" s="429">
        <v>43434</v>
      </c>
      <c r="D1720" s="816" t="s">
        <v>2865</v>
      </c>
      <c r="E1720" s="807">
        <v>150101</v>
      </c>
      <c r="F1720" s="629" t="str">
        <f>IFERROR(VLOOKUP(E1720,STAT1!$C$4:$D$1000,2,FALSE),"")</f>
        <v>Бараа бэлэн бүтээгдэхүүн БОЛОВСРУУЛАХ ЦЕХ /нарс/</v>
      </c>
      <c r="G1720" s="811"/>
      <c r="H1720" s="811">
        <v>2066669.87</v>
      </c>
      <c r="I1720" s="580">
        <f t="shared" si="165"/>
        <v>0</v>
      </c>
      <c r="J1720" s="961">
        <f t="shared" si="166"/>
        <v>0</v>
      </c>
      <c r="K1720" s="80"/>
      <c r="L1720" s="807">
        <v>3001</v>
      </c>
      <c r="M1720" s="80" t="str">
        <f>+IFERROR(VLOOKUP(L1720,DATA!$G$4:$H$2000,2,FALSE),"")</f>
        <v>ХУРД ГРУПП ХХК</v>
      </c>
      <c r="N1720" s="807"/>
      <c r="O1720" s="80" t="str">
        <f>IFERROR(VLOOKUP(N1720,DATA!$K$4:$L$51,2,FALSE),"")</f>
        <v/>
      </c>
      <c r="P1720" s="80">
        <f t="shared" si="164"/>
        <v>0</v>
      </c>
      <c r="Q1720" s="154">
        <f t="shared" si="168"/>
        <v>0</v>
      </c>
    </row>
    <row r="1721" spans="2:17">
      <c r="B1721" s="627">
        <f t="shared" si="167"/>
        <v>1716</v>
      </c>
      <c r="C1721" s="429">
        <v>43434</v>
      </c>
      <c r="D1721" s="816" t="s">
        <v>2865</v>
      </c>
      <c r="E1721" s="807">
        <v>150101</v>
      </c>
      <c r="F1721" s="629" t="str">
        <f>IFERROR(VLOOKUP(E1721,STAT1!$C$4:$D$1000,2,FALSE),"")</f>
        <v>Бараа бэлэн бүтээгдэхүүн БОЛОВСРУУЛАХ ЦЕХ /нарс/</v>
      </c>
      <c r="G1721" s="811"/>
      <c r="H1721" s="811">
        <v>7581201.7300000004</v>
      </c>
      <c r="I1721" s="580">
        <f t="shared" si="165"/>
        <v>0</v>
      </c>
      <c r="J1721" s="961">
        <f t="shared" si="166"/>
        <v>0</v>
      </c>
      <c r="K1721" s="80"/>
      <c r="L1721" s="807">
        <v>3001</v>
      </c>
      <c r="M1721" s="80" t="str">
        <f>+IFERROR(VLOOKUP(L1721,DATA!$G$4:$H$2000,2,FALSE),"")</f>
        <v>ХУРД ГРУПП ХХК</v>
      </c>
      <c r="N1721" s="807"/>
      <c r="O1721" s="80" t="str">
        <f>IFERROR(VLOOKUP(N1721,DATA!$K$4:$L$51,2,FALSE),"")</f>
        <v/>
      </c>
      <c r="P1721" s="80">
        <f t="shared" si="164"/>
        <v>0</v>
      </c>
      <c r="Q1721" s="154">
        <f t="shared" si="168"/>
        <v>0</v>
      </c>
    </row>
    <row r="1722" spans="2:17">
      <c r="B1722" s="627">
        <f t="shared" si="167"/>
        <v>1717</v>
      </c>
      <c r="C1722" s="429">
        <v>43434</v>
      </c>
      <c r="D1722" s="816" t="s">
        <v>2865</v>
      </c>
      <c r="E1722" s="807">
        <v>150101</v>
      </c>
      <c r="F1722" s="629" t="str">
        <f>IFERROR(VLOOKUP(E1722,STAT1!$C$4:$D$1000,2,FALSE),"")</f>
        <v>Бараа бэлэн бүтээгдэхүүн БОЛОВСРУУЛАХ ЦЕХ /нарс/</v>
      </c>
      <c r="G1722" s="811"/>
      <c r="H1722" s="811">
        <v>1160526.6800669448</v>
      </c>
      <c r="I1722" s="580">
        <f t="shared" si="165"/>
        <v>0</v>
      </c>
      <c r="J1722" s="961">
        <f t="shared" si="166"/>
        <v>0</v>
      </c>
      <c r="K1722" s="80"/>
      <c r="L1722" s="807">
        <v>3001</v>
      </c>
      <c r="M1722" s="80" t="str">
        <f>+IFERROR(VLOOKUP(L1722,DATA!$G$4:$H$2000,2,FALSE),"")</f>
        <v>ХУРД ГРУПП ХХК</v>
      </c>
      <c r="N1722" s="807"/>
      <c r="O1722" s="80" t="str">
        <f>IFERROR(VLOOKUP(N1722,DATA!$K$4:$L$51,2,FALSE),"")</f>
        <v/>
      </c>
      <c r="P1722" s="80">
        <f t="shared" si="164"/>
        <v>0</v>
      </c>
      <c r="Q1722" s="154">
        <f t="shared" si="168"/>
        <v>0</v>
      </c>
    </row>
    <row r="1723" spans="2:17">
      <c r="B1723" s="627">
        <f t="shared" si="167"/>
        <v>1718</v>
      </c>
      <c r="C1723" s="429">
        <v>43434</v>
      </c>
      <c r="D1723" s="816" t="s">
        <v>2865</v>
      </c>
      <c r="E1723" s="807">
        <v>150101</v>
      </c>
      <c r="F1723" s="629" t="str">
        <f>IFERROR(VLOOKUP(E1723,STAT1!$C$4:$D$1000,2,FALSE),"")</f>
        <v>Бараа бэлэн бүтээгдэхүүн БОЛОВСРУУЛАХ ЦЕХ /нарс/</v>
      </c>
      <c r="G1723" s="811"/>
      <c r="H1723" s="811">
        <v>11468440.48</v>
      </c>
      <c r="I1723" s="580">
        <f t="shared" si="165"/>
        <v>0</v>
      </c>
      <c r="J1723" s="961">
        <f t="shared" si="166"/>
        <v>0</v>
      </c>
      <c r="K1723" s="80"/>
      <c r="L1723" s="807">
        <v>3001</v>
      </c>
      <c r="M1723" s="80" t="str">
        <f>+IFERROR(VLOOKUP(L1723,DATA!$G$4:$H$2000,2,FALSE),"")</f>
        <v>ХУРД ГРУПП ХХК</v>
      </c>
      <c r="N1723" s="807"/>
      <c r="O1723" s="80" t="str">
        <f>IFERROR(VLOOKUP(N1723,DATA!$K$4:$L$51,2,FALSE),"")</f>
        <v/>
      </c>
      <c r="P1723" s="80">
        <f t="shared" si="164"/>
        <v>0</v>
      </c>
      <c r="Q1723" s="154">
        <f t="shared" si="168"/>
        <v>0</v>
      </c>
    </row>
    <row r="1724" spans="2:17">
      <c r="B1724" s="627">
        <f t="shared" si="167"/>
        <v>1719</v>
      </c>
      <c r="C1724" s="429">
        <v>43434</v>
      </c>
      <c r="D1724" s="816" t="s">
        <v>2865</v>
      </c>
      <c r="E1724" s="630">
        <v>141201</v>
      </c>
      <c r="F1724" s="629" t="str">
        <f>IFERROR(VLOOKUP(E1724,STAT1!$C$4:$D$1000,2,FALSE),"")</f>
        <v>ШМЗардал БУСАД</v>
      </c>
      <c r="G1724" s="811">
        <v>52814889.259999998</v>
      </c>
      <c r="H1724" s="811"/>
      <c r="I1724" s="580">
        <f t="shared" si="165"/>
        <v>0</v>
      </c>
      <c r="J1724" s="961">
        <f t="shared" si="166"/>
        <v>0</v>
      </c>
      <c r="K1724" s="80"/>
      <c r="L1724" s="807">
        <v>3001</v>
      </c>
      <c r="M1724" s="80" t="str">
        <f>+IFERROR(VLOOKUP(L1724,DATA!$G$4:$H$2000,2,FALSE),"")</f>
        <v>ХУРД ГРУПП ХХК</v>
      </c>
      <c r="N1724" s="807"/>
      <c r="O1724" s="80" t="str">
        <f>IFERROR(VLOOKUP(N1724,DATA!$K$4:$L$51,2,FALSE),"")</f>
        <v/>
      </c>
      <c r="P1724" s="80">
        <f t="shared" ref="P1724:P1787" si="169">+IF(I1724,1,0)</f>
        <v>0</v>
      </c>
      <c r="Q1724" s="154">
        <f t="shared" si="168"/>
        <v>0</v>
      </c>
    </row>
    <row r="1725" spans="2:17">
      <c r="B1725" s="627">
        <f t="shared" si="167"/>
        <v>1720</v>
      </c>
      <c r="C1725" s="429">
        <v>43465</v>
      </c>
      <c r="D1725" s="816" t="s">
        <v>2864</v>
      </c>
      <c r="E1725" s="807">
        <v>150101</v>
      </c>
      <c r="F1725" s="629" t="str">
        <f>IFERROR(VLOOKUP(E1725,STAT1!$C$4:$D$1000,2,FALSE),"")</f>
        <v>Бараа бэлэн бүтээгдэхүүн БОЛОВСРУУЛАХ ЦЕХ /нарс/</v>
      </c>
      <c r="G1725" s="811"/>
      <c r="H1725" s="811">
        <v>18750363</v>
      </c>
      <c r="I1725" s="580">
        <f t="shared" si="165"/>
        <v>0</v>
      </c>
      <c r="J1725" s="961">
        <f t="shared" si="166"/>
        <v>0</v>
      </c>
      <c r="K1725" s="80"/>
      <c r="L1725" s="807">
        <v>3001</v>
      </c>
      <c r="M1725" s="80" t="str">
        <f>+IFERROR(VLOOKUP(L1725,DATA!$G$4:$H$2000,2,FALSE),"")</f>
        <v>ХУРД ГРУПП ХХК</v>
      </c>
      <c r="N1725" s="807"/>
      <c r="O1725" s="80" t="str">
        <f>IFERROR(VLOOKUP(N1725,DATA!$K$4:$L$51,2,FALSE),"")</f>
        <v/>
      </c>
      <c r="P1725" s="80">
        <f t="shared" si="169"/>
        <v>0</v>
      </c>
      <c r="Q1725" s="154">
        <f t="shared" si="168"/>
        <v>0</v>
      </c>
    </row>
    <row r="1726" spans="2:17">
      <c r="B1726" s="627">
        <f t="shared" si="167"/>
        <v>1721</v>
      </c>
      <c r="C1726" s="429">
        <v>43465</v>
      </c>
      <c r="D1726" s="816" t="s">
        <v>2864</v>
      </c>
      <c r="E1726" s="807">
        <v>150101</v>
      </c>
      <c r="F1726" s="629" t="str">
        <f>IFERROR(VLOOKUP(E1726,STAT1!$C$4:$D$1000,2,FALSE),"")</f>
        <v>Бараа бэлэн бүтээгдэхүүн БОЛОВСРУУЛАХ ЦЕХ /нарс/</v>
      </c>
      <c r="G1726" s="811"/>
      <c r="H1726" s="811">
        <v>2893337.81</v>
      </c>
      <c r="I1726" s="580">
        <f t="shared" ref="I1726:I1789" si="170">+IF(OR(E1726=100100,E1726=100200,E1726=110100,E1726=110102,E1726=110103,E1726=110104,E1726=110105,E1726=110200,E1726=110201,E1726=110202,E1726=110203,E1726=110204,E1726=110300),G1726,0)+IF(OR(E1726=100100,E1726=100200,E1726=110100,E1726=110102,E1726=110103,E1726=110104,E1726=110105,E1726=110200,E1726=110201,E1726=110202,E1726=110203,E1726=110204,E1726=110300),H1726*-1,0)</f>
        <v>0</v>
      </c>
      <c r="J1726" s="961">
        <f t="shared" ref="J1726:J1789" si="171">+IF(E1726=110200,I1726/K1726,0)</f>
        <v>0</v>
      </c>
      <c r="K1726" s="80"/>
      <c r="L1726" s="807">
        <v>3001</v>
      </c>
      <c r="M1726" s="80" t="str">
        <f>+IFERROR(VLOOKUP(L1726,DATA!$G$4:$H$2000,2,FALSE),"")</f>
        <v>ХУРД ГРУПП ХХК</v>
      </c>
      <c r="N1726" s="807"/>
      <c r="O1726" s="80" t="str">
        <f>IFERROR(VLOOKUP(N1726,DATA!$K$4:$L$51,2,FALSE),"")</f>
        <v/>
      </c>
      <c r="P1726" s="80">
        <f t="shared" si="169"/>
        <v>0</v>
      </c>
      <c r="Q1726" s="154">
        <f t="shared" si="168"/>
        <v>0</v>
      </c>
    </row>
    <row r="1727" spans="2:17">
      <c r="B1727" s="627">
        <f t="shared" si="167"/>
        <v>1722</v>
      </c>
      <c r="C1727" s="429">
        <v>43465</v>
      </c>
      <c r="D1727" s="816" t="s">
        <v>2864</v>
      </c>
      <c r="E1727" s="807">
        <v>150101</v>
      </c>
      <c r="F1727" s="629" t="str">
        <f>IFERROR(VLOOKUP(E1727,STAT1!$C$4:$D$1000,2,FALSE),"")</f>
        <v>Бараа бэлэн бүтээгдэхүүн БОЛОВСРУУЛАХ ЦЕХ /нарс/</v>
      </c>
      <c r="G1727" s="811"/>
      <c r="H1727" s="811">
        <v>9443768.6300000008</v>
      </c>
      <c r="I1727" s="580">
        <f t="shared" si="170"/>
        <v>0</v>
      </c>
      <c r="J1727" s="961">
        <f t="shared" si="171"/>
        <v>0</v>
      </c>
      <c r="K1727" s="80"/>
      <c r="L1727" s="807">
        <v>3001</v>
      </c>
      <c r="M1727" s="80" t="str">
        <f>+IFERROR(VLOOKUP(L1727,DATA!$G$4:$H$2000,2,FALSE),"")</f>
        <v>ХУРД ГРУПП ХХК</v>
      </c>
      <c r="N1727" s="807"/>
      <c r="O1727" s="80" t="str">
        <f>IFERROR(VLOOKUP(N1727,DATA!$K$4:$L$51,2,FALSE),"")</f>
        <v/>
      </c>
      <c r="P1727" s="80">
        <f t="shared" si="169"/>
        <v>0</v>
      </c>
      <c r="Q1727" s="154">
        <f t="shared" si="168"/>
        <v>0</v>
      </c>
    </row>
    <row r="1728" spans="2:17">
      <c r="B1728" s="627">
        <f t="shared" si="167"/>
        <v>1723</v>
      </c>
      <c r="C1728" s="429">
        <v>43465</v>
      </c>
      <c r="D1728" s="816" t="s">
        <v>2864</v>
      </c>
      <c r="E1728" s="807">
        <v>150101</v>
      </c>
      <c r="F1728" s="629" t="str">
        <f>IFERROR(VLOOKUP(E1728,STAT1!$C$4:$D$1000,2,FALSE),"")</f>
        <v>Бараа бэлэн бүтээгдэхүүн БОЛОВСРУУЛАХ ЦЕХ /нарс/</v>
      </c>
      <c r="G1728" s="811"/>
      <c r="H1728" s="811">
        <v>1624737.3520937227</v>
      </c>
      <c r="I1728" s="580">
        <f t="shared" si="170"/>
        <v>0</v>
      </c>
      <c r="J1728" s="961">
        <f t="shared" si="171"/>
        <v>0</v>
      </c>
      <c r="K1728" s="80"/>
      <c r="L1728" s="630">
        <v>3001</v>
      </c>
      <c r="M1728" s="80" t="str">
        <f>+IFERROR(VLOOKUP(L1728,DATA!$G$4:$H$2000,2,FALSE),"")</f>
        <v>ХУРД ГРУПП ХХК</v>
      </c>
      <c r="N1728" s="807"/>
      <c r="O1728" s="80" t="str">
        <f>IFERROR(VLOOKUP(N1728,DATA!$K$4:$L$51,2,FALSE),"")</f>
        <v/>
      </c>
      <c r="P1728" s="80">
        <f t="shared" si="169"/>
        <v>0</v>
      </c>
      <c r="Q1728" s="154">
        <f t="shared" si="168"/>
        <v>0</v>
      </c>
    </row>
    <row r="1729" spans="2:17">
      <c r="B1729" s="627">
        <f t="shared" si="167"/>
        <v>1724</v>
      </c>
      <c r="C1729" s="429">
        <v>43465</v>
      </c>
      <c r="D1729" s="816" t="s">
        <v>2864</v>
      </c>
      <c r="E1729" s="807">
        <v>150101</v>
      </c>
      <c r="F1729" s="629" t="str">
        <f>IFERROR(VLOOKUP(E1729,STAT1!$C$4:$D$1000,2,FALSE),"")</f>
        <v>Бараа бэлэн бүтээгдэхүүн БОЛОВСРУУЛАХ ЦЕХ /нарс/</v>
      </c>
      <c r="G1729" s="811"/>
      <c r="H1729" s="811">
        <v>1250017.3799999999</v>
      </c>
      <c r="I1729" s="580">
        <f t="shared" si="170"/>
        <v>0</v>
      </c>
      <c r="J1729" s="961">
        <f t="shared" si="171"/>
        <v>0</v>
      </c>
      <c r="K1729" s="80"/>
      <c r="L1729" s="630">
        <v>3001</v>
      </c>
      <c r="M1729" s="80" t="str">
        <f>+IFERROR(VLOOKUP(L1729,DATA!$G$4:$H$2000,2,FALSE),"")</f>
        <v>ХУРД ГРУПП ХХК</v>
      </c>
      <c r="N1729" s="807"/>
      <c r="O1729" s="80" t="str">
        <f>IFERROR(VLOOKUP(N1729,DATA!$K$4:$L$51,2,FALSE),"")</f>
        <v/>
      </c>
      <c r="P1729" s="80">
        <f t="shared" si="169"/>
        <v>0</v>
      </c>
      <c r="Q1729" s="154">
        <f t="shared" si="168"/>
        <v>0</v>
      </c>
    </row>
    <row r="1730" spans="2:17">
      <c r="B1730" s="627">
        <f t="shared" si="167"/>
        <v>1725</v>
      </c>
      <c r="C1730" s="582">
        <v>43465</v>
      </c>
      <c r="D1730" s="816" t="s">
        <v>2864</v>
      </c>
      <c r="E1730" s="630">
        <v>150101</v>
      </c>
      <c r="F1730" s="629" t="str">
        <f>IFERROR(VLOOKUP(E1730,STAT1!$C$4:$D$1000,2,FALSE),"")</f>
        <v>Бараа бэлэн бүтээгдэхүүн БОЛОВСРУУЛАХ ЦЕХ /нарс/</v>
      </c>
      <c r="G1730" s="376"/>
      <c r="H1730" s="376">
        <v>906711.73</v>
      </c>
      <c r="I1730" s="580">
        <f t="shared" si="170"/>
        <v>0</v>
      </c>
      <c r="J1730" s="961">
        <f t="shared" si="171"/>
        <v>0</v>
      </c>
      <c r="K1730" s="80"/>
      <c r="L1730" s="630">
        <v>3001</v>
      </c>
      <c r="M1730" s="80" t="str">
        <f>+IFERROR(VLOOKUP(L1730,DATA!$G$4:$H$2000,2,FALSE),"")</f>
        <v>ХУРД ГРУПП ХХК</v>
      </c>
      <c r="N1730" s="630"/>
      <c r="O1730" s="80" t="str">
        <f>IFERROR(VLOOKUP(N1730,DATA!$K$4:$L$51,2,FALSE),"")</f>
        <v/>
      </c>
      <c r="P1730" s="80">
        <f t="shared" si="169"/>
        <v>0</v>
      </c>
      <c r="Q1730" s="154">
        <f t="shared" si="168"/>
        <v>0</v>
      </c>
    </row>
    <row r="1731" spans="2:17">
      <c r="B1731" s="627">
        <f t="shared" si="167"/>
        <v>1726</v>
      </c>
      <c r="C1731" s="582">
        <v>43465</v>
      </c>
      <c r="D1731" s="816" t="s">
        <v>2864</v>
      </c>
      <c r="E1731" s="630">
        <v>150101</v>
      </c>
      <c r="F1731" s="629" t="str">
        <f>IFERROR(VLOOKUP(E1731,STAT1!$C$4:$D$1000,2,FALSE),"")</f>
        <v>Бараа бэлэн бүтээгдэхүүн БОЛОВСРУУЛАХ ЦЕХ /нарс/</v>
      </c>
      <c r="G1731" s="376"/>
      <c r="H1731" s="376">
        <v>4882150.25</v>
      </c>
      <c r="I1731" s="580">
        <f t="shared" si="170"/>
        <v>0</v>
      </c>
      <c r="J1731" s="961">
        <f t="shared" si="171"/>
        <v>0</v>
      </c>
      <c r="K1731" s="80"/>
      <c r="L1731" s="630">
        <v>3001</v>
      </c>
      <c r="M1731" s="80" t="str">
        <f>+IFERROR(VLOOKUP(L1731,DATA!$G$4:$H$2000,2,FALSE),"")</f>
        <v>ХУРД ГРУПП ХХК</v>
      </c>
      <c r="N1731" s="630"/>
      <c r="O1731" s="80" t="str">
        <f>IFERROR(VLOOKUP(N1731,DATA!$K$4:$L$51,2,FALSE),"")</f>
        <v/>
      </c>
      <c r="P1731" s="80">
        <f t="shared" si="169"/>
        <v>0</v>
      </c>
      <c r="Q1731" s="154">
        <f t="shared" si="168"/>
        <v>0</v>
      </c>
    </row>
    <row r="1732" spans="2:17">
      <c r="B1732" s="627">
        <f t="shared" si="167"/>
        <v>1727</v>
      </c>
      <c r="C1732" s="582">
        <v>43465</v>
      </c>
      <c r="D1732" s="816" t="s">
        <v>2864</v>
      </c>
      <c r="E1732" s="630">
        <v>150101</v>
      </c>
      <c r="F1732" s="629" t="str">
        <f>IFERROR(VLOOKUP(E1732,STAT1!$C$4:$D$1000,2,FALSE),"")</f>
        <v>Бараа бэлэн бүтээгдэхүүн БОЛОВСРУУЛАХ ЦЕХ /нарс/</v>
      </c>
      <c r="G1732" s="376"/>
      <c r="H1732" s="376">
        <v>22960796.13437688</v>
      </c>
      <c r="I1732" s="580">
        <f t="shared" si="170"/>
        <v>0</v>
      </c>
      <c r="J1732" s="961">
        <f t="shared" si="171"/>
        <v>0</v>
      </c>
      <c r="K1732" s="80"/>
      <c r="L1732" s="630">
        <v>3001</v>
      </c>
      <c r="M1732" s="80" t="str">
        <f>+IFERROR(VLOOKUP(L1732,DATA!$G$4:$H$2000,2,FALSE),"")</f>
        <v>ХУРД ГРУПП ХХК</v>
      </c>
      <c r="N1732" s="630"/>
      <c r="O1732" s="80" t="str">
        <f>IFERROR(VLOOKUP(N1732,DATA!$K$4:$L$51,2,FALSE),"")</f>
        <v/>
      </c>
      <c r="P1732" s="80">
        <f t="shared" si="169"/>
        <v>0</v>
      </c>
      <c r="Q1732" s="154">
        <f t="shared" si="168"/>
        <v>0</v>
      </c>
    </row>
    <row r="1733" spans="2:17">
      <c r="B1733" s="627">
        <f t="shared" si="167"/>
        <v>1728</v>
      </c>
      <c r="C1733" s="582">
        <v>43465</v>
      </c>
      <c r="D1733" s="816" t="s">
        <v>2864</v>
      </c>
      <c r="E1733" s="630">
        <v>141201</v>
      </c>
      <c r="F1733" s="629" t="str">
        <f>IFERROR(VLOOKUP(E1733,STAT1!$C$4:$D$1000,2,FALSE),"")</f>
        <v>ШМЗардал БУСАД</v>
      </c>
      <c r="G1733" s="376">
        <v>62711882.286429405</v>
      </c>
      <c r="H1733" s="376"/>
      <c r="I1733" s="580">
        <f t="shared" si="170"/>
        <v>0</v>
      </c>
      <c r="J1733" s="961">
        <f t="shared" si="171"/>
        <v>0</v>
      </c>
      <c r="K1733" s="80"/>
      <c r="L1733" s="630">
        <v>3001</v>
      </c>
      <c r="M1733" s="80" t="str">
        <f>+IFERROR(VLOOKUP(L1733,DATA!$G$4:$H$2000,2,FALSE),"")</f>
        <v>ХУРД ГРУПП ХХК</v>
      </c>
      <c r="N1733" s="630"/>
      <c r="O1733" s="80" t="str">
        <f>IFERROR(VLOOKUP(N1733,DATA!$K$4:$L$51,2,FALSE),"")</f>
        <v/>
      </c>
      <c r="P1733" s="80">
        <f t="shared" si="169"/>
        <v>0</v>
      </c>
      <c r="Q1733" s="154">
        <f t="shared" si="168"/>
        <v>0</v>
      </c>
    </row>
    <row r="1734" spans="2:17">
      <c r="B1734" s="627">
        <f t="shared" si="167"/>
        <v>1729</v>
      </c>
      <c r="C1734" s="429">
        <v>43434</v>
      </c>
      <c r="D1734" s="815" t="s">
        <v>2866</v>
      </c>
      <c r="E1734" s="630">
        <v>140100</v>
      </c>
      <c r="F1734" s="629" t="str">
        <f>IFERROR(VLOOKUP(E1734,STAT1!$C$4:$D$1000,2,FALSE),"")</f>
        <v>Түүхий эд материал</v>
      </c>
      <c r="G1734" s="376"/>
      <c r="H1734" s="376">
        <v>30000000</v>
      </c>
      <c r="I1734" s="580">
        <f t="shared" si="170"/>
        <v>0</v>
      </c>
      <c r="J1734" s="961">
        <f t="shared" si="171"/>
        <v>0</v>
      </c>
      <c r="K1734" s="80"/>
      <c r="L1734" s="630">
        <v>1005</v>
      </c>
      <c r="M1734" s="80" t="str">
        <f>+IFERROR(VLOOKUP(L1734,DATA!$G$4:$H$2000,2,FALSE),"")</f>
        <v>Золжаргал</v>
      </c>
      <c r="N1734" s="630"/>
      <c r="O1734" s="80" t="str">
        <f>IFERROR(VLOOKUP(N1734,DATA!$K$4:$L$51,2,FALSE),"")</f>
        <v/>
      </c>
      <c r="P1734" s="80">
        <f t="shared" si="169"/>
        <v>0</v>
      </c>
      <c r="Q1734" s="154">
        <f t="shared" si="168"/>
        <v>0</v>
      </c>
    </row>
    <row r="1735" spans="2:17">
      <c r="B1735" s="627">
        <f t="shared" si="167"/>
        <v>1730</v>
      </c>
      <c r="C1735" s="429">
        <v>43434</v>
      </c>
      <c r="D1735" s="815" t="s">
        <v>2866</v>
      </c>
      <c r="E1735" s="630">
        <v>140200</v>
      </c>
      <c r="F1735" s="629" t="str">
        <f>IFERROR(VLOOKUP(E1735,STAT1!$C$4:$D$1000,2,FALSE),"")</f>
        <v>ШМЗардал ХАТААХ ЦЕХ /нарс/</v>
      </c>
      <c r="G1735" s="376">
        <v>30000000</v>
      </c>
      <c r="H1735" s="376"/>
      <c r="I1735" s="580">
        <f t="shared" si="170"/>
        <v>0</v>
      </c>
      <c r="J1735" s="961">
        <f t="shared" si="171"/>
        <v>0</v>
      </c>
      <c r="K1735" s="80"/>
      <c r="L1735" s="630">
        <v>1005</v>
      </c>
      <c r="M1735" s="80" t="str">
        <f>+IFERROR(VLOOKUP(L1735,DATA!$G$4:$H$2000,2,FALSE),"")</f>
        <v>Золжаргал</v>
      </c>
      <c r="N1735" s="630"/>
      <c r="O1735" s="80" t="str">
        <f>IFERROR(VLOOKUP(N1735,DATA!$K$4:$L$51,2,FALSE),"")</f>
        <v/>
      </c>
      <c r="P1735" s="80">
        <f t="shared" si="169"/>
        <v>0</v>
      </c>
      <c r="Q1735" s="154">
        <f t="shared" si="168"/>
        <v>0</v>
      </c>
    </row>
    <row r="1736" spans="2:17">
      <c r="B1736" s="627">
        <f t="shared" si="167"/>
        <v>1731</v>
      </c>
      <c r="C1736" s="429">
        <v>43434</v>
      </c>
      <c r="D1736" s="815" t="s">
        <v>2867</v>
      </c>
      <c r="E1736" s="630">
        <v>700900</v>
      </c>
      <c r="F1736" s="629" t="str">
        <f>IFERROR(VLOOKUP(E1736,STAT1!$C$4:$D$1000,2,FALSE),"")</f>
        <v>Уур, ус</v>
      </c>
      <c r="G1736" s="376"/>
      <c r="H1736" s="376">
        <v>4909000</v>
      </c>
      <c r="I1736" s="580">
        <f t="shared" si="170"/>
        <v>0</v>
      </c>
      <c r="J1736" s="961">
        <f t="shared" si="171"/>
        <v>0</v>
      </c>
      <c r="K1736" s="80"/>
      <c r="L1736" s="630">
        <v>1005</v>
      </c>
      <c r="M1736" s="80" t="str">
        <f>+IFERROR(VLOOKUP(L1736,DATA!$G$4:$H$2000,2,FALSE),"")</f>
        <v>Золжаргал</v>
      </c>
      <c r="N1736" s="630"/>
      <c r="O1736" s="80" t="str">
        <f>IFERROR(VLOOKUP(N1736,DATA!$K$4:$L$51,2,FALSE),"")</f>
        <v/>
      </c>
      <c r="P1736" s="80">
        <f t="shared" si="169"/>
        <v>0</v>
      </c>
      <c r="Q1736" s="154">
        <f t="shared" si="168"/>
        <v>0</v>
      </c>
    </row>
    <row r="1737" spans="2:17">
      <c r="B1737" s="627">
        <f t="shared" si="167"/>
        <v>1732</v>
      </c>
      <c r="C1737" s="429">
        <v>43434</v>
      </c>
      <c r="D1737" s="815" t="s">
        <v>2867</v>
      </c>
      <c r="E1737" s="630">
        <v>140400</v>
      </c>
      <c r="F1737" s="629" t="str">
        <f>IFERROR(VLOOKUP(E1737,STAT1!$C$4:$D$1000,2,FALSE),"")</f>
        <v>ҮНЗардал ХАТААХ ЦЕХ /нарс/</v>
      </c>
      <c r="G1737" s="376">
        <v>4909000</v>
      </c>
      <c r="H1737" s="376"/>
      <c r="I1737" s="580">
        <f t="shared" si="170"/>
        <v>0</v>
      </c>
      <c r="J1737" s="961">
        <f t="shared" si="171"/>
        <v>0</v>
      </c>
      <c r="K1737" s="80"/>
      <c r="L1737" s="630">
        <v>1005</v>
      </c>
      <c r="M1737" s="80" t="str">
        <f>+IFERROR(VLOOKUP(L1737,DATA!$G$4:$H$2000,2,FALSE),"")</f>
        <v>Золжаргал</v>
      </c>
      <c r="N1737" s="630"/>
      <c r="O1737" s="80" t="str">
        <f>IFERROR(VLOOKUP(N1737,DATA!$K$4:$L$51,2,FALSE),"")</f>
        <v/>
      </c>
      <c r="P1737" s="80">
        <f t="shared" si="169"/>
        <v>0</v>
      </c>
      <c r="Q1737" s="154">
        <f t="shared" si="168"/>
        <v>0</v>
      </c>
    </row>
    <row r="1738" spans="2:17">
      <c r="B1738" s="627">
        <f t="shared" si="167"/>
        <v>1733</v>
      </c>
      <c r="C1738" s="582">
        <v>43460</v>
      </c>
      <c r="D1738" s="815" t="s">
        <v>2868</v>
      </c>
      <c r="E1738" s="630">
        <v>140500</v>
      </c>
      <c r="F1738" s="629" t="str">
        <f>IFERROR(VLOOKUP(E1738,STAT1!$C$4:$D$1000,2,FALSE),"")</f>
        <v>Нэгтгэл зардал ХАТААХ ЦЕХ /нарс/</v>
      </c>
      <c r="G1738" s="376"/>
      <c r="H1738" s="376">
        <v>34909000</v>
      </c>
      <c r="I1738" s="580">
        <f t="shared" si="170"/>
        <v>0</v>
      </c>
      <c r="J1738" s="961">
        <f t="shared" si="171"/>
        <v>0</v>
      </c>
      <c r="K1738" s="80"/>
      <c r="L1738" s="630">
        <v>1005</v>
      </c>
      <c r="M1738" s="80" t="str">
        <f>+IFERROR(VLOOKUP(L1738,DATA!$G$4:$H$2000,2,FALSE),"")</f>
        <v>Золжаргал</v>
      </c>
      <c r="N1738" s="630"/>
      <c r="O1738" s="80" t="str">
        <f>IFERROR(VLOOKUP(N1738,DATA!$K$4:$L$51,2,FALSE),"")</f>
        <v/>
      </c>
      <c r="P1738" s="80">
        <f t="shared" si="169"/>
        <v>0</v>
      </c>
      <c r="Q1738" s="154">
        <f t="shared" si="168"/>
        <v>0</v>
      </c>
    </row>
    <row r="1739" spans="2:17">
      <c r="B1739" s="627">
        <f t="shared" si="167"/>
        <v>1734</v>
      </c>
      <c r="C1739" s="582">
        <v>43460</v>
      </c>
      <c r="D1739" s="815" t="s">
        <v>2868</v>
      </c>
      <c r="E1739" s="630">
        <v>150100</v>
      </c>
      <c r="F1739" s="629" t="str">
        <f>IFERROR(VLOOKUP(E1739,STAT1!$C$4:$D$1000,2,FALSE),"")</f>
        <v>Бараа бэлэн бүтээгдэхүүн ХАТААХ ЦЕХ /нарс/</v>
      </c>
      <c r="G1739" s="376">
        <v>34909000</v>
      </c>
      <c r="H1739" s="376"/>
      <c r="I1739" s="580">
        <f t="shared" si="170"/>
        <v>0</v>
      </c>
      <c r="J1739" s="961">
        <f t="shared" si="171"/>
        <v>0</v>
      </c>
      <c r="K1739" s="80"/>
      <c r="L1739" s="630">
        <v>1005</v>
      </c>
      <c r="M1739" s="80" t="str">
        <f>+IFERROR(VLOOKUP(L1739,DATA!$G$4:$H$2000,2,FALSE),"")</f>
        <v>Золжаргал</v>
      </c>
      <c r="N1739" s="630"/>
      <c r="O1739" s="80" t="str">
        <f>IFERROR(VLOOKUP(N1739,DATA!$K$4:$L$51,2,FALSE),"")</f>
        <v/>
      </c>
      <c r="P1739" s="80">
        <f t="shared" si="169"/>
        <v>0</v>
      </c>
      <c r="Q1739" s="154">
        <f t="shared" si="168"/>
        <v>0</v>
      </c>
    </row>
    <row r="1740" spans="2:17">
      <c r="B1740" s="627">
        <f t="shared" si="167"/>
        <v>1735</v>
      </c>
      <c r="C1740" s="582">
        <v>43460</v>
      </c>
      <c r="D1740" s="815" t="s">
        <v>2406</v>
      </c>
      <c r="E1740" s="630">
        <v>140200</v>
      </c>
      <c r="F1740" s="629" t="str">
        <f>IFERROR(VLOOKUP(E1740,STAT1!$C$4:$D$1000,2,FALSE),"")</f>
        <v>ШМЗардал ХАТААХ ЦЕХ /нарс/</v>
      </c>
      <c r="G1740" s="376"/>
      <c r="H1740" s="376">
        <v>30000000</v>
      </c>
      <c r="I1740" s="580">
        <f t="shared" si="170"/>
        <v>0</v>
      </c>
      <c r="J1740" s="961">
        <f t="shared" si="171"/>
        <v>0</v>
      </c>
      <c r="K1740" s="80"/>
      <c r="L1740" s="630">
        <v>1005</v>
      </c>
      <c r="M1740" s="80" t="str">
        <f>+IFERROR(VLOOKUP(L1740,DATA!$G$4:$H$2000,2,FALSE),"")</f>
        <v>Золжаргал</v>
      </c>
      <c r="N1740" s="630"/>
      <c r="O1740" s="80" t="str">
        <f>IFERROR(VLOOKUP(N1740,DATA!$K$4:$L$51,2,FALSE),"")</f>
        <v/>
      </c>
      <c r="P1740" s="80">
        <f t="shared" si="169"/>
        <v>0</v>
      </c>
      <c r="Q1740" s="154">
        <f t="shared" si="168"/>
        <v>0</v>
      </c>
    </row>
    <row r="1741" spans="2:17">
      <c r="B1741" s="627">
        <f t="shared" si="167"/>
        <v>1736</v>
      </c>
      <c r="C1741" s="582">
        <v>43460</v>
      </c>
      <c r="D1741" s="815" t="s">
        <v>2406</v>
      </c>
      <c r="E1741" s="630">
        <v>140400</v>
      </c>
      <c r="F1741" s="629" t="str">
        <f>IFERROR(VLOOKUP(E1741,STAT1!$C$4:$D$1000,2,FALSE),"")</f>
        <v>ҮНЗардал ХАТААХ ЦЕХ /нарс/</v>
      </c>
      <c r="G1741" s="376"/>
      <c r="H1741" s="376">
        <v>4909000</v>
      </c>
      <c r="I1741" s="580">
        <f t="shared" si="170"/>
        <v>0</v>
      </c>
      <c r="J1741" s="961">
        <f t="shared" si="171"/>
        <v>0</v>
      </c>
      <c r="K1741" s="80"/>
      <c r="L1741" s="630">
        <v>1005</v>
      </c>
      <c r="M1741" s="80" t="str">
        <f>+IFERROR(VLOOKUP(L1741,DATA!$G$4:$H$2000,2,FALSE),"")</f>
        <v>Золжаргал</v>
      </c>
      <c r="N1741" s="630"/>
      <c r="O1741" s="80" t="str">
        <f>IFERROR(VLOOKUP(N1741,DATA!$K$4:$L$51,2,FALSE),"")</f>
        <v/>
      </c>
      <c r="P1741" s="80">
        <f t="shared" si="169"/>
        <v>0</v>
      </c>
      <c r="Q1741" s="154">
        <f t="shared" si="168"/>
        <v>0</v>
      </c>
    </row>
    <row r="1742" spans="2:17">
      <c r="B1742" s="627">
        <f t="shared" si="167"/>
        <v>1737</v>
      </c>
      <c r="C1742" s="582">
        <v>43460</v>
      </c>
      <c r="D1742" s="815" t="s">
        <v>2406</v>
      </c>
      <c r="E1742" s="630">
        <v>140500</v>
      </c>
      <c r="F1742" s="629" t="str">
        <f>IFERROR(VLOOKUP(E1742,STAT1!$C$4:$D$1000,2,FALSE),"")</f>
        <v>Нэгтгэл зардал ХАТААХ ЦЕХ /нарс/</v>
      </c>
      <c r="G1742" s="376">
        <v>34909000</v>
      </c>
      <c r="H1742" s="376"/>
      <c r="I1742" s="580">
        <f t="shared" si="170"/>
        <v>0</v>
      </c>
      <c r="J1742" s="961">
        <f t="shared" si="171"/>
        <v>0</v>
      </c>
      <c r="K1742" s="80"/>
      <c r="L1742" s="630">
        <v>1005</v>
      </c>
      <c r="M1742" s="80" t="str">
        <f>+IFERROR(VLOOKUP(L1742,DATA!$G$4:$H$2000,2,FALSE),"")</f>
        <v>Золжаргал</v>
      </c>
      <c r="N1742" s="630"/>
      <c r="O1742" s="80" t="str">
        <f>IFERROR(VLOOKUP(N1742,DATA!$K$4:$L$51,2,FALSE),"")</f>
        <v/>
      </c>
      <c r="P1742" s="80">
        <f t="shared" si="169"/>
        <v>0</v>
      </c>
      <c r="Q1742" s="154">
        <f t="shared" si="168"/>
        <v>0</v>
      </c>
    </row>
    <row r="1743" spans="2:17">
      <c r="B1743" s="627">
        <f t="shared" si="167"/>
        <v>1738</v>
      </c>
      <c r="C1743" s="582">
        <v>43465</v>
      </c>
      <c r="D1743" s="815" t="s">
        <v>2872</v>
      </c>
      <c r="E1743" s="630">
        <v>700100</v>
      </c>
      <c r="F1743" s="629" t="str">
        <f>IFERROR(VLOOKUP(E1743,STAT1!$C$4:$D$1000,2,FALSE),"")</f>
        <v>Цалин хөлс, шагнал</v>
      </c>
      <c r="G1743" s="376"/>
      <c r="H1743" s="376">
        <v>21498379.800000001</v>
      </c>
      <c r="I1743" s="580">
        <f t="shared" si="170"/>
        <v>0</v>
      </c>
      <c r="J1743" s="961">
        <f t="shared" si="171"/>
        <v>0</v>
      </c>
      <c r="K1743" s="80"/>
      <c r="L1743" s="630">
        <v>3001</v>
      </c>
      <c r="M1743" s="80" t="str">
        <f>+IFERROR(VLOOKUP(L1743,DATA!$G$4:$H$2000,2,FALSE),"")</f>
        <v>ХУРД ГРУПП ХХК</v>
      </c>
      <c r="N1743" s="630"/>
      <c r="O1743" s="80" t="str">
        <f>IFERROR(VLOOKUP(N1743,DATA!$K$4:$L$51,2,FALSE),"")</f>
        <v/>
      </c>
      <c r="P1743" s="80">
        <f t="shared" si="169"/>
        <v>0</v>
      </c>
      <c r="Q1743" s="154">
        <f t="shared" si="168"/>
        <v>0</v>
      </c>
    </row>
    <row r="1744" spans="2:17">
      <c r="B1744" s="627">
        <f t="shared" si="167"/>
        <v>1739</v>
      </c>
      <c r="C1744" s="582">
        <v>43465</v>
      </c>
      <c r="D1744" s="815" t="s">
        <v>2872</v>
      </c>
      <c r="E1744" s="630">
        <v>700200</v>
      </c>
      <c r="F1744" s="629" t="str">
        <f>IFERROR(VLOOKUP(E1744,STAT1!$C$4:$D$1000,2,FALSE),"")</f>
        <v>НДШимтгэл</v>
      </c>
      <c r="G1744" s="376"/>
      <c r="H1744" s="376">
        <v>2902889.1</v>
      </c>
      <c r="I1744" s="580">
        <f t="shared" si="170"/>
        <v>0</v>
      </c>
      <c r="J1744" s="961">
        <f t="shared" si="171"/>
        <v>0</v>
      </c>
      <c r="K1744" s="80"/>
      <c r="L1744" s="630">
        <v>3001</v>
      </c>
      <c r="M1744" s="80" t="str">
        <f>+IFERROR(VLOOKUP(L1744,DATA!$G$4:$H$2000,2,FALSE),"")</f>
        <v>ХУРД ГРУПП ХХК</v>
      </c>
      <c r="N1744" s="630"/>
      <c r="O1744" s="80" t="str">
        <f>IFERROR(VLOOKUP(N1744,DATA!$K$4:$L$51,2,FALSE),"")</f>
        <v/>
      </c>
      <c r="P1744" s="80">
        <f t="shared" si="169"/>
        <v>0</v>
      </c>
      <c r="Q1744" s="154">
        <f t="shared" si="168"/>
        <v>0</v>
      </c>
    </row>
    <row r="1745" spans="2:17">
      <c r="B1745" s="627">
        <f t="shared" ref="B1745" si="172">+IF(C1745="","",ROW()-5)</f>
        <v>1740</v>
      </c>
      <c r="C1745" s="582">
        <v>43465</v>
      </c>
      <c r="D1745" s="815" t="s">
        <v>2872</v>
      </c>
      <c r="E1745" s="630">
        <v>141301</v>
      </c>
      <c r="F1745" s="629" t="str">
        <f>IFERROR(VLOOKUP(E1745,STAT1!$C$4:$D$1000,2,FALSE),"")</f>
        <v xml:space="preserve">ШХЗардал БУСАД </v>
      </c>
      <c r="G1745" s="376">
        <v>24401268.900000002</v>
      </c>
      <c r="H1745" s="376"/>
      <c r="I1745" s="580">
        <f t="shared" ref="I1745" si="173">+IF(OR(E1745=100100,E1745=100200,E1745=110100,E1745=110102,E1745=110103,E1745=110104,E1745=110105,E1745=110200,E1745=110201,E1745=110202,E1745=110203,E1745=110204,E1745=110300),G1745,0)+IF(OR(E1745=100100,E1745=100200,E1745=110100,E1745=110102,E1745=110103,E1745=110104,E1745=110105,E1745=110200,E1745=110201,E1745=110202,E1745=110203,E1745=110204,E1745=110300),H1745*-1,0)</f>
        <v>0</v>
      </c>
      <c r="J1745" s="961">
        <f t="shared" ref="J1745" si="174">+IF(E1745=110200,I1745/K1745,0)</f>
        <v>0</v>
      </c>
      <c r="K1745" s="80"/>
      <c r="L1745" s="630">
        <v>3001</v>
      </c>
      <c r="M1745" s="80" t="str">
        <f>+IFERROR(VLOOKUP(L1745,DATA!$G$4:$H$2000,2,FALSE),"")</f>
        <v>ХУРД ГРУПП ХХК</v>
      </c>
      <c r="N1745" s="630"/>
      <c r="O1745" s="80"/>
      <c r="P1745" s="80"/>
    </row>
    <row r="1746" spans="2:17">
      <c r="B1746" s="627">
        <f t="shared" ref="B1746:B1808" si="175">+IF(C1746="","",ROW()-5)</f>
        <v>1741</v>
      </c>
      <c r="C1746" s="582">
        <v>43465</v>
      </c>
      <c r="D1746" s="815" t="s">
        <v>2869</v>
      </c>
      <c r="E1746" s="807">
        <v>700700</v>
      </c>
      <c r="F1746" s="629" t="str">
        <f>IFERROR(VLOOKUP(E1746,STAT1!$C$4:$D$1000,2,FALSE),"")</f>
        <v>Цахилгаан эрчим хүч</v>
      </c>
      <c r="G1746" s="811"/>
      <c r="H1746" s="811">
        <v>6805644.75</v>
      </c>
      <c r="I1746" s="580">
        <f t="shared" si="170"/>
        <v>0</v>
      </c>
      <c r="J1746" s="961">
        <f t="shared" si="171"/>
        <v>0</v>
      </c>
      <c r="K1746" s="80"/>
      <c r="L1746" s="630">
        <v>3001</v>
      </c>
      <c r="M1746" s="80" t="str">
        <f>+IFERROR(VLOOKUP(L1746,DATA!$G$4:$H$2000,2,FALSE),"")</f>
        <v>ХУРД ГРУПП ХХК</v>
      </c>
      <c r="N1746" s="807"/>
      <c r="O1746" s="80" t="str">
        <f>IFERROR(VLOOKUP(N1746,DATA!$K$4:$L$51,2,FALSE),"")</f>
        <v/>
      </c>
      <c r="P1746" s="80">
        <f t="shared" si="169"/>
        <v>0</v>
      </c>
      <c r="Q1746" s="154">
        <f t="shared" si="168"/>
        <v>0</v>
      </c>
    </row>
    <row r="1747" spans="2:17">
      <c r="B1747" s="627">
        <f t="shared" si="175"/>
        <v>1742</v>
      </c>
      <c r="C1747" s="582">
        <v>43465</v>
      </c>
      <c r="D1747" s="815" t="s">
        <v>2869</v>
      </c>
      <c r="E1747" s="807">
        <v>700800</v>
      </c>
      <c r="F1747" s="629" t="str">
        <f>IFERROR(VLOOKUP(E1747,STAT1!$C$4:$D$1000,2,FALSE),"")</f>
        <v>Дулаан</v>
      </c>
      <c r="G1747" s="811"/>
      <c r="H1747" s="811">
        <v>3570244.12</v>
      </c>
      <c r="I1747" s="580">
        <f t="shared" si="170"/>
        <v>0</v>
      </c>
      <c r="J1747" s="961">
        <f t="shared" si="171"/>
        <v>0</v>
      </c>
      <c r="K1747" s="80"/>
      <c r="L1747" s="630">
        <v>3001</v>
      </c>
      <c r="M1747" s="80" t="str">
        <f>+IFERROR(VLOOKUP(L1747,DATA!$G$4:$H$2000,2,FALSE),"")</f>
        <v>ХУРД ГРУПП ХХК</v>
      </c>
      <c r="N1747" s="807"/>
      <c r="O1747" s="80" t="str">
        <f>IFERROR(VLOOKUP(N1747,DATA!$K$4:$L$51,2,FALSE),"")</f>
        <v/>
      </c>
      <c r="P1747" s="80">
        <f t="shared" si="169"/>
        <v>0</v>
      </c>
      <c r="Q1747" s="154">
        <f t="shared" si="168"/>
        <v>0</v>
      </c>
    </row>
    <row r="1748" spans="2:17">
      <c r="B1748" s="627">
        <f t="shared" si="175"/>
        <v>1743</v>
      </c>
      <c r="C1748" s="582">
        <v>43465</v>
      </c>
      <c r="D1748" s="815" t="s">
        <v>2869</v>
      </c>
      <c r="E1748" s="807">
        <v>700900</v>
      </c>
      <c r="F1748" s="629" t="str">
        <f>IFERROR(VLOOKUP(E1748,STAT1!$C$4:$D$1000,2,FALSE),"")</f>
        <v>Уур, ус</v>
      </c>
      <c r="G1748" s="811"/>
      <c r="H1748" s="811">
        <v>5332422.0999999996</v>
      </c>
      <c r="I1748" s="580">
        <f t="shared" si="170"/>
        <v>0</v>
      </c>
      <c r="J1748" s="961">
        <f t="shared" si="171"/>
        <v>0</v>
      </c>
      <c r="K1748" s="80"/>
      <c r="L1748" s="630">
        <v>3001</v>
      </c>
      <c r="M1748" s="80" t="str">
        <f>+IFERROR(VLOOKUP(L1748,DATA!$G$4:$H$2000,2,FALSE),"")</f>
        <v>ХУРД ГРУПП ХХК</v>
      </c>
      <c r="N1748" s="807"/>
      <c r="O1748" s="80" t="str">
        <f>IFERROR(VLOOKUP(N1748,DATA!$K$4:$L$51,2,FALSE),"")</f>
        <v/>
      </c>
      <c r="P1748" s="80">
        <f t="shared" si="169"/>
        <v>0</v>
      </c>
      <c r="Q1748" s="154">
        <f t="shared" si="168"/>
        <v>0</v>
      </c>
    </row>
    <row r="1749" spans="2:17">
      <c r="B1749" s="627">
        <f t="shared" si="175"/>
        <v>1744</v>
      </c>
      <c r="C1749" s="582">
        <v>43465</v>
      </c>
      <c r="D1749" s="815" t="s">
        <v>2869</v>
      </c>
      <c r="E1749" s="807">
        <v>701600</v>
      </c>
      <c r="F1749" s="629" t="str">
        <f>IFERROR(VLOOKUP(E1749,STAT1!$C$4:$D$1000,2,FALSE),"")</f>
        <v>Элэгдэл, хорогдлын зардал</v>
      </c>
      <c r="G1749" s="811"/>
      <c r="H1749" s="811">
        <f>14619570.4+4245000+3500000</f>
        <v>22364570.399999999</v>
      </c>
      <c r="I1749" s="580">
        <f t="shared" si="170"/>
        <v>0</v>
      </c>
      <c r="J1749" s="961">
        <f t="shared" si="171"/>
        <v>0</v>
      </c>
      <c r="K1749" s="80"/>
      <c r="L1749" s="630">
        <v>3001</v>
      </c>
      <c r="M1749" s="80" t="str">
        <f>+IFERROR(VLOOKUP(L1749,DATA!$G$4:$H$2000,2,FALSE),"")</f>
        <v>ХУРД ГРУПП ХХК</v>
      </c>
      <c r="N1749" s="807"/>
      <c r="O1749" s="80" t="str">
        <f>IFERROR(VLOOKUP(N1749,DATA!$K$4:$L$51,2,FALSE),"")</f>
        <v/>
      </c>
      <c r="P1749" s="80">
        <f t="shared" si="169"/>
        <v>0</v>
      </c>
      <c r="Q1749" s="154">
        <f t="shared" si="168"/>
        <v>0</v>
      </c>
    </row>
    <row r="1750" spans="2:17">
      <c r="B1750" s="627">
        <f t="shared" si="175"/>
        <v>1745</v>
      </c>
      <c r="C1750" s="582">
        <v>43465</v>
      </c>
      <c r="D1750" s="815" t="s">
        <v>2869</v>
      </c>
      <c r="E1750" s="630">
        <v>702000</v>
      </c>
      <c r="F1750" s="629" t="str">
        <f>IFERROR(VLOOKUP(E1750,STAT1!$C$4:$D$1000,2,FALSE),"")</f>
        <v>Түлш, шатахуун</v>
      </c>
      <c r="G1750" s="376"/>
      <c r="H1750" s="376">
        <v>649543.01</v>
      </c>
      <c r="I1750" s="580">
        <f t="shared" si="170"/>
        <v>0</v>
      </c>
      <c r="J1750" s="961">
        <f t="shared" si="171"/>
        <v>0</v>
      </c>
      <c r="K1750" s="80"/>
      <c r="L1750" s="630">
        <v>3001</v>
      </c>
      <c r="M1750" s="80" t="str">
        <f>+IFERROR(VLOOKUP(L1750,DATA!$G$4:$H$2000,2,FALSE),"")</f>
        <v>ХУРД ГРУПП ХХК</v>
      </c>
      <c r="N1750" s="630"/>
      <c r="O1750" s="80" t="str">
        <f>IFERROR(VLOOKUP(N1750,DATA!$K$4:$L$51,2,FALSE),"")</f>
        <v/>
      </c>
      <c r="P1750" s="80">
        <f t="shared" si="169"/>
        <v>0</v>
      </c>
      <c r="Q1750" s="154">
        <f t="shared" si="168"/>
        <v>0</v>
      </c>
    </row>
    <row r="1751" spans="2:17">
      <c r="B1751" s="627">
        <f t="shared" si="175"/>
        <v>1746</v>
      </c>
      <c r="C1751" s="582">
        <v>43465</v>
      </c>
      <c r="D1751" s="815" t="s">
        <v>2869</v>
      </c>
      <c r="E1751" s="630">
        <v>141401</v>
      </c>
      <c r="F1751" s="629" t="str">
        <f>IFERROR(VLOOKUP(E1751,STAT1!$C$4:$D$1000,2,FALSE),"")</f>
        <v xml:space="preserve">ҮНЗардал БУСАД </v>
      </c>
      <c r="G1751" s="376">
        <v>38722424.379999995</v>
      </c>
      <c r="H1751" s="376"/>
      <c r="I1751" s="580">
        <f t="shared" si="170"/>
        <v>0</v>
      </c>
      <c r="J1751" s="961">
        <f t="shared" si="171"/>
        <v>0</v>
      </c>
      <c r="K1751" s="80"/>
      <c r="L1751" s="630">
        <v>3001</v>
      </c>
      <c r="M1751" s="80" t="str">
        <f>+IFERROR(VLOOKUP(L1751,DATA!$G$4:$H$2000,2,FALSE),"")</f>
        <v>ХУРД ГРУПП ХХК</v>
      </c>
      <c r="N1751" s="630"/>
      <c r="O1751" s="80" t="str">
        <f>IFERROR(VLOOKUP(N1751,DATA!$K$4:$L$51,2,FALSE),"")</f>
        <v/>
      </c>
      <c r="P1751" s="80">
        <f t="shared" si="169"/>
        <v>0</v>
      </c>
      <c r="Q1751" s="154">
        <f t="shared" si="168"/>
        <v>0</v>
      </c>
    </row>
    <row r="1752" spans="2:17">
      <c r="B1752" s="627">
        <f t="shared" si="175"/>
        <v>1747</v>
      </c>
      <c r="C1752" s="582">
        <v>43465</v>
      </c>
      <c r="D1752" s="815" t="s">
        <v>2870</v>
      </c>
      <c r="E1752" s="630">
        <v>200700</v>
      </c>
      <c r="F1752" s="629" t="str">
        <f>IFERROR(VLOOKUP(E1752,STAT1!$C$4:$D$1000,2,FALSE),"")</f>
        <v xml:space="preserve">Дуусаагүй барилга-1 </v>
      </c>
      <c r="G1752" s="376"/>
      <c r="H1752" s="376">
        <v>312587335.66000003</v>
      </c>
      <c r="I1752" s="580">
        <f t="shared" si="170"/>
        <v>0</v>
      </c>
      <c r="J1752" s="961">
        <f t="shared" si="171"/>
        <v>0</v>
      </c>
      <c r="K1752" s="80"/>
      <c r="L1752" s="630">
        <v>3001</v>
      </c>
      <c r="M1752" s="80" t="str">
        <f>+IFERROR(VLOOKUP(L1752,DATA!$G$4:$H$2000,2,FALSE),"")</f>
        <v>ХУРД ГРУПП ХХК</v>
      </c>
      <c r="N1752" s="630"/>
      <c r="O1752" s="80" t="str">
        <f>IFERROR(VLOOKUP(N1752,DATA!$K$4:$L$51,2,FALSE),"")</f>
        <v/>
      </c>
      <c r="P1752" s="80">
        <f t="shared" si="169"/>
        <v>0</v>
      </c>
      <c r="Q1752" s="154">
        <f t="shared" si="168"/>
        <v>0</v>
      </c>
    </row>
    <row r="1753" spans="2:17">
      <c r="B1753" s="627">
        <f t="shared" si="175"/>
        <v>1748</v>
      </c>
      <c r="C1753" s="582">
        <v>43465</v>
      </c>
      <c r="D1753" s="815" t="s">
        <v>2870</v>
      </c>
      <c r="E1753" s="630">
        <v>610300</v>
      </c>
      <c r="F1753" s="629" t="str">
        <f>IFERROR(VLOOKUP(E1753,STAT1!$C$4:$D$1000,2,FALSE),"")</f>
        <v>Бусад барааны өртөг</v>
      </c>
      <c r="G1753" s="376">
        <v>312587335.66000003</v>
      </c>
      <c r="H1753" s="376"/>
      <c r="I1753" s="580">
        <f t="shared" si="170"/>
        <v>0</v>
      </c>
      <c r="J1753" s="961">
        <f t="shared" si="171"/>
        <v>0</v>
      </c>
      <c r="K1753" s="80"/>
      <c r="L1753" s="630">
        <v>3001</v>
      </c>
      <c r="M1753" s="80" t="str">
        <f>+IFERROR(VLOOKUP(L1753,DATA!$G$4:$H$2000,2,FALSE),"")</f>
        <v>ХУРД ГРУПП ХХК</v>
      </c>
      <c r="N1753" s="630"/>
      <c r="O1753" s="80" t="str">
        <f>IFERROR(VLOOKUP(N1753,DATA!$K$4:$L$51,2,FALSE),"")</f>
        <v/>
      </c>
      <c r="P1753" s="80">
        <f t="shared" si="169"/>
        <v>0</v>
      </c>
      <c r="Q1753" s="154">
        <f t="shared" si="168"/>
        <v>0</v>
      </c>
    </row>
    <row r="1754" spans="2:17">
      <c r="B1754" s="627">
        <f t="shared" si="175"/>
        <v>1749</v>
      </c>
      <c r="C1754" s="582">
        <v>43465</v>
      </c>
      <c r="D1754" s="815" t="s">
        <v>2869</v>
      </c>
      <c r="E1754" s="807">
        <v>160100</v>
      </c>
      <c r="F1754" s="629" t="str">
        <f>IFERROR(VLOOKUP(E1754,STAT1!$C$4:$D$1000,2,FALSE),"")</f>
        <v xml:space="preserve">Барилгын материал </v>
      </c>
      <c r="G1754" s="811"/>
      <c r="H1754" s="811">
        <v>5960048.6200000001</v>
      </c>
      <c r="I1754" s="580">
        <f t="shared" si="170"/>
        <v>0</v>
      </c>
      <c r="J1754" s="961">
        <f t="shared" si="171"/>
        <v>0</v>
      </c>
      <c r="K1754" s="80"/>
      <c r="L1754" s="630">
        <v>3001</v>
      </c>
      <c r="M1754" s="80" t="str">
        <f>+IFERROR(VLOOKUP(L1754,DATA!$G$4:$H$2000,2,FALSE),"")</f>
        <v>ХУРД ГРУПП ХХК</v>
      </c>
      <c r="N1754" s="807"/>
      <c r="O1754" s="80" t="str">
        <f>IFERROR(VLOOKUP(N1754,DATA!$K$4:$L$51,2,FALSE),"")</f>
        <v/>
      </c>
      <c r="P1754" s="80">
        <f t="shared" si="169"/>
        <v>0</v>
      </c>
      <c r="Q1754" s="154">
        <f t="shared" si="168"/>
        <v>0</v>
      </c>
    </row>
    <row r="1755" spans="2:17">
      <c r="B1755" s="627">
        <f t="shared" si="175"/>
        <v>1750</v>
      </c>
      <c r="C1755" s="582">
        <v>43465</v>
      </c>
      <c r="D1755" s="815" t="s">
        <v>2869</v>
      </c>
      <c r="E1755" s="807">
        <v>141401</v>
      </c>
      <c r="F1755" s="629" t="str">
        <f>IFERROR(VLOOKUP(E1755,STAT1!$C$4:$D$1000,2,FALSE),"")</f>
        <v xml:space="preserve">ҮНЗардал БУСАД </v>
      </c>
      <c r="G1755" s="811">
        <v>5960048.6200000001</v>
      </c>
      <c r="H1755" s="811"/>
      <c r="I1755" s="580">
        <f t="shared" si="170"/>
        <v>0</v>
      </c>
      <c r="J1755" s="961">
        <f t="shared" si="171"/>
        <v>0</v>
      </c>
      <c r="K1755" s="80"/>
      <c r="L1755" s="630">
        <v>3001</v>
      </c>
      <c r="M1755" s="80" t="str">
        <f>+IFERROR(VLOOKUP(L1755,DATA!$G$4:$H$2000,2,FALSE),"")</f>
        <v>ХУРД ГРУПП ХХК</v>
      </c>
      <c r="N1755" s="807"/>
      <c r="O1755" s="80" t="str">
        <f>IFERROR(VLOOKUP(N1755,DATA!$K$4:$L$51,2,FALSE),"")</f>
        <v/>
      </c>
      <c r="P1755" s="80">
        <f t="shared" si="169"/>
        <v>0</v>
      </c>
      <c r="Q1755" s="154">
        <f t="shared" si="168"/>
        <v>0</v>
      </c>
    </row>
    <row r="1756" spans="2:17">
      <c r="B1756" s="627">
        <f t="shared" si="175"/>
        <v>1751</v>
      </c>
      <c r="C1756" s="582">
        <v>43395</v>
      </c>
      <c r="D1756" s="816" t="s">
        <v>1571</v>
      </c>
      <c r="E1756" s="807">
        <v>100100</v>
      </c>
      <c r="F1756" s="629" t="str">
        <f>IFERROR(VLOOKUP(E1756,STAT1!$C$4:$D$1000,2,FALSE),"")</f>
        <v>Касс мөнгө MNT</v>
      </c>
      <c r="G1756" s="811">
        <v>88000</v>
      </c>
      <c r="H1756" s="811"/>
      <c r="I1756" s="580">
        <f t="shared" si="170"/>
        <v>88000</v>
      </c>
      <c r="J1756" s="961">
        <f t="shared" si="171"/>
        <v>0</v>
      </c>
      <c r="K1756" s="80"/>
      <c r="L1756" s="807">
        <v>3045</v>
      </c>
      <c r="M1756" s="80" t="str">
        <f>+IFERROR(VLOOKUP(L1756,DATA!$G$4:$H$2000,2,FALSE),"")</f>
        <v xml:space="preserve">МОНГОЛ ИДЕАЛ ХХК </v>
      </c>
      <c r="N1756" s="807">
        <v>41</v>
      </c>
      <c r="O1756" s="80" t="str">
        <f>IFERROR(VLOOKUP(N1756,DATA!$K$4:$L$51,2,FALSE),"")</f>
        <v>Бараа борлуулсан, үйлчилгээ үзүүлсэний орлого</v>
      </c>
      <c r="P1756" s="80">
        <f t="shared" si="169"/>
        <v>1</v>
      </c>
      <c r="Q1756" s="154">
        <f t="shared" si="168"/>
        <v>1</v>
      </c>
    </row>
    <row r="1757" spans="2:17">
      <c r="B1757" s="627">
        <f t="shared" si="175"/>
        <v>1752</v>
      </c>
      <c r="C1757" s="582">
        <v>43395</v>
      </c>
      <c r="D1757" s="816" t="s">
        <v>1571</v>
      </c>
      <c r="E1757" s="807">
        <v>320100</v>
      </c>
      <c r="F1757" s="629" t="str">
        <f>IFERROR(VLOOKUP(E1757,STAT1!$C$4:$D$1000,2,FALSE),"")</f>
        <v>Урьдчилж орсон орлого MNT</v>
      </c>
      <c r="G1757" s="811"/>
      <c r="H1757" s="811">
        <v>88000</v>
      </c>
      <c r="I1757" s="580">
        <f t="shared" si="170"/>
        <v>0</v>
      </c>
      <c r="J1757" s="961">
        <f t="shared" si="171"/>
        <v>0</v>
      </c>
      <c r="K1757" s="80"/>
      <c r="L1757" s="807">
        <v>3045</v>
      </c>
      <c r="M1757" s="80" t="str">
        <f>+IFERROR(VLOOKUP(L1757,DATA!$G$4:$H$2000,2,FALSE),"")</f>
        <v xml:space="preserve">МОНГОЛ ИДЕАЛ ХХК </v>
      </c>
      <c r="N1757" s="807"/>
      <c r="O1757" s="80" t="str">
        <f>IFERROR(VLOOKUP(N1757,DATA!$K$4:$L$51,2,FALSE),"")</f>
        <v/>
      </c>
      <c r="P1757" s="80">
        <f t="shared" si="169"/>
        <v>0</v>
      </c>
      <c r="Q1757" s="154">
        <f t="shared" si="168"/>
        <v>0</v>
      </c>
    </row>
    <row r="1758" spans="2:17">
      <c r="B1758" s="627">
        <f t="shared" si="175"/>
        <v>1753</v>
      </c>
      <c r="C1758" s="582">
        <v>43395</v>
      </c>
      <c r="D1758" s="816" t="s">
        <v>1571</v>
      </c>
      <c r="E1758" s="630">
        <v>100100</v>
      </c>
      <c r="F1758" s="629" t="str">
        <f>IFERROR(VLOOKUP(E1758,STAT1!$C$4:$D$1000,2,FALSE),"")</f>
        <v>Касс мөнгө MNT</v>
      </c>
      <c r="G1758" s="376">
        <v>297450</v>
      </c>
      <c r="H1758" s="376"/>
      <c r="I1758" s="580">
        <f t="shared" si="170"/>
        <v>297450</v>
      </c>
      <c r="J1758" s="961">
        <f t="shared" si="171"/>
        <v>0</v>
      </c>
      <c r="K1758" s="80"/>
      <c r="L1758" s="630">
        <v>3061</v>
      </c>
      <c r="M1758" s="80" t="str">
        <f>+IFERROR(VLOOKUP(L1758,DATA!$G$4:$H$2000,2,FALSE),"")</f>
        <v>СТИМО ХХК</v>
      </c>
      <c r="N1758" s="807">
        <v>41</v>
      </c>
      <c r="O1758" s="80" t="str">
        <f>IFERROR(VLOOKUP(N1758,DATA!$K$4:$L$51,2,FALSE),"")</f>
        <v>Бараа борлуулсан, үйлчилгээ үзүүлсэний орлого</v>
      </c>
      <c r="P1758" s="80">
        <f t="shared" si="169"/>
        <v>1</v>
      </c>
      <c r="Q1758" s="154">
        <f t="shared" si="168"/>
        <v>1</v>
      </c>
    </row>
    <row r="1759" spans="2:17">
      <c r="B1759" s="627">
        <f t="shared" si="175"/>
        <v>1754</v>
      </c>
      <c r="C1759" s="582">
        <v>43395</v>
      </c>
      <c r="D1759" s="816" t="s">
        <v>1571</v>
      </c>
      <c r="E1759" s="807">
        <v>320100</v>
      </c>
      <c r="F1759" s="629" t="str">
        <f>IFERROR(VLOOKUP(E1759,STAT1!$C$4:$D$1000,2,FALSE),"")</f>
        <v>Урьдчилж орсон орлого MNT</v>
      </c>
      <c r="G1759" s="376"/>
      <c r="H1759" s="376">
        <v>297450</v>
      </c>
      <c r="I1759" s="580">
        <f t="shared" si="170"/>
        <v>0</v>
      </c>
      <c r="J1759" s="961">
        <f t="shared" si="171"/>
        <v>0</v>
      </c>
      <c r="K1759" s="80"/>
      <c r="L1759" s="630">
        <v>3061</v>
      </c>
      <c r="M1759" s="80" t="str">
        <f>+IFERROR(VLOOKUP(L1759,DATA!$G$4:$H$2000,2,FALSE),"")</f>
        <v>СТИМО ХХК</v>
      </c>
      <c r="N1759" s="630"/>
      <c r="O1759" s="80" t="str">
        <f>IFERROR(VLOOKUP(N1759,DATA!$K$4:$L$51,2,FALSE),"")</f>
        <v/>
      </c>
      <c r="P1759" s="80">
        <f t="shared" si="169"/>
        <v>0</v>
      </c>
      <c r="Q1759" s="154">
        <f t="shared" ref="Q1759:Q1822" si="176">+IF(I1759,1,0)</f>
        <v>0</v>
      </c>
    </row>
    <row r="1760" spans="2:17">
      <c r="B1760" s="627">
        <f t="shared" si="175"/>
        <v>1755</v>
      </c>
      <c r="C1760" s="582">
        <v>43364</v>
      </c>
      <c r="D1760" s="815" t="s">
        <v>2863</v>
      </c>
      <c r="E1760" s="630">
        <v>150100</v>
      </c>
      <c r="F1760" s="629" t="str">
        <f>IFERROR(VLOOKUP(E1760,STAT1!$C$4:$D$1000,2,FALSE),"")</f>
        <v>Бараа бэлэн бүтээгдэхүүн ХАТААХ ЦЕХ /нарс/</v>
      </c>
      <c r="G1760" s="376"/>
      <c r="H1760" s="376">
        <v>6527962.5800000001</v>
      </c>
      <c r="I1760" s="580">
        <f t="shared" si="170"/>
        <v>0</v>
      </c>
      <c r="J1760" s="961">
        <f t="shared" si="171"/>
        <v>0</v>
      </c>
      <c r="K1760" s="80"/>
      <c r="L1760" s="630">
        <v>1005</v>
      </c>
      <c r="M1760" s="80" t="str">
        <f>+IFERROR(VLOOKUP(L1760,DATA!$G$4:$H$2000,2,FALSE),"")</f>
        <v>Золжаргал</v>
      </c>
      <c r="N1760" s="630"/>
      <c r="O1760" s="80" t="str">
        <f>IFERROR(VLOOKUP(N1760,DATA!$K$4:$L$51,2,FALSE),"")</f>
        <v/>
      </c>
      <c r="P1760" s="80">
        <f t="shared" si="169"/>
        <v>0</v>
      </c>
      <c r="Q1760" s="154">
        <f t="shared" si="176"/>
        <v>0</v>
      </c>
    </row>
    <row r="1761" spans="2:17">
      <c r="B1761" s="627">
        <f t="shared" si="175"/>
        <v>1756</v>
      </c>
      <c r="C1761" s="582">
        <v>43364</v>
      </c>
      <c r="D1761" s="815" t="s">
        <v>2863</v>
      </c>
      <c r="E1761" s="630">
        <v>140201</v>
      </c>
      <c r="F1761" s="629" t="str">
        <f>IFERROR(VLOOKUP(E1761,STAT1!$C$4:$D$1000,2,FALSE),"")</f>
        <v>ШМЗардал БОЛОВСРУУЛАХ ЦЕХ /нарс/</v>
      </c>
      <c r="G1761" s="376">
        <v>6527962.5800000001</v>
      </c>
      <c r="H1761" s="376"/>
      <c r="I1761" s="580">
        <f t="shared" si="170"/>
        <v>0</v>
      </c>
      <c r="J1761" s="961">
        <f t="shared" si="171"/>
        <v>0</v>
      </c>
      <c r="K1761" s="80"/>
      <c r="L1761" s="630">
        <v>1005</v>
      </c>
      <c r="M1761" s="80" t="str">
        <f>+IFERROR(VLOOKUP(L1761,DATA!$G$4:$H$2000,2,FALSE),"")</f>
        <v>Золжаргал</v>
      </c>
      <c r="N1761" s="630"/>
      <c r="O1761" s="80" t="str">
        <f>IFERROR(VLOOKUP(N1761,DATA!$K$4:$L$51,2,FALSE),"")</f>
        <v/>
      </c>
      <c r="P1761" s="80">
        <f t="shared" si="169"/>
        <v>0</v>
      </c>
      <c r="Q1761" s="154">
        <f t="shared" si="176"/>
        <v>0</v>
      </c>
    </row>
    <row r="1762" spans="2:17">
      <c r="B1762" s="627">
        <f t="shared" si="175"/>
        <v>1757</v>
      </c>
      <c r="C1762" s="582">
        <v>43364</v>
      </c>
      <c r="D1762" s="816" t="s">
        <v>2874</v>
      </c>
      <c r="E1762" s="630">
        <v>150101</v>
      </c>
      <c r="F1762" s="629" t="str">
        <f>IFERROR(VLOOKUP(E1762,STAT1!$C$4:$D$1000,2,FALSE),"")</f>
        <v>Бараа бэлэн бүтээгдэхүүн БОЛОВСРУУЛАХ ЦЕХ /нарс/</v>
      </c>
      <c r="G1762" s="376">
        <v>6527962.5800000001</v>
      </c>
      <c r="H1762" s="376"/>
      <c r="I1762" s="580">
        <f t="shared" si="170"/>
        <v>0</v>
      </c>
      <c r="J1762" s="961">
        <f t="shared" si="171"/>
        <v>0</v>
      </c>
      <c r="K1762" s="80"/>
      <c r="L1762" s="630">
        <v>1005</v>
      </c>
      <c r="M1762" s="80" t="str">
        <f>+IFERROR(VLOOKUP(L1762,DATA!$G$4:$H$2000,2,FALSE),"")</f>
        <v>Золжаргал</v>
      </c>
      <c r="N1762" s="630"/>
      <c r="O1762" s="80" t="str">
        <f>IFERROR(VLOOKUP(N1762,DATA!$K$4:$L$51,2,FALSE),"")</f>
        <v/>
      </c>
      <c r="P1762" s="80">
        <f t="shared" si="169"/>
        <v>0</v>
      </c>
      <c r="Q1762" s="154">
        <f t="shared" si="176"/>
        <v>0</v>
      </c>
    </row>
    <row r="1763" spans="2:17">
      <c r="B1763" s="627">
        <f t="shared" si="175"/>
        <v>1758</v>
      </c>
      <c r="C1763" s="429">
        <v>43364</v>
      </c>
      <c r="D1763" s="816" t="s">
        <v>2874</v>
      </c>
      <c r="E1763" s="807">
        <v>140201</v>
      </c>
      <c r="F1763" s="629" t="str">
        <f>IFERROR(VLOOKUP(E1763,STAT1!$C$4:$D$1000,2,FALSE),"")</f>
        <v>ШМЗардал БОЛОВСРУУЛАХ ЦЕХ /нарс/</v>
      </c>
      <c r="G1763" s="811"/>
      <c r="H1763" s="811">
        <v>6527962.5800000001</v>
      </c>
      <c r="I1763" s="580">
        <f t="shared" si="170"/>
        <v>0</v>
      </c>
      <c r="J1763" s="961">
        <f t="shared" si="171"/>
        <v>0</v>
      </c>
      <c r="K1763" s="80"/>
      <c r="L1763" s="630">
        <v>1005</v>
      </c>
      <c r="M1763" s="80" t="str">
        <f>+IFERROR(VLOOKUP(L1763,DATA!$G$4:$H$2000,2,FALSE),"")</f>
        <v>Золжаргал</v>
      </c>
      <c r="N1763" s="807"/>
      <c r="O1763" s="80" t="str">
        <f>IFERROR(VLOOKUP(N1763,DATA!$K$4:$L$51,2,FALSE),"")</f>
        <v/>
      </c>
      <c r="P1763" s="80">
        <f t="shared" si="169"/>
        <v>0</v>
      </c>
      <c r="Q1763" s="154">
        <f t="shared" si="176"/>
        <v>0</v>
      </c>
    </row>
    <row r="1764" spans="2:17">
      <c r="B1764" s="627">
        <f t="shared" si="175"/>
        <v>1759</v>
      </c>
      <c r="C1764" s="582">
        <v>43405</v>
      </c>
      <c r="D1764" s="815" t="s">
        <v>2863</v>
      </c>
      <c r="E1764" s="630">
        <v>150100</v>
      </c>
      <c r="F1764" s="629" t="str">
        <f>IFERROR(VLOOKUP(E1764,STAT1!$C$4:$D$1000,2,FALSE),"")</f>
        <v>Бараа бэлэн бүтээгдэхүүн ХАТААХ ЦЕХ /нарс/</v>
      </c>
      <c r="G1764" s="811"/>
      <c r="H1764" s="811">
        <v>2785264.03</v>
      </c>
      <c r="I1764" s="580">
        <f t="shared" si="170"/>
        <v>0</v>
      </c>
      <c r="J1764" s="961">
        <f t="shared" si="171"/>
        <v>0</v>
      </c>
      <c r="K1764" s="80"/>
      <c r="L1764" s="630">
        <v>1005</v>
      </c>
      <c r="M1764" s="80" t="str">
        <f>+IFERROR(VLOOKUP(L1764,DATA!$G$4:$H$2000,2,FALSE),"")</f>
        <v>Золжаргал</v>
      </c>
      <c r="N1764" s="807"/>
      <c r="O1764" s="80" t="str">
        <f>IFERROR(VLOOKUP(N1764,DATA!$K$4:$L$51,2,FALSE),"")</f>
        <v/>
      </c>
      <c r="P1764" s="80">
        <f t="shared" si="169"/>
        <v>0</v>
      </c>
      <c r="Q1764" s="154">
        <f t="shared" si="176"/>
        <v>0</v>
      </c>
    </row>
    <row r="1765" spans="2:17">
      <c r="B1765" s="627">
        <f t="shared" si="175"/>
        <v>1760</v>
      </c>
      <c r="C1765" s="582">
        <v>43405</v>
      </c>
      <c r="D1765" s="815" t="s">
        <v>2863</v>
      </c>
      <c r="E1765" s="630">
        <v>140201</v>
      </c>
      <c r="F1765" s="629" t="str">
        <f>IFERROR(VLOOKUP(E1765,STAT1!$C$4:$D$1000,2,FALSE),"")</f>
        <v>ШМЗардал БОЛОВСРУУЛАХ ЦЕХ /нарс/</v>
      </c>
      <c r="G1765" s="811">
        <v>2785264.03</v>
      </c>
      <c r="H1765" s="811"/>
      <c r="I1765" s="580">
        <f t="shared" si="170"/>
        <v>0</v>
      </c>
      <c r="J1765" s="961">
        <f t="shared" si="171"/>
        <v>0</v>
      </c>
      <c r="K1765" s="80"/>
      <c r="L1765" s="630">
        <v>1005</v>
      </c>
      <c r="M1765" s="80" t="str">
        <f>+IFERROR(VLOOKUP(L1765,DATA!$G$4:$H$2000,2,FALSE),"")</f>
        <v>Золжаргал</v>
      </c>
      <c r="N1765" s="807"/>
      <c r="O1765" s="80" t="str">
        <f>IFERROR(VLOOKUP(N1765,DATA!$K$4:$L$51,2,FALSE),"")</f>
        <v/>
      </c>
      <c r="P1765" s="80">
        <f t="shared" si="169"/>
        <v>0</v>
      </c>
      <c r="Q1765" s="154">
        <f t="shared" si="176"/>
        <v>0</v>
      </c>
    </row>
    <row r="1766" spans="2:17">
      <c r="B1766" s="627">
        <f t="shared" si="175"/>
        <v>1761</v>
      </c>
      <c r="C1766" s="582">
        <v>43405</v>
      </c>
      <c r="D1766" s="816" t="s">
        <v>2874</v>
      </c>
      <c r="E1766" s="630">
        <v>150101</v>
      </c>
      <c r="F1766" s="629" t="str">
        <f>IFERROR(VLOOKUP(E1766,STAT1!$C$4:$D$1000,2,FALSE),"")</f>
        <v>Бараа бэлэн бүтээгдэхүүн БОЛОВСРУУЛАХ ЦЕХ /нарс/</v>
      </c>
      <c r="G1766" s="811">
        <v>2785264.03</v>
      </c>
      <c r="H1766" s="811"/>
      <c r="I1766" s="580">
        <f t="shared" si="170"/>
        <v>0</v>
      </c>
      <c r="J1766" s="961">
        <f t="shared" si="171"/>
        <v>0</v>
      </c>
      <c r="K1766" s="80"/>
      <c r="L1766" s="630">
        <v>1005</v>
      </c>
      <c r="M1766" s="80" t="str">
        <f>+IFERROR(VLOOKUP(L1766,DATA!$G$4:$H$2000,2,FALSE),"")</f>
        <v>Золжаргал</v>
      </c>
      <c r="N1766" s="807"/>
      <c r="O1766" s="80" t="str">
        <f>IFERROR(VLOOKUP(N1766,DATA!$K$4:$L$51,2,FALSE),"")</f>
        <v/>
      </c>
      <c r="P1766" s="80">
        <f t="shared" si="169"/>
        <v>0</v>
      </c>
      <c r="Q1766" s="154">
        <f t="shared" si="176"/>
        <v>0</v>
      </c>
    </row>
    <row r="1767" spans="2:17">
      <c r="B1767" s="627">
        <f t="shared" si="175"/>
        <v>1762</v>
      </c>
      <c r="C1767" s="582">
        <v>43405</v>
      </c>
      <c r="D1767" s="816" t="s">
        <v>2874</v>
      </c>
      <c r="E1767" s="807">
        <v>140201</v>
      </c>
      <c r="F1767" s="629" t="str">
        <f>IFERROR(VLOOKUP(E1767,STAT1!$C$4:$D$1000,2,FALSE),"")</f>
        <v>ШМЗардал БОЛОВСРУУЛАХ ЦЕХ /нарс/</v>
      </c>
      <c r="G1767" s="376"/>
      <c r="H1767" s="811">
        <v>2785264.03</v>
      </c>
      <c r="I1767" s="580">
        <f t="shared" si="170"/>
        <v>0</v>
      </c>
      <c r="J1767" s="961">
        <f t="shared" si="171"/>
        <v>0</v>
      </c>
      <c r="K1767" s="80"/>
      <c r="L1767" s="630">
        <v>1005</v>
      </c>
      <c r="M1767" s="80" t="str">
        <f>+IFERROR(VLOOKUP(L1767,DATA!$G$4:$H$2000,2,FALSE),"")</f>
        <v>Золжаргал</v>
      </c>
      <c r="N1767" s="630"/>
      <c r="O1767" s="80" t="str">
        <f>IFERROR(VLOOKUP(N1767,DATA!$K$4:$L$51,2,FALSE),"")</f>
        <v/>
      </c>
      <c r="P1767" s="80">
        <f t="shared" si="169"/>
        <v>0</v>
      </c>
      <c r="Q1767" s="154">
        <f t="shared" si="176"/>
        <v>0</v>
      </c>
    </row>
    <row r="1768" spans="2:17">
      <c r="B1768" s="627">
        <f t="shared" si="175"/>
        <v>1763</v>
      </c>
      <c r="C1768" s="582">
        <v>43465</v>
      </c>
      <c r="D1768" s="815" t="s">
        <v>2863</v>
      </c>
      <c r="E1768" s="630">
        <v>200700</v>
      </c>
      <c r="F1768" s="629" t="str">
        <f>IFERROR(VLOOKUP(E1768,STAT1!$C$4:$D$1000,2,FALSE),"")</f>
        <v xml:space="preserve">Дуусаагүй барилга-1 </v>
      </c>
      <c r="G1768" s="376">
        <v>312587335.66000003</v>
      </c>
      <c r="H1768" s="376"/>
      <c r="I1768" s="580">
        <f t="shared" si="170"/>
        <v>0</v>
      </c>
      <c r="J1768" s="961">
        <f t="shared" si="171"/>
        <v>0</v>
      </c>
      <c r="K1768" s="80"/>
      <c r="L1768" s="630">
        <v>3001</v>
      </c>
      <c r="M1768" s="80" t="str">
        <f>+IFERROR(VLOOKUP(L1768,DATA!$G$4:$H$2000,2,FALSE),"")</f>
        <v>ХУРД ГРУПП ХХК</v>
      </c>
      <c r="N1768" s="630"/>
      <c r="O1768" s="80" t="str">
        <f>IFERROR(VLOOKUP(N1768,DATA!$K$4:$L$51,2,FALSE),"")</f>
        <v/>
      </c>
      <c r="P1768" s="80">
        <f t="shared" si="169"/>
        <v>0</v>
      </c>
      <c r="Q1768" s="154">
        <f t="shared" si="176"/>
        <v>0</v>
      </c>
    </row>
    <row r="1769" spans="2:17">
      <c r="B1769" s="627">
        <f t="shared" si="175"/>
        <v>1764</v>
      </c>
      <c r="C1769" s="582">
        <v>43465</v>
      </c>
      <c r="D1769" s="815" t="s">
        <v>2863</v>
      </c>
      <c r="E1769" s="630">
        <v>141201</v>
      </c>
      <c r="F1769" s="629" t="str">
        <f>IFERROR(VLOOKUP(E1769,STAT1!$C$4:$D$1000,2,FALSE),"")</f>
        <v>ШМЗардал БУСАД</v>
      </c>
      <c r="G1769" s="376"/>
      <c r="H1769" s="990">
        <f>189727788.82+5000000</f>
        <v>194727788.81999999</v>
      </c>
      <c r="I1769" s="580">
        <f t="shared" si="170"/>
        <v>0</v>
      </c>
      <c r="J1769" s="961">
        <f t="shared" si="171"/>
        <v>0</v>
      </c>
      <c r="K1769" s="80"/>
      <c r="L1769" s="630">
        <v>3001</v>
      </c>
      <c r="M1769" s="80" t="str">
        <f>+IFERROR(VLOOKUP(L1769,DATA!$G$4:$H$2000,2,FALSE),"")</f>
        <v>ХУРД ГРУПП ХХК</v>
      </c>
      <c r="N1769" s="630"/>
      <c r="O1769" s="80" t="str">
        <f>IFERROR(VLOOKUP(N1769,DATA!$K$4:$L$51,2,FALSE),"")</f>
        <v/>
      </c>
      <c r="P1769" s="80">
        <f t="shared" si="169"/>
        <v>0</v>
      </c>
      <c r="Q1769" s="154">
        <f t="shared" si="176"/>
        <v>0</v>
      </c>
    </row>
    <row r="1770" spans="2:17">
      <c r="B1770" s="627">
        <f t="shared" si="175"/>
        <v>1765</v>
      </c>
      <c r="C1770" s="582">
        <v>43465</v>
      </c>
      <c r="D1770" s="815" t="s">
        <v>2863</v>
      </c>
      <c r="E1770" s="630">
        <v>141301</v>
      </c>
      <c r="F1770" s="629" t="str">
        <f>IFERROR(VLOOKUP(E1770,STAT1!$C$4:$D$1000,2,FALSE),"")</f>
        <v xml:space="preserve">ШХЗардал БУСАД </v>
      </c>
      <c r="G1770" s="376"/>
      <c r="H1770" s="990">
        <v>31375863.600000001</v>
      </c>
      <c r="I1770" s="580">
        <f t="shared" si="170"/>
        <v>0</v>
      </c>
      <c r="J1770" s="961">
        <f t="shared" si="171"/>
        <v>0</v>
      </c>
      <c r="K1770" s="80"/>
      <c r="L1770" s="630">
        <v>3001</v>
      </c>
      <c r="M1770" s="80" t="str">
        <f>+IFERROR(VLOOKUP(L1770,DATA!$G$4:$H$2000,2,FALSE),"")</f>
        <v>ХУРД ГРУПП ХХК</v>
      </c>
      <c r="N1770" s="630"/>
      <c r="O1770" s="80" t="str">
        <f>IFERROR(VLOOKUP(N1770,DATA!$K$4:$L$51,2,FALSE),"")</f>
        <v/>
      </c>
      <c r="P1770" s="80">
        <f t="shared" si="169"/>
        <v>0</v>
      </c>
      <c r="Q1770" s="154">
        <f t="shared" si="176"/>
        <v>0</v>
      </c>
    </row>
    <row r="1771" spans="2:17">
      <c r="B1771" s="627">
        <f t="shared" si="175"/>
        <v>1766</v>
      </c>
      <c r="C1771" s="582">
        <v>43465</v>
      </c>
      <c r="D1771" s="815" t="s">
        <v>2863</v>
      </c>
      <c r="E1771" s="630">
        <v>141401</v>
      </c>
      <c r="F1771" s="629" t="str">
        <f>IFERROR(VLOOKUP(E1771,STAT1!$C$4:$D$1000,2,FALSE),"")</f>
        <v xml:space="preserve">ҮНЗардал БУСАД </v>
      </c>
      <c r="G1771" s="376"/>
      <c r="H1771" s="990">
        <v>86483683.239999995</v>
      </c>
      <c r="I1771" s="580">
        <f t="shared" si="170"/>
        <v>0</v>
      </c>
      <c r="J1771" s="961">
        <f t="shared" si="171"/>
        <v>0</v>
      </c>
      <c r="K1771" s="80"/>
      <c r="L1771" s="630">
        <v>3001</v>
      </c>
      <c r="M1771" s="80" t="str">
        <f>+IFERROR(VLOOKUP(L1771,DATA!$G$4:$H$2000,2,FALSE),"")</f>
        <v>ХУРД ГРУПП ХХК</v>
      </c>
      <c r="N1771" s="630"/>
      <c r="O1771" s="80" t="str">
        <f>IFERROR(VLOOKUP(N1771,DATA!$K$4:$L$51,2,FALSE),"")</f>
        <v/>
      </c>
      <c r="P1771" s="80">
        <f t="shared" si="169"/>
        <v>0</v>
      </c>
      <c r="Q1771" s="154">
        <f t="shared" si="176"/>
        <v>0</v>
      </c>
    </row>
    <row r="1772" spans="2:17">
      <c r="B1772" s="627">
        <f t="shared" si="175"/>
        <v>1767</v>
      </c>
      <c r="C1772" s="582">
        <v>43446</v>
      </c>
      <c r="D1772" s="815" t="s">
        <v>2863</v>
      </c>
      <c r="E1772" s="630">
        <v>150101</v>
      </c>
      <c r="F1772" s="629" t="str">
        <f>IFERROR(VLOOKUP(E1772,STAT1!$C$4:$D$1000,2,FALSE),"")</f>
        <v>Бараа бэлэн бүтээгдэхүүн БОЛОВСРУУЛАХ ЦЕХ /нарс/</v>
      </c>
      <c r="G1772" s="811"/>
      <c r="H1772" s="811">
        <v>1634429.4767673041</v>
      </c>
      <c r="I1772" s="580">
        <f t="shared" si="170"/>
        <v>0</v>
      </c>
      <c r="J1772" s="961">
        <f t="shared" si="171"/>
        <v>0</v>
      </c>
      <c r="K1772" s="80"/>
      <c r="L1772" s="807">
        <v>3003</v>
      </c>
      <c r="M1772" s="80" t="str">
        <f>+IFERROR(VLOOKUP(L1772,DATA!$G$4:$H$2000,2,FALSE),"")</f>
        <v xml:space="preserve">МУХИА ХХК </v>
      </c>
      <c r="N1772" s="807"/>
      <c r="O1772" s="80" t="str">
        <f>IFERROR(VLOOKUP(N1772,DATA!$K$4:$L$51,2,FALSE),"")</f>
        <v/>
      </c>
      <c r="P1772" s="80">
        <f t="shared" si="169"/>
        <v>0</v>
      </c>
      <c r="Q1772" s="154">
        <f t="shared" si="176"/>
        <v>0</v>
      </c>
    </row>
    <row r="1773" spans="2:17">
      <c r="B1773" s="627">
        <f t="shared" si="175"/>
        <v>1768</v>
      </c>
      <c r="C1773" s="582">
        <v>43446</v>
      </c>
      <c r="D1773" s="815" t="s">
        <v>2863</v>
      </c>
      <c r="E1773" s="807">
        <v>610100</v>
      </c>
      <c r="F1773" s="629" t="str">
        <f>IFERROR(VLOOKUP(E1773,STAT1!$C$4:$D$1000,2,FALSE),"")</f>
        <v>Борлуулсан барааны өртөг</v>
      </c>
      <c r="G1773" s="811">
        <v>1634429.4767673041</v>
      </c>
      <c r="H1773" s="811"/>
      <c r="I1773" s="580">
        <f t="shared" si="170"/>
        <v>0</v>
      </c>
      <c r="J1773" s="961">
        <f t="shared" si="171"/>
        <v>0</v>
      </c>
      <c r="K1773" s="80"/>
      <c r="L1773" s="807">
        <v>3003</v>
      </c>
      <c r="M1773" s="80" t="str">
        <f>+IFERROR(VLOOKUP(L1773,DATA!$G$4:$H$2000,2,FALSE),"")</f>
        <v xml:space="preserve">МУХИА ХХК </v>
      </c>
      <c r="N1773" s="807"/>
      <c r="O1773" s="80" t="str">
        <f>IFERROR(VLOOKUP(N1773,DATA!$K$4:$L$51,2,FALSE),"")</f>
        <v/>
      </c>
      <c r="P1773" s="80">
        <f t="shared" si="169"/>
        <v>0</v>
      </c>
      <c r="Q1773" s="154">
        <f t="shared" si="176"/>
        <v>0</v>
      </c>
    </row>
    <row r="1774" spans="2:17">
      <c r="B1774" s="627">
        <f t="shared" si="175"/>
        <v>1769</v>
      </c>
      <c r="C1774" s="582">
        <v>43446</v>
      </c>
      <c r="D1774" s="815" t="s">
        <v>2863</v>
      </c>
      <c r="E1774" s="807">
        <v>510000</v>
      </c>
      <c r="F1774" s="629" t="str">
        <f>IFERROR(VLOOKUP(E1774,STAT1!$C$4:$D$1000,2,FALSE),"")</f>
        <v>Үндсэн үйл ажиллагааны борлуулалт</v>
      </c>
      <c r="G1774" s="811"/>
      <c r="H1774" s="811">
        <v>3020009.9986429997</v>
      </c>
      <c r="I1774" s="580">
        <f t="shared" si="170"/>
        <v>0</v>
      </c>
      <c r="J1774" s="961">
        <f t="shared" si="171"/>
        <v>0</v>
      </c>
      <c r="K1774" s="80"/>
      <c r="L1774" s="807">
        <v>3003</v>
      </c>
      <c r="M1774" s="80" t="str">
        <f>+IFERROR(VLOOKUP(L1774,DATA!$G$4:$H$2000,2,FALSE),"")</f>
        <v xml:space="preserve">МУХИА ХХК </v>
      </c>
      <c r="N1774" s="807"/>
      <c r="O1774" s="80" t="str">
        <f>IFERROR(VLOOKUP(N1774,DATA!$K$4:$L$51,2,FALSE),"")</f>
        <v/>
      </c>
      <c r="P1774" s="80">
        <f t="shared" si="169"/>
        <v>0</v>
      </c>
      <c r="Q1774" s="154">
        <f t="shared" si="176"/>
        <v>0</v>
      </c>
    </row>
    <row r="1775" spans="2:17">
      <c r="B1775" s="627">
        <f t="shared" si="175"/>
        <v>1770</v>
      </c>
      <c r="C1775" s="582">
        <v>43446</v>
      </c>
      <c r="D1775" s="815" t="s">
        <v>2863</v>
      </c>
      <c r="E1775" s="807">
        <v>320100</v>
      </c>
      <c r="F1775" s="629" t="str">
        <f>IFERROR(VLOOKUP(E1775,STAT1!$C$4:$D$1000,2,FALSE),"")</f>
        <v>Урьдчилж орсон орлого MNT</v>
      </c>
      <c r="G1775" s="811">
        <v>3020009.9986429997</v>
      </c>
      <c r="H1775" s="811"/>
      <c r="I1775" s="580">
        <f t="shared" si="170"/>
        <v>0</v>
      </c>
      <c r="J1775" s="961">
        <f t="shared" si="171"/>
        <v>0</v>
      </c>
      <c r="K1775" s="80"/>
      <c r="L1775" s="807">
        <v>3003</v>
      </c>
      <c r="M1775" s="80" t="str">
        <f>+IFERROR(VLOOKUP(L1775,DATA!$G$4:$H$2000,2,FALSE),"")</f>
        <v xml:space="preserve">МУХИА ХХК </v>
      </c>
      <c r="N1775" s="807"/>
      <c r="O1775" s="80" t="str">
        <f>IFERROR(VLOOKUP(N1775,DATA!$K$4:$L$51,2,FALSE),"")</f>
        <v/>
      </c>
      <c r="P1775" s="80">
        <f t="shared" si="169"/>
        <v>0</v>
      </c>
      <c r="Q1775" s="154">
        <f t="shared" si="176"/>
        <v>0</v>
      </c>
    </row>
    <row r="1776" spans="2:17">
      <c r="B1776" s="627">
        <f t="shared" si="175"/>
        <v>1771</v>
      </c>
      <c r="C1776" s="429">
        <v>43454</v>
      </c>
      <c r="D1776" s="815" t="s">
        <v>2863</v>
      </c>
      <c r="E1776" s="807">
        <v>150101</v>
      </c>
      <c r="F1776" s="629" t="str">
        <f>IFERROR(VLOOKUP(E1776,STAT1!$C$4:$D$1000,2,FALSE),"")</f>
        <v>Бараа бэлэн бүтээгдэхүүн БОЛОВСРУУЛАХ ЦЕХ /нарс/</v>
      </c>
      <c r="G1776" s="811"/>
      <c r="H1776" s="811">
        <v>311713.83810951223</v>
      </c>
      <c r="I1776" s="580">
        <f t="shared" si="170"/>
        <v>0</v>
      </c>
      <c r="J1776" s="961">
        <f t="shared" si="171"/>
        <v>0</v>
      </c>
      <c r="K1776" s="80"/>
      <c r="L1776" s="807">
        <v>1005</v>
      </c>
      <c r="M1776" s="80" t="str">
        <f>+IFERROR(VLOOKUP(L1776,DATA!$G$4:$H$2000,2,FALSE),"")</f>
        <v>Золжаргал</v>
      </c>
      <c r="N1776" s="807"/>
      <c r="O1776" s="80" t="str">
        <f>IFERROR(VLOOKUP(N1776,DATA!$K$4:$L$51,2,FALSE),"")</f>
        <v/>
      </c>
      <c r="P1776" s="80">
        <f t="shared" si="169"/>
        <v>0</v>
      </c>
      <c r="Q1776" s="154">
        <f t="shared" si="176"/>
        <v>0</v>
      </c>
    </row>
    <row r="1777" spans="2:17">
      <c r="B1777" s="627">
        <f t="shared" si="175"/>
        <v>1772</v>
      </c>
      <c r="C1777" s="429">
        <v>43454</v>
      </c>
      <c r="D1777" s="815" t="s">
        <v>2863</v>
      </c>
      <c r="E1777" s="807">
        <v>610100</v>
      </c>
      <c r="F1777" s="629" t="str">
        <f>IFERROR(VLOOKUP(E1777,STAT1!$C$4:$D$1000,2,FALSE),"")</f>
        <v>Борлуулсан барааны өртөг</v>
      </c>
      <c r="G1777" s="811">
        <v>311713.83810951223</v>
      </c>
      <c r="H1777" s="811"/>
      <c r="I1777" s="580">
        <f t="shared" si="170"/>
        <v>0</v>
      </c>
      <c r="J1777" s="961">
        <f t="shared" si="171"/>
        <v>0</v>
      </c>
      <c r="K1777" s="80"/>
      <c r="L1777" s="807">
        <v>1005</v>
      </c>
      <c r="M1777" s="80" t="str">
        <f>+IFERROR(VLOOKUP(L1777,DATA!$G$4:$H$2000,2,FALSE),"")</f>
        <v>Золжаргал</v>
      </c>
      <c r="N1777" s="807"/>
      <c r="O1777" s="80" t="str">
        <f>IFERROR(VLOOKUP(N1777,DATA!$K$4:$L$51,2,FALSE),"")</f>
        <v/>
      </c>
      <c r="P1777" s="80">
        <f t="shared" si="169"/>
        <v>0</v>
      </c>
      <c r="Q1777" s="154">
        <f t="shared" si="176"/>
        <v>0</v>
      </c>
    </row>
    <row r="1778" spans="2:17">
      <c r="B1778" s="627">
        <f t="shared" si="175"/>
        <v>1773</v>
      </c>
      <c r="C1778" s="429">
        <v>43454</v>
      </c>
      <c r="D1778" s="815" t="s">
        <v>2863</v>
      </c>
      <c r="E1778" s="807">
        <v>310500</v>
      </c>
      <c r="F1778" s="629" t="str">
        <f>IFERROR(VLOOKUP(E1778,STAT1!$C$4:$D$1000,2,FALSE),"")</f>
        <v>НӨАТ өглөг</v>
      </c>
      <c r="G1778" s="811"/>
      <c r="H1778" s="811">
        <v>34000</v>
      </c>
      <c r="I1778" s="580">
        <f t="shared" si="170"/>
        <v>0</v>
      </c>
      <c r="J1778" s="961">
        <f t="shared" si="171"/>
        <v>0</v>
      </c>
      <c r="K1778" s="80"/>
      <c r="L1778" s="807">
        <v>1005</v>
      </c>
      <c r="M1778" s="80" t="str">
        <f>+IFERROR(VLOOKUP(L1778,DATA!$G$4:$H$2000,2,FALSE),"")</f>
        <v>Золжаргал</v>
      </c>
      <c r="N1778" s="807"/>
      <c r="O1778" s="80" t="str">
        <f>IFERROR(VLOOKUP(N1778,DATA!$K$4:$L$51,2,FALSE),"")</f>
        <v/>
      </c>
      <c r="P1778" s="80">
        <f t="shared" si="169"/>
        <v>0</v>
      </c>
      <c r="Q1778" s="154">
        <f t="shared" si="176"/>
        <v>0</v>
      </c>
    </row>
    <row r="1779" spans="2:17">
      <c r="B1779" s="627">
        <f t="shared" si="175"/>
        <v>1774</v>
      </c>
      <c r="C1779" s="429">
        <v>43454</v>
      </c>
      <c r="D1779" s="815" t="s">
        <v>2863</v>
      </c>
      <c r="E1779" s="807">
        <v>510000</v>
      </c>
      <c r="F1779" s="629" t="str">
        <f>IFERROR(VLOOKUP(E1779,STAT1!$C$4:$D$1000,2,FALSE),"")</f>
        <v>Үндсэн үйл ажиллагааны борлуулалт</v>
      </c>
      <c r="G1779" s="811"/>
      <c r="H1779" s="811">
        <v>340000</v>
      </c>
      <c r="I1779" s="580">
        <f t="shared" si="170"/>
        <v>0</v>
      </c>
      <c r="J1779" s="961">
        <f t="shared" si="171"/>
        <v>0</v>
      </c>
      <c r="K1779" s="80"/>
      <c r="L1779" s="807">
        <v>1005</v>
      </c>
      <c r="M1779" s="80" t="str">
        <f>+IFERROR(VLOOKUP(L1779,DATA!$G$4:$H$2000,2,FALSE),"")</f>
        <v>Золжаргал</v>
      </c>
      <c r="N1779" s="807"/>
      <c r="O1779" s="80" t="str">
        <f>IFERROR(VLOOKUP(N1779,DATA!$K$4:$L$51,2,FALSE),"")</f>
        <v/>
      </c>
      <c r="P1779" s="80">
        <f t="shared" si="169"/>
        <v>0</v>
      </c>
      <c r="Q1779" s="154">
        <f t="shared" si="176"/>
        <v>0</v>
      </c>
    </row>
    <row r="1780" spans="2:17">
      <c r="B1780" s="627">
        <f t="shared" si="175"/>
        <v>1775</v>
      </c>
      <c r="C1780" s="429">
        <v>43454</v>
      </c>
      <c r="D1780" s="815" t="s">
        <v>2863</v>
      </c>
      <c r="E1780" s="807">
        <v>320100</v>
      </c>
      <c r="F1780" s="629" t="str">
        <f>IFERROR(VLOOKUP(E1780,STAT1!$C$4:$D$1000,2,FALSE),"")</f>
        <v>Урьдчилж орсон орлого MNT</v>
      </c>
      <c r="G1780" s="811">
        <v>374000</v>
      </c>
      <c r="H1780" s="811"/>
      <c r="I1780" s="580">
        <f t="shared" si="170"/>
        <v>0</v>
      </c>
      <c r="J1780" s="961">
        <f t="shared" si="171"/>
        <v>0</v>
      </c>
      <c r="K1780" s="80"/>
      <c r="L1780" s="807">
        <v>1005</v>
      </c>
      <c r="M1780" s="80" t="str">
        <f>+IFERROR(VLOOKUP(L1780,DATA!$G$4:$H$2000,2,FALSE),"")</f>
        <v>Золжаргал</v>
      </c>
      <c r="N1780" s="807"/>
      <c r="O1780" s="80" t="str">
        <f>IFERROR(VLOOKUP(N1780,DATA!$K$4:$L$51,2,FALSE),"")</f>
        <v/>
      </c>
      <c r="P1780" s="80">
        <f t="shared" si="169"/>
        <v>0</v>
      </c>
      <c r="Q1780" s="154">
        <f t="shared" si="176"/>
        <v>0</v>
      </c>
    </row>
    <row r="1781" spans="2:17">
      <c r="B1781" s="627">
        <f t="shared" si="175"/>
        <v>1776</v>
      </c>
      <c r="C1781" s="429">
        <v>43454</v>
      </c>
      <c r="D1781" s="816" t="s">
        <v>1571</v>
      </c>
      <c r="E1781" s="807">
        <v>100100</v>
      </c>
      <c r="F1781" s="629" t="str">
        <f>IFERROR(VLOOKUP(E1781,STAT1!$C$4:$D$1000,2,FALSE),"")</f>
        <v>Касс мөнгө MNT</v>
      </c>
      <c r="G1781" s="811">
        <v>374000</v>
      </c>
      <c r="H1781" s="811"/>
      <c r="I1781" s="580">
        <f t="shared" si="170"/>
        <v>374000</v>
      </c>
      <c r="J1781" s="961">
        <f t="shared" si="171"/>
        <v>0</v>
      </c>
      <c r="K1781" s="80"/>
      <c r="L1781" s="807">
        <v>1005</v>
      </c>
      <c r="M1781" s="80" t="str">
        <f>+IFERROR(VLOOKUP(L1781,DATA!$G$4:$H$2000,2,FALSE),"")</f>
        <v>Золжаргал</v>
      </c>
      <c r="N1781" s="807">
        <v>41</v>
      </c>
      <c r="O1781" s="80" t="str">
        <f>IFERROR(VLOOKUP(N1781,DATA!$K$4:$L$51,2,FALSE),"")</f>
        <v>Бараа борлуулсан, үйлчилгээ үзүүлсэний орлого</v>
      </c>
      <c r="P1781" s="80">
        <f t="shared" si="169"/>
        <v>1</v>
      </c>
      <c r="Q1781" s="154">
        <f t="shared" si="176"/>
        <v>1</v>
      </c>
    </row>
    <row r="1782" spans="2:17">
      <c r="B1782" s="627">
        <f t="shared" si="175"/>
        <v>1777</v>
      </c>
      <c r="C1782" s="429">
        <v>43454</v>
      </c>
      <c r="D1782" s="816" t="s">
        <v>1571</v>
      </c>
      <c r="E1782" s="807">
        <v>320100</v>
      </c>
      <c r="F1782" s="629" t="str">
        <f>IFERROR(VLOOKUP(E1782,STAT1!$C$4:$D$1000,2,FALSE),"")</f>
        <v>Урьдчилж орсон орлого MNT</v>
      </c>
      <c r="G1782" s="811"/>
      <c r="H1782" s="811">
        <v>374000</v>
      </c>
      <c r="I1782" s="580">
        <f t="shared" si="170"/>
        <v>0</v>
      </c>
      <c r="J1782" s="961">
        <f t="shared" si="171"/>
        <v>0</v>
      </c>
      <c r="K1782" s="80"/>
      <c r="L1782" s="807">
        <v>1005</v>
      </c>
      <c r="M1782" s="80" t="str">
        <f>+IFERROR(VLOOKUP(L1782,DATA!$G$4:$H$2000,2,FALSE),"")</f>
        <v>Золжаргал</v>
      </c>
      <c r="N1782" s="807"/>
      <c r="O1782" s="80" t="str">
        <f>IFERROR(VLOOKUP(N1782,DATA!$K$4:$L$51,2,FALSE),"")</f>
        <v/>
      </c>
      <c r="P1782" s="80">
        <f t="shared" si="169"/>
        <v>0</v>
      </c>
      <c r="Q1782" s="154">
        <f t="shared" si="176"/>
        <v>0</v>
      </c>
    </row>
    <row r="1783" spans="2:17">
      <c r="B1783" s="627" t="str">
        <f t="shared" si="175"/>
        <v/>
      </c>
      <c r="C1783" s="429"/>
      <c r="D1783" s="816"/>
      <c r="E1783" s="807"/>
      <c r="F1783" s="629" t="str">
        <f>IFERROR(VLOOKUP(E1783,STAT1!$C$4:$D$1000,2,FALSE),"")</f>
        <v/>
      </c>
      <c r="G1783" s="811"/>
      <c r="H1783" s="811"/>
      <c r="I1783" s="580">
        <f t="shared" si="170"/>
        <v>0</v>
      </c>
      <c r="J1783" s="961">
        <f t="shared" si="171"/>
        <v>0</v>
      </c>
      <c r="K1783" s="80"/>
      <c r="L1783" s="807">
        <v>1005</v>
      </c>
      <c r="M1783" s="80" t="str">
        <f>+IFERROR(VLOOKUP(L1783,DATA!$G$4:$H$2000,2,FALSE),"")</f>
        <v>Золжаргал</v>
      </c>
      <c r="N1783" s="807"/>
      <c r="O1783" s="80" t="str">
        <f>IFERROR(VLOOKUP(N1783,DATA!$K$4:$L$51,2,FALSE),"")</f>
        <v/>
      </c>
      <c r="P1783" s="80">
        <f t="shared" si="169"/>
        <v>0</v>
      </c>
      <c r="Q1783" s="154">
        <f t="shared" si="176"/>
        <v>0</v>
      </c>
    </row>
    <row r="1784" spans="2:17">
      <c r="B1784" s="627" t="str">
        <f t="shared" si="175"/>
        <v/>
      </c>
      <c r="C1784" s="429"/>
      <c r="D1784" s="816"/>
      <c r="E1784" s="807"/>
      <c r="F1784" s="629" t="str">
        <f>IFERROR(VLOOKUP(E1784,STAT1!$C$4:$D$1000,2,FALSE),"")</f>
        <v/>
      </c>
      <c r="G1784" s="811"/>
      <c r="H1784" s="811"/>
      <c r="I1784" s="580">
        <f t="shared" si="170"/>
        <v>0</v>
      </c>
      <c r="J1784" s="961">
        <f t="shared" si="171"/>
        <v>0</v>
      </c>
      <c r="K1784" s="80"/>
      <c r="L1784" s="807"/>
      <c r="M1784" s="80" t="str">
        <f>+IFERROR(VLOOKUP(L1784,DATA!$G$4:$H$2000,2,FALSE),"")</f>
        <v/>
      </c>
      <c r="N1784" s="807"/>
      <c r="O1784" s="80" t="str">
        <f>IFERROR(VLOOKUP(N1784,DATA!$K$4:$L$51,2,FALSE),"")</f>
        <v/>
      </c>
      <c r="P1784" s="80">
        <f t="shared" si="169"/>
        <v>0</v>
      </c>
      <c r="Q1784" s="154">
        <f t="shared" si="176"/>
        <v>0</v>
      </c>
    </row>
    <row r="1785" spans="2:17">
      <c r="B1785" s="627" t="str">
        <f t="shared" si="175"/>
        <v/>
      </c>
      <c r="C1785" s="429"/>
      <c r="D1785" s="816"/>
      <c r="E1785" s="807"/>
      <c r="F1785" s="629" t="str">
        <f>IFERROR(VLOOKUP(E1785,STAT1!$C$4:$D$1000,2,FALSE),"")</f>
        <v/>
      </c>
      <c r="G1785" s="811"/>
      <c r="H1785" s="811"/>
      <c r="I1785" s="580">
        <f t="shared" si="170"/>
        <v>0</v>
      </c>
      <c r="J1785" s="961">
        <f t="shared" si="171"/>
        <v>0</v>
      </c>
      <c r="K1785" s="80"/>
      <c r="L1785" s="807"/>
      <c r="M1785" s="80" t="str">
        <f>+IFERROR(VLOOKUP(L1785,DATA!$G$4:$H$2000,2,FALSE),"")</f>
        <v/>
      </c>
      <c r="N1785" s="807"/>
      <c r="O1785" s="80" t="str">
        <f>IFERROR(VLOOKUP(N1785,DATA!$K$4:$L$51,2,FALSE),"")</f>
        <v/>
      </c>
      <c r="P1785" s="80">
        <f t="shared" si="169"/>
        <v>0</v>
      </c>
      <c r="Q1785" s="154">
        <f t="shared" si="176"/>
        <v>0</v>
      </c>
    </row>
    <row r="1786" spans="2:17">
      <c r="B1786" s="627" t="str">
        <f t="shared" si="175"/>
        <v/>
      </c>
      <c r="C1786" s="429"/>
      <c r="D1786" s="816"/>
      <c r="E1786" s="807"/>
      <c r="F1786" s="629" t="str">
        <f>IFERROR(VLOOKUP(E1786,STAT1!$C$4:$D$1000,2,FALSE),"")</f>
        <v/>
      </c>
      <c r="G1786" s="811"/>
      <c r="H1786" s="811"/>
      <c r="I1786" s="580">
        <f t="shared" si="170"/>
        <v>0</v>
      </c>
      <c r="J1786" s="961">
        <f t="shared" si="171"/>
        <v>0</v>
      </c>
      <c r="K1786" s="80"/>
      <c r="L1786" s="807"/>
      <c r="M1786" s="80" t="str">
        <f>+IFERROR(VLOOKUP(L1786,DATA!$G$4:$H$2000,2,FALSE),"")</f>
        <v/>
      </c>
      <c r="N1786" s="807"/>
      <c r="O1786" s="80" t="str">
        <f>IFERROR(VLOOKUP(N1786,DATA!$K$4:$L$51,2,FALSE),"")</f>
        <v/>
      </c>
      <c r="P1786" s="80">
        <f t="shared" si="169"/>
        <v>0</v>
      </c>
      <c r="Q1786" s="154">
        <f t="shared" si="176"/>
        <v>0</v>
      </c>
    </row>
    <row r="1787" spans="2:17">
      <c r="B1787" s="627" t="str">
        <f t="shared" si="175"/>
        <v/>
      </c>
      <c r="C1787" s="429"/>
      <c r="D1787" s="816"/>
      <c r="E1787" s="807"/>
      <c r="F1787" s="629" t="str">
        <f>IFERROR(VLOOKUP(E1787,STAT1!$C$4:$D$1000,2,FALSE),"")</f>
        <v/>
      </c>
      <c r="G1787" s="811"/>
      <c r="H1787" s="811"/>
      <c r="I1787" s="580">
        <f t="shared" si="170"/>
        <v>0</v>
      </c>
      <c r="J1787" s="961">
        <f t="shared" si="171"/>
        <v>0</v>
      </c>
      <c r="K1787" s="80"/>
      <c r="L1787" s="807"/>
      <c r="M1787" s="80" t="str">
        <f>+IFERROR(VLOOKUP(L1787,DATA!$G$4:$H$2000,2,FALSE),"")</f>
        <v/>
      </c>
      <c r="N1787" s="807"/>
      <c r="O1787" s="80" t="str">
        <f>IFERROR(VLOOKUP(N1787,DATA!$K$4:$L$51,2,FALSE),"")</f>
        <v/>
      </c>
      <c r="P1787" s="80">
        <f t="shared" si="169"/>
        <v>0</v>
      </c>
      <c r="Q1787" s="154">
        <f t="shared" si="176"/>
        <v>0</v>
      </c>
    </row>
    <row r="1788" spans="2:17">
      <c r="B1788" s="627" t="str">
        <f t="shared" si="175"/>
        <v/>
      </c>
      <c r="C1788" s="429"/>
      <c r="D1788" s="815"/>
      <c r="E1788" s="807"/>
      <c r="F1788" s="629" t="str">
        <f>IFERROR(VLOOKUP(E1788,STAT1!$C$4:$D$1000,2,FALSE),"")</f>
        <v/>
      </c>
      <c r="G1788" s="811"/>
      <c r="H1788" s="811"/>
      <c r="I1788" s="580">
        <f t="shared" si="170"/>
        <v>0</v>
      </c>
      <c r="J1788" s="961">
        <f t="shared" si="171"/>
        <v>0</v>
      </c>
      <c r="K1788" s="80"/>
      <c r="L1788" s="807"/>
      <c r="M1788" s="80" t="str">
        <f>+IFERROR(VLOOKUP(L1788,DATA!$G$4:$H$2000,2,FALSE),"")</f>
        <v/>
      </c>
      <c r="N1788" s="807"/>
      <c r="O1788" s="80" t="str">
        <f>IFERROR(VLOOKUP(N1788,DATA!$K$4:$L$51,2,FALSE),"")</f>
        <v/>
      </c>
      <c r="P1788" s="80">
        <f t="shared" ref="P1788:P1851" si="177">+IF(I1788,1,0)</f>
        <v>0</v>
      </c>
      <c r="Q1788" s="154">
        <f t="shared" si="176"/>
        <v>0</v>
      </c>
    </row>
    <row r="1789" spans="2:17">
      <c r="B1789" s="627" t="str">
        <f t="shared" si="175"/>
        <v/>
      </c>
      <c r="C1789" s="582"/>
      <c r="D1789" s="815"/>
      <c r="E1789" s="630"/>
      <c r="F1789" s="629" t="str">
        <f>IFERROR(VLOOKUP(E1789,STAT1!$C$4:$D$1000,2,FALSE),"")</f>
        <v/>
      </c>
      <c r="G1789" s="376"/>
      <c r="H1789" s="376"/>
      <c r="I1789" s="580">
        <f t="shared" si="170"/>
        <v>0</v>
      </c>
      <c r="J1789" s="961">
        <f t="shared" si="171"/>
        <v>0</v>
      </c>
      <c r="K1789" s="80"/>
      <c r="L1789" s="630"/>
      <c r="M1789" s="80" t="str">
        <f>+IFERROR(VLOOKUP(L1789,DATA!$G$4:$H$2000,2,FALSE),"")</f>
        <v/>
      </c>
      <c r="N1789" s="630"/>
      <c r="O1789" s="80" t="str">
        <f>IFERROR(VLOOKUP(N1789,DATA!$K$4:$L$51,2,FALSE),"")</f>
        <v/>
      </c>
      <c r="P1789" s="80">
        <f t="shared" si="177"/>
        <v>0</v>
      </c>
      <c r="Q1789" s="154">
        <f t="shared" si="176"/>
        <v>0</v>
      </c>
    </row>
    <row r="1790" spans="2:17">
      <c r="B1790" s="627" t="str">
        <f t="shared" si="175"/>
        <v/>
      </c>
      <c r="C1790" s="582"/>
      <c r="D1790" s="815"/>
      <c r="E1790" s="630"/>
      <c r="F1790" s="629" t="str">
        <f>IFERROR(VLOOKUP(E1790,STAT1!$C$4:$D$1000,2,FALSE),"")</f>
        <v/>
      </c>
      <c r="G1790" s="376"/>
      <c r="H1790" s="376"/>
      <c r="I1790" s="580">
        <f t="shared" ref="I1790:I1853" si="178">+IF(OR(E1790=100100,E1790=100200,E1790=110100,E1790=110102,E1790=110103,E1790=110104,E1790=110105,E1790=110200,E1790=110201,E1790=110202,E1790=110203,E1790=110204,E1790=110300),G1790,0)+IF(OR(E1790=100100,E1790=100200,E1790=110100,E1790=110102,E1790=110103,E1790=110104,E1790=110105,E1790=110200,E1790=110201,E1790=110202,E1790=110203,E1790=110204,E1790=110300),H1790*-1,0)</f>
        <v>0</v>
      </c>
      <c r="J1790" s="961">
        <f t="shared" ref="J1790:J1853" si="179">+IF(E1790=110200,I1790/K1790,0)</f>
        <v>0</v>
      </c>
      <c r="K1790" s="80"/>
      <c r="L1790" s="630"/>
      <c r="M1790" s="80" t="str">
        <f>+IFERROR(VLOOKUP(L1790,DATA!$G$4:$H$2000,2,FALSE),"")</f>
        <v/>
      </c>
      <c r="N1790" s="630"/>
      <c r="O1790" s="80" t="str">
        <f>IFERROR(VLOOKUP(N1790,DATA!$K$4:$L$51,2,FALSE),"")</f>
        <v/>
      </c>
      <c r="P1790" s="80">
        <f t="shared" si="177"/>
        <v>0</v>
      </c>
      <c r="Q1790" s="154">
        <f t="shared" si="176"/>
        <v>0</v>
      </c>
    </row>
    <row r="1791" spans="2:17">
      <c r="B1791" s="627" t="str">
        <f t="shared" si="175"/>
        <v/>
      </c>
      <c r="C1791" s="582"/>
      <c r="D1791" s="815"/>
      <c r="E1791" s="630"/>
      <c r="F1791" s="629" t="str">
        <f>IFERROR(VLOOKUP(E1791,STAT1!$C$4:$D$1000,2,FALSE),"")</f>
        <v/>
      </c>
      <c r="G1791" s="376"/>
      <c r="H1791" s="376"/>
      <c r="I1791" s="580">
        <f t="shared" si="178"/>
        <v>0</v>
      </c>
      <c r="J1791" s="961">
        <f t="shared" si="179"/>
        <v>0</v>
      </c>
      <c r="K1791" s="80"/>
      <c r="L1791" s="630"/>
      <c r="M1791" s="80" t="str">
        <f>+IFERROR(VLOOKUP(L1791,DATA!$G$4:$H$2000,2,FALSE),"")</f>
        <v/>
      </c>
      <c r="N1791" s="630"/>
      <c r="O1791" s="80" t="str">
        <f>IFERROR(VLOOKUP(N1791,DATA!$K$4:$L$51,2,FALSE),"")</f>
        <v/>
      </c>
      <c r="P1791" s="80">
        <f t="shared" si="177"/>
        <v>0</v>
      </c>
      <c r="Q1791" s="154">
        <f t="shared" si="176"/>
        <v>0</v>
      </c>
    </row>
    <row r="1792" spans="2:17">
      <c r="B1792" s="627" t="str">
        <f t="shared" si="175"/>
        <v/>
      </c>
      <c r="C1792" s="582"/>
      <c r="D1792" s="815"/>
      <c r="E1792" s="630"/>
      <c r="F1792" s="629" t="str">
        <f>IFERROR(VLOOKUP(E1792,STAT1!$C$4:$D$1000,2,FALSE),"")</f>
        <v/>
      </c>
      <c r="G1792" s="376"/>
      <c r="H1792" s="376"/>
      <c r="I1792" s="580">
        <f t="shared" si="178"/>
        <v>0</v>
      </c>
      <c r="J1792" s="961">
        <f t="shared" si="179"/>
        <v>0</v>
      </c>
      <c r="K1792" s="80"/>
      <c r="L1792" s="630"/>
      <c r="M1792" s="80" t="str">
        <f>+IFERROR(VLOOKUP(L1792,DATA!$G$4:$H$2000,2,FALSE),"")</f>
        <v/>
      </c>
      <c r="N1792" s="630"/>
      <c r="O1792" s="80" t="str">
        <f>IFERROR(VLOOKUP(N1792,DATA!$K$4:$L$51,2,FALSE),"")</f>
        <v/>
      </c>
      <c r="P1792" s="80">
        <f t="shared" si="177"/>
        <v>0</v>
      </c>
      <c r="Q1792" s="154">
        <f t="shared" si="176"/>
        <v>0</v>
      </c>
    </row>
    <row r="1793" spans="2:17">
      <c r="B1793" s="627" t="str">
        <f t="shared" si="175"/>
        <v/>
      </c>
      <c r="C1793" s="582"/>
      <c r="D1793" s="815"/>
      <c r="E1793" s="630"/>
      <c r="F1793" s="629" t="str">
        <f>IFERROR(VLOOKUP(E1793,STAT1!$C$4:$D$1000,2,FALSE),"")</f>
        <v/>
      </c>
      <c r="G1793" s="376"/>
      <c r="H1793" s="376"/>
      <c r="I1793" s="580">
        <f t="shared" si="178"/>
        <v>0</v>
      </c>
      <c r="J1793" s="961">
        <f t="shared" si="179"/>
        <v>0</v>
      </c>
      <c r="K1793" s="80"/>
      <c r="L1793" s="630"/>
      <c r="M1793" s="80" t="str">
        <f>+IFERROR(VLOOKUP(L1793,DATA!$G$4:$H$2000,2,FALSE),"")</f>
        <v/>
      </c>
      <c r="N1793" s="630"/>
      <c r="O1793" s="80" t="str">
        <f>IFERROR(VLOOKUP(N1793,DATA!$K$4:$L$51,2,FALSE),"")</f>
        <v/>
      </c>
      <c r="P1793" s="80">
        <f t="shared" si="177"/>
        <v>0</v>
      </c>
      <c r="Q1793" s="154">
        <f t="shared" si="176"/>
        <v>0</v>
      </c>
    </row>
    <row r="1794" spans="2:17">
      <c r="B1794" s="627" t="str">
        <f t="shared" si="175"/>
        <v/>
      </c>
      <c r="C1794" s="582"/>
      <c r="D1794" s="815"/>
      <c r="E1794" s="630"/>
      <c r="F1794" s="629" t="str">
        <f>IFERROR(VLOOKUP(E1794,STAT1!$C$4:$D$1000,2,FALSE),"")</f>
        <v/>
      </c>
      <c r="G1794" s="376"/>
      <c r="H1794" s="376"/>
      <c r="I1794" s="580">
        <f t="shared" si="178"/>
        <v>0</v>
      </c>
      <c r="J1794" s="961">
        <f t="shared" si="179"/>
        <v>0</v>
      </c>
      <c r="K1794" s="80"/>
      <c r="L1794" s="630"/>
      <c r="M1794" s="80" t="str">
        <f>+IFERROR(VLOOKUP(L1794,DATA!$G$4:$H$2000,2,FALSE),"")</f>
        <v/>
      </c>
      <c r="N1794" s="630"/>
      <c r="O1794" s="80" t="str">
        <f>IFERROR(VLOOKUP(N1794,DATA!$K$4:$L$51,2,FALSE),"")</f>
        <v/>
      </c>
      <c r="P1794" s="80">
        <f t="shared" si="177"/>
        <v>0</v>
      </c>
      <c r="Q1794" s="154">
        <f t="shared" si="176"/>
        <v>0</v>
      </c>
    </row>
    <row r="1795" spans="2:17">
      <c r="B1795" s="627" t="str">
        <f t="shared" si="175"/>
        <v/>
      </c>
      <c r="C1795" s="582"/>
      <c r="D1795" s="815"/>
      <c r="E1795" s="630"/>
      <c r="F1795" s="629" t="str">
        <f>IFERROR(VLOOKUP(E1795,STAT1!$C$4:$D$1000,2,FALSE),"")</f>
        <v/>
      </c>
      <c r="G1795" s="376"/>
      <c r="H1795" s="376"/>
      <c r="I1795" s="580">
        <f t="shared" si="178"/>
        <v>0</v>
      </c>
      <c r="J1795" s="961">
        <f t="shared" si="179"/>
        <v>0</v>
      </c>
      <c r="K1795" s="80"/>
      <c r="L1795" s="630"/>
      <c r="M1795" s="80" t="str">
        <f>+IFERROR(VLOOKUP(L1795,DATA!$G$4:$H$2000,2,FALSE),"")</f>
        <v/>
      </c>
      <c r="N1795" s="630"/>
      <c r="O1795" s="80" t="str">
        <f>IFERROR(VLOOKUP(N1795,DATA!$K$4:$L$51,2,FALSE),"")</f>
        <v/>
      </c>
      <c r="P1795" s="80">
        <f t="shared" si="177"/>
        <v>0</v>
      </c>
      <c r="Q1795" s="154">
        <f t="shared" si="176"/>
        <v>0</v>
      </c>
    </row>
    <row r="1796" spans="2:17">
      <c r="B1796" s="627" t="str">
        <f t="shared" si="175"/>
        <v/>
      </c>
      <c r="C1796" s="582"/>
      <c r="D1796" s="815"/>
      <c r="E1796" s="630"/>
      <c r="F1796" s="629" t="str">
        <f>IFERROR(VLOOKUP(E1796,STAT1!$C$4:$D$1000,2,FALSE),"")</f>
        <v/>
      </c>
      <c r="G1796" s="376"/>
      <c r="H1796" s="376"/>
      <c r="I1796" s="580">
        <f t="shared" si="178"/>
        <v>0</v>
      </c>
      <c r="J1796" s="961">
        <f t="shared" si="179"/>
        <v>0</v>
      </c>
      <c r="K1796" s="80"/>
      <c r="L1796" s="630"/>
      <c r="M1796" s="80" t="str">
        <f>+IFERROR(VLOOKUP(L1796,DATA!$G$4:$H$2000,2,FALSE),"")</f>
        <v/>
      </c>
      <c r="N1796" s="630"/>
      <c r="O1796" s="80" t="str">
        <f>IFERROR(VLOOKUP(N1796,DATA!$K$4:$L$51,2,FALSE),"")</f>
        <v/>
      </c>
      <c r="P1796" s="80">
        <f t="shared" si="177"/>
        <v>0</v>
      </c>
      <c r="Q1796" s="154">
        <f t="shared" si="176"/>
        <v>0</v>
      </c>
    </row>
    <row r="1797" spans="2:17">
      <c r="B1797" s="627" t="str">
        <f t="shared" si="175"/>
        <v/>
      </c>
      <c r="C1797" s="582"/>
      <c r="D1797" s="815"/>
      <c r="E1797" s="630"/>
      <c r="F1797" s="629" t="str">
        <f>IFERROR(VLOOKUP(E1797,STAT1!$C$4:$D$1000,2,FALSE),"")</f>
        <v/>
      </c>
      <c r="G1797" s="376"/>
      <c r="H1797" s="376"/>
      <c r="I1797" s="580">
        <f t="shared" si="178"/>
        <v>0</v>
      </c>
      <c r="J1797" s="961">
        <f t="shared" si="179"/>
        <v>0</v>
      </c>
      <c r="K1797" s="80"/>
      <c r="L1797" s="630"/>
      <c r="M1797" s="80" t="str">
        <f>+IFERROR(VLOOKUP(L1797,DATA!$G$4:$H$2000,2,FALSE),"")</f>
        <v/>
      </c>
      <c r="N1797" s="630"/>
      <c r="O1797" s="80" t="str">
        <f>IFERROR(VLOOKUP(N1797,DATA!$K$4:$L$51,2,FALSE),"")</f>
        <v/>
      </c>
      <c r="P1797" s="80">
        <f t="shared" si="177"/>
        <v>0</v>
      </c>
      <c r="Q1797" s="154">
        <f t="shared" si="176"/>
        <v>0</v>
      </c>
    </row>
    <row r="1798" spans="2:17">
      <c r="B1798" s="627" t="str">
        <f t="shared" si="175"/>
        <v/>
      </c>
      <c r="C1798" s="582"/>
      <c r="D1798" s="815"/>
      <c r="E1798" s="630"/>
      <c r="F1798" s="629" t="str">
        <f>IFERROR(VLOOKUP(E1798,STAT1!$C$4:$D$1000,2,FALSE),"")</f>
        <v/>
      </c>
      <c r="G1798" s="376"/>
      <c r="H1798" s="376"/>
      <c r="I1798" s="580">
        <f t="shared" si="178"/>
        <v>0</v>
      </c>
      <c r="J1798" s="961">
        <f t="shared" si="179"/>
        <v>0</v>
      </c>
      <c r="K1798" s="80"/>
      <c r="L1798" s="630"/>
      <c r="M1798" s="80" t="str">
        <f>+IFERROR(VLOOKUP(L1798,DATA!$G$4:$H$2000,2,FALSE),"")</f>
        <v/>
      </c>
      <c r="N1798" s="630"/>
      <c r="O1798" s="80" t="str">
        <f>IFERROR(VLOOKUP(N1798,DATA!$K$4:$L$51,2,FALSE),"")</f>
        <v/>
      </c>
      <c r="P1798" s="80">
        <f t="shared" si="177"/>
        <v>0</v>
      </c>
      <c r="Q1798" s="154">
        <f t="shared" si="176"/>
        <v>0</v>
      </c>
    </row>
    <row r="1799" spans="2:17">
      <c r="B1799" s="627" t="str">
        <f t="shared" si="175"/>
        <v/>
      </c>
      <c r="C1799" s="582"/>
      <c r="D1799" s="815"/>
      <c r="E1799" s="630"/>
      <c r="F1799" s="629" t="str">
        <f>IFERROR(VLOOKUP(E1799,STAT1!$C$4:$D$1000,2,FALSE),"")</f>
        <v/>
      </c>
      <c r="G1799" s="376"/>
      <c r="H1799" s="376"/>
      <c r="I1799" s="580">
        <f t="shared" si="178"/>
        <v>0</v>
      </c>
      <c r="J1799" s="961">
        <f t="shared" si="179"/>
        <v>0</v>
      </c>
      <c r="K1799" s="80"/>
      <c r="L1799" s="630"/>
      <c r="M1799" s="80" t="str">
        <f>+IFERROR(VLOOKUP(L1799,DATA!$G$4:$H$2000,2,FALSE),"")</f>
        <v/>
      </c>
      <c r="N1799" s="630"/>
      <c r="O1799" s="80" t="str">
        <f>IFERROR(VLOOKUP(N1799,DATA!$K$4:$L$51,2,FALSE),"")</f>
        <v/>
      </c>
      <c r="P1799" s="80">
        <f t="shared" si="177"/>
        <v>0</v>
      </c>
      <c r="Q1799" s="154">
        <f t="shared" si="176"/>
        <v>0</v>
      </c>
    </row>
    <row r="1800" spans="2:17">
      <c r="B1800" s="627" t="str">
        <f t="shared" si="175"/>
        <v/>
      </c>
      <c r="C1800" s="582"/>
      <c r="D1800" s="815"/>
      <c r="E1800" s="630"/>
      <c r="F1800" s="629" t="str">
        <f>IFERROR(VLOOKUP(E1800,STAT1!$C$4:$D$1000,2,FALSE),"")</f>
        <v/>
      </c>
      <c r="G1800" s="376"/>
      <c r="H1800" s="376"/>
      <c r="I1800" s="580">
        <f t="shared" si="178"/>
        <v>0</v>
      </c>
      <c r="J1800" s="961">
        <f t="shared" si="179"/>
        <v>0</v>
      </c>
      <c r="K1800" s="80"/>
      <c r="L1800" s="630"/>
      <c r="M1800" s="80" t="str">
        <f>+IFERROR(VLOOKUP(L1800,DATA!$G$4:$H$2000,2,FALSE),"")</f>
        <v/>
      </c>
      <c r="N1800" s="630"/>
      <c r="O1800" s="80" t="str">
        <f>IFERROR(VLOOKUP(N1800,DATA!$K$4:$L$51,2,FALSE),"")</f>
        <v/>
      </c>
      <c r="P1800" s="80">
        <f t="shared" si="177"/>
        <v>0</v>
      </c>
      <c r="Q1800" s="154">
        <f t="shared" si="176"/>
        <v>0</v>
      </c>
    </row>
    <row r="1801" spans="2:17">
      <c r="B1801" s="627" t="str">
        <f t="shared" si="175"/>
        <v/>
      </c>
      <c r="C1801" s="582"/>
      <c r="D1801" s="815"/>
      <c r="E1801" s="630"/>
      <c r="F1801" s="629" t="str">
        <f>IFERROR(VLOOKUP(E1801,STAT1!$C$4:$D$1000,2,FALSE),"")</f>
        <v/>
      </c>
      <c r="G1801" s="376"/>
      <c r="H1801" s="376"/>
      <c r="I1801" s="580">
        <f t="shared" si="178"/>
        <v>0</v>
      </c>
      <c r="J1801" s="961">
        <f t="shared" si="179"/>
        <v>0</v>
      </c>
      <c r="K1801" s="80"/>
      <c r="L1801" s="630"/>
      <c r="M1801" s="80" t="str">
        <f>+IFERROR(VLOOKUP(L1801,DATA!$G$4:$H$2000,2,FALSE),"")</f>
        <v/>
      </c>
      <c r="N1801" s="630"/>
      <c r="O1801" s="80" t="str">
        <f>IFERROR(VLOOKUP(N1801,DATA!$K$4:$L$51,2,FALSE),"")</f>
        <v/>
      </c>
      <c r="P1801" s="80">
        <f t="shared" si="177"/>
        <v>0</v>
      </c>
      <c r="Q1801" s="154">
        <f t="shared" si="176"/>
        <v>0</v>
      </c>
    </row>
    <row r="1802" spans="2:17">
      <c r="B1802" s="627" t="str">
        <f t="shared" si="175"/>
        <v/>
      </c>
      <c r="C1802" s="582"/>
      <c r="D1802" s="815"/>
      <c r="E1802" s="630"/>
      <c r="F1802" s="629" t="str">
        <f>IFERROR(VLOOKUP(E1802,STAT1!$C$4:$D$1000,2,FALSE),"")</f>
        <v/>
      </c>
      <c r="G1802" s="376"/>
      <c r="H1802" s="376"/>
      <c r="I1802" s="580">
        <f t="shared" si="178"/>
        <v>0</v>
      </c>
      <c r="J1802" s="961">
        <f t="shared" si="179"/>
        <v>0</v>
      </c>
      <c r="K1802" s="80"/>
      <c r="L1802" s="630"/>
      <c r="M1802" s="80" t="str">
        <f>+IFERROR(VLOOKUP(L1802,DATA!$G$4:$H$2000,2,FALSE),"")</f>
        <v/>
      </c>
      <c r="N1802" s="630"/>
      <c r="O1802" s="80" t="str">
        <f>IFERROR(VLOOKUP(N1802,DATA!$K$4:$L$51,2,FALSE),"")</f>
        <v/>
      </c>
      <c r="P1802" s="80">
        <f t="shared" si="177"/>
        <v>0</v>
      </c>
      <c r="Q1802" s="154">
        <f t="shared" si="176"/>
        <v>0</v>
      </c>
    </row>
    <row r="1803" spans="2:17">
      <c r="B1803" s="627" t="str">
        <f t="shared" si="175"/>
        <v/>
      </c>
      <c r="C1803" s="582"/>
      <c r="D1803" s="815"/>
      <c r="E1803" s="630"/>
      <c r="F1803" s="629" t="str">
        <f>IFERROR(VLOOKUP(E1803,STAT1!$C$4:$D$1000,2,FALSE),"")</f>
        <v/>
      </c>
      <c r="G1803" s="376"/>
      <c r="H1803" s="376"/>
      <c r="I1803" s="580">
        <f t="shared" si="178"/>
        <v>0</v>
      </c>
      <c r="J1803" s="961">
        <f t="shared" si="179"/>
        <v>0</v>
      </c>
      <c r="K1803" s="80"/>
      <c r="L1803" s="630"/>
      <c r="M1803" s="80" t="str">
        <f>+IFERROR(VLOOKUP(L1803,DATA!$G$4:$H$2000,2,FALSE),"")</f>
        <v/>
      </c>
      <c r="N1803" s="630"/>
      <c r="O1803" s="80" t="str">
        <f>IFERROR(VLOOKUP(N1803,DATA!$K$4:$L$51,2,FALSE),"")</f>
        <v/>
      </c>
      <c r="P1803" s="80">
        <f t="shared" si="177"/>
        <v>0</v>
      </c>
      <c r="Q1803" s="154">
        <f t="shared" si="176"/>
        <v>0</v>
      </c>
    </row>
    <row r="1804" spans="2:17">
      <c r="B1804" s="627" t="str">
        <f t="shared" si="175"/>
        <v/>
      </c>
      <c r="C1804" s="582"/>
      <c r="D1804" s="815"/>
      <c r="E1804" s="630"/>
      <c r="F1804" s="629" t="str">
        <f>IFERROR(VLOOKUP(E1804,STAT1!$C$4:$D$1000,2,FALSE),"")</f>
        <v/>
      </c>
      <c r="G1804" s="376"/>
      <c r="H1804" s="376"/>
      <c r="I1804" s="580">
        <f t="shared" si="178"/>
        <v>0</v>
      </c>
      <c r="J1804" s="961">
        <f t="shared" si="179"/>
        <v>0</v>
      </c>
      <c r="K1804" s="80"/>
      <c r="L1804" s="630"/>
      <c r="M1804" s="80" t="str">
        <f>+IFERROR(VLOOKUP(L1804,DATA!$G$4:$H$2000,2,FALSE),"")</f>
        <v/>
      </c>
      <c r="N1804" s="630"/>
      <c r="O1804" s="80" t="str">
        <f>IFERROR(VLOOKUP(N1804,DATA!$K$4:$L$51,2,FALSE),"")</f>
        <v/>
      </c>
      <c r="P1804" s="80">
        <f t="shared" si="177"/>
        <v>0</v>
      </c>
      <c r="Q1804" s="154">
        <f t="shared" si="176"/>
        <v>0</v>
      </c>
    </row>
    <row r="1805" spans="2:17">
      <c r="B1805" s="627" t="str">
        <f t="shared" si="175"/>
        <v/>
      </c>
      <c r="C1805" s="582"/>
      <c r="D1805" s="815"/>
      <c r="E1805" s="630"/>
      <c r="F1805" s="629" t="str">
        <f>IFERROR(VLOOKUP(E1805,STAT1!$C$4:$D$1000,2,FALSE),"")</f>
        <v/>
      </c>
      <c r="G1805" s="376"/>
      <c r="H1805" s="376"/>
      <c r="I1805" s="580">
        <f t="shared" si="178"/>
        <v>0</v>
      </c>
      <c r="J1805" s="961">
        <f t="shared" si="179"/>
        <v>0</v>
      </c>
      <c r="K1805" s="80"/>
      <c r="L1805" s="630"/>
      <c r="M1805" s="80" t="str">
        <f>+IFERROR(VLOOKUP(L1805,DATA!$G$4:$H$2000,2,FALSE),"")</f>
        <v/>
      </c>
      <c r="N1805" s="630"/>
      <c r="O1805" s="80" t="str">
        <f>IFERROR(VLOOKUP(N1805,DATA!$K$4:$L$51,2,FALSE),"")</f>
        <v/>
      </c>
      <c r="P1805" s="80">
        <f t="shared" si="177"/>
        <v>0</v>
      </c>
      <c r="Q1805" s="154">
        <f t="shared" si="176"/>
        <v>0</v>
      </c>
    </row>
    <row r="1806" spans="2:17">
      <c r="B1806" s="627" t="str">
        <f t="shared" si="175"/>
        <v/>
      </c>
      <c r="C1806" s="582"/>
      <c r="D1806" s="815"/>
      <c r="E1806" s="630"/>
      <c r="F1806" s="629" t="str">
        <f>IFERROR(VLOOKUP(E1806,STAT1!$C$4:$D$1000,2,FALSE),"")</f>
        <v/>
      </c>
      <c r="G1806" s="376"/>
      <c r="H1806" s="376"/>
      <c r="I1806" s="580">
        <f t="shared" si="178"/>
        <v>0</v>
      </c>
      <c r="J1806" s="961">
        <f t="shared" si="179"/>
        <v>0</v>
      </c>
      <c r="K1806" s="80"/>
      <c r="L1806" s="630"/>
      <c r="M1806" s="80" t="str">
        <f>+IFERROR(VLOOKUP(L1806,DATA!$G$4:$H$2000,2,FALSE),"")</f>
        <v/>
      </c>
      <c r="N1806" s="630"/>
      <c r="O1806" s="80" t="str">
        <f>IFERROR(VLOOKUP(N1806,DATA!$K$4:$L$51,2,FALSE),"")</f>
        <v/>
      </c>
      <c r="P1806" s="80">
        <f t="shared" si="177"/>
        <v>0</v>
      </c>
      <c r="Q1806" s="154">
        <f t="shared" si="176"/>
        <v>0</v>
      </c>
    </row>
    <row r="1807" spans="2:17">
      <c r="B1807" s="627" t="str">
        <f t="shared" si="175"/>
        <v/>
      </c>
      <c r="C1807" s="582"/>
      <c r="D1807" s="815"/>
      <c r="E1807" s="630"/>
      <c r="F1807" s="629" t="str">
        <f>IFERROR(VLOOKUP(E1807,STAT1!$C$4:$D$1000,2,FALSE),"")</f>
        <v/>
      </c>
      <c r="G1807" s="376"/>
      <c r="H1807" s="376"/>
      <c r="I1807" s="580">
        <f t="shared" si="178"/>
        <v>0</v>
      </c>
      <c r="J1807" s="961">
        <f t="shared" si="179"/>
        <v>0</v>
      </c>
      <c r="K1807" s="80"/>
      <c r="L1807" s="630"/>
      <c r="M1807" s="80" t="str">
        <f>+IFERROR(VLOOKUP(L1807,DATA!$G$4:$H$2000,2,FALSE),"")</f>
        <v/>
      </c>
      <c r="N1807" s="630"/>
      <c r="O1807" s="80" t="str">
        <f>IFERROR(VLOOKUP(N1807,DATA!$K$4:$L$51,2,FALSE),"")</f>
        <v/>
      </c>
      <c r="P1807" s="80">
        <f t="shared" si="177"/>
        <v>0</v>
      </c>
      <c r="Q1807" s="154">
        <f t="shared" si="176"/>
        <v>0</v>
      </c>
    </row>
    <row r="1808" spans="2:17">
      <c r="B1808" s="627" t="str">
        <f t="shared" si="175"/>
        <v/>
      </c>
      <c r="C1808" s="582"/>
      <c r="D1808" s="815"/>
      <c r="E1808" s="630"/>
      <c r="F1808" s="629" t="str">
        <f>IFERROR(VLOOKUP(E1808,STAT1!$C$4:$D$1000,2,FALSE),"")</f>
        <v/>
      </c>
      <c r="G1808" s="376"/>
      <c r="H1808" s="376"/>
      <c r="I1808" s="580">
        <f t="shared" si="178"/>
        <v>0</v>
      </c>
      <c r="J1808" s="961">
        <f t="shared" si="179"/>
        <v>0</v>
      </c>
      <c r="K1808" s="80"/>
      <c r="L1808" s="630"/>
      <c r="M1808" s="80" t="str">
        <f>+IFERROR(VLOOKUP(L1808,DATA!$G$4:$H$2000,2,FALSE),"")</f>
        <v/>
      </c>
      <c r="N1808" s="630"/>
      <c r="O1808" s="80" t="str">
        <f>IFERROR(VLOOKUP(N1808,DATA!$K$4:$L$51,2,FALSE),"")</f>
        <v/>
      </c>
      <c r="P1808" s="80">
        <f t="shared" si="177"/>
        <v>0</v>
      </c>
      <c r="Q1808" s="154">
        <f t="shared" si="176"/>
        <v>0</v>
      </c>
    </row>
    <row r="1809" spans="2:17">
      <c r="B1809" s="627" t="str">
        <f t="shared" ref="B1809:B1872" si="180">+IF(C1809="","",ROW()-5)</f>
        <v/>
      </c>
      <c r="C1809" s="582"/>
      <c r="D1809" s="815"/>
      <c r="E1809" s="630"/>
      <c r="F1809" s="629" t="str">
        <f>IFERROR(VLOOKUP(E1809,STAT1!$C$4:$D$1000,2,FALSE),"")</f>
        <v/>
      </c>
      <c r="G1809" s="376"/>
      <c r="H1809" s="376"/>
      <c r="I1809" s="580">
        <f t="shared" si="178"/>
        <v>0</v>
      </c>
      <c r="J1809" s="961">
        <f t="shared" si="179"/>
        <v>0</v>
      </c>
      <c r="K1809" s="80"/>
      <c r="L1809" s="630"/>
      <c r="M1809" s="80" t="str">
        <f>+IFERROR(VLOOKUP(L1809,DATA!$G$4:$H$2000,2,FALSE),"")</f>
        <v/>
      </c>
      <c r="N1809" s="630"/>
      <c r="O1809" s="80" t="str">
        <f>IFERROR(VLOOKUP(N1809,DATA!$K$4:$L$51,2,FALSE),"")</f>
        <v/>
      </c>
      <c r="P1809" s="80">
        <f t="shared" si="177"/>
        <v>0</v>
      </c>
      <c r="Q1809" s="154">
        <f t="shared" si="176"/>
        <v>0</v>
      </c>
    </row>
    <row r="1810" spans="2:17">
      <c r="B1810" s="627" t="str">
        <f t="shared" si="180"/>
        <v/>
      </c>
      <c r="C1810" s="582"/>
      <c r="D1810" s="816"/>
      <c r="E1810" s="630"/>
      <c r="F1810" s="629" t="str">
        <f>IFERROR(VLOOKUP(E1810,STAT1!$C$4:$D$1000,2,FALSE),"")</f>
        <v/>
      </c>
      <c r="G1810" s="376"/>
      <c r="H1810" s="376"/>
      <c r="I1810" s="580">
        <f t="shared" si="178"/>
        <v>0</v>
      </c>
      <c r="J1810" s="961">
        <f t="shared" si="179"/>
        <v>0</v>
      </c>
      <c r="K1810" s="80"/>
      <c r="L1810" s="630"/>
      <c r="M1810" s="80" t="str">
        <f>+IFERROR(VLOOKUP(L1810,DATA!$G$4:$H$2000,2,FALSE),"")</f>
        <v/>
      </c>
      <c r="N1810" s="630"/>
      <c r="O1810" s="80" t="str">
        <f>IFERROR(VLOOKUP(N1810,DATA!$K$4:$L$51,2,FALSE),"")</f>
        <v/>
      </c>
      <c r="P1810" s="80">
        <f t="shared" si="177"/>
        <v>0</v>
      </c>
      <c r="Q1810" s="154">
        <f t="shared" si="176"/>
        <v>0</v>
      </c>
    </row>
    <row r="1811" spans="2:17">
      <c r="B1811" s="627" t="str">
        <f t="shared" si="180"/>
        <v/>
      </c>
      <c r="C1811" s="429"/>
      <c r="D1811" s="816"/>
      <c r="E1811" s="807"/>
      <c r="F1811" s="629" t="str">
        <f>IFERROR(VLOOKUP(E1811,STAT1!$C$4:$D$1000,2,FALSE),"")</f>
        <v/>
      </c>
      <c r="G1811" s="811"/>
      <c r="H1811" s="811"/>
      <c r="I1811" s="580">
        <f t="shared" si="178"/>
        <v>0</v>
      </c>
      <c r="J1811" s="961">
        <f t="shared" si="179"/>
        <v>0</v>
      </c>
      <c r="K1811" s="80"/>
      <c r="L1811" s="807"/>
      <c r="M1811" s="80" t="str">
        <f>+IFERROR(VLOOKUP(L1811,DATA!$G$4:$H$2000,2,FALSE),"")</f>
        <v/>
      </c>
      <c r="N1811" s="807"/>
      <c r="O1811" s="80" t="str">
        <f>IFERROR(VLOOKUP(N1811,DATA!$K$4:$L$51,2,FALSE),"")</f>
        <v/>
      </c>
      <c r="P1811" s="80">
        <f t="shared" si="177"/>
        <v>0</v>
      </c>
      <c r="Q1811" s="154">
        <f t="shared" si="176"/>
        <v>0</v>
      </c>
    </row>
    <row r="1812" spans="2:17">
      <c r="B1812" s="627" t="str">
        <f t="shared" si="180"/>
        <v/>
      </c>
      <c r="C1812" s="429"/>
      <c r="D1812" s="816"/>
      <c r="E1812" s="807"/>
      <c r="F1812" s="629" t="str">
        <f>IFERROR(VLOOKUP(E1812,STAT1!$C$4:$D$1000,2,FALSE),"")</f>
        <v/>
      </c>
      <c r="G1812" s="811"/>
      <c r="H1812" s="811"/>
      <c r="I1812" s="580">
        <f t="shared" si="178"/>
        <v>0</v>
      </c>
      <c r="J1812" s="961">
        <f t="shared" si="179"/>
        <v>0</v>
      </c>
      <c r="K1812" s="80"/>
      <c r="L1812" s="807"/>
      <c r="M1812" s="80" t="str">
        <f>+IFERROR(VLOOKUP(L1812,DATA!$G$4:$H$2000,2,FALSE),"")</f>
        <v/>
      </c>
      <c r="N1812" s="807"/>
      <c r="O1812" s="80" t="str">
        <f>IFERROR(VLOOKUP(N1812,DATA!$K$4:$L$51,2,FALSE),"")</f>
        <v/>
      </c>
      <c r="P1812" s="80">
        <f t="shared" si="177"/>
        <v>0</v>
      </c>
      <c r="Q1812" s="154">
        <f t="shared" si="176"/>
        <v>0</v>
      </c>
    </row>
    <row r="1813" spans="2:17">
      <c r="B1813" s="627" t="str">
        <f t="shared" si="180"/>
        <v/>
      </c>
      <c r="C1813" s="429"/>
      <c r="D1813" s="816"/>
      <c r="E1813" s="807"/>
      <c r="F1813" s="629" t="str">
        <f>IFERROR(VLOOKUP(E1813,STAT1!$C$4:$D$1000,2,FALSE),"")</f>
        <v/>
      </c>
      <c r="G1813" s="811"/>
      <c r="H1813" s="811"/>
      <c r="I1813" s="580">
        <f t="shared" si="178"/>
        <v>0</v>
      </c>
      <c r="J1813" s="961">
        <f t="shared" si="179"/>
        <v>0</v>
      </c>
      <c r="K1813" s="80"/>
      <c r="L1813" s="807"/>
      <c r="M1813" s="80" t="str">
        <f>+IFERROR(VLOOKUP(L1813,DATA!$G$4:$H$2000,2,FALSE),"")</f>
        <v/>
      </c>
      <c r="N1813" s="807"/>
      <c r="O1813" s="80" t="str">
        <f>IFERROR(VLOOKUP(N1813,DATA!$K$4:$L$51,2,FALSE),"")</f>
        <v/>
      </c>
      <c r="P1813" s="80">
        <f t="shared" si="177"/>
        <v>0</v>
      </c>
      <c r="Q1813" s="154">
        <f t="shared" si="176"/>
        <v>0</v>
      </c>
    </row>
    <row r="1814" spans="2:17">
      <c r="B1814" s="627" t="str">
        <f t="shared" si="180"/>
        <v/>
      </c>
      <c r="C1814" s="429"/>
      <c r="D1814" s="816"/>
      <c r="E1814" s="807"/>
      <c r="F1814" s="629" t="str">
        <f>IFERROR(VLOOKUP(E1814,STAT1!$C$4:$D$1000,2,FALSE),"")</f>
        <v/>
      </c>
      <c r="G1814" s="811"/>
      <c r="H1814" s="811"/>
      <c r="I1814" s="580">
        <f t="shared" si="178"/>
        <v>0</v>
      </c>
      <c r="J1814" s="961">
        <f t="shared" si="179"/>
        <v>0</v>
      </c>
      <c r="K1814" s="80"/>
      <c r="L1814" s="807"/>
      <c r="M1814" s="80" t="str">
        <f>+IFERROR(VLOOKUP(L1814,DATA!$G$4:$H$2000,2,FALSE),"")</f>
        <v/>
      </c>
      <c r="N1814" s="807"/>
      <c r="O1814" s="80" t="str">
        <f>IFERROR(VLOOKUP(N1814,DATA!$K$4:$L$51,2,FALSE),"")</f>
        <v/>
      </c>
      <c r="P1814" s="80">
        <f t="shared" si="177"/>
        <v>0</v>
      </c>
      <c r="Q1814" s="154">
        <f t="shared" si="176"/>
        <v>0</v>
      </c>
    </row>
    <row r="1815" spans="2:17">
      <c r="B1815" s="627" t="str">
        <f t="shared" si="180"/>
        <v/>
      </c>
      <c r="C1815" s="429"/>
      <c r="D1815" s="816"/>
      <c r="E1815" s="807"/>
      <c r="F1815" s="629" t="str">
        <f>IFERROR(VLOOKUP(E1815,STAT1!$C$4:$D$1000,2,FALSE),"")</f>
        <v/>
      </c>
      <c r="G1815" s="811"/>
      <c r="H1815" s="811"/>
      <c r="I1815" s="580">
        <f t="shared" si="178"/>
        <v>0</v>
      </c>
      <c r="J1815" s="961">
        <f t="shared" si="179"/>
        <v>0</v>
      </c>
      <c r="K1815" s="80"/>
      <c r="L1815" s="807"/>
      <c r="M1815" s="80" t="str">
        <f>+IFERROR(VLOOKUP(L1815,DATA!$G$4:$H$2000,2,FALSE),"")</f>
        <v/>
      </c>
      <c r="N1815" s="807"/>
      <c r="O1815" s="80" t="str">
        <f>IFERROR(VLOOKUP(N1815,DATA!$K$4:$L$51,2,FALSE),"")</f>
        <v/>
      </c>
      <c r="P1815" s="80">
        <f t="shared" si="177"/>
        <v>0</v>
      </c>
      <c r="Q1815" s="154">
        <f t="shared" si="176"/>
        <v>0</v>
      </c>
    </row>
    <row r="1816" spans="2:17">
      <c r="B1816" s="627" t="str">
        <f t="shared" si="180"/>
        <v/>
      </c>
      <c r="C1816" s="429"/>
      <c r="D1816" s="816"/>
      <c r="E1816" s="807"/>
      <c r="F1816" s="629" t="str">
        <f>IFERROR(VLOOKUP(E1816,STAT1!$C$4:$D$1000,2,FALSE),"")</f>
        <v/>
      </c>
      <c r="G1816" s="811"/>
      <c r="H1816" s="811"/>
      <c r="I1816" s="580">
        <f t="shared" si="178"/>
        <v>0</v>
      </c>
      <c r="J1816" s="961">
        <f t="shared" si="179"/>
        <v>0</v>
      </c>
      <c r="K1816" s="80"/>
      <c r="L1816" s="807"/>
      <c r="M1816" s="80" t="str">
        <f>+IFERROR(VLOOKUP(L1816,DATA!$G$4:$H$2000,2,FALSE),"")</f>
        <v/>
      </c>
      <c r="N1816" s="807"/>
      <c r="O1816" s="80" t="str">
        <f>IFERROR(VLOOKUP(N1816,DATA!$K$4:$L$51,2,FALSE),"")</f>
        <v/>
      </c>
      <c r="P1816" s="80">
        <f t="shared" si="177"/>
        <v>0</v>
      </c>
      <c r="Q1816" s="154">
        <f t="shared" si="176"/>
        <v>0</v>
      </c>
    </row>
    <row r="1817" spans="2:17">
      <c r="B1817" s="627" t="str">
        <f t="shared" si="180"/>
        <v/>
      </c>
      <c r="C1817" s="429"/>
      <c r="D1817" s="816"/>
      <c r="E1817" s="807"/>
      <c r="F1817" s="629" t="str">
        <f>IFERROR(VLOOKUP(E1817,STAT1!$C$4:$D$1000,2,FALSE),"")</f>
        <v/>
      </c>
      <c r="G1817" s="811"/>
      <c r="H1817" s="811"/>
      <c r="I1817" s="580">
        <f t="shared" si="178"/>
        <v>0</v>
      </c>
      <c r="J1817" s="961">
        <f t="shared" si="179"/>
        <v>0</v>
      </c>
      <c r="K1817" s="80"/>
      <c r="L1817" s="807"/>
      <c r="M1817" s="80" t="str">
        <f>+IFERROR(VLOOKUP(L1817,DATA!$G$4:$H$2000,2,FALSE),"")</f>
        <v/>
      </c>
      <c r="N1817" s="807"/>
      <c r="O1817" s="80" t="str">
        <f>IFERROR(VLOOKUP(N1817,DATA!$K$4:$L$51,2,FALSE),"")</f>
        <v/>
      </c>
      <c r="P1817" s="80">
        <f t="shared" si="177"/>
        <v>0</v>
      </c>
      <c r="Q1817" s="154">
        <f t="shared" si="176"/>
        <v>0</v>
      </c>
    </row>
    <row r="1818" spans="2:17">
      <c r="B1818" s="627" t="str">
        <f t="shared" si="180"/>
        <v/>
      </c>
      <c r="C1818" s="429"/>
      <c r="D1818" s="815"/>
      <c r="E1818" s="807"/>
      <c r="F1818" s="629" t="str">
        <f>IFERROR(VLOOKUP(E1818,STAT1!$C$4:$D$1000,2,FALSE),"")</f>
        <v/>
      </c>
      <c r="G1818" s="811"/>
      <c r="H1818" s="811"/>
      <c r="I1818" s="580">
        <f t="shared" si="178"/>
        <v>0</v>
      </c>
      <c r="J1818" s="961">
        <f t="shared" si="179"/>
        <v>0</v>
      </c>
      <c r="K1818" s="80"/>
      <c r="L1818" s="807"/>
      <c r="M1818" s="80" t="str">
        <f>+IFERROR(VLOOKUP(L1818,DATA!$G$4:$H$2000,2,FALSE),"")</f>
        <v/>
      </c>
      <c r="N1818" s="807"/>
      <c r="O1818" s="80" t="str">
        <f>IFERROR(VLOOKUP(N1818,DATA!$K$4:$L$51,2,FALSE),"")</f>
        <v/>
      </c>
      <c r="P1818" s="80">
        <f t="shared" si="177"/>
        <v>0</v>
      </c>
      <c r="Q1818" s="154">
        <f t="shared" si="176"/>
        <v>0</v>
      </c>
    </row>
    <row r="1819" spans="2:17">
      <c r="B1819" s="627" t="str">
        <f t="shared" si="180"/>
        <v/>
      </c>
      <c r="C1819" s="582"/>
      <c r="D1819" s="815"/>
      <c r="E1819" s="630"/>
      <c r="F1819" s="629" t="str">
        <f>IFERROR(VLOOKUP(E1819,STAT1!$C$4:$D$1000,2,FALSE),"")</f>
        <v/>
      </c>
      <c r="G1819" s="376"/>
      <c r="H1819" s="376"/>
      <c r="I1819" s="580">
        <f t="shared" si="178"/>
        <v>0</v>
      </c>
      <c r="J1819" s="961">
        <f t="shared" si="179"/>
        <v>0</v>
      </c>
      <c r="K1819" s="80"/>
      <c r="L1819" s="630"/>
      <c r="M1819" s="80" t="str">
        <f>+IFERROR(VLOOKUP(L1819,DATA!$G$4:$H$2000,2,FALSE),"")</f>
        <v/>
      </c>
      <c r="N1819" s="630"/>
      <c r="O1819" s="80" t="str">
        <f>IFERROR(VLOOKUP(N1819,DATA!$K$4:$L$51,2,FALSE),"")</f>
        <v/>
      </c>
      <c r="P1819" s="80">
        <f t="shared" si="177"/>
        <v>0</v>
      </c>
      <c r="Q1819" s="154">
        <f t="shared" si="176"/>
        <v>0</v>
      </c>
    </row>
    <row r="1820" spans="2:17">
      <c r="B1820" s="627" t="str">
        <f t="shared" si="180"/>
        <v/>
      </c>
      <c r="C1820" s="582"/>
      <c r="D1820" s="815"/>
      <c r="E1820" s="630"/>
      <c r="F1820" s="629" t="str">
        <f>IFERROR(VLOOKUP(E1820,STAT1!$C$4:$D$1000,2,FALSE),"")</f>
        <v/>
      </c>
      <c r="G1820" s="376"/>
      <c r="H1820" s="376"/>
      <c r="I1820" s="580">
        <f t="shared" si="178"/>
        <v>0</v>
      </c>
      <c r="J1820" s="961">
        <f t="shared" si="179"/>
        <v>0</v>
      </c>
      <c r="K1820" s="80"/>
      <c r="L1820" s="630"/>
      <c r="M1820" s="80" t="str">
        <f>+IFERROR(VLOOKUP(L1820,DATA!$G$4:$H$2000,2,FALSE),"")</f>
        <v/>
      </c>
      <c r="N1820" s="630"/>
      <c r="O1820" s="80" t="str">
        <f>IFERROR(VLOOKUP(N1820,DATA!$K$4:$L$51,2,FALSE),"")</f>
        <v/>
      </c>
      <c r="P1820" s="80">
        <f t="shared" si="177"/>
        <v>0</v>
      </c>
      <c r="Q1820" s="154">
        <f t="shared" si="176"/>
        <v>0</v>
      </c>
    </row>
    <row r="1821" spans="2:17">
      <c r="B1821" s="627" t="str">
        <f t="shared" si="180"/>
        <v/>
      </c>
      <c r="C1821" s="582"/>
      <c r="D1821" s="815"/>
      <c r="E1821" s="630"/>
      <c r="F1821" s="629" t="str">
        <f>IFERROR(VLOOKUP(E1821,STAT1!$C$4:$D$1000,2,FALSE),"")</f>
        <v/>
      </c>
      <c r="G1821" s="376"/>
      <c r="H1821" s="376"/>
      <c r="I1821" s="580">
        <f t="shared" si="178"/>
        <v>0</v>
      </c>
      <c r="J1821" s="961">
        <f t="shared" si="179"/>
        <v>0</v>
      </c>
      <c r="K1821" s="80"/>
      <c r="L1821" s="630"/>
      <c r="M1821" s="80" t="str">
        <f>+IFERROR(VLOOKUP(L1821,DATA!$G$4:$H$2000,2,FALSE),"")</f>
        <v/>
      </c>
      <c r="N1821" s="630"/>
      <c r="O1821" s="80" t="str">
        <f>IFERROR(VLOOKUP(N1821,DATA!$K$4:$L$51,2,FALSE),"")</f>
        <v/>
      </c>
      <c r="P1821" s="80">
        <f t="shared" si="177"/>
        <v>0</v>
      </c>
      <c r="Q1821" s="154">
        <f t="shared" si="176"/>
        <v>0</v>
      </c>
    </row>
    <row r="1822" spans="2:17">
      <c r="B1822" s="627" t="str">
        <f t="shared" si="180"/>
        <v/>
      </c>
      <c r="C1822" s="582"/>
      <c r="D1822" s="815"/>
      <c r="E1822" s="630"/>
      <c r="F1822" s="629" t="str">
        <f>IFERROR(VLOOKUP(E1822,STAT1!$C$4:$D$1000,2,FALSE),"")</f>
        <v/>
      </c>
      <c r="G1822" s="376"/>
      <c r="H1822" s="376"/>
      <c r="I1822" s="580">
        <f t="shared" si="178"/>
        <v>0</v>
      </c>
      <c r="J1822" s="961">
        <f t="shared" si="179"/>
        <v>0</v>
      </c>
      <c r="K1822" s="80"/>
      <c r="L1822" s="630"/>
      <c r="M1822" s="80" t="str">
        <f>+IFERROR(VLOOKUP(L1822,DATA!$G$4:$H$2000,2,FALSE),"")</f>
        <v/>
      </c>
      <c r="N1822" s="630"/>
      <c r="O1822" s="80" t="str">
        <f>IFERROR(VLOOKUP(N1822,DATA!$K$4:$L$51,2,FALSE),"")</f>
        <v/>
      </c>
      <c r="P1822" s="80">
        <f t="shared" si="177"/>
        <v>0</v>
      </c>
      <c r="Q1822" s="154">
        <f t="shared" si="176"/>
        <v>0</v>
      </c>
    </row>
    <row r="1823" spans="2:17">
      <c r="B1823" s="627" t="str">
        <f t="shared" si="180"/>
        <v/>
      </c>
      <c r="C1823" s="582"/>
      <c r="D1823" s="816"/>
      <c r="E1823" s="630"/>
      <c r="F1823" s="629" t="str">
        <f>IFERROR(VLOOKUP(E1823,STAT1!$C$4:$D$1000,2,FALSE),"")</f>
        <v/>
      </c>
      <c r="G1823" s="376"/>
      <c r="H1823" s="376"/>
      <c r="I1823" s="580">
        <f t="shared" si="178"/>
        <v>0</v>
      </c>
      <c r="J1823" s="961">
        <f t="shared" si="179"/>
        <v>0</v>
      </c>
      <c r="K1823" s="80"/>
      <c r="L1823" s="630"/>
      <c r="M1823" s="80" t="str">
        <f>+IFERROR(VLOOKUP(L1823,DATA!$G$4:$H$2000,2,FALSE),"")</f>
        <v/>
      </c>
      <c r="N1823" s="630"/>
      <c r="O1823" s="80" t="str">
        <f>IFERROR(VLOOKUP(N1823,DATA!$K$4:$L$51,2,FALSE),"")</f>
        <v/>
      </c>
      <c r="P1823" s="80">
        <f t="shared" si="177"/>
        <v>0</v>
      </c>
      <c r="Q1823" s="154">
        <f t="shared" ref="Q1823:Q1884" si="181">+IF(I1823,1,0)</f>
        <v>0</v>
      </c>
    </row>
    <row r="1824" spans="2:17">
      <c r="B1824" s="627" t="str">
        <f t="shared" si="180"/>
        <v/>
      </c>
      <c r="C1824" s="429"/>
      <c r="D1824" s="816"/>
      <c r="E1824" s="807"/>
      <c r="F1824" s="629" t="str">
        <f>IFERROR(VLOOKUP(E1824,STAT1!$C$4:$D$1000,2,FALSE),"")</f>
        <v/>
      </c>
      <c r="G1824" s="811"/>
      <c r="H1824" s="811"/>
      <c r="I1824" s="580">
        <f t="shared" si="178"/>
        <v>0</v>
      </c>
      <c r="J1824" s="961">
        <f t="shared" si="179"/>
        <v>0</v>
      </c>
      <c r="K1824" s="80"/>
      <c r="L1824" s="807"/>
      <c r="M1824" s="80" t="str">
        <f>+IFERROR(VLOOKUP(L1824,DATA!$G$4:$H$2000,2,FALSE),"")</f>
        <v/>
      </c>
      <c r="N1824" s="807"/>
      <c r="O1824" s="80" t="str">
        <f>IFERROR(VLOOKUP(N1824,DATA!$K$4:$L$51,2,FALSE),"")</f>
        <v/>
      </c>
      <c r="P1824" s="80">
        <f t="shared" si="177"/>
        <v>0</v>
      </c>
      <c r="Q1824" s="154">
        <f t="shared" si="181"/>
        <v>0</v>
      </c>
    </row>
    <row r="1825" spans="2:17">
      <c r="B1825" s="627" t="str">
        <f t="shared" si="180"/>
        <v/>
      </c>
      <c r="C1825" s="429"/>
      <c r="D1825" s="816"/>
      <c r="E1825" s="807"/>
      <c r="F1825" s="629" t="str">
        <f>IFERROR(VLOOKUP(E1825,STAT1!$C$4:$D$1000,2,FALSE),"")</f>
        <v/>
      </c>
      <c r="G1825" s="811"/>
      <c r="H1825" s="811"/>
      <c r="I1825" s="580">
        <f t="shared" si="178"/>
        <v>0</v>
      </c>
      <c r="J1825" s="961">
        <f t="shared" si="179"/>
        <v>0</v>
      </c>
      <c r="K1825" s="80"/>
      <c r="L1825" s="807"/>
      <c r="M1825" s="80" t="str">
        <f>+IFERROR(VLOOKUP(L1825,DATA!$G$4:$H$2000,2,FALSE),"")</f>
        <v/>
      </c>
      <c r="N1825" s="807"/>
      <c r="O1825" s="80" t="str">
        <f>IFERROR(VLOOKUP(N1825,DATA!$K$4:$L$51,2,FALSE),"")</f>
        <v/>
      </c>
      <c r="P1825" s="80">
        <f t="shared" si="177"/>
        <v>0</v>
      </c>
      <c r="Q1825" s="154">
        <f t="shared" si="181"/>
        <v>0</v>
      </c>
    </row>
    <row r="1826" spans="2:17">
      <c r="B1826" s="627" t="str">
        <f t="shared" si="180"/>
        <v/>
      </c>
      <c r="C1826" s="429"/>
      <c r="D1826" s="816"/>
      <c r="E1826" s="807"/>
      <c r="F1826" s="629" t="str">
        <f>IFERROR(VLOOKUP(E1826,STAT1!$C$4:$D$1000,2,FALSE),"")</f>
        <v/>
      </c>
      <c r="G1826" s="811"/>
      <c r="H1826" s="811"/>
      <c r="I1826" s="580">
        <f t="shared" si="178"/>
        <v>0</v>
      </c>
      <c r="J1826" s="961">
        <f t="shared" si="179"/>
        <v>0</v>
      </c>
      <c r="K1826" s="80"/>
      <c r="L1826" s="807"/>
      <c r="M1826" s="80" t="str">
        <f>+IFERROR(VLOOKUP(L1826,DATA!$G$4:$H$2000,2,FALSE),"")</f>
        <v/>
      </c>
      <c r="N1826" s="807"/>
      <c r="O1826" s="80" t="str">
        <f>IFERROR(VLOOKUP(N1826,DATA!$K$4:$L$51,2,FALSE),"")</f>
        <v/>
      </c>
      <c r="P1826" s="80">
        <f t="shared" si="177"/>
        <v>0</v>
      </c>
      <c r="Q1826" s="154">
        <f t="shared" si="181"/>
        <v>0</v>
      </c>
    </row>
    <row r="1827" spans="2:17">
      <c r="B1827" s="627" t="str">
        <f t="shared" si="180"/>
        <v/>
      </c>
      <c r="C1827" s="429"/>
      <c r="D1827" s="816"/>
      <c r="E1827" s="807"/>
      <c r="F1827" s="629" t="str">
        <f>IFERROR(VLOOKUP(E1827,STAT1!$C$4:$D$1000,2,FALSE),"")</f>
        <v/>
      </c>
      <c r="G1827" s="811"/>
      <c r="H1827" s="811"/>
      <c r="I1827" s="580">
        <f t="shared" si="178"/>
        <v>0</v>
      </c>
      <c r="J1827" s="961">
        <f t="shared" si="179"/>
        <v>0</v>
      </c>
      <c r="K1827" s="80"/>
      <c r="L1827" s="807"/>
      <c r="M1827" s="80" t="str">
        <f>+IFERROR(VLOOKUP(L1827,DATA!$G$4:$H$2000,2,FALSE),"")</f>
        <v/>
      </c>
      <c r="N1827" s="807"/>
      <c r="O1827" s="80" t="str">
        <f>IFERROR(VLOOKUP(N1827,DATA!$K$4:$L$51,2,FALSE),"")</f>
        <v/>
      </c>
      <c r="P1827" s="80">
        <f t="shared" si="177"/>
        <v>0</v>
      </c>
      <c r="Q1827" s="154">
        <f t="shared" si="181"/>
        <v>0</v>
      </c>
    </row>
    <row r="1828" spans="2:17">
      <c r="B1828" s="627" t="str">
        <f t="shared" si="180"/>
        <v/>
      </c>
      <c r="C1828" s="429"/>
      <c r="D1828" s="816"/>
      <c r="E1828" s="807"/>
      <c r="F1828" s="629" t="str">
        <f>IFERROR(VLOOKUP(E1828,STAT1!$C$4:$D$1000,2,FALSE),"")</f>
        <v/>
      </c>
      <c r="G1828" s="811"/>
      <c r="H1828" s="811"/>
      <c r="I1828" s="580">
        <f t="shared" si="178"/>
        <v>0</v>
      </c>
      <c r="J1828" s="961">
        <f t="shared" si="179"/>
        <v>0</v>
      </c>
      <c r="K1828" s="80"/>
      <c r="L1828" s="807"/>
      <c r="M1828" s="80" t="str">
        <f>+IFERROR(VLOOKUP(L1828,DATA!$G$4:$H$2000,2,FALSE),"")</f>
        <v/>
      </c>
      <c r="N1828" s="807"/>
      <c r="O1828" s="80" t="str">
        <f>IFERROR(VLOOKUP(N1828,DATA!$K$4:$L$51,2,FALSE),"")</f>
        <v/>
      </c>
      <c r="P1828" s="80">
        <f t="shared" si="177"/>
        <v>0</v>
      </c>
      <c r="Q1828" s="154">
        <f t="shared" si="181"/>
        <v>0</v>
      </c>
    </row>
    <row r="1829" spans="2:17">
      <c r="B1829" s="627" t="str">
        <f t="shared" si="180"/>
        <v/>
      </c>
      <c r="C1829" s="429"/>
      <c r="D1829" s="816"/>
      <c r="E1829" s="807"/>
      <c r="F1829" s="629" t="str">
        <f>IFERROR(VLOOKUP(E1829,STAT1!$C$4:$D$1000,2,FALSE),"")</f>
        <v/>
      </c>
      <c r="G1829" s="811"/>
      <c r="H1829" s="811"/>
      <c r="I1829" s="580">
        <f t="shared" si="178"/>
        <v>0</v>
      </c>
      <c r="J1829" s="961">
        <f t="shared" si="179"/>
        <v>0</v>
      </c>
      <c r="K1829" s="80"/>
      <c r="L1829" s="807"/>
      <c r="M1829" s="80" t="str">
        <f>+IFERROR(VLOOKUP(L1829,DATA!$G$4:$H$2000,2,FALSE),"")</f>
        <v/>
      </c>
      <c r="N1829" s="807"/>
      <c r="O1829" s="80" t="str">
        <f>IFERROR(VLOOKUP(N1829,DATA!$K$4:$L$51,2,FALSE),"")</f>
        <v/>
      </c>
      <c r="P1829" s="80">
        <f t="shared" si="177"/>
        <v>0</v>
      </c>
      <c r="Q1829" s="154">
        <f t="shared" si="181"/>
        <v>0</v>
      </c>
    </row>
    <row r="1830" spans="2:17">
      <c r="B1830" s="627" t="str">
        <f t="shared" si="180"/>
        <v/>
      </c>
      <c r="C1830" s="429"/>
      <c r="D1830" s="816"/>
      <c r="E1830" s="807"/>
      <c r="F1830" s="629" t="str">
        <f>IFERROR(VLOOKUP(E1830,STAT1!$C$4:$D$1000,2,FALSE),"")</f>
        <v/>
      </c>
      <c r="G1830" s="811"/>
      <c r="H1830" s="811"/>
      <c r="I1830" s="580">
        <f t="shared" si="178"/>
        <v>0</v>
      </c>
      <c r="J1830" s="961">
        <f t="shared" si="179"/>
        <v>0</v>
      </c>
      <c r="K1830" s="80"/>
      <c r="L1830" s="807"/>
      <c r="M1830" s="80" t="str">
        <f>+IFERROR(VLOOKUP(L1830,DATA!$G$4:$H$2000,2,FALSE),"")</f>
        <v/>
      </c>
      <c r="N1830" s="807"/>
      <c r="O1830" s="80" t="str">
        <f>IFERROR(VLOOKUP(N1830,DATA!$K$4:$L$51,2,FALSE),"")</f>
        <v/>
      </c>
      <c r="P1830" s="80">
        <f t="shared" si="177"/>
        <v>0</v>
      </c>
      <c r="Q1830" s="154">
        <f t="shared" si="181"/>
        <v>0</v>
      </c>
    </row>
    <row r="1831" spans="2:17">
      <c r="B1831" s="627" t="str">
        <f t="shared" si="180"/>
        <v/>
      </c>
      <c r="C1831" s="429"/>
      <c r="D1831" s="816"/>
      <c r="E1831" s="807"/>
      <c r="F1831" s="629" t="str">
        <f>IFERROR(VLOOKUP(E1831,STAT1!$C$4:$D$1000,2,FALSE),"")</f>
        <v/>
      </c>
      <c r="G1831" s="811"/>
      <c r="H1831" s="811"/>
      <c r="I1831" s="580">
        <f t="shared" si="178"/>
        <v>0</v>
      </c>
      <c r="J1831" s="961">
        <f t="shared" si="179"/>
        <v>0</v>
      </c>
      <c r="K1831" s="80"/>
      <c r="L1831" s="807"/>
      <c r="M1831" s="80" t="str">
        <f>+IFERROR(VLOOKUP(L1831,DATA!$G$4:$H$2000,2,FALSE),"")</f>
        <v/>
      </c>
      <c r="N1831" s="807"/>
      <c r="O1831" s="80" t="str">
        <f>IFERROR(VLOOKUP(N1831,DATA!$K$4:$L$51,2,FALSE),"")</f>
        <v/>
      </c>
      <c r="P1831" s="80">
        <f t="shared" si="177"/>
        <v>0</v>
      </c>
      <c r="Q1831" s="154">
        <f t="shared" si="181"/>
        <v>0</v>
      </c>
    </row>
    <row r="1832" spans="2:17">
      <c r="B1832" s="627" t="str">
        <f t="shared" si="180"/>
        <v/>
      </c>
      <c r="C1832" s="429"/>
      <c r="D1832" s="815"/>
      <c r="E1832" s="807"/>
      <c r="F1832" s="629" t="str">
        <f>IFERROR(VLOOKUP(E1832,STAT1!$C$4:$D$1000,2,FALSE),"")</f>
        <v/>
      </c>
      <c r="G1832" s="811"/>
      <c r="H1832" s="811"/>
      <c r="I1832" s="580">
        <f t="shared" si="178"/>
        <v>0</v>
      </c>
      <c r="J1832" s="961">
        <f t="shared" si="179"/>
        <v>0</v>
      </c>
      <c r="K1832" s="80"/>
      <c r="L1832" s="807"/>
      <c r="M1832" s="80" t="str">
        <f>+IFERROR(VLOOKUP(L1832,DATA!$G$4:$H$2000,2,FALSE),"")</f>
        <v/>
      </c>
      <c r="N1832" s="807"/>
      <c r="O1832" s="80" t="str">
        <f>IFERROR(VLOOKUP(N1832,DATA!$K$4:$L$51,2,FALSE),"")</f>
        <v/>
      </c>
      <c r="P1832" s="80">
        <f t="shared" si="177"/>
        <v>0</v>
      </c>
      <c r="Q1832" s="154">
        <f t="shared" si="181"/>
        <v>0</v>
      </c>
    </row>
    <row r="1833" spans="2:17">
      <c r="B1833" s="627" t="str">
        <f t="shared" si="180"/>
        <v/>
      </c>
      <c r="C1833" s="582"/>
      <c r="D1833" s="815"/>
      <c r="E1833" s="630"/>
      <c r="F1833" s="629" t="str">
        <f>IFERROR(VLOOKUP(E1833,STAT1!$C$4:$D$1000,2,FALSE),"")</f>
        <v/>
      </c>
      <c r="G1833" s="376"/>
      <c r="H1833" s="376"/>
      <c r="I1833" s="580">
        <f t="shared" si="178"/>
        <v>0</v>
      </c>
      <c r="J1833" s="961">
        <f t="shared" si="179"/>
        <v>0</v>
      </c>
      <c r="K1833" s="80"/>
      <c r="L1833" s="630"/>
      <c r="M1833" s="80" t="str">
        <f>+IFERROR(VLOOKUP(L1833,DATA!$G$4:$H$2000,2,FALSE),"")</f>
        <v/>
      </c>
      <c r="N1833" s="630"/>
      <c r="O1833" s="80" t="str">
        <f>IFERROR(VLOOKUP(N1833,DATA!$K$4:$L$51,2,FALSE),"")</f>
        <v/>
      </c>
      <c r="P1833" s="80">
        <f t="shared" si="177"/>
        <v>0</v>
      </c>
      <c r="Q1833" s="154">
        <f t="shared" si="181"/>
        <v>0</v>
      </c>
    </row>
    <row r="1834" spans="2:17">
      <c r="B1834" s="627" t="str">
        <f t="shared" si="180"/>
        <v/>
      </c>
      <c r="C1834" s="582"/>
      <c r="D1834" s="815"/>
      <c r="E1834" s="630"/>
      <c r="F1834" s="629" t="str">
        <f>IFERROR(VLOOKUP(E1834,STAT1!$C$4:$D$1000,2,FALSE),"")</f>
        <v/>
      </c>
      <c r="G1834" s="376"/>
      <c r="H1834" s="376"/>
      <c r="I1834" s="580">
        <f t="shared" si="178"/>
        <v>0</v>
      </c>
      <c r="J1834" s="961">
        <f t="shared" si="179"/>
        <v>0</v>
      </c>
      <c r="K1834" s="80"/>
      <c r="L1834" s="630"/>
      <c r="M1834" s="80" t="str">
        <f>+IFERROR(VLOOKUP(L1834,DATA!$G$4:$H$2000,2,FALSE),"")</f>
        <v/>
      </c>
      <c r="N1834" s="630"/>
      <c r="O1834" s="80" t="str">
        <f>IFERROR(VLOOKUP(N1834,DATA!$K$4:$L$51,2,FALSE),"")</f>
        <v/>
      </c>
      <c r="P1834" s="80">
        <f t="shared" si="177"/>
        <v>0</v>
      </c>
      <c r="Q1834" s="154">
        <f t="shared" si="181"/>
        <v>0</v>
      </c>
    </row>
    <row r="1835" spans="2:17">
      <c r="B1835" s="627" t="str">
        <f t="shared" si="180"/>
        <v/>
      </c>
      <c r="C1835" s="582"/>
      <c r="D1835" s="815"/>
      <c r="E1835" s="630"/>
      <c r="F1835" s="629" t="str">
        <f>IFERROR(VLOOKUP(E1835,STAT1!$C$4:$D$1000,2,FALSE),"")</f>
        <v/>
      </c>
      <c r="G1835" s="376"/>
      <c r="H1835" s="376"/>
      <c r="I1835" s="580">
        <f t="shared" si="178"/>
        <v>0</v>
      </c>
      <c r="J1835" s="961">
        <f t="shared" si="179"/>
        <v>0</v>
      </c>
      <c r="K1835" s="80"/>
      <c r="L1835" s="630"/>
      <c r="M1835" s="80" t="str">
        <f>+IFERROR(VLOOKUP(L1835,DATA!$G$4:$H$2000,2,FALSE),"")</f>
        <v/>
      </c>
      <c r="N1835" s="630"/>
      <c r="O1835" s="80" t="str">
        <f>IFERROR(VLOOKUP(N1835,DATA!$K$4:$L$51,2,FALSE),"")</f>
        <v/>
      </c>
      <c r="P1835" s="80">
        <f t="shared" si="177"/>
        <v>0</v>
      </c>
      <c r="Q1835" s="154">
        <f t="shared" si="181"/>
        <v>0</v>
      </c>
    </row>
    <row r="1836" spans="2:17">
      <c r="B1836" s="627" t="str">
        <f t="shared" si="180"/>
        <v/>
      </c>
      <c r="C1836" s="582"/>
      <c r="D1836" s="815"/>
      <c r="E1836" s="630"/>
      <c r="F1836" s="629" t="str">
        <f>IFERROR(VLOOKUP(E1836,STAT1!$C$4:$D$1000,2,FALSE),"")</f>
        <v/>
      </c>
      <c r="G1836" s="376"/>
      <c r="H1836" s="376"/>
      <c r="I1836" s="580">
        <f t="shared" si="178"/>
        <v>0</v>
      </c>
      <c r="J1836" s="961">
        <f t="shared" si="179"/>
        <v>0</v>
      </c>
      <c r="K1836" s="80"/>
      <c r="L1836" s="630"/>
      <c r="M1836" s="80" t="str">
        <f>+IFERROR(VLOOKUP(L1836,DATA!$G$4:$H$2000,2,FALSE),"")</f>
        <v/>
      </c>
      <c r="N1836" s="630"/>
      <c r="O1836" s="80" t="str">
        <f>IFERROR(VLOOKUP(N1836,DATA!$K$4:$L$51,2,FALSE),"")</f>
        <v/>
      </c>
      <c r="P1836" s="80">
        <f t="shared" si="177"/>
        <v>0</v>
      </c>
      <c r="Q1836" s="154">
        <f t="shared" si="181"/>
        <v>0</v>
      </c>
    </row>
    <row r="1837" spans="2:17">
      <c r="B1837" s="627" t="str">
        <f t="shared" si="180"/>
        <v/>
      </c>
      <c r="C1837" s="582"/>
      <c r="D1837" s="815"/>
      <c r="E1837" s="630"/>
      <c r="F1837" s="629" t="str">
        <f>IFERROR(VLOOKUP(E1837,STAT1!$C$4:$D$1000,2,FALSE),"")</f>
        <v/>
      </c>
      <c r="G1837" s="376"/>
      <c r="H1837" s="376"/>
      <c r="I1837" s="580">
        <f t="shared" si="178"/>
        <v>0</v>
      </c>
      <c r="J1837" s="961">
        <f t="shared" si="179"/>
        <v>0</v>
      </c>
      <c r="K1837" s="80"/>
      <c r="L1837" s="630"/>
      <c r="M1837" s="80" t="str">
        <f>+IFERROR(VLOOKUP(L1837,DATA!$G$4:$H$2000,2,FALSE),"")</f>
        <v/>
      </c>
      <c r="N1837" s="630"/>
      <c r="O1837" s="80" t="str">
        <f>IFERROR(VLOOKUP(N1837,DATA!$K$4:$L$51,2,FALSE),"")</f>
        <v/>
      </c>
      <c r="P1837" s="80">
        <f t="shared" si="177"/>
        <v>0</v>
      </c>
      <c r="Q1837" s="154">
        <f t="shared" si="181"/>
        <v>0</v>
      </c>
    </row>
    <row r="1838" spans="2:17">
      <c r="B1838" s="627" t="str">
        <f t="shared" si="180"/>
        <v/>
      </c>
      <c r="C1838" s="582"/>
      <c r="D1838" s="815"/>
      <c r="E1838" s="630"/>
      <c r="F1838" s="629" t="str">
        <f>IFERROR(VLOOKUP(E1838,STAT1!$C$4:$D$1000,2,FALSE),"")</f>
        <v/>
      </c>
      <c r="G1838" s="376"/>
      <c r="H1838" s="376"/>
      <c r="I1838" s="580">
        <f t="shared" si="178"/>
        <v>0</v>
      </c>
      <c r="J1838" s="961">
        <f t="shared" si="179"/>
        <v>0</v>
      </c>
      <c r="K1838" s="80"/>
      <c r="L1838" s="630"/>
      <c r="M1838" s="80" t="str">
        <f>+IFERROR(VLOOKUP(L1838,DATA!$G$4:$H$2000,2,FALSE),"")</f>
        <v/>
      </c>
      <c r="N1838" s="630"/>
      <c r="O1838" s="80" t="str">
        <f>IFERROR(VLOOKUP(N1838,DATA!$K$4:$L$51,2,FALSE),"")</f>
        <v/>
      </c>
      <c r="P1838" s="80">
        <f t="shared" si="177"/>
        <v>0</v>
      </c>
      <c r="Q1838" s="154">
        <f t="shared" si="181"/>
        <v>0</v>
      </c>
    </row>
    <row r="1839" spans="2:17">
      <c r="B1839" s="627" t="str">
        <f t="shared" si="180"/>
        <v/>
      </c>
      <c r="C1839" s="582"/>
      <c r="D1839" s="815"/>
      <c r="E1839" s="630"/>
      <c r="F1839" s="629" t="str">
        <f>IFERROR(VLOOKUP(E1839,STAT1!$C$4:$D$1000,2,FALSE),"")</f>
        <v/>
      </c>
      <c r="G1839" s="376"/>
      <c r="H1839" s="376"/>
      <c r="I1839" s="580">
        <f t="shared" si="178"/>
        <v>0</v>
      </c>
      <c r="J1839" s="961">
        <f t="shared" si="179"/>
        <v>0</v>
      </c>
      <c r="K1839" s="80"/>
      <c r="L1839" s="630"/>
      <c r="M1839" s="80" t="str">
        <f>+IFERROR(VLOOKUP(L1839,DATA!$G$4:$H$2000,2,FALSE),"")</f>
        <v/>
      </c>
      <c r="N1839" s="630"/>
      <c r="O1839" s="80" t="str">
        <f>IFERROR(VLOOKUP(N1839,DATA!$K$4:$L$51,2,FALSE),"")</f>
        <v/>
      </c>
      <c r="P1839" s="80">
        <f t="shared" si="177"/>
        <v>0</v>
      </c>
      <c r="Q1839" s="154">
        <f t="shared" si="181"/>
        <v>0</v>
      </c>
    </row>
    <row r="1840" spans="2:17">
      <c r="B1840" s="627" t="str">
        <f t="shared" si="180"/>
        <v/>
      </c>
      <c r="C1840" s="582"/>
      <c r="D1840" s="815"/>
      <c r="E1840" s="630"/>
      <c r="F1840" s="629" t="str">
        <f>IFERROR(VLOOKUP(E1840,STAT1!$C$4:$D$1000,2,FALSE),"")</f>
        <v/>
      </c>
      <c r="G1840" s="376"/>
      <c r="H1840" s="376"/>
      <c r="I1840" s="580">
        <f t="shared" si="178"/>
        <v>0</v>
      </c>
      <c r="J1840" s="961">
        <f t="shared" si="179"/>
        <v>0</v>
      </c>
      <c r="K1840" s="80"/>
      <c r="L1840" s="630"/>
      <c r="M1840" s="80" t="str">
        <f>+IFERROR(VLOOKUP(L1840,DATA!$G$4:$H$2000,2,FALSE),"")</f>
        <v/>
      </c>
      <c r="N1840" s="630"/>
      <c r="O1840" s="80" t="str">
        <f>IFERROR(VLOOKUP(N1840,DATA!$K$4:$L$51,2,FALSE),"")</f>
        <v/>
      </c>
      <c r="P1840" s="80">
        <f t="shared" si="177"/>
        <v>0</v>
      </c>
      <c r="Q1840" s="154">
        <f t="shared" si="181"/>
        <v>0</v>
      </c>
    </row>
    <row r="1841" spans="2:17">
      <c r="B1841" s="627" t="str">
        <f t="shared" si="180"/>
        <v/>
      </c>
      <c r="C1841" s="582"/>
      <c r="D1841" s="815"/>
      <c r="E1841" s="630"/>
      <c r="F1841" s="629" t="str">
        <f>IFERROR(VLOOKUP(E1841,STAT1!$C$4:$D$1000,2,FALSE),"")</f>
        <v/>
      </c>
      <c r="G1841" s="376"/>
      <c r="H1841" s="376"/>
      <c r="I1841" s="580">
        <f t="shared" si="178"/>
        <v>0</v>
      </c>
      <c r="J1841" s="961">
        <f t="shared" si="179"/>
        <v>0</v>
      </c>
      <c r="K1841" s="80"/>
      <c r="L1841" s="630"/>
      <c r="M1841" s="80" t="str">
        <f>+IFERROR(VLOOKUP(L1841,DATA!$G$4:$H$2000,2,FALSE),"")</f>
        <v/>
      </c>
      <c r="N1841" s="630"/>
      <c r="O1841" s="80" t="str">
        <f>IFERROR(VLOOKUP(N1841,DATA!$K$4:$L$51,2,FALSE),"")</f>
        <v/>
      </c>
      <c r="P1841" s="80">
        <f t="shared" si="177"/>
        <v>0</v>
      </c>
      <c r="Q1841" s="154">
        <f t="shared" si="181"/>
        <v>0</v>
      </c>
    </row>
    <row r="1842" spans="2:17">
      <c r="B1842" s="627" t="str">
        <f t="shared" si="180"/>
        <v/>
      </c>
      <c r="C1842" s="582"/>
      <c r="D1842" s="816"/>
      <c r="E1842" s="630"/>
      <c r="F1842" s="629" t="str">
        <f>IFERROR(VLOOKUP(E1842,STAT1!$C$4:$D$1000,2,FALSE),"")</f>
        <v/>
      </c>
      <c r="G1842" s="376"/>
      <c r="H1842" s="376"/>
      <c r="I1842" s="580">
        <f t="shared" si="178"/>
        <v>0</v>
      </c>
      <c r="J1842" s="961">
        <f t="shared" si="179"/>
        <v>0</v>
      </c>
      <c r="K1842" s="80"/>
      <c r="L1842" s="630"/>
      <c r="M1842" s="80" t="str">
        <f>+IFERROR(VLOOKUP(L1842,DATA!$G$4:$H$2000,2,FALSE),"")</f>
        <v/>
      </c>
      <c r="N1842" s="630"/>
      <c r="O1842" s="80" t="str">
        <f>IFERROR(VLOOKUP(N1842,DATA!$K$4:$L$51,2,FALSE),"")</f>
        <v/>
      </c>
      <c r="P1842" s="80">
        <f t="shared" si="177"/>
        <v>0</v>
      </c>
      <c r="Q1842" s="154">
        <f t="shared" si="181"/>
        <v>0</v>
      </c>
    </row>
    <row r="1843" spans="2:17">
      <c r="B1843" s="627" t="str">
        <f t="shared" si="180"/>
        <v/>
      </c>
      <c r="C1843" s="429"/>
      <c r="D1843" s="816"/>
      <c r="E1843" s="807"/>
      <c r="F1843" s="629" t="str">
        <f>IFERROR(VLOOKUP(E1843,STAT1!$C$4:$D$1000,2,FALSE),"")</f>
        <v/>
      </c>
      <c r="G1843" s="811"/>
      <c r="H1843" s="811"/>
      <c r="I1843" s="580">
        <f t="shared" si="178"/>
        <v>0</v>
      </c>
      <c r="J1843" s="961">
        <f t="shared" si="179"/>
        <v>0</v>
      </c>
      <c r="K1843" s="80"/>
      <c r="L1843" s="807"/>
      <c r="M1843" s="80" t="str">
        <f>+IFERROR(VLOOKUP(L1843,DATA!$G$4:$H$2000,2,FALSE),"")</f>
        <v/>
      </c>
      <c r="N1843" s="807"/>
      <c r="O1843" s="80" t="str">
        <f>IFERROR(VLOOKUP(N1843,DATA!$K$4:$L$51,2,FALSE),"")</f>
        <v/>
      </c>
      <c r="P1843" s="80">
        <f t="shared" si="177"/>
        <v>0</v>
      </c>
      <c r="Q1843" s="154">
        <f t="shared" si="181"/>
        <v>0</v>
      </c>
    </row>
    <row r="1844" spans="2:17">
      <c r="B1844" s="627" t="str">
        <f t="shared" si="180"/>
        <v/>
      </c>
      <c r="C1844" s="429"/>
      <c r="D1844" s="816"/>
      <c r="E1844" s="807"/>
      <c r="F1844" s="629" t="str">
        <f>IFERROR(VLOOKUP(E1844,STAT1!$C$4:$D$1000,2,FALSE),"")</f>
        <v/>
      </c>
      <c r="G1844" s="811"/>
      <c r="H1844" s="811"/>
      <c r="I1844" s="580">
        <f t="shared" si="178"/>
        <v>0</v>
      </c>
      <c r="J1844" s="961">
        <f t="shared" si="179"/>
        <v>0</v>
      </c>
      <c r="K1844" s="80"/>
      <c r="L1844" s="807"/>
      <c r="M1844" s="80" t="str">
        <f>+IFERROR(VLOOKUP(L1844,DATA!$G$4:$H$2000,2,FALSE),"")</f>
        <v/>
      </c>
      <c r="N1844" s="807"/>
      <c r="O1844" s="80" t="str">
        <f>IFERROR(VLOOKUP(N1844,DATA!$K$4:$L$51,2,FALSE),"")</f>
        <v/>
      </c>
      <c r="P1844" s="80">
        <f t="shared" si="177"/>
        <v>0</v>
      </c>
      <c r="Q1844" s="154">
        <f t="shared" si="181"/>
        <v>0</v>
      </c>
    </row>
    <row r="1845" spans="2:17">
      <c r="B1845" s="627" t="str">
        <f t="shared" si="180"/>
        <v/>
      </c>
      <c r="C1845" s="429"/>
      <c r="D1845" s="816"/>
      <c r="E1845" s="807"/>
      <c r="F1845" s="629" t="str">
        <f>IFERROR(VLOOKUP(E1845,STAT1!$C$4:$D$1000,2,FALSE),"")</f>
        <v/>
      </c>
      <c r="G1845" s="811"/>
      <c r="H1845" s="811"/>
      <c r="I1845" s="580">
        <f t="shared" si="178"/>
        <v>0</v>
      </c>
      <c r="J1845" s="961">
        <f t="shared" si="179"/>
        <v>0</v>
      </c>
      <c r="K1845" s="80"/>
      <c r="L1845" s="807"/>
      <c r="M1845" s="80" t="str">
        <f>+IFERROR(VLOOKUP(L1845,DATA!$G$4:$H$2000,2,FALSE),"")</f>
        <v/>
      </c>
      <c r="N1845" s="807"/>
      <c r="O1845" s="80" t="str">
        <f>IFERROR(VLOOKUP(N1845,DATA!$K$4:$L$51,2,FALSE),"")</f>
        <v/>
      </c>
      <c r="P1845" s="80">
        <f t="shared" si="177"/>
        <v>0</v>
      </c>
      <c r="Q1845" s="154">
        <f t="shared" si="181"/>
        <v>0</v>
      </c>
    </row>
    <row r="1846" spans="2:17">
      <c r="B1846" s="627" t="str">
        <f t="shared" si="180"/>
        <v/>
      </c>
      <c r="C1846" s="429"/>
      <c r="D1846" s="816"/>
      <c r="E1846" s="807"/>
      <c r="F1846" s="629" t="str">
        <f>IFERROR(VLOOKUP(E1846,STAT1!$C$4:$D$1000,2,FALSE),"")</f>
        <v/>
      </c>
      <c r="G1846" s="811"/>
      <c r="H1846" s="811"/>
      <c r="I1846" s="580">
        <f t="shared" si="178"/>
        <v>0</v>
      </c>
      <c r="J1846" s="961">
        <f t="shared" si="179"/>
        <v>0</v>
      </c>
      <c r="K1846" s="80"/>
      <c r="L1846" s="807"/>
      <c r="M1846" s="80" t="str">
        <f>+IFERROR(VLOOKUP(L1846,DATA!$G$4:$H$2000,2,FALSE),"")</f>
        <v/>
      </c>
      <c r="N1846" s="807"/>
      <c r="O1846" s="80" t="str">
        <f>IFERROR(VLOOKUP(N1846,DATA!$K$4:$L$51,2,FALSE),"")</f>
        <v/>
      </c>
      <c r="P1846" s="80">
        <f t="shared" si="177"/>
        <v>0</v>
      </c>
      <c r="Q1846" s="154">
        <f t="shared" si="181"/>
        <v>0</v>
      </c>
    </row>
    <row r="1847" spans="2:17">
      <c r="B1847" s="627" t="str">
        <f t="shared" si="180"/>
        <v/>
      </c>
      <c r="C1847" s="429"/>
      <c r="D1847" s="816"/>
      <c r="E1847" s="807"/>
      <c r="F1847" s="629" t="str">
        <f>IFERROR(VLOOKUP(E1847,STAT1!$C$4:$D$1000,2,FALSE),"")</f>
        <v/>
      </c>
      <c r="G1847" s="811"/>
      <c r="H1847" s="811"/>
      <c r="I1847" s="580">
        <f t="shared" si="178"/>
        <v>0</v>
      </c>
      <c r="J1847" s="961">
        <f t="shared" si="179"/>
        <v>0</v>
      </c>
      <c r="K1847" s="80"/>
      <c r="L1847" s="807"/>
      <c r="M1847" s="80" t="str">
        <f>+IFERROR(VLOOKUP(L1847,DATA!$G$4:$H$2000,2,FALSE),"")</f>
        <v/>
      </c>
      <c r="N1847" s="807"/>
      <c r="O1847" s="80" t="str">
        <f>IFERROR(VLOOKUP(N1847,DATA!$K$4:$L$51,2,FALSE),"")</f>
        <v/>
      </c>
      <c r="P1847" s="80">
        <f t="shared" si="177"/>
        <v>0</v>
      </c>
      <c r="Q1847" s="154">
        <f t="shared" si="181"/>
        <v>0</v>
      </c>
    </row>
    <row r="1848" spans="2:17">
      <c r="B1848" s="627" t="str">
        <f t="shared" si="180"/>
        <v/>
      </c>
      <c r="C1848" s="429"/>
      <c r="D1848" s="816"/>
      <c r="E1848" s="807"/>
      <c r="F1848" s="629" t="str">
        <f>IFERROR(VLOOKUP(E1848,STAT1!$C$4:$D$1000,2,FALSE),"")</f>
        <v/>
      </c>
      <c r="G1848" s="811"/>
      <c r="H1848" s="811"/>
      <c r="I1848" s="580">
        <f t="shared" si="178"/>
        <v>0</v>
      </c>
      <c r="J1848" s="961">
        <f t="shared" si="179"/>
        <v>0</v>
      </c>
      <c r="K1848" s="80"/>
      <c r="L1848" s="807"/>
      <c r="M1848" s="80" t="str">
        <f>+IFERROR(VLOOKUP(L1848,DATA!$G$4:$H$2000,2,FALSE),"")</f>
        <v/>
      </c>
      <c r="N1848" s="807"/>
      <c r="O1848" s="80" t="str">
        <f>IFERROR(VLOOKUP(N1848,DATA!$K$4:$L$51,2,FALSE),"")</f>
        <v/>
      </c>
      <c r="P1848" s="80">
        <f t="shared" si="177"/>
        <v>0</v>
      </c>
      <c r="Q1848" s="154">
        <f t="shared" si="181"/>
        <v>0</v>
      </c>
    </row>
    <row r="1849" spans="2:17">
      <c r="B1849" s="627" t="str">
        <f t="shared" si="180"/>
        <v/>
      </c>
      <c r="C1849" s="429"/>
      <c r="D1849" s="816"/>
      <c r="E1849" s="807"/>
      <c r="F1849" s="629" t="str">
        <f>IFERROR(VLOOKUP(E1849,STAT1!$C$4:$D$1000,2,FALSE),"")</f>
        <v/>
      </c>
      <c r="G1849" s="811"/>
      <c r="H1849" s="811"/>
      <c r="I1849" s="580">
        <f t="shared" si="178"/>
        <v>0</v>
      </c>
      <c r="J1849" s="961">
        <f t="shared" si="179"/>
        <v>0</v>
      </c>
      <c r="K1849" s="80"/>
      <c r="L1849" s="807"/>
      <c r="M1849" s="80" t="str">
        <f>+IFERROR(VLOOKUP(L1849,DATA!$G$4:$H$2000,2,FALSE),"")</f>
        <v/>
      </c>
      <c r="N1849" s="807"/>
      <c r="O1849" s="80" t="str">
        <f>IFERROR(VLOOKUP(N1849,DATA!$K$4:$L$51,2,FALSE),"")</f>
        <v/>
      </c>
      <c r="P1849" s="80">
        <f t="shared" si="177"/>
        <v>0</v>
      </c>
      <c r="Q1849" s="154">
        <f t="shared" si="181"/>
        <v>0</v>
      </c>
    </row>
    <row r="1850" spans="2:17">
      <c r="B1850" s="627" t="str">
        <f t="shared" si="180"/>
        <v/>
      </c>
      <c r="C1850" s="429"/>
      <c r="D1850" s="816"/>
      <c r="E1850" s="807"/>
      <c r="F1850" s="629" t="str">
        <f>IFERROR(VLOOKUP(E1850,STAT1!$C$4:$D$1000,2,FALSE),"")</f>
        <v/>
      </c>
      <c r="G1850" s="811"/>
      <c r="H1850" s="811"/>
      <c r="I1850" s="580">
        <f t="shared" si="178"/>
        <v>0</v>
      </c>
      <c r="J1850" s="961">
        <f t="shared" si="179"/>
        <v>0</v>
      </c>
      <c r="K1850" s="80"/>
      <c r="L1850" s="807"/>
      <c r="M1850" s="80" t="str">
        <f>+IFERROR(VLOOKUP(L1850,DATA!$G$4:$H$2000,2,FALSE),"")</f>
        <v/>
      </c>
      <c r="N1850" s="807"/>
      <c r="O1850" s="80" t="str">
        <f>IFERROR(VLOOKUP(N1850,DATA!$K$4:$L$51,2,FALSE),"")</f>
        <v/>
      </c>
      <c r="P1850" s="80">
        <f t="shared" si="177"/>
        <v>0</v>
      </c>
      <c r="Q1850" s="154">
        <f t="shared" si="181"/>
        <v>0</v>
      </c>
    </row>
    <row r="1851" spans="2:17">
      <c r="B1851" s="627" t="str">
        <f t="shared" si="180"/>
        <v/>
      </c>
      <c r="C1851" s="429"/>
      <c r="D1851" s="816"/>
      <c r="E1851" s="807"/>
      <c r="F1851" s="629" t="str">
        <f>IFERROR(VLOOKUP(E1851,STAT1!$C$4:$D$1000,2,FALSE),"")</f>
        <v/>
      </c>
      <c r="G1851" s="811"/>
      <c r="H1851" s="811"/>
      <c r="I1851" s="580">
        <f t="shared" si="178"/>
        <v>0</v>
      </c>
      <c r="J1851" s="961">
        <f t="shared" si="179"/>
        <v>0</v>
      </c>
      <c r="K1851" s="80"/>
      <c r="L1851" s="807"/>
      <c r="M1851" s="80" t="str">
        <f>+IFERROR(VLOOKUP(L1851,DATA!$G$4:$H$2000,2,FALSE),"")</f>
        <v/>
      </c>
      <c r="N1851" s="807"/>
      <c r="O1851" s="80" t="str">
        <f>IFERROR(VLOOKUP(N1851,DATA!$K$4:$L$51,2,FALSE),"")</f>
        <v/>
      </c>
      <c r="P1851" s="80">
        <f t="shared" si="177"/>
        <v>0</v>
      </c>
      <c r="Q1851" s="154">
        <f t="shared" si="181"/>
        <v>0</v>
      </c>
    </row>
    <row r="1852" spans="2:17">
      <c r="B1852" s="627" t="str">
        <f t="shared" si="180"/>
        <v/>
      </c>
      <c r="C1852" s="429"/>
      <c r="D1852" s="816"/>
      <c r="E1852" s="807"/>
      <c r="F1852" s="629" t="str">
        <f>IFERROR(VLOOKUP(E1852,STAT1!$C$4:$D$1000,2,FALSE),"")</f>
        <v/>
      </c>
      <c r="G1852" s="811"/>
      <c r="H1852" s="811"/>
      <c r="I1852" s="580">
        <f t="shared" si="178"/>
        <v>0</v>
      </c>
      <c r="J1852" s="961">
        <f t="shared" si="179"/>
        <v>0</v>
      </c>
      <c r="K1852" s="80"/>
      <c r="L1852" s="807"/>
      <c r="M1852" s="80" t="str">
        <f>+IFERROR(VLOOKUP(L1852,DATA!$G$4:$H$2000,2,FALSE),"")</f>
        <v/>
      </c>
      <c r="N1852" s="807"/>
      <c r="O1852" s="80" t="str">
        <f>IFERROR(VLOOKUP(N1852,DATA!$K$4:$L$51,2,FALSE),"")</f>
        <v/>
      </c>
      <c r="P1852" s="80">
        <f t="shared" ref="P1852:P1915" si="182">+IF(I1852,1,0)</f>
        <v>0</v>
      </c>
      <c r="Q1852" s="154">
        <f t="shared" si="181"/>
        <v>0</v>
      </c>
    </row>
    <row r="1853" spans="2:17">
      <c r="B1853" s="627" t="str">
        <f t="shared" si="180"/>
        <v/>
      </c>
      <c r="C1853" s="429"/>
      <c r="D1853" s="816"/>
      <c r="E1853" s="807"/>
      <c r="F1853" s="629" t="str">
        <f>IFERROR(VLOOKUP(E1853,STAT1!$C$4:$D$1000,2,FALSE),"")</f>
        <v/>
      </c>
      <c r="G1853" s="811"/>
      <c r="H1853" s="811"/>
      <c r="I1853" s="580">
        <f t="shared" si="178"/>
        <v>0</v>
      </c>
      <c r="J1853" s="961">
        <f t="shared" si="179"/>
        <v>0</v>
      </c>
      <c r="K1853" s="80"/>
      <c r="L1853" s="807"/>
      <c r="M1853" s="80" t="str">
        <f>+IFERROR(VLOOKUP(L1853,DATA!$G$4:$H$2000,2,FALSE),"")</f>
        <v/>
      </c>
      <c r="N1853" s="807"/>
      <c r="O1853" s="80" t="str">
        <f>IFERROR(VLOOKUP(N1853,DATA!$K$4:$L$51,2,FALSE),"")</f>
        <v/>
      </c>
      <c r="P1853" s="80">
        <f t="shared" si="182"/>
        <v>0</v>
      </c>
      <c r="Q1853" s="154">
        <f t="shared" si="181"/>
        <v>0</v>
      </c>
    </row>
    <row r="1854" spans="2:17">
      <c r="B1854" s="627" t="str">
        <f t="shared" si="180"/>
        <v/>
      </c>
      <c r="C1854" s="429"/>
      <c r="D1854" s="816"/>
      <c r="E1854" s="807"/>
      <c r="F1854" s="629" t="str">
        <f>IFERROR(VLOOKUP(E1854,STAT1!$C$4:$D$1000,2,FALSE),"")</f>
        <v/>
      </c>
      <c r="G1854" s="811"/>
      <c r="H1854" s="811"/>
      <c r="I1854" s="580">
        <f t="shared" ref="I1854:I1917" si="183">+IF(OR(E1854=100100,E1854=100200,E1854=110100,E1854=110102,E1854=110103,E1854=110104,E1854=110105,E1854=110200,E1854=110201,E1854=110202,E1854=110203,E1854=110204,E1854=110300),G1854,0)+IF(OR(E1854=100100,E1854=100200,E1854=110100,E1854=110102,E1854=110103,E1854=110104,E1854=110105,E1854=110200,E1854=110201,E1854=110202,E1854=110203,E1854=110204,E1854=110300),H1854*-1,0)</f>
        <v>0</v>
      </c>
      <c r="J1854" s="961">
        <f t="shared" ref="J1854:J1917" si="184">+IF(E1854=110200,I1854/K1854,0)</f>
        <v>0</v>
      </c>
      <c r="K1854" s="80"/>
      <c r="L1854" s="807"/>
      <c r="M1854" s="80" t="str">
        <f>+IFERROR(VLOOKUP(L1854,DATA!$G$4:$H$2000,2,FALSE),"")</f>
        <v/>
      </c>
      <c r="N1854" s="807"/>
      <c r="O1854" s="80" t="str">
        <f>IFERROR(VLOOKUP(N1854,DATA!$K$4:$L$51,2,FALSE),"")</f>
        <v/>
      </c>
      <c r="P1854" s="80">
        <f t="shared" si="182"/>
        <v>0</v>
      </c>
      <c r="Q1854" s="154">
        <f t="shared" si="181"/>
        <v>0</v>
      </c>
    </row>
    <row r="1855" spans="2:17">
      <c r="B1855" s="627" t="str">
        <f t="shared" si="180"/>
        <v/>
      </c>
      <c r="C1855" s="429"/>
      <c r="D1855" s="816"/>
      <c r="E1855" s="807"/>
      <c r="F1855" s="629" t="str">
        <f>IFERROR(VLOOKUP(E1855,STAT1!$C$4:$D$1000,2,FALSE),"")</f>
        <v/>
      </c>
      <c r="G1855" s="811"/>
      <c r="H1855" s="811"/>
      <c r="I1855" s="580">
        <f t="shared" si="183"/>
        <v>0</v>
      </c>
      <c r="J1855" s="961">
        <f t="shared" si="184"/>
        <v>0</v>
      </c>
      <c r="K1855" s="80"/>
      <c r="L1855" s="807"/>
      <c r="M1855" s="80" t="str">
        <f>+IFERROR(VLOOKUP(L1855,DATA!$G$4:$H$2000,2,FALSE),"")</f>
        <v/>
      </c>
      <c r="N1855" s="807"/>
      <c r="O1855" s="80" t="str">
        <f>IFERROR(VLOOKUP(N1855,DATA!$K$4:$L$51,2,FALSE),"")</f>
        <v/>
      </c>
      <c r="P1855" s="80">
        <f t="shared" si="182"/>
        <v>0</v>
      </c>
      <c r="Q1855" s="154">
        <f t="shared" si="181"/>
        <v>0</v>
      </c>
    </row>
    <row r="1856" spans="2:17">
      <c r="B1856" s="627" t="str">
        <f t="shared" si="180"/>
        <v/>
      </c>
      <c r="C1856" s="429"/>
      <c r="D1856" s="816"/>
      <c r="E1856" s="807"/>
      <c r="F1856" s="629" t="str">
        <f>IFERROR(VLOOKUP(E1856,STAT1!$C$4:$D$1000,2,FALSE),"")</f>
        <v/>
      </c>
      <c r="G1856" s="811"/>
      <c r="H1856" s="811"/>
      <c r="I1856" s="580">
        <f t="shared" si="183"/>
        <v>0</v>
      </c>
      <c r="J1856" s="961">
        <f t="shared" si="184"/>
        <v>0</v>
      </c>
      <c r="K1856" s="80"/>
      <c r="L1856" s="807"/>
      <c r="M1856" s="80" t="str">
        <f>+IFERROR(VLOOKUP(L1856,DATA!$G$4:$H$2000,2,FALSE),"")</f>
        <v/>
      </c>
      <c r="N1856" s="807"/>
      <c r="O1856" s="80" t="str">
        <f>IFERROR(VLOOKUP(N1856,DATA!$K$4:$L$51,2,FALSE),"")</f>
        <v/>
      </c>
      <c r="P1856" s="80">
        <f t="shared" si="182"/>
        <v>0</v>
      </c>
      <c r="Q1856" s="154">
        <f t="shared" si="181"/>
        <v>0</v>
      </c>
    </row>
    <row r="1857" spans="2:17">
      <c r="B1857" s="627" t="str">
        <f t="shared" si="180"/>
        <v/>
      </c>
      <c r="C1857" s="429"/>
      <c r="D1857" s="816"/>
      <c r="E1857" s="807"/>
      <c r="F1857" s="629" t="str">
        <f>IFERROR(VLOOKUP(E1857,STAT1!$C$4:$D$1000,2,FALSE),"")</f>
        <v/>
      </c>
      <c r="G1857" s="811"/>
      <c r="H1857" s="811"/>
      <c r="I1857" s="580">
        <f t="shared" si="183"/>
        <v>0</v>
      </c>
      <c r="J1857" s="961">
        <f t="shared" si="184"/>
        <v>0</v>
      </c>
      <c r="K1857" s="80"/>
      <c r="L1857" s="807"/>
      <c r="M1857" s="80" t="str">
        <f>+IFERROR(VLOOKUP(L1857,DATA!$G$4:$H$2000,2,FALSE),"")</f>
        <v/>
      </c>
      <c r="N1857" s="807"/>
      <c r="O1857" s="80" t="str">
        <f>IFERROR(VLOOKUP(N1857,DATA!$K$4:$L$51,2,FALSE),"")</f>
        <v/>
      </c>
      <c r="P1857" s="80">
        <f t="shared" si="182"/>
        <v>0</v>
      </c>
      <c r="Q1857" s="154">
        <f t="shared" si="181"/>
        <v>0</v>
      </c>
    </row>
    <row r="1858" spans="2:17">
      <c r="B1858" s="627" t="str">
        <f t="shared" si="180"/>
        <v/>
      </c>
      <c r="C1858" s="429"/>
      <c r="D1858" s="816"/>
      <c r="E1858" s="807"/>
      <c r="F1858" s="629" t="str">
        <f>IFERROR(VLOOKUP(E1858,STAT1!$C$4:$D$1000,2,FALSE),"")</f>
        <v/>
      </c>
      <c r="G1858" s="811"/>
      <c r="H1858" s="811"/>
      <c r="I1858" s="580">
        <f t="shared" si="183"/>
        <v>0</v>
      </c>
      <c r="J1858" s="961">
        <f t="shared" si="184"/>
        <v>0</v>
      </c>
      <c r="K1858" s="80"/>
      <c r="L1858" s="807"/>
      <c r="M1858" s="80" t="str">
        <f>+IFERROR(VLOOKUP(L1858,DATA!$G$4:$H$2000,2,FALSE),"")</f>
        <v/>
      </c>
      <c r="N1858" s="807"/>
      <c r="O1858" s="80" t="str">
        <f>IFERROR(VLOOKUP(N1858,DATA!$K$4:$L$51,2,FALSE),"")</f>
        <v/>
      </c>
      <c r="P1858" s="80">
        <f t="shared" si="182"/>
        <v>0</v>
      </c>
      <c r="Q1858" s="154">
        <f t="shared" si="181"/>
        <v>0</v>
      </c>
    </row>
    <row r="1859" spans="2:17">
      <c r="B1859" s="627" t="str">
        <f t="shared" si="180"/>
        <v/>
      </c>
      <c r="C1859" s="429"/>
      <c r="D1859" s="815"/>
      <c r="E1859" s="807"/>
      <c r="F1859" s="629" t="str">
        <f>IFERROR(VLOOKUP(E1859,STAT1!$C$4:$D$1000,2,FALSE),"")</f>
        <v/>
      </c>
      <c r="G1859" s="811"/>
      <c r="H1859" s="811"/>
      <c r="I1859" s="580">
        <f t="shared" si="183"/>
        <v>0</v>
      </c>
      <c r="J1859" s="961">
        <f t="shared" si="184"/>
        <v>0</v>
      </c>
      <c r="K1859" s="80"/>
      <c r="L1859" s="807"/>
      <c r="M1859" s="80" t="str">
        <f>+IFERROR(VLOOKUP(L1859,DATA!$G$4:$H$2000,2,FALSE),"")</f>
        <v/>
      </c>
      <c r="N1859" s="807"/>
      <c r="O1859" s="80" t="str">
        <f>IFERROR(VLOOKUP(N1859,DATA!$K$4:$L$51,2,FALSE),"")</f>
        <v/>
      </c>
      <c r="P1859" s="80">
        <f t="shared" si="182"/>
        <v>0</v>
      </c>
      <c r="Q1859" s="154">
        <f t="shared" si="181"/>
        <v>0</v>
      </c>
    </row>
    <row r="1860" spans="2:17">
      <c r="B1860" s="627" t="str">
        <f t="shared" si="180"/>
        <v/>
      </c>
      <c r="C1860" s="582"/>
      <c r="D1860" s="815"/>
      <c r="E1860" s="630"/>
      <c r="F1860" s="629" t="str">
        <f>IFERROR(VLOOKUP(E1860,STAT1!$C$4:$D$1000,2,FALSE),"")</f>
        <v/>
      </c>
      <c r="G1860" s="376"/>
      <c r="H1860" s="376"/>
      <c r="I1860" s="580">
        <f t="shared" si="183"/>
        <v>0</v>
      </c>
      <c r="J1860" s="961">
        <f t="shared" si="184"/>
        <v>0</v>
      </c>
      <c r="K1860" s="80"/>
      <c r="L1860" s="630"/>
      <c r="M1860" s="80" t="str">
        <f>+IFERROR(VLOOKUP(L1860,DATA!$G$4:$H$2000,2,FALSE),"")</f>
        <v/>
      </c>
      <c r="N1860" s="630"/>
      <c r="O1860" s="80" t="str">
        <f>IFERROR(VLOOKUP(N1860,DATA!$K$4:$L$51,2,FALSE),"")</f>
        <v/>
      </c>
      <c r="P1860" s="80">
        <f t="shared" si="182"/>
        <v>0</v>
      </c>
      <c r="Q1860" s="154">
        <f t="shared" si="181"/>
        <v>0</v>
      </c>
    </row>
    <row r="1861" spans="2:17">
      <c r="B1861" s="627" t="str">
        <f t="shared" si="180"/>
        <v/>
      </c>
      <c r="C1861" s="582"/>
      <c r="D1861" s="815"/>
      <c r="E1861" s="630"/>
      <c r="F1861" s="629" t="str">
        <f>IFERROR(VLOOKUP(E1861,STAT1!$C$4:$D$1000,2,FALSE),"")</f>
        <v/>
      </c>
      <c r="G1861" s="376"/>
      <c r="H1861" s="376"/>
      <c r="I1861" s="580">
        <f t="shared" si="183"/>
        <v>0</v>
      </c>
      <c r="J1861" s="961">
        <f t="shared" si="184"/>
        <v>0</v>
      </c>
      <c r="K1861" s="80"/>
      <c r="L1861" s="630"/>
      <c r="M1861" s="80" t="str">
        <f>+IFERROR(VLOOKUP(L1861,DATA!$G$4:$H$2000,2,FALSE),"")</f>
        <v/>
      </c>
      <c r="N1861" s="630"/>
      <c r="O1861" s="80" t="str">
        <f>IFERROR(VLOOKUP(N1861,DATA!$K$4:$L$51,2,FALSE),"")</f>
        <v/>
      </c>
      <c r="P1861" s="80">
        <f t="shared" si="182"/>
        <v>0</v>
      </c>
      <c r="Q1861" s="154">
        <f t="shared" si="181"/>
        <v>0</v>
      </c>
    </row>
    <row r="1862" spans="2:17">
      <c r="B1862" s="627" t="str">
        <f t="shared" si="180"/>
        <v/>
      </c>
      <c r="C1862" s="582"/>
      <c r="D1862" s="815"/>
      <c r="E1862" s="630"/>
      <c r="F1862" s="629" t="str">
        <f>IFERROR(VLOOKUP(E1862,STAT1!$C$4:$D$1000,2,FALSE),"")</f>
        <v/>
      </c>
      <c r="G1862" s="376"/>
      <c r="H1862" s="376"/>
      <c r="I1862" s="580">
        <f t="shared" si="183"/>
        <v>0</v>
      </c>
      <c r="J1862" s="961">
        <f t="shared" si="184"/>
        <v>0</v>
      </c>
      <c r="K1862" s="80"/>
      <c r="L1862" s="630"/>
      <c r="M1862" s="80" t="str">
        <f>+IFERROR(VLOOKUP(L1862,DATA!$G$4:$H$2000,2,FALSE),"")</f>
        <v/>
      </c>
      <c r="N1862" s="630"/>
      <c r="O1862" s="80" t="str">
        <f>IFERROR(VLOOKUP(N1862,DATA!$K$4:$L$51,2,FALSE),"")</f>
        <v/>
      </c>
      <c r="P1862" s="80">
        <f t="shared" si="182"/>
        <v>0</v>
      </c>
      <c r="Q1862" s="154">
        <f t="shared" si="181"/>
        <v>0</v>
      </c>
    </row>
    <row r="1863" spans="2:17">
      <c r="B1863" s="627" t="str">
        <f t="shared" si="180"/>
        <v/>
      </c>
      <c r="C1863" s="582"/>
      <c r="D1863" s="815"/>
      <c r="E1863" s="630"/>
      <c r="F1863" s="629" t="str">
        <f>IFERROR(VLOOKUP(E1863,STAT1!$C$4:$D$1000,2,FALSE),"")</f>
        <v/>
      </c>
      <c r="G1863" s="376"/>
      <c r="H1863" s="376"/>
      <c r="I1863" s="580">
        <f t="shared" si="183"/>
        <v>0</v>
      </c>
      <c r="J1863" s="961">
        <f t="shared" si="184"/>
        <v>0</v>
      </c>
      <c r="K1863" s="80"/>
      <c r="L1863" s="630"/>
      <c r="M1863" s="80" t="str">
        <f>+IFERROR(VLOOKUP(L1863,DATA!$G$4:$H$2000,2,FALSE),"")</f>
        <v/>
      </c>
      <c r="N1863" s="630"/>
      <c r="O1863" s="80" t="str">
        <f>IFERROR(VLOOKUP(N1863,DATA!$K$4:$L$51,2,FALSE),"")</f>
        <v/>
      </c>
      <c r="P1863" s="80">
        <f t="shared" si="182"/>
        <v>0</v>
      </c>
      <c r="Q1863" s="154">
        <f t="shared" si="181"/>
        <v>0</v>
      </c>
    </row>
    <row r="1864" spans="2:17">
      <c r="B1864" s="627" t="str">
        <f t="shared" si="180"/>
        <v/>
      </c>
      <c r="C1864" s="582"/>
      <c r="D1864" s="815"/>
      <c r="E1864" s="630"/>
      <c r="F1864" s="629" t="str">
        <f>IFERROR(VLOOKUP(E1864,STAT1!$C$4:$D$1000,2,FALSE),"")</f>
        <v/>
      </c>
      <c r="G1864" s="376"/>
      <c r="H1864" s="376"/>
      <c r="I1864" s="580">
        <f t="shared" si="183"/>
        <v>0</v>
      </c>
      <c r="J1864" s="961">
        <f t="shared" si="184"/>
        <v>0</v>
      </c>
      <c r="K1864" s="80"/>
      <c r="L1864" s="630"/>
      <c r="M1864" s="80" t="str">
        <f>+IFERROR(VLOOKUP(L1864,DATA!$G$4:$H$2000,2,FALSE),"")</f>
        <v/>
      </c>
      <c r="N1864" s="630"/>
      <c r="O1864" s="80" t="str">
        <f>IFERROR(VLOOKUP(N1864,DATA!$K$4:$L$51,2,FALSE),"")</f>
        <v/>
      </c>
      <c r="P1864" s="80">
        <f t="shared" si="182"/>
        <v>0</v>
      </c>
      <c r="Q1864" s="154">
        <f t="shared" si="181"/>
        <v>0</v>
      </c>
    </row>
    <row r="1865" spans="2:17">
      <c r="B1865" s="627" t="str">
        <f t="shared" si="180"/>
        <v/>
      </c>
      <c r="C1865" s="582"/>
      <c r="D1865" s="815"/>
      <c r="E1865" s="630"/>
      <c r="F1865" s="629" t="str">
        <f>IFERROR(VLOOKUP(E1865,STAT1!$C$4:$D$1000,2,FALSE),"")</f>
        <v/>
      </c>
      <c r="G1865" s="376"/>
      <c r="H1865" s="376"/>
      <c r="I1865" s="580">
        <f t="shared" si="183"/>
        <v>0</v>
      </c>
      <c r="J1865" s="961">
        <f t="shared" si="184"/>
        <v>0</v>
      </c>
      <c r="K1865" s="80"/>
      <c r="L1865" s="630"/>
      <c r="M1865" s="80" t="str">
        <f>+IFERROR(VLOOKUP(L1865,DATA!$G$4:$H$2000,2,FALSE),"")</f>
        <v/>
      </c>
      <c r="N1865" s="630"/>
      <c r="O1865" s="80" t="str">
        <f>IFERROR(VLOOKUP(N1865,DATA!$K$4:$L$51,2,FALSE),"")</f>
        <v/>
      </c>
      <c r="P1865" s="80">
        <f t="shared" si="182"/>
        <v>0</v>
      </c>
      <c r="Q1865" s="154">
        <f t="shared" si="181"/>
        <v>0</v>
      </c>
    </row>
    <row r="1866" spans="2:17">
      <c r="B1866" s="627" t="str">
        <f t="shared" si="180"/>
        <v/>
      </c>
      <c r="C1866" s="582"/>
      <c r="D1866" s="815"/>
      <c r="E1866" s="630"/>
      <c r="F1866" s="629" t="str">
        <f>IFERROR(VLOOKUP(E1866,STAT1!$C$4:$D$1000,2,FALSE),"")</f>
        <v/>
      </c>
      <c r="G1866" s="376"/>
      <c r="H1866" s="376"/>
      <c r="I1866" s="580">
        <f t="shared" si="183"/>
        <v>0</v>
      </c>
      <c r="J1866" s="961">
        <f t="shared" si="184"/>
        <v>0</v>
      </c>
      <c r="K1866" s="80"/>
      <c r="L1866" s="630"/>
      <c r="M1866" s="80" t="str">
        <f>+IFERROR(VLOOKUP(L1866,DATA!$G$4:$H$2000,2,FALSE),"")</f>
        <v/>
      </c>
      <c r="N1866" s="630"/>
      <c r="O1866" s="80" t="str">
        <f>IFERROR(VLOOKUP(N1866,DATA!$K$4:$L$51,2,FALSE),"")</f>
        <v/>
      </c>
      <c r="P1866" s="80">
        <f t="shared" si="182"/>
        <v>0</v>
      </c>
      <c r="Q1866" s="154">
        <f t="shared" si="181"/>
        <v>0</v>
      </c>
    </row>
    <row r="1867" spans="2:17">
      <c r="B1867" s="627" t="str">
        <f t="shared" si="180"/>
        <v/>
      </c>
      <c r="C1867" s="582"/>
      <c r="D1867" s="815"/>
      <c r="E1867" s="630"/>
      <c r="F1867" s="629" t="str">
        <f>IFERROR(VLOOKUP(E1867,STAT1!$C$4:$D$1000,2,FALSE),"")</f>
        <v/>
      </c>
      <c r="G1867" s="376"/>
      <c r="H1867" s="376"/>
      <c r="I1867" s="580">
        <f t="shared" si="183"/>
        <v>0</v>
      </c>
      <c r="J1867" s="961">
        <f t="shared" si="184"/>
        <v>0</v>
      </c>
      <c r="K1867" s="80"/>
      <c r="L1867" s="630"/>
      <c r="M1867" s="80" t="str">
        <f>+IFERROR(VLOOKUP(L1867,DATA!$G$4:$H$2000,2,FALSE),"")</f>
        <v/>
      </c>
      <c r="N1867" s="630"/>
      <c r="O1867" s="80" t="str">
        <f>IFERROR(VLOOKUP(N1867,DATA!$K$4:$L$51,2,FALSE),"")</f>
        <v/>
      </c>
      <c r="P1867" s="80">
        <f t="shared" si="182"/>
        <v>0</v>
      </c>
      <c r="Q1867" s="154">
        <f t="shared" si="181"/>
        <v>0</v>
      </c>
    </row>
    <row r="1868" spans="2:17">
      <c r="B1868" s="627" t="str">
        <f t="shared" si="180"/>
        <v/>
      </c>
      <c r="C1868" s="582"/>
      <c r="D1868" s="815"/>
      <c r="E1868" s="630"/>
      <c r="F1868" s="629" t="str">
        <f>IFERROR(VLOOKUP(E1868,STAT1!$C$4:$D$1000,2,FALSE),"")</f>
        <v/>
      </c>
      <c r="G1868" s="376"/>
      <c r="H1868" s="376"/>
      <c r="I1868" s="580">
        <f t="shared" si="183"/>
        <v>0</v>
      </c>
      <c r="J1868" s="961">
        <f t="shared" si="184"/>
        <v>0</v>
      </c>
      <c r="K1868" s="80"/>
      <c r="L1868" s="630"/>
      <c r="M1868" s="80" t="str">
        <f>+IFERROR(VLOOKUP(L1868,DATA!$G$4:$H$2000,2,FALSE),"")</f>
        <v/>
      </c>
      <c r="N1868" s="630"/>
      <c r="O1868" s="80" t="str">
        <f>IFERROR(VLOOKUP(N1868,DATA!$K$4:$L$51,2,FALSE),"")</f>
        <v/>
      </c>
      <c r="P1868" s="80">
        <f t="shared" si="182"/>
        <v>0</v>
      </c>
      <c r="Q1868" s="154">
        <f t="shared" si="181"/>
        <v>0</v>
      </c>
    </row>
    <row r="1869" spans="2:17">
      <c r="B1869" s="627" t="str">
        <f t="shared" si="180"/>
        <v/>
      </c>
      <c r="C1869" s="582"/>
      <c r="D1869" s="815"/>
      <c r="E1869" s="630"/>
      <c r="F1869" s="629" t="str">
        <f>IFERROR(VLOOKUP(E1869,STAT1!$C$4:$D$1000,2,FALSE),"")</f>
        <v/>
      </c>
      <c r="G1869" s="376"/>
      <c r="H1869" s="376"/>
      <c r="I1869" s="580">
        <f t="shared" si="183"/>
        <v>0</v>
      </c>
      <c r="J1869" s="961">
        <f t="shared" si="184"/>
        <v>0</v>
      </c>
      <c r="K1869" s="80"/>
      <c r="L1869" s="630"/>
      <c r="M1869" s="80" t="str">
        <f>+IFERROR(VLOOKUP(L1869,DATA!$G$4:$H$2000,2,FALSE),"")</f>
        <v/>
      </c>
      <c r="N1869" s="630"/>
      <c r="O1869" s="80" t="str">
        <f>IFERROR(VLOOKUP(N1869,DATA!$K$4:$L$51,2,FALSE),"")</f>
        <v/>
      </c>
      <c r="P1869" s="80">
        <f t="shared" si="182"/>
        <v>0</v>
      </c>
      <c r="Q1869" s="154">
        <f t="shared" si="181"/>
        <v>0</v>
      </c>
    </row>
    <row r="1870" spans="2:17">
      <c r="B1870" s="627" t="str">
        <f t="shared" si="180"/>
        <v/>
      </c>
      <c r="C1870" s="582"/>
      <c r="D1870" s="815"/>
      <c r="E1870" s="630"/>
      <c r="F1870" s="629" t="str">
        <f>IFERROR(VLOOKUP(E1870,STAT1!$C$4:$D$1000,2,FALSE),"")</f>
        <v/>
      </c>
      <c r="G1870" s="376"/>
      <c r="H1870" s="376"/>
      <c r="I1870" s="580">
        <f t="shared" si="183"/>
        <v>0</v>
      </c>
      <c r="J1870" s="961">
        <f t="shared" si="184"/>
        <v>0</v>
      </c>
      <c r="K1870" s="80"/>
      <c r="L1870" s="630"/>
      <c r="M1870" s="80" t="str">
        <f>+IFERROR(VLOOKUP(L1870,DATA!$G$4:$H$2000,2,FALSE),"")</f>
        <v/>
      </c>
      <c r="N1870" s="630"/>
      <c r="O1870" s="80" t="str">
        <f>IFERROR(VLOOKUP(N1870,DATA!$K$4:$L$51,2,FALSE),"")</f>
        <v/>
      </c>
      <c r="P1870" s="80">
        <f t="shared" si="182"/>
        <v>0</v>
      </c>
      <c r="Q1870" s="154">
        <f t="shared" si="181"/>
        <v>0</v>
      </c>
    </row>
    <row r="1871" spans="2:17">
      <c r="B1871" s="627" t="str">
        <f t="shared" si="180"/>
        <v/>
      </c>
      <c r="C1871" s="582"/>
      <c r="D1871" s="815"/>
      <c r="E1871" s="630"/>
      <c r="F1871" s="629" t="str">
        <f>IFERROR(VLOOKUP(E1871,STAT1!$C$4:$D$1000,2,FALSE),"")</f>
        <v/>
      </c>
      <c r="G1871" s="376"/>
      <c r="H1871" s="376"/>
      <c r="I1871" s="580">
        <f t="shared" si="183"/>
        <v>0</v>
      </c>
      <c r="J1871" s="961">
        <f t="shared" si="184"/>
        <v>0</v>
      </c>
      <c r="K1871" s="80"/>
      <c r="L1871" s="630"/>
      <c r="M1871" s="80" t="str">
        <f>+IFERROR(VLOOKUP(L1871,DATA!$G$4:$H$2000,2,FALSE),"")</f>
        <v/>
      </c>
      <c r="N1871" s="630"/>
      <c r="O1871" s="80" t="str">
        <f>IFERROR(VLOOKUP(N1871,DATA!$K$4:$L$51,2,FALSE),"")</f>
        <v/>
      </c>
      <c r="P1871" s="80">
        <f t="shared" si="182"/>
        <v>0</v>
      </c>
      <c r="Q1871" s="154">
        <f t="shared" si="181"/>
        <v>0</v>
      </c>
    </row>
    <row r="1872" spans="2:17">
      <c r="B1872" s="627" t="str">
        <f t="shared" si="180"/>
        <v/>
      </c>
      <c r="C1872" s="582"/>
      <c r="D1872" s="815"/>
      <c r="E1872" s="630"/>
      <c r="F1872" s="629" t="str">
        <f>IFERROR(VLOOKUP(E1872,STAT1!$C$4:$D$1000,2,FALSE),"")</f>
        <v/>
      </c>
      <c r="G1872" s="376"/>
      <c r="H1872" s="376"/>
      <c r="I1872" s="580">
        <f t="shared" si="183"/>
        <v>0</v>
      </c>
      <c r="J1872" s="961">
        <f t="shared" si="184"/>
        <v>0</v>
      </c>
      <c r="K1872" s="80"/>
      <c r="L1872" s="630"/>
      <c r="M1872" s="80" t="str">
        <f>+IFERROR(VLOOKUP(L1872,DATA!$G$4:$H$2000,2,FALSE),"")</f>
        <v/>
      </c>
      <c r="N1872" s="630"/>
      <c r="O1872" s="80" t="str">
        <f>IFERROR(VLOOKUP(N1872,DATA!$K$4:$L$51,2,FALSE),"")</f>
        <v/>
      </c>
      <c r="P1872" s="80">
        <f t="shared" si="182"/>
        <v>0</v>
      </c>
      <c r="Q1872" s="154">
        <f t="shared" si="181"/>
        <v>0</v>
      </c>
    </row>
    <row r="1873" spans="2:17">
      <c r="B1873" s="627" t="str">
        <f t="shared" ref="B1873:B1936" si="185">+IF(C1873="","",ROW()-5)</f>
        <v/>
      </c>
      <c r="C1873" s="582"/>
      <c r="D1873" s="815"/>
      <c r="E1873" s="630"/>
      <c r="F1873" s="629" t="str">
        <f>IFERROR(VLOOKUP(E1873,STAT1!$C$4:$D$1000,2,FALSE),"")</f>
        <v/>
      </c>
      <c r="G1873" s="376"/>
      <c r="H1873" s="376"/>
      <c r="I1873" s="580">
        <f t="shared" si="183"/>
        <v>0</v>
      </c>
      <c r="J1873" s="961">
        <f t="shared" si="184"/>
        <v>0</v>
      </c>
      <c r="K1873" s="80"/>
      <c r="L1873" s="630"/>
      <c r="M1873" s="80" t="str">
        <f>+IFERROR(VLOOKUP(L1873,DATA!$G$4:$H$2000,2,FALSE),"")</f>
        <v/>
      </c>
      <c r="N1873" s="630"/>
      <c r="O1873" s="80" t="str">
        <f>IFERROR(VLOOKUP(N1873,DATA!$K$4:$L$51,2,FALSE),"")</f>
        <v/>
      </c>
      <c r="P1873" s="80">
        <f t="shared" si="182"/>
        <v>0</v>
      </c>
      <c r="Q1873" s="154">
        <f t="shared" si="181"/>
        <v>0</v>
      </c>
    </row>
    <row r="1874" spans="2:17">
      <c r="B1874" s="627" t="str">
        <f t="shared" si="185"/>
        <v/>
      </c>
      <c r="C1874" s="582"/>
      <c r="D1874" s="816"/>
      <c r="E1874" s="630"/>
      <c r="F1874" s="629" t="str">
        <f>IFERROR(VLOOKUP(E1874,STAT1!$C$4:$D$1000,2,FALSE),"")</f>
        <v/>
      </c>
      <c r="G1874" s="376"/>
      <c r="H1874" s="376"/>
      <c r="I1874" s="580">
        <f t="shared" si="183"/>
        <v>0</v>
      </c>
      <c r="J1874" s="961">
        <f t="shared" si="184"/>
        <v>0</v>
      </c>
      <c r="K1874" s="80"/>
      <c r="L1874" s="630"/>
      <c r="M1874" s="80" t="str">
        <f>+IFERROR(VLOOKUP(L1874,DATA!$G$4:$H$2000,2,FALSE),"")</f>
        <v/>
      </c>
      <c r="N1874" s="630"/>
      <c r="O1874" s="80" t="str">
        <f>IFERROR(VLOOKUP(N1874,DATA!$K$4:$L$51,2,FALSE),"")</f>
        <v/>
      </c>
      <c r="P1874" s="80">
        <f t="shared" si="182"/>
        <v>0</v>
      </c>
      <c r="Q1874" s="154">
        <f t="shared" si="181"/>
        <v>0</v>
      </c>
    </row>
    <row r="1875" spans="2:17">
      <c r="B1875" s="627" t="str">
        <f t="shared" si="185"/>
        <v/>
      </c>
      <c r="C1875" s="429"/>
      <c r="D1875" s="816"/>
      <c r="E1875" s="807"/>
      <c r="F1875" s="629" t="str">
        <f>IFERROR(VLOOKUP(E1875,STAT1!$C$4:$D$1000,2,FALSE),"")</f>
        <v/>
      </c>
      <c r="G1875" s="811"/>
      <c r="H1875" s="811"/>
      <c r="I1875" s="580">
        <f t="shared" si="183"/>
        <v>0</v>
      </c>
      <c r="J1875" s="961">
        <f t="shared" si="184"/>
        <v>0</v>
      </c>
      <c r="K1875" s="80"/>
      <c r="L1875" s="807"/>
      <c r="M1875" s="80" t="str">
        <f>+IFERROR(VLOOKUP(L1875,DATA!$G$4:$H$2000,2,FALSE),"")</f>
        <v/>
      </c>
      <c r="N1875" s="807"/>
      <c r="O1875" s="80" t="str">
        <f>IFERROR(VLOOKUP(N1875,DATA!$K$4:$L$51,2,FALSE),"")</f>
        <v/>
      </c>
      <c r="P1875" s="80">
        <f t="shared" si="182"/>
        <v>0</v>
      </c>
      <c r="Q1875" s="154">
        <f t="shared" si="181"/>
        <v>0</v>
      </c>
    </row>
    <row r="1876" spans="2:17">
      <c r="B1876" s="627" t="str">
        <f t="shared" si="185"/>
        <v/>
      </c>
      <c r="C1876" s="429"/>
      <c r="D1876" s="816"/>
      <c r="E1876" s="807"/>
      <c r="F1876" s="629" t="str">
        <f>IFERROR(VLOOKUP(E1876,STAT1!$C$4:$D$1000,2,FALSE),"")</f>
        <v/>
      </c>
      <c r="G1876" s="811"/>
      <c r="H1876" s="811"/>
      <c r="I1876" s="580">
        <f t="shared" si="183"/>
        <v>0</v>
      </c>
      <c r="J1876" s="961">
        <f t="shared" si="184"/>
        <v>0</v>
      </c>
      <c r="K1876" s="80"/>
      <c r="L1876" s="807"/>
      <c r="M1876" s="80" t="str">
        <f>+IFERROR(VLOOKUP(L1876,DATA!$G$4:$H$2000,2,FALSE),"")</f>
        <v/>
      </c>
      <c r="N1876" s="807"/>
      <c r="O1876" s="80" t="str">
        <f>IFERROR(VLOOKUP(N1876,DATA!$K$4:$L$51,2,FALSE),"")</f>
        <v/>
      </c>
      <c r="P1876" s="80">
        <f t="shared" si="182"/>
        <v>0</v>
      </c>
      <c r="Q1876" s="154">
        <f t="shared" si="181"/>
        <v>0</v>
      </c>
    </row>
    <row r="1877" spans="2:17">
      <c r="B1877" s="627" t="str">
        <f t="shared" si="185"/>
        <v/>
      </c>
      <c r="C1877" s="429"/>
      <c r="D1877" s="816"/>
      <c r="E1877" s="807"/>
      <c r="F1877" s="629" t="str">
        <f>IFERROR(VLOOKUP(E1877,STAT1!$C$4:$D$1000,2,FALSE),"")</f>
        <v/>
      </c>
      <c r="G1877" s="811"/>
      <c r="H1877" s="811"/>
      <c r="I1877" s="580">
        <f t="shared" si="183"/>
        <v>0</v>
      </c>
      <c r="J1877" s="961">
        <f t="shared" si="184"/>
        <v>0</v>
      </c>
      <c r="K1877" s="80"/>
      <c r="L1877" s="807"/>
      <c r="M1877" s="80" t="str">
        <f>+IFERROR(VLOOKUP(L1877,DATA!$G$4:$H$2000,2,FALSE),"")</f>
        <v/>
      </c>
      <c r="N1877" s="807"/>
      <c r="O1877" s="80" t="str">
        <f>IFERROR(VLOOKUP(N1877,DATA!$K$4:$L$51,2,FALSE),"")</f>
        <v/>
      </c>
      <c r="P1877" s="80">
        <f t="shared" si="182"/>
        <v>0</v>
      </c>
      <c r="Q1877" s="154">
        <f t="shared" si="181"/>
        <v>0</v>
      </c>
    </row>
    <row r="1878" spans="2:17">
      <c r="B1878" s="627" t="str">
        <f t="shared" si="185"/>
        <v/>
      </c>
      <c r="C1878" s="429"/>
      <c r="D1878" s="816"/>
      <c r="E1878" s="807"/>
      <c r="F1878" s="629" t="str">
        <f>IFERROR(VLOOKUP(E1878,STAT1!$C$4:$D$1000,2,FALSE),"")</f>
        <v/>
      </c>
      <c r="G1878" s="811"/>
      <c r="H1878" s="811"/>
      <c r="I1878" s="580">
        <f t="shared" si="183"/>
        <v>0</v>
      </c>
      <c r="J1878" s="961">
        <f t="shared" si="184"/>
        <v>0</v>
      </c>
      <c r="K1878" s="80"/>
      <c r="L1878" s="807"/>
      <c r="M1878" s="80" t="str">
        <f>+IFERROR(VLOOKUP(L1878,DATA!$G$4:$H$2000,2,FALSE),"")</f>
        <v/>
      </c>
      <c r="N1878" s="807"/>
      <c r="O1878" s="80" t="str">
        <f>IFERROR(VLOOKUP(N1878,DATA!$K$4:$L$51,2,FALSE),"")</f>
        <v/>
      </c>
      <c r="P1878" s="80">
        <f t="shared" si="182"/>
        <v>0</v>
      </c>
      <c r="Q1878" s="154">
        <f t="shared" si="181"/>
        <v>0</v>
      </c>
    </row>
    <row r="1879" spans="2:17">
      <c r="B1879" s="627" t="str">
        <f t="shared" si="185"/>
        <v/>
      </c>
      <c r="C1879" s="429"/>
      <c r="D1879" s="816"/>
      <c r="E1879" s="807"/>
      <c r="F1879" s="629" t="str">
        <f>IFERROR(VLOOKUP(E1879,STAT1!$C$4:$D$1000,2,FALSE),"")</f>
        <v/>
      </c>
      <c r="G1879" s="811"/>
      <c r="H1879" s="811"/>
      <c r="I1879" s="580">
        <f t="shared" si="183"/>
        <v>0</v>
      </c>
      <c r="J1879" s="961">
        <f t="shared" si="184"/>
        <v>0</v>
      </c>
      <c r="K1879" s="80"/>
      <c r="L1879" s="807"/>
      <c r="M1879" s="80" t="str">
        <f>+IFERROR(VLOOKUP(L1879,DATA!$G$4:$H$2000,2,FALSE),"")</f>
        <v/>
      </c>
      <c r="N1879" s="807"/>
      <c r="O1879" s="80" t="str">
        <f>IFERROR(VLOOKUP(N1879,DATA!$K$4:$L$51,2,FALSE),"")</f>
        <v/>
      </c>
      <c r="P1879" s="80">
        <f t="shared" si="182"/>
        <v>0</v>
      </c>
      <c r="Q1879" s="154">
        <f t="shared" si="181"/>
        <v>0</v>
      </c>
    </row>
    <row r="1880" spans="2:17">
      <c r="B1880" s="627" t="str">
        <f t="shared" si="185"/>
        <v/>
      </c>
      <c r="C1880" s="429"/>
      <c r="D1880" s="816"/>
      <c r="E1880" s="807"/>
      <c r="F1880" s="629" t="str">
        <f>IFERROR(VLOOKUP(E1880,STAT1!$C$4:$D$1000,2,FALSE),"")</f>
        <v/>
      </c>
      <c r="G1880" s="811"/>
      <c r="H1880" s="811"/>
      <c r="I1880" s="580">
        <f t="shared" si="183"/>
        <v>0</v>
      </c>
      <c r="J1880" s="961">
        <f t="shared" si="184"/>
        <v>0</v>
      </c>
      <c r="K1880" s="80"/>
      <c r="L1880" s="807"/>
      <c r="M1880" s="80" t="str">
        <f>+IFERROR(VLOOKUP(L1880,DATA!$G$4:$H$2000,2,FALSE),"")</f>
        <v/>
      </c>
      <c r="N1880" s="807"/>
      <c r="O1880" s="80" t="str">
        <f>IFERROR(VLOOKUP(N1880,DATA!$K$4:$L$51,2,FALSE),"")</f>
        <v/>
      </c>
      <c r="P1880" s="80">
        <f t="shared" si="182"/>
        <v>0</v>
      </c>
      <c r="Q1880" s="154">
        <f t="shared" si="181"/>
        <v>0</v>
      </c>
    </row>
    <row r="1881" spans="2:17">
      <c r="B1881" s="627" t="str">
        <f t="shared" si="185"/>
        <v/>
      </c>
      <c r="C1881" s="429"/>
      <c r="D1881" s="816"/>
      <c r="E1881" s="807"/>
      <c r="F1881" s="629" t="str">
        <f>IFERROR(VLOOKUP(E1881,STAT1!$C$4:$D$1000,2,FALSE),"")</f>
        <v/>
      </c>
      <c r="G1881" s="811"/>
      <c r="H1881" s="811"/>
      <c r="I1881" s="580">
        <f t="shared" si="183"/>
        <v>0</v>
      </c>
      <c r="J1881" s="961">
        <f t="shared" si="184"/>
        <v>0</v>
      </c>
      <c r="K1881" s="80"/>
      <c r="L1881" s="807"/>
      <c r="M1881" s="80" t="str">
        <f>+IFERROR(VLOOKUP(L1881,DATA!$G$4:$H$2000,2,FALSE),"")</f>
        <v/>
      </c>
      <c r="N1881" s="807"/>
      <c r="O1881" s="80" t="str">
        <f>IFERROR(VLOOKUP(N1881,DATA!$K$4:$L$51,2,FALSE),"")</f>
        <v/>
      </c>
      <c r="P1881" s="80">
        <f t="shared" si="182"/>
        <v>0</v>
      </c>
      <c r="Q1881" s="154">
        <f t="shared" si="181"/>
        <v>0</v>
      </c>
    </row>
    <row r="1882" spans="2:17">
      <c r="B1882" s="627" t="str">
        <f t="shared" si="185"/>
        <v/>
      </c>
      <c r="C1882" s="429"/>
      <c r="D1882" s="816"/>
      <c r="E1882" s="807"/>
      <c r="F1882" s="629" t="str">
        <f>IFERROR(VLOOKUP(E1882,STAT1!$C$4:$D$1000,2,FALSE),"")</f>
        <v/>
      </c>
      <c r="G1882" s="811"/>
      <c r="H1882" s="811"/>
      <c r="I1882" s="580">
        <f t="shared" si="183"/>
        <v>0</v>
      </c>
      <c r="J1882" s="961">
        <f t="shared" si="184"/>
        <v>0</v>
      </c>
      <c r="K1882" s="80"/>
      <c r="L1882" s="807"/>
      <c r="M1882" s="80" t="str">
        <f>+IFERROR(VLOOKUP(L1882,DATA!$G$4:$H$2000,2,FALSE),"")</f>
        <v/>
      </c>
      <c r="N1882" s="807"/>
      <c r="O1882" s="80" t="str">
        <f>IFERROR(VLOOKUP(N1882,DATA!$K$4:$L$51,2,FALSE),"")</f>
        <v/>
      </c>
      <c r="P1882" s="80">
        <f t="shared" si="182"/>
        <v>0</v>
      </c>
      <c r="Q1882" s="154">
        <f t="shared" si="181"/>
        <v>0</v>
      </c>
    </row>
    <row r="1883" spans="2:17">
      <c r="B1883" s="627" t="str">
        <f t="shared" si="185"/>
        <v/>
      </c>
      <c r="C1883" s="429"/>
      <c r="D1883" s="816"/>
      <c r="E1883" s="807"/>
      <c r="F1883" s="629" t="str">
        <f>IFERROR(VLOOKUP(E1883,STAT1!$C$4:$D$1000,2,FALSE),"")</f>
        <v/>
      </c>
      <c r="G1883" s="811"/>
      <c r="H1883" s="811"/>
      <c r="I1883" s="580">
        <f t="shared" si="183"/>
        <v>0</v>
      </c>
      <c r="J1883" s="961">
        <f t="shared" si="184"/>
        <v>0</v>
      </c>
      <c r="K1883" s="80"/>
      <c r="L1883" s="807"/>
      <c r="M1883" s="80" t="str">
        <f>+IFERROR(VLOOKUP(L1883,DATA!$G$4:$H$2000,2,FALSE),"")</f>
        <v/>
      </c>
      <c r="N1883" s="807"/>
      <c r="O1883" s="80" t="str">
        <f>IFERROR(VLOOKUP(N1883,DATA!$K$4:$L$51,2,FALSE),"")</f>
        <v/>
      </c>
      <c r="P1883" s="80">
        <f t="shared" si="182"/>
        <v>0</v>
      </c>
      <c r="Q1883" s="154">
        <f t="shared" si="181"/>
        <v>0</v>
      </c>
    </row>
    <row r="1884" spans="2:17">
      <c r="B1884" s="627" t="str">
        <f t="shared" si="185"/>
        <v/>
      </c>
      <c r="C1884" s="429"/>
      <c r="D1884" s="816"/>
      <c r="E1884" s="807"/>
      <c r="F1884" s="629" t="str">
        <f>IFERROR(VLOOKUP(E1884,STAT1!$C$4:$D$1000,2,FALSE),"")</f>
        <v/>
      </c>
      <c r="G1884" s="811"/>
      <c r="H1884" s="811"/>
      <c r="I1884" s="580">
        <f t="shared" si="183"/>
        <v>0</v>
      </c>
      <c r="J1884" s="961">
        <f t="shared" si="184"/>
        <v>0</v>
      </c>
      <c r="K1884" s="80"/>
      <c r="L1884" s="807"/>
      <c r="M1884" s="80" t="str">
        <f>+IFERROR(VLOOKUP(L1884,DATA!$G$4:$H$2000,2,FALSE),"")</f>
        <v/>
      </c>
      <c r="N1884" s="807"/>
      <c r="O1884" s="80" t="str">
        <f>IFERROR(VLOOKUP(N1884,DATA!$K$4:$L$51,2,FALSE),"")</f>
        <v/>
      </c>
      <c r="P1884" s="80">
        <f t="shared" si="182"/>
        <v>0</v>
      </c>
      <c r="Q1884" s="154">
        <f t="shared" si="181"/>
        <v>0</v>
      </c>
    </row>
    <row r="1885" spans="2:17">
      <c r="B1885" s="627" t="str">
        <f t="shared" si="185"/>
        <v/>
      </c>
      <c r="C1885" s="429"/>
      <c r="D1885" s="816"/>
      <c r="E1885" s="807"/>
      <c r="F1885" s="629" t="str">
        <f>IFERROR(VLOOKUP(E1885,STAT1!$C$4:$D$1000,2,FALSE),"")</f>
        <v/>
      </c>
      <c r="G1885" s="811"/>
      <c r="H1885" s="811"/>
      <c r="I1885" s="580">
        <f t="shared" si="183"/>
        <v>0</v>
      </c>
      <c r="J1885" s="961">
        <f t="shared" si="184"/>
        <v>0</v>
      </c>
      <c r="K1885" s="80"/>
      <c r="L1885" s="807"/>
      <c r="M1885" s="80" t="str">
        <f>+IFERROR(VLOOKUP(L1885,DATA!$G$4:$H$2000,2,FALSE),"")</f>
        <v/>
      </c>
      <c r="N1885" s="807"/>
      <c r="O1885" s="80" t="str">
        <f>IFERROR(VLOOKUP(N1885,DATA!$K$4:$L$51,2,FALSE),"")</f>
        <v/>
      </c>
      <c r="P1885" s="80">
        <f t="shared" si="182"/>
        <v>0</v>
      </c>
      <c r="Q1885" s="154">
        <f t="shared" ref="Q1885:Q1948" si="186">+IF(I1885,1,0)</f>
        <v>0</v>
      </c>
    </row>
    <row r="1886" spans="2:17">
      <c r="B1886" s="627" t="str">
        <f t="shared" si="185"/>
        <v/>
      </c>
      <c r="C1886" s="429"/>
      <c r="D1886" s="816"/>
      <c r="E1886" s="807"/>
      <c r="F1886" s="629" t="str">
        <f>IFERROR(VLOOKUP(E1886,STAT1!$C$4:$D$1000,2,FALSE),"")</f>
        <v/>
      </c>
      <c r="G1886" s="811"/>
      <c r="H1886" s="811"/>
      <c r="I1886" s="580">
        <f t="shared" si="183"/>
        <v>0</v>
      </c>
      <c r="J1886" s="961">
        <f t="shared" si="184"/>
        <v>0</v>
      </c>
      <c r="K1886" s="80"/>
      <c r="L1886" s="807"/>
      <c r="M1886" s="80" t="str">
        <f>+IFERROR(VLOOKUP(L1886,DATA!$G$4:$H$2000,2,FALSE),"")</f>
        <v/>
      </c>
      <c r="N1886" s="807"/>
      <c r="O1886" s="80" t="str">
        <f>IFERROR(VLOOKUP(N1886,DATA!$K$4:$L$51,2,FALSE),"")</f>
        <v/>
      </c>
      <c r="P1886" s="80">
        <f t="shared" si="182"/>
        <v>0</v>
      </c>
      <c r="Q1886" s="154">
        <f t="shared" si="186"/>
        <v>0</v>
      </c>
    </row>
    <row r="1887" spans="2:17">
      <c r="B1887" s="627" t="str">
        <f t="shared" si="185"/>
        <v/>
      </c>
      <c r="C1887" s="429"/>
      <c r="D1887" s="816"/>
      <c r="E1887" s="807"/>
      <c r="F1887" s="629" t="str">
        <f>IFERROR(VLOOKUP(E1887,STAT1!$C$4:$D$1000,2,FALSE),"")</f>
        <v/>
      </c>
      <c r="G1887" s="811"/>
      <c r="H1887" s="811"/>
      <c r="I1887" s="580">
        <f t="shared" si="183"/>
        <v>0</v>
      </c>
      <c r="J1887" s="961">
        <f t="shared" si="184"/>
        <v>0</v>
      </c>
      <c r="K1887" s="80"/>
      <c r="L1887" s="807"/>
      <c r="M1887" s="80" t="str">
        <f>+IFERROR(VLOOKUP(L1887,DATA!$G$4:$H$2000,2,FALSE),"")</f>
        <v/>
      </c>
      <c r="N1887" s="807"/>
      <c r="O1887" s="80" t="str">
        <f>IFERROR(VLOOKUP(N1887,DATA!$K$4:$L$51,2,FALSE),"")</f>
        <v/>
      </c>
      <c r="P1887" s="80">
        <f t="shared" si="182"/>
        <v>0</v>
      </c>
      <c r="Q1887" s="154">
        <f t="shared" si="186"/>
        <v>0</v>
      </c>
    </row>
    <row r="1888" spans="2:17">
      <c r="B1888" s="627" t="str">
        <f t="shared" si="185"/>
        <v/>
      </c>
      <c r="C1888" s="429"/>
      <c r="D1888" s="816"/>
      <c r="E1888" s="807"/>
      <c r="F1888" s="629" t="str">
        <f>IFERROR(VLOOKUP(E1888,STAT1!$C$4:$D$1000,2,FALSE),"")</f>
        <v/>
      </c>
      <c r="G1888" s="811"/>
      <c r="H1888" s="811"/>
      <c r="I1888" s="580">
        <f t="shared" si="183"/>
        <v>0</v>
      </c>
      <c r="J1888" s="961">
        <f t="shared" si="184"/>
        <v>0</v>
      </c>
      <c r="K1888" s="80"/>
      <c r="L1888" s="807"/>
      <c r="M1888" s="80" t="str">
        <f>+IFERROR(VLOOKUP(L1888,DATA!$G$4:$H$2000,2,FALSE),"")</f>
        <v/>
      </c>
      <c r="N1888" s="807"/>
      <c r="O1888" s="80" t="str">
        <f>IFERROR(VLOOKUP(N1888,DATA!$K$4:$L$51,2,FALSE),"")</f>
        <v/>
      </c>
      <c r="P1888" s="80">
        <f t="shared" si="182"/>
        <v>0</v>
      </c>
      <c r="Q1888" s="154">
        <f t="shared" si="186"/>
        <v>0</v>
      </c>
    </row>
    <row r="1889" spans="2:17">
      <c r="B1889" s="627" t="str">
        <f t="shared" si="185"/>
        <v/>
      </c>
      <c r="C1889" s="429"/>
      <c r="D1889" s="815"/>
      <c r="E1889" s="807"/>
      <c r="F1889" s="629" t="str">
        <f>IFERROR(VLOOKUP(E1889,STAT1!$C$4:$D$1000,2,FALSE),"")</f>
        <v/>
      </c>
      <c r="G1889" s="811"/>
      <c r="H1889" s="811"/>
      <c r="I1889" s="580">
        <f t="shared" si="183"/>
        <v>0</v>
      </c>
      <c r="J1889" s="961">
        <f t="shared" si="184"/>
        <v>0</v>
      </c>
      <c r="K1889" s="80"/>
      <c r="L1889" s="807"/>
      <c r="M1889" s="80" t="str">
        <f>+IFERROR(VLOOKUP(L1889,DATA!$G$4:$H$2000,2,FALSE),"")</f>
        <v/>
      </c>
      <c r="N1889" s="807"/>
      <c r="O1889" s="80" t="str">
        <f>IFERROR(VLOOKUP(N1889,DATA!$K$4:$L$51,2,FALSE),"")</f>
        <v/>
      </c>
      <c r="P1889" s="80">
        <f t="shared" si="182"/>
        <v>0</v>
      </c>
      <c r="Q1889" s="154">
        <f t="shared" si="186"/>
        <v>0</v>
      </c>
    </row>
    <row r="1890" spans="2:17">
      <c r="B1890" s="627" t="str">
        <f t="shared" si="185"/>
        <v/>
      </c>
      <c r="C1890" s="582"/>
      <c r="D1890" s="815"/>
      <c r="E1890" s="630"/>
      <c r="F1890" s="629" t="str">
        <f>IFERROR(VLOOKUP(E1890,STAT1!$C$4:$D$1000,2,FALSE),"")</f>
        <v/>
      </c>
      <c r="G1890" s="376"/>
      <c r="H1890" s="376"/>
      <c r="I1890" s="580">
        <f t="shared" si="183"/>
        <v>0</v>
      </c>
      <c r="J1890" s="961">
        <f t="shared" si="184"/>
        <v>0</v>
      </c>
      <c r="K1890" s="80"/>
      <c r="L1890" s="630"/>
      <c r="M1890" s="80" t="str">
        <f>+IFERROR(VLOOKUP(L1890,DATA!$G$4:$H$2000,2,FALSE),"")</f>
        <v/>
      </c>
      <c r="N1890" s="630"/>
      <c r="O1890" s="80" t="str">
        <f>IFERROR(VLOOKUP(N1890,DATA!$K$4:$L$51,2,FALSE),"")</f>
        <v/>
      </c>
      <c r="P1890" s="80">
        <f t="shared" si="182"/>
        <v>0</v>
      </c>
      <c r="Q1890" s="154">
        <f t="shared" si="186"/>
        <v>0</v>
      </c>
    </row>
    <row r="1891" spans="2:17">
      <c r="B1891" s="627" t="str">
        <f t="shared" si="185"/>
        <v/>
      </c>
      <c r="C1891" s="582"/>
      <c r="D1891" s="815"/>
      <c r="E1891" s="630"/>
      <c r="F1891" s="629" t="str">
        <f>IFERROR(VLOOKUP(E1891,STAT1!$C$4:$D$1000,2,FALSE),"")</f>
        <v/>
      </c>
      <c r="G1891" s="376"/>
      <c r="H1891" s="376"/>
      <c r="I1891" s="580">
        <f t="shared" si="183"/>
        <v>0</v>
      </c>
      <c r="J1891" s="961">
        <f t="shared" si="184"/>
        <v>0</v>
      </c>
      <c r="K1891" s="80"/>
      <c r="L1891" s="630"/>
      <c r="M1891" s="80" t="str">
        <f>+IFERROR(VLOOKUP(L1891,DATA!$G$4:$H$2000,2,FALSE),"")</f>
        <v/>
      </c>
      <c r="N1891" s="630"/>
      <c r="O1891" s="80" t="str">
        <f>IFERROR(VLOOKUP(N1891,DATA!$K$4:$L$51,2,FALSE),"")</f>
        <v/>
      </c>
      <c r="P1891" s="80">
        <f t="shared" si="182"/>
        <v>0</v>
      </c>
      <c r="Q1891" s="154">
        <f t="shared" si="186"/>
        <v>0</v>
      </c>
    </row>
    <row r="1892" spans="2:17">
      <c r="B1892" s="627" t="str">
        <f t="shared" si="185"/>
        <v/>
      </c>
      <c r="C1892" s="582"/>
      <c r="D1892" s="815"/>
      <c r="E1892" s="630"/>
      <c r="F1892" s="629" t="str">
        <f>IFERROR(VLOOKUP(E1892,STAT1!$C$4:$D$1000,2,FALSE),"")</f>
        <v/>
      </c>
      <c r="G1892" s="376"/>
      <c r="H1892" s="376"/>
      <c r="I1892" s="580">
        <f t="shared" si="183"/>
        <v>0</v>
      </c>
      <c r="J1892" s="961">
        <f t="shared" si="184"/>
        <v>0</v>
      </c>
      <c r="K1892" s="80"/>
      <c r="L1892" s="630"/>
      <c r="M1892" s="80" t="str">
        <f>+IFERROR(VLOOKUP(L1892,DATA!$G$4:$H$2000,2,FALSE),"")</f>
        <v/>
      </c>
      <c r="N1892" s="630"/>
      <c r="O1892" s="80" t="str">
        <f>IFERROR(VLOOKUP(N1892,DATA!$K$4:$L$51,2,FALSE),"")</f>
        <v/>
      </c>
      <c r="P1892" s="80">
        <f t="shared" si="182"/>
        <v>0</v>
      </c>
      <c r="Q1892" s="154">
        <f t="shared" si="186"/>
        <v>0</v>
      </c>
    </row>
    <row r="1893" spans="2:17">
      <c r="B1893" s="627" t="str">
        <f t="shared" si="185"/>
        <v/>
      </c>
      <c r="C1893" s="582"/>
      <c r="D1893" s="815"/>
      <c r="E1893" s="630"/>
      <c r="F1893" s="629" t="str">
        <f>IFERROR(VLOOKUP(E1893,STAT1!$C$4:$D$1000,2,FALSE),"")</f>
        <v/>
      </c>
      <c r="G1893" s="376"/>
      <c r="H1893" s="376"/>
      <c r="I1893" s="580">
        <f t="shared" si="183"/>
        <v>0</v>
      </c>
      <c r="J1893" s="961">
        <f t="shared" si="184"/>
        <v>0</v>
      </c>
      <c r="K1893" s="80"/>
      <c r="L1893" s="630"/>
      <c r="M1893" s="80" t="str">
        <f>+IFERROR(VLOOKUP(L1893,DATA!$G$4:$H$2000,2,FALSE),"")</f>
        <v/>
      </c>
      <c r="N1893" s="630"/>
      <c r="O1893" s="80" t="str">
        <f>IFERROR(VLOOKUP(N1893,DATA!$K$4:$L$51,2,FALSE),"")</f>
        <v/>
      </c>
      <c r="P1893" s="80">
        <f t="shared" si="182"/>
        <v>0</v>
      </c>
      <c r="Q1893" s="154">
        <f t="shared" si="186"/>
        <v>0</v>
      </c>
    </row>
    <row r="1894" spans="2:17">
      <c r="B1894" s="627" t="str">
        <f t="shared" si="185"/>
        <v/>
      </c>
      <c r="C1894" s="582"/>
      <c r="D1894" s="816"/>
      <c r="E1894" s="630"/>
      <c r="F1894" s="629" t="str">
        <f>IFERROR(VLOOKUP(E1894,STAT1!$C$4:$D$1000,2,FALSE),"")</f>
        <v/>
      </c>
      <c r="G1894" s="376"/>
      <c r="H1894" s="376"/>
      <c r="I1894" s="580">
        <f t="shared" si="183"/>
        <v>0</v>
      </c>
      <c r="J1894" s="961">
        <f t="shared" si="184"/>
        <v>0</v>
      </c>
      <c r="K1894" s="80"/>
      <c r="L1894" s="630"/>
      <c r="M1894" s="80" t="str">
        <f>+IFERROR(VLOOKUP(L1894,DATA!$G$4:$H$2000,2,FALSE),"")</f>
        <v/>
      </c>
      <c r="N1894" s="630"/>
      <c r="O1894" s="80" t="str">
        <f>IFERROR(VLOOKUP(N1894,DATA!$K$4:$L$51,2,FALSE),"")</f>
        <v/>
      </c>
      <c r="P1894" s="80">
        <f t="shared" si="182"/>
        <v>0</v>
      </c>
      <c r="Q1894" s="154">
        <f t="shared" si="186"/>
        <v>0</v>
      </c>
    </row>
    <row r="1895" spans="2:17">
      <c r="B1895" s="627" t="str">
        <f t="shared" si="185"/>
        <v/>
      </c>
      <c r="C1895" s="429"/>
      <c r="D1895" s="816"/>
      <c r="E1895" s="807"/>
      <c r="F1895" s="629" t="str">
        <f>IFERROR(VLOOKUP(E1895,STAT1!$C$4:$D$1000,2,FALSE),"")</f>
        <v/>
      </c>
      <c r="G1895" s="811"/>
      <c r="H1895" s="811"/>
      <c r="I1895" s="580">
        <f t="shared" si="183"/>
        <v>0</v>
      </c>
      <c r="J1895" s="961">
        <f t="shared" si="184"/>
        <v>0</v>
      </c>
      <c r="K1895" s="80"/>
      <c r="L1895" s="807"/>
      <c r="M1895" s="80" t="str">
        <f>+IFERROR(VLOOKUP(L1895,DATA!$G$4:$H$2000,2,FALSE),"")</f>
        <v/>
      </c>
      <c r="N1895" s="807"/>
      <c r="O1895" s="80" t="str">
        <f>IFERROR(VLOOKUP(N1895,DATA!$K$4:$L$51,2,FALSE),"")</f>
        <v/>
      </c>
      <c r="P1895" s="80">
        <f t="shared" si="182"/>
        <v>0</v>
      </c>
      <c r="Q1895" s="154">
        <f t="shared" si="186"/>
        <v>0</v>
      </c>
    </row>
    <row r="1896" spans="2:17">
      <c r="B1896" s="627" t="str">
        <f t="shared" si="185"/>
        <v/>
      </c>
      <c r="C1896" s="429"/>
      <c r="D1896" s="816"/>
      <c r="E1896" s="807"/>
      <c r="F1896" s="629" t="str">
        <f>IFERROR(VLOOKUP(E1896,STAT1!$C$4:$D$1000,2,FALSE),"")</f>
        <v/>
      </c>
      <c r="G1896" s="811"/>
      <c r="H1896" s="811"/>
      <c r="I1896" s="580">
        <f t="shared" si="183"/>
        <v>0</v>
      </c>
      <c r="J1896" s="961">
        <f t="shared" si="184"/>
        <v>0</v>
      </c>
      <c r="K1896" s="80"/>
      <c r="L1896" s="807"/>
      <c r="M1896" s="80" t="str">
        <f>+IFERROR(VLOOKUP(L1896,DATA!$G$4:$H$2000,2,FALSE),"")</f>
        <v/>
      </c>
      <c r="N1896" s="807"/>
      <c r="O1896" s="80" t="str">
        <f>IFERROR(VLOOKUP(N1896,DATA!$K$4:$L$51,2,FALSE),"")</f>
        <v/>
      </c>
      <c r="P1896" s="80">
        <f t="shared" si="182"/>
        <v>0</v>
      </c>
      <c r="Q1896" s="154">
        <f t="shared" si="186"/>
        <v>0</v>
      </c>
    </row>
    <row r="1897" spans="2:17">
      <c r="B1897" s="627" t="str">
        <f t="shared" si="185"/>
        <v/>
      </c>
      <c r="C1897" s="429"/>
      <c r="D1897" s="816"/>
      <c r="E1897" s="807"/>
      <c r="F1897" s="629" t="str">
        <f>IFERROR(VLOOKUP(E1897,STAT1!$C$4:$D$1000,2,FALSE),"")</f>
        <v/>
      </c>
      <c r="G1897" s="811"/>
      <c r="H1897" s="811"/>
      <c r="I1897" s="580">
        <f t="shared" si="183"/>
        <v>0</v>
      </c>
      <c r="J1897" s="961">
        <f t="shared" si="184"/>
        <v>0</v>
      </c>
      <c r="K1897" s="80"/>
      <c r="L1897" s="807"/>
      <c r="M1897" s="80" t="str">
        <f>+IFERROR(VLOOKUP(L1897,DATA!$G$4:$H$2000,2,FALSE),"")</f>
        <v/>
      </c>
      <c r="N1897" s="807"/>
      <c r="O1897" s="80" t="str">
        <f>IFERROR(VLOOKUP(N1897,DATA!$K$4:$L$51,2,FALSE),"")</f>
        <v/>
      </c>
      <c r="P1897" s="80">
        <f t="shared" si="182"/>
        <v>0</v>
      </c>
      <c r="Q1897" s="154">
        <f t="shared" si="186"/>
        <v>0</v>
      </c>
    </row>
    <row r="1898" spans="2:17">
      <c r="B1898" s="627" t="str">
        <f t="shared" si="185"/>
        <v/>
      </c>
      <c r="C1898" s="429"/>
      <c r="D1898" s="816"/>
      <c r="E1898" s="807"/>
      <c r="F1898" s="629" t="str">
        <f>IFERROR(VLOOKUP(E1898,STAT1!$C$4:$D$1000,2,FALSE),"")</f>
        <v/>
      </c>
      <c r="G1898" s="811"/>
      <c r="H1898" s="811"/>
      <c r="I1898" s="580">
        <f t="shared" si="183"/>
        <v>0</v>
      </c>
      <c r="J1898" s="961">
        <f t="shared" si="184"/>
        <v>0</v>
      </c>
      <c r="K1898" s="80"/>
      <c r="L1898" s="807"/>
      <c r="M1898" s="80" t="str">
        <f>+IFERROR(VLOOKUP(L1898,DATA!$G$4:$H$2000,2,FALSE),"")</f>
        <v/>
      </c>
      <c r="N1898" s="807"/>
      <c r="O1898" s="80" t="str">
        <f>IFERROR(VLOOKUP(N1898,DATA!$K$4:$L$51,2,FALSE),"")</f>
        <v/>
      </c>
      <c r="P1898" s="80">
        <f t="shared" si="182"/>
        <v>0</v>
      </c>
      <c r="Q1898" s="154">
        <f t="shared" si="186"/>
        <v>0</v>
      </c>
    </row>
    <row r="1899" spans="2:17">
      <c r="B1899" s="627" t="str">
        <f t="shared" si="185"/>
        <v/>
      </c>
      <c r="C1899" s="429"/>
      <c r="D1899" s="816"/>
      <c r="E1899" s="807"/>
      <c r="F1899" s="629" t="str">
        <f>IFERROR(VLOOKUP(E1899,STAT1!$C$4:$D$1000,2,FALSE),"")</f>
        <v/>
      </c>
      <c r="G1899" s="811"/>
      <c r="H1899" s="811"/>
      <c r="I1899" s="580">
        <f t="shared" si="183"/>
        <v>0</v>
      </c>
      <c r="J1899" s="961">
        <f t="shared" si="184"/>
        <v>0</v>
      </c>
      <c r="K1899" s="80"/>
      <c r="L1899" s="807"/>
      <c r="M1899" s="80" t="str">
        <f>+IFERROR(VLOOKUP(L1899,DATA!$G$4:$H$2000,2,FALSE),"")</f>
        <v/>
      </c>
      <c r="N1899" s="807"/>
      <c r="O1899" s="80" t="str">
        <f>IFERROR(VLOOKUP(N1899,DATA!$K$4:$L$51,2,FALSE),"")</f>
        <v/>
      </c>
      <c r="P1899" s="80">
        <f t="shared" si="182"/>
        <v>0</v>
      </c>
      <c r="Q1899" s="154">
        <f t="shared" si="186"/>
        <v>0</v>
      </c>
    </row>
    <row r="1900" spans="2:17">
      <c r="B1900" s="627" t="str">
        <f t="shared" si="185"/>
        <v/>
      </c>
      <c r="C1900" s="429"/>
      <c r="D1900" s="816"/>
      <c r="E1900" s="807"/>
      <c r="F1900" s="629" t="str">
        <f>IFERROR(VLOOKUP(E1900,STAT1!$C$4:$D$1000,2,FALSE),"")</f>
        <v/>
      </c>
      <c r="G1900" s="811"/>
      <c r="H1900" s="811"/>
      <c r="I1900" s="580">
        <f t="shared" si="183"/>
        <v>0</v>
      </c>
      <c r="J1900" s="961">
        <f t="shared" si="184"/>
        <v>0</v>
      </c>
      <c r="K1900" s="80"/>
      <c r="L1900" s="807"/>
      <c r="M1900" s="80" t="str">
        <f>+IFERROR(VLOOKUP(L1900,DATA!$G$4:$H$2000,2,FALSE),"")</f>
        <v/>
      </c>
      <c r="N1900" s="807"/>
      <c r="O1900" s="80" t="str">
        <f>IFERROR(VLOOKUP(N1900,DATA!$K$4:$L$51,2,FALSE),"")</f>
        <v/>
      </c>
      <c r="P1900" s="80">
        <f t="shared" si="182"/>
        <v>0</v>
      </c>
      <c r="Q1900" s="154">
        <f t="shared" si="186"/>
        <v>0</v>
      </c>
    </row>
    <row r="1901" spans="2:17">
      <c r="B1901" s="627" t="str">
        <f t="shared" si="185"/>
        <v/>
      </c>
      <c r="C1901" s="429"/>
      <c r="D1901" s="816"/>
      <c r="E1901" s="807"/>
      <c r="F1901" s="629" t="str">
        <f>IFERROR(VLOOKUP(E1901,STAT1!$C$4:$D$1000,2,FALSE),"")</f>
        <v/>
      </c>
      <c r="G1901" s="811"/>
      <c r="H1901" s="811"/>
      <c r="I1901" s="580">
        <f t="shared" si="183"/>
        <v>0</v>
      </c>
      <c r="J1901" s="961">
        <f t="shared" si="184"/>
        <v>0</v>
      </c>
      <c r="K1901" s="80"/>
      <c r="L1901" s="807"/>
      <c r="M1901" s="80" t="str">
        <f>+IFERROR(VLOOKUP(L1901,DATA!$G$4:$H$2000,2,FALSE),"")</f>
        <v/>
      </c>
      <c r="N1901" s="807"/>
      <c r="O1901" s="80" t="str">
        <f>IFERROR(VLOOKUP(N1901,DATA!$K$4:$L$51,2,FALSE),"")</f>
        <v/>
      </c>
      <c r="P1901" s="80">
        <f t="shared" si="182"/>
        <v>0</v>
      </c>
      <c r="Q1901" s="154">
        <f t="shared" si="186"/>
        <v>0</v>
      </c>
    </row>
    <row r="1902" spans="2:17">
      <c r="B1902" s="627" t="str">
        <f t="shared" si="185"/>
        <v/>
      </c>
      <c r="C1902" s="429"/>
      <c r="D1902" s="816"/>
      <c r="E1902" s="807"/>
      <c r="F1902" s="629" t="str">
        <f>IFERROR(VLOOKUP(E1902,STAT1!$C$4:$D$1000,2,FALSE),"")</f>
        <v/>
      </c>
      <c r="G1902" s="811"/>
      <c r="H1902" s="811"/>
      <c r="I1902" s="580">
        <f t="shared" si="183"/>
        <v>0</v>
      </c>
      <c r="J1902" s="961">
        <f t="shared" si="184"/>
        <v>0</v>
      </c>
      <c r="K1902" s="80"/>
      <c r="L1902" s="807"/>
      <c r="M1902" s="80" t="str">
        <f>+IFERROR(VLOOKUP(L1902,DATA!$G$4:$H$2000,2,FALSE),"")</f>
        <v/>
      </c>
      <c r="N1902" s="807"/>
      <c r="O1902" s="80" t="str">
        <f>IFERROR(VLOOKUP(N1902,DATA!$K$4:$L$51,2,FALSE),"")</f>
        <v/>
      </c>
      <c r="P1902" s="80">
        <f t="shared" si="182"/>
        <v>0</v>
      </c>
      <c r="Q1902" s="154">
        <f t="shared" si="186"/>
        <v>0</v>
      </c>
    </row>
    <row r="1903" spans="2:17">
      <c r="B1903" s="627" t="str">
        <f t="shared" si="185"/>
        <v/>
      </c>
      <c r="C1903" s="429"/>
      <c r="D1903" s="816"/>
      <c r="E1903" s="807"/>
      <c r="F1903" s="629" t="str">
        <f>IFERROR(VLOOKUP(E1903,STAT1!$C$4:$D$1000,2,FALSE),"")</f>
        <v/>
      </c>
      <c r="G1903" s="811"/>
      <c r="H1903" s="811"/>
      <c r="I1903" s="580">
        <f t="shared" si="183"/>
        <v>0</v>
      </c>
      <c r="J1903" s="961">
        <f t="shared" si="184"/>
        <v>0</v>
      </c>
      <c r="K1903" s="80"/>
      <c r="L1903" s="807"/>
      <c r="M1903" s="80" t="str">
        <f>+IFERROR(VLOOKUP(L1903,DATA!$G$4:$H$2000,2,FALSE),"")</f>
        <v/>
      </c>
      <c r="N1903" s="807"/>
      <c r="O1903" s="80" t="str">
        <f>IFERROR(VLOOKUP(N1903,DATA!$K$4:$L$51,2,FALSE),"")</f>
        <v/>
      </c>
      <c r="P1903" s="80">
        <f t="shared" si="182"/>
        <v>0</v>
      </c>
      <c r="Q1903" s="154">
        <f t="shared" si="186"/>
        <v>0</v>
      </c>
    </row>
    <row r="1904" spans="2:17">
      <c r="B1904" s="627" t="str">
        <f t="shared" si="185"/>
        <v/>
      </c>
      <c r="C1904" s="429"/>
      <c r="D1904" s="816"/>
      <c r="E1904" s="807"/>
      <c r="F1904" s="629" t="str">
        <f>IFERROR(VLOOKUP(E1904,STAT1!$C$4:$D$1000,2,FALSE),"")</f>
        <v/>
      </c>
      <c r="G1904" s="811"/>
      <c r="H1904" s="811"/>
      <c r="I1904" s="580">
        <f t="shared" si="183"/>
        <v>0</v>
      </c>
      <c r="J1904" s="961">
        <f t="shared" si="184"/>
        <v>0</v>
      </c>
      <c r="K1904" s="80"/>
      <c r="L1904" s="807"/>
      <c r="M1904" s="80" t="str">
        <f>+IFERROR(VLOOKUP(L1904,DATA!$G$4:$H$2000,2,FALSE),"")</f>
        <v/>
      </c>
      <c r="N1904" s="807"/>
      <c r="O1904" s="80" t="str">
        <f>IFERROR(VLOOKUP(N1904,DATA!$K$4:$L$51,2,FALSE),"")</f>
        <v/>
      </c>
      <c r="P1904" s="80">
        <f t="shared" si="182"/>
        <v>0</v>
      </c>
      <c r="Q1904" s="154">
        <f t="shared" si="186"/>
        <v>0</v>
      </c>
    </row>
    <row r="1905" spans="2:17">
      <c r="B1905" s="627" t="str">
        <f t="shared" si="185"/>
        <v/>
      </c>
      <c r="C1905" s="429"/>
      <c r="D1905" s="816"/>
      <c r="E1905" s="807"/>
      <c r="F1905" s="629" t="str">
        <f>IFERROR(VLOOKUP(E1905,STAT1!$C$4:$D$1000,2,FALSE),"")</f>
        <v/>
      </c>
      <c r="G1905" s="811"/>
      <c r="H1905" s="811"/>
      <c r="I1905" s="580">
        <f t="shared" si="183"/>
        <v>0</v>
      </c>
      <c r="J1905" s="961">
        <f t="shared" si="184"/>
        <v>0</v>
      </c>
      <c r="K1905" s="80"/>
      <c r="L1905" s="807"/>
      <c r="M1905" s="80" t="str">
        <f>+IFERROR(VLOOKUP(L1905,DATA!$G$4:$H$2000,2,FALSE),"")</f>
        <v/>
      </c>
      <c r="N1905" s="807"/>
      <c r="O1905" s="80" t="str">
        <f>IFERROR(VLOOKUP(N1905,DATA!$K$4:$L$51,2,FALSE),"")</f>
        <v/>
      </c>
      <c r="P1905" s="80">
        <f t="shared" si="182"/>
        <v>0</v>
      </c>
      <c r="Q1905" s="154">
        <f t="shared" si="186"/>
        <v>0</v>
      </c>
    </row>
    <row r="1906" spans="2:17">
      <c r="B1906" s="627" t="str">
        <f t="shared" si="185"/>
        <v/>
      </c>
      <c r="C1906" s="429"/>
      <c r="D1906" s="816"/>
      <c r="E1906" s="807"/>
      <c r="F1906" s="629" t="str">
        <f>IFERROR(VLOOKUP(E1906,STAT1!$C$4:$D$1000,2,FALSE),"")</f>
        <v/>
      </c>
      <c r="G1906" s="811"/>
      <c r="H1906" s="811"/>
      <c r="I1906" s="580">
        <f t="shared" si="183"/>
        <v>0</v>
      </c>
      <c r="J1906" s="961">
        <f t="shared" si="184"/>
        <v>0</v>
      </c>
      <c r="K1906" s="80"/>
      <c r="L1906" s="807"/>
      <c r="M1906" s="80" t="str">
        <f>+IFERROR(VLOOKUP(L1906,DATA!$G$4:$H$2000,2,FALSE),"")</f>
        <v/>
      </c>
      <c r="N1906" s="807"/>
      <c r="O1906" s="80" t="str">
        <f>IFERROR(VLOOKUP(N1906,DATA!$K$4:$L$51,2,FALSE),"")</f>
        <v/>
      </c>
      <c r="P1906" s="80">
        <f t="shared" si="182"/>
        <v>0</v>
      </c>
      <c r="Q1906" s="154">
        <f t="shared" si="186"/>
        <v>0</v>
      </c>
    </row>
    <row r="1907" spans="2:17">
      <c r="B1907" s="627" t="str">
        <f t="shared" si="185"/>
        <v/>
      </c>
      <c r="C1907" s="429"/>
      <c r="D1907" s="816"/>
      <c r="E1907" s="807"/>
      <c r="F1907" s="629" t="str">
        <f>IFERROR(VLOOKUP(E1907,STAT1!$C$4:$D$1000,2,FALSE),"")</f>
        <v/>
      </c>
      <c r="G1907" s="811"/>
      <c r="H1907" s="811"/>
      <c r="I1907" s="580">
        <f t="shared" si="183"/>
        <v>0</v>
      </c>
      <c r="J1907" s="961">
        <f t="shared" si="184"/>
        <v>0</v>
      </c>
      <c r="K1907" s="80"/>
      <c r="L1907" s="807"/>
      <c r="M1907" s="80" t="str">
        <f>+IFERROR(VLOOKUP(L1907,DATA!$G$4:$H$2000,2,FALSE),"")</f>
        <v/>
      </c>
      <c r="N1907" s="807"/>
      <c r="O1907" s="80" t="str">
        <f>IFERROR(VLOOKUP(N1907,DATA!$K$4:$L$51,2,FALSE),"")</f>
        <v/>
      </c>
      <c r="P1907" s="80">
        <f t="shared" si="182"/>
        <v>0</v>
      </c>
      <c r="Q1907" s="154">
        <f t="shared" si="186"/>
        <v>0</v>
      </c>
    </row>
    <row r="1908" spans="2:17">
      <c r="B1908" s="627" t="str">
        <f t="shared" si="185"/>
        <v/>
      </c>
      <c r="C1908" s="429"/>
      <c r="D1908" s="816"/>
      <c r="E1908" s="807"/>
      <c r="F1908" s="629" t="str">
        <f>IFERROR(VLOOKUP(E1908,STAT1!$C$4:$D$1000,2,FALSE),"")</f>
        <v/>
      </c>
      <c r="G1908" s="811"/>
      <c r="H1908" s="811"/>
      <c r="I1908" s="580">
        <f t="shared" si="183"/>
        <v>0</v>
      </c>
      <c r="J1908" s="961">
        <f t="shared" si="184"/>
        <v>0</v>
      </c>
      <c r="K1908" s="80"/>
      <c r="L1908" s="807"/>
      <c r="M1908" s="80" t="str">
        <f>+IFERROR(VLOOKUP(L1908,DATA!$G$4:$H$2000,2,FALSE),"")</f>
        <v/>
      </c>
      <c r="N1908" s="807"/>
      <c r="O1908" s="80" t="str">
        <f>IFERROR(VLOOKUP(N1908,DATA!$K$4:$L$51,2,FALSE),"")</f>
        <v/>
      </c>
      <c r="P1908" s="80">
        <f t="shared" si="182"/>
        <v>0</v>
      </c>
      <c r="Q1908" s="154">
        <f t="shared" si="186"/>
        <v>0</v>
      </c>
    </row>
    <row r="1909" spans="2:17">
      <c r="B1909" s="627" t="str">
        <f t="shared" si="185"/>
        <v/>
      </c>
      <c r="C1909" s="429"/>
      <c r="D1909" s="816"/>
      <c r="E1909" s="807"/>
      <c r="F1909" s="629" t="str">
        <f>IFERROR(VLOOKUP(E1909,STAT1!$C$4:$D$1000,2,FALSE),"")</f>
        <v/>
      </c>
      <c r="G1909" s="811"/>
      <c r="H1909" s="811"/>
      <c r="I1909" s="580">
        <f t="shared" si="183"/>
        <v>0</v>
      </c>
      <c r="J1909" s="961">
        <f t="shared" si="184"/>
        <v>0</v>
      </c>
      <c r="K1909" s="80"/>
      <c r="L1909" s="807"/>
      <c r="M1909" s="80" t="str">
        <f>+IFERROR(VLOOKUP(L1909,DATA!$G$4:$H$2000,2,FALSE),"")</f>
        <v/>
      </c>
      <c r="N1909" s="807"/>
      <c r="O1909" s="80" t="str">
        <f>IFERROR(VLOOKUP(N1909,DATA!$K$4:$L$51,2,FALSE),"")</f>
        <v/>
      </c>
      <c r="P1909" s="80">
        <f t="shared" si="182"/>
        <v>0</v>
      </c>
      <c r="Q1909" s="154">
        <f t="shared" si="186"/>
        <v>0</v>
      </c>
    </row>
    <row r="1910" spans="2:17">
      <c r="B1910" s="627" t="str">
        <f t="shared" si="185"/>
        <v/>
      </c>
      <c r="C1910" s="429"/>
      <c r="D1910" s="816"/>
      <c r="E1910" s="807"/>
      <c r="F1910" s="629" t="str">
        <f>IFERROR(VLOOKUP(E1910,STAT1!$C$4:$D$1000,2,FALSE),"")</f>
        <v/>
      </c>
      <c r="G1910" s="811"/>
      <c r="H1910" s="811"/>
      <c r="I1910" s="580">
        <f t="shared" si="183"/>
        <v>0</v>
      </c>
      <c r="J1910" s="961">
        <f t="shared" si="184"/>
        <v>0</v>
      </c>
      <c r="K1910" s="80"/>
      <c r="L1910" s="807"/>
      <c r="M1910" s="80" t="str">
        <f>+IFERROR(VLOOKUP(L1910,DATA!$G$4:$H$2000,2,FALSE),"")</f>
        <v/>
      </c>
      <c r="N1910" s="807"/>
      <c r="O1910" s="80" t="str">
        <f>IFERROR(VLOOKUP(N1910,DATA!$K$4:$L$51,2,FALSE),"")</f>
        <v/>
      </c>
      <c r="P1910" s="80">
        <f t="shared" si="182"/>
        <v>0</v>
      </c>
      <c r="Q1910" s="154">
        <f t="shared" si="186"/>
        <v>0</v>
      </c>
    </row>
    <row r="1911" spans="2:17">
      <c r="B1911" s="627" t="str">
        <f t="shared" si="185"/>
        <v/>
      </c>
      <c r="C1911" s="429"/>
      <c r="D1911" s="816"/>
      <c r="E1911" s="807"/>
      <c r="F1911" s="629" t="str">
        <f>IFERROR(VLOOKUP(E1911,STAT1!$C$4:$D$1000,2,FALSE),"")</f>
        <v/>
      </c>
      <c r="G1911" s="811"/>
      <c r="H1911" s="811"/>
      <c r="I1911" s="580">
        <f t="shared" si="183"/>
        <v>0</v>
      </c>
      <c r="J1911" s="961">
        <f t="shared" si="184"/>
        <v>0</v>
      </c>
      <c r="K1911" s="80"/>
      <c r="L1911" s="807"/>
      <c r="M1911" s="80" t="str">
        <f>+IFERROR(VLOOKUP(L1911,DATA!$G$4:$H$2000,2,FALSE),"")</f>
        <v/>
      </c>
      <c r="N1911" s="807"/>
      <c r="O1911" s="80" t="str">
        <f>IFERROR(VLOOKUP(N1911,DATA!$K$4:$L$51,2,FALSE),"")</f>
        <v/>
      </c>
      <c r="P1911" s="80">
        <f t="shared" si="182"/>
        <v>0</v>
      </c>
      <c r="Q1911" s="154">
        <f t="shared" si="186"/>
        <v>0</v>
      </c>
    </row>
    <row r="1912" spans="2:17">
      <c r="B1912" s="627" t="str">
        <f t="shared" si="185"/>
        <v/>
      </c>
      <c r="C1912" s="429"/>
      <c r="D1912" s="816"/>
      <c r="E1912" s="807"/>
      <c r="F1912" s="629" t="str">
        <f>IFERROR(VLOOKUP(E1912,STAT1!$C$4:$D$1000,2,FALSE),"")</f>
        <v/>
      </c>
      <c r="G1912" s="811"/>
      <c r="H1912" s="811"/>
      <c r="I1912" s="580">
        <f t="shared" si="183"/>
        <v>0</v>
      </c>
      <c r="J1912" s="961">
        <f t="shared" si="184"/>
        <v>0</v>
      </c>
      <c r="K1912" s="80"/>
      <c r="L1912" s="807"/>
      <c r="M1912" s="80" t="str">
        <f>+IFERROR(VLOOKUP(L1912,DATA!$G$4:$H$2000,2,FALSE),"")</f>
        <v/>
      </c>
      <c r="N1912" s="807"/>
      <c r="O1912" s="80" t="str">
        <f>IFERROR(VLOOKUP(N1912,DATA!$K$4:$L$51,2,FALSE),"")</f>
        <v/>
      </c>
      <c r="P1912" s="80">
        <f t="shared" si="182"/>
        <v>0</v>
      </c>
      <c r="Q1912" s="154">
        <f t="shared" si="186"/>
        <v>0</v>
      </c>
    </row>
    <row r="1913" spans="2:17">
      <c r="B1913" s="627" t="str">
        <f t="shared" si="185"/>
        <v/>
      </c>
      <c r="C1913" s="429"/>
      <c r="D1913" s="816"/>
      <c r="E1913" s="807"/>
      <c r="F1913" s="629" t="str">
        <f>IFERROR(VLOOKUP(E1913,STAT1!$C$4:$D$1000,2,FALSE),"")</f>
        <v/>
      </c>
      <c r="G1913" s="811"/>
      <c r="H1913" s="811"/>
      <c r="I1913" s="580">
        <f t="shared" si="183"/>
        <v>0</v>
      </c>
      <c r="J1913" s="961">
        <f t="shared" si="184"/>
        <v>0</v>
      </c>
      <c r="K1913" s="80"/>
      <c r="L1913" s="807"/>
      <c r="M1913" s="80" t="str">
        <f>+IFERROR(VLOOKUP(L1913,DATA!$G$4:$H$2000,2,FALSE),"")</f>
        <v/>
      </c>
      <c r="N1913" s="807"/>
      <c r="O1913" s="80" t="str">
        <f>IFERROR(VLOOKUP(N1913,DATA!$K$4:$L$51,2,FALSE),"")</f>
        <v/>
      </c>
      <c r="P1913" s="80">
        <f t="shared" si="182"/>
        <v>0</v>
      </c>
      <c r="Q1913" s="154">
        <f t="shared" si="186"/>
        <v>0</v>
      </c>
    </row>
    <row r="1914" spans="2:17">
      <c r="B1914" s="627" t="str">
        <f t="shared" si="185"/>
        <v/>
      </c>
      <c r="C1914" s="429"/>
      <c r="D1914" s="816"/>
      <c r="E1914" s="807"/>
      <c r="F1914" s="629" t="str">
        <f>IFERROR(VLOOKUP(E1914,STAT1!$C$4:$D$1000,2,FALSE),"")</f>
        <v/>
      </c>
      <c r="G1914" s="811"/>
      <c r="H1914" s="811"/>
      <c r="I1914" s="580">
        <f t="shared" si="183"/>
        <v>0</v>
      </c>
      <c r="J1914" s="961">
        <f t="shared" si="184"/>
        <v>0</v>
      </c>
      <c r="K1914" s="80"/>
      <c r="L1914" s="807"/>
      <c r="M1914" s="80" t="str">
        <f>+IFERROR(VLOOKUP(L1914,DATA!$G$4:$H$2000,2,FALSE),"")</f>
        <v/>
      </c>
      <c r="N1914" s="807"/>
      <c r="O1914" s="80" t="str">
        <f>IFERROR(VLOOKUP(N1914,DATA!$K$4:$L$51,2,FALSE),"")</f>
        <v/>
      </c>
      <c r="P1914" s="80">
        <f t="shared" si="182"/>
        <v>0</v>
      </c>
      <c r="Q1914" s="154">
        <f t="shared" si="186"/>
        <v>0</v>
      </c>
    </row>
    <row r="1915" spans="2:17">
      <c r="B1915" s="627" t="str">
        <f t="shared" si="185"/>
        <v/>
      </c>
      <c r="C1915" s="429"/>
      <c r="D1915" s="816"/>
      <c r="E1915" s="807"/>
      <c r="F1915" s="629" t="str">
        <f>IFERROR(VLOOKUP(E1915,STAT1!$C$4:$D$1000,2,FALSE),"")</f>
        <v/>
      </c>
      <c r="G1915" s="811"/>
      <c r="H1915" s="811"/>
      <c r="I1915" s="580">
        <f t="shared" si="183"/>
        <v>0</v>
      </c>
      <c r="J1915" s="961">
        <f t="shared" si="184"/>
        <v>0</v>
      </c>
      <c r="K1915" s="80"/>
      <c r="L1915" s="807"/>
      <c r="M1915" s="80" t="str">
        <f>+IFERROR(VLOOKUP(L1915,DATA!$G$4:$H$2000,2,FALSE),"")</f>
        <v/>
      </c>
      <c r="N1915" s="807"/>
      <c r="O1915" s="80" t="str">
        <f>IFERROR(VLOOKUP(N1915,DATA!$K$4:$L$51,2,FALSE),"")</f>
        <v/>
      </c>
      <c r="P1915" s="80">
        <f t="shared" si="182"/>
        <v>0</v>
      </c>
      <c r="Q1915" s="154">
        <f t="shared" si="186"/>
        <v>0</v>
      </c>
    </row>
    <row r="1916" spans="2:17">
      <c r="B1916" s="627" t="str">
        <f t="shared" si="185"/>
        <v/>
      </c>
      <c r="C1916" s="429"/>
      <c r="D1916" s="816"/>
      <c r="E1916" s="807"/>
      <c r="F1916" s="629" t="str">
        <f>IFERROR(VLOOKUP(E1916,STAT1!$C$4:$D$1000,2,FALSE),"")</f>
        <v/>
      </c>
      <c r="G1916" s="811"/>
      <c r="H1916" s="811"/>
      <c r="I1916" s="580">
        <f t="shared" si="183"/>
        <v>0</v>
      </c>
      <c r="J1916" s="961">
        <f t="shared" si="184"/>
        <v>0</v>
      </c>
      <c r="K1916" s="80"/>
      <c r="L1916" s="807"/>
      <c r="M1916" s="80" t="str">
        <f>+IFERROR(VLOOKUP(L1916,DATA!$G$4:$H$2000,2,FALSE),"")</f>
        <v/>
      </c>
      <c r="N1916" s="807"/>
      <c r="O1916" s="80" t="str">
        <f>IFERROR(VLOOKUP(N1916,DATA!$K$4:$L$51,2,FALSE),"")</f>
        <v/>
      </c>
      <c r="P1916" s="80">
        <f t="shared" ref="P1916:P1979" si="187">+IF(I1916,1,0)</f>
        <v>0</v>
      </c>
      <c r="Q1916" s="154">
        <f t="shared" si="186"/>
        <v>0</v>
      </c>
    </row>
    <row r="1917" spans="2:17">
      <c r="B1917" s="627" t="str">
        <f t="shared" si="185"/>
        <v/>
      </c>
      <c r="C1917" s="429"/>
      <c r="D1917" s="816"/>
      <c r="E1917" s="807"/>
      <c r="F1917" s="629" t="str">
        <f>IFERROR(VLOOKUP(E1917,STAT1!$C$4:$D$1000,2,FALSE),"")</f>
        <v/>
      </c>
      <c r="G1917" s="811"/>
      <c r="H1917" s="811"/>
      <c r="I1917" s="580">
        <f t="shared" si="183"/>
        <v>0</v>
      </c>
      <c r="J1917" s="961">
        <f t="shared" si="184"/>
        <v>0</v>
      </c>
      <c r="K1917" s="80"/>
      <c r="L1917" s="807"/>
      <c r="M1917" s="80" t="str">
        <f>+IFERROR(VLOOKUP(L1917,DATA!$G$4:$H$2000,2,FALSE),"")</f>
        <v/>
      </c>
      <c r="N1917" s="807"/>
      <c r="O1917" s="80" t="str">
        <f>IFERROR(VLOOKUP(N1917,DATA!$K$4:$L$51,2,FALSE),"")</f>
        <v/>
      </c>
      <c r="P1917" s="80">
        <f t="shared" si="187"/>
        <v>0</v>
      </c>
      <c r="Q1917" s="154">
        <f t="shared" si="186"/>
        <v>0</v>
      </c>
    </row>
    <row r="1918" spans="2:17">
      <c r="B1918" s="627" t="str">
        <f t="shared" si="185"/>
        <v/>
      </c>
      <c r="C1918" s="429"/>
      <c r="D1918" s="816"/>
      <c r="E1918" s="807"/>
      <c r="F1918" s="629" t="str">
        <f>IFERROR(VLOOKUP(E1918,STAT1!$C$4:$D$1000,2,FALSE),"")</f>
        <v/>
      </c>
      <c r="G1918" s="811"/>
      <c r="H1918" s="811"/>
      <c r="I1918" s="580">
        <f t="shared" ref="I1918:I1981" si="188">+IF(OR(E1918=100100,E1918=100200,E1918=110100,E1918=110102,E1918=110103,E1918=110104,E1918=110105,E1918=110200,E1918=110201,E1918=110202,E1918=110203,E1918=110204,E1918=110300),G1918,0)+IF(OR(E1918=100100,E1918=100200,E1918=110100,E1918=110102,E1918=110103,E1918=110104,E1918=110105,E1918=110200,E1918=110201,E1918=110202,E1918=110203,E1918=110204,E1918=110300),H1918*-1,0)</f>
        <v>0</v>
      </c>
      <c r="J1918" s="961">
        <f t="shared" ref="J1918:J1981" si="189">+IF(E1918=110200,I1918/K1918,0)</f>
        <v>0</v>
      </c>
      <c r="K1918" s="80"/>
      <c r="L1918" s="807"/>
      <c r="M1918" s="80" t="str">
        <f>+IFERROR(VLOOKUP(L1918,DATA!$G$4:$H$2000,2,FALSE),"")</f>
        <v/>
      </c>
      <c r="N1918" s="807"/>
      <c r="O1918" s="80" t="str">
        <f>IFERROR(VLOOKUP(N1918,DATA!$K$4:$L$51,2,FALSE),"")</f>
        <v/>
      </c>
      <c r="P1918" s="80">
        <f t="shared" si="187"/>
        <v>0</v>
      </c>
      <c r="Q1918" s="154">
        <f t="shared" si="186"/>
        <v>0</v>
      </c>
    </row>
    <row r="1919" spans="2:17">
      <c r="B1919" s="627" t="str">
        <f t="shared" si="185"/>
        <v/>
      </c>
      <c r="C1919" s="429"/>
      <c r="D1919" s="816"/>
      <c r="E1919" s="807"/>
      <c r="F1919" s="629" t="str">
        <f>IFERROR(VLOOKUP(E1919,STAT1!$C$4:$D$1000,2,FALSE),"")</f>
        <v/>
      </c>
      <c r="G1919" s="811"/>
      <c r="H1919" s="811"/>
      <c r="I1919" s="580">
        <f t="shared" si="188"/>
        <v>0</v>
      </c>
      <c r="J1919" s="961">
        <f t="shared" si="189"/>
        <v>0</v>
      </c>
      <c r="K1919" s="80"/>
      <c r="L1919" s="807"/>
      <c r="M1919" s="80" t="str">
        <f>+IFERROR(VLOOKUP(L1919,DATA!$G$4:$H$2000,2,FALSE),"")</f>
        <v/>
      </c>
      <c r="N1919" s="807"/>
      <c r="O1919" s="80" t="str">
        <f>IFERROR(VLOOKUP(N1919,DATA!$K$4:$L$51,2,FALSE),"")</f>
        <v/>
      </c>
      <c r="P1919" s="80">
        <f t="shared" si="187"/>
        <v>0</v>
      </c>
      <c r="Q1919" s="154">
        <f t="shared" si="186"/>
        <v>0</v>
      </c>
    </row>
    <row r="1920" spans="2:17">
      <c r="B1920" s="627" t="str">
        <f t="shared" si="185"/>
        <v/>
      </c>
      <c r="C1920" s="429"/>
      <c r="D1920" s="816"/>
      <c r="E1920" s="807"/>
      <c r="F1920" s="629" t="str">
        <f>IFERROR(VLOOKUP(E1920,STAT1!$C$4:$D$1000,2,FALSE),"")</f>
        <v/>
      </c>
      <c r="G1920" s="811"/>
      <c r="H1920" s="811"/>
      <c r="I1920" s="580">
        <f t="shared" si="188"/>
        <v>0</v>
      </c>
      <c r="J1920" s="961">
        <f t="shared" si="189"/>
        <v>0</v>
      </c>
      <c r="K1920" s="80"/>
      <c r="L1920" s="807"/>
      <c r="M1920" s="80" t="str">
        <f>+IFERROR(VLOOKUP(L1920,DATA!$G$4:$H$2000,2,FALSE),"")</f>
        <v/>
      </c>
      <c r="N1920" s="807"/>
      <c r="O1920" s="80" t="str">
        <f>IFERROR(VLOOKUP(N1920,DATA!$K$4:$L$51,2,FALSE),"")</f>
        <v/>
      </c>
      <c r="P1920" s="80">
        <f t="shared" si="187"/>
        <v>0</v>
      </c>
      <c r="Q1920" s="154">
        <f t="shared" si="186"/>
        <v>0</v>
      </c>
    </row>
    <row r="1921" spans="2:17">
      <c r="B1921" s="627" t="str">
        <f t="shared" si="185"/>
        <v/>
      </c>
      <c r="C1921" s="429"/>
      <c r="D1921" s="816"/>
      <c r="E1921" s="807"/>
      <c r="F1921" s="629" t="str">
        <f>IFERROR(VLOOKUP(E1921,STAT1!$C$4:$D$1000,2,FALSE),"")</f>
        <v/>
      </c>
      <c r="G1921" s="811"/>
      <c r="H1921" s="811"/>
      <c r="I1921" s="580">
        <f t="shared" si="188"/>
        <v>0</v>
      </c>
      <c r="J1921" s="961">
        <f t="shared" si="189"/>
        <v>0</v>
      </c>
      <c r="K1921" s="80"/>
      <c r="L1921" s="807"/>
      <c r="M1921" s="80" t="str">
        <f>+IFERROR(VLOOKUP(L1921,DATA!$G$4:$H$2000,2,FALSE),"")</f>
        <v/>
      </c>
      <c r="N1921" s="807"/>
      <c r="O1921" s="80" t="str">
        <f>IFERROR(VLOOKUP(N1921,DATA!$K$4:$L$51,2,FALSE),"")</f>
        <v/>
      </c>
      <c r="P1921" s="80">
        <f t="shared" si="187"/>
        <v>0</v>
      </c>
      <c r="Q1921" s="154">
        <f t="shared" si="186"/>
        <v>0</v>
      </c>
    </row>
    <row r="1922" spans="2:17">
      <c r="B1922" s="627" t="str">
        <f t="shared" si="185"/>
        <v/>
      </c>
      <c r="C1922" s="429"/>
      <c r="D1922" s="816"/>
      <c r="E1922" s="807"/>
      <c r="F1922" s="629" t="str">
        <f>IFERROR(VLOOKUP(E1922,STAT1!$C$4:$D$1000,2,FALSE),"")</f>
        <v/>
      </c>
      <c r="G1922" s="811"/>
      <c r="H1922" s="811"/>
      <c r="I1922" s="580">
        <f t="shared" si="188"/>
        <v>0</v>
      </c>
      <c r="J1922" s="961">
        <f t="shared" si="189"/>
        <v>0</v>
      </c>
      <c r="K1922" s="80"/>
      <c r="L1922" s="807"/>
      <c r="M1922" s="80" t="str">
        <f>+IFERROR(VLOOKUP(L1922,DATA!$G$4:$H$2000,2,FALSE),"")</f>
        <v/>
      </c>
      <c r="N1922" s="807"/>
      <c r="O1922" s="80" t="str">
        <f>IFERROR(VLOOKUP(N1922,DATA!$K$4:$L$51,2,FALSE),"")</f>
        <v/>
      </c>
      <c r="P1922" s="80">
        <f t="shared" si="187"/>
        <v>0</v>
      </c>
      <c r="Q1922" s="154">
        <f t="shared" si="186"/>
        <v>0</v>
      </c>
    </row>
    <row r="1923" spans="2:17">
      <c r="B1923" s="627" t="str">
        <f t="shared" si="185"/>
        <v/>
      </c>
      <c r="C1923" s="429"/>
      <c r="D1923" s="816"/>
      <c r="E1923" s="807"/>
      <c r="F1923" s="629" t="str">
        <f>IFERROR(VLOOKUP(E1923,STAT1!$C$4:$D$1000,2,FALSE),"")</f>
        <v/>
      </c>
      <c r="G1923" s="811"/>
      <c r="H1923" s="811"/>
      <c r="I1923" s="580">
        <f t="shared" si="188"/>
        <v>0</v>
      </c>
      <c r="J1923" s="961">
        <f t="shared" si="189"/>
        <v>0</v>
      </c>
      <c r="K1923" s="80"/>
      <c r="L1923" s="807"/>
      <c r="M1923" s="80" t="str">
        <f>+IFERROR(VLOOKUP(L1923,DATA!$G$4:$H$2000,2,FALSE),"")</f>
        <v/>
      </c>
      <c r="N1923" s="807"/>
      <c r="O1923" s="80" t="str">
        <f>IFERROR(VLOOKUP(N1923,DATA!$K$4:$L$51,2,FALSE),"")</f>
        <v/>
      </c>
      <c r="P1923" s="80">
        <f t="shared" si="187"/>
        <v>0</v>
      </c>
      <c r="Q1923" s="154">
        <f t="shared" si="186"/>
        <v>0</v>
      </c>
    </row>
    <row r="1924" spans="2:17">
      <c r="B1924" s="627" t="str">
        <f t="shared" si="185"/>
        <v/>
      </c>
      <c r="C1924" s="429"/>
      <c r="D1924" s="816"/>
      <c r="E1924" s="807"/>
      <c r="F1924" s="629" t="str">
        <f>IFERROR(VLOOKUP(E1924,STAT1!$C$4:$D$1000,2,FALSE),"")</f>
        <v/>
      </c>
      <c r="G1924" s="811"/>
      <c r="H1924" s="811"/>
      <c r="I1924" s="580">
        <f t="shared" si="188"/>
        <v>0</v>
      </c>
      <c r="J1924" s="961">
        <f t="shared" si="189"/>
        <v>0</v>
      </c>
      <c r="K1924" s="80"/>
      <c r="L1924" s="807"/>
      <c r="M1924" s="80" t="str">
        <f>+IFERROR(VLOOKUP(L1924,DATA!$G$4:$H$2000,2,FALSE),"")</f>
        <v/>
      </c>
      <c r="N1924" s="807"/>
      <c r="O1924" s="80" t="str">
        <f>IFERROR(VLOOKUP(N1924,DATA!$K$4:$L$51,2,FALSE),"")</f>
        <v/>
      </c>
      <c r="P1924" s="80">
        <f t="shared" si="187"/>
        <v>0</v>
      </c>
      <c r="Q1924" s="154">
        <f t="shared" si="186"/>
        <v>0</v>
      </c>
    </row>
    <row r="1925" spans="2:17">
      <c r="B1925" s="627" t="str">
        <f t="shared" si="185"/>
        <v/>
      </c>
      <c r="C1925" s="429"/>
      <c r="D1925" s="816"/>
      <c r="E1925" s="807"/>
      <c r="F1925" s="629" t="str">
        <f>IFERROR(VLOOKUP(E1925,STAT1!$C$4:$D$1000,2,FALSE),"")</f>
        <v/>
      </c>
      <c r="G1925" s="811"/>
      <c r="H1925" s="811"/>
      <c r="I1925" s="580">
        <f t="shared" si="188"/>
        <v>0</v>
      </c>
      <c r="J1925" s="961">
        <f t="shared" si="189"/>
        <v>0</v>
      </c>
      <c r="K1925" s="80"/>
      <c r="L1925" s="807"/>
      <c r="M1925" s="80" t="str">
        <f>+IFERROR(VLOOKUP(L1925,DATA!$G$4:$H$2000,2,FALSE),"")</f>
        <v/>
      </c>
      <c r="N1925" s="807"/>
      <c r="O1925" s="80" t="str">
        <f>IFERROR(VLOOKUP(N1925,DATA!$K$4:$L$51,2,FALSE),"")</f>
        <v/>
      </c>
      <c r="P1925" s="80">
        <f t="shared" si="187"/>
        <v>0</v>
      </c>
      <c r="Q1925" s="154">
        <f t="shared" si="186"/>
        <v>0</v>
      </c>
    </row>
    <row r="1926" spans="2:17">
      <c r="B1926" s="627" t="str">
        <f t="shared" si="185"/>
        <v/>
      </c>
      <c r="C1926" s="429"/>
      <c r="D1926" s="816"/>
      <c r="E1926" s="807"/>
      <c r="F1926" s="629" t="str">
        <f>IFERROR(VLOOKUP(E1926,STAT1!$C$4:$D$1000,2,FALSE),"")</f>
        <v/>
      </c>
      <c r="G1926" s="811"/>
      <c r="H1926" s="811"/>
      <c r="I1926" s="580">
        <f t="shared" si="188"/>
        <v>0</v>
      </c>
      <c r="J1926" s="961">
        <f t="shared" si="189"/>
        <v>0</v>
      </c>
      <c r="K1926" s="80"/>
      <c r="L1926" s="807"/>
      <c r="M1926" s="80" t="str">
        <f>+IFERROR(VLOOKUP(L1926,DATA!$G$4:$H$2000,2,FALSE),"")</f>
        <v/>
      </c>
      <c r="N1926" s="807"/>
      <c r="O1926" s="80" t="str">
        <f>IFERROR(VLOOKUP(N1926,DATA!$K$4:$L$51,2,FALSE),"")</f>
        <v/>
      </c>
      <c r="P1926" s="80">
        <f t="shared" si="187"/>
        <v>0</v>
      </c>
      <c r="Q1926" s="154">
        <f t="shared" si="186"/>
        <v>0</v>
      </c>
    </row>
    <row r="1927" spans="2:17">
      <c r="B1927" s="627" t="str">
        <f t="shared" si="185"/>
        <v/>
      </c>
      <c r="C1927" s="429"/>
      <c r="D1927" s="816"/>
      <c r="E1927" s="807"/>
      <c r="F1927" s="629" t="str">
        <f>IFERROR(VLOOKUP(E1927,STAT1!$C$4:$D$1000,2,FALSE),"")</f>
        <v/>
      </c>
      <c r="G1927" s="811"/>
      <c r="H1927" s="811"/>
      <c r="I1927" s="580">
        <f t="shared" si="188"/>
        <v>0</v>
      </c>
      <c r="J1927" s="961">
        <f t="shared" si="189"/>
        <v>0</v>
      </c>
      <c r="K1927" s="80"/>
      <c r="L1927" s="807"/>
      <c r="M1927" s="80" t="str">
        <f>+IFERROR(VLOOKUP(L1927,DATA!$G$4:$H$2000,2,FALSE),"")</f>
        <v/>
      </c>
      <c r="N1927" s="807"/>
      <c r="O1927" s="80" t="str">
        <f>IFERROR(VLOOKUP(N1927,DATA!$K$4:$L$51,2,FALSE),"")</f>
        <v/>
      </c>
      <c r="P1927" s="80">
        <f t="shared" si="187"/>
        <v>0</v>
      </c>
      <c r="Q1927" s="154">
        <f t="shared" si="186"/>
        <v>0</v>
      </c>
    </row>
    <row r="1928" spans="2:17">
      <c r="B1928" s="627" t="str">
        <f t="shared" si="185"/>
        <v/>
      </c>
      <c r="C1928" s="429"/>
      <c r="D1928" s="816"/>
      <c r="E1928" s="807"/>
      <c r="F1928" s="629" t="str">
        <f>IFERROR(VLOOKUP(E1928,STAT1!$C$4:$D$1000,2,FALSE),"")</f>
        <v/>
      </c>
      <c r="G1928" s="811"/>
      <c r="H1928" s="811"/>
      <c r="I1928" s="580">
        <f t="shared" si="188"/>
        <v>0</v>
      </c>
      <c r="J1928" s="961">
        <f t="shared" si="189"/>
        <v>0</v>
      </c>
      <c r="K1928" s="80"/>
      <c r="L1928" s="807"/>
      <c r="M1928" s="80" t="str">
        <f>+IFERROR(VLOOKUP(L1928,DATA!$G$4:$H$2000,2,FALSE),"")</f>
        <v/>
      </c>
      <c r="N1928" s="807"/>
      <c r="O1928" s="80" t="str">
        <f>IFERROR(VLOOKUP(N1928,DATA!$K$4:$L$51,2,FALSE),"")</f>
        <v/>
      </c>
      <c r="P1928" s="80">
        <f t="shared" si="187"/>
        <v>0</v>
      </c>
      <c r="Q1928" s="154">
        <f t="shared" si="186"/>
        <v>0</v>
      </c>
    </row>
    <row r="1929" spans="2:17">
      <c r="B1929" s="627" t="str">
        <f t="shared" si="185"/>
        <v/>
      </c>
      <c r="C1929" s="429"/>
      <c r="D1929" s="816"/>
      <c r="E1929" s="807"/>
      <c r="F1929" s="629" t="str">
        <f>IFERROR(VLOOKUP(E1929,STAT1!$C$4:$D$1000,2,FALSE),"")</f>
        <v/>
      </c>
      <c r="G1929" s="811"/>
      <c r="H1929" s="811"/>
      <c r="I1929" s="580">
        <f t="shared" si="188"/>
        <v>0</v>
      </c>
      <c r="J1929" s="961">
        <f t="shared" si="189"/>
        <v>0</v>
      </c>
      <c r="K1929" s="80"/>
      <c r="L1929" s="807"/>
      <c r="M1929" s="80" t="str">
        <f>+IFERROR(VLOOKUP(L1929,DATA!$G$4:$H$2000,2,FALSE),"")</f>
        <v/>
      </c>
      <c r="N1929" s="807"/>
      <c r="O1929" s="80" t="str">
        <f>IFERROR(VLOOKUP(N1929,DATA!$K$4:$L$51,2,FALSE),"")</f>
        <v/>
      </c>
      <c r="P1929" s="80">
        <f t="shared" si="187"/>
        <v>0</v>
      </c>
      <c r="Q1929" s="154">
        <f t="shared" si="186"/>
        <v>0</v>
      </c>
    </row>
    <row r="1930" spans="2:17">
      <c r="B1930" s="627" t="str">
        <f t="shared" si="185"/>
        <v/>
      </c>
      <c r="C1930" s="429"/>
      <c r="D1930" s="816"/>
      <c r="E1930" s="807"/>
      <c r="F1930" s="629" t="str">
        <f>IFERROR(VLOOKUP(E1930,STAT1!$C$4:$D$1000,2,FALSE),"")</f>
        <v/>
      </c>
      <c r="G1930" s="811"/>
      <c r="H1930" s="811"/>
      <c r="I1930" s="580">
        <f t="shared" si="188"/>
        <v>0</v>
      </c>
      <c r="J1930" s="961">
        <f t="shared" si="189"/>
        <v>0</v>
      </c>
      <c r="K1930" s="80"/>
      <c r="L1930" s="807"/>
      <c r="M1930" s="80" t="str">
        <f>+IFERROR(VLOOKUP(L1930,DATA!$G$4:$H$2000,2,FALSE),"")</f>
        <v/>
      </c>
      <c r="N1930" s="807"/>
      <c r="O1930" s="80" t="str">
        <f>IFERROR(VLOOKUP(N1930,DATA!$K$4:$L$51,2,FALSE),"")</f>
        <v/>
      </c>
      <c r="P1930" s="80">
        <f t="shared" si="187"/>
        <v>0</v>
      </c>
      <c r="Q1930" s="154">
        <f t="shared" si="186"/>
        <v>0</v>
      </c>
    </row>
    <row r="1931" spans="2:17">
      <c r="B1931" s="627" t="str">
        <f t="shared" si="185"/>
        <v/>
      </c>
      <c r="C1931" s="429"/>
      <c r="D1931" s="816"/>
      <c r="E1931" s="807"/>
      <c r="F1931" s="629" t="str">
        <f>IFERROR(VLOOKUP(E1931,STAT1!$C$4:$D$1000,2,FALSE),"")</f>
        <v/>
      </c>
      <c r="G1931" s="811"/>
      <c r="H1931" s="811"/>
      <c r="I1931" s="580">
        <f t="shared" si="188"/>
        <v>0</v>
      </c>
      <c r="J1931" s="961">
        <f t="shared" si="189"/>
        <v>0</v>
      </c>
      <c r="K1931" s="80"/>
      <c r="L1931" s="807"/>
      <c r="M1931" s="80" t="str">
        <f>+IFERROR(VLOOKUP(L1931,DATA!$G$4:$H$2000,2,FALSE),"")</f>
        <v/>
      </c>
      <c r="N1931" s="807"/>
      <c r="O1931" s="80" t="str">
        <f>IFERROR(VLOOKUP(N1931,DATA!$K$4:$L$51,2,FALSE),"")</f>
        <v/>
      </c>
      <c r="P1931" s="80">
        <f t="shared" si="187"/>
        <v>0</v>
      </c>
      <c r="Q1931" s="154">
        <f t="shared" si="186"/>
        <v>0</v>
      </c>
    </row>
    <row r="1932" spans="2:17">
      <c r="B1932" s="627" t="str">
        <f t="shared" si="185"/>
        <v/>
      </c>
      <c r="C1932" s="429"/>
      <c r="D1932" s="816"/>
      <c r="E1932" s="807"/>
      <c r="F1932" s="629" t="str">
        <f>IFERROR(VLOOKUP(E1932,STAT1!$C$4:$D$1000,2,FALSE),"")</f>
        <v/>
      </c>
      <c r="G1932" s="811"/>
      <c r="H1932" s="811"/>
      <c r="I1932" s="580">
        <f t="shared" si="188"/>
        <v>0</v>
      </c>
      <c r="J1932" s="961">
        <f t="shared" si="189"/>
        <v>0</v>
      </c>
      <c r="K1932" s="80"/>
      <c r="L1932" s="807"/>
      <c r="M1932" s="80" t="str">
        <f>+IFERROR(VLOOKUP(L1932,DATA!$G$4:$H$2000,2,FALSE),"")</f>
        <v/>
      </c>
      <c r="N1932" s="807"/>
      <c r="O1932" s="80" t="str">
        <f>IFERROR(VLOOKUP(N1932,DATA!$K$4:$L$51,2,FALSE),"")</f>
        <v/>
      </c>
      <c r="P1932" s="80">
        <f t="shared" si="187"/>
        <v>0</v>
      </c>
      <c r="Q1932" s="154">
        <f t="shared" si="186"/>
        <v>0</v>
      </c>
    </row>
    <row r="1933" spans="2:17">
      <c r="B1933" s="627" t="str">
        <f t="shared" si="185"/>
        <v/>
      </c>
      <c r="C1933" s="429"/>
      <c r="D1933" s="816"/>
      <c r="E1933" s="807"/>
      <c r="F1933" s="629" t="str">
        <f>IFERROR(VLOOKUP(E1933,STAT1!$C$4:$D$1000,2,FALSE),"")</f>
        <v/>
      </c>
      <c r="G1933" s="811"/>
      <c r="H1933" s="811"/>
      <c r="I1933" s="580">
        <f t="shared" si="188"/>
        <v>0</v>
      </c>
      <c r="J1933" s="961">
        <f t="shared" si="189"/>
        <v>0</v>
      </c>
      <c r="K1933" s="80"/>
      <c r="L1933" s="807"/>
      <c r="M1933" s="80" t="str">
        <f>+IFERROR(VLOOKUP(L1933,DATA!$G$4:$H$2000,2,FALSE),"")</f>
        <v/>
      </c>
      <c r="N1933" s="807"/>
      <c r="O1933" s="80" t="str">
        <f>IFERROR(VLOOKUP(N1933,DATA!$K$4:$L$51,2,FALSE),"")</f>
        <v/>
      </c>
      <c r="P1933" s="80">
        <f t="shared" si="187"/>
        <v>0</v>
      </c>
      <c r="Q1933" s="154">
        <f t="shared" si="186"/>
        <v>0</v>
      </c>
    </row>
    <row r="1934" spans="2:17">
      <c r="B1934" s="627" t="str">
        <f t="shared" si="185"/>
        <v/>
      </c>
      <c r="C1934" s="429"/>
      <c r="D1934" s="816"/>
      <c r="E1934" s="807"/>
      <c r="F1934" s="629" t="str">
        <f>IFERROR(VLOOKUP(E1934,STAT1!$C$4:$D$1000,2,FALSE),"")</f>
        <v/>
      </c>
      <c r="G1934" s="811"/>
      <c r="H1934" s="811"/>
      <c r="I1934" s="580">
        <f t="shared" si="188"/>
        <v>0</v>
      </c>
      <c r="J1934" s="961">
        <f t="shared" si="189"/>
        <v>0</v>
      </c>
      <c r="K1934" s="80"/>
      <c r="L1934" s="807"/>
      <c r="M1934" s="80" t="str">
        <f>+IFERROR(VLOOKUP(L1934,DATA!$G$4:$H$2000,2,FALSE),"")</f>
        <v/>
      </c>
      <c r="N1934" s="807"/>
      <c r="O1934" s="80" t="str">
        <f>IFERROR(VLOOKUP(N1934,DATA!$K$4:$L$51,2,FALSE),"")</f>
        <v/>
      </c>
      <c r="P1934" s="80">
        <f t="shared" si="187"/>
        <v>0</v>
      </c>
      <c r="Q1934" s="154">
        <f t="shared" si="186"/>
        <v>0</v>
      </c>
    </row>
    <row r="1935" spans="2:17">
      <c r="B1935" s="627" t="str">
        <f t="shared" si="185"/>
        <v/>
      </c>
      <c r="C1935" s="429"/>
      <c r="D1935" s="816"/>
      <c r="E1935" s="807"/>
      <c r="F1935" s="629" t="str">
        <f>IFERROR(VLOOKUP(E1935,STAT1!$C$4:$D$1000,2,FALSE),"")</f>
        <v/>
      </c>
      <c r="G1935" s="811"/>
      <c r="H1935" s="811"/>
      <c r="I1935" s="580">
        <f t="shared" si="188"/>
        <v>0</v>
      </c>
      <c r="J1935" s="961">
        <f t="shared" si="189"/>
        <v>0</v>
      </c>
      <c r="K1935" s="80"/>
      <c r="L1935" s="807"/>
      <c r="M1935" s="80" t="str">
        <f>+IFERROR(VLOOKUP(L1935,DATA!$G$4:$H$2000,2,FALSE),"")</f>
        <v/>
      </c>
      <c r="N1935" s="807"/>
      <c r="O1935" s="80" t="str">
        <f>IFERROR(VLOOKUP(N1935,DATA!$K$4:$L$51,2,FALSE),"")</f>
        <v/>
      </c>
      <c r="P1935" s="80">
        <f t="shared" si="187"/>
        <v>0</v>
      </c>
      <c r="Q1935" s="154">
        <f t="shared" si="186"/>
        <v>0</v>
      </c>
    </row>
    <row r="1936" spans="2:17">
      <c r="B1936" s="627" t="str">
        <f t="shared" si="185"/>
        <v/>
      </c>
      <c r="C1936" s="429"/>
      <c r="D1936" s="816"/>
      <c r="E1936" s="807"/>
      <c r="F1936" s="629" t="str">
        <f>IFERROR(VLOOKUP(E1936,STAT1!$C$4:$D$1000,2,FALSE),"")</f>
        <v/>
      </c>
      <c r="G1936" s="811"/>
      <c r="H1936" s="811"/>
      <c r="I1936" s="580">
        <f t="shared" si="188"/>
        <v>0</v>
      </c>
      <c r="J1936" s="961">
        <f t="shared" si="189"/>
        <v>0</v>
      </c>
      <c r="K1936" s="80"/>
      <c r="L1936" s="807"/>
      <c r="M1936" s="80" t="str">
        <f>+IFERROR(VLOOKUP(L1936,DATA!$G$4:$H$2000,2,FALSE),"")</f>
        <v/>
      </c>
      <c r="N1936" s="807"/>
      <c r="O1936" s="80" t="str">
        <f>IFERROR(VLOOKUP(N1936,DATA!$K$4:$L$51,2,FALSE),"")</f>
        <v/>
      </c>
      <c r="P1936" s="80">
        <f t="shared" si="187"/>
        <v>0</v>
      </c>
      <c r="Q1936" s="154">
        <f t="shared" si="186"/>
        <v>0</v>
      </c>
    </row>
    <row r="1937" spans="2:17">
      <c r="B1937" s="627" t="str">
        <f t="shared" ref="B1937:B2000" si="190">+IF(C1937="","",ROW()-5)</f>
        <v/>
      </c>
      <c r="C1937" s="429"/>
      <c r="D1937" s="816"/>
      <c r="E1937" s="807"/>
      <c r="F1937" s="629" t="str">
        <f>IFERROR(VLOOKUP(E1937,STAT1!$C$4:$D$1000,2,FALSE),"")</f>
        <v/>
      </c>
      <c r="G1937" s="811"/>
      <c r="H1937" s="811"/>
      <c r="I1937" s="580">
        <f t="shared" si="188"/>
        <v>0</v>
      </c>
      <c r="J1937" s="961">
        <f t="shared" si="189"/>
        <v>0</v>
      </c>
      <c r="K1937" s="80"/>
      <c r="L1937" s="807"/>
      <c r="M1937" s="80" t="str">
        <f>+IFERROR(VLOOKUP(L1937,DATA!$G$4:$H$2000,2,FALSE),"")</f>
        <v/>
      </c>
      <c r="N1937" s="807"/>
      <c r="O1937" s="80" t="str">
        <f>IFERROR(VLOOKUP(N1937,DATA!$K$4:$L$51,2,FALSE),"")</f>
        <v/>
      </c>
      <c r="P1937" s="80">
        <f t="shared" si="187"/>
        <v>0</v>
      </c>
      <c r="Q1937" s="154">
        <f t="shared" si="186"/>
        <v>0</v>
      </c>
    </row>
    <row r="1938" spans="2:17">
      <c r="B1938" s="627" t="str">
        <f t="shared" si="190"/>
        <v/>
      </c>
      <c r="C1938" s="429"/>
      <c r="D1938" s="816"/>
      <c r="E1938" s="807"/>
      <c r="F1938" s="629" t="str">
        <f>IFERROR(VLOOKUP(E1938,STAT1!$C$4:$D$1000,2,FALSE),"")</f>
        <v/>
      </c>
      <c r="G1938" s="811"/>
      <c r="H1938" s="811"/>
      <c r="I1938" s="580">
        <f t="shared" si="188"/>
        <v>0</v>
      </c>
      <c r="J1938" s="961">
        <f t="shared" si="189"/>
        <v>0</v>
      </c>
      <c r="K1938" s="80"/>
      <c r="L1938" s="807"/>
      <c r="M1938" s="80" t="str">
        <f>+IFERROR(VLOOKUP(L1938,DATA!$G$4:$H$2000,2,FALSE),"")</f>
        <v/>
      </c>
      <c r="N1938" s="807"/>
      <c r="O1938" s="80" t="str">
        <f>IFERROR(VLOOKUP(N1938,DATA!$K$4:$L$51,2,FALSE),"")</f>
        <v/>
      </c>
      <c r="P1938" s="80">
        <f t="shared" si="187"/>
        <v>0</v>
      </c>
      <c r="Q1938" s="154">
        <f t="shared" si="186"/>
        <v>0</v>
      </c>
    </row>
    <row r="1939" spans="2:17">
      <c r="B1939" s="627" t="str">
        <f t="shared" si="190"/>
        <v/>
      </c>
      <c r="C1939" s="429"/>
      <c r="D1939" s="816"/>
      <c r="E1939" s="807"/>
      <c r="F1939" s="629" t="str">
        <f>IFERROR(VLOOKUP(E1939,STAT1!$C$4:$D$1000,2,FALSE),"")</f>
        <v/>
      </c>
      <c r="G1939" s="811"/>
      <c r="H1939" s="811"/>
      <c r="I1939" s="580">
        <f t="shared" si="188"/>
        <v>0</v>
      </c>
      <c r="J1939" s="961">
        <f t="shared" si="189"/>
        <v>0</v>
      </c>
      <c r="K1939" s="80"/>
      <c r="L1939" s="807"/>
      <c r="M1939" s="80" t="str">
        <f>+IFERROR(VLOOKUP(L1939,DATA!$G$4:$H$2000,2,FALSE),"")</f>
        <v/>
      </c>
      <c r="N1939" s="807"/>
      <c r="O1939" s="80" t="str">
        <f>IFERROR(VLOOKUP(N1939,DATA!$K$4:$L$51,2,FALSE),"")</f>
        <v/>
      </c>
      <c r="P1939" s="80">
        <f t="shared" si="187"/>
        <v>0</v>
      </c>
      <c r="Q1939" s="154">
        <f t="shared" si="186"/>
        <v>0</v>
      </c>
    </row>
    <row r="1940" spans="2:17">
      <c r="B1940" s="627" t="str">
        <f t="shared" si="190"/>
        <v/>
      </c>
      <c r="C1940" s="429"/>
      <c r="D1940" s="815"/>
      <c r="E1940" s="807"/>
      <c r="F1940" s="629" t="str">
        <f>IFERROR(VLOOKUP(E1940,STAT1!$C$4:$D$1000,2,FALSE),"")</f>
        <v/>
      </c>
      <c r="G1940" s="811"/>
      <c r="H1940" s="811"/>
      <c r="I1940" s="580">
        <f t="shared" si="188"/>
        <v>0</v>
      </c>
      <c r="J1940" s="961">
        <f t="shared" si="189"/>
        <v>0</v>
      </c>
      <c r="K1940" s="80"/>
      <c r="L1940" s="807"/>
      <c r="M1940" s="80" t="str">
        <f>+IFERROR(VLOOKUP(L1940,DATA!$G$4:$H$2000,2,FALSE),"")</f>
        <v/>
      </c>
      <c r="N1940" s="807"/>
      <c r="O1940" s="80" t="str">
        <f>IFERROR(VLOOKUP(N1940,DATA!$K$4:$L$51,2,FALSE),"")</f>
        <v/>
      </c>
      <c r="P1940" s="80">
        <f t="shared" si="187"/>
        <v>0</v>
      </c>
      <c r="Q1940" s="154">
        <f t="shared" si="186"/>
        <v>0</v>
      </c>
    </row>
    <row r="1941" spans="2:17">
      <c r="B1941" s="627" t="str">
        <f t="shared" si="190"/>
        <v/>
      </c>
      <c r="C1941" s="582"/>
      <c r="D1941" s="815"/>
      <c r="E1941" s="630"/>
      <c r="F1941" s="629" t="str">
        <f>IFERROR(VLOOKUP(E1941,STAT1!$C$4:$D$1000,2,FALSE),"")</f>
        <v/>
      </c>
      <c r="G1941" s="376"/>
      <c r="H1941" s="376"/>
      <c r="I1941" s="580">
        <f t="shared" si="188"/>
        <v>0</v>
      </c>
      <c r="J1941" s="961">
        <f t="shared" si="189"/>
        <v>0</v>
      </c>
      <c r="K1941" s="80"/>
      <c r="L1941" s="630"/>
      <c r="M1941" s="80" t="str">
        <f>+IFERROR(VLOOKUP(L1941,DATA!$G$4:$H$2000,2,FALSE),"")</f>
        <v/>
      </c>
      <c r="N1941" s="630"/>
      <c r="O1941" s="80" t="str">
        <f>IFERROR(VLOOKUP(N1941,DATA!$K$4:$L$51,2,FALSE),"")</f>
        <v/>
      </c>
      <c r="P1941" s="80">
        <f t="shared" si="187"/>
        <v>0</v>
      </c>
      <c r="Q1941" s="154">
        <f t="shared" si="186"/>
        <v>0</v>
      </c>
    </row>
    <row r="1942" spans="2:17">
      <c r="B1942" s="627" t="str">
        <f t="shared" si="190"/>
        <v/>
      </c>
      <c r="C1942" s="582"/>
      <c r="D1942" s="815"/>
      <c r="E1942" s="630"/>
      <c r="F1942" s="629" t="str">
        <f>IFERROR(VLOOKUP(E1942,STAT1!$C$4:$D$1000,2,FALSE),"")</f>
        <v/>
      </c>
      <c r="G1942" s="376"/>
      <c r="H1942" s="376"/>
      <c r="I1942" s="580">
        <f t="shared" si="188"/>
        <v>0</v>
      </c>
      <c r="J1942" s="961">
        <f t="shared" si="189"/>
        <v>0</v>
      </c>
      <c r="K1942" s="80"/>
      <c r="L1942" s="630"/>
      <c r="M1942" s="80" t="str">
        <f>+IFERROR(VLOOKUP(L1942,DATA!$G$4:$H$2000,2,FALSE),"")</f>
        <v/>
      </c>
      <c r="N1942" s="630"/>
      <c r="O1942" s="80" t="str">
        <f>IFERROR(VLOOKUP(N1942,DATA!$K$4:$L$51,2,FALSE),"")</f>
        <v/>
      </c>
      <c r="P1942" s="80">
        <f t="shared" si="187"/>
        <v>0</v>
      </c>
      <c r="Q1942" s="154">
        <f t="shared" si="186"/>
        <v>0</v>
      </c>
    </row>
    <row r="1943" spans="2:17">
      <c r="B1943" s="627" t="str">
        <f t="shared" si="190"/>
        <v/>
      </c>
      <c r="C1943" s="582"/>
      <c r="D1943" s="815"/>
      <c r="E1943" s="630"/>
      <c r="F1943" s="629" t="str">
        <f>IFERROR(VLOOKUP(E1943,STAT1!$C$4:$D$1000,2,FALSE),"")</f>
        <v/>
      </c>
      <c r="G1943" s="376"/>
      <c r="H1943" s="376"/>
      <c r="I1943" s="580">
        <f t="shared" si="188"/>
        <v>0</v>
      </c>
      <c r="J1943" s="961">
        <f t="shared" si="189"/>
        <v>0</v>
      </c>
      <c r="K1943" s="80"/>
      <c r="L1943" s="630"/>
      <c r="M1943" s="80" t="str">
        <f>+IFERROR(VLOOKUP(L1943,DATA!$G$4:$H$2000,2,FALSE),"")</f>
        <v/>
      </c>
      <c r="N1943" s="630"/>
      <c r="O1943" s="80" t="str">
        <f>IFERROR(VLOOKUP(N1943,DATA!$K$4:$L$51,2,FALSE),"")</f>
        <v/>
      </c>
      <c r="P1943" s="80">
        <f t="shared" si="187"/>
        <v>0</v>
      </c>
      <c r="Q1943" s="154">
        <f t="shared" si="186"/>
        <v>0</v>
      </c>
    </row>
    <row r="1944" spans="2:17">
      <c r="B1944" s="627" t="str">
        <f t="shared" si="190"/>
        <v/>
      </c>
      <c r="C1944" s="582"/>
      <c r="D1944" s="815"/>
      <c r="E1944" s="630"/>
      <c r="F1944" s="629" t="str">
        <f>IFERROR(VLOOKUP(E1944,STAT1!$C$4:$D$1000,2,FALSE),"")</f>
        <v/>
      </c>
      <c r="G1944" s="376"/>
      <c r="H1944" s="376"/>
      <c r="I1944" s="580">
        <f t="shared" si="188"/>
        <v>0</v>
      </c>
      <c r="J1944" s="961">
        <f t="shared" si="189"/>
        <v>0</v>
      </c>
      <c r="K1944" s="80"/>
      <c r="L1944" s="630"/>
      <c r="M1944" s="80" t="str">
        <f>+IFERROR(VLOOKUP(L1944,DATA!$G$4:$H$2000,2,FALSE),"")</f>
        <v/>
      </c>
      <c r="N1944" s="630"/>
      <c r="O1944" s="80" t="str">
        <f>IFERROR(VLOOKUP(N1944,DATA!$K$4:$L$51,2,FALSE),"")</f>
        <v/>
      </c>
      <c r="P1944" s="80">
        <f t="shared" si="187"/>
        <v>0</v>
      </c>
      <c r="Q1944" s="154">
        <f t="shared" si="186"/>
        <v>0</v>
      </c>
    </row>
    <row r="1945" spans="2:17">
      <c r="B1945" s="627" t="str">
        <f t="shared" si="190"/>
        <v/>
      </c>
      <c r="C1945" s="582"/>
      <c r="D1945" s="816"/>
      <c r="E1945" s="630"/>
      <c r="F1945" s="629" t="str">
        <f>IFERROR(VLOOKUP(E1945,STAT1!$C$4:$D$1000,2,FALSE),"")</f>
        <v/>
      </c>
      <c r="G1945" s="376"/>
      <c r="H1945" s="376"/>
      <c r="I1945" s="580">
        <f t="shared" si="188"/>
        <v>0</v>
      </c>
      <c r="J1945" s="961">
        <f t="shared" si="189"/>
        <v>0</v>
      </c>
      <c r="K1945" s="80"/>
      <c r="L1945" s="630"/>
      <c r="M1945" s="80" t="str">
        <f>+IFERROR(VLOOKUP(L1945,DATA!$G$4:$H$2000,2,FALSE),"")</f>
        <v/>
      </c>
      <c r="N1945" s="630"/>
      <c r="O1945" s="80" t="str">
        <f>IFERROR(VLOOKUP(N1945,DATA!$K$4:$L$51,2,FALSE),"")</f>
        <v/>
      </c>
      <c r="P1945" s="80">
        <f t="shared" si="187"/>
        <v>0</v>
      </c>
      <c r="Q1945" s="154">
        <f t="shared" si="186"/>
        <v>0</v>
      </c>
    </row>
    <row r="1946" spans="2:17">
      <c r="B1946" s="627" t="str">
        <f t="shared" si="190"/>
        <v/>
      </c>
      <c r="C1946" s="429"/>
      <c r="D1946" s="816"/>
      <c r="E1946" s="807"/>
      <c r="F1946" s="629" t="str">
        <f>IFERROR(VLOOKUP(E1946,STAT1!$C$4:$D$1000,2,FALSE),"")</f>
        <v/>
      </c>
      <c r="G1946" s="811"/>
      <c r="H1946" s="811"/>
      <c r="I1946" s="580">
        <f t="shared" si="188"/>
        <v>0</v>
      </c>
      <c r="J1946" s="961">
        <f t="shared" si="189"/>
        <v>0</v>
      </c>
      <c r="K1946" s="80"/>
      <c r="L1946" s="807"/>
      <c r="M1946" s="80" t="str">
        <f>+IFERROR(VLOOKUP(L1946,DATA!$G$4:$H$2000,2,FALSE),"")</f>
        <v/>
      </c>
      <c r="N1946" s="807"/>
      <c r="O1946" s="80" t="str">
        <f>IFERROR(VLOOKUP(N1946,DATA!$K$4:$L$51,2,FALSE),"")</f>
        <v/>
      </c>
      <c r="P1946" s="80">
        <f t="shared" si="187"/>
        <v>0</v>
      </c>
      <c r="Q1946" s="154">
        <f t="shared" si="186"/>
        <v>0</v>
      </c>
    </row>
    <row r="1947" spans="2:17">
      <c r="B1947" s="627" t="str">
        <f t="shared" si="190"/>
        <v/>
      </c>
      <c r="C1947" s="429"/>
      <c r="D1947" s="816"/>
      <c r="E1947" s="807"/>
      <c r="F1947" s="629" t="str">
        <f>IFERROR(VLOOKUP(E1947,STAT1!$C$4:$D$1000,2,FALSE),"")</f>
        <v/>
      </c>
      <c r="G1947" s="811"/>
      <c r="H1947" s="811"/>
      <c r="I1947" s="580">
        <f t="shared" si="188"/>
        <v>0</v>
      </c>
      <c r="J1947" s="961">
        <f t="shared" si="189"/>
        <v>0</v>
      </c>
      <c r="K1947" s="80"/>
      <c r="L1947" s="807"/>
      <c r="M1947" s="80" t="str">
        <f>+IFERROR(VLOOKUP(L1947,DATA!$G$4:$H$2000,2,FALSE),"")</f>
        <v/>
      </c>
      <c r="N1947" s="807"/>
      <c r="O1947" s="80" t="str">
        <f>IFERROR(VLOOKUP(N1947,DATA!$K$4:$L$51,2,FALSE),"")</f>
        <v/>
      </c>
      <c r="P1947" s="80">
        <f t="shared" si="187"/>
        <v>0</v>
      </c>
      <c r="Q1947" s="154">
        <f t="shared" si="186"/>
        <v>0</v>
      </c>
    </row>
    <row r="1948" spans="2:17">
      <c r="B1948" s="627" t="str">
        <f t="shared" si="190"/>
        <v/>
      </c>
      <c r="C1948" s="429"/>
      <c r="D1948" s="816"/>
      <c r="E1948" s="807"/>
      <c r="F1948" s="629" t="str">
        <f>IFERROR(VLOOKUP(E1948,STAT1!$C$4:$D$1000,2,FALSE),"")</f>
        <v/>
      </c>
      <c r="G1948" s="811"/>
      <c r="H1948" s="811"/>
      <c r="I1948" s="580">
        <f t="shared" si="188"/>
        <v>0</v>
      </c>
      <c r="J1948" s="961">
        <f t="shared" si="189"/>
        <v>0</v>
      </c>
      <c r="K1948" s="80"/>
      <c r="L1948" s="807"/>
      <c r="M1948" s="80" t="str">
        <f>+IFERROR(VLOOKUP(L1948,DATA!$G$4:$H$2000,2,FALSE),"")</f>
        <v/>
      </c>
      <c r="N1948" s="807"/>
      <c r="O1948" s="80" t="str">
        <f>IFERROR(VLOOKUP(N1948,DATA!$K$4:$L$51,2,FALSE),"")</f>
        <v/>
      </c>
      <c r="P1948" s="80">
        <f t="shared" si="187"/>
        <v>0</v>
      </c>
      <c r="Q1948" s="154">
        <f t="shared" si="186"/>
        <v>0</v>
      </c>
    </row>
    <row r="1949" spans="2:17">
      <c r="B1949" s="627" t="str">
        <f t="shared" si="190"/>
        <v/>
      </c>
      <c r="C1949" s="429"/>
      <c r="D1949" s="816"/>
      <c r="E1949" s="807"/>
      <c r="F1949" s="629" t="str">
        <f>IFERROR(VLOOKUP(E1949,STAT1!$C$4:$D$1000,2,FALSE),"")</f>
        <v/>
      </c>
      <c r="G1949" s="811"/>
      <c r="H1949" s="811"/>
      <c r="I1949" s="580">
        <f t="shared" si="188"/>
        <v>0</v>
      </c>
      <c r="J1949" s="961">
        <f t="shared" si="189"/>
        <v>0</v>
      </c>
      <c r="K1949" s="80"/>
      <c r="L1949" s="807"/>
      <c r="M1949" s="80" t="str">
        <f>+IFERROR(VLOOKUP(L1949,DATA!$G$4:$H$2000,2,FALSE),"")</f>
        <v/>
      </c>
      <c r="N1949" s="807"/>
      <c r="O1949" s="80" t="str">
        <f>IFERROR(VLOOKUP(N1949,DATA!$K$4:$L$51,2,FALSE),"")</f>
        <v/>
      </c>
      <c r="P1949" s="80">
        <f t="shared" si="187"/>
        <v>0</v>
      </c>
      <c r="Q1949" s="154">
        <f t="shared" ref="Q1949:Q2012" si="191">+IF(I1949,1,0)</f>
        <v>0</v>
      </c>
    </row>
    <row r="1950" spans="2:17">
      <c r="B1950" s="627" t="str">
        <f t="shared" si="190"/>
        <v/>
      </c>
      <c r="C1950" s="429"/>
      <c r="D1950" s="816"/>
      <c r="E1950" s="807"/>
      <c r="F1950" s="629" t="str">
        <f>IFERROR(VLOOKUP(E1950,STAT1!$C$4:$D$1000,2,FALSE),"")</f>
        <v/>
      </c>
      <c r="G1950" s="811"/>
      <c r="H1950" s="811"/>
      <c r="I1950" s="580">
        <f t="shared" si="188"/>
        <v>0</v>
      </c>
      <c r="J1950" s="961">
        <f t="shared" si="189"/>
        <v>0</v>
      </c>
      <c r="K1950" s="80"/>
      <c r="L1950" s="807"/>
      <c r="M1950" s="80" t="str">
        <f>+IFERROR(VLOOKUP(L1950,DATA!$G$4:$H$2000,2,FALSE),"")</f>
        <v/>
      </c>
      <c r="N1950" s="807"/>
      <c r="O1950" s="80" t="str">
        <f>IFERROR(VLOOKUP(N1950,DATA!$K$4:$L$51,2,FALSE),"")</f>
        <v/>
      </c>
      <c r="P1950" s="80">
        <f t="shared" si="187"/>
        <v>0</v>
      </c>
      <c r="Q1950" s="154">
        <f t="shared" si="191"/>
        <v>0</v>
      </c>
    </row>
    <row r="1951" spans="2:17">
      <c r="B1951" s="627" t="str">
        <f t="shared" si="190"/>
        <v/>
      </c>
      <c r="C1951" s="429"/>
      <c r="D1951" s="816"/>
      <c r="E1951" s="807"/>
      <c r="F1951" s="629" t="str">
        <f>IFERROR(VLOOKUP(E1951,STAT1!$C$4:$D$1000,2,FALSE),"")</f>
        <v/>
      </c>
      <c r="G1951" s="811"/>
      <c r="H1951" s="811"/>
      <c r="I1951" s="580">
        <f t="shared" si="188"/>
        <v>0</v>
      </c>
      <c r="J1951" s="961">
        <f t="shared" si="189"/>
        <v>0</v>
      </c>
      <c r="K1951" s="80"/>
      <c r="L1951" s="807"/>
      <c r="M1951" s="80" t="str">
        <f>+IFERROR(VLOOKUP(L1951,DATA!$G$4:$H$2000,2,FALSE),"")</f>
        <v/>
      </c>
      <c r="N1951" s="807"/>
      <c r="O1951" s="80" t="str">
        <f>IFERROR(VLOOKUP(N1951,DATA!$K$4:$L$51,2,FALSE),"")</f>
        <v/>
      </c>
      <c r="P1951" s="80">
        <f t="shared" si="187"/>
        <v>0</v>
      </c>
      <c r="Q1951" s="154">
        <f t="shared" si="191"/>
        <v>0</v>
      </c>
    </row>
    <row r="1952" spans="2:17">
      <c r="B1952" s="627" t="str">
        <f t="shared" si="190"/>
        <v/>
      </c>
      <c r="C1952" s="429"/>
      <c r="D1952" s="816"/>
      <c r="E1952" s="807"/>
      <c r="F1952" s="629" t="str">
        <f>IFERROR(VLOOKUP(E1952,STAT1!$C$4:$D$1000,2,FALSE),"")</f>
        <v/>
      </c>
      <c r="G1952" s="811"/>
      <c r="H1952" s="811"/>
      <c r="I1952" s="580">
        <f t="shared" si="188"/>
        <v>0</v>
      </c>
      <c r="J1952" s="961">
        <f t="shared" si="189"/>
        <v>0</v>
      </c>
      <c r="K1952" s="80"/>
      <c r="L1952" s="807"/>
      <c r="M1952" s="80" t="str">
        <f>+IFERROR(VLOOKUP(L1952,DATA!$G$4:$H$2000,2,FALSE),"")</f>
        <v/>
      </c>
      <c r="N1952" s="807"/>
      <c r="O1952" s="80" t="str">
        <f>IFERROR(VLOOKUP(N1952,DATA!$K$4:$L$51,2,FALSE),"")</f>
        <v/>
      </c>
      <c r="P1952" s="80">
        <f t="shared" si="187"/>
        <v>0</v>
      </c>
      <c r="Q1952" s="154">
        <f t="shared" si="191"/>
        <v>0</v>
      </c>
    </row>
    <row r="1953" spans="2:17">
      <c r="B1953" s="627" t="str">
        <f t="shared" si="190"/>
        <v/>
      </c>
      <c r="C1953" s="429"/>
      <c r="D1953" s="816"/>
      <c r="E1953" s="807"/>
      <c r="F1953" s="629" t="str">
        <f>IFERROR(VLOOKUP(E1953,STAT1!$C$4:$D$1000,2,FALSE),"")</f>
        <v/>
      </c>
      <c r="G1953" s="811"/>
      <c r="H1953" s="811"/>
      <c r="I1953" s="580">
        <f t="shared" si="188"/>
        <v>0</v>
      </c>
      <c r="J1953" s="961">
        <f t="shared" si="189"/>
        <v>0</v>
      </c>
      <c r="K1953" s="80"/>
      <c r="L1953" s="807"/>
      <c r="M1953" s="80" t="str">
        <f>+IFERROR(VLOOKUP(L1953,DATA!$G$4:$H$2000,2,FALSE),"")</f>
        <v/>
      </c>
      <c r="N1953" s="807"/>
      <c r="O1953" s="80" t="str">
        <f>IFERROR(VLOOKUP(N1953,DATA!$K$4:$L$51,2,FALSE),"")</f>
        <v/>
      </c>
      <c r="P1953" s="80">
        <f t="shared" si="187"/>
        <v>0</v>
      </c>
      <c r="Q1953" s="154">
        <f t="shared" si="191"/>
        <v>0</v>
      </c>
    </row>
    <row r="1954" spans="2:17">
      <c r="B1954" s="627" t="str">
        <f t="shared" si="190"/>
        <v/>
      </c>
      <c r="C1954" s="429"/>
      <c r="D1954" s="816"/>
      <c r="E1954" s="807"/>
      <c r="F1954" s="629" t="str">
        <f>IFERROR(VLOOKUP(E1954,STAT1!$C$4:$D$1000,2,FALSE),"")</f>
        <v/>
      </c>
      <c r="G1954" s="811"/>
      <c r="H1954" s="811"/>
      <c r="I1954" s="580">
        <f t="shared" si="188"/>
        <v>0</v>
      </c>
      <c r="J1954" s="961">
        <f t="shared" si="189"/>
        <v>0</v>
      </c>
      <c r="K1954" s="80"/>
      <c r="L1954" s="807"/>
      <c r="M1954" s="80" t="str">
        <f>+IFERROR(VLOOKUP(L1954,DATA!$G$4:$H$2000,2,FALSE),"")</f>
        <v/>
      </c>
      <c r="N1954" s="807"/>
      <c r="O1954" s="80" t="str">
        <f>IFERROR(VLOOKUP(N1954,DATA!$K$4:$L$51,2,FALSE),"")</f>
        <v/>
      </c>
      <c r="P1954" s="80">
        <f t="shared" si="187"/>
        <v>0</v>
      </c>
      <c r="Q1954" s="154">
        <f t="shared" si="191"/>
        <v>0</v>
      </c>
    </row>
    <row r="1955" spans="2:17">
      <c r="B1955" s="627" t="str">
        <f t="shared" si="190"/>
        <v/>
      </c>
      <c r="C1955" s="429"/>
      <c r="D1955" s="816"/>
      <c r="E1955" s="807"/>
      <c r="F1955" s="629" t="str">
        <f>IFERROR(VLOOKUP(E1955,STAT1!$C$4:$D$1000,2,FALSE),"")</f>
        <v/>
      </c>
      <c r="G1955" s="811"/>
      <c r="H1955" s="811"/>
      <c r="I1955" s="580">
        <f t="shared" si="188"/>
        <v>0</v>
      </c>
      <c r="J1955" s="961">
        <f t="shared" si="189"/>
        <v>0</v>
      </c>
      <c r="K1955" s="80"/>
      <c r="L1955" s="807"/>
      <c r="M1955" s="80" t="str">
        <f>+IFERROR(VLOOKUP(L1955,DATA!$G$4:$H$2000,2,FALSE),"")</f>
        <v/>
      </c>
      <c r="N1955" s="807"/>
      <c r="O1955" s="80" t="str">
        <f>IFERROR(VLOOKUP(N1955,DATA!$K$4:$L$51,2,FALSE),"")</f>
        <v/>
      </c>
      <c r="P1955" s="80">
        <f t="shared" si="187"/>
        <v>0</v>
      </c>
      <c r="Q1955" s="154">
        <f t="shared" si="191"/>
        <v>0</v>
      </c>
    </row>
    <row r="1956" spans="2:17">
      <c r="B1956" s="627" t="str">
        <f t="shared" si="190"/>
        <v/>
      </c>
      <c r="C1956" s="429"/>
      <c r="D1956" s="816"/>
      <c r="E1956" s="807"/>
      <c r="F1956" s="629" t="str">
        <f>IFERROR(VLOOKUP(E1956,STAT1!$C$4:$D$1000,2,FALSE),"")</f>
        <v/>
      </c>
      <c r="G1956" s="811"/>
      <c r="H1956" s="811"/>
      <c r="I1956" s="580">
        <f t="shared" si="188"/>
        <v>0</v>
      </c>
      <c r="J1956" s="961">
        <f t="shared" si="189"/>
        <v>0</v>
      </c>
      <c r="K1956" s="80"/>
      <c r="L1956" s="807"/>
      <c r="M1956" s="80" t="str">
        <f>+IFERROR(VLOOKUP(L1956,DATA!$G$4:$H$2000,2,FALSE),"")</f>
        <v/>
      </c>
      <c r="N1956" s="807"/>
      <c r="O1956" s="80" t="str">
        <f>IFERROR(VLOOKUP(N1956,DATA!$K$4:$L$51,2,FALSE),"")</f>
        <v/>
      </c>
      <c r="P1956" s="80">
        <f t="shared" si="187"/>
        <v>0</v>
      </c>
      <c r="Q1956" s="154">
        <f t="shared" si="191"/>
        <v>0</v>
      </c>
    </row>
    <row r="1957" spans="2:17">
      <c r="B1957" s="627" t="str">
        <f t="shared" si="190"/>
        <v/>
      </c>
      <c r="C1957" s="429"/>
      <c r="D1957" s="816"/>
      <c r="E1957" s="807"/>
      <c r="F1957" s="629" t="str">
        <f>IFERROR(VLOOKUP(E1957,STAT1!$C$4:$D$1000,2,FALSE),"")</f>
        <v/>
      </c>
      <c r="G1957" s="811"/>
      <c r="H1957" s="811"/>
      <c r="I1957" s="580">
        <f t="shared" si="188"/>
        <v>0</v>
      </c>
      <c r="J1957" s="961">
        <f t="shared" si="189"/>
        <v>0</v>
      </c>
      <c r="K1957" s="80"/>
      <c r="L1957" s="807"/>
      <c r="M1957" s="80" t="str">
        <f>+IFERROR(VLOOKUP(L1957,DATA!$G$4:$H$2000,2,FALSE),"")</f>
        <v/>
      </c>
      <c r="N1957" s="807"/>
      <c r="O1957" s="80" t="str">
        <f>IFERROR(VLOOKUP(N1957,DATA!$K$4:$L$51,2,FALSE),"")</f>
        <v/>
      </c>
      <c r="P1957" s="80">
        <f t="shared" si="187"/>
        <v>0</v>
      </c>
      <c r="Q1957" s="154">
        <f t="shared" si="191"/>
        <v>0</v>
      </c>
    </row>
    <row r="1958" spans="2:17">
      <c r="B1958" s="627" t="str">
        <f t="shared" si="190"/>
        <v/>
      </c>
      <c r="C1958" s="429"/>
      <c r="D1958" s="816"/>
      <c r="E1958" s="807"/>
      <c r="F1958" s="629" t="str">
        <f>IFERROR(VLOOKUP(E1958,STAT1!$C$4:$D$1000,2,FALSE),"")</f>
        <v/>
      </c>
      <c r="G1958" s="811"/>
      <c r="H1958" s="811"/>
      <c r="I1958" s="580">
        <f t="shared" si="188"/>
        <v>0</v>
      </c>
      <c r="J1958" s="961">
        <f t="shared" si="189"/>
        <v>0</v>
      </c>
      <c r="K1958" s="80"/>
      <c r="L1958" s="807"/>
      <c r="M1958" s="80" t="str">
        <f>+IFERROR(VLOOKUP(L1958,DATA!$G$4:$H$2000,2,FALSE),"")</f>
        <v/>
      </c>
      <c r="N1958" s="807"/>
      <c r="O1958" s="80" t="str">
        <f>IFERROR(VLOOKUP(N1958,DATA!$K$4:$L$51,2,FALSE),"")</f>
        <v/>
      </c>
      <c r="P1958" s="80">
        <f t="shared" si="187"/>
        <v>0</v>
      </c>
      <c r="Q1958" s="154">
        <f t="shared" si="191"/>
        <v>0</v>
      </c>
    </row>
    <row r="1959" spans="2:17">
      <c r="B1959" s="627" t="str">
        <f t="shared" si="190"/>
        <v/>
      </c>
      <c r="C1959" s="429"/>
      <c r="D1959" s="816"/>
      <c r="E1959" s="807"/>
      <c r="F1959" s="629" t="str">
        <f>IFERROR(VLOOKUP(E1959,STAT1!$C$4:$D$1000,2,FALSE),"")</f>
        <v/>
      </c>
      <c r="G1959" s="811"/>
      <c r="H1959" s="811"/>
      <c r="I1959" s="580">
        <f t="shared" si="188"/>
        <v>0</v>
      </c>
      <c r="J1959" s="961">
        <f t="shared" si="189"/>
        <v>0</v>
      </c>
      <c r="K1959" s="80"/>
      <c r="L1959" s="807"/>
      <c r="M1959" s="80" t="str">
        <f>+IFERROR(VLOOKUP(L1959,DATA!$G$4:$H$2000,2,FALSE),"")</f>
        <v/>
      </c>
      <c r="N1959" s="807"/>
      <c r="O1959" s="80" t="str">
        <f>IFERROR(VLOOKUP(N1959,DATA!$K$4:$L$51,2,FALSE),"")</f>
        <v/>
      </c>
      <c r="P1959" s="80">
        <f t="shared" si="187"/>
        <v>0</v>
      </c>
      <c r="Q1959" s="154">
        <f t="shared" si="191"/>
        <v>0</v>
      </c>
    </row>
    <row r="1960" spans="2:17">
      <c r="B1960" s="627" t="str">
        <f t="shared" si="190"/>
        <v/>
      </c>
      <c r="C1960" s="429"/>
      <c r="D1960" s="816"/>
      <c r="E1960" s="807"/>
      <c r="F1960" s="629" t="str">
        <f>IFERROR(VLOOKUP(E1960,STAT1!$C$4:$D$1000,2,FALSE),"")</f>
        <v/>
      </c>
      <c r="G1960" s="811"/>
      <c r="H1960" s="811"/>
      <c r="I1960" s="580">
        <f t="shared" si="188"/>
        <v>0</v>
      </c>
      <c r="J1960" s="961">
        <f t="shared" si="189"/>
        <v>0</v>
      </c>
      <c r="K1960" s="80"/>
      <c r="L1960" s="807"/>
      <c r="M1960" s="80" t="str">
        <f>+IFERROR(VLOOKUP(L1960,DATA!$G$4:$H$2000,2,FALSE),"")</f>
        <v/>
      </c>
      <c r="N1960" s="807"/>
      <c r="O1960" s="80" t="str">
        <f>IFERROR(VLOOKUP(N1960,DATA!$K$4:$L$51,2,FALSE),"")</f>
        <v/>
      </c>
      <c r="P1960" s="80">
        <f t="shared" si="187"/>
        <v>0</v>
      </c>
      <c r="Q1960" s="154">
        <f t="shared" si="191"/>
        <v>0</v>
      </c>
    </row>
    <row r="1961" spans="2:17">
      <c r="B1961" s="627" t="str">
        <f t="shared" si="190"/>
        <v/>
      </c>
      <c r="C1961" s="429"/>
      <c r="D1961" s="816"/>
      <c r="E1961" s="807"/>
      <c r="F1961" s="629" t="str">
        <f>IFERROR(VLOOKUP(E1961,STAT1!$C$4:$D$1000,2,FALSE),"")</f>
        <v/>
      </c>
      <c r="G1961" s="811"/>
      <c r="H1961" s="811"/>
      <c r="I1961" s="580">
        <f t="shared" si="188"/>
        <v>0</v>
      </c>
      <c r="J1961" s="961">
        <f t="shared" si="189"/>
        <v>0</v>
      </c>
      <c r="K1961" s="80"/>
      <c r="L1961" s="807"/>
      <c r="M1961" s="80" t="str">
        <f>+IFERROR(VLOOKUP(L1961,DATA!$G$4:$H$2000,2,FALSE),"")</f>
        <v/>
      </c>
      <c r="N1961" s="807"/>
      <c r="O1961" s="80" t="str">
        <f>IFERROR(VLOOKUP(N1961,DATA!$K$4:$L$51,2,FALSE),"")</f>
        <v/>
      </c>
      <c r="P1961" s="80">
        <f t="shared" si="187"/>
        <v>0</v>
      </c>
      <c r="Q1961" s="154">
        <f t="shared" si="191"/>
        <v>0</v>
      </c>
    </row>
    <row r="1962" spans="2:17">
      <c r="B1962" s="627" t="str">
        <f t="shared" si="190"/>
        <v/>
      </c>
      <c r="C1962" s="429"/>
      <c r="D1962" s="816"/>
      <c r="E1962" s="807"/>
      <c r="F1962" s="629" t="str">
        <f>IFERROR(VLOOKUP(E1962,STAT1!$C$4:$D$1000,2,FALSE),"")</f>
        <v/>
      </c>
      <c r="G1962" s="811"/>
      <c r="H1962" s="811"/>
      <c r="I1962" s="580">
        <f t="shared" si="188"/>
        <v>0</v>
      </c>
      <c r="J1962" s="961">
        <f t="shared" si="189"/>
        <v>0</v>
      </c>
      <c r="K1962" s="80"/>
      <c r="L1962" s="807"/>
      <c r="M1962" s="80" t="str">
        <f>+IFERROR(VLOOKUP(L1962,DATA!$G$4:$H$2000,2,FALSE),"")</f>
        <v/>
      </c>
      <c r="N1962" s="807"/>
      <c r="O1962" s="80" t="str">
        <f>IFERROR(VLOOKUP(N1962,DATA!$K$4:$L$51,2,FALSE),"")</f>
        <v/>
      </c>
      <c r="P1962" s="80">
        <f t="shared" si="187"/>
        <v>0</v>
      </c>
      <c r="Q1962" s="154">
        <f t="shared" si="191"/>
        <v>0</v>
      </c>
    </row>
    <row r="1963" spans="2:17">
      <c r="B1963" s="627" t="str">
        <f t="shared" si="190"/>
        <v/>
      </c>
      <c r="C1963" s="429"/>
      <c r="D1963" s="817"/>
      <c r="E1963" s="807"/>
      <c r="F1963" s="629" t="str">
        <f>IFERROR(VLOOKUP(E1963,STAT1!$C$4:$D$1000,2,FALSE),"")</f>
        <v/>
      </c>
      <c r="G1963" s="811"/>
      <c r="H1963" s="811"/>
      <c r="I1963" s="580">
        <f t="shared" si="188"/>
        <v>0</v>
      </c>
      <c r="J1963" s="961">
        <f t="shared" si="189"/>
        <v>0</v>
      </c>
      <c r="K1963" s="80"/>
      <c r="L1963" s="807"/>
      <c r="M1963" s="80" t="str">
        <f>+IFERROR(VLOOKUP(L1963,DATA!$G$4:$H$2000,2,FALSE),"")</f>
        <v/>
      </c>
      <c r="N1963" s="807"/>
      <c r="O1963" s="80" t="str">
        <f>IFERROR(VLOOKUP(N1963,DATA!$K$4:$L$51,2,FALSE),"")</f>
        <v/>
      </c>
      <c r="P1963" s="80">
        <f t="shared" si="187"/>
        <v>0</v>
      </c>
      <c r="Q1963" s="154">
        <f t="shared" si="191"/>
        <v>0</v>
      </c>
    </row>
    <row r="1964" spans="2:17">
      <c r="B1964" s="627" t="str">
        <f t="shared" si="190"/>
        <v/>
      </c>
      <c r="C1964" s="631"/>
      <c r="D1964" s="817"/>
      <c r="E1964" s="808"/>
      <c r="F1964" s="629" t="str">
        <f>IFERROR(VLOOKUP(E1964,STAT1!$C$4:$D$1000,2,FALSE),"")</f>
        <v/>
      </c>
      <c r="G1964" s="891"/>
      <c r="H1964" s="891"/>
      <c r="I1964" s="580">
        <f t="shared" si="188"/>
        <v>0</v>
      </c>
      <c r="J1964" s="961">
        <f t="shared" si="189"/>
        <v>0</v>
      </c>
      <c r="K1964" s="80"/>
      <c r="L1964" s="808"/>
      <c r="M1964" s="80" t="str">
        <f>+IFERROR(VLOOKUP(L1964,DATA!$G$4:$H$2000,2,FALSE),"")</f>
        <v/>
      </c>
      <c r="N1964" s="808"/>
      <c r="O1964" s="80" t="str">
        <f>IFERROR(VLOOKUP(N1964,DATA!$K$4:$L$51,2,FALSE),"")</f>
        <v/>
      </c>
      <c r="P1964" s="80">
        <f t="shared" si="187"/>
        <v>0</v>
      </c>
      <c r="Q1964" s="154">
        <f t="shared" si="191"/>
        <v>0</v>
      </c>
    </row>
    <row r="1965" spans="2:17">
      <c r="B1965" s="627" t="str">
        <f t="shared" si="190"/>
        <v/>
      </c>
      <c r="C1965" s="631"/>
      <c r="D1965" s="817"/>
      <c r="E1965" s="808"/>
      <c r="F1965" s="629" t="str">
        <f>IFERROR(VLOOKUP(E1965,STAT1!$C$4:$D$1000,2,FALSE),"")</f>
        <v/>
      </c>
      <c r="G1965" s="891"/>
      <c r="H1965" s="891"/>
      <c r="I1965" s="580">
        <f t="shared" si="188"/>
        <v>0</v>
      </c>
      <c r="J1965" s="961">
        <f t="shared" si="189"/>
        <v>0</v>
      </c>
      <c r="K1965" s="80"/>
      <c r="L1965" s="808"/>
      <c r="M1965" s="80" t="str">
        <f>+IFERROR(VLOOKUP(L1965,DATA!$G$4:$H$2000,2,FALSE),"")</f>
        <v/>
      </c>
      <c r="N1965" s="808"/>
      <c r="O1965" s="80" t="str">
        <f>IFERROR(VLOOKUP(N1965,DATA!$K$4:$L$51,2,FALSE),"")</f>
        <v/>
      </c>
      <c r="P1965" s="80">
        <f t="shared" si="187"/>
        <v>0</v>
      </c>
      <c r="Q1965" s="154">
        <f t="shared" si="191"/>
        <v>0</v>
      </c>
    </row>
    <row r="1966" spans="2:17">
      <c r="B1966" s="627" t="str">
        <f t="shared" si="190"/>
        <v/>
      </c>
      <c r="C1966" s="631"/>
      <c r="D1966" s="817"/>
      <c r="E1966" s="808"/>
      <c r="F1966" s="629" t="str">
        <f>IFERROR(VLOOKUP(E1966,STAT1!$C$4:$D$1000,2,FALSE),"")</f>
        <v/>
      </c>
      <c r="G1966" s="891"/>
      <c r="H1966" s="891"/>
      <c r="I1966" s="580">
        <f t="shared" si="188"/>
        <v>0</v>
      </c>
      <c r="J1966" s="961">
        <f t="shared" si="189"/>
        <v>0</v>
      </c>
      <c r="K1966" s="80"/>
      <c r="L1966" s="808"/>
      <c r="M1966" s="80" t="str">
        <f>+IFERROR(VLOOKUP(L1966,DATA!$G$4:$H$2000,2,FALSE),"")</f>
        <v/>
      </c>
      <c r="N1966" s="808"/>
      <c r="O1966" s="80" t="str">
        <f>IFERROR(VLOOKUP(N1966,DATA!$K$4:$L$51,2,FALSE),"")</f>
        <v/>
      </c>
      <c r="P1966" s="80">
        <f t="shared" si="187"/>
        <v>0</v>
      </c>
      <c r="Q1966" s="154">
        <f t="shared" si="191"/>
        <v>0</v>
      </c>
    </row>
    <row r="1967" spans="2:17">
      <c r="B1967" s="627" t="str">
        <f t="shared" si="190"/>
        <v/>
      </c>
      <c r="C1967" s="631"/>
      <c r="D1967" s="817"/>
      <c r="E1967" s="808"/>
      <c r="F1967" s="629" t="str">
        <f>IFERROR(VLOOKUP(E1967,STAT1!$C$4:$D$1000,2,FALSE),"")</f>
        <v/>
      </c>
      <c r="G1967" s="891"/>
      <c r="H1967" s="891"/>
      <c r="I1967" s="580">
        <f t="shared" si="188"/>
        <v>0</v>
      </c>
      <c r="J1967" s="961">
        <f t="shared" si="189"/>
        <v>0</v>
      </c>
      <c r="K1967" s="80"/>
      <c r="L1967" s="808"/>
      <c r="M1967" s="80" t="str">
        <f>+IFERROR(VLOOKUP(L1967,DATA!$G$4:$H$2000,2,FALSE),"")</f>
        <v/>
      </c>
      <c r="N1967" s="808"/>
      <c r="O1967" s="80" t="str">
        <f>IFERROR(VLOOKUP(N1967,DATA!$K$4:$L$51,2,FALSE),"")</f>
        <v/>
      </c>
      <c r="P1967" s="80">
        <f t="shared" si="187"/>
        <v>0</v>
      </c>
      <c r="Q1967" s="154">
        <f t="shared" si="191"/>
        <v>0</v>
      </c>
    </row>
    <row r="1968" spans="2:17">
      <c r="B1968" s="627" t="str">
        <f t="shared" si="190"/>
        <v/>
      </c>
      <c r="C1968" s="631"/>
      <c r="D1968" s="817"/>
      <c r="E1968" s="808"/>
      <c r="F1968" s="629" t="str">
        <f>IFERROR(VLOOKUP(E1968,STAT1!$C$4:$D$1000,2,FALSE),"")</f>
        <v/>
      </c>
      <c r="G1968" s="891"/>
      <c r="H1968" s="891"/>
      <c r="I1968" s="580">
        <f t="shared" si="188"/>
        <v>0</v>
      </c>
      <c r="J1968" s="961">
        <f t="shared" si="189"/>
        <v>0</v>
      </c>
      <c r="K1968" s="80"/>
      <c r="L1968" s="808"/>
      <c r="M1968" s="80" t="str">
        <f>+IFERROR(VLOOKUP(L1968,DATA!$G$4:$H$2000,2,FALSE),"")</f>
        <v/>
      </c>
      <c r="N1968" s="808"/>
      <c r="O1968" s="80" t="str">
        <f>IFERROR(VLOOKUP(N1968,DATA!$K$4:$L$51,2,FALSE),"")</f>
        <v/>
      </c>
      <c r="P1968" s="80">
        <f t="shared" si="187"/>
        <v>0</v>
      </c>
      <c r="Q1968" s="154">
        <f t="shared" si="191"/>
        <v>0</v>
      </c>
    </row>
    <row r="1969" spans="2:17">
      <c r="B1969" s="627" t="str">
        <f t="shared" si="190"/>
        <v/>
      </c>
      <c r="C1969" s="631"/>
      <c r="D1969" s="817"/>
      <c r="E1969" s="808"/>
      <c r="F1969" s="629" t="str">
        <f>IFERROR(VLOOKUP(E1969,STAT1!$C$4:$D$1000,2,FALSE),"")</f>
        <v/>
      </c>
      <c r="G1969" s="891"/>
      <c r="H1969" s="891"/>
      <c r="I1969" s="580">
        <f t="shared" si="188"/>
        <v>0</v>
      </c>
      <c r="J1969" s="961">
        <f t="shared" si="189"/>
        <v>0</v>
      </c>
      <c r="K1969" s="80"/>
      <c r="L1969" s="808"/>
      <c r="M1969" s="80" t="str">
        <f>+IFERROR(VLOOKUP(L1969,DATA!$G$4:$H$2000,2,FALSE),"")</f>
        <v/>
      </c>
      <c r="N1969" s="808"/>
      <c r="O1969" s="80" t="str">
        <f>IFERROR(VLOOKUP(N1969,DATA!$K$4:$L$51,2,FALSE),"")</f>
        <v/>
      </c>
      <c r="P1969" s="80">
        <f t="shared" si="187"/>
        <v>0</v>
      </c>
      <c r="Q1969" s="154">
        <f t="shared" si="191"/>
        <v>0</v>
      </c>
    </row>
    <row r="1970" spans="2:17">
      <c r="B1970" s="627" t="str">
        <f t="shared" si="190"/>
        <v/>
      </c>
      <c r="C1970" s="631"/>
      <c r="D1970" s="817"/>
      <c r="E1970" s="808"/>
      <c r="F1970" s="629" t="str">
        <f>IFERROR(VLOOKUP(E1970,STAT1!$C$4:$D$1000,2,FALSE),"")</f>
        <v/>
      </c>
      <c r="G1970" s="891"/>
      <c r="H1970" s="891"/>
      <c r="I1970" s="580">
        <f t="shared" si="188"/>
        <v>0</v>
      </c>
      <c r="J1970" s="961">
        <f t="shared" si="189"/>
        <v>0</v>
      </c>
      <c r="K1970" s="80"/>
      <c r="L1970" s="808"/>
      <c r="M1970" s="80" t="str">
        <f>+IFERROR(VLOOKUP(L1970,DATA!$G$4:$H$2000,2,FALSE),"")</f>
        <v/>
      </c>
      <c r="N1970" s="808"/>
      <c r="O1970" s="80" t="str">
        <f>IFERROR(VLOOKUP(N1970,DATA!$K$4:$L$51,2,FALSE),"")</f>
        <v/>
      </c>
      <c r="P1970" s="80">
        <f t="shared" si="187"/>
        <v>0</v>
      </c>
      <c r="Q1970" s="154">
        <f t="shared" si="191"/>
        <v>0</v>
      </c>
    </row>
    <row r="1971" spans="2:17">
      <c r="B1971" s="627" t="str">
        <f t="shared" si="190"/>
        <v/>
      </c>
      <c r="C1971" s="631"/>
      <c r="D1971" s="817"/>
      <c r="E1971" s="808"/>
      <c r="F1971" s="629" t="str">
        <f>IFERROR(VLOOKUP(E1971,STAT1!$C$4:$D$1000,2,FALSE),"")</f>
        <v/>
      </c>
      <c r="G1971" s="891"/>
      <c r="H1971" s="891"/>
      <c r="I1971" s="580">
        <f t="shared" si="188"/>
        <v>0</v>
      </c>
      <c r="J1971" s="961">
        <f t="shared" si="189"/>
        <v>0</v>
      </c>
      <c r="K1971" s="80"/>
      <c r="L1971" s="808"/>
      <c r="M1971" s="80" t="str">
        <f>+IFERROR(VLOOKUP(L1971,DATA!$G$4:$H$2000,2,FALSE),"")</f>
        <v/>
      </c>
      <c r="N1971" s="808"/>
      <c r="O1971" s="80" t="str">
        <f>IFERROR(VLOOKUP(N1971,DATA!$K$4:$L$51,2,FALSE),"")</f>
        <v/>
      </c>
      <c r="P1971" s="80">
        <f t="shared" si="187"/>
        <v>0</v>
      </c>
      <c r="Q1971" s="154">
        <f t="shared" si="191"/>
        <v>0</v>
      </c>
    </row>
    <row r="1972" spans="2:17">
      <c r="B1972" s="627" t="str">
        <f t="shared" si="190"/>
        <v/>
      </c>
      <c r="C1972" s="631"/>
      <c r="D1972" s="817"/>
      <c r="E1972" s="808"/>
      <c r="F1972" s="629" t="str">
        <f>IFERROR(VLOOKUP(E1972,STAT1!$C$4:$D$1000,2,FALSE),"")</f>
        <v/>
      </c>
      <c r="G1972" s="891"/>
      <c r="H1972" s="891"/>
      <c r="I1972" s="580">
        <f t="shared" si="188"/>
        <v>0</v>
      </c>
      <c r="J1972" s="961">
        <f t="shared" si="189"/>
        <v>0</v>
      </c>
      <c r="K1972" s="80"/>
      <c r="L1972" s="808"/>
      <c r="M1972" s="80" t="str">
        <f>+IFERROR(VLOOKUP(L1972,DATA!$G$4:$H$2000,2,FALSE),"")</f>
        <v/>
      </c>
      <c r="N1972" s="808"/>
      <c r="O1972" s="80" t="str">
        <f>IFERROR(VLOOKUP(N1972,DATA!$K$4:$L$51,2,FALSE),"")</f>
        <v/>
      </c>
      <c r="P1972" s="80">
        <f t="shared" si="187"/>
        <v>0</v>
      </c>
      <c r="Q1972" s="154">
        <f t="shared" si="191"/>
        <v>0</v>
      </c>
    </row>
    <row r="1973" spans="2:17">
      <c r="B1973" s="627" t="str">
        <f t="shared" si="190"/>
        <v/>
      </c>
      <c r="C1973" s="631"/>
      <c r="D1973" s="818"/>
      <c r="E1973" s="808"/>
      <c r="F1973" s="629" t="str">
        <f>IFERROR(VLOOKUP(E1973,STAT1!$C$4:$D$1000,2,FALSE),"")</f>
        <v/>
      </c>
      <c r="G1973" s="891"/>
      <c r="H1973" s="891"/>
      <c r="I1973" s="580">
        <f t="shared" si="188"/>
        <v>0</v>
      </c>
      <c r="J1973" s="961">
        <f t="shared" si="189"/>
        <v>0</v>
      </c>
      <c r="K1973" s="80"/>
      <c r="L1973" s="808"/>
      <c r="M1973" s="80" t="str">
        <f>+IFERROR(VLOOKUP(L1973,DATA!$G$4:$H$2000,2,FALSE),"")</f>
        <v/>
      </c>
      <c r="N1973" s="808"/>
      <c r="O1973" s="80" t="str">
        <f>IFERROR(VLOOKUP(N1973,DATA!$K$4:$L$51,2,FALSE),"")</f>
        <v/>
      </c>
      <c r="P1973" s="80">
        <f t="shared" si="187"/>
        <v>0</v>
      </c>
      <c r="Q1973" s="154">
        <f t="shared" si="191"/>
        <v>0</v>
      </c>
    </row>
    <row r="1974" spans="2:17">
      <c r="B1974" s="627" t="str">
        <f t="shared" si="190"/>
        <v/>
      </c>
      <c r="C1974" s="634"/>
      <c r="D1974" s="818"/>
      <c r="E1974" s="809"/>
      <c r="F1974" s="629" t="str">
        <f>IFERROR(VLOOKUP(E1974,STAT1!$C$4:$D$1000,2,FALSE),"")</f>
        <v/>
      </c>
      <c r="G1974" s="892"/>
      <c r="H1974" s="892"/>
      <c r="I1974" s="580">
        <f t="shared" si="188"/>
        <v>0</v>
      </c>
      <c r="J1974" s="961">
        <f t="shared" si="189"/>
        <v>0</v>
      </c>
      <c r="K1974" s="80"/>
      <c r="L1974" s="809"/>
      <c r="M1974" s="80" t="str">
        <f>+IFERROR(VLOOKUP(L1974,DATA!$G$4:$H$2000,2,FALSE),"")</f>
        <v/>
      </c>
      <c r="N1974" s="809"/>
      <c r="O1974" s="80" t="str">
        <f>IFERROR(VLOOKUP(N1974,DATA!$K$4:$L$51,2,FALSE),"")</f>
        <v/>
      </c>
      <c r="P1974" s="80">
        <f t="shared" si="187"/>
        <v>0</v>
      </c>
      <c r="Q1974" s="154">
        <f t="shared" si="191"/>
        <v>0</v>
      </c>
    </row>
    <row r="1975" spans="2:17">
      <c r="B1975" s="627" t="str">
        <f t="shared" si="190"/>
        <v/>
      </c>
      <c r="C1975" s="634"/>
      <c r="D1975" s="818"/>
      <c r="E1975" s="809"/>
      <c r="F1975" s="629" t="str">
        <f>IFERROR(VLOOKUP(E1975,STAT1!$C$4:$D$1000,2,FALSE),"")</f>
        <v/>
      </c>
      <c r="G1975" s="892"/>
      <c r="H1975" s="892"/>
      <c r="I1975" s="580">
        <f t="shared" si="188"/>
        <v>0</v>
      </c>
      <c r="J1975" s="961">
        <f t="shared" si="189"/>
        <v>0</v>
      </c>
      <c r="K1975" s="80"/>
      <c r="L1975" s="809"/>
      <c r="M1975" s="80" t="str">
        <f>+IFERROR(VLOOKUP(L1975,DATA!$G$4:$H$2000,2,FALSE),"")</f>
        <v/>
      </c>
      <c r="N1975" s="809"/>
      <c r="O1975" s="80" t="str">
        <f>IFERROR(VLOOKUP(N1975,DATA!$K$4:$L$51,2,FALSE),"")</f>
        <v/>
      </c>
      <c r="P1975" s="80">
        <f t="shared" si="187"/>
        <v>0</v>
      </c>
      <c r="Q1975" s="154">
        <f t="shared" si="191"/>
        <v>0</v>
      </c>
    </row>
    <row r="1976" spans="2:17">
      <c r="B1976" s="627" t="str">
        <f t="shared" si="190"/>
        <v/>
      </c>
      <c r="C1976" s="634"/>
      <c r="D1976" s="818"/>
      <c r="E1976" s="809"/>
      <c r="F1976" s="629" t="str">
        <f>IFERROR(VLOOKUP(E1976,STAT1!$C$4:$D$1000,2,FALSE),"")</f>
        <v/>
      </c>
      <c r="G1976" s="892"/>
      <c r="H1976" s="892"/>
      <c r="I1976" s="580">
        <f t="shared" si="188"/>
        <v>0</v>
      </c>
      <c r="J1976" s="961">
        <f t="shared" si="189"/>
        <v>0</v>
      </c>
      <c r="K1976" s="80"/>
      <c r="L1976" s="809"/>
      <c r="M1976" s="80" t="str">
        <f>+IFERROR(VLOOKUP(L1976,DATA!$G$4:$H$2000,2,FALSE),"")</f>
        <v/>
      </c>
      <c r="N1976" s="809"/>
      <c r="O1976" s="80" t="str">
        <f>IFERROR(VLOOKUP(N1976,DATA!$K$4:$L$51,2,FALSE),"")</f>
        <v/>
      </c>
      <c r="P1976" s="80">
        <f t="shared" si="187"/>
        <v>0</v>
      </c>
      <c r="Q1976" s="154">
        <f t="shared" si="191"/>
        <v>0</v>
      </c>
    </row>
    <row r="1977" spans="2:17">
      <c r="B1977" s="627" t="str">
        <f t="shared" si="190"/>
        <v/>
      </c>
      <c r="C1977" s="634"/>
      <c r="D1977" s="818"/>
      <c r="E1977" s="809"/>
      <c r="F1977" s="629" t="str">
        <f>IFERROR(VLOOKUP(E1977,STAT1!$C$4:$D$1000,2,FALSE),"")</f>
        <v/>
      </c>
      <c r="G1977" s="892"/>
      <c r="H1977" s="892"/>
      <c r="I1977" s="580">
        <f t="shared" si="188"/>
        <v>0</v>
      </c>
      <c r="J1977" s="961">
        <f t="shared" si="189"/>
        <v>0</v>
      </c>
      <c r="K1977" s="80"/>
      <c r="L1977" s="809"/>
      <c r="M1977" s="80" t="str">
        <f>+IFERROR(VLOOKUP(L1977,DATA!$G$4:$H$2000,2,FALSE),"")</f>
        <v/>
      </c>
      <c r="N1977" s="809"/>
      <c r="O1977" s="80" t="str">
        <f>IFERROR(VLOOKUP(N1977,DATA!$K$4:$L$51,2,FALSE),"")</f>
        <v/>
      </c>
      <c r="P1977" s="80">
        <f t="shared" si="187"/>
        <v>0</v>
      </c>
      <c r="Q1977" s="154">
        <f t="shared" si="191"/>
        <v>0</v>
      </c>
    </row>
    <row r="1978" spans="2:17">
      <c r="B1978" s="627" t="str">
        <f t="shared" si="190"/>
        <v/>
      </c>
      <c r="C1978" s="634"/>
      <c r="D1978" s="818"/>
      <c r="E1978" s="809"/>
      <c r="F1978" s="629" t="str">
        <f>IFERROR(VLOOKUP(E1978,STAT1!$C$4:$D$1000,2,FALSE),"")</f>
        <v/>
      </c>
      <c r="G1978" s="892"/>
      <c r="H1978" s="892"/>
      <c r="I1978" s="580">
        <f t="shared" si="188"/>
        <v>0</v>
      </c>
      <c r="J1978" s="961">
        <f t="shared" si="189"/>
        <v>0</v>
      </c>
      <c r="K1978" s="80"/>
      <c r="L1978" s="809"/>
      <c r="M1978" s="80" t="str">
        <f>+IFERROR(VLOOKUP(L1978,DATA!$G$4:$H$2000,2,FALSE),"")</f>
        <v/>
      </c>
      <c r="N1978" s="809"/>
      <c r="O1978" s="80" t="str">
        <f>IFERROR(VLOOKUP(N1978,DATA!$K$4:$L$51,2,FALSE),"")</f>
        <v/>
      </c>
      <c r="P1978" s="80">
        <f t="shared" si="187"/>
        <v>0</v>
      </c>
      <c r="Q1978" s="154">
        <f t="shared" si="191"/>
        <v>0</v>
      </c>
    </row>
    <row r="1979" spans="2:17">
      <c r="B1979" s="627" t="str">
        <f t="shared" si="190"/>
        <v/>
      </c>
      <c r="C1979" s="634"/>
      <c r="D1979" s="819"/>
      <c r="E1979" s="809"/>
      <c r="F1979" s="629" t="str">
        <f>IFERROR(VLOOKUP(E1979,STAT1!$C$4:$D$1000,2,FALSE),"")</f>
        <v/>
      </c>
      <c r="G1979" s="892"/>
      <c r="H1979" s="892"/>
      <c r="I1979" s="580">
        <f t="shared" si="188"/>
        <v>0</v>
      </c>
      <c r="J1979" s="961">
        <f t="shared" si="189"/>
        <v>0</v>
      </c>
      <c r="K1979" s="80"/>
      <c r="L1979" s="809"/>
      <c r="M1979" s="80" t="str">
        <f>+IFERROR(VLOOKUP(L1979,DATA!$G$4:$H$2000,2,FALSE),"")</f>
        <v/>
      </c>
      <c r="N1979" s="809"/>
      <c r="O1979" s="80" t="str">
        <f>IFERROR(VLOOKUP(N1979,DATA!$K$4:$L$51,2,FALSE),"")</f>
        <v/>
      </c>
      <c r="P1979" s="80">
        <f t="shared" si="187"/>
        <v>0</v>
      </c>
      <c r="Q1979" s="154">
        <f t="shared" si="191"/>
        <v>0</v>
      </c>
    </row>
    <row r="1980" spans="2:17">
      <c r="B1980" s="627" t="str">
        <f t="shared" si="190"/>
        <v/>
      </c>
      <c r="C1980" s="635"/>
      <c r="D1980" s="819"/>
      <c r="E1980" s="633"/>
      <c r="F1980" s="629" t="str">
        <f>IFERROR(VLOOKUP(E1980,STAT1!$C$4:$D$1000,2,FALSE),"")</f>
        <v/>
      </c>
      <c r="G1980" s="893"/>
      <c r="H1980" s="893"/>
      <c r="I1980" s="580">
        <f t="shared" si="188"/>
        <v>0</v>
      </c>
      <c r="J1980" s="961">
        <f t="shared" si="189"/>
        <v>0</v>
      </c>
      <c r="K1980" s="80"/>
      <c r="L1980" s="633"/>
      <c r="M1980" s="80" t="str">
        <f>+IFERROR(VLOOKUP(L1980,DATA!$G$4:$H$2000,2,FALSE),"")</f>
        <v/>
      </c>
      <c r="N1980" s="633"/>
      <c r="O1980" s="80" t="str">
        <f>IFERROR(VLOOKUP(N1980,DATA!$K$4:$L$51,2,FALSE),"")</f>
        <v/>
      </c>
      <c r="P1980" s="80">
        <f t="shared" ref="P1980:P2043" si="192">+IF(I1980,1,0)</f>
        <v>0</v>
      </c>
      <c r="Q1980" s="154">
        <f t="shared" si="191"/>
        <v>0</v>
      </c>
    </row>
    <row r="1981" spans="2:17">
      <c r="B1981" s="627" t="str">
        <f t="shared" si="190"/>
        <v/>
      </c>
      <c r="C1981" s="635"/>
      <c r="D1981" s="819"/>
      <c r="E1981" s="633"/>
      <c r="F1981" s="629" t="str">
        <f>IFERROR(VLOOKUP(E1981,STAT1!$C$4:$D$1000,2,FALSE),"")</f>
        <v/>
      </c>
      <c r="G1981" s="893"/>
      <c r="H1981" s="893"/>
      <c r="I1981" s="580">
        <f t="shared" si="188"/>
        <v>0</v>
      </c>
      <c r="J1981" s="961">
        <f t="shared" si="189"/>
        <v>0</v>
      </c>
      <c r="K1981" s="80"/>
      <c r="L1981" s="633"/>
      <c r="M1981" s="80" t="str">
        <f>+IFERROR(VLOOKUP(L1981,DATA!$G$4:$H$2000,2,FALSE),"")</f>
        <v/>
      </c>
      <c r="N1981" s="633"/>
      <c r="O1981" s="80" t="str">
        <f>IFERROR(VLOOKUP(N1981,DATA!$K$4:$L$51,2,FALSE),"")</f>
        <v/>
      </c>
      <c r="P1981" s="80">
        <f t="shared" si="192"/>
        <v>0</v>
      </c>
      <c r="Q1981" s="154">
        <f t="shared" si="191"/>
        <v>0</v>
      </c>
    </row>
    <row r="1982" spans="2:17">
      <c r="B1982" s="627" t="str">
        <f t="shared" si="190"/>
        <v/>
      </c>
      <c r="C1982" s="635"/>
      <c r="D1982" s="819"/>
      <c r="E1982" s="633"/>
      <c r="F1982" s="629" t="str">
        <f>IFERROR(VLOOKUP(E1982,STAT1!$C$4:$D$1000,2,FALSE),"")</f>
        <v/>
      </c>
      <c r="G1982" s="893"/>
      <c r="H1982" s="893"/>
      <c r="I1982" s="580">
        <f t="shared" ref="I1982:I2045" si="193">+IF(OR(E1982=100100,E1982=100200,E1982=110100,E1982=110102,E1982=110103,E1982=110104,E1982=110105,E1982=110200,E1982=110201,E1982=110202,E1982=110203,E1982=110204,E1982=110300),G1982,0)+IF(OR(E1982=100100,E1982=100200,E1982=110100,E1982=110102,E1982=110103,E1982=110104,E1982=110105,E1982=110200,E1982=110201,E1982=110202,E1982=110203,E1982=110204,E1982=110300),H1982*-1,0)</f>
        <v>0</v>
      </c>
      <c r="J1982" s="961">
        <f t="shared" ref="J1982:J2045" si="194">+IF(E1982=110200,I1982/K1982,0)</f>
        <v>0</v>
      </c>
      <c r="K1982" s="80"/>
      <c r="L1982" s="633"/>
      <c r="M1982" s="80" t="str">
        <f>+IFERROR(VLOOKUP(L1982,DATA!$G$4:$H$2000,2,FALSE),"")</f>
        <v/>
      </c>
      <c r="N1982" s="633"/>
      <c r="O1982" s="80" t="str">
        <f>IFERROR(VLOOKUP(N1982,DATA!$K$4:$L$51,2,FALSE),"")</f>
        <v/>
      </c>
      <c r="P1982" s="80">
        <f t="shared" si="192"/>
        <v>0</v>
      </c>
      <c r="Q1982" s="154">
        <f t="shared" si="191"/>
        <v>0</v>
      </c>
    </row>
    <row r="1983" spans="2:17">
      <c r="B1983" s="627" t="str">
        <f t="shared" si="190"/>
        <v/>
      </c>
      <c r="C1983" s="635"/>
      <c r="D1983" s="819"/>
      <c r="E1983" s="633"/>
      <c r="F1983" s="629" t="str">
        <f>IFERROR(VLOOKUP(E1983,STAT1!$C$4:$D$1000,2,FALSE),"")</f>
        <v/>
      </c>
      <c r="G1983" s="893"/>
      <c r="H1983" s="893"/>
      <c r="I1983" s="580">
        <f t="shared" si="193"/>
        <v>0</v>
      </c>
      <c r="J1983" s="961">
        <f t="shared" si="194"/>
        <v>0</v>
      </c>
      <c r="K1983" s="80"/>
      <c r="L1983" s="633"/>
      <c r="M1983" s="80" t="str">
        <f>+IFERROR(VLOOKUP(L1983,DATA!$G$4:$H$2000,2,FALSE),"")</f>
        <v/>
      </c>
      <c r="N1983" s="633"/>
      <c r="O1983" s="80" t="str">
        <f>IFERROR(VLOOKUP(N1983,DATA!$K$4:$L$51,2,FALSE),"")</f>
        <v/>
      </c>
      <c r="P1983" s="80">
        <f t="shared" si="192"/>
        <v>0</v>
      </c>
      <c r="Q1983" s="154">
        <f t="shared" si="191"/>
        <v>0</v>
      </c>
    </row>
    <row r="1984" spans="2:17">
      <c r="B1984" s="627" t="str">
        <f t="shared" si="190"/>
        <v/>
      </c>
      <c r="C1984" s="635"/>
      <c r="D1984" s="819"/>
      <c r="E1984" s="633"/>
      <c r="F1984" s="629" t="str">
        <f>IFERROR(VLOOKUP(E1984,STAT1!$C$4:$D$1000,2,FALSE),"")</f>
        <v/>
      </c>
      <c r="G1984" s="893"/>
      <c r="H1984" s="893"/>
      <c r="I1984" s="580">
        <f t="shared" si="193"/>
        <v>0</v>
      </c>
      <c r="J1984" s="961">
        <f t="shared" si="194"/>
        <v>0</v>
      </c>
      <c r="K1984" s="80"/>
      <c r="L1984" s="633"/>
      <c r="M1984" s="80" t="str">
        <f>+IFERROR(VLOOKUP(L1984,DATA!$G$4:$H$2000,2,FALSE),"")</f>
        <v/>
      </c>
      <c r="N1984" s="633"/>
      <c r="O1984" s="80" t="str">
        <f>IFERROR(VLOOKUP(N1984,DATA!$K$4:$L$51,2,FALSE),"")</f>
        <v/>
      </c>
      <c r="P1984" s="80">
        <f t="shared" si="192"/>
        <v>0</v>
      </c>
      <c r="Q1984" s="154">
        <f t="shared" si="191"/>
        <v>0</v>
      </c>
    </row>
    <row r="1985" spans="2:17">
      <c r="B1985" s="627" t="str">
        <f t="shared" si="190"/>
        <v/>
      </c>
      <c r="C1985" s="635"/>
      <c r="D1985" s="819"/>
      <c r="E1985" s="633"/>
      <c r="F1985" s="629" t="str">
        <f>IFERROR(VLOOKUP(E1985,STAT1!$C$4:$D$1000,2,FALSE),"")</f>
        <v/>
      </c>
      <c r="G1985" s="893"/>
      <c r="H1985" s="893"/>
      <c r="I1985" s="580">
        <f t="shared" si="193"/>
        <v>0</v>
      </c>
      <c r="J1985" s="961">
        <f t="shared" si="194"/>
        <v>0</v>
      </c>
      <c r="K1985" s="80"/>
      <c r="L1985" s="633"/>
      <c r="M1985" s="80" t="str">
        <f>+IFERROR(VLOOKUP(L1985,DATA!$G$4:$H$2000,2,FALSE),"")</f>
        <v/>
      </c>
      <c r="N1985" s="633"/>
      <c r="O1985" s="80" t="str">
        <f>IFERROR(VLOOKUP(N1985,DATA!$K$4:$L$51,2,FALSE),"")</f>
        <v/>
      </c>
      <c r="P1985" s="80">
        <f t="shared" si="192"/>
        <v>0</v>
      </c>
      <c r="Q1985" s="154">
        <f t="shared" si="191"/>
        <v>0</v>
      </c>
    </row>
    <row r="1986" spans="2:17">
      <c r="B1986" s="627" t="str">
        <f t="shared" si="190"/>
        <v/>
      </c>
      <c r="C1986" s="635"/>
      <c r="D1986" s="819"/>
      <c r="E1986" s="633"/>
      <c r="F1986" s="629" t="str">
        <f>IFERROR(VLOOKUP(E1986,STAT1!$C$4:$D$1000,2,FALSE),"")</f>
        <v/>
      </c>
      <c r="G1986" s="893"/>
      <c r="H1986" s="893"/>
      <c r="I1986" s="580">
        <f t="shared" si="193"/>
        <v>0</v>
      </c>
      <c r="J1986" s="961">
        <f t="shared" si="194"/>
        <v>0</v>
      </c>
      <c r="K1986" s="80"/>
      <c r="L1986" s="633"/>
      <c r="M1986" s="80" t="str">
        <f>+IFERROR(VLOOKUP(L1986,DATA!$G$4:$H$2000,2,FALSE),"")</f>
        <v/>
      </c>
      <c r="N1986" s="633"/>
      <c r="O1986" s="80" t="str">
        <f>IFERROR(VLOOKUP(N1986,DATA!$K$4:$L$51,2,FALSE),"")</f>
        <v/>
      </c>
      <c r="P1986" s="80">
        <f t="shared" si="192"/>
        <v>0</v>
      </c>
      <c r="Q1986" s="154">
        <f t="shared" si="191"/>
        <v>0</v>
      </c>
    </row>
    <row r="1987" spans="2:17">
      <c r="B1987" s="627" t="str">
        <f t="shared" si="190"/>
        <v/>
      </c>
      <c r="C1987" s="635"/>
      <c r="D1987" s="819"/>
      <c r="E1987" s="633"/>
      <c r="F1987" s="629" t="str">
        <f>IFERROR(VLOOKUP(E1987,STAT1!$C$4:$D$1000,2,FALSE),"")</f>
        <v/>
      </c>
      <c r="G1987" s="893"/>
      <c r="H1987" s="893"/>
      <c r="I1987" s="580">
        <f t="shared" si="193"/>
        <v>0</v>
      </c>
      <c r="J1987" s="961">
        <f t="shared" si="194"/>
        <v>0</v>
      </c>
      <c r="K1987" s="80"/>
      <c r="L1987" s="633"/>
      <c r="M1987" s="80" t="str">
        <f>+IFERROR(VLOOKUP(L1987,DATA!$G$4:$H$2000,2,FALSE),"")</f>
        <v/>
      </c>
      <c r="N1987" s="633"/>
      <c r="O1987" s="80" t="str">
        <f>IFERROR(VLOOKUP(N1987,DATA!$K$4:$L$51,2,FALSE),"")</f>
        <v/>
      </c>
      <c r="P1987" s="80">
        <f t="shared" si="192"/>
        <v>0</v>
      </c>
      <c r="Q1987" s="154">
        <f t="shared" si="191"/>
        <v>0</v>
      </c>
    </row>
    <row r="1988" spans="2:17">
      <c r="B1988" s="627" t="str">
        <f t="shared" si="190"/>
        <v/>
      </c>
      <c r="C1988" s="635"/>
      <c r="D1988" s="819"/>
      <c r="E1988" s="633"/>
      <c r="F1988" s="629" t="str">
        <f>IFERROR(VLOOKUP(E1988,STAT1!$C$4:$D$1000,2,FALSE),"")</f>
        <v/>
      </c>
      <c r="G1988" s="893"/>
      <c r="H1988" s="893"/>
      <c r="I1988" s="580">
        <f t="shared" si="193"/>
        <v>0</v>
      </c>
      <c r="J1988" s="961">
        <f t="shared" si="194"/>
        <v>0</v>
      </c>
      <c r="K1988" s="80"/>
      <c r="L1988" s="633"/>
      <c r="M1988" s="80" t="str">
        <f>+IFERROR(VLOOKUP(L1988,DATA!$G$4:$H$2000,2,FALSE),"")</f>
        <v/>
      </c>
      <c r="N1988" s="633"/>
      <c r="O1988" s="80" t="str">
        <f>IFERROR(VLOOKUP(N1988,DATA!$K$4:$L$51,2,FALSE),"")</f>
        <v/>
      </c>
      <c r="P1988" s="80">
        <f t="shared" si="192"/>
        <v>0</v>
      </c>
      <c r="Q1988" s="154">
        <f t="shared" si="191"/>
        <v>0</v>
      </c>
    </row>
    <row r="1989" spans="2:17">
      <c r="B1989" s="627" t="str">
        <f t="shared" si="190"/>
        <v/>
      </c>
      <c r="C1989" s="635"/>
      <c r="D1989" s="819"/>
      <c r="E1989" s="633"/>
      <c r="F1989" s="629" t="str">
        <f>IFERROR(VLOOKUP(E1989,STAT1!$C$4:$D$1000,2,FALSE),"")</f>
        <v/>
      </c>
      <c r="G1989" s="893"/>
      <c r="H1989" s="893"/>
      <c r="I1989" s="580">
        <f t="shared" si="193"/>
        <v>0</v>
      </c>
      <c r="J1989" s="961">
        <f t="shared" si="194"/>
        <v>0</v>
      </c>
      <c r="K1989" s="80"/>
      <c r="L1989" s="633"/>
      <c r="M1989" s="80" t="str">
        <f>+IFERROR(VLOOKUP(L1989,DATA!$G$4:$H$2000,2,FALSE),"")</f>
        <v/>
      </c>
      <c r="N1989" s="633"/>
      <c r="O1989" s="80" t="str">
        <f>IFERROR(VLOOKUP(N1989,DATA!$K$4:$L$51,2,FALSE),"")</f>
        <v/>
      </c>
      <c r="P1989" s="80">
        <f t="shared" si="192"/>
        <v>0</v>
      </c>
      <c r="Q1989" s="154">
        <f t="shared" si="191"/>
        <v>0</v>
      </c>
    </row>
    <row r="1990" spans="2:17">
      <c r="B1990" s="627" t="str">
        <f t="shared" si="190"/>
        <v/>
      </c>
      <c r="C1990" s="635"/>
      <c r="D1990" s="819"/>
      <c r="E1990" s="633"/>
      <c r="F1990" s="629" t="str">
        <f>IFERROR(VLOOKUP(E1990,STAT1!$C$4:$D$1000,2,FALSE),"")</f>
        <v/>
      </c>
      <c r="G1990" s="893"/>
      <c r="H1990" s="893"/>
      <c r="I1990" s="580">
        <f t="shared" si="193"/>
        <v>0</v>
      </c>
      <c r="J1990" s="961">
        <f t="shared" si="194"/>
        <v>0</v>
      </c>
      <c r="K1990" s="80"/>
      <c r="L1990" s="633"/>
      <c r="M1990" s="80" t="str">
        <f>+IFERROR(VLOOKUP(L1990,DATA!$G$4:$H$2000,2,FALSE),"")</f>
        <v/>
      </c>
      <c r="N1990" s="633"/>
      <c r="O1990" s="80" t="str">
        <f>IFERROR(VLOOKUP(N1990,DATA!$K$4:$L$51,2,FALSE),"")</f>
        <v/>
      </c>
      <c r="P1990" s="80">
        <f t="shared" si="192"/>
        <v>0</v>
      </c>
      <c r="Q1990" s="154">
        <f t="shared" si="191"/>
        <v>0</v>
      </c>
    </row>
    <row r="1991" spans="2:17">
      <c r="B1991" s="627" t="str">
        <f t="shared" si="190"/>
        <v/>
      </c>
      <c r="C1991" s="635"/>
      <c r="D1991" s="819"/>
      <c r="E1991" s="633"/>
      <c r="F1991" s="629" t="str">
        <f>IFERROR(VLOOKUP(E1991,STAT1!$C$4:$D$1000,2,FALSE),"")</f>
        <v/>
      </c>
      <c r="G1991" s="893"/>
      <c r="H1991" s="893"/>
      <c r="I1991" s="580">
        <f t="shared" si="193"/>
        <v>0</v>
      </c>
      <c r="J1991" s="961">
        <f t="shared" si="194"/>
        <v>0</v>
      </c>
      <c r="K1991" s="80"/>
      <c r="L1991" s="633"/>
      <c r="M1991" s="80" t="str">
        <f>+IFERROR(VLOOKUP(L1991,DATA!$G$4:$H$2000,2,FALSE),"")</f>
        <v/>
      </c>
      <c r="N1991" s="633"/>
      <c r="O1991" s="80" t="str">
        <f>IFERROR(VLOOKUP(N1991,DATA!$K$4:$L$51,2,FALSE),"")</f>
        <v/>
      </c>
      <c r="P1991" s="80">
        <f t="shared" si="192"/>
        <v>0</v>
      </c>
      <c r="Q1991" s="154">
        <f t="shared" si="191"/>
        <v>0</v>
      </c>
    </row>
    <row r="1992" spans="2:17">
      <c r="B1992" s="627" t="str">
        <f t="shared" si="190"/>
        <v/>
      </c>
      <c r="C1992" s="635"/>
      <c r="D1992" s="819"/>
      <c r="E1992" s="633"/>
      <c r="F1992" s="629" t="str">
        <f>IFERROR(VLOOKUP(E1992,STAT1!$C$4:$D$1000,2,FALSE),"")</f>
        <v/>
      </c>
      <c r="G1992" s="893"/>
      <c r="H1992" s="893"/>
      <c r="I1992" s="580">
        <f t="shared" si="193"/>
        <v>0</v>
      </c>
      <c r="J1992" s="961">
        <f t="shared" si="194"/>
        <v>0</v>
      </c>
      <c r="K1992" s="80"/>
      <c r="L1992" s="633"/>
      <c r="M1992" s="80" t="str">
        <f>+IFERROR(VLOOKUP(L1992,DATA!$G$4:$H$2000,2,FALSE),"")</f>
        <v/>
      </c>
      <c r="N1992" s="633"/>
      <c r="O1992" s="80" t="str">
        <f>IFERROR(VLOOKUP(N1992,DATA!$K$4:$L$51,2,FALSE),"")</f>
        <v/>
      </c>
      <c r="P1992" s="80">
        <f t="shared" si="192"/>
        <v>0</v>
      </c>
      <c r="Q1992" s="154">
        <f t="shared" si="191"/>
        <v>0</v>
      </c>
    </row>
    <row r="1993" spans="2:17">
      <c r="B1993" s="627" t="str">
        <f t="shared" si="190"/>
        <v/>
      </c>
      <c r="C1993" s="635"/>
      <c r="D1993" s="817"/>
      <c r="E1993" s="633"/>
      <c r="F1993" s="629" t="str">
        <f>IFERROR(VLOOKUP(E1993,STAT1!$C$4:$D$1000,2,FALSE),"")</f>
        <v/>
      </c>
      <c r="G1993" s="893"/>
      <c r="H1993" s="893"/>
      <c r="I1993" s="580">
        <f t="shared" si="193"/>
        <v>0</v>
      </c>
      <c r="J1993" s="961">
        <f t="shared" si="194"/>
        <v>0</v>
      </c>
      <c r="K1993" s="80"/>
      <c r="L1993" s="633"/>
      <c r="M1993" s="80" t="str">
        <f>+IFERROR(VLOOKUP(L1993,DATA!$G$4:$H$2000,2,FALSE),"")</f>
        <v/>
      </c>
      <c r="N1993" s="633"/>
      <c r="O1993" s="80" t="str">
        <f>IFERROR(VLOOKUP(N1993,DATA!$K$4:$L$51,2,FALSE),"")</f>
        <v/>
      </c>
      <c r="P1993" s="80">
        <f t="shared" si="192"/>
        <v>0</v>
      </c>
      <c r="Q1993" s="154">
        <f t="shared" si="191"/>
        <v>0</v>
      </c>
    </row>
    <row r="1994" spans="2:17">
      <c r="B1994" s="627" t="str">
        <f t="shared" si="190"/>
        <v/>
      </c>
      <c r="C1994" s="631"/>
      <c r="D1994" s="817"/>
      <c r="E1994" s="808"/>
      <c r="F1994" s="629" t="str">
        <f>IFERROR(VLOOKUP(E1994,STAT1!$C$4:$D$1000,2,FALSE),"")</f>
        <v/>
      </c>
      <c r="G1994" s="891"/>
      <c r="H1994" s="891"/>
      <c r="I1994" s="580">
        <f t="shared" si="193"/>
        <v>0</v>
      </c>
      <c r="J1994" s="961">
        <f t="shared" si="194"/>
        <v>0</v>
      </c>
      <c r="K1994" s="80"/>
      <c r="L1994" s="808"/>
      <c r="M1994" s="80" t="str">
        <f>+IFERROR(VLOOKUP(L1994,DATA!$G$4:$H$2000,2,FALSE),"")</f>
        <v/>
      </c>
      <c r="N1994" s="808"/>
      <c r="O1994" s="80" t="str">
        <f>IFERROR(VLOOKUP(N1994,DATA!$K$4:$L$51,2,FALSE),"")</f>
        <v/>
      </c>
      <c r="P1994" s="80">
        <f t="shared" si="192"/>
        <v>0</v>
      </c>
      <c r="Q1994" s="154">
        <f t="shared" si="191"/>
        <v>0</v>
      </c>
    </row>
    <row r="1995" spans="2:17">
      <c r="B1995" s="627" t="str">
        <f t="shared" si="190"/>
        <v/>
      </c>
      <c r="C1995" s="631"/>
      <c r="D1995" s="818"/>
      <c r="E1995" s="808"/>
      <c r="F1995" s="629" t="str">
        <f>IFERROR(VLOOKUP(E1995,STAT1!$C$4:$D$1000,2,FALSE),"")</f>
        <v/>
      </c>
      <c r="G1995" s="891"/>
      <c r="H1995" s="891"/>
      <c r="I1995" s="580">
        <f t="shared" si="193"/>
        <v>0</v>
      </c>
      <c r="J1995" s="961">
        <f t="shared" si="194"/>
        <v>0</v>
      </c>
      <c r="K1995" s="80"/>
      <c r="L1995" s="808"/>
      <c r="M1995" s="80" t="str">
        <f>+IFERROR(VLOOKUP(L1995,DATA!$G$4:$H$2000,2,FALSE),"")</f>
        <v/>
      </c>
      <c r="N1995" s="808"/>
      <c r="O1995" s="80" t="str">
        <f>IFERROR(VLOOKUP(N1995,DATA!$K$4:$L$51,2,FALSE),"")</f>
        <v/>
      </c>
      <c r="P1995" s="80">
        <f t="shared" si="192"/>
        <v>0</v>
      </c>
      <c r="Q1995" s="154">
        <f t="shared" si="191"/>
        <v>0</v>
      </c>
    </row>
    <row r="1996" spans="2:17">
      <c r="B1996" s="627" t="str">
        <f t="shared" si="190"/>
        <v/>
      </c>
      <c r="C1996" s="634"/>
      <c r="D1996" s="818"/>
      <c r="E1996" s="809"/>
      <c r="F1996" s="629" t="str">
        <f>IFERROR(VLOOKUP(E1996,STAT1!$C$4:$D$1000,2,FALSE),"")</f>
        <v/>
      </c>
      <c r="G1996" s="892"/>
      <c r="H1996" s="892"/>
      <c r="I1996" s="580">
        <f t="shared" si="193"/>
        <v>0</v>
      </c>
      <c r="J1996" s="961">
        <f t="shared" si="194"/>
        <v>0</v>
      </c>
      <c r="K1996" s="80"/>
      <c r="L1996" s="809"/>
      <c r="M1996" s="80" t="str">
        <f>+IFERROR(VLOOKUP(L1996,DATA!$G$4:$H$2000,2,FALSE),"")</f>
        <v/>
      </c>
      <c r="N1996" s="809"/>
      <c r="O1996" s="80" t="str">
        <f>IFERROR(VLOOKUP(N1996,DATA!$K$4:$L$51,2,FALSE),"")</f>
        <v/>
      </c>
      <c r="P1996" s="80">
        <f t="shared" si="192"/>
        <v>0</v>
      </c>
      <c r="Q1996" s="154">
        <f t="shared" si="191"/>
        <v>0</v>
      </c>
    </row>
    <row r="1997" spans="2:17">
      <c r="B1997" s="627" t="str">
        <f t="shared" si="190"/>
        <v/>
      </c>
      <c r="C1997" s="634"/>
      <c r="D1997" s="819"/>
      <c r="E1997" s="809"/>
      <c r="F1997" s="629" t="str">
        <f>IFERROR(VLOOKUP(E1997,STAT1!$C$4:$D$1000,2,FALSE),"")</f>
        <v/>
      </c>
      <c r="G1997" s="892"/>
      <c r="H1997" s="892"/>
      <c r="I1997" s="580">
        <f t="shared" si="193"/>
        <v>0</v>
      </c>
      <c r="J1997" s="961">
        <f t="shared" si="194"/>
        <v>0</v>
      </c>
      <c r="K1997" s="80"/>
      <c r="L1997" s="809"/>
      <c r="M1997" s="80" t="str">
        <f>+IFERROR(VLOOKUP(L1997,DATA!$G$4:$H$2000,2,FALSE),"")</f>
        <v/>
      </c>
      <c r="N1997" s="809"/>
      <c r="O1997" s="80" t="str">
        <f>IFERROR(VLOOKUP(N1997,DATA!$K$4:$L$51,2,FALSE),"")</f>
        <v/>
      </c>
      <c r="P1997" s="80">
        <f t="shared" si="192"/>
        <v>0</v>
      </c>
      <c r="Q1997" s="154">
        <f t="shared" si="191"/>
        <v>0</v>
      </c>
    </row>
    <row r="1998" spans="2:17">
      <c r="B1998" s="627" t="str">
        <f t="shared" si="190"/>
        <v/>
      </c>
      <c r="C1998" s="635"/>
      <c r="D1998" s="819"/>
      <c r="E1998" s="633"/>
      <c r="F1998" s="629" t="str">
        <f>IFERROR(VLOOKUP(E1998,STAT1!$C$4:$D$1000,2,FALSE),"")</f>
        <v/>
      </c>
      <c r="G1998" s="893"/>
      <c r="H1998" s="893"/>
      <c r="I1998" s="580">
        <f t="shared" si="193"/>
        <v>0</v>
      </c>
      <c r="J1998" s="961">
        <f t="shared" si="194"/>
        <v>0</v>
      </c>
      <c r="K1998" s="80"/>
      <c r="L1998" s="633"/>
      <c r="M1998" s="80" t="str">
        <f>+IFERROR(VLOOKUP(L1998,DATA!$G$4:$H$2000,2,FALSE),"")</f>
        <v/>
      </c>
      <c r="N1998" s="633"/>
      <c r="O1998" s="80" t="str">
        <f>IFERROR(VLOOKUP(N1998,DATA!$K$4:$L$51,2,FALSE),"")</f>
        <v/>
      </c>
      <c r="P1998" s="80">
        <f t="shared" si="192"/>
        <v>0</v>
      </c>
      <c r="Q1998" s="154">
        <f t="shared" si="191"/>
        <v>0</v>
      </c>
    </row>
    <row r="1999" spans="2:17">
      <c r="B1999" s="627" t="str">
        <f t="shared" si="190"/>
        <v/>
      </c>
      <c r="C1999" s="635"/>
      <c r="D1999" s="819"/>
      <c r="E1999" s="633"/>
      <c r="F1999" s="629" t="str">
        <f>IFERROR(VLOOKUP(E1999,STAT1!$C$4:$D$1000,2,FALSE),"")</f>
        <v/>
      </c>
      <c r="G1999" s="893"/>
      <c r="H1999" s="893"/>
      <c r="I1999" s="580">
        <f t="shared" si="193"/>
        <v>0</v>
      </c>
      <c r="J1999" s="961">
        <f t="shared" si="194"/>
        <v>0</v>
      </c>
      <c r="K1999" s="80"/>
      <c r="L1999" s="633"/>
      <c r="M1999" s="80" t="str">
        <f>+IFERROR(VLOOKUP(L1999,DATA!$G$4:$H$2000,2,FALSE),"")</f>
        <v/>
      </c>
      <c r="N1999" s="633"/>
      <c r="O1999" s="80" t="str">
        <f>IFERROR(VLOOKUP(N1999,DATA!$K$4:$L$51,2,FALSE),"")</f>
        <v/>
      </c>
      <c r="P1999" s="80">
        <f t="shared" si="192"/>
        <v>0</v>
      </c>
      <c r="Q1999" s="154">
        <f t="shared" si="191"/>
        <v>0</v>
      </c>
    </row>
    <row r="2000" spans="2:17">
      <c r="B2000" s="627" t="str">
        <f t="shared" si="190"/>
        <v/>
      </c>
      <c r="C2000" s="635"/>
      <c r="D2000" s="819"/>
      <c r="E2000" s="633"/>
      <c r="F2000" s="629" t="str">
        <f>IFERROR(VLOOKUP(E2000,STAT1!$C$4:$D$1000,2,FALSE),"")</f>
        <v/>
      </c>
      <c r="G2000" s="893"/>
      <c r="H2000" s="893"/>
      <c r="I2000" s="580">
        <f t="shared" si="193"/>
        <v>0</v>
      </c>
      <c r="J2000" s="961">
        <f t="shared" si="194"/>
        <v>0</v>
      </c>
      <c r="K2000" s="80"/>
      <c r="L2000" s="633"/>
      <c r="M2000" s="80" t="str">
        <f>+IFERROR(VLOOKUP(L2000,DATA!$G$4:$H$2000,2,FALSE),"")</f>
        <v/>
      </c>
      <c r="N2000" s="633"/>
      <c r="O2000" s="80" t="str">
        <f>IFERROR(VLOOKUP(N2000,DATA!$K$4:$L$51,2,FALSE),"")</f>
        <v/>
      </c>
      <c r="P2000" s="80">
        <f t="shared" si="192"/>
        <v>0</v>
      </c>
      <c r="Q2000" s="154">
        <f t="shared" si="191"/>
        <v>0</v>
      </c>
    </row>
    <row r="2001" spans="2:17">
      <c r="B2001" s="627" t="str">
        <f t="shared" ref="B2001:B2064" si="195">+IF(C2001="","",ROW()-5)</f>
        <v/>
      </c>
      <c r="C2001" s="635"/>
      <c r="D2001" s="819"/>
      <c r="E2001" s="633"/>
      <c r="F2001" s="629" t="str">
        <f>IFERROR(VLOOKUP(E2001,STAT1!$C$4:$D$1000,2,FALSE),"")</f>
        <v/>
      </c>
      <c r="G2001" s="893"/>
      <c r="H2001" s="893"/>
      <c r="I2001" s="580">
        <f t="shared" si="193"/>
        <v>0</v>
      </c>
      <c r="J2001" s="961">
        <f t="shared" si="194"/>
        <v>0</v>
      </c>
      <c r="K2001" s="80"/>
      <c r="L2001" s="633"/>
      <c r="M2001" s="80" t="str">
        <f>+IFERROR(VLOOKUP(L2001,DATA!$G$4:$H$2000,2,FALSE),"")</f>
        <v/>
      </c>
      <c r="N2001" s="633"/>
      <c r="O2001" s="80" t="str">
        <f>IFERROR(VLOOKUP(N2001,DATA!$K$4:$L$51,2,FALSE),"")</f>
        <v/>
      </c>
      <c r="P2001" s="80">
        <f t="shared" si="192"/>
        <v>0</v>
      </c>
      <c r="Q2001" s="154">
        <f t="shared" si="191"/>
        <v>0</v>
      </c>
    </row>
    <row r="2002" spans="2:17">
      <c r="B2002" s="627" t="str">
        <f t="shared" si="195"/>
        <v/>
      </c>
      <c r="C2002" s="635"/>
      <c r="D2002" s="817"/>
      <c r="E2002" s="633"/>
      <c r="F2002" s="629" t="str">
        <f>IFERROR(VLOOKUP(E2002,STAT1!$C$4:$D$1000,2,FALSE),"")</f>
        <v/>
      </c>
      <c r="G2002" s="893"/>
      <c r="H2002" s="893"/>
      <c r="I2002" s="580">
        <f t="shared" si="193"/>
        <v>0</v>
      </c>
      <c r="J2002" s="961">
        <f t="shared" si="194"/>
        <v>0</v>
      </c>
      <c r="K2002" s="80"/>
      <c r="L2002" s="633"/>
      <c r="M2002" s="80" t="str">
        <f>+IFERROR(VLOOKUP(L2002,DATA!$G$4:$H$2000,2,FALSE),"")</f>
        <v/>
      </c>
      <c r="N2002" s="633"/>
      <c r="O2002" s="80" t="str">
        <f>IFERROR(VLOOKUP(N2002,DATA!$K$4:$L$51,2,FALSE),"")</f>
        <v/>
      </c>
      <c r="P2002" s="80">
        <f t="shared" si="192"/>
        <v>0</v>
      </c>
      <c r="Q2002" s="154">
        <f t="shared" si="191"/>
        <v>0</v>
      </c>
    </row>
    <row r="2003" spans="2:17">
      <c r="B2003" s="627" t="str">
        <f t="shared" si="195"/>
        <v/>
      </c>
      <c r="C2003" s="631"/>
      <c r="D2003" s="817"/>
      <c r="E2003" s="808"/>
      <c r="F2003" s="629" t="str">
        <f>IFERROR(VLOOKUP(E2003,STAT1!$C$4:$D$1000,2,FALSE),"")</f>
        <v/>
      </c>
      <c r="G2003" s="891"/>
      <c r="H2003" s="891"/>
      <c r="I2003" s="580">
        <f t="shared" si="193"/>
        <v>0</v>
      </c>
      <c r="J2003" s="961">
        <f t="shared" si="194"/>
        <v>0</v>
      </c>
      <c r="K2003" s="80"/>
      <c r="L2003" s="808"/>
      <c r="M2003" s="80" t="str">
        <f>+IFERROR(VLOOKUP(L2003,DATA!$G$4:$H$2000,2,FALSE),"")</f>
        <v/>
      </c>
      <c r="N2003" s="808"/>
      <c r="O2003" s="80" t="str">
        <f>IFERROR(VLOOKUP(N2003,DATA!$K$4:$L$51,2,FALSE),"")</f>
        <v/>
      </c>
      <c r="P2003" s="80">
        <f t="shared" si="192"/>
        <v>0</v>
      </c>
      <c r="Q2003" s="154">
        <f t="shared" si="191"/>
        <v>0</v>
      </c>
    </row>
    <row r="2004" spans="2:17">
      <c r="B2004" s="627" t="str">
        <f t="shared" si="195"/>
        <v/>
      </c>
      <c r="C2004" s="631"/>
      <c r="D2004" s="817"/>
      <c r="E2004" s="808"/>
      <c r="F2004" s="629" t="str">
        <f>IFERROR(VLOOKUP(E2004,STAT1!$C$4:$D$1000,2,FALSE),"")</f>
        <v/>
      </c>
      <c r="G2004" s="891"/>
      <c r="H2004" s="891"/>
      <c r="I2004" s="580">
        <f t="shared" si="193"/>
        <v>0</v>
      </c>
      <c r="J2004" s="961">
        <f t="shared" si="194"/>
        <v>0</v>
      </c>
      <c r="K2004" s="80"/>
      <c r="L2004" s="808"/>
      <c r="M2004" s="80" t="str">
        <f>+IFERROR(VLOOKUP(L2004,DATA!$G$4:$H$2000,2,FALSE),"")</f>
        <v/>
      </c>
      <c r="N2004" s="808"/>
      <c r="O2004" s="80" t="str">
        <f>IFERROR(VLOOKUP(N2004,DATA!$K$4:$L$51,2,FALSE),"")</f>
        <v/>
      </c>
      <c r="P2004" s="80">
        <f t="shared" si="192"/>
        <v>0</v>
      </c>
      <c r="Q2004" s="154">
        <f t="shared" si="191"/>
        <v>0</v>
      </c>
    </row>
    <row r="2005" spans="2:17">
      <c r="B2005" s="627" t="str">
        <f t="shared" si="195"/>
        <v/>
      </c>
      <c r="C2005" s="631"/>
      <c r="D2005" s="817"/>
      <c r="E2005" s="808"/>
      <c r="F2005" s="629" t="str">
        <f>IFERROR(VLOOKUP(E2005,STAT1!$C$4:$D$1000,2,FALSE),"")</f>
        <v/>
      </c>
      <c r="G2005" s="891"/>
      <c r="H2005" s="891"/>
      <c r="I2005" s="580">
        <f t="shared" si="193"/>
        <v>0</v>
      </c>
      <c r="J2005" s="961">
        <f t="shared" si="194"/>
        <v>0</v>
      </c>
      <c r="K2005" s="80"/>
      <c r="L2005" s="808"/>
      <c r="M2005" s="80" t="str">
        <f>+IFERROR(VLOOKUP(L2005,DATA!$G$4:$H$2000,2,FALSE),"")</f>
        <v/>
      </c>
      <c r="N2005" s="808"/>
      <c r="O2005" s="80" t="str">
        <f>IFERROR(VLOOKUP(N2005,DATA!$K$4:$L$51,2,FALSE),"")</f>
        <v/>
      </c>
      <c r="P2005" s="80">
        <f t="shared" si="192"/>
        <v>0</v>
      </c>
      <c r="Q2005" s="154">
        <f t="shared" si="191"/>
        <v>0</v>
      </c>
    </row>
    <row r="2006" spans="2:17">
      <c r="B2006" s="627" t="str">
        <f t="shared" si="195"/>
        <v/>
      </c>
      <c r="C2006" s="631"/>
      <c r="D2006" s="817"/>
      <c r="E2006" s="808"/>
      <c r="F2006" s="629" t="str">
        <f>IFERROR(VLOOKUP(E2006,STAT1!$C$4:$D$1000,2,FALSE),"")</f>
        <v/>
      </c>
      <c r="G2006" s="891"/>
      <c r="H2006" s="891"/>
      <c r="I2006" s="580">
        <f t="shared" si="193"/>
        <v>0</v>
      </c>
      <c r="J2006" s="961">
        <f t="shared" si="194"/>
        <v>0</v>
      </c>
      <c r="K2006" s="80"/>
      <c r="L2006" s="808"/>
      <c r="M2006" s="80" t="str">
        <f>+IFERROR(VLOOKUP(L2006,DATA!$G$4:$H$2000,2,FALSE),"")</f>
        <v/>
      </c>
      <c r="N2006" s="808"/>
      <c r="O2006" s="80" t="str">
        <f>IFERROR(VLOOKUP(N2006,DATA!$K$4:$L$51,2,FALSE),"")</f>
        <v/>
      </c>
      <c r="P2006" s="80">
        <f t="shared" si="192"/>
        <v>0</v>
      </c>
      <c r="Q2006" s="154">
        <f t="shared" si="191"/>
        <v>0</v>
      </c>
    </row>
    <row r="2007" spans="2:17">
      <c r="B2007" s="627" t="str">
        <f t="shared" si="195"/>
        <v/>
      </c>
      <c r="C2007" s="631"/>
      <c r="D2007" s="817"/>
      <c r="E2007" s="808"/>
      <c r="F2007" s="629" t="str">
        <f>IFERROR(VLOOKUP(E2007,STAT1!$C$4:$D$1000,2,FALSE),"")</f>
        <v/>
      </c>
      <c r="G2007" s="891"/>
      <c r="H2007" s="891"/>
      <c r="I2007" s="580">
        <f t="shared" si="193"/>
        <v>0</v>
      </c>
      <c r="J2007" s="961">
        <f t="shared" si="194"/>
        <v>0</v>
      </c>
      <c r="K2007" s="80"/>
      <c r="L2007" s="808"/>
      <c r="M2007" s="80" t="str">
        <f>+IFERROR(VLOOKUP(L2007,DATA!$G$4:$H$2000,2,FALSE),"")</f>
        <v/>
      </c>
      <c r="N2007" s="808"/>
      <c r="O2007" s="80" t="str">
        <f>IFERROR(VLOOKUP(N2007,DATA!$K$4:$L$51,2,FALSE),"")</f>
        <v/>
      </c>
      <c r="P2007" s="80">
        <f t="shared" si="192"/>
        <v>0</v>
      </c>
      <c r="Q2007" s="154">
        <f t="shared" si="191"/>
        <v>0</v>
      </c>
    </row>
    <row r="2008" spans="2:17">
      <c r="B2008" s="627" t="str">
        <f t="shared" si="195"/>
        <v/>
      </c>
      <c r="C2008" s="631"/>
      <c r="D2008" s="818"/>
      <c r="E2008" s="808"/>
      <c r="F2008" s="629" t="str">
        <f>IFERROR(VLOOKUP(E2008,STAT1!$C$4:$D$1000,2,FALSE),"")</f>
        <v/>
      </c>
      <c r="G2008" s="891"/>
      <c r="H2008" s="891"/>
      <c r="I2008" s="580">
        <f t="shared" si="193"/>
        <v>0</v>
      </c>
      <c r="J2008" s="961">
        <f t="shared" si="194"/>
        <v>0</v>
      </c>
      <c r="K2008" s="80"/>
      <c r="L2008" s="808"/>
      <c r="M2008" s="80" t="str">
        <f>+IFERROR(VLOOKUP(L2008,DATA!$G$4:$H$2000,2,FALSE),"")</f>
        <v/>
      </c>
      <c r="N2008" s="808"/>
      <c r="O2008" s="80" t="str">
        <f>IFERROR(VLOOKUP(N2008,DATA!$K$4:$L$51,2,FALSE),"")</f>
        <v/>
      </c>
      <c r="P2008" s="80">
        <f t="shared" si="192"/>
        <v>0</v>
      </c>
      <c r="Q2008" s="154">
        <f t="shared" si="191"/>
        <v>0</v>
      </c>
    </row>
    <row r="2009" spans="2:17">
      <c r="B2009" s="627" t="str">
        <f t="shared" si="195"/>
        <v/>
      </c>
      <c r="C2009" s="634"/>
      <c r="D2009" s="818"/>
      <c r="E2009" s="809"/>
      <c r="F2009" s="629" t="str">
        <f>IFERROR(VLOOKUP(E2009,STAT1!$C$4:$D$1000,2,FALSE),"")</f>
        <v/>
      </c>
      <c r="G2009" s="892"/>
      <c r="H2009" s="892"/>
      <c r="I2009" s="580">
        <f t="shared" si="193"/>
        <v>0</v>
      </c>
      <c r="J2009" s="961">
        <f t="shared" si="194"/>
        <v>0</v>
      </c>
      <c r="K2009" s="80"/>
      <c r="L2009" s="809"/>
      <c r="M2009" s="154" t="str">
        <f>+IFERROR(VLOOKUP(L2009,DATA!$G$4:$H$2000,2,FALSE),"")</f>
        <v/>
      </c>
      <c r="N2009" s="809"/>
      <c r="O2009" s="80" t="str">
        <f>IFERROR(VLOOKUP(N2009,DATA!$K$4:$L$51,2,FALSE),"")</f>
        <v/>
      </c>
      <c r="P2009" s="80">
        <f t="shared" si="192"/>
        <v>0</v>
      </c>
      <c r="Q2009" s="154">
        <f t="shared" si="191"/>
        <v>0</v>
      </c>
    </row>
    <row r="2010" spans="2:17">
      <c r="B2010" s="627" t="str">
        <f t="shared" si="195"/>
        <v/>
      </c>
      <c r="C2010" s="634"/>
      <c r="D2010" s="819"/>
      <c r="E2010" s="809"/>
      <c r="F2010" s="629" t="str">
        <f>IFERROR(VLOOKUP(E2010,STAT1!$C$4:$D$1000,2,FALSE),"")</f>
        <v/>
      </c>
      <c r="G2010" s="892"/>
      <c r="H2010" s="892"/>
      <c r="I2010" s="580">
        <f t="shared" si="193"/>
        <v>0</v>
      </c>
      <c r="J2010" s="961">
        <f t="shared" si="194"/>
        <v>0</v>
      </c>
      <c r="K2010" s="80"/>
      <c r="L2010" s="809"/>
      <c r="M2010" s="154" t="str">
        <f>+IFERROR(VLOOKUP(L2010,DATA!$G$4:$H$2000,2,FALSE),"")</f>
        <v/>
      </c>
      <c r="N2010" s="809"/>
      <c r="O2010" s="80" t="str">
        <f>IFERROR(VLOOKUP(N2010,DATA!$K$4:$L$51,2,FALSE),"")</f>
        <v/>
      </c>
      <c r="P2010" s="80">
        <f t="shared" si="192"/>
        <v>0</v>
      </c>
      <c r="Q2010" s="154">
        <f t="shared" si="191"/>
        <v>0</v>
      </c>
    </row>
    <row r="2011" spans="2:17">
      <c r="B2011" s="627" t="str">
        <f t="shared" si="195"/>
        <v/>
      </c>
      <c r="C2011" s="635"/>
      <c r="D2011" s="819"/>
      <c r="E2011" s="633"/>
      <c r="F2011" s="629" t="str">
        <f>IFERROR(VLOOKUP(E2011,STAT1!$C$4:$D$1000,2,FALSE),"")</f>
        <v/>
      </c>
      <c r="G2011" s="893"/>
      <c r="H2011" s="893"/>
      <c r="I2011" s="580">
        <f t="shared" si="193"/>
        <v>0</v>
      </c>
      <c r="J2011" s="961">
        <f t="shared" si="194"/>
        <v>0</v>
      </c>
      <c r="K2011" s="80"/>
      <c r="L2011" s="633"/>
      <c r="M2011" s="154" t="str">
        <f>+IFERROR(VLOOKUP(L2011,DATA!$G$4:$H$2000,2,FALSE),"")</f>
        <v/>
      </c>
      <c r="N2011" s="633"/>
      <c r="O2011" s="80" t="str">
        <f>IFERROR(VLOOKUP(N2011,DATA!$K$4:$L$51,2,FALSE),"")</f>
        <v/>
      </c>
      <c r="P2011" s="80">
        <f t="shared" si="192"/>
        <v>0</v>
      </c>
      <c r="Q2011" s="154">
        <f t="shared" si="191"/>
        <v>0</v>
      </c>
    </row>
    <row r="2012" spans="2:17">
      <c r="B2012" s="627" t="str">
        <f t="shared" si="195"/>
        <v/>
      </c>
      <c r="C2012" s="635"/>
      <c r="D2012" s="819"/>
      <c r="E2012" s="633"/>
      <c r="F2012" s="629" t="str">
        <f>IFERROR(VLOOKUP(E2012,STAT1!$C$4:$D$1000,2,FALSE),"")</f>
        <v/>
      </c>
      <c r="G2012" s="893"/>
      <c r="H2012" s="893"/>
      <c r="I2012" s="580">
        <f t="shared" si="193"/>
        <v>0</v>
      </c>
      <c r="J2012" s="961">
        <f t="shared" si="194"/>
        <v>0</v>
      </c>
      <c r="K2012" s="80"/>
      <c r="L2012" s="633"/>
      <c r="M2012" s="154" t="str">
        <f>+IFERROR(VLOOKUP(L2012,DATA!$G$4:$H$2000,2,FALSE),"")</f>
        <v/>
      </c>
      <c r="N2012" s="633"/>
      <c r="O2012" s="80" t="str">
        <f>IFERROR(VLOOKUP(N2012,DATA!$K$4:$L$51,2,FALSE),"")</f>
        <v/>
      </c>
      <c r="P2012" s="80">
        <f t="shared" si="192"/>
        <v>0</v>
      </c>
      <c r="Q2012" s="154">
        <f t="shared" si="191"/>
        <v>0</v>
      </c>
    </row>
    <row r="2013" spans="2:17">
      <c r="B2013" s="627" t="str">
        <f t="shared" si="195"/>
        <v/>
      </c>
      <c r="C2013" s="635"/>
      <c r="D2013" s="819"/>
      <c r="E2013" s="633"/>
      <c r="F2013" s="629" t="str">
        <f>IFERROR(VLOOKUP(E2013,STAT1!$C$4:$D$1000,2,FALSE),"")</f>
        <v/>
      </c>
      <c r="G2013" s="893"/>
      <c r="H2013" s="893"/>
      <c r="I2013" s="580">
        <f t="shared" si="193"/>
        <v>0</v>
      </c>
      <c r="J2013" s="961">
        <f t="shared" si="194"/>
        <v>0</v>
      </c>
      <c r="K2013" s="80"/>
      <c r="L2013" s="633"/>
      <c r="M2013" s="154" t="str">
        <f>+IFERROR(VLOOKUP(L2013,DATA!$G$4:$H$2000,2,FALSE),"")</f>
        <v/>
      </c>
      <c r="N2013" s="633"/>
      <c r="O2013" s="80" t="str">
        <f>IFERROR(VLOOKUP(N2013,DATA!$K$4:$L$51,2,FALSE),"")</f>
        <v/>
      </c>
      <c r="P2013" s="80">
        <f t="shared" si="192"/>
        <v>0</v>
      </c>
      <c r="Q2013" s="154">
        <f t="shared" ref="Q2013:Q2076" si="196">+IF(I2013,1,0)</f>
        <v>0</v>
      </c>
    </row>
    <row r="2014" spans="2:17">
      <c r="B2014" s="627" t="str">
        <f t="shared" si="195"/>
        <v/>
      </c>
      <c r="C2014" s="635"/>
      <c r="D2014" s="819"/>
      <c r="E2014" s="633"/>
      <c r="F2014" s="629" t="str">
        <f>IFERROR(VLOOKUP(E2014,STAT1!$C$4:$D$1000,2,FALSE),"")</f>
        <v/>
      </c>
      <c r="G2014" s="893"/>
      <c r="H2014" s="893"/>
      <c r="I2014" s="580">
        <f t="shared" si="193"/>
        <v>0</v>
      </c>
      <c r="J2014" s="961">
        <f t="shared" si="194"/>
        <v>0</v>
      </c>
      <c r="K2014" s="80"/>
      <c r="L2014" s="633"/>
      <c r="M2014" s="154" t="str">
        <f>+IFERROR(VLOOKUP(L2014,DATA!$G$4:$H$2000,2,FALSE),"")</f>
        <v/>
      </c>
      <c r="N2014" s="633"/>
      <c r="O2014" s="80" t="str">
        <f>IFERROR(VLOOKUP(N2014,DATA!$K$4:$L$51,2,FALSE),"")</f>
        <v/>
      </c>
      <c r="P2014" s="80">
        <f t="shared" si="192"/>
        <v>0</v>
      </c>
      <c r="Q2014" s="154">
        <f t="shared" si="196"/>
        <v>0</v>
      </c>
    </row>
    <row r="2015" spans="2:17">
      <c r="B2015" s="627" t="str">
        <f t="shared" si="195"/>
        <v/>
      </c>
      <c r="C2015" s="635"/>
      <c r="D2015" s="817"/>
      <c r="E2015" s="633"/>
      <c r="F2015" s="629" t="str">
        <f>IFERROR(VLOOKUP(E2015,STAT1!$C$4:$D$1000,2,FALSE),"")</f>
        <v/>
      </c>
      <c r="G2015" s="893"/>
      <c r="H2015" s="893"/>
      <c r="I2015" s="580">
        <f t="shared" si="193"/>
        <v>0</v>
      </c>
      <c r="J2015" s="961">
        <f t="shared" si="194"/>
        <v>0</v>
      </c>
      <c r="K2015" s="80"/>
      <c r="L2015" s="633"/>
      <c r="M2015" s="154" t="str">
        <f>+IFERROR(VLOOKUP(L2015,DATA!$G$4:$H$2000,2,FALSE),"")</f>
        <v/>
      </c>
      <c r="N2015" s="633"/>
      <c r="O2015" s="80" t="str">
        <f>IFERROR(VLOOKUP(N2015,DATA!$K$4:$L$51,2,FALSE),"")</f>
        <v/>
      </c>
      <c r="P2015" s="80">
        <f t="shared" si="192"/>
        <v>0</v>
      </c>
      <c r="Q2015" s="154">
        <f t="shared" si="196"/>
        <v>0</v>
      </c>
    </row>
    <row r="2016" spans="2:17">
      <c r="B2016" s="627" t="str">
        <f t="shared" si="195"/>
        <v/>
      </c>
      <c r="C2016" s="631"/>
      <c r="D2016" s="817"/>
      <c r="E2016" s="808"/>
      <c r="F2016" s="629" t="str">
        <f>IFERROR(VLOOKUP(E2016,STAT1!$C$4:$D$1000,2,FALSE),"")</f>
        <v/>
      </c>
      <c r="G2016" s="891"/>
      <c r="H2016" s="891"/>
      <c r="I2016" s="580">
        <f t="shared" si="193"/>
        <v>0</v>
      </c>
      <c r="J2016" s="961">
        <f t="shared" si="194"/>
        <v>0</v>
      </c>
      <c r="K2016" s="80"/>
      <c r="L2016" s="808"/>
      <c r="M2016" s="154" t="str">
        <f>+IFERROR(VLOOKUP(L2016,DATA!$G$4:$H$2000,2,FALSE),"")</f>
        <v/>
      </c>
      <c r="N2016" s="808"/>
      <c r="O2016" s="80" t="str">
        <f>IFERROR(VLOOKUP(N2016,DATA!$K$4:$L$51,2,FALSE),"")</f>
        <v/>
      </c>
      <c r="P2016" s="80">
        <f t="shared" si="192"/>
        <v>0</v>
      </c>
      <c r="Q2016" s="154">
        <f t="shared" si="196"/>
        <v>0</v>
      </c>
    </row>
    <row r="2017" spans="2:17">
      <c r="B2017" s="627" t="str">
        <f t="shared" si="195"/>
        <v/>
      </c>
      <c r="C2017" s="631"/>
      <c r="D2017" s="818"/>
      <c r="E2017" s="808"/>
      <c r="F2017" s="629" t="str">
        <f>IFERROR(VLOOKUP(E2017,STAT1!$C$4:$D$1000,2,FALSE),"")</f>
        <v/>
      </c>
      <c r="G2017" s="891"/>
      <c r="H2017" s="891"/>
      <c r="I2017" s="580">
        <f t="shared" si="193"/>
        <v>0</v>
      </c>
      <c r="J2017" s="961">
        <f t="shared" si="194"/>
        <v>0</v>
      </c>
      <c r="K2017" s="80"/>
      <c r="L2017" s="808"/>
      <c r="M2017" s="154" t="str">
        <f>+IFERROR(VLOOKUP(L2017,DATA!$G$4:$H$2000,2,FALSE),"")</f>
        <v/>
      </c>
      <c r="N2017" s="808"/>
      <c r="O2017" s="80" t="str">
        <f>IFERROR(VLOOKUP(N2017,DATA!$K$4:$L$51,2,FALSE),"")</f>
        <v/>
      </c>
      <c r="P2017" s="80">
        <f t="shared" si="192"/>
        <v>0</v>
      </c>
      <c r="Q2017" s="154">
        <f t="shared" si="196"/>
        <v>0</v>
      </c>
    </row>
    <row r="2018" spans="2:17">
      <c r="B2018" s="627" t="str">
        <f t="shared" si="195"/>
        <v/>
      </c>
      <c r="C2018" s="634"/>
      <c r="D2018" s="818"/>
      <c r="E2018" s="809"/>
      <c r="F2018" s="629" t="str">
        <f>IFERROR(VLOOKUP(E2018,STAT1!$C$4:$D$1000,2,FALSE),"")</f>
        <v/>
      </c>
      <c r="G2018" s="892"/>
      <c r="H2018" s="892"/>
      <c r="I2018" s="580">
        <f t="shared" si="193"/>
        <v>0</v>
      </c>
      <c r="J2018" s="961">
        <f t="shared" si="194"/>
        <v>0</v>
      </c>
      <c r="K2018" s="80"/>
      <c r="L2018" s="809"/>
      <c r="M2018" s="154" t="str">
        <f>+IFERROR(VLOOKUP(L2018,DATA!$G$4:$H$2000,2,FALSE),"")</f>
        <v/>
      </c>
      <c r="N2018" s="809"/>
      <c r="O2018" s="80" t="str">
        <f>IFERROR(VLOOKUP(N2018,DATA!$K$4:$L$51,2,FALSE),"")</f>
        <v/>
      </c>
      <c r="P2018" s="80">
        <f t="shared" si="192"/>
        <v>0</v>
      </c>
      <c r="Q2018" s="154">
        <f t="shared" si="196"/>
        <v>0</v>
      </c>
    </row>
    <row r="2019" spans="2:17">
      <c r="B2019" s="627" t="str">
        <f t="shared" si="195"/>
        <v/>
      </c>
      <c r="C2019" s="634"/>
      <c r="D2019" s="819"/>
      <c r="E2019" s="809"/>
      <c r="F2019" s="629" t="str">
        <f>IFERROR(VLOOKUP(E2019,STAT1!$C$4:$D$1000,2,FALSE),"")</f>
        <v/>
      </c>
      <c r="G2019" s="892"/>
      <c r="H2019" s="892"/>
      <c r="I2019" s="580">
        <f t="shared" si="193"/>
        <v>0</v>
      </c>
      <c r="J2019" s="961">
        <f t="shared" si="194"/>
        <v>0</v>
      </c>
      <c r="K2019" s="80"/>
      <c r="L2019" s="809"/>
      <c r="M2019" s="154" t="str">
        <f>+IFERROR(VLOOKUP(L2019,DATA!$G$4:$H$2000,2,FALSE),"")</f>
        <v/>
      </c>
      <c r="N2019" s="809"/>
      <c r="O2019" s="80" t="str">
        <f>IFERROR(VLOOKUP(N2019,DATA!$K$4:$L$51,2,FALSE),"")</f>
        <v/>
      </c>
      <c r="P2019" s="80">
        <f t="shared" si="192"/>
        <v>0</v>
      </c>
      <c r="Q2019" s="154">
        <f t="shared" si="196"/>
        <v>0</v>
      </c>
    </row>
    <row r="2020" spans="2:17">
      <c r="B2020" s="627" t="str">
        <f t="shared" si="195"/>
        <v/>
      </c>
      <c r="C2020" s="635"/>
      <c r="D2020" s="819"/>
      <c r="E2020" s="633"/>
      <c r="F2020" s="629" t="str">
        <f>IFERROR(VLOOKUP(E2020,STAT1!$C$4:$D$1000,2,FALSE),"")</f>
        <v/>
      </c>
      <c r="G2020" s="893"/>
      <c r="H2020" s="893"/>
      <c r="I2020" s="580">
        <f t="shared" si="193"/>
        <v>0</v>
      </c>
      <c r="J2020" s="961">
        <f t="shared" si="194"/>
        <v>0</v>
      </c>
      <c r="K2020" s="80"/>
      <c r="L2020" s="633"/>
      <c r="M2020" s="154" t="str">
        <f>+IFERROR(VLOOKUP(L2020,DATA!$G$4:$H$2000,2,FALSE),"")</f>
        <v/>
      </c>
      <c r="N2020" s="633"/>
      <c r="O2020" s="80" t="str">
        <f>IFERROR(VLOOKUP(N2020,DATA!$K$4:$L$51,2,FALSE),"")</f>
        <v/>
      </c>
      <c r="P2020" s="80">
        <f t="shared" si="192"/>
        <v>0</v>
      </c>
      <c r="Q2020" s="154">
        <f t="shared" si="196"/>
        <v>0</v>
      </c>
    </row>
    <row r="2021" spans="2:17">
      <c r="B2021" s="627" t="str">
        <f t="shared" si="195"/>
        <v/>
      </c>
      <c r="C2021" s="635"/>
      <c r="D2021" s="820"/>
      <c r="E2021" s="633"/>
      <c r="F2021" s="629" t="str">
        <f>IFERROR(VLOOKUP(E2021,STAT1!$C$4:$D$1000,2,FALSE),"")</f>
        <v/>
      </c>
      <c r="G2021" s="893"/>
      <c r="H2021" s="893"/>
      <c r="I2021" s="580">
        <f t="shared" si="193"/>
        <v>0</v>
      </c>
      <c r="J2021" s="961">
        <f t="shared" si="194"/>
        <v>0</v>
      </c>
      <c r="K2021" s="80"/>
      <c r="L2021" s="633"/>
      <c r="M2021" s="154" t="str">
        <f>+IFERROR(VLOOKUP(L2021,DATA!$G$4:$H$2000,2,FALSE),"")</f>
        <v/>
      </c>
      <c r="N2021" s="633"/>
      <c r="O2021" s="80" t="str">
        <f>IFERROR(VLOOKUP(N2021,DATA!$K$4:$L$51,2,FALSE),"")</f>
        <v/>
      </c>
      <c r="P2021" s="80">
        <f t="shared" si="192"/>
        <v>0</v>
      </c>
      <c r="Q2021" s="154">
        <f t="shared" si="196"/>
        <v>0</v>
      </c>
    </row>
    <row r="2022" spans="2:17">
      <c r="B2022" s="627" t="str">
        <f t="shared" si="195"/>
        <v/>
      </c>
      <c r="C2022" s="636"/>
      <c r="D2022" s="819"/>
      <c r="E2022" s="637"/>
      <c r="F2022" s="629" t="str">
        <f>IFERROR(VLOOKUP(E2022,STAT1!$C$4:$D$1000,2,FALSE),"")</f>
        <v/>
      </c>
      <c r="G2022" s="894"/>
      <c r="H2022" s="894"/>
      <c r="I2022" s="580">
        <f t="shared" si="193"/>
        <v>0</v>
      </c>
      <c r="J2022" s="961">
        <f t="shared" si="194"/>
        <v>0</v>
      </c>
      <c r="K2022" s="80"/>
      <c r="L2022" s="637"/>
      <c r="M2022" s="154" t="str">
        <f>+IFERROR(VLOOKUP(L2022,DATA!$G$4:$H$2000,2,FALSE),"")</f>
        <v/>
      </c>
      <c r="N2022" s="637"/>
      <c r="O2022" s="80" t="str">
        <f>IFERROR(VLOOKUP(N2022,DATA!$K$4:$L$51,2,FALSE),"")</f>
        <v/>
      </c>
      <c r="P2022" s="80">
        <f t="shared" si="192"/>
        <v>0</v>
      </c>
      <c r="Q2022" s="154">
        <f t="shared" si="196"/>
        <v>0</v>
      </c>
    </row>
    <row r="2023" spans="2:17">
      <c r="B2023" s="627" t="str">
        <f t="shared" si="195"/>
        <v/>
      </c>
      <c r="C2023" s="635"/>
      <c r="D2023" s="819"/>
      <c r="E2023" s="633"/>
      <c r="F2023" s="629" t="str">
        <f>IFERROR(VLOOKUP(E2023,STAT1!$C$4:$D$1000,2,FALSE),"")</f>
        <v/>
      </c>
      <c r="G2023" s="893"/>
      <c r="H2023" s="893"/>
      <c r="I2023" s="580">
        <f t="shared" si="193"/>
        <v>0</v>
      </c>
      <c r="J2023" s="961">
        <f t="shared" si="194"/>
        <v>0</v>
      </c>
      <c r="K2023" s="80"/>
      <c r="L2023" s="633"/>
      <c r="M2023" s="154" t="str">
        <f>+IFERROR(VLOOKUP(L2023,DATA!$G$4:$H$2000,2,FALSE),"")</f>
        <v/>
      </c>
      <c r="N2023" s="633"/>
      <c r="O2023" s="80" t="str">
        <f>IFERROR(VLOOKUP(N2023,DATA!$K$4:$L$51,2,FALSE),"")</f>
        <v/>
      </c>
      <c r="P2023" s="80">
        <f t="shared" si="192"/>
        <v>0</v>
      </c>
      <c r="Q2023" s="154">
        <f t="shared" si="196"/>
        <v>0</v>
      </c>
    </row>
    <row r="2024" spans="2:17">
      <c r="B2024" s="627" t="str">
        <f t="shared" si="195"/>
        <v/>
      </c>
      <c r="C2024" s="635"/>
      <c r="D2024" s="819"/>
      <c r="E2024" s="633"/>
      <c r="F2024" s="629" t="str">
        <f>IFERROR(VLOOKUP(E2024,STAT1!$C$4:$D$1000,2,FALSE),"")</f>
        <v/>
      </c>
      <c r="G2024" s="893"/>
      <c r="H2024" s="893"/>
      <c r="I2024" s="580">
        <f t="shared" si="193"/>
        <v>0</v>
      </c>
      <c r="J2024" s="961">
        <f t="shared" si="194"/>
        <v>0</v>
      </c>
      <c r="K2024" s="80"/>
      <c r="L2024" s="633"/>
      <c r="M2024" s="154" t="str">
        <f>+IFERROR(VLOOKUP(L2024,DATA!$G$4:$H$2000,2,FALSE),"")</f>
        <v/>
      </c>
      <c r="N2024" s="633"/>
      <c r="O2024" s="80" t="str">
        <f>IFERROR(VLOOKUP(N2024,DATA!$K$4:$L$51,2,FALSE),"")</f>
        <v/>
      </c>
      <c r="P2024" s="80">
        <f t="shared" si="192"/>
        <v>0</v>
      </c>
      <c r="Q2024" s="154">
        <f t="shared" si="196"/>
        <v>0</v>
      </c>
    </row>
    <row r="2025" spans="2:17">
      <c r="B2025" s="627" t="str">
        <f t="shared" si="195"/>
        <v/>
      </c>
      <c r="C2025" s="635"/>
      <c r="D2025" s="819"/>
      <c r="E2025" s="633"/>
      <c r="F2025" s="629" t="str">
        <f>IFERROR(VLOOKUP(E2025,STAT1!$C$4:$D$1000,2,FALSE),"")</f>
        <v/>
      </c>
      <c r="G2025" s="893"/>
      <c r="H2025" s="893"/>
      <c r="I2025" s="580">
        <f t="shared" si="193"/>
        <v>0</v>
      </c>
      <c r="J2025" s="961">
        <f t="shared" si="194"/>
        <v>0</v>
      </c>
      <c r="K2025" s="80"/>
      <c r="L2025" s="633"/>
      <c r="M2025" s="154" t="str">
        <f>+IFERROR(VLOOKUP(L2025,DATA!$G$4:$H$2000,2,FALSE),"")</f>
        <v/>
      </c>
      <c r="N2025" s="633"/>
      <c r="O2025" s="80" t="str">
        <f>IFERROR(VLOOKUP(N2025,DATA!$K$4:$L$51,2,FALSE),"")</f>
        <v/>
      </c>
      <c r="P2025" s="80">
        <f t="shared" si="192"/>
        <v>0</v>
      </c>
      <c r="Q2025" s="154">
        <f t="shared" si="196"/>
        <v>0</v>
      </c>
    </row>
    <row r="2026" spans="2:17">
      <c r="B2026" s="627" t="str">
        <f t="shared" si="195"/>
        <v/>
      </c>
      <c r="C2026" s="635"/>
      <c r="D2026" s="819"/>
      <c r="E2026" s="633"/>
      <c r="F2026" s="629" t="str">
        <f>IFERROR(VLOOKUP(E2026,STAT1!$C$4:$D$1000,2,FALSE),"")</f>
        <v/>
      </c>
      <c r="G2026" s="893"/>
      <c r="H2026" s="893"/>
      <c r="I2026" s="580">
        <f t="shared" si="193"/>
        <v>0</v>
      </c>
      <c r="J2026" s="961">
        <f t="shared" si="194"/>
        <v>0</v>
      </c>
      <c r="K2026" s="80"/>
      <c r="L2026" s="633"/>
      <c r="M2026" s="154" t="str">
        <f>+IFERROR(VLOOKUP(L2026,DATA!$G$4:$H$2000,2,FALSE),"")</f>
        <v/>
      </c>
      <c r="N2026" s="633"/>
      <c r="O2026" s="80" t="str">
        <f>IFERROR(VLOOKUP(N2026,DATA!$K$4:$L$51,2,FALSE),"")</f>
        <v/>
      </c>
      <c r="P2026" s="80">
        <f t="shared" si="192"/>
        <v>0</v>
      </c>
      <c r="Q2026" s="154">
        <f t="shared" si="196"/>
        <v>0</v>
      </c>
    </row>
    <row r="2027" spans="2:17">
      <c r="B2027" s="627" t="str">
        <f t="shared" si="195"/>
        <v/>
      </c>
      <c r="C2027" s="635"/>
      <c r="D2027" s="820"/>
      <c r="E2027" s="633"/>
      <c r="F2027" s="629" t="str">
        <f>IFERROR(VLOOKUP(E2027,STAT1!$C$4:$D$1000,2,FALSE),"")</f>
        <v/>
      </c>
      <c r="G2027" s="893"/>
      <c r="H2027" s="893"/>
      <c r="I2027" s="580">
        <f t="shared" si="193"/>
        <v>0</v>
      </c>
      <c r="J2027" s="961">
        <f t="shared" si="194"/>
        <v>0</v>
      </c>
      <c r="K2027" s="80"/>
      <c r="L2027" s="633"/>
      <c r="M2027" s="154" t="str">
        <f>+IFERROR(VLOOKUP(L2027,DATA!$G$4:$H$2000,2,FALSE),"")</f>
        <v/>
      </c>
      <c r="N2027" s="633"/>
      <c r="O2027" s="80" t="str">
        <f>IFERROR(VLOOKUP(N2027,DATA!$K$4:$L$51,2,FALSE),"")</f>
        <v/>
      </c>
      <c r="P2027" s="80">
        <f t="shared" si="192"/>
        <v>0</v>
      </c>
      <c r="Q2027" s="154">
        <f t="shared" si="196"/>
        <v>0</v>
      </c>
    </row>
    <row r="2028" spans="2:17">
      <c r="B2028" s="627" t="str">
        <f t="shared" si="195"/>
        <v/>
      </c>
      <c r="C2028" s="636"/>
      <c r="D2028" s="820"/>
      <c r="E2028" s="637"/>
      <c r="F2028" s="629" t="str">
        <f>IFERROR(VLOOKUP(E2028,STAT1!$C$4:$D$1000,2,FALSE),"")</f>
        <v/>
      </c>
      <c r="G2028" s="894"/>
      <c r="H2028" s="894"/>
      <c r="I2028" s="580">
        <f t="shared" si="193"/>
        <v>0</v>
      </c>
      <c r="J2028" s="961">
        <f t="shared" si="194"/>
        <v>0</v>
      </c>
      <c r="K2028" s="80"/>
      <c r="L2028" s="637"/>
      <c r="M2028" s="154" t="str">
        <f>+IFERROR(VLOOKUP(L2028,DATA!$G$4:$H$2000,2,FALSE),"")</f>
        <v/>
      </c>
      <c r="N2028" s="637"/>
      <c r="O2028" s="80" t="str">
        <f>IFERROR(VLOOKUP(N2028,DATA!$K$4:$L$51,2,FALSE),"")</f>
        <v/>
      </c>
      <c r="P2028" s="80">
        <f t="shared" si="192"/>
        <v>0</v>
      </c>
      <c r="Q2028" s="154">
        <f t="shared" si="196"/>
        <v>0</v>
      </c>
    </row>
    <row r="2029" spans="2:17">
      <c r="B2029" s="627" t="str">
        <f t="shared" si="195"/>
        <v/>
      </c>
      <c r="C2029" s="636"/>
      <c r="D2029" s="819"/>
      <c r="E2029" s="637"/>
      <c r="F2029" s="629" t="str">
        <f>IFERROR(VLOOKUP(E2029,STAT1!$C$4:$D$1000,2,FALSE),"")</f>
        <v/>
      </c>
      <c r="G2029" s="894"/>
      <c r="H2029" s="894"/>
      <c r="I2029" s="580">
        <f t="shared" si="193"/>
        <v>0</v>
      </c>
      <c r="J2029" s="961">
        <f t="shared" si="194"/>
        <v>0</v>
      </c>
      <c r="K2029" s="80"/>
      <c r="L2029" s="637"/>
      <c r="M2029" s="154" t="str">
        <f>+IFERROR(VLOOKUP(L2029,DATA!$G$4:$H$2000,2,FALSE),"")</f>
        <v/>
      </c>
      <c r="N2029" s="637"/>
      <c r="O2029" s="80" t="str">
        <f>IFERROR(VLOOKUP(N2029,DATA!$K$4:$L$51,2,FALSE),"")</f>
        <v/>
      </c>
      <c r="P2029" s="80">
        <f t="shared" si="192"/>
        <v>0</v>
      </c>
      <c r="Q2029" s="154">
        <f t="shared" si="196"/>
        <v>0</v>
      </c>
    </row>
    <row r="2030" spans="2:17">
      <c r="B2030" s="627" t="str">
        <f t="shared" si="195"/>
        <v/>
      </c>
      <c r="C2030" s="635"/>
      <c r="D2030" s="819"/>
      <c r="E2030" s="633"/>
      <c r="F2030" s="629" t="str">
        <f>IFERROR(VLOOKUP(E2030,STAT1!$C$4:$D$1000,2,FALSE),"")</f>
        <v/>
      </c>
      <c r="G2030" s="893"/>
      <c r="H2030" s="893"/>
      <c r="I2030" s="580">
        <f t="shared" si="193"/>
        <v>0</v>
      </c>
      <c r="J2030" s="961">
        <f t="shared" si="194"/>
        <v>0</v>
      </c>
      <c r="K2030" s="80"/>
      <c r="L2030" s="633"/>
      <c r="M2030" s="154" t="str">
        <f>+IFERROR(VLOOKUP(L2030,DATA!$G$4:$H$2000,2,FALSE),"")</f>
        <v/>
      </c>
      <c r="N2030" s="633"/>
      <c r="O2030" s="80" t="str">
        <f>IFERROR(VLOOKUP(N2030,DATA!$K$4:$L$51,2,FALSE),"")</f>
        <v/>
      </c>
      <c r="P2030" s="80">
        <f t="shared" si="192"/>
        <v>0</v>
      </c>
      <c r="Q2030" s="154">
        <f t="shared" si="196"/>
        <v>0</v>
      </c>
    </row>
    <row r="2031" spans="2:17">
      <c r="B2031" s="627" t="str">
        <f t="shared" si="195"/>
        <v/>
      </c>
      <c r="C2031" s="635"/>
      <c r="D2031" s="819"/>
      <c r="E2031" s="633"/>
      <c r="F2031" s="629" t="str">
        <f>IFERROR(VLOOKUP(E2031,STAT1!$C$4:$D$1000,2,FALSE),"")</f>
        <v/>
      </c>
      <c r="G2031" s="893"/>
      <c r="H2031" s="893"/>
      <c r="I2031" s="580">
        <f t="shared" si="193"/>
        <v>0</v>
      </c>
      <c r="J2031" s="961">
        <f t="shared" si="194"/>
        <v>0</v>
      </c>
      <c r="K2031" s="80"/>
      <c r="L2031" s="633"/>
      <c r="M2031" s="154" t="str">
        <f>+IFERROR(VLOOKUP(L2031,DATA!$G$4:$H$2000,2,FALSE),"")</f>
        <v/>
      </c>
      <c r="N2031" s="633"/>
      <c r="O2031" s="80" t="str">
        <f>IFERROR(VLOOKUP(N2031,DATA!$K$4:$L$51,2,FALSE),"")</f>
        <v/>
      </c>
      <c r="P2031" s="80">
        <f t="shared" si="192"/>
        <v>0</v>
      </c>
      <c r="Q2031" s="154">
        <f t="shared" si="196"/>
        <v>0</v>
      </c>
    </row>
    <row r="2032" spans="2:17">
      <c r="B2032" s="627" t="str">
        <f t="shared" si="195"/>
        <v/>
      </c>
      <c r="C2032" s="635"/>
      <c r="D2032" s="819"/>
      <c r="E2032" s="633"/>
      <c r="F2032" s="629" t="str">
        <f>IFERROR(VLOOKUP(E2032,STAT1!$C$4:$D$1000,2,FALSE),"")</f>
        <v/>
      </c>
      <c r="G2032" s="893"/>
      <c r="H2032" s="893"/>
      <c r="I2032" s="580">
        <f t="shared" si="193"/>
        <v>0</v>
      </c>
      <c r="J2032" s="961">
        <f t="shared" si="194"/>
        <v>0</v>
      </c>
      <c r="K2032" s="80"/>
      <c r="L2032" s="633"/>
      <c r="M2032" s="154" t="str">
        <f>+IFERROR(VLOOKUP(L2032,DATA!$G$4:$H$2000,2,FALSE),"")</f>
        <v/>
      </c>
      <c r="N2032" s="633"/>
      <c r="O2032" s="80" t="str">
        <f>IFERROR(VLOOKUP(N2032,DATA!$K$4:$L$51,2,FALSE),"")</f>
        <v/>
      </c>
      <c r="P2032" s="80">
        <f t="shared" si="192"/>
        <v>0</v>
      </c>
      <c r="Q2032" s="154">
        <f t="shared" si="196"/>
        <v>0</v>
      </c>
    </row>
    <row r="2033" spans="2:17">
      <c r="B2033" s="627" t="str">
        <f t="shared" si="195"/>
        <v/>
      </c>
      <c r="C2033" s="635"/>
      <c r="D2033" s="819"/>
      <c r="E2033" s="633"/>
      <c r="F2033" s="629" t="str">
        <f>IFERROR(VLOOKUP(E2033,STAT1!$C$4:$D$1000,2,FALSE),"")</f>
        <v/>
      </c>
      <c r="G2033" s="893"/>
      <c r="H2033" s="893"/>
      <c r="I2033" s="580">
        <f t="shared" si="193"/>
        <v>0</v>
      </c>
      <c r="J2033" s="961">
        <f t="shared" si="194"/>
        <v>0</v>
      </c>
      <c r="K2033" s="80"/>
      <c r="L2033" s="633"/>
      <c r="M2033" s="154" t="str">
        <f>+IFERROR(VLOOKUP(L2033,DATA!$G$4:$H$2000,2,FALSE),"")</f>
        <v/>
      </c>
      <c r="N2033" s="633"/>
      <c r="O2033" s="80" t="str">
        <f>IFERROR(VLOOKUP(N2033,DATA!$K$4:$L$51,2,FALSE),"")</f>
        <v/>
      </c>
      <c r="P2033" s="80">
        <f t="shared" si="192"/>
        <v>0</v>
      </c>
      <c r="Q2033" s="154">
        <f t="shared" si="196"/>
        <v>0</v>
      </c>
    </row>
    <row r="2034" spans="2:17">
      <c r="B2034" s="627" t="str">
        <f t="shared" si="195"/>
        <v/>
      </c>
      <c r="C2034" s="635"/>
      <c r="D2034" s="819"/>
      <c r="E2034" s="633"/>
      <c r="F2034" s="629" t="str">
        <f>IFERROR(VLOOKUP(E2034,STAT1!$C$4:$D$1000,2,FALSE),"")</f>
        <v/>
      </c>
      <c r="G2034" s="893"/>
      <c r="H2034" s="893"/>
      <c r="I2034" s="580">
        <f t="shared" si="193"/>
        <v>0</v>
      </c>
      <c r="J2034" s="961">
        <f t="shared" si="194"/>
        <v>0</v>
      </c>
      <c r="K2034" s="80"/>
      <c r="L2034" s="633"/>
      <c r="M2034" s="154" t="str">
        <f>+IFERROR(VLOOKUP(L2034,DATA!$G$4:$H$2000,2,FALSE),"")</f>
        <v/>
      </c>
      <c r="N2034" s="633"/>
      <c r="O2034" s="80" t="str">
        <f>IFERROR(VLOOKUP(N2034,DATA!$K$4:$L$51,2,FALSE),"")</f>
        <v/>
      </c>
      <c r="P2034" s="80">
        <f t="shared" si="192"/>
        <v>0</v>
      </c>
      <c r="Q2034" s="154">
        <f t="shared" si="196"/>
        <v>0</v>
      </c>
    </row>
    <row r="2035" spans="2:17">
      <c r="B2035" s="627" t="str">
        <f t="shared" si="195"/>
        <v/>
      </c>
      <c r="C2035" s="635"/>
      <c r="D2035" s="819"/>
      <c r="E2035" s="633"/>
      <c r="F2035" s="629" t="str">
        <f>IFERROR(VLOOKUP(E2035,STAT1!$C$4:$D$1000,2,FALSE),"")</f>
        <v/>
      </c>
      <c r="G2035" s="893"/>
      <c r="H2035" s="893"/>
      <c r="I2035" s="580">
        <f t="shared" si="193"/>
        <v>0</v>
      </c>
      <c r="J2035" s="961">
        <f t="shared" si="194"/>
        <v>0</v>
      </c>
      <c r="K2035" s="80"/>
      <c r="L2035" s="633"/>
      <c r="M2035" s="154" t="str">
        <f>+IFERROR(VLOOKUP(L2035,DATA!$G$4:$H$2000,2,FALSE),"")</f>
        <v/>
      </c>
      <c r="N2035" s="633"/>
      <c r="O2035" s="80" t="str">
        <f>IFERROR(VLOOKUP(N2035,DATA!$K$4:$L$51,2,FALSE),"")</f>
        <v/>
      </c>
      <c r="P2035" s="80">
        <f t="shared" si="192"/>
        <v>0</v>
      </c>
      <c r="Q2035" s="154">
        <f t="shared" si="196"/>
        <v>0</v>
      </c>
    </row>
    <row r="2036" spans="2:17">
      <c r="B2036" s="627" t="str">
        <f t="shared" si="195"/>
        <v/>
      </c>
      <c r="C2036" s="635"/>
      <c r="D2036" s="819"/>
      <c r="E2036" s="633"/>
      <c r="F2036" s="629" t="str">
        <f>IFERROR(VLOOKUP(E2036,STAT1!$C$4:$D$1000,2,FALSE),"")</f>
        <v/>
      </c>
      <c r="G2036" s="893"/>
      <c r="H2036" s="893"/>
      <c r="I2036" s="580">
        <f t="shared" si="193"/>
        <v>0</v>
      </c>
      <c r="J2036" s="961">
        <f t="shared" si="194"/>
        <v>0</v>
      </c>
      <c r="K2036" s="80"/>
      <c r="L2036" s="633"/>
      <c r="M2036" s="154" t="str">
        <f>+IFERROR(VLOOKUP(L2036,DATA!$G$4:$H$2000,2,FALSE),"")</f>
        <v/>
      </c>
      <c r="N2036" s="633"/>
      <c r="O2036" s="80" t="str">
        <f>IFERROR(VLOOKUP(N2036,DATA!$K$4:$L$51,2,FALSE),"")</f>
        <v/>
      </c>
      <c r="P2036" s="80">
        <f t="shared" si="192"/>
        <v>0</v>
      </c>
      <c r="Q2036" s="154">
        <f t="shared" si="196"/>
        <v>0</v>
      </c>
    </row>
    <row r="2037" spans="2:17">
      <c r="B2037" s="627" t="str">
        <f t="shared" si="195"/>
        <v/>
      </c>
      <c r="C2037" s="635"/>
      <c r="D2037" s="819"/>
      <c r="E2037" s="633"/>
      <c r="F2037" s="629" t="str">
        <f>IFERROR(VLOOKUP(E2037,STAT1!$C$4:$D$1000,2,FALSE),"")</f>
        <v/>
      </c>
      <c r="G2037" s="893"/>
      <c r="H2037" s="893"/>
      <c r="I2037" s="580">
        <f t="shared" si="193"/>
        <v>0</v>
      </c>
      <c r="J2037" s="961">
        <f t="shared" si="194"/>
        <v>0</v>
      </c>
      <c r="K2037" s="80"/>
      <c r="L2037" s="633"/>
      <c r="M2037" s="154" t="str">
        <f>+IFERROR(VLOOKUP(L2037,DATA!$G$4:$H$2000,2,FALSE),"")</f>
        <v/>
      </c>
      <c r="N2037" s="633"/>
      <c r="O2037" s="80" t="str">
        <f>IFERROR(VLOOKUP(N2037,DATA!$K$4:$L$51,2,FALSE),"")</f>
        <v/>
      </c>
      <c r="P2037" s="80">
        <f t="shared" si="192"/>
        <v>0</v>
      </c>
      <c r="Q2037" s="154">
        <f t="shared" si="196"/>
        <v>0</v>
      </c>
    </row>
    <row r="2038" spans="2:17">
      <c r="B2038" s="627" t="str">
        <f t="shared" si="195"/>
        <v/>
      </c>
      <c r="C2038" s="635"/>
      <c r="D2038" s="819"/>
      <c r="E2038" s="633"/>
      <c r="F2038" s="629" t="str">
        <f>IFERROR(VLOOKUP(E2038,STAT1!$C$4:$D$1000,2,FALSE),"")</f>
        <v/>
      </c>
      <c r="G2038" s="893"/>
      <c r="H2038" s="893"/>
      <c r="I2038" s="580">
        <f t="shared" si="193"/>
        <v>0</v>
      </c>
      <c r="J2038" s="961">
        <f t="shared" si="194"/>
        <v>0</v>
      </c>
      <c r="K2038" s="80"/>
      <c r="L2038" s="633"/>
      <c r="M2038" s="154" t="str">
        <f>+IFERROR(VLOOKUP(L2038,DATA!$G$4:$H$2000,2,FALSE),"")</f>
        <v/>
      </c>
      <c r="N2038" s="633"/>
      <c r="O2038" s="80" t="str">
        <f>IFERROR(VLOOKUP(N2038,DATA!$K$4:$L$51,2,FALSE),"")</f>
        <v/>
      </c>
      <c r="P2038" s="80">
        <f t="shared" si="192"/>
        <v>0</v>
      </c>
      <c r="Q2038" s="154">
        <f t="shared" si="196"/>
        <v>0</v>
      </c>
    </row>
    <row r="2039" spans="2:17">
      <c r="B2039" s="627" t="str">
        <f t="shared" si="195"/>
        <v/>
      </c>
      <c r="C2039" s="635"/>
      <c r="D2039" s="817"/>
      <c r="E2039" s="633"/>
      <c r="F2039" s="629" t="str">
        <f>IFERROR(VLOOKUP(E2039,STAT1!$C$4:$D$1000,2,FALSE),"")</f>
        <v/>
      </c>
      <c r="G2039" s="893"/>
      <c r="H2039" s="893"/>
      <c r="I2039" s="580">
        <f t="shared" si="193"/>
        <v>0</v>
      </c>
      <c r="J2039" s="961">
        <f t="shared" si="194"/>
        <v>0</v>
      </c>
      <c r="K2039" s="80"/>
      <c r="L2039" s="633"/>
      <c r="M2039" s="154" t="str">
        <f>+IFERROR(VLOOKUP(L2039,DATA!$G$4:$H$2000,2,FALSE),"")</f>
        <v/>
      </c>
      <c r="N2039" s="633"/>
      <c r="O2039" s="80" t="str">
        <f>IFERROR(VLOOKUP(N2039,DATA!$K$4:$L$51,2,FALSE),"")</f>
        <v/>
      </c>
      <c r="P2039" s="80">
        <f t="shared" si="192"/>
        <v>0</v>
      </c>
      <c r="Q2039" s="154">
        <f t="shared" si="196"/>
        <v>0</v>
      </c>
    </row>
    <row r="2040" spans="2:17">
      <c r="B2040" s="627" t="str">
        <f t="shared" si="195"/>
        <v/>
      </c>
      <c r="C2040" s="631"/>
      <c r="D2040" s="817"/>
      <c r="E2040" s="808"/>
      <c r="F2040" s="629" t="str">
        <f>IFERROR(VLOOKUP(E2040,STAT1!$C$4:$D$1000,2,FALSE),"")</f>
        <v/>
      </c>
      <c r="G2040" s="891"/>
      <c r="H2040" s="891"/>
      <c r="I2040" s="580">
        <f t="shared" si="193"/>
        <v>0</v>
      </c>
      <c r="J2040" s="961">
        <f t="shared" si="194"/>
        <v>0</v>
      </c>
      <c r="K2040" s="80"/>
      <c r="L2040" s="808"/>
      <c r="M2040" s="154" t="str">
        <f>+IFERROR(VLOOKUP(L2040,DATA!$G$4:$H$2000,2,FALSE),"")</f>
        <v/>
      </c>
      <c r="N2040" s="808"/>
      <c r="O2040" s="80" t="str">
        <f>IFERROR(VLOOKUP(N2040,DATA!$K$4:$L$51,2,FALSE),"")</f>
        <v/>
      </c>
      <c r="P2040" s="80">
        <f t="shared" si="192"/>
        <v>0</v>
      </c>
      <c r="Q2040" s="154">
        <f t="shared" si="196"/>
        <v>0</v>
      </c>
    </row>
    <row r="2041" spans="2:17">
      <c r="B2041" s="627" t="str">
        <f t="shared" si="195"/>
        <v/>
      </c>
      <c r="C2041" s="631"/>
      <c r="D2041" s="817"/>
      <c r="E2041" s="808"/>
      <c r="F2041" s="629" t="str">
        <f>IFERROR(VLOOKUP(E2041,STAT1!$C$4:$D$1000,2,FALSE),"")</f>
        <v/>
      </c>
      <c r="G2041" s="891"/>
      <c r="H2041" s="891"/>
      <c r="I2041" s="580">
        <f t="shared" si="193"/>
        <v>0</v>
      </c>
      <c r="J2041" s="961">
        <f t="shared" si="194"/>
        <v>0</v>
      </c>
      <c r="K2041" s="80"/>
      <c r="L2041" s="808"/>
      <c r="M2041" s="154" t="str">
        <f>+IFERROR(VLOOKUP(L2041,DATA!$G$4:$H$2000,2,FALSE),"")</f>
        <v/>
      </c>
      <c r="N2041" s="808"/>
      <c r="O2041" s="80" t="str">
        <f>IFERROR(VLOOKUP(N2041,DATA!$K$4:$L$51,2,FALSE),"")</f>
        <v/>
      </c>
      <c r="P2041" s="80">
        <f t="shared" si="192"/>
        <v>0</v>
      </c>
      <c r="Q2041" s="154">
        <f t="shared" si="196"/>
        <v>0</v>
      </c>
    </row>
    <row r="2042" spans="2:17">
      <c r="B2042" s="627" t="str">
        <f t="shared" si="195"/>
        <v/>
      </c>
      <c r="C2042" s="631"/>
      <c r="D2042" s="817"/>
      <c r="E2042" s="808"/>
      <c r="F2042" s="629" t="str">
        <f>IFERROR(VLOOKUP(E2042,STAT1!$C$4:$D$1000,2,FALSE),"")</f>
        <v/>
      </c>
      <c r="G2042" s="891"/>
      <c r="H2042" s="891"/>
      <c r="I2042" s="580">
        <f t="shared" si="193"/>
        <v>0</v>
      </c>
      <c r="J2042" s="961">
        <f t="shared" si="194"/>
        <v>0</v>
      </c>
      <c r="K2042" s="80"/>
      <c r="L2042" s="808"/>
      <c r="M2042" s="154" t="str">
        <f>+IFERROR(VLOOKUP(L2042,DATA!$G$4:$H$2000,2,FALSE),"")</f>
        <v/>
      </c>
      <c r="N2042" s="808"/>
      <c r="O2042" s="80" t="str">
        <f>IFERROR(VLOOKUP(N2042,DATA!$K$4:$L$51,2,FALSE),"")</f>
        <v/>
      </c>
      <c r="P2042" s="80">
        <f t="shared" si="192"/>
        <v>0</v>
      </c>
      <c r="Q2042" s="154">
        <f t="shared" si="196"/>
        <v>0</v>
      </c>
    </row>
    <row r="2043" spans="2:17">
      <c r="B2043" s="627" t="str">
        <f t="shared" si="195"/>
        <v/>
      </c>
      <c r="C2043" s="631"/>
      <c r="D2043" s="817"/>
      <c r="E2043" s="808"/>
      <c r="F2043" s="629" t="str">
        <f>IFERROR(VLOOKUP(E2043,STAT1!$C$4:$D$1000,2,FALSE),"")</f>
        <v/>
      </c>
      <c r="G2043" s="891"/>
      <c r="H2043" s="891"/>
      <c r="I2043" s="580">
        <f t="shared" si="193"/>
        <v>0</v>
      </c>
      <c r="J2043" s="961">
        <f t="shared" si="194"/>
        <v>0</v>
      </c>
      <c r="K2043" s="80"/>
      <c r="L2043" s="808"/>
      <c r="M2043" s="154" t="str">
        <f>+IFERROR(VLOOKUP(L2043,DATA!$G$4:$H$2000,2,FALSE),"")</f>
        <v/>
      </c>
      <c r="N2043" s="808"/>
      <c r="O2043" s="80" t="str">
        <f>IFERROR(VLOOKUP(N2043,DATA!$K$4:$L$51,2,FALSE),"")</f>
        <v/>
      </c>
      <c r="P2043" s="80">
        <f t="shared" si="192"/>
        <v>0</v>
      </c>
      <c r="Q2043" s="154">
        <f t="shared" si="196"/>
        <v>0</v>
      </c>
    </row>
    <row r="2044" spans="2:17">
      <c r="B2044" s="627" t="str">
        <f t="shared" si="195"/>
        <v/>
      </c>
      <c r="C2044" s="631"/>
      <c r="D2044" s="817"/>
      <c r="E2044" s="808"/>
      <c r="F2044" s="629" t="str">
        <f>IFERROR(VLOOKUP(E2044,STAT1!$C$4:$D$1000,2,FALSE),"")</f>
        <v/>
      </c>
      <c r="G2044" s="891"/>
      <c r="H2044" s="891"/>
      <c r="I2044" s="580">
        <f t="shared" si="193"/>
        <v>0</v>
      </c>
      <c r="J2044" s="961">
        <f t="shared" si="194"/>
        <v>0</v>
      </c>
      <c r="K2044" s="80"/>
      <c r="L2044" s="808"/>
      <c r="M2044" s="154" t="str">
        <f>+IFERROR(VLOOKUP(L2044,DATA!$G$4:$H$2000,2,FALSE),"")</f>
        <v/>
      </c>
      <c r="N2044" s="808"/>
      <c r="O2044" s="80" t="str">
        <f>IFERROR(VLOOKUP(N2044,DATA!$K$4:$L$51,2,FALSE),"")</f>
        <v/>
      </c>
      <c r="P2044" s="80">
        <f t="shared" ref="P2044:P2107" si="197">+IF(I2044,1,0)</f>
        <v>0</v>
      </c>
      <c r="Q2044" s="154">
        <f t="shared" si="196"/>
        <v>0</v>
      </c>
    </row>
    <row r="2045" spans="2:17">
      <c r="B2045" s="627" t="str">
        <f t="shared" si="195"/>
        <v/>
      </c>
      <c r="C2045" s="631"/>
      <c r="D2045" s="817"/>
      <c r="E2045" s="808"/>
      <c r="F2045" s="629" t="str">
        <f>IFERROR(VLOOKUP(E2045,STAT1!$C$4:$D$1000,2,FALSE),"")</f>
        <v/>
      </c>
      <c r="G2045" s="891"/>
      <c r="H2045" s="891"/>
      <c r="I2045" s="580">
        <f t="shared" si="193"/>
        <v>0</v>
      </c>
      <c r="J2045" s="961">
        <f t="shared" si="194"/>
        <v>0</v>
      </c>
      <c r="K2045" s="80"/>
      <c r="L2045" s="808"/>
      <c r="M2045" s="154" t="str">
        <f>+IFERROR(VLOOKUP(L2045,DATA!$G$4:$H$2000,2,FALSE),"")</f>
        <v/>
      </c>
      <c r="N2045" s="808"/>
      <c r="O2045" s="80" t="str">
        <f>IFERROR(VLOOKUP(N2045,DATA!$K$4:$L$51,2,FALSE),"")</f>
        <v/>
      </c>
      <c r="P2045" s="80">
        <f t="shared" si="197"/>
        <v>0</v>
      </c>
      <c r="Q2045" s="154">
        <f t="shared" si="196"/>
        <v>0</v>
      </c>
    </row>
    <row r="2046" spans="2:17">
      <c r="B2046" s="627" t="str">
        <f t="shared" si="195"/>
        <v/>
      </c>
      <c r="C2046" s="631"/>
      <c r="D2046" s="817"/>
      <c r="E2046" s="808"/>
      <c r="F2046" s="629" t="str">
        <f>IFERROR(VLOOKUP(E2046,STAT1!$C$4:$D$1000,2,FALSE),"")</f>
        <v/>
      </c>
      <c r="G2046" s="891"/>
      <c r="H2046" s="891"/>
      <c r="I2046" s="580">
        <f t="shared" ref="I2046:I2109" si="198">+IF(OR(E2046=100100,E2046=100200,E2046=110100,E2046=110102,E2046=110103,E2046=110104,E2046=110105,E2046=110200,E2046=110201,E2046=110202,E2046=110203,E2046=110204,E2046=110300),G2046,0)+IF(OR(E2046=100100,E2046=100200,E2046=110100,E2046=110102,E2046=110103,E2046=110104,E2046=110105,E2046=110200,E2046=110201,E2046=110202,E2046=110203,E2046=110204,E2046=110300),H2046*-1,0)</f>
        <v>0</v>
      </c>
      <c r="J2046" s="961">
        <f t="shared" ref="J2046:J2109" si="199">+IF(E2046=110200,I2046/K2046,0)</f>
        <v>0</v>
      </c>
      <c r="K2046" s="80"/>
      <c r="L2046" s="808"/>
      <c r="M2046" s="154" t="str">
        <f>+IFERROR(VLOOKUP(L2046,DATA!$G$4:$H$2000,2,FALSE),"")</f>
        <v/>
      </c>
      <c r="N2046" s="808"/>
      <c r="O2046" s="80" t="str">
        <f>IFERROR(VLOOKUP(N2046,DATA!$K$4:$L$51,2,FALSE),"")</f>
        <v/>
      </c>
      <c r="P2046" s="80">
        <f t="shared" si="197"/>
        <v>0</v>
      </c>
      <c r="Q2046" s="154">
        <f t="shared" si="196"/>
        <v>0</v>
      </c>
    </row>
    <row r="2047" spans="2:17">
      <c r="B2047" s="627" t="str">
        <f t="shared" si="195"/>
        <v/>
      </c>
      <c r="C2047" s="631"/>
      <c r="D2047" s="817"/>
      <c r="E2047" s="808"/>
      <c r="F2047" s="629" t="str">
        <f>IFERROR(VLOOKUP(E2047,STAT1!$C$4:$D$1000,2,FALSE),"")</f>
        <v/>
      </c>
      <c r="G2047" s="891"/>
      <c r="H2047" s="891"/>
      <c r="I2047" s="580">
        <f t="shared" si="198"/>
        <v>0</v>
      </c>
      <c r="J2047" s="961">
        <f t="shared" si="199"/>
        <v>0</v>
      </c>
      <c r="K2047" s="80"/>
      <c r="L2047" s="808"/>
      <c r="M2047" s="154" t="str">
        <f>+IFERROR(VLOOKUP(L2047,DATA!$G$4:$H$2000,2,FALSE),"")</f>
        <v/>
      </c>
      <c r="N2047" s="808"/>
      <c r="O2047" s="80" t="str">
        <f>IFERROR(VLOOKUP(N2047,DATA!$K$4:$L$51,2,FALSE),"")</f>
        <v/>
      </c>
      <c r="P2047" s="80">
        <f t="shared" si="197"/>
        <v>0</v>
      </c>
      <c r="Q2047" s="154">
        <f t="shared" si="196"/>
        <v>0</v>
      </c>
    </row>
    <row r="2048" spans="2:17">
      <c r="B2048" s="627" t="str">
        <f t="shared" si="195"/>
        <v/>
      </c>
      <c r="C2048" s="631"/>
      <c r="D2048" s="817"/>
      <c r="E2048" s="808"/>
      <c r="F2048" s="629" t="str">
        <f>IFERROR(VLOOKUP(E2048,STAT1!$C$4:$D$1000,2,FALSE),"")</f>
        <v/>
      </c>
      <c r="G2048" s="891"/>
      <c r="H2048" s="891"/>
      <c r="I2048" s="580">
        <f t="shared" si="198"/>
        <v>0</v>
      </c>
      <c r="J2048" s="961">
        <f t="shared" si="199"/>
        <v>0</v>
      </c>
      <c r="K2048" s="80"/>
      <c r="L2048" s="808"/>
      <c r="M2048" s="154" t="str">
        <f>+IFERROR(VLOOKUP(L2048,DATA!$G$4:$H$2000,2,FALSE),"")</f>
        <v/>
      </c>
      <c r="N2048" s="808"/>
      <c r="O2048" s="80" t="str">
        <f>IFERROR(VLOOKUP(N2048,DATA!$K$4:$L$51,2,FALSE),"")</f>
        <v/>
      </c>
      <c r="P2048" s="80">
        <f t="shared" si="197"/>
        <v>0</v>
      </c>
      <c r="Q2048" s="154">
        <f t="shared" si="196"/>
        <v>0</v>
      </c>
    </row>
    <row r="2049" spans="2:17">
      <c r="B2049" s="627" t="str">
        <f t="shared" si="195"/>
        <v/>
      </c>
      <c r="C2049" s="631"/>
      <c r="D2049" s="817"/>
      <c r="E2049" s="808"/>
      <c r="F2049" s="629" t="str">
        <f>IFERROR(VLOOKUP(E2049,STAT1!$C$4:$D$1000,2,FALSE),"")</f>
        <v/>
      </c>
      <c r="G2049" s="891"/>
      <c r="H2049" s="891"/>
      <c r="I2049" s="580">
        <f t="shared" si="198"/>
        <v>0</v>
      </c>
      <c r="J2049" s="961">
        <f t="shared" si="199"/>
        <v>0</v>
      </c>
      <c r="K2049" s="80"/>
      <c r="L2049" s="808"/>
      <c r="M2049" s="154" t="str">
        <f>+IFERROR(VLOOKUP(L2049,DATA!$G$4:$H$2000,2,FALSE),"")</f>
        <v/>
      </c>
      <c r="N2049" s="808"/>
      <c r="O2049" s="80" t="str">
        <f>IFERROR(VLOOKUP(N2049,DATA!$K$4:$L$51,2,FALSE),"")</f>
        <v/>
      </c>
      <c r="P2049" s="80">
        <f t="shared" si="197"/>
        <v>0</v>
      </c>
      <c r="Q2049" s="154">
        <f t="shared" si="196"/>
        <v>0</v>
      </c>
    </row>
    <row r="2050" spans="2:17">
      <c r="B2050" s="627" t="str">
        <f t="shared" si="195"/>
        <v/>
      </c>
      <c r="C2050" s="631"/>
      <c r="D2050" s="817"/>
      <c r="E2050" s="808"/>
      <c r="F2050" s="629" t="str">
        <f>IFERROR(VLOOKUP(E2050,STAT1!$C$4:$D$1000,2,FALSE),"")</f>
        <v/>
      </c>
      <c r="G2050" s="891"/>
      <c r="H2050" s="891"/>
      <c r="I2050" s="580">
        <f t="shared" si="198"/>
        <v>0</v>
      </c>
      <c r="J2050" s="961">
        <f t="shared" si="199"/>
        <v>0</v>
      </c>
      <c r="K2050" s="80"/>
      <c r="L2050" s="808"/>
      <c r="M2050" s="154" t="str">
        <f>+IFERROR(VLOOKUP(L2050,DATA!$G$4:$H$2000,2,FALSE),"")</f>
        <v/>
      </c>
      <c r="N2050" s="808"/>
      <c r="O2050" s="80" t="str">
        <f>IFERROR(VLOOKUP(N2050,DATA!$K$4:$L$51,2,FALSE),"")</f>
        <v/>
      </c>
      <c r="P2050" s="80">
        <f t="shared" si="197"/>
        <v>0</v>
      </c>
      <c r="Q2050" s="154">
        <f t="shared" si="196"/>
        <v>0</v>
      </c>
    </row>
    <row r="2051" spans="2:17">
      <c r="B2051" s="627" t="str">
        <f t="shared" si="195"/>
        <v/>
      </c>
      <c r="C2051" s="631"/>
      <c r="D2051" s="818"/>
      <c r="E2051" s="808"/>
      <c r="F2051" s="629" t="str">
        <f>IFERROR(VLOOKUP(E2051,STAT1!$C$4:$D$1000,2,FALSE),"")</f>
        <v/>
      </c>
      <c r="G2051" s="891"/>
      <c r="H2051" s="891"/>
      <c r="I2051" s="580">
        <f t="shared" si="198"/>
        <v>0</v>
      </c>
      <c r="J2051" s="961">
        <f t="shared" si="199"/>
        <v>0</v>
      </c>
      <c r="K2051" s="80"/>
      <c r="L2051" s="808"/>
      <c r="M2051" s="154" t="str">
        <f>+IFERROR(VLOOKUP(L2051,DATA!$G$4:$H$2000,2,FALSE),"")</f>
        <v/>
      </c>
      <c r="N2051" s="808"/>
      <c r="O2051" s="80" t="str">
        <f>IFERROR(VLOOKUP(N2051,DATA!$K$4:$L$51,2,FALSE),"")</f>
        <v/>
      </c>
      <c r="P2051" s="80">
        <f t="shared" si="197"/>
        <v>0</v>
      </c>
      <c r="Q2051" s="154">
        <f t="shared" si="196"/>
        <v>0</v>
      </c>
    </row>
    <row r="2052" spans="2:17">
      <c r="B2052" s="627" t="str">
        <f t="shared" si="195"/>
        <v/>
      </c>
      <c r="C2052" s="634"/>
      <c r="D2052" s="818"/>
      <c r="E2052" s="809"/>
      <c r="F2052" s="629" t="str">
        <f>IFERROR(VLOOKUP(E2052,STAT1!$C$4:$D$1000,2,FALSE),"")</f>
        <v/>
      </c>
      <c r="G2052" s="892"/>
      <c r="H2052" s="892"/>
      <c r="I2052" s="580">
        <f t="shared" si="198"/>
        <v>0</v>
      </c>
      <c r="J2052" s="961">
        <f t="shared" si="199"/>
        <v>0</v>
      </c>
      <c r="K2052" s="80"/>
      <c r="L2052" s="809"/>
      <c r="M2052" s="154" t="str">
        <f>+IFERROR(VLOOKUP(L2052,DATA!$G$4:$H$2000,2,FALSE),"")</f>
        <v/>
      </c>
      <c r="N2052" s="809"/>
      <c r="O2052" s="80" t="str">
        <f>IFERROR(VLOOKUP(N2052,DATA!$K$4:$L$51,2,FALSE),"")</f>
        <v/>
      </c>
      <c r="P2052" s="80">
        <f t="shared" si="197"/>
        <v>0</v>
      </c>
      <c r="Q2052" s="154">
        <f t="shared" si="196"/>
        <v>0</v>
      </c>
    </row>
    <row r="2053" spans="2:17">
      <c r="B2053" s="627" t="str">
        <f t="shared" si="195"/>
        <v/>
      </c>
      <c r="C2053" s="634"/>
      <c r="D2053" s="819"/>
      <c r="E2053" s="809"/>
      <c r="F2053" s="629" t="str">
        <f>IFERROR(VLOOKUP(E2053,STAT1!$C$4:$D$1000,2,FALSE),"")</f>
        <v/>
      </c>
      <c r="G2053" s="892"/>
      <c r="H2053" s="892"/>
      <c r="I2053" s="580">
        <f t="shared" si="198"/>
        <v>0</v>
      </c>
      <c r="J2053" s="961">
        <f t="shared" si="199"/>
        <v>0</v>
      </c>
      <c r="K2053" s="80"/>
      <c r="L2053" s="809"/>
      <c r="M2053" s="154" t="str">
        <f>+IFERROR(VLOOKUP(L2053,DATA!$G$4:$H$2000,2,FALSE),"")</f>
        <v/>
      </c>
      <c r="N2053" s="809"/>
      <c r="O2053" s="80" t="str">
        <f>IFERROR(VLOOKUP(N2053,DATA!$K$4:$L$51,2,FALSE),"")</f>
        <v/>
      </c>
      <c r="P2053" s="80">
        <f t="shared" si="197"/>
        <v>0</v>
      </c>
      <c r="Q2053" s="154">
        <f t="shared" si="196"/>
        <v>0</v>
      </c>
    </row>
    <row r="2054" spans="2:17">
      <c r="B2054" s="627" t="str">
        <f t="shared" si="195"/>
        <v/>
      </c>
      <c r="C2054" s="635"/>
      <c r="D2054" s="819"/>
      <c r="E2054" s="633"/>
      <c r="F2054" s="629" t="str">
        <f>IFERROR(VLOOKUP(E2054,STAT1!$C$4:$D$1000,2,FALSE),"")</f>
        <v/>
      </c>
      <c r="G2054" s="893"/>
      <c r="H2054" s="893"/>
      <c r="I2054" s="580">
        <f t="shared" si="198"/>
        <v>0</v>
      </c>
      <c r="J2054" s="961">
        <f t="shared" si="199"/>
        <v>0</v>
      </c>
      <c r="K2054" s="80"/>
      <c r="L2054" s="633"/>
      <c r="M2054" s="154" t="str">
        <f>+IFERROR(VLOOKUP(L2054,DATA!$G$4:$H$2000,2,FALSE),"")</f>
        <v/>
      </c>
      <c r="N2054" s="633"/>
      <c r="O2054" s="80" t="str">
        <f>IFERROR(VLOOKUP(N2054,DATA!$K$4:$L$51,2,FALSE),"")</f>
        <v/>
      </c>
      <c r="P2054" s="80">
        <f t="shared" si="197"/>
        <v>0</v>
      </c>
      <c r="Q2054" s="154">
        <f t="shared" si="196"/>
        <v>0</v>
      </c>
    </row>
    <row r="2055" spans="2:17">
      <c r="B2055" s="627" t="str">
        <f t="shared" si="195"/>
        <v/>
      </c>
      <c r="C2055" s="635"/>
      <c r="D2055" s="819"/>
      <c r="E2055" s="633"/>
      <c r="F2055" s="629" t="str">
        <f>IFERROR(VLOOKUP(E2055,STAT1!$C$4:$D$1000,2,FALSE),"")</f>
        <v/>
      </c>
      <c r="G2055" s="893"/>
      <c r="H2055" s="893"/>
      <c r="I2055" s="580">
        <f t="shared" si="198"/>
        <v>0</v>
      </c>
      <c r="J2055" s="961">
        <f t="shared" si="199"/>
        <v>0</v>
      </c>
      <c r="K2055" s="80"/>
      <c r="L2055" s="633"/>
      <c r="M2055" s="154" t="str">
        <f>+IFERROR(VLOOKUP(L2055,DATA!$G$4:$H$2000,2,FALSE),"")</f>
        <v/>
      </c>
      <c r="N2055" s="633"/>
      <c r="O2055" s="80" t="str">
        <f>IFERROR(VLOOKUP(N2055,DATA!$K$4:$L$51,2,FALSE),"")</f>
        <v/>
      </c>
      <c r="P2055" s="80">
        <f t="shared" si="197"/>
        <v>0</v>
      </c>
      <c r="Q2055" s="154">
        <f t="shared" si="196"/>
        <v>0</v>
      </c>
    </row>
    <row r="2056" spans="2:17">
      <c r="B2056" s="627" t="str">
        <f t="shared" si="195"/>
        <v/>
      </c>
      <c r="C2056" s="635"/>
      <c r="D2056" s="819"/>
      <c r="E2056" s="633"/>
      <c r="F2056" s="629" t="str">
        <f>IFERROR(VLOOKUP(E2056,STAT1!$C$4:$D$1000,2,FALSE),"")</f>
        <v/>
      </c>
      <c r="G2056" s="893"/>
      <c r="H2056" s="893"/>
      <c r="I2056" s="580">
        <f t="shared" si="198"/>
        <v>0</v>
      </c>
      <c r="J2056" s="961">
        <f t="shared" si="199"/>
        <v>0</v>
      </c>
      <c r="K2056" s="80"/>
      <c r="L2056" s="633"/>
      <c r="M2056" s="154" t="str">
        <f>+IFERROR(VLOOKUP(L2056,DATA!$G$4:$H$2000,2,FALSE),"")</f>
        <v/>
      </c>
      <c r="N2056" s="633"/>
      <c r="O2056" s="80" t="str">
        <f>IFERROR(VLOOKUP(N2056,DATA!$K$4:$L$51,2,FALSE),"")</f>
        <v/>
      </c>
      <c r="P2056" s="80">
        <f t="shared" si="197"/>
        <v>0</v>
      </c>
      <c r="Q2056" s="154">
        <f t="shared" si="196"/>
        <v>0</v>
      </c>
    </row>
    <row r="2057" spans="2:17">
      <c r="B2057" s="627" t="str">
        <f t="shared" si="195"/>
        <v/>
      </c>
      <c r="C2057" s="635"/>
      <c r="D2057" s="819"/>
      <c r="E2057" s="633"/>
      <c r="F2057" s="629" t="str">
        <f>IFERROR(VLOOKUP(E2057,STAT1!$C$4:$D$1000,2,FALSE),"")</f>
        <v/>
      </c>
      <c r="G2057" s="893"/>
      <c r="H2057" s="893"/>
      <c r="I2057" s="580">
        <f t="shared" si="198"/>
        <v>0</v>
      </c>
      <c r="J2057" s="961">
        <f t="shared" si="199"/>
        <v>0</v>
      </c>
      <c r="K2057" s="80"/>
      <c r="L2057" s="633"/>
      <c r="M2057" s="154" t="str">
        <f>+IFERROR(VLOOKUP(L2057,DATA!$G$4:$H$2000,2,FALSE),"")</f>
        <v/>
      </c>
      <c r="N2057" s="633"/>
      <c r="O2057" s="80" t="str">
        <f>IFERROR(VLOOKUP(N2057,DATA!$K$4:$L$51,2,FALSE),"")</f>
        <v/>
      </c>
      <c r="P2057" s="80">
        <f t="shared" si="197"/>
        <v>0</v>
      </c>
      <c r="Q2057" s="154">
        <f t="shared" si="196"/>
        <v>0</v>
      </c>
    </row>
    <row r="2058" spans="2:17">
      <c r="B2058" s="627" t="str">
        <f t="shared" si="195"/>
        <v/>
      </c>
      <c r="C2058" s="635"/>
      <c r="D2058" s="817"/>
      <c r="E2058" s="633"/>
      <c r="F2058" s="629" t="str">
        <f>IFERROR(VLOOKUP(E2058,STAT1!$C$4:$D$1000,2,FALSE),"")</f>
        <v/>
      </c>
      <c r="G2058" s="893"/>
      <c r="H2058" s="893"/>
      <c r="I2058" s="580">
        <f t="shared" si="198"/>
        <v>0</v>
      </c>
      <c r="J2058" s="961">
        <f t="shared" si="199"/>
        <v>0</v>
      </c>
      <c r="K2058" s="80"/>
      <c r="L2058" s="633"/>
      <c r="M2058" s="154" t="str">
        <f>+IFERROR(VLOOKUP(L2058,DATA!$G$4:$H$2000,2,FALSE),"")</f>
        <v/>
      </c>
      <c r="N2058" s="633"/>
      <c r="O2058" s="80" t="str">
        <f>IFERROR(VLOOKUP(N2058,DATA!$K$4:$L$51,2,FALSE),"")</f>
        <v/>
      </c>
      <c r="P2058" s="80">
        <f t="shared" si="197"/>
        <v>0</v>
      </c>
      <c r="Q2058" s="154">
        <f t="shared" si="196"/>
        <v>0</v>
      </c>
    </row>
    <row r="2059" spans="2:17">
      <c r="B2059" s="627" t="str">
        <f t="shared" si="195"/>
        <v/>
      </c>
      <c r="C2059" s="631"/>
      <c r="D2059" s="817"/>
      <c r="E2059" s="808"/>
      <c r="F2059" s="629" t="str">
        <f>IFERROR(VLOOKUP(E2059,STAT1!$C$4:$D$1000,2,FALSE),"")</f>
        <v/>
      </c>
      <c r="G2059" s="891"/>
      <c r="H2059" s="891"/>
      <c r="I2059" s="580">
        <f t="shared" si="198"/>
        <v>0</v>
      </c>
      <c r="J2059" s="961">
        <f t="shared" si="199"/>
        <v>0</v>
      </c>
      <c r="K2059" s="80"/>
      <c r="L2059" s="808"/>
      <c r="M2059" s="154" t="str">
        <f>+IFERROR(VLOOKUP(L2059,DATA!$G$4:$H$2000,2,FALSE),"")</f>
        <v/>
      </c>
      <c r="N2059" s="808"/>
      <c r="O2059" s="80" t="str">
        <f>IFERROR(VLOOKUP(N2059,DATA!$K$4:$L$51,2,FALSE),"")</f>
        <v/>
      </c>
      <c r="P2059" s="80">
        <f t="shared" si="197"/>
        <v>0</v>
      </c>
      <c r="Q2059" s="154">
        <f t="shared" si="196"/>
        <v>0</v>
      </c>
    </row>
    <row r="2060" spans="2:17">
      <c r="B2060" s="627" t="str">
        <f t="shared" si="195"/>
        <v/>
      </c>
      <c r="C2060" s="631"/>
      <c r="D2060" s="817"/>
      <c r="E2060" s="808"/>
      <c r="F2060" s="629" t="str">
        <f>IFERROR(VLOOKUP(E2060,STAT1!$C$4:$D$1000,2,FALSE),"")</f>
        <v/>
      </c>
      <c r="G2060" s="891"/>
      <c r="H2060" s="891"/>
      <c r="I2060" s="580">
        <f t="shared" si="198"/>
        <v>0</v>
      </c>
      <c r="J2060" s="961">
        <f t="shared" si="199"/>
        <v>0</v>
      </c>
      <c r="K2060" s="80"/>
      <c r="L2060" s="808"/>
      <c r="M2060" s="154" t="str">
        <f>+IFERROR(VLOOKUP(L2060,DATA!$G$4:$H$2000,2,FALSE),"")</f>
        <v/>
      </c>
      <c r="N2060" s="808"/>
      <c r="O2060" s="80" t="str">
        <f>IFERROR(VLOOKUP(N2060,DATA!$K$4:$L$51,2,FALSE),"")</f>
        <v/>
      </c>
      <c r="P2060" s="80">
        <f t="shared" si="197"/>
        <v>0</v>
      </c>
      <c r="Q2060" s="154">
        <f t="shared" si="196"/>
        <v>0</v>
      </c>
    </row>
    <row r="2061" spans="2:17">
      <c r="B2061" s="627" t="str">
        <f t="shared" si="195"/>
        <v/>
      </c>
      <c r="C2061" s="631"/>
      <c r="D2061" s="817"/>
      <c r="E2061" s="808"/>
      <c r="F2061" s="629" t="str">
        <f>IFERROR(VLOOKUP(E2061,STAT1!$C$4:$D$1000,2,FALSE),"")</f>
        <v/>
      </c>
      <c r="G2061" s="891"/>
      <c r="H2061" s="891"/>
      <c r="I2061" s="580">
        <f t="shared" si="198"/>
        <v>0</v>
      </c>
      <c r="J2061" s="961">
        <f t="shared" si="199"/>
        <v>0</v>
      </c>
      <c r="K2061" s="80"/>
      <c r="L2061" s="808"/>
      <c r="M2061" s="154" t="str">
        <f>+IFERROR(VLOOKUP(L2061,DATA!$G$4:$H$2000,2,FALSE),"")</f>
        <v/>
      </c>
      <c r="N2061" s="808"/>
      <c r="O2061" s="80" t="str">
        <f>IFERROR(VLOOKUP(N2061,DATA!$K$4:$L$51,2,FALSE),"")</f>
        <v/>
      </c>
      <c r="P2061" s="80">
        <f t="shared" si="197"/>
        <v>0</v>
      </c>
      <c r="Q2061" s="154">
        <f t="shared" si="196"/>
        <v>0</v>
      </c>
    </row>
    <row r="2062" spans="2:17">
      <c r="B2062" s="627" t="str">
        <f t="shared" si="195"/>
        <v/>
      </c>
      <c r="C2062" s="631"/>
      <c r="D2062" s="817"/>
      <c r="E2062" s="808"/>
      <c r="F2062" s="629" t="str">
        <f>IFERROR(VLOOKUP(E2062,STAT1!$C$4:$D$1000,2,FALSE),"")</f>
        <v/>
      </c>
      <c r="G2062" s="891"/>
      <c r="H2062" s="891"/>
      <c r="I2062" s="580">
        <f t="shared" si="198"/>
        <v>0</v>
      </c>
      <c r="J2062" s="961">
        <f t="shared" si="199"/>
        <v>0</v>
      </c>
      <c r="K2062" s="80"/>
      <c r="L2062" s="808"/>
      <c r="M2062" s="154" t="str">
        <f>+IFERROR(VLOOKUP(L2062,DATA!$G$4:$H$2000,2,FALSE),"")</f>
        <v/>
      </c>
      <c r="N2062" s="808"/>
      <c r="O2062" s="80" t="str">
        <f>IFERROR(VLOOKUP(N2062,DATA!$K$4:$L$51,2,FALSE),"")</f>
        <v/>
      </c>
      <c r="P2062" s="80">
        <f t="shared" si="197"/>
        <v>0</v>
      </c>
      <c r="Q2062" s="154">
        <f t="shared" si="196"/>
        <v>0</v>
      </c>
    </row>
    <row r="2063" spans="2:17">
      <c r="B2063" s="627" t="str">
        <f t="shared" si="195"/>
        <v/>
      </c>
      <c r="C2063" s="631"/>
      <c r="D2063" s="817"/>
      <c r="E2063" s="808"/>
      <c r="F2063" s="629" t="str">
        <f>IFERROR(VLOOKUP(E2063,STAT1!$C$4:$D$1000,2,FALSE),"")</f>
        <v/>
      </c>
      <c r="G2063" s="891"/>
      <c r="H2063" s="891"/>
      <c r="I2063" s="580">
        <f t="shared" si="198"/>
        <v>0</v>
      </c>
      <c r="J2063" s="961">
        <f t="shared" si="199"/>
        <v>0</v>
      </c>
      <c r="K2063" s="80"/>
      <c r="L2063" s="808"/>
      <c r="M2063" s="154" t="str">
        <f>+IFERROR(VLOOKUP(L2063,DATA!$G$4:$H$2000,2,FALSE),"")</f>
        <v/>
      </c>
      <c r="N2063" s="808"/>
      <c r="O2063" s="80" t="str">
        <f>IFERROR(VLOOKUP(N2063,DATA!$K$4:$L$51,2,FALSE),"")</f>
        <v/>
      </c>
      <c r="P2063" s="80">
        <f t="shared" si="197"/>
        <v>0</v>
      </c>
      <c r="Q2063" s="154">
        <f t="shared" si="196"/>
        <v>0</v>
      </c>
    </row>
    <row r="2064" spans="2:17">
      <c r="B2064" s="627" t="str">
        <f t="shared" si="195"/>
        <v/>
      </c>
      <c r="C2064" s="631"/>
      <c r="D2064" s="817"/>
      <c r="E2064" s="808"/>
      <c r="F2064" s="629" t="str">
        <f>IFERROR(VLOOKUP(E2064,STAT1!$C$4:$D$1000,2,FALSE),"")</f>
        <v/>
      </c>
      <c r="G2064" s="891"/>
      <c r="H2064" s="891"/>
      <c r="I2064" s="580">
        <f t="shared" si="198"/>
        <v>0</v>
      </c>
      <c r="J2064" s="961">
        <f t="shared" si="199"/>
        <v>0</v>
      </c>
      <c r="K2064" s="80"/>
      <c r="L2064" s="808"/>
      <c r="M2064" s="154" t="str">
        <f>+IFERROR(VLOOKUP(L2064,DATA!$G$4:$H$2000,2,FALSE),"")</f>
        <v/>
      </c>
      <c r="N2064" s="808"/>
      <c r="O2064" s="80" t="str">
        <f>IFERROR(VLOOKUP(N2064,DATA!$K$4:$L$51,2,FALSE),"")</f>
        <v/>
      </c>
      <c r="P2064" s="80">
        <f t="shared" si="197"/>
        <v>0</v>
      </c>
      <c r="Q2064" s="154">
        <f t="shared" si="196"/>
        <v>0</v>
      </c>
    </row>
    <row r="2065" spans="2:17">
      <c r="B2065" s="627" t="str">
        <f t="shared" ref="B2065:B2128" si="200">+IF(C2065="","",ROW()-5)</f>
        <v/>
      </c>
      <c r="C2065" s="631"/>
      <c r="D2065" s="818"/>
      <c r="E2065" s="808"/>
      <c r="F2065" s="629" t="str">
        <f>IFERROR(VLOOKUP(E2065,STAT1!$C$4:$D$1000,2,FALSE),"")</f>
        <v/>
      </c>
      <c r="G2065" s="891"/>
      <c r="H2065" s="891"/>
      <c r="I2065" s="580">
        <f t="shared" si="198"/>
        <v>0</v>
      </c>
      <c r="J2065" s="961">
        <f t="shared" si="199"/>
        <v>0</v>
      </c>
      <c r="K2065" s="80"/>
      <c r="L2065" s="808"/>
      <c r="M2065" s="154" t="str">
        <f>+IFERROR(VLOOKUP(L2065,DATA!$G$4:$H$2000,2,FALSE),"")</f>
        <v/>
      </c>
      <c r="N2065" s="808"/>
      <c r="O2065" s="80" t="str">
        <f>IFERROR(VLOOKUP(N2065,DATA!$K$4:$L$51,2,FALSE),"")</f>
        <v/>
      </c>
      <c r="P2065" s="80">
        <f t="shared" si="197"/>
        <v>0</v>
      </c>
      <c r="Q2065" s="154">
        <f t="shared" si="196"/>
        <v>0</v>
      </c>
    </row>
    <row r="2066" spans="2:17">
      <c r="B2066" s="627" t="str">
        <f t="shared" si="200"/>
        <v/>
      </c>
      <c r="C2066" s="634"/>
      <c r="D2066" s="818"/>
      <c r="E2066" s="809"/>
      <c r="F2066" s="629" t="str">
        <f>IFERROR(VLOOKUP(E2066,STAT1!$C$4:$D$1000,2,FALSE),"")</f>
        <v/>
      </c>
      <c r="G2066" s="892"/>
      <c r="H2066" s="892"/>
      <c r="I2066" s="580">
        <f t="shared" si="198"/>
        <v>0</v>
      </c>
      <c r="J2066" s="961">
        <f t="shared" si="199"/>
        <v>0</v>
      </c>
      <c r="K2066" s="80"/>
      <c r="L2066" s="809"/>
      <c r="M2066" s="154" t="str">
        <f>+IFERROR(VLOOKUP(L2066,DATA!$G$4:$H$2000,2,FALSE),"")</f>
        <v/>
      </c>
      <c r="N2066" s="809"/>
      <c r="O2066" s="80" t="str">
        <f>IFERROR(VLOOKUP(N2066,DATA!$K$4:$L$51,2,FALSE),"")</f>
        <v/>
      </c>
      <c r="P2066" s="80">
        <f t="shared" si="197"/>
        <v>0</v>
      </c>
      <c r="Q2066" s="154">
        <f t="shared" si="196"/>
        <v>0</v>
      </c>
    </row>
    <row r="2067" spans="2:17">
      <c r="B2067" s="627" t="str">
        <f t="shared" si="200"/>
        <v/>
      </c>
      <c r="C2067" s="634"/>
      <c r="D2067" s="819"/>
      <c r="E2067" s="809"/>
      <c r="F2067" s="629" t="str">
        <f>IFERROR(VLOOKUP(E2067,STAT1!$C$4:$D$1000,2,FALSE),"")</f>
        <v/>
      </c>
      <c r="G2067" s="892"/>
      <c r="H2067" s="892"/>
      <c r="I2067" s="580">
        <f t="shared" si="198"/>
        <v>0</v>
      </c>
      <c r="J2067" s="961">
        <f t="shared" si="199"/>
        <v>0</v>
      </c>
      <c r="K2067" s="80"/>
      <c r="L2067" s="809"/>
      <c r="M2067" s="154" t="str">
        <f>+IFERROR(VLOOKUP(L2067,DATA!$G$4:$H$2000,2,FALSE),"")</f>
        <v/>
      </c>
      <c r="N2067" s="809"/>
      <c r="O2067" s="80" t="str">
        <f>IFERROR(VLOOKUP(N2067,DATA!$K$4:$L$51,2,FALSE),"")</f>
        <v/>
      </c>
      <c r="P2067" s="80">
        <f t="shared" si="197"/>
        <v>0</v>
      </c>
      <c r="Q2067" s="154">
        <f t="shared" si="196"/>
        <v>0</v>
      </c>
    </row>
    <row r="2068" spans="2:17">
      <c r="B2068" s="627" t="str">
        <f t="shared" si="200"/>
        <v/>
      </c>
      <c r="C2068" s="635"/>
      <c r="D2068" s="819"/>
      <c r="E2068" s="633"/>
      <c r="F2068" s="629" t="str">
        <f>IFERROR(VLOOKUP(E2068,STAT1!$C$4:$D$1000,2,FALSE),"")</f>
        <v/>
      </c>
      <c r="G2068" s="893"/>
      <c r="H2068" s="893"/>
      <c r="I2068" s="580">
        <f t="shared" si="198"/>
        <v>0</v>
      </c>
      <c r="J2068" s="961">
        <f t="shared" si="199"/>
        <v>0</v>
      </c>
      <c r="K2068" s="80"/>
      <c r="L2068" s="633"/>
      <c r="M2068" s="154" t="str">
        <f>+IFERROR(VLOOKUP(L2068,DATA!$G$4:$H$2000,2,FALSE),"")</f>
        <v/>
      </c>
      <c r="N2068" s="633"/>
      <c r="O2068" s="80" t="str">
        <f>IFERROR(VLOOKUP(N2068,DATA!$K$4:$L$51,2,FALSE),"")</f>
        <v/>
      </c>
      <c r="P2068" s="80">
        <f t="shared" si="197"/>
        <v>0</v>
      </c>
      <c r="Q2068" s="154">
        <f t="shared" si="196"/>
        <v>0</v>
      </c>
    </row>
    <row r="2069" spans="2:17">
      <c r="B2069" s="627" t="str">
        <f t="shared" si="200"/>
        <v/>
      </c>
      <c r="C2069" s="635"/>
      <c r="D2069" s="819"/>
      <c r="E2069" s="633"/>
      <c r="F2069" s="629" t="str">
        <f>IFERROR(VLOOKUP(E2069,STAT1!$C$4:$D$1000,2,FALSE),"")</f>
        <v/>
      </c>
      <c r="G2069" s="893"/>
      <c r="H2069" s="893"/>
      <c r="I2069" s="580">
        <f t="shared" si="198"/>
        <v>0</v>
      </c>
      <c r="J2069" s="961">
        <f t="shared" si="199"/>
        <v>0</v>
      </c>
      <c r="K2069" s="80"/>
      <c r="L2069" s="633"/>
      <c r="M2069" s="154" t="str">
        <f>+IFERROR(VLOOKUP(L2069,DATA!$G$4:$H$2000,2,FALSE),"")</f>
        <v/>
      </c>
      <c r="N2069" s="633"/>
      <c r="O2069" s="80" t="str">
        <f>IFERROR(VLOOKUP(N2069,DATA!$K$4:$L$51,2,FALSE),"")</f>
        <v/>
      </c>
      <c r="P2069" s="80">
        <f t="shared" si="197"/>
        <v>0</v>
      </c>
      <c r="Q2069" s="154">
        <f t="shared" si="196"/>
        <v>0</v>
      </c>
    </row>
    <row r="2070" spans="2:17">
      <c r="B2070" s="627" t="str">
        <f t="shared" si="200"/>
        <v/>
      </c>
      <c r="C2070" s="635"/>
      <c r="D2070" s="819"/>
      <c r="E2070" s="633"/>
      <c r="F2070" s="629" t="str">
        <f>IFERROR(VLOOKUP(E2070,STAT1!$C$4:$D$1000,2,FALSE),"")</f>
        <v/>
      </c>
      <c r="G2070" s="893"/>
      <c r="H2070" s="893"/>
      <c r="I2070" s="580">
        <f t="shared" si="198"/>
        <v>0</v>
      </c>
      <c r="J2070" s="961">
        <f t="shared" si="199"/>
        <v>0</v>
      </c>
      <c r="K2070" s="80"/>
      <c r="L2070" s="633"/>
      <c r="M2070" s="154" t="str">
        <f>+IFERROR(VLOOKUP(L2070,DATA!$G$4:$H$2000,2,FALSE),"")</f>
        <v/>
      </c>
      <c r="N2070" s="633"/>
      <c r="O2070" s="80" t="str">
        <f>IFERROR(VLOOKUP(N2070,DATA!$K$4:$L$51,2,FALSE),"")</f>
        <v/>
      </c>
      <c r="P2070" s="80">
        <f t="shared" si="197"/>
        <v>0</v>
      </c>
      <c r="Q2070" s="154">
        <f t="shared" si="196"/>
        <v>0</v>
      </c>
    </row>
    <row r="2071" spans="2:17">
      <c r="B2071" s="627" t="str">
        <f t="shared" si="200"/>
        <v/>
      </c>
      <c r="C2071" s="635"/>
      <c r="D2071" s="819"/>
      <c r="E2071" s="633"/>
      <c r="F2071" s="629" t="str">
        <f>IFERROR(VLOOKUP(E2071,STAT1!$C$4:$D$1000,2,FALSE),"")</f>
        <v/>
      </c>
      <c r="G2071" s="893"/>
      <c r="H2071" s="893"/>
      <c r="I2071" s="580">
        <f t="shared" si="198"/>
        <v>0</v>
      </c>
      <c r="J2071" s="961">
        <f t="shared" si="199"/>
        <v>0</v>
      </c>
      <c r="K2071" s="80"/>
      <c r="L2071" s="633"/>
      <c r="M2071" s="154" t="str">
        <f>+IFERROR(VLOOKUP(L2071,DATA!$G$4:$H$2000,2,FALSE),"")</f>
        <v/>
      </c>
      <c r="N2071" s="633"/>
      <c r="O2071" s="80" t="str">
        <f>IFERROR(VLOOKUP(N2071,DATA!$K$4:$L$51,2,FALSE),"")</f>
        <v/>
      </c>
      <c r="P2071" s="80">
        <f t="shared" si="197"/>
        <v>0</v>
      </c>
      <c r="Q2071" s="154">
        <f t="shared" si="196"/>
        <v>0</v>
      </c>
    </row>
    <row r="2072" spans="2:17">
      <c r="B2072" s="627" t="str">
        <f t="shared" si="200"/>
        <v/>
      </c>
      <c r="C2072" s="635"/>
      <c r="D2072" s="819"/>
      <c r="E2072" s="633"/>
      <c r="F2072" s="629" t="str">
        <f>IFERROR(VLOOKUP(E2072,STAT1!$C$4:$D$1000,2,FALSE),"")</f>
        <v/>
      </c>
      <c r="G2072" s="893"/>
      <c r="H2072" s="893"/>
      <c r="I2072" s="580">
        <f t="shared" si="198"/>
        <v>0</v>
      </c>
      <c r="J2072" s="961">
        <f t="shared" si="199"/>
        <v>0</v>
      </c>
      <c r="K2072" s="80"/>
      <c r="L2072" s="633"/>
      <c r="M2072" s="154" t="str">
        <f>+IFERROR(VLOOKUP(L2072,DATA!$G$4:$H$2000,2,FALSE),"")</f>
        <v/>
      </c>
      <c r="N2072" s="633"/>
      <c r="O2072" s="80" t="str">
        <f>IFERROR(VLOOKUP(N2072,DATA!$K$4:$L$51,2,FALSE),"")</f>
        <v/>
      </c>
      <c r="P2072" s="80">
        <f t="shared" si="197"/>
        <v>0</v>
      </c>
      <c r="Q2072" s="154">
        <f t="shared" si="196"/>
        <v>0</v>
      </c>
    </row>
    <row r="2073" spans="2:17">
      <c r="B2073" s="627" t="str">
        <f t="shared" si="200"/>
        <v/>
      </c>
      <c r="C2073" s="635"/>
      <c r="D2073" s="817"/>
      <c r="E2073" s="633"/>
      <c r="F2073" s="629" t="str">
        <f>IFERROR(VLOOKUP(E2073,STAT1!$C$4:$D$1000,2,FALSE),"")</f>
        <v/>
      </c>
      <c r="G2073" s="893"/>
      <c r="H2073" s="893"/>
      <c r="I2073" s="580">
        <f t="shared" si="198"/>
        <v>0</v>
      </c>
      <c r="J2073" s="961">
        <f t="shared" si="199"/>
        <v>0</v>
      </c>
      <c r="K2073" s="80"/>
      <c r="L2073" s="633"/>
      <c r="M2073" s="154" t="str">
        <f>+IFERROR(VLOOKUP(L2073,DATA!$G$4:$H$2000,2,FALSE),"")</f>
        <v/>
      </c>
      <c r="N2073" s="633"/>
      <c r="O2073" s="80" t="str">
        <f>IFERROR(VLOOKUP(N2073,DATA!$K$4:$L$51,2,FALSE),"")</f>
        <v/>
      </c>
      <c r="P2073" s="80">
        <f t="shared" si="197"/>
        <v>0</v>
      </c>
      <c r="Q2073" s="154">
        <f t="shared" si="196"/>
        <v>0</v>
      </c>
    </row>
    <row r="2074" spans="2:17">
      <c r="B2074" s="627" t="str">
        <f t="shared" si="200"/>
        <v/>
      </c>
      <c r="C2074" s="631"/>
      <c r="D2074" s="817"/>
      <c r="E2074" s="808"/>
      <c r="F2074" s="629" t="str">
        <f>IFERROR(VLOOKUP(E2074,STAT1!$C$4:$D$1000,2,FALSE),"")</f>
        <v/>
      </c>
      <c r="G2074" s="891"/>
      <c r="H2074" s="891"/>
      <c r="I2074" s="580">
        <f t="shared" si="198"/>
        <v>0</v>
      </c>
      <c r="J2074" s="961">
        <f t="shared" si="199"/>
        <v>0</v>
      </c>
      <c r="K2074" s="80"/>
      <c r="L2074" s="808"/>
      <c r="M2074" s="154" t="str">
        <f>+IFERROR(VLOOKUP(L2074,DATA!$G$4:$H$2000,2,FALSE),"")</f>
        <v/>
      </c>
      <c r="N2074" s="808"/>
      <c r="O2074" s="80" t="str">
        <f>IFERROR(VLOOKUP(N2074,DATA!$K$4:$L$51,2,FALSE),"")</f>
        <v/>
      </c>
      <c r="P2074" s="80">
        <f t="shared" si="197"/>
        <v>0</v>
      </c>
      <c r="Q2074" s="154">
        <f t="shared" si="196"/>
        <v>0</v>
      </c>
    </row>
    <row r="2075" spans="2:17">
      <c r="B2075" s="627" t="str">
        <f t="shared" si="200"/>
        <v/>
      </c>
      <c r="C2075" s="631"/>
      <c r="D2075" s="817"/>
      <c r="E2075" s="808"/>
      <c r="F2075" s="629" t="str">
        <f>IFERROR(VLOOKUP(E2075,STAT1!$C$4:$D$1000,2,FALSE),"")</f>
        <v/>
      </c>
      <c r="G2075" s="891"/>
      <c r="H2075" s="891"/>
      <c r="I2075" s="580">
        <f t="shared" si="198"/>
        <v>0</v>
      </c>
      <c r="J2075" s="961">
        <f t="shared" si="199"/>
        <v>0</v>
      </c>
      <c r="K2075" s="80"/>
      <c r="L2075" s="808"/>
      <c r="M2075" s="154" t="str">
        <f>+IFERROR(VLOOKUP(L2075,DATA!$G$4:$H$2000,2,FALSE),"")</f>
        <v/>
      </c>
      <c r="N2075" s="808"/>
      <c r="O2075" s="80" t="str">
        <f>IFERROR(VLOOKUP(N2075,DATA!$K$4:$L$51,2,FALSE),"")</f>
        <v/>
      </c>
      <c r="P2075" s="80">
        <f t="shared" si="197"/>
        <v>0</v>
      </c>
      <c r="Q2075" s="154">
        <f t="shared" si="196"/>
        <v>0</v>
      </c>
    </row>
    <row r="2076" spans="2:17">
      <c r="B2076" s="627" t="str">
        <f t="shared" si="200"/>
        <v/>
      </c>
      <c r="C2076" s="631"/>
      <c r="D2076" s="817"/>
      <c r="E2076" s="808"/>
      <c r="F2076" s="629" t="str">
        <f>IFERROR(VLOOKUP(E2076,STAT1!$C$4:$D$1000,2,FALSE),"")</f>
        <v/>
      </c>
      <c r="G2076" s="891"/>
      <c r="H2076" s="891"/>
      <c r="I2076" s="580">
        <f t="shared" si="198"/>
        <v>0</v>
      </c>
      <c r="J2076" s="961">
        <f t="shared" si="199"/>
        <v>0</v>
      </c>
      <c r="K2076" s="80"/>
      <c r="L2076" s="808"/>
      <c r="M2076" s="154" t="str">
        <f>+IFERROR(VLOOKUP(L2076,DATA!$G$4:$H$2000,2,FALSE),"")</f>
        <v/>
      </c>
      <c r="N2076" s="808"/>
      <c r="O2076" s="80" t="str">
        <f>IFERROR(VLOOKUP(N2076,DATA!$K$4:$L$51,2,FALSE),"")</f>
        <v/>
      </c>
      <c r="P2076" s="80">
        <f t="shared" si="197"/>
        <v>0</v>
      </c>
      <c r="Q2076" s="154">
        <f t="shared" si="196"/>
        <v>0</v>
      </c>
    </row>
    <row r="2077" spans="2:17">
      <c r="B2077" s="627" t="str">
        <f t="shared" si="200"/>
        <v/>
      </c>
      <c r="C2077" s="631"/>
      <c r="D2077" s="817"/>
      <c r="E2077" s="808"/>
      <c r="F2077" s="629" t="str">
        <f>IFERROR(VLOOKUP(E2077,STAT1!$C$4:$D$1000,2,FALSE),"")</f>
        <v/>
      </c>
      <c r="G2077" s="891"/>
      <c r="H2077" s="891"/>
      <c r="I2077" s="580">
        <f t="shared" si="198"/>
        <v>0</v>
      </c>
      <c r="J2077" s="961">
        <f t="shared" si="199"/>
        <v>0</v>
      </c>
      <c r="K2077" s="80"/>
      <c r="L2077" s="808"/>
      <c r="M2077" s="154" t="str">
        <f>+IFERROR(VLOOKUP(L2077,DATA!$G$4:$H$2000,2,FALSE),"")</f>
        <v/>
      </c>
      <c r="N2077" s="808"/>
      <c r="O2077" s="80" t="str">
        <f>IFERROR(VLOOKUP(N2077,DATA!$K$4:$L$51,2,FALSE),"")</f>
        <v/>
      </c>
      <c r="P2077" s="80">
        <f t="shared" si="197"/>
        <v>0</v>
      </c>
      <c r="Q2077" s="154">
        <f t="shared" ref="Q2077:Q2137" si="201">+IF(I2077,1,0)</f>
        <v>0</v>
      </c>
    </row>
    <row r="2078" spans="2:17">
      <c r="B2078" s="627" t="str">
        <f t="shared" si="200"/>
        <v/>
      </c>
      <c r="C2078" s="631"/>
      <c r="D2078" s="817"/>
      <c r="E2078" s="808"/>
      <c r="F2078" s="629" t="str">
        <f>IFERROR(VLOOKUP(E2078,STAT1!$C$4:$D$1000,2,FALSE),"")</f>
        <v/>
      </c>
      <c r="G2078" s="891"/>
      <c r="H2078" s="891"/>
      <c r="I2078" s="580">
        <f t="shared" si="198"/>
        <v>0</v>
      </c>
      <c r="J2078" s="961">
        <f t="shared" si="199"/>
        <v>0</v>
      </c>
      <c r="K2078" s="80"/>
      <c r="L2078" s="808"/>
      <c r="M2078" s="154" t="str">
        <f>+IFERROR(VLOOKUP(L2078,DATA!$G$4:$H$2000,2,FALSE),"")</f>
        <v/>
      </c>
      <c r="N2078" s="808"/>
      <c r="O2078" s="80" t="str">
        <f>IFERROR(VLOOKUP(N2078,DATA!$K$4:$L$51,2,FALSE),"")</f>
        <v/>
      </c>
      <c r="P2078" s="80">
        <f t="shared" si="197"/>
        <v>0</v>
      </c>
      <c r="Q2078" s="154">
        <f t="shared" si="201"/>
        <v>0</v>
      </c>
    </row>
    <row r="2079" spans="2:17">
      <c r="B2079" s="627" t="str">
        <f t="shared" si="200"/>
        <v/>
      </c>
      <c r="C2079" s="631"/>
      <c r="D2079" s="817"/>
      <c r="E2079" s="808"/>
      <c r="F2079" s="629" t="str">
        <f>IFERROR(VLOOKUP(E2079,STAT1!$C$4:$D$1000,2,FALSE),"")</f>
        <v/>
      </c>
      <c r="G2079" s="891"/>
      <c r="H2079" s="891"/>
      <c r="I2079" s="580">
        <f t="shared" si="198"/>
        <v>0</v>
      </c>
      <c r="J2079" s="961">
        <f t="shared" si="199"/>
        <v>0</v>
      </c>
      <c r="K2079" s="80"/>
      <c r="L2079" s="808"/>
      <c r="M2079" s="154" t="str">
        <f>+IFERROR(VLOOKUP(L2079,DATA!$G$4:$H$2000,2,FALSE),"")</f>
        <v/>
      </c>
      <c r="N2079" s="808"/>
      <c r="O2079" s="80" t="str">
        <f>IFERROR(VLOOKUP(N2079,DATA!$K$4:$L$51,2,FALSE),"")</f>
        <v/>
      </c>
      <c r="P2079" s="80">
        <f t="shared" si="197"/>
        <v>0</v>
      </c>
      <c r="Q2079" s="154">
        <f t="shared" si="201"/>
        <v>0</v>
      </c>
    </row>
    <row r="2080" spans="2:17">
      <c r="B2080" s="627" t="str">
        <f t="shared" si="200"/>
        <v/>
      </c>
      <c r="C2080" s="631"/>
      <c r="D2080" s="817"/>
      <c r="E2080" s="808"/>
      <c r="F2080" s="629" t="str">
        <f>IFERROR(VLOOKUP(E2080,STAT1!$C$4:$D$1000,2,FALSE),"")</f>
        <v/>
      </c>
      <c r="G2080" s="891"/>
      <c r="H2080" s="891"/>
      <c r="I2080" s="580">
        <f t="shared" si="198"/>
        <v>0</v>
      </c>
      <c r="J2080" s="961">
        <f t="shared" si="199"/>
        <v>0</v>
      </c>
      <c r="K2080" s="80"/>
      <c r="L2080" s="808"/>
      <c r="M2080" s="154" t="str">
        <f>+IFERROR(VLOOKUP(L2080,DATA!$G$4:$H$2000,2,FALSE),"")</f>
        <v/>
      </c>
      <c r="N2080" s="808"/>
      <c r="O2080" s="80" t="str">
        <f>IFERROR(VLOOKUP(N2080,DATA!$K$4:$L$51,2,FALSE),"")</f>
        <v/>
      </c>
      <c r="P2080" s="80">
        <f t="shared" si="197"/>
        <v>0</v>
      </c>
      <c r="Q2080" s="154">
        <f t="shared" si="201"/>
        <v>0</v>
      </c>
    </row>
    <row r="2081" spans="2:17">
      <c r="B2081" s="627" t="str">
        <f t="shared" si="200"/>
        <v/>
      </c>
      <c r="C2081" s="631"/>
      <c r="D2081" s="818"/>
      <c r="E2081" s="808"/>
      <c r="F2081" s="629" t="str">
        <f>IFERROR(VLOOKUP(E2081,STAT1!$C$4:$D$1000,2,FALSE),"")</f>
        <v/>
      </c>
      <c r="G2081" s="891"/>
      <c r="H2081" s="891"/>
      <c r="I2081" s="580">
        <f t="shared" si="198"/>
        <v>0</v>
      </c>
      <c r="J2081" s="961">
        <f t="shared" si="199"/>
        <v>0</v>
      </c>
      <c r="K2081" s="80"/>
      <c r="L2081" s="808"/>
      <c r="M2081" s="154" t="str">
        <f>+IFERROR(VLOOKUP(L2081,DATA!$G$4:$H$2000,2,FALSE),"")</f>
        <v/>
      </c>
      <c r="N2081" s="808"/>
      <c r="O2081" s="80" t="str">
        <f>IFERROR(VLOOKUP(N2081,DATA!$K$4:$L$51,2,FALSE),"")</f>
        <v/>
      </c>
      <c r="P2081" s="80">
        <f t="shared" si="197"/>
        <v>0</v>
      </c>
      <c r="Q2081" s="154">
        <f t="shared" si="201"/>
        <v>0</v>
      </c>
    </row>
    <row r="2082" spans="2:17">
      <c r="B2082" s="627" t="str">
        <f t="shared" si="200"/>
        <v/>
      </c>
      <c r="C2082" s="634"/>
      <c r="D2082" s="818"/>
      <c r="E2082" s="809"/>
      <c r="F2082" s="629" t="str">
        <f>IFERROR(VLOOKUP(E2082,STAT1!$C$4:$D$1000,2,FALSE),"")</f>
        <v/>
      </c>
      <c r="G2082" s="892"/>
      <c r="H2082" s="892"/>
      <c r="I2082" s="580">
        <f t="shared" si="198"/>
        <v>0</v>
      </c>
      <c r="J2082" s="961">
        <f t="shared" si="199"/>
        <v>0</v>
      </c>
      <c r="K2082" s="80"/>
      <c r="L2082" s="809"/>
      <c r="M2082" s="154" t="str">
        <f>+IFERROR(VLOOKUP(L2082,DATA!$G$4:$H$2000,2,FALSE),"")</f>
        <v/>
      </c>
      <c r="N2082" s="809"/>
      <c r="O2082" s="80" t="str">
        <f>IFERROR(VLOOKUP(N2082,DATA!$K$4:$L$51,2,FALSE),"")</f>
        <v/>
      </c>
      <c r="P2082" s="80">
        <f t="shared" si="197"/>
        <v>0</v>
      </c>
      <c r="Q2082" s="154">
        <f t="shared" si="201"/>
        <v>0</v>
      </c>
    </row>
    <row r="2083" spans="2:17">
      <c r="B2083" s="627" t="str">
        <f t="shared" si="200"/>
        <v/>
      </c>
      <c r="C2083" s="634"/>
      <c r="D2083" s="820"/>
      <c r="E2083" s="809"/>
      <c r="F2083" s="629" t="str">
        <f>IFERROR(VLOOKUP(E2083,STAT1!$C$4:$D$1000,2,FALSE),"")</f>
        <v/>
      </c>
      <c r="G2083" s="892"/>
      <c r="H2083" s="892"/>
      <c r="I2083" s="580">
        <f t="shared" si="198"/>
        <v>0</v>
      </c>
      <c r="J2083" s="961">
        <f t="shared" si="199"/>
        <v>0</v>
      </c>
      <c r="K2083" s="80"/>
      <c r="L2083" s="809"/>
      <c r="M2083" s="154" t="str">
        <f>+IFERROR(VLOOKUP(L2083,DATA!$G$4:$H$2000,2,FALSE),"")</f>
        <v/>
      </c>
      <c r="N2083" s="809"/>
      <c r="O2083" s="80" t="str">
        <f>IFERROR(VLOOKUP(N2083,DATA!$K$4:$L$51,2,FALSE),"")</f>
        <v/>
      </c>
      <c r="P2083" s="80">
        <f t="shared" si="197"/>
        <v>0</v>
      </c>
      <c r="Q2083" s="154">
        <f t="shared" si="201"/>
        <v>0</v>
      </c>
    </row>
    <row r="2084" spans="2:17">
      <c r="B2084" s="627" t="str">
        <f t="shared" si="200"/>
        <v/>
      </c>
      <c r="C2084" s="636"/>
      <c r="D2084" s="820"/>
      <c r="E2084" s="637"/>
      <c r="F2084" s="629" t="str">
        <f>IFERROR(VLOOKUP(E2084,STAT1!$C$4:$D$1000,2,FALSE),"")</f>
        <v/>
      </c>
      <c r="G2084" s="894"/>
      <c r="H2084" s="894"/>
      <c r="I2084" s="580">
        <f t="shared" si="198"/>
        <v>0</v>
      </c>
      <c r="J2084" s="961">
        <f t="shared" si="199"/>
        <v>0</v>
      </c>
      <c r="K2084" s="80"/>
      <c r="L2084" s="637"/>
      <c r="M2084" s="154" t="str">
        <f>+IFERROR(VLOOKUP(L2084,DATA!$G$4:$H$2000,2,FALSE),"")</f>
        <v/>
      </c>
      <c r="N2084" s="637"/>
      <c r="O2084" s="80" t="str">
        <f>IFERROR(VLOOKUP(N2084,DATA!$K$4:$L$51,2,FALSE),"")</f>
        <v/>
      </c>
      <c r="P2084" s="80">
        <f t="shared" si="197"/>
        <v>0</v>
      </c>
      <c r="Q2084" s="154">
        <f t="shared" si="201"/>
        <v>0</v>
      </c>
    </row>
    <row r="2085" spans="2:17">
      <c r="B2085" s="627" t="str">
        <f t="shared" si="200"/>
        <v/>
      </c>
      <c r="C2085" s="636"/>
      <c r="D2085" s="820"/>
      <c r="E2085" s="637"/>
      <c r="F2085" s="629" t="str">
        <f>IFERROR(VLOOKUP(E2085,STAT1!$C$4:$D$1000,2,FALSE),"")</f>
        <v/>
      </c>
      <c r="G2085" s="894"/>
      <c r="H2085" s="894"/>
      <c r="I2085" s="580">
        <f t="shared" si="198"/>
        <v>0</v>
      </c>
      <c r="J2085" s="961">
        <f t="shared" si="199"/>
        <v>0</v>
      </c>
      <c r="K2085" s="80"/>
      <c r="L2085" s="637"/>
      <c r="M2085" s="154" t="str">
        <f>+IFERROR(VLOOKUP(L2085,DATA!$G$4:$H$2000,2,FALSE),"")</f>
        <v/>
      </c>
      <c r="N2085" s="637"/>
      <c r="O2085" s="80" t="str">
        <f>IFERROR(VLOOKUP(N2085,DATA!$K$4:$L$51,2,FALSE),"")</f>
        <v/>
      </c>
      <c r="P2085" s="80">
        <f t="shared" si="197"/>
        <v>0</v>
      </c>
      <c r="Q2085" s="154">
        <f t="shared" si="201"/>
        <v>0</v>
      </c>
    </row>
    <row r="2086" spans="2:17">
      <c r="B2086" s="627" t="str">
        <f t="shared" si="200"/>
        <v/>
      </c>
      <c r="C2086" s="636"/>
      <c r="D2086" s="820"/>
      <c r="E2086" s="637"/>
      <c r="F2086" s="629" t="str">
        <f>IFERROR(VLOOKUP(E2086,STAT1!$C$4:$D$1000,2,FALSE),"")</f>
        <v/>
      </c>
      <c r="G2086" s="894"/>
      <c r="H2086" s="894"/>
      <c r="I2086" s="580">
        <f t="shared" si="198"/>
        <v>0</v>
      </c>
      <c r="J2086" s="961">
        <f t="shared" si="199"/>
        <v>0</v>
      </c>
      <c r="K2086" s="80"/>
      <c r="L2086" s="637"/>
      <c r="M2086" s="154" t="str">
        <f>+IFERROR(VLOOKUP(L2086,DATA!$G$4:$H$2000,2,FALSE),"")</f>
        <v/>
      </c>
      <c r="N2086" s="637"/>
      <c r="O2086" s="80" t="str">
        <f>IFERROR(VLOOKUP(N2086,DATA!$K$4:$L$51,2,FALSE),"")</f>
        <v/>
      </c>
      <c r="P2086" s="80">
        <f t="shared" si="197"/>
        <v>0</v>
      </c>
      <c r="Q2086" s="154">
        <f t="shared" si="201"/>
        <v>0</v>
      </c>
    </row>
    <row r="2087" spans="2:17">
      <c r="B2087" s="627" t="str">
        <f t="shared" si="200"/>
        <v/>
      </c>
      <c r="C2087" s="636"/>
      <c r="D2087" s="820"/>
      <c r="E2087" s="637"/>
      <c r="F2087" s="629" t="str">
        <f>IFERROR(VLOOKUP(E2087,STAT1!$C$4:$D$1000,2,FALSE),"")</f>
        <v/>
      </c>
      <c r="G2087" s="894"/>
      <c r="H2087" s="894"/>
      <c r="I2087" s="580">
        <f t="shared" si="198"/>
        <v>0</v>
      </c>
      <c r="J2087" s="961">
        <f t="shared" si="199"/>
        <v>0</v>
      </c>
      <c r="K2087" s="80"/>
      <c r="L2087" s="637"/>
      <c r="M2087" s="154" t="str">
        <f>+IFERROR(VLOOKUP(L2087,DATA!$G$4:$H$2000,2,FALSE),"")</f>
        <v/>
      </c>
      <c r="N2087" s="637"/>
      <c r="O2087" s="80" t="str">
        <f>IFERROR(VLOOKUP(N2087,DATA!$K$4:$L$51,2,FALSE),"")</f>
        <v/>
      </c>
      <c r="P2087" s="80">
        <f t="shared" si="197"/>
        <v>0</v>
      </c>
      <c r="Q2087" s="154">
        <f t="shared" si="201"/>
        <v>0</v>
      </c>
    </row>
    <row r="2088" spans="2:17">
      <c r="B2088" s="627" t="str">
        <f t="shared" si="200"/>
        <v/>
      </c>
      <c r="C2088" s="636"/>
      <c r="D2088" s="820"/>
      <c r="E2088" s="637"/>
      <c r="F2088" s="629" t="str">
        <f>IFERROR(VLOOKUP(E2088,STAT1!$C$4:$D$1000,2,FALSE),"")</f>
        <v/>
      </c>
      <c r="G2088" s="894"/>
      <c r="H2088" s="894"/>
      <c r="I2088" s="580">
        <f t="shared" si="198"/>
        <v>0</v>
      </c>
      <c r="J2088" s="961">
        <f t="shared" si="199"/>
        <v>0</v>
      </c>
      <c r="K2088" s="80"/>
      <c r="L2088" s="637"/>
      <c r="M2088" s="154" t="str">
        <f>+IFERROR(VLOOKUP(L2088,DATA!$G$4:$H$2000,2,FALSE),"")</f>
        <v/>
      </c>
      <c r="N2088" s="637"/>
      <c r="O2088" s="80" t="str">
        <f>IFERROR(VLOOKUP(N2088,DATA!$K$4:$L$51,2,FALSE),"")</f>
        <v/>
      </c>
      <c r="P2088" s="80">
        <f t="shared" si="197"/>
        <v>0</v>
      </c>
      <c r="Q2088" s="154">
        <f t="shared" si="201"/>
        <v>0</v>
      </c>
    </row>
    <row r="2089" spans="2:17">
      <c r="B2089" s="627" t="str">
        <f t="shared" si="200"/>
        <v/>
      </c>
      <c r="C2089" s="636"/>
      <c r="D2089" s="819"/>
      <c r="E2089" s="637"/>
      <c r="F2089" s="629" t="str">
        <f>IFERROR(VLOOKUP(E2089,STAT1!$C$4:$D$1000,2,FALSE),"")</f>
        <v/>
      </c>
      <c r="G2089" s="894"/>
      <c r="H2089" s="894"/>
      <c r="I2089" s="580">
        <f t="shared" si="198"/>
        <v>0</v>
      </c>
      <c r="J2089" s="961">
        <f t="shared" si="199"/>
        <v>0</v>
      </c>
      <c r="K2089" s="80"/>
      <c r="L2089" s="637"/>
      <c r="M2089" s="154" t="str">
        <f>+IFERROR(VLOOKUP(L2089,DATA!$G$4:$H$2000,2,FALSE),"")</f>
        <v/>
      </c>
      <c r="N2089" s="637"/>
      <c r="O2089" s="80" t="str">
        <f>IFERROR(VLOOKUP(N2089,DATA!$K$4:$L$51,2,FALSE),"")</f>
        <v/>
      </c>
      <c r="P2089" s="80">
        <f t="shared" si="197"/>
        <v>0</v>
      </c>
      <c r="Q2089" s="154">
        <f t="shared" si="201"/>
        <v>0</v>
      </c>
    </row>
    <row r="2090" spans="2:17">
      <c r="B2090" s="627" t="str">
        <f t="shared" si="200"/>
        <v/>
      </c>
      <c r="C2090" s="635"/>
      <c r="D2090" s="819"/>
      <c r="E2090" s="633"/>
      <c r="F2090" s="629" t="str">
        <f>IFERROR(VLOOKUP(E2090,STAT1!$C$4:$D$1000,2,FALSE),"")</f>
        <v/>
      </c>
      <c r="G2090" s="893"/>
      <c r="H2090" s="893"/>
      <c r="I2090" s="580">
        <f t="shared" si="198"/>
        <v>0</v>
      </c>
      <c r="J2090" s="961">
        <f t="shared" si="199"/>
        <v>0</v>
      </c>
      <c r="K2090" s="80"/>
      <c r="L2090" s="633"/>
      <c r="M2090" s="154" t="str">
        <f>+IFERROR(VLOOKUP(L2090,DATA!$G$4:$H$2000,2,FALSE),"")</f>
        <v/>
      </c>
      <c r="N2090" s="633"/>
      <c r="O2090" s="80" t="str">
        <f>IFERROR(VLOOKUP(N2090,DATA!$K$4:$L$51,2,FALSE),"")</f>
        <v/>
      </c>
      <c r="P2090" s="80">
        <f t="shared" si="197"/>
        <v>0</v>
      </c>
      <c r="Q2090" s="154">
        <f t="shared" si="201"/>
        <v>0</v>
      </c>
    </row>
    <row r="2091" spans="2:17">
      <c r="B2091" s="627" t="str">
        <f t="shared" si="200"/>
        <v/>
      </c>
      <c r="C2091" s="635"/>
      <c r="D2091" s="819"/>
      <c r="E2091" s="633"/>
      <c r="F2091" s="629" t="str">
        <f>IFERROR(VLOOKUP(E2091,STAT1!$C$4:$D$1000,2,FALSE),"")</f>
        <v/>
      </c>
      <c r="G2091" s="893"/>
      <c r="H2091" s="893"/>
      <c r="I2091" s="580">
        <f t="shared" si="198"/>
        <v>0</v>
      </c>
      <c r="J2091" s="961">
        <f t="shared" si="199"/>
        <v>0</v>
      </c>
      <c r="K2091" s="80"/>
      <c r="L2091" s="633"/>
      <c r="M2091" s="154" t="str">
        <f>+IFERROR(VLOOKUP(L2091,DATA!$G$4:$H$2000,2,FALSE),"")</f>
        <v/>
      </c>
      <c r="N2091" s="633"/>
      <c r="O2091" s="80" t="str">
        <f>IFERROR(VLOOKUP(N2091,DATA!$K$4:$L$51,2,FALSE),"")</f>
        <v/>
      </c>
      <c r="P2091" s="80">
        <f t="shared" si="197"/>
        <v>0</v>
      </c>
      <c r="Q2091" s="154">
        <f t="shared" si="201"/>
        <v>0</v>
      </c>
    </row>
    <row r="2092" spans="2:17">
      <c r="B2092" s="627" t="str">
        <f t="shared" si="200"/>
        <v/>
      </c>
      <c r="C2092" s="635"/>
      <c r="D2092" s="819"/>
      <c r="E2092" s="633"/>
      <c r="F2092" s="629" t="str">
        <f>IFERROR(VLOOKUP(E2092,STAT1!$C$4:$D$1000,2,FALSE),"")</f>
        <v/>
      </c>
      <c r="G2092" s="893"/>
      <c r="H2092" s="893"/>
      <c r="I2092" s="580">
        <f t="shared" si="198"/>
        <v>0</v>
      </c>
      <c r="J2092" s="961">
        <f t="shared" si="199"/>
        <v>0</v>
      </c>
      <c r="K2092" s="80"/>
      <c r="L2092" s="633"/>
      <c r="M2092" s="154" t="str">
        <f>+IFERROR(VLOOKUP(L2092,DATA!$G$4:$H$2000,2,FALSE),"")</f>
        <v/>
      </c>
      <c r="N2092" s="633"/>
      <c r="O2092" s="80" t="str">
        <f>IFERROR(VLOOKUP(N2092,DATA!$K$4:$L$51,2,FALSE),"")</f>
        <v/>
      </c>
      <c r="P2092" s="80">
        <f t="shared" si="197"/>
        <v>0</v>
      </c>
      <c r="Q2092" s="154">
        <f t="shared" si="201"/>
        <v>0</v>
      </c>
    </row>
    <row r="2093" spans="2:17">
      <c r="B2093" s="627" t="str">
        <f t="shared" si="200"/>
        <v/>
      </c>
      <c r="C2093" s="635"/>
      <c r="D2093" s="817"/>
      <c r="E2093" s="633"/>
      <c r="F2093" s="629" t="str">
        <f>IFERROR(VLOOKUP(E2093,STAT1!$C$4:$D$1000,2,FALSE),"")</f>
        <v/>
      </c>
      <c r="G2093" s="893"/>
      <c r="H2093" s="893"/>
      <c r="I2093" s="580">
        <f t="shared" si="198"/>
        <v>0</v>
      </c>
      <c r="J2093" s="961">
        <f t="shared" si="199"/>
        <v>0</v>
      </c>
      <c r="K2093" s="80"/>
      <c r="L2093" s="633"/>
      <c r="M2093" s="154" t="str">
        <f>+IFERROR(VLOOKUP(L2093,DATA!$G$4:$H$2000,2,FALSE),"")</f>
        <v/>
      </c>
      <c r="N2093" s="633"/>
      <c r="O2093" s="80" t="str">
        <f>IFERROR(VLOOKUP(N2093,DATA!$K$4:$L$51,2,FALSE),"")</f>
        <v/>
      </c>
      <c r="P2093" s="80">
        <f t="shared" si="197"/>
        <v>0</v>
      </c>
      <c r="Q2093" s="154">
        <f t="shared" si="201"/>
        <v>0</v>
      </c>
    </row>
    <row r="2094" spans="2:17">
      <c r="B2094" s="627" t="str">
        <f t="shared" si="200"/>
        <v/>
      </c>
      <c r="C2094" s="631"/>
      <c r="D2094" s="818"/>
      <c r="E2094" s="808"/>
      <c r="F2094" s="629" t="str">
        <f>IFERROR(VLOOKUP(E2094,STAT1!$C$4:$D$1000,2,FALSE),"")</f>
        <v/>
      </c>
      <c r="G2094" s="891"/>
      <c r="H2094" s="891"/>
      <c r="I2094" s="580">
        <f t="shared" si="198"/>
        <v>0</v>
      </c>
      <c r="J2094" s="961">
        <f t="shared" si="199"/>
        <v>0</v>
      </c>
      <c r="K2094" s="80"/>
      <c r="L2094" s="808"/>
      <c r="M2094" s="154" t="str">
        <f>+IFERROR(VLOOKUP(L2094,DATA!$G$4:$H$2000,2,FALSE),"")</f>
        <v/>
      </c>
      <c r="N2094" s="808"/>
      <c r="O2094" s="80" t="str">
        <f>IFERROR(VLOOKUP(N2094,DATA!$K$4:$L$51,2,FALSE),"")</f>
        <v/>
      </c>
      <c r="P2094" s="80">
        <f t="shared" si="197"/>
        <v>0</v>
      </c>
      <c r="Q2094" s="154">
        <f t="shared" si="201"/>
        <v>0</v>
      </c>
    </row>
    <row r="2095" spans="2:17">
      <c r="B2095" s="627" t="str">
        <f t="shared" si="200"/>
        <v/>
      </c>
      <c r="C2095" s="634"/>
      <c r="D2095" s="818"/>
      <c r="E2095" s="809"/>
      <c r="F2095" s="629" t="str">
        <f>IFERROR(VLOOKUP(E2095,STAT1!$C$4:$D$1000,2,FALSE),"")</f>
        <v/>
      </c>
      <c r="G2095" s="892"/>
      <c r="H2095" s="892"/>
      <c r="I2095" s="580">
        <f t="shared" si="198"/>
        <v>0</v>
      </c>
      <c r="J2095" s="961">
        <f t="shared" si="199"/>
        <v>0</v>
      </c>
      <c r="K2095" s="80"/>
      <c r="L2095" s="809"/>
      <c r="M2095" s="154" t="str">
        <f>+IFERROR(VLOOKUP(L2095,DATA!$G$4:$H$2000,2,FALSE),"")</f>
        <v/>
      </c>
      <c r="N2095" s="809"/>
      <c r="O2095" s="80" t="str">
        <f>IFERROR(VLOOKUP(N2095,DATA!$K$4:$L$51,2,FALSE),"")</f>
        <v/>
      </c>
      <c r="P2095" s="80">
        <f t="shared" si="197"/>
        <v>0</v>
      </c>
      <c r="Q2095" s="154">
        <f t="shared" si="201"/>
        <v>0</v>
      </c>
    </row>
    <row r="2096" spans="2:17">
      <c r="B2096" s="627" t="str">
        <f t="shared" si="200"/>
        <v/>
      </c>
      <c r="C2096" s="634"/>
      <c r="D2096" s="818"/>
      <c r="E2096" s="809"/>
      <c r="F2096" s="629" t="str">
        <f>IFERROR(VLOOKUP(E2096,STAT1!$C$4:$D$1000,2,FALSE),"")</f>
        <v/>
      </c>
      <c r="G2096" s="892"/>
      <c r="H2096" s="892"/>
      <c r="I2096" s="580">
        <f t="shared" si="198"/>
        <v>0</v>
      </c>
      <c r="J2096" s="961">
        <f t="shared" si="199"/>
        <v>0</v>
      </c>
      <c r="K2096" s="80"/>
      <c r="L2096" s="809"/>
      <c r="M2096" s="154" t="str">
        <f>+IFERROR(VLOOKUP(L2096,DATA!$G$4:$H$2000,2,FALSE),"")</f>
        <v/>
      </c>
      <c r="N2096" s="809"/>
      <c r="O2096" s="80" t="str">
        <f>IFERROR(VLOOKUP(N2096,DATA!$K$4:$L$51,2,FALSE),"")</f>
        <v/>
      </c>
      <c r="P2096" s="80">
        <f t="shared" si="197"/>
        <v>0</v>
      </c>
      <c r="Q2096" s="154">
        <f t="shared" si="201"/>
        <v>0</v>
      </c>
    </row>
    <row r="2097" spans="2:17">
      <c r="B2097" s="627" t="str">
        <f t="shared" si="200"/>
        <v/>
      </c>
      <c r="C2097" s="634"/>
      <c r="D2097" s="819"/>
      <c r="E2097" s="809"/>
      <c r="F2097" s="629" t="str">
        <f>IFERROR(VLOOKUP(E2097,STAT1!$C$4:$D$1000,2,FALSE),"")</f>
        <v/>
      </c>
      <c r="G2097" s="892"/>
      <c r="H2097" s="892"/>
      <c r="I2097" s="580">
        <f t="shared" si="198"/>
        <v>0</v>
      </c>
      <c r="J2097" s="961">
        <f t="shared" si="199"/>
        <v>0</v>
      </c>
      <c r="K2097" s="80"/>
      <c r="L2097" s="809"/>
      <c r="M2097" s="154" t="str">
        <f>+IFERROR(VLOOKUP(L2097,DATA!$G$4:$H$2000,2,FALSE),"")</f>
        <v/>
      </c>
      <c r="N2097" s="809"/>
      <c r="O2097" s="80" t="str">
        <f>IFERROR(VLOOKUP(N2097,DATA!$K$4:$L$51,2,FALSE),"")</f>
        <v/>
      </c>
      <c r="P2097" s="80">
        <f t="shared" si="197"/>
        <v>0</v>
      </c>
      <c r="Q2097" s="154">
        <f t="shared" si="201"/>
        <v>0</v>
      </c>
    </row>
    <row r="2098" spans="2:17">
      <c r="B2098" s="627" t="str">
        <f t="shared" si="200"/>
        <v/>
      </c>
      <c r="C2098" s="635"/>
      <c r="D2098" s="819"/>
      <c r="E2098" s="633"/>
      <c r="F2098" s="629" t="str">
        <f>IFERROR(VLOOKUP(E2098,STAT1!$C$4:$D$1000,2,FALSE),"")</f>
        <v/>
      </c>
      <c r="G2098" s="893"/>
      <c r="H2098" s="893"/>
      <c r="I2098" s="580">
        <f t="shared" si="198"/>
        <v>0</v>
      </c>
      <c r="J2098" s="961">
        <f t="shared" si="199"/>
        <v>0</v>
      </c>
      <c r="K2098" s="80"/>
      <c r="L2098" s="633"/>
      <c r="M2098" s="154" t="str">
        <f>+IFERROR(VLOOKUP(L2098,DATA!$G$4:$H$2000,2,FALSE),"")</f>
        <v/>
      </c>
      <c r="N2098" s="633"/>
      <c r="O2098" s="80" t="str">
        <f>IFERROR(VLOOKUP(N2098,DATA!$K$4:$L$51,2,FALSE),"")</f>
        <v/>
      </c>
      <c r="P2098" s="80">
        <f t="shared" si="197"/>
        <v>0</v>
      </c>
      <c r="Q2098" s="154">
        <f t="shared" si="201"/>
        <v>0</v>
      </c>
    </row>
    <row r="2099" spans="2:17">
      <c r="B2099" s="627" t="str">
        <f t="shared" si="200"/>
        <v/>
      </c>
      <c r="C2099" s="635"/>
      <c r="D2099" s="819"/>
      <c r="E2099" s="633"/>
      <c r="F2099" s="629" t="str">
        <f>IFERROR(VLOOKUP(E2099,STAT1!$C$4:$D$1000,2,FALSE),"")</f>
        <v/>
      </c>
      <c r="G2099" s="893"/>
      <c r="H2099" s="893"/>
      <c r="I2099" s="580">
        <f t="shared" si="198"/>
        <v>0</v>
      </c>
      <c r="J2099" s="961">
        <f t="shared" si="199"/>
        <v>0</v>
      </c>
      <c r="K2099" s="80"/>
      <c r="L2099" s="633"/>
      <c r="M2099" s="154" t="str">
        <f>+IFERROR(VLOOKUP(L2099,DATA!$G$4:$H$2000,2,FALSE),"")</f>
        <v/>
      </c>
      <c r="N2099" s="633"/>
      <c r="O2099" s="80" t="str">
        <f>IFERROR(VLOOKUP(N2099,DATA!$K$4:$L$51,2,FALSE),"")</f>
        <v/>
      </c>
      <c r="P2099" s="80">
        <f t="shared" si="197"/>
        <v>0</v>
      </c>
      <c r="Q2099" s="154">
        <f t="shared" si="201"/>
        <v>0</v>
      </c>
    </row>
    <row r="2100" spans="2:17">
      <c r="B2100" s="627" t="str">
        <f t="shared" si="200"/>
        <v/>
      </c>
      <c r="C2100" s="635"/>
      <c r="D2100" s="819"/>
      <c r="E2100" s="633"/>
      <c r="F2100" s="629" t="str">
        <f>IFERROR(VLOOKUP(E2100,STAT1!$C$4:$D$1000,2,FALSE),"")</f>
        <v/>
      </c>
      <c r="G2100" s="893"/>
      <c r="H2100" s="893"/>
      <c r="I2100" s="580">
        <f t="shared" si="198"/>
        <v>0</v>
      </c>
      <c r="J2100" s="961">
        <f t="shared" si="199"/>
        <v>0</v>
      </c>
      <c r="K2100" s="80"/>
      <c r="L2100" s="633"/>
      <c r="M2100" s="154" t="str">
        <f>+IFERROR(VLOOKUP(L2100,DATA!$G$4:$H$2000,2,FALSE),"")</f>
        <v/>
      </c>
      <c r="N2100" s="633"/>
      <c r="O2100" s="80" t="str">
        <f>IFERROR(VLOOKUP(N2100,DATA!$K$4:$L$51,2,FALSE),"")</f>
        <v/>
      </c>
      <c r="P2100" s="80">
        <f t="shared" si="197"/>
        <v>0</v>
      </c>
      <c r="Q2100" s="154">
        <f t="shared" si="201"/>
        <v>0</v>
      </c>
    </row>
    <row r="2101" spans="2:17">
      <c r="B2101" s="627" t="str">
        <f t="shared" si="200"/>
        <v/>
      </c>
      <c r="C2101" s="635"/>
      <c r="D2101" s="817"/>
      <c r="E2101" s="633"/>
      <c r="F2101" s="629" t="str">
        <f>IFERROR(VLOOKUP(E2101,STAT1!$C$4:$D$1000,2,FALSE),"")</f>
        <v/>
      </c>
      <c r="G2101" s="893"/>
      <c r="H2101" s="893"/>
      <c r="I2101" s="580">
        <f t="shared" si="198"/>
        <v>0</v>
      </c>
      <c r="J2101" s="961">
        <f t="shared" si="199"/>
        <v>0</v>
      </c>
      <c r="K2101" s="80"/>
      <c r="L2101" s="633"/>
      <c r="M2101" s="154" t="str">
        <f>+IFERROR(VLOOKUP(L2101,DATA!$G$4:$H$2000,2,FALSE),"")</f>
        <v/>
      </c>
      <c r="N2101" s="633"/>
      <c r="O2101" s="80" t="str">
        <f>IFERROR(VLOOKUP(N2101,DATA!$K$4:$L$51,2,FALSE),"")</f>
        <v/>
      </c>
      <c r="P2101" s="80">
        <f t="shared" si="197"/>
        <v>0</v>
      </c>
      <c r="Q2101" s="154">
        <f t="shared" si="201"/>
        <v>0</v>
      </c>
    </row>
    <row r="2102" spans="2:17">
      <c r="B2102" s="627" t="str">
        <f t="shared" si="200"/>
        <v/>
      </c>
      <c r="C2102" s="631"/>
      <c r="D2102" s="817"/>
      <c r="E2102" s="808"/>
      <c r="F2102" s="629" t="str">
        <f>IFERROR(VLOOKUP(E2102,STAT1!$C$4:$D$1000,2,FALSE),"")</f>
        <v/>
      </c>
      <c r="G2102" s="891"/>
      <c r="H2102" s="891"/>
      <c r="I2102" s="580">
        <f t="shared" si="198"/>
        <v>0</v>
      </c>
      <c r="J2102" s="961">
        <f t="shared" si="199"/>
        <v>0</v>
      </c>
      <c r="K2102" s="80"/>
      <c r="L2102" s="808"/>
      <c r="M2102" s="154" t="str">
        <f>+IFERROR(VLOOKUP(L2102,DATA!$G$4:$H$2000,2,FALSE),"")</f>
        <v/>
      </c>
      <c r="N2102" s="808"/>
      <c r="O2102" s="80" t="str">
        <f>IFERROR(VLOOKUP(N2102,DATA!$K$4:$L$51,2,FALSE),"")</f>
        <v/>
      </c>
      <c r="P2102" s="80">
        <f t="shared" si="197"/>
        <v>0</v>
      </c>
      <c r="Q2102" s="154">
        <f t="shared" si="201"/>
        <v>0</v>
      </c>
    </row>
    <row r="2103" spans="2:17">
      <c r="B2103" s="627" t="str">
        <f t="shared" si="200"/>
        <v/>
      </c>
      <c r="C2103" s="631"/>
      <c r="D2103" s="817"/>
      <c r="E2103" s="808"/>
      <c r="F2103" s="629" t="str">
        <f>IFERROR(VLOOKUP(E2103,STAT1!$C$4:$D$1000,2,FALSE),"")</f>
        <v/>
      </c>
      <c r="G2103" s="891"/>
      <c r="H2103" s="891"/>
      <c r="I2103" s="580">
        <f t="shared" si="198"/>
        <v>0</v>
      </c>
      <c r="J2103" s="961">
        <f t="shared" si="199"/>
        <v>0</v>
      </c>
      <c r="K2103" s="80"/>
      <c r="L2103" s="808"/>
      <c r="M2103" s="154" t="str">
        <f>+IFERROR(VLOOKUP(L2103,DATA!$G$4:$H$2000,2,FALSE),"")</f>
        <v/>
      </c>
      <c r="N2103" s="808"/>
      <c r="O2103" s="80" t="str">
        <f>IFERROR(VLOOKUP(N2103,DATA!$K$4:$L$51,2,FALSE),"")</f>
        <v/>
      </c>
      <c r="P2103" s="80">
        <f t="shared" si="197"/>
        <v>0</v>
      </c>
      <c r="Q2103" s="154">
        <f t="shared" si="201"/>
        <v>0</v>
      </c>
    </row>
    <row r="2104" spans="2:17">
      <c r="B2104" s="627" t="str">
        <f t="shared" si="200"/>
        <v/>
      </c>
      <c r="C2104" s="631"/>
      <c r="D2104" s="817"/>
      <c r="E2104" s="808"/>
      <c r="F2104" s="629" t="str">
        <f>IFERROR(VLOOKUP(E2104,STAT1!$C$4:$D$1000,2,FALSE),"")</f>
        <v/>
      </c>
      <c r="G2104" s="891"/>
      <c r="H2104" s="891"/>
      <c r="I2104" s="580">
        <f t="shared" si="198"/>
        <v>0</v>
      </c>
      <c r="J2104" s="961">
        <f t="shared" si="199"/>
        <v>0</v>
      </c>
      <c r="K2104" s="80"/>
      <c r="L2104" s="808"/>
      <c r="M2104" s="154" t="str">
        <f>+IFERROR(VLOOKUP(L2104,DATA!$G$4:$H$2000,2,FALSE),"")</f>
        <v/>
      </c>
      <c r="N2104" s="808"/>
      <c r="O2104" s="80" t="str">
        <f>IFERROR(VLOOKUP(N2104,DATA!$K$4:$L$51,2,FALSE),"")</f>
        <v/>
      </c>
      <c r="P2104" s="80">
        <f t="shared" si="197"/>
        <v>0</v>
      </c>
      <c r="Q2104" s="154">
        <f t="shared" si="201"/>
        <v>0</v>
      </c>
    </row>
    <row r="2105" spans="2:17">
      <c r="B2105" s="627" t="str">
        <f t="shared" si="200"/>
        <v/>
      </c>
      <c r="C2105" s="631"/>
      <c r="D2105" s="817"/>
      <c r="E2105" s="808"/>
      <c r="F2105" s="629" t="str">
        <f>IFERROR(VLOOKUP(E2105,STAT1!$C$4:$D$1000,2,FALSE),"")</f>
        <v/>
      </c>
      <c r="G2105" s="891"/>
      <c r="H2105" s="891"/>
      <c r="I2105" s="580">
        <f t="shared" si="198"/>
        <v>0</v>
      </c>
      <c r="J2105" s="961">
        <f t="shared" si="199"/>
        <v>0</v>
      </c>
      <c r="K2105" s="80"/>
      <c r="L2105" s="808"/>
      <c r="M2105" s="154" t="str">
        <f>+IFERROR(VLOOKUP(L2105,DATA!$G$4:$H$2000,2,FALSE),"")</f>
        <v/>
      </c>
      <c r="N2105" s="808"/>
      <c r="O2105" s="80" t="str">
        <f>IFERROR(VLOOKUP(N2105,DATA!$K$4:$L$51,2,FALSE),"")</f>
        <v/>
      </c>
      <c r="P2105" s="80">
        <f t="shared" si="197"/>
        <v>0</v>
      </c>
      <c r="Q2105" s="154">
        <f t="shared" si="201"/>
        <v>0</v>
      </c>
    </row>
    <row r="2106" spans="2:17">
      <c r="B2106" s="627" t="str">
        <f t="shared" si="200"/>
        <v/>
      </c>
      <c r="C2106" s="631"/>
      <c r="D2106" s="817"/>
      <c r="E2106" s="808"/>
      <c r="F2106" s="629" t="str">
        <f>IFERROR(VLOOKUP(E2106,STAT1!$C$4:$D$1000,2,FALSE),"")</f>
        <v/>
      </c>
      <c r="G2106" s="891"/>
      <c r="H2106" s="891"/>
      <c r="I2106" s="580">
        <f t="shared" si="198"/>
        <v>0</v>
      </c>
      <c r="J2106" s="961">
        <f t="shared" si="199"/>
        <v>0</v>
      </c>
      <c r="K2106" s="80"/>
      <c r="L2106" s="808"/>
      <c r="M2106" s="154" t="str">
        <f>+IFERROR(VLOOKUP(L2106,DATA!$G$4:$H$2000,2,FALSE),"")</f>
        <v/>
      </c>
      <c r="N2106" s="808"/>
      <c r="O2106" s="80" t="str">
        <f>IFERROR(VLOOKUP(N2106,DATA!$K$4:$L$51,2,FALSE),"")</f>
        <v/>
      </c>
      <c r="P2106" s="80">
        <f t="shared" si="197"/>
        <v>0</v>
      </c>
      <c r="Q2106" s="154">
        <f t="shared" si="201"/>
        <v>0</v>
      </c>
    </row>
    <row r="2107" spans="2:17">
      <c r="B2107" s="627" t="str">
        <f t="shared" si="200"/>
        <v/>
      </c>
      <c r="C2107" s="631"/>
      <c r="D2107" s="817"/>
      <c r="E2107" s="808"/>
      <c r="F2107" s="629" t="str">
        <f>IFERROR(VLOOKUP(E2107,STAT1!$C$4:$D$1000,2,FALSE),"")</f>
        <v/>
      </c>
      <c r="G2107" s="891"/>
      <c r="H2107" s="891"/>
      <c r="I2107" s="580">
        <f t="shared" si="198"/>
        <v>0</v>
      </c>
      <c r="J2107" s="961">
        <f t="shared" si="199"/>
        <v>0</v>
      </c>
      <c r="K2107" s="80"/>
      <c r="L2107" s="808"/>
      <c r="M2107" s="154" t="str">
        <f>+IFERROR(VLOOKUP(L2107,DATA!$G$4:$H$2000,2,FALSE),"")</f>
        <v/>
      </c>
      <c r="N2107" s="808"/>
      <c r="O2107" s="80" t="str">
        <f>IFERROR(VLOOKUP(N2107,DATA!$K$4:$L$51,2,FALSE),"")</f>
        <v/>
      </c>
      <c r="P2107" s="80">
        <f t="shared" si="197"/>
        <v>0</v>
      </c>
      <c r="Q2107" s="154">
        <f t="shared" si="201"/>
        <v>0</v>
      </c>
    </row>
    <row r="2108" spans="2:17">
      <c r="B2108" s="627" t="str">
        <f t="shared" si="200"/>
        <v/>
      </c>
      <c r="C2108" s="631"/>
      <c r="D2108" s="819"/>
      <c r="E2108" s="808"/>
      <c r="F2108" s="629" t="str">
        <f>IFERROR(VLOOKUP(E2108,STAT1!$C$4:$D$1000,2,FALSE),"")</f>
        <v/>
      </c>
      <c r="G2108" s="891"/>
      <c r="H2108" s="891"/>
      <c r="I2108" s="580">
        <f t="shared" si="198"/>
        <v>0</v>
      </c>
      <c r="J2108" s="961">
        <f t="shared" si="199"/>
        <v>0</v>
      </c>
      <c r="K2108" s="80"/>
      <c r="L2108" s="808"/>
      <c r="M2108" s="154" t="str">
        <f>+IFERROR(VLOOKUP(L2108,DATA!$G$4:$H$2000,2,FALSE),"")</f>
        <v/>
      </c>
      <c r="N2108" s="808"/>
      <c r="O2108" s="80" t="str">
        <f>IFERROR(VLOOKUP(N2108,DATA!$K$4:$L$51,2,FALSE),"")</f>
        <v/>
      </c>
      <c r="P2108" s="80">
        <f t="shared" ref="P2108:P2171" si="202">+IF(I2108,1,0)</f>
        <v>0</v>
      </c>
      <c r="Q2108" s="154">
        <f t="shared" si="201"/>
        <v>0</v>
      </c>
    </row>
    <row r="2109" spans="2:17">
      <c r="B2109" s="627" t="str">
        <f t="shared" si="200"/>
        <v/>
      </c>
      <c r="C2109" s="635"/>
      <c r="D2109" s="819"/>
      <c r="E2109" s="633"/>
      <c r="F2109" s="629" t="str">
        <f>IFERROR(VLOOKUP(E2109,STAT1!$C$4:$D$1000,2,FALSE),"")</f>
        <v/>
      </c>
      <c r="G2109" s="893"/>
      <c r="H2109" s="893"/>
      <c r="I2109" s="580">
        <f t="shared" si="198"/>
        <v>0</v>
      </c>
      <c r="J2109" s="961">
        <f t="shared" si="199"/>
        <v>0</v>
      </c>
      <c r="K2109" s="80"/>
      <c r="L2109" s="633"/>
      <c r="M2109" s="154" t="str">
        <f>+IFERROR(VLOOKUP(L2109,DATA!$G$4:$H$2000,2,FALSE),"")</f>
        <v/>
      </c>
      <c r="N2109" s="633"/>
      <c r="O2109" s="80" t="str">
        <f>IFERROR(VLOOKUP(N2109,DATA!$K$4:$L$51,2,FALSE),"")</f>
        <v/>
      </c>
      <c r="P2109" s="80">
        <f t="shared" si="202"/>
        <v>0</v>
      </c>
      <c r="Q2109" s="154">
        <f t="shared" si="201"/>
        <v>0</v>
      </c>
    </row>
    <row r="2110" spans="2:17">
      <c r="B2110" s="627" t="str">
        <f t="shared" si="200"/>
        <v/>
      </c>
      <c r="C2110" s="635"/>
      <c r="D2110" s="819"/>
      <c r="E2110" s="633"/>
      <c r="F2110" s="629" t="str">
        <f>IFERROR(VLOOKUP(E2110,STAT1!$C$4:$D$1000,2,FALSE),"")</f>
        <v/>
      </c>
      <c r="G2110" s="893"/>
      <c r="H2110" s="893"/>
      <c r="I2110" s="580">
        <f t="shared" ref="I2110:I2173" si="203">+IF(OR(E2110=100100,E2110=100200,E2110=110100,E2110=110102,E2110=110103,E2110=110104,E2110=110105,E2110=110200,E2110=110201,E2110=110202,E2110=110203,E2110=110204,E2110=110300),G2110,0)+IF(OR(E2110=100100,E2110=100200,E2110=110100,E2110=110102,E2110=110103,E2110=110104,E2110=110105,E2110=110200,E2110=110201,E2110=110202,E2110=110203,E2110=110204,E2110=110300),H2110*-1,0)</f>
        <v>0</v>
      </c>
      <c r="J2110" s="961">
        <f t="shared" ref="J2110:J2173" si="204">+IF(E2110=110200,I2110/K2110,0)</f>
        <v>0</v>
      </c>
      <c r="K2110" s="80"/>
      <c r="L2110" s="633"/>
      <c r="M2110" s="154" t="str">
        <f>+IFERROR(VLOOKUP(L2110,DATA!$G$4:$H$2000,2,FALSE),"")</f>
        <v/>
      </c>
      <c r="N2110" s="633"/>
      <c r="O2110" s="80" t="str">
        <f>IFERROR(VLOOKUP(N2110,DATA!$K$4:$L$51,2,FALSE),"")</f>
        <v/>
      </c>
      <c r="P2110" s="80">
        <f t="shared" si="202"/>
        <v>0</v>
      </c>
      <c r="Q2110" s="154">
        <f t="shared" si="201"/>
        <v>0</v>
      </c>
    </row>
    <row r="2111" spans="2:17">
      <c r="B2111" s="627" t="str">
        <f t="shared" si="200"/>
        <v/>
      </c>
      <c r="C2111" s="635"/>
      <c r="D2111" s="819"/>
      <c r="E2111" s="633"/>
      <c r="F2111" s="629" t="str">
        <f>IFERROR(VLOOKUP(E2111,STAT1!$C$4:$D$1000,2,FALSE),"")</f>
        <v/>
      </c>
      <c r="G2111" s="893"/>
      <c r="H2111" s="893"/>
      <c r="I2111" s="580">
        <f t="shared" si="203"/>
        <v>0</v>
      </c>
      <c r="J2111" s="961">
        <f t="shared" si="204"/>
        <v>0</v>
      </c>
      <c r="K2111" s="80"/>
      <c r="L2111" s="633"/>
      <c r="M2111" s="154" t="str">
        <f>+IFERROR(VLOOKUP(L2111,DATA!$G$4:$H$2000,2,FALSE),"")</f>
        <v/>
      </c>
      <c r="N2111" s="633"/>
      <c r="O2111" s="80" t="str">
        <f>IFERROR(VLOOKUP(N2111,DATA!$K$4:$L$51,2,FALSE),"")</f>
        <v/>
      </c>
      <c r="P2111" s="80">
        <f t="shared" si="202"/>
        <v>0</v>
      </c>
      <c r="Q2111" s="154">
        <f t="shared" si="201"/>
        <v>0</v>
      </c>
    </row>
    <row r="2112" spans="2:17">
      <c r="B2112" s="627" t="str">
        <f t="shared" si="200"/>
        <v/>
      </c>
      <c r="C2112" s="635"/>
      <c r="D2112" s="820"/>
      <c r="E2112" s="633"/>
      <c r="F2112" s="629" t="str">
        <f>IFERROR(VLOOKUP(E2112,STAT1!$C$4:$D$1000,2,FALSE),"")</f>
        <v/>
      </c>
      <c r="G2112" s="893"/>
      <c r="H2112" s="893"/>
      <c r="I2112" s="580">
        <f t="shared" si="203"/>
        <v>0</v>
      </c>
      <c r="J2112" s="961">
        <f t="shared" si="204"/>
        <v>0</v>
      </c>
      <c r="K2112" s="80"/>
      <c r="L2112" s="633"/>
      <c r="M2112" s="154" t="str">
        <f>+IFERROR(VLOOKUP(L2112,DATA!$G$4:$H$2000,2,FALSE),"")</f>
        <v/>
      </c>
      <c r="N2112" s="633"/>
      <c r="O2112" s="80" t="str">
        <f>IFERROR(VLOOKUP(N2112,DATA!$K$4:$L$51,2,FALSE),"")</f>
        <v/>
      </c>
      <c r="P2112" s="80">
        <f t="shared" si="202"/>
        <v>0</v>
      </c>
      <c r="Q2112" s="154">
        <f t="shared" si="201"/>
        <v>0</v>
      </c>
    </row>
    <row r="2113" spans="2:17">
      <c r="B2113" s="627" t="str">
        <f t="shared" si="200"/>
        <v/>
      </c>
      <c r="C2113" s="636"/>
      <c r="D2113" s="820"/>
      <c r="E2113" s="637"/>
      <c r="F2113" s="629" t="str">
        <f>IFERROR(VLOOKUP(E2113,STAT1!$C$4:$D$1000,2,FALSE),"")</f>
        <v/>
      </c>
      <c r="G2113" s="894"/>
      <c r="H2113" s="894"/>
      <c r="I2113" s="580">
        <f t="shared" si="203"/>
        <v>0</v>
      </c>
      <c r="J2113" s="961">
        <f t="shared" si="204"/>
        <v>0</v>
      </c>
      <c r="K2113" s="80"/>
      <c r="L2113" s="637"/>
      <c r="M2113" s="154" t="str">
        <f>+IFERROR(VLOOKUP(L2113,DATA!$G$4:$H$2000,2,FALSE),"")</f>
        <v/>
      </c>
      <c r="N2113" s="637"/>
      <c r="O2113" s="80" t="str">
        <f>IFERROR(VLOOKUP(N2113,DATA!$K$4:$L$51,2,FALSE),"")</f>
        <v/>
      </c>
      <c r="P2113" s="80">
        <f t="shared" si="202"/>
        <v>0</v>
      </c>
      <c r="Q2113" s="154">
        <f t="shared" si="201"/>
        <v>0</v>
      </c>
    </row>
    <row r="2114" spans="2:17">
      <c r="B2114" s="627" t="str">
        <f t="shared" si="200"/>
        <v/>
      </c>
      <c r="C2114" s="636"/>
      <c r="D2114" s="819"/>
      <c r="E2114" s="637"/>
      <c r="F2114" s="629" t="str">
        <f>IFERROR(VLOOKUP(E2114,STAT1!$C$4:$D$1000,2,FALSE),"")</f>
        <v/>
      </c>
      <c r="G2114" s="894"/>
      <c r="H2114" s="894"/>
      <c r="I2114" s="580">
        <f t="shared" si="203"/>
        <v>0</v>
      </c>
      <c r="J2114" s="961">
        <f t="shared" si="204"/>
        <v>0</v>
      </c>
      <c r="K2114" s="80"/>
      <c r="L2114" s="637"/>
      <c r="M2114" s="154" t="str">
        <f>+IFERROR(VLOOKUP(L2114,DATA!$G$4:$H$2000,2,FALSE),"")</f>
        <v/>
      </c>
      <c r="N2114" s="637"/>
      <c r="O2114" s="80" t="str">
        <f>IFERROR(VLOOKUP(N2114,DATA!$K$4:$L$51,2,FALSE),"")</f>
        <v/>
      </c>
      <c r="P2114" s="80">
        <f t="shared" si="202"/>
        <v>0</v>
      </c>
      <c r="Q2114" s="154">
        <f t="shared" si="201"/>
        <v>0</v>
      </c>
    </row>
    <row r="2115" spans="2:17">
      <c r="B2115" s="627" t="str">
        <f t="shared" si="200"/>
        <v/>
      </c>
      <c r="C2115" s="635"/>
      <c r="D2115" s="819"/>
      <c r="E2115" s="633"/>
      <c r="F2115" s="629" t="str">
        <f>IFERROR(VLOOKUP(E2115,STAT1!$C$4:$D$1000,2,FALSE),"")</f>
        <v/>
      </c>
      <c r="G2115" s="893"/>
      <c r="H2115" s="893"/>
      <c r="I2115" s="580">
        <f t="shared" si="203"/>
        <v>0</v>
      </c>
      <c r="J2115" s="961">
        <f t="shared" si="204"/>
        <v>0</v>
      </c>
      <c r="K2115" s="80"/>
      <c r="L2115" s="633"/>
      <c r="M2115" s="154" t="str">
        <f>+IFERROR(VLOOKUP(L2115,DATA!$G$4:$H$2000,2,FALSE),"")</f>
        <v/>
      </c>
      <c r="N2115" s="633"/>
      <c r="O2115" s="80" t="str">
        <f>IFERROR(VLOOKUP(N2115,DATA!$K$4:$L$51,2,FALSE),"")</f>
        <v/>
      </c>
      <c r="P2115" s="80">
        <f t="shared" si="202"/>
        <v>0</v>
      </c>
      <c r="Q2115" s="154">
        <f t="shared" si="201"/>
        <v>0</v>
      </c>
    </row>
    <row r="2116" spans="2:17">
      <c r="B2116" s="627" t="str">
        <f t="shared" si="200"/>
        <v/>
      </c>
      <c r="C2116" s="635"/>
      <c r="D2116" s="819"/>
      <c r="E2116" s="633"/>
      <c r="F2116" s="629" t="str">
        <f>IFERROR(VLOOKUP(E2116,STAT1!$C$4:$D$1000,2,FALSE),"")</f>
        <v/>
      </c>
      <c r="G2116" s="893"/>
      <c r="H2116" s="893"/>
      <c r="I2116" s="580">
        <f t="shared" si="203"/>
        <v>0</v>
      </c>
      <c r="J2116" s="961">
        <f t="shared" si="204"/>
        <v>0</v>
      </c>
      <c r="K2116" s="80"/>
      <c r="L2116" s="633"/>
      <c r="M2116" s="154" t="str">
        <f>+IFERROR(VLOOKUP(L2116,DATA!$G$4:$H$2000,2,FALSE),"")</f>
        <v/>
      </c>
      <c r="N2116" s="633"/>
      <c r="O2116" s="80" t="str">
        <f>IFERROR(VLOOKUP(N2116,DATA!$K$4:$L$51,2,FALSE),"")</f>
        <v/>
      </c>
      <c r="P2116" s="80">
        <f t="shared" si="202"/>
        <v>0</v>
      </c>
      <c r="Q2116" s="154">
        <f t="shared" si="201"/>
        <v>0</v>
      </c>
    </row>
    <row r="2117" spans="2:17">
      <c r="B2117" s="627" t="str">
        <f t="shared" si="200"/>
        <v/>
      </c>
      <c r="C2117" s="635"/>
      <c r="D2117" s="817"/>
      <c r="E2117" s="633"/>
      <c r="F2117" s="629" t="str">
        <f>IFERROR(VLOOKUP(E2117,STAT1!$C$4:$D$1000,2,FALSE),"")</f>
        <v/>
      </c>
      <c r="G2117" s="893"/>
      <c r="H2117" s="893"/>
      <c r="I2117" s="580">
        <f t="shared" si="203"/>
        <v>0</v>
      </c>
      <c r="J2117" s="961">
        <f t="shared" si="204"/>
        <v>0</v>
      </c>
      <c r="K2117" s="80"/>
      <c r="L2117" s="633"/>
      <c r="M2117" s="154" t="str">
        <f>+IFERROR(VLOOKUP(L2117,DATA!$G$4:$H$2000,2,FALSE),"")</f>
        <v/>
      </c>
      <c r="N2117" s="633"/>
      <c r="O2117" s="80" t="str">
        <f>IFERROR(VLOOKUP(N2117,DATA!$K$4:$L$51,2,FALSE),"")</f>
        <v/>
      </c>
      <c r="P2117" s="80">
        <f t="shared" si="202"/>
        <v>0</v>
      </c>
      <c r="Q2117" s="154">
        <f t="shared" si="201"/>
        <v>0</v>
      </c>
    </row>
    <row r="2118" spans="2:17">
      <c r="B2118" s="627" t="str">
        <f t="shared" si="200"/>
        <v/>
      </c>
      <c r="C2118" s="631"/>
      <c r="D2118" s="817"/>
      <c r="E2118" s="808"/>
      <c r="F2118" s="629" t="str">
        <f>IFERROR(VLOOKUP(E2118,STAT1!$C$4:$D$1000,2,FALSE),"")</f>
        <v/>
      </c>
      <c r="G2118" s="891"/>
      <c r="H2118" s="891"/>
      <c r="I2118" s="580">
        <f t="shared" si="203"/>
        <v>0</v>
      </c>
      <c r="J2118" s="961">
        <f t="shared" si="204"/>
        <v>0</v>
      </c>
      <c r="K2118" s="80"/>
      <c r="L2118" s="808"/>
      <c r="M2118" s="154" t="str">
        <f>+IFERROR(VLOOKUP(L2118,DATA!$G$4:$H$2000,2,FALSE),"")</f>
        <v/>
      </c>
      <c r="N2118" s="808"/>
      <c r="O2118" s="80" t="str">
        <f>IFERROR(VLOOKUP(N2118,DATA!$K$4:$L$51,2,FALSE),"")</f>
        <v/>
      </c>
      <c r="P2118" s="80">
        <f t="shared" si="202"/>
        <v>0</v>
      </c>
      <c r="Q2118" s="154">
        <f t="shared" si="201"/>
        <v>0</v>
      </c>
    </row>
    <row r="2119" spans="2:17">
      <c r="B2119" s="627" t="str">
        <f t="shared" si="200"/>
        <v/>
      </c>
      <c r="C2119" s="631"/>
      <c r="D2119" s="817"/>
      <c r="E2119" s="808"/>
      <c r="F2119" s="629" t="str">
        <f>IFERROR(VLOOKUP(E2119,STAT1!$C$4:$D$1000,2,FALSE),"")</f>
        <v/>
      </c>
      <c r="G2119" s="891"/>
      <c r="H2119" s="891"/>
      <c r="I2119" s="580">
        <f t="shared" si="203"/>
        <v>0</v>
      </c>
      <c r="J2119" s="961">
        <f t="shared" si="204"/>
        <v>0</v>
      </c>
      <c r="K2119" s="80"/>
      <c r="L2119" s="808"/>
      <c r="M2119" s="154" t="str">
        <f>+IFERROR(VLOOKUP(L2119,DATA!$G$4:$H$2000,2,FALSE),"")</f>
        <v/>
      </c>
      <c r="N2119" s="808"/>
      <c r="O2119" s="80" t="str">
        <f>IFERROR(VLOOKUP(N2119,DATA!$K$4:$L$51,2,FALSE),"")</f>
        <v/>
      </c>
      <c r="P2119" s="80">
        <f t="shared" si="202"/>
        <v>0</v>
      </c>
      <c r="Q2119" s="154">
        <f t="shared" si="201"/>
        <v>0</v>
      </c>
    </row>
    <row r="2120" spans="2:17">
      <c r="B2120" s="627" t="str">
        <f t="shared" si="200"/>
        <v/>
      </c>
      <c r="C2120" s="631"/>
      <c r="D2120" s="817"/>
      <c r="E2120" s="808"/>
      <c r="F2120" s="629" t="str">
        <f>IFERROR(VLOOKUP(E2120,STAT1!$C$4:$D$1000,2,FALSE),"")</f>
        <v/>
      </c>
      <c r="G2120" s="891"/>
      <c r="H2120" s="891"/>
      <c r="I2120" s="580">
        <f t="shared" si="203"/>
        <v>0</v>
      </c>
      <c r="J2120" s="961">
        <f t="shared" si="204"/>
        <v>0</v>
      </c>
      <c r="K2120" s="80"/>
      <c r="L2120" s="808"/>
      <c r="M2120" s="154" t="str">
        <f>+IFERROR(VLOOKUP(L2120,DATA!$G$4:$H$2000,2,FALSE),"")</f>
        <v/>
      </c>
      <c r="N2120" s="808"/>
      <c r="O2120" s="80" t="str">
        <f>IFERROR(VLOOKUP(N2120,DATA!$K$4:$L$51,2,FALSE),"")</f>
        <v/>
      </c>
      <c r="P2120" s="80">
        <f t="shared" si="202"/>
        <v>0</v>
      </c>
      <c r="Q2120" s="154">
        <f t="shared" si="201"/>
        <v>0</v>
      </c>
    </row>
    <row r="2121" spans="2:17">
      <c r="B2121" s="627" t="str">
        <f t="shared" si="200"/>
        <v/>
      </c>
      <c r="C2121" s="631"/>
      <c r="D2121" s="817"/>
      <c r="E2121" s="808"/>
      <c r="F2121" s="629" t="str">
        <f>IFERROR(VLOOKUP(E2121,STAT1!$C$4:$D$1000,2,FALSE),"")</f>
        <v/>
      </c>
      <c r="G2121" s="891"/>
      <c r="H2121" s="891"/>
      <c r="I2121" s="580">
        <f t="shared" si="203"/>
        <v>0</v>
      </c>
      <c r="J2121" s="961">
        <f t="shared" si="204"/>
        <v>0</v>
      </c>
      <c r="K2121" s="80"/>
      <c r="L2121" s="808"/>
      <c r="M2121" s="154" t="str">
        <f>+IFERROR(VLOOKUP(L2121,DATA!$G$4:$H$2000,2,FALSE),"")</f>
        <v/>
      </c>
      <c r="N2121" s="808"/>
      <c r="O2121" s="80" t="str">
        <f>IFERROR(VLOOKUP(N2121,DATA!$K$4:$L$51,2,FALSE),"")</f>
        <v/>
      </c>
      <c r="P2121" s="80">
        <f t="shared" si="202"/>
        <v>0</v>
      </c>
      <c r="Q2121" s="154">
        <f t="shared" si="201"/>
        <v>0</v>
      </c>
    </row>
    <row r="2122" spans="2:17">
      <c r="B2122" s="627" t="str">
        <f t="shared" si="200"/>
        <v/>
      </c>
      <c r="C2122" s="631"/>
      <c r="D2122" s="817"/>
      <c r="E2122" s="808"/>
      <c r="F2122" s="629" t="str">
        <f>IFERROR(VLOOKUP(E2122,STAT1!$C$4:$D$1000,2,FALSE),"")</f>
        <v/>
      </c>
      <c r="G2122" s="891"/>
      <c r="H2122" s="891"/>
      <c r="I2122" s="580">
        <f t="shared" si="203"/>
        <v>0</v>
      </c>
      <c r="J2122" s="961">
        <f t="shared" si="204"/>
        <v>0</v>
      </c>
      <c r="K2122" s="80"/>
      <c r="L2122" s="808"/>
      <c r="M2122" s="154" t="str">
        <f>+IFERROR(VLOOKUP(L2122,DATA!$G$4:$H$2000,2,FALSE),"")</f>
        <v/>
      </c>
      <c r="N2122" s="808"/>
      <c r="O2122" s="80" t="str">
        <f>IFERROR(VLOOKUP(N2122,DATA!$K$4:$L$51,2,FALSE),"")</f>
        <v/>
      </c>
      <c r="P2122" s="80">
        <f t="shared" si="202"/>
        <v>0</v>
      </c>
      <c r="Q2122" s="154">
        <f t="shared" si="201"/>
        <v>0</v>
      </c>
    </row>
    <row r="2123" spans="2:17">
      <c r="B2123" s="627" t="str">
        <f t="shared" si="200"/>
        <v/>
      </c>
      <c r="C2123" s="631"/>
      <c r="D2123" s="817"/>
      <c r="E2123" s="808"/>
      <c r="F2123" s="629" t="str">
        <f>IFERROR(VLOOKUP(E2123,STAT1!$C$4:$D$1000,2,FALSE),"")</f>
        <v/>
      </c>
      <c r="G2123" s="891"/>
      <c r="H2123" s="891"/>
      <c r="I2123" s="580">
        <f t="shared" si="203"/>
        <v>0</v>
      </c>
      <c r="J2123" s="961">
        <f t="shared" si="204"/>
        <v>0</v>
      </c>
      <c r="K2123" s="80"/>
      <c r="L2123" s="808"/>
      <c r="M2123" s="154" t="str">
        <f>+IFERROR(VLOOKUP(L2123,DATA!$G$4:$H$2000,2,FALSE),"")</f>
        <v/>
      </c>
      <c r="N2123" s="808"/>
      <c r="O2123" s="80" t="str">
        <f>IFERROR(VLOOKUP(N2123,DATA!$K$4:$L$51,2,FALSE),"")</f>
        <v/>
      </c>
      <c r="P2123" s="80">
        <f t="shared" si="202"/>
        <v>0</v>
      </c>
      <c r="Q2123" s="154">
        <f t="shared" si="201"/>
        <v>0</v>
      </c>
    </row>
    <row r="2124" spans="2:17">
      <c r="B2124" s="627" t="str">
        <f t="shared" si="200"/>
        <v/>
      </c>
      <c r="C2124" s="631"/>
      <c r="D2124" s="819"/>
      <c r="E2124" s="808"/>
      <c r="F2124" s="629" t="str">
        <f>IFERROR(VLOOKUP(E2124,STAT1!$C$4:$D$1000,2,FALSE),"")</f>
        <v/>
      </c>
      <c r="G2124" s="891"/>
      <c r="H2124" s="891"/>
      <c r="I2124" s="580">
        <f t="shared" si="203"/>
        <v>0</v>
      </c>
      <c r="J2124" s="961">
        <f t="shared" si="204"/>
        <v>0</v>
      </c>
      <c r="K2124" s="80"/>
      <c r="L2124" s="808"/>
      <c r="M2124" s="154" t="str">
        <f>+IFERROR(VLOOKUP(L2124,DATA!$G$4:$H$2000,2,FALSE),"")</f>
        <v/>
      </c>
      <c r="N2124" s="808"/>
      <c r="O2124" s="80" t="str">
        <f>IFERROR(VLOOKUP(N2124,DATA!$K$4:$L$51,2,FALSE),"")</f>
        <v/>
      </c>
      <c r="P2124" s="80">
        <f t="shared" si="202"/>
        <v>0</v>
      </c>
      <c r="Q2124" s="154">
        <f t="shared" si="201"/>
        <v>0</v>
      </c>
    </row>
    <row r="2125" spans="2:17">
      <c r="B2125" s="627" t="str">
        <f t="shared" si="200"/>
        <v/>
      </c>
      <c r="C2125" s="635"/>
      <c r="D2125" s="819"/>
      <c r="E2125" s="633"/>
      <c r="F2125" s="629" t="str">
        <f>IFERROR(VLOOKUP(E2125,STAT1!$C$4:$D$1000,2,FALSE),"")</f>
        <v/>
      </c>
      <c r="G2125" s="893"/>
      <c r="H2125" s="893"/>
      <c r="I2125" s="580">
        <f t="shared" si="203"/>
        <v>0</v>
      </c>
      <c r="J2125" s="961">
        <f t="shared" si="204"/>
        <v>0</v>
      </c>
      <c r="K2125" s="80"/>
      <c r="L2125" s="633"/>
      <c r="M2125" s="154" t="str">
        <f>+IFERROR(VLOOKUP(L2125,DATA!$G$4:$H$2000,2,FALSE),"")</f>
        <v/>
      </c>
      <c r="N2125" s="633"/>
      <c r="O2125" s="80" t="str">
        <f>IFERROR(VLOOKUP(N2125,DATA!$K$4:$L$51,2,FALSE),"")</f>
        <v/>
      </c>
      <c r="P2125" s="80">
        <f t="shared" si="202"/>
        <v>0</v>
      </c>
      <c r="Q2125" s="154">
        <f t="shared" si="201"/>
        <v>0</v>
      </c>
    </row>
    <row r="2126" spans="2:17">
      <c r="B2126" s="627" t="str">
        <f t="shared" si="200"/>
        <v/>
      </c>
      <c r="C2126" s="635"/>
      <c r="D2126" s="819"/>
      <c r="E2126" s="633"/>
      <c r="F2126" s="629" t="str">
        <f>IFERROR(VLOOKUP(E2126,STAT1!$C$4:$D$1000,2,FALSE),"")</f>
        <v/>
      </c>
      <c r="G2126" s="893"/>
      <c r="H2126" s="893"/>
      <c r="I2126" s="580">
        <f t="shared" si="203"/>
        <v>0</v>
      </c>
      <c r="J2126" s="961">
        <f t="shared" si="204"/>
        <v>0</v>
      </c>
      <c r="K2126" s="80"/>
      <c r="L2126" s="633"/>
      <c r="M2126" s="154" t="str">
        <f>+IFERROR(VLOOKUP(L2126,DATA!$G$4:$H$2000,2,FALSE),"")</f>
        <v/>
      </c>
      <c r="N2126" s="633"/>
      <c r="O2126" s="80" t="str">
        <f>IFERROR(VLOOKUP(N2126,DATA!$K$4:$L$51,2,FALSE),"")</f>
        <v/>
      </c>
      <c r="P2126" s="80">
        <f t="shared" si="202"/>
        <v>0</v>
      </c>
      <c r="Q2126" s="154">
        <f t="shared" si="201"/>
        <v>0</v>
      </c>
    </row>
    <row r="2127" spans="2:17">
      <c r="B2127" s="627" t="str">
        <f t="shared" si="200"/>
        <v/>
      </c>
      <c r="C2127" s="635"/>
      <c r="D2127" s="819"/>
      <c r="E2127" s="633"/>
      <c r="F2127" s="629" t="str">
        <f>IFERROR(VLOOKUP(E2127,STAT1!$C$4:$D$1000,2,FALSE),"")</f>
        <v/>
      </c>
      <c r="G2127" s="893"/>
      <c r="H2127" s="893"/>
      <c r="I2127" s="580">
        <f t="shared" si="203"/>
        <v>0</v>
      </c>
      <c r="J2127" s="961">
        <f t="shared" si="204"/>
        <v>0</v>
      </c>
      <c r="K2127" s="80"/>
      <c r="L2127" s="633"/>
      <c r="M2127" s="154" t="str">
        <f>+IFERROR(VLOOKUP(L2127,DATA!$G$4:$H$2000,2,FALSE),"")</f>
        <v/>
      </c>
      <c r="N2127" s="633"/>
      <c r="O2127" s="80" t="str">
        <f>IFERROR(VLOOKUP(N2127,DATA!$K$4:$L$51,2,FALSE),"")</f>
        <v/>
      </c>
      <c r="P2127" s="80">
        <f t="shared" si="202"/>
        <v>0</v>
      </c>
      <c r="Q2127" s="154">
        <f t="shared" si="201"/>
        <v>0</v>
      </c>
    </row>
    <row r="2128" spans="2:17">
      <c r="B2128" s="627" t="str">
        <f t="shared" si="200"/>
        <v/>
      </c>
      <c r="C2128" s="635"/>
      <c r="D2128" s="820"/>
      <c r="E2128" s="633"/>
      <c r="F2128" s="629" t="str">
        <f>IFERROR(VLOOKUP(E2128,STAT1!$C$4:$D$1000,2,FALSE),"")</f>
        <v/>
      </c>
      <c r="G2128" s="893"/>
      <c r="H2128" s="893"/>
      <c r="I2128" s="580">
        <f t="shared" si="203"/>
        <v>0</v>
      </c>
      <c r="J2128" s="961">
        <f t="shared" si="204"/>
        <v>0</v>
      </c>
      <c r="K2128" s="80"/>
      <c r="L2128" s="633"/>
      <c r="M2128" s="154" t="str">
        <f>+IFERROR(VLOOKUP(L2128,DATA!$G$4:$H$2000,2,FALSE),"")</f>
        <v/>
      </c>
      <c r="N2128" s="633"/>
      <c r="O2128" s="80" t="str">
        <f>IFERROR(VLOOKUP(N2128,DATA!$K$4:$L$51,2,FALSE),"")</f>
        <v/>
      </c>
      <c r="P2128" s="80">
        <f t="shared" si="202"/>
        <v>0</v>
      </c>
      <c r="Q2128" s="154">
        <f t="shared" si="201"/>
        <v>0</v>
      </c>
    </row>
    <row r="2129" spans="2:17">
      <c r="B2129" s="627" t="str">
        <f t="shared" ref="B2129:B2192" si="205">+IF(C2129="","",ROW()-5)</f>
        <v/>
      </c>
      <c r="C2129" s="636"/>
      <c r="D2129" s="817"/>
      <c r="E2129" s="637"/>
      <c r="F2129" s="629" t="str">
        <f>IFERROR(VLOOKUP(E2129,STAT1!$C$4:$D$1000,2,FALSE),"")</f>
        <v/>
      </c>
      <c r="G2129" s="894"/>
      <c r="H2129" s="894"/>
      <c r="I2129" s="580">
        <f t="shared" si="203"/>
        <v>0</v>
      </c>
      <c r="J2129" s="961">
        <f t="shared" si="204"/>
        <v>0</v>
      </c>
      <c r="K2129" s="80"/>
      <c r="L2129" s="637"/>
      <c r="M2129" s="154" t="str">
        <f>+IFERROR(VLOOKUP(L2129,DATA!$G$4:$H$2000,2,FALSE),"")</f>
        <v/>
      </c>
      <c r="N2129" s="637"/>
      <c r="O2129" s="80" t="str">
        <f>IFERROR(VLOOKUP(N2129,DATA!$K$4:$L$51,2,FALSE),"")</f>
        <v/>
      </c>
      <c r="P2129" s="80">
        <f t="shared" si="202"/>
        <v>0</v>
      </c>
      <c r="Q2129" s="154">
        <f t="shared" si="201"/>
        <v>0</v>
      </c>
    </row>
    <row r="2130" spans="2:17">
      <c r="B2130" s="627" t="str">
        <f t="shared" si="205"/>
        <v/>
      </c>
      <c r="C2130" s="631"/>
      <c r="D2130" s="817"/>
      <c r="E2130" s="808"/>
      <c r="F2130" s="629" t="str">
        <f>IFERROR(VLOOKUP(E2130,STAT1!$C$4:$D$1000,2,FALSE),"")</f>
        <v/>
      </c>
      <c r="G2130" s="891"/>
      <c r="H2130" s="891"/>
      <c r="I2130" s="580">
        <f t="shared" si="203"/>
        <v>0</v>
      </c>
      <c r="J2130" s="961">
        <f t="shared" si="204"/>
        <v>0</v>
      </c>
      <c r="K2130" s="80"/>
      <c r="L2130" s="808"/>
      <c r="M2130" s="154" t="str">
        <f>+IFERROR(VLOOKUP(L2130,DATA!$G$4:$H$2000,2,FALSE),"")</f>
        <v/>
      </c>
      <c r="N2130" s="808"/>
      <c r="O2130" s="80" t="str">
        <f>IFERROR(VLOOKUP(N2130,DATA!$K$4:$L$51,2,FALSE),"")</f>
        <v/>
      </c>
      <c r="P2130" s="80">
        <f t="shared" si="202"/>
        <v>0</v>
      </c>
      <c r="Q2130" s="154">
        <f t="shared" si="201"/>
        <v>0</v>
      </c>
    </row>
    <row r="2131" spans="2:17">
      <c r="B2131" s="627" t="str">
        <f t="shared" si="205"/>
        <v/>
      </c>
      <c r="C2131" s="631"/>
      <c r="D2131" s="819"/>
      <c r="E2131" s="808"/>
      <c r="F2131" s="629" t="str">
        <f>IFERROR(VLOOKUP(E2131,STAT1!$C$4:$D$1000,2,FALSE),"")</f>
        <v/>
      </c>
      <c r="G2131" s="891"/>
      <c r="H2131" s="891"/>
      <c r="I2131" s="580">
        <f t="shared" si="203"/>
        <v>0</v>
      </c>
      <c r="J2131" s="961">
        <f t="shared" si="204"/>
        <v>0</v>
      </c>
      <c r="K2131" s="80"/>
      <c r="L2131" s="808"/>
      <c r="M2131" s="154" t="str">
        <f>+IFERROR(VLOOKUP(L2131,DATA!$G$4:$H$2000,2,FALSE),"")</f>
        <v/>
      </c>
      <c r="N2131" s="808"/>
      <c r="O2131" s="80" t="str">
        <f>IFERROR(VLOOKUP(N2131,DATA!$K$4:$L$51,2,FALSE),"")</f>
        <v/>
      </c>
      <c r="P2131" s="80">
        <f t="shared" si="202"/>
        <v>0</v>
      </c>
      <c r="Q2131" s="154">
        <f t="shared" si="201"/>
        <v>0</v>
      </c>
    </row>
    <row r="2132" spans="2:17">
      <c r="B2132" s="627" t="str">
        <f t="shared" si="205"/>
        <v/>
      </c>
      <c r="C2132" s="635"/>
      <c r="D2132" s="819"/>
      <c r="E2132" s="633"/>
      <c r="F2132" s="629" t="str">
        <f>IFERROR(VLOOKUP(E2132,STAT1!$C$4:$D$1000,2,FALSE),"")</f>
        <v/>
      </c>
      <c r="G2132" s="893"/>
      <c r="H2132" s="893"/>
      <c r="I2132" s="580">
        <f t="shared" si="203"/>
        <v>0</v>
      </c>
      <c r="J2132" s="961">
        <f t="shared" si="204"/>
        <v>0</v>
      </c>
      <c r="K2132" s="80"/>
      <c r="L2132" s="633"/>
      <c r="M2132" s="154" t="str">
        <f>+IFERROR(VLOOKUP(L2132,DATA!$G$4:$H$2000,2,FALSE),"")</f>
        <v/>
      </c>
      <c r="N2132" s="633"/>
      <c r="O2132" s="80" t="str">
        <f>IFERROR(VLOOKUP(N2132,DATA!$K$4:$L$51,2,FALSE),"")</f>
        <v/>
      </c>
      <c r="P2132" s="80">
        <f t="shared" si="202"/>
        <v>0</v>
      </c>
      <c r="Q2132" s="154">
        <f t="shared" si="201"/>
        <v>0</v>
      </c>
    </row>
    <row r="2133" spans="2:17">
      <c r="B2133" s="627" t="str">
        <f t="shared" si="205"/>
        <v/>
      </c>
      <c r="C2133" s="635"/>
      <c r="D2133" s="819"/>
      <c r="E2133" s="633"/>
      <c r="F2133" s="629" t="str">
        <f>IFERROR(VLOOKUP(E2133,STAT1!$C$4:$D$1000,2,FALSE),"")</f>
        <v/>
      </c>
      <c r="G2133" s="893"/>
      <c r="H2133" s="893"/>
      <c r="I2133" s="580">
        <f t="shared" si="203"/>
        <v>0</v>
      </c>
      <c r="J2133" s="961">
        <f t="shared" si="204"/>
        <v>0</v>
      </c>
      <c r="K2133" s="80"/>
      <c r="L2133" s="633"/>
      <c r="M2133" s="154" t="str">
        <f>+IFERROR(VLOOKUP(L2133,DATA!$G$4:$H$2000,2,FALSE),"")</f>
        <v/>
      </c>
      <c r="N2133" s="633"/>
      <c r="O2133" s="80" t="str">
        <f>IFERROR(VLOOKUP(N2133,DATA!$K$4:$L$51,2,FALSE),"")</f>
        <v/>
      </c>
      <c r="P2133" s="80">
        <f t="shared" si="202"/>
        <v>0</v>
      </c>
      <c r="Q2133" s="154">
        <f t="shared" si="201"/>
        <v>0</v>
      </c>
    </row>
    <row r="2134" spans="2:17">
      <c r="B2134" s="627" t="str">
        <f t="shared" si="205"/>
        <v/>
      </c>
      <c r="C2134" s="635"/>
      <c r="D2134" s="819"/>
      <c r="E2134" s="633"/>
      <c r="F2134" s="629" t="str">
        <f>IFERROR(VLOOKUP(E2134,STAT1!$C$4:$D$1000,2,FALSE),"")</f>
        <v/>
      </c>
      <c r="G2134" s="893"/>
      <c r="H2134" s="893"/>
      <c r="I2134" s="580">
        <f t="shared" si="203"/>
        <v>0</v>
      </c>
      <c r="J2134" s="961">
        <f t="shared" si="204"/>
        <v>0</v>
      </c>
      <c r="K2134" s="80"/>
      <c r="L2134" s="633"/>
      <c r="M2134" s="154" t="str">
        <f>+IFERROR(VLOOKUP(L2134,DATA!$G$4:$H$2000,2,FALSE),"")</f>
        <v/>
      </c>
      <c r="N2134" s="633"/>
      <c r="O2134" s="80" t="str">
        <f>IFERROR(VLOOKUP(N2134,DATA!$K$4:$L$51,2,FALSE),"")</f>
        <v/>
      </c>
      <c r="P2134" s="80">
        <f t="shared" si="202"/>
        <v>0</v>
      </c>
      <c r="Q2134" s="154">
        <f t="shared" si="201"/>
        <v>0</v>
      </c>
    </row>
    <row r="2135" spans="2:17">
      <c r="B2135" s="627" t="str">
        <f t="shared" si="205"/>
        <v/>
      </c>
      <c r="C2135" s="635"/>
      <c r="D2135" s="819"/>
      <c r="E2135" s="633"/>
      <c r="F2135" s="629" t="str">
        <f>IFERROR(VLOOKUP(E2135,STAT1!$C$4:$D$1000,2,FALSE),"")</f>
        <v/>
      </c>
      <c r="G2135" s="893"/>
      <c r="H2135" s="893"/>
      <c r="I2135" s="580">
        <f t="shared" si="203"/>
        <v>0</v>
      </c>
      <c r="J2135" s="961">
        <f t="shared" si="204"/>
        <v>0</v>
      </c>
      <c r="K2135" s="80"/>
      <c r="L2135" s="633"/>
      <c r="M2135" s="154" t="str">
        <f>+IFERROR(VLOOKUP(L2135,DATA!$G$4:$H$2000,2,FALSE),"")</f>
        <v/>
      </c>
      <c r="N2135" s="633"/>
      <c r="O2135" s="80" t="str">
        <f>IFERROR(VLOOKUP(N2135,DATA!$K$4:$L$51,2,FALSE),"")</f>
        <v/>
      </c>
      <c r="P2135" s="80">
        <f t="shared" si="202"/>
        <v>0</v>
      </c>
      <c r="Q2135" s="154">
        <f t="shared" si="201"/>
        <v>0</v>
      </c>
    </row>
    <row r="2136" spans="2:17">
      <c r="B2136" s="627" t="str">
        <f t="shared" si="205"/>
        <v/>
      </c>
      <c r="C2136" s="635"/>
      <c r="D2136" s="817"/>
      <c r="E2136" s="633"/>
      <c r="F2136" s="629" t="str">
        <f>IFERROR(VLOOKUP(E2136,STAT1!$C$4:$D$1000,2,FALSE),"")</f>
        <v/>
      </c>
      <c r="G2136" s="893"/>
      <c r="H2136" s="893"/>
      <c r="I2136" s="580">
        <f t="shared" si="203"/>
        <v>0</v>
      </c>
      <c r="J2136" s="961">
        <f t="shared" si="204"/>
        <v>0</v>
      </c>
      <c r="K2136" s="80"/>
      <c r="L2136" s="633"/>
      <c r="M2136" s="154" t="str">
        <f>+IFERROR(VLOOKUP(L2136,DATA!$G$4:$H$2000,2,FALSE),"")</f>
        <v/>
      </c>
      <c r="N2136" s="633"/>
      <c r="O2136" s="80" t="str">
        <f>IFERROR(VLOOKUP(N2136,DATA!$K$4:$L$51,2,FALSE),"")</f>
        <v/>
      </c>
      <c r="P2136" s="80">
        <f t="shared" si="202"/>
        <v>0</v>
      </c>
      <c r="Q2136" s="154">
        <f t="shared" si="201"/>
        <v>0</v>
      </c>
    </row>
    <row r="2137" spans="2:17">
      <c r="B2137" s="627" t="str">
        <f t="shared" si="205"/>
        <v/>
      </c>
      <c r="C2137" s="631"/>
      <c r="D2137" s="817"/>
      <c r="E2137" s="808"/>
      <c r="F2137" s="629" t="str">
        <f>IFERROR(VLOOKUP(E2137,STAT1!$C$4:$D$1000,2,FALSE),"")</f>
        <v/>
      </c>
      <c r="G2137" s="891"/>
      <c r="H2137" s="891"/>
      <c r="I2137" s="580">
        <f t="shared" si="203"/>
        <v>0</v>
      </c>
      <c r="J2137" s="961">
        <f t="shared" si="204"/>
        <v>0</v>
      </c>
      <c r="K2137" s="80"/>
      <c r="L2137" s="808"/>
      <c r="M2137" s="154" t="str">
        <f>+IFERROR(VLOOKUP(L2137,DATA!$G$4:$H$2000,2,FALSE),"")</f>
        <v/>
      </c>
      <c r="N2137" s="808"/>
      <c r="O2137" s="80" t="str">
        <f>IFERROR(VLOOKUP(N2137,DATA!$K$4:$L$51,2,FALSE),"")</f>
        <v/>
      </c>
      <c r="P2137" s="80">
        <f t="shared" si="202"/>
        <v>0</v>
      </c>
      <c r="Q2137" s="154">
        <f t="shared" si="201"/>
        <v>0</v>
      </c>
    </row>
    <row r="2138" spans="2:17">
      <c r="B2138" s="627" t="str">
        <f t="shared" si="205"/>
        <v/>
      </c>
      <c r="C2138" s="631"/>
      <c r="D2138" s="817"/>
      <c r="E2138" s="808"/>
      <c r="F2138" s="629" t="str">
        <f>IFERROR(VLOOKUP(E2138,STAT1!$C$4:$D$1000,2,FALSE),"")</f>
        <v/>
      </c>
      <c r="G2138" s="891"/>
      <c r="H2138" s="891"/>
      <c r="I2138" s="580">
        <f t="shared" si="203"/>
        <v>0</v>
      </c>
      <c r="J2138" s="961">
        <f t="shared" si="204"/>
        <v>0</v>
      </c>
      <c r="K2138" s="80"/>
      <c r="L2138" s="808"/>
      <c r="M2138" s="154" t="str">
        <f>+IFERROR(VLOOKUP(L2138,DATA!$G$4:$H$2000,2,FALSE),"")</f>
        <v/>
      </c>
      <c r="N2138" s="808"/>
      <c r="O2138" s="80" t="str">
        <f>IFERROR(VLOOKUP(N2138,DATA!$K$4:$L$51,2,FALSE),"")</f>
        <v/>
      </c>
      <c r="P2138" s="80">
        <f t="shared" si="202"/>
        <v>0</v>
      </c>
      <c r="Q2138" s="154">
        <f t="shared" ref="Q2138:Q2200" si="206">+IF(I2138,1,0)</f>
        <v>0</v>
      </c>
    </row>
    <row r="2139" spans="2:17">
      <c r="B2139" s="627" t="str">
        <f t="shared" si="205"/>
        <v/>
      </c>
      <c r="C2139" s="631"/>
      <c r="D2139" s="817"/>
      <c r="E2139" s="808"/>
      <c r="F2139" s="629" t="str">
        <f>IFERROR(VLOOKUP(E2139,STAT1!$C$4:$D$1000,2,FALSE),"")</f>
        <v/>
      </c>
      <c r="G2139" s="891"/>
      <c r="H2139" s="891"/>
      <c r="I2139" s="580">
        <f t="shared" si="203"/>
        <v>0</v>
      </c>
      <c r="J2139" s="961">
        <f t="shared" si="204"/>
        <v>0</v>
      </c>
      <c r="K2139" s="80"/>
      <c r="L2139" s="808"/>
      <c r="M2139" s="154" t="str">
        <f>+IFERROR(VLOOKUP(L2139,DATA!$G$4:$H$2000,2,FALSE),"")</f>
        <v/>
      </c>
      <c r="N2139" s="808"/>
      <c r="O2139" s="80" t="str">
        <f>IFERROR(VLOOKUP(N2139,DATA!$K$4:$L$51,2,FALSE),"")</f>
        <v/>
      </c>
      <c r="P2139" s="80">
        <f t="shared" si="202"/>
        <v>0</v>
      </c>
      <c r="Q2139" s="154">
        <f t="shared" si="206"/>
        <v>0</v>
      </c>
    </row>
    <row r="2140" spans="2:17">
      <c r="B2140" s="627" t="str">
        <f t="shared" si="205"/>
        <v/>
      </c>
      <c r="C2140" s="631"/>
      <c r="D2140" s="817"/>
      <c r="E2140" s="808"/>
      <c r="F2140" s="629" t="str">
        <f>IFERROR(VLOOKUP(E2140,STAT1!$C$4:$D$1000,2,FALSE),"")</f>
        <v/>
      </c>
      <c r="G2140" s="891"/>
      <c r="H2140" s="891"/>
      <c r="I2140" s="580">
        <f t="shared" si="203"/>
        <v>0</v>
      </c>
      <c r="J2140" s="961">
        <f t="shared" si="204"/>
        <v>0</v>
      </c>
      <c r="K2140" s="80"/>
      <c r="L2140" s="808"/>
      <c r="M2140" s="154" t="str">
        <f>+IFERROR(VLOOKUP(L2140,DATA!$G$4:$H$2000,2,FALSE),"")</f>
        <v/>
      </c>
      <c r="N2140" s="808"/>
      <c r="O2140" s="80" t="str">
        <f>IFERROR(VLOOKUP(N2140,DATA!$K$4:$L$51,2,FALSE),"")</f>
        <v/>
      </c>
      <c r="P2140" s="80">
        <f t="shared" si="202"/>
        <v>0</v>
      </c>
      <c r="Q2140" s="154">
        <f t="shared" si="206"/>
        <v>0</v>
      </c>
    </row>
    <row r="2141" spans="2:17">
      <c r="B2141" s="627" t="str">
        <f t="shared" si="205"/>
        <v/>
      </c>
      <c r="C2141" s="631"/>
      <c r="D2141" s="817"/>
      <c r="E2141" s="808"/>
      <c r="F2141" s="629" t="str">
        <f>IFERROR(VLOOKUP(E2141,STAT1!$C$4:$D$1000,2,FALSE),"")</f>
        <v/>
      </c>
      <c r="G2141" s="891"/>
      <c r="H2141" s="891"/>
      <c r="I2141" s="580">
        <f t="shared" si="203"/>
        <v>0</v>
      </c>
      <c r="J2141" s="961">
        <f t="shared" si="204"/>
        <v>0</v>
      </c>
      <c r="K2141" s="80"/>
      <c r="L2141" s="808"/>
      <c r="M2141" s="154" t="str">
        <f>+IFERROR(VLOOKUP(L2141,DATA!$G$4:$H$2000,2,FALSE),"")</f>
        <v/>
      </c>
      <c r="N2141" s="808"/>
      <c r="O2141" s="80" t="str">
        <f>IFERROR(VLOOKUP(N2141,DATA!$K$4:$L$51,2,FALSE),"")</f>
        <v/>
      </c>
      <c r="P2141" s="80">
        <f t="shared" si="202"/>
        <v>0</v>
      </c>
      <c r="Q2141" s="154">
        <f t="shared" si="206"/>
        <v>0</v>
      </c>
    </row>
    <row r="2142" spans="2:17">
      <c r="B2142" s="627" t="str">
        <f t="shared" si="205"/>
        <v/>
      </c>
      <c r="C2142" s="631"/>
      <c r="D2142" s="817"/>
      <c r="E2142" s="808"/>
      <c r="F2142" s="629" t="str">
        <f>IFERROR(VLOOKUP(E2142,STAT1!$C$4:$D$1000,2,FALSE),"")</f>
        <v/>
      </c>
      <c r="G2142" s="891"/>
      <c r="H2142" s="891"/>
      <c r="I2142" s="580">
        <f t="shared" si="203"/>
        <v>0</v>
      </c>
      <c r="J2142" s="961">
        <f t="shared" si="204"/>
        <v>0</v>
      </c>
      <c r="K2142" s="80"/>
      <c r="L2142" s="808"/>
      <c r="M2142" s="154" t="str">
        <f>+IFERROR(VLOOKUP(L2142,DATA!$G$4:$H$2000,2,FALSE),"")</f>
        <v/>
      </c>
      <c r="N2142" s="808"/>
      <c r="O2142" s="80" t="str">
        <f>IFERROR(VLOOKUP(N2142,DATA!$K$4:$L$51,2,FALSE),"")</f>
        <v/>
      </c>
      <c r="P2142" s="80">
        <f t="shared" si="202"/>
        <v>0</v>
      </c>
      <c r="Q2142" s="154">
        <f t="shared" si="206"/>
        <v>0</v>
      </c>
    </row>
    <row r="2143" spans="2:17">
      <c r="B2143" s="627" t="str">
        <f t="shared" si="205"/>
        <v/>
      </c>
      <c r="C2143" s="631"/>
      <c r="D2143" s="817"/>
      <c r="E2143" s="808"/>
      <c r="F2143" s="629" t="str">
        <f>IFERROR(VLOOKUP(E2143,STAT1!$C$4:$D$1000,2,FALSE),"")</f>
        <v/>
      </c>
      <c r="G2143" s="891"/>
      <c r="H2143" s="891"/>
      <c r="I2143" s="580">
        <f t="shared" si="203"/>
        <v>0</v>
      </c>
      <c r="J2143" s="961">
        <f t="shared" si="204"/>
        <v>0</v>
      </c>
      <c r="K2143" s="80"/>
      <c r="L2143" s="808"/>
      <c r="M2143" s="154" t="str">
        <f>+IFERROR(VLOOKUP(L2143,DATA!$G$4:$H$2000,2,FALSE),"")</f>
        <v/>
      </c>
      <c r="N2143" s="808"/>
      <c r="O2143" s="80" t="str">
        <f>IFERROR(VLOOKUP(N2143,DATA!$K$4:$L$51,2,FALSE),"")</f>
        <v/>
      </c>
      <c r="P2143" s="80">
        <f t="shared" si="202"/>
        <v>0</v>
      </c>
      <c r="Q2143" s="154">
        <f t="shared" si="206"/>
        <v>0</v>
      </c>
    </row>
    <row r="2144" spans="2:17">
      <c r="B2144" s="627" t="str">
        <f t="shared" si="205"/>
        <v/>
      </c>
      <c r="C2144" s="631"/>
      <c r="D2144" s="817"/>
      <c r="E2144" s="808"/>
      <c r="F2144" s="629" t="str">
        <f>IFERROR(VLOOKUP(E2144,STAT1!$C$4:$D$1000,2,FALSE),"")</f>
        <v/>
      </c>
      <c r="G2144" s="891"/>
      <c r="H2144" s="891"/>
      <c r="I2144" s="580">
        <f t="shared" si="203"/>
        <v>0</v>
      </c>
      <c r="J2144" s="961">
        <f t="shared" si="204"/>
        <v>0</v>
      </c>
      <c r="K2144" s="80"/>
      <c r="L2144" s="808"/>
      <c r="M2144" s="154" t="str">
        <f>+IFERROR(VLOOKUP(L2144,DATA!$G$4:$H$2000,2,FALSE),"")</f>
        <v/>
      </c>
      <c r="N2144" s="808"/>
      <c r="O2144" s="80" t="str">
        <f>IFERROR(VLOOKUP(N2144,DATA!$K$4:$L$51,2,FALSE),"")</f>
        <v/>
      </c>
      <c r="P2144" s="80">
        <f t="shared" si="202"/>
        <v>0</v>
      </c>
      <c r="Q2144" s="154">
        <f t="shared" si="206"/>
        <v>0</v>
      </c>
    </row>
    <row r="2145" spans="2:17">
      <c r="B2145" s="627" t="str">
        <f t="shared" si="205"/>
        <v/>
      </c>
      <c r="C2145" s="631"/>
      <c r="D2145" s="817"/>
      <c r="E2145" s="808"/>
      <c r="F2145" s="629" t="str">
        <f>IFERROR(VLOOKUP(E2145,STAT1!$C$4:$D$1000,2,FALSE),"")</f>
        <v/>
      </c>
      <c r="G2145" s="891"/>
      <c r="H2145" s="891"/>
      <c r="I2145" s="580">
        <f t="shared" si="203"/>
        <v>0</v>
      </c>
      <c r="J2145" s="961">
        <f t="shared" si="204"/>
        <v>0</v>
      </c>
      <c r="K2145" s="80"/>
      <c r="L2145" s="808"/>
      <c r="M2145" s="154" t="str">
        <f>+IFERROR(VLOOKUP(L2145,DATA!$G$4:$H$2000,2,FALSE),"")</f>
        <v/>
      </c>
      <c r="N2145" s="808"/>
      <c r="O2145" s="80" t="str">
        <f>IFERROR(VLOOKUP(N2145,DATA!$K$4:$L$51,2,FALSE),"")</f>
        <v/>
      </c>
      <c r="P2145" s="80">
        <f t="shared" si="202"/>
        <v>0</v>
      </c>
      <c r="Q2145" s="154">
        <f t="shared" si="206"/>
        <v>0</v>
      </c>
    </row>
    <row r="2146" spans="2:17">
      <c r="B2146" s="627" t="str">
        <f t="shared" si="205"/>
        <v/>
      </c>
      <c r="C2146" s="631"/>
      <c r="D2146" s="817"/>
      <c r="E2146" s="808"/>
      <c r="F2146" s="629" t="str">
        <f>IFERROR(VLOOKUP(E2146,STAT1!$C$4:$D$1000,2,FALSE),"")</f>
        <v/>
      </c>
      <c r="G2146" s="891"/>
      <c r="H2146" s="891"/>
      <c r="I2146" s="580">
        <f t="shared" si="203"/>
        <v>0</v>
      </c>
      <c r="J2146" s="961">
        <f t="shared" si="204"/>
        <v>0</v>
      </c>
      <c r="K2146" s="80"/>
      <c r="L2146" s="808"/>
      <c r="M2146" s="154" t="str">
        <f>+IFERROR(VLOOKUP(L2146,DATA!$G$4:$H$2000,2,FALSE),"")</f>
        <v/>
      </c>
      <c r="N2146" s="808"/>
      <c r="O2146" s="80" t="str">
        <f>IFERROR(VLOOKUP(N2146,DATA!$K$4:$L$51,2,FALSE),"")</f>
        <v/>
      </c>
      <c r="P2146" s="80">
        <f t="shared" si="202"/>
        <v>0</v>
      </c>
      <c r="Q2146" s="154">
        <f t="shared" si="206"/>
        <v>0</v>
      </c>
    </row>
    <row r="2147" spans="2:17">
      <c r="B2147" s="627" t="str">
        <f t="shared" si="205"/>
        <v/>
      </c>
      <c r="C2147" s="631"/>
      <c r="D2147" s="817"/>
      <c r="E2147" s="808"/>
      <c r="F2147" s="629" t="str">
        <f>IFERROR(VLOOKUP(E2147,STAT1!$C$4:$D$1000,2,FALSE),"")</f>
        <v/>
      </c>
      <c r="G2147" s="891"/>
      <c r="H2147" s="891"/>
      <c r="I2147" s="580">
        <f t="shared" si="203"/>
        <v>0</v>
      </c>
      <c r="J2147" s="961">
        <f t="shared" si="204"/>
        <v>0</v>
      </c>
      <c r="K2147" s="80"/>
      <c r="L2147" s="808"/>
      <c r="M2147" s="154" t="str">
        <f>+IFERROR(VLOOKUP(L2147,DATA!$G$4:$H$2000,2,FALSE),"")</f>
        <v/>
      </c>
      <c r="N2147" s="808"/>
      <c r="O2147" s="80" t="str">
        <f>IFERROR(VLOOKUP(N2147,DATA!$K$4:$L$51,2,FALSE),"")</f>
        <v/>
      </c>
      <c r="P2147" s="80">
        <f t="shared" si="202"/>
        <v>0</v>
      </c>
      <c r="Q2147" s="154">
        <f t="shared" si="206"/>
        <v>0</v>
      </c>
    </row>
    <row r="2148" spans="2:17">
      <c r="B2148" s="627" t="str">
        <f t="shared" si="205"/>
        <v/>
      </c>
      <c r="C2148" s="631"/>
      <c r="D2148" s="817"/>
      <c r="E2148" s="808"/>
      <c r="F2148" s="629" t="str">
        <f>IFERROR(VLOOKUP(E2148,STAT1!$C$4:$D$1000,2,FALSE),"")</f>
        <v/>
      </c>
      <c r="G2148" s="891"/>
      <c r="H2148" s="891"/>
      <c r="I2148" s="580">
        <f t="shared" si="203"/>
        <v>0</v>
      </c>
      <c r="J2148" s="961">
        <f t="shared" si="204"/>
        <v>0</v>
      </c>
      <c r="K2148" s="80"/>
      <c r="L2148" s="808"/>
      <c r="M2148" s="154" t="str">
        <f>+IFERROR(VLOOKUP(L2148,DATA!$G$4:$H$2000,2,FALSE),"")</f>
        <v/>
      </c>
      <c r="N2148" s="808"/>
      <c r="O2148" s="80" t="str">
        <f>IFERROR(VLOOKUP(N2148,DATA!$K$4:$L$51,2,FALSE),"")</f>
        <v/>
      </c>
      <c r="P2148" s="80">
        <f t="shared" si="202"/>
        <v>0</v>
      </c>
      <c r="Q2148" s="154">
        <f t="shared" si="206"/>
        <v>0</v>
      </c>
    </row>
    <row r="2149" spans="2:17">
      <c r="B2149" s="627" t="str">
        <f t="shared" si="205"/>
        <v/>
      </c>
      <c r="C2149" s="631"/>
      <c r="D2149" s="817"/>
      <c r="E2149" s="808"/>
      <c r="F2149" s="629" t="str">
        <f>IFERROR(VLOOKUP(E2149,STAT1!$C$4:$D$1000,2,FALSE),"")</f>
        <v/>
      </c>
      <c r="G2149" s="891"/>
      <c r="H2149" s="891"/>
      <c r="I2149" s="580">
        <f t="shared" si="203"/>
        <v>0</v>
      </c>
      <c r="J2149" s="961">
        <f t="shared" si="204"/>
        <v>0</v>
      </c>
      <c r="K2149" s="80"/>
      <c r="L2149" s="808"/>
      <c r="M2149" s="154" t="str">
        <f>+IFERROR(VLOOKUP(L2149,DATA!$G$4:$H$2000,2,FALSE),"")</f>
        <v/>
      </c>
      <c r="N2149" s="808"/>
      <c r="O2149" s="80" t="str">
        <f>IFERROR(VLOOKUP(N2149,DATA!$K$4:$L$51,2,FALSE),"")</f>
        <v/>
      </c>
      <c r="P2149" s="80">
        <f t="shared" si="202"/>
        <v>0</v>
      </c>
      <c r="Q2149" s="154">
        <f t="shared" si="206"/>
        <v>0</v>
      </c>
    </row>
    <row r="2150" spans="2:17">
      <c r="B2150" s="627" t="str">
        <f t="shared" si="205"/>
        <v/>
      </c>
      <c r="C2150" s="631"/>
      <c r="D2150" s="817"/>
      <c r="E2150" s="808"/>
      <c r="F2150" s="629" t="str">
        <f>IFERROR(VLOOKUP(E2150,STAT1!$C$4:$D$1000,2,FALSE),"")</f>
        <v/>
      </c>
      <c r="G2150" s="891"/>
      <c r="H2150" s="891"/>
      <c r="I2150" s="580">
        <f t="shared" si="203"/>
        <v>0</v>
      </c>
      <c r="J2150" s="961">
        <f t="shared" si="204"/>
        <v>0</v>
      </c>
      <c r="K2150" s="80"/>
      <c r="L2150" s="808"/>
      <c r="M2150" s="154" t="str">
        <f>+IFERROR(VLOOKUP(L2150,DATA!$G$4:$H$2000,2,FALSE),"")</f>
        <v/>
      </c>
      <c r="N2150" s="808"/>
      <c r="O2150" s="80" t="str">
        <f>IFERROR(VLOOKUP(N2150,DATA!$K$4:$L$51,2,FALSE),"")</f>
        <v/>
      </c>
      <c r="P2150" s="80">
        <f t="shared" si="202"/>
        <v>0</v>
      </c>
      <c r="Q2150" s="154">
        <f t="shared" si="206"/>
        <v>0</v>
      </c>
    </row>
    <row r="2151" spans="2:17">
      <c r="B2151" s="627" t="str">
        <f t="shared" si="205"/>
        <v/>
      </c>
      <c r="C2151" s="631"/>
      <c r="D2151" s="817"/>
      <c r="E2151" s="808"/>
      <c r="F2151" s="629" t="str">
        <f>IFERROR(VLOOKUP(E2151,STAT1!$C$4:$D$1000,2,FALSE),"")</f>
        <v/>
      </c>
      <c r="G2151" s="891"/>
      <c r="H2151" s="891"/>
      <c r="I2151" s="580">
        <f t="shared" si="203"/>
        <v>0</v>
      </c>
      <c r="J2151" s="961">
        <f t="shared" si="204"/>
        <v>0</v>
      </c>
      <c r="K2151" s="80"/>
      <c r="L2151" s="808"/>
      <c r="M2151" s="154" t="str">
        <f>+IFERROR(VLOOKUP(L2151,DATA!$G$4:$H$2000,2,FALSE),"")</f>
        <v/>
      </c>
      <c r="N2151" s="808"/>
      <c r="O2151" s="80" t="str">
        <f>IFERROR(VLOOKUP(N2151,DATA!$K$4:$L$51,2,FALSE),"")</f>
        <v/>
      </c>
      <c r="P2151" s="80">
        <f t="shared" si="202"/>
        <v>0</v>
      </c>
      <c r="Q2151" s="154">
        <f t="shared" si="206"/>
        <v>0</v>
      </c>
    </row>
    <row r="2152" spans="2:17">
      <c r="B2152" s="627" t="str">
        <f t="shared" si="205"/>
        <v/>
      </c>
      <c r="C2152" s="631"/>
      <c r="D2152" s="818"/>
      <c r="E2152" s="808"/>
      <c r="F2152" s="629" t="str">
        <f>IFERROR(VLOOKUP(E2152,STAT1!$C$4:$D$1000,2,FALSE),"")</f>
        <v/>
      </c>
      <c r="G2152" s="891"/>
      <c r="H2152" s="891"/>
      <c r="I2152" s="580">
        <f t="shared" si="203"/>
        <v>0</v>
      </c>
      <c r="J2152" s="961">
        <f t="shared" si="204"/>
        <v>0</v>
      </c>
      <c r="K2152" s="80"/>
      <c r="L2152" s="808"/>
      <c r="M2152" s="154" t="str">
        <f>+IFERROR(VLOOKUP(L2152,DATA!$G$4:$H$2000,2,FALSE),"")</f>
        <v/>
      </c>
      <c r="N2152" s="808"/>
      <c r="O2152" s="80" t="str">
        <f>IFERROR(VLOOKUP(N2152,DATA!$K$4:$L$51,2,FALSE),"")</f>
        <v/>
      </c>
      <c r="P2152" s="80">
        <f t="shared" si="202"/>
        <v>0</v>
      </c>
      <c r="Q2152" s="154">
        <f t="shared" si="206"/>
        <v>0</v>
      </c>
    </row>
    <row r="2153" spans="2:17">
      <c r="B2153" s="627" t="str">
        <f t="shared" si="205"/>
        <v/>
      </c>
      <c r="C2153" s="634"/>
      <c r="D2153" s="818"/>
      <c r="E2153" s="809"/>
      <c r="F2153" s="629" t="str">
        <f>IFERROR(VLOOKUP(E2153,STAT1!$C$4:$D$1000,2,FALSE),"")</f>
        <v/>
      </c>
      <c r="G2153" s="892"/>
      <c r="H2153" s="892"/>
      <c r="I2153" s="580">
        <f t="shared" si="203"/>
        <v>0</v>
      </c>
      <c r="J2153" s="961">
        <f t="shared" si="204"/>
        <v>0</v>
      </c>
      <c r="K2153" s="80"/>
      <c r="L2153" s="809"/>
      <c r="M2153" s="154" t="str">
        <f>+IFERROR(VLOOKUP(L2153,DATA!$G$4:$H$2000,2,FALSE),"")</f>
        <v/>
      </c>
      <c r="N2153" s="809"/>
      <c r="O2153" s="80" t="str">
        <f>IFERROR(VLOOKUP(N2153,DATA!$K$4:$L$51,2,FALSE),"")</f>
        <v/>
      </c>
      <c r="P2153" s="80">
        <f t="shared" si="202"/>
        <v>0</v>
      </c>
      <c r="Q2153" s="154">
        <f t="shared" si="206"/>
        <v>0</v>
      </c>
    </row>
    <row r="2154" spans="2:17">
      <c r="B2154" s="627" t="str">
        <f t="shared" si="205"/>
        <v/>
      </c>
      <c r="C2154" s="634"/>
      <c r="D2154" s="818"/>
      <c r="E2154" s="809"/>
      <c r="F2154" s="629" t="str">
        <f>IFERROR(VLOOKUP(E2154,STAT1!$C$4:$D$1000,2,FALSE),"")</f>
        <v/>
      </c>
      <c r="G2154" s="892"/>
      <c r="H2154" s="892"/>
      <c r="I2154" s="580">
        <f t="shared" si="203"/>
        <v>0</v>
      </c>
      <c r="J2154" s="961">
        <f t="shared" si="204"/>
        <v>0</v>
      </c>
      <c r="K2154" s="80"/>
      <c r="L2154" s="809"/>
      <c r="M2154" s="154" t="str">
        <f>+IFERROR(VLOOKUP(L2154,DATA!$G$4:$H$2000,2,FALSE),"")</f>
        <v/>
      </c>
      <c r="N2154" s="809"/>
      <c r="O2154" s="80" t="str">
        <f>IFERROR(VLOOKUP(N2154,DATA!$K$4:$L$51,2,FALSE),"")</f>
        <v/>
      </c>
      <c r="P2154" s="80">
        <f t="shared" si="202"/>
        <v>0</v>
      </c>
      <c r="Q2154" s="154">
        <f t="shared" si="206"/>
        <v>0</v>
      </c>
    </row>
    <row r="2155" spans="2:17">
      <c r="B2155" s="627" t="str">
        <f t="shared" si="205"/>
        <v/>
      </c>
      <c r="C2155" s="634"/>
      <c r="D2155" s="818"/>
      <c r="E2155" s="809"/>
      <c r="F2155" s="629" t="str">
        <f>IFERROR(VLOOKUP(E2155,STAT1!$C$4:$D$1000,2,FALSE),"")</f>
        <v/>
      </c>
      <c r="G2155" s="892"/>
      <c r="H2155" s="892"/>
      <c r="I2155" s="580">
        <f t="shared" si="203"/>
        <v>0</v>
      </c>
      <c r="J2155" s="961">
        <f t="shared" si="204"/>
        <v>0</v>
      </c>
      <c r="K2155" s="80"/>
      <c r="L2155" s="809"/>
      <c r="M2155" s="154" t="str">
        <f>+IFERROR(VLOOKUP(L2155,DATA!$G$4:$H$2000,2,FALSE),"")</f>
        <v/>
      </c>
      <c r="N2155" s="809"/>
      <c r="O2155" s="80" t="str">
        <f>IFERROR(VLOOKUP(N2155,DATA!$K$4:$L$51,2,FALSE),"")</f>
        <v/>
      </c>
      <c r="P2155" s="80">
        <f t="shared" si="202"/>
        <v>0</v>
      </c>
      <c r="Q2155" s="154">
        <f t="shared" si="206"/>
        <v>0</v>
      </c>
    </row>
    <row r="2156" spans="2:17">
      <c r="B2156" s="627" t="str">
        <f t="shared" si="205"/>
        <v/>
      </c>
      <c r="C2156" s="634"/>
      <c r="D2156" s="818"/>
      <c r="E2156" s="809"/>
      <c r="F2156" s="629" t="str">
        <f>IFERROR(VLOOKUP(E2156,STAT1!$C$4:$D$1000,2,FALSE),"")</f>
        <v/>
      </c>
      <c r="G2156" s="892"/>
      <c r="H2156" s="892"/>
      <c r="I2156" s="580">
        <f t="shared" si="203"/>
        <v>0</v>
      </c>
      <c r="J2156" s="961">
        <f t="shared" si="204"/>
        <v>0</v>
      </c>
      <c r="K2156" s="80"/>
      <c r="L2156" s="809"/>
      <c r="M2156" s="154" t="str">
        <f>+IFERROR(VLOOKUP(L2156,DATA!$G$4:$H$2000,2,FALSE),"")</f>
        <v/>
      </c>
      <c r="N2156" s="809"/>
      <c r="O2156" s="80" t="str">
        <f>IFERROR(VLOOKUP(N2156,DATA!$K$4:$L$51,2,FALSE),"")</f>
        <v/>
      </c>
      <c r="P2156" s="80">
        <f t="shared" si="202"/>
        <v>0</v>
      </c>
      <c r="Q2156" s="154">
        <f t="shared" si="206"/>
        <v>0</v>
      </c>
    </row>
    <row r="2157" spans="2:17">
      <c r="B2157" s="627" t="str">
        <f t="shared" si="205"/>
        <v/>
      </c>
      <c r="C2157" s="634"/>
      <c r="D2157" s="817"/>
      <c r="E2157" s="809"/>
      <c r="F2157" s="629" t="str">
        <f>IFERROR(VLOOKUP(E2157,STAT1!$C$4:$D$1000,2,FALSE),"")</f>
        <v/>
      </c>
      <c r="G2157" s="892"/>
      <c r="H2157" s="892"/>
      <c r="I2157" s="580">
        <f t="shared" si="203"/>
        <v>0</v>
      </c>
      <c r="J2157" s="961">
        <f t="shared" si="204"/>
        <v>0</v>
      </c>
      <c r="K2157" s="80"/>
      <c r="L2157" s="809"/>
      <c r="M2157" s="154" t="str">
        <f>+IFERROR(VLOOKUP(L2157,DATA!$G$4:$H$2000,2,FALSE),"")</f>
        <v/>
      </c>
      <c r="N2157" s="809"/>
      <c r="O2157" s="80" t="str">
        <f>IFERROR(VLOOKUP(N2157,DATA!$K$4:$L$51,2,FALSE),"")</f>
        <v/>
      </c>
      <c r="P2157" s="80">
        <f t="shared" si="202"/>
        <v>0</v>
      </c>
      <c r="Q2157" s="154">
        <f t="shared" si="206"/>
        <v>0</v>
      </c>
    </row>
    <row r="2158" spans="2:17">
      <c r="B2158" s="627" t="str">
        <f t="shared" si="205"/>
        <v/>
      </c>
      <c r="C2158" s="631"/>
      <c r="D2158" s="817"/>
      <c r="E2158" s="808"/>
      <c r="F2158" s="629" t="str">
        <f>IFERROR(VLOOKUP(E2158,STAT1!$C$4:$D$1000,2,FALSE),"")</f>
        <v/>
      </c>
      <c r="G2158" s="891"/>
      <c r="H2158" s="891"/>
      <c r="I2158" s="580">
        <f t="shared" si="203"/>
        <v>0</v>
      </c>
      <c r="J2158" s="961">
        <f t="shared" si="204"/>
        <v>0</v>
      </c>
      <c r="K2158" s="80"/>
      <c r="L2158" s="808"/>
      <c r="M2158" s="154" t="str">
        <f>+IFERROR(VLOOKUP(L2158,DATA!$G$4:$H$2000,2,FALSE),"")</f>
        <v/>
      </c>
      <c r="N2158" s="808"/>
      <c r="O2158" s="80" t="str">
        <f>IFERROR(VLOOKUP(N2158,DATA!$K$4:$L$51,2,FALSE),"")</f>
        <v/>
      </c>
      <c r="P2158" s="80">
        <f t="shared" si="202"/>
        <v>0</v>
      </c>
      <c r="Q2158" s="154">
        <f t="shared" si="206"/>
        <v>0</v>
      </c>
    </row>
    <row r="2159" spans="2:17">
      <c r="B2159" s="627" t="str">
        <f t="shared" si="205"/>
        <v/>
      </c>
      <c r="C2159" s="631"/>
      <c r="D2159" s="817"/>
      <c r="E2159" s="808"/>
      <c r="F2159" s="629" t="str">
        <f>IFERROR(VLOOKUP(E2159,STAT1!$C$4:$D$1000,2,FALSE),"")</f>
        <v/>
      </c>
      <c r="G2159" s="891"/>
      <c r="H2159" s="891"/>
      <c r="I2159" s="580">
        <f t="shared" si="203"/>
        <v>0</v>
      </c>
      <c r="J2159" s="961">
        <f t="shared" si="204"/>
        <v>0</v>
      </c>
      <c r="K2159" s="80"/>
      <c r="L2159" s="808"/>
      <c r="M2159" s="154" t="str">
        <f>+IFERROR(VLOOKUP(L2159,DATA!$G$4:$H$2000,2,FALSE),"")</f>
        <v/>
      </c>
      <c r="N2159" s="808"/>
      <c r="O2159" s="80" t="str">
        <f>IFERROR(VLOOKUP(N2159,DATA!$K$4:$L$51,2,FALSE),"")</f>
        <v/>
      </c>
      <c r="P2159" s="80">
        <f t="shared" si="202"/>
        <v>0</v>
      </c>
      <c r="Q2159" s="154">
        <f t="shared" si="206"/>
        <v>0</v>
      </c>
    </row>
    <row r="2160" spans="2:17">
      <c r="B2160" s="627" t="str">
        <f t="shared" si="205"/>
        <v/>
      </c>
      <c r="C2160" s="631"/>
      <c r="D2160" s="817"/>
      <c r="E2160" s="808"/>
      <c r="F2160" s="629" t="str">
        <f>IFERROR(VLOOKUP(E2160,STAT1!$C$4:$D$1000,2,FALSE),"")</f>
        <v/>
      </c>
      <c r="G2160" s="891"/>
      <c r="H2160" s="891"/>
      <c r="I2160" s="580">
        <f t="shared" si="203"/>
        <v>0</v>
      </c>
      <c r="J2160" s="961">
        <f t="shared" si="204"/>
        <v>0</v>
      </c>
      <c r="K2160" s="80"/>
      <c r="L2160" s="808"/>
      <c r="M2160" s="154" t="str">
        <f>+IFERROR(VLOOKUP(L2160,DATA!$G$4:$H$2000,2,FALSE),"")</f>
        <v/>
      </c>
      <c r="N2160" s="808"/>
      <c r="O2160" s="80" t="str">
        <f>IFERROR(VLOOKUP(N2160,DATA!$K$4:$L$51,2,FALSE),"")</f>
        <v/>
      </c>
      <c r="P2160" s="80">
        <f t="shared" si="202"/>
        <v>0</v>
      </c>
      <c r="Q2160" s="154">
        <f t="shared" si="206"/>
        <v>0</v>
      </c>
    </row>
    <row r="2161" spans="2:17">
      <c r="B2161" s="627" t="str">
        <f t="shared" si="205"/>
        <v/>
      </c>
      <c r="C2161" s="631"/>
      <c r="D2161" s="817"/>
      <c r="E2161" s="808"/>
      <c r="F2161" s="629" t="str">
        <f>IFERROR(VLOOKUP(E2161,STAT1!$C$4:$D$1000,2,FALSE),"")</f>
        <v/>
      </c>
      <c r="G2161" s="891"/>
      <c r="H2161" s="891"/>
      <c r="I2161" s="580">
        <f t="shared" si="203"/>
        <v>0</v>
      </c>
      <c r="J2161" s="961">
        <f t="shared" si="204"/>
        <v>0</v>
      </c>
      <c r="K2161" s="80"/>
      <c r="L2161" s="808"/>
      <c r="M2161" s="154" t="str">
        <f>+IFERROR(VLOOKUP(L2161,DATA!$G$4:$H$2000,2,FALSE),"")</f>
        <v/>
      </c>
      <c r="N2161" s="808"/>
      <c r="O2161" s="80" t="str">
        <f>IFERROR(VLOOKUP(N2161,DATA!$K$4:$L$51,2,FALSE),"")</f>
        <v/>
      </c>
      <c r="P2161" s="80">
        <f t="shared" si="202"/>
        <v>0</v>
      </c>
      <c r="Q2161" s="154">
        <f t="shared" si="206"/>
        <v>0</v>
      </c>
    </row>
    <row r="2162" spans="2:17">
      <c r="B2162" s="627" t="str">
        <f t="shared" si="205"/>
        <v/>
      </c>
      <c r="C2162" s="631"/>
      <c r="D2162" s="817"/>
      <c r="E2162" s="808"/>
      <c r="F2162" s="629" t="str">
        <f>IFERROR(VLOOKUP(E2162,STAT1!$C$4:$D$1000,2,FALSE),"")</f>
        <v/>
      </c>
      <c r="G2162" s="891"/>
      <c r="H2162" s="891"/>
      <c r="I2162" s="580">
        <f t="shared" si="203"/>
        <v>0</v>
      </c>
      <c r="J2162" s="961">
        <f t="shared" si="204"/>
        <v>0</v>
      </c>
      <c r="K2162" s="80"/>
      <c r="L2162" s="808"/>
      <c r="M2162" s="154" t="str">
        <f>+IFERROR(VLOOKUP(L2162,DATA!$G$4:$H$2000,2,FALSE),"")</f>
        <v/>
      </c>
      <c r="N2162" s="808"/>
      <c r="O2162" s="80" t="str">
        <f>IFERROR(VLOOKUP(N2162,DATA!$K$4:$L$51,2,FALSE),"")</f>
        <v/>
      </c>
      <c r="P2162" s="80">
        <f t="shared" si="202"/>
        <v>0</v>
      </c>
      <c r="Q2162" s="154">
        <f t="shared" si="206"/>
        <v>0</v>
      </c>
    </row>
    <row r="2163" spans="2:17">
      <c r="B2163" s="627" t="str">
        <f t="shared" si="205"/>
        <v/>
      </c>
      <c r="C2163" s="631"/>
      <c r="D2163" s="817"/>
      <c r="E2163" s="808"/>
      <c r="F2163" s="629" t="str">
        <f>IFERROR(VLOOKUP(E2163,STAT1!$C$4:$D$1000,2,FALSE),"")</f>
        <v/>
      </c>
      <c r="G2163" s="891"/>
      <c r="H2163" s="891"/>
      <c r="I2163" s="580">
        <f t="shared" si="203"/>
        <v>0</v>
      </c>
      <c r="J2163" s="961">
        <f t="shared" si="204"/>
        <v>0</v>
      </c>
      <c r="K2163" s="80"/>
      <c r="L2163" s="808"/>
      <c r="M2163" s="154" t="str">
        <f>+IFERROR(VLOOKUP(L2163,DATA!$G$4:$H$2000,2,FALSE),"")</f>
        <v/>
      </c>
      <c r="N2163" s="808"/>
      <c r="O2163" s="80" t="str">
        <f>IFERROR(VLOOKUP(N2163,DATA!$K$4:$L$51,2,FALSE),"")</f>
        <v/>
      </c>
      <c r="P2163" s="80">
        <f t="shared" si="202"/>
        <v>0</v>
      </c>
      <c r="Q2163" s="154">
        <f t="shared" si="206"/>
        <v>0</v>
      </c>
    </row>
    <row r="2164" spans="2:17">
      <c r="B2164" s="627" t="str">
        <f t="shared" si="205"/>
        <v/>
      </c>
      <c r="C2164" s="631"/>
      <c r="D2164" s="817"/>
      <c r="E2164" s="808"/>
      <c r="F2164" s="629" t="str">
        <f>IFERROR(VLOOKUP(E2164,STAT1!$C$4:$D$1000,2,FALSE),"")</f>
        <v/>
      </c>
      <c r="G2164" s="891"/>
      <c r="H2164" s="891"/>
      <c r="I2164" s="580">
        <f t="shared" si="203"/>
        <v>0</v>
      </c>
      <c r="J2164" s="961">
        <f t="shared" si="204"/>
        <v>0</v>
      </c>
      <c r="K2164" s="80"/>
      <c r="L2164" s="808"/>
      <c r="M2164" s="154" t="str">
        <f>+IFERROR(VLOOKUP(L2164,DATA!$G$4:$H$2000,2,FALSE),"")</f>
        <v/>
      </c>
      <c r="N2164" s="808"/>
      <c r="O2164" s="80" t="str">
        <f>IFERROR(VLOOKUP(N2164,DATA!$K$4:$L$51,2,FALSE),"")</f>
        <v/>
      </c>
      <c r="P2164" s="80">
        <f t="shared" si="202"/>
        <v>0</v>
      </c>
      <c r="Q2164" s="154">
        <f t="shared" si="206"/>
        <v>0</v>
      </c>
    </row>
    <row r="2165" spans="2:17">
      <c r="B2165" s="627" t="str">
        <f t="shared" si="205"/>
        <v/>
      </c>
      <c r="C2165" s="631"/>
      <c r="D2165" s="817"/>
      <c r="E2165" s="808"/>
      <c r="F2165" s="629" t="str">
        <f>IFERROR(VLOOKUP(E2165,STAT1!$C$4:$D$1000,2,FALSE),"")</f>
        <v/>
      </c>
      <c r="G2165" s="891"/>
      <c r="H2165" s="891"/>
      <c r="I2165" s="580">
        <f t="shared" si="203"/>
        <v>0</v>
      </c>
      <c r="J2165" s="961">
        <f t="shared" si="204"/>
        <v>0</v>
      </c>
      <c r="K2165" s="80"/>
      <c r="L2165" s="808"/>
      <c r="M2165" s="154" t="str">
        <f>+IFERROR(VLOOKUP(L2165,DATA!$G$4:$H$2000,2,FALSE),"")</f>
        <v/>
      </c>
      <c r="N2165" s="808"/>
      <c r="O2165" s="80" t="str">
        <f>IFERROR(VLOOKUP(N2165,DATA!$K$4:$L$51,2,FALSE),"")</f>
        <v/>
      </c>
      <c r="P2165" s="80">
        <f t="shared" si="202"/>
        <v>0</v>
      </c>
      <c r="Q2165" s="154">
        <f t="shared" si="206"/>
        <v>0</v>
      </c>
    </row>
    <row r="2166" spans="2:17">
      <c r="B2166" s="627" t="str">
        <f t="shared" si="205"/>
        <v/>
      </c>
      <c r="C2166" s="631"/>
      <c r="D2166" s="817"/>
      <c r="E2166" s="808"/>
      <c r="F2166" s="629" t="str">
        <f>IFERROR(VLOOKUP(E2166,STAT1!$C$4:$D$1000,2,FALSE),"")</f>
        <v/>
      </c>
      <c r="G2166" s="891"/>
      <c r="H2166" s="891"/>
      <c r="I2166" s="580">
        <f t="shared" si="203"/>
        <v>0</v>
      </c>
      <c r="J2166" s="961">
        <f t="shared" si="204"/>
        <v>0</v>
      </c>
      <c r="K2166" s="80"/>
      <c r="L2166" s="808"/>
      <c r="M2166" s="154" t="str">
        <f>+IFERROR(VLOOKUP(L2166,DATA!$G$4:$H$2000,2,FALSE),"")</f>
        <v/>
      </c>
      <c r="N2166" s="808"/>
      <c r="O2166" s="80" t="str">
        <f>IFERROR(VLOOKUP(N2166,DATA!$K$4:$L$51,2,FALSE),"")</f>
        <v/>
      </c>
      <c r="P2166" s="80">
        <f t="shared" si="202"/>
        <v>0</v>
      </c>
      <c r="Q2166" s="154">
        <f t="shared" si="206"/>
        <v>0</v>
      </c>
    </row>
    <row r="2167" spans="2:17">
      <c r="B2167" s="627" t="str">
        <f t="shared" si="205"/>
        <v/>
      </c>
      <c r="C2167" s="631"/>
      <c r="D2167" s="817"/>
      <c r="E2167" s="808"/>
      <c r="F2167" s="629" t="str">
        <f>IFERROR(VLOOKUP(E2167,STAT1!$C$4:$D$1000,2,FALSE),"")</f>
        <v/>
      </c>
      <c r="G2167" s="891"/>
      <c r="H2167" s="891"/>
      <c r="I2167" s="580">
        <f t="shared" si="203"/>
        <v>0</v>
      </c>
      <c r="J2167" s="961">
        <f t="shared" si="204"/>
        <v>0</v>
      </c>
      <c r="K2167" s="80"/>
      <c r="L2167" s="808"/>
      <c r="M2167" s="154" t="str">
        <f>+IFERROR(VLOOKUP(L2167,DATA!$G$4:$H$2000,2,FALSE),"")</f>
        <v/>
      </c>
      <c r="N2167" s="808"/>
      <c r="O2167" s="80" t="str">
        <f>IFERROR(VLOOKUP(N2167,DATA!$K$4:$L$51,2,FALSE),"")</f>
        <v/>
      </c>
      <c r="P2167" s="80">
        <f t="shared" si="202"/>
        <v>0</v>
      </c>
      <c r="Q2167" s="154">
        <f t="shared" si="206"/>
        <v>0</v>
      </c>
    </row>
    <row r="2168" spans="2:17">
      <c r="B2168" s="627" t="str">
        <f t="shared" si="205"/>
        <v/>
      </c>
      <c r="C2168" s="631"/>
      <c r="D2168" s="817"/>
      <c r="E2168" s="808"/>
      <c r="F2168" s="629" t="str">
        <f>IFERROR(VLOOKUP(E2168,STAT1!$C$4:$D$1000,2,FALSE),"")</f>
        <v/>
      </c>
      <c r="G2168" s="891"/>
      <c r="H2168" s="891"/>
      <c r="I2168" s="580">
        <f t="shared" si="203"/>
        <v>0</v>
      </c>
      <c r="J2168" s="961">
        <f t="shared" si="204"/>
        <v>0</v>
      </c>
      <c r="K2168" s="80"/>
      <c r="L2168" s="808"/>
      <c r="M2168" s="154" t="str">
        <f>+IFERROR(VLOOKUP(L2168,DATA!$G$4:$H$2000,2,FALSE),"")</f>
        <v/>
      </c>
      <c r="N2168" s="808"/>
      <c r="O2168" s="80" t="str">
        <f>IFERROR(VLOOKUP(N2168,DATA!$K$4:$L$51,2,FALSE),"")</f>
        <v/>
      </c>
      <c r="P2168" s="80">
        <f t="shared" si="202"/>
        <v>0</v>
      </c>
      <c r="Q2168" s="154">
        <f t="shared" si="206"/>
        <v>0</v>
      </c>
    </row>
    <row r="2169" spans="2:17">
      <c r="B2169" s="627" t="str">
        <f t="shared" si="205"/>
        <v/>
      </c>
      <c r="C2169" s="631"/>
      <c r="D2169" s="817"/>
      <c r="E2169" s="808"/>
      <c r="F2169" s="629" t="str">
        <f>IFERROR(VLOOKUP(E2169,STAT1!$C$4:$D$1000,2,FALSE),"")</f>
        <v/>
      </c>
      <c r="G2169" s="891"/>
      <c r="H2169" s="891"/>
      <c r="I2169" s="580">
        <f t="shared" si="203"/>
        <v>0</v>
      </c>
      <c r="J2169" s="961">
        <f t="shared" si="204"/>
        <v>0</v>
      </c>
      <c r="K2169" s="80"/>
      <c r="L2169" s="808"/>
      <c r="M2169" s="154" t="str">
        <f>+IFERROR(VLOOKUP(L2169,DATA!$G$4:$H$2000,2,FALSE),"")</f>
        <v/>
      </c>
      <c r="N2169" s="808"/>
      <c r="O2169" s="80" t="str">
        <f>IFERROR(VLOOKUP(N2169,DATA!$K$4:$L$51,2,FALSE),"")</f>
        <v/>
      </c>
      <c r="P2169" s="80">
        <f t="shared" si="202"/>
        <v>0</v>
      </c>
      <c r="Q2169" s="154">
        <f t="shared" si="206"/>
        <v>0</v>
      </c>
    </row>
    <row r="2170" spans="2:17">
      <c r="B2170" s="627" t="str">
        <f t="shared" si="205"/>
        <v/>
      </c>
      <c r="C2170" s="631"/>
      <c r="D2170" s="817"/>
      <c r="E2170" s="808"/>
      <c r="F2170" s="629" t="str">
        <f>IFERROR(VLOOKUP(E2170,STAT1!$C$4:$D$1000,2,FALSE),"")</f>
        <v/>
      </c>
      <c r="G2170" s="891"/>
      <c r="H2170" s="891"/>
      <c r="I2170" s="580">
        <f t="shared" si="203"/>
        <v>0</v>
      </c>
      <c r="J2170" s="961">
        <f t="shared" si="204"/>
        <v>0</v>
      </c>
      <c r="K2170" s="80"/>
      <c r="L2170" s="808"/>
      <c r="M2170" s="154" t="str">
        <f>+IFERROR(VLOOKUP(L2170,DATA!$G$4:$H$2000,2,FALSE),"")</f>
        <v/>
      </c>
      <c r="N2170" s="808"/>
      <c r="O2170" s="80" t="str">
        <f>IFERROR(VLOOKUP(N2170,DATA!$K$4:$L$51,2,FALSE),"")</f>
        <v/>
      </c>
      <c r="P2170" s="80">
        <f t="shared" si="202"/>
        <v>0</v>
      </c>
      <c r="Q2170" s="154">
        <f t="shared" si="206"/>
        <v>0</v>
      </c>
    </row>
    <row r="2171" spans="2:17">
      <c r="B2171" s="627" t="str">
        <f t="shared" si="205"/>
        <v/>
      </c>
      <c r="C2171" s="631"/>
      <c r="D2171" s="817"/>
      <c r="E2171" s="808"/>
      <c r="F2171" s="629" t="str">
        <f>IFERROR(VLOOKUP(E2171,STAT1!$C$4:$D$1000,2,FALSE),"")</f>
        <v/>
      </c>
      <c r="G2171" s="891"/>
      <c r="H2171" s="891"/>
      <c r="I2171" s="580">
        <f t="shared" si="203"/>
        <v>0</v>
      </c>
      <c r="J2171" s="961">
        <f t="shared" si="204"/>
        <v>0</v>
      </c>
      <c r="K2171" s="80"/>
      <c r="L2171" s="808"/>
      <c r="M2171" s="154" t="str">
        <f>+IFERROR(VLOOKUP(L2171,DATA!$G$4:$H$2000,2,FALSE),"")</f>
        <v/>
      </c>
      <c r="N2171" s="808"/>
      <c r="O2171" s="80" t="str">
        <f>IFERROR(VLOOKUP(N2171,DATA!$K$4:$L$51,2,FALSE),"")</f>
        <v/>
      </c>
      <c r="P2171" s="80">
        <f t="shared" si="202"/>
        <v>0</v>
      </c>
      <c r="Q2171" s="154">
        <f t="shared" si="206"/>
        <v>0</v>
      </c>
    </row>
    <row r="2172" spans="2:17">
      <c r="B2172" s="627" t="str">
        <f t="shared" si="205"/>
        <v/>
      </c>
      <c r="C2172" s="631"/>
      <c r="D2172" s="817"/>
      <c r="E2172" s="808"/>
      <c r="F2172" s="629" t="str">
        <f>IFERROR(VLOOKUP(E2172,STAT1!$C$4:$D$1000,2,FALSE),"")</f>
        <v/>
      </c>
      <c r="G2172" s="891"/>
      <c r="H2172" s="891"/>
      <c r="I2172" s="580">
        <f t="shared" si="203"/>
        <v>0</v>
      </c>
      <c r="J2172" s="961">
        <f t="shared" si="204"/>
        <v>0</v>
      </c>
      <c r="K2172" s="80"/>
      <c r="L2172" s="808"/>
      <c r="M2172" s="154" t="str">
        <f>+IFERROR(VLOOKUP(L2172,DATA!$G$4:$H$2000,2,FALSE),"")</f>
        <v/>
      </c>
      <c r="N2172" s="808"/>
      <c r="O2172" s="80" t="str">
        <f>IFERROR(VLOOKUP(N2172,DATA!$K$4:$L$51,2,FALSE),"")</f>
        <v/>
      </c>
      <c r="P2172" s="80">
        <f t="shared" ref="P2172:P2235" si="207">+IF(I2172,1,0)</f>
        <v>0</v>
      </c>
      <c r="Q2172" s="154">
        <f t="shared" si="206"/>
        <v>0</v>
      </c>
    </row>
    <row r="2173" spans="2:17">
      <c r="B2173" s="627" t="str">
        <f t="shared" si="205"/>
        <v/>
      </c>
      <c r="C2173" s="631"/>
      <c r="D2173" s="817"/>
      <c r="E2173" s="808"/>
      <c r="F2173" s="629" t="str">
        <f>IFERROR(VLOOKUP(E2173,STAT1!$C$4:$D$1000,2,FALSE),"")</f>
        <v/>
      </c>
      <c r="G2173" s="891"/>
      <c r="H2173" s="891"/>
      <c r="I2173" s="580">
        <f t="shared" si="203"/>
        <v>0</v>
      </c>
      <c r="J2173" s="961">
        <f t="shared" si="204"/>
        <v>0</v>
      </c>
      <c r="K2173" s="80"/>
      <c r="L2173" s="808"/>
      <c r="M2173" s="154" t="str">
        <f>+IFERROR(VLOOKUP(L2173,DATA!$G$4:$H$2000,2,FALSE),"")</f>
        <v/>
      </c>
      <c r="N2173" s="808"/>
      <c r="O2173" s="80" t="str">
        <f>IFERROR(VLOOKUP(N2173,DATA!$K$4:$L$51,2,FALSE),"")</f>
        <v/>
      </c>
      <c r="P2173" s="80">
        <f t="shared" si="207"/>
        <v>0</v>
      </c>
      <c r="Q2173" s="154">
        <f t="shared" si="206"/>
        <v>0</v>
      </c>
    </row>
    <row r="2174" spans="2:17">
      <c r="B2174" s="627" t="str">
        <f t="shared" si="205"/>
        <v/>
      </c>
      <c r="C2174" s="631"/>
      <c r="D2174" s="819"/>
      <c r="E2174" s="808"/>
      <c r="F2174" s="629" t="str">
        <f>IFERROR(VLOOKUP(E2174,STAT1!$C$4:$D$1000,2,FALSE),"")</f>
        <v/>
      </c>
      <c r="G2174" s="891"/>
      <c r="H2174" s="891"/>
      <c r="I2174" s="580">
        <f t="shared" ref="I2174:I2237" si="208">+IF(OR(E2174=100100,E2174=100200,E2174=110100,E2174=110102,E2174=110103,E2174=110104,E2174=110105,E2174=110200,E2174=110201,E2174=110202,E2174=110203,E2174=110204,E2174=110300),G2174,0)+IF(OR(E2174=100100,E2174=100200,E2174=110100,E2174=110102,E2174=110103,E2174=110104,E2174=110105,E2174=110200,E2174=110201,E2174=110202,E2174=110203,E2174=110204,E2174=110300),H2174*-1,0)</f>
        <v>0</v>
      </c>
      <c r="J2174" s="961">
        <f t="shared" ref="J2174:J2237" si="209">+IF(E2174=110200,I2174/K2174,0)</f>
        <v>0</v>
      </c>
      <c r="K2174" s="80"/>
      <c r="L2174" s="808"/>
      <c r="M2174" s="154" t="str">
        <f>+IFERROR(VLOOKUP(L2174,DATA!$G$4:$H$2000,2,FALSE),"")</f>
        <v/>
      </c>
      <c r="N2174" s="808"/>
      <c r="O2174" s="80" t="str">
        <f>IFERROR(VLOOKUP(N2174,DATA!$K$4:$L$51,2,FALSE),"")</f>
        <v/>
      </c>
      <c r="P2174" s="80">
        <f t="shared" si="207"/>
        <v>0</v>
      </c>
      <c r="Q2174" s="154">
        <f t="shared" si="206"/>
        <v>0</v>
      </c>
    </row>
    <row r="2175" spans="2:17">
      <c r="B2175" s="627" t="str">
        <f t="shared" si="205"/>
        <v/>
      </c>
      <c r="C2175" s="635"/>
      <c r="D2175" s="819"/>
      <c r="E2175" s="633"/>
      <c r="F2175" s="629" t="str">
        <f>IFERROR(VLOOKUP(E2175,STAT1!$C$4:$D$1000,2,FALSE),"")</f>
        <v/>
      </c>
      <c r="G2175" s="893"/>
      <c r="H2175" s="893"/>
      <c r="I2175" s="580">
        <f t="shared" si="208"/>
        <v>0</v>
      </c>
      <c r="J2175" s="961">
        <f t="shared" si="209"/>
        <v>0</v>
      </c>
      <c r="K2175" s="80"/>
      <c r="L2175" s="633"/>
      <c r="M2175" s="154" t="str">
        <f>+IFERROR(VLOOKUP(L2175,DATA!$G$4:$H$2000,2,FALSE),"")</f>
        <v/>
      </c>
      <c r="N2175" s="633"/>
      <c r="O2175" s="80" t="str">
        <f>IFERROR(VLOOKUP(N2175,DATA!$K$4:$L$51,2,FALSE),"")</f>
        <v/>
      </c>
      <c r="P2175" s="80">
        <f t="shared" si="207"/>
        <v>0</v>
      </c>
      <c r="Q2175" s="154">
        <f t="shared" si="206"/>
        <v>0</v>
      </c>
    </row>
    <row r="2176" spans="2:17">
      <c r="B2176" s="627" t="str">
        <f t="shared" si="205"/>
        <v/>
      </c>
      <c r="C2176" s="635"/>
      <c r="D2176" s="819"/>
      <c r="E2176" s="633"/>
      <c r="F2176" s="629" t="str">
        <f>IFERROR(VLOOKUP(E2176,STAT1!$C$4:$D$1000,2,FALSE),"")</f>
        <v/>
      </c>
      <c r="G2176" s="893"/>
      <c r="H2176" s="893"/>
      <c r="I2176" s="580">
        <f t="shared" si="208"/>
        <v>0</v>
      </c>
      <c r="J2176" s="961">
        <f t="shared" si="209"/>
        <v>0</v>
      </c>
      <c r="K2176" s="80"/>
      <c r="L2176" s="633"/>
      <c r="M2176" s="154" t="str">
        <f>+IFERROR(VLOOKUP(L2176,DATA!$G$4:$H$2000,2,FALSE),"")</f>
        <v/>
      </c>
      <c r="N2176" s="633"/>
      <c r="O2176" s="80" t="str">
        <f>IFERROR(VLOOKUP(N2176,DATA!$K$4:$L$51,2,FALSE),"")</f>
        <v/>
      </c>
      <c r="P2176" s="80">
        <f t="shared" si="207"/>
        <v>0</v>
      </c>
      <c r="Q2176" s="154">
        <f t="shared" si="206"/>
        <v>0</v>
      </c>
    </row>
    <row r="2177" spans="2:17">
      <c r="B2177" s="627" t="str">
        <f t="shared" si="205"/>
        <v/>
      </c>
      <c r="C2177" s="635"/>
      <c r="D2177" s="819"/>
      <c r="E2177" s="633"/>
      <c r="F2177" s="629" t="str">
        <f>IFERROR(VLOOKUP(E2177,STAT1!$C$4:$D$1000,2,FALSE),"")</f>
        <v/>
      </c>
      <c r="G2177" s="893"/>
      <c r="H2177" s="893"/>
      <c r="I2177" s="580">
        <f t="shared" si="208"/>
        <v>0</v>
      </c>
      <c r="J2177" s="961">
        <f t="shared" si="209"/>
        <v>0</v>
      </c>
      <c r="K2177" s="80"/>
      <c r="L2177" s="633"/>
      <c r="M2177" s="154" t="str">
        <f>+IFERROR(VLOOKUP(L2177,DATA!$G$4:$H$2000,2,FALSE),"")</f>
        <v/>
      </c>
      <c r="N2177" s="633"/>
      <c r="O2177" s="80" t="str">
        <f>IFERROR(VLOOKUP(N2177,DATA!$K$4:$L$51,2,FALSE),"")</f>
        <v/>
      </c>
      <c r="P2177" s="80">
        <f t="shared" si="207"/>
        <v>0</v>
      </c>
      <c r="Q2177" s="154">
        <f t="shared" si="206"/>
        <v>0</v>
      </c>
    </row>
    <row r="2178" spans="2:17">
      <c r="B2178" s="627" t="str">
        <f t="shared" si="205"/>
        <v/>
      </c>
      <c r="C2178" s="635"/>
      <c r="D2178" s="819"/>
      <c r="E2178" s="633"/>
      <c r="F2178" s="629" t="str">
        <f>IFERROR(VLOOKUP(E2178,STAT1!$C$4:$D$1000,2,FALSE),"")</f>
        <v/>
      </c>
      <c r="G2178" s="893"/>
      <c r="H2178" s="893"/>
      <c r="I2178" s="580">
        <f t="shared" si="208"/>
        <v>0</v>
      </c>
      <c r="J2178" s="961">
        <f t="shared" si="209"/>
        <v>0</v>
      </c>
      <c r="K2178" s="80"/>
      <c r="L2178" s="633"/>
      <c r="M2178" s="154" t="str">
        <f>+IFERROR(VLOOKUP(L2178,DATA!$G$4:$H$2000,2,FALSE),"")</f>
        <v/>
      </c>
      <c r="N2178" s="633"/>
      <c r="O2178" s="80" t="str">
        <f>IFERROR(VLOOKUP(N2178,DATA!$K$4:$L$51,2,FALSE),"")</f>
        <v/>
      </c>
      <c r="P2178" s="80">
        <f t="shared" si="207"/>
        <v>0</v>
      </c>
      <c r="Q2178" s="154">
        <f t="shared" si="206"/>
        <v>0</v>
      </c>
    </row>
    <row r="2179" spans="2:17">
      <c r="B2179" s="627" t="str">
        <f t="shared" si="205"/>
        <v/>
      </c>
      <c r="C2179" s="635"/>
      <c r="D2179" s="819"/>
      <c r="E2179" s="633"/>
      <c r="F2179" s="629" t="str">
        <f>IFERROR(VLOOKUP(E2179,STAT1!$C$4:$D$1000,2,FALSE),"")</f>
        <v/>
      </c>
      <c r="G2179" s="893"/>
      <c r="H2179" s="893"/>
      <c r="I2179" s="580">
        <f t="shared" si="208"/>
        <v>0</v>
      </c>
      <c r="J2179" s="961">
        <f t="shared" si="209"/>
        <v>0</v>
      </c>
      <c r="K2179" s="80"/>
      <c r="L2179" s="633"/>
      <c r="M2179" s="154" t="str">
        <f>+IFERROR(VLOOKUP(L2179,DATA!$G$4:$H$2000,2,FALSE),"")</f>
        <v/>
      </c>
      <c r="N2179" s="633"/>
      <c r="O2179" s="80" t="str">
        <f>IFERROR(VLOOKUP(N2179,DATA!$K$4:$L$51,2,FALSE),"")</f>
        <v/>
      </c>
      <c r="P2179" s="80">
        <f t="shared" si="207"/>
        <v>0</v>
      </c>
      <c r="Q2179" s="154">
        <f t="shared" si="206"/>
        <v>0</v>
      </c>
    </row>
    <row r="2180" spans="2:17">
      <c r="B2180" s="627" t="str">
        <f t="shared" si="205"/>
        <v/>
      </c>
      <c r="C2180" s="635"/>
      <c r="D2180" s="819"/>
      <c r="E2180" s="633"/>
      <c r="F2180" s="629" t="str">
        <f>IFERROR(VLOOKUP(E2180,STAT1!$C$4:$D$1000,2,FALSE),"")</f>
        <v/>
      </c>
      <c r="G2180" s="893"/>
      <c r="H2180" s="893"/>
      <c r="I2180" s="580">
        <f t="shared" si="208"/>
        <v>0</v>
      </c>
      <c r="J2180" s="961">
        <f t="shared" si="209"/>
        <v>0</v>
      </c>
      <c r="K2180" s="80"/>
      <c r="L2180" s="633"/>
      <c r="M2180" s="154" t="str">
        <f>+IFERROR(VLOOKUP(L2180,DATA!$G$4:$H$2000,2,FALSE),"")</f>
        <v/>
      </c>
      <c r="N2180" s="633"/>
      <c r="O2180" s="80" t="str">
        <f>IFERROR(VLOOKUP(N2180,DATA!$K$4:$L$51,2,FALSE),"")</f>
        <v/>
      </c>
      <c r="P2180" s="80">
        <f t="shared" si="207"/>
        <v>0</v>
      </c>
      <c r="Q2180" s="154">
        <f t="shared" si="206"/>
        <v>0</v>
      </c>
    </row>
    <row r="2181" spans="2:17">
      <c r="B2181" s="627" t="str">
        <f t="shared" si="205"/>
        <v/>
      </c>
      <c r="C2181" s="635"/>
      <c r="D2181" s="819"/>
      <c r="E2181" s="633"/>
      <c r="F2181" s="629" t="str">
        <f>IFERROR(VLOOKUP(E2181,STAT1!$C$4:$D$1000,2,FALSE),"")</f>
        <v/>
      </c>
      <c r="G2181" s="893"/>
      <c r="H2181" s="893"/>
      <c r="I2181" s="580">
        <f t="shared" si="208"/>
        <v>0</v>
      </c>
      <c r="J2181" s="961">
        <f t="shared" si="209"/>
        <v>0</v>
      </c>
      <c r="K2181" s="80"/>
      <c r="L2181" s="633"/>
      <c r="M2181" s="154" t="str">
        <f>+IFERROR(VLOOKUP(L2181,DATA!$G$4:$H$2000,2,FALSE),"")</f>
        <v/>
      </c>
      <c r="N2181" s="633"/>
      <c r="O2181" s="80" t="str">
        <f>IFERROR(VLOOKUP(N2181,DATA!$K$4:$L$51,2,FALSE),"")</f>
        <v/>
      </c>
      <c r="P2181" s="80">
        <f t="shared" si="207"/>
        <v>0</v>
      </c>
      <c r="Q2181" s="154">
        <f t="shared" si="206"/>
        <v>0</v>
      </c>
    </row>
    <row r="2182" spans="2:17">
      <c r="B2182" s="627" t="str">
        <f t="shared" si="205"/>
        <v/>
      </c>
      <c r="C2182" s="635"/>
      <c r="D2182" s="819"/>
      <c r="E2182" s="633"/>
      <c r="F2182" s="629" t="str">
        <f>IFERROR(VLOOKUP(E2182,STAT1!$C$4:$D$1000,2,FALSE),"")</f>
        <v/>
      </c>
      <c r="G2182" s="893"/>
      <c r="H2182" s="893"/>
      <c r="I2182" s="580">
        <f t="shared" si="208"/>
        <v>0</v>
      </c>
      <c r="J2182" s="961">
        <f t="shared" si="209"/>
        <v>0</v>
      </c>
      <c r="K2182" s="80"/>
      <c r="L2182" s="633"/>
      <c r="M2182" s="154" t="str">
        <f>+IFERROR(VLOOKUP(L2182,DATA!$G$4:$H$2000,2,FALSE),"")</f>
        <v/>
      </c>
      <c r="N2182" s="633"/>
      <c r="O2182" s="80" t="str">
        <f>IFERROR(VLOOKUP(N2182,DATA!$K$4:$L$51,2,FALSE),"")</f>
        <v/>
      </c>
      <c r="P2182" s="80">
        <f t="shared" si="207"/>
        <v>0</v>
      </c>
      <c r="Q2182" s="154">
        <f t="shared" si="206"/>
        <v>0</v>
      </c>
    </row>
    <row r="2183" spans="2:17">
      <c r="B2183" s="627" t="str">
        <f t="shared" si="205"/>
        <v/>
      </c>
      <c r="C2183" s="635"/>
      <c r="D2183" s="819"/>
      <c r="E2183" s="633"/>
      <c r="F2183" s="629" t="str">
        <f>IFERROR(VLOOKUP(E2183,STAT1!$C$4:$D$1000,2,FALSE),"")</f>
        <v/>
      </c>
      <c r="G2183" s="893"/>
      <c r="H2183" s="893"/>
      <c r="I2183" s="580">
        <f t="shared" si="208"/>
        <v>0</v>
      </c>
      <c r="J2183" s="961">
        <f t="shared" si="209"/>
        <v>0</v>
      </c>
      <c r="K2183" s="80"/>
      <c r="L2183" s="633"/>
      <c r="M2183" s="154" t="str">
        <f>+IFERROR(VLOOKUP(L2183,DATA!$G$4:$H$2000,2,FALSE),"")</f>
        <v/>
      </c>
      <c r="N2183" s="633"/>
      <c r="O2183" s="80" t="str">
        <f>IFERROR(VLOOKUP(N2183,DATA!$K$4:$L$51,2,FALSE),"")</f>
        <v/>
      </c>
      <c r="P2183" s="80">
        <f t="shared" si="207"/>
        <v>0</v>
      </c>
      <c r="Q2183" s="154">
        <f t="shared" si="206"/>
        <v>0</v>
      </c>
    </row>
    <row r="2184" spans="2:17">
      <c r="B2184" s="627" t="str">
        <f t="shared" si="205"/>
        <v/>
      </c>
      <c r="C2184" s="635"/>
      <c r="D2184" s="817"/>
      <c r="E2184" s="633"/>
      <c r="F2184" s="629" t="str">
        <f>IFERROR(VLOOKUP(E2184,STAT1!$C$4:$D$1000,2,FALSE),"")</f>
        <v/>
      </c>
      <c r="G2184" s="893"/>
      <c r="H2184" s="893"/>
      <c r="I2184" s="580">
        <f t="shared" si="208"/>
        <v>0</v>
      </c>
      <c r="J2184" s="961">
        <f t="shared" si="209"/>
        <v>0</v>
      </c>
      <c r="K2184" s="80"/>
      <c r="L2184" s="633"/>
      <c r="M2184" s="154" t="str">
        <f>+IFERROR(VLOOKUP(L2184,DATA!$G$4:$H$2000,2,FALSE),"")</f>
        <v/>
      </c>
      <c r="N2184" s="633"/>
      <c r="O2184" s="80" t="str">
        <f>IFERROR(VLOOKUP(N2184,DATA!$K$4:$L$51,2,FALSE),"")</f>
        <v/>
      </c>
      <c r="P2184" s="80">
        <f t="shared" si="207"/>
        <v>0</v>
      </c>
      <c r="Q2184" s="154">
        <f t="shared" si="206"/>
        <v>0</v>
      </c>
    </row>
    <row r="2185" spans="2:17">
      <c r="B2185" s="627" t="str">
        <f t="shared" si="205"/>
        <v/>
      </c>
      <c r="C2185" s="631"/>
      <c r="D2185" s="817"/>
      <c r="E2185" s="808"/>
      <c r="F2185" s="629" t="str">
        <f>IFERROR(VLOOKUP(E2185,STAT1!$C$4:$D$1000,2,FALSE),"")</f>
        <v/>
      </c>
      <c r="G2185" s="891"/>
      <c r="H2185" s="891"/>
      <c r="I2185" s="580">
        <f t="shared" si="208"/>
        <v>0</v>
      </c>
      <c r="J2185" s="961">
        <f t="shared" si="209"/>
        <v>0</v>
      </c>
      <c r="K2185" s="80"/>
      <c r="L2185" s="808"/>
      <c r="M2185" s="154" t="str">
        <f>+IFERROR(VLOOKUP(L2185,DATA!$G$4:$H$2000,2,FALSE),"")</f>
        <v/>
      </c>
      <c r="N2185" s="808"/>
      <c r="O2185" s="80" t="str">
        <f>IFERROR(VLOOKUP(N2185,DATA!$K$4:$L$51,2,FALSE),"")</f>
        <v/>
      </c>
      <c r="P2185" s="80">
        <f t="shared" si="207"/>
        <v>0</v>
      </c>
      <c r="Q2185" s="154">
        <f t="shared" si="206"/>
        <v>0</v>
      </c>
    </row>
    <row r="2186" spans="2:17">
      <c r="B2186" s="627" t="str">
        <f t="shared" si="205"/>
        <v/>
      </c>
      <c r="C2186" s="631"/>
      <c r="D2186" s="817"/>
      <c r="E2186" s="808"/>
      <c r="F2186" s="629" t="str">
        <f>IFERROR(VLOOKUP(E2186,STAT1!$C$4:$D$1000,2,FALSE),"")</f>
        <v/>
      </c>
      <c r="G2186" s="891"/>
      <c r="H2186" s="891"/>
      <c r="I2186" s="580">
        <f t="shared" si="208"/>
        <v>0</v>
      </c>
      <c r="J2186" s="961">
        <f t="shared" si="209"/>
        <v>0</v>
      </c>
      <c r="K2186" s="80"/>
      <c r="L2186" s="808"/>
      <c r="M2186" s="154" t="str">
        <f>+IFERROR(VLOOKUP(L2186,DATA!$G$4:$H$2000,2,FALSE),"")</f>
        <v/>
      </c>
      <c r="N2186" s="808"/>
      <c r="O2186" s="80" t="str">
        <f>IFERROR(VLOOKUP(N2186,DATA!$K$4:$L$51,2,FALSE),"")</f>
        <v/>
      </c>
      <c r="P2186" s="80">
        <f t="shared" si="207"/>
        <v>0</v>
      </c>
      <c r="Q2186" s="154">
        <f t="shared" si="206"/>
        <v>0</v>
      </c>
    </row>
    <row r="2187" spans="2:17">
      <c r="B2187" s="627" t="str">
        <f t="shared" si="205"/>
        <v/>
      </c>
      <c r="C2187" s="631"/>
      <c r="D2187" s="817"/>
      <c r="E2187" s="808"/>
      <c r="F2187" s="629" t="str">
        <f>IFERROR(VLOOKUP(E2187,STAT1!$C$4:$D$1000,2,FALSE),"")</f>
        <v/>
      </c>
      <c r="G2187" s="891"/>
      <c r="H2187" s="891"/>
      <c r="I2187" s="580">
        <f t="shared" si="208"/>
        <v>0</v>
      </c>
      <c r="J2187" s="961">
        <f t="shared" si="209"/>
        <v>0</v>
      </c>
      <c r="K2187" s="80"/>
      <c r="L2187" s="808"/>
      <c r="M2187" s="154" t="str">
        <f>+IFERROR(VLOOKUP(L2187,DATA!$G$4:$H$2000,2,FALSE),"")</f>
        <v/>
      </c>
      <c r="N2187" s="808"/>
      <c r="O2187" s="80" t="str">
        <f>IFERROR(VLOOKUP(N2187,DATA!$K$4:$L$51,2,FALSE),"")</f>
        <v/>
      </c>
      <c r="P2187" s="80">
        <f t="shared" si="207"/>
        <v>0</v>
      </c>
      <c r="Q2187" s="154">
        <f t="shared" si="206"/>
        <v>0</v>
      </c>
    </row>
    <row r="2188" spans="2:17">
      <c r="B2188" s="627" t="str">
        <f t="shared" si="205"/>
        <v/>
      </c>
      <c r="C2188" s="631"/>
      <c r="D2188" s="817"/>
      <c r="E2188" s="808"/>
      <c r="F2188" s="629" t="str">
        <f>IFERROR(VLOOKUP(E2188,STAT1!$C$4:$D$1000,2,FALSE),"")</f>
        <v/>
      </c>
      <c r="G2188" s="891"/>
      <c r="H2188" s="891"/>
      <c r="I2188" s="580">
        <f t="shared" si="208"/>
        <v>0</v>
      </c>
      <c r="J2188" s="961">
        <f t="shared" si="209"/>
        <v>0</v>
      </c>
      <c r="K2188" s="80"/>
      <c r="L2188" s="808"/>
      <c r="M2188" s="154" t="str">
        <f>+IFERROR(VLOOKUP(L2188,DATA!$G$4:$H$2000,2,FALSE),"")</f>
        <v/>
      </c>
      <c r="N2188" s="808"/>
      <c r="O2188" s="80" t="str">
        <f>IFERROR(VLOOKUP(N2188,DATA!$K$4:$L$51,2,FALSE),"")</f>
        <v/>
      </c>
      <c r="P2188" s="80">
        <f t="shared" si="207"/>
        <v>0</v>
      </c>
      <c r="Q2188" s="154">
        <f t="shared" si="206"/>
        <v>0</v>
      </c>
    </row>
    <row r="2189" spans="2:17">
      <c r="B2189" s="627" t="str">
        <f t="shared" si="205"/>
        <v/>
      </c>
      <c r="C2189" s="631"/>
      <c r="D2189" s="819"/>
      <c r="E2189" s="808"/>
      <c r="F2189" s="629" t="str">
        <f>IFERROR(VLOOKUP(E2189,STAT1!$C$4:$D$1000,2,FALSE),"")</f>
        <v/>
      </c>
      <c r="G2189" s="891"/>
      <c r="H2189" s="891"/>
      <c r="I2189" s="580">
        <f t="shared" si="208"/>
        <v>0</v>
      </c>
      <c r="J2189" s="961">
        <f t="shared" si="209"/>
        <v>0</v>
      </c>
      <c r="K2189" s="80"/>
      <c r="L2189" s="808"/>
      <c r="M2189" s="154" t="str">
        <f>+IFERROR(VLOOKUP(L2189,DATA!$G$4:$H$2000,2,FALSE),"")</f>
        <v/>
      </c>
      <c r="N2189" s="808"/>
      <c r="O2189" s="80" t="str">
        <f>IFERROR(VLOOKUP(N2189,DATA!$K$4:$L$51,2,FALSE),"")</f>
        <v/>
      </c>
      <c r="P2189" s="80">
        <f t="shared" si="207"/>
        <v>0</v>
      </c>
      <c r="Q2189" s="154">
        <f t="shared" si="206"/>
        <v>0</v>
      </c>
    </row>
    <row r="2190" spans="2:17">
      <c r="B2190" s="627" t="str">
        <f t="shared" si="205"/>
        <v/>
      </c>
      <c r="C2190" s="635"/>
      <c r="D2190" s="819"/>
      <c r="E2190" s="633"/>
      <c r="F2190" s="629" t="str">
        <f>IFERROR(VLOOKUP(E2190,STAT1!$C$4:$D$1000,2,FALSE),"")</f>
        <v/>
      </c>
      <c r="G2190" s="893"/>
      <c r="H2190" s="893"/>
      <c r="I2190" s="580">
        <f t="shared" si="208"/>
        <v>0</v>
      </c>
      <c r="J2190" s="961">
        <f t="shared" si="209"/>
        <v>0</v>
      </c>
      <c r="K2190" s="80"/>
      <c r="L2190" s="633"/>
      <c r="M2190" s="154" t="str">
        <f>+IFERROR(VLOOKUP(L2190,DATA!$G$4:$H$2000,2,FALSE),"")</f>
        <v/>
      </c>
      <c r="N2190" s="633"/>
      <c r="O2190" s="80" t="str">
        <f>IFERROR(VLOOKUP(N2190,DATA!$K$4:$L$51,2,FALSE),"")</f>
        <v/>
      </c>
      <c r="P2190" s="80">
        <f t="shared" si="207"/>
        <v>0</v>
      </c>
      <c r="Q2190" s="154">
        <f t="shared" si="206"/>
        <v>0</v>
      </c>
    </row>
    <row r="2191" spans="2:17">
      <c r="B2191" s="627" t="str">
        <f t="shared" si="205"/>
        <v/>
      </c>
      <c r="C2191" s="635"/>
      <c r="D2191" s="819"/>
      <c r="E2191" s="633"/>
      <c r="F2191" s="629" t="str">
        <f>IFERROR(VLOOKUP(E2191,STAT1!$C$4:$D$1000,2,FALSE),"")</f>
        <v/>
      </c>
      <c r="G2191" s="893"/>
      <c r="H2191" s="893"/>
      <c r="I2191" s="580">
        <f t="shared" si="208"/>
        <v>0</v>
      </c>
      <c r="J2191" s="961">
        <f t="shared" si="209"/>
        <v>0</v>
      </c>
      <c r="K2191" s="80"/>
      <c r="L2191" s="633"/>
      <c r="M2191" s="154" t="str">
        <f>+IFERROR(VLOOKUP(L2191,DATA!$G$4:$H$2000,2,FALSE),"")</f>
        <v/>
      </c>
      <c r="N2191" s="633"/>
      <c r="O2191" s="80" t="str">
        <f>IFERROR(VLOOKUP(N2191,DATA!$K$4:$L$51,2,FALSE),"")</f>
        <v/>
      </c>
      <c r="P2191" s="80">
        <f t="shared" si="207"/>
        <v>0</v>
      </c>
      <c r="Q2191" s="154">
        <f t="shared" si="206"/>
        <v>0</v>
      </c>
    </row>
    <row r="2192" spans="2:17">
      <c r="B2192" s="627" t="str">
        <f t="shared" si="205"/>
        <v/>
      </c>
      <c r="C2192" s="635"/>
      <c r="D2192" s="819"/>
      <c r="E2192" s="633"/>
      <c r="F2192" s="629" t="str">
        <f>IFERROR(VLOOKUP(E2192,STAT1!$C$4:$D$1000,2,FALSE),"")</f>
        <v/>
      </c>
      <c r="G2192" s="893"/>
      <c r="H2192" s="893"/>
      <c r="I2192" s="580">
        <f t="shared" si="208"/>
        <v>0</v>
      </c>
      <c r="J2192" s="961">
        <f t="shared" si="209"/>
        <v>0</v>
      </c>
      <c r="K2192" s="80"/>
      <c r="L2192" s="633"/>
      <c r="M2192" s="154" t="str">
        <f>+IFERROR(VLOOKUP(L2192,DATA!$G$4:$H$2000,2,FALSE),"")</f>
        <v/>
      </c>
      <c r="N2192" s="633"/>
      <c r="O2192" s="80" t="str">
        <f>IFERROR(VLOOKUP(N2192,DATA!$K$4:$L$51,2,FALSE),"")</f>
        <v/>
      </c>
      <c r="P2192" s="80">
        <f t="shared" si="207"/>
        <v>0</v>
      </c>
      <c r="Q2192" s="154">
        <f t="shared" si="206"/>
        <v>0</v>
      </c>
    </row>
    <row r="2193" spans="2:17">
      <c r="B2193" s="627" t="str">
        <f t="shared" ref="B2193:B2256" si="210">+IF(C2193="","",ROW()-5)</f>
        <v/>
      </c>
      <c r="C2193" s="635"/>
      <c r="D2193" s="819"/>
      <c r="E2193" s="633"/>
      <c r="F2193" s="629" t="str">
        <f>IFERROR(VLOOKUP(E2193,STAT1!$C$4:$D$1000,2,FALSE),"")</f>
        <v/>
      </c>
      <c r="G2193" s="893"/>
      <c r="H2193" s="893"/>
      <c r="I2193" s="580">
        <f t="shared" si="208"/>
        <v>0</v>
      </c>
      <c r="J2193" s="961">
        <f t="shared" si="209"/>
        <v>0</v>
      </c>
      <c r="K2193" s="80"/>
      <c r="L2193" s="633"/>
      <c r="M2193" s="154" t="str">
        <f>+IFERROR(VLOOKUP(L2193,DATA!$G$4:$H$2000,2,FALSE),"")</f>
        <v/>
      </c>
      <c r="N2193" s="633"/>
      <c r="O2193" s="80" t="str">
        <f>IFERROR(VLOOKUP(N2193,DATA!$K$4:$L$51,2,FALSE),"")</f>
        <v/>
      </c>
      <c r="P2193" s="80">
        <f t="shared" si="207"/>
        <v>0</v>
      </c>
      <c r="Q2193" s="154">
        <f t="shared" si="206"/>
        <v>0</v>
      </c>
    </row>
    <row r="2194" spans="2:17">
      <c r="B2194" s="627" t="str">
        <f t="shared" si="210"/>
        <v/>
      </c>
      <c r="C2194" s="635"/>
      <c r="D2194" s="817"/>
      <c r="E2194" s="633"/>
      <c r="F2194" s="629" t="str">
        <f>IFERROR(VLOOKUP(E2194,STAT1!$C$4:$D$1000,2,FALSE),"")</f>
        <v/>
      </c>
      <c r="G2194" s="893"/>
      <c r="H2194" s="893"/>
      <c r="I2194" s="580">
        <f t="shared" si="208"/>
        <v>0</v>
      </c>
      <c r="J2194" s="961">
        <f t="shared" si="209"/>
        <v>0</v>
      </c>
      <c r="K2194" s="80"/>
      <c r="L2194" s="633"/>
      <c r="M2194" s="154" t="str">
        <f>+IFERROR(VLOOKUP(L2194,DATA!$G$4:$H$2000,2,FALSE),"")</f>
        <v/>
      </c>
      <c r="N2194" s="633"/>
      <c r="O2194" s="80" t="str">
        <f>IFERROR(VLOOKUP(N2194,DATA!$K$4:$L$51,2,FALSE),"")</f>
        <v/>
      </c>
      <c r="P2194" s="80">
        <f t="shared" si="207"/>
        <v>0</v>
      </c>
      <c r="Q2194" s="154">
        <f t="shared" si="206"/>
        <v>0</v>
      </c>
    </row>
    <row r="2195" spans="2:17">
      <c r="B2195" s="627" t="str">
        <f t="shared" si="210"/>
        <v/>
      </c>
      <c r="C2195" s="631"/>
      <c r="D2195" s="817"/>
      <c r="E2195" s="808"/>
      <c r="F2195" s="629" t="str">
        <f>IFERROR(VLOOKUP(E2195,STAT1!$C$4:$D$1000,2,FALSE),"")</f>
        <v/>
      </c>
      <c r="G2195" s="891"/>
      <c r="H2195" s="891"/>
      <c r="I2195" s="580">
        <f t="shared" si="208"/>
        <v>0</v>
      </c>
      <c r="J2195" s="961">
        <f t="shared" si="209"/>
        <v>0</v>
      </c>
      <c r="K2195" s="80"/>
      <c r="L2195" s="808"/>
      <c r="M2195" s="154" t="str">
        <f>+IFERROR(VLOOKUP(L2195,DATA!$G$4:$H$2000,2,FALSE),"")</f>
        <v/>
      </c>
      <c r="N2195" s="808"/>
      <c r="O2195" s="80" t="str">
        <f>IFERROR(VLOOKUP(N2195,DATA!$K$4:$L$51,2,FALSE),"")</f>
        <v/>
      </c>
      <c r="P2195" s="80">
        <f t="shared" si="207"/>
        <v>0</v>
      </c>
      <c r="Q2195" s="154">
        <f t="shared" si="206"/>
        <v>0</v>
      </c>
    </row>
    <row r="2196" spans="2:17">
      <c r="B2196" s="627" t="str">
        <f t="shared" si="210"/>
        <v/>
      </c>
      <c r="C2196" s="631"/>
      <c r="D2196" s="817"/>
      <c r="E2196" s="808"/>
      <c r="F2196" s="629" t="str">
        <f>IFERROR(VLOOKUP(E2196,STAT1!$C$4:$D$1000,2,FALSE),"")</f>
        <v/>
      </c>
      <c r="G2196" s="891"/>
      <c r="H2196" s="891"/>
      <c r="I2196" s="580">
        <f t="shared" si="208"/>
        <v>0</v>
      </c>
      <c r="J2196" s="961">
        <f t="shared" si="209"/>
        <v>0</v>
      </c>
      <c r="K2196" s="80"/>
      <c r="L2196" s="808"/>
      <c r="M2196" s="154" t="str">
        <f>+IFERROR(VLOOKUP(L2196,DATA!$G$4:$H$2000,2,FALSE),"")</f>
        <v/>
      </c>
      <c r="N2196" s="808"/>
      <c r="O2196" s="80" t="str">
        <f>IFERROR(VLOOKUP(N2196,DATA!$K$4:$L$51,2,FALSE),"")</f>
        <v/>
      </c>
      <c r="P2196" s="80">
        <f t="shared" si="207"/>
        <v>0</v>
      </c>
      <c r="Q2196" s="154">
        <f t="shared" si="206"/>
        <v>0</v>
      </c>
    </row>
    <row r="2197" spans="2:17">
      <c r="B2197" s="627" t="str">
        <f t="shared" si="210"/>
        <v/>
      </c>
      <c r="C2197" s="631"/>
      <c r="D2197" s="817"/>
      <c r="E2197" s="808"/>
      <c r="F2197" s="629" t="str">
        <f>IFERROR(VLOOKUP(E2197,STAT1!$C$4:$D$1000,2,FALSE),"")</f>
        <v/>
      </c>
      <c r="G2197" s="891"/>
      <c r="H2197" s="891"/>
      <c r="I2197" s="580">
        <f t="shared" si="208"/>
        <v>0</v>
      </c>
      <c r="J2197" s="961">
        <f t="shared" si="209"/>
        <v>0</v>
      </c>
      <c r="K2197" s="80"/>
      <c r="L2197" s="808"/>
      <c r="M2197" s="154" t="str">
        <f>+IFERROR(VLOOKUP(L2197,DATA!$G$4:$H$2000,2,FALSE),"")</f>
        <v/>
      </c>
      <c r="N2197" s="808"/>
      <c r="O2197" s="80" t="str">
        <f>IFERROR(VLOOKUP(N2197,DATA!$K$4:$L$51,2,FALSE),"")</f>
        <v/>
      </c>
      <c r="P2197" s="80">
        <f t="shared" si="207"/>
        <v>0</v>
      </c>
      <c r="Q2197" s="154">
        <f t="shared" si="206"/>
        <v>0</v>
      </c>
    </row>
    <row r="2198" spans="2:17">
      <c r="B2198" s="627" t="str">
        <f t="shared" si="210"/>
        <v/>
      </c>
      <c r="C2198" s="631"/>
      <c r="D2198" s="817"/>
      <c r="E2198" s="808"/>
      <c r="F2198" s="629" t="str">
        <f>IFERROR(VLOOKUP(E2198,STAT1!$C$4:$D$1000,2,FALSE),"")</f>
        <v/>
      </c>
      <c r="G2198" s="891"/>
      <c r="H2198" s="891"/>
      <c r="I2198" s="580">
        <f t="shared" si="208"/>
        <v>0</v>
      </c>
      <c r="J2198" s="961">
        <f t="shared" si="209"/>
        <v>0</v>
      </c>
      <c r="K2198" s="80"/>
      <c r="L2198" s="808"/>
      <c r="M2198" s="154" t="str">
        <f>+IFERROR(VLOOKUP(L2198,DATA!$G$4:$H$2000,2,FALSE),"")</f>
        <v/>
      </c>
      <c r="N2198" s="808"/>
      <c r="O2198" s="80" t="str">
        <f>IFERROR(VLOOKUP(N2198,DATA!$K$4:$L$51,2,FALSE),"")</f>
        <v/>
      </c>
      <c r="P2198" s="80">
        <f t="shared" si="207"/>
        <v>0</v>
      </c>
      <c r="Q2198" s="154">
        <f t="shared" si="206"/>
        <v>0</v>
      </c>
    </row>
    <row r="2199" spans="2:17">
      <c r="B2199" s="627" t="str">
        <f t="shared" si="210"/>
        <v/>
      </c>
      <c r="C2199" s="631"/>
      <c r="D2199" s="817"/>
      <c r="E2199" s="808"/>
      <c r="F2199" s="629" t="str">
        <f>IFERROR(VLOOKUP(E2199,STAT1!$C$4:$D$1000,2,FALSE),"")</f>
        <v/>
      </c>
      <c r="G2199" s="891"/>
      <c r="H2199" s="891"/>
      <c r="I2199" s="580">
        <f t="shared" si="208"/>
        <v>0</v>
      </c>
      <c r="J2199" s="961">
        <f t="shared" si="209"/>
        <v>0</v>
      </c>
      <c r="K2199" s="80"/>
      <c r="L2199" s="808"/>
      <c r="M2199" s="154" t="str">
        <f>+IFERROR(VLOOKUP(L2199,DATA!$G$4:$H$2000,2,FALSE),"")</f>
        <v/>
      </c>
      <c r="N2199" s="808"/>
      <c r="O2199" s="80" t="str">
        <f>IFERROR(VLOOKUP(N2199,DATA!$K$4:$L$51,2,FALSE),"")</f>
        <v/>
      </c>
      <c r="P2199" s="80">
        <f t="shared" si="207"/>
        <v>0</v>
      </c>
      <c r="Q2199" s="154">
        <f t="shared" si="206"/>
        <v>0</v>
      </c>
    </row>
    <row r="2200" spans="2:17">
      <c r="B2200" s="627" t="str">
        <f t="shared" si="210"/>
        <v/>
      </c>
      <c r="C2200" s="631"/>
      <c r="D2200" s="819"/>
      <c r="E2200" s="808"/>
      <c r="F2200" s="629" t="str">
        <f>IFERROR(VLOOKUP(E2200,STAT1!$C$4:$D$1000,2,FALSE),"")</f>
        <v/>
      </c>
      <c r="G2200" s="891"/>
      <c r="H2200" s="891"/>
      <c r="I2200" s="580">
        <f t="shared" si="208"/>
        <v>0</v>
      </c>
      <c r="J2200" s="961">
        <f t="shared" si="209"/>
        <v>0</v>
      </c>
      <c r="K2200" s="80"/>
      <c r="L2200" s="808"/>
      <c r="M2200" s="154" t="str">
        <f>+IFERROR(VLOOKUP(L2200,DATA!$G$4:$H$2000,2,FALSE),"")</f>
        <v/>
      </c>
      <c r="N2200" s="808"/>
      <c r="O2200" s="80" t="str">
        <f>IFERROR(VLOOKUP(N2200,DATA!$K$4:$L$51,2,FALSE),"")</f>
        <v/>
      </c>
      <c r="P2200" s="80">
        <f t="shared" si="207"/>
        <v>0</v>
      </c>
      <c r="Q2200" s="154">
        <f t="shared" si="206"/>
        <v>0</v>
      </c>
    </row>
    <row r="2201" spans="2:17">
      <c r="B2201" s="627" t="str">
        <f t="shared" si="210"/>
        <v/>
      </c>
      <c r="C2201" s="635"/>
      <c r="D2201" s="819"/>
      <c r="E2201" s="633"/>
      <c r="F2201" s="629" t="str">
        <f>IFERROR(VLOOKUP(E2201,STAT1!$C$4:$D$1000,2,FALSE),"")</f>
        <v/>
      </c>
      <c r="G2201" s="893"/>
      <c r="H2201" s="893"/>
      <c r="I2201" s="580">
        <f t="shared" si="208"/>
        <v>0</v>
      </c>
      <c r="J2201" s="961">
        <f t="shared" si="209"/>
        <v>0</v>
      </c>
      <c r="K2201" s="80"/>
      <c r="L2201" s="633"/>
      <c r="M2201" s="154" t="str">
        <f>+IFERROR(VLOOKUP(L2201,DATA!$G$4:$H$2000,2,FALSE),"")</f>
        <v/>
      </c>
      <c r="N2201" s="633"/>
      <c r="O2201" s="80" t="str">
        <f>IFERROR(VLOOKUP(N2201,DATA!$K$4:$L$51,2,FALSE),"")</f>
        <v/>
      </c>
      <c r="P2201" s="80">
        <f t="shared" si="207"/>
        <v>0</v>
      </c>
      <c r="Q2201" s="154">
        <f t="shared" ref="Q2201:Q2214" si="211">+IF(I2201,1,0)</f>
        <v>0</v>
      </c>
    </row>
    <row r="2202" spans="2:17">
      <c r="B2202" s="627" t="str">
        <f t="shared" si="210"/>
        <v/>
      </c>
      <c r="C2202" s="635"/>
      <c r="D2202" s="819"/>
      <c r="E2202" s="633"/>
      <c r="F2202" s="629" t="str">
        <f>IFERROR(VLOOKUP(E2202,STAT1!$C$4:$D$1000,2,FALSE),"")</f>
        <v/>
      </c>
      <c r="G2202" s="893"/>
      <c r="H2202" s="893"/>
      <c r="I2202" s="580">
        <f t="shared" si="208"/>
        <v>0</v>
      </c>
      <c r="J2202" s="961">
        <f t="shared" si="209"/>
        <v>0</v>
      </c>
      <c r="K2202" s="80"/>
      <c r="L2202" s="633"/>
      <c r="M2202" s="154" t="str">
        <f>+IFERROR(VLOOKUP(L2202,DATA!$G$4:$H$2000,2,FALSE),"")</f>
        <v/>
      </c>
      <c r="N2202" s="633"/>
      <c r="O2202" s="80" t="str">
        <f>IFERROR(VLOOKUP(N2202,DATA!$K$4:$L$51,2,FALSE),"")</f>
        <v/>
      </c>
      <c r="P2202" s="80">
        <f t="shared" si="207"/>
        <v>0</v>
      </c>
      <c r="Q2202" s="154">
        <f t="shared" si="211"/>
        <v>0</v>
      </c>
    </row>
    <row r="2203" spans="2:17">
      <c r="B2203" s="627" t="str">
        <f t="shared" si="210"/>
        <v/>
      </c>
      <c r="C2203" s="635"/>
      <c r="D2203" s="819"/>
      <c r="E2203" s="633"/>
      <c r="F2203" s="629" t="str">
        <f>IFERROR(VLOOKUP(E2203,STAT1!$C$4:$D$1000,2,FALSE),"")</f>
        <v/>
      </c>
      <c r="G2203" s="893"/>
      <c r="H2203" s="893"/>
      <c r="I2203" s="580">
        <f t="shared" si="208"/>
        <v>0</v>
      </c>
      <c r="J2203" s="961">
        <f t="shared" si="209"/>
        <v>0</v>
      </c>
      <c r="K2203" s="80"/>
      <c r="L2203" s="633"/>
      <c r="M2203" s="154" t="str">
        <f>+IFERROR(VLOOKUP(L2203,DATA!$G$4:$H$2000,2,FALSE),"")</f>
        <v/>
      </c>
      <c r="N2203" s="633"/>
      <c r="O2203" s="80" t="str">
        <f>IFERROR(VLOOKUP(N2203,DATA!$K$4:$L$51,2,FALSE),"")</f>
        <v/>
      </c>
      <c r="P2203" s="80">
        <f t="shared" si="207"/>
        <v>0</v>
      </c>
      <c r="Q2203" s="154">
        <f t="shared" si="211"/>
        <v>0</v>
      </c>
    </row>
    <row r="2204" spans="2:17">
      <c r="B2204" s="627" t="str">
        <f t="shared" si="210"/>
        <v/>
      </c>
      <c r="C2204" s="635"/>
      <c r="D2204" s="819"/>
      <c r="E2204" s="633"/>
      <c r="F2204" s="629" t="str">
        <f>IFERROR(VLOOKUP(E2204,STAT1!$C$4:$D$1000,2,FALSE),"")</f>
        <v/>
      </c>
      <c r="G2204" s="893"/>
      <c r="H2204" s="893"/>
      <c r="I2204" s="580">
        <f t="shared" si="208"/>
        <v>0</v>
      </c>
      <c r="J2204" s="961">
        <f t="shared" si="209"/>
        <v>0</v>
      </c>
      <c r="K2204" s="80"/>
      <c r="L2204" s="633"/>
      <c r="M2204" s="154" t="str">
        <f>+IFERROR(VLOOKUP(L2204,DATA!$G$4:$H$2000,2,FALSE),"")</f>
        <v/>
      </c>
      <c r="N2204" s="633"/>
      <c r="O2204" s="80" t="str">
        <f>IFERROR(VLOOKUP(N2204,DATA!$K$4:$L$51,2,FALSE),"")</f>
        <v/>
      </c>
      <c r="P2204" s="80">
        <f t="shared" si="207"/>
        <v>0</v>
      </c>
      <c r="Q2204" s="154">
        <f t="shared" si="211"/>
        <v>0</v>
      </c>
    </row>
    <row r="2205" spans="2:17">
      <c r="B2205" s="627" t="str">
        <f t="shared" si="210"/>
        <v/>
      </c>
      <c r="C2205" s="635"/>
      <c r="D2205" s="817"/>
      <c r="E2205" s="633"/>
      <c r="F2205" s="629" t="str">
        <f>IFERROR(VLOOKUP(E2205,STAT1!$C$4:$D$1000,2,FALSE),"")</f>
        <v/>
      </c>
      <c r="G2205" s="893"/>
      <c r="H2205" s="893"/>
      <c r="I2205" s="580">
        <f t="shared" si="208"/>
        <v>0</v>
      </c>
      <c r="J2205" s="961">
        <f t="shared" si="209"/>
        <v>0</v>
      </c>
      <c r="K2205" s="80"/>
      <c r="L2205" s="633"/>
      <c r="M2205" s="154" t="str">
        <f>+IFERROR(VLOOKUP(L2205,DATA!$G$4:$H$2000,2,FALSE),"")</f>
        <v/>
      </c>
      <c r="N2205" s="633"/>
      <c r="O2205" s="80" t="str">
        <f>IFERROR(VLOOKUP(N2205,DATA!$K$4:$L$51,2,FALSE),"")</f>
        <v/>
      </c>
      <c r="P2205" s="80">
        <f t="shared" si="207"/>
        <v>0</v>
      </c>
      <c r="Q2205" s="154">
        <f t="shared" si="211"/>
        <v>0</v>
      </c>
    </row>
    <row r="2206" spans="2:17">
      <c r="B2206" s="627" t="str">
        <f t="shared" si="210"/>
        <v/>
      </c>
      <c r="C2206" s="631"/>
      <c r="D2206" s="817"/>
      <c r="E2206" s="808"/>
      <c r="F2206" s="629" t="str">
        <f>IFERROR(VLOOKUP(E2206,STAT1!$C$4:$D$1000,2,FALSE),"")</f>
        <v/>
      </c>
      <c r="G2206" s="891"/>
      <c r="H2206" s="891"/>
      <c r="I2206" s="580">
        <f t="shared" si="208"/>
        <v>0</v>
      </c>
      <c r="J2206" s="961">
        <f t="shared" si="209"/>
        <v>0</v>
      </c>
      <c r="K2206" s="80"/>
      <c r="L2206" s="808"/>
      <c r="M2206" s="154" t="str">
        <f>+IFERROR(VLOOKUP(L2206,DATA!$G$4:$H$2000,2,FALSE),"")</f>
        <v/>
      </c>
      <c r="N2206" s="808"/>
      <c r="O2206" s="80" t="str">
        <f>IFERROR(VLOOKUP(N2206,DATA!$K$4:$L$51,2,FALSE),"")</f>
        <v/>
      </c>
      <c r="P2206" s="80">
        <f t="shared" si="207"/>
        <v>0</v>
      </c>
      <c r="Q2206" s="154">
        <f t="shared" si="211"/>
        <v>0</v>
      </c>
    </row>
    <row r="2207" spans="2:17">
      <c r="B2207" s="627" t="str">
        <f t="shared" si="210"/>
        <v/>
      </c>
      <c r="C2207" s="631"/>
      <c r="D2207" s="817"/>
      <c r="E2207" s="808"/>
      <c r="F2207" s="629" t="str">
        <f>IFERROR(VLOOKUP(E2207,STAT1!$C$4:$D$1000,2,FALSE),"")</f>
        <v/>
      </c>
      <c r="G2207" s="891"/>
      <c r="H2207" s="891"/>
      <c r="I2207" s="580">
        <f t="shared" si="208"/>
        <v>0</v>
      </c>
      <c r="J2207" s="961">
        <f t="shared" si="209"/>
        <v>0</v>
      </c>
      <c r="K2207" s="80"/>
      <c r="L2207" s="808"/>
      <c r="M2207" s="154" t="str">
        <f>+IFERROR(VLOOKUP(L2207,DATA!$G$4:$H$2000,2,FALSE),"")</f>
        <v/>
      </c>
      <c r="N2207" s="808"/>
      <c r="O2207" s="80" t="str">
        <f>IFERROR(VLOOKUP(N2207,DATA!$K$4:$L$51,2,FALSE),"")</f>
        <v/>
      </c>
      <c r="P2207" s="80">
        <f t="shared" si="207"/>
        <v>0</v>
      </c>
      <c r="Q2207" s="154">
        <f t="shared" si="211"/>
        <v>0</v>
      </c>
    </row>
    <row r="2208" spans="2:17">
      <c r="B2208" s="627" t="str">
        <f t="shared" si="210"/>
        <v/>
      </c>
      <c r="C2208" s="631"/>
      <c r="D2208" s="817"/>
      <c r="E2208" s="808"/>
      <c r="F2208" s="629" t="str">
        <f>IFERROR(VLOOKUP(E2208,STAT1!$C$4:$D$1000,2,FALSE),"")</f>
        <v/>
      </c>
      <c r="G2208" s="891"/>
      <c r="H2208" s="891"/>
      <c r="I2208" s="580">
        <f t="shared" si="208"/>
        <v>0</v>
      </c>
      <c r="J2208" s="961">
        <f t="shared" si="209"/>
        <v>0</v>
      </c>
      <c r="K2208" s="80"/>
      <c r="L2208" s="808"/>
      <c r="M2208" s="154" t="str">
        <f>+IFERROR(VLOOKUP(L2208,DATA!$G$4:$H$2000,2,FALSE),"")</f>
        <v/>
      </c>
      <c r="N2208" s="808"/>
      <c r="O2208" s="80" t="str">
        <f>IFERROR(VLOOKUP(N2208,DATA!$K$4:$L$51,2,FALSE),"")</f>
        <v/>
      </c>
      <c r="P2208" s="80">
        <f t="shared" si="207"/>
        <v>0</v>
      </c>
      <c r="Q2208" s="154">
        <f t="shared" si="211"/>
        <v>0</v>
      </c>
    </row>
    <row r="2209" spans="2:17">
      <c r="B2209" s="627" t="str">
        <f t="shared" si="210"/>
        <v/>
      </c>
      <c r="C2209" s="631"/>
      <c r="D2209" s="819"/>
      <c r="E2209" s="808"/>
      <c r="F2209" s="629" t="str">
        <f>IFERROR(VLOOKUP(E2209,STAT1!$C$4:$D$1000,2,FALSE),"")</f>
        <v/>
      </c>
      <c r="G2209" s="891"/>
      <c r="H2209" s="891"/>
      <c r="I2209" s="580">
        <f t="shared" si="208"/>
        <v>0</v>
      </c>
      <c r="J2209" s="961">
        <f t="shared" si="209"/>
        <v>0</v>
      </c>
      <c r="K2209" s="80"/>
      <c r="L2209" s="808"/>
      <c r="M2209" s="154" t="str">
        <f>+IFERROR(VLOOKUP(L2209,DATA!$G$4:$H$2000,2,FALSE),"")</f>
        <v/>
      </c>
      <c r="N2209" s="808"/>
      <c r="O2209" s="80" t="str">
        <f>IFERROR(VLOOKUP(N2209,DATA!$K$4:$L$51,2,FALSE),"")</f>
        <v/>
      </c>
      <c r="P2209" s="80">
        <f t="shared" si="207"/>
        <v>0</v>
      </c>
      <c r="Q2209" s="154">
        <f t="shared" si="211"/>
        <v>0</v>
      </c>
    </row>
    <row r="2210" spans="2:17">
      <c r="B2210" s="627" t="str">
        <f t="shared" si="210"/>
        <v/>
      </c>
      <c r="C2210" s="635"/>
      <c r="D2210" s="819"/>
      <c r="E2210" s="633"/>
      <c r="F2210" s="629" t="str">
        <f>IFERROR(VLOOKUP(E2210,STAT1!$C$4:$D$1000,2,FALSE),"")</f>
        <v/>
      </c>
      <c r="G2210" s="893"/>
      <c r="H2210" s="893"/>
      <c r="I2210" s="580">
        <f t="shared" si="208"/>
        <v>0</v>
      </c>
      <c r="J2210" s="961">
        <f t="shared" si="209"/>
        <v>0</v>
      </c>
      <c r="K2210" s="80"/>
      <c r="L2210" s="633"/>
      <c r="M2210" s="154" t="str">
        <f>+IFERROR(VLOOKUP(L2210,DATA!$G$4:$H$2000,2,FALSE),"")</f>
        <v/>
      </c>
      <c r="N2210" s="633"/>
      <c r="O2210" s="80" t="str">
        <f>IFERROR(VLOOKUP(N2210,DATA!$K$4:$L$51,2,FALSE),"")</f>
        <v/>
      </c>
      <c r="P2210" s="80">
        <f t="shared" si="207"/>
        <v>0</v>
      </c>
      <c r="Q2210" s="154">
        <f t="shared" si="211"/>
        <v>0</v>
      </c>
    </row>
    <row r="2211" spans="2:17">
      <c r="B2211" s="627" t="str">
        <f t="shared" si="210"/>
        <v/>
      </c>
      <c r="C2211" s="635"/>
      <c r="D2211" s="819"/>
      <c r="E2211" s="633"/>
      <c r="F2211" s="629" t="str">
        <f>IFERROR(VLOOKUP(E2211,STAT1!$C$4:$D$1000,2,FALSE),"")</f>
        <v/>
      </c>
      <c r="G2211" s="893"/>
      <c r="H2211" s="893"/>
      <c r="I2211" s="580">
        <f t="shared" si="208"/>
        <v>0</v>
      </c>
      <c r="J2211" s="961">
        <f t="shared" si="209"/>
        <v>0</v>
      </c>
      <c r="K2211" s="80"/>
      <c r="L2211" s="633"/>
      <c r="M2211" s="154" t="str">
        <f>+IFERROR(VLOOKUP(L2211,DATA!$G$4:$H$2000,2,FALSE),"")</f>
        <v/>
      </c>
      <c r="N2211" s="633"/>
      <c r="O2211" s="80" t="str">
        <f>IFERROR(VLOOKUP(N2211,DATA!$K$4:$L$51,2,FALSE),"")</f>
        <v/>
      </c>
      <c r="P2211" s="80">
        <f t="shared" si="207"/>
        <v>0</v>
      </c>
      <c r="Q2211" s="154">
        <f t="shared" si="211"/>
        <v>0</v>
      </c>
    </row>
    <row r="2212" spans="2:17">
      <c r="B2212" s="627" t="str">
        <f t="shared" si="210"/>
        <v/>
      </c>
      <c r="C2212" s="635"/>
      <c r="D2212" s="819"/>
      <c r="E2212" s="633"/>
      <c r="F2212" s="629" t="str">
        <f>IFERROR(VLOOKUP(E2212,STAT1!$C$4:$D$1000,2,FALSE),"")</f>
        <v/>
      </c>
      <c r="G2212" s="893"/>
      <c r="H2212" s="893"/>
      <c r="I2212" s="580">
        <f t="shared" si="208"/>
        <v>0</v>
      </c>
      <c r="J2212" s="961">
        <f t="shared" si="209"/>
        <v>0</v>
      </c>
      <c r="K2212" s="80"/>
      <c r="L2212" s="633"/>
      <c r="M2212" s="154" t="str">
        <f>+IFERROR(VLOOKUP(L2212,DATA!$G$4:$H$2000,2,FALSE),"")</f>
        <v/>
      </c>
      <c r="N2212" s="633"/>
      <c r="O2212" s="80" t="str">
        <f>IFERROR(VLOOKUP(N2212,DATA!$K$4:$L$51,2,FALSE),"")</f>
        <v/>
      </c>
      <c r="P2212" s="80">
        <f t="shared" si="207"/>
        <v>0</v>
      </c>
      <c r="Q2212" s="154">
        <f t="shared" si="211"/>
        <v>0</v>
      </c>
    </row>
    <row r="2213" spans="2:17">
      <c r="B2213" s="627" t="str">
        <f t="shared" si="210"/>
        <v/>
      </c>
      <c r="C2213" s="635"/>
      <c r="D2213" s="819"/>
      <c r="E2213" s="633"/>
      <c r="F2213" s="629" t="str">
        <f>IFERROR(VLOOKUP(E2213,STAT1!$C$4:$D$1000,2,FALSE),"")</f>
        <v/>
      </c>
      <c r="G2213" s="893"/>
      <c r="H2213" s="893"/>
      <c r="I2213" s="580">
        <f t="shared" si="208"/>
        <v>0</v>
      </c>
      <c r="J2213" s="961">
        <f t="shared" si="209"/>
        <v>0</v>
      </c>
      <c r="K2213" s="80"/>
      <c r="L2213" s="633"/>
      <c r="M2213" s="154" t="str">
        <f>+IFERROR(VLOOKUP(L2213,DATA!$G$4:$H$2000,2,FALSE),"")</f>
        <v/>
      </c>
      <c r="N2213" s="633"/>
      <c r="O2213" s="80" t="str">
        <f>IFERROR(VLOOKUP(N2213,DATA!$K$4:$L$51,2,FALSE),"")</f>
        <v/>
      </c>
      <c r="P2213" s="80">
        <f t="shared" si="207"/>
        <v>0</v>
      </c>
      <c r="Q2213" s="154">
        <f t="shared" si="211"/>
        <v>0</v>
      </c>
    </row>
    <row r="2214" spans="2:17">
      <c r="B2214" s="627" t="str">
        <f t="shared" si="210"/>
        <v/>
      </c>
      <c r="C2214" s="635"/>
      <c r="D2214" s="819"/>
      <c r="E2214" s="633"/>
      <c r="F2214" s="629" t="str">
        <f>IFERROR(VLOOKUP(E2214,STAT1!$C$4:$D$1000,2,FALSE),"")</f>
        <v/>
      </c>
      <c r="G2214" s="893"/>
      <c r="H2214" s="893"/>
      <c r="I2214" s="580">
        <f t="shared" si="208"/>
        <v>0</v>
      </c>
      <c r="J2214" s="961">
        <f t="shared" si="209"/>
        <v>0</v>
      </c>
      <c r="K2214" s="80"/>
      <c r="L2214" s="633"/>
      <c r="M2214" s="154" t="str">
        <f>+IFERROR(VLOOKUP(L2214,DATA!$G$4:$H$2000,2,FALSE),"")</f>
        <v/>
      </c>
      <c r="N2214" s="633"/>
      <c r="O2214" s="80" t="str">
        <f>IFERROR(VLOOKUP(N2214,DATA!$K$4:$L$51,2,FALSE),"")</f>
        <v/>
      </c>
      <c r="P2214" s="80">
        <f t="shared" si="207"/>
        <v>0</v>
      </c>
      <c r="Q2214" s="154">
        <f t="shared" si="211"/>
        <v>0</v>
      </c>
    </row>
    <row r="2215" spans="2:17">
      <c r="B2215" s="627" t="str">
        <f t="shared" si="210"/>
        <v/>
      </c>
      <c r="C2215" s="635"/>
      <c r="D2215" s="819"/>
      <c r="E2215" s="633"/>
      <c r="F2215" s="629" t="str">
        <f>IFERROR(VLOOKUP(E2215,STAT1!$C$4:$D$1000,2,FALSE),"")</f>
        <v/>
      </c>
      <c r="G2215" s="893"/>
      <c r="H2215" s="893"/>
      <c r="I2215" s="580">
        <f t="shared" si="208"/>
        <v>0</v>
      </c>
      <c r="J2215" s="961">
        <f t="shared" si="209"/>
        <v>0</v>
      </c>
      <c r="K2215" s="80"/>
      <c r="L2215" s="633"/>
      <c r="M2215" s="154" t="str">
        <f>+IFERROR(VLOOKUP(L2215,DATA!$G$4:$H$2000,2,FALSE),"")</f>
        <v/>
      </c>
      <c r="N2215" s="633"/>
      <c r="O2215" s="80" t="str">
        <f>IFERROR(VLOOKUP(N2215,DATA!$K$4:$L$51,2,FALSE),"")</f>
        <v/>
      </c>
      <c r="P2215" s="80">
        <f t="shared" si="207"/>
        <v>0</v>
      </c>
    </row>
    <row r="2216" spans="2:17">
      <c r="B2216" s="627" t="str">
        <f t="shared" si="210"/>
        <v/>
      </c>
      <c r="C2216" s="635"/>
      <c r="D2216" s="819"/>
      <c r="E2216" s="633"/>
      <c r="F2216" s="629" t="str">
        <f>IFERROR(VLOOKUP(E2216,STAT1!$C$4:$D$1000,2,FALSE),"")</f>
        <v/>
      </c>
      <c r="G2216" s="893"/>
      <c r="H2216" s="893"/>
      <c r="I2216" s="580">
        <f t="shared" si="208"/>
        <v>0</v>
      </c>
      <c r="J2216" s="961">
        <f t="shared" si="209"/>
        <v>0</v>
      </c>
      <c r="K2216" s="80"/>
      <c r="L2216" s="633"/>
      <c r="M2216" s="154" t="str">
        <f>+IFERROR(VLOOKUP(L2216,DATA!$G$4:$H$2000,2,FALSE),"")</f>
        <v/>
      </c>
      <c r="N2216" s="633"/>
      <c r="O2216" s="80" t="str">
        <f>IFERROR(VLOOKUP(N2216,DATA!$K$4:$L$51,2,FALSE),"")</f>
        <v/>
      </c>
      <c r="P2216" s="80">
        <f t="shared" si="207"/>
        <v>0</v>
      </c>
    </row>
    <row r="2217" spans="2:17">
      <c r="B2217" s="627" t="str">
        <f t="shared" si="210"/>
        <v/>
      </c>
      <c r="C2217" s="635"/>
      <c r="D2217" s="819"/>
      <c r="E2217" s="633"/>
      <c r="F2217" s="629" t="str">
        <f>IFERROR(VLOOKUP(E2217,STAT1!$C$4:$D$1000,2,FALSE),"")</f>
        <v/>
      </c>
      <c r="G2217" s="893"/>
      <c r="H2217" s="893"/>
      <c r="I2217" s="580">
        <f t="shared" si="208"/>
        <v>0</v>
      </c>
      <c r="J2217" s="961">
        <f t="shared" si="209"/>
        <v>0</v>
      </c>
      <c r="K2217" s="80"/>
      <c r="L2217" s="633"/>
      <c r="M2217" s="154" t="str">
        <f>+IFERROR(VLOOKUP(L2217,DATA!$G$4:$H$2000,2,FALSE),"")</f>
        <v/>
      </c>
      <c r="N2217" s="633"/>
      <c r="O2217" s="80" t="str">
        <f>IFERROR(VLOOKUP(N2217,DATA!$K$4:$L$51,2,FALSE),"")</f>
        <v/>
      </c>
      <c r="P2217" s="80">
        <f t="shared" si="207"/>
        <v>0</v>
      </c>
    </row>
    <row r="2218" spans="2:17">
      <c r="B2218" s="627" t="str">
        <f t="shared" si="210"/>
        <v/>
      </c>
      <c r="C2218" s="635"/>
      <c r="D2218" s="819"/>
      <c r="E2218" s="633"/>
      <c r="F2218" s="629" t="str">
        <f>IFERROR(VLOOKUP(E2218,STAT1!$C$4:$D$1000,2,FALSE),"")</f>
        <v/>
      </c>
      <c r="G2218" s="893"/>
      <c r="H2218" s="893"/>
      <c r="I2218" s="580">
        <f t="shared" si="208"/>
        <v>0</v>
      </c>
      <c r="J2218" s="961">
        <f t="shared" si="209"/>
        <v>0</v>
      </c>
      <c r="K2218" s="80"/>
      <c r="L2218" s="633"/>
      <c r="M2218" s="154" t="str">
        <f>+IFERROR(VLOOKUP(L2218,DATA!$G$4:$H$2000,2,FALSE),"")</f>
        <v/>
      </c>
      <c r="N2218" s="633"/>
      <c r="O2218" s="80" t="str">
        <f>IFERROR(VLOOKUP(N2218,DATA!$K$4:$L$51,2,FALSE),"")</f>
        <v/>
      </c>
      <c r="P2218" s="80">
        <f t="shared" si="207"/>
        <v>0</v>
      </c>
    </row>
    <row r="2219" spans="2:17">
      <c r="B2219" s="627" t="str">
        <f t="shared" si="210"/>
        <v/>
      </c>
      <c r="C2219" s="635"/>
      <c r="D2219" s="817"/>
      <c r="E2219" s="633"/>
      <c r="F2219" s="629" t="str">
        <f>IFERROR(VLOOKUP(E2219,STAT1!$C$4:$D$1000,2,FALSE),"")</f>
        <v/>
      </c>
      <c r="G2219" s="893"/>
      <c r="H2219" s="893"/>
      <c r="I2219" s="580">
        <f t="shared" si="208"/>
        <v>0</v>
      </c>
      <c r="J2219" s="961">
        <f t="shared" si="209"/>
        <v>0</v>
      </c>
      <c r="K2219" s="80"/>
      <c r="L2219" s="633"/>
      <c r="M2219" s="154" t="str">
        <f>+IFERROR(VLOOKUP(L2219,DATA!$G$4:$H$2000,2,FALSE),"")</f>
        <v/>
      </c>
      <c r="N2219" s="633"/>
      <c r="O2219" s="80" t="str">
        <f>IFERROR(VLOOKUP(N2219,DATA!$K$4:$L$51,2,FALSE),"")</f>
        <v/>
      </c>
      <c r="P2219" s="80">
        <f t="shared" si="207"/>
        <v>0</v>
      </c>
    </row>
    <row r="2220" spans="2:17">
      <c r="B2220" s="627" t="str">
        <f t="shared" si="210"/>
        <v/>
      </c>
      <c r="C2220" s="631"/>
      <c r="D2220" s="817"/>
      <c r="E2220" s="808"/>
      <c r="F2220" s="629" t="str">
        <f>IFERROR(VLOOKUP(E2220,STAT1!$C$4:$D$1000,2,FALSE),"")</f>
        <v/>
      </c>
      <c r="G2220" s="891"/>
      <c r="H2220" s="891"/>
      <c r="I2220" s="580">
        <f t="shared" si="208"/>
        <v>0</v>
      </c>
      <c r="J2220" s="961">
        <f t="shared" si="209"/>
        <v>0</v>
      </c>
      <c r="K2220" s="80"/>
      <c r="L2220" s="808"/>
      <c r="M2220" s="154" t="str">
        <f>+IFERROR(VLOOKUP(L2220,DATA!$G$4:$H$2000,2,FALSE),"")</f>
        <v/>
      </c>
      <c r="N2220" s="808"/>
      <c r="O2220" s="80" t="str">
        <f>IFERROR(VLOOKUP(N2220,DATA!$K$4:$L$51,2,FALSE),"")</f>
        <v/>
      </c>
      <c r="P2220" s="80">
        <f t="shared" si="207"/>
        <v>0</v>
      </c>
    </row>
    <row r="2221" spans="2:17">
      <c r="B2221" s="627" t="str">
        <f t="shared" si="210"/>
        <v/>
      </c>
      <c r="C2221" s="631"/>
      <c r="D2221" s="817"/>
      <c r="E2221" s="808"/>
      <c r="F2221" s="629" t="str">
        <f>IFERROR(VLOOKUP(E2221,STAT1!$C$4:$D$1000,2,FALSE),"")</f>
        <v/>
      </c>
      <c r="G2221" s="891"/>
      <c r="H2221" s="891"/>
      <c r="I2221" s="580">
        <f t="shared" si="208"/>
        <v>0</v>
      </c>
      <c r="J2221" s="961">
        <f t="shared" si="209"/>
        <v>0</v>
      </c>
      <c r="K2221" s="80"/>
      <c r="L2221" s="808"/>
      <c r="M2221" s="154" t="str">
        <f>+IFERROR(VLOOKUP(L2221,DATA!$G$4:$H$2000,2,FALSE),"")</f>
        <v/>
      </c>
      <c r="N2221" s="808"/>
      <c r="O2221" s="80" t="str">
        <f>IFERROR(VLOOKUP(N2221,DATA!$K$4:$L$51,2,FALSE),"")</f>
        <v/>
      </c>
      <c r="P2221" s="80">
        <f t="shared" si="207"/>
        <v>0</v>
      </c>
    </row>
    <row r="2222" spans="2:17">
      <c r="B2222" s="627" t="str">
        <f t="shared" si="210"/>
        <v/>
      </c>
      <c r="C2222" s="631"/>
      <c r="D2222" s="817"/>
      <c r="E2222" s="808"/>
      <c r="F2222" s="629" t="str">
        <f>IFERROR(VLOOKUP(E2222,STAT1!$C$4:$D$1000,2,FALSE),"")</f>
        <v/>
      </c>
      <c r="G2222" s="891"/>
      <c r="H2222" s="891"/>
      <c r="I2222" s="580">
        <f t="shared" si="208"/>
        <v>0</v>
      </c>
      <c r="J2222" s="961">
        <f t="shared" si="209"/>
        <v>0</v>
      </c>
      <c r="K2222" s="80"/>
      <c r="L2222" s="808"/>
      <c r="M2222" s="154" t="str">
        <f>+IFERROR(VLOOKUP(L2222,DATA!$G$4:$H$2000,2,FALSE),"")</f>
        <v/>
      </c>
      <c r="N2222" s="808"/>
      <c r="O2222" s="80" t="str">
        <f>IFERROR(VLOOKUP(N2222,DATA!$K$4:$L$51,2,FALSE),"")</f>
        <v/>
      </c>
      <c r="P2222" s="80">
        <f t="shared" si="207"/>
        <v>0</v>
      </c>
    </row>
    <row r="2223" spans="2:17">
      <c r="B2223" s="627" t="str">
        <f t="shared" si="210"/>
        <v/>
      </c>
      <c r="C2223" s="631"/>
      <c r="D2223" s="817"/>
      <c r="E2223" s="808"/>
      <c r="F2223" s="629" t="str">
        <f>IFERROR(VLOOKUP(E2223,STAT1!$C$4:$D$1000,2,FALSE),"")</f>
        <v/>
      </c>
      <c r="G2223" s="891"/>
      <c r="H2223" s="891"/>
      <c r="I2223" s="580">
        <f t="shared" si="208"/>
        <v>0</v>
      </c>
      <c r="J2223" s="961">
        <f t="shared" si="209"/>
        <v>0</v>
      </c>
      <c r="K2223" s="80"/>
      <c r="L2223" s="808"/>
      <c r="M2223" s="154" t="str">
        <f>+IFERROR(VLOOKUP(L2223,DATA!$G$4:$H$2000,2,FALSE),"")</f>
        <v/>
      </c>
      <c r="N2223" s="808"/>
      <c r="O2223" s="80" t="str">
        <f>IFERROR(VLOOKUP(N2223,DATA!$K$4:$L$51,2,FALSE),"")</f>
        <v/>
      </c>
      <c r="P2223" s="80">
        <f t="shared" si="207"/>
        <v>0</v>
      </c>
    </row>
    <row r="2224" spans="2:17">
      <c r="B2224" s="627" t="str">
        <f t="shared" si="210"/>
        <v/>
      </c>
      <c r="C2224" s="631"/>
      <c r="D2224" s="817"/>
      <c r="E2224" s="808"/>
      <c r="F2224" s="629" t="str">
        <f>IFERROR(VLOOKUP(E2224,STAT1!$C$4:$D$1000,2,FALSE),"")</f>
        <v/>
      </c>
      <c r="G2224" s="891"/>
      <c r="H2224" s="891"/>
      <c r="I2224" s="580">
        <f t="shared" si="208"/>
        <v>0</v>
      </c>
      <c r="J2224" s="961">
        <f t="shared" si="209"/>
        <v>0</v>
      </c>
      <c r="K2224" s="80"/>
      <c r="L2224" s="808"/>
      <c r="M2224" s="154" t="str">
        <f>+IFERROR(VLOOKUP(L2224,DATA!$G$4:$H$2000,2,FALSE),"")</f>
        <v/>
      </c>
      <c r="N2224" s="808"/>
      <c r="O2224" s="80" t="str">
        <f>IFERROR(VLOOKUP(N2224,DATA!$K$4:$L$51,2,FALSE),"")</f>
        <v/>
      </c>
      <c r="P2224" s="80">
        <f t="shared" si="207"/>
        <v>0</v>
      </c>
    </row>
    <row r="2225" spans="2:16">
      <c r="B2225" s="627" t="str">
        <f t="shared" si="210"/>
        <v/>
      </c>
      <c r="C2225" s="631"/>
      <c r="D2225" s="817"/>
      <c r="E2225" s="808"/>
      <c r="F2225" s="629" t="str">
        <f>IFERROR(VLOOKUP(E2225,STAT1!$C$4:$D$1000,2,FALSE),"")</f>
        <v/>
      </c>
      <c r="G2225" s="891"/>
      <c r="H2225" s="891"/>
      <c r="I2225" s="580">
        <f t="shared" si="208"/>
        <v>0</v>
      </c>
      <c r="J2225" s="961">
        <f t="shared" si="209"/>
        <v>0</v>
      </c>
      <c r="K2225" s="80"/>
      <c r="L2225" s="808"/>
      <c r="M2225" s="154" t="str">
        <f>+IFERROR(VLOOKUP(L2225,DATA!$G$4:$H$2000,2,FALSE),"")</f>
        <v/>
      </c>
      <c r="N2225" s="808"/>
      <c r="O2225" s="80" t="str">
        <f>IFERROR(VLOOKUP(N2225,DATA!$K$4:$L$51,2,FALSE),"")</f>
        <v/>
      </c>
      <c r="P2225" s="80">
        <f t="shared" si="207"/>
        <v>0</v>
      </c>
    </row>
    <row r="2226" spans="2:16">
      <c r="B2226" s="627" t="str">
        <f t="shared" si="210"/>
        <v/>
      </c>
      <c r="C2226" s="631"/>
      <c r="D2226" s="817"/>
      <c r="E2226" s="808"/>
      <c r="F2226" s="629" t="str">
        <f>IFERROR(VLOOKUP(E2226,STAT1!$C$4:$D$1000,2,FALSE),"")</f>
        <v/>
      </c>
      <c r="G2226" s="891"/>
      <c r="H2226" s="891"/>
      <c r="I2226" s="580">
        <f t="shared" si="208"/>
        <v>0</v>
      </c>
      <c r="J2226" s="961">
        <f t="shared" si="209"/>
        <v>0</v>
      </c>
      <c r="K2226" s="80"/>
      <c r="L2226" s="808"/>
      <c r="M2226" s="154" t="str">
        <f>+IFERROR(VLOOKUP(L2226,DATA!$G$4:$H$2000,2,FALSE),"")</f>
        <v/>
      </c>
      <c r="N2226" s="808"/>
      <c r="O2226" s="80" t="str">
        <f>IFERROR(VLOOKUP(N2226,DATA!$K$4:$L$51,2,FALSE),"")</f>
        <v/>
      </c>
      <c r="P2226" s="80">
        <f t="shared" si="207"/>
        <v>0</v>
      </c>
    </row>
    <row r="2227" spans="2:16">
      <c r="B2227" s="627" t="str">
        <f t="shared" si="210"/>
        <v/>
      </c>
      <c r="C2227" s="631"/>
      <c r="D2227" s="817"/>
      <c r="E2227" s="808"/>
      <c r="F2227" s="629" t="str">
        <f>IFERROR(VLOOKUP(E2227,STAT1!$C$4:$D$1000,2,FALSE),"")</f>
        <v/>
      </c>
      <c r="G2227" s="891"/>
      <c r="H2227" s="891"/>
      <c r="I2227" s="580">
        <f t="shared" si="208"/>
        <v>0</v>
      </c>
      <c r="J2227" s="961">
        <f t="shared" si="209"/>
        <v>0</v>
      </c>
      <c r="K2227" s="80"/>
      <c r="L2227" s="808"/>
      <c r="M2227" s="154" t="str">
        <f>+IFERROR(VLOOKUP(L2227,DATA!$G$4:$H$2000,2,FALSE),"")</f>
        <v/>
      </c>
      <c r="N2227" s="808"/>
      <c r="O2227" s="80" t="str">
        <f>IFERROR(VLOOKUP(N2227,DATA!$K$4:$L$51,2,FALSE),"")</f>
        <v/>
      </c>
      <c r="P2227" s="80">
        <f t="shared" si="207"/>
        <v>0</v>
      </c>
    </row>
    <row r="2228" spans="2:16">
      <c r="B2228" s="627" t="str">
        <f t="shared" si="210"/>
        <v/>
      </c>
      <c r="C2228" s="631"/>
      <c r="D2228" s="817"/>
      <c r="E2228" s="808"/>
      <c r="F2228" s="629" t="str">
        <f>IFERROR(VLOOKUP(E2228,STAT1!$C$4:$D$1000,2,FALSE),"")</f>
        <v/>
      </c>
      <c r="G2228" s="891"/>
      <c r="H2228" s="891"/>
      <c r="I2228" s="580">
        <f t="shared" si="208"/>
        <v>0</v>
      </c>
      <c r="J2228" s="961">
        <f t="shared" si="209"/>
        <v>0</v>
      </c>
      <c r="K2228" s="80"/>
      <c r="L2228" s="808"/>
      <c r="M2228" s="154" t="str">
        <f>+IFERROR(VLOOKUP(L2228,DATA!$G$4:$H$2000,2,FALSE),"")</f>
        <v/>
      </c>
      <c r="N2228" s="808"/>
      <c r="O2228" s="80" t="str">
        <f>IFERROR(VLOOKUP(N2228,DATA!$K$4:$L$51,2,FALSE),"")</f>
        <v/>
      </c>
      <c r="P2228" s="80">
        <f t="shared" si="207"/>
        <v>0</v>
      </c>
    </row>
    <row r="2229" spans="2:16">
      <c r="B2229" s="627" t="str">
        <f t="shared" si="210"/>
        <v/>
      </c>
      <c r="C2229" s="631"/>
      <c r="D2229" s="817"/>
      <c r="E2229" s="808"/>
      <c r="F2229" s="629" t="str">
        <f>IFERROR(VLOOKUP(E2229,STAT1!$C$4:$D$1000,2,FALSE),"")</f>
        <v/>
      </c>
      <c r="G2229" s="891"/>
      <c r="H2229" s="891"/>
      <c r="I2229" s="580">
        <f t="shared" si="208"/>
        <v>0</v>
      </c>
      <c r="J2229" s="961">
        <f t="shared" si="209"/>
        <v>0</v>
      </c>
      <c r="K2229" s="80"/>
      <c r="L2229" s="808"/>
      <c r="M2229" s="154" t="str">
        <f>+IFERROR(VLOOKUP(L2229,DATA!$G$4:$H$2000,2,FALSE),"")</f>
        <v/>
      </c>
      <c r="N2229" s="808"/>
      <c r="O2229" s="80" t="str">
        <f>IFERROR(VLOOKUP(N2229,DATA!$K$4:$L$51,2,FALSE),"")</f>
        <v/>
      </c>
      <c r="P2229" s="80">
        <f t="shared" si="207"/>
        <v>0</v>
      </c>
    </row>
    <row r="2230" spans="2:16">
      <c r="B2230" s="627" t="str">
        <f t="shared" si="210"/>
        <v/>
      </c>
      <c r="C2230" s="631"/>
      <c r="D2230" s="818"/>
      <c r="E2230" s="808"/>
      <c r="F2230" s="629" t="str">
        <f>IFERROR(VLOOKUP(E2230,STAT1!$C$4:$D$1000,2,FALSE),"")</f>
        <v/>
      </c>
      <c r="G2230" s="891"/>
      <c r="H2230" s="891"/>
      <c r="I2230" s="580">
        <f t="shared" si="208"/>
        <v>0</v>
      </c>
      <c r="J2230" s="961">
        <f t="shared" si="209"/>
        <v>0</v>
      </c>
      <c r="K2230" s="80"/>
      <c r="L2230" s="808"/>
      <c r="M2230" s="154" t="str">
        <f>+IFERROR(VLOOKUP(L2230,DATA!$G$4:$H$2000,2,FALSE),"")</f>
        <v/>
      </c>
      <c r="N2230" s="808"/>
      <c r="O2230" s="80" t="str">
        <f>IFERROR(VLOOKUP(N2230,DATA!$K$4:$L$51,2,FALSE),"")</f>
        <v/>
      </c>
      <c r="P2230" s="80">
        <f t="shared" si="207"/>
        <v>0</v>
      </c>
    </row>
    <row r="2231" spans="2:16">
      <c r="B2231" s="627" t="str">
        <f t="shared" si="210"/>
        <v/>
      </c>
      <c r="C2231" s="634"/>
      <c r="D2231" s="817"/>
      <c r="E2231" s="809"/>
      <c r="F2231" s="629" t="str">
        <f>IFERROR(VLOOKUP(E2231,STAT1!$C$4:$D$1000,2,FALSE),"")</f>
        <v/>
      </c>
      <c r="G2231" s="892"/>
      <c r="H2231" s="892"/>
      <c r="I2231" s="580">
        <f t="shared" si="208"/>
        <v>0</v>
      </c>
      <c r="J2231" s="961">
        <f t="shared" si="209"/>
        <v>0</v>
      </c>
      <c r="K2231" s="80"/>
      <c r="L2231" s="809"/>
      <c r="M2231" s="154" t="str">
        <f>+IFERROR(VLOOKUP(L2231,DATA!$G$4:$H$2000,2,FALSE),"")</f>
        <v/>
      </c>
      <c r="N2231" s="809"/>
      <c r="O2231" s="80" t="str">
        <f>IFERROR(VLOOKUP(N2231,DATA!$K$4:$L$51,2,FALSE),"")</f>
        <v/>
      </c>
      <c r="P2231" s="80">
        <f t="shared" si="207"/>
        <v>0</v>
      </c>
    </row>
    <row r="2232" spans="2:16">
      <c r="B2232" s="627" t="str">
        <f t="shared" si="210"/>
        <v/>
      </c>
      <c r="C2232" s="631"/>
      <c r="D2232" s="817"/>
      <c r="E2232" s="808"/>
      <c r="F2232" s="629" t="str">
        <f>IFERROR(VLOOKUP(E2232,STAT1!$C$4:$D$1000,2,FALSE),"")</f>
        <v/>
      </c>
      <c r="G2232" s="891"/>
      <c r="H2232" s="891"/>
      <c r="I2232" s="580">
        <f t="shared" si="208"/>
        <v>0</v>
      </c>
      <c r="J2232" s="961">
        <f t="shared" si="209"/>
        <v>0</v>
      </c>
      <c r="K2232" s="80"/>
      <c r="L2232" s="808"/>
      <c r="M2232" s="154" t="str">
        <f>+IFERROR(VLOOKUP(L2232,DATA!$G$4:$H$2000,2,FALSE),"")</f>
        <v/>
      </c>
      <c r="N2232" s="808"/>
      <c r="O2232" s="80" t="str">
        <f>IFERROR(VLOOKUP(N2232,DATA!$K$4:$L$51,2,FALSE),"")</f>
        <v/>
      </c>
      <c r="P2232" s="80">
        <f t="shared" si="207"/>
        <v>0</v>
      </c>
    </row>
    <row r="2233" spans="2:16">
      <c r="B2233" s="627" t="str">
        <f t="shared" si="210"/>
        <v/>
      </c>
      <c r="C2233" s="631"/>
      <c r="D2233" s="817"/>
      <c r="E2233" s="808"/>
      <c r="F2233" s="629" t="str">
        <f>IFERROR(VLOOKUP(E2233,STAT1!$C$4:$D$1000,2,FALSE),"")</f>
        <v/>
      </c>
      <c r="G2233" s="891"/>
      <c r="H2233" s="891"/>
      <c r="I2233" s="580">
        <f t="shared" si="208"/>
        <v>0</v>
      </c>
      <c r="J2233" s="961">
        <f t="shared" si="209"/>
        <v>0</v>
      </c>
      <c r="K2233" s="80"/>
      <c r="L2233" s="808"/>
      <c r="M2233" s="154" t="str">
        <f>+IFERROR(VLOOKUP(L2233,DATA!$G$4:$H$2000,2,FALSE),"")</f>
        <v/>
      </c>
      <c r="N2233" s="808"/>
      <c r="O2233" s="80" t="str">
        <f>IFERROR(VLOOKUP(N2233,DATA!$K$4:$L$51,2,FALSE),"")</f>
        <v/>
      </c>
      <c r="P2233" s="80">
        <f t="shared" si="207"/>
        <v>0</v>
      </c>
    </row>
    <row r="2234" spans="2:16">
      <c r="B2234" s="627" t="str">
        <f t="shared" si="210"/>
        <v/>
      </c>
      <c r="C2234" s="631"/>
      <c r="D2234" s="817"/>
      <c r="E2234" s="808"/>
      <c r="F2234" s="629" t="str">
        <f>IFERROR(VLOOKUP(E2234,STAT1!$C$4:$D$1000,2,FALSE),"")</f>
        <v/>
      </c>
      <c r="G2234" s="891"/>
      <c r="H2234" s="891"/>
      <c r="I2234" s="580">
        <f t="shared" si="208"/>
        <v>0</v>
      </c>
      <c r="J2234" s="961">
        <f t="shared" si="209"/>
        <v>0</v>
      </c>
      <c r="K2234" s="80"/>
      <c r="L2234" s="808"/>
      <c r="M2234" s="154" t="str">
        <f>+IFERROR(VLOOKUP(L2234,DATA!$G$4:$H$2000,2,FALSE),"")</f>
        <v/>
      </c>
      <c r="N2234" s="808"/>
      <c r="O2234" s="80" t="str">
        <f>IFERROR(VLOOKUP(N2234,DATA!$K$4:$L$51,2,FALSE),"")</f>
        <v/>
      </c>
      <c r="P2234" s="80">
        <f t="shared" si="207"/>
        <v>0</v>
      </c>
    </row>
    <row r="2235" spans="2:16">
      <c r="B2235" s="627" t="str">
        <f t="shared" si="210"/>
        <v/>
      </c>
      <c r="C2235" s="631"/>
      <c r="D2235" s="817"/>
      <c r="E2235" s="808"/>
      <c r="F2235" s="629" t="str">
        <f>IFERROR(VLOOKUP(E2235,STAT1!$C$4:$D$1000,2,FALSE),"")</f>
        <v/>
      </c>
      <c r="G2235" s="891"/>
      <c r="H2235" s="891"/>
      <c r="I2235" s="580">
        <f t="shared" si="208"/>
        <v>0</v>
      </c>
      <c r="J2235" s="961">
        <f t="shared" si="209"/>
        <v>0</v>
      </c>
      <c r="K2235" s="80"/>
      <c r="L2235" s="808"/>
      <c r="M2235" s="154" t="str">
        <f>+IFERROR(VLOOKUP(L2235,DATA!$G$4:$H$2000,2,FALSE),"")</f>
        <v/>
      </c>
      <c r="N2235" s="808"/>
      <c r="O2235" s="80" t="str">
        <f>IFERROR(VLOOKUP(N2235,DATA!$K$4:$L$51,2,FALSE),"")</f>
        <v/>
      </c>
      <c r="P2235" s="80">
        <f t="shared" si="207"/>
        <v>0</v>
      </c>
    </row>
    <row r="2236" spans="2:16">
      <c r="B2236" s="627" t="str">
        <f t="shared" si="210"/>
        <v/>
      </c>
      <c r="C2236" s="631"/>
      <c r="D2236" s="817"/>
      <c r="E2236" s="808"/>
      <c r="F2236" s="629" t="str">
        <f>IFERROR(VLOOKUP(E2236,STAT1!$C$4:$D$1000,2,FALSE),"")</f>
        <v/>
      </c>
      <c r="G2236" s="891"/>
      <c r="H2236" s="891"/>
      <c r="I2236" s="580">
        <f t="shared" si="208"/>
        <v>0</v>
      </c>
      <c r="J2236" s="961">
        <f t="shared" si="209"/>
        <v>0</v>
      </c>
      <c r="K2236" s="80"/>
      <c r="L2236" s="808"/>
      <c r="M2236" s="154" t="str">
        <f>+IFERROR(VLOOKUP(L2236,DATA!$G$4:$H$2000,2,FALSE),"")</f>
        <v/>
      </c>
      <c r="N2236" s="808"/>
      <c r="O2236" s="80" t="str">
        <f>IFERROR(VLOOKUP(N2236,DATA!$K$4:$L$51,2,FALSE),"")</f>
        <v/>
      </c>
      <c r="P2236" s="80">
        <f t="shared" ref="P2236:P2299" si="212">+IF(I2236,1,0)</f>
        <v>0</v>
      </c>
    </row>
    <row r="2237" spans="2:16">
      <c r="B2237" s="627" t="str">
        <f t="shared" si="210"/>
        <v/>
      </c>
      <c r="C2237" s="631"/>
      <c r="D2237" s="817"/>
      <c r="E2237" s="808"/>
      <c r="F2237" s="629" t="str">
        <f>IFERROR(VLOOKUP(E2237,STAT1!$C$4:$D$1000,2,FALSE),"")</f>
        <v/>
      </c>
      <c r="G2237" s="891"/>
      <c r="H2237" s="891"/>
      <c r="I2237" s="580">
        <f t="shared" si="208"/>
        <v>0</v>
      </c>
      <c r="J2237" s="961">
        <f t="shared" si="209"/>
        <v>0</v>
      </c>
      <c r="K2237" s="80"/>
      <c r="L2237" s="808"/>
      <c r="M2237" s="154" t="str">
        <f>+IFERROR(VLOOKUP(L2237,DATA!$G$4:$H$2000,2,FALSE),"")</f>
        <v/>
      </c>
      <c r="N2237" s="808"/>
      <c r="O2237" s="80" t="str">
        <f>IFERROR(VLOOKUP(N2237,DATA!$K$4:$L$51,2,FALSE),"")</f>
        <v/>
      </c>
      <c r="P2237" s="80">
        <f t="shared" si="212"/>
        <v>0</v>
      </c>
    </row>
    <row r="2238" spans="2:16">
      <c r="B2238" s="627" t="str">
        <f t="shared" si="210"/>
        <v/>
      </c>
      <c r="C2238" s="631"/>
      <c r="D2238" s="817"/>
      <c r="E2238" s="808"/>
      <c r="F2238" s="629" t="str">
        <f>IFERROR(VLOOKUP(E2238,STAT1!$C$4:$D$1000,2,FALSE),"")</f>
        <v/>
      </c>
      <c r="G2238" s="891"/>
      <c r="H2238" s="891"/>
      <c r="I2238" s="580">
        <f t="shared" ref="I2238:I2301" si="213">+IF(OR(E2238=100100,E2238=100200,E2238=110100,E2238=110102,E2238=110103,E2238=110104,E2238=110105,E2238=110200,E2238=110201,E2238=110202,E2238=110203,E2238=110204,E2238=110300),G2238,0)+IF(OR(E2238=100100,E2238=100200,E2238=110100,E2238=110102,E2238=110103,E2238=110104,E2238=110105,E2238=110200,E2238=110201,E2238=110202,E2238=110203,E2238=110204,E2238=110300),H2238*-1,0)</f>
        <v>0</v>
      </c>
      <c r="J2238" s="961">
        <f t="shared" ref="J2238:J2301" si="214">+IF(E2238=110200,I2238/K2238,0)</f>
        <v>0</v>
      </c>
      <c r="K2238" s="80"/>
      <c r="L2238" s="808"/>
      <c r="M2238" s="154" t="str">
        <f>+IFERROR(VLOOKUP(L2238,DATA!$G$4:$H$2000,2,FALSE),"")</f>
        <v/>
      </c>
      <c r="N2238" s="808"/>
      <c r="O2238" s="80" t="str">
        <f>IFERROR(VLOOKUP(N2238,DATA!$K$4:$L$51,2,FALSE),"")</f>
        <v/>
      </c>
      <c r="P2238" s="80">
        <f t="shared" si="212"/>
        <v>0</v>
      </c>
    </row>
    <row r="2239" spans="2:16">
      <c r="B2239" s="627" t="str">
        <f t="shared" si="210"/>
        <v/>
      </c>
      <c r="C2239" s="631"/>
      <c r="D2239" s="817"/>
      <c r="E2239" s="808"/>
      <c r="F2239" s="629" t="str">
        <f>IFERROR(VLOOKUP(E2239,STAT1!$C$4:$D$1000,2,FALSE),"")</f>
        <v/>
      </c>
      <c r="G2239" s="891"/>
      <c r="H2239" s="891"/>
      <c r="I2239" s="580">
        <f t="shared" si="213"/>
        <v>0</v>
      </c>
      <c r="J2239" s="961">
        <f t="shared" si="214"/>
        <v>0</v>
      </c>
      <c r="K2239" s="80"/>
      <c r="L2239" s="808"/>
      <c r="M2239" s="154" t="str">
        <f>+IFERROR(VLOOKUP(L2239,DATA!$G$4:$H$2000,2,FALSE),"")</f>
        <v/>
      </c>
      <c r="N2239" s="808"/>
      <c r="O2239" s="80" t="str">
        <f>IFERROR(VLOOKUP(N2239,DATA!$K$4:$L$51,2,FALSE),"")</f>
        <v/>
      </c>
      <c r="P2239" s="80">
        <f t="shared" si="212"/>
        <v>0</v>
      </c>
    </row>
    <row r="2240" spans="2:16">
      <c r="B2240" s="627" t="str">
        <f t="shared" si="210"/>
        <v/>
      </c>
      <c r="C2240" s="631"/>
      <c r="D2240" s="817"/>
      <c r="E2240" s="808"/>
      <c r="F2240" s="629" t="str">
        <f>IFERROR(VLOOKUP(E2240,STAT1!$C$4:$D$1000,2,FALSE),"")</f>
        <v/>
      </c>
      <c r="G2240" s="891"/>
      <c r="H2240" s="891"/>
      <c r="I2240" s="580">
        <f t="shared" si="213"/>
        <v>0</v>
      </c>
      <c r="J2240" s="961">
        <f t="shared" si="214"/>
        <v>0</v>
      </c>
      <c r="K2240" s="80"/>
      <c r="L2240" s="808"/>
      <c r="M2240" s="154" t="str">
        <f>+IFERROR(VLOOKUP(L2240,DATA!$G$4:$H$2000,2,FALSE),"")</f>
        <v/>
      </c>
      <c r="N2240" s="808"/>
      <c r="O2240" s="80" t="str">
        <f>IFERROR(VLOOKUP(N2240,DATA!$K$4:$L$51,2,FALSE),"")</f>
        <v/>
      </c>
      <c r="P2240" s="80">
        <f t="shared" si="212"/>
        <v>0</v>
      </c>
    </row>
    <row r="2241" spans="2:16">
      <c r="B2241" s="627" t="str">
        <f t="shared" si="210"/>
        <v/>
      </c>
      <c r="C2241" s="631"/>
      <c r="D2241" s="819"/>
      <c r="E2241" s="808"/>
      <c r="F2241" s="629" t="str">
        <f>IFERROR(VLOOKUP(E2241,STAT1!$C$4:$D$1000,2,FALSE),"")</f>
        <v/>
      </c>
      <c r="G2241" s="891"/>
      <c r="H2241" s="891"/>
      <c r="I2241" s="580">
        <f t="shared" si="213"/>
        <v>0</v>
      </c>
      <c r="J2241" s="961">
        <f t="shared" si="214"/>
        <v>0</v>
      </c>
      <c r="K2241" s="80"/>
      <c r="L2241" s="808"/>
      <c r="M2241" s="154" t="str">
        <f>+IFERROR(VLOOKUP(L2241,DATA!$G$4:$H$2000,2,FALSE),"")</f>
        <v/>
      </c>
      <c r="N2241" s="808"/>
      <c r="O2241" s="80" t="str">
        <f>IFERROR(VLOOKUP(N2241,DATA!$K$4:$L$51,2,FALSE),"")</f>
        <v/>
      </c>
      <c r="P2241" s="80">
        <f t="shared" si="212"/>
        <v>0</v>
      </c>
    </row>
    <row r="2242" spans="2:16">
      <c r="B2242" s="627" t="str">
        <f t="shared" si="210"/>
        <v/>
      </c>
      <c r="C2242" s="635"/>
      <c r="D2242" s="820"/>
      <c r="E2242" s="633"/>
      <c r="F2242" s="629" t="str">
        <f>IFERROR(VLOOKUP(E2242,STAT1!$C$4:$D$1000,2,FALSE),"")</f>
        <v/>
      </c>
      <c r="G2242" s="893"/>
      <c r="H2242" s="893"/>
      <c r="I2242" s="580">
        <f t="shared" si="213"/>
        <v>0</v>
      </c>
      <c r="J2242" s="961">
        <f t="shared" si="214"/>
        <v>0</v>
      </c>
      <c r="K2242" s="80"/>
      <c r="L2242" s="633"/>
      <c r="M2242" s="154" t="str">
        <f>+IFERROR(VLOOKUP(L2242,DATA!$G$4:$H$2000,2,FALSE),"")</f>
        <v/>
      </c>
      <c r="N2242" s="633"/>
      <c r="O2242" s="80" t="str">
        <f>IFERROR(VLOOKUP(N2242,DATA!$K$4:$L$51,2,FALSE),"")</f>
        <v/>
      </c>
      <c r="P2242" s="80">
        <f t="shared" si="212"/>
        <v>0</v>
      </c>
    </row>
    <row r="2243" spans="2:16">
      <c r="B2243" s="627" t="str">
        <f t="shared" si="210"/>
        <v/>
      </c>
      <c r="C2243" s="636"/>
      <c r="D2243" s="820"/>
      <c r="E2243" s="637"/>
      <c r="F2243" s="629" t="str">
        <f>IFERROR(VLOOKUP(E2243,STAT1!$C$4:$D$1000,2,FALSE),"")</f>
        <v/>
      </c>
      <c r="G2243" s="894"/>
      <c r="H2243" s="894"/>
      <c r="I2243" s="580">
        <f t="shared" si="213"/>
        <v>0</v>
      </c>
      <c r="J2243" s="961">
        <f t="shared" si="214"/>
        <v>0</v>
      </c>
      <c r="K2243" s="80"/>
      <c r="L2243" s="637"/>
      <c r="M2243" s="154" t="str">
        <f>+IFERROR(VLOOKUP(L2243,DATA!$G$4:$H$2000,2,FALSE),"")</f>
        <v/>
      </c>
      <c r="N2243" s="637"/>
      <c r="O2243" s="80" t="str">
        <f>IFERROR(VLOOKUP(N2243,DATA!$K$4:$L$51,2,FALSE),"")</f>
        <v/>
      </c>
      <c r="P2243" s="80">
        <f t="shared" si="212"/>
        <v>0</v>
      </c>
    </row>
    <row r="2244" spans="2:16">
      <c r="B2244" s="627" t="str">
        <f t="shared" si="210"/>
        <v/>
      </c>
      <c r="C2244" s="636"/>
      <c r="D2244" s="820"/>
      <c r="E2244" s="637"/>
      <c r="F2244" s="629" t="str">
        <f>IFERROR(VLOOKUP(E2244,STAT1!$C$4:$D$1000,2,FALSE),"")</f>
        <v/>
      </c>
      <c r="G2244" s="894"/>
      <c r="H2244" s="894"/>
      <c r="I2244" s="580">
        <f t="shared" si="213"/>
        <v>0</v>
      </c>
      <c r="J2244" s="961">
        <f t="shared" si="214"/>
        <v>0</v>
      </c>
      <c r="K2244" s="80"/>
      <c r="L2244" s="637"/>
      <c r="M2244" s="154" t="str">
        <f>+IFERROR(VLOOKUP(L2244,DATA!$G$4:$H$2000,2,FALSE),"")</f>
        <v/>
      </c>
      <c r="N2244" s="637"/>
      <c r="O2244" s="80" t="str">
        <f>IFERROR(VLOOKUP(N2244,DATA!$K$4:$L$51,2,FALSE),"")</f>
        <v/>
      </c>
      <c r="P2244" s="80">
        <f t="shared" si="212"/>
        <v>0</v>
      </c>
    </row>
    <row r="2245" spans="2:16">
      <c r="B2245" s="627" t="str">
        <f t="shared" si="210"/>
        <v/>
      </c>
      <c r="C2245" s="636"/>
      <c r="D2245" s="819"/>
      <c r="E2245" s="637"/>
      <c r="F2245" s="629" t="str">
        <f>IFERROR(VLOOKUP(E2245,STAT1!$C$4:$D$1000,2,FALSE),"")</f>
        <v/>
      </c>
      <c r="G2245" s="894"/>
      <c r="H2245" s="894"/>
      <c r="I2245" s="580">
        <f t="shared" si="213"/>
        <v>0</v>
      </c>
      <c r="J2245" s="961">
        <f t="shared" si="214"/>
        <v>0</v>
      </c>
      <c r="K2245" s="80"/>
      <c r="L2245" s="637"/>
      <c r="M2245" s="154" t="str">
        <f>+IFERROR(VLOOKUP(L2245,DATA!$G$4:$H$2000,2,FALSE),"")</f>
        <v/>
      </c>
      <c r="N2245" s="637"/>
      <c r="O2245" s="80" t="str">
        <f>IFERROR(VLOOKUP(N2245,DATA!$K$4:$L$51,2,FALSE),"")</f>
        <v/>
      </c>
      <c r="P2245" s="80">
        <f t="shared" si="212"/>
        <v>0</v>
      </c>
    </row>
    <row r="2246" spans="2:16">
      <c r="B2246" s="627" t="str">
        <f t="shared" si="210"/>
        <v/>
      </c>
      <c r="C2246" s="635"/>
      <c r="D2246" s="819"/>
      <c r="E2246" s="633"/>
      <c r="F2246" s="629" t="str">
        <f>IFERROR(VLOOKUP(E2246,STAT1!$C$4:$D$1000,2,FALSE),"")</f>
        <v/>
      </c>
      <c r="G2246" s="893"/>
      <c r="H2246" s="893"/>
      <c r="I2246" s="580">
        <f t="shared" si="213"/>
        <v>0</v>
      </c>
      <c r="J2246" s="961">
        <f t="shared" si="214"/>
        <v>0</v>
      </c>
      <c r="K2246" s="80"/>
      <c r="L2246" s="633"/>
      <c r="M2246" s="154" t="str">
        <f>+IFERROR(VLOOKUP(L2246,DATA!$G$4:$H$2000,2,FALSE),"")</f>
        <v/>
      </c>
      <c r="N2246" s="633"/>
      <c r="O2246" s="80" t="str">
        <f>IFERROR(VLOOKUP(N2246,DATA!$K$4:$L$51,2,FALSE),"")</f>
        <v/>
      </c>
      <c r="P2246" s="80">
        <f t="shared" si="212"/>
        <v>0</v>
      </c>
    </row>
    <row r="2247" spans="2:16">
      <c r="B2247" s="627" t="str">
        <f t="shared" si="210"/>
        <v/>
      </c>
      <c r="C2247" s="635"/>
      <c r="D2247" s="819"/>
      <c r="E2247" s="633"/>
      <c r="F2247" s="629" t="str">
        <f>IFERROR(VLOOKUP(E2247,STAT1!$C$4:$D$1000,2,FALSE),"")</f>
        <v/>
      </c>
      <c r="G2247" s="893"/>
      <c r="H2247" s="893"/>
      <c r="I2247" s="580">
        <f t="shared" si="213"/>
        <v>0</v>
      </c>
      <c r="J2247" s="961">
        <f t="shared" si="214"/>
        <v>0</v>
      </c>
      <c r="K2247" s="80"/>
      <c r="L2247" s="633"/>
      <c r="M2247" s="154" t="str">
        <f>+IFERROR(VLOOKUP(L2247,DATA!$G$4:$H$2000,2,FALSE),"")</f>
        <v/>
      </c>
      <c r="N2247" s="633"/>
      <c r="O2247" s="80" t="str">
        <f>IFERROR(VLOOKUP(N2247,DATA!$K$4:$L$51,2,FALSE),"")</f>
        <v/>
      </c>
      <c r="P2247" s="80">
        <f t="shared" si="212"/>
        <v>0</v>
      </c>
    </row>
    <row r="2248" spans="2:16">
      <c r="B2248" s="627" t="str">
        <f t="shared" si="210"/>
        <v/>
      </c>
      <c r="C2248" s="635"/>
      <c r="D2248" s="819"/>
      <c r="E2248" s="633"/>
      <c r="F2248" s="629" t="str">
        <f>IFERROR(VLOOKUP(E2248,STAT1!$C$4:$D$1000,2,FALSE),"")</f>
        <v/>
      </c>
      <c r="G2248" s="893"/>
      <c r="H2248" s="893"/>
      <c r="I2248" s="580">
        <f t="shared" si="213"/>
        <v>0</v>
      </c>
      <c r="J2248" s="961">
        <f t="shared" si="214"/>
        <v>0</v>
      </c>
      <c r="K2248" s="80"/>
      <c r="L2248" s="633"/>
      <c r="M2248" s="154" t="str">
        <f>+IFERROR(VLOOKUP(L2248,DATA!$G$4:$H$2000,2,FALSE),"")</f>
        <v/>
      </c>
      <c r="N2248" s="633"/>
      <c r="O2248" s="80" t="str">
        <f>IFERROR(VLOOKUP(N2248,DATA!$K$4:$L$51,2,FALSE),"")</f>
        <v/>
      </c>
      <c r="P2248" s="80">
        <f t="shared" si="212"/>
        <v>0</v>
      </c>
    </row>
    <row r="2249" spans="2:16">
      <c r="B2249" s="627" t="str">
        <f t="shared" si="210"/>
        <v/>
      </c>
      <c r="C2249" s="635"/>
      <c r="D2249" s="819"/>
      <c r="E2249" s="633"/>
      <c r="F2249" s="629" t="str">
        <f>IFERROR(VLOOKUP(E2249,STAT1!$C$4:$D$1000,2,FALSE),"")</f>
        <v/>
      </c>
      <c r="G2249" s="893"/>
      <c r="H2249" s="893"/>
      <c r="I2249" s="580">
        <f t="shared" si="213"/>
        <v>0</v>
      </c>
      <c r="J2249" s="961">
        <f t="shared" si="214"/>
        <v>0</v>
      </c>
      <c r="K2249" s="80"/>
      <c r="L2249" s="633"/>
      <c r="M2249" s="154" t="str">
        <f>+IFERROR(VLOOKUP(L2249,DATA!$G$4:$H$2000,2,FALSE),"")</f>
        <v/>
      </c>
      <c r="N2249" s="633"/>
      <c r="O2249" s="80" t="str">
        <f>IFERROR(VLOOKUP(N2249,DATA!$K$4:$L$51,2,FALSE),"")</f>
        <v/>
      </c>
      <c r="P2249" s="80">
        <f t="shared" si="212"/>
        <v>0</v>
      </c>
    </row>
    <row r="2250" spans="2:16">
      <c r="B2250" s="627" t="str">
        <f t="shared" si="210"/>
        <v/>
      </c>
      <c r="C2250" s="635"/>
      <c r="D2250" s="819"/>
      <c r="E2250" s="633"/>
      <c r="F2250" s="629" t="str">
        <f>IFERROR(VLOOKUP(E2250,STAT1!$C$4:$D$1000,2,FALSE),"")</f>
        <v/>
      </c>
      <c r="G2250" s="893"/>
      <c r="H2250" s="893"/>
      <c r="I2250" s="580">
        <f t="shared" si="213"/>
        <v>0</v>
      </c>
      <c r="J2250" s="961">
        <f t="shared" si="214"/>
        <v>0</v>
      </c>
      <c r="K2250" s="80"/>
      <c r="L2250" s="633"/>
      <c r="M2250" s="154" t="str">
        <f>+IFERROR(VLOOKUP(L2250,DATA!$G$4:$H$2000,2,FALSE),"")</f>
        <v/>
      </c>
      <c r="N2250" s="633"/>
      <c r="O2250" s="80" t="str">
        <f>IFERROR(VLOOKUP(N2250,DATA!$K$4:$L$51,2,FALSE),"")</f>
        <v/>
      </c>
      <c r="P2250" s="80">
        <f t="shared" si="212"/>
        <v>0</v>
      </c>
    </row>
    <row r="2251" spans="2:16">
      <c r="B2251" s="627" t="str">
        <f t="shared" si="210"/>
        <v/>
      </c>
      <c r="C2251" s="635"/>
      <c r="D2251" s="817"/>
      <c r="E2251" s="633"/>
      <c r="F2251" s="629" t="str">
        <f>IFERROR(VLOOKUP(E2251,STAT1!$C$4:$D$1000,2,FALSE),"")</f>
        <v/>
      </c>
      <c r="G2251" s="893"/>
      <c r="H2251" s="893"/>
      <c r="I2251" s="580">
        <f t="shared" si="213"/>
        <v>0</v>
      </c>
      <c r="J2251" s="961">
        <f t="shared" si="214"/>
        <v>0</v>
      </c>
      <c r="K2251" s="80"/>
      <c r="L2251" s="633"/>
      <c r="M2251" s="154" t="str">
        <f>+IFERROR(VLOOKUP(L2251,DATA!$G$4:$H$2000,2,FALSE),"")</f>
        <v/>
      </c>
      <c r="N2251" s="633"/>
      <c r="O2251" s="80" t="str">
        <f>IFERROR(VLOOKUP(N2251,DATA!$K$4:$L$51,2,FALSE),"")</f>
        <v/>
      </c>
      <c r="P2251" s="80">
        <f t="shared" si="212"/>
        <v>0</v>
      </c>
    </row>
    <row r="2252" spans="2:16">
      <c r="B2252" s="627" t="str">
        <f t="shared" si="210"/>
        <v/>
      </c>
      <c r="C2252" s="631"/>
      <c r="D2252" s="817"/>
      <c r="E2252" s="808"/>
      <c r="F2252" s="629" t="str">
        <f>IFERROR(VLOOKUP(E2252,STAT1!$C$4:$D$1000,2,FALSE),"")</f>
        <v/>
      </c>
      <c r="G2252" s="891"/>
      <c r="H2252" s="891"/>
      <c r="I2252" s="580">
        <f t="shared" si="213"/>
        <v>0</v>
      </c>
      <c r="J2252" s="961">
        <f t="shared" si="214"/>
        <v>0</v>
      </c>
      <c r="K2252" s="80"/>
      <c r="L2252" s="808"/>
      <c r="M2252" s="154" t="str">
        <f>+IFERROR(VLOOKUP(L2252,DATA!$G$4:$H$2000,2,FALSE),"")</f>
        <v/>
      </c>
      <c r="N2252" s="808"/>
      <c r="O2252" s="80" t="str">
        <f>IFERROR(VLOOKUP(N2252,DATA!$K$4:$L$51,2,FALSE),"")</f>
        <v/>
      </c>
      <c r="P2252" s="80">
        <f t="shared" si="212"/>
        <v>0</v>
      </c>
    </row>
    <row r="2253" spans="2:16">
      <c r="B2253" s="627" t="str">
        <f t="shared" si="210"/>
        <v/>
      </c>
      <c r="C2253" s="631"/>
      <c r="D2253" s="817"/>
      <c r="E2253" s="808"/>
      <c r="F2253" s="629" t="str">
        <f>IFERROR(VLOOKUP(E2253,STAT1!$C$4:$D$1000,2,FALSE),"")</f>
        <v/>
      </c>
      <c r="G2253" s="891"/>
      <c r="H2253" s="891"/>
      <c r="I2253" s="580">
        <f t="shared" si="213"/>
        <v>0</v>
      </c>
      <c r="J2253" s="961">
        <f t="shared" si="214"/>
        <v>0</v>
      </c>
      <c r="K2253" s="80"/>
      <c r="L2253" s="808"/>
      <c r="M2253" s="154" t="str">
        <f>+IFERROR(VLOOKUP(L2253,DATA!$G$4:$H$2000,2,FALSE),"")</f>
        <v/>
      </c>
      <c r="N2253" s="808"/>
      <c r="O2253" s="80" t="str">
        <f>IFERROR(VLOOKUP(N2253,DATA!$K$4:$L$51,2,FALSE),"")</f>
        <v/>
      </c>
      <c r="P2253" s="80">
        <f t="shared" si="212"/>
        <v>0</v>
      </c>
    </row>
    <row r="2254" spans="2:16">
      <c r="B2254" s="627" t="str">
        <f t="shared" si="210"/>
        <v/>
      </c>
      <c r="C2254" s="631"/>
      <c r="D2254" s="817"/>
      <c r="E2254" s="808"/>
      <c r="F2254" s="629" t="str">
        <f>IFERROR(VLOOKUP(E2254,STAT1!$C$4:$D$1000,2,FALSE),"")</f>
        <v/>
      </c>
      <c r="G2254" s="891"/>
      <c r="H2254" s="891"/>
      <c r="I2254" s="580">
        <f t="shared" si="213"/>
        <v>0</v>
      </c>
      <c r="J2254" s="961">
        <f t="shared" si="214"/>
        <v>0</v>
      </c>
      <c r="K2254" s="80"/>
      <c r="L2254" s="808"/>
      <c r="M2254" s="154" t="str">
        <f>+IFERROR(VLOOKUP(L2254,DATA!$G$4:$H$2000,2,FALSE),"")</f>
        <v/>
      </c>
      <c r="N2254" s="808"/>
      <c r="O2254" s="80" t="str">
        <f>IFERROR(VLOOKUP(N2254,DATA!$K$4:$L$51,2,FALSE),"")</f>
        <v/>
      </c>
      <c r="P2254" s="80">
        <f t="shared" si="212"/>
        <v>0</v>
      </c>
    </row>
    <row r="2255" spans="2:16">
      <c r="B2255" s="627" t="str">
        <f t="shared" si="210"/>
        <v/>
      </c>
      <c r="C2255" s="631"/>
      <c r="D2255" s="817"/>
      <c r="E2255" s="808"/>
      <c r="F2255" s="629" t="str">
        <f>IFERROR(VLOOKUP(E2255,STAT1!$C$4:$D$1000,2,FALSE),"")</f>
        <v/>
      </c>
      <c r="G2255" s="891"/>
      <c r="H2255" s="891"/>
      <c r="I2255" s="580">
        <f t="shared" si="213"/>
        <v>0</v>
      </c>
      <c r="J2255" s="961">
        <f t="shared" si="214"/>
        <v>0</v>
      </c>
      <c r="K2255" s="80"/>
      <c r="L2255" s="808"/>
      <c r="M2255" s="154" t="str">
        <f>+IFERROR(VLOOKUP(L2255,DATA!$G$4:$H$2000,2,FALSE),"")</f>
        <v/>
      </c>
      <c r="N2255" s="808"/>
      <c r="O2255" s="80" t="str">
        <f>IFERROR(VLOOKUP(N2255,DATA!$K$4:$L$51,2,FALSE),"")</f>
        <v/>
      </c>
      <c r="P2255" s="80">
        <f t="shared" si="212"/>
        <v>0</v>
      </c>
    </row>
    <row r="2256" spans="2:16">
      <c r="B2256" s="627" t="str">
        <f t="shared" si="210"/>
        <v/>
      </c>
      <c r="C2256" s="631"/>
      <c r="D2256" s="817"/>
      <c r="E2256" s="808"/>
      <c r="F2256" s="629" t="str">
        <f>IFERROR(VLOOKUP(E2256,STAT1!$C$4:$D$1000,2,FALSE),"")</f>
        <v/>
      </c>
      <c r="G2256" s="891"/>
      <c r="H2256" s="891"/>
      <c r="I2256" s="580">
        <f t="shared" si="213"/>
        <v>0</v>
      </c>
      <c r="J2256" s="961">
        <f t="shared" si="214"/>
        <v>0</v>
      </c>
      <c r="K2256" s="80"/>
      <c r="L2256" s="808"/>
      <c r="M2256" s="154" t="str">
        <f>+IFERROR(VLOOKUP(L2256,DATA!$G$4:$H$2000,2,FALSE),"")</f>
        <v/>
      </c>
      <c r="N2256" s="808"/>
      <c r="O2256" s="80" t="str">
        <f>IFERROR(VLOOKUP(N2256,DATA!$K$4:$L$51,2,FALSE),"")</f>
        <v/>
      </c>
      <c r="P2256" s="80">
        <f t="shared" si="212"/>
        <v>0</v>
      </c>
    </row>
    <row r="2257" spans="2:16">
      <c r="B2257" s="627" t="str">
        <f t="shared" ref="B2257:B2320" si="215">+IF(C2257="","",ROW()-5)</f>
        <v/>
      </c>
      <c r="C2257" s="631"/>
      <c r="D2257" s="817"/>
      <c r="E2257" s="808"/>
      <c r="F2257" s="629" t="str">
        <f>IFERROR(VLOOKUP(E2257,STAT1!$C$4:$D$1000,2,FALSE),"")</f>
        <v/>
      </c>
      <c r="G2257" s="891"/>
      <c r="H2257" s="891"/>
      <c r="I2257" s="580">
        <f t="shared" si="213"/>
        <v>0</v>
      </c>
      <c r="J2257" s="961">
        <f t="shared" si="214"/>
        <v>0</v>
      </c>
      <c r="K2257" s="80"/>
      <c r="L2257" s="808"/>
      <c r="M2257" s="154" t="str">
        <f>+IFERROR(VLOOKUP(L2257,DATA!$G$4:$H$2000,2,FALSE),"")</f>
        <v/>
      </c>
      <c r="N2257" s="808"/>
      <c r="O2257" s="80" t="str">
        <f>IFERROR(VLOOKUP(N2257,DATA!$K$4:$L$51,2,FALSE),"")</f>
        <v/>
      </c>
      <c r="P2257" s="80">
        <f t="shared" si="212"/>
        <v>0</v>
      </c>
    </row>
    <row r="2258" spans="2:16">
      <c r="B2258" s="627" t="str">
        <f t="shared" si="215"/>
        <v/>
      </c>
      <c r="C2258" s="631"/>
      <c r="D2258" s="817"/>
      <c r="E2258" s="808"/>
      <c r="F2258" s="629" t="str">
        <f>IFERROR(VLOOKUP(E2258,STAT1!$C$4:$D$1000,2,FALSE),"")</f>
        <v/>
      </c>
      <c r="G2258" s="891"/>
      <c r="H2258" s="891"/>
      <c r="I2258" s="580">
        <f t="shared" si="213"/>
        <v>0</v>
      </c>
      <c r="J2258" s="961">
        <f t="shared" si="214"/>
        <v>0</v>
      </c>
      <c r="K2258" s="80"/>
      <c r="L2258" s="808"/>
      <c r="M2258" s="154" t="str">
        <f>+IFERROR(VLOOKUP(L2258,DATA!$G$4:$H$2000,2,FALSE),"")</f>
        <v/>
      </c>
      <c r="N2258" s="808"/>
      <c r="O2258" s="80" t="str">
        <f>IFERROR(VLOOKUP(N2258,DATA!$K$4:$L$51,2,FALSE),"")</f>
        <v/>
      </c>
      <c r="P2258" s="80">
        <f t="shared" si="212"/>
        <v>0</v>
      </c>
    </row>
    <row r="2259" spans="2:16">
      <c r="B2259" s="627" t="str">
        <f t="shared" si="215"/>
        <v/>
      </c>
      <c r="C2259" s="631"/>
      <c r="D2259" s="817"/>
      <c r="E2259" s="808"/>
      <c r="F2259" s="629" t="str">
        <f>IFERROR(VLOOKUP(E2259,STAT1!$C$4:$D$1000,2,FALSE),"")</f>
        <v/>
      </c>
      <c r="G2259" s="891"/>
      <c r="H2259" s="891"/>
      <c r="I2259" s="580">
        <f t="shared" si="213"/>
        <v>0</v>
      </c>
      <c r="J2259" s="961">
        <f t="shared" si="214"/>
        <v>0</v>
      </c>
      <c r="K2259" s="80"/>
      <c r="L2259" s="808"/>
      <c r="M2259" s="154" t="str">
        <f>+IFERROR(VLOOKUP(L2259,DATA!$G$4:$H$2000,2,FALSE),"")</f>
        <v/>
      </c>
      <c r="N2259" s="808"/>
      <c r="O2259" s="80" t="str">
        <f>IFERROR(VLOOKUP(N2259,DATA!$K$4:$L$51,2,FALSE),"")</f>
        <v/>
      </c>
      <c r="P2259" s="80">
        <f t="shared" si="212"/>
        <v>0</v>
      </c>
    </row>
    <row r="2260" spans="2:16">
      <c r="B2260" s="627" t="str">
        <f t="shared" si="215"/>
        <v/>
      </c>
      <c r="C2260" s="631"/>
      <c r="D2260" s="817"/>
      <c r="E2260" s="808"/>
      <c r="F2260" s="629" t="str">
        <f>IFERROR(VLOOKUP(E2260,STAT1!$C$4:$D$1000,2,FALSE),"")</f>
        <v/>
      </c>
      <c r="G2260" s="891"/>
      <c r="H2260" s="891"/>
      <c r="I2260" s="580">
        <f t="shared" si="213"/>
        <v>0</v>
      </c>
      <c r="J2260" s="961">
        <f t="shared" si="214"/>
        <v>0</v>
      </c>
      <c r="K2260" s="80"/>
      <c r="L2260" s="808"/>
      <c r="M2260" s="154" t="str">
        <f>+IFERROR(VLOOKUP(L2260,DATA!$G$4:$H$2000,2,FALSE),"")</f>
        <v/>
      </c>
      <c r="N2260" s="808"/>
      <c r="O2260" s="80" t="str">
        <f>IFERROR(VLOOKUP(N2260,DATA!$K$4:$L$51,2,FALSE),"")</f>
        <v/>
      </c>
      <c r="P2260" s="80">
        <f t="shared" si="212"/>
        <v>0</v>
      </c>
    </row>
    <row r="2261" spans="2:16">
      <c r="B2261" s="627" t="str">
        <f t="shared" si="215"/>
        <v/>
      </c>
      <c r="C2261" s="631"/>
      <c r="D2261" s="819"/>
      <c r="E2261" s="808"/>
      <c r="F2261" s="629" t="str">
        <f>IFERROR(VLOOKUP(E2261,STAT1!$C$4:$D$1000,2,FALSE),"")</f>
        <v/>
      </c>
      <c r="G2261" s="891"/>
      <c r="H2261" s="891"/>
      <c r="I2261" s="580">
        <f t="shared" si="213"/>
        <v>0</v>
      </c>
      <c r="J2261" s="961">
        <f t="shared" si="214"/>
        <v>0</v>
      </c>
      <c r="K2261" s="80"/>
      <c r="L2261" s="808"/>
      <c r="M2261" s="154" t="str">
        <f>+IFERROR(VLOOKUP(L2261,DATA!$G$4:$H$2000,2,FALSE),"")</f>
        <v/>
      </c>
      <c r="N2261" s="808"/>
      <c r="O2261" s="80" t="str">
        <f>IFERROR(VLOOKUP(N2261,DATA!$K$4:$L$51,2,FALSE),"")</f>
        <v/>
      </c>
      <c r="P2261" s="80">
        <f t="shared" si="212"/>
        <v>0</v>
      </c>
    </row>
    <row r="2262" spans="2:16">
      <c r="B2262" s="627" t="str">
        <f t="shared" si="215"/>
        <v/>
      </c>
      <c r="C2262" s="635"/>
      <c r="D2262" s="819"/>
      <c r="E2262" s="633"/>
      <c r="F2262" s="629" t="str">
        <f>IFERROR(VLOOKUP(E2262,STAT1!$C$4:$D$1000,2,FALSE),"")</f>
        <v/>
      </c>
      <c r="G2262" s="893"/>
      <c r="H2262" s="893"/>
      <c r="I2262" s="580">
        <f t="shared" si="213"/>
        <v>0</v>
      </c>
      <c r="J2262" s="961">
        <f t="shared" si="214"/>
        <v>0</v>
      </c>
      <c r="K2262" s="80"/>
      <c r="L2262" s="633"/>
      <c r="M2262" s="154" t="str">
        <f>+IFERROR(VLOOKUP(L2262,DATA!$G$4:$H$2000,2,FALSE),"")</f>
        <v/>
      </c>
      <c r="N2262" s="633"/>
      <c r="O2262" s="80" t="str">
        <f>IFERROR(VLOOKUP(N2262,DATA!$K$4:$L$51,2,FALSE),"")</f>
        <v/>
      </c>
      <c r="P2262" s="80">
        <f t="shared" si="212"/>
        <v>0</v>
      </c>
    </row>
    <row r="2263" spans="2:16">
      <c r="B2263" s="627" t="str">
        <f t="shared" si="215"/>
        <v/>
      </c>
      <c r="C2263" s="635"/>
      <c r="D2263" s="819"/>
      <c r="E2263" s="633"/>
      <c r="F2263" s="629" t="str">
        <f>IFERROR(VLOOKUP(E2263,STAT1!$C$4:$D$1000,2,FALSE),"")</f>
        <v/>
      </c>
      <c r="G2263" s="893"/>
      <c r="H2263" s="893"/>
      <c r="I2263" s="580">
        <f t="shared" si="213"/>
        <v>0</v>
      </c>
      <c r="J2263" s="961">
        <f t="shared" si="214"/>
        <v>0</v>
      </c>
      <c r="K2263" s="80"/>
      <c r="L2263" s="633"/>
      <c r="M2263" s="154" t="str">
        <f>+IFERROR(VLOOKUP(L2263,DATA!$G$4:$H$2000,2,FALSE),"")</f>
        <v/>
      </c>
      <c r="N2263" s="633"/>
      <c r="O2263" s="80" t="str">
        <f>IFERROR(VLOOKUP(N2263,DATA!$K$4:$L$51,2,FALSE),"")</f>
        <v/>
      </c>
      <c r="P2263" s="80">
        <f t="shared" si="212"/>
        <v>0</v>
      </c>
    </row>
    <row r="2264" spans="2:16">
      <c r="B2264" s="627" t="str">
        <f t="shared" si="215"/>
        <v/>
      </c>
      <c r="C2264" s="635"/>
      <c r="D2264" s="819"/>
      <c r="E2264" s="633"/>
      <c r="F2264" s="629" t="str">
        <f>IFERROR(VLOOKUP(E2264,STAT1!$C$4:$D$1000,2,FALSE),"")</f>
        <v/>
      </c>
      <c r="G2264" s="893"/>
      <c r="H2264" s="893"/>
      <c r="I2264" s="580">
        <f t="shared" si="213"/>
        <v>0</v>
      </c>
      <c r="J2264" s="961">
        <f t="shared" si="214"/>
        <v>0</v>
      </c>
      <c r="K2264" s="80"/>
      <c r="L2264" s="633"/>
      <c r="M2264" s="154" t="str">
        <f>+IFERROR(VLOOKUP(L2264,DATA!$G$4:$H$2000,2,FALSE),"")</f>
        <v/>
      </c>
      <c r="N2264" s="633"/>
      <c r="O2264" s="80" t="str">
        <f>IFERROR(VLOOKUP(N2264,DATA!$K$4:$L$51,2,FALSE),"")</f>
        <v/>
      </c>
      <c r="P2264" s="80">
        <f t="shared" si="212"/>
        <v>0</v>
      </c>
    </row>
    <row r="2265" spans="2:16">
      <c r="B2265" s="627" t="str">
        <f t="shared" si="215"/>
        <v/>
      </c>
      <c r="C2265" s="635"/>
      <c r="D2265" s="819"/>
      <c r="E2265" s="633"/>
      <c r="F2265" s="629" t="str">
        <f>IFERROR(VLOOKUP(E2265,STAT1!$C$4:$D$1000,2,FALSE),"")</f>
        <v/>
      </c>
      <c r="G2265" s="893"/>
      <c r="H2265" s="893"/>
      <c r="I2265" s="580">
        <f t="shared" si="213"/>
        <v>0</v>
      </c>
      <c r="J2265" s="961">
        <f t="shared" si="214"/>
        <v>0</v>
      </c>
      <c r="K2265" s="80"/>
      <c r="L2265" s="633"/>
      <c r="M2265" s="154" t="str">
        <f>+IFERROR(VLOOKUP(L2265,DATA!$G$4:$H$2000,2,FALSE),"")</f>
        <v/>
      </c>
      <c r="N2265" s="633"/>
      <c r="O2265" s="80" t="str">
        <f>IFERROR(VLOOKUP(N2265,DATA!$K$4:$L$51,2,FALSE),"")</f>
        <v/>
      </c>
      <c r="P2265" s="80">
        <f t="shared" si="212"/>
        <v>0</v>
      </c>
    </row>
    <row r="2266" spans="2:16">
      <c r="B2266" s="627" t="str">
        <f t="shared" si="215"/>
        <v/>
      </c>
      <c r="C2266" s="635"/>
      <c r="D2266" s="819"/>
      <c r="E2266" s="633"/>
      <c r="F2266" s="629" t="str">
        <f>IFERROR(VLOOKUP(E2266,STAT1!$C$4:$D$1000,2,FALSE),"")</f>
        <v/>
      </c>
      <c r="G2266" s="893"/>
      <c r="H2266" s="893"/>
      <c r="I2266" s="580">
        <f t="shared" si="213"/>
        <v>0</v>
      </c>
      <c r="J2266" s="961">
        <f t="shared" si="214"/>
        <v>0</v>
      </c>
      <c r="K2266" s="80"/>
      <c r="L2266" s="633"/>
      <c r="M2266" s="154" t="str">
        <f>+IFERROR(VLOOKUP(L2266,DATA!$G$4:$H$2000,2,FALSE),"")</f>
        <v/>
      </c>
      <c r="N2266" s="633"/>
      <c r="O2266" s="80" t="str">
        <f>IFERROR(VLOOKUP(N2266,DATA!$K$4:$L$51,2,FALSE),"")</f>
        <v/>
      </c>
      <c r="P2266" s="80">
        <f t="shared" si="212"/>
        <v>0</v>
      </c>
    </row>
    <row r="2267" spans="2:16">
      <c r="B2267" s="627" t="str">
        <f t="shared" si="215"/>
        <v/>
      </c>
      <c r="C2267" s="635"/>
      <c r="D2267" s="817"/>
      <c r="E2267" s="633"/>
      <c r="F2267" s="629" t="str">
        <f>IFERROR(VLOOKUP(E2267,STAT1!$C$4:$D$1000,2,FALSE),"")</f>
        <v/>
      </c>
      <c r="G2267" s="893"/>
      <c r="H2267" s="893"/>
      <c r="I2267" s="580">
        <f t="shared" si="213"/>
        <v>0</v>
      </c>
      <c r="J2267" s="961">
        <f t="shared" si="214"/>
        <v>0</v>
      </c>
      <c r="K2267" s="80"/>
      <c r="L2267" s="633"/>
      <c r="M2267" s="154" t="str">
        <f>+IFERROR(VLOOKUP(L2267,DATA!$G$4:$H$2000,2,FALSE),"")</f>
        <v/>
      </c>
      <c r="N2267" s="633"/>
      <c r="O2267" s="80" t="str">
        <f>IFERROR(VLOOKUP(N2267,DATA!$K$4:$L$51,2,FALSE),"")</f>
        <v/>
      </c>
      <c r="P2267" s="80">
        <f t="shared" si="212"/>
        <v>0</v>
      </c>
    </row>
    <row r="2268" spans="2:16">
      <c r="B2268" s="627" t="str">
        <f t="shared" si="215"/>
        <v/>
      </c>
      <c r="C2268" s="631"/>
      <c r="D2268" s="817"/>
      <c r="E2268" s="808"/>
      <c r="F2268" s="629" t="str">
        <f>IFERROR(VLOOKUP(E2268,STAT1!$C$4:$D$1000,2,FALSE),"")</f>
        <v/>
      </c>
      <c r="G2268" s="891"/>
      <c r="H2268" s="891"/>
      <c r="I2268" s="580">
        <f t="shared" si="213"/>
        <v>0</v>
      </c>
      <c r="J2268" s="961">
        <f t="shared" si="214"/>
        <v>0</v>
      </c>
      <c r="K2268" s="80"/>
      <c r="L2268" s="808"/>
      <c r="M2268" s="154" t="str">
        <f>+IFERROR(VLOOKUP(L2268,DATA!$G$4:$H$2000,2,FALSE),"")</f>
        <v/>
      </c>
      <c r="N2268" s="808"/>
      <c r="O2268" s="80" t="str">
        <f>IFERROR(VLOOKUP(N2268,DATA!$K$4:$L$51,2,FALSE),"")</f>
        <v/>
      </c>
      <c r="P2268" s="80">
        <f t="shared" si="212"/>
        <v>0</v>
      </c>
    </row>
    <row r="2269" spans="2:16">
      <c r="B2269" s="627" t="str">
        <f t="shared" si="215"/>
        <v/>
      </c>
      <c r="C2269" s="631"/>
      <c r="D2269" s="817"/>
      <c r="E2269" s="808"/>
      <c r="F2269" s="629" t="str">
        <f>IFERROR(VLOOKUP(E2269,STAT1!$C$4:$D$1000,2,FALSE),"")</f>
        <v/>
      </c>
      <c r="G2269" s="891"/>
      <c r="H2269" s="891"/>
      <c r="I2269" s="580">
        <f t="shared" si="213"/>
        <v>0</v>
      </c>
      <c r="J2269" s="961">
        <f t="shared" si="214"/>
        <v>0</v>
      </c>
      <c r="K2269" s="80"/>
      <c r="L2269" s="808"/>
      <c r="M2269" s="154" t="str">
        <f>+IFERROR(VLOOKUP(L2269,DATA!$G$4:$H$2000,2,FALSE),"")</f>
        <v/>
      </c>
      <c r="N2269" s="808"/>
      <c r="O2269" s="80" t="str">
        <f>IFERROR(VLOOKUP(N2269,DATA!$K$4:$L$51,2,FALSE),"")</f>
        <v/>
      </c>
      <c r="P2269" s="80">
        <f t="shared" si="212"/>
        <v>0</v>
      </c>
    </row>
    <row r="2270" spans="2:16">
      <c r="B2270" s="627" t="str">
        <f t="shared" si="215"/>
        <v/>
      </c>
      <c r="C2270" s="631"/>
      <c r="D2270" s="817"/>
      <c r="E2270" s="808"/>
      <c r="F2270" s="629" t="str">
        <f>IFERROR(VLOOKUP(E2270,STAT1!$C$4:$D$1000,2,FALSE),"")</f>
        <v/>
      </c>
      <c r="G2270" s="891"/>
      <c r="H2270" s="891"/>
      <c r="I2270" s="580">
        <f t="shared" si="213"/>
        <v>0</v>
      </c>
      <c r="J2270" s="961">
        <f t="shared" si="214"/>
        <v>0</v>
      </c>
      <c r="K2270" s="80"/>
      <c r="L2270" s="808"/>
      <c r="M2270" s="154" t="str">
        <f>+IFERROR(VLOOKUP(L2270,DATA!$G$4:$H$2000,2,FALSE),"")</f>
        <v/>
      </c>
      <c r="N2270" s="808"/>
      <c r="O2270" s="80" t="str">
        <f>IFERROR(VLOOKUP(N2270,DATA!$K$4:$L$51,2,FALSE),"")</f>
        <v/>
      </c>
      <c r="P2270" s="80">
        <f t="shared" si="212"/>
        <v>0</v>
      </c>
    </row>
    <row r="2271" spans="2:16">
      <c r="B2271" s="627" t="str">
        <f t="shared" si="215"/>
        <v/>
      </c>
      <c r="C2271" s="631"/>
      <c r="D2271" s="817"/>
      <c r="E2271" s="808"/>
      <c r="F2271" s="629" t="str">
        <f>IFERROR(VLOOKUP(E2271,STAT1!$C$4:$D$1000,2,FALSE),"")</f>
        <v/>
      </c>
      <c r="G2271" s="891"/>
      <c r="H2271" s="891"/>
      <c r="I2271" s="580">
        <f t="shared" si="213"/>
        <v>0</v>
      </c>
      <c r="J2271" s="961">
        <f t="shared" si="214"/>
        <v>0</v>
      </c>
      <c r="K2271" s="80"/>
      <c r="L2271" s="808"/>
      <c r="M2271" s="154" t="str">
        <f>+IFERROR(VLOOKUP(L2271,DATA!$G$4:$H$2000,2,FALSE),"")</f>
        <v/>
      </c>
      <c r="N2271" s="808"/>
      <c r="O2271" s="80" t="str">
        <f>IFERROR(VLOOKUP(N2271,DATA!$K$4:$L$51,2,FALSE),"")</f>
        <v/>
      </c>
      <c r="P2271" s="80">
        <f t="shared" si="212"/>
        <v>0</v>
      </c>
    </row>
    <row r="2272" spans="2:16">
      <c r="B2272" s="627" t="str">
        <f t="shared" si="215"/>
        <v/>
      </c>
      <c r="C2272" s="631"/>
      <c r="D2272" s="817"/>
      <c r="E2272" s="808"/>
      <c r="F2272" s="629" t="str">
        <f>IFERROR(VLOOKUP(E2272,STAT1!$C$4:$D$1000,2,FALSE),"")</f>
        <v/>
      </c>
      <c r="G2272" s="891"/>
      <c r="H2272" s="891"/>
      <c r="I2272" s="580">
        <f t="shared" si="213"/>
        <v>0</v>
      </c>
      <c r="J2272" s="961">
        <f t="shared" si="214"/>
        <v>0</v>
      </c>
      <c r="K2272" s="80"/>
      <c r="L2272" s="808"/>
      <c r="M2272" s="154" t="str">
        <f>+IFERROR(VLOOKUP(L2272,DATA!$G$4:$H$2000,2,FALSE),"")</f>
        <v/>
      </c>
      <c r="N2272" s="808"/>
      <c r="O2272" s="80" t="str">
        <f>IFERROR(VLOOKUP(N2272,DATA!$K$4:$L$51,2,FALSE),"")</f>
        <v/>
      </c>
      <c r="P2272" s="80">
        <f t="shared" si="212"/>
        <v>0</v>
      </c>
    </row>
    <row r="2273" spans="2:16">
      <c r="B2273" s="627" t="str">
        <f t="shared" si="215"/>
        <v/>
      </c>
      <c r="C2273" s="631"/>
      <c r="D2273" s="817"/>
      <c r="E2273" s="808"/>
      <c r="F2273" s="629" t="str">
        <f>IFERROR(VLOOKUP(E2273,STAT1!$C$4:$D$1000,2,FALSE),"")</f>
        <v/>
      </c>
      <c r="G2273" s="891"/>
      <c r="H2273" s="891"/>
      <c r="I2273" s="580">
        <f t="shared" si="213"/>
        <v>0</v>
      </c>
      <c r="J2273" s="961">
        <f t="shared" si="214"/>
        <v>0</v>
      </c>
      <c r="K2273" s="80"/>
      <c r="L2273" s="808"/>
      <c r="M2273" s="154" t="str">
        <f>+IFERROR(VLOOKUP(L2273,DATA!$G$4:$H$2000,2,FALSE),"")</f>
        <v/>
      </c>
      <c r="N2273" s="808"/>
      <c r="O2273" s="80" t="str">
        <f>IFERROR(VLOOKUP(N2273,DATA!$K$4:$L$51,2,FALSE),"")</f>
        <v/>
      </c>
      <c r="P2273" s="80">
        <f t="shared" si="212"/>
        <v>0</v>
      </c>
    </row>
    <row r="2274" spans="2:16">
      <c r="B2274" s="627" t="str">
        <f t="shared" si="215"/>
        <v/>
      </c>
      <c r="C2274" s="631"/>
      <c r="D2274" s="817"/>
      <c r="E2274" s="808"/>
      <c r="F2274" s="629" t="str">
        <f>IFERROR(VLOOKUP(E2274,STAT1!$C$4:$D$1000,2,FALSE),"")</f>
        <v/>
      </c>
      <c r="G2274" s="891"/>
      <c r="H2274" s="891"/>
      <c r="I2274" s="580">
        <f t="shared" si="213"/>
        <v>0</v>
      </c>
      <c r="J2274" s="961">
        <f t="shared" si="214"/>
        <v>0</v>
      </c>
      <c r="K2274" s="80"/>
      <c r="L2274" s="808"/>
      <c r="M2274" s="154" t="str">
        <f>+IFERROR(VLOOKUP(L2274,DATA!$G$4:$H$2000,2,FALSE),"")</f>
        <v/>
      </c>
      <c r="N2274" s="808"/>
      <c r="O2274" s="80" t="str">
        <f>IFERROR(VLOOKUP(N2274,DATA!$K$4:$L$51,2,FALSE),"")</f>
        <v/>
      </c>
      <c r="P2274" s="80">
        <f t="shared" si="212"/>
        <v>0</v>
      </c>
    </row>
    <row r="2275" spans="2:16">
      <c r="B2275" s="627" t="str">
        <f t="shared" si="215"/>
        <v/>
      </c>
      <c r="C2275" s="631"/>
      <c r="D2275" s="817"/>
      <c r="E2275" s="808"/>
      <c r="F2275" s="629" t="str">
        <f>IFERROR(VLOOKUP(E2275,STAT1!$C$4:$D$1000,2,FALSE),"")</f>
        <v/>
      </c>
      <c r="G2275" s="891"/>
      <c r="H2275" s="891"/>
      <c r="I2275" s="580">
        <f t="shared" si="213"/>
        <v>0</v>
      </c>
      <c r="J2275" s="961">
        <f t="shared" si="214"/>
        <v>0</v>
      </c>
      <c r="K2275" s="80"/>
      <c r="L2275" s="808"/>
      <c r="M2275" s="154" t="str">
        <f>+IFERROR(VLOOKUP(L2275,DATA!$G$4:$H$2000,2,FALSE),"")</f>
        <v/>
      </c>
      <c r="N2275" s="808"/>
      <c r="O2275" s="80" t="str">
        <f>IFERROR(VLOOKUP(N2275,DATA!$K$4:$L$51,2,FALSE),"")</f>
        <v/>
      </c>
      <c r="P2275" s="80">
        <f t="shared" si="212"/>
        <v>0</v>
      </c>
    </row>
    <row r="2276" spans="2:16">
      <c r="B2276" s="627" t="str">
        <f t="shared" si="215"/>
        <v/>
      </c>
      <c r="C2276" s="631"/>
      <c r="D2276" s="817"/>
      <c r="E2276" s="808"/>
      <c r="F2276" s="629" t="str">
        <f>IFERROR(VLOOKUP(E2276,STAT1!$C$4:$D$1000,2,FALSE),"")</f>
        <v/>
      </c>
      <c r="G2276" s="891"/>
      <c r="H2276" s="891"/>
      <c r="I2276" s="580">
        <f t="shared" si="213"/>
        <v>0</v>
      </c>
      <c r="J2276" s="961">
        <f t="shared" si="214"/>
        <v>0</v>
      </c>
      <c r="K2276" s="80"/>
      <c r="L2276" s="808"/>
      <c r="M2276" s="154" t="str">
        <f>+IFERROR(VLOOKUP(L2276,DATA!$G$4:$H$2000,2,FALSE),"")</f>
        <v/>
      </c>
      <c r="N2276" s="808"/>
      <c r="O2276" s="80" t="str">
        <f>IFERROR(VLOOKUP(N2276,DATA!$K$4:$L$51,2,FALSE),"")</f>
        <v/>
      </c>
      <c r="P2276" s="80">
        <f t="shared" si="212"/>
        <v>0</v>
      </c>
    </row>
    <row r="2277" spans="2:16">
      <c r="B2277" s="627" t="str">
        <f t="shared" si="215"/>
        <v/>
      </c>
      <c r="C2277" s="631"/>
      <c r="D2277" s="819"/>
      <c r="E2277" s="808"/>
      <c r="F2277" s="629" t="str">
        <f>IFERROR(VLOOKUP(E2277,STAT1!$C$4:$D$1000,2,FALSE),"")</f>
        <v/>
      </c>
      <c r="G2277" s="891"/>
      <c r="H2277" s="891"/>
      <c r="I2277" s="580">
        <f t="shared" si="213"/>
        <v>0</v>
      </c>
      <c r="J2277" s="961">
        <f t="shared" si="214"/>
        <v>0</v>
      </c>
      <c r="K2277" s="80"/>
      <c r="L2277" s="808"/>
      <c r="M2277" s="154" t="str">
        <f>+IFERROR(VLOOKUP(L2277,DATA!$G$4:$H$2000,2,FALSE),"")</f>
        <v/>
      </c>
      <c r="N2277" s="808"/>
      <c r="O2277" s="80" t="str">
        <f>IFERROR(VLOOKUP(N2277,DATA!$K$4:$L$51,2,FALSE),"")</f>
        <v/>
      </c>
      <c r="P2277" s="80">
        <f t="shared" si="212"/>
        <v>0</v>
      </c>
    </row>
    <row r="2278" spans="2:16">
      <c r="B2278" s="627" t="str">
        <f t="shared" si="215"/>
        <v/>
      </c>
      <c r="C2278" s="635"/>
      <c r="D2278" s="819"/>
      <c r="E2278" s="633"/>
      <c r="F2278" s="629" t="str">
        <f>IFERROR(VLOOKUP(E2278,STAT1!$C$4:$D$1000,2,FALSE),"")</f>
        <v/>
      </c>
      <c r="G2278" s="893"/>
      <c r="H2278" s="893"/>
      <c r="I2278" s="580">
        <f t="shared" si="213"/>
        <v>0</v>
      </c>
      <c r="J2278" s="961">
        <f t="shared" si="214"/>
        <v>0</v>
      </c>
      <c r="K2278" s="80"/>
      <c r="L2278" s="633"/>
      <c r="M2278" s="154" t="str">
        <f>+IFERROR(VLOOKUP(L2278,DATA!$G$4:$H$2000,2,FALSE),"")</f>
        <v/>
      </c>
      <c r="N2278" s="633"/>
      <c r="O2278" s="80" t="str">
        <f>IFERROR(VLOOKUP(N2278,DATA!$K$4:$L$51,2,FALSE),"")</f>
        <v/>
      </c>
      <c r="P2278" s="80">
        <f t="shared" si="212"/>
        <v>0</v>
      </c>
    </row>
    <row r="2279" spans="2:16">
      <c r="B2279" s="627" t="str">
        <f t="shared" si="215"/>
        <v/>
      </c>
      <c r="C2279" s="635"/>
      <c r="D2279" s="819"/>
      <c r="E2279" s="633"/>
      <c r="F2279" s="629" t="str">
        <f>IFERROR(VLOOKUP(E2279,STAT1!$C$4:$D$1000,2,FALSE),"")</f>
        <v/>
      </c>
      <c r="G2279" s="893"/>
      <c r="H2279" s="893"/>
      <c r="I2279" s="580">
        <f t="shared" si="213"/>
        <v>0</v>
      </c>
      <c r="J2279" s="961">
        <f t="shared" si="214"/>
        <v>0</v>
      </c>
      <c r="K2279" s="80"/>
      <c r="L2279" s="633"/>
      <c r="M2279" s="154" t="str">
        <f>+IFERROR(VLOOKUP(L2279,DATA!$G$4:$H$2000,2,FALSE),"")</f>
        <v/>
      </c>
      <c r="N2279" s="633"/>
      <c r="O2279" s="80" t="str">
        <f>IFERROR(VLOOKUP(N2279,DATA!$K$4:$L$51,2,FALSE),"")</f>
        <v/>
      </c>
      <c r="P2279" s="80">
        <f t="shared" si="212"/>
        <v>0</v>
      </c>
    </row>
    <row r="2280" spans="2:16">
      <c r="B2280" s="627" t="str">
        <f t="shared" si="215"/>
        <v/>
      </c>
      <c r="C2280" s="635"/>
      <c r="D2280" s="819"/>
      <c r="E2280" s="633"/>
      <c r="F2280" s="629" t="str">
        <f>IFERROR(VLOOKUP(E2280,STAT1!$C$4:$D$1000,2,FALSE),"")</f>
        <v/>
      </c>
      <c r="G2280" s="893"/>
      <c r="H2280" s="893"/>
      <c r="I2280" s="580">
        <f t="shared" si="213"/>
        <v>0</v>
      </c>
      <c r="J2280" s="961">
        <f t="shared" si="214"/>
        <v>0</v>
      </c>
      <c r="K2280" s="80"/>
      <c r="L2280" s="633"/>
      <c r="M2280" s="154" t="str">
        <f>+IFERROR(VLOOKUP(L2280,DATA!$G$4:$H$2000,2,FALSE),"")</f>
        <v/>
      </c>
      <c r="N2280" s="633"/>
      <c r="O2280" s="80" t="str">
        <f>IFERROR(VLOOKUP(N2280,DATA!$K$4:$L$51,2,FALSE),"")</f>
        <v/>
      </c>
      <c r="P2280" s="80">
        <f t="shared" si="212"/>
        <v>0</v>
      </c>
    </row>
    <row r="2281" spans="2:16">
      <c r="B2281" s="627" t="str">
        <f t="shared" si="215"/>
        <v/>
      </c>
      <c r="C2281" s="635"/>
      <c r="D2281" s="819"/>
      <c r="E2281" s="633"/>
      <c r="F2281" s="629" t="str">
        <f>IFERROR(VLOOKUP(E2281,STAT1!$C$4:$D$1000,2,FALSE),"")</f>
        <v/>
      </c>
      <c r="G2281" s="893"/>
      <c r="H2281" s="893"/>
      <c r="I2281" s="580">
        <f t="shared" si="213"/>
        <v>0</v>
      </c>
      <c r="J2281" s="961">
        <f t="shared" si="214"/>
        <v>0</v>
      </c>
      <c r="K2281" s="80"/>
      <c r="L2281" s="633"/>
      <c r="M2281" s="154" t="str">
        <f>+IFERROR(VLOOKUP(L2281,DATA!$G$4:$H$2000,2,FALSE),"")</f>
        <v/>
      </c>
      <c r="N2281" s="633"/>
      <c r="O2281" s="80" t="str">
        <f>IFERROR(VLOOKUP(N2281,DATA!$K$4:$L$51,2,FALSE),"")</f>
        <v/>
      </c>
      <c r="P2281" s="80">
        <f t="shared" si="212"/>
        <v>0</v>
      </c>
    </row>
    <row r="2282" spans="2:16">
      <c r="B2282" s="627" t="str">
        <f t="shared" si="215"/>
        <v/>
      </c>
      <c r="C2282" s="635"/>
      <c r="D2282" s="817"/>
      <c r="E2282" s="633"/>
      <c r="F2282" s="629" t="str">
        <f>IFERROR(VLOOKUP(E2282,STAT1!$C$4:$D$1000,2,FALSE),"")</f>
        <v/>
      </c>
      <c r="G2282" s="893"/>
      <c r="H2282" s="893"/>
      <c r="I2282" s="580">
        <f t="shared" si="213"/>
        <v>0</v>
      </c>
      <c r="J2282" s="961">
        <f t="shared" si="214"/>
        <v>0</v>
      </c>
      <c r="K2282" s="80"/>
      <c r="L2282" s="633"/>
      <c r="M2282" s="154" t="str">
        <f>+IFERROR(VLOOKUP(L2282,DATA!$G$4:$H$2000,2,FALSE),"")</f>
        <v/>
      </c>
      <c r="N2282" s="633"/>
      <c r="O2282" s="80" t="str">
        <f>IFERROR(VLOOKUP(N2282,DATA!$K$4:$L$51,2,FALSE),"")</f>
        <v/>
      </c>
      <c r="P2282" s="80">
        <f t="shared" si="212"/>
        <v>0</v>
      </c>
    </row>
    <row r="2283" spans="2:16">
      <c r="B2283" s="627" t="str">
        <f t="shared" si="215"/>
        <v/>
      </c>
      <c r="C2283" s="631"/>
      <c r="D2283" s="817"/>
      <c r="E2283" s="808"/>
      <c r="F2283" s="629" t="str">
        <f>IFERROR(VLOOKUP(E2283,STAT1!$C$4:$D$1000,2,FALSE),"")</f>
        <v/>
      </c>
      <c r="G2283" s="891"/>
      <c r="H2283" s="891"/>
      <c r="I2283" s="580">
        <f t="shared" si="213"/>
        <v>0</v>
      </c>
      <c r="J2283" s="961">
        <f t="shared" si="214"/>
        <v>0</v>
      </c>
      <c r="K2283" s="80"/>
      <c r="L2283" s="808"/>
      <c r="M2283" s="154" t="str">
        <f>+IFERROR(VLOOKUP(L2283,DATA!$G$4:$H$2000,2,FALSE),"")</f>
        <v/>
      </c>
      <c r="N2283" s="808"/>
      <c r="O2283" s="80" t="str">
        <f>IFERROR(VLOOKUP(N2283,DATA!$K$4:$L$51,2,FALSE),"")</f>
        <v/>
      </c>
      <c r="P2283" s="80">
        <f t="shared" si="212"/>
        <v>0</v>
      </c>
    </row>
    <row r="2284" spans="2:16">
      <c r="B2284" s="627" t="str">
        <f t="shared" si="215"/>
        <v/>
      </c>
      <c r="C2284" s="631"/>
      <c r="D2284" s="817"/>
      <c r="E2284" s="808"/>
      <c r="F2284" s="629" t="str">
        <f>IFERROR(VLOOKUP(E2284,STAT1!$C$4:$D$1000,2,FALSE),"")</f>
        <v/>
      </c>
      <c r="G2284" s="891"/>
      <c r="H2284" s="891"/>
      <c r="I2284" s="580">
        <f t="shared" si="213"/>
        <v>0</v>
      </c>
      <c r="J2284" s="961">
        <f t="shared" si="214"/>
        <v>0</v>
      </c>
      <c r="K2284" s="80"/>
      <c r="L2284" s="808"/>
      <c r="M2284" s="154" t="str">
        <f>+IFERROR(VLOOKUP(L2284,DATA!$G$4:$H$2000,2,FALSE),"")</f>
        <v/>
      </c>
      <c r="N2284" s="808"/>
      <c r="O2284" s="80" t="str">
        <f>IFERROR(VLOOKUP(N2284,DATA!$K$4:$L$51,2,FALSE),"")</f>
        <v/>
      </c>
      <c r="P2284" s="80">
        <f t="shared" si="212"/>
        <v>0</v>
      </c>
    </row>
    <row r="2285" spans="2:16">
      <c r="B2285" s="627" t="str">
        <f t="shared" si="215"/>
        <v/>
      </c>
      <c r="C2285" s="631"/>
      <c r="D2285" s="817"/>
      <c r="E2285" s="808"/>
      <c r="F2285" s="629" t="str">
        <f>IFERROR(VLOOKUP(E2285,STAT1!$C$4:$D$1000,2,FALSE),"")</f>
        <v/>
      </c>
      <c r="G2285" s="891"/>
      <c r="H2285" s="891"/>
      <c r="I2285" s="580">
        <f t="shared" si="213"/>
        <v>0</v>
      </c>
      <c r="J2285" s="961">
        <f t="shared" si="214"/>
        <v>0</v>
      </c>
      <c r="K2285" s="80"/>
      <c r="L2285" s="808"/>
      <c r="M2285" s="154" t="str">
        <f>+IFERROR(VLOOKUP(L2285,DATA!$G$4:$H$2000,2,FALSE),"")</f>
        <v/>
      </c>
      <c r="N2285" s="808"/>
      <c r="O2285" s="80" t="str">
        <f>IFERROR(VLOOKUP(N2285,DATA!$K$4:$L$51,2,FALSE),"")</f>
        <v/>
      </c>
      <c r="P2285" s="80">
        <f t="shared" si="212"/>
        <v>0</v>
      </c>
    </row>
    <row r="2286" spans="2:16">
      <c r="B2286" s="627" t="str">
        <f t="shared" si="215"/>
        <v/>
      </c>
      <c r="C2286" s="631"/>
      <c r="D2286" s="818"/>
      <c r="E2286" s="808"/>
      <c r="F2286" s="629" t="str">
        <f>IFERROR(VLOOKUP(E2286,STAT1!$C$4:$D$1000,2,FALSE),"")</f>
        <v/>
      </c>
      <c r="G2286" s="891"/>
      <c r="H2286" s="891"/>
      <c r="I2286" s="580">
        <f t="shared" si="213"/>
        <v>0</v>
      </c>
      <c r="J2286" s="961">
        <f t="shared" si="214"/>
        <v>0</v>
      </c>
      <c r="K2286" s="80"/>
      <c r="L2286" s="808"/>
      <c r="M2286" s="154" t="str">
        <f>+IFERROR(VLOOKUP(L2286,DATA!$G$4:$H$2000,2,FALSE),"")</f>
        <v/>
      </c>
      <c r="N2286" s="808"/>
      <c r="O2286" s="80" t="str">
        <f>IFERROR(VLOOKUP(N2286,DATA!$K$4:$L$51,2,FALSE),"")</f>
        <v/>
      </c>
      <c r="P2286" s="80">
        <f t="shared" si="212"/>
        <v>0</v>
      </c>
    </row>
    <row r="2287" spans="2:16">
      <c r="B2287" s="627" t="str">
        <f t="shared" si="215"/>
        <v/>
      </c>
      <c r="C2287" s="634"/>
      <c r="D2287" s="818"/>
      <c r="E2287" s="809"/>
      <c r="F2287" s="629" t="str">
        <f>IFERROR(VLOOKUP(E2287,STAT1!$C$4:$D$1000,2,FALSE),"")</f>
        <v/>
      </c>
      <c r="G2287" s="892"/>
      <c r="H2287" s="892"/>
      <c r="I2287" s="580">
        <f t="shared" si="213"/>
        <v>0</v>
      </c>
      <c r="J2287" s="961">
        <f t="shared" si="214"/>
        <v>0</v>
      </c>
      <c r="K2287" s="80"/>
      <c r="L2287" s="809"/>
      <c r="M2287" s="154" t="str">
        <f>+IFERROR(VLOOKUP(L2287,DATA!$G$4:$H$2000,2,FALSE),"")</f>
        <v/>
      </c>
      <c r="N2287" s="809"/>
      <c r="O2287" s="80" t="str">
        <f>IFERROR(VLOOKUP(N2287,DATA!$K$4:$L$51,2,FALSE),"")</f>
        <v/>
      </c>
      <c r="P2287" s="80">
        <f t="shared" si="212"/>
        <v>0</v>
      </c>
    </row>
    <row r="2288" spans="2:16">
      <c r="B2288" s="627" t="str">
        <f t="shared" si="215"/>
        <v/>
      </c>
      <c r="C2288" s="634"/>
      <c r="D2288" s="818"/>
      <c r="E2288" s="809"/>
      <c r="F2288" s="629" t="str">
        <f>IFERROR(VLOOKUP(E2288,STAT1!$C$4:$D$1000,2,FALSE),"")</f>
        <v/>
      </c>
      <c r="G2288" s="892"/>
      <c r="H2288" s="892"/>
      <c r="I2288" s="580">
        <f t="shared" si="213"/>
        <v>0</v>
      </c>
      <c r="J2288" s="961">
        <f t="shared" si="214"/>
        <v>0</v>
      </c>
      <c r="K2288" s="80"/>
      <c r="L2288" s="809"/>
      <c r="M2288" s="154" t="str">
        <f>+IFERROR(VLOOKUP(L2288,DATA!$G$4:$H$2000,2,FALSE),"")</f>
        <v/>
      </c>
      <c r="N2288" s="809"/>
      <c r="O2288" s="80" t="str">
        <f>IFERROR(VLOOKUP(N2288,DATA!$K$4:$L$51,2,FALSE),"")</f>
        <v/>
      </c>
      <c r="P2288" s="80">
        <f t="shared" si="212"/>
        <v>0</v>
      </c>
    </row>
    <row r="2289" spans="2:16">
      <c r="B2289" s="627" t="str">
        <f t="shared" si="215"/>
        <v/>
      </c>
      <c r="C2289" s="634"/>
      <c r="D2289" s="817"/>
      <c r="E2289" s="809"/>
      <c r="F2289" s="629" t="str">
        <f>IFERROR(VLOOKUP(E2289,STAT1!$C$4:$D$1000,2,FALSE),"")</f>
        <v/>
      </c>
      <c r="G2289" s="892"/>
      <c r="H2289" s="892"/>
      <c r="I2289" s="580">
        <f t="shared" si="213"/>
        <v>0</v>
      </c>
      <c r="J2289" s="961">
        <f t="shared" si="214"/>
        <v>0</v>
      </c>
      <c r="K2289" s="80"/>
      <c r="L2289" s="809"/>
      <c r="M2289" s="154" t="str">
        <f>+IFERROR(VLOOKUP(L2289,DATA!$G$4:$H$2000,2,FALSE),"")</f>
        <v/>
      </c>
      <c r="N2289" s="809"/>
      <c r="O2289" s="80" t="str">
        <f>IFERROR(VLOOKUP(N2289,DATA!$K$4:$L$51,2,FALSE),"")</f>
        <v/>
      </c>
      <c r="P2289" s="80">
        <f t="shared" si="212"/>
        <v>0</v>
      </c>
    </row>
    <row r="2290" spans="2:16">
      <c r="B2290" s="627" t="str">
        <f t="shared" si="215"/>
        <v/>
      </c>
      <c r="C2290" s="631"/>
      <c r="D2290" s="818"/>
      <c r="E2290" s="808"/>
      <c r="F2290" s="629" t="str">
        <f>IFERROR(VLOOKUP(E2290,STAT1!$C$4:$D$1000,2,FALSE),"")</f>
        <v/>
      </c>
      <c r="G2290" s="891"/>
      <c r="H2290" s="891"/>
      <c r="I2290" s="580">
        <f t="shared" si="213"/>
        <v>0</v>
      </c>
      <c r="J2290" s="961">
        <f t="shared" si="214"/>
        <v>0</v>
      </c>
      <c r="K2290" s="80"/>
      <c r="L2290" s="808"/>
      <c r="M2290" s="154" t="str">
        <f>+IFERROR(VLOOKUP(L2290,DATA!$G$4:$H$2000,2,FALSE),"")</f>
        <v/>
      </c>
      <c r="N2290" s="808"/>
      <c r="O2290" s="80" t="str">
        <f>IFERROR(VLOOKUP(N2290,DATA!$K$4:$L$51,2,FALSE),"")</f>
        <v/>
      </c>
      <c r="P2290" s="80">
        <f t="shared" si="212"/>
        <v>0</v>
      </c>
    </row>
    <row r="2291" spans="2:16">
      <c r="B2291" s="627" t="str">
        <f t="shared" si="215"/>
        <v/>
      </c>
      <c r="C2291" s="634"/>
      <c r="D2291" s="818"/>
      <c r="E2291" s="809"/>
      <c r="F2291" s="629" t="str">
        <f>IFERROR(VLOOKUP(E2291,STAT1!$C$4:$D$1000,2,FALSE),"")</f>
        <v/>
      </c>
      <c r="G2291" s="892"/>
      <c r="H2291" s="892"/>
      <c r="I2291" s="580">
        <f t="shared" si="213"/>
        <v>0</v>
      </c>
      <c r="J2291" s="961">
        <f t="shared" si="214"/>
        <v>0</v>
      </c>
      <c r="K2291" s="80"/>
      <c r="L2291" s="809"/>
      <c r="M2291" s="154" t="str">
        <f>+IFERROR(VLOOKUP(L2291,DATA!$G$4:$H$2000,2,FALSE),"")</f>
        <v/>
      </c>
      <c r="N2291" s="809"/>
      <c r="O2291" s="80" t="str">
        <f>IFERROR(VLOOKUP(N2291,DATA!$K$4:$L$51,2,FALSE),"")</f>
        <v/>
      </c>
      <c r="P2291" s="80">
        <f t="shared" si="212"/>
        <v>0</v>
      </c>
    </row>
    <row r="2292" spans="2:16">
      <c r="B2292" s="627" t="str">
        <f t="shared" si="215"/>
        <v/>
      </c>
      <c r="C2292" s="634"/>
      <c r="D2292" s="817"/>
      <c r="E2292" s="809"/>
      <c r="F2292" s="629" t="str">
        <f>IFERROR(VLOOKUP(E2292,STAT1!$C$4:$D$1000,2,FALSE),"")</f>
        <v/>
      </c>
      <c r="G2292" s="892"/>
      <c r="H2292" s="892"/>
      <c r="I2292" s="580">
        <f t="shared" si="213"/>
        <v>0</v>
      </c>
      <c r="J2292" s="961">
        <f t="shared" si="214"/>
        <v>0</v>
      </c>
      <c r="K2292" s="80"/>
      <c r="L2292" s="809"/>
      <c r="M2292" s="154" t="str">
        <f>+IFERROR(VLOOKUP(L2292,DATA!$G$4:$H$2000,2,FALSE),"")</f>
        <v/>
      </c>
      <c r="N2292" s="809"/>
      <c r="O2292" s="80" t="str">
        <f>IFERROR(VLOOKUP(N2292,DATA!$K$4:$L$51,2,FALSE),"")</f>
        <v/>
      </c>
      <c r="P2292" s="80">
        <f t="shared" si="212"/>
        <v>0</v>
      </c>
    </row>
    <row r="2293" spans="2:16">
      <c r="B2293" s="627" t="str">
        <f t="shared" si="215"/>
        <v/>
      </c>
      <c r="C2293" s="631"/>
      <c r="D2293" s="817"/>
      <c r="E2293" s="808"/>
      <c r="F2293" s="629" t="str">
        <f>IFERROR(VLOOKUP(E2293,STAT1!$C$4:$D$1000,2,FALSE),"")</f>
        <v/>
      </c>
      <c r="G2293" s="891"/>
      <c r="H2293" s="891"/>
      <c r="I2293" s="580">
        <f t="shared" si="213"/>
        <v>0</v>
      </c>
      <c r="J2293" s="961">
        <f t="shared" si="214"/>
        <v>0</v>
      </c>
      <c r="K2293" s="80"/>
      <c r="L2293" s="808"/>
      <c r="M2293" s="154" t="str">
        <f>+IFERROR(VLOOKUP(L2293,DATA!$G$4:$H$2000,2,FALSE),"")</f>
        <v/>
      </c>
      <c r="N2293" s="808"/>
      <c r="O2293" s="80" t="str">
        <f>IFERROR(VLOOKUP(N2293,DATA!$K$4:$L$51,2,FALSE),"")</f>
        <v/>
      </c>
      <c r="P2293" s="80">
        <f t="shared" si="212"/>
        <v>0</v>
      </c>
    </row>
    <row r="2294" spans="2:16">
      <c r="B2294" s="627" t="str">
        <f t="shared" si="215"/>
        <v/>
      </c>
      <c r="C2294" s="631"/>
      <c r="D2294" s="817"/>
      <c r="E2294" s="808"/>
      <c r="F2294" s="629" t="str">
        <f>IFERROR(VLOOKUP(E2294,STAT1!$C$4:$D$1000,2,FALSE),"")</f>
        <v/>
      </c>
      <c r="G2294" s="891"/>
      <c r="H2294" s="891"/>
      <c r="I2294" s="580">
        <f t="shared" si="213"/>
        <v>0</v>
      </c>
      <c r="J2294" s="961">
        <f t="shared" si="214"/>
        <v>0</v>
      </c>
      <c r="K2294" s="80"/>
      <c r="L2294" s="808"/>
      <c r="M2294" s="154" t="str">
        <f>+IFERROR(VLOOKUP(L2294,DATA!$G$4:$H$2000,2,FALSE),"")</f>
        <v/>
      </c>
      <c r="N2294" s="808"/>
      <c r="O2294" s="80" t="str">
        <f>IFERROR(VLOOKUP(N2294,DATA!$K$4:$L$51,2,FALSE),"")</f>
        <v/>
      </c>
      <c r="P2294" s="80">
        <f t="shared" si="212"/>
        <v>0</v>
      </c>
    </row>
    <row r="2295" spans="2:16">
      <c r="B2295" s="627" t="str">
        <f t="shared" si="215"/>
        <v/>
      </c>
      <c r="C2295" s="631"/>
      <c r="D2295" s="817"/>
      <c r="E2295" s="808"/>
      <c r="F2295" s="629" t="str">
        <f>IFERROR(VLOOKUP(E2295,STAT1!$C$4:$D$1000,2,FALSE),"")</f>
        <v/>
      </c>
      <c r="G2295" s="891"/>
      <c r="H2295" s="891"/>
      <c r="I2295" s="580">
        <f t="shared" si="213"/>
        <v>0</v>
      </c>
      <c r="J2295" s="961">
        <f t="shared" si="214"/>
        <v>0</v>
      </c>
      <c r="K2295" s="80"/>
      <c r="L2295" s="808"/>
      <c r="M2295" s="154" t="str">
        <f>+IFERROR(VLOOKUP(L2295,DATA!$G$4:$H$2000,2,FALSE),"")</f>
        <v/>
      </c>
      <c r="N2295" s="808"/>
      <c r="O2295" s="80" t="str">
        <f>IFERROR(VLOOKUP(N2295,DATA!$K$4:$L$51,2,FALSE),"")</f>
        <v/>
      </c>
      <c r="P2295" s="80">
        <f t="shared" si="212"/>
        <v>0</v>
      </c>
    </row>
    <row r="2296" spans="2:16">
      <c r="B2296" s="627" t="str">
        <f t="shared" si="215"/>
        <v/>
      </c>
      <c r="C2296" s="631"/>
      <c r="D2296" s="817"/>
      <c r="E2296" s="808"/>
      <c r="F2296" s="629" t="str">
        <f>IFERROR(VLOOKUP(E2296,STAT1!$C$4:$D$1000,2,FALSE),"")</f>
        <v/>
      </c>
      <c r="G2296" s="891"/>
      <c r="H2296" s="891"/>
      <c r="I2296" s="580">
        <f t="shared" si="213"/>
        <v>0</v>
      </c>
      <c r="J2296" s="961">
        <f t="shared" si="214"/>
        <v>0</v>
      </c>
      <c r="K2296" s="80"/>
      <c r="L2296" s="808"/>
      <c r="M2296" s="154" t="str">
        <f>+IFERROR(VLOOKUP(L2296,DATA!$G$4:$H$2000,2,FALSE),"")</f>
        <v/>
      </c>
      <c r="N2296" s="808"/>
      <c r="O2296" s="80" t="str">
        <f>IFERROR(VLOOKUP(N2296,DATA!$K$4:$L$51,2,FALSE),"")</f>
        <v/>
      </c>
      <c r="P2296" s="80">
        <f t="shared" si="212"/>
        <v>0</v>
      </c>
    </row>
    <row r="2297" spans="2:16">
      <c r="B2297" s="627" t="str">
        <f t="shared" si="215"/>
        <v/>
      </c>
      <c r="C2297" s="631"/>
      <c r="D2297" s="817"/>
      <c r="E2297" s="808"/>
      <c r="F2297" s="629" t="str">
        <f>IFERROR(VLOOKUP(E2297,STAT1!$C$4:$D$1000,2,FALSE),"")</f>
        <v/>
      </c>
      <c r="G2297" s="891"/>
      <c r="H2297" s="891"/>
      <c r="I2297" s="580">
        <f t="shared" si="213"/>
        <v>0</v>
      </c>
      <c r="J2297" s="961">
        <f t="shared" si="214"/>
        <v>0</v>
      </c>
      <c r="K2297" s="80"/>
      <c r="L2297" s="808"/>
      <c r="M2297" s="154" t="str">
        <f>+IFERROR(VLOOKUP(L2297,DATA!$G$4:$H$2000,2,FALSE),"")</f>
        <v/>
      </c>
      <c r="N2297" s="808"/>
      <c r="O2297" s="80" t="str">
        <f>IFERROR(VLOOKUP(N2297,DATA!$K$4:$L$51,2,FALSE),"")</f>
        <v/>
      </c>
      <c r="P2297" s="80">
        <f t="shared" si="212"/>
        <v>0</v>
      </c>
    </row>
    <row r="2298" spans="2:16">
      <c r="B2298" s="627" t="str">
        <f t="shared" si="215"/>
        <v/>
      </c>
      <c r="C2298" s="631"/>
      <c r="D2298" s="817"/>
      <c r="E2298" s="808"/>
      <c r="F2298" s="629" t="str">
        <f>IFERROR(VLOOKUP(E2298,STAT1!$C$4:$D$1000,2,FALSE),"")</f>
        <v/>
      </c>
      <c r="G2298" s="891"/>
      <c r="H2298" s="891"/>
      <c r="I2298" s="580">
        <f t="shared" si="213"/>
        <v>0</v>
      </c>
      <c r="J2298" s="961">
        <f t="shared" si="214"/>
        <v>0</v>
      </c>
      <c r="K2298" s="80"/>
      <c r="L2298" s="808"/>
      <c r="M2298" s="154" t="str">
        <f>+IFERROR(VLOOKUP(L2298,DATA!$G$4:$H$2000,2,FALSE),"")</f>
        <v/>
      </c>
      <c r="N2298" s="808"/>
      <c r="O2298" s="80" t="str">
        <f>IFERROR(VLOOKUP(N2298,DATA!$K$4:$L$51,2,FALSE),"")</f>
        <v/>
      </c>
      <c r="P2298" s="80">
        <f t="shared" si="212"/>
        <v>0</v>
      </c>
    </row>
    <row r="2299" spans="2:16">
      <c r="B2299" s="627" t="str">
        <f t="shared" si="215"/>
        <v/>
      </c>
      <c r="C2299" s="631"/>
      <c r="D2299" s="817"/>
      <c r="E2299" s="808"/>
      <c r="F2299" s="629" t="str">
        <f>IFERROR(VLOOKUP(E2299,STAT1!$C$4:$D$1000,2,FALSE),"")</f>
        <v/>
      </c>
      <c r="G2299" s="891"/>
      <c r="H2299" s="891"/>
      <c r="I2299" s="580">
        <f t="shared" si="213"/>
        <v>0</v>
      </c>
      <c r="J2299" s="961">
        <f t="shared" si="214"/>
        <v>0</v>
      </c>
      <c r="K2299" s="80"/>
      <c r="L2299" s="808"/>
      <c r="M2299" s="154" t="str">
        <f>+IFERROR(VLOOKUP(L2299,DATA!$G$4:$H$2000,2,FALSE),"")</f>
        <v/>
      </c>
      <c r="N2299" s="808"/>
      <c r="O2299" s="80" t="str">
        <f>IFERROR(VLOOKUP(N2299,DATA!$K$4:$L$51,2,FALSE),"")</f>
        <v/>
      </c>
      <c r="P2299" s="80">
        <f t="shared" si="212"/>
        <v>0</v>
      </c>
    </row>
    <row r="2300" spans="2:16">
      <c r="B2300" s="627" t="str">
        <f t="shared" si="215"/>
        <v/>
      </c>
      <c r="C2300" s="631"/>
      <c r="D2300" s="817"/>
      <c r="E2300" s="808"/>
      <c r="F2300" s="629" t="str">
        <f>IFERROR(VLOOKUP(E2300,STAT1!$C$4:$D$1000,2,FALSE),"")</f>
        <v/>
      </c>
      <c r="G2300" s="891"/>
      <c r="H2300" s="891"/>
      <c r="I2300" s="580">
        <f t="shared" si="213"/>
        <v>0</v>
      </c>
      <c r="J2300" s="961">
        <f t="shared" si="214"/>
        <v>0</v>
      </c>
      <c r="K2300" s="80"/>
      <c r="L2300" s="808"/>
      <c r="M2300" s="154" t="str">
        <f>+IFERROR(VLOOKUP(L2300,DATA!$G$4:$H$2000,2,FALSE),"")</f>
        <v/>
      </c>
      <c r="N2300" s="808"/>
      <c r="O2300" s="80" t="str">
        <f>IFERROR(VLOOKUP(N2300,DATA!$K$4:$L$51,2,FALSE),"")</f>
        <v/>
      </c>
      <c r="P2300" s="80">
        <f>+IF(I2300,1,0)</f>
        <v>0</v>
      </c>
    </row>
    <row r="2301" spans="2:16">
      <c r="B2301" s="627" t="str">
        <f t="shared" si="215"/>
        <v/>
      </c>
      <c r="C2301" s="631"/>
      <c r="D2301" s="817"/>
      <c r="E2301" s="808"/>
      <c r="F2301" s="629" t="str">
        <f>IFERROR(VLOOKUP(E2301,STAT1!$C$4:$D$1000,2,FALSE),"")</f>
        <v/>
      </c>
      <c r="G2301" s="891"/>
      <c r="H2301" s="891"/>
      <c r="I2301" s="580">
        <f t="shared" si="213"/>
        <v>0</v>
      </c>
      <c r="J2301" s="961">
        <f t="shared" si="214"/>
        <v>0</v>
      </c>
      <c r="K2301" s="80"/>
      <c r="L2301" s="808"/>
      <c r="M2301" s="154" t="str">
        <f>+IFERROR(VLOOKUP(L2301,DATA!$G$4:$H$2000,2,FALSE),"")</f>
        <v/>
      </c>
      <c r="N2301" s="808"/>
      <c r="O2301" s="80" t="str">
        <f>IFERROR(VLOOKUP(N2301,DATA!$K$4:$L$51,2,FALSE),"")</f>
        <v/>
      </c>
      <c r="P2301" s="80">
        <f>+IF(I2301,1,0)</f>
        <v>0</v>
      </c>
    </row>
    <row r="2302" spans="2:16">
      <c r="B2302" s="627" t="str">
        <f t="shared" si="215"/>
        <v/>
      </c>
      <c r="C2302" s="631"/>
      <c r="D2302" s="817"/>
      <c r="E2302" s="808"/>
      <c r="F2302" s="629" t="str">
        <f>IFERROR(VLOOKUP(E2302,STAT1!$C$4:$D$1000,2,FALSE),"")</f>
        <v/>
      </c>
      <c r="G2302" s="891"/>
      <c r="H2302" s="891"/>
      <c r="I2302" s="580">
        <f t="shared" ref="I2302:I2365" si="216">+IF(OR(E2302=100100,E2302=100200,E2302=110100,E2302=110102,E2302=110103,E2302=110104,E2302=110105,E2302=110200,E2302=110201,E2302=110202,E2302=110203,E2302=110204,E2302=110300),G2302,0)+IF(OR(E2302=100100,E2302=100200,E2302=110100,E2302=110102,E2302=110103,E2302=110104,E2302=110105,E2302=110200,E2302=110201,E2302=110202,E2302=110203,E2302=110204,E2302=110300),H2302*-1,0)</f>
        <v>0</v>
      </c>
      <c r="J2302" s="961">
        <f t="shared" ref="J2302:J2365" si="217">+IF(E2302=110200,I2302/K2302,0)</f>
        <v>0</v>
      </c>
      <c r="K2302" s="80"/>
      <c r="L2302" s="808"/>
      <c r="M2302" s="154" t="str">
        <f>+IFERROR(VLOOKUP(L2302,DATA!$G$4:$H$2000,2,FALSE),"")</f>
        <v/>
      </c>
      <c r="N2302" s="808"/>
      <c r="O2302" s="154" t="str">
        <f>IFERROR(VLOOKUP(N2302,DATA!$K$4:$L$51,2,FALSE),"")</f>
        <v/>
      </c>
    </row>
    <row r="2303" spans="2:16">
      <c r="B2303" s="627" t="str">
        <f t="shared" si="215"/>
        <v/>
      </c>
      <c r="C2303" s="631"/>
      <c r="D2303" s="817"/>
      <c r="E2303" s="808"/>
      <c r="F2303" s="629" t="str">
        <f>IFERROR(VLOOKUP(E2303,STAT1!$C$4:$D$1000,2,FALSE),"")</f>
        <v/>
      </c>
      <c r="G2303" s="891"/>
      <c r="H2303" s="891"/>
      <c r="I2303" s="580">
        <f t="shared" si="216"/>
        <v>0</v>
      </c>
      <c r="J2303" s="961">
        <f t="shared" si="217"/>
        <v>0</v>
      </c>
      <c r="K2303" s="80"/>
      <c r="L2303" s="808"/>
      <c r="M2303" s="154" t="str">
        <f>+IFERROR(VLOOKUP(L2303,DATA!$G$4:$H$2000,2,FALSE),"")</f>
        <v/>
      </c>
      <c r="N2303" s="808"/>
      <c r="O2303" s="154" t="str">
        <f>IFERROR(VLOOKUP(N2303,DATA!$K$4:$L$51,2,FALSE),"")</f>
        <v/>
      </c>
    </row>
    <row r="2304" spans="2:16">
      <c r="B2304" s="627" t="str">
        <f t="shared" si="215"/>
        <v/>
      </c>
      <c r="C2304" s="631"/>
      <c r="D2304" s="817"/>
      <c r="E2304" s="808"/>
      <c r="F2304" s="629" t="str">
        <f>IFERROR(VLOOKUP(E2304,STAT1!$C$4:$D$1000,2,FALSE),"")</f>
        <v/>
      </c>
      <c r="G2304" s="891"/>
      <c r="H2304" s="891"/>
      <c r="I2304" s="580">
        <f t="shared" si="216"/>
        <v>0</v>
      </c>
      <c r="J2304" s="961">
        <f t="shared" si="217"/>
        <v>0</v>
      </c>
      <c r="K2304" s="80"/>
      <c r="L2304" s="808"/>
      <c r="M2304" s="154" t="str">
        <f>+IFERROR(VLOOKUP(L2304,DATA!$G$4:$H$2000,2,FALSE),"")</f>
        <v/>
      </c>
      <c r="N2304" s="808"/>
      <c r="O2304" s="154" t="str">
        <f>IFERROR(VLOOKUP(N2304,DATA!$K$4:$L$51,2,FALSE),"")</f>
        <v/>
      </c>
    </row>
    <row r="2305" spans="2:15">
      <c r="B2305" s="627" t="str">
        <f t="shared" si="215"/>
        <v/>
      </c>
      <c r="C2305" s="631"/>
      <c r="D2305" s="817"/>
      <c r="E2305" s="808"/>
      <c r="F2305" s="629" t="str">
        <f>IFERROR(VLOOKUP(E2305,STAT1!$C$4:$D$1000,2,FALSE),"")</f>
        <v/>
      </c>
      <c r="G2305" s="891"/>
      <c r="H2305" s="891"/>
      <c r="I2305" s="580">
        <f t="shared" si="216"/>
        <v>0</v>
      </c>
      <c r="J2305" s="961">
        <f t="shared" si="217"/>
        <v>0</v>
      </c>
      <c r="K2305" s="80"/>
      <c r="L2305" s="808"/>
      <c r="M2305" s="154" t="str">
        <f>+IFERROR(VLOOKUP(L2305,DATA!$G$4:$H$2000,2,FALSE),"")</f>
        <v/>
      </c>
      <c r="N2305" s="808"/>
      <c r="O2305" s="154" t="str">
        <f>IFERROR(VLOOKUP(N2305,DATA!$K$4:$L$51,2,FALSE),"")</f>
        <v/>
      </c>
    </row>
    <row r="2306" spans="2:15">
      <c r="B2306" s="627" t="str">
        <f t="shared" si="215"/>
        <v/>
      </c>
      <c r="C2306" s="631"/>
      <c r="D2306" s="817"/>
      <c r="E2306" s="808"/>
      <c r="F2306" s="629" t="str">
        <f>IFERROR(VLOOKUP(E2306,STAT1!$C$4:$D$1000,2,FALSE),"")</f>
        <v/>
      </c>
      <c r="G2306" s="891"/>
      <c r="H2306" s="891"/>
      <c r="I2306" s="580">
        <f t="shared" si="216"/>
        <v>0</v>
      </c>
      <c r="J2306" s="961">
        <f t="shared" si="217"/>
        <v>0</v>
      </c>
      <c r="K2306" s="80"/>
      <c r="L2306" s="808"/>
      <c r="M2306" s="154" t="str">
        <f>+IFERROR(VLOOKUP(L2306,DATA!$G$4:$H$2000,2,FALSE),"")</f>
        <v/>
      </c>
      <c r="N2306" s="808"/>
      <c r="O2306" s="154" t="str">
        <f>IFERROR(VLOOKUP(N2306,DATA!$K$4:$L$51,2,FALSE),"")</f>
        <v/>
      </c>
    </row>
    <row r="2307" spans="2:15">
      <c r="B2307" s="627" t="str">
        <f t="shared" si="215"/>
        <v/>
      </c>
      <c r="C2307" s="631"/>
      <c r="D2307" s="817"/>
      <c r="E2307" s="808"/>
      <c r="F2307" s="629" t="str">
        <f>IFERROR(VLOOKUP(E2307,STAT1!$C$4:$D$1000,2,FALSE),"")</f>
        <v/>
      </c>
      <c r="G2307" s="891"/>
      <c r="H2307" s="891"/>
      <c r="I2307" s="580">
        <f t="shared" si="216"/>
        <v>0</v>
      </c>
      <c r="J2307" s="961">
        <f t="shared" si="217"/>
        <v>0</v>
      </c>
      <c r="K2307" s="80"/>
      <c r="L2307" s="808"/>
      <c r="M2307" s="154" t="str">
        <f>+IFERROR(VLOOKUP(L2307,DATA!$G$4:$H$2000,2,FALSE),"")</f>
        <v/>
      </c>
      <c r="N2307" s="808"/>
      <c r="O2307" s="154" t="str">
        <f>IFERROR(VLOOKUP(N2307,DATA!$K$4:$L$51,2,FALSE),"")</f>
        <v/>
      </c>
    </row>
    <row r="2308" spans="2:15">
      <c r="B2308" s="627" t="str">
        <f t="shared" si="215"/>
        <v/>
      </c>
      <c r="C2308" s="631"/>
      <c r="D2308" s="819"/>
      <c r="E2308" s="808"/>
      <c r="F2308" s="629" t="str">
        <f>IFERROR(VLOOKUP(E2308,STAT1!$C$4:$D$1000,2,FALSE),"")</f>
        <v/>
      </c>
      <c r="G2308" s="891"/>
      <c r="H2308" s="891"/>
      <c r="I2308" s="580">
        <f t="shared" si="216"/>
        <v>0</v>
      </c>
      <c r="J2308" s="961">
        <f t="shared" si="217"/>
        <v>0</v>
      </c>
      <c r="K2308" s="80"/>
      <c r="L2308" s="808"/>
      <c r="M2308" s="154" t="str">
        <f>+IFERROR(VLOOKUP(L2308,DATA!$G$4:$H$2000,2,FALSE),"")</f>
        <v/>
      </c>
      <c r="N2308" s="808"/>
      <c r="O2308" s="154" t="str">
        <f>IFERROR(VLOOKUP(N2308,DATA!$K$4:$L$51,2,FALSE),"")</f>
        <v/>
      </c>
    </row>
    <row r="2309" spans="2:15">
      <c r="B2309" s="627" t="str">
        <f t="shared" si="215"/>
        <v/>
      </c>
      <c r="C2309" s="635"/>
      <c r="D2309" s="819"/>
      <c r="E2309" s="633"/>
      <c r="F2309" s="629" t="str">
        <f>IFERROR(VLOOKUP(E2309,STAT1!$C$4:$D$1000,2,FALSE),"")</f>
        <v/>
      </c>
      <c r="G2309" s="893"/>
      <c r="H2309" s="893"/>
      <c r="I2309" s="580">
        <f t="shared" si="216"/>
        <v>0</v>
      </c>
      <c r="J2309" s="961">
        <f t="shared" si="217"/>
        <v>0</v>
      </c>
      <c r="K2309" s="80"/>
      <c r="L2309" s="633"/>
      <c r="M2309" s="154" t="str">
        <f>+IFERROR(VLOOKUP(L2309,DATA!$G$4:$H$2000,2,FALSE),"")</f>
        <v/>
      </c>
      <c r="N2309" s="633"/>
      <c r="O2309" s="154" t="str">
        <f>IFERROR(VLOOKUP(N2309,DATA!$K$4:$L$51,2,FALSE),"")</f>
        <v/>
      </c>
    </row>
    <row r="2310" spans="2:15">
      <c r="B2310" s="627" t="str">
        <f t="shared" si="215"/>
        <v/>
      </c>
      <c r="C2310" s="635"/>
      <c r="D2310" s="819"/>
      <c r="E2310" s="633"/>
      <c r="F2310" s="629" t="str">
        <f>IFERROR(VLOOKUP(E2310,STAT1!$C$4:$D$1000,2,FALSE),"")</f>
        <v/>
      </c>
      <c r="G2310" s="893"/>
      <c r="H2310" s="893"/>
      <c r="I2310" s="580">
        <f t="shared" si="216"/>
        <v>0</v>
      </c>
      <c r="J2310" s="961">
        <f t="shared" si="217"/>
        <v>0</v>
      </c>
      <c r="K2310" s="80"/>
      <c r="L2310" s="633"/>
      <c r="M2310" s="154" t="str">
        <f>+IFERROR(VLOOKUP(L2310,DATA!$G$4:$H$2000,2,FALSE),"")</f>
        <v/>
      </c>
      <c r="N2310" s="633"/>
      <c r="O2310" s="154" t="str">
        <f>IFERROR(VLOOKUP(N2310,DATA!$K$4:$L$51,2,FALSE),"")</f>
        <v/>
      </c>
    </row>
    <row r="2311" spans="2:15">
      <c r="B2311" s="627" t="str">
        <f t="shared" si="215"/>
        <v/>
      </c>
      <c r="C2311" s="635"/>
      <c r="D2311" s="819"/>
      <c r="E2311" s="633"/>
      <c r="F2311" s="629" t="str">
        <f>IFERROR(VLOOKUP(E2311,STAT1!$C$4:$D$1000,2,FALSE),"")</f>
        <v/>
      </c>
      <c r="G2311" s="893"/>
      <c r="H2311" s="893"/>
      <c r="I2311" s="580">
        <f t="shared" si="216"/>
        <v>0</v>
      </c>
      <c r="J2311" s="961">
        <f t="shared" si="217"/>
        <v>0</v>
      </c>
      <c r="K2311" s="80"/>
      <c r="L2311" s="633"/>
      <c r="M2311" s="154" t="str">
        <f>+IFERROR(VLOOKUP(L2311,DATA!$G$4:$H$2000,2,FALSE),"")</f>
        <v/>
      </c>
      <c r="N2311" s="633"/>
      <c r="O2311" s="154" t="str">
        <f>IFERROR(VLOOKUP(N2311,DATA!$K$4:$L$51,2,FALSE),"")</f>
        <v/>
      </c>
    </row>
    <row r="2312" spans="2:15">
      <c r="B2312" s="627" t="str">
        <f t="shared" si="215"/>
        <v/>
      </c>
      <c r="C2312" s="635"/>
      <c r="D2312" s="819"/>
      <c r="E2312" s="633"/>
      <c r="F2312" s="629" t="str">
        <f>IFERROR(VLOOKUP(E2312,STAT1!$C$4:$D$1000,2,FALSE),"")</f>
        <v/>
      </c>
      <c r="G2312" s="893"/>
      <c r="H2312" s="893"/>
      <c r="I2312" s="580">
        <f t="shared" si="216"/>
        <v>0</v>
      </c>
      <c r="J2312" s="961">
        <f t="shared" si="217"/>
        <v>0</v>
      </c>
      <c r="K2312" s="80"/>
      <c r="L2312" s="633"/>
      <c r="M2312" s="154" t="str">
        <f>+IFERROR(VLOOKUP(L2312,DATA!$G$4:$H$2000,2,FALSE),"")</f>
        <v/>
      </c>
      <c r="N2312" s="633"/>
      <c r="O2312" s="154" t="str">
        <f>IFERROR(VLOOKUP(N2312,DATA!$K$4:$L$51,2,FALSE),"")</f>
        <v/>
      </c>
    </row>
    <row r="2313" spans="2:15">
      <c r="B2313" s="627" t="str">
        <f t="shared" si="215"/>
        <v/>
      </c>
      <c r="C2313" s="635"/>
      <c r="D2313" s="817"/>
      <c r="E2313" s="633"/>
      <c r="F2313" s="629" t="str">
        <f>IFERROR(VLOOKUP(E2313,STAT1!$C$4:$D$1000,2,FALSE),"")</f>
        <v/>
      </c>
      <c r="G2313" s="893"/>
      <c r="H2313" s="893"/>
      <c r="I2313" s="580">
        <f t="shared" si="216"/>
        <v>0</v>
      </c>
      <c r="J2313" s="961">
        <f t="shared" si="217"/>
        <v>0</v>
      </c>
      <c r="K2313" s="80"/>
      <c r="L2313" s="633"/>
      <c r="M2313" s="154" t="str">
        <f>+IFERROR(VLOOKUP(L2313,DATA!$G$4:$H$2000,2,FALSE),"")</f>
        <v/>
      </c>
      <c r="N2313" s="633"/>
      <c r="O2313" s="154" t="str">
        <f>IFERROR(VLOOKUP(N2313,DATA!$K$4:$L$51,2,FALSE),"")</f>
        <v/>
      </c>
    </row>
    <row r="2314" spans="2:15">
      <c r="B2314" s="627" t="str">
        <f t="shared" si="215"/>
        <v/>
      </c>
      <c r="C2314" s="631"/>
      <c r="D2314" s="817"/>
      <c r="E2314" s="808"/>
      <c r="F2314" s="629" t="str">
        <f>IFERROR(VLOOKUP(E2314,STAT1!$C$4:$D$1000,2,FALSE),"")</f>
        <v/>
      </c>
      <c r="G2314" s="891"/>
      <c r="H2314" s="891"/>
      <c r="I2314" s="580">
        <f t="shared" si="216"/>
        <v>0</v>
      </c>
      <c r="J2314" s="961">
        <f t="shared" si="217"/>
        <v>0</v>
      </c>
      <c r="K2314" s="80"/>
      <c r="L2314" s="808"/>
      <c r="M2314" s="154" t="str">
        <f>+IFERROR(VLOOKUP(L2314,DATA!$G$4:$H$2000,2,FALSE),"")</f>
        <v/>
      </c>
      <c r="N2314" s="808"/>
      <c r="O2314" s="154" t="str">
        <f>IFERROR(VLOOKUP(N2314,DATA!$K$4:$L$51,2,FALSE),"")</f>
        <v/>
      </c>
    </row>
    <row r="2315" spans="2:15">
      <c r="B2315" s="627" t="str">
        <f t="shared" si="215"/>
        <v/>
      </c>
      <c r="C2315" s="631"/>
      <c r="D2315" s="817"/>
      <c r="E2315" s="808"/>
      <c r="F2315" s="629" t="str">
        <f>IFERROR(VLOOKUP(E2315,STAT1!$C$4:$D$1000,2,FALSE),"")</f>
        <v/>
      </c>
      <c r="G2315" s="891"/>
      <c r="H2315" s="891"/>
      <c r="I2315" s="580">
        <f t="shared" si="216"/>
        <v>0</v>
      </c>
      <c r="J2315" s="961">
        <f t="shared" si="217"/>
        <v>0</v>
      </c>
      <c r="K2315" s="80"/>
      <c r="L2315" s="808"/>
      <c r="M2315" s="154" t="str">
        <f>+IFERROR(VLOOKUP(L2315,DATA!$G$4:$H$2000,2,FALSE),"")</f>
        <v/>
      </c>
      <c r="N2315" s="808"/>
      <c r="O2315" s="154" t="str">
        <f>IFERROR(VLOOKUP(N2315,DATA!$K$4:$L$51,2,FALSE),"")</f>
        <v/>
      </c>
    </row>
    <row r="2316" spans="2:15">
      <c r="B2316" s="627" t="str">
        <f t="shared" si="215"/>
        <v/>
      </c>
      <c r="C2316" s="631"/>
      <c r="D2316" s="817"/>
      <c r="E2316" s="808"/>
      <c r="F2316" s="629" t="str">
        <f>IFERROR(VLOOKUP(E2316,STAT1!$C$4:$D$1000,2,FALSE),"")</f>
        <v/>
      </c>
      <c r="G2316" s="891"/>
      <c r="H2316" s="891"/>
      <c r="I2316" s="580">
        <f t="shared" si="216"/>
        <v>0</v>
      </c>
      <c r="J2316" s="961">
        <f t="shared" si="217"/>
        <v>0</v>
      </c>
      <c r="K2316" s="80"/>
      <c r="L2316" s="808"/>
      <c r="M2316" s="154" t="str">
        <f>+IFERROR(VLOOKUP(L2316,DATA!$G$4:$H$2000,2,FALSE),"")</f>
        <v/>
      </c>
      <c r="N2316" s="808"/>
      <c r="O2316" s="154" t="str">
        <f>IFERROR(VLOOKUP(N2316,DATA!$K$4:$L$51,2,FALSE),"")</f>
        <v/>
      </c>
    </row>
    <row r="2317" spans="2:15">
      <c r="B2317" s="627" t="str">
        <f t="shared" si="215"/>
        <v/>
      </c>
      <c r="C2317" s="631"/>
      <c r="D2317" s="817"/>
      <c r="E2317" s="808"/>
      <c r="F2317" s="629" t="str">
        <f>IFERROR(VLOOKUP(E2317,STAT1!$C$4:$D$1000,2,FALSE),"")</f>
        <v/>
      </c>
      <c r="G2317" s="891"/>
      <c r="H2317" s="891"/>
      <c r="I2317" s="580">
        <f t="shared" si="216"/>
        <v>0</v>
      </c>
      <c r="J2317" s="961">
        <f t="shared" si="217"/>
        <v>0</v>
      </c>
      <c r="K2317" s="80"/>
      <c r="L2317" s="808"/>
      <c r="M2317" s="154" t="str">
        <f>+IFERROR(VLOOKUP(L2317,DATA!$G$4:$H$2000,2,FALSE),"")</f>
        <v/>
      </c>
      <c r="N2317" s="808"/>
      <c r="O2317" s="154" t="str">
        <f>IFERROR(VLOOKUP(N2317,DATA!$K$4:$L$51,2,FALSE),"")</f>
        <v/>
      </c>
    </row>
    <row r="2318" spans="2:15">
      <c r="B2318" s="627" t="str">
        <f t="shared" si="215"/>
        <v/>
      </c>
      <c r="C2318" s="631"/>
      <c r="D2318" s="819"/>
      <c r="E2318" s="808"/>
      <c r="F2318" s="629" t="str">
        <f>IFERROR(VLOOKUP(E2318,STAT1!$C$4:$D$1000,2,FALSE),"")</f>
        <v/>
      </c>
      <c r="G2318" s="891"/>
      <c r="H2318" s="891"/>
      <c r="I2318" s="580">
        <f t="shared" si="216"/>
        <v>0</v>
      </c>
      <c r="J2318" s="961">
        <f t="shared" si="217"/>
        <v>0</v>
      </c>
      <c r="K2318" s="80"/>
      <c r="L2318" s="808"/>
      <c r="M2318" s="154" t="str">
        <f>+IFERROR(VLOOKUP(L2318,DATA!$G$4:$H$2000,2,FALSE),"")</f>
        <v/>
      </c>
      <c r="N2318" s="808"/>
      <c r="O2318" s="154" t="str">
        <f>IFERROR(VLOOKUP(N2318,DATA!$K$4:$L$51,2,FALSE),"")</f>
        <v/>
      </c>
    </row>
    <row r="2319" spans="2:15">
      <c r="B2319" s="627" t="str">
        <f t="shared" si="215"/>
        <v/>
      </c>
      <c r="C2319" s="635"/>
      <c r="D2319" s="819"/>
      <c r="E2319" s="633"/>
      <c r="F2319" s="629" t="str">
        <f>IFERROR(VLOOKUP(E2319,STAT1!$C$4:$D$1000,2,FALSE),"")</f>
        <v/>
      </c>
      <c r="G2319" s="893"/>
      <c r="H2319" s="893"/>
      <c r="I2319" s="580">
        <f t="shared" si="216"/>
        <v>0</v>
      </c>
      <c r="J2319" s="961">
        <f t="shared" si="217"/>
        <v>0</v>
      </c>
      <c r="K2319" s="80"/>
      <c r="L2319" s="633"/>
      <c r="M2319" s="154" t="str">
        <f>+IFERROR(VLOOKUP(L2319,DATA!$G$4:$H$2000,2,FALSE),"")</f>
        <v/>
      </c>
      <c r="N2319" s="633"/>
      <c r="O2319" s="154" t="str">
        <f>IFERROR(VLOOKUP(N2319,DATA!$K$4:$L$51,2,FALSE),"")</f>
        <v/>
      </c>
    </row>
    <row r="2320" spans="2:15">
      <c r="B2320" s="627" t="str">
        <f t="shared" si="215"/>
        <v/>
      </c>
      <c r="C2320" s="635"/>
      <c r="D2320" s="819"/>
      <c r="E2320" s="633"/>
      <c r="F2320" s="629" t="str">
        <f>IFERROR(VLOOKUP(E2320,STAT1!$C$4:$D$1000,2,FALSE),"")</f>
        <v/>
      </c>
      <c r="G2320" s="893"/>
      <c r="H2320" s="893"/>
      <c r="I2320" s="580">
        <f t="shared" si="216"/>
        <v>0</v>
      </c>
      <c r="J2320" s="961">
        <f t="shared" si="217"/>
        <v>0</v>
      </c>
      <c r="K2320" s="80"/>
      <c r="L2320" s="633"/>
      <c r="M2320" s="154" t="str">
        <f>+IFERROR(VLOOKUP(L2320,DATA!$G$4:$H$2000,2,FALSE),"")</f>
        <v/>
      </c>
      <c r="N2320" s="633"/>
      <c r="O2320" s="154" t="str">
        <f>IFERROR(VLOOKUP(N2320,DATA!$K$4:$L$51,2,FALSE),"")</f>
        <v/>
      </c>
    </row>
    <row r="2321" spans="2:15">
      <c r="B2321" s="627" t="str">
        <f t="shared" ref="B2321:B2341" si="218">+IF(C2321="","",ROW()-5)</f>
        <v/>
      </c>
      <c r="C2321" s="635"/>
      <c r="D2321" s="819"/>
      <c r="E2321" s="633"/>
      <c r="F2321" s="629" t="str">
        <f>IFERROR(VLOOKUP(E2321,STAT1!$C$4:$D$1000,2,FALSE),"")</f>
        <v/>
      </c>
      <c r="G2321" s="893"/>
      <c r="H2321" s="893"/>
      <c r="I2321" s="580">
        <f t="shared" si="216"/>
        <v>0</v>
      </c>
      <c r="J2321" s="961">
        <f t="shared" si="217"/>
        <v>0</v>
      </c>
      <c r="K2321" s="80"/>
      <c r="L2321" s="633"/>
      <c r="M2321" s="154" t="str">
        <f>+IFERROR(VLOOKUP(L2321,DATA!$G$4:$H$2000,2,FALSE),"")</f>
        <v/>
      </c>
      <c r="N2321" s="633"/>
      <c r="O2321" s="154" t="str">
        <f>IFERROR(VLOOKUP(N2321,DATA!$K$4:$L$51,2,FALSE),"")</f>
        <v/>
      </c>
    </row>
    <row r="2322" spans="2:15">
      <c r="B2322" s="627" t="str">
        <f t="shared" si="218"/>
        <v/>
      </c>
      <c r="C2322" s="635"/>
      <c r="D2322" s="819"/>
      <c r="E2322" s="633"/>
      <c r="F2322" s="629" t="str">
        <f>IFERROR(VLOOKUP(E2322,STAT1!$C$4:$D$1000,2,FALSE),"")</f>
        <v/>
      </c>
      <c r="G2322" s="893"/>
      <c r="H2322" s="893"/>
      <c r="I2322" s="580">
        <f t="shared" si="216"/>
        <v>0</v>
      </c>
      <c r="J2322" s="961">
        <f t="shared" si="217"/>
        <v>0</v>
      </c>
      <c r="K2322" s="80"/>
      <c r="L2322" s="633"/>
      <c r="M2322" s="154" t="str">
        <f>+IFERROR(VLOOKUP(L2322,DATA!$G$4:$H$2000,2,FALSE),"")</f>
        <v/>
      </c>
      <c r="N2322" s="633"/>
      <c r="O2322" s="154" t="str">
        <f>IFERROR(VLOOKUP(N2322,DATA!$K$4:$L$51,2,FALSE),"")</f>
        <v/>
      </c>
    </row>
    <row r="2323" spans="2:15">
      <c r="B2323" s="627" t="str">
        <f t="shared" si="218"/>
        <v/>
      </c>
      <c r="C2323" s="635"/>
      <c r="D2323" s="819"/>
      <c r="E2323" s="633"/>
      <c r="F2323" s="629" t="str">
        <f>IFERROR(VLOOKUP(E2323,STAT1!$C$4:$D$1000,2,FALSE),"")</f>
        <v/>
      </c>
      <c r="G2323" s="893"/>
      <c r="H2323" s="893"/>
      <c r="I2323" s="580">
        <f t="shared" si="216"/>
        <v>0</v>
      </c>
      <c r="J2323" s="961">
        <f t="shared" si="217"/>
        <v>0</v>
      </c>
      <c r="K2323" s="80"/>
      <c r="L2323" s="633"/>
      <c r="M2323" s="154" t="str">
        <f>+IFERROR(VLOOKUP(L2323,DATA!$G$4:$H$2000,2,FALSE),"")</f>
        <v/>
      </c>
      <c r="N2323" s="633"/>
      <c r="O2323" s="154" t="str">
        <f>IFERROR(VLOOKUP(N2323,DATA!$K$4:$L$51,2,FALSE),"")</f>
        <v/>
      </c>
    </row>
    <row r="2324" spans="2:15">
      <c r="B2324" s="627" t="str">
        <f t="shared" si="218"/>
        <v/>
      </c>
      <c r="C2324" s="635"/>
      <c r="D2324" s="819"/>
      <c r="E2324" s="633"/>
      <c r="F2324" s="629" t="str">
        <f>IFERROR(VLOOKUP(E2324,STAT1!$C$4:$D$1000,2,FALSE),"")</f>
        <v/>
      </c>
      <c r="G2324" s="893"/>
      <c r="H2324" s="893"/>
      <c r="I2324" s="580">
        <f t="shared" si="216"/>
        <v>0</v>
      </c>
      <c r="J2324" s="961">
        <f t="shared" si="217"/>
        <v>0</v>
      </c>
      <c r="K2324" s="80"/>
      <c r="L2324" s="633"/>
      <c r="M2324" s="154" t="str">
        <f>+IFERROR(VLOOKUP(L2324,DATA!$G$4:$H$2000,2,FALSE),"")</f>
        <v/>
      </c>
      <c r="N2324" s="633"/>
      <c r="O2324" s="154" t="str">
        <f>IFERROR(VLOOKUP(N2324,DATA!$K$4:$L$51,2,FALSE),"")</f>
        <v/>
      </c>
    </row>
    <row r="2325" spans="2:15">
      <c r="B2325" s="627" t="str">
        <f t="shared" si="218"/>
        <v/>
      </c>
      <c r="C2325" s="635"/>
      <c r="D2325" s="819"/>
      <c r="E2325" s="633"/>
      <c r="F2325" s="629" t="str">
        <f>IFERROR(VLOOKUP(E2325,STAT1!$C$4:$D$1000,2,FALSE),"")</f>
        <v/>
      </c>
      <c r="G2325" s="893"/>
      <c r="H2325" s="893"/>
      <c r="I2325" s="580">
        <f t="shared" si="216"/>
        <v>0</v>
      </c>
      <c r="J2325" s="961">
        <f t="shared" si="217"/>
        <v>0</v>
      </c>
      <c r="K2325" s="80"/>
      <c r="L2325" s="633"/>
      <c r="M2325" s="154" t="str">
        <f>+IFERROR(VLOOKUP(L2325,DATA!$G$4:$H$2000,2,FALSE),"")</f>
        <v/>
      </c>
      <c r="N2325" s="633"/>
      <c r="O2325" s="154" t="str">
        <f>IFERROR(VLOOKUP(N2325,DATA!$K$4:$L$51,2,FALSE),"")</f>
        <v/>
      </c>
    </row>
    <row r="2326" spans="2:15">
      <c r="B2326" s="627" t="str">
        <f t="shared" si="218"/>
        <v/>
      </c>
      <c r="C2326" s="635"/>
      <c r="D2326" s="819"/>
      <c r="E2326" s="633"/>
      <c r="F2326" s="629" t="str">
        <f>IFERROR(VLOOKUP(E2326,STAT1!$C$4:$D$1000,2,FALSE),"")</f>
        <v/>
      </c>
      <c r="G2326" s="893"/>
      <c r="H2326" s="893"/>
      <c r="I2326" s="580">
        <f t="shared" si="216"/>
        <v>0</v>
      </c>
      <c r="J2326" s="961">
        <f t="shared" si="217"/>
        <v>0</v>
      </c>
      <c r="K2326" s="80"/>
      <c r="L2326" s="633"/>
      <c r="M2326" s="154" t="str">
        <f>+IFERROR(VLOOKUP(L2326,DATA!$G$4:$H$2000,2,FALSE),"")</f>
        <v/>
      </c>
      <c r="N2326" s="633"/>
      <c r="O2326" s="154" t="str">
        <f>IFERROR(VLOOKUP(N2326,DATA!$K$4:$L$51,2,FALSE),"")</f>
        <v/>
      </c>
    </row>
    <row r="2327" spans="2:15">
      <c r="B2327" s="627" t="str">
        <f t="shared" si="218"/>
        <v/>
      </c>
      <c r="C2327" s="635"/>
      <c r="D2327" s="819"/>
      <c r="E2327" s="633"/>
      <c r="F2327" s="629" t="str">
        <f>IFERROR(VLOOKUP(E2327,STAT1!$C$4:$D$1000,2,FALSE),"")</f>
        <v/>
      </c>
      <c r="G2327" s="893"/>
      <c r="H2327" s="893"/>
      <c r="I2327" s="580">
        <f t="shared" si="216"/>
        <v>0</v>
      </c>
      <c r="J2327" s="961">
        <f t="shared" si="217"/>
        <v>0</v>
      </c>
      <c r="K2327" s="80"/>
      <c r="L2327" s="633"/>
      <c r="M2327" s="154" t="str">
        <f>+IFERROR(VLOOKUP(L2327,DATA!$G$4:$H$2000,2,FALSE),"")</f>
        <v/>
      </c>
      <c r="N2327" s="633"/>
      <c r="O2327" s="154" t="str">
        <f>IFERROR(VLOOKUP(N2327,DATA!$K$4:$L$51,2,FALSE),"")</f>
        <v/>
      </c>
    </row>
    <row r="2328" spans="2:15">
      <c r="B2328" s="627" t="str">
        <f t="shared" si="218"/>
        <v/>
      </c>
      <c r="C2328" s="635"/>
      <c r="D2328" s="819"/>
      <c r="E2328" s="633"/>
      <c r="F2328" s="629" t="str">
        <f>IFERROR(VLOOKUP(E2328,STAT1!$C$4:$D$1000,2,FALSE),"")</f>
        <v/>
      </c>
      <c r="G2328" s="893"/>
      <c r="H2328" s="893"/>
      <c r="I2328" s="580">
        <f t="shared" si="216"/>
        <v>0</v>
      </c>
      <c r="J2328" s="961">
        <f t="shared" si="217"/>
        <v>0</v>
      </c>
      <c r="K2328" s="80"/>
      <c r="L2328" s="633"/>
      <c r="M2328" s="154" t="str">
        <f>+IFERROR(VLOOKUP(L2328,DATA!$G$4:$H$2000,2,FALSE),"")</f>
        <v/>
      </c>
      <c r="N2328" s="633"/>
      <c r="O2328" s="154" t="str">
        <f>IFERROR(VLOOKUP(N2328,DATA!$K$4:$L$51,2,FALSE),"")</f>
        <v/>
      </c>
    </row>
    <row r="2329" spans="2:15">
      <c r="B2329" s="627" t="str">
        <f t="shared" si="218"/>
        <v/>
      </c>
      <c r="C2329" s="635"/>
      <c r="D2329" s="817"/>
      <c r="E2329" s="633"/>
      <c r="F2329" s="629" t="str">
        <f>IFERROR(VLOOKUP(E2329,STAT1!$C$4:$D$1000,2,FALSE),"")</f>
        <v/>
      </c>
      <c r="G2329" s="893"/>
      <c r="H2329" s="893"/>
      <c r="I2329" s="580">
        <f t="shared" si="216"/>
        <v>0</v>
      </c>
      <c r="J2329" s="961">
        <f t="shared" si="217"/>
        <v>0</v>
      </c>
      <c r="K2329" s="80"/>
      <c r="L2329" s="633"/>
      <c r="M2329" s="154" t="str">
        <f>+IFERROR(VLOOKUP(L2329,DATA!$G$4:$H$2000,2,FALSE),"")</f>
        <v/>
      </c>
      <c r="N2329" s="633"/>
      <c r="O2329" s="154" t="str">
        <f>IFERROR(VLOOKUP(N2329,DATA!$K$4:$L$51,2,FALSE),"")</f>
        <v/>
      </c>
    </row>
    <row r="2330" spans="2:15">
      <c r="B2330" s="627" t="str">
        <f t="shared" si="218"/>
        <v/>
      </c>
      <c r="C2330" s="631"/>
      <c r="D2330" s="817"/>
      <c r="E2330" s="808"/>
      <c r="F2330" s="629" t="str">
        <f>IFERROR(VLOOKUP(E2330,STAT1!$C$4:$D$1000,2,FALSE),"")</f>
        <v/>
      </c>
      <c r="G2330" s="891"/>
      <c r="H2330" s="891"/>
      <c r="I2330" s="580">
        <f t="shared" si="216"/>
        <v>0</v>
      </c>
      <c r="J2330" s="961">
        <f t="shared" si="217"/>
        <v>0</v>
      </c>
      <c r="K2330" s="80"/>
      <c r="L2330" s="808"/>
      <c r="M2330" s="154" t="str">
        <f>+IFERROR(VLOOKUP(L2330,DATA!$G$4:$H$2000,2,FALSE),"")</f>
        <v/>
      </c>
      <c r="N2330" s="808"/>
      <c r="O2330" s="154" t="str">
        <f>IFERROR(VLOOKUP(N2330,DATA!$K$4:$L$51,2,FALSE),"")</f>
        <v/>
      </c>
    </row>
    <row r="2331" spans="2:15">
      <c r="B2331" s="627" t="str">
        <f t="shared" si="218"/>
        <v/>
      </c>
      <c r="C2331" s="631"/>
      <c r="D2331" s="817"/>
      <c r="E2331" s="808"/>
      <c r="F2331" s="629" t="str">
        <f>IFERROR(VLOOKUP(E2331,STAT1!$C$4:$D$1000,2,FALSE),"")</f>
        <v/>
      </c>
      <c r="G2331" s="891"/>
      <c r="H2331" s="891"/>
      <c r="I2331" s="580">
        <f t="shared" si="216"/>
        <v>0</v>
      </c>
      <c r="J2331" s="961">
        <f t="shared" si="217"/>
        <v>0</v>
      </c>
      <c r="K2331" s="80"/>
      <c r="L2331" s="808"/>
      <c r="M2331" s="154" t="str">
        <f>+IFERROR(VLOOKUP(L2331,DATA!$G$4:$H$2000,2,FALSE),"")</f>
        <v/>
      </c>
      <c r="N2331" s="808"/>
      <c r="O2331" s="154" t="str">
        <f>IFERROR(VLOOKUP(N2331,DATA!$K$4:$L$51,2,FALSE),"")</f>
        <v/>
      </c>
    </row>
    <row r="2332" spans="2:15">
      <c r="B2332" s="627" t="str">
        <f t="shared" si="218"/>
        <v/>
      </c>
      <c r="C2332" s="631"/>
      <c r="D2332" s="817"/>
      <c r="E2332" s="808"/>
      <c r="F2332" s="629" t="str">
        <f>IFERROR(VLOOKUP(E2332,STAT1!$C$4:$D$1000,2,FALSE),"")</f>
        <v/>
      </c>
      <c r="G2332" s="891"/>
      <c r="H2332" s="891"/>
      <c r="I2332" s="580">
        <f t="shared" si="216"/>
        <v>0</v>
      </c>
      <c r="J2332" s="961">
        <f t="shared" si="217"/>
        <v>0</v>
      </c>
      <c r="K2332" s="80"/>
      <c r="L2332" s="808"/>
      <c r="M2332" s="154" t="str">
        <f>+IFERROR(VLOOKUP(L2332,DATA!$G$4:$H$2000,2,FALSE),"")</f>
        <v/>
      </c>
      <c r="N2332" s="808"/>
      <c r="O2332" s="154" t="str">
        <f>IFERROR(VLOOKUP(N2332,DATA!$K$4:$L$51,2,FALSE),"")</f>
        <v/>
      </c>
    </row>
    <row r="2333" spans="2:15">
      <c r="B2333" s="627" t="str">
        <f t="shared" si="218"/>
        <v/>
      </c>
      <c r="C2333" s="631"/>
      <c r="D2333" s="817"/>
      <c r="E2333" s="808"/>
      <c r="F2333" s="629" t="str">
        <f>IFERROR(VLOOKUP(E2333,STAT1!$C$4:$D$1000,2,FALSE),"")</f>
        <v/>
      </c>
      <c r="G2333" s="891"/>
      <c r="H2333" s="891"/>
      <c r="I2333" s="580">
        <f t="shared" si="216"/>
        <v>0</v>
      </c>
      <c r="J2333" s="961">
        <f t="shared" si="217"/>
        <v>0</v>
      </c>
      <c r="K2333" s="80"/>
      <c r="L2333" s="808"/>
      <c r="M2333" s="154" t="str">
        <f>+IFERROR(VLOOKUP(L2333,DATA!$G$4:$H$2000,2,FALSE),"")</f>
        <v/>
      </c>
      <c r="N2333" s="808"/>
      <c r="O2333" s="154" t="str">
        <f>IFERROR(VLOOKUP(N2333,DATA!$K$4:$L$51,2,FALSE),"")</f>
        <v/>
      </c>
    </row>
    <row r="2334" spans="2:15">
      <c r="B2334" s="627" t="str">
        <f t="shared" si="218"/>
        <v/>
      </c>
      <c r="C2334" s="631"/>
      <c r="D2334" s="817"/>
      <c r="E2334" s="808"/>
      <c r="F2334" s="629" t="str">
        <f>IFERROR(VLOOKUP(E2334,STAT1!$C$4:$D$1000,2,FALSE),"")</f>
        <v/>
      </c>
      <c r="G2334" s="891"/>
      <c r="H2334" s="891"/>
      <c r="I2334" s="580">
        <f t="shared" si="216"/>
        <v>0</v>
      </c>
      <c r="J2334" s="961">
        <f t="shared" si="217"/>
        <v>0</v>
      </c>
      <c r="K2334" s="80"/>
      <c r="L2334" s="808"/>
      <c r="M2334" s="154" t="str">
        <f>+IFERROR(VLOOKUP(L2334,DATA!$G$4:$H$2000,2,FALSE),"")</f>
        <v/>
      </c>
      <c r="N2334" s="808"/>
      <c r="O2334" s="154" t="str">
        <f>IFERROR(VLOOKUP(N2334,DATA!$K$4:$L$51,2,FALSE),"")</f>
        <v/>
      </c>
    </row>
    <row r="2335" spans="2:15">
      <c r="B2335" s="627" t="str">
        <f t="shared" si="218"/>
        <v/>
      </c>
      <c r="C2335" s="631"/>
      <c r="D2335" s="817"/>
      <c r="E2335" s="808"/>
      <c r="F2335" s="629" t="str">
        <f>IFERROR(VLOOKUP(E2335,STAT1!$C$4:$D$1000,2,FALSE),"")</f>
        <v/>
      </c>
      <c r="G2335" s="891"/>
      <c r="H2335" s="891"/>
      <c r="I2335" s="580">
        <f t="shared" si="216"/>
        <v>0</v>
      </c>
      <c r="J2335" s="961">
        <f t="shared" si="217"/>
        <v>0</v>
      </c>
      <c r="K2335" s="80"/>
      <c r="L2335" s="808"/>
      <c r="M2335" s="154" t="str">
        <f>+IFERROR(VLOOKUP(L2335,DATA!$G$4:$H$2000,2,FALSE),"")</f>
        <v/>
      </c>
      <c r="N2335" s="808"/>
      <c r="O2335" s="154" t="str">
        <f>IFERROR(VLOOKUP(N2335,DATA!$K$4:$L$51,2,FALSE),"")</f>
        <v/>
      </c>
    </row>
    <row r="2336" spans="2:15">
      <c r="B2336" s="627" t="str">
        <f t="shared" si="218"/>
        <v/>
      </c>
      <c r="C2336" s="631"/>
      <c r="D2336" s="817"/>
      <c r="E2336" s="808"/>
      <c r="F2336" s="629" t="str">
        <f>IFERROR(VLOOKUP(E2336,STAT1!$C$4:$D$1000,2,FALSE),"")</f>
        <v/>
      </c>
      <c r="G2336" s="891"/>
      <c r="H2336" s="891"/>
      <c r="I2336" s="580">
        <f t="shared" si="216"/>
        <v>0</v>
      </c>
      <c r="J2336" s="961">
        <f t="shared" si="217"/>
        <v>0</v>
      </c>
      <c r="K2336" s="80"/>
      <c r="L2336" s="808"/>
      <c r="M2336" s="154" t="str">
        <f>+IFERROR(VLOOKUP(L2336,DATA!$G$4:$H$2000,2,FALSE),"")</f>
        <v/>
      </c>
      <c r="N2336" s="808"/>
      <c r="O2336" s="154" t="str">
        <f>IFERROR(VLOOKUP(N2336,DATA!$K$4:$L$51,2,FALSE),"")</f>
        <v/>
      </c>
    </row>
    <row r="2337" spans="2:15">
      <c r="B2337" s="627" t="str">
        <f t="shared" si="218"/>
        <v/>
      </c>
      <c r="C2337" s="631"/>
      <c r="D2337" s="818"/>
      <c r="E2337" s="808"/>
      <c r="F2337" s="629" t="str">
        <f>IFERROR(VLOOKUP(E2337,STAT1!$C$4:$D$1000,2,FALSE),"")</f>
        <v/>
      </c>
      <c r="G2337" s="891"/>
      <c r="H2337" s="891"/>
      <c r="I2337" s="580">
        <f t="shared" si="216"/>
        <v>0</v>
      </c>
      <c r="J2337" s="961">
        <f t="shared" si="217"/>
        <v>0</v>
      </c>
      <c r="K2337" s="80"/>
      <c r="L2337" s="808"/>
      <c r="M2337" s="154" t="str">
        <f>+IFERROR(VLOOKUP(L2337,DATA!$G$4:$H$2000,2,FALSE),"")</f>
        <v/>
      </c>
      <c r="N2337" s="808"/>
      <c r="O2337" s="154" t="str">
        <f>IFERROR(VLOOKUP(N2337,DATA!$K$4:$L$51,2,FALSE),"")</f>
        <v/>
      </c>
    </row>
    <row r="2338" spans="2:15">
      <c r="B2338" s="627" t="str">
        <f t="shared" si="218"/>
        <v/>
      </c>
      <c r="C2338" s="634"/>
      <c r="D2338" s="818"/>
      <c r="E2338" s="809"/>
      <c r="F2338" s="629" t="str">
        <f>IFERROR(VLOOKUP(E2338,STAT1!$C$4:$D$1000,2,FALSE),"")</f>
        <v/>
      </c>
      <c r="G2338" s="892"/>
      <c r="H2338" s="892"/>
      <c r="I2338" s="580">
        <f t="shared" si="216"/>
        <v>0</v>
      </c>
      <c r="J2338" s="961">
        <f t="shared" si="217"/>
        <v>0</v>
      </c>
      <c r="K2338" s="80"/>
      <c r="L2338" s="809"/>
      <c r="M2338" s="154" t="str">
        <f>+IFERROR(VLOOKUP(L2338,DATA!$G$4:$H$2000,2,FALSE),"")</f>
        <v/>
      </c>
      <c r="N2338" s="809"/>
      <c r="O2338" s="154" t="str">
        <f>IFERROR(VLOOKUP(N2338,DATA!$K$4:$L$51,2,FALSE),"")</f>
        <v/>
      </c>
    </row>
    <row r="2339" spans="2:15">
      <c r="B2339" s="627" t="str">
        <f t="shared" si="218"/>
        <v/>
      </c>
      <c r="C2339" s="634"/>
      <c r="D2339" s="818"/>
      <c r="E2339" s="809"/>
      <c r="F2339" s="629" t="str">
        <f>IFERROR(VLOOKUP(E2339,STAT1!$C$4:$D$1000,2,FALSE),"")</f>
        <v/>
      </c>
      <c r="G2339" s="892"/>
      <c r="H2339" s="892"/>
      <c r="I2339" s="580">
        <f t="shared" si="216"/>
        <v>0</v>
      </c>
      <c r="J2339" s="961">
        <f t="shared" si="217"/>
        <v>0</v>
      </c>
      <c r="K2339" s="80"/>
      <c r="L2339" s="809"/>
      <c r="M2339" s="154" t="str">
        <f>+IFERROR(VLOOKUP(L2339,DATA!$G$4:$H$2000,2,FALSE),"")</f>
        <v/>
      </c>
      <c r="N2339" s="809"/>
      <c r="O2339" s="154" t="str">
        <f>IFERROR(VLOOKUP(N2339,DATA!$K$4:$L$51,2,FALSE),"")</f>
        <v/>
      </c>
    </row>
    <row r="2340" spans="2:15">
      <c r="B2340" s="627" t="str">
        <f t="shared" si="218"/>
        <v/>
      </c>
      <c r="C2340" s="634"/>
      <c r="D2340" s="817"/>
      <c r="E2340" s="809"/>
      <c r="F2340" s="629" t="str">
        <f>IFERROR(VLOOKUP(E2340,STAT1!$C$4:$D$1000,2,FALSE),"")</f>
        <v/>
      </c>
      <c r="G2340" s="892"/>
      <c r="H2340" s="892"/>
      <c r="I2340" s="580">
        <f t="shared" si="216"/>
        <v>0</v>
      </c>
      <c r="J2340" s="961">
        <f t="shared" si="217"/>
        <v>0</v>
      </c>
      <c r="K2340" s="80"/>
      <c r="L2340" s="809"/>
      <c r="M2340" s="154" t="str">
        <f>+IFERROR(VLOOKUP(L2340,DATA!$G$4:$H$2000,2,FALSE),"")</f>
        <v/>
      </c>
      <c r="N2340" s="809"/>
      <c r="O2340" s="154" t="str">
        <f>IFERROR(VLOOKUP(N2340,DATA!$K$4:$L$51,2,FALSE),"")</f>
        <v/>
      </c>
    </row>
    <row r="2341" spans="2:15">
      <c r="B2341" s="627" t="str">
        <f t="shared" si="218"/>
        <v/>
      </c>
      <c r="C2341" s="631"/>
      <c r="D2341" s="817"/>
      <c r="E2341" s="808"/>
      <c r="F2341" s="629" t="str">
        <f>IFERROR(VLOOKUP(E2341,STAT1!$C$4:$D$1000,2,FALSE),"")</f>
        <v/>
      </c>
      <c r="G2341" s="891"/>
      <c r="H2341" s="891"/>
      <c r="I2341" s="580">
        <f t="shared" si="216"/>
        <v>0</v>
      </c>
      <c r="J2341" s="961">
        <f t="shared" si="217"/>
        <v>0</v>
      </c>
      <c r="K2341" s="80"/>
      <c r="L2341" s="808"/>
      <c r="M2341" s="154" t="str">
        <f>+IFERROR(VLOOKUP(L2341,DATA!$G$4:$H$2000,2,FALSE),"")</f>
        <v/>
      </c>
      <c r="N2341" s="808"/>
      <c r="O2341" s="154" t="str">
        <f>IFERROR(VLOOKUP(N2341,DATA!$K$4:$L$51,2,FALSE),"")</f>
        <v/>
      </c>
    </row>
    <row r="2342" spans="2:15">
      <c r="B2342" s="628" t="str">
        <f t="shared" ref="B2342:B2371" si="219">+IF(C2342="","",ROW()-5)</f>
        <v/>
      </c>
      <c r="C2342" s="631"/>
      <c r="D2342" s="817"/>
      <c r="E2342" s="808"/>
      <c r="F2342" s="632" t="str">
        <f>IFERROR(VLOOKUP(E2342,STAT1!$C$4:$D$8000,2,FALSE),"")</f>
        <v/>
      </c>
      <c r="G2342" s="891"/>
      <c r="H2342" s="891"/>
      <c r="I2342" s="580">
        <f t="shared" si="216"/>
        <v>0</v>
      </c>
      <c r="J2342" s="961">
        <f t="shared" si="217"/>
        <v>0</v>
      </c>
      <c r="K2342" s="80"/>
      <c r="L2342" s="808"/>
      <c r="M2342" s="154" t="str">
        <f>+IFERROR(VLOOKUP(L2342,DATA!$G$4:$H$2000,2,FALSE),"")</f>
        <v/>
      </c>
      <c r="N2342" s="808"/>
      <c r="O2342" s="154" t="str">
        <f>IFERROR(VLOOKUP(N2342,DATA!$K$4:$L$51,2,FALSE),"")</f>
        <v/>
      </c>
    </row>
    <row r="2343" spans="2:15">
      <c r="B2343" s="628" t="str">
        <f t="shared" si="219"/>
        <v/>
      </c>
      <c r="C2343" s="631"/>
      <c r="D2343" s="817"/>
      <c r="E2343" s="808"/>
      <c r="F2343" s="632" t="str">
        <f>IFERROR(VLOOKUP(E2343,STAT1!$C$4:$D$8000,2,FALSE),"")</f>
        <v/>
      </c>
      <c r="G2343" s="891"/>
      <c r="H2343" s="891"/>
      <c r="I2343" s="580">
        <f t="shared" si="216"/>
        <v>0</v>
      </c>
      <c r="J2343" s="961">
        <f t="shared" si="217"/>
        <v>0</v>
      </c>
      <c r="K2343" s="80"/>
      <c r="L2343" s="808"/>
      <c r="M2343" s="154" t="str">
        <f>+IFERROR(VLOOKUP(L2343,DATA!$G$4:$H$2000,2,FALSE),"")</f>
        <v/>
      </c>
      <c r="N2343" s="808"/>
      <c r="O2343" s="154" t="str">
        <f>IFERROR(VLOOKUP(N2343,DATA!$K$4:$L$51,2,FALSE),"")</f>
        <v/>
      </c>
    </row>
    <row r="2344" spans="2:15">
      <c r="B2344" s="628" t="str">
        <f t="shared" si="219"/>
        <v/>
      </c>
      <c r="C2344" s="631"/>
      <c r="D2344" s="817"/>
      <c r="E2344" s="808"/>
      <c r="F2344" s="632" t="str">
        <f>IFERROR(VLOOKUP(E2344,STAT1!$C$4:$D$8000,2,FALSE),"")</f>
        <v/>
      </c>
      <c r="G2344" s="891"/>
      <c r="H2344" s="891"/>
      <c r="I2344" s="580">
        <f t="shared" si="216"/>
        <v>0</v>
      </c>
      <c r="J2344" s="961">
        <f t="shared" si="217"/>
        <v>0</v>
      </c>
      <c r="K2344" s="80"/>
      <c r="L2344" s="808"/>
      <c r="M2344" s="154" t="str">
        <f>+IFERROR(VLOOKUP(L2344,DATA!$G$4:$H$2000,2,FALSE),"")</f>
        <v/>
      </c>
      <c r="N2344" s="808"/>
      <c r="O2344" s="154" t="str">
        <f>IFERROR(VLOOKUP(N2344,DATA!$K$4:$L$51,2,FALSE),"")</f>
        <v/>
      </c>
    </row>
    <row r="2345" spans="2:15">
      <c r="B2345" s="628" t="str">
        <f t="shared" si="219"/>
        <v/>
      </c>
      <c r="C2345" s="631"/>
      <c r="D2345" s="817"/>
      <c r="E2345" s="808"/>
      <c r="F2345" s="632" t="str">
        <f>IFERROR(VLOOKUP(E2345,STAT1!$C$4:$D$8000,2,FALSE),"")</f>
        <v/>
      </c>
      <c r="G2345" s="891"/>
      <c r="H2345" s="891"/>
      <c r="I2345" s="580">
        <f t="shared" si="216"/>
        <v>0</v>
      </c>
      <c r="J2345" s="961">
        <f t="shared" si="217"/>
        <v>0</v>
      </c>
      <c r="K2345" s="80"/>
      <c r="L2345" s="808"/>
      <c r="M2345" s="154" t="str">
        <f>+IFERROR(VLOOKUP(L2345,DATA!$G$4:$H$2000,2,FALSE),"")</f>
        <v/>
      </c>
      <c r="N2345" s="808"/>
      <c r="O2345" s="154" t="str">
        <f>IFERROR(VLOOKUP(N2345,DATA!$K$4:$L$51,2,FALSE),"")</f>
        <v/>
      </c>
    </row>
    <row r="2346" spans="2:15">
      <c r="B2346" s="628" t="str">
        <f t="shared" si="219"/>
        <v/>
      </c>
      <c r="C2346" s="631"/>
      <c r="D2346" s="818"/>
      <c r="E2346" s="808"/>
      <c r="F2346" s="632" t="str">
        <f>IFERROR(VLOOKUP(E2346,STAT1!$C$4:$D$8000,2,FALSE),"")</f>
        <v/>
      </c>
      <c r="G2346" s="891"/>
      <c r="H2346" s="891"/>
      <c r="I2346" s="580">
        <f t="shared" si="216"/>
        <v>0</v>
      </c>
      <c r="J2346" s="961">
        <f t="shared" si="217"/>
        <v>0</v>
      </c>
      <c r="K2346" s="80"/>
      <c r="L2346" s="808"/>
      <c r="M2346" s="154" t="str">
        <f>+IFERROR(VLOOKUP(L2346,DATA!$G$4:$H$2000,2,FALSE),"")</f>
        <v/>
      </c>
      <c r="N2346" s="808"/>
      <c r="O2346" s="154" t="str">
        <f>IFERROR(VLOOKUP(N2346,DATA!$K$4:$L$51,2,FALSE),"")</f>
        <v/>
      </c>
    </row>
    <row r="2347" spans="2:15">
      <c r="B2347" s="628" t="str">
        <f t="shared" si="219"/>
        <v/>
      </c>
      <c r="C2347" s="634"/>
      <c r="D2347" s="818"/>
      <c r="E2347" s="809"/>
      <c r="F2347" s="632" t="str">
        <f>IFERROR(VLOOKUP(E2347,STAT1!$C$4:$D$8000,2,FALSE),"")</f>
        <v/>
      </c>
      <c r="G2347" s="892"/>
      <c r="H2347" s="892"/>
      <c r="I2347" s="580">
        <f t="shared" si="216"/>
        <v>0</v>
      </c>
      <c r="J2347" s="961">
        <f t="shared" si="217"/>
        <v>0</v>
      </c>
      <c r="K2347" s="80"/>
      <c r="L2347" s="809"/>
      <c r="M2347" s="154" t="str">
        <f>+IFERROR(VLOOKUP(L2347,DATA!$G$4:$H$2000,2,FALSE),"")</f>
        <v/>
      </c>
      <c r="N2347" s="809"/>
      <c r="O2347" s="154" t="str">
        <f>IFERROR(VLOOKUP(N2347,DATA!$K$4:$L$51,2,FALSE),"")</f>
        <v/>
      </c>
    </row>
    <row r="2348" spans="2:15">
      <c r="B2348" s="628" t="str">
        <f t="shared" si="219"/>
        <v/>
      </c>
      <c r="C2348" s="634"/>
      <c r="D2348" s="818"/>
      <c r="E2348" s="809"/>
      <c r="F2348" s="632" t="str">
        <f>IFERROR(VLOOKUP(E2348,STAT1!$C$4:$D$8000,2,FALSE),"")</f>
        <v/>
      </c>
      <c r="G2348" s="892"/>
      <c r="H2348" s="892"/>
      <c r="I2348" s="580">
        <f t="shared" si="216"/>
        <v>0</v>
      </c>
      <c r="J2348" s="961">
        <f t="shared" si="217"/>
        <v>0</v>
      </c>
      <c r="K2348" s="80"/>
      <c r="L2348" s="809"/>
      <c r="M2348" s="154" t="str">
        <f>+IFERROR(VLOOKUP(L2348,DATA!$G$4:$H$2000,2,FALSE),"")</f>
        <v/>
      </c>
      <c r="N2348" s="809"/>
      <c r="O2348" s="154" t="str">
        <f>IFERROR(VLOOKUP(N2348,DATA!$K$4:$L$51,2,FALSE),"")</f>
        <v/>
      </c>
    </row>
    <row r="2349" spans="2:15">
      <c r="B2349" s="628" t="str">
        <f t="shared" si="219"/>
        <v/>
      </c>
      <c r="C2349" s="634"/>
      <c r="D2349" s="818"/>
      <c r="E2349" s="809"/>
      <c r="F2349" s="632" t="str">
        <f>IFERROR(VLOOKUP(E2349,STAT1!$C$4:$D$8000,2,FALSE),"")</f>
        <v/>
      </c>
      <c r="G2349" s="892"/>
      <c r="H2349" s="892"/>
      <c r="I2349" s="580">
        <f t="shared" si="216"/>
        <v>0</v>
      </c>
      <c r="J2349" s="961">
        <f t="shared" si="217"/>
        <v>0</v>
      </c>
      <c r="K2349" s="80"/>
      <c r="L2349" s="809"/>
      <c r="M2349" s="154" t="str">
        <f>+IFERROR(VLOOKUP(L2349,DATA!$G$4:$H$2000,2,FALSE),"")</f>
        <v/>
      </c>
      <c r="N2349" s="809"/>
      <c r="O2349" s="154" t="str">
        <f>IFERROR(VLOOKUP(N2349,DATA!$K$4:$L$51,2,FALSE),"")</f>
        <v/>
      </c>
    </row>
    <row r="2350" spans="2:15">
      <c r="B2350" s="628" t="str">
        <f t="shared" si="219"/>
        <v/>
      </c>
      <c r="C2350" s="634"/>
      <c r="D2350" s="818"/>
      <c r="E2350" s="809"/>
      <c r="F2350" s="632" t="str">
        <f>IFERROR(VLOOKUP(E2350,STAT1!$C$4:$D$8000,2,FALSE),"")</f>
        <v/>
      </c>
      <c r="G2350" s="892"/>
      <c r="H2350" s="892"/>
      <c r="I2350" s="580">
        <f t="shared" si="216"/>
        <v>0</v>
      </c>
      <c r="J2350" s="961">
        <f t="shared" si="217"/>
        <v>0</v>
      </c>
      <c r="K2350" s="80"/>
      <c r="L2350" s="809"/>
      <c r="M2350" s="154" t="str">
        <f>+IFERROR(VLOOKUP(L2350,DATA!$G$4:$H$2000,2,FALSE),"")</f>
        <v/>
      </c>
      <c r="N2350" s="809"/>
      <c r="O2350" s="154" t="str">
        <f>IFERROR(VLOOKUP(N2350,DATA!$K$4:$L$51,2,FALSE),"")</f>
        <v/>
      </c>
    </row>
    <row r="2351" spans="2:15">
      <c r="B2351" s="628" t="str">
        <f t="shared" si="219"/>
        <v/>
      </c>
      <c r="C2351" s="634"/>
      <c r="D2351" s="817"/>
      <c r="E2351" s="809"/>
      <c r="F2351" s="632" t="str">
        <f>IFERROR(VLOOKUP(E2351,STAT1!$C$4:$D$8000,2,FALSE),"")</f>
        <v/>
      </c>
      <c r="G2351" s="892"/>
      <c r="H2351" s="892"/>
      <c r="I2351" s="580">
        <f t="shared" si="216"/>
        <v>0</v>
      </c>
      <c r="J2351" s="961">
        <f t="shared" si="217"/>
        <v>0</v>
      </c>
      <c r="K2351" s="80"/>
      <c r="L2351" s="809"/>
      <c r="M2351" s="154" t="str">
        <f>+IFERROR(VLOOKUP(L2351,DATA!$G$4:$H$2000,2,FALSE),"")</f>
        <v/>
      </c>
      <c r="N2351" s="809"/>
      <c r="O2351" s="154" t="str">
        <f>IFERROR(VLOOKUP(N2351,DATA!$K$4:$L$51,2,FALSE),"")</f>
        <v/>
      </c>
    </row>
    <row r="2352" spans="2:15">
      <c r="B2352" s="628" t="str">
        <f t="shared" si="219"/>
        <v/>
      </c>
      <c r="C2352" s="631"/>
      <c r="D2352" s="817"/>
      <c r="E2352" s="808"/>
      <c r="F2352" s="632" t="str">
        <f>IFERROR(VLOOKUP(E2352,STAT1!$C$4:$D$8000,2,FALSE),"")</f>
        <v/>
      </c>
      <c r="G2352" s="891"/>
      <c r="H2352" s="891"/>
      <c r="I2352" s="580">
        <f t="shared" si="216"/>
        <v>0</v>
      </c>
      <c r="J2352" s="961">
        <f t="shared" si="217"/>
        <v>0</v>
      </c>
      <c r="K2352" s="80"/>
      <c r="L2352" s="808"/>
      <c r="M2352" s="154" t="str">
        <f>+IFERROR(VLOOKUP(L2352,DATA!$G$4:$H$2000,2,FALSE),"")</f>
        <v/>
      </c>
      <c r="N2352" s="808"/>
      <c r="O2352" s="154" t="str">
        <f>IFERROR(VLOOKUP(N2352,DATA!$K$4:$L$51,2,FALSE),"")</f>
        <v/>
      </c>
    </row>
    <row r="2353" spans="2:15">
      <c r="B2353" s="628" t="str">
        <f t="shared" si="219"/>
        <v/>
      </c>
      <c r="C2353" s="631"/>
      <c r="D2353" s="817"/>
      <c r="E2353" s="808"/>
      <c r="F2353" s="632" t="str">
        <f>IFERROR(VLOOKUP(E2353,STAT1!$C$4:$D$8000,2,FALSE),"")</f>
        <v/>
      </c>
      <c r="G2353" s="891"/>
      <c r="H2353" s="891"/>
      <c r="I2353" s="580">
        <f t="shared" si="216"/>
        <v>0</v>
      </c>
      <c r="J2353" s="961">
        <f t="shared" si="217"/>
        <v>0</v>
      </c>
      <c r="K2353" s="80"/>
      <c r="L2353" s="808"/>
      <c r="M2353" s="154" t="str">
        <f>+IFERROR(VLOOKUP(L2353,DATA!$G$4:$H$2000,2,FALSE),"")</f>
        <v/>
      </c>
      <c r="N2353" s="808"/>
      <c r="O2353" s="154" t="str">
        <f>IFERROR(VLOOKUP(N2353,DATA!$K$4:$L$51,2,FALSE),"")</f>
        <v/>
      </c>
    </row>
    <row r="2354" spans="2:15">
      <c r="B2354" s="628" t="str">
        <f t="shared" si="219"/>
        <v/>
      </c>
      <c r="C2354" s="631"/>
      <c r="D2354" s="819"/>
      <c r="E2354" s="808"/>
      <c r="F2354" s="632" t="str">
        <f>IFERROR(VLOOKUP(E2354,STAT1!$C$4:$D$8000,2,FALSE),"")</f>
        <v/>
      </c>
      <c r="G2354" s="891"/>
      <c r="H2354" s="891"/>
      <c r="I2354" s="580">
        <f t="shared" si="216"/>
        <v>0</v>
      </c>
      <c r="J2354" s="961">
        <f t="shared" si="217"/>
        <v>0</v>
      </c>
      <c r="K2354" s="80"/>
      <c r="L2354" s="808"/>
      <c r="M2354" s="154" t="str">
        <f>+IFERROR(VLOOKUP(L2354,DATA!$G$4:$H$2000,2,FALSE),"")</f>
        <v/>
      </c>
      <c r="N2354" s="808"/>
      <c r="O2354" s="154" t="str">
        <f>IFERROR(VLOOKUP(N2354,DATA!$K$4:$L$51,2,FALSE),"")</f>
        <v/>
      </c>
    </row>
    <row r="2355" spans="2:15">
      <c r="B2355" s="628" t="str">
        <f t="shared" si="219"/>
        <v/>
      </c>
      <c r="C2355" s="635"/>
      <c r="D2355" s="819"/>
      <c r="E2355" s="633"/>
      <c r="F2355" s="632" t="str">
        <f>IFERROR(VLOOKUP(E2355,STAT1!$C$4:$D$8000,2,FALSE),"")</f>
        <v/>
      </c>
      <c r="G2355" s="893"/>
      <c r="H2355" s="893"/>
      <c r="I2355" s="580">
        <f t="shared" si="216"/>
        <v>0</v>
      </c>
      <c r="J2355" s="961">
        <f t="shared" si="217"/>
        <v>0</v>
      </c>
      <c r="K2355" s="80"/>
      <c r="L2355" s="633"/>
      <c r="M2355" s="154" t="str">
        <f>+IFERROR(VLOOKUP(L2355,DATA!$G$4:$H$2000,2,FALSE),"")</f>
        <v/>
      </c>
      <c r="N2355" s="633"/>
      <c r="O2355" s="154" t="str">
        <f>IFERROR(VLOOKUP(N2355,DATA!$K$4:$L$51,2,FALSE),"")</f>
        <v/>
      </c>
    </row>
    <row r="2356" spans="2:15">
      <c r="B2356" s="628" t="str">
        <f t="shared" si="219"/>
        <v/>
      </c>
      <c r="C2356" s="635"/>
      <c r="D2356" s="819"/>
      <c r="E2356" s="633"/>
      <c r="F2356" s="632" t="str">
        <f>IFERROR(VLOOKUP(E2356,STAT1!$C$4:$D$8000,2,FALSE),"")</f>
        <v/>
      </c>
      <c r="G2356" s="893"/>
      <c r="H2356" s="893"/>
      <c r="I2356" s="580">
        <f t="shared" si="216"/>
        <v>0</v>
      </c>
      <c r="J2356" s="961">
        <f t="shared" si="217"/>
        <v>0</v>
      </c>
      <c r="K2356" s="80"/>
      <c r="L2356" s="633"/>
      <c r="M2356" s="154" t="str">
        <f>+IFERROR(VLOOKUP(L2356,DATA!$G$4:$H$2000,2,FALSE),"")</f>
        <v/>
      </c>
      <c r="N2356" s="633"/>
      <c r="O2356" s="154" t="str">
        <f>IFERROR(VLOOKUP(N2356,DATA!$K$4:$L$51,2,FALSE),"")</f>
        <v/>
      </c>
    </row>
    <row r="2357" spans="2:15">
      <c r="B2357" s="628" t="str">
        <f t="shared" si="219"/>
        <v/>
      </c>
      <c r="C2357" s="635"/>
      <c r="D2357" s="819"/>
      <c r="E2357" s="633"/>
      <c r="F2357" s="632" t="str">
        <f>IFERROR(VLOOKUP(E2357,STAT1!$C$4:$D$8000,2,FALSE),"")</f>
        <v/>
      </c>
      <c r="G2357" s="893"/>
      <c r="H2357" s="893"/>
      <c r="I2357" s="580">
        <f t="shared" si="216"/>
        <v>0</v>
      </c>
      <c r="J2357" s="961">
        <f t="shared" si="217"/>
        <v>0</v>
      </c>
      <c r="K2357" s="80"/>
      <c r="L2357" s="633"/>
      <c r="M2357" s="154" t="str">
        <f>+IFERROR(VLOOKUP(L2357,DATA!$G$4:$H$2000,2,FALSE),"")</f>
        <v/>
      </c>
      <c r="N2357" s="633"/>
      <c r="O2357" s="154" t="str">
        <f>IFERROR(VLOOKUP(N2357,DATA!$K$4:$L$51,2,FALSE),"")</f>
        <v/>
      </c>
    </row>
    <row r="2358" spans="2:15">
      <c r="B2358" s="628" t="str">
        <f t="shared" si="219"/>
        <v/>
      </c>
      <c r="C2358" s="635"/>
      <c r="D2358" s="819"/>
      <c r="E2358" s="633"/>
      <c r="F2358" s="632" t="str">
        <f>IFERROR(VLOOKUP(E2358,STAT1!$C$4:$D$8000,2,FALSE),"")</f>
        <v/>
      </c>
      <c r="G2358" s="893"/>
      <c r="H2358" s="893"/>
      <c r="I2358" s="580">
        <f t="shared" si="216"/>
        <v>0</v>
      </c>
      <c r="J2358" s="961">
        <f t="shared" si="217"/>
        <v>0</v>
      </c>
      <c r="K2358" s="80"/>
      <c r="L2358" s="633"/>
      <c r="M2358" s="154" t="str">
        <f>+IFERROR(VLOOKUP(L2358,DATA!$G$4:$H$2000,2,FALSE),"")</f>
        <v/>
      </c>
      <c r="N2358" s="633"/>
      <c r="O2358" s="154" t="str">
        <f>IFERROR(VLOOKUP(N2358,DATA!$K$4:$L$51,2,FALSE),"")</f>
        <v/>
      </c>
    </row>
    <row r="2359" spans="2:15">
      <c r="B2359" s="628" t="str">
        <f t="shared" si="219"/>
        <v/>
      </c>
      <c r="C2359" s="635"/>
      <c r="D2359" s="819"/>
      <c r="E2359" s="633"/>
      <c r="F2359" s="632" t="str">
        <f>IFERROR(VLOOKUP(E2359,STAT1!$C$4:$D$8000,2,FALSE),"")</f>
        <v/>
      </c>
      <c r="G2359" s="893"/>
      <c r="H2359" s="893"/>
      <c r="I2359" s="580">
        <f t="shared" si="216"/>
        <v>0</v>
      </c>
      <c r="J2359" s="961">
        <f t="shared" si="217"/>
        <v>0</v>
      </c>
      <c r="K2359" s="80"/>
      <c r="L2359" s="633"/>
      <c r="M2359" s="154" t="str">
        <f>+IFERROR(VLOOKUP(L2359,DATA!$G$4:$H$2000,2,FALSE),"")</f>
        <v/>
      </c>
      <c r="N2359" s="633"/>
      <c r="O2359" s="154" t="str">
        <f>IFERROR(VLOOKUP(N2359,DATA!$K$4:$L$51,2,FALSE),"")</f>
        <v/>
      </c>
    </row>
    <row r="2360" spans="2:15">
      <c r="B2360" s="628" t="str">
        <f t="shared" si="219"/>
        <v/>
      </c>
      <c r="C2360" s="635"/>
      <c r="D2360" s="818"/>
      <c r="E2360" s="633"/>
      <c r="F2360" s="632" t="str">
        <f>IFERROR(VLOOKUP(E2360,STAT1!$C$4:$D$8000,2,FALSE),"")</f>
        <v/>
      </c>
      <c r="G2360" s="893"/>
      <c r="H2360" s="893"/>
      <c r="I2360" s="580">
        <f t="shared" si="216"/>
        <v>0</v>
      </c>
      <c r="J2360" s="961">
        <f t="shared" si="217"/>
        <v>0</v>
      </c>
      <c r="K2360" s="80"/>
      <c r="L2360" s="633"/>
      <c r="M2360" s="154" t="str">
        <f>+IFERROR(VLOOKUP(L2360,DATA!$G$4:$H$2000,2,FALSE),"")</f>
        <v/>
      </c>
      <c r="N2360" s="633"/>
      <c r="O2360" s="154" t="str">
        <f>IFERROR(VLOOKUP(N2360,DATA!$K$4:$L$51,2,FALSE),"")</f>
        <v/>
      </c>
    </row>
    <row r="2361" spans="2:15">
      <c r="B2361" s="628" t="str">
        <f t="shared" si="219"/>
        <v/>
      </c>
      <c r="C2361" s="634"/>
      <c r="D2361" s="818"/>
      <c r="E2361" s="809"/>
      <c r="F2361" s="632" t="str">
        <f>IFERROR(VLOOKUP(E2361,STAT1!$C$4:$D$8000,2,FALSE),"")</f>
        <v/>
      </c>
      <c r="G2361" s="892"/>
      <c r="H2361" s="892"/>
      <c r="I2361" s="580">
        <f t="shared" si="216"/>
        <v>0</v>
      </c>
      <c r="J2361" s="961">
        <f t="shared" si="217"/>
        <v>0</v>
      </c>
      <c r="K2361" s="80"/>
      <c r="L2361" s="809"/>
      <c r="M2361" s="154" t="str">
        <f>+IFERROR(VLOOKUP(L2361,DATA!$G$4:$H$2000,2,FALSE),"")</f>
        <v/>
      </c>
      <c r="N2361" s="809"/>
      <c r="O2361" s="154" t="str">
        <f>IFERROR(VLOOKUP(N2361,DATA!$K$4:$L$51,2,FALSE),"")</f>
        <v/>
      </c>
    </row>
    <row r="2362" spans="2:15">
      <c r="B2362" s="628" t="str">
        <f t="shared" si="219"/>
        <v/>
      </c>
      <c r="C2362" s="634"/>
      <c r="D2362" s="817"/>
      <c r="E2362" s="809"/>
      <c r="F2362" s="632" t="str">
        <f>IFERROR(VLOOKUP(E2362,STAT1!$C$4:$D$8000,2,FALSE),"")</f>
        <v/>
      </c>
      <c r="G2362" s="892"/>
      <c r="H2362" s="892"/>
      <c r="I2362" s="580">
        <f t="shared" si="216"/>
        <v>0</v>
      </c>
      <c r="J2362" s="961">
        <f t="shared" si="217"/>
        <v>0</v>
      </c>
      <c r="K2362" s="80"/>
      <c r="L2362" s="809"/>
      <c r="M2362" s="154" t="str">
        <f>+IFERROR(VLOOKUP(L2362,DATA!$G$4:$H$2000,2,FALSE),"")</f>
        <v/>
      </c>
      <c r="N2362" s="809"/>
      <c r="O2362" s="154" t="str">
        <f>IFERROR(VLOOKUP(N2362,DATA!$K$4:$L$51,2,FALSE),"")</f>
        <v/>
      </c>
    </row>
    <row r="2363" spans="2:15">
      <c r="B2363" s="628" t="str">
        <f t="shared" si="219"/>
        <v/>
      </c>
      <c r="C2363" s="631"/>
      <c r="D2363" s="817"/>
      <c r="E2363" s="808"/>
      <c r="F2363" s="632" t="str">
        <f>IFERROR(VLOOKUP(E2363,STAT1!$C$4:$D$8000,2,FALSE),"")</f>
        <v/>
      </c>
      <c r="G2363" s="891"/>
      <c r="H2363" s="891"/>
      <c r="I2363" s="580">
        <f t="shared" si="216"/>
        <v>0</v>
      </c>
      <c r="J2363" s="961">
        <f t="shared" si="217"/>
        <v>0</v>
      </c>
      <c r="K2363" s="80"/>
      <c r="L2363" s="808"/>
      <c r="M2363" s="154" t="str">
        <f>+IFERROR(VLOOKUP(L2363,DATA!$G$4:$H$2000,2,FALSE),"")</f>
        <v/>
      </c>
      <c r="N2363" s="808"/>
      <c r="O2363" s="154" t="str">
        <f>IFERROR(VLOOKUP(N2363,DATA!$K$4:$L$51,2,FALSE),"")</f>
        <v/>
      </c>
    </row>
    <row r="2364" spans="2:15">
      <c r="B2364" s="628" t="str">
        <f t="shared" si="219"/>
        <v/>
      </c>
      <c r="C2364" s="631"/>
      <c r="D2364" s="817"/>
      <c r="E2364" s="808"/>
      <c r="F2364" s="632" t="str">
        <f>IFERROR(VLOOKUP(E2364,STAT1!$C$4:$D$8000,2,FALSE),"")</f>
        <v/>
      </c>
      <c r="G2364" s="891"/>
      <c r="H2364" s="891"/>
      <c r="I2364" s="580">
        <f t="shared" si="216"/>
        <v>0</v>
      </c>
      <c r="J2364" s="961">
        <f t="shared" si="217"/>
        <v>0</v>
      </c>
      <c r="K2364" s="80"/>
      <c r="L2364" s="808"/>
      <c r="M2364" s="154" t="str">
        <f>+IFERROR(VLOOKUP(L2364,DATA!$G$4:$H$2000,2,FALSE),"")</f>
        <v/>
      </c>
      <c r="N2364" s="808"/>
      <c r="O2364" s="154" t="str">
        <f>IFERROR(VLOOKUP(N2364,DATA!$K$4:$L$51,2,FALSE),"")</f>
        <v/>
      </c>
    </row>
    <row r="2365" spans="2:15">
      <c r="B2365" s="628" t="str">
        <f t="shared" si="219"/>
        <v/>
      </c>
      <c r="C2365" s="631"/>
      <c r="D2365" s="817"/>
      <c r="E2365" s="808"/>
      <c r="F2365" s="632" t="str">
        <f>IFERROR(VLOOKUP(E2365,STAT1!$C$4:$D$8000,2,FALSE),"")</f>
        <v/>
      </c>
      <c r="G2365" s="891"/>
      <c r="H2365" s="891"/>
      <c r="I2365" s="580">
        <f t="shared" si="216"/>
        <v>0</v>
      </c>
      <c r="J2365" s="961">
        <f t="shared" si="217"/>
        <v>0</v>
      </c>
      <c r="K2365" s="80"/>
      <c r="L2365" s="808"/>
      <c r="M2365" s="154" t="str">
        <f>+IFERROR(VLOOKUP(L2365,DATA!$G$4:$H$2000,2,FALSE),"")</f>
        <v/>
      </c>
      <c r="N2365" s="808"/>
      <c r="O2365" s="154" t="str">
        <f>IFERROR(VLOOKUP(N2365,DATA!$K$4:$L$51,2,FALSE),"")</f>
        <v/>
      </c>
    </row>
    <row r="2366" spans="2:15">
      <c r="B2366" s="628" t="str">
        <f t="shared" si="219"/>
        <v/>
      </c>
      <c r="C2366" s="631"/>
      <c r="D2366" s="817"/>
      <c r="E2366" s="808"/>
      <c r="F2366" s="632" t="str">
        <f>IFERROR(VLOOKUP(E2366,STAT1!$C$4:$D$8000,2,FALSE),"")</f>
        <v/>
      </c>
      <c r="G2366" s="891"/>
      <c r="H2366" s="891"/>
      <c r="I2366" s="580">
        <f t="shared" ref="I2366:I2429" si="220">+IF(OR(E2366=100100,E2366=100200,E2366=110100,E2366=110102,E2366=110103,E2366=110104,E2366=110105,E2366=110200,E2366=110201,E2366=110202,E2366=110203,E2366=110204,E2366=110300),G2366,0)+IF(OR(E2366=100100,E2366=100200,E2366=110100,E2366=110102,E2366=110103,E2366=110104,E2366=110105,E2366=110200,E2366=110201,E2366=110202,E2366=110203,E2366=110204,E2366=110300),H2366*-1,0)</f>
        <v>0</v>
      </c>
      <c r="J2366" s="961">
        <f t="shared" ref="J2366:J2429" si="221">+IF(E2366=110200,I2366/K2366,0)</f>
        <v>0</v>
      </c>
      <c r="K2366" s="80"/>
      <c r="L2366" s="808"/>
      <c r="M2366" s="154" t="str">
        <f>+IFERROR(VLOOKUP(L2366,DATA!$G$4:$H$2000,2,FALSE),"")</f>
        <v/>
      </c>
      <c r="N2366" s="808"/>
      <c r="O2366" s="154" t="str">
        <f>IFERROR(VLOOKUP(N2366,DATA!$K$4:$L$51,2,FALSE),"")</f>
        <v/>
      </c>
    </row>
    <row r="2367" spans="2:15">
      <c r="B2367" s="628" t="str">
        <f t="shared" si="219"/>
        <v/>
      </c>
      <c r="C2367" s="631"/>
      <c r="D2367" s="817"/>
      <c r="E2367" s="808"/>
      <c r="F2367" s="632" t="str">
        <f>IFERROR(VLOOKUP(E2367,STAT1!$C$4:$D$8000,2,FALSE),"")</f>
        <v/>
      </c>
      <c r="G2367" s="891"/>
      <c r="H2367" s="891"/>
      <c r="I2367" s="580">
        <f t="shared" si="220"/>
        <v>0</v>
      </c>
      <c r="J2367" s="961">
        <f t="shared" si="221"/>
        <v>0</v>
      </c>
      <c r="K2367" s="80"/>
      <c r="L2367" s="808"/>
      <c r="M2367" s="154" t="str">
        <f>+IFERROR(VLOOKUP(L2367,DATA!$G$4:$H$2000,2,FALSE),"")</f>
        <v/>
      </c>
      <c r="N2367" s="808"/>
      <c r="O2367" s="154" t="str">
        <f>IFERROR(VLOOKUP(N2367,DATA!$K$4:$L$51,2,FALSE),"")</f>
        <v/>
      </c>
    </row>
    <row r="2368" spans="2:15">
      <c r="B2368" s="628" t="str">
        <f t="shared" si="219"/>
        <v/>
      </c>
      <c r="C2368" s="631"/>
      <c r="D2368" s="817"/>
      <c r="E2368" s="808"/>
      <c r="F2368" s="632" t="str">
        <f>IFERROR(VLOOKUP(E2368,STAT1!$C$4:$D$8000,2,FALSE),"")</f>
        <v/>
      </c>
      <c r="G2368" s="891"/>
      <c r="H2368" s="891"/>
      <c r="I2368" s="580">
        <f t="shared" si="220"/>
        <v>0</v>
      </c>
      <c r="J2368" s="961">
        <f t="shared" si="221"/>
        <v>0</v>
      </c>
      <c r="K2368" s="80"/>
      <c r="L2368" s="808"/>
      <c r="M2368" s="154" t="str">
        <f>+IFERROR(VLOOKUP(L2368,DATA!$G$4:$H$2000,2,FALSE),"")</f>
        <v/>
      </c>
      <c r="N2368" s="808"/>
      <c r="O2368" s="154" t="str">
        <f>IFERROR(VLOOKUP(N2368,DATA!$K$4:$L$51,2,FALSE),"")</f>
        <v/>
      </c>
    </row>
    <row r="2369" spans="2:15">
      <c r="B2369" s="628" t="str">
        <f t="shared" si="219"/>
        <v/>
      </c>
      <c r="C2369" s="631"/>
      <c r="D2369" s="817"/>
      <c r="E2369" s="808"/>
      <c r="F2369" s="632" t="str">
        <f>IFERROR(VLOOKUP(E2369,STAT1!$C$4:$D$8000,2,FALSE),"")</f>
        <v/>
      </c>
      <c r="G2369" s="891"/>
      <c r="H2369" s="891"/>
      <c r="I2369" s="580">
        <f t="shared" si="220"/>
        <v>0</v>
      </c>
      <c r="J2369" s="961">
        <f t="shared" si="221"/>
        <v>0</v>
      </c>
      <c r="K2369" s="80"/>
      <c r="L2369" s="808"/>
      <c r="M2369" s="154" t="str">
        <f>+IFERROR(VLOOKUP(L2369,DATA!$G$4:$H$2000,2,FALSE),"")</f>
        <v/>
      </c>
      <c r="N2369" s="808"/>
      <c r="O2369" s="154" t="str">
        <f>IFERROR(VLOOKUP(N2369,DATA!$K$4:$L$51,2,FALSE),"")</f>
        <v/>
      </c>
    </row>
    <row r="2370" spans="2:15">
      <c r="B2370" s="628" t="str">
        <f t="shared" si="219"/>
        <v/>
      </c>
      <c r="C2370" s="631"/>
      <c r="D2370" s="817"/>
      <c r="E2370" s="808"/>
      <c r="F2370" s="632" t="str">
        <f>IFERROR(VLOOKUP(E2370,STAT1!$C$4:$D$8000,2,FALSE),"")</f>
        <v/>
      </c>
      <c r="G2370" s="891"/>
      <c r="H2370" s="891"/>
      <c r="I2370" s="580">
        <f t="shared" si="220"/>
        <v>0</v>
      </c>
      <c r="J2370" s="961">
        <f t="shared" si="221"/>
        <v>0</v>
      </c>
      <c r="K2370" s="80"/>
      <c r="L2370" s="808"/>
      <c r="M2370" s="154" t="str">
        <f>+IFERROR(VLOOKUP(L2370,DATA!$G$4:$H$2000,2,FALSE),"")</f>
        <v/>
      </c>
      <c r="N2370" s="808"/>
      <c r="O2370" s="154" t="str">
        <f>IFERROR(VLOOKUP(N2370,DATA!$K$4:$L$51,2,FALSE),"")</f>
        <v/>
      </c>
    </row>
    <row r="2371" spans="2:15">
      <c r="B2371" s="628" t="str">
        <f t="shared" si="219"/>
        <v/>
      </c>
      <c r="C2371" s="631"/>
      <c r="D2371" s="817"/>
      <c r="E2371" s="808"/>
      <c r="F2371" s="632" t="str">
        <f>IFERROR(VLOOKUP(E2371,STAT1!$C$4:$D$8000,2,FALSE),"")</f>
        <v/>
      </c>
      <c r="G2371" s="891"/>
      <c r="H2371" s="891"/>
      <c r="I2371" s="580">
        <f t="shared" si="220"/>
        <v>0</v>
      </c>
      <c r="J2371" s="961">
        <f t="shared" si="221"/>
        <v>0</v>
      </c>
      <c r="K2371" s="80"/>
      <c r="L2371" s="808"/>
      <c r="M2371" s="154" t="str">
        <f>+IFERROR(VLOOKUP(L2371,DATA!$G$4:$H$2000,2,FALSE),"")</f>
        <v/>
      </c>
      <c r="N2371" s="808"/>
      <c r="O2371" s="154" t="str">
        <f>IFERROR(VLOOKUP(N2371,DATA!$K$4:$L$51,2,FALSE),"")</f>
        <v/>
      </c>
    </row>
    <row r="2372" spans="2:15">
      <c r="B2372" s="628" t="str">
        <f t="shared" ref="B2372:B2435" si="222">+IF(C2372="","",ROW()-5)</f>
        <v/>
      </c>
      <c r="C2372" s="631"/>
      <c r="D2372" s="817"/>
      <c r="E2372" s="808"/>
      <c r="F2372" s="632" t="str">
        <f>IFERROR(VLOOKUP(E2372,STAT1!$C$4:$D$8000,2,FALSE),"")</f>
        <v/>
      </c>
      <c r="G2372" s="891"/>
      <c r="H2372" s="891"/>
      <c r="I2372" s="580">
        <f t="shared" si="220"/>
        <v>0</v>
      </c>
      <c r="J2372" s="961">
        <f t="shared" si="221"/>
        <v>0</v>
      </c>
      <c r="K2372" s="80"/>
      <c r="L2372" s="808"/>
      <c r="M2372" s="154" t="str">
        <f>+IFERROR(VLOOKUP(L2372,DATA!$G$4:$H$2000,2,FALSE),"")</f>
        <v/>
      </c>
      <c r="N2372" s="808"/>
      <c r="O2372" s="154" t="str">
        <f>IFERROR(VLOOKUP(N2372,DATA!$K$4:$L$51,2,FALSE),"")</f>
        <v/>
      </c>
    </row>
    <row r="2373" spans="2:15">
      <c r="B2373" s="628" t="str">
        <f t="shared" si="222"/>
        <v/>
      </c>
      <c r="C2373" s="631"/>
      <c r="D2373" s="818"/>
      <c r="E2373" s="808"/>
      <c r="F2373" s="632" t="str">
        <f>IFERROR(VLOOKUP(E2373,STAT1!$C$4:$D$8000,2,FALSE),"")</f>
        <v/>
      </c>
      <c r="G2373" s="891"/>
      <c r="H2373" s="891"/>
      <c r="I2373" s="580">
        <f t="shared" si="220"/>
        <v>0</v>
      </c>
      <c r="J2373" s="961">
        <f t="shared" si="221"/>
        <v>0</v>
      </c>
      <c r="K2373" s="80"/>
      <c r="L2373" s="808"/>
      <c r="M2373" s="154" t="str">
        <f>+IFERROR(VLOOKUP(L2373,DATA!$G$4:$H$2000,2,FALSE),"")</f>
        <v/>
      </c>
      <c r="N2373" s="808"/>
      <c r="O2373" s="154" t="str">
        <f>IFERROR(VLOOKUP(N2373,DATA!$K$4:$L$51,2,FALSE),"")</f>
        <v/>
      </c>
    </row>
    <row r="2374" spans="2:15">
      <c r="B2374" s="628" t="str">
        <f t="shared" si="222"/>
        <v/>
      </c>
      <c r="C2374" s="634"/>
      <c r="D2374" s="818"/>
      <c r="E2374" s="809"/>
      <c r="F2374" s="632" t="str">
        <f>IFERROR(VLOOKUP(E2374,STAT1!$C$4:$D$8000,2,FALSE),"")</f>
        <v/>
      </c>
      <c r="G2374" s="892"/>
      <c r="H2374" s="892"/>
      <c r="I2374" s="580">
        <f t="shared" si="220"/>
        <v>0</v>
      </c>
      <c r="J2374" s="961">
        <f t="shared" si="221"/>
        <v>0</v>
      </c>
      <c r="K2374" s="80"/>
      <c r="L2374" s="809"/>
      <c r="M2374" s="154" t="str">
        <f>+IFERROR(VLOOKUP(L2374,DATA!$G$4:$H$2000,2,FALSE),"")</f>
        <v/>
      </c>
      <c r="N2374" s="809"/>
      <c r="O2374" s="154" t="str">
        <f>IFERROR(VLOOKUP(N2374,DATA!$K$4:$L$51,2,FALSE),"")</f>
        <v/>
      </c>
    </row>
    <row r="2375" spans="2:15">
      <c r="B2375" s="628" t="str">
        <f t="shared" si="222"/>
        <v/>
      </c>
      <c r="C2375" s="634"/>
      <c r="D2375" s="818"/>
      <c r="E2375" s="809"/>
      <c r="F2375" s="632" t="str">
        <f>IFERROR(VLOOKUP(E2375,STAT1!$C$4:$D$8000,2,FALSE),"")</f>
        <v/>
      </c>
      <c r="G2375" s="892"/>
      <c r="H2375" s="892"/>
      <c r="I2375" s="580">
        <f t="shared" si="220"/>
        <v>0</v>
      </c>
      <c r="J2375" s="961">
        <f t="shared" si="221"/>
        <v>0</v>
      </c>
      <c r="K2375" s="80"/>
      <c r="L2375" s="809"/>
      <c r="M2375" s="154" t="str">
        <f>+IFERROR(VLOOKUP(L2375,DATA!$G$4:$H$2000,2,FALSE),"")</f>
        <v/>
      </c>
      <c r="N2375" s="809"/>
      <c r="O2375" s="154" t="str">
        <f>IFERROR(VLOOKUP(N2375,DATA!$K$4:$L$51,2,FALSE),"")</f>
        <v/>
      </c>
    </row>
    <row r="2376" spans="2:15">
      <c r="B2376" s="628" t="str">
        <f t="shared" si="222"/>
        <v/>
      </c>
      <c r="C2376" s="634"/>
      <c r="D2376" s="819"/>
      <c r="E2376" s="809"/>
      <c r="F2376" s="632" t="str">
        <f>IFERROR(VLOOKUP(E2376,STAT1!$C$4:$D$8000,2,FALSE),"")</f>
        <v/>
      </c>
      <c r="G2376" s="892"/>
      <c r="H2376" s="892"/>
      <c r="I2376" s="580">
        <f t="shared" si="220"/>
        <v>0</v>
      </c>
      <c r="J2376" s="961">
        <f t="shared" si="221"/>
        <v>0</v>
      </c>
      <c r="K2376" s="80"/>
      <c r="L2376" s="809"/>
      <c r="M2376" s="154" t="str">
        <f>+IFERROR(VLOOKUP(L2376,DATA!$G$4:$H$2000,2,FALSE),"")</f>
        <v/>
      </c>
      <c r="N2376" s="809"/>
      <c r="O2376" s="154" t="str">
        <f>IFERROR(VLOOKUP(N2376,DATA!$K$4:$L$51,2,FALSE),"")</f>
        <v/>
      </c>
    </row>
    <row r="2377" spans="2:15">
      <c r="B2377" s="628" t="str">
        <f t="shared" si="222"/>
        <v/>
      </c>
      <c r="C2377" s="635"/>
      <c r="D2377" s="819"/>
      <c r="E2377" s="633"/>
      <c r="F2377" s="632" t="str">
        <f>IFERROR(VLOOKUP(E2377,STAT1!$C$4:$D$8000,2,FALSE),"")</f>
        <v/>
      </c>
      <c r="G2377" s="893"/>
      <c r="H2377" s="893"/>
      <c r="I2377" s="580">
        <f t="shared" si="220"/>
        <v>0</v>
      </c>
      <c r="J2377" s="961">
        <f t="shared" si="221"/>
        <v>0</v>
      </c>
      <c r="K2377" s="80"/>
      <c r="L2377" s="633"/>
      <c r="M2377" s="154" t="str">
        <f>+IFERROR(VLOOKUP(L2377,DATA!$G$4:$H$2000,2,FALSE),"")</f>
        <v/>
      </c>
      <c r="N2377" s="633"/>
      <c r="O2377" s="154" t="str">
        <f>IFERROR(VLOOKUP(N2377,DATA!$K$4:$L$51,2,FALSE),"")</f>
        <v/>
      </c>
    </row>
    <row r="2378" spans="2:15">
      <c r="B2378" s="628" t="str">
        <f t="shared" si="222"/>
        <v/>
      </c>
      <c r="C2378" s="635"/>
      <c r="D2378" s="819"/>
      <c r="E2378" s="633"/>
      <c r="F2378" s="632" t="str">
        <f>IFERROR(VLOOKUP(E2378,STAT1!$C$4:$D$8000,2,FALSE),"")</f>
        <v/>
      </c>
      <c r="G2378" s="893"/>
      <c r="H2378" s="893"/>
      <c r="I2378" s="580">
        <f t="shared" si="220"/>
        <v>0</v>
      </c>
      <c r="J2378" s="961">
        <f t="shared" si="221"/>
        <v>0</v>
      </c>
      <c r="K2378" s="80"/>
      <c r="L2378" s="633"/>
      <c r="M2378" s="154" t="str">
        <f>+IFERROR(VLOOKUP(L2378,DATA!$G$4:$H$2000,2,FALSE),"")</f>
        <v/>
      </c>
      <c r="N2378" s="633"/>
      <c r="O2378" s="154" t="str">
        <f>IFERROR(VLOOKUP(N2378,DATA!$K$4:$L$51,2,FALSE),"")</f>
        <v/>
      </c>
    </row>
    <row r="2379" spans="2:15">
      <c r="B2379" s="628" t="str">
        <f t="shared" si="222"/>
        <v/>
      </c>
      <c r="C2379" s="635"/>
      <c r="D2379" s="819"/>
      <c r="E2379" s="633"/>
      <c r="F2379" s="632" t="str">
        <f>IFERROR(VLOOKUP(E2379,STAT1!$C$4:$D$8000,2,FALSE),"")</f>
        <v/>
      </c>
      <c r="G2379" s="893"/>
      <c r="H2379" s="893"/>
      <c r="I2379" s="580">
        <f t="shared" si="220"/>
        <v>0</v>
      </c>
      <c r="J2379" s="961">
        <f t="shared" si="221"/>
        <v>0</v>
      </c>
      <c r="K2379" s="80"/>
      <c r="L2379" s="633"/>
      <c r="M2379" s="154" t="str">
        <f>+IFERROR(VLOOKUP(L2379,DATA!$G$4:$H$2000,2,FALSE),"")</f>
        <v/>
      </c>
      <c r="N2379" s="633"/>
      <c r="O2379" s="154" t="str">
        <f>IFERROR(VLOOKUP(N2379,DATA!$K$4:$L$51,2,FALSE),"")</f>
        <v/>
      </c>
    </row>
    <row r="2380" spans="2:15">
      <c r="B2380" s="628" t="str">
        <f t="shared" si="222"/>
        <v/>
      </c>
      <c r="C2380" s="635"/>
      <c r="D2380" s="819"/>
      <c r="E2380" s="633"/>
      <c r="F2380" s="632" t="str">
        <f>IFERROR(VLOOKUP(E2380,STAT1!$C$4:$D$8000,2,FALSE),"")</f>
        <v/>
      </c>
      <c r="G2380" s="893"/>
      <c r="H2380" s="893"/>
      <c r="I2380" s="580">
        <f t="shared" si="220"/>
        <v>0</v>
      </c>
      <c r="J2380" s="961">
        <f t="shared" si="221"/>
        <v>0</v>
      </c>
      <c r="K2380" s="80"/>
      <c r="L2380" s="633"/>
      <c r="M2380" s="154" t="str">
        <f>+IFERROR(VLOOKUP(L2380,DATA!$G$4:$H$2000,2,FALSE),"")</f>
        <v/>
      </c>
      <c r="N2380" s="633"/>
      <c r="O2380" s="154" t="str">
        <f>IFERROR(VLOOKUP(N2380,DATA!$K$4:$L$51,2,FALSE),"")</f>
        <v/>
      </c>
    </row>
    <row r="2381" spans="2:15">
      <c r="B2381" s="628" t="str">
        <f t="shared" si="222"/>
        <v/>
      </c>
      <c r="C2381" s="635"/>
      <c r="D2381" s="819"/>
      <c r="E2381" s="633"/>
      <c r="F2381" s="632" t="str">
        <f>IFERROR(VLOOKUP(E2381,STAT1!$C$4:$D$8000,2,FALSE),"")</f>
        <v/>
      </c>
      <c r="G2381" s="893"/>
      <c r="H2381" s="893"/>
      <c r="I2381" s="580">
        <f t="shared" si="220"/>
        <v>0</v>
      </c>
      <c r="J2381" s="961">
        <f t="shared" si="221"/>
        <v>0</v>
      </c>
      <c r="K2381" s="80"/>
      <c r="L2381" s="633"/>
      <c r="M2381" s="154" t="str">
        <f>+IFERROR(VLOOKUP(L2381,DATA!$G$4:$H$2000,2,FALSE),"")</f>
        <v/>
      </c>
      <c r="N2381" s="633"/>
      <c r="O2381" s="154" t="str">
        <f>IFERROR(VLOOKUP(N2381,DATA!$K$4:$L$51,2,FALSE),"")</f>
        <v/>
      </c>
    </row>
    <row r="2382" spans="2:15">
      <c r="B2382" s="628" t="str">
        <f t="shared" si="222"/>
        <v/>
      </c>
      <c r="C2382" s="635"/>
      <c r="D2382" s="819"/>
      <c r="E2382" s="633"/>
      <c r="F2382" s="632" t="str">
        <f>IFERROR(VLOOKUP(E2382,STAT1!$C$4:$D$8000,2,FALSE),"")</f>
        <v/>
      </c>
      <c r="G2382" s="893"/>
      <c r="H2382" s="893"/>
      <c r="I2382" s="580">
        <f t="shared" si="220"/>
        <v>0</v>
      </c>
      <c r="J2382" s="961">
        <f t="shared" si="221"/>
        <v>0</v>
      </c>
      <c r="K2382" s="80"/>
      <c r="L2382" s="633"/>
      <c r="M2382" s="154" t="str">
        <f>+IFERROR(VLOOKUP(L2382,DATA!$G$4:$H$2000,2,FALSE),"")</f>
        <v/>
      </c>
      <c r="N2382" s="633"/>
      <c r="O2382" s="154" t="str">
        <f>IFERROR(VLOOKUP(N2382,DATA!$K$4:$L$51,2,FALSE),"")</f>
        <v/>
      </c>
    </row>
    <row r="2383" spans="2:15">
      <c r="B2383" s="628" t="str">
        <f t="shared" si="222"/>
        <v/>
      </c>
      <c r="C2383" s="635"/>
      <c r="D2383" s="819"/>
      <c r="E2383" s="633"/>
      <c r="F2383" s="632" t="str">
        <f>IFERROR(VLOOKUP(E2383,STAT1!$C$4:$D$8000,2,FALSE),"")</f>
        <v/>
      </c>
      <c r="G2383" s="893"/>
      <c r="H2383" s="893"/>
      <c r="I2383" s="580">
        <f t="shared" si="220"/>
        <v>0</v>
      </c>
      <c r="J2383" s="961">
        <f t="shared" si="221"/>
        <v>0</v>
      </c>
      <c r="K2383" s="80"/>
      <c r="L2383" s="633"/>
      <c r="M2383" s="154" t="str">
        <f>+IFERROR(VLOOKUP(L2383,DATA!$G$4:$H$2000,2,FALSE),"")</f>
        <v/>
      </c>
      <c r="N2383" s="633"/>
      <c r="O2383" s="154" t="str">
        <f>IFERROR(VLOOKUP(N2383,DATA!$K$4:$L$51,2,FALSE),"")</f>
        <v/>
      </c>
    </row>
    <row r="2384" spans="2:15">
      <c r="B2384" s="628" t="str">
        <f t="shared" si="222"/>
        <v/>
      </c>
      <c r="C2384" s="635"/>
      <c r="D2384" s="819"/>
      <c r="E2384" s="633"/>
      <c r="F2384" s="632" t="str">
        <f>IFERROR(VLOOKUP(E2384,STAT1!$C$4:$D$8000,2,FALSE),"")</f>
        <v/>
      </c>
      <c r="G2384" s="893"/>
      <c r="H2384" s="893"/>
      <c r="I2384" s="580">
        <f t="shared" si="220"/>
        <v>0</v>
      </c>
      <c r="J2384" s="961">
        <f t="shared" si="221"/>
        <v>0</v>
      </c>
      <c r="K2384" s="80"/>
      <c r="L2384" s="633"/>
      <c r="M2384" s="154" t="str">
        <f>+IFERROR(VLOOKUP(L2384,DATA!$G$4:$H$2000,2,FALSE),"")</f>
        <v/>
      </c>
      <c r="N2384" s="633"/>
      <c r="O2384" s="154" t="str">
        <f>IFERROR(VLOOKUP(N2384,DATA!$K$4:$L$51,2,FALSE),"")</f>
        <v/>
      </c>
    </row>
    <row r="2385" spans="2:15">
      <c r="B2385" s="628" t="str">
        <f t="shared" si="222"/>
        <v/>
      </c>
      <c r="C2385" s="635"/>
      <c r="D2385" s="819"/>
      <c r="E2385" s="633"/>
      <c r="F2385" s="632" t="str">
        <f>IFERROR(VLOOKUP(E2385,STAT1!$C$4:$D$8000,2,FALSE),"")</f>
        <v/>
      </c>
      <c r="G2385" s="893"/>
      <c r="H2385" s="893"/>
      <c r="I2385" s="580">
        <f t="shared" si="220"/>
        <v>0</v>
      </c>
      <c r="J2385" s="961">
        <f t="shared" si="221"/>
        <v>0</v>
      </c>
      <c r="K2385" s="80"/>
      <c r="L2385" s="633"/>
      <c r="M2385" s="154" t="str">
        <f>+IFERROR(VLOOKUP(L2385,DATA!$G$4:$H$2000,2,FALSE),"")</f>
        <v/>
      </c>
      <c r="N2385" s="633"/>
      <c r="O2385" s="154" t="str">
        <f>IFERROR(VLOOKUP(N2385,DATA!$K$4:$L$51,2,FALSE),"")</f>
        <v/>
      </c>
    </row>
    <row r="2386" spans="2:15">
      <c r="B2386" s="628" t="str">
        <f t="shared" si="222"/>
        <v/>
      </c>
      <c r="C2386" s="635"/>
      <c r="D2386" s="819"/>
      <c r="E2386" s="633"/>
      <c r="F2386" s="632" t="str">
        <f>IFERROR(VLOOKUP(E2386,STAT1!$C$4:$D$8000,2,FALSE),"")</f>
        <v/>
      </c>
      <c r="G2386" s="893"/>
      <c r="H2386" s="893"/>
      <c r="I2386" s="580">
        <f t="shared" si="220"/>
        <v>0</v>
      </c>
      <c r="J2386" s="961">
        <f t="shared" si="221"/>
        <v>0</v>
      </c>
      <c r="K2386" s="80"/>
      <c r="L2386" s="633"/>
      <c r="M2386" s="154" t="str">
        <f>+IFERROR(VLOOKUP(L2386,DATA!$G$4:$H$2000,2,FALSE),"")</f>
        <v/>
      </c>
      <c r="N2386" s="633"/>
      <c r="O2386" s="154" t="str">
        <f>IFERROR(VLOOKUP(N2386,DATA!$K$4:$L$51,2,FALSE),"")</f>
        <v/>
      </c>
    </row>
    <row r="2387" spans="2:15">
      <c r="B2387" s="628" t="str">
        <f t="shared" si="222"/>
        <v/>
      </c>
      <c r="C2387" s="635"/>
      <c r="D2387" s="819"/>
      <c r="E2387" s="633"/>
      <c r="F2387" s="632" t="str">
        <f>IFERROR(VLOOKUP(E2387,STAT1!$C$4:$D$8000,2,FALSE),"")</f>
        <v/>
      </c>
      <c r="G2387" s="893"/>
      <c r="H2387" s="893"/>
      <c r="I2387" s="580">
        <f t="shared" si="220"/>
        <v>0</v>
      </c>
      <c r="J2387" s="961">
        <f t="shared" si="221"/>
        <v>0</v>
      </c>
      <c r="K2387" s="80"/>
      <c r="L2387" s="633"/>
      <c r="M2387" s="154" t="str">
        <f>+IFERROR(VLOOKUP(L2387,DATA!$G$4:$H$2000,2,FALSE),"")</f>
        <v/>
      </c>
      <c r="N2387" s="633"/>
      <c r="O2387" s="154" t="str">
        <f>IFERROR(VLOOKUP(N2387,DATA!$K$4:$L$51,2,FALSE),"")</f>
        <v/>
      </c>
    </row>
    <row r="2388" spans="2:15">
      <c r="B2388" s="628" t="str">
        <f t="shared" si="222"/>
        <v/>
      </c>
      <c r="C2388" s="635"/>
      <c r="D2388" s="819"/>
      <c r="E2388" s="633"/>
      <c r="F2388" s="632" t="str">
        <f>IFERROR(VLOOKUP(E2388,STAT1!$C$4:$D$8000,2,FALSE),"")</f>
        <v/>
      </c>
      <c r="G2388" s="893"/>
      <c r="H2388" s="893"/>
      <c r="I2388" s="580">
        <f t="shared" si="220"/>
        <v>0</v>
      </c>
      <c r="J2388" s="961">
        <f t="shared" si="221"/>
        <v>0</v>
      </c>
      <c r="K2388" s="80"/>
      <c r="L2388" s="633"/>
      <c r="M2388" s="154" t="str">
        <f>+IFERROR(VLOOKUP(L2388,DATA!$G$4:$H$2000,2,FALSE),"")</f>
        <v/>
      </c>
      <c r="N2388" s="633"/>
      <c r="O2388" s="154" t="str">
        <f>IFERROR(VLOOKUP(N2388,DATA!$K$4:$L$51,2,FALSE),"")</f>
        <v/>
      </c>
    </row>
    <row r="2389" spans="2:15">
      <c r="B2389" s="628" t="str">
        <f t="shared" si="222"/>
        <v/>
      </c>
      <c r="C2389" s="635"/>
      <c r="D2389" s="819"/>
      <c r="E2389" s="633"/>
      <c r="F2389" s="632" t="str">
        <f>IFERROR(VLOOKUP(E2389,STAT1!$C$4:$D$8000,2,FALSE),"")</f>
        <v/>
      </c>
      <c r="G2389" s="893"/>
      <c r="H2389" s="893"/>
      <c r="I2389" s="580">
        <f t="shared" si="220"/>
        <v>0</v>
      </c>
      <c r="J2389" s="961">
        <f t="shared" si="221"/>
        <v>0</v>
      </c>
      <c r="K2389" s="80"/>
      <c r="L2389" s="633"/>
      <c r="M2389" s="154" t="str">
        <f>+IFERROR(VLOOKUP(L2389,DATA!$G$4:$H$2000,2,FALSE),"")</f>
        <v/>
      </c>
      <c r="N2389" s="633"/>
      <c r="O2389" s="154" t="str">
        <f>IFERROR(VLOOKUP(N2389,DATA!$K$4:$L$51,2,FALSE),"")</f>
        <v/>
      </c>
    </row>
    <row r="2390" spans="2:15">
      <c r="B2390" s="628" t="str">
        <f t="shared" si="222"/>
        <v/>
      </c>
      <c r="C2390" s="635"/>
      <c r="D2390" s="819"/>
      <c r="E2390" s="633"/>
      <c r="F2390" s="632" t="str">
        <f>IFERROR(VLOOKUP(E2390,STAT1!$C$4:$D$8000,2,FALSE),"")</f>
        <v/>
      </c>
      <c r="G2390" s="893"/>
      <c r="H2390" s="893"/>
      <c r="I2390" s="580">
        <f t="shared" si="220"/>
        <v>0</v>
      </c>
      <c r="J2390" s="961">
        <f t="shared" si="221"/>
        <v>0</v>
      </c>
      <c r="K2390" s="80"/>
      <c r="L2390" s="633"/>
      <c r="M2390" s="154" t="str">
        <f>+IFERROR(VLOOKUP(L2390,DATA!$G$4:$H$2000,2,FALSE),"")</f>
        <v/>
      </c>
      <c r="N2390" s="633"/>
      <c r="O2390" s="154" t="str">
        <f>IFERROR(VLOOKUP(N2390,DATA!$K$4:$L$51,2,FALSE),"")</f>
        <v/>
      </c>
    </row>
    <row r="2391" spans="2:15">
      <c r="B2391" s="628" t="str">
        <f t="shared" si="222"/>
        <v/>
      </c>
      <c r="C2391" s="635"/>
      <c r="D2391" s="817"/>
      <c r="E2391" s="633"/>
      <c r="F2391" s="632" t="str">
        <f>IFERROR(VLOOKUP(E2391,STAT1!$C$4:$D$8000,2,FALSE),"")</f>
        <v/>
      </c>
      <c r="G2391" s="893"/>
      <c r="H2391" s="893"/>
      <c r="I2391" s="580">
        <f t="shared" si="220"/>
        <v>0</v>
      </c>
      <c r="J2391" s="961">
        <f t="shared" si="221"/>
        <v>0</v>
      </c>
      <c r="K2391" s="80"/>
      <c r="L2391" s="633"/>
      <c r="M2391" s="154" t="str">
        <f>+IFERROR(VLOOKUP(L2391,DATA!$G$4:$H$2000,2,FALSE),"")</f>
        <v/>
      </c>
      <c r="N2391" s="633"/>
      <c r="O2391" s="154" t="str">
        <f>IFERROR(VLOOKUP(N2391,DATA!$K$4:$L$51,2,FALSE),"")</f>
        <v/>
      </c>
    </row>
    <row r="2392" spans="2:15">
      <c r="B2392" s="628" t="str">
        <f t="shared" si="222"/>
        <v/>
      </c>
      <c r="C2392" s="631"/>
      <c r="D2392" s="817"/>
      <c r="E2392" s="808"/>
      <c r="F2392" s="632" t="str">
        <f>IFERROR(VLOOKUP(E2392,STAT1!$C$4:$D$8000,2,FALSE),"")</f>
        <v/>
      </c>
      <c r="G2392" s="891"/>
      <c r="H2392" s="891"/>
      <c r="I2392" s="580">
        <f t="shared" si="220"/>
        <v>0</v>
      </c>
      <c r="J2392" s="961">
        <f t="shared" si="221"/>
        <v>0</v>
      </c>
      <c r="K2392" s="80"/>
      <c r="L2392" s="808"/>
      <c r="M2392" s="154" t="str">
        <f>+IFERROR(VLOOKUP(L2392,DATA!$G$4:$H$2000,2,FALSE),"")</f>
        <v/>
      </c>
      <c r="N2392" s="808"/>
      <c r="O2392" s="154" t="str">
        <f>IFERROR(VLOOKUP(N2392,DATA!$K$4:$L$51,2,FALSE),"")</f>
        <v/>
      </c>
    </row>
    <row r="2393" spans="2:15">
      <c r="B2393" s="628" t="str">
        <f t="shared" si="222"/>
        <v/>
      </c>
      <c r="C2393" s="631"/>
      <c r="D2393" s="817"/>
      <c r="E2393" s="808"/>
      <c r="F2393" s="632" t="str">
        <f>IFERROR(VLOOKUP(E2393,STAT1!$C$4:$D$8000,2,FALSE),"")</f>
        <v/>
      </c>
      <c r="G2393" s="891"/>
      <c r="H2393" s="891"/>
      <c r="I2393" s="580">
        <f t="shared" si="220"/>
        <v>0</v>
      </c>
      <c r="J2393" s="961">
        <f t="shared" si="221"/>
        <v>0</v>
      </c>
      <c r="K2393" s="80"/>
      <c r="L2393" s="808"/>
      <c r="M2393" s="154" t="str">
        <f>+IFERROR(VLOOKUP(L2393,DATA!$G$4:$H$2000,2,FALSE),"")</f>
        <v/>
      </c>
      <c r="N2393" s="808"/>
      <c r="O2393" s="154" t="str">
        <f>IFERROR(VLOOKUP(N2393,DATA!$K$4:$L$51,2,FALSE),"")</f>
        <v/>
      </c>
    </row>
    <row r="2394" spans="2:15">
      <c r="B2394" s="628" t="str">
        <f t="shared" si="222"/>
        <v/>
      </c>
      <c r="C2394" s="631"/>
      <c r="D2394" s="817"/>
      <c r="E2394" s="808"/>
      <c r="F2394" s="632" t="str">
        <f>IFERROR(VLOOKUP(E2394,STAT1!$C$4:$D$8000,2,FALSE),"")</f>
        <v/>
      </c>
      <c r="G2394" s="891"/>
      <c r="H2394" s="891"/>
      <c r="I2394" s="580">
        <f t="shared" si="220"/>
        <v>0</v>
      </c>
      <c r="J2394" s="961">
        <f t="shared" si="221"/>
        <v>0</v>
      </c>
      <c r="K2394" s="80"/>
      <c r="L2394" s="808"/>
      <c r="M2394" s="154" t="str">
        <f>+IFERROR(VLOOKUP(L2394,DATA!$G$4:$H$2000,2,FALSE),"")</f>
        <v/>
      </c>
      <c r="N2394" s="808"/>
      <c r="O2394" s="154" t="str">
        <f>IFERROR(VLOOKUP(N2394,DATA!$K$4:$L$51,2,FALSE),"")</f>
        <v/>
      </c>
    </row>
    <row r="2395" spans="2:15">
      <c r="B2395" s="628" t="str">
        <f t="shared" si="222"/>
        <v/>
      </c>
      <c r="C2395" s="631"/>
      <c r="D2395" s="817"/>
      <c r="E2395" s="808"/>
      <c r="F2395" s="632" t="str">
        <f>IFERROR(VLOOKUP(E2395,STAT1!$C$4:$D$8000,2,FALSE),"")</f>
        <v/>
      </c>
      <c r="G2395" s="891"/>
      <c r="H2395" s="891"/>
      <c r="I2395" s="580">
        <f t="shared" si="220"/>
        <v>0</v>
      </c>
      <c r="J2395" s="961">
        <f t="shared" si="221"/>
        <v>0</v>
      </c>
      <c r="K2395" s="80"/>
      <c r="L2395" s="808"/>
      <c r="M2395" s="154" t="str">
        <f>+IFERROR(VLOOKUP(L2395,DATA!$G$4:$H$2000,2,FALSE),"")</f>
        <v/>
      </c>
      <c r="N2395" s="808"/>
      <c r="O2395" s="154" t="str">
        <f>IFERROR(VLOOKUP(N2395,DATA!$K$4:$L$51,2,FALSE),"")</f>
        <v/>
      </c>
    </row>
    <row r="2396" spans="2:15">
      <c r="B2396" s="628" t="str">
        <f t="shared" si="222"/>
        <v/>
      </c>
      <c r="C2396" s="631"/>
      <c r="D2396" s="817"/>
      <c r="E2396" s="808"/>
      <c r="F2396" s="632" t="str">
        <f>IFERROR(VLOOKUP(E2396,STAT1!$C$4:$D$8000,2,FALSE),"")</f>
        <v/>
      </c>
      <c r="G2396" s="891"/>
      <c r="H2396" s="891"/>
      <c r="I2396" s="580">
        <f t="shared" si="220"/>
        <v>0</v>
      </c>
      <c r="J2396" s="961">
        <f t="shared" si="221"/>
        <v>0</v>
      </c>
      <c r="K2396" s="80"/>
      <c r="L2396" s="808"/>
      <c r="M2396" s="154" t="str">
        <f>+IFERROR(VLOOKUP(L2396,DATA!$G$4:$H$2000,2,FALSE),"")</f>
        <v/>
      </c>
      <c r="N2396" s="808"/>
      <c r="O2396" s="154" t="str">
        <f>IFERROR(VLOOKUP(N2396,DATA!$K$4:$L$51,2,FALSE),"")</f>
        <v/>
      </c>
    </row>
    <row r="2397" spans="2:15">
      <c r="B2397" s="628" t="str">
        <f t="shared" si="222"/>
        <v/>
      </c>
      <c r="C2397" s="631"/>
      <c r="D2397" s="817"/>
      <c r="E2397" s="808"/>
      <c r="F2397" s="632" t="str">
        <f>IFERROR(VLOOKUP(E2397,STAT1!$C$4:$D$8000,2,FALSE),"")</f>
        <v/>
      </c>
      <c r="G2397" s="891"/>
      <c r="H2397" s="891"/>
      <c r="I2397" s="580">
        <f t="shared" si="220"/>
        <v>0</v>
      </c>
      <c r="J2397" s="961">
        <f t="shared" si="221"/>
        <v>0</v>
      </c>
      <c r="K2397" s="80"/>
      <c r="L2397" s="808"/>
      <c r="M2397" s="154" t="str">
        <f>+IFERROR(VLOOKUP(L2397,DATA!$G$4:$H$2000,2,FALSE),"")</f>
        <v/>
      </c>
      <c r="N2397" s="808"/>
      <c r="O2397" s="154" t="str">
        <f>IFERROR(VLOOKUP(N2397,DATA!$K$4:$L$51,2,FALSE),"")</f>
        <v/>
      </c>
    </row>
    <row r="2398" spans="2:15">
      <c r="B2398" s="628" t="str">
        <f t="shared" si="222"/>
        <v/>
      </c>
      <c r="C2398" s="631"/>
      <c r="D2398" s="818"/>
      <c r="E2398" s="808"/>
      <c r="F2398" s="632" t="str">
        <f>IFERROR(VLOOKUP(E2398,STAT1!$C$4:$D$8000,2,FALSE),"")</f>
        <v/>
      </c>
      <c r="G2398" s="891"/>
      <c r="H2398" s="891"/>
      <c r="I2398" s="580">
        <f t="shared" si="220"/>
        <v>0</v>
      </c>
      <c r="J2398" s="961">
        <f t="shared" si="221"/>
        <v>0</v>
      </c>
      <c r="K2398" s="80"/>
      <c r="L2398" s="808"/>
      <c r="M2398" s="154" t="str">
        <f>+IFERROR(VLOOKUP(L2398,DATA!$G$4:$H$2000,2,FALSE),"")</f>
        <v/>
      </c>
      <c r="N2398" s="808"/>
      <c r="O2398" s="154" t="str">
        <f>IFERROR(VLOOKUP(N2398,DATA!$K$4:$L$51,2,FALSE),"")</f>
        <v/>
      </c>
    </row>
    <row r="2399" spans="2:15">
      <c r="B2399" s="628" t="str">
        <f t="shared" si="222"/>
        <v/>
      </c>
      <c r="C2399" s="634"/>
      <c r="D2399" s="818"/>
      <c r="E2399" s="809"/>
      <c r="F2399" s="632" t="str">
        <f>IFERROR(VLOOKUP(E2399,STAT1!$C$4:$D$8000,2,FALSE),"")</f>
        <v/>
      </c>
      <c r="G2399" s="892"/>
      <c r="H2399" s="892"/>
      <c r="I2399" s="580">
        <f t="shared" si="220"/>
        <v>0</v>
      </c>
      <c r="J2399" s="961">
        <f t="shared" si="221"/>
        <v>0</v>
      </c>
      <c r="K2399" s="80"/>
      <c r="L2399" s="809"/>
      <c r="M2399" s="154" t="str">
        <f>+IFERROR(VLOOKUP(L2399,DATA!$G$4:$H$2000,2,FALSE),"")</f>
        <v/>
      </c>
      <c r="N2399" s="809"/>
      <c r="O2399" s="154" t="str">
        <f>IFERROR(VLOOKUP(N2399,DATA!$K$4:$L$51,2,FALSE),"")</f>
        <v/>
      </c>
    </row>
    <row r="2400" spans="2:15">
      <c r="B2400" s="628" t="str">
        <f t="shared" si="222"/>
        <v/>
      </c>
      <c r="C2400" s="634"/>
      <c r="D2400" s="817"/>
      <c r="E2400" s="809"/>
      <c r="F2400" s="632" t="str">
        <f>IFERROR(VLOOKUP(E2400,STAT1!$C$4:$D$8000,2,FALSE),"")</f>
        <v/>
      </c>
      <c r="G2400" s="892"/>
      <c r="H2400" s="892"/>
      <c r="I2400" s="580">
        <f t="shared" si="220"/>
        <v>0</v>
      </c>
      <c r="J2400" s="961">
        <f t="shared" si="221"/>
        <v>0</v>
      </c>
      <c r="K2400" s="80"/>
      <c r="L2400" s="809"/>
      <c r="M2400" s="154" t="str">
        <f>+IFERROR(VLOOKUP(L2400,DATA!$G$4:$H$2000,2,FALSE),"")</f>
        <v/>
      </c>
      <c r="N2400" s="809"/>
      <c r="O2400" s="154" t="str">
        <f>IFERROR(VLOOKUP(N2400,DATA!$K$4:$L$51,2,FALSE),"")</f>
        <v/>
      </c>
    </row>
    <row r="2401" spans="2:15">
      <c r="B2401" s="628" t="str">
        <f t="shared" si="222"/>
        <v/>
      </c>
      <c r="C2401" s="631"/>
      <c r="D2401" s="817"/>
      <c r="E2401" s="808"/>
      <c r="F2401" s="632" t="str">
        <f>IFERROR(VLOOKUP(E2401,STAT1!$C$4:$D$8000,2,FALSE),"")</f>
        <v/>
      </c>
      <c r="G2401" s="891"/>
      <c r="H2401" s="891"/>
      <c r="I2401" s="580">
        <f t="shared" si="220"/>
        <v>0</v>
      </c>
      <c r="J2401" s="961">
        <f t="shared" si="221"/>
        <v>0</v>
      </c>
      <c r="K2401" s="80"/>
      <c r="L2401" s="808"/>
      <c r="M2401" s="154" t="str">
        <f>+IFERROR(VLOOKUP(L2401,DATA!$G$4:$H$2000,2,FALSE),"")</f>
        <v/>
      </c>
      <c r="N2401" s="808"/>
      <c r="O2401" s="154" t="str">
        <f>IFERROR(VLOOKUP(N2401,DATA!$K$4:$L$51,2,FALSE),"")</f>
        <v/>
      </c>
    </row>
    <row r="2402" spans="2:15">
      <c r="B2402" s="628" t="str">
        <f t="shared" si="222"/>
        <v/>
      </c>
      <c r="C2402" s="631"/>
      <c r="D2402" s="817"/>
      <c r="E2402" s="808"/>
      <c r="F2402" s="632" t="str">
        <f>IFERROR(VLOOKUP(E2402,STAT1!$C$4:$D$8000,2,FALSE),"")</f>
        <v/>
      </c>
      <c r="G2402" s="891"/>
      <c r="H2402" s="891"/>
      <c r="I2402" s="580">
        <f t="shared" si="220"/>
        <v>0</v>
      </c>
      <c r="J2402" s="961">
        <f t="shared" si="221"/>
        <v>0</v>
      </c>
      <c r="K2402" s="80"/>
      <c r="L2402" s="808"/>
      <c r="M2402" s="154" t="str">
        <f>+IFERROR(VLOOKUP(L2402,DATA!$G$4:$H$2000,2,FALSE),"")</f>
        <v/>
      </c>
      <c r="N2402" s="808"/>
      <c r="O2402" s="154" t="str">
        <f>IFERROR(VLOOKUP(N2402,DATA!$K$4:$L$51,2,FALSE),"")</f>
        <v/>
      </c>
    </row>
    <row r="2403" spans="2:15">
      <c r="B2403" s="628" t="str">
        <f t="shared" si="222"/>
        <v/>
      </c>
      <c r="C2403" s="631"/>
      <c r="D2403" s="819"/>
      <c r="E2403" s="808"/>
      <c r="F2403" s="632" t="str">
        <f>IFERROR(VLOOKUP(E2403,STAT1!$C$4:$D$8000,2,FALSE),"")</f>
        <v/>
      </c>
      <c r="G2403" s="891"/>
      <c r="H2403" s="891"/>
      <c r="I2403" s="580">
        <f t="shared" si="220"/>
        <v>0</v>
      </c>
      <c r="J2403" s="961">
        <f t="shared" si="221"/>
        <v>0</v>
      </c>
      <c r="K2403" s="80"/>
      <c r="L2403" s="808"/>
      <c r="M2403" s="154" t="str">
        <f>+IFERROR(VLOOKUP(L2403,DATA!$G$4:$H$2000,2,FALSE),"")</f>
        <v/>
      </c>
      <c r="N2403" s="808"/>
      <c r="O2403" s="154" t="str">
        <f>IFERROR(VLOOKUP(N2403,DATA!$K$4:$L$51,2,FALSE),"")</f>
        <v/>
      </c>
    </row>
    <row r="2404" spans="2:15">
      <c r="B2404" s="628" t="str">
        <f t="shared" si="222"/>
        <v/>
      </c>
      <c r="C2404" s="635"/>
      <c r="D2404" s="819"/>
      <c r="E2404" s="633"/>
      <c r="F2404" s="632" t="str">
        <f>IFERROR(VLOOKUP(E2404,STAT1!$C$4:$D$8000,2,FALSE),"")</f>
        <v/>
      </c>
      <c r="G2404" s="893"/>
      <c r="H2404" s="893"/>
      <c r="I2404" s="580">
        <f t="shared" si="220"/>
        <v>0</v>
      </c>
      <c r="J2404" s="961">
        <f t="shared" si="221"/>
        <v>0</v>
      </c>
      <c r="K2404" s="80"/>
      <c r="L2404" s="633"/>
      <c r="M2404" s="154" t="str">
        <f>+IFERROR(VLOOKUP(L2404,DATA!$G$4:$H$2000,2,FALSE),"")</f>
        <v/>
      </c>
      <c r="N2404" s="633"/>
      <c r="O2404" s="154" t="str">
        <f>IFERROR(VLOOKUP(N2404,DATA!$K$4:$L$51,2,FALSE),"")</f>
        <v/>
      </c>
    </row>
    <row r="2405" spans="2:15">
      <c r="B2405" s="628" t="str">
        <f t="shared" si="222"/>
        <v/>
      </c>
      <c r="C2405" s="635"/>
      <c r="D2405" s="819"/>
      <c r="E2405" s="633"/>
      <c r="F2405" s="632" t="str">
        <f>IFERROR(VLOOKUP(E2405,STAT1!$C$4:$D$8000,2,FALSE),"")</f>
        <v/>
      </c>
      <c r="G2405" s="893"/>
      <c r="H2405" s="893"/>
      <c r="I2405" s="580">
        <f t="shared" si="220"/>
        <v>0</v>
      </c>
      <c r="J2405" s="961">
        <f t="shared" si="221"/>
        <v>0</v>
      </c>
      <c r="K2405" s="80"/>
      <c r="L2405" s="633"/>
      <c r="M2405" s="154" t="str">
        <f>+IFERROR(VLOOKUP(L2405,DATA!$G$4:$H$2000,2,FALSE),"")</f>
        <v/>
      </c>
      <c r="N2405" s="633"/>
      <c r="O2405" s="154" t="str">
        <f>IFERROR(VLOOKUP(N2405,DATA!$K$4:$L$51,2,FALSE),"")</f>
        <v/>
      </c>
    </row>
    <row r="2406" spans="2:15">
      <c r="B2406" s="628" t="str">
        <f t="shared" si="222"/>
        <v/>
      </c>
      <c r="C2406" s="635"/>
      <c r="D2406" s="819"/>
      <c r="E2406" s="633"/>
      <c r="F2406" s="632" t="str">
        <f>IFERROR(VLOOKUP(E2406,STAT1!$C$4:$D$8000,2,FALSE),"")</f>
        <v/>
      </c>
      <c r="G2406" s="893"/>
      <c r="H2406" s="893"/>
      <c r="I2406" s="580">
        <f t="shared" si="220"/>
        <v>0</v>
      </c>
      <c r="J2406" s="961">
        <f t="shared" si="221"/>
        <v>0</v>
      </c>
      <c r="K2406" s="80"/>
      <c r="L2406" s="633"/>
      <c r="M2406" s="154" t="str">
        <f>+IFERROR(VLOOKUP(L2406,DATA!$G$4:$H$2000,2,FALSE),"")</f>
        <v/>
      </c>
      <c r="N2406" s="633"/>
      <c r="O2406" s="154" t="str">
        <f>IFERROR(VLOOKUP(N2406,DATA!$K$4:$L$51,2,FALSE),"")</f>
        <v/>
      </c>
    </row>
    <row r="2407" spans="2:15">
      <c r="B2407" s="628" t="str">
        <f t="shared" si="222"/>
        <v/>
      </c>
      <c r="C2407" s="635"/>
      <c r="D2407" s="819"/>
      <c r="E2407" s="633"/>
      <c r="F2407" s="632" t="str">
        <f>IFERROR(VLOOKUP(E2407,STAT1!$C$4:$D$8000,2,FALSE),"")</f>
        <v/>
      </c>
      <c r="G2407" s="893"/>
      <c r="H2407" s="893"/>
      <c r="I2407" s="580">
        <f t="shared" si="220"/>
        <v>0</v>
      </c>
      <c r="J2407" s="961">
        <f t="shared" si="221"/>
        <v>0</v>
      </c>
      <c r="K2407" s="80"/>
      <c r="L2407" s="633"/>
      <c r="M2407" s="154" t="str">
        <f>+IFERROR(VLOOKUP(L2407,DATA!$G$4:$H$2000,2,FALSE),"")</f>
        <v/>
      </c>
      <c r="N2407" s="633"/>
      <c r="O2407" s="154" t="str">
        <f>IFERROR(VLOOKUP(N2407,DATA!$K$4:$L$51,2,FALSE),"")</f>
        <v/>
      </c>
    </row>
    <row r="2408" spans="2:15">
      <c r="B2408" s="628" t="str">
        <f t="shared" si="222"/>
        <v/>
      </c>
      <c r="C2408" s="635"/>
      <c r="D2408" s="819"/>
      <c r="E2408" s="633"/>
      <c r="F2408" s="632" t="str">
        <f>IFERROR(VLOOKUP(E2408,STAT1!$C$4:$D$8000,2,FALSE),"")</f>
        <v/>
      </c>
      <c r="G2408" s="893"/>
      <c r="H2408" s="893"/>
      <c r="I2408" s="580">
        <f t="shared" si="220"/>
        <v>0</v>
      </c>
      <c r="J2408" s="961">
        <f t="shared" si="221"/>
        <v>0</v>
      </c>
      <c r="K2408" s="80"/>
      <c r="L2408" s="633"/>
      <c r="M2408" s="154" t="str">
        <f>+IFERROR(VLOOKUP(L2408,DATA!$G$4:$H$2000,2,FALSE),"")</f>
        <v/>
      </c>
      <c r="N2408" s="633"/>
      <c r="O2408" s="154" t="str">
        <f>IFERROR(VLOOKUP(N2408,DATA!$K$4:$L$51,2,FALSE),"")</f>
        <v/>
      </c>
    </row>
    <row r="2409" spans="2:15">
      <c r="B2409" s="628" t="str">
        <f t="shared" si="222"/>
        <v/>
      </c>
      <c r="C2409" s="635"/>
      <c r="D2409" s="819"/>
      <c r="E2409" s="633"/>
      <c r="F2409" s="632" t="str">
        <f>IFERROR(VLOOKUP(E2409,STAT1!$C$4:$D$8000,2,FALSE),"")</f>
        <v/>
      </c>
      <c r="G2409" s="893"/>
      <c r="H2409" s="893"/>
      <c r="I2409" s="580">
        <f t="shared" si="220"/>
        <v>0</v>
      </c>
      <c r="J2409" s="961">
        <f t="shared" si="221"/>
        <v>0</v>
      </c>
      <c r="K2409" s="80"/>
      <c r="L2409" s="633"/>
      <c r="M2409" s="154" t="str">
        <f>+IFERROR(VLOOKUP(L2409,DATA!$G$4:$H$2000,2,FALSE),"")</f>
        <v/>
      </c>
      <c r="N2409" s="633"/>
      <c r="O2409" s="154" t="str">
        <f>IFERROR(VLOOKUP(N2409,DATA!$K$4:$L$51,2,FALSE),"")</f>
        <v/>
      </c>
    </row>
    <row r="2410" spans="2:15">
      <c r="B2410" s="628" t="str">
        <f t="shared" si="222"/>
        <v/>
      </c>
      <c r="C2410" s="635"/>
      <c r="D2410" s="819"/>
      <c r="E2410" s="633"/>
      <c r="F2410" s="632" t="str">
        <f>IFERROR(VLOOKUP(E2410,STAT1!$C$4:$D$8000,2,FALSE),"")</f>
        <v/>
      </c>
      <c r="G2410" s="893"/>
      <c r="H2410" s="893"/>
      <c r="I2410" s="580">
        <f t="shared" si="220"/>
        <v>0</v>
      </c>
      <c r="J2410" s="961">
        <f t="shared" si="221"/>
        <v>0</v>
      </c>
      <c r="K2410" s="80"/>
      <c r="L2410" s="633"/>
      <c r="M2410" s="154" t="str">
        <f>+IFERROR(VLOOKUP(L2410,DATA!$G$4:$H$2000,2,FALSE),"")</f>
        <v/>
      </c>
      <c r="N2410" s="633"/>
      <c r="O2410" s="154" t="str">
        <f>IFERROR(VLOOKUP(N2410,DATA!$K$4:$L$51,2,FALSE),"")</f>
        <v/>
      </c>
    </row>
    <row r="2411" spans="2:15">
      <c r="B2411" s="628" t="str">
        <f t="shared" si="222"/>
        <v/>
      </c>
      <c r="C2411" s="635"/>
      <c r="D2411" s="819"/>
      <c r="E2411" s="633"/>
      <c r="F2411" s="632" t="str">
        <f>IFERROR(VLOOKUP(E2411,STAT1!$C$4:$D$8000,2,FALSE),"")</f>
        <v/>
      </c>
      <c r="G2411" s="893"/>
      <c r="H2411" s="893"/>
      <c r="I2411" s="580">
        <f t="shared" si="220"/>
        <v>0</v>
      </c>
      <c r="J2411" s="961">
        <f t="shared" si="221"/>
        <v>0</v>
      </c>
      <c r="K2411" s="80"/>
      <c r="L2411" s="633"/>
      <c r="M2411" s="154" t="str">
        <f>+IFERROR(VLOOKUP(L2411,DATA!$G$4:$H$2000,2,FALSE),"")</f>
        <v/>
      </c>
      <c r="N2411" s="633"/>
      <c r="O2411" s="154" t="str">
        <f>IFERROR(VLOOKUP(N2411,DATA!$K$4:$L$51,2,FALSE),"")</f>
        <v/>
      </c>
    </row>
    <row r="2412" spans="2:15">
      <c r="B2412" s="628" t="str">
        <f t="shared" si="222"/>
        <v/>
      </c>
      <c r="C2412" s="635"/>
      <c r="D2412" s="819"/>
      <c r="E2412" s="633"/>
      <c r="F2412" s="632" t="str">
        <f>IFERROR(VLOOKUP(E2412,STAT1!$C$4:$D$8000,2,FALSE),"")</f>
        <v/>
      </c>
      <c r="G2412" s="893"/>
      <c r="H2412" s="893"/>
      <c r="I2412" s="580">
        <f t="shared" si="220"/>
        <v>0</v>
      </c>
      <c r="J2412" s="961">
        <f t="shared" si="221"/>
        <v>0</v>
      </c>
      <c r="K2412" s="80"/>
      <c r="L2412" s="633"/>
      <c r="M2412" s="154" t="str">
        <f>+IFERROR(VLOOKUP(L2412,DATA!$G$4:$H$2000,2,FALSE),"")</f>
        <v/>
      </c>
      <c r="N2412" s="633"/>
      <c r="O2412" s="154" t="str">
        <f>IFERROR(VLOOKUP(N2412,DATA!$K$4:$L$51,2,FALSE),"")</f>
        <v/>
      </c>
    </row>
    <row r="2413" spans="2:15">
      <c r="B2413" s="628" t="str">
        <f t="shared" si="222"/>
        <v/>
      </c>
      <c r="C2413" s="635"/>
      <c r="D2413" s="817"/>
      <c r="E2413" s="633"/>
      <c r="F2413" s="632" t="str">
        <f>IFERROR(VLOOKUP(E2413,STAT1!$C$4:$D$8000,2,FALSE),"")</f>
        <v/>
      </c>
      <c r="G2413" s="893"/>
      <c r="H2413" s="893"/>
      <c r="I2413" s="580">
        <f t="shared" si="220"/>
        <v>0</v>
      </c>
      <c r="J2413" s="961">
        <f t="shared" si="221"/>
        <v>0</v>
      </c>
      <c r="K2413" s="80"/>
      <c r="L2413" s="633"/>
      <c r="M2413" s="154" t="str">
        <f>+IFERROR(VLOOKUP(L2413,DATA!$G$4:$H$2000,2,FALSE),"")</f>
        <v/>
      </c>
      <c r="N2413" s="633"/>
      <c r="O2413" s="154" t="str">
        <f>IFERROR(VLOOKUP(N2413,DATA!$K$4:$L$51,2,FALSE),"")</f>
        <v/>
      </c>
    </row>
    <row r="2414" spans="2:15">
      <c r="B2414" s="628" t="str">
        <f t="shared" si="222"/>
        <v/>
      </c>
      <c r="C2414" s="631"/>
      <c r="D2414" s="817"/>
      <c r="E2414" s="808"/>
      <c r="F2414" s="632" t="str">
        <f>IFERROR(VLOOKUP(E2414,STAT1!$C$4:$D$8000,2,FALSE),"")</f>
        <v/>
      </c>
      <c r="G2414" s="891"/>
      <c r="H2414" s="891"/>
      <c r="I2414" s="580">
        <f t="shared" si="220"/>
        <v>0</v>
      </c>
      <c r="J2414" s="961">
        <f t="shared" si="221"/>
        <v>0</v>
      </c>
      <c r="K2414" s="80"/>
      <c r="L2414" s="808"/>
      <c r="M2414" s="154" t="str">
        <f>+IFERROR(VLOOKUP(L2414,DATA!$G$4:$H$2000,2,FALSE),"")</f>
        <v/>
      </c>
      <c r="N2414" s="808"/>
      <c r="O2414" s="154" t="str">
        <f>IFERROR(VLOOKUP(N2414,DATA!$K$4:$L$51,2,FALSE),"")</f>
        <v/>
      </c>
    </row>
    <row r="2415" spans="2:15">
      <c r="B2415" s="628" t="str">
        <f t="shared" si="222"/>
        <v/>
      </c>
      <c r="C2415" s="631"/>
      <c r="D2415" s="817"/>
      <c r="E2415" s="808"/>
      <c r="F2415" s="632" t="str">
        <f>IFERROR(VLOOKUP(E2415,STAT1!$C$4:$D$8000,2,FALSE),"")</f>
        <v/>
      </c>
      <c r="G2415" s="891"/>
      <c r="H2415" s="891"/>
      <c r="I2415" s="580">
        <f t="shared" si="220"/>
        <v>0</v>
      </c>
      <c r="J2415" s="961">
        <f t="shared" si="221"/>
        <v>0</v>
      </c>
      <c r="K2415" s="80"/>
      <c r="L2415" s="808"/>
      <c r="M2415" s="154" t="str">
        <f>+IFERROR(VLOOKUP(L2415,DATA!$G$4:$H$2000,2,FALSE),"")</f>
        <v/>
      </c>
      <c r="N2415" s="808"/>
      <c r="O2415" s="154" t="str">
        <f>IFERROR(VLOOKUP(N2415,DATA!$K$4:$L$51,2,FALSE),"")</f>
        <v/>
      </c>
    </row>
    <row r="2416" spans="2:15">
      <c r="B2416" s="628" t="str">
        <f t="shared" si="222"/>
        <v/>
      </c>
      <c r="C2416" s="631"/>
      <c r="D2416" s="817"/>
      <c r="E2416" s="808"/>
      <c r="F2416" s="632" t="str">
        <f>IFERROR(VLOOKUP(E2416,STAT1!$C$4:$D$8000,2,FALSE),"")</f>
        <v/>
      </c>
      <c r="G2416" s="891"/>
      <c r="H2416" s="891"/>
      <c r="I2416" s="580">
        <f t="shared" si="220"/>
        <v>0</v>
      </c>
      <c r="J2416" s="961">
        <f t="shared" si="221"/>
        <v>0</v>
      </c>
      <c r="K2416" s="80"/>
      <c r="L2416" s="808"/>
      <c r="M2416" s="154" t="str">
        <f>+IFERROR(VLOOKUP(L2416,DATA!$G$4:$H$2000,2,FALSE),"")</f>
        <v/>
      </c>
      <c r="N2416" s="808"/>
      <c r="O2416" s="154" t="str">
        <f>IFERROR(VLOOKUP(N2416,DATA!$K$4:$L$51,2,FALSE),"")</f>
        <v/>
      </c>
    </row>
    <row r="2417" spans="2:15">
      <c r="B2417" s="628" t="str">
        <f t="shared" si="222"/>
        <v/>
      </c>
      <c r="C2417" s="631"/>
      <c r="D2417" s="817"/>
      <c r="E2417" s="808"/>
      <c r="F2417" s="632" t="str">
        <f>IFERROR(VLOOKUP(E2417,STAT1!$C$4:$D$8000,2,FALSE),"")</f>
        <v/>
      </c>
      <c r="G2417" s="891"/>
      <c r="H2417" s="891"/>
      <c r="I2417" s="580">
        <f t="shared" si="220"/>
        <v>0</v>
      </c>
      <c r="J2417" s="961">
        <f t="shared" si="221"/>
        <v>0</v>
      </c>
      <c r="K2417" s="80"/>
      <c r="L2417" s="808"/>
      <c r="M2417" s="154" t="str">
        <f>+IFERROR(VLOOKUP(L2417,DATA!$G$4:$H$2000,2,FALSE),"")</f>
        <v/>
      </c>
      <c r="N2417" s="808"/>
      <c r="O2417" s="154" t="str">
        <f>IFERROR(VLOOKUP(N2417,DATA!$K$4:$L$51,2,FALSE),"")</f>
        <v/>
      </c>
    </row>
    <row r="2418" spans="2:15">
      <c r="B2418" s="628" t="str">
        <f t="shared" si="222"/>
        <v/>
      </c>
      <c r="C2418" s="631"/>
      <c r="D2418" s="817"/>
      <c r="E2418" s="808"/>
      <c r="F2418" s="632" t="str">
        <f>IFERROR(VLOOKUP(E2418,STAT1!$C$4:$D$8000,2,FALSE),"")</f>
        <v/>
      </c>
      <c r="G2418" s="891"/>
      <c r="H2418" s="891"/>
      <c r="I2418" s="580">
        <f t="shared" si="220"/>
        <v>0</v>
      </c>
      <c r="J2418" s="961">
        <f t="shared" si="221"/>
        <v>0</v>
      </c>
      <c r="K2418" s="80"/>
      <c r="L2418" s="808"/>
      <c r="M2418" s="154" t="str">
        <f>+IFERROR(VLOOKUP(L2418,DATA!$G$4:$H$2000,2,FALSE),"")</f>
        <v/>
      </c>
      <c r="N2418" s="808"/>
      <c r="O2418" s="154" t="str">
        <f>IFERROR(VLOOKUP(N2418,DATA!$K$4:$L$51,2,FALSE),"")</f>
        <v/>
      </c>
    </row>
    <row r="2419" spans="2:15">
      <c r="B2419" s="628" t="str">
        <f t="shared" si="222"/>
        <v/>
      </c>
      <c r="C2419" s="631"/>
      <c r="D2419" s="817"/>
      <c r="E2419" s="808"/>
      <c r="F2419" s="632" t="str">
        <f>IFERROR(VLOOKUP(E2419,STAT1!$C$4:$D$8000,2,FALSE),"")</f>
        <v/>
      </c>
      <c r="G2419" s="891"/>
      <c r="H2419" s="891"/>
      <c r="I2419" s="580">
        <f t="shared" si="220"/>
        <v>0</v>
      </c>
      <c r="J2419" s="961">
        <f t="shared" si="221"/>
        <v>0</v>
      </c>
      <c r="K2419" s="80"/>
      <c r="L2419" s="808"/>
      <c r="M2419" s="154" t="str">
        <f>+IFERROR(VLOOKUP(L2419,DATA!$G$4:$H$2000,2,FALSE),"")</f>
        <v/>
      </c>
      <c r="N2419" s="808"/>
      <c r="O2419" s="154" t="str">
        <f>IFERROR(VLOOKUP(N2419,DATA!$K$4:$L$51,2,FALSE),"")</f>
        <v/>
      </c>
    </row>
    <row r="2420" spans="2:15">
      <c r="B2420" s="628" t="str">
        <f t="shared" si="222"/>
        <v/>
      </c>
      <c r="C2420" s="631"/>
      <c r="D2420" s="817"/>
      <c r="E2420" s="808"/>
      <c r="F2420" s="632" t="str">
        <f>IFERROR(VLOOKUP(E2420,STAT1!$C$4:$D$8000,2,FALSE),"")</f>
        <v/>
      </c>
      <c r="G2420" s="891"/>
      <c r="H2420" s="891"/>
      <c r="I2420" s="580">
        <f t="shared" si="220"/>
        <v>0</v>
      </c>
      <c r="J2420" s="961">
        <f t="shared" si="221"/>
        <v>0</v>
      </c>
      <c r="K2420" s="80"/>
      <c r="L2420" s="808"/>
      <c r="M2420" s="154" t="str">
        <f>+IFERROR(VLOOKUP(L2420,DATA!$G$4:$H$2000,2,FALSE),"")</f>
        <v/>
      </c>
      <c r="N2420" s="808"/>
      <c r="O2420" s="154" t="str">
        <f>IFERROR(VLOOKUP(N2420,DATA!$K$4:$L$51,2,FALSE),"")</f>
        <v/>
      </c>
    </row>
    <row r="2421" spans="2:15">
      <c r="B2421" s="628" t="str">
        <f t="shared" si="222"/>
        <v/>
      </c>
      <c r="C2421" s="631"/>
      <c r="D2421" s="817"/>
      <c r="E2421" s="808"/>
      <c r="F2421" s="632" t="str">
        <f>IFERROR(VLOOKUP(E2421,STAT1!$C$4:$D$8000,2,FALSE),"")</f>
        <v/>
      </c>
      <c r="G2421" s="891"/>
      <c r="H2421" s="891"/>
      <c r="I2421" s="580">
        <f t="shared" si="220"/>
        <v>0</v>
      </c>
      <c r="J2421" s="961">
        <f t="shared" si="221"/>
        <v>0</v>
      </c>
      <c r="K2421" s="80"/>
      <c r="L2421" s="808"/>
      <c r="M2421" s="154" t="str">
        <f>+IFERROR(VLOOKUP(L2421,DATA!$G$4:$H$2000,2,FALSE),"")</f>
        <v/>
      </c>
      <c r="N2421" s="808"/>
      <c r="O2421" s="154" t="str">
        <f>IFERROR(VLOOKUP(N2421,DATA!$K$4:$L$51,2,FALSE),"")</f>
        <v/>
      </c>
    </row>
    <row r="2422" spans="2:15">
      <c r="B2422" s="628" t="str">
        <f t="shared" si="222"/>
        <v/>
      </c>
      <c r="C2422" s="631"/>
      <c r="D2422" s="817"/>
      <c r="E2422" s="808"/>
      <c r="F2422" s="632" t="str">
        <f>IFERROR(VLOOKUP(E2422,STAT1!$C$4:$D$8000,2,FALSE),"")</f>
        <v/>
      </c>
      <c r="G2422" s="891"/>
      <c r="H2422" s="891"/>
      <c r="I2422" s="580">
        <f t="shared" si="220"/>
        <v>0</v>
      </c>
      <c r="J2422" s="961">
        <f t="shared" si="221"/>
        <v>0</v>
      </c>
      <c r="K2422" s="80"/>
      <c r="L2422" s="808"/>
      <c r="M2422" s="154" t="str">
        <f>+IFERROR(VLOOKUP(L2422,DATA!$G$4:$H$2000,2,FALSE),"")</f>
        <v/>
      </c>
      <c r="N2422" s="808"/>
      <c r="O2422" s="154" t="str">
        <f>IFERROR(VLOOKUP(N2422,DATA!$K$4:$L$51,2,FALSE),"")</f>
        <v/>
      </c>
    </row>
    <row r="2423" spans="2:15">
      <c r="B2423" s="628" t="str">
        <f t="shared" si="222"/>
        <v/>
      </c>
      <c r="C2423" s="631"/>
      <c r="D2423" s="818"/>
      <c r="E2423" s="808"/>
      <c r="F2423" s="632" t="str">
        <f>IFERROR(VLOOKUP(E2423,STAT1!$C$4:$D$8000,2,FALSE),"")</f>
        <v/>
      </c>
      <c r="G2423" s="891"/>
      <c r="H2423" s="891"/>
      <c r="I2423" s="580">
        <f t="shared" si="220"/>
        <v>0</v>
      </c>
      <c r="J2423" s="961">
        <f t="shared" si="221"/>
        <v>0</v>
      </c>
      <c r="K2423" s="80"/>
      <c r="L2423" s="808"/>
      <c r="M2423" s="154" t="str">
        <f>+IFERROR(VLOOKUP(L2423,DATA!$G$4:$H$2000,2,FALSE),"")</f>
        <v/>
      </c>
      <c r="N2423" s="808"/>
      <c r="O2423" s="154" t="str">
        <f>IFERROR(VLOOKUP(N2423,DATA!$K$4:$L$51,2,FALSE),"")</f>
        <v/>
      </c>
    </row>
    <row r="2424" spans="2:15">
      <c r="B2424" s="628" t="str">
        <f t="shared" si="222"/>
        <v/>
      </c>
      <c r="C2424" s="634"/>
      <c r="D2424" s="818"/>
      <c r="E2424" s="809"/>
      <c r="F2424" s="632" t="str">
        <f>IFERROR(VLOOKUP(E2424,STAT1!$C$4:$D$8000,2,FALSE),"")</f>
        <v/>
      </c>
      <c r="G2424" s="892"/>
      <c r="H2424" s="892"/>
      <c r="I2424" s="580">
        <f t="shared" si="220"/>
        <v>0</v>
      </c>
      <c r="J2424" s="961">
        <f t="shared" si="221"/>
        <v>0</v>
      </c>
      <c r="K2424" s="80"/>
      <c r="L2424" s="809"/>
      <c r="M2424" s="154" t="str">
        <f>+IFERROR(VLOOKUP(L2424,DATA!$G$4:$H$2000,2,FALSE),"")</f>
        <v/>
      </c>
      <c r="N2424" s="809"/>
      <c r="O2424" s="154" t="str">
        <f>IFERROR(VLOOKUP(N2424,DATA!$K$4:$L$51,2,FALSE),"")</f>
        <v/>
      </c>
    </row>
    <row r="2425" spans="2:15">
      <c r="B2425" s="628" t="str">
        <f t="shared" si="222"/>
        <v/>
      </c>
      <c r="C2425" s="634"/>
      <c r="D2425" s="817"/>
      <c r="E2425" s="809"/>
      <c r="F2425" s="632" t="str">
        <f>IFERROR(VLOOKUP(E2425,STAT1!$C$4:$D$8000,2,FALSE),"")</f>
        <v/>
      </c>
      <c r="G2425" s="892"/>
      <c r="H2425" s="892"/>
      <c r="I2425" s="580">
        <f t="shared" si="220"/>
        <v>0</v>
      </c>
      <c r="J2425" s="961">
        <f t="shared" si="221"/>
        <v>0</v>
      </c>
      <c r="K2425" s="80"/>
      <c r="L2425" s="809"/>
      <c r="M2425" s="154" t="str">
        <f>+IFERROR(VLOOKUP(L2425,DATA!$G$4:$H$2000,2,FALSE),"")</f>
        <v/>
      </c>
      <c r="N2425" s="809"/>
      <c r="O2425" s="154" t="str">
        <f>IFERROR(VLOOKUP(N2425,DATA!$K$4:$L$51,2,FALSE),"")</f>
        <v/>
      </c>
    </row>
    <row r="2426" spans="2:15">
      <c r="B2426" s="628" t="str">
        <f t="shared" si="222"/>
        <v/>
      </c>
      <c r="C2426" s="631"/>
      <c r="D2426" s="817"/>
      <c r="E2426" s="808"/>
      <c r="F2426" s="632" t="str">
        <f>IFERROR(VLOOKUP(E2426,STAT1!$C$4:$D$8000,2,FALSE),"")</f>
        <v/>
      </c>
      <c r="G2426" s="891"/>
      <c r="H2426" s="891"/>
      <c r="I2426" s="580">
        <f t="shared" si="220"/>
        <v>0</v>
      </c>
      <c r="J2426" s="961">
        <f t="shared" si="221"/>
        <v>0</v>
      </c>
      <c r="K2426" s="80"/>
      <c r="L2426" s="808"/>
      <c r="M2426" s="154" t="str">
        <f>+IFERROR(VLOOKUP(L2426,DATA!$G$4:$H$2000,2,FALSE),"")</f>
        <v/>
      </c>
      <c r="N2426" s="808"/>
      <c r="O2426" s="154" t="str">
        <f>IFERROR(VLOOKUP(N2426,DATA!$K$4:$L$51,2,FALSE),"")</f>
        <v/>
      </c>
    </row>
    <row r="2427" spans="2:15">
      <c r="B2427" s="628" t="str">
        <f t="shared" si="222"/>
        <v/>
      </c>
      <c r="C2427" s="631"/>
      <c r="D2427" s="817"/>
      <c r="E2427" s="808"/>
      <c r="F2427" s="632" t="str">
        <f>IFERROR(VLOOKUP(E2427,STAT1!$C$4:$D$8000,2,FALSE),"")</f>
        <v/>
      </c>
      <c r="G2427" s="891"/>
      <c r="H2427" s="891"/>
      <c r="I2427" s="580">
        <f t="shared" si="220"/>
        <v>0</v>
      </c>
      <c r="J2427" s="961">
        <f t="shared" si="221"/>
        <v>0</v>
      </c>
      <c r="K2427" s="80"/>
      <c r="L2427" s="808"/>
      <c r="M2427" s="154" t="str">
        <f>+IFERROR(VLOOKUP(L2427,DATA!$G$4:$H$2000,2,FALSE),"")</f>
        <v/>
      </c>
      <c r="N2427" s="808"/>
      <c r="O2427" s="154" t="str">
        <f>IFERROR(VLOOKUP(N2427,DATA!$K$4:$L$51,2,FALSE),"")</f>
        <v/>
      </c>
    </row>
    <row r="2428" spans="2:15">
      <c r="B2428" s="628" t="str">
        <f t="shared" si="222"/>
        <v/>
      </c>
      <c r="C2428" s="631"/>
      <c r="D2428" s="817"/>
      <c r="E2428" s="808"/>
      <c r="F2428" s="632" t="str">
        <f>IFERROR(VLOOKUP(E2428,STAT1!$C$4:$D$8000,2,FALSE),"")</f>
        <v/>
      </c>
      <c r="G2428" s="891"/>
      <c r="H2428" s="891"/>
      <c r="I2428" s="580">
        <f t="shared" si="220"/>
        <v>0</v>
      </c>
      <c r="J2428" s="961">
        <f t="shared" si="221"/>
        <v>0</v>
      </c>
      <c r="K2428" s="80"/>
      <c r="L2428" s="808"/>
      <c r="M2428" s="154" t="str">
        <f>+IFERROR(VLOOKUP(L2428,DATA!$G$4:$H$2000,2,FALSE),"")</f>
        <v/>
      </c>
      <c r="N2428" s="808"/>
      <c r="O2428" s="154" t="str">
        <f>IFERROR(VLOOKUP(N2428,DATA!$K$4:$L$51,2,FALSE),"")</f>
        <v/>
      </c>
    </row>
    <row r="2429" spans="2:15">
      <c r="B2429" s="628" t="str">
        <f t="shared" si="222"/>
        <v/>
      </c>
      <c r="C2429" s="631"/>
      <c r="D2429" s="817"/>
      <c r="E2429" s="808"/>
      <c r="F2429" s="632" t="str">
        <f>IFERROR(VLOOKUP(E2429,STAT1!$C$4:$D$8000,2,FALSE),"")</f>
        <v/>
      </c>
      <c r="G2429" s="891"/>
      <c r="H2429" s="891"/>
      <c r="I2429" s="580">
        <f t="shared" si="220"/>
        <v>0</v>
      </c>
      <c r="J2429" s="961">
        <f t="shared" si="221"/>
        <v>0</v>
      </c>
      <c r="K2429" s="80"/>
      <c r="L2429" s="808"/>
      <c r="M2429" s="154" t="str">
        <f>+IFERROR(VLOOKUP(L2429,DATA!$G$4:$H$2000,2,FALSE),"")</f>
        <v/>
      </c>
      <c r="N2429" s="808"/>
      <c r="O2429" s="154" t="str">
        <f>IFERROR(VLOOKUP(N2429,DATA!$K$4:$L$51,2,FALSE),"")</f>
        <v/>
      </c>
    </row>
    <row r="2430" spans="2:15">
      <c r="B2430" s="628" t="str">
        <f t="shared" si="222"/>
        <v/>
      </c>
      <c r="C2430" s="631"/>
      <c r="D2430" s="817"/>
      <c r="E2430" s="808"/>
      <c r="F2430" s="632" t="str">
        <f>IFERROR(VLOOKUP(E2430,STAT1!$C$4:$D$8000,2,FALSE),"")</f>
        <v/>
      </c>
      <c r="G2430" s="891"/>
      <c r="H2430" s="891"/>
      <c r="I2430" s="580">
        <f t="shared" ref="I2430:I2493" si="223">+IF(OR(E2430=100100,E2430=100200,E2430=110100,E2430=110102,E2430=110103,E2430=110104,E2430=110105,E2430=110200,E2430=110201,E2430=110202,E2430=110203,E2430=110204,E2430=110300),G2430,0)+IF(OR(E2430=100100,E2430=100200,E2430=110100,E2430=110102,E2430=110103,E2430=110104,E2430=110105,E2430=110200,E2430=110201,E2430=110202,E2430=110203,E2430=110204,E2430=110300),H2430*-1,0)</f>
        <v>0</v>
      </c>
      <c r="J2430" s="961">
        <f t="shared" ref="J2430:J2493" si="224">+IF(E2430=110200,I2430/K2430,0)</f>
        <v>0</v>
      </c>
      <c r="K2430" s="80"/>
      <c r="L2430" s="808"/>
      <c r="M2430" s="154" t="str">
        <f>+IFERROR(VLOOKUP(L2430,DATA!$G$4:$H$2000,2,FALSE),"")</f>
        <v/>
      </c>
      <c r="N2430" s="808"/>
      <c r="O2430" s="154" t="str">
        <f>IFERROR(VLOOKUP(N2430,DATA!$K$4:$L$51,2,FALSE),"")</f>
        <v/>
      </c>
    </row>
    <row r="2431" spans="2:15">
      <c r="B2431" s="628" t="str">
        <f t="shared" si="222"/>
        <v/>
      </c>
      <c r="C2431" s="631"/>
      <c r="D2431" s="817"/>
      <c r="E2431" s="808"/>
      <c r="F2431" s="632" t="str">
        <f>IFERROR(VLOOKUP(E2431,STAT1!$C$4:$D$8000,2,FALSE),"")</f>
        <v/>
      </c>
      <c r="G2431" s="891"/>
      <c r="H2431" s="891"/>
      <c r="I2431" s="580">
        <f t="shared" si="223"/>
        <v>0</v>
      </c>
      <c r="J2431" s="961">
        <f t="shared" si="224"/>
        <v>0</v>
      </c>
      <c r="K2431" s="80"/>
      <c r="L2431" s="808"/>
      <c r="M2431" s="154" t="str">
        <f>+IFERROR(VLOOKUP(L2431,DATA!$G$4:$H$2000,2,FALSE),"")</f>
        <v/>
      </c>
      <c r="N2431" s="808"/>
      <c r="O2431" s="154" t="str">
        <f>IFERROR(VLOOKUP(N2431,DATA!$K$4:$L$51,2,FALSE),"")</f>
        <v/>
      </c>
    </row>
    <row r="2432" spans="2:15">
      <c r="B2432" s="628" t="str">
        <f t="shared" si="222"/>
        <v/>
      </c>
      <c r="C2432" s="631"/>
      <c r="D2432" s="817"/>
      <c r="E2432" s="808"/>
      <c r="F2432" s="632" t="str">
        <f>IFERROR(VLOOKUP(E2432,STAT1!$C$4:$D$8000,2,FALSE),"")</f>
        <v/>
      </c>
      <c r="G2432" s="891"/>
      <c r="H2432" s="891"/>
      <c r="I2432" s="580">
        <f t="shared" si="223"/>
        <v>0</v>
      </c>
      <c r="J2432" s="961">
        <f t="shared" si="224"/>
        <v>0</v>
      </c>
      <c r="K2432" s="80"/>
      <c r="L2432" s="808"/>
      <c r="M2432" s="586" t="str">
        <f>+IFERROR(VLOOKUP(L2432,DATA!$G$4:$H$2000,2,FALSE),"")</f>
        <v/>
      </c>
      <c r="N2432" s="808"/>
      <c r="O2432" s="154" t="str">
        <f>IFERROR(VLOOKUP(N2432,DATA!$K$4:$L$51,2,FALSE),"")</f>
        <v/>
      </c>
    </row>
    <row r="2433" spans="2:15">
      <c r="B2433" s="628" t="str">
        <f t="shared" si="222"/>
        <v/>
      </c>
      <c r="C2433" s="631"/>
      <c r="D2433" s="817"/>
      <c r="E2433" s="808"/>
      <c r="F2433" s="632" t="str">
        <f>IFERROR(VLOOKUP(E2433,STAT1!$C$4:$D$8000,2,FALSE),"")</f>
        <v/>
      </c>
      <c r="G2433" s="891"/>
      <c r="H2433" s="891"/>
      <c r="I2433" s="580">
        <f t="shared" si="223"/>
        <v>0</v>
      </c>
      <c r="J2433" s="961">
        <f t="shared" si="224"/>
        <v>0</v>
      </c>
      <c r="K2433" s="80"/>
      <c r="L2433" s="808"/>
      <c r="M2433" s="587" t="str">
        <f>+IFERROR(VLOOKUP(L2433,DATA!$G$4:$H$2000,2,FALSE),"")</f>
        <v/>
      </c>
      <c r="N2433" s="808"/>
      <c r="O2433" s="154" t="str">
        <f>IFERROR(VLOOKUP(N2433,DATA!$K$4:$L$51,2,FALSE),"")</f>
        <v/>
      </c>
    </row>
    <row r="2434" spans="2:15">
      <c r="B2434" s="628" t="str">
        <f t="shared" si="222"/>
        <v/>
      </c>
      <c r="C2434" s="631"/>
      <c r="D2434" s="818"/>
      <c r="E2434" s="808"/>
      <c r="F2434" s="632" t="str">
        <f>IFERROR(VLOOKUP(E2434,STAT1!$C$4:$D$8000,2,FALSE),"")</f>
        <v/>
      </c>
      <c r="G2434" s="891"/>
      <c r="H2434" s="891"/>
      <c r="I2434" s="580">
        <f t="shared" si="223"/>
        <v>0</v>
      </c>
      <c r="J2434" s="961">
        <f t="shared" si="224"/>
        <v>0</v>
      </c>
      <c r="K2434" s="80"/>
      <c r="L2434" s="808"/>
      <c r="M2434" s="587" t="str">
        <f>+IFERROR(VLOOKUP(L2434,DATA!$G$4:$H$2000,2,FALSE),"")</f>
        <v/>
      </c>
      <c r="N2434" s="808"/>
      <c r="O2434" s="154" t="str">
        <f>IFERROR(VLOOKUP(N2434,DATA!$K$4:$L$51,2,FALSE),"")</f>
        <v/>
      </c>
    </row>
    <row r="2435" spans="2:15">
      <c r="B2435" s="628" t="str">
        <f t="shared" si="222"/>
        <v/>
      </c>
      <c r="C2435" s="634"/>
      <c r="D2435" s="819"/>
      <c r="E2435" s="809"/>
      <c r="F2435" s="632" t="str">
        <f>IFERROR(VLOOKUP(E2435,STAT1!$C$4:$D$8000,2,FALSE),"")</f>
        <v/>
      </c>
      <c r="G2435" s="892"/>
      <c r="H2435" s="892"/>
      <c r="I2435" s="580">
        <f t="shared" si="223"/>
        <v>0</v>
      </c>
      <c r="J2435" s="961">
        <f t="shared" si="224"/>
        <v>0</v>
      </c>
      <c r="K2435" s="80"/>
      <c r="L2435" s="809"/>
      <c r="M2435" s="588" t="str">
        <f>+IFERROR(VLOOKUP(L2435,DATA!$G$4:$H$2000,2,FALSE),"")</f>
        <v/>
      </c>
      <c r="N2435" s="809"/>
      <c r="O2435" s="154" t="str">
        <f>IFERROR(VLOOKUP(N2435,DATA!$K$4:$L$51,2,FALSE),"")</f>
        <v/>
      </c>
    </row>
    <row r="2436" spans="2:15">
      <c r="B2436" s="628" t="str">
        <f t="shared" ref="B2436:B2499" si="225">+IF(C2436="","",ROW()-5)</f>
        <v/>
      </c>
      <c r="C2436" s="635"/>
      <c r="D2436" s="819"/>
      <c r="E2436" s="633"/>
      <c r="F2436" s="632" t="str">
        <f>IFERROR(VLOOKUP(E2436,STAT1!$C$4:$D$8000,2,FALSE),"")</f>
        <v/>
      </c>
      <c r="G2436" s="893"/>
      <c r="H2436" s="893"/>
      <c r="I2436" s="580">
        <f t="shared" si="223"/>
        <v>0</v>
      </c>
      <c r="J2436" s="961">
        <f t="shared" si="224"/>
        <v>0</v>
      </c>
      <c r="K2436" s="80"/>
      <c r="L2436" s="633"/>
      <c r="M2436" s="154" t="str">
        <f>+IFERROR(VLOOKUP(L2436,DATA!$G$4:$H$2000,2,FALSE),"")</f>
        <v/>
      </c>
      <c r="N2436" s="633"/>
      <c r="O2436" s="154" t="str">
        <f>IFERROR(VLOOKUP(N2436,DATA!$K$4:$L$51,2,FALSE),"")</f>
        <v/>
      </c>
    </row>
    <row r="2437" spans="2:15">
      <c r="B2437" s="628" t="str">
        <f t="shared" si="225"/>
        <v/>
      </c>
      <c r="C2437" s="635"/>
      <c r="D2437" s="819"/>
      <c r="E2437" s="633"/>
      <c r="F2437" s="632" t="str">
        <f>IFERROR(VLOOKUP(E2437,STAT1!$C$4:$D$8000,2,FALSE),"")</f>
        <v/>
      </c>
      <c r="G2437" s="893"/>
      <c r="H2437" s="893"/>
      <c r="I2437" s="580">
        <f t="shared" si="223"/>
        <v>0</v>
      </c>
      <c r="J2437" s="961">
        <f t="shared" si="224"/>
        <v>0</v>
      </c>
      <c r="K2437" s="80"/>
      <c r="L2437" s="633"/>
      <c r="M2437" s="154" t="str">
        <f>+IFERROR(VLOOKUP(L2437,DATA!$G$4:$H$2000,2,FALSE),"")</f>
        <v/>
      </c>
      <c r="N2437" s="633"/>
      <c r="O2437" s="154" t="str">
        <f>IFERROR(VLOOKUP(N2437,DATA!$K$4:$L$51,2,FALSE),"")</f>
        <v/>
      </c>
    </row>
    <row r="2438" spans="2:15">
      <c r="B2438" s="628" t="str">
        <f t="shared" si="225"/>
        <v/>
      </c>
      <c r="C2438" s="635"/>
      <c r="D2438" s="819"/>
      <c r="E2438" s="633"/>
      <c r="F2438" s="632" t="str">
        <f>IFERROR(VLOOKUP(E2438,STAT1!$C$4:$D$8000,2,FALSE),"")</f>
        <v/>
      </c>
      <c r="G2438" s="893"/>
      <c r="H2438" s="893"/>
      <c r="I2438" s="580">
        <f t="shared" si="223"/>
        <v>0</v>
      </c>
      <c r="J2438" s="961">
        <f t="shared" si="224"/>
        <v>0</v>
      </c>
      <c r="K2438" s="80"/>
      <c r="L2438" s="633"/>
      <c r="M2438" s="154" t="str">
        <f>+IFERROR(VLOOKUP(L2438,DATA!$G$4:$H$2000,2,FALSE),"")</f>
        <v/>
      </c>
      <c r="N2438" s="633"/>
      <c r="O2438" s="154" t="str">
        <f>IFERROR(VLOOKUP(N2438,DATA!$K$4:$L$51,2,FALSE),"")</f>
        <v/>
      </c>
    </row>
    <row r="2439" spans="2:15">
      <c r="B2439" s="628" t="str">
        <f t="shared" si="225"/>
        <v/>
      </c>
      <c r="C2439" s="635"/>
      <c r="D2439" s="819"/>
      <c r="E2439" s="633"/>
      <c r="F2439" s="632" t="str">
        <f>IFERROR(VLOOKUP(E2439,STAT1!$C$4:$D$8000,2,FALSE),"")</f>
        <v/>
      </c>
      <c r="G2439" s="893"/>
      <c r="H2439" s="893"/>
      <c r="I2439" s="580">
        <f t="shared" si="223"/>
        <v>0</v>
      </c>
      <c r="J2439" s="961">
        <f t="shared" si="224"/>
        <v>0</v>
      </c>
      <c r="K2439" s="80"/>
      <c r="L2439" s="633"/>
      <c r="M2439" s="154" t="str">
        <f>+IFERROR(VLOOKUP(L2439,DATA!$G$4:$H$2000,2,FALSE),"")</f>
        <v/>
      </c>
      <c r="N2439" s="633"/>
      <c r="O2439" s="154" t="str">
        <f>IFERROR(VLOOKUP(N2439,DATA!$K$4:$L$51,2,FALSE),"")</f>
        <v/>
      </c>
    </row>
    <row r="2440" spans="2:15">
      <c r="B2440" s="628" t="str">
        <f t="shared" si="225"/>
        <v/>
      </c>
      <c r="C2440" s="635"/>
      <c r="D2440" s="819"/>
      <c r="E2440" s="633"/>
      <c r="F2440" s="632" t="str">
        <f>IFERROR(VLOOKUP(E2440,STAT1!$C$4:$D$8000,2,FALSE),"")</f>
        <v/>
      </c>
      <c r="G2440" s="893"/>
      <c r="H2440" s="893"/>
      <c r="I2440" s="580">
        <f t="shared" si="223"/>
        <v>0</v>
      </c>
      <c r="J2440" s="961">
        <f t="shared" si="224"/>
        <v>0</v>
      </c>
      <c r="K2440" s="80"/>
      <c r="L2440" s="633"/>
      <c r="M2440" s="154" t="str">
        <f>+IFERROR(VLOOKUP(L2440,DATA!$G$4:$H$2000,2,FALSE),"")</f>
        <v/>
      </c>
      <c r="N2440" s="633"/>
      <c r="O2440" s="154" t="str">
        <f>IFERROR(VLOOKUP(N2440,DATA!$K$4:$L$51,2,FALSE),"")</f>
        <v/>
      </c>
    </row>
    <row r="2441" spans="2:15">
      <c r="B2441" s="628" t="str">
        <f t="shared" si="225"/>
        <v/>
      </c>
      <c r="C2441" s="635"/>
      <c r="D2441" s="819"/>
      <c r="E2441" s="633"/>
      <c r="F2441" s="632" t="str">
        <f>IFERROR(VLOOKUP(E2441,STAT1!$C$4:$D$8000,2,FALSE),"")</f>
        <v/>
      </c>
      <c r="G2441" s="893"/>
      <c r="H2441" s="893"/>
      <c r="I2441" s="580">
        <f t="shared" si="223"/>
        <v>0</v>
      </c>
      <c r="J2441" s="961">
        <f t="shared" si="224"/>
        <v>0</v>
      </c>
      <c r="K2441" s="80"/>
      <c r="L2441" s="633"/>
      <c r="M2441" s="154" t="str">
        <f>+IFERROR(VLOOKUP(L2441,DATA!$G$4:$H$2000,2,FALSE),"")</f>
        <v/>
      </c>
      <c r="N2441" s="633"/>
      <c r="O2441" s="154" t="str">
        <f>IFERROR(VLOOKUP(N2441,DATA!$K$4:$L$51,2,FALSE),"")</f>
        <v/>
      </c>
    </row>
    <row r="2442" spans="2:15">
      <c r="B2442" s="628" t="str">
        <f t="shared" si="225"/>
        <v/>
      </c>
      <c r="C2442" s="635"/>
      <c r="D2442" s="819"/>
      <c r="E2442" s="633"/>
      <c r="F2442" s="632" t="str">
        <f>IFERROR(VLOOKUP(E2442,STAT1!$C$4:$D$8000,2,FALSE),"")</f>
        <v/>
      </c>
      <c r="G2442" s="893"/>
      <c r="H2442" s="893"/>
      <c r="I2442" s="580">
        <f t="shared" si="223"/>
        <v>0</v>
      </c>
      <c r="J2442" s="961">
        <f t="shared" si="224"/>
        <v>0</v>
      </c>
      <c r="K2442" s="80"/>
      <c r="L2442" s="633"/>
      <c r="M2442" s="154" t="str">
        <f>+IFERROR(VLOOKUP(L2442,DATA!$G$4:$H$2000,2,FALSE),"")</f>
        <v/>
      </c>
      <c r="N2442" s="633"/>
      <c r="O2442" s="154" t="str">
        <f>IFERROR(VLOOKUP(N2442,DATA!$K$4:$L$51,2,FALSE),"")</f>
        <v/>
      </c>
    </row>
    <row r="2443" spans="2:15">
      <c r="B2443" s="628" t="str">
        <f t="shared" si="225"/>
        <v/>
      </c>
      <c r="C2443" s="635"/>
      <c r="D2443" s="819"/>
      <c r="E2443" s="633"/>
      <c r="F2443" s="632" t="str">
        <f>IFERROR(VLOOKUP(E2443,STAT1!$C$4:$D$8000,2,FALSE),"")</f>
        <v/>
      </c>
      <c r="G2443" s="893"/>
      <c r="H2443" s="893"/>
      <c r="I2443" s="580">
        <f t="shared" si="223"/>
        <v>0</v>
      </c>
      <c r="J2443" s="961">
        <f t="shared" si="224"/>
        <v>0</v>
      </c>
      <c r="K2443" s="80"/>
      <c r="L2443" s="633"/>
      <c r="M2443" s="154" t="str">
        <f>+IFERROR(VLOOKUP(L2443,DATA!$G$4:$H$2000,2,FALSE),"")</f>
        <v/>
      </c>
      <c r="N2443" s="633"/>
      <c r="O2443" s="154" t="str">
        <f>IFERROR(VLOOKUP(N2443,DATA!$K$4:$L$51,2,FALSE),"")</f>
        <v/>
      </c>
    </row>
    <row r="2444" spans="2:15">
      <c r="B2444" s="628" t="str">
        <f t="shared" si="225"/>
        <v/>
      </c>
      <c r="C2444" s="635"/>
      <c r="D2444" s="819"/>
      <c r="E2444" s="633"/>
      <c r="F2444" s="632" t="str">
        <f>IFERROR(VLOOKUP(E2444,STAT1!$C$4:$D$8000,2,FALSE),"")</f>
        <v/>
      </c>
      <c r="G2444" s="893"/>
      <c r="H2444" s="893"/>
      <c r="I2444" s="580">
        <f t="shared" si="223"/>
        <v>0</v>
      </c>
      <c r="J2444" s="961">
        <f t="shared" si="224"/>
        <v>0</v>
      </c>
      <c r="K2444" s="80"/>
      <c r="L2444" s="633"/>
      <c r="M2444" s="154" t="str">
        <f>+IFERROR(VLOOKUP(L2444,DATA!$G$4:$H$2000,2,FALSE),"")</f>
        <v/>
      </c>
      <c r="N2444" s="633"/>
      <c r="O2444" s="154" t="str">
        <f>IFERROR(VLOOKUP(N2444,DATA!$K$4:$L$51,2,FALSE),"")</f>
        <v/>
      </c>
    </row>
    <row r="2445" spans="2:15">
      <c r="B2445" s="628" t="str">
        <f t="shared" si="225"/>
        <v/>
      </c>
      <c r="C2445" s="635"/>
      <c r="D2445" s="817"/>
      <c r="E2445" s="633"/>
      <c r="F2445" s="632" t="str">
        <f>IFERROR(VLOOKUP(E2445,STAT1!$C$4:$D$8000,2,FALSE),"")</f>
        <v/>
      </c>
      <c r="G2445" s="893"/>
      <c r="H2445" s="893"/>
      <c r="I2445" s="580">
        <f t="shared" si="223"/>
        <v>0</v>
      </c>
      <c r="J2445" s="961">
        <f t="shared" si="224"/>
        <v>0</v>
      </c>
      <c r="K2445" s="80"/>
      <c r="L2445" s="633"/>
      <c r="M2445" s="154" t="str">
        <f>+IFERROR(VLOOKUP(L2445,DATA!$G$4:$H$2000,2,FALSE),"")</f>
        <v/>
      </c>
      <c r="N2445" s="633"/>
      <c r="O2445" s="154" t="str">
        <f>IFERROR(VLOOKUP(N2445,DATA!$K$4:$L$51,2,FALSE),"")</f>
        <v/>
      </c>
    </row>
    <row r="2446" spans="2:15">
      <c r="B2446" s="628" t="str">
        <f t="shared" si="225"/>
        <v/>
      </c>
      <c r="C2446" s="631"/>
      <c r="D2446" s="817"/>
      <c r="E2446" s="808"/>
      <c r="F2446" s="632" t="str">
        <f>IFERROR(VLOOKUP(E2446,STAT1!$C$4:$D$8000,2,FALSE),"")</f>
        <v/>
      </c>
      <c r="G2446" s="891"/>
      <c r="H2446" s="891"/>
      <c r="I2446" s="580">
        <f t="shared" si="223"/>
        <v>0</v>
      </c>
      <c r="J2446" s="961">
        <f t="shared" si="224"/>
        <v>0</v>
      </c>
      <c r="K2446" s="80"/>
      <c r="L2446" s="808"/>
      <c r="M2446" s="154" t="str">
        <f>+IFERROR(VLOOKUP(L2446,DATA!$G$4:$H$2000,2,FALSE),"")</f>
        <v/>
      </c>
      <c r="N2446" s="808"/>
      <c r="O2446" s="154" t="str">
        <f>IFERROR(VLOOKUP(N2446,DATA!$K$4:$L$51,2,FALSE),"")</f>
        <v/>
      </c>
    </row>
    <row r="2447" spans="2:15">
      <c r="B2447" s="628" t="str">
        <f t="shared" si="225"/>
        <v/>
      </c>
      <c r="C2447" s="631"/>
      <c r="D2447" s="817"/>
      <c r="E2447" s="808"/>
      <c r="F2447" s="632" t="str">
        <f>IFERROR(VLOOKUP(E2447,STAT1!$C$4:$D$8000,2,FALSE),"")</f>
        <v/>
      </c>
      <c r="G2447" s="891"/>
      <c r="H2447" s="891"/>
      <c r="I2447" s="580">
        <f t="shared" si="223"/>
        <v>0</v>
      </c>
      <c r="J2447" s="961">
        <f t="shared" si="224"/>
        <v>0</v>
      </c>
      <c r="K2447" s="80"/>
      <c r="L2447" s="808"/>
      <c r="M2447" s="154" t="str">
        <f>+IFERROR(VLOOKUP(L2447,DATA!$G$4:$H$2000,2,FALSE),"")</f>
        <v/>
      </c>
      <c r="N2447" s="808"/>
      <c r="O2447" s="154" t="str">
        <f>IFERROR(VLOOKUP(N2447,DATA!$K$4:$L$51,2,FALSE),"")</f>
        <v/>
      </c>
    </row>
    <row r="2448" spans="2:15">
      <c r="B2448" s="628" t="str">
        <f t="shared" si="225"/>
        <v/>
      </c>
      <c r="C2448" s="631"/>
      <c r="D2448" s="817"/>
      <c r="E2448" s="808"/>
      <c r="F2448" s="632" t="str">
        <f>IFERROR(VLOOKUP(E2448,STAT1!$C$4:$D$8000,2,FALSE),"")</f>
        <v/>
      </c>
      <c r="G2448" s="891"/>
      <c r="H2448" s="891"/>
      <c r="I2448" s="580">
        <f t="shared" si="223"/>
        <v>0</v>
      </c>
      <c r="J2448" s="961">
        <f t="shared" si="224"/>
        <v>0</v>
      </c>
      <c r="K2448" s="80"/>
      <c r="L2448" s="808"/>
      <c r="M2448" s="154" t="str">
        <f>+IFERROR(VLOOKUP(L2448,DATA!$G$4:$H$2000,2,FALSE),"")</f>
        <v/>
      </c>
      <c r="N2448" s="808"/>
      <c r="O2448" s="154" t="str">
        <f>IFERROR(VLOOKUP(N2448,DATA!$K$4:$L$51,2,FALSE),"")</f>
        <v/>
      </c>
    </row>
    <row r="2449" spans="2:15">
      <c r="B2449" s="628" t="str">
        <f t="shared" si="225"/>
        <v/>
      </c>
      <c r="C2449" s="631"/>
      <c r="D2449" s="817"/>
      <c r="E2449" s="808"/>
      <c r="F2449" s="632" t="str">
        <f>IFERROR(VLOOKUP(E2449,STAT1!$C$4:$D$8000,2,FALSE),"")</f>
        <v/>
      </c>
      <c r="G2449" s="891"/>
      <c r="H2449" s="891"/>
      <c r="I2449" s="580">
        <f t="shared" si="223"/>
        <v>0</v>
      </c>
      <c r="J2449" s="961">
        <f t="shared" si="224"/>
        <v>0</v>
      </c>
      <c r="K2449" s="80"/>
      <c r="L2449" s="808"/>
      <c r="M2449" s="154" t="str">
        <f>+IFERROR(VLOOKUP(L2449,DATA!$G$4:$H$2000,2,FALSE),"")</f>
        <v/>
      </c>
      <c r="N2449" s="808"/>
      <c r="O2449" s="154" t="str">
        <f>IFERROR(VLOOKUP(N2449,DATA!$K$4:$L$51,2,FALSE),"")</f>
        <v/>
      </c>
    </row>
    <row r="2450" spans="2:15">
      <c r="B2450" s="628" t="str">
        <f t="shared" si="225"/>
        <v/>
      </c>
      <c r="C2450" s="631"/>
      <c r="D2450" s="817"/>
      <c r="E2450" s="808"/>
      <c r="F2450" s="632" t="str">
        <f>IFERROR(VLOOKUP(E2450,STAT1!$C$4:$D$8000,2,FALSE),"")</f>
        <v/>
      </c>
      <c r="G2450" s="891"/>
      <c r="H2450" s="891"/>
      <c r="I2450" s="580">
        <f t="shared" si="223"/>
        <v>0</v>
      </c>
      <c r="J2450" s="961">
        <f t="shared" si="224"/>
        <v>0</v>
      </c>
      <c r="K2450" s="80"/>
      <c r="L2450" s="808"/>
      <c r="M2450" s="154" t="str">
        <f>+IFERROR(VLOOKUP(L2450,DATA!$G$4:$H$2000,2,FALSE),"")</f>
        <v/>
      </c>
      <c r="N2450" s="808"/>
      <c r="O2450" s="154" t="str">
        <f>IFERROR(VLOOKUP(N2450,DATA!$K$4:$L$51,2,FALSE),"")</f>
        <v/>
      </c>
    </row>
    <row r="2451" spans="2:15">
      <c r="B2451" s="628" t="str">
        <f t="shared" si="225"/>
        <v/>
      </c>
      <c r="C2451" s="631"/>
      <c r="D2451" s="817"/>
      <c r="E2451" s="808"/>
      <c r="F2451" s="632" t="str">
        <f>IFERROR(VLOOKUP(E2451,STAT1!$C$4:$D$8000,2,FALSE),"")</f>
        <v/>
      </c>
      <c r="G2451" s="891"/>
      <c r="H2451" s="891"/>
      <c r="I2451" s="580">
        <f t="shared" si="223"/>
        <v>0</v>
      </c>
      <c r="J2451" s="961">
        <f t="shared" si="224"/>
        <v>0</v>
      </c>
      <c r="K2451" s="80"/>
      <c r="L2451" s="808"/>
      <c r="M2451" s="154" t="str">
        <f>+IFERROR(VLOOKUP(L2451,DATA!$G$4:$H$2000,2,FALSE),"")</f>
        <v/>
      </c>
      <c r="N2451" s="808"/>
      <c r="O2451" s="154" t="str">
        <f>IFERROR(VLOOKUP(N2451,DATA!$K$4:$L$51,2,FALSE),"")</f>
        <v/>
      </c>
    </row>
    <row r="2452" spans="2:15">
      <c r="B2452" s="628" t="str">
        <f t="shared" si="225"/>
        <v/>
      </c>
      <c r="C2452" s="631"/>
      <c r="D2452" s="818"/>
      <c r="E2452" s="808"/>
      <c r="F2452" s="632" t="str">
        <f>IFERROR(VLOOKUP(E2452,STAT1!$C$4:$D$8000,2,FALSE),"")</f>
        <v/>
      </c>
      <c r="G2452" s="891"/>
      <c r="H2452" s="891"/>
      <c r="I2452" s="580">
        <f t="shared" si="223"/>
        <v>0</v>
      </c>
      <c r="J2452" s="961">
        <f t="shared" si="224"/>
        <v>0</v>
      </c>
      <c r="K2452" s="80"/>
      <c r="L2452" s="808"/>
      <c r="M2452" s="154" t="str">
        <f>+IFERROR(VLOOKUP(L2452,DATA!$G$4:$H$2000,2,FALSE),"")</f>
        <v/>
      </c>
      <c r="N2452" s="808"/>
      <c r="O2452" s="154" t="str">
        <f>IFERROR(VLOOKUP(N2452,DATA!$K$4:$L$51,2,FALSE),"")</f>
        <v/>
      </c>
    </row>
    <row r="2453" spans="2:15">
      <c r="B2453" s="628" t="str">
        <f t="shared" si="225"/>
        <v/>
      </c>
      <c r="C2453" s="634"/>
      <c r="D2453" s="818"/>
      <c r="E2453" s="809"/>
      <c r="F2453" s="632" t="str">
        <f>IFERROR(VLOOKUP(E2453,STAT1!$C$4:$D$8000,2,FALSE),"")</f>
        <v/>
      </c>
      <c r="G2453" s="892"/>
      <c r="H2453" s="892"/>
      <c r="I2453" s="580">
        <f t="shared" si="223"/>
        <v>0</v>
      </c>
      <c r="J2453" s="961">
        <f t="shared" si="224"/>
        <v>0</v>
      </c>
      <c r="K2453" s="80"/>
      <c r="L2453" s="809"/>
      <c r="M2453" s="154" t="str">
        <f>+IFERROR(VLOOKUP(L2453,DATA!$G$4:$H$2000,2,FALSE),"")</f>
        <v/>
      </c>
      <c r="N2453" s="809"/>
      <c r="O2453" s="154" t="str">
        <f>IFERROR(VLOOKUP(N2453,DATA!$K$4:$L$51,2,FALSE),"")</f>
        <v/>
      </c>
    </row>
    <row r="2454" spans="2:15">
      <c r="B2454" s="628" t="str">
        <f t="shared" si="225"/>
        <v/>
      </c>
      <c r="C2454" s="634"/>
      <c r="D2454" s="818"/>
      <c r="E2454" s="809"/>
      <c r="F2454" s="632" t="str">
        <f>IFERROR(VLOOKUP(E2454,STAT1!$C$4:$D$8000,2,FALSE),"")</f>
        <v/>
      </c>
      <c r="G2454" s="892"/>
      <c r="H2454" s="892"/>
      <c r="I2454" s="580">
        <f t="shared" si="223"/>
        <v>0</v>
      </c>
      <c r="J2454" s="961">
        <f t="shared" si="224"/>
        <v>0</v>
      </c>
      <c r="K2454" s="80"/>
      <c r="L2454" s="809"/>
      <c r="M2454" s="154" t="str">
        <f>+IFERROR(VLOOKUP(L2454,DATA!$G$4:$H$2000,2,FALSE),"")</f>
        <v/>
      </c>
      <c r="N2454" s="809"/>
      <c r="O2454" s="154" t="str">
        <f>IFERROR(VLOOKUP(N2454,DATA!$K$4:$L$51,2,FALSE),"")</f>
        <v/>
      </c>
    </row>
    <row r="2455" spans="2:15">
      <c r="B2455" s="628" t="str">
        <f t="shared" si="225"/>
        <v/>
      </c>
      <c r="C2455" s="634"/>
      <c r="D2455" s="817"/>
      <c r="E2455" s="809"/>
      <c r="F2455" s="632" t="str">
        <f>IFERROR(VLOOKUP(E2455,STAT1!$C$4:$D$8000,2,FALSE),"")</f>
        <v/>
      </c>
      <c r="G2455" s="892"/>
      <c r="H2455" s="892"/>
      <c r="I2455" s="580">
        <f t="shared" si="223"/>
        <v>0</v>
      </c>
      <c r="J2455" s="961">
        <f t="shared" si="224"/>
        <v>0</v>
      </c>
      <c r="K2455" s="80"/>
      <c r="L2455" s="809"/>
      <c r="M2455" s="154" t="str">
        <f>+IFERROR(VLOOKUP(L2455,DATA!$G$4:$H$2000,2,FALSE),"")</f>
        <v/>
      </c>
      <c r="N2455" s="809"/>
      <c r="O2455" s="154" t="str">
        <f>IFERROR(VLOOKUP(N2455,DATA!$K$4:$L$51,2,FALSE),"")</f>
        <v/>
      </c>
    </row>
    <row r="2456" spans="2:15">
      <c r="B2456" s="628" t="str">
        <f t="shared" si="225"/>
        <v/>
      </c>
      <c r="C2456" s="631"/>
      <c r="D2456" s="817"/>
      <c r="E2456" s="808"/>
      <c r="F2456" s="632" t="str">
        <f>IFERROR(VLOOKUP(E2456,STAT1!$C$4:$D$8000,2,FALSE),"")</f>
        <v/>
      </c>
      <c r="G2456" s="891"/>
      <c r="H2456" s="891"/>
      <c r="I2456" s="580">
        <f t="shared" si="223"/>
        <v>0</v>
      </c>
      <c r="J2456" s="961">
        <f t="shared" si="224"/>
        <v>0</v>
      </c>
      <c r="K2456" s="80"/>
      <c r="L2456" s="808"/>
      <c r="M2456" s="154" t="str">
        <f>+IFERROR(VLOOKUP(L2456,DATA!$G$4:$H$2000,2,FALSE),"")</f>
        <v/>
      </c>
      <c r="N2456" s="808"/>
      <c r="O2456" s="154" t="str">
        <f>IFERROR(VLOOKUP(N2456,DATA!$K$4:$L$51,2,FALSE),"")</f>
        <v/>
      </c>
    </row>
    <row r="2457" spans="2:15">
      <c r="B2457" s="628" t="str">
        <f t="shared" si="225"/>
        <v/>
      </c>
      <c r="C2457" s="631"/>
      <c r="D2457" s="817"/>
      <c r="E2457" s="808"/>
      <c r="F2457" s="632" t="str">
        <f>IFERROR(VLOOKUP(E2457,STAT1!$C$4:$D$8000,2,FALSE),"")</f>
        <v/>
      </c>
      <c r="G2457" s="891"/>
      <c r="H2457" s="891"/>
      <c r="I2457" s="580">
        <f t="shared" si="223"/>
        <v>0</v>
      </c>
      <c r="J2457" s="961">
        <f t="shared" si="224"/>
        <v>0</v>
      </c>
      <c r="K2457" s="80"/>
      <c r="L2457" s="808"/>
      <c r="M2457" s="154" t="str">
        <f>+IFERROR(VLOOKUP(L2457,DATA!$G$4:$H$2000,2,FALSE),"")</f>
        <v/>
      </c>
      <c r="N2457" s="808"/>
      <c r="O2457" s="154" t="str">
        <f>IFERROR(VLOOKUP(N2457,DATA!$K$4:$L$51,2,FALSE),"")</f>
        <v/>
      </c>
    </row>
    <row r="2458" spans="2:15">
      <c r="B2458" s="628" t="str">
        <f t="shared" si="225"/>
        <v/>
      </c>
      <c r="C2458" s="631"/>
      <c r="D2458" s="817"/>
      <c r="E2458" s="808"/>
      <c r="F2458" s="632" t="str">
        <f>IFERROR(VLOOKUP(E2458,STAT1!$C$4:$D$8000,2,FALSE),"")</f>
        <v/>
      </c>
      <c r="G2458" s="891"/>
      <c r="H2458" s="891"/>
      <c r="I2458" s="580">
        <f t="shared" si="223"/>
        <v>0</v>
      </c>
      <c r="J2458" s="961">
        <f t="shared" si="224"/>
        <v>0</v>
      </c>
      <c r="K2458" s="80"/>
      <c r="L2458" s="808"/>
      <c r="M2458" s="154" t="str">
        <f>+IFERROR(VLOOKUP(L2458,DATA!$G$4:$H$2000,2,FALSE),"")</f>
        <v/>
      </c>
      <c r="N2458" s="808"/>
      <c r="O2458" s="154" t="str">
        <f>IFERROR(VLOOKUP(N2458,DATA!$K$4:$L$51,2,FALSE),"")</f>
        <v/>
      </c>
    </row>
    <row r="2459" spans="2:15">
      <c r="B2459" s="628" t="str">
        <f t="shared" si="225"/>
        <v/>
      </c>
      <c r="C2459" s="631"/>
      <c r="D2459" s="817"/>
      <c r="E2459" s="808"/>
      <c r="F2459" s="632" t="str">
        <f>IFERROR(VLOOKUP(E2459,STAT1!$C$4:$D$8000,2,FALSE),"")</f>
        <v/>
      </c>
      <c r="G2459" s="891"/>
      <c r="H2459" s="891"/>
      <c r="I2459" s="580">
        <f t="shared" si="223"/>
        <v>0</v>
      </c>
      <c r="J2459" s="961">
        <f t="shared" si="224"/>
        <v>0</v>
      </c>
      <c r="K2459" s="80"/>
      <c r="L2459" s="808"/>
      <c r="M2459" s="154" t="str">
        <f>+IFERROR(VLOOKUP(L2459,DATA!$G$4:$H$2000,2,FALSE),"")</f>
        <v/>
      </c>
      <c r="N2459" s="808"/>
      <c r="O2459" s="154" t="str">
        <f>IFERROR(VLOOKUP(N2459,DATA!$K$4:$L$51,2,FALSE),"")</f>
        <v/>
      </c>
    </row>
    <row r="2460" spans="2:15">
      <c r="B2460" s="628" t="str">
        <f t="shared" si="225"/>
        <v/>
      </c>
      <c r="C2460" s="631"/>
      <c r="D2460" s="817"/>
      <c r="E2460" s="808"/>
      <c r="F2460" s="632" t="str">
        <f>IFERROR(VLOOKUP(E2460,STAT1!$C$4:$D$8000,2,FALSE),"")</f>
        <v/>
      </c>
      <c r="G2460" s="891"/>
      <c r="H2460" s="891"/>
      <c r="I2460" s="580">
        <f t="shared" si="223"/>
        <v>0</v>
      </c>
      <c r="J2460" s="961">
        <f t="shared" si="224"/>
        <v>0</v>
      </c>
      <c r="K2460" s="80"/>
      <c r="L2460" s="808"/>
      <c r="M2460" s="154" t="str">
        <f>+IFERROR(VLOOKUP(L2460,DATA!$G$4:$H$2000,2,FALSE),"")</f>
        <v/>
      </c>
      <c r="N2460" s="808"/>
      <c r="O2460" s="154" t="str">
        <f>IFERROR(VLOOKUP(N2460,DATA!$K$4:$L$51,2,FALSE),"")</f>
        <v/>
      </c>
    </row>
    <row r="2461" spans="2:15">
      <c r="B2461" s="628" t="str">
        <f t="shared" si="225"/>
        <v/>
      </c>
      <c r="C2461" s="631"/>
      <c r="D2461" s="817"/>
      <c r="E2461" s="808"/>
      <c r="F2461" s="632" t="str">
        <f>IFERROR(VLOOKUP(E2461,STAT1!$C$4:$D$8000,2,FALSE),"")</f>
        <v/>
      </c>
      <c r="G2461" s="891"/>
      <c r="H2461" s="891"/>
      <c r="I2461" s="580">
        <f t="shared" si="223"/>
        <v>0</v>
      </c>
      <c r="J2461" s="961">
        <f t="shared" si="224"/>
        <v>0</v>
      </c>
      <c r="K2461" s="80"/>
      <c r="L2461" s="808"/>
      <c r="M2461" s="154" t="str">
        <f>+IFERROR(VLOOKUP(L2461,DATA!$G$4:$H$2000,2,FALSE),"")</f>
        <v/>
      </c>
      <c r="N2461" s="808"/>
      <c r="O2461" s="154" t="str">
        <f>IFERROR(VLOOKUP(N2461,DATA!$K$4:$L$51,2,FALSE),"")</f>
        <v/>
      </c>
    </row>
    <row r="2462" spans="2:15">
      <c r="B2462" s="628" t="str">
        <f t="shared" si="225"/>
        <v/>
      </c>
      <c r="C2462" s="631"/>
      <c r="D2462" s="817"/>
      <c r="E2462" s="808"/>
      <c r="F2462" s="632" t="str">
        <f>IFERROR(VLOOKUP(E2462,STAT1!$C$4:$D$8000,2,FALSE),"")</f>
        <v/>
      </c>
      <c r="G2462" s="891"/>
      <c r="H2462" s="891"/>
      <c r="I2462" s="580">
        <f t="shared" si="223"/>
        <v>0</v>
      </c>
      <c r="J2462" s="961">
        <f t="shared" si="224"/>
        <v>0</v>
      </c>
      <c r="K2462" s="80"/>
      <c r="L2462" s="808"/>
      <c r="M2462" s="154" t="str">
        <f>+IFERROR(VLOOKUP(L2462,DATA!$G$4:$H$2000,2,FALSE),"")</f>
        <v/>
      </c>
      <c r="N2462" s="808"/>
      <c r="O2462" s="154" t="str">
        <f>IFERROR(VLOOKUP(N2462,DATA!$K$4:$L$51,2,FALSE),"")</f>
        <v/>
      </c>
    </row>
    <row r="2463" spans="2:15">
      <c r="B2463" s="628" t="str">
        <f t="shared" si="225"/>
        <v/>
      </c>
      <c r="C2463" s="631"/>
      <c r="D2463" s="817"/>
      <c r="E2463" s="808"/>
      <c r="F2463" s="632" t="str">
        <f>IFERROR(VLOOKUP(E2463,STAT1!$C$4:$D$8000,2,FALSE),"")</f>
        <v/>
      </c>
      <c r="G2463" s="891"/>
      <c r="H2463" s="891"/>
      <c r="I2463" s="580">
        <f t="shared" si="223"/>
        <v>0</v>
      </c>
      <c r="J2463" s="961">
        <f t="shared" si="224"/>
        <v>0</v>
      </c>
      <c r="K2463" s="80"/>
      <c r="L2463" s="808"/>
      <c r="M2463" s="154" t="str">
        <f>+IFERROR(VLOOKUP(L2463,DATA!$G$4:$H$2000,2,FALSE),"")</f>
        <v/>
      </c>
      <c r="N2463" s="808"/>
      <c r="O2463" s="154" t="str">
        <f>IFERROR(VLOOKUP(N2463,DATA!$K$4:$L$51,2,FALSE),"")</f>
        <v/>
      </c>
    </row>
    <row r="2464" spans="2:15">
      <c r="B2464" s="628" t="str">
        <f t="shared" si="225"/>
        <v/>
      </c>
      <c r="C2464" s="631"/>
      <c r="D2464" s="817"/>
      <c r="E2464" s="808"/>
      <c r="F2464" s="632" t="str">
        <f>IFERROR(VLOOKUP(E2464,STAT1!$C$4:$D$8000,2,FALSE),"")</f>
        <v/>
      </c>
      <c r="G2464" s="891"/>
      <c r="H2464" s="891"/>
      <c r="I2464" s="580">
        <f t="shared" si="223"/>
        <v>0</v>
      </c>
      <c r="J2464" s="961">
        <f t="shared" si="224"/>
        <v>0</v>
      </c>
      <c r="K2464" s="80"/>
      <c r="L2464" s="808"/>
      <c r="M2464" s="154" t="str">
        <f>+IFERROR(VLOOKUP(L2464,DATA!$G$4:$H$2000,2,FALSE),"")</f>
        <v/>
      </c>
      <c r="N2464" s="808"/>
      <c r="O2464" s="154" t="str">
        <f>IFERROR(VLOOKUP(N2464,DATA!$K$4:$L$51,2,FALSE),"")</f>
        <v/>
      </c>
    </row>
    <row r="2465" spans="2:15">
      <c r="B2465" s="628" t="str">
        <f t="shared" si="225"/>
        <v/>
      </c>
      <c r="C2465" s="631"/>
      <c r="D2465" s="817"/>
      <c r="E2465" s="808"/>
      <c r="F2465" s="632" t="str">
        <f>IFERROR(VLOOKUP(E2465,STAT1!$C$4:$D$8000,2,FALSE),"")</f>
        <v/>
      </c>
      <c r="G2465" s="891"/>
      <c r="H2465" s="891"/>
      <c r="I2465" s="580">
        <f t="shared" si="223"/>
        <v>0</v>
      </c>
      <c r="J2465" s="961">
        <f t="shared" si="224"/>
        <v>0</v>
      </c>
      <c r="K2465" s="80"/>
      <c r="L2465" s="808"/>
      <c r="M2465" s="154" t="str">
        <f>+IFERROR(VLOOKUP(L2465,DATA!$G$4:$H$2000,2,FALSE),"")</f>
        <v/>
      </c>
      <c r="N2465" s="808"/>
      <c r="O2465" s="154" t="str">
        <f>IFERROR(VLOOKUP(N2465,DATA!$K$4:$L$51,2,FALSE),"")</f>
        <v/>
      </c>
    </row>
    <row r="2466" spans="2:15">
      <c r="B2466" s="628" t="str">
        <f t="shared" si="225"/>
        <v/>
      </c>
      <c r="C2466" s="631"/>
      <c r="D2466" s="817"/>
      <c r="E2466" s="808"/>
      <c r="F2466" s="632" t="str">
        <f>IFERROR(VLOOKUP(E2466,STAT1!$C$4:$D$8000,2,FALSE),"")</f>
        <v/>
      </c>
      <c r="G2466" s="891"/>
      <c r="H2466" s="891"/>
      <c r="I2466" s="580">
        <f t="shared" si="223"/>
        <v>0</v>
      </c>
      <c r="J2466" s="961">
        <f t="shared" si="224"/>
        <v>0</v>
      </c>
      <c r="K2466" s="80"/>
      <c r="L2466" s="808"/>
      <c r="M2466" s="154" t="str">
        <f>+IFERROR(VLOOKUP(L2466,DATA!$G$4:$H$2000,2,FALSE),"")</f>
        <v/>
      </c>
      <c r="N2466" s="808"/>
      <c r="O2466" s="154" t="str">
        <f>IFERROR(VLOOKUP(N2466,DATA!$K$4:$L$51,2,FALSE),"")</f>
        <v/>
      </c>
    </row>
    <row r="2467" spans="2:15">
      <c r="B2467" s="628" t="str">
        <f t="shared" si="225"/>
        <v/>
      </c>
      <c r="C2467" s="631"/>
      <c r="D2467" s="817"/>
      <c r="E2467" s="808"/>
      <c r="F2467" s="632" t="str">
        <f>IFERROR(VLOOKUP(E2467,STAT1!$C$4:$D$8000,2,FALSE),"")</f>
        <v/>
      </c>
      <c r="G2467" s="891"/>
      <c r="H2467" s="891"/>
      <c r="I2467" s="580">
        <f t="shared" si="223"/>
        <v>0</v>
      </c>
      <c r="J2467" s="961">
        <f t="shared" si="224"/>
        <v>0</v>
      </c>
      <c r="K2467" s="80"/>
      <c r="L2467" s="808"/>
      <c r="M2467" s="154" t="str">
        <f>+IFERROR(VLOOKUP(L2467,DATA!$G$4:$H$2000,2,FALSE),"")</f>
        <v/>
      </c>
      <c r="N2467" s="808"/>
      <c r="O2467" s="154" t="str">
        <f>IFERROR(VLOOKUP(N2467,DATA!$K$4:$L$51,2,FALSE),"")</f>
        <v/>
      </c>
    </row>
    <row r="2468" spans="2:15">
      <c r="B2468" s="628" t="str">
        <f t="shared" si="225"/>
        <v/>
      </c>
      <c r="C2468" s="631"/>
      <c r="D2468" s="817"/>
      <c r="E2468" s="808"/>
      <c r="F2468" s="632" t="str">
        <f>IFERROR(VLOOKUP(E2468,STAT1!$C$4:$D$8000,2,FALSE),"")</f>
        <v/>
      </c>
      <c r="G2468" s="891"/>
      <c r="H2468" s="891"/>
      <c r="I2468" s="580">
        <f t="shared" si="223"/>
        <v>0</v>
      </c>
      <c r="J2468" s="961">
        <f t="shared" si="224"/>
        <v>0</v>
      </c>
      <c r="K2468" s="80"/>
      <c r="L2468" s="808"/>
      <c r="M2468" s="154" t="str">
        <f>+IFERROR(VLOOKUP(L2468,DATA!$G$4:$H$2000,2,FALSE),"")</f>
        <v/>
      </c>
      <c r="N2468" s="808"/>
      <c r="O2468" s="154" t="str">
        <f>IFERROR(VLOOKUP(N2468,DATA!$K$4:$L$51,2,FALSE),"")</f>
        <v/>
      </c>
    </row>
    <row r="2469" spans="2:15">
      <c r="B2469" s="628" t="str">
        <f t="shared" si="225"/>
        <v/>
      </c>
      <c r="C2469" s="631"/>
      <c r="D2469" s="817"/>
      <c r="E2469" s="808"/>
      <c r="F2469" s="632" t="str">
        <f>IFERROR(VLOOKUP(E2469,STAT1!$C$4:$D$8000,2,FALSE),"")</f>
        <v/>
      </c>
      <c r="G2469" s="891"/>
      <c r="H2469" s="891"/>
      <c r="I2469" s="580">
        <f t="shared" si="223"/>
        <v>0</v>
      </c>
      <c r="J2469" s="961">
        <f t="shared" si="224"/>
        <v>0</v>
      </c>
      <c r="K2469" s="80"/>
      <c r="L2469" s="808"/>
      <c r="M2469" s="154" t="str">
        <f>+IFERROR(VLOOKUP(L2469,DATA!$G$4:$H$2000,2,FALSE),"")</f>
        <v/>
      </c>
      <c r="N2469" s="808"/>
      <c r="O2469" s="154" t="str">
        <f>IFERROR(VLOOKUP(N2469,DATA!$K$4:$L$51,2,FALSE),"")</f>
        <v/>
      </c>
    </row>
    <row r="2470" spans="2:15">
      <c r="B2470" s="628" t="str">
        <f t="shared" si="225"/>
        <v/>
      </c>
      <c r="C2470" s="631"/>
      <c r="D2470" s="817"/>
      <c r="E2470" s="808"/>
      <c r="F2470" s="632" t="str">
        <f>IFERROR(VLOOKUP(E2470,STAT1!$C$4:$D$8000,2,FALSE),"")</f>
        <v/>
      </c>
      <c r="G2470" s="891"/>
      <c r="H2470" s="891"/>
      <c r="I2470" s="580">
        <f t="shared" si="223"/>
        <v>0</v>
      </c>
      <c r="J2470" s="961">
        <f t="shared" si="224"/>
        <v>0</v>
      </c>
      <c r="K2470" s="80"/>
      <c r="L2470" s="808"/>
      <c r="M2470" s="154" t="str">
        <f>+IFERROR(VLOOKUP(L2470,DATA!$G$4:$H$2000,2,FALSE),"")</f>
        <v/>
      </c>
      <c r="N2470" s="808"/>
      <c r="O2470" s="154" t="str">
        <f>IFERROR(VLOOKUP(N2470,DATA!$K$4:$L$51,2,FALSE),"")</f>
        <v/>
      </c>
    </row>
    <row r="2471" spans="2:15">
      <c r="B2471" s="628" t="str">
        <f t="shared" si="225"/>
        <v/>
      </c>
      <c r="C2471" s="631"/>
      <c r="D2471" s="817"/>
      <c r="E2471" s="808"/>
      <c r="F2471" s="632" t="str">
        <f>IFERROR(VLOOKUP(E2471,STAT1!$C$4:$D$8000,2,FALSE),"")</f>
        <v/>
      </c>
      <c r="G2471" s="891"/>
      <c r="H2471" s="891"/>
      <c r="I2471" s="580">
        <f t="shared" si="223"/>
        <v>0</v>
      </c>
      <c r="J2471" s="961">
        <f t="shared" si="224"/>
        <v>0</v>
      </c>
      <c r="K2471" s="80"/>
      <c r="L2471" s="808"/>
      <c r="M2471" s="154" t="str">
        <f>+IFERROR(VLOOKUP(L2471,DATA!$G$4:$H$2000,2,FALSE),"")</f>
        <v/>
      </c>
      <c r="N2471" s="808"/>
      <c r="O2471" s="154" t="str">
        <f>IFERROR(VLOOKUP(N2471,DATA!$K$4:$L$51,2,FALSE),"")</f>
        <v/>
      </c>
    </row>
    <row r="2472" spans="2:15">
      <c r="B2472" s="628" t="str">
        <f t="shared" si="225"/>
        <v/>
      </c>
      <c r="C2472" s="631"/>
      <c r="D2472" s="817"/>
      <c r="E2472" s="808"/>
      <c r="F2472" s="632" t="str">
        <f>IFERROR(VLOOKUP(E2472,STAT1!$C$4:$D$8000,2,FALSE),"")</f>
        <v/>
      </c>
      <c r="G2472" s="891"/>
      <c r="H2472" s="891"/>
      <c r="I2472" s="580">
        <f t="shared" si="223"/>
        <v>0</v>
      </c>
      <c r="J2472" s="961">
        <f t="shared" si="224"/>
        <v>0</v>
      </c>
      <c r="K2472" s="80"/>
      <c r="L2472" s="808"/>
      <c r="M2472" s="154" t="str">
        <f>+IFERROR(VLOOKUP(L2472,DATA!$G$4:$H$2000,2,FALSE),"")</f>
        <v/>
      </c>
      <c r="N2472" s="808"/>
      <c r="O2472" s="154" t="str">
        <f>IFERROR(VLOOKUP(N2472,DATA!$K$4:$L$51,2,FALSE),"")</f>
        <v/>
      </c>
    </row>
    <row r="2473" spans="2:15">
      <c r="B2473" s="628" t="str">
        <f t="shared" si="225"/>
        <v/>
      </c>
      <c r="C2473" s="631"/>
      <c r="D2473" s="817"/>
      <c r="E2473" s="808"/>
      <c r="F2473" s="632" t="str">
        <f>IFERROR(VLOOKUP(E2473,STAT1!$C$4:$D$8000,2,FALSE),"")</f>
        <v/>
      </c>
      <c r="G2473" s="891"/>
      <c r="H2473" s="891"/>
      <c r="I2473" s="580">
        <f t="shared" si="223"/>
        <v>0</v>
      </c>
      <c r="J2473" s="961">
        <f t="shared" si="224"/>
        <v>0</v>
      </c>
      <c r="K2473" s="80"/>
      <c r="L2473" s="808"/>
      <c r="M2473" s="154" t="str">
        <f>+IFERROR(VLOOKUP(L2473,DATA!$G$4:$H$2000,2,FALSE),"")</f>
        <v/>
      </c>
      <c r="N2473" s="808"/>
      <c r="O2473" s="154" t="str">
        <f>IFERROR(VLOOKUP(N2473,DATA!$K$4:$L$51,2,FALSE),"")</f>
        <v/>
      </c>
    </row>
    <row r="2474" spans="2:15">
      <c r="B2474" s="628" t="str">
        <f t="shared" si="225"/>
        <v/>
      </c>
      <c r="C2474" s="631"/>
      <c r="D2474" s="817"/>
      <c r="E2474" s="808"/>
      <c r="F2474" s="632" t="str">
        <f>IFERROR(VLOOKUP(E2474,STAT1!$C$4:$D$8000,2,FALSE),"")</f>
        <v/>
      </c>
      <c r="G2474" s="891"/>
      <c r="H2474" s="891"/>
      <c r="I2474" s="580">
        <f t="shared" si="223"/>
        <v>0</v>
      </c>
      <c r="J2474" s="961">
        <f t="shared" si="224"/>
        <v>0</v>
      </c>
      <c r="K2474" s="80"/>
      <c r="L2474" s="808"/>
      <c r="M2474" s="154" t="str">
        <f>+IFERROR(VLOOKUP(L2474,DATA!$G$4:$H$2000,2,FALSE),"")</f>
        <v/>
      </c>
      <c r="N2474" s="808"/>
      <c r="O2474" s="154" t="str">
        <f>IFERROR(VLOOKUP(N2474,DATA!$K$4:$L$51,2,FALSE),"")</f>
        <v/>
      </c>
    </row>
    <row r="2475" spans="2:15">
      <c r="B2475" s="628" t="str">
        <f t="shared" si="225"/>
        <v/>
      </c>
      <c r="C2475" s="631"/>
      <c r="D2475" s="817"/>
      <c r="E2475" s="808"/>
      <c r="F2475" s="632" t="str">
        <f>IFERROR(VLOOKUP(E2475,STAT1!$C$4:$D$8000,2,FALSE),"")</f>
        <v/>
      </c>
      <c r="G2475" s="891"/>
      <c r="H2475" s="891"/>
      <c r="I2475" s="580">
        <f t="shared" si="223"/>
        <v>0</v>
      </c>
      <c r="J2475" s="961">
        <f t="shared" si="224"/>
        <v>0</v>
      </c>
      <c r="K2475" s="80"/>
      <c r="L2475" s="808"/>
      <c r="M2475" s="154" t="str">
        <f>+IFERROR(VLOOKUP(L2475,DATA!$G$4:$H$2000,2,FALSE),"")</f>
        <v/>
      </c>
      <c r="N2475" s="808"/>
      <c r="O2475" s="154" t="str">
        <f>IFERROR(VLOOKUP(N2475,DATA!$K$4:$L$51,2,FALSE),"")</f>
        <v/>
      </c>
    </row>
    <row r="2476" spans="2:15">
      <c r="B2476" s="628" t="str">
        <f t="shared" si="225"/>
        <v/>
      </c>
      <c r="C2476" s="631"/>
      <c r="D2476" s="818"/>
      <c r="E2476" s="808"/>
      <c r="F2476" s="632" t="str">
        <f>IFERROR(VLOOKUP(E2476,STAT1!$C$4:$D$8000,2,FALSE),"")</f>
        <v/>
      </c>
      <c r="G2476" s="891"/>
      <c r="H2476" s="891"/>
      <c r="I2476" s="580">
        <f t="shared" si="223"/>
        <v>0</v>
      </c>
      <c r="J2476" s="961">
        <f t="shared" si="224"/>
        <v>0</v>
      </c>
      <c r="K2476" s="80"/>
      <c r="L2476" s="808"/>
      <c r="M2476" s="154" t="str">
        <f>+IFERROR(VLOOKUP(L2476,DATA!$G$4:$H$2000,2,FALSE),"")</f>
        <v/>
      </c>
      <c r="N2476" s="808"/>
      <c r="O2476" s="154" t="str">
        <f>IFERROR(VLOOKUP(N2476,DATA!$K$4:$L$51,2,FALSE),"")</f>
        <v/>
      </c>
    </row>
    <row r="2477" spans="2:15">
      <c r="B2477" s="628" t="str">
        <f t="shared" si="225"/>
        <v/>
      </c>
      <c r="C2477" s="634"/>
      <c r="D2477" s="818"/>
      <c r="E2477" s="809"/>
      <c r="F2477" s="632" t="str">
        <f>IFERROR(VLOOKUP(E2477,STAT1!$C$4:$D$8000,2,FALSE),"")</f>
        <v/>
      </c>
      <c r="G2477" s="892"/>
      <c r="H2477" s="892"/>
      <c r="I2477" s="580">
        <f t="shared" si="223"/>
        <v>0</v>
      </c>
      <c r="J2477" s="961">
        <f t="shared" si="224"/>
        <v>0</v>
      </c>
      <c r="K2477" s="80"/>
      <c r="L2477" s="809"/>
      <c r="M2477" s="154" t="str">
        <f>+IFERROR(VLOOKUP(L2477,DATA!$G$4:$H$2000,2,FALSE),"")</f>
        <v/>
      </c>
      <c r="N2477" s="809"/>
      <c r="O2477" s="154" t="str">
        <f>IFERROR(VLOOKUP(N2477,DATA!$K$4:$L$51,2,FALSE),"")</f>
        <v/>
      </c>
    </row>
    <row r="2478" spans="2:15">
      <c r="B2478" s="628" t="str">
        <f t="shared" si="225"/>
        <v/>
      </c>
      <c r="C2478" s="634"/>
      <c r="D2478" s="818"/>
      <c r="E2478" s="809"/>
      <c r="F2478" s="632" t="str">
        <f>IFERROR(VLOOKUP(E2478,STAT1!$C$4:$D$8000,2,FALSE),"")</f>
        <v/>
      </c>
      <c r="G2478" s="892"/>
      <c r="H2478" s="892"/>
      <c r="I2478" s="580">
        <f t="shared" si="223"/>
        <v>0</v>
      </c>
      <c r="J2478" s="961">
        <f t="shared" si="224"/>
        <v>0</v>
      </c>
      <c r="K2478" s="80"/>
      <c r="L2478" s="809"/>
      <c r="M2478" s="154" t="str">
        <f>+IFERROR(VLOOKUP(L2478,DATA!$G$4:$H$2000,2,FALSE),"")</f>
        <v/>
      </c>
      <c r="N2478" s="809"/>
      <c r="O2478" s="154" t="str">
        <f>IFERROR(VLOOKUP(N2478,DATA!$K$4:$L$51,2,FALSE),"")</f>
        <v/>
      </c>
    </row>
    <row r="2479" spans="2:15">
      <c r="B2479" s="628" t="str">
        <f t="shared" si="225"/>
        <v/>
      </c>
      <c r="C2479" s="634"/>
      <c r="D2479" s="817"/>
      <c r="E2479" s="809"/>
      <c r="F2479" s="632" t="str">
        <f>IFERROR(VLOOKUP(E2479,STAT1!$C$4:$D$8000,2,FALSE),"")</f>
        <v/>
      </c>
      <c r="G2479" s="892"/>
      <c r="H2479" s="892"/>
      <c r="I2479" s="580">
        <f t="shared" si="223"/>
        <v>0</v>
      </c>
      <c r="J2479" s="961">
        <f t="shared" si="224"/>
        <v>0</v>
      </c>
      <c r="K2479" s="80"/>
      <c r="L2479" s="809"/>
      <c r="M2479" s="154" t="str">
        <f>+IFERROR(VLOOKUP(L2479,DATA!$G$4:$H$2000,2,FALSE),"")</f>
        <v/>
      </c>
      <c r="N2479" s="809"/>
      <c r="O2479" s="154" t="str">
        <f>IFERROR(VLOOKUP(N2479,DATA!$K$4:$L$51,2,FALSE),"")</f>
        <v/>
      </c>
    </row>
    <row r="2480" spans="2:15">
      <c r="B2480" s="628" t="str">
        <f t="shared" si="225"/>
        <v/>
      </c>
      <c r="C2480" s="631"/>
      <c r="D2480" s="817"/>
      <c r="E2480" s="808"/>
      <c r="F2480" s="632" t="str">
        <f>IFERROR(VLOOKUP(E2480,STAT1!$C$4:$D$8000,2,FALSE),"")</f>
        <v/>
      </c>
      <c r="G2480" s="891"/>
      <c r="H2480" s="891"/>
      <c r="I2480" s="580">
        <f t="shared" si="223"/>
        <v>0</v>
      </c>
      <c r="J2480" s="961">
        <f t="shared" si="224"/>
        <v>0</v>
      </c>
      <c r="K2480" s="80"/>
      <c r="L2480" s="808"/>
      <c r="M2480" s="154" t="str">
        <f>+IFERROR(VLOOKUP(L2480,DATA!$G$4:$H$2000,2,FALSE),"")</f>
        <v/>
      </c>
      <c r="N2480" s="808"/>
      <c r="O2480" s="154" t="str">
        <f>IFERROR(VLOOKUP(N2480,DATA!$K$4:$L$51,2,FALSE),"")</f>
        <v/>
      </c>
    </row>
    <row r="2481" spans="2:15">
      <c r="B2481" s="628" t="str">
        <f t="shared" si="225"/>
        <v/>
      </c>
      <c r="C2481" s="631"/>
      <c r="D2481" s="817"/>
      <c r="E2481" s="808"/>
      <c r="F2481" s="632" t="str">
        <f>IFERROR(VLOOKUP(E2481,STAT1!$C$4:$D$8000,2,FALSE),"")</f>
        <v/>
      </c>
      <c r="G2481" s="891"/>
      <c r="H2481" s="891"/>
      <c r="I2481" s="580">
        <f t="shared" si="223"/>
        <v>0</v>
      </c>
      <c r="J2481" s="961">
        <f t="shared" si="224"/>
        <v>0</v>
      </c>
      <c r="K2481" s="80"/>
      <c r="L2481" s="808"/>
      <c r="M2481" s="154" t="str">
        <f>+IFERROR(VLOOKUP(L2481,DATA!$G$4:$H$2000,2,FALSE),"")</f>
        <v/>
      </c>
      <c r="N2481" s="808"/>
      <c r="O2481" s="154" t="str">
        <f>IFERROR(VLOOKUP(N2481,DATA!$K$4:$L$51,2,FALSE),"")</f>
        <v/>
      </c>
    </row>
    <row r="2482" spans="2:15">
      <c r="B2482" s="628" t="str">
        <f t="shared" si="225"/>
        <v/>
      </c>
      <c r="C2482" s="631"/>
      <c r="D2482" s="817"/>
      <c r="E2482" s="808"/>
      <c r="F2482" s="632" t="str">
        <f>IFERROR(VLOOKUP(E2482,STAT1!$C$4:$D$8000,2,FALSE),"")</f>
        <v/>
      </c>
      <c r="G2482" s="891"/>
      <c r="H2482" s="891"/>
      <c r="I2482" s="580">
        <f t="shared" si="223"/>
        <v>0</v>
      </c>
      <c r="J2482" s="961">
        <f t="shared" si="224"/>
        <v>0</v>
      </c>
      <c r="K2482" s="80"/>
      <c r="L2482" s="808"/>
      <c r="M2482" s="154" t="str">
        <f>+IFERROR(VLOOKUP(L2482,DATA!$G$4:$H$2000,2,FALSE),"")</f>
        <v/>
      </c>
      <c r="N2482" s="808"/>
      <c r="O2482" s="154" t="str">
        <f>IFERROR(VLOOKUP(N2482,DATA!$K$4:$L$51,2,FALSE),"")</f>
        <v/>
      </c>
    </row>
    <row r="2483" spans="2:15">
      <c r="B2483" s="628" t="str">
        <f t="shared" si="225"/>
        <v/>
      </c>
      <c r="C2483" s="631"/>
      <c r="D2483" s="817"/>
      <c r="E2483" s="808"/>
      <c r="F2483" s="632" t="str">
        <f>IFERROR(VLOOKUP(E2483,STAT1!$C$4:$D$8000,2,FALSE),"")</f>
        <v/>
      </c>
      <c r="G2483" s="891"/>
      <c r="H2483" s="891"/>
      <c r="I2483" s="580">
        <f t="shared" si="223"/>
        <v>0</v>
      </c>
      <c r="J2483" s="961">
        <f t="shared" si="224"/>
        <v>0</v>
      </c>
      <c r="K2483" s="80"/>
      <c r="L2483" s="808"/>
      <c r="M2483" s="154" t="str">
        <f>+IFERROR(VLOOKUP(L2483,DATA!$G$4:$H$2000,2,FALSE),"")</f>
        <v/>
      </c>
      <c r="N2483" s="808"/>
      <c r="O2483" s="154" t="str">
        <f>IFERROR(VLOOKUP(N2483,DATA!$K$4:$L$51,2,FALSE),"")</f>
        <v/>
      </c>
    </row>
    <row r="2484" spans="2:15">
      <c r="B2484" s="628" t="str">
        <f t="shared" si="225"/>
        <v/>
      </c>
      <c r="C2484" s="631"/>
      <c r="D2484" s="817"/>
      <c r="E2484" s="808"/>
      <c r="F2484" s="632" t="str">
        <f>IFERROR(VLOOKUP(E2484,STAT1!$C$4:$D$8000,2,FALSE),"")</f>
        <v/>
      </c>
      <c r="G2484" s="891"/>
      <c r="H2484" s="891"/>
      <c r="I2484" s="580">
        <f t="shared" si="223"/>
        <v>0</v>
      </c>
      <c r="J2484" s="961">
        <f t="shared" si="224"/>
        <v>0</v>
      </c>
      <c r="K2484" s="80"/>
      <c r="L2484" s="808"/>
      <c r="M2484" s="154" t="str">
        <f>+IFERROR(VLOOKUP(L2484,DATA!$G$4:$H$2000,2,FALSE),"")</f>
        <v/>
      </c>
      <c r="N2484" s="808"/>
      <c r="O2484" s="154" t="str">
        <f>IFERROR(VLOOKUP(N2484,DATA!$K$4:$L$51,2,FALSE),"")</f>
        <v/>
      </c>
    </row>
    <row r="2485" spans="2:15">
      <c r="B2485" s="628" t="str">
        <f t="shared" si="225"/>
        <v/>
      </c>
      <c r="C2485" s="631"/>
      <c r="D2485" s="817"/>
      <c r="E2485" s="808"/>
      <c r="F2485" s="632" t="str">
        <f>IFERROR(VLOOKUP(E2485,STAT1!$C$4:$D$8000,2,FALSE),"")</f>
        <v/>
      </c>
      <c r="G2485" s="891"/>
      <c r="H2485" s="891"/>
      <c r="I2485" s="580">
        <f t="shared" si="223"/>
        <v>0</v>
      </c>
      <c r="J2485" s="961">
        <f t="shared" si="224"/>
        <v>0</v>
      </c>
      <c r="K2485" s="80"/>
      <c r="L2485" s="808"/>
      <c r="M2485" s="154" t="str">
        <f>+IFERROR(VLOOKUP(L2485,DATA!$G$4:$H$2000,2,FALSE),"")</f>
        <v/>
      </c>
      <c r="N2485" s="808"/>
      <c r="O2485" s="154" t="str">
        <f>IFERROR(VLOOKUP(N2485,DATA!$K$4:$L$51,2,FALSE),"")</f>
        <v/>
      </c>
    </row>
    <row r="2486" spans="2:15">
      <c r="B2486" s="628" t="str">
        <f t="shared" si="225"/>
        <v/>
      </c>
      <c r="C2486" s="631"/>
      <c r="D2486" s="818"/>
      <c r="E2486" s="808"/>
      <c r="F2486" s="632" t="str">
        <f>IFERROR(VLOOKUP(E2486,STAT1!$C$4:$D$8000,2,FALSE),"")</f>
        <v/>
      </c>
      <c r="G2486" s="891"/>
      <c r="H2486" s="891"/>
      <c r="I2486" s="580">
        <f t="shared" si="223"/>
        <v>0</v>
      </c>
      <c r="J2486" s="961">
        <f t="shared" si="224"/>
        <v>0</v>
      </c>
      <c r="K2486" s="80"/>
      <c r="L2486" s="808"/>
      <c r="M2486" s="154" t="str">
        <f>+IFERROR(VLOOKUP(L2486,DATA!$G$4:$H$2000,2,FALSE),"")</f>
        <v/>
      </c>
      <c r="N2486" s="808"/>
      <c r="O2486" s="154" t="str">
        <f>IFERROR(VLOOKUP(N2486,DATA!$K$4:$L$51,2,FALSE),"")</f>
        <v/>
      </c>
    </row>
    <row r="2487" spans="2:15">
      <c r="B2487" s="628" t="str">
        <f t="shared" si="225"/>
        <v/>
      </c>
      <c r="C2487" s="634"/>
      <c r="D2487" s="818"/>
      <c r="E2487" s="809"/>
      <c r="F2487" s="632" t="str">
        <f>IFERROR(VLOOKUP(E2487,STAT1!$C$4:$D$8000,2,FALSE),"")</f>
        <v/>
      </c>
      <c r="G2487" s="892"/>
      <c r="H2487" s="892"/>
      <c r="I2487" s="580">
        <f t="shared" si="223"/>
        <v>0</v>
      </c>
      <c r="J2487" s="961">
        <f t="shared" si="224"/>
        <v>0</v>
      </c>
      <c r="K2487" s="80"/>
      <c r="L2487" s="809"/>
      <c r="M2487" s="154" t="str">
        <f>+IFERROR(VLOOKUP(L2487,DATA!$G$4:$H$2000,2,FALSE),"")</f>
        <v/>
      </c>
      <c r="N2487" s="809"/>
      <c r="O2487" s="154" t="str">
        <f>IFERROR(VLOOKUP(N2487,DATA!$K$4:$L$51,2,FALSE),"")</f>
        <v/>
      </c>
    </row>
    <row r="2488" spans="2:15">
      <c r="B2488" s="628" t="str">
        <f t="shared" si="225"/>
        <v/>
      </c>
      <c r="C2488" s="634"/>
      <c r="D2488" s="818"/>
      <c r="E2488" s="809"/>
      <c r="F2488" s="632" t="str">
        <f>IFERROR(VLOOKUP(E2488,STAT1!$C$4:$D$8000,2,FALSE),"")</f>
        <v/>
      </c>
      <c r="G2488" s="892"/>
      <c r="H2488" s="892"/>
      <c r="I2488" s="580">
        <f t="shared" si="223"/>
        <v>0</v>
      </c>
      <c r="J2488" s="961">
        <f t="shared" si="224"/>
        <v>0</v>
      </c>
      <c r="K2488" s="80"/>
      <c r="L2488" s="809"/>
      <c r="M2488" s="154" t="str">
        <f>+IFERROR(VLOOKUP(L2488,DATA!$G$4:$H$2000,2,FALSE),"")</f>
        <v/>
      </c>
      <c r="N2488" s="809"/>
      <c r="O2488" s="154" t="str">
        <f>IFERROR(VLOOKUP(N2488,DATA!$K$4:$L$51,2,FALSE),"")</f>
        <v/>
      </c>
    </row>
    <row r="2489" spans="2:15">
      <c r="B2489" s="628" t="str">
        <f t="shared" si="225"/>
        <v/>
      </c>
      <c r="C2489" s="634"/>
      <c r="D2489" s="817"/>
      <c r="E2489" s="809"/>
      <c r="F2489" s="632" t="str">
        <f>IFERROR(VLOOKUP(E2489,STAT1!$C$4:$D$8000,2,FALSE),"")</f>
        <v/>
      </c>
      <c r="G2489" s="892"/>
      <c r="H2489" s="892"/>
      <c r="I2489" s="580">
        <f t="shared" si="223"/>
        <v>0</v>
      </c>
      <c r="J2489" s="961">
        <f t="shared" si="224"/>
        <v>0</v>
      </c>
      <c r="K2489" s="80"/>
      <c r="L2489" s="809"/>
      <c r="M2489" s="154" t="str">
        <f>+IFERROR(VLOOKUP(L2489,DATA!$G$4:$H$2000,2,FALSE),"")</f>
        <v/>
      </c>
      <c r="N2489" s="809"/>
      <c r="O2489" s="154" t="str">
        <f>IFERROR(VLOOKUP(N2489,DATA!$K$4:$L$51,2,FALSE),"")</f>
        <v/>
      </c>
    </row>
    <row r="2490" spans="2:15">
      <c r="B2490" s="628" t="str">
        <f t="shared" si="225"/>
        <v/>
      </c>
      <c r="C2490" s="631"/>
      <c r="D2490" s="817"/>
      <c r="E2490" s="808"/>
      <c r="F2490" s="632" t="str">
        <f>IFERROR(VLOOKUP(E2490,STAT1!$C$4:$D$8000,2,FALSE),"")</f>
        <v/>
      </c>
      <c r="G2490" s="891"/>
      <c r="H2490" s="891"/>
      <c r="I2490" s="580">
        <f t="shared" si="223"/>
        <v>0</v>
      </c>
      <c r="J2490" s="961">
        <f t="shared" si="224"/>
        <v>0</v>
      </c>
      <c r="K2490" s="80"/>
      <c r="L2490" s="808"/>
      <c r="M2490" s="154" t="str">
        <f>+IFERROR(VLOOKUP(L2490,DATA!$G$4:$H$2000,2,FALSE),"")</f>
        <v/>
      </c>
      <c r="N2490" s="808"/>
      <c r="O2490" s="154" t="str">
        <f>IFERROR(VLOOKUP(N2490,DATA!$K$4:$L$51,2,FALSE),"")</f>
        <v/>
      </c>
    </row>
    <row r="2491" spans="2:15">
      <c r="B2491" s="628" t="str">
        <f t="shared" si="225"/>
        <v/>
      </c>
      <c r="C2491" s="631"/>
      <c r="D2491" s="817"/>
      <c r="E2491" s="808"/>
      <c r="F2491" s="632" t="str">
        <f>IFERROR(VLOOKUP(E2491,STAT1!$C$4:$D$8000,2,FALSE),"")</f>
        <v/>
      </c>
      <c r="G2491" s="891"/>
      <c r="H2491" s="891"/>
      <c r="I2491" s="580">
        <f t="shared" si="223"/>
        <v>0</v>
      </c>
      <c r="J2491" s="961">
        <f t="shared" si="224"/>
        <v>0</v>
      </c>
      <c r="K2491" s="80"/>
      <c r="L2491" s="808"/>
      <c r="M2491" s="154" t="str">
        <f>+IFERROR(VLOOKUP(L2491,DATA!$G$4:$H$2000,2,FALSE),"")</f>
        <v/>
      </c>
      <c r="N2491" s="808"/>
      <c r="O2491" s="154" t="str">
        <f>IFERROR(VLOOKUP(N2491,DATA!$K$4:$L$51,2,FALSE),"")</f>
        <v/>
      </c>
    </row>
    <row r="2492" spans="2:15">
      <c r="B2492" s="628" t="str">
        <f t="shared" si="225"/>
        <v/>
      </c>
      <c r="C2492" s="631"/>
      <c r="D2492" s="817"/>
      <c r="E2492" s="808"/>
      <c r="F2492" s="632" t="str">
        <f>IFERROR(VLOOKUP(E2492,STAT1!$C$4:$D$8000,2,FALSE),"")</f>
        <v/>
      </c>
      <c r="G2492" s="891"/>
      <c r="H2492" s="891"/>
      <c r="I2492" s="580">
        <f t="shared" si="223"/>
        <v>0</v>
      </c>
      <c r="J2492" s="961">
        <f t="shared" si="224"/>
        <v>0</v>
      </c>
      <c r="K2492" s="80"/>
      <c r="L2492" s="808"/>
      <c r="M2492" s="154" t="str">
        <f>+IFERROR(VLOOKUP(L2492,DATA!$G$4:$H$2000,2,FALSE),"")</f>
        <v/>
      </c>
      <c r="N2492" s="808"/>
      <c r="O2492" s="154" t="str">
        <f>IFERROR(VLOOKUP(N2492,DATA!$K$4:$L$51,2,FALSE),"")</f>
        <v/>
      </c>
    </row>
    <row r="2493" spans="2:15">
      <c r="B2493" s="628" t="str">
        <f t="shared" si="225"/>
        <v/>
      </c>
      <c r="C2493" s="631"/>
      <c r="D2493" s="817"/>
      <c r="E2493" s="808"/>
      <c r="F2493" s="632" t="str">
        <f>IFERROR(VLOOKUP(E2493,STAT1!$C$4:$D$8000,2,FALSE),"")</f>
        <v/>
      </c>
      <c r="G2493" s="891"/>
      <c r="H2493" s="891"/>
      <c r="I2493" s="580">
        <f t="shared" si="223"/>
        <v>0</v>
      </c>
      <c r="J2493" s="961">
        <f t="shared" si="224"/>
        <v>0</v>
      </c>
      <c r="K2493" s="80"/>
      <c r="L2493" s="808"/>
      <c r="M2493" s="154" t="str">
        <f>+IFERROR(VLOOKUP(L2493,DATA!$G$4:$H$2000,2,FALSE),"")</f>
        <v/>
      </c>
      <c r="N2493" s="808"/>
      <c r="O2493" s="154" t="str">
        <f>IFERROR(VLOOKUP(N2493,DATA!$K$4:$L$51,2,FALSE),"")</f>
        <v/>
      </c>
    </row>
    <row r="2494" spans="2:15">
      <c r="B2494" s="628" t="str">
        <f t="shared" si="225"/>
        <v/>
      </c>
      <c r="C2494" s="631"/>
      <c r="D2494" s="817"/>
      <c r="E2494" s="808"/>
      <c r="F2494" s="632" t="str">
        <f>IFERROR(VLOOKUP(E2494,STAT1!$C$4:$D$8000,2,FALSE),"")</f>
        <v/>
      </c>
      <c r="G2494" s="891"/>
      <c r="H2494" s="891"/>
      <c r="I2494" s="580">
        <f t="shared" ref="I2494:I2557" si="226">+IF(OR(E2494=100100,E2494=100200,E2494=110100,E2494=110102,E2494=110103,E2494=110104,E2494=110105,E2494=110200,E2494=110201,E2494=110202,E2494=110203,E2494=110204,E2494=110300),G2494,0)+IF(OR(E2494=100100,E2494=100200,E2494=110100,E2494=110102,E2494=110103,E2494=110104,E2494=110105,E2494=110200,E2494=110201,E2494=110202,E2494=110203,E2494=110204,E2494=110300),H2494*-1,0)</f>
        <v>0</v>
      </c>
      <c r="J2494" s="961">
        <f t="shared" ref="J2494:J2557" si="227">+IF(E2494=110200,I2494/K2494,0)</f>
        <v>0</v>
      </c>
      <c r="K2494" s="80"/>
      <c r="L2494" s="808"/>
      <c r="M2494" s="154" t="str">
        <f>+IFERROR(VLOOKUP(L2494,DATA!$G$4:$H$2000,2,FALSE),"")</f>
        <v/>
      </c>
      <c r="N2494" s="808"/>
      <c r="O2494" s="154" t="str">
        <f>IFERROR(VLOOKUP(N2494,DATA!$K$4:$L$51,2,FALSE),"")</f>
        <v/>
      </c>
    </row>
    <row r="2495" spans="2:15">
      <c r="B2495" s="628" t="str">
        <f t="shared" si="225"/>
        <v/>
      </c>
      <c r="C2495" s="631"/>
      <c r="D2495" s="817"/>
      <c r="E2495" s="808"/>
      <c r="F2495" s="632" t="str">
        <f>IFERROR(VLOOKUP(E2495,STAT1!$C$4:$D$8000,2,FALSE),"")</f>
        <v/>
      </c>
      <c r="G2495" s="891"/>
      <c r="H2495" s="891"/>
      <c r="I2495" s="580">
        <f t="shared" si="226"/>
        <v>0</v>
      </c>
      <c r="J2495" s="961">
        <f t="shared" si="227"/>
        <v>0</v>
      </c>
      <c r="K2495" s="80"/>
      <c r="L2495" s="808"/>
      <c r="M2495" s="154" t="str">
        <f>+IFERROR(VLOOKUP(L2495,DATA!$G$4:$H$2000,2,FALSE),"")</f>
        <v/>
      </c>
      <c r="N2495" s="808"/>
      <c r="O2495" s="154" t="str">
        <f>IFERROR(VLOOKUP(N2495,DATA!$K$4:$L$51,2,FALSE),"")</f>
        <v/>
      </c>
    </row>
    <row r="2496" spans="2:15">
      <c r="B2496" s="628" t="str">
        <f t="shared" si="225"/>
        <v/>
      </c>
      <c r="C2496" s="631"/>
      <c r="E2496" s="808"/>
      <c r="F2496" s="632" t="str">
        <f>IFERROR(VLOOKUP(E2496,STAT1!$C$4:$D$8000,2,FALSE),"")</f>
        <v/>
      </c>
      <c r="G2496" s="891"/>
      <c r="H2496" s="891"/>
      <c r="I2496" s="580">
        <f t="shared" si="226"/>
        <v>0</v>
      </c>
      <c r="J2496" s="961">
        <f t="shared" si="227"/>
        <v>0</v>
      </c>
      <c r="K2496" s="80"/>
      <c r="L2496" s="808"/>
      <c r="M2496" s="154" t="str">
        <f>+IFERROR(VLOOKUP(L2496,DATA!$G$4:$H$2000,2,FALSE),"")</f>
        <v/>
      </c>
      <c r="N2496" s="808"/>
      <c r="O2496" s="154" t="str">
        <f>IFERROR(VLOOKUP(N2496,DATA!$K$4:$L$51,2,FALSE),"")</f>
        <v/>
      </c>
    </row>
    <row r="2497" spans="2:15">
      <c r="B2497" s="628" t="str">
        <f t="shared" si="225"/>
        <v/>
      </c>
      <c r="E2497" s="584"/>
      <c r="F2497" s="556" t="str">
        <f>IFERROR(VLOOKUP(E2497,STAT1!$C$4:$D$8000,2,FALSE),"")</f>
        <v/>
      </c>
      <c r="I2497" s="580">
        <f t="shared" si="226"/>
        <v>0</v>
      </c>
      <c r="J2497" s="961">
        <f t="shared" si="227"/>
        <v>0</v>
      </c>
      <c r="K2497" s="80"/>
      <c r="M2497" s="154" t="str">
        <f>+IFERROR(VLOOKUP(L2497,DATA!$G$4:$H$2000,2,FALSE),"")</f>
        <v/>
      </c>
      <c r="O2497" s="154" t="str">
        <f>IFERROR(VLOOKUP(N2497,DATA!$K$4:$L$51,2,FALSE),"")</f>
        <v/>
      </c>
    </row>
    <row r="2498" spans="2:15">
      <c r="B2498" s="628" t="str">
        <f t="shared" si="225"/>
        <v/>
      </c>
      <c r="E2498" s="584"/>
      <c r="F2498" s="556" t="str">
        <f>IFERROR(VLOOKUP(E2498,STAT1!$C$4:$D$8000,2,FALSE),"")</f>
        <v/>
      </c>
      <c r="I2498" s="580">
        <f t="shared" si="226"/>
        <v>0</v>
      </c>
      <c r="J2498" s="961">
        <f t="shared" si="227"/>
        <v>0</v>
      </c>
      <c r="K2498" s="80"/>
      <c r="M2498" s="154" t="str">
        <f>+IFERROR(VLOOKUP(L2498,DATA!$G$4:$H$2000,2,FALSE),"")</f>
        <v/>
      </c>
      <c r="O2498" s="154" t="str">
        <f>IFERROR(VLOOKUP(N2498,DATA!$K$4:$L$51,2,FALSE),"")</f>
        <v/>
      </c>
    </row>
    <row r="2499" spans="2:15">
      <c r="B2499" s="628" t="str">
        <f t="shared" si="225"/>
        <v/>
      </c>
      <c r="E2499" s="584"/>
      <c r="F2499" s="556" t="str">
        <f>IFERROR(VLOOKUP(E2499,STAT1!$C$4:$D$8000,2,FALSE),"")</f>
        <v/>
      </c>
      <c r="I2499" s="580">
        <f t="shared" si="226"/>
        <v>0</v>
      </c>
      <c r="J2499" s="961">
        <f t="shared" si="227"/>
        <v>0</v>
      </c>
      <c r="K2499" s="80"/>
      <c r="M2499" s="154" t="str">
        <f>+IFERROR(VLOOKUP(L2499,DATA!$G$4:$H$2000,2,FALSE),"")</f>
        <v/>
      </c>
      <c r="O2499" s="154" t="str">
        <f>IFERROR(VLOOKUP(N2499,DATA!$K$4:$L$51,2,FALSE),"")</f>
        <v/>
      </c>
    </row>
    <row r="2500" spans="2:15">
      <c r="B2500" s="628" t="str">
        <f t="shared" ref="B2500:B2530" si="228">+IF(C2500="","",ROW()-5)</f>
        <v/>
      </c>
      <c r="E2500" s="584"/>
      <c r="F2500" s="556" t="str">
        <f>IFERROR(VLOOKUP(E2500,STAT1!$C$4:$D$8000,2,FALSE),"")</f>
        <v/>
      </c>
      <c r="I2500" s="580">
        <f t="shared" si="226"/>
        <v>0</v>
      </c>
      <c r="J2500" s="961">
        <f t="shared" si="227"/>
        <v>0</v>
      </c>
      <c r="K2500" s="80"/>
      <c r="M2500" s="154" t="str">
        <f>+IFERROR(VLOOKUP(L2500,DATA!$G$4:$H$2000,2,FALSE),"")</f>
        <v/>
      </c>
      <c r="O2500" s="154" t="str">
        <f>IFERROR(VLOOKUP(N2500,DATA!$K$4:$L$51,2,FALSE),"")</f>
        <v/>
      </c>
    </row>
    <row r="2501" spans="2:15">
      <c r="B2501" s="628" t="str">
        <f t="shared" si="228"/>
        <v/>
      </c>
      <c r="E2501" s="584"/>
      <c r="F2501" s="556" t="str">
        <f>IFERROR(VLOOKUP(E2501,STAT1!$C$4:$D$8000,2,FALSE),"")</f>
        <v/>
      </c>
      <c r="I2501" s="580">
        <f t="shared" si="226"/>
        <v>0</v>
      </c>
      <c r="J2501" s="961">
        <f t="shared" si="227"/>
        <v>0</v>
      </c>
      <c r="K2501" s="80"/>
      <c r="M2501" s="154" t="str">
        <f>+IFERROR(VLOOKUP(L2501,DATA!$G$4:$H$2000,2,FALSE),"")</f>
        <v/>
      </c>
      <c r="O2501" s="154" t="str">
        <f>IFERROR(VLOOKUP(N2501,DATA!$K$4:$L$51,2,FALSE),"")</f>
        <v/>
      </c>
    </row>
    <row r="2502" spans="2:15">
      <c r="B2502" s="628" t="str">
        <f t="shared" si="228"/>
        <v/>
      </c>
      <c r="E2502" s="584"/>
      <c r="F2502" s="556" t="str">
        <f>IFERROR(VLOOKUP(E2502,STAT1!$C$4:$D$8000,2,FALSE),"")</f>
        <v/>
      </c>
      <c r="I2502" s="580">
        <f t="shared" si="226"/>
        <v>0</v>
      </c>
      <c r="J2502" s="961">
        <f t="shared" si="227"/>
        <v>0</v>
      </c>
      <c r="K2502" s="80"/>
      <c r="M2502" s="154" t="str">
        <f>+IFERROR(VLOOKUP(L2502,DATA!$G$4:$H$2000,2,FALSE),"")</f>
        <v/>
      </c>
      <c r="O2502" s="154" t="str">
        <f>IFERROR(VLOOKUP(N2502,DATA!$K$4:$L$51,2,FALSE),"")</f>
        <v/>
      </c>
    </row>
    <row r="2503" spans="2:15">
      <c r="B2503" s="628" t="str">
        <f t="shared" si="228"/>
        <v/>
      </c>
      <c r="E2503" s="584"/>
      <c r="F2503" s="556" t="str">
        <f>IFERROR(VLOOKUP(E2503,STAT1!$C$4:$D$8000,2,FALSE),"")</f>
        <v/>
      </c>
      <c r="I2503" s="580">
        <f t="shared" si="226"/>
        <v>0</v>
      </c>
      <c r="J2503" s="961">
        <f t="shared" si="227"/>
        <v>0</v>
      </c>
      <c r="K2503" s="80"/>
      <c r="M2503" s="154" t="str">
        <f>+IFERROR(VLOOKUP(L2503,DATA!$G$4:$H$2000,2,FALSE),"")</f>
        <v/>
      </c>
      <c r="O2503" s="154" t="str">
        <f>IFERROR(VLOOKUP(N2503,DATA!$K$4:$L$51,2,FALSE),"")</f>
        <v/>
      </c>
    </row>
    <row r="2504" spans="2:15">
      <c r="B2504" s="628" t="str">
        <f t="shared" si="228"/>
        <v/>
      </c>
      <c r="E2504" s="584"/>
      <c r="F2504" s="556" t="str">
        <f>IFERROR(VLOOKUP(E2504,STAT1!$C$4:$D$8000,2,FALSE),"")</f>
        <v/>
      </c>
      <c r="I2504" s="580">
        <f t="shared" si="226"/>
        <v>0</v>
      </c>
      <c r="J2504" s="961">
        <f t="shared" si="227"/>
        <v>0</v>
      </c>
      <c r="K2504" s="80"/>
      <c r="M2504" s="154" t="str">
        <f>+IFERROR(VLOOKUP(L2504,DATA!$G$4:$H$2000,2,FALSE),"")</f>
        <v/>
      </c>
      <c r="O2504" s="154" t="str">
        <f>IFERROR(VLOOKUP(N2504,DATA!$K$4:$L$51,2,FALSE),"")</f>
        <v/>
      </c>
    </row>
    <row r="2505" spans="2:15">
      <c r="B2505" s="628" t="str">
        <f t="shared" si="228"/>
        <v/>
      </c>
      <c r="E2505" s="584"/>
      <c r="F2505" s="556" t="str">
        <f>IFERROR(VLOOKUP(E2505,STAT1!$C$4:$D$8000,2,FALSE),"")</f>
        <v/>
      </c>
      <c r="I2505" s="580">
        <f t="shared" si="226"/>
        <v>0</v>
      </c>
      <c r="J2505" s="961">
        <f t="shared" si="227"/>
        <v>0</v>
      </c>
      <c r="K2505" s="80"/>
      <c r="M2505" s="154" t="str">
        <f>+IFERROR(VLOOKUP(L2505,DATA!$G$4:$H$2000,2,FALSE),"")</f>
        <v/>
      </c>
      <c r="O2505" s="154" t="str">
        <f>IFERROR(VLOOKUP(N2505,DATA!$K$4:$L$51,2,FALSE),"")</f>
        <v/>
      </c>
    </row>
    <row r="2506" spans="2:15">
      <c r="B2506" s="628" t="str">
        <f t="shared" si="228"/>
        <v/>
      </c>
      <c r="E2506" s="584"/>
      <c r="F2506" s="556" t="str">
        <f>IFERROR(VLOOKUP(E2506,STAT1!$C$4:$D$8000,2,FALSE),"")</f>
        <v/>
      </c>
      <c r="I2506" s="580">
        <f t="shared" si="226"/>
        <v>0</v>
      </c>
      <c r="J2506" s="961">
        <f t="shared" si="227"/>
        <v>0</v>
      </c>
      <c r="K2506" s="80"/>
      <c r="M2506" s="154" t="str">
        <f>+IFERROR(VLOOKUP(L2506,DATA!$G$4:$H$2000,2,FALSE),"")</f>
        <v/>
      </c>
      <c r="O2506" s="154" t="str">
        <f>IFERROR(VLOOKUP(N2506,DATA!$K$4:$L$51,2,FALSE),"")</f>
        <v/>
      </c>
    </row>
    <row r="2507" spans="2:15">
      <c r="B2507" s="628" t="str">
        <f t="shared" si="228"/>
        <v/>
      </c>
      <c r="E2507" s="584"/>
      <c r="F2507" s="556" t="str">
        <f>IFERROR(VLOOKUP(E2507,STAT1!$C$4:$D$8000,2,FALSE),"")</f>
        <v/>
      </c>
      <c r="I2507" s="580">
        <f t="shared" si="226"/>
        <v>0</v>
      </c>
      <c r="J2507" s="961">
        <f t="shared" si="227"/>
        <v>0</v>
      </c>
      <c r="K2507" s="80"/>
      <c r="M2507" s="154" t="str">
        <f>+IFERROR(VLOOKUP(L2507,DATA!$G$4:$H$2000,2,FALSE),"")</f>
        <v/>
      </c>
      <c r="O2507" s="154" t="str">
        <f>IFERROR(VLOOKUP(N2507,DATA!$K$4:$L$51,2,FALSE),"")</f>
        <v/>
      </c>
    </row>
    <row r="2508" spans="2:15">
      <c r="B2508" s="628" t="str">
        <f t="shared" si="228"/>
        <v/>
      </c>
      <c r="E2508" s="584"/>
      <c r="F2508" s="556" t="str">
        <f>IFERROR(VLOOKUP(E2508,STAT1!$C$4:$D$8000,2,FALSE),"")</f>
        <v/>
      </c>
      <c r="I2508" s="580">
        <f t="shared" si="226"/>
        <v>0</v>
      </c>
      <c r="J2508" s="961">
        <f t="shared" si="227"/>
        <v>0</v>
      </c>
      <c r="K2508" s="80"/>
      <c r="M2508" s="154" t="str">
        <f>+IFERROR(VLOOKUP(L2508,DATA!$G$4:$H$2000,2,FALSE),"")</f>
        <v/>
      </c>
      <c r="O2508" s="154" t="str">
        <f>IFERROR(VLOOKUP(N2508,DATA!$K$4:$L$51,2,FALSE),"")</f>
        <v/>
      </c>
    </row>
    <row r="2509" spans="2:15">
      <c r="B2509" s="628" t="str">
        <f t="shared" si="228"/>
        <v/>
      </c>
      <c r="E2509" s="584"/>
      <c r="F2509" s="556" t="str">
        <f>IFERROR(VLOOKUP(E2509,STAT1!$C$4:$D$8000,2,FALSE),"")</f>
        <v/>
      </c>
      <c r="I2509" s="580">
        <f t="shared" si="226"/>
        <v>0</v>
      </c>
      <c r="J2509" s="961">
        <f t="shared" si="227"/>
        <v>0</v>
      </c>
      <c r="K2509" s="80"/>
      <c r="M2509" s="154" t="str">
        <f>+IFERROR(VLOOKUP(L2509,DATA!$G$4:$H$2000,2,FALSE),"")</f>
        <v/>
      </c>
      <c r="O2509" s="154" t="str">
        <f>IFERROR(VLOOKUP(N2509,DATA!$K$4:$L$51,2,FALSE),"")</f>
        <v/>
      </c>
    </row>
    <row r="2510" spans="2:15">
      <c r="B2510" s="628" t="str">
        <f t="shared" si="228"/>
        <v/>
      </c>
      <c r="E2510" s="584"/>
      <c r="F2510" s="556" t="str">
        <f>IFERROR(VLOOKUP(E2510,STAT1!$C$4:$D$8000,2,FALSE),"")</f>
        <v/>
      </c>
      <c r="I2510" s="580">
        <f t="shared" si="226"/>
        <v>0</v>
      </c>
      <c r="J2510" s="961">
        <f t="shared" si="227"/>
        <v>0</v>
      </c>
      <c r="K2510" s="80"/>
      <c r="M2510" s="154" t="str">
        <f>+IFERROR(VLOOKUP(L2510,DATA!$G$4:$H$2000,2,FALSE),"")</f>
        <v/>
      </c>
      <c r="O2510" s="154" t="str">
        <f>IFERROR(VLOOKUP(N2510,DATA!$K$4:$L$51,2,FALSE),"")</f>
        <v/>
      </c>
    </row>
    <row r="2511" spans="2:15">
      <c r="B2511" s="628" t="str">
        <f t="shared" si="228"/>
        <v/>
      </c>
      <c r="E2511" s="584"/>
      <c r="F2511" s="556" t="str">
        <f>IFERROR(VLOOKUP(E2511,STAT1!$C$4:$D$8000,2,FALSE),"")</f>
        <v/>
      </c>
      <c r="I2511" s="580">
        <f t="shared" si="226"/>
        <v>0</v>
      </c>
      <c r="J2511" s="961">
        <f t="shared" si="227"/>
        <v>0</v>
      </c>
      <c r="K2511" s="80"/>
      <c r="M2511" s="154" t="str">
        <f>+IFERROR(VLOOKUP(L2511,DATA!$G$4:$H$2000,2,FALSE),"")</f>
        <v/>
      </c>
      <c r="O2511" s="154" t="str">
        <f>IFERROR(VLOOKUP(N2511,DATA!$K$4:$L$51,2,FALSE),"")</f>
        <v/>
      </c>
    </row>
    <row r="2512" spans="2:15">
      <c r="B2512" s="628" t="str">
        <f t="shared" si="228"/>
        <v/>
      </c>
      <c r="E2512" s="584"/>
      <c r="F2512" s="556" t="str">
        <f>IFERROR(VLOOKUP(E2512,STAT1!$C$4:$D$8000,2,FALSE),"")</f>
        <v/>
      </c>
      <c r="I2512" s="580">
        <f t="shared" si="226"/>
        <v>0</v>
      </c>
      <c r="J2512" s="961">
        <f t="shared" si="227"/>
        <v>0</v>
      </c>
      <c r="K2512" s="80"/>
      <c r="M2512" s="154" t="str">
        <f>+IFERROR(VLOOKUP(L2512,DATA!$G$4:$H$2000,2,FALSE),"")</f>
        <v/>
      </c>
      <c r="O2512" s="154" t="str">
        <f>IFERROR(VLOOKUP(N2512,DATA!$K$4:$L$51,2,FALSE),"")</f>
        <v/>
      </c>
    </row>
    <row r="2513" spans="2:15">
      <c r="B2513" s="628" t="str">
        <f t="shared" si="228"/>
        <v/>
      </c>
      <c r="E2513" s="584"/>
      <c r="F2513" s="556" t="str">
        <f>IFERROR(VLOOKUP(E2513,STAT1!$C$4:$D$8000,2,FALSE),"")</f>
        <v/>
      </c>
      <c r="I2513" s="580">
        <f t="shared" si="226"/>
        <v>0</v>
      </c>
      <c r="J2513" s="961">
        <f t="shared" si="227"/>
        <v>0</v>
      </c>
      <c r="K2513" s="80"/>
      <c r="M2513" s="154" t="str">
        <f>+IFERROR(VLOOKUP(L2513,DATA!$G$4:$H$2000,2,FALSE),"")</f>
        <v/>
      </c>
      <c r="O2513" s="154" t="str">
        <f>IFERROR(VLOOKUP(N2513,DATA!$K$4:$L$51,2,FALSE),"")</f>
        <v/>
      </c>
    </row>
    <row r="2514" spans="2:15">
      <c r="B2514" s="628" t="str">
        <f t="shared" si="228"/>
        <v/>
      </c>
      <c r="E2514" s="584"/>
      <c r="F2514" s="556" t="str">
        <f>IFERROR(VLOOKUP(E2514,STAT1!$C$4:$D$8000,2,FALSE),"")</f>
        <v/>
      </c>
      <c r="I2514" s="580">
        <f t="shared" si="226"/>
        <v>0</v>
      </c>
      <c r="J2514" s="961">
        <f t="shared" si="227"/>
        <v>0</v>
      </c>
      <c r="K2514" s="80"/>
      <c r="M2514" s="154" t="str">
        <f>+IFERROR(VLOOKUP(L2514,DATA!$G$4:$H$2000,2,FALSE),"")</f>
        <v/>
      </c>
      <c r="O2514" s="154" t="str">
        <f>IFERROR(VLOOKUP(N2514,DATA!$K$4:$L$51,2,FALSE),"")</f>
        <v/>
      </c>
    </row>
    <row r="2515" spans="2:15">
      <c r="B2515" s="628" t="str">
        <f t="shared" si="228"/>
        <v/>
      </c>
      <c r="E2515" s="584"/>
      <c r="F2515" s="556" t="str">
        <f>IFERROR(VLOOKUP(E2515,STAT1!$C$4:$D$8000,2,FALSE),"")</f>
        <v/>
      </c>
      <c r="I2515" s="580">
        <f t="shared" si="226"/>
        <v>0</v>
      </c>
      <c r="J2515" s="961">
        <f t="shared" si="227"/>
        <v>0</v>
      </c>
      <c r="K2515" s="80"/>
      <c r="M2515" s="154" t="str">
        <f>+IFERROR(VLOOKUP(L2515,DATA!$G$4:$H$2000,2,FALSE),"")</f>
        <v/>
      </c>
      <c r="O2515" s="154" t="str">
        <f>IFERROR(VLOOKUP(N2515,DATA!$K$4:$L$51,2,FALSE),"")</f>
        <v/>
      </c>
    </row>
    <row r="2516" spans="2:15">
      <c r="B2516" s="628" t="str">
        <f t="shared" si="228"/>
        <v/>
      </c>
      <c r="E2516" s="584"/>
      <c r="F2516" s="556" t="str">
        <f>IFERROR(VLOOKUP(E2516,STAT1!$C$4:$D$8000,2,FALSE),"")</f>
        <v/>
      </c>
      <c r="I2516" s="580">
        <f t="shared" si="226"/>
        <v>0</v>
      </c>
      <c r="J2516" s="961">
        <f t="shared" si="227"/>
        <v>0</v>
      </c>
      <c r="K2516" s="80"/>
      <c r="M2516" s="154" t="str">
        <f>+IFERROR(VLOOKUP(L2516,DATA!$G$4:$H$2000,2,FALSE),"")</f>
        <v/>
      </c>
      <c r="O2516" s="154" t="str">
        <f>IFERROR(VLOOKUP(N2516,DATA!$K$4:$L$51,2,FALSE),"")</f>
        <v/>
      </c>
    </row>
    <row r="2517" spans="2:15">
      <c r="B2517" s="628" t="str">
        <f t="shared" si="228"/>
        <v/>
      </c>
      <c r="E2517" s="584"/>
      <c r="F2517" s="556" t="str">
        <f>IFERROR(VLOOKUP(E2517,STAT1!$C$4:$D$8000,2,FALSE),"")</f>
        <v/>
      </c>
      <c r="I2517" s="580">
        <f t="shared" si="226"/>
        <v>0</v>
      </c>
      <c r="J2517" s="961">
        <f t="shared" si="227"/>
        <v>0</v>
      </c>
      <c r="K2517" s="80"/>
      <c r="M2517" s="154" t="str">
        <f>+IFERROR(VLOOKUP(L2517,DATA!$G$4:$H$2000,2,FALSE),"")</f>
        <v/>
      </c>
      <c r="O2517" s="154" t="str">
        <f>IFERROR(VLOOKUP(N2517,DATA!$K$4:$L$51,2,FALSE),"")</f>
        <v/>
      </c>
    </row>
    <row r="2518" spans="2:15">
      <c r="B2518" s="628" t="str">
        <f t="shared" si="228"/>
        <v/>
      </c>
      <c r="E2518" s="584"/>
      <c r="F2518" s="556" t="str">
        <f>IFERROR(VLOOKUP(E2518,STAT1!$C$4:$D$8000,2,FALSE),"")</f>
        <v/>
      </c>
      <c r="I2518" s="580">
        <f t="shared" si="226"/>
        <v>0</v>
      </c>
      <c r="J2518" s="961">
        <f t="shared" si="227"/>
        <v>0</v>
      </c>
      <c r="K2518" s="80"/>
      <c r="M2518" s="154" t="str">
        <f>+IFERROR(VLOOKUP(L2518,DATA!$G$4:$H$2000,2,FALSE),"")</f>
        <v/>
      </c>
      <c r="O2518" s="154" t="str">
        <f>IFERROR(VLOOKUP(N2518,DATA!$K$4:$L$51,2,FALSE),"")</f>
        <v/>
      </c>
    </row>
    <row r="2519" spans="2:15">
      <c r="B2519" s="628" t="str">
        <f t="shared" si="228"/>
        <v/>
      </c>
      <c r="E2519" s="584"/>
      <c r="F2519" s="556" t="str">
        <f>IFERROR(VLOOKUP(E2519,STAT1!$C$4:$D$8000,2,FALSE),"")</f>
        <v/>
      </c>
      <c r="I2519" s="580">
        <f t="shared" si="226"/>
        <v>0</v>
      </c>
      <c r="J2519" s="961">
        <f t="shared" si="227"/>
        <v>0</v>
      </c>
      <c r="K2519" s="80"/>
      <c r="M2519" s="154" t="str">
        <f>+IFERROR(VLOOKUP(L2519,DATA!$G$4:$H$2000,2,FALSE),"")</f>
        <v/>
      </c>
      <c r="O2519" s="154" t="str">
        <f>IFERROR(VLOOKUP(N2519,DATA!$K$4:$L$51,2,FALSE),"")</f>
        <v/>
      </c>
    </row>
    <row r="2520" spans="2:15">
      <c r="B2520" s="628" t="str">
        <f t="shared" si="228"/>
        <v/>
      </c>
      <c r="E2520" s="584"/>
      <c r="F2520" s="556" t="str">
        <f>IFERROR(VLOOKUP(E2520,STAT1!$C$4:$D$8000,2,FALSE),"")</f>
        <v/>
      </c>
      <c r="I2520" s="580">
        <f t="shared" si="226"/>
        <v>0</v>
      </c>
      <c r="J2520" s="961">
        <f t="shared" si="227"/>
        <v>0</v>
      </c>
      <c r="K2520" s="80"/>
      <c r="M2520" s="154" t="str">
        <f>+IFERROR(VLOOKUP(L2520,DATA!$G$4:$H$2000,2,FALSE),"")</f>
        <v/>
      </c>
      <c r="O2520" s="154" t="str">
        <f>IFERROR(VLOOKUP(N2520,DATA!$K$4:$L$51,2,FALSE),"")</f>
        <v/>
      </c>
    </row>
    <row r="2521" spans="2:15">
      <c r="B2521" s="628" t="str">
        <f t="shared" si="228"/>
        <v/>
      </c>
      <c r="E2521" s="584"/>
      <c r="F2521" s="556" t="str">
        <f>IFERROR(VLOOKUP(E2521,STAT1!$C$4:$D$8000,2,FALSE),"")</f>
        <v/>
      </c>
      <c r="I2521" s="580">
        <f t="shared" si="226"/>
        <v>0</v>
      </c>
      <c r="J2521" s="961">
        <f t="shared" si="227"/>
        <v>0</v>
      </c>
      <c r="K2521" s="80"/>
      <c r="M2521" s="154" t="str">
        <f>+IFERROR(VLOOKUP(L2521,DATA!$G$4:$H$2000,2,FALSE),"")</f>
        <v/>
      </c>
      <c r="O2521" s="154" t="str">
        <f>IFERROR(VLOOKUP(N2521,DATA!$K$4:$L$51,2,FALSE),"")</f>
        <v/>
      </c>
    </row>
    <row r="2522" spans="2:15">
      <c r="B2522" s="628" t="str">
        <f t="shared" si="228"/>
        <v/>
      </c>
      <c r="E2522" s="584"/>
      <c r="F2522" s="556" t="str">
        <f>IFERROR(VLOOKUP(E2522,STAT1!$C$4:$D$8000,2,FALSE),"")</f>
        <v/>
      </c>
      <c r="I2522" s="580">
        <f t="shared" si="226"/>
        <v>0</v>
      </c>
      <c r="J2522" s="961">
        <f t="shared" si="227"/>
        <v>0</v>
      </c>
      <c r="K2522" s="80"/>
      <c r="M2522" s="154" t="str">
        <f>+IFERROR(VLOOKUP(L2522,DATA!$G$4:$H$2000,2,FALSE),"")</f>
        <v/>
      </c>
      <c r="O2522" s="154" t="str">
        <f>IFERROR(VLOOKUP(N2522,DATA!$K$4:$L$51,2,FALSE),"")</f>
        <v/>
      </c>
    </row>
    <row r="2523" spans="2:15">
      <c r="B2523" s="628" t="str">
        <f t="shared" si="228"/>
        <v/>
      </c>
      <c r="E2523" s="584"/>
      <c r="F2523" s="556" t="str">
        <f>IFERROR(VLOOKUP(E2523,STAT1!$C$4:$D$8000,2,FALSE),"")</f>
        <v/>
      </c>
      <c r="I2523" s="580">
        <f t="shared" si="226"/>
        <v>0</v>
      </c>
      <c r="J2523" s="961">
        <f t="shared" si="227"/>
        <v>0</v>
      </c>
      <c r="K2523" s="80"/>
      <c r="M2523" s="154" t="str">
        <f>+IFERROR(VLOOKUP(L2523,DATA!$G$4:$H$2000,2,FALSE),"")</f>
        <v/>
      </c>
      <c r="O2523" s="154" t="str">
        <f>IFERROR(VLOOKUP(N2523,DATA!$K$4:$L$51,2,FALSE),"")</f>
        <v/>
      </c>
    </row>
    <row r="2524" spans="2:15">
      <c r="B2524" s="628" t="str">
        <f t="shared" si="228"/>
        <v/>
      </c>
      <c r="E2524" s="584"/>
      <c r="F2524" s="556" t="str">
        <f>IFERROR(VLOOKUP(E2524,STAT1!$C$4:$D$8000,2,FALSE),"")</f>
        <v/>
      </c>
      <c r="I2524" s="580">
        <f t="shared" si="226"/>
        <v>0</v>
      </c>
      <c r="J2524" s="961">
        <f t="shared" si="227"/>
        <v>0</v>
      </c>
      <c r="K2524" s="80"/>
      <c r="M2524" s="154" t="str">
        <f>+IFERROR(VLOOKUP(L2524,DATA!$G$4:$H$2000,2,FALSE),"")</f>
        <v/>
      </c>
      <c r="O2524" s="154" t="str">
        <f>IFERROR(VLOOKUP(N2524,DATA!$K$4:$L$51,2,FALSE),"")</f>
        <v/>
      </c>
    </row>
    <row r="2525" spans="2:15">
      <c r="B2525" s="628" t="str">
        <f t="shared" si="228"/>
        <v/>
      </c>
      <c r="E2525" s="584"/>
      <c r="F2525" s="556" t="str">
        <f>IFERROR(VLOOKUP(E2525,STAT1!$C$4:$D$8000,2,FALSE),"")</f>
        <v/>
      </c>
      <c r="I2525" s="580">
        <f t="shared" si="226"/>
        <v>0</v>
      </c>
      <c r="J2525" s="961">
        <f t="shared" si="227"/>
        <v>0</v>
      </c>
      <c r="K2525" s="80"/>
      <c r="M2525" s="154" t="str">
        <f>+IFERROR(VLOOKUP(L2525,DATA!$G$4:$H$2000,2,FALSE),"")</f>
        <v/>
      </c>
      <c r="O2525" s="154" t="str">
        <f>IFERROR(VLOOKUP(N2525,DATA!$K$4:$L$51,2,FALSE),"")</f>
        <v/>
      </c>
    </row>
    <row r="2526" spans="2:15">
      <c r="B2526" s="628" t="str">
        <f t="shared" si="228"/>
        <v/>
      </c>
      <c r="E2526" s="584"/>
      <c r="F2526" s="556" t="str">
        <f>IFERROR(VLOOKUP(E2526,STAT1!$C$4:$D$8000,2,FALSE),"")</f>
        <v/>
      </c>
      <c r="I2526" s="580">
        <f t="shared" si="226"/>
        <v>0</v>
      </c>
      <c r="J2526" s="961">
        <f t="shared" si="227"/>
        <v>0</v>
      </c>
      <c r="K2526" s="80"/>
      <c r="M2526" s="154" t="str">
        <f>+IFERROR(VLOOKUP(L2526,DATA!$G$4:$H$2000,2,FALSE),"")</f>
        <v/>
      </c>
      <c r="O2526" s="154" t="str">
        <f>IFERROR(VLOOKUP(N2526,DATA!$K$4:$L$51,2,FALSE),"")</f>
        <v/>
      </c>
    </row>
    <row r="2527" spans="2:15">
      <c r="B2527" s="628" t="str">
        <f t="shared" si="228"/>
        <v/>
      </c>
      <c r="E2527" s="584"/>
      <c r="F2527" s="556" t="str">
        <f>IFERROR(VLOOKUP(E2527,STAT1!$C$4:$D$8000,2,FALSE),"")</f>
        <v/>
      </c>
      <c r="I2527" s="580">
        <f t="shared" si="226"/>
        <v>0</v>
      </c>
      <c r="J2527" s="961">
        <f t="shared" si="227"/>
        <v>0</v>
      </c>
      <c r="K2527" s="80"/>
      <c r="M2527" s="154" t="str">
        <f>+IFERROR(VLOOKUP(L2527,DATA!$G$4:$H$2000,2,FALSE),"")</f>
        <v/>
      </c>
      <c r="O2527" s="154" t="str">
        <f>IFERROR(VLOOKUP(N2527,DATA!$K$4:$L$51,2,FALSE),"")</f>
        <v/>
      </c>
    </row>
    <row r="2528" spans="2:15">
      <c r="B2528" s="628" t="str">
        <f t="shared" si="228"/>
        <v/>
      </c>
      <c r="E2528" s="584"/>
      <c r="F2528" s="556" t="str">
        <f>IFERROR(VLOOKUP(E2528,STAT1!$C$4:$D$8000,2,FALSE),"")</f>
        <v/>
      </c>
      <c r="I2528" s="580">
        <f t="shared" si="226"/>
        <v>0</v>
      </c>
      <c r="J2528" s="961">
        <f t="shared" si="227"/>
        <v>0</v>
      </c>
      <c r="K2528" s="80"/>
      <c r="M2528" s="154" t="str">
        <f>+IFERROR(VLOOKUP(L2528,DATA!$G$4:$H$2000,2,FALSE),"")</f>
        <v/>
      </c>
      <c r="O2528" s="154" t="str">
        <f>IFERROR(VLOOKUP(N2528,DATA!$K$4:$L$51,2,FALSE),"")</f>
        <v/>
      </c>
    </row>
    <row r="2529" spans="2:15">
      <c r="B2529" s="628" t="str">
        <f t="shared" si="228"/>
        <v/>
      </c>
      <c r="E2529" s="584"/>
      <c r="F2529" s="556" t="str">
        <f>IFERROR(VLOOKUP(E2529,STAT1!$C$4:$D$8000,2,FALSE),"")</f>
        <v/>
      </c>
      <c r="I2529" s="580">
        <f t="shared" si="226"/>
        <v>0</v>
      </c>
      <c r="J2529" s="961">
        <f t="shared" si="227"/>
        <v>0</v>
      </c>
      <c r="K2529" s="80"/>
      <c r="M2529" s="154" t="str">
        <f>+IFERROR(VLOOKUP(L2529,DATA!$G$4:$H$2000,2,FALSE),"")</f>
        <v/>
      </c>
      <c r="O2529" s="154" t="str">
        <f>IFERROR(VLOOKUP(N2529,DATA!$K$4:$L$51,2,FALSE),"")</f>
        <v/>
      </c>
    </row>
    <row r="2530" spans="2:15">
      <c r="B2530" s="628" t="str">
        <f t="shared" si="228"/>
        <v/>
      </c>
      <c r="E2530" s="584"/>
      <c r="F2530" s="556" t="str">
        <f>IFERROR(VLOOKUP(E2530,STAT1!$C$4:$D$8000,2,FALSE),"")</f>
        <v/>
      </c>
      <c r="I2530" s="580">
        <f t="shared" si="226"/>
        <v>0</v>
      </c>
      <c r="J2530" s="961">
        <f t="shared" si="227"/>
        <v>0</v>
      </c>
      <c r="K2530" s="80"/>
      <c r="M2530" s="154" t="str">
        <f>+IFERROR(VLOOKUP(L2530,DATA!$G$4:$H$2000,2,FALSE),"")</f>
        <v/>
      </c>
      <c r="O2530" s="154" t="str">
        <f>IFERROR(VLOOKUP(N2530,DATA!$K$4:$L$51,2,FALSE),"")</f>
        <v/>
      </c>
    </row>
    <row r="2531" spans="2:15">
      <c r="E2531" s="584"/>
      <c r="F2531" s="556" t="str">
        <f>IFERROR(VLOOKUP(E2531,STAT1!$C$4:$D$8000,2,FALSE),"")</f>
        <v/>
      </c>
      <c r="I2531" s="580">
        <f t="shared" si="226"/>
        <v>0</v>
      </c>
      <c r="J2531" s="961">
        <f t="shared" si="227"/>
        <v>0</v>
      </c>
      <c r="K2531" s="80"/>
      <c r="M2531" s="154" t="str">
        <f>+IFERROR(VLOOKUP(L2531,DATA!$G$4:$H$2000,2,FALSE),"")</f>
        <v/>
      </c>
      <c r="O2531" s="154" t="str">
        <f>IFERROR(VLOOKUP(N2531,DATA!$K$4:$L$51,2,FALSE),"")</f>
        <v/>
      </c>
    </row>
    <row r="2532" spans="2:15">
      <c r="E2532" s="584"/>
      <c r="F2532" s="556" t="str">
        <f>IFERROR(VLOOKUP(E2532,STAT1!$C$4:$D$8000,2,FALSE),"")</f>
        <v/>
      </c>
      <c r="I2532" s="580">
        <f t="shared" si="226"/>
        <v>0</v>
      </c>
      <c r="J2532" s="961">
        <f t="shared" si="227"/>
        <v>0</v>
      </c>
      <c r="K2532" s="80"/>
      <c r="M2532" s="154" t="str">
        <f>+IFERROR(VLOOKUP(L2532,DATA!$G$4:$H$2000,2,FALSE),"")</f>
        <v/>
      </c>
      <c r="O2532" s="154" t="str">
        <f>IFERROR(VLOOKUP(N2532,DATA!$K$4:$L$51,2,FALSE),"")</f>
        <v/>
      </c>
    </row>
    <row r="2533" spans="2:15">
      <c r="E2533" s="584"/>
      <c r="F2533" s="556" t="str">
        <f>IFERROR(VLOOKUP(E2533,STAT1!$C$4:$D$8000,2,FALSE),"")</f>
        <v/>
      </c>
      <c r="I2533" s="580">
        <f t="shared" si="226"/>
        <v>0</v>
      </c>
      <c r="J2533" s="961">
        <f t="shared" si="227"/>
        <v>0</v>
      </c>
      <c r="K2533" s="80"/>
      <c r="M2533" s="154" t="str">
        <f>+IFERROR(VLOOKUP(L2533,DATA!$G$4:$H$2000,2,FALSE),"")</f>
        <v/>
      </c>
      <c r="O2533" s="154" t="str">
        <f>IFERROR(VLOOKUP(N2533,DATA!$K$4:$L$51,2,FALSE),"")</f>
        <v/>
      </c>
    </row>
    <row r="2534" spans="2:15">
      <c r="E2534" s="584"/>
      <c r="F2534" s="556" t="str">
        <f>IFERROR(VLOOKUP(E2534,STAT1!$C$4:$D$8000,2,FALSE),"")</f>
        <v/>
      </c>
      <c r="I2534" s="580">
        <f t="shared" si="226"/>
        <v>0</v>
      </c>
      <c r="J2534" s="961">
        <f t="shared" si="227"/>
        <v>0</v>
      </c>
      <c r="K2534" s="80"/>
      <c r="M2534" s="154" t="str">
        <f>+IFERROR(VLOOKUP(L2534,DATA!$G$4:$H$2000,2,FALSE),"")</f>
        <v/>
      </c>
      <c r="O2534" s="154" t="str">
        <f>IFERROR(VLOOKUP(N2534,DATA!$K$4:$L$51,2,FALSE),"")</f>
        <v/>
      </c>
    </row>
    <row r="2535" spans="2:15">
      <c r="E2535" s="584"/>
      <c r="F2535" s="556" t="str">
        <f>IFERROR(VLOOKUP(E2535,STAT1!$C$4:$D$8000,2,FALSE),"")</f>
        <v/>
      </c>
      <c r="I2535" s="580">
        <f t="shared" si="226"/>
        <v>0</v>
      </c>
      <c r="J2535" s="961">
        <f t="shared" si="227"/>
        <v>0</v>
      </c>
      <c r="K2535" s="80"/>
      <c r="M2535" s="154" t="str">
        <f>+IFERROR(VLOOKUP(L2535,DATA!$G$4:$H$2000,2,FALSE),"")</f>
        <v/>
      </c>
      <c r="O2535" s="154" t="str">
        <f>IFERROR(VLOOKUP(N2535,DATA!$K$4:$L$51,2,FALSE),"")</f>
        <v/>
      </c>
    </row>
    <row r="2536" spans="2:15">
      <c r="E2536" s="584"/>
      <c r="F2536" s="556" t="str">
        <f>IFERROR(VLOOKUP(E2536,STAT1!$C$4:$D$8000,2,FALSE),"")</f>
        <v/>
      </c>
      <c r="I2536" s="580">
        <f t="shared" si="226"/>
        <v>0</v>
      </c>
      <c r="J2536" s="961">
        <f t="shared" si="227"/>
        <v>0</v>
      </c>
      <c r="K2536" s="80"/>
      <c r="M2536" s="154" t="str">
        <f>+IFERROR(VLOOKUP(L2536,DATA!$G$4:$H$2000,2,FALSE),"")</f>
        <v/>
      </c>
      <c r="O2536" s="154" t="str">
        <f>IFERROR(VLOOKUP(N2536,DATA!$K$4:$L$51,2,FALSE),"")</f>
        <v/>
      </c>
    </row>
    <row r="2537" spans="2:15">
      <c r="E2537" s="584"/>
      <c r="F2537" s="556" t="str">
        <f>IFERROR(VLOOKUP(E2537,STAT1!$C$4:$D$8000,2,FALSE),"")</f>
        <v/>
      </c>
      <c r="I2537" s="580">
        <f t="shared" si="226"/>
        <v>0</v>
      </c>
      <c r="J2537" s="961">
        <f t="shared" si="227"/>
        <v>0</v>
      </c>
      <c r="K2537" s="80"/>
      <c r="M2537" s="154" t="str">
        <f>+IFERROR(VLOOKUP(L2537,DATA!$G$4:$H$2000,2,FALSE),"")</f>
        <v/>
      </c>
      <c r="O2537" s="154" t="str">
        <f>IFERROR(VLOOKUP(N2537,DATA!$K$4:$L$51,2,FALSE),"")</f>
        <v/>
      </c>
    </row>
    <row r="2538" spans="2:15">
      <c r="E2538" s="584"/>
      <c r="F2538" s="556" t="str">
        <f>IFERROR(VLOOKUP(E2538,STAT1!$C$4:$D$8000,2,FALSE),"")</f>
        <v/>
      </c>
      <c r="I2538" s="580">
        <f t="shared" si="226"/>
        <v>0</v>
      </c>
      <c r="J2538" s="961">
        <f t="shared" si="227"/>
        <v>0</v>
      </c>
      <c r="K2538" s="80"/>
      <c r="M2538" s="154" t="str">
        <f>+IFERROR(VLOOKUP(L2538,DATA!$G$4:$H$2000,2,FALSE),"")</f>
        <v/>
      </c>
      <c r="O2538" s="154" t="str">
        <f>IFERROR(VLOOKUP(N2538,DATA!$K$4:$L$51,2,FALSE),"")</f>
        <v/>
      </c>
    </row>
    <row r="2539" spans="2:15">
      <c r="E2539" s="584"/>
      <c r="F2539" s="556" t="str">
        <f>IFERROR(VLOOKUP(E2539,STAT1!$C$4:$D$8000,2,FALSE),"")</f>
        <v/>
      </c>
      <c r="I2539" s="580">
        <f t="shared" si="226"/>
        <v>0</v>
      </c>
      <c r="J2539" s="961">
        <f t="shared" si="227"/>
        <v>0</v>
      </c>
      <c r="K2539" s="80"/>
      <c r="M2539" s="154" t="str">
        <f>+IFERROR(VLOOKUP(L2539,DATA!$G$4:$H$2000,2,FALSE),"")</f>
        <v/>
      </c>
      <c r="O2539" s="154" t="str">
        <f>IFERROR(VLOOKUP(N2539,DATA!$K$4:$L$51,2,FALSE),"")</f>
        <v/>
      </c>
    </row>
    <row r="2540" spans="2:15">
      <c r="E2540" s="584"/>
      <c r="F2540" s="556" t="str">
        <f>IFERROR(VLOOKUP(E2540,STAT1!$C$4:$D$8000,2,FALSE),"")</f>
        <v/>
      </c>
      <c r="I2540" s="580">
        <f t="shared" si="226"/>
        <v>0</v>
      </c>
      <c r="J2540" s="961">
        <f t="shared" si="227"/>
        <v>0</v>
      </c>
      <c r="K2540" s="80"/>
      <c r="M2540" s="154" t="str">
        <f>+IFERROR(VLOOKUP(L2540,DATA!$G$4:$H$2000,2,FALSE),"")</f>
        <v/>
      </c>
      <c r="O2540" s="154" t="str">
        <f>IFERROR(VLOOKUP(N2540,DATA!$K$4:$L$51,2,FALSE),"")</f>
        <v/>
      </c>
    </row>
    <row r="2541" spans="2:15">
      <c r="E2541" s="584"/>
      <c r="F2541" s="556" t="str">
        <f>IFERROR(VLOOKUP(E2541,STAT1!$C$4:$D$8000,2,FALSE),"")</f>
        <v/>
      </c>
      <c r="I2541" s="580">
        <f t="shared" si="226"/>
        <v>0</v>
      </c>
      <c r="J2541" s="961">
        <f t="shared" si="227"/>
        <v>0</v>
      </c>
      <c r="K2541" s="80"/>
      <c r="M2541" s="154" t="str">
        <f>+IFERROR(VLOOKUP(L2541,DATA!$G$4:$H$2000,2,FALSE),"")</f>
        <v/>
      </c>
      <c r="O2541" s="154" t="str">
        <f>IFERROR(VLOOKUP(N2541,DATA!$K$4:$L$51,2,FALSE),"")</f>
        <v/>
      </c>
    </row>
    <row r="2542" spans="2:15">
      <c r="E2542" s="584"/>
      <c r="F2542" s="556" t="str">
        <f>IFERROR(VLOOKUP(E2542,STAT1!$C$4:$D$8000,2,FALSE),"")</f>
        <v/>
      </c>
      <c r="I2542" s="580">
        <f t="shared" si="226"/>
        <v>0</v>
      </c>
      <c r="J2542" s="961">
        <f t="shared" si="227"/>
        <v>0</v>
      </c>
      <c r="K2542" s="80"/>
      <c r="M2542" s="154" t="str">
        <f>+IFERROR(VLOOKUP(L2542,DATA!$G$4:$H$2000,2,FALSE),"")</f>
        <v/>
      </c>
      <c r="O2542" s="154" t="str">
        <f>IFERROR(VLOOKUP(N2542,DATA!$K$4:$L$51,2,FALSE),"")</f>
        <v/>
      </c>
    </row>
    <row r="2543" spans="2:15">
      <c r="E2543" s="584"/>
      <c r="F2543" s="556" t="str">
        <f>IFERROR(VLOOKUP(E2543,STAT1!$C$4:$D$8000,2,FALSE),"")</f>
        <v/>
      </c>
      <c r="I2543" s="580">
        <f t="shared" si="226"/>
        <v>0</v>
      </c>
      <c r="J2543" s="961">
        <f t="shared" si="227"/>
        <v>0</v>
      </c>
      <c r="K2543" s="80"/>
      <c r="M2543" s="154" t="str">
        <f>+IFERROR(VLOOKUP(L2543,DATA!$G$4:$H$2000,2,FALSE),"")</f>
        <v/>
      </c>
      <c r="O2543" s="154" t="str">
        <f>IFERROR(VLOOKUP(N2543,DATA!$K$4:$L$51,2,FALSE),"")</f>
        <v/>
      </c>
    </row>
    <row r="2544" spans="2:15">
      <c r="E2544" s="584"/>
      <c r="F2544" s="556" t="str">
        <f>IFERROR(VLOOKUP(E2544,STAT1!$C$4:$D$8000,2,FALSE),"")</f>
        <v/>
      </c>
      <c r="I2544" s="580">
        <f t="shared" si="226"/>
        <v>0</v>
      </c>
      <c r="J2544" s="961">
        <f t="shared" si="227"/>
        <v>0</v>
      </c>
      <c r="K2544" s="80"/>
      <c r="M2544" s="154" t="str">
        <f>+IFERROR(VLOOKUP(L2544,DATA!$G$4:$H$2000,2,FALSE),"")</f>
        <v/>
      </c>
      <c r="O2544" s="154" t="str">
        <f>IFERROR(VLOOKUP(N2544,DATA!$K$4:$L$51,2,FALSE),"")</f>
        <v/>
      </c>
    </row>
    <row r="2545" spans="5:15">
      <c r="E2545" s="584"/>
      <c r="F2545" s="556" t="str">
        <f>IFERROR(VLOOKUP(E2545,STAT1!$C$4:$D$8000,2,FALSE),"")</f>
        <v/>
      </c>
      <c r="I2545" s="580">
        <f t="shared" si="226"/>
        <v>0</v>
      </c>
      <c r="J2545" s="961">
        <f t="shared" si="227"/>
        <v>0</v>
      </c>
      <c r="K2545" s="80"/>
      <c r="M2545" s="154" t="str">
        <f>+IFERROR(VLOOKUP(L2545,DATA!$G$4:$H$2000,2,FALSE),"")</f>
        <v/>
      </c>
      <c r="O2545" s="154" t="str">
        <f>IFERROR(VLOOKUP(N2545,DATA!$K$4:$L$51,2,FALSE),"")</f>
        <v/>
      </c>
    </row>
    <row r="2546" spans="5:15">
      <c r="E2546" s="584"/>
      <c r="F2546" s="556" t="str">
        <f>IFERROR(VLOOKUP(E2546,STAT1!$C$4:$D$8000,2,FALSE),"")</f>
        <v/>
      </c>
      <c r="I2546" s="580">
        <f t="shared" si="226"/>
        <v>0</v>
      </c>
      <c r="J2546" s="961">
        <f t="shared" si="227"/>
        <v>0</v>
      </c>
      <c r="K2546" s="80"/>
      <c r="M2546" s="154" t="str">
        <f>+IFERROR(VLOOKUP(L2546,DATA!$G$4:$H$2000,2,FALSE),"")</f>
        <v/>
      </c>
      <c r="O2546" s="154" t="str">
        <f>IFERROR(VLOOKUP(N2546,DATA!$K$4:$L$51,2,FALSE),"")</f>
        <v/>
      </c>
    </row>
    <row r="2547" spans="5:15">
      <c r="E2547" s="584"/>
      <c r="F2547" s="556" t="str">
        <f>IFERROR(VLOOKUP(E2547,STAT1!$C$4:$D$8000,2,FALSE),"")</f>
        <v/>
      </c>
      <c r="I2547" s="580">
        <f t="shared" si="226"/>
        <v>0</v>
      </c>
      <c r="J2547" s="961">
        <f t="shared" si="227"/>
        <v>0</v>
      </c>
      <c r="K2547" s="80"/>
      <c r="M2547" s="154" t="str">
        <f>+IFERROR(VLOOKUP(L2547,DATA!$G$4:$H$2000,2,FALSE),"")</f>
        <v/>
      </c>
      <c r="O2547" s="154" t="str">
        <f>IFERROR(VLOOKUP(N2547,DATA!$K$4:$L$51,2,FALSE),"")</f>
        <v/>
      </c>
    </row>
    <row r="2548" spans="5:15">
      <c r="E2548" s="584"/>
      <c r="F2548" s="556" t="str">
        <f>IFERROR(VLOOKUP(E2548,STAT1!$C$4:$D$8000,2,FALSE),"")</f>
        <v/>
      </c>
      <c r="I2548" s="580">
        <f t="shared" si="226"/>
        <v>0</v>
      </c>
      <c r="J2548" s="961">
        <f t="shared" si="227"/>
        <v>0</v>
      </c>
      <c r="K2548" s="80"/>
      <c r="M2548" s="154" t="str">
        <f>+IFERROR(VLOOKUP(L2548,DATA!$G$4:$H$2000,2,FALSE),"")</f>
        <v/>
      </c>
      <c r="O2548" s="154" t="str">
        <f>IFERROR(VLOOKUP(N2548,DATA!$K$4:$L$51,2,FALSE),"")</f>
        <v/>
      </c>
    </row>
    <row r="2549" spans="5:15">
      <c r="E2549" s="584"/>
      <c r="F2549" s="556" t="str">
        <f>IFERROR(VLOOKUP(E2549,STAT1!$C$4:$D$8000,2,FALSE),"")</f>
        <v/>
      </c>
      <c r="I2549" s="580">
        <f t="shared" si="226"/>
        <v>0</v>
      </c>
      <c r="J2549" s="961">
        <f t="shared" si="227"/>
        <v>0</v>
      </c>
      <c r="K2549" s="80"/>
      <c r="M2549" s="154" t="str">
        <f>+IFERROR(VLOOKUP(L2549,DATA!$G$4:$H$2000,2,FALSE),"")</f>
        <v/>
      </c>
      <c r="O2549" s="154" t="str">
        <f>IFERROR(VLOOKUP(N2549,DATA!$K$4:$L$51,2,FALSE),"")</f>
        <v/>
      </c>
    </row>
    <row r="2550" spans="5:15">
      <c r="E2550" s="584"/>
      <c r="F2550" s="556" t="str">
        <f>IFERROR(VLOOKUP(E2550,STAT1!$C$4:$D$8000,2,FALSE),"")</f>
        <v/>
      </c>
      <c r="I2550" s="580">
        <f t="shared" si="226"/>
        <v>0</v>
      </c>
      <c r="J2550" s="961">
        <f t="shared" si="227"/>
        <v>0</v>
      </c>
      <c r="K2550" s="80"/>
      <c r="M2550" s="154" t="str">
        <f>+IFERROR(VLOOKUP(L2550,DATA!$G$4:$H$2000,2,FALSE),"")</f>
        <v/>
      </c>
      <c r="O2550" s="154" t="str">
        <f>IFERROR(VLOOKUP(N2550,DATA!$K$4:$L$51,2,FALSE),"")</f>
        <v/>
      </c>
    </row>
    <row r="2551" spans="5:15">
      <c r="E2551" s="584"/>
      <c r="F2551" s="556" t="str">
        <f>IFERROR(VLOOKUP(E2551,STAT1!$C$4:$D$8000,2,FALSE),"")</f>
        <v/>
      </c>
      <c r="I2551" s="580">
        <f t="shared" si="226"/>
        <v>0</v>
      </c>
      <c r="J2551" s="961">
        <f t="shared" si="227"/>
        <v>0</v>
      </c>
      <c r="K2551" s="80"/>
      <c r="M2551" s="154" t="str">
        <f>+IFERROR(VLOOKUP(L2551,DATA!$G$4:$H$2000,2,FALSE),"")</f>
        <v/>
      </c>
      <c r="O2551" s="154" t="str">
        <f>IFERROR(VLOOKUP(N2551,DATA!$K$4:$L$51,2,FALSE),"")</f>
        <v/>
      </c>
    </row>
    <row r="2552" spans="5:15">
      <c r="E2552" s="584"/>
      <c r="F2552" s="556" t="str">
        <f>IFERROR(VLOOKUP(E2552,STAT1!$C$4:$D$8000,2,FALSE),"")</f>
        <v/>
      </c>
      <c r="I2552" s="580">
        <f t="shared" si="226"/>
        <v>0</v>
      </c>
      <c r="J2552" s="961">
        <f t="shared" si="227"/>
        <v>0</v>
      </c>
      <c r="K2552" s="80"/>
      <c r="M2552" s="154" t="str">
        <f>+IFERROR(VLOOKUP(L2552,DATA!$G$4:$H$2000,2,FALSE),"")</f>
        <v/>
      </c>
      <c r="O2552" s="154" t="str">
        <f>IFERROR(VLOOKUP(N2552,DATA!$K$4:$L$51,2,FALSE),"")</f>
        <v/>
      </c>
    </row>
    <row r="2553" spans="5:15">
      <c r="E2553" s="584"/>
      <c r="F2553" s="556" t="str">
        <f>IFERROR(VLOOKUP(E2553,STAT1!$C$4:$D$8000,2,FALSE),"")</f>
        <v/>
      </c>
      <c r="I2553" s="580">
        <f t="shared" si="226"/>
        <v>0</v>
      </c>
      <c r="J2553" s="961">
        <f t="shared" si="227"/>
        <v>0</v>
      </c>
      <c r="K2553" s="80"/>
      <c r="M2553" s="154" t="str">
        <f>+IFERROR(VLOOKUP(L2553,DATA!$G$4:$H$2000,2,FALSE),"")</f>
        <v/>
      </c>
      <c r="O2553" s="154" t="str">
        <f>IFERROR(VLOOKUP(N2553,DATA!$K$4:$L$51,2,FALSE),"")</f>
        <v/>
      </c>
    </row>
    <row r="2554" spans="5:15">
      <c r="E2554" s="584"/>
      <c r="F2554" s="556" t="str">
        <f>IFERROR(VLOOKUP(E2554,STAT1!$C$4:$D$8000,2,FALSE),"")</f>
        <v/>
      </c>
      <c r="I2554" s="580">
        <f t="shared" si="226"/>
        <v>0</v>
      </c>
      <c r="J2554" s="961">
        <f t="shared" si="227"/>
        <v>0</v>
      </c>
      <c r="K2554" s="80"/>
      <c r="M2554" s="154" t="str">
        <f>+IFERROR(VLOOKUP(L2554,DATA!$G$4:$H$2000,2,FALSE),"")</f>
        <v/>
      </c>
      <c r="O2554" s="154" t="str">
        <f>IFERROR(VLOOKUP(N2554,DATA!$K$4:$L$51,2,FALSE),"")</f>
        <v/>
      </c>
    </row>
    <row r="2555" spans="5:15">
      <c r="E2555" s="584"/>
      <c r="F2555" s="556" t="str">
        <f>IFERROR(VLOOKUP(E2555,STAT1!$C$4:$D$8000,2,FALSE),"")</f>
        <v/>
      </c>
      <c r="I2555" s="580">
        <f t="shared" si="226"/>
        <v>0</v>
      </c>
      <c r="J2555" s="961">
        <f t="shared" si="227"/>
        <v>0</v>
      </c>
      <c r="K2555" s="80"/>
      <c r="M2555" s="154" t="str">
        <f>+IFERROR(VLOOKUP(L2555,DATA!$G$4:$H$2000,2,FALSE),"")</f>
        <v/>
      </c>
      <c r="O2555" s="154" t="str">
        <f>IFERROR(VLOOKUP(N2555,DATA!$K$4:$L$51,2,FALSE),"")</f>
        <v/>
      </c>
    </row>
    <row r="2556" spans="5:15">
      <c r="E2556" s="584"/>
      <c r="F2556" s="556" t="str">
        <f>IFERROR(VLOOKUP(E2556,STAT1!$C$4:$D$8000,2,FALSE),"")</f>
        <v/>
      </c>
      <c r="I2556" s="580">
        <f t="shared" si="226"/>
        <v>0</v>
      </c>
      <c r="J2556" s="961">
        <f t="shared" si="227"/>
        <v>0</v>
      </c>
      <c r="K2556" s="80"/>
      <c r="M2556" s="154" t="str">
        <f>+IFERROR(VLOOKUP(L2556,DATA!$G$4:$H$2000,2,FALSE),"")</f>
        <v/>
      </c>
      <c r="O2556" s="154" t="str">
        <f>IFERROR(VLOOKUP(N2556,DATA!$K$4:$L$51,2,FALSE),"")</f>
        <v/>
      </c>
    </row>
    <row r="2557" spans="5:15">
      <c r="E2557" s="584"/>
      <c r="F2557" s="556" t="str">
        <f>IFERROR(VLOOKUP(E2557,STAT1!$C$4:$D$8000,2,FALSE),"")</f>
        <v/>
      </c>
      <c r="I2557" s="580">
        <f t="shared" si="226"/>
        <v>0</v>
      </c>
      <c r="J2557" s="961">
        <f t="shared" si="227"/>
        <v>0</v>
      </c>
      <c r="K2557" s="80"/>
      <c r="M2557" s="154" t="str">
        <f>+IFERROR(VLOOKUP(L2557,DATA!$G$4:$H$2000,2,FALSE),"")</f>
        <v/>
      </c>
      <c r="O2557" s="154" t="str">
        <f>IFERROR(VLOOKUP(N2557,DATA!$K$4:$L$51,2,FALSE),"")</f>
        <v/>
      </c>
    </row>
    <row r="2558" spans="5:15">
      <c r="E2558" s="584"/>
      <c r="F2558" s="556" t="str">
        <f>IFERROR(VLOOKUP(E2558,STAT1!$C$4:$D$8000,2,FALSE),"")</f>
        <v/>
      </c>
      <c r="I2558" s="580">
        <f t="shared" ref="I2558:I2621" si="229">+IF(OR(E2558=100100,E2558=100200,E2558=110100,E2558=110102,E2558=110103,E2558=110104,E2558=110105,E2558=110200,E2558=110201,E2558=110202,E2558=110203,E2558=110204,E2558=110300),G2558,0)+IF(OR(E2558=100100,E2558=100200,E2558=110100,E2558=110102,E2558=110103,E2558=110104,E2558=110105,E2558=110200,E2558=110201,E2558=110202,E2558=110203,E2558=110204,E2558=110300),H2558*-1,0)</f>
        <v>0</v>
      </c>
      <c r="J2558" s="961">
        <f t="shared" ref="J2558:J2621" si="230">+IF(E2558=110200,I2558/K2558,0)</f>
        <v>0</v>
      </c>
      <c r="K2558" s="80"/>
      <c r="M2558" s="154" t="str">
        <f>+IFERROR(VLOOKUP(L2558,DATA!$G$4:$H$2000,2,FALSE),"")</f>
        <v/>
      </c>
      <c r="O2558" s="154" t="str">
        <f>IFERROR(VLOOKUP(N2558,DATA!$K$4:$L$51,2,FALSE),"")</f>
        <v/>
      </c>
    </row>
    <row r="2559" spans="5:15">
      <c r="E2559" s="584"/>
      <c r="F2559" s="556" t="str">
        <f>IFERROR(VLOOKUP(E2559,STAT1!$C$4:$D$8000,2,FALSE),"")</f>
        <v/>
      </c>
      <c r="I2559" s="580">
        <f t="shared" si="229"/>
        <v>0</v>
      </c>
      <c r="J2559" s="961">
        <f t="shared" si="230"/>
        <v>0</v>
      </c>
      <c r="K2559" s="80"/>
      <c r="M2559" s="154" t="str">
        <f>+IFERROR(VLOOKUP(L2559,DATA!$G$4:$H$2000,2,FALSE),"")</f>
        <v/>
      </c>
      <c r="O2559" s="154" t="str">
        <f>IFERROR(VLOOKUP(N2559,DATA!$K$4:$L$51,2,FALSE),"")</f>
        <v/>
      </c>
    </row>
    <row r="2560" spans="5:15">
      <c r="E2560" s="584"/>
      <c r="F2560" s="556" t="str">
        <f>IFERROR(VLOOKUP(E2560,STAT1!$C$4:$D$8000,2,FALSE),"")</f>
        <v/>
      </c>
      <c r="I2560" s="580">
        <f t="shared" si="229"/>
        <v>0</v>
      </c>
      <c r="J2560" s="961">
        <f t="shared" si="230"/>
        <v>0</v>
      </c>
      <c r="K2560" s="80"/>
      <c r="O2560" s="154" t="str">
        <f>IFERROR(VLOOKUP(N2560,DATA!$K$4:$L$51,2,FALSE),"")</f>
        <v/>
      </c>
    </row>
    <row r="2561" spans="5:15">
      <c r="E2561" s="584"/>
      <c r="F2561" s="556" t="str">
        <f>IFERROR(VLOOKUP(E2561,STAT1!$C$4:$D$8000,2,FALSE),"")</f>
        <v/>
      </c>
      <c r="I2561" s="580">
        <f t="shared" si="229"/>
        <v>0</v>
      </c>
      <c r="J2561" s="961">
        <f t="shared" si="230"/>
        <v>0</v>
      </c>
      <c r="K2561" s="80"/>
      <c r="O2561" s="154" t="str">
        <f>IFERROR(VLOOKUP(N2561,DATA!$K$4:$L$51,2,FALSE),"")</f>
        <v/>
      </c>
    </row>
    <row r="2562" spans="5:15">
      <c r="E2562" s="584"/>
      <c r="F2562" s="556" t="str">
        <f>IFERROR(VLOOKUP(E2562,STAT1!$C$4:$D$8000,2,FALSE),"")</f>
        <v/>
      </c>
      <c r="I2562" s="580">
        <f t="shared" si="229"/>
        <v>0</v>
      </c>
      <c r="J2562" s="961">
        <f t="shared" si="230"/>
        <v>0</v>
      </c>
      <c r="K2562" s="80"/>
      <c r="O2562" s="154" t="str">
        <f>IFERROR(VLOOKUP(N2562,DATA!$K$4:$L$51,2,FALSE),"")</f>
        <v/>
      </c>
    </row>
    <row r="2563" spans="5:15">
      <c r="E2563" s="584"/>
      <c r="F2563" s="556" t="str">
        <f>IFERROR(VLOOKUP(E2563,STAT1!$C$4:$D$8000,2,FALSE),"")</f>
        <v/>
      </c>
      <c r="I2563" s="580">
        <f t="shared" si="229"/>
        <v>0</v>
      </c>
      <c r="J2563" s="961">
        <f t="shared" si="230"/>
        <v>0</v>
      </c>
      <c r="K2563" s="80"/>
      <c r="O2563" s="154" t="str">
        <f>IFERROR(VLOOKUP(N2563,DATA!$K$4:$L$51,2,FALSE),"")</f>
        <v/>
      </c>
    </row>
    <row r="2564" spans="5:15">
      <c r="E2564" s="584"/>
      <c r="F2564" s="556" t="str">
        <f>IFERROR(VLOOKUP(E2564,STAT1!$C$4:$D$8000,2,FALSE),"")</f>
        <v/>
      </c>
      <c r="I2564" s="580">
        <f t="shared" si="229"/>
        <v>0</v>
      </c>
      <c r="J2564" s="961">
        <f t="shared" si="230"/>
        <v>0</v>
      </c>
      <c r="K2564" s="80"/>
      <c r="O2564" s="154" t="str">
        <f>IFERROR(VLOOKUP(N2564,DATA!$K$4:$L$51,2,FALSE),"")</f>
        <v/>
      </c>
    </row>
    <row r="2565" spans="5:15">
      <c r="E2565" s="584"/>
      <c r="F2565" s="556" t="str">
        <f>IFERROR(VLOOKUP(E2565,STAT1!$C$4:$D$8000,2,FALSE),"")</f>
        <v/>
      </c>
      <c r="I2565" s="580">
        <f t="shared" si="229"/>
        <v>0</v>
      </c>
      <c r="J2565" s="961">
        <f t="shared" si="230"/>
        <v>0</v>
      </c>
      <c r="K2565" s="80"/>
      <c r="O2565" s="154" t="str">
        <f>IFERROR(VLOOKUP(N2565,DATA!$K$4:$L$51,2,FALSE),"")</f>
        <v/>
      </c>
    </row>
    <row r="2566" spans="5:15">
      <c r="E2566" s="584"/>
      <c r="F2566" s="556" t="str">
        <f>IFERROR(VLOOKUP(E2566,STAT1!$C$4:$D$8000,2,FALSE),"")</f>
        <v/>
      </c>
      <c r="I2566" s="580">
        <f t="shared" si="229"/>
        <v>0</v>
      </c>
      <c r="J2566" s="961">
        <f t="shared" si="230"/>
        <v>0</v>
      </c>
      <c r="K2566" s="80"/>
      <c r="O2566" s="154" t="str">
        <f>IFERROR(VLOOKUP(N2566,DATA!$K$4:$L$51,2,FALSE),"")</f>
        <v/>
      </c>
    </row>
    <row r="2567" spans="5:15">
      <c r="E2567" s="584"/>
      <c r="F2567" s="556" t="str">
        <f>IFERROR(VLOOKUP(E2567,STAT1!$C$4:$D$8000,2,FALSE),"")</f>
        <v/>
      </c>
      <c r="I2567" s="580">
        <f t="shared" si="229"/>
        <v>0</v>
      </c>
      <c r="J2567" s="961">
        <f t="shared" si="230"/>
        <v>0</v>
      </c>
      <c r="K2567" s="80"/>
      <c r="O2567" s="154" t="str">
        <f>IFERROR(VLOOKUP(N2567,DATA!$K$4:$L$51,2,FALSE),"")</f>
        <v/>
      </c>
    </row>
    <row r="2568" spans="5:15">
      <c r="E2568" s="584"/>
      <c r="F2568" s="556" t="str">
        <f>IFERROR(VLOOKUP(E2568,STAT1!$C$4:$D$8000,2,FALSE),"")</f>
        <v/>
      </c>
      <c r="I2568" s="580">
        <f t="shared" si="229"/>
        <v>0</v>
      </c>
      <c r="J2568" s="961">
        <f t="shared" si="230"/>
        <v>0</v>
      </c>
      <c r="K2568" s="80"/>
      <c r="O2568" s="154" t="str">
        <f>IFERROR(VLOOKUP(N2568,DATA!$K$4:$L$51,2,FALSE),"")</f>
        <v/>
      </c>
    </row>
    <row r="2569" spans="5:15">
      <c r="E2569" s="584"/>
      <c r="F2569" s="556" t="str">
        <f>IFERROR(VLOOKUP(E2569,STAT1!$C$4:$D$8000,2,FALSE),"")</f>
        <v/>
      </c>
      <c r="I2569" s="580">
        <f t="shared" si="229"/>
        <v>0</v>
      </c>
      <c r="J2569" s="961">
        <f t="shared" si="230"/>
        <v>0</v>
      </c>
      <c r="K2569" s="80"/>
      <c r="O2569" s="154" t="str">
        <f>IFERROR(VLOOKUP(N2569,DATA!$K$4:$L$51,2,FALSE),"")</f>
        <v/>
      </c>
    </row>
    <row r="2570" spans="5:15">
      <c r="E2570" s="584"/>
      <c r="F2570" s="556" t="str">
        <f>IFERROR(VLOOKUP(E2570,STAT1!$C$4:$D$8000,2,FALSE),"")</f>
        <v/>
      </c>
      <c r="I2570" s="580">
        <f t="shared" si="229"/>
        <v>0</v>
      </c>
      <c r="J2570" s="961">
        <f t="shared" si="230"/>
        <v>0</v>
      </c>
      <c r="K2570" s="80"/>
      <c r="O2570" s="154" t="str">
        <f>IFERROR(VLOOKUP(N2570,DATA!$K$4:$L$51,2,FALSE),"")</f>
        <v/>
      </c>
    </row>
    <row r="2571" spans="5:15">
      <c r="E2571" s="584"/>
      <c r="F2571" s="556" t="str">
        <f>IFERROR(VLOOKUP(E2571,STAT1!$C$4:$D$8000,2,FALSE),"")</f>
        <v/>
      </c>
      <c r="I2571" s="580">
        <f t="shared" si="229"/>
        <v>0</v>
      </c>
      <c r="J2571" s="961">
        <f t="shared" si="230"/>
        <v>0</v>
      </c>
      <c r="K2571" s="80"/>
      <c r="O2571" s="154" t="str">
        <f>IFERROR(VLOOKUP(N2571,DATA!$K$4:$L$51,2,FALSE),"")</f>
        <v/>
      </c>
    </row>
    <row r="2572" spans="5:15">
      <c r="E2572" s="584"/>
      <c r="F2572" s="556" t="str">
        <f>IFERROR(VLOOKUP(E2572,STAT1!$C$4:$D$8000,2,FALSE),"")</f>
        <v/>
      </c>
      <c r="I2572" s="580">
        <f t="shared" si="229"/>
        <v>0</v>
      </c>
      <c r="J2572" s="961">
        <f t="shared" si="230"/>
        <v>0</v>
      </c>
      <c r="K2572" s="80"/>
      <c r="O2572" s="154" t="str">
        <f>IFERROR(VLOOKUP(N2572,DATA!$K$4:$L$51,2,FALSE),"")</f>
        <v/>
      </c>
    </row>
    <row r="2573" spans="5:15">
      <c r="E2573" s="584"/>
      <c r="F2573" s="556" t="str">
        <f>IFERROR(VLOOKUP(E2573,STAT1!$C$4:$D$8000,2,FALSE),"")</f>
        <v/>
      </c>
      <c r="I2573" s="580">
        <f t="shared" si="229"/>
        <v>0</v>
      </c>
      <c r="J2573" s="961">
        <f t="shared" si="230"/>
        <v>0</v>
      </c>
      <c r="K2573" s="80"/>
      <c r="O2573" s="154" t="str">
        <f>IFERROR(VLOOKUP(N2573,DATA!$K$4:$L$51,2,FALSE),"")</f>
        <v/>
      </c>
    </row>
    <row r="2574" spans="5:15">
      <c r="E2574" s="584"/>
      <c r="F2574" s="556" t="str">
        <f>IFERROR(VLOOKUP(E2574,STAT1!$C$4:$D$8000,2,FALSE),"")</f>
        <v/>
      </c>
      <c r="I2574" s="580">
        <f t="shared" si="229"/>
        <v>0</v>
      </c>
      <c r="J2574" s="961">
        <f t="shared" si="230"/>
        <v>0</v>
      </c>
      <c r="K2574" s="80"/>
      <c r="O2574" s="154" t="str">
        <f>IFERROR(VLOOKUP(N2574,DATA!$K$4:$L$51,2,FALSE),"")</f>
        <v/>
      </c>
    </row>
    <row r="2575" spans="5:15">
      <c r="E2575" s="584"/>
      <c r="F2575" s="556" t="str">
        <f>IFERROR(VLOOKUP(E2575,STAT1!$C$4:$D$8000,2,FALSE),"")</f>
        <v/>
      </c>
      <c r="I2575" s="580">
        <f t="shared" si="229"/>
        <v>0</v>
      </c>
      <c r="J2575" s="961">
        <f t="shared" si="230"/>
        <v>0</v>
      </c>
      <c r="K2575" s="80"/>
      <c r="O2575" s="154" t="str">
        <f>IFERROR(VLOOKUP(N2575,DATA!$K$4:$L$51,2,FALSE),"")</f>
        <v/>
      </c>
    </row>
    <row r="2576" spans="5:15">
      <c r="E2576" s="584"/>
      <c r="F2576" s="556" t="str">
        <f>IFERROR(VLOOKUP(E2576,STAT1!$C$4:$D$8000,2,FALSE),"")</f>
        <v/>
      </c>
      <c r="I2576" s="580">
        <f t="shared" si="229"/>
        <v>0</v>
      </c>
      <c r="J2576" s="961">
        <f t="shared" si="230"/>
        <v>0</v>
      </c>
      <c r="K2576" s="80"/>
      <c r="O2576" s="154" t="str">
        <f>IFERROR(VLOOKUP(N2576,DATA!$K$4:$L$51,2,FALSE),"")</f>
        <v/>
      </c>
    </row>
    <row r="2577" spans="5:15">
      <c r="E2577" s="584"/>
      <c r="F2577" s="556" t="str">
        <f>IFERROR(VLOOKUP(E2577,STAT1!$C$4:$D$8000,2,FALSE),"")</f>
        <v/>
      </c>
      <c r="I2577" s="580">
        <f t="shared" si="229"/>
        <v>0</v>
      </c>
      <c r="J2577" s="961">
        <f t="shared" si="230"/>
        <v>0</v>
      </c>
      <c r="K2577" s="80"/>
      <c r="O2577" s="154" t="str">
        <f>IFERROR(VLOOKUP(N2577,DATA!$K$4:$L$51,2,FALSE),"")</f>
        <v/>
      </c>
    </row>
    <row r="2578" spans="5:15">
      <c r="E2578" s="584"/>
      <c r="F2578" s="556" t="str">
        <f>IFERROR(VLOOKUP(E2578,STAT1!$C$4:$D$8000,2,FALSE),"")</f>
        <v/>
      </c>
      <c r="I2578" s="580">
        <f t="shared" si="229"/>
        <v>0</v>
      </c>
      <c r="J2578" s="961">
        <f t="shared" si="230"/>
        <v>0</v>
      </c>
      <c r="K2578" s="80"/>
      <c r="O2578" s="154" t="str">
        <f>IFERROR(VLOOKUP(N2578,DATA!$K$4:$L$51,2,FALSE),"")</f>
        <v/>
      </c>
    </row>
    <row r="2579" spans="5:15">
      <c r="E2579" s="584"/>
      <c r="F2579" s="556" t="str">
        <f>IFERROR(VLOOKUP(E2579,STAT1!$C$4:$D$8000,2,FALSE),"")</f>
        <v/>
      </c>
      <c r="I2579" s="580">
        <f t="shared" si="229"/>
        <v>0</v>
      </c>
      <c r="J2579" s="961">
        <f t="shared" si="230"/>
        <v>0</v>
      </c>
      <c r="K2579" s="80"/>
      <c r="O2579" s="154" t="str">
        <f>IFERROR(VLOOKUP(N2579,DATA!$K$4:$L$51,2,FALSE),"")</f>
        <v/>
      </c>
    </row>
    <row r="2580" spans="5:15">
      <c r="E2580" s="584"/>
      <c r="F2580" s="556" t="str">
        <f>IFERROR(VLOOKUP(E2580,STAT1!$C$4:$D$8000,2,FALSE),"")</f>
        <v/>
      </c>
      <c r="I2580" s="580">
        <f t="shared" si="229"/>
        <v>0</v>
      </c>
      <c r="J2580" s="961">
        <f t="shared" si="230"/>
        <v>0</v>
      </c>
      <c r="K2580" s="80"/>
      <c r="O2580" s="154" t="str">
        <f>IFERROR(VLOOKUP(N2580,DATA!$K$4:$L$51,2,FALSE),"")</f>
        <v/>
      </c>
    </row>
    <row r="2581" spans="5:15">
      <c r="E2581" s="584"/>
      <c r="F2581" s="556" t="str">
        <f>IFERROR(VLOOKUP(E2581,STAT1!$C$4:$D$8000,2,FALSE),"")</f>
        <v/>
      </c>
      <c r="I2581" s="580">
        <f t="shared" si="229"/>
        <v>0</v>
      </c>
      <c r="J2581" s="961">
        <f t="shared" si="230"/>
        <v>0</v>
      </c>
      <c r="K2581" s="80"/>
      <c r="O2581" s="154" t="str">
        <f>IFERROR(VLOOKUP(N2581,DATA!$K$4:$L$51,2,FALSE),"")</f>
        <v/>
      </c>
    </row>
    <row r="2582" spans="5:15">
      <c r="E2582" s="584"/>
      <c r="F2582" s="556" t="str">
        <f>IFERROR(VLOOKUP(E2582,STAT1!$C$4:$D$8000,2,FALSE),"")</f>
        <v/>
      </c>
      <c r="I2582" s="580">
        <f t="shared" si="229"/>
        <v>0</v>
      </c>
      <c r="J2582" s="961">
        <f t="shared" si="230"/>
        <v>0</v>
      </c>
      <c r="K2582" s="80"/>
      <c r="O2582" s="154" t="str">
        <f>IFERROR(VLOOKUP(N2582,DATA!$K$4:$L$51,2,FALSE),"")</f>
        <v/>
      </c>
    </row>
    <row r="2583" spans="5:15">
      <c r="E2583" s="584"/>
      <c r="F2583" s="556" t="str">
        <f>IFERROR(VLOOKUP(E2583,STAT1!$C$4:$D$8000,2,FALSE),"")</f>
        <v/>
      </c>
      <c r="I2583" s="580">
        <f t="shared" si="229"/>
        <v>0</v>
      </c>
      <c r="J2583" s="961">
        <f t="shared" si="230"/>
        <v>0</v>
      </c>
      <c r="K2583" s="80"/>
      <c r="O2583" s="154" t="str">
        <f>IFERROR(VLOOKUP(N2583,DATA!$K$4:$L$51,2,FALSE),"")</f>
        <v/>
      </c>
    </row>
    <row r="2584" spans="5:15">
      <c r="E2584" s="584"/>
      <c r="F2584" s="556" t="str">
        <f>IFERROR(VLOOKUP(E2584,STAT1!$C$4:$D$8000,2,FALSE),"")</f>
        <v/>
      </c>
      <c r="I2584" s="580">
        <f t="shared" si="229"/>
        <v>0</v>
      </c>
      <c r="J2584" s="961">
        <f t="shared" si="230"/>
        <v>0</v>
      </c>
      <c r="K2584" s="80"/>
      <c r="O2584" s="154" t="str">
        <f>IFERROR(VLOOKUP(N2584,DATA!$K$4:$L$51,2,FALSE),"")</f>
        <v/>
      </c>
    </row>
    <row r="2585" spans="5:15">
      <c r="E2585" s="584"/>
      <c r="F2585" s="556" t="str">
        <f>IFERROR(VLOOKUP(E2585,STAT1!$C$4:$D$8000,2,FALSE),"")</f>
        <v/>
      </c>
      <c r="I2585" s="580">
        <f t="shared" si="229"/>
        <v>0</v>
      </c>
      <c r="J2585" s="961">
        <f t="shared" si="230"/>
        <v>0</v>
      </c>
      <c r="K2585" s="80"/>
      <c r="O2585" s="154" t="str">
        <f>IFERROR(VLOOKUP(N2585,DATA!$K$4:$L$51,2,FALSE),"")</f>
        <v/>
      </c>
    </row>
    <row r="2586" spans="5:15">
      <c r="E2586" s="584"/>
      <c r="F2586" s="556" t="str">
        <f>IFERROR(VLOOKUP(E2586,STAT1!$C$4:$D$8000,2,FALSE),"")</f>
        <v/>
      </c>
      <c r="I2586" s="580">
        <f t="shared" si="229"/>
        <v>0</v>
      </c>
      <c r="J2586" s="961">
        <f t="shared" si="230"/>
        <v>0</v>
      </c>
      <c r="K2586" s="80"/>
      <c r="O2586" s="154" t="str">
        <f>IFERROR(VLOOKUP(N2586,DATA!$K$4:$L$51,2,FALSE),"")</f>
        <v/>
      </c>
    </row>
    <row r="2587" spans="5:15">
      <c r="E2587" s="584"/>
      <c r="F2587" s="556" t="str">
        <f>IFERROR(VLOOKUP(E2587,STAT1!$C$4:$D$8000,2,FALSE),"")</f>
        <v/>
      </c>
      <c r="I2587" s="580">
        <f t="shared" si="229"/>
        <v>0</v>
      </c>
      <c r="J2587" s="961">
        <f t="shared" si="230"/>
        <v>0</v>
      </c>
      <c r="K2587" s="80"/>
      <c r="O2587" s="154" t="str">
        <f>IFERROR(VLOOKUP(N2587,DATA!$K$4:$L$51,2,FALSE),"")</f>
        <v/>
      </c>
    </row>
    <row r="2588" spans="5:15">
      <c r="E2588" s="584"/>
      <c r="F2588" s="556" t="str">
        <f>IFERROR(VLOOKUP(E2588,STAT1!$C$4:$D$8000,2,FALSE),"")</f>
        <v/>
      </c>
      <c r="I2588" s="580">
        <f t="shared" si="229"/>
        <v>0</v>
      </c>
      <c r="J2588" s="961">
        <f t="shared" si="230"/>
        <v>0</v>
      </c>
      <c r="K2588" s="80"/>
      <c r="O2588" s="154" t="str">
        <f>IFERROR(VLOOKUP(N2588,DATA!$K$4:$L$51,2,FALSE),"")</f>
        <v/>
      </c>
    </row>
    <row r="2589" spans="5:15">
      <c r="E2589" s="584"/>
      <c r="F2589" s="556" t="str">
        <f>IFERROR(VLOOKUP(E2589,STAT1!$C$4:$D$8000,2,FALSE),"")</f>
        <v/>
      </c>
      <c r="I2589" s="580">
        <f t="shared" si="229"/>
        <v>0</v>
      </c>
      <c r="J2589" s="961">
        <f t="shared" si="230"/>
        <v>0</v>
      </c>
      <c r="K2589" s="80"/>
      <c r="O2589" s="154" t="str">
        <f>IFERROR(VLOOKUP(N2589,DATA!$K$4:$L$51,2,FALSE),"")</f>
        <v/>
      </c>
    </row>
    <row r="2590" spans="5:15">
      <c r="E2590" s="584"/>
      <c r="F2590" s="556" t="str">
        <f>IFERROR(VLOOKUP(E2590,STAT1!$C$4:$D$8000,2,FALSE),"")</f>
        <v/>
      </c>
      <c r="I2590" s="580">
        <f t="shared" si="229"/>
        <v>0</v>
      </c>
      <c r="J2590" s="961">
        <f t="shared" si="230"/>
        <v>0</v>
      </c>
      <c r="K2590" s="80"/>
      <c r="O2590" s="154" t="str">
        <f>IFERROR(VLOOKUP(N2590,DATA!$K$4:$L$51,2,FALSE),"")</f>
        <v/>
      </c>
    </row>
    <row r="2591" spans="5:15">
      <c r="E2591" s="584"/>
      <c r="F2591" s="556" t="str">
        <f>IFERROR(VLOOKUP(E2591,STAT1!$C$4:$D$8000,2,FALSE),"")</f>
        <v/>
      </c>
      <c r="I2591" s="580">
        <f t="shared" si="229"/>
        <v>0</v>
      </c>
      <c r="J2591" s="961">
        <f t="shared" si="230"/>
        <v>0</v>
      </c>
      <c r="K2591" s="80"/>
      <c r="O2591" s="154" t="str">
        <f>IFERROR(VLOOKUP(N2591,DATA!$K$4:$L$51,2,FALSE),"")</f>
        <v/>
      </c>
    </row>
    <row r="2592" spans="5:15">
      <c r="E2592" s="584"/>
      <c r="F2592" s="556" t="str">
        <f>IFERROR(VLOOKUP(E2592,STAT1!$C$4:$D$8000,2,FALSE),"")</f>
        <v/>
      </c>
      <c r="I2592" s="580">
        <f t="shared" si="229"/>
        <v>0</v>
      </c>
      <c r="J2592" s="961">
        <f t="shared" si="230"/>
        <v>0</v>
      </c>
      <c r="K2592" s="80"/>
      <c r="O2592" s="154" t="str">
        <f>IFERROR(VLOOKUP(N2592,DATA!$K$4:$L$51,2,FALSE),"")</f>
        <v/>
      </c>
    </row>
    <row r="2593" spans="5:15">
      <c r="E2593" s="584"/>
      <c r="F2593" s="556" t="str">
        <f>IFERROR(VLOOKUP(E2593,STAT1!$C$4:$D$8000,2,FALSE),"")</f>
        <v/>
      </c>
      <c r="I2593" s="580">
        <f t="shared" si="229"/>
        <v>0</v>
      </c>
      <c r="J2593" s="961">
        <f t="shared" si="230"/>
        <v>0</v>
      </c>
      <c r="K2593" s="80"/>
      <c r="O2593" s="154" t="str">
        <f>IFERROR(VLOOKUP(N2593,DATA!$K$4:$L$51,2,FALSE),"")</f>
        <v/>
      </c>
    </row>
    <row r="2594" spans="5:15">
      <c r="E2594" s="584"/>
      <c r="F2594" s="556" t="str">
        <f>IFERROR(VLOOKUP(E2594,STAT1!$C$4:$D$8000,2,FALSE),"")</f>
        <v/>
      </c>
      <c r="I2594" s="580">
        <f t="shared" si="229"/>
        <v>0</v>
      </c>
      <c r="J2594" s="961">
        <f t="shared" si="230"/>
        <v>0</v>
      </c>
      <c r="K2594" s="80"/>
      <c r="O2594" s="154" t="str">
        <f>IFERROR(VLOOKUP(N2594,DATA!$K$4:$L$51,2,FALSE),"")</f>
        <v/>
      </c>
    </row>
    <row r="2595" spans="5:15">
      <c r="E2595" s="584"/>
      <c r="F2595" s="556" t="str">
        <f>IFERROR(VLOOKUP(E2595,STAT1!$C$4:$D$8000,2,FALSE),"")</f>
        <v/>
      </c>
      <c r="I2595" s="580">
        <f t="shared" si="229"/>
        <v>0</v>
      </c>
      <c r="J2595" s="961">
        <f t="shared" si="230"/>
        <v>0</v>
      </c>
      <c r="K2595" s="80"/>
      <c r="O2595" s="154" t="str">
        <f>IFERROR(VLOOKUP(N2595,DATA!$K$4:$L$51,2,FALSE),"")</f>
        <v/>
      </c>
    </row>
    <row r="2596" spans="5:15">
      <c r="E2596" s="584"/>
      <c r="F2596" s="556" t="str">
        <f>IFERROR(VLOOKUP(E2596,STAT1!$C$4:$D$8000,2,FALSE),"")</f>
        <v/>
      </c>
      <c r="I2596" s="580">
        <f t="shared" si="229"/>
        <v>0</v>
      </c>
      <c r="J2596" s="961">
        <f t="shared" si="230"/>
        <v>0</v>
      </c>
      <c r="K2596" s="80"/>
      <c r="O2596" s="154" t="str">
        <f>IFERROR(VLOOKUP(N2596,DATA!$K$4:$L$51,2,FALSE),"")</f>
        <v/>
      </c>
    </row>
    <row r="2597" spans="5:15">
      <c r="E2597" s="584"/>
      <c r="F2597" s="556" t="str">
        <f>IFERROR(VLOOKUP(E2597,STAT1!$C$4:$D$8000,2,FALSE),"")</f>
        <v/>
      </c>
      <c r="I2597" s="580">
        <f t="shared" si="229"/>
        <v>0</v>
      </c>
      <c r="J2597" s="961">
        <f t="shared" si="230"/>
        <v>0</v>
      </c>
      <c r="K2597" s="80"/>
      <c r="O2597" s="154" t="str">
        <f>IFERROR(VLOOKUP(N2597,DATA!$K$4:$L$51,2,FALSE),"")</f>
        <v/>
      </c>
    </row>
    <row r="2598" spans="5:15">
      <c r="E2598" s="584"/>
      <c r="F2598" s="556" t="str">
        <f>IFERROR(VLOOKUP(E2598,STAT1!$C$4:$D$8000,2,FALSE),"")</f>
        <v/>
      </c>
      <c r="I2598" s="580">
        <f t="shared" si="229"/>
        <v>0</v>
      </c>
      <c r="J2598" s="961">
        <f t="shared" si="230"/>
        <v>0</v>
      </c>
      <c r="K2598" s="80"/>
      <c r="O2598" s="154" t="str">
        <f>IFERROR(VLOOKUP(N2598,DATA!$K$4:$L$51,2,FALSE),"")</f>
        <v/>
      </c>
    </row>
    <row r="2599" spans="5:15">
      <c r="E2599" s="584"/>
      <c r="F2599" s="556" t="str">
        <f>IFERROR(VLOOKUP(E2599,STAT1!$C$4:$D$8000,2,FALSE),"")</f>
        <v/>
      </c>
      <c r="I2599" s="580">
        <f t="shared" si="229"/>
        <v>0</v>
      </c>
      <c r="J2599" s="961">
        <f t="shared" si="230"/>
        <v>0</v>
      </c>
      <c r="K2599" s="80"/>
      <c r="O2599" s="154" t="str">
        <f>IFERROR(VLOOKUP(N2599,DATA!$K$4:$L$51,2,FALSE),"")</f>
        <v/>
      </c>
    </row>
    <row r="2600" spans="5:15">
      <c r="E2600" s="584"/>
      <c r="F2600" s="556" t="str">
        <f>IFERROR(VLOOKUP(E2600,STAT1!$C$4:$D$8000,2,FALSE),"")</f>
        <v/>
      </c>
      <c r="I2600" s="580">
        <f t="shared" si="229"/>
        <v>0</v>
      </c>
      <c r="J2600" s="961">
        <f t="shared" si="230"/>
        <v>0</v>
      </c>
      <c r="K2600" s="80"/>
      <c r="O2600" s="154" t="str">
        <f>IFERROR(VLOOKUP(N2600,DATA!$K$4:$L$51,2,FALSE),"")</f>
        <v/>
      </c>
    </row>
    <row r="2601" spans="5:15">
      <c r="E2601" s="584"/>
      <c r="F2601" s="556" t="str">
        <f>IFERROR(VLOOKUP(E2601,STAT1!$C$4:$D$8000,2,FALSE),"")</f>
        <v/>
      </c>
      <c r="I2601" s="580">
        <f t="shared" si="229"/>
        <v>0</v>
      </c>
      <c r="J2601" s="961">
        <f t="shared" si="230"/>
        <v>0</v>
      </c>
      <c r="K2601" s="80"/>
      <c r="O2601" s="154" t="str">
        <f>IFERROR(VLOOKUP(N2601,DATA!$K$4:$L$51,2,FALSE),"")</f>
        <v/>
      </c>
    </row>
    <row r="2602" spans="5:15">
      <c r="E2602" s="584"/>
      <c r="F2602" s="556" t="str">
        <f>IFERROR(VLOOKUP(E2602,STAT1!$C$4:$D$8000,2,FALSE),"")</f>
        <v/>
      </c>
      <c r="I2602" s="580">
        <f t="shared" si="229"/>
        <v>0</v>
      </c>
      <c r="J2602" s="961">
        <f t="shared" si="230"/>
        <v>0</v>
      </c>
      <c r="K2602" s="80"/>
      <c r="O2602" s="154" t="str">
        <f>IFERROR(VLOOKUP(N2602,DATA!$K$4:$L$51,2,FALSE),"")</f>
        <v/>
      </c>
    </row>
    <row r="2603" spans="5:15">
      <c r="E2603" s="584"/>
      <c r="F2603" s="556" t="str">
        <f>IFERROR(VLOOKUP(E2603,STAT1!$C$4:$D$8000,2,FALSE),"")</f>
        <v/>
      </c>
      <c r="I2603" s="580">
        <f t="shared" si="229"/>
        <v>0</v>
      </c>
      <c r="J2603" s="961">
        <f t="shared" si="230"/>
        <v>0</v>
      </c>
      <c r="K2603" s="80"/>
      <c r="O2603" s="154" t="str">
        <f>IFERROR(VLOOKUP(N2603,DATA!$K$4:$L$51,2,FALSE),"")</f>
        <v/>
      </c>
    </row>
    <row r="2604" spans="5:15">
      <c r="E2604" s="584"/>
      <c r="F2604" s="556" t="str">
        <f>IFERROR(VLOOKUP(E2604,STAT1!$C$4:$D$8000,2,FALSE),"")</f>
        <v/>
      </c>
      <c r="I2604" s="580">
        <f t="shared" si="229"/>
        <v>0</v>
      </c>
      <c r="J2604" s="961">
        <f t="shared" si="230"/>
        <v>0</v>
      </c>
      <c r="K2604" s="80"/>
      <c r="O2604" s="154" t="str">
        <f>IFERROR(VLOOKUP(N2604,DATA!$K$4:$L$51,2,FALSE),"")</f>
        <v/>
      </c>
    </row>
    <row r="2605" spans="5:15">
      <c r="E2605" s="584"/>
      <c r="F2605" s="556" t="str">
        <f>IFERROR(VLOOKUP(E2605,STAT1!$C$4:$D$8000,2,FALSE),"")</f>
        <v/>
      </c>
      <c r="I2605" s="580">
        <f t="shared" si="229"/>
        <v>0</v>
      </c>
      <c r="J2605" s="961">
        <f t="shared" si="230"/>
        <v>0</v>
      </c>
      <c r="K2605" s="80"/>
      <c r="O2605" s="154" t="str">
        <f>IFERROR(VLOOKUP(N2605,DATA!$K$4:$L$51,2,FALSE),"")</f>
        <v/>
      </c>
    </row>
    <row r="2606" spans="5:15">
      <c r="E2606" s="584"/>
      <c r="F2606" s="556" t="str">
        <f>IFERROR(VLOOKUP(E2606,STAT1!$C$4:$D$8000,2,FALSE),"")</f>
        <v/>
      </c>
      <c r="I2606" s="580">
        <f t="shared" si="229"/>
        <v>0</v>
      </c>
      <c r="J2606" s="961">
        <f t="shared" si="230"/>
        <v>0</v>
      </c>
      <c r="K2606" s="80"/>
      <c r="O2606" s="154" t="str">
        <f>IFERROR(VLOOKUP(N2606,DATA!$K$4:$L$51,2,FALSE),"")</f>
        <v/>
      </c>
    </row>
    <row r="2607" spans="5:15">
      <c r="E2607" s="584"/>
      <c r="F2607" s="556" t="str">
        <f>IFERROR(VLOOKUP(E2607,STAT1!$C$4:$D$8000,2,FALSE),"")</f>
        <v/>
      </c>
      <c r="I2607" s="580">
        <f t="shared" si="229"/>
        <v>0</v>
      </c>
      <c r="J2607" s="961">
        <f t="shared" si="230"/>
        <v>0</v>
      </c>
      <c r="K2607" s="80"/>
      <c r="O2607" s="154" t="str">
        <f>IFERROR(VLOOKUP(N2607,DATA!$K$4:$L$51,2,FALSE),"")</f>
        <v/>
      </c>
    </row>
    <row r="2608" spans="5:15">
      <c r="E2608" s="584"/>
      <c r="F2608" s="556" t="str">
        <f>IFERROR(VLOOKUP(E2608,STAT1!$C$4:$D$8000,2,FALSE),"")</f>
        <v/>
      </c>
      <c r="I2608" s="580">
        <f t="shared" si="229"/>
        <v>0</v>
      </c>
      <c r="J2608" s="961">
        <f t="shared" si="230"/>
        <v>0</v>
      </c>
      <c r="K2608" s="80"/>
      <c r="O2608" s="154" t="str">
        <f>IFERROR(VLOOKUP(N2608,DATA!$K$4:$L$51,2,FALSE),"")</f>
        <v/>
      </c>
    </row>
    <row r="2609" spans="5:15">
      <c r="E2609" s="584"/>
      <c r="F2609" s="556" t="str">
        <f>IFERROR(VLOOKUP(E2609,STAT1!$C$4:$D$8000,2,FALSE),"")</f>
        <v/>
      </c>
      <c r="I2609" s="580">
        <f t="shared" si="229"/>
        <v>0</v>
      </c>
      <c r="J2609" s="961">
        <f t="shared" si="230"/>
        <v>0</v>
      </c>
      <c r="K2609" s="80"/>
      <c r="O2609" s="154" t="str">
        <f>IFERROR(VLOOKUP(N2609,DATA!$K$4:$L$51,2,FALSE),"")</f>
        <v/>
      </c>
    </row>
    <row r="2610" spans="5:15">
      <c r="E2610" s="584"/>
      <c r="F2610" s="556" t="str">
        <f>IFERROR(VLOOKUP(E2610,STAT1!$C$4:$D$8000,2,FALSE),"")</f>
        <v/>
      </c>
      <c r="I2610" s="580">
        <f t="shared" si="229"/>
        <v>0</v>
      </c>
      <c r="J2610" s="961">
        <f t="shared" si="230"/>
        <v>0</v>
      </c>
      <c r="K2610" s="80"/>
      <c r="O2610" s="154" t="str">
        <f>IFERROR(VLOOKUP(N2610,DATA!$K$4:$L$51,2,FALSE),"")</f>
        <v/>
      </c>
    </row>
    <row r="2611" spans="5:15">
      <c r="E2611" s="584"/>
      <c r="F2611" s="556" t="str">
        <f>IFERROR(VLOOKUP(E2611,STAT1!$C$4:$D$8000,2,FALSE),"")</f>
        <v/>
      </c>
      <c r="I2611" s="580">
        <f t="shared" si="229"/>
        <v>0</v>
      </c>
      <c r="J2611" s="961">
        <f t="shared" si="230"/>
        <v>0</v>
      </c>
      <c r="K2611" s="80"/>
      <c r="O2611" s="154" t="str">
        <f>IFERROR(VLOOKUP(N2611,DATA!$K$4:$L$51,2,FALSE),"")</f>
        <v/>
      </c>
    </row>
    <row r="2612" spans="5:15">
      <c r="E2612" s="584"/>
      <c r="F2612" s="556" t="str">
        <f>IFERROR(VLOOKUP(E2612,STAT1!$C$4:$D$8000,2,FALSE),"")</f>
        <v/>
      </c>
      <c r="I2612" s="580">
        <f t="shared" si="229"/>
        <v>0</v>
      </c>
      <c r="J2612" s="961">
        <f t="shared" si="230"/>
        <v>0</v>
      </c>
      <c r="K2612" s="80"/>
      <c r="O2612" s="154" t="str">
        <f>IFERROR(VLOOKUP(N2612,DATA!$K$4:$L$51,2,FALSE),"")</f>
        <v/>
      </c>
    </row>
    <row r="2613" spans="5:15">
      <c r="E2613" s="584"/>
      <c r="F2613" s="556" t="str">
        <f>IFERROR(VLOOKUP(E2613,STAT1!$C$4:$D$8000,2,FALSE),"")</f>
        <v/>
      </c>
      <c r="I2613" s="580">
        <f t="shared" si="229"/>
        <v>0</v>
      </c>
      <c r="J2613" s="961">
        <f t="shared" si="230"/>
        <v>0</v>
      </c>
      <c r="K2613" s="80"/>
      <c r="O2613" s="154" t="str">
        <f>IFERROR(VLOOKUP(N2613,DATA!$K$4:$L$51,2,FALSE),"")</f>
        <v/>
      </c>
    </row>
    <row r="2614" spans="5:15">
      <c r="E2614" s="584"/>
      <c r="F2614" s="556" t="str">
        <f>IFERROR(VLOOKUP(E2614,STAT1!$C$4:$D$8000,2,FALSE),"")</f>
        <v/>
      </c>
      <c r="I2614" s="580">
        <f t="shared" si="229"/>
        <v>0</v>
      </c>
      <c r="J2614" s="961">
        <f t="shared" si="230"/>
        <v>0</v>
      </c>
      <c r="K2614" s="80"/>
      <c r="O2614" s="154" t="str">
        <f>IFERROR(VLOOKUP(N2614,DATA!$K$4:$L$51,2,FALSE),"")</f>
        <v/>
      </c>
    </row>
    <row r="2615" spans="5:15">
      <c r="E2615" s="584"/>
      <c r="F2615" s="556" t="str">
        <f>IFERROR(VLOOKUP(E2615,STAT1!$C$4:$D$8000,2,FALSE),"")</f>
        <v/>
      </c>
      <c r="I2615" s="580">
        <f t="shared" si="229"/>
        <v>0</v>
      </c>
      <c r="J2615" s="961">
        <f t="shared" si="230"/>
        <v>0</v>
      </c>
      <c r="K2615" s="80"/>
      <c r="O2615" s="154" t="str">
        <f>IFERROR(VLOOKUP(N2615,DATA!$K$4:$L$51,2,FALSE),"")</f>
        <v/>
      </c>
    </row>
    <row r="2616" spans="5:15">
      <c r="E2616" s="584"/>
      <c r="F2616" s="556" t="str">
        <f>IFERROR(VLOOKUP(E2616,STAT1!$C$4:$D$8000,2,FALSE),"")</f>
        <v/>
      </c>
      <c r="I2616" s="580">
        <f t="shared" si="229"/>
        <v>0</v>
      </c>
      <c r="J2616" s="961">
        <f t="shared" si="230"/>
        <v>0</v>
      </c>
      <c r="K2616" s="80"/>
      <c r="O2616" s="154" t="str">
        <f>IFERROR(VLOOKUP(N2616,DATA!$K$4:$L$51,2,FALSE),"")</f>
        <v/>
      </c>
    </row>
    <row r="2617" spans="5:15">
      <c r="E2617" s="584"/>
      <c r="F2617" s="556" t="str">
        <f>IFERROR(VLOOKUP(E2617,STAT1!$C$4:$D$8000,2,FALSE),"")</f>
        <v/>
      </c>
      <c r="I2617" s="580">
        <f t="shared" si="229"/>
        <v>0</v>
      </c>
      <c r="J2617" s="961">
        <f t="shared" si="230"/>
        <v>0</v>
      </c>
      <c r="K2617" s="80"/>
      <c r="O2617" s="154" t="str">
        <f>IFERROR(VLOOKUP(N2617,DATA!$K$4:$L$51,2,FALSE),"")</f>
        <v/>
      </c>
    </row>
    <row r="2618" spans="5:15">
      <c r="E2618" s="584"/>
      <c r="F2618" s="556" t="str">
        <f>IFERROR(VLOOKUP(E2618,STAT1!$C$4:$D$8000,2,FALSE),"")</f>
        <v/>
      </c>
      <c r="I2618" s="580">
        <f t="shared" si="229"/>
        <v>0</v>
      </c>
      <c r="J2618" s="961">
        <f t="shared" si="230"/>
        <v>0</v>
      </c>
      <c r="K2618" s="80"/>
      <c r="O2618" s="154" t="str">
        <f>IFERROR(VLOOKUP(N2618,DATA!$K$4:$L$51,2,FALSE),"")</f>
        <v/>
      </c>
    </row>
    <row r="2619" spans="5:15">
      <c r="E2619" s="584"/>
      <c r="F2619" s="556" t="str">
        <f>IFERROR(VLOOKUP(E2619,STAT1!$C$4:$D$8000,2,FALSE),"")</f>
        <v/>
      </c>
      <c r="I2619" s="580">
        <f t="shared" si="229"/>
        <v>0</v>
      </c>
      <c r="J2619" s="961">
        <f t="shared" si="230"/>
        <v>0</v>
      </c>
      <c r="K2619" s="80"/>
      <c r="O2619" s="154" t="str">
        <f>IFERROR(VLOOKUP(N2619,DATA!$K$4:$L$51,2,FALSE),"")</f>
        <v/>
      </c>
    </row>
    <row r="2620" spans="5:15">
      <c r="E2620" s="584"/>
      <c r="F2620" s="556" t="str">
        <f>IFERROR(VLOOKUP(E2620,STAT1!$C$4:$D$8000,2,FALSE),"")</f>
        <v/>
      </c>
      <c r="I2620" s="580">
        <f t="shared" si="229"/>
        <v>0</v>
      </c>
      <c r="J2620" s="961">
        <f t="shared" si="230"/>
        <v>0</v>
      </c>
      <c r="K2620" s="80"/>
      <c r="O2620" s="154" t="str">
        <f>IFERROR(VLOOKUP(N2620,DATA!$K$4:$L$51,2,FALSE),"")</f>
        <v/>
      </c>
    </row>
    <row r="2621" spans="5:15">
      <c r="E2621" s="584"/>
      <c r="F2621" s="556" t="str">
        <f>IFERROR(VLOOKUP(E2621,STAT1!$C$4:$D$8000,2,FALSE),"")</f>
        <v/>
      </c>
      <c r="I2621" s="580">
        <f t="shared" si="229"/>
        <v>0</v>
      </c>
      <c r="J2621" s="961">
        <f t="shared" si="230"/>
        <v>0</v>
      </c>
      <c r="K2621" s="80"/>
      <c r="O2621" s="154" t="str">
        <f>IFERROR(VLOOKUP(N2621,DATA!$K$4:$L$51,2,FALSE),"")</f>
        <v/>
      </c>
    </row>
    <row r="2622" spans="5:15">
      <c r="E2622" s="584"/>
      <c r="F2622" s="556" t="str">
        <f>IFERROR(VLOOKUP(E2622,STAT1!$C$4:$D$8000,2,FALSE),"")</f>
        <v/>
      </c>
      <c r="I2622" s="580">
        <f t="shared" ref="I2622:I2636" si="231">+IF(OR(E2622=100100,E2622=100200,E2622=110100,E2622=110102,E2622=110103,E2622=110104,E2622=110105,E2622=110200,E2622=110201,E2622=110202,E2622=110203,E2622=110204,E2622=110300),G2622,0)+IF(OR(E2622=100100,E2622=100200,E2622=110100,E2622=110102,E2622=110103,E2622=110104,E2622=110105,E2622=110200,E2622=110201,E2622=110202,E2622=110203,E2622=110204,E2622=110300),H2622*-1,0)</f>
        <v>0</v>
      </c>
      <c r="J2622" s="961">
        <f t="shared" ref="J2622:J2636" si="232">+IF(E2622=110200,I2622/K2622,0)</f>
        <v>0</v>
      </c>
      <c r="K2622" s="80"/>
      <c r="O2622" s="154" t="str">
        <f>IFERROR(VLOOKUP(N2622,DATA!$K$4:$L$51,2,FALSE),"")</f>
        <v/>
      </c>
    </row>
    <row r="2623" spans="5:15">
      <c r="E2623" s="584"/>
      <c r="F2623" s="556" t="str">
        <f>IFERROR(VLOOKUP(E2623,STAT1!$C$4:$D$8000,2,FALSE),"")</f>
        <v/>
      </c>
      <c r="I2623" s="580">
        <f t="shared" si="231"/>
        <v>0</v>
      </c>
      <c r="J2623" s="961">
        <f t="shared" si="232"/>
        <v>0</v>
      </c>
      <c r="K2623" s="80"/>
      <c r="O2623" s="154" t="str">
        <f>IFERROR(VLOOKUP(N2623,DATA!$K$4:$L$51,2,FALSE),"")</f>
        <v/>
      </c>
    </row>
    <row r="2624" spans="5:15">
      <c r="E2624" s="584"/>
      <c r="F2624" s="556" t="str">
        <f>IFERROR(VLOOKUP(E2624,STAT1!$C$4:$D$8000,2,FALSE),"")</f>
        <v/>
      </c>
      <c r="I2624" s="580">
        <f t="shared" si="231"/>
        <v>0</v>
      </c>
      <c r="J2624" s="961">
        <f t="shared" si="232"/>
        <v>0</v>
      </c>
      <c r="K2624" s="80"/>
      <c r="O2624" s="154" t="str">
        <f>IFERROR(VLOOKUP(N2624,DATA!$K$4:$L$51,2,FALSE),"")</f>
        <v/>
      </c>
    </row>
    <row r="2625" spans="5:15">
      <c r="E2625" s="584"/>
      <c r="F2625" s="556" t="str">
        <f>IFERROR(VLOOKUP(E2625,STAT1!$C$4:$D$8000,2,FALSE),"")</f>
        <v/>
      </c>
      <c r="I2625" s="580">
        <f t="shared" si="231"/>
        <v>0</v>
      </c>
      <c r="J2625" s="961">
        <f t="shared" si="232"/>
        <v>0</v>
      </c>
      <c r="K2625" s="80"/>
      <c r="O2625" s="154" t="str">
        <f>IFERROR(VLOOKUP(N2625,DATA!$K$4:$L$51,2,FALSE),"")</f>
        <v/>
      </c>
    </row>
    <row r="2626" spans="5:15">
      <c r="E2626" s="584"/>
      <c r="F2626" s="556" t="str">
        <f>IFERROR(VLOOKUP(E2626,STAT1!$C$4:$D$8000,2,FALSE),"")</f>
        <v/>
      </c>
      <c r="I2626" s="580">
        <f t="shared" si="231"/>
        <v>0</v>
      </c>
      <c r="J2626" s="961">
        <f t="shared" si="232"/>
        <v>0</v>
      </c>
      <c r="K2626" s="80"/>
      <c r="O2626" s="154" t="str">
        <f>IFERROR(VLOOKUP(N2626,DATA!$K$4:$L$51,2,FALSE),"")</f>
        <v/>
      </c>
    </row>
    <row r="2627" spans="5:15">
      <c r="E2627" s="584"/>
      <c r="F2627" s="556" t="str">
        <f>IFERROR(VLOOKUP(E2627,STAT1!$C$4:$D$8000,2,FALSE),"")</f>
        <v/>
      </c>
      <c r="I2627" s="580">
        <f t="shared" si="231"/>
        <v>0</v>
      </c>
      <c r="J2627" s="961">
        <f t="shared" si="232"/>
        <v>0</v>
      </c>
      <c r="K2627" s="80"/>
      <c r="O2627" s="154" t="str">
        <f>IFERROR(VLOOKUP(N2627,DATA!$K$4:$L$51,2,FALSE),"")</f>
        <v/>
      </c>
    </row>
    <row r="2628" spans="5:15">
      <c r="E2628" s="584"/>
      <c r="F2628" s="556" t="str">
        <f>IFERROR(VLOOKUP(E2628,STAT1!$C$4:$D$8000,2,FALSE),"")</f>
        <v/>
      </c>
      <c r="I2628" s="580">
        <f t="shared" si="231"/>
        <v>0</v>
      </c>
      <c r="J2628" s="961">
        <f t="shared" si="232"/>
        <v>0</v>
      </c>
      <c r="K2628" s="80"/>
      <c r="O2628" s="154" t="str">
        <f>IFERROR(VLOOKUP(N2628,DATA!$K$4:$L$51,2,FALSE),"")</f>
        <v/>
      </c>
    </row>
    <row r="2629" spans="5:15">
      <c r="E2629" s="584"/>
      <c r="F2629" s="556" t="str">
        <f>IFERROR(VLOOKUP(E2629,STAT1!$C$4:$D$8000,2,FALSE),"")</f>
        <v/>
      </c>
      <c r="I2629" s="580">
        <f t="shared" si="231"/>
        <v>0</v>
      </c>
      <c r="J2629" s="961">
        <f t="shared" si="232"/>
        <v>0</v>
      </c>
      <c r="K2629" s="80"/>
      <c r="O2629" s="154" t="str">
        <f>IFERROR(VLOOKUP(N2629,DATA!$K$4:$L$51,2,FALSE),"")</f>
        <v/>
      </c>
    </row>
    <row r="2630" spans="5:15">
      <c r="E2630" s="584"/>
      <c r="F2630" s="556" t="str">
        <f>IFERROR(VLOOKUP(E2630,STAT1!$C$4:$D$8000,2,FALSE),"")</f>
        <v/>
      </c>
      <c r="I2630" s="580">
        <f t="shared" si="231"/>
        <v>0</v>
      </c>
      <c r="J2630" s="961">
        <f t="shared" si="232"/>
        <v>0</v>
      </c>
      <c r="K2630" s="80"/>
      <c r="O2630" s="154" t="str">
        <f>IFERROR(VLOOKUP(N2630,DATA!$K$4:$L$51,2,FALSE),"")</f>
        <v/>
      </c>
    </row>
    <row r="2631" spans="5:15">
      <c r="E2631" s="584"/>
      <c r="F2631" s="556" t="str">
        <f>IFERROR(VLOOKUP(E2631,STAT1!$C$4:$D$8000,2,FALSE),"")</f>
        <v/>
      </c>
      <c r="I2631" s="580">
        <f t="shared" si="231"/>
        <v>0</v>
      </c>
      <c r="J2631" s="961">
        <f t="shared" si="232"/>
        <v>0</v>
      </c>
      <c r="K2631" s="80"/>
      <c r="O2631" s="154" t="str">
        <f>IFERROR(VLOOKUP(N2631,DATA!$K$4:$L$51,2,FALSE),"")</f>
        <v/>
      </c>
    </row>
    <row r="2632" spans="5:15">
      <c r="E2632" s="584"/>
      <c r="F2632" s="556" t="str">
        <f>IFERROR(VLOOKUP(E2632,STAT1!$C$4:$D$8000,2,FALSE),"")</f>
        <v/>
      </c>
      <c r="I2632" s="580">
        <f t="shared" si="231"/>
        <v>0</v>
      </c>
      <c r="J2632" s="961">
        <f t="shared" si="232"/>
        <v>0</v>
      </c>
      <c r="K2632" s="80"/>
      <c r="O2632" s="154" t="str">
        <f>IFERROR(VLOOKUP(N2632,DATA!$K$4:$L$51,2,FALSE),"")</f>
        <v/>
      </c>
    </row>
    <row r="2633" spans="5:15">
      <c r="E2633" s="584"/>
      <c r="F2633" s="556" t="str">
        <f>IFERROR(VLOOKUP(E2633,STAT1!$C$4:$D$8000,2,FALSE),"")</f>
        <v/>
      </c>
      <c r="I2633" s="580">
        <f t="shared" si="231"/>
        <v>0</v>
      </c>
      <c r="J2633" s="961">
        <f t="shared" si="232"/>
        <v>0</v>
      </c>
      <c r="K2633" s="80"/>
      <c r="O2633" s="154" t="str">
        <f>IFERROR(VLOOKUP(N2633,DATA!$K$4:$L$51,2,FALSE),"")</f>
        <v/>
      </c>
    </row>
    <row r="2634" spans="5:15">
      <c r="E2634" s="584"/>
      <c r="F2634" s="556" t="str">
        <f>IFERROR(VLOOKUP(E2634,STAT1!$C$4:$D$8000,2,FALSE),"")</f>
        <v/>
      </c>
      <c r="I2634" s="580">
        <f t="shared" si="231"/>
        <v>0</v>
      </c>
      <c r="J2634" s="961">
        <f t="shared" si="232"/>
        <v>0</v>
      </c>
      <c r="K2634" s="80"/>
      <c r="O2634" s="154" t="str">
        <f>IFERROR(VLOOKUP(N2634,DATA!$K$4:$L$51,2,FALSE),"")</f>
        <v/>
      </c>
    </row>
    <row r="2635" spans="5:15">
      <c r="E2635" s="584"/>
      <c r="F2635" s="556" t="str">
        <f>IFERROR(VLOOKUP(E2635,STAT1!$C$4:$D$8000,2,FALSE),"")</f>
        <v/>
      </c>
      <c r="I2635" s="580">
        <f t="shared" si="231"/>
        <v>0</v>
      </c>
      <c r="J2635" s="961">
        <f t="shared" si="232"/>
        <v>0</v>
      </c>
      <c r="K2635" s="80"/>
      <c r="O2635" s="154" t="str">
        <f>IFERROR(VLOOKUP(N2635,DATA!$K$4:$L$51,2,FALSE),"")</f>
        <v/>
      </c>
    </row>
    <row r="2636" spans="5:15">
      <c r="E2636" s="584"/>
      <c r="F2636" s="556" t="str">
        <f>IFERROR(VLOOKUP(E2636,STAT1!$C$4:$D$8000,2,FALSE),"")</f>
        <v/>
      </c>
      <c r="I2636" s="580">
        <f t="shared" si="231"/>
        <v>0</v>
      </c>
      <c r="J2636" s="961">
        <f t="shared" si="232"/>
        <v>0</v>
      </c>
      <c r="K2636" s="80"/>
      <c r="O2636" s="154" t="str">
        <f>IFERROR(VLOOKUP(N2636,DATA!$K$4:$L$51,2,FALSE),"")</f>
        <v/>
      </c>
    </row>
    <row r="2637" spans="5:15">
      <c r="E2637" s="584"/>
      <c r="F2637" s="556" t="str">
        <f>IFERROR(VLOOKUP(E2637,STAT1!$C$4:$D$8000,2,FALSE),"")</f>
        <v/>
      </c>
      <c r="O2637" s="154" t="str">
        <f>IFERROR(VLOOKUP(N2637,DATA!$K$4:$L$51,2,FALSE),"")</f>
        <v/>
      </c>
    </row>
    <row r="2638" spans="5:15">
      <c r="E2638" s="584"/>
      <c r="F2638" s="556" t="str">
        <f>IFERROR(VLOOKUP(E2638,STAT1!$C$4:$D$8000,2,FALSE),"")</f>
        <v/>
      </c>
      <c r="O2638" s="154" t="str">
        <f>IFERROR(VLOOKUP(N2638,DATA!$K$4:$L$51,2,FALSE),"")</f>
        <v/>
      </c>
    </row>
    <row r="2639" spans="5:15">
      <c r="E2639" s="584"/>
      <c r="F2639" s="556" t="str">
        <f>IFERROR(VLOOKUP(E2639,STAT1!$C$4:$D$8000,2,FALSE),"")</f>
        <v/>
      </c>
      <c r="O2639" s="154" t="str">
        <f>IFERROR(VLOOKUP(N2639,DATA!$K$4:$L$51,2,FALSE),"")</f>
        <v/>
      </c>
    </row>
    <row r="2640" spans="5:15">
      <c r="E2640" s="584"/>
      <c r="F2640" s="556" t="str">
        <f>IFERROR(VLOOKUP(E2640,STAT1!$C$4:$D$8000,2,FALSE),"")</f>
        <v/>
      </c>
      <c r="O2640" s="154" t="str">
        <f>IFERROR(VLOOKUP(N2640,DATA!$K$4:$L$51,2,FALSE),"")</f>
        <v/>
      </c>
    </row>
    <row r="2641" spans="5:15">
      <c r="E2641" s="584"/>
      <c r="F2641" s="556" t="str">
        <f>IFERROR(VLOOKUP(E2641,STAT1!$C$4:$D$8000,2,FALSE),"")</f>
        <v/>
      </c>
      <c r="O2641" s="154" t="str">
        <f>IFERROR(VLOOKUP(N2641,DATA!$K$4:$L$51,2,FALSE),"")</f>
        <v/>
      </c>
    </row>
    <row r="2642" spans="5:15">
      <c r="E2642" s="584"/>
      <c r="F2642" s="556" t="str">
        <f>IFERROR(VLOOKUP(E2642,STAT1!$C$4:$D$8000,2,FALSE),"")</f>
        <v/>
      </c>
      <c r="O2642" s="154" t="str">
        <f>IFERROR(VLOOKUP(N2642,DATA!$K$4:$L$51,2,FALSE),"")</f>
        <v/>
      </c>
    </row>
    <row r="2643" spans="5:15">
      <c r="E2643" s="584"/>
      <c r="F2643" s="556" t="str">
        <f>IFERROR(VLOOKUP(E2643,STAT1!$C$4:$D$8000,2,FALSE),"")</f>
        <v/>
      </c>
      <c r="O2643" s="154" t="str">
        <f>IFERROR(VLOOKUP(N2643,DATA!$K$4:$L$51,2,FALSE),"")</f>
        <v/>
      </c>
    </row>
    <row r="2644" spans="5:15">
      <c r="E2644" s="584"/>
      <c r="F2644" s="556" t="str">
        <f>IFERROR(VLOOKUP(E2644,STAT1!$C$4:$D$8000,2,FALSE),"")</f>
        <v/>
      </c>
      <c r="O2644" s="154" t="str">
        <f>IFERROR(VLOOKUP(N2644,DATA!$K$4:$L$51,2,FALSE),"")</f>
        <v/>
      </c>
    </row>
    <row r="2645" spans="5:15">
      <c r="E2645" s="584"/>
      <c r="F2645" s="556" t="str">
        <f>IFERROR(VLOOKUP(E2645,STAT1!$C$4:$D$8000,2,FALSE),"")</f>
        <v/>
      </c>
      <c r="O2645" s="154" t="str">
        <f>IFERROR(VLOOKUP(N2645,DATA!$K$4:$L$51,2,FALSE),"")</f>
        <v/>
      </c>
    </row>
    <row r="2646" spans="5:15">
      <c r="E2646" s="584"/>
      <c r="F2646" s="556" t="str">
        <f>IFERROR(VLOOKUP(E2646,STAT1!$C$4:$D$8000,2,FALSE),"")</f>
        <v/>
      </c>
      <c r="O2646" s="154" t="str">
        <f>IFERROR(VLOOKUP(N2646,DATA!$K$4:$L$51,2,FALSE),"")</f>
        <v/>
      </c>
    </row>
    <row r="2647" spans="5:15">
      <c r="E2647" s="584"/>
      <c r="F2647" s="556" t="str">
        <f>IFERROR(VLOOKUP(E2647,STAT1!$C$4:$D$8000,2,FALSE),"")</f>
        <v/>
      </c>
      <c r="O2647" s="154" t="str">
        <f>IFERROR(VLOOKUP(N2647,DATA!$K$4:$L$51,2,FALSE),"")</f>
        <v/>
      </c>
    </row>
    <row r="2648" spans="5:15">
      <c r="E2648" s="584"/>
      <c r="F2648" s="556" t="str">
        <f>IFERROR(VLOOKUP(E2648,STAT1!$C$4:$D$8000,2,FALSE),"")</f>
        <v/>
      </c>
      <c r="O2648" s="154" t="str">
        <f>IFERROR(VLOOKUP(N2648,DATA!$K$4:$L$51,2,FALSE),"")</f>
        <v/>
      </c>
    </row>
    <row r="2649" spans="5:15">
      <c r="E2649" s="584"/>
      <c r="F2649" s="556" t="str">
        <f>IFERROR(VLOOKUP(E2649,STAT1!$C$4:$D$8000,2,FALSE),"")</f>
        <v/>
      </c>
      <c r="O2649" s="154" t="str">
        <f>IFERROR(VLOOKUP(N2649,DATA!$K$4:$L$51,2,FALSE),"")</f>
        <v/>
      </c>
    </row>
    <row r="2650" spans="5:15">
      <c r="E2650" s="584"/>
      <c r="F2650" s="556" t="str">
        <f>IFERROR(VLOOKUP(E2650,STAT1!$C$4:$D$8000,2,FALSE),"")</f>
        <v/>
      </c>
      <c r="O2650" s="154" t="str">
        <f>IFERROR(VLOOKUP(N2650,DATA!$K$4:$L$51,2,FALSE),"")</f>
        <v/>
      </c>
    </row>
    <row r="2651" spans="5:15">
      <c r="E2651" s="584"/>
      <c r="F2651" s="556" t="str">
        <f>IFERROR(VLOOKUP(E2651,STAT1!$C$4:$D$8000,2,FALSE),"")</f>
        <v/>
      </c>
      <c r="O2651" s="154" t="str">
        <f>IFERROR(VLOOKUP(N2651,DATA!$K$4:$L$51,2,FALSE),"")</f>
        <v/>
      </c>
    </row>
    <row r="2652" spans="5:15">
      <c r="E2652" s="584"/>
      <c r="F2652" s="556" t="str">
        <f>IFERROR(VLOOKUP(E2652,STAT1!$C$4:$D$8000,2,FALSE),"")</f>
        <v/>
      </c>
      <c r="O2652" s="154" t="str">
        <f>IFERROR(VLOOKUP(N2652,DATA!$K$4:$L$51,2,FALSE),"")</f>
        <v/>
      </c>
    </row>
    <row r="2653" spans="5:15">
      <c r="E2653" s="584"/>
      <c r="F2653" s="556" t="str">
        <f>IFERROR(VLOOKUP(E2653,STAT1!$C$4:$D$8000,2,FALSE),"")</f>
        <v/>
      </c>
      <c r="O2653" s="154" t="str">
        <f>IFERROR(VLOOKUP(N2653,DATA!$K$4:$L$51,2,FALSE),"")</f>
        <v/>
      </c>
    </row>
    <row r="2654" spans="5:15">
      <c r="E2654" s="584"/>
      <c r="F2654" s="556" t="str">
        <f>IFERROR(VLOOKUP(E2654,STAT1!$C$4:$D$8000,2,FALSE),"")</f>
        <v/>
      </c>
      <c r="O2654" s="154" t="str">
        <f>IFERROR(VLOOKUP(N2654,DATA!$K$4:$L$51,2,FALSE),"")</f>
        <v/>
      </c>
    </row>
    <row r="2655" spans="5:15">
      <c r="E2655" s="584"/>
      <c r="F2655" s="556" t="str">
        <f>IFERROR(VLOOKUP(E2655,STAT1!$C$4:$D$8000,2,FALSE),"")</f>
        <v/>
      </c>
      <c r="O2655" s="154" t="str">
        <f>IFERROR(VLOOKUP(N2655,DATA!$K$4:$L$51,2,FALSE),"")</f>
        <v/>
      </c>
    </row>
    <row r="2656" spans="5:15">
      <c r="E2656" s="584"/>
      <c r="F2656" s="556" t="str">
        <f>IFERROR(VLOOKUP(E2656,STAT1!$C$4:$D$8000,2,FALSE),"")</f>
        <v/>
      </c>
      <c r="O2656" s="154" t="str">
        <f>IFERROR(VLOOKUP(N2656,DATA!$K$4:$L$51,2,FALSE),"")</f>
        <v/>
      </c>
    </row>
    <row r="2657" spans="5:15">
      <c r="E2657" s="584"/>
      <c r="F2657" s="556" t="str">
        <f>IFERROR(VLOOKUP(E2657,STAT1!$C$4:$D$8000,2,FALSE),"")</f>
        <v/>
      </c>
      <c r="O2657" s="154" t="str">
        <f>IFERROR(VLOOKUP(N2657,DATA!$K$4:$L$51,2,FALSE),"")</f>
        <v/>
      </c>
    </row>
    <row r="2658" spans="5:15">
      <c r="E2658" s="584"/>
      <c r="F2658" s="556" t="str">
        <f>IFERROR(VLOOKUP(E2658,STAT1!$C$4:$D$8000,2,FALSE),"")</f>
        <v/>
      </c>
      <c r="O2658" s="154" t="str">
        <f>IFERROR(VLOOKUP(N2658,DATA!$K$4:$L$51,2,FALSE),"")</f>
        <v/>
      </c>
    </row>
    <row r="2659" spans="5:15">
      <c r="E2659" s="584"/>
      <c r="F2659" s="556" t="str">
        <f>IFERROR(VLOOKUP(E2659,STAT1!$C$4:$D$8000,2,FALSE),"")</f>
        <v/>
      </c>
      <c r="O2659" s="154" t="str">
        <f>IFERROR(VLOOKUP(N2659,DATA!$K$4:$L$51,2,FALSE),"")</f>
        <v/>
      </c>
    </row>
    <row r="2660" spans="5:15">
      <c r="E2660" s="584"/>
      <c r="F2660" s="556" t="str">
        <f>IFERROR(VLOOKUP(E2660,STAT1!$C$4:$D$8000,2,FALSE),"")</f>
        <v/>
      </c>
      <c r="O2660" s="154" t="str">
        <f>IFERROR(VLOOKUP(N2660,DATA!$K$4:$L$51,2,FALSE),"")</f>
        <v/>
      </c>
    </row>
    <row r="2661" spans="5:15">
      <c r="E2661" s="584"/>
      <c r="F2661" s="556" t="str">
        <f>IFERROR(VLOOKUP(E2661,STAT1!$C$4:$D$8000,2,FALSE),"")</f>
        <v/>
      </c>
      <c r="O2661" s="154" t="str">
        <f>IFERROR(VLOOKUP(N2661,DATA!$K$4:$L$51,2,FALSE),"")</f>
        <v/>
      </c>
    </row>
    <row r="2662" spans="5:15">
      <c r="E2662" s="584"/>
      <c r="F2662" s="556" t="str">
        <f>IFERROR(VLOOKUP(E2662,STAT1!$C$4:$D$8000,2,FALSE),"")</f>
        <v/>
      </c>
      <c r="O2662" s="154" t="str">
        <f>IFERROR(VLOOKUP(N2662,DATA!$K$4:$L$51,2,FALSE),"")</f>
        <v/>
      </c>
    </row>
    <row r="2663" spans="5:15">
      <c r="E2663" s="584"/>
      <c r="F2663" s="556" t="str">
        <f>IFERROR(VLOOKUP(E2663,STAT1!$C$4:$D$8000,2,FALSE),"")</f>
        <v/>
      </c>
      <c r="O2663" s="154" t="str">
        <f>IFERROR(VLOOKUP(N2663,DATA!$K$4:$L$51,2,FALSE),"")</f>
        <v/>
      </c>
    </row>
    <row r="2664" spans="5:15">
      <c r="E2664" s="584"/>
      <c r="F2664" s="556" t="str">
        <f>IFERROR(VLOOKUP(E2664,STAT1!$C$4:$D$8000,2,FALSE),"")</f>
        <v/>
      </c>
      <c r="O2664" s="154" t="str">
        <f>IFERROR(VLOOKUP(N2664,DATA!$K$4:$L$51,2,FALSE),"")</f>
        <v/>
      </c>
    </row>
    <row r="2665" spans="5:15">
      <c r="E2665" s="584"/>
      <c r="F2665" s="556" t="str">
        <f>IFERROR(VLOOKUP(E2665,STAT1!$C$4:$D$8000,2,FALSE),"")</f>
        <v/>
      </c>
      <c r="O2665" s="154" t="str">
        <f>IFERROR(VLOOKUP(N2665,DATA!$K$4:$L$51,2,FALSE),"")</f>
        <v/>
      </c>
    </row>
    <row r="2666" spans="5:15">
      <c r="E2666" s="584"/>
      <c r="F2666" s="556" t="str">
        <f>IFERROR(VLOOKUP(E2666,STAT1!$C$4:$D$8000,2,FALSE),"")</f>
        <v/>
      </c>
      <c r="O2666" s="154" t="str">
        <f>IFERROR(VLOOKUP(N2666,DATA!$K$4:$L$51,2,FALSE),"")</f>
        <v/>
      </c>
    </row>
    <row r="2667" spans="5:15">
      <c r="E2667" s="584"/>
      <c r="F2667" s="556" t="str">
        <f>IFERROR(VLOOKUP(E2667,STAT1!$C$4:$D$8000,2,FALSE),"")</f>
        <v/>
      </c>
      <c r="O2667" s="154" t="str">
        <f>IFERROR(VLOOKUP(N2667,DATA!$K$4:$L$51,2,FALSE),"")</f>
        <v/>
      </c>
    </row>
    <row r="2668" spans="5:15">
      <c r="E2668" s="584"/>
      <c r="F2668" s="556" t="str">
        <f>IFERROR(VLOOKUP(E2668,STAT1!$C$4:$D$8000,2,FALSE),"")</f>
        <v/>
      </c>
      <c r="O2668" s="154" t="str">
        <f>IFERROR(VLOOKUP(N2668,DATA!$K$4:$L$51,2,FALSE),"")</f>
        <v/>
      </c>
    </row>
    <row r="2669" spans="5:15">
      <c r="E2669" s="584"/>
      <c r="F2669" s="556" t="str">
        <f>IFERROR(VLOOKUP(E2669,STAT1!$C$4:$D$8000,2,FALSE),"")</f>
        <v/>
      </c>
      <c r="O2669" s="154" t="str">
        <f>IFERROR(VLOOKUP(N2669,DATA!$K$4:$L$51,2,FALSE),"")</f>
        <v/>
      </c>
    </row>
    <row r="2670" spans="5:15">
      <c r="E2670" s="584"/>
      <c r="F2670" s="556" t="str">
        <f>IFERROR(VLOOKUP(E2670,STAT1!$C$4:$D$8000,2,FALSE),"")</f>
        <v/>
      </c>
      <c r="O2670" s="154" t="str">
        <f>IFERROR(VLOOKUP(N2670,DATA!$K$4:$L$51,2,FALSE),"")</f>
        <v/>
      </c>
    </row>
    <row r="2671" spans="5:15">
      <c r="E2671" s="584"/>
      <c r="F2671" s="556" t="str">
        <f>IFERROR(VLOOKUP(E2671,STAT1!$C$4:$D$8000,2,FALSE),"")</f>
        <v/>
      </c>
      <c r="O2671" s="154" t="str">
        <f>IFERROR(VLOOKUP(N2671,DATA!$K$4:$L$51,2,FALSE),"")</f>
        <v/>
      </c>
    </row>
    <row r="2672" spans="5:15">
      <c r="E2672" s="584"/>
      <c r="F2672" s="556" t="str">
        <f>IFERROR(VLOOKUP(E2672,STAT1!$C$4:$D$8000,2,FALSE),"")</f>
        <v/>
      </c>
      <c r="O2672" s="154" t="str">
        <f>IFERROR(VLOOKUP(N2672,DATA!$K$4:$L$51,2,FALSE),"")</f>
        <v/>
      </c>
    </row>
    <row r="2673" spans="5:15">
      <c r="E2673" s="584"/>
      <c r="F2673" s="556" t="str">
        <f>IFERROR(VLOOKUP(E2673,STAT1!$C$4:$D$8000,2,FALSE),"")</f>
        <v/>
      </c>
      <c r="O2673" s="154" t="str">
        <f>IFERROR(VLOOKUP(N2673,DATA!$K$4:$L$51,2,FALSE),"")</f>
        <v/>
      </c>
    </row>
    <row r="2674" spans="5:15">
      <c r="E2674" s="584"/>
      <c r="F2674" s="556" t="str">
        <f>IFERROR(VLOOKUP(E2674,STAT1!$C$4:$D$8000,2,FALSE),"")</f>
        <v/>
      </c>
      <c r="O2674" s="154" t="str">
        <f>IFERROR(VLOOKUP(N2674,DATA!$K$4:$L$51,2,FALSE),"")</f>
        <v/>
      </c>
    </row>
    <row r="2675" spans="5:15">
      <c r="E2675" s="584"/>
      <c r="F2675" s="556" t="str">
        <f>IFERROR(VLOOKUP(E2675,STAT1!$C$4:$D$8000,2,FALSE),"")</f>
        <v/>
      </c>
      <c r="O2675" s="154" t="str">
        <f>IFERROR(VLOOKUP(N2675,DATA!$K$4:$L$51,2,FALSE),"")</f>
        <v/>
      </c>
    </row>
    <row r="2676" spans="5:15">
      <c r="E2676" s="584"/>
      <c r="F2676" s="556" t="str">
        <f>IFERROR(VLOOKUP(E2676,STAT1!$C$4:$D$8000,2,FALSE),"")</f>
        <v/>
      </c>
      <c r="O2676" s="154" t="str">
        <f>IFERROR(VLOOKUP(N2676,DATA!$K$4:$L$51,2,FALSE),"")</f>
        <v/>
      </c>
    </row>
    <row r="2677" spans="5:15">
      <c r="E2677" s="584"/>
      <c r="F2677" s="556" t="str">
        <f>IFERROR(VLOOKUP(E2677,STAT1!$C$4:$D$8000,2,FALSE),"")</f>
        <v/>
      </c>
      <c r="O2677" s="154" t="str">
        <f>IFERROR(VLOOKUP(N2677,DATA!$K$4:$L$51,2,FALSE),"")</f>
        <v/>
      </c>
    </row>
    <row r="2678" spans="5:15">
      <c r="E2678" s="584"/>
      <c r="F2678" s="556" t="str">
        <f>IFERROR(VLOOKUP(E2678,STAT1!$C$4:$D$8000,2,FALSE),"")</f>
        <v/>
      </c>
      <c r="O2678" s="154" t="str">
        <f>IFERROR(VLOOKUP(N2678,DATA!$K$4:$L$51,2,FALSE),"")</f>
        <v/>
      </c>
    </row>
    <row r="2679" spans="5:15">
      <c r="E2679" s="584"/>
      <c r="F2679" s="556" t="str">
        <f>IFERROR(VLOOKUP(E2679,STAT1!$C$4:$D$8000,2,FALSE),"")</f>
        <v/>
      </c>
      <c r="O2679" s="154" t="str">
        <f>IFERROR(VLOOKUP(N2679,DATA!$K$4:$L$51,2,FALSE),"")</f>
        <v/>
      </c>
    </row>
    <row r="2680" spans="5:15">
      <c r="E2680" s="584"/>
      <c r="F2680" s="556" t="str">
        <f>IFERROR(VLOOKUP(E2680,STAT1!$C$4:$D$8000,2,FALSE),"")</f>
        <v/>
      </c>
      <c r="O2680" s="154" t="str">
        <f>IFERROR(VLOOKUP(N2680,DATA!$K$4:$L$51,2,FALSE),"")</f>
        <v/>
      </c>
    </row>
    <row r="2681" spans="5:15">
      <c r="E2681" s="584"/>
      <c r="F2681" s="556" t="str">
        <f>IFERROR(VLOOKUP(E2681,STAT1!$C$4:$D$8000,2,FALSE),"")</f>
        <v/>
      </c>
      <c r="O2681" s="154" t="str">
        <f>IFERROR(VLOOKUP(N2681,DATA!$K$4:$L$51,2,FALSE),"")</f>
        <v/>
      </c>
    </row>
    <row r="2682" spans="5:15">
      <c r="E2682" s="584"/>
      <c r="F2682" s="556" t="str">
        <f>IFERROR(VLOOKUP(E2682,STAT1!$C$4:$D$8000,2,FALSE),"")</f>
        <v/>
      </c>
      <c r="O2682" s="154" t="str">
        <f>IFERROR(VLOOKUP(N2682,DATA!$K$4:$L$51,2,FALSE),"")</f>
        <v/>
      </c>
    </row>
    <row r="2683" spans="5:15">
      <c r="E2683" s="584"/>
      <c r="F2683" s="556" t="str">
        <f>IFERROR(VLOOKUP(E2683,STAT1!$C$4:$D$8000,2,FALSE),"")</f>
        <v/>
      </c>
      <c r="O2683" s="154" t="str">
        <f>IFERROR(VLOOKUP(N2683,DATA!$K$4:$L$51,2,FALSE),"")</f>
        <v/>
      </c>
    </row>
    <row r="2684" spans="5:15">
      <c r="E2684" s="584"/>
      <c r="F2684" s="556" t="str">
        <f>IFERROR(VLOOKUP(E2684,STAT1!$C$4:$D$8000,2,FALSE),"")</f>
        <v/>
      </c>
      <c r="O2684" s="154" t="str">
        <f>IFERROR(VLOOKUP(N2684,DATA!$K$4:$L$51,2,FALSE),"")</f>
        <v/>
      </c>
    </row>
    <row r="2685" spans="5:15">
      <c r="E2685" s="584"/>
      <c r="F2685" s="556" t="str">
        <f>IFERROR(VLOOKUP(E2685,STAT1!$C$4:$D$8000,2,FALSE),"")</f>
        <v/>
      </c>
      <c r="O2685" s="154" t="str">
        <f>IFERROR(VLOOKUP(N2685,DATA!$K$4:$L$51,2,FALSE),"")</f>
        <v/>
      </c>
    </row>
    <row r="2686" spans="5:15">
      <c r="E2686" s="584"/>
      <c r="F2686" s="556" t="str">
        <f>IFERROR(VLOOKUP(E2686,STAT1!$C$4:$D$8000,2,FALSE),"")</f>
        <v/>
      </c>
      <c r="O2686" s="154" t="str">
        <f>IFERROR(VLOOKUP(N2686,DATA!$K$4:$L$51,2,FALSE),"")</f>
        <v/>
      </c>
    </row>
    <row r="2687" spans="5:15">
      <c r="E2687" s="584"/>
      <c r="F2687" s="556" t="str">
        <f>IFERROR(VLOOKUP(E2687,STAT1!$C$4:$D$8000,2,FALSE),"")</f>
        <v/>
      </c>
      <c r="O2687" s="154" t="str">
        <f>IFERROR(VLOOKUP(N2687,DATA!$K$4:$L$51,2,FALSE),"")</f>
        <v/>
      </c>
    </row>
    <row r="2688" spans="5:15">
      <c r="E2688" s="584"/>
      <c r="F2688" s="556" t="str">
        <f>IFERROR(VLOOKUP(E2688,STAT1!$C$4:$D$8000,2,FALSE),"")</f>
        <v/>
      </c>
      <c r="O2688" s="154" t="str">
        <f>IFERROR(VLOOKUP(N2688,DATA!$K$4:$L$51,2,FALSE),"")</f>
        <v/>
      </c>
    </row>
    <row r="2689" spans="5:15">
      <c r="E2689" s="584"/>
      <c r="F2689" s="556" t="str">
        <f>IFERROR(VLOOKUP(E2689,STAT1!$C$4:$D$8000,2,FALSE),"")</f>
        <v/>
      </c>
      <c r="O2689" s="154" t="str">
        <f>IFERROR(VLOOKUP(N2689,DATA!$K$4:$L$51,2,FALSE),"")</f>
        <v/>
      </c>
    </row>
    <row r="2690" spans="5:15">
      <c r="E2690" s="584"/>
      <c r="F2690" s="556" t="str">
        <f>IFERROR(VLOOKUP(E2690,STAT1!$C$4:$D$8000,2,FALSE),"")</f>
        <v/>
      </c>
      <c r="O2690" s="154" t="str">
        <f>IFERROR(VLOOKUP(N2690,DATA!$K$4:$L$51,2,FALSE),"")</f>
        <v/>
      </c>
    </row>
    <row r="2691" spans="5:15">
      <c r="E2691" s="584"/>
      <c r="F2691" s="556" t="str">
        <f>IFERROR(VLOOKUP(E2691,STAT1!$C$4:$D$8000,2,FALSE),"")</f>
        <v/>
      </c>
      <c r="O2691" s="154" t="str">
        <f>IFERROR(VLOOKUP(N2691,DATA!$K$4:$L$51,2,FALSE),"")</f>
        <v/>
      </c>
    </row>
    <row r="2692" spans="5:15">
      <c r="E2692" s="584"/>
      <c r="F2692" s="556" t="str">
        <f>IFERROR(VLOOKUP(E2692,STAT1!$C$4:$D$8000,2,FALSE),"")</f>
        <v/>
      </c>
      <c r="O2692" s="154" t="str">
        <f>IFERROR(VLOOKUP(N2692,DATA!$K$4:$L$51,2,FALSE),"")</f>
        <v/>
      </c>
    </row>
    <row r="2693" spans="5:15">
      <c r="E2693" s="584"/>
      <c r="F2693" s="556" t="str">
        <f>IFERROR(VLOOKUP(E2693,STAT1!$C$4:$D$8000,2,FALSE),"")</f>
        <v/>
      </c>
      <c r="O2693" s="154" t="str">
        <f>IFERROR(VLOOKUP(N2693,DATA!$K$4:$L$51,2,FALSE),"")</f>
        <v/>
      </c>
    </row>
    <row r="2694" spans="5:15">
      <c r="E2694" s="584"/>
      <c r="F2694" s="556" t="str">
        <f>IFERROR(VLOOKUP(E2694,STAT1!$C$4:$D$8000,2,FALSE),"")</f>
        <v/>
      </c>
      <c r="O2694" s="154" t="str">
        <f>IFERROR(VLOOKUP(N2694,DATA!$K$4:$L$51,2,FALSE),"")</f>
        <v/>
      </c>
    </row>
    <row r="2695" spans="5:15">
      <c r="E2695" s="584"/>
      <c r="F2695" s="556" t="str">
        <f>IFERROR(VLOOKUP(E2695,STAT1!$C$4:$D$8000,2,FALSE),"")</f>
        <v/>
      </c>
      <c r="O2695" s="154" t="str">
        <f>IFERROR(VLOOKUP(N2695,DATA!$K$4:$L$51,2,FALSE),"")</f>
        <v/>
      </c>
    </row>
    <row r="2696" spans="5:15">
      <c r="E2696" s="584"/>
      <c r="F2696" s="556" t="str">
        <f>IFERROR(VLOOKUP(E2696,STAT1!$C$4:$D$8000,2,FALSE),"")</f>
        <v/>
      </c>
      <c r="O2696" s="154" t="str">
        <f>IFERROR(VLOOKUP(N2696,DATA!$K$4:$L$51,2,FALSE),"")</f>
        <v/>
      </c>
    </row>
    <row r="2697" spans="5:15">
      <c r="E2697" s="584"/>
      <c r="F2697" s="556" t="str">
        <f>IFERROR(VLOOKUP(E2697,STAT1!$C$4:$D$8000,2,FALSE),"")</f>
        <v/>
      </c>
      <c r="O2697" s="154" t="str">
        <f>IFERROR(VLOOKUP(N2697,DATA!$K$4:$L$51,2,FALSE),"")</f>
        <v/>
      </c>
    </row>
    <row r="2698" spans="5:15">
      <c r="E2698" s="584"/>
      <c r="F2698" s="556" t="str">
        <f>IFERROR(VLOOKUP(E2698,STAT1!$C$4:$D$8000,2,FALSE),"")</f>
        <v/>
      </c>
      <c r="O2698" s="154" t="str">
        <f>IFERROR(VLOOKUP(N2698,DATA!$K$4:$L$51,2,FALSE),"")</f>
        <v/>
      </c>
    </row>
    <row r="2699" spans="5:15">
      <c r="E2699" s="584"/>
      <c r="F2699" s="556" t="str">
        <f>IFERROR(VLOOKUP(E2699,STAT1!$C$4:$D$8000,2,FALSE),"")</f>
        <v/>
      </c>
      <c r="O2699" s="154" t="str">
        <f>IFERROR(VLOOKUP(N2699,DATA!$K$4:$L$51,2,FALSE),"")</f>
        <v/>
      </c>
    </row>
    <row r="2700" spans="5:15">
      <c r="E2700" s="584"/>
      <c r="F2700" s="556" t="str">
        <f>IFERROR(VLOOKUP(E2700,STAT1!$C$4:$D$8000,2,FALSE),"")</f>
        <v/>
      </c>
      <c r="O2700" s="154" t="str">
        <f>IFERROR(VLOOKUP(N2700,DATA!$K$4:$L$51,2,FALSE),"")</f>
        <v/>
      </c>
    </row>
    <row r="2701" spans="5:15">
      <c r="E2701" s="584"/>
      <c r="F2701" s="556" t="str">
        <f>IFERROR(VLOOKUP(E2701,STAT1!$C$4:$D$8000,2,FALSE),"")</f>
        <v/>
      </c>
      <c r="O2701" s="154" t="str">
        <f>IFERROR(VLOOKUP(N2701,DATA!$K$4:$L$51,2,FALSE),"")</f>
        <v/>
      </c>
    </row>
    <row r="2702" spans="5:15">
      <c r="E2702" s="584"/>
      <c r="F2702" s="556" t="str">
        <f>IFERROR(VLOOKUP(E2702,STAT1!$C$4:$D$8000,2,FALSE),"")</f>
        <v/>
      </c>
      <c r="O2702" s="154" t="str">
        <f>IFERROR(VLOOKUP(N2702,DATA!$K$4:$L$51,2,FALSE),"")</f>
        <v/>
      </c>
    </row>
    <row r="2703" spans="5:15">
      <c r="E2703" s="584"/>
      <c r="F2703" s="556" t="str">
        <f>IFERROR(VLOOKUP(E2703,STAT1!$C$4:$D$8000,2,FALSE),"")</f>
        <v/>
      </c>
      <c r="O2703" s="154" t="str">
        <f>IFERROR(VLOOKUP(N2703,DATA!$K$4:$L$51,2,FALSE),"")</f>
        <v/>
      </c>
    </row>
    <row r="2704" spans="5:15">
      <c r="E2704" s="584"/>
      <c r="F2704" s="556" t="str">
        <f>IFERROR(VLOOKUP(E2704,STAT1!$C$4:$D$8000,2,FALSE),"")</f>
        <v/>
      </c>
      <c r="O2704" s="154" t="str">
        <f>IFERROR(VLOOKUP(N2704,DATA!$K$4:$L$51,2,FALSE),"")</f>
        <v/>
      </c>
    </row>
    <row r="2705" spans="5:15">
      <c r="E2705" s="584"/>
      <c r="F2705" s="556" t="str">
        <f>IFERROR(VLOOKUP(E2705,STAT1!$C$4:$D$8000,2,FALSE),"")</f>
        <v/>
      </c>
      <c r="O2705" s="154" t="str">
        <f>IFERROR(VLOOKUP(N2705,DATA!$K$4:$L$51,2,FALSE),"")</f>
        <v/>
      </c>
    </row>
    <row r="2706" spans="5:15">
      <c r="E2706" s="584"/>
      <c r="F2706" s="556" t="str">
        <f>IFERROR(VLOOKUP(E2706,STAT1!$C$4:$D$8000,2,FALSE),"")</f>
        <v/>
      </c>
      <c r="O2706" s="154" t="str">
        <f>IFERROR(VLOOKUP(N2706,DATA!$K$4:$L$51,2,FALSE),"")</f>
        <v/>
      </c>
    </row>
    <row r="2707" spans="5:15">
      <c r="E2707" s="584"/>
      <c r="F2707" s="556" t="str">
        <f>IFERROR(VLOOKUP(E2707,STAT1!$C$4:$D$8000,2,FALSE),"")</f>
        <v/>
      </c>
      <c r="O2707" s="154" t="str">
        <f>IFERROR(VLOOKUP(N2707,DATA!$K$4:$L$51,2,FALSE),"")</f>
        <v/>
      </c>
    </row>
    <row r="2708" spans="5:15">
      <c r="E2708" s="584"/>
      <c r="F2708" s="556" t="str">
        <f>IFERROR(VLOOKUP(E2708,STAT1!$C$4:$D$8000,2,FALSE),"")</f>
        <v/>
      </c>
      <c r="O2708" s="154" t="str">
        <f>IFERROR(VLOOKUP(N2708,DATA!$K$4:$L$51,2,FALSE),"")</f>
        <v/>
      </c>
    </row>
    <row r="2709" spans="5:15">
      <c r="E2709" s="584"/>
      <c r="F2709" s="556" t="str">
        <f>IFERROR(VLOOKUP(E2709,STAT1!$C$4:$D$8000,2,FALSE),"")</f>
        <v/>
      </c>
      <c r="O2709" s="154" t="str">
        <f>IFERROR(VLOOKUP(N2709,DATA!$K$4:$L$51,2,FALSE),"")</f>
        <v/>
      </c>
    </row>
    <row r="2710" spans="5:15">
      <c r="E2710" s="584"/>
      <c r="F2710" s="556" t="str">
        <f>IFERROR(VLOOKUP(E2710,STAT1!$C$4:$D$8000,2,FALSE),"")</f>
        <v/>
      </c>
      <c r="O2710" s="154" t="str">
        <f>IFERROR(VLOOKUP(N2710,DATA!$K$4:$L$51,2,FALSE),"")</f>
        <v/>
      </c>
    </row>
    <row r="2711" spans="5:15">
      <c r="E2711" s="584"/>
      <c r="F2711" s="556" t="str">
        <f>IFERROR(VLOOKUP(E2711,STAT1!$C$4:$D$8000,2,FALSE),"")</f>
        <v/>
      </c>
      <c r="O2711" s="154" t="str">
        <f>IFERROR(VLOOKUP(N2711,DATA!$K$4:$L$51,2,FALSE),"")</f>
        <v/>
      </c>
    </row>
    <row r="2712" spans="5:15">
      <c r="E2712" s="584"/>
      <c r="F2712" s="556" t="str">
        <f>IFERROR(VLOOKUP(E2712,STAT1!$C$4:$D$8000,2,FALSE),"")</f>
        <v/>
      </c>
      <c r="O2712" s="154" t="str">
        <f>IFERROR(VLOOKUP(N2712,DATA!$K$4:$L$51,2,FALSE),"")</f>
        <v/>
      </c>
    </row>
    <row r="2713" spans="5:15">
      <c r="E2713" s="584"/>
      <c r="F2713" s="556" t="str">
        <f>IFERROR(VLOOKUP(E2713,STAT1!$C$4:$D$8000,2,FALSE),"")</f>
        <v/>
      </c>
      <c r="O2713" s="154" t="str">
        <f>IFERROR(VLOOKUP(N2713,DATA!$K$4:$L$51,2,FALSE),"")</f>
        <v/>
      </c>
    </row>
    <row r="2714" spans="5:15">
      <c r="E2714" s="584"/>
      <c r="F2714" s="556" t="str">
        <f>IFERROR(VLOOKUP(E2714,STAT1!$C$4:$D$8000,2,FALSE),"")</f>
        <v/>
      </c>
      <c r="O2714" s="154" t="str">
        <f>IFERROR(VLOOKUP(N2714,DATA!$K$4:$L$51,2,FALSE),"")</f>
        <v/>
      </c>
    </row>
    <row r="2715" spans="5:15">
      <c r="E2715" s="584"/>
      <c r="F2715" s="556" t="str">
        <f>IFERROR(VLOOKUP(E2715,STAT1!$C$4:$D$8000,2,FALSE),"")</f>
        <v/>
      </c>
      <c r="O2715" s="154" t="str">
        <f>IFERROR(VLOOKUP(N2715,DATA!$K$4:$L$51,2,FALSE),"")</f>
        <v/>
      </c>
    </row>
    <row r="2716" spans="5:15">
      <c r="E2716" s="584"/>
      <c r="F2716" s="556" t="str">
        <f>IFERROR(VLOOKUP(E2716,STAT1!$C$4:$D$8000,2,FALSE),"")</f>
        <v/>
      </c>
      <c r="O2716" s="154" t="str">
        <f>IFERROR(VLOOKUP(N2716,DATA!$K$4:$L$51,2,FALSE),"")</f>
        <v/>
      </c>
    </row>
    <row r="2717" spans="5:15">
      <c r="E2717" s="584"/>
      <c r="F2717" s="556" t="str">
        <f>IFERROR(VLOOKUP(E2717,STAT1!$C$4:$D$8000,2,FALSE),"")</f>
        <v/>
      </c>
      <c r="O2717" s="154" t="str">
        <f>IFERROR(VLOOKUP(N2717,DATA!$K$4:$L$51,2,FALSE),"")</f>
        <v/>
      </c>
    </row>
    <row r="2718" spans="5:15">
      <c r="E2718" s="584"/>
      <c r="F2718" s="556" t="str">
        <f>IFERROR(VLOOKUP(E2718,STAT1!$C$4:$D$8000,2,FALSE),"")</f>
        <v/>
      </c>
      <c r="O2718" s="154" t="str">
        <f>IFERROR(VLOOKUP(N2718,DATA!$K$4:$L$51,2,FALSE),"")</f>
        <v/>
      </c>
    </row>
    <row r="2719" spans="5:15">
      <c r="E2719" s="584"/>
      <c r="F2719" s="556" t="str">
        <f>IFERROR(VLOOKUP(E2719,STAT1!$C$4:$D$8000,2,FALSE),"")</f>
        <v/>
      </c>
      <c r="O2719" s="154" t="str">
        <f>IFERROR(VLOOKUP(N2719,DATA!$K$4:$L$51,2,FALSE),"")</f>
        <v/>
      </c>
    </row>
    <row r="2720" spans="5:15">
      <c r="E2720" s="584"/>
      <c r="F2720" s="556" t="str">
        <f>IFERROR(VLOOKUP(E2720,STAT1!$C$4:$D$8000,2,FALSE),"")</f>
        <v/>
      </c>
      <c r="O2720" s="154" t="str">
        <f>IFERROR(VLOOKUP(N2720,DATA!$K$4:$L$51,2,FALSE),"")</f>
        <v/>
      </c>
    </row>
    <row r="2721" spans="5:15">
      <c r="E2721" s="584"/>
      <c r="F2721" s="556" t="str">
        <f>IFERROR(VLOOKUP(E2721,STAT1!$C$4:$D$8000,2,FALSE),"")</f>
        <v/>
      </c>
      <c r="O2721" s="154" t="str">
        <f>IFERROR(VLOOKUP(N2721,DATA!$K$4:$L$51,2,FALSE),"")</f>
        <v/>
      </c>
    </row>
    <row r="2722" spans="5:15">
      <c r="E2722" s="584"/>
      <c r="F2722" s="556" t="str">
        <f>IFERROR(VLOOKUP(E2722,STAT1!$C$4:$D$8000,2,FALSE),"")</f>
        <v/>
      </c>
      <c r="O2722" s="154" t="str">
        <f>IFERROR(VLOOKUP(N2722,DATA!$K$4:$L$51,2,FALSE),"")</f>
        <v/>
      </c>
    </row>
    <row r="2723" spans="5:15">
      <c r="E2723" s="584"/>
      <c r="F2723" s="556" t="str">
        <f>IFERROR(VLOOKUP(E2723,STAT1!$C$4:$D$8000,2,FALSE),"")</f>
        <v/>
      </c>
      <c r="O2723" s="154" t="str">
        <f>IFERROR(VLOOKUP(N2723,DATA!$K$4:$L$51,2,FALSE),"")</f>
        <v/>
      </c>
    </row>
    <row r="2724" spans="5:15">
      <c r="E2724" s="584"/>
      <c r="F2724" s="556" t="str">
        <f>IFERROR(VLOOKUP(E2724,STAT1!$C$4:$D$8000,2,FALSE),"")</f>
        <v/>
      </c>
      <c r="O2724" s="154" t="str">
        <f>IFERROR(VLOOKUP(N2724,DATA!$K$4:$L$51,2,FALSE),"")</f>
        <v/>
      </c>
    </row>
    <row r="2725" spans="5:15">
      <c r="E2725" s="584"/>
      <c r="F2725" s="556" t="str">
        <f>IFERROR(VLOOKUP(E2725,STAT1!$C$4:$D$8000,2,FALSE),"")</f>
        <v/>
      </c>
      <c r="O2725" s="154" t="str">
        <f>IFERROR(VLOOKUP(N2725,DATA!$K$4:$L$51,2,FALSE),"")</f>
        <v/>
      </c>
    </row>
    <row r="2726" spans="5:15">
      <c r="E2726" s="584"/>
      <c r="F2726" s="556" t="str">
        <f>IFERROR(VLOOKUP(E2726,STAT1!$C$4:$D$8000,2,FALSE),"")</f>
        <v/>
      </c>
      <c r="O2726" s="154" t="str">
        <f>IFERROR(VLOOKUP(N2726,DATA!$K$4:$L$51,2,FALSE),"")</f>
        <v/>
      </c>
    </row>
    <row r="2727" spans="5:15">
      <c r="E2727" s="584"/>
      <c r="F2727" s="556" t="str">
        <f>IFERROR(VLOOKUP(E2727,STAT1!$C$4:$D$8000,2,FALSE),"")</f>
        <v/>
      </c>
      <c r="O2727" s="154" t="str">
        <f>IFERROR(VLOOKUP(N2727,DATA!$K$4:$L$51,2,FALSE),"")</f>
        <v/>
      </c>
    </row>
    <row r="2728" spans="5:15">
      <c r="E2728" s="584"/>
      <c r="F2728" s="556" t="str">
        <f>IFERROR(VLOOKUP(E2728,STAT1!$C$4:$D$8000,2,FALSE),"")</f>
        <v/>
      </c>
      <c r="O2728" s="154" t="str">
        <f>IFERROR(VLOOKUP(N2728,DATA!$K$4:$L$51,2,FALSE),"")</f>
        <v/>
      </c>
    </row>
    <row r="2729" spans="5:15">
      <c r="E2729" s="584"/>
      <c r="F2729" s="556" t="str">
        <f>IFERROR(VLOOKUP(E2729,STAT1!$C$4:$D$8000,2,FALSE),"")</f>
        <v/>
      </c>
      <c r="O2729" s="154" t="str">
        <f>IFERROR(VLOOKUP(N2729,DATA!$K$4:$L$51,2,FALSE),"")</f>
        <v/>
      </c>
    </row>
    <row r="2730" spans="5:15">
      <c r="E2730" s="584"/>
      <c r="F2730" s="556" t="str">
        <f>IFERROR(VLOOKUP(E2730,STAT1!$C$4:$D$8000,2,FALSE),"")</f>
        <v/>
      </c>
      <c r="O2730" s="154" t="str">
        <f>IFERROR(VLOOKUP(N2730,DATA!$K$4:$L$51,2,FALSE),"")</f>
        <v/>
      </c>
    </row>
    <row r="2731" spans="5:15">
      <c r="E2731" s="584"/>
      <c r="F2731" s="556" t="str">
        <f>IFERROR(VLOOKUP(E2731,STAT1!$C$4:$D$8000,2,FALSE),"")</f>
        <v/>
      </c>
      <c r="O2731" s="154" t="str">
        <f>IFERROR(VLOOKUP(N2731,DATA!$K$4:$L$51,2,FALSE),"")</f>
        <v/>
      </c>
    </row>
    <row r="2732" spans="5:15">
      <c r="E2732" s="584"/>
      <c r="F2732" s="556" t="str">
        <f>IFERROR(VLOOKUP(E2732,STAT1!$C$4:$D$8000,2,FALSE),"")</f>
        <v/>
      </c>
      <c r="O2732" s="154" t="str">
        <f>IFERROR(VLOOKUP(N2732,DATA!$K$4:$L$51,2,FALSE),"")</f>
        <v/>
      </c>
    </row>
    <row r="2733" spans="5:15">
      <c r="E2733" s="584"/>
      <c r="F2733" s="556" t="str">
        <f>IFERROR(VLOOKUP(E2733,STAT1!$C$4:$D$8000,2,FALSE),"")</f>
        <v/>
      </c>
      <c r="O2733" s="154" t="str">
        <f>IFERROR(VLOOKUP(N2733,DATA!$K$4:$L$51,2,FALSE),"")</f>
        <v/>
      </c>
    </row>
    <row r="2734" spans="5:15">
      <c r="E2734" s="584"/>
      <c r="F2734" s="556" t="str">
        <f>IFERROR(VLOOKUP(E2734,STAT1!$C$4:$D$8000,2,FALSE),"")</f>
        <v/>
      </c>
      <c r="O2734" s="154" t="str">
        <f>IFERROR(VLOOKUP(N2734,DATA!$K$4:$L$51,2,FALSE),"")</f>
        <v/>
      </c>
    </row>
    <row r="2735" spans="5:15">
      <c r="E2735" s="584"/>
      <c r="F2735" s="556" t="str">
        <f>IFERROR(VLOOKUP(E2735,STAT1!$C$4:$D$8000,2,FALSE),"")</f>
        <v/>
      </c>
      <c r="O2735" s="154" t="str">
        <f>IFERROR(VLOOKUP(N2735,DATA!$K$4:$L$51,2,FALSE),"")</f>
        <v/>
      </c>
    </row>
    <row r="2736" spans="5:15">
      <c r="E2736" s="584"/>
      <c r="F2736" s="556" t="str">
        <f>IFERROR(VLOOKUP(E2736,STAT1!$C$4:$D$8000,2,FALSE),"")</f>
        <v/>
      </c>
      <c r="O2736" s="154" t="str">
        <f>IFERROR(VLOOKUP(N2736,DATA!$K$4:$L$51,2,FALSE),"")</f>
        <v/>
      </c>
    </row>
    <row r="2737" spans="5:15">
      <c r="E2737" s="584"/>
      <c r="F2737" s="556" t="str">
        <f>IFERROR(VLOOKUP(E2737,STAT1!$C$4:$D$8000,2,FALSE),"")</f>
        <v/>
      </c>
      <c r="O2737" s="154" t="str">
        <f>IFERROR(VLOOKUP(N2737,DATA!$K$4:$L$51,2,FALSE),"")</f>
        <v/>
      </c>
    </row>
    <row r="2738" spans="5:15">
      <c r="E2738" s="584"/>
      <c r="F2738" s="556" t="str">
        <f>IFERROR(VLOOKUP(E2738,STAT1!$C$4:$D$8000,2,FALSE),"")</f>
        <v/>
      </c>
      <c r="O2738" s="154" t="str">
        <f>IFERROR(VLOOKUP(N2738,DATA!$K$4:$L$51,2,FALSE),"")</f>
        <v/>
      </c>
    </row>
    <row r="2739" spans="5:15">
      <c r="E2739" s="584"/>
      <c r="F2739" s="556" t="str">
        <f>IFERROR(VLOOKUP(E2739,STAT1!$C$4:$D$8000,2,FALSE),"")</f>
        <v/>
      </c>
      <c r="O2739" s="154" t="str">
        <f>IFERROR(VLOOKUP(N2739,DATA!$K$4:$L$51,2,FALSE),"")</f>
        <v/>
      </c>
    </row>
    <row r="2740" spans="5:15">
      <c r="E2740" s="584"/>
      <c r="F2740" s="556" t="str">
        <f>IFERROR(VLOOKUP(E2740,STAT1!$C$4:$D$8000,2,FALSE),"")</f>
        <v/>
      </c>
      <c r="O2740" s="154" t="str">
        <f>IFERROR(VLOOKUP(N2740,DATA!$K$4:$L$51,2,FALSE),"")</f>
        <v/>
      </c>
    </row>
    <row r="2741" spans="5:15">
      <c r="E2741" s="584"/>
      <c r="F2741" s="556" t="str">
        <f>IFERROR(VLOOKUP(E2741,STAT1!$C$4:$D$8000,2,FALSE),"")</f>
        <v/>
      </c>
      <c r="O2741" s="154" t="str">
        <f>IFERROR(VLOOKUP(N2741,DATA!$K$4:$L$51,2,FALSE),"")</f>
        <v/>
      </c>
    </row>
    <row r="2742" spans="5:15">
      <c r="E2742" s="584"/>
      <c r="F2742" s="556" t="str">
        <f>IFERROR(VLOOKUP(E2742,STAT1!$C$4:$D$8000,2,FALSE),"")</f>
        <v/>
      </c>
      <c r="O2742" s="154" t="str">
        <f>IFERROR(VLOOKUP(N2742,DATA!$K$4:$L$51,2,FALSE),"")</f>
        <v/>
      </c>
    </row>
    <row r="2743" spans="5:15">
      <c r="E2743" s="584"/>
      <c r="F2743" s="556" t="str">
        <f>IFERROR(VLOOKUP(E2743,STAT1!$C$4:$D$8000,2,FALSE),"")</f>
        <v/>
      </c>
      <c r="O2743" s="154" t="str">
        <f>IFERROR(VLOOKUP(N2743,DATA!$K$4:$L$51,2,FALSE),"")</f>
        <v/>
      </c>
    </row>
    <row r="2744" spans="5:15">
      <c r="E2744" s="584"/>
      <c r="F2744" s="556" t="str">
        <f>IFERROR(VLOOKUP(E2744,STAT1!$C$4:$D$8000,2,FALSE),"")</f>
        <v/>
      </c>
      <c r="O2744" s="154" t="str">
        <f>IFERROR(VLOOKUP(N2744,DATA!$K$4:$L$51,2,FALSE),"")</f>
        <v/>
      </c>
    </row>
    <row r="2745" spans="5:15">
      <c r="E2745" s="584"/>
      <c r="F2745" s="556" t="str">
        <f>IFERROR(VLOOKUP(E2745,STAT1!$C$4:$D$8000,2,FALSE),"")</f>
        <v/>
      </c>
      <c r="O2745" s="154" t="str">
        <f>IFERROR(VLOOKUP(N2745,DATA!$K$4:$L$51,2,FALSE),"")</f>
        <v/>
      </c>
    </row>
    <row r="2746" spans="5:15">
      <c r="E2746" s="584"/>
      <c r="F2746" s="556" t="str">
        <f>IFERROR(VLOOKUP(E2746,STAT1!$C$4:$D$8000,2,FALSE),"")</f>
        <v/>
      </c>
      <c r="O2746" s="154" t="str">
        <f>IFERROR(VLOOKUP(N2746,DATA!$K$4:$L$51,2,FALSE),"")</f>
        <v/>
      </c>
    </row>
    <row r="2747" spans="5:15">
      <c r="E2747" s="584"/>
      <c r="F2747" s="556" t="str">
        <f>IFERROR(VLOOKUP(E2747,STAT1!$C$4:$D$8000,2,FALSE),"")</f>
        <v/>
      </c>
      <c r="O2747" s="154" t="str">
        <f>IFERROR(VLOOKUP(N2747,DATA!$K$4:$L$51,2,FALSE),"")</f>
        <v/>
      </c>
    </row>
    <row r="2748" spans="5:15">
      <c r="E2748" s="584"/>
      <c r="F2748" s="556" t="str">
        <f>IFERROR(VLOOKUP(E2748,STAT1!$C$4:$D$8000,2,FALSE),"")</f>
        <v/>
      </c>
      <c r="O2748" s="154" t="str">
        <f>IFERROR(VLOOKUP(N2748,DATA!$K$4:$L$51,2,FALSE),"")</f>
        <v/>
      </c>
    </row>
    <row r="2749" spans="5:15">
      <c r="E2749" s="584"/>
      <c r="F2749" s="556" t="str">
        <f>IFERROR(VLOOKUP(E2749,STAT1!$C$4:$D$8000,2,FALSE),"")</f>
        <v/>
      </c>
      <c r="O2749" s="154" t="str">
        <f>IFERROR(VLOOKUP(N2749,DATA!$K$4:$L$51,2,FALSE),"")</f>
        <v/>
      </c>
    </row>
    <row r="2750" spans="5:15">
      <c r="E2750" s="584"/>
      <c r="F2750" s="556" t="str">
        <f>IFERROR(VLOOKUP(E2750,STAT1!$C$4:$D$8000,2,FALSE),"")</f>
        <v/>
      </c>
      <c r="O2750" s="154" t="str">
        <f>IFERROR(VLOOKUP(N2750,DATA!$K$4:$L$51,2,FALSE),"")</f>
        <v/>
      </c>
    </row>
    <row r="2751" spans="5:15">
      <c r="E2751" s="584"/>
      <c r="F2751" s="556" t="str">
        <f>IFERROR(VLOOKUP(E2751,STAT1!$C$4:$D$8000,2,FALSE),"")</f>
        <v/>
      </c>
      <c r="O2751" s="154" t="str">
        <f>IFERROR(VLOOKUP(N2751,DATA!$K$4:$L$51,2,FALSE),"")</f>
        <v/>
      </c>
    </row>
    <row r="2752" spans="5:15">
      <c r="E2752" s="584"/>
      <c r="F2752" s="556" t="str">
        <f>IFERROR(VLOOKUP(E2752,STAT1!$C$4:$D$8000,2,FALSE),"")</f>
        <v/>
      </c>
      <c r="O2752" s="154" t="str">
        <f>IFERROR(VLOOKUP(N2752,DATA!$K$4:$L$51,2,FALSE),"")</f>
        <v/>
      </c>
    </row>
    <row r="2753" spans="5:15">
      <c r="E2753" s="584"/>
      <c r="F2753" s="556" t="str">
        <f>IFERROR(VLOOKUP(E2753,STAT1!$C$4:$D$8000,2,FALSE),"")</f>
        <v/>
      </c>
      <c r="O2753" s="154" t="str">
        <f>IFERROR(VLOOKUP(N2753,DATA!$K$4:$L$51,2,FALSE),"")</f>
        <v/>
      </c>
    </row>
    <row r="2754" spans="5:15">
      <c r="E2754" s="584"/>
      <c r="F2754" s="556" t="str">
        <f>IFERROR(VLOOKUP(E2754,STAT1!$C$4:$D$8000,2,FALSE),"")</f>
        <v/>
      </c>
      <c r="O2754" s="154" t="str">
        <f>IFERROR(VLOOKUP(N2754,DATA!$K$4:$L$51,2,FALSE),"")</f>
        <v/>
      </c>
    </row>
    <row r="2755" spans="5:15">
      <c r="E2755" s="584"/>
      <c r="F2755" s="556" t="str">
        <f>IFERROR(VLOOKUP(E2755,STAT1!$C$4:$D$8000,2,FALSE),"")</f>
        <v/>
      </c>
      <c r="O2755" s="154" t="str">
        <f>IFERROR(VLOOKUP(N2755,DATA!$K$4:$L$51,2,FALSE),"")</f>
        <v/>
      </c>
    </row>
    <row r="2756" spans="5:15">
      <c r="E2756" s="584"/>
      <c r="F2756" s="556" t="str">
        <f>IFERROR(VLOOKUP(E2756,STAT1!$C$4:$D$8000,2,FALSE),"")</f>
        <v/>
      </c>
      <c r="O2756" s="154" t="str">
        <f>IFERROR(VLOOKUP(N2756,DATA!$K$4:$L$51,2,FALSE),"")</f>
        <v/>
      </c>
    </row>
    <row r="2757" spans="5:15">
      <c r="E2757" s="584"/>
      <c r="F2757" s="556" t="str">
        <f>IFERROR(VLOOKUP(E2757,STAT1!$C$4:$D$8000,2,FALSE),"")</f>
        <v/>
      </c>
      <c r="O2757" s="154" t="str">
        <f>IFERROR(VLOOKUP(N2757,DATA!$K$4:$L$51,2,FALSE),"")</f>
        <v/>
      </c>
    </row>
    <row r="2758" spans="5:15">
      <c r="E2758" s="584"/>
      <c r="F2758" s="556" t="str">
        <f>IFERROR(VLOOKUP(E2758,STAT1!$C$4:$D$8000,2,FALSE),"")</f>
        <v/>
      </c>
      <c r="O2758" s="154" t="str">
        <f>IFERROR(VLOOKUP(N2758,DATA!$K$4:$L$51,2,FALSE),"")</f>
        <v/>
      </c>
    </row>
    <row r="2759" spans="5:15">
      <c r="E2759" s="584"/>
      <c r="F2759" s="556" t="str">
        <f>IFERROR(VLOOKUP(E2759,STAT1!$C$4:$D$8000,2,FALSE),"")</f>
        <v/>
      </c>
      <c r="O2759" s="154" t="str">
        <f>IFERROR(VLOOKUP(N2759,DATA!$K$4:$L$51,2,FALSE),"")</f>
        <v/>
      </c>
    </row>
    <row r="2760" spans="5:15">
      <c r="E2760" s="584"/>
      <c r="F2760" s="556" t="str">
        <f>IFERROR(VLOOKUP(E2760,STAT1!$C$4:$D$8000,2,FALSE),"")</f>
        <v/>
      </c>
      <c r="O2760" s="154" t="str">
        <f>IFERROR(VLOOKUP(N2760,DATA!$K$4:$L$51,2,FALSE),"")</f>
        <v/>
      </c>
    </row>
    <row r="2761" spans="5:15">
      <c r="E2761" s="584"/>
      <c r="F2761" s="556" t="str">
        <f>IFERROR(VLOOKUP(E2761,STAT1!$C$4:$D$8000,2,FALSE),"")</f>
        <v/>
      </c>
      <c r="O2761" s="154" t="str">
        <f>IFERROR(VLOOKUP(N2761,DATA!$K$4:$L$51,2,FALSE),"")</f>
        <v/>
      </c>
    </row>
    <row r="2762" spans="5:15">
      <c r="E2762" s="584"/>
      <c r="F2762" s="556" t="str">
        <f>IFERROR(VLOOKUP(E2762,STAT1!$C$4:$D$8000,2,FALSE),"")</f>
        <v/>
      </c>
      <c r="O2762" s="154" t="str">
        <f>IFERROR(VLOOKUP(N2762,DATA!$K$4:$L$51,2,FALSE),"")</f>
        <v/>
      </c>
    </row>
    <row r="2763" spans="5:15">
      <c r="E2763" s="584"/>
      <c r="F2763" s="556" t="str">
        <f>IFERROR(VLOOKUP(E2763,STAT1!$C$4:$D$8000,2,FALSE),"")</f>
        <v/>
      </c>
      <c r="O2763" s="154" t="str">
        <f>IFERROR(VLOOKUP(N2763,DATA!$K$4:$L$51,2,FALSE),"")</f>
        <v/>
      </c>
    </row>
    <row r="2764" spans="5:15">
      <c r="E2764" s="584"/>
      <c r="F2764" s="556" t="str">
        <f>IFERROR(VLOOKUP(E2764,STAT1!$C$4:$D$8000,2,FALSE),"")</f>
        <v/>
      </c>
      <c r="O2764" s="154" t="str">
        <f>IFERROR(VLOOKUP(N2764,DATA!$K$4:$L$51,2,FALSE),"")</f>
        <v/>
      </c>
    </row>
    <row r="2765" spans="5:15">
      <c r="E2765" s="584"/>
      <c r="F2765" s="556" t="str">
        <f>IFERROR(VLOOKUP(E2765,STAT1!$C$4:$D$8000,2,FALSE),"")</f>
        <v/>
      </c>
      <c r="O2765" s="154" t="str">
        <f>IFERROR(VLOOKUP(N2765,DATA!$K$4:$L$51,2,FALSE),"")</f>
        <v/>
      </c>
    </row>
    <row r="2766" spans="5:15">
      <c r="E2766" s="584"/>
      <c r="F2766" s="556" t="str">
        <f>IFERROR(VLOOKUP(E2766,STAT1!$C$4:$D$8000,2,FALSE),"")</f>
        <v/>
      </c>
      <c r="O2766" s="154" t="str">
        <f>IFERROR(VLOOKUP(N2766,DATA!$K$4:$L$51,2,FALSE),"")</f>
        <v/>
      </c>
    </row>
    <row r="2767" spans="5:15">
      <c r="E2767" s="584"/>
      <c r="F2767" s="556" t="str">
        <f>IFERROR(VLOOKUP(E2767,STAT1!$C$4:$D$8000,2,FALSE),"")</f>
        <v/>
      </c>
      <c r="O2767" s="154" t="str">
        <f>IFERROR(VLOOKUP(N2767,DATA!$K$4:$L$51,2,FALSE),"")</f>
        <v/>
      </c>
    </row>
    <row r="2768" spans="5:15">
      <c r="E2768" s="584"/>
      <c r="F2768" s="556" t="str">
        <f>IFERROR(VLOOKUP(E2768,STAT1!$C$4:$D$8000,2,FALSE),"")</f>
        <v/>
      </c>
      <c r="O2768" s="154" t="str">
        <f>IFERROR(VLOOKUP(N2768,DATA!$K$4:$L$51,2,FALSE),"")</f>
        <v/>
      </c>
    </row>
    <row r="2769" spans="5:15">
      <c r="E2769" s="584"/>
      <c r="F2769" s="556" t="str">
        <f>IFERROR(VLOOKUP(E2769,STAT1!$C$4:$D$8000,2,FALSE),"")</f>
        <v/>
      </c>
      <c r="O2769" s="154" t="str">
        <f>IFERROR(VLOOKUP(N2769,DATA!$K$4:$L$51,2,FALSE),"")</f>
        <v/>
      </c>
    </row>
    <row r="2770" spans="5:15">
      <c r="E2770" s="584"/>
      <c r="F2770" s="556" t="str">
        <f>IFERROR(VLOOKUP(E2770,STAT1!$C$4:$D$8000,2,FALSE),"")</f>
        <v/>
      </c>
      <c r="O2770" s="154" t="str">
        <f>IFERROR(VLOOKUP(N2770,DATA!$K$4:$L$51,2,FALSE),"")</f>
        <v/>
      </c>
    </row>
    <row r="2771" spans="5:15">
      <c r="E2771" s="584"/>
      <c r="F2771" s="556" t="str">
        <f>IFERROR(VLOOKUP(E2771,STAT1!$C$4:$D$8000,2,FALSE),"")</f>
        <v/>
      </c>
      <c r="O2771" s="154" t="str">
        <f>IFERROR(VLOOKUP(N2771,DATA!$K$4:$L$51,2,FALSE),"")</f>
        <v/>
      </c>
    </row>
    <row r="2772" spans="5:15">
      <c r="E2772" s="584"/>
      <c r="F2772" s="556" t="str">
        <f>IFERROR(VLOOKUP(E2772,STAT1!$C$4:$D$8000,2,FALSE),"")</f>
        <v/>
      </c>
      <c r="O2772" s="154" t="str">
        <f>IFERROR(VLOOKUP(N2772,DATA!$K$4:$L$51,2,FALSE),"")</f>
        <v/>
      </c>
    </row>
    <row r="2773" spans="5:15">
      <c r="E2773" s="584"/>
      <c r="F2773" s="556" t="str">
        <f>IFERROR(VLOOKUP(E2773,STAT1!$C$4:$D$8000,2,FALSE),"")</f>
        <v/>
      </c>
      <c r="O2773" s="154" t="str">
        <f>IFERROR(VLOOKUP(N2773,DATA!$K$4:$L$51,2,FALSE),"")</f>
        <v/>
      </c>
    </row>
    <row r="2774" spans="5:15">
      <c r="E2774" s="584"/>
      <c r="F2774" s="556" t="str">
        <f>IFERROR(VLOOKUP(E2774,STAT1!$C$4:$D$8000,2,FALSE),"")</f>
        <v/>
      </c>
      <c r="O2774" s="154" t="str">
        <f>IFERROR(VLOOKUP(N2774,DATA!$K$4:$L$51,2,FALSE),"")</f>
        <v/>
      </c>
    </row>
    <row r="2775" spans="5:15">
      <c r="E2775" s="584"/>
      <c r="F2775" s="556" t="str">
        <f>IFERROR(VLOOKUP(E2775,STAT1!$C$4:$D$8000,2,FALSE),"")</f>
        <v/>
      </c>
      <c r="O2775" s="154" t="str">
        <f>IFERROR(VLOOKUP(N2775,DATA!$K$4:$L$51,2,FALSE),"")</f>
        <v/>
      </c>
    </row>
    <row r="2776" spans="5:15">
      <c r="E2776" s="584"/>
      <c r="F2776" s="556" t="str">
        <f>IFERROR(VLOOKUP(E2776,STAT1!$C$4:$D$8000,2,FALSE),"")</f>
        <v/>
      </c>
      <c r="O2776" s="154" t="str">
        <f>IFERROR(VLOOKUP(N2776,DATA!$K$4:$L$51,2,FALSE),"")</f>
        <v/>
      </c>
    </row>
    <row r="2777" spans="5:15">
      <c r="E2777" s="584"/>
      <c r="F2777" s="556" t="str">
        <f>IFERROR(VLOOKUP(E2777,STAT1!$C$4:$D$8000,2,FALSE),"")</f>
        <v/>
      </c>
      <c r="O2777" s="154" t="str">
        <f>IFERROR(VLOOKUP(N2777,DATA!$K$4:$L$51,2,FALSE),"")</f>
        <v/>
      </c>
    </row>
    <row r="2778" spans="5:15">
      <c r="E2778" s="584"/>
      <c r="F2778" s="556" t="str">
        <f>IFERROR(VLOOKUP(E2778,STAT1!$C$4:$D$8000,2,FALSE),"")</f>
        <v/>
      </c>
      <c r="O2778" s="154" t="str">
        <f>IFERROR(VLOOKUP(N2778,DATA!$K$4:$L$51,2,FALSE),"")</f>
        <v/>
      </c>
    </row>
    <row r="2779" spans="5:15">
      <c r="E2779" s="584"/>
      <c r="F2779" s="556" t="str">
        <f>IFERROR(VLOOKUP(E2779,STAT1!$C$4:$D$8000,2,FALSE),"")</f>
        <v/>
      </c>
      <c r="O2779" s="154" t="str">
        <f>IFERROR(VLOOKUP(N2779,DATA!$K$4:$L$51,2,FALSE),"")</f>
        <v/>
      </c>
    </row>
    <row r="2780" spans="5:15">
      <c r="E2780" s="584"/>
      <c r="F2780" s="556" t="str">
        <f>IFERROR(VLOOKUP(E2780,STAT1!$C$4:$D$8000,2,FALSE),"")</f>
        <v/>
      </c>
      <c r="O2780" s="154" t="str">
        <f>IFERROR(VLOOKUP(N2780,DATA!$K$4:$L$51,2,FALSE),"")</f>
        <v/>
      </c>
    </row>
    <row r="2781" spans="5:15">
      <c r="E2781" s="584"/>
      <c r="F2781" s="556" t="str">
        <f>IFERROR(VLOOKUP(E2781,STAT1!$C$4:$D$8000,2,FALSE),"")</f>
        <v/>
      </c>
      <c r="O2781" s="154" t="str">
        <f>IFERROR(VLOOKUP(N2781,DATA!$K$4:$L$51,2,FALSE),"")</f>
        <v/>
      </c>
    </row>
    <row r="2782" spans="5:15">
      <c r="E2782" s="584"/>
      <c r="F2782" s="556" t="str">
        <f>IFERROR(VLOOKUP(E2782,STAT1!$C$4:$D$8000,2,FALSE),"")</f>
        <v/>
      </c>
      <c r="O2782" s="154" t="str">
        <f>IFERROR(VLOOKUP(N2782,DATA!$K$4:$L$51,2,FALSE),"")</f>
        <v/>
      </c>
    </row>
    <row r="2783" spans="5:15">
      <c r="E2783" s="584"/>
      <c r="F2783" s="556" t="str">
        <f>IFERROR(VLOOKUP(E2783,STAT1!$C$4:$D$8000,2,FALSE),"")</f>
        <v/>
      </c>
      <c r="O2783" s="154" t="str">
        <f>IFERROR(VLOOKUP(N2783,DATA!$K$4:$L$51,2,FALSE),"")</f>
        <v/>
      </c>
    </row>
    <row r="2784" spans="5:15">
      <c r="E2784" s="584"/>
      <c r="F2784" s="556" t="str">
        <f>IFERROR(VLOOKUP(E2784,STAT1!$C$4:$D$8000,2,FALSE),"")</f>
        <v/>
      </c>
      <c r="O2784" s="154" t="str">
        <f>IFERROR(VLOOKUP(N2784,DATA!$K$4:$L$51,2,FALSE),"")</f>
        <v/>
      </c>
    </row>
    <row r="2785" spans="5:15">
      <c r="E2785" s="584"/>
      <c r="F2785" s="556" t="str">
        <f>IFERROR(VLOOKUP(E2785,STAT1!$C$4:$D$8000,2,FALSE),"")</f>
        <v/>
      </c>
      <c r="O2785" s="154" t="str">
        <f>IFERROR(VLOOKUP(N2785,DATA!$K$4:$L$51,2,FALSE),"")</f>
        <v/>
      </c>
    </row>
    <row r="2786" spans="5:15">
      <c r="E2786" s="584"/>
      <c r="F2786" s="556" t="str">
        <f>IFERROR(VLOOKUP(E2786,STAT1!$C$4:$D$8000,2,FALSE),"")</f>
        <v/>
      </c>
      <c r="O2786" s="154" t="str">
        <f>IFERROR(VLOOKUP(N2786,DATA!$K$4:$L$51,2,FALSE),"")</f>
        <v/>
      </c>
    </row>
    <row r="2787" spans="5:15">
      <c r="E2787" s="584"/>
      <c r="F2787" s="556" t="str">
        <f>IFERROR(VLOOKUP(E2787,STAT1!$C$4:$D$8000,2,FALSE),"")</f>
        <v/>
      </c>
      <c r="O2787" s="154" t="str">
        <f>IFERROR(VLOOKUP(N2787,DATA!$K$4:$L$51,2,FALSE),"")</f>
        <v/>
      </c>
    </row>
    <row r="2788" spans="5:15">
      <c r="E2788" s="584"/>
      <c r="F2788" s="556" t="str">
        <f>IFERROR(VLOOKUP(E2788,STAT1!$C$4:$D$8000,2,FALSE),"")</f>
        <v/>
      </c>
      <c r="O2788" s="154" t="str">
        <f>IFERROR(VLOOKUP(N2788,DATA!$K$4:$L$51,2,FALSE),"")</f>
        <v/>
      </c>
    </row>
    <row r="2789" spans="5:15">
      <c r="E2789" s="584"/>
      <c r="F2789" s="556" t="str">
        <f>IFERROR(VLOOKUP(E2789,STAT1!$C$4:$D$8000,2,FALSE),"")</f>
        <v/>
      </c>
      <c r="O2789" s="154" t="str">
        <f>IFERROR(VLOOKUP(N2789,DATA!$K$4:$L$51,2,FALSE),"")</f>
        <v/>
      </c>
    </row>
    <row r="2790" spans="5:15">
      <c r="E2790" s="584"/>
      <c r="F2790" s="556" t="str">
        <f>IFERROR(VLOOKUP(E2790,STAT1!$C$4:$D$8000,2,FALSE),"")</f>
        <v/>
      </c>
      <c r="O2790" s="154" t="str">
        <f>IFERROR(VLOOKUP(N2790,DATA!$K$4:$L$51,2,FALSE),"")</f>
        <v/>
      </c>
    </row>
    <row r="2791" spans="5:15">
      <c r="E2791" s="584"/>
      <c r="F2791" s="556" t="str">
        <f>IFERROR(VLOOKUP(E2791,STAT1!$C$4:$D$8000,2,FALSE),"")</f>
        <v/>
      </c>
      <c r="O2791" s="154" t="str">
        <f>IFERROR(VLOOKUP(N2791,DATA!$K$4:$L$51,2,FALSE),"")</f>
        <v/>
      </c>
    </row>
    <row r="2792" spans="5:15">
      <c r="E2792" s="584"/>
      <c r="F2792" s="556" t="str">
        <f>IFERROR(VLOOKUP(E2792,STAT1!$C$4:$D$8000,2,FALSE),"")</f>
        <v/>
      </c>
      <c r="O2792" s="154" t="str">
        <f>IFERROR(VLOOKUP(N2792,DATA!$K$4:$L$51,2,FALSE),"")</f>
        <v/>
      </c>
    </row>
    <row r="2793" spans="5:15">
      <c r="E2793" s="584"/>
      <c r="F2793" s="556" t="str">
        <f>IFERROR(VLOOKUP(E2793,STAT1!$C$4:$D$8000,2,FALSE),"")</f>
        <v/>
      </c>
      <c r="O2793" s="154" t="str">
        <f>IFERROR(VLOOKUP(N2793,DATA!$K$4:$L$51,2,FALSE),"")</f>
        <v/>
      </c>
    </row>
    <row r="2794" spans="5:15">
      <c r="E2794" s="584"/>
      <c r="F2794" s="556" t="str">
        <f>IFERROR(VLOOKUP(E2794,STAT1!$C$4:$D$8000,2,FALSE),"")</f>
        <v/>
      </c>
      <c r="O2794" s="154" t="str">
        <f>IFERROR(VLOOKUP(N2794,DATA!$K$4:$L$51,2,FALSE),"")</f>
        <v/>
      </c>
    </row>
    <row r="2795" spans="5:15">
      <c r="E2795" s="584"/>
      <c r="F2795" s="556" t="str">
        <f>IFERROR(VLOOKUP(E2795,STAT1!$C$4:$D$8000,2,FALSE),"")</f>
        <v/>
      </c>
      <c r="O2795" s="154" t="str">
        <f>IFERROR(VLOOKUP(N2795,DATA!$K$4:$L$51,2,FALSE),"")</f>
        <v/>
      </c>
    </row>
    <row r="2796" spans="5:15">
      <c r="E2796" s="584"/>
      <c r="F2796" s="556" t="str">
        <f>IFERROR(VLOOKUP(E2796,STAT1!$C$4:$D$8000,2,FALSE),"")</f>
        <v/>
      </c>
      <c r="O2796" s="154" t="str">
        <f>IFERROR(VLOOKUP(N2796,DATA!$K$4:$L$51,2,FALSE),"")</f>
        <v/>
      </c>
    </row>
    <row r="2797" spans="5:15">
      <c r="E2797" s="584"/>
      <c r="F2797" s="556" t="str">
        <f>IFERROR(VLOOKUP(E2797,STAT1!$C$4:$D$8000,2,FALSE),"")</f>
        <v/>
      </c>
      <c r="O2797" s="154" t="str">
        <f>IFERROR(VLOOKUP(N2797,DATA!$K$4:$L$51,2,FALSE),"")</f>
        <v/>
      </c>
    </row>
    <row r="2798" spans="5:15">
      <c r="E2798" s="584"/>
      <c r="F2798" s="556" t="str">
        <f>IFERROR(VLOOKUP(E2798,STAT1!$C$4:$D$8000,2,FALSE),"")</f>
        <v/>
      </c>
      <c r="O2798" s="154" t="str">
        <f>IFERROR(VLOOKUP(N2798,DATA!$K$4:$L$51,2,FALSE),"")</f>
        <v/>
      </c>
    </row>
    <row r="2799" spans="5:15">
      <c r="E2799" s="584"/>
      <c r="F2799" s="556" t="str">
        <f>IFERROR(VLOOKUP(E2799,STAT1!$C$4:$D$8000,2,FALSE),"")</f>
        <v/>
      </c>
      <c r="O2799" s="154" t="str">
        <f>IFERROR(VLOOKUP(N2799,DATA!$K$4:$L$51,2,FALSE),"")</f>
        <v/>
      </c>
    </row>
    <row r="2800" spans="5:15">
      <c r="E2800" s="584"/>
      <c r="F2800" s="556" t="str">
        <f>IFERROR(VLOOKUP(E2800,STAT1!$C$4:$D$8000,2,FALSE),"")</f>
        <v/>
      </c>
      <c r="O2800" s="154" t="str">
        <f>IFERROR(VLOOKUP(N2800,DATA!$K$4:$L$51,2,FALSE),"")</f>
        <v/>
      </c>
    </row>
    <row r="2801" spans="5:15">
      <c r="E2801" s="584"/>
      <c r="F2801" s="556" t="str">
        <f>IFERROR(VLOOKUP(E2801,STAT1!$C$4:$D$8000,2,FALSE),"")</f>
        <v/>
      </c>
      <c r="O2801" s="154" t="str">
        <f>IFERROR(VLOOKUP(N2801,DATA!$K$4:$L$51,2,FALSE),"")</f>
        <v/>
      </c>
    </row>
    <row r="2802" spans="5:15">
      <c r="E2802" s="584"/>
      <c r="F2802" s="556" t="str">
        <f>IFERROR(VLOOKUP(E2802,STAT1!$C$4:$D$8000,2,FALSE),"")</f>
        <v/>
      </c>
      <c r="O2802" s="154" t="str">
        <f>IFERROR(VLOOKUP(N2802,DATA!$K$4:$L$51,2,FALSE),"")</f>
        <v/>
      </c>
    </row>
    <row r="2803" spans="5:15">
      <c r="E2803" s="584"/>
      <c r="F2803" s="556" t="str">
        <f>IFERROR(VLOOKUP(E2803,STAT1!$C$4:$D$8000,2,FALSE),"")</f>
        <v/>
      </c>
      <c r="O2803" s="154" t="str">
        <f>IFERROR(VLOOKUP(N2803,DATA!$K$4:$L$51,2,FALSE),"")</f>
        <v/>
      </c>
    </row>
    <row r="2804" spans="5:15">
      <c r="E2804" s="584"/>
      <c r="F2804" s="556" t="str">
        <f>IFERROR(VLOOKUP(E2804,STAT1!$C$4:$D$8000,2,FALSE),"")</f>
        <v/>
      </c>
      <c r="O2804" s="154" t="str">
        <f>IFERROR(VLOOKUP(N2804,DATA!$K$4:$L$51,2,FALSE),"")</f>
        <v/>
      </c>
    </row>
    <row r="2805" spans="5:15">
      <c r="E2805" s="584"/>
      <c r="F2805" s="556" t="str">
        <f>IFERROR(VLOOKUP(E2805,STAT1!$C$4:$D$8000,2,FALSE),"")</f>
        <v/>
      </c>
      <c r="O2805" s="154" t="str">
        <f>IFERROR(VLOOKUP(N2805,DATA!$K$4:$L$51,2,FALSE),"")</f>
        <v/>
      </c>
    </row>
    <row r="2806" spans="5:15">
      <c r="E2806" s="584"/>
      <c r="F2806" s="556" t="str">
        <f>IFERROR(VLOOKUP(E2806,STAT1!$C$4:$D$8000,2,FALSE),"")</f>
        <v/>
      </c>
      <c r="O2806" s="154" t="str">
        <f>IFERROR(VLOOKUP(N2806,DATA!$K$4:$L$51,2,FALSE),"")</f>
        <v/>
      </c>
    </row>
    <row r="2807" spans="5:15">
      <c r="E2807" s="584"/>
      <c r="F2807" s="556" t="str">
        <f>IFERROR(VLOOKUP(E2807,STAT1!$C$4:$D$8000,2,FALSE),"")</f>
        <v/>
      </c>
      <c r="O2807" s="154" t="str">
        <f>IFERROR(VLOOKUP(N2807,DATA!$K$4:$L$51,2,FALSE),"")</f>
        <v/>
      </c>
    </row>
    <row r="2808" spans="5:15">
      <c r="E2808" s="584"/>
      <c r="F2808" s="556" t="str">
        <f>IFERROR(VLOOKUP(E2808,STAT1!$C$4:$D$8000,2,FALSE),"")</f>
        <v/>
      </c>
      <c r="O2808" s="154" t="str">
        <f>IFERROR(VLOOKUP(N2808,DATA!$K$4:$L$51,2,FALSE),"")</f>
        <v/>
      </c>
    </row>
    <row r="2809" spans="5:15">
      <c r="E2809" s="584"/>
      <c r="F2809" s="556" t="str">
        <f>IFERROR(VLOOKUP(E2809,STAT1!$C$4:$D$8000,2,FALSE),"")</f>
        <v/>
      </c>
      <c r="O2809" s="154" t="str">
        <f>IFERROR(VLOOKUP(N2809,DATA!$K$4:$L$51,2,FALSE),"")</f>
        <v/>
      </c>
    </row>
    <row r="2810" spans="5:15">
      <c r="E2810" s="584"/>
      <c r="F2810" s="556" t="str">
        <f>IFERROR(VLOOKUP(E2810,STAT1!$C$4:$D$8000,2,FALSE),"")</f>
        <v/>
      </c>
      <c r="O2810" s="154" t="str">
        <f>IFERROR(VLOOKUP(N2810,DATA!$K$4:$L$51,2,FALSE),"")</f>
        <v/>
      </c>
    </row>
    <row r="2811" spans="5:15">
      <c r="E2811" s="584"/>
      <c r="F2811" s="556" t="str">
        <f>IFERROR(VLOOKUP(E2811,STAT1!$C$4:$D$8000,2,FALSE),"")</f>
        <v/>
      </c>
      <c r="O2811" s="154" t="str">
        <f>IFERROR(VLOOKUP(N2811,DATA!$K$4:$L$51,2,FALSE),"")</f>
        <v/>
      </c>
    </row>
    <row r="2812" spans="5:15">
      <c r="E2812" s="584"/>
      <c r="F2812" s="556" t="str">
        <f>IFERROR(VLOOKUP(E2812,STAT1!$C$4:$D$8000,2,FALSE),"")</f>
        <v/>
      </c>
      <c r="O2812" s="154" t="str">
        <f>IFERROR(VLOOKUP(N2812,DATA!$K$4:$L$51,2,FALSE),"")</f>
        <v/>
      </c>
    </row>
    <row r="2813" spans="5:15">
      <c r="E2813" s="584"/>
      <c r="F2813" s="556" t="str">
        <f>IFERROR(VLOOKUP(E2813,STAT1!$C$4:$D$8000,2,FALSE),"")</f>
        <v/>
      </c>
      <c r="O2813" s="154" t="str">
        <f>IFERROR(VLOOKUP(N2813,DATA!$K$4:$L$51,2,FALSE),"")</f>
        <v/>
      </c>
    </row>
    <row r="2814" spans="5:15">
      <c r="E2814" s="584"/>
      <c r="F2814" s="556" t="str">
        <f>IFERROR(VLOOKUP(E2814,STAT1!$C$4:$D$8000,2,FALSE),"")</f>
        <v/>
      </c>
      <c r="O2814" s="154" t="str">
        <f>IFERROR(VLOOKUP(N2814,DATA!$K$4:$L$51,2,FALSE),"")</f>
        <v/>
      </c>
    </row>
    <row r="2815" spans="5:15">
      <c r="E2815" s="584"/>
      <c r="F2815" s="556" t="str">
        <f>IFERROR(VLOOKUP(E2815,STAT1!$C$4:$D$8000,2,FALSE),"")</f>
        <v/>
      </c>
      <c r="O2815" s="154" t="str">
        <f>IFERROR(VLOOKUP(N2815,DATA!$K$4:$L$51,2,FALSE),"")</f>
        <v/>
      </c>
    </row>
    <row r="2816" spans="5:15">
      <c r="E2816" s="584"/>
      <c r="F2816" s="556" t="str">
        <f>IFERROR(VLOOKUP(E2816,STAT1!$C$4:$D$8000,2,FALSE),"")</f>
        <v/>
      </c>
      <c r="O2816" s="154" t="str">
        <f>IFERROR(VLOOKUP(N2816,DATA!$K$4:$L$51,2,FALSE),"")</f>
        <v/>
      </c>
    </row>
    <row r="2817" spans="5:15">
      <c r="E2817" s="584"/>
      <c r="F2817" s="556" t="str">
        <f>IFERROR(VLOOKUP(E2817,STAT1!$C$4:$D$8000,2,FALSE),"")</f>
        <v/>
      </c>
      <c r="O2817" s="154" t="str">
        <f>IFERROR(VLOOKUP(N2817,DATA!$K$4:$L$51,2,FALSE),"")</f>
        <v/>
      </c>
    </row>
    <row r="2818" spans="5:15">
      <c r="E2818" s="584"/>
      <c r="F2818" s="556" t="str">
        <f>IFERROR(VLOOKUP(E2818,STAT1!$C$4:$D$8000,2,FALSE),"")</f>
        <v/>
      </c>
      <c r="O2818" s="154" t="str">
        <f>IFERROR(VLOOKUP(N2818,DATA!$K$4:$L$51,2,FALSE),"")</f>
        <v/>
      </c>
    </row>
    <row r="2819" spans="5:15">
      <c r="E2819" s="584"/>
      <c r="F2819" s="556" t="str">
        <f>IFERROR(VLOOKUP(E2819,STAT1!$C$4:$D$8000,2,FALSE),"")</f>
        <v/>
      </c>
      <c r="O2819" s="154" t="str">
        <f>IFERROR(VLOOKUP(N2819,DATA!$K$4:$L$51,2,FALSE),"")</f>
        <v/>
      </c>
    </row>
    <row r="2820" spans="5:15">
      <c r="E2820" s="584"/>
      <c r="F2820" s="556" t="str">
        <f>IFERROR(VLOOKUP(E2820,STAT1!$C$4:$D$8000,2,FALSE),"")</f>
        <v/>
      </c>
      <c r="O2820" s="154" t="str">
        <f>IFERROR(VLOOKUP(N2820,DATA!$K$4:$L$51,2,FALSE),"")</f>
        <v/>
      </c>
    </row>
    <row r="2821" spans="5:15">
      <c r="E2821" s="584"/>
      <c r="F2821" s="556" t="str">
        <f>IFERROR(VLOOKUP(E2821,STAT1!$C$4:$D$8000,2,FALSE),"")</f>
        <v/>
      </c>
      <c r="O2821" s="154" t="str">
        <f>IFERROR(VLOOKUP(N2821,DATA!$K$4:$L$51,2,FALSE),"")</f>
        <v/>
      </c>
    </row>
    <row r="2822" spans="5:15">
      <c r="E2822" s="584"/>
      <c r="F2822" s="556" t="str">
        <f>IFERROR(VLOOKUP(E2822,STAT1!$C$4:$D$8000,2,FALSE),"")</f>
        <v/>
      </c>
      <c r="O2822" s="154" t="str">
        <f>IFERROR(VLOOKUP(N2822,DATA!$K$4:$L$51,2,FALSE),"")</f>
        <v/>
      </c>
    </row>
    <row r="2823" spans="5:15">
      <c r="E2823" s="584"/>
      <c r="F2823" s="556" t="str">
        <f>IFERROR(VLOOKUP(E2823,STAT1!$C$4:$D$8000,2,FALSE),"")</f>
        <v/>
      </c>
      <c r="O2823" s="154" t="str">
        <f>IFERROR(VLOOKUP(N2823,DATA!$K$4:$L$51,2,FALSE),"")</f>
        <v/>
      </c>
    </row>
    <row r="2824" spans="5:15">
      <c r="E2824" s="584"/>
      <c r="F2824" s="556" t="str">
        <f>IFERROR(VLOOKUP(E2824,STAT1!$C$4:$D$8000,2,FALSE),"")</f>
        <v/>
      </c>
      <c r="O2824" s="154" t="str">
        <f>IFERROR(VLOOKUP(N2824,DATA!$K$4:$L$51,2,FALSE),"")</f>
        <v/>
      </c>
    </row>
    <row r="2825" spans="5:15">
      <c r="E2825" s="584"/>
      <c r="F2825" s="556" t="str">
        <f>IFERROR(VLOOKUP(E2825,STAT1!$C$4:$D$8000,2,FALSE),"")</f>
        <v/>
      </c>
      <c r="O2825" s="154" t="str">
        <f>IFERROR(VLOOKUP(N2825,DATA!$K$4:$L$51,2,FALSE),"")</f>
        <v/>
      </c>
    </row>
    <row r="2826" spans="5:15">
      <c r="E2826" s="584"/>
      <c r="F2826" s="556" t="str">
        <f>IFERROR(VLOOKUP(E2826,STAT1!$C$4:$D$8000,2,FALSE),"")</f>
        <v/>
      </c>
      <c r="O2826" s="154" t="str">
        <f>IFERROR(VLOOKUP(N2826,DATA!$K$4:$L$51,2,FALSE),"")</f>
        <v/>
      </c>
    </row>
    <row r="2827" spans="5:15">
      <c r="E2827" s="584"/>
      <c r="F2827" s="556" t="str">
        <f>IFERROR(VLOOKUP(E2827,STAT1!$C$4:$D$8000,2,FALSE),"")</f>
        <v/>
      </c>
      <c r="O2827" s="154" t="str">
        <f>IFERROR(VLOOKUP(N2827,DATA!$K$4:$L$51,2,FALSE),"")</f>
        <v/>
      </c>
    </row>
    <row r="2828" spans="5:15">
      <c r="E2828" s="584"/>
      <c r="F2828" s="556" t="str">
        <f>IFERROR(VLOOKUP(E2828,STAT1!$C$4:$D$8000,2,FALSE),"")</f>
        <v/>
      </c>
      <c r="O2828" s="154" t="str">
        <f>IFERROR(VLOOKUP(N2828,DATA!$K$4:$L$51,2,FALSE),"")</f>
        <v/>
      </c>
    </row>
    <row r="2829" spans="5:15">
      <c r="E2829" s="584"/>
      <c r="F2829" s="556" t="str">
        <f>IFERROR(VLOOKUP(E2829,STAT1!$C$4:$D$8000,2,FALSE),"")</f>
        <v/>
      </c>
      <c r="O2829" s="154" t="str">
        <f>IFERROR(VLOOKUP(N2829,DATA!$K$4:$L$51,2,FALSE),"")</f>
        <v/>
      </c>
    </row>
    <row r="2830" spans="5:15">
      <c r="E2830" s="584"/>
      <c r="F2830" s="556" t="str">
        <f>IFERROR(VLOOKUP(E2830,STAT1!$C$4:$D$8000,2,FALSE),"")</f>
        <v/>
      </c>
      <c r="O2830" s="154" t="str">
        <f>IFERROR(VLOOKUP(N2830,DATA!$K$4:$L$51,2,FALSE),"")</f>
        <v/>
      </c>
    </row>
    <row r="2831" spans="5:15">
      <c r="E2831" s="584"/>
      <c r="F2831" s="556" t="str">
        <f>IFERROR(VLOOKUP(E2831,STAT1!$C$4:$D$8000,2,FALSE),"")</f>
        <v/>
      </c>
      <c r="O2831" s="154" t="str">
        <f>IFERROR(VLOOKUP(N2831,DATA!$K$4:$L$51,2,FALSE),"")</f>
        <v/>
      </c>
    </row>
    <row r="2832" spans="5:15">
      <c r="E2832" s="584"/>
      <c r="F2832" s="556" t="str">
        <f>IFERROR(VLOOKUP(E2832,STAT1!$C$4:$D$8000,2,FALSE),"")</f>
        <v/>
      </c>
      <c r="O2832" s="154" t="str">
        <f>IFERROR(VLOOKUP(N2832,DATA!$K$4:$L$51,2,FALSE),"")</f>
        <v/>
      </c>
    </row>
    <row r="2833" spans="5:15">
      <c r="E2833" s="584"/>
      <c r="F2833" s="556" t="str">
        <f>IFERROR(VLOOKUP(E2833,STAT1!$C$4:$D$8000,2,FALSE),"")</f>
        <v/>
      </c>
      <c r="O2833" s="154" t="str">
        <f>IFERROR(VLOOKUP(N2833,DATA!$K$4:$L$51,2,FALSE),"")</f>
        <v/>
      </c>
    </row>
    <row r="2834" spans="5:15">
      <c r="E2834" s="584"/>
      <c r="F2834" s="556" t="str">
        <f>IFERROR(VLOOKUP(E2834,STAT1!$C$4:$D$8000,2,FALSE),"")</f>
        <v/>
      </c>
      <c r="O2834" s="154" t="str">
        <f>IFERROR(VLOOKUP(N2834,DATA!$K$4:$L$51,2,FALSE),"")</f>
        <v/>
      </c>
    </row>
    <row r="2835" spans="5:15">
      <c r="E2835" s="584"/>
      <c r="F2835" s="556" t="str">
        <f>IFERROR(VLOOKUP(E2835,STAT1!$C$4:$D$8000,2,FALSE),"")</f>
        <v/>
      </c>
      <c r="O2835" s="154" t="str">
        <f>IFERROR(VLOOKUP(N2835,DATA!$K$4:$L$51,2,FALSE),"")</f>
        <v/>
      </c>
    </row>
    <row r="2836" spans="5:15">
      <c r="E2836" s="584"/>
      <c r="F2836" s="556" t="str">
        <f>IFERROR(VLOOKUP(E2836,STAT1!$C$4:$D$8000,2,FALSE),"")</f>
        <v/>
      </c>
      <c r="O2836" s="154" t="str">
        <f>IFERROR(VLOOKUP(N2836,DATA!$K$4:$L$51,2,FALSE),"")</f>
        <v/>
      </c>
    </row>
    <row r="2837" spans="5:15">
      <c r="E2837" s="584"/>
      <c r="F2837" s="556" t="str">
        <f>IFERROR(VLOOKUP(E2837,STAT1!$C$4:$D$8000,2,FALSE),"")</f>
        <v/>
      </c>
      <c r="O2837" s="154" t="str">
        <f>IFERROR(VLOOKUP(N2837,DATA!$K$4:$L$51,2,FALSE),"")</f>
        <v/>
      </c>
    </row>
    <row r="2838" spans="5:15">
      <c r="E2838" s="584"/>
      <c r="F2838" s="556" t="str">
        <f>IFERROR(VLOOKUP(E2838,STAT1!$C$4:$D$8000,2,FALSE),"")</f>
        <v/>
      </c>
      <c r="O2838" s="154" t="str">
        <f>IFERROR(VLOOKUP(N2838,DATA!$K$4:$L$51,2,FALSE),"")</f>
        <v/>
      </c>
    </row>
    <row r="2839" spans="5:15">
      <c r="E2839" s="584"/>
      <c r="F2839" s="556" t="str">
        <f>IFERROR(VLOOKUP(E2839,STAT1!$C$4:$D$8000,2,FALSE),"")</f>
        <v/>
      </c>
      <c r="O2839" s="154" t="str">
        <f>IFERROR(VLOOKUP(N2839,DATA!$K$4:$L$51,2,FALSE),"")</f>
        <v/>
      </c>
    </row>
    <row r="2840" spans="5:15">
      <c r="E2840" s="584"/>
      <c r="F2840" s="556" t="str">
        <f>IFERROR(VLOOKUP(E2840,STAT1!$C$4:$D$8000,2,FALSE),"")</f>
        <v/>
      </c>
      <c r="O2840" s="154" t="str">
        <f>IFERROR(VLOOKUP(N2840,DATA!$K$4:$L$51,2,FALSE),"")</f>
        <v/>
      </c>
    </row>
    <row r="2841" spans="5:15">
      <c r="E2841" s="584"/>
      <c r="F2841" s="556" t="str">
        <f>IFERROR(VLOOKUP(E2841,STAT1!$C$4:$D$8000,2,FALSE),"")</f>
        <v/>
      </c>
      <c r="O2841" s="154" t="str">
        <f>IFERROR(VLOOKUP(N2841,DATA!$K$4:$L$51,2,FALSE),"")</f>
        <v/>
      </c>
    </row>
    <row r="2842" spans="5:15">
      <c r="E2842" s="584"/>
      <c r="F2842" s="556" t="str">
        <f>IFERROR(VLOOKUP(E2842,STAT1!$C$4:$D$8000,2,FALSE),"")</f>
        <v/>
      </c>
      <c r="O2842" s="154" t="str">
        <f>IFERROR(VLOOKUP(N2842,DATA!$K$4:$L$51,2,FALSE),"")</f>
        <v/>
      </c>
    </row>
    <row r="2843" spans="5:15">
      <c r="E2843" s="584"/>
      <c r="F2843" s="556" t="str">
        <f>IFERROR(VLOOKUP(E2843,STAT1!$C$4:$D$8000,2,FALSE),"")</f>
        <v/>
      </c>
      <c r="O2843" s="154" t="str">
        <f>IFERROR(VLOOKUP(N2843,DATA!$K$4:$L$51,2,FALSE),"")</f>
        <v/>
      </c>
    </row>
    <row r="2844" spans="5:15">
      <c r="E2844" s="584"/>
      <c r="F2844" s="556" t="str">
        <f>IFERROR(VLOOKUP(E2844,STAT1!$C$4:$D$8000,2,FALSE),"")</f>
        <v/>
      </c>
      <c r="O2844" s="154" t="str">
        <f>IFERROR(VLOOKUP(N2844,DATA!$K$4:$L$51,2,FALSE),"")</f>
        <v/>
      </c>
    </row>
    <row r="2845" spans="5:15">
      <c r="E2845" s="584"/>
      <c r="F2845" s="556" t="str">
        <f>IFERROR(VLOOKUP(E2845,STAT1!$C$4:$D$8000,2,FALSE),"")</f>
        <v/>
      </c>
      <c r="O2845" s="154" t="str">
        <f>IFERROR(VLOOKUP(N2845,DATA!$K$4:$L$51,2,FALSE),"")</f>
        <v/>
      </c>
    </row>
    <row r="2846" spans="5:15">
      <c r="E2846" s="584"/>
      <c r="F2846" s="556" t="str">
        <f>IFERROR(VLOOKUP(E2846,STAT1!$C$4:$D$8000,2,FALSE),"")</f>
        <v/>
      </c>
      <c r="O2846" s="154" t="str">
        <f>IFERROR(VLOOKUP(N2846,DATA!$K$4:$L$51,2,FALSE),"")</f>
        <v/>
      </c>
    </row>
    <row r="2847" spans="5:15">
      <c r="E2847" s="584"/>
      <c r="F2847" s="556" t="str">
        <f>IFERROR(VLOOKUP(E2847,STAT1!$C$4:$D$8000,2,FALSE),"")</f>
        <v/>
      </c>
      <c r="O2847" s="154" t="str">
        <f>IFERROR(VLOOKUP(N2847,DATA!$K$4:$L$51,2,FALSE),"")</f>
        <v/>
      </c>
    </row>
    <row r="2848" spans="5:15">
      <c r="E2848" s="584"/>
      <c r="F2848" s="556" t="str">
        <f>IFERROR(VLOOKUP(E2848,STAT1!$C$4:$D$8000,2,FALSE),"")</f>
        <v/>
      </c>
      <c r="O2848" s="154" t="str">
        <f>IFERROR(VLOOKUP(N2848,DATA!$K$4:$L$51,2,FALSE),"")</f>
        <v/>
      </c>
    </row>
    <row r="2849" spans="5:15">
      <c r="E2849" s="584"/>
      <c r="F2849" s="556" t="str">
        <f>IFERROR(VLOOKUP(E2849,STAT1!$C$4:$D$8000,2,FALSE),"")</f>
        <v/>
      </c>
      <c r="O2849" s="154" t="str">
        <f>IFERROR(VLOOKUP(N2849,DATA!$K$4:$L$51,2,FALSE),"")</f>
        <v/>
      </c>
    </row>
    <row r="2850" spans="5:15">
      <c r="E2850" s="584"/>
      <c r="F2850" s="556" t="str">
        <f>IFERROR(VLOOKUP(E2850,STAT1!$C$4:$D$8000,2,FALSE),"")</f>
        <v/>
      </c>
      <c r="O2850" s="154" t="str">
        <f>IFERROR(VLOOKUP(N2850,DATA!$K$4:$L$51,2,FALSE),"")</f>
        <v/>
      </c>
    </row>
    <row r="2851" spans="5:15">
      <c r="E2851" s="584"/>
      <c r="F2851" s="556" t="str">
        <f>IFERROR(VLOOKUP(E2851,STAT1!$C$4:$D$8000,2,FALSE),"")</f>
        <v/>
      </c>
      <c r="O2851" s="154" t="str">
        <f>IFERROR(VLOOKUP(N2851,DATA!$K$4:$L$51,2,FALSE),"")</f>
        <v/>
      </c>
    </row>
    <row r="2852" spans="5:15">
      <c r="E2852" s="584"/>
      <c r="F2852" s="556" t="str">
        <f>IFERROR(VLOOKUP(E2852,STAT1!$C$4:$D$8000,2,FALSE),"")</f>
        <v/>
      </c>
      <c r="O2852" s="154" t="str">
        <f>IFERROR(VLOOKUP(N2852,DATA!$K$4:$L$51,2,FALSE),"")</f>
        <v/>
      </c>
    </row>
    <row r="2853" spans="5:15">
      <c r="E2853" s="584"/>
      <c r="F2853" s="556" t="str">
        <f>IFERROR(VLOOKUP(E2853,STAT1!$C$4:$D$8000,2,FALSE),"")</f>
        <v/>
      </c>
      <c r="O2853" s="154" t="str">
        <f>IFERROR(VLOOKUP(N2853,DATA!$K$4:$L$51,2,FALSE),"")</f>
        <v/>
      </c>
    </row>
    <row r="2854" spans="5:15">
      <c r="E2854" s="584"/>
      <c r="F2854" s="556" t="str">
        <f>IFERROR(VLOOKUP(E2854,STAT1!$C$4:$D$8000,2,FALSE),"")</f>
        <v/>
      </c>
      <c r="O2854" s="154" t="str">
        <f>IFERROR(VLOOKUP(N2854,DATA!$K$4:$L$51,2,FALSE),"")</f>
        <v/>
      </c>
    </row>
    <row r="2855" spans="5:15">
      <c r="E2855" s="584"/>
      <c r="F2855" s="556" t="str">
        <f>IFERROR(VLOOKUP(E2855,STAT1!$C$4:$D$8000,2,FALSE),"")</f>
        <v/>
      </c>
      <c r="O2855" s="154" t="str">
        <f>IFERROR(VLOOKUP(N2855,DATA!$K$4:$L$51,2,FALSE),"")</f>
        <v/>
      </c>
    </row>
    <row r="2856" spans="5:15">
      <c r="E2856" s="584"/>
      <c r="F2856" s="556" t="str">
        <f>IFERROR(VLOOKUP(E2856,STAT1!$C$4:$D$8000,2,FALSE),"")</f>
        <v/>
      </c>
      <c r="O2856" s="154" t="str">
        <f>IFERROR(VLOOKUP(N2856,DATA!$K$4:$L$51,2,FALSE),"")</f>
        <v/>
      </c>
    </row>
    <row r="2857" spans="5:15">
      <c r="E2857" s="584"/>
      <c r="F2857" s="556" t="str">
        <f>IFERROR(VLOOKUP(E2857,STAT1!$C$4:$D$8000,2,FALSE),"")</f>
        <v/>
      </c>
      <c r="O2857" s="154" t="str">
        <f>IFERROR(VLOOKUP(N2857,DATA!$K$4:$L$51,2,FALSE),"")</f>
        <v/>
      </c>
    </row>
    <row r="2858" spans="5:15">
      <c r="E2858" s="584"/>
      <c r="F2858" s="556" t="str">
        <f>IFERROR(VLOOKUP(E2858,STAT1!$C$4:$D$8000,2,FALSE),"")</f>
        <v/>
      </c>
      <c r="O2858" s="154" t="str">
        <f>IFERROR(VLOOKUP(N2858,DATA!$K$4:$L$51,2,FALSE),"")</f>
        <v/>
      </c>
    </row>
    <row r="2859" spans="5:15">
      <c r="E2859" s="584"/>
      <c r="F2859" s="556" t="str">
        <f>IFERROR(VLOOKUP(E2859,STAT1!$C$4:$D$8000,2,FALSE),"")</f>
        <v/>
      </c>
      <c r="O2859" s="154" t="str">
        <f>IFERROR(VLOOKUP(N2859,DATA!$K$4:$L$51,2,FALSE),"")</f>
        <v/>
      </c>
    </row>
    <row r="2860" spans="5:15">
      <c r="E2860" s="584"/>
      <c r="F2860" s="556" t="str">
        <f>IFERROR(VLOOKUP(E2860,STAT1!$C$4:$D$8000,2,FALSE),"")</f>
        <v/>
      </c>
      <c r="O2860" s="154" t="str">
        <f>IFERROR(VLOOKUP(N2860,DATA!$K$4:$L$51,2,FALSE),"")</f>
        <v/>
      </c>
    </row>
    <row r="2861" spans="5:15">
      <c r="E2861" s="584"/>
      <c r="F2861" s="556" t="str">
        <f>IFERROR(VLOOKUP(E2861,STAT1!$C$4:$D$8000,2,FALSE),"")</f>
        <v/>
      </c>
      <c r="O2861" s="154" t="str">
        <f>IFERROR(VLOOKUP(N2861,DATA!$K$4:$L$51,2,FALSE),"")</f>
        <v/>
      </c>
    </row>
    <row r="2862" spans="5:15">
      <c r="E2862" s="584"/>
      <c r="F2862" s="556" t="str">
        <f>IFERROR(VLOOKUP(E2862,STAT1!$C$4:$D$8000,2,FALSE),"")</f>
        <v/>
      </c>
      <c r="O2862" s="154" t="str">
        <f>IFERROR(VLOOKUP(N2862,DATA!$K$4:$L$51,2,FALSE),"")</f>
        <v/>
      </c>
    </row>
    <row r="2863" spans="5:15">
      <c r="E2863" s="584"/>
      <c r="F2863" s="556" t="str">
        <f>IFERROR(VLOOKUP(E2863,STAT1!$C$4:$D$8000,2,FALSE),"")</f>
        <v/>
      </c>
      <c r="O2863" s="154" t="str">
        <f>IFERROR(VLOOKUP(N2863,DATA!$K$4:$L$51,2,FALSE),"")</f>
        <v/>
      </c>
    </row>
    <row r="2864" spans="5:15">
      <c r="E2864" s="584"/>
      <c r="F2864" s="556" t="str">
        <f>IFERROR(VLOOKUP(E2864,STAT1!$C$4:$D$8000,2,FALSE),"")</f>
        <v/>
      </c>
      <c r="O2864" s="154" t="str">
        <f>IFERROR(VLOOKUP(N2864,DATA!$K$4:$L$51,2,FALSE),"")</f>
        <v/>
      </c>
    </row>
    <row r="2865" spans="5:15">
      <c r="E2865" s="584"/>
      <c r="F2865" s="556" t="str">
        <f>IFERROR(VLOOKUP(E2865,STAT1!$C$4:$D$8000,2,FALSE),"")</f>
        <v/>
      </c>
      <c r="O2865" s="154" t="str">
        <f>IFERROR(VLOOKUP(N2865,DATA!$K$4:$L$51,2,FALSE),"")</f>
        <v/>
      </c>
    </row>
    <row r="2866" spans="5:15">
      <c r="E2866" s="584"/>
      <c r="F2866" s="556" t="str">
        <f>IFERROR(VLOOKUP(E2866,STAT1!$C$4:$D$8000,2,FALSE),"")</f>
        <v/>
      </c>
      <c r="O2866" s="154" t="str">
        <f>IFERROR(VLOOKUP(N2866,DATA!$K$4:$L$51,2,FALSE),"")</f>
        <v/>
      </c>
    </row>
    <row r="2867" spans="5:15">
      <c r="E2867" s="584"/>
      <c r="F2867" s="556" t="str">
        <f>IFERROR(VLOOKUP(E2867,STAT1!$C$4:$D$8000,2,FALSE),"")</f>
        <v/>
      </c>
      <c r="O2867" s="154" t="str">
        <f>IFERROR(VLOOKUP(N2867,DATA!$K$4:$L$51,2,FALSE),"")</f>
        <v/>
      </c>
    </row>
    <row r="2868" spans="5:15">
      <c r="E2868" s="584"/>
      <c r="F2868" s="556" t="str">
        <f>IFERROR(VLOOKUP(E2868,STAT1!$C$4:$D$8000,2,FALSE),"")</f>
        <v/>
      </c>
      <c r="O2868" s="154" t="str">
        <f>IFERROR(VLOOKUP(N2868,DATA!$K$4:$L$51,2,FALSE),"")</f>
        <v/>
      </c>
    </row>
    <row r="2869" spans="5:15">
      <c r="E2869" s="584"/>
      <c r="F2869" s="556" t="str">
        <f>IFERROR(VLOOKUP(E2869,STAT1!$C$4:$D$8000,2,FALSE),"")</f>
        <v/>
      </c>
      <c r="O2869" s="154" t="str">
        <f>IFERROR(VLOOKUP(N2869,DATA!$K$4:$L$51,2,FALSE),"")</f>
        <v/>
      </c>
    </row>
    <row r="2870" spans="5:15">
      <c r="E2870" s="584"/>
      <c r="F2870" s="556" t="str">
        <f>IFERROR(VLOOKUP(E2870,STAT1!$C$4:$D$8000,2,FALSE),"")</f>
        <v/>
      </c>
      <c r="O2870" s="154" t="str">
        <f>IFERROR(VLOOKUP(N2870,DATA!$K$4:$L$51,2,FALSE),"")</f>
        <v/>
      </c>
    </row>
    <row r="2871" spans="5:15">
      <c r="E2871" s="584"/>
      <c r="F2871" s="556" t="str">
        <f>IFERROR(VLOOKUP(E2871,STAT1!$C$4:$D$8000,2,FALSE),"")</f>
        <v/>
      </c>
      <c r="O2871" s="154" t="str">
        <f>IFERROR(VLOOKUP(N2871,DATA!$K$4:$L$51,2,FALSE),"")</f>
        <v/>
      </c>
    </row>
    <row r="2872" spans="5:15">
      <c r="E2872" s="584"/>
      <c r="F2872" s="556" t="str">
        <f>IFERROR(VLOOKUP(E2872,STAT1!$C$4:$D$8000,2,FALSE),"")</f>
        <v/>
      </c>
      <c r="O2872" s="154" t="str">
        <f>IFERROR(VLOOKUP(N2872,DATA!$K$4:$L$51,2,FALSE),"")</f>
        <v/>
      </c>
    </row>
    <row r="2873" spans="5:15">
      <c r="E2873" s="584"/>
      <c r="F2873" s="556" t="str">
        <f>IFERROR(VLOOKUP(E2873,STAT1!$C$4:$D$8000,2,FALSE),"")</f>
        <v/>
      </c>
      <c r="O2873" s="154" t="str">
        <f>IFERROR(VLOOKUP(N2873,DATA!$K$4:$L$51,2,FALSE),"")</f>
        <v/>
      </c>
    </row>
    <row r="2874" spans="5:15">
      <c r="E2874" s="584"/>
      <c r="F2874" s="556" t="str">
        <f>IFERROR(VLOOKUP(E2874,STAT1!$C$4:$D$8000,2,FALSE),"")</f>
        <v/>
      </c>
      <c r="O2874" s="154" t="str">
        <f>IFERROR(VLOOKUP(N2874,DATA!$K$4:$L$51,2,FALSE),"")</f>
        <v/>
      </c>
    </row>
    <row r="2875" spans="5:15">
      <c r="E2875" s="584"/>
      <c r="F2875" s="556" t="str">
        <f>IFERROR(VLOOKUP(E2875,STAT1!$C$4:$D$8000,2,FALSE),"")</f>
        <v/>
      </c>
      <c r="O2875" s="154" t="str">
        <f>IFERROR(VLOOKUP(N2875,DATA!$K$4:$L$51,2,FALSE),"")</f>
        <v/>
      </c>
    </row>
    <row r="2876" spans="5:15">
      <c r="E2876" s="584"/>
      <c r="F2876" s="556" t="str">
        <f>IFERROR(VLOOKUP(E2876,STAT1!$C$4:$D$8000,2,FALSE),"")</f>
        <v/>
      </c>
      <c r="O2876" s="154" t="str">
        <f>IFERROR(VLOOKUP(N2876,DATA!$K$4:$L$51,2,FALSE),"")</f>
        <v/>
      </c>
    </row>
    <row r="2877" spans="5:15">
      <c r="E2877" s="584"/>
      <c r="F2877" s="556" t="str">
        <f>IFERROR(VLOOKUP(E2877,STAT1!$C$4:$D$8000,2,FALSE),"")</f>
        <v/>
      </c>
      <c r="O2877" s="154" t="str">
        <f>IFERROR(VLOOKUP(N2877,DATA!$K$4:$L$51,2,FALSE),"")</f>
        <v/>
      </c>
    </row>
    <row r="2878" spans="5:15">
      <c r="E2878" s="584"/>
      <c r="F2878" s="556" t="str">
        <f>IFERROR(VLOOKUP(E2878,STAT1!$C$4:$D$8000,2,FALSE),"")</f>
        <v/>
      </c>
      <c r="O2878" s="154" t="str">
        <f>IFERROR(VLOOKUP(N2878,DATA!$K$4:$L$51,2,FALSE),"")</f>
        <v/>
      </c>
    </row>
    <row r="2879" spans="5:15">
      <c r="E2879" s="584"/>
      <c r="F2879" s="556" t="str">
        <f>IFERROR(VLOOKUP(E2879,STAT1!$C$4:$D$8000,2,FALSE),"")</f>
        <v/>
      </c>
      <c r="O2879" s="154" t="str">
        <f>IFERROR(VLOOKUP(N2879,DATA!$K$4:$L$51,2,FALSE),"")</f>
        <v/>
      </c>
    </row>
    <row r="2880" spans="5:15">
      <c r="E2880" s="584"/>
      <c r="F2880" s="556" t="str">
        <f>IFERROR(VLOOKUP(E2880,STAT1!$C$4:$D$8000,2,FALSE),"")</f>
        <v/>
      </c>
      <c r="O2880" s="154" t="str">
        <f>IFERROR(VLOOKUP(N2880,DATA!$K$4:$L$51,2,FALSE),"")</f>
        <v/>
      </c>
    </row>
    <row r="2881" spans="5:15">
      <c r="E2881" s="584"/>
      <c r="F2881" s="556" t="str">
        <f>IFERROR(VLOOKUP(E2881,STAT1!$C$4:$D$8000,2,FALSE),"")</f>
        <v/>
      </c>
      <c r="O2881" s="154" t="str">
        <f>IFERROR(VLOOKUP(N2881,DATA!$K$4:$L$51,2,FALSE),"")</f>
        <v/>
      </c>
    </row>
    <row r="2882" spans="5:15">
      <c r="E2882" s="584"/>
      <c r="F2882" s="556" t="str">
        <f>IFERROR(VLOOKUP(E2882,STAT1!$C$4:$D$8000,2,FALSE),"")</f>
        <v/>
      </c>
      <c r="O2882" s="154" t="str">
        <f>IFERROR(VLOOKUP(N2882,DATA!$K$4:$L$51,2,FALSE),"")</f>
        <v/>
      </c>
    </row>
    <row r="2883" spans="5:15">
      <c r="E2883" s="584"/>
      <c r="F2883" s="556" t="str">
        <f>IFERROR(VLOOKUP(E2883,STAT1!$C$4:$D$8000,2,FALSE),"")</f>
        <v/>
      </c>
      <c r="O2883" s="154" t="str">
        <f>IFERROR(VLOOKUP(N2883,DATA!$K$4:$L$51,2,FALSE),"")</f>
        <v/>
      </c>
    </row>
    <row r="2884" spans="5:15">
      <c r="E2884" s="584"/>
      <c r="F2884" s="556" t="str">
        <f>IFERROR(VLOOKUP(E2884,STAT1!$C$4:$D$8000,2,FALSE),"")</f>
        <v/>
      </c>
      <c r="O2884" s="154" t="str">
        <f>IFERROR(VLOOKUP(N2884,DATA!$K$4:$L$51,2,FALSE),"")</f>
        <v/>
      </c>
    </row>
    <row r="2885" spans="5:15">
      <c r="E2885" s="584"/>
      <c r="F2885" s="556" t="str">
        <f>IFERROR(VLOOKUP(E2885,STAT1!$C$4:$D$8000,2,FALSE),"")</f>
        <v/>
      </c>
      <c r="O2885" s="154" t="str">
        <f>IFERROR(VLOOKUP(N2885,DATA!$K$4:$L$51,2,FALSE),"")</f>
        <v/>
      </c>
    </row>
    <row r="2886" spans="5:15">
      <c r="E2886" s="584"/>
      <c r="F2886" s="556" t="str">
        <f>IFERROR(VLOOKUP(E2886,STAT1!$C$4:$D$8000,2,FALSE),"")</f>
        <v/>
      </c>
      <c r="O2886" s="154" t="str">
        <f>IFERROR(VLOOKUP(N2886,DATA!$K$4:$L$51,2,FALSE),"")</f>
        <v/>
      </c>
    </row>
    <row r="2887" spans="5:15">
      <c r="E2887" s="584"/>
      <c r="F2887" s="556" t="str">
        <f>IFERROR(VLOOKUP(E2887,STAT1!$C$4:$D$8000,2,FALSE),"")</f>
        <v/>
      </c>
      <c r="O2887" s="154" t="str">
        <f>IFERROR(VLOOKUP(N2887,DATA!$K$4:$L$51,2,FALSE),"")</f>
        <v/>
      </c>
    </row>
    <row r="2888" spans="5:15">
      <c r="E2888" s="584"/>
      <c r="F2888" s="556" t="str">
        <f>IFERROR(VLOOKUP(E2888,STAT1!$C$4:$D$8000,2,FALSE),"")</f>
        <v/>
      </c>
      <c r="O2888" s="154" t="str">
        <f>IFERROR(VLOOKUP(N2888,DATA!$K$4:$L$51,2,FALSE),"")</f>
        <v/>
      </c>
    </row>
    <row r="2889" spans="5:15">
      <c r="E2889" s="584"/>
      <c r="F2889" s="556" t="str">
        <f>IFERROR(VLOOKUP(E2889,STAT1!$C$4:$D$8000,2,FALSE),"")</f>
        <v/>
      </c>
      <c r="O2889" s="154" t="str">
        <f>IFERROR(VLOOKUP(N2889,DATA!$K$4:$L$51,2,FALSE),"")</f>
        <v/>
      </c>
    </row>
    <row r="2890" spans="5:15">
      <c r="E2890" s="584"/>
      <c r="F2890" s="556" t="str">
        <f>IFERROR(VLOOKUP(E2890,STAT1!$C$4:$D$8000,2,FALSE),"")</f>
        <v/>
      </c>
      <c r="O2890" s="154" t="str">
        <f>IFERROR(VLOOKUP(N2890,DATA!$K$4:$L$51,2,FALSE),"")</f>
        <v/>
      </c>
    </row>
    <row r="2891" spans="5:15">
      <c r="E2891" s="584"/>
      <c r="F2891" s="556" t="str">
        <f>IFERROR(VLOOKUP(E2891,STAT1!$C$4:$D$8000,2,FALSE),"")</f>
        <v/>
      </c>
      <c r="O2891" s="154" t="str">
        <f>IFERROR(VLOOKUP(N2891,DATA!$K$4:$L$51,2,FALSE),"")</f>
        <v/>
      </c>
    </row>
    <row r="2892" spans="5:15">
      <c r="E2892" s="584"/>
      <c r="F2892" s="556" t="str">
        <f>IFERROR(VLOOKUP(E2892,STAT1!$C$4:$D$8000,2,FALSE),"")</f>
        <v/>
      </c>
      <c r="O2892" s="154" t="str">
        <f>IFERROR(VLOOKUP(N2892,DATA!$K$4:$L$51,2,FALSE),"")</f>
        <v/>
      </c>
    </row>
    <row r="2893" spans="5:15">
      <c r="E2893" s="584"/>
      <c r="F2893" s="556" t="str">
        <f>IFERROR(VLOOKUP(E2893,STAT1!$C$4:$D$8000,2,FALSE),"")</f>
        <v/>
      </c>
      <c r="O2893" s="154" t="str">
        <f>IFERROR(VLOOKUP(N2893,DATA!$K$4:$L$51,2,FALSE),"")</f>
        <v/>
      </c>
    </row>
    <row r="2894" spans="5:15">
      <c r="E2894" s="584"/>
      <c r="F2894" s="556" t="str">
        <f>IFERROR(VLOOKUP(E2894,STAT1!$C$4:$D$8000,2,FALSE),"")</f>
        <v/>
      </c>
      <c r="O2894" s="154" t="str">
        <f>IFERROR(VLOOKUP(N2894,DATA!$K$4:$L$51,2,FALSE),"")</f>
        <v/>
      </c>
    </row>
    <row r="2895" spans="5:15">
      <c r="E2895" s="584"/>
      <c r="F2895" s="556" t="str">
        <f>IFERROR(VLOOKUP(E2895,STAT1!$C$4:$D$8000,2,FALSE),"")</f>
        <v/>
      </c>
      <c r="O2895" s="154" t="str">
        <f>IFERROR(VLOOKUP(N2895,DATA!$K$4:$L$51,2,FALSE),"")</f>
        <v/>
      </c>
    </row>
    <row r="2896" spans="5:15">
      <c r="E2896" s="584"/>
      <c r="F2896" s="556" t="str">
        <f>IFERROR(VLOOKUP(E2896,STAT1!$C$4:$D$8000,2,FALSE),"")</f>
        <v/>
      </c>
      <c r="O2896" s="154" t="str">
        <f>IFERROR(VLOOKUP(N2896,DATA!$K$4:$L$51,2,FALSE),"")</f>
        <v/>
      </c>
    </row>
    <row r="2897" spans="5:15">
      <c r="E2897" s="584"/>
      <c r="F2897" s="556" t="str">
        <f>IFERROR(VLOOKUP(E2897,STAT1!$C$4:$D$8000,2,FALSE),"")</f>
        <v/>
      </c>
      <c r="O2897" s="154" t="str">
        <f>IFERROR(VLOOKUP(N2897,DATA!$K$4:$L$51,2,FALSE),"")</f>
        <v/>
      </c>
    </row>
    <row r="2898" spans="5:15">
      <c r="E2898" s="584"/>
      <c r="F2898" s="556" t="str">
        <f>IFERROR(VLOOKUP(E2898,STAT1!$C$4:$D$8000,2,FALSE),"")</f>
        <v/>
      </c>
      <c r="O2898" s="154" t="str">
        <f>IFERROR(VLOOKUP(N2898,DATA!$K$4:$L$51,2,FALSE),"")</f>
        <v/>
      </c>
    </row>
    <row r="2899" spans="5:15">
      <c r="E2899" s="584"/>
      <c r="F2899" s="556" t="str">
        <f>IFERROR(VLOOKUP(E2899,STAT1!$C$4:$D$8000,2,FALSE),"")</f>
        <v/>
      </c>
      <c r="O2899" s="154" t="str">
        <f>IFERROR(VLOOKUP(N2899,DATA!$K$4:$L$51,2,FALSE),"")</f>
        <v/>
      </c>
    </row>
    <row r="2900" spans="5:15">
      <c r="E2900" s="584"/>
      <c r="F2900" s="556" t="str">
        <f>IFERROR(VLOOKUP(E2900,STAT1!$C$4:$D$8000,2,FALSE),"")</f>
        <v/>
      </c>
      <c r="O2900" s="154" t="str">
        <f>IFERROR(VLOOKUP(N2900,DATA!$K$4:$L$51,2,FALSE),"")</f>
        <v/>
      </c>
    </row>
    <row r="2901" spans="5:15">
      <c r="E2901" s="584"/>
      <c r="F2901" s="556" t="str">
        <f>IFERROR(VLOOKUP(E2901,STAT1!$C$4:$D$8000,2,FALSE),"")</f>
        <v/>
      </c>
      <c r="O2901" s="154" t="str">
        <f>IFERROR(VLOOKUP(N2901,DATA!$K$4:$L$51,2,FALSE),"")</f>
        <v/>
      </c>
    </row>
    <row r="2902" spans="5:15">
      <c r="E2902" s="584"/>
      <c r="F2902" s="556" t="str">
        <f>IFERROR(VLOOKUP(E2902,STAT1!$C$4:$D$8000,2,FALSE),"")</f>
        <v/>
      </c>
      <c r="O2902" s="154" t="str">
        <f>IFERROR(VLOOKUP(N2902,DATA!$K$4:$L$51,2,FALSE),"")</f>
        <v/>
      </c>
    </row>
    <row r="2903" spans="5:15">
      <c r="E2903" s="584"/>
      <c r="F2903" s="556" t="str">
        <f>IFERROR(VLOOKUP(E2903,STAT1!$C$4:$D$8000,2,FALSE),"")</f>
        <v/>
      </c>
      <c r="O2903" s="154" t="str">
        <f>IFERROR(VLOOKUP(N2903,DATA!$K$4:$L$51,2,FALSE),"")</f>
        <v/>
      </c>
    </row>
    <row r="2904" spans="5:15">
      <c r="E2904" s="584"/>
      <c r="F2904" s="556" t="str">
        <f>IFERROR(VLOOKUP(E2904,STAT1!$C$4:$D$8000,2,FALSE),"")</f>
        <v/>
      </c>
      <c r="O2904" s="154" t="str">
        <f>IFERROR(VLOOKUP(N2904,DATA!$K$4:$L$51,2,FALSE),"")</f>
        <v/>
      </c>
    </row>
    <row r="2905" spans="5:15">
      <c r="E2905" s="584"/>
      <c r="F2905" s="556" t="str">
        <f>IFERROR(VLOOKUP(E2905,STAT1!$C$4:$D$8000,2,FALSE),"")</f>
        <v/>
      </c>
      <c r="O2905" s="154" t="str">
        <f>IFERROR(VLOOKUP(N2905,DATA!$K$4:$L$51,2,FALSE),"")</f>
        <v/>
      </c>
    </row>
    <row r="2906" spans="5:15">
      <c r="E2906" s="584"/>
      <c r="F2906" s="556" t="str">
        <f>IFERROR(VLOOKUP(E2906,STAT1!$C$4:$D$8000,2,FALSE),"")</f>
        <v/>
      </c>
      <c r="O2906" s="154" t="str">
        <f>IFERROR(VLOOKUP(N2906,DATA!$K$4:$L$51,2,FALSE),"")</f>
        <v/>
      </c>
    </row>
    <row r="2907" spans="5:15">
      <c r="E2907" s="584"/>
      <c r="F2907" s="556" t="str">
        <f>IFERROR(VLOOKUP(E2907,STAT1!$C$4:$D$8000,2,FALSE),"")</f>
        <v/>
      </c>
      <c r="O2907" s="154" t="str">
        <f>IFERROR(VLOOKUP(N2907,DATA!$K$4:$L$51,2,FALSE),"")</f>
        <v/>
      </c>
    </row>
    <row r="2908" spans="5:15">
      <c r="E2908" s="584"/>
      <c r="F2908" s="556" t="str">
        <f>IFERROR(VLOOKUP(E2908,STAT1!$C$4:$D$8000,2,FALSE),"")</f>
        <v/>
      </c>
      <c r="O2908" s="154" t="str">
        <f>IFERROR(VLOOKUP(N2908,DATA!$K$4:$L$51,2,FALSE),"")</f>
        <v/>
      </c>
    </row>
    <row r="2909" spans="5:15">
      <c r="E2909" s="584"/>
      <c r="F2909" s="556" t="str">
        <f>IFERROR(VLOOKUP(E2909,STAT1!$C$4:$D$8000,2,FALSE),"")</f>
        <v/>
      </c>
      <c r="O2909" s="154" t="str">
        <f>IFERROR(VLOOKUP(N2909,DATA!$K$4:$L$51,2,FALSE),"")</f>
        <v/>
      </c>
    </row>
    <row r="2910" spans="5:15">
      <c r="E2910" s="584"/>
      <c r="F2910" s="556" t="str">
        <f>IFERROR(VLOOKUP(E2910,STAT1!$C$4:$D$8000,2,FALSE),"")</f>
        <v/>
      </c>
      <c r="O2910" s="154" t="str">
        <f>IFERROR(VLOOKUP(N2910,DATA!$K$4:$L$51,2,FALSE),"")</f>
        <v/>
      </c>
    </row>
    <row r="2911" spans="5:15">
      <c r="E2911" s="584"/>
      <c r="F2911" s="556" t="str">
        <f>IFERROR(VLOOKUP(E2911,STAT1!$C$4:$D$8000,2,FALSE),"")</f>
        <v/>
      </c>
      <c r="O2911" s="154" t="str">
        <f>IFERROR(VLOOKUP(N2911,DATA!$K$4:$L$51,2,FALSE),"")</f>
        <v/>
      </c>
    </row>
    <row r="2912" spans="5:15">
      <c r="E2912" s="584"/>
      <c r="F2912" s="556" t="str">
        <f>IFERROR(VLOOKUP(E2912,STAT1!$C$4:$D$8000,2,FALSE),"")</f>
        <v/>
      </c>
      <c r="O2912" s="154" t="str">
        <f>IFERROR(VLOOKUP(N2912,DATA!$K$4:$L$51,2,FALSE),"")</f>
        <v/>
      </c>
    </row>
    <row r="2913" spans="5:15">
      <c r="E2913" s="584"/>
      <c r="F2913" s="556" t="str">
        <f>IFERROR(VLOOKUP(E2913,STAT1!$C$4:$D$8000,2,FALSE),"")</f>
        <v/>
      </c>
      <c r="O2913" s="154" t="str">
        <f>IFERROR(VLOOKUP(N2913,DATA!$K$4:$L$51,2,FALSE),"")</f>
        <v/>
      </c>
    </row>
    <row r="2914" spans="5:15">
      <c r="E2914" s="584"/>
      <c r="F2914" s="556" t="str">
        <f>IFERROR(VLOOKUP(E2914,STAT1!$C$4:$D$8000,2,FALSE),"")</f>
        <v/>
      </c>
      <c r="O2914" s="154" t="str">
        <f>IFERROR(VLOOKUP(N2914,DATA!$K$4:$L$51,2,FALSE),"")</f>
        <v/>
      </c>
    </row>
    <row r="2915" spans="5:15">
      <c r="E2915" s="584"/>
      <c r="F2915" s="556" t="str">
        <f>IFERROR(VLOOKUP(E2915,STAT1!$C$4:$D$8000,2,FALSE),"")</f>
        <v/>
      </c>
      <c r="O2915" s="154" t="str">
        <f>IFERROR(VLOOKUP(N2915,DATA!$K$4:$L$51,2,FALSE),"")</f>
        <v/>
      </c>
    </row>
    <row r="2916" spans="5:15">
      <c r="E2916" s="584"/>
      <c r="F2916" s="556" t="str">
        <f>IFERROR(VLOOKUP(E2916,STAT1!$C$4:$D$8000,2,FALSE),"")</f>
        <v/>
      </c>
      <c r="O2916" s="154" t="str">
        <f>IFERROR(VLOOKUP(N2916,DATA!$K$4:$L$51,2,FALSE),"")</f>
        <v/>
      </c>
    </row>
    <row r="2917" spans="5:15">
      <c r="E2917" s="584"/>
      <c r="F2917" s="556" t="str">
        <f>IFERROR(VLOOKUP(E2917,STAT1!$C$4:$D$8000,2,FALSE),"")</f>
        <v/>
      </c>
      <c r="O2917" s="154" t="str">
        <f>IFERROR(VLOOKUP(N2917,DATA!$K$4:$L$51,2,FALSE),"")</f>
        <v/>
      </c>
    </row>
    <row r="2918" spans="5:15">
      <c r="E2918" s="584"/>
      <c r="F2918" s="556" t="str">
        <f>IFERROR(VLOOKUP(E2918,STAT1!$C$4:$D$8000,2,FALSE),"")</f>
        <v/>
      </c>
      <c r="O2918" s="154" t="str">
        <f>IFERROR(VLOOKUP(N2918,DATA!$K$4:$L$51,2,FALSE),"")</f>
        <v/>
      </c>
    </row>
    <row r="2919" spans="5:15">
      <c r="E2919" s="584"/>
      <c r="F2919" s="556" t="str">
        <f>IFERROR(VLOOKUP(E2919,STAT1!$C$4:$D$8000,2,FALSE),"")</f>
        <v/>
      </c>
      <c r="O2919" s="154" t="str">
        <f>IFERROR(VLOOKUP(N2919,DATA!$K$4:$L$51,2,FALSE),"")</f>
        <v/>
      </c>
    </row>
    <row r="2920" spans="5:15">
      <c r="E2920" s="584"/>
      <c r="F2920" s="556" t="str">
        <f>IFERROR(VLOOKUP(E2920,STAT1!$C$4:$D$8000,2,FALSE),"")</f>
        <v/>
      </c>
      <c r="O2920" s="154" t="str">
        <f>IFERROR(VLOOKUP(N2920,DATA!$K$4:$L$51,2,FALSE),"")</f>
        <v/>
      </c>
    </row>
    <row r="2921" spans="5:15">
      <c r="E2921" s="584"/>
      <c r="F2921" s="556" t="str">
        <f>IFERROR(VLOOKUP(E2921,STAT1!$C$4:$D$8000,2,FALSE),"")</f>
        <v/>
      </c>
      <c r="O2921" s="154" t="str">
        <f>IFERROR(VLOOKUP(N2921,DATA!$K$4:$L$51,2,FALSE),"")</f>
        <v/>
      </c>
    </row>
    <row r="2922" spans="5:15">
      <c r="E2922" s="584"/>
      <c r="F2922" s="556" t="str">
        <f>IFERROR(VLOOKUP(E2922,STAT1!$C$4:$D$8000,2,FALSE),"")</f>
        <v/>
      </c>
      <c r="O2922" s="154" t="str">
        <f>IFERROR(VLOOKUP(N2922,DATA!$K$4:$L$51,2,FALSE),"")</f>
        <v/>
      </c>
    </row>
    <row r="2923" spans="5:15">
      <c r="E2923" s="584"/>
      <c r="F2923" s="556" t="str">
        <f>IFERROR(VLOOKUP(E2923,STAT1!$C$4:$D$8000,2,FALSE),"")</f>
        <v/>
      </c>
      <c r="O2923" s="154" t="str">
        <f>IFERROR(VLOOKUP(N2923,DATA!$K$4:$L$51,2,FALSE),"")</f>
        <v/>
      </c>
    </row>
    <row r="2924" spans="5:15">
      <c r="E2924" s="584"/>
      <c r="F2924" s="556" t="str">
        <f>IFERROR(VLOOKUP(E2924,STAT1!$C$4:$D$8000,2,FALSE),"")</f>
        <v/>
      </c>
      <c r="O2924" s="154" t="str">
        <f>IFERROR(VLOOKUP(N2924,DATA!$K$4:$L$51,2,FALSE),"")</f>
        <v/>
      </c>
    </row>
    <row r="2925" spans="5:15">
      <c r="E2925" s="584"/>
      <c r="F2925" s="556" t="str">
        <f>IFERROR(VLOOKUP(E2925,STAT1!$C$4:$D$8000,2,FALSE),"")</f>
        <v/>
      </c>
      <c r="O2925" s="154" t="str">
        <f>IFERROR(VLOOKUP(N2925,DATA!$K$4:$L$51,2,FALSE),"")</f>
        <v/>
      </c>
    </row>
    <row r="2926" spans="5:15">
      <c r="E2926" s="584"/>
      <c r="F2926" s="556" t="str">
        <f>IFERROR(VLOOKUP(E2926,STAT1!$C$4:$D$8000,2,FALSE),"")</f>
        <v/>
      </c>
      <c r="O2926" s="154" t="str">
        <f>IFERROR(VLOOKUP(N2926,DATA!$K$4:$L$51,2,FALSE),"")</f>
        <v/>
      </c>
    </row>
    <row r="2927" spans="5:15">
      <c r="E2927" s="584"/>
      <c r="F2927" s="556" t="str">
        <f>IFERROR(VLOOKUP(E2927,STAT1!$C$4:$D$8000,2,FALSE),"")</f>
        <v/>
      </c>
      <c r="O2927" s="154" t="str">
        <f>IFERROR(VLOOKUP(N2927,DATA!$K$4:$L$51,2,FALSE),"")</f>
        <v/>
      </c>
    </row>
    <row r="2928" spans="5:15">
      <c r="E2928" s="584"/>
      <c r="F2928" s="556" t="str">
        <f>IFERROR(VLOOKUP(E2928,STAT1!$C$4:$D$8000,2,FALSE),"")</f>
        <v/>
      </c>
      <c r="O2928" s="154" t="str">
        <f>IFERROR(VLOOKUP(N2928,DATA!$K$4:$L$51,2,FALSE),"")</f>
        <v/>
      </c>
    </row>
    <row r="2929" spans="5:15">
      <c r="E2929" s="584"/>
      <c r="F2929" s="556" t="str">
        <f>IFERROR(VLOOKUP(E2929,STAT1!$C$4:$D$8000,2,FALSE),"")</f>
        <v/>
      </c>
      <c r="O2929" s="154" t="str">
        <f>IFERROR(VLOOKUP(N2929,DATA!$K$4:$L$51,2,FALSE),"")</f>
        <v/>
      </c>
    </row>
    <row r="2930" spans="5:15">
      <c r="E2930" s="584"/>
      <c r="F2930" s="556" t="str">
        <f>IFERROR(VLOOKUP(E2930,STAT1!$C$4:$D$8000,2,FALSE),"")</f>
        <v/>
      </c>
      <c r="O2930" s="154" t="str">
        <f>IFERROR(VLOOKUP(N2930,DATA!$K$4:$L$51,2,FALSE),"")</f>
        <v/>
      </c>
    </row>
    <row r="2931" spans="5:15">
      <c r="E2931" s="584"/>
      <c r="F2931" s="556" t="str">
        <f>IFERROR(VLOOKUP(E2931,STAT1!$C$4:$D$8000,2,FALSE),"")</f>
        <v/>
      </c>
      <c r="O2931" s="154" t="str">
        <f>IFERROR(VLOOKUP(N2931,DATA!$K$4:$L$51,2,FALSE),"")</f>
        <v/>
      </c>
    </row>
    <row r="2932" spans="5:15">
      <c r="E2932" s="584"/>
      <c r="F2932" s="556" t="str">
        <f>IFERROR(VLOOKUP(E2932,STAT1!$C$4:$D$8000,2,FALSE),"")</f>
        <v/>
      </c>
      <c r="O2932" s="154" t="str">
        <f>IFERROR(VLOOKUP(N2932,DATA!$K$4:$L$51,2,FALSE),"")</f>
        <v/>
      </c>
    </row>
    <row r="2933" spans="5:15">
      <c r="E2933" s="584"/>
      <c r="F2933" s="556" t="str">
        <f>IFERROR(VLOOKUP(E2933,STAT1!$C$4:$D$8000,2,FALSE),"")</f>
        <v/>
      </c>
      <c r="O2933" s="154" t="str">
        <f>IFERROR(VLOOKUP(N2933,DATA!$K$4:$L$51,2,FALSE),"")</f>
        <v/>
      </c>
    </row>
    <row r="2934" spans="5:15">
      <c r="E2934" s="584"/>
      <c r="F2934" s="556" t="str">
        <f>IFERROR(VLOOKUP(E2934,STAT1!$C$4:$D$8000,2,FALSE),"")</f>
        <v/>
      </c>
      <c r="O2934" s="154" t="str">
        <f>IFERROR(VLOOKUP(N2934,DATA!$K$4:$L$51,2,FALSE),"")</f>
        <v/>
      </c>
    </row>
    <row r="2935" spans="5:15">
      <c r="E2935" s="584"/>
      <c r="F2935" s="556" t="str">
        <f>IFERROR(VLOOKUP(E2935,STAT1!$C$4:$D$8000,2,FALSE),"")</f>
        <v/>
      </c>
      <c r="O2935" s="154" t="str">
        <f>IFERROR(VLOOKUP(N2935,DATA!$K$4:$L$51,2,FALSE),"")</f>
        <v/>
      </c>
    </row>
    <row r="2936" spans="5:15">
      <c r="E2936" s="584"/>
      <c r="F2936" s="556" t="str">
        <f>IFERROR(VLOOKUP(E2936,STAT1!$C$4:$D$8000,2,FALSE),"")</f>
        <v/>
      </c>
      <c r="O2936" s="154" t="str">
        <f>IFERROR(VLOOKUP(N2936,DATA!$K$4:$L$51,2,FALSE),"")</f>
        <v/>
      </c>
    </row>
    <row r="2937" spans="5:15">
      <c r="E2937" s="584"/>
      <c r="F2937" s="556" t="str">
        <f>IFERROR(VLOOKUP(E2937,STAT1!$C$4:$D$8000,2,FALSE),"")</f>
        <v/>
      </c>
      <c r="O2937" s="154" t="str">
        <f>IFERROR(VLOOKUP(N2937,DATA!$K$4:$L$51,2,FALSE),"")</f>
        <v/>
      </c>
    </row>
    <row r="2938" spans="5:15">
      <c r="E2938" s="584"/>
      <c r="F2938" s="556" t="str">
        <f>IFERROR(VLOOKUP(E2938,STAT1!$C$4:$D$8000,2,FALSE),"")</f>
        <v/>
      </c>
      <c r="O2938" s="154" t="str">
        <f>IFERROR(VLOOKUP(N2938,DATA!$K$4:$L$51,2,FALSE),"")</f>
        <v/>
      </c>
    </row>
    <row r="2939" spans="5:15">
      <c r="E2939" s="584"/>
      <c r="F2939" s="556" t="str">
        <f>IFERROR(VLOOKUP(E2939,STAT1!$C$4:$D$8000,2,FALSE),"")</f>
        <v/>
      </c>
      <c r="O2939" s="154" t="str">
        <f>IFERROR(VLOOKUP(N2939,DATA!$K$4:$L$51,2,FALSE),"")</f>
        <v/>
      </c>
    </row>
    <row r="2940" spans="5:15">
      <c r="E2940" s="584"/>
      <c r="F2940" s="556" t="str">
        <f>IFERROR(VLOOKUP(E2940,STAT1!$C$4:$D$8000,2,FALSE),"")</f>
        <v/>
      </c>
      <c r="O2940" s="154" t="str">
        <f>IFERROR(VLOOKUP(N2940,DATA!$K$4:$L$51,2,FALSE),"")</f>
        <v/>
      </c>
    </row>
    <row r="2941" spans="5:15">
      <c r="E2941" s="584"/>
      <c r="F2941" s="556" t="str">
        <f>IFERROR(VLOOKUP(E2941,STAT1!$C$4:$D$8000,2,FALSE),"")</f>
        <v/>
      </c>
      <c r="O2941" s="154" t="str">
        <f>IFERROR(VLOOKUP(N2941,DATA!$K$4:$L$51,2,FALSE),"")</f>
        <v/>
      </c>
    </row>
    <row r="2942" spans="5:15">
      <c r="E2942" s="584"/>
      <c r="F2942" s="556" t="str">
        <f>IFERROR(VLOOKUP(E2942,STAT1!$C$4:$D$8000,2,FALSE),"")</f>
        <v/>
      </c>
      <c r="O2942" s="154" t="str">
        <f>IFERROR(VLOOKUP(N2942,DATA!$K$4:$L$51,2,FALSE),"")</f>
        <v/>
      </c>
    </row>
    <row r="2943" spans="5:15">
      <c r="E2943" s="584"/>
      <c r="F2943" s="556" t="str">
        <f>IFERROR(VLOOKUP(E2943,STAT1!$C$4:$D$8000,2,FALSE),"")</f>
        <v/>
      </c>
      <c r="O2943" s="154" t="str">
        <f>IFERROR(VLOOKUP(N2943,DATA!$K$4:$L$51,2,FALSE),"")</f>
        <v/>
      </c>
    </row>
    <row r="2944" spans="5:15">
      <c r="E2944" s="584"/>
      <c r="F2944" s="556" t="str">
        <f>IFERROR(VLOOKUP(E2944,STAT1!$C$4:$D$8000,2,FALSE),"")</f>
        <v/>
      </c>
      <c r="O2944" s="154" t="str">
        <f>IFERROR(VLOOKUP(N2944,DATA!$K$4:$L$51,2,FALSE),"")</f>
        <v/>
      </c>
    </row>
    <row r="2945" spans="5:15">
      <c r="E2945" s="584"/>
      <c r="F2945" s="556" t="str">
        <f>IFERROR(VLOOKUP(E2945,STAT1!$C$4:$D$8000,2,FALSE),"")</f>
        <v/>
      </c>
      <c r="O2945" s="154" t="str">
        <f>IFERROR(VLOOKUP(N2945,DATA!$K$4:$L$51,2,FALSE),"")</f>
        <v/>
      </c>
    </row>
    <row r="2946" spans="5:15">
      <c r="E2946" s="584"/>
      <c r="F2946" s="556" t="str">
        <f>IFERROR(VLOOKUP(E2946,STAT1!$C$4:$D$8000,2,FALSE),"")</f>
        <v/>
      </c>
      <c r="O2946" s="154" t="str">
        <f>IFERROR(VLOOKUP(N2946,DATA!$K$4:$L$51,2,FALSE),"")</f>
        <v/>
      </c>
    </row>
    <row r="2947" spans="5:15">
      <c r="E2947" s="584"/>
      <c r="F2947" s="556" t="str">
        <f>IFERROR(VLOOKUP(E2947,STAT1!$C$4:$D$8000,2,FALSE),"")</f>
        <v/>
      </c>
      <c r="O2947" s="154" t="str">
        <f>IFERROR(VLOOKUP(N2947,DATA!$K$4:$L$51,2,FALSE),"")</f>
        <v/>
      </c>
    </row>
    <row r="2948" spans="5:15">
      <c r="E2948" s="584"/>
      <c r="F2948" s="556" t="str">
        <f>IFERROR(VLOOKUP(E2948,STAT1!$C$4:$D$8000,2,FALSE),"")</f>
        <v/>
      </c>
      <c r="O2948" s="154" t="str">
        <f>IFERROR(VLOOKUP(N2948,DATA!$K$4:$L$51,2,FALSE),"")</f>
        <v/>
      </c>
    </row>
    <row r="2949" spans="5:15">
      <c r="E2949" s="584"/>
      <c r="F2949" s="556" t="str">
        <f>IFERROR(VLOOKUP(E2949,STAT1!$C$4:$D$8000,2,FALSE),"")</f>
        <v/>
      </c>
      <c r="O2949" s="154" t="str">
        <f>IFERROR(VLOOKUP(N2949,DATA!$K$4:$L$51,2,FALSE),"")</f>
        <v/>
      </c>
    </row>
    <row r="2950" spans="5:15">
      <c r="E2950" s="584"/>
      <c r="F2950" s="556" t="str">
        <f>IFERROR(VLOOKUP(E2950,STAT1!$C$4:$D$8000,2,FALSE),"")</f>
        <v/>
      </c>
      <c r="O2950" s="154" t="str">
        <f>IFERROR(VLOOKUP(N2950,DATA!$K$4:$L$51,2,FALSE),"")</f>
        <v/>
      </c>
    </row>
    <row r="2951" spans="5:15">
      <c r="E2951" s="584"/>
      <c r="F2951" s="556" t="str">
        <f>IFERROR(VLOOKUP(E2951,STAT1!$C$4:$D$8000,2,FALSE),"")</f>
        <v/>
      </c>
      <c r="O2951" s="154" t="str">
        <f>IFERROR(VLOOKUP(N2951,DATA!$K$4:$L$51,2,FALSE),"")</f>
        <v/>
      </c>
    </row>
    <row r="2952" spans="5:15">
      <c r="E2952" s="584"/>
      <c r="F2952" s="556" t="str">
        <f>IFERROR(VLOOKUP(E2952,STAT1!$C$4:$D$8000,2,FALSE),"")</f>
        <v/>
      </c>
      <c r="O2952" s="154" t="str">
        <f>IFERROR(VLOOKUP(N2952,DATA!$K$4:$L$51,2,FALSE),"")</f>
        <v/>
      </c>
    </row>
    <row r="2953" spans="5:15">
      <c r="E2953" s="584"/>
      <c r="F2953" s="556" t="str">
        <f>IFERROR(VLOOKUP(E2953,STAT1!$C$4:$D$8000,2,FALSE),"")</f>
        <v/>
      </c>
      <c r="O2953" s="154" t="str">
        <f>IFERROR(VLOOKUP(N2953,DATA!$K$4:$L$51,2,FALSE),"")</f>
        <v/>
      </c>
    </row>
    <row r="2954" spans="5:15">
      <c r="E2954" s="584"/>
      <c r="F2954" s="556" t="str">
        <f>IFERROR(VLOOKUP(E2954,STAT1!$C$4:$D$8000,2,FALSE),"")</f>
        <v/>
      </c>
      <c r="O2954" s="154" t="str">
        <f>IFERROR(VLOOKUP(N2954,DATA!$K$4:$L$51,2,FALSE),"")</f>
        <v/>
      </c>
    </row>
    <row r="2955" spans="5:15">
      <c r="E2955" s="584"/>
      <c r="F2955" s="556" t="str">
        <f>IFERROR(VLOOKUP(E2955,STAT1!$C$4:$D$8000,2,FALSE),"")</f>
        <v/>
      </c>
      <c r="O2955" s="154" t="str">
        <f>IFERROR(VLOOKUP(N2955,DATA!$K$4:$L$51,2,FALSE),"")</f>
        <v/>
      </c>
    </row>
    <row r="2956" spans="5:15">
      <c r="E2956" s="584"/>
      <c r="F2956" s="556" t="str">
        <f>IFERROR(VLOOKUP(E2956,STAT1!$C$4:$D$8000,2,FALSE),"")</f>
        <v/>
      </c>
      <c r="O2956" s="154" t="str">
        <f>IFERROR(VLOOKUP(N2956,DATA!$K$4:$L$51,2,FALSE),"")</f>
        <v/>
      </c>
    </row>
    <row r="2957" spans="5:15">
      <c r="E2957" s="584"/>
      <c r="F2957" s="556" t="str">
        <f>IFERROR(VLOOKUP(E2957,STAT1!$C$4:$D$8000,2,FALSE),"")</f>
        <v/>
      </c>
      <c r="O2957" s="154" t="str">
        <f>IFERROR(VLOOKUP(N2957,DATA!$K$4:$L$51,2,FALSE),"")</f>
        <v/>
      </c>
    </row>
    <row r="2958" spans="5:15">
      <c r="E2958" s="584"/>
      <c r="F2958" s="556" t="str">
        <f>IFERROR(VLOOKUP(E2958,STAT1!$C$4:$D$8000,2,FALSE),"")</f>
        <v/>
      </c>
      <c r="O2958" s="154" t="str">
        <f>IFERROR(VLOOKUP(N2958,DATA!$K$4:$L$51,2,FALSE),"")</f>
        <v/>
      </c>
    </row>
    <row r="2959" spans="5:15">
      <c r="E2959" s="584"/>
      <c r="F2959" s="556" t="str">
        <f>IFERROR(VLOOKUP(E2959,STAT1!$C$4:$D$8000,2,FALSE),"")</f>
        <v/>
      </c>
      <c r="O2959" s="154" t="str">
        <f>IFERROR(VLOOKUP(N2959,DATA!$K$4:$L$51,2,FALSE),"")</f>
        <v/>
      </c>
    </row>
    <row r="2960" spans="5:15">
      <c r="E2960" s="584"/>
      <c r="F2960" s="556" t="str">
        <f>IFERROR(VLOOKUP(E2960,STAT1!$C$4:$D$8000,2,FALSE),"")</f>
        <v/>
      </c>
      <c r="O2960" s="154" t="str">
        <f>IFERROR(VLOOKUP(N2960,DATA!$K$4:$L$51,2,FALSE),"")</f>
        <v/>
      </c>
    </row>
    <row r="2961" spans="5:15">
      <c r="E2961" s="584"/>
      <c r="F2961" s="556" t="str">
        <f>IFERROR(VLOOKUP(E2961,STAT1!$C$4:$D$8000,2,FALSE),"")</f>
        <v/>
      </c>
      <c r="O2961" s="154" t="str">
        <f>IFERROR(VLOOKUP(N2961,DATA!$K$4:$L$51,2,FALSE),"")</f>
        <v/>
      </c>
    </row>
    <row r="2962" spans="5:15">
      <c r="E2962" s="584"/>
      <c r="F2962" s="556" t="str">
        <f>IFERROR(VLOOKUP(E2962,STAT1!$C$4:$D$8000,2,FALSE),"")</f>
        <v/>
      </c>
      <c r="O2962" s="154" t="str">
        <f>IFERROR(VLOOKUP(N2962,DATA!$K$4:$L$51,2,FALSE),"")</f>
        <v/>
      </c>
    </row>
    <row r="2963" spans="5:15">
      <c r="E2963" s="584"/>
      <c r="F2963" s="556" t="str">
        <f>IFERROR(VLOOKUP(E2963,STAT1!$C$4:$D$8000,2,FALSE),"")</f>
        <v/>
      </c>
      <c r="O2963" s="154" t="str">
        <f>IFERROR(VLOOKUP(N2963,DATA!$K$4:$L$51,2,FALSE),"")</f>
        <v/>
      </c>
    </row>
    <row r="2964" spans="5:15">
      <c r="E2964" s="584"/>
      <c r="F2964" s="556" t="str">
        <f>IFERROR(VLOOKUP(E2964,STAT1!$C$4:$D$8000,2,FALSE),"")</f>
        <v/>
      </c>
      <c r="O2964" s="154" t="str">
        <f>IFERROR(VLOOKUP(N2964,DATA!$K$4:$L$51,2,FALSE),"")</f>
        <v/>
      </c>
    </row>
    <row r="2965" spans="5:15">
      <c r="E2965" s="584"/>
      <c r="F2965" s="556" t="str">
        <f>IFERROR(VLOOKUP(E2965,STAT1!$C$4:$D$8000,2,FALSE),"")</f>
        <v/>
      </c>
      <c r="O2965" s="154" t="str">
        <f>IFERROR(VLOOKUP(N2965,DATA!$K$4:$L$51,2,FALSE),"")</f>
        <v/>
      </c>
    </row>
    <row r="2966" spans="5:15">
      <c r="E2966" s="584"/>
      <c r="F2966" s="556" t="str">
        <f>IFERROR(VLOOKUP(E2966,STAT1!$C$4:$D$8000,2,FALSE),"")</f>
        <v/>
      </c>
      <c r="O2966" s="154" t="str">
        <f>IFERROR(VLOOKUP(N2966,DATA!$K$4:$L$51,2,FALSE),"")</f>
        <v/>
      </c>
    </row>
    <row r="2967" spans="5:15">
      <c r="E2967" s="584"/>
      <c r="F2967" s="556" t="str">
        <f>IFERROR(VLOOKUP(E2967,STAT1!$C$4:$D$8000,2,FALSE),"")</f>
        <v/>
      </c>
      <c r="O2967" s="154" t="str">
        <f>IFERROR(VLOOKUP(N2967,DATA!$K$4:$L$51,2,FALSE),"")</f>
        <v/>
      </c>
    </row>
    <row r="2968" spans="5:15">
      <c r="E2968" s="584"/>
      <c r="F2968" s="556" t="str">
        <f>IFERROR(VLOOKUP(E2968,STAT1!$C$4:$D$8000,2,FALSE),"")</f>
        <v/>
      </c>
      <c r="O2968" s="154" t="str">
        <f>IFERROR(VLOOKUP(N2968,DATA!$K$4:$L$51,2,FALSE),"")</f>
        <v/>
      </c>
    </row>
    <row r="2969" spans="5:15">
      <c r="E2969" s="584"/>
      <c r="F2969" s="556" t="str">
        <f>IFERROR(VLOOKUP(E2969,STAT1!$C$4:$D$8000,2,FALSE),"")</f>
        <v/>
      </c>
      <c r="O2969" s="154" t="str">
        <f>IFERROR(VLOOKUP(N2969,DATA!$K$4:$L$51,2,FALSE),"")</f>
        <v/>
      </c>
    </row>
    <row r="2970" spans="5:15">
      <c r="E2970" s="584"/>
      <c r="F2970" s="556" t="str">
        <f>IFERROR(VLOOKUP(E2970,STAT1!$C$4:$D$8000,2,FALSE),"")</f>
        <v/>
      </c>
      <c r="O2970" s="154" t="str">
        <f>IFERROR(VLOOKUP(N2970,DATA!$K$4:$L$51,2,FALSE),"")</f>
        <v/>
      </c>
    </row>
    <row r="2971" spans="5:15">
      <c r="E2971" s="584"/>
      <c r="F2971" s="556" t="str">
        <f>IFERROR(VLOOKUP(E2971,STAT1!$C$4:$D$8000,2,FALSE),"")</f>
        <v/>
      </c>
      <c r="O2971" s="154" t="str">
        <f>IFERROR(VLOOKUP(N2971,DATA!$K$4:$L$51,2,FALSE),"")</f>
        <v/>
      </c>
    </row>
    <row r="2972" spans="5:15">
      <c r="E2972" s="584"/>
      <c r="F2972" s="556" t="str">
        <f>IFERROR(VLOOKUP(E2972,STAT1!$C$4:$D$8000,2,FALSE),"")</f>
        <v/>
      </c>
      <c r="O2972" s="154" t="str">
        <f>IFERROR(VLOOKUP(N2972,DATA!$K$4:$L$51,2,FALSE),"")</f>
        <v/>
      </c>
    </row>
    <row r="2973" spans="5:15">
      <c r="E2973" s="584"/>
      <c r="F2973" s="556" t="str">
        <f>IFERROR(VLOOKUP(E2973,STAT1!$C$4:$D$8000,2,FALSE),"")</f>
        <v/>
      </c>
      <c r="O2973" s="154" t="str">
        <f>IFERROR(VLOOKUP(N2973,DATA!$K$4:$L$51,2,FALSE),"")</f>
        <v/>
      </c>
    </row>
    <row r="2974" spans="5:15">
      <c r="E2974" s="584"/>
      <c r="F2974" s="556" t="str">
        <f>IFERROR(VLOOKUP(E2974,STAT1!$C$4:$D$8000,2,FALSE),"")</f>
        <v/>
      </c>
      <c r="O2974" s="154" t="str">
        <f>IFERROR(VLOOKUP(N2974,DATA!$K$4:$L$51,2,FALSE),"")</f>
        <v/>
      </c>
    </row>
    <row r="2975" spans="5:15">
      <c r="E2975" s="584"/>
      <c r="F2975" s="556" t="str">
        <f>IFERROR(VLOOKUP(E2975,STAT1!$C$4:$D$8000,2,FALSE),"")</f>
        <v/>
      </c>
      <c r="O2975" s="154" t="str">
        <f>IFERROR(VLOOKUP(N2975,DATA!$K$4:$L$51,2,FALSE),"")</f>
        <v/>
      </c>
    </row>
    <row r="2976" spans="5:15">
      <c r="E2976" s="584"/>
      <c r="F2976" s="556" t="str">
        <f>IFERROR(VLOOKUP(E2976,STAT1!$C$4:$D$8000,2,FALSE),"")</f>
        <v/>
      </c>
      <c r="O2976" s="154" t="str">
        <f>IFERROR(VLOOKUP(N2976,DATA!$K$4:$L$51,2,FALSE),"")</f>
        <v/>
      </c>
    </row>
    <row r="2977" spans="5:15">
      <c r="E2977" s="584"/>
      <c r="F2977" s="556" t="str">
        <f>IFERROR(VLOOKUP(E2977,STAT1!$C$4:$D$8000,2,FALSE),"")</f>
        <v/>
      </c>
      <c r="O2977" s="154" t="str">
        <f>IFERROR(VLOOKUP(N2977,DATA!$K$4:$L$51,2,FALSE),"")</f>
        <v/>
      </c>
    </row>
    <row r="2978" spans="5:15">
      <c r="E2978" s="584"/>
      <c r="F2978" s="556" t="str">
        <f>IFERROR(VLOOKUP(E2978,STAT1!$C$4:$D$8000,2,FALSE),"")</f>
        <v/>
      </c>
      <c r="O2978" s="154" t="str">
        <f>IFERROR(VLOOKUP(N2978,DATA!$K$4:$L$51,2,FALSE),"")</f>
        <v/>
      </c>
    </row>
    <row r="2979" spans="5:15">
      <c r="E2979" s="584"/>
      <c r="F2979" s="556" t="str">
        <f>IFERROR(VLOOKUP(E2979,STAT1!$C$4:$D$8000,2,FALSE),"")</f>
        <v/>
      </c>
      <c r="O2979" s="154" t="str">
        <f>IFERROR(VLOOKUP(N2979,DATA!$K$4:$L$51,2,FALSE),"")</f>
        <v/>
      </c>
    </row>
    <row r="2980" spans="5:15">
      <c r="E2980" s="584"/>
      <c r="F2980" s="556" t="str">
        <f>IFERROR(VLOOKUP(E2980,STAT1!$C$4:$D$8000,2,FALSE),"")</f>
        <v/>
      </c>
      <c r="O2980" s="154" t="str">
        <f>IFERROR(VLOOKUP(N2980,DATA!$K$4:$L$51,2,FALSE),"")</f>
        <v/>
      </c>
    </row>
    <row r="2981" spans="5:15">
      <c r="E2981" s="584"/>
      <c r="F2981" s="556" t="str">
        <f>IFERROR(VLOOKUP(E2981,STAT1!$C$4:$D$8000,2,FALSE),"")</f>
        <v/>
      </c>
      <c r="O2981" s="154" t="str">
        <f>IFERROR(VLOOKUP(N2981,DATA!$K$4:$L$51,2,FALSE),"")</f>
        <v/>
      </c>
    </row>
    <row r="2982" spans="5:15">
      <c r="E2982" s="584"/>
      <c r="F2982" s="556" t="str">
        <f>IFERROR(VLOOKUP(E2982,STAT1!$C$4:$D$8000,2,FALSE),"")</f>
        <v/>
      </c>
      <c r="O2982" s="154" t="str">
        <f>IFERROR(VLOOKUP(N2982,DATA!$K$4:$L$51,2,FALSE),"")</f>
        <v/>
      </c>
    </row>
    <row r="2983" spans="5:15">
      <c r="E2983" s="584"/>
      <c r="F2983" s="556" t="str">
        <f>IFERROR(VLOOKUP(E2983,STAT1!$C$4:$D$8000,2,FALSE),"")</f>
        <v/>
      </c>
      <c r="O2983" s="154" t="str">
        <f>IFERROR(VLOOKUP(N2983,DATA!$K$4:$L$51,2,FALSE),"")</f>
        <v/>
      </c>
    </row>
    <row r="2984" spans="5:15">
      <c r="E2984" s="584"/>
      <c r="F2984" s="556" t="str">
        <f>IFERROR(VLOOKUP(E2984,STAT1!$C$4:$D$8000,2,FALSE),"")</f>
        <v/>
      </c>
      <c r="O2984" s="154" t="str">
        <f>IFERROR(VLOOKUP(N2984,DATA!$K$4:$L$51,2,FALSE),"")</f>
        <v/>
      </c>
    </row>
    <row r="2985" spans="5:15">
      <c r="E2985" s="584"/>
      <c r="F2985" s="556" t="str">
        <f>IFERROR(VLOOKUP(E2985,STAT1!$C$4:$D$8000,2,FALSE),"")</f>
        <v/>
      </c>
      <c r="O2985" s="154" t="str">
        <f>IFERROR(VLOOKUP(N2985,DATA!$K$4:$L$51,2,FALSE),"")</f>
        <v/>
      </c>
    </row>
    <row r="2986" spans="5:15">
      <c r="E2986" s="584"/>
      <c r="F2986" s="556" t="str">
        <f>IFERROR(VLOOKUP(E2986,STAT1!$C$4:$D$8000,2,FALSE),"")</f>
        <v/>
      </c>
      <c r="O2986" s="154" t="str">
        <f>IFERROR(VLOOKUP(N2986,DATA!$K$4:$L$51,2,FALSE),"")</f>
        <v/>
      </c>
    </row>
    <row r="2987" spans="5:15">
      <c r="E2987" s="584"/>
      <c r="F2987" s="556" t="str">
        <f>IFERROR(VLOOKUP(E2987,STAT1!$C$4:$D$8000,2,FALSE),"")</f>
        <v/>
      </c>
      <c r="O2987" s="154" t="str">
        <f>IFERROR(VLOOKUP(N2987,DATA!$K$4:$L$51,2,FALSE),"")</f>
        <v/>
      </c>
    </row>
    <row r="2988" spans="5:15">
      <c r="E2988" s="584"/>
      <c r="F2988" s="556" t="str">
        <f>IFERROR(VLOOKUP(E2988,STAT1!$C$4:$D$8000,2,FALSE),"")</f>
        <v/>
      </c>
      <c r="O2988" s="154" t="str">
        <f>IFERROR(VLOOKUP(N2988,DATA!$K$4:$L$51,2,FALSE),"")</f>
        <v/>
      </c>
    </row>
    <row r="2989" spans="5:15">
      <c r="E2989" s="584"/>
      <c r="F2989" s="556" t="str">
        <f>IFERROR(VLOOKUP(E2989,STAT1!$C$4:$D$8000,2,FALSE),"")</f>
        <v/>
      </c>
      <c r="O2989" s="154" t="str">
        <f>IFERROR(VLOOKUP(N2989,DATA!$K$4:$L$51,2,FALSE),"")</f>
        <v/>
      </c>
    </row>
    <row r="2990" spans="5:15">
      <c r="E2990" s="584"/>
      <c r="F2990" s="556" t="str">
        <f>IFERROR(VLOOKUP(E2990,STAT1!$C$4:$D$8000,2,FALSE),"")</f>
        <v/>
      </c>
      <c r="O2990" s="154" t="str">
        <f>IFERROR(VLOOKUP(N2990,DATA!$K$4:$L$51,2,FALSE),"")</f>
        <v/>
      </c>
    </row>
    <row r="2991" spans="5:15">
      <c r="E2991" s="584"/>
      <c r="F2991" s="556" t="str">
        <f>IFERROR(VLOOKUP(E2991,STAT1!$C$4:$D$8000,2,FALSE),"")</f>
        <v/>
      </c>
      <c r="O2991" s="154" t="str">
        <f>IFERROR(VLOOKUP(N2991,DATA!$K$4:$L$51,2,FALSE),"")</f>
        <v/>
      </c>
    </row>
    <row r="2992" spans="5:15">
      <c r="E2992" s="584"/>
      <c r="F2992" s="556" t="str">
        <f>IFERROR(VLOOKUP(E2992,STAT1!$C$4:$D$8000,2,FALSE),"")</f>
        <v/>
      </c>
      <c r="O2992" s="154" t="str">
        <f>IFERROR(VLOOKUP(N2992,DATA!$K$4:$L$51,2,FALSE),"")</f>
        <v/>
      </c>
    </row>
    <row r="2993" spans="5:15">
      <c r="E2993" s="584"/>
      <c r="F2993" s="556" t="str">
        <f>IFERROR(VLOOKUP(E2993,STAT1!$C$4:$D$8000,2,FALSE),"")</f>
        <v/>
      </c>
      <c r="O2993" s="154" t="str">
        <f>IFERROR(VLOOKUP(N2993,DATA!$K$4:$L$51,2,FALSE),"")</f>
        <v/>
      </c>
    </row>
    <row r="2994" spans="5:15">
      <c r="E2994" s="584"/>
      <c r="F2994" s="556" t="str">
        <f>IFERROR(VLOOKUP(E2994,STAT1!$C$4:$D$8000,2,FALSE),"")</f>
        <v/>
      </c>
      <c r="O2994" s="154" t="str">
        <f>IFERROR(VLOOKUP(N2994,DATA!$K$4:$L$51,2,FALSE),"")</f>
        <v/>
      </c>
    </row>
    <row r="2995" spans="5:15">
      <c r="E2995" s="584"/>
      <c r="F2995" s="556" t="str">
        <f>IFERROR(VLOOKUP(E2995,STAT1!$C$4:$D$8000,2,FALSE),"")</f>
        <v/>
      </c>
      <c r="O2995" s="154" t="str">
        <f>IFERROR(VLOOKUP(N2995,DATA!$K$4:$L$51,2,FALSE),"")</f>
        <v/>
      </c>
    </row>
    <row r="2996" spans="5:15">
      <c r="E2996" s="584"/>
      <c r="F2996" s="556" t="str">
        <f>IFERROR(VLOOKUP(E2996,STAT1!$C$4:$D$8000,2,FALSE),"")</f>
        <v/>
      </c>
      <c r="O2996" s="154" t="str">
        <f>IFERROR(VLOOKUP(N2996,DATA!$K$4:$L$51,2,FALSE),"")</f>
        <v/>
      </c>
    </row>
    <row r="2997" spans="5:15">
      <c r="E2997" s="584"/>
      <c r="F2997" s="556" t="str">
        <f>IFERROR(VLOOKUP(E2997,STAT1!$C$4:$D$8000,2,FALSE),"")</f>
        <v/>
      </c>
      <c r="O2997" s="154" t="str">
        <f>IFERROR(VLOOKUP(N2997,DATA!$K$4:$L$51,2,FALSE),"")</f>
        <v/>
      </c>
    </row>
    <row r="2998" spans="5:15">
      <c r="E2998" s="584"/>
      <c r="F2998" s="556" t="str">
        <f>IFERROR(VLOOKUP(E2998,STAT1!$C$4:$D$8000,2,FALSE),"")</f>
        <v/>
      </c>
      <c r="O2998" s="154" t="str">
        <f>IFERROR(VLOOKUP(N2998,DATA!$K$4:$L$51,2,FALSE),"")</f>
        <v/>
      </c>
    </row>
    <row r="2999" spans="5:15">
      <c r="E2999" s="584"/>
      <c r="F2999" s="556" t="str">
        <f>IFERROR(VLOOKUP(E2999,STAT1!$C$4:$D$8000,2,FALSE),"")</f>
        <v/>
      </c>
      <c r="O2999" s="154" t="str">
        <f>IFERROR(VLOOKUP(N2999,DATA!$K$4:$L$51,2,FALSE),"")</f>
        <v/>
      </c>
    </row>
    <row r="3000" spans="5:15">
      <c r="E3000" s="584"/>
      <c r="F3000" s="556" t="str">
        <f>IFERROR(VLOOKUP(E3000,STAT1!$C$4:$D$8000,2,FALSE),"")</f>
        <v/>
      </c>
      <c r="O3000" s="154" t="str">
        <f>IFERROR(VLOOKUP(N3000,DATA!$K$4:$L$51,2,FALSE),"")</f>
        <v/>
      </c>
    </row>
    <row r="3001" spans="5:15">
      <c r="E3001" s="584"/>
      <c r="F3001" s="556" t="str">
        <f>IFERROR(VLOOKUP(E3001,STAT1!$C$4:$D$8000,2,FALSE),"")</f>
        <v/>
      </c>
      <c r="O3001" s="154" t="str">
        <f>IFERROR(VLOOKUP(N3001,DATA!$K$4:$L$51,2,FALSE),"")</f>
        <v/>
      </c>
    </row>
    <row r="3002" spans="5:15">
      <c r="E3002" s="584"/>
      <c r="F3002" s="556" t="str">
        <f>IFERROR(VLOOKUP(E3002,STAT1!$C$4:$D$8000,2,FALSE),"")</f>
        <v/>
      </c>
      <c r="O3002" s="154" t="str">
        <f>IFERROR(VLOOKUP(N3002,DATA!$K$4:$L$51,2,FALSE),"")</f>
        <v/>
      </c>
    </row>
    <row r="3003" spans="5:15">
      <c r="E3003" s="584"/>
      <c r="F3003" s="556" t="str">
        <f>IFERROR(VLOOKUP(E3003,STAT1!$C$4:$D$8000,2,FALSE),"")</f>
        <v/>
      </c>
      <c r="O3003" s="154" t="str">
        <f>IFERROR(VLOOKUP(N3003,DATA!$K$4:$L$51,2,FALSE),"")</f>
        <v/>
      </c>
    </row>
    <row r="3004" spans="5:15">
      <c r="E3004" s="584"/>
      <c r="F3004" s="556" t="str">
        <f>IFERROR(VLOOKUP(E3004,STAT1!$C$4:$D$8000,2,FALSE),"")</f>
        <v/>
      </c>
      <c r="O3004" s="154" t="str">
        <f>IFERROR(VLOOKUP(N3004,DATA!$K$4:$L$51,2,FALSE),"")</f>
        <v/>
      </c>
    </row>
    <row r="3005" spans="5:15">
      <c r="E3005" s="584"/>
      <c r="F3005" s="556" t="str">
        <f>IFERROR(VLOOKUP(E3005,STAT1!$C$4:$D$8000,2,FALSE),"")</f>
        <v/>
      </c>
      <c r="O3005" s="154" t="str">
        <f>IFERROR(VLOOKUP(N3005,DATA!$K$4:$L$51,2,FALSE),"")</f>
        <v/>
      </c>
    </row>
    <row r="3006" spans="5:15">
      <c r="E3006" s="584"/>
      <c r="F3006" s="556" t="str">
        <f>IFERROR(VLOOKUP(E3006,STAT1!$C$4:$D$8000,2,FALSE),"")</f>
        <v/>
      </c>
      <c r="O3006" s="154" t="str">
        <f>IFERROR(VLOOKUP(N3006,DATA!$K$4:$L$51,2,FALSE),"")</f>
        <v/>
      </c>
    </row>
    <row r="3007" spans="5:15">
      <c r="E3007" s="584"/>
      <c r="F3007" s="556" t="str">
        <f>IFERROR(VLOOKUP(E3007,STAT1!$C$4:$D$8000,2,FALSE),"")</f>
        <v/>
      </c>
      <c r="O3007" s="154" t="str">
        <f>IFERROR(VLOOKUP(N3007,DATA!$K$4:$L$51,2,FALSE),"")</f>
        <v/>
      </c>
    </row>
    <row r="3008" spans="5:15">
      <c r="E3008" s="584"/>
      <c r="F3008" s="556" t="str">
        <f>IFERROR(VLOOKUP(E3008,STAT1!$C$4:$D$8000,2,FALSE),"")</f>
        <v/>
      </c>
      <c r="O3008" s="154" t="str">
        <f>IFERROR(VLOOKUP(N3008,DATA!$K$4:$L$51,2,FALSE),"")</f>
        <v/>
      </c>
    </row>
    <row r="3009" spans="5:15">
      <c r="E3009" s="584"/>
      <c r="F3009" s="556" t="str">
        <f>IFERROR(VLOOKUP(E3009,STAT1!$C$4:$D$8000,2,FALSE),"")</f>
        <v/>
      </c>
      <c r="O3009" s="154" t="str">
        <f>IFERROR(VLOOKUP(N3009,DATA!$K$4:$L$51,2,FALSE),"")</f>
        <v/>
      </c>
    </row>
    <row r="3010" spans="5:15">
      <c r="E3010" s="584"/>
      <c r="F3010" s="556" t="str">
        <f>IFERROR(VLOOKUP(E3010,STAT1!$C$4:$D$8000,2,FALSE),"")</f>
        <v/>
      </c>
      <c r="O3010" s="154" t="str">
        <f>IFERROR(VLOOKUP(N3010,DATA!$K$4:$L$51,2,FALSE),"")</f>
        <v/>
      </c>
    </row>
    <row r="3011" spans="5:15">
      <c r="E3011" s="584"/>
      <c r="F3011" s="556" t="str">
        <f>IFERROR(VLOOKUP(E3011,STAT1!$C$4:$D$8000,2,FALSE),"")</f>
        <v/>
      </c>
      <c r="O3011" s="154" t="str">
        <f>IFERROR(VLOOKUP(N3011,DATA!$K$4:$L$51,2,FALSE),"")</f>
        <v/>
      </c>
    </row>
    <row r="3012" spans="5:15">
      <c r="E3012" s="584"/>
      <c r="F3012" s="556" t="str">
        <f>IFERROR(VLOOKUP(E3012,STAT1!$C$4:$D$8000,2,FALSE),"")</f>
        <v/>
      </c>
      <c r="O3012" s="154" t="str">
        <f>IFERROR(VLOOKUP(N3012,DATA!$K$4:$L$51,2,FALSE),"")</f>
        <v/>
      </c>
    </row>
    <row r="3013" spans="5:15">
      <c r="E3013" s="584"/>
      <c r="F3013" s="556" t="str">
        <f>IFERROR(VLOOKUP(E3013,STAT1!$C$4:$D$8000,2,FALSE),"")</f>
        <v/>
      </c>
      <c r="O3013" s="154" t="str">
        <f>IFERROR(VLOOKUP(N3013,DATA!$K$4:$L$51,2,FALSE),"")</f>
        <v/>
      </c>
    </row>
    <row r="3014" spans="5:15">
      <c r="E3014" s="584"/>
      <c r="F3014" s="556" t="str">
        <f>IFERROR(VLOOKUP(E3014,STAT1!$C$4:$D$8000,2,FALSE),"")</f>
        <v/>
      </c>
      <c r="O3014" s="154" t="str">
        <f>IFERROR(VLOOKUP(N3014,DATA!$K$4:$L$51,2,FALSE),"")</f>
        <v/>
      </c>
    </row>
    <row r="3015" spans="5:15">
      <c r="E3015" s="584"/>
      <c r="F3015" s="556" t="str">
        <f>IFERROR(VLOOKUP(E3015,STAT1!$C$4:$D$8000,2,FALSE),"")</f>
        <v/>
      </c>
      <c r="O3015" s="154" t="str">
        <f>IFERROR(VLOOKUP(N3015,DATA!$K$4:$L$51,2,FALSE),"")</f>
        <v/>
      </c>
    </row>
    <row r="3016" spans="5:15">
      <c r="E3016" s="584"/>
      <c r="F3016" s="556" t="str">
        <f>IFERROR(VLOOKUP(E3016,STAT1!$C$4:$D$8000,2,FALSE),"")</f>
        <v/>
      </c>
      <c r="O3016" s="154" t="str">
        <f>IFERROR(VLOOKUP(N3016,DATA!$K$4:$L$51,2,FALSE),"")</f>
        <v/>
      </c>
    </row>
    <row r="3017" spans="5:15">
      <c r="E3017" s="584"/>
      <c r="F3017" s="556" t="str">
        <f>IFERROR(VLOOKUP(E3017,STAT1!$C$4:$D$8000,2,FALSE),"")</f>
        <v/>
      </c>
      <c r="O3017" s="154" t="str">
        <f>IFERROR(VLOOKUP(N3017,DATA!$K$4:$L$51,2,FALSE),"")</f>
        <v/>
      </c>
    </row>
    <row r="3018" spans="5:15">
      <c r="E3018" s="584"/>
      <c r="F3018" s="556" t="str">
        <f>IFERROR(VLOOKUP(E3018,STAT1!$C$4:$D$8000,2,FALSE),"")</f>
        <v/>
      </c>
      <c r="O3018" s="154" t="str">
        <f>IFERROR(VLOOKUP(N3018,DATA!$K$4:$L$51,2,FALSE),"")</f>
        <v/>
      </c>
    </row>
    <row r="3019" spans="5:15">
      <c r="E3019" s="584"/>
      <c r="F3019" s="556" t="str">
        <f>IFERROR(VLOOKUP(E3019,STAT1!$C$4:$D$8000,2,FALSE),"")</f>
        <v/>
      </c>
      <c r="O3019" s="154" t="str">
        <f>IFERROR(VLOOKUP(N3019,DATA!$K$4:$L$51,2,FALSE),"")</f>
        <v/>
      </c>
    </row>
    <row r="3020" spans="5:15">
      <c r="E3020" s="584"/>
      <c r="F3020" s="556" t="str">
        <f>IFERROR(VLOOKUP(E3020,STAT1!$C$4:$D$8000,2,FALSE),"")</f>
        <v/>
      </c>
      <c r="O3020" s="154" t="str">
        <f>IFERROR(VLOOKUP(N3020,DATA!$K$4:$L$51,2,FALSE),"")</f>
        <v/>
      </c>
    </row>
    <row r="3021" spans="5:15">
      <c r="E3021" s="584"/>
      <c r="F3021" s="556" t="str">
        <f>IFERROR(VLOOKUP(E3021,STAT1!$C$4:$D$8000,2,FALSE),"")</f>
        <v/>
      </c>
      <c r="O3021" s="154" t="str">
        <f>IFERROR(VLOOKUP(N3021,DATA!$K$4:$L$51,2,FALSE),"")</f>
        <v/>
      </c>
    </row>
    <row r="3022" spans="5:15">
      <c r="E3022" s="584"/>
      <c r="F3022" s="556" t="str">
        <f>IFERROR(VLOOKUP(E3022,STAT1!$C$4:$D$8000,2,FALSE),"")</f>
        <v/>
      </c>
      <c r="O3022" s="154" t="str">
        <f>IFERROR(VLOOKUP(N3022,DATA!$K$4:$L$51,2,FALSE),"")</f>
        <v/>
      </c>
    </row>
    <row r="3023" spans="5:15">
      <c r="E3023" s="584"/>
      <c r="F3023" s="556" t="str">
        <f>IFERROR(VLOOKUP(E3023,STAT1!$C$4:$D$8000,2,FALSE),"")</f>
        <v/>
      </c>
      <c r="O3023" s="154" t="str">
        <f>IFERROR(VLOOKUP(N3023,DATA!$K$4:$L$51,2,FALSE),"")</f>
        <v/>
      </c>
    </row>
    <row r="3024" spans="5:15">
      <c r="E3024" s="584"/>
      <c r="F3024" s="556" t="str">
        <f>IFERROR(VLOOKUP(E3024,STAT1!$C$4:$D$8000,2,FALSE),"")</f>
        <v/>
      </c>
      <c r="O3024" s="154" t="str">
        <f>IFERROR(VLOOKUP(N3024,DATA!$K$4:$L$51,2,FALSE),"")</f>
        <v/>
      </c>
    </row>
    <row r="3025" spans="5:15">
      <c r="E3025" s="584"/>
      <c r="F3025" s="556" t="str">
        <f>IFERROR(VLOOKUP(E3025,STAT1!$C$4:$D$8000,2,FALSE),"")</f>
        <v/>
      </c>
      <c r="O3025" s="154" t="str">
        <f>IFERROR(VLOOKUP(N3025,DATA!$K$4:$L$51,2,FALSE),"")</f>
        <v/>
      </c>
    </row>
    <row r="3026" spans="5:15">
      <c r="E3026" s="584"/>
      <c r="F3026" s="556" t="str">
        <f>IFERROR(VLOOKUP(E3026,STAT1!$C$4:$D$8000,2,FALSE),"")</f>
        <v/>
      </c>
      <c r="O3026" s="154" t="str">
        <f>IFERROR(VLOOKUP(N3026,DATA!$K$4:$L$51,2,FALSE),"")</f>
        <v/>
      </c>
    </row>
    <row r="3027" spans="5:15">
      <c r="E3027" s="584"/>
      <c r="F3027" s="556" t="str">
        <f>IFERROR(VLOOKUP(E3027,STAT1!$C$4:$D$8000,2,FALSE),"")</f>
        <v/>
      </c>
      <c r="O3027" s="154" t="str">
        <f>IFERROR(VLOOKUP(N3027,DATA!$K$4:$L$51,2,FALSE),"")</f>
        <v/>
      </c>
    </row>
    <row r="3028" spans="5:15">
      <c r="E3028" s="584"/>
      <c r="F3028" s="556" t="str">
        <f>IFERROR(VLOOKUP(E3028,STAT1!$C$4:$D$8000,2,FALSE),"")</f>
        <v/>
      </c>
      <c r="O3028" s="154" t="str">
        <f>IFERROR(VLOOKUP(N3028,DATA!$K$4:$L$51,2,FALSE),"")</f>
        <v/>
      </c>
    </row>
    <row r="3029" spans="5:15">
      <c r="E3029" s="584"/>
      <c r="F3029" s="556" t="str">
        <f>IFERROR(VLOOKUP(E3029,STAT1!$C$4:$D$8000,2,FALSE),"")</f>
        <v/>
      </c>
      <c r="O3029" s="154" t="str">
        <f>IFERROR(VLOOKUP(N3029,DATA!$K$4:$L$51,2,FALSE),"")</f>
        <v/>
      </c>
    </row>
    <row r="3030" spans="5:15">
      <c r="E3030" s="584"/>
      <c r="F3030" s="556" t="str">
        <f>IFERROR(VLOOKUP(E3030,STAT1!$C$4:$D$8000,2,FALSE),"")</f>
        <v/>
      </c>
      <c r="O3030" s="154" t="str">
        <f>IFERROR(VLOOKUP(N3030,DATA!$K$4:$L$51,2,FALSE),"")</f>
        <v/>
      </c>
    </row>
    <row r="3031" spans="5:15">
      <c r="E3031" s="584"/>
      <c r="F3031" s="556" t="str">
        <f>IFERROR(VLOOKUP(E3031,STAT1!$C$4:$D$8000,2,FALSE),"")</f>
        <v/>
      </c>
      <c r="O3031" s="154" t="str">
        <f>IFERROR(VLOOKUP(N3031,DATA!$K$4:$L$51,2,FALSE),"")</f>
        <v/>
      </c>
    </row>
    <row r="3032" spans="5:15">
      <c r="E3032" s="584"/>
      <c r="F3032" s="556" t="str">
        <f>IFERROR(VLOOKUP(E3032,STAT1!$C$4:$D$8000,2,FALSE),"")</f>
        <v/>
      </c>
      <c r="O3032" s="154" t="str">
        <f>IFERROR(VLOOKUP(N3032,DATA!$K$4:$L$51,2,FALSE),"")</f>
        <v/>
      </c>
    </row>
    <row r="3033" spans="5:15">
      <c r="E3033" s="584"/>
      <c r="F3033" s="556" t="str">
        <f>IFERROR(VLOOKUP(E3033,STAT1!$C$4:$D$8000,2,FALSE),"")</f>
        <v/>
      </c>
      <c r="O3033" s="154" t="str">
        <f>IFERROR(VLOOKUP(N3033,DATA!$K$4:$L$51,2,FALSE),"")</f>
        <v/>
      </c>
    </row>
    <row r="3034" spans="5:15">
      <c r="E3034" s="584"/>
      <c r="F3034" s="556" t="str">
        <f>IFERROR(VLOOKUP(E3034,STAT1!$C$4:$D$8000,2,FALSE),"")</f>
        <v/>
      </c>
      <c r="O3034" s="154" t="str">
        <f>IFERROR(VLOOKUP(N3034,DATA!$K$4:$L$51,2,FALSE),"")</f>
        <v/>
      </c>
    </row>
    <row r="3035" spans="5:15">
      <c r="E3035" s="584"/>
      <c r="F3035" s="556" t="str">
        <f>IFERROR(VLOOKUP(E3035,STAT1!$C$4:$D$8000,2,FALSE),"")</f>
        <v/>
      </c>
      <c r="O3035" s="154" t="str">
        <f>IFERROR(VLOOKUP(N3035,DATA!$K$4:$L$51,2,FALSE),"")</f>
        <v/>
      </c>
    </row>
    <row r="3036" spans="5:15">
      <c r="E3036" s="584"/>
      <c r="F3036" s="556" t="str">
        <f>IFERROR(VLOOKUP(E3036,STAT1!$C$4:$D$8000,2,FALSE),"")</f>
        <v/>
      </c>
      <c r="O3036" s="154" t="str">
        <f>IFERROR(VLOOKUP(N3036,DATA!$K$4:$L$51,2,FALSE),"")</f>
        <v/>
      </c>
    </row>
    <row r="3037" spans="5:15">
      <c r="E3037" s="584"/>
      <c r="F3037" s="556" t="str">
        <f>IFERROR(VLOOKUP(E3037,STAT1!$C$4:$D$8000,2,FALSE),"")</f>
        <v/>
      </c>
      <c r="O3037" s="154" t="str">
        <f>IFERROR(VLOOKUP(N3037,DATA!$K$4:$L$51,2,FALSE),"")</f>
        <v/>
      </c>
    </row>
    <row r="3038" spans="5:15">
      <c r="E3038" s="584"/>
      <c r="F3038" s="556" t="str">
        <f>IFERROR(VLOOKUP(E3038,STAT1!$C$4:$D$8000,2,FALSE),"")</f>
        <v/>
      </c>
      <c r="O3038" s="154" t="str">
        <f>IFERROR(VLOOKUP(N3038,DATA!$K$4:$L$51,2,FALSE),"")</f>
        <v/>
      </c>
    </row>
    <row r="3039" spans="5:15">
      <c r="E3039" s="584"/>
      <c r="F3039" s="556" t="str">
        <f>IFERROR(VLOOKUP(E3039,STAT1!$C$4:$D$8000,2,FALSE),"")</f>
        <v/>
      </c>
      <c r="O3039" s="154" t="str">
        <f>IFERROR(VLOOKUP(N3039,DATA!$K$4:$L$51,2,FALSE),"")</f>
        <v/>
      </c>
    </row>
    <row r="3040" spans="5:15">
      <c r="E3040" s="584"/>
      <c r="F3040" s="556" t="str">
        <f>IFERROR(VLOOKUP(E3040,STAT1!$C$4:$D$8000,2,FALSE),"")</f>
        <v/>
      </c>
      <c r="O3040" s="154" t="str">
        <f>IFERROR(VLOOKUP(N3040,DATA!$K$4:$L$51,2,FALSE),"")</f>
        <v/>
      </c>
    </row>
    <row r="3041" spans="5:15">
      <c r="E3041" s="584"/>
      <c r="F3041" s="556" t="str">
        <f>IFERROR(VLOOKUP(E3041,STAT1!$C$4:$D$8000,2,FALSE),"")</f>
        <v/>
      </c>
      <c r="O3041" s="154" t="str">
        <f>IFERROR(VLOOKUP(N3041,DATA!$K$4:$L$51,2,FALSE),"")</f>
        <v/>
      </c>
    </row>
    <row r="3042" spans="5:15">
      <c r="E3042" s="584"/>
      <c r="F3042" s="556" t="str">
        <f>IFERROR(VLOOKUP(E3042,STAT1!$C$4:$D$8000,2,FALSE),"")</f>
        <v/>
      </c>
      <c r="O3042" s="154" t="str">
        <f>IFERROR(VLOOKUP(N3042,DATA!$K$4:$L$51,2,FALSE),"")</f>
        <v/>
      </c>
    </row>
    <row r="3043" spans="5:15">
      <c r="E3043" s="584"/>
      <c r="F3043" s="556" t="str">
        <f>IFERROR(VLOOKUP(E3043,STAT1!$C$4:$D$8000,2,FALSE),"")</f>
        <v/>
      </c>
      <c r="O3043" s="154" t="str">
        <f>IFERROR(VLOOKUP(N3043,DATA!$K$4:$L$51,2,FALSE),"")</f>
        <v/>
      </c>
    </row>
    <row r="3044" spans="5:15">
      <c r="E3044" s="584"/>
      <c r="F3044" s="556" t="str">
        <f>IFERROR(VLOOKUP(E3044,STAT1!$C$4:$D$8000,2,FALSE),"")</f>
        <v/>
      </c>
      <c r="O3044" s="154" t="str">
        <f>IFERROR(VLOOKUP(N3044,DATA!$K$4:$L$51,2,FALSE),"")</f>
        <v/>
      </c>
    </row>
    <row r="3045" spans="5:15">
      <c r="E3045" s="584"/>
      <c r="F3045" s="556" t="str">
        <f>IFERROR(VLOOKUP(E3045,STAT1!$C$4:$D$8000,2,FALSE),"")</f>
        <v/>
      </c>
      <c r="O3045" s="154" t="str">
        <f>IFERROR(VLOOKUP(N3045,DATA!$K$4:$L$51,2,FALSE),"")</f>
        <v/>
      </c>
    </row>
    <row r="3046" spans="5:15">
      <c r="E3046" s="584"/>
      <c r="F3046" s="556" t="str">
        <f>IFERROR(VLOOKUP(E3046,STAT1!$C$4:$D$8000,2,FALSE),"")</f>
        <v/>
      </c>
      <c r="O3046" s="154" t="str">
        <f>IFERROR(VLOOKUP(N3046,DATA!$K$4:$L$51,2,FALSE),"")</f>
        <v/>
      </c>
    </row>
    <row r="3047" spans="5:15">
      <c r="E3047" s="584"/>
      <c r="F3047" s="556" t="str">
        <f>IFERROR(VLOOKUP(E3047,STAT1!$C$4:$D$8000,2,FALSE),"")</f>
        <v/>
      </c>
      <c r="O3047" s="154" t="str">
        <f>IFERROR(VLOOKUP(N3047,DATA!$K$4:$L$51,2,FALSE),"")</f>
        <v/>
      </c>
    </row>
    <row r="3048" spans="5:15">
      <c r="E3048" s="584"/>
      <c r="F3048" s="556" t="str">
        <f>IFERROR(VLOOKUP(E3048,STAT1!$C$4:$D$8000,2,FALSE),"")</f>
        <v/>
      </c>
      <c r="O3048" s="154" t="str">
        <f>IFERROR(VLOOKUP(N3048,DATA!$K$4:$L$51,2,FALSE),"")</f>
        <v/>
      </c>
    </row>
    <row r="3049" spans="5:15">
      <c r="E3049" s="584"/>
      <c r="F3049" s="556" t="str">
        <f>IFERROR(VLOOKUP(E3049,STAT1!$C$4:$D$8000,2,FALSE),"")</f>
        <v/>
      </c>
      <c r="O3049" s="154" t="str">
        <f>IFERROR(VLOOKUP(N3049,DATA!$K$4:$L$51,2,FALSE),"")</f>
        <v/>
      </c>
    </row>
    <row r="3050" spans="5:15">
      <c r="E3050" s="584"/>
      <c r="F3050" s="556" t="str">
        <f>IFERROR(VLOOKUP(E3050,STAT1!$C$4:$D$8000,2,FALSE),"")</f>
        <v/>
      </c>
      <c r="O3050" s="154" t="str">
        <f>IFERROR(VLOOKUP(N3050,DATA!$K$4:$L$51,2,FALSE),"")</f>
        <v/>
      </c>
    </row>
    <row r="3051" spans="5:15">
      <c r="E3051" s="584"/>
      <c r="F3051" s="556" t="str">
        <f>IFERROR(VLOOKUP(E3051,STAT1!$C$4:$D$8000,2,FALSE),"")</f>
        <v/>
      </c>
      <c r="O3051" s="154" t="str">
        <f>IFERROR(VLOOKUP(N3051,DATA!$K$4:$L$51,2,FALSE),"")</f>
        <v/>
      </c>
    </row>
    <row r="3052" spans="5:15">
      <c r="E3052" s="584"/>
      <c r="F3052" s="556" t="str">
        <f>IFERROR(VLOOKUP(E3052,STAT1!$C$4:$D$8000,2,FALSE),"")</f>
        <v/>
      </c>
      <c r="O3052" s="154" t="str">
        <f>IFERROR(VLOOKUP(N3052,DATA!$K$4:$L$51,2,FALSE),"")</f>
        <v/>
      </c>
    </row>
    <row r="3053" spans="5:15">
      <c r="E3053" s="584"/>
      <c r="F3053" s="556" t="str">
        <f>IFERROR(VLOOKUP(E3053,STAT1!$C$4:$D$8000,2,FALSE),"")</f>
        <v/>
      </c>
      <c r="O3053" s="154" t="str">
        <f>IFERROR(VLOOKUP(N3053,DATA!$K$4:$L$51,2,FALSE),"")</f>
        <v/>
      </c>
    </row>
    <row r="3054" spans="5:15">
      <c r="E3054" s="584"/>
      <c r="F3054" s="556" t="str">
        <f>IFERROR(VLOOKUP(E3054,STAT1!$C$4:$D$8000,2,FALSE),"")</f>
        <v/>
      </c>
      <c r="O3054" s="154" t="str">
        <f>IFERROR(VLOOKUP(N3054,DATA!$K$4:$L$51,2,FALSE),"")</f>
        <v/>
      </c>
    </row>
    <row r="3055" spans="5:15">
      <c r="E3055" s="584"/>
      <c r="F3055" s="556" t="str">
        <f>IFERROR(VLOOKUP(E3055,STAT1!$C$4:$D$8000,2,FALSE),"")</f>
        <v/>
      </c>
      <c r="O3055" s="154" t="str">
        <f>IFERROR(VLOOKUP(N3055,DATA!$K$4:$L$51,2,FALSE),"")</f>
        <v/>
      </c>
    </row>
    <row r="3056" spans="5:15">
      <c r="E3056" s="584"/>
      <c r="F3056" s="556" t="str">
        <f>IFERROR(VLOOKUP(E3056,STAT1!$C$4:$D$8000,2,FALSE),"")</f>
        <v/>
      </c>
      <c r="O3056" s="154" t="str">
        <f>IFERROR(VLOOKUP(N3056,DATA!$K$4:$L$51,2,FALSE),"")</f>
        <v/>
      </c>
    </row>
    <row r="3057" spans="5:15">
      <c r="E3057" s="584"/>
      <c r="F3057" s="556" t="str">
        <f>IFERROR(VLOOKUP(E3057,STAT1!$C$4:$D$8000,2,FALSE),"")</f>
        <v/>
      </c>
      <c r="O3057" s="154" t="str">
        <f>IFERROR(VLOOKUP(N3057,DATA!$K$4:$L$51,2,FALSE),"")</f>
        <v/>
      </c>
    </row>
    <row r="3058" spans="5:15">
      <c r="E3058" s="584"/>
      <c r="F3058" s="556" t="str">
        <f>IFERROR(VLOOKUP(E3058,STAT1!$C$4:$D$8000,2,FALSE),"")</f>
        <v/>
      </c>
      <c r="O3058" s="154" t="str">
        <f>IFERROR(VLOOKUP(N3058,DATA!$K$4:$L$51,2,FALSE),"")</f>
        <v/>
      </c>
    </row>
    <row r="3059" spans="5:15">
      <c r="E3059" s="584"/>
      <c r="F3059" s="556" t="str">
        <f>IFERROR(VLOOKUP(E3059,STAT1!$C$4:$D$8000,2,FALSE),"")</f>
        <v/>
      </c>
      <c r="O3059" s="154" t="str">
        <f>IFERROR(VLOOKUP(N3059,DATA!$K$4:$L$51,2,FALSE),"")</f>
        <v/>
      </c>
    </row>
    <row r="3060" spans="5:15">
      <c r="E3060" s="584"/>
      <c r="F3060" s="556" t="str">
        <f>IFERROR(VLOOKUP(E3060,STAT1!$C$4:$D$8000,2,FALSE),"")</f>
        <v/>
      </c>
      <c r="O3060" s="154" t="str">
        <f>IFERROR(VLOOKUP(N3060,DATA!$K$4:$L$51,2,FALSE),"")</f>
        <v/>
      </c>
    </row>
    <row r="3061" spans="5:15">
      <c r="E3061" s="584"/>
      <c r="F3061" s="556" t="str">
        <f>IFERROR(VLOOKUP(E3061,STAT1!$C$4:$D$8000,2,FALSE),"")</f>
        <v/>
      </c>
      <c r="O3061" s="154" t="str">
        <f>IFERROR(VLOOKUP(N3061,DATA!$K$4:$L$51,2,FALSE),"")</f>
        <v/>
      </c>
    </row>
    <row r="3062" spans="5:15">
      <c r="E3062" s="584"/>
      <c r="F3062" s="556" t="str">
        <f>IFERROR(VLOOKUP(E3062,STAT1!$C$4:$D$8000,2,FALSE),"")</f>
        <v/>
      </c>
      <c r="O3062" s="154" t="str">
        <f>IFERROR(VLOOKUP(N3062,DATA!$K$4:$L$51,2,FALSE),"")</f>
        <v/>
      </c>
    </row>
    <row r="3063" spans="5:15">
      <c r="E3063" s="584"/>
      <c r="F3063" s="556" t="str">
        <f>IFERROR(VLOOKUP(E3063,STAT1!$C$4:$D$8000,2,FALSE),"")</f>
        <v/>
      </c>
      <c r="O3063" s="154" t="str">
        <f>IFERROR(VLOOKUP(N3063,DATA!$K$4:$L$51,2,FALSE),"")</f>
        <v/>
      </c>
    </row>
    <row r="3064" spans="5:15">
      <c r="E3064" s="584"/>
      <c r="F3064" s="556" t="str">
        <f>IFERROR(VLOOKUP(E3064,STAT1!$C$4:$D$8000,2,FALSE),"")</f>
        <v/>
      </c>
      <c r="O3064" s="154" t="str">
        <f>IFERROR(VLOOKUP(N3064,DATA!$K$4:$L$51,2,FALSE),"")</f>
        <v/>
      </c>
    </row>
    <row r="3065" spans="5:15">
      <c r="E3065" s="584"/>
      <c r="F3065" s="556" t="str">
        <f>IFERROR(VLOOKUP(E3065,STAT1!$C$4:$D$8000,2,FALSE),"")</f>
        <v/>
      </c>
      <c r="O3065" s="154" t="str">
        <f>IFERROR(VLOOKUP(N3065,DATA!$K$4:$L$51,2,FALSE),"")</f>
        <v/>
      </c>
    </row>
    <row r="3066" spans="5:15">
      <c r="E3066" s="584"/>
      <c r="F3066" s="556" t="str">
        <f>IFERROR(VLOOKUP(E3066,STAT1!$C$4:$D$8000,2,FALSE),"")</f>
        <v/>
      </c>
      <c r="O3066" s="154" t="str">
        <f>IFERROR(VLOOKUP(N3066,DATA!$K$4:$L$51,2,FALSE),"")</f>
        <v/>
      </c>
    </row>
    <row r="3067" spans="5:15">
      <c r="E3067" s="584"/>
      <c r="F3067" s="556" t="str">
        <f>IFERROR(VLOOKUP(E3067,STAT1!$C$4:$D$8000,2,FALSE),"")</f>
        <v/>
      </c>
      <c r="O3067" s="154" t="str">
        <f>IFERROR(VLOOKUP(N3067,DATA!$K$4:$L$51,2,FALSE),"")</f>
        <v/>
      </c>
    </row>
    <row r="3068" spans="5:15">
      <c r="E3068" s="584"/>
      <c r="F3068" s="556" t="str">
        <f>IFERROR(VLOOKUP(E3068,STAT1!$C$4:$D$8000,2,FALSE),"")</f>
        <v/>
      </c>
      <c r="O3068" s="154" t="str">
        <f>IFERROR(VLOOKUP(N3068,DATA!$K$4:$L$51,2,FALSE),"")</f>
        <v/>
      </c>
    </row>
    <row r="3069" spans="5:15">
      <c r="E3069" s="584"/>
      <c r="F3069" s="556" t="str">
        <f>IFERROR(VLOOKUP(E3069,STAT1!$C$4:$D$8000,2,FALSE),"")</f>
        <v/>
      </c>
      <c r="O3069" s="154" t="str">
        <f>IFERROR(VLOOKUP(N3069,DATA!$K$4:$L$51,2,FALSE),"")</f>
        <v/>
      </c>
    </row>
    <row r="3070" spans="5:15">
      <c r="E3070" s="584"/>
      <c r="F3070" s="556" t="str">
        <f>IFERROR(VLOOKUP(E3070,STAT1!$C$4:$D$8000,2,FALSE),"")</f>
        <v/>
      </c>
      <c r="O3070" s="154" t="str">
        <f>IFERROR(VLOOKUP(N3070,DATA!$K$4:$L$51,2,FALSE),"")</f>
        <v/>
      </c>
    </row>
    <row r="3071" spans="5:15">
      <c r="E3071" s="584"/>
      <c r="F3071" s="556" t="str">
        <f>IFERROR(VLOOKUP(E3071,STAT1!$C$4:$D$8000,2,FALSE),"")</f>
        <v/>
      </c>
      <c r="O3071" s="154" t="str">
        <f>IFERROR(VLOOKUP(N3071,DATA!$K$4:$L$51,2,FALSE),"")</f>
        <v/>
      </c>
    </row>
    <row r="3072" spans="5:15">
      <c r="E3072" s="584"/>
      <c r="F3072" s="556" t="str">
        <f>IFERROR(VLOOKUP(E3072,STAT1!$C$4:$D$8000,2,FALSE),"")</f>
        <v/>
      </c>
      <c r="O3072" s="154" t="str">
        <f>IFERROR(VLOOKUP(N3072,DATA!$K$4:$L$51,2,FALSE),"")</f>
        <v/>
      </c>
    </row>
    <row r="3073" spans="5:15">
      <c r="E3073" s="584"/>
      <c r="F3073" s="556" t="str">
        <f>IFERROR(VLOOKUP(E3073,STAT1!$C$4:$D$8000,2,FALSE),"")</f>
        <v/>
      </c>
      <c r="O3073" s="154" t="str">
        <f>IFERROR(VLOOKUP(N3073,DATA!$K$4:$L$51,2,FALSE),"")</f>
        <v/>
      </c>
    </row>
    <row r="3074" spans="5:15">
      <c r="E3074" s="584"/>
      <c r="F3074" s="556" t="str">
        <f>IFERROR(VLOOKUP(E3074,STAT1!$C$4:$D$8000,2,FALSE),"")</f>
        <v/>
      </c>
      <c r="O3074" s="154" t="str">
        <f>IFERROR(VLOOKUP(N3074,DATA!$K$4:$L$51,2,FALSE),"")</f>
        <v/>
      </c>
    </row>
    <row r="3075" spans="5:15">
      <c r="E3075" s="584"/>
      <c r="F3075" s="556" t="str">
        <f>IFERROR(VLOOKUP(E3075,STAT1!$C$4:$D$8000,2,FALSE),"")</f>
        <v/>
      </c>
      <c r="O3075" s="154" t="str">
        <f>IFERROR(VLOOKUP(N3075,DATA!$K$4:$L$51,2,FALSE),"")</f>
        <v/>
      </c>
    </row>
    <row r="3076" spans="5:15">
      <c r="E3076" s="584"/>
      <c r="F3076" s="556" t="str">
        <f>IFERROR(VLOOKUP(E3076,STAT1!$C$4:$D$8000,2,FALSE),"")</f>
        <v/>
      </c>
      <c r="O3076" s="154" t="str">
        <f>IFERROR(VLOOKUP(N3076,DATA!$K$4:$L$51,2,FALSE),"")</f>
        <v/>
      </c>
    </row>
    <row r="3077" spans="5:15">
      <c r="E3077" s="584"/>
      <c r="F3077" s="556" t="str">
        <f>IFERROR(VLOOKUP(E3077,STAT1!$C$4:$D$8000,2,FALSE),"")</f>
        <v/>
      </c>
      <c r="O3077" s="154" t="str">
        <f>IFERROR(VLOOKUP(N3077,DATA!$K$4:$L$51,2,FALSE),"")</f>
        <v/>
      </c>
    </row>
    <row r="3078" spans="5:15">
      <c r="E3078" s="584"/>
      <c r="F3078" s="556" t="str">
        <f>IFERROR(VLOOKUP(E3078,STAT1!$C$4:$D$8000,2,FALSE),"")</f>
        <v/>
      </c>
      <c r="O3078" s="154" t="str">
        <f>IFERROR(VLOOKUP(N3078,DATA!$K$4:$L$51,2,FALSE),"")</f>
        <v/>
      </c>
    </row>
    <row r="3079" spans="5:15">
      <c r="E3079" s="584"/>
      <c r="F3079" s="556" t="str">
        <f>IFERROR(VLOOKUP(E3079,STAT1!$C$4:$D$8000,2,FALSE),"")</f>
        <v/>
      </c>
      <c r="O3079" s="154" t="str">
        <f>IFERROR(VLOOKUP(N3079,DATA!$K$4:$L$51,2,FALSE),"")</f>
        <v/>
      </c>
    </row>
    <row r="3080" spans="5:15">
      <c r="E3080" s="584"/>
      <c r="F3080" s="556" t="str">
        <f>IFERROR(VLOOKUP(E3080,STAT1!$C$4:$D$8000,2,FALSE),"")</f>
        <v/>
      </c>
      <c r="O3080" s="154" t="str">
        <f>IFERROR(VLOOKUP(N3080,DATA!$K$4:$L$51,2,FALSE),"")</f>
        <v/>
      </c>
    </row>
    <row r="3081" spans="5:15">
      <c r="E3081" s="584"/>
      <c r="F3081" s="556" t="str">
        <f>IFERROR(VLOOKUP(E3081,STAT1!$C$4:$D$8000,2,FALSE),"")</f>
        <v/>
      </c>
      <c r="O3081" s="154" t="str">
        <f>IFERROR(VLOOKUP(N3081,DATA!$K$4:$L$51,2,FALSE),"")</f>
        <v/>
      </c>
    </row>
    <row r="3082" spans="5:15">
      <c r="E3082" s="584"/>
      <c r="F3082" s="556" t="str">
        <f>IFERROR(VLOOKUP(E3082,STAT1!$C$4:$D$8000,2,FALSE),"")</f>
        <v/>
      </c>
      <c r="O3082" s="154" t="str">
        <f>IFERROR(VLOOKUP(N3082,DATA!$K$4:$L$51,2,FALSE),"")</f>
        <v/>
      </c>
    </row>
    <row r="3083" spans="5:15">
      <c r="E3083" s="584"/>
      <c r="F3083" s="556" t="str">
        <f>IFERROR(VLOOKUP(E3083,STAT1!$C$4:$D$8000,2,FALSE),"")</f>
        <v/>
      </c>
      <c r="O3083" s="154" t="str">
        <f>IFERROR(VLOOKUP(N3083,DATA!$K$4:$L$51,2,FALSE),"")</f>
        <v/>
      </c>
    </row>
    <row r="3084" spans="5:15">
      <c r="E3084" s="584"/>
      <c r="F3084" s="556" t="str">
        <f>IFERROR(VLOOKUP(E3084,STAT1!$C$4:$D$8000,2,FALSE),"")</f>
        <v/>
      </c>
      <c r="O3084" s="154" t="str">
        <f>IFERROR(VLOOKUP(N3084,DATA!$K$4:$L$51,2,FALSE),"")</f>
        <v/>
      </c>
    </row>
    <row r="3085" spans="5:15">
      <c r="E3085" s="584"/>
      <c r="F3085" s="556" t="str">
        <f>IFERROR(VLOOKUP(E3085,STAT1!$C$4:$D$8000,2,FALSE),"")</f>
        <v/>
      </c>
      <c r="O3085" s="154" t="str">
        <f>IFERROR(VLOOKUP(N3085,DATA!$K$4:$L$51,2,FALSE),"")</f>
        <v/>
      </c>
    </row>
    <row r="3086" spans="5:15">
      <c r="E3086" s="584"/>
      <c r="F3086" s="556" t="str">
        <f>IFERROR(VLOOKUP(E3086,STAT1!$C$4:$D$8000,2,FALSE),"")</f>
        <v/>
      </c>
      <c r="O3086" s="154" t="str">
        <f>IFERROR(VLOOKUP(N3086,DATA!$K$4:$L$51,2,FALSE),"")</f>
        <v/>
      </c>
    </row>
    <row r="3087" spans="5:15">
      <c r="E3087" s="584"/>
      <c r="F3087" s="556" t="str">
        <f>IFERROR(VLOOKUP(E3087,STAT1!$C$4:$D$8000,2,FALSE),"")</f>
        <v/>
      </c>
      <c r="O3087" s="154" t="str">
        <f>IFERROR(VLOOKUP(N3087,DATA!$K$4:$L$51,2,FALSE),"")</f>
        <v/>
      </c>
    </row>
    <row r="3088" spans="5:15">
      <c r="E3088" s="584"/>
      <c r="F3088" s="556" t="str">
        <f>IFERROR(VLOOKUP(E3088,STAT1!$C$4:$D$8000,2,FALSE),"")</f>
        <v/>
      </c>
      <c r="O3088" s="154" t="str">
        <f>IFERROR(VLOOKUP(N3088,DATA!$K$4:$L$51,2,FALSE),"")</f>
        <v/>
      </c>
    </row>
    <row r="3089" spans="5:15">
      <c r="E3089" s="584"/>
      <c r="F3089" s="556" t="str">
        <f>IFERROR(VLOOKUP(E3089,STAT1!$C$4:$D$8000,2,FALSE),"")</f>
        <v/>
      </c>
      <c r="O3089" s="154" t="str">
        <f>IFERROR(VLOOKUP(N3089,DATA!$K$4:$L$51,2,FALSE),"")</f>
        <v/>
      </c>
    </row>
    <row r="3090" spans="5:15">
      <c r="E3090" s="584"/>
      <c r="F3090" s="556" t="str">
        <f>IFERROR(VLOOKUP(E3090,STAT1!$C$4:$D$8000,2,FALSE),"")</f>
        <v/>
      </c>
      <c r="O3090" s="154" t="str">
        <f>IFERROR(VLOOKUP(N3090,DATA!$K$4:$L$51,2,FALSE),"")</f>
        <v/>
      </c>
    </row>
    <row r="3091" spans="5:15">
      <c r="E3091" s="584"/>
      <c r="F3091" s="556" t="str">
        <f>IFERROR(VLOOKUP(E3091,STAT1!$C$4:$D$8000,2,FALSE),"")</f>
        <v/>
      </c>
      <c r="O3091" s="154" t="str">
        <f>IFERROR(VLOOKUP(N3091,DATA!$K$4:$L$51,2,FALSE),"")</f>
        <v/>
      </c>
    </row>
    <row r="3092" spans="5:15">
      <c r="E3092" s="584"/>
      <c r="F3092" s="556" t="str">
        <f>IFERROR(VLOOKUP(E3092,STAT1!$C$4:$D$8000,2,FALSE),"")</f>
        <v/>
      </c>
      <c r="O3092" s="154" t="str">
        <f>IFERROR(VLOOKUP(N3092,DATA!$K$4:$L$51,2,FALSE),"")</f>
        <v/>
      </c>
    </row>
    <row r="3093" spans="5:15">
      <c r="E3093" s="584"/>
      <c r="F3093" s="556" t="str">
        <f>IFERROR(VLOOKUP(E3093,STAT1!$C$4:$D$8000,2,FALSE),"")</f>
        <v/>
      </c>
      <c r="O3093" s="154" t="str">
        <f>IFERROR(VLOOKUP(N3093,DATA!$K$4:$L$51,2,FALSE),"")</f>
        <v/>
      </c>
    </row>
    <row r="3094" spans="5:15">
      <c r="E3094" s="584"/>
      <c r="F3094" s="556" t="str">
        <f>IFERROR(VLOOKUP(E3094,STAT1!$C$4:$D$8000,2,FALSE),"")</f>
        <v/>
      </c>
      <c r="O3094" s="154" t="str">
        <f>IFERROR(VLOOKUP(N3094,DATA!$K$4:$L$51,2,FALSE),"")</f>
        <v/>
      </c>
    </row>
    <row r="3095" spans="5:15">
      <c r="E3095" s="584"/>
      <c r="F3095" s="556" t="str">
        <f>IFERROR(VLOOKUP(E3095,STAT1!$C$4:$D$8000,2,FALSE),"")</f>
        <v/>
      </c>
      <c r="O3095" s="154" t="str">
        <f>IFERROR(VLOOKUP(N3095,DATA!$K$4:$L$51,2,FALSE),"")</f>
        <v/>
      </c>
    </row>
    <row r="3096" spans="5:15">
      <c r="E3096" s="584"/>
      <c r="F3096" s="556" t="str">
        <f>IFERROR(VLOOKUP(E3096,STAT1!$C$4:$D$8000,2,FALSE),"")</f>
        <v/>
      </c>
      <c r="O3096" s="154" t="str">
        <f>IFERROR(VLOOKUP(N3096,DATA!$K$4:$L$51,2,FALSE),"")</f>
        <v/>
      </c>
    </row>
    <row r="3097" spans="5:15">
      <c r="E3097" s="584"/>
      <c r="F3097" s="556" t="str">
        <f>IFERROR(VLOOKUP(E3097,STAT1!$C$4:$D$8000,2,FALSE),"")</f>
        <v/>
      </c>
      <c r="O3097" s="154" t="str">
        <f>IFERROR(VLOOKUP(N3097,DATA!$K$4:$L$51,2,FALSE),"")</f>
        <v/>
      </c>
    </row>
    <row r="3098" spans="5:15">
      <c r="E3098" s="584"/>
      <c r="F3098" s="556" t="str">
        <f>IFERROR(VLOOKUP(E3098,STAT1!$C$4:$D$8000,2,FALSE),"")</f>
        <v/>
      </c>
      <c r="O3098" s="154" t="str">
        <f>IFERROR(VLOOKUP(N3098,DATA!$K$4:$L$51,2,FALSE),"")</f>
        <v/>
      </c>
    </row>
    <row r="3099" spans="5:15">
      <c r="E3099" s="584"/>
      <c r="F3099" s="556" t="str">
        <f>IFERROR(VLOOKUP(E3099,STAT1!$C$4:$D$8000,2,FALSE),"")</f>
        <v/>
      </c>
      <c r="O3099" s="154" t="str">
        <f>IFERROR(VLOOKUP(N3099,DATA!$K$4:$L$51,2,FALSE),"")</f>
        <v/>
      </c>
    </row>
    <row r="3100" spans="5:15">
      <c r="E3100" s="584"/>
      <c r="F3100" s="556" t="str">
        <f>IFERROR(VLOOKUP(E3100,STAT1!$C$4:$D$8000,2,FALSE),"")</f>
        <v/>
      </c>
      <c r="O3100" s="154" t="str">
        <f>IFERROR(VLOOKUP(N3100,DATA!$K$4:$L$51,2,FALSE),"")</f>
        <v/>
      </c>
    </row>
    <row r="3101" spans="5:15">
      <c r="E3101" s="584"/>
      <c r="F3101" s="556" t="str">
        <f>IFERROR(VLOOKUP(E3101,STAT1!$C$4:$D$8000,2,FALSE),"")</f>
        <v/>
      </c>
      <c r="O3101" s="154" t="str">
        <f>IFERROR(VLOOKUP(N3101,DATA!$K$4:$L$51,2,FALSE),"")</f>
        <v/>
      </c>
    </row>
    <row r="3102" spans="5:15">
      <c r="E3102" s="584"/>
      <c r="F3102" s="556" t="str">
        <f>IFERROR(VLOOKUP(E3102,STAT1!$C$4:$D$8000,2,FALSE),"")</f>
        <v/>
      </c>
      <c r="O3102" s="154" t="str">
        <f>IFERROR(VLOOKUP(N3102,DATA!$K$4:$L$51,2,FALSE),"")</f>
        <v/>
      </c>
    </row>
    <row r="3103" spans="5:15">
      <c r="E3103" s="584"/>
      <c r="F3103" s="556" t="str">
        <f>IFERROR(VLOOKUP(E3103,STAT1!$C$4:$D$8000,2,FALSE),"")</f>
        <v/>
      </c>
      <c r="O3103" s="154" t="str">
        <f>IFERROR(VLOOKUP(N3103,DATA!$K$4:$L$51,2,FALSE),"")</f>
        <v/>
      </c>
    </row>
    <row r="3104" spans="5:15">
      <c r="E3104" s="584"/>
      <c r="F3104" s="556" t="str">
        <f>IFERROR(VLOOKUP(E3104,STAT1!$C$4:$D$8000,2,FALSE),"")</f>
        <v/>
      </c>
      <c r="O3104" s="154" t="str">
        <f>IFERROR(VLOOKUP(N3104,DATA!$K$4:$L$51,2,FALSE),"")</f>
        <v/>
      </c>
    </row>
    <row r="3105" spans="5:15">
      <c r="E3105" s="584"/>
      <c r="F3105" s="556" t="str">
        <f>IFERROR(VLOOKUP(E3105,STAT1!$C$4:$D$8000,2,FALSE),"")</f>
        <v/>
      </c>
      <c r="O3105" s="154" t="str">
        <f>IFERROR(VLOOKUP(N3105,DATA!$K$4:$L$51,2,FALSE),"")</f>
        <v/>
      </c>
    </row>
    <row r="3106" spans="5:15">
      <c r="E3106" s="584"/>
      <c r="F3106" s="556" t="str">
        <f>IFERROR(VLOOKUP(E3106,STAT1!$C$4:$D$8000,2,FALSE),"")</f>
        <v/>
      </c>
      <c r="O3106" s="154" t="str">
        <f>IFERROR(VLOOKUP(N3106,DATA!$K$4:$L$51,2,FALSE),"")</f>
        <v/>
      </c>
    </row>
    <row r="3107" spans="5:15">
      <c r="E3107" s="584"/>
      <c r="F3107" s="556" t="str">
        <f>IFERROR(VLOOKUP(E3107,STAT1!$C$4:$D$8000,2,FALSE),"")</f>
        <v/>
      </c>
      <c r="O3107" s="154" t="str">
        <f>IFERROR(VLOOKUP(N3107,DATA!$K$4:$L$51,2,FALSE),"")</f>
        <v/>
      </c>
    </row>
    <row r="3108" spans="5:15">
      <c r="E3108" s="584"/>
      <c r="F3108" s="556" t="str">
        <f>IFERROR(VLOOKUP(E3108,STAT1!$C$4:$D$8000,2,FALSE),"")</f>
        <v/>
      </c>
      <c r="O3108" s="154" t="str">
        <f>IFERROR(VLOOKUP(N3108,DATA!$K$4:$L$51,2,FALSE),"")</f>
        <v/>
      </c>
    </row>
    <row r="3109" spans="5:15">
      <c r="E3109" s="584"/>
      <c r="F3109" s="556" t="str">
        <f>IFERROR(VLOOKUP(E3109,STAT1!$C$4:$D$8000,2,FALSE),"")</f>
        <v/>
      </c>
      <c r="O3109" s="154" t="str">
        <f>IFERROR(VLOOKUP(N3109,DATA!$K$4:$L$51,2,FALSE),"")</f>
        <v/>
      </c>
    </row>
    <row r="3110" spans="5:15">
      <c r="E3110" s="584"/>
      <c r="I3110" s="585">
        <f t="shared" ref="I3110:I3124" si="233">+IF(OR(E3110=100100,E3110=100200,E3110=110100,E3110=110102,E3110=110103,E3110=110104,E3110=110105,E3110=110200,E3110=110201,E3110=110202,E3110=110203,E3110=110204,E3110=110300),G3110,0)+IF(OR(E3110=100100,E3110=100200,E3110=110100,E3110=110102,E3110=110103,E3110=110104,E3110=110105,E3110=110200,E3110=110201,E3110=110202,E3110=110203,E3110=110204,E3110=110300),H3110*-1,0)</f>
        <v>0</v>
      </c>
      <c r="O3110" s="154" t="str">
        <f>IFERROR(VLOOKUP(N3110,DATA!$K$4:$L$51,2,FALSE),"")</f>
        <v/>
      </c>
    </row>
    <row r="3111" spans="5:15">
      <c r="E3111" s="584"/>
      <c r="I3111" s="585">
        <f t="shared" si="233"/>
        <v>0</v>
      </c>
      <c r="O3111" s="154" t="str">
        <f>IFERROR(VLOOKUP(N3111,DATA!$K$4:$L$51,2,FALSE),"")</f>
        <v/>
      </c>
    </row>
    <row r="3112" spans="5:15">
      <c r="E3112" s="584"/>
      <c r="I3112" s="585">
        <f t="shared" si="233"/>
        <v>0</v>
      </c>
      <c r="O3112" s="154" t="str">
        <f>IFERROR(VLOOKUP(N3112,DATA!$K$4:$L$51,2,FALSE),"")</f>
        <v/>
      </c>
    </row>
    <row r="3113" spans="5:15">
      <c r="E3113" s="584"/>
      <c r="I3113" s="585">
        <f t="shared" si="233"/>
        <v>0</v>
      </c>
      <c r="O3113" s="154" t="str">
        <f>IFERROR(VLOOKUP(N3113,DATA!$K$4:$L$51,2,FALSE),"")</f>
        <v/>
      </c>
    </row>
    <row r="3114" spans="5:15">
      <c r="E3114" s="584"/>
      <c r="I3114" s="585">
        <f t="shared" si="233"/>
        <v>0</v>
      </c>
      <c r="O3114" s="154" t="str">
        <f>IFERROR(VLOOKUP(N3114,DATA!$K$4:$L$51,2,FALSE),"")</f>
        <v/>
      </c>
    </row>
    <row r="3115" spans="5:15">
      <c r="E3115" s="584"/>
      <c r="I3115" s="585">
        <f t="shared" si="233"/>
        <v>0</v>
      </c>
      <c r="O3115" s="154" t="str">
        <f>IFERROR(VLOOKUP(N3115,DATA!$K$4:$L$51,2,FALSE),"")</f>
        <v/>
      </c>
    </row>
    <row r="3116" spans="5:15">
      <c r="E3116" s="584"/>
      <c r="I3116" s="585">
        <f t="shared" si="233"/>
        <v>0</v>
      </c>
      <c r="O3116" s="154" t="str">
        <f>IFERROR(VLOOKUP(N3116,DATA!$K$4:$L$51,2,FALSE),"")</f>
        <v/>
      </c>
    </row>
    <row r="3117" spans="5:15">
      <c r="E3117" s="584"/>
      <c r="I3117" s="585">
        <f t="shared" si="233"/>
        <v>0</v>
      </c>
      <c r="O3117" s="154" t="str">
        <f>IFERROR(VLOOKUP(N3117,DATA!$K$4:$L$51,2,FALSE),"")</f>
        <v/>
      </c>
    </row>
    <row r="3118" spans="5:15">
      <c r="G3118" s="37"/>
      <c r="H3118" s="37"/>
      <c r="I3118" s="585">
        <f t="shared" si="233"/>
        <v>0</v>
      </c>
      <c r="O3118" s="154" t="str">
        <f>IFERROR(VLOOKUP(N3118,DATA!$K$4:$L$51,2,FALSE),"")</f>
        <v/>
      </c>
    </row>
    <row r="3119" spans="5:15">
      <c r="G3119" s="37"/>
      <c r="H3119" s="37"/>
      <c r="I3119" s="585">
        <f t="shared" si="233"/>
        <v>0</v>
      </c>
      <c r="O3119" s="154" t="str">
        <f>IFERROR(VLOOKUP(N3119,DATA!$K$4:$L$51,2,FALSE),"")</f>
        <v/>
      </c>
    </row>
    <row r="3120" spans="5:15">
      <c r="G3120" s="37"/>
      <c r="H3120" s="37"/>
      <c r="I3120" s="585">
        <f t="shared" si="233"/>
        <v>0</v>
      </c>
      <c r="O3120" s="154" t="str">
        <f>IFERROR(VLOOKUP(N3120,DATA!$K$4:$L$51,2,FALSE),"")</f>
        <v/>
      </c>
    </row>
    <row r="3121" spans="7:15">
      <c r="G3121" s="37"/>
      <c r="H3121" s="37"/>
      <c r="I3121" s="585">
        <f t="shared" si="233"/>
        <v>0</v>
      </c>
      <c r="O3121" s="154" t="str">
        <f>IFERROR(VLOOKUP(N3121,DATA!$K$4:$L$51,2,FALSE),"")</f>
        <v/>
      </c>
    </row>
    <row r="3122" spans="7:15">
      <c r="G3122" s="37"/>
      <c r="H3122" s="37"/>
      <c r="I3122" s="585">
        <f t="shared" si="233"/>
        <v>0</v>
      </c>
      <c r="O3122" s="154" t="str">
        <f>IFERROR(VLOOKUP(N3122,DATA!$K$4:$L$51,2,FALSE),"")</f>
        <v/>
      </c>
    </row>
    <row r="3123" spans="7:15">
      <c r="G3123" s="37"/>
      <c r="H3123" s="37"/>
      <c r="I3123" s="585">
        <f t="shared" si="233"/>
        <v>0</v>
      </c>
      <c r="O3123" s="154" t="str">
        <f>IFERROR(VLOOKUP(N3123,DATA!$K$4:$L$51,2,FALSE),"")</f>
        <v/>
      </c>
    </row>
    <row r="3124" spans="7:15">
      <c r="G3124" s="37"/>
      <c r="H3124" s="37"/>
      <c r="I3124" s="585">
        <f t="shared" si="233"/>
        <v>0</v>
      </c>
      <c r="O3124" s="154" t="str">
        <f>IFERROR(VLOOKUP(N3124,DATA!$K$4:$L$51,2,FALSE),"")</f>
        <v/>
      </c>
    </row>
    <row r="3125" spans="7:15">
      <c r="G3125" s="37"/>
      <c r="H3125" s="37"/>
      <c r="O3125" s="154" t="str">
        <f>IFERROR(VLOOKUP(N3125,DATA!$K$4:$L$51,2,FALSE),"")</f>
        <v/>
      </c>
    </row>
    <row r="3126" spans="7:15">
      <c r="O3126" s="154" t="str">
        <f>IFERROR(VLOOKUP(N3126,DATA!$K$4:$L$51,2,FALSE),"")</f>
        <v/>
      </c>
    </row>
    <row r="3127" spans="7:15">
      <c r="O3127" s="154" t="str">
        <f>IFERROR(VLOOKUP(N3127,DATA!$K$4:$L$51,2,FALSE),"")</f>
        <v/>
      </c>
    </row>
    <row r="3128" spans="7:15">
      <c r="O3128" s="154" t="str">
        <f>IFERROR(VLOOKUP(N3128,DATA!$K$4:$L$51,2,FALSE),"")</f>
        <v/>
      </c>
    </row>
    <row r="3129" spans="7:15">
      <c r="O3129" s="154" t="str">
        <f>IFERROR(VLOOKUP(N3129,DATA!$K$4:$L$51,2,FALSE),"")</f>
        <v/>
      </c>
    </row>
    <row r="3130" spans="7:15">
      <c r="O3130" s="154" t="str">
        <f>IFERROR(VLOOKUP(N3130,DATA!$K$4:$L$51,2,FALSE),"")</f>
        <v/>
      </c>
    </row>
    <row r="3131" spans="7:15">
      <c r="O3131" s="154" t="str">
        <f>IFERROR(VLOOKUP(N3131,DATA!$K$4:$L$51,2,FALSE),"")</f>
        <v/>
      </c>
    </row>
    <row r="3132" spans="7:15">
      <c r="O3132" s="154" t="str">
        <f>IFERROR(VLOOKUP(N3132,DATA!$K$4:$L$51,2,FALSE),"")</f>
        <v/>
      </c>
    </row>
    <row r="3133" spans="7:15">
      <c r="O3133" s="154" t="str">
        <f>IFERROR(VLOOKUP(N3133,DATA!$K$4:$L$51,2,FALSE),"")</f>
        <v/>
      </c>
    </row>
    <row r="3134" spans="7:15">
      <c r="O3134" s="154" t="str">
        <f>IFERROR(VLOOKUP(N3134,DATA!$K$4:$L$51,2,FALSE),"")</f>
        <v/>
      </c>
    </row>
    <row r="3135" spans="7:15">
      <c r="O3135" s="154" t="str">
        <f>IFERROR(VLOOKUP(N3135,DATA!$K$4:$L$51,2,FALSE),"")</f>
        <v/>
      </c>
    </row>
    <row r="3136" spans="7:15">
      <c r="O3136" s="154" t="str">
        <f>IFERROR(VLOOKUP(N3136,DATA!$K$4:$L$51,2,FALSE),"")</f>
        <v/>
      </c>
    </row>
    <row r="3137" spans="15:15">
      <c r="O3137" s="154" t="str">
        <f>IFERROR(VLOOKUP(N3137,DATA!$K$4:$L$51,2,FALSE),"")</f>
        <v/>
      </c>
    </row>
    <row r="3138" spans="15:15">
      <c r="O3138" s="154" t="str">
        <f>IFERROR(VLOOKUP(N3138,DATA!$K$4:$L$51,2,FALSE),"")</f>
        <v/>
      </c>
    </row>
    <row r="3139" spans="15:15">
      <c r="O3139" s="154" t="str">
        <f>IFERROR(VLOOKUP(N3139,DATA!$K$4:$L$51,2,FALSE),"")</f>
        <v/>
      </c>
    </row>
    <row r="3140" spans="15:15">
      <c r="O3140" s="154" t="str">
        <f>IFERROR(VLOOKUP(N3140,DATA!$K$4:$L$51,2,FALSE),"")</f>
        <v/>
      </c>
    </row>
    <row r="3141" spans="15:15">
      <c r="O3141" s="154" t="str">
        <f>IFERROR(VLOOKUP(N3141,DATA!$K$4:$L$51,2,FALSE),"")</f>
        <v/>
      </c>
    </row>
    <row r="3142" spans="15:15">
      <c r="O3142" s="154" t="str">
        <f>IFERROR(VLOOKUP(N3142,DATA!$K$4:$L$51,2,FALSE),"")</f>
        <v/>
      </c>
    </row>
    <row r="3143" spans="15:15">
      <c r="O3143" s="154" t="str">
        <f>IFERROR(VLOOKUP(N3143,DATA!$K$4:$L$51,2,FALSE),"")</f>
        <v/>
      </c>
    </row>
    <row r="3144" spans="15:15">
      <c r="O3144" s="154" t="str">
        <f>IFERROR(VLOOKUP(N3144,DATA!$K$4:$L$51,2,FALSE),"")</f>
        <v/>
      </c>
    </row>
    <row r="3145" spans="15:15">
      <c r="O3145" s="154" t="str">
        <f>IFERROR(VLOOKUP(N3145,DATA!$K$4:$L$51,2,FALSE),"")</f>
        <v/>
      </c>
    </row>
    <row r="3146" spans="15:15">
      <c r="O3146" s="154" t="str">
        <f>IFERROR(VLOOKUP(N3146,DATA!$K$4:$L$51,2,FALSE),"")</f>
        <v/>
      </c>
    </row>
    <row r="3147" spans="15:15">
      <c r="O3147" s="154" t="str">
        <f>IFERROR(VLOOKUP(N3147,DATA!$K$4:$L$51,2,FALSE),"")</f>
        <v/>
      </c>
    </row>
    <row r="3148" spans="15:15">
      <c r="O3148" s="154" t="str">
        <f>IFERROR(VLOOKUP(N3148,DATA!$K$4:$L$51,2,FALSE),"")</f>
        <v/>
      </c>
    </row>
    <row r="3149" spans="15:15">
      <c r="O3149" s="154" t="str">
        <f>IFERROR(VLOOKUP(N3149,DATA!$K$4:$L$51,2,FALSE),"")</f>
        <v/>
      </c>
    </row>
    <row r="3150" spans="15:15">
      <c r="O3150" s="154" t="str">
        <f>IFERROR(VLOOKUP(N3150,DATA!$K$4:$L$51,2,FALSE),"")</f>
        <v/>
      </c>
    </row>
    <row r="3151" spans="15:15">
      <c r="O3151" s="154" t="str">
        <f>IFERROR(VLOOKUP(N3151,DATA!$K$4:$L$51,2,FALSE),"")</f>
        <v/>
      </c>
    </row>
    <row r="3152" spans="15:15">
      <c r="O3152" s="154" t="str">
        <f>IFERROR(VLOOKUP(N3152,DATA!$K$4:$L$51,2,FALSE),"")</f>
        <v/>
      </c>
    </row>
    <row r="3153" spans="15:15">
      <c r="O3153" s="154" t="str">
        <f>IFERROR(VLOOKUP(N3153,DATA!$K$4:$L$51,2,FALSE),"")</f>
        <v/>
      </c>
    </row>
    <row r="3154" spans="15:15">
      <c r="O3154" s="154" t="str">
        <f>IFERROR(VLOOKUP(N3154,DATA!$K$4:$L$51,2,FALSE),"")</f>
        <v/>
      </c>
    </row>
    <row r="3155" spans="15:15">
      <c r="O3155" s="154" t="str">
        <f>IFERROR(VLOOKUP(N3155,DATA!$K$4:$L$51,2,FALSE),"")</f>
        <v/>
      </c>
    </row>
    <row r="3156" spans="15:15">
      <c r="O3156" s="154" t="str">
        <f>IFERROR(VLOOKUP(N3156,DATA!$K$4:$L$51,2,FALSE),"")</f>
        <v/>
      </c>
    </row>
    <row r="3157" spans="15:15">
      <c r="O3157" s="154" t="str">
        <f>IFERROR(VLOOKUP(N3157,DATA!$K$4:$L$51,2,FALSE),"")</f>
        <v/>
      </c>
    </row>
    <row r="3158" spans="15:15">
      <c r="O3158" s="154" t="str">
        <f>IFERROR(VLOOKUP(N3158,DATA!$K$4:$L$51,2,FALSE),"")</f>
        <v/>
      </c>
    </row>
    <row r="3159" spans="15:15">
      <c r="O3159" s="154" t="str">
        <f>IFERROR(VLOOKUP(N3159,DATA!$K$4:$L$51,2,FALSE),"")</f>
        <v/>
      </c>
    </row>
    <row r="3160" spans="15:15">
      <c r="O3160" s="154" t="str">
        <f>IFERROR(VLOOKUP(N3160,DATA!$K$4:$L$51,2,FALSE),"")</f>
        <v/>
      </c>
    </row>
    <row r="3161" spans="15:15">
      <c r="O3161" s="154" t="str">
        <f>IFERROR(VLOOKUP(N3161,DATA!$K$4:$L$51,2,FALSE),"")</f>
        <v/>
      </c>
    </row>
    <row r="3162" spans="15:15">
      <c r="O3162" s="154" t="str">
        <f>IFERROR(VLOOKUP(N3162,DATA!$K$4:$L$51,2,FALSE),"")</f>
        <v/>
      </c>
    </row>
    <row r="3163" spans="15:15">
      <c r="O3163" s="154" t="str">
        <f>IFERROR(VLOOKUP(N3163,DATA!$K$4:$L$51,2,FALSE),"")</f>
        <v/>
      </c>
    </row>
    <row r="3164" spans="15:15">
      <c r="O3164" s="154" t="str">
        <f>IFERROR(VLOOKUP(N3164,DATA!$K$4:$L$51,2,FALSE),"")</f>
        <v/>
      </c>
    </row>
    <row r="3165" spans="15:15">
      <c r="O3165" s="154" t="str">
        <f>IFERROR(VLOOKUP(N3165,DATA!$K$4:$L$51,2,FALSE),"")</f>
        <v/>
      </c>
    </row>
    <row r="3166" spans="15:15">
      <c r="O3166" s="154" t="str">
        <f>IFERROR(VLOOKUP(N3166,DATA!$K$4:$L$51,2,FALSE),"")</f>
        <v/>
      </c>
    </row>
    <row r="3167" spans="15:15">
      <c r="O3167" s="154" t="str">
        <f>IFERROR(VLOOKUP(N3167,DATA!$K$4:$L$51,2,FALSE),"")</f>
        <v/>
      </c>
    </row>
    <row r="3168" spans="15:15">
      <c r="O3168" s="154" t="str">
        <f>IFERROR(VLOOKUP(N3168,DATA!$K$4:$L$51,2,FALSE),"")</f>
        <v/>
      </c>
    </row>
    <row r="3169" spans="15:15">
      <c r="O3169" s="154" t="str">
        <f>IFERROR(VLOOKUP(N3169,DATA!$K$4:$L$51,2,FALSE),"")</f>
        <v/>
      </c>
    </row>
    <row r="3170" spans="15:15">
      <c r="O3170" s="154" t="str">
        <f>IFERROR(VLOOKUP(N3170,DATA!$K$4:$L$51,2,FALSE),"")</f>
        <v/>
      </c>
    </row>
    <row r="3171" spans="15:15">
      <c r="O3171" s="154" t="str">
        <f>IFERROR(VLOOKUP(N3171,DATA!$K$4:$L$51,2,FALSE),"")</f>
        <v/>
      </c>
    </row>
    <row r="3172" spans="15:15">
      <c r="O3172" s="154" t="str">
        <f>IFERROR(VLOOKUP(N3172,DATA!$K$4:$L$51,2,FALSE),"")</f>
        <v/>
      </c>
    </row>
    <row r="3173" spans="15:15">
      <c r="O3173" s="154" t="str">
        <f>IFERROR(VLOOKUP(N3173,DATA!$K$4:$L$51,2,FALSE),"")</f>
        <v/>
      </c>
    </row>
    <row r="3174" spans="15:15">
      <c r="O3174" s="154" t="str">
        <f>IFERROR(VLOOKUP(N3174,DATA!$K$4:$L$51,2,FALSE),"")</f>
        <v/>
      </c>
    </row>
    <row r="3175" spans="15:15">
      <c r="O3175" s="154" t="str">
        <f>IFERROR(VLOOKUP(N3175,DATA!$K$4:$L$51,2,FALSE),"")</f>
        <v/>
      </c>
    </row>
    <row r="3176" spans="15:15">
      <c r="O3176" s="154" t="str">
        <f>IFERROR(VLOOKUP(N3176,DATA!$K$4:$L$51,2,FALSE),"")</f>
        <v/>
      </c>
    </row>
    <row r="3177" spans="15:15">
      <c r="O3177" s="154" t="str">
        <f>IFERROR(VLOOKUP(N3177,DATA!$K$4:$L$51,2,FALSE),"")</f>
        <v/>
      </c>
    </row>
    <row r="3178" spans="15:15">
      <c r="O3178" s="154" t="str">
        <f>IFERROR(VLOOKUP(N3178,DATA!$K$4:$L$51,2,FALSE),"")</f>
        <v/>
      </c>
    </row>
    <row r="3179" spans="15:15">
      <c r="O3179" s="154" t="str">
        <f>IFERROR(VLOOKUP(N3179,DATA!$K$4:$L$51,2,FALSE),"")</f>
        <v/>
      </c>
    </row>
    <row r="3180" spans="15:15">
      <c r="O3180" s="154" t="str">
        <f>IFERROR(VLOOKUP(N3180,DATA!$K$4:$L$51,2,FALSE),"")</f>
        <v/>
      </c>
    </row>
    <row r="3181" spans="15:15">
      <c r="O3181" s="154" t="str">
        <f>IFERROR(VLOOKUP(N3181,DATA!$K$4:$L$51,2,FALSE),"")</f>
        <v/>
      </c>
    </row>
    <row r="3182" spans="15:15">
      <c r="O3182" s="154" t="str">
        <f>IFERROR(VLOOKUP(N3182,DATA!$K$4:$L$51,2,FALSE),"")</f>
        <v/>
      </c>
    </row>
    <row r="3183" spans="15:15">
      <c r="O3183" s="154" t="str">
        <f>IFERROR(VLOOKUP(N3183,DATA!$K$4:$L$51,2,FALSE),"")</f>
        <v/>
      </c>
    </row>
    <row r="3184" spans="15:15">
      <c r="O3184" s="154" t="str">
        <f>IFERROR(VLOOKUP(N3184,DATA!$K$4:$L$51,2,FALSE),"")</f>
        <v/>
      </c>
    </row>
    <row r="3185" spans="15:15">
      <c r="O3185" s="154" t="str">
        <f>IFERROR(VLOOKUP(N3185,DATA!$K$4:$L$51,2,FALSE),"")</f>
        <v/>
      </c>
    </row>
    <row r="3186" spans="15:15">
      <c r="O3186" s="154" t="str">
        <f>IFERROR(VLOOKUP(N3186,DATA!$K$4:$L$51,2,FALSE),"")</f>
        <v/>
      </c>
    </row>
    <row r="3187" spans="15:15">
      <c r="O3187" s="154" t="str">
        <f>IFERROR(VLOOKUP(N3187,DATA!$K$4:$L$51,2,FALSE),"")</f>
        <v/>
      </c>
    </row>
    <row r="3188" spans="15:15">
      <c r="O3188" s="154" t="str">
        <f>IFERROR(VLOOKUP(N3188,DATA!$K$4:$L$51,2,FALSE),"")</f>
        <v/>
      </c>
    </row>
    <row r="3189" spans="15:15">
      <c r="O3189" s="154" t="str">
        <f>IFERROR(VLOOKUP(N3189,DATA!$K$4:$L$51,2,FALSE),"")</f>
        <v/>
      </c>
    </row>
    <row r="3190" spans="15:15">
      <c r="O3190" s="154" t="str">
        <f>IFERROR(VLOOKUP(N3190,DATA!$K$4:$L$51,2,FALSE),"")</f>
        <v/>
      </c>
    </row>
    <row r="3191" spans="15:15">
      <c r="O3191" s="154" t="str">
        <f>IFERROR(VLOOKUP(N3191,DATA!$K$4:$L$51,2,FALSE),"")</f>
        <v/>
      </c>
    </row>
    <row r="3192" spans="15:15">
      <c r="O3192" s="154" t="str">
        <f>IFERROR(VLOOKUP(N3192,DATA!$K$4:$L$51,2,FALSE),"")</f>
        <v/>
      </c>
    </row>
    <row r="3193" spans="15:15">
      <c r="O3193" s="154" t="str">
        <f>IFERROR(VLOOKUP(N3193,DATA!$K$4:$L$51,2,FALSE),"")</f>
        <v/>
      </c>
    </row>
    <row r="3194" spans="15:15">
      <c r="O3194" s="154" t="str">
        <f>IFERROR(VLOOKUP(N3194,DATA!$K$4:$L$51,2,FALSE),"")</f>
        <v/>
      </c>
    </row>
    <row r="3195" spans="15:15">
      <c r="O3195" s="154" t="str">
        <f>IFERROR(VLOOKUP(N3195,DATA!$K$4:$L$51,2,FALSE),"")</f>
        <v/>
      </c>
    </row>
    <row r="3196" spans="15:15">
      <c r="O3196" s="154" t="str">
        <f>IFERROR(VLOOKUP(N3196,DATA!$K$4:$L$51,2,FALSE),"")</f>
        <v/>
      </c>
    </row>
    <row r="3197" spans="15:15">
      <c r="O3197" s="154" t="str">
        <f>IFERROR(VLOOKUP(N3197,DATA!$K$4:$L$51,2,FALSE),"")</f>
        <v/>
      </c>
    </row>
    <row r="3198" spans="15:15">
      <c r="O3198" s="154" t="str">
        <f>IFERROR(VLOOKUP(N3198,DATA!$K$4:$L$51,2,FALSE),"")</f>
        <v/>
      </c>
    </row>
    <row r="3199" spans="15:15">
      <c r="O3199" s="154" t="str">
        <f>IFERROR(VLOOKUP(N3199,DATA!$K$4:$L$51,2,FALSE),"")</f>
        <v/>
      </c>
    </row>
    <row r="3200" spans="15:15">
      <c r="O3200" s="154" t="str">
        <f>IFERROR(VLOOKUP(N3200,DATA!$K$4:$L$51,2,FALSE),"")</f>
        <v/>
      </c>
    </row>
    <row r="3201" spans="15:15">
      <c r="O3201" s="154" t="str">
        <f>IFERROR(VLOOKUP(N3201,DATA!$K$4:$L$51,2,FALSE),"")</f>
        <v/>
      </c>
    </row>
    <row r="3202" spans="15:15">
      <c r="O3202" s="154" t="str">
        <f>IFERROR(VLOOKUP(N3202,DATA!$K$4:$L$51,2,FALSE),"")</f>
        <v/>
      </c>
    </row>
    <row r="3203" spans="15:15">
      <c r="O3203" s="154" t="str">
        <f>IFERROR(VLOOKUP(N3203,DATA!$K$4:$L$51,2,FALSE),"")</f>
        <v/>
      </c>
    </row>
    <row r="3204" spans="15:15">
      <c r="O3204" s="154" t="str">
        <f>IFERROR(VLOOKUP(N3204,DATA!$K$4:$L$51,2,FALSE),"")</f>
        <v/>
      </c>
    </row>
    <row r="3205" spans="15:15">
      <c r="O3205" s="154" t="str">
        <f>IFERROR(VLOOKUP(N3205,DATA!$K$4:$L$51,2,FALSE),"")</f>
        <v/>
      </c>
    </row>
    <row r="3206" spans="15:15">
      <c r="O3206" s="154" t="str">
        <f>IFERROR(VLOOKUP(N3206,DATA!$K$4:$L$51,2,FALSE),"")</f>
        <v/>
      </c>
    </row>
    <row r="3207" spans="15:15">
      <c r="O3207" s="154" t="str">
        <f>IFERROR(VLOOKUP(N3207,DATA!$K$4:$L$51,2,FALSE),"")</f>
        <v/>
      </c>
    </row>
    <row r="3208" spans="15:15">
      <c r="O3208" s="154" t="str">
        <f>IFERROR(VLOOKUP(N3208,DATA!$K$4:$L$51,2,FALSE),"")</f>
        <v/>
      </c>
    </row>
    <row r="3209" spans="15:15">
      <c r="O3209" s="154" t="str">
        <f>IFERROR(VLOOKUP(N3209,DATA!$K$4:$L$51,2,FALSE),"")</f>
        <v/>
      </c>
    </row>
    <row r="3210" spans="15:15">
      <c r="O3210" s="154" t="str">
        <f>IFERROR(VLOOKUP(N3210,DATA!$K$4:$L$51,2,FALSE),"")</f>
        <v/>
      </c>
    </row>
    <row r="3211" spans="15:15">
      <c r="O3211" s="154" t="str">
        <f>IFERROR(VLOOKUP(N3211,DATA!$K$4:$L$51,2,FALSE),"")</f>
        <v/>
      </c>
    </row>
    <row r="3212" spans="15:15">
      <c r="O3212" s="154" t="str">
        <f>IFERROR(VLOOKUP(N3212,DATA!$K$4:$L$51,2,FALSE),"")</f>
        <v/>
      </c>
    </row>
    <row r="3213" spans="15:15">
      <c r="O3213" s="154" t="str">
        <f>IFERROR(VLOOKUP(N3213,DATA!$K$4:$L$51,2,FALSE),"")</f>
        <v/>
      </c>
    </row>
    <row r="3214" spans="15:15">
      <c r="O3214" s="154" t="str">
        <f>IFERROR(VLOOKUP(N3214,DATA!$K$4:$L$51,2,FALSE),"")</f>
        <v/>
      </c>
    </row>
    <row r="3215" spans="15:15">
      <c r="O3215" s="154" t="str">
        <f>IFERROR(VLOOKUP(N3215,DATA!$K$4:$L$51,2,FALSE),"")</f>
        <v/>
      </c>
    </row>
    <row r="3216" spans="15:15">
      <c r="O3216" s="154" t="str">
        <f>IFERROR(VLOOKUP(N3216,DATA!$K$4:$L$51,2,FALSE),"")</f>
        <v/>
      </c>
    </row>
    <row r="3217" spans="15:15">
      <c r="O3217" s="154" t="str">
        <f>IFERROR(VLOOKUP(N3217,DATA!$K$4:$L$51,2,FALSE),"")</f>
        <v/>
      </c>
    </row>
    <row r="3218" spans="15:15">
      <c r="O3218" s="154" t="str">
        <f>IFERROR(VLOOKUP(N3218,DATA!$K$4:$L$51,2,FALSE),"")</f>
        <v/>
      </c>
    </row>
    <row r="3219" spans="15:15">
      <c r="O3219" s="154" t="str">
        <f>IFERROR(VLOOKUP(N3219,DATA!$K$4:$L$51,2,FALSE),"")</f>
        <v/>
      </c>
    </row>
    <row r="3220" spans="15:15">
      <c r="O3220" s="154" t="str">
        <f>IFERROR(VLOOKUP(N3220,DATA!$K$4:$L$51,2,FALSE),"")</f>
        <v/>
      </c>
    </row>
    <row r="3221" spans="15:15">
      <c r="O3221" s="154" t="str">
        <f>IFERROR(VLOOKUP(N3221,DATA!$K$4:$L$51,2,FALSE),"")</f>
        <v/>
      </c>
    </row>
    <row r="3222" spans="15:15">
      <c r="O3222" s="154" t="str">
        <f>IFERROR(VLOOKUP(N3222,DATA!$K$4:$L$51,2,FALSE),"")</f>
        <v/>
      </c>
    </row>
    <row r="3223" spans="15:15">
      <c r="O3223" s="154" t="str">
        <f>IFERROR(VLOOKUP(N3223,DATA!$K$4:$L$51,2,FALSE),"")</f>
        <v/>
      </c>
    </row>
    <row r="3224" spans="15:15">
      <c r="O3224" s="154" t="str">
        <f>IFERROR(VLOOKUP(N3224,DATA!$K$4:$L$51,2,FALSE),"")</f>
        <v/>
      </c>
    </row>
    <row r="3225" spans="15:15">
      <c r="O3225" s="154" t="str">
        <f>IFERROR(VLOOKUP(N3225,DATA!$K$4:$L$51,2,FALSE),"")</f>
        <v/>
      </c>
    </row>
    <row r="3226" spans="15:15">
      <c r="O3226" s="154" t="str">
        <f>IFERROR(VLOOKUP(N3226,DATA!$K$4:$L$51,2,FALSE),"")</f>
        <v/>
      </c>
    </row>
    <row r="3227" spans="15:15">
      <c r="O3227" s="154" t="str">
        <f>IFERROR(VLOOKUP(N3227,DATA!$K$4:$L$51,2,FALSE),"")</f>
        <v/>
      </c>
    </row>
    <row r="3228" spans="15:15">
      <c r="O3228" s="154" t="str">
        <f>IFERROR(VLOOKUP(N3228,DATA!$K$4:$L$51,2,FALSE),"")</f>
        <v/>
      </c>
    </row>
    <row r="3229" spans="15:15">
      <c r="O3229" s="154" t="str">
        <f>IFERROR(VLOOKUP(N3229,DATA!$K$4:$L$51,2,FALSE),"")</f>
        <v/>
      </c>
    </row>
    <row r="3230" spans="15:15">
      <c r="O3230" s="154" t="str">
        <f>IFERROR(VLOOKUP(N3230,DATA!$K$4:$L$51,2,FALSE),"")</f>
        <v/>
      </c>
    </row>
    <row r="3231" spans="15:15">
      <c r="O3231" s="154" t="str">
        <f>IFERROR(VLOOKUP(N3231,DATA!$K$4:$L$51,2,FALSE),"")</f>
        <v/>
      </c>
    </row>
    <row r="3232" spans="15:15">
      <c r="O3232" s="154" t="str">
        <f>IFERROR(VLOOKUP(N3232,DATA!$K$4:$L$51,2,FALSE),"")</f>
        <v/>
      </c>
    </row>
    <row r="3233" spans="15:15">
      <c r="O3233" s="154" t="str">
        <f>IFERROR(VLOOKUP(N3233,DATA!$K$4:$L$51,2,FALSE),"")</f>
        <v/>
      </c>
    </row>
  </sheetData>
  <autoFilter ref="A5:Q3124">
    <filterColumn colId="2"/>
    <filterColumn colId="4"/>
    <filterColumn colId="11"/>
    <filterColumn colId="13"/>
  </autoFilter>
  <sortState ref="A6:Q1447">
    <sortCondition ref="C6:C1447"/>
  </sortState>
  <conditionalFormatting sqref="I3110:I3113 N1973 N1975:N1984 N1986:N1988 N1990:N1998 N2000:N2003 N2005:N2008 N2010:N2012 N1964:N1971 M2181:O2182 M2183:N2184 I1964:J2051 M2100:O2101 I2100:J2101 B1964:B2530 O1964:O17592 M1964:M2559 N2014:N17592 G100:H103 L100:L103 N100:N103 E155:E156 G149:H156 L144:L156 N149:N156 E207:E210 G207:H210 N207:N210 G193:H201 L193:L210 N193:N201 E197:E201 G167:H171 L162:L172 N167:N171 E167:E171 E241:E243 G241:H243 L241:L259 N241:N243 F1964:F2131 F2140:F3109 E2235:H2236">
    <cfRule type="expression" dxfId="732" priority="2819">
      <formula>$B100&lt;&gt;""</formula>
    </cfRule>
  </conditionalFormatting>
  <conditionalFormatting sqref="I3110:I3113 O2185:O3233 G100:H103 L100:L103 N100:N103 E155:E156 G149:H156 L144:L156 N149:N156 E207:E210 G207:H210 N207:N210 G193:H201 L193:L210 N193:N201 E197:E201 G167:H171 L162:L172 N167:N171 E167:E171 E241:E243 G241:H243 L241:L259 N241:N243 G1964:P2984 F1964:F2131 F2140:F3109 E2235:F2236 E2100:F2101 B1964:C2984 E1964:E2984 E1978:F1979">
    <cfRule type="expression" dxfId="731" priority="2818">
      <formula>$C100&lt;&gt;""</formula>
    </cfRule>
  </conditionalFormatting>
  <conditionalFormatting sqref="J1:K1">
    <cfRule type="expression" dxfId="730" priority="2961">
      <formula>#REF!&lt;&gt;""</formula>
    </cfRule>
  </conditionalFormatting>
  <conditionalFormatting sqref="I3114:I3124">
    <cfRule type="expression" dxfId="729" priority="877">
      <formula>$B3114&lt;&gt;""</formula>
    </cfRule>
  </conditionalFormatting>
  <conditionalFormatting sqref="I3114:I3124">
    <cfRule type="expression" dxfId="728" priority="876">
      <formula>$C3114&lt;&gt;""</formula>
    </cfRule>
  </conditionalFormatting>
  <conditionalFormatting sqref="E124:E128">
    <cfRule type="expression" dxfId="727" priority="829" stopIfTrue="1">
      <formula>$C124&lt;&gt;""</formula>
    </cfRule>
  </conditionalFormatting>
  <conditionalFormatting sqref="E124:E128">
    <cfRule type="expression" dxfId="726" priority="828" stopIfTrue="1">
      <formula>$B124&lt;&gt;""</formula>
    </cfRule>
  </conditionalFormatting>
  <conditionalFormatting sqref="E113:E118">
    <cfRule type="expression" dxfId="725" priority="827" stopIfTrue="1">
      <formula>$C113&lt;&gt;""</formula>
    </cfRule>
  </conditionalFormatting>
  <conditionalFormatting sqref="E113:E118">
    <cfRule type="expression" dxfId="724" priority="826" stopIfTrue="1">
      <formula>$B113&lt;&gt;""</formula>
    </cfRule>
  </conditionalFormatting>
  <conditionalFormatting sqref="E139:E143">
    <cfRule type="expression" dxfId="723" priority="825" stopIfTrue="1">
      <formula>$C139&lt;&gt;""</formula>
    </cfRule>
  </conditionalFormatting>
  <conditionalFormatting sqref="E139:E143">
    <cfRule type="expression" dxfId="722" priority="824" stopIfTrue="1">
      <formula>$B139&lt;&gt;""</formula>
    </cfRule>
  </conditionalFormatting>
  <conditionalFormatting sqref="E134:E139">
    <cfRule type="expression" dxfId="721" priority="823" stopIfTrue="1">
      <formula>$C134&lt;&gt;""</formula>
    </cfRule>
  </conditionalFormatting>
  <conditionalFormatting sqref="E134:E139">
    <cfRule type="expression" dxfId="720" priority="822" stopIfTrue="1">
      <formula>$B134&lt;&gt;""</formula>
    </cfRule>
  </conditionalFormatting>
  <conditionalFormatting sqref="E119:E123">
    <cfRule type="expression" dxfId="719" priority="821" stopIfTrue="1">
      <formula>$C119&lt;&gt;""</formula>
    </cfRule>
  </conditionalFormatting>
  <conditionalFormatting sqref="E119:E123">
    <cfRule type="expression" dxfId="718" priority="820" stopIfTrue="1">
      <formula>$B119&lt;&gt;""</formula>
    </cfRule>
  </conditionalFormatting>
  <conditionalFormatting sqref="E129:E133">
    <cfRule type="expression" dxfId="717" priority="819" stopIfTrue="1">
      <formula>$C129&lt;&gt;""</formula>
    </cfRule>
  </conditionalFormatting>
  <conditionalFormatting sqref="E129:E133">
    <cfRule type="expression" dxfId="716" priority="818" stopIfTrue="1">
      <formula>$B129&lt;&gt;""</formula>
    </cfRule>
  </conditionalFormatting>
  <conditionalFormatting sqref="E65:E69">
    <cfRule type="expression" dxfId="715" priority="817" stopIfTrue="1">
      <formula>$C65&lt;&gt;""</formula>
    </cfRule>
  </conditionalFormatting>
  <conditionalFormatting sqref="E65:E69">
    <cfRule type="expression" dxfId="714" priority="816" stopIfTrue="1">
      <formula>$B65&lt;&gt;""</formula>
    </cfRule>
  </conditionalFormatting>
  <conditionalFormatting sqref="E70:E74">
    <cfRule type="expression" dxfId="713" priority="815" stopIfTrue="1">
      <formula>$C70&lt;&gt;""</formula>
    </cfRule>
  </conditionalFormatting>
  <conditionalFormatting sqref="E70:E74">
    <cfRule type="expression" dxfId="712" priority="814" stopIfTrue="1">
      <formula>$B70&lt;&gt;""</formula>
    </cfRule>
  </conditionalFormatting>
  <conditionalFormatting sqref="E75:E80">
    <cfRule type="expression" dxfId="711" priority="813" stopIfTrue="1">
      <formula>$B75&lt;&gt;""</formula>
    </cfRule>
  </conditionalFormatting>
  <conditionalFormatting sqref="E75:E80">
    <cfRule type="expression" dxfId="710" priority="812" stopIfTrue="1">
      <formula>$C75&lt;&gt;""</formula>
    </cfRule>
  </conditionalFormatting>
  <conditionalFormatting sqref="E80:E84">
    <cfRule type="expression" dxfId="709" priority="811" stopIfTrue="1">
      <formula>$B80&lt;&gt;""</formula>
    </cfRule>
  </conditionalFormatting>
  <conditionalFormatting sqref="E80:E84">
    <cfRule type="expression" dxfId="708" priority="810" stopIfTrue="1">
      <formula>$C80&lt;&gt;""</formula>
    </cfRule>
  </conditionalFormatting>
  <conditionalFormatting sqref="E85:E89">
    <cfRule type="expression" dxfId="707" priority="809" stopIfTrue="1">
      <formula>$B85&lt;&gt;""</formula>
    </cfRule>
  </conditionalFormatting>
  <conditionalFormatting sqref="E85:E89">
    <cfRule type="expression" dxfId="706" priority="808" stopIfTrue="1">
      <formula>$C85&lt;&gt;""</formula>
    </cfRule>
  </conditionalFormatting>
  <conditionalFormatting sqref="E90:E94">
    <cfRule type="expression" dxfId="705" priority="807" stopIfTrue="1">
      <formula>$B90&lt;&gt;""</formula>
    </cfRule>
  </conditionalFormatting>
  <conditionalFormatting sqref="E90:E94">
    <cfRule type="expression" dxfId="704" priority="806" stopIfTrue="1">
      <formula>$C90&lt;&gt;""</formula>
    </cfRule>
  </conditionalFormatting>
  <conditionalFormatting sqref="E95">
    <cfRule type="expression" dxfId="703" priority="805" stopIfTrue="1">
      <formula>$B95&lt;&gt;""</formula>
    </cfRule>
  </conditionalFormatting>
  <conditionalFormatting sqref="E95">
    <cfRule type="expression" dxfId="702" priority="804" stopIfTrue="1">
      <formula>$C95&lt;&gt;""</formula>
    </cfRule>
  </conditionalFormatting>
  <conditionalFormatting sqref="E111:E113">
    <cfRule type="expression" dxfId="701" priority="801" stopIfTrue="1">
      <formula>$C111&lt;&gt;""</formula>
    </cfRule>
  </conditionalFormatting>
  <conditionalFormatting sqref="E111:E113">
    <cfRule type="expression" dxfId="700" priority="800" stopIfTrue="1">
      <formula>$B111&lt;&gt;""</formula>
    </cfRule>
  </conditionalFormatting>
  <conditionalFormatting sqref="E144:E146">
    <cfRule type="expression" dxfId="699" priority="799" stopIfTrue="1">
      <formula>$C144&lt;&gt;""</formula>
    </cfRule>
  </conditionalFormatting>
  <conditionalFormatting sqref="E144:E146">
    <cfRule type="expression" dxfId="698" priority="798" stopIfTrue="1">
      <formula>$B144&lt;&gt;""</formula>
    </cfRule>
  </conditionalFormatting>
  <conditionalFormatting sqref="E151:E152">
    <cfRule type="expression" dxfId="697" priority="797" stopIfTrue="1">
      <formula>$C151&lt;&gt;""</formula>
    </cfRule>
  </conditionalFormatting>
  <conditionalFormatting sqref="E151:E152">
    <cfRule type="expression" dxfId="696" priority="796" stopIfTrue="1">
      <formula>$B151&lt;&gt;""</formula>
    </cfRule>
  </conditionalFormatting>
  <conditionalFormatting sqref="E157:E161">
    <cfRule type="expression" dxfId="695" priority="793" stopIfTrue="1">
      <formula>$B157&lt;&gt;""</formula>
    </cfRule>
  </conditionalFormatting>
  <conditionalFormatting sqref="E157:E161">
    <cfRule type="expression" dxfId="694" priority="792" stopIfTrue="1">
      <formula>$C157&lt;&gt;""</formula>
    </cfRule>
  </conditionalFormatting>
  <conditionalFormatting sqref="E162:E166">
    <cfRule type="expression" dxfId="693" priority="791" stopIfTrue="1">
      <formula>$B162&lt;&gt;""</formula>
    </cfRule>
  </conditionalFormatting>
  <conditionalFormatting sqref="E162:E166">
    <cfRule type="expression" dxfId="692" priority="790" stopIfTrue="1">
      <formula>$C162&lt;&gt;""</formula>
    </cfRule>
  </conditionalFormatting>
  <conditionalFormatting sqref="E172:E176">
    <cfRule type="expression" dxfId="691" priority="785" stopIfTrue="1">
      <formula>$C172&lt;&gt;""</formula>
    </cfRule>
  </conditionalFormatting>
  <conditionalFormatting sqref="E172:E176">
    <cfRule type="expression" dxfId="690" priority="784" stopIfTrue="1">
      <formula>$B172&lt;&gt;""</formula>
    </cfRule>
  </conditionalFormatting>
  <conditionalFormatting sqref="E177 E181:E182">
    <cfRule type="expression" dxfId="689" priority="783" stopIfTrue="1">
      <formula>$B177&lt;&gt;""</formula>
    </cfRule>
  </conditionalFormatting>
  <conditionalFormatting sqref="E177 E181:E182">
    <cfRule type="expression" dxfId="688" priority="782" stopIfTrue="1">
      <formula>$C177&lt;&gt;""</formula>
    </cfRule>
  </conditionalFormatting>
  <conditionalFormatting sqref="E183:E184">
    <cfRule type="expression" dxfId="687" priority="781" stopIfTrue="1">
      <formula>$B183&lt;&gt;""</formula>
    </cfRule>
  </conditionalFormatting>
  <conditionalFormatting sqref="E183:E184">
    <cfRule type="expression" dxfId="686" priority="780" stopIfTrue="1">
      <formula>$C183&lt;&gt;""</formula>
    </cfRule>
  </conditionalFormatting>
  <conditionalFormatting sqref="E189:E192">
    <cfRule type="expression" dxfId="685" priority="779" stopIfTrue="1">
      <formula>$B189&lt;&gt;""</formula>
    </cfRule>
  </conditionalFormatting>
  <conditionalFormatting sqref="E189:E192">
    <cfRule type="expression" dxfId="684" priority="778" stopIfTrue="1">
      <formula>$C189&lt;&gt;""</formula>
    </cfRule>
  </conditionalFormatting>
  <conditionalFormatting sqref="E196:E197">
    <cfRule type="expression" dxfId="683" priority="777" stopIfTrue="1">
      <formula>$B196&lt;&gt;""</formula>
    </cfRule>
  </conditionalFormatting>
  <conditionalFormatting sqref="E196:E197">
    <cfRule type="expression" dxfId="682" priority="776" stopIfTrue="1">
      <formula>$C196&lt;&gt;""</formula>
    </cfRule>
  </conditionalFormatting>
  <conditionalFormatting sqref="E202:E206">
    <cfRule type="expression" dxfId="681" priority="773" stopIfTrue="1">
      <formula>$C202&lt;&gt;""</formula>
    </cfRule>
  </conditionalFormatting>
  <conditionalFormatting sqref="E202:E206">
    <cfRule type="expression" dxfId="680" priority="772" stopIfTrue="1">
      <formula>$B202&lt;&gt;""</formula>
    </cfRule>
  </conditionalFormatting>
  <conditionalFormatting sqref="E211:E215">
    <cfRule type="expression" dxfId="679" priority="769" stopIfTrue="1">
      <formula>$B211&lt;&gt;""</formula>
    </cfRule>
  </conditionalFormatting>
  <conditionalFormatting sqref="E211:E215">
    <cfRule type="expression" dxfId="678" priority="768" stopIfTrue="1">
      <formula>$C211&lt;&gt;""</formula>
    </cfRule>
  </conditionalFormatting>
  <conditionalFormatting sqref="E216:E220">
    <cfRule type="expression" dxfId="677" priority="767" stopIfTrue="1">
      <formula>$B216&lt;&gt;""</formula>
    </cfRule>
  </conditionalFormatting>
  <conditionalFormatting sqref="E216:E220">
    <cfRule type="expression" dxfId="676" priority="766" stopIfTrue="1">
      <formula>$C216&lt;&gt;""</formula>
    </cfRule>
  </conditionalFormatting>
  <conditionalFormatting sqref="E221:E225">
    <cfRule type="expression" dxfId="675" priority="765" stopIfTrue="1">
      <formula>$B221&lt;&gt;""</formula>
    </cfRule>
  </conditionalFormatting>
  <conditionalFormatting sqref="E221:E225">
    <cfRule type="expression" dxfId="674" priority="764" stopIfTrue="1">
      <formula>$C221&lt;&gt;""</formula>
    </cfRule>
  </conditionalFormatting>
  <conditionalFormatting sqref="E226:E230">
    <cfRule type="expression" dxfId="673" priority="763" stopIfTrue="1">
      <formula>$C226&lt;&gt;""</formula>
    </cfRule>
  </conditionalFormatting>
  <conditionalFormatting sqref="E226:E230">
    <cfRule type="expression" dxfId="672" priority="762" stopIfTrue="1">
      <formula>$B226&lt;&gt;""</formula>
    </cfRule>
  </conditionalFormatting>
  <conditionalFormatting sqref="E231:E235">
    <cfRule type="expression" dxfId="671" priority="761" stopIfTrue="1">
      <formula>$C231&lt;&gt;""</formula>
    </cfRule>
  </conditionalFormatting>
  <conditionalFormatting sqref="E231:E235">
    <cfRule type="expression" dxfId="670" priority="760" stopIfTrue="1">
      <formula>$B231&lt;&gt;""</formula>
    </cfRule>
  </conditionalFormatting>
  <conditionalFormatting sqref="E236:E240">
    <cfRule type="expression" dxfId="669" priority="759" stopIfTrue="1">
      <formula>$B236&lt;&gt;""</formula>
    </cfRule>
  </conditionalFormatting>
  <conditionalFormatting sqref="E236:E240">
    <cfRule type="expression" dxfId="668" priority="758" stopIfTrue="1">
      <formula>$C236&lt;&gt;""</formula>
    </cfRule>
  </conditionalFormatting>
  <conditionalFormatting sqref="E244:E251">
    <cfRule type="expression" dxfId="667" priority="755" stopIfTrue="1">
      <formula>$B244&lt;&gt;""</formula>
    </cfRule>
  </conditionalFormatting>
  <conditionalFormatting sqref="E244:E251">
    <cfRule type="expression" dxfId="666" priority="754" stopIfTrue="1">
      <formula>$C244&lt;&gt;""</formula>
    </cfRule>
  </conditionalFormatting>
  <conditionalFormatting sqref="E252:E256">
    <cfRule type="expression" dxfId="665" priority="753" stopIfTrue="1">
      <formula>$B252&lt;&gt;""</formula>
    </cfRule>
  </conditionalFormatting>
  <conditionalFormatting sqref="E252:E256">
    <cfRule type="expression" dxfId="664" priority="752" stopIfTrue="1">
      <formula>$C252&lt;&gt;""</formula>
    </cfRule>
  </conditionalFormatting>
  <conditionalFormatting sqref="E60:E64">
    <cfRule type="expression" dxfId="663" priority="751" stopIfTrue="1">
      <formula>$C60&lt;&gt;""</formula>
    </cfRule>
  </conditionalFormatting>
  <conditionalFormatting sqref="E60:E64">
    <cfRule type="expression" dxfId="662" priority="750" stopIfTrue="1">
      <formula>$B60&lt;&gt;""</formula>
    </cfRule>
  </conditionalFormatting>
  <conditionalFormatting sqref="F2235:F2236">
    <cfRule type="expression" dxfId="661" priority="749" stopIfTrue="1">
      <formula>$B2235&lt;&gt;""</formula>
    </cfRule>
  </conditionalFormatting>
  <conditionalFormatting sqref="H2241">
    <cfRule type="expression" dxfId="660" priority="746" stopIfTrue="1">
      <formula>$C2241&lt;&gt;""</formula>
    </cfRule>
  </conditionalFormatting>
  <conditionalFormatting sqref="H2241">
    <cfRule type="expression" dxfId="659" priority="745" stopIfTrue="1">
      <formula>$B2241&lt;&gt;""</formula>
    </cfRule>
  </conditionalFormatting>
  <conditionalFormatting sqref="G2242">
    <cfRule type="expression" dxfId="658" priority="744" stopIfTrue="1">
      <formula>$C2242&lt;&gt;""</formula>
    </cfRule>
  </conditionalFormatting>
  <conditionalFormatting sqref="G2242">
    <cfRule type="expression" dxfId="657" priority="743" stopIfTrue="1">
      <formula>$B2242&lt;&gt;""</formula>
    </cfRule>
  </conditionalFormatting>
  <conditionalFormatting sqref="G2242">
    <cfRule type="expression" dxfId="656" priority="742" stopIfTrue="1">
      <formula>$C2242&lt;&gt;""</formula>
    </cfRule>
  </conditionalFormatting>
  <conditionalFormatting sqref="G2242">
    <cfRule type="expression" dxfId="655" priority="741" stopIfTrue="1">
      <formula>$B2242&lt;&gt;""</formula>
    </cfRule>
  </conditionalFormatting>
  <conditionalFormatting sqref="G2236">
    <cfRule type="expression" dxfId="654" priority="740" stopIfTrue="1">
      <formula>$C2236&lt;&gt;""</formula>
    </cfRule>
  </conditionalFormatting>
  <conditionalFormatting sqref="G2236">
    <cfRule type="expression" dxfId="653" priority="739" stopIfTrue="1">
      <formula>$B2236&lt;&gt;""</formula>
    </cfRule>
  </conditionalFormatting>
  <conditionalFormatting sqref="G2236">
    <cfRule type="expression" dxfId="652" priority="738" stopIfTrue="1">
      <formula>$C2236&lt;&gt;""</formula>
    </cfRule>
  </conditionalFormatting>
  <conditionalFormatting sqref="G2236">
    <cfRule type="expression" dxfId="651" priority="737" stopIfTrue="1">
      <formula>$B2236&lt;&gt;""</formula>
    </cfRule>
  </conditionalFormatting>
  <conditionalFormatting sqref="H2235">
    <cfRule type="expression" dxfId="650" priority="736" stopIfTrue="1">
      <formula>$C2235&lt;&gt;""</formula>
    </cfRule>
  </conditionalFormatting>
  <conditionalFormatting sqref="H2235">
    <cfRule type="expression" dxfId="649" priority="735" stopIfTrue="1">
      <formula>$B2235&lt;&gt;""</formula>
    </cfRule>
  </conditionalFormatting>
  <conditionalFormatting sqref="H2235">
    <cfRule type="expression" dxfId="648" priority="734" stopIfTrue="1">
      <formula>$C2235&lt;&gt;""</formula>
    </cfRule>
  </conditionalFormatting>
  <conditionalFormatting sqref="H2235">
    <cfRule type="expression" dxfId="647" priority="733" stopIfTrue="1">
      <formula>$B2235&lt;&gt;""</formula>
    </cfRule>
  </conditionalFormatting>
  <conditionalFormatting sqref="C2245:C2412">
    <cfRule type="expression" dxfId="646" priority="732" stopIfTrue="1">
      <formula>$C2245&lt;&gt;""</formula>
    </cfRule>
  </conditionalFormatting>
  <conditionalFormatting sqref="C2245:C2412">
    <cfRule type="expression" dxfId="645" priority="731" stopIfTrue="1">
      <formula>$B2245&lt;&gt;""</formula>
    </cfRule>
  </conditionalFormatting>
  <conditionalFormatting sqref="C2413:C2437">
    <cfRule type="expression" dxfId="644" priority="730" stopIfTrue="1">
      <formula>$C2413&lt;&gt;""</formula>
    </cfRule>
  </conditionalFormatting>
  <conditionalFormatting sqref="C2413:C2437">
    <cfRule type="expression" dxfId="643" priority="729" stopIfTrue="1">
      <formula>$B2413&lt;&gt;""</formula>
    </cfRule>
  </conditionalFormatting>
  <conditionalFormatting sqref="D2412:D2436">
    <cfRule type="expression" dxfId="642" priority="728" stopIfTrue="1">
      <formula>$B2413&lt;&gt;""</formula>
    </cfRule>
  </conditionalFormatting>
  <conditionalFormatting sqref="D2412:D2436">
    <cfRule type="expression" dxfId="641" priority="726" stopIfTrue="1">
      <formula>$B2413&lt;&gt;""</formula>
    </cfRule>
  </conditionalFormatting>
  <conditionalFormatting sqref="E2413:E2437">
    <cfRule type="expression" dxfId="640" priority="725" stopIfTrue="1">
      <formula>$C2413&lt;&gt;""</formula>
    </cfRule>
  </conditionalFormatting>
  <conditionalFormatting sqref="E2413:E2437">
    <cfRule type="expression" dxfId="639" priority="724" stopIfTrue="1">
      <formula>$B2413&lt;&gt;""</formula>
    </cfRule>
  </conditionalFormatting>
  <conditionalFormatting sqref="C2438:C2447">
    <cfRule type="expression" dxfId="638" priority="723" stopIfTrue="1">
      <formula>$C2438&lt;&gt;""</formula>
    </cfRule>
  </conditionalFormatting>
  <conditionalFormatting sqref="C2438:C2447">
    <cfRule type="expression" dxfId="637" priority="722" stopIfTrue="1">
      <formula>$B2438&lt;&gt;""</formula>
    </cfRule>
  </conditionalFormatting>
  <conditionalFormatting sqref="E2486:E2487">
    <cfRule type="expression" dxfId="636" priority="721" stopIfTrue="1">
      <formula>$C2486&lt;&gt;""</formula>
    </cfRule>
  </conditionalFormatting>
  <conditionalFormatting sqref="E2486:E2487">
    <cfRule type="expression" dxfId="635" priority="720" stopIfTrue="1">
      <formula>$B2486&lt;&gt;""</formula>
    </cfRule>
  </conditionalFormatting>
  <conditionalFormatting sqref="D1963:D2983">
    <cfRule type="expression" dxfId="634" priority="719" stopIfTrue="1">
      <formula>$C1964&lt;&gt;""</formula>
    </cfRule>
  </conditionalFormatting>
  <conditionalFormatting sqref="D2244:D2411">
    <cfRule type="expression" dxfId="633" priority="718" stopIfTrue="1">
      <formula>$B2245&lt;&gt;""</formula>
    </cfRule>
  </conditionalFormatting>
  <conditionalFormatting sqref="D2412:D2436">
    <cfRule type="expression" dxfId="632" priority="717" stopIfTrue="1">
      <formula>$C2413&lt;&gt;""</formula>
    </cfRule>
  </conditionalFormatting>
  <conditionalFormatting sqref="D2412:D2436">
    <cfRule type="expression" dxfId="631" priority="716" stopIfTrue="1">
      <formula>$B2413&lt;&gt;""</formula>
    </cfRule>
  </conditionalFormatting>
  <conditionalFormatting sqref="D2437:D2446">
    <cfRule type="expression" dxfId="630" priority="715" stopIfTrue="1">
      <formula>$C2438&lt;&gt;""</formula>
    </cfRule>
  </conditionalFormatting>
  <conditionalFormatting sqref="D2437:D2446">
    <cfRule type="expression" dxfId="629" priority="714" stopIfTrue="1">
      <formula>$B2438&lt;&gt;""</formula>
    </cfRule>
  </conditionalFormatting>
  <conditionalFormatting sqref="E2413:E2437">
    <cfRule type="expression" dxfId="628" priority="713" stopIfTrue="1">
      <formula>$B2413&lt;&gt;""</formula>
    </cfRule>
  </conditionalFormatting>
  <conditionalFormatting sqref="E2413:E2437">
    <cfRule type="expression" dxfId="627" priority="712" stopIfTrue="1">
      <formula>$C2413&lt;&gt;""</formula>
    </cfRule>
  </conditionalFormatting>
  <conditionalFormatting sqref="E2413:E2437">
    <cfRule type="expression" dxfId="626" priority="711" stopIfTrue="1">
      <formula>$B2413&lt;&gt;""</formula>
    </cfRule>
  </conditionalFormatting>
  <conditionalFormatting sqref="E2245:E2412">
    <cfRule type="expression" dxfId="625" priority="710" stopIfTrue="1">
      <formula>$C2245&lt;&gt;""</formula>
    </cfRule>
  </conditionalFormatting>
  <conditionalFormatting sqref="E2245:E2412">
    <cfRule type="expression" dxfId="624" priority="709" stopIfTrue="1">
      <formula>$B2245&lt;&gt;""</formula>
    </cfRule>
  </conditionalFormatting>
  <conditionalFormatting sqref="E2413:E2437">
    <cfRule type="expression" dxfId="623" priority="708" stopIfTrue="1">
      <formula>$C2413&lt;&gt;""</formula>
    </cfRule>
  </conditionalFormatting>
  <conditionalFormatting sqref="E2413:E2437">
    <cfRule type="expression" dxfId="622" priority="707" stopIfTrue="1">
      <formula>$B2413&lt;&gt;""</formula>
    </cfRule>
  </conditionalFormatting>
  <conditionalFormatting sqref="E2438:E2447">
    <cfRule type="expression" dxfId="621" priority="706" stopIfTrue="1">
      <formula>$C2438&lt;&gt;""</formula>
    </cfRule>
  </conditionalFormatting>
  <conditionalFormatting sqref="E2438:E2447">
    <cfRule type="expression" dxfId="620" priority="705" stopIfTrue="1">
      <formula>$B2438&lt;&gt;""</formula>
    </cfRule>
  </conditionalFormatting>
  <conditionalFormatting sqref="G124:G128">
    <cfRule type="expression" dxfId="619" priority="702" stopIfTrue="1">
      <formula>$C124&lt;&gt;""</formula>
    </cfRule>
  </conditionalFormatting>
  <conditionalFormatting sqref="G124:G128">
    <cfRule type="expression" dxfId="618" priority="701" stopIfTrue="1">
      <formula>$B124&lt;&gt;""</formula>
    </cfRule>
  </conditionalFormatting>
  <conditionalFormatting sqref="G114:G118">
    <cfRule type="expression" dxfId="617" priority="700" stopIfTrue="1">
      <formula>$C114&lt;&gt;""</formula>
    </cfRule>
  </conditionalFormatting>
  <conditionalFormatting sqref="G114:G118">
    <cfRule type="expression" dxfId="616" priority="699" stopIfTrue="1">
      <formula>$B114&lt;&gt;""</formula>
    </cfRule>
  </conditionalFormatting>
  <conditionalFormatting sqref="G139:G143">
    <cfRule type="expression" dxfId="615" priority="698" stopIfTrue="1">
      <formula>$C139&lt;&gt;""</formula>
    </cfRule>
  </conditionalFormatting>
  <conditionalFormatting sqref="G139:G143">
    <cfRule type="expression" dxfId="614" priority="697" stopIfTrue="1">
      <formula>$B139&lt;&gt;""</formula>
    </cfRule>
  </conditionalFormatting>
  <conditionalFormatting sqref="G134:G138">
    <cfRule type="expression" dxfId="613" priority="696" stopIfTrue="1">
      <formula>$C134&lt;&gt;""</formula>
    </cfRule>
  </conditionalFormatting>
  <conditionalFormatting sqref="G134:G138">
    <cfRule type="expression" dxfId="612" priority="695" stopIfTrue="1">
      <formula>$B134&lt;&gt;""</formula>
    </cfRule>
  </conditionalFormatting>
  <conditionalFormatting sqref="G119:G123">
    <cfRule type="expression" dxfId="611" priority="694" stopIfTrue="1">
      <formula>$C119&lt;&gt;""</formula>
    </cfRule>
  </conditionalFormatting>
  <conditionalFormatting sqref="G119:G123">
    <cfRule type="expression" dxfId="610" priority="693" stopIfTrue="1">
      <formula>$B119&lt;&gt;""</formula>
    </cfRule>
  </conditionalFormatting>
  <conditionalFormatting sqref="G129:G133">
    <cfRule type="expression" dxfId="609" priority="692" stopIfTrue="1">
      <formula>$C129&lt;&gt;""</formula>
    </cfRule>
  </conditionalFormatting>
  <conditionalFormatting sqref="G129:G133">
    <cfRule type="expression" dxfId="608" priority="691" stopIfTrue="1">
      <formula>$B129&lt;&gt;""</formula>
    </cfRule>
  </conditionalFormatting>
  <conditionalFormatting sqref="G65:G69">
    <cfRule type="expression" dxfId="607" priority="690" stopIfTrue="1">
      <formula>$C65&lt;&gt;""</formula>
    </cfRule>
  </conditionalFormatting>
  <conditionalFormatting sqref="G65:G69">
    <cfRule type="expression" dxfId="606" priority="689" stopIfTrue="1">
      <formula>$B65&lt;&gt;""</formula>
    </cfRule>
  </conditionalFormatting>
  <conditionalFormatting sqref="G70:G74">
    <cfRule type="expression" dxfId="605" priority="688" stopIfTrue="1">
      <formula>$C70&lt;&gt;""</formula>
    </cfRule>
  </conditionalFormatting>
  <conditionalFormatting sqref="G70:G74">
    <cfRule type="expression" dxfId="604" priority="687" stopIfTrue="1">
      <formula>$B70&lt;&gt;""</formula>
    </cfRule>
  </conditionalFormatting>
  <conditionalFormatting sqref="G75:G79">
    <cfRule type="expression" dxfId="603" priority="686" stopIfTrue="1">
      <formula>$B75&lt;&gt;""</formula>
    </cfRule>
  </conditionalFormatting>
  <conditionalFormatting sqref="G75:G79">
    <cfRule type="expression" dxfId="602" priority="685" stopIfTrue="1">
      <formula>$C75&lt;&gt;""</formula>
    </cfRule>
  </conditionalFormatting>
  <conditionalFormatting sqref="G80:G84">
    <cfRule type="expression" dxfId="601" priority="684" stopIfTrue="1">
      <formula>$B80&lt;&gt;""</formula>
    </cfRule>
  </conditionalFormatting>
  <conditionalFormatting sqref="G80:G84">
    <cfRule type="expression" dxfId="600" priority="683" stopIfTrue="1">
      <formula>$C80&lt;&gt;""</formula>
    </cfRule>
  </conditionalFormatting>
  <conditionalFormatting sqref="G85:G89">
    <cfRule type="expression" dxfId="599" priority="682" stopIfTrue="1">
      <formula>$B85&lt;&gt;""</formula>
    </cfRule>
  </conditionalFormatting>
  <conditionalFormatting sqref="G85:G89">
    <cfRule type="expression" dxfId="598" priority="681" stopIfTrue="1">
      <formula>$C85&lt;&gt;""</formula>
    </cfRule>
  </conditionalFormatting>
  <conditionalFormatting sqref="G90:G94">
    <cfRule type="expression" dxfId="597" priority="680" stopIfTrue="1">
      <formula>$B90&lt;&gt;""</formula>
    </cfRule>
  </conditionalFormatting>
  <conditionalFormatting sqref="G90:G94">
    <cfRule type="expression" dxfId="596" priority="679" stopIfTrue="1">
      <formula>$C90&lt;&gt;""</formula>
    </cfRule>
  </conditionalFormatting>
  <conditionalFormatting sqref="G95:G99">
    <cfRule type="expression" dxfId="595" priority="678" stopIfTrue="1">
      <formula>$B95&lt;&gt;""</formula>
    </cfRule>
  </conditionalFormatting>
  <conditionalFormatting sqref="G95:G99">
    <cfRule type="expression" dxfId="594" priority="677" stopIfTrue="1">
      <formula>$C95&lt;&gt;""</formula>
    </cfRule>
  </conditionalFormatting>
  <conditionalFormatting sqref="G104:G108">
    <cfRule type="expression" dxfId="593" priority="676" stopIfTrue="1">
      <formula>$C104&lt;&gt;""</formula>
    </cfRule>
  </conditionalFormatting>
  <conditionalFormatting sqref="G104:G108">
    <cfRule type="expression" dxfId="592" priority="675" stopIfTrue="1">
      <formula>$B104&lt;&gt;""</formula>
    </cfRule>
  </conditionalFormatting>
  <conditionalFormatting sqref="G109:G113">
    <cfRule type="expression" dxfId="591" priority="674" stopIfTrue="1">
      <formula>$C109&lt;&gt;""</formula>
    </cfRule>
  </conditionalFormatting>
  <conditionalFormatting sqref="G109:G113">
    <cfRule type="expression" dxfId="590" priority="673" stopIfTrue="1">
      <formula>$B109&lt;&gt;""</formula>
    </cfRule>
  </conditionalFormatting>
  <conditionalFormatting sqref="G144:G148">
    <cfRule type="expression" dxfId="589" priority="672" stopIfTrue="1">
      <formula>$C144&lt;&gt;""</formula>
    </cfRule>
  </conditionalFormatting>
  <conditionalFormatting sqref="G144:G148">
    <cfRule type="expression" dxfId="588" priority="671" stopIfTrue="1">
      <formula>$B144&lt;&gt;""</formula>
    </cfRule>
  </conditionalFormatting>
  <conditionalFormatting sqref="G157:G161">
    <cfRule type="expression" dxfId="587" priority="666" stopIfTrue="1">
      <formula>$B157&lt;&gt;""</formula>
    </cfRule>
  </conditionalFormatting>
  <conditionalFormatting sqref="G157:G161">
    <cfRule type="expression" dxfId="586" priority="665" stopIfTrue="1">
      <formula>$C157&lt;&gt;""</formula>
    </cfRule>
  </conditionalFormatting>
  <conditionalFormatting sqref="G162:G166">
    <cfRule type="expression" dxfId="585" priority="664" stopIfTrue="1">
      <formula>$B162&lt;&gt;""</formula>
    </cfRule>
  </conditionalFormatting>
  <conditionalFormatting sqref="G162:G166">
    <cfRule type="expression" dxfId="584" priority="663" stopIfTrue="1">
      <formula>$C162&lt;&gt;""</formula>
    </cfRule>
  </conditionalFormatting>
  <conditionalFormatting sqref="G172:G176">
    <cfRule type="expression" dxfId="583" priority="658" stopIfTrue="1">
      <formula>$C172&lt;&gt;""</formula>
    </cfRule>
  </conditionalFormatting>
  <conditionalFormatting sqref="G172:G176">
    <cfRule type="expression" dxfId="582" priority="657" stopIfTrue="1">
      <formula>$B172&lt;&gt;""</formula>
    </cfRule>
  </conditionalFormatting>
  <conditionalFormatting sqref="G177:G182">
    <cfRule type="expression" dxfId="581" priority="656" stopIfTrue="1">
      <formula>$B177&lt;&gt;""</formula>
    </cfRule>
  </conditionalFormatting>
  <conditionalFormatting sqref="G177:G182">
    <cfRule type="expression" dxfId="580" priority="655" stopIfTrue="1">
      <formula>$C177&lt;&gt;""</formula>
    </cfRule>
  </conditionalFormatting>
  <conditionalFormatting sqref="G183:G187">
    <cfRule type="expression" dxfId="579" priority="654" stopIfTrue="1">
      <formula>$B183&lt;&gt;""</formula>
    </cfRule>
  </conditionalFormatting>
  <conditionalFormatting sqref="G183:G187">
    <cfRule type="expression" dxfId="578" priority="653" stopIfTrue="1">
      <formula>$C183&lt;&gt;""</formula>
    </cfRule>
  </conditionalFormatting>
  <conditionalFormatting sqref="G188:G192">
    <cfRule type="expression" dxfId="577" priority="652" stopIfTrue="1">
      <formula>$B188&lt;&gt;""</formula>
    </cfRule>
  </conditionalFormatting>
  <conditionalFormatting sqref="G188:G192">
    <cfRule type="expression" dxfId="576" priority="651" stopIfTrue="1">
      <formula>$C188&lt;&gt;""</formula>
    </cfRule>
  </conditionalFormatting>
  <conditionalFormatting sqref="G202:G206">
    <cfRule type="expression" dxfId="575" priority="646" stopIfTrue="1">
      <formula>$C202&lt;&gt;""</formula>
    </cfRule>
  </conditionalFormatting>
  <conditionalFormatting sqref="G202:G206">
    <cfRule type="expression" dxfId="574" priority="645" stopIfTrue="1">
      <formula>$B202&lt;&gt;""</formula>
    </cfRule>
  </conditionalFormatting>
  <conditionalFormatting sqref="G211:G215">
    <cfRule type="expression" dxfId="573" priority="642" stopIfTrue="1">
      <formula>$B211&lt;&gt;""</formula>
    </cfRule>
  </conditionalFormatting>
  <conditionalFormatting sqref="G211:G215">
    <cfRule type="expression" dxfId="572" priority="641" stopIfTrue="1">
      <formula>$C211&lt;&gt;""</formula>
    </cfRule>
  </conditionalFormatting>
  <conditionalFormatting sqref="G216:G220">
    <cfRule type="expression" dxfId="571" priority="640" stopIfTrue="1">
      <formula>$B216&lt;&gt;""</formula>
    </cfRule>
  </conditionalFormatting>
  <conditionalFormatting sqref="G216:G220">
    <cfRule type="expression" dxfId="570" priority="639" stopIfTrue="1">
      <formula>$C216&lt;&gt;""</formula>
    </cfRule>
  </conditionalFormatting>
  <conditionalFormatting sqref="G221:G225">
    <cfRule type="expression" dxfId="569" priority="638" stopIfTrue="1">
      <formula>$B221&lt;&gt;""</formula>
    </cfRule>
  </conditionalFormatting>
  <conditionalFormatting sqref="G221:G225">
    <cfRule type="expression" dxfId="568" priority="637" stopIfTrue="1">
      <formula>$C221&lt;&gt;""</formula>
    </cfRule>
  </conditionalFormatting>
  <conditionalFormatting sqref="G226:G230">
    <cfRule type="expression" dxfId="567" priority="636" stopIfTrue="1">
      <formula>$C226&lt;&gt;""</formula>
    </cfRule>
  </conditionalFormatting>
  <conditionalFormatting sqref="G226:G230">
    <cfRule type="expression" dxfId="566" priority="635" stopIfTrue="1">
      <formula>$B226&lt;&gt;""</formula>
    </cfRule>
  </conditionalFormatting>
  <conditionalFormatting sqref="G231:G235">
    <cfRule type="expression" dxfId="565" priority="634" stopIfTrue="1">
      <formula>$C231&lt;&gt;""</formula>
    </cfRule>
  </conditionalFormatting>
  <conditionalFormatting sqref="G231:G235">
    <cfRule type="expression" dxfId="564" priority="633" stopIfTrue="1">
      <formula>$B231&lt;&gt;""</formula>
    </cfRule>
  </conditionalFormatting>
  <conditionalFormatting sqref="G236:G240">
    <cfRule type="expression" dxfId="563" priority="632" stopIfTrue="1">
      <formula>$B236&lt;&gt;""</formula>
    </cfRule>
  </conditionalFormatting>
  <conditionalFormatting sqref="G236:G240">
    <cfRule type="expression" dxfId="562" priority="631" stopIfTrue="1">
      <formula>$C236&lt;&gt;""</formula>
    </cfRule>
  </conditionalFormatting>
  <conditionalFormatting sqref="G244:G251">
    <cfRule type="expression" dxfId="561" priority="628" stopIfTrue="1">
      <formula>$B244&lt;&gt;""</formula>
    </cfRule>
  </conditionalFormatting>
  <conditionalFormatting sqref="G244:G251">
    <cfRule type="expression" dxfId="560" priority="627" stopIfTrue="1">
      <formula>$C244&lt;&gt;""</formula>
    </cfRule>
  </conditionalFormatting>
  <conditionalFormatting sqref="G252:G256">
    <cfRule type="expression" dxfId="559" priority="626" stopIfTrue="1">
      <formula>$B252&lt;&gt;""</formula>
    </cfRule>
  </conditionalFormatting>
  <conditionalFormatting sqref="G252:G256">
    <cfRule type="expression" dxfId="558" priority="625" stopIfTrue="1">
      <formula>$C252&lt;&gt;""</formula>
    </cfRule>
  </conditionalFormatting>
  <conditionalFormatting sqref="G60:G64">
    <cfRule type="expression" dxfId="557" priority="624" stopIfTrue="1">
      <formula>$C60&lt;&gt;""</formula>
    </cfRule>
  </conditionalFormatting>
  <conditionalFormatting sqref="G60:G64">
    <cfRule type="expression" dxfId="556" priority="623" stopIfTrue="1">
      <formula>$B60&lt;&gt;""</formula>
    </cfRule>
  </conditionalFormatting>
  <conditionalFormatting sqref="G2413:G2437">
    <cfRule type="expression" dxfId="555" priority="622" stopIfTrue="1">
      <formula>$C2413&lt;&gt;""</formula>
    </cfRule>
  </conditionalFormatting>
  <conditionalFormatting sqref="G2413:G2437">
    <cfRule type="expression" dxfId="554" priority="621" stopIfTrue="1">
      <formula>$B2413&lt;&gt;""</formula>
    </cfRule>
  </conditionalFormatting>
  <conditionalFormatting sqref="G2486:G2487">
    <cfRule type="expression" dxfId="553" priority="620" stopIfTrue="1">
      <formula>$C2486&lt;&gt;""</formula>
    </cfRule>
  </conditionalFormatting>
  <conditionalFormatting sqref="G2486:G2487">
    <cfRule type="expression" dxfId="552" priority="619" stopIfTrue="1">
      <formula>$B2486&lt;&gt;""</formula>
    </cfRule>
  </conditionalFormatting>
  <conditionalFormatting sqref="G2413:G2437">
    <cfRule type="expression" dxfId="551" priority="618" stopIfTrue="1">
      <formula>$B2413&lt;&gt;""</formula>
    </cfRule>
  </conditionalFormatting>
  <conditionalFormatting sqref="G2413:G2437">
    <cfRule type="expression" dxfId="550" priority="617" stopIfTrue="1">
      <formula>$C2413&lt;&gt;""</formula>
    </cfRule>
  </conditionalFormatting>
  <conditionalFormatting sqref="G2413:G2437">
    <cfRule type="expression" dxfId="549" priority="616" stopIfTrue="1">
      <formula>$B2413&lt;&gt;""</formula>
    </cfRule>
  </conditionalFormatting>
  <conditionalFormatting sqref="G2245:G2412">
    <cfRule type="expression" dxfId="548" priority="615" stopIfTrue="1">
      <formula>$C2245&lt;&gt;""</formula>
    </cfRule>
  </conditionalFormatting>
  <conditionalFormatting sqref="G2245:G2412">
    <cfRule type="expression" dxfId="547" priority="614" stopIfTrue="1">
      <formula>$B2245&lt;&gt;""</formula>
    </cfRule>
  </conditionalFormatting>
  <conditionalFormatting sqref="G2413:G2437">
    <cfRule type="expression" dxfId="546" priority="613" stopIfTrue="1">
      <formula>$C2413&lt;&gt;""</formula>
    </cfRule>
  </conditionalFormatting>
  <conditionalFormatting sqref="G2413:G2437">
    <cfRule type="expression" dxfId="545" priority="612" stopIfTrue="1">
      <formula>$B2413&lt;&gt;""</formula>
    </cfRule>
  </conditionalFormatting>
  <conditionalFormatting sqref="G2438:G2447">
    <cfRule type="expression" dxfId="544" priority="611" stopIfTrue="1">
      <formula>$C2438&lt;&gt;""</formula>
    </cfRule>
  </conditionalFormatting>
  <conditionalFormatting sqref="G2438:G2447">
    <cfRule type="expression" dxfId="543" priority="610" stopIfTrue="1">
      <formula>$B2438&lt;&gt;""</formula>
    </cfRule>
  </conditionalFormatting>
  <conditionalFormatting sqref="H2242">
    <cfRule type="expression" dxfId="542" priority="609" stopIfTrue="1">
      <formula>$C2242&lt;&gt;""</formula>
    </cfRule>
  </conditionalFormatting>
  <conditionalFormatting sqref="H2242">
    <cfRule type="expression" dxfId="541" priority="608" stopIfTrue="1">
      <formula>$B2242&lt;&gt;""</formula>
    </cfRule>
  </conditionalFormatting>
  <conditionalFormatting sqref="H2242">
    <cfRule type="expression" dxfId="540" priority="607" stopIfTrue="1">
      <formula>$C2242&lt;&gt;""</formula>
    </cfRule>
  </conditionalFormatting>
  <conditionalFormatting sqref="H2242">
    <cfRule type="expression" dxfId="539" priority="606" stopIfTrue="1">
      <formula>$B2242&lt;&gt;""</formula>
    </cfRule>
  </conditionalFormatting>
  <conditionalFormatting sqref="H2236">
    <cfRule type="expression" dxfId="538" priority="605" stopIfTrue="1">
      <formula>$C2236&lt;&gt;""</formula>
    </cfRule>
  </conditionalFormatting>
  <conditionalFormatting sqref="H2236">
    <cfRule type="expression" dxfId="537" priority="604" stopIfTrue="1">
      <formula>$B2236&lt;&gt;""</formula>
    </cfRule>
  </conditionalFormatting>
  <conditionalFormatting sqref="H2236">
    <cfRule type="expression" dxfId="536" priority="603" stopIfTrue="1">
      <formula>$C2236&lt;&gt;""</formula>
    </cfRule>
  </conditionalFormatting>
  <conditionalFormatting sqref="H2236">
    <cfRule type="expression" dxfId="535" priority="602" stopIfTrue="1">
      <formula>$B2236&lt;&gt;""</formula>
    </cfRule>
  </conditionalFormatting>
  <conditionalFormatting sqref="H124:H128">
    <cfRule type="expression" dxfId="534" priority="599" stopIfTrue="1">
      <formula>$C124&lt;&gt;""</formula>
    </cfRule>
  </conditionalFormatting>
  <conditionalFormatting sqref="H124:H128">
    <cfRule type="expression" dxfId="533" priority="598" stopIfTrue="1">
      <formula>$B124&lt;&gt;""</formula>
    </cfRule>
  </conditionalFormatting>
  <conditionalFormatting sqref="H114:H118">
    <cfRule type="expression" dxfId="532" priority="597" stopIfTrue="1">
      <formula>$C114&lt;&gt;""</formula>
    </cfRule>
  </conditionalFormatting>
  <conditionalFormatting sqref="H114:H118">
    <cfRule type="expression" dxfId="531" priority="596" stopIfTrue="1">
      <formula>$B114&lt;&gt;""</formula>
    </cfRule>
  </conditionalFormatting>
  <conditionalFormatting sqref="H139:H143">
    <cfRule type="expression" dxfId="530" priority="595" stopIfTrue="1">
      <formula>$C139&lt;&gt;""</formula>
    </cfRule>
  </conditionalFormatting>
  <conditionalFormatting sqref="H139:H143">
    <cfRule type="expression" dxfId="529" priority="594" stopIfTrue="1">
      <formula>$B139&lt;&gt;""</formula>
    </cfRule>
  </conditionalFormatting>
  <conditionalFormatting sqref="H134:H138">
    <cfRule type="expression" dxfId="528" priority="593" stopIfTrue="1">
      <formula>$C134&lt;&gt;""</formula>
    </cfRule>
  </conditionalFormatting>
  <conditionalFormatting sqref="H134:H138">
    <cfRule type="expression" dxfId="527" priority="592" stopIfTrue="1">
      <formula>$B134&lt;&gt;""</formula>
    </cfRule>
  </conditionalFormatting>
  <conditionalFormatting sqref="H119:H123">
    <cfRule type="expression" dxfId="526" priority="591" stopIfTrue="1">
      <formula>$C119&lt;&gt;""</formula>
    </cfRule>
  </conditionalFormatting>
  <conditionalFormatting sqref="H119:H123">
    <cfRule type="expression" dxfId="525" priority="590" stopIfTrue="1">
      <formula>$B119&lt;&gt;""</formula>
    </cfRule>
  </conditionalFormatting>
  <conditionalFormatting sqref="H129:H133">
    <cfRule type="expression" dxfId="524" priority="589" stopIfTrue="1">
      <formula>$C129&lt;&gt;""</formula>
    </cfRule>
  </conditionalFormatting>
  <conditionalFormatting sqref="H129:H133">
    <cfRule type="expression" dxfId="523" priority="588" stopIfTrue="1">
      <formula>$B129&lt;&gt;""</formula>
    </cfRule>
  </conditionalFormatting>
  <conditionalFormatting sqref="H65:H69">
    <cfRule type="expression" dxfId="522" priority="587" stopIfTrue="1">
      <formula>$C65&lt;&gt;""</formula>
    </cfRule>
  </conditionalFormatting>
  <conditionalFormatting sqref="H65:H69">
    <cfRule type="expression" dxfId="521" priority="586" stopIfTrue="1">
      <formula>$B65&lt;&gt;""</formula>
    </cfRule>
  </conditionalFormatting>
  <conditionalFormatting sqref="H70:H74">
    <cfRule type="expression" dxfId="520" priority="585" stopIfTrue="1">
      <formula>$C70&lt;&gt;""</formula>
    </cfRule>
  </conditionalFormatting>
  <conditionalFormatting sqref="H70:H74">
    <cfRule type="expression" dxfId="519" priority="584" stopIfTrue="1">
      <formula>$B70&lt;&gt;""</formula>
    </cfRule>
  </conditionalFormatting>
  <conditionalFormatting sqref="H75:H79">
    <cfRule type="expression" dxfId="518" priority="583" stopIfTrue="1">
      <formula>$B75&lt;&gt;""</formula>
    </cfRule>
  </conditionalFormatting>
  <conditionalFormatting sqref="H75:H79">
    <cfRule type="expression" dxfId="517" priority="582" stopIfTrue="1">
      <formula>$C75&lt;&gt;""</formula>
    </cfRule>
  </conditionalFormatting>
  <conditionalFormatting sqref="H80:H84">
    <cfRule type="expression" dxfId="516" priority="581" stopIfTrue="1">
      <formula>$B80&lt;&gt;""</formula>
    </cfRule>
  </conditionalFormatting>
  <conditionalFormatting sqref="H80:H84">
    <cfRule type="expression" dxfId="515" priority="580" stopIfTrue="1">
      <formula>$C80&lt;&gt;""</formula>
    </cfRule>
  </conditionalFormatting>
  <conditionalFormatting sqref="H85:H89">
    <cfRule type="expression" dxfId="514" priority="579" stopIfTrue="1">
      <formula>$B85&lt;&gt;""</formula>
    </cfRule>
  </conditionalFormatting>
  <conditionalFormatting sqref="H85:H89">
    <cfRule type="expression" dxfId="513" priority="578" stopIfTrue="1">
      <formula>$C85&lt;&gt;""</formula>
    </cfRule>
  </conditionalFormatting>
  <conditionalFormatting sqref="H90:H94">
    <cfRule type="expression" dxfId="512" priority="577" stopIfTrue="1">
      <formula>$B90&lt;&gt;""</formula>
    </cfRule>
  </conditionalFormatting>
  <conditionalFormatting sqref="H90:H94">
    <cfRule type="expression" dxfId="511" priority="576" stopIfTrue="1">
      <formula>$C90&lt;&gt;""</formula>
    </cfRule>
  </conditionalFormatting>
  <conditionalFormatting sqref="H95:H99">
    <cfRule type="expression" dxfId="510" priority="575" stopIfTrue="1">
      <formula>$B95&lt;&gt;""</formula>
    </cfRule>
  </conditionalFormatting>
  <conditionalFormatting sqref="H95:H99">
    <cfRule type="expression" dxfId="509" priority="574" stopIfTrue="1">
      <formula>$C95&lt;&gt;""</formula>
    </cfRule>
  </conditionalFormatting>
  <conditionalFormatting sqref="H104:H108">
    <cfRule type="expression" dxfId="508" priority="573" stopIfTrue="1">
      <formula>$C104&lt;&gt;""</formula>
    </cfRule>
  </conditionalFormatting>
  <conditionalFormatting sqref="H104:H108">
    <cfRule type="expression" dxfId="507" priority="572" stopIfTrue="1">
      <formula>$B104&lt;&gt;""</formula>
    </cfRule>
  </conditionalFormatting>
  <conditionalFormatting sqref="H109:H113">
    <cfRule type="expression" dxfId="506" priority="571" stopIfTrue="1">
      <formula>$C109&lt;&gt;""</formula>
    </cfRule>
  </conditionalFormatting>
  <conditionalFormatting sqref="H109:H113">
    <cfRule type="expression" dxfId="505" priority="570" stopIfTrue="1">
      <formula>$B109&lt;&gt;""</formula>
    </cfRule>
  </conditionalFormatting>
  <conditionalFormatting sqref="H144:H148">
    <cfRule type="expression" dxfId="504" priority="569" stopIfTrue="1">
      <formula>$C144&lt;&gt;""</formula>
    </cfRule>
  </conditionalFormatting>
  <conditionalFormatting sqref="H144:H148">
    <cfRule type="expression" dxfId="503" priority="568" stopIfTrue="1">
      <formula>$B144&lt;&gt;""</formula>
    </cfRule>
  </conditionalFormatting>
  <conditionalFormatting sqref="H157:H161">
    <cfRule type="expression" dxfId="502" priority="563" stopIfTrue="1">
      <formula>$B157&lt;&gt;""</formula>
    </cfRule>
  </conditionalFormatting>
  <conditionalFormatting sqref="H157:H161">
    <cfRule type="expression" dxfId="501" priority="562" stopIfTrue="1">
      <formula>$C157&lt;&gt;""</formula>
    </cfRule>
  </conditionalFormatting>
  <conditionalFormatting sqref="H162:H166">
    <cfRule type="expression" dxfId="500" priority="561" stopIfTrue="1">
      <formula>$B162&lt;&gt;""</formula>
    </cfRule>
  </conditionalFormatting>
  <conditionalFormatting sqref="H162:H166">
    <cfRule type="expression" dxfId="499" priority="560" stopIfTrue="1">
      <formula>$C162&lt;&gt;""</formula>
    </cfRule>
  </conditionalFormatting>
  <conditionalFormatting sqref="H172:H176">
    <cfRule type="expression" dxfId="498" priority="555" stopIfTrue="1">
      <formula>$C172&lt;&gt;""</formula>
    </cfRule>
  </conditionalFormatting>
  <conditionalFormatting sqref="H172:H176">
    <cfRule type="expression" dxfId="497" priority="554" stopIfTrue="1">
      <formula>$B172&lt;&gt;""</formula>
    </cfRule>
  </conditionalFormatting>
  <conditionalFormatting sqref="H177:H182">
    <cfRule type="expression" dxfId="496" priority="553" stopIfTrue="1">
      <formula>$B177&lt;&gt;""</formula>
    </cfRule>
  </conditionalFormatting>
  <conditionalFormatting sqref="H177:H182">
    <cfRule type="expression" dxfId="495" priority="552" stopIfTrue="1">
      <formula>$C177&lt;&gt;""</formula>
    </cfRule>
  </conditionalFormatting>
  <conditionalFormatting sqref="H183:H187">
    <cfRule type="expression" dxfId="494" priority="551" stopIfTrue="1">
      <formula>$B183&lt;&gt;""</formula>
    </cfRule>
  </conditionalFormatting>
  <conditionalFormatting sqref="H183:H187">
    <cfRule type="expression" dxfId="493" priority="550" stopIfTrue="1">
      <formula>$C183&lt;&gt;""</formula>
    </cfRule>
  </conditionalFormatting>
  <conditionalFormatting sqref="H188:H192">
    <cfRule type="expression" dxfId="492" priority="549" stopIfTrue="1">
      <formula>$B188&lt;&gt;""</formula>
    </cfRule>
  </conditionalFormatting>
  <conditionalFormatting sqref="H188:H192">
    <cfRule type="expression" dxfId="491" priority="548" stopIfTrue="1">
      <formula>$C188&lt;&gt;""</formula>
    </cfRule>
  </conditionalFormatting>
  <conditionalFormatting sqref="H202:H206">
    <cfRule type="expression" dxfId="490" priority="543" stopIfTrue="1">
      <formula>$C202&lt;&gt;""</formula>
    </cfRule>
  </conditionalFormatting>
  <conditionalFormatting sqref="H202:H206">
    <cfRule type="expression" dxfId="489" priority="542" stopIfTrue="1">
      <formula>$B202&lt;&gt;""</formula>
    </cfRule>
  </conditionalFormatting>
  <conditionalFormatting sqref="H211:H215">
    <cfRule type="expression" dxfId="488" priority="539" stopIfTrue="1">
      <formula>$B211&lt;&gt;""</formula>
    </cfRule>
  </conditionalFormatting>
  <conditionalFormatting sqref="H211:H215">
    <cfRule type="expression" dxfId="487" priority="538" stopIfTrue="1">
      <formula>$C211&lt;&gt;""</formula>
    </cfRule>
  </conditionalFormatting>
  <conditionalFormatting sqref="H216:H220">
    <cfRule type="expression" dxfId="486" priority="537" stopIfTrue="1">
      <formula>$B216&lt;&gt;""</formula>
    </cfRule>
  </conditionalFormatting>
  <conditionalFormatting sqref="H216:H220">
    <cfRule type="expression" dxfId="485" priority="536" stopIfTrue="1">
      <formula>$C216&lt;&gt;""</formula>
    </cfRule>
  </conditionalFormatting>
  <conditionalFormatting sqref="H221:H225">
    <cfRule type="expression" dxfId="484" priority="535" stopIfTrue="1">
      <formula>$B221&lt;&gt;""</formula>
    </cfRule>
  </conditionalFormatting>
  <conditionalFormatting sqref="H221:H225">
    <cfRule type="expression" dxfId="483" priority="534" stopIfTrue="1">
      <formula>$C221&lt;&gt;""</formula>
    </cfRule>
  </conditionalFormatting>
  <conditionalFormatting sqref="H226:H230">
    <cfRule type="expression" dxfId="482" priority="533" stopIfTrue="1">
      <formula>$C226&lt;&gt;""</formula>
    </cfRule>
  </conditionalFormatting>
  <conditionalFormatting sqref="H226:H230">
    <cfRule type="expression" dxfId="481" priority="532" stopIfTrue="1">
      <formula>$B226&lt;&gt;""</formula>
    </cfRule>
  </conditionalFormatting>
  <conditionalFormatting sqref="H231:H235">
    <cfRule type="expression" dxfId="480" priority="531" stopIfTrue="1">
      <formula>$C231&lt;&gt;""</formula>
    </cfRule>
  </conditionalFormatting>
  <conditionalFormatting sqref="H231:H235">
    <cfRule type="expression" dxfId="479" priority="530" stopIfTrue="1">
      <formula>$B231&lt;&gt;""</formula>
    </cfRule>
  </conditionalFormatting>
  <conditionalFormatting sqref="H236:H240">
    <cfRule type="expression" dxfId="478" priority="529" stopIfTrue="1">
      <formula>$B236&lt;&gt;""</formula>
    </cfRule>
  </conditionalFormatting>
  <conditionalFormatting sqref="H236:H240">
    <cfRule type="expression" dxfId="477" priority="528" stopIfTrue="1">
      <formula>$C236&lt;&gt;""</formula>
    </cfRule>
  </conditionalFormatting>
  <conditionalFormatting sqref="H244:H251">
    <cfRule type="expression" dxfId="476" priority="525" stopIfTrue="1">
      <formula>$B244&lt;&gt;""</formula>
    </cfRule>
  </conditionalFormatting>
  <conditionalFormatting sqref="H244:H251">
    <cfRule type="expression" dxfId="475" priority="524" stopIfTrue="1">
      <formula>$C244&lt;&gt;""</formula>
    </cfRule>
  </conditionalFormatting>
  <conditionalFormatting sqref="H252:H256">
    <cfRule type="expression" dxfId="474" priority="523" stopIfTrue="1">
      <formula>$B252&lt;&gt;""</formula>
    </cfRule>
  </conditionalFormatting>
  <conditionalFormatting sqref="H252:H256">
    <cfRule type="expression" dxfId="473" priority="522" stopIfTrue="1">
      <formula>$C252&lt;&gt;""</formula>
    </cfRule>
  </conditionalFormatting>
  <conditionalFormatting sqref="H60:H64">
    <cfRule type="expression" dxfId="472" priority="521" stopIfTrue="1">
      <formula>$C60&lt;&gt;""</formula>
    </cfRule>
  </conditionalFormatting>
  <conditionalFormatting sqref="H60:H64">
    <cfRule type="expression" dxfId="471" priority="520" stopIfTrue="1">
      <formula>$B60&lt;&gt;""</formula>
    </cfRule>
  </conditionalFormatting>
  <conditionalFormatting sqref="H2413:H2437">
    <cfRule type="expression" dxfId="470" priority="519" stopIfTrue="1">
      <formula>$C2413&lt;&gt;""</formula>
    </cfRule>
  </conditionalFormatting>
  <conditionalFormatting sqref="H2413:H2437">
    <cfRule type="expression" dxfId="469" priority="518" stopIfTrue="1">
      <formula>$B2413&lt;&gt;""</formula>
    </cfRule>
  </conditionalFormatting>
  <conditionalFormatting sqref="H2486:H2487">
    <cfRule type="expression" dxfId="468" priority="517" stopIfTrue="1">
      <formula>$C2486&lt;&gt;""</formula>
    </cfRule>
  </conditionalFormatting>
  <conditionalFormatting sqref="H2486:H2487">
    <cfRule type="expression" dxfId="467" priority="516" stopIfTrue="1">
      <formula>$B2486&lt;&gt;""</formula>
    </cfRule>
  </conditionalFormatting>
  <conditionalFormatting sqref="H2413:H2437">
    <cfRule type="expression" dxfId="466" priority="515" stopIfTrue="1">
      <formula>$B2413&lt;&gt;""</formula>
    </cfRule>
  </conditionalFormatting>
  <conditionalFormatting sqref="H2413:H2437">
    <cfRule type="expression" dxfId="465" priority="514" stopIfTrue="1">
      <formula>$C2413&lt;&gt;""</formula>
    </cfRule>
  </conditionalFormatting>
  <conditionalFormatting sqref="H2413:H2437">
    <cfRule type="expression" dxfId="464" priority="513" stopIfTrue="1">
      <formula>$B2413&lt;&gt;""</formula>
    </cfRule>
  </conditionalFormatting>
  <conditionalFormatting sqref="H2245:H2412">
    <cfRule type="expression" dxfId="463" priority="512" stopIfTrue="1">
      <formula>$C2245&lt;&gt;""</formula>
    </cfRule>
  </conditionalFormatting>
  <conditionalFormatting sqref="H2245:H2412">
    <cfRule type="expression" dxfId="462" priority="511" stopIfTrue="1">
      <formula>$B2245&lt;&gt;""</formula>
    </cfRule>
  </conditionalFormatting>
  <conditionalFormatting sqref="H2413:H2437">
    <cfRule type="expression" dxfId="461" priority="510" stopIfTrue="1">
      <formula>$C2413&lt;&gt;""</formula>
    </cfRule>
  </conditionalFormatting>
  <conditionalFormatting sqref="H2413:H2437">
    <cfRule type="expression" dxfId="460" priority="509" stopIfTrue="1">
      <formula>$B2413&lt;&gt;""</formula>
    </cfRule>
  </conditionalFormatting>
  <conditionalFormatting sqref="H2438:H2447">
    <cfRule type="expression" dxfId="459" priority="508" stopIfTrue="1">
      <formula>$C2438&lt;&gt;""</formula>
    </cfRule>
  </conditionalFormatting>
  <conditionalFormatting sqref="H2438:H2447">
    <cfRule type="expression" dxfId="458" priority="507" stopIfTrue="1">
      <formula>$B2438&lt;&gt;""</formula>
    </cfRule>
  </conditionalFormatting>
  <conditionalFormatting sqref="L2235:L2236">
    <cfRule type="expression" dxfId="457" priority="506" stopIfTrue="1">
      <formula>$C2235&lt;&gt;""</formula>
    </cfRule>
  </conditionalFormatting>
  <conditionalFormatting sqref="L2235:L2236">
    <cfRule type="expression" dxfId="456" priority="505" stopIfTrue="1">
      <formula>$B2235&lt;&gt;""</formula>
    </cfRule>
  </conditionalFormatting>
  <conditionalFormatting sqref="L2241">
    <cfRule type="expression" dxfId="455" priority="504" stopIfTrue="1">
      <formula>$C2241&lt;&gt;""</formula>
    </cfRule>
  </conditionalFormatting>
  <conditionalFormatting sqref="L2241">
    <cfRule type="expression" dxfId="454" priority="503" stopIfTrue="1">
      <formula>$B2241&lt;&gt;""</formula>
    </cfRule>
  </conditionalFormatting>
  <conditionalFormatting sqref="L2235">
    <cfRule type="expression" dxfId="453" priority="502" stopIfTrue="1">
      <formula>$C2235&lt;&gt;""</formula>
    </cfRule>
  </conditionalFormatting>
  <conditionalFormatting sqref="L2235">
    <cfRule type="expression" dxfId="452" priority="501" stopIfTrue="1">
      <formula>$B2235&lt;&gt;""</formula>
    </cfRule>
  </conditionalFormatting>
  <conditionalFormatting sqref="L2235">
    <cfRule type="expression" dxfId="451" priority="500" stopIfTrue="1">
      <formula>$C2235&lt;&gt;""</formula>
    </cfRule>
  </conditionalFormatting>
  <conditionalFormatting sqref="L2235">
    <cfRule type="expression" dxfId="450" priority="499" stopIfTrue="1">
      <formula>$B2235&lt;&gt;""</formula>
    </cfRule>
  </conditionalFormatting>
  <conditionalFormatting sqref="L2242">
    <cfRule type="expression" dxfId="449" priority="498" stopIfTrue="1">
      <formula>$C2242&lt;&gt;""</formula>
    </cfRule>
  </conditionalFormatting>
  <conditionalFormatting sqref="L2242">
    <cfRule type="expression" dxfId="448" priority="497" stopIfTrue="1">
      <formula>$B2242&lt;&gt;""</formula>
    </cfRule>
  </conditionalFormatting>
  <conditionalFormatting sqref="L2242">
    <cfRule type="expression" dxfId="447" priority="496" stopIfTrue="1">
      <formula>$C2242&lt;&gt;""</formula>
    </cfRule>
  </conditionalFormatting>
  <conditionalFormatting sqref="L2242">
    <cfRule type="expression" dxfId="446" priority="495" stopIfTrue="1">
      <formula>$B2242&lt;&gt;""</formula>
    </cfRule>
  </conditionalFormatting>
  <conditionalFormatting sqref="L2236">
    <cfRule type="expression" dxfId="445" priority="494" stopIfTrue="1">
      <formula>$C2236&lt;&gt;""</formula>
    </cfRule>
  </conditionalFormatting>
  <conditionalFormatting sqref="L2236">
    <cfRule type="expression" dxfId="444" priority="493" stopIfTrue="1">
      <formula>$B2236&lt;&gt;""</formula>
    </cfRule>
  </conditionalFormatting>
  <conditionalFormatting sqref="L2236">
    <cfRule type="expression" dxfId="443" priority="492" stopIfTrue="1">
      <formula>$C2236&lt;&gt;""</formula>
    </cfRule>
  </conditionalFormatting>
  <conditionalFormatting sqref="L2236">
    <cfRule type="expression" dxfId="442" priority="491" stopIfTrue="1">
      <formula>$B2236&lt;&gt;""</formula>
    </cfRule>
  </conditionalFormatting>
  <conditionalFormatting sqref="L124:L128">
    <cfRule type="expression" dxfId="441" priority="488" stopIfTrue="1">
      <formula>$C124&lt;&gt;""</formula>
    </cfRule>
  </conditionalFormatting>
  <conditionalFormatting sqref="L124:L128">
    <cfRule type="expression" dxfId="440" priority="487" stopIfTrue="1">
      <formula>$B124&lt;&gt;""</formula>
    </cfRule>
  </conditionalFormatting>
  <conditionalFormatting sqref="L114:L123">
    <cfRule type="expression" dxfId="439" priority="486" stopIfTrue="1">
      <formula>$C114&lt;&gt;""</formula>
    </cfRule>
  </conditionalFormatting>
  <conditionalFormatting sqref="L114:L123">
    <cfRule type="expression" dxfId="438" priority="485" stopIfTrue="1">
      <formula>$B114&lt;&gt;""</formula>
    </cfRule>
  </conditionalFormatting>
  <conditionalFormatting sqref="L139:L144">
    <cfRule type="expression" dxfId="437" priority="484" stopIfTrue="1">
      <formula>$C139&lt;&gt;""</formula>
    </cfRule>
  </conditionalFormatting>
  <conditionalFormatting sqref="L139:L144">
    <cfRule type="expression" dxfId="436" priority="483" stopIfTrue="1">
      <formula>$B139&lt;&gt;""</formula>
    </cfRule>
  </conditionalFormatting>
  <conditionalFormatting sqref="L134:L138">
    <cfRule type="expression" dxfId="435" priority="482" stopIfTrue="1">
      <formula>$C134&lt;&gt;""</formula>
    </cfRule>
  </conditionalFormatting>
  <conditionalFormatting sqref="L134:L138">
    <cfRule type="expression" dxfId="434" priority="481" stopIfTrue="1">
      <formula>$B134&lt;&gt;""</formula>
    </cfRule>
  </conditionalFormatting>
  <conditionalFormatting sqref="L119:L123">
    <cfRule type="expression" dxfId="433" priority="480" stopIfTrue="1">
      <formula>$C119&lt;&gt;""</formula>
    </cfRule>
  </conditionalFormatting>
  <conditionalFormatting sqref="L119:L123">
    <cfRule type="expression" dxfId="432" priority="479" stopIfTrue="1">
      <formula>$B119&lt;&gt;""</formula>
    </cfRule>
  </conditionalFormatting>
  <conditionalFormatting sqref="L127:L133">
    <cfRule type="expression" dxfId="431" priority="478" stopIfTrue="1">
      <formula>$C127&lt;&gt;""</formula>
    </cfRule>
  </conditionalFormatting>
  <conditionalFormatting sqref="L127:L133">
    <cfRule type="expression" dxfId="430" priority="477" stopIfTrue="1">
      <formula>$B127&lt;&gt;""</formula>
    </cfRule>
  </conditionalFormatting>
  <conditionalFormatting sqref="L65:L69">
    <cfRule type="expression" dxfId="429" priority="476" stopIfTrue="1">
      <formula>$C65&lt;&gt;""</formula>
    </cfRule>
  </conditionalFormatting>
  <conditionalFormatting sqref="L65:L69">
    <cfRule type="expression" dxfId="428" priority="475" stopIfTrue="1">
      <formula>$B65&lt;&gt;""</formula>
    </cfRule>
  </conditionalFormatting>
  <conditionalFormatting sqref="L70:L76">
    <cfRule type="expression" dxfId="427" priority="474" stopIfTrue="1">
      <formula>$C70&lt;&gt;""</formula>
    </cfRule>
  </conditionalFormatting>
  <conditionalFormatting sqref="L70:L76">
    <cfRule type="expression" dxfId="426" priority="473" stopIfTrue="1">
      <formula>$B70&lt;&gt;""</formula>
    </cfRule>
  </conditionalFormatting>
  <conditionalFormatting sqref="L75:L79">
    <cfRule type="expression" dxfId="425" priority="472" stopIfTrue="1">
      <formula>$B75&lt;&gt;""</formula>
    </cfRule>
  </conditionalFormatting>
  <conditionalFormatting sqref="L75:L79">
    <cfRule type="expression" dxfId="424" priority="471" stopIfTrue="1">
      <formula>$C75&lt;&gt;""</formula>
    </cfRule>
  </conditionalFormatting>
  <conditionalFormatting sqref="L80:L84">
    <cfRule type="expression" dxfId="423" priority="470" stopIfTrue="1">
      <formula>$B80&lt;&gt;""</formula>
    </cfRule>
  </conditionalFormatting>
  <conditionalFormatting sqref="L80:L84">
    <cfRule type="expression" dxfId="422" priority="469" stopIfTrue="1">
      <formula>$C80&lt;&gt;""</formula>
    </cfRule>
  </conditionalFormatting>
  <conditionalFormatting sqref="L85:L89">
    <cfRule type="expression" dxfId="421" priority="468" stopIfTrue="1">
      <formula>$B85&lt;&gt;""</formula>
    </cfRule>
  </conditionalFormatting>
  <conditionalFormatting sqref="L85:L89">
    <cfRule type="expression" dxfId="420" priority="467" stopIfTrue="1">
      <formula>$C85&lt;&gt;""</formula>
    </cfRule>
  </conditionalFormatting>
  <conditionalFormatting sqref="L90:L95">
    <cfRule type="expression" dxfId="419" priority="466" stopIfTrue="1">
      <formula>$B90&lt;&gt;""</formula>
    </cfRule>
  </conditionalFormatting>
  <conditionalFormatting sqref="L90:L95">
    <cfRule type="expression" dxfId="418" priority="465" stopIfTrue="1">
      <formula>$C90&lt;&gt;""</formula>
    </cfRule>
  </conditionalFormatting>
  <conditionalFormatting sqref="L95:L101">
    <cfRule type="expression" dxfId="417" priority="464" stopIfTrue="1">
      <formula>$B95&lt;&gt;""</formula>
    </cfRule>
  </conditionalFormatting>
  <conditionalFormatting sqref="L95:L101">
    <cfRule type="expression" dxfId="416" priority="463" stopIfTrue="1">
      <formula>$C95&lt;&gt;""</formula>
    </cfRule>
  </conditionalFormatting>
  <conditionalFormatting sqref="L104:L108">
    <cfRule type="expression" dxfId="415" priority="462" stopIfTrue="1">
      <formula>$C104&lt;&gt;""</formula>
    </cfRule>
  </conditionalFormatting>
  <conditionalFormatting sqref="L104:L108">
    <cfRule type="expression" dxfId="414" priority="461" stopIfTrue="1">
      <formula>$B104&lt;&gt;""</formula>
    </cfRule>
  </conditionalFormatting>
  <conditionalFormatting sqref="L109:L116">
    <cfRule type="expression" dxfId="413" priority="460" stopIfTrue="1">
      <formula>$C109&lt;&gt;""</formula>
    </cfRule>
  </conditionalFormatting>
  <conditionalFormatting sqref="L109:L116">
    <cfRule type="expression" dxfId="412" priority="459" stopIfTrue="1">
      <formula>$B109&lt;&gt;""</formula>
    </cfRule>
  </conditionalFormatting>
  <conditionalFormatting sqref="L157:L161">
    <cfRule type="expression" dxfId="411" priority="452" stopIfTrue="1">
      <formula>$B157&lt;&gt;""</formula>
    </cfRule>
  </conditionalFormatting>
  <conditionalFormatting sqref="L157:L161">
    <cfRule type="expression" dxfId="410" priority="451" stopIfTrue="1">
      <formula>$C157&lt;&gt;""</formula>
    </cfRule>
  </conditionalFormatting>
  <conditionalFormatting sqref="L172:L180">
    <cfRule type="expression" dxfId="409" priority="444" stopIfTrue="1">
      <formula>$C172&lt;&gt;""</formula>
    </cfRule>
  </conditionalFormatting>
  <conditionalFormatting sqref="L172:L180">
    <cfRule type="expression" dxfId="408" priority="443" stopIfTrue="1">
      <formula>$B172&lt;&gt;""</formula>
    </cfRule>
  </conditionalFormatting>
  <conditionalFormatting sqref="L177:L183">
    <cfRule type="expression" dxfId="407" priority="442" stopIfTrue="1">
      <formula>$B177&lt;&gt;""</formula>
    </cfRule>
  </conditionalFormatting>
  <conditionalFormatting sqref="L177:L183">
    <cfRule type="expression" dxfId="406" priority="441" stopIfTrue="1">
      <formula>$C177&lt;&gt;""</formula>
    </cfRule>
  </conditionalFormatting>
  <conditionalFormatting sqref="L183:L187">
    <cfRule type="expression" dxfId="405" priority="440" stopIfTrue="1">
      <formula>$B183&lt;&gt;""</formula>
    </cfRule>
  </conditionalFormatting>
  <conditionalFormatting sqref="L183:L187">
    <cfRule type="expression" dxfId="404" priority="439" stopIfTrue="1">
      <formula>$C183&lt;&gt;""</formula>
    </cfRule>
  </conditionalFormatting>
  <conditionalFormatting sqref="L188:L192">
    <cfRule type="expression" dxfId="403" priority="438" stopIfTrue="1">
      <formula>$B188&lt;&gt;""</formula>
    </cfRule>
  </conditionalFormatting>
  <conditionalFormatting sqref="L188:L192">
    <cfRule type="expression" dxfId="402" priority="437" stopIfTrue="1">
      <formula>$C188&lt;&gt;""</formula>
    </cfRule>
  </conditionalFormatting>
  <conditionalFormatting sqref="L211:L235">
    <cfRule type="expression" dxfId="401" priority="428" stopIfTrue="1">
      <formula>$B211&lt;&gt;""</formula>
    </cfRule>
  </conditionalFormatting>
  <conditionalFormatting sqref="L211:L235">
    <cfRule type="expression" dxfId="400" priority="427" stopIfTrue="1">
      <formula>$C211&lt;&gt;""</formula>
    </cfRule>
  </conditionalFormatting>
  <conditionalFormatting sqref="L216:L235">
    <cfRule type="expression" dxfId="399" priority="426" stopIfTrue="1">
      <formula>$B216&lt;&gt;""</formula>
    </cfRule>
  </conditionalFormatting>
  <conditionalFormatting sqref="L216:L235">
    <cfRule type="expression" dxfId="398" priority="425" stopIfTrue="1">
      <formula>$C216&lt;&gt;""</formula>
    </cfRule>
  </conditionalFormatting>
  <conditionalFormatting sqref="L221:L225">
    <cfRule type="expression" dxfId="397" priority="424" stopIfTrue="1">
      <formula>$B221&lt;&gt;""</formula>
    </cfRule>
  </conditionalFormatting>
  <conditionalFormatting sqref="L221:L225">
    <cfRule type="expression" dxfId="396" priority="423" stopIfTrue="1">
      <formula>$C221&lt;&gt;""</formula>
    </cfRule>
  </conditionalFormatting>
  <conditionalFormatting sqref="L226:L235">
    <cfRule type="expression" dxfId="395" priority="422" stopIfTrue="1">
      <formula>$C226&lt;&gt;""</formula>
    </cfRule>
  </conditionalFormatting>
  <conditionalFormatting sqref="L226:L235">
    <cfRule type="expression" dxfId="394" priority="421" stopIfTrue="1">
      <formula>$B226&lt;&gt;""</formula>
    </cfRule>
  </conditionalFormatting>
  <conditionalFormatting sqref="L231:L235">
    <cfRule type="expression" dxfId="393" priority="420" stopIfTrue="1">
      <formula>$C231&lt;&gt;""</formula>
    </cfRule>
  </conditionalFormatting>
  <conditionalFormatting sqref="L231:L235">
    <cfRule type="expression" dxfId="392" priority="419" stopIfTrue="1">
      <formula>$B231&lt;&gt;""</formula>
    </cfRule>
  </conditionalFormatting>
  <conditionalFormatting sqref="L236:L240">
    <cfRule type="expression" dxfId="391" priority="418" stopIfTrue="1">
      <formula>$B236&lt;&gt;""</formula>
    </cfRule>
  </conditionalFormatting>
  <conditionalFormatting sqref="L236:L240">
    <cfRule type="expression" dxfId="390" priority="417" stopIfTrue="1">
      <formula>$C236&lt;&gt;""</formula>
    </cfRule>
  </conditionalFormatting>
  <conditionalFormatting sqref="L244:L259">
    <cfRule type="expression" dxfId="389" priority="414" stopIfTrue="1">
      <formula>$B244&lt;&gt;""</formula>
    </cfRule>
  </conditionalFormatting>
  <conditionalFormatting sqref="L244:L259">
    <cfRule type="expression" dxfId="388" priority="413" stopIfTrue="1">
      <formula>$C244&lt;&gt;""</formula>
    </cfRule>
  </conditionalFormatting>
  <conditionalFormatting sqref="L252:L256">
    <cfRule type="expression" dxfId="387" priority="412" stopIfTrue="1">
      <formula>$B252&lt;&gt;""</formula>
    </cfRule>
  </conditionalFormatting>
  <conditionalFormatting sqref="L252:L256">
    <cfRule type="expression" dxfId="386" priority="411" stopIfTrue="1">
      <formula>$C252&lt;&gt;""</formula>
    </cfRule>
  </conditionalFormatting>
  <conditionalFormatting sqref="L60:L64">
    <cfRule type="expression" dxfId="385" priority="410" stopIfTrue="1">
      <formula>$C60&lt;&gt;""</formula>
    </cfRule>
  </conditionalFormatting>
  <conditionalFormatting sqref="L60:L64">
    <cfRule type="expression" dxfId="384" priority="409" stopIfTrue="1">
      <formula>$B60&lt;&gt;""</formula>
    </cfRule>
  </conditionalFormatting>
  <conditionalFormatting sqref="L2413:L2437">
    <cfRule type="expression" dxfId="383" priority="408" stopIfTrue="1">
      <formula>$C2413&lt;&gt;""</formula>
    </cfRule>
  </conditionalFormatting>
  <conditionalFormatting sqref="L2413:L2437">
    <cfRule type="expression" dxfId="382" priority="407" stopIfTrue="1">
      <formula>$B2413&lt;&gt;""</formula>
    </cfRule>
  </conditionalFormatting>
  <conditionalFormatting sqref="L2486:L2487">
    <cfRule type="expression" dxfId="381" priority="406" stopIfTrue="1">
      <formula>$C2486&lt;&gt;""</formula>
    </cfRule>
  </conditionalFormatting>
  <conditionalFormatting sqref="L2486:L2487">
    <cfRule type="expression" dxfId="380" priority="405" stopIfTrue="1">
      <formula>$B2486&lt;&gt;""</formula>
    </cfRule>
  </conditionalFormatting>
  <conditionalFormatting sqref="L2413:L2437">
    <cfRule type="expression" dxfId="379" priority="404" stopIfTrue="1">
      <formula>$B2413&lt;&gt;""</formula>
    </cfRule>
  </conditionalFormatting>
  <conditionalFormatting sqref="L2413:L2437">
    <cfRule type="expression" dxfId="378" priority="403" stopIfTrue="1">
      <formula>$C2413&lt;&gt;""</formula>
    </cfRule>
  </conditionalFormatting>
  <conditionalFormatting sqref="L2413:L2437">
    <cfRule type="expression" dxfId="377" priority="402" stopIfTrue="1">
      <formula>$B2413&lt;&gt;""</formula>
    </cfRule>
  </conditionalFormatting>
  <conditionalFormatting sqref="L2245:L2412">
    <cfRule type="expression" dxfId="376" priority="401" stopIfTrue="1">
      <formula>$C2245&lt;&gt;""</formula>
    </cfRule>
  </conditionalFormatting>
  <conditionalFormatting sqref="L2245:L2412">
    <cfRule type="expression" dxfId="375" priority="400" stopIfTrue="1">
      <formula>$B2245&lt;&gt;""</formula>
    </cfRule>
  </conditionalFormatting>
  <conditionalFormatting sqref="L2413:L2437">
    <cfRule type="expression" dxfId="374" priority="399" stopIfTrue="1">
      <formula>$C2413&lt;&gt;""</formula>
    </cfRule>
  </conditionalFormatting>
  <conditionalFormatting sqref="L2413:L2437">
    <cfRule type="expression" dxfId="373" priority="398" stopIfTrue="1">
      <formula>$B2413&lt;&gt;""</formula>
    </cfRule>
  </conditionalFormatting>
  <conditionalFormatting sqref="L2438:L2447">
    <cfRule type="expression" dxfId="372" priority="397" stopIfTrue="1">
      <formula>$C2438&lt;&gt;""</formula>
    </cfRule>
  </conditionalFormatting>
  <conditionalFormatting sqref="L2438:L2447">
    <cfRule type="expression" dxfId="371" priority="396" stopIfTrue="1">
      <formula>$B2438&lt;&gt;""</formula>
    </cfRule>
  </conditionalFormatting>
  <conditionalFormatting sqref="N2235:N2236">
    <cfRule type="expression" dxfId="370" priority="395" stopIfTrue="1">
      <formula>$C2235&lt;&gt;""</formula>
    </cfRule>
  </conditionalFormatting>
  <conditionalFormatting sqref="N2235:N2236">
    <cfRule type="expression" dxfId="369" priority="394" stopIfTrue="1">
      <formula>$B2235&lt;&gt;""</formula>
    </cfRule>
  </conditionalFormatting>
  <conditionalFormatting sqref="N2241">
    <cfRule type="expression" dxfId="368" priority="393" stopIfTrue="1">
      <formula>$C2241&lt;&gt;""</formula>
    </cfRule>
  </conditionalFormatting>
  <conditionalFormatting sqref="N2241">
    <cfRule type="expression" dxfId="367" priority="392" stopIfTrue="1">
      <formula>$B2241&lt;&gt;""</formula>
    </cfRule>
  </conditionalFormatting>
  <conditionalFormatting sqref="N2235">
    <cfRule type="expression" dxfId="366" priority="391" stopIfTrue="1">
      <formula>$C2235&lt;&gt;""</formula>
    </cfRule>
  </conditionalFormatting>
  <conditionalFormatting sqref="N2235">
    <cfRule type="expression" dxfId="365" priority="390" stopIfTrue="1">
      <formula>$B2235&lt;&gt;""</formula>
    </cfRule>
  </conditionalFormatting>
  <conditionalFormatting sqref="N2235">
    <cfRule type="expression" dxfId="364" priority="389" stopIfTrue="1">
      <formula>$C2235&lt;&gt;""</formula>
    </cfRule>
  </conditionalFormatting>
  <conditionalFormatting sqref="N2235">
    <cfRule type="expression" dxfId="363" priority="388" stopIfTrue="1">
      <formula>$B2235&lt;&gt;""</formula>
    </cfRule>
  </conditionalFormatting>
  <conditionalFormatting sqref="N2242">
    <cfRule type="expression" dxfId="362" priority="387" stopIfTrue="1">
      <formula>$C2242&lt;&gt;""</formula>
    </cfRule>
  </conditionalFormatting>
  <conditionalFormatting sqref="N2242">
    <cfRule type="expression" dxfId="361" priority="386" stopIfTrue="1">
      <formula>$B2242&lt;&gt;""</formula>
    </cfRule>
  </conditionalFormatting>
  <conditionalFormatting sqref="N2242">
    <cfRule type="expression" dxfId="360" priority="385" stopIfTrue="1">
      <formula>$C2242&lt;&gt;""</formula>
    </cfRule>
  </conditionalFormatting>
  <conditionalFormatting sqref="N2242">
    <cfRule type="expression" dxfId="359" priority="384" stopIfTrue="1">
      <formula>$B2242&lt;&gt;""</formula>
    </cfRule>
  </conditionalFormatting>
  <conditionalFormatting sqref="N2236">
    <cfRule type="expression" dxfId="358" priority="383" stopIfTrue="1">
      <formula>$C2236&lt;&gt;""</formula>
    </cfRule>
  </conditionalFormatting>
  <conditionalFormatting sqref="N2236">
    <cfRule type="expression" dxfId="357" priority="382" stopIfTrue="1">
      <formula>$B2236&lt;&gt;""</formula>
    </cfRule>
  </conditionalFormatting>
  <conditionalFormatting sqref="N2236">
    <cfRule type="expression" dxfId="356" priority="381" stopIfTrue="1">
      <formula>$C2236&lt;&gt;""</formula>
    </cfRule>
  </conditionalFormatting>
  <conditionalFormatting sqref="N2236">
    <cfRule type="expression" dxfId="355" priority="380" stopIfTrue="1">
      <formula>$B2236&lt;&gt;""</formula>
    </cfRule>
  </conditionalFormatting>
  <conditionalFormatting sqref="N124:N128">
    <cfRule type="expression" dxfId="354" priority="377" stopIfTrue="1">
      <formula>$C124&lt;&gt;""</formula>
    </cfRule>
  </conditionalFormatting>
  <conditionalFormatting sqref="N124:N128">
    <cfRule type="expression" dxfId="353" priority="376" stopIfTrue="1">
      <formula>$B124&lt;&gt;""</formula>
    </cfRule>
  </conditionalFormatting>
  <conditionalFormatting sqref="N114:N118">
    <cfRule type="expression" dxfId="352" priority="375" stopIfTrue="1">
      <formula>$C114&lt;&gt;""</formula>
    </cfRule>
  </conditionalFormatting>
  <conditionalFormatting sqref="N114:N118">
    <cfRule type="expression" dxfId="351" priority="374" stopIfTrue="1">
      <formula>$B114&lt;&gt;""</formula>
    </cfRule>
  </conditionalFormatting>
  <conditionalFormatting sqref="N139:N143">
    <cfRule type="expression" dxfId="350" priority="373" stopIfTrue="1">
      <formula>$C139&lt;&gt;""</formula>
    </cfRule>
  </conditionalFormatting>
  <conditionalFormatting sqref="N139:N143">
    <cfRule type="expression" dxfId="349" priority="372" stopIfTrue="1">
      <formula>$B139&lt;&gt;""</formula>
    </cfRule>
  </conditionalFormatting>
  <conditionalFormatting sqref="N134:N138">
    <cfRule type="expression" dxfId="348" priority="371" stopIfTrue="1">
      <formula>$C134&lt;&gt;""</formula>
    </cfRule>
  </conditionalFormatting>
  <conditionalFormatting sqref="N134:N138">
    <cfRule type="expression" dxfId="347" priority="370" stopIfTrue="1">
      <formula>$B134&lt;&gt;""</formula>
    </cfRule>
  </conditionalFormatting>
  <conditionalFormatting sqref="N119:N123">
    <cfRule type="expression" dxfId="346" priority="369" stopIfTrue="1">
      <formula>$C119&lt;&gt;""</formula>
    </cfRule>
  </conditionalFormatting>
  <conditionalFormatting sqref="N119:N123">
    <cfRule type="expression" dxfId="345" priority="368" stopIfTrue="1">
      <formula>$B119&lt;&gt;""</formula>
    </cfRule>
  </conditionalFormatting>
  <conditionalFormatting sqref="N129:N133">
    <cfRule type="expression" dxfId="344" priority="367" stopIfTrue="1">
      <formula>$C129&lt;&gt;""</formula>
    </cfRule>
  </conditionalFormatting>
  <conditionalFormatting sqref="N129:N133">
    <cfRule type="expression" dxfId="343" priority="366" stopIfTrue="1">
      <formula>$B129&lt;&gt;""</formula>
    </cfRule>
  </conditionalFormatting>
  <conditionalFormatting sqref="N65:N69">
    <cfRule type="expression" dxfId="342" priority="365" stopIfTrue="1">
      <formula>$C65&lt;&gt;""</formula>
    </cfRule>
  </conditionalFormatting>
  <conditionalFormatting sqref="N65:N69">
    <cfRule type="expression" dxfId="341" priority="364" stopIfTrue="1">
      <formula>$B65&lt;&gt;""</formula>
    </cfRule>
  </conditionalFormatting>
  <conditionalFormatting sqref="N70:N74">
    <cfRule type="expression" dxfId="340" priority="363" stopIfTrue="1">
      <formula>$C70&lt;&gt;""</formula>
    </cfRule>
  </conditionalFormatting>
  <conditionalFormatting sqref="N70:N74">
    <cfRule type="expression" dxfId="339" priority="362" stopIfTrue="1">
      <formula>$B70&lt;&gt;""</formula>
    </cfRule>
  </conditionalFormatting>
  <conditionalFormatting sqref="N75:N79">
    <cfRule type="expression" dxfId="338" priority="361" stopIfTrue="1">
      <formula>$B75&lt;&gt;""</formula>
    </cfRule>
  </conditionalFormatting>
  <conditionalFormatting sqref="N75:N79">
    <cfRule type="expression" dxfId="337" priority="360" stopIfTrue="1">
      <formula>$C75&lt;&gt;""</formula>
    </cfRule>
  </conditionalFormatting>
  <conditionalFormatting sqref="N80:N84">
    <cfRule type="expression" dxfId="336" priority="359" stopIfTrue="1">
      <formula>$B80&lt;&gt;""</formula>
    </cfRule>
  </conditionalFormatting>
  <conditionalFormatting sqref="N80:N84">
    <cfRule type="expression" dxfId="335" priority="358" stopIfTrue="1">
      <formula>$C80&lt;&gt;""</formula>
    </cfRule>
  </conditionalFormatting>
  <conditionalFormatting sqref="N85:N89">
    <cfRule type="expression" dxfId="334" priority="357" stopIfTrue="1">
      <formula>$B85&lt;&gt;""</formula>
    </cfRule>
  </conditionalFormatting>
  <conditionalFormatting sqref="N85:N89">
    <cfRule type="expression" dxfId="333" priority="356" stopIfTrue="1">
      <formula>$C85&lt;&gt;""</formula>
    </cfRule>
  </conditionalFormatting>
  <conditionalFormatting sqref="N90:N94">
    <cfRule type="expression" dxfId="332" priority="355" stopIfTrue="1">
      <formula>$B90&lt;&gt;""</formula>
    </cfRule>
  </conditionalFormatting>
  <conditionalFormatting sqref="N90:N94">
    <cfRule type="expression" dxfId="331" priority="354" stopIfTrue="1">
      <formula>$C90&lt;&gt;""</formula>
    </cfRule>
  </conditionalFormatting>
  <conditionalFormatting sqref="N95:N99">
    <cfRule type="expression" dxfId="330" priority="353" stopIfTrue="1">
      <formula>$B95&lt;&gt;""</formula>
    </cfRule>
  </conditionalFormatting>
  <conditionalFormatting sqref="N95:N99">
    <cfRule type="expression" dxfId="329" priority="352" stopIfTrue="1">
      <formula>$C95&lt;&gt;""</formula>
    </cfRule>
  </conditionalFormatting>
  <conditionalFormatting sqref="N104:N108">
    <cfRule type="expression" dxfId="328" priority="351" stopIfTrue="1">
      <formula>$C104&lt;&gt;""</formula>
    </cfRule>
  </conditionalFormatting>
  <conditionalFormatting sqref="N104:N108">
    <cfRule type="expression" dxfId="327" priority="350" stopIfTrue="1">
      <formula>$B104&lt;&gt;""</formula>
    </cfRule>
  </conditionalFormatting>
  <conditionalFormatting sqref="N109:N113">
    <cfRule type="expression" dxfId="326" priority="349" stopIfTrue="1">
      <formula>$C109&lt;&gt;""</formula>
    </cfRule>
  </conditionalFormatting>
  <conditionalFormatting sqref="N109:N113">
    <cfRule type="expression" dxfId="325" priority="348" stopIfTrue="1">
      <formula>$B109&lt;&gt;""</formula>
    </cfRule>
  </conditionalFormatting>
  <conditionalFormatting sqref="N144:N148">
    <cfRule type="expression" dxfId="324" priority="347" stopIfTrue="1">
      <formula>$C144&lt;&gt;""</formula>
    </cfRule>
  </conditionalFormatting>
  <conditionalFormatting sqref="N144:N148">
    <cfRule type="expression" dxfId="323" priority="346" stopIfTrue="1">
      <formula>$B144&lt;&gt;""</formula>
    </cfRule>
  </conditionalFormatting>
  <conditionalFormatting sqref="N157:N161">
    <cfRule type="expression" dxfId="322" priority="341" stopIfTrue="1">
      <formula>$B157&lt;&gt;""</formula>
    </cfRule>
  </conditionalFormatting>
  <conditionalFormatting sqref="N157:N161">
    <cfRule type="expression" dxfId="321" priority="340" stopIfTrue="1">
      <formula>$C157&lt;&gt;""</formula>
    </cfRule>
  </conditionalFormatting>
  <conditionalFormatting sqref="N162:N166">
    <cfRule type="expression" dxfId="320" priority="339" stopIfTrue="1">
      <formula>$B162&lt;&gt;""</formula>
    </cfRule>
  </conditionalFormatting>
  <conditionalFormatting sqref="N162:N166">
    <cfRule type="expression" dxfId="319" priority="338" stopIfTrue="1">
      <formula>$C162&lt;&gt;""</formula>
    </cfRule>
  </conditionalFormatting>
  <conditionalFormatting sqref="N172:N176">
    <cfRule type="expression" dxfId="318" priority="333" stopIfTrue="1">
      <formula>$C172&lt;&gt;""</formula>
    </cfRule>
  </conditionalFormatting>
  <conditionalFormatting sqref="N172:N176">
    <cfRule type="expression" dxfId="317" priority="332" stopIfTrue="1">
      <formula>$B172&lt;&gt;""</formula>
    </cfRule>
  </conditionalFormatting>
  <conditionalFormatting sqref="N177:N182">
    <cfRule type="expression" dxfId="316" priority="331" stopIfTrue="1">
      <formula>$B177&lt;&gt;""</formula>
    </cfRule>
  </conditionalFormatting>
  <conditionalFormatting sqref="N177:N182">
    <cfRule type="expression" dxfId="315" priority="330" stopIfTrue="1">
      <formula>$C177&lt;&gt;""</formula>
    </cfRule>
  </conditionalFormatting>
  <conditionalFormatting sqref="N183:N187">
    <cfRule type="expression" dxfId="314" priority="329" stopIfTrue="1">
      <formula>$B183&lt;&gt;""</formula>
    </cfRule>
  </conditionalFormatting>
  <conditionalFormatting sqref="N183:N187">
    <cfRule type="expression" dxfId="313" priority="328" stopIfTrue="1">
      <formula>$C183&lt;&gt;""</formula>
    </cfRule>
  </conditionalFormatting>
  <conditionalFormatting sqref="N188:N192">
    <cfRule type="expression" dxfId="312" priority="327" stopIfTrue="1">
      <formula>$B188&lt;&gt;""</formula>
    </cfRule>
  </conditionalFormatting>
  <conditionalFormatting sqref="N188:N192">
    <cfRule type="expression" dxfId="311" priority="326" stopIfTrue="1">
      <formula>$C188&lt;&gt;""</formula>
    </cfRule>
  </conditionalFormatting>
  <conditionalFormatting sqref="N202:N206">
    <cfRule type="expression" dxfId="310" priority="321" stopIfTrue="1">
      <formula>$C202&lt;&gt;""</formula>
    </cfRule>
  </conditionalFormatting>
  <conditionalFormatting sqref="N202:N206">
    <cfRule type="expression" dxfId="309" priority="320" stopIfTrue="1">
      <formula>$B202&lt;&gt;""</formula>
    </cfRule>
  </conditionalFormatting>
  <conditionalFormatting sqref="N211:N215">
    <cfRule type="expression" dxfId="308" priority="317" stopIfTrue="1">
      <formula>$B211&lt;&gt;""</formula>
    </cfRule>
  </conditionalFormatting>
  <conditionalFormatting sqref="N211:N215">
    <cfRule type="expression" dxfId="307" priority="316" stopIfTrue="1">
      <formula>$C211&lt;&gt;""</formula>
    </cfRule>
  </conditionalFormatting>
  <conditionalFormatting sqref="N216:N220">
    <cfRule type="expression" dxfId="306" priority="315" stopIfTrue="1">
      <formula>$B216&lt;&gt;""</formula>
    </cfRule>
  </conditionalFormatting>
  <conditionalFormatting sqref="N216:N220">
    <cfRule type="expression" dxfId="305" priority="314" stopIfTrue="1">
      <formula>$C216&lt;&gt;""</formula>
    </cfRule>
  </conditionalFormatting>
  <conditionalFormatting sqref="N221:N225">
    <cfRule type="expression" dxfId="304" priority="313" stopIfTrue="1">
      <formula>$B221&lt;&gt;""</formula>
    </cfRule>
  </conditionalFormatting>
  <conditionalFormatting sqref="N221:N225">
    <cfRule type="expression" dxfId="303" priority="312" stopIfTrue="1">
      <formula>$C221&lt;&gt;""</formula>
    </cfRule>
  </conditionalFormatting>
  <conditionalFormatting sqref="N226:N230">
    <cfRule type="expression" dxfId="302" priority="311" stopIfTrue="1">
      <formula>$C226&lt;&gt;""</formula>
    </cfRule>
  </conditionalFormatting>
  <conditionalFormatting sqref="N226:N230">
    <cfRule type="expression" dxfId="301" priority="310" stopIfTrue="1">
      <formula>$B226&lt;&gt;""</formula>
    </cfRule>
  </conditionalFormatting>
  <conditionalFormatting sqref="N231:N235">
    <cfRule type="expression" dxfId="300" priority="309" stopIfTrue="1">
      <formula>$C231&lt;&gt;""</formula>
    </cfRule>
  </conditionalFormatting>
  <conditionalFormatting sqref="N231:N235">
    <cfRule type="expression" dxfId="299" priority="308" stopIfTrue="1">
      <formula>$B231&lt;&gt;""</formula>
    </cfRule>
  </conditionalFormatting>
  <conditionalFormatting sqref="N236:N240">
    <cfRule type="expression" dxfId="298" priority="307" stopIfTrue="1">
      <formula>$B236&lt;&gt;""</formula>
    </cfRule>
  </conditionalFormatting>
  <conditionalFormatting sqref="N236:N240">
    <cfRule type="expression" dxfId="297" priority="306" stopIfTrue="1">
      <formula>$C236&lt;&gt;""</formula>
    </cfRule>
  </conditionalFormatting>
  <conditionalFormatting sqref="N244:N259">
    <cfRule type="expression" dxfId="296" priority="303" stopIfTrue="1">
      <formula>$B244&lt;&gt;""</formula>
    </cfRule>
  </conditionalFormatting>
  <conditionalFormatting sqref="N244:N259">
    <cfRule type="expression" dxfId="295" priority="302" stopIfTrue="1">
      <formula>$C244&lt;&gt;""</formula>
    </cfRule>
  </conditionalFormatting>
  <conditionalFormatting sqref="N252:N256">
    <cfRule type="expression" dxfId="294" priority="301" stopIfTrue="1">
      <formula>$B252&lt;&gt;""</formula>
    </cfRule>
  </conditionalFormatting>
  <conditionalFormatting sqref="N252:N256">
    <cfRule type="expression" dxfId="293" priority="300" stopIfTrue="1">
      <formula>$C252&lt;&gt;""</formula>
    </cfRule>
  </conditionalFormatting>
  <conditionalFormatting sqref="N60:N64">
    <cfRule type="expression" dxfId="292" priority="299" stopIfTrue="1">
      <formula>$C60&lt;&gt;""</formula>
    </cfRule>
  </conditionalFormatting>
  <conditionalFormatting sqref="N60:N64">
    <cfRule type="expression" dxfId="291" priority="298" stopIfTrue="1">
      <formula>$B60&lt;&gt;""</formula>
    </cfRule>
  </conditionalFormatting>
  <conditionalFormatting sqref="N2413:N2437">
    <cfRule type="expression" dxfId="290" priority="297" stopIfTrue="1">
      <formula>$C2413&lt;&gt;""</formula>
    </cfRule>
  </conditionalFormatting>
  <conditionalFormatting sqref="N2413:N2437">
    <cfRule type="expression" dxfId="289" priority="296" stopIfTrue="1">
      <formula>$B2413&lt;&gt;""</formula>
    </cfRule>
  </conditionalFormatting>
  <conditionalFormatting sqref="N2486:N2487">
    <cfRule type="expression" dxfId="288" priority="295" stopIfTrue="1">
      <formula>$C2486&lt;&gt;""</formula>
    </cfRule>
  </conditionalFormatting>
  <conditionalFormatting sqref="N2486:N2487">
    <cfRule type="expression" dxfId="287" priority="294" stopIfTrue="1">
      <formula>$B2486&lt;&gt;""</formula>
    </cfRule>
  </conditionalFormatting>
  <conditionalFormatting sqref="N2413:N2437">
    <cfRule type="expression" dxfId="286" priority="293" stopIfTrue="1">
      <formula>$B2413&lt;&gt;""</formula>
    </cfRule>
  </conditionalFormatting>
  <conditionalFormatting sqref="N2413:N2437">
    <cfRule type="expression" dxfId="285" priority="292" stopIfTrue="1">
      <formula>$C2413&lt;&gt;""</formula>
    </cfRule>
  </conditionalFormatting>
  <conditionalFormatting sqref="N2413:N2437">
    <cfRule type="expression" dxfId="284" priority="291" stopIfTrue="1">
      <formula>$B2413&lt;&gt;""</formula>
    </cfRule>
  </conditionalFormatting>
  <conditionalFormatting sqref="N2245:N2412">
    <cfRule type="expression" dxfId="283" priority="290" stopIfTrue="1">
      <formula>$C2245&lt;&gt;""</formula>
    </cfRule>
  </conditionalFormatting>
  <conditionalFormatting sqref="N2245:N2412">
    <cfRule type="expression" dxfId="282" priority="289" stopIfTrue="1">
      <formula>$B2245&lt;&gt;""</formula>
    </cfRule>
  </conditionalFormatting>
  <conditionalFormatting sqref="N2413:N2437">
    <cfRule type="expression" dxfId="281" priority="288" stopIfTrue="1">
      <formula>$C2413&lt;&gt;""</formula>
    </cfRule>
  </conditionalFormatting>
  <conditionalFormatting sqref="N2413:N2437">
    <cfRule type="expression" dxfId="280" priority="287" stopIfTrue="1">
      <formula>$B2413&lt;&gt;""</formula>
    </cfRule>
  </conditionalFormatting>
  <conditionalFormatting sqref="N2438:N2447">
    <cfRule type="expression" dxfId="279" priority="286" stopIfTrue="1">
      <formula>$C2438&lt;&gt;""</formula>
    </cfRule>
  </conditionalFormatting>
  <conditionalFormatting sqref="N2438:N2447">
    <cfRule type="expression" dxfId="278" priority="285" stopIfTrue="1">
      <formula>$B2438&lt;&gt;""</formula>
    </cfRule>
  </conditionalFormatting>
  <conditionalFormatting sqref="G66">
    <cfRule type="expression" dxfId="277" priority="284" stopIfTrue="1">
      <formula>$C66&lt;&gt;""</formula>
    </cfRule>
  </conditionalFormatting>
  <conditionalFormatting sqref="G66">
    <cfRule type="expression" dxfId="276" priority="283" stopIfTrue="1">
      <formula>$B66&lt;&gt;""</formula>
    </cfRule>
  </conditionalFormatting>
  <conditionalFormatting sqref="E68">
    <cfRule type="expression" dxfId="275" priority="282" stopIfTrue="1">
      <formula>$C68&lt;&gt;""</formula>
    </cfRule>
  </conditionalFormatting>
  <conditionalFormatting sqref="E68">
    <cfRule type="expression" dxfId="274" priority="281" stopIfTrue="1">
      <formula>$B68&lt;&gt;""</formula>
    </cfRule>
  </conditionalFormatting>
  <conditionalFormatting sqref="E75">
    <cfRule type="expression" dxfId="273" priority="265" stopIfTrue="1">
      <formula>$B75&lt;&gt;""</formula>
    </cfRule>
  </conditionalFormatting>
  <conditionalFormatting sqref="G71">
    <cfRule type="expression" dxfId="272" priority="280" stopIfTrue="1">
      <formula>$C71&lt;&gt;""</formula>
    </cfRule>
  </conditionalFormatting>
  <conditionalFormatting sqref="G71">
    <cfRule type="expression" dxfId="271" priority="279" stopIfTrue="1">
      <formula>$B71&lt;&gt;""</formula>
    </cfRule>
  </conditionalFormatting>
  <conditionalFormatting sqref="G73">
    <cfRule type="expression" dxfId="270" priority="278" stopIfTrue="1">
      <formula>$C73&lt;&gt;""</formula>
    </cfRule>
  </conditionalFormatting>
  <conditionalFormatting sqref="G73">
    <cfRule type="expression" dxfId="269" priority="277" stopIfTrue="1">
      <formula>$B73&lt;&gt;""</formula>
    </cfRule>
  </conditionalFormatting>
  <conditionalFormatting sqref="H75">
    <cfRule type="expression" dxfId="268" priority="276" stopIfTrue="1">
      <formula>$C75&lt;&gt;""</formula>
    </cfRule>
  </conditionalFormatting>
  <conditionalFormatting sqref="H75">
    <cfRule type="expression" dxfId="267" priority="275" stopIfTrue="1">
      <formula>$B75&lt;&gt;""</formula>
    </cfRule>
  </conditionalFormatting>
  <conditionalFormatting sqref="G73">
    <cfRule type="expression" dxfId="266" priority="274" stopIfTrue="1">
      <formula>$C73&lt;&gt;""</formula>
    </cfRule>
  </conditionalFormatting>
  <conditionalFormatting sqref="G73">
    <cfRule type="expression" dxfId="265" priority="273" stopIfTrue="1">
      <formula>$B73&lt;&gt;""</formula>
    </cfRule>
  </conditionalFormatting>
  <conditionalFormatting sqref="H75">
    <cfRule type="expression" dxfId="264" priority="272" stopIfTrue="1">
      <formula>$C75&lt;&gt;""</formula>
    </cfRule>
  </conditionalFormatting>
  <conditionalFormatting sqref="H75">
    <cfRule type="expression" dxfId="263" priority="271" stopIfTrue="1">
      <formula>$B75&lt;&gt;""</formula>
    </cfRule>
  </conditionalFormatting>
  <conditionalFormatting sqref="H75">
    <cfRule type="expression" dxfId="262" priority="270" stopIfTrue="1">
      <formula>$C75&lt;&gt;""</formula>
    </cfRule>
  </conditionalFormatting>
  <conditionalFormatting sqref="H75">
    <cfRule type="expression" dxfId="261" priority="269" stopIfTrue="1">
      <formula>$B75&lt;&gt;""</formula>
    </cfRule>
  </conditionalFormatting>
  <conditionalFormatting sqref="H75">
    <cfRule type="expression" dxfId="260" priority="268" stopIfTrue="1">
      <formula>$C75&lt;&gt;""</formula>
    </cfRule>
  </conditionalFormatting>
  <conditionalFormatting sqref="H75">
    <cfRule type="expression" dxfId="259" priority="267" stopIfTrue="1">
      <formula>$B75&lt;&gt;""</formula>
    </cfRule>
  </conditionalFormatting>
  <conditionalFormatting sqref="E75">
    <cfRule type="expression" dxfId="258" priority="266" stopIfTrue="1">
      <formula>$C75&lt;&gt;""</formula>
    </cfRule>
  </conditionalFormatting>
  <conditionalFormatting sqref="G78">
    <cfRule type="expression" dxfId="257" priority="264" stopIfTrue="1">
      <formula>$B78&lt;&gt;""</formula>
    </cfRule>
  </conditionalFormatting>
  <conditionalFormatting sqref="G78">
    <cfRule type="expression" dxfId="256" priority="263" stopIfTrue="1">
      <formula>$C78&lt;&gt;""</formula>
    </cfRule>
  </conditionalFormatting>
  <conditionalFormatting sqref="G80">
    <cfRule type="expression" dxfId="255" priority="262" stopIfTrue="1">
      <formula>$B80&lt;&gt;""</formula>
    </cfRule>
  </conditionalFormatting>
  <conditionalFormatting sqref="G80">
    <cfRule type="expression" dxfId="254" priority="261" stopIfTrue="1">
      <formula>$C80&lt;&gt;""</formula>
    </cfRule>
  </conditionalFormatting>
  <conditionalFormatting sqref="E81">
    <cfRule type="expression" dxfId="253" priority="260" stopIfTrue="1">
      <formula>$B81&lt;&gt;""</formula>
    </cfRule>
  </conditionalFormatting>
  <conditionalFormatting sqref="E81">
    <cfRule type="expression" dxfId="252" priority="259" stopIfTrue="1">
      <formula>$C81&lt;&gt;""</formula>
    </cfRule>
  </conditionalFormatting>
  <conditionalFormatting sqref="H81">
    <cfRule type="expression" dxfId="251" priority="258" stopIfTrue="1">
      <formula>$B81&lt;&gt;""</formula>
    </cfRule>
  </conditionalFormatting>
  <conditionalFormatting sqref="H81">
    <cfRule type="expression" dxfId="250" priority="257" stopIfTrue="1">
      <formula>$C81&lt;&gt;""</formula>
    </cfRule>
  </conditionalFormatting>
  <conditionalFormatting sqref="H104">
    <cfRule type="expression" dxfId="249" priority="256" stopIfTrue="1">
      <formula>$C104&lt;&gt;""</formula>
    </cfRule>
  </conditionalFormatting>
  <conditionalFormatting sqref="H104">
    <cfRule type="expression" dxfId="248" priority="255" stopIfTrue="1">
      <formula>$B104&lt;&gt;""</formula>
    </cfRule>
  </conditionalFormatting>
  <conditionalFormatting sqref="E113:E118">
    <cfRule type="expression" dxfId="247" priority="254">
      <formula>$C113&lt;&gt;""</formula>
    </cfRule>
  </conditionalFormatting>
  <conditionalFormatting sqref="H113">
    <cfRule type="expression" dxfId="246" priority="253" stopIfTrue="1">
      <formula>$C113&lt;&gt;""</formula>
    </cfRule>
  </conditionalFormatting>
  <conditionalFormatting sqref="H113">
    <cfRule type="expression" dxfId="245" priority="252" stopIfTrue="1">
      <formula>$B113&lt;&gt;""</formula>
    </cfRule>
  </conditionalFormatting>
  <conditionalFormatting sqref="G114">
    <cfRule type="expression" dxfId="244" priority="251" stopIfTrue="1">
      <formula>$C114&lt;&gt;""</formula>
    </cfRule>
  </conditionalFormatting>
  <conditionalFormatting sqref="G114">
    <cfRule type="expression" dxfId="243" priority="250" stopIfTrue="1">
      <formula>$B114&lt;&gt;""</formula>
    </cfRule>
  </conditionalFormatting>
  <conditionalFormatting sqref="G114">
    <cfRule type="expression" dxfId="242" priority="249" stopIfTrue="1">
      <formula>$C114&lt;&gt;""</formula>
    </cfRule>
  </conditionalFormatting>
  <conditionalFormatting sqref="G114">
    <cfRule type="expression" dxfId="241" priority="248" stopIfTrue="1">
      <formula>$B114&lt;&gt;""</formula>
    </cfRule>
  </conditionalFormatting>
  <conditionalFormatting sqref="G116">
    <cfRule type="expression" dxfId="240" priority="247" stopIfTrue="1">
      <formula>$C116&lt;&gt;""</formula>
    </cfRule>
  </conditionalFormatting>
  <conditionalFormatting sqref="G116">
    <cfRule type="expression" dxfId="239" priority="246" stopIfTrue="1">
      <formula>$B116&lt;&gt;""</formula>
    </cfRule>
  </conditionalFormatting>
  <conditionalFormatting sqref="G118">
    <cfRule type="expression" dxfId="238" priority="245" stopIfTrue="1">
      <formula>$C118&lt;&gt;""</formula>
    </cfRule>
  </conditionalFormatting>
  <conditionalFormatting sqref="G118">
    <cfRule type="expression" dxfId="237" priority="244" stopIfTrue="1">
      <formula>$B118&lt;&gt;""</formula>
    </cfRule>
  </conditionalFormatting>
  <conditionalFormatting sqref="G120">
    <cfRule type="expression" dxfId="236" priority="243" stopIfTrue="1">
      <formula>$C120&lt;&gt;""</formula>
    </cfRule>
  </conditionalFormatting>
  <conditionalFormatting sqref="G120">
    <cfRule type="expression" dxfId="235" priority="242" stopIfTrue="1">
      <formula>$B120&lt;&gt;""</formula>
    </cfRule>
  </conditionalFormatting>
  <conditionalFormatting sqref="G122">
    <cfRule type="expression" dxfId="234" priority="241" stopIfTrue="1">
      <formula>$C122&lt;&gt;""</formula>
    </cfRule>
  </conditionalFormatting>
  <conditionalFormatting sqref="G122">
    <cfRule type="expression" dxfId="233" priority="240" stopIfTrue="1">
      <formula>$B122&lt;&gt;""</formula>
    </cfRule>
  </conditionalFormatting>
  <conditionalFormatting sqref="G124">
    <cfRule type="expression" dxfId="232" priority="239" stopIfTrue="1">
      <formula>$C124&lt;&gt;""</formula>
    </cfRule>
  </conditionalFormatting>
  <conditionalFormatting sqref="G124">
    <cfRule type="expression" dxfId="231" priority="238" stopIfTrue="1">
      <formula>$B124&lt;&gt;""</formula>
    </cfRule>
  </conditionalFormatting>
  <conditionalFormatting sqref="L124">
    <cfRule type="expression" dxfId="230" priority="237" stopIfTrue="1">
      <formula>$C124&lt;&gt;""</formula>
    </cfRule>
  </conditionalFormatting>
  <conditionalFormatting sqref="L124">
    <cfRule type="expression" dxfId="229" priority="236" stopIfTrue="1">
      <formula>$B124&lt;&gt;""</formula>
    </cfRule>
  </conditionalFormatting>
  <conditionalFormatting sqref="L124">
    <cfRule type="expression" dxfId="228" priority="235" stopIfTrue="1">
      <formula>$C124&lt;&gt;""</formula>
    </cfRule>
  </conditionalFormatting>
  <conditionalFormatting sqref="L124">
    <cfRule type="expression" dxfId="227" priority="234" stopIfTrue="1">
      <formula>$B124&lt;&gt;""</formula>
    </cfRule>
  </conditionalFormatting>
  <conditionalFormatting sqref="G126">
    <cfRule type="expression" dxfId="226" priority="233" stopIfTrue="1">
      <formula>$C126&lt;&gt;""</formula>
    </cfRule>
  </conditionalFormatting>
  <conditionalFormatting sqref="G126">
    <cfRule type="expression" dxfId="225" priority="232" stopIfTrue="1">
      <formula>$B126&lt;&gt;""</formula>
    </cfRule>
  </conditionalFormatting>
  <conditionalFormatting sqref="E130">
    <cfRule type="expression" dxfId="224" priority="231" stopIfTrue="1">
      <formula>$C130&lt;&gt;""</formula>
    </cfRule>
  </conditionalFormatting>
  <conditionalFormatting sqref="E130">
    <cfRule type="expression" dxfId="223" priority="230" stopIfTrue="1">
      <formula>$B130&lt;&gt;""</formula>
    </cfRule>
  </conditionalFormatting>
  <conditionalFormatting sqref="E127:E129">
    <cfRule type="expression" dxfId="222" priority="229" stopIfTrue="1">
      <formula>$C127&lt;&gt;""</formula>
    </cfRule>
  </conditionalFormatting>
  <conditionalFormatting sqref="E127:E129">
    <cfRule type="expression" dxfId="221" priority="228" stopIfTrue="1">
      <formula>$B127&lt;&gt;""</formula>
    </cfRule>
  </conditionalFormatting>
  <conditionalFormatting sqref="G128">
    <cfRule type="expression" dxfId="220" priority="227" stopIfTrue="1">
      <formula>$C128&lt;&gt;""</formula>
    </cfRule>
  </conditionalFormatting>
  <conditionalFormatting sqref="G128">
    <cfRule type="expression" dxfId="219" priority="226" stopIfTrue="1">
      <formula>$B128&lt;&gt;""</formula>
    </cfRule>
  </conditionalFormatting>
  <conditionalFormatting sqref="G130">
    <cfRule type="expression" dxfId="218" priority="225" stopIfTrue="1">
      <formula>$C130&lt;&gt;""</formula>
    </cfRule>
  </conditionalFormatting>
  <conditionalFormatting sqref="G130">
    <cfRule type="expression" dxfId="217" priority="224" stopIfTrue="1">
      <formula>$B130&lt;&gt;""</formula>
    </cfRule>
  </conditionalFormatting>
  <conditionalFormatting sqref="E115:E116">
    <cfRule type="expression" dxfId="216" priority="223" stopIfTrue="1">
      <formula>$C115&lt;&gt;""</formula>
    </cfRule>
  </conditionalFormatting>
  <conditionalFormatting sqref="E115:E116">
    <cfRule type="expression" dxfId="215" priority="222" stopIfTrue="1">
      <formula>$B115&lt;&gt;""</formula>
    </cfRule>
  </conditionalFormatting>
  <conditionalFormatting sqref="G114">
    <cfRule type="expression" dxfId="214" priority="221" stopIfTrue="1">
      <formula>$C114&lt;&gt;""</formula>
    </cfRule>
  </conditionalFormatting>
  <conditionalFormatting sqref="G114">
    <cfRule type="expression" dxfId="213" priority="220" stopIfTrue="1">
      <formula>$B114&lt;&gt;""</formula>
    </cfRule>
  </conditionalFormatting>
  <conditionalFormatting sqref="G114">
    <cfRule type="expression" dxfId="212" priority="219" stopIfTrue="1">
      <formula>$C114&lt;&gt;""</formula>
    </cfRule>
  </conditionalFormatting>
  <conditionalFormatting sqref="G114">
    <cfRule type="expression" dxfId="211" priority="218" stopIfTrue="1">
      <formula>$B114&lt;&gt;""</formula>
    </cfRule>
  </conditionalFormatting>
  <conditionalFormatting sqref="G116">
    <cfRule type="expression" dxfId="210" priority="217" stopIfTrue="1">
      <formula>$C116&lt;&gt;""</formula>
    </cfRule>
  </conditionalFormatting>
  <conditionalFormatting sqref="G116">
    <cfRule type="expression" dxfId="209" priority="216" stopIfTrue="1">
      <formula>$B116&lt;&gt;""</formula>
    </cfRule>
  </conditionalFormatting>
  <conditionalFormatting sqref="G135">
    <cfRule type="expression" dxfId="208" priority="215" stopIfTrue="1">
      <formula>$C135&lt;&gt;""</formula>
    </cfRule>
  </conditionalFormatting>
  <conditionalFormatting sqref="G135">
    <cfRule type="expression" dxfId="207" priority="214" stopIfTrue="1">
      <formula>$B135&lt;&gt;""</formula>
    </cfRule>
  </conditionalFormatting>
  <conditionalFormatting sqref="G137">
    <cfRule type="expression" dxfId="206" priority="213" stopIfTrue="1">
      <formula>$C137&lt;&gt;""</formula>
    </cfRule>
  </conditionalFormatting>
  <conditionalFormatting sqref="G137">
    <cfRule type="expression" dxfId="205" priority="212" stopIfTrue="1">
      <formula>$B137&lt;&gt;""</formula>
    </cfRule>
  </conditionalFormatting>
  <conditionalFormatting sqref="G139">
    <cfRule type="expression" dxfId="204" priority="211" stopIfTrue="1">
      <formula>$C139&lt;&gt;""</formula>
    </cfRule>
  </conditionalFormatting>
  <conditionalFormatting sqref="G139">
    <cfRule type="expression" dxfId="203" priority="210" stopIfTrue="1">
      <formula>$B139&lt;&gt;""</formula>
    </cfRule>
  </conditionalFormatting>
  <conditionalFormatting sqref="L139:L141">
    <cfRule type="expression" dxfId="202" priority="209" stopIfTrue="1">
      <formula>$C139&lt;&gt;""</formula>
    </cfRule>
  </conditionalFormatting>
  <conditionalFormatting sqref="L139:L141">
    <cfRule type="expression" dxfId="201" priority="208" stopIfTrue="1">
      <formula>$B139&lt;&gt;""</formula>
    </cfRule>
  </conditionalFormatting>
  <conditionalFormatting sqref="E140:E141">
    <cfRule type="expression" dxfId="200" priority="207" stopIfTrue="1">
      <formula>$C140&lt;&gt;""</formula>
    </cfRule>
  </conditionalFormatting>
  <conditionalFormatting sqref="E140:E141">
    <cfRule type="expression" dxfId="199" priority="206" stopIfTrue="1">
      <formula>$B140&lt;&gt;""</formula>
    </cfRule>
  </conditionalFormatting>
  <conditionalFormatting sqref="G141">
    <cfRule type="expression" dxfId="198" priority="205" stopIfTrue="1">
      <formula>$C141&lt;&gt;""</formula>
    </cfRule>
  </conditionalFormatting>
  <conditionalFormatting sqref="G141">
    <cfRule type="expression" dxfId="197" priority="204" stopIfTrue="1">
      <formula>$B141&lt;&gt;""</formula>
    </cfRule>
  </conditionalFormatting>
  <conditionalFormatting sqref="E142:E143">
    <cfRule type="expression" dxfId="196" priority="203" stopIfTrue="1">
      <formula>$C142&lt;&gt;""</formula>
    </cfRule>
  </conditionalFormatting>
  <conditionalFormatting sqref="E142:E143">
    <cfRule type="expression" dxfId="195" priority="202" stopIfTrue="1">
      <formula>$B142&lt;&gt;""</formula>
    </cfRule>
  </conditionalFormatting>
  <conditionalFormatting sqref="H146">
    <cfRule type="expression" dxfId="194" priority="201" stopIfTrue="1">
      <formula>$C146&lt;&gt;""</formula>
    </cfRule>
  </conditionalFormatting>
  <conditionalFormatting sqref="H146">
    <cfRule type="expression" dxfId="193" priority="200" stopIfTrue="1">
      <formula>$B146&lt;&gt;""</formula>
    </cfRule>
  </conditionalFormatting>
  <conditionalFormatting sqref="G150">
    <cfRule type="expression" dxfId="192" priority="199" stopIfTrue="1">
      <formula>$C150&lt;&gt;""</formula>
    </cfRule>
  </conditionalFormatting>
  <conditionalFormatting sqref="G150">
    <cfRule type="expression" dxfId="191" priority="198" stopIfTrue="1">
      <formula>$B150&lt;&gt;""</formula>
    </cfRule>
  </conditionalFormatting>
  <conditionalFormatting sqref="H152">
    <cfRule type="expression" dxfId="190" priority="197" stopIfTrue="1">
      <formula>$C152&lt;&gt;""</formula>
    </cfRule>
  </conditionalFormatting>
  <conditionalFormatting sqref="H152">
    <cfRule type="expression" dxfId="189" priority="196" stopIfTrue="1">
      <formula>$B152&lt;&gt;""</formula>
    </cfRule>
  </conditionalFormatting>
  <conditionalFormatting sqref="H149">
    <cfRule type="expression" dxfId="188" priority="195" stopIfTrue="1">
      <formula>$C149&lt;&gt;""</formula>
    </cfRule>
  </conditionalFormatting>
  <conditionalFormatting sqref="H149">
    <cfRule type="expression" dxfId="187" priority="194" stopIfTrue="1">
      <formula>$B149&lt;&gt;""</formula>
    </cfRule>
  </conditionalFormatting>
  <conditionalFormatting sqref="H149">
    <cfRule type="expression" dxfId="186" priority="193" stopIfTrue="1">
      <formula>$C149&lt;&gt;""</formula>
    </cfRule>
  </conditionalFormatting>
  <conditionalFormatting sqref="H149">
    <cfRule type="expression" dxfId="185" priority="192" stopIfTrue="1">
      <formula>$B149&lt;&gt;""</formula>
    </cfRule>
  </conditionalFormatting>
  <conditionalFormatting sqref="G151">
    <cfRule type="expression" dxfId="184" priority="191" stopIfTrue="1">
      <formula>$C151&lt;&gt;""</formula>
    </cfRule>
  </conditionalFormatting>
  <conditionalFormatting sqref="G151">
    <cfRule type="expression" dxfId="183" priority="190" stopIfTrue="1">
      <formula>$B151&lt;&gt;""</formula>
    </cfRule>
  </conditionalFormatting>
  <conditionalFormatting sqref="G151">
    <cfRule type="expression" dxfId="182" priority="189" stopIfTrue="1">
      <formula>$C151&lt;&gt;""</formula>
    </cfRule>
  </conditionalFormatting>
  <conditionalFormatting sqref="G151">
    <cfRule type="expression" dxfId="181" priority="188" stopIfTrue="1">
      <formula>$B151&lt;&gt;""</formula>
    </cfRule>
  </conditionalFormatting>
  <conditionalFormatting sqref="H151">
    <cfRule type="expression" dxfId="180" priority="187" stopIfTrue="1">
      <formula>$C151&lt;&gt;""</formula>
    </cfRule>
  </conditionalFormatting>
  <conditionalFormatting sqref="H151">
    <cfRule type="expression" dxfId="179" priority="186" stopIfTrue="1">
      <formula>$B151&lt;&gt;""</formula>
    </cfRule>
  </conditionalFormatting>
  <conditionalFormatting sqref="H151">
    <cfRule type="expression" dxfId="178" priority="185" stopIfTrue="1">
      <formula>$C151&lt;&gt;""</formula>
    </cfRule>
  </conditionalFormatting>
  <conditionalFormatting sqref="H151">
    <cfRule type="expression" dxfId="177" priority="184" stopIfTrue="1">
      <formula>$B151&lt;&gt;""</formula>
    </cfRule>
  </conditionalFormatting>
  <conditionalFormatting sqref="H151">
    <cfRule type="expression" dxfId="176" priority="183" stopIfTrue="1">
      <formula>$C151&lt;&gt;""</formula>
    </cfRule>
  </conditionalFormatting>
  <conditionalFormatting sqref="H151">
    <cfRule type="expression" dxfId="175" priority="182" stopIfTrue="1">
      <formula>$B151&lt;&gt;""</formula>
    </cfRule>
  </conditionalFormatting>
  <conditionalFormatting sqref="G152">
    <cfRule type="expression" dxfId="174" priority="181" stopIfTrue="1">
      <formula>$C152&lt;&gt;""</formula>
    </cfRule>
  </conditionalFormatting>
  <conditionalFormatting sqref="G152">
    <cfRule type="expression" dxfId="173" priority="180" stopIfTrue="1">
      <formula>$B152&lt;&gt;""</formula>
    </cfRule>
  </conditionalFormatting>
  <conditionalFormatting sqref="G152">
    <cfRule type="expression" dxfId="172" priority="179" stopIfTrue="1">
      <formula>$C152&lt;&gt;""</formula>
    </cfRule>
  </conditionalFormatting>
  <conditionalFormatting sqref="G152">
    <cfRule type="expression" dxfId="171" priority="178" stopIfTrue="1">
      <formula>$B152&lt;&gt;""</formula>
    </cfRule>
  </conditionalFormatting>
  <conditionalFormatting sqref="H154">
    <cfRule type="expression" dxfId="170" priority="177" stopIfTrue="1">
      <formula>$B154&lt;&gt;""</formula>
    </cfRule>
  </conditionalFormatting>
  <conditionalFormatting sqref="H154">
    <cfRule type="expression" dxfId="169" priority="176" stopIfTrue="1">
      <formula>$C154&lt;&gt;""</formula>
    </cfRule>
  </conditionalFormatting>
  <conditionalFormatting sqref="G156">
    <cfRule type="expression" dxfId="168" priority="175" stopIfTrue="1">
      <formula>$B156&lt;&gt;""</formula>
    </cfRule>
  </conditionalFormatting>
  <conditionalFormatting sqref="G156">
    <cfRule type="expression" dxfId="167" priority="174" stopIfTrue="1">
      <formula>$C156&lt;&gt;""</formula>
    </cfRule>
  </conditionalFormatting>
  <conditionalFormatting sqref="E157:E159">
    <cfRule type="expression" dxfId="166" priority="173" stopIfTrue="1">
      <formula>$C157&lt;&gt;""</formula>
    </cfRule>
  </conditionalFormatting>
  <conditionalFormatting sqref="E157:E159">
    <cfRule type="expression" dxfId="165" priority="172" stopIfTrue="1">
      <formula>$B157&lt;&gt;""</formula>
    </cfRule>
  </conditionalFormatting>
  <conditionalFormatting sqref="E160:E162">
    <cfRule type="expression" dxfId="164" priority="171" stopIfTrue="1">
      <formula>$B160&lt;&gt;""</formula>
    </cfRule>
  </conditionalFormatting>
  <conditionalFormatting sqref="E160:E162">
    <cfRule type="expression" dxfId="163" priority="170" stopIfTrue="1">
      <formula>$C160&lt;&gt;""</formula>
    </cfRule>
  </conditionalFormatting>
  <conditionalFormatting sqref="E163:E164">
    <cfRule type="expression" dxfId="162" priority="169" stopIfTrue="1">
      <formula>$B163&lt;&gt;""</formula>
    </cfRule>
  </conditionalFormatting>
  <conditionalFormatting sqref="E163:E164">
    <cfRule type="expression" dxfId="161" priority="168" stopIfTrue="1">
      <formula>$C163&lt;&gt;""</formula>
    </cfRule>
  </conditionalFormatting>
  <conditionalFormatting sqref="E163:E165">
    <cfRule type="expression" dxfId="160" priority="167" stopIfTrue="1">
      <formula>$B163&lt;&gt;""</formula>
    </cfRule>
  </conditionalFormatting>
  <conditionalFormatting sqref="E163:E165">
    <cfRule type="expression" dxfId="159" priority="166" stopIfTrue="1">
      <formula>$C163&lt;&gt;""</formula>
    </cfRule>
  </conditionalFormatting>
  <conditionalFormatting sqref="E168">
    <cfRule type="expression" dxfId="158" priority="165" stopIfTrue="1">
      <formula>$B168&lt;&gt;""</formula>
    </cfRule>
  </conditionalFormatting>
  <conditionalFormatting sqref="E168">
    <cfRule type="expression" dxfId="157" priority="164" stopIfTrue="1">
      <formula>$C168&lt;&gt;""</formula>
    </cfRule>
  </conditionalFormatting>
  <conditionalFormatting sqref="H162">
    <cfRule type="expression" dxfId="156" priority="159" stopIfTrue="1">
      <formula>$B162&lt;&gt;""</formula>
    </cfRule>
  </conditionalFormatting>
  <conditionalFormatting sqref="H162">
    <cfRule type="expression" dxfId="155" priority="158" stopIfTrue="1">
      <formula>$C162&lt;&gt;""</formula>
    </cfRule>
  </conditionalFormatting>
  <conditionalFormatting sqref="G162">
    <cfRule type="expression" dxfId="154" priority="157" stopIfTrue="1">
      <formula>$B162&lt;&gt;""</formula>
    </cfRule>
  </conditionalFormatting>
  <conditionalFormatting sqref="G162">
    <cfRule type="expression" dxfId="153" priority="156" stopIfTrue="1">
      <formula>$C162&lt;&gt;""</formula>
    </cfRule>
  </conditionalFormatting>
  <conditionalFormatting sqref="G161">
    <cfRule type="expression" dxfId="152" priority="155" stopIfTrue="1">
      <formula>$B161&lt;&gt;""</formula>
    </cfRule>
  </conditionalFormatting>
  <conditionalFormatting sqref="G161">
    <cfRule type="expression" dxfId="151" priority="154" stopIfTrue="1">
      <formula>$C161&lt;&gt;""</formula>
    </cfRule>
  </conditionalFormatting>
  <conditionalFormatting sqref="G161">
    <cfRule type="expression" dxfId="150" priority="153" stopIfTrue="1">
      <formula>$B161&lt;&gt;""</formula>
    </cfRule>
  </conditionalFormatting>
  <conditionalFormatting sqref="G161">
    <cfRule type="expression" dxfId="149" priority="152" stopIfTrue="1">
      <formula>$C161&lt;&gt;""</formula>
    </cfRule>
  </conditionalFormatting>
  <conditionalFormatting sqref="H165">
    <cfRule type="expression" dxfId="148" priority="151" stopIfTrue="1">
      <formula>$B165&lt;&gt;""</formula>
    </cfRule>
  </conditionalFormatting>
  <conditionalFormatting sqref="H165">
    <cfRule type="expression" dxfId="147" priority="150" stopIfTrue="1">
      <formula>$C165&lt;&gt;""</formula>
    </cfRule>
  </conditionalFormatting>
  <conditionalFormatting sqref="G164">
    <cfRule type="expression" dxfId="146" priority="149" stopIfTrue="1">
      <formula>$B164&lt;&gt;""</formula>
    </cfRule>
  </conditionalFormatting>
  <conditionalFormatting sqref="G164">
    <cfRule type="expression" dxfId="145" priority="148" stopIfTrue="1">
      <formula>$C164&lt;&gt;""</formula>
    </cfRule>
  </conditionalFormatting>
  <conditionalFormatting sqref="G164">
    <cfRule type="expression" dxfId="144" priority="147" stopIfTrue="1">
      <formula>$B164&lt;&gt;""</formula>
    </cfRule>
  </conditionalFormatting>
  <conditionalFormatting sqref="G164">
    <cfRule type="expression" dxfId="143" priority="146" stopIfTrue="1">
      <formula>$C164&lt;&gt;""</formula>
    </cfRule>
  </conditionalFormatting>
  <conditionalFormatting sqref="H148">
    <cfRule type="expression" dxfId="142" priority="145" stopIfTrue="1">
      <formula>$C148&lt;&gt;""</formula>
    </cfRule>
  </conditionalFormatting>
  <conditionalFormatting sqref="H148">
    <cfRule type="expression" dxfId="141" priority="144" stopIfTrue="1">
      <formula>$B148&lt;&gt;""</formula>
    </cfRule>
  </conditionalFormatting>
  <conditionalFormatting sqref="G148">
    <cfRule type="expression" dxfId="140" priority="143" stopIfTrue="1">
      <formula>$C148&lt;&gt;""</formula>
    </cfRule>
  </conditionalFormatting>
  <conditionalFormatting sqref="G148">
    <cfRule type="expression" dxfId="139" priority="142" stopIfTrue="1">
      <formula>$B148&lt;&gt;""</formula>
    </cfRule>
  </conditionalFormatting>
  <conditionalFormatting sqref="E173:E174">
    <cfRule type="expression" dxfId="138" priority="137" stopIfTrue="1">
      <formula>$C173&lt;&gt;""</formula>
    </cfRule>
  </conditionalFormatting>
  <conditionalFormatting sqref="E173:E174">
    <cfRule type="expression" dxfId="137" priority="136" stopIfTrue="1">
      <formula>$B173&lt;&gt;""</formula>
    </cfRule>
  </conditionalFormatting>
  <conditionalFormatting sqref="G174">
    <cfRule type="expression" dxfId="136" priority="135" stopIfTrue="1">
      <formula>$C174&lt;&gt;""</formula>
    </cfRule>
  </conditionalFormatting>
  <conditionalFormatting sqref="G174">
    <cfRule type="expression" dxfId="135" priority="134" stopIfTrue="1">
      <formula>$B174&lt;&gt;""</formula>
    </cfRule>
  </conditionalFormatting>
  <conditionalFormatting sqref="L180">
    <cfRule type="expression" dxfId="134" priority="133" stopIfTrue="1">
      <formula>$C180&lt;&gt;""</formula>
    </cfRule>
  </conditionalFormatting>
  <conditionalFormatting sqref="L180">
    <cfRule type="expression" dxfId="133" priority="132" stopIfTrue="1">
      <formula>$B180&lt;&gt;""</formula>
    </cfRule>
  </conditionalFormatting>
  <conditionalFormatting sqref="E181:E183">
    <cfRule type="expression" dxfId="132" priority="131" stopIfTrue="1">
      <formula>$C181&lt;&gt;""</formula>
    </cfRule>
  </conditionalFormatting>
  <conditionalFormatting sqref="E181:E183">
    <cfRule type="expression" dxfId="131" priority="130" stopIfTrue="1">
      <formula>$B181&lt;&gt;""</formula>
    </cfRule>
  </conditionalFormatting>
  <conditionalFormatting sqref="E181:E182">
    <cfRule type="expression" dxfId="130" priority="129" stopIfTrue="1">
      <formula>$C181&lt;&gt;""</formula>
    </cfRule>
  </conditionalFormatting>
  <conditionalFormatting sqref="E181:E182">
    <cfRule type="expression" dxfId="129" priority="128" stopIfTrue="1">
      <formula>$B181&lt;&gt;""</formula>
    </cfRule>
  </conditionalFormatting>
  <conditionalFormatting sqref="E181:E183">
    <cfRule type="expression" dxfId="128" priority="127">
      <formula>$C181&lt;&gt;""</formula>
    </cfRule>
  </conditionalFormatting>
  <conditionalFormatting sqref="H186">
    <cfRule type="expression" dxfId="127" priority="126" stopIfTrue="1">
      <formula>$B186&lt;&gt;""</formula>
    </cfRule>
  </conditionalFormatting>
  <conditionalFormatting sqref="H186">
    <cfRule type="expression" dxfId="126" priority="125" stopIfTrue="1">
      <formula>$C186&lt;&gt;""</formula>
    </cfRule>
  </conditionalFormatting>
  <conditionalFormatting sqref="H187">
    <cfRule type="expression" dxfId="125" priority="124" stopIfTrue="1">
      <formula>$B187&lt;&gt;""</formula>
    </cfRule>
  </conditionalFormatting>
  <conditionalFormatting sqref="H187">
    <cfRule type="expression" dxfId="124" priority="123" stopIfTrue="1">
      <formula>$C187&lt;&gt;""</formula>
    </cfRule>
  </conditionalFormatting>
  <conditionalFormatting sqref="G188">
    <cfRule type="expression" dxfId="123" priority="122" stopIfTrue="1">
      <formula>$B188&lt;&gt;""</formula>
    </cfRule>
  </conditionalFormatting>
  <conditionalFormatting sqref="G188">
    <cfRule type="expression" dxfId="122" priority="121" stopIfTrue="1">
      <formula>$C188&lt;&gt;""</formula>
    </cfRule>
  </conditionalFormatting>
  <conditionalFormatting sqref="G188">
    <cfRule type="expression" dxfId="121" priority="120" stopIfTrue="1">
      <formula>$B188&lt;&gt;""</formula>
    </cfRule>
  </conditionalFormatting>
  <conditionalFormatting sqref="G188">
    <cfRule type="expression" dxfId="120" priority="119" stopIfTrue="1">
      <formula>$C188&lt;&gt;""</formula>
    </cfRule>
  </conditionalFormatting>
  <conditionalFormatting sqref="G190">
    <cfRule type="expression" dxfId="119" priority="118" stopIfTrue="1">
      <formula>$B190&lt;&gt;""</formula>
    </cfRule>
  </conditionalFormatting>
  <conditionalFormatting sqref="G190">
    <cfRule type="expression" dxfId="118" priority="117" stopIfTrue="1">
      <formula>$C190&lt;&gt;""</formula>
    </cfRule>
  </conditionalFormatting>
  <conditionalFormatting sqref="L188">
    <cfRule type="expression" dxfId="117" priority="116" stopIfTrue="1">
      <formula>$B188&lt;&gt;""</formula>
    </cfRule>
  </conditionalFormatting>
  <conditionalFormatting sqref="L188">
    <cfRule type="expression" dxfId="116" priority="115" stopIfTrue="1">
      <formula>$C188&lt;&gt;""</formula>
    </cfRule>
  </conditionalFormatting>
  <conditionalFormatting sqref="G190">
    <cfRule type="expression" dxfId="115" priority="114" stopIfTrue="1">
      <formula>$B190&lt;&gt;""</formula>
    </cfRule>
  </conditionalFormatting>
  <conditionalFormatting sqref="G190">
    <cfRule type="expression" dxfId="114" priority="113" stopIfTrue="1">
      <formula>$C190&lt;&gt;""</formula>
    </cfRule>
  </conditionalFormatting>
  <conditionalFormatting sqref="E197">
    <cfRule type="expression" dxfId="113" priority="108" stopIfTrue="1">
      <formula>$C197&lt;&gt;""</formula>
    </cfRule>
  </conditionalFormatting>
  <conditionalFormatting sqref="E197">
    <cfRule type="expression" dxfId="112" priority="107" stopIfTrue="1">
      <formula>$B197&lt;&gt;""</formula>
    </cfRule>
  </conditionalFormatting>
  <conditionalFormatting sqref="E193:E196">
    <cfRule type="expression" dxfId="111" priority="106" stopIfTrue="1">
      <formula>$C193&lt;&gt;""</formula>
    </cfRule>
  </conditionalFormatting>
  <conditionalFormatting sqref="E193:E196">
    <cfRule type="expression" dxfId="110" priority="105" stopIfTrue="1">
      <formula>$B193&lt;&gt;""</formula>
    </cfRule>
  </conditionalFormatting>
  <conditionalFormatting sqref="E196">
    <cfRule type="expression" dxfId="109" priority="104" stopIfTrue="1">
      <formula>$C196&lt;&gt;""</formula>
    </cfRule>
  </conditionalFormatting>
  <conditionalFormatting sqref="E196">
    <cfRule type="expression" dxfId="108" priority="103" stopIfTrue="1">
      <formula>$B196&lt;&gt;""</formula>
    </cfRule>
  </conditionalFormatting>
  <conditionalFormatting sqref="E197">
    <cfRule type="expression" dxfId="107" priority="100" stopIfTrue="1">
      <formula>$B197&lt;&gt;""</formula>
    </cfRule>
  </conditionalFormatting>
  <conditionalFormatting sqref="E197">
    <cfRule type="expression" dxfId="106" priority="99" stopIfTrue="1">
      <formula>$C197&lt;&gt;""</formula>
    </cfRule>
  </conditionalFormatting>
  <conditionalFormatting sqref="L198">
    <cfRule type="expression" dxfId="105" priority="98" stopIfTrue="1">
      <formula>$B198&lt;&gt;""</formula>
    </cfRule>
  </conditionalFormatting>
  <conditionalFormatting sqref="L198">
    <cfRule type="expression" dxfId="104" priority="97" stopIfTrue="1">
      <formula>$C198&lt;&gt;""</formula>
    </cfRule>
  </conditionalFormatting>
  <conditionalFormatting sqref="E199:E201">
    <cfRule type="expression" dxfId="103" priority="94" stopIfTrue="1">
      <formula>$B199&lt;&gt;""</formula>
    </cfRule>
  </conditionalFormatting>
  <conditionalFormatting sqref="E199:E201">
    <cfRule type="expression" dxfId="102" priority="93" stopIfTrue="1">
      <formula>$C199&lt;&gt;""</formula>
    </cfRule>
  </conditionalFormatting>
  <conditionalFormatting sqref="G211">
    <cfRule type="expression" dxfId="101" priority="92" stopIfTrue="1">
      <formula>$B211&lt;&gt;""</formula>
    </cfRule>
  </conditionalFormatting>
  <conditionalFormatting sqref="G211">
    <cfRule type="expression" dxfId="100" priority="91" stopIfTrue="1">
      <formula>$C211&lt;&gt;""</formula>
    </cfRule>
  </conditionalFormatting>
  <conditionalFormatting sqref="G219">
    <cfRule type="expression" dxfId="99" priority="90" stopIfTrue="1">
      <formula>$B219&lt;&gt;""</formula>
    </cfRule>
  </conditionalFormatting>
  <conditionalFormatting sqref="G219">
    <cfRule type="expression" dxfId="98" priority="89" stopIfTrue="1">
      <formula>$C219&lt;&gt;""</formula>
    </cfRule>
  </conditionalFormatting>
  <conditionalFormatting sqref="E226:E227">
    <cfRule type="expression" dxfId="97" priority="88" stopIfTrue="1">
      <formula>$B226&lt;&gt;""</formula>
    </cfRule>
  </conditionalFormatting>
  <conditionalFormatting sqref="E226:E227">
    <cfRule type="expression" dxfId="96" priority="87" stopIfTrue="1">
      <formula>$C226&lt;&gt;""</formula>
    </cfRule>
  </conditionalFormatting>
  <conditionalFormatting sqref="E220:E223">
    <cfRule type="expression" dxfId="95" priority="86" stopIfTrue="1">
      <formula>$B220&lt;&gt;""</formula>
    </cfRule>
  </conditionalFormatting>
  <conditionalFormatting sqref="E220:E223">
    <cfRule type="expression" dxfId="94" priority="85" stopIfTrue="1">
      <formula>$C220&lt;&gt;""</formula>
    </cfRule>
  </conditionalFormatting>
  <conditionalFormatting sqref="E224:E227">
    <cfRule type="expression" dxfId="93" priority="84" stopIfTrue="1">
      <formula>$B224&lt;&gt;""</formula>
    </cfRule>
  </conditionalFormatting>
  <conditionalFormatting sqref="E224:E227">
    <cfRule type="expression" dxfId="92" priority="83" stopIfTrue="1">
      <formula>$C224&lt;&gt;""</formula>
    </cfRule>
  </conditionalFormatting>
  <conditionalFormatting sqref="H226">
    <cfRule type="expression" dxfId="91" priority="82" stopIfTrue="1">
      <formula>$B226&lt;&gt;""</formula>
    </cfRule>
  </conditionalFormatting>
  <conditionalFormatting sqref="H226">
    <cfRule type="expression" dxfId="90" priority="81" stopIfTrue="1">
      <formula>$C226&lt;&gt;""</formula>
    </cfRule>
  </conditionalFormatting>
  <conditionalFormatting sqref="G227">
    <cfRule type="expression" dxfId="89" priority="80" stopIfTrue="1">
      <formula>$C227&lt;&gt;""</formula>
    </cfRule>
  </conditionalFormatting>
  <conditionalFormatting sqref="G227">
    <cfRule type="expression" dxfId="88" priority="79" stopIfTrue="1">
      <formula>$B227&lt;&gt;""</formula>
    </cfRule>
  </conditionalFormatting>
  <conditionalFormatting sqref="G227">
    <cfRule type="expression" dxfId="87" priority="78" stopIfTrue="1">
      <formula>$B227&lt;&gt;""</formula>
    </cfRule>
  </conditionalFormatting>
  <conditionalFormatting sqref="G227">
    <cfRule type="expression" dxfId="86" priority="77" stopIfTrue="1">
      <formula>$C227&lt;&gt;""</formula>
    </cfRule>
  </conditionalFormatting>
  <conditionalFormatting sqref="E228">
    <cfRule type="expression" dxfId="85" priority="76" stopIfTrue="1">
      <formula>$B228&lt;&gt;""</formula>
    </cfRule>
  </conditionalFormatting>
  <conditionalFormatting sqref="E228">
    <cfRule type="expression" dxfId="84" priority="75" stopIfTrue="1">
      <formula>$C228&lt;&gt;""</formula>
    </cfRule>
  </conditionalFormatting>
  <conditionalFormatting sqref="E229:E233">
    <cfRule type="expression" dxfId="83" priority="74" stopIfTrue="1">
      <formula>$B229&lt;&gt;""</formula>
    </cfRule>
  </conditionalFormatting>
  <conditionalFormatting sqref="E229:E233">
    <cfRule type="expression" dxfId="82" priority="73" stopIfTrue="1">
      <formula>$C229&lt;&gt;""</formula>
    </cfRule>
  </conditionalFormatting>
  <conditionalFormatting sqref="E234:E235">
    <cfRule type="expression" dxfId="81" priority="72" stopIfTrue="1">
      <formula>$C234&lt;&gt;""</formula>
    </cfRule>
  </conditionalFormatting>
  <conditionalFormatting sqref="E234:E235">
    <cfRule type="expression" dxfId="80" priority="71" stopIfTrue="1">
      <formula>$B234&lt;&gt;""</formula>
    </cfRule>
  </conditionalFormatting>
  <conditionalFormatting sqref="E234:E235">
    <cfRule type="expression" dxfId="79" priority="70" stopIfTrue="1">
      <formula>$B234&lt;&gt;""</formula>
    </cfRule>
  </conditionalFormatting>
  <conditionalFormatting sqref="E234:E235">
    <cfRule type="expression" dxfId="78" priority="69" stopIfTrue="1">
      <formula>$C234&lt;&gt;""</formula>
    </cfRule>
  </conditionalFormatting>
  <conditionalFormatting sqref="E228:E231">
    <cfRule type="expression" dxfId="77" priority="68" stopIfTrue="1">
      <formula>$B228&lt;&gt;""</formula>
    </cfRule>
  </conditionalFormatting>
  <conditionalFormatting sqref="E228:E231">
    <cfRule type="expression" dxfId="76" priority="67" stopIfTrue="1">
      <formula>$C228&lt;&gt;""</formula>
    </cfRule>
  </conditionalFormatting>
  <conditionalFormatting sqref="E232:E235">
    <cfRule type="expression" dxfId="75" priority="66" stopIfTrue="1">
      <formula>$B232&lt;&gt;""</formula>
    </cfRule>
  </conditionalFormatting>
  <conditionalFormatting sqref="E232:E235">
    <cfRule type="expression" dxfId="74" priority="65" stopIfTrue="1">
      <formula>$C232&lt;&gt;""</formula>
    </cfRule>
  </conditionalFormatting>
  <conditionalFormatting sqref="G235">
    <cfRule type="expression" dxfId="73" priority="64" stopIfTrue="1">
      <formula>$C235&lt;&gt;""</formula>
    </cfRule>
  </conditionalFormatting>
  <conditionalFormatting sqref="G235">
    <cfRule type="expression" dxfId="72" priority="63" stopIfTrue="1">
      <formula>$B235&lt;&gt;""</formula>
    </cfRule>
  </conditionalFormatting>
  <conditionalFormatting sqref="H81">
    <cfRule type="expression" dxfId="71" priority="62" stopIfTrue="1">
      <formula>$B81&lt;&gt;""</formula>
    </cfRule>
  </conditionalFormatting>
  <conditionalFormatting sqref="H81">
    <cfRule type="expression" dxfId="70" priority="61" stopIfTrue="1">
      <formula>$C81&lt;&gt;""</formula>
    </cfRule>
  </conditionalFormatting>
  <conditionalFormatting sqref="G73">
    <cfRule type="expression" dxfId="69" priority="58" stopIfTrue="1">
      <formula>$C73&lt;&gt;""</formula>
    </cfRule>
  </conditionalFormatting>
  <conditionalFormatting sqref="G73">
    <cfRule type="expression" dxfId="68" priority="57" stopIfTrue="1">
      <formula>$B73&lt;&gt;""</formula>
    </cfRule>
  </conditionalFormatting>
  <conditionalFormatting sqref="H75">
    <cfRule type="expression" dxfId="67" priority="56" stopIfTrue="1">
      <formula>$C75&lt;&gt;""</formula>
    </cfRule>
  </conditionalFormatting>
  <conditionalFormatting sqref="H75">
    <cfRule type="expression" dxfId="66" priority="55" stopIfTrue="1">
      <formula>$B75&lt;&gt;""</formula>
    </cfRule>
  </conditionalFormatting>
  <conditionalFormatting sqref="H75">
    <cfRule type="expression" dxfId="65" priority="54" stopIfTrue="1">
      <formula>$C75&lt;&gt;""</formula>
    </cfRule>
  </conditionalFormatting>
  <conditionalFormatting sqref="H75">
    <cfRule type="expression" dxfId="64" priority="53" stopIfTrue="1">
      <formula>$B75&lt;&gt;""</formula>
    </cfRule>
  </conditionalFormatting>
  <conditionalFormatting sqref="H75">
    <cfRule type="expression" dxfId="63" priority="52" stopIfTrue="1">
      <formula>$C75&lt;&gt;""</formula>
    </cfRule>
  </conditionalFormatting>
  <conditionalFormatting sqref="H75">
    <cfRule type="expression" dxfId="62" priority="51" stopIfTrue="1">
      <formula>$B75&lt;&gt;""</formula>
    </cfRule>
  </conditionalFormatting>
  <conditionalFormatting sqref="H75">
    <cfRule type="expression" dxfId="61" priority="50" stopIfTrue="1">
      <formula>$C75&lt;&gt;""</formula>
    </cfRule>
  </conditionalFormatting>
  <conditionalFormatting sqref="H75">
    <cfRule type="expression" dxfId="60" priority="49" stopIfTrue="1">
      <formula>$B75&lt;&gt;""</formula>
    </cfRule>
  </conditionalFormatting>
  <conditionalFormatting sqref="G242">
    <cfRule type="expression" dxfId="59" priority="48" stopIfTrue="1">
      <formula>$B242&lt;&gt;""</formula>
    </cfRule>
  </conditionalFormatting>
  <conditionalFormatting sqref="G242">
    <cfRule type="expression" dxfId="58" priority="47" stopIfTrue="1">
      <formula>$C242&lt;&gt;""</formula>
    </cfRule>
  </conditionalFormatting>
  <conditionalFormatting sqref="G244:G247">
    <cfRule type="expression" dxfId="57" priority="46" stopIfTrue="1">
      <formula>$B244&lt;&gt;""</formula>
    </cfRule>
  </conditionalFormatting>
  <conditionalFormatting sqref="G244:G247">
    <cfRule type="expression" dxfId="56" priority="45" stopIfTrue="1">
      <formula>$C244&lt;&gt;""</formula>
    </cfRule>
  </conditionalFormatting>
  <conditionalFormatting sqref="G248">
    <cfRule type="expression" dxfId="55" priority="44" stopIfTrue="1">
      <formula>$B248&lt;&gt;""</formula>
    </cfRule>
  </conditionalFormatting>
  <conditionalFormatting sqref="G248">
    <cfRule type="expression" dxfId="54" priority="43" stopIfTrue="1">
      <formula>$C248&lt;&gt;""</formula>
    </cfRule>
  </conditionalFormatting>
  <conditionalFormatting sqref="E250:E252">
    <cfRule type="expression" dxfId="53" priority="42" stopIfTrue="1">
      <formula>$B250&lt;&gt;""</formula>
    </cfRule>
  </conditionalFormatting>
  <conditionalFormatting sqref="E250:E252">
    <cfRule type="expression" dxfId="52" priority="41" stopIfTrue="1">
      <formula>$C250&lt;&gt;""</formula>
    </cfRule>
  </conditionalFormatting>
  <conditionalFormatting sqref="E253:E255">
    <cfRule type="expression" dxfId="51" priority="40" stopIfTrue="1">
      <formula>$B253&lt;&gt;""</formula>
    </cfRule>
  </conditionalFormatting>
  <conditionalFormatting sqref="E253:E255">
    <cfRule type="expression" dxfId="50" priority="39" stopIfTrue="1">
      <formula>$C253&lt;&gt;""</formula>
    </cfRule>
  </conditionalFormatting>
  <conditionalFormatting sqref="G251">
    <cfRule type="expression" dxfId="49" priority="38" stopIfTrue="1">
      <formula>$B251&lt;&gt;""</formula>
    </cfRule>
  </conditionalFormatting>
  <conditionalFormatting sqref="G251">
    <cfRule type="expression" dxfId="48" priority="37" stopIfTrue="1">
      <formula>$C251&lt;&gt;""</formula>
    </cfRule>
  </conditionalFormatting>
  <conditionalFormatting sqref="G253">
    <cfRule type="expression" dxfId="47" priority="36" stopIfTrue="1">
      <formula>$B253&lt;&gt;""</formula>
    </cfRule>
  </conditionalFormatting>
  <conditionalFormatting sqref="G253">
    <cfRule type="expression" dxfId="46" priority="35" stopIfTrue="1">
      <formula>$C253&lt;&gt;""</formula>
    </cfRule>
  </conditionalFormatting>
  <conditionalFormatting sqref="G257">
    <cfRule type="expression" dxfId="45" priority="34" stopIfTrue="1">
      <formula>$B257&lt;&gt;""</formula>
    </cfRule>
  </conditionalFormatting>
  <conditionalFormatting sqref="G257">
    <cfRule type="expression" dxfId="44" priority="33" stopIfTrue="1">
      <formula>$C257&lt;&gt;""</formula>
    </cfRule>
  </conditionalFormatting>
  <conditionalFormatting sqref="H256">
    <cfRule type="expression" dxfId="43" priority="32" stopIfTrue="1">
      <formula>$B256&lt;&gt;""</formula>
    </cfRule>
  </conditionalFormatting>
  <conditionalFormatting sqref="H256">
    <cfRule type="expression" dxfId="42" priority="31" stopIfTrue="1">
      <formula>$C256&lt;&gt;""</formula>
    </cfRule>
  </conditionalFormatting>
  <conditionalFormatting sqref="E256:E258">
    <cfRule type="expression" dxfId="41" priority="30" stopIfTrue="1">
      <formula>$B256&lt;&gt;""</formula>
    </cfRule>
  </conditionalFormatting>
  <conditionalFormatting sqref="E256:E258">
    <cfRule type="expression" dxfId="40" priority="29" stopIfTrue="1">
      <formula>$C256&lt;&gt;""</formula>
    </cfRule>
  </conditionalFormatting>
  <conditionalFormatting sqref="E259:E260">
    <cfRule type="expression" dxfId="39" priority="28" stopIfTrue="1">
      <formula>$B259&lt;&gt;""</formula>
    </cfRule>
  </conditionalFormatting>
  <conditionalFormatting sqref="E259:E260">
    <cfRule type="expression" dxfId="38" priority="27" stopIfTrue="1">
      <formula>$C259&lt;&gt;""</formula>
    </cfRule>
  </conditionalFormatting>
  <conditionalFormatting sqref="E259:E260">
    <cfRule type="expression" dxfId="37" priority="26" stopIfTrue="1">
      <formula>$B259&lt;&gt;""</formula>
    </cfRule>
  </conditionalFormatting>
  <conditionalFormatting sqref="E259:E260">
    <cfRule type="expression" dxfId="36" priority="25" stopIfTrue="1">
      <formula>$C259&lt;&gt;""</formula>
    </cfRule>
  </conditionalFormatting>
  <conditionalFormatting sqref="G251">
    <cfRule type="expression" dxfId="35" priority="24" stopIfTrue="1">
      <formula>$B251&lt;&gt;""</formula>
    </cfRule>
  </conditionalFormatting>
  <conditionalFormatting sqref="G251">
    <cfRule type="expression" dxfId="34" priority="23" stopIfTrue="1">
      <formula>$C251&lt;&gt;""</formula>
    </cfRule>
  </conditionalFormatting>
  <conditionalFormatting sqref="H256">
    <cfRule type="expression" dxfId="33" priority="22" stopIfTrue="1">
      <formula>$B256&lt;&gt;""</formula>
    </cfRule>
  </conditionalFormatting>
  <conditionalFormatting sqref="H256">
    <cfRule type="expression" dxfId="32" priority="21" stopIfTrue="1">
      <formula>$C256&lt;&gt;""</formula>
    </cfRule>
  </conditionalFormatting>
  <conditionalFormatting sqref="G258">
    <cfRule type="expression" dxfId="31" priority="20" stopIfTrue="1">
      <formula>$B258&lt;&gt;""</formula>
    </cfRule>
  </conditionalFormatting>
  <conditionalFormatting sqref="G258">
    <cfRule type="expression" dxfId="30" priority="19" stopIfTrue="1">
      <formula>$C258&lt;&gt;""</formula>
    </cfRule>
  </conditionalFormatting>
  <conditionalFormatting sqref="E182">
    <cfRule type="expression" dxfId="29" priority="18" stopIfTrue="1">
      <formula>$B182&lt;&gt;""</formula>
    </cfRule>
  </conditionalFormatting>
  <conditionalFormatting sqref="E182">
    <cfRule type="expression" dxfId="28" priority="17" stopIfTrue="1">
      <formula>$C182&lt;&gt;""</formula>
    </cfRule>
  </conditionalFormatting>
  <conditionalFormatting sqref="H181">
    <cfRule type="expression" dxfId="27" priority="16" stopIfTrue="1">
      <formula>$B181&lt;&gt;""</formula>
    </cfRule>
  </conditionalFormatting>
  <conditionalFormatting sqref="H181">
    <cfRule type="expression" dxfId="26" priority="15" stopIfTrue="1">
      <formula>$C181&lt;&gt;""</formula>
    </cfRule>
  </conditionalFormatting>
  <conditionalFormatting sqref="G182">
    <cfRule type="expression" dxfId="25" priority="14" stopIfTrue="1">
      <formula>$B182&lt;&gt;""</formula>
    </cfRule>
  </conditionalFormatting>
  <conditionalFormatting sqref="G182">
    <cfRule type="expression" dxfId="24" priority="13" stopIfTrue="1">
      <formula>$C182&lt;&gt;""</formula>
    </cfRule>
  </conditionalFormatting>
  <conditionalFormatting sqref="G182">
    <cfRule type="expression" dxfId="23" priority="12" stopIfTrue="1">
      <formula>$B182&lt;&gt;""</formula>
    </cfRule>
  </conditionalFormatting>
  <conditionalFormatting sqref="G182">
    <cfRule type="expression" dxfId="22" priority="11" stopIfTrue="1">
      <formula>$C182&lt;&gt;""</formula>
    </cfRule>
  </conditionalFormatting>
  <conditionalFormatting sqref="H183">
    <cfRule type="expression" dxfId="21" priority="10" stopIfTrue="1">
      <formula>$B183&lt;&gt;""</formula>
    </cfRule>
  </conditionalFormatting>
  <conditionalFormatting sqref="H183">
    <cfRule type="expression" dxfId="20" priority="9" stopIfTrue="1">
      <formula>$C183&lt;&gt;""</formula>
    </cfRule>
  </conditionalFormatting>
  <conditionalFormatting sqref="H224">
    <cfRule type="expression" dxfId="19" priority="8" stopIfTrue="1">
      <formula>$C224&lt;&gt;""</formula>
    </cfRule>
  </conditionalFormatting>
  <conditionalFormatting sqref="H224">
    <cfRule type="expression" dxfId="18" priority="7" stopIfTrue="1">
      <formula>$B224&lt;&gt;""</formula>
    </cfRule>
  </conditionalFormatting>
  <conditionalFormatting sqref="H224">
    <cfRule type="expression" dxfId="17" priority="6" stopIfTrue="1">
      <formula>$C224&lt;&gt;""</formula>
    </cfRule>
  </conditionalFormatting>
  <conditionalFormatting sqref="H224">
    <cfRule type="expression" dxfId="16" priority="5" stopIfTrue="1">
      <formula>$B224&lt;&gt;""</formula>
    </cfRule>
  </conditionalFormatting>
  <conditionalFormatting sqref="H224">
    <cfRule type="expression" dxfId="15" priority="4" stopIfTrue="1">
      <formula>$B224&lt;&gt;""</formula>
    </cfRule>
  </conditionalFormatting>
  <conditionalFormatting sqref="H224">
    <cfRule type="expression" dxfId="14" priority="3" stopIfTrue="1">
      <formula>$C224&lt;&gt;""</formula>
    </cfRule>
  </conditionalFormatting>
  <conditionalFormatting sqref="G235">
    <cfRule type="expression" dxfId="13" priority="2" stopIfTrue="1">
      <formula>$C235&lt;&gt;""</formula>
    </cfRule>
  </conditionalFormatting>
  <conditionalFormatting sqref="G235">
    <cfRule type="expression" dxfId="12" priority="1" stopIfTrue="1">
      <formula>$B235&lt;&gt;""</formula>
    </cfRule>
  </conditionalFormatting>
  <pageMargins left="0.7" right="0.7" top="0.75" bottom="0.75" header="0.3" footer="0.3"/>
  <pageSetup scale="80" fitToHeight="0" orientation="landscape" horizontalDpi="0" verticalDpi="0" r:id="rId1"/>
</worksheet>
</file>

<file path=xl/worksheets/sheet12.xml><?xml version="1.0" encoding="utf-8"?>
<worksheet xmlns="http://schemas.openxmlformats.org/spreadsheetml/2006/main" xmlns:r="http://schemas.openxmlformats.org/officeDocument/2006/relationships">
  <dimension ref="A1:AB499"/>
  <sheetViews>
    <sheetView zoomScaleSheetLayoutView="106" workbookViewId="0">
      <pane xSplit="3" ySplit="5" topLeftCell="G446" activePane="bottomRight" state="frozen"/>
      <selection pane="topRight" activeCell="D1" sqref="D1"/>
      <selection pane="bottomLeft" activeCell="A5" sqref="A5"/>
      <selection pane="bottomRight" activeCell="J482" sqref="J482"/>
    </sheetView>
  </sheetViews>
  <sheetFormatPr defaultRowHeight="12.75" outlineLevelRow="1"/>
  <cols>
    <col min="1" max="1" width="13.5703125" style="23" hidden="1" customWidth="1"/>
    <col min="2" max="2" width="9.28515625" style="23" customWidth="1"/>
    <col min="3" max="3" width="28.5703125" style="238" customWidth="1"/>
    <col min="4" max="4" width="0.28515625" style="238" customWidth="1"/>
    <col min="5" max="5" width="11.28515625" style="238" customWidth="1"/>
    <col min="6" max="6" width="14.5703125" style="238" bestFit="1" customWidth="1"/>
    <col min="7" max="7" width="8.42578125" style="238" customWidth="1"/>
    <col min="8" max="8" width="11" style="238" customWidth="1"/>
    <col min="9" max="9" width="15.28515625" style="238" customWidth="1"/>
    <col min="10" max="10" width="13.140625" style="238" customWidth="1"/>
    <col min="11" max="11" width="12.140625" style="238" customWidth="1"/>
    <col min="12" max="12" width="13.28515625" style="238" customWidth="1"/>
    <col min="13" max="13" width="14.140625" style="238" customWidth="1"/>
    <col min="14" max="14" width="13.7109375" style="238" customWidth="1"/>
    <col min="15" max="15" width="13.28515625" style="238" customWidth="1"/>
    <col min="16" max="16" width="11.5703125" style="238" bestFit="1" customWidth="1"/>
    <col min="17" max="17" width="13" style="238" customWidth="1"/>
    <col min="18" max="18" width="13.140625" style="238" customWidth="1"/>
    <col min="19" max="19" width="11.28515625" style="238" customWidth="1"/>
    <col min="20" max="20" width="14.5703125" style="238" bestFit="1" customWidth="1"/>
    <col min="21" max="21" width="10.7109375" style="238" customWidth="1"/>
    <col min="22" max="22" width="13.28515625" style="238" bestFit="1" customWidth="1"/>
    <col min="23" max="23" width="14.140625" style="238" bestFit="1" customWidth="1"/>
    <col min="24" max="24" width="13.28515625" style="238" bestFit="1" customWidth="1"/>
    <col min="25" max="25" width="10.7109375" style="238" bestFit="1" customWidth="1"/>
    <col min="26" max="26" width="14.42578125" style="238" bestFit="1" customWidth="1"/>
    <col min="27" max="27" width="13.42578125" style="238" bestFit="1" customWidth="1"/>
    <col min="28" max="28" width="10.85546875" style="238" bestFit="1" customWidth="1"/>
    <col min="29" max="16384" width="9.140625" style="238"/>
  </cols>
  <sheetData>
    <row r="1" spans="1:28" hidden="1" outlineLevel="1">
      <c r="B1" s="595"/>
      <c r="C1" s="595"/>
      <c r="D1" s="595"/>
      <c r="E1" s="596"/>
      <c r="F1" s="596"/>
      <c r="G1" s="596"/>
      <c r="H1" s="595" t="s">
        <v>260</v>
      </c>
      <c r="I1" s="874">
        <f>+I30+I68+I106+I145+I187+I228</f>
        <v>78337435.646652877</v>
      </c>
      <c r="J1" s="874">
        <f t="shared" ref="J1:O1" si="0">+J30+J68+J106+J145+J187+J228</f>
        <v>8570876.4261053614</v>
      </c>
      <c r="K1" s="874">
        <f t="shared" si="0"/>
        <v>1696893.8920634924</v>
      </c>
      <c r="L1" s="874">
        <f t="shared" si="0"/>
        <v>5279762.0299912589</v>
      </c>
      <c r="M1" s="874">
        <f t="shared" si="0"/>
        <v>64486797.190556236</v>
      </c>
      <c r="N1" s="874">
        <f t="shared" si="0"/>
        <v>10404025.139038417</v>
      </c>
      <c r="O1" s="874">
        <f t="shared" si="0"/>
        <v>18974901.565143775</v>
      </c>
      <c r="P1" s="625"/>
      <c r="T1" s="1033" t="s">
        <v>292</v>
      </c>
      <c r="U1" s="1034"/>
      <c r="V1" s="886" t="s">
        <v>1707</v>
      </c>
      <c r="W1" s="1035" t="s">
        <v>1708</v>
      </c>
      <c r="X1" s="1036"/>
      <c r="Y1" s="1035" t="s">
        <v>1709</v>
      </c>
      <c r="Z1" s="1036"/>
    </row>
    <row r="2" spans="1:28" hidden="1" outlineLevel="1">
      <c r="B2" s="595"/>
      <c r="C2" s="595"/>
      <c r="D2" s="595"/>
      <c r="E2" s="596"/>
      <c r="F2" s="596"/>
      <c r="G2" s="596"/>
      <c r="H2" s="595"/>
      <c r="I2" s="874">
        <f>+'TT-11(1)'!H101</f>
        <v>78337435.646652862</v>
      </c>
      <c r="J2" s="874">
        <f>+'TT-11(1)'!I101</f>
        <v>8570876.4261053596</v>
      </c>
      <c r="K2" s="874">
        <f>+'TT-11(1)'!L101</f>
        <v>1696893.8920634924</v>
      </c>
      <c r="L2" s="874">
        <f>+'TT-11(1)'!M101</f>
        <v>5279762.0299912598</v>
      </c>
      <c r="M2" s="874"/>
      <c r="N2" s="874"/>
      <c r="O2" s="874"/>
      <c r="P2" s="625"/>
      <c r="T2" s="887" t="s">
        <v>1711</v>
      </c>
      <c r="U2" s="887" t="s">
        <v>1712</v>
      </c>
      <c r="V2" s="440" t="s">
        <v>1713</v>
      </c>
      <c r="W2" s="888" t="s">
        <v>2640</v>
      </c>
      <c r="X2" s="888" t="s">
        <v>2641</v>
      </c>
      <c r="Y2" s="888" t="s">
        <v>2640</v>
      </c>
      <c r="Z2" s="888" t="s">
        <v>2641</v>
      </c>
    </row>
    <row r="3" spans="1:28" hidden="1" outlineLevel="1">
      <c r="B3" s="988"/>
      <c r="C3" s="595" t="s">
        <v>2370</v>
      </c>
      <c r="D3" s="597"/>
      <c r="E3" s="597"/>
      <c r="F3" s="598"/>
      <c r="G3" s="597"/>
      <c r="H3" s="597"/>
      <c r="I3" s="599">
        <f>+I1-I2</f>
        <v>0</v>
      </c>
      <c r="J3" s="599">
        <f t="shared" ref="J3:O3" si="1">+J1-J2</f>
        <v>0</v>
      </c>
      <c r="K3" s="599">
        <f t="shared" si="1"/>
        <v>0</v>
      </c>
      <c r="L3" s="599">
        <f>+L1-L2</f>
        <v>0</v>
      </c>
      <c r="M3" s="599"/>
      <c r="N3" s="599">
        <f t="shared" si="1"/>
        <v>10404025.139038417</v>
      </c>
      <c r="O3" s="599">
        <f t="shared" si="1"/>
        <v>18974901.565143775</v>
      </c>
      <c r="T3" s="446">
        <v>43070</v>
      </c>
      <c r="U3" s="446">
        <v>43100</v>
      </c>
      <c r="V3" s="375"/>
      <c r="W3" s="381"/>
      <c r="X3" s="381">
        <f>+SUMIFS(JURNAL!H:H,JURNAL!E:E,310800,JURNAL!C:C,"&gt;="&amp;T3,JURNAL!C:C,"&lt;="&amp;U3)</f>
        <v>0</v>
      </c>
      <c r="Y3" s="381">
        <f>+STAT1!H28</f>
        <v>82442.47</v>
      </c>
      <c r="Z3" s="381">
        <v>0</v>
      </c>
    </row>
    <row r="4" spans="1:28" ht="38.25" hidden="1" customHeight="1" outlineLevel="1">
      <c r="B4" s="1026" t="s">
        <v>1</v>
      </c>
      <c r="C4" s="1028" t="s">
        <v>1334</v>
      </c>
      <c r="D4" s="1028" t="s">
        <v>1335</v>
      </c>
      <c r="E4" s="1030" t="s">
        <v>1477</v>
      </c>
      <c r="F4" s="1028" t="s">
        <v>1478</v>
      </c>
      <c r="G4" s="1030" t="s">
        <v>1479</v>
      </c>
      <c r="H4" s="1030" t="s">
        <v>1480</v>
      </c>
      <c r="I4" s="1021" t="s">
        <v>1481</v>
      </c>
      <c r="J4" s="1019" t="s">
        <v>1482</v>
      </c>
      <c r="K4" s="1017" t="s">
        <v>2012</v>
      </c>
      <c r="L4" s="1018"/>
      <c r="M4" s="1019" t="s">
        <v>1483</v>
      </c>
      <c r="N4" s="1021" t="s">
        <v>1484</v>
      </c>
      <c r="O4" s="1019" t="s">
        <v>1485</v>
      </c>
      <c r="P4" s="238" t="s">
        <v>1633</v>
      </c>
      <c r="T4" s="446">
        <v>43101</v>
      </c>
      <c r="U4" s="446">
        <v>43131</v>
      </c>
      <c r="V4" s="375"/>
      <c r="W4" s="381">
        <f>+SUMIFS(JURNAL!G:G,JURNAL!E:E,120900,JURNAL!C:C,"&gt;="&amp;T4,JURNAL!C:C,"&lt;="&amp;U4)-V4</f>
        <v>0</v>
      </c>
      <c r="X4" s="381">
        <f>+SUMIFS(JURNAL!H:H,JURNAL!E:E,310800,JURNAL!C:C,"&gt;="&amp;T4,JURNAL!C:C,"&lt;="&amp;U4)</f>
        <v>3387347.1304347832</v>
      </c>
      <c r="Y4" s="381">
        <f>+IF((Y3+V4+W4-Z3-X4)&gt;0,(Y3+V4+W4-Z3-X4),0)</f>
        <v>0</v>
      </c>
      <c r="Z4" s="381">
        <f>+IF((Z3+X4-Y3-V4-W4)&gt;0,(Z3+X4-Y3-V4-W4),0)</f>
        <v>3304904.660434783</v>
      </c>
    </row>
    <row r="5" spans="1:28" ht="15" hidden="1" customHeight="1" outlineLevel="1">
      <c r="B5" s="1027"/>
      <c r="C5" s="1029"/>
      <c r="D5" s="1029"/>
      <c r="E5" s="1031"/>
      <c r="F5" s="1029"/>
      <c r="G5" s="1031"/>
      <c r="H5" s="1031"/>
      <c r="I5" s="1022"/>
      <c r="J5" s="1020"/>
      <c r="K5" s="601" t="s">
        <v>1633</v>
      </c>
      <c r="L5" s="601" t="s">
        <v>5</v>
      </c>
      <c r="M5" s="1020"/>
      <c r="N5" s="1022"/>
      <c r="O5" s="1020"/>
      <c r="T5" s="446">
        <v>43132</v>
      </c>
      <c r="U5" s="446">
        <v>43159</v>
      </c>
      <c r="V5" s="381"/>
      <c r="W5" s="381">
        <f>+SUMIFS(JURNAL!G:G,JURNAL!E:E,120900,JURNAL!C:C,"&gt;="&amp;T5,JURNAL!C:C,"&lt;="&amp;U5)-V5</f>
        <v>0</v>
      </c>
      <c r="X5" s="381">
        <f>+SUMIFS(JURNAL!H:H,JURNAL!E:E,310800,JURNAL!C:C,"&gt;="&amp;T5,JURNAL!C:C,"&lt;="&amp;U5)</f>
        <v>2386243.8095238097</v>
      </c>
      <c r="Y5" s="381">
        <f t="shared" ref="Y5:Y15" si="2">+IF((Y4+V5+W5-Z4-X5)&gt;0,(Y4+V5+W5-Z4-X5),0)</f>
        <v>0</v>
      </c>
      <c r="Z5" s="381">
        <f t="shared" ref="Z5:Z15" si="3">+IF((Z4+X5-Y4-V5-W5)&gt;0,(Z4+X5-Y4-V5-W5),0)</f>
        <v>5691148.4699585922</v>
      </c>
    </row>
    <row r="6" spans="1:28" ht="14.25" hidden="1" customHeight="1" outlineLevel="1">
      <c r="A6" s="842">
        <f>12*F6</f>
        <v>14400000</v>
      </c>
      <c r="B6" s="482">
        <v>1</v>
      </c>
      <c r="C6" s="602" t="s">
        <v>2409</v>
      </c>
      <c r="D6" s="603" t="s">
        <v>2419</v>
      </c>
      <c r="E6" s="603" t="s">
        <v>1486</v>
      </c>
      <c r="F6" s="970">
        <v>1200000</v>
      </c>
      <c r="G6" s="605">
        <v>23</v>
      </c>
      <c r="H6" s="605">
        <f>+F6/23</f>
        <v>52173.913043478264</v>
      </c>
      <c r="I6" s="971">
        <f>+H6*G6</f>
        <v>1200000</v>
      </c>
      <c r="J6" s="972">
        <f>+I6*0.11</f>
        <v>132000</v>
      </c>
      <c r="K6" s="972">
        <f>+IFERROR(INDEX($S$7:$S$13,MATCH((I6-J6),$Q$7:$Q$13,1)),"")</f>
        <v>10000</v>
      </c>
      <c r="L6" s="972">
        <f>+IF((I6-J6)*0.1&lt;K6,0,(I6-J6)*0.1-K6)</f>
        <v>96800</v>
      </c>
      <c r="M6" s="971">
        <f>+I6-J6-L6</f>
        <v>971200</v>
      </c>
      <c r="N6" s="972">
        <f>+I6*0.13</f>
        <v>156000</v>
      </c>
      <c r="O6" s="972">
        <f>+J6+N6</f>
        <v>288000</v>
      </c>
      <c r="P6" s="238">
        <f>+IF(L6,1,0)</f>
        <v>1</v>
      </c>
      <c r="Q6" s="843" t="s">
        <v>2515</v>
      </c>
      <c r="R6" s="843" t="s">
        <v>2516</v>
      </c>
      <c r="S6" s="430" t="s">
        <v>2517</v>
      </c>
      <c r="T6" s="446">
        <v>43160</v>
      </c>
      <c r="U6" s="446">
        <v>43190</v>
      </c>
      <c r="V6" s="381"/>
      <c r="W6" s="381">
        <f>+SUMIFS(JURNAL!G:G,JURNAL!E:E,120900,JURNAL!C:C,"&gt;="&amp;T6,JURNAL!C:C,"&lt;="&amp;U6)-V6</f>
        <v>0</v>
      </c>
      <c r="X6" s="381">
        <f>+SUMIFS(JURNAL!H:H,JURNAL!E:E,310800,JURNAL!C:C,"&gt;="&amp;T6,JURNAL!C:C,"&lt;="&amp;U6)</f>
        <v>3062115.5200000005</v>
      </c>
      <c r="Y6" s="381">
        <f t="shared" si="2"/>
        <v>0</v>
      </c>
      <c r="Z6" s="381">
        <f t="shared" si="3"/>
        <v>8753263.9899585918</v>
      </c>
      <c r="AA6" s="79">
        <f>+STAT1!W114</f>
        <v>8753263.9899585918</v>
      </c>
      <c r="AB6" s="79">
        <f>+Z6-AA6</f>
        <v>0</v>
      </c>
    </row>
    <row r="7" spans="1:28" ht="14.25" hidden="1" customHeight="1" outlineLevel="1">
      <c r="A7" s="842">
        <f t="shared" ref="A7:A29" si="4">12*F7</f>
        <v>14400000</v>
      </c>
      <c r="B7" s="482">
        <f>+B6+1</f>
        <v>2</v>
      </c>
      <c r="C7" s="609" t="s">
        <v>2410</v>
      </c>
      <c r="D7" s="608" t="s">
        <v>2420</v>
      </c>
      <c r="E7" s="608" t="s">
        <v>1487</v>
      </c>
      <c r="F7" s="970">
        <v>1200000</v>
      </c>
      <c r="G7" s="605">
        <v>23</v>
      </c>
      <c r="H7" s="605">
        <f t="shared" ref="H7:H29" si="5">+F7/23</f>
        <v>52173.913043478264</v>
      </c>
      <c r="I7" s="971">
        <f t="shared" ref="I7:I23" si="6">+H7*G7</f>
        <v>1200000</v>
      </c>
      <c r="J7" s="972">
        <f t="shared" ref="J7:J12" si="7">+I7*0.11</f>
        <v>132000</v>
      </c>
      <c r="K7" s="972">
        <f t="shared" ref="K7:K29" si="8">+IFERROR(INDEX($S$7:$S$13,MATCH((I7-J7),$Q$7:$Q$13,1)),"")</f>
        <v>10000</v>
      </c>
      <c r="L7" s="972">
        <f t="shared" ref="L7:L29" si="9">+IF((I7-J7)*0.1&lt;K7,0,(I7-J7)*0.1-K7)</f>
        <v>96800</v>
      </c>
      <c r="M7" s="971">
        <f t="shared" ref="M7:M23" si="10">+I7-J7-L7</f>
        <v>971200</v>
      </c>
      <c r="N7" s="972">
        <f t="shared" ref="N7:N12" si="11">+I7*0.13</f>
        <v>156000</v>
      </c>
      <c r="O7" s="972">
        <f t="shared" ref="O7:O23" si="12">+J7+N7</f>
        <v>288000</v>
      </c>
      <c r="P7" s="238">
        <f t="shared" ref="P7:P23" si="13">+IF(L7,1,0)</f>
        <v>1</v>
      </c>
      <c r="Q7" s="843">
        <v>1</v>
      </c>
      <c r="R7" s="430">
        <v>160000</v>
      </c>
      <c r="S7" s="843">
        <v>13333.333333333334</v>
      </c>
      <c r="T7" s="446">
        <v>43191</v>
      </c>
      <c r="U7" s="446">
        <v>43220</v>
      </c>
      <c r="V7" s="381"/>
      <c r="W7" s="381">
        <f>+SUMIFS(JURNAL!G:G,JURNAL!E:E,120900,JURNAL!C:C,"&gt;="&amp;T7,JURNAL!C:C,"&lt;="&amp;U7)-V7</f>
        <v>0</v>
      </c>
      <c r="X7" s="381">
        <f>+SUMIFS(JURNAL!H:H,JURNAL!E:E,310800,JURNAL!C:C,"&gt;="&amp;T7,JURNAL!C:C,"&lt;="&amp;U7)</f>
        <v>3217840</v>
      </c>
      <c r="Y7" s="381">
        <f t="shared" si="2"/>
        <v>0</v>
      </c>
      <c r="Z7" s="381">
        <f t="shared" si="3"/>
        <v>11971103.989958592</v>
      </c>
    </row>
    <row r="8" spans="1:28" hidden="1" outlineLevel="1">
      <c r="A8" s="842">
        <f t="shared" si="4"/>
        <v>16800000</v>
      </c>
      <c r="B8" s="482">
        <f t="shared" ref="B8:B29" si="14">+B7+1</f>
        <v>3</v>
      </c>
      <c r="C8" s="607" t="s">
        <v>1488</v>
      </c>
      <c r="D8" s="608" t="s">
        <v>2421</v>
      </c>
      <c r="E8" s="608" t="s">
        <v>1489</v>
      </c>
      <c r="F8" s="973">
        <v>1400000</v>
      </c>
      <c r="G8" s="605">
        <v>23</v>
      </c>
      <c r="H8" s="605">
        <f t="shared" si="5"/>
        <v>60869.565217391304</v>
      </c>
      <c r="I8" s="971">
        <f t="shared" si="6"/>
        <v>1400000</v>
      </c>
      <c r="J8" s="972">
        <f t="shared" si="7"/>
        <v>154000</v>
      </c>
      <c r="K8" s="972">
        <f t="shared" si="8"/>
        <v>10000</v>
      </c>
      <c r="L8" s="972">
        <f t="shared" si="9"/>
        <v>114600</v>
      </c>
      <c r="M8" s="971">
        <f t="shared" si="10"/>
        <v>1131400</v>
      </c>
      <c r="N8" s="972">
        <f t="shared" si="11"/>
        <v>182000</v>
      </c>
      <c r="O8" s="972">
        <f t="shared" si="12"/>
        <v>336000</v>
      </c>
      <c r="P8" s="238">
        <f t="shared" si="13"/>
        <v>1</v>
      </c>
      <c r="Q8" s="843">
        <f>6000001/12</f>
        <v>500000.08333333331</v>
      </c>
      <c r="R8" s="430">
        <v>140000</v>
      </c>
      <c r="S8" s="430">
        <v>11666.666666666666</v>
      </c>
      <c r="T8" s="446">
        <v>43221</v>
      </c>
      <c r="U8" s="446">
        <v>43251</v>
      </c>
      <c r="V8" s="381"/>
      <c r="W8" s="381">
        <f>+SUMIFS(JURNAL!G:G,JURNAL!E:E,120900,JURNAL!C:C,"&gt;="&amp;T8,JURNAL!C:C,"&lt;="&amp;U8)-V8</f>
        <v>0</v>
      </c>
      <c r="X8" s="381">
        <f>+SUMIFS(JURNAL!H:H,JURNAL!E:E,310800,JURNAL!C:C,"&gt;="&amp;T8,JURNAL!C:C,"&lt;="&amp;U8)-SUMIFS(JURNAL!G:G,JURNAL!E:E,310800,JURNAL!C:C,"&gt;="&amp;T8,JURNAL!C:C,"&lt;="&amp;U8)</f>
        <v>3508616.1781481481</v>
      </c>
      <c r="Y8" s="381">
        <f t="shared" si="2"/>
        <v>0</v>
      </c>
      <c r="Z8" s="381">
        <f t="shared" si="3"/>
        <v>15479720.16810674</v>
      </c>
    </row>
    <row r="9" spans="1:28" hidden="1" outlineLevel="1">
      <c r="A9" s="842">
        <f t="shared" si="4"/>
        <v>12000000</v>
      </c>
      <c r="B9" s="482">
        <f t="shared" si="14"/>
        <v>4</v>
      </c>
      <c r="C9" s="607" t="s">
        <v>2411</v>
      </c>
      <c r="D9" s="608" t="s">
        <v>2422</v>
      </c>
      <c r="E9" s="611" t="s">
        <v>1490</v>
      </c>
      <c r="F9" s="973">
        <v>1000000</v>
      </c>
      <c r="G9" s="605">
        <v>23</v>
      </c>
      <c r="H9" s="605">
        <f t="shared" si="5"/>
        <v>43478.260869565216</v>
      </c>
      <c r="I9" s="971">
        <f t="shared" si="6"/>
        <v>1000000</v>
      </c>
      <c r="J9" s="972">
        <f t="shared" si="7"/>
        <v>110000</v>
      </c>
      <c r="K9" s="972">
        <f t="shared" si="8"/>
        <v>11666.666666666666</v>
      </c>
      <c r="L9" s="972">
        <f t="shared" si="9"/>
        <v>77333.333333333328</v>
      </c>
      <c r="M9" s="971">
        <f t="shared" si="10"/>
        <v>812666.66666666663</v>
      </c>
      <c r="N9" s="972">
        <f t="shared" si="11"/>
        <v>130000</v>
      </c>
      <c r="O9" s="972">
        <f t="shared" si="12"/>
        <v>240000</v>
      </c>
      <c r="P9" s="238">
        <f t="shared" si="13"/>
        <v>1</v>
      </c>
      <c r="Q9" s="843">
        <f>12000001/12</f>
        <v>1000000.0833333334</v>
      </c>
      <c r="R9" s="430">
        <v>120000</v>
      </c>
      <c r="S9" s="430">
        <v>10000</v>
      </c>
      <c r="T9" s="446">
        <v>43252</v>
      </c>
      <c r="U9" s="446">
        <v>43281</v>
      </c>
      <c r="V9" s="381"/>
      <c r="W9" s="381">
        <f>+SUMIFS(JURNAL!G:G,JURNAL!E:E,120900,JURNAL!C:C,"&gt;="&amp;T9,JURNAL!C:C,"&lt;="&amp;U9)-V9</f>
        <v>5000000</v>
      </c>
      <c r="X9" s="381">
        <f>+SUMIFS(JURNAL!H:H,JURNAL!E:E,310800,JURNAL!C:C,"&gt;="&amp;T9,JURNAL!C:C,"&lt;="&amp;U9)</f>
        <v>3346257.9200000004</v>
      </c>
      <c r="Y9" s="381">
        <f t="shared" si="2"/>
        <v>0</v>
      </c>
      <c r="Z9" s="381">
        <f t="shared" si="3"/>
        <v>13825978.08810674</v>
      </c>
      <c r="AA9" s="79">
        <f>+STAT2!W114</f>
        <v>13825978.088106744</v>
      </c>
      <c r="AB9" s="79">
        <f>+Z9-AA9</f>
        <v>0</v>
      </c>
    </row>
    <row r="10" spans="1:28" hidden="1" outlineLevel="1">
      <c r="A10" s="842">
        <f t="shared" si="4"/>
        <v>10800000</v>
      </c>
      <c r="B10" s="482">
        <f t="shared" si="14"/>
        <v>5</v>
      </c>
      <c r="C10" s="607" t="s">
        <v>2412</v>
      </c>
      <c r="D10" s="608" t="s">
        <v>2423</v>
      </c>
      <c r="E10" s="608" t="s">
        <v>1491</v>
      </c>
      <c r="F10" s="973">
        <v>900000</v>
      </c>
      <c r="G10" s="605">
        <v>23</v>
      </c>
      <c r="H10" s="605">
        <f t="shared" si="5"/>
        <v>39130.434782608696</v>
      </c>
      <c r="I10" s="971">
        <f t="shared" si="6"/>
        <v>900000</v>
      </c>
      <c r="J10" s="972">
        <f t="shared" si="7"/>
        <v>99000</v>
      </c>
      <c r="K10" s="972">
        <f t="shared" si="8"/>
        <v>11666.666666666666</v>
      </c>
      <c r="L10" s="972">
        <f t="shared" si="9"/>
        <v>68433.333333333328</v>
      </c>
      <c r="M10" s="971">
        <f t="shared" si="10"/>
        <v>732566.66666666663</v>
      </c>
      <c r="N10" s="972">
        <f t="shared" si="11"/>
        <v>117000</v>
      </c>
      <c r="O10" s="972">
        <f t="shared" si="12"/>
        <v>216000</v>
      </c>
      <c r="P10" s="238">
        <f t="shared" si="13"/>
        <v>1</v>
      </c>
      <c r="Q10" s="843">
        <f>18000001/12</f>
        <v>1500000.0833333333</v>
      </c>
      <c r="R10" s="430">
        <v>100000</v>
      </c>
      <c r="S10" s="430">
        <v>8333.3333333333339</v>
      </c>
      <c r="T10" s="446">
        <v>43282</v>
      </c>
      <c r="U10" s="446">
        <v>43312</v>
      </c>
      <c r="V10" s="381"/>
      <c r="W10" s="381">
        <f>+SUMIFS(JURNAL!G:G,JURNAL!E:E,120900,JURNAL!C:C,"&gt;="&amp;T10,JURNAL!C:C,"&lt;="&amp;U10)-V10</f>
        <v>0</v>
      </c>
      <c r="X10" s="381">
        <f>+SUMIFS(JURNAL!H:H,JURNAL!E:E,310800,JURNAL!C:C,"&gt;="&amp;T10,JURNAL!C:C,"&lt;="&amp;U10)</f>
        <v>2326622.15</v>
      </c>
      <c r="Y10" s="381">
        <f t="shared" si="2"/>
        <v>0</v>
      </c>
      <c r="Z10" s="381">
        <f t="shared" si="3"/>
        <v>16152600.238106741</v>
      </c>
    </row>
    <row r="11" spans="1:28" hidden="1" outlineLevel="1">
      <c r="A11" s="842">
        <f t="shared" si="4"/>
        <v>12000000</v>
      </c>
      <c r="B11" s="482">
        <f t="shared" si="14"/>
        <v>6</v>
      </c>
      <c r="C11" s="607" t="s">
        <v>2413</v>
      </c>
      <c r="D11" s="608" t="s">
        <v>2424</v>
      </c>
      <c r="E11" s="608" t="s">
        <v>2417</v>
      </c>
      <c r="F11" s="973">
        <v>1000000</v>
      </c>
      <c r="G11" s="605">
        <v>23</v>
      </c>
      <c r="H11" s="605">
        <f t="shared" si="5"/>
        <v>43478.260869565216</v>
      </c>
      <c r="I11" s="971">
        <f t="shared" si="6"/>
        <v>1000000</v>
      </c>
      <c r="J11" s="972">
        <f t="shared" si="7"/>
        <v>110000</v>
      </c>
      <c r="K11" s="972">
        <f t="shared" si="8"/>
        <v>11666.666666666666</v>
      </c>
      <c r="L11" s="972">
        <f t="shared" si="9"/>
        <v>77333.333333333328</v>
      </c>
      <c r="M11" s="971">
        <f t="shared" si="10"/>
        <v>812666.66666666663</v>
      </c>
      <c r="N11" s="972">
        <f t="shared" si="11"/>
        <v>130000</v>
      </c>
      <c r="O11" s="972">
        <f t="shared" si="12"/>
        <v>240000</v>
      </c>
      <c r="P11" s="238">
        <f t="shared" si="13"/>
        <v>1</v>
      </c>
      <c r="Q11" s="843">
        <f>24000001/12</f>
        <v>2000000.0833333333</v>
      </c>
      <c r="R11" s="430">
        <v>80000</v>
      </c>
      <c r="S11" s="430">
        <v>6666.666666666667</v>
      </c>
      <c r="T11" s="446">
        <v>43313</v>
      </c>
      <c r="U11" s="446">
        <v>43343</v>
      </c>
      <c r="V11" s="381"/>
      <c r="W11" s="381">
        <f>+SUMIFS(JURNAL!G:G,JURNAL!E:E,120900,JURNAL!C:C,"&gt;="&amp;T11,JURNAL!C:C,"&lt;="&amp;U11)-V11</f>
        <v>0</v>
      </c>
      <c r="X11" s="381">
        <f>+SUMIFS(JURNAL!H:H,JURNAL!E:E,310800,JURNAL!C:C,"&gt;="&amp;T11,JURNAL!C:C,"&lt;="&amp;U11)</f>
        <v>2198466.96</v>
      </c>
      <c r="Y11" s="381">
        <f t="shared" si="2"/>
        <v>0</v>
      </c>
      <c r="Z11" s="381">
        <f t="shared" si="3"/>
        <v>18351067.19810674</v>
      </c>
    </row>
    <row r="12" spans="1:28" hidden="1" outlineLevel="1">
      <c r="A12" s="842">
        <f t="shared" si="4"/>
        <v>6000000</v>
      </c>
      <c r="B12" s="482">
        <f t="shared" si="14"/>
        <v>7</v>
      </c>
      <c r="C12" s="607" t="s">
        <v>2414</v>
      </c>
      <c r="D12" s="611" t="s">
        <v>2424</v>
      </c>
      <c r="E12" s="611" t="s">
        <v>1859</v>
      </c>
      <c r="F12" s="974">
        <v>500000</v>
      </c>
      <c r="G12" s="605">
        <v>22.5</v>
      </c>
      <c r="H12" s="605">
        <f t="shared" si="5"/>
        <v>21739.130434782608</v>
      </c>
      <c r="I12" s="971">
        <f t="shared" si="6"/>
        <v>489130.4347826087</v>
      </c>
      <c r="J12" s="972">
        <f t="shared" si="7"/>
        <v>53804.34782608696</v>
      </c>
      <c r="K12" s="972">
        <f t="shared" si="8"/>
        <v>13333.333333333334</v>
      </c>
      <c r="L12" s="972">
        <f t="shared" si="9"/>
        <v>30199.27536231884</v>
      </c>
      <c r="M12" s="971">
        <f t="shared" si="10"/>
        <v>405126.81159420288</v>
      </c>
      <c r="N12" s="972">
        <f t="shared" si="11"/>
        <v>63586.956521739135</v>
      </c>
      <c r="O12" s="972">
        <f t="shared" si="12"/>
        <v>117391.3043478261</v>
      </c>
      <c r="P12" s="238">
        <f t="shared" si="13"/>
        <v>1</v>
      </c>
      <c r="Q12" s="843">
        <f>30000001/12</f>
        <v>2500000.0833333335</v>
      </c>
      <c r="R12" s="430">
        <v>60000</v>
      </c>
      <c r="S12" s="430">
        <v>5000</v>
      </c>
      <c r="T12" s="446">
        <v>43344</v>
      </c>
      <c r="U12" s="446">
        <v>43373</v>
      </c>
      <c r="V12" s="381"/>
      <c r="W12" s="381">
        <f>+SUMIFS(JURNAL!G:G,JURNAL!E:E,120900,JURNAL!C:C,"&gt;="&amp;T12,JURNAL!C:C,"&lt;="&amp;U12)-V12</f>
        <v>10000000</v>
      </c>
      <c r="X12" s="381">
        <f>+SUMIFS(JURNAL!H:H,JURNAL!E:E,310800,JURNAL!C:C,"&gt;="&amp;T12,JURNAL!C:C,"&lt;="&amp;U12)</f>
        <v>2242912</v>
      </c>
      <c r="Y12" s="381">
        <f t="shared" si="2"/>
        <v>0</v>
      </c>
      <c r="Z12" s="381">
        <f t="shared" si="3"/>
        <v>10593979.19810674</v>
      </c>
    </row>
    <row r="13" spans="1:28" hidden="1" outlineLevel="1">
      <c r="A13" s="842">
        <f t="shared" si="4"/>
        <v>2880000</v>
      </c>
      <c r="B13" s="482">
        <f t="shared" si="14"/>
        <v>8</v>
      </c>
      <c r="C13" s="607" t="s">
        <v>2485</v>
      </c>
      <c r="D13" s="608" t="s">
        <v>2424</v>
      </c>
      <c r="E13" s="611" t="s">
        <v>2418</v>
      </c>
      <c r="F13" s="833">
        <v>240000</v>
      </c>
      <c r="G13" s="605"/>
      <c r="H13" s="605">
        <f t="shared" si="5"/>
        <v>10434.782608695652</v>
      </c>
      <c r="I13" s="971">
        <f t="shared" si="6"/>
        <v>0</v>
      </c>
      <c r="J13" s="972">
        <f>+I13*0.1</f>
        <v>0</v>
      </c>
      <c r="K13" s="972" t="str">
        <f t="shared" si="8"/>
        <v/>
      </c>
      <c r="L13" s="972">
        <f t="shared" si="9"/>
        <v>0</v>
      </c>
      <c r="M13" s="971">
        <f t="shared" si="10"/>
        <v>0</v>
      </c>
      <c r="N13" s="972">
        <f>+F13*0.09</f>
        <v>21600</v>
      </c>
      <c r="O13" s="972">
        <f t="shared" si="12"/>
        <v>21600</v>
      </c>
      <c r="P13" s="238">
        <f t="shared" si="13"/>
        <v>0</v>
      </c>
      <c r="Q13" s="843">
        <f>36000001/12</f>
        <v>3000000.0833333335</v>
      </c>
      <c r="R13" s="430">
        <v>0</v>
      </c>
      <c r="S13" s="430">
        <v>0</v>
      </c>
      <c r="T13" s="446">
        <v>43374</v>
      </c>
      <c r="U13" s="446">
        <v>43404</v>
      </c>
      <c r="V13" s="381"/>
      <c r="W13" s="381">
        <f>+SUMIFS(JURNAL!G:G,JURNAL!E:E,120900,JURNAL!C:C,"&gt;="&amp;T13,JURNAL!C:C,"&lt;="&amp;U13)-V13</f>
        <v>5000000</v>
      </c>
      <c r="X13" s="381">
        <f>+SUMIFS(JURNAL!H:H,JURNAL!E:E,310800,JURNAL!C:C,"&gt;="&amp;T13,JURNAL!C:C,"&lt;="&amp;U13)</f>
        <v>2567813.54</v>
      </c>
      <c r="Y13" s="381">
        <f t="shared" si="2"/>
        <v>0</v>
      </c>
      <c r="Z13" s="381">
        <f t="shared" si="3"/>
        <v>8161792.7381067388</v>
      </c>
    </row>
    <row r="14" spans="1:28" hidden="1" outlineLevel="1">
      <c r="A14" s="842">
        <f t="shared" si="4"/>
        <v>5760000</v>
      </c>
      <c r="B14" s="482">
        <f t="shared" si="14"/>
        <v>9</v>
      </c>
      <c r="C14" s="832" t="s">
        <v>2415</v>
      </c>
      <c r="D14" s="614" t="s">
        <v>2425</v>
      </c>
      <c r="E14" s="614" t="s">
        <v>1860</v>
      </c>
      <c r="F14" s="834">
        <v>480000</v>
      </c>
      <c r="G14" s="605">
        <v>11.82</v>
      </c>
      <c r="H14" s="605">
        <f t="shared" si="5"/>
        <v>20869.565217391304</v>
      </c>
      <c r="I14" s="971">
        <f t="shared" si="6"/>
        <v>246678.26086956522</v>
      </c>
      <c r="J14" s="972">
        <f>+I14*0.11</f>
        <v>27134.608695652172</v>
      </c>
      <c r="K14" s="972">
        <f>+IFERROR(INDEX($S$7:$S$13,MATCH((I14-J14),$Q$7:$Q$13,1)),"")</f>
        <v>13333.333333333334</v>
      </c>
      <c r="L14" s="972">
        <f t="shared" si="9"/>
        <v>8621.031884057973</v>
      </c>
      <c r="M14" s="971">
        <f t="shared" si="10"/>
        <v>210922.62028985508</v>
      </c>
      <c r="N14" s="972">
        <f t="shared" ref="N14:N29" si="15">+I14*0.13</f>
        <v>32068.17391304348</v>
      </c>
      <c r="O14" s="972">
        <f t="shared" si="12"/>
        <v>59202.782608695648</v>
      </c>
      <c r="P14" s="238">
        <f t="shared" si="13"/>
        <v>1</v>
      </c>
      <c r="T14" s="446">
        <v>43405</v>
      </c>
      <c r="U14" s="446">
        <v>43434</v>
      </c>
      <c r="V14" s="381"/>
      <c r="W14" s="381">
        <f>+SUMIFS(JURNAL!G:G,JURNAL!E:E,120900,JURNAL!C:C,"&gt;="&amp;T14,JURNAL!C:C,"&lt;="&amp;U14)-V14</f>
        <v>2000000</v>
      </c>
      <c r="X14" s="381">
        <f>+SUMIFS(JURNAL!H:H,JURNAL!E:E,310800,JURNAL!C:C,"&gt;="&amp;T14,JURNAL!C:C,"&lt;="&amp;U14)</f>
        <v>2229670</v>
      </c>
      <c r="Y14" s="381">
        <f>+IF((Y13+V14+W14-Z13-X14)&gt;0,(Y13+V14+W14-Z13-X14),0)</f>
        <v>0</v>
      </c>
      <c r="Z14" s="381">
        <f t="shared" si="3"/>
        <v>8391462.7381067388</v>
      </c>
    </row>
    <row r="15" spans="1:28" hidden="1" outlineLevel="1">
      <c r="A15" s="842">
        <f t="shared" si="4"/>
        <v>4800000</v>
      </c>
      <c r="B15" s="482">
        <f t="shared" si="14"/>
        <v>10</v>
      </c>
      <c r="C15" s="616" t="s">
        <v>2416</v>
      </c>
      <c r="D15" s="613" t="s">
        <v>2426</v>
      </c>
      <c r="E15" s="611" t="s">
        <v>1492</v>
      </c>
      <c r="F15" s="833">
        <v>400000</v>
      </c>
      <c r="G15" s="605">
        <v>21.16</v>
      </c>
      <c r="H15" s="605">
        <f t="shared" si="5"/>
        <v>17391.304347826088</v>
      </c>
      <c r="I15" s="971">
        <f t="shared" si="6"/>
        <v>368000</v>
      </c>
      <c r="J15" s="972">
        <f>+I15*0.088</f>
        <v>32383.999999999996</v>
      </c>
      <c r="K15" s="972">
        <f t="shared" si="8"/>
        <v>13333.333333333334</v>
      </c>
      <c r="L15" s="972">
        <f t="shared" si="9"/>
        <v>20228.266666666663</v>
      </c>
      <c r="M15" s="971">
        <f t="shared" si="10"/>
        <v>315387.73333333334</v>
      </c>
      <c r="N15" s="972">
        <f>+I15*0.108</f>
        <v>39744</v>
      </c>
      <c r="O15" s="972">
        <f t="shared" si="12"/>
        <v>72128</v>
      </c>
      <c r="P15" s="238">
        <f t="shared" si="13"/>
        <v>1</v>
      </c>
      <c r="T15" s="446">
        <v>43435</v>
      </c>
      <c r="U15" s="446">
        <v>43465</v>
      </c>
      <c r="V15" s="381"/>
      <c r="W15" s="381">
        <f>+SUMIFS(JURNAL!G:G,JURNAL!E:E,120900,JURNAL!C:C,"&gt;="&amp;T15,JURNAL!C:C,"&lt;="&amp;U15)-V15</f>
        <v>10806211.99</v>
      </c>
      <c r="X15" s="381">
        <f>+SUMIFS(JURNAL!H:H,JURNAL!E:E,310800,JURNAL!C:C,"&gt;="&amp;T15,JURNAL!C:C,"&lt;="&amp;U15)</f>
        <v>2303927</v>
      </c>
      <c r="Y15" s="381">
        <f t="shared" si="2"/>
        <v>110822.25189326145</v>
      </c>
      <c r="Z15" s="381">
        <f t="shared" si="3"/>
        <v>0</v>
      </c>
    </row>
    <row r="16" spans="1:28" hidden="1" outlineLevel="1">
      <c r="A16" s="842">
        <f t="shared" si="4"/>
        <v>5400000</v>
      </c>
      <c r="B16" s="482">
        <f t="shared" si="14"/>
        <v>11</v>
      </c>
      <c r="C16" s="616" t="s">
        <v>2427</v>
      </c>
      <c r="D16" s="611" t="s">
        <v>2441</v>
      </c>
      <c r="E16" s="611" t="s">
        <v>1493</v>
      </c>
      <c r="F16" s="833">
        <v>450000</v>
      </c>
      <c r="G16" s="605">
        <v>21.12</v>
      </c>
      <c r="H16" s="605">
        <f t="shared" si="5"/>
        <v>19565.217391304348</v>
      </c>
      <c r="I16" s="971">
        <f t="shared" si="6"/>
        <v>413217.39130434784</v>
      </c>
      <c r="J16" s="972">
        <f>+I16*0.11</f>
        <v>45453.913043478264</v>
      </c>
      <c r="K16" s="972">
        <f t="shared" si="8"/>
        <v>13333.333333333334</v>
      </c>
      <c r="L16" s="972">
        <f t="shared" si="9"/>
        <v>23443.014492753624</v>
      </c>
      <c r="M16" s="971">
        <f t="shared" si="10"/>
        <v>344320.46376811597</v>
      </c>
      <c r="N16" s="972">
        <f t="shared" si="15"/>
        <v>53718.260869565223</v>
      </c>
      <c r="O16" s="972">
        <f t="shared" si="12"/>
        <v>99172.173913043487</v>
      </c>
      <c r="P16" s="238">
        <f t="shared" si="13"/>
        <v>1</v>
      </c>
      <c r="S16" s="237">
        <v>499000</v>
      </c>
      <c r="T16" s="1037" t="s">
        <v>1723</v>
      </c>
      <c r="U16" s="1038"/>
      <c r="V16" s="381">
        <f>SUM(V3:V15)</f>
        <v>0</v>
      </c>
      <c r="W16" s="381">
        <f>SUM(W3:W15)</f>
        <v>32806211.990000002</v>
      </c>
      <c r="X16" s="381">
        <f>SUM(X3:X15)</f>
        <v>32777832.208106741</v>
      </c>
      <c r="Y16" s="381">
        <f>SUM(Y3:Y15)</f>
        <v>193264.72189326145</v>
      </c>
      <c r="Z16" s="381">
        <f>SUM(Z3:Z15)</f>
        <v>120677021.47705774</v>
      </c>
    </row>
    <row r="17" spans="1:19" hidden="1" outlineLevel="1">
      <c r="A17" s="842">
        <f t="shared" si="4"/>
        <v>5400000</v>
      </c>
      <c r="B17" s="482">
        <f t="shared" si="14"/>
        <v>12</v>
      </c>
      <c r="C17" s="602" t="s">
        <v>2428</v>
      </c>
      <c r="D17" s="613" t="s">
        <v>2442</v>
      </c>
      <c r="E17" s="622" t="s">
        <v>1494</v>
      </c>
      <c r="F17" s="833">
        <v>450000</v>
      </c>
      <c r="G17" s="605">
        <v>23.25</v>
      </c>
      <c r="H17" s="605">
        <f t="shared" si="5"/>
        <v>19565.217391304348</v>
      </c>
      <c r="I17" s="971">
        <f t="shared" si="6"/>
        <v>454891.30434782611</v>
      </c>
      <c r="J17" s="972">
        <f t="shared" ref="J17:J29" si="16">+I17*0.11</f>
        <v>50038.043478260872</v>
      </c>
      <c r="K17" s="972">
        <f t="shared" si="8"/>
        <v>13333.333333333334</v>
      </c>
      <c r="L17" s="972">
        <f t="shared" si="9"/>
        <v>27151.992753623192</v>
      </c>
      <c r="M17" s="971">
        <f t="shared" si="10"/>
        <v>377701.26811594208</v>
      </c>
      <c r="N17" s="972">
        <f t="shared" si="15"/>
        <v>59135.869565217399</v>
      </c>
      <c r="O17" s="972">
        <f t="shared" si="12"/>
        <v>109173.91304347827</v>
      </c>
      <c r="P17" s="238">
        <f t="shared" si="13"/>
        <v>1</v>
      </c>
      <c r="S17" s="237">
        <f>+S16/12</f>
        <v>41583.333333333336</v>
      </c>
    </row>
    <row r="18" spans="1:19" hidden="1" outlineLevel="1">
      <c r="A18" s="842">
        <f t="shared" si="4"/>
        <v>5400000</v>
      </c>
      <c r="B18" s="482">
        <f t="shared" si="14"/>
        <v>13</v>
      </c>
      <c r="C18" s="602" t="s">
        <v>2429</v>
      </c>
      <c r="D18" s="613" t="s">
        <v>2442</v>
      </c>
      <c r="E18" s="451" t="s">
        <v>1861</v>
      </c>
      <c r="F18" s="833">
        <v>450000</v>
      </c>
      <c r="G18" s="605">
        <v>22.92</v>
      </c>
      <c r="H18" s="605">
        <f t="shared" si="5"/>
        <v>19565.217391304348</v>
      </c>
      <c r="I18" s="971">
        <f t="shared" si="6"/>
        <v>448434.78260869568</v>
      </c>
      <c r="J18" s="972">
        <f t="shared" si="16"/>
        <v>49327.826086956527</v>
      </c>
      <c r="K18" s="972">
        <f t="shared" si="8"/>
        <v>13333.333333333334</v>
      </c>
      <c r="L18" s="972">
        <f t="shared" si="9"/>
        <v>26577.362318840584</v>
      </c>
      <c r="M18" s="971">
        <f t="shared" si="10"/>
        <v>372529.59420289856</v>
      </c>
      <c r="N18" s="972">
        <f t="shared" si="15"/>
        <v>58296.52173913044</v>
      </c>
      <c r="O18" s="972">
        <f t="shared" si="12"/>
        <v>107624.34782608697</v>
      </c>
      <c r="P18" s="238">
        <f t="shared" si="13"/>
        <v>1</v>
      </c>
      <c r="S18" s="237">
        <f>+S17*0.11</f>
        <v>4574.166666666667</v>
      </c>
    </row>
    <row r="19" spans="1:19" hidden="1" outlineLevel="1">
      <c r="A19" s="842">
        <f t="shared" si="4"/>
        <v>5760000</v>
      </c>
      <c r="B19" s="482">
        <f t="shared" si="14"/>
        <v>14</v>
      </c>
      <c r="C19" s="602" t="s">
        <v>2430</v>
      </c>
      <c r="D19" s="613" t="s">
        <v>2442</v>
      </c>
      <c r="E19" s="617" t="s">
        <v>1495</v>
      </c>
      <c r="F19" s="833">
        <v>480000</v>
      </c>
      <c r="G19" s="605">
        <v>19.850000000000001</v>
      </c>
      <c r="H19" s="605">
        <f t="shared" si="5"/>
        <v>20869.565217391304</v>
      </c>
      <c r="I19" s="971">
        <f t="shared" si="6"/>
        <v>414260.86956521741</v>
      </c>
      <c r="J19" s="972">
        <f t="shared" si="16"/>
        <v>45568.695652173912</v>
      </c>
      <c r="K19" s="972">
        <f t="shared" si="8"/>
        <v>13333.333333333334</v>
      </c>
      <c r="L19" s="972">
        <f t="shared" si="9"/>
        <v>23535.884057971016</v>
      </c>
      <c r="M19" s="971">
        <f t="shared" si="10"/>
        <v>345156.28985507251</v>
      </c>
      <c r="N19" s="972">
        <f t="shared" si="15"/>
        <v>53853.913043478264</v>
      </c>
      <c r="O19" s="972">
        <f t="shared" si="12"/>
        <v>99422.608695652176</v>
      </c>
      <c r="P19" s="238">
        <f t="shared" si="13"/>
        <v>1</v>
      </c>
      <c r="S19" s="237">
        <f>+S17-S18</f>
        <v>37009.166666666672</v>
      </c>
    </row>
    <row r="20" spans="1:19" hidden="1" outlineLevel="1">
      <c r="A20" s="842">
        <f t="shared" si="4"/>
        <v>9600000</v>
      </c>
      <c r="B20" s="482">
        <f t="shared" si="14"/>
        <v>15</v>
      </c>
      <c r="C20" s="616" t="s">
        <v>2431</v>
      </c>
      <c r="D20" s="612" t="s">
        <v>2442</v>
      </c>
      <c r="E20" s="611" t="s">
        <v>1496</v>
      </c>
      <c r="F20" s="834">
        <v>800000</v>
      </c>
      <c r="G20" s="605">
        <v>20.32</v>
      </c>
      <c r="H20" s="605">
        <f t="shared" si="5"/>
        <v>34782.608695652176</v>
      </c>
      <c r="I20" s="971">
        <f t="shared" si="6"/>
        <v>706782.60869565222</v>
      </c>
      <c r="J20" s="972">
        <f t="shared" si="16"/>
        <v>77746.086956521744</v>
      </c>
      <c r="K20" s="972">
        <f t="shared" si="8"/>
        <v>11666.666666666666</v>
      </c>
      <c r="L20" s="972">
        <f t="shared" si="9"/>
        <v>51236.985507246391</v>
      </c>
      <c r="M20" s="971">
        <f t="shared" si="10"/>
        <v>577799.53623188415</v>
      </c>
      <c r="N20" s="972">
        <f t="shared" si="15"/>
        <v>91881.739130434798</v>
      </c>
      <c r="O20" s="972">
        <f t="shared" si="12"/>
        <v>169627.82608695654</v>
      </c>
      <c r="P20" s="238">
        <f t="shared" si="13"/>
        <v>1</v>
      </c>
    </row>
    <row r="21" spans="1:19" hidden="1" outlineLevel="1">
      <c r="A21" s="842">
        <f t="shared" si="4"/>
        <v>5760000</v>
      </c>
      <c r="B21" s="482">
        <f t="shared" si="14"/>
        <v>16</v>
      </c>
      <c r="C21" s="602" t="s">
        <v>2432</v>
      </c>
      <c r="D21" s="612" t="s">
        <v>2442</v>
      </c>
      <c r="E21" s="620" t="s">
        <v>1497</v>
      </c>
      <c r="F21" s="834">
        <v>480000</v>
      </c>
      <c r="G21" s="605">
        <v>11.98</v>
      </c>
      <c r="H21" s="605">
        <f t="shared" si="5"/>
        <v>20869.565217391304</v>
      </c>
      <c r="I21" s="971">
        <f t="shared" si="6"/>
        <v>250017.39130434784</v>
      </c>
      <c r="J21" s="972">
        <f t="shared" si="16"/>
        <v>27501.913043478264</v>
      </c>
      <c r="K21" s="972">
        <f t="shared" si="8"/>
        <v>13333.333333333334</v>
      </c>
      <c r="L21" s="972">
        <f t="shared" si="9"/>
        <v>8918.2144927536228</v>
      </c>
      <c r="M21" s="971">
        <f t="shared" si="10"/>
        <v>213597.26376811595</v>
      </c>
      <c r="N21" s="972">
        <f t="shared" si="15"/>
        <v>32502.26086956522</v>
      </c>
      <c r="O21" s="972">
        <f t="shared" si="12"/>
        <v>60004.173913043487</v>
      </c>
      <c r="P21" s="238">
        <f t="shared" si="13"/>
        <v>1</v>
      </c>
    </row>
    <row r="22" spans="1:19" hidden="1" outlineLevel="1">
      <c r="A22" s="842">
        <f t="shared" si="4"/>
        <v>5760000</v>
      </c>
      <c r="B22" s="482">
        <f t="shared" si="14"/>
        <v>17</v>
      </c>
      <c r="C22" s="618" t="s">
        <v>2433</v>
      </c>
      <c r="D22" s="608" t="s">
        <v>2442</v>
      </c>
      <c r="E22" s="619" t="s">
        <v>1498</v>
      </c>
      <c r="F22" s="834">
        <v>480000</v>
      </c>
      <c r="G22" s="605">
        <v>23</v>
      </c>
      <c r="H22" s="605">
        <f t="shared" si="5"/>
        <v>20869.565217391304</v>
      </c>
      <c r="I22" s="971">
        <f t="shared" si="6"/>
        <v>480000</v>
      </c>
      <c r="J22" s="972">
        <f t="shared" si="16"/>
        <v>52800</v>
      </c>
      <c r="K22" s="972">
        <f t="shared" si="8"/>
        <v>13333.333333333334</v>
      </c>
      <c r="L22" s="972">
        <f t="shared" si="9"/>
        <v>29386.666666666664</v>
      </c>
      <c r="M22" s="971">
        <f t="shared" si="10"/>
        <v>397813.33333333331</v>
      </c>
      <c r="N22" s="972">
        <f t="shared" si="15"/>
        <v>62400</v>
      </c>
      <c r="O22" s="972">
        <f t="shared" si="12"/>
        <v>115200</v>
      </c>
      <c r="P22" s="238">
        <f t="shared" si="13"/>
        <v>1</v>
      </c>
    </row>
    <row r="23" spans="1:19" hidden="1" outlineLevel="1">
      <c r="A23" s="842">
        <f t="shared" si="4"/>
        <v>7200000</v>
      </c>
      <c r="B23" s="482">
        <f t="shared" si="14"/>
        <v>18</v>
      </c>
      <c r="C23" s="616" t="s">
        <v>2434</v>
      </c>
      <c r="D23" s="608" t="s">
        <v>2442</v>
      </c>
      <c r="E23" s="451" t="s">
        <v>1499</v>
      </c>
      <c r="F23" s="834">
        <v>600000</v>
      </c>
      <c r="G23" s="605">
        <v>23.85</v>
      </c>
      <c r="H23" s="605">
        <f t="shared" si="5"/>
        <v>26086.956521739132</v>
      </c>
      <c r="I23" s="971">
        <f t="shared" si="6"/>
        <v>622173.91304347839</v>
      </c>
      <c r="J23" s="972">
        <f t="shared" si="16"/>
        <v>68439.130434782623</v>
      </c>
      <c r="K23" s="972">
        <f t="shared" si="8"/>
        <v>11666.666666666666</v>
      </c>
      <c r="L23" s="972">
        <f t="shared" si="9"/>
        <v>43706.811594202918</v>
      </c>
      <c r="M23" s="971">
        <f t="shared" si="10"/>
        <v>510027.97101449285</v>
      </c>
      <c r="N23" s="972">
        <f t="shared" si="15"/>
        <v>80882.60869565219</v>
      </c>
      <c r="O23" s="972">
        <f t="shared" si="12"/>
        <v>149321.73913043481</v>
      </c>
      <c r="P23" s="238">
        <f t="shared" si="13"/>
        <v>1</v>
      </c>
    </row>
    <row r="24" spans="1:19" hidden="1" outlineLevel="1">
      <c r="A24" s="842">
        <f t="shared" si="4"/>
        <v>5760000</v>
      </c>
      <c r="B24" s="482">
        <f t="shared" si="14"/>
        <v>19</v>
      </c>
      <c r="C24" s="618" t="s">
        <v>2435</v>
      </c>
      <c r="D24" s="608" t="s">
        <v>2443</v>
      </c>
      <c r="E24" s="619" t="s">
        <v>1500</v>
      </c>
      <c r="F24" s="834">
        <v>480000</v>
      </c>
      <c r="G24" s="605">
        <v>23.2</v>
      </c>
      <c r="H24" s="605">
        <f t="shared" si="5"/>
        <v>20869.565217391304</v>
      </c>
      <c r="I24" s="971">
        <f t="shared" ref="I24:I29" si="17">+H24*G24</f>
        <v>484173.91304347821</v>
      </c>
      <c r="J24" s="972">
        <f t="shared" si="16"/>
        <v>53259.130434782601</v>
      </c>
      <c r="K24" s="972">
        <f t="shared" si="8"/>
        <v>13333.333333333334</v>
      </c>
      <c r="L24" s="972">
        <f t="shared" si="9"/>
        <v>29758.144927536232</v>
      </c>
      <c r="M24" s="971">
        <f t="shared" ref="M24:M29" si="18">+I24-J24-L24</f>
        <v>401156.63768115937</v>
      </c>
      <c r="N24" s="972">
        <f t="shared" si="15"/>
        <v>62942.608695652169</v>
      </c>
      <c r="O24" s="972">
        <f t="shared" ref="O24:O29" si="19">+J24+N24</f>
        <v>116201.73913043477</v>
      </c>
      <c r="P24" s="238">
        <f t="shared" ref="P24:P29" si="20">+IF(L24,1,0)</f>
        <v>1</v>
      </c>
    </row>
    <row r="25" spans="1:19" hidden="1" outlineLevel="1">
      <c r="A25" s="842">
        <f t="shared" si="4"/>
        <v>5400000</v>
      </c>
      <c r="B25" s="482">
        <f t="shared" si="14"/>
        <v>20</v>
      </c>
      <c r="C25" s="616" t="s">
        <v>2436</v>
      </c>
      <c r="D25" s="608" t="s">
        <v>2442</v>
      </c>
      <c r="E25" s="375" t="s">
        <v>1501</v>
      </c>
      <c r="F25" s="834">
        <v>450000</v>
      </c>
      <c r="G25" s="605">
        <v>21.59</v>
      </c>
      <c r="H25" s="605">
        <f t="shared" si="5"/>
        <v>19565.217391304348</v>
      </c>
      <c r="I25" s="971">
        <f t="shared" si="17"/>
        <v>422413.04347826086</v>
      </c>
      <c r="J25" s="972">
        <f t="shared" si="16"/>
        <v>46465.434782608696</v>
      </c>
      <c r="K25" s="972">
        <f t="shared" si="8"/>
        <v>13333.333333333334</v>
      </c>
      <c r="L25" s="972">
        <f t="shared" si="9"/>
        <v>24261.42753623188</v>
      </c>
      <c r="M25" s="971">
        <f t="shared" si="18"/>
        <v>351686.18115942029</v>
      </c>
      <c r="N25" s="972">
        <f t="shared" si="15"/>
        <v>54913.695652173912</v>
      </c>
      <c r="O25" s="972">
        <f t="shared" si="19"/>
        <v>101379.13043478261</v>
      </c>
      <c r="P25" s="238">
        <f t="shared" si="20"/>
        <v>1</v>
      </c>
    </row>
    <row r="26" spans="1:19" hidden="1" outlineLevel="1">
      <c r="A26" s="842">
        <f t="shared" si="4"/>
        <v>5400000</v>
      </c>
      <c r="B26" s="482">
        <f t="shared" si="14"/>
        <v>21</v>
      </c>
      <c r="C26" s="616" t="s">
        <v>2437</v>
      </c>
      <c r="D26" s="608" t="s">
        <v>2442</v>
      </c>
      <c r="E26" s="375" t="s">
        <v>1521</v>
      </c>
      <c r="F26" s="834">
        <v>450000</v>
      </c>
      <c r="G26" s="605">
        <v>21.72</v>
      </c>
      <c r="H26" s="605">
        <f t="shared" si="5"/>
        <v>19565.217391304348</v>
      </c>
      <c r="I26" s="971">
        <f t="shared" si="17"/>
        <v>424956.52173913043</v>
      </c>
      <c r="J26" s="972">
        <f t="shared" si="16"/>
        <v>46745.217391304344</v>
      </c>
      <c r="K26" s="972">
        <f t="shared" si="8"/>
        <v>13333.333333333334</v>
      </c>
      <c r="L26" s="972">
        <f t="shared" si="9"/>
        <v>24487.79710144928</v>
      </c>
      <c r="M26" s="971">
        <f t="shared" si="18"/>
        <v>353723.50724637683</v>
      </c>
      <c r="N26" s="972">
        <f t="shared" si="15"/>
        <v>55244.34782608696</v>
      </c>
      <c r="O26" s="972">
        <f t="shared" si="19"/>
        <v>101989.5652173913</v>
      </c>
      <c r="P26" s="238">
        <f t="shared" si="20"/>
        <v>1</v>
      </c>
    </row>
    <row r="27" spans="1:19" hidden="1" outlineLevel="1">
      <c r="A27" s="842">
        <f t="shared" si="4"/>
        <v>5760000</v>
      </c>
      <c r="B27" s="482">
        <f t="shared" si="14"/>
        <v>22</v>
      </c>
      <c r="C27" s="616" t="s">
        <v>2438</v>
      </c>
      <c r="D27" s="608" t="s">
        <v>2442</v>
      </c>
      <c r="E27" s="375" t="s">
        <v>1502</v>
      </c>
      <c r="F27" s="834">
        <v>480000</v>
      </c>
      <c r="G27" s="605">
        <v>25.4</v>
      </c>
      <c r="H27" s="605">
        <f t="shared" si="5"/>
        <v>20869.565217391304</v>
      </c>
      <c r="I27" s="971">
        <f t="shared" si="17"/>
        <v>530086.95652173914</v>
      </c>
      <c r="J27" s="972">
        <f t="shared" si="16"/>
        <v>58309.565217391304</v>
      </c>
      <c r="K27" s="972">
        <f t="shared" si="8"/>
        <v>13333.333333333334</v>
      </c>
      <c r="L27" s="972">
        <f t="shared" si="9"/>
        <v>33844.405797101448</v>
      </c>
      <c r="M27" s="971">
        <f t="shared" si="18"/>
        <v>437932.9855072464</v>
      </c>
      <c r="N27" s="972">
        <f t="shared" si="15"/>
        <v>68911.304347826095</v>
      </c>
      <c r="O27" s="972">
        <f t="shared" si="19"/>
        <v>127220.86956521741</v>
      </c>
      <c r="P27" s="238">
        <f t="shared" si="20"/>
        <v>1</v>
      </c>
    </row>
    <row r="28" spans="1:19" hidden="1" outlineLevel="1">
      <c r="A28" s="842">
        <f t="shared" si="4"/>
        <v>5400000</v>
      </c>
      <c r="B28" s="482">
        <f t="shared" si="14"/>
        <v>23</v>
      </c>
      <c r="C28" s="616" t="s">
        <v>2439</v>
      </c>
      <c r="D28" s="608" t="s">
        <v>2442</v>
      </c>
      <c r="E28" s="611" t="s">
        <v>1503</v>
      </c>
      <c r="F28" s="834">
        <v>450000</v>
      </c>
      <c r="G28" s="605">
        <v>15.05</v>
      </c>
      <c r="H28" s="605">
        <f t="shared" si="5"/>
        <v>19565.217391304348</v>
      </c>
      <c r="I28" s="971">
        <f t="shared" si="17"/>
        <v>294456.52173913043</v>
      </c>
      <c r="J28" s="972">
        <f t="shared" si="16"/>
        <v>32390.217391304348</v>
      </c>
      <c r="K28" s="972">
        <f t="shared" si="8"/>
        <v>13333.333333333334</v>
      </c>
      <c r="L28" s="972">
        <f t="shared" si="9"/>
        <v>12873.297101449274</v>
      </c>
      <c r="M28" s="971">
        <f t="shared" si="18"/>
        <v>249193.0072463768</v>
      </c>
      <c r="N28" s="972">
        <f t="shared" si="15"/>
        <v>38279.34782608696</v>
      </c>
      <c r="O28" s="972">
        <f t="shared" si="19"/>
        <v>70669.565217391311</v>
      </c>
      <c r="P28" s="238">
        <f t="shared" si="20"/>
        <v>1</v>
      </c>
    </row>
    <row r="29" spans="1:19" hidden="1" outlineLevel="1">
      <c r="A29" s="842">
        <f t="shared" si="4"/>
        <v>6000000</v>
      </c>
      <c r="B29" s="482">
        <f t="shared" si="14"/>
        <v>24</v>
      </c>
      <c r="C29" s="616" t="s">
        <v>2440</v>
      </c>
      <c r="D29" s="608" t="s">
        <v>2442</v>
      </c>
      <c r="E29" s="611" t="s">
        <v>1851</v>
      </c>
      <c r="F29" s="834">
        <v>500000</v>
      </c>
      <c r="G29" s="605">
        <v>15.72</v>
      </c>
      <c r="H29" s="605">
        <f t="shared" si="5"/>
        <v>21739.130434782608</v>
      </c>
      <c r="I29" s="971">
        <f t="shared" si="17"/>
        <v>341739.13043478259</v>
      </c>
      <c r="J29" s="972">
        <f t="shared" si="16"/>
        <v>37591.304347826088</v>
      </c>
      <c r="K29" s="972">
        <f t="shared" si="8"/>
        <v>13333.333333333334</v>
      </c>
      <c r="L29" s="972">
        <f t="shared" si="9"/>
        <v>17081.449275362313</v>
      </c>
      <c r="M29" s="971">
        <f t="shared" si="18"/>
        <v>287066.37681159418</v>
      </c>
      <c r="N29" s="972">
        <f t="shared" si="15"/>
        <v>44426.086956521736</v>
      </c>
      <c r="O29" s="972">
        <f t="shared" si="19"/>
        <v>82017.391304347824</v>
      </c>
      <c r="P29" s="238">
        <f t="shared" si="20"/>
        <v>1</v>
      </c>
    </row>
    <row r="30" spans="1:19" hidden="1" outlineLevel="1">
      <c r="B30" s="1039" t="s">
        <v>6</v>
      </c>
      <c r="C30" s="1040"/>
      <c r="D30" s="1040"/>
      <c r="E30" s="1040"/>
      <c r="F30" s="975">
        <f>SUM(F6:F29)</f>
        <v>15320000</v>
      </c>
      <c r="G30" s="975"/>
      <c r="H30" s="975"/>
      <c r="I30" s="975">
        <f t="shared" ref="I30:P30" si="21">SUM(I6:I29)</f>
        <v>14091413.043478262</v>
      </c>
      <c r="J30" s="975">
        <f t="shared" si="21"/>
        <v>1541959.4347826093</v>
      </c>
      <c r="K30" s="975">
        <f t="shared" si="21"/>
        <v>288333.33333333337</v>
      </c>
      <c r="L30" s="975">
        <f t="shared" si="21"/>
        <v>966612.02753623191</v>
      </c>
      <c r="M30" s="975">
        <f t="shared" si="21"/>
        <v>11582841.58115942</v>
      </c>
      <c r="N30" s="975">
        <f t="shared" si="21"/>
        <v>1845387.6956521736</v>
      </c>
      <c r="O30" s="975">
        <f t="shared" si="21"/>
        <v>3387347.1304347822</v>
      </c>
      <c r="P30" s="621">
        <f t="shared" si="21"/>
        <v>23</v>
      </c>
    </row>
    <row r="31" spans="1:19" hidden="1" outlineLevel="1">
      <c r="I31" s="79">
        <f>14331413.02-I30-240000</f>
        <v>-2.347826212644577E-2</v>
      </c>
      <c r="J31" s="79">
        <f>1541959.42-J30</f>
        <v>-1.4782609418034554E-2</v>
      </c>
      <c r="K31" s="79"/>
      <c r="N31" s="79">
        <f>1845387.69-N30</f>
        <v>-5.6521736551076174E-3</v>
      </c>
    </row>
    <row r="32" spans="1:19" hidden="1" outlineLevel="1">
      <c r="C32" s="237">
        <v>160000</v>
      </c>
      <c r="D32" s="237">
        <v>12</v>
      </c>
      <c r="E32" s="237">
        <f t="shared" ref="E32:E37" si="22">+C32/D32</f>
        <v>13333.333333333334</v>
      </c>
      <c r="I32" s="23" t="s">
        <v>1504</v>
      </c>
    </row>
    <row r="33" spans="1:17" hidden="1" outlineLevel="1">
      <c r="C33" s="237">
        <v>140000</v>
      </c>
      <c r="D33" s="237">
        <v>12</v>
      </c>
      <c r="E33" s="237">
        <f t="shared" si="22"/>
        <v>11666.666666666666</v>
      </c>
      <c r="I33" s="375" t="s">
        <v>1321</v>
      </c>
      <c r="J33" s="375"/>
      <c r="K33" s="375"/>
      <c r="L33" s="375"/>
      <c r="M33" s="622" t="s">
        <v>261</v>
      </c>
      <c r="N33" s="375" t="s">
        <v>262</v>
      </c>
    </row>
    <row r="34" spans="1:17" hidden="1" outlineLevel="1">
      <c r="C34" s="237">
        <v>120000</v>
      </c>
      <c r="D34" s="237">
        <v>12</v>
      </c>
      <c r="E34" s="237">
        <f t="shared" si="22"/>
        <v>10000</v>
      </c>
      <c r="I34" s="375" t="s">
        <v>1505</v>
      </c>
      <c r="J34" s="375"/>
      <c r="K34" s="375"/>
      <c r="L34" s="623">
        <v>700200</v>
      </c>
      <c r="M34" s="976">
        <f>+N30</f>
        <v>1845387.6956521736</v>
      </c>
      <c r="N34" s="976"/>
    </row>
    <row r="35" spans="1:17" hidden="1" outlineLevel="1">
      <c r="C35" s="237">
        <v>100000</v>
      </c>
      <c r="D35" s="237">
        <v>12</v>
      </c>
      <c r="E35" s="237">
        <f t="shared" si="22"/>
        <v>8333.3333333333339</v>
      </c>
      <c r="I35" s="375" t="s">
        <v>1505</v>
      </c>
      <c r="J35" s="375"/>
      <c r="K35" s="375"/>
      <c r="L35" s="623">
        <v>310800</v>
      </c>
      <c r="M35" s="976"/>
      <c r="N35" s="976">
        <f>+N30</f>
        <v>1845387.6956521736</v>
      </c>
    </row>
    <row r="36" spans="1:17" hidden="1" outlineLevel="1">
      <c r="C36" s="237">
        <v>80000</v>
      </c>
      <c r="D36" s="237">
        <v>12</v>
      </c>
      <c r="E36" s="237">
        <f t="shared" si="22"/>
        <v>6666.666666666667</v>
      </c>
      <c r="I36" s="375" t="s">
        <v>1506</v>
      </c>
      <c r="J36" s="375"/>
      <c r="K36" s="375"/>
      <c r="L36" s="623">
        <v>310800</v>
      </c>
      <c r="M36" s="976"/>
      <c r="N36" s="976">
        <f>+J30</f>
        <v>1541959.4347826093</v>
      </c>
      <c r="Q36" s="237"/>
    </row>
    <row r="37" spans="1:17" hidden="1" outlineLevel="1">
      <c r="C37" s="237">
        <v>60000</v>
      </c>
      <c r="D37" s="237">
        <v>12</v>
      </c>
      <c r="E37" s="237">
        <f t="shared" si="22"/>
        <v>5000</v>
      </c>
      <c r="I37" s="484" t="s">
        <v>1507</v>
      </c>
      <c r="J37" s="484"/>
      <c r="K37" s="484"/>
      <c r="L37" s="911">
        <v>310700</v>
      </c>
      <c r="M37" s="976"/>
      <c r="N37" s="976">
        <f>+L30</f>
        <v>966612.02753623191</v>
      </c>
      <c r="Q37" s="237"/>
    </row>
    <row r="38" spans="1:17" hidden="1" outlineLevel="1">
      <c r="I38" s="484" t="s">
        <v>1508</v>
      </c>
      <c r="J38" s="484"/>
      <c r="K38" s="484"/>
      <c r="L38" s="911">
        <v>311000</v>
      </c>
      <c r="M38" s="976"/>
      <c r="N38" s="976">
        <f>+M30</f>
        <v>11582841.58115942</v>
      </c>
    </row>
    <row r="39" spans="1:17" hidden="1" outlineLevel="1">
      <c r="I39" s="375" t="s">
        <v>2387</v>
      </c>
      <c r="J39" s="375"/>
      <c r="K39" s="375"/>
      <c r="L39" s="623">
        <v>700100</v>
      </c>
      <c r="M39" s="833">
        <f>+N38+N37+N36</f>
        <v>14091413.043478262</v>
      </c>
      <c r="N39" s="833"/>
    </row>
    <row r="40" spans="1:17" collapsed="1">
      <c r="A40" s="23" t="s">
        <v>2290</v>
      </c>
      <c r="B40" s="23" t="s">
        <v>2846</v>
      </c>
    </row>
    <row r="41" spans="1:17" hidden="1" outlineLevel="1">
      <c r="B41" s="595"/>
      <c r="C41" s="595" t="s">
        <v>2388</v>
      </c>
      <c r="D41" s="595"/>
      <c r="E41" s="596"/>
      <c r="F41" s="596"/>
      <c r="G41" s="596"/>
      <c r="H41" s="596"/>
      <c r="I41" s="596"/>
      <c r="J41" s="596"/>
      <c r="K41" s="596"/>
      <c r="L41" s="596"/>
      <c r="M41" s="596"/>
      <c r="N41" s="596"/>
      <c r="O41" s="596"/>
    </row>
    <row r="42" spans="1:17" hidden="1" outlineLevel="1">
      <c r="B42" s="1026" t="s">
        <v>1</v>
      </c>
      <c r="C42" s="1028" t="s">
        <v>1334</v>
      </c>
      <c r="D42" s="1028" t="s">
        <v>1335</v>
      </c>
      <c r="E42" s="1030" t="s">
        <v>1477</v>
      </c>
      <c r="F42" s="1028" t="s">
        <v>1478</v>
      </c>
      <c r="G42" s="1030" t="s">
        <v>1479</v>
      </c>
      <c r="H42" s="1030" t="s">
        <v>1480</v>
      </c>
      <c r="I42" s="1021" t="s">
        <v>1481</v>
      </c>
      <c r="J42" s="1019" t="s">
        <v>1482</v>
      </c>
      <c r="K42" s="1017" t="s">
        <v>2012</v>
      </c>
      <c r="L42" s="1018"/>
      <c r="M42" s="1019" t="s">
        <v>1483</v>
      </c>
      <c r="N42" s="1021" t="s">
        <v>1484</v>
      </c>
      <c r="O42" s="1019" t="s">
        <v>1485</v>
      </c>
    </row>
    <row r="43" spans="1:17" hidden="1" outlineLevel="1">
      <c r="B43" s="1027"/>
      <c r="C43" s="1029"/>
      <c r="D43" s="1029"/>
      <c r="E43" s="1031"/>
      <c r="F43" s="1029"/>
      <c r="G43" s="1031"/>
      <c r="H43" s="1031"/>
      <c r="I43" s="1022"/>
      <c r="J43" s="1020"/>
      <c r="K43" s="601" t="s">
        <v>1633</v>
      </c>
      <c r="L43" s="601" t="s">
        <v>5</v>
      </c>
      <c r="M43" s="1020"/>
      <c r="N43" s="1022"/>
      <c r="O43" s="1020"/>
      <c r="P43" s="238" t="s">
        <v>1633</v>
      </c>
    </row>
    <row r="44" spans="1:17" ht="21" hidden="1" customHeight="1" outlineLevel="1">
      <c r="B44" s="482">
        <v>1</v>
      </c>
      <c r="C44" s="602" t="s">
        <v>2409</v>
      </c>
      <c r="D44" s="603" t="s">
        <v>2419</v>
      </c>
      <c r="E44" s="603" t="s">
        <v>1486</v>
      </c>
      <c r="F44" s="970">
        <v>1200000</v>
      </c>
      <c r="G44" s="605">
        <v>21</v>
      </c>
      <c r="H44" s="605">
        <f>+F44/21</f>
        <v>57142.857142857145</v>
      </c>
      <c r="I44" s="971">
        <f>+H44*G44</f>
        <v>1200000</v>
      </c>
      <c r="J44" s="972">
        <f>+I44*0.11</f>
        <v>132000</v>
      </c>
      <c r="K44" s="972">
        <f>+IFERROR(INDEX($S$7:$S$13,MATCH((I44-J44),$Q$7:$Q$13,1)),"")</f>
        <v>10000</v>
      </c>
      <c r="L44" s="972">
        <f>+IF((I44-J44)*0.1&lt;K44,0,(I44-J44)*0.1-K44)</f>
        <v>96800</v>
      </c>
      <c r="M44" s="971">
        <f>+I44-J44-L44</f>
        <v>971200</v>
      </c>
      <c r="N44" s="972">
        <f>+I44*0.13</f>
        <v>156000</v>
      </c>
      <c r="O44" s="972">
        <f>+J44+N44</f>
        <v>288000</v>
      </c>
      <c r="P44" s="238">
        <f t="shared" ref="P44:P67" si="23">+IF(L44,1,0)</f>
        <v>1</v>
      </c>
    </row>
    <row r="45" spans="1:17" ht="15.75" hidden="1" customHeight="1" outlineLevel="1">
      <c r="B45" s="482">
        <f>+B44+1</f>
        <v>2</v>
      </c>
      <c r="C45" s="609" t="s">
        <v>2410</v>
      </c>
      <c r="D45" s="608" t="s">
        <v>2420</v>
      </c>
      <c r="E45" s="608" t="s">
        <v>1487</v>
      </c>
      <c r="F45" s="970">
        <v>1200000</v>
      </c>
      <c r="G45" s="605">
        <v>21</v>
      </c>
      <c r="H45" s="605">
        <f t="shared" ref="H45:H67" si="24">+F45/21</f>
        <v>57142.857142857145</v>
      </c>
      <c r="I45" s="971">
        <f>+H45*G45</f>
        <v>1200000</v>
      </c>
      <c r="J45" s="972">
        <f>+I45*0.11</f>
        <v>132000</v>
      </c>
      <c r="K45" s="972">
        <f t="shared" ref="K45:K67" si="25">+IFERROR(INDEX($S$7:$S$13,MATCH((I45-J45),$Q$7:$Q$13,1)),"")</f>
        <v>10000</v>
      </c>
      <c r="L45" s="972">
        <f t="shared" ref="L45:L67" si="26">+IF((I45-J45)*0.1&lt;K45,0,(I45-J45)*0.1-K45)</f>
        <v>96800</v>
      </c>
      <c r="M45" s="971">
        <f t="shared" ref="M45:M53" si="27">+I45-J45-L45</f>
        <v>971200</v>
      </c>
      <c r="N45" s="972">
        <f>+I45*0.13</f>
        <v>156000</v>
      </c>
      <c r="O45" s="972">
        <f>+J45+N45</f>
        <v>288000</v>
      </c>
      <c r="P45" s="238">
        <f t="shared" si="23"/>
        <v>1</v>
      </c>
    </row>
    <row r="46" spans="1:17" hidden="1" outlineLevel="1">
      <c r="B46" s="482">
        <f t="shared" ref="B46:B67" si="28">+B45+1</f>
        <v>3</v>
      </c>
      <c r="C46" s="607" t="s">
        <v>1488</v>
      </c>
      <c r="D46" s="608" t="s">
        <v>2421</v>
      </c>
      <c r="E46" s="608" t="s">
        <v>1489</v>
      </c>
      <c r="F46" s="973">
        <v>1400000</v>
      </c>
      <c r="G46" s="605">
        <v>21</v>
      </c>
      <c r="H46" s="605">
        <f t="shared" si="24"/>
        <v>66666.666666666672</v>
      </c>
      <c r="I46" s="971">
        <f>+H46*G46</f>
        <v>1400000</v>
      </c>
      <c r="J46" s="972">
        <f>+I46*0.11</f>
        <v>154000</v>
      </c>
      <c r="K46" s="972">
        <f t="shared" si="25"/>
        <v>10000</v>
      </c>
      <c r="L46" s="972">
        <f t="shared" si="26"/>
        <v>114600</v>
      </c>
      <c r="M46" s="971">
        <f t="shared" si="27"/>
        <v>1131400</v>
      </c>
      <c r="N46" s="972">
        <f>+I46*0.13</f>
        <v>182000</v>
      </c>
      <c r="O46" s="972">
        <f>+J46+N46</f>
        <v>336000</v>
      </c>
      <c r="P46" s="238">
        <f t="shared" si="23"/>
        <v>1</v>
      </c>
    </row>
    <row r="47" spans="1:17" hidden="1" outlineLevel="1">
      <c r="B47" s="482">
        <f t="shared" si="28"/>
        <v>4</v>
      </c>
      <c r="C47" s="607" t="s">
        <v>2411</v>
      </c>
      <c r="D47" s="608" t="s">
        <v>2422</v>
      </c>
      <c r="E47" s="611" t="s">
        <v>1490</v>
      </c>
      <c r="F47" s="973">
        <v>240000</v>
      </c>
      <c r="G47" s="605">
        <v>0</v>
      </c>
      <c r="H47" s="605">
        <f t="shared" si="24"/>
        <v>11428.571428571429</v>
      </c>
      <c r="I47" s="971">
        <f>+H47*G47</f>
        <v>0</v>
      </c>
      <c r="J47" s="972">
        <f>+I47*0.11</f>
        <v>0</v>
      </c>
      <c r="K47" s="972">
        <v>0</v>
      </c>
      <c r="L47" s="972">
        <f t="shared" si="26"/>
        <v>0</v>
      </c>
      <c r="M47" s="971">
        <f t="shared" si="27"/>
        <v>0</v>
      </c>
      <c r="N47" s="972">
        <f>+F47*0.13</f>
        <v>31200</v>
      </c>
      <c r="O47" s="972">
        <f t="shared" ref="O47:O67" si="29">+J47+N47</f>
        <v>31200</v>
      </c>
      <c r="P47" s="238">
        <f t="shared" si="23"/>
        <v>0</v>
      </c>
    </row>
    <row r="48" spans="1:17" hidden="1" outlineLevel="1">
      <c r="B48" s="482">
        <f t="shared" si="28"/>
        <v>5</v>
      </c>
      <c r="C48" s="607" t="s">
        <v>2412</v>
      </c>
      <c r="D48" s="608" t="s">
        <v>2423</v>
      </c>
      <c r="E48" s="608" t="s">
        <v>1491</v>
      </c>
      <c r="F48" s="973">
        <v>900000</v>
      </c>
      <c r="G48" s="605">
        <v>21</v>
      </c>
      <c r="H48" s="605">
        <f t="shared" si="24"/>
        <v>42857.142857142855</v>
      </c>
      <c r="I48" s="971">
        <f t="shared" ref="I48:I66" si="30">+H48*G48</f>
        <v>900000</v>
      </c>
      <c r="J48" s="972">
        <f t="shared" ref="J48:J66" si="31">+I48*0.11</f>
        <v>99000</v>
      </c>
      <c r="K48" s="972">
        <f t="shared" si="25"/>
        <v>11666.666666666666</v>
      </c>
      <c r="L48" s="972">
        <f t="shared" si="26"/>
        <v>68433.333333333328</v>
      </c>
      <c r="M48" s="971">
        <f t="shared" si="27"/>
        <v>732566.66666666663</v>
      </c>
      <c r="N48" s="972">
        <f t="shared" ref="N48:N67" si="32">+I48*0.13</f>
        <v>117000</v>
      </c>
      <c r="O48" s="972">
        <f t="shared" si="29"/>
        <v>216000</v>
      </c>
      <c r="P48" s="238">
        <f t="shared" si="23"/>
        <v>1</v>
      </c>
    </row>
    <row r="49" spans="2:22" hidden="1" outlineLevel="1">
      <c r="B49" s="482">
        <f t="shared" si="28"/>
        <v>6</v>
      </c>
      <c r="C49" s="607" t="s">
        <v>2413</v>
      </c>
      <c r="D49" s="608" t="s">
        <v>2424</v>
      </c>
      <c r="E49" s="608" t="s">
        <v>2417</v>
      </c>
      <c r="F49" s="973">
        <v>1000000</v>
      </c>
      <c r="G49" s="605">
        <v>21</v>
      </c>
      <c r="H49" s="605">
        <f t="shared" si="24"/>
        <v>47619.047619047618</v>
      </c>
      <c r="I49" s="971">
        <f t="shared" si="30"/>
        <v>1000000</v>
      </c>
      <c r="J49" s="972">
        <f t="shared" si="31"/>
        <v>110000</v>
      </c>
      <c r="K49" s="972">
        <f t="shared" si="25"/>
        <v>11666.666666666666</v>
      </c>
      <c r="L49" s="972">
        <f t="shared" si="26"/>
        <v>77333.333333333328</v>
      </c>
      <c r="M49" s="971">
        <f t="shared" si="27"/>
        <v>812666.66666666663</v>
      </c>
      <c r="N49" s="972">
        <f t="shared" si="32"/>
        <v>130000</v>
      </c>
      <c r="O49" s="972">
        <f t="shared" si="29"/>
        <v>240000</v>
      </c>
      <c r="P49" s="238">
        <f t="shared" si="23"/>
        <v>1</v>
      </c>
    </row>
    <row r="50" spans="2:22" hidden="1" outlineLevel="1">
      <c r="B50" s="482">
        <f t="shared" si="28"/>
        <v>7</v>
      </c>
      <c r="C50" s="607" t="s">
        <v>2414</v>
      </c>
      <c r="D50" s="611" t="s">
        <v>2424</v>
      </c>
      <c r="E50" s="611" t="s">
        <v>1859</v>
      </c>
      <c r="F50" s="974">
        <v>500000</v>
      </c>
      <c r="G50" s="605">
        <v>17.5</v>
      </c>
      <c r="H50" s="605">
        <f t="shared" si="24"/>
        <v>23809.523809523809</v>
      </c>
      <c r="I50" s="971">
        <f t="shared" si="30"/>
        <v>416666.66666666669</v>
      </c>
      <c r="J50" s="972">
        <f t="shared" si="31"/>
        <v>45833.333333333336</v>
      </c>
      <c r="K50" s="972">
        <f t="shared" si="25"/>
        <v>13333.333333333334</v>
      </c>
      <c r="L50" s="972">
        <f t="shared" si="26"/>
        <v>23750</v>
      </c>
      <c r="M50" s="971">
        <f t="shared" si="27"/>
        <v>347083.33333333337</v>
      </c>
      <c r="N50" s="972">
        <f t="shared" si="32"/>
        <v>54166.666666666672</v>
      </c>
      <c r="O50" s="972">
        <f t="shared" si="29"/>
        <v>100000</v>
      </c>
      <c r="P50" s="238">
        <f t="shared" si="23"/>
        <v>1</v>
      </c>
    </row>
    <row r="51" spans="2:22" hidden="1" outlineLevel="1">
      <c r="B51" s="482">
        <f t="shared" si="28"/>
        <v>8</v>
      </c>
      <c r="C51" s="607" t="s">
        <v>2485</v>
      </c>
      <c r="D51" s="608" t="s">
        <v>2424</v>
      </c>
      <c r="E51" s="611" t="s">
        <v>2418</v>
      </c>
      <c r="F51" s="833">
        <v>240000</v>
      </c>
      <c r="G51" s="605">
        <v>0</v>
      </c>
      <c r="H51" s="605">
        <f t="shared" si="24"/>
        <v>11428.571428571429</v>
      </c>
      <c r="I51" s="971">
        <f t="shared" si="30"/>
        <v>0</v>
      </c>
      <c r="J51" s="972">
        <f t="shared" si="31"/>
        <v>0</v>
      </c>
      <c r="K51" s="972">
        <v>0</v>
      </c>
      <c r="L51" s="972">
        <f t="shared" si="26"/>
        <v>0</v>
      </c>
      <c r="M51" s="971">
        <f t="shared" si="27"/>
        <v>0</v>
      </c>
      <c r="N51" s="972">
        <f>+F51*0.09</f>
        <v>21600</v>
      </c>
      <c r="O51" s="972">
        <f t="shared" si="29"/>
        <v>21600</v>
      </c>
      <c r="P51" s="238">
        <f t="shared" si="23"/>
        <v>0</v>
      </c>
    </row>
    <row r="52" spans="2:22" hidden="1" outlineLevel="1">
      <c r="B52" s="482">
        <f t="shared" si="28"/>
        <v>9</v>
      </c>
      <c r="C52" s="832" t="s">
        <v>2415</v>
      </c>
      <c r="D52" s="614" t="s">
        <v>2425</v>
      </c>
      <c r="E52" s="614" t="s">
        <v>1860</v>
      </c>
      <c r="F52" s="834">
        <v>480000</v>
      </c>
      <c r="G52" s="605">
        <v>7.21</v>
      </c>
      <c r="H52" s="605">
        <f t="shared" si="24"/>
        <v>22857.142857142859</v>
      </c>
      <c r="I52" s="971">
        <f t="shared" si="30"/>
        <v>164800</v>
      </c>
      <c r="J52" s="972">
        <f t="shared" si="31"/>
        <v>18128</v>
      </c>
      <c r="K52" s="972">
        <f t="shared" si="25"/>
        <v>13333.333333333334</v>
      </c>
      <c r="L52" s="972">
        <f t="shared" si="26"/>
        <v>1333.8666666666668</v>
      </c>
      <c r="M52" s="971">
        <f t="shared" si="27"/>
        <v>145338.13333333333</v>
      </c>
      <c r="N52" s="972">
        <f t="shared" si="32"/>
        <v>21424</v>
      </c>
      <c r="O52" s="972">
        <f t="shared" si="29"/>
        <v>39552</v>
      </c>
      <c r="P52" s="238">
        <f t="shared" si="23"/>
        <v>1</v>
      </c>
    </row>
    <row r="53" spans="2:22" hidden="1" outlineLevel="1">
      <c r="B53" s="482">
        <f t="shared" si="28"/>
        <v>10</v>
      </c>
      <c r="C53" s="616" t="s">
        <v>2416</v>
      </c>
      <c r="D53" s="613" t="s">
        <v>2426</v>
      </c>
      <c r="E53" s="611" t="s">
        <v>1492</v>
      </c>
      <c r="F53" s="833">
        <v>400000</v>
      </c>
      <c r="G53" s="605">
        <v>8</v>
      </c>
      <c r="H53" s="605">
        <f t="shared" si="24"/>
        <v>19047.619047619046</v>
      </c>
      <c r="I53" s="971">
        <f t="shared" si="30"/>
        <v>152380.95238095237</v>
      </c>
      <c r="J53" s="972">
        <f>+I53*0.088</f>
        <v>13409.523809523807</v>
      </c>
      <c r="K53" s="972">
        <f t="shared" si="25"/>
        <v>13333.333333333334</v>
      </c>
      <c r="L53" s="972">
        <f t="shared" si="26"/>
        <v>563.80952380952112</v>
      </c>
      <c r="M53" s="971">
        <f t="shared" si="27"/>
        <v>138407.61904761902</v>
      </c>
      <c r="N53" s="972">
        <f>+I53*0.108</f>
        <v>16457.142857142855</v>
      </c>
      <c r="O53" s="972">
        <f t="shared" si="29"/>
        <v>29866.666666666664</v>
      </c>
      <c r="P53" s="238">
        <f t="shared" si="23"/>
        <v>1</v>
      </c>
    </row>
    <row r="54" spans="2:22" hidden="1" outlineLevel="1">
      <c r="B54" s="482">
        <f t="shared" si="28"/>
        <v>11</v>
      </c>
      <c r="C54" s="616" t="s">
        <v>2427</v>
      </c>
      <c r="D54" s="611" t="s">
        <v>2441</v>
      </c>
      <c r="E54" s="611" t="s">
        <v>1493</v>
      </c>
      <c r="F54" s="833">
        <v>450000</v>
      </c>
      <c r="G54" s="605">
        <v>7.54</v>
      </c>
      <c r="H54" s="605">
        <f t="shared" si="24"/>
        <v>21428.571428571428</v>
      </c>
      <c r="I54" s="971">
        <f t="shared" si="30"/>
        <v>161571.42857142855</v>
      </c>
      <c r="J54" s="972">
        <f t="shared" si="31"/>
        <v>17772.857142857141</v>
      </c>
      <c r="K54" s="972">
        <f t="shared" si="25"/>
        <v>13333.333333333334</v>
      </c>
      <c r="L54" s="972">
        <f t="shared" si="26"/>
        <v>1046.5238095238092</v>
      </c>
      <c r="M54" s="971">
        <f t="shared" ref="M54:M67" si="33">+I54-J54-L54</f>
        <v>142752.0476190476</v>
      </c>
      <c r="N54" s="972">
        <f t="shared" si="32"/>
        <v>21004.285714285714</v>
      </c>
      <c r="O54" s="972">
        <f t="shared" si="29"/>
        <v>38777.142857142855</v>
      </c>
      <c r="P54" s="238">
        <f t="shared" si="23"/>
        <v>1</v>
      </c>
    </row>
    <row r="55" spans="2:22" hidden="1" outlineLevel="1">
      <c r="B55" s="482">
        <f t="shared" si="28"/>
        <v>12</v>
      </c>
      <c r="C55" s="602" t="s">
        <v>2428</v>
      </c>
      <c r="D55" s="613" t="s">
        <v>2442</v>
      </c>
      <c r="E55" s="622" t="s">
        <v>1494</v>
      </c>
      <c r="F55" s="833">
        <v>450000</v>
      </c>
      <c r="G55" s="605">
        <v>9.93</v>
      </c>
      <c r="H55" s="605">
        <f t="shared" si="24"/>
        <v>21428.571428571428</v>
      </c>
      <c r="I55" s="971">
        <f t="shared" si="30"/>
        <v>212785.71428571426</v>
      </c>
      <c r="J55" s="972">
        <f t="shared" si="31"/>
        <v>23406.428571428569</v>
      </c>
      <c r="K55" s="972">
        <f t="shared" si="25"/>
        <v>13333.333333333334</v>
      </c>
      <c r="L55" s="972">
        <f t="shared" si="26"/>
        <v>5604.5952380952349</v>
      </c>
      <c r="M55" s="971">
        <f t="shared" si="33"/>
        <v>183774.69047619044</v>
      </c>
      <c r="N55" s="972">
        <f t="shared" si="32"/>
        <v>27662.142857142855</v>
      </c>
      <c r="O55" s="972">
        <f t="shared" si="29"/>
        <v>51068.57142857142</v>
      </c>
      <c r="P55" s="238">
        <f t="shared" si="23"/>
        <v>1</v>
      </c>
    </row>
    <row r="56" spans="2:22" hidden="1" outlineLevel="1">
      <c r="B56" s="482">
        <f t="shared" si="28"/>
        <v>13</v>
      </c>
      <c r="C56" s="602" t="s">
        <v>2429</v>
      </c>
      <c r="D56" s="613" t="s">
        <v>2442</v>
      </c>
      <c r="E56" s="451" t="s">
        <v>1861</v>
      </c>
      <c r="F56" s="833">
        <v>450000</v>
      </c>
      <c r="G56" s="605">
        <v>13.79</v>
      </c>
      <c r="H56" s="605">
        <f t="shared" si="24"/>
        <v>21428.571428571428</v>
      </c>
      <c r="I56" s="971">
        <f t="shared" si="30"/>
        <v>295499.99999999994</v>
      </c>
      <c r="J56" s="972">
        <f t="shared" si="31"/>
        <v>32504.999999999993</v>
      </c>
      <c r="K56" s="972">
        <f t="shared" si="25"/>
        <v>13333.333333333334</v>
      </c>
      <c r="L56" s="972">
        <f t="shared" si="26"/>
        <v>12966.166666666662</v>
      </c>
      <c r="M56" s="971">
        <f t="shared" si="33"/>
        <v>250028.83333333328</v>
      </c>
      <c r="N56" s="972">
        <f t="shared" si="32"/>
        <v>38414.999999999993</v>
      </c>
      <c r="O56" s="972">
        <f t="shared" si="29"/>
        <v>70919.999999999985</v>
      </c>
      <c r="P56" s="238">
        <f t="shared" si="23"/>
        <v>1</v>
      </c>
    </row>
    <row r="57" spans="2:22" hidden="1" outlineLevel="1">
      <c r="B57" s="482">
        <f t="shared" si="28"/>
        <v>14</v>
      </c>
      <c r="C57" s="602" t="s">
        <v>2430</v>
      </c>
      <c r="D57" s="613" t="s">
        <v>2442</v>
      </c>
      <c r="E57" s="617" t="s">
        <v>1495</v>
      </c>
      <c r="F57" s="833">
        <v>480000</v>
      </c>
      <c r="G57" s="605">
        <v>7.5</v>
      </c>
      <c r="H57" s="605">
        <f t="shared" si="24"/>
        <v>22857.142857142859</v>
      </c>
      <c r="I57" s="971">
        <f t="shared" si="30"/>
        <v>171428.57142857145</v>
      </c>
      <c r="J57" s="972">
        <f t="shared" si="31"/>
        <v>18857.142857142859</v>
      </c>
      <c r="K57" s="972">
        <f t="shared" si="25"/>
        <v>13333.333333333334</v>
      </c>
      <c r="L57" s="972">
        <f>+IF((I57-J57)*0.1&lt;K57,0,(I57-J57)*0.1-K57)</f>
        <v>1923.8095238095248</v>
      </c>
      <c r="M57" s="971">
        <f t="shared" si="33"/>
        <v>150647.61904761905</v>
      </c>
      <c r="N57" s="972">
        <f t="shared" si="32"/>
        <v>22285.71428571429</v>
      </c>
      <c r="O57" s="972">
        <f t="shared" si="29"/>
        <v>41142.857142857145</v>
      </c>
      <c r="P57" s="238">
        <f t="shared" si="23"/>
        <v>1</v>
      </c>
      <c r="Q57" s="237"/>
    </row>
    <row r="58" spans="2:22" hidden="1" outlineLevel="1">
      <c r="B58" s="482">
        <f t="shared" si="28"/>
        <v>15</v>
      </c>
      <c r="C58" s="616" t="s">
        <v>2431</v>
      </c>
      <c r="D58" s="612" t="s">
        <v>2442</v>
      </c>
      <c r="E58" s="611" t="s">
        <v>1496</v>
      </c>
      <c r="F58" s="834">
        <v>800000</v>
      </c>
      <c r="G58" s="605">
        <v>2</v>
      </c>
      <c r="H58" s="605">
        <f t="shared" si="24"/>
        <v>38095.238095238092</v>
      </c>
      <c r="I58" s="971">
        <f t="shared" si="30"/>
        <v>76190.476190476184</v>
      </c>
      <c r="J58" s="972">
        <f t="shared" si="31"/>
        <v>8380.9523809523798</v>
      </c>
      <c r="K58" s="972">
        <v>6780.9523809523807</v>
      </c>
      <c r="L58" s="972">
        <f>+IF((I58-J58)*0.1&lt;K58,0,(I58-J58)*0.1-K58)</f>
        <v>0</v>
      </c>
      <c r="M58" s="971">
        <f t="shared" si="33"/>
        <v>67809.523809523802</v>
      </c>
      <c r="N58" s="972">
        <f t="shared" si="32"/>
        <v>9904.7619047619046</v>
      </c>
      <c r="O58" s="972">
        <f>+J58+N58</f>
        <v>18285.714285714283</v>
      </c>
      <c r="P58" s="238">
        <f>+IF(L58,1,0)</f>
        <v>0</v>
      </c>
      <c r="Q58" s="237"/>
      <c r="R58" s="238">
        <v>1000000</v>
      </c>
      <c r="S58" s="237">
        <f>+I58</f>
        <v>76190.476190476184</v>
      </c>
      <c r="T58" s="238" t="s">
        <v>2693</v>
      </c>
      <c r="U58" s="237">
        <f>+I174</f>
        <v>35555.555555555555</v>
      </c>
      <c r="V58" s="237"/>
    </row>
    <row r="59" spans="2:22" hidden="1" outlineLevel="1">
      <c r="B59" s="482">
        <f t="shared" si="28"/>
        <v>16</v>
      </c>
      <c r="C59" s="602" t="s">
        <v>2432</v>
      </c>
      <c r="D59" s="612" t="s">
        <v>2442</v>
      </c>
      <c r="E59" s="620" t="s">
        <v>1497</v>
      </c>
      <c r="F59" s="834">
        <v>480000</v>
      </c>
      <c r="G59" s="605">
        <v>4.72</v>
      </c>
      <c r="H59" s="605">
        <f t="shared" si="24"/>
        <v>22857.142857142859</v>
      </c>
      <c r="I59" s="971">
        <f t="shared" si="30"/>
        <v>107885.71428571429</v>
      </c>
      <c r="J59" s="972">
        <f t="shared" si="31"/>
        <v>11867.428571428572</v>
      </c>
      <c r="K59" s="972">
        <v>9601.8285714285721</v>
      </c>
      <c r="L59" s="972">
        <f>+IF((I59-J59)*0.1&lt;K59,0,(I59-J59)*0.1-K59)</f>
        <v>0</v>
      </c>
      <c r="M59" s="971">
        <f t="shared" si="33"/>
        <v>96018.28571428571</v>
      </c>
      <c r="N59" s="972">
        <f t="shared" si="32"/>
        <v>14025.142857142859</v>
      </c>
      <c r="O59" s="972">
        <f t="shared" si="29"/>
        <v>25892.571428571431</v>
      </c>
      <c r="P59" s="238">
        <f>+IF(L59,1,0)</f>
        <v>0</v>
      </c>
      <c r="Q59" s="237"/>
      <c r="R59" s="238">
        <f>+R58*0.11</f>
        <v>110000</v>
      </c>
      <c r="S59" s="237">
        <f>+S58*0.11</f>
        <v>8380.9523809523798</v>
      </c>
      <c r="T59" s="238" t="s">
        <v>1482</v>
      </c>
      <c r="U59" s="237">
        <f>+U58*0.11</f>
        <v>3911.1111111111109</v>
      </c>
      <c r="V59" s="237"/>
    </row>
    <row r="60" spans="2:22" hidden="1" outlineLevel="1">
      <c r="B60" s="482">
        <f t="shared" si="28"/>
        <v>17</v>
      </c>
      <c r="C60" s="618" t="s">
        <v>2433</v>
      </c>
      <c r="D60" s="608" t="s">
        <v>2442</v>
      </c>
      <c r="E60" s="619" t="s">
        <v>1498</v>
      </c>
      <c r="F60" s="834">
        <v>480000</v>
      </c>
      <c r="G60" s="605">
        <v>13</v>
      </c>
      <c r="H60" s="605">
        <f t="shared" si="24"/>
        <v>22857.142857142859</v>
      </c>
      <c r="I60" s="971">
        <f t="shared" si="30"/>
        <v>297142.85714285716</v>
      </c>
      <c r="J60" s="972">
        <f t="shared" si="31"/>
        <v>32685.714285714286</v>
      </c>
      <c r="K60" s="972">
        <f t="shared" si="25"/>
        <v>13333.333333333334</v>
      </c>
      <c r="L60" s="972">
        <f t="shared" si="26"/>
        <v>13112.380952380956</v>
      </c>
      <c r="M60" s="971">
        <f t="shared" si="33"/>
        <v>251344.76190476195</v>
      </c>
      <c r="N60" s="972">
        <f t="shared" si="32"/>
        <v>38628.571428571435</v>
      </c>
      <c r="O60" s="972">
        <f t="shared" si="29"/>
        <v>71314.285714285725</v>
      </c>
      <c r="P60" s="238">
        <f t="shared" si="23"/>
        <v>1</v>
      </c>
      <c r="Q60" s="237"/>
      <c r="R60" s="238">
        <f>+R58-R59</f>
        <v>890000</v>
      </c>
      <c r="S60" s="237">
        <f>+S58-S59</f>
        <v>67809.523809523802</v>
      </c>
      <c r="U60" s="237">
        <f>+U58-U59</f>
        <v>31644.444444444445</v>
      </c>
      <c r="V60" s="237"/>
    </row>
    <row r="61" spans="2:22" hidden="1" outlineLevel="1">
      <c r="B61" s="482">
        <f t="shared" si="28"/>
        <v>18</v>
      </c>
      <c r="C61" s="616" t="s">
        <v>2434</v>
      </c>
      <c r="D61" s="608" t="s">
        <v>2442</v>
      </c>
      <c r="E61" s="451" t="s">
        <v>1499</v>
      </c>
      <c r="F61" s="834">
        <v>600000</v>
      </c>
      <c r="G61" s="605">
        <v>15.530000000000001</v>
      </c>
      <c r="H61" s="605">
        <f t="shared" si="24"/>
        <v>28571.428571428572</v>
      </c>
      <c r="I61" s="971">
        <f t="shared" si="30"/>
        <v>443714.28571428574</v>
      </c>
      <c r="J61" s="972">
        <f t="shared" si="31"/>
        <v>48808.571428571435</v>
      </c>
      <c r="K61" s="972">
        <f t="shared" si="25"/>
        <v>13333.333333333334</v>
      </c>
      <c r="L61" s="972">
        <f t="shared" si="26"/>
        <v>26157.238095238099</v>
      </c>
      <c r="M61" s="971">
        <f t="shared" si="33"/>
        <v>368748.47619047621</v>
      </c>
      <c r="N61" s="972">
        <f t="shared" si="32"/>
        <v>57682.857142857145</v>
      </c>
      <c r="O61" s="972">
        <f t="shared" si="29"/>
        <v>106491.42857142858</v>
      </c>
      <c r="P61" s="238">
        <f t="shared" si="23"/>
        <v>1</v>
      </c>
      <c r="Q61" s="237"/>
      <c r="R61" s="238">
        <f>+R60*0.1</f>
        <v>89000</v>
      </c>
      <c r="S61" s="237">
        <f>+S60*0.1</f>
        <v>6780.9523809523807</v>
      </c>
      <c r="T61" s="238" t="s">
        <v>2694</v>
      </c>
      <c r="U61" s="237">
        <f>+U60*0.1</f>
        <v>3164.4444444444448</v>
      </c>
      <c r="V61" s="237"/>
    </row>
    <row r="62" spans="2:22" hidden="1" outlineLevel="1">
      <c r="B62" s="482">
        <f t="shared" si="28"/>
        <v>19</v>
      </c>
      <c r="C62" s="618" t="s">
        <v>2435</v>
      </c>
      <c r="D62" s="608" t="s">
        <v>2443</v>
      </c>
      <c r="E62" s="619" t="s">
        <v>1500</v>
      </c>
      <c r="F62" s="834">
        <v>480000</v>
      </c>
      <c r="G62" s="605">
        <v>11.48</v>
      </c>
      <c r="H62" s="605">
        <f t="shared" si="24"/>
        <v>22857.142857142859</v>
      </c>
      <c r="I62" s="971">
        <f t="shared" si="30"/>
        <v>262400</v>
      </c>
      <c r="J62" s="972">
        <f t="shared" si="31"/>
        <v>28864</v>
      </c>
      <c r="K62" s="972">
        <f t="shared" si="25"/>
        <v>13333.333333333334</v>
      </c>
      <c r="L62" s="972">
        <f t="shared" si="26"/>
        <v>10020.266666666668</v>
      </c>
      <c r="M62" s="971">
        <f t="shared" si="33"/>
        <v>223515.73333333334</v>
      </c>
      <c r="N62" s="972">
        <f t="shared" si="32"/>
        <v>34112</v>
      </c>
      <c r="O62" s="972">
        <f t="shared" si="29"/>
        <v>62976</v>
      </c>
      <c r="P62" s="238">
        <f t="shared" si="23"/>
        <v>1</v>
      </c>
      <c r="R62" s="238">
        <v>11666.67</v>
      </c>
      <c r="S62" s="237"/>
      <c r="T62" s="238" t="s">
        <v>2695</v>
      </c>
      <c r="U62" s="237">
        <v>11666.67</v>
      </c>
      <c r="V62" s="237"/>
    </row>
    <row r="63" spans="2:22" hidden="1" outlineLevel="1">
      <c r="B63" s="482">
        <f t="shared" si="28"/>
        <v>20</v>
      </c>
      <c r="C63" s="616" t="s">
        <v>2436</v>
      </c>
      <c r="D63" s="608" t="s">
        <v>2442</v>
      </c>
      <c r="E63" s="375" t="s">
        <v>1501</v>
      </c>
      <c r="F63" s="834">
        <v>450000</v>
      </c>
      <c r="G63" s="605">
        <v>9.6</v>
      </c>
      <c r="H63" s="605">
        <f t="shared" si="24"/>
        <v>21428.571428571428</v>
      </c>
      <c r="I63" s="971">
        <f t="shared" si="30"/>
        <v>205714.28571428571</v>
      </c>
      <c r="J63" s="972">
        <f t="shared" si="31"/>
        <v>22628.571428571428</v>
      </c>
      <c r="K63" s="972">
        <f t="shared" si="25"/>
        <v>13333.333333333334</v>
      </c>
      <c r="L63" s="972">
        <f t="shared" si="26"/>
        <v>4975.2380952380972</v>
      </c>
      <c r="M63" s="971">
        <f t="shared" si="33"/>
        <v>178110.47619047618</v>
      </c>
      <c r="N63" s="972">
        <f t="shared" si="32"/>
        <v>26742.857142857145</v>
      </c>
      <c r="O63" s="972">
        <f t="shared" si="29"/>
        <v>49371.428571428572</v>
      </c>
      <c r="P63" s="238">
        <f t="shared" si="23"/>
        <v>1</v>
      </c>
      <c r="R63" s="238">
        <f>+R61-R62</f>
        <v>77333.33</v>
      </c>
      <c r="S63" s="237">
        <f>+S61-S62</f>
        <v>6780.9523809523807</v>
      </c>
      <c r="U63" s="237">
        <f>+U61-U62</f>
        <v>-8502.2255555555548</v>
      </c>
      <c r="V63" s="237"/>
    </row>
    <row r="64" spans="2:22" hidden="1" outlineLevel="1">
      <c r="B64" s="482">
        <f t="shared" si="28"/>
        <v>21</v>
      </c>
      <c r="C64" s="616" t="s">
        <v>2437</v>
      </c>
      <c r="D64" s="608" t="s">
        <v>2442</v>
      </c>
      <c r="E64" s="375" t="s">
        <v>1521</v>
      </c>
      <c r="F64" s="834">
        <v>450000</v>
      </c>
      <c r="G64" s="605">
        <v>8.86</v>
      </c>
      <c r="H64" s="605">
        <f t="shared" si="24"/>
        <v>21428.571428571428</v>
      </c>
      <c r="I64" s="971">
        <f t="shared" si="30"/>
        <v>189857.14285714284</v>
      </c>
      <c r="J64" s="972">
        <f t="shared" si="31"/>
        <v>20884.285714285714</v>
      </c>
      <c r="K64" s="972">
        <f t="shared" si="25"/>
        <v>13333.333333333334</v>
      </c>
      <c r="L64" s="972">
        <f t="shared" si="26"/>
        <v>3563.9523809523798</v>
      </c>
      <c r="M64" s="971">
        <f t="shared" si="33"/>
        <v>165408.90476190476</v>
      </c>
      <c r="N64" s="972">
        <f t="shared" si="32"/>
        <v>24681.428571428569</v>
      </c>
      <c r="O64" s="972">
        <f t="shared" si="29"/>
        <v>45565.714285714283</v>
      </c>
      <c r="P64" s="238">
        <f t="shared" si="23"/>
        <v>1</v>
      </c>
    </row>
    <row r="65" spans="1:16" hidden="1" outlineLevel="1">
      <c r="B65" s="482">
        <f t="shared" si="28"/>
        <v>22</v>
      </c>
      <c r="C65" s="616" t="s">
        <v>2438</v>
      </c>
      <c r="D65" s="608" t="s">
        <v>2442</v>
      </c>
      <c r="E65" s="375" t="s">
        <v>1502</v>
      </c>
      <c r="F65" s="834">
        <v>480000</v>
      </c>
      <c r="G65" s="605">
        <v>23.34</v>
      </c>
      <c r="H65" s="605">
        <f t="shared" si="24"/>
        <v>22857.142857142859</v>
      </c>
      <c r="I65" s="971">
        <f t="shared" si="30"/>
        <v>533485.71428571432</v>
      </c>
      <c r="J65" s="972">
        <f t="shared" si="31"/>
        <v>58683.428571428572</v>
      </c>
      <c r="K65" s="972">
        <f t="shared" si="25"/>
        <v>13333.333333333334</v>
      </c>
      <c r="L65" s="972">
        <f t="shared" si="26"/>
        <v>34146.89523809524</v>
      </c>
      <c r="M65" s="971">
        <f t="shared" si="33"/>
        <v>440655.39047619049</v>
      </c>
      <c r="N65" s="972">
        <f t="shared" si="32"/>
        <v>69353.14285714287</v>
      </c>
      <c r="O65" s="972">
        <f t="shared" si="29"/>
        <v>128036.57142857145</v>
      </c>
      <c r="P65" s="238">
        <f t="shared" si="23"/>
        <v>1</v>
      </c>
    </row>
    <row r="66" spans="1:16" hidden="1" outlineLevel="1">
      <c r="B66" s="482">
        <f t="shared" si="28"/>
        <v>23</v>
      </c>
      <c r="C66" s="616" t="s">
        <v>2439</v>
      </c>
      <c r="D66" s="608" t="s">
        <v>2442</v>
      </c>
      <c r="E66" s="611" t="s">
        <v>1503</v>
      </c>
      <c r="F66" s="834">
        <v>450000</v>
      </c>
      <c r="G66" s="605">
        <v>8.98</v>
      </c>
      <c r="H66" s="605">
        <f t="shared" si="24"/>
        <v>21428.571428571428</v>
      </c>
      <c r="I66" s="971">
        <f t="shared" si="30"/>
        <v>192428.57142857142</v>
      </c>
      <c r="J66" s="972">
        <f t="shared" si="31"/>
        <v>21167.142857142855</v>
      </c>
      <c r="K66" s="972">
        <f t="shared" si="25"/>
        <v>13333.333333333334</v>
      </c>
      <c r="L66" s="972">
        <f t="shared" si="26"/>
        <v>3792.8095238095248</v>
      </c>
      <c r="M66" s="971">
        <f t="shared" si="33"/>
        <v>167468.61904761905</v>
      </c>
      <c r="N66" s="972">
        <f t="shared" si="32"/>
        <v>25015.714285714286</v>
      </c>
      <c r="O66" s="972">
        <f t="shared" si="29"/>
        <v>46182.857142857145</v>
      </c>
      <c r="P66" s="238">
        <f t="shared" si="23"/>
        <v>1</v>
      </c>
    </row>
    <row r="67" spans="1:16" hidden="1" outlineLevel="1">
      <c r="B67" s="482">
        <f t="shared" si="28"/>
        <v>24</v>
      </c>
      <c r="C67" s="616" t="s">
        <v>2440</v>
      </c>
      <c r="D67" s="608" t="s">
        <v>2442</v>
      </c>
      <c r="E67" s="611" t="s">
        <v>1851</v>
      </c>
      <c r="F67" s="834">
        <v>500000</v>
      </c>
      <c r="G67" s="605">
        <v>7</v>
      </c>
      <c r="H67" s="605">
        <f t="shared" si="24"/>
        <v>23809.523809523809</v>
      </c>
      <c r="I67" s="971">
        <f>+H67*G67</f>
        <v>166666.66666666666</v>
      </c>
      <c r="J67" s="972">
        <f>+I67*0.11</f>
        <v>18333.333333333332</v>
      </c>
      <c r="K67" s="972">
        <f t="shared" si="25"/>
        <v>13333.333333333334</v>
      </c>
      <c r="L67" s="972">
        <f t="shared" si="26"/>
        <v>1499.9999999999982</v>
      </c>
      <c r="M67" s="971">
        <f t="shared" si="33"/>
        <v>146833.33333333331</v>
      </c>
      <c r="N67" s="972">
        <f t="shared" si="32"/>
        <v>21666.666666666668</v>
      </c>
      <c r="O67" s="972">
        <f t="shared" si="29"/>
        <v>40000</v>
      </c>
      <c r="P67" s="238">
        <f t="shared" si="23"/>
        <v>1</v>
      </c>
    </row>
    <row r="68" spans="1:16" hidden="1" outlineLevel="1">
      <c r="B68" s="1032" t="s">
        <v>6</v>
      </c>
      <c r="C68" s="1032"/>
      <c r="D68" s="1032"/>
      <c r="E68" s="1032"/>
      <c r="F68" s="977">
        <f>SUM(F44:F67)</f>
        <v>14560000</v>
      </c>
      <c r="G68" s="977">
        <f>SUM(G44:G67)</f>
        <v>280.97999999999996</v>
      </c>
      <c r="H68" s="977"/>
      <c r="I68" s="977">
        <f t="shared" ref="I68:P68" si="34">SUM(I44:I67)</f>
        <v>9750619.0476190485</v>
      </c>
      <c r="J68" s="975">
        <f t="shared" si="34"/>
        <v>1069215.7142857143</v>
      </c>
      <c r="K68" s="975">
        <f t="shared" si="34"/>
        <v>269716.11428571434</v>
      </c>
      <c r="L68" s="975">
        <f t="shared" si="34"/>
        <v>598424.21904761891</v>
      </c>
      <c r="M68" s="975">
        <f t="shared" si="34"/>
        <v>8082979.114285714</v>
      </c>
      <c r="N68" s="975">
        <f t="shared" si="34"/>
        <v>1317028.0952380951</v>
      </c>
      <c r="O68" s="975">
        <f t="shared" si="34"/>
        <v>2386243.8095238092</v>
      </c>
      <c r="P68" s="621">
        <f t="shared" si="34"/>
        <v>20</v>
      </c>
    </row>
    <row r="69" spans="1:16" hidden="1" outlineLevel="1">
      <c r="G69" s="79">
        <f>+G68-'[2]2018.02'!$G$44</f>
        <v>0</v>
      </c>
      <c r="I69" s="79">
        <f>10230619.05-I68</f>
        <v>480000.00238095224</v>
      </c>
      <c r="J69" s="79">
        <f>1069215.7-J68</f>
        <v>-1.4285714365541935E-2</v>
      </c>
      <c r="K69" s="79"/>
      <c r="L69" s="79"/>
      <c r="N69" s="79">
        <f>1317028.09-N68</f>
        <v>-5.2380950655788183E-3</v>
      </c>
    </row>
    <row r="70" spans="1:16" hidden="1" outlineLevel="1">
      <c r="I70" s="23" t="s">
        <v>1504</v>
      </c>
      <c r="J70" s="79"/>
      <c r="K70" s="79"/>
    </row>
    <row r="71" spans="1:16" hidden="1" outlineLevel="1">
      <c r="I71" s="375" t="s">
        <v>1321</v>
      </c>
      <c r="J71" s="375"/>
      <c r="K71" s="375"/>
      <c r="L71" s="375"/>
      <c r="M71" s="622" t="s">
        <v>261</v>
      </c>
      <c r="N71" s="375" t="s">
        <v>262</v>
      </c>
    </row>
    <row r="72" spans="1:16" hidden="1" outlineLevel="1">
      <c r="I72" s="375" t="s">
        <v>1509</v>
      </c>
      <c r="J72" s="375"/>
      <c r="K72" s="375"/>
      <c r="L72" s="623">
        <v>700200</v>
      </c>
      <c r="M72" s="121">
        <f>+N68</f>
        <v>1317028.0952380951</v>
      </c>
      <c r="N72" s="6"/>
    </row>
    <row r="73" spans="1:16" hidden="1" outlineLevel="1">
      <c r="I73" s="375" t="s">
        <v>1509</v>
      </c>
      <c r="J73" s="375"/>
      <c r="K73" s="375"/>
      <c r="L73" s="623">
        <v>310800</v>
      </c>
      <c r="M73" s="6"/>
      <c r="N73" s="121">
        <f>+N68</f>
        <v>1317028.0952380951</v>
      </c>
    </row>
    <row r="74" spans="1:16" hidden="1" outlineLevel="1">
      <c r="I74" s="375" t="s">
        <v>1510</v>
      </c>
      <c r="J74" s="375"/>
      <c r="K74" s="375"/>
      <c r="L74" s="623">
        <v>310800</v>
      </c>
      <c r="M74" s="6"/>
      <c r="N74" s="121">
        <f>+J68</f>
        <v>1069215.7142857143</v>
      </c>
    </row>
    <row r="75" spans="1:16" hidden="1" outlineLevel="1">
      <c r="I75" s="375" t="s">
        <v>1511</v>
      </c>
      <c r="J75" s="375"/>
      <c r="K75" s="375"/>
      <c r="L75" s="623">
        <v>310700</v>
      </c>
      <c r="M75" s="6"/>
      <c r="N75" s="121">
        <f>+L68</f>
        <v>598424.21904761891</v>
      </c>
    </row>
    <row r="76" spans="1:16" hidden="1" outlineLevel="1">
      <c r="I76" s="375" t="s">
        <v>1512</v>
      </c>
      <c r="J76" s="375"/>
      <c r="K76" s="375"/>
      <c r="L76" s="623">
        <v>311000</v>
      </c>
      <c r="M76" s="6"/>
      <c r="N76" s="121">
        <f>+M68</f>
        <v>8082979.114285714</v>
      </c>
    </row>
    <row r="77" spans="1:16" hidden="1" outlineLevel="1">
      <c r="I77" s="375" t="s">
        <v>2389</v>
      </c>
      <c r="J77" s="375"/>
      <c r="K77" s="375"/>
      <c r="L77" s="623">
        <v>700100</v>
      </c>
      <c r="M77" s="614">
        <f>+N76+N75+N74</f>
        <v>9750619.0476190466</v>
      </c>
      <c r="N77" s="375"/>
    </row>
    <row r="78" spans="1:16" collapsed="1">
      <c r="A78" s="23" t="s">
        <v>2291</v>
      </c>
      <c r="B78" s="23" t="s">
        <v>2847</v>
      </c>
      <c r="I78" s="353"/>
      <c r="J78" s="353"/>
      <c r="K78" s="353"/>
      <c r="L78" s="845"/>
      <c r="M78" s="846"/>
      <c r="N78" s="353"/>
    </row>
    <row r="79" spans="1:16" hidden="1" outlineLevel="1">
      <c r="B79" s="595"/>
      <c r="C79" s="595" t="s">
        <v>2390</v>
      </c>
      <c r="D79" s="595"/>
      <c r="E79" s="596"/>
      <c r="F79" s="596"/>
      <c r="G79" s="596"/>
      <c r="H79" s="596"/>
      <c r="I79" s="596"/>
      <c r="J79" s="596"/>
      <c r="K79" s="596"/>
      <c r="L79" s="596"/>
      <c r="M79" s="596"/>
      <c r="N79" s="596"/>
      <c r="O79" s="596"/>
    </row>
    <row r="80" spans="1:16" hidden="1" outlineLevel="1">
      <c r="B80" s="1026" t="s">
        <v>1</v>
      </c>
      <c r="C80" s="1028" t="s">
        <v>1334</v>
      </c>
      <c r="D80" s="1028" t="s">
        <v>1335</v>
      </c>
      <c r="E80" s="1030" t="s">
        <v>1477</v>
      </c>
      <c r="F80" s="1028" t="s">
        <v>1478</v>
      </c>
      <c r="G80" s="1030" t="s">
        <v>1479</v>
      </c>
      <c r="H80" s="1030" t="s">
        <v>1480</v>
      </c>
      <c r="I80" s="1021" t="s">
        <v>1481</v>
      </c>
      <c r="J80" s="1019" t="s">
        <v>1482</v>
      </c>
      <c r="K80" s="1017" t="s">
        <v>2012</v>
      </c>
      <c r="L80" s="1018"/>
      <c r="M80" s="1019" t="s">
        <v>1483</v>
      </c>
      <c r="N80" s="1021" t="s">
        <v>1484</v>
      </c>
      <c r="O80" s="1019" t="s">
        <v>1485</v>
      </c>
    </row>
    <row r="81" spans="2:16" hidden="1" outlineLevel="1">
      <c r="B81" s="1027"/>
      <c r="C81" s="1029"/>
      <c r="D81" s="1029"/>
      <c r="E81" s="1031"/>
      <c r="F81" s="1029"/>
      <c r="G81" s="1031"/>
      <c r="H81" s="1031"/>
      <c r="I81" s="1022"/>
      <c r="J81" s="1020"/>
      <c r="K81" s="601" t="s">
        <v>1633</v>
      </c>
      <c r="L81" s="601" t="s">
        <v>5</v>
      </c>
      <c r="M81" s="1020"/>
      <c r="N81" s="1022"/>
      <c r="O81" s="1020"/>
      <c r="P81" s="238" t="s">
        <v>1633</v>
      </c>
    </row>
    <row r="82" spans="2:16" ht="18.75" hidden="1" customHeight="1" outlineLevel="1">
      <c r="B82" s="482">
        <v>1</v>
      </c>
      <c r="C82" s="602" t="s">
        <v>2409</v>
      </c>
      <c r="D82" s="603" t="s">
        <v>2419</v>
      </c>
      <c r="E82" s="603" t="s">
        <v>1486</v>
      </c>
      <c r="F82" s="970">
        <v>1200000</v>
      </c>
      <c r="G82" s="605">
        <v>25</v>
      </c>
      <c r="H82" s="605">
        <f>+F82/25</f>
        <v>48000</v>
      </c>
      <c r="I82" s="971">
        <f>+H82*G82</f>
        <v>1200000</v>
      </c>
      <c r="J82" s="972">
        <f t="shared" ref="J82:J105" si="35">+I82*0.11</f>
        <v>132000</v>
      </c>
      <c r="K82" s="972">
        <f>+IFERROR(INDEX($S$7:$S$13,MATCH((I82-J82),$Q$7:$Q$13,1)),"")</f>
        <v>10000</v>
      </c>
      <c r="L82" s="972">
        <f>+IF((I82-J82)*0.1&lt;K82,0,(I82-J82)*0.1-K82)</f>
        <v>96800</v>
      </c>
      <c r="M82" s="971">
        <f>+I82-J82-L82</f>
        <v>971200</v>
      </c>
      <c r="N82" s="972">
        <f>+I82*0.13</f>
        <v>156000</v>
      </c>
      <c r="O82" s="972">
        <f>+J82+N82</f>
        <v>288000</v>
      </c>
      <c r="P82" s="238">
        <f>+IF(L82,1,0)</f>
        <v>1</v>
      </c>
    </row>
    <row r="83" spans="2:16" hidden="1" outlineLevel="1">
      <c r="B83" s="482">
        <f>+B82+1</f>
        <v>2</v>
      </c>
      <c r="C83" s="607" t="s">
        <v>2410</v>
      </c>
      <c r="D83" s="608" t="s">
        <v>2420</v>
      </c>
      <c r="E83" s="608" t="s">
        <v>1487</v>
      </c>
      <c r="F83" s="970">
        <v>1200000</v>
      </c>
      <c r="G83" s="605">
        <v>25</v>
      </c>
      <c r="H83" s="605">
        <f t="shared" ref="H83:H105" si="36">+F83/25</f>
        <v>48000</v>
      </c>
      <c r="I83" s="971">
        <f t="shared" ref="I83:I105" si="37">+H83*G83</f>
        <v>1200000</v>
      </c>
      <c r="J83" s="972">
        <f t="shared" si="35"/>
        <v>132000</v>
      </c>
      <c r="K83" s="972">
        <f t="shared" ref="K83:K105" si="38">+IFERROR(INDEX($S$7:$S$13,MATCH((I83-J83),$Q$7:$Q$13,1)),"")</f>
        <v>10000</v>
      </c>
      <c r="L83" s="972">
        <f t="shared" ref="L83:L105" si="39">+IF((I83-J83)*0.1&lt;K83,0,(I83-J83)*0.1-K83)</f>
        <v>96800</v>
      </c>
      <c r="M83" s="971">
        <f t="shared" ref="M83:M105" si="40">+I83-J83-L83</f>
        <v>971200</v>
      </c>
      <c r="N83" s="972">
        <f t="shared" ref="N83:N105" si="41">+I83*0.13</f>
        <v>156000</v>
      </c>
      <c r="O83" s="972">
        <f t="shared" ref="O83:O105" si="42">+J83+N83</f>
        <v>288000</v>
      </c>
      <c r="P83" s="238">
        <f t="shared" ref="P83:P105" si="43">+IF(L83,1,0)</f>
        <v>1</v>
      </c>
    </row>
    <row r="84" spans="2:16" hidden="1" outlineLevel="1">
      <c r="B84" s="482">
        <f t="shared" ref="B84:B97" si="44">+B83+1</f>
        <v>3</v>
      </c>
      <c r="C84" s="609" t="s">
        <v>1488</v>
      </c>
      <c r="D84" s="608" t="s">
        <v>2421</v>
      </c>
      <c r="E84" s="608" t="s">
        <v>1489</v>
      </c>
      <c r="F84" s="973">
        <v>1400000</v>
      </c>
      <c r="G84" s="605">
        <v>25</v>
      </c>
      <c r="H84" s="605">
        <f t="shared" si="36"/>
        <v>56000</v>
      </c>
      <c r="I84" s="971">
        <f t="shared" si="37"/>
        <v>1400000</v>
      </c>
      <c r="J84" s="972">
        <f t="shared" si="35"/>
        <v>154000</v>
      </c>
      <c r="K84" s="972">
        <f t="shared" si="38"/>
        <v>10000</v>
      </c>
      <c r="L84" s="972">
        <f t="shared" si="39"/>
        <v>114600</v>
      </c>
      <c r="M84" s="971">
        <f t="shared" si="40"/>
        <v>1131400</v>
      </c>
      <c r="N84" s="972">
        <f t="shared" si="41"/>
        <v>182000</v>
      </c>
      <c r="O84" s="972">
        <f t="shared" si="42"/>
        <v>336000</v>
      </c>
      <c r="P84" s="238">
        <f t="shared" si="43"/>
        <v>1</v>
      </c>
    </row>
    <row r="85" spans="2:16" hidden="1" outlineLevel="1">
      <c r="B85" s="482">
        <f t="shared" si="44"/>
        <v>4</v>
      </c>
      <c r="C85" s="607" t="s">
        <v>2411</v>
      </c>
      <c r="D85" s="608" t="s">
        <v>2422</v>
      </c>
      <c r="E85" s="611" t="s">
        <v>1490</v>
      </c>
      <c r="F85" s="973">
        <v>240000</v>
      </c>
      <c r="G85" s="605">
        <v>0</v>
      </c>
      <c r="H85" s="605">
        <f t="shared" si="36"/>
        <v>9600</v>
      </c>
      <c r="I85" s="971">
        <f t="shared" si="37"/>
        <v>0</v>
      </c>
      <c r="J85" s="972">
        <f t="shared" si="35"/>
        <v>0</v>
      </c>
      <c r="K85" s="972">
        <v>0</v>
      </c>
      <c r="L85" s="972">
        <f t="shared" si="39"/>
        <v>0</v>
      </c>
      <c r="M85" s="971">
        <f t="shared" si="40"/>
        <v>0</v>
      </c>
      <c r="N85" s="972">
        <f>+F85*0.13</f>
        <v>31200</v>
      </c>
      <c r="O85" s="972">
        <f t="shared" si="42"/>
        <v>31200</v>
      </c>
      <c r="P85" s="238">
        <f t="shared" si="43"/>
        <v>0</v>
      </c>
    </row>
    <row r="86" spans="2:16" hidden="1" outlineLevel="1">
      <c r="B86" s="482">
        <f t="shared" si="44"/>
        <v>5</v>
      </c>
      <c r="C86" s="607" t="s">
        <v>2412</v>
      </c>
      <c r="D86" s="608" t="s">
        <v>2423</v>
      </c>
      <c r="E86" s="608" t="s">
        <v>1491</v>
      </c>
      <c r="F86" s="973">
        <v>900000</v>
      </c>
      <c r="G86" s="605">
        <v>25</v>
      </c>
      <c r="H86" s="605">
        <f t="shared" si="36"/>
        <v>36000</v>
      </c>
      <c r="I86" s="971">
        <f t="shared" si="37"/>
        <v>900000</v>
      </c>
      <c r="J86" s="972">
        <f t="shared" si="35"/>
        <v>99000</v>
      </c>
      <c r="K86" s="972">
        <f t="shared" si="38"/>
        <v>11666.666666666666</v>
      </c>
      <c r="L86" s="972">
        <f t="shared" si="39"/>
        <v>68433.333333333328</v>
      </c>
      <c r="M86" s="971">
        <f t="shared" si="40"/>
        <v>732566.66666666663</v>
      </c>
      <c r="N86" s="972">
        <f t="shared" si="41"/>
        <v>117000</v>
      </c>
      <c r="O86" s="972">
        <f t="shared" si="42"/>
        <v>216000</v>
      </c>
      <c r="P86" s="238">
        <f t="shared" si="43"/>
        <v>1</v>
      </c>
    </row>
    <row r="87" spans="2:16" hidden="1" outlineLevel="1">
      <c r="B87" s="482">
        <f t="shared" si="44"/>
        <v>6</v>
      </c>
      <c r="C87" s="607" t="s">
        <v>2413</v>
      </c>
      <c r="D87" s="608" t="s">
        <v>2424</v>
      </c>
      <c r="E87" s="608" t="s">
        <v>2417</v>
      </c>
      <c r="F87" s="973">
        <v>1000000</v>
      </c>
      <c r="G87" s="605">
        <v>25</v>
      </c>
      <c r="H87" s="605">
        <f t="shared" si="36"/>
        <v>40000</v>
      </c>
      <c r="I87" s="971">
        <f t="shared" si="37"/>
        <v>1000000</v>
      </c>
      <c r="J87" s="972">
        <f t="shared" si="35"/>
        <v>110000</v>
      </c>
      <c r="K87" s="972">
        <f t="shared" si="38"/>
        <v>11666.666666666666</v>
      </c>
      <c r="L87" s="972">
        <f t="shared" si="39"/>
        <v>77333.333333333328</v>
      </c>
      <c r="M87" s="971">
        <f t="shared" si="40"/>
        <v>812666.66666666663</v>
      </c>
      <c r="N87" s="972">
        <f t="shared" si="41"/>
        <v>130000</v>
      </c>
      <c r="O87" s="972">
        <f t="shared" si="42"/>
        <v>240000</v>
      </c>
      <c r="P87" s="238">
        <f t="shared" si="43"/>
        <v>1</v>
      </c>
    </row>
    <row r="88" spans="2:16" hidden="1" outlineLevel="1">
      <c r="B88" s="482">
        <f t="shared" si="44"/>
        <v>7</v>
      </c>
      <c r="C88" s="607" t="s">
        <v>2414</v>
      </c>
      <c r="D88" s="611" t="s">
        <v>2424</v>
      </c>
      <c r="E88" s="611" t="s">
        <v>1859</v>
      </c>
      <c r="F88" s="974">
        <v>500000</v>
      </c>
      <c r="G88" s="605">
        <v>25</v>
      </c>
      <c r="H88" s="605">
        <f t="shared" si="36"/>
        <v>20000</v>
      </c>
      <c r="I88" s="971">
        <f t="shared" si="37"/>
        <v>500000</v>
      </c>
      <c r="J88" s="972">
        <f t="shared" si="35"/>
        <v>55000</v>
      </c>
      <c r="K88" s="972">
        <f t="shared" si="38"/>
        <v>13333.333333333334</v>
      </c>
      <c r="L88" s="972">
        <f t="shared" si="39"/>
        <v>31166.666666666664</v>
      </c>
      <c r="M88" s="971">
        <f t="shared" si="40"/>
        <v>413833.33333333331</v>
      </c>
      <c r="N88" s="972">
        <f t="shared" si="41"/>
        <v>65000</v>
      </c>
      <c r="O88" s="972">
        <f t="shared" si="42"/>
        <v>120000</v>
      </c>
      <c r="P88" s="238">
        <f t="shared" si="43"/>
        <v>1</v>
      </c>
    </row>
    <row r="89" spans="2:16" hidden="1" outlineLevel="1">
      <c r="B89" s="482">
        <f t="shared" si="44"/>
        <v>8</v>
      </c>
      <c r="C89" s="607" t="s">
        <v>2485</v>
      </c>
      <c r="D89" s="608" t="s">
        <v>2424</v>
      </c>
      <c r="E89" s="611" t="s">
        <v>2418</v>
      </c>
      <c r="F89" s="833">
        <v>240000</v>
      </c>
      <c r="G89" s="605">
        <v>0</v>
      </c>
      <c r="H89" s="605">
        <f t="shared" si="36"/>
        <v>9600</v>
      </c>
      <c r="I89" s="971">
        <f t="shared" si="37"/>
        <v>0</v>
      </c>
      <c r="J89" s="972">
        <f t="shared" si="35"/>
        <v>0</v>
      </c>
      <c r="K89" s="972">
        <v>0</v>
      </c>
      <c r="L89" s="972">
        <f t="shared" si="39"/>
        <v>0</v>
      </c>
      <c r="M89" s="971">
        <f t="shared" si="40"/>
        <v>0</v>
      </c>
      <c r="N89" s="972">
        <f>+F89*0.09</f>
        <v>21600</v>
      </c>
      <c r="O89" s="972">
        <f t="shared" si="42"/>
        <v>21600</v>
      </c>
      <c r="P89" s="238">
        <f t="shared" si="43"/>
        <v>0</v>
      </c>
    </row>
    <row r="90" spans="2:16" hidden="1" outlineLevel="1">
      <c r="B90" s="482">
        <f t="shared" si="44"/>
        <v>9</v>
      </c>
      <c r="C90" s="844" t="s">
        <v>2415</v>
      </c>
      <c r="D90" s="614" t="s">
        <v>2425</v>
      </c>
      <c r="E90" s="614" t="s">
        <v>1860</v>
      </c>
      <c r="F90" s="834">
        <v>480000</v>
      </c>
      <c r="G90" s="605">
        <v>15.15</v>
      </c>
      <c r="H90" s="605">
        <f t="shared" si="36"/>
        <v>19200</v>
      </c>
      <c r="I90" s="971">
        <f t="shared" si="37"/>
        <v>290880</v>
      </c>
      <c r="J90" s="972">
        <f t="shared" si="35"/>
        <v>31996.799999999999</v>
      </c>
      <c r="K90" s="972">
        <f t="shared" si="38"/>
        <v>13333.333333333334</v>
      </c>
      <c r="L90" s="972">
        <f t="shared" si="39"/>
        <v>12554.986666666669</v>
      </c>
      <c r="M90" s="971">
        <f t="shared" si="40"/>
        <v>246328.21333333335</v>
      </c>
      <c r="N90" s="972">
        <f t="shared" si="41"/>
        <v>37814.400000000001</v>
      </c>
      <c r="O90" s="972">
        <f t="shared" si="42"/>
        <v>69811.199999999997</v>
      </c>
      <c r="P90" s="238">
        <f t="shared" si="43"/>
        <v>1</v>
      </c>
    </row>
    <row r="91" spans="2:16" hidden="1" outlineLevel="1">
      <c r="B91" s="482">
        <f t="shared" si="44"/>
        <v>10</v>
      </c>
      <c r="C91" s="607" t="s">
        <v>2416</v>
      </c>
      <c r="D91" s="613" t="s">
        <v>2426</v>
      </c>
      <c r="E91" s="611" t="s">
        <v>1492</v>
      </c>
      <c r="F91" s="833">
        <v>400000</v>
      </c>
      <c r="G91" s="605">
        <v>25</v>
      </c>
      <c r="H91" s="605">
        <f t="shared" si="36"/>
        <v>16000</v>
      </c>
      <c r="I91" s="971">
        <f t="shared" si="37"/>
        <v>400000</v>
      </c>
      <c r="J91" s="972">
        <f>+I91*0.088</f>
        <v>35200</v>
      </c>
      <c r="K91" s="972">
        <f t="shared" si="38"/>
        <v>13333.333333333334</v>
      </c>
      <c r="L91" s="972">
        <f t="shared" si="39"/>
        <v>23146.666666666664</v>
      </c>
      <c r="M91" s="971">
        <f t="shared" si="40"/>
        <v>341653.33333333331</v>
      </c>
      <c r="N91" s="972">
        <f>+I91*0.108</f>
        <v>43200</v>
      </c>
      <c r="O91" s="972">
        <f t="shared" si="42"/>
        <v>78400</v>
      </c>
      <c r="P91" s="238">
        <f t="shared" si="43"/>
        <v>1</v>
      </c>
    </row>
    <row r="92" spans="2:16" hidden="1" outlineLevel="1">
      <c r="B92" s="482">
        <f t="shared" si="44"/>
        <v>11</v>
      </c>
      <c r="C92" s="607" t="s">
        <v>2427</v>
      </c>
      <c r="D92" s="611" t="s">
        <v>2441</v>
      </c>
      <c r="E92" s="611" t="s">
        <v>1493</v>
      </c>
      <c r="F92" s="833">
        <v>450000</v>
      </c>
      <c r="G92" s="605">
        <v>24.28</v>
      </c>
      <c r="H92" s="605">
        <f t="shared" si="36"/>
        <v>18000</v>
      </c>
      <c r="I92" s="971">
        <f t="shared" si="37"/>
        <v>437040</v>
      </c>
      <c r="J92" s="972">
        <f t="shared" si="35"/>
        <v>48074.400000000001</v>
      </c>
      <c r="K92" s="972">
        <f t="shared" si="38"/>
        <v>13333.333333333334</v>
      </c>
      <c r="L92" s="972">
        <f t="shared" si="39"/>
        <v>25563.226666666662</v>
      </c>
      <c r="M92" s="971">
        <f t="shared" si="40"/>
        <v>363402.37333333329</v>
      </c>
      <c r="N92" s="972">
        <f t="shared" si="41"/>
        <v>56815.200000000004</v>
      </c>
      <c r="O92" s="972">
        <f t="shared" si="42"/>
        <v>104889.60000000001</v>
      </c>
      <c r="P92" s="238">
        <f t="shared" si="43"/>
        <v>1</v>
      </c>
    </row>
    <row r="93" spans="2:16" hidden="1" outlineLevel="1">
      <c r="B93" s="482">
        <f t="shared" si="44"/>
        <v>12</v>
      </c>
      <c r="C93" s="607" t="s">
        <v>2428</v>
      </c>
      <c r="D93" s="613" t="s">
        <v>2442</v>
      </c>
      <c r="E93" s="622" t="s">
        <v>1494</v>
      </c>
      <c r="F93" s="833">
        <v>450000</v>
      </c>
      <c r="G93" s="605">
        <v>24.38</v>
      </c>
      <c r="H93" s="605">
        <f t="shared" si="36"/>
        <v>18000</v>
      </c>
      <c r="I93" s="971">
        <f t="shared" si="37"/>
        <v>438840</v>
      </c>
      <c r="J93" s="972">
        <f t="shared" si="35"/>
        <v>48272.4</v>
      </c>
      <c r="K93" s="972">
        <f t="shared" si="38"/>
        <v>13333.333333333334</v>
      </c>
      <c r="L93" s="972">
        <f t="shared" si="39"/>
        <v>25723.426666666666</v>
      </c>
      <c r="M93" s="971">
        <f t="shared" si="40"/>
        <v>364844.17333333334</v>
      </c>
      <c r="N93" s="972">
        <f t="shared" si="41"/>
        <v>57049.200000000004</v>
      </c>
      <c r="O93" s="972">
        <f t="shared" si="42"/>
        <v>105321.60000000001</v>
      </c>
      <c r="P93" s="238">
        <f t="shared" si="43"/>
        <v>1</v>
      </c>
    </row>
    <row r="94" spans="2:16" hidden="1" outlineLevel="1">
      <c r="B94" s="482">
        <f t="shared" si="44"/>
        <v>13</v>
      </c>
      <c r="C94" s="616" t="s">
        <v>2429</v>
      </c>
      <c r="D94" s="613" t="s">
        <v>2442</v>
      </c>
      <c r="E94" s="451" t="s">
        <v>1861</v>
      </c>
      <c r="F94" s="833">
        <v>450000</v>
      </c>
      <c r="G94" s="605">
        <v>23.29</v>
      </c>
      <c r="H94" s="605">
        <f t="shared" si="36"/>
        <v>18000</v>
      </c>
      <c r="I94" s="971">
        <f t="shared" si="37"/>
        <v>419220</v>
      </c>
      <c r="J94" s="972">
        <f t="shared" si="35"/>
        <v>46114.2</v>
      </c>
      <c r="K94" s="972">
        <f t="shared" si="38"/>
        <v>13333.333333333334</v>
      </c>
      <c r="L94" s="972">
        <f t="shared" si="39"/>
        <v>23977.246666666666</v>
      </c>
      <c r="M94" s="971">
        <f t="shared" si="40"/>
        <v>349128.55333333334</v>
      </c>
      <c r="N94" s="972">
        <f t="shared" si="41"/>
        <v>54498.6</v>
      </c>
      <c r="O94" s="972">
        <f t="shared" si="42"/>
        <v>100612.79999999999</v>
      </c>
      <c r="P94" s="238">
        <f t="shared" si="43"/>
        <v>1</v>
      </c>
    </row>
    <row r="95" spans="2:16" hidden="1" outlineLevel="1">
      <c r="B95" s="482">
        <f t="shared" si="44"/>
        <v>14</v>
      </c>
      <c r="C95" s="616" t="s">
        <v>2430</v>
      </c>
      <c r="D95" s="613" t="s">
        <v>2442</v>
      </c>
      <c r="E95" s="617" t="s">
        <v>1495</v>
      </c>
      <c r="F95" s="833">
        <v>480000</v>
      </c>
      <c r="G95" s="605">
        <v>24</v>
      </c>
      <c r="H95" s="605">
        <f t="shared" si="36"/>
        <v>19200</v>
      </c>
      <c r="I95" s="971">
        <f t="shared" si="37"/>
        <v>460800</v>
      </c>
      <c r="J95" s="972">
        <f t="shared" si="35"/>
        <v>50688</v>
      </c>
      <c r="K95" s="972">
        <f t="shared" si="38"/>
        <v>13333.333333333334</v>
      </c>
      <c r="L95" s="972">
        <f t="shared" si="39"/>
        <v>27677.866666666669</v>
      </c>
      <c r="M95" s="971">
        <f t="shared" si="40"/>
        <v>382434.1333333333</v>
      </c>
      <c r="N95" s="972">
        <f t="shared" si="41"/>
        <v>59904</v>
      </c>
      <c r="O95" s="972">
        <f t="shared" si="42"/>
        <v>110592</v>
      </c>
      <c r="P95" s="238">
        <f t="shared" si="43"/>
        <v>1</v>
      </c>
    </row>
    <row r="96" spans="2:16" hidden="1" outlineLevel="1">
      <c r="B96" s="482">
        <f t="shared" si="44"/>
        <v>15</v>
      </c>
      <c r="C96" s="602" t="s">
        <v>2431</v>
      </c>
      <c r="D96" s="612" t="s">
        <v>2442</v>
      </c>
      <c r="E96" s="611" t="s">
        <v>1496</v>
      </c>
      <c r="F96" s="834">
        <v>800000</v>
      </c>
      <c r="G96" s="605">
        <v>0</v>
      </c>
      <c r="H96" s="605">
        <f t="shared" si="36"/>
        <v>32000</v>
      </c>
      <c r="I96" s="971">
        <f t="shared" si="37"/>
        <v>0</v>
      </c>
      <c r="J96" s="972">
        <f t="shared" si="35"/>
        <v>0</v>
      </c>
      <c r="K96" s="972">
        <v>0</v>
      </c>
      <c r="L96" s="972">
        <v>0</v>
      </c>
      <c r="M96" s="971">
        <f t="shared" si="40"/>
        <v>0</v>
      </c>
      <c r="N96" s="972">
        <f t="shared" si="41"/>
        <v>0</v>
      </c>
      <c r="O96" s="972">
        <f t="shared" si="42"/>
        <v>0</v>
      </c>
      <c r="P96" s="238">
        <f t="shared" si="43"/>
        <v>0</v>
      </c>
    </row>
    <row r="97" spans="2:16" hidden="1" outlineLevel="1">
      <c r="B97" s="482">
        <f t="shared" si="44"/>
        <v>16</v>
      </c>
      <c r="C97" s="602" t="s">
        <v>2432</v>
      </c>
      <c r="D97" s="612" t="s">
        <v>2442</v>
      </c>
      <c r="E97" s="620" t="s">
        <v>1497</v>
      </c>
      <c r="F97" s="834">
        <v>480000</v>
      </c>
      <c r="G97" s="605">
        <v>20.059999999999999</v>
      </c>
      <c r="H97" s="605">
        <f t="shared" si="36"/>
        <v>19200</v>
      </c>
      <c r="I97" s="971">
        <f t="shared" si="37"/>
        <v>385152</v>
      </c>
      <c r="J97" s="972">
        <f t="shared" si="35"/>
        <v>42366.720000000001</v>
      </c>
      <c r="K97" s="972">
        <f t="shared" si="38"/>
        <v>13333.333333333334</v>
      </c>
      <c r="L97" s="972">
        <f t="shared" si="39"/>
        <v>20945.19466666667</v>
      </c>
      <c r="M97" s="971">
        <f t="shared" si="40"/>
        <v>321840.08533333335</v>
      </c>
      <c r="N97" s="972">
        <f t="shared" si="41"/>
        <v>50069.760000000002</v>
      </c>
      <c r="O97" s="972">
        <f t="shared" si="42"/>
        <v>92436.48000000001</v>
      </c>
      <c r="P97" s="238">
        <f t="shared" si="43"/>
        <v>1</v>
      </c>
    </row>
    <row r="98" spans="2:16" hidden="1" outlineLevel="1">
      <c r="B98" s="482">
        <f t="shared" ref="B98:B105" si="45">+B97+1</f>
        <v>17</v>
      </c>
      <c r="C98" s="602" t="s">
        <v>2433</v>
      </c>
      <c r="D98" s="608" t="s">
        <v>2442</v>
      </c>
      <c r="E98" s="619" t="s">
        <v>1498</v>
      </c>
      <c r="F98" s="834">
        <v>480000</v>
      </c>
      <c r="G98" s="605">
        <v>24.83</v>
      </c>
      <c r="H98" s="605">
        <f t="shared" si="36"/>
        <v>19200</v>
      </c>
      <c r="I98" s="971">
        <f t="shared" si="37"/>
        <v>476735.99999999994</v>
      </c>
      <c r="J98" s="972">
        <f t="shared" si="35"/>
        <v>52440.959999999992</v>
      </c>
      <c r="K98" s="972">
        <f t="shared" si="38"/>
        <v>13333.333333333334</v>
      </c>
      <c r="L98" s="972">
        <f t="shared" si="39"/>
        <v>29096.170666666658</v>
      </c>
      <c r="M98" s="971">
        <f t="shared" si="40"/>
        <v>395198.86933333328</v>
      </c>
      <c r="N98" s="972">
        <f t="shared" si="41"/>
        <v>61975.679999999993</v>
      </c>
      <c r="O98" s="972">
        <f t="shared" si="42"/>
        <v>114416.63999999998</v>
      </c>
      <c r="P98" s="238">
        <f t="shared" si="43"/>
        <v>1</v>
      </c>
    </row>
    <row r="99" spans="2:16" hidden="1" outlineLevel="1">
      <c r="B99" s="482">
        <f t="shared" si="45"/>
        <v>18</v>
      </c>
      <c r="C99" s="602" t="s">
        <v>2434</v>
      </c>
      <c r="D99" s="608" t="s">
        <v>2442</v>
      </c>
      <c r="E99" s="451" t="s">
        <v>1499</v>
      </c>
      <c r="F99" s="834">
        <v>600000</v>
      </c>
      <c r="G99" s="605">
        <v>23.29</v>
      </c>
      <c r="H99" s="605">
        <f t="shared" si="36"/>
        <v>24000</v>
      </c>
      <c r="I99" s="971">
        <f t="shared" si="37"/>
        <v>558960</v>
      </c>
      <c r="J99" s="972">
        <f t="shared" si="35"/>
        <v>61485.599999999999</v>
      </c>
      <c r="K99" s="972">
        <f t="shared" si="38"/>
        <v>13333.333333333334</v>
      </c>
      <c r="L99" s="972">
        <f t="shared" si="39"/>
        <v>36414.106666666667</v>
      </c>
      <c r="M99" s="971">
        <f t="shared" si="40"/>
        <v>461060.29333333333</v>
      </c>
      <c r="N99" s="972">
        <f t="shared" si="41"/>
        <v>72664.800000000003</v>
      </c>
      <c r="O99" s="972">
        <f t="shared" si="42"/>
        <v>134150.39999999999</v>
      </c>
      <c r="P99" s="238">
        <f t="shared" si="43"/>
        <v>1</v>
      </c>
    </row>
    <row r="100" spans="2:16" hidden="1" outlineLevel="1">
      <c r="B100" s="482">
        <f t="shared" si="45"/>
        <v>19</v>
      </c>
      <c r="C100" s="616" t="s">
        <v>2435</v>
      </c>
      <c r="D100" s="608" t="s">
        <v>2443</v>
      </c>
      <c r="E100" s="619" t="s">
        <v>1500</v>
      </c>
      <c r="F100" s="834">
        <v>480000</v>
      </c>
      <c r="G100" s="605">
        <v>25</v>
      </c>
      <c r="H100" s="605">
        <f t="shared" si="36"/>
        <v>19200</v>
      </c>
      <c r="I100" s="971">
        <f t="shared" si="37"/>
        <v>480000</v>
      </c>
      <c r="J100" s="972">
        <f t="shared" si="35"/>
        <v>52800</v>
      </c>
      <c r="K100" s="972">
        <f t="shared" si="38"/>
        <v>13333.333333333334</v>
      </c>
      <c r="L100" s="972">
        <f t="shared" si="39"/>
        <v>29386.666666666664</v>
      </c>
      <c r="M100" s="971">
        <f t="shared" si="40"/>
        <v>397813.33333333331</v>
      </c>
      <c r="N100" s="972">
        <f t="shared" si="41"/>
        <v>62400</v>
      </c>
      <c r="O100" s="972">
        <f t="shared" si="42"/>
        <v>115200</v>
      </c>
      <c r="P100" s="238">
        <f t="shared" si="43"/>
        <v>1</v>
      </c>
    </row>
    <row r="101" spans="2:16" hidden="1" outlineLevel="1">
      <c r="B101" s="482">
        <f t="shared" si="45"/>
        <v>20</v>
      </c>
      <c r="C101" s="602" t="s">
        <v>2436</v>
      </c>
      <c r="D101" s="608" t="s">
        <v>2442</v>
      </c>
      <c r="E101" s="375" t="s">
        <v>1501</v>
      </c>
      <c r="F101" s="834">
        <v>450000</v>
      </c>
      <c r="G101" s="605">
        <v>23.96</v>
      </c>
      <c r="H101" s="605">
        <f t="shared" si="36"/>
        <v>18000</v>
      </c>
      <c r="I101" s="971">
        <f t="shared" si="37"/>
        <v>431280</v>
      </c>
      <c r="J101" s="972">
        <f t="shared" si="35"/>
        <v>47440.800000000003</v>
      </c>
      <c r="K101" s="972">
        <f t="shared" si="38"/>
        <v>13333.333333333334</v>
      </c>
      <c r="L101" s="972">
        <f t="shared" si="39"/>
        <v>25050.58666666667</v>
      </c>
      <c r="M101" s="971">
        <f t="shared" si="40"/>
        <v>358788.61333333334</v>
      </c>
      <c r="N101" s="972">
        <f t="shared" si="41"/>
        <v>56066.400000000001</v>
      </c>
      <c r="O101" s="972">
        <f t="shared" si="42"/>
        <v>103507.20000000001</v>
      </c>
      <c r="P101" s="238">
        <f t="shared" si="43"/>
        <v>1</v>
      </c>
    </row>
    <row r="102" spans="2:16" hidden="1" outlineLevel="1">
      <c r="B102" s="482">
        <f t="shared" si="45"/>
        <v>21</v>
      </c>
      <c r="C102" s="618" t="s">
        <v>2437</v>
      </c>
      <c r="D102" s="608" t="s">
        <v>2442</v>
      </c>
      <c r="E102" s="375" t="s">
        <v>1521</v>
      </c>
      <c r="F102" s="834">
        <v>450000</v>
      </c>
      <c r="G102" s="605">
        <v>24.2</v>
      </c>
      <c r="H102" s="605">
        <f t="shared" si="36"/>
        <v>18000</v>
      </c>
      <c r="I102" s="971">
        <f t="shared" si="37"/>
        <v>435600</v>
      </c>
      <c r="J102" s="972">
        <f t="shared" si="35"/>
        <v>47916</v>
      </c>
      <c r="K102" s="972">
        <f t="shared" si="38"/>
        <v>13333.333333333334</v>
      </c>
      <c r="L102" s="972">
        <f t="shared" si="39"/>
        <v>25435.066666666666</v>
      </c>
      <c r="M102" s="971">
        <f t="shared" si="40"/>
        <v>362248.93333333335</v>
      </c>
      <c r="N102" s="972">
        <f t="shared" si="41"/>
        <v>56628</v>
      </c>
      <c r="O102" s="972">
        <f t="shared" si="42"/>
        <v>104544</v>
      </c>
      <c r="P102" s="238">
        <f t="shared" si="43"/>
        <v>1</v>
      </c>
    </row>
    <row r="103" spans="2:16" hidden="1" outlineLevel="1">
      <c r="B103" s="482">
        <f t="shared" si="45"/>
        <v>22</v>
      </c>
      <c r="C103" s="618" t="s">
        <v>2438</v>
      </c>
      <c r="D103" s="608" t="s">
        <v>2442</v>
      </c>
      <c r="E103" s="375" t="s">
        <v>1502</v>
      </c>
      <c r="F103" s="834">
        <v>480000</v>
      </c>
      <c r="G103" s="605">
        <v>23.35</v>
      </c>
      <c r="H103" s="605">
        <f t="shared" si="36"/>
        <v>19200</v>
      </c>
      <c r="I103" s="971">
        <f t="shared" si="37"/>
        <v>448320</v>
      </c>
      <c r="J103" s="972">
        <f t="shared" si="35"/>
        <v>49315.199999999997</v>
      </c>
      <c r="K103" s="972">
        <f t="shared" si="38"/>
        <v>13333.333333333334</v>
      </c>
      <c r="L103" s="972">
        <f t="shared" si="39"/>
        <v>26567.146666666667</v>
      </c>
      <c r="M103" s="971">
        <f t="shared" si="40"/>
        <v>372437.65333333332</v>
      </c>
      <c r="N103" s="972">
        <f t="shared" si="41"/>
        <v>58281.599999999999</v>
      </c>
      <c r="O103" s="972">
        <f t="shared" si="42"/>
        <v>107596.79999999999</v>
      </c>
      <c r="P103" s="238">
        <f t="shared" si="43"/>
        <v>1</v>
      </c>
    </row>
    <row r="104" spans="2:16" hidden="1" outlineLevel="1">
      <c r="B104" s="482">
        <f t="shared" si="45"/>
        <v>23</v>
      </c>
      <c r="C104" s="616" t="s">
        <v>2439</v>
      </c>
      <c r="D104" s="608" t="s">
        <v>2442</v>
      </c>
      <c r="E104" s="611" t="s">
        <v>1503</v>
      </c>
      <c r="F104" s="834">
        <v>450000</v>
      </c>
      <c r="G104" s="605">
        <v>23.14</v>
      </c>
      <c r="H104" s="605">
        <f t="shared" si="36"/>
        <v>18000</v>
      </c>
      <c r="I104" s="971">
        <f t="shared" si="37"/>
        <v>416520</v>
      </c>
      <c r="J104" s="972">
        <f t="shared" si="35"/>
        <v>45817.2</v>
      </c>
      <c r="K104" s="972">
        <f t="shared" si="38"/>
        <v>13333.333333333334</v>
      </c>
      <c r="L104" s="972">
        <f t="shared" si="39"/>
        <v>23736.946666666663</v>
      </c>
      <c r="M104" s="971">
        <f t="shared" si="40"/>
        <v>346965.85333333333</v>
      </c>
      <c r="N104" s="972">
        <f t="shared" si="41"/>
        <v>54147.6</v>
      </c>
      <c r="O104" s="972">
        <f t="shared" si="42"/>
        <v>99964.799999999988</v>
      </c>
      <c r="P104" s="238">
        <f t="shared" si="43"/>
        <v>1</v>
      </c>
    </row>
    <row r="105" spans="2:16" hidden="1" outlineLevel="1">
      <c r="B105" s="482">
        <f t="shared" si="45"/>
        <v>24</v>
      </c>
      <c r="C105" s="602" t="s">
        <v>2440</v>
      </c>
      <c r="D105" s="608" t="s">
        <v>2442</v>
      </c>
      <c r="E105" s="611" t="s">
        <v>1851</v>
      </c>
      <c r="F105" s="834">
        <v>500000</v>
      </c>
      <c r="G105" s="605">
        <v>16.64</v>
      </c>
      <c r="H105" s="605">
        <f t="shared" si="36"/>
        <v>20000</v>
      </c>
      <c r="I105" s="971">
        <f t="shared" si="37"/>
        <v>332800</v>
      </c>
      <c r="J105" s="972">
        <f t="shared" si="35"/>
        <v>36608</v>
      </c>
      <c r="K105" s="972">
        <f t="shared" si="38"/>
        <v>13333.333333333334</v>
      </c>
      <c r="L105" s="972">
        <f t="shared" si="39"/>
        <v>16285.866666666667</v>
      </c>
      <c r="M105" s="971">
        <f t="shared" si="40"/>
        <v>279906.13333333336</v>
      </c>
      <c r="N105" s="972">
        <f t="shared" si="41"/>
        <v>43264</v>
      </c>
      <c r="O105" s="972">
        <f t="shared" si="42"/>
        <v>79872</v>
      </c>
      <c r="P105" s="238">
        <f t="shared" si="43"/>
        <v>1</v>
      </c>
    </row>
    <row r="106" spans="2:16" hidden="1" outlineLevel="1">
      <c r="B106" s="1032" t="s">
        <v>6</v>
      </c>
      <c r="C106" s="1032"/>
      <c r="D106" s="1032"/>
      <c r="E106" s="1032"/>
      <c r="F106" s="977">
        <f>SUM(F82:F105)</f>
        <v>14560000</v>
      </c>
      <c r="G106" s="977">
        <f t="shared" ref="G106:P106" si="46">SUM(G82:G105)</f>
        <v>490.57</v>
      </c>
      <c r="H106" s="977"/>
      <c r="I106" s="977">
        <f t="shared" si="46"/>
        <v>12612148</v>
      </c>
      <c r="J106" s="975">
        <f>SUM(J82:J105)</f>
        <v>1378536.28</v>
      </c>
      <c r="K106" s="975">
        <f>SUM(K82:K105)</f>
        <v>266666.66666666674</v>
      </c>
      <c r="L106" s="975">
        <f t="shared" si="46"/>
        <v>856694.50533333339</v>
      </c>
      <c r="M106" s="975">
        <f t="shared" si="46"/>
        <v>10376917.214666666</v>
      </c>
      <c r="N106" s="975">
        <f t="shared" si="46"/>
        <v>1683579.2400000002</v>
      </c>
      <c r="O106" s="975">
        <f t="shared" si="46"/>
        <v>3062115.52</v>
      </c>
      <c r="P106" s="621">
        <f t="shared" si="46"/>
        <v>21</v>
      </c>
    </row>
    <row r="107" spans="2:16" hidden="1" outlineLevel="1">
      <c r="I107" s="79"/>
      <c r="J107" s="79"/>
    </row>
    <row r="108" spans="2:16" hidden="1" outlineLevel="1">
      <c r="I108" s="79"/>
      <c r="J108" s="79"/>
      <c r="N108" s="79"/>
    </row>
    <row r="109" spans="2:16" hidden="1" outlineLevel="1">
      <c r="I109" s="23" t="s">
        <v>1504</v>
      </c>
    </row>
    <row r="110" spans="2:16" hidden="1" outlineLevel="1">
      <c r="I110" s="375" t="s">
        <v>1321</v>
      </c>
      <c r="J110" s="375"/>
      <c r="K110" s="375"/>
      <c r="L110" s="375"/>
      <c r="M110" s="622" t="s">
        <v>261</v>
      </c>
      <c r="N110" s="375" t="s">
        <v>262</v>
      </c>
    </row>
    <row r="111" spans="2:16" hidden="1" outlineLevel="1">
      <c r="I111" s="375" t="s">
        <v>1513</v>
      </c>
      <c r="J111" s="375"/>
      <c r="K111" s="375"/>
      <c r="L111" s="623">
        <v>700200</v>
      </c>
      <c r="M111" s="121">
        <f>+N106</f>
        <v>1683579.2400000002</v>
      </c>
      <c r="N111" s="6"/>
    </row>
    <row r="112" spans="2:16" hidden="1" outlineLevel="1">
      <c r="I112" s="375" t="s">
        <v>1513</v>
      </c>
      <c r="J112" s="375"/>
      <c r="K112" s="375"/>
      <c r="L112" s="623">
        <v>310800</v>
      </c>
      <c r="M112" s="6"/>
      <c r="N112" s="121">
        <f>+N106</f>
        <v>1683579.2400000002</v>
      </c>
    </row>
    <row r="113" spans="1:16" hidden="1" outlineLevel="1">
      <c r="I113" s="375" t="s">
        <v>1514</v>
      </c>
      <c r="J113" s="375"/>
      <c r="K113" s="375"/>
      <c r="L113" s="623">
        <v>310800</v>
      </c>
      <c r="M113" s="6"/>
      <c r="N113" s="121">
        <f>+J106</f>
        <v>1378536.28</v>
      </c>
    </row>
    <row r="114" spans="1:16" hidden="1" outlineLevel="1">
      <c r="I114" s="375" t="s">
        <v>1515</v>
      </c>
      <c r="J114" s="375"/>
      <c r="K114" s="375"/>
      <c r="L114" s="623">
        <v>310700</v>
      </c>
      <c r="M114" s="6"/>
      <c r="N114" s="121">
        <f>+L106</f>
        <v>856694.50533333339</v>
      </c>
    </row>
    <row r="115" spans="1:16" hidden="1" outlineLevel="1">
      <c r="I115" s="375" t="s">
        <v>1516</v>
      </c>
      <c r="J115" s="375"/>
      <c r="K115" s="375"/>
      <c r="L115" s="623">
        <v>311000</v>
      </c>
      <c r="M115" s="6"/>
      <c r="N115" s="121">
        <f>+M106</f>
        <v>10376917.214666666</v>
      </c>
    </row>
    <row r="116" spans="1:16" hidden="1" outlineLevel="1">
      <c r="I116" s="375" t="s">
        <v>2391</v>
      </c>
      <c r="J116" s="375"/>
      <c r="K116" s="375"/>
      <c r="L116" s="623">
        <v>700100</v>
      </c>
      <c r="M116" s="614">
        <f>+N115+N114+N113</f>
        <v>12612148</v>
      </c>
      <c r="N116" s="375"/>
      <c r="O116" s="79"/>
    </row>
    <row r="117" spans="1:16" s="23" customFormat="1" collapsed="1">
      <c r="A117" s="23" t="s">
        <v>2292</v>
      </c>
      <c r="B117" s="23" t="s">
        <v>2848</v>
      </c>
      <c r="C117" s="23" t="s">
        <v>2518</v>
      </c>
      <c r="E117" s="23" t="s">
        <v>2518</v>
      </c>
      <c r="F117" s="842">
        <f>+F106+F68+F30</f>
        <v>44440000</v>
      </c>
      <c r="G117" s="842"/>
      <c r="H117" s="842">
        <f t="shared" ref="H117:P117" si="47">+H106+H68+H30</f>
        <v>0</v>
      </c>
      <c r="I117" s="842">
        <f>+I106+I68+I30</f>
        <v>36454180.09109731</v>
      </c>
      <c r="J117" s="842">
        <f t="shared" si="47"/>
        <v>3989711.4290683237</v>
      </c>
      <c r="K117" s="842">
        <f t="shared" si="47"/>
        <v>824716.11428571446</v>
      </c>
      <c r="L117" s="842">
        <f t="shared" si="47"/>
        <v>2421730.7519171843</v>
      </c>
      <c r="M117" s="842">
        <f t="shared" si="47"/>
        <v>30042737.9101118</v>
      </c>
      <c r="N117" s="842">
        <f t="shared" si="47"/>
        <v>4845995.0308902692</v>
      </c>
      <c r="O117" s="842">
        <f t="shared" si="47"/>
        <v>8835706.4599585906</v>
      </c>
      <c r="P117" s="842">
        <f t="shared" si="47"/>
        <v>64</v>
      </c>
    </row>
    <row r="118" spans="1:16" hidden="1" outlineLevel="1">
      <c r="B118" s="595"/>
      <c r="C118" s="595" t="s">
        <v>2392</v>
      </c>
      <c r="D118" s="595"/>
      <c r="E118" s="596"/>
      <c r="F118" s="596"/>
      <c r="G118" s="596"/>
      <c r="H118" s="596"/>
      <c r="I118" s="625"/>
      <c r="J118" s="596"/>
      <c r="K118" s="596"/>
      <c r="L118" s="596"/>
      <c r="M118" s="596"/>
      <c r="N118" s="596"/>
      <c r="O118" s="596"/>
    </row>
    <row r="119" spans="1:16" ht="12.75" hidden="1" customHeight="1" outlineLevel="1">
      <c r="B119" s="1026" t="s">
        <v>1</v>
      </c>
      <c r="C119" s="1028" t="s">
        <v>1334</v>
      </c>
      <c r="D119" s="1028" t="s">
        <v>1335</v>
      </c>
      <c r="E119" s="1030" t="s">
        <v>1477</v>
      </c>
      <c r="F119" s="1028" t="s">
        <v>1478</v>
      </c>
      <c r="G119" s="1030" t="s">
        <v>1479</v>
      </c>
      <c r="H119" s="1030" t="s">
        <v>1480</v>
      </c>
      <c r="I119" s="1021" t="s">
        <v>1481</v>
      </c>
      <c r="J119" s="1019" t="s">
        <v>1482</v>
      </c>
      <c r="K119" s="1017" t="s">
        <v>2012</v>
      </c>
      <c r="L119" s="1018"/>
      <c r="M119" s="1019" t="s">
        <v>1483</v>
      </c>
      <c r="N119" s="1021" t="s">
        <v>1484</v>
      </c>
      <c r="O119" s="1019" t="s">
        <v>1485</v>
      </c>
    </row>
    <row r="120" spans="1:16" hidden="1" outlineLevel="1">
      <c r="B120" s="1027"/>
      <c r="C120" s="1029"/>
      <c r="D120" s="1029"/>
      <c r="E120" s="1031"/>
      <c r="F120" s="1029"/>
      <c r="G120" s="1031"/>
      <c r="H120" s="1031"/>
      <c r="I120" s="1022"/>
      <c r="J120" s="1020"/>
      <c r="K120" s="601" t="s">
        <v>1633</v>
      </c>
      <c r="L120" s="601" t="s">
        <v>5</v>
      </c>
      <c r="M120" s="1020"/>
      <c r="N120" s="1022"/>
      <c r="O120" s="1020"/>
      <c r="P120" s="238" t="s">
        <v>1633</v>
      </c>
    </row>
    <row r="121" spans="1:16" ht="13.5" hidden="1" customHeight="1" outlineLevel="1">
      <c r="B121" s="482">
        <v>1</v>
      </c>
      <c r="C121" s="602" t="s">
        <v>2409</v>
      </c>
      <c r="D121" s="603" t="s">
        <v>2419</v>
      </c>
      <c r="E121" s="603" t="s">
        <v>1486</v>
      </c>
      <c r="F121" s="970">
        <v>1200000</v>
      </c>
      <c r="G121" s="605">
        <v>25</v>
      </c>
      <c r="H121" s="605">
        <f>+F121/25</f>
        <v>48000</v>
      </c>
      <c r="I121" s="971">
        <f>+H121*G121</f>
        <v>1200000</v>
      </c>
      <c r="J121" s="972">
        <f t="shared" ref="J121:J129" si="48">+I121*0.11</f>
        <v>132000</v>
      </c>
      <c r="K121" s="972">
        <f>+IFERROR(INDEX($S$7:$S$13,MATCH((I121-J121),$Q$7:$Q$13,1)),"")</f>
        <v>10000</v>
      </c>
      <c r="L121" s="972">
        <f t="shared" ref="L121:L144" si="49">+IF((I121-J121)*0.1&lt;K121,0,(I121-J121)*0.1-K121)</f>
        <v>96800</v>
      </c>
      <c r="M121" s="971">
        <f>+I121-J121-L121</f>
        <v>971200</v>
      </c>
      <c r="N121" s="972">
        <f>+I121*0.13</f>
        <v>156000</v>
      </c>
      <c r="O121" s="972">
        <f>+J121+N121</f>
        <v>288000</v>
      </c>
      <c r="P121" s="238">
        <f>+IF(L121,1,0)</f>
        <v>1</v>
      </c>
    </row>
    <row r="122" spans="1:16" hidden="1" outlineLevel="1">
      <c r="B122" s="482">
        <f>+B121+1</f>
        <v>2</v>
      </c>
      <c r="C122" s="607" t="s">
        <v>2410</v>
      </c>
      <c r="D122" s="608" t="s">
        <v>2420</v>
      </c>
      <c r="E122" s="608" t="s">
        <v>1487</v>
      </c>
      <c r="F122" s="970">
        <v>1200000</v>
      </c>
      <c r="G122" s="605">
        <v>25</v>
      </c>
      <c r="H122" s="605">
        <f t="shared" ref="H122:H144" si="50">+F122/25</f>
        <v>48000</v>
      </c>
      <c r="I122" s="971">
        <f t="shared" ref="I122:I144" si="51">+H122*G122</f>
        <v>1200000</v>
      </c>
      <c r="J122" s="972">
        <f t="shared" si="48"/>
        <v>132000</v>
      </c>
      <c r="K122" s="972">
        <f t="shared" ref="K122:K144" si="52">+IFERROR(INDEX($S$7:$S$13,MATCH((I122-J122),$Q$7:$Q$13,1)),"")</f>
        <v>10000</v>
      </c>
      <c r="L122" s="972">
        <f t="shared" si="49"/>
        <v>96800</v>
      </c>
      <c r="M122" s="971">
        <f t="shared" ref="M122:M144" si="53">+I122-J122-L122</f>
        <v>971200</v>
      </c>
      <c r="N122" s="972">
        <f>+I122*0.13</f>
        <v>156000</v>
      </c>
      <c r="O122" s="972">
        <f t="shared" ref="O122:O144" si="54">+J122+N122</f>
        <v>288000</v>
      </c>
      <c r="P122" s="238">
        <f t="shared" ref="P122:P144" si="55">+IF(L122,1,0)</f>
        <v>1</v>
      </c>
    </row>
    <row r="123" spans="1:16" hidden="1" outlineLevel="1">
      <c r="B123" s="482">
        <f t="shared" ref="B123:B144" si="56">+B122+1</f>
        <v>3</v>
      </c>
      <c r="C123" s="609" t="s">
        <v>1488</v>
      </c>
      <c r="D123" s="608" t="s">
        <v>2421</v>
      </c>
      <c r="E123" s="608" t="s">
        <v>1489</v>
      </c>
      <c r="F123" s="973">
        <v>1400000</v>
      </c>
      <c r="G123" s="605">
        <v>25</v>
      </c>
      <c r="H123" s="605">
        <f t="shared" si="50"/>
        <v>56000</v>
      </c>
      <c r="I123" s="971">
        <f t="shared" si="51"/>
        <v>1400000</v>
      </c>
      <c r="J123" s="972">
        <f t="shared" si="48"/>
        <v>154000</v>
      </c>
      <c r="K123" s="972">
        <f t="shared" si="52"/>
        <v>10000</v>
      </c>
      <c r="L123" s="972">
        <f t="shared" si="49"/>
        <v>114600</v>
      </c>
      <c r="M123" s="971">
        <f t="shared" si="53"/>
        <v>1131400</v>
      </c>
      <c r="N123" s="972">
        <f>+I123*0.13</f>
        <v>182000</v>
      </c>
      <c r="O123" s="972">
        <f t="shared" si="54"/>
        <v>336000</v>
      </c>
      <c r="P123" s="238">
        <f t="shared" si="55"/>
        <v>1</v>
      </c>
    </row>
    <row r="124" spans="1:16" hidden="1" outlineLevel="1">
      <c r="B124" s="482">
        <f t="shared" si="56"/>
        <v>4</v>
      </c>
      <c r="C124" s="607" t="s">
        <v>2411</v>
      </c>
      <c r="D124" s="608" t="s">
        <v>2422</v>
      </c>
      <c r="E124" s="611" t="s">
        <v>1490</v>
      </c>
      <c r="F124" s="973">
        <v>240000</v>
      </c>
      <c r="G124" s="605">
        <v>0</v>
      </c>
      <c r="H124" s="605">
        <f t="shared" si="50"/>
        <v>9600</v>
      </c>
      <c r="I124" s="971">
        <f t="shared" si="51"/>
        <v>0</v>
      </c>
      <c r="J124" s="972">
        <f t="shared" si="48"/>
        <v>0</v>
      </c>
      <c r="K124" s="972">
        <v>0</v>
      </c>
      <c r="L124" s="972">
        <f t="shared" si="49"/>
        <v>0</v>
      </c>
      <c r="M124" s="971">
        <f t="shared" si="53"/>
        <v>0</v>
      </c>
      <c r="N124" s="972">
        <f>+F124*0.13</f>
        <v>31200</v>
      </c>
      <c r="O124" s="972">
        <f t="shared" si="54"/>
        <v>31200</v>
      </c>
      <c r="P124" s="238">
        <f t="shared" si="55"/>
        <v>0</v>
      </c>
    </row>
    <row r="125" spans="1:16" hidden="1" outlineLevel="1">
      <c r="B125" s="482">
        <f t="shared" si="56"/>
        <v>5</v>
      </c>
      <c r="C125" s="607" t="s">
        <v>2412</v>
      </c>
      <c r="D125" s="608" t="s">
        <v>2423</v>
      </c>
      <c r="E125" s="608" t="s">
        <v>1491</v>
      </c>
      <c r="F125" s="973">
        <v>900000</v>
      </c>
      <c r="G125" s="605">
        <v>25</v>
      </c>
      <c r="H125" s="605">
        <f t="shared" si="50"/>
        <v>36000</v>
      </c>
      <c r="I125" s="971">
        <f t="shared" si="51"/>
        <v>900000</v>
      </c>
      <c r="J125" s="972">
        <f t="shared" si="48"/>
        <v>99000</v>
      </c>
      <c r="K125" s="972">
        <f t="shared" si="52"/>
        <v>11666.666666666666</v>
      </c>
      <c r="L125" s="972">
        <f t="shared" si="49"/>
        <v>68433.333333333328</v>
      </c>
      <c r="M125" s="971">
        <f t="shared" si="53"/>
        <v>732566.66666666663</v>
      </c>
      <c r="N125" s="972">
        <f>+I125*0.13</f>
        <v>117000</v>
      </c>
      <c r="O125" s="972">
        <f t="shared" si="54"/>
        <v>216000</v>
      </c>
      <c r="P125" s="238">
        <f t="shared" si="55"/>
        <v>1</v>
      </c>
    </row>
    <row r="126" spans="1:16" hidden="1" outlineLevel="1">
      <c r="B126" s="482">
        <f t="shared" si="56"/>
        <v>6</v>
      </c>
      <c r="C126" s="607" t="s">
        <v>2413</v>
      </c>
      <c r="D126" s="608" t="s">
        <v>2424</v>
      </c>
      <c r="E126" s="608" t="s">
        <v>2417</v>
      </c>
      <c r="F126" s="973">
        <v>1000000</v>
      </c>
      <c r="G126" s="605">
        <v>25</v>
      </c>
      <c r="H126" s="605">
        <f t="shared" si="50"/>
        <v>40000</v>
      </c>
      <c r="I126" s="971">
        <f t="shared" si="51"/>
        <v>1000000</v>
      </c>
      <c r="J126" s="972">
        <f t="shared" si="48"/>
        <v>110000</v>
      </c>
      <c r="K126" s="972">
        <f t="shared" si="52"/>
        <v>11666.666666666666</v>
      </c>
      <c r="L126" s="972">
        <f t="shared" si="49"/>
        <v>77333.333333333328</v>
      </c>
      <c r="M126" s="971">
        <f t="shared" si="53"/>
        <v>812666.66666666663</v>
      </c>
      <c r="N126" s="972">
        <f>+I126*0.13</f>
        <v>130000</v>
      </c>
      <c r="O126" s="972">
        <f t="shared" si="54"/>
        <v>240000</v>
      </c>
      <c r="P126" s="238">
        <f t="shared" si="55"/>
        <v>1</v>
      </c>
    </row>
    <row r="127" spans="1:16" hidden="1" outlineLevel="1">
      <c r="B127" s="482">
        <f t="shared" si="56"/>
        <v>7</v>
      </c>
      <c r="C127" s="607" t="s">
        <v>2414</v>
      </c>
      <c r="D127" s="611" t="s">
        <v>2424</v>
      </c>
      <c r="E127" s="611" t="s">
        <v>1859</v>
      </c>
      <c r="F127" s="974">
        <v>500000</v>
      </c>
      <c r="G127" s="605">
        <v>25.77</v>
      </c>
      <c r="H127" s="605">
        <f t="shared" si="50"/>
        <v>20000</v>
      </c>
      <c r="I127" s="971">
        <f t="shared" si="51"/>
        <v>515400</v>
      </c>
      <c r="J127" s="972">
        <f t="shared" si="48"/>
        <v>56694</v>
      </c>
      <c r="K127" s="972">
        <f t="shared" si="52"/>
        <v>13333.333333333334</v>
      </c>
      <c r="L127" s="972">
        <f t="shared" si="49"/>
        <v>32537.26666666667</v>
      </c>
      <c r="M127" s="971">
        <f t="shared" si="53"/>
        <v>426168.73333333334</v>
      </c>
      <c r="N127" s="972">
        <f>+I127*0.13</f>
        <v>67002</v>
      </c>
      <c r="O127" s="972">
        <f t="shared" si="54"/>
        <v>123696</v>
      </c>
      <c r="P127" s="238">
        <f t="shared" si="55"/>
        <v>1</v>
      </c>
    </row>
    <row r="128" spans="1:16" hidden="1" outlineLevel="1">
      <c r="B128" s="482">
        <f t="shared" si="56"/>
        <v>8</v>
      </c>
      <c r="C128" s="607" t="s">
        <v>2485</v>
      </c>
      <c r="D128" s="608" t="s">
        <v>2424</v>
      </c>
      <c r="E128" s="611" t="s">
        <v>2418</v>
      </c>
      <c r="F128" s="833">
        <v>240000</v>
      </c>
      <c r="G128" s="605">
        <v>0</v>
      </c>
      <c r="H128" s="605">
        <f t="shared" si="50"/>
        <v>9600</v>
      </c>
      <c r="I128" s="971">
        <f t="shared" si="51"/>
        <v>0</v>
      </c>
      <c r="J128" s="972">
        <f t="shared" si="48"/>
        <v>0</v>
      </c>
      <c r="K128" s="972">
        <v>0</v>
      </c>
      <c r="L128" s="972">
        <f t="shared" si="49"/>
        <v>0</v>
      </c>
      <c r="M128" s="971">
        <f t="shared" si="53"/>
        <v>0</v>
      </c>
      <c r="N128" s="972">
        <f>+F128*0.09</f>
        <v>21600</v>
      </c>
      <c r="O128" s="972">
        <f t="shared" si="54"/>
        <v>21600</v>
      </c>
      <c r="P128" s="238">
        <f t="shared" si="55"/>
        <v>0</v>
      </c>
    </row>
    <row r="129" spans="2:16" hidden="1" outlineLevel="1">
      <c r="B129" s="482">
        <f t="shared" si="56"/>
        <v>9</v>
      </c>
      <c r="C129" s="844" t="s">
        <v>2415</v>
      </c>
      <c r="D129" s="614" t="s">
        <v>2425</v>
      </c>
      <c r="E129" s="614" t="s">
        <v>1860</v>
      </c>
      <c r="F129" s="834">
        <v>480000</v>
      </c>
      <c r="G129" s="605">
        <v>22.08</v>
      </c>
      <c r="H129" s="605">
        <f t="shared" si="50"/>
        <v>19200</v>
      </c>
      <c r="I129" s="971">
        <f t="shared" si="51"/>
        <v>423935.99999999994</v>
      </c>
      <c r="J129" s="972">
        <f t="shared" si="48"/>
        <v>46632.959999999992</v>
      </c>
      <c r="K129" s="972">
        <f t="shared" si="52"/>
        <v>13333.333333333334</v>
      </c>
      <c r="L129" s="972">
        <f t="shared" si="49"/>
        <v>24396.970666666661</v>
      </c>
      <c r="M129" s="971">
        <f t="shared" si="53"/>
        <v>352906.06933333329</v>
      </c>
      <c r="N129" s="972">
        <f>+I129*0.13</f>
        <v>55111.679999999993</v>
      </c>
      <c r="O129" s="972">
        <f t="shared" si="54"/>
        <v>101744.63999999998</v>
      </c>
      <c r="P129" s="238">
        <f t="shared" si="55"/>
        <v>1</v>
      </c>
    </row>
    <row r="130" spans="2:16" hidden="1" outlineLevel="1">
      <c r="B130" s="482">
        <f t="shared" si="56"/>
        <v>10</v>
      </c>
      <c r="C130" s="607" t="s">
        <v>2416</v>
      </c>
      <c r="D130" s="613" t="s">
        <v>2426</v>
      </c>
      <c r="E130" s="611" t="s">
        <v>1492</v>
      </c>
      <c r="F130" s="833">
        <v>400000</v>
      </c>
      <c r="G130" s="605">
        <v>25</v>
      </c>
      <c r="H130" s="605">
        <f t="shared" si="50"/>
        <v>16000</v>
      </c>
      <c r="I130" s="971">
        <f t="shared" si="51"/>
        <v>400000</v>
      </c>
      <c r="J130" s="972">
        <f>+I130*0.088</f>
        <v>35200</v>
      </c>
      <c r="K130" s="972">
        <f t="shared" si="52"/>
        <v>13333.333333333334</v>
      </c>
      <c r="L130" s="972">
        <f t="shared" si="49"/>
        <v>23146.666666666664</v>
      </c>
      <c r="M130" s="971">
        <f t="shared" si="53"/>
        <v>341653.33333333331</v>
      </c>
      <c r="N130" s="972">
        <f>+I130*0.108</f>
        <v>43200</v>
      </c>
      <c r="O130" s="972">
        <f t="shared" si="54"/>
        <v>78400</v>
      </c>
      <c r="P130" s="238">
        <f t="shared" si="55"/>
        <v>1</v>
      </c>
    </row>
    <row r="131" spans="2:16" hidden="1" outlineLevel="1">
      <c r="B131" s="482">
        <f t="shared" si="56"/>
        <v>11</v>
      </c>
      <c r="C131" s="607" t="s">
        <v>2427</v>
      </c>
      <c r="D131" s="611" t="s">
        <v>2441</v>
      </c>
      <c r="E131" s="611" t="s">
        <v>1493</v>
      </c>
      <c r="F131" s="833">
        <v>450000</v>
      </c>
      <c r="G131" s="605">
        <v>24.83</v>
      </c>
      <c r="H131" s="605">
        <f t="shared" si="50"/>
        <v>18000</v>
      </c>
      <c r="I131" s="971">
        <f t="shared" si="51"/>
        <v>446939.99999999994</v>
      </c>
      <c r="J131" s="972">
        <f t="shared" ref="J131:J144" si="57">+I131*0.11</f>
        <v>49163.399999999994</v>
      </c>
      <c r="K131" s="972">
        <f t="shared" si="52"/>
        <v>13333.333333333334</v>
      </c>
      <c r="L131" s="972">
        <f t="shared" si="49"/>
        <v>26444.326666666668</v>
      </c>
      <c r="M131" s="971">
        <f t="shared" si="53"/>
        <v>371332.27333333332</v>
      </c>
      <c r="N131" s="972">
        <f t="shared" ref="N131:N144" si="58">+I131*0.13</f>
        <v>58102.2</v>
      </c>
      <c r="O131" s="972">
        <f t="shared" si="54"/>
        <v>107265.59999999999</v>
      </c>
      <c r="P131" s="238">
        <f t="shared" si="55"/>
        <v>1</v>
      </c>
    </row>
    <row r="132" spans="2:16" hidden="1" outlineLevel="1">
      <c r="B132" s="482">
        <f t="shared" si="56"/>
        <v>12</v>
      </c>
      <c r="C132" s="607" t="s">
        <v>2428</v>
      </c>
      <c r="D132" s="613" t="s">
        <v>2442</v>
      </c>
      <c r="E132" s="622" t="s">
        <v>1494</v>
      </c>
      <c r="F132" s="833">
        <v>450000</v>
      </c>
      <c r="G132" s="605">
        <v>25</v>
      </c>
      <c r="H132" s="605">
        <f t="shared" si="50"/>
        <v>18000</v>
      </c>
      <c r="I132" s="971">
        <f t="shared" si="51"/>
        <v>450000</v>
      </c>
      <c r="J132" s="972">
        <f t="shared" si="57"/>
        <v>49500</v>
      </c>
      <c r="K132" s="972">
        <f t="shared" si="52"/>
        <v>13333.333333333334</v>
      </c>
      <c r="L132" s="972">
        <f t="shared" si="49"/>
        <v>26716.666666666664</v>
      </c>
      <c r="M132" s="971">
        <f t="shared" si="53"/>
        <v>373783.33333333331</v>
      </c>
      <c r="N132" s="972">
        <f t="shared" si="58"/>
        <v>58500</v>
      </c>
      <c r="O132" s="972">
        <f t="shared" si="54"/>
        <v>108000</v>
      </c>
      <c r="P132" s="238">
        <f t="shared" si="55"/>
        <v>1</v>
      </c>
    </row>
    <row r="133" spans="2:16" hidden="1" outlineLevel="1">
      <c r="B133" s="482">
        <f t="shared" si="56"/>
        <v>13</v>
      </c>
      <c r="C133" s="616" t="s">
        <v>2429</v>
      </c>
      <c r="D133" s="613" t="s">
        <v>2442</v>
      </c>
      <c r="E133" s="451" t="s">
        <v>1861</v>
      </c>
      <c r="F133" s="833">
        <v>450000</v>
      </c>
      <c r="G133" s="605">
        <v>21</v>
      </c>
      <c r="H133" s="605">
        <f t="shared" si="50"/>
        <v>18000</v>
      </c>
      <c r="I133" s="971">
        <f t="shared" si="51"/>
        <v>378000</v>
      </c>
      <c r="J133" s="972">
        <f t="shared" si="57"/>
        <v>41580</v>
      </c>
      <c r="K133" s="972">
        <f t="shared" si="52"/>
        <v>13333.333333333334</v>
      </c>
      <c r="L133" s="972">
        <f t="shared" si="49"/>
        <v>20308.666666666664</v>
      </c>
      <c r="M133" s="971">
        <f t="shared" si="53"/>
        <v>316111.33333333331</v>
      </c>
      <c r="N133" s="972">
        <f t="shared" si="58"/>
        <v>49140</v>
      </c>
      <c r="O133" s="972">
        <f t="shared" si="54"/>
        <v>90720</v>
      </c>
      <c r="P133" s="238">
        <f t="shared" si="55"/>
        <v>1</v>
      </c>
    </row>
    <row r="134" spans="2:16" hidden="1" outlineLevel="1">
      <c r="B134" s="482">
        <f t="shared" si="56"/>
        <v>14</v>
      </c>
      <c r="C134" s="616" t="s">
        <v>2430</v>
      </c>
      <c r="D134" s="613" t="s">
        <v>2442</v>
      </c>
      <c r="E134" s="617" t="s">
        <v>1495</v>
      </c>
      <c r="F134" s="833">
        <v>480000</v>
      </c>
      <c r="G134" s="605">
        <v>24.55</v>
      </c>
      <c r="H134" s="605">
        <f t="shared" si="50"/>
        <v>19200</v>
      </c>
      <c r="I134" s="971">
        <f t="shared" si="51"/>
        <v>471360</v>
      </c>
      <c r="J134" s="972">
        <f t="shared" si="57"/>
        <v>51849.599999999999</v>
      </c>
      <c r="K134" s="972">
        <f t="shared" si="52"/>
        <v>13333.333333333334</v>
      </c>
      <c r="L134" s="972">
        <f t="shared" si="49"/>
        <v>28617.706666666672</v>
      </c>
      <c r="M134" s="971">
        <f t="shared" si="53"/>
        <v>390892.69333333336</v>
      </c>
      <c r="N134" s="972">
        <f t="shared" si="58"/>
        <v>61276.800000000003</v>
      </c>
      <c r="O134" s="972">
        <f t="shared" si="54"/>
        <v>113126.39999999999</v>
      </c>
      <c r="P134" s="238">
        <f t="shared" si="55"/>
        <v>1</v>
      </c>
    </row>
    <row r="135" spans="2:16" hidden="1" outlineLevel="1">
      <c r="B135" s="482">
        <f t="shared" si="56"/>
        <v>15</v>
      </c>
      <c r="C135" s="602" t="s">
        <v>2431</v>
      </c>
      <c r="D135" s="612" t="s">
        <v>2442</v>
      </c>
      <c r="E135" s="611" t="s">
        <v>1496</v>
      </c>
      <c r="F135" s="834">
        <v>800000</v>
      </c>
      <c r="G135" s="605">
        <v>20</v>
      </c>
      <c r="H135" s="605">
        <f t="shared" si="50"/>
        <v>32000</v>
      </c>
      <c r="I135" s="971">
        <f t="shared" si="51"/>
        <v>640000</v>
      </c>
      <c r="J135" s="972">
        <f t="shared" si="57"/>
        <v>70400</v>
      </c>
      <c r="K135" s="972">
        <f t="shared" si="52"/>
        <v>11666.666666666666</v>
      </c>
      <c r="L135" s="972">
        <f t="shared" si="49"/>
        <v>45293.333333333336</v>
      </c>
      <c r="M135" s="971">
        <f t="shared" si="53"/>
        <v>524306.66666666663</v>
      </c>
      <c r="N135" s="972">
        <f t="shared" si="58"/>
        <v>83200</v>
      </c>
      <c r="O135" s="972">
        <f t="shared" si="54"/>
        <v>153600</v>
      </c>
      <c r="P135" s="238">
        <f t="shared" si="55"/>
        <v>1</v>
      </c>
    </row>
    <row r="136" spans="2:16" hidden="1" outlineLevel="1">
      <c r="B136" s="482">
        <f t="shared" si="56"/>
        <v>16</v>
      </c>
      <c r="C136" s="602" t="s">
        <v>2432</v>
      </c>
      <c r="D136" s="612" t="s">
        <v>2442</v>
      </c>
      <c r="E136" s="620" t="s">
        <v>1497</v>
      </c>
      <c r="F136" s="834">
        <v>480000</v>
      </c>
      <c r="G136" s="605">
        <v>22.71</v>
      </c>
      <c r="H136" s="605">
        <f t="shared" si="50"/>
        <v>19200</v>
      </c>
      <c r="I136" s="971">
        <f t="shared" si="51"/>
        <v>436032</v>
      </c>
      <c r="J136" s="972">
        <f t="shared" si="57"/>
        <v>47963.519999999997</v>
      </c>
      <c r="K136" s="972">
        <f t="shared" si="52"/>
        <v>13333.333333333334</v>
      </c>
      <c r="L136" s="972">
        <f t="shared" si="49"/>
        <v>25473.514666666662</v>
      </c>
      <c r="M136" s="971">
        <f t="shared" si="53"/>
        <v>362594.9653333333</v>
      </c>
      <c r="N136" s="972">
        <f t="shared" si="58"/>
        <v>56684.160000000003</v>
      </c>
      <c r="O136" s="972">
        <f t="shared" si="54"/>
        <v>104647.67999999999</v>
      </c>
      <c r="P136" s="238">
        <f t="shared" si="55"/>
        <v>1</v>
      </c>
    </row>
    <row r="137" spans="2:16" hidden="1" outlineLevel="1">
      <c r="B137" s="482">
        <f t="shared" si="56"/>
        <v>17</v>
      </c>
      <c r="C137" s="602" t="s">
        <v>2433</v>
      </c>
      <c r="D137" s="608" t="s">
        <v>2442</v>
      </c>
      <c r="E137" s="619" t="s">
        <v>1498</v>
      </c>
      <c r="F137" s="834">
        <v>480000</v>
      </c>
      <c r="G137" s="605">
        <v>25.28</v>
      </c>
      <c r="H137" s="605">
        <f t="shared" si="50"/>
        <v>19200</v>
      </c>
      <c r="I137" s="971">
        <f t="shared" si="51"/>
        <v>485376</v>
      </c>
      <c r="J137" s="972">
        <f t="shared" si="57"/>
        <v>53391.360000000001</v>
      </c>
      <c r="K137" s="972">
        <f t="shared" si="52"/>
        <v>13333.333333333334</v>
      </c>
      <c r="L137" s="972">
        <f t="shared" si="49"/>
        <v>29865.130666666671</v>
      </c>
      <c r="M137" s="971">
        <f t="shared" si="53"/>
        <v>402119.50933333335</v>
      </c>
      <c r="N137" s="972">
        <f t="shared" si="58"/>
        <v>63098.880000000005</v>
      </c>
      <c r="O137" s="972">
        <f t="shared" si="54"/>
        <v>116490.24000000001</v>
      </c>
      <c r="P137" s="238">
        <f t="shared" si="55"/>
        <v>1</v>
      </c>
    </row>
    <row r="138" spans="2:16" hidden="1" outlineLevel="1">
      <c r="B138" s="482">
        <f t="shared" si="56"/>
        <v>18</v>
      </c>
      <c r="C138" s="602" t="s">
        <v>2434</v>
      </c>
      <c r="D138" s="608" t="s">
        <v>2442</v>
      </c>
      <c r="E138" s="451" t="s">
        <v>1499</v>
      </c>
      <c r="F138" s="834">
        <v>600000</v>
      </c>
      <c r="G138" s="605">
        <f>552000/24000</f>
        <v>23</v>
      </c>
      <c r="H138" s="605">
        <f t="shared" si="50"/>
        <v>24000</v>
      </c>
      <c r="I138" s="971">
        <f t="shared" si="51"/>
        <v>552000</v>
      </c>
      <c r="J138" s="972">
        <f t="shared" si="57"/>
        <v>60720</v>
      </c>
      <c r="K138" s="972">
        <f t="shared" si="52"/>
        <v>13333.333333333334</v>
      </c>
      <c r="L138" s="972">
        <f t="shared" si="49"/>
        <v>35794.666666666664</v>
      </c>
      <c r="M138" s="971">
        <f t="shared" si="53"/>
        <v>455485.33333333331</v>
      </c>
      <c r="N138" s="972">
        <f t="shared" si="58"/>
        <v>71760</v>
      </c>
      <c r="O138" s="972">
        <f t="shared" si="54"/>
        <v>132480</v>
      </c>
      <c r="P138" s="238">
        <f t="shared" si="55"/>
        <v>1</v>
      </c>
    </row>
    <row r="139" spans="2:16" hidden="1" outlineLevel="1">
      <c r="B139" s="482">
        <f t="shared" si="56"/>
        <v>19</v>
      </c>
      <c r="C139" s="616" t="s">
        <v>2435</v>
      </c>
      <c r="D139" s="608" t="s">
        <v>2443</v>
      </c>
      <c r="E139" s="619" t="s">
        <v>1500</v>
      </c>
      <c r="F139" s="834">
        <v>480000</v>
      </c>
      <c r="G139" s="605">
        <v>24.48</v>
      </c>
      <c r="H139" s="605">
        <f t="shared" si="50"/>
        <v>19200</v>
      </c>
      <c r="I139" s="971">
        <f t="shared" si="51"/>
        <v>470016</v>
      </c>
      <c r="J139" s="972">
        <f t="shared" si="57"/>
        <v>51701.760000000002</v>
      </c>
      <c r="K139" s="972">
        <f t="shared" si="52"/>
        <v>13333.333333333334</v>
      </c>
      <c r="L139" s="972">
        <f t="shared" si="49"/>
        <v>28498.090666666663</v>
      </c>
      <c r="M139" s="971">
        <f t="shared" si="53"/>
        <v>389816.14933333331</v>
      </c>
      <c r="N139" s="972">
        <f t="shared" si="58"/>
        <v>61102.080000000002</v>
      </c>
      <c r="O139" s="972">
        <f t="shared" si="54"/>
        <v>112803.84</v>
      </c>
      <c r="P139" s="238">
        <f t="shared" si="55"/>
        <v>1</v>
      </c>
    </row>
    <row r="140" spans="2:16" hidden="1" outlineLevel="1">
      <c r="B140" s="482">
        <f t="shared" si="56"/>
        <v>20</v>
      </c>
      <c r="C140" s="602" t="s">
        <v>2436</v>
      </c>
      <c r="D140" s="608" t="s">
        <v>2442</v>
      </c>
      <c r="E140" s="375" t="s">
        <v>1501</v>
      </c>
      <c r="F140" s="834">
        <v>450000</v>
      </c>
      <c r="G140" s="605">
        <v>23.6</v>
      </c>
      <c r="H140" s="605">
        <f t="shared" si="50"/>
        <v>18000</v>
      </c>
      <c r="I140" s="971">
        <f t="shared" si="51"/>
        <v>424800</v>
      </c>
      <c r="J140" s="972">
        <f t="shared" si="57"/>
        <v>46728</v>
      </c>
      <c r="K140" s="972">
        <f t="shared" si="52"/>
        <v>13333.333333333334</v>
      </c>
      <c r="L140" s="972">
        <f t="shared" si="49"/>
        <v>24473.866666666669</v>
      </c>
      <c r="M140" s="971">
        <f t="shared" si="53"/>
        <v>353598.1333333333</v>
      </c>
      <c r="N140" s="972">
        <f t="shared" si="58"/>
        <v>55224</v>
      </c>
      <c r="O140" s="972">
        <f t="shared" si="54"/>
        <v>101952</v>
      </c>
      <c r="P140" s="238">
        <f t="shared" si="55"/>
        <v>1</v>
      </c>
    </row>
    <row r="141" spans="2:16" hidden="1" outlineLevel="1">
      <c r="B141" s="482">
        <f t="shared" si="56"/>
        <v>21</v>
      </c>
      <c r="C141" s="618" t="s">
        <v>2437</v>
      </c>
      <c r="D141" s="608" t="s">
        <v>2442</v>
      </c>
      <c r="E141" s="375" t="s">
        <v>1521</v>
      </c>
      <c r="F141" s="834">
        <v>450000</v>
      </c>
      <c r="G141" s="605">
        <v>23.76</v>
      </c>
      <c r="H141" s="605">
        <f t="shared" si="50"/>
        <v>18000</v>
      </c>
      <c r="I141" s="971">
        <f t="shared" si="51"/>
        <v>427680</v>
      </c>
      <c r="J141" s="972">
        <f t="shared" si="57"/>
        <v>47044.800000000003</v>
      </c>
      <c r="K141" s="972">
        <f t="shared" si="52"/>
        <v>13333.333333333334</v>
      </c>
      <c r="L141" s="972">
        <f t="shared" si="49"/>
        <v>24730.186666666668</v>
      </c>
      <c r="M141" s="971">
        <f t="shared" si="53"/>
        <v>355905.01333333337</v>
      </c>
      <c r="N141" s="972">
        <f t="shared" si="58"/>
        <v>55598.400000000001</v>
      </c>
      <c r="O141" s="972">
        <f t="shared" si="54"/>
        <v>102643.20000000001</v>
      </c>
      <c r="P141" s="238">
        <f t="shared" si="55"/>
        <v>1</v>
      </c>
    </row>
    <row r="142" spans="2:16" hidden="1" outlineLevel="1">
      <c r="B142" s="482">
        <f t="shared" si="56"/>
        <v>22</v>
      </c>
      <c r="C142" s="618" t="s">
        <v>2438</v>
      </c>
      <c r="D142" s="608" t="s">
        <v>2442</v>
      </c>
      <c r="E142" s="375" t="s">
        <v>1502</v>
      </c>
      <c r="F142" s="834">
        <v>480000</v>
      </c>
      <c r="G142" s="605">
        <v>21.4</v>
      </c>
      <c r="H142" s="605">
        <f t="shared" si="50"/>
        <v>19200</v>
      </c>
      <c r="I142" s="971">
        <f t="shared" si="51"/>
        <v>410880</v>
      </c>
      <c r="J142" s="972">
        <f t="shared" si="57"/>
        <v>45196.800000000003</v>
      </c>
      <c r="K142" s="972">
        <f t="shared" si="52"/>
        <v>13333.333333333334</v>
      </c>
      <c r="L142" s="972">
        <f t="shared" si="49"/>
        <v>23234.986666666664</v>
      </c>
      <c r="M142" s="971">
        <f t="shared" si="53"/>
        <v>342448.21333333338</v>
      </c>
      <c r="N142" s="972">
        <f t="shared" si="58"/>
        <v>53414.400000000001</v>
      </c>
      <c r="O142" s="972">
        <f t="shared" si="54"/>
        <v>98611.200000000012</v>
      </c>
      <c r="P142" s="238">
        <f t="shared" si="55"/>
        <v>1</v>
      </c>
    </row>
    <row r="143" spans="2:16" hidden="1" outlineLevel="1">
      <c r="B143" s="482">
        <f t="shared" si="56"/>
        <v>23</v>
      </c>
      <c r="C143" s="616" t="s">
        <v>2439</v>
      </c>
      <c r="D143" s="608" t="s">
        <v>2442</v>
      </c>
      <c r="E143" s="611" t="s">
        <v>1503</v>
      </c>
      <c r="F143" s="834">
        <v>450000</v>
      </c>
      <c r="G143" s="605">
        <v>20.51</v>
      </c>
      <c r="H143" s="605">
        <f t="shared" si="50"/>
        <v>18000</v>
      </c>
      <c r="I143" s="971">
        <f t="shared" si="51"/>
        <v>369180</v>
      </c>
      <c r="J143" s="972">
        <f t="shared" si="57"/>
        <v>40609.800000000003</v>
      </c>
      <c r="K143" s="972">
        <f t="shared" si="52"/>
        <v>13333.333333333334</v>
      </c>
      <c r="L143" s="972">
        <f t="shared" si="49"/>
        <v>19523.686666666668</v>
      </c>
      <c r="M143" s="971">
        <f t="shared" si="53"/>
        <v>309046.51333333337</v>
      </c>
      <c r="N143" s="972">
        <f t="shared" si="58"/>
        <v>47993.4</v>
      </c>
      <c r="O143" s="972">
        <f t="shared" si="54"/>
        <v>88603.200000000012</v>
      </c>
      <c r="P143" s="238">
        <f t="shared" si="55"/>
        <v>1</v>
      </c>
    </row>
    <row r="144" spans="2:16" hidden="1" outlineLevel="1">
      <c r="B144" s="482">
        <f t="shared" si="56"/>
        <v>24</v>
      </c>
      <c r="C144" s="602" t="s">
        <v>2440</v>
      </c>
      <c r="D144" s="608" t="s">
        <v>2442</v>
      </c>
      <c r="E144" s="611" t="s">
        <v>1851</v>
      </c>
      <c r="F144" s="834">
        <v>500000</v>
      </c>
      <c r="G144" s="605">
        <v>12.97</v>
      </c>
      <c r="H144" s="605">
        <f t="shared" si="50"/>
        <v>20000</v>
      </c>
      <c r="I144" s="971">
        <f t="shared" si="51"/>
        <v>259400</v>
      </c>
      <c r="J144" s="972">
        <f t="shared" si="57"/>
        <v>28534</v>
      </c>
      <c r="K144" s="972">
        <f t="shared" si="52"/>
        <v>13333.333333333334</v>
      </c>
      <c r="L144" s="972">
        <f t="shared" si="49"/>
        <v>9753.2666666666682</v>
      </c>
      <c r="M144" s="971">
        <f t="shared" si="53"/>
        <v>221112.73333333334</v>
      </c>
      <c r="N144" s="972">
        <f t="shared" si="58"/>
        <v>33722</v>
      </c>
      <c r="O144" s="972">
        <f t="shared" si="54"/>
        <v>62256</v>
      </c>
      <c r="P144" s="238">
        <f t="shared" si="55"/>
        <v>1</v>
      </c>
    </row>
    <row r="145" spans="1:16" hidden="1" outlineLevel="1">
      <c r="B145" s="1032" t="s">
        <v>6</v>
      </c>
      <c r="C145" s="1032"/>
      <c r="D145" s="1032"/>
      <c r="E145" s="1032"/>
      <c r="F145" s="977">
        <f t="shared" ref="F145:P145" si="59">SUM(F121:F144)</f>
        <v>14560000</v>
      </c>
      <c r="G145" s="977">
        <f t="shared" si="59"/>
        <v>510.94000000000005</v>
      </c>
      <c r="H145" s="977">
        <f t="shared" si="59"/>
        <v>582400</v>
      </c>
      <c r="I145" s="977">
        <f t="shared" si="59"/>
        <v>13261000</v>
      </c>
      <c r="J145" s="975">
        <f t="shared" si="59"/>
        <v>1449910.0000000002</v>
      </c>
      <c r="K145" s="975">
        <f t="shared" si="59"/>
        <v>278333.33333333337</v>
      </c>
      <c r="L145" s="975">
        <f t="shared" si="59"/>
        <v>902775.66666666651</v>
      </c>
      <c r="M145" s="975">
        <f t="shared" si="59"/>
        <v>10908314.333333332</v>
      </c>
      <c r="N145" s="975">
        <f t="shared" si="59"/>
        <v>1767929.9999999995</v>
      </c>
      <c r="O145" s="975">
        <f t="shared" si="59"/>
        <v>3217840.0000000009</v>
      </c>
      <c r="P145" s="621">
        <f t="shared" si="59"/>
        <v>22</v>
      </c>
    </row>
    <row r="146" spans="1:16" hidden="1" outlineLevel="1">
      <c r="I146" s="79">
        <f>13741000-I145-480000</f>
        <v>0</v>
      </c>
      <c r="J146" s="79">
        <f>1449910-J145</f>
        <v>0</v>
      </c>
      <c r="N146" s="79">
        <f>1767930-N145</f>
        <v>0</v>
      </c>
    </row>
    <row r="147" spans="1:16" hidden="1" outlineLevel="1">
      <c r="I147" s="23" t="s">
        <v>1504</v>
      </c>
    </row>
    <row r="148" spans="1:16" hidden="1" outlineLevel="1">
      <c r="I148" s="375" t="s">
        <v>1321</v>
      </c>
      <c r="J148" s="375"/>
      <c r="K148" s="375"/>
      <c r="L148" s="375"/>
      <c r="M148" s="622" t="s">
        <v>261</v>
      </c>
      <c r="N148" s="375" t="s">
        <v>262</v>
      </c>
    </row>
    <row r="149" spans="1:16" hidden="1" outlineLevel="1">
      <c r="I149" s="375" t="s">
        <v>1517</v>
      </c>
      <c r="J149" s="375"/>
      <c r="K149" s="375"/>
      <c r="L149" s="623">
        <v>700200</v>
      </c>
      <c r="M149" s="121">
        <f>+N145</f>
        <v>1767929.9999999995</v>
      </c>
      <c r="N149" s="6"/>
    </row>
    <row r="150" spans="1:16" hidden="1" outlineLevel="1">
      <c r="I150" s="375" t="s">
        <v>1517</v>
      </c>
      <c r="J150" s="375"/>
      <c r="K150" s="375"/>
      <c r="L150" s="623">
        <v>310800</v>
      </c>
      <c r="M150" s="6"/>
      <c r="N150" s="121">
        <f>+N145</f>
        <v>1767929.9999999995</v>
      </c>
    </row>
    <row r="151" spans="1:16" hidden="1" outlineLevel="1">
      <c r="I151" s="375" t="s">
        <v>1518</v>
      </c>
      <c r="J151" s="375"/>
      <c r="K151" s="375"/>
      <c r="L151" s="623">
        <v>310800</v>
      </c>
      <c r="M151" s="6"/>
      <c r="N151" s="121">
        <f>+J145</f>
        <v>1449910.0000000002</v>
      </c>
    </row>
    <row r="152" spans="1:16" hidden="1" outlineLevel="1">
      <c r="I152" s="375" t="s">
        <v>1519</v>
      </c>
      <c r="J152" s="375"/>
      <c r="K152" s="375"/>
      <c r="L152" s="623">
        <v>310700</v>
      </c>
      <c r="M152" s="6"/>
      <c r="N152" s="121">
        <f>+L145</f>
        <v>902775.66666666651</v>
      </c>
    </row>
    <row r="153" spans="1:16" hidden="1" outlineLevel="1">
      <c r="I153" s="375" t="s">
        <v>1520</v>
      </c>
      <c r="J153" s="375"/>
      <c r="K153" s="375"/>
      <c r="L153" s="623">
        <v>311000</v>
      </c>
      <c r="M153" s="6"/>
      <c r="N153" s="121">
        <f>+M145</f>
        <v>10908314.333333332</v>
      </c>
    </row>
    <row r="154" spans="1:16" hidden="1" outlineLevel="1">
      <c r="I154" s="375" t="s">
        <v>2393</v>
      </c>
      <c r="J154" s="375"/>
      <c r="K154" s="375"/>
      <c r="L154" s="623">
        <v>700100</v>
      </c>
      <c r="M154" s="614">
        <f>+N153+N152+N151</f>
        <v>13260999.999999998</v>
      </c>
      <c r="N154" s="375"/>
    </row>
    <row r="155" spans="1:16" collapsed="1">
      <c r="A155" s="23" t="s">
        <v>2293</v>
      </c>
      <c r="B155" s="23" t="s">
        <v>2849</v>
      </c>
    </row>
    <row r="156" spans="1:16" hidden="1" outlineLevel="1"/>
    <row r="157" spans="1:16" hidden="1" outlineLevel="1"/>
    <row r="158" spans="1:16" hidden="1" outlineLevel="1">
      <c r="B158" s="595"/>
      <c r="C158" s="595" t="s">
        <v>2580</v>
      </c>
      <c r="D158" s="595"/>
      <c r="E158" s="596"/>
      <c r="F158" s="596"/>
      <c r="G158" s="596"/>
      <c r="H158" s="596"/>
      <c r="I158" s="625"/>
      <c r="J158" s="596"/>
      <c r="K158" s="596"/>
      <c r="L158" s="596"/>
      <c r="M158" s="596"/>
      <c r="N158" s="596"/>
      <c r="O158" s="596"/>
    </row>
    <row r="159" spans="1:16" hidden="1" outlineLevel="1">
      <c r="B159" s="1026" t="s">
        <v>1</v>
      </c>
      <c r="C159" s="1028" t="s">
        <v>1334</v>
      </c>
      <c r="D159" s="1028" t="s">
        <v>1335</v>
      </c>
      <c r="E159" s="1030" t="s">
        <v>1477</v>
      </c>
      <c r="F159" s="1028" t="s">
        <v>1478</v>
      </c>
      <c r="G159" s="1030" t="s">
        <v>1479</v>
      </c>
      <c r="H159" s="1030" t="s">
        <v>1480</v>
      </c>
      <c r="I159" s="1021" t="s">
        <v>1481</v>
      </c>
      <c r="J159" s="1019" t="s">
        <v>1482</v>
      </c>
      <c r="K159" s="1017" t="s">
        <v>2012</v>
      </c>
      <c r="L159" s="1018"/>
      <c r="M159" s="1019" t="s">
        <v>1483</v>
      </c>
      <c r="N159" s="1021" t="s">
        <v>1484</v>
      </c>
      <c r="O159" s="1019" t="s">
        <v>1485</v>
      </c>
    </row>
    <row r="160" spans="1:16" hidden="1" outlineLevel="1">
      <c r="B160" s="1027"/>
      <c r="C160" s="1029"/>
      <c r="D160" s="1029"/>
      <c r="E160" s="1031"/>
      <c r="F160" s="1029"/>
      <c r="G160" s="1031"/>
      <c r="H160" s="1031"/>
      <c r="I160" s="1022"/>
      <c r="J160" s="1020"/>
      <c r="K160" s="601" t="s">
        <v>1633</v>
      </c>
      <c r="L160" s="601" t="s">
        <v>5</v>
      </c>
      <c r="M160" s="1020"/>
      <c r="N160" s="1022"/>
      <c r="O160" s="1020"/>
      <c r="P160" s="238" t="s">
        <v>1633</v>
      </c>
    </row>
    <row r="161" spans="2:16" ht="20.25" hidden="1" customHeight="1" outlineLevel="1">
      <c r="B161" s="482">
        <v>1</v>
      </c>
      <c r="C161" s="602" t="s">
        <v>2409</v>
      </c>
      <c r="D161" s="603" t="s">
        <v>2419</v>
      </c>
      <c r="E161" s="603" t="s">
        <v>1486</v>
      </c>
      <c r="F161" s="970">
        <v>1200000</v>
      </c>
      <c r="G161" s="605">
        <v>27</v>
      </c>
      <c r="H161" s="605">
        <f>+F161/27</f>
        <v>44444.444444444445</v>
      </c>
      <c r="I161" s="971">
        <f>+H161*G161</f>
        <v>1200000</v>
      </c>
      <c r="J161" s="972">
        <f t="shared" ref="J161:J169" si="60">+I161*0.11</f>
        <v>132000</v>
      </c>
      <c r="K161" s="972">
        <f>+IFERROR(INDEX($S$7:$S$13,MATCH((I161-J161),$Q$7:$Q$13,1)),"")</f>
        <v>10000</v>
      </c>
      <c r="L161" s="972">
        <f t="shared" ref="L161:L186" si="61">+IF((I161-J161)*0.1&lt;K161,0,(I161-J161)*0.1-K161)</f>
        <v>96800</v>
      </c>
      <c r="M161" s="971">
        <f>+I161-J161-L161</f>
        <v>971200</v>
      </c>
      <c r="N161" s="972">
        <f>+I161*0.13</f>
        <v>156000</v>
      </c>
      <c r="O161" s="972">
        <f>+J161+N161</f>
        <v>288000</v>
      </c>
      <c r="P161" s="238">
        <f>+IF(L161,1,0)</f>
        <v>1</v>
      </c>
    </row>
    <row r="162" spans="2:16" hidden="1" outlineLevel="1">
      <c r="B162" s="482">
        <f>+B161+1</f>
        <v>2</v>
      </c>
      <c r="C162" s="607" t="s">
        <v>2410</v>
      </c>
      <c r="D162" s="608" t="s">
        <v>2420</v>
      </c>
      <c r="E162" s="608" t="s">
        <v>1487</v>
      </c>
      <c r="F162" s="970">
        <v>1200000</v>
      </c>
      <c r="G162" s="605">
        <v>27</v>
      </c>
      <c r="H162" s="605">
        <f t="shared" ref="H162:H186" si="62">+F162/27</f>
        <v>44444.444444444445</v>
      </c>
      <c r="I162" s="971">
        <f t="shared" ref="I162:I186" si="63">+H162*G162</f>
        <v>1200000</v>
      </c>
      <c r="J162" s="972">
        <f t="shared" si="60"/>
        <v>132000</v>
      </c>
      <c r="K162" s="972">
        <f t="shared" ref="K162:K186" si="64">+IFERROR(INDEX($S$7:$S$13,MATCH((I162-J162),$Q$7:$Q$13,1)),"")</f>
        <v>10000</v>
      </c>
      <c r="L162" s="972">
        <f t="shared" si="61"/>
        <v>96800</v>
      </c>
      <c r="M162" s="971">
        <f t="shared" ref="M162:M186" si="65">+I162-J162-L162</f>
        <v>971200</v>
      </c>
      <c r="N162" s="972">
        <f>+I162*0.13</f>
        <v>156000</v>
      </c>
      <c r="O162" s="972">
        <f t="shared" ref="O162:O186" si="66">+J162+N162</f>
        <v>288000</v>
      </c>
      <c r="P162" s="238">
        <f t="shared" ref="P162:P186" si="67">+IF(L162,1,0)</f>
        <v>1</v>
      </c>
    </row>
    <row r="163" spans="2:16" hidden="1" outlineLevel="1">
      <c r="B163" s="482">
        <f t="shared" ref="B163:B186" si="68">+B162+1</f>
        <v>3</v>
      </c>
      <c r="C163" s="609" t="s">
        <v>1488</v>
      </c>
      <c r="D163" s="608" t="s">
        <v>2421</v>
      </c>
      <c r="E163" s="608" t="s">
        <v>1489</v>
      </c>
      <c r="F163" s="973">
        <v>1400000</v>
      </c>
      <c r="G163" s="605">
        <v>27</v>
      </c>
      <c r="H163" s="605">
        <f t="shared" si="62"/>
        <v>51851.851851851854</v>
      </c>
      <c r="I163" s="971">
        <f t="shared" si="63"/>
        <v>1400000</v>
      </c>
      <c r="J163" s="972">
        <f t="shared" si="60"/>
        <v>154000</v>
      </c>
      <c r="K163" s="972">
        <f t="shared" si="64"/>
        <v>10000</v>
      </c>
      <c r="L163" s="972">
        <f t="shared" si="61"/>
        <v>114600</v>
      </c>
      <c r="M163" s="971">
        <f t="shared" si="65"/>
        <v>1131400</v>
      </c>
      <c r="N163" s="972">
        <f>+I163*0.13</f>
        <v>182000</v>
      </c>
      <c r="O163" s="972">
        <f t="shared" si="66"/>
        <v>336000</v>
      </c>
      <c r="P163" s="238">
        <f t="shared" si="67"/>
        <v>1</v>
      </c>
    </row>
    <row r="164" spans="2:16" hidden="1" outlineLevel="1">
      <c r="B164" s="482">
        <f t="shared" si="68"/>
        <v>4</v>
      </c>
      <c r="C164" s="607" t="s">
        <v>2411</v>
      </c>
      <c r="D164" s="608" t="s">
        <v>2422</v>
      </c>
      <c r="E164" s="611" t="s">
        <v>1490</v>
      </c>
      <c r="F164" s="973">
        <v>240000</v>
      </c>
      <c r="G164" s="605">
        <v>0</v>
      </c>
      <c r="H164" s="605">
        <f t="shared" si="62"/>
        <v>8888.8888888888887</v>
      </c>
      <c r="I164" s="971">
        <f t="shared" si="63"/>
        <v>0</v>
      </c>
      <c r="J164" s="972">
        <f t="shared" si="60"/>
        <v>0</v>
      </c>
      <c r="K164" s="972">
        <v>0</v>
      </c>
      <c r="L164" s="972">
        <f t="shared" si="61"/>
        <v>0</v>
      </c>
      <c r="M164" s="971">
        <f t="shared" si="65"/>
        <v>0</v>
      </c>
      <c r="N164" s="972">
        <f>+F164*0.09</f>
        <v>21600</v>
      </c>
      <c r="O164" s="972">
        <f t="shared" si="66"/>
        <v>21600</v>
      </c>
      <c r="P164" s="238">
        <f t="shared" si="67"/>
        <v>0</v>
      </c>
    </row>
    <row r="165" spans="2:16" hidden="1" outlineLevel="1">
      <c r="B165" s="482">
        <f t="shared" si="68"/>
        <v>5</v>
      </c>
      <c r="C165" s="607" t="s">
        <v>2412</v>
      </c>
      <c r="D165" s="608" t="s">
        <v>2423</v>
      </c>
      <c r="E165" s="608" t="s">
        <v>1491</v>
      </c>
      <c r="F165" s="973">
        <v>900000</v>
      </c>
      <c r="G165" s="605">
        <v>27</v>
      </c>
      <c r="H165" s="605">
        <f t="shared" si="62"/>
        <v>33333.333333333336</v>
      </c>
      <c r="I165" s="971">
        <f t="shared" si="63"/>
        <v>900000.00000000012</v>
      </c>
      <c r="J165" s="972">
        <f t="shared" si="60"/>
        <v>99000.000000000015</v>
      </c>
      <c r="K165" s="972">
        <f t="shared" si="64"/>
        <v>11666.666666666666</v>
      </c>
      <c r="L165" s="972">
        <f t="shared" si="61"/>
        <v>68433.333333333343</v>
      </c>
      <c r="M165" s="971">
        <f t="shared" si="65"/>
        <v>732566.66666666674</v>
      </c>
      <c r="N165" s="972">
        <f>+I165*0.13</f>
        <v>117000.00000000001</v>
      </c>
      <c r="O165" s="972">
        <f t="shared" si="66"/>
        <v>216000.00000000003</v>
      </c>
      <c r="P165" s="238">
        <f t="shared" si="67"/>
        <v>1</v>
      </c>
    </row>
    <row r="166" spans="2:16" hidden="1" outlineLevel="1">
      <c r="B166" s="482">
        <f t="shared" si="68"/>
        <v>6</v>
      </c>
      <c r="C166" s="607" t="s">
        <v>2413</v>
      </c>
      <c r="D166" s="608" t="s">
        <v>2424</v>
      </c>
      <c r="E166" s="608" t="s">
        <v>2417</v>
      </c>
      <c r="F166" s="973">
        <v>1000000</v>
      </c>
      <c r="G166" s="605">
        <v>27</v>
      </c>
      <c r="H166" s="605">
        <f t="shared" si="62"/>
        <v>37037.037037037036</v>
      </c>
      <c r="I166" s="971">
        <f t="shared" si="63"/>
        <v>1000000</v>
      </c>
      <c r="J166" s="972">
        <f t="shared" si="60"/>
        <v>110000</v>
      </c>
      <c r="K166" s="972">
        <f t="shared" si="64"/>
        <v>11666.666666666666</v>
      </c>
      <c r="L166" s="972">
        <f t="shared" si="61"/>
        <v>77333.333333333328</v>
      </c>
      <c r="M166" s="971">
        <f t="shared" si="65"/>
        <v>812666.66666666663</v>
      </c>
      <c r="N166" s="972">
        <f>+I166*0.13</f>
        <v>130000</v>
      </c>
      <c r="O166" s="972">
        <f t="shared" si="66"/>
        <v>240000</v>
      </c>
      <c r="P166" s="238">
        <f t="shared" si="67"/>
        <v>1</v>
      </c>
    </row>
    <row r="167" spans="2:16" hidden="1" outlineLevel="1">
      <c r="B167" s="482">
        <f t="shared" si="68"/>
        <v>7</v>
      </c>
      <c r="C167" s="607" t="s">
        <v>2414</v>
      </c>
      <c r="D167" s="611" t="s">
        <v>2424</v>
      </c>
      <c r="E167" s="611" t="s">
        <v>1859</v>
      </c>
      <c r="F167" s="974">
        <v>500000</v>
      </c>
      <c r="G167" s="605">
        <v>27</v>
      </c>
      <c r="H167" s="605">
        <f t="shared" si="62"/>
        <v>18518.518518518518</v>
      </c>
      <c r="I167" s="971">
        <f t="shared" si="63"/>
        <v>500000</v>
      </c>
      <c r="J167" s="972">
        <f t="shared" si="60"/>
        <v>55000</v>
      </c>
      <c r="K167" s="972">
        <f t="shared" si="64"/>
        <v>13333.333333333334</v>
      </c>
      <c r="L167" s="972">
        <f t="shared" si="61"/>
        <v>31166.666666666664</v>
      </c>
      <c r="M167" s="971">
        <f t="shared" si="65"/>
        <v>413833.33333333331</v>
      </c>
      <c r="N167" s="972">
        <f>+I167*0.13</f>
        <v>65000</v>
      </c>
      <c r="O167" s="972">
        <f t="shared" si="66"/>
        <v>120000</v>
      </c>
      <c r="P167" s="238">
        <f t="shared" si="67"/>
        <v>1</v>
      </c>
    </row>
    <row r="168" spans="2:16" hidden="1" outlineLevel="1">
      <c r="B168" s="482">
        <f t="shared" si="68"/>
        <v>8</v>
      </c>
      <c r="C168" s="607" t="s">
        <v>2485</v>
      </c>
      <c r="D168" s="608" t="s">
        <v>2424</v>
      </c>
      <c r="E168" s="611" t="s">
        <v>2418</v>
      </c>
      <c r="F168" s="833">
        <v>240000</v>
      </c>
      <c r="G168" s="605">
        <v>0</v>
      </c>
      <c r="H168" s="605">
        <f t="shared" si="62"/>
        <v>8888.8888888888887</v>
      </c>
      <c r="I168" s="971">
        <f t="shared" si="63"/>
        <v>0</v>
      </c>
      <c r="J168" s="972">
        <f t="shared" si="60"/>
        <v>0</v>
      </c>
      <c r="K168" s="972">
        <v>0</v>
      </c>
      <c r="L168" s="972">
        <f t="shared" si="61"/>
        <v>0</v>
      </c>
      <c r="M168" s="971">
        <f t="shared" si="65"/>
        <v>0</v>
      </c>
      <c r="N168" s="972">
        <f>+F168*0.09</f>
        <v>21600</v>
      </c>
      <c r="O168" s="972">
        <f t="shared" si="66"/>
        <v>21600</v>
      </c>
      <c r="P168" s="238">
        <f t="shared" si="67"/>
        <v>0</v>
      </c>
    </row>
    <row r="169" spans="2:16" hidden="1" outlineLevel="1">
      <c r="B169" s="482">
        <f t="shared" si="68"/>
        <v>9</v>
      </c>
      <c r="C169" s="844" t="s">
        <v>2415</v>
      </c>
      <c r="D169" s="614" t="s">
        <v>2425</v>
      </c>
      <c r="E169" s="614" t="s">
        <v>1860</v>
      </c>
      <c r="F169" s="834">
        <v>480000</v>
      </c>
      <c r="G169" s="605">
        <v>26.36</v>
      </c>
      <c r="H169" s="605">
        <f t="shared" si="62"/>
        <v>17777.777777777777</v>
      </c>
      <c r="I169" s="971">
        <f t="shared" si="63"/>
        <v>468622.22222222219</v>
      </c>
      <c r="J169" s="972">
        <f t="shared" si="60"/>
        <v>51548.444444444438</v>
      </c>
      <c r="K169" s="972">
        <f t="shared" si="64"/>
        <v>13333.333333333334</v>
      </c>
      <c r="L169" s="972">
        <f t="shared" si="61"/>
        <v>28374.044444444444</v>
      </c>
      <c r="M169" s="971">
        <f t="shared" si="65"/>
        <v>388699.73333333328</v>
      </c>
      <c r="N169" s="972">
        <f>+I169*0.13</f>
        <v>60920.888888888883</v>
      </c>
      <c r="O169" s="972">
        <f t="shared" si="66"/>
        <v>112469.33333333331</v>
      </c>
      <c r="P169" s="238">
        <f t="shared" si="67"/>
        <v>1</v>
      </c>
    </row>
    <row r="170" spans="2:16" hidden="1" outlineLevel="1">
      <c r="B170" s="482">
        <f t="shared" si="68"/>
        <v>10</v>
      </c>
      <c r="C170" s="607" t="s">
        <v>2416</v>
      </c>
      <c r="D170" s="613" t="s">
        <v>2426</v>
      </c>
      <c r="E170" s="611" t="s">
        <v>1492</v>
      </c>
      <c r="F170" s="833">
        <v>400000</v>
      </c>
      <c r="G170" s="605">
        <v>26</v>
      </c>
      <c r="H170" s="605">
        <f t="shared" si="62"/>
        <v>14814.814814814816</v>
      </c>
      <c r="I170" s="971">
        <f t="shared" si="63"/>
        <v>385185.18518518523</v>
      </c>
      <c r="J170" s="972">
        <f>+I170*0.088</f>
        <v>33896.296296296299</v>
      </c>
      <c r="K170" s="972">
        <f t="shared" si="64"/>
        <v>13333.333333333334</v>
      </c>
      <c r="L170" s="972">
        <f t="shared" si="61"/>
        <v>21795.555555555562</v>
      </c>
      <c r="M170" s="971">
        <f t="shared" si="65"/>
        <v>329493.33333333337</v>
      </c>
      <c r="N170" s="972">
        <f>+I170*0.108</f>
        <v>41600.000000000007</v>
      </c>
      <c r="O170" s="972">
        <f t="shared" si="66"/>
        <v>75496.296296296307</v>
      </c>
      <c r="P170" s="238">
        <f t="shared" si="67"/>
        <v>1</v>
      </c>
    </row>
    <row r="171" spans="2:16" hidden="1" outlineLevel="1">
      <c r="B171" s="482">
        <f t="shared" si="68"/>
        <v>11</v>
      </c>
      <c r="C171" s="607" t="s">
        <v>2427</v>
      </c>
      <c r="D171" s="611" t="s">
        <v>2441</v>
      </c>
      <c r="E171" s="611" t="s">
        <v>1493</v>
      </c>
      <c r="F171" s="833">
        <v>450000</v>
      </c>
      <c r="G171" s="605">
        <v>29.17</v>
      </c>
      <c r="H171" s="605">
        <f t="shared" si="62"/>
        <v>16666.666666666668</v>
      </c>
      <c r="I171" s="971">
        <f t="shared" si="63"/>
        <v>486166.66666666674</v>
      </c>
      <c r="J171" s="972">
        <f t="shared" ref="J171:J186" si="69">+I171*0.11</f>
        <v>53478.333333333343</v>
      </c>
      <c r="K171" s="972">
        <f t="shared" si="64"/>
        <v>13333.333333333334</v>
      </c>
      <c r="L171" s="972">
        <f t="shared" si="61"/>
        <v>29935.500000000007</v>
      </c>
      <c r="M171" s="971">
        <f t="shared" si="65"/>
        <v>402752.83333333337</v>
      </c>
      <c r="N171" s="972">
        <f t="shared" ref="N171:N186" si="70">+I171*0.13</f>
        <v>63201.666666666679</v>
      </c>
      <c r="O171" s="972">
        <f t="shared" si="66"/>
        <v>116680.00000000003</v>
      </c>
      <c r="P171" s="238">
        <f t="shared" si="67"/>
        <v>1</v>
      </c>
    </row>
    <row r="172" spans="2:16" hidden="1" outlineLevel="1">
      <c r="B172" s="482">
        <f t="shared" si="68"/>
        <v>12</v>
      </c>
      <c r="C172" s="607" t="s">
        <v>2428</v>
      </c>
      <c r="D172" s="613" t="s">
        <v>2442</v>
      </c>
      <c r="E172" s="622" t="s">
        <v>1494</v>
      </c>
      <c r="F172" s="833">
        <v>450000</v>
      </c>
      <c r="G172" s="605">
        <v>32.32</v>
      </c>
      <c r="H172" s="605">
        <f t="shared" si="62"/>
        <v>16666.666666666668</v>
      </c>
      <c r="I172" s="971">
        <f t="shared" si="63"/>
        <v>538666.66666666674</v>
      </c>
      <c r="J172" s="972">
        <f t="shared" si="69"/>
        <v>59253.333333333343</v>
      </c>
      <c r="K172" s="972">
        <f t="shared" si="64"/>
        <v>13333.333333333334</v>
      </c>
      <c r="L172" s="972">
        <f t="shared" si="61"/>
        <v>34608.000000000007</v>
      </c>
      <c r="M172" s="971">
        <f t="shared" si="65"/>
        <v>444805.33333333337</v>
      </c>
      <c r="N172" s="972">
        <f t="shared" si="70"/>
        <v>70026.666666666686</v>
      </c>
      <c r="O172" s="972">
        <f t="shared" si="66"/>
        <v>129280.00000000003</v>
      </c>
      <c r="P172" s="238">
        <f t="shared" si="67"/>
        <v>1</v>
      </c>
    </row>
    <row r="173" spans="2:16" hidden="1" outlineLevel="1">
      <c r="B173" s="482">
        <f t="shared" si="68"/>
        <v>13</v>
      </c>
      <c r="C173" s="616" t="s">
        <v>2429</v>
      </c>
      <c r="D173" s="613" t="s">
        <v>2442</v>
      </c>
      <c r="E173" s="451" t="s">
        <v>1861</v>
      </c>
      <c r="F173" s="833">
        <v>450000</v>
      </c>
      <c r="G173" s="605">
        <v>27</v>
      </c>
      <c r="H173" s="605">
        <f t="shared" si="62"/>
        <v>16666.666666666668</v>
      </c>
      <c r="I173" s="971">
        <f t="shared" si="63"/>
        <v>450000.00000000006</v>
      </c>
      <c r="J173" s="972">
        <f>+I173*0.11</f>
        <v>49500.000000000007</v>
      </c>
      <c r="K173" s="972">
        <f t="shared" si="64"/>
        <v>13333.333333333334</v>
      </c>
      <c r="L173" s="972">
        <f t="shared" si="61"/>
        <v>26716.666666666672</v>
      </c>
      <c r="M173" s="971">
        <f t="shared" si="65"/>
        <v>373783.33333333337</v>
      </c>
      <c r="N173" s="972">
        <f t="shared" si="70"/>
        <v>58500.000000000007</v>
      </c>
      <c r="O173" s="972">
        <f t="shared" si="66"/>
        <v>108000.00000000001</v>
      </c>
      <c r="P173" s="238">
        <f t="shared" si="67"/>
        <v>1</v>
      </c>
    </row>
    <row r="174" spans="2:16" hidden="1" outlineLevel="1">
      <c r="B174" s="482">
        <f t="shared" si="68"/>
        <v>14</v>
      </c>
      <c r="C174" s="616" t="s">
        <v>2430</v>
      </c>
      <c r="D174" s="613" t="s">
        <v>2442</v>
      </c>
      <c r="E174" s="617" t="s">
        <v>1495</v>
      </c>
      <c r="F174" s="833">
        <v>480000</v>
      </c>
      <c r="G174" s="605">
        <v>2</v>
      </c>
      <c r="H174" s="605">
        <f t="shared" si="62"/>
        <v>17777.777777777777</v>
      </c>
      <c r="I174" s="971">
        <f t="shared" si="63"/>
        <v>35555.555555555555</v>
      </c>
      <c r="J174" s="972">
        <f t="shared" si="69"/>
        <v>3911.1111111111109</v>
      </c>
      <c r="K174" s="972">
        <v>3164.4444444444448</v>
      </c>
      <c r="L174" s="972">
        <v>0</v>
      </c>
      <c r="M174" s="971">
        <f t="shared" si="65"/>
        <v>31644.444444444445</v>
      </c>
      <c r="N174" s="972">
        <f t="shared" si="70"/>
        <v>4622.2222222222226</v>
      </c>
      <c r="O174" s="972">
        <f t="shared" si="66"/>
        <v>8533.3333333333339</v>
      </c>
      <c r="P174" s="238">
        <f t="shared" si="67"/>
        <v>0</v>
      </c>
    </row>
    <row r="175" spans="2:16" hidden="1" outlineLevel="1">
      <c r="B175" s="482">
        <f t="shared" si="68"/>
        <v>15</v>
      </c>
      <c r="C175" s="602" t="s">
        <v>2431</v>
      </c>
      <c r="D175" s="612" t="s">
        <v>2442</v>
      </c>
      <c r="E175" s="611" t="s">
        <v>1496</v>
      </c>
      <c r="F175" s="834">
        <v>800000</v>
      </c>
      <c r="G175" s="605">
        <v>29.75</v>
      </c>
      <c r="H175" s="605">
        <f t="shared" si="62"/>
        <v>29629.629629629631</v>
      </c>
      <c r="I175" s="971">
        <f t="shared" si="63"/>
        <v>881481.48148148158</v>
      </c>
      <c r="J175" s="972">
        <f t="shared" si="69"/>
        <v>96962.962962962978</v>
      </c>
      <c r="K175" s="972">
        <f t="shared" si="64"/>
        <v>11666.666666666666</v>
      </c>
      <c r="L175" s="972">
        <f t="shared" si="61"/>
        <v>66785.185185185197</v>
      </c>
      <c r="M175" s="971">
        <f t="shared" si="65"/>
        <v>717733.33333333349</v>
      </c>
      <c r="N175" s="972">
        <f t="shared" si="70"/>
        <v>114592.59259259261</v>
      </c>
      <c r="O175" s="972">
        <f t="shared" si="66"/>
        <v>211555.55555555559</v>
      </c>
      <c r="P175" s="238">
        <f t="shared" si="67"/>
        <v>1</v>
      </c>
    </row>
    <row r="176" spans="2:16" hidden="1" outlineLevel="1">
      <c r="B176" s="482">
        <f t="shared" si="68"/>
        <v>16</v>
      </c>
      <c r="C176" s="602" t="s">
        <v>2432</v>
      </c>
      <c r="D176" s="612" t="s">
        <v>2442</v>
      </c>
      <c r="E176" s="620" t="s">
        <v>1497</v>
      </c>
      <c r="F176" s="834">
        <v>480000</v>
      </c>
      <c r="G176" s="605">
        <v>25.11</v>
      </c>
      <c r="H176" s="605">
        <f t="shared" si="62"/>
        <v>17777.777777777777</v>
      </c>
      <c r="I176" s="971">
        <f t="shared" si="63"/>
        <v>446400</v>
      </c>
      <c r="J176" s="972">
        <f t="shared" si="69"/>
        <v>49104</v>
      </c>
      <c r="K176" s="972">
        <f t="shared" si="64"/>
        <v>13333.333333333334</v>
      </c>
      <c r="L176" s="972">
        <f t="shared" si="61"/>
        <v>26396.26666666667</v>
      </c>
      <c r="M176" s="971">
        <f t="shared" si="65"/>
        <v>370899.73333333334</v>
      </c>
      <c r="N176" s="972">
        <f t="shared" si="70"/>
        <v>58032</v>
      </c>
      <c r="O176" s="972">
        <f t="shared" si="66"/>
        <v>107136</v>
      </c>
      <c r="P176" s="238">
        <f t="shared" si="67"/>
        <v>1</v>
      </c>
    </row>
    <row r="177" spans="2:16" hidden="1" outlineLevel="1">
      <c r="B177" s="482">
        <f t="shared" si="68"/>
        <v>17</v>
      </c>
      <c r="C177" s="602" t="s">
        <v>2433</v>
      </c>
      <c r="D177" s="608" t="s">
        <v>2442</v>
      </c>
      <c r="E177" s="619" t="s">
        <v>1498</v>
      </c>
      <c r="F177" s="834">
        <v>480000</v>
      </c>
      <c r="G177" s="605">
        <v>32.04</v>
      </c>
      <c r="H177" s="605">
        <f t="shared" si="62"/>
        <v>17777.777777777777</v>
      </c>
      <c r="I177" s="971">
        <f t="shared" si="63"/>
        <v>569600</v>
      </c>
      <c r="J177" s="972">
        <f t="shared" si="69"/>
        <v>62656</v>
      </c>
      <c r="K177" s="972">
        <f t="shared" si="64"/>
        <v>11666.666666666666</v>
      </c>
      <c r="L177" s="972">
        <f t="shared" si="61"/>
        <v>39027.733333333337</v>
      </c>
      <c r="M177" s="971">
        <f t="shared" si="65"/>
        <v>467916.26666666666</v>
      </c>
      <c r="N177" s="972">
        <f t="shared" si="70"/>
        <v>74048</v>
      </c>
      <c r="O177" s="972">
        <f t="shared" si="66"/>
        <v>136704</v>
      </c>
      <c r="P177" s="238">
        <f t="shared" si="67"/>
        <v>1</v>
      </c>
    </row>
    <row r="178" spans="2:16" hidden="1" outlineLevel="1">
      <c r="B178" s="482">
        <f t="shared" si="68"/>
        <v>18</v>
      </c>
      <c r="C178" s="602" t="s">
        <v>2434</v>
      </c>
      <c r="D178" s="608" t="s">
        <v>2442</v>
      </c>
      <c r="E178" s="451" t="s">
        <v>1499</v>
      </c>
      <c r="F178" s="834">
        <v>600000</v>
      </c>
      <c r="G178" s="605">
        <v>27</v>
      </c>
      <c r="H178" s="605">
        <f t="shared" si="62"/>
        <v>22222.222222222223</v>
      </c>
      <c r="I178" s="971">
        <f t="shared" si="63"/>
        <v>600000</v>
      </c>
      <c r="J178" s="972">
        <f t="shared" si="69"/>
        <v>66000</v>
      </c>
      <c r="K178" s="972">
        <f t="shared" si="64"/>
        <v>11666.666666666666</v>
      </c>
      <c r="L178" s="972">
        <f t="shared" si="61"/>
        <v>41733.333333333336</v>
      </c>
      <c r="M178" s="971">
        <f t="shared" si="65"/>
        <v>492266.66666666669</v>
      </c>
      <c r="N178" s="972">
        <f t="shared" si="70"/>
        <v>78000</v>
      </c>
      <c r="O178" s="972">
        <f t="shared" si="66"/>
        <v>144000</v>
      </c>
      <c r="P178" s="238">
        <f t="shared" si="67"/>
        <v>1</v>
      </c>
    </row>
    <row r="179" spans="2:16" hidden="1" outlineLevel="1">
      <c r="B179" s="482">
        <f t="shared" si="68"/>
        <v>19</v>
      </c>
      <c r="C179" s="616" t="s">
        <v>2435</v>
      </c>
      <c r="D179" s="608" t="s">
        <v>2443</v>
      </c>
      <c r="E179" s="619" t="s">
        <v>1500</v>
      </c>
      <c r="F179" s="834">
        <v>480000</v>
      </c>
      <c r="G179" s="605">
        <v>28.25</v>
      </c>
      <c r="H179" s="605">
        <f t="shared" si="62"/>
        <v>17777.777777777777</v>
      </c>
      <c r="I179" s="971">
        <f t="shared" si="63"/>
        <v>502222.22222222219</v>
      </c>
      <c r="J179" s="972">
        <f t="shared" si="69"/>
        <v>55244.444444444438</v>
      </c>
      <c r="K179" s="972">
        <f t="shared" si="64"/>
        <v>13333.333333333334</v>
      </c>
      <c r="L179" s="972">
        <f t="shared" si="61"/>
        <v>31364.444444444445</v>
      </c>
      <c r="M179" s="971">
        <f t="shared" si="65"/>
        <v>415613.33333333331</v>
      </c>
      <c r="N179" s="972">
        <f t="shared" si="70"/>
        <v>65288.888888888891</v>
      </c>
      <c r="O179" s="972">
        <f t="shared" si="66"/>
        <v>120533.33333333333</v>
      </c>
      <c r="P179" s="238">
        <f t="shared" si="67"/>
        <v>1</v>
      </c>
    </row>
    <row r="180" spans="2:16" hidden="1" outlineLevel="1">
      <c r="B180" s="482">
        <f t="shared" si="68"/>
        <v>20</v>
      </c>
      <c r="C180" s="616" t="s">
        <v>2587</v>
      </c>
      <c r="D180" s="608" t="s">
        <v>2442</v>
      </c>
      <c r="E180" s="608" t="s">
        <v>2588</v>
      </c>
      <c r="F180" s="834">
        <v>450000</v>
      </c>
      <c r="G180" s="605">
        <v>26.24</v>
      </c>
      <c r="H180" s="605">
        <f t="shared" si="62"/>
        <v>16666.666666666668</v>
      </c>
      <c r="I180" s="971">
        <f>+H180*G180</f>
        <v>437333.33333333331</v>
      </c>
      <c r="J180" s="972">
        <f>+I180*0.11</f>
        <v>48106.666666666664</v>
      </c>
      <c r="K180" s="972">
        <f>+IFERROR(INDEX($S$7:$S$13,MATCH((I180-J180),$Q$7:$Q$13,1)),"")</f>
        <v>13333.333333333334</v>
      </c>
      <c r="L180" s="972">
        <f>+IF((I180-J180)*0.1&lt;K180,0,(I180-J180)*0.1-K180)</f>
        <v>25589.333333333328</v>
      </c>
      <c r="M180" s="971">
        <f>+I180-J180-L180</f>
        <v>363637.33333333331</v>
      </c>
      <c r="N180" s="972">
        <f>+I180*0.13</f>
        <v>56853.333333333336</v>
      </c>
      <c r="O180" s="972">
        <f>+J180+N180</f>
        <v>104960</v>
      </c>
      <c r="P180" s="238">
        <f>+IF(L180,1,0)</f>
        <v>1</v>
      </c>
    </row>
    <row r="181" spans="2:16" hidden="1" outlineLevel="1">
      <c r="B181" s="482">
        <f t="shared" si="68"/>
        <v>21</v>
      </c>
      <c r="C181" s="602" t="s">
        <v>2436</v>
      </c>
      <c r="D181" s="608" t="s">
        <v>2442</v>
      </c>
      <c r="E181" s="375" t="s">
        <v>1501</v>
      </c>
      <c r="F181" s="834">
        <v>450000</v>
      </c>
      <c r="G181" s="605">
        <v>29.96</v>
      </c>
      <c r="H181" s="605">
        <f t="shared" si="62"/>
        <v>16666.666666666668</v>
      </c>
      <c r="I181" s="971">
        <f t="shared" si="63"/>
        <v>499333.33333333337</v>
      </c>
      <c r="J181" s="972">
        <f t="shared" si="69"/>
        <v>54926.666666666672</v>
      </c>
      <c r="K181" s="972">
        <f t="shared" si="64"/>
        <v>13333.333333333334</v>
      </c>
      <c r="L181" s="972">
        <f t="shared" si="61"/>
        <v>31107.333333333336</v>
      </c>
      <c r="M181" s="971">
        <f t="shared" si="65"/>
        <v>413299.33333333337</v>
      </c>
      <c r="N181" s="972">
        <f t="shared" si="70"/>
        <v>64913.333333333343</v>
      </c>
      <c r="O181" s="972">
        <f t="shared" si="66"/>
        <v>119840.00000000001</v>
      </c>
      <c r="P181" s="238">
        <f t="shared" si="67"/>
        <v>1</v>
      </c>
    </row>
    <row r="182" spans="2:16" hidden="1" outlineLevel="1">
      <c r="B182" s="482">
        <f t="shared" si="68"/>
        <v>22</v>
      </c>
      <c r="C182" s="618" t="s">
        <v>2437</v>
      </c>
      <c r="D182" s="608" t="s">
        <v>2442</v>
      </c>
      <c r="E182" s="375" t="s">
        <v>1521</v>
      </c>
      <c r="F182" s="834">
        <v>450000</v>
      </c>
      <c r="G182" s="605">
        <v>28.22</v>
      </c>
      <c r="H182" s="605">
        <f t="shared" si="62"/>
        <v>16666.666666666668</v>
      </c>
      <c r="I182" s="971">
        <f t="shared" si="63"/>
        <v>470333.33333333337</v>
      </c>
      <c r="J182" s="972">
        <f t="shared" si="69"/>
        <v>51736.666666666672</v>
      </c>
      <c r="K182" s="972">
        <f t="shared" si="64"/>
        <v>13333.333333333334</v>
      </c>
      <c r="L182" s="972">
        <f t="shared" si="61"/>
        <v>28526.333333333336</v>
      </c>
      <c r="M182" s="971">
        <f t="shared" si="65"/>
        <v>390070.33333333337</v>
      </c>
      <c r="N182" s="972">
        <f t="shared" si="70"/>
        <v>61143.333333333343</v>
      </c>
      <c r="O182" s="972">
        <f t="shared" si="66"/>
        <v>112880.00000000001</v>
      </c>
      <c r="P182" s="238">
        <f t="shared" si="67"/>
        <v>1</v>
      </c>
    </row>
    <row r="183" spans="2:16" hidden="1" outlineLevel="1">
      <c r="B183" s="482">
        <f t="shared" si="68"/>
        <v>23</v>
      </c>
      <c r="C183" s="618" t="s">
        <v>2589</v>
      </c>
      <c r="D183" s="608" t="s">
        <v>2442</v>
      </c>
      <c r="E183" s="375" t="s">
        <v>2590</v>
      </c>
      <c r="F183" s="834">
        <v>450000</v>
      </c>
      <c r="G183" s="605">
        <v>27.24</v>
      </c>
      <c r="H183" s="605">
        <f t="shared" si="62"/>
        <v>16666.666666666668</v>
      </c>
      <c r="I183" s="971">
        <f>+H183*G183</f>
        <v>454000</v>
      </c>
      <c r="J183" s="972">
        <f>+I183*0.11</f>
        <v>49940</v>
      </c>
      <c r="K183" s="972">
        <f>+IFERROR(INDEX($S$7:$S$13,MATCH((I183-J183),$Q$7:$Q$13,1)),"")</f>
        <v>13333.333333333334</v>
      </c>
      <c r="L183" s="972">
        <f>+IF((I183-J183)*0.1&lt;K183,0,(I183-J183)*0.1-K183)</f>
        <v>27072.666666666664</v>
      </c>
      <c r="M183" s="971">
        <f>+I183-J183-L183</f>
        <v>376987.33333333331</v>
      </c>
      <c r="N183" s="972">
        <f>+I183*0.13</f>
        <v>59020</v>
      </c>
      <c r="O183" s="972">
        <f>+J183+N183</f>
        <v>108960</v>
      </c>
      <c r="P183" s="238">
        <f>+IF(L183,1,0)</f>
        <v>1</v>
      </c>
    </row>
    <row r="184" spans="2:16" hidden="1" outlineLevel="1">
      <c r="B184" s="482">
        <f t="shared" si="68"/>
        <v>24</v>
      </c>
      <c r="C184" s="618" t="s">
        <v>2438</v>
      </c>
      <c r="D184" s="608" t="s">
        <v>2442</v>
      </c>
      <c r="E184" s="375" t="s">
        <v>1502</v>
      </c>
      <c r="F184" s="834">
        <v>480000</v>
      </c>
      <c r="G184" s="605">
        <v>27.86</v>
      </c>
      <c r="H184" s="605">
        <f t="shared" si="62"/>
        <v>17777.777777777777</v>
      </c>
      <c r="I184" s="971">
        <f>+H184*G184</f>
        <v>495288.88888888888</v>
      </c>
      <c r="J184" s="972">
        <f>+I184*0.11</f>
        <v>54481.777777777774</v>
      </c>
      <c r="K184" s="972">
        <f>+IFERROR(INDEX($S$7:$S$13,MATCH((I184-J184),$Q$7:$Q$13,1)),"")</f>
        <v>13333.333333333334</v>
      </c>
      <c r="L184" s="972">
        <f>+IF((I184-J184)*0.1&lt;K184,0,(I184-J184)*0.1-K184)</f>
        <v>30747.37777777778</v>
      </c>
      <c r="M184" s="971">
        <f>+I184-J184-L184</f>
        <v>410059.73333333334</v>
      </c>
      <c r="N184" s="972">
        <f>+I184*0.13</f>
        <v>64387.555555555555</v>
      </c>
      <c r="O184" s="972">
        <f>+J184+N184</f>
        <v>118869.33333333333</v>
      </c>
      <c r="P184" s="238">
        <f>+IF(L184,1,0)</f>
        <v>1</v>
      </c>
    </row>
    <row r="185" spans="2:16" hidden="1" outlineLevel="1">
      <c r="B185" s="482">
        <f t="shared" si="68"/>
        <v>25</v>
      </c>
      <c r="C185" s="616" t="s">
        <v>2439</v>
      </c>
      <c r="D185" s="608" t="s">
        <v>2442</v>
      </c>
      <c r="E185" s="611" t="s">
        <v>1503</v>
      </c>
      <c r="F185" s="834">
        <v>450000</v>
      </c>
      <c r="G185" s="605">
        <v>27</v>
      </c>
      <c r="H185" s="605">
        <f t="shared" si="62"/>
        <v>16666.666666666668</v>
      </c>
      <c r="I185" s="971">
        <f t="shared" si="63"/>
        <v>450000.00000000006</v>
      </c>
      <c r="J185" s="972">
        <f t="shared" si="69"/>
        <v>49500.000000000007</v>
      </c>
      <c r="K185" s="972">
        <f t="shared" si="64"/>
        <v>13333.333333333334</v>
      </c>
      <c r="L185" s="972">
        <f t="shared" si="61"/>
        <v>26716.666666666672</v>
      </c>
      <c r="M185" s="971">
        <f t="shared" si="65"/>
        <v>373783.33333333337</v>
      </c>
      <c r="N185" s="972">
        <f t="shared" si="70"/>
        <v>58500.000000000007</v>
      </c>
      <c r="O185" s="972">
        <f t="shared" si="66"/>
        <v>108000.00000000001</v>
      </c>
      <c r="P185" s="238">
        <f t="shared" si="67"/>
        <v>1</v>
      </c>
    </row>
    <row r="186" spans="2:16" hidden="1" outlineLevel="1">
      <c r="B186" s="482">
        <f t="shared" si="68"/>
        <v>26</v>
      </c>
      <c r="C186" s="602" t="s">
        <v>2440</v>
      </c>
      <c r="D186" s="608" t="s">
        <v>2442</v>
      </c>
      <c r="E186" s="611" t="s">
        <v>1851</v>
      </c>
      <c r="F186" s="834">
        <v>500000</v>
      </c>
      <c r="G186" s="605">
        <v>22.5</v>
      </c>
      <c r="H186" s="605">
        <f t="shared" si="62"/>
        <v>18518.518518518518</v>
      </c>
      <c r="I186" s="971">
        <f t="shared" si="63"/>
        <v>416666.66666666669</v>
      </c>
      <c r="J186" s="972">
        <f t="shared" si="69"/>
        <v>45833.333333333336</v>
      </c>
      <c r="K186" s="972">
        <f t="shared" si="64"/>
        <v>13333.333333333334</v>
      </c>
      <c r="L186" s="972">
        <f t="shared" si="61"/>
        <v>23750</v>
      </c>
      <c r="M186" s="971">
        <f t="shared" si="65"/>
        <v>347083.33333333337</v>
      </c>
      <c r="N186" s="972">
        <f t="shared" si="70"/>
        <v>54166.666666666672</v>
      </c>
      <c r="O186" s="972">
        <f t="shared" si="66"/>
        <v>100000</v>
      </c>
      <c r="P186" s="238">
        <f t="shared" si="67"/>
        <v>1</v>
      </c>
    </row>
    <row r="187" spans="2:16" hidden="1" outlineLevel="1">
      <c r="B187" s="1032" t="s">
        <v>6</v>
      </c>
      <c r="C187" s="1032"/>
      <c r="D187" s="1032"/>
      <c r="E187" s="1032"/>
      <c r="F187" s="977">
        <f t="shared" ref="F187:P187" si="71">SUM(F161:F186)</f>
        <v>15460000</v>
      </c>
      <c r="G187" s="977">
        <f t="shared" si="71"/>
        <v>636.0200000000001</v>
      </c>
      <c r="H187" s="977">
        <f t="shared" si="71"/>
        <v>572592.59259259258</v>
      </c>
      <c r="I187" s="977">
        <f t="shared" si="71"/>
        <v>14786855.555555558</v>
      </c>
      <c r="J187" s="975">
        <f t="shared" si="71"/>
        <v>1618080.0370370373</v>
      </c>
      <c r="K187" s="975">
        <f t="shared" si="71"/>
        <v>291497.77777777775</v>
      </c>
      <c r="L187" s="975">
        <f t="shared" si="71"/>
        <v>1025379.7740740742</v>
      </c>
      <c r="M187" s="975">
        <f t="shared" si="71"/>
        <v>12143395.744444447</v>
      </c>
      <c r="N187" s="975">
        <f t="shared" si="71"/>
        <v>1957017.1481481481</v>
      </c>
      <c r="O187" s="975">
        <f t="shared" si="71"/>
        <v>3575097.1851851856</v>
      </c>
      <c r="P187" s="621">
        <f t="shared" si="71"/>
        <v>23</v>
      </c>
    </row>
    <row r="188" spans="2:16" hidden="1" outlineLevel="1">
      <c r="I188" s="79">
        <f>+'[3]2018.05'!$J$40-I187</f>
        <v>0</v>
      </c>
      <c r="J188" s="79">
        <f>1618080.02-J187</f>
        <v>-1.7037037294358015E-2</v>
      </c>
      <c r="N188" s="901">
        <f>1957017.13-N187</f>
        <v>-1.8148148199543357E-2</v>
      </c>
    </row>
    <row r="189" spans="2:16" hidden="1" outlineLevel="1">
      <c r="I189" s="23" t="s">
        <v>1504</v>
      </c>
    </row>
    <row r="190" spans="2:16" hidden="1" outlineLevel="1">
      <c r="I190" s="375" t="s">
        <v>1321</v>
      </c>
      <c r="J190" s="375"/>
      <c r="K190" s="375"/>
      <c r="L190" s="375"/>
      <c r="M190" s="622" t="s">
        <v>261</v>
      </c>
      <c r="N190" s="375" t="s">
        <v>262</v>
      </c>
    </row>
    <row r="191" spans="2:16" hidden="1" outlineLevel="1">
      <c r="I191" s="375" t="s">
        <v>2581</v>
      </c>
      <c r="J191" s="375"/>
      <c r="K191" s="375"/>
      <c r="L191" s="623">
        <v>700200</v>
      </c>
      <c r="M191" s="121">
        <f>+N187</f>
        <v>1957017.1481481481</v>
      </c>
      <c r="N191" s="6"/>
    </row>
    <row r="192" spans="2:16" hidden="1" outlineLevel="1">
      <c r="I192" s="375" t="s">
        <v>2581</v>
      </c>
      <c r="J192" s="375"/>
      <c r="K192" s="375"/>
      <c r="L192" s="623">
        <v>310800</v>
      </c>
      <c r="M192" s="6"/>
      <c r="N192" s="121">
        <f>+N187</f>
        <v>1957017.1481481481</v>
      </c>
    </row>
    <row r="193" spans="1:16" hidden="1" outlineLevel="1">
      <c r="I193" s="375" t="s">
        <v>2582</v>
      </c>
      <c r="J193" s="375"/>
      <c r="K193" s="375"/>
      <c r="L193" s="623">
        <v>310800</v>
      </c>
      <c r="M193" s="6"/>
      <c r="N193" s="121">
        <f>+J187</f>
        <v>1618080.0370370373</v>
      </c>
    </row>
    <row r="194" spans="1:16" hidden="1" outlineLevel="1">
      <c r="I194" s="375" t="s">
        <v>2583</v>
      </c>
      <c r="J194" s="375"/>
      <c r="K194" s="375"/>
      <c r="L194" s="623">
        <v>310700</v>
      </c>
      <c r="M194" s="6"/>
      <c r="N194" s="121">
        <f>+L187</f>
        <v>1025379.7740740742</v>
      </c>
    </row>
    <row r="195" spans="1:16" hidden="1" outlineLevel="1">
      <c r="I195" s="375" t="s">
        <v>2584</v>
      </c>
      <c r="J195" s="375"/>
      <c r="K195" s="375"/>
      <c r="L195" s="623">
        <v>311000</v>
      </c>
      <c r="M195" s="6"/>
      <c r="N195" s="121">
        <f>+M187</f>
        <v>12143395.744444447</v>
      </c>
    </row>
    <row r="196" spans="1:16" hidden="1" outlineLevel="1">
      <c r="I196" s="375" t="s">
        <v>2585</v>
      </c>
      <c r="J196" s="375"/>
      <c r="K196" s="375"/>
      <c r="L196" s="623">
        <v>700100</v>
      </c>
      <c r="M196" s="614">
        <f>+N195+N194+N193</f>
        <v>14786855.555555558</v>
      </c>
      <c r="N196" s="375"/>
    </row>
    <row r="197" spans="1:16" collapsed="1">
      <c r="A197" s="23" t="s">
        <v>2294</v>
      </c>
      <c r="B197" s="23" t="s">
        <v>2850</v>
      </c>
    </row>
    <row r="198" spans="1:16" hidden="1" outlineLevel="1"/>
    <row r="199" spans="1:16" hidden="1" outlineLevel="1">
      <c r="B199" s="595"/>
      <c r="C199" s="595" t="s">
        <v>2596</v>
      </c>
      <c r="D199" s="595"/>
      <c r="E199" s="596"/>
      <c r="F199" s="596"/>
      <c r="G199" s="596"/>
      <c r="H199" s="596"/>
      <c r="I199" s="625"/>
      <c r="J199" s="596"/>
      <c r="K199" s="596"/>
      <c r="L199" s="596"/>
      <c r="M199" s="596"/>
      <c r="N199" s="596"/>
      <c r="O199" s="596"/>
    </row>
    <row r="200" spans="1:16" hidden="1" outlineLevel="1">
      <c r="B200" s="1026" t="s">
        <v>1</v>
      </c>
      <c r="C200" s="1028" t="s">
        <v>1334</v>
      </c>
      <c r="D200" s="1028" t="s">
        <v>1335</v>
      </c>
      <c r="E200" s="1030" t="s">
        <v>1477</v>
      </c>
      <c r="F200" s="1028" t="s">
        <v>1478</v>
      </c>
      <c r="G200" s="1030" t="s">
        <v>1479</v>
      </c>
      <c r="H200" s="1030" t="s">
        <v>1480</v>
      </c>
      <c r="I200" s="1021" t="s">
        <v>1481</v>
      </c>
      <c r="J200" s="1019" t="s">
        <v>1482</v>
      </c>
      <c r="K200" s="1017" t="s">
        <v>2012</v>
      </c>
      <c r="L200" s="1018"/>
      <c r="M200" s="1019" t="s">
        <v>1483</v>
      </c>
      <c r="N200" s="1021" t="s">
        <v>1484</v>
      </c>
      <c r="O200" s="1019" t="s">
        <v>1485</v>
      </c>
    </row>
    <row r="201" spans="1:16" hidden="1" outlineLevel="1">
      <c r="B201" s="1027"/>
      <c r="C201" s="1029"/>
      <c r="D201" s="1029"/>
      <c r="E201" s="1031"/>
      <c r="F201" s="1029"/>
      <c r="G201" s="1031"/>
      <c r="H201" s="1031"/>
      <c r="I201" s="1022"/>
      <c r="J201" s="1020"/>
      <c r="K201" s="601" t="s">
        <v>1633</v>
      </c>
      <c r="L201" s="601" t="s">
        <v>5</v>
      </c>
      <c r="M201" s="1020"/>
      <c r="N201" s="1022"/>
      <c r="O201" s="1020"/>
      <c r="P201" s="238" t="s">
        <v>1633</v>
      </c>
    </row>
    <row r="202" spans="1:16" ht="114.75" hidden="1" outlineLevel="1">
      <c r="A202" s="512">
        <f>+SUM(J202:J211)</f>
        <v>756289.6</v>
      </c>
      <c r="B202" s="482">
        <v>1</v>
      </c>
      <c r="C202" s="602" t="s">
        <v>2409</v>
      </c>
      <c r="D202" s="603" t="s">
        <v>2419</v>
      </c>
      <c r="E202" s="603" t="s">
        <v>1486</v>
      </c>
      <c r="F202" s="604">
        <v>1200000</v>
      </c>
      <c r="G202" s="605">
        <v>25</v>
      </c>
      <c r="H202" s="605">
        <f>+F202/25</f>
        <v>48000</v>
      </c>
      <c r="I202" s="606">
        <f>+H202*G202</f>
        <v>1200000</v>
      </c>
      <c r="J202" s="372">
        <f t="shared" ref="J202:J210" si="72">+I202*0.11</f>
        <v>132000</v>
      </c>
      <c r="K202" s="372">
        <f>+IFERROR(INDEX($S$7:$S$13,MATCH((I202-J202),$Q$7:$Q$13,1)),"")</f>
        <v>10000</v>
      </c>
      <c r="L202" s="372">
        <f t="shared" ref="L202:L227" si="73">+IF((I202-J202)*0.1&lt;K202,0,(I202-J202)*0.1-K202)</f>
        <v>96800</v>
      </c>
      <c r="M202" s="606">
        <f>+I202-J202-L202</f>
        <v>971200</v>
      </c>
      <c r="N202" s="372">
        <f>+I202*0.13</f>
        <v>156000</v>
      </c>
      <c r="O202" s="372">
        <f>+J202+N202</f>
        <v>288000</v>
      </c>
      <c r="P202" s="238">
        <f>+IF(L202,1,0)</f>
        <v>1</v>
      </c>
    </row>
    <row r="203" spans="1:16" hidden="1" outlineLevel="1">
      <c r="A203" s="512">
        <f>+SUM(L202:L210)</f>
        <v>503689.05599999998</v>
      </c>
      <c r="B203" s="482">
        <f>+B202+1</f>
        <v>2</v>
      </c>
      <c r="C203" s="607" t="s">
        <v>2410</v>
      </c>
      <c r="D203" s="608" t="s">
        <v>2420</v>
      </c>
      <c r="E203" s="608" t="s">
        <v>1487</v>
      </c>
      <c r="F203" s="604">
        <v>1200000</v>
      </c>
      <c r="G203" s="605">
        <v>25</v>
      </c>
      <c r="H203" s="605">
        <f t="shared" ref="H203:H227" si="74">+F203/25</f>
        <v>48000</v>
      </c>
      <c r="I203" s="606">
        <f t="shared" ref="I203:I227" si="75">+H203*G203</f>
        <v>1200000</v>
      </c>
      <c r="J203" s="372">
        <f t="shared" si="72"/>
        <v>132000</v>
      </c>
      <c r="K203" s="372">
        <f t="shared" ref="K203:K226" si="76">+IFERROR(INDEX($S$7:$S$13,MATCH((I203-J203),$Q$7:$Q$13,1)),"")</f>
        <v>10000</v>
      </c>
      <c r="L203" s="372">
        <f t="shared" si="73"/>
        <v>96800</v>
      </c>
      <c r="M203" s="606">
        <f t="shared" ref="M203:M226" si="77">+I203-J203-L203</f>
        <v>971200</v>
      </c>
      <c r="N203" s="372">
        <f>+I203*0.13</f>
        <v>156000</v>
      </c>
      <c r="O203" s="372">
        <f t="shared" ref="O203:O227" si="78">+J203+N203</f>
        <v>288000</v>
      </c>
      <c r="P203" s="238">
        <f t="shared" ref="P203:P227" si="79">+IF(L203,1,0)</f>
        <v>1</v>
      </c>
    </row>
    <row r="204" spans="1:16" hidden="1" outlineLevel="1">
      <c r="A204" s="512">
        <f>+SUM(M202:M210)</f>
        <v>5333201.5039999997</v>
      </c>
      <c r="B204" s="482">
        <f t="shared" ref="B204:B227" si="80">+B203+1</f>
        <v>3</v>
      </c>
      <c r="C204" s="609" t="s">
        <v>1488</v>
      </c>
      <c r="D204" s="608" t="s">
        <v>2421</v>
      </c>
      <c r="E204" s="608" t="s">
        <v>1489</v>
      </c>
      <c r="F204" s="610">
        <v>1400000</v>
      </c>
      <c r="G204" s="605">
        <v>25</v>
      </c>
      <c r="H204" s="605">
        <f t="shared" si="74"/>
        <v>56000</v>
      </c>
      <c r="I204" s="606">
        <f t="shared" si="75"/>
        <v>1400000</v>
      </c>
      <c r="J204" s="372">
        <f t="shared" si="72"/>
        <v>154000</v>
      </c>
      <c r="K204" s="372">
        <f t="shared" si="76"/>
        <v>10000</v>
      </c>
      <c r="L204" s="372">
        <f t="shared" si="73"/>
        <v>114600</v>
      </c>
      <c r="M204" s="606">
        <f t="shared" si="77"/>
        <v>1131400</v>
      </c>
      <c r="N204" s="372">
        <f>+I204*0.13</f>
        <v>182000</v>
      </c>
      <c r="O204" s="372">
        <f t="shared" si="78"/>
        <v>336000</v>
      </c>
      <c r="P204" s="238">
        <f t="shared" si="79"/>
        <v>1</v>
      </c>
    </row>
    <row r="205" spans="1:16" hidden="1" outlineLevel="1">
      <c r="A205" s="512">
        <f>+A204+A203+A202</f>
        <v>6593180.1599999992</v>
      </c>
      <c r="B205" s="482">
        <f t="shared" si="80"/>
        <v>4</v>
      </c>
      <c r="C205" s="607" t="s">
        <v>2411</v>
      </c>
      <c r="D205" s="608" t="s">
        <v>2422</v>
      </c>
      <c r="E205" s="611" t="s">
        <v>1490</v>
      </c>
      <c r="F205" s="610">
        <v>240000</v>
      </c>
      <c r="G205" s="605">
        <v>0</v>
      </c>
      <c r="H205" s="605"/>
      <c r="I205" s="606">
        <f t="shared" si="75"/>
        <v>0</v>
      </c>
      <c r="J205" s="372">
        <f t="shared" si="72"/>
        <v>0</v>
      </c>
      <c r="K205" s="372">
        <v>0</v>
      </c>
      <c r="L205" s="372">
        <f t="shared" si="73"/>
        <v>0</v>
      </c>
      <c r="M205" s="606">
        <f t="shared" si="77"/>
        <v>0</v>
      </c>
      <c r="N205" s="372">
        <f>+F205*0.09</f>
        <v>21600</v>
      </c>
      <c r="O205" s="372">
        <f t="shared" si="78"/>
        <v>21600</v>
      </c>
      <c r="P205" s="238">
        <f t="shared" si="79"/>
        <v>0</v>
      </c>
    </row>
    <row r="206" spans="1:16" hidden="1" outlineLevel="1">
      <c r="A206" s="512"/>
      <c r="B206" s="482">
        <f t="shared" si="80"/>
        <v>5</v>
      </c>
      <c r="C206" s="607" t="s">
        <v>2412</v>
      </c>
      <c r="D206" s="608" t="s">
        <v>2423</v>
      </c>
      <c r="E206" s="608" t="s">
        <v>1491</v>
      </c>
      <c r="F206" s="610">
        <v>900000</v>
      </c>
      <c r="G206" s="605">
        <v>25</v>
      </c>
      <c r="H206" s="605">
        <f t="shared" si="74"/>
        <v>36000</v>
      </c>
      <c r="I206" s="606">
        <f t="shared" si="75"/>
        <v>900000</v>
      </c>
      <c r="J206" s="372">
        <f t="shared" si="72"/>
        <v>99000</v>
      </c>
      <c r="K206" s="372">
        <f t="shared" si="76"/>
        <v>11666.666666666666</v>
      </c>
      <c r="L206" s="372">
        <f>+IF((I206-J206)*0.1&lt;K206,0,(I206-J206)*0.1-K206)</f>
        <v>68433.333333333328</v>
      </c>
      <c r="M206" s="606">
        <f t="shared" si="77"/>
        <v>732566.66666666663</v>
      </c>
      <c r="N206" s="372">
        <f>+I206*0.13</f>
        <v>117000</v>
      </c>
      <c r="O206" s="372">
        <f t="shared" si="78"/>
        <v>216000</v>
      </c>
      <c r="P206" s="238">
        <f t="shared" si="79"/>
        <v>1</v>
      </c>
    </row>
    <row r="207" spans="1:16" hidden="1" outlineLevel="1">
      <c r="A207" s="512">
        <f>+SUM(N202:N210)</f>
        <v>895779.52</v>
      </c>
      <c r="B207" s="482">
        <f t="shared" si="80"/>
        <v>6</v>
      </c>
      <c r="C207" s="607" t="s">
        <v>2413</v>
      </c>
      <c r="D207" s="608" t="s">
        <v>2424</v>
      </c>
      <c r="E207" s="608" t="s">
        <v>2417</v>
      </c>
      <c r="F207" s="610">
        <v>1000000</v>
      </c>
      <c r="G207" s="605">
        <v>25</v>
      </c>
      <c r="H207" s="605">
        <f t="shared" si="74"/>
        <v>40000</v>
      </c>
      <c r="I207" s="606">
        <f t="shared" si="75"/>
        <v>1000000</v>
      </c>
      <c r="J207" s="372">
        <f t="shared" si="72"/>
        <v>110000</v>
      </c>
      <c r="K207" s="372">
        <f t="shared" si="76"/>
        <v>11666.666666666666</v>
      </c>
      <c r="L207" s="372">
        <f t="shared" si="73"/>
        <v>77333.333333333328</v>
      </c>
      <c r="M207" s="606">
        <f t="shared" si="77"/>
        <v>812666.66666666663</v>
      </c>
      <c r="N207" s="372">
        <f>+I207*0.13</f>
        <v>130000</v>
      </c>
      <c r="O207" s="372">
        <f t="shared" si="78"/>
        <v>240000</v>
      </c>
      <c r="P207" s="238">
        <f t="shared" si="79"/>
        <v>1</v>
      </c>
    </row>
    <row r="208" spans="1:16" hidden="1" outlineLevel="1">
      <c r="A208" s="512">
        <f>+A207*3</f>
        <v>2687338.56</v>
      </c>
      <c r="B208" s="482">
        <f t="shared" si="80"/>
        <v>7</v>
      </c>
      <c r="C208" s="607" t="s">
        <v>2414</v>
      </c>
      <c r="D208" s="611" t="s">
        <v>2424</v>
      </c>
      <c r="E208" s="611" t="s">
        <v>1859</v>
      </c>
      <c r="F208" s="422">
        <v>500000</v>
      </c>
      <c r="G208" s="605">
        <v>26</v>
      </c>
      <c r="H208" s="605">
        <f t="shared" si="74"/>
        <v>20000</v>
      </c>
      <c r="I208" s="606">
        <f t="shared" si="75"/>
        <v>520000</v>
      </c>
      <c r="J208" s="372">
        <f t="shared" si="72"/>
        <v>57200</v>
      </c>
      <c r="K208" s="372">
        <f t="shared" si="76"/>
        <v>13333.333333333334</v>
      </c>
      <c r="L208" s="372">
        <f t="shared" si="73"/>
        <v>32946.666666666664</v>
      </c>
      <c r="M208" s="606">
        <f t="shared" si="77"/>
        <v>429853.33333333331</v>
      </c>
      <c r="N208" s="372">
        <f>+I208*0.13</f>
        <v>67600</v>
      </c>
      <c r="O208" s="372">
        <f t="shared" si="78"/>
        <v>124800</v>
      </c>
      <c r="P208" s="238">
        <f t="shared" si="79"/>
        <v>1</v>
      </c>
    </row>
    <row r="209" spans="1:16" hidden="1" outlineLevel="1">
      <c r="A209" s="512">
        <f>+A205*3</f>
        <v>19779540.479999997</v>
      </c>
      <c r="B209" s="482">
        <f t="shared" si="80"/>
        <v>8</v>
      </c>
      <c r="C209" s="607" t="s">
        <v>2485</v>
      </c>
      <c r="D209" s="608" t="s">
        <v>2424</v>
      </c>
      <c r="E209" s="611" t="s">
        <v>2418</v>
      </c>
      <c r="F209" s="614">
        <v>240000</v>
      </c>
      <c r="G209" s="605">
        <v>0</v>
      </c>
      <c r="H209" s="605">
        <f t="shared" si="74"/>
        <v>9600</v>
      </c>
      <c r="I209" s="606">
        <f t="shared" si="75"/>
        <v>0</v>
      </c>
      <c r="J209" s="372">
        <f t="shared" si="72"/>
        <v>0</v>
      </c>
      <c r="K209" s="372" t="str">
        <f t="shared" si="76"/>
        <v/>
      </c>
      <c r="L209" s="372">
        <f t="shared" si="73"/>
        <v>0</v>
      </c>
      <c r="M209" s="606">
        <f t="shared" si="77"/>
        <v>0</v>
      </c>
      <c r="N209" s="372">
        <f>+F209*0.09</f>
        <v>21600</v>
      </c>
      <c r="O209" s="372">
        <f t="shared" si="78"/>
        <v>21600</v>
      </c>
      <c r="P209" s="238">
        <f t="shared" si="79"/>
        <v>0</v>
      </c>
    </row>
    <row r="210" spans="1:16" hidden="1" outlineLevel="1">
      <c r="A210" s="512"/>
      <c r="B210" s="482">
        <f t="shared" si="80"/>
        <v>9</v>
      </c>
      <c r="C210" s="844" t="s">
        <v>2415</v>
      </c>
      <c r="D210" s="614" t="s">
        <v>2425</v>
      </c>
      <c r="E210" s="614" t="s">
        <v>1860</v>
      </c>
      <c r="F210" s="615">
        <v>480000</v>
      </c>
      <c r="G210" s="784">
        <v>17.62</v>
      </c>
      <c r="H210" s="605">
        <f t="shared" si="74"/>
        <v>19200</v>
      </c>
      <c r="I210" s="606">
        <f t="shared" si="75"/>
        <v>338304</v>
      </c>
      <c r="J210" s="372">
        <f t="shared" si="72"/>
        <v>37213.440000000002</v>
      </c>
      <c r="K210" s="372">
        <f t="shared" si="76"/>
        <v>13333.333333333334</v>
      </c>
      <c r="L210" s="372">
        <f t="shared" si="73"/>
        <v>16775.722666666668</v>
      </c>
      <c r="M210" s="606">
        <f t="shared" si="77"/>
        <v>284314.83733333333</v>
      </c>
      <c r="N210" s="372">
        <f>+I210*0.13</f>
        <v>43979.520000000004</v>
      </c>
      <c r="O210" s="372">
        <f t="shared" si="78"/>
        <v>81192.960000000006</v>
      </c>
      <c r="P210" s="238">
        <f t="shared" si="79"/>
        <v>1</v>
      </c>
    </row>
    <row r="211" spans="1:16" hidden="1" outlineLevel="1">
      <c r="A211" s="512"/>
      <c r="B211" s="482">
        <f t="shared" si="80"/>
        <v>10</v>
      </c>
      <c r="C211" s="607" t="s">
        <v>2416</v>
      </c>
      <c r="D211" s="613" t="s">
        <v>2426</v>
      </c>
      <c r="E211" s="611" t="s">
        <v>1492</v>
      </c>
      <c r="F211" s="614">
        <v>400000</v>
      </c>
      <c r="G211" s="784">
        <v>24.77</v>
      </c>
      <c r="H211" s="605">
        <f t="shared" si="74"/>
        <v>16000</v>
      </c>
      <c r="I211" s="606">
        <f t="shared" si="75"/>
        <v>396320</v>
      </c>
      <c r="J211" s="372">
        <f>+I211*0.088</f>
        <v>34876.159999999996</v>
      </c>
      <c r="K211" s="372">
        <f t="shared" si="76"/>
        <v>13333.333333333334</v>
      </c>
      <c r="L211" s="372">
        <f t="shared" si="73"/>
        <v>22811.05066666667</v>
      </c>
      <c r="M211" s="606">
        <f t="shared" si="77"/>
        <v>338632.78933333338</v>
      </c>
      <c r="N211" s="372">
        <f>+I211*0.108</f>
        <v>42802.559999999998</v>
      </c>
      <c r="O211" s="372">
        <f t="shared" si="78"/>
        <v>77678.720000000001</v>
      </c>
      <c r="P211" s="238">
        <f t="shared" si="79"/>
        <v>1</v>
      </c>
    </row>
    <row r="212" spans="1:16" hidden="1" outlineLevel="1">
      <c r="B212" s="482">
        <f t="shared" si="80"/>
        <v>11</v>
      </c>
      <c r="C212" s="607" t="s">
        <v>2427</v>
      </c>
      <c r="D212" s="611" t="s">
        <v>2441</v>
      </c>
      <c r="E212" s="611" t="s">
        <v>1493</v>
      </c>
      <c r="F212" s="833">
        <v>450000</v>
      </c>
      <c r="G212" s="784">
        <v>10.76</v>
      </c>
      <c r="H212" s="605">
        <f t="shared" si="74"/>
        <v>18000</v>
      </c>
      <c r="I212" s="606">
        <f t="shared" si="75"/>
        <v>193680</v>
      </c>
      <c r="J212" s="372">
        <f t="shared" ref="J212:J227" si="81">+I212*0.11</f>
        <v>21304.799999999999</v>
      </c>
      <c r="K212" s="372">
        <f t="shared" si="76"/>
        <v>13333.333333333334</v>
      </c>
      <c r="L212" s="372">
        <f t="shared" si="73"/>
        <v>3904.1866666666665</v>
      </c>
      <c r="M212" s="606">
        <f t="shared" si="77"/>
        <v>168471.01333333334</v>
      </c>
      <c r="N212" s="372">
        <f t="shared" ref="N212:N227" si="82">+I212*0.13</f>
        <v>25178.400000000001</v>
      </c>
      <c r="O212" s="372">
        <f t="shared" si="78"/>
        <v>46483.199999999997</v>
      </c>
      <c r="P212" s="238">
        <f t="shared" si="79"/>
        <v>1</v>
      </c>
    </row>
    <row r="213" spans="1:16" hidden="1" outlineLevel="1">
      <c r="B213" s="482">
        <f t="shared" si="80"/>
        <v>12</v>
      </c>
      <c r="C213" s="607" t="s">
        <v>2428</v>
      </c>
      <c r="D213" s="613" t="s">
        <v>2442</v>
      </c>
      <c r="E213" s="622" t="s">
        <v>1494</v>
      </c>
      <c r="F213" s="833">
        <v>450000</v>
      </c>
      <c r="G213" s="784">
        <v>25.3</v>
      </c>
      <c r="H213" s="605">
        <f t="shared" si="74"/>
        <v>18000</v>
      </c>
      <c r="I213" s="606">
        <f t="shared" si="75"/>
        <v>455400</v>
      </c>
      <c r="J213" s="372">
        <f t="shared" si="81"/>
        <v>50094</v>
      </c>
      <c r="K213" s="372">
        <f t="shared" si="76"/>
        <v>13333.333333333334</v>
      </c>
      <c r="L213" s="372">
        <f t="shared" si="73"/>
        <v>27197.26666666667</v>
      </c>
      <c r="M213" s="606">
        <f t="shared" si="77"/>
        <v>378108.73333333334</v>
      </c>
      <c r="N213" s="372">
        <f t="shared" si="82"/>
        <v>59202</v>
      </c>
      <c r="O213" s="372">
        <f t="shared" si="78"/>
        <v>109296</v>
      </c>
      <c r="P213" s="238">
        <f t="shared" si="79"/>
        <v>1</v>
      </c>
    </row>
    <row r="214" spans="1:16" hidden="1" outlineLevel="1">
      <c r="B214" s="482">
        <f t="shared" si="80"/>
        <v>13</v>
      </c>
      <c r="C214" s="616" t="s">
        <v>2429</v>
      </c>
      <c r="D214" s="613" t="s">
        <v>2442</v>
      </c>
      <c r="E214" s="451" t="s">
        <v>1861</v>
      </c>
      <c r="F214" s="833">
        <v>450000</v>
      </c>
      <c r="G214" s="784">
        <v>23</v>
      </c>
      <c r="H214" s="605">
        <f t="shared" si="74"/>
        <v>18000</v>
      </c>
      <c r="I214" s="606">
        <f t="shared" si="75"/>
        <v>414000</v>
      </c>
      <c r="J214" s="372">
        <f t="shared" si="81"/>
        <v>45540</v>
      </c>
      <c r="K214" s="372">
        <f t="shared" si="76"/>
        <v>13333.333333333334</v>
      </c>
      <c r="L214" s="372">
        <f t="shared" si="73"/>
        <v>23512.666666666664</v>
      </c>
      <c r="M214" s="606">
        <f t="shared" si="77"/>
        <v>344947.33333333331</v>
      </c>
      <c r="N214" s="372">
        <f t="shared" si="82"/>
        <v>53820</v>
      </c>
      <c r="O214" s="372">
        <f t="shared" si="78"/>
        <v>99360</v>
      </c>
      <c r="P214" s="238">
        <f t="shared" si="79"/>
        <v>1</v>
      </c>
    </row>
    <row r="215" spans="1:16" hidden="1" outlineLevel="1">
      <c r="B215" s="482">
        <f t="shared" si="80"/>
        <v>14</v>
      </c>
      <c r="C215" s="616" t="s">
        <v>2430</v>
      </c>
      <c r="D215" s="613" t="s">
        <v>2442</v>
      </c>
      <c r="E215" s="617" t="s">
        <v>1495</v>
      </c>
      <c r="F215" s="833">
        <v>480000</v>
      </c>
      <c r="G215" s="784">
        <v>12.9</v>
      </c>
      <c r="H215" s="605">
        <f t="shared" si="74"/>
        <v>19200</v>
      </c>
      <c r="I215" s="606">
        <f t="shared" si="75"/>
        <v>247680</v>
      </c>
      <c r="J215" s="372">
        <f t="shared" si="81"/>
        <v>27244.799999999999</v>
      </c>
      <c r="K215" s="372">
        <f t="shared" si="76"/>
        <v>13333.333333333334</v>
      </c>
      <c r="L215" s="372">
        <f t="shared" si="73"/>
        <v>8710.1866666666701</v>
      </c>
      <c r="M215" s="606">
        <f t="shared" si="77"/>
        <v>211725.01333333334</v>
      </c>
      <c r="N215" s="372">
        <f t="shared" si="82"/>
        <v>32198.400000000001</v>
      </c>
      <c r="O215" s="372">
        <f t="shared" si="78"/>
        <v>59443.199999999997</v>
      </c>
      <c r="P215" s="238">
        <f t="shared" si="79"/>
        <v>1</v>
      </c>
    </row>
    <row r="216" spans="1:16" hidden="1" outlineLevel="1">
      <c r="B216" s="482">
        <f t="shared" si="80"/>
        <v>15</v>
      </c>
      <c r="C216" s="602" t="s">
        <v>2431</v>
      </c>
      <c r="D216" s="612" t="s">
        <v>2442</v>
      </c>
      <c r="E216" s="611" t="s">
        <v>1496</v>
      </c>
      <c r="F216" s="834">
        <v>800000</v>
      </c>
      <c r="G216" s="784">
        <v>25.14</v>
      </c>
      <c r="H216" s="605">
        <f t="shared" si="74"/>
        <v>32000</v>
      </c>
      <c r="I216" s="606">
        <f t="shared" si="75"/>
        <v>804480</v>
      </c>
      <c r="J216" s="372">
        <f t="shared" si="81"/>
        <v>88492.800000000003</v>
      </c>
      <c r="K216" s="372">
        <f t="shared" si="76"/>
        <v>11666.666666666666</v>
      </c>
      <c r="L216" s="372">
        <f t="shared" si="73"/>
        <v>59932.053333333337</v>
      </c>
      <c r="M216" s="606">
        <f t="shared" si="77"/>
        <v>656055.14666666661</v>
      </c>
      <c r="N216" s="372">
        <f t="shared" si="82"/>
        <v>104582.40000000001</v>
      </c>
      <c r="O216" s="372">
        <f t="shared" si="78"/>
        <v>193075.20000000001</v>
      </c>
      <c r="P216" s="238">
        <f t="shared" si="79"/>
        <v>1</v>
      </c>
    </row>
    <row r="217" spans="1:16" hidden="1" outlineLevel="1">
      <c r="B217" s="482">
        <f t="shared" si="80"/>
        <v>16</v>
      </c>
      <c r="C217" s="602" t="s">
        <v>2432</v>
      </c>
      <c r="D217" s="612" t="s">
        <v>2442</v>
      </c>
      <c r="E217" s="620" t="s">
        <v>1497</v>
      </c>
      <c r="F217" s="834">
        <v>480000</v>
      </c>
      <c r="G217" s="784">
        <v>21.35</v>
      </c>
      <c r="H217" s="605">
        <f t="shared" si="74"/>
        <v>19200</v>
      </c>
      <c r="I217" s="606">
        <f t="shared" si="75"/>
        <v>409920</v>
      </c>
      <c r="J217" s="372">
        <f t="shared" si="81"/>
        <v>45091.199999999997</v>
      </c>
      <c r="K217" s="372">
        <f t="shared" si="76"/>
        <v>13333.333333333334</v>
      </c>
      <c r="L217" s="372">
        <f t="shared" si="73"/>
        <v>23149.546666666662</v>
      </c>
      <c r="M217" s="606">
        <f t="shared" si="77"/>
        <v>341679.2533333333</v>
      </c>
      <c r="N217" s="372">
        <f t="shared" si="82"/>
        <v>53289.599999999999</v>
      </c>
      <c r="O217" s="372">
        <f t="shared" si="78"/>
        <v>98380.799999999988</v>
      </c>
      <c r="P217" s="238">
        <f t="shared" si="79"/>
        <v>1</v>
      </c>
    </row>
    <row r="218" spans="1:16" hidden="1" outlineLevel="1">
      <c r="B218" s="482">
        <f t="shared" si="80"/>
        <v>17</v>
      </c>
      <c r="C218" s="602" t="s">
        <v>2433</v>
      </c>
      <c r="D218" s="608" t="s">
        <v>2442</v>
      </c>
      <c r="E218" s="619" t="s">
        <v>1498</v>
      </c>
      <c r="F218" s="834">
        <v>480000</v>
      </c>
      <c r="G218" s="784">
        <v>26.79</v>
      </c>
      <c r="H218" s="605">
        <f t="shared" si="74"/>
        <v>19200</v>
      </c>
      <c r="I218" s="606">
        <f t="shared" si="75"/>
        <v>514368</v>
      </c>
      <c r="J218" s="372">
        <f t="shared" si="81"/>
        <v>56580.480000000003</v>
      </c>
      <c r="K218" s="372">
        <f t="shared" si="76"/>
        <v>13333.333333333334</v>
      </c>
      <c r="L218" s="372">
        <f t="shared" si="73"/>
        <v>32445.418666666672</v>
      </c>
      <c r="M218" s="606">
        <f t="shared" si="77"/>
        <v>425342.10133333335</v>
      </c>
      <c r="N218" s="372">
        <f t="shared" si="82"/>
        <v>66867.839999999997</v>
      </c>
      <c r="O218" s="372">
        <f t="shared" si="78"/>
        <v>123448.32000000001</v>
      </c>
      <c r="P218" s="238">
        <f t="shared" si="79"/>
        <v>1</v>
      </c>
    </row>
    <row r="219" spans="1:16" hidden="1" outlineLevel="1">
      <c r="B219" s="482">
        <f t="shared" si="80"/>
        <v>18</v>
      </c>
      <c r="C219" s="602" t="s">
        <v>2434</v>
      </c>
      <c r="D219" s="608" t="s">
        <v>2442</v>
      </c>
      <c r="E219" s="451" t="s">
        <v>1499</v>
      </c>
      <c r="F219" s="834">
        <v>600000</v>
      </c>
      <c r="G219" s="784">
        <v>23</v>
      </c>
      <c r="H219" s="605">
        <f t="shared" si="74"/>
        <v>24000</v>
      </c>
      <c r="I219" s="606">
        <f t="shared" si="75"/>
        <v>552000</v>
      </c>
      <c r="J219" s="372">
        <f t="shared" si="81"/>
        <v>60720</v>
      </c>
      <c r="K219" s="372">
        <f t="shared" si="76"/>
        <v>13333.333333333334</v>
      </c>
      <c r="L219" s="372">
        <f t="shared" si="73"/>
        <v>35794.666666666664</v>
      </c>
      <c r="M219" s="606">
        <f t="shared" si="77"/>
        <v>455485.33333333331</v>
      </c>
      <c r="N219" s="372">
        <f t="shared" si="82"/>
        <v>71760</v>
      </c>
      <c r="O219" s="372">
        <f t="shared" si="78"/>
        <v>132480</v>
      </c>
      <c r="P219" s="238">
        <f t="shared" si="79"/>
        <v>1</v>
      </c>
    </row>
    <row r="220" spans="1:16" hidden="1" outlineLevel="1">
      <c r="B220" s="482">
        <f t="shared" si="80"/>
        <v>19</v>
      </c>
      <c r="C220" s="616" t="s">
        <v>2435</v>
      </c>
      <c r="D220" s="608" t="s">
        <v>2443</v>
      </c>
      <c r="E220" s="619" t="s">
        <v>1500</v>
      </c>
      <c r="F220" s="834">
        <v>480000</v>
      </c>
      <c r="G220" s="784">
        <v>26.83</v>
      </c>
      <c r="H220" s="605">
        <f t="shared" si="74"/>
        <v>19200</v>
      </c>
      <c r="I220" s="606">
        <f t="shared" si="75"/>
        <v>515135.99999999994</v>
      </c>
      <c r="J220" s="372">
        <f t="shared" si="81"/>
        <v>56664.959999999992</v>
      </c>
      <c r="K220" s="372">
        <f t="shared" si="76"/>
        <v>13333.333333333334</v>
      </c>
      <c r="L220" s="372">
        <f t="shared" si="73"/>
        <v>32513.770666666656</v>
      </c>
      <c r="M220" s="606">
        <f t="shared" si="77"/>
        <v>425957.26933333324</v>
      </c>
      <c r="N220" s="372">
        <f t="shared" si="82"/>
        <v>66967.679999999993</v>
      </c>
      <c r="O220" s="372">
        <f t="shared" si="78"/>
        <v>123632.63999999998</v>
      </c>
      <c r="P220" s="238">
        <f t="shared" si="79"/>
        <v>1</v>
      </c>
    </row>
    <row r="221" spans="1:16" hidden="1" outlineLevel="1">
      <c r="B221" s="482">
        <f t="shared" si="80"/>
        <v>20</v>
      </c>
      <c r="C221" s="616" t="s">
        <v>2587</v>
      </c>
      <c r="D221" s="608" t="s">
        <v>2442</v>
      </c>
      <c r="E221" s="608" t="s">
        <v>2588</v>
      </c>
      <c r="F221" s="834">
        <v>450000</v>
      </c>
      <c r="G221" s="784">
        <v>25.49</v>
      </c>
      <c r="H221" s="605">
        <f t="shared" si="74"/>
        <v>18000</v>
      </c>
      <c r="I221" s="606">
        <f t="shared" si="75"/>
        <v>458820</v>
      </c>
      <c r="J221" s="372">
        <f t="shared" si="81"/>
        <v>50470.2</v>
      </c>
      <c r="K221" s="372">
        <f t="shared" si="76"/>
        <v>13333.333333333334</v>
      </c>
      <c r="L221" s="372">
        <f t="shared" si="73"/>
        <v>27501.646666666667</v>
      </c>
      <c r="M221" s="606">
        <f t="shared" si="77"/>
        <v>380848.15333333332</v>
      </c>
      <c r="N221" s="372">
        <f t="shared" si="82"/>
        <v>59646.6</v>
      </c>
      <c r="O221" s="372">
        <f t="shared" si="78"/>
        <v>110116.79999999999</v>
      </c>
      <c r="P221" s="238">
        <f t="shared" si="79"/>
        <v>1</v>
      </c>
    </row>
    <row r="222" spans="1:16" hidden="1" outlineLevel="1">
      <c r="B222" s="482">
        <f t="shared" si="80"/>
        <v>21</v>
      </c>
      <c r="C222" s="602" t="s">
        <v>2436</v>
      </c>
      <c r="D222" s="608" t="s">
        <v>2442</v>
      </c>
      <c r="E222" s="375" t="s">
        <v>1501</v>
      </c>
      <c r="F222" s="834">
        <v>450000</v>
      </c>
      <c r="G222" s="784">
        <v>24.79</v>
      </c>
      <c r="H222" s="605">
        <f t="shared" si="74"/>
        <v>18000</v>
      </c>
      <c r="I222" s="606">
        <f t="shared" si="75"/>
        <v>446220</v>
      </c>
      <c r="J222" s="372">
        <f t="shared" si="81"/>
        <v>49084.2</v>
      </c>
      <c r="K222" s="372">
        <f t="shared" si="76"/>
        <v>13333.333333333334</v>
      </c>
      <c r="L222" s="372">
        <f t="shared" si="73"/>
        <v>26380.246666666666</v>
      </c>
      <c r="M222" s="606">
        <f t="shared" si="77"/>
        <v>370755.55333333334</v>
      </c>
      <c r="N222" s="372">
        <f t="shared" si="82"/>
        <v>58008.6</v>
      </c>
      <c r="O222" s="372">
        <f t="shared" si="78"/>
        <v>107092.79999999999</v>
      </c>
      <c r="P222" s="238">
        <f t="shared" si="79"/>
        <v>1</v>
      </c>
    </row>
    <row r="223" spans="1:16" hidden="1" outlineLevel="1">
      <c r="B223" s="482">
        <f t="shared" si="80"/>
        <v>22</v>
      </c>
      <c r="C223" s="618" t="s">
        <v>2438</v>
      </c>
      <c r="D223" s="608" t="s">
        <v>2442</v>
      </c>
      <c r="E223" s="375" t="s">
        <v>1502</v>
      </c>
      <c r="F223" s="834">
        <v>480000</v>
      </c>
      <c r="G223" s="784">
        <v>23.11</v>
      </c>
      <c r="H223" s="605">
        <f t="shared" si="74"/>
        <v>19200</v>
      </c>
      <c r="I223" s="606">
        <f>+H223*G223</f>
        <v>443712</v>
      </c>
      <c r="J223" s="372">
        <f>+I223*0.11</f>
        <v>48808.32</v>
      </c>
      <c r="K223" s="372">
        <f>+IFERROR(INDEX($S$7:$S$13,MATCH((I223-J223),$Q$7:$Q$13,1)),"")</f>
        <v>13333.333333333334</v>
      </c>
      <c r="L223" s="372">
        <f>+IF((I223-J223)*0.1&lt;K223,0,(I223-J223)*0.1-K223)</f>
        <v>26157.034666666666</v>
      </c>
      <c r="M223" s="606">
        <f>+I223-J223-L223</f>
        <v>368746.64533333335</v>
      </c>
      <c r="N223" s="372">
        <f>+I223*0.13</f>
        <v>57682.560000000005</v>
      </c>
      <c r="O223" s="372">
        <f>+J223+N223</f>
        <v>106490.88</v>
      </c>
      <c r="P223" s="238">
        <f>+IF(L223,1,0)</f>
        <v>1</v>
      </c>
    </row>
    <row r="224" spans="1:16" hidden="1" outlineLevel="1">
      <c r="B224" s="482">
        <f t="shared" si="80"/>
        <v>23</v>
      </c>
      <c r="C224" s="618" t="s">
        <v>2437</v>
      </c>
      <c r="D224" s="608" t="s">
        <v>2442</v>
      </c>
      <c r="E224" s="375" t="s">
        <v>1521</v>
      </c>
      <c r="F224" s="834">
        <v>450000</v>
      </c>
      <c r="G224" s="784">
        <v>23</v>
      </c>
      <c r="H224" s="605">
        <f t="shared" si="74"/>
        <v>18000</v>
      </c>
      <c r="I224" s="606">
        <f t="shared" si="75"/>
        <v>414000</v>
      </c>
      <c r="J224" s="372">
        <f t="shared" si="81"/>
        <v>45540</v>
      </c>
      <c r="K224" s="372">
        <f t="shared" si="76"/>
        <v>13333.333333333334</v>
      </c>
      <c r="L224" s="372">
        <f t="shared" si="73"/>
        <v>23512.666666666664</v>
      </c>
      <c r="M224" s="606">
        <f t="shared" si="77"/>
        <v>344947.33333333331</v>
      </c>
      <c r="N224" s="372">
        <f t="shared" si="82"/>
        <v>53820</v>
      </c>
      <c r="O224" s="372">
        <f t="shared" si="78"/>
        <v>99360</v>
      </c>
      <c r="P224" s="238">
        <f t="shared" si="79"/>
        <v>1</v>
      </c>
    </row>
    <row r="225" spans="1:16" hidden="1" outlineLevel="1">
      <c r="B225" s="482">
        <f t="shared" si="80"/>
        <v>24</v>
      </c>
      <c r="C225" s="618" t="s">
        <v>2589</v>
      </c>
      <c r="D225" s="608" t="s">
        <v>2442</v>
      </c>
      <c r="E225" s="375" t="s">
        <v>2590</v>
      </c>
      <c r="F225" s="834">
        <v>450000</v>
      </c>
      <c r="G225" s="784">
        <v>24.52</v>
      </c>
      <c r="H225" s="605">
        <f t="shared" si="74"/>
        <v>18000</v>
      </c>
      <c r="I225" s="606">
        <f t="shared" si="75"/>
        <v>441360</v>
      </c>
      <c r="J225" s="372">
        <f t="shared" si="81"/>
        <v>48549.599999999999</v>
      </c>
      <c r="K225" s="372">
        <f t="shared" si="76"/>
        <v>13333.333333333334</v>
      </c>
      <c r="L225" s="372">
        <f t="shared" si="73"/>
        <v>25947.706666666665</v>
      </c>
      <c r="M225" s="606">
        <f t="shared" si="77"/>
        <v>366862.69333333336</v>
      </c>
      <c r="N225" s="372">
        <f t="shared" si="82"/>
        <v>57376.800000000003</v>
      </c>
      <c r="O225" s="372">
        <f t="shared" si="78"/>
        <v>105926.39999999999</v>
      </c>
      <c r="P225" s="238">
        <f t="shared" si="79"/>
        <v>1</v>
      </c>
    </row>
    <row r="226" spans="1:16" hidden="1" outlineLevel="1">
      <c r="B226" s="482">
        <f t="shared" si="80"/>
        <v>25</v>
      </c>
      <c r="C226" s="616" t="s">
        <v>2439</v>
      </c>
      <c r="D226" s="608" t="s">
        <v>2442</v>
      </c>
      <c r="E226" s="611" t="s">
        <v>1503</v>
      </c>
      <c r="F226" s="834">
        <v>450000</v>
      </c>
      <c r="G226" s="784">
        <v>25</v>
      </c>
      <c r="H226" s="605">
        <f t="shared" si="74"/>
        <v>18000</v>
      </c>
      <c r="I226" s="606">
        <f t="shared" si="75"/>
        <v>450000</v>
      </c>
      <c r="J226" s="372">
        <f t="shared" si="81"/>
        <v>49500</v>
      </c>
      <c r="K226" s="372">
        <f t="shared" si="76"/>
        <v>13333.333333333334</v>
      </c>
      <c r="L226" s="372">
        <f t="shared" si="73"/>
        <v>26716.666666666664</v>
      </c>
      <c r="M226" s="606">
        <f t="shared" si="77"/>
        <v>373783.33333333331</v>
      </c>
      <c r="N226" s="372">
        <f t="shared" si="82"/>
        <v>58500</v>
      </c>
      <c r="O226" s="372">
        <f t="shared" si="78"/>
        <v>108000</v>
      </c>
      <c r="P226" s="238">
        <f t="shared" si="79"/>
        <v>1</v>
      </c>
    </row>
    <row r="227" spans="1:16" hidden="1" outlineLevel="1">
      <c r="B227" s="482">
        <f t="shared" si="80"/>
        <v>26</v>
      </c>
      <c r="C227" s="602" t="s">
        <v>2440</v>
      </c>
      <c r="D227" s="608" t="s">
        <v>2442</v>
      </c>
      <c r="E227" s="611" t="s">
        <v>1851</v>
      </c>
      <c r="F227" s="834">
        <v>500000</v>
      </c>
      <c r="G227" s="784">
        <v>6</v>
      </c>
      <c r="H227" s="605">
        <f t="shared" si="74"/>
        <v>20000</v>
      </c>
      <c r="I227" s="606">
        <f t="shared" si="75"/>
        <v>120000</v>
      </c>
      <c r="J227" s="372">
        <f t="shared" si="81"/>
        <v>13200</v>
      </c>
      <c r="K227" s="372">
        <v>10680</v>
      </c>
      <c r="L227" s="372">
        <f t="shared" si="73"/>
        <v>0</v>
      </c>
      <c r="M227" s="606">
        <f>+I227-J227-L227</f>
        <v>106800</v>
      </c>
      <c r="N227" s="372">
        <f t="shared" si="82"/>
        <v>15600</v>
      </c>
      <c r="O227" s="372">
        <f t="shared" si="78"/>
        <v>28800</v>
      </c>
      <c r="P227" s="238">
        <f t="shared" si="79"/>
        <v>0</v>
      </c>
    </row>
    <row r="228" spans="1:16" hidden="1" outlineLevel="1">
      <c r="B228" s="1032" t="s">
        <v>6</v>
      </c>
      <c r="C228" s="1032"/>
      <c r="D228" s="1032"/>
      <c r="E228" s="1032"/>
      <c r="F228" s="624">
        <f t="shared" ref="F228:P228" si="83">SUM(F202:F227)</f>
        <v>15460000</v>
      </c>
      <c r="G228" s="624">
        <f t="shared" si="83"/>
        <v>540.37000000000012</v>
      </c>
      <c r="H228" s="624">
        <f t="shared" si="83"/>
        <v>608800</v>
      </c>
      <c r="I228" s="624">
        <f t="shared" si="83"/>
        <v>13835400</v>
      </c>
      <c r="J228" s="621">
        <f t="shared" si="83"/>
        <v>1513174.9600000002</v>
      </c>
      <c r="K228" s="621">
        <f t="shared" si="83"/>
        <v>302346.66666666669</v>
      </c>
      <c r="L228" s="621">
        <f t="shared" si="83"/>
        <v>929875.83733333333</v>
      </c>
      <c r="M228" s="621">
        <f t="shared" si="83"/>
        <v>11392349.202666664</v>
      </c>
      <c r="N228" s="621">
        <f t="shared" si="83"/>
        <v>1833082.9600000002</v>
      </c>
      <c r="O228" s="621">
        <f t="shared" si="83"/>
        <v>3346257.919999999</v>
      </c>
      <c r="P228" s="621">
        <f t="shared" si="83"/>
        <v>23</v>
      </c>
    </row>
    <row r="229" spans="1:16" hidden="1" outlineLevel="1">
      <c r="I229" s="79">
        <v>14315400</v>
      </c>
      <c r="J229" s="79">
        <v>1513174.36</v>
      </c>
      <c r="N229" s="79">
        <v>1833082.96</v>
      </c>
      <c r="O229" s="238">
        <v>3346257.9199999999</v>
      </c>
    </row>
    <row r="230" spans="1:16" hidden="1" outlineLevel="1">
      <c r="I230" s="79">
        <f>+I228-I229</f>
        <v>-480000</v>
      </c>
      <c r="J230" s="79">
        <f>+J228-J229</f>
        <v>0.60000000009313226</v>
      </c>
      <c r="K230" s="79">
        <f>+K228-K229</f>
        <v>302346.66666666669</v>
      </c>
      <c r="L230" s="79">
        <f>+L228-L229</f>
        <v>929875.83733333333</v>
      </c>
      <c r="N230" s="79">
        <f>+N228-N229</f>
        <v>0</v>
      </c>
      <c r="O230" s="79">
        <f>+O228-O229</f>
        <v>0</v>
      </c>
    </row>
    <row r="231" spans="1:16" hidden="1" outlineLevel="1">
      <c r="I231" s="23" t="s">
        <v>1504</v>
      </c>
    </row>
    <row r="232" spans="1:16" hidden="1" outlineLevel="1">
      <c r="I232" s="375" t="s">
        <v>1321</v>
      </c>
      <c r="J232" s="375"/>
      <c r="K232" s="375"/>
      <c r="L232" s="375"/>
      <c r="M232" s="622" t="s">
        <v>261</v>
      </c>
      <c r="N232" s="375" t="s">
        <v>262</v>
      </c>
    </row>
    <row r="233" spans="1:16" hidden="1" outlineLevel="1">
      <c r="I233" s="375" t="s">
        <v>2597</v>
      </c>
      <c r="J233" s="375"/>
      <c r="K233" s="375"/>
      <c r="L233" s="623">
        <v>700200</v>
      </c>
      <c r="M233" s="121">
        <f>+N228</f>
        <v>1833082.9600000002</v>
      </c>
      <c r="N233" s="6"/>
    </row>
    <row r="234" spans="1:16" hidden="1" outlineLevel="1">
      <c r="I234" s="375" t="s">
        <v>2597</v>
      </c>
      <c r="J234" s="375"/>
      <c r="K234" s="375"/>
      <c r="L234" s="623">
        <v>310800</v>
      </c>
      <c r="M234" s="6"/>
      <c r="N234" s="121">
        <f>+N228</f>
        <v>1833082.9600000002</v>
      </c>
    </row>
    <row r="235" spans="1:16" hidden="1" outlineLevel="1">
      <c r="I235" s="375" t="s">
        <v>2598</v>
      </c>
      <c r="J235" s="375"/>
      <c r="K235" s="375"/>
      <c r="L235" s="623">
        <v>310800</v>
      </c>
      <c r="M235" s="6"/>
      <c r="N235" s="121">
        <f>+J228</f>
        <v>1513174.9600000002</v>
      </c>
    </row>
    <row r="236" spans="1:16" hidden="1" outlineLevel="1">
      <c r="I236" s="375" t="s">
        <v>2599</v>
      </c>
      <c r="J236" s="375"/>
      <c r="K236" s="375"/>
      <c r="L236" s="623">
        <v>310700</v>
      </c>
      <c r="M236" s="6"/>
      <c r="N236" s="121">
        <f>+L228</f>
        <v>929875.83733333333</v>
      </c>
    </row>
    <row r="237" spans="1:16" hidden="1" outlineLevel="1">
      <c r="I237" s="375" t="s">
        <v>2600</v>
      </c>
      <c r="J237" s="375"/>
      <c r="K237" s="375"/>
      <c r="L237" s="623">
        <v>311000</v>
      </c>
      <c r="M237" s="6"/>
      <c r="N237" s="121">
        <f>+M228</f>
        <v>11392349.202666664</v>
      </c>
    </row>
    <row r="238" spans="1:16" hidden="1" outlineLevel="1">
      <c r="I238" s="375" t="s">
        <v>2601</v>
      </c>
      <c r="J238" s="375"/>
      <c r="K238" s="375"/>
      <c r="L238" s="623">
        <v>700100</v>
      </c>
      <c r="M238" s="614">
        <f>+N237+N236+N235</f>
        <v>13835399.999999998</v>
      </c>
      <c r="N238" s="375"/>
    </row>
    <row r="239" spans="1:16" hidden="1" outlineLevel="1"/>
    <row r="240" spans="1:16" collapsed="1">
      <c r="A240" s="23" t="s">
        <v>2295</v>
      </c>
      <c r="B240" s="23" t="s">
        <v>2851</v>
      </c>
    </row>
    <row r="241" spans="2:16" s="23" customFormat="1">
      <c r="C241" s="23" t="s">
        <v>2614</v>
      </c>
      <c r="E241" s="23" t="s">
        <v>2614</v>
      </c>
      <c r="F241" s="842">
        <f>+F228+F187+F145</f>
        <v>45480000</v>
      </c>
      <c r="G241" s="842"/>
      <c r="H241" s="842">
        <f>+H228+H187+H145</f>
        <v>1763792.5925925926</v>
      </c>
      <c r="I241" s="842">
        <f>+I228+I187+I145</f>
        <v>41883255.55555556</v>
      </c>
      <c r="J241" s="842">
        <f t="shared" ref="J241:P241" si="84">+J228+J187+J145</f>
        <v>4581164.9970370373</v>
      </c>
      <c r="K241" s="842">
        <f t="shared" si="84"/>
        <v>872177.77777777787</v>
      </c>
      <c r="L241" s="842">
        <f t="shared" si="84"/>
        <v>2858031.2780740741</v>
      </c>
      <c r="M241" s="842">
        <f t="shared" si="84"/>
        <v>34444059.280444443</v>
      </c>
      <c r="N241" s="842">
        <f t="shared" si="84"/>
        <v>5558030.1081481483</v>
      </c>
      <c r="O241" s="842">
        <f t="shared" si="84"/>
        <v>10139195.105185185</v>
      </c>
      <c r="P241" s="842">
        <f t="shared" si="84"/>
        <v>68</v>
      </c>
    </row>
    <row r="242" spans="2:16">
      <c r="E242" s="238" t="s">
        <v>2689</v>
      </c>
      <c r="F242" s="79">
        <f>+F241+F117</f>
        <v>89920000</v>
      </c>
      <c r="H242" s="79">
        <f>+H241+H117</f>
        <v>1763792.5925925926</v>
      </c>
      <c r="I242" s="79">
        <f t="shared" ref="I242:P242" si="85">+I241+I117</f>
        <v>78337435.646652877</v>
      </c>
      <c r="J242" s="79">
        <f t="shared" si="85"/>
        <v>8570876.4261053614</v>
      </c>
      <c r="K242" s="79">
        <f t="shared" si="85"/>
        <v>1696893.8920634924</v>
      </c>
      <c r="L242" s="79">
        <f t="shared" si="85"/>
        <v>5279762.0299912579</v>
      </c>
      <c r="M242" s="79">
        <f t="shared" si="85"/>
        <v>64486797.190556243</v>
      </c>
      <c r="N242" s="79">
        <f t="shared" si="85"/>
        <v>10404025.139038417</v>
      </c>
      <c r="O242" s="79">
        <f t="shared" si="85"/>
        <v>18974901.565143775</v>
      </c>
      <c r="P242" s="79">
        <f t="shared" si="85"/>
        <v>132</v>
      </c>
    </row>
    <row r="243" spans="2:16" hidden="1" outlineLevel="1">
      <c r="B243" s="595"/>
      <c r="C243" s="595" t="s">
        <v>2666</v>
      </c>
      <c r="D243" s="595"/>
      <c r="E243" s="596"/>
      <c r="F243" s="596"/>
      <c r="G243" s="596"/>
      <c r="H243" s="596"/>
      <c r="I243" s="625"/>
      <c r="J243" s="596"/>
      <c r="K243" s="596"/>
      <c r="L243" s="596"/>
      <c r="M243" s="596"/>
      <c r="N243" s="596"/>
      <c r="O243" s="596"/>
    </row>
    <row r="244" spans="2:16" hidden="1" outlineLevel="1">
      <c r="B244" s="1026" t="s">
        <v>1</v>
      </c>
      <c r="C244" s="1028" t="s">
        <v>1334</v>
      </c>
      <c r="D244" s="1028" t="s">
        <v>1335</v>
      </c>
      <c r="E244" s="1030" t="s">
        <v>1477</v>
      </c>
      <c r="F244" s="1028" t="s">
        <v>1478</v>
      </c>
      <c r="G244" s="1030" t="s">
        <v>1479</v>
      </c>
      <c r="H244" s="1030" t="s">
        <v>1480</v>
      </c>
      <c r="I244" s="1021" t="s">
        <v>1481</v>
      </c>
      <c r="J244" s="1019" t="s">
        <v>1482</v>
      </c>
      <c r="K244" s="1017" t="s">
        <v>2012</v>
      </c>
      <c r="L244" s="1018"/>
      <c r="M244" s="1019" t="s">
        <v>1483</v>
      </c>
      <c r="N244" s="1021" t="s">
        <v>1484</v>
      </c>
      <c r="O244" s="1019" t="s">
        <v>1485</v>
      </c>
    </row>
    <row r="245" spans="2:16" hidden="1" outlineLevel="1">
      <c r="B245" s="1027"/>
      <c r="C245" s="1029"/>
      <c r="D245" s="1029"/>
      <c r="E245" s="1031"/>
      <c r="F245" s="1029"/>
      <c r="G245" s="1031"/>
      <c r="H245" s="1031"/>
      <c r="I245" s="1022"/>
      <c r="J245" s="1020"/>
      <c r="K245" s="601" t="s">
        <v>1633</v>
      </c>
      <c r="L245" s="601" t="s">
        <v>5</v>
      </c>
      <c r="M245" s="1020"/>
      <c r="N245" s="1022"/>
      <c r="O245" s="1020"/>
      <c r="P245" s="238" t="s">
        <v>1633</v>
      </c>
    </row>
    <row r="246" spans="2:16" hidden="1" outlineLevel="1">
      <c r="B246" s="482">
        <v>1</v>
      </c>
      <c r="C246" s="607" t="s">
        <v>2410</v>
      </c>
      <c r="D246" s="608" t="s">
        <v>2420</v>
      </c>
      <c r="E246" s="608" t="s">
        <v>1487</v>
      </c>
      <c r="F246" s="970">
        <v>1200000</v>
      </c>
      <c r="G246" s="605">
        <v>26</v>
      </c>
      <c r="H246" s="605">
        <f t="shared" ref="H246:H262" si="86">+F246/26</f>
        <v>46153.846153846156</v>
      </c>
      <c r="I246" s="971">
        <f t="shared" ref="I246:I259" si="87">+H246*G246</f>
        <v>1200000</v>
      </c>
      <c r="J246" s="972">
        <f>+I246*0.11</f>
        <v>132000</v>
      </c>
      <c r="K246" s="972">
        <f>+IFERROR(INDEX($S$7:$S$13,MATCH((I246-J246),$Q$7:$Q$13,1)),"")</f>
        <v>10000</v>
      </c>
      <c r="L246" s="972">
        <f t="shared" ref="L246:L259" si="88">+IF((I246-J246)*0.1&lt;K246,0,(I246-J246)*0.1-K246)</f>
        <v>96800</v>
      </c>
      <c r="M246" s="971">
        <f t="shared" ref="M246:M259" si="89">+I246-J246-L246</f>
        <v>971200</v>
      </c>
      <c r="N246" s="972">
        <f>+I246*0.13</f>
        <v>156000</v>
      </c>
      <c r="O246" s="972">
        <f t="shared" ref="O246:O259" si="90">+J246+N246</f>
        <v>288000</v>
      </c>
      <c r="P246" s="238">
        <f t="shared" ref="P246:P259" si="91">+IF(L246,1,0)</f>
        <v>1</v>
      </c>
    </row>
    <row r="247" spans="2:16" hidden="1" outlineLevel="1">
      <c r="B247" s="482">
        <f t="shared" ref="B247:B262" si="92">+B246+1</f>
        <v>2</v>
      </c>
      <c r="C247" s="609" t="s">
        <v>1488</v>
      </c>
      <c r="D247" s="608" t="s">
        <v>2421</v>
      </c>
      <c r="E247" s="608" t="s">
        <v>1489</v>
      </c>
      <c r="F247" s="973">
        <v>1400000</v>
      </c>
      <c r="G247" s="605">
        <v>26</v>
      </c>
      <c r="H247" s="605">
        <f t="shared" si="86"/>
        <v>53846.153846153844</v>
      </c>
      <c r="I247" s="971">
        <f t="shared" si="87"/>
        <v>1400000</v>
      </c>
      <c r="J247" s="972">
        <f>+I247*0.11</f>
        <v>154000</v>
      </c>
      <c r="K247" s="972">
        <f>+IFERROR(INDEX($S$7:$S$13,MATCH((I247-J247),$Q$7:$Q$13,1)),"")</f>
        <v>10000</v>
      </c>
      <c r="L247" s="972">
        <f t="shared" si="88"/>
        <v>114600</v>
      </c>
      <c r="M247" s="971">
        <f t="shared" si="89"/>
        <v>1131400</v>
      </c>
      <c r="N247" s="972">
        <f>+I247*0.13</f>
        <v>182000</v>
      </c>
      <c r="O247" s="972">
        <f t="shared" si="90"/>
        <v>336000</v>
      </c>
      <c r="P247" s="238">
        <f t="shared" si="91"/>
        <v>1</v>
      </c>
    </row>
    <row r="248" spans="2:16" hidden="1" outlineLevel="1">
      <c r="B248" s="482">
        <f t="shared" si="92"/>
        <v>3</v>
      </c>
      <c r="C248" s="607" t="s">
        <v>2411</v>
      </c>
      <c r="D248" s="608" t="s">
        <v>2422</v>
      </c>
      <c r="E248" s="611" t="s">
        <v>1490</v>
      </c>
      <c r="F248" s="973">
        <v>240000</v>
      </c>
      <c r="G248" s="605"/>
      <c r="H248" s="605">
        <f t="shared" si="86"/>
        <v>9230.7692307692305</v>
      </c>
      <c r="I248" s="971">
        <f t="shared" si="87"/>
        <v>0</v>
      </c>
      <c r="J248" s="972">
        <f>+I248*0.11</f>
        <v>0</v>
      </c>
      <c r="K248" s="972">
        <v>0</v>
      </c>
      <c r="L248" s="972">
        <f t="shared" si="88"/>
        <v>0</v>
      </c>
      <c r="M248" s="971">
        <f t="shared" si="89"/>
        <v>0</v>
      </c>
      <c r="N248" s="972">
        <f>+F248*0.09</f>
        <v>21600</v>
      </c>
      <c r="O248" s="972">
        <f t="shared" si="90"/>
        <v>21600</v>
      </c>
      <c r="P248" s="238">
        <f t="shared" si="91"/>
        <v>0</v>
      </c>
    </row>
    <row r="249" spans="2:16" hidden="1" outlineLevel="1">
      <c r="B249" s="482">
        <f t="shared" si="92"/>
        <v>4</v>
      </c>
      <c r="C249" s="607" t="s">
        <v>2412</v>
      </c>
      <c r="D249" s="608" t="s">
        <v>2423</v>
      </c>
      <c r="E249" s="608" t="s">
        <v>1491</v>
      </c>
      <c r="F249" s="973">
        <v>900000</v>
      </c>
      <c r="G249" s="605">
        <v>26</v>
      </c>
      <c r="H249" s="605">
        <f t="shared" si="86"/>
        <v>34615.384615384617</v>
      </c>
      <c r="I249" s="971">
        <f t="shared" si="87"/>
        <v>900000</v>
      </c>
      <c r="J249" s="972">
        <f>+I249*0.11</f>
        <v>99000</v>
      </c>
      <c r="K249" s="972">
        <f t="shared" ref="K249:K259" si="93">+IFERROR(INDEX($S$7:$S$13,MATCH((I249-J249),$Q$7:$Q$13,1)),"")</f>
        <v>11666.666666666666</v>
      </c>
      <c r="L249" s="972">
        <f t="shared" si="88"/>
        <v>68433.333333333328</v>
      </c>
      <c r="M249" s="971">
        <f t="shared" si="89"/>
        <v>732566.66666666663</v>
      </c>
      <c r="N249" s="972">
        <f>+I249*0.13</f>
        <v>117000</v>
      </c>
      <c r="O249" s="972">
        <f t="shared" si="90"/>
        <v>216000</v>
      </c>
      <c r="P249" s="238">
        <f t="shared" si="91"/>
        <v>1</v>
      </c>
    </row>
    <row r="250" spans="2:16" hidden="1" outlineLevel="1">
      <c r="B250" s="482">
        <f t="shared" si="92"/>
        <v>5</v>
      </c>
      <c r="C250" s="607" t="s">
        <v>2485</v>
      </c>
      <c r="D250" s="608" t="s">
        <v>2424</v>
      </c>
      <c r="E250" s="611" t="s">
        <v>2418</v>
      </c>
      <c r="F250" s="833">
        <v>240000</v>
      </c>
      <c r="G250" s="605"/>
      <c r="H250" s="605">
        <f t="shared" si="86"/>
        <v>9230.7692307692305</v>
      </c>
      <c r="I250" s="971">
        <f t="shared" si="87"/>
        <v>0</v>
      </c>
      <c r="J250" s="972">
        <f>+I250*0.11</f>
        <v>0</v>
      </c>
      <c r="K250" s="972" t="str">
        <f t="shared" si="93"/>
        <v/>
      </c>
      <c r="L250" s="972">
        <f t="shared" si="88"/>
        <v>0</v>
      </c>
      <c r="M250" s="971">
        <f t="shared" si="89"/>
        <v>0</v>
      </c>
      <c r="N250" s="972">
        <f>+F250*0.09</f>
        <v>21600</v>
      </c>
      <c r="O250" s="972">
        <f t="shared" si="90"/>
        <v>21600</v>
      </c>
      <c r="P250" s="238">
        <f t="shared" si="91"/>
        <v>0</v>
      </c>
    </row>
    <row r="251" spans="2:16" hidden="1" outlineLevel="1">
      <c r="B251" s="482">
        <f t="shared" si="92"/>
        <v>6</v>
      </c>
      <c r="C251" s="607" t="s">
        <v>2416</v>
      </c>
      <c r="D251" s="613" t="s">
        <v>2426</v>
      </c>
      <c r="E251" s="611" t="s">
        <v>1492</v>
      </c>
      <c r="F251" s="833">
        <v>400000</v>
      </c>
      <c r="G251" s="605">
        <v>28.16</v>
      </c>
      <c r="H251" s="605">
        <f t="shared" si="86"/>
        <v>15384.615384615385</v>
      </c>
      <c r="I251" s="971">
        <f t="shared" si="87"/>
        <v>433230.76923076925</v>
      </c>
      <c r="J251" s="972">
        <f>+I251*0.088</f>
        <v>38124.307692307695</v>
      </c>
      <c r="K251" s="972">
        <f t="shared" si="93"/>
        <v>13333.333333333334</v>
      </c>
      <c r="L251" s="972">
        <f t="shared" si="88"/>
        <v>26177.312820512823</v>
      </c>
      <c r="M251" s="971">
        <f t="shared" si="89"/>
        <v>368929.14871794876</v>
      </c>
      <c r="N251" s="972">
        <f>+I251*0.108</f>
        <v>46788.923076923078</v>
      </c>
      <c r="O251" s="972">
        <f t="shared" si="90"/>
        <v>84913.23076923078</v>
      </c>
      <c r="P251" s="238">
        <f t="shared" si="91"/>
        <v>1</v>
      </c>
    </row>
    <row r="252" spans="2:16" hidden="1" outlineLevel="1">
      <c r="B252" s="482">
        <f t="shared" si="92"/>
        <v>7</v>
      </c>
      <c r="C252" s="607" t="s">
        <v>2428</v>
      </c>
      <c r="D252" s="613" t="s">
        <v>2442</v>
      </c>
      <c r="E252" s="622" t="s">
        <v>1494</v>
      </c>
      <c r="F252" s="833">
        <v>450000</v>
      </c>
      <c r="G252" s="605">
        <v>28.52</v>
      </c>
      <c r="H252" s="605">
        <f t="shared" si="86"/>
        <v>17307.692307692309</v>
      </c>
      <c r="I252" s="971">
        <f t="shared" si="87"/>
        <v>493615.38461538462</v>
      </c>
      <c r="J252" s="972">
        <f t="shared" ref="J252:J259" si="94">+I252*0.11</f>
        <v>54297.692307692312</v>
      </c>
      <c r="K252" s="972">
        <f t="shared" si="93"/>
        <v>13333.333333333334</v>
      </c>
      <c r="L252" s="972">
        <f t="shared" si="88"/>
        <v>30598.435897435898</v>
      </c>
      <c r="M252" s="971">
        <f t="shared" si="89"/>
        <v>408719.25641025644</v>
      </c>
      <c r="N252" s="972">
        <f t="shared" ref="N252:N259" si="95">+I252*0.13</f>
        <v>64170</v>
      </c>
      <c r="O252" s="972">
        <f t="shared" si="90"/>
        <v>118467.69230769231</v>
      </c>
      <c r="P252" s="238">
        <f t="shared" si="91"/>
        <v>1</v>
      </c>
    </row>
    <row r="253" spans="2:16" hidden="1" outlineLevel="1">
      <c r="B253" s="482">
        <f t="shared" si="92"/>
        <v>8</v>
      </c>
      <c r="C253" s="616" t="s">
        <v>2430</v>
      </c>
      <c r="D253" s="613" t="s">
        <v>2442</v>
      </c>
      <c r="E253" s="617" t="s">
        <v>1495</v>
      </c>
      <c r="F253" s="833">
        <v>480000</v>
      </c>
      <c r="G253" s="605">
        <v>24.04</v>
      </c>
      <c r="H253" s="605">
        <f t="shared" si="86"/>
        <v>18461.538461538461</v>
      </c>
      <c r="I253" s="971">
        <f t="shared" si="87"/>
        <v>443815.38461538457</v>
      </c>
      <c r="J253" s="972">
        <f t="shared" si="94"/>
        <v>48819.692307692305</v>
      </c>
      <c r="K253" s="972">
        <f t="shared" si="93"/>
        <v>13333.333333333334</v>
      </c>
      <c r="L253" s="972">
        <f t="shared" si="88"/>
        <v>26166.235897435894</v>
      </c>
      <c r="M253" s="971">
        <f t="shared" si="89"/>
        <v>368829.45641025633</v>
      </c>
      <c r="N253" s="972">
        <f t="shared" si="95"/>
        <v>57695.999999999993</v>
      </c>
      <c r="O253" s="972">
        <f t="shared" si="90"/>
        <v>106515.6923076923</v>
      </c>
      <c r="P253" s="238">
        <f t="shared" si="91"/>
        <v>1</v>
      </c>
    </row>
    <row r="254" spans="2:16" hidden="1" outlineLevel="1">
      <c r="B254" s="482">
        <f t="shared" si="92"/>
        <v>9</v>
      </c>
      <c r="C254" s="602" t="s">
        <v>2431</v>
      </c>
      <c r="D254" s="612" t="s">
        <v>2442</v>
      </c>
      <c r="E254" s="611" t="s">
        <v>1496</v>
      </c>
      <c r="F254" s="834">
        <v>800000</v>
      </c>
      <c r="G254" s="605">
        <v>28.21</v>
      </c>
      <c r="H254" s="605">
        <f t="shared" si="86"/>
        <v>30769.23076923077</v>
      </c>
      <c r="I254" s="971">
        <f t="shared" si="87"/>
        <v>868000</v>
      </c>
      <c r="J254" s="972">
        <f t="shared" si="94"/>
        <v>95480</v>
      </c>
      <c r="K254" s="972">
        <f t="shared" si="93"/>
        <v>11666.666666666666</v>
      </c>
      <c r="L254" s="972">
        <f t="shared" si="88"/>
        <v>65585.333333333328</v>
      </c>
      <c r="M254" s="971">
        <f t="shared" si="89"/>
        <v>706934.66666666663</v>
      </c>
      <c r="N254" s="972">
        <f t="shared" si="95"/>
        <v>112840</v>
      </c>
      <c r="O254" s="972">
        <f t="shared" si="90"/>
        <v>208320</v>
      </c>
      <c r="P254" s="238">
        <f t="shared" si="91"/>
        <v>1</v>
      </c>
    </row>
    <row r="255" spans="2:16" hidden="1" outlineLevel="1">
      <c r="B255" s="482">
        <f t="shared" si="92"/>
        <v>10</v>
      </c>
      <c r="C255" s="602" t="s">
        <v>2432</v>
      </c>
      <c r="D255" s="612" t="s">
        <v>2442</v>
      </c>
      <c r="E255" s="620" t="s">
        <v>1497</v>
      </c>
      <c r="F255" s="834">
        <v>480000</v>
      </c>
      <c r="G255" s="605">
        <v>22.94</v>
      </c>
      <c r="H255" s="605">
        <f t="shared" si="86"/>
        <v>18461.538461538461</v>
      </c>
      <c r="I255" s="971">
        <f t="shared" si="87"/>
        <v>423507.69230769231</v>
      </c>
      <c r="J255" s="972">
        <f t="shared" si="94"/>
        <v>46585.846153846156</v>
      </c>
      <c r="K255" s="972">
        <f t="shared" si="93"/>
        <v>13333.333333333334</v>
      </c>
      <c r="L255" s="972">
        <f t="shared" si="88"/>
        <v>24358.851282051277</v>
      </c>
      <c r="M255" s="971">
        <f t="shared" si="89"/>
        <v>352562.99487179483</v>
      </c>
      <c r="N255" s="972">
        <f t="shared" si="95"/>
        <v>55056</v>
      </c>
      <c r="O255" s="972">
        <f t="shared" si="90"/>
        <v>101641.84615384616</v>
      </c>
      <c r="P255" s="238">
        <f t="shared" si="91"/>
        <v>1</v>
      </c>
    </row>
    <row r="256" spans="2:16" hidden="1" outlineLevel="1">
      <c r="B256" s="482">
        <f t="shared" si="92"/>
        <v>11</v>
      </c>
      <c r="C256" s="602" t="s">
        <v>2433</v>
      </c>
      <c r="D256" s="608" t="s">
        <v>2442</v>
      </c>
      <c r="E256" s="619" t="s">
        <v>1498</v>
      </c>
      <c r="F256" s="834">
        <v>480000</v>
      </c>
      <c r="G256" s="605">
        <v>28.3</v>
      </c>
      <c r="H256" s="605">
        <f t="shared" si="86"/>
        <v>18461.538461538461</v>
      </c>
      <c r="I256" s="971">
        <f t="shared" si="87"/>
        <v>522461.53846153844</v>
      </c>
      <c r="J256" s="972">
        <f t="shared" si="94"/>
        <v>57470.769230769227</v>
      </c>
      <c r="K256" s="972">
        <f t="shared" si="93"/>
        <v>13333.333333333334</v>
      </c>
      <c r="L256" s="972">
        <f t="shared" si="88"/>
        <v>33165.743589743586</v>
      </c>
      <c r="M256" s="971">
        <f t="shared" si="89"/>
        <v>431825.02564102563</v>
      </c>
      <c r="N256" s="972">
        <f t="shared" si="95"/>
        <v>67920</v>
      </c>
      <c r="O256" s="972">
        <f t="shared" si="90"/>
        <v>125390.76923076922</v>
      </c>
      <c r="P256" s="238">
        <f t="shared" si="91"/>
        <v>1</v>
      </c>
    </row>
    <row r="257" spans="2:16" hidden="1" outlineLevel="1">
      <c r="B257" s="482">
        <f t="shared" si="92"/>
        <v>12</v>
      </c>
      <c r="C257" s="602" t="s">
        <v>2434</v>
      </c>
      <c r="D257" s="608" t="s">
        <v>2442</v>
      </c>
      <c r="E257" s="451" t="s">
        <v>1499</v>
      </c>
      <c r="F257" s="834">
        <v>600000</v>
      </c>
      <c r="G257" s="605">
        <v>26</v>
      </c>
      <c r="H257" s="605">
        <f t="shared" si="86"/>
        <v>23076.923076923078</v>
      </c>
      <c r="I257" s="971">
        <f t="shared" si="87"/>
        <v>600000</v>
      </c>
      <c r="J257" s="972">
        <f t="shared" si="94"/>
        <v>66000</v>
      </c>
      <c r="K257" s="972">
        <f t="shared" si="93"/>
        <v>11666.666666666666</v>
      </c>
      <c r="L257" s="972">
        <f t="shared" si="88"/>
        <v>41733.333333333336</v>
      </c>
      <c r="M257" s="971">
        <f t="shared" si="89"/>
        <v>492266.66666666669</v>
      </c>
      <c r="N257" s="972">
        <f t="shared" si="95"/>
        <v>78000</v>
      </c>
      <c r="O257" s="972">
        <f t="shared" si="90"/>
        <v>144000</v>
      </c>
      <c r="P257" s="238">
        <f t="shared" si="91"/>
        <v>1</v>
      </c>
    </row>
    <row r="258" spans="2:16" hidden="1" outlineLevel="1">
      <c r="B258" s="482">
        <f t="shared" si="92"/>
        <v>13</v>
      </c>
      <c r="C258" s="616" t="s">
        <v>2435</v>
      </c>
      <c r="D258" s="608" t="s">
        <v>2443</v>
      </c>
      <c r="E258" s="619" t="s">
        <v>1500</v>
      </c>
      <c r="F258" s="834">
        <v>480000</v>
      </c>
      <c r="G258" s="605">
        <v>28.7</v>
      </c>
      <c r="H258" s="605">
        <f t="shared" si="86"/>
        <v>18461.538461538461</v>
      </c>
      <c r="I258" s="971">
        <f t="shared" si="87"/>
        <v>529846.15384615387</v>
      </c>
      <c r="J258" s="972">
        <f t="shared" si="94"/>
        <v>58283.076923076929</v>
      </c>
      <c r="K258" s="972">
        <f t="shared" si="93"/>
        <v>13333.333333333334</v>
      </c>
      <c r="L258" s="972">
        <f t="shared" si="88"/>
        <v>33822.974358974359</v>
      </c>
      <c r="M258" s="971">
        <f t="shared" si="89"/>
        <v>437740.10256410256</v>
      </c>
      <c r="N258" s="972">
        <f t="shared" si="95"/>
        <v>68880</v>
      </c>
      <c r="O258" s="972">
        <f t="shared" si="90"/>
        <v>127163.07692307694</v>
      </c>
      <c r="P258" s="238">
        <f t="shared" si="91"/>
        <v>1</v>
      </c>
    </row>
    <row r="259" spans="2:16" hidden="1" outlineLevel="1">
      <c r="B259" s="482">
        <f t="shared" si="92"/>
        <v>14</v>
      </c>
      <c r="C259" s="602" t="s">
        <v>2436</v>
      </c>
      <c r="D259" s="608" t="s">
        <v>2442</v>
      </c>
      <c r="E259" s="375" t="s">
        <v>1501</v>
      </c>
      <c r="F259" s="834">
        <v>450000</v>
      </c>
      <c r="G259" s="605">
        <v>27.26</v>
      </c>
      <c r="H259" s="605">
        <f t="shared" si="86"/>
        <v>17307.692307692309</v>
      </c>
      <c r="I259" s="971">
        <f t="shared" si="87"/>
        <v>471807.69230769237</v>
      </c>
      <c r="J259" s="972">
        <f t="shared" si="94"/>
        <v>51898.846153846163</v>
      </c>
      <c r="K259" s="972">
        <f t="shared" si="93"/>
        <v>13333.333333333334</v>
      </c>
      <c r="L259" s="972">
        <f t="shared" si="88"/>
        <v>28657.551282051289</v>
      </c>
      <c r="M259" s="971">
        <f t="shared" si="89"/>
        <v>391251.29487179487</v>
      </c>
      <c r="N259" s="972">
        <f t="shared" si="95"/>
        <v>61335.000000000007</v>
      </c>
      <c r="O259" s="972">
        <f t="shared" si="90"/>
        <v>113233.84615384617</v>
      </c>
      <c r="P259" s="238">
        <f t="shared" si="91"/>
        <v>1</v>
      </c>
    </row>
    <row r="260" spans="2:16" hidden="1" outlineLevel="1">
      <c r="B260" s="482">
        <f t="shared" si="92"/>
        <v>15</v>
      </c>
      <c r="C260" s="618" t="s">
        <v>2438</v>
      </c>
      <c r="D260" s="608" t="s">
        <v>2442</v>
      </c>
      <c r="E260" s="375" t="s">
        <v>1502</v>
      </c>
      <c r="F260" s="834">
        <v>480000</v>
      </c>
      <c r="G260" s="605">
        <v>21.28</v>
      </c>
      <c r="H260" s="605">
        <f t="shared" si="86"/>
        <v>18461.538461538461</v>
      </c>
      <c r="I260" s="971">
        <f>+H260*G260</f>
        <v>392861.5384615385</v>
      </c>
      <c r="J260" s="972">
        <f>+I260*0.11</f>
        <v>43214.769230769234</v>
      </c>
      <c r="K260" s="972">
        <f>+IFERROR(INDEX($S$7:$S$13,MATCH((I260-J260),$Q$7:$Q$13,1)),"")</f>
        <v>13333.333333333334</v>
      </c>
      <c r="L260" s="972">
        <f>+IF((I260-J260)*0.1&lt;K260,0,(I260-J260)*0.1-K260)</f>
        <v>21631.343589743592</v>
      </c>
      <c r="M260" s="971">
        <f>+I260-J260-L260</f>
        <v>328015.42564102565</v>
      </c>
      <c r="N260" s="972">
        <f>+I260*0.13</f>
        <v>51072.000000000007</v>
      </c>
      <c r="O260" s="972">
        <f>+J260+N260</f>
        <v>94286.769230769249</v>
      </c>
      <c r="P260" s="238">
        <f>+IF(L260,1,0)</f>
        <v>1</v>
      </c>
    </row>
    <row r="261" spans="2:16" hidden="1" outlineLevel="1">
      <c r="B261" s="482">
        <f t="shared" si="92"/>
        <v>16</v>
      </c>
      <c r="C261" s="618" t="s">
        <v>2437</v>
      </c>
      <c r="D261" s="608" t="s">
        <v>2442</v>
      </c>
      <c r="E261" s="375" t="s">
        <v>1521</v>
      </c>
      <c r="F261" s="834">
        <v>450000</v>
      </c>
      <c r="G261" s="605">
        <v>26.84</v>
      </c>
      <c r="H261" s="605">
        <f t="shared" si="86"/>
        <v>17307.692307692309</v>
      </c>
      <c r="I261" s="971">
        <f>+H261*G261</f>
        <v>464538.46153846156</v>
      </c>
      <c r="J261" s="972">
        <f>+I261*0.11</f>
        <v>51099.230769230773</v>
      </c>
      <c r="K261" s="972">
        <f>+IFERROR(INDEX($S$7:$S$13,MATCH((I261-J261),$Q$7:$Q$13,1)),"")</f>
        <v>13333.333333333334</v>
      </c>
      <c r="L261" s="972">
        <f>+IF((I261-J261)*0.1&lt;K261,0,(I261-J261)*0.1-K261)</f>
        <v>28010.58974358975</v>
      </c>
      <c r="M261" s="971">
        <f>+I261-J261-L261</f>
        <v>385428.64102564106</v>
      </c>
      <c r="N261" s="972">
        <f>+I261*0.13</f>
        <v>60390.000000000007</v>
      </c>
      <c r="O261" s="972">
        <f>+J261+N261</f>
        <v>111489.23076923078</v>
      </c>
      <c r="P261" s="238">
        <f>+IF(L261,1,0)</f>
        <v>1</v>
      </c>
    </row>
    <row r="262" spans="2:16" hidden="1" outlineLevel="1">
      <c r="B262" s="482">
        <f t="shared" si="92"/>
        <v>17</v>
      </c>
      <c r="C262" s="616" t="s">
        <v>2439</v>
      </c>
      <c r="D262" s="608" t="s">
        <v>2442</v>
      </c>
      <c r="E262" s="611" t="s">
        <v>1503</v>
      </c>
      <c r="F262" s="834">
        <v>450000</v>
      </c>
      <c r="G262" s="605">
        <v>26</v>
      </c>
      <c r="H262" s="605">
        <f t="shared" si="86"/>
        <v>17307.692307692309</v>
      </c>
      <c r="I262" s="971">
        <f>+H262*G262</f>
        <v>450000</v>
      </c>
      <c r="J262" s="972">
        <f>+I262*0.11</f>
        <v>49500</v>
      </c>
      <c r="K262" s="972">
        <f>+IFERROR(INDEX($S$7:$S$13,MATCH((I262-J262),$Q$7:$Q$13,1)),"")</f>
        <v>13333.333333333334</v>
      </c>
      <c r="L262" s="972">
        <f>+IF((I262-J262)*0.1&lt;K262,0,(I262-J262)*0.1-K262)</f>
        <v>26716.666666666664</v>
      </c>
      <c r="M262" s="971">
        <f>+I262-J262-L262</f>
        <v>373783.33333333331</v>
      </c>
      <c r="N262" s="972">
        <f>+I262*0.13</f>
        <v>58500</v>
      </c>
      <c r="O262" s="972">
        <f>+J262+N262</f>
        <v>108000</v>
      </c>
      <c r="P262" s="238">
        <f>+IF(L262,1,0)</f>
        <v>1</v>
      </c>
    </row>
    <row r="263" spans="2:16" hidden="1" outlineLevel="1">
      <c r="B263" s="1032" t="s">
        <v>6</v>
      </c>
      <c r="C263" s="1032"/>
      <c r="D263" s="1032"/>
      <c r="E263" s="1032"/>
      <c r="F263" s="977">
        <f t="shared" ref="F263:P263" si="96">SUM(F246:F262)</f>
        <v>9980000</v>
      </c>
      <c r="G263" s="977">
        <f t="shared" si="96"/>
        <v>394.24999999999994</v>
      </c>
      <c r="H263" s="977">
        <f t="shared" si="96"/>
        <v>383846.15384615381</v>
      </c>
      <c r="I263" s="977">
        <f t="shared" si="96"/>
        <v>9593684.615384616</v>
      </c>
      <c r="J263" s="975">
        <f t="shared" si="96"/>
        <v>1045774.2307692306</v>
      </c>
      <c r="K263" s="975">
        <f t="shared" si="96"/>
        <v>188333.33333333337</v>
      </c>
      <c r="L263" s="975">
        <f t="shared" si="96"/>
        <v>666457.70512820501</v>
      </c>
      <c r="M263" s="975">
        <f t="shared" si="96"/>
        <v>7881452.67948718</v>
      </c>
      <c r="N263" s="975">
        <f t="shared" si="96"/>
        <v>1280847.923076923</v>
      </c>
      <c r="O263" s="975">
        <f t="shared" si="96"/>
        <v>2326622.153846154</v>
      </c>
      <c r="P263" s="621">
        <f t="shared" si="96"/>
        <v>15</v>
      </c>
    </row>
    <row r="264" spans="2:16" hidden="1" outlineLevel="1">
      <c r="I264" s="79">
        <f>10073684.6-480000</f>
        <v>9593684.5999999996</v>
      </c>
      <c r="J264" s="79">
        <v>1045774.22</v>
      </c>
      <c r="N264" s="79">
        <v>1280847.93</v>
      </c>
      <c r="O264" s="238">
        <v>2326622.15</v>
      </c>
    </row>
    <row r="265" spans="2:16" hidden="1" outlineLevel="1">
      <c r="I265" s="79">
        <f>+I263-I264</f>
        <v>1.5384616330265999E-2</v>
      </c>
      <c r="J265" s="79">
        <f>+J263-J264</f>
        <v>1.0769230662845075E-2</v>
      </c>
      <c r="K265" s="79"/>
      <c r="L265" s="79"/>
      <c r="N265" s="79">
        <f>+N263-N264</f>
        <v>-6.9230769295245409E-3</v>
      </c>
      <c r="O265" s="79">
        <f>+O263-O264</f>
        <v>3.8461540825664997E-3</v>
      </c>
    </row>
    <row r="266" spans="2:16" hidden="1" outlineLevel="1">
      <c r="I266" s="23" t="s">
        <v>1504</v>
      </c>
    </row>
    <row r="267" spans="2:16" hidden="1" outlineLevel="1">
      <c r="I267" s="375" t="s">
        <v>1321</v>
      </c>
      <c r="J267" s="375"/>
      <c r="K267" s="375"/>
      <c r="L267" s="375"/>
      <c r="M267" s="622" t="s">
        <v>261</v>
      </c>
      <c r="N267" s="375" t="s">
        <v>262</v>
      </c>
    </row>
    <row r="268" spans="2:16" hidden="1" outlineLevel="1">
      <c r="I268" s="375" t="s">
        <v>2667</v>
      </c>
      <c r="J268" s="375"/>
      <c r="K268" s="375"/>
      <c r="L268" s="623">
        <v>700200</v>
      </c>
      <c r="M268" s="121">
        <f>+N263</f>
        <v>1280847.923076923</v>
      </c>
      <c r="N268" s="6"/>
    </row>
    <row r="269" spans="2:16" hidden="1" outlineLevel="1">
      <c r="I269" s="375" t="s">
        <v>2667</v>
      </c>
      <c r="J269" s="375"/>
      <c r="K269" s="375"/>
      <c r="L269" s="623">
        <v>310800</v>
      </c>
      <c r="M269" s="6"/>
      <c r="N269" s="121">
        <f>+N263</f>
        <v>1280847.923076923</v>
      </c>
    </row>
    <row r="270" spans="2:16" hidden="1" outlineLevel="1">
      <c r="I270" s="375" t="s">
        <v>2668</v>
      </c>
      <c r="J270" s="375"/>
      <c r="K270" s="375"/>
      <c r="L270" s="623">
        <v>310800</v>
      </c>
      <c r="M270" s="6"/>
      <c r="N270" s="121">
        <f>+J263</f>
        <v>1045774.2307692306</v>
      </c>
    </row>
    <row r="271" spans="2:16" hidden="1" outlineLevel="1">
      <c r="I271" s="375" t="s">
        <v>2669</v>
      </c>
      <c r="J271" s="375"/>
      <c r="K271" s="375"/>
      <c r="L271" s="623">
        <v>310700</v>
      </c>
      <c r="M271" s="6"/>
      <c r="N271" s="121">
        <f>+L263</f>
        <v>666457.70512820501</v>
      </c>
    </row>
    <row r="272" spans="2:16" hidden="1" outlineLevel="1">
      <c r="I272" s="375" t="s">
        <v>2670</v>
      </c>
      <c r="J272" s="375"/>
      <c r="K272" s="375"/>
      <c r="L272" s="623">
        <v>311000</v>
      </c>
      <c r="M272" s="6"/>
      <c r="N272" s="121">
        <f>+M263</f>
        <v>7881452.67948718</v>
      </c>
    </row>
    <row r="273" spans="1:16" hidden="1" outlineLevel="1">
      <c r="I273" s="375" t="s">
        <v>2671</v>
      </c>
      <c r="J273" s="375"/>
      <c r="K273" s="375"/>
      <c r="L273" s="623">
        <v>700100</v>
      </c>
      <c r="M273" s="614">
        <f>+N272+N271+N270</f>
        <v>9593684.6153846141</v>
      </c>
      <c r="N273" s="375"/>
    </row>
    <row r="274" spans="1:16" collapsed="1">
      <c r="A274" s="23" t="s">
        <v>2296</v>
      </c>
      <c r="B274" s="23" t="s">
        <v>2852</v>
      </c>
    </row>
    <row r="275" spans="1:16" hidden="1" outlineLevel="1"/>
    <row r="276" spans="1:16" hidden="1" outlineLevel="1">
      <c r="B276" s="595"/>
      <c r="C276" s="595" t="s">
        <v>2673</v>
      </c>
      <c r="D276" s="595"/>
      <c r="E276" s="596"/>
      <c r="F276" s="596"/>
      <c r="G276" s="596"/>
      <c r="H276" s="596"/>
      <c r="I276" s="625"/>
      <c r="J276" s="596"/>
      <c r="K276" s="596"/>
      <c r="L276" s="596"/>
      <c r="M276" s="596"/>
      <c r="N276" s="596"/>
      <c r="O276" s="596"/>
    </row>
    <row r="277" spans="1:16" hidden="1" outlineLevel="1">
      <c r="B277" s="1026" t="s">
        <v>1</v>
      </c>
      <c r="C277" s="1028" t="s">
        <v>1334</v>
      </c>
      <c r="D277" s="1028" t="s">
        <v>1335</v>
      </c>
      <c r="E277" s="1030" t="s">
        <v>1477</v>
      </c>
      <c r="F277" s="1028" t="s">
        <v>1478</v>
      </c>
      <c r="G277" s="1030" t="s">
        <v>1479</v>
      </c>
      <c r="H277" s="1030" t="s">
        <v>1480</v>
      </c>
      <c r="I277" s="1021" t="s">
        <v>1481</v>
      </c>
      <c r="J277" s="1019" t="s">
        <v>1482</v>
      </c>
      <c r="K277" s="1017" t="s">
        <v>2012</v>
      </c>
      <c r="L277" s="1018"/>
      <c r="M277" s="1019" t="s">
        <v>1483</v>
      </c>
      <c r="N277" s="1021" t="s">
        <v>1484</v>
      </c>
      <c r="O277" s="1019" t="s">
        <v>1485</v>
      </c>
    </row>
    <row r="278" spans="1:16" hidden="1" outlineLevel="1">
      <c r="B278" s="1027"/>
      <c r="C278" s="1029"/>
      <c r="D278" s="1029"/>
      <c r="E278" s="1031"/>
      <c r="F278" s="1029"/>
      <c r="G278" s="1031"/>
      <c r="H278" s="1031"/>
      <c r="I278" s="1022"/>
      <c r="J278" s="1020"/>
      <c r="K278" s="601" t="s">
        <v>1633</v>
      </c>
      <c r="L278" s="601" t="s">
        <v>5</v>
      </c>
      <c r="M278" s="1020"/>
      <c r="N278" s="1022"/>
      <c r="O278" s="1020"/>
      <c r="P278" s="238" t="s">
        <v>1633</v>
      </c>
    </row>
    <row r="279" spans="1:16" hidden="1" outlineLevel="1">
      <c r="B279" s="482">
        <v>1</v>
      </c>
      <c r="C279" s="607" t="s">
        <v>2410</v>
      </c>
      <c r="D279" s="608" t="s">
        <v>2420</v>
      </c>
      <c r="E279" s="608" t="s">
        <v>1487</v>
      </c>
      <c r="F279" s="970">
        <v>1200000</v>
      </c>
      <c r="G279" s="605">
        <v>27</v>
      </c>
      <c r="H279" s="605">
        <f>+F279/27</f>
        <v>44444.444444444445</v>
      </c>
      <c r="I279" s="971">
        <f t="shared" ref="I279:I292" si="97">+H279*G279</f>
        <v>1200000</v>
      </c>
      <c r="J279" s="972">
        <f>+I279*0.11</f>
        <v>132000</v>
      </c>
      <c r="K279" s="972">
        <f>+IFERROR(INDEX($S$7:$S$13,MATCH((I279-J279),$Q$7:$Q$13,1)),"")</f>
        <v>10000</v>
      </c>
      <c r="L279" s="972">
        <f t="shared" ref="L279:L292" si="98">+IF((I279-J279)*0.1&lt;K279,0,(I279-J279)*0.1-K279)</f>
        <v>96800</v>
      </c>
      <c r="M279" s="971">
        <f t="shared" ref="M279:M292" si="99">+I279-J279-L279</f>
        <v>971200</v>
      </c>
      <c r="N279" s="972">
        <f>+I279*0.13</f>
        <v>156000</v>
      </c>
      <c r="O279" s="972">
        <f t="shared" ref="O279:O292" si="100">+J279+N279</f>
        <v>288000</v>
      </c>
      <c r="P279" s="238">
        <f t="shared" ref="P279:P292" si="101">+IF(L279,1,0)</f>
        <v>1</v>
      </c>
    </row>
    <row r="280" spans="1:16" hidden="1" outlineLevel="1">
      <c r="B280" s="482">
        <f t="shared" ref="B280:B295" si="102">+B279+1</f>
        <v>2</v>
      </c>
      <c r="C280" s="609" t="s">
        <v>1488</v>
      </c>
      <c r="D280" s="608" t="s">
        <v>2421</v>
      </c>
      <c r="E280" s="608" t="s">
        <v>1489</v>
      </c>
      <c r="F280" s="973">
        <v>1400000</v>
      </c>
      <c r="G280" s="605">
        <v>27</v>
      </c>
      <c r="H280" s="605">
        <f t="shared" ref="H280:H295" si="103">+F280/27</f>
        <v>51851.851851851854</v>
      </c>
      <c r="I280" s="971">
        <f t="shared" si="97"/>
        <v>1400000</v>
      </c>
      <c r="J280" s="972">
        <f>+I280*0.11</f>
        <v>154000</v>
      </c>
      <c r="K280" s="972">
        <f>+IFERROR(INDEX($S$7:$S$13,MATCH((I280-J280),$Q$7:$Q$13,1)),"")</f>
        <v>10000</v>
      </c>
      <c r="L280" s="972">
        <f t="shared" si="98"/>
        <v>114600</v>
      </c>
      <c r="M280" s="971">
        <f t="shared" si="99"/>
        <v>1131400</v>
      </c>
      <c r="N280" s="972">
        <f>+I280*0.13</f>
        <v>182000</v>
      </c>
      <c r="O280" s="972">
        <f t="shared" si="100"/>
        <v>336000</v>
      </c>
      <c r="P280" s="238">
        <f t="shared" si="101"/>
        <v>1</v>
      </c>
    </row>
    <row r="281" spans="1:16" hidden="1" outlineLevel="1">
      <c r="B281" s="482">
        <f t="shared" si="102"/>
        <v>3</v>
      </c>
      <c r="C281" s="607" t="s">
        <v>2411</v>
      </c>
      <c r="D281" s="608" t="s">
        <v>2422</v>
      </c>
      <c r="E281" s="611" t="s">
        <v>1490</v>
      </c>
      <c r="F281" s="973">
        <v>240000</v>
      </c>
      <c r="G281" s="605"/>
      <c r="H281" s="605">
        <f t="shared" si="103"/>
        <v>8888.8888888888887</v>
      </c>
      <c r="I281" s="971">
        <f t="shared" si="97"/>
        <v>0</v>
      </c>
      <c r="J281" s="972">
        <f>+I281*0.11</f>
        <v>0</v>
      </c>
      <c r="K281" s="972">
        <v>0</v>
      </c>
      <c r="L281" s="972">
        <f t="shared" si="98"/>
        <v>0</v>
      </c>
      <c r="M281" s="971">
        <f t="shared" si="99"/>
        <v>0</v>
      </c>
      <c r="N281" s="972">
        <f>+F281*0.09</f>
        <v>21600</v>
      </c>
      <c r="O281" s="972">
        <f t="shared" si="100"/>
        <v>21600</v>
      </c>
      <c r="P281" s="238">
        <f t="shared" si="101"/>
        <v>0</v>
      </c>
    </row>
    <row r="282" spans="1:16" hidden="1" outlineLevel="1">
      <c r="B282" s="482">
        <f t="shared" si="102"/>
        <v>4</v>
      </c>
      <c r="C282" s="607" t="s">
        <v>2412</v>
      </c>
      <c r="D282" s="608" t="s">
        <v>2423</v>
      </c>
      <c r="E282" s="608" t="s">
        <v>1491</v>
      </c>
      <c r="F282" s="973">
        <v>900000</v>
      </c>
      <c r="G282" s="605">
        <v>27</v>
      </c>
      <c r="H282" s="605">
        <f t="shared" si="103"/>
        <v>33333.333333333336</v>
      </c>
      <c r="I282" s="971">
        <f t="shared" si="97"/>
        <v>900000.00000000012</v>
      </c>
      <c r="J282" s="972">
        <f>+I282*0.11</f>
        <v>99000.000000000015</v>
      </c>
      <c r="K282" s="972">
        <f t="shared" ref="K282:K292" si="104">+IFERROR(INDEX($S$7:$S$13,MATCH((I282-J282),$Q$7:$Q$13,1)),"")</f>
        <v>11666.666666666666</v>
      </c>
      <c r="L282" s="972">
        <f t="shared" si="98"/>
        <v>68433.333333333343</v>
      </c>
      <c r="M282" s="971">
        <f t="shared" si="99"/>
        <v>732566.66666666674</v>
      </c>
      <c r="N282" s="972">
        <f>+I282*0.13</f>
        <v>117000.00000000001</v>
      </c>
      <c r="O282" s="972">
        <f t="shared" si="100"/>
        <v>216000.00000000003</v>
      </c>
      <c r="P282" s="238">
        <f t="shared" si="101"/>
        <v>1</v>
      </c>
    </row>
    <row r="283" spans="1:16" hidden="1" outlineLevel="1">
      <c r="B283" s="482">
        <f t="shared" si="102"/>
        <v>5</v>
      </c>
      <c r="C283" s="607" t="s">
        <v>2485</v>
      </c>
      <c r="D283" s="608" t="s">
        <v>2424</v>
      </c>
      <c r="E283" s="611" t="s">
        <v>2418</v>
      </c>
      <c r="F283" s="833">
        <v>240000</v>
      </c>
      <c r="G283" s="605">
        <v>0</v>
      </c>
      <c r="H283" s="605">
        <f t="shared" si="103"/>
        <v>8888.8888888888887</v>
      </c>
      <c r="I283" s="971">
        <f t="shared" si="97"/>
        <v>0</v>
      </c>
      <c r="J283" s="972">
        <f>+I283*0.11</f>
        <v>0</v>
      </c>
      <c r="K283" s="972" t="str">
        <f t="shared" si="104"/>
        <v/>
      </c>
      <c r="L283" s="972">
        <f t="shared" si="98"/>
        <v>0</v>
      </c>
      <c r="M283" s="971">
        <f t="shared" si="99"/>
        <v>0</v>
      </c>
      <c r="N283" s="972">
        <f>+F283*0.09</f>
        <v>21600</v>
      </c>
      <c r="O283" s="972">
        <f t="shared" si="100"/>
        <v>21600</v>
      </c>
      <c r="P283" s="238">
        <f t="shared" si="101"/>
        <v>0</v>
      </c>
    </row>
    <row r="284" spans="1:16" hidden="1" outlineLevel="1">
      <c r="B284" s="482">
        <f t="shared" si="102"/>
        <v>6</v>
      </c>
      <c r="C284" s="607" t="s">
        <v>2416</v>
      </c>
      <c r="D284" s="613" t="s">
        <v>2426</v>
      </c>
      <c r="E284" s="611" t="s">
        <v>1492</v>
      </c>
      <c r="F284" s="833">
        <v>400000</v>
      </c>
      <c r="G284" s="605">
        <v>28.7</v>
      </c>
      <c r="H284" s="605">
        <f t="shared" si="103"/>
        <v>14814.814814814816</v>
      </c>
      <c r="I284" s="971">
        <f t="shared" si="97"/>
        <v>425185.18518518523</v>
      </c>
      <c r="J284" s="972">
        <f>+I284*0.088</f>
        <v>37416.296296296299</v>
      </c>
      <c r="K284" s="972">
        <f t="shared" si="104"/>
        <v>13333.333333333334</v>
      </c>
      <c r="L284" s="972">
        <f t="shared" si="98"/>
        <v>25443.555555555562</v>
      </c>
      <c r="M284" s="971">
        <f t="shared" si="99"/>
        <v>362325.33333333337</v>
      </c>
      <c r="N284" s="972">
        <f>+I284*0.108</f>
        <v>45920.000000000007</v>
      </c>
      <c r="O284" s="972">
        <f t="shared" si="100"/>
        <v>83336.296296296307</v>
      </c>
      <c r="P284" s="238">
        <f t="shared" si="101"/>
        <v>1</v>
      </c>
    </row>
    <row r="285" spans="1:16" hidden="1" outlineLevel="1">
      <c r="B285" s="482">
        <f t="shared" si="102"/>
        <v>7</v>
      </c>
      <c r="C285" s="607" t="s">
        <v>2428</v>
      </c>
      <c r="D285" s="613" t="s">
        <v>2442</v>
      </c>
      <c r="E285" s="622" t="s">
        <v>1494</v>
      </c>
      <c r="F285" s="833">
        <v>450000</v>
      </c>
      <c r="G285" s="605">
        <v>28.94</v>
      </c>
      <c r="H285" s="605">
        <f t="shared" si="103"/>
        <v>16666.666666666668</v>
      </c>
      <c r="I285" s="971">
        <f t="shared" si="97"/>
        <v>482333.33333333337</v>
      </c>
      <c r="J285" s="972">
        <f t="shared" ref="J285:J292" si="105">+I285*0.11</f>
        <v>53056.666666666672</v>
      </c>
      <c r="K285" s="972">
        <f t="shared" si="104"/>
        <v>13333.333333333334</v>
      </c>
      <c r="L285" s="972">
        <f t="shared" si="98"/>
        <v>29594.333333333336</v>
      </c>
      <c r="M285" s="971">
        <f t="shared" si="99"/>
        <v>399682.33333333337</v>
      </c>
      <c r="N285" s="972">
        <f t="shared" ref="N285:N292" si="106">+I285*0.13</f>
        <v>62703.333333333343</v>
      </c>
      <c r="O285" s="972">
        <f t="shared" si="100"/>
        <v>115760.00000000001</v>
      </c>
      <c r="P285" s="238">
        <f t="shared" si="101"/>
        <v>1</v>
      </c>
    </row>
    <row r="286" spans="1:16" hidden="1" outlineLevel="1">
      <c r="B286" s="482">
        <f t="shared" si="102"/>
        <v>8</v>
      </c>
      <c r="C286" s="616" t="s">
        <v>2430</v>
      </c>
      <c r="D286" s="613" t="s">
        <v>2442</v>
      </c>
      <c r="E286" s="617" t="s">
        <v>1495</v>
      </c>
      <c r="F286" s="833">
        <v>480000</v>
      </c>
      <c r="G286" s="605">
        <v>28.08</v>
      </c>
      <c r="H286" s="605">
        <f t="shared" si="103"/>
        <v>17777.777777777777</v>
      </c>
      <c r="I286" s="971">
        <f t="shared" si="97"/>
        <v>499199.99999999994</v>
      </c>
      <c r="J286" s="972">
        <f t="shared" si="105"/>
        <v>54911.999999999993</v>
      </c>
      <c r="K286" s="972">
        <f t="shared" si="104"/>
        <v>13333.333333333334</v>
      </c>
      <c r="L286" s="972">
        <f t="shared" si="98"/>
        <v>31095.46666666666</v>
      </c>
      <c r="M286" s="971">
        <f t="shared" si="99"/>
        <v>413192.53333333327</v>
      </c>
      <c r="N286" s="972">
        <f t="shared" si="106"/>
        <v>64895.999999999993</v>
      </c>
      <c r="O286" s="972">
        <f t="shared" si="100"/>
        <v>119807.99999999999</v>
      </c>
      <c r="P286" s="238">
        <f t="shared" si="101"/>
        <v>1</v>
      </c>
    </row>
    <row r="287" spans="1:16" hidden="1" outlineLevel="1">
      <c r="B287" s="482">
        <f t="shared" si="102"/>
        <v>9</v>
      </c>
      <c r="C287" s="602" t="s">
        <v>2431</v>
      </c>
      <c r="D287" s="612" t="s">
        <v>2442</v>
      </c>
      <c r="E287" s="611" t="s">
        <v>1496</v>
      </c>
      <c r="F287" s="834">
        <v>800000</v>
      </c>
      <c r="G287" s="605">
        <v>25.8</v>
      </c>
      <c r="H287" s="605">
        <f t="shared" si="103"/>
        <v>29629.629629629631</v>
      </c>
      <c r="I287" s="971">
        <f t="shared" si="97"/>
        <v>764444.4444444445</v>
      </c>
      <c r="J287" s="972">
        <f t="shared" si="105"/>
        <v>84088.888888888891</v>
      </c>
      <c r="K287" s="972">
        <f t="shared" si="104"/>
        <v>11666.666666666666</v>
      </c>
      <c r="L287" s="972">
        <f t="shared" si="98"/>
        <v>56368.888888888898</v>
      </c>
      <c r="M287" s="971">
        <f t="shared" si="99"/>
        <v>623986.66666666674</v>
      </c>
      <c r="N287" s="972">
        <f t="shared" si="106"/>
        <v>99377.777777777781</v>
      </c>
      <c r="O287" s="972">
        <f t="shared" si="100"/>
        <v>183466.66666666669</v>
      </c>
      <c r="P287" s="238">
        <f t="shared" si="101"/>
        <v>1</v>
      </c>
    </row>
    <row r="288" spans="1:16" hidden="1" outlineLevel="1">
      <c r="B288" s="482">
        <f t="shared" si="102"/>
        <v>10</v>
      </c>
      <c r="C288" s="602" t="s">
        <v>2432</v>
      </c>
      <c r="D288" s="612" t="s">
        <v>2442</v>
      </c>
      <c r="E288" s="620" t="s">
        <v>1497</v>
      </c>
      <c r="F288" s="834">
        <v>480000</v>
      </c>
      <c r="G288" s="605">
        <v>13</v>
      </c>
      <c r="H288" s="605">
        <f t="shared" si="103"/>
        <v>17777.777777777777</v>
      </c>
      <c r="I288" s="971">
        <f t="shared" si="97"/>
        <v>231111.11111111109</v>
      </c>
      <c r="J288" s="972">
        <f t="shared" si="105"/>
        <v>25422.222222222219</v>
      </c>
      <c r="K288" s="972">
        <f t="shared" si="104"/>
        <v>13333.333333333334</v>
      </c>
      <c r="L288" s="972">
        <f t="shared" si="98"/>
        <v>7235.5555555555566</v>
      </c>
      <c r="M288" s="971">
        <f t="shared" si="99"/>
        <v>198453.33333333331</v>
      </c>
      <c r="N288" s="972">
        <f t="shared" si="106"/>
        <v>30044.444444444442</v>
      </c>
      <c r="O288" s="972">
        <f t="shared" si="100"/>
        <v>55466.666666666657</v>
      </c>
      <c r="P288" s="238">
        <f t="shared" si="101"/>
        <v>1</v>
      </c>
    </row>
    <row r="289" spans="2:16" hidden="1" outlineLevel="1">
      <c r="B289" s="482">
        <f t="shared" si="102"/>
        <v>11</v>
      </c>
      <c r="C289" s="602" t="s">
        <v>2433</v>
      </c>
      <c r="D289" s="608" t="s">
        <v>2442</v>
      </c>
      <c r="E289" s="619" t="s">
        <v>1498</v>
      </c>
      <c r="F289" s="834">
        <v>480000</v>
      </c>
      <c r="G289" s="605">
        <v>29.67</v>
      </c>
      <c r="H289" s="605">
        <f t="shared" si="103"/>
        <v>17777.777777777777</v>
      </c>
      <c r="I289" s="971">
        <f t="shared" si="97"/>
        <v>527466.66666666663</v>
      </c>
      <c r="J289" s="972">
        <f t="shared" si="105"/>
        <v>58021.333333333328</v>
      </c>
      <c r="K289" s="972">
        <f t="shared" si="104"/>
        <v>13333.333333333334</v>
      </c>
      <c r="L289" s="972">
        <f t="shared" si="98"/>
        <v>33611.199999999997</v>
      </c>
      <c r="M289" s="971">
        <f t="shared" si="99"/>
        <v>435834.1333333333</v>
      </c>
      <c r="N289" s="972">
        <f t="shared" si="106"/>
        <v>68570.666666666657</v>
      </c>
      <c r="O289" s="972">
        <f t="shared" si="100"/>
        <v>126591.99999999999</v>
      </c>
      <c r="P289" s="238">
        <f t="shared" si="101"/>
        <v>1</v>
      </c>
    </row>
    <row r="290" spans="2:16" hidden="1" outlineLevel="1">
      <c r="B290" s="482">
        <f t="shared" si="102"/>
        <v>12</v>
      </c>
      <c r="C290" s="602" t="s">
        <v>2434</v>
      </c>
      <c r="D290" s="608" t="s">
        <v>2442</v>
      </c>
      <c r="E290" s="451" t="s">
        <v>1499</v>
      </c>
      <c r="F290" s="834">
        <v>600000</v>
      </c>
      <c r="G290" s="605">
        <v>27</v>
      </c>
      <c r="H290" s="605">
        <f t="shared" si="103"/>
        <v>22222.222222222223</v>
      </c>
      <c r="I290" s="971">
        <f t="shared" si="97"/>
        <v>600000</v>
      </c>
      <c r="J290" s="972">
        <f t="shared" si="105"/>
        <v>66000</v>
      </c>
      <c r="K290" s="972">
        <f t="shared" si="104"/>
        <v>11666.666666666666</v>
      </c>
      <c r="L290" s="972">
        <f t="shared" si="98"/>
        <v>41733.333333333336</v>
      </c>
      <c r="M290" s="971">
        <f t="shared" si="99"/>
        <v>492266.66666666669</v>
      </c>
      <c r="N290" s="972">
        <f t="shared" si="106"/>
        <v>78000</v>
      </c>
      <c r="O290" s="972">
        <f t="shared" si="100"/>
        <v>144000</v>
      </c>
      <c r="P290" s="238">
        <f t="shared" si="101"/>
        <v>1</v>
      </c>
    </row>
    <row r="291" spans="2:16" hidden="1" outlineLevel="1">
      <c r="B291" s="482">
        <f t="shared" si="102"/>
        <v>13</v>
      </c>
      <c r="C291" s="616" t="s">
        <v>2435</v>
      </c>
      <c r="D291" s="608" t="s">
        <v>2443</v>
      </c>
      <c r="E291" s="619" t="s">
        <v>1500</v>
      </c>
      <c r="F291" s="834">
        <v>480000</v>
      </c>
      <c r="G291" s="605">
        <v>28.5</v>
      </c>
      <c r="H291" s="605">
        <f t="shared" si="103"/>
        <v>17777.777777777777</v>
      </c>
      <c r="I291" s="971">
        <f t="shared" si="97"/>
        <v>506666.66666666663</v>
      </c>
      <c r="J291" s="972">
        <f t="shared" si="105"/>
        <v>55733.333333333328</v>
      </c>
      <c r="K291" s="972">
        <f t="shared" si="104"/>
        <v>13333.333333333334</v>
      </c>
      <c r="L291" s="972">
        <f t="shared" si="98"/>
        <v>31760</v>
      </c>
      <c r="M291" s="971">
        <f t="shared" si="99"/>
        <v>419173.33333333331</v>
      </c>
      <c r="N291" s="972">
        <f t="shared" si="106"/>
        <v>65866.666666666657</v>
      </c>
      <c r="O291" s="972">
        <f t="shared" si="100"/>
        <v>121599.99999999999</v>
      </c>
      <c r="P291" s="238">
        <f t="shared" si="101"/>
        <v>1</v>
      </c>
    </row>
    <row r="292" spans="2:16" hidden="1" outlineLevel="1">
      <c r="B292" s="482">
        <f t="shared" si="102"/>
        <v>14</v>
      </c>
      <c r="C292" s="602" t="s">
        <v>2436</v>
      </c>
      <c r="D292" s="608" t="s">
        <v>2442</v>
      </c>
      <c r="E292" s="375" t="s">
        <v>1501</v>
      </c>
      <c r="F292" s="834">
        <v>450000</v>
      </c>
      <c r="G292" s="605">
        <v>29.24</v>
      </c>
      <c r="H292" s="605">
        <f t="shared" si="103"/>
        <v>16666.666666666668</v>
      </c>
      <c r="I292" s="971">
        <f t="shared" si="97"/>
        <v>487333.33333333331</v>
      </c>
      <c r="J292" s="972">
        <f t="shared" si="105"/>
        <v>53606.666666666664</v>
      </c>
      <c r="K292" s="972">
        <f t="shared" si="104"/>
        <v>13333.333333333334</v>
      </c>
      <c r="L292" s="972">
        <f t="shared" si="98"/>
        <v>30039.333333333328</v>
      </c>
      <c r="M292" s="971">
        <f t="shared" si="99"/>
        <v>403687.33333333331</v>
      </c>
      <c r="N292" s="972">
        <f t="shared" si="106"/>
        <v>63353.333333333336</v>
      </c>
      <c r="O292" s="972">
        <f t="shared" si="100"/>
        <v>116960</v>
      </c>
      <c r="P292" s="238">
        <f t="shared" si="101"/>
        <v>1</v>
      </c>
    </row>
    <row r="293" spans="2:16" hidden="1" outlineLevel="1">
      <c r="B293" s="482">
        <f t="shared" si="102"/>
        <v>15</v>
      </c>
      <c r="C293" s="618" t="s">
        <v>2438</v>
      </c>
      <c r="D293" s="608" t="s">
        <v>2442</v>
      </c>
      <c r="E293" s="375" t="s">
        <v>1502</v>
      </c>
      <c r="F293" s="834">
        <v>480000</v>
      </c>
      <c r="G293" s="605">
        <v>26.24</v>
      </c>
      <c r="H293" s="605">
        <f t="shared" si="103"/>
        <v>17777.777777777777</v>
      </c>
      <c r="I293" s="971">
        <f>+H293*G293</f>
        <v>466488.88888888888</v>
      </c>
      <c r="J293" s="972">
        <f>+I293*0.11</f>
        <v>51313.777777777774</v>
      </c>
      <c r="K293" s="972">
        <f>+IFERROR(INDEX($S$7:$S$13,MATCH((I293-J293),$Q$7:$Q$13,1)),"")</f>
        <v>13333.333333333334</v>
      </c>
      <c r="L293" s="972">
        <f>+IF((I293-J293)*0.1&lt;K293,0,(I293-J293)*0.1-K293)</f>
        <v>28184.177777777782</v>
      </c>
      <c r="M293" s="971">
        <f>+I293-J293-L293</f>
        <v>386990.93333333335</v>
      </c>
      <c r="N293" s="972">
        <f>+I293*0.13</f>
        <v>60643.555555555555</v>
      </c>
      <c r="O293" s="972">
        <f>+J293+N293</f>
        <v>111957.33333333333</v>
      </c>
      <c r="P293" s="238">
        <f>+IF(L293,1,0)</f>
        <v>1</v>
      </c>
    </row>
    <row r="294" spans="2:16" hidden="1" outlineLevel="1">
      <c r="B294" s="482">
        <f t="shared" si="102"/>
        <v>16</v>
      </c>
      <c r="C294" s="618" t="s">
        <v>2437</v>
      </c>
      <c r="D294" s="608" t="s">
        <v>2442</v>
      </c>
      <c r="E294" s="375" t="s">
        <v>1521</v>
      </c>
      <c r="F294" s="834">
        <v>450000</v>
      </c>
      <c r="G294" s="605">
        <v>26.28</v>
      </c>
      <c r="H294" s="605">
        <f t="shared" si="103"/>
        <v>16666.666666666668</v>
      </c>
      <c r="I294" s="971">
        <f>+H294*G294</f>
        <v>438000.00000000006</v>
      </c>
      <c r="J294" s="972">
        <f>+I294*0.11</f>
        <v>48180.000000000007</v>
      </c>
      <c r="K294" s="972">
        <f>+IFERROR(INDEX($S$7:$S$13,MATCH((I294-J294),$Q$7:$Q$13,1)),"")</f>
        <v>13333.333333333334</v>
      </c>
      <c r="L294" s="972">
        <f>+IF((I294-J294)*0.1&lt;K294,0,(I294-J294)*0.1-K294)</f>
        <v>25648.666666666672</v>
      </c>
      <c r="M294" s="971">
        <f>+I294-J294-L294</f>
        <v>364171.33333333337</v>
      </c>
      <c r="N294" s="972">
        <f>+I294*0.13</f>
        <v>56940.000000000007</v>
      </c>
      <c r="O294" s="972">
        <f>+J294+N294</f>
        <v>105120.00000000001</v>
      </c>
      <c r="P294" s="238">
        <f>+IF(L294,1,0)</f>
        <v>1</v>
      </c>
    </row>
    <row r="295" spans="2:16" hidden="1" outlineLevel="1">
      <c r="B295" s="482">
        <f t="shared" si="102"/>
        <v>17</v>
      </c>
      <c r="C295" s="616" t="s">
        <v>2439</v>
      </c>
      <c r="D295" s="608" t="s">
        <v>2442</v>
      </c>
      <c r="E295" s="611" t="s">
        <v>1503</v>
      </c>
      <c r="F295" s="834">
        <v>240000</v>
      </c>
      <c r="G295" s="605"/>
      <c r="H295" s="605">
        <f t="shared" si="103"/>
        <v>8888.8888888888887</v>
      </c>
      <c r="I295" s="971">
        <f>+H295*G295</f>
        <v>0</v>
      </c>
      <c r="J295" s="972">
        <f>+I295*0.11</f>
        <v>0</v>
      </c>
      <c r="K295" s="972" t="str">
        <f>+IFERROR(INDEX($S$7:$S$13,MATCH((I295-J295),$Q$7:$Q$13,1)),"")</f>
        <v/>
      </c>
      <c r="L295" s="972">
        <f>+IF((I295-J295)*0.1&lt;K295,0,(I295-J295)*0.1-K295)</f>
        <v>0</v>
      </c>
      <c r="M295" s="971">
        <f>+I295-J295-L295</f>
        <v>0</v>
      </c>
      <c r="N295" s="972">
        <f>+F295*0.13</f>
        <v>31200</v>
      </c>
      <c r="O295" s="972">
        <f>+J295+N295</f>
        <v>31200</v>
      </c>
      <c r="P295" s="238">
        <f>+IF(L295,1,0)</f>
        <v>0</v>
      </c>
    </row>
    <row r="296" spans="2:16" hidden="1" outlineLevel="1">
      <c r="B296" s="1032" t="s">
        <v>6</v>
      </c>
      <c r="C296" s="1032"/>
      <c r="D296" s="1032"/>
      <c r="E296" s="1032"/>
      <c r="F296" s="977">
        <f t="shared" ref="F296:P296" si="107">SUM(F279:F295)</f>
        <v>9770000</v>
      </c>
      <c r="G296" s="977">
        <f t="shared" si="107"/>
        <v>372.45000000000005</v>
      </c>
      <c r="H296" s="977">
        <f t="shared" si="107"/>
        <v>361851.8518518518</v>
      </c>
      <c r="I296" s="977">
        <f t="shared" si="107"/>
        <v>8928229.6296296287</v>
      </c>
      <c r="J296" s="975">
        <f t="shared" si="107"/>
        <v>972751.18518518517</v>
      </c>
      <c r="K296" s="975">
        <f t="shared" si="107"/>
        <v>175000.00000000003</v>
      </c>
      <c r="L296" s="975">
        <f t="shared" si="107"/>
        <v>620547.84444444452</v>
      </c>
      <c r="M296" s="975">
        <f t="shared" si="107"/>
        <v>7334930.5999999996</v>
      </c>
      <c r="N296" s="975">
        <f t="shared" si="107"/>
        <v>1225715.7777777778</v>
      </c>
      <c r="O296" s="978">
        <f t="shared" si="107"/>
        <v>2198466.9629629632</v>
      </c>
      <c r="P296" s="621">
        <f t="shared" si="107"/>
        <v>14</v>
      </c>
    </row>
    <row r="297" spans="2:16" hidden="1" outlineLevel="1">
      <c r="I297" s="79"/>
      <c r="J297" s="79"/>
      <c r="N297" s="79"/>
      <c r="O297" s="237"/>
    </row>
    <row r="298" spans="2:16" hidden="1" outlineLevel="1">
      <c r="I298" s="79"/>
      <c r="J298" s="79"/>
      <c r="K298" s="79"/>
      <c r="L298" s="79"/>
      <c r="N298" s="79"/>
      <c r="O298" s="79"/>
    </row>
    <row r="299" spans="2:16" hidden="1" outlineLevel="1">
      <c r="I299" s="23" t="s">
        <v>1504</v>
      </c>
    </row>
    <row r="300" spans="2:16" hidden="1" outlineLevel="1">
      <c r="I300" s="375" t="s">
        <v>1321</v>
      </c>
      <c r="J300" s="375"/>
      <c r="K300" s="375"/>
      <c r="L300" s="375"/>
      <c r="M300" s="622" t="s">
        <v>261</v>
      </c>
      <c r="N300" s="375" t="s">
        <v>262</v>
      </c>
    </row>
    <row r="301" spans="2:16" hidden="1" outlineLevel="1">
      <c r="I301" s="375" t="s">
        <v>2674</v>
      </c>
      <c r="J301" s="375"/>
      <c r="K301" s="375"/>
      <c r="L301" s="623">
        <v>700200</v>
      </c>
      <c r="M301" s="121">
        <f>+N296</f>
        <v>1225715.7777777778</v>
      </c>
      <c r="N301" s="6"/>
    </row>
    <row r="302" spans="2:16" hidden="1" outlineLevel="1">
      <c r="I302" s="375" t="s">
        <v>2674</v>
      </c>
      <c r="J302" s="375"/>
      <c r="K302" s="375"/>
      <c r="L302" s="623">
        <v>310800</v>
      </c>
      <c r="M302" s="6"/>
      <c r="N302" s="121">
        <f>+N296</f>
        <v>1225715.7777777778</v>
      </c>
    </row>
    <row r="303" spans="2:16" hidden="1" outlineLevel="1">
      <c r="I303" s="375" t="s">
        <v>2675</v>
      </c>
      <c r="J303" s="375"/>
      <c r="K303" s="375"/>
      <c r="L303" s="623">
        <v>310800</v>
      </c>
      <c r="M303" s="6"/>
      <c r="N303" s="121">
        <f>+J296</f>
        <v>972751.18518518517</v>
      </c>
    </row>
    <row r="304" spans="2:16" hidden="1" outlineLevel="1">
      <c r="I304" s="375" t="s">
        <v>2676</v>
      </c>
      <c r="J304" s="375"/>
      <c r="K304" s="375"/>
      <c r="L304" s="623">
        <v>310700</v>
      </c>
      <c r="M304" s="6"/>
      <c r="N304" s="121">
        <f>+L296</f>
        <v>620547.84444444452</v>
      </c>
    </row>
    <row r="305" spans="1:16" hidden="1" outlineLevel="1">
      <c r="I305" s="375" t="s">
        <v>2677</v>
      </c>
      <c r="J305" s="375"/>
      <c r="K305" s="375"/>
      <c r="L305" s="623">
        <v>311000</v>
      </c>
      <c r="M305" s="6"/>
      <c r="N305" s="121">
        <f>+M296</f>
        <v>7334930.5999999996</v>
      </c>
    </row>
    <row r="306" spans="1:16" hidden="1" outlineLevel="1">
      <c r="I306" s="375" t="s">
        <v>2678</v>
      </c>
      <c r="J306" s="375"/>
      <c r="K306" s="375"/>
      <c r="L306" s="623">
        <v>700100</v>
      </c>
      <c r="M306" s="614">
        <f>+N305+N304+N303</f>
        <v>8928229.6296296287</v>
      </c>
      <c r="N306" s="375"/>
    </row>
    <row r="307" spans="1:16" collapsed="1">
      <c r="A307" s="23" t="s">
        <v>2297</v>
      </c>
      <c r="B307" s="23" t="s">
        <v>2853</v>
      </c>
    </row>
    <row r="308" spans="1:16" hidden="1" outlineLevel="1"/>
    <row r="309" spans="1:16" hidden="1" outlineLevel="1">
      <c r="B309" s="595"/>
      <c r="C309" s="595" t="s">
        <v>2680</v>
      </c>
      <c r="D309" s="595"/>
      <c r="E309" s="596"/>
      <c r="F309" s="596"/>
      <c r="G309" s="596"/>
      <c r="H309" s="596"/>
      <c r="I309" s="625"/>
      <c r="J309" s="596"/>
      <c r="K309" s="596"/>
      <c r="L309" s="596"/>
      <c r="M309" s="596"/>
      <c r="N309" s="596"/>
      <c r="O309" s="596"/>
    </row>
    <row r="310" spans="1:16" hidden="1" outlineLevel="1">
      <c r="B310" s="1026" t="s">
        <v>1</v>
      </c>
      <c r="C310" s="1028" t="s">
        <v>1334</v>
      </c>
      <c r="D310" s="1028" t="s">
        <v>1335</v>
      </c>
      <c r="E310" s="1030" t="s">
        <v>1477</v>
      </c>
      <c r="F310" s="1028" t="s">
        <v>1478</v>
      </c>
      <c r="G310" s="1030" t="s">
        <v>1479</v>
      </c>
      <c r="H310" s="1030" t="s">
        <v>1480</v>
      </c>
      <c r="I310" s="1021" t="s">
        <v>1481</v>
      </c>
      <c r="J310" s="1019" t="s">
        <v>1482</v>
      </c>
      <c r="K310" s="1017" t="s">
        <v>2012</v>
      </c>
      <c r="L310" s="1018"/>
      <c r="M310" s="1019" t="s">
        <v>1483</v>
      </c>
      <c r="N310" s="1021" t="s">
        <v>1484</v>
      </c>
      <c r="O310" s="1019" t="s">
        <v>1485</v>
      </c>
    </row>
    <row r="311" spans="1:16" hidden="1" outlineLevel="1">
      <c r="B311" s="1027"/>
      <c r="C311" s="1029"/>
      <c r="D311" s="1029"/>
      <c r="E311" s="1031"/>
      <c r="F311" s="1029"/>
      <c r="G311" s="1031"/>
      <c r="H311" s="1031"/>
      <c r="I311" s="1022"/>
      <c r="J311" s="1020"/>
      <c r="K311" s="601" t="s">
        <v>1633</v>
      </c>
      <c r="L311" s="601" t="s">
        <v>5</v>
      </c>
      <c r="M311" s="1020"/>
      <c r="N311" s="1022"/>
      <c r="O311" s="1020"/>
      <c r="P311" s="238" t="s">
        <v>1633</v>
      </c>
    </row>
    <row r="312" spans="1:16" hidden="1" outlineLevel="1">
      <c r="B312" s="482">
        <v>1</v>
      </c>
      <c r="C312" s="607" t="s">
        <v>2410</v>
      </c>
      <c r="D312" s="608" t="s">
        <v>2420</v>
      </c>
      <c r="E312" s="608" t="s">
        <v>1487</v>
      </c>
      <c r="F312" s="970">
        <v>1200000</v>
      </c>
      <c r="G312" s="605">
        <v>24</v>
      </c>
      <c r="H312" s="605">
        <f>+F312/24</f>
        <v>50000</v>
      </c>
      <c r="I312" s="971">
        <f t="shared" ref="I312:I324" si="108">+H312*G312</f>
        <v>1200000</v>
      </c>
      <c r="J312" s="972">
        <f>+I312*0.11</f>
        <v>132000</v>
      </c>
      <c r="K312" s="972">
        <f>+IFERROR(INDEX($S$7:$S$13,MATCH((I312-J312),$Q$7:$Q$13,1)),"")</f>
        <v>10000</v>
      </c>
      <c r="L312" s="972">
        <f t="shared" ref="L312:L324" si="109">+IF((I312-J312)*0.1&lt;K312,0,(I312-J312)*0.1-K312)</f>
        <v>96800</v>
      </c>
      <c r="M312" s="971">
        <f t="shared" ref="M312:M324" si="110">+I312-J312-L312</f>
        <v>971200</v>
      </c>
      <c r="N312" s="972">
        <f>+I312*0.13</f>
        <v>156000</v>
      </c>
      <c r="O312" s="972">
        <f t="shared" ref="O312:O324" si="111">+J312+N312</f>
        <v>288000</v>
      </c>
      <c r="P312" s="238">
        <f t="shared" ref="P312:P324" si="112">+IF(L312,1,0)</f>
        <v>1</v>
      </c>
    </row>
    <row r="313" spans="1:16" hidden="1" outlineLevel="1">
      <c r="B313" s="482">
        <f t="shared" ref="B313:B327" si="113">+B312+1</f>
        <v>2</v>
      </c>
      <c r="C313" s="609" t="s">
        <v>1488</v>
      </c>
      <c r="D313" s="608" t="s">
        <v>2421</v>
      </c>
      <c r="E313" s="608" t="s">
        <v>1489</v>
      </c>
      <c r="F313" s="973">
        <v>1400000</v>
      </c>
      <c r="G313" s="605">
        <v>24</v>
      </c>
      <c r="H313" s="605">
        <f t="shared" ref="H313:H327" si="114">+F313/24</f>
        <v>58333.333333333336</v>
      </c>
      <c r="I313" s="971">
        <f t="shared" si="108"/>
        <v>1400000</v>
      </c>
      <c r="J313" s="972">
        <f>+I313*0.11</f>
        <v>154000</v>
      </c>
      <c r="K313" s="972">
        <f>+IFERROR(INDEX($S$7:$S$13,MATCH((I313-J313),$Q$7:$Q$13,1)),"")</f>
        <v>10000</v>
      </c>
      <c r="L313" s="972">
        <f t="shared" si="109"/>
        <v>114600</v>
      </c>
      <c r="M313" s="971">
        <f t="shared" si="110"/>
        <v>1131400</v>
      </c>
      <c r="N313" s="972">
        <f>+I313*0.13</f>
        <v>182000</v>
      </c>
      <c r="O313" s="972">
        <f t="shared" si="111"/>
        <v>336000</v>
      </c>
      <c r="P313" s="238">
        <f t="shared" si="112"/>
        <v>1</v>
      </c>
    </row>
    <row r="314" spans="1:16" hidden="1" outlineLevel="1">
      <c r="B314" s="482">
        <f t="shared" si="113"/>
        <v>3</v>
      </c>
      <c r="C314" s="607" t="s">
        <v>2411</v>
      </c>
      <c r="D314" s="608" t="s">
        <v>2422</v>
      </c>
      <c r="E314" s="611" t="s">
        <v>1490</v>
      </c>
      <c r="F314" s="973">
        <v>240000</v>
      </c>
      <c r="G314" s="605"/>
      <c r="H314" s="605">
        <f t="shared" si="114"/>
        <v>10000</v>
      </c>
      <c r="I314" s="971">
        <f t="shared" si="108"/>
        <v>0</v>
      </c>
      <c r="J314" s="972">
        <f>+I314*0.11</f>
        <v>0</v>
      </c>
      <c r="K314" s="972">
        <v>0</v>
      </c>
      <c r="L314" s="972">
        <f t="shared" si="109"/>
        <v>0</v>
      </c>
      <c r="M314" s="971">
        <f t="shared" si="110"/>
        <v>0</v>
      </c>
      <c r="N314" s="972">
        <f>+F314*0.09</f>
        <v>21600</v>
      </c>
      <c r="O314" s="972">
        <f t="shared" si="111"/>
        <v>21600</v>
      </c>
      <c r="P314" s="238">
        <f t="shared" si="112"/>
        <v>0</v>
      </c>
    </row>
    <row r="315" spans="1:16" hidden="1" outlineLevel="1">
      <c r="B315" s="482">
        <f t="shared" si="113"/>
        <v>4</v>
      </c>
      <c r="C315" s="607" t="s">
        <v>2412</v>
      </c>
      <c r="D315" s="608" t="s">
        <v>2423</v>
      </c>
      <c r="E315" s="608" t="s">
        <v>1491</v>
      </c>
      <c r="F315" s="973">
        <v>900000</v>
      </c>
      <c r="G315" s="605">
        <v>24</v>
      </c>
      <c r="H315" s="605">
        <f t="shared" si="114"/>
        <v>37500</v>
      </c>
      <c r="I315" s="971">
        <f t="shared" si="108"/>
        <v>900000</v>
      </c>
      <c r="J315" s="972">
        <f>+I315*0.11</f>
        <v>99000</v>
      </c>
      <c r="K315" s="972">
        <f t="shared" ref="K315:K324" si="115">+IFERROR(INDEX($S$7:$S$13,MATCH((I315-J315),$Q$7:$Q$13,1)),"")</f>
        <v>11666.666666666666</v>
      </c>
      <c r="L315" s="972">
        <f t="shared" si="109"/>
        <v>68433.333333333328</v>
      </c>
      <c r="M315" s="971">
        <f t="shared" si="110"/>
        <v>732566.66666666663</v>
      </c>
      <c r="N315" s="972">
        <f>+I315*0.13</f>
        <v>117000</v>
      </c>
      <c r="O315" s="972">
        <f t="shared" si="111"/>
        <v>216000</v>
      </c>
      <c r="P315" s="238">
        <f t="shared" si="112"/>
        <v>1</v>
      </c>
    </row>
    <row r="316" spans="1:16" hidden="1" outlineLevel="1">
      <c r="B316" s="482">
        <f t="shared" si="113"/>
        <v>5</v>
      </c>
      <c r="C316" s="607" t="s">
        <v>2416</v>
      </c>
      <c r="D316" s="613" t="s">
        <v>2426</v>
      </c>
      <c r="E316" s="611" t="s">
        <v>1492</v>
      </c>
      <c r="F316" s="833">
        <v>400000</v>
      </c>
      <c r="G316" s="605">
        <v>28.41</v>
      </c>
      <c r="H316" s="605">
        <f t="shared" si="114"/>
        <v>16666.666666666668</v>
      </c>
      <c r="I316" s="971">
        <f t="shared" si="108"/>
        <v>473500.00000000006</v>
      </c>
      <c r="J316" s="972">
        <f>+I316*0.088</f>
        <v>41668</v>
      </c>
      <c r="K316" s="972">
        <f t="shared" si="115"/>
        <v>13333.333333333334</v>
      </c>
      <c r="L316" s="972">
        <f t="shared" si="109"/>
        <v>29849.866666666676</v>
      </c>
      <c r="M316" s="971">
        <f t="shared" si="110"/>
        <v>401982.13333333336</v>
      </c>
      <c r="N316" s="972">
        <f>+I316*0.108</f>
        <v>51138.000000000007</v>
      </c>
      <c r="O316" s="972">
        <f t="shared" si="111"/>
        <v>92806</v>
      </c>
      <c r="P316" s="238">
        <f t="shared" si="112"/>
        <v>1</v>
      </c>
    </row>
    <row r="317" spans="1:16" hidden="1" outlineLevel="1">
      <c r="B317" s="482">
        <f t="shared" si="113"/>
        <v>6</v>
      </c>
      <c r="C317" s="607" t="s">
        <v>2428</v>
      </c>
      <c r="D317" s="613" t="s">
        <v>2442</v>
      </c>
      <c r="E317" s="622" t="s">
        <v>1494</v>
      </c>
      <c r="F317" s="833">
        <v>450000</v>
      </c>
      <c r="G317" s="605">
        <v>32.17</v>
      </c>
      <c r="H317" s="605">
        <f t="shared" si="114"/>
        <v>18750</v>
      </c>
      <c r="I317" s="971">
        <f t="shared" si="108"/>
        <v>603187.5</v>
      </c>
      <c r="J317" s="972">
        <f t="shared" ref="J317:J324" si="116">+I317*0.11</f>
        <v>66350.625</v>
      </c>
      <c r="K317" s="972">
        <f t="shared" si="115"/>
        <v>11666.666666666666</v>
      </c>
      <c r="L317" s="972">
        <f t="shared" si="109"/>
        <v>42017.020833333336</v>
      </c>
      <c r="M317" s="971">
        <f t="shared" si="110"/>
        <v>494819.85416666669</v>
      </c>
      <c r="N317" s="972">
        <f t="shared" ref="N317:N324" si="117">+I317*0.13</f>
        <v>78414.375</v>
      </c>
      <c r="O317" s="972">
        <f t="shared" si="111"/>
        <v>144765</v>
      </c>
      <c r="P317" s="238">
        <f t="shared" si="112"/>
        <v>1</v>
      </c>
    </row>
    <row r="318" spans="1:16" hidden="1" outlineLevel="1">
      <c r="B318" s="482">
        <f t="shared" si="113"/>
        <v>7</v>
      </c>
      <c r="C318" s="616" t="s">
        <v>2430</v>
      </c>
      <c r="D318" s="613" t="s">
        <v>2442</v>
      </c>
      <c r="E318" s="617" t="s">
        <v>1495</v>
      </c>
      <c r="F318" s="833">
        <v>480000</v>
      </c>
      <c r="G318" s="605">
        <v>17.36</v>
      </c>
      <c r="H318" s="605">
        <f t="shared" si="114"/>
        <v>20000</v>
      </c>
      <c r="I318" s="971">
        <f t="shared" si="108"/>
        <v>347200</v>
      </c>
      <c r="J318" s="972">
        <f t="shared" si="116"/>
        <v>38192</v>
      </c>
      <c r="K318" s="972">
        <f t="shared" si="115"/>
        <v>13333.333333333334</v>
      </c>
      <c r="L318" s="972">
        <f t="shared" si="109"/>
        <v>17567.466666666667</v>
      </c>
      <c r="M318" s="971">
        <f t="shared" si="110"/>
        <v>291440.53333333333</v>
      </c>
      <c r="N318" s="972">
        <f t="shared" si="117"/>
        <v>45136</v>
      </c>
      <c r="O318" s="972">
        <f t="shared" si="111"/>
        <v>83328</v>
      </c>
      <c r="P318" s="238">
        <f t="shared" si="112"/>
        <v>1</v>
      </c>
    </row>
    <row r="319" spans="1:16" hidden="1" outlineLevel="1">
      <c r="B319" s="482">
        <f t="shared" si="113"/>
        <v>8</v>
      </c>
      <c r="C319" s="602" t="s">
        <v>2431</v>
      </c>
      <c r="D319" s="612" t="s">
        <v>2442</v>
      </c>
      <c r="E319" s="611" t="s">
        <v>1496</v>
      </c>
      <c r="F319" s="834">
        <v>800000</v>
      </c>
      <c r="G319" s="605">
        <v>24</v>
      </c>
      <c r="H319" s="605">
        <f t="shared" si="114"/>
        <v>33333.333333333336</v>
      </c>
      <c r="I319" s="971">
        <f t="shared" si="108"/>
        <v>800000</v>
      </c>
      <c r="J319" s="972">
        <f t="shared" si="116"/>
        <v>88000</v>
      </c>
      <c r="K319" s="972">
        <f t="shared" si="115"/>
        <v>11666.666666666666</v>
      </c>
      <c r="L319" s="972">
        <f t="shared" si="109"/>
        <v>59533.333333333336</v>
      </c>
      <c r="M319" s="971">
        <f t="shared" si="110"/>
        <v>652466.66666666663</v>
      </c>
      <c r="N319" s="972">
        <f t="shared" si="117"/>
        <v>104000</v>
      </c>
      <c r="O319" s="972">
        <f t="shared" si="111"/>
        <v>192000</v>
      </c>
      <c r="P319" s="238">
        <f t="shared" si="112"/>
        <v>1</v>
      </c>
    </row>
    <row r="320" spans="1:16" hidden="1" outlineLevel="1">
      <c r="B320" s="482">
        <f t="shared" si="113"/>
        <v>9</v>
      </c>
      <c r="C320" s="602" t="s">
        <v>2432</v>
      </c>
      <c r="D320" s="612" t="s">
        <v>2442</v>
      </c>
      <c r="E320" s="620" t="s">
        <v>1497</v>
      </c>
      <c r="F320" s="834">
        <v>480000</v>
      </c>
      <c r="G320" s="605">
        <v>13.91</v>
      </c>
      <c r="H320" s="605">
        <f t="shared" si="114"/>
        <v>20000</v>
      </c>
      <c r="I320" s="971">
        <f t="shared" si="108"/>
        <v>278200</v>
      </c>
      <c r="J320" s="972">
        <f t="shared" si="116"/>
        <v>30602</v>
      </c>
      <c r="K320" s="972">
        <f t="shared" si="115"/>
        <v>13333.333333333334</v>
      </c>
      <c r="L320" s="972">
        <f t="shared" si="109"/>
        <v>11426.466666666669</v>
      </c>
      <c r="M320" s="971">
        <f t="shared" si="110"/>
        <v>236171.53333333333</v>
      </c>
      <c r="N320" s="972">
        <f t="shared" si="117"/>
        <v>36166</v>
      </c>
      <c r="O320" s="972">
        <f t="shared" si="111"/>
        <v>66768</v>
      </c>
      <c r="P320" s="238">
        <f t="shared" si="112"/>
        <v>1</v>
      </c>
    </row>
    <row r="321" spans="2:16" hidden="1" outlineLevel="1">
      <c r="B321" s="482">
        <f t="shared" si="113"/>
        <v>10</v>
      </c>
      <c r="C321" s="602" t="s">
        <v>2433</v>
      </c>
      <c r="D321" s="608" t="s">
        <v>2442</v>
      </c>
      <c r="E321" s="619" t="s">
        <v>1498</v>
      </c>
      <c r="F321" s="834">
        <v>480000</v>
      </c>
      <c r="G321" s="605">
        <v>31.17</v>
      </c>
      <c r="H321" s="605">
        <f t="shared" si="114"/>
        <v>20000</v>
      </c>
      <c r="I321" s="971">
        <f t="shared" si="108"/>
        <v>623400</v>
      </c>
      <c r="J321" s="972">
        <f t="shared" si="116"/>
        <v>68574</v>
      </c>
      <c r="K321" s="972">
        <f t="shared" si="115"/>
        <v>11666.666666666666</v>
      </c>
      <c r="L321" s="972">
        <f t="shared" si="109"/>
        <v>43815.933333333342</v>
      </c>
      <c r="M321" s="971">
        <f t="shared" si="110"/>
        <v>511010.06666666665</v>
      </c>
      <c r="N321" s="972">
        <f t="shared" si="117"/>
        <v>81042</v>
      </c>
      <c r="O321" s="972">
        <f t="shared" si="111"/>
        <v>149616</v>
      </c>
      <c r="P321" s="238">
        <f t="shared" si="112"/>
        <v>1</v>
      </c>
    </row>
    <row r="322" spans="2:16" hidden="1" outlineLevel="1">
      <c r="B322" s="482">
        <f t="shared" si="113"/>
        <v>11</v>
      </c>
      <c r="C322" s="602" t="s">
        <v>2434</v>
      </c>
      <c r="D322" s="608" t="s">
        <v>2442</v>
      </c>
      <c r="E322" s="451" t="s">
        <v>1499</v>
      </c>
      <c r="F322" s="834">
        <v>600000</v>
      </c>
      <c r="G322" s="605">
        <v>24</v>
      </c>
      <c r="H322" s="605">
        <f t="shared" si="114"/>
        <v>25000</v>
      </c>
      <c r="I322" s="971">
        <f t="shared" si="108"/>
        <v>600000</v>
      </c>
      <c r="J322" s="972">
        <f t="shared" si="116"/>
        <v>66000</v>
      </c>
      <c r="K322" s="972">
        <f t="shared" si="115"/>
        <v>11666.666666666666</v>
      </c>
      <c r="L322" s="972">
        <f t="shared" si="109"/>
        <v>41733.333333333336</v>
      </c>
      <c r="M322" s="971">
        <f t="shared" si="110"/>
        <v>492266.66666666669</v>
      </c>
      <c r="N322" s="972">
        <f t="shared" si="117"/>
        <v>78000</v>
      </c>
      <c r="O322" s="972">
        <f t="shared" si="111"/>
        <v>144000</v>
      </c>
      <c r="P322" s="238">
        <f t="shared" si="112"/>
        <v>1</v>
      </c>
    </row>
    <row r="323" spans="2:16" hidden="1" outlineLevel="1">
      <c r="B323" s="482">
        <f t="shared" si="113"/>
        <v>12</v>
      </c>
      <c r="C323" s="616" t="s">
        <v>2435</v>
      </c>
      <c r="D323" s="608" t="s">
        <v>2443</v>
      </c>
      <c r="E323" s="619" t="s">
        <v>1500</v>
      </c>
      <c r="F323" s="834">
        <v>480000</v>
      </c>
      <c r="G323" s="605">
        <v>21.65</v>
      </c>
      <c r="H323" s="605">
        <f t="shared" si="114"/>
        <v>20000</v>
      </c>
      <c r="I323" s="971">
        <f t="shared" si="108"/>
        <v>433000</v>
      </c>
      <c r="J323" s="972">
        <f t="shared" si="116"/>
        <v>47630</v>
      </c>
      <c r="K323" s="972">
        <f t="shared" si="115"/>
        <v>13333.333333333334</v>
      </c>
      <c r="L323" s="972">
        <f t="shared" si="109"/>
        <v>25203.666666666664</v>
      </c>
      <c r="M323" s="971">
        <f t="shared" si="110"/>
        <v>360166.33333333331</v>
      </c>
      <c r="N323" s="972">
        <f t="shared" si="117"/>
        <v>56290</v>
      </c>
      <c r="O323" s="972">
        <f t="shared" si="111"/>
        <v>103920</v>
      </c>
      <c r="P323" s="238">
        <f t="shared" si="112"/>
        <v>1</v>
      </c>
    </row>
    <row r="324" spans="2:16" hidden="1" outlineLevel="1">
      <c r="B324" s="482">
        <f t="shared" si="113"/>
        <v>13</v>
      </c>
      <c r="C324" s="602" t="s">
        <v>2436</v>
      </c>
      <c r="D324" s="608" t="s">
        <v>2442</v>
      </c>
      <c r="E324" s="375" t="s">
        <v>1501</v>
      </c>
      <c r="F324" s="834">
        <v>450000</v>
      </c>
      <c r="G324" s="605">
        <v>32.770000000000003</v>
      </c>
      <c r="H324" s="605">
        <f t="shared" si="114"/>
        <v>18750</v>
      </c>
      <c r="I324" s="971">
        <f t="shared" si="108"/>
        <v>614437.50000000012</v>
      </c>
      <c r="J324" s="972">
        <f t="shared" si="116"/>
        <v>67588.125000000015</v>
      </c>
      <c r="K324" s="972">
        <f t="shared" si="115"/>
        <v>11666.666666666666</v>
      </c>
      <c r="L324" s="972">
        <f t="shared" si="109"/>
        <v>43018.27083333335</v>
      </c>
      <c r="M324" s="971">
        <f t="shared" si="110"/>
        <v>503831.10416666674</v>
      </c>
      <c r="N324" s="972">
        <f t="shared" si="117"/>
        <v>79876.875000000015</v>
      </c>
      <c r="O324" s="972">
        <f t="shared" si="111"/>
        <v>147465.00000000003</v>
      </c>
      <c r="P324" s="238">
        <f t="shared" si="112"/>
        <v>1</v>
      </c>
    </row>
    <row r="325" spans="2:16" hidden="1" outlineLevel="1">
      <c r="B325" s="482">
        <f t="shared" si="113"/>
        <v>14</v>
      </c>
      <c r="C325" s="618" t="s">
        <v>2438</v>
      </c>
      <c r="D325" s="608" t="s">
        <v>2442</v>
      </c>
      <c r="E325" s="375" t="s">
        <v>1502</v>
      </c>
      <c r="F325" s="834">
        <v>480000</v>
      </c>
      <c r="G325" s="605">
        <v>23.68</v>
      </c>
      <c r="H325" s="605">
        <f t="shared" si="114"/>
        <v>20000</v>
      </c>
      <c r="I325" s="971">
        <f>+H325*G325</f>
        <v>473600</v>
      </c>
      <c r="J325" s="972">
        <f>+I325*0.11</f>
        <v>52096</v>
      </c>
      <c r="K325" s="972">
        <f>+IFERROR(INDEX($S$7:$S$13,MATCH((I325-J325),$Q$7:$Q$13,1)),"")</f>
        <v>13333.333333333334</v>
      </c>
      <c r="L325" s="972">
        <f>+IF((I325-J325)*0.1&lt;K325,0,(I325-J325)*0.1-K325)</f>
        <v>28817.066666666666</v>
      </c>
      <c r="M325" s="971">
        <f>+I325-J325-L325</f>
        <v>392686.93333333335</v>
      </c>
      <c r="N325" s="972">
        <f>+I325*0.13</f>
        <v>61568</v>
      </c>
      <c r="O325" s="972">
        <f>+J325+N325</f>
        <v>113664</v>
      </c>
      <c r="P325" s="238">
        <f>+IF(L325,1,0)</f>
        <v>1</v>
      </c>
    </row>
    <row r="326" spans="2:16" hidden="1" outlineLevel="1">
      <c r="B326" s="482">
        <f t="shared" si="113"/>
        <v>15</v>
      </c>
      <c r="C326" s="618" t="s">
        <v>2437</v>
      </c>
      <c r="D326" s="608" t="s">
        <v>2442</v>
      </c>
      <c r="E326" s="375" t="s">
        <v>1521</v>
      </c>
      <c r="F326" s="834">
        <v>450000</v>
      </c>
      <c r="G326" s="605">
        <v>24.84</v>
      </c>
      <c r="H326" s="605">
        <f t="shared" si="114"/>
        <v>18750</v>
      </c>
      <c r="I326" s="971">
        <f>+H326*G326</f>
        <v>465750</v>
      </c>
      <c r="J326" s="972">
        <f>+I326*0.11</f>
        <v>51232.5</v>
      </c>
      <c r="K326" s="972">
        <f>+IFERROR(INDEX($S$7:$S$13,MATCH((I326-J326),$Q$7:$Q$13,1)),"")</f>
        <v>13333.333333333334</v>
      </c>
      <c r="L326" s="972">
        <f>+IF((I326-J326)*0.1&lt;K326,0,(I326-J326)*0.1-K326)</f>
        <v>28118.416666666664</v>
      </c>
      <c r="M326" s="971">
        <f>+I326-J326-L326</f>
        <v>386399.08333333331</v>
      </c>
      <c r="N326" s="972">
        <f>+I326*0.13</f>
        <v>60547.5</v>
      </c>
      <c r="O326" s="972">
        <f>+J326+N326</f>
        <v>111780</v>
      </c>
      <c r="P326" s="238">
        <f>+IF(L326,1,0)</f>
        <v>1</v>
      </c>
    </row>
    <row r="327" spans="2:16" hidden="1" outlineLevel="1">
      <c r="B327" s="482">
        <f t="shared" si="113"/>
        <v>16</v>
      </c>
      <c r="C327" s="616" t="s">
        <v>2439</v>
      </c>
      <c r="D327" s="608" t="s">
        <v>2442</v>
      </c>
      <c r="E327" s="611" t="s">
        <v>1503</v>
      </c>
      <c r="F327" s="834">
        <v>240000</v>
      </c>
      <c r="G327" s="605"/>
      <c r="H327" s="605">
        <f t="shared" si="114"/>
        <v>10000</v>
      </c>
      <c r="I327" s="971">
        <f>+H327*G327</f>
        <v>0</v>
      </c>
      <c r="J327" s="972">
        <f>+I327*0.11</f>
        <v>0</v>
      </c>
      <c r="K327" s="972" t="str">
        <f>+IFERROR(INDEX($S$7:$S$13,MATCH((I327-J327),$Q$7:$Q$13,1)),"")</f>
        <v/>
      </c>
      <c r="L327" s="972">
        <f>+IF((I327-J327)*0.1&lt;K327,0,(I327-J327)*0.1-K327)</f>
        <v>0</v>
      </c>
      <c r="M327" s="971">
        <f>+I327-J327-L327</f>
        <v>0</v>
      </c>
      <c r="N327" s="972">
        <f>+F327*0.13</f>
        <v>31200</v>
      </c>
      <c r="O327" s="972">
        <f>+J327+N327</f>
        <v>31200</v>
      </c>
      <c r="P327" s="238">
        <f>+IF(L327,1,0)</f>
        <v>0</v>
      </c>
    </row>
    <row r="328" spans="2:16" hidden="1" outlineLevel="1">
      <c r="B328" s="1032" t="s">
        <v>6</v>
      </c>
      <c r="C328" s="1032"/>
      <c r="D328" s="1032"/>
      <c r="E328" s="1032"/>
      <c r="F328" s="977">
        <f t="shared" ref="F328:P328" si="118">SUM(F312:F327)</f>
        <v>9530000</v>
      </c>
      <c r="G328" s="977">
        <f t="shared" si="118"/>
        <v>345.95999999999992</v>
      </c>
      <c r="H328" s="977">
        <f t="shared" si="118"/>
        <v>397083.33333333337</v>
      </c>
      <c r="I328" s="977">
        <f t="shared" si="118"/>
        <v>9212275</v>
      </c>
      <c r="J328" s="975">
        <f t="shared" si="118"/>
        <v>1002933.25</v>
      </c>
      <c r="K328" s="975">
        <f t="shared" si="118"/>
        <v>170000.00000000003</v>
      </c>
      <c r="L328" s="975">
        <f t="shared" si="118"/>
        <v>650934.17499999993</v>
      </c>
      <c r="M328" s="975">
        <f t="shared" si="118"/>
        <v>7558407.5749999993</v>
      </c>
      <c r="N328" s="975">
        <f t="shared" si="118"/>
        <v>1239978.75</v>
      </c>
      <c r="O328" s="975">
        <f t="shared" si="118"/>
        <v>2242912</v>
      </c>
      <c r="P328" s="621">
        <f t="shared" si="118"/>
        <v>14</v>
      </c>
    </row>
    <row r="329" spans="2:16" hidden="1" outlineLevel="1">
      <c r="I329" s="79"/>
      <c r="J329" s="79"/>
      <c r="L329" s="79"/>
      <c r="N329" s="79"/>
    </row>
    <row r="330" spans="2:16" hidden="1" outlineLevel="1">
      <c r="I330" s="79"/>
      <c r="J330" s="79"/>
      <c r="K330" s="79"/>
      <c r="L330" s="79"/>
      <c r="N330" s="79"/>
      <c r="O330" s="79"/>
    </row>
    <row r="331" spans="2:16" hidden="1" outlineLevel="1">
      <c r="I331" s="23" t="s">
        <v>1504</v>
      </c>
    </row>
    <row r="332" spans="2:16" hidden="1" outlineLevel="1">
      <c r="I332" s="375" t="s">
        <v>1321</v>
      </c>
      <c r="J332" s="375"/>
      <c r="K332" s="375"/>
      <c r="L332" s="375"/>
      <c r="M332" s="622" t="s">
        <v>261</v>
      </c>
      <c r="N332" s="375" t="s">
        <v>262</v>
      </c>
    </row>
    <row r="333" spans="2:16" hidden="1" outlineLevel="1">
      <c r="I333" s="375" t="s">
        <v>2681</v>
      </c>
      <c r="J333" s="375"/>
      <c r="K333" s="375"/>
      <c r="L333" s="623">
        <v>700200</v>
      </c>
      <c r="M333" s="121">
        <f>+N328</f>
        <v>1239978.75</v>
      </c>
      <c r="N333" s="6"/>
    </row>
    <row r="334" spans="2:16" hidden="1" outlineLevel="1">
      <c r="I334" s="375" t="s">
        <v>2681</v>
      </c>
      <c r="J334" s="375"/>
      <c r="K334" s="375"/>
      <c r="L334" s="623">
        <v>310800</v>
      </c>
      <c r="M334" s="6"/>
      <c r="N334" s="121">
        <f>+N328</f>
        <v>1239978.75</v>
      </c>
    </row>
    <row r="335" spans="2:16" hidden="1" outlineLevel="1">
      <c r="I335" s="375" t="s">
        <v>2682</v>
      </c>
      <c r="J335" s="375"/>
      <c r="K335" s="375"/>
      <c r="L335" s="623">
        <v>310800</v>
      </c>
      <c r="M335" s="6"/>
      <c r="N335" s="121">
        <f>+J328</f>
        <v>1002933.25</v>
      </c>
    </row>
    <row r="336" spans="2:16" hidden="1" outlineLevel="1">
      <c r="I336" s="375" t="s">
        <v>2683</v>
      </c>
      <c r="J336" s="375"/>
      <c r="K336" s="375"/>
      <c r="L336" s="623">
        <v>310700</v>
      </c>
      <c r="M336" s="6"/>
      <c r="N336" s="121">
        <f>+L328</f>
        <v>650934.17499999993</v>
      </c>
    </row>
    <row r="337" spans="1:16" hidden="1" outlineLevel="1">
      <c r="I337" s="375" t="s">
        <v>2684</v>
      </c>
      <c r="J337" s="375"/>
      <c r="K337" s="375"/>
      <c r="L337" s="623">
        <v>311000</v>
      </c>
      <c r="M337" s="6"/>
      <c r="N337" s="121">
        <f>+M328</f>
        <v>7558407.5749999993</v>
      </c>
    </row>
    <row r="338" spans="1:16" hidden="1" outlineLevel="1">
      <c r="I338" s="375" t="s">
        <v>2685</v>
      </c>
      <c r="J338" s="375"/>
      <c r="K338" s="375"/>
      <c r="L338" s="623">
        <v>700100</v>
      </c>
      <c r="M338" s="614">
        <f>+N337+N336+N335</f>
        <v>9212275</v>
      </c>
      <c r="N338" s="375"/>
    </row>
    <row r="339" spans="1:16" hidden="1" outlineLevel="1">
      <c r="C339" s="23"/>
    </row>
    <row r="340" spans="1:16" hidden="1" outlineLevel="1">
      <c r="C340" s="23"/>
      <c r="E340" s="238" t="s">
        <v>2502</v>
      </c>
      <c r="F340" s="79">
        <f>+F117</f>
        <v>44440000</v>
      </c>
      <c r="G340" s="79">
        <f t="shared" ref="G340:O340" si="119">+G117</f>
        <v>0</v>
      </c>
      <c r="H340" s="79">
        <f t="shared" si="119"/>
        <v>0</v>
      </c>
      <c r="I340" s="79">
        <f t="shared" si="119"/>
        <v>36454180.09109731</v>
      </c>
      <c r="J340" s="79">
        <f t="shared" si="119"/>
        <v>3989711.4290683237</v>
      </c>
      <c r="K340" s="79">
        <f t="shared" si="119"/>
        <v>824716.11428571446</v>
      </c>
      <c r="L340" s="79">
        <f t="shared" si="119"/>
        <v>2421730.7519171843</v>
      </c>
      <c r="M340" s="79">
        <f t="shared" si="119"/>
        <v>30042737.9101118</v>
      </c>
      <c r="N340" s="79">
        <f t="shared" si="119"/>
        <v>4845995.0308902692</v>
      </c>
      <c r="O340" s="79">
        <f t="shared" si="119"/>
        <v>8835706.4599585906</v>
      </c>
    </row>
    <row r="341" spans="1:16" hidden="1" outlineLevel="1">
      <c r="C341" s="23"/>
      <c r="E341" s="238" t="s">
        <v>2614</v>
      </c>
      <c r="F341" s="79">
        <f>+F241</f>
        <v>45480000</v>
      </c>
      <c r="G341" s="79">
        <f t="shared" ref="G341:O341" si="120">+G241</f>
        <v>0</v>
      </c>
      <c r="H341" s="79">
        <f t="shared" si="120"/>
        <v>1763792.5925925926</v>
      </c>
      <c r="I341" s="79">
        <f t="shared" si="120"/>
        <v>41883255.55555556</v>
      </c>
      <c r="J341" s="79">
        <f t="shared" si="120"/>
        <v>4581164.9970370373</v>
      </c>
      <c r="K341" s="79">
        <f t="shared" si="120"/>
        <v>872177.77777777787</v>
      </c>
      <c r="L341" s="79">
        <f t="shared" si="120"/>
        <v>2858031.2780740741</v>
      </c>
      <c r="M341" s="79">
        <f t="shared" si="120"/>
        <v>34444059.280444443</v>
      </c>
      <c r="N341" s="79">
        <f t="shared" si="120"/>
        <v>5558030.1081481483</v>
      </c>
      <c r="O341" s="79">
        <f t="shared" si="120"/>
        <v>10139195.105185185</v>
      </c>
    </row>
    <row r="342" spans="1:16" hidden="1" outlineLevel="1">
      <c r="C342" s="23"/>
      <c r="E342" s="238" t="s">
        <v>2688</v>
      </c>
      <c r="F342" s="79">
        <f>+F328+F296+F263</f>
        <v>29280000</v>
      </c>
      <c r="G342" s="79"/>
      <c r="H342" s="79">
        <f t="shared" ref="H342:O342" si="121">+H328+H296+H263</f>
        <v>1142781.3390313389</v>
      </c>
      <c r="I342" s="79">
        <f t="shared" si="121"/>
        <v>27734189.245014243</v>
      </c>
      <c r="J342" s="79">
        <f t="shared" si="121"/>
        <v>3021458.6659544157</v>
      </c>
      <c r="K342" s="79">
        <f t="shared" si="121"/>
        <v>533333.33333333349</v>
      </c>
      <c r="L342" s="79">
        <f t="shared" si="121"/>
        <v>1937939.7245726495</v>
      </c>
      <c r="M342" s="79">
        <f t="shared" si="121"/>
        <v>22774790.854487181</v>
      </c>
      <c r="N342" s="79">
        <f t="shared" si="121"/>
        <v>3746542.450854701</v>
      </c>
      <c r="O342" s="79">
        <f t="shared" si="121"/>
        <v>6768001.1168091167</v>
      </c>
    </row>
    <row r="343" spans="1:16" hidden="1" outlineLevel="1">
      <c r="C343" s="23"/>
      <c r="E343" s="238" t="s">
        <v>2690</v>
      </c>
      <c r="F343" s="842">
        <f>+F342+F341+F340</f>
        <v>119200000</v>
      </c>
      <c r="G343" s="842">
        <f t="shared" ref="G343:O343" si="122">+G342+G341+G340</f>
        <v>0</v>
      </c>
      <c r="H343" s="842">
        <f t="shared" si="122"/>
        <v>2906573.9316239315</v>
      </c>
      <c r="I343" s="842">
        <f t="shared" si="122"/>
        <v>106071624.89166711</v>
      </c>
      <c r="J343" s="842">
        <f t="shared" si="122"/>
        <v>11592335.092059776</v>
      </c>
      <c r="K343" s="842">
        <f t="shared" si="122"/>
        <v>2230227.2253968259</v>
      </c>
      <c r="L343" s="842">
        <f t="shared" si="122"/>
        <v>7217701.7545639081</v>
      </c>
      <c r="M343" s="842">
        <f t="shared" si="122"/>
        <v>87261588.045043424</v>
      </c>
      <c r="N343" s="842">
        <f t="shared" si="122"/>
        <v>14150567.589893119</v>
      </c>
      <c r="O343" s="842">
        <f t="shared" si="122"/>
        <v>25742902.681952894</v>
      </c>
    </row>
    <row r="344" spans="1:16" hidden="1" outlineLevel="1">
      <c r="C344" s="23"/>
    </row>
    <row r="345" spans="1:16" hidden="1" outlineLevel="1">
      <c r="C345" s="23"/>
    </row>
    <row r="346" spans="1:16" collapsed="1">
      <c r="A346" s="23" t="s">
        <v>2298</v>
      </c>
      <c r="B346" s="23" t="s">
        <v>2854</v>
      </c>
    </row>
    <row r="347" spans="1:16" hidden="1" outlineLevel="1">
      <c r="C347" s="878" t="s">
        <v>2409</v>
      </c>
      <c r="F347" s="79" t="e">
        <f>+#REF!</f>
        <v>#REF!</v>
      </c>
      <c r="G347" s="79"/>
      <c r="H347" s="79"/>
      <c r="I347" s="79" t="e">
        <f>+#REF!</f>
        <v>#REF!</v>
      </c>
      <c r="J347" s="79" t="e">
        <f>+#REF!</f>
        <v>#REF!</v>
      </c>
      <c r="K347" s="79" t="e">
        <f>+#REF!</f>
        <v>#REF!</v>
      </c>
      <c r="L347" s="79" t="e">
        <f>+#REF!</f>
        <v>#REF!</v>
      </c>
      <c r="M347" s="79" t="e">
        <f>+#REF!</f>
        <v>#REF!</v>
      </c>
      <c r="N347" s="79" t="e">
        <f>+#REF!</f>
        <v>#REF!</v>
      </c>
      <c r="O347" s="79" t="e">
        <f>+#REF!</f>
        <v>#REF!</v>
      </c>
      <c r="P347" s="238" t="e">
        <f>+IF(L347,1,0)</f>
        <v>#REF!</v>
      </c>
    </row>
    <row r="348" spans="1:16" hidden="1" outlineLevel="1">
      <c r="C348" s="878" t="s">
        <v>2410</v>
      </c>
      <c r="F348" s="79" t="e">
        <f>+F312+F279+F246+#REF!</f>
        <v>#REF!</v>
      </c>
      <c r="G348" s="79"/>
      <c r="H348" s="79"/>
      <c r="I348" s="79" t="e">
        <f>+I312+I279+I246+#REF!</f>
        <v>#REF!</v>
      </c>
      <c r="J348" s="79" t="e">
        <f>+J312+J279+J246+#REF!</f>
        <v>#REF!</v>
      </c>
      <c r="K348" s="79" t="e">
        <f>+K312+K279+K246+#REF!</f>
        <v>#REF!</v>
      </c>
      <c r="L348" s="79" t="e">
        <f>+L312+L279+L246+#REF!</f>
        <v>#REF!</v>
      </c>
      <c r="M348" s="79" t="e">
        <f>+M312+M279+M246+#REF!</f>
        <v>#REF!</v>
      </c>
      <c r="N348" s="79" t="e">
        <f>+N312+N279+N246+#REF!</f>
        <v>#REF!</v>
      </c>
      <c r="O348" s="79" t="e">
        <f>+O312+O279+O246+#REF!</f>
        <v>#REF!</v>
      </c>
      <c r="P348" s="238" t="e">
        <f t="shared" ref="P348:P372" si="123">+IF(L348,1,0)</f>
        <v>#REF!</v>
      </c>
    </row>
    <row r="349" spans="1:16" hidden="1" outlineLevel="1">
      <c r="C349" s="878" t="s">
        <v>1488</v>
      </c>
      <c r="F349" s="79" t="e">
        <f>+F313+F280+F247+#REF!</f>
        <v>#REF!</v>
      </c>
      <c r="G349" s="79"/>
      <c r="H349" s="79"/>
      <c r="I349" s="79" t="e">
        <f>+I313+I280+I247+#REF!</f>
        <v>#REF!</v>
      </c>
      <c r="J349" s="79" t="e">
        <f>+J313+J280+J247+#REF!</f>
        <v>#REF!</v>
      </c>
      <c r="K349" s="79" t="e">
        <f>+K313+K280+K247+#REF!</f>
        <v>#REF!</v>
      </c>
      <c r="L349" s="79" t="e">
        <f>+L313+L280+L247+#REF!</f>
        <v>#REF!</v>
      </c>
      <c r="M349" s="79" t="e">
        <f>+M313+M280+M247+#REF!</f>
        <v>#REF!</v>
      </c>
      <c r="N349" s="79" t="e">
        <f>+N313+N280+N247+#REF!</f>
        <v>#REF!</v>
      </c>
      <c r="O349" s="79" t="e">
        <f>+O313+O280+O247+#REF!</f>
        <v>#REF!</v>
      </c>
      <c r="P349" s="238" t="e">
        <f t="shared" si="123"/>
        <v>#REF!</v>
      </c>
    </row>
    <row r="350" spans="1:16" hidden="1" outlineLevel="1">
      <c r="C350" s="878" t="s">
        <v>2411</v>
      </c>
      <c r="F350" s="79" t="e">
        <f>+F314+F281+F248+#REF!</f>
        <v>#REF!</v>
      </c>
      <c r="G350" s="79"/>
      <c r="H350" s="79"/>
      <c r="I350" s="79" t="e">
        <f>+I314+I281+I248+#REF!</f>
        <v>#REF!</v>
      </c>
      <c r="J350" s="79" t="e">
        <f>+J314+J281+J248+#REF!</f>
        <v>#REF!</v>
      </c>
      <c r="K350" s="79" t="e">
        <f>+K314+K281+K248+#REF!</f>
        <v>#REF!</v>
      </c>
      <c r="L350" s="79" t="e">
        <f>+L314+L281+L248+#REF!</f>
        <v>#REF!</v>
      </c>
      <c r="M350" s="79" t="e">
        <f>+M314+M281+M248+#REF!</f>
        <v>#REF!</v>
      </c>
      <c r="N350" s="79" t="e">
        <f>+N314+N281+N248+#REF!</f>
        <v>#REF!</v>
      </c>
      <c r="O350" s="79" t="e">
        <f>+O314+O281+O248+#REF!</f>
        <v>#REF!</v>
      </c>
      <c r="P350" s="238" t="e">
        <f t="shared" si="123"/>
        <v>#REF!</v>
      </c>
    </row>
    <row r="351" spans="1:16" hidden="1" outlineLevel="1">
      <c r="C351" s="878" t="s">
        <v>2412</v>
      </c>
      <c r="F351" s="79" t="e">
        <f>+F315+F282+F249+#REF!</f>
        <v>#REF!</v>
      </c>
      <c r="G351" s="79"/>
      <c r="H351" s="79"/>
      <c r="I351" s="79" t="e">
        <f>+I315+I282+I249+#REF!</f>
        <v>#REF!</v>
      </c>
      <c r="J351" s="79" t="e">
        <f>+J315+J282+J249+#REF!</f>
        <v>#REF!</v>
      </c>
      <c r="K351" s="79" t="e">
        <f>+K315+K282+K249+#REF!</f>
        <v>#REF!</v>
      </c>
      <c r="L351" s="79" t="e">
        <f>+L315+L282+L249+#REF!</f>
        <v>#REF!</v>
      </c>
      <c r="M351" s="79" t="e">
        <f>+M315+M282+M249+#REF!</f>
        <v>#REF!</v>
      </c>
      <c r="N351" s="79" t="e">
        <f>+N315+N282+N249+#REF!</f>
        <v>#REF!</v>
      </c>
      <c r="O351" s="79" t="e">
        <f>+O315+O282+O249+#REF!</f>
        <v>#REF!</v>
      </c>
      <c r="P351" s="238" t="e">
        <f t="shared" si="123"/>
        <v>#REF!</v>
      </c>
    </row>
    <row r="352" spans="1:16" hidden="1" outlineLevel="1">
      <c r="C352" s="878" t="s">
        <v>2413</v>
      </c>
      <c r="F352" s="79" t="e">
        <f>+#REF!</f>
        <v>#REF!</v>
      </c>
      <c r="G352" s="79"/>
      <c r="H352" s="79"/>
      <c r="I352" s="79" t="e">
        <f>+#REF!</f>
        <v>#REF!</v>
      </c>
      <c r="J352" s="79" t="e">
        <f>+#REF!</f>
        <v>#REF!</v>
      </c>
      <c r="K352" s="79" t="e">
        <f>+#REF!</f>
        <v>#REF!</v>
      </c>
      <c r="L352" s="79" t="e">
        <f>+#REF!</f>
        <v>#REF!</v>
      </c>
      <c r="M352" s="79" t="e">
        <f>+#REF!</f>
        <v>#REF!</v>
      </c>
      <c r="N352" s="79" t="e">
        <f>+#REF!</f>
        <v>#REF!</v>
      </c>
      <c r="O352" s="79" t="e">
        <f>+#REF!</f>
        <v>#REF!</v>
      </c>
      <c r="P352" s="238" t="e">
        <f t="shared" si="123"/>
        <v>#REF!</v>
      </c>
    </row>
    <row r="353" spans="3:16" hidden="1" outlineLevel="1">
      <c r="C353" s="878" t="s">
        <v>2414</v>
      </c>
      <c r="F353" s="79" t="e">
        <f>+#REF!</f>
        <v>#REF!</v>
      </c>
      <c r="G353" s="79"/>
      <c r="H353" s="79"/>
      <c r="I353" s="79" t="e">
        <f>+#REF!</f>
        <v>#REF!</v>
      </c>
      <c r="J353" s="79" t="e">
        <f>+#REF!</f>
        <v>#REF!</v>
      </c>
      <c r="K353" s="79" t="e">
        <f>+#REF!</f>
        <v>#REF!</v>
      </c>
      <c r="L353" s="79" t="e">
        <f>+#REF!</f>
        <v>#REF!</v>
      </c>
      <c r="M353" s="79" t="e">
        <f>+#REF!</f>
        <v>#REF!</v>
      </c>
      <c r="N353" s="79" t="e">
        <f>+#REF!</f>
        <v>#REF!</v>
      </c>
      <c r="O353" s="79" t="e">
        <f>+#REF!</f>
        <v>#REF!</v>
      </c>
      <c r="P353" s="238" t="e">
        <f t="shared" si="123"/>
        <v>#REF!</v>
      </c>
    </row>
    <row r="354" spans="3:16" hidden="1" outlineLevel="1">
      <c r="C354" s="878" t="s">
        <v>2485</v>
      </c>
      <c r="F354" s="79" t="e">
        <f>+F283+F250+#REF!</f>
        <v>#REF!</v>
      </c>
      <c r="G354" s="79"/>
      <c r="H354" s="79"/>
      <c r="I354" s="79" t="e">
        <f>+I283+I250+#REF!</f>
        <v>#REF!</v>
      </c>
      <c r="J354" s="79" t="e">
        <f>+J283+J250+#REF!</f>
        <v>#REF!</v>
      </c>
      <c r="K354" s="79"/>
      <c r="L354" s="79" t="e">
        <f>+L283+L250+#REF!</f>
        <v>#REF!</v>
      </c>
      <c r="M354" s="79" t="e">
        <f>+M283+M250+#REF!</f>
        <v>#REF!</v>
      </c>
      <c r="N354" s="79" t="e">
        <f>+N283+N250+#REF!</f>
        <v>#REF!</v>
      </c>
      <c r="O354" s="79" t="e">
        <f>+O283+O250+#REF!</f>
        <v>#REF!</v>
      </c>
      <c r="P354" s="238" t="e">
        <f t="shared" si="123"/>
        <v>#REF!</v>
      </c>
    </row>
    <row r="355" spans="3:16" hidden="1" outlineLevel="1">
      <c r="C355" s="878" t="s">
        <v>2415</v>
      </c>
      <c r="F355" s="79" t="e">
        <f>+#REF!</f>
        <v>#REF!</v>
      </c>
      <c r="G355" s="79"/>
      <c r="H355" s="79"/>
      <c r="I355" s="79" t="e">
        <f>+#REF!</f>
        <v>#REF!</v>
      </c>
      <c r="J355" s="79" t="e">
        <f>+#REF!</f>
        <v>#REF!</v>
      </c>
      <c r="K355" s="79" t="e">
        <f>+#REF!</f>
        <v>#REF!</v>
      </c>
      <c r="L355" s="79" t="e">
        <f>+#REF!</f>
        <v>#REF!</v>
      </c>
      <c r="M355" s="79" t="e">
        <f>+#REF!</f>
        <v>#REF!</v>
      </c>
      <c r="N355" s="79" t="e">
        <f>+#REF!</f>
        <v>#REF!</v>
      </c>
      <c r="O355" s="79" t="e">
        <f>+#REF!</f>
        <v>#REF!</v>
      </c>
      <c r="P355" s="238" t="e">
        <f t="shared" si="123"/>
        <v>#REF!</v>
      </c>
    </row>
    <row r="356" spans="3:16" hidden="1" outlineLevel="1">
      <c r="C356" s="878" t="s">
        <v>2416</v>
      </c>
      <c r="F356" s="79" t="e">
        <f>+F316+F284+F251+#REF!</f>
        <v>#REF!</v>
      </c>
      <c r="G356" s="79"/>
      <c r="H356" s="79"/>
      <c r="I356" s="79" t="e">
        <f>+I316+I284+I251+#REF!</f>
        <v>#REF!</v>
      </c>
      <c r="J356" s="79" t="e">
        <f>+J316+J284+J251+#REF!</f>
        <v>#REF!</v>
      </c>
      <c r="K356" s="79" t="e">
        <f>+K316+K284+K251+#REF!</f>
        <v>#REF!</v>
      </c>
      <c r="L356" s="79" t="e">
        <f>+L316+L284+L251+#REF!</f>
        <v>#REF!</v>
      </c>
      <c r="M356" s="79" t="e">
        <f>+M316+M284+M251+#REF!</f>
        <v>#REF!</v>
      </c>
      <c r="N356" s="79" t="e">
        <f>+N316+N284+N251+#REF!</f>
        <v>#REF!</v>
      </c>
      <c r="O356" s="79" t="e">
        <f>+O316+O284+O251+#REF!</f>
        <v>#REF!</v>
      </c>
      <c r="P356" s="238" t="e">
        <f t="shared" si="123"/>
        <v>#REF!</v>
      </c>
    </row>
    <row r="357" spans="3:16" hidden="1" outlineLevel="1">
      <c r="C357" s="878" t="s">
        <v>2427</v>
      </c>
      <c r="F357" s="79" t="e">
        <f>+#REF!</f>
        <v>#REF!</v>
      </c>
      <c r="G357" s="79"/>
      <c r="H357" s="79"/>
      <c r="I357" s="79" t="e">
        <f>+#REF!</f>
        <v>#REF!</v>
      </c>
      <c r="J357" s="79" t="e">
        <f>+#REF!</f>
        <v>#REF!</v>
      </c>
      <c r="K357" s="79" t="e">
        <f>+#REF!</f>
        <v>#REF!</v>
      </c>
      <c r="L357" s="79" t="e">
        <f>+#REF!</f>
        <v>#REF!</v>
      </c>
      <c r="M357" s="79" t="e">
        <f>+#REF!</f>
        <v>#REF!</v>
      </c>
      <c r="N357" s="79" t="e">
        <f>+#REF!</f>
        <v>#REF!</v>
      </c>
      <c r="O357" s="79" t="e">
        <f>+#REF!</f>
        <v>#REF!</v>
      </c>
      <c r="P357" s="238" t="e">
        <f t="shared" si="123"/>
        <v>#REF!</v>
      </c>
    </row>
    <row r="358" spans="3:16" hidden="1" outlineLevel="1">
      <c r="C358" s="878" t="s">
        <v>2428</v>
      </c>
      <c r="F358" s="79" t="e">
        <f>+F317+F284+F252+#REF!</f>
        <v>#REF!</v>
      </c>
      <c r="G358" s="79"/>
      <c r="H358" s="79"/>
      <c r="I358" s="79" t="e">
        <f>+#REF!+I252+I285+I317</f>
        <v>#REF!</v>
      </c>
      <c r="J358" s="79" t="e">
        <f>+#REF!+J252+J285+J317</f>
        <v>#REF!</v>
      </c>
      <c r="K358" s="79" t="e">
        <f>+#REF!+K252+K285+K317</f>
        <v>#REF!</v>
      </c>
      <c r="L358" s="79" t="e">
        <f>+#REF!+L252+L285+L317</f>
        <v>#REF!</v>
      </c>
      <c r="M358" s="79" t="e">
        <f>+#REF!+M252+M285+M317</f>
        <v>#REF!</v>
      </c>
      <c r="N358" s="79" t="e">
        <f>+#REF!+N252+N285+N317</f>
        <v>#REF!</v>
      </c>
      <c r="O358" s="79" t="e">
        <f>+#REF!+O252+O285+O317</f>
        <v>#REF!</v>
      </c>
      <c r="P358" s="238" t="e">
        <f t="shared" si="123"/>
        <v>#REF!</v>
      </c>
    </row>
    <row r="359" spans="3:16" hidden="1" outlineLevel="1">
      <c r="C359" s="878" t="s">
        <v>2429</v>
      </c>
      <c r="F359" s="79" t="e">
        <f>+#REF!</f>
        <v>#REF!</v>
      </c>
      <c r="G359" s="79"/>
      <c r="H359" s="79"/>
      <c r="I359" s="79" t="e">
        <f>+#REF!</f>
        <v>#REF!</v>
      </c>
      <c r="J359" s="79" t="e">
        <f>+#REF!</f>
        <v>#REF!</v>
      </c>
      <c r="K359" s="79" t="e">
        <f>+#REF!</f>
        <v>#REF!</v>
      </c>
      <c r="L359" s="79" t="e">
        <f>+#REF!</f>
        <v>#REF!</v>
      </c>
      <c r="M359" s="79" t="e">
        <f>+#REF!</f>
        <v>#REF!</v>
      </c>
      <c r="N359" s="79" t="e">
        <f>+#REF!</f>
        <v>#REF!</v>
      </c>
      <c r="O359" s="79" t="e">
        <f>+#REF!</f>
        <v>#REF!</v>
      </c>
      <c r="P359" s="238" t="e">
        <f t="shared" si="123"/>
        <v>#REF!</v>
      </c>
    </row>
    <row r="360" spans="3:16" hidden="1" outlineLevel="1">
      <c r="C360" s="878" t="s">
        <v>2430</v>
      </c>
      <c r="F360" s="79" t="e">
        <f>+F318+F286+F253+#REF!</f>
        <v>#REF!</v>
      </c>
      <c r="G360" s="79"/>
      <c r="H360" s="79"/>
      <c r="I360" s="79" t="e">
        <f>+I318+I286+I253+#REF!</f>
        <v>#REF!</v>
      </c>
      <c r="J360" s="79" t="e">
        <f>+J318+J286+J253+#REF!</f>
        <v>#REF!</v>
      </c>
      <c r="K360" s="79" t="e">
        <f>+K318+K286+K253+#REF!</f>
        <v>#REF!</v>
      </c>
      <c r="L360" s="79" t="e">
        <f>+L318+L286+L253+#REF!</f>
        <v>#REF!</v>
      </c>
      <c r="M360" s="79" t="e">
        <f>+M318+M286+M253+#REF!</f>
        <v>#REF!</v>
      </c>
      <c r="N360" s="79" t="e">
        <f>+N318+N286+N253+#REF!</f>
        <v>#REF!</v>
      </c>
      <c r="O360" s="79" t="e">
        <f>+O318+O286+O253+#REF!</f>
        <v>#REF!</v>
      </c>
      <c r="P360" s="238" t="e">
        <f t="shared" si="123"/>
        <v>#REF!</v>
      </c>
    </row>
    <row r="361" spans="3:16" hidden="1" outlineLevel="1">
      <c r="C361" s="878" t="s">
        <v>2431</v>
      </c>
      <c r="F361" s="79" t="e">
        <f>+F319+F287+F254+#REF!</f>
        <v>#REF!</v>
      </c>
      <c r="G361" s="79"/>
      <c r="H361" s="79"/>
      <c r="I361" s="79" t="e">
        <f>+I319+I287+I254+#REF!</f>
        <v>#REF!</v>
      </c>
      <c r="J361" s="79" t="e">
        <f>+J319+J287+J254+#REF!</f>
        <v>#REF!</v>
      </c>
      <c r="K361" s="79" t="e">
        <f>+K319+K287+K254+#REF!</f>
        <v>#REF!</v>
      </c>
      <c r="L361" s="79" t="e">
        <f>+L319+L287+L254+#REF!</f>
        <v>#REF!</v>
      </c>
      <c r="M361" s="79" t="e">
        <f>+M319+M287+M254+#REF!</f>
        <v>#REF!</v>
      </c>
      <c r="N361" s="79" t="e">
        <f>+N319+N287+N254+#REF!</f>
        <v>#REF!</v>
      </c>
      <c r="O361" s="79" t="e">
        <f>+O319+O287+O254+#REF!</f>
        <v>#REF!</v>
      </c>
      <c r="P361" s="238" t="e">
        <f t="shared" si="123"/>
        <v>#REF!</v>
      </c>
    </row>
    <row r="362" spans="3:16" hidden="1" outlineLevel="1">
      <c r="C362" s="878" t="s">
        <v>2432</v>
      </c>
      <c r="F362" s="79" t="e">
        <f>+F320+F288+F255+#REF!</f>
        <v>#REF!</v>
      </c>
      <c r="G362" s="79"/>
      <c r="H362" s="79"/>
      <c r="I362" s="79" t="e">
        <f>+I320+I288+I255+#REF!</f>
        <v>#REF!</v>
      </c>
      <c r="J362" s="79" t="e">
        <f>+J320+J288+J255+#REF!</f>
        <v>#REF!</v>
      </c>
      <c r="K362" s="79" t="e">
        <f>+K320+K288+K255+#REF!</f>
        <v>#REF!</v>
      </c>
      <c r="L362" s="79" t="e">
        <f>+L320+L288+L255+#REF!</f>
        <v>#REF!</v>
      </c>
      <c r="M362" s="79" t="e">
        <f>+M320+M288+M255+#REF!</f>
        <v>#REF!</v>
      </c>
      <c r="N362" s="79" t="e">
        <f>+N320+N288+N255+#REF!</f>
        <v>#REF!</v>
      </c>
      <c r="O362" s="79" t="e">
        <f>+O320+O288+O255+#REF!</f>
        <v>#REF!</v>
      </c>
      <c r="P362" s="238" t="e">
        <f t="shared" si="123"/>
        <v>#REF!</v>
      </c>
    </row>
    <row r="363" spans="3:16" hidden="1" outlineLevel="1">
      <c r="C363" s="878" t="s">
        <v>2433</v>
      </c>
      <c r="F363" s="79" t="e">
        <f>+F321+F289+F256+#REF!</f>
        <v>#REF!</v>
      </c>
      <c r="G363" s="79"/>
      <c r="H363" s="79"/>
      <c r="I363" s="79" t="e">
        <f>+I321+I289+I256+#REF!</f>
        <v>#REF!</v>
      </c>
      <c r="J363" s="79" t="e">
        <f>+J321+J289+J256+#REF!</f>
        <v>#REF!</v>
      </c>
      <c r="K363" s="79" t="e">
        <f>+K321+K289+K256+#REF!</f>
        <v>#REF!</v>
      </c>
      <c r="L363" s="79" t="e">
        <f>+L321+L289+L256+#REF!</f>
        <v>#REF!</v>
      </c>
      <c r="M363" s="79" t="e">
        <f>+M321+M289+M256+#REF!</f>
        <v>#REF!</v>
      </c>
      <c r="N363" s="79" t="e">
        <f>+N321+N289+N256+#REF!</f>
        <v>#REF!</v>
      </c>
      <c r="O363" s="79" t="e">
        <f>+O321+O289+O256+#REF!</f>
        <v>#REF!</v>
      </c>
      <c r="P363" s="238" t="e">
        <f t="shared" si="123"/>
        <v>#REF!</v>
      </c>
    </row>
    <row r="364" spans="3:16" hidden="1" outlineLevel="1">
      <c r="C364" s="878" t="s">
        <v>2434</v>
      </c>
      <c r="F364" s="79" t="e">
        <f>+F322+F290+F257+#REF!</f>
        <v>#REF!</v>
      </c>
      <c r="G364" s="79"/>
      <c r="H364" s="79"/>
      <c r="I364" s="79" t="e">
        <f>+I322+I290+I257+#REF!</f>
        <v>#REF!</v>
      </c>
      <c r="J364" s="79" t="e">
        <f>+J322+J290+J257+#REF!</f>
        <v>#REF!</v>
      </c>
      <c r="K364" s="79" t="e">
        <f>+K322+K290+K257+#REF!</f>
        <v>#REF!</v>
      </c>
      <c r="L364" s="79" t="e">
        <f>+L322+L290+L257+#REF!</f>
        <v>#REF!</v>
      </c>
      <c r="M364" s="79" t="e">
        <f>+M322+M290+M257+#REF!</f>
        <v>#REF!</v>
      </c>
      <c r="N364" s="79" t="e">
        <f>+N322+N290+N257+#REF!</f>
        <v>#REF!</v>
      </c>
      <c r="O364" s="79" t="e">
        <f>+O322+O290+O257+#REF!</f>
        <v>#REF!</v>
      </c>
      <c r="P364" s="238" t="e">
        <f t="shared" si="123"/>
        <v>#REF!</v>
      </c>
    </row>
    <row r="365" spans="3:16" hidden="1" outlineLevel="1">
      <c r="C365" s="878" t="s">
        <v>2435</v>
      </c>
      <c r="F365" s="79" t="e">
        <f>+F323+F291+F258+#REF!</f>
        <v>#REF!</v>
      </c>
      <c r="G365" s="79"/>
      <c r="H365" s="79"/>
      <c r="I365" s="79" t="e">
        <f>+I323+I291+I258+#REF!</f>
        <v>#REF!</v>
      </c>
      <c r="J365" s="79" t="e">
        <f>+J323+J291+J258+#REF!</f>
        <v>#REF!</v>
      </c>
      <c r="K365" s="79" t="e">
        <f>+K323+K291+K258+#REF!</f>
        <v>#REF!</v>
      </c>
      <c r="L365" s="79" t="e">
        <f>+L323+L291+L258+#REF!</f>
        <v>#REF!</v>
      </c>
      <c r="M365" s="79" t="e">
        <f>+M323+M291+M258+#REF!</f>
        <v>#REF!</v>
      </c>
      <c r="N365" s="79" t="e">
        <f>+N323+N291+N258+#REF!</f>
        <v>#REF!</v>
      </c>
      <c r="O365" s="79" t="e">
        <f>+O323+O291+O258+#REF!</f>
        <v>#REF!</v>
      </c>
      <c r="P365" s="238" t="e">
        <f t="shared" si="123"/>
        <v>#REF!</v>
      </c>
    </row>
    <row r="366" spans="3:16" hidden="1" outlineLevel="1">
      <c r="C366" s="878" t="s">
        <v>2587</v>
      </c>
      <c r="F366" s="286" t="e">
        <f>+#REF!</f>
        <v>#REF!</v>
      </c>
      <c r="G366" s="286"/>
      <c r="H366" s="286"/>
      <c r="I366" s="286" t="e">
        <f>+#REF!</f>
        <v>#REF!</v>
      </c>
      <c r="J366" s="286" t="e">
        <f>+#REF!</f>
        <v>#REF!</v>
      </c>
      <c r="K366" s="286" t="e">
        <f>+#REF!</f>
        <v>#REF!</v>
      </c>
      <c r="L366" s="286" t="e">
        <f>+#REF!</f>
        <v>#REF!</v>
      </c>
      <c r="M366" s="286" t="e">
        <f>+#REF!</f>
        <v>#REF!</v>
      </c>
      <c r="N366" s="286" t="e">
        <f>+#REF!</f>
        <v>#REF!</v>
      </c>
      <c r="O366" s="286" t="e">
        <f>+#REF!</f>
        <v>#REF!</v>
      </c>
      <c r="P366" s="238" t="e">
        <f t="shared" si="123"/>
        <v>#REF!</v>
      </c>
    </row>
    <row r="367" spans="3:16" hidden="1" outlineLevel="1">
      <c r="C367" s="878" t="s">
        <v>2436</v>
      </c>
      <c r="F367" s="286" t="e">
        <f>+F324+F292+F259+#REF!</f>
        <v>#REF!</v>
      </c>
      <c r="G367" s="286"/>
      <c r="H367" s="286"/>
      <c r="I367" s="286" t="e">
        <f>+I324+I292+I259+#REF!</f>
        <v>#REF!</v>
      </c>
      <c r="J367" s="286" t="e">
        <f>+J324+J292+J259+#REF!</f>
        <v>#REF!</v>
      </c>
      <c r="K367" s="286" t="e">
        <f>+K324+K292+K259+#REF!</f>
        <v>#REF!</v>
      </c>
      <c r="L367" s="286" t="e">
        <f>+L324+L292+L259+#REF!</f>
        <v>#REF!</v>
      </c>
      <c r="M367" s="286" t="e">
        <f>+M324+M292+M259+#REF!</f>
        <v>#REF!</v>
      </c>
      <c r="N367" s="286" t="e">
        <f>+N324+N292+N259+#REF!</f>
        <v>#REF!</v>
      </c>
      <c r="O367" s="286" t="e">
        <f>+O324+O292+O259+#REF!</f>
        <v>#REF!</v>
      </c>
      <c r="P367" s="238" t="e">
        <f t="shared" si="123"/>
        <v>#REF!</v>
      </c>
    </row>
    <row r="368" spans="3:16" hidden="1" outlineLevel="1">
      <c r="C368" s="878" t="s">
        <v>2438</v>
      </c>
      <c r="F368" s="286" t="e">
        <f>+F325+F293+F260+#REF!</f>
        <v>#REF!</v>
      </c>
      <c r="G368" s="286"/>
      <c r="H368" s="286"/>
      <c r="I368" s="286" t="e">
        <f>+I325+I293+I260+#REF!</f>
        <v>#REF!</v>
      </c>
      <c r="J368" s="286" t="e">
        <f>+J325+J293+J260+#REF!</f>
        <v>#REF!</v>
      </c>
      <c r="K368" s="286" t="e">
        <f>+K325+K293+K260+#REF!</f>
        <v>#REF!</v>
      </c>
      <c r="L368" s="286" t="e">
        <f>+L325+L293+L260+#REF!</f>
        <v>#REF!</v>
      </c>
      <c r="M368" s="286" t="e">
        <f>+M325+M293+M260+#REF!</f>
        <v>#REF!</v>
      </c>
      <c r="N368" s="286" t="e">
        <f>+N325+N293+N260+#REF!</f>
        <v>#REF!</v>
      </c>
      <c r="O368" s="286" t="e">
        <f>+O325+O293+O260+#REF!</f>
        <v>#REF!</v>
      </c>
      <c r="P368" s="238" t="e">
        <f t="shared" si="123"/>
        <v>#REF!</v>
      </c>
    </row>
    <row r="369" spans="2:16" hidden="1" outlineLevel="1">
      <c r="C369" s="878" t="s">
        <v>2437</v>
      </c>
      <c r="F369" s="286" t="e">
        <f>+F326+F294+F261+#REF!</f>
        <v>#REF!</v>
      </c>
      <c r="G369" s="286"/>
      <c r="H369" s="286"/>
      <c r="I369" s="286" t="e">
        <f>+I326+I294+I261+#REF!</f>
        <v>#REF!</v>
      </c>
      <c r="J369" s="286" t="e">
        <f>+J326+J294+J261+#REF!</f>
        <v>#REF!</v>
      </c>
      <c r="K369" s="286" t="e">
        <f>+K326+K294+K261+#REF!</f>
        <v>#REF!</v>
      </c>
      <c r="L369" s="286" t="e">
        <f>+L326+L294+L261+#REF!</f>
        <v>#REF!</v>
      </c>
      <c r="M369" s="286" t="e">
        <f>+M326+M294+M261+#REF!</f>
        <v>#REF!</v>
      </c>
      <c r="N369" s="286" t="e">
        <f>+N326+N294+N261+#REF!</f>
        <v>#REF!</v>
      </c>
      <c r="O369" s="286" t="e">
        <f>+O326+O294+O261+#REF!</f>
        <v>#REF!</v>
      </c>
      <c r="P369" s="238" t="e">
        <f t="shared" si="123"/>
        <v>#REF!</v>
      </c>
    </row>
    <row r="370" spans="2:16" hidden="1" outlineLevel="1">
      <c r="C370" s="878" t="s">
        <v>2589</v>
      </c>
      <c r="F370" s="286" t="e">
        <f>+#REF!</f>
        <v>#REF!</v>
      </c>
      <c r="G370" s="286"/>
      <c r="H370" s="286"/>
      <c r="I370" s="286" t="e">
        <f>+#REF!</f>
        <v>#REF!</v>
      </c>
      <c r="J370" s="286" t="e">
        <f>+#REF!</f>
        <v>#REF!</v>
      </c>
      <c r="K370" s="286" t="e">
        <f>+#REF!</f>
        <v>#REF!</v>
      </c>
      <c r="L370" s="286" t="e">
        <f>+#REF!</f>
        <v>#REF!</v>
      </c>
      <c r="M370" s="286" t="e">
        <f>+#REF!</f>
        <v>#REF!</v>
      </c>
      <c r="N370" s="286" t="e">
        <f>+#REF!</f>
        <v>#REF!</v>
      </c>
      <c r="O370" s="286" t="e">
        <f>+#REF!</f>
        <v>#REF!</v>
      </c>
      <c r="P370" s="238" t="e">
        <f t="shared" si="123"/>
        <v>#REF!</v>
      </c>
    </row>
    <row r="371" spans="2:16" hidden="1" outlineLevel="1">
      <c r="C371" s="878" t="s">
        <v>2439</v>
      </c>
      <c r="F371" s="286" t="e">
        <f>+F327+F295+F262+#REF!</f>
        <v>#REF!</v>
      </c>
      <c r="G371" s="286"/>
      <c r="H371" s="286"/>
      <c r="I371" s="286" t="e">
        <f>+I327+I295+I262+#REF!</f>
        <v>#REF!</v>
      </c>
      <c r="J371" s="286" t="e">
        <f>+J327+J295+J262+#REF!</f>
        <v>#REF!</v>
      </c>
      <c r="K371" s="286" t="e">
        <f>+K262+#REF!</f>
        <v>#REF!</v>
      </c>
      <c r="L371" s="286" t="e">
        <f>+L327+L295+L262+#REF!</f>
        <v>#REF!</v>
      </c>
      <c r="M371" s="286" t="e">
        <f>+M327+M295+M262+#REF!</f>
        <v>#REF!</v>
      </c>
      <c r="N371" s="286" t="e">
        <f>+N327+N295+N262+#REF!</f>
        <v>#REF!</v>
      </c>
      <c r="O371" s="286" t="e">
        <f>+O327+O295+O262+#REF!</f>
        <v>#REF!</v>
      </c>
      <c r="P371" s="238" t="e">
        <f t="shared" si="123"/>
        <v>#REF!</v>
      </c>
    </row>
    <row r="372" spans="2:16" hidden="1" outlineLevel="1">
      <c r="C372" s="878" t="s">
        <v>2440</v>
      </c>
      <c r="F372" s="286" t="e">
        <f>+#REF!</f>
        <v>#REF!</v>
      </c>
      <c r="G372" s="286"/>
      <c r="H372" s="286"/>
      <c r="I372" s="286" t="e">
        <f>+#REF!</f>
        <v>#REF!</v>
      </c>
      <c r="J372" s="286" t="e">
        <f>+#REF!</f>
        <v>#REF!</v>
      </c>
      <c r="K372" s="286" t="e">
        <f>+#REF!</f>
        <v>#REF!</v>
      </c>
      <c r="L372" s="286" t="e">
        <f>+#REF!</f>
        <v>#REF!</v>
      </c>
      <c r="M372" s="286" t="e">
        <f>+#REF!</f>
        <v>#REF!</v>
      </c>
      <c r="N372" s="286" t="e">
        <f>+#REF!</f>
        <v>#REF!</v>
      </c>
      <c r="O372" s="286" t="e">
        <f>+#REF!</f>
        <v>#REF!</v>
      </c>
      <c r="P372" s="238" t="e">
        <f t="shared" si="123"/>
        <v>#REF!</v>
      </c>
    </row>
    <row r="373" spans="2:16" s="23" customFormat="1" hidden="1" outlineLevel="1">
      <c r="H373" s="842"/>
      <c r="I373" s="842" t="e">
        <f>SUM(I347:I372)</f>
        <v>#REF!</v>
      </c>
      <c r="J373" s="842" t="e">
        <f t="shared" ref="J373:O373" si="124">SUM(J347:J372)</f>
        <v>#REF!</v>
      </c>
      <c r="K373" s="842" t="e">
        <f t="shared" si="124"/>
        <v>#REF!</v>
      </c>
      <c r="L373" s="842" t="e">
        <f t="shared" si="124"/>
        <v>#REF!</v>
      </c>
      <c r="M373" s="842" t="e">
        <f t="shared" si="124"/>
        <v>#REF!</v>
      </c>
      <c r="N373" s="842" t="e">
        <f t="shared" si="124"/>
        <v>#REF!</v>
      </c>
      <c r="O373" s="842" t="e">
        <f t="shared" si="124"/>
        <v>#REF!</v>
      </c>
    </row>
    <row r="374" spans="2:16" collapsed="1">
      <c r="C374" s="23" t="s">
        <v>2688</v>
      </c>
    </row>
    <row r="375" spans="2:16" outlineLevel="1">
      <c r="B375" s="595"/>
      <c r="C375" s="595" t="s">
        <v>2782</v>
      </c>
      <c r="D375" s="595"/>
      <c r="E375" s="596"/>
      <c r="F375" s="596"/>
      <c r="G375" s="596"/>
      <c r="H375" s="596"/>
      <c r="I375" s="625"/>
      <c r="J375" s="596"/>
      <c r="K375" s="596"/>
      <c r="L375" s="596"/>
      <c r="M375" s="596"/>
      <c r="N375" s="596"/>
      <c r="O375" s="596"/>
    </row>
    <row r="376" spans="2:16" ht="12.75" customHeight="1" outlineLevel="1">
      <c r="B376" s="1026" t="s">
        <v>1</v>
      </c>
      <c r="C376" s="1028" t="s">
        <v>1334</v>
      </c>
      <c r="D376" s="1028" t="s">
        <v>1335</v>
      </c>
      <c r="E376" s="1030" t="s">
        <v>1477</v>
      </c>
      <c r="F376" s="1028" t="s">
        <v>1478</v>
      </c>
      <c r="G376" s="1030" t="s">
        <v>1479</v>
      </c>
      <c r="H376" s="1030" t="s">
        <v>1480</v>
      </c>
      <c r="I376" s="1021" t="s">
        <v>1481</v>
      </c>
      <c r="J376" s="1019" t="s">
        <v>1482</v>
      </c>
      <c r="K376" s="1017" t="s">
        <v>2012</v>
      </c>
      <c r="L376" s="1018"/>
      <c r="M376" s="1019" t="s">
        <v>1483</v>
      </c>
      <c r="N376" s="1021" t="s">
        <v>1484</v>
      </c>
      <c r="O376" s="1019" t="s">
        <v>1485</v>
      </c>
    </row>
    <row r="377" spans="2:16" ht="12.75" customHeight="1" outlineLevel="1">
      <c r="B377" s="1027"/>
      <c r="C377" s="1029"/>
      <c r="D377" s="1029"/>
      <c r="E377" s="1031"/>
      <c r="F377" s="1029"/>
      <c r="G377" s="1031"/>
      <c r="H377" s="1031"/>
      <c r="I377" s="1022"/>
      <c r="J377" s="1020"/>
      <c r="K377" s="601" t="s">
        <v>1633</v>
      </c>
      <c r="L377" s="601" t="s">
        <v>5</v>
      </c>
      <c r="M377" s="1020"/>
      <c r="N377" s="1022"/>
      <c r="O377" s="1020"/>
      <c r="P377" s="238" t="s">
        <v>1633</v>
      </c>
    </row>
    <row r="378" spans="2:16" outlineLevel="1">
      <c r="B378" s="482">
        <v>1</v>
      </c>
      <c r="C378" s="607" t="s">
        <v>2410</v>
      </c>
      <c r="D378" s="608" t="s">
        <v>2420</v>
      </c>
      <c r="E378" s="608" t="s">
        <v>1487</v>
      </c>
      <c r="F378" s="970">
        <v>1200000</v>
      </c>
      <c r="G378" s="605">
        <v>26</v>
      </c>
      <c r="H378" s="605">
        <f>+F378/26</f>
        <v>46153.846153846156</v>
      </c>
      <c r="I378" s="971">
        <f t="shared" ref="I378:I389" si="125">+H378*G378</f>
        <v>1200000</v>
      </c>
      <c r="J378" s="972">
        <f>+I378*0.11</f>
        <v>132000</v>
      </c>
      <c r="K378" s="972">
        <f>+IFERROR(INDEX($S$7:$S$13,MATCH((I378-J378),$Q$7:$Q$13,1)),"")</f>
        <v>10000</v>
      </c>
      <c r="L378" s="972">
        <f t="shared" ref="L378:L389" si="126">+IF((I378-J378)*0.1&lt;K378,0,(I378-J378)*0.1-K378)</f>
        <v>96800</v>
      </c>
      <c r="M378" s="971">
        <f t="shared" ref="M378:M389" si="127">+I378-J378-L378</f>
        <v>971200</v>
      </c>
      <c r="N378" s="972">
        <f>+I378*0.13</f>
        <v>156000</v>
      </c>
      <c r="O378" s="972">
        <f t="shared" ref="O378:O389" si="128">+J378+N378</f>
        <v>288000</v>
      </c>
      <c r="P378" s="238">
        <f t="shared" ref="P378:P389" si="129">+IF(L378,1,0)</f>
        <v>1</v>
      </c>
    </row>
    <row r="379" spans="2:16" outlineLevel="1">
      <c r="B379" s="482">
        <f t="shared" ref="B379:B392" si="130">+B378+1</f>
        <v>2</v>
      </c>
      <c r="C379" s="609" t="s">
        <v>1488</v>
      </c>
      <c r="D379" s="608" t="s">
        <v>2421</v>
      </c>
      <c r="E379" s="608" t="s">
        <v>1489</v>
      </c>
      <c r="F379" s="973">
        <v>1400000</v>
      </c>
      <c r="G379" s="605">
        <v>26</v>
      </c>
      <c r="H379" s="605">
        <f t="shared" ref="H379:H391" si="131">+F379/26</f>
        <v>53846.153846153844</v>
      </c>
      <c r="I379" s="971">
        <f t="shared" si="125"/>
        <v>1400000</v>
      </c>
      <c r="J379" s="972">
        <f>+I379*0.11</f>
        <v>154000</v>
      </c>
      <c r="K379" s="972">
        <f>+IFERROR(INDEX($S$7:$S$13,MATCH((I379-J379),$Q$7:$Q$13,1)),"")</f>
        <v>10000</v>
      </c>
      <c r="L379" s="972">
        <f t="shared" si="126"/>
        <v>114600</v>
      </c>
      <c r="M379" s="971">
        <f t="shared" si="127"/>
        <v>1131400</v>
      </c>
      <c r="N379" s="972">
        <f>+I379*0.13</f>
        <v>182000</v>
      </c>
      <c r="O379" s="972">
        <f t="shared" si="128"/>
        <v>336000</v>
      </c>
      <c r="P379" s="238">
        <f t="shared" si="129"/>
        <v>1</v>
      </c>
    </row>
    <row r="380" spans="2:16" outlineLevel="1">
      <c r="B380" s="482">
        <f t="shared" si="130"/>
        <v>3</v>
      </c>
      <c r="C380" s="607" t="s">
        <v>2411</v>
      </c>
      <c r="D380" s="608" t="s">
        <v>2422</v>
      </c>
      <c r="E380" s="611" t="s">
        <v>1490</v>
      </c>
      <c r="F380" s="973">
        <v>1000000</v>
      </c>
      <c r="G380" s="605">
        <v>26</v>
      </c>
      <c r="H380" s="605">
        <f t="shared" si="131"/>
        <v>38461.538461538461</v>
      </c>
      <c r="I380" s="971">
        <f t="shared" si="125"/>
        <v>1000000</v>
      </c>
      <c r="J380" s="972">
        <f>+I380*0.11</f>
        <v>110000</v>
      </c>
      <c r="K380" s="972">
        <f>+IFERROR(INDEX($S$7:$S$13,MATCH((I380-J380),$Q$7:$Q$13,1)),"")</f>
        <v>11666.666666666666</v>
      </c>
      <c r="L380" s="972">
        <f t="shared" si="126"/>
        <v>77333.333333333328</v>
      </c>
      <c r="M380" s="971">
        <f t="shared" si="127"/>
        <v>812666.66666666663</v>
      </c>
      <c r="N380" s="972">
        <f>+I380*0.13</f>
        <v>130000</v>
      </c>
      <c r="O380" s="972">
        <f t="shared" si="128"/>
        <v>240000</v>
      </c>
      <c r="P380" s="238">
        <f t="shared" si="129"/>
        <v>1</v>
      </c>
    </row>
    <row r="381" spans="2:16" outlineLevel="1">
      <c r="B381" s="482">
        <f t="shared" si="130"/>
        <v>4</v>
      </c>
      <c r="C381" s="607" t="s">
        <v>2412</v>
      </c>
      <c r="D381" s="608" t="s">
        <v>2423</v>
      </c>
      <c r="E381" s="608" t="s">
        <v>1491</v>
      </c>
      <c r="F381" s="973">
        <v>900000</v>
      </c>
      <c r="G381" s="605">
        <v>26</v>
      </c>
      <c r="H381" s="605">
        <f t="shared" si="131"/>
        <v>34615.384615384617</v>
      </c>
      <c r="I381" s="971">
        <f t="shared" si="125"/>
        <v>900000</v>
      </c>
      <c r="J381" s="972">
        <f>+I381*0.11</f>
        <v>99000</v>
      </c>
      <c r="K381" s="972">
        <f t="shared" ref="K381:K389" si="132">+IFERROR(INDEX($S$7:$S$13,MATCH((I381-J381),$Q$7:$Q$13,1)),"")</f>
        <v>11666.666666666666</v>
      </c>
      <c r="L381" s="972">
        <f t="shared" si="126"/>
        <v>68433.333333333328</v>
      </c>
      <c r="M381" s="971">
        <f t="shared" si="127"/>
        <v>732566.66666666663</v>
      </c>
      <c r="N381" s="972">
        <f>+I381*0.13</f>
        <v>117000</v>
      </c>
      <c r="O381" s="972">
        <f t="shared" si="128"/>
        <v>216000</v>
      </c>
      <c r="P381" s="238">
        <f t="shared" si="129"/>
        <v>1</v>
      </c>
    </row>
    <row r="382" spans="2:16" outlineLevel="1">
      <c r="B382" s="482">
        <f t="shared" si="130"/>
        <v>5</v>
      </c>
      <c r="C382" s="607" t="s">
        <v>2416</v>
      </c>
      <c r="D382" s="613" t="s">
        <v>2426</v>
      </c>
      <c r="E382" s="611" t="s">
        <v>1492</v>
      </c>
      <c r="F382" s="833">
        <v>600000</v>
      </c>
      <c r="G382" s="605">
        <v>25.52</v>
      </c>
      <c r="H382" s="605">
        <f t="shared" si="131"/>
        <v>23076.923076923078</v>
      </c>
      <c r="I382" s="971">
        <f t="shared" si="125"/>
        <v>588923.07692307699</v>
      </c>
      <c r="J382" s="972">
        <f>+I382*0.088</f>
        <v>51825.230769230773</v>
      </c>
      <c r="K382" s="972">
        <f t="shared" si="132"/>
        <v>11666.666666666666</v>
      </c>
      <c r="L382" s="972">
        <f t="shared" si="126"/>
        <v>42043.117948717962</v>
      </c>
      <c r="M382" s="971">
        <f t="shared" si="127"/>
        <v>495054.72820512828</v>
      </c>
      <c r="N382" s="972">
        <f>+I382*0.108</f>
        <v>63603.692307692312</v>
      </c>
      <c r="O382" s="972">
        <f t="shared" si="128"/>
        <v>115428.92307692309</v>
      </c>
      <c r="P382" s="238">
        <f t="shared" si="129"/>
        <v>1</v>
      </c>
    </row>
    <row r="383" spans="2:16" outlineLevel="1">
      <c r="B383" s="482">
        <f t="shared" si="130"/>
        <v>6</v>
      </c>
      <c r="C383" s="607" t="s">
        <v>2428</v>
      </c>
      <c r="D383" s="613" t="s">
        <v>2442</v>
      </c>
      <c r="E383" s="622" t="s">
        <v>1494</v>
      </c>
      <c r="F383" s="833">
        <v>600000</v>
      </c>
      <c r="G383" s="605">
        <v>30.6</v>
      </c>
      <c r="H383" s="605">
        <f t="shared" si="131"/>
        <v>23076.923076923078</v>
      </c>
      <c r="I383" s="971">
        <f t="shared" si="125"/>
        <v>706153.84615384624</v>
      </c>
      <c r="J383" s="972">
        <f t="shared" ref="J383:J389" si="133">+I383*0.11</f>
        <v>77676.923076923093</v>
      </c>
      <c r="K383" s="972">
        <f t="shared" si="132"/>
        <v>11666.666666666666</v>
      </c>
      <c r="L383" s="972">
        <f t="shared" si="126"/>
        <v>51181.025641025648</v>
      </c>
      <c r="M383" s="971">
        <f t="shared" si="127"/>
        <v>577295.8974358975</v>
      </c>
      <c r="N383" s="972">
        <f t="shared" ref="N383:N389" si="134">+I383*0.13</f>
        <v>91800.000000000015</v>
      </c>
      <c r="O383" s="972">
        <f t="shared" si="128"/>
        <v>169476.92307692312</v>
      </c>
      <c r="P383" s="238">
        <f t="shared" si="129"/>
        <v>1</v>
      </c>
    </row>
    <row r="384" spans="2:16" outlineLevel="1">
      <c r="B384" s="482">
        <f t="shared" si="130"/>
        <v>7</v>
      </c>
      <c r="C384" s="616" t="s">
        <v>2430</v>
      </c>
      <c r="D384" s="613" t="s">
        <v>2442</v>
      </c>
      <c r="E384" s="617" t="s">
        <v>1495</v>
      </c>
      <c r="F384" s="833">
        <v>600000</v>
      </c>
      <c r="G384" s="605">
        <v>22.11</v>
      </c>
      <c r="H384" s="605">
        <f t="shared" si="131"/>
        <v>23076.923076923078</v>
      </c>
      <c r="I384" s="971">
        <f t="shared" si="125"/>
        <v>510230.76923076925</v>
      </c>
      <c r="J384" s="972">
        <f t="shared" si="133"/>
        <v>56125.384615384617</v>
      </c>
      <c r="K384" s="972">
        <f t="shared" si="132"/>
        <v>13333.333333333334</v>
      </c>
      <c r="L384" s="972">
        <f t="shared" si="126"/>
        <v>32077.205128205132</v>
      </c>
      <c r="M384" s="971">
        <f t="shared" si="127"/>
        <v>422028.1794871795</v>
      </c>
      <c r="N384" s="972">
        <f t="shared" si="134"/>
        <v>66330</v>
      </c>
      <c r="O384" s="972">
        <f t="shared" si="128"/>
        <v>122455.38461538462</v>
      </c>
      <c r="P384" s="238">
        <f t="shared" si="129"/>
        <v>1</v>
      </c>
    </row>
    <row r="385" spans="2:16" outlineLevel="1">
      <c r="B385" s="482">
        <f t="shared" si="130"/>
        <v>8</v>
      </c>
      <c r="C385" s="602" t="s">
        <v>2431</v>
      </c>
      <c r="D385" s="612" t="s">
        <v>2442</v>
      </c>
      <c r="E385" s="611" t="s">
        <v>1496</v>
      </c>
      <c r="F385" s="834">
        <v>800000</v>
      </c>
      <c r="G385" s="979">
        <v>26</v>
      </c>
      <c r="H385" s="605">
        <f t="shared" si="131"/>
        <v>30769.23076923077</v>
      </c>
      <c r="I385" s="971">
        <f t="shared" si="125"/>
        <v>800000</v>
      </c>
      <c r="J385" s="972">
        <f t="shared" si="133"/>
        <v>88000</v>
      </c>
      <c r="K385" s="972">
        <f t="shared" si="132"/>
        <v>11666.666666666666</v>
      </c>
      <c r="L385" s="972">
        <f t="shared" si="126"/>
        <v>59533.333333333336</v>
      </c>
      <c r="M385" s="971">
        <f t="shared" si="127"/>
        <v>652466.66666666663</v>
      </c>
      <c r="N385" s="972">
        <f t="shared" si="134"/>
        <v>104000</v>
      </c>
      <c r="O385" s="972">
        <f t="shared" si="128"/>
        <v>192000</v>
      </c>
      <c r="P385" s="238">
        <f t="shared" si="129"/>
        <v>1</v>
      </c>
    </row>
    <row r="386" spans="2:16" outlineLevel="1">
      <c r="B386" s="482">
        <f t="shared" si="130"/>
        <v>9</v>
      </c>
      <c r="C386" s="602" t="s">
        <v>2433</v>
      </c>
      <c r="D386" s="608" t="s">
        <v>2442</v>
      </c>
      <c r="E386" s="619" t="s">
        <v>1498</v>
      </c>
      <c r="F386" s="834">
        <v>650000</v>
      </c>
      <c r="G386" s="979">
        <v>30.42</v>
      </c>
      <c r="H386" s="605">
        <f t="shared" si="131"/>
        <v>25000</v>
      </c>
      <c r="I386" s="971">
        <f t="shared" si="125"/>
        <v>760500</v>
      </c>
      <c r="J386" s="972">
        <f t="shared" si="133"/>
        <v>83655</v>
      </c>
      <c r="K386" s="972">
        <f t="shared" si="132"/>
        <v>11666.666666666666</v>
      </c>
      <c r="L386" s="972">
        <f t="shared" si="126"/>
        <v>56017.833333333336</v>
      </c>
      <c r="M386" s="971">
        <f t="shared" si="127"/>
        <v>620827.16666666663</v>
      </c>
      <c r="N386" s="972">
        <f t="shared" si="134"/>
        <v>98865</v>
      </c>
      <c r="O386" s="972">
        <f t="shared" si="128"/>
        <v>182520</v>
      </c>
      <c r="P386" s="238">
        <f t="shared" si="129"/>
        <v>1</v>
      </c>
    </row>
    <row r="387" spans="2:16" outlineLevel="1">
      <c r="B387" s="482">
        <f t="shared" si="130"/>
        <v>10</v>
      </c>
      <c r="C387" s="602" t="s">
        <v>2434</v>
      </c>
      <c r="D387" s="608" t="s">
        <v>2442</v>
      </c>
      <c r="E387" s="959" t="s">
        <v>1499</v>
      </c>
      <c r="F387" s="834">
        <v>650000</v>
      </c>
      <c r="G387" s="605">
        <v>26</v>
      </c>
      <c r="H387" s="605">
        <f t="shared" si="131"/>
        <v>25000</v>
      </c>
      <c r="I387" s="971">
        <f t="shared" si="125"/>
        <v>650000</v>
      </c>
      <c r="J387" s="972">
        <f t="shared" si="133"/>
        <v>71500</v>
      </c>
      <c r="K387" s="972">
        <f t="shared" si="132"/>
        <v>11666.666666666666</v>
      </c>
      <c r="L387" s="972">
        <f t="shared" si="126"/>
        <v>46183.333333333336</v>
      </c>
      <c r="M387" s="971">
        <f t="shared" si="127"/>
        <v>532316.66666666663</v>
      </c>
      <c r="N387" s="972">
        <f t="shared" si="134"/>
        <v>84500</v>
      </c>
      <c r="O387" s="972">
        <f t="shared" si="128"/>
        <v>156000</v>
      </c>
      <c r="P387" s="238">
        <f t="shared" si="129"/>
        <v>1</v>
      </c>
    </row>
    <row r="388" spans="2:16" outlineLevel="1">
      <c r="B388" s="482">
        <f t="shared" si="130"/>
        <v>11</v>
      </c>
      <c r="C388" s="616" t="s">
        <v>2435</v>
      </c>
      <c r="D388" s="608" t="s">
        <v>2443</v>
      </c>
      <c r="E388" s="619" t="s">
        <v>1500</v>
      </c>
      <c r="F388" s="834">
        <v>600000</v>
      </c>
      <c r="G388" s="605">
        <v>15.8</v>
      </c>
      <c r="H388" s="605">
        <f t="shared" si="131"/>
        <v>23076.923076923078</v>
      </c>
      <c r="I388" s="971">
        <f t="shared" si="125"/>
        <v>364615.38461538462</v>
      </c>
      <c r="J388" s="972">
        <f t="shared" si="133"/>
        <v>40107.692307692312</v>
      </c>
      <c r="K388" s="972">
        <f t="shared" si="132"/>
        <v>13333.333333333334</v>
      </c>
      <c r="L388" s="972">
        <f t="shared" si="126"/>
        <v>19117.435897435898</v>
      </c>
      <c r="M388" s="971">
        <f t="shared" si="127"/>
        <v>305390.25641025644</v>
      </c>
      <c r="N388" s="972">
        <f t="shared" si="134"/>
        <v>47400</v>
      </c>
      <c r="O388" s="972">
        <f t="shared" si="128"/>
        <v>87507.692307692312</v>
      </c>
      <c r="P388" s="238">
        <f t="shared" si="129"/>
        <v>1</v>
      </c>
    </row>
    <row r="389" spans="2:16" outlineLevel="1">
      <c r="B389" s="482">
        <f t="shared" si="130"/>
        <v>12</v>
      </c>
      <c r="C389" s="602" t="s">
        <v>2436</v>
      </c>
      <c r="D389" s="608" t="s">
        <v>2442</v>
      </c>
      <c r="E389" s="375" t="s">
        <v>1501</v>
      </c>
      <c r="F389" s="834">
        <v>600000</v>
      </c>
      <c r="G389" s="605">
        <v>28.33</v>
      </c>
      <c r="H389" s="605">
        <f t="shared" si="131"/>
        <v>23076.923076923078</v>
      </c>
      <c r="I389" s="971">
        <f t="shared" si="125"/>
        <v>653769.23076923075</v>
      </c>
      <c r="J389" s="972">
        <f t="shared" si="133"/>
        <v>71914.61538461539</v>
      </c>
      <c r="K389" s="972">
        <f t="shared" si="132"/>
        <v>11666.666666666666</v>
      </c>
      <c r="L389" s="972">
        <f t="shared" si="126"/>
        <v>46518.794871794875</v>
      </c>
      <c r="M389" s="971">
        <f t="shared" si="127"/>
        <v>535335.8205128205</v>
      </c>
      <c r="N389" s="972">
        <f t="shared" si="134"/>
        <v>84990</v>
      </c>
      <c r="O389" s="972">
        <f t="shared" si="128"/>
        <v>156904.61538461538</v>
      </c>
      <c r="P389" s="238">
        <f t="shared" si="129"/>
        <v>1</v>
      </c>
    </row>
    <row r="390" spans="2:16" outlineLevel="1">
      <c r="B390" s="482">
        <f t="shared" si="130"/>
        <v>13</v>
      </c>
      <c r="C390" s="618" t="s">
        <v>2438</v>
      </c>
      <c r="D390" s="608" t="s">
        <v>2442</v>
      </c>
      <c r="E390" s="375" t="s">
        <v>1502</v>
      </c>
      <c r="F390" s="834">
        <v>600000</v>
      </c>
      <c r="G390" s="605">
        <v>24.53</v>
      </c>
      <c r="H390" s="605">
        <f t="shared" si="131"/>
        <v>23076.923076923078</v>
      </c>
      <c r="I390" s="971">
        <f>+H390*G390</f>
        <v>566076.92307692312</v>
      </c>
      <c r="J390" s="972">
        <f>+I390*0.11</f>
        <v>62268.461538461546</v>
      </c>
      <c r="K390" s="972">
        <f>+IFERROR(INDEX($S$7:$S$13,MATCH((I390-J390),$Q$7:$Q$13,1)),"")</f>
        <v>11666.666666666666</v>
      </c>
      <c r="L390" s="972">
        <f>+IF((I390-J390)*0.1&lt;K390,0,(I390-J390)*0.1-K390)</f>
        <v>38714.179487179492</v>
      </c>
      <c r="M390" s="971">
        <f>+I390-J390-L390</f>
        <v>465094.28205128206</v>
      </c>
      <c r="N390" s="972">
        <f>+I390*0.13</f>
        <v>73590.000000000015</v>
      </c>
      <c r="O390" s="972">
        <f>+J390+N390</f>
        <v>135858.46153846156</v>
      </c>
      <c r="P390" s="238">
        <f>+IF(L390,1,0)</f>
        <v>1</v>
      </c>
    </row>
    <row r="391" spans="2:16" outlineLevel="1">
      <c r="B391" s="482">
        <f t="shared" si="130"/>
        <v>14</v>
      </c>
      <c r="C391" s="618" t="s">
        <v>2437</v>
      </c>
      <c r="D391" s="608" t="s">
        <v>2442</v>
      </c>
      <c r="E391" s="375" t="s">
        <v>1521</v>
      </c>
      <c r="F391" s="834">
        <v>600000</v>
      </c>
      <c r="G391" s="605">
        <v>25</v>
      </c>
      <c r="H391" s="605">
        <f t="shared" si="131"/>
        <v>23076.923076923078</v>
      </c>
      <c r="I391" s="971">
        <f>+H391*G391</f>
        <v>576923.07692307699</v>
      </c>
      <c r="J391" s="972">
        <f>+I391*0.11</f>
        <v>63461.538461538468</v>
      </c>
      <c r="K391" s="972">
        <f>+IFERROR(INDEX($S$7:$S$13,MATCH((I391-J391),$Q$7:$Q$13,1)),"")</f>
        <v>11666.666666666666</v>
      </c>
      <c r="L391" s="972">
        <f>+IF((I391-J391)*0.1&lt;K391,0,(I391-J391)*0.1-K391)</f>
        <v>39679.487179487187</v>
      </c>
      <c r="M391" s="971">
        <f>+I391-J391-L391</f>
        <v>473782.05128205131</v>
      </c>
      <c r="N391" s="972">
        <f>+I391*0.13</f>
        <v>75000.000000000015</v>
      </c>
      <c r="O391" s="972">
        <f>+J391+N391</f>
        <v>138461.5384615385</v>
      </c>
      <c r="P391" s="238">
        <f>+IF(L391,1,0)</f>
        <v>1</v>
      </c>
    </row>
    <row r="392" spans="2:16" outlineLevel="1">
      <c r="B392" s="482">
        <f t="shared" si="130"/>
        <v>15</v>
      </c>
      <c r="C392" s="616" t="s">
        <v>2439</v>
      </c>
      <c r="D392" s="608" t="s">
        <v>2442</v>
      </c>
      <c r="E392" s="611" t="s">
        <v>1503</v>
      </c>
      <c r="F392" s="834">
        <v>240000</v>
      </c>
      <c r="G392" s="605"/>
      <c r="H392" s="605"/>
      <c r="I392" s="971">
        <f>+H392*G392</f>
        <v>0</v>
      </c>
      <c r="J392" s="972">
        <f>+I392*0.11</f>
        <v>0</v>
      </c>
      <c r="K392" s="972" t="str">
        <f>+IFERROR(INDEX($S$7:$S$13,MATCH((I392-J392),$Q$7:$Q$13,1)),"")</f>
        <v/>
      </c>
      <c r="L392" s="972">
        <f>+IF((I392-J392)*0.1&lt;K392,0,(I392-J392)*0.1-K392)</f>
        <v>0</v>
      </c>
      <c r="M392" s="971">
        <f>+I392-J392-L392</f>
        <v>0</v>
      </c>
      <c r="N392" s="972">
        <f>+F392*0.13</f>
        <v>31200</v>
      </c>
      <c r="O392" s="972">
        <f>+J392+N392</f>
        <v>31200</v>
      </c>
      <c r="P392" s="238">
        <f>+IF(L392,1,0)</f>
        <v>0</v>
      </c>
    </row>
    <row r="393" spans="2:16" ht="12.75" customHeight="1" outlineLevel="1">
      <c r="B393" s="1023" t="s">
        <v>6</v>
      </c>
      <c r="C393" s="1024"/>
      <c r="D393" s="1024"/>
      <c r="E393" s="1025"/>
      <c r="F393" s="977">
        <f>SUM(F378:F392)</f>
        <v>11040000</v>
      </c>
      <c r="G393" s="977">
        <f>SUM(G378:G392)</f>
        <v>358.31000000000006</v>
      </c>
      <c r="H393" s="977"/>
      <c r="I393" s="977">
        <f t="shared" ref="I393:P393" si="135">SUM(I378:I392)</f>
        <v>10677192.307692308</v>
      </c>
      <c r="J393" s="975">
        <f t="shared" si="135"/>
        <v>1161534.8461538462</v>
      </c>
      <c r="K393" s="975">
        <f t="shared" si="135"/>
        <v>163333.33333333331</v>
      </c>
      <c r="L393" s="975">
        <f t="shared" si="135"/>
        <v>788232.41282051289</v>
      </c>
      <c r="M393" s="975">
        <f t="shared" si="135"/>
        <v>8727425.0487179495</v>
      </c>
      <c r="N393" s="975">
        <f t="shared" si="135"/>
        <v>1406278.6923076923</v>
      </c>
      <c r="O393" s="975">
        <f t="shared" si="135"/>
        <v>2567813.5384615385</v>
      </c>
      <c r="P393" s="621">
        <f t="shared" si="135"/>
        <v>14</v>
      </c>
    </row>
    <row r="394" spans="2:16" outlineLevel="1">
      <c r="F394" s="237"/>
      <c r="I394" s="79"/>
      <c r="J394" s="79"/>
      <c r="L394" s="79"/>
      <c r="N394" s="79"/>
    </row>
    <row r="395" spans="2:16" outlineLevel="1">
      <c r="F395" s="79"/>
      <c r="I395" s="79"/>
      <c r="J395" s="79"/>
      <c r="K395" s="79"/>
      <c r="L395" s="79"/>
      <c r="N395" s="79"/>
      <c r="O395" s="79"/>
    </row>
    <row r="396" spans="2:16" outlineLevel="1">
      <c r="I396" s="23" t="s">
        <v>1504</v>
      </c>
    </row>
    <row r="397" spans="2:16" outlineLevel="1">
      <c r="I397" s="375" t="s">
        <v>1321</v>
      </c>
      <c r="J397" s="375"/>
      <c r="K397" s="375"/>
      <c r="L397" s="375"/>
      <c r="M397" s="622" t="s">
        <v>261</v>
      </c>
      <c r="N397" s="375" t="s">
        <v>262</v>
      </c>
    </row>
    <row r="398" spans="2:16" outlineLevel="1">
      <c r="I398" s="375" t="s">
        <v>2783</v>
      </c>
      <c r="J398" s="375"/>
      <c r="K398" s="375"/>
      <c r="L398" s="623">
        <v>700200</v>
      </c>
      <c r="M398" s="121">
        <f>+N393</f>
        <v>1406278.6923076923</v>
      </c>
      <c r="N398" s="6"/>
    </row>
    <row r="399" spans="2:16" outlineLevel="1">
      <c r="I399" s="375" t="s">
        <v>2783</v>
      </c>
      <c r="J399" s="375"/>
      <c r="K399" s="375"/>
      <c r="L399" s="623">
        <v>310800</v>
      </c>
      <c r="M399" s="6"/>
      <c r="N399" s="121">
        <f>+N393</f>
        <v>1406278.6923076923</v>
      </c>
    </row>
    <row r="400" spans="2:16" outlineLevel="1">
      <c r="I400" s="375" t="s">
        <v>2784</v>
      </c>
      <c r="J400" s="375"/>
      <c r="K400" s="375"/>
      <c r="L400" s="623">
        <v>310800</v>
      </c>
      <c r="M400" s="6"/>
      <c r="N400" s="121">
        <f>+J393</f>
        <v>1161534.8461538462</v>
      </c>
    </row>
    <row r="401" spans="1:16" outlineLevel="1">
      <c r="I401" s="375" t="s">
        <v>2785</v>
      </c>
      <c r="J401" s="375"/>
      <c r="K401" s="375"/>
      <c r="L401" s="623">
        <v>310700</v>
      </c>
      <c r="M401" s="6"/>
      <c r="N401" s="121">
        <f>+L393</f>
        <v>788232.41282051289</v>
      </c>
    </row>
    <row r="402" spans="1:16" outlineLevel="1">
      <c r="I402" s="375" t="s">
        <v>2786</v>
      </c>
      <c r="J402" s="375"/>
      <c r="K402" s="375"/>
      <c r="L402" s="623">
        <v>311000</v>
      </c>
      <c r="M402" s="6"/>
      <c r="N402" s="121">
        <f>+M393</f>
        <v>8727425.0487179495</v>
      </c>
    </row>
    <row r="403" spans="1:16" outlineLevel="1">
      <c r="I403" s="375" t="s">
        <v>2787</v>
      </c>
      <c r="J403" s="375"/>
      <c r="K403" s="375"/>
      <c r="L403" s="623">
        <v>700100</v>
      </c>
      <c r="M403" s="614">
        <f>+N402+N401+N400</f>
        <v>10677192.307692308</v>
      </c>
      <c r="N403" s="375"/>
    </row>
    <row r="404" spans="1:16">
      <c r="A404" s="23" t="s">
        <v>2299</v>
      </c>
      <c r="B404" s="23" t="s">
        <v>2855</v>
      </c>
    </row>
    <row r="405" spans="1:16" outlineLevel="1"/>
    <row r="406" spans="1:16" outlineLevel="1"/>
    <row r="407" spans="1:16" outlineLevel="1">
      <c r="B407" s="595"/>
      <c r="C407" s="595" t="s">
        <v>2808</v>
      </c>
      <c r="D407" s="595"/>
      <c r="E407" s="596"/>
      <c r="F407" s="596"/>
      <c r="G407" s="596"/>
      <c r="H407" s="596"/>
      <c r="I407" s="625"/>
      <c r="J407" s="596"/>
      <c r="K407" s="596"/>
      <c r="L407" s="596"/>
      <c r="M407" s="596"/>
      <c r="N407" s="596"/>
      <c r="O407" s="596"/>
    </row>
    <row r="408" spans="1:16" ht="12.75" customHeight="1" outlineLevel="1">
      <c r="B408" s="1026" t="s">
        <v>1</v>
      </c>
      <c r="C408" s="1028" t="s">
        <v>1334</v>
      </c>
      <c r="D408" s="1028" t="s">
        <v>1335</v>
      </c>
      <c r="E408" s="1030" t="s">
        <v>1477</v>
      </c>
      <c r="F408" s="1028" t="s">
        <v>1478</v>
      </c>
      <c r="G408" s="1030" t="s">
        <v>1479</v>
      </c>
      <c r="H408" s="1030" t="s">
        <v>1480</v>
      </c>
      <c r="I408" s="1021" t="s">
        <v>1481</v>
      </c>
      <c r="J408" s="1019" t="s">
        <v>1482</v>
      </c>
      <c r="K408" s="1017" t="s">
        <v>2012</v>
      </c>
      <c r="L408" s="1018"/>
      <c r="M408" s="1019" t="s">
        <v>1483</v>
      </c>
      <c r="N408" s="1021" t="s">
        <v>1484</v>
      </c>
      <c r="O408" s="1019" t="s">
        <v>1485</v>
      </c>
    </row>
    <row r="409" spans="1:16" ht="12.75" customHeight="1" outlineLevel="1">
      <c r="B409" s="1027"/>
      <c r="C409" s="1029"/>
      <c r="D409" s="1029"/>
      <c r="E409" s="1031"/>
      <c r="F409" s="1029"/>
      <c r="G409" s="1031"/>
      <c r="H409" s="1031"/>
      <c r="I409" s="1022"/>
      <c r="J409" s="1020"/>
      <c r="K409" s="601" t="s">
        <v>1633</v>
      </c>
      <c r="L409" s="601" t="s">
        <v>5</v>
      </c>
      <c r="M409" s="1020"/>
      <c r="N409" s="1022"/>
      <c r="O409" s="1020"/>
      <c r="P409" s="238" t="s">
        <v>1633</v>
      </c>
    </row>
    <row r="410" spans="1:16" outlineLevel="1">
      <c r="B410" s="482">
        <v>1</v>
      </c>
      <c r="C410" s="607" t="s">
        <v>2410</v>
      </c>
      <c r="D410" s="608" t="s">
        <v>2420</v>
      </c>
      <c r="E410" s="608" t="s">
        <v>1487</v>
      </c>
      <c r="F410" s="970">
        <v>1200000</v>
      </c>
      <c r="G410" s="605">
        <v>24</v>
      </c>
      <c r="H410" s="605">
        <f>+F410/24</f>
        <v>50000</v>
      </c>
      <c r="I410" s="971">
        <f t="shared" ref="I410:I420" si="136">+H410*G410</f>
        <v>1200000</v>
      </c>
      <c r="J410" s="972">
        <f>+I410*0.11</f>
        <v>132000</v>
      </c>
      <c r="K410" s="972">
        <f>+IFERROR(INDEX($S$7:$S$13,MATCH((I410-J410),$Q$7:$Q$13,1)),"")</f>
        <v>10000</v>
      </c>
      <c r="L410" s="972">
        <f t="shared" ref="L410:L420" si="137">+IF((I410-J410)*0.1&lt;K410,0,(I410-J410)*0.1-K410)</f>
        <v>96800</v>
      </c>
      <c r="M410" s="971">
        <f t="shared" ref="M410:M420" si="138">+I410-J410-L410</f>
        <v>971200</v>
      </c>
      <c r="N410" s="972">
        <f>+I410*0.13</f>
        <v>156000</v>
      </c>
      <c r="O410" s="972">
        <f t="shared" ref="O410:O420" si="139">+J410+N410</f>
        <v>288000</v>
      </c>
      <c r="P410" s="238">
        <f t="shared" ref="P410:P420" si="140">+IF(L410,1,0)</f>
        <v>1</v>
      </c>
    </row>
    <row r="411" spans="1:16" outlineLevel="1">
      <c r="B411" s="482">
        <f t="shared" ref="B411:B423" si="141">+B410+1</f>
        <v>2</v>
      </c>
      <c r="C411" s="609" t="s">
        <v>1488</v>
      </c>
      <c r="D411" s="608" t="s">
        <v>2421</v>
      </c>
      <c r="E411" s="608" t="s">
        <v>1489</v>
      </c>
      <c r="F411" s="973">
        <v>1400000</v>
      </c>
      <c r="G411" s="605">
        <v>24</v>
      </c>
      <c r="H411" s="605">
        <f t="shared" ref="H411:H422" si="142">+F411/24</f>
        <v>58333.333333333336</v>
      </c>
      <c r="I411" s="971">
        <f t="shared" si="136"/>
        <v>1400000</v>
      </c>
      <c r="J411" s="972">
        <f>+I411*0.11</f>
        <v>154000</v>
      </c>
      <c r="K411" s="972">
        <f>+IFERROR(INDEX($S$7:$S$13,MATCH((I411-J411),$Q$7:$Q$13,1)),"")</f>
        <v>10000</v>
      </c>
      <c r="L411" s="972">
        <f t="shared" si="137"/>
        <v>114600</v>
      </c>
      <c r="M411" s="971">
        <f t="shared" si="138"/>
        <v>1131400</v>
      </c>
      <c r="N411" s="972">
        <f>+I411*0.13</f>
        <v>182000</v>
      </c>
      <c r="O411" s="972">
        <f t="shared" si="139"/>
        <v>336000</v>
      </c>
      <c r="P411" s="238">
        <f t="shared" si="140"/>
        <v>1</v>
      </c>
    </row>
    <row r="412" spans="1:16" outlineLevel="1">
      <c r="B412" s="482">
        <f t="shared" si="141"/>
        <v>3</v>
      </c>
      <c r="C412" s="607" t="s">
        <v>2411</v>
      </c>
      <c r="D412" s="608" t="s">
        <v>2422</v>
      </c>
      <c r="E412" s="611" t="s">
        <v>1490</v>
      </c>
      <c r="F412" s="973">
        <v>1000000</v>
      </c>
      <c r="G412" s="605">
        <v>24</v>
      </c>
      <c r="H412" s="605">
        <f t="shared" si="142"/>
        <v>41666.666666666664</v>
      </c>
      <c r="I412" s="971">
        <f t="shared" si="136"/>
        <v>1000000</v>
      </c>
      <c r="J412" s="972">
        <f>+I412*0.11</f>
        <v>110000</v>
      </c>
      <c r="K412" s="972">
        <f>+IFERROR(INDEX($S$7:$S$13,MATCH((I412-J412),$Q$7:$Q$13,1)),"")</f>
        <v>11666.666666666666</v>
      </c>
      <c r="L412" s="972">
        <f t="shared" si="137"/>
        <v>77333.333333333328</v>
      </c>
      <c r="M412" s="971">
        <f t="shared" si="138"/>
        <v>812666.66666666663</v>
      </c>
      <c r="N412" s="972">
        <f>+I412*0.13</f>
        <v>130000</v>
      </c>
      <c r="O412" s="972">
        <f t="shared" si="139"/>
        <v>240000</v>
      </c>
      <c r="P412" s="238">
        <f t="shared" si="140"/>
        <v>1</v>
      </c>
    </row>
    <row r="413" spans="1:16" outlineLevel="1">
      <c r="B413" s="482">
        <f t="shared" si="141"/>
        <v>4</v>
      </c>
      <c r="C413" s="607" t="s">
        <v>2412</v>
      </c>
      <c r="D413" s="608" t="s">
        <v>2423</v>
      </c>
      <c r="E413" s="608" t="s">
        <v>1491</v>
      </c>
      <c r="F413" s="973">
        <v>900000</v>
      </c>
      <c r="G413" s="605">
        <v>24</v>
      </c>
      <c r="H413" s="605">
        <f t="shared" si="142"/>
        <v>37500</v>
      </c>
      <c r="I413" s="971">
        <f t="shared" si="136"/>
        <v>900000</v>
      </c>
      <c r="J413" s="972">
        <f>+I413*0.11</f>
        <v>99000</v>
      </c>
      <c r="K413" s="972">
        <f t="shared" ref="K413:K420" si="143">+IFERROR(INDEX($S$7:$S$13,MATCH((I413-J413),$Q$7:$Q$13,1)),"")</f>
        <v>11666.666666666666</v>
      </c>
      <c r="L413" s="972">
        <f t="shared" si="137"/>
        <v>68433.333333333328</v>
      </c>
      <c r="M413" s="971">
        <f t="shared" si="138"/>
        <v>732566.66666666663</v>
      </c>
      <c r="N413" s="972">
        <f>+I413*0.13</f>
        <v>117000</v>
      </c>
      <c r="O413" s="972">
        <f t="shared" si="139"/>
        <v>216000</v>
      </c>
      <c r="P413" s="238">
        <f t="shared" si="140"/>
        <v>1</v>
      </c>
    </row>
    <row r="414" spans="1:16" outlineLevel="1">
      <c r="B414" s="482">
        <f t="shared" si="141"/>
        <v>5</v>
      </c>
      <c r="C414" s="607" t="s">
        <v>2416</v>
      </c>
      <c r="D414" s="613" t="s">
        <v>2426</v>
      </c>
      <c r="E414" s="611" t="s">
        <v>1492</v>
      </c>
      <c r="F414" s="833">
        <v>600000</v>
      </c>
      <c r="G414" s="605">
        <v>22</v>
      </c>
      <c r="H414" s="605">
        <f t="shared" si="142"/>
        <v>25000</v>
      </c>
      <c r="I414" s="971">
        <f t="shared" si="136"/>
        <v>550000</v>
      </c>
      <c r="J414" s="972">
        <f>+I414*0.088</f>
        <v>48400</v>
      </c>
      <c r="K414" s="972">
        <f t="shared" si="143"/>
        <v>11666.666666666666</v>
      </c>
      <c r="L414" s="972">
        <f t="shared" si="137"/>
        <v>38493.333333333336</v>
      </c>
      <c r="M414" s="971">
        <f t="shared" si="138"/>
        <v>463106.66666666669</v>
      </c>
      <c r="N414" s="972">
        <f>+I414*0.108</f>
        <v>59400</v>
      </c>
      <c r="O414" s="972">
        <f t="shared" si="139"/>
        <v>107800</v>
      </c>
      <c r="P414" s="238">
        <f t="shared" si="140"/>
        <v>1</v>
      </c>
    </row>
    <row r="415" spans="1:16" outlineLevel="1">
      <c r="B415" s="482">
        <f t="shared" si="141"/>
        <v>6</v>
      </c>
      <c r="C415" s="607" t="s">
        <v>2428</v>
      </c>
      <c r="D415" s="613" t="s">
        <v>2442</v>
      </c>
      <c r="E415" s="622" t="s">
        <v>1494</v>
      </c>
      <c r="F415" s="833">
        <v>600000</v>
      </c>
      <c r="G415" s="784">
        <v>22.6</v>
      </c>
      <c r="H415" s="605">
        <f t="shared" si="142"/>
        <v>25000</v>
      </c>
      <c r="I415" s="971">
        <f t="shared" si="136"/>
        <v>565000</v>
      </c>
      <c r="J415" s="972">
        <f t="shared" ref="J415:J420" si="144">+I415*0.11</f>
        <v>62150</v>
      </c>
      <c r="K415" s="972">
        <f t="shared" si="143"/>
        <v>11666.666666666666</v>
      </c>
      <c r="L415" s="972">
        <f t="shared" si="137"/>
        <v>38618.333333333336</v>
      </c>
      <c r="M415" s="971">
        <f t="shared" si="138"/>
        <v>464231.66666666669</v>
      </c>
      <c r="N415" s="972">
        <f t="shared" ref="N415:N420" si="145">+I415*0.13</f>
        <v>73450</v>
      </c>
      <c r="O415" s="972">
        <f t="shared" si="139"/>
        <v>135600</v>
      </c>
      <c r="P415" s="238">
        <f t="shared" si="140"/>
        <v>1</v>
      </c>
    </row>
    <row r="416" spans="1:16" outlineLevel="1">
      <c r="B416" s="482">
        <f t="shared" si="141"/>
        <v>7</v>
      </c>
      <c r="C416" s="616" t="s">
        <v>2430</v>
      </c>
      <c r="D416" s="613" t="s">
        <v>2442</v>
      </c>
      <c r="E416" s="617" t="s">
        <v>1495</v>
      </c>
      <c r="F416" s="833">
        <v>600000</v>
      </c>
      <c r="G416" s="784">
        <v>21.97</v>
      </c>
      <c r="H416" s="605">
        <f t="shared" si="142"/>
        <v>25000</v>
      </c>
      <c r="I416" s="971">
        <f t="shared" si="136"/>
        <v>549250</v>
      </c>
      <c r="J416" s="972">
        <f t="shared" si="144"/>
        <v>60417.5</v>
      </c>
      <c r="K416" s="972">
        <f t="shared" si="143"/>
        <v>13333.333333333334</v>
      </c>
      <c r="L416" s="972">
        <f t="shared" si="137"/>
        <v>35549.916666666664</v>
      </c>
      <c r="M416" s="971">
        <f t="shared" si="138"/>
        <v>453282.58333333331</v>
      </c>
      <c r="N416" s="972">
        <f t="shared" si="145"/>
        <v>71402.5</v>
      </c>
      <c r="O416" s="972">
        <f t="shared" si="139"/>
        <v>131820</v>
      </c>
      <c r="P416" s="238">
        <f t="shared" si="140"/>
        <v>1</v>
      </c>
    </row>
    <row r="417" spans="2:16" outlineLevel="1">
      <c r="B417" s="482">
        <f t="shared" si="141"/>
        <v>8</v>
      </c>
      <c r="C417" s="602" t="s">
        <v>2431</v>
      </c>
      <c r="D417" s="612" t="s">
        <v>2442</v>
      </c>
      <c r="E417" s="611" t="s">
        <v>1496</v>
      </c>
      <c r="F417" s="834">
        <v>800000</v>
      </c>
      <c r="G417" s="381">
        <v>21.5</v>
      </c>
      <c r="H417" s="605">
        <f t="shared" si="142"/>
        <v>33333.333333333336</v>
      </c>
      <c r="I417" s="971">
        <f t="shared" si="136"/>
        <v>716666.66666666674</v>
      </c>
      <c r="J417" s="972">
        <f t="shared" si="144"/>
        <v>78833.333333333343</v>
      </c>
      <c r="K417" s="972">
        <f t="shared" si="143"/>
        <v>11666.666666666666</v>
      </c>
      <c r="L417" s="972">
        <f t="shared" si="137"/>
        <v>52116.666666666679</v>
      </c>
      <c r="M417" s="971">
        <f t="shared" si="138"/>
        <v>585716.66666666674</v>
      </c>
      <c r="N417" s="972">
        <f t="shared" si="145"/>
        <v>93166.666666666686</v>
      </c>
      <c r="O417" s="972">
        <f t="shared" si="139"/>
        <v>172000.00000000003</v>
      </c>
      <c r="P417" s="238">
        <f t="shared" si="140"/>
        <v>1</v>
      </c>
    </row>
    <row r="418" spans="2:16" outlineLevel="1">
      <c r="B418" s="482">
        <f t="shared" si="141"/>
        <v>9</v>
      </c>
      <c r="C418" s="602" t="s">
        <v>2433</v>
      </c>
      <c r="D418" s="608" t="s">
        <v>2442</v>
      </c>
      <c r="E418" s="619" t="s">
        <v>1498</v>
      </c>
      <c r="F418" s="834">
        <v>650000</v>
      </c>
      <c r="G418" s="381">
        <v>23.86</v>
      </c>
      <c r="H418" s="605">
        <f t="shared" si="142"/>
        <v>27083.333333333332</v>
      </c>
      <c r="I418" s="971">
        <f t="shared" si="136"/>
        <v>646208.33333333326</v>
      </c>
      <c r="J418" s="972">
        <f t="shared" si="144"/>
        <v>71082.916666666657</v>
      </c>
      <c r="K418" s="972">
        <f t="shared" si="143"/>
        <v>11666.666666666666</v>
      </c>
      <c r="L418" s="972">
        <f t="shared" si="137"/>
        <v>45845.875</v>
      </c>
      <c r="M418" s="971">
        <f t="shared" si="138"/>
        <v>529279.54166666663</v>
      </c>
      <c r="N418" s="972">
        <f t="shared" si="145"/>
        <v>84007.083333333328</v>
      </c>
      <c r="O418" s="972">
        <f t="shared" si="139"/>
        <v>155090</v>
      </c>
      <c r="P418" s="238">
        <f t="shared" si="140"/>
        <v>1</v>
      </c>
    </row>
    <row r="419" spans="2:16" outlineLevel="1">
      <c r="B419" s="482">
        <f t="shared" si="141"/>
        <v>10</v>
      </c>
      <c r="C419" s="602" t="s">
        <v>2434</v>
      </c>
      <c r="D419" s="608" t="s">
        <v>2442</v>
      </c>
      <c r="E419" s="964" t="s">
        <v>1499</v>
      </c>
      <c r="F419" s="834">
        <v>650000</v>
      </c>
      <c r="G419" s="605">
        <v>24</v>
      </c>
      <c r="H419" s="605">
        <f t="shared" si="142"/>
        <v>27083.333333333332</v>
      </c>
      <c r="I419" s="971">
        <f t="shared" si="136"/>
        <v>650000</v>
      </c>
      <c r="J419" s="972">
        <f t="shared" si="144"/>
        <v>71500</v>
      </c>
      <c r="K419" s="972">
        <f t="shared" si="143"/>
        <v>11666.666666666666</v>
      </c>
      <c r="L419" s="972">
        <f t="shared" si="137"/>
        <v>46183.333333333336</v>
      </c>
      <c r="M419" s="971">
        <f t="shared" si="138"/>
        <v>532316.66666666663</v>
      </c>
      <c r="N419" s="972">
        <f t="shared" si="145"/>
        <v>84500</v>
      </c>
      <c r="O419" s="972">
        <f t="shared" si="139"/>
        <v>156000</v>
      </c>
      <c r="P419" s="238">
        <f t="shared" si="140"/>
        <v>1</v>
      </c>
    </row>
    <row r="420" spans="2:16" outlineLevel="1">
      <c r="B420" s="482">
        <f t="shared" si="141"/>
        <v>11</v>
      </c>
      <c r="C420" s="602" t="s">
        <v>2436</v>
      </c>
      <c r="D420" s="608" t="s">
        <v>2442</v>
      </c>
      <c r="E420" s="375" t="s">
        <v>1501</v>
      </c>
      <c r="F420" s="834">
        <v>600000</v>
      </c>
      <c r="G420" s="784">
        <v>22.6</v>
      </c>
      <c r="H420" s="605">
        <f t="shared" si="142"/>
        <v>25000</v>
      </c>
      <c r="I420" s="971">
        <f t="shared" si="136"/>
        <v>565000</v>
      </c>
      <c r="J420" s="972">
        <f t="shared" si="144"/>
        <v>62150</v>
      </c>
      <c r="K420" s="972">
        <f t="shared" si="143"/>
        <v>11666.666666666666</v>
      </c>
      <c r="L420" s="972">
        <f t="shared" si="137"/>
        <v>38618.333333333336</v>
      </c>
      <c r="M420" s="971">
        <f t="shared" si="138"/>
        <v>464231.66666666669</v>
      </c>
      <c r="N420" s="972">
        <f t="shared" si="145"/>
        <v>73450</v>
      </c>
      <c r="O420" s="972">
        <f t="shared" si="139"/>
        <v>135600</v>
      </c>
      <c r="P420" s="238">
        <f t="shared" si="140"/>
        <v>1</v>
      </c>
    </row>
    <row r="421" spans="2:16" outlineLevel="1">
      <c r="B421" s="482">
        <f t="shared" si="141"/>
        <v>12</v>
      </c>
      <c r="C421" s="618" t="s">
        <v>2438</v>
      </c>
      <c r="D421" s="608" t="s">
        <v>2442</v>
      </c>
      <c r="E421" s="375" t="s">
        <v>1502</v>
      </c>
      <c r="F421" s="834">
        <v>600000</v>
      </c>
      <c r="G421" s="784">
        <v>15.559999999999999</v>
      </c>
      <c r="H421" s="605">
        <f t="shared" si="142"/>
        <v>25000</v>
      </c>
      <c r="I421" s="971">
        <f>+H421*G421</f>
        <v>388999.99999999994</v>
      </c>
      <c r="J421" s="972">
        <f>+I421*0.11</f>
        <v>42789.999999999993</v>
      </c>
      <c r="K421" s="972">
        <f>+IFERROR(INDEX($S$7:$S$13,MATCH((I421-J421),$Q$7:$Q$13,1)),"")</f>
        <v>13333.333333333334</v>
      </c>
      <c r="L421" s="972">
        <f>+IF((I421-J421)*0.1&lt;K421,0,(I421-J421)*0.1-K421)</f>
        <v>21287.666666666657</v>
      </c>
      <c r="M421" s="971">
        <f>+I421-J421-L421</f>
        <v>324922.33333333326</v>
      </c>
      <c r="N421" s="972">
        <f>+I421*0.13</f>
        <v>50569.999999999993</v>
      </c>
      <c r="O421" s="972">
        <f>+J421+N421</f>
        <v>93359.999999999985</v>
      </c>
      <c r="P421" s="238">
        <f>+IF(L421,1,0)</f>
        <v>1</v>
      </c>
    </row>
    <row r="422" spans="2:16" outlineLevel="1">
      <c r="B422" s="482">
        <f t="shared" si="141"/>
        <v>13</v>
      </c>
      <c r="C422" s="618" t="s">
        <v>2437</v>
      </c>
      <c r="D422" s="608" t="s">
        <v>2442</v>
      </c>
      <c r="E422" s="375" t="s">
        <v>1521</v>
      </c>
      <c r="F422" s="834">
        <v>240000</v>
      </c>
      <c r="G422" s="605"/>
      <c r="H422" s="605">
        <f t="shared" si="142"/>
        <v>10000</v>
      </c>
      <c r="I422" s="971">
        <f>+H422*G422</f>
        <v>0</v>
      </c>
      <c r="J422" s="972">
        <f>+I422*0.11</f>
        <v>0</v>
      </c>
      <c r="K422" s="972" t="str">
        <f>+IFERROR(INDEX($S$7:$S$13,MATCH((I422-J422),$Q$7:$Q$13,1)),"")</f>
        <v/>
      </c>
      <c r="L422" s="972">
        <f>+IF((I422-J422)*0.1&lt;K422,0,(I422-J422)*0.1-K422)</f>
        <v>0</v>
      </c>
      <c r="M422" s="971">
        <f>+I422-J422-L422</f>
        <v>0</v>
      </c>
      <c r="N422" s="972">
        <f>+F422*0.13</f>
        <v>31200</v>
      </c>
      <c r="O422" s="972">
        <f>+J422+N422</f>
        <v>31200</v>
      </c>
      <c r="P422" s="238">
        <f>+IF(L422,1,0)</f>
        <v>0</v>
      </c>
    </row>
    <row r="423" spans="2:16" outlineLevel="1">
      <c r="B423" s="482">
        <f t="shared" si="141"/>
        <v>14</v>
      </c>
      <c r="C423" s="616" t="s">
        <v>2439</v>
      </c>
      <c r="D423" s="608" t="s">
        <v>2442</v>
      </c>
      <c r="E423" s="611" t="s">
        <v>1503</v>
      </c>
      <c r="F423" s="834">
        <v>240000</v>
      </c>
      <c r="G423" s="605"/>
      <c r="H423" s="605"/>
      <c r="I423" s="971">
        <f>+H423*G423</f>
        <v>0</v>
      </c>
      <c r="J423" s="972">
        <f>+I423*0.11</f>
        <v>0</v>
      </c>
      <c r="K423" s="972" t="str">
        <f>+IFERROR(INDEX($S$7:$S$13,MATCH((I423-J423),$Q$7:$Q$13,1)),"")</f>
        <v/>
      </c>
      <c r="L423" s="972">
        <f>+IF((I423-J423)*0.1&lt;K423,0,(I423-J423)*0.1-K423)</f>
        <v>0</v>
      </c>
      <c r="M423" s="971">
        <f>+I423-J423-L423</f>
        <v>0</v>
      </c>
      <c r="N423" s="972">
        <f>+F423*0.13</f>
        <v>31200</v>
      </c>
      <c r="O423" s="972">
        <f>+J423+N423</f>
        <v>31200</v>
      </c>
      <c r="P423" s="238">
        <f>+IF(L423,1,0)</f>
        <v>0</v>
      </c>
    </row>
    <row r="424" spans="2:16" ht="12.75" customHeight="1" outlineLevel="1">
      <c r="B424" s="1023" t="s">
        <v>6</v>
      </c>
      <c r="C424" s="1024"/>
      <c r="D424" s="1024"/>
      <c r="E424" s="1025"/>
      <c r="F424" s="977">
        <f>SUM(F410:F423)</f>
        <v>10080000</v>
      </c>
      <c r="G424" s="977">
        <f>SUM(G410:G423)</f>
        <v>270.08999999999997</v>
      </c>
      <c r="H424" s="977"/>
      <c r="I424" s="977">
        <f t="shared" ref="I424:P424" si="146">SUM(I410:I423)</f>
        <v>9131125</v>
      </c>
      <c r="J424" s="975">
        <f t="shared" si="146"/>
        <v>992323.75</v>
      </c>
      <c r="K424" s="975">
        <f t="shared" si="146"/>
        <v>140000</v>
      </c>
      <c r="L424" s="975">
        <f t="shared" si="146"/>
        <v>673880.125</v>
      </c>
      <c r="M424" s="975">
        <f t="shared" si="146"/>
        <v>7464921.125</v>
      </c>
      <c r="N424" s="975">
        <f t="shared" si="146"/>
        <v>1237346.25</v>
      </c>
      <c r="O424" s="975">
        <f t="shared" si="146"/>
        <v>2229670</v>
      </c>
      <c r="P424" s="621">
        <f t="shared" si="146"/>
        <v>12</v>
      </c>
    </row>
    <row r="425" spans="2:16" outlineLevel="1">
      <c r="F425" s="237"/>
      <c r="I425" s="79"/>
      <c r="J425" s="79"/>
      <c r="L425" s="79"/>
      <c r="N425" s="79"/>
    </row>
    <row r="426" spans="2:16" outlineLevel="1">
      <c r="F426" s="79"/>
      <c r="I426" s="79"/>
      <c r="J426" s="79"/>
      <c r="K426" s="79"/>
      <c r="L426" s="79"/>
      <c r="N426" s="79"/>
      <c r="O426" s="79"/>
    </row>
    <row r="427" spans="2:16" outlineLevel="1">
      <c r="I427" s="23" t="s">
        <v>1504</v>
      </c>
    </row>
    <row r="428" spans="2:16" outlineLevel="1">
      <c r="I428" s="375" t="s">
        <v>1321</v>
      </c>
      <c r="J428" s="375"/>
      <c r="K428" s="375"/>
      <c r="L428" s="375"/>
      <c r="M428" s="622" t="s">
        <v>261</v>
      </c>
      <c r="N428" s="375" t="s">
        <v>262</v>
      </c>
    </row>
    <row r="429" spans="2:16" outlineLevel="1">
      <c r="I429" s="375" t="s">
        <v>2811</v>
      </c>
      <c r="J429" s="375"/>
      <c r="K429" s="375"/>
      <c r="L429" s="623">
        <v>700200</v>
      </c>
      <c r="M429" s="121">
        <f>+N424</f>
        <v>1237346.25</v>
      </c>
      <c r="N429" s="6"/>
    </row>
    <row r="430" spans="2:16" outlineLevel="1">
      <c r="I430" s="375" t="s">
        <v>2811</v>
      </c>
      <c r="J430" s="375"/>
      <c r="K430" s="375"/>
      <c r="L430" s="623">
        <v>310800</v>
      </c>
      <c r="M430" s="6"/>
      <c r="N430" s="121">
        <f>+N424</f>
        <v>1237346.25</v>
      </c>
    </row>
    <row r="431" spans="2:16" outlineLevel="1">
      <c r="I431" s="375" t="s">
        <v>2812</v>
      </c>
      <c r="J431" s="375"/>
      <c r="K431" s="375"/>
      <c r="L431" s="623">
        <v>310800</v>
      </c>
      <c r="M431" s="6"/>
      <c r="N431" s="121">
        <f>+J424</f>
        <v>992323.75</v>
      </c>
    </row>
    <row r="432" spans="2:16" outlineLevel="1">
      <c r="I432" s="375" t="s">
        <v>2813</v>
      </c>
      <c r="J432" s="375"/>
      <c r="K432" s="375"/>
      <c r="L432" s="623">
        <v>310700</v>
      </c>
      <c r="M432" s="6"/>
      <c r="N432" s="121">
        <f>+L424</f>
        <v>673880.125</v>
      </c>
    </row>
    <row r="433" spans="1:16" outlineLevel="1">
      <c r="I433" s="375" t="s">
        <v>2814</v>
      </c>
      <c r="J433" s="375"/>
      <c r="K433" s="375"/>
      <c r="L433" s="623">
        <v>311000</v>
      </c>
      <c r="M433" s="6"/>
      <c r="N433" s="121">
        <f>+M424</f>
        <v>7464921.125</v>
      </c>
    </row>
    <row r="434" spans="1:16" outlineLevel="1">
      <c r="I434" s="375" t="s">
        <v>2815</v>
      </c>
      <c r="J434" s="375"/>
      <c r="K434" s="375"/>
      <c r="L434" s="623">
        <v>700100</v>
      </c>
      <c r="M434" s="614">
        <f>+N433+N432+N431</f>
        <v>9131125</v>
      </c>
      <c r="N434" s="375"/>
    </row>
    <row r="435" spans="1:16" outlineLevel="1"/>
    <row r="436" spans="1:16">
      <c r="A436" s="23" t="s">
        <v>2300</v>
      </c>
      <c r="B436" s="23" t="s">
        <v>2856</v>
      </c>
    </row>
    <row r="437" spans="1:16" outlineLevel="1">
      <c r="B437" s="595"/>
      <c r="C437" s="595" t="s">
        <v>2828</v>
      </c>
      <c r="D437" s="595"/>
      <c r="E437" s="596"/>
      <c r="F437" s="596"/>
      <c r="G437" s="596"/>
      <c r="H437" s="596"/>
      <c r="I437" s="625"/>
      <c r="J437" s="596"/>
      <c r="K437" s="596"/>
      <c r="L437" s="596"/>
      <c r="M437" s="596"/>
      <c r="N437" s="596"/>
      <c r="O437" s="596"/>
    </row>
    <row r="438" spans="1:16" outlineLevel="1">
      <c r="B438" s="1026" t="s">
        <v>1</v>
      </c>
      <c r="C438" s="1028" t="s">
        <v>1334</v>
      </c>
      <c r="D438" s="1028" t="s">
        <v>1335</v>
      </c>
      <c r="E438" s="1030" t="s">
        <v>1477</v>
      </c>
      <c r="F438" s="1028" t="s">
        <v>1478</v>
      </c>
      <c r="G438" s="1030" t="s">
        <v>1479</v>
      </c>
      <c r="H438" s="1030" t="s">
        <v>1480</v>
      </c>
      <c r="I438" s="1021" t="s">
        <v>1481</v>
      </c>
      <c r="J438" s="1019" t="s">
        <v>1482</v>
      </c>
      <c r="K438" s="1017" t="s">
        <v>2012</v>
      </c>
      <c r="L438" s="1018"/>
      <c r="M438" s="1019" t="s">
        <v>1483</v>
      </c>
      <c r="N438" s="1021" t="s">
        <v>1484</v>
      </c>
      <c r="O438" s="1019" t="s">
        <v>1485</v>
      </c>
    </row>
    <row r="439" spans="1:16" outlineLevel="1">
      <c r="B439" s="1027"/>
      <c r="C439" s="1029"/>
      <c r="D439" s="1029"/>
      <c r="E439" s="1031"/>
      <c r="F439" s="1029"/>
      <c r="G439" s="1031"/>
      <c r="H439" s="1031"/>
      <c r="I439" s="1022"/>
      <c r="J439" s="1020"/>
      <c r="K439" s="601" t="s">
        <v>1633</v>
      </c>
      <c r="L439" s="601" t="s">
        <v>5</v>
      </c>
      <c r="M439" s="1020"/>
      <c r="N439" s="1022"/>
      <c r="O439" s="1020"/>
      <c r="P439" s="238" t="s">
        <v>1633</v>
      </c>
    </row>
    <row r="440" spans="1:16" outlineLevel="1">
      <c r="B440" s="482">
        <v>1</v>
      </c>
      <c r="C440" s="607" t="s">
        <v>2410</v>
      </c>
      <c r="D440" s="608" t="s">
        <v>2420</v>
      </c>
      <c r="E440" s="608" t="s">
        <v>1487</v>
      </c>
      <c r="F440" s="970">
        <v>1200000</v>
      </c>
      <c r="G440" s="605">
        <v>24</v>
      </c>
      <c r="H440" s="605">
        <f>+F440/24</f>
        <v>50000</v>
      </c>
      <c r="I440" s="986">
        <f t="shared" ref="I440:I450" si="147">+H440*G440</f>
        <v>1200000</v>
      </c>
      <c r="J440" s="972">
        <f>+I440*0.11</f>
        <v>132000</v>
      </c>
      <c r="K440" s="972">
        <f>+IFERROR(INDEX($S$7:$S$13,MATCH((I440-J440),$Q$7:$Q$13,1)),"")</f>
        <v>10000</v>
      </c>
      <c r="L440" s="972">
        <f t="shared" ref="L440:L450" si="148">+IF((I440-J440)*0.1&lt;K440,0,(I440-J440)*0.1-K440)</f>
        <v>96800</v>
      </c>
      <c r="M440" s="971">
        <f t="shared" ref="M440:M450" si="149">+I440-J440-L440</f>
        <v>971200</v>
      </c>
      <c r="N440" s="972">
        <f>+I440*0.13</f>
        <v>156000</v>
      </c>
      <c r="O440" s="972">
        <f t="shared" ref="O440:O450" si="150">+J440+N440</f>
        <v>288000</v>
      </c>
      <c r="P440" s="238">
        <f t="shared" ref="P440:P450" si="151">+IF(L440,1,0)</f>
        <v>1</v>
      </c>
    </row>
    <row r="441" spans="1:16" outlineLevel="1">
      <c r="B441" s="482">
        <f t="shared" ref="B441:B453" si="152">+B440+1</f>
        <v>2</v>
      </c>
      <c r="C441" s="609" t="s">
        <v>1488</v>
      </c>
      <c r="D441" s="608" t="s">
        <v>2421</v>
      </c>
      <c r="E441" s="608" t="s">
        <v>1489</v>
      </c>
      <c r="F441" s="973">
        <v>1400000</v>
      </c>
      <c r="G441" s="605">
        <v>24</v>
      </c>
      <c r="H441" s="605">
        <f t="shared" ref="H441:H453" si="153">+F441/24</f>
        <v>58333.333333333336</v>
      </c>
      <c r="I441" s="986">
        <f t="shared" si="147"/>
        <v>1400000</v>
      </c>
      <c r="J441" s="972">
        <f>+I441*0.11</f>
        <v>154000</v>
      </c>
      <c r="K441" s="972">
        <f>+IFERROR(INDEX($S$7:$S$13,MATCH((I441-J441),$Q$7:$Q$13,1)),"")</f>
        <v>10000</v>
      </c>
      <c r="L441" s="972">
        <f t="shared" si="148"/>
        <v>114600</v>
      </c>
      <c r="M441" s="971">
        <f t="shared" si="149"/>
        <v>1131400</v>
      </c>
      <c r="N441" s="972">
        <f>+I441*0.13</f>
        <v>182000</v>
      </c>
      <c r="O441" s="972">
        <f t="shared" si="150"/>
        <v>336000</v>
      </c>
      <c r="P441" s="238">
        <f t="shared" si="151"/>
        <v>1</v>
      </c>
    </row>
    <row r="442" spans="1:16" outlineLevel="1">
      <c r="B442" s="482">
        <f t="shared" si="152"/>
        <v>3</v>
      </c>
      <c r="C442" s="607" t="s">
        <v>2411</v>
      </c>
      <c r="D442" s="608" t="s">
        <v>2422</v>
      </c>
      <c r="E442" s="611" t="s">
        <v>1490</v>
      </c>
      <c r="F442" s="973">
        <v>1000000</v>
      </c>
      <c r="G442" s="605">
        <v>24</v>
      </c>
      <c r="H442" s="605">
        <f t="shared" si="153"/>
        <v>41666.666666666664</v>
      </c>
      <c r="I442" s="986">
        <f t="shared" si="147"/>
        <v>1000000</v>
      </c>
      <c r="J442" s="972">
        <f>+I442*0.11</f>
        <v>110000</v>
      </c>
      <c r="K442" s="972">
        <f>+IFERROR(INDEX($S$7:$S$13,MATCH((I442-J442),$Q$7:$Q$13,1)),"")</f>
        <v>11666.666666666666</v>
      </c>
      <c r="L442" s="972">
        <f t="shared" si="148"/>
        <v>77333.333333333328</v>
      </c>
      <c r="M442" s="971">
        <f>+I442-J442-L442</f>
        <v>812666.66666666663</v>
      </c>
      <c r="N442" s="972">
        <f>+I442*0.13</f>
        <v>130000</v>
      </c>
      <c r="O442" s="972">
        <f t="shared" si="150"/>
        <v>240000</v>
      </c>
      <c r="P442" s="238">
        <f t="shared" si="151"/>
        <v>1</v>
      </c>
    </row>
    <row r="443" spans="1:16" outlineLevel="1">
      <c r="B443" s="482">
        <f t="shared" si="152"/>
        <v>4</v>
      </c>
      <c r="C443" s="607" t="s">
        <v>2412</v>
      </c>
      <c r="D443" s="608" t="s">
        <v>2423</v>
      </c>
      <c r="E443" s="608" t="s">
        <v>1491</v>
      </c>
      <c r="F443" s="973">
        <v>900000</v>
      </c>
      <c r="G443" s="605">
        <v>24</v>
      </c>
      <c r="H443" s="605">
        <f t="shared" si="153"/>
        <v>37500</v>
      </c>
      <c r="I443" s="986">
        <f t="shared" si="147"/>
        <v>900000</v>
      </c>
      <c r="J443" s="972">
        <f>+I443*0.11</f>
        <v>99000</v>
      </c>
      <c r="K443" s="972">
        <f t="shared" ref="K443:K450" si="154">+IFERROR(INDEX($S$7:$S$13,MATCH((I443-J443),$Q$7:$Q$13,1)),"")</f>
        <v>11666.666666666666</v>
      </c>
      <c r="L443" s="972">
        <f t="shared" si="148"/>
        <v>68433.333333333328</v>
      </c>
      <c r="M443" s="971">
        <f t="shared" si="149"/>
        <v>732566.66666666663</v>
      </c>
      <c r="N443" s="972">
        <f>+I443*0.13</f>
        <v>117000</v>
      </c>
      <c r="O443" s="972">
        <f t="shared" si="150"/>
        <v>216000</v>
      </c>
      <c r="P443" s="238">
        <f t="shared" si="151"/>
        <v>1</v>
      </c>
    </row>
    <row r="444" spans="1:16" outlineLevel="1">
      <c r="B444" s="482">
        <f t="shared" si="152"/>
        <v>5</v>
      </c>
      <c r="C444" s="607" t="s">
        <v>2416</v>
      </c>
      <c r="D444" s="613" t="s">
        <v>2426</v>
      </c>
      <c r="E444" s="611" t="s">
        <v>1492</v>
      </c>
      <c r="F444" s="833">
        <v>600000</v>
      </c>
      <c r="G444" s="605">
        <v>24.08</v>
      </c>
      <c r="H444" s="605">
        <f t="shared" si="153"/>
        <v>25000</v>
      </c>
      <c r="I444" s="986">
        <f t="shared" si="147"/>
        <v>602000</v>
      </c>
      <c r="J444" s="972">
        <f>+I444*0.088</f>
        <v>52976</v>
      </c>
      <c r="K444" s="972">
        <f t="shared" si="154"/>
        <v>11666.666666666666</v>
      </c>
      <c r="L444" s="972">
        <f t="shared" si="148"/>
        <v>43235.733333333337</v>
      </c>
      <c r="M444" s="971">
        <f t="shared" si="149"/>
        <v>505788.26666666666</v>
      </c>
      <c r="N444" s="972">
        <f>+I444*0.108</f>
        <v>65016</v>
      </c>
      <c r="O444" s="972">
        <f t="shared" si="150"/>
        <v>117992</v>
      </c>
      <c r="P444" s="238">
        <f t="shared" si="151"/>
        <v>1</v>
      </c>
    </row>
    <row r="445" spans="1:16" outlineLevel="1">
      <c r="B445" s="482">
        <f t="shared" si="152"/>
        <v>6</v>
      </c>
      <c r="C445" s="607" t="s">
        <v>2428</v>
      </c>
      <c r="D445" s="613" t="s">
        <v>2442</v>
      </c>
      <c r="E445" s="622" t="s">
        <v>1494</v>
      </c>
      <c r="F445" s="833">
        <v>600000</v>
      </c>
      <c r="G445" s="605">
        <v>26.87</v>
      </c>
      <c r="H445" s="605">
        <f t="shared" si="153"/>
        <v>25000</v>
      </c>
      <c r="I445" s="986">
        <f t="shared" si="147"/>
        <v>671750</v>
      </c>
      <c r="J445" s="972">
        <f t="shared" ref="J445:J450" si="155">+I445*0.11</f>
        <v>73892.5</v>
      </c>
      <c r="K445" s="972">
        <f t="shared" si="154"/>
        <v>11666.666666666666</v>
      </c>
      <c r="L445" s="972">
        <f t="shared" si="148"/>
        <v>48119.083333333336</v>
      </c>
      <c r="M445" s="971">
        <f t="shared" si="149"/>
        <v>549738.41666666663</v>
      </c>
      <c r="N445" s="972">
        <f t="shared" ref="N445:N450" si="156">+I445*0.13</f>
        <v>87327.5</v>
      </c>
      <c r="O445" s="972">
        <f t="shared" si="150"/>
        <v>161220</v>
      </c>
      <c r="P445" s="238">
        <f t="shared" si="151"/>
        <v>1</v>
      </c>
    </row>
    <row r="446" spans="1:16" outlineLevel="1">
      <c r="B446" s="482">
        <f t="shared" si="152"/>
        <v>7</v>
      </c>
      <c r="C446" s="616" t="s">
        <v>2430</v>
      </c>
      <c r="D446" s="613" t="s">
        <v>2442</v>
      </c>
      <c r="E446" s="617" t="s">
        <v>1495</v>
      </c>
      <c r="F446" s="833">
        <v>600000</v>
      </c>
      <c r="G446" s="605">
        <v>16.68</v>
      </c>
      <c r="H446" s="605">
        <f t="shared" si="153"/>
        <v>25000</v>
      </c>
      <c r="I446" s="986">
        <f t="shared" si="147"/>
        <v>417000</v>
      </c>
      <c r="J446" s="972">
        <f t="shared" si="155"/>
        <v>45870</v>
      </c>
      <c r="K446" s="972">
        <f t="shared" si="154"/>
        <v>13333.333333333334</v>
      </c>
      <c r="L446" s="972">
        <f t="shared" si="148"/>
        <v>23779.666666666664</v>
      </c>
      <c r="M446" s="971">
        <f t="shared" si="149"/>
        <v>347350.33333333331</v>
      </c>
      <c r="N446" s="972">
        <f t="shared" si="156"/>
        <v>54210</v>
      </c>
      <c r="O446" s="972">
        <f t="shared" si="150"/>
        <v>100080</v>
      </c>
      <c r="P446" s="238">
        <f t="shared" si="151"/>
        <v>1</v>
      </c>
    </row>
    <row r="447" spans="1:16" outlineLevel="1">
      <c r="B447" s="482">
        <f t="shared" si="152"/>
        <v>8</v>
      </c>
      <c r="C447" s="602" t="s">
        <v>2431</v>
      </c>
      <c r="D447" s="612" t="s">
        <v>2442</v>
      </c>
      <c r="E447" s="611" t="s">
        <v>1496</v>
      </c>
      <c r="F447" s="834">
        <v>800000</v>
      </c>
      <c r="G447" s="605">
        <v>22.95</v>
      </c>
      <c r="H447" s="605">
        <f t="shared" si="153"/>
        <v>33333.333333333336</v>
      </c>
      <c r="I447" s="986">
        <f t="shared" si="147"/>
        <v>765000</v>
      </c>
      <c r="J447" s="972">
        <f t="shared" si="155"/>
        <v>84150</v>
      </c>
      <c r="K447" s="972">
        <f t="shared" si="154"/>
        <v>11666.666666666666</v>
      </c>
      <c r="L447" s="972">
        <f t="shared" si="148"/>
        <v>56418.333333333336</v>
      </c>
      <c r="M447" s="971">
        <f t="shared" si="149"/>
        <v>624431.66666666663</v>
      </c>
      <c r="N447" s="972">
        <f t="shared" si="156"/>
        <v>99450</v>
      </c>
      <c r="O447" s="972">
        <f t="shared" si="150"/>
        <v>183600</v>
      </c>
      <c r="P447" s="238">
        <f t="shared" si="151"/>
        <v>1</v>
      </c>
    </row>
    <row r="448" spans="1:16" outlineLevel="1">
      <c r="B448" s="482">
        <f t="shared" si="152"/>
        <v>9</v>
      </c>
      <c r="C448" s="602" t="s">
        <v>2433</v>
      </c>
      <c r="D448" s="608" t="s">
        <v>2442</v>
      </c>
      <c r="E448" s="619" t="s">
        <v>1498</v>
      </c>
      <c r="F448" s="834">
        <v>650000</v>
      </c>
      <c r="G448" s="605">
        <v>26.67</v>
      </c>
      <c r="H448" s="605">
        <f t="shared" si="153"/>
        <v>27083.333333333332</v>
      </c>
      <c r="I448" s="986">
        <f t="shared" si="147"/>
        <v>722312.5</v>
      </c>
      <c r="J448" s="972">
        <f t="shared" si="155"/>
        <v>79454.375</v>
      </c>
      <c r="K448" s="972">
        <f t="shared" si="154"/>
        <v>11666.666666666666</v>
      </c>
      <c r="L448" s="972">
        <f t="shared" si="148"/>
        <v>52619.145833333336</v>
      </c>
      <c r="M448" s="971">
        <f t="shared" si="149"/>
        <v>590238.97916666663</v>
      </c>
      <c r="N448" s="972">
        <f t="shared" si="156"/>
        <v>93900.625</v>
      </c>
      <c r="O448" s="972">
        <f t="shared" si="150"/>
        <v>173355</v>
      </c>
      <c r="P448" s="238">
        <f t="shared" si="151"/>
        <v>1</v>
      </c>
    </row>
    <row r="449" spans="2:16" outlineLevel="1">
      <c r="B449" s="482">
        <f t="shared" si="152"/>
        <v>10</v>
      </c>
      <c r="C449" s="602" t="s">
        <v>2434</v>
      </c>
      <c r="D449" s="608" t="s">
        <v>2442</v>
      </c>
      <c r="E449" s="981" t="s">
        <v>1499</v>
      </c>
      <c r="F449" s="834">
        <v>650000</v>
      </c>
      <c r="G449" s="605">
        <v>22.92</v>
      </c>
      <c r="H449" s="605">
        <f t="shared" si="153"/>
        <v>27083.333333333332</v>
      </c>
      <c r="I449" s="986">
        <f t="shared" si="147"/>
        <v>620750</v>
      </c>
      <c r="J449" s="972">
        <f t="shared" si="155"/>
        <v>68282.5</v>
      </c>
      <c r="K449" s="972">
        <f t="shared" si="154"/>
        <v>11666.666666666666</v>
      </c>
      <c r="L449" s="972">
        <f t="shared" si="148"/>
        <v>43580.083333333336</v>
      </c>
      <c r="M449" s="971">
        <f t="shared" si="149"/>
        <v>508887.41666666669</v>
      </c>
      <c r="N449" s="972">
        <f t="shared" si="156"/>
        <v>80697.5</v>
      </c>
      <c r="O449" s="972">
        <f t="shared" si="150"/>
        <v>148980</v>
      </c>
      <c r="P449" s="238">
        <f t="shared" si="151"/>
        <v>1</v>
      </c>
    </row>
    <row r="450" spans="2:16" outlineLevel="1">
      <c r="B450" s="482">
        <f t="shared" si="152"/>
        <v>11</v>
      </c>
      <c r="C450" s="602" t="s">
        <v>2436</v>
      </c>
      <c r="D450" s="608" t="s">
        <v>2442</v>
      </c>
      <c r="E450" s="375" t="s">
        <v>1501</v>
      </c>
      <c r="F450" s="834">
        <v>600000</v>
      </c>
      <c r="G450" s="605">
        <v>25.79</v>
      </c>
      <c r="H450" s="605">
        <f t="shared" si="153"/>
        <v>25000</v>
      </c>
      <c r="I450" s="986">
        <f t="shared" si="147"/>
        <v>644750</v>
      </c>
      <c r="J450" s="972">
        <f t="shared" si="155"/>
        <v>70922.5</v>
      </c>
      <c r="K450" s="972">
        <f t="shared" si="154"/>
        <v>11666.666666666666</v>
      </c>
      <c r="L450" s="972">
        <f t="shared" si="148"/>
        <v>45716.083333333336</v>
      </c>
      <c r="M450" s="971">
        <f t="shared" si="149"/>
        <v>528111.41666666663</v>
      </c>
      <c r="N450" s="972">
        <f t="shared" si="156"/>
        <v>83817.5</v>
      </c>
      <c r="O450" s="972">
        <f t="shared" si="150"/>
        <v>154740</v>
      </c>
      <c r="P450" s="238">
        <f t="shared" si="151"/>
        <v>1</v>
      </c>
    </row>
    <row r="451" spans="2:16" outlineLevel="1">
      <c r="B451" s="482">
        <f t="shared" si="152"/>
        <v>12</v>
      </c>
      <c r="C451" s="618" t="s">
        <v>2438</v>
      </c>
      <c r="D451" s="608" t="s">
        <v>2442</v>
      </c>
      <c r="E451" s="375" t="s">
        <v>1502</v>
      </c>
      <c r="F451" s="834">
        <v>600000</v>
      </c>
      <c r="G451" s="605">
        <v>21.86</v>
      </c>
      <c r="H451" s="605">
        <f t="shared" si="153"/>
        <v>25000</v>
      </c>
      <c r="I451" s="986">
        <f>+H451*G451</f>
        <v>546500</v>
      </c>
      <c r="J451" s="972">
        <f>+I451*0.11</f>
        <v>60115</v>
      </c>
      <c r="K451" s="972">
        <f>+IFERROR(INDEX($S$7:$S$13,MATCH((I451-J451),$Q$7:$Q$13,1)),"")</f>
        <v>13333.333333333334</v>
      </c>
      <c r="L451" s="972">
        <f>+IF((I451-J451)*0.1&lt;K451,0,(I451-J451)*0.1-K451)</f>
        <v>35305.166666666664</v>
      </c>
      <c r="M451" s="971">
        <f>+I451-J451-L451</f>
        <v>451079.83333333331</v>
      </c>
      <c r="N451" s="972">
        <f>+I451*0.13</f>
        <v>71045</v>
      </c>
      <c r="O451" s="972">
        <f>+J451+N451</f>
        <v>131160</v>
      </c>
      <c r="P451" s="238">
        <f>+IF(L451,1,0)</f>
        <v>1</v>
      </c>
    </row>
    <row r="452" spans="2:16" outlineLevel="1">
      <c r="B452" s="482">
        <f t="shared" si="152"/>
        <v>13</v>
      </c>
      <c r="C452" s="618" t="s">
        <v>2437</v>
      </c>
      <c r="D452" s="608" t="s">
        <v>2442</v>
      </c>
      <c r="E452" s="375" t="s">
        <v>1521</v>
      </c>
      <c r="F452" s="834">
        <v>240000</v>
      </c>
      <c r="G452" s="605"/>
      <c r="H452" s="605">
        <f t="shared" si="153"/>
        <v>10000</v>
      </c>
      <c r="I452" s="986">
        <f>+H452*G452</f>
        <v>0</v>
      </c>
      <c r="J452" s="972">
        <f>+I452*0.11</f>
        <v>0</v>
      </c>
      <c r="K452" s="972" t="str">
        <f>+IFERROR(INDEX($S$7:$S$13,MATCH((I452-J452),$Q$7:$Q$13,1)),"")</f>
        <v/>
      </c>
      <c r="L452" s="972">
        <f>+IF((I452-J452)*0.1&lt;K452,0,(I452-J452)*0.1-K452)</f>
        <v>0</v>
      </c>
      <c r="M452" s="971">
        <f>+I452-J452-L452</f>
        <v>0</v>
      </c>
      <c r="N452" s="972">
        <f>+F452*0.13</f>
        <v>31200</v>
      </c>
      <c r="O452" s="972">
        <f>+J452+N452</f>
        <v>31200</v>
      </c>
      <c r="P452" s="238">
        <f>+IF(L452,1,0)</f>
        <v>0</v>
      </c>
    </row>
    <row r="453" spans="2:16" outlineLevel="1">
      <c r="B453" s="482">
        <f t="shared" si="152"/>
        <v>14</v>
      </c>
      <c r="C453" s="616" t="s">
        <v>2439</v>
      </c>
      <c r="D453" s="608" t="s">
        <v>2442</v>
      </c>
      <c r="E453" s="611" t="s">
        <v>1503</v>
      </c>
      <c r="F453" s="834">
        <v>240000</v>
      </c>
      <c r="G453" s="605"/>
      <c r="H453" s="605">
        <f t="shared" si="153"/>
        <v>10000</v>
      </c>
      <c r="I453" s="971">
        <f>+H453*G453</f>
        <v>0</v>
      </c>
      <c r="J453" s="972">
        <f>+I453*0.11</f>
        <v>0</v>
      </c>
      <c r="K453" s="972" t="str">
        <f>+IFERROR(INDEX($S$7:$S$13,MATCH((I453-J453),$Q$7:$Q$13,1)),"")</f>
        <v/>
      </c>
      <c r="L453" s="972">
        <f>+IF((I453-J453)*0.1&lt;K453,0,(I453-J453)*0.1-K453)</f>
        <v>0</v>
      </c>
      <c r="M453" s="971">
        <f>+I453-J453-L453</f>
        <v>0</v>
      </c>
      <c r="N453" s="972">
        <f>+F453*0.09</f>
        <v>21600</v>
      </c>
      <c r="O453" s="972">
        <f>+J453+N453</f>
        <v>21600</v>
      </c>
      <c r="P453" s="238">
        <f>+IF(L453,1,0)</f>
        <v>0</v>
      </c>
    </row>
    <row r="454" spans="2:16" outlineLevel="1">
      <c r="B454" s="1032" t="s">
        <v>6</v>
      </c>
      <c r="C454" s="1032"/>
      <c r="D454" s="1032"/>
      <c r="E454" s="1032"/>
      <c r="F454" s="977">
        <f t="shared" ref="F454:N454" si="157">SUM(F440:F453)</f>
        <v>10080000</v>
      </c>
      <c r="G454" s="977">
        <f t="shared" si="157"/>
        <v>283.82000000000005</v>
      </c>
      <c r="H454" s="977">
        <f t="shared" si="157"/>
        <v>419999.99999999994</v>
      </c>
      <c r="I454" s="977">
        <f t="shared" si="157"/>
        <v>9490062.5</v>
      </c>
      <c r="J454" s="977">
        <f t="shared" si="157"/>
        <v>1030662.875</v>
      </c>
      <c r="K454" s="977">
        <f t="shared" si="157"/>
        <v>140000</v>
      </c>
      <c r="L454" s="977">
        <f t="shared" si="157"/>
        <v>705939.96250000002</v>
      </c>
      <c r="M454" s="977">
        <f t="shared" si="157"/>
        <v>7753459.6625000006</v>
      </c>
      <c r="N454" s="977">
        <f t="shared" si="157"/>
        <v>1273264.125</v>
      </c>
      <c r="O454" s="977">
        <f>SUM(O440:O453)</f>
        <v>2303927</v>
      </c>
      <c r="P454" s="621">
        <f t="shared" ref="P454" si="158">SUM(P440:P453)</f>
        <v>12</v>
      </c>
    </row>
    <row r="455" spans="2:16" outlineLevel="1">
      <c r="F455" s="237"/>
      <c r="I455" s="79">
        <f>9970062.5-I454-240000*2</f>
        <v>0</v>
      </c>
      <c r="J455" s="79">
        <f>1030662.88-J454</f>
        <v>5.0000000046566129E-3</v>
      </c>
      <c r="L455" s="79"/>
      <c r="N455" s="79">
        <f>1273264.14-N454</f>
        <v>1.4999999897554517E-2</v>
      </c>
      <c r="O455" s="79">
        <f>2303927.02-O454</f>
        <v>2.0000000018626451E-2</v>
      </c>
    </row>
    <row r="456" spans="2:16" outlineLevel="1">
      <c r="F456" s="79"/>
      <c r="I456" s="79"/>
      <c r="J456" s="79"/>
      <c r="K456" s="79"/>
      <c r="L456" s="79"/>
      <c r="N456" s="79"/>
      <c r="O456" s="79"/>
    </row>
    <row r="457" spans="2:16" outlineLevel="1">
      <c r="I457" s="23" t="s">
        <v>1504</v>
      </c>
      <c r="L457" s="79"/>
      <c r="O457" s="79"/>
    </row>
    <row r="458" spans="2:16" outlineLevel="1">
      <c r="I458" s="375" t="s">
        <v>1321</v>
      </c>
      <c r="J458" s="375"/>
      <c r="K458" s="375"/>
      <c r="L458" s="375"/>
      <c r="M458" s="622" t="s">
        <v>261</v>
      </c>
      <c r="N458" s="375" t="s">
        <v>262</v>
      </c>
    </row>
    <row r="459" spans="2:16" outlineLevel="1">
      <c r="I459" s="375" t="s">
        <v>2829</v>
      </c>
      <c r="J459" s="375"/>
      <c r="K459" s="375"/>
      <c r="L459" s="623">
        <v>700200</v>
      </c>
      <c r="M459" s="121">
        <f>+N454</f>
        <v>1273264.125</v>
      </c>
      <c r="N459" s="6"/>
    </row>
    <row r="460" spans="2:16" outlineLevel="1">
      <c r="I460" s="375" t="s">
        <v>2829</v>
      </c>
      <c r="J460" s="375"/>
      <c r="K460" s="375"/>
      <c r="L460" s="623">
        <v>310800</v>
      </c>
      <c r="M460" s="6"/>
      <c r="N460" s="121">
        <f>+N454</f>
        <v>1273264.125</v>
      </c>
    </row>
    <row r="461" spans="2:16" outlineLevel="1">
      <c r="I461" s="375" t="s">
        <v>2830</v>
      </c>
      <c r="J461" s="375"/>
      <c r="K461" s="375"/>
      <c r="L461" s="623">
        <v>310800</v>
      </c>
      <c r="M461" s="6"/>
      <c r="N461" s="121">
        <f>+J454</f>
        <v>1030662.875</v>
      </c>
    </row>
    <row r="462" spans="2:16" outlineLevel="1">
      <c r="C462" s="237"/>
      <c r="I462" s="375" t="s">
        <v>2831</v>
      </c>
      <c r="J462" s="375"/>
      <c r="K462" s="375"/>
      <c r="L462" s="623">
        <v>310700</v>
      </c>
      <c r="M462" s="6"/>
      <c r="N462" s="121">
        <f>+L454</f>
        <v>705939.96250000002</v>
      </c>
    </row>
    <row r="463" spans="2:16" outlineLevel="1">
      <c r="C463" s="237"/>
      <c r="I463" s="375" t="s">
        <v>2832</v>
      </c>
      <c r="J463" s="375"/>
      <c r="K463" s="375"/>
      <c r="L463" s="623">
        <v>311000</v>
      </c>
      <c r="M463" s="6"/>
      <c r="N463" s="121">
        <f>+M454</f>
        <v>7753459.6625000006</v>
      </c>
    </row>
    <row r="464" spans="2:16" outlineLevel="1">
      <c r="C464" s="237"/>
      <c r="I464" s="375" t="s">
        <v>2833</v>
      </c>
      <c r="J464" s="375"/>
      <c r="K464" s="375"/>
      <c r="L464" s="623">
        <v>700100</v>
      </c>
      <c r="M464" s="614">
        <f>+N463+N462+N461</f>
        <v>9490062.5</v>
      </c>
      <c r="N464" s="375"/>
    </row>
    <row r="465" spans="2:15">
      <c r="B465" s="23" t="s">
        <v>2857</v>
      </c>
      <c r="C465" s="237"/>
    </row>
    <row r="466" spans="2:15">
      <c r="C466" s="237"/>
    </row>
    <row r="467" spans="2:15">
      <c r="C467" s="237"/>
      <c r="E467" s="238" t="s">
        <v>2502</v>
      </c>
      <c r="F467" s="79">
        <f>+F340</f>
        <v>44440000</v>
      </c>
      <c r="G467" s="79"/>
      <c r="H467" s="79"/>
      <c r="I467" s="79">
        <f t="shared" ref="I467:O467" si="159">+I340</f>
        <v>36454180.09109731</v>
      </c>
      <c r="J467" s="79">
        <f t="shared" si="159"/>
        <v>3989711.4290683237</v>
      </c>
      <c r="K467" s="79">
        <f t="shared" si="159"/>
        <v>824716.11428571446</v>
      </c>
      <c r="L467" s="79">
        <f t="shared" si="159"/>
        <v>2421730.7519171843</v>
      </c>
      <c r="M467" s="79">
        <f t="shared" si="159"/>
        <v>30042737.9101118</v>
      </c>
      <c r="N467" s="79">
        <f t="shared" si="159"/>
        <v>4845995.0308902692</v>
      </c>
      <c r="O467" s="79">
        <f t="shared" si="159"/>
        <v>8835706.4599585906</v>
      </c>
    </row>
    <row r="468" spans="2:15">
      <c r="C468" s="237"/>
      <c r="E468" s="238" t="s">
        <v>2614</v>
      </c>
      <c r="F468" s="79">
        <f t="shared" ref="F468:O469" si="160">+F341</f>
        <v>45480000</v>
      </c>
      <c r="G468" s="79"/>
      <c r="H468" s="79"/>
      <c r="I468" s="79">
        <f t="shared" si="160"/>
        <v>41883255.55555556</v>
      </c>
      <c r="J468" s="79">
        <f t="shared" si="160"/>
        <v>4581164.9970370373</v>
      </c>
      <c r="K468" s="79">
        <f t="shared" si="160"/>
        <v>872177.77777777787</v>
      </c>
      <c r="L468" s="79">
        <f t="shared" si="160"/>
        <v>2858031.2780740741</v>
      </c>
      <c r="M468" s="79">
        <f t="shared" si="160"/>
        <v>34444059.280444443</v>
      </c>
      <c r="N468" s="79">
        <f t="shared" si="160"/>
        <v>5558030.1081481483</v>
      </c>
      <c r="O468" s="79">
        <f t="shared" si="160"/>
        <v>10139195.105185185</v>
      </c>
    </row>
    <row r="469" spans="2:15">
      <c r="C469" s="237"/>
      <c r="E469" s="238" t="s">
        <v>2688</v>
      </c>
      <c r="F469" s="79">
        <f t="shared" si="160"/>
        <v>29280000</v>
      </c>
      <c r="G469" s="79"/>
      <c r="H469" s="79"/>
      <c r="I469" s="79">
        <f t="shared" si="160"/>
        <v>27734189.245014243</v>
      </c>
      <c r="J469" s="79">
        <f t="shared" si="160"/>
        <v>3021458.6659544157</v>
      </c>
      <c r="K469" s="79">
        <f t="shared" si="160"/>
        <v>533333.33333333349</v>
      </c>
      <c r="L469" s="79">
        <f t="shared" si="160"/>
        <v>1937939.7245726495</v>
      </c>
      <c r="M469" s="79">
        <f t="shared" si="160"/>
        <v>22774790.854487181</v>
      </c>
      <c r="N469" s="79">
        <f t="shared" si="160"/>
        <v>3746542.450854701</v>
      </c>
      <c r="O469" s="79">
        <f t="shared" si="160"/>
        <v>6768001.1168091167</v>
      </c>
    </row>
    <row r="470" spans="2:15">
      <c r="C470" s="237"/>
      <c r="E470" s="238" t="s">
        <v>2839</v>
      </c>
      <c r="F470" s="79">
        <f>+F454+F424+F393</f>
        <v>31200000</v>
      </c>
      <c r="G470" s="79"/>
      <c r="H470" s="79"/>
      <c r="I470" s="79">
        <f t="shared" ref="I470:O470" si="161">+I454+I424+I393</f>
        <v>29298379.807692308</v>
      </c>
      <c r="J470" s="79">
        <f t="shared" si="161"/>
        <v>3184521.471153846</v>
      </c>
      <c r="K470" s="79">
        <f t="shared" si="161"/>
        <v>443333.33333333331</v>
      </c>
      <c r="L470" s="79">
        <f t="shared" si="161"/>
        <v>2168052.5003205128</v>
      </c>
      <c r="M470" s="79">
        <f t="shared" si="161"/>
        <v>23945805.836217951</v>
      </c>
      <c r="N470" s="79">
        <f t="shared" si="161"/>
        <v>3916889.067307692</v>
      </c>
      <c r="O470" s="79">
        <f t="shared" si="161"/>
        <v>7101410.538461538</v>
      </c>
    </row>
    <row r="471" spans="2:15" s="23" customFormat="1">
      <c r="C471" s="512"/>
      <c r="E471" s="23" t="s">
        <v>941</v>
      </c>
      <c r="F471" s="842">
        <f>SUM(F467:F470)</f>
        <v>150400000</v>
      </c>
      <c r="G471" s="842"/>
      <c r="H471" s="842"/>
      <c r="I471" s="842">
        <f t="shared" ref="I471:O471" si="162">SUM(I467:I470)</f>
        <v>135370004.69935945</v>
      </c>
      <c r="J471" s="842">
        <f t="shared" si="162"/>
        <v>14776856.563213622</v>
      </c>
      <c r="K471" s="842">
        <f t="shared" si="162"/>
        <v>2673560.5587301594</v>
      </c>
      <c r="L471" s="842">
        <f t="shared" si="162"/>
        <v>9385754.25488442</v>
      </c>
      <c r="M471" s="842">
        <f t="shared" si="162"/>
        <v>111207393.88126138</v>
      </c>
      <c r="N471" s="842">
        <f t="shared" si="162"/>
        <v>18067456.65720081</v>
      </c>
      <c r="O471" s="842">
        <f t="shared" si="162"/>
        <v>32844313.22041443</v>
      </c>
    </row>
    <row r="472" spans="2:15" s="23" customFormat="1">
      <c r="C472" s="512"/>
      <c r="F472" s="842"/>
      <c r="G472" s="842"/>
      <c r="H472" s="842"/>
      <c r="I472" s="842">
        <f>+'TT-11(1)'!H212</f>
        <v>135370004.69935939</v>
      </c>
      <c r="J472" s="842">
        <f>+'TT-11(1)'!I212</f>
        <v>14776856.56321362</v>
      </c>
      <c r="K472" s="842">
        <f>+'TT-11(1)'!L212</f>
        <v>2673560.5587301585</v>
      </c>
      <c r="L472" s="842">
        <f>+'TT-11(1)'!M212</f>
        <v>9385754.2548844218</v>
      </c>
      <c r="M472" s="842">
        <f>+'TT-11(1)'!H212-'TT-11(1)'!I212-'TT-11(1)'!M212</f>
        <v>111207393.88126135</v>
      </c>
      <c r="N472" s="842"/>
      <c r="O472" s="842"/>
    </row>
    <row r="473" spans="2:15">
      <c r="C473" s="237"/>
      <c r="I473" s="79">
        <f>+I471-I472</f>
        <v>0</v>
      </c>
      <c r="J473" s="79">
        <f t="shared" ref="J473:O473" si="163">+J471-J472</f>
        <v>0</v>
      </c>
      <c r="K473" s="79">
        <f t="shared" si="163"/>
        <v>0</v>
      </c>
      <c r="L473" s="79">
        <f t="shared" si="163"/>
        <v>0</v>
      </c>
      <c r="M473" s="79">
        <f t="shared" si="163"/>
        <v>0</v>
      </c>
      <c r="N473" s="79">
        <f t="shared" si="163"/>
        <v>18067456.65720081</v>
      </c>
      <c r="O473" s="79">
        <f t="shared" si="163"/>
        <v>32844313.22041443</v>
      </c>
    </row>
    <row r="474" spans="2:15">
      <c r="C474" s="237"/>
    </row>
    <row r="475" spans="2:15">
      <c r="C475" s="237"/>
    </row>
    <row r="476" spans="2:15">
      <c r="C476" s="237"/>
    </row>
    <row r="477" spans="2:15">
      <c r="C477" s="237"/>
      <c r="H477" s="989">
        <f>+H444+H445+H446+H447+H448+H449+H450+H451+H452+H453+H442+H443</f>
        <v>311666.66666666669</v>
      </c>
      <c r="I477" s="989">
        <f t="shared" ref="I477:O477" si="164">+I444+I445+I446+I447+I448+I449+I450+I451+I452+I453+I442+I443</f>
        <v>6890062.5</v>
      </c>
      <c r="J477" s="989">
        <f t="shared" si="164"/>
        <v>744662.875</v>
      </c>
      <c r="K477" s="989" t="e">
        <f t="shared" si="164"/>
        <v>#VALUE!</v>
      </c>
      <c r="L477" s="989">
        <f t="shared" si="164"/>
        <v>494539.96249999997</v>
      </c>
      <c r="M477" s="989">
        <f t="shared" si="164"/>
        <v>5650859.6624999996</v>
      </c>
      <c r="N477" s="989">
        <f t="shared" si="164"/>
        <v>935264.125</v>
      </c>
      <c r="O477" s="989">
        <f t="shared" si="164"/>
        <v>1679927</v>
      </c>
    </row>
    <row r="478" spans="2:15">
      <c r="C478" s="237"/>
      <c r="H478" s="989">
        <f>+H414+H415+H416+H417+H418+H419+H420+H421+H422+H423+H413+H412</f>
        <v>301666.66666666669</v>
      </c>
      <c r="I478" s="989">
        <f t="shared" ref="I478:O478" si="165">+I414+I415+I416+I417+I418+I419+I420+I421+I422+I423+I413+I412</f>
        <v>6531125</v>
      </c>
      <c r="J478" s="989">
        <f t="shared" si="165"/>
        <v>706323.75</v>
      </c>
      <c r="K478" s="989" t="e">
        <f t="shared" si="165"/>
        <v>#VALUE!</v>
      </c>
      <c r="L478" s="989">
        <f t="shared" si="165"/>
        <v>462480.125</v>
      </c>
      <c r="M478" s="989">
        <f t="shared" si="165"/>
        <v>5362321.125</v>
      </c>
      <c r="N478" s="989">
        <f t="shared" si="165"/>
        <v>899346.25</v>
      </c>
      <c r="O478" s="989">
        <f t="shared" si="165"/>
        <v>1605670</v>
      </c>
    </row>
    <row r="479" spans="2:15">
      <c r="C479" s="237"/>
      <c r="H479" s="79">
        <f>+H382+H383+H384+H385+H386+H387+H388+H389+H390+H391+H392+H381+H380</f>
        <v>315384.61538461532</v>
      </c>
      <c r="I479" s="79">
        <f t="shared" ref="I479:O479" si="166">+I382+I383+I384+I385+I386+I387+I388+I389+I390+I391+I392+I381+I380</f>
        <v>8077192.307692308</v>
      </c>
      <c r="J479" s="79">
        <f t="shared" si="166"/>
        <v>875534.84615384624</v>
      </c>
      <c r="K479" s="79" t="e">
        <f t="shared" si="166"/>
        <v>#VALUE!</v>
      </c>
      <c r="L479" s="79">
        <f t="shared" si="166"/>
        <v>576832.41282051289</v>
      </c>
      <c r="M479" s="79">
        <f t="shared" si="166"/>
        <v>6624825.0487179495</v>
      </c>
      <c r="N479" s="79">
        <f t="shared" si="166"/>
        <v>1068278.6923076923</v>
      </c>
      <c r="O479" s="79">
        <f t="shared" si="166"/>
        <v>1943813.5384615385</v>
      </c>
    </row>
    <row r="480" spans="2:15">
      <c r="C480" s="237"/>
      <c r="I480" s="989">
        <f>+I479+I478+I477</f>
        <v>21498379.807692308</v>
      </c>
      <c r="N480" s="989">
        <f>+N479+N478+N477</f>
        <v>2902889.067307692</v>
      </c>
    </row>
    <row r="481" spans="3:3">
      <c r="C481" s="237"/>
    </row>
    <row r="482" spans="3:3">
      <c r="C482" s="237"/>
    </row>
    <row r="483" spans="3:3">
      <c r="C483" s="237"/>
    </row>
    <row r="484" spans="3:3">
      <c r="C484" s="237"/>
    </row>
    <row r="485" spans="3:3">
      <c r="C485" s="237"/>
    </row>
    <row r="486" spans="3:3">
      <c r="C486" s="237"/>
    </row>
    <row r="487" spans="3:3">
      <c r="C487" s="237"/>
    </row>
    <row r="488" spans="3:3">
      <c r="C488" s="237"/>
    </row>
    <row r="489" spans="3:3">
      <c r="C489" s="237"/>
    </row>
    <row r="490" spans="3:3">
      <c r="C490" s="237"/>
    </row>
    <row r="491" spans="3:3">
      <c r="C491" s="237"/>
    </row>
    <row r="492" spans="3:3">
      <c r="C492" s="237"/>
    </row>
    <row r="493" spans="3:3">
      <c r="C493" s="237"/>
    </row>
    <row r="494" spans="3:3">
      <c r="C494" s="237"/>
    </row>
    <row r="495" spans="3:3">
      <c r="C495" s="237"/>
    </row>
    <row r="496" spans="3:3">
      <c r="C496" s="237"/>
    </row>
    <row r="497" spans="3:3">
      <c r="C497" s="237"/>
    </row>
    <row r="498" spans="3:3">
      <c r="C498" s="237"/>
    </row>
    <row r="499" spans="3:3">
      <c r="C499" s="237">
        <f>+C373</f>
        <v>0</v>
      </c>
    </row>
  </sheetData>
  <mergeCells count="172">
    <mergeCell ref="K438:L438"/>
    <mergeCell ref="M438:M439"/>
    <mergeCell ref="N438:N439"/>
    <mergeCell ref="O438:O439"/>
    <mergeCell ref="B454:E454"/>
    <mergeCell ref="B438:B439"/>
    <mergeCell ref="C438:C439"/>
    <mergeCell ref="D438:D439"/>
    <mergeCell ref="E438:E439"/>
    <mergeCell ref="F438:F439"/>
    <mergeCell ref="G438:G439"/>
    <mergeCell ref="H438:H439"/>
    <mergeCell ref="I438:I439"/>
    <mergeCell ref="J438:J439"/>
    <mergeCell ref="K376:L376"/>
    <mergeCell ref="M376:M377"/>
    <mergeCell ref="N376:N377"/>
    <mergeCell ref="O376:O377"/>
    <mergeCell ref="B393:E393"/>
    <mergeCell ref="B376:B377"/>
    <mergeCell ref="C376:C377"/>
    <mergeCell ref="D376:D377"/>
    <mergeCell ref="E376:E377"/>
    <mergeCell ref="F376:F377"/>
    <mergeCell ref="G376:G377"/>
    <mergeCell ref="H376:H377"/>
    <mergeCell ref="I376:I377"/>
    <mergeCell ref="J376:J377"/>
    <mergeCell ref="O80:O81"/>
    <mergeCell ref="B119:B120"/>
    <mergeCell ref="C119:C120"/>
    <mergeCell ref="D119:D120"/>
    <mergeCell ref="E119:E120"/>
    <mergeCell ref="F119:F120"/>
    <mergeCell ref="G119:G120"/>
    <mergeCell ref="H119:H120"/>
    <mergeCell ref="I119:I120"/>
    <mergeCell ref="J119:J120"/>
    <mergeCell ref="K119:L119"/>
    <mergeCell ref="M119:M120"/>
    <mergeCell ref="N119:N120"/>
    <mergeCell ref="O119:O120"/>
    <mergeCell ref="I80:I81"/>
    <mergeCell ref="J80:J81"/>
    <mergeCell ref="J42:J43"/>
    <mergeCell ref="K42:L42"/>
    <mergeCell ref="K80:L80"/>
    <mergeCell ref="M80:M81"/>
    <mergeCell ref="N80:N81"/>
    <mergeCell ref="D80:D81"/>
    <mergeCell ref="E80:E81"/>
    <mergeCell ref="F80:F81"/>
    <mergeCell ref="G80:G81"/>
    <mergeCell ref="H80:H81"/>
    <mergeCell ref="B30:E30"/>
    <mergeCell ref="B68:E68"/>
    <mergeCell ref="B106:E106"/>
    <mergeCell ref="B145:E145"/>
    <mergeCell ref="K4:L4"/>
    <mergeCell ref="J4:J5"/>
    <mergeCell ref="I4:I5"/>
    <mergeCell ref="H4:H5"/>
    <mergeCell ref="G4:G5"/>
    <mergeCell ref="F4:F5"/>
    <mergeCell ref="E4:E5"/>
    <mergeCell ref="D4:D5"/>
    <mergeCell ref="C4:C5"/>
    <mergeCell ref="B4:B5"/>
    <mergeCell ref="B80:B81"/>
    <mergeCell ref="C80:C81"/>
    <mergeCell ref="B42:B43"/>
    <mergeCell ref="C42:C43"/>
    <mergeCell ref="D42:D43"/>
    <mergeCell ref="E42:E43"/>
    <mergeCell ref="F42:F43"/>
    <mergeCell ref="G42:G43"/>
    <mergeCell ref="H42:H43"/>
    <mergeCell ref="I42:I43"/>
    <mergeCell ref="J200:J201"/>
    <mergeCell ref="K200:L200"/>
    <mergeCell ref="B200:B201"/>
    <mergeCell ref="C200:C201"/>
    <mergeCell ref="D200:D201"/>
    <mergeCell ref="E200:E201"/>
    <mergeCell ref="F200:F201"/>
    <mergeCell ref="B187:E187"/>
    <mergeCell ref="G159:G160"/>
    <mergeCell ref="H159:H160"/>
    <mergeCell ref="I159:I160"/>
    <mergeCell ref="J159:J160"/>
    <mergeCell ref="K159:L159"/>
    <mergeCell ref="B159:B160"/>
    <mergeCell ref="C159:C160"/>
    <mergeCell ref="D159:D160"/>
    <mergeCell ref="E159:E160"/>
    <mergeCell ref="F159:F160"/>
    <mergeCell ref="C244:C245"/>
    <mergeCell ref="D244:D245"/>
    <mergeCell ref="E244:E245"/>
    <mergeCell ref="F244:F245"/>
    <mergeCell ref="T1:U1"/>
    <mergeCell ref="W1:X1"/>
    <mergeCell ref="Y1:Z1"/>
    <mergeCell ref="T16:U16"/>
    <mergeCell ref="M200:M201"/>
    <mergeCell ref="N200:N201"/>
    <mergeCell ref="O200:O201"/>
    <mergeCell ref="M159:M160"/>
    <mergeCell ref="N159:N160"/>
    <mergeCell ref="O159:O160"/>
    <mergeCell ref="M4:M5"/>
    <mergeCell ref="N4:N5"/>
    <mergeCell ref="O4:O5"/>
    <mergeCell ref="M42:M43"/>
    <mergeCell ref="N42:N43"/>
    <mergeCell ref="O42:O43"/>
    <mergeCell ref="B228:E228"/>
    <mergeCell ref="G200:G201"/>
    <mergeCell ref="H200:H201"/>
    <mergeCell ref="I200:I201"/>
    <mergeCell ref="O277:O278"/>
    <mergeCell ref="B296:E296"/>
    <mergeCell ref="M244:M245"/>
    <mergeCell ref="N244:N245"/>
    <mergeCell ref="O244:O245"/>
    <mergeCell ref="B263:E263"/>
    <mergeCell ref="B277:B278"/>
    <mergeCell ref="C277:C278"/>
    <mergeCell ref="D277:D278"/>
    <mergeCell ref="E277:E278"/>
    <mergeCell ref="F277:F278"/>
    <mergeCell ref="G277:G278"/>
    <mergeCell ref="H277:H278"/>
    <mergeCell ref="I277:I278"/>
    <mergeCell ref="J277:J278"/>
    <mergeCell ref="K277:L277"/>
    <mergeCell ref="M277:M278"/>
    <mergeCell ref="N277:N278"/>
    <mergeCell ref="G244:G245"/>
    <mergeCell ref="H244:H245"/>
    <mergeCell ref="I244:I245"/>
    <mergeCell ref="J244:J245"/>
    <mergeCell ref="K244:L244"/>
    <mergeCell ref="B244:B245"/>
    <mergeCell ref="K310:L310"/>
    <mergeCell ref="M310:M311"/>
    <mergeCell ref="N310:N311"/>
    <mergeCell ref="O310:O311"/>
    <mergeCell ref="B328:E328"/>
    <mergeCell ref="B310:B311"/>
    <mergeCell ref="C310:C311"/>
    <mergeCell ref="D310:D311"/>
    <mergeCell ref="E310:E311"/>
    <mergeCell ref="F310:F311"/>
    <mergeCell ref="G310:G311"/>
    <mergeCell ref="H310:H311"/>
    <mergeCell ref="I310:I311"/>
    <mergeCell ref="J310:J311"/>
    <mergeCell ref="K408:L408"/>
    <mergeCell ref="M408:M409"/>
    <mergeCell ref="N408:N409"/>
    <mergeCell ref="O408:O409"/>
    <mergeCell ref="B424:E424"/>
    <mergeCell ref="B408:B409"/>
    <mergeCell ref="C408:C409"/>
    <mergeCell ref="D408:D409"/>
    <mergeCell ref="E408:E409"/>
    <mergeCell ref="F408:F409"/>
    <mergeCell ref="G408:G409"/>
    <mergeCell ref="H408:H409"/>
    <mergeCell ref="I408:I409"/>
    <mergeCell ref="J408:J409"/>
  </mergeCells>
  <pageMargins left="0.7" right="0.28000000000000003" top="0.75" bottom="0.75" header="0.3" footer="0.3"/>
  <pageSetup scale="80" fitToHeight="0" orientation="landscape" horizontalDpi="0" verticalDpi="0" r:id="rId1"/>
  <ignoredErrors>
    <ignoredError sqref="J13 J15 N15 J53" formula="1"/>
  </ignoredErrors>
</worksheet>
</file>

<file path=xl/worksheets/sheet13.xml><?xml version="1.0" encoding="utf-8"?>
<worksheet xmlns="http://schemas.openxmlformats.org/spreadsheetml/2006/main" xmlns:r="http://schemas.openxmlformats.org/officeDocument/2006/relationships">
  <sheetPr>
    <tabColor rgb="FF00B0F0"/>
    <pageSetUpPr fitToPage="1"/>
  </sheetPr>
  <dimension ref="A1:AV223"/>
  <sheetViews>
    <sheetView workbookViewId="0">
      <pane xSplit="4" ySplit="3" topLeftCell="P37" activePane="bottomRight" state="frozen"/>
      <selection activeCell="W113" sqref="W113"/>
      <selection pane="topRight" activeCell="W113" sqref="W113"/>
      <selection pane="bottomLeft" activeCell="W113" sqref="W113"/>
      <selection pane="bottomRight" activeCell="A52" sqref="A52:XFD52"/>
    </sheetView>
  </sheetViews>
  <sheetFormatPr defaultRowHeight="12.75" customHeight="1"/>
  <cols>
    <col min="1" max="1" width="5.85546875" style="1" customWidth="1"/>
    <col min="2" max="2" width="3.85546875" style="1" customWidth="1"/>
    <col min="3" max="3" width="7.5703125" style="1" customWidth="1"/>
    <col min="4" max="4" width="36.7109375" style="1" customWidth="1"/>
    <col min="5" max="5" width="8.42578125" style="2" customWidth="1"/>
    <col min="6" max="6" width="12" style="1" bestFit="1" customWidth="1"/>
    <col min="7" max="7" width="11.140625" style="81" bestFit="1" customWidth="1"/>
    <col min="8" max="8" width="17.5703125" style="1" bestFit="1" customWidth="1"/>
    <col min="9" max="9" width="15.42578125" style="1" bestFit="1" customWidth="1"/>
    <col min="10" max="10" width="15" style="1" customWidth="1"/>
    <col min="11" max="11" width="15.140625" style="1" customWidth="1"/>
    <col min="12" max="13" width="14.28515625" style="1" bestFit="1" customWidth="1"/>
    <col min="14" max="14" width="13" style="1" customWidth="1"/>
    <col min="15" max="15" width="12.85546875" style="1" bestFit="1" customWidth="1"/>
    <col min="16" max="17" width="8.85546875" style="1" customWidth="1"/>
    <col min="18" max="19" width="14.28515625" style="1" bestFit="1" customWidth="1"/>
    <col min="20" max="20" width="15.42578125" style="1" customWidth="1"/>
    <col min="21" max="21" width="13" style="1" customWidth="1"/>
    <col min="22" max="22" width="15" style="1" bestFit="1" customWidth="1"/>
    <col min="23" max="23" width="14.28515625" style="1" bestFit="1" customWidth="1"/>
    <col min="24" max="27" width="6.28515625" style="1" customWidth="1"/>
    <col min="28" max="28" width="5.85546875" style="1" customWidth="1"/>
    <col min="29" max="29" width="9.28515625" style="1" hidden="1" customWidth="1"/>
    <col min="30" max="30" width="7.5703125" style="21" hidden="1" customWidth="1"/>
    <col min="31" max="31" width="11.140625" style="21" hidden="1" customWidth="1"/>
    <col min="32" max="32" width="9.140625" style="21" hidden="1" customWidth="1"/>
    <col min="33" max="33" width="14" style="1" hidden="1" customWidth="1"/>
    <col min="34" max="34" width="9.140625" style="1" hidden="1" customWidth="1"/>
    <col min="35" max="35" width="14" style="81" bestFit="1" customWidth="1"/>
    <col min="36" max="36" width="16.42578125" style="410" bestFit="1" customWidth="1"/>
    <col min="37" max="37" width="15.7109375" style="410" bestFit="1" customWidth="1"/>
    <col min="38" max="39" width="17.28515625" style="410" bestFit="1" customWidth="1"/>
    <col min="40" max="40" width="14.28515625" style="410" bestFit="1" customWidth="1"/>
    <col min="41" max="41" width="14" style="410" bestFit="1" customWidth="1"/>
    <col min="42" max="48" width="9.140625" style="410"/>
    <col min="49" max="16384" width="9.140625" style="1"/>
  </cols>
  <sheetData>
    <row r="1" spans="1:39" ht="12.75" customHeight="1">
      <c r="B1" s="96">
        <f>COUNT(B4:B5966)</f>
        <v>212</v>
      </c>
      <c r="C1" s="266" t="s">
        <v>1319</v>
      </c>
      <c r="E1" s="33"/>
      <c r="F1" s="113" t="s">
        <v>43</v>
      </c>
      <c r="G1" s="311"/>
      <c r="H1" s="115">
        <v>43101</v>
      </c>
      <c r="I1" s="115">
        <v>43190</v>
      </c>
      <c r="K1" s="83">
        <f>+JURNAL!D2</f>
        <v>0</v>
      </c>
      <c r="U1" s="83"/>
      <c r="V1" s="83"/>
      <c r="W1" s="83"/>
    </row>
    <row r="2" spans="1:39" ht="12.75" customHeight="1">
      <c r="B2" s="60" t="s">
        <v>12</v>
      </c>
      <c r="C2" s="61" t="s">
        <v>13</v>
      </c>
      <c r="D2" s="61" t="s">
        <v>13</v>
      </c>
      <c r="E2" s="61" t="s">
        <v>29</v>
      </c>
      <c r="F2" s="62"/>
      <c r="G2" s="312"/>
      <c r="H2" s="1041" t="s">
        <v>14</v>
      </c>
      <c r="I2" s="1041"/>
      <c r="J2" s="1041" t="s">
        <v>34</v>
      </c>
      <c r="K2" s="1041"/>
      <c r="L2" s="1041" t="s">
        <v>35</v>
      </c>
      <c r="M2" s="1041"/>
      <c r="N2" s="1041" t="s">
        <v>36</v>
      </c>
      <c r="O2" s="1041"/>
      <c r="P2" s="62"/>
      <c r="Q2" s="62"/>
      <c r="R2" s="1041" t="s">
        <v>15</v>
      </c>
      <c r="S2" s="1041"/>
      <c r="T2" s="1041" t="s">
        <v>37</v>
      </c>
      <c r="U2" s="1041"/>
      <c r="V2" s="1041" t="s">
        <v>38</v>
      </c>
      <c r="W2" s="1041"/>
      <c r="X2" s="60" t="s">
        <v>0</v>
      </c>
      <c r="Y2" s="60" t="s">
        <v>0</v>
      </c>
      <c r="Z2" s="60" t="s">
        <v>0</v>
      </c>
      <c r="AA2" s="60"/>
    </row>
    <row r="3" spans="1:39" ht="12.75" customHeight="1">
      <c r="B3" s="60"/>
      <c r="C3" s="61" t="s">
        <v>16</v>
      </c>
      <c r="D3" s="61" t="s">
        <v>27</v>
      </c>
      <c r="E3" s="61" t="s">
        <v>28</v>
      </c>
      <c r="F3" s="63" t="s">
        <v>25</v>
      </c>
      <c r="G3" s="313" t="s">
        <v>26</v>
      </c>
      <c r="H3" s="61" t="s">
        <v>17</v>
      </c>
      <c r="I3" s="61" t="s">
        <v>18</v>
      </c>
      <c r="J3" s="61" t="s">
        <v>17</v>
      </c>
      <c r="K3" s="61" t="s">
        <v>18</v>
      </c>
      <c r="L3" s="61" t="s">
        <v>17</v>
      </c>
      <c r="M3" s="61" t="s">
        <v>18</v>
      </c>
      <c r="N3" s="61" t="s">
        <v>17</v>
      </c>
      <c r="O3" s="61" t="s">
        <v>18</v>
      </c>
      <c r="P3" s="63" t="s">
        <v>25</v>
      </c>
      <c r="Q3" s="63" t="s">
        <v>26</v>
      </c>
      <c r="R3" s="61" t="s">
        <v>17</v>
      </c>
      <c r="S3" s="61" t="s">
        <v>18</v>
      </c>
      <c r="T3" s="61" t="s">
        <v>17</v>
      </c>
      <c r="U3" s="61" t="s">
        <v>18</v>
      </c>
      <c r="V3" s="61" t="s">
        <v>17</v>
      </c>
      <c r="W3" s="61" t="s">
        <v>18</v>
      </c>
      <c r="X3" s="60" t="s">
        <v>281</v>
      </c>
      <c r="Y3" s="64" t="s">
        <v>282</v>
      </c>
      <c r="Z3" s="60" t="s">
        <v>19</v>
      </c>
      <c r="AA3" s="60"/>
    </row>
    <row r="4" spans="1:39" ht="12.75" customHeight="1">
      <c r="A4" s="24"/>
      <c r="B4" s="108">
        <v>1</v>
      </c>
      <c r="C4" s="5">
        <v>100100</v>
      </c>
      <c r="D4" s="122" t="s">
        <v>888</v>
      </c>
      <c r="E4" s="9" t="s">
        <v>32</v>
      </c>
      <c r="F4" s="6"/>
      <c r="G4" s="6"/>
      <c r="H4" s="121">
        <v>289723810.94</v>
      </c>
      <c r="I4" s="121">
        <v>0</v>
      </c>
      <c r="J4" s="11">
        <f>+SUMIFS(JURNAL!G:G,JURNAL!E:E,C4,JURNAL!C:C,"&gt;="&amp;$H$1,JURNAL!C:C,"&lt;="&amp;$I$1)</f>
        <v>13631410</v>
      </c>
      <c r="K4" s="11">
        <f>+SUMIFS(JURNAL!H:H,JURNAL!E:E,C4,JURNAL!C:C,"&gt;="&amp;$H$1,JURNAL!C:C,"&lt;="&amp;$I$1)</f>
        <v>103772502.9101118</v>
      </c>
      <c r="L4" s="26">
        <f>+IF((H4+J4)&gt;(I4+K4),(H4+J4)-(I4+K4),0)</f>
        <v>199582718.02988821</v>
      </c>
      <c r="M4" s="27">
        <f>+IF((H4+J4)&lt;(I4+K4),(I4+K4)-(H4+J4),0)</f>
        <v>0</v>
      </c>
      <c r="N4" s="11"/>
      <c r="O4" s="190"/>
      <c r="P4" s="11"/>
      <c r="Q4" s="11"/>
      <c r="R4" s="26">
        <f>+IF((L4+N4)&gt;(M4+O4),(L4+N4)-(M4+O4),0)</f>
        <v>199582718.02988821</v>
      </c>
      <c r="S4" s="27">
        <f>+IF((L4+N4)&lt;(M4+O4),(M4+O4)-(L4+N4),0)</f>
        <v>0</v>
      </c>
      <c r="T4" s="11"/>
      <c r="U4" s="11"/>
      <c r="V4" s="26">
        <f>+IF((R4+T4)&gt;(S4+U4),(R4+T4)-(S4+U4),0)</f>
        <v>199582718.02988821</v>
      </c>
      <c r="W4" s="27">
        <f>+IF((R4+T4)&lt;(S4+U4),(S4+U4)-(R4+T4),0)</f>
        <v>0</v>
      </c>
      <c r="X4" s="4">
        <v>1101</v>
      </c>
      <c r="Y4" s="4"/>
      <c r="Z4" s="6"/>
      <c r="AA4" s="12">
        <f>+IF(H4+I4+J4+K4+L4+M4+N4+O4+R4+S4+T4+U4+V4+W4,1,0)</f>
        <v>1</v>
      </c>
      <c r="AC4" s="122" t="s">
        <v>888</v>
      </c>
      <c r="AD4" s="21" t="str">
        <f>+RIGHT(AC4,6)</f>
        <v>гө MNT</v>
      </c>
      <c r="AE4" s="79"/>
      <c r="AJ4" s="411"/>
      <c r="AK4" s="411"/>
      <c r="AL4" s="411"/>
      <c r="AM4" s="411"/>
    </row>
    <row r="5" spans="1:39" ht="12.75" customHeight="1">
      <c r="A5" s="24"/>
      <c r="B5" s="108">
        <f>+B4+1</f>
        <v>2</v>
      </c>
      <c r="C5" s="3">
        <v>100200</v>
      </c>
      <c r="D5" s="122" t="s">
        <v>943</v>
      </c>
      <c r="E5" s="9" t="s">
        <v>30</v>
      </c>
      <c r="F5" s="121">
        <v>5645.1</v>
      </c>
      <c r="G5" s="121">
        <v>2427.13</v>
      </c>
      <c r="H5" s="121">
        <v>13701391.560000001</v>
      </c>
      <c r="I5" s="121">
        <v>0</v>
      </c>
      <c r="J5" s="11">
        <f>+SUMIFS(JURNAL!G:G,JURNAL!E:E,C5,JURNAL!C:C,"&gt;="&amp;$H$1,JURNAL!C:C,"&lt;="&amp;$I$1)</f>
        <v>0</v>
      </c>
      <c r="K5" s="11">
        <f>+SUMIFS(JURNAL!H:H,JURNAL!E:E,C5,JURNAL!C:C,"&gt;="&amp;$H$1,JURNAL!C:C,"&lt;="&amp;$I$1)</f>
        <v>0</v>
      </c>
      <c r="L5" s="26">
        <f t="shared" ref="L5:L68" si="0">+IF((H5+J5)&gt;(I5+K5),(H5+J5)-(I5+K5),0)</f>
        <v>13701391.560000001</v>
      </c>
      <c r="M5" s="27">
        <f t="shared" ref="M5:M68" si="1">+IF((H5+J5)&lt;(I5+K5),(I5+K5)-(H5+J5),0)</f>
        <v>0</v>
      </c>
      <c r="N5" s="11"/>
      <c r="O5" s="27"/>
      <c r="P5" s="11"/>
      <c r="Q5" s="11"/>
      <c r="R5" s="26">
        <f t="shared" ref="R5:R68" si="2">+IF((L5+N5)&gt;(M5+O5),(L5+N5)-(M5+O5),0)</f>
        <v>13701391.560000001</v>
      </c>
      <c r="S5" s="27">
        <f t="shared" ref="S5:S68" si="3">+IF((L5+N5)&lt;(M5+O5),(M5+O5)-(L5+N5),0)</f>
        <v>0</v>
      </c>
      <c r="T5" s="11"/>
      <c r="U5" s="11"/>
      <c r="V5" s="26">
        <f t="shared" ref="V5:V68" si="4">+IF((R5+T5)&gt;(S5+U5),(R5+T5)-(S5+U5),0)</f>
        <v>13701391.560000001</v>
      </c>
      <c r="W5" s="27">
        <f t="shared" ref="W5:W68" si="5">+IF((R5+T5)&lt;(S5+U5),(S5+U5)-(R5+T5),0)</f>
        <v>0</v>
      </c>
      <c r="X5" s="4">
        <v>1101</v>
      </c>
      <c r="Y5" s="4"/>
      <c r="Z5" s="4"/>
      <c r="AA5" s="12">
        <f t="shared" ref="AA5:AA68" si="6">+IF(H5+I5+J5+K5+L5+M5+N5+O5+R5+S5+T5+U5+V5+W5,1,0)</f>
        <v>1</v>
      </c>
      <c r="AC5" s="122" t="s">
        <v>324</v>
      </c>
      <c r="AD5" s="21" t="str">
        <f>+RIGHT(AC5,8)</f>
        <v>D-100200</v>
      </c>
      <c r="AE5" s="79" t="str">
        <f>+LEFT(AD5,1)</f>
        <v>D</v>
      </c>
      <c r="AF5" s="21" t="str">
        <f>+SUBSTITUTE(AC5,AD5,AE5)</f>
        <v>Касс мөнгө USD</v>
      </c>
      <c r="AJ5" s="411"/>
      <c r="AK5" s="411"/>
      <c r="AL5" s="411"/>
      <c r="AM5" s="411"/>
    </row>
    <row r="6" spans="1:39" ht="12.75" customHeight="1">
      <c r="A6" s="24"/>
      <c r="B6" s="108">
        <f t="shared" ref="B6:B69" si="7">+B5+1</f>
        <v>3</v>
      </c>
      <c r="C6" s="5">
        <v>110100</v>
      </c>
      <c r="D6" s="122" t="s">
        <v>1534</v>
      </c>
      <c r="E6" s="9" t="s">
        <v>32</v>
      </c>
      <c r="F6" s="6"/>
      <c r="G6" s="121"/>
      <c r="H6" s="121">
        <v>43297</v>
      </c>
      <c r="I6" s="121">
        <v>0</v>
      </c>
      <c r="J6" s="11">
        <f>+SUMIFS(JURNAL!G:G,JURNAL!E:E,C6,JURNAL!C:C,"&gt;="&amp;$H$1,JURNAL!C:C,"&lt;="&amp;$I$1)</f>
        <v>64783967</v>
      </c>
      <c r="K6" s="11">
        <f>+SUMIFS(JURNAL!H:H,JURNAL!E:E,C6,JURNAL!C:C,"&gt;="&amp;$H$1,JURNAL!C:C,"&lt;="&amp;$I$1)</f>
        <v>52926315.650000006</v>
      </c>
      <c r="L6" s="26">
        <f t="shared" si="0"/>
        <v>11900948.349999994</v>
      </c>
      <c r="M6" s="27">
        <f t="shared" si="1"/>
        <v>0</v>
      </c>
      <c r="N6" s="11"/>
      <c r="O6" s="27"/>
      <c r="P6" s="11"/>
      <c r="Q6" s="11"/>
      <c r="R6" s="26">
        <f t="shared" si="2"/>
        <v>11900948.349999994</v>
      </c>
      <c r="S6" s="27">
        <f t="shared" si="3"/>
        <v>0</v>
      </c>
      <c r="T6" s="11"/>
      <c r="U6" s="11"/>
      <c r="V6" s="848">
        <f t="shared" si="4"/>
        <v>11900948.349999994</v>
      </c>
      <c r="W6" s="27">
        <f t="shared" si="5"/>
        <v>0</v>
      </c>
      <c r="X6" s="4">
        <v>1101</v>
      </c>
      <c r="Y6" s="4"/>
      <c r="Z6" s="4"/>
      <c r="AA6" s="12">
        <f t="shared" si="6"/>
        <v>1</v>
      </c>
      <c r="AC6" s="122" t="s">
        <v>882</v>
      </c>
      <c r="AD6" s="21" t="str">
        <f t="shared" ref="AD6:AD42" si="8">+RIGHT(AC6,8)</f>
        <v>0-110100</v>
      </c>
      <c r="AE6" s="79" t="str">
        <f t="shared" ref="AE6:AE42" si="9">+LEFT(AD6,1)</f>
        <v>0</v>
      </c>
      <c r="AF6" s="21" t="str">
        <f t="shared" ref="AF6:AF34" si="10">+SUBSTITUTE(AC6,AD6,AE6)</f>
        <v>Хаан Банк 5024654020</v>
      </c>
      <c r="AI6" s="81">
        <v>11900948.35</v>
      </c>
      <c r="AJ6" s="411">
        <f>+AI6-V6</f>
        <v>0</v>
      </c>
      <c r="AK6" s="411"/>
      <c r="AL6" s="411"/>
      <c r="AM6" s="411"/>
    </row>
    <row r="7" spans="1:39" ht="12.75" customHeight="1">
      <c r="A7" s="24"/>
      <c r="B7" s="108">
        <f t="shared" si="7"/>
        <v>4</v>
      </c>
      <c r="C7" s="6">
        <v>110102</v>
      </c>
      <c r="D7" s="122" t="s">
        <v>1535</v>
      </c>
      <c r="E7" s="9" t="s">
        <v>32</v>
      </c>
      <c r="F7" s="6"/>
      <c r="G7" s="6"/>
      <c r="H7" s="121">
        <v>16584.13</v>
      </c>
      <c r="I7" s="121">
        <v>0</v>
      </c>
      <c r="J7" s="11">
        <f>+SUMIFS(JURNAL!G:G,JURNAL!E:E,C7,JURNAL!C:C,"&gt;="&amp;$H$1,JURNAL!C:C,"&lt;="&amp;$I$1)</f>
        <v>0</v>
      </c>
      <c r="K7" s="11">
        <f>+SUMIFS(JURNAL!H:H,JURNAL!E:E,C7,JURNAL!C:C,"&gt;="&amp;$H$1,JURNAL!C:C,"&lt;="&amp;$I$1)</f>
        <v>0</v>
      </c>
      <c r="L7" s="26">
        <f t="shared" si="0"/>
        <v>16584.13</v>
      </c>
      <c r="M7" s="27">
        <f t="shared" si="1"/>
        <v>0</v>
      </c>
      <c r="N7" s="11"/>
      <c r="O7" s="27"/>
      <c r="P7" s="11"/>
      <c r="Q7" s="11"/>
      <c r="R7" s="26">
        <f t="shared" si="2"/>
        <v>16584.13</v>
      </c>
      <c r="S7" s="27">
        <f t="shared" si="3"/>
        <v>0</v>
      </c>
      <c r="T7" s="11"/>
      <c r="U7" s="11"/>
      <c r="V7" s="26">
        <f t="shared" si="4"/>
        <v>16584.13</v>
      </c>
      <c r="W7" s="27">
        <f t="shared" si="5"/>
        <v>0</v>
      </c>
      <c r="X7" s="4">
        <v>1101</v>
      </c>
      <c r="Y7" s="4"/>
      <c r="Z7" s="4"/>
      <c r="AA7" s="12">
        <f t="shared" si="6"/>
        <v>1</v>
      </c>
      <c r="AC7" s="122" t="s">
        <v>883</v>
      </c>
      <c r="AD7" s="21" t="str">
        <f t="shared" si="8"/>
        <v>0-110102</v>
      </c>
      <c r="AE7" s="79" t="str">
        <f t="shared" si="9"/>
        <v>0</v>
      </c>
      <c r="AF7" s="21" t="str">
        <f t="shared" si="10"/>
        <v>ХХБ 406094330</v>
      </c>
      <c r="AJ7" s="411"/>
      <c r="AK7" s="411"/>
      <c r="AL7" s="411"/>
      <c r="AM7" s="411"/>
    </row>
    <row r="8" spans="1:39" ht="12.75" customHeight="1">
      <c r="A8" s="24"/>
      <c r="B8" s="108">
        <f t="shared" si="7"/>
        <v>5</v>
      </c>
      <c r="C8" s="6">
        <v>110103</v>
      </c>
      <c r="D8" s="122" t="s">
        <v>1536</v>
      </c>
      <c r="E8" s="9" t="s">
        <v>32</v>
      </c>
      <c r="F8" s="6"/>
      <c r="G8" s="6"/>
      <c r="H8" s="121">
        <v>88499.17</v>
      </c>
      <c r="I8" s="121">
        <v>0</v>
      </c>
      <c r="J8" s="11">
        <f>+SUMIFS(JURNAL!G:G,JURNAL!E:E,C8,JURNAL!C:C,"&gt;="&amp;$H$1,JURNAL!C:C,"&lt;="&amp;$I$1)</f>
        <v>0</v>
      </c>
      <c r="K8" s="11">
        <f>+SUMIFS(JURNAL!H:H,JURNAL!E:E,C8,JURNAL!C:C,"&gt;="&amp;$H$1,JURNAL!C:C,"&lt;="&amp;$I$1)</f>
        <v>0</v>
      </c>
      <c r="L8" s="26">
        <f t="shared" si="0"/>
        <v>88499.17</v>
      </c>
      <c r="M8" s="27">
        <f t="shared" si="1"/>
        <v>0</v>
      </c>
      <c r="N8" s="11"/>
      <c r="O8" s="27"/>
      <c r="P8" s="11"/>
      <c r="Q8" s="11"/>
      <c r="R8" s="26">
        <f t="shared" si="2"/>
        <v>88499.17</v>
      </c>
      <c r="S8" s="27">
        <f t="shared" si="3"/>
        <v>0</v>
      </c>
      <c r="T8" s="11"/>
      <c r="U8" s="11"/>
      <c r="V8" s="26">
        <f t="shared" si="4"/>
        <v>88499.17</v>
      </c>
      <c r="W8" s="27">
        <f t="shared" si="5"/>
        <v>0</v>
      </c>
      <c r="X8" s="4">
        <v>1101</v>
      </c>
      <c r="Y8" s="4"/>
      <c r="Z8" s="4"/>
      <c r="AA8" s="12">
        <f t="shared" si="6"/>
        <v>1</v>
      </c>
      <c r="AC8" s="122" t="s">
        <v>884</v>
      </c>
      <c r="AD8" s="21" t="str">
        <f t="shared" si="8"/>
        <v>9-110103</v>
      </c>
      <c r="AE8" s="79" t="str">
        <f t="shared" si="9"/>
        <v>9</v>
      </c>
      <c r="AF8" s="21" t="str">
        <f t="shared" si="10"/>
        <v>Хас Банк 5000558299</v>
      </c>
      <c r="AJ8" s="411"/>
      <c r="AK8" s="411"/>
      <c r="AL8" s="411"/>
      <c r="AM8" s="411"/>
    </row>
    <row r="9" spans="1:39" ht="12.75" customHeight="1">
      <c r="A9" s="24"/>
      <c r="B9" s="108">
        <f t="shared" si="7"/>
        <v>6</v>
      </c>
      <c r="C9" s="6">
        <v>110104</v>
      </c>
      <c r="D9" s="122" t="s">
        <v>1537</v>
      </c>
      <c r="E9" s="9" t="s">
        <v>32</v>
      </c>
      <c r="F9" s="6"/>
      <c r="G9" s="6"/>
      <c r="H9" s="121">
        <v>27647.96</v>
      </c>
      <c r="I9" s="121">
        <v>0</v>
      </c>
      <c r="J9" s="11">
        <f>+SUMIFS(JURNAL!G:G,JURNAL!E:E,C9,JURNAL!C:C,"&gt;="&amp;$H$1,JURNAL!C:C,"&lt;="&amp;$I$1)</f>
        <v>0</v>
      </c>
      <c r="K9" s="11">
        <f>+SUMIFS(JURNAL!H:H,JURNAL!E:E,C9,JURNAL!C:C,"&gt;="&amp;$H$1,JURNAL!C:C,"&lt;="&amp;$I$1)</f>
        <v>0</v>
      </c>
      <c r="L9" s="26">
        <f t="shared" si="0"/>
        <v>27647.96</v>
      </c>
      <c r="M9" s="27">
        <f t="shared" si="1"/>
        <v>0</v>
      </c>
      <c r="N9" s="11"/>
      <c r="O9" s="27"/>
      <c r="P9" s="11"/>
      <c r="Q9" s="11"/>
      <c r="R9" s="26">
        <f t="shared" si="2"/>
        <v>27647.96</v>
      </c>
      <c r="S9" s="27">
        <f t="shared" si="3"/>
        <v>0</v>
      </c>
      <c r="T9" s="11"/>
      <c r="U9" s="11"/>
      <c r="V9" s="26">
        <f t="shared" si="4"/>
        <v>27647.96</v>
      </c>
      <c r="W9" s="27">
        <f t="shared" si="5"/>
        <v>0</v>
      </c>
      <c r="X9" s="4">
        <v>1101</v>
      </c>
      <c r="Y9" s="4"/>
      <c r="Z9" s="4"/>
      <c r="AA9" s="12">
        <f t="shared" si="6"/>
        <v>1</v>
      </c>
      <c r="AC9" s="122" t="s">
        <v>885</v>
      </c>
      <c r="AD9" s="21" t="str">
        <f t="shared" si="8"/>
        <v>7-110104</v>
      </c>
      <c r="AE9" s="79" t="str">
        <f t="shared" si="9"/>
        <v>7</v>
      </c>
      <c r="AF9" s="21" t="str">
        <f t="shared" si="10"/>
        <v>ХХБ 404052927</v>
      </c>
      <c r="AJ9" s="411"/>
      <c r="AK9" s="411"/>
      <c r="AL9" s="411"/>
      <c r="AM9" s="411"/>
    </row>
    <row r="10" spans="1:39" ht="12.75" customHeight="1">
      <c r="A10" s="24"/>
      <c r="B10" s="108">
        <f t="shared" si="7"/>
        <v>7</v>
      </c>
      <c r="C10" s="6">
        <v>110105</v>
      </c>
      <c r="D10" s="122" t="s">
        <v>1538</v>
      </c>
      <c r="E10" s="9" t="s">
        <v>32</v>
      </c>
      <c r="F10" s="6"/>
      <c r="G10" s="6"/>
      <c r="H10" s="121">
        <v>135889.92000000001</v>
      </c>
      <c r="I10" s="121">
        <v>0</v>
      </c>
      <c r="J10" s="11">
        <f>+SUMIFS(JURNAL!G:G,JURNAL!E:E,C10,JURNAL!C:C,"&gt;="&amp;$H$1,JURNAL!C:C,"&lt;="&amp;$I$1)</f>
        <v>0</v>
      </c>
      <c r="K10" s="11">
        <f>+SUMIFS(JURNAL!H:H,JURNAL!E:E,C10,JURNAL!C:C,"&gt;="&amp;$H$1,JURNAL!C:C,"&lt;="&amp;$I$1)</f>
        <v>0</v>
      </c>
      <c r="L10" s="26">
        <f t="shared" si="0"/>
        <v>135889.92000000001</v>
      </c>
      <c r="M10" s="27">
        <f t="shared" si="1"/>
        <v>0</v>
      </c>
      <c r="N10" s="11"/>
      <c r="O10" s="27"/>
      <c r="P10" s="11"/>
      <c r="Q10" s="11"/>
      <c r="R10" s="26">
        <f t="shared" si="2"/>
        <v>135889.92000000001</v>
      </c>
      <c r="S10" s="27">
        <f t="shared" si="3"/>
        <v>0</v>
      </c>
      <c r="T10" s="11"/>
      <c r="U10" s="11"/>
      <c r="V10" s="26">
        <f t="shared" si="4"/>
        <v>135889.92000000001</v>
      </c>
      <c r="W10" s="27">
        <f t="shared" si="5"/>
        <v>0</v>
      </c>
      <c r="X10" s="4">
        <v>1101</v>
      </c>
      <c r="Y10" s="4"/>
      <c r="Z10" s="4"/>
      <c r="AA10" s="12">
        <f t="shared" si="6"/>
        <v>1</v>
      </c>
      <c r="AC10" s="121" t="s">
        <v>325</v>
      </c>
      <c r="AD10" s="21" t="str">
        <f t="shared" si="8"/>
        <v>г-900100</v>
      </c>
      <c r="AE10" s="79" t="str">
        <f t="shared" si="9"/>
        <v>г</v>
      </c>
      <c r="AF10" s="21" t="str">
        <f t="shared" si="10"/>
        <v>Мөнгөн хөрөнгийн клиринг</v>
      </c>
      <c r="AG10" s="83"/>
      <c r="AJ10" s="411"/>
      <c r="AK10" s="411"/>
      <c r="AL10" s="411"/>
      <c r="AM10" s="411"/>
    </row>
    <row r="11" spans="1:39" ht="12.75" customHeight="1">
      <c r="A11" s="24"/>
      <c r="B11" s="108">
        <f t="shared" si="7"/>
        <v>8</v>
      </c>
      <c r="C11" s="6">
        <v>110200</v>
      </c>
      <c r="D11" s="122" t="s">
        <v>1539</v>
      </c>
      <c r="E11" s="9" t="s">
        <v>30</v>
      </c>
      <c r="F11" s="27">
        <v>7</v>
      </c>
      <c r="G11" s="11">
        <v>2427.13</v>
      </c>
      <c r="H11" s="121">
        <v>16989.91</v>
      </c>
      <c r="I11" s="121">
        <v>0</v>
      </c>
      <c r="J11" s="11">
        <f>+SUMIFS(JURNAL!G:G,JURNAL!E:E,C11,JURNAL!C:C,"&gt;="&amp;$H$1,JURNAL!C:C,"&lt;="&amp;$I$1)</f>
        <v>0</v>
      </c>
      <c r="K11" s="11">
        <f>+SUMIFS(JURNAL!H:H,JURNAL!E:E,C11,JURNAL!C:C,"&gt;="&amp;$H$1,JURNAL!C:C,"&lt;="&amp;$I$1)</f>
        <v>0</v>
      </c>
      <c r="L11" s="26">
        <f t="shared" si="0"/>
        <v>16989.91</v>
      </c>
      <c r="M11" s="27">
        <f t="shared" si="1"/>
        <v>0</v>
      </c>
      <c r="N11" s="11"/>
      <c r="O11" s="27">
        <f t="shared" ref="O11:O16" si="11">+H11-P11*Q11</f>
        <v>240.52000000000044</v>
      </c>
      <c r="P11" s="11">
        <v>7</v>
      </c>
      <c r="Q11" s="11">
        <v>2392.77</v>
      </c>
      <c r="R11" s="26">
        <f t="shared" si="2"/>
        <v>16749.39</v>
      </c>
      <c r="S11" s="27">
        <f t="shared" si="3"/>
        <v>0</v>
      </c>
      <c r="T11" s="11"/>
      <c r="U11" s="11"/>
      <c r="V11" s="26">
        <f t="shared" si="4"/>
        <v>16749.39</v>
      </c>
      <c r="W11" s="27">
        <f t="shared" si="5"/>
        <v>0</v>
      </c>
      <c r="X11" s="4">
        <v>1101</v>
      </c>
      <c r="Y11" s="4"/>
      <c r="Z11" s="4"/>
      <c r="AA11" s="12">
        <f t="shared" si="6"/>
        <v>1</v>
      </c>
      <c r="AC11" s="121" t="s">
        <v>886</v>
      </c>
      <c r="AD11" s="21" t="str">
        <f t="shared" si="8"/>
        <v xml:space="preserve"> -120100</v>
      </c>
      <c r="AE11" s="79" t="str">
        <f t="shared" si="9"/>
        <v xml:space="preserve"> </v>
      </c>
      <c r="AF11" s="21" t="str">
        <f t="shared" si="10"/>
        <v xml:space="preserve">Дансны авлага MNT </v>
      </c>
      <c r="AJ11" s="411"/>
      <c r="AK11" s="411"/>
      <c r="AL11" s="411"/>
      <c r="AM11" s="411"/>
    </row>
    <row r="12" spans="1:39" ht="12.75" customHeight="1">
      <c r="A12" s="24"/>
      <c r="B12" s="108">
        <f t="shared" si="7"/>
        <v>9</v>
      </c>
      <c r="C12" s="6">
        <v>110201</v>
      </c>
      <c r="D12" s="122" t="s">
        <v>1540</v>
      </c>
      <c r="E12" s="9" t="s">
        <v>30</v>
      </c>
      <c r="F12" s="27">
        <v>140</v>
      </c>
      <c r="G12" s="11">
        <v>2427.13</v>
      </c>
      <c r="H12" s="121">
        <v>339798.2</v>
      </c>
      <c r="I12" s="121">
        <v>0</v>
      </c>
      <c r="J12" s="11">
        <f>+SUMIFS(JURNAL!G:G,JURNAL!E:E,C12,JURNAL!C:C,"&gt;="&amp;$H$1,JURNAL!C:C,"&lt;="&amp;$I$1)</f>
        <v>0</v>
      </c>
      <c r="K12" s="11">
        <f>+SUMIFS(JURNAL!H:H,JURNAL!E:E,C12,JURNAL!C:C,"&gt;="&amp;$H$1,JURNAL!C:C,"&lt;="&amp;$I$1)</f>
        <v>0</v>
      </c>
      <c r="L12" s="26">
        <f t="shared" si="0"/>
        <v>339798.2</v>
      </c>
      <c r="M12" s="27">
        <f t="shared" si="1"/>
        <v>0</v>
      </c>
      <c r="N12" s="11"/>
      <c r="O12" s="27">
        <f t="shared" si="11"/>
        <v>4810.4000000000233</v>
      </c>
      <c r="P12" s="11">
        <v>140</v>
      </c>
      <c r="Q12" s="11">
        <v>2392.77</v>
      </c>
      <c r="R12" s="26">
        <f t="shared" si="2"/>
        <v>334987.8</v>
      </c>
      <c r="S12" s="27">
        <f t="shared" si="3"/>
        <v>0</v>
      </c>
      <c r="T12" s="11"/>
      <c r="U12" s="11"/>
      <c r="V12" s="26">
        <f t="shared" si="4"/>
        <v>334987.8</v>
      </c>
      <c r="W12" s="27">
        <f t="shared" si="5"/>
        <v>0</v>
      </c>
      <c r="X12" s="4">
        <v>1101</v>
      </c>
      <c r="Y12" s="4"/>
      <c r="Z12" s="4"/>
      <c r="AA12" s="12">
        <f t="shared" si="6"/>
        <v>1</v>
      </c>
      <c r="AB12" s="81"/>
      <c r="AC12" s="121" t="s">
        <v>887</v>
      </c>
      <c r="AD12" s="21" t="str">
        <f t="shared" si="8"/>
        <v>D-120201</v>
      </c>
      <c r="AE12" s="79" t="str">
        <f t="shared" si="9"/>
        <v>D</v>
      </c>
      <c r="AF12" s="21" t="str">
        <f t="shared" si="10"/>
        <v>Дансны авлага USD</v>
      </c>
      <c r="AJ12" s="411"/>
      <c r="AK12" s="411"/>
      <c r="AL12" s="411"/>
      <c r="AM12" s="411"/>
    </row>
    <row r="13" spans="1:39" ht="12.75" customHeight="1">
      <c r="A13" s="24"/>
      <c r="B13" s="108">
        <f t="shared" si="7"/>
        <v>10</v>
      </c>
      <c r="C13" s="6">
        <v>110202</v>
      </c>
      <c r="D13" s="122" t="s">
        <v>1541</v>
      </c>
      <c r="E13" s="9" t="s">
        <v>30</v>
      </c>
      <c r="F13" s="27">
        <v>43.27</v>
      </c>
      <c r="G13" s="11">
        <v>2427.13</v>
      </c>
      <c r="H13" s="121">
        <v>105021.92000000001</v>
      </c>
      <c r="I13" s="121">
        <v>0</v>
      </c>
      <c r="J13" s="11">
        <f>+SUMIFS(JURNAL!G:G,JURNAL!E:E,C13,JURNAL!C:C,"&gt;="&amp;$H$1,JURNAL!C:C,"&lt;="&amp;$I$1)</f>
        <v>0</v>
      </c>
      <c r="K13" s="11">
        <f>+SUMIFS(JURNAL!H:H,JURNAL!E:E,C13,JURNAL!C:C,"&gt;="&amp;$H$1,JURNAL!C:C,"&lt;="&amp;$I$1)</f>
        <v>0</v>
      </c>
      <c r="L13" s="26">
        <f t="shared" si="0"/>
        <v>105021.92000000001</v>
      </c>
      <c r="M13" s="27">
        <f t="shared" si="1"/>
        <v>0</v>
      </c>
      <c r="N13" s="11"/>
      <c r="O13" s="27">
        <f t="shared" si="11"/>
        <v>1486.7621000000072</v>
      </c>
      <c r="P13" s="11">
        <v>43.27</v>
      </c>
      <c r="Q13" s="11">
        <v>2392.77</v>
      </c>
      <c r="R13" s="26">
        <f t="shared" si="2"/>
        <v>103535.15790000001</v>
      </c>
      <c r="S13" s="27">
        <f t="shared" si="3"/>
        <v>0</v>
      </c>
      <c r="T13" s="11"/>
      <c r="U13" s="11"/>
      <c r="V13" s="26">
        <f t="shared" si="4"/>
        <v>103535.15790000001</v>
      </c>
      <c r="W13" s="27">
        <f t="shared" si="5"/>
        <v>0</v>
      </c>
      <c r="X13" s="4">
        <v>1101</v>
      </c>
      <c r="Y13" s="4"/>
      <c r="Z13" s="4"/>
      <c r="AA13" s="12">
        <f t="shared" si="6"/>
        <v>1</v>
      </c>
      <c r="AC13" s="121" t="s">
        <v>326</v>
      </c>
      <c r="AD13" s="21" t="str">
        <f t="shared" si="8"/>
        <v>T-120200</v>
      </c>
      <c r="AE13" s="79" t="str">
        <f t="shared" si="9"/>
        <v>T</v>
      </c>
      <c r="AF13" s="21" t="str">
        <f t="shared" si="10"/>
        <v>Компани хоорондын авлага MNT</v>
      </c>
      <c r="AJ13" s="411"/>
      <c r="AK13" s="411"/>
      <c r="AL13" s="411"/>
      <c r="AM13" s="411"/>
    </row>
    <row r="14" spans="1:39" ht="12.75" customHeight="1">
      <c r="A14" s="24"/>
      <c r="B14" s="108">
        <f t="shared" si="7"/>
        <v>11</v>
      </c>
      <c r="C14" s="6">
        <v>110203</v>
      </c>
      <c r="D14" s="122" t="s">
        <v>1542</v>
      </c>
      <c r="E14" s="9" t="s">
        <v>30</v>
      </c>
      <c r="F14" s="27">
        <v>52.18</v>
      </c>
      <c r="G14" s="11">
        <v>2427.13</v>
      </c>
      <c r="H14" s="121">
        <v>126647.64</v>
      </c>
      <c r="I14" s="121">
        <v>0</v>
      </c>
      <c r="J14" s="11">
        <f>+SUMIFS(JURNAL!G:G,JURNAL!E:E,C14,JURNAL!C:C,"&gt;="&amp;$H$1,JURNAL!C:C,"&lt;="&amp;$I$1)</f>
        <v>0</v>
      </c>
      <c r="K14" s="11">
        <f>+SUMIFS(JURNAL!H:H,JURNAL!E:E,C14,JURNAL!C:C,"&gt;="&amp;$H$1,JURNAL!C:C,"&lt;="&amp;$I$1)</f>
        <v>0</v>
      </c>
      <c r="L14" s="26">
        <f t="shared" si="0"/>
        <v>126647.64</v>
      </c>
      <c r="M14" s="27">
        <f t="shared" si="1"/>
        <v>0</v>
      </c>
      <c r="N14" s="11"/>
      <c r="O14" s="27">
        <f t="shared" si="11"/>
        <v>1792.9014000000025</v>
      </c>
      <c r="P14" s="11">
        <v>52.18</v>
      </c>
      <c r="Q14" s="11">
        <v>2392.77</v>
      </c>
      <c r="R14" s="26">
        <f t="shared" si="2"/>
        <v>124854.7386</v>
      </c>
      <c r="S14" s="27">
        <f t="shared" si="3"/>
        <v>0</v>
      </c>
      <c r="T14" s="11"/>
      <c r="U14" s="11"/>
      <c r="V14" s="26">
        <f t="shared" si="4"/>
        <v>124854.7386</v>
      </c>
      <c r="W14" s="27">
        <f t="shared" si="5"/>
        <v>0</v>
      </c>
      <c r="X14" s="4">
        <v>1101</v>
      </c>
      <c r="Y14" s="4"/>
      <c r="Z14" s="4"/>
      <c r="AA14" s="12">
        <f t="shared" si="6"/>
        <v>1</v>
      </c>
      <c r="AC14" s="121" t="s">
        <v>327</v>
      </c>
      <c r="AD14" s="21" t="str">
        <f t="shared" si="8"/>
        <v>D-120201</v>
      </c>
      <c r="AE14" s="79" t="str">
        <f t="shared" si="9"/>
        <v>D</v>
      </c>
      <c r="AF14" s="21" t="str">
        <f t="shared" si="10"/>
        <v>Компани хоорондын авлага USD</v>
      </c>
      <c r="AJ14" s="411"/>
      <c r="AK14" s="411"/>
      <c r="AL14" s="411"/>
      <c r="AM14" s="411"/>
    </row>
    <row r="15" spans="1:39" ht="12.75" customHeight="1">
      <c r="A15" s="24"/>
      <c r="B15" s="108">
        <f t="shared" si="7"/>
        <v>12</v>
      </c>
      <c r="C15" s="6">
        <v>110204</v>
      </c>
      <c r="D15" s="122" t="s">
        <v>1543</v>
      </c>
      <c r="E15" s="9" t="s">
        <v>30</v>
      </c>
      <c r="F15" s="27">
        <v>10.43</v>
      </c>
      <c r="G15" s="11">
        <v>2427.13</v>
      </c>
      <c r="H15" s="121">
        <v>25314.969999999998</v>
      </c>
      <c r="I15" s="121">
        <v>0</v>
      </c>
      <c r="J15" s="11">
        <f>+SUMIFS(JURNAL!G:G,JURNAL!E:E,C15,JURNAL!C:C,"&gt;="&amp;$H$1,JURNAL!C:C,"&lt;="&amp;$I$1)</f>
        <v>0</v>
      </c>
      <c r="K15" s="11">
        <f>+SUMIFS(JURNAL!H:H,JURNAL!E:E,C15,JURNAL!C:C,"&gt;="&amp;$H$1,JURNAL!C:C,"&lt;="&amp;$I$1)</f>
        <v>0</v>
      </c>
      <c r="L15" s="26">
        <f t="shared" si="0"/>
        <v>25314.969999999998</v>
      </c>
      <c r="M15" s="27">
        <f t="shared" si="1"/>
        <v>0</v>
      </c>
      <c r="N15" s="11"/>
      <c r="O15" s="27">
        <f t="shared" si="11"/>
        <v>358.3788999999997</v>
      </c>
      <c r="P15" s="11">
        <v>10.43</v>
      </c>
      <c r="Q15" s="11">
        <v>2392.77</v>
      </c>
      <c r="R15" s="26">
        <f t="shared" si="2"/>
        <v>24956.591099999998</v>
      </c>
      <c r="S15" s="27">
        <f t="shared" si="3"/>
        <v>0</v>
      </c>
      <c r="T15" s="11"/>
      <c r="U15" s="11"/>
      <c r="V15" s="26">
        <f t="shared" si="4"/>
        <v>24956.591099999998</v>
      </c>
      <c r="W15" s="27">
        <f t="shared" si="5"/>
        <v>0</v>
      </c>
      <c r="X15" s="4">
        <v>1101</v>
      </c>
      <c r="Y15" s="4"/>
      <c r="Z15" s="4"/>
      <c r="AA15" s="12">
        <f t="shared" si="6"/>
        <v>1</v>
      </c>
      <c r="AC15" s="121" t="s">
        <v>328</v>
      </c>
      <c r="AD15" s="21" t="str">
        <f t="shared" si="8"/>
        <v>T-120202</v>
      </c>
      <c r="AE15" s="79" t="str">
        <f t="shared" si="9"/>
        <v>T</v>
      </c>
      <c r="AF15" s="21" t="str">
        <f t="shared" si="10"/>
        <v>Компани хоорондын авлага - Зээлийн хүүгийн авлага MNT</v>
      </c>
      <c r="AJ15" s="411"/>
      <c r="AK15" s="411"/>
      <c r="AL15" s="411"/>
      <c r="AM15" s="411"/>
    </row>
    <row r="16" spans="1:39" ht="12.75" customHeight="1">
      <c r="A16" s="24"/>
      <c r="B16" s="108">
        <f t="shared" si="7"/>
        <v>13</v>
      </c>
      <c r="C16" s="6">
        <v>110300</v>
      </c>
      <c r="D16" s="331" t="s">
        <v>1544</v>
      </c>
      <c r="E16" s="9" t="s">
        <v>31</v>
      </c>
      <c r="F16" s="27">
        <v>250</v>
      </c>
      <c r="G16" s="11">
        <v>42.12</v>
      </c>
      <c r="H16" s="121">
        <v>10530</v>
      </c>
      <c r="I16" s="121">
        <v>0</v>
      </c>
      <c r="J16" s="11">
        <f>+SUMIFS(JURNAL!G:G,JURNAL!E:E,C16,JURNAL!C:C,"&gt;="&amp;$H$1,JURNAL!C:C,"&lt;="&amp;$I$1)</f>
        <v>0</v>
      </c>
      <c r="K16" s="11">
        <f>+SUMIFS(JURNAL!H:H,JURNAL!E:E,C16,JURNAL!C:C,"&gt;="&amp;$H$1,JURNAL!C:C,"&lt;="&amp;$I$1)</f>
        <v>0</v>
      </c>
      <c r="L16" s="26">
        <f t="shared" si="0"/>
        <v>10530</v>
      </c>
      <c r="M16" s="27">
        <f t="shared" si="1"/>
        <v>0</v>
      </c>
      <c r="N16" s="11"/>
      <c r="O16" s="335">
        <f t="shared" si="11"/>
        <v>95</v>
      </c>
      <c r="P16" s="11">
        <v>250</v>
      </c>
      <c r="Q16" s="11">
        <v>41.74</v>
      </c>
      <c r="R16" s="26">
        <f t="shared" si="2"/>
        <v>10435</v>
      </c>
      <c r="S16" s="27">
        <f t="shared" si="3"/>
        <v>0</v>
      </c>
      <c r="T16" s="11"/>
      <c r="U16" s="11"/>
      <c r="V16" s="26">
        <f t="shared" si="4"/>
        <v>10435</v>
      </c>
      <c r="W16" s="27">
        <f t="shared" si="5"/>
        <v>0</v>
      </c>
      <c r="X16" s="4">
        <v>1101</v>
      </c>
      <c r="Y16" s="4"/>
      <c r="Z16" s="4"/>
      <c r="AA16" s="12">
        <f t="shared" si="6"/>
        <v>1</v>
      </c>
      <c r="AC16" s="121" t="s">
        <v>329</v>
      </c>
      <c r="AD16" s="21" t="str">
        <f t="shared" si="8"/>
        <v>T-120400</v>
      </c>
      <c r="AE16" s="79" t="str">
        <f t="shared" si="9"/>
        <v>T</v>
      </c>
      <c r="AF16" s="21" t="str">
        <f t="shared" si="10"/>
        <v>Бусад авлага MNT</v>
      </c>
      <c r="AJ16" s="411"/>
      <c r="AK16" s="411"/>
      <c r="AL16" s="411"/>
      <c r="AM16" s="411"/>
    </row>
    <row r="17" spans="1:39" ht="12.75" customHeight="1">
      <c r="A17" s="24"/>
      <c r="B17" s="108">
        <f t="shared" si="7"/>
        <v>14</v>
      </c>
      <c r="C17" s="6">
        <v>900100</v>
      </c>
      <c r="D17" s="121" t="s">
        <v>944</v>
      </c>
      <c r="E17" s="9" t="s">
        <v>32</v>
      </c>
      <c r="F17" s="6"/>
      <c r="G17" s="6"/>
      <c r="H17" s="121">
        <v>0</v>
      </c>
      <c r="I17" s="121">
        <v>0</v>
      </c>
      <c r="J17" s="11">
        <f>+SUMIFS(JURNAL!G:G,JURNAL!E:E,C17,JURNAL!C:C,"&gt;="&amp;$H$1,JURNAL!C:C,"&lt;="&amp;$I$1)</f>
        <v>0</v>
      </c>
      <c r="K17" s="11">
        <f>+SUMIFS(JURNAL!H:H,JURNAL!E:E,C17,JURNAL!C:C,"&gt;="&amp;$H$1,JURNAL!C:C,"&lt;="&amp;$I$1)</f>
        <v>0</v>
      </c>
      <c r="L17" s="26">
        <f t="shared" si="0"/>
        <v>0</v>
      </c>
      <c r="M17" s="27">
        <f t="shared" si="1"/>
        <v>0</v>
      </c>
      <c r="N17" s="11"/>
      <c r="O17" s="335"/>
      <c r="P17" s="11"/>
      <c r="Q17" s="11"/>
      <c r="R17" s="26">
        <f t="shared" si="2"/>
        <v>0</v>
      </c>
      <c r="S17" s="27">
        <f t="shared" si="3"/>
        <v>0</v>
      </c>
      <c r="T17" s="11"/>
      <c r="U17" s="11"/>
      <c r="V17" s="26">
        <f t="shared" si="4"/>
        <v>0</v>
      </c>
      <c r="W17" s="27">
        <f t="shared" si="5"/>
        <v>0</v>
      </c>
      <c r="X17" s="4">
        <v>1101</v>
      </c>
      <c r="Y17" s="4"/>
      <c r="Z17" s="4"/>
      <c r="AA17" s="12">
        <f t="shared" si="6"/>
        <v>0</v>
      </c>
      <c r="AC17" s="121" t="s">
        <v>330</v>
      </c>
      <c r="AD17" s="21" t="str">
        <f t="shared" si="8"/>
        <v>D-120401</v>
      </c>
      <c r="AE17" s="79" t="str">
        <f t="shared" si="9"/>
        <v>D</v>
      </c>
      <c r="AF17" s="21" t="str">
        <f t="shared" si="10"/>
        <v>Бусад авлага USD</v>
      </c>
      <c r="AJ17" s="411"/>
      <c r="AK17" s="411"/>
      <c r="AL17" s="411"/>
      <c r="AM17" s="411"/>
    </row>
    <row r="18" spans="1:39" ht="12.75" customHeight="1">
      <c r="A18" s="24"/>
      <c r="B18" s="108">
        <f t="shared" si="7"/>
        <v>15</v>
      </c>
      <c r="C18" s="6">
        <v>120100</v>
      </c>
      <c r="D18" s="121" t="s">
        <v>945</v>
      </c>
      <c r="E18" s="9" t="s">
        <v>32</v>
      </c>
      <c r="F18" s="6"/>
      <c r="G18" s="6"/>
      <c r="H18" s="121">
        <v>2644403</v>
      </c>
      <c r="I18" s="121">
        <v>0</v>
      </c>
      <c r="J18" s="11">
        <f>+SUMIFS(JURNAL!G:G,JURNAL!E:E,C18,JURNAL!C:C,"&gt;="&amp;$H$1,JURNAL!C:C,"&lt;="&amp;$I$1)</f>
        <v>8057886.0300000003</v>
      </c>
      <c r="K18" s="11">
        <f>+SUMIFS(JURNAL!H:H,JURNAL!E:E,C18,JURNAL!C:C,"&gt;="&amp;$H$1,JURNAL!C:C,"&lt;="&amp;$I$1)</f>
        <v>6638449.0199999996</v>
      </c>
      <c r="L18" s="26">
        <f t="shared" si="0"/>
        <v>4063840.0100000016</v>
      </c>
      <c r="M18" s="27">
        <f t="shared" si="1"/>
        <v>0</v>
      </c>
      <c r="N18" s="11"/>
      <c r="O18" s="335"/>
      <c r="P18" s="11"/>
      <c r="Q18" s="11"/>
      <c r="R18" s="26">
        <f t="shared" si="2"/>
        <v>4063840.0100000016</v>
      </c>
      <c r="S18" s="27">
        <f t="shared" si="3"/>
        <v>0</v>
      </c>
      <c r="T18" s="11"/>
      <c r="U18" s="11"/>
      <c r="V18" s="26">
        <f t="shared" si="4"/>
        <v>4063840.0100000016</v>
      </c>
      <c r="W18" s="27">
        <f t="shared" si="5"/>
        <v>0</v>
      </c>
      <c r="X18" s="4">
        <v>1102</v>
      </c>
      <c r="Y18" s="4"/>
      <c r="Z18" s="4"/>
      <c r="AA18" s="12">
        <f t="shared" si="6"/>
        <v>1</v>
      </c>
      <c r="AC18" s="121" t="s">
        <v>331</v>
      </c>
      <c r="AD18" s="21" t="str">
        <f t="shared" si="8"/>
        <v>а-120600</v>
      </c>
      <c r="AE18" s="79" t="str">
        <f t="shared" si="9"/>
        <v>а</v>
      </c>
      <c r="AF18" s="21" t="str">
        <f t="shared" si="10"/>
        <v>НӨАТ авлага</v>
      </c>
      <c r="AJ18" s="411"/>
      <c r="AK18" s="411"/>
      <c r="AL18" s="411"/>
      <c r="AM18" s="411"/>
    </row>
    <row r="19" spans="1:39" ht="12.75" customHeight="1">
      <c r="A19" s="24"/>
      <c r="B19" s="108">
        <f t="shared" si="7"/>
        <v>16</v>
      </c>
      <c r="C19" s="6">
        <v>120201</v>
      </c>
      <c r="D19" s="121" t="s">
        <v>946</v>
      </c>
      <c r="E19" s="9" t="s">
        <v>30</v>
      </c>
      <c r="F19" s="6"/>
      <c r="G19" s="6"/>
      <c r="H19" s="121">
        <v>0</v>
      </c>
      <c r="I19" s="121">
        <v>0</v>
      </c>
      <c r="J19" s="11">
        <f>+SUMIFS(JURNAL!G:G,JURNAL!E:E,C19,JURNAL!C:C,"&gt;="&amp;$H$1,JURNAL!C:C,"&lt;="&amp;$I$1)</f>
        <v>0</v>
      </c>
      <c r="K19" s="11">
        <f>+SUMIFS(JURNAL!H:H,JURNAL!E:E,C19,JURNAL!C:C,"&gt;="&amp;$H$1,JURNAL!C:C,"&lt;="&amp;$I$1)</f>
        <v>0</v>
      </c>
      <c r="L19" s="26">
        <f t="shared" si="0"/>
        <v>0</v>
      </c>
      <c r="M19" s="27">
        <f t="shared" si="1"/>
        <v>0</v>
      </c>
      <c r="N19" s="11"/>
      <c r="O19" s="335"/>
      <c r="P19" s="11"/>
      <c r="Q19" s="11"/>
      <c r="R19" s="26">
        <f t="shared" si="2"/>
        <v>0</v>
      </c>
      <c r="S19" s="27">
        <f t="shared" si="3"/>
        <v>0</v>
      </c>
      <c r="T19" s="11"/>
      <c r="U19" s="11"/>
      <c r="V19" s="26">
        <f t="shared" si="4"/>
        <v>0</v>
      </c>
      <c r="W19" s="27">
        <f t="shared" si="5"/>
        <v>0</v>
      </c>
      <c r="X19" s="4">
        <v>1102</v>
      </c>
      <c r="Y19" s="4"/>
      <c r="Z19" s="4"/>
      <c r="AA19" s="12">
        <f t="shared" si="6"/>
        <v>0</v>
      </c>
      <c r="AC19" s="121" t="s">
        <v>332</v>
      </c>
      <c r="AD19" s="21" t="str">
        <f t="shared" si="8"/>
        <v>а-120700</v>
      </c>
      <c r="AE19" s="79" t="str">
        <f t="shared" si="9"/>
        <v>а</v>
      </c>
      <c r="AF19" s="21" t="str">
        <f t="shared" si="10"/>
        <v>ААНОАТ авлага</v>
      </c>
      <c r="AJ19" s="411"/>
      <c r="AK19" s="411"/>
      <c r="AL19" s="411"/>
      <c r="AM19" s="411"/>
    </row>
    <row r="20" spans="1:39" ht="12.75" customHeight="1">
      <c r="A20" s="24"/>
      <c r="B20" s="108">
        <f t="shared" si="7"/>
        <v>17</v>
      </c>
      <c r="C20" s="6">
        <v>120200</v>
      </c>
      <c r="D20" s="121" t="s">
        <v>947</v>
      </c>
      <c r="E20" s="9" t="s">
        <v>32</v>
      </c>
      <c r="F20" s="6"/>
      <c r="G20" s="6"/>
      <c r="H20" s="121">
        <v>0</v>
      </c>
      <c r="I20" s="121">
        <v>0</v>
      </c>
      <c r="J20" s="11">
        <f>+SUMIFS(JURNAL!G:G,JURNAL!E:E,C20,JURNAL!C:C,"&gt;="&amp;$H$1,JURNAL!C:C,"&lt;="&amp;$I$1)</f>
        <v>0</v>
      </c>
      <c r="K20" s="11">
        <f>+SUMIFS(JURNAL!H:H,JURNAL!E:E,C20,JURNAL!C:C,"&gt;="&amp;$H$1,JURNAL!C:C,"&lt;="&amp;$I$1)</f>
        <v>0</v>
      </c>
      <c r="L20" s="26">
        <f t="shared" si="0"/>
        <v>0</v>
      </c>
      <c r="M20" s="27">
        <f t="shared" si="1"/>
        <v>0</v>
      </c>
      <c r="N20" s="11"/>
      <c r="O20" s="335"/>
      <c r="P20" s="11"/>
      <c r="Q20" s="11"/>
      <c r="R20" s="26">
        <f t="shared" si="2"/>
        <v>0</v>
      </c>
      <c r="S20" s="27">
        <f t="shared" si="3"/>
        <v>0</v>
      </c>
      <c r="T20" s="11"/>
      <c r="U20" s="11"/>
      <c r="V20" s="26">
        <f t="shared" si="4"/>
        <v>0</v>
      </c>
      <c r="W20" s="27">
        <f t="shared" si="5"/>
        <v>0</v>
      </c>
      <c r="X20" s="4">
        <v>1102</v>
      </c>
      <c r="Y20" s="4"/>
      <c r="Z20" s="4"/>
      <c r="AA20" s="12">
        <f t="shared" si="6"/>
        <v>0</v>
      </c>
      <c r="AC20" s="121" t="s">
        <v>333</v>
      </c>
      <c r="AD20" s="21" t="str">
        <f t="shared" si="8"/>
        <v>а-120800</v>
      </c>
      <c r="AE20" s="79" t="str">
        <f t="shared" si="9"/>
        <v>а</v>
      </c>
      <c r="AF20" s="21" t="str">
        <f t="shared" si="10"/>
        <v>ХАОАТ авлага</v>
      </c>
      <c r="AJ20" s="411"/>
      <c r="AK20" s="411"/>
      <c r="AL20" s="411"/>
      <c r="AM20" s="411"/>
    </row>
    <row r="21" spans="1:39" ht="12.75" customHeight="1">
      <c r="A21" s="24"/>
      <c r="B21" s="108">
        <f t="shared" si="7"/>
        <v>18</v>
      </c>
      <c r="C21" s="6">
        <v>120201</v>
      </c>
      <c r="D21" s="121" t="s">
        <v>948</v>
      </c>
      <c r="E21" s="9" t="s">
        <v>30</v>
      </c>
      <c r="F21" s="6"/>
      <c r="G21" s="6"/>
      <c r="H21" s="121">
        <v>0</v>
      </c>
      <c r="I21" s="121">
        <v>0</v>
      </c>
      <c r="J21" s="11">
        <f>+SUMIFS(JURNAL!G:G,JURNAL!E:E,C21,JURNAL!C:C,"&gt;="&amp;$H$1,JURNAL!C:C,"&lt;="&amp;$I$1)</f>
        <v>0</v>
      </c>
      <c r="K21" s="11">
        <f>+SUMIFS(JURNAL!H:H,JURNAL!E:E,C21,JURNAL!C:C,"&gt;="&amp;$H$1,JURNAL!C:C,"&lt;="&amp;$I$1)</f>
        <v>0</v>
      </c>
      <c r="L21" s="26">
        <f t="shared" si="0"/>
        <v>0</v>
      </c>
      <c r="M21" s="27">
        <f t="shared" si="1"/>
        <v>0</v>
      </c>
      <c r="N21" s="11"/>
      <c r="O21" s="335"/>
      <c r="P21" s="11"/>
      <c r="Q21" s="11"/>
      <c r="R21" s="26">
        <f t="shared" si="2"/>
        <v>0</v>
      </c>
      <c r="S21" s="27">
        <f t="shared" si="3"/>
        <v>0</v>
      </c>
      <c r="T21" s="11"/>
      <c r="U21" s="11"/>
      <c r="V21" s="26">
        <f t="shared" si="4"/>
        <v>0</v>
      </c>
      <c r="W21" s="27">
        <f t="shared" si="5"/>
        <v>0</v>
      </c>
      <c r="X21" s="4">
        <v>1102</v>
      </c>
      <c r="Y21" s="4"/>
      <c r="Z21" s="4"/>
      <c r="AA21" s="12">
        <f t="shared" si="6"/>
        <v>0</v>
      </c>
      <c r="AC21" s="121" t="s">
        <v>334</v>
      </c>
      <c r="AD21" s="21" t="str">
        <f t="shared" si="8"/>
        <v>а-120900</v>
      </c>
      <c r="AE21" s="79" t="str">
        <f t="shared" si="9"/>
        <v>а</v>
      </c>
      <c r="AF21" s="21" t="str">
        <f t="shared" si="10"/>
        <v>НД-ын байгууллагаас авах авлага</v>
      </c>
      <c r="AJ21" s="411"/>
      <c r="AK21" s="411"/>
      <c r="AL21" s="411"/>
      <c r="AM21" s="411"/>
    </row>
    <row r="22" spans="1:39" ht="12.75" customHeight="1">
      <c r="A22" s="24"/>
      <c r="B22" s="108">
        <f t="shared" si="7"/>
        <v>19</v>
      </c>
      <c r="C22" s="6">
        <v>120202</v>
      </c>
      <c r="D22" s="121" t="s">
        <v>949</v>
      </c>
      <c r="E22" s="9" t="s">
        <v>32</v>
      </c>
      <c r="F22" s="6"/>
      <c r="G22" s="6"/>
      <c r="H22" s="121">
        <v>0</v>
      </c>
      <c r="I22" s="121">
        <v>0</v>
      </c>
      <c r="J22" s="11">
        <f>+SUMIFS(JURNAL!G:G,JURNAL!E:E,C22,JURNAL!C:C,"&gt;="&amp;$H$1,JURNAL!C:C,"&lt;="&amp;$I$1)</f>
        <v>0</v>
      </c>
      <c r="K22" s="11">
        <f>+SUMIFS(JURNAL!H:H,JURNAL!E:E,C22,JURNAL!C:C,"&gt;="&amp;$H$1,JURNAL!C:C,"&lt;="&amp;$I$1)</f>
        <v>0</v>
      </c>
      <c r="L22" s="26">
        <f t="shared" si="0"/>
        <v>0</v>
      </c>
      <c r="M22" s="27">
        <f t="shared" si="1"/>
        <v>0</v>
      </c>
      <c r="N22" s="11"/>
      <c r="O22" s="335"/>
      <c r="P22" s="11"/>
      <c r="Q22" s="11"/>
      <c r="R22" s="26">
        <f t="shared" si="2"/>
        <v>0</v>
      </c>
      <c r="S22" s="27">
        <f t="shared" si="3"/>
        <v>0</v>
      </c>
      <c r="T22" s="11"/>
      <c r="U22" s="11"/>
      <c r="V22" s="26">
        <f t="shared" si="4"/>
        <v>0</v>
      </c>
      <c r="W22" s="27">
        <f t="shared" si="5"/>
        <v>0</v>
      </c>
      <c r="X22" s="4">
        <v>1102</v>
      </c>
      <c r="Y22" s="4"/>
      <c r="Z22" s="4"/>
      <c r="AA22" s="12">
        <f t="shared" si="6"/>
        <v>0</v>
      </c>
      <c r="AC22" s="121" t="s">
        <v>335</v>
      </c>
      <c r="AD22" s="21" t="str">
        <f t="shared" si="8"/>
        <v>а-121000</v>
      </c>
      <c r="AE22" s="79" t="str">
        <f t="shared" si="9"/>
        <v>а</v>
      </c>
      <c r="AF22" s="21" t="str">
        <f t="shared" si="10"/>
        <v>Бусад татварын авлага</v>
      </c>
      <c r="AJ22" s="411"/>
      <c r="AK22" s="411"/>
      <c r="AL22" s="411"/>
      <c r="AM22" s="411"/>
    </row>
    <row r="23" spans="1:39" ht="12.75" customHeight="1">
      <c r="A23" s="24"/>
      <c r="B23" s="108">
        <f t="shared" si="7"/>
        <v>20</v>
      </c>
      <c r="C23" s="6">
        <v>120400</v>
      </c>
      <c r="D23" s="121" t="s">
        <v>543</v>
      </c>
      <c r="E23" s="9" t="s">
        <v>32</v>
      </c>
      <c r="F23" s="6"/>
      <c r="G23" s="6"/>
      <c r="H23" s="121">
        <v>0</v>
      </c>
      <c r="I23" s="121">
        <v>0</v>
      </c>
      <c r="J23" s="11">
        <f>+SUMIFS(JURNAL!G:G,JURNAL!E:E,C23,JURNAL!C:C,"&gt;="&amp;$H$1,JURNAL!C:C,"&lt;="&amp;$I$1)</f>
        <v>0</v>
      </c>
      <c r="K23" s="11">
        <f>+SUMIFS(JURNAL!H:H,JURNAL!E:E,C23,JURNAL!C:C,"&gt;="&amp;$H$1,JURNAL!C:C,"&lt;="&amp;$I$1)</f>
        <v>0</v>
      </c>
      <c r="L23" s="26">
        <f t="shared" si="0"/>
        <v>0</v>
      </c>
      <c r="M23" s="27">
        <f t="shared" si="1"/>
        <v>0</v>
      </c>
      <c r="N23" s="11"/>
      <c r="O23" s="335"/>
      <c r="P23" s="11"/>
      <c r="Q23" s="11"/>
      <c r="R23" s="26">
        <f t="shared" si="2"/>
        <v>0</v>
      </c>
      <c r="S23" s="27">
        <f t="shared" si="3"/>
        <v>0</v>
      </c>
      <c r="T23" s="11"/>
      <c r="U23" s="11"/>
      <c r="V23" s="26">
        <f t="shared" si="4"/>
        <v>0</v>
      </c>
      <c r="W23" s="27">
        <f t="shared" si="5"/>
        <v>0</v>
      </c>
      <c r="X23" s="4">
        <v>1104</v>
      </c>
      <c r="Y23" s="4"/>
      <c r="Z23" s="4"/>
      <c r="AA23" s="12">
        <f t="shared" si="6"/>
        <v>0</v>
      </c>
      <c r="AC23" s="121" t="s">
        <v>336</v>
      </c>
      <c r="AD23" s="21" t="str">
        <f t="shared" si="8"/>
        <v>а-121100</v>
      </c>
      <c r="AE23" s="79" t="str">
        <f t="shared" si="9"/>
        <v>а</v>
      </c>
      <c r="AF23" s="21" t="str">
        <f t="shared" si="10"/>
        <v>Ажилчдаас авах авлага</v>
      </c>
      <c r="AJ23" s="411"/>
      <c r="AK23" s="411"/>
      <c r="AL23" s="411"/>
      <c r="AM23" s="411"/>
    </row>
    <row r="24" spans="1:39" ht="12.75" customHeight="1">
      <c r="A24" s="24"/>
      <c r="B24" s="108">
        <f t="shared" si="7"/>
        <v>21</v>
      </c>
      <c r="C24" s="6">
        <v>120401</v>
      </c>
      <c r="D24" s="121" t="s">
        <v>950</v>
      </c>
      <c r="E24" s="9" t="s">
        <v>30</v>
      </c>
      <c r="F24" s="6"/>
      <c r="G24" s="6"/>
      <c r="H24" s="121">
        <v>0</v>
      </c>
      <c r="I24" s="121">
        <v>0</v>
      </c>
      <c r="J24" s="11">
        <f>+SUMIFS(JURNAL!G:G,JURNAL!E:E,C24,JURNAL!C:C,"&gt;="&amp;$H$1,JURNAL!C:C,"&lt;="&amp;$I$1)</f>
        <v>0</v>
      </c>
      <c r="K24" s="11">
        <f>+SUMIFS(JURNAL!H:H,JURNAL!E:E,C24,JURNAL!C:C,"&gt;="&amp;$H$1,JURNAL!C:C,"&lt;="&amp;$I$1)</f>
        <v>0</v>
      </c>
      <c r="L24" s="26">
        <f t="shared" si="0"/>
        <v>0</v>
      </c>
      <c r="M24" s="27">
        <f t="shared" si="1"/>
        <v>0</v>
      </c>
      <c r="N24" s="11"/>
      <c r="O24" s="335"/>
      <c r="P24" s="11"/>
      <c r="Q24" s="11"/>
      <c r="R24" s="26">
        <f t="shared" si="2"/>
        <v>0</v>
      </c>
      <c r="S24" s="27">
        <f t="shared" si="3"/>
        <v>0</v>
      </c>
      <c r="T24" s="11"/>
      <c r="U24" s="11"/>
      <c r="V24" s="26">
        <f t="shared" si="4"/>
        <v>0</v>
      </c>
      <c r="W24" s="27">
        <f t="shared" si="5"/>
        <v>0</v>
      </c>
      <c r="X24" s="4">
        <v>1104</v>
      </c>
      <c r="Y24" s="4"/>
      <c r="Z24" s="4"/>
      <c r="AA24" s="12">
        <f t="shared" si="6"/>
        <v>0</v>
      </c>
      <c r="AC24" s="121" t="s">
        <v>337</v>
      </c>
      <c r="AD24" s="21" t="str">
        <f t="shared" si="8"/>
        <v xml:space="preserve"> -121200</v>
      </c>
      <c r="AE24" s="79" t="str">
        <f t="shared" si="9"/>
        <v xml:space="preserve"> </v>
      </c>
      <c r="AF24" s="21" t="str">
        <f t="shared" si="10"/>
        <v xml:space="preserve">Ажилчидын дараа тайлангийн тооцоо </v>
      </c>
      <c r="AJ24" s="411"/>
      <c r="AK24" s="411"/>
      <c r="AL24" s="411"/>
      <c r="AM24" s="411"/>
    </row>
    <row r="25" spans="1:39" ht="12.75" customHeight="1">
      <c r="A25" s="24"/>
      <c r="B25" s="108">
        <f t="shared" si="7"/>
        <v>22</v>
      </c>
      <c r="C25" s="6">
        <v>120600</v>
      </c>
      <c r="D25" s="121" t="s">
        <v>548</v>
      </c>
      <c r="E25" s="9" t="s">
        <v>32</v>
      </c>
      <c r="F25" s="6"/>
      <c r="G25" s="6"/>
      <c r="H25" s="121">
        <v>0</v>
      </c>
      <c r="I25" s="121">
        <v>0</v>
      </c>
      <c r="J25" s="11">
        <f>+SUMIFS(JURNAL!G:G,JURNAL!E:E,C25,JURNAL!C:C,"&gt;="&amp;$H$1,JURNAL!C:C,"&lt;="&amp;$I$1)</f>
        <v>4201956.6809090916</v>
      </c>
      <c r="K25" s="11">
        <f>+SUMIFS(JURNAL!H:H,JURNAL!E:E,C25,JURNAL!C:C,"&gt;="&amp;$H$1,JURNAL!C:C,"&lt;="&amp;$I$1)</f>
        <v>0</v>
      </c>
      <c r="L25" s="26">
        <f t="shared" si="0"/>
        <v>4201956.6809090916</v>
      </c>
      <c r="M25" s="27">
        <f t="shared" si="1"/>
        <v>0</v>
      </c>
      <c r="N25" s="11"/>
      <c r="O25" s="27">
        <v>4201956.6809090916</v>
      </c>
      <c r="P25" s="11"/>
      <c r="Q25" s="11"/>
      <c r="R25" s="26">
        <f t="shared" si="2"/>
        <v>0</v>
      </c>
      <c r="S25" s="27">
        <f t="shared" si="3"/>
        <v>0</v>
      </c>
      <c r="T25" s="11"/>
      <c r="U25" s="11"/>
      <c r="V25" s="26">
        <f t="shared" si="4"/>
        <v>0</v>
      </c>
      <c r="W25" s="27">
        <f t="shared" si="5"/>
        <v>0</v>
      </c>
      <c r="X25" s="4">
        <v>1103</v>
      </c>
      <c r="Y25" s="4"/>
      <c r="Z25" s="4"/>
      <c r="AA25" s="12">
        <f t="shared" si="6"/>
        <v>1</v>
      </c>
      <c r="AC25" s="121" t="s">
        <v>338</v>
      </c>
      <c r="AD25" s="21" t="str">
        <f t="shared" si="8"/>
        <v>T-122000</v>
      </c>
      <c r="AE25" s="79" t="str">
        <f t="shared" si="9"/>
        <v>T</v>
      </c>
      <c r="AF25" s="21" t="str">
        <f t="shared" si="10"/>
        <v>Борлуулалтын авлагын түр тооцоо MNT</v>
      </c>
      <c r="AJ25" s="411"/>
      <c r="AK25" s="411"/>
      <c r="AL25" s="411"/>
      <c r="AM25" s="411"/>
    </row>
    <row r="26" spans="1:39" ht="12.75" customHeight="1">
      <c r="A26" s="24"/>
      <c r="B26" s="108">
        <f t="shared" si="7"/>
        <v>23</v>
      </c>
      <c r="C26" s="6">
        <v>120700</v>
      </c>
      <c r="D26" s="121" t="s">
        <v>553</v>
      </c>
      <c r="E26" s="9" t="s">
        <v>32</v>
      </c>
      <c r="F26" s="6"/>
      <c r="G26" s="6"/>
      <c r="H26" s="121">
        <v>99989.61</v>
      </c>
      <c r="I26" s="121">
        <v>0</v>
      </c>
      <c r="J26" s="11">
        <f>+SUMIFS(JURNAL!G:G,JURNAL!E:E,C26,JURNAL!C:C,"&gt;="&amp;$H$1,JURNAL!C:C,"&lt;="&amp;$I$1)</f>
        <v>0</v>
      </c>
      <c r="K26" s="11">
        <f>+SUMIFS(JURNAL!H:H,JURNAL!E:E,C26,JURNAL!C:C,"&gt;="&amp;$H$1,JURNAL!C:C,"&lt;="&amp;$I$1)</f>
        <v>0</v>
      </c>
      <c r="L26" s="26">
        <f t="shared" si="0"/>
        <v>99989.61</v>
      </c>
      <c r="M26" s="27">
        <f t="shared" si="1"/>
        <v>0</v>
      </c>
      <c r="N26" s="11"/>
      <c r="O26" s="335"/>
      <c r="P26" s="11"/>
      <c r="Q26" s="11"/>
      <c r="R26" s="26">
        <f t="shared" si="2"/>
        <v>99989.61</v>
      </c>
      <c r="S26" s="27">
        <f t="shared" si="3"/>
        <v>0</v>
      </c>
      <c r="T26" s="11"/>
      <c r="U26" s="11"/>
      <c r="V26" s="26">
        <f t="shared" si="4"/>
        <v>99989.61</v>
      </c>
      <c r="W26" s="27">
        <f t="shared" si="5"/>
        <v>0</v>
      </c>
      <c r="X26" s="4">
        <v>1103</v>
      </c>
      <c r="Y26" s="4"/>
      <c r="Z26" s="4"/>
      <c r="AA26" s="12">
        <f t="shared" si="6"/>
        <v>1</v>
      </c>
      <c r="AC26" s="121" t="s">
        <v>339</v>
      </c>
      <c r="AD26" s="21" t="str">
        <f t="shared" si="8"/>
        <v>D-122001</v>
      </c>
      <c r="AE26" s="79" t="str">
        <f t="shared" si="9"/>
        <v>D</v>
      </c>
      <c r="AF26" s="21" t="str">
        <f t="shared" si="10"/>
        <v>Борлуулалтын авлагын түр тооцооUSD</v>
      </c>
      <c r="AJ26" s="411"/>
      <c r="AK26" s="411"/>
      <c r="AL26" s="411"/>
      <c r="AM26" s="411"/>
    </row>
    <row r="27" spans="1:39" ht="12.75" customHeight="1">
      <c r="A27" s="24"/>
      <c r="B27" s="108">
        <f t="shared" si="7"/>
        <v>24</v>
      </c>
      <c r="C27" s="6">
        <v>120800</v>
      </c>
      <c r="D27" s="121" t="s">
        <v>558</v>
      </c>
      <c r="E27" s="9" t="s">
        <v>32</v>
      </c>
      <c r="F27" s="6"/>
      <c r="G27" s="6"/>
      <c r="H27" s="121">
        <v>53998.17</v>
      </c>
      <c r="I27" s="121">
        <v>0</v>
      </c>
      <c r="J27" s="11">
        <f>+SUMIFS(JURNAL!G:G,JURNAL!E:E,C27,JURNAL!C:C,"&gt;="&amp;$H$1,JURNAL!C:C,"&lt;="&amp;$I$1)</f>
        <v>0</v>
      </c>
      <c r="K27" s="11">
        <f>+SUMIFS(JURNAL!H:H,JURNAL!E:E,C27,JURNAL!C:C,"&gt;="&amp;$H$1,JURNAL!C:C,"&lt;="&amp;$I$1)</f>
        <v>0</v>
      </c>
      <c r="L27" s="26">
        <f t="shared" si="0"/>
        <v>53998.17</v>
      </c>
      <c r="M27" s="27">
        <f t="shared" si="1"/>
        <v>0</v>
      </c>
      <c r="N27" s="11"/>
      <c r="O27" s="335">
        <v>53998.17</v>
      </c>
      <c r="P27" s="11"/>
      <c r="Q27" s="11"/>
      <c r="R27" s="26">
        <f t="shared" si="2"/>
        <v>0</v>
      </c>
      <c r="S27" s="27">
        <f t="shared" si="3"/>
        <v>0</v>
      </c>
      <c r="T27" s="11"/>
      <c r="U27" s="11"/>
      <c r="V27" s="26">
        <f t="shared" si="4"/>
        <v>0</v>
      </c>
      <c r="W27" s="27">
        <f t="shared" si="5"/>
        <v>0</v>
      </c>
      <c r="X27" s="4">
        <v>1103</v>
      </c>
      <c r="Y27" s="4"/>
      <c r="Z27" s="4"/>
      <c r="AA27" s="12">
        <f t="shared" si="6"/>
        <v>1</v>
      </c>
      <c r="AC27" s="121" t="s">
        <v>340</v>
      </c>
      <c r="AD27" s="21" t="str">
        <f t="shared" si="8"/>
        <v xml:space="preserve"> -130100</v>
      </c>
      <c r="AE27" s="79" t="str">
        <f t="shared" si="9"/>
        <v xml:space="preserve"> </v>
      </c>
      <c r="AF27" s="21" t="str">
        <f t="shared" si="10"/>
        <v xml:space="preserve">Богино хугацаат хөрөнгө оруулалт </v>
      </c>
      <c r="AJ27" s="411"/>
      <c r="AK27" s="411"/>
      <c r="AL27" s="411"/>
      <c r="AM27" s="411"/>
    </row>
    <row r="28" spans="1:39" ht="12.75" customHeight="1">
      <c r="A28" s="24"/>
      <c r="B28" s="108">
        <f t="shared" si="7"/>
        <v>25</v>
      </c>
      <c r="C28" s="6">
        <v>120900</v>
      </c>
      <c r="D28" s="121" t="s">
        <v>563</v>
      </c>
      <c r="E28" s="9" t="s">
        <v>32</v>
      </c>
      <c r="F28" s="6"/>
      <c r="G28" s="6"/>
      <c r="H28" s="121">
        <v>82442.47</v>
      </c>
      <c r="I28" s="121">
        <v>0</v>
      </c>
      <c r="J28" s="11">
        <f>+SUMIFS(JURNAL!G:G,JURNAL!E:E,C28,JURNAL!C:C,"&gt;="&amp;$H$1,JURNAL!C:C,"&lt;="&amp;$I$1)</f>
        <v>0</v>
      </c>
      <c r="K28" s="11">
        <f>+SUMIFS(JURNAL!H:H,JURNAL!E:E,C28,JURNAL!C:C,"&gt;="&amp;$H$1,JURNAL!C:C,"&lt;="&amp;$I$1)</f>
        <v>0</v>
      </c>
      <c r="L28" s="26">
        <f t="shared" si="0"/>
        <v>82442.47</v>
      </c>
      <c r="M28" s="27">
        <f t="shared" si="1"/>
        <v>0</v>
      </c>
      <c r="N28" s="11"/>
      <c r="O28" s="335">
        <v>82442.47</v>
      </c>
      <c r="P28" s="11"/>
      <c r="Q28" s="11"/>
      <c r="R28" s="26">
        <f t="shared" si="2"/>
        <v>0</v>
      </c>
      <c r="S28" s="27">
        <f t="shared" si="3"/>
        <v>0</v>
      </c>
      <c r="T28" s="11"/>
      <c r="U28" s="11"/>
      <c r="V28" s="26">
        <f t="shared" si="4"/>
        <v>0</v>
      </c>
      <c r="W28" s="27">
        <f t="shared" si="5"/>
        <v>0</v>
      </c>
      <c r="X28" s="4">
        <v>1103</v>
      </c>
      <c r="Y28" s="4"/>
      <c r="Z28" s="4"/>
      <c r="AA28" s="12">
        <f t="shared" si="6"/>
        <v>1</v>
      </c>
      <c r="AC28" s="121" t="s">
        <v>341</v>
      </c>
      <c r="AD28" s="21" t="str">
        <f t="shared" si="8"/>
        <v>а-130500</v>
      </c>
      <c r="AE28" s="79" t="str">
        <f t="shared" si="9"/>
        <v>а</v>
      </c>
      <c r="AF28" s="21" t="str">
        <f t="shared" si="10"/>
        <v>БХХО-ын хасалдуулга</v>
      </c>
      <c r="AJ28" s="411"/>
      <c r="AK28" s="411"/>
      <c r="AL28" s="411"/>
      <c r="AM28" s="411"/>
    </row>
    <row r="29" spans="1:39" ht="12.75" customHeight="1">
      <c r="A29" s="24"/>
      <c r="B29" s="108">
        <f t="shared" si="7"/>
        <v>26</v>
      </c>
      <c r="C29" s="6">
        <v>121000</v>
      </c>
      <c r="D29" s="121" t="s">
        <v>568</v>
      </c>
      <c r="E29" s="9" t="s">
        <v>32</v>
      </c>
      <c r="F29" s="6"/>
      <c r="G29" s="6"/>
      <c r="H29" s="121">
        <v>0</v>
      </c>
      <c r="I29" s="121">
        <v>0</v>
      </c>
      <c r="J29" s="11">
        <f>+SUMIFS(JURNAL!G:G,JURNAL!E:E,C29,JURNAL!C:C,"&gt;="&amp;$H$1,JURNAL!C:C,"&lt;="&amp;$I$1)</f>
        <v>0</v>
      </c>
      <c r="K29" s="11">
        <f>+SUMIFS(JURNAL!H:H,JURNAL!E:E,C29,JURNAL!C:C,"&gt;="&amp;$H$1,JURNAL!C:C,"&lt;="&amp;$I$1)</f>
        <v>0</v>
      </c>
      <c r="L29" s="26">
        <f t="shared" si="0"/>
        <v>0</v>
      </c>
      <c r="M29" s="27">
        <f t="shared" si="1"/>
        <v>0</v>
      </c>
      <c r="N29" s="11"/>
      <c r="O29" s="335"/>
      <c r="P29" s="11"/>
      <c r="Q29" s="11"/>
      <c r="R29" s="26">
        <f t="shared" si="2"/>
        <v>0</v>
      </c>
      <c r="S29" s="27">
        <f t="shared" si="3"/>
        <v>0</v>
      </c>
      <c r="T29" s="11"/>
      <c r="U29" s="11"/>
      <c r="V29" s="26">
        <f t="shared" si="4"/>
        <v>0</v>
      </c>
      <c r="W29" s="27">
        <f t="shared" si="5"/>
        <v>0</v>
      </c>
      <c r="X29" s="4">
        <v>1103</v>
      </c>
      <c r="Y29" s="4"/>
      <c r="Z29" s="4"/>
      <c r="AA29" s="12">
        <f t="shared" si="6"/>
        <v>0</v>
      </c>
      <c r="AC29" s="121" t="s">
        <v>342</v>
      </c>
      <c r="AD29" s="21" t="str">
        <f t="shared" si="8"/>
        <v>л-140100</v>
      </c>
      <c r="AE29" s="79" t="str">
        <f t="shared" si="9"/>
        <v>л</v>
      </c>
      <c r="AF29" s="21" t="str">
        <f t="shared" si="10"/>
        <v>Түүхий эд материал</v>
      </c>
      <c r="AJ29" s="411"/>
      <c r="AK29" s="411"/>
      <c r="AL29" s="411"/>
      <c r="AM29" s="411"/>
    </row>
    <row r="30" spans="1:39" ht="12.75" customHeight="1">
      <c r="A30" s="24"/>
      <c r="B30" s="108">
        <f t="shared" si="7"/>
        <v>27</v>
      </c>
      <c r="C30" s="6">
        <v>121100</v>
      </c>
      <c r="D30" s="121" t="s">
        <v>573</v>
      </c>
      <c r="E30" s="9" t="s">
        <v>32</v>
      </c>
      <c r="F30" s="6"/>
      <c r="G30" s="6"/>
      <c r="H30" s="121">
        <v>0</v>
      </c>
      <c r="I30" s="121">
        <v>0</v>
      </c>
      <c r="J30" s="11">
        <f>+SUMIFS(JURNAL!G:G,JURNAL!E:E,C30,JURNAL!C:C,"&gt;="&amp;$H$1,JURNAL!C:C,"&lt;="&amp;$I$1)</f>
        <v>0</v>
      </c>
      <c r="K30" s="11">
        <f>+SUMIFS(JURNAL!H:H,JURNAL!E:E,C30,JURNAL!C:C,"&gt;="&amp;$H$1,JURNAL!C:C,"&lt;="&amp;$I$1)</f>
        <v>0</v>
      </c>
      <c r="L30" s="26">
        <f t="shared" si="0"/>
        <v>0</v>
      </c>
      <c r="M30" s="27">
        <f t="shared" si="1"/>
        <v>0</v>
      </c>
      <c r="N30" s="11"/>
      <c r="O30" s="335"/>
      <c r="P30" s="11"/>
      <c r="Q30" s="11"/>
      <c r="R30" s="26">
        <f t="shared" si="2"/>
        <v>0</v>
      </c>
      <c r="S30" s="27">
        <f t="shared" si="3"/>
        <v>0</v>
      </c>
      <c r="T30" s="11"/>
      <c r="U30" s="11"/>
      <c r="V30" s="26">
        <f t="shared" si="4"/>
        <v>0</v>
      </c>
      <c r="W30" s="27">
        <f t="shared" si="5"/>
        <v>0</v>
      </c>
      <c r="X30" s="4">
        <v>1104</v>
      </c>
      <c r="Y30" s="4"/>
      <c r="Z30" s="4"/>
      <c r="AA30" s="12">
        <f t="shared" si="6"/>
        <v>0</v>
      </c>
      <c r="AC30" s="121" t="s">
        <v>343</v>
      </c>
      <c r="AD30" s="21" t="str">
        <f t="shared" si="8"/>
        <v>/-140200</v>
      </c>
      <c r="AE30" s="79" t="str">
        <f t="shared" si="9"/>
        <v>/</v>
      </c>
      <c r="AF30" s="21" t="str">
        <f t="shared" si="10"/>
        <v>ШМЗардал ХАТААХ ЦЕХ /нарс/</v>
      </c>
      <c r="AJ30" s="411"/>
      <c r="AK30" s="411"/>
      <c r="AL30" s="411"/>
      <c r="AM30" s="411"/>
    </row>
    <row r="31" spans="1:39" ht="12.75" customHeight="1">
      <c r="A31" s="24"/>
      <c r="B31" s="108">
        <f t="shared" si="7"/>
        <v>28</v>
      </c>
      <c r="C31" s="6">
        <v>121200</v>
      </c>
      <c r="D31" s="121" t="s">
        <v>951</v>
      </c>
      <c r="E31" s="9" t="s">
        <v>32</v>
      </c>
      <c r="F31" s="6"/>
      <c r="G31" s="6"/>
      <c r="H31" s="121">
        <v>980000</v>
      </c>
      <c r="I31" s="121">
        <v>0</v>
      </c>
      <c r="J31" s="11">
        <f>+SUMIFS(JURNAL!G:G,JURNAL!E:E,C31,JURNAL!C:C,"&gt;="&amp;$H$1,JURNAL!C:C,"&lt;="&amp;$I$1)</f>
        <v>0</v>
      </c>
      <c r="K31" s="11">
        <f>+SUMIFS(JURNAL!H:H,JURNAL!E:E,C31,JURNAL!C:C,"&gt;="&amp;$H$1,JURNAL!C:C,"&lt;="&amp;$I$1)</f>
        <v>980000</v>
      </c>
      <c r="L31" s="26">
        <f t="shared" si="0"/>
        <v>0</v>
      </c>
      <c r="M31" s="27">
        <f t="shared" si="1"/>
        <v>0</v>
      </c>
      <c r="N31" s="11"/>
      <c r="O31" s="335"/>
      <c r="P31" s="11"/>
      <c r="Q31" s="11"/>
      <c r="R31" s="26">
        <f t="shared" si="2"/>
        <v>0</v>
      </c>
      <c r="S31" s="27">
        <f t="shared" si="3"/>
        <v>0</v>
      </c>
      <c r="T31" s="11"/>
      <c r="U31" s="11"/>
      <c r="V31" s="26">
        <f t="shared" si="4"/>
        <v>0</v>
      </c>
      <c r="W31" s="27">
        <f t="shared" si="5"/>
        <v>0</v>
      </c>
      <c r="X31" s="4">
        <v>1104</v>
      </c>
      <c r="Y31" s="4"/>
      <c r="Z31" s="4"/>
      <c r="AA31" s="12">
        <f t="shared" si="6"/>
        <v>1</v>
      </c>
      <c r="AC31" s="121" t="s">
        <v>344</v>
      </c>
      <c r="AD31" s="21" t="str">
        <f t="shared" si="8"/>
        <v>/-140300</v>
      </c>
      <c r="AE31" s="79" t="str">
        <f t="shared" si="9"/>
        <v>/</v>
      </c>
      <c r="AF31" s="21" t="str">
        <f t="shared" si="10"/>
        <v>ШХЗардал ХАТААХ ЦЕХ /нарс/</v>
      </c>
      <c r="AJ31" s="411"/>
      <c r="AK31" s="411"/>
      <c r="AL31" s="411"/>
      <c r="AM31" s="411"/>
    </row>
    <row r="32" spans="1:39" ht="12.75" customHeight="1">
      <c r="A32" s="24"/>
      <c r="B32" s="108">
        <f t="shared" si="7"/>
        <v>29</v>
      </c>
      <c r="C32" s="6">
        <v>122000</v>
      </c>
      <c r="D32" s="121" t="s">
        <v>952</v>
      </c>
      <c r="E32" s="9" t="s">
        <v>32</v>
      </c>
      <c r="F32" s="6"/>
      <c r="G32" s="6"/>
      <c r="H32" s="121">
        <v>8</v>
      </c>
      <c r="I32" s="121">
        <v>0</v>
      </c>
      <c r="J32" s="11">
        <f>+SUMIFS(JURNAL!G:G,JURNAL!E:E,C32,JURNAL!C:C,"&gt;="&amp;$H$1,JURNAL!C:C,"&lt;="&amp;$I$1)</f>
        <v>0</v>
      </c>
      <c r="K32" s="11">
        <f>+SUMIFS(JURNAL!H:H,JURNAL!E:E,C32,JURNAL!C:C,"&gt;="&amp;$H$1,JURNAL!C:C,"&lt;="&amp;$I$1)</f>
        <v>8</v>
      </c>
      <c r="L32" s="26">
        <f t="shared" si="0"/>
        <v>0</v>
      </c>
      <c r="M32" s="27">
        <f t="shared" si="1"/>
        <v>0</v>
      </c>
      <c r="N32" s="11"/>
      <c r="O32" s="335"/>
      <c r="P32" s="11"/>
      <c r="Q32" s="11"/>
      <c r="R32" s="26">
        <f t="shared" si="2"/>
        <v>0</v>
      </c>
      <c r="S32" s="27">
        <f t="shared" si="3"/>
        <v>0</v>
      </c>
      <c r="T32" s="11"/>
      <c r="U32" s="11"/>
      <c r="V32" s="26">
        <f t="shared" si="4"/>
        <v>0</v>
      </c>
      <c r="W32" s="27">
        <f t="shared" si="5"/>
        <v>0</v>
      </c>
      <c r="X32" s="4">
        <v>1104</v>
      </c>
      <c r="Y32" s="4"/>
      <c r="Z32" s="4"/>
      <c r="AA32" s="12">
        <f t="shared" si="6"/>
        <v>1</v>
      </c>
      <c r="AC32" s="121" t="s">
        <v>345</v>
      </c>
      <c r="AD32" s="21" t="str">
        <f t="shared" si="8"/>
        <v>/-140400</v>
      </c>
      <c r="AE32" s="79" t="str">
        <f t="shared" si="9"/>
        <v>/</v>
      </c>
      <c r="AF32" s="21" t="str">
        <f t="shared" si="10"/>
        <v>ҮНЗардал ХАТААХ ЦЕХ /нарс/</v>
      </c>
      <c r="AJ32" s="411"/>
      <c r="AK32" s="411"/>
      <c r="AL32" s="411"/>
      <c r="AM32" s="411"/>
    </row>
    <row r="33" spans="1:39" ht="12.75" customHeight="1">
      <c r="A33" s="24"/>
      <c r="B33" s="108">
        <f t="shared" si="7"/>
        <v>30</v>
      </c>
      <c r="C33" s="6">
        <v>122001</v>
      </c>
      <c r="D33" s="121" t="s">
        <v>953</v>
      </c>
      <c r="E33" s="9" t="s">
        <v>30</v>
      </c>
      <c r="F33" s="6"/>
      <c r="G33" s="6"/>
      <c r="H33" s="121">
        <v>0</v>
      </c>
      <c r="I33" s="121">
        <v>0</v>
      </c>
      <c r="J33" s="11">
        <f>+SUMIFS(JURNAL!G:G,JURNAL!E:E,C33,JURNAL!C:C,"&gt;="&amp;$H$1,JURNAL!C:C,"&lt;="&amp;$I$1)</f>
        <v>0</v>
      </c>
      <c r="K33" s="11">
        <f>+SUMIFS(JURNAL!H:H,JURNAL!E:E,C33,JURNAL!C:C,"&gt;="&amp;$H$1,JURNAL!C:C,"&lt;="&amp;$I$1)</f>
        <v>0</v>
      </c>
      <c r="L33" s="26">
        <f t="shared" si="0"/>
        <v>0</v>
      </c>
      <c r="M33" s="27">
        <f t="shared" si="1"/>
        <v>0</v>
      </c>
      <c r="N33" s="11"/>
      <c r="O33" s="335"/>
      <c r="P33" s="11"/>
      <c r="Q33" s="11"/>
      <c r="R33" s="26">
        <f t="shared" si="2"/>
        <v>0</v>
      </c>
      <c r="S33" s="27">
        <f t="shared" si="3"/>
        <v>0</v>
      </c>
      <c r="T33" s="11"/>
      <c r="U33" s="11"/>
      <c r="V33" s="26">
        <f t="shared" si="4"/>
        <v>0</v>
      </c>
      <c r="W33" s="27">
        <f t="shared" si="5"/>
        <v>0</v>
      </c>
      <c r="X33" s="4">
        <v>1104</v>
      </c>
      <c r="Y33" s="4"/>
      <c r="Z33" s="4"/>
      <c r="AA33" s="12">
        <f t="shared" si="6"/>
        <v>0</v>
      </c>
      <c r="AC33" s="121" t="s">
        <v>346</v>
      </c>
      <c r="AD33" s="21" t="str">
        <f t="shared" si="8"/>
        <v>/-140500</v>
      </c>
      <c r="AE33" s="79" t="str">
        <f t="shared" si="9"/>
        <v>/</v>
      </c>
      <c r="AF33" s="21" t="str">
        <f t="shared" si="10"/>
        <v>Нэгтгэл зардал ХАТААХ ЦЕХ /нарс/</v>
      </c>
      <c r="AJ33" s="411"/>
      <c r="AK33" s="411"/>
      <c r="AL33" s="411"/>
      <c r="AM33" s="411"/>
    </row>
    <row r="34" spans="1:39" ht="12.75" customHeight="1">
      <c r="A34" s="24"/>
      <c r="B34" s="108">
        <f t="shared" si="7"/>
        <v>31</v>
      </c>
      <c r="C34" s="6">
        <v>130100</v>
      </c>
      <c r="D34" s="121" t="s">
        <v>582</v>
      </c>
      <c r="E34" s="9" t="s">
        <v>32</v>
      </c>
      <c r="F34" s="6"/>
      <c r="G34" s="6"/>
      <c r="H34" s="121">
        <v>0</v>
      </c>
      <c r="I34" s="121">
        <v>0</v>
      </c>
      <c r="J34" s="11">
        <f>+SUMIFS(JURNAL!G:G,JURNAL!E:E,C34,JURNAL!C:C,"&gt;="&amp;$H$1,JURNAL!C:C,"&lt;="&amp;$I$1)</f>
        <v>0</v>
      </c>
      <c r="K34" s="11">
        <f>+SUMIFS(JURNAL!H:H,JURNAL!E:E,C34,JURNAL!C:C,"&gt;="&amp;$H$1,JURNAL!C:C,"&lt;="&amp;$I$1)</f>
        <v>0</v>
      </c>
      <c r="L34" s="26">
        <f t="shared" si="0"/>
        <v>0</v>
      </c>
      <c r="M34" s="27">
        <f t="shared" si="1"/>
        <v>0</v>
      </c>
      <c r="N34" s="11"/>
      <c r="O34" s="335"/>
      <c r="P34" s="11"/>
      <c r="Q34" s="11"/>
      <c r="R34" s="26">
        <f t="shared" si="2"/>
        <v>0</v>
      </c>
      <c r="S34" s="27">
        <f t="shared" si="3"/>
        <v>0</v>
      </c>
      <c r="T34" s="11"/>
      <c r="U34" s="11"/>
      <c r="V34" s="26">
        <f t="shared" si="4"/>
        <v>0</v>
      </c>
      <c r="W34" s="27">
        <f t="shared" si="5"/>
        <v>0</v>
      </c>
      <c r="X34" s="4">
        <v>1105</v>
      </c>
      <c r="Y34" s="4"/>
      <c r="Z34" s="4"/>
      <c r="AA34" s="12">
        <f t="shared" si="6"/>
        <v>0</v>
      </c>
      <c r="AC34" s="121" t="s">
        <v>347</v>
      </c>
      <c r="AD34" s="21" t="str">
        <f t="shared" si="8"/>
        <v>/-150100</v>
      </c>
      <c r="AE34" s="79" t="str">
        <f t="shared" si="9"/>
        <v>/</v>
      </c>
      <c r="AF34" s="21" t="str">
        <f t="shared" si="10"/>
        <v>Бараа бэлэн бүтээгдэхүүн ХАТААХ ЦЕХ /нарс/</v>
      </c>
      <c r="AJ34" s="411"/>
      <c r="AK34" s="411"/>
      <c r="AL34" s="411"/>
      <c r="AM34" s="411"/>
    </row>
    <row r="35" spans="1:39" ht="12.75" customHeight="1">
      <c r="A35" s="24"/>
      <c r="B35" s="108">
        <f t="shared" si="7"/>
        <v>32</v>
      </c>
      <c r="C35" s="6">
        <v>130500</v>
      </c>
      <c r="D35" s="121" t="s">
        <v>586</v>
      </c>
      <c r="E35" s="9" t="s">
        <v>32</v>
      </c>
      <c r="F35" s="6"/>
      <c r="G35" s="6"/>
      <c r="H35" s="121">
        <v>0</v>
      </c>
      <c r="I35" s="121">
        <v>0</v>
      </c>
      <c r="J35" s="11">
        <f>+SUMIFS(JURNAL!G:G,JURNAL!E:E,C35,JURNAL!C:C,"&gt;="&amp;$H$1,JURNAL!C:C,"&lt;="&amp;$I$1)</f>
        <v>0</v>
      </c>
      <c r="K35" s="11">
        <f>+SUMIFS(JURNAL!H:H,JURNAL!E:E,C35,JURNAL!C:C,"&gt;="&amp;$H$1,JURNAL!C:C,"&lt;="&amp;$I$1)</f>
        <v>0</v>
      </c>
      <c r="L35" s="26">
        <f t="shared" si="0"/>
        <v>0</v>
      </c>
      <c r="M35" s="27">
        <f t="shared" si="1"/>
        <v>0</v>
      </c>
      <c r="N35" s="11"/>
      <c r="O35" s="335"/>
      <c r="P35" s="11"/>
      <c r="Q35" s="11"/>
      <c r="R35" s="26">
        <f t="shared" si="2"/>
        <v>0</v>
      </c>
      <c r="S35" s="27">
        <f t="shared" si="3"/>
        <v>0</v>
      </c>
      <c r="T35" s="11"/>
      <c r="U35" s="11"/>
      <c r="V35" s="26">
        <f t="shared" si="4"/>
        <v>0</v>
      </c>
      <c r="W35" s="27">
        <f t="shared" si="5"/>
        <v>0</v>
      </c>
      <c r="X35" s="4">
        <v>1105</v>
      </c>
      <c r="Y35" s="4"/>
      <c r="Z35" s="4"/>
      <c r="AA35" s="12">
        <f t="shared" si="6"/>
        <v>0</v>
      </c>
      <c r="AC35" s="121"/>
      <c r="AD35" s="238"/>
      <c r="AE35" s="79"/>
      <c r="AF35" s="238"/>
      <c r="AJ35" s="411"/>
      <c r="AK35" s="411"/>
      <c r="AL35" s="411"/>
      <c r="AM35" s="411"/>
    </row>
    <row r="36" spans="1:39" ht="12.75" customHeight="1">
      <c r="A36" s="24"/>
      <c r="B36" s="108">
        <f t="shared" si="7"/>
        <v>33</v>
      </c>
      <c r="C36" s="6">
        <v>140100</v>
      </c>
      <c r="D36" s="121" t="s">
        <v>591</v>
      </c>
      <c r="E36" s="9" t="s">
        <v>32</v>
      </c>
      <c r="F36" s="6"/>
      <c r="G36" s="6"/>
      <c r="H36" s="121">
        <v>147260176.78</v>
      </c>
      <c r="I36" s="121">
        <v>0</v>
      </c>
      <c r="J36" s="11">
        <f>+SUMIFS(JURNAL!G:G,JURNAL!E:E,C36,JURNAL!C:C,"&gt;="&amp;$H$1,JURNAL!C:C,"&lt;="&amp;$I$1)</f>
        <v>0</v>
      </c>
      <c r="K36" s="11">
        <f>+SUMIFS(JURNAL!H:H,JURNAL!E:E,C36,JURNAL!C:C,"&gt;="&amp;$H$1,JURNAL!C:C,"&lt;="&amp;$I$1)</f>
        <v>147260176.77999997</v>
      </c>
      <c r="L36" s="26">
        <f t="shared" si="0"/>
        <v>0</v>
      </c>
      <c r="M36" s="27">
        <f t="shared" si="1"/>
        <v>0</v>
      </c>
      <c r="N36" s="11"/>
      <c r="O36" s="335"/>
      <c r="P36" s="11"/>
      <c r="Q36" s="11"/>
      <c r="R36" s="26">
        <f t="shared" si="2"/>
        <v>0</v>
      </c>
      <c r="S36" s="27">
        <f t="shared" si="3"/>
        <v>0</v>
      </c>
      <c r="T36" s="11"/>
      <c r="U36" s="11"/>
      <c r="V36" s="26">
        <f t="shared" si="4"/>
        <v>0</v>
      </c>
      <c r="W36" s="27">
        <f t="shared" si="5"/>
        <v>0</v>
      </c>
      <c r="X36" s="4">
        <v>1107</v>
      </c>
      <c r="Y36" s="4"/>
      <c r="Z36" s="4"/>
      <c r="AA36" s="12">
        <f t="shared" si="6"/>
        <v>1</v>
      </c>
      <c r="AC36" s="121" t="s">
        <v>348</v>
      </c>
      <c r="AD36" s="21" t="str">
        <f t="shared" si="8"/>
        <v xml:space="preserve"> -160100</v>
      </c>
      <c r="AE36" s="79" t="str">
        <f t="shared" si="9"/>
        <v xml:space="preserve"> </v>
      </c>
      <c r="AF36" s="21" t="str">
        <f t="shared" ref="AF36:AF72" si="12">+SUBSTITUTE(AC36,AD36,AE36)</f>
        <v xml:space="preserve">Барилгын материал </v>
      </c>
      <c r="AJ36" s="411"/>
      <c r="AK36" s="411"/>
      <c r="AL36" s="411"/>
      <c r="AM36" s="411"/>
    </row>
    <row r="37" spans="1:39" ht="12.75" customHeight="1">
      <c r="A37" s="24"/>
      <c r="B37" s="108">
        <f t="shared" si="7"/>
        <v>34</v>
      </c>
      <c r="C37" s="6">
        <v>140200</v>
      </c>
      <c r="D37" s="121" t="s">
        <v>1545</v>
      </c>
      <c r="E37" s="9" t="s">
        <v>32</v>
      </c>
      <c r="F37" s="6"/>
      <c r="G37" s="6"/>
      <c r="H37" s="121">
        <v>0</v>
      </c>
      <c r="I37" s="121">
        <v>0</v>
      </c>
      <c r="J37" s="11">
        <f>+SUMIFS(JURNAL!G:G,JURNAL!E:E,C37,JURNAL!C:C,"&gt;="&amp;$H$1,JURNAL!C:C,"&lt;="&amp;$I$1)</f>
        <v>147260176.77999997</v>
      </c>
      <c r="K37" s="11">
        <f>+SUMIFS(JURNAL!H:H,JURNAL!E:E,C37,JURNAL!C:C,"&gt;="&amp;$H$1,JURNAL!C:C,"&lt;="&amp;$I$1)</f>
        <v>147260176.77999997</v>
      </c>
      <c r="L37" s="26">
        <f t="shared" si="0"/>
        <v>0</v>
      </c>
      <c r="M37" s="27">
        <f t="shared" si="1"/>
        <v>0</v>
      </c>
      <c r="N37" s="11"/>
      <c r="O37" s="335"/>
      <c r="P37" s="11"/>
      <c r="Q37" s="11"/>
      <c r="R37" s="26">
        <f t="shared" si="2"/>
        <v>0</v>
      </c>
      <c r="S37" s="27">
        <f t="shared" si="3"/>
        <v>0</v>
      </c>
      <c r="T37" s="11"/>
      <c r="U37" s="11"/>
      <c r="V37" s="26">
        <f t="shared" si="4"/>
        <v>0</v>
      </c>
      <c r="W37" s="27">
        <f t="shared" si="5"/>
        <v>0</v>
      </c>
      <c r="X37" s="4">
        <v>1107</v>
      </c>
      <c r="Y37" s="4"/>
      <c r="Z37" s="4"/>
      <c r="AA37" s="12">
        <f t="shared" si="6"/>
        <v>1</v>
      </c>
      <c r="AC37" s="121" t="s">
        <v>349</v>
      </c>
      <c r="AD37" s="21" t="str">
        <f t="shared" si="8"/>
        <v>ж-160200</v>
      </c>
      <c r="AE37" s="79" t="str">
        <f t="shared" si="9"/>
        <v>ж</v>
      </c>
      <c r="AF37" s="21" t="str">
        <f t="shared" si="12"/>
        <v>Агуулахад байгаа материал, хангамж</v>
      </c>
      <c r="AJ37" s="411"/>
      <c r="AK37" s="411"/>
      <c r="AL37" s="411"/>
      <c r="AM37" s="411"/>
    </row>
    <row r="38" spans="1:39" ht="12.75" customHeight="1">
      <c r="A38" s="24"/>
      <c r="B38" s="108">
        <f t="shared" si="7"/>
        <v>35</v>
      </c>
      <c r="C38" s="6">
        <v>140201</v>
      </c>
      <c r="D38" s="121" t="s">
        <v>1546</v>
      </c>
      <c r="E38" s="9" t="s">
        <v>32</v>
      </c>
      <c r="F38" s="6"/>
      <c r="G38" s="6"/>
      <c r="H38" s="121">
        <v>0</v>
      </c>
      <c r="I38" s="121">
        <v>0</v>
      </c>
      <c r="J38" s="11">
        <f>+SUMIFS(JURNAL!G:G,JURNAL!E:E,C38,JURNAL!C:C,"&gt;="&amp;$H$1,JURNAL!C:C,"&lt;="&amp;$I$1)</f>
        <v>82600293.549999997</v>
      </c>
      <c r="K38" s="11">
        <f>+SUMIFS(JURNAL!H:H,JURNAL!E:E,C38,JURNAL!C:C,"&gt;="&amp;$H$1,JURNAL!C:C,"&lt;="&amp;$I$1)</f>
        <v>82600293.549999997</v>
      </c>
      <c r="L38" s="26">
        <f t="shared" si="0"/>
        <v>0</v>
      </c>
      <c r="M38" s="27">
        <f t="shared" si="1"/>
        <v>0</v>
      </c>
      <c r="N38" s="11"/>
      <c r="O38" s="335"/>
      <c r="P38" s="11"/>
      <c r="Q38" s="11"/>
      <c r="R38" s="26">
        <f t="shared" si="2"/>
        <v>0</v>
      </c>
      <c r="S38" s="27">
        <f t="shared" si="3"/>
        <v>0</v>
      </c>
      <c r="T38" s="11"/>
      <c r="U38" s="11"/>
      <c r="V38" s="26">
        <f t="shared" si="4"/>
        <v>0</v>
      </c>
      <c r="W38" s="27">
        <f t="shared" si="5"/>
        <v>0</v>
      </c>
      <c r="X38" s="4">
        <v>1107</v>
      </c>
      <c r="Y38" s="4"/>
      <c r="Z38" s="4"/>
      <c r="AA38" s="12">
        <f t="shared" si="6"/>
        <v>1</v>
      </c>
      <c r="AC38" s="121" t="s">
        <v>350</v>
      </c>
      <c r="AD38" s="21" t="str">
        <f t="shared" si="8"/>
        <v xml:space="preserve"> -160300</v>
      </c>
      <c r="AE38" s="79" t="str">
        <f t="shared" si="9"/>
        <v xml:space="preserve"> </v>
      </c>
      <c r="AF38" s="21" t="str">
        <f t="shared" si="12"/>
        <v xml:space="preserve">Сэлбэг хэрэгсэл </v>
      </c>
      <c r="AJ38" s="411"/>
      <c r="AK38" s="411"/>
      <c r="AL38" s="411"/>
      <c r="AM38" s="411"/>
    </row>
    <row r="39" spans="1:39" ht="12.75" customHeight="1">
      <c r="A39" s="24"/>
      <c r="B39" s="108">
        <f t="shared" si="7"/>
        <v>36</v>
      </c>
      <c r="C39" s="6">
        <v>140202</v>
      </c>
      <c r="D39" s="121" t="s">
        <v>1547</v>
      </c>
      <c r="E39" s="9" t="s">
        <v>32</v>
      </c>
      <c r="F39" s="6"/>
      <c r="G39" s="6"/>
      <c r="H39" s="121">
        <v>0</v>
      </c>
      <c r="I39" s="121">
        <v>0</v>
      </c>
      <c r="J39" s="11">
        <f>+SUMIFS(JURNAL!G:G,JURNAL!E:E,C39,JURNAL!C:C,"&gt;="&amp;$H$1,JURNAL!C:C,"&lt;="&amp;$I$1)</f>
        <v>0</v>
      </c>
      <c r="K39" s="11">
        <f>+SUMIFS(JURNAL!H:H,JURNAL!E:E,C39,JURNAL!C:C,"&gt;="&amp;$H$1,JURNAL!C:C,"&lt;="&amp;$I$1)</f>
        <v>0</v>
      </c>
      <c r="L39" s="26">
        <f t="shared" si="0"/>
        <v>0</v>
      </c>
      <c r="M39" s="27">
        <f t="shared" si="1"/>
        <v>0</v>
      </c>
      <c r="N39" s="11"/>
      <c r="O39" s="335"/>
      <c r="P39" s="11"/>
      <c r="Q39" s="11"/>
      <c r="R39" s="26">
        <f t="shared" si="2"/>
        <v>0</v>
      </c>
      <c r="S39" s="27">
        <f t="shared" si="3"/>
        <v>0</v>
      </c>
      <c r="T39" s="11"/>
      <c r="U39" s="11"/>
      <c r="V39" s="26">
        <f t="shared" si="4"/>
        <v>0</v>
      </c>
      <c r="W39" s="27">
        <f t="shared" si="5"/>
        <v>0</v>
      </c>
      <c r="X39" s="4">
        <v>1107</v>
      </c>
      <c r="Y39" s="4"/>
      <c r="Z39" s="4"/>
      <c r="AA39" s="12">
        <f t="shared" si="6"/>
        <v>0</v>
      </c>
      <c r="AC39" s="121" t="s">
        <v>351</v>
      </c>
      <c r="AD39" s="21" t="str">
        <f t="shared" si="8"/>
        <v>а-150500</v>
      </c>
      <c r="AE39" s="79" t="str">
        <f t="shared" si="9"/>
        <v>а</v>
      </c>
      <c r="AF39" s="21" t="str">
        <f t="shared" si="12"/>
        <v>Бараа материалын үнэлгээний хасагдуулга</v>
      </c>
      <c r="AJ39" s="411"/>
      <c r="AK39" s="411"/>
      <c r="AL39" s="411"/>
      <c r="AM39" s="411"/>
    </row>
    <row r="40" spans="1:39" ht="12.75" customHeight="1">
      <c r="A40" s="24"/>
      <c r="B40" s="108">
        <f t="shared" si="7"/>
        <v>37</v>
      </c>
      <c r="C40" s="6">
        <v>140300</v>
      </c>
      <c r="D40" s="121" t="s">
        <v>1548</v>
      </c>
      <c r="E40" s="9" t="s">
        <v>32</v>
      </c>
      <c r="F40" s="6"/>
      <c r="G40" s="6"/>
      <c r="H40" s="121">
        <v>0</v>
      </c>
      <c r="I40" s="121">
        <v>0</v>
      </c>
      <c r="J40" s="11">
        <f>+SUMIFS(JURNAL!G:G,JURNAL!E:E,C40,JURNAL!C:C,"&gt;="&amp;$H$1,JURNAL!C:C,"&lt;="&amp;$I$1)</f>
        <v>0</v>
      </c>
      <c r="K40" s="11">
        <f>+SUMIFS(JURNAL!H:H,JURNAL!E:E,C40,JURNAL!C:C,"&gt;="&amp;$H$1,JURNAL!C:C,"&lt;="&amp;$I$1)</f>
        <v>0</v>
      </c>
      <c r="L40" s="26">
        <f t="shared" si="0"/>
        <v>0</v>
      </c>
      <c r="M40" s="27">
        <f t="shared" si="1"/>
        <v>0</v>
      </c>
      <c r="N40" s="11"/>
      <c r="O40" s="335"/>
      <c r="P40" s="11"/>
      <c r="Q40" s="11"/>
      <c r="R40" s="26">
        <f t="shared" si="2"/>
        <v>0</v>
      </c>
      <c r="S40" s="27">
        <f t="shared" si="3"/>
        <v>0</v>
      </c>
      <c r="T40" s="11"/>
      <c r="U40" s="11"/>
      <c r="V40" s="26">
        <f t="shared" si="4"/>
        <v>0</v>
      </c>
      <c r="W40" s="27">
        <f t="shared" si="5"/>
        <v>0</v>
      </c>
      <c r="X40" s="4">
        <v>1107</v>
      </c>
      <c r="Y40" s="4"/>
      <c r="Z40" s="4"/>
      <c r="AA40" s="12">
        <f t="shared" si="6"/>
        <v>0</v>
      </c>
      <c r="AC40" s="121" t="s">
        <v>352</v>
      </c>
      <c r="AD40" s="21" t="str">
        <f t="shared" si="8"/>
        <v>ө-150800</v>
      </c>
      <c r="AE40" s="79" t="str">
        <f t="shared" si="9"/>
        <v>ө</v>
      </c>
      <c r="AF40" s="21" t="str">
        <f t="shared" si="12"/>
        <v>Бусад эргэлтийн хөрөнгө</v>
      </c>
      <c r="AJ40" s="411"/>
      <c r="AK40" s="411"/>
      <c r="AL40" s="411"/>
      <c r="AM40" s="411"/>
    </row>
    <row r="41" spans="1:39" ht="12.75" customHeight="1">
      <c r="A41" s="24"/>
      <c r="B41" s="108">
        <f t="shared" si="7"/>
        <v>38</v>
      </c>
      <c r="C41" s="6">
        <v>140301</v>
      </c>
      <c r="D41" s="121" t="s">
        <v>1549</v>
      </c>
      <c r="E41" s="9" t="s">
        <v>32</v>
      </c>
      <c r="F41" s="6"/>
      <c r="G41" s="6"/>
      <c r="H41" s="121">
        <v>0</v>
      </c>
      <c r="I41" s="121">
        <v>0</v>
      </c>
      <c r="J41" s="11">
        <f>+SUMIFS(JURNAL!G:G,JURNAL!E:E,C41,JURNAL!C:C,"&gt;="&amp;$H$1,JURNAL!C:C,"&lt;="&amp;$I$1)</f>
        <v>22883091</v>
      </c>
      <c r="K41" s="11">
        <f>+SUMIFS(JURNAL!H:H,JURNAL!E:E,C41,JURNAL!C:C,"&gt;="&amp;$H$1,JURNAL!C:C,"&lt;="&amp;$I$1)</f>
        <v>22883091</v>
      </c>
      <c r="L41" s="26">
        <f t="shared" si="0"/>
        <v>0</v>
      </c>
      <c r="M41" s="27">
        <f t="shared" si="1"/>
        <v>0</v>
      </c>
      <c r="N41" s="11"/>
      <c r="O41" s="335"/>
      <c r="P41" s="11"/>
      <c r="Q41" s="11"/>
      <c r="R41" s="26">
        <f t="shared" si="2"/>
        <v>0</v>
      </c>
      <c r="S41" s="27">
        <f t="shared" si="3"/>
        <v>0</v>
      </c>
      <c r="T41" s="11"/>
      <c r="U41" s="11"/>
      <c r="V41" s="26">
        <f t="shared" si="4"/>
        <v>0</v>
      </c>
      <c r="W41" s="27">
        <f t="shared" si="5"/>
        <v>0</v>
      </c>
      <c r="X41" s="4">
        <v>1107</v>
      </c>
      <c r="Y41" s="4"/>
      <c r="Z41" s="4"/>
      <c r="AA41" s="12">
        <f t="shared" si="6"/>
        <v>1</v>
      </c>
      <c r="AC41" s="121" t="s">
        <v>353</v>
      </c>
      <c r="AD41" s="21" t="str">
        <f t="shared" si="8"/>
        <v>)-150900</v>
      </c>
      <c r="AE41" s="79" t="str">
        <f t="shared" si="9"/>
        <v>)</v>
      </c>
      <c r="AF41" s="21" t="str">
        <f t="shared" si="12"/>
        <v>Борлуулах зорилгоор эзэмшиж буй эргэлтийн бус хөрөнгө (Борлуулах бүлэг хөрөнгө)</v>
      </c>
      <c r="AJ41" s="411"/>
      <c r="AK41" s="411"/>
      <c r="AL41" s="411"/>
      <c r="AM41" s="411"/>
    </row>
    <row r="42" spans="1:39" ht="12.75" customHeight="1">
      <c r="A42" s="24"/>
      <c r="B42" s="108">
        <f t="shared" si="7"/>
        <v>39</v>
      </c>
      <c r="C42" s="6">
        <v>140302</v>
      </c>
      <c r="D42" s="121" t="s">
        <v>1550</v>
      </c>
      <c r="E42" s="9" t="s">
        <v>32</v>
      </c>
      <c r="F42" s="6"/>
      <c r="G42" s="6"/>
      <c r="H42" s="121">
        <v>0</v>
      </c>
      <c r="I42" s="121">
        <v>0</v>
      </c>
      <c r="J42" s="11">
        <f>+SUMIFS(JURNAL!G:G,JURNAL!E:E,C42,JURNAL!C:C,"&gt;="&amp;$H$1,JURNAL!C:C,"&lt;="&amp;$I$1)</f>
        <v>0</v>
      </c>
      <c r="K42" s="11">
        <f>+SUMIFS(JURNAL!H:H,JURNAL!E:E,C42,JURNAL!C:C,"&gt;="&amp;$H$1,JURNAL!C:C,"&lt;="&amp;$I$1)</f>
        <v>0</v>
      </c>
      <c r="L42" s="26">
        <f t="shared" si="0"/>
        <v>0</v>
      </c>
      <c r="M42" s="27">
        <f t="shared" si="1"/>
        <v>0</v>
      </c>
      <c r="N42" s="11"/>
      <c r="O42" s="335"/>
      <c r="P42" s="11"/>
      <c r="Q42" s="11"/>
      <c r="R42" s="26">
        <f t="shared" si="2"/>
        <v>0</v>
      </c>
      <c r="S42" s="27">
        <f t="shared" si="3"/>
        <v>0</v>
      </c>
      <c r="T42" s="11"/>
      <c r="U42" s="11"/>
      <c r="V42" s="26">
        <f t="shared" si="4"/>
        <v>0</v>
      </c>
      <c r="W42" s="27">
        <f t="shared" si="5"/>
        <v>0</v>
      </c>
      <c r="X42" s="4">
        <v>1107</v>
      </c>
      <c r="Y42" s="4"/>
      <c r="Z42" s="4"/>
      <c r="AA42" s="12">
        <f t="shared" si="6"/>
        <v>0</v>
      </c>
      <c r="AC42" s="121" t="s">
        <v>354</v>
      </c>
      <c r="AD42" s="21" t="str">
        <f t="shared" si="8"/>
        <v>T-180100</v>
      </c>
      <c r="AE42" s="79" t="str">
        <f t="shared" si="9"/>
        <v>T</v>
      </c>
      <c r="AF42" s="21" t="str">
        <f t="shared" si="12"/>
        <v>Урьдчилж төлсөн тооцоо MNT</v>
      </c>
      <c r="AJ42" s="411"/>
      <c r="AK42" s="411"/>
      <c r="AL42" s="411"/>
      <c r="AM42" s="411"/>
    </row>
    <row r="43" spans="1:39" ht="12.75" customHeight="1">
      <c r="A43" s="24"/>
      <c r="B43" s="108">
        <f t="shared" si="7"/>
        <v>40</v>
      </c>
      <c r="C43" s="6">
        <v>140400</v>
      </c>
      <c r="D43" s="121" t="s">
        <v>1551</v>
      </c>
      <c r="E43" s="9" t="s">
        <v>32</v>
      </c>
      <c r="F43" s="6"/>
      <c r="G43" s="6"/>
      <c r="H43" s="121">
        <v>0</v>
      </c>
      <c r="I43" s="121">
        <v>0</v>
      </c>
      <c r="J43" s="11">
        <f>+SUMIFS(JURNAL!G:G,JURNAL!E:E,C43,JURNAL!C:C,"&gt;="&amp;$H$1,JURNAL!C:C,"&lt;="&amp;$I$1)</f>
        <v>21679660.25</v>
      </c>
      <c r="K43" s="11">
        <f>+SUMIFS(JURNAL!H:H,JURNAL!E:E,C43,JURNAL!C:C,"&gt;="&amp;$H$1,JURNAL!C:C,"&lt;="&amp;$I$1)</f>
        <v>21679660.25</v>
      </c>
      <c r="L43" s="26">
        <f t="shared" si="0"/>
        <v>0</v>
      </c>
      <c r="M43" s="27">
        <f t="shared" si="1"/>
        <v>0</v>
      </c>
      <c r="N43" s="11"/>
      <c r="O43" s="335"/>
      <c r="P43" s="11"/>
      <c r="Q43" s="11"/>
      <c r="R43" s="26">
        <f t="shared" si="2"/>
        <v>0</v>
      </c>
      <c r="S43" s="27">
        <f t="shared" si="3"/>
        <v>0</v>
      </c>
      <c r="T43" s="11"/>
      <c r="U43" s="11"/>
      <c r="V43" s="26">
        <f t="shared" si="4"/>
        <v>0</v>
      </c>
      <c r="W43" s="27">
        <f t="shared" si="5"/>
        <v>0</v>
      </c>
      <c r="X43" s="4">
        <v>1107</v>
      </c>
      <c r="Y43" s="4"/>
      <c r="Z43" s="4"/>
      <c r="AA43" s="12">
        <f t="shared" si="6"/>
        <v>1</v>
      </c>
      <c r="AC43" s="121" t="s">
        <v>355</v>
      </c>
      <c r="AD43" s="21" t="str">
        <f t="shared" ref="AD43:AD86" si="13">+RIGHT(AC43,8)</f>
        <v>D-180101</v>
      </c>
      <c r="AE43" s="79" t="str">
        <f t="shared" ref="AE43:AE86" si="14">+LEFT(AD43,1)</f>
        <v>D</v>
      </c>
      <c r="AF43" s="21" t="str">
        <f t="shared" si="12"/>
        <v>Урьдчилж төлсөн тооцоо USD</v>
      </c>
      <c r="AJ43" s="411"/>
      <c r="AK43" s="411"/>
      <c r="AL43" s="411"/>
      <c r="AM43" s="411"/>
    </row>
    <row r="44" spans="1:39" ht="12.75" customHeight="1">
      <c r="A44" s="24"/>
      <c r="B44" s="108">
        <f t="shared" si="7"/>
        <v>41</v>
      </c>
      <c r="C44" s="6">
        <v>140401</v>
      </c>
      <c r="D44" s="121" t="s">
        <v>1552</v>
      </c>
      <c r="E44" s="9" t="s">
        <v>32</v>
      </c>
      <c r="F44" s="6"/>
      <c r="G44" s="6"/>
      <c r="H44" s="121">
        <v>0</v>
      </c>
      <c r="I44" s="121">
        <v>0</v>
      </c>
      <c r="J44" s="11">
        <f>+SUMIFS(JURNAL!G:G,JURNAL!E:E,C44,JURNAL!C:C,"&gt;="&amp;$H$1,JURNAL!C:C,"&lt;="&amp;$I$1)</f>
        <v>37058665.839999996</v>
      </c>
      <c r="K44" s="11">
        <f>+SUMIFS(JURNAL!H:H,JURNAL!E:E,C44,JURNAL!C:C,"&gt;="&amp;$H$1,JURNAL!C:C,"&lt;="&amp;$I$1)</f>
        <v>37058665.839999996</v>
      </c>
      <c r="L44" s="26">
        <f t="shared" si="0"/>
        <v>0</v>
      </c>
      <c r="M44" s="27">
        <f t="shared" si="1"/>
        <v>0</v>
      </c>
      <c r="N44" s="11"/>
      <c r="O44" s="335"/>
      <c r="P44" s="11"/>
      <c r="Q44" s="11"/>
      <c r="R44" s="26">
        <f t="shared" si="2"/>
        <v>0</v>
      </c>
      <c r="S44" s="27">
        <f t="shared" si="3"/>
        <v>0</v>
      </c>
      <c r="T44" s="11"/>
      <c r="U44" s="11"/>
      <c r="V44" s="26">
        <f t="shared" si="4"/>
        <v>0</v>
      </c>
      <c r="W44" s="27">
        <f t="shared" si="5"/>
        <v>0</v>
      </c>
      <c r="X44" s="4">
        <v>1107</v>
      </c>
      <c r="Y44" s="4"/>
      <c r="Z44" s="4"/>
      <c r="AA44" s="12">
        <f t="shared" si="6"/>
        <v>1</v>
      </c>
      <c r="AC44" s="121" t="s">
        <v>356</v>
      </c>
      <c r="AD44" s="21" t="str">
        <f t="shared" si="13"/>
        <v xml:space="preserve"> -180200</v>
      </c>
      <c r="AE44" s="79" t="str">
        <f t="shared" si="14"/>
        <v xml:space="preserve"> </v>
      </c>
      <c r="AF44" s="21" t="str">
        <f t="shared" si="12"/>
        <v xml:space="preserve">Урьдчилж төлсөн зардал MNT - Тоног төхөөрөмж </v>
      </c>
      <c r="AJ44" s="411"/>
      <c r="AK44" s="411"/>
      <c r="AL44" s="411"/>
      <c r="AM44" s="411"/>
    </row>
    <row r="45" spans="1:39" ht="12.75" customHeight="1">
      <c r="A45" s="24"/>
      <c r="B45" s="108">
        <f t="shared" si="7"/>
        <v>42</v>
      </c>
      <c r="C45" s="6">
        <v>140402</v>
      </c>
      <c r="D45" s="121" t="s">
        <v>1553</v>
      </c>
      <c r="E45" s="9" t="s">
        <v>32</v>
      </c>
      <c r="F45" s="6"/>
      <c r="G45" s="6"/>
      <c r="H45" s="121">
        <v>0</v>
      </c>
      <c r="I45" s="121">
        <v>0</v>
      </c>
      <c r="J45" s="11">
        <f>+SUMIFS(JURNAL!G:G,JURNAL!E:E,C45,JURNAL!C:C,"&gt;="&amp;$H$1,JURNAL!C:C,"&lt;="&amp;$I$1)</f>
        <v>0</v>
      </c>
      <c r="K45" s="11">
        <f>+SUMIFS(JURNAL!H:H,JURNAL!E:E,C45,JURNAL!C:C,"&gt;="&amp;$H$1,JURNAL!C:C,"&lt;="&amp;$I$1)</f>
        <v>0</v>
      </c>
      <c r="L45" s="26">
        <f t="shared" si="0"/>
        <v>0</v>
      </c>
      <c r="M45" s="27">
        <f t="shared" si="1"/>
        <v>0</v>
      </c>
      <c r="N45" s="11"/>
      <c r="O45" s="335"/>
      <c r="P45" s="11"/>
      <c r="Q45" s="11"/>
      <c r="R45" s="26">
        <f t="shared" si="2"/>
        <v>0</v>
      </c>
      <c r="S45" s="27">
        <f t="shared" si="3"/>
        <v>0</v>
      </c>
      <c r="T45" s="11"/>
      <c r="U45" s="11"/>
      <c r="V45" s="26">
        <f t="shared" si="4"/>
        <v>0</v>
      </c>
      <c r="W45" s="27">
        <f t="shared" si="5"/>
        <v>0</v>
      </c>
      <c r="X45" s="4">
        <v>1107</v>
      </c>
      <c r="Y45" s="4"/>
      <c r="Z45" s="4"/>
      <c r="AA45" s="12">
        <f t="shared" si="6"/>
        <v>0</v>
      </c>
      <c r="AC45" s="121" t="s">
        <v>357</v>
      </c>
      <c r="AD45" s="21" t="str">
        <f t="shared" si="13"/>
        <v>D-180300</v>
      </c>
      <c r="AE45" s="79" t="str">
        <f t="shared" si="14"/>
        <v>D</v>
      </c>
      <c r="AF45" s="21" t="str">
        <f t="shared" si="12"/>
        <v>Урьдчилж төлсөн зардал USD</v>
      </c>
      <c r="AJ45" s="411"/>
      <c r="AK45" s="411"/>
      <c r="AL45" s="411"/>
      <c r="AM45" s="411"/>
    </row>
    <row r="46" spans="1:39" ht="12.75" customHeight="1">
      <c r="A46" s="24"/>
      <c r="B46" s="108">
        <f t="shared" si="7"/>
        <v>43</v>
      </c>
      <c r="C46" s="6">
        <v>140500</v>
      </c>
      <c r="D46" s="121" t="s">
        <v>1554</v>
      </c>
      <c r="E46" s="9" t="s">
        <v>32</v>
      </c>
      <c r="F46" s="6"/>
      <c r="G46" s="6"/>
      <c r="H46" s="121">
        <v>0</v>
      </c>
      <c r="I46" s="121">
        <v>0</v>
      </c>
      <c r="J46" s="11">
        <f>+SUMIFS(JURNAL!G:G,JURNAL!E:E,C46,JURNAL!C:C,"&gt;="&amp;$H$1,JURNAL!C:C,"&lt;="&amp;$I$1)</f>
        <v>168939837.03</v>
      </c>
      <c r="K46" s="11">
        <f>+SUMIFS(JURNAL!H:H,JURNAL!E:E,C46,JURNAL!C:C,"&gt;="&amp;$H$1,JURNAL!C:C,"&lt;="&amp;$I$1)</f>
        <v>168939837.03</v>
      </c>
      <c r="L46" s="26">
        <f t="shared" si="0"/>
        <v>0</v>
      </c>
      <c r="M46" s="27">
        <f t="shared" si="1"/>
        <v>0</v>
      </c>
      <c r="N46" s="11"/>
      <c r="O46" s="335"/>
      <c r="P46" s="11"/>
      <c r="Q46" s="11"/>
      <c r="R46" s="26">
        <f t="shared" si="2"/>
        <v>0</v>
      </c>
      <c r="S46" s="27">
        <f t="shared" si="3"/>
        <v>0</v>
      </c>
      <c r="T46" s="11"/>
      <c r="U46" s="11"/>
      <c r="V46" s="26">
        <f t="shared" si="4"/>
        <v>0</v>
      </c>
      <c r="W46" s="27">
        <f t="shared" si="5"/>
        <v>0</v>
      </c>
      <c r="X46" s="4">
        <v>1107</v>
      </c>
      <c r="Y46" s="4"/>
      <c r="Z46" s="4"/>
      <c r="AA46" s="12">
        <f t="shared" si="6"/>
        <v>1</v>
      </c>
      <c r="AC46" s="121" t="s">
        <v>358</v>
      </c>
      <c r="AD46" s="21" t="str">
        <f t="shared" si="13"/>
        <v>т-180400</v>
      </c>
      <c r="AE46" s="79" t="str">
        <f t="shared" si="14"/>
        <v>т</v>
      </c>
      <c r="AF46" s="21" t="str">
        <f t="shared" si="12"/>
        <v>Материал татан авалт</v>
      </c>
      <c r="AJ46" s="411"/>
      <c r="AK46" s="411"/>
      <c r="AL46" s="411"/>
      <c r="AM46" s="411"/>
    </row>
    <row r="47" spans="1:39" ht="12.75" customHeight="1">
      <c r="A47" s="24"/>
      <c r="B47" s="108">
        <f t="shared" si="7"/>
        <v>44</v>
      </c>
      <c r="C47" s="6">
        <v>140501</v>
      </c>
      <c r="D47" s="121" t="s">
        <v>1555</v>
      </c>
      <c r="E47" s="9" t="s">
        <v>32</v>
      </c>
      <c r="F47" s="6"/>
      <c r="G47" s="6"/>
      <c r="H47" s="121">
        <v>0</v>
      </c>
      <c r="I47" s="121">
        <v>0</v>
      </c>
      <c r="J47" s="11">
        <f>+SUMIFS(JURNAL!G:G,JURNAL!E:E,C47,JURNAL!C:C,"&gt;="&amp;$H$1,JURNAL!C:C,"&lt;="&amp;$I$1)</f>
        <v>142542050.38999999</v>
      </c>
      <c r="K47" s="11">
        <f>+SUMIFS(JURNAL!H:H,JURNAL!E:E,C47,JURNAL!C:C,"&gt;="&amp;$H$1,JURNAL!C:C,"&lt;="&amp;$I$1)</f>
        <v>142542050.38999996</v>
      </c>
      <c r="L47" s="26">
        <f t="shared" si="0"/>
        <v>0</v>
      </c>
      <c r="M47" s="27">
        <f t="shared" si="1"/>
        <v>0</v>
      </c>
      <c r="N47" s="11"/>
      <c r="O47" s="335"/>
      <c r="P47" s="11"/>
      <c r="Q47" s="11"/>
      <c r="R47" s="26">
        <f t="shared" si="2"/>
        <v>0</v>
      </c>
      <c r="S47" s="27">
        <f t="shared" si="3"/>
        <v>0</v>
      </c>
      <c r="T47" s="11"/>
      <c r="U47" s="11"/>
      <c r="V47" s="26">
        <f t="shared" si="4"/>
        <v>0</v>
      </c>
      <c r="W47" s="27">
        <f t="shared" si="5"/>
        <v>0</v>
      </c>
      <c r="X47" s="4">
        <v>1107</v>
      </c>
      <c r="Y47" s="4"/>
      <c r="Z47" s="4"/>
      <c r="AA47" s="12">
        <f t="shared" si="6"/>
        <v>1</v>
      </c>
      <c r="AC47" s="121" t="s">
        <v>359</v>
      </c>
      <c r="AD47" s="21" t="str">
        <f t="shared" si="13"/>
        <v>т-200100</v>
      </c>
      <c r="AE47" s="79" t="str">
        <f t="shared" si="14"/>
        <v>т</v>
      </c>
      <c r="AF47" s="21" t="str">
        <f t="shared" si="12"/>
        <v>Газрын сайжруулалт</v>
      </c>
      <c r="AJ47" s="411"/>
      <c r="AK47" s="411"/>
      <c r="AL47" s="411"/>
      <c r="AM47" s="411"/>
    </row>
    <row r="48" spans="1:39" ht="12.75" customHeight="1">
      <c r="A48" s="24"/>
      <c r="B48" s="108">
        <f t="shared" si="7"/>
        <v>45</v>
      </c>
      <c r="C48" s="6">
        <v>140502</v>
      </c>
      <c r="D48" s="121" t="s">
        <v>1556</v>
      </c>
      <c r="E48" s="9" t="s">
        <v>32</v>
      </c>
      <c r="F48" s="6"/>
      <c r="G48" s="6"/>
      <c r="H48" s="121">
        <v>0</v>
      </c>
      <c r="I48" s="121">
        <v>0</v>
      </c>
      <c r="J48" s="11">
        <f>+SUMIFS(JURNAL!G:G,JURNAL!E:E,C48,JURNAL!C:C,"&gt;="&amp;$H$1,JURNAL!C:C,"&lt;="&amp;$I$1)</f>
        <v>0</v>
      </c>
      <c r="K48" s="11">
        <f>+SUMIFS(JURNAL!H:H,JURNAL!E:E,C48,JURNAL!C:C,"&gt;="&amp;$H$1,JURNAL!C:C,"&lt;="&amp;$I$1)</f>
        <v>0</v>
      </c>
      <c r="L48" s="26">
        <f t="shared" si="0"/>
        <v>0</v>
      </c>
      <c r="M48" s="27">
        <f t="shared" si="1"/>
        <v>0</v>
      </c>
      <c r="N48" s="11"/>
      <c r="O48" s="335"/>
      <c r="P48" s="11"/>
      <c r="Q48" s="11"/>
      <c r="R48" s="26">
        <f t="shared" si="2"/>
        <v>0</v>
      </c>
      <c r="S48" s="27">
        <f t="shared" si="3"/>
        <v>0</v>
      </c>
      <c r="T48" s="11"/>
      <c r="U48" s="11"/>
      <c r="V48" s="26">
        <f t="shared" si="4"/>
        <v>0</v>
      </c>
      <c r="W48" s="27">
        <f t="shared" si="5"/>
        <v>0</v>
      </c>
      <c r="X48" s="4">
        <v>1107</v>
      </c>
      <c r="Y48" s="4"/>
      <c r="Z48" s="4"/>
      <c r="AA48" s="12">
        <f t="shared" si="6"/>
        <v>0</v>
      </c>
      <c r="AC48" s="121" t="s">
        <v>360</v>
      </c>
      <c r="AD48" s="21" t="str">
        <f t="shared" si="13"/>
        <v>ж-200200</v>
      </c>
      <c r="AE48" s="79" t="str">
        <f t="shared" si="14"/>
        <v>ж</v>
      </c>
      <c r="AF48" s="21" t="str">
        <f t="shared" si="12"/>
        <v>Барилга байгууламж</v>
      </c>
      <c r="AJ48" s="411"/>
      <c r="AK48" s="411"/>
      <c r="AL48" s="411"/>
      <c r="AM48" s="411"/>
    </row>
    <row r="49" spans="1:39" ht="12.75" customHeight="1">
      <c r="A49" s="24"/>
      <c r="B49" s="108">
        <f t="shared" si="7"/>
        <v>46</v>
      </c>
      <c r="C49" s="6">
        <v>141200</v>
      </c>
      <c r="D49" s="121" t="s">
        <v>1557</v>
      </c>
      <c r="E49" s="9" t="s">
        <v>32</v>
      </c>
      <c r="F49" s="6"/>
      <c r="G49" s="6"/>
      <c r="H49" s="121">
        <v>0</v>
      </c>
      <c r="I49" s="121">
        <v>0</v>
      </c>
      <c r="J49" s="11">
        <f>+SUMIFS(JURNAL!G:G,JURNAL!E:E,C49,JURNAL!C:C,"&gt;="&amp;$H$1,JURNAL!C:C,"&lt;="&amp;$I$1)</f>
        <v>0</v>
      </c>
      <c r="K49" s="11">
        <f>+SUMIFS(JURNAL!H:H,JURNAL!E:E,C49,JURNAL!C:C,"&gt;="&amp;$H$1,JURNAL!C:C,"&lt;="&amp;$I$1)</f>
        <v>0</v>
      </c>
      <c r="L49" s="26">
        <f t="shared" si="0"/>
        <v>0</v>
      </c>
      <c r="M49" s="27">
        <f t="shared" si="1"/>
        <v>0</v>
      </c>
      <c r="N49" s="11"/>
      <c r="O49" s="335"/>
      <c r="P49" s="11"/>
      <c r="Q49" s="11"/>
      <c r="R49" s="26">
        <f t="shared" si="2"/>
        <v>0</v>
      </c>
      <c r="S49" s="27">
        <f t="shared" si="3"/>
        <v>0</v>
      </c>
      <c r="T49" s="11"/>
      <c r="U49" s="11"/>
      <c r="V49" s="26">
        <f t="shared" si="4"/>
        <v>0</v>
      </c>
      <c r="W49" s="27">
        <f t="shared" si="5"/>
        <v>0</v>
      </c>
      <c r="X49" s="4">
        <v>1107</v>
      </c>
      <c r="Y49" s="4"/>
      <c r="Z49" s="4"/>
      <c r="AA49" s="12">
        <f t="shared" si="6"/>
        <v>0</v>
      </c>
      <c r="AC49" s="121" t="s">
        <v>361</v>
      </c>
      <c r="AD49" s="21" t="str">
        <f t="shared" si="13"/>
        <v>л-200300</v>
      </c>
      <c r="AE49" s="79" t="str">
        <f t="shared" si="14"/>
        <v>л</v>
      </c>
      <c r="AF49" s="21" t="str">
        <f t="shared" si="12"/>
        <v>Тавилга эд хогшил</v>
      </c>
      <c r="AJ49" s="411"/>
      <c r="AK49" s="411"/>
      <c r="AL49" s="411"/>
      <c r="AM49" s="411"/>
    </row>
    <row r="50" spans="1:39" ht="12.75" customHeight="1">
      <c r="A50" s="24"/>
      <c r="B50" s="108">
        <f t="shared" si="7"/>
        <v>47</v>
      </c>
      <c r="C50" s="6">
        <v>141201</v>
      </c>
      <c r="D50" s="121" t="s">
        <v>2282</v>
      </c>
      <c r="E50" s="9" t="s">
        <v>32</v>
      </c>
      <c r="F50" s="6"/>
      <c r="G50" s="6"/>
      <c r="H50" s="121">
        <v>0</v>
      </c>
      <c r="I50" s="121">
        <v>0</v>
      </c>
      <c r="J50" s="11">
        <f>+SUMIFS(JURNAL!G:G,JURNAL!E:E,C50,JURNAL!C:C,"&gt;="&amp;$H$1,JURNAL!C:C,"&lt;="&amp;$I$1)</f>
        <v>0</v>
      </c>
      <c r="K50" s="11">
        <f>+SUMIFS(JURNAL!H:H,JURNAL!E:E,C50,JURNAL!C:C,"&gt;="&amp;$H$1,JURNAL!C:C,"&lt;="&amp;$I$1)</f>
        <v>0</v>
      </c>
      <c r="L50" s="26">
        <f t="shared" si="0"/>
        <v>0</v>
      </c>
      <c r="M50" s="27">
        <f t="shared" si="1"/>
        <v>0</v>
      </c>
      <c r="N50" s="11"/>
      <c r="O50" s="335"/>
      <c r="P50" s="11"/>
      <c r="Q50" s="11"/>
      <c r="R50" s="26">
        <f t="shared" si="2"/>
        <v>0</v>
      </c>
      <c r="S50" s="27">
        <f t="shared" si="3"/>
        <v>0</v>
      </c>
      <c r="T50" s="11"/>
      <c r="U50" s="11"/>
      <c r="V50" s="26">
        <f t="shared" si="4"/>
        <v>0</v>
      </c>
      <c r="W50" s="27">
        <f t="shared" si="5"/>
        <v>0</v>
      </c>
      <c r="X50" s="4">
        <v>1107</v>
      </c>
      <c r="Y50" s="4"/>
      <c r="Z50" s="4"/>
      <c r="AA50" s="12">
        <f t="shared" si="6"/>
        <v>0</v>
      </c>
      <c r="AC50" s="121" t="s">
        <v>362</v>
      </c>
      <c r="AD50" s="21" t="str">
        <f t="shared" si="13"/>
        <v xml:space="preserve"> -200400</v>
      </c>
      <c r="AE50" s="79" t="str">
        <f t="shared" si="14"/>
        <v xml:space="preserve"> </v>
      </c>
      <c r="AF50" s="21" t="str">
        <f t="shared" si="12"/>
        <v xml:space="preserve">Машин, тоног төхөөрөмж </v>
      </c>
      <c r="AJ50" s="411"/>
      <c r="AK50" s="411"/>
      <c r="AL50" s="411"/>
      <c r="AM50" s="411"/>
    </row>
    <row r="51" spans="1:39" ht="12.75" customHeight="1">
      <c r="A51" s="24"/>
      <c r="B51" s="108">
        <f t="shared" si="7"/>
        <v>48</v>
      </c>
      <c r="C51" s="6">
        <v>141300</v>
      </c>
      <c r="D51" s="121" t="s">
        <v>1558</v>
      </c>
      <c r="E51" s="9" t="s">
        <v>32</v>
      </c>
      <c r="F51" s="6"/>
      <c r="G51" s="6"/>
      <c r="H51" s="121">
        <v>0</v>
      </c>
      <c r="I51" s="121">
        <v>0</v>
      </c>
      <c r="J51" s="11">
        <f>+SUMIFS(JURNAL!G:G,JURNAL!E:E,C51,JURNAL!C:C,"&gt;="&amp;$H$1,JURNAL!C:C,"&lt;="&amp;$I$1)</f>
        <v>0</v>
      </c>
      <c r="K51" s="11">
        <f>+SUMIFS(JURNAL!H:H,JURNAL!E:E,C51,JURNAL!C:C,"&gt;="&amp;$H$1,JURNAL!C:C,"&lt;="&amp;$I$1)</f>
        <v>0</v>
      </c>
      <c r="L51" s="26">
        <f t="shared" si="0"/>
        <v>0</v>
      </c>
      <c r="M51" s="27">
        <f t="shared" si="1"/>
        <v>0</v>
      </c>
      <c r="N51" s="11"/>
      <c r="O51" s="335"/>
      <c r="P51" s="11"/>
      <c r="Q51" s="11"/>
      <c r="R51" s="26">
        <f t="shared" si="2"/>
        <v>0</v>
      </c>
      <c r="S51" s="27">
        <f t="shared" si="3"/>
        <v>0</v>
      </c>
      <c r="T51" s="11"/>
      <c r="U51" s="11"/>
      <c r="V51" s="26">
        <f t="shared" si="4"/>
        <v>0</v>
      </c>
      <c r="W51" s="27">
        <f t="shared" si="5"/>
        <v>0</v>
      </c>
      <c r="X51" s="4">
        <v>1107</v>
      </c>
      <c r="Y51" s="4"/>
      <c r="Z51" s="4"/>
      <c r="AA51" s="12">
        <f t="shared" si="6"/>
        <v>0</v>
      </c>
      <c r="AC51" s="121" t="s">
        <v>363</v>
      </c>
      <c r="AD51" s="21" t="str">
        <f t="shared" si="13"/>
        <v>л-200500</v>
      </c>
      <c r="AE51" s="79" t="str">
        <f t="shared" si="14"/>
        <v>л</v>
      </c>
      <c r="AF51" s="21" t="str">
        <f t="shared" si="12"/>
        <v>Тээврийн хэрэгсэл</v>
      </c>
      <c r="AJ51" s="411"/>
      <c r="AK51" s="411"/>
      <c r="AL51" s="411"/>
      <c r="AM51" s="411"/>
    </row>
    <row r="52" spans="1:39" ht="12.75" customHeight="1">
      <c r="A52" s="24"/>
      <c r="B52" s="108">
        <f t="shared" si="7"/>
        <v>49</v>
      </c>
      <c r="C52" s="6">
        <v>141301</v>
      </c>
      <c r="D52" s="121" t="s">
        <v>2285</v>
      </c>
      <c r="E52" s="9" t="s">
        <v>32</v>
      </c>
      <c r="F52" s="6"/>
      <c r="G52" s="6"/>
      <c r="H52" s="121">
        <v>0</v>
      </c>
      <c r="I52" s="121">
        <v>0</v>
      </c>
      <c r="J52" s="11">
        <f>+SUMIFS(JURNAL!G:G,JURNAL!E:E,C52,JURNAL!C:C,"&gt;="&amp;$H$1,JURNAL!C:C,"&lt;="&amp;$I$1)</f>
        <v>0</v>
      </c>
      <c r="K52" s="11">
        <f>+SUMIFS(JURNAL!H:H,JURNAL!E:E,C52,JURNAL!C:C,"&gt;="&amp;$H$1,JURNAL!C:C,"&lt;="&amp;$I$1)</f>
        <v>0</v>
      </c>
      <c r="L52" s="26">
        <f t="shared" si="0"/>
        <v>0</v>
      </c>
      <c r="M52" s="27">
        <f t="shared" si="1"/>
        <v>0</v>
      </c>
      <c r="N52" s="11"/>
      <c r="O52" s="335"/>
      <c r="P52" s="11"/>
      <c r="Q52" s="11"/>
      <c r="R52" s="26">
        <f t="shared" si="2"/>
        <v>0</v>
      </c>
      <c r="S52" s="27">
        <f t="shared" si="3"/>
        <v>0</v>
      </c>
      <c r="T52" s="11"/>
      <c r="U52" s="11"/>
      <c r="V52" s="26">
        <f t="shared" si="4"/>
        <v>0</v>
      </c>
      <c r="W52" s="27">
        <f t="shared" si="5"/>
        <v>0</v>
      </c>
      <c r="X52" s="4">
        <v>1107</v>
      </c>
      <c r="Y52" s="4"/>
      <c r="Z52" s="4"/>
      <c r="AA52" s="12">
        <f t="shared" si="6"/>
        <v>0</v>
      </c>
      <c r="AC52" s="121" t="s">
        <v>364</v>
      </c>
      <c r="AD52" s="21" t="str">
        <f t="shared" si="13"/>
        <v>л-201000</v>
      </c>
      <c r="AE52" s="79" t="str">
        <f t="shared" si="14"/>
        <v>л</v>
      </c>
      <c r="AF52" s="21" t="str">
        <f t="shared" si="12"/>
        <v>Компьютер, дагалдах хэрэгсэл</v>
      </c>
      <c r="AJ52" s="411"/>
      <c r="AK52" s="411"/>
      <c r="AL52" s="411"/>
      <c r="AM52" s="411"/>
    </row>
    <row r="53" spans="1:39" ht="12.75" customHeight="1">
      <c r="A53" s="24"/>
      <c r="B53" s="108">
        <f t="shared" si="7"/>
        <v>50</v>
      </c>
      <c r="C53" s="6">
        <v>141400</v>
      </c>
      <c r="D53" s="121" t="s">
        <v>1559</v>
      </c>
      <c r="E53" s="9" t="s">
        <v>32</v>
      </c>
      <c r="F53" s="6"/>
      <c r="G53" s="6"/>
      <c r="H53" s="121">
        <v>0</v>
      </c>
      <c r="I53" s="121">
        <v>0</v>
      </c>
      <c r="J53" s="11">
        <f>+SUMIFS(JURNAL!G:G,JURNAL!E:E,C53,JURNAL!C:C,"&gt;="&amp;$H$1,JURNAL!C:C,"&lt;="&amp;$I$1)</f>
        <v>0</v>
      </c>
      <c r="K53" s="11">
        <f>+SUMIFS(JURNAL!H:H,JURNAL!E:E,C53,JURNAL!C:C,"&gt;="&amp;$H$1,JURNAL!C:C,"&lt;="&amp;$I$1)</f>
        <v>0</v>
      </c>
      <c r="L53" s="26">
        <f t="shared" si="0"/>
        <v>0</v>
      </c>
      <c r="M53" s="27">
        <f t="shared" si="1"/>
        <v>0</v>
      </c>
      <c r="N53" s="11"/>
      <c r="O53" s="335"/>
      <c r="P53" s="11"/>
      <c r="Q53" s="11"/>
      <c r="R53" s="26">
        <f t="shared" si="2"/>
        <v>0</v>
      </c>
      <c r="S53" s="27">
        <f t="shared" si="3"/>
        <v>0</v>
      </c>
      <c r="T53" s="11"/>
      <c r="U53" s="11"/>
      <c r="V53" s="26">
        <f t="shared" si="4"/>
        <v>0</v>
      </c>
      <c r="W53" s="27">
        <f t="shared" si="5"/>
        <v>0</v>
      </c>
      <c r="X53" s="4">
        <v>1107</v>
      </c>
      <c r="Y53" s="4"/>
      <c r="Z53" s="4"/>
      <c r="AA53" s="12">
        <f t="shared" si="6"/>
        <v>0</v>
      </c>
      <c r="AC53" s="121" t="s">
        <v>365</v>
      </c>
      <c r="AD53" s="21" t="str">
        <f t="shared" si="13"/>
        <v xml:space="preserve"> -200201</v>
      </c>
      <c r="AE53" s="79" t="str">
        <f t="shared" si="14"/>
        <v xml:space="preserve"> </v>
      </c>
      <c r="AF53" s="21" t="str">
        <f t="shared" si="12"/>
        <v xml:space="preserve">Төмөр зам </v>
      </c>
      <c r="AJ53" s="411"/>
      <c r="AK53" s="411"/>
      <c r="AL53" s="411"/>
      <c r="AM53" s="411"/>
    </row>
    <row r="54" spans="1:39" ht="12.75" customHeight="1">
      <c r="A54" s="24"/>
      <c r="B54" s="108">
        <f t="shared" si="7"/>
        <v>51</v>
      </c>
      <c r="C54" s="6">
        <v>141401</v>
      </c>
      <c r="D54" s="121" t="s">
        <v>2283</v>
      </c>
      <c r="E54" s="9" t="s">
        <v>32</v>
      </c>
      <c r="F54" s="6"/>
      <c r="G54" s="6"/>
      <c r="H54" s="121">
        <v>0</v>
      </c>
      <c r="I54" s="121">
        <v>0</v>
      </c>
      <c r="J54" s="11">
        <f>+SUMIFS(JURNAL!G:G,JURNAL!E:E,C54,JURNAL!C:C,"&gt;="&amp;$H$1,JURNAL!C:C,"&lt;="&amp;$I$1)</f>
        <v>0</v>
      </c>
      <c r="K54" s="11">
        <f>+SUMIFS(JURNAL!H:H,JURNAL!E:E,C54,JURNAL!C:C,"&gt;="&amp;$H$1,JURNAL!C:C,"&lt;="&amp;$I$1)</f>
        <v>0</v>
      </c>
      <c r="L54" s="26">
        <f t="shared" si="0"/>
        <v>0</v>
      </c>
      <c r="M54" s="27">
        <f t="shared" si="1"/>
        <v>0</v>
      </c>
      <c r="N54" s="11"/>
      <c r="O54" s="335"/>
      <c r="P54" s="11"/>
      <c r="Q54" s="11"/>
      <c r="R54" s="26">
        <f t="shared" si="2"/>
        <v>0</v>
      </c>
      <c r="S54" s="27">
        <f t="shared" si="3"/>
        <v>0</v>
      </c>
      <c r="T54" s="11"/>
      <c r="U54" s="11"/>
      <c r="V54" s="26">
        <f t="shared" si="4"/>
        <v>0</v>
      </c>
      <c r="W54" s="27">
        <f t="shared" si="5"/>
        <v>0</v>
      </c>
      <c r="X54" s="4">
        <v>1107</v>
      </c>
      <c r="Y54" s="4"/>
      <c r="Z54" s="4"/>
      <c r="AA54" s="12">
        <f t="shared" si="6"/>
        <v>0</v>
      </c>
      <c r="AC54" s="121" t="s">
        <v>366</v>
      </c>
      <c r="AD54" s="21" t="str">
        <f t="shared" si="13"/>
        <v>ө-200600</v>
      </c>
      <c r="AE54" s="79" t="str">
        <f t="shared" si="14"/>
        <v>ө</v>
      </c>
      <c r="AF54" s="21" t="str">
        <f t="shared" si="12"/>
        <v>Бусад үндсэн хөрөнгө</v>
      </c>
      <c r="AJ54" s="411"/>
      <c r="AK54" s="411"/>
      <c r="AL54" s="411"/>
      <c r="AM54" s="411"/>
    </row>
    <row r="55" spans="1:39" ht="12.75" customHeight="1">
      <c r="A55" s="24"/>
      <c r="B55" s="108">
        <f t="shared" si="7"/>
        <v>52</v>
      </c>
      <c r="C55" s="6">
        <v>141500</v>
      </c>
      <c r="D55" s="121" t="s">
        <v>1560</v>
      </c>
      <c r="E55" s="9" t="s">
        <v>32</v>
      </c>
      <c r="F55" s="6"/>
      <c r="G55" s="6"/>
      <c r="H55" s="121">
        <v>0</v>
      </c>
      <c r="I55" s="121">
        <v>0</v>
      </c>
      <c r="J55" s="11">
        <f>+SUMIFS(JURNAL!G:G,JURNAL!E:E,C55,JURNAL!C:C,"&gt;="&amp;$H$1,JURNAL!C:C,"&lt;="&amp;$I$1)</f>
        <v>0</v>
      </c>
      <c r="K55" s="11">
        <f>+SUMIFS(JURNAL!H:H,JURNAL!E:E,C55,JURNAL!C:C,"&gt;="&amp;$H$1,JURNAL!C:C,"&lt;="&amp;$I$1)</f>
        <v>0</v>
      </c>
      <c r="L55" s="26">
        <f t="shared" si="0"/>
        <v>0</v>
      </c>
      <c r="M55" s="27">
        <f t="shared" si="1"/>
        <v>0</v>
      </c>
      <c r="N55" s="11"/>
      <c r="O55" s="335"/>
      <c r="P55" s="11"/>
      <c r="Q55" s="11"/>
      <c r="R55" s="26">
        <f t="shared" si="2"/>
        <v>0</v>
      </c>
      <c r="S55" s="27">
        <f t="shared" si="3"/>
        <v>0</v>
      </c>
      <c r="T55" s="11"/>
      <c r="U55" s="11"/>
      <c r="V55" s="26">
        <f t="shared" si="4"/>
        <v>0</v>
      </c>
      <c r="W55" s="27">
        <f t="shared" si="5"/>
        <v>0</v>
      </c>
      <c r="X55" s="4">
        <v>1107</v>
      </c>
      <c r="Y55" s="4"/>
      <c r="Z55" s="4"/>
      <c r="AA55" s="12">
        <f t="shared" si="6"/>
        <v>0</v>
      </c>
      <c r="AC55" s="121" t="s">
        <v>367</v>
      </c>
      <c r="AD55" s="21" t="str">
        <f t="shared" si="13"/>
        <v>/-200700</v>
      </c>
      <c r="AE55" s="79" t="str">
        <f t="shared" si="14"/>
        <v>/</v>
      </c>
      <c r="AF55" s="21" t="str">
        <f t="shared" si="12"/>
        <v>Дуусаагүй барилга-1 /Кувейт/</v>
      </c>
      <c r="AJ55" s="411"/>
      <c r="AK55" s="411"/>
      <c r="AL55" s="411"/>
      <c r="AM55" s="411"/>
    </row>
    <row r="56" spans="1:39" ht="12.75" customHeight="1">
      <c r="A56" s="24"/>
      <c r="B56" s="108">
        <f t="shared" si="7"/>
        <v>53</v>
      </c>
      <c r="C56" s="6">
        <v>141501</v>
      </c>
      <c r="D56" s="121" t="s">
        <v>2284</v>
      </c>
      <c r="E56" s="9" t="s">
        <v>32</v>
      </c>
      <c r="F56" s="6"/>
      <c r="G56" s="6"/>
      <c r="H56" s="121">
        <v>0</v>
      </c>
      <c r="I56" s="121">
        <v>0</v>
      </c>
      <c r="J56" s="11">
        <f>+SUMIFS(JURNAL!G:G,JURNAL!E:E,C56,JURNAL!C:C,"&gt;="&amp;$H$1,JURNAL!C:C,"&lt;="&amp;$I$1)</f>
        <v>0</v>
      </c>
      <c r="K56" s="11">
        <f>+SUMIFS(JURNAL!H:H,JURNAL!E:E,C56,JURNAL!C:C,"&gt;="&amp;$H$1,JURNAL!C:C,"&lt;="&amp;$I$1)</f>
        <v>0</v>
      </c>
      <c r="L56" s="26">
        <f t="shared" si="0"/>
        <v>0</v>
      </c>
      <c r="M56" s="27">
        <f t="shared" si="1"/>
        <v>0</v>
      </c>
      <c r="N56" s="11"/>
      <c r="O56" s="335"/>
      <c r="P56" s="11"/>
      <c r="Q56" s="11"/>
      <c r="R56" s="26">
        <f t="shared" si="2"/>
        <v>0</v>
      </c>
      <c r="S56" s="27">
        <f t="shared" si="3"/>
        <v>0</v>
      </c>
      <c r="T56" s="11"/>
      <c r="U56" s="11"/>
      <c r="V56" s="26">
        <f t="shared" si="4"/>
        <v>0</v>
      </c>
      <c r="W56" s="27">
        <f t="shared" si="5"/>
        <v>0</v>
      </c>
      <c r="X56" s="4">
        <v>1107</v>
      </c>
      <c r="Y56" s="4"/>
      <c r="Z56" s="4"/>
      <c r="AA56" s="12">
        <f t="shared" si="6"/>
        <v>0</v>
      </c>
      <c r="AC56" s="121" t="s">
        <v>368</v>
      </c>
      <c r="AD56" s="21" t="str">
        <f t="shared" si="13"/>
        <v>л-200800</v>
      </c>
      <c r="AE56" s="79" t="str">
        <f t="shared" si="14"/>
        <v>л</v>
      </c>
      <c r="AF56" s="21" t="str">
        <f t="shared" si="12"/>
        <v>Багаж хэрэгсэл</v>
      </c>
      <c r="AJ56" s="411"/>
      <c r="AK56" s="411"/>
      <c r="AL56" s="411"/>
      <c r="AM56" s="411"/>
    </row>
    <row r="57" spans="1:39" ht="12.75" customHeight="1">
      <c r="A57" s="24"/>
      <c r="B57" s="108">
        <f t="shared" si="7"/>
        <v>54</v>
      </c>
      <c r="C57" s="6">
        <v>150100</v>
      </c>
      <c r="D57" s="121" t="s">
        <v>1561</v>
      </c>
      <c r="E57" s="9" t="s">
        <v>32</v>
      </c>
      <c r="F57" s="6"/>
      <c r="G57" s="6"/>
      <c r="H57" s="121">
        <v>46312684.789999999</v>
      </c>
      <c r="I57" s="121">
        <v>0</v>
      </c>
      <c r="J57" s="11">
        <f>+SUMIFS(JURNAL!G:G,JURNAL!E:E,C57,JURNAL!C:C,"&gt;="&amp;$H$1,JURNAL!C:C,"&lt;="&amp;$I$1)</f>
        <v>168939837.03</v>
      </c>
      <c r="K57" s="11">
        <f>+SUMIFS(JURNAL!H:H,JURNAL!E:E,C57,JURNAL!C:C,"&gt;="&amp;$H$1,JURNAL!C:C,"&lt;="&amp;$I$1)</f>
        <v>82600293.549999997</v>
      </c>
      <c r="L57" s="26">
        <f t="shared" si="0"/>
        <v>132652228.27</v>
      </c>
      <c r="M57" s="27">
        <f t="shared" si="1"/>
        <v>0</v>
      </c>
      <c r="N57" s="11"/>
      <c r="O57" s="335"/>
      <c r="P57" s="11"/>
      <c r="Q57" s="11"/>
      <c r="R57" s="26">
        <f t="shared" si="2"/>
        <v>132652228.27</v>
      </c>
      <c r="S57" s="27">
        <f t="shared" si="3"/>
        <v>0</v>
      </c>
      <c r="T57" s="11"/>
      <c r="U57" s="11"/>
      <c r="V57" s="26">
        <f t="shared" si="4"/>
        <v>132652228.27</v>
      </c>
      <c r="W57" s="27">
        <f t="shared" si="5"/>
        <v>0</v>
      </c>
      <c r="X57" s="4">
        <v>1107</v>
      </c>
      <c r="Y57" s="4"/>
      <c r="Z57" s="4"/>
      <c r="AA57" s="12">
        <f>+IF(H57+I57+J57+K57+L57+M57+N57+O57+R57+S57+T57+U57+V57+W57,1,0)</f>
        <v>1</v>
      </c>
      <c r="AC57" s="121" t="s">
        <v>369</v>
      </c>
      <c r="AD57" s="21" t="str">
        <f t="shared" si="13"/>
        <v>ө-200900</v>
      </c>
      <c r="AE57" s="79" t="str">
        <f t="shared" si="14"/>
        <v>ө</v>
      </c>
      <c r="AF57" s="21" t="str">
        <f t="shared" si="12"/>
        <v>Биологийн хөрөнгө</v>
      </c>
      <c r="AJ57" s="411"/>
      <c r="AK57" s="411"/>
      <c r="AL57" s="411"/>
      <c r="AM57" s="411"/>
    </row>
    <row r="58" spans="1:39" ht="12.75" customHeight="1">
      <c r="A58" s="24"/>
      <c r="B58" s="108">
        <f t="shared" si="7"/>
        <v>55</v>
      </c>
      <c r="C58" s="6">
        <v>150101</v>
      </c>
      <c r="D58" s="121" t="s">
        <v>1562</v>
      </c>
      <c r="E58" s="9" t="s">
        <v>32</v>
      </c>
      <c r="F58" s="6"/>
      <c r="G58" s="6"/>
      <c r="H58" s="121">
        <v>529308218.76999998</v>
      </c>
      <c r="I58" s="121">
        <v>0</v>
      </c>
      <c r="J58" s="11">
        <f>+SUMIFS(JURNAL!G:G,JURNAL!E:E,C58,JURNAL!C:C,"&gt;="&amp;$H$1,JURNAL!C:C,"&lt;="&amp;$I$1)</f>
        <v>142542050.38999996</v>
      </c>
      <c r="K58" s="11">
        <f>+SUMIFS(JURNAL!H:H,JURNAL!E:E,C58,JURNAL!C:C,"&gt;="&amp;$H$1,JURNAL!C:C,"&lt;="&amp;$I$1)</f>
        <v>20641502.192592081</v>
      </c>
      <c r="L58" s="26">
        <f t="shared" si="0"/>
        <v>651208766.96740794</v>
      </c>
      <c r="M58" s="27">
        <f t="shared" si="1"/>
        <v>0</v>
      </c>
      <c r="N58" s="11"/>
      <c r="O58" s="335"/>
      <c r="P58" s="11"/>
      <c r="Q58" s="11"/>
      <c r="R58" s="26">
        <f t="shared" si="2"/>
        <v>651208766.96740794</v>
      </c>
      <c r="S58" s="27">
        <f t="shared" si="3"/>
        <v>0</v>
      </c>
      <c r="T58" s="11"/>
      <c r="U58" s="11"/>
      <c r="V58" s="26">
        <f t="shared" si="4"/>
        <v>651208766.96740794</v>
      </c>
      <c r="W58" s="27">
        <f t="shared" si="5"/>
        <v>0</v>
      </c>
      <c r="X58" s="4">
        <v>1107</v>
      </c>
      <c r="Y58" s="4"/>
      <c r="Z58" s="4"/>
      <c r="AA58" s="12">
        <f t="shared" si="6"/>
        <v>1</v>
      </c>
      <c r="AC58" s="121" t="s">
        <v>370</v>
      </c>
      <c r="AD58" s="21" t="str">
        <f t="shared" si="13"/>
        <v>ж-201200</v>
      </c>
      <c r="AE58" s="79" t="str">
        <f t="shared" si="14"/>
        <v>ж</v>
      </c>
      <c r="AF58" s="21" t="str">
        <f t="shared" si="12"/>
        <v>Хуримтлагдсан элэгдэл - Барилга байгууламж</v>
      </c>
      <c r="AJ58" s="411"/>
      <c r="AK58" s="411"/>
      <c r="AL58" s="411"/>
      <c r="AM58" s="411"/>
    </row>
    <row r="59" spans="1:39" ht="12.75" customHeight="1">
      <c r="A59" s="24"/>
      <c r="B59" s="108">
        <f t="shared" si="7"/>
        <v>56</v>
      </c>
      <c r="C59" s="6">
        <v>150102</v>
      </c>
      <c r="D59" s="121" t="s">
        <v>1563</v>
      </c>
      <c r="E59" s="9" t="s">
        <v>32</v>
      </c>
      <c r="F59" s="6"/>
      <c r="G59" s="6"/>
      <c r="H59" s="121">
        <v>0</v>
      </c>
      <c r="I59" s="121">
        <v>0</v>
      </c>
      <c r="J59" s="11">
        <f>+SUMIFS(JURNAL!G:G,JURNAL!E:E,C59,JURNAL!C:C,"&gt;="&amp;$H$1,JURNAL!C:C,"&lt;="&amp;$I$1)</f>
        <v>0</v>
      </c>
      <c r="K59" s="11">
        <f>+SUMIFS(JURNAL!H:H,JURNAL!E:E,C59,JURNAL!C:C,"&gt;="&amp;$H$1,JURNAL!C:C,"&lt;="&amp;$I$1)</f>
        <v>0</v>
      </c>
      <c r="L59" s="26">
        <f t="shared" si="0"/>
        <v>0</v>
      </c>
      <c r="M59" s="27">
        <f t="shared" si="1"/>
        <v>0</v>
      </c>
      <c r="N59" s="11"/>
      <c r="O59" s="335"/>
      <c r="P59" s="11"/>
      <c r="Q59" s="11"/>
      <c r="R59" s="26">
        <f t="shared" si="2"/>
        <v>0</v>
      </c>
      <c r="S59" s="27">
        <f t="shared" si="3"/>
        <v>0</v>
      </c>
      <c r="T59" s="11"/>
      <c r="U59" s="11"/>
      <c r="V59" s="26">
        <f t="shared" si="4"/>
        <v>0</v>
      </c>
      <c r="W59" s="27">
        <f t="shared" si="5"/>
        <v>0</v>
      </c>
      <c r="X59" s="4">
        <v>1107</v>
      </c>
      <c r="Y59" s="4"/>
      <c r="Z59" s="4"/>
      <c r="AA59" s="12">
        <f t="shared" si="6"/>
        <v>0</v>
      </c>
      <c r="AC59" s="121" t="s">
        <v>371</v>
      </c>
      <c r="AD59" s="21" t="str">
        <f t="shared" si="13"/>
        <v>л-201300</v>
      </c>
      <c r="AE59" s="79" t="str">
        <f t="shared" si="14"/>
        <v>л</v>
      </c>
      <c r="AF59" s="21" t="str">
        <f t="shared" si="12"/>
        <v>Хуримтлагдсан элэгдэл - Тавилга эд хогшил</v>
      </c>
      <c r="AJ59" s="411"/>
      <c r="AK59" s="411"/>
      <c r="AL59" s="411"/>
      <c r="AM59" s="411"/>
    </row>
    <row r="60" spans="1:39" ht="12.75" customHeight="1">
      <c r="A60" s="24"/>
      <c r="B60" s="108">
        <f t="shared" si="7"/>
        <v>57</v>
      </c>
      <c r="C60" s="6">
        <v>151100</v>
      </c>
      <c r="D60" s="121" t="s">
        <v>1564</v>
      </c>
      <c r="E60" s="9" t="s">
        <v>32</v>
      </c>
      <c r="F60" s="6"/>
      <c r="G60" s="6"/>
      <c r="H60" s="121">
        <v>0</v>
      </c>
      <c r="I60" s="121">
        <v>0</v>
      </c>
      <c r="J60" s="11">
        <f>+SUMIFS(JURNAL!G:G,JURNAL!E:E,C60,JURNAL!C:C,"&gt;="&amp;$H$1,JURNAL!C:C,"&lt;="&amp;$I$1)</f>
        <v>0</v>
      </c>
      <c r="K60" s="11">
        <f>+SUMIFS(JURNAL!H:H,JURNAL!E:E,C60,JURNAL!C:C,"&gt;="&amp;$H$1,JURNAL!C:C,"&lt;="&amp;$I$1)</f>
        <v>0</v>
      </c>
      <c r="L60" s="26">
        <f t="shared" si="0"/>
        <v>0</v>
      </c>
      <c r="M60" s="27">
        <f t="shared" si="1"/>
        <v>0</v>
      </c>
      <c r="N60" s="11"/>
      <c r="O60" s="335"/>
      <c r="P60" s="11"/>
      <c r="Q60" s="11"/>
      <c r="R60" s="26">
        <f t="shared" si="2"/>
        <v>0</v>
      </c>
      <c r="S60" s="27">
        <f t="shared" si="3"/>
        <v>0</v>
      </c>
      <c r="T60" s="11"/>
      <c r="U60" s="11"/>
      <c r="V60" s="26">
        <f t="shared" si="4"/>
        <v>0</v>
      </c>
      <c r="W60" s="27">
        <f t="shared" si="5"/>
        <v>0</v>
      </c>
      <c r="X60" s="4">
        <v>1107</v>
      </c>
      <c r="Y60" s="4"/>
      <c r="Z60" s="4"/>
      <c r="AA60" s="12">
        <f t="shared" si="6"/>
        <v>0</v>
      </c>
      <c r="AC60" s="121" t="s">
        <v>372</v>
      </c>
      <c r="AD60" s="21" t="str">
        <f t="shared" si="13"/>
        <v>ж-201400</v>
      </c>
      <c r="AE60" s="79" t="str">
        <f t="shared" si="14"/>
        <v>ж</v>
      </c>
      <c r="AF60" s="21" t="str">
        <f t="shared" si="12"/>
        <v>Хуримтлагдсан элэгдэл - Машин тоног төхөөрөмж</v>
      </c>
      <c r="AJ60" s="411"/>
      <c r="AK60" s="411"/>
      <c r="AL60" s="411"/>
      <c r="AM60" s="411"/>
    </row>
    <row r="61" spans="1:39" ht="12.75" customHeight="1">
      <c r="A61" s="24"/>
      <c r="B61" s="108">
        <f t="shared" si="7"/>
        <v>58</v>
      </c>
      <c r="C61" s="6">
        <v>151101</v>
      </c>
      <c r="D61" s="121" t="s">
        <v>1565</v>
      </c>
      <c r="E61" s="9" t="s">
        <v>32</v>
      </c>
      <c r="F61" s="6"/>
      <c r="G61" s="6"/>
      <c r="H61" s="121">
        <v>0</v>
      </c>
      <c r="I61" s="121">
        <v>0</v>
      </c>
      <c r="J61" s="11">
        <f>+SUMIFS(JURNAL!G:G,JURNAL!E:E,C61,JURNAL!C:C,"&gt;="&amp;$H$1,JURNAL!C:C,"&lt;="&amp;$I$1)</f>
        <v>0</v>
      </c>
      <c r="K61" s="11">
        <f>+SUMIFS(JURNAL!H:H,JURNAL!E:E,C61,JURNAL!C:C,"&gt;="&amp;$H$1,JURNAL!C:C,"&lt;="&amp;$I$1)</f>
        <v>0</v>
      </c>
      <c r="L61" s="26">
        <f t="shared" si="0"/>
        <v>0</v>
      </c>
      <c r="M61" s="27">
        <f t="shared" si="1"/>
        <v>0</v>
      </c>
      <c r="N61" s="11"/>
      <c r="O61" s="335"/>
      <c r="P61" s="11"/>
      <c r="Q61" s="11"/>
      <c r="R61" s="26">
        <f t="shared" si="2"/>
        <v>0</v>
      </c>
      <c r="S61" s="27">
        <f t="shared" si="3"/>
        <v>0</v>
      </c>
      <c r="T61" s="11"/>
      <c r="U61" s="11"/>
      <c r="V61" s="26">
        <f t="shared" si="4"/>
        <v>0</v>
      </c>
      <c r="W61" s="27">
        <f t="shared" si="5"/>
        <v>0</v>
      </c>
      <c r="X61" s="4">
        <v>1107</v>
      </c>
      <c r="Y61" s="4"/>
      <c r="Z61" s="4"/>
      <c r="AA61" s="12">
        <f t="shared" si="6"/>
        <v>0</v>
      </c>
      <c r="AC61" s="121" t="s">
        <v>373</v>
      </c>
      <c r="AD61" s="21" t="str">
        <f t="shared" si="13"/>
        <v>л-201500</v>
      </c>
      <c r="AE61" s="79" t="str">
        <f t="shared" si="14"/>
        <v>л</v>
      </c>
      <c r="AF61" s="21" t="str">
        <f t="shared" si="12"/>
        <v>Хуримтлагдсан элэгдэл - Тээврийн хэрэгсэл</v>
      </c>
      <c r="AJ61" s="411"/>
      <c r="AK61" s="411"/>
      <c r="AL61" s="411"/>
      <c r="AM61" s="411"/>
    </row>
    <row r="62" spans="1:39" ht="12.75" customHeight="1">
      <c r="A62" s="24"/>
      <c r="B62" s="108">
        <f t="shared" si="7"/>
        <v>59</v>
      </c>
      <c r="C62" s="6">
        <v>160100</v>
      </c>
      <c r="D62" s="121" t="s">
        <v>954</v>
      </c>
      <c r="E62" s="9" t="s">
        <v>32</v>
      </c>
      <c r="F62" s="6"/>
      <c r="G62" s="6"/>
      <c r="H62" s="121">
        <v>139494959.66999999</v>
      </c>
      <c r="I62" s="121">
        <v>0</v>
      </c>
      <c r="J62" s="11">
        <f>+SUMIFS(JURNAL!G:G,JURNAL!E:E,C62,JURNAL!C:C,"&gt;="&amp;$H$1,JURNAL!C:C,"&lt;="&amp;$I$1)</f>
        <v>2853381.8163636364</v>
      </c>
      <c r="K62" s="11">
        <f>+SUMIFS(JURNAL!H:H,JURNAL!E:E,C62,JURNAL!C:C,"&gt;="&amp;$H$1,JURNAL!C:C,"&lt;="&amp;$I$1)</f>
        <v>3096238.4109759512</v>
      </c>
      <c r="L62" s="26">
        <f t="shared" si="0"/>
        <v>139252103.07538766</v>
      </c>
      <c r="M62" s="27">
        <f t="shared" si="1"/>
        <v>0</v>
      </c>
      <c r="N62" s="11"/>
      <c r="O62" s="335"/>
      <c r="P62" s="11"/>
      <c r="Q62" s="11"/>
      <c r="R62" s="26">
        <f t="shared" si="2"/>
        <v>139252103.07538766</v>
      </c>
      <c r="S62" s="27">
        <f t="shared" si="3"/>
        <v>0</v>
      </c>
      <c r="T62" s="11"/>
      <c r="U62" s="11"/>
      <c r="V62" s="26">
        <f t="shared" si="4"/>
        <v>139252103.07538766</v>
      </c>
      <c r="W62" s="27">
        <f t="shared" si="5"/>
        <v>0</v>
      </c>
      <c r="X62" s="4">
        <v>1107</v>
      </c>
      <c r="Y62" s="4"/>
      <c r="Z62" s="4"/>
      <c r="AA62" s="12">
        <f t="shared" si="6"/>
        <v>1</v>
      </c>
      <c r="AC62" s="121" t="s">
        <v>374</v>
      </c>
      <c r="AD62" s="21" t="str">
        <f t="shared" si="13"/>
        <v>ө-201600</v>
      </c>
      <c r="AE62" s="79" t="str">
        <f t="shared" si="14"/>
        <v>ө</v>
      </c>
      <c r="AF62" s="21" t="str">
        <f t="shared" si="12"/>
        <v>Хуримтлагдсан элэгдэл - Бусад үндсэн хөрөнгө</v>
      </c>
      <c r="AJ62" s="411"/>
      <c r="AK62" s="411"/>
      <c r="AL62" s="411"/>
      <c r="AM62" s="411"/>
    </row>
    <row r="63" spans="1:39" ht="12.75" customHeight="1">
      <c r="A63" s="24"/>
      <c r="B63" s="108">
        <f t="shared" si="7"/>
        <v>60</v>
      </c>
      <c r="C63" s="6">
        <v>160200</v>
      </c>
      <c r="D63" s="121" t="s">
        <v>622</v>
      </c>
      <c r="E63" s="9" t="s">
        <v>32</v>
      </c>
      <c r="F63" s="6"/>
      <c r="G63" s="6"/>
      <c r="H63" s="121">
        <v>6110006.0900000008</v>
      </c>
      <c r="I63" s="121">
        <v>0</v>
      </c>
      <c r="J63" s="11">
        <f>+SUMIFS(JURNAL!G:G,JURNAL!E:E,C63,JURNAL!C:C,"&gt;="&amp;$H$1,JURNAL!C:C,"&lt;="&amp;$I$1)</f>
        <v>2522000</v>
      </c>
      <c r="K63" s="11">
        <f>+SUMIFS(JURNAL!H:H,JURNAL!E:E,C63,JURNAL!C:C,"&gt;="&amp;$H$1,JURNAL!C:C,"&lt;="&amp;$I$1)</f>
        <v>0</v>
      </c>
      <c r="L63" s="26">
        <f t="shared" si="0"/>
        <v>8632006.0899999999</v>
      </c>
      <c r="M63" s="27">
        <f t="shared" si="1"/>
        <v>0</v>
      </c>
      <c r="N63" s="11"/>
      <c r="O63" s="335"/>
      <c r="P63" s="11"/>
      <c r="Q63" s="11"/>
      <c r="R63" s="26">
        <f t="shared" si="2"/>
        <v>8632006.0899999999</v>
      </c>
      <c r="S63" s="27">
        <f t="shared" si="3"/>
        <v>0</v>
      </c>
      <c r="T63" s="11"/>
      <c r="U63" s="11"/>
      <c r="V63" s="26">
        <f t="shared" si="4"/>
        <v>8632006.0899999999</v>
      </c>
      <c r="W63" s="27">
        <f t="shared" si="5"/>
        <v>0</v>
      </c>
      <c r="X63" s="4">
        <v>1107</v>
      </c>
      <c r="Y63" s="4"/>
      <c r="Z63" s="4"/>
      <c r="AA63" s="12">
        <f t="shared" si="6"/>
        <v>1</v>
      </c>
      <c r="AC63" s="121" t="s">
        <v>375</v>
      </c>
      <c r="AD63" s="21" t="str">
        <f t="shared" si="13"/>
        <v>л-201800</v>
      </c>
      <c r="AE63" s="79" t="str">
        <f t="shared" si="14"/>
        <v>л</v>
      </c>
      <c r="AF63" s="21" t="str">
        <f t="shared" si="12"/>
        <v>Хуримтлагдсан элэгдэл - Багаж хэрэгсэл</v>
      </c>
      <c r="AJ63" s="411"/>
      <c r="AK63" s="411"/>
      <c r="AL63" s="411"/>
      <c r="AM63" s="411"/>
    </row>
    <row r="64" spans="1:39" ht="12.75" customHeight="1">
      <c r="A64" s="24"/>
      <c r="B64" s="108">
        <f t="shared" si="7"/>
        <v>61</v>
      </c>
      <c r="C64" s="6">
        <v>160201</v>
      </c>
      <c r="D64" s="121" t="s">
        <v>1566</v>
      </c>
      <c r="E64" s="9" t="s">
        <v>32</v>
      </c>
      <c r="F64" s="6"/>
      <c r="G64" s="6"/>
      <c r="H64" s="121">
        <v>375918.57</v>
      </c>
      <c r="I64" s="121">
        <v>0</v>
      </c>
      <c r="J64" s="11">
        <f>+SUMIFS(JURNAL!G:G,JURNAL!E:E,C64,JURNAL!C:C,"&gt;="&amp;$H$1,JURNAL!C:C,"&lt;="&amp;$I$1)</f>
        <v>0</v>
      </c>
      <c r="K64" s="11">
        <f>+SUMIFS(JURNAL!H:H,JURNAL!E:E,C64,JURNAL!C:C,"&gt;="&amp;$H$1,JURNAL!C:C,"&lt;="&amp;$I$1)</f>
        <v>0</v>
      </c>
      <c r="L64" s="26">
        <f t="shared" si="0"/>
        <v>375918.57</v>
      </c>
      <c r="M64" s="27">
        <f t="shared" si="1"/>
        <v>0</v>
      </c>
      <c r="N64" s="11"/>
      <c r="O64" s="335"/>
      <c r="P64" s="11"/>
      <c r="Q64" s="11"/>
      <c r="R64" s="26">
        <f t="shared" si="2"/>
        <v>375918.57</v>
      </c>
      <c r="S64" s="27">
        <f t="shared" si="3"/>
        <v>0</v>
      </c>
      <c r="T64" s="11"/>
      <c r="U64" s="11"/>
      <c r="V64" s="26">
        <f t="shared" si="4"/>
        <v>375918.57</v>
      </c>
      <c r="W64" s="27">
        <f t="shared" si="5"/>
        <v>0</v>
      </c>
      <c r="X64" s="4">
        <v>1107</v>
      </c>
      <c r="Y64" s="4"/>
      <c r="Z64" s="4"/>
      <c r="AA64" s="12">
        <f t="shared" si="6"/>
        <v>1</v>
      </c>
      <c r="AC64" s="121" t="s">
        <v>376</v>
      </c>
      <c r="AD64" s="21" t="str">
        <f t="shared" si="13"/>
        <v>л-202000</v>
      </c>
      <c r="AE64" s="79" t="str">
        <f t="shared" si="14"/>
        <v>л</v>
      </c>
      <c r="AF64" s="21" t="str">
        <f t="shared" si="12"/>
        <v>Хуримтлагдсан элэгдэл - Комъпютер, дагалдах хэрэгсэл</v>
      </c>
      <c r="AJ64" s="411"/>
      <c r="AK64" s="411"/>
      <c r="AL64" s="411"/>
      <c r="AM64" s="411"/>
    </row>
    <row r="65" spans="1:39" ht="12.75" customHeight="1">
      <c r="A65" s="24"/>
      <c r="B65" s="108">
        <f t="shared" si="7"/>
        <v>62</v>
      </c>
      <c r="C65" s="6">
        <v>160300</v>
      </c>
      <c r="D65" s="121" t="s">
        <v>955</v>
      </c>
      <c r="E65" s="9" t="s">
        <v>32</v>
      </c>
      <c r="F65" s="6"/>
      <c r="G65" s="6"/>
      <c r="H65" s="121">
        <v>0</v>
      </c>
      <c r="I65" s="121">
        <v>0</v>
      </c>
      <c r="J65" s="11">
        <f>+SUMIFS(JURNAL!G:G,JURNAL!E:E,C65,JURNAL!C:C,"&gt;="&amp;$H$1,JURNAL!C:C,"&lt;="&amp;$I$1)</f>
        <v>0</v>
      </c>
      <c r="K65" s="11">
        <f>+SUMIFS(JURNAL!H:H,JURNAL!E:E,C65,JURNAL!C:C,"&gt;="&amp;$H$1,JURNAL!C:C,"&lt;="&amp;$I$1)</f>
        <v>0</v>
      </c>
      <c r="L65" s="26">
        <f t="shared" si="0"/>
        <v>0</v>
      </c>
      <c r="M65" s="27">
        <f t="shared" si="1"/>
        <v>0</v>
      </c>
      <c r="N65" s="11"/>
      <c r="O65" s="335"/>
      <c r="P65" s="11"/>
      <c r="Q65" s="11"/>
      <c r="R65" s="26">
        <f t="shared" si="2"/>
        <v>0</v>
      </c>
      <c r="S65" s="27">
        <f t="shared" si="3"/>
        <v>0</v>
      </c>
      <c r="T65" s="11"/>
      <c r="U65" s="11"/>
      <c r="V65" s="26">
        <f t="shared" si="4"/>
        <v>0</v>
      </c>
      <c r="W65" s="27">
        <f t="shared" si="5"/>
        <v>0</v>
      </c>
      <c r="X65" s="4">
        <v>1107</v>
      </c>
      <c r="Y65" s="4"/>
      <c r="Z65" s="4"/>
      <c r="AA65" s="12">
        <f t="shared" si="6"/>
        <v>0</v>
      </c>
      <c r="AC65" s="121" t="s">
        <v>377</v>
      </c>
      <c r="AD65" s="21" t="str">
        <f t="shared" si="13"/>
        <v>л-210100</v>
      </c>
      <c r="AE65" s="79" t="str">
        <f t="shared" si="14"/>
        <v>л</v>
      </c>
      <c r="AF65" s="21" t="str">
        <f t="shared" si="12"/>
        <v>Гүдвилл</v>
      </c>
      <c r="AJ65" s="411"/>
      <c r="AK65" s="411"/>
      <c r="AL65" s="411"/>
      <c r="AM65" s="411"/>
    </row>
    <row r="66" spans="1:39" ht="12.75" customHeight="1">
      <c r="A66" s="24"/>
      <c r="B66" s="108">
        <f t="shared" si="7"/>
        <v>63</v>
      </c>
      <c r="C66" s="6">
        <v>150500</v>
      </c>
      <c r="D66" s="121" t="s">
        <v>625</v>
      </c>
      <c r="E66" s="9" t="s">
        <v>32</v>
      </c>
      <c r="F66" s="6"/>
      <c r="G66" s="6"/>
      <c r="H66" s="121">
        <v>0</v>
      </c>
      <c r="I66" s="121">
        <v>0</v>
      </c>
      <c r="J66" s="11">
        <f>+SUMIFS(JURNAL!G:G,JURNAL!E:E,C66,JURNAL!C:C,"&gt;="&amp;$H$1,JURNAL!C:C,"&lt;="&amp;$I$1)</f>
        <v>0</v>
      </c>
      <c r="K66" s="11">
        <f>+SUMIFS(JURNAL!H:H,JURNAL!E:E,C66,JURNAL!C:C,"&gt;="&amp;$H$1,JURNAL!C:C,"&lt;="&amp;$I$1)</f>
        <v>0</v>
      </c>
      <c r="L66" s="26">
        <f t="shared" si="0"/>
        <v>0</v>
      </c>
      <c r="M66" s="27">
        <f t="shared" si="1"/>
        <v>0</v>
      </c>
      <c r="N66" s="11"/>
      <c r="O66" s="335"/>
      <c r="P66" s="11"/>
      <c r="Q66" s="11"/>
      <c r="R66" s="26">
        <f t="shared" si="2"/>
        <v>0</v>
      </c>
      <c r="S66" s="27">
        <f t="shared" si="3"/>
        <v>0</v>
      </c>
      <c r="T66" s="11"/>
      <c r="U66" s="11"/>
      <c r="V66" s="26">
        <f t="shared" si="4"/>
        <v>0</v>
      </c>
      <c r="W66" s="27">
        <f t="shared" si="5"/>
        <v>0</v>
      </c>
      <c r="X66" s="4">
        <v>1107</v>
      </c>
      <c r="Y66" s="4"/>
      <c r="Z66" s="4"/>
      <c r="AA66" s="12">
        <f t="shared" si="6"/>
        <v>0</v>
      </c>
      <c r="AC66" s="121" t="s">
        <v>378</v>
      </c>
      <c r="AD66" s="21" t="str">
        <f t="shared" si="13"/>
        <v>т-210200</v>
      </c>
      <c r="AE66" s="79" t="str">
        <f t="shared" si="14"/>
        <v>т</v>
      </c>
      <c r="AF66" s="21" t="str">
        <f t="shared" si="12"/>
        <v>Патент</v>
      </c>
      <c r="AJ66" s="411"/>
      <c r="AK66" s="411"/>
      <c r="AL66" s="411"/>
      <c r="AM66" s="411"/>
    </row>
    <row r="67" spans="1:39" ht="12.75" customHeight="1">
      <c r="A67" s="24"/>
      <c r="B67" s="108">
        <f t="shared" si="7"/>
        <v>64</v>
      </c>
      <c r="C67" s="6">
        <v>150800</v>
      </c>
      <c r="D67" s="121" t="s">
        <v>631</v>
      </c>
      <c r="E67" s="9" t="s">
        <v>32</v>
      </c>
      <c r="F67" s="6"/>
      <c r="G67" s="6"/>
      <c r="H67" s="121">
        <v>0</v>
      </c>
      <c r="I67" s="121">
        <v>0</v>
      </c>
      <c r="J67" s="11">
        <f>+SUMIFS(JURNAL!G:G,JURNAL!E:E,C67,JURNAL!C:C,"&gt;="&amp;$H$1,JURNAL!C:C,"&lt;="&amp;$I$1)</f>
        <v>0</v>
      </c>
      <c r="K67" s="11">
        <f>+SUMIFS(JURNAL!H:H,JURNAL!E:E,C67,JURNAL!C:C,"&gt;="&amp;$H$1,JURNAL!C:C,"&lt;="&amp;$I$1)</f>
        <v>0</v>
      </c>
      <c r="L67" s="26">
        <f t="shared" si="0"/>
        <v>0</v>
      </c>
      <c r="M67" s="27">
        <f t="shared" si="1"/>
        <v>0</v>
      </c>
      <c r="N67" s="11"/>
      <c r="O67" s="335"/>
      <c r="P67" s="11"/>
      <c r="Q67" s="11"/>
      <c r="R67" s="26">
        <f t="shared" si="2"/>
        <v>0</v>
      </c>
      <c r="S67" s="27">
        <f t="shared" si="3"/>
        <v>0</v>
      </c>
      <c r="T67" s="11"/>
      <c r="U67" s="11"/>
      <c r="V67" s="26">
        <f t="shared" si="4"/>
        <v>0</v>
      </c>
      <c r="W67" s="27">
        <f t="shared" si="5"/>
        <v>0</v>
      </c>
      <c r="X67" s="4">
        <v>1109</v>
      </c>
      <c r="Y67" s="4"/>
      <c r="Z67" s="4"/>
      <c r="AA67" s="12">
        <f t="shared" si="6"/>
        <v>0</v>
      </c>
      <c r="AC67" s="121" t="s">
        <v>379</v>
      </c>
      <c r="AD67" s="21" t="str">
        <f t="shared" si="13"/>
        <v>х-210300</v>
      </c>
      <c r="AE67" s="79" t="str">
        <f t="shared" si="14"/>
        <v>х</v>
      </c>
      <c r="AF67" s="21" t="str">
        <f t="shared" si="12"/>
        <v>Зохиогчийн эрх</v>
      </c>
      <c r="AJ67" s="411"/>
      <c r="AK67" s="411"/>
      <c r="AL67" s="411"/>
      <c r="AM67" s="411"/>
    </row>
    <row r="68" spans="1:39" ht="12.75" customHeight="1">
      <c r="A68" s="24"/>
      <c r="B68" s="108">
        <f t="shared" si="7"/>
        <v>65</v>
      </c>
      <c r="C68" s="6">
        <v>150900</v>
      </c>
      <c r="D68" s="121" t="s">
        <v>637</v>
      </c>
      <c r="E68" s="9" t="s">
        <v>32</v>
      </c>
      <c r="F68" s="6"/>
      <c r="G68" s="6"/>
      <c r="H68" s="121">
        <v>0</v>
      </c>
      <c r="I68" s="121">
        <v>0</v>
      </c>
      <c r="J68" s="11">
        <f>+SUMIFS(JURNAL!G:G,JURNAL!E:E,C68,JURNAL!C:C,"&gt;="&amp;$H$1,JURNAL!C:C,"&lt;="&amp;$I$1)</f>
        <v>0</v>
      </c>
      <c r="K68" s="11">
        <f>+SUMIFS(JURNAL!H:H,JURNAL!E:E,C68,JURNAL!C:C,"&gt;="&amp;$H$1,JURNAL!C:C,"&lt;="&amp;$I$1)</f>
        <v>0</v>
      </c>
      <c r="L68" s="26">
        <f t="shared" si="0"/>
        <v>0</v>
      </c>
      <c r="M68" s="27">
        <f t="shared" si="1"/>
        <v>0</v>
      </c>
      <c r="N68" s="11"/>
      <c r="O68" s="335"/>
      <c r="P68" s="11"/>
      <c r="Q68" s="11"/>
      <c r="R68" s="26">
        <f t="shared" si="2"/>
        <v>0</v>
      </c>
      <c r="S68" s="27">
        <f t="shared" si="3"/>
        <v>0</v>
      </c>
      <c r="T68" s="11"/>
      <c r="U68" s="11"/>
      <c r="V68" s="26">
        <f t="shared" si="4"/>
        <v>0</v>
      </c>
      <c r="W68" s="27">
        <f t="shared" si="5"/>
        <v>0</v>
      </c>
      <c r="X68" s="4">
        <v>1110</v>
      </c>
      <c r="Y68" s="4"/>
      <c r="Z68" s="4"/>
      <c r="AA68" s="12">
        <f t="shared" si="6"/>
        <v>0</v>
      </c>
      <c r="AC68" s="121" t="s">
        <v>380</v>
      </c>
      <c r="AD68" s="21" t="str">
        <f t="shared" si="13"/>
        <v>т-210400</v>
      </c>
      <c r="AE68" s="79" t="str">
        <f t="shared" si="14"/>
        <v>т</v>
      </c>
      <c r="AF68" s="21" t="str">
        <f t="shared" si="12"/>
        <v>Барааны тэмдэгт</v>
      </c>
      <c r="AJ68" s="411"/>
      <c r="AK68" s="411"/>
      <c r="AL68" s="411"/>
      <c r="AM68" s="411"/>
    </row>
    <row r="69" spans="1:39" ht="12.75" customHeight="1">
      <c r="A69" s="24"/>
      <c r="B69" s="108">
        <f t="shared" si="7"/>
        <v>66</v>
      </c>
      <c r="C69" s="6">
        <v>180100</v>
      </c>
      <c r="D69" s="121" t="s">
        <v>642</v>
      </c>
      <c r="E69" s="9" t="s">
        <v>32</v>
      </c>
      <c r="F69" s="6"/>
      <c r="G69" s="6"/>
      <c r="H69" s="121">
        <v>50000000</v>
      </c>
      <c r="I69" s="121">
        <v>0</v>
      </c>
      <c r="J69" s="11">
        <f>+SUMIFS(JURNAL!G:G,JURNAL!E:E,C69,JURNAL!C:C,"&gt;="&amp;$H$1,JURNAL!C:C,"&lt;="&amp;$I$1)</f>
        <v>0</v>
      </c>
      <c r="K69" s="11">
        <f>+SUMIFS(JURNAL!H:H,JURNAL!E:E,C69,JURNAL!C:C,"&gt;="&amp;$H$1,JURNAL!C:C,"&lt;="&amp;$I$1)</f>
        <v>0</v>
      </c>
      <c r="L69" s="26">
        <f t="shared" ref="L69:L132" si="15">+IF((H69+J69)&gt;(I69+K69),(H69+J69)-(I69+K69),0)</f>
        <v>50000000</v>
      </c>
      <c r="M69" s="27">
        <f t="shared" ref="M69:M132" si="16">+IF((H69+J69)&lt;(I69+K69),(I69+K69)-(H69+J69),0)</f>
        <v>0</v>
      </c>
      <c r="N69" s="11"/>
      <c r="O69" s="335"/>
      <c r="P69" s="11"/>
      <c r="Q69" s="11"/>
      <c r="R69" s="26">
        <f t="shared" ref="R69:R132" si="17">+IF((L69+N69)&gt;(M69+O69),(L69+N69)-(M69+O69),0)</f>
        <v>50000000</v>
      </c>
      <c r="S69" s="27">
        <f t="shared" ref="S69:S132" si="18">+IF((L69+N69)&lt;(M69+O69),(M69+O69)-(L69+N69),0)</f>
        <v>0</v>
      </c>
      <c r="T69" s="11"/>
      <c r="U69" s="11"/>
      <c r="V69" s="26">
        <f t="shared" ref="V69:V132" si="19">+IF((R69+T69)&gt;(S69+U69),(R69+T69)-(S69+U69),0)</f>
        <v>50000000</v>
      </c>
      <c r="W69" s="27">
        <f t="shared" ref="W69:W132" si="20">+IF((R69+T69)&lt;(S69+U69),(S69+U69)-(R69+T69),0)</f>
        <v>0</v>
      </c>
      <c r="X69" s="4">
        <v>1108</v>
      </c>
      <c r="Y69" s="4"/>
      <c r="Z69" s="4"/>
      <c r="AA69" s="12">
        <f t="shared" ref="AA69:AA132" si="21">+IF(H69+I69+J69+K69+L69+M69+N69+O69+R69+S69+T69+U69+V69+W69,1,0)</f>
        <v>1</v>
      </c>
      <c r="AC69" s="121" t="s">
        <v>381</v>
      </c>
      <c r="AD69" s="21" t="str">
        <f t="shared" si="13"/>
        <v>ө-210500</v>
      </c>
      <c r="AE69" s="79" t="str">
        <f t="shared" si="14"/>
        <v>ө</v>
      </c>
      <c r="AF69" s="21" t="str">
        <f t="shared" si="12"/>
        <v>Бусад биет бус хөрөнгө</v>
      </c>
      <c r="AJ69" s="411"/>
      <c r="AK69" s="411"/>
      <c r="AL69" s="411"/>
      <c r="AM69" s="411"/>
    </row>
    <row r="70" spans="1:39" ht="12.75" customHeight="1">
      <c r="A70" s="24"/>
      <c r="B70" s="108">
        <f t="shared" ref="B70:B133" si="22">+B69+1</f>
        <v>67</v>
      </c>
      <c r="C70" s="6">
        <v>180101</v>
      </c>
      <c r="D70" s="121" t="s">
        <v>956</v>
      </c>
      <c r="E70" s="9" t="s">
        <v>30</v>
      </c>
      <c r="F70" s="6"/>
      <c r="G70" s="6"/>
      <c r="H70" s="121">
        <v>0</v>
      </c>
      <c r="I70" s="121">
        <v>0</v>
      </c>
      <c r="J70" s="11">
        <f>+SUMIFS(JURNAL!G:G,JURNAL!E:E,C70,JURNAL!C:C,"&gt;="&amp;$H$1,JURNAL!C:C,"&lt;="&amp;$I$1)</f>
        <v>0</v>
      </c>
      <c r="K70" s="11">
        <f>+SUMIFS(JURNAL!H:H,JURNAL!E:E,C70,JURNAL!C:C,"&gt;="&amp;$H$1,JURNAL!C:C,"&lt;="&amp;$I$1)</f>
        <v>0</v>
      </c>
      <c r="L70" s="26">
        <f t="shared" si="15"/>
        <v>0</v>
      </c>
      <c r="M70" s="27">
        <f t="shared" si="16"/>
        <v>0</v>
      </c>
      <c r="N70" s="11"/>
      <c r="O70" s="335"/>
      <c r="P70" s="11"/>
      <c r="Q70" s="11"/>
      <c r="R70" s="26">
        <f t="shared" si="17"/>
        <v>0</v>
      </c>
      <c r="S70" s="27">
        <f t="shared" si="18"/>
        <v>0</v>
      </c>
      <c r="T70" s="11"/>
      <c r="U70" s="11"/>
      <c r="V70" s="26">
        <f t="shared" si="19"/>
        <v>0</v>
      </c>
      <c r="W70" s="27">
        <f t="shared" si="20"/>
        <v>0</v>
      </c>
      <c r="X70" s="4">
        <v>1108</v>
      </c>
      <c r="Y70" s="4"/>
      <c r="Z70" s="4"/>
      <c r="AA70" s="12">
        <f t="shared" si="21"/>
        <v>0</v>
      </c>
      <c r="AC70" s="121" t="s">
        <v>382</v>
      </c>
      <c r="AD70" s="21" t="str">
        <f t="shared" si="13"/>
        <v>ж-210600</v>
      </c>
      <c r="AE70" s="79" t="str">
        <f t="shared" si="14"/>
        <v>ж</v>
      </c>
      <c r="AF70" s="21" t="str">
        <f t="shared" si="12"/>
        <v>Программ хангамж</v>
      </c>
      <c r="AJ70" s="411"/>
      <c r="AK70" s="411"/>
      <c r="AL70" s="411"/>
      <c r="AM70" s="411"/>
    </row>
    <row r="71" spans="1:39" ht="12.75" customHeight="1">
      <c r="A71" s="24"/>
      <c r="B71" s="108">
        <f t="shared" si="22"/>
        <v>68</v>
      </c>
      <c r="C71" s="6">
        <v>180200</v>
      </c>
      <c r="D71" s="121" t="s">
        <v>970</v>
      </c>
      <c r="E71" s="9" t="s">
        <v>32</v>
      </c>
      <c r="F71" s="6"/>
      <c r="G71" s="6"/>
      <c r="H71" s="121">
        <v>0</v>
      </c>
      <c r="I71" s="121">
        <v>0</v>
      </c>
      <c r="J71" s="11">
        <f>+SUMIFS(JURNAL!G:G,JURNAL!E:E,C71,JURNAL!C:C,"&gt;="&amp;$H$1,JURNAL!C:C,"&lt;="&amp;$I$1)</f>
        <v>9090909.0899999999</v>
      </c>
      <c r="K71" s="11">
        <f>+SUMIFS(JURNAL!H:H,JURNAL!E:E,C71,JURNAL!C:C,"&gt;="&amp;$H$1,JURNAL!C:C,"&lt;="&amp;$I$1)</f>
        <v>0</v>
      </c>
      <c r="L71" s="26">
        <f t="shared" si="15"/>
        <v>9090909.0899999999</v>
      </c>
      <c r="M71" s="27">
        <f t="shared" si="16"/>
        <v>0</v>
      </c>
      <c r="N71" s="11"/>
      <c r="O71" s="335"/>
      <c r="P71" s="11"/>
      <c r="Q71" s="11"/>
      <c r="R71" s="26">
        <f t="shared" si="17"/>
        <v>9090909.0899999999</v>
      </c>
      <c r="S71" s="27">
        <f t="shared" si="18"/>
        <v>0</v>
      </c>
      <c r="T71" s="11"/>
      <c r="U71" s="11"/>
      <c r="V71" s="26">
        <f t="shared" si="19"/>
        <v>9090909.0899999999</v>
      </c>
      <c r="W71" s="27">
        <f t="shared" si="20"/>
        <v>0</v>
      </c>
      <c r="X71" s="4">
        <v>1108</v>
      </c>
      <c r="Y71" s="4"/>
      <c r="Z71" s="4"/>
      <c r="AA71" s="12">
        <f t="shared" si="21"/>
        <v>1</v>
      </c>
      <c r="AC71" s="121" t="s">
        <v>383</v>
      </c>
      <c r="AD71" s="21" t="str">
        <f t="shared" si="13"/>
        <v>т-210700</v>
      </c>
      <c r="AE71" s="79" t="str">
        <f t="shared" si="14"/>
        <v>т</v>
      </c>
      <c r="AF71" s="21" t="str">
        <f t="shared" si="12"/>
        <v>Түрээсийн сайжруулалт</v>
      </c>
      <c r="AJ71" s="411"/>
      <c r="AK71" s="411"/>
      <c r="AL71" s="411"/>
      <c r="AM71" s="411"/>
    </row>
    <row r="72" spans="1:39" ht="12.75" customHeight="1">
      <c r="A72" s="24"/>
      <c r="B72" s="108">
        <f t="shared" si="22"/>
        <v>69</v>
      </c>
      <c r="C72" s="6">
        <v>180300</v>
      </c>
      <c r="D72" s="121" t="s">
        <v>957</v>
      </c>
      <c r="E72" s="9" t="s">
        <v>30</v>
      </c>
      <c r="F72" s="6"/>
      <c r="G72" s="6"/>
      <c r="H72" s="121">
        <v>0</v>
      </c>
      <c r="I72" s="121">
        <v>0</v>
      </c>
      <c r="J72" s="11">
        <f>+SUMIFS(JURNAL!G:G,JURNAL!E:E,C72,JURNAL!C:C,"&gt;="&amp;$H$1,JURNAL!C:C,"&lt;="&amp;$I$1)</f>
        <v>0</v>
      </c>
      <c r="K72" s="11">
        <f>+SUMIFS(JURNAL!H:H,JURNAL!E:E,C72,JURNAL!C:C,"&gt;="&amp;$H$1,JURNAL!C:C,"&lt;="&amp;$I$1)</f>
        <v>0</v>
      </c>
      <c r="L72" s="26">
        <f t="shared" si="15"/>
        <v>0</v>
      </c>
      <c r="M72" s="27">
        <f t="shared" si="16"/>
        <v>0</v>
      </c>
      <c r="N72" s="11"/>
      <c r="O72" s="335"/>
      <c r="P72" s="11"/>
      <c r="Q72" s="11"/>
      <c r="R72" s="26">
        <f t="shared" si="17"/>
        <v>0</v>
      </c>
      <c r="S72" s="27">
        <f t="shared" si="18"/>
        <v>0</v>
      </c>
      <c r="T72" s="11"/>
      <c r="U72" s="11"/>
      <c r="V72" s="26">
        <f t="shared" si="19"/>
        <v>0</v>
      </c>
      <c r="W72" s="27">
        <f t="shared" si="20"/>
        <v>0</v>
      </c>
      <c r="X72" s="4">
        <v>1108</v>
      </c>
      <c r="Y72" s="4"/>
      <c r="Z72" s="4"/>
      <c r="AA72" s="12">
        <f t="shared" si="21"/>
        <v>0</v>
      </c>
      <c r="AC72" s="121" t="s">
        <v>384</v>
      </c>
      <c r="AD72" s="21" t="str">
        <f t="shared" si="13"/>
        <v>х-211000</v>
      </c>
      <c r="AE72" s="79" t="str">
        <f t="shared" si="14"/>
        <v>х</v>
      </c>
      <c r="AF72" s="21" t="str">
        <f t="shared" si="12"/>
        <v>Газар эзэмших эрх</v>
      </c>
      <c r="AJ72" s="411"/>
      <c r="AK72" s="411"/>
      <c r="AL72" s="411"/>
      <c r="AM72" s="411"/>
    </row>
    <row r="73" spans="1:39" ht="12.75" customHeight="1">
      <c r="A73" s="24"/>
      <c r="B73" s="108">
        <f t="shared" si="22"/>
        <v>70</v>
      </c>
      <c r="C73" s="6">
        <v>180400</v>
      </c>
      <c r="D73" s="121" t="s">
        <v>650</v>
      </c>
      <c r="E73" s="9" t="s">
        <v>32</v>
      </c>
      <c r="F73" s="6"/>
      <c r="G73" s="6"/>
      <c r="H73" s="121">
        <v>0</v>
      </c>
      <c r="I73" s="121">
        <v>0</v>
      </c>
      <c r="J73" s="11">
        <f>+SUMIFS(JURNAL!G:G,JURNAL!E:E,C73,JURNAL!C:C,"&gt;="&amp;$H$1,JURNAL!C:C,"&lt;="&amp;$I$1)</f>
        <v>0</v>
      </c>
      <c r="K73" s="11">
        <f>+SUMIFS(JURNAL!H:H,JURNAL!E:E,C73,JURNAL!C:C,"&gt;="&amp;$H$1,JURNAL!C:C,"&lt;="&amp;$I$1)</f>
        <v>0</v>
      </c>
      <c r="L73" s="26">
        <f t="shared" si="15"/>
        <v>0</v>
      </c>
      <c r="M73" s="27">
        <f t="shared" si="16"/>
        <v>0</v>
      </c>
      <c r="N73" s="11"/>
      <c r="O73" s="335"/>
      <c r="P73" s="11"/>
      <c r="Q73" s="11"/>
      <c r="R73" s="26">
        <f t="shared" si="17"/>
        <v>0</v>
      </c>
      <c r="S73" s="27">
        <f t="shared" si="18"/>
        <v>0</v>
      </c>
      <c r="T73" s="11"/>
      <c r="U73" s="11"/>
      <c r="V73" s="26">
        <f t="shared" si="19"/>
        <v>0</v>
      </c>
      <c r="W73" s="27">
        <f t="shared" si="20"/>
        <v>0</v>
      </c>
      <c r="X73" s="4">
        <v>1108</v>
      </c>
      <c r="Y73" s="4"/>
      <c r="Z73" s="4"/>
      <c r="AA73" s="12">
        <f t="shared" si="21"/>
        <v>0</v>
      </c>
      <c r="AC73" s="121" t="s">
        <v>385</v>
      </c>
      <c r="AD73" s="21" t="str">
        <f t="shared" si="13"/>
        <v>т-220100</v>
      </c>
      <c r="AE73" s="79" t="str">
        <f t="shared" si="14"/>
        <v>т</v>
      </c>
      <c r="AF73" s="21" t="str">
        <f t="shared" ref="AF73:AF131" si="23">+SUBSTITUTE(AC73,AD73,AE73)</f>
        <v>Урт хугацаат хөрөнгө оруулалт</v>
      </c>
      <c r="AJ73" s="411"/>
      <c r="AK73" s="411"/>
      <c r="AL73" s="411"/>
      <c r="AM73" s="411"/>
    </row>
    <row r="74" spans="1:39" ht="12.75" customHeight="1">
      <c r="A74" s="24"/>
      <c r="B74" s="108">
        <f t="shared" si="22"/>
        <v>71</v>
      </c>
      <c r="C74" s="6">
        <v>200100</v>
      </c>
      <c r="D74" s="121" t="s">
        <v>992</v>
      </c>
      <c r="E74" s="9" t="s">
        <v>32</v>
      </c>
      <c r="F74" s="6"/>
      <c r="G74" s="6"/>
      <c r="H74" s="121">
        <v>0</v>
      </c>
      <c r="I74" s="121">
        <v>0</v>
      </c>
      <c r="J74" s="11">
        <f>+SUMIFS(JURNAL!G:G,JURNAL!E:E,C74,JURNAL!C:C,"&gt;="&amp;$H$1,JURNAL!C:C,"&lt;="&amp;$I$1)</f>
        <v>0</v>
      </c>
      <c r="K74" s="11">
        <f>+SUMIFS(JURNAL!H:H,JURNAL!E:E,C74,JURNAL!C:C,"&gt;="&amp;$H$1,JURNAL!C:C,"&lt;="&amp;$I$1)</f>
        <v>0</v>
      </c>
      <c r="L74" s="26">
        <f t="shared" si="15"/>
        <v>0</v>
      </c>
      <c r="M74" s="27">
        <f t="shared" si="16"/>
        <v>0</v>
      </c>
      <c r="N74" s="11"/>
      <c r="O74" s="335"/>
      <c r="P74" s="11"/>
      <c r="Q74" s="11"/>
      <c r="R74" s="26">
        <f t="shared" si="17"/>
        <v>0</v>
      </c>
      <c r="S74" s="27">
        <f t="shared" si="18"/>
        <v>0</v>
      </c>
      <c r="T74" s="11"/>
      <c r="U74" s="11"/>
      <c r="V74" s="26">
        <f t="shared" si="19"/>
        <v>0</v>
      </c>
      <c r="W74" s="27">
        <f t="shared" si="20"/>
        <v>0</v>
      </c>
      <c r="X74" s="4">
        <v>1120</v>
      </c>
      <c r="Y74" s="4"/>
      <c r="Z74" s="4"/>
      <c r="AA74" s="12">
        <f t="shared" si="21"/>
        <v>0</v>
      </c>
      <c r="AC74" s="121" t="s">
        <v>386</v>
      </c>
      <c r="AD74" s="21" t="str">
        <f t="shared" si="13"/>
        <v>а-220200</v>
      </c>
      <c r="AE74" s="79" t="str">
        <f t="shared" si="14"/>
        <v>а</v>
      </c>
      <c r="AF74" s="21" t="str">
        <f t="shared" si="23"/>
        <v>Урт хугацаат компани хоорондын авлага</v>
      </c>
      <c r="AJ74" s="411"/>
      <c r="AK74" s="411"/>
      <c r="AL74" s="411"/>
      <c r="AM74" s="411"/>
    </row>
    <row r="75" spans="1:39" ht="12.75" customHeight="1">
      <c r="A75" s="24"/>
      <c r="B75" s="108">
        <f t="shared" si="22"/>
        <v>72</v>
      </c>
      <c r="C75" s="6">
        <v>200200</v>
      </c>
      <c r="D75" s="121" t="s">
        <v>658</v>
      </c>
      <c r="E75" s="9" t="s">
        <v>32</v>
      </c>
      <c r="F75" s="6"/>
      <c r="G75" s="6"/>
      <c r="H75" s="121">
        <v>1172805331</v>
      </c>
      <c r="I75" s="121">
        <v>0</v>
      </c>
      <c r="J75" s="11">
        <f>+SUMIFS(JURNAL!G:G,JURNAL!E:E,C75,JURNAL!C:C,"&gt;="&amp;$H$1,JURNAL!C:C,"&lt;="&amp;$I$1)</f>
        <v>0</v>
      </c>
      <c r="K75" s="11">
        <f>+SUMIFS(JURNAL!H:H,JURNAL!E:E,C75,JURNAL!C:C,"&gt;="&amp;$H$1,JURNAL!C:C,"&lt;="&amp;$I$1)</f>
        <v>0</v>
      </c>
      <c r="L75" s="26">
        <f t="shared" si="15"/>
        <v>1172805331</v>
      </c>
      <c r="M75" s="27">
        <f t="shared" si="16"/>
        <v>0</v>
      </c>
      <c r="N75" s="11"/>
      <c r="O75" s="335"/>
      <c r="P75" s="11"/>
      <c r="Q75" s="11"/>
      <c r="R75" s="26">
        <f t="shared" si="17"/>
        <v>1172805331</v>
      </c>
      <c r="S75" s="27">
        <f t="shared" si="18"/>
        <v>0</v>
      </c>
      <c r="T75" s="11"/>
      <c r="U75" s="11"/>
      <c r="V75" s="26">
        <f t="shared" si="19"/>
        <v>1172805331</v>
      </c>
      <c r="W75" s="27">
        <f t="shared" si="20"/>
        <v>0</v>
      </c>
      <c r="X75" s="4">
        <v>1120</v>
      </c>
      <c r="Y75" s="4"/>
      <c r="Z75" s="4"/>
      <c r="AA75" s="12">
        <f t="shared" si="21"/>
        <v>1</v>
      </c>
      <c r="AC75" s="121" t="s">
        <v>387</v>
      </c>
      <c r="AD75" s="21" t="str">
        <f t="shared" si="13"/>
        <v>а-220400</v>
      </c>
      <c r="AE75" s="79" t="str">
        <f t="shared" si="14"/>
        <v>а</v>
      </c>
      <c r="AF75" s="21" t="str">
        <f t="shared" si="23"/>
        <v>Урт хугацаат хөрөнгө оруулалтын үнэлгээний хасалдуулга</v>
      </c>
      <c r="AJ75" s="411"/>
      <c r="AK75" s="411"/>
      <c r="AL75" s="411"/>
      <c r="AM75" s="411"/>
    </row>
    <row r="76" spans="1:39" ht="12.75" customHeight="1">
      <c r="A76" s="24"/>
      <c r="B76" s="108">
        <f t="shared" si="22"/>
        <v>73</v>
      </c>
      <c r="C76" s="6">
        <v>200300</v>
      </c>
      <c r="D76" s="121" t="s">
        <v>318</v>
      </c>
      <c r="E76" s="9" t="s">
        <v>32</v>
      </c>
      <c r="F76" s="6"/>
      <c r="G76" s="6"/>
      <c r="H76" s="121">
        <v>8844705.1799999997</v>
      </c>
      <c r="I76" s="121">
        <v>0</v>
      </c>
      <c r="J76" s="11">
        <f>+SUMIFS(JURNAL!G:G,JURNAL!E:E,C76,JURNAL!C:C,"&gt;="&amp;$H$1,JURNAL!C:C,"&lt;="&amp;$I$1)</f>
        <v>0</v>
      </c>
      <c r="K76" s="11">
        <f>+SUMIFS(JURNAL!H:H,JURNAL!E:E,C76,JURNAL!C:C,"&gt;="&amp;$H$1,JURNAL!C:C,"&lt;="&amp;$I$1)</f>
        <v>0</v>
      </c>
      <c r="L76" s="26">
        <f t="shared" si="15"/>
        <v>8844705.1799999997</v>
      </c>
      <c r="M76" s="27">
        <f t="shared" si="16"/>
        <v>0</v>
      </c>
      <c r="N76" s="11"/>
      <c r="O76" s="335"/>
      <c r="P76" s="11"/>
      <c r="Q76" s="11"/>
      <c r="R76" s="26">
        <f t="shared" si="17"/>
        <v>8844705.1799999997</v>
      </c>
      <c r="S76" s="27">
        <f t="shared" si="18"/>
        <v>0</v>
      </c>
      <c r="T76" s="11"/>
      <c r="U76" s="11"/>
      <c r="V76" s="26">
        <f t="shared" si="19"/>
        <v>8844705.1799999997</v>
      </c>
      <c r="W76" s="27">
        <f t="shared" si="20"/>
        <v>0</v>
      </c>
      <c r="X76" s="4">
        <v>1120</v>
      </c>
      <c r="Y76" s="4"/>
      <c r="Z76" s="4"/>
      <c r="AA76" s="12">
        <f t="shared" si="21"/>
        <v>1</v>
      </c>
      <c r="AC76" s="121" t="s">
        <v>388</v>
      </c>
      <c r="AD76" s="21" t="str">
        <f t="shared" si="13"/>
        <v>ө-230100</v>
      </c>
      <c r="AE76" s="79" t="str">
        <f t="shared" si="14"/>
        <v>ө</v>
      </c>
      <c r="AF76" s="21" t="str">
        <f t="shared" si="23"/>
        <v>Хойшлогдсон татварын хөрөнгө</v>
      </c>
      <c r="AJ76" s="411"/>
      <c r="AK76" s="411"/>
      <c r="AL76" s="411"/>
      <c r="AM76" s="411"/>
    </row>
    <row r="77" spans="1:39" ht="12.75" customHeight="1">
      <c r="A77" s="24"/>
      <c r="B77" s="108">
        <f t="shared" si="22"/>
        <v>74</v>
      </c>
      <c r="C77" s="6">
        <v>200400</v>
      </c>
      <c r="D77" s="121" t="s">
        <v>664</v>
      </c>
      <c r="E77" s="9" t="s">
        <v>32</v>
      </c>
      <c r="F77" s="6"/>
      <c r="G77" s="6"/>
      <c r="H77" s="121">
        <v>709587375.44000006</v>
      </c>
      <c r="I77" s="121">
        <v>0</v>
      </c>
      <c r="J77" s="11">
        <f>+SUMIFS(JURNAL!G:G,JURNAL!E:E,C77,JURNAL!C:C,"&gt;="&amp;$H$1,JURNAL!C:C,"&lt;="&amp;$I$1)</f>
        <v>0</v>
      </c>
      <c r="K77" s="11">
        <f>+SUMIFS(JURNAL!H:H,JURNAL!E:E,C77,JURNAL!C:C,"&gt;="&amp;$H$1,JURNAL!C:C,"&lt;="&amp;$I$1)</f>
        <v>0</v>
      </c>
      <c r="L77" s="26">
        <f t="shared" si="15"/>
        <v>709587375.44000006</v>
      </c>
      <c r="M77" s="27">
        <f t="shared" si="16"/>
        <v>0</v>
      </c>
      <c r="N77" s="11"/>
      <c r="O77" s="335"/>
      <c r="P77" s="11"/>
      <c r="Q77" s="11"/>
      <c r="R77" s="26">
        <f t="shared" si="17"/>
        <v>709587375.44000006</v>
      </c>
      <c r="S77" s="27">
        <f t="shared" si="18"/>
        <v>0</v>
      </c>
      <c r="T77" s="11"/>
      <c r="U77" s="11"/>
      <c r="V77" s="26">
        <f t="shared" si="19"/>
        <v>709587375.44000006</v>
      </c>
      <c r="W77" s="27">
        <f t="shared" si="20"/>
        <v>0</v>
      </c>
      <c r="X77" s="4">
        <v>1120</v>
      </c>
      <c r="Y77" s="4"/>
      <c r="Z77" s="4"/>
      <c r="AA77" s="12">
        <f t="shared" si="21"/>
        <v>1</v>
      </c>
      <c r="AC77" s="121" t="s">
        <v>389</v>
      </c>
      <c r="AD77" s="21" t="str">
        <f t="shared" si="13"/>
        <v>ө-230200</v>
      </c>
      <c r="AE77" s="79" t="str">
        <f t="shared" si="14"/>
        <v>ө</v>
      </c>
      <c r="AF77" s="21" t="str">
        <f t="shared" si="23"/>
        <v>Хөрөнгө оруулалтын зориулалттай үл хөдлөх хөрөнгө</v>
      </c>
      <c r="AJ77" s="411"/>
      <c r="AK77" s="411"/>
      <c r="AL77" s="411"/>
      <c r="AM77" s="411"/>
    </row>
    <row r="78" spans="1:39" ht="12.75" customHeight="1">
      <c r="A78" s="24"/>
      <c r="B78" s="108">
        <f t="shared" si="22"/>
        <v>75</v>
      </c>
      <c r="C78" s="6">
        <v>200500</v>
      </c>
      <c r="D78" s="121" t="s">
        <v>668</v>
      </c>
      <c r="E78" s="9" t="s">
        <v>32</v>
      </c>
      <c r="F78" s="6"/>
      <c r="G78" s="6"/>
      <c r="H78" s="121">
        <v>174300000</v>
      </c>
      <c r="I78" s="121">
        <v>0</v>
      </c>
      <c r="J78" s="11">
        <f>+SUMIFS(JURNAL!G:G,JURNAL!E:E,C78,JURNAL!C:C,"&gt;="&amp;$H$1,JURNAL!C:C,"&lt;="&amp;$I$1)</f>
        <v>0</v>
      </c>
      <c r="K78" s="11">
        <f>+SUMIFS(JURNAL!H:H,JURNAL!E:E,C78,JURNAL!C:C,"&gt;="&amp;$H$1,JURNAL!C:C,"&lt;="&amp;$I$1)</f>
        <v>0</v>
      </c>
      <c r="L78" s="26">
        <f t="shared" si="15"/>
        <v>174300000</v>
      </c>
      <c r="M78" s="27">
        <f t="shared" si="16"/>
        <v>0</v>
      </c>
      <c r="N78" s="11"/>
      <c r="O78" s="335"/>
      <c r="P78" s="11"/>
      <c r="Q78" s="11"/>
      <c r="R78" s="26">
        <f t="shared" si="17"/>
        <v>174300000</v>
      </c>
      <c r="S78" s="27">
        <f t="shared" si="18"/>
        <v>0</v>
      </c>
      <c r="T78" s="11"/>
      <c r="U78" s="11"/>
      <c r="V78" s="26">
        <f t="shared" si="19"/>
        <v>174300000</v>
      </c>
      <c r="W78" s="27">
        <f t="shared" si="20"/>
        <v>0</v>
      </c>
      <c r="X78" s="4">
        <v>1120</v>
      </c>
      <c r="Y78" s="4"/>
      <c r="Z78" s="4"/>
      <c r="AA78" s="12">
        <f t="shared" si="21"/>
        <v>1</v>
      </c>
      <c r="AC78" s="121" t="s">
        <v>390</v>
      </c>
      <c r="AD78" s="21" t="str">
        <f t="shared" si="13"/>
        <v>T-310100</v>
      </c>
      <c r="AE78" s="79" t="str">
        <f t="shared" si="14"/>
        <v>T</v>
      </c>
      <c r="AF78" s="21" t="str">
        <f t="shared" si="23"/>
        <v>Дансны өглөг MNT</v>
      </c>
      <c r="AJ78" s="411"/>
      <c r="AK78" s="411"/>
      <c r="AL78" s="411"/>
      <c r="AM78" s="411"/>
    </row>
    <row r="79" spans="1:39" ht="12.75" customHeight="1">
      <c r="A79" s="24"/>
      <c r="B79" s="108">
        <f t="shared" si="22"/>
        <v>76</v>
      </c>
      <c r="C79" s="6">
        <v>201000</v>
      </c>
      <c r="D79" s="121" t="s">
        <v>688</v>
      </c>
      <c r="E79" s="9" t="s">
        <v>32</v>
      </c>
      <c r="F79" s="6"/>
      <c r="G79" s="6"/>
      <c r="H79" s="121">
        <v>17111038.23</v>
      </c>
      <c r="I79" s="121">
        <v>0</v>
      </c>
      <c r="J79" s="11">
        <f>+SUMIFS(JURNAL!G:G,JURNAL!E:E,C79,JURNAL!C:C,"&gt;="&amp;$H$1,JURNAL!C:C,"&lt;="&amp;$I$1)</f>
        <v>0</v>
      </c>
      <c r="K79" s="11">
        <f>+SUMIFS(JURNAL!H:H,JURNAL!E:E,C79,JURNAL!C:C,"&gt;="&amp;$H$1,JURNAL!C:C,"&lt;="&amp;$I$1)</f>
        <v>0</v>
      </c>
      <c r="L79" s="26">
        <f t="shared" si="15"/>
        <v>17111038.23</v>
      </c>
      <c r="M79" s="27">
        <f t="shared" si="16"/>
        <v>0</v>
      </c>
      <c r="N79" s="11"/>
      <c r="O79" s="335"/>
      <c r="P79" s="11"/>
      <c r="Q79" s="11"/>
      <c r="R79" s="26">
        <f t="shared" si="17"/>
        <v>17111038.23</v>
      </c>
      <c r="S79" s="27">
        <f t="shared" si="18"/>
        <v>0</v>
      </c>
      <c r="T79" s="11"/>
      <c r="U79" s="11"/>
      <c r="V79" s="26">
        <f t="shared" si="19"/>
        <v>17111038.23</v>
      </c>
      <c r="W79" s="27">
        <f t="shared" si="20"/>
        <v>0</v>
      </c>
      <c r="X79" s="4">
        <v>1120</v>
      </c>
      <c r="Y79" s="4"/>
      <c r="Z79" s="4"/>
      <c r="AA79" s="12">
        <f t="shared" si="21"/>
        <v>1</v>
      </c>
      <c r="AC79" s="121" t="s">
        <v>391</v>
      </c>
      <c r="AD79" s="21" t="str">
        <f t="shared" si="13"/>
        <v>D-310101</v>
      </c>
      <c r="AE79" s="79" t="str">
        <f t="shared" si="14"/>
        <v>D</v>
      </c>
      <c r="AF79" s="21" t="str">
        <f t="shared" si="23"/>
        <v>Дансны өглөг USD</v>
      </c>
      <c r="AJ79" s="411"/>
      <c r="AK79" s="411"/>
      <c r="AL79" s="411"/>
      <c r="AM79" s="411"/>
    </row>
    <row r="80" spans="1:39" ht="12.75" customHeight="1">
      <c r="A80" s="24"/>
      <c r="B80" s="108">
        <f t="shared" si="22"/>
        <v>77</v>
      </c>
      <c r="C80" s="6">
        <v>200201</v>
      </c>
      <c r="D80" s="121" t="s">
        <v>958</v>
      </c>
      <c r="E80" s="9" t="s">
        <v>32</v>
      </c>
      <c r="F80" s="6"/>
      <c r="G80" s="6"/>
      <c r="H80" s="121">
        <v>0</v>
      </c>
      <c r="I80" s="121">
        <v>0</v>
      </c>
      <c r="J80" s="11">
        <f>+SUMIFS(JURNAL!G:G,JURNAL!E:E,C80,JURNAL!C:C,"&gt;="&amp;$H$1,JURNAL!C:C,"&lt;="&amp;$I$1)</f>
        <v>0</v>
      </c>
      <c r="K80" s="11">
        <f>+SUMIFS(JURNAL!H:H,JURNAL!E:E,C80,JURNAL!C:C,"&gt;="&amp;$H$1,JURNAL!C:C,"&lt;="&amp;$I$1)</f>
        <v>0</v>
      </c>
      <c r="L80" s="26">
        <f t="shared" si="15"/>
        <v>0</v>
      </c>
      <c r="M80" s="27">
        <f t="shared" si="16"/>
        <v>0</v>
      </c>
      <c r="N80" s="11"/>
      <c r="O80" s="335"/>
      <c r="P80" s="11"/>
      <c r="Q80" s="11"/>
      <c r="R80" s="26">
        <f t="shared" si="17"/>
        <v>0</v>
      </c>
      <c r="S80" s="27">
        <f t="shared" si="18"/>
        <v>0</v>
      </c>
      <c r="T80" s="11"/>
      <c r="U80" s="11"/>
      <c r="V80" s="26">
        <f t="shared" si="19"/>
        <v>0</v>
      </c>
      <c r="W80" s="27">
        <f t="shared" si="20"/>
        <v>0</v>
      </c>
      <c r="X80" s="4">
        <v>1120</v>
      </c>
      <c r="Y80" s="4"/>
      <c r="Z80" s="4"/>
      <c r="AA80" s="12">
        <f t="shared" si="21"/>
        <v>0</v>
      </c>
      <c r="AC80" s="121" t="s">
        <v>392</v>
      </c>
      <c r="AD80" s="21" t="str">
        <f t="shared" si="13"/>
        <v xml:space="preserve"> -311700</v>
      </c>
      <c r="AE80" s="79" t="str">
        <f t="shared" si="14"/>
        <v xml:space="preserve"> </v>
      </c>
      <c r="AF80" s="21" t="str">
        <f t="shared" si="23"/>
        <v xml:space="preserve">Компани хоорондын өглөг - Шинэст Констракшн ХХК </v>
      </c>
      <c r="AJ80" s="411"/>
      <c r="AK80" s="411"/>
      <c r="AL80" s="411"/>
      <c r="AM80" s="411"/>
    </row>
    <row r="81" spans="1:39" ht="12.75" customHeight="1">
      <c r="A81" s="24"/>
      <c r="B81" s="108">
        <f t="shared" si="22"/>
        <v>78</v>
      </c>
      <c r="C81" s="6">
        <v>200600</v>
      </c>
      <c r="D81" s="121" t="s">
        <v>672</v>
      </c>
      <c r="E81" s="9" t="s">
        <v>32</v>
      </c>
      <c r="F81" s="6"/>
      <c r="G81" s="6"/>
      <c r="H81" s="121">
        <v>0</v>
      </c>
      <c r="I81" s="121">
        <v>0</v>
      </c>
      <c r="J81" s="11">
        <f>+SUMIFS(JURNAL!G:G,JURNAL!E:E,C81,JURNAL!C:C,"&gt;="&amp;$H$1,JURNAL!C:C,"&lt;="&amp;$I$1)</f>
        <v>0</v>
      </c>
      <c r="K81" s="11">
        <f>+SUMIFS(JURNAL!H:H,JURNAL!E:E,C81,JURNAL!C:C,"&gt;="&amp;$H$1,JURNAL!C:C,"&lt;="&amp;$I$1)</f>
        <v>0</v>
      </c>
      <c r="L81" s="26">
        <f t="shared" si="15"/>
        <v>0</v>
      </c>
      <c r="M81" s="27">
        <f t="shared" si="16"/>
        <v>0</v>
      </c>
      <c r="N81" s="11"/>
      <c r="O81" s="335"/>
      <c r="P81" s="11"/>
      <c r="Q81" s="11"/>
      <c r="R81" s="26">
        <f t="shared" si="17"/>
        <v>0</v>
      </c>
      <c r="S81" s="27">
        <f t="shared" si="18"/>
        <v>0</v>
      </c>
      <c r="T81" s="11"/>
      <c r="U81" s="11"/>
      <c r="V81" s="26">
        <f t="shared" si="19"/>
        <v>0</v>
      </c>
      <c r="W81" s="27">
        <f t="shared" si="20"/>
        <v>0</v>
      </c>
      <c r="X81" s="4">
        <v>1120</v>
      </c>
      <c r="Y81" s="4"/>
      <c r="Z81" s="4"/>
      <c r="AA81" s="12">
        <f t="shared" si="21"/>
        <v>0</v>
      </c>
      <c r="AC81" s="121" t="s">
        <v>393</v>
      </c>
      <c r="AD81" s="21" t="str">
        <f t="shared" si="13"/>
        <v xml:space="preserve"> -310300</v>
      </c>
      <c r="AE81" s="79" t="str">
        <f t="shared" si="14"/>
        <v xml:space="preserve"> </v>
      </c>
      <c r="AF81" s="21" t="str">
        <f t="shared" si="23"/>
        <v xml:space="preserve">Ногдол ашгийн өглөг </v>
      </c>
      <c r="AJ81" s="411"/>
      <c r="AK81" s="411"/>
      <c r="AL81" s="411"/>
      <c r="AM81" s="411"/>
    </row>
    <row r="82" spans="1:39" ht="12.75" customHeight="1">
      <c r="A82" s="24"/>
      <c r="B82" s="108">
        <f t="shared" si="22"/>
        <v>79</v>
      </c>
      <c r="C82" s="6">
        <v>200700</v>
      </c>
      <c r="D82" s="121" t="s">
        <v>971</v>
      </c>
      <c r="E82" s="9" t="s">
        <v>32</v>
      </c>
      <c r="F82" s="6"/>
      <c r="G82" s="6"/>
      <c r="H82" s="121">
        <v>0</v>
      </c>
      <c r="I82" s="121">
        <v>0</v>
      </c>
      <c r="J82" s="11">
        <f>+SUMIFS(JURNAL!G:G,JURNAL!E:E,C82,JURNAL!C:C,"&gt;="&amp;$H$1,JURNAL!C:C,"&lt;="&amp;$I$1)</f>
        <v>0</v>
      </c>
      <c r="K82" s="11">
        <f>+SUMIFS(JURNAL!H:H,JURNAL!E:E,C82,JURNAL!C:C,"&gt;="&amp;$H$1,JURNAL!C:C,"&lt;="&amp;$I$1)</f>
        <v>0</v>
      </c>
      <c r="L82" s="26">
        <f t="shared" si="15"/>
        <v>0</v>
      </c>
      <c r="M82" s="27">
        <f t="shared" si="16"/>
        <v>0</v>
      </c>
      <c r="N82" s="11"/>
      <c r="O82" s="335"/>
      <c r="P82" s="11"/>
      <c r="Q82" s="11"/>
      <c r="R82" s="26">
        <f t="shared" si="17"/>
        <v>0</v>
      </c>
      <c r="S82" s="27">
        <f t="shared" si="18"/>
        <v>0</v>
      </c>
      <c r="T82" s="11"/>
      <c r="U82" s="11"/>
      <c r="V82" s="26">
        <f t="shared" si="19"/>
        <v>0</v>
      </c>
      <c r="W82" s="27">
        <f t="shared" si="20"/>
        <v>0</v>
      </c>
      <c r="X82" s="4">
        <v>1128</v>
      </c>
      <c r="Y82" s="4"/>
      <c r="Z82" s="4"/>
      <c r="AA82" s="12">
        <f t="shared" si="21"/>
        <v>0</v>
      </c>
      <c r="AC82" s="121" t="s">
        <v>394</v>
      </c>
      <c r="AD82" s="21" t="str">
        <f t="shared" si="13"/>
        <v>T-310400</v>
      </c>
      <c r="AE82" s="79" t="str">
        <f t="shared" si="14"/>
        <v>T</v>
      </c>
      <c r="AF82" s="21" t="str">
        <f t="shared" si="23"/>
        <v>Банкны богино хугацаат зээл MNT</v>
      </c>
      <c r="AJ82" s="411"/>
      <c r="AK82" s="411"/>
      <c r="AL82" s="411"/>
      <c r="AM82" s="411"/>
    </row>
    <row r="83" spans="1:39" ht="12.75" customHeight="1">
      <c r="A83" s="24"/>
      <c r="B83" s="108">
        <f t="shared" si="22"/>
        <v>80</v>
      </c>
      <c r="C83" s="6">
        <v>200800</v>
      </c>
      <c r="D83" s="121" t="s">
        <v>680</v>
      </c>
      <c r="E83" s="9" t="s">
        <v>32</v>
      </c>
      <c r="F83" s="6"/>
      <c r="G83" s="6"/>
      <c r="H83" s="121">
        <v>0</v>
      </c>
      <c r="I83" s="121">
        <v>0</v>
      </c>
      <c r="J83" s="11">
        <f>+SUMIFS(JURNAL!G:G,JURNAL!E:E,C83,JURNAL!C:C,"&gt;="&amp;$H$1,JURNAL!C:C,"&lt;="&amp;$I$1)</f>
        <v>0</v>
      </c>
      <c r="K83" s="11">
        <f>+SUMIFS(JURNAL!H:H,JURNAL!E:E,C83,JURNAL!C:C,"&gt;="&amp;$H$1,JURNAL!C:C,"&lt;="&amp;$I$1)</f>
        <v>0</v>
      </c>
      <c r="L83" s="26">
        <f t="shared" si="15"/>
        <v>0</v>
      </c>
      <c r="M83" s="27">
        <f t="shared" si="16"/>
        <v>0</v>
      </c>
      <c r="N83" s="11"/>
      <c r="O83" s="335"/>
      <c r="P83" s="11"/>
      <c r="Q83" s="11"/>
      <c r="R83" s="26">
        <f t="shared" si="17"/>
        <v>0</v>
      </c>
      <c r="S83" s="27">
        <f t="shared" si="18"/>
        <v>0</v>
      </c>
      <c r="T83" s="11"/>
      <c r="U83" s="11"/>
      <c r="V83" s="26">
        <f t="shared" si="19"/>
        <v>0</v>
      </c>
      <c r="W83" s="27">
        <f t="shared" si="20"/>
        <v>0</v>
      </c>
      <c r="X83" s="4">
        <v>1127</v>
      </c>
      <c r="Y83" s="4"/>
      <c r="Z83" s="4"/>
      <c r="AA83" s="12">
        <f t="shared" si="21"/>
        <v>0</v>
      </c>
      <c r="AC83" s="121" t="s">
        <v>395</v>
      </c>
      <c r="AD83" s="21" t="str">
        <f t="shared" si="13"/>
        <v>D-310401</v>
      </c>
      <c r="AE83" s="79" t="str">
        <f t="shared" si="14"/>
        <v>D</v>
      </c>
      <c r="AF83" s="21" t="str">
        <f t="shared" si="23"/>
        <v>Банкны богино хугацаат зээл USD</v>
      </c>
      <c r="AJ83" s="411"/>
      <c r="AK83" s="411"/>
      <c r="AL83" s="411"/>
      <c r="AM83" s="411"/>
    </row>
    <row r="84" spans="1:39" ht="12.75" customHeight="1">
      <c r="A84" s="24"/>
      <c r="B84" s="108">
        <f t="shared" si="22"/>
        <v>81</v>
      </c>
      <c r="C84" s="6">
        <v>200900</v>
      </c>
      <c r="D84" s="121" t="s">
        <v>684</v>
      </c>
      <c r="E84" s="9" t="s">
        <v>32</v>
      </c>
      <c r="F84" s="6"/>
      <c r="G84" s="6"/>
      <c r="H84" s="121">
        <v>0</v>
      </c>
      <c r="I84" s="121">
        <v>0</v>
      </c>
      <c r="J84" s="11">
        <f>+SUMIFS(JURNAL!G:G,JURNAL!E:E,C84,JURNAL!C:C,"&gt;="&amp;$H$1,JURNAL!C:C,"&lt;="&amp;$I$1)</f>
        <v>0</v>
      </c>
      <c r="K84" s="11">
        <f>+SUMIFS(JURNAL!H:H,JURNAL!E:E,C84,JURNAL!C:C,"&gt;="&amp;$H$1,JURNAL!C:C,"&lt;="&amp;$I$1)</f>
        <v>0</v>
      </c>
      <c r="L84" s="26">
        <f t="shared" si="15"/>
        <v>0</v>
      </c>
      <c r="M84" s="27">
        <f t="shared" si="16"/>
        <v>0</v>
      </c>
      <c r="N84" s="11"/>
      <c r="O84" s="335"/>
      <c r="P84" s="11"/>
      <c r="Q84" s="11"/>
      <c r="R84" s="26">
        <f t="shared" si="17"/>
        <v>0</v>
      </c>
      <c r="S84" s="27">
        <f t="shared" si="18"/>
        <v>0</v>
      </c>
      <c r="T84" s="11"/>
      <c r="U84" s="11"/>
      <c r="V84" s="26">
        <f t="shared" si="19"/>
        <v>0</v>
      </c>
      <c r="W84" s="27">
        <f t="shared" si="20"/>
        <v>0</v>
      </c>
      <c r="X84" s="4">
        <v>1122</v>
      </c>
      <c r="Y84" s="4"/>
      <c r="Z84" s="4"/>
      <c r="AA84" s="12">
        <f t="shared" si="21"/>
        <v>0</v>
      </c>
      <c r="AB84" s="237"/>
      <c r="AC84" s="238"/>
      <c r="AD84" s="238" t="s">
        <v>1345</v>
      </c>
      <c r="AE84" s="237">
        <v>7737831.0999999996</v>
      </c>
      <c r="AF84" s="238">
        <v>100900000301</v>
      </c>
      <c r="AG84" s="238" t="s">
        <v>1347</v>
      </c>
      <c r="AJ84" s="411"/>
      <c r="AK84" s="411"/>
      <c r="AL84" s="411"/>
      <c r="AM84" s="411"/>
    </row>
    <row r="85" spans="1:39" ht="12.75" customHeight="1">
      <c r="A85" s="24"/>
      <c r="B85" s="108">
        <f t="shared" si="22"/>
        <v>82</v>
      </c>
      <c r="C85" s="6">
        <v>201200</v>
      </c>
      <c r="D85" s="121" t="s">
        <v>972</v>
      </c>
      <c r="E85" s="9" t="s">
        <v>32</v>
      </c>
      <c r="F85" s="6"/>
      <c r="G85" s="6"/>
      <c r="H85" s="121">
        <v>0</v>
      </c>
      <c r="I85" s="121">
        <v>633586667.42999995</v>
      </c>
      <c r="J85" s="11">
        <f>+SUMIFS(JURNAL!G:G,JURNAL!E:E,C85,JURNAL!C:C,"&gt;="&amp;$H$1,JURNAL!C:C,"&lt;="&amp;$I$1)</f>
        <v>0</v>
      </c>
      <c r="K85" s="11">
        <f>+SUMIFS(JURNAL!H:H,JURNAL!E:E,C85,JURNAL!C:C,"&gt;="&amp;$H$1,JURNAL!C:C,"&lt;="&amp;$I$1)</f>
        <v>6661875</v>
      </c>
      <c r="L85" s="26">
        <f t="shared" si="15"/>
        <v>0</v>
      </c>
      <c r="M85" s="27">
        <f t="shared" si="16"/>
        <v>640248542.42999995</v>
      </c>
      <c r="N85" s="11"/>
      <c r="O85" s="335"/>
      <c r="P85" s="11"/>
      <c r="Q85" s="11"/>
      <c r="R85" s="26">
        <f t="shared" si="17"/>
        <v>0</v>
      </c>
      <c r="S85" s="27">
        <f t="shared" si="18"/>
        <v>640248542.42999995</v>
      </c>
      <c r="T85" s="11"/>
      <c r="U85" s="11"/>
      <c r="V85" s="26">
        <f t="shared" si="19"/>
        <v>0</v>
      </c>
      <c r="W85" s="27">
        <f t="shared" si="20"/>
        <v>640248542.42999995</v>
      </c>
      <c r="X85" s="4">
        <v>1121</v>
      </c>
      <c r="Y85" s="4"/>
      <c r="Z85" s="4"/>
      <c r="AA85" s="12">
        <f t="shared" si="21"/>
        <v>1</v>
      </c>
      <c r="AB85" s="237"/>
      <c r="AC85" s="238"/>
      <c r="AD85" s="238" t="s">
        <v>1344</v>
      </c>
      <c r="AE85" s="237">
        <v>1878935.3</v>
      </c>
      <c r="AF85" s="238">
        <v>100900000201</v>
      </c>
      <c r="AG85" s="238" t="s">
        <v>1346</v>
      </c>
      <c r="AJ85" s="411"/>
      <c r="AK85" s="411"/>
      <c r="AL85" s="411"/>
      <c r="AM85" s="411"/>
    </row>
    <row r="86" spans="1:39" ht="12.75" customHeight="1">
      <c r="A86" s="24"/>
      <c r="B86" s="108">
        <f t="shared" si="22"/>
        <v>83</v>
      </c>
      <c r="C86" s="6">
        <v>201300</v>
      </c>
      <c r="D86" s="121" t="s">
        <v>973</v>
      </c>
      <c r="E86" s="9" t="s">
        <v>32</v>
      </c>
      <c r="F86" s="6"/>
      <c r="G86" s="6"/>
      <c r="H86" s="121">
        <v>0</v>
      </c>
      <c r="I86" s="121">
        <v>7385035.879999998</v>
      </c>
      <c r="J86" s="11">
        <f>+SUMIFS(JURNAL!G:G,JURNAL!E:E,C86,JURNAL!C:C,"&gt;="&amp;$H$1,JURNAL!C:C,"&lt;="&amp;$I$1)</f>
        <v>0</v>
      </c>
      <c r="K86" s="11">
        <f>+SUMIFS(JURNAL!H:H,JURNAL!E:E,C86,JURNAL!C:C,"&gt;="&amp;$H$1,JURNAL!C:C,"&lt;="&amp;$I$1)</f>
        <v>73072.72</v>
      </c>
      <c r="L86" s="26">
        <f t="shared" si="15"/>
        <v>0</v>
      </c>
      <c r="M86" s="27">
        <f t="shared" si="16"/>
        <v>7458108.5999999978</v>
      </c>
      <c r="N86" s="11"/>
      <c r="O86" s="335"/>
      <c r="P86" s="11"/>
      <c r="Q86" s="11"/>
      <c r="R86" s="26">
        <f t="shared" si="17"/>
        <v>0</v>
      </c>
      <c r="S86" s="27">
        <f t="shared" si="18"/>
        <v>7458108.5999999978</v>
      </c>
      <c r="T86" s="11"/>
      <c r="U86" s="11"/>
      <c r="V86" s="26">
        <f t="shared" si="19"/>
        <v>0</v>
      </c>
      <c r="W86" s="27">
        <f t="shared" si="20"/>
        <v>7458108.5999999978</v>
      </c>
      <c r="X86" s="4">
        <v>1121</v>
      </c>
      <c r="Y86" s="4"/>
      <c r="Z86" s="4"/>
      <c r="AA86" s="12">
        <f t="shared" si="21"/>
        <v>1</v>
      </c>
      <c r="AC86" s="121" t="s">
        <v>396</v>
      </c>
      <c r="AD86" s="21" t="str">
        <f t="shared" si="13"/>
        <v>г-310700</v>
      </c>
      <c r="AE86" s="79" t="str">
        <f t="shared" si="14"/>
        <v>г</v>
      </c>
      <c r="AF86" s="21" t="str">
        <f t="shared" si="23"/>
        <v>ХАОАТ өглөг</v>
      </c>
      <c r="AJ86" s="411"/>
      <c r="AK86" s="411"/>
      <c r="AL86" s="411"/>
      <c r="AM86" s="411"/>
    </row>
    <row r="87" spans="1:39" ht="12.75" customHeight="1">
      <c r="A87" s="24"/>
      <c r="B87" s="108">
        <f t="shared" si="22"/>
        <v>84</v>
      </c>
      <c r="C87" s="6">
        <v>201400</v>
      </c>
      <c r="D87" s="121" t="s">
        <v>974</v>
      </c>
      <c r="E87" s="9" t="s">
        <v>32</v>
      </c>
      <c r="F87" s="6"/>
      <c r="G87" s="6"/>
      <c r="H87" s="121">
        <v>0</v>
      </c>
      <c r="I87" s="121">
        <v>507301900.3599999</v>
      </c>
      <c r="J87" s="11">
        <f>+SUMIFS(JURNAL!G:G,JURNAL!E:E,C87,JURNAL!C:C,"&gt;="&amp;$H$1,JURNAL!C:C,"&lt;="&amp;$I$1)</f>
        <v>0</v>
      </c>
      <c r="K87" s="11">
        <f>+SUMIFS(JURNAL!H:H,JURNAL!E:E,C87,JURNAL!C:C,"&gt;="&amp;$H$1,JURNAL!C:C,"&lt;="&amp;$I$1)</f>
        <v>16354252.65</v>
      </c>
      <c r="L87" s="26">
        <f t="shared" si="15"/>
        <v>0</v>
      </c>
      <c r="M87" s="27">
        <f t="shared" si="16"/>
        <v>523656153.00999987</v>
      </c>
      <c r="N87" s="11"/>
      <c r="O87" s="335"/>
      <c r="P87" s="11"/>
      <c r="Q87" s="11"/>
      <c r="R87" s="26">
        <f t="shared" si="17"/>
        <v>0</v>
      </c>
      <c r="S87" s="27">
        <f t="shared" si="18"/>
        <v>523656153.00999987</v>
      </c>
      <c r="T87" s="11"/>
      <c r="U87" s="11"/>
      <c r="V87" s="26">
        <f t="shared" si="19"/>
        <v>0</v>
      </c>
      <c r="W87" s="27">
        <f t="shared" si="20"/>
        <v>523656153.00999987</v>
      </c>
      <c r="X87" s="4">
        <v>1121</v>
      </c>
      <c r="Y87" s="4"/>
      <c r="Z87" s="4"/>
      <c r="AA87" s="12">
        <f t="shared" si="21"/>
        <v>1</v>
      </c>
      <c r="AC87" s="121" t="s">
        <v>397</v>
      </c>
      <c r="AD87" s="21" t="str">
        <f t="shared" ref="AD87:AD151" si="24">+RIGHT(AC87,8)</f>
        <v>г-310800</v>
      </c>
      <c r="AE87" s="79" t="str">
        <f t="shared" ref="AE87:AE151" si="25">+LEFT(AD87,1)</f>
        <v>г</v>
      </c>
      <c r="AF87" s="21" t="str">
        <f t="shared" si="23"/>
        <v>НД-ын байгууллагад өгөх өглөг</v>
      </c>
      <c r="AJ87" s="411"/>
      <c r="AK87" s="411"/>
      <c r="AL87" s="411"/>
      <c r="AM87" s="411"/>
    </row>
    <row r="88" spans="1:39" ht="12.75" customHeight="1">
      <c r="A88" s="24"/>
      <c r="B88" s="108">
        <f t="shared" si="22"/>
        <v>85</v>
      </c>
      <c r="C88" s="6">
        <v>201500</v>
      </c>
      <c r="D88" s="121" t="s">
        <v>975</v>
      </c>
      <c r="E88" s="9" t="s">
        <v>32</v>
      </c>
      <c r="F88" s="6"/>
      <c r="G88" s="6"/>
      <c r="H88" s="121">
        <v>0</v>
      </c>
      <c r="I88" s="121">
        <v>59760000</v>
      </c>
      <c r="J88" s="11">
        <f>+SUMIFS(JURNAL!G:G,JURNAL!E:E,C88,JURNAL!C:C,"&gt;="&amp;$H$1,JURNAL!C:C,"&lt;="&amp;$I$1)</f>
        <v>0</v>
      </c>
      <c r="K88" s="11">
        <f>+SUMIFS(JURNAL!H:H,JURNAL!E:E,C88,JURNAL!C:C,"&gt;="&amp;$H$1,JURNAL!C:C,"&lt;="&amp;$I$1)</f>
        <v>4245000</v>
      </c>
      <c r="L88" s="26">
        <f t="shared" si="15"/>
        <v>0</v>
      </c>
      <c r="M88" s="27">
        <f t="shared" si="16"/>
        <v>64005000</v>
      </c>
      <c r="N88" s="11"/>
      <c r="O88" s="335"/>
      <c r="P88" s="11"/>
      <c r="Q88" s="11"/>
      <c r="R88" s="26">
        <f t="shared" si="17"/>
        <v>0</v>
      </c>
      <c r="S88" s="27">
        <f t="shared" si="18"/>
        <v>64005000</v>
      </c>
      <c r="T88" s="11"/>
      <c r="U88" s="11"/>
      <c r="V88" s="26">
        <f t="shared" si="19"/>
        <v>0</v>
      </c>
      <c r="W88" s="27">
        <f t="shared" si="20"/>
        <v>64005000</v>
      </c>
      <c r="X88" s="4">
        <v>1121</v>
      </c>
      <c r="Y88" s="4"/>
      <c r="Z88" s="4"/>
      <c r="AA88" s="12">
        <f t="shared" si="21"/>
        <v>1</v>
      </c>
      <c r="AC88" s="121" t="s">
        <v>398</v>
      </c>
      <c r="AD88" s="21" t="str">
        <f t="shared" si="24"/>
        <v>г-310900</v>
      </c>
      <c r="AE88" s="79" t="str">
        <f t="shared" si="25"/>
        <v>г</v>
      </c>
      <c r="AF88" s="21" t="str">
        <f t="shared" si="23"/>
        <v>Бусад татварын өглөг</v>
      </c>
      <c r="AJ88" s="411"/>
      <c r="AK88" s="411"/>
      <c r="AL88" s="411"/>
      <c r="AM88" s="411"/>
    </row>
    <row r="89" spans="1:39" ht="12.75" customHeight="1">
      <c r="A89" s="24"/>
      <c r="B89" s="108">
        <f t="shared" si="22"/>
        <v>86</v>
      </c>
      <c r="C89" s="6">
        <v>201600</v>
      </c>
      <c r="D89" s="121" t="s">
        <v>976</v>
      </c>
      <c r="E89" s="9" t="s">
        <v>32</v>
      </c>
      <c r="F89" s="6"/>
      <c r="G89" s="6"/>
      <c r="H89" s="121">
        <v>0</v>
      </c>
      <c r="I89" s="121">
        <v>0</v>
      </c>
      <c r="J89" s="11">
        <f>+SUMIFS(JURNAL!G:G,JURNAL!E:E,C89,JURNAL!C:C,"&gt;="&amp;$H$1,JURNAL!C:C,"&lt;="&amp;$I$1)</f>
        <v>0</v>
      </c>
      <c r="K89" s="11">
        <f>+SUMIFS(JURNAL!H:H,JURNAL!E:E,C89,JURNAL!C:C,"&gt;="&amp;$H$1,JURNAL!C:C,"&lt;="&amp;$I$1)</f>
        <v>0</v>
      </c>
      <c r="L89" s="26">
        <f t="shared" si="15"/>
        <v>0</v>
      </c>
      <c r="M89" s="27">
        <f t="shared" si="16"/>
        <v>0</v>
      </c>
      <c r="N89" s="11"/>
      <c r="O89" s="335"/>
      <c r="P89" s="11"/>
      <c r="Q89" s="11"/>
      <c r="R89" s="26">
        <f t="shared" si="17"/>
        <v>0</v>
      </c>
      <c r="S89" s="27">
        <f t="shared" si="18"/>
        <v>0</v>
      </c>
      <c r="T89" s="11"/>
      <c r="U89" s="11"/>
      <c r="V89" s="26">
        <f t="shared" si="19"/>
        <v>0</v>
      </c>
      <c r="W89" s="27">
        <f t="shared" si="20"/>
        <v>0</v>
      </c>
      <c r="X89" s="4">
        <v>1121</v>
      </c>
      <c r="Y89" s="4"/>
      <c r="Z89" s="4"/>
      <c r="AA89" s="12">
        <f t="shared" si="21"/>
        <v>0</v>
      </c>
      <c r="AC89" s="121" t="s">
        <v>399</v>
      </c>
      <c r="AD89" s="21" t="str">
        <f t="shared" si="24"/>
        <v>г-311000</v>
      </c>
      <c r="AE89" s="79" t="str">
        <f t="shared" si="25"/>
        <v>г</v>
      </c>
      <c r="AF89" s="21" t="str">
        <f t="shared" si="23"/>
        <v>Цалингийн өглөг</v>
      </c>
      <c r="AJ89" s="411"/>
      <c r="AK89" s="411"/>
      <c r="AL89" s="411"/>
      <c r="AM89" s="411"/>
    </row>
    <row r="90" spans="1:39" ht="12.75" customHeight="1">
      <c r="A90" s="24"/>
      <c r="B90" s="108">
        <f t="shared" si="22"/>
        <v>87</v>
      </c>
      <c r="C90" s="6">
        <v>201800</v>
      </c>
      <c r="D90" s="121" t="s">
        <v>977</v>
      </c>
      <c r="E90" s="9" t="s">
        <v>32</v>
      </c>
      <c r="F90" s="6"/>
      <c r="G90" s="6"/>
      <c r="H90" s="121">
        <v>0</v>
      </c>
      <c r="I90" s="121">
        <v>0</v>
      </c>
      <c r="J90" s="11">
        <f>+SUMIFS(JURNAL!G:G,JURNAL!E:E,C90,JURNAL!C:C,"&gt;="&amp;$H$1,JURNAL!C:C,"&lt;="&amp;$I$1)</f>
        <v>0</v>
      </c>
      <c r="K90" s="11">
        <f>+SUMIFS(JURNAL!H:H,JURNAL!E:E,C90,JURNAL!C:C,"&gt;="&amp;$H$1,JURNAL!C:C,"&lt;="&amp;$I$1)</f>
        <v>0</v>
      </c>
      <c r="L90" s="26">
        <f t="shared" si="15"/>
        <v>0</v>
      </c>
      <c r="M90" s="27">
        <f t="shared" si="16"/>
        <v>0</v>
      </c>
      <c r="N90" s="11"/>
      <c r="O90" s="335"/>
      <c r="P90" s="11"/>
      <c r="Q90" s="11"/>
      <c r="R90" s="26">
        <f t="shared" si="17"/>
        <v>0</v>
      </c>
      <c r="S90" s="27">
        <f t="shared" si="18"/>
        <v>0</v>
      </c>
      <c r="T90" s="11"/>
      <c r="U90" s="11"/>
      <c r="V90" s="26">
        <f t="shared" si="19"/>
        <v>0</v>
      </c>
      <c r="W90" s="27">
        <f t="shared" si="20"/>
        <v>0</v>
      </c>
      <c r="X90" s="4">
        <v>1121</v>
      </c>
      <c r="Y90" s="4"/>
      <c r="Z90" s="4"/>
      <c r="AA90" s="12">
        <f t="shared" si="21"/>
        <v>0</v>
      </c>
      <c r="AC90" s="121" t="s">
        <v>400</v>
      </c>
      <c r="AD90" s="21" t="str">
        <f t="shared" si="24"/>
        <v xml:space="preserve"> -311100</v>
      </c>
      <c r="AE90" s="79" t="str">
        <f t="shared" si="25"/>
        <v xml:space="preserve"> </v>
      </c>
      <c r="AF90" s="21" t="str">
        <f t="shared" si="23"/>
        <v xml:space="preserve">Бусад богино хугацаат өглөг </v>
      </c>
      <c r="AJ90" s="411"/>
      <c r="AK90" s="411"/>
      <c r="AL90" s="411"/>
      <c r="AM90" s="411"/>
    </row>
    <row r="91" spans="1:39" ht="12.75" customHeight="1">
      <c r="A91" s="24"/>
      <c r="B91" s="108">
        <f t="shared" si="22"/>
        <v>88</v>
      </c>
      <c r="C91" s="6">
        <v>202000</v>
      </c>
      <c r="D91" s="121" t="s">
        <v>978</v>
      </c>
      <c r="E91" s="9" t="s">
        <v>32</v>
      </c>
      <c r="F91" s="6"/>
      <c r="G91" s="6"/>
      <c r="H91" s="121">
        <v>0</v>
      </c>
      <c r="I91" s="121">
        <v>17111038.23</v>
      </c>
      <c r="J91" s="11">
        <f>+SUMIFS(JURNAL!G:G,JURNAL!E:E,C91,JURNAL!C:C,"&gt;="&amp;$H$1,JURNAL!C:C,"&lt;="&amp;$I$1)</f>
        <v>0</v>
      </c>
      <c r="K91" s="11">
        <f>+SUMIFS(JURNAL!H:H,JURNAL!E:E,C91,JURNAL!C:C,"&gt;="&amp;$H$1,JURNAL!C:C,"&lt;="&amp;$I$1)</f>
        <v>0</v>
      </c>
      <c r="L91" s="26">
        <f t="shared" si="15"/>
        <v>0</v>
      </c>
      <c r="M91" s="27">
        <f t="shared" si="16"/>
        <v>17111038.23</v>
      </c>
      <c r="N91" s="11"/>
      <c r="O91" s="335"/>
      <c r="P91" s="11"/>
      <c r="Q91" s="11"/>
      <c r="R91" s="26">
        <f t="shared" si="17"/>
        <v>0</v>
      </c>
      <c r="S91" s="27">
        <f t="shared" si="18"/>
        <v>17111038.23</v>
      </c>
      <c r="T91" s="11"/>
      <c r="U91" s="11"/>
      <c r="V91" s="26">
        <f t="shared" si="19"/>
        <v>0</v>
      </c>
      <c r="W91" s="27">
        <f t="shared" si="20"/>
        <v>17111038.23</v>
      </c>
      <c r="X91" s="4">
        <v>1121</v>
      </c>
      <c r="Y91" s="4"/>
      <c r="Z91" s="4"/>
      <c r="AA91" s="12">
        <f t="shared" si="21"/>
        <v>1</v>
      </c>
      <c r="AC91" s="121" t="s">
        <v>401</v>
      </c>
      <c r="AD91" s="21" t="str">
        <f t="shared" si="24"/>
        <v>г-311200</v>
      </c>
      <c r="AE91" s="79" t="str">
        <f t="shared" si="25"/>
        <v>г</v>
      </c>
      <c r="AF91" s="21" t="str">
        <f t="shared" si="23"/>
        <v>Ажилчдад өгөх өглөг</v>
      </c>
      <c r="AJ91" s="411"/>
      <c r="AK91" s="411"/>
      <c r="AL91" s="411"/>
      <c r="AM91" s="411"/>
    </row>
    <row r="92" spans="1:39" ht="12.75" customHeight="1">
      <c r="A92" s="24"/>
      <c r="B92" s="108">
        <f t="shared" si="22"/>
        <v>89</v>
      </c>
      <c r="C92" s="6">
        <v>210100</v>
      </c>
      <c r="D92" s="121" t="s">
        <v>720</v>
      </c>
      <c r="E92" s="9" t="s">
        <v>32</v>
      </c>
      <c r="F92" s="6"/>
      <c r="G92" s="6"/>
      <c r="H92" s="121">
        <v>0</v>
      </c>
      <c r="I92" s="121">
        <v>0</v>
      </c>
      <c r="J92" s="11">
        <f>+SUMIFS(JURNAL!G:G,JURNAL!E:E,C92,JURNAL!C:C,"&gt;="&amp;$H$1,JURNAL!C:C,"&lt;="&amp;$I$1)</f>
        <v>0</v>
      </c>
      <c r="K92" s="11">
        <f>+SUMIFS(JURNAL!H:H,JURNAL!E:E,C92,JURNAL!C:C,"&gt;="&amp;$H$1,JURNAL!C:C,"&lt;="&amp;$I$1)</f>
        <v>0</v>
      </c>
      <c r="L92" s="26">
        <f t="shared" si="15"/>
        <v>0</v>
      </c>
      <c r="M92" s="27">
        <f t="shared" si="16"/>
        <v>0</v>
      </c>
      <c r="N92" s="11"/>
      <c r="O92" s="335"/>
      <c r="P92" s="11"/>
      <c r="Q92" s="11"/>
      <c r="R92" s="26">
        <f t="shared" si="17"/>
        <v>0</v>
      </c>
      <c r="S92" s="27">
        <f t="shared" si="18"/>
        <v>0</v>
      </c>
      <c r="T92" s="11"/>
      <c r="U92" s="11"/>
      <c r="V92" s="26">
        <f t="shared" si="19"/>
        <v>0</v>
      </c>
      <c r="W92" s="27">
        <f t="shared" si="20"/>
        <v>0</v>
      </c>
      <c r="X92" s="4">
        <v>1127</v>
      </c>
      <c r="Y92" s="4"/>
      <c r="Z92" s="4"/>
      <c r="AA92" s="12">
        <f t="shared" si="21"/>
        <v>0</v>
      </c>
      <c r="AC92" s="121" t="s">
        <v>402</v>
      </c>
      <c r="AD92" s="21" t="str">
        <f t="shared" si="24"/>
        <v>T-311300</v>
      </c>
      <c r="AE92" s="79" t="str">
        <f t="shared" si="25"/>
        <v>T</v>
      </c>
      <c r="AF92" s="21" t="str">
        <f t="shared" si="23"/>
        <v>Хувь хүнд өгөх өглөг MNT</v>
      </c>
      <c r="AJ92" s="411"/>
      <c r="AK92" s="411"/>
      <c r="AL92" s="411"/>
      <c r="AM92" s="411"/>
    </row>
    <row r="93" spans="1:39" ht="12.75" customHeight="1">
      <c r="A93" s="24"/>
      <c r="B93" s="108">
        <f t="shared" si="22"/>
        <v>90</v>
      </c>
      <c r="C93" s="6">
        <v>210200</v>
      </c>
      <c r="D93" s="121" t="s">
        <v>724</v>
      </c>
      <c r="E93" s="9" t="s">
        <v>32</v>
      </c>
      <c r="F93" s="6"/>
      <c r="G93" s="6"/>
      <c r="H93" s="121">
        <v>0</v>
      </c>
      <c r="I93" s="121">
        <v>0</v>
      </c>
      <c r="J93" s="11">
        <f>+SUMIFS(JURNAL!G:G,JURNAL!E:E,C93,JURNAL!C:C,"&gt;="&amp;$H$1,JURNAL!C:C,"&lt;="&amp;$I$1)</f>
        <v>0</v>
      </c>
      <c r="K93" s="11">
        <f>+SUMIFS(JURNAL!H:H,JURNAL!E:E,C93,JURNAL!C:C,"&gt;="&amp;$H$1,JURNAL!C:C,"&lt;="&amp;$I$1)</f>
        <v>0</v>
      </c>
      <c r="L93" s="26">
        <f t="shared" si="15"/>
        <v>0</v>
      </c>
      <c r="M93" s="27">
        <f t="shared" si="16"/>
        <v>0</v>
      </c>
      <c r="N93" s="11"/>
      <c r="O93" s="335"/>
      <c r="P93" s="11"/>
      <c r="Q93" s="11"/>
      <c r="R93" s="26">
        <f t="shared" si="17"/>
        <v>0</v>
      </c>
      <c r="S93" s="27">
        <f t="shared" si="18"/>
        <v>0</v>
      </c>
      <c r="T93" s="11"/>
      <c r="U93" s="11"/>
      <c r="V93" s="26">
        <f t="shared" si="19"/>
        <v>0</v>
      </c>
      <c r="W93" s="27">
        <f t="shared" si="20"/>
        <v>0</v>
      </c>
      <c r="X93" s="4">
        <v>1127</v>
      </c>
      <c r="Y93" s="4"/>
      <c r="Z93" s="4"/>
      <c r="AA93" s="12">
        <f t="shared" si="21"/>
        <v>0</v>
      </c>
      <c r="AC93" s="121" t="s">
        <v>403</v>
      </c>
      <c r="AD93" s="21" t="str">
        <f t="shared" si="24"/>
        <v>D-311301</v>
      </c>
      <c r="AE93" s="79" t="str">
        <f t="shared" si="25"/>
        <v>D</v>
      </c>
      <c r="AF93" s="21" t="str">
        <f t="shared" si="23"/>
        <v>Хувь хүнд өгөх өглөг USD</v>
      </c>
      <c r="AJ93" s="411"/>
      <c r="AK93" s="411"/>
      <c r="AL93" s="411"/>
      <c r="AM93" s="411"/>
    </row>
    <row r="94" spans="1:39" ht="12.75" customHeight="1">
      <c r="A94" s="24"/>
      <c r="B94" s="108">
        <f t="shared" si="22"/>
        <v>91</v>
      </c>
      <c r="C94" s="6">
        <v>210300</v>
      </c>
      <c r="D94" s="121" t="s">
        <v>728</v>
      </c>
      <c r="E94" s="9" t="s">
        <v>32</v>
      </c>
      <c r="F94" s="6"/>
      <c r="G94" s="6"/>
      <c r="H94" s="121">
        <v>0</v>
      </c>
      <c r="I94" s="121">
        <v>0</v>
      </c>
      <c r="J94" s="11">
        <f>+SUMIFS(JURNAL!G:G,JURNAL!E:E,C94,JURNAL!C:C,"&gt;="&amp;$H$1,JURNAL!C:C,"&lt;="&amp;$I$1)</f>
        <v>0</v>
      </c>
      <c r="K94" s="11">
        <f>+SUMIFS(JURNAL!H:H,JURNAL!E:E,C94,JURNAL!C:C,"&gt;="&amp;$H$1,JURNAL!C:C,"&lt;="&amp;$I$1)</f>
        <v>0</v>
      </c>
      <c r="L94" s="26">
        <f t="shared" si="15"/>
        <v>0</v>
      </c>
      <c r="M94" s="27">
        <f t="shared" si="16"/>
        <v>0</v>
      </c>
      <c r="N94" s="11"/>
      <c r="O94" s="335"/>
      <c r="P94" s="11"/>
      <c r="Q94" s="11"/>
      <c r="R94" s="26">
        <f t="shared" si="17"/>
        <v>0</v>
      </c>
      <c r="S94" s="27">
        <f t="shared" si="18"/>
        <v>0</v>
      </c>
      <c r="T94" s="11"/>
      <c r="U94" s="11"/>
      <c r="V94" s="26">
        <f t="shared" si="19"/>
        <v>0</v>
      </c>
      <c r="W94" s="27">
        <f t="shared" si="20"/>
        <v>0</v>
      </c>
      <c r="X94" s="4">
        <v>1127</v>
      </c>
      <c r="Y94" s="4"/>
      <c r="Z94" s="4"/>
      <c r="AA94" s="12">
        <f t="shared" si="21"/>
        <v>0</v>
      </c>
      <c r="AC94" s="121" t="s">
        <v>404</v>
      </c>
      <c r="AD94" s="21" t="str">
        <f t="shared" si="24"/>
        <v>T-311400</v>
      </c>
      <c r="AE94" s="79" t="str">
        <f t="shared" si="25"/>
        <v>T</v>
      </c>
      <c r="AF94" s="21" t="str">
        <f t="shared" si="23"/>
        <v>Çээлийн хүүгийн өглөг MNT</v>
      </c>
      <c r="AJ94" s="411"/>
      <c r="AK94" s="411"/>
      <c r="AL94" s="411"/>
      <c r="AM94" s="411"/>
    </row>
    <row r="95" spans="1:39" ht="12.75" customHeight="1">
      <c r="A95" s="24"/>
      <c r="B95" s="108">
        <f t="shared" si="22"/>
        <v>92</v>
      </c>
      <c r="C95" s="6">
        <v>210400</v>
      </c>
      <c r="D95" s="121" t="s">
        <v>732</v>
      </c>
      <c r="E95" s="9" t="s">
        <v>32</v>
      </c>
      <c r="F95" s="6"/>
      <c r="G95" s="6"/>
      <c r="H95" s="121">
        <v>0</v>
      </c>
      <c r="I95" s="121">
        <v>0</v>
      </c>
      <c r="J95" s="11">
        <f>+SUMIFS(JURNAL!G:G,JURNAL!E:E,C95,JURNAL!C:C,"&gt;="&amp;$H$1,JURNAL!C:C,"&lt;="&amp;$I$1)</f>
        <v>0</v>
      </c>
      <c r="K95" s="11">
        <f>+SUMIFS(JURNAL!H:H,JURNAL!E:E,C95,JURNAL!C:C,"&gt;="&amp;$H$1,JURNAL!C:C,"&lt;="&amp;$I$1)</f>
        <v>0</v>
      </c>
      <c r="L95" s="26">
        <f t="shared" si="15"/>
        <v>0</v>
      </c>
      <c r="M95" s="27">
        <f t="shared" si="16"/>
        <v>0</v>
      </c>
      <c r="N95" s="11"/>
      <c r="O95" s="335"/>
      <c r="P95" s="11"/>
      <c r="Q95" s="11"/>
      <c r="R95" s="26">
        <f t="shared" si="17"/>
        <v>0</v>
      </c>
      <c r="S95" s="27">
        <f t="shared" si="18"/>
        <v>0</v>
      </c>
      <c r="T95" s="11"/>
      <c r="U95" s="11"/>
      <c r="V95" s="26">
        <f t="shared" si="19"/>
        <v>0</v>
      </c>
      <c r="W95" s="27">
        <f t="shared" si="20"/>
        <v>0</v>
      </c>
      <c r="X95" s="4">
        <v>1127</v>
      </c>
      <c r="Y95" s="4"/>
      <c r="Z95" s="4"/>
      <c r="AA95" s="12">
        <f t="shared" si="21"/>
        <v>0</v>
      </c>
      <c r="AC95" s="121" t="s">
        <v>405</v>
      </c>
      <c r="AD95" s="21" t="str">
        <f t="shared" si="24"/>
        <v>D-311401</v>
      </c>
      <c r="AE95" s="79" t="str">
        <f t="shared" si="25"/>
        <v>D</v>
      </c>
      <c r="AF95" s="21" t="str">
        <f t="shared" si="23"/>
        <v>Çээлийн хүүгийн өглөг USD</v>
      </c>
      <c r="AJ95" s="411"/>
      <c r="AK95" s="411"/>
      <c r="AL95" s="411"/>
      <c r="AM95" s="411"/>
    </row>
    <row r="96" spans="1:39" ht="12.75" customHeight="1">
      <c r="A96" s="24"/>
      <c r="B96" s="108">
        <f t="shared" si="22"/>
        <v>93</v>
      </c>
      <c r="C96" s="6">
        <v>210500</v>
      </c>
      <c r="D96" s="121" t="s">
        <v>736</v>
      </c>
      <c r="E96" s="9" t="s">
        <v>32</v>
      </c>
      <c r="F96" s="6"/>
      <c r="G96" s="6"/>
      <c r="H96" s="121">
        <v>0</v>
      </c>
      <c r="I96" s="121">
        <v>0</v>
      </c>
      <c r="J96" s="11">
        <f>+SUMIFS(JURNAL!G:G,JURNAL!E:E,C96,JURNAL!C:C,"&gt;="&amp;$H$1,JURNAL!C:C,"&lt;="&amp;$I$1)</f>
        <v>0</v>
      </c>
      <c r="K96" s="11">
        <f>+SUMIFS(JURNAL!H:H,JURNAL!E:E,C96,JURNAL!C:C,"&gt;="&amp;$H$1,JURNAL!C:C,"&lt;="&amp;$I$1)</f>
        <v>0</v>
      </c>
      <c r="L96" s="26">
        <f t="shared" si="15"/>
        <v>0</v>
      </c>
      <c r="M96" s="27">
        <f t="shared" si="16"/>
        <v>0</v>
      </c>
      <c r="N96" s="11"/>
      <c r="O96" s="335"/>
      <c r="P96" s="11"/>
      <c r="Q96" s="11"/>
      <c r="R96" s="26">
        <f t="shared" si="17"/>
        <v>0</v>
      </c>
      <c r="S96" s="27">
        <f t="shared" si="18"/>
        <v>0</v>
      </c>
      <c r="T96" s="11"/>
      <c r="U96" s="11"/>
      <c r="V96" s="26">
        <f t="shared" si="19"/>
        <v>0</v>
      </c>
      <c r="W96" s="27">
        <f t="shared" si="20"/>
        <v>0</v>
      </c>
      <c r="X96" s="4">
        <v>1127</v>
      </c>
      <c r="Y96" s="4"/>
      <c r="Z96" s="4"/>
      <c r="AA96" s="12">
        <f t="shared" si="21"/>
        <v>0</v>
      </c>
      <c r="AC96" s="121" t="s">
        <v>406</v>
      </c>
      <c r="AD96" s="21" t="str">
        <f t="shared" si="24"/>
        <v>р-311600</v>
      </c>
      <c r="AE96" s="79" t="str">
        <f t="shared" si="25"/>
        <v>р</v>
      </c>
      <c r="AF96" s="21" t="str">
        <f t="shared" si="23"/>
        <v>Борлуулах зорилгоор эзэмшиж буй эргэлтийн бус хөрөнгөд хамаарах өр төлбөр</v>
      </c>
      <c r="AJ96" s="411"/>
      <c r="AK96" s="411"/>
      <c r="AL96" s="411"/>
      <c r="AM96" s="411"/>
    </row>
    <row r="97" spans="1:39" ht="12.75" customHeight="1">
      <c r="A97" s="24"/>
      <c r="B97" s="108">
        <f t="shared" si="22"/>
        <v>94</v>
      </c>
      <c r="C97" s="6">
        <v>210600</v>
      </c>
      <c r="D97" s="121" t="s">
        <v>740</v>
      </c>
      <c r="E97" s="9" t="s">
        <v>32</v>
      </c>
      <c r="F97" s="6"/>
      <c r="G97" s="6"/>
      <c r="H97" s="121">
        <v>0</v>
      </c>
      <c r="I97" s="121">
        <v>0</v>
      </c>
      <c r="J97" s="11">
        <f>+SUMIFS(JURNAL!G:G,JURNAL!E:E,C97,JURNAL!C:C,"&gt;="&amp;$H$1,JURNAL!C:C,"&lt;="&amp;$I$1)</f>
        <v>0</v>
      </c>
      <c r="K97" s="11">
        <f>+SUMIFS(JURNAL!H:H,JURNAL!E:E,C97,JURNAL!C:C,"&gt;="&amp;$H$1,JURNAL!C:C,"&lt;="&amp;$I$1)</f>
        <v>0</v>
      </c>
      <c r="L97" s="26">
        <f t="shared" si="15"/>
        <v>0</v>
      </c>
      <c r="M97" s="27">
        <f t="shared" si="16"/>
        <v>0</v>
      </c>
      <c r="N97" s="11"/>
      <c r="O97" s="335"/>
      <c r="P97" s="11"/>
      <c r="Q97" s="11"/>
      <c r="R97" s="26">
        <f t="shared" si="17"/>
        <v>0</v>
      </c>
      <c r="S97" s="27">
        <f t="shared" si="18"/>
        <v>0</v>
      </c>
      <c r="T97" s="11"/>
      <c r="U97" s="11"/>
      <c r="V97" s="26">
        <f t="shared" si="19"/>
        <v>0</v>
      </c>
      <c r="W97" s="27">
        <f t="shared" si="20"/>
        <v>0</v>
      </c>
      <c r="X97" s="4">
        <v>1127</v>
      </c>
      <c r="Y97" s="4"/>
      <c r="Z97" s="4"/>
      <c r="AA97" s="12">
        <f t="shared" si="21"/>
        <v>0</v>
      </c>
      <c r="AC97" s="121" t="s">
        <v>407</v>
      </c>
      <c r="AD97" s="21" t="str">
        <f t="shared" si="24"/>
        <v>г-312000</v>
      </c>
      <c r="AE97" s="79" t="str">
        <f t="shared" si="25"/>
        <v>г</v>
      </c>
      <c r="AF97" s="21" t="str">
        <f t="shared" si="23"/>
        <v>Баталгаат засварын өглөг</v>
      </c>
      <c r="AJ97" s="411"/>
      <c r="AK97" s="411"/>
      <c r="AL97" s="411"/>
      <c r="AM97" s="411"/>
    </row>
    <row r="98" spans="1:39" ht="12.75" customHeight="1">
      <c r="A98" s="24"/>
      <c r="B98" s="108">
        <f t="shared" si="22"/>
        <v>95</v>
      </c>
      <c r="C98" s="6">
        <v>210700</v>
      </c>
      <c r="D98" s="121" t="s">
        <v>744</v>
      </c>
      <c r="E98" s="9" t="s">
        <v>32</v>
      </c>
      <c r="F98" s="6"/>
      <c r="G98" s="6"/>
      <c r="H98" s="121">
        <v>0</v>
      </c>
      <c r="I98" s="121">
        <v>0</v>
      </c>
      <c r="J98" s="11">
        <f>+SUMIFS(JURNAL!G:G,JURNAL!E:E,C98,JURNAL!C:C,"&gt;="&amp;$H$1,JURNAL!C:C,"&lt;="&amp;$I$1)</f>
        <v>0</v>
      </c>
      <c r="K98" s="11">
        <f>+SUMIFS(JURNAL!H:H,JURNAL!E:E,C98,JURNAL!C:C,"&gt;="&amp;$H$1,JURNAL!C:C,"&lt;="&amp;$I$1)</f>
        <v>0</v>
      </c>
      <c r="L98" s="26">
        <f t="shared" si="15"/>
        <v>0</v>
      </c>
      <c r="M98" s="27">
        <f t="shared" si="16"/>
        <v>0</v>
      </c>
      <c r="N98" s="11"/>
      <c r="O98" s="335"/>
      <c r="P98" s="11"/>
      <c r="Q98" s="11"/>
      <c r="R98" s="26">
        <f t="shared" si="17"/>
        <v>0</v>
      </c>
      <c r="S98" s="27">
        <f t="shared" si="18"/>
        <v>0</v>
      </c>
      <c r="T98" s="11"/>
      <c r="U98" s="11"/>
      <c r="V98" s="26">
        <f t="shared" si="19"/>
        <v>0</v>
      </c>
      <c r="W98" s="27">
        <f t="shared" si="20"/>
        <v>0</v>
      </c>
      <c r="X98" s="4">
        <v>1127</v>
      </c>
      <c r="Y98" s="4"/>
      <c r="Z98" s="4"/>
      <c r="AA98" s="12">
        <f t="shared" si="21"/>
        <v>0</v>
      </c>
      <c r="AC98" s="121" t="s">
        <v>408</v>
      </c>
      <c r="AD98" s="21" t="str">
        <f t="shared" si="24"/>
        <v>T-320100</v>
      </c>
      <c r="AE98" s="79" t="str">
        <f t="shared" si="25"/>
        <v>T</v>
      </c>
      <c r="AF98" s="21" t="str">
        <f t="shared" si="23"/>
        <v>Урьдчилж орсон орлого MNT</v>
      </c>
      <c r="AJ98" s="411"/>
      <c r="AK98" s="411"/>
      <c r="AL98" s="411"/>
      <c r="AM98" s="411"/>
    </row>
    <row r="99" spans="1:39" ht="12.75" customHeight="1">
      <c r="A99" s="24"/>
      <c r="B99" s="108">
        <f t="shared" si="22"/>
        <v>96</v>
      </c>
      <c r="C99" s="6">
        <v>211000</v>
      </c>
      <c r="D99" s="121" t="s">
        <v>654</v>
      </c>
      <c r="E99" s="9" t="s">
        <v>32</v>
      </c>
      <c r="F99" s="6"/>
      <c r="G99" s="6"/>
      <c r="H99" s="121">
        <v>0</v>
      </c>
      <c r="I99" s="121">
        <v>0</v>
      </c>
      <c r="J99" s="11">
        <f>+SUMIFS(JURNAL!G:G,JURNAL!E:E,C99,JURNAL!C:C,"&gt;="&amp;$H$1,JURNAL!C:C,"&lt;="&amp;$I$1)</f>
        <v>0</v>
      </c>
      <c r="K99" s="11">
        <f>+SUMIFS(JURNAL!H:H,JURNAL!E:E,C99,JURNAL!C:C,"&gt;="&amp;$H$1,JURNAL!C:C,"&lt;="&amp;$I$1)</f>
        <v>0</v>
      </c>
      <c r="L99" s="26">
        <f t="shared" si="15"/>
        <v>0</v>
      </c>
      <c r="M99" s="27">
        <f t="shared" si="16"/>
        <v>0</v>
      </c>
      <c r="N99" s="11"/>
      <c r="O99" s="335"/>
      <c r="P99" s="11"/>
      <c r="Q99" s="11"/>
      <c r="R99" s="26">
        <f t="shared" si="17"/>
        <v>0</v>
      </c>
      <c r="S99" s="27">
        <f t="shared" si="18"/>
        <v>0</v>
      </c>
      <c r="T99" s="11"/>
      <c r="U99" s="11"/>
      <c r="V99" s="26">
        <f t="shared" si="19"/>
        <v>0</v>
      </c>
      <c r="W99" s="27">
        <f t="shared" si="20"/>
        <v>0</v>
      </c>
      <c r="X99" s="4">
        <v>1127</v>
      </c>
      <c r="Y99" s="4"/>
      <c r="Z99" s="4"/>
      <c r="AA99" s="12">
        <f t="shared" si="21"/>
        <v>0</v>
      </c>
      <c r="AC99" s="121" t="s">
        <v>409</v>
      </c>
      <c r="AD99" s="21" t="str">
        <f t="shared" si="24"/>
        <v>D-320101</v>
      </c>
      <c r="AE99" s="79" t="str">
        <f t="shared" si="25"/>
        <v>D</v>
      </c>
      <c r="AF99" s="21" t="str">
        <f t="shared" si="23"/>
        <v>Урьдчилж орсон орлого USD</v>
      </c>
      <c r="AJ99" s="411"/>
      <c r="AK99" s="411"/>
      <c r="AL99" s="411"/>
      <c r="AM99" s="411"/>
    </row>
    <row r="100" spans="1:39" ht="12.75" customHeight="1">
      <c r="A100" s="24"/>
      <c r="B100" s="108">
        <f t="shared" si="22"/>
        <v>97</v>
      </c>
      <c r="C100" s="6">
        <v>220100</v>
      </c>
      <c r="D100" s="121" t="s">
        <v>796</v>
      </c>
      <c r="E100" s="9" t="s">
        <v>32</v>
      </c>
      <c r="F100" s="6"/>
      <c r="G100" s="6"/>
      <c r="H100" s="121">
        <v>0</v>
      </c>
      <c r="I100" s="121">
        <v>0</v>
      </c>
      <c r="J100" s="11">
        <f>+SUMIFS(JURNAL!G:G,JURNAL!E:E,C100,JURNAL!C:C,"&gt;="&amp;$H$1,JURNAL!C:C,"&lt;="&amp;$I$1)</f>
        <v>0</v>
      </c>
      <c r="K100" s="11">
        <f>+SUMIFS(JURNAL!H:H,JURNAL!E:E,C100,JURNAL!C:C,"&gt;="&amp;$H$1,JURNAL!C:C,"&lt;="&amp;$I$1)</f>
        <v>0</v>
      </c>
      <c r="L100" s="26">
        <f t="shared" si="15"/>
        <v>0</v>
      </c>
      <c r="M100" s="27">
        <f t="shared" si="16"/>
        <v>0</v>
      </c>
      <c r="N100" s="11"/>
      <c r="O100" s="335"/>
      <c r="P100" s="11"/>
      <c r="Q100" s="11"/>
      <c r="R100" s="26">
        <f t="shared" si="17"/>
        <v>0</v>
      </c>
      <c r="S100" s="27">
        <f t="shared" si="18"/>
        <v>0</v>
      </c>
      <c r="T100" s="11"/>
      <c r="U100" s="11"/>
      <c r="V100" s="26">
        <f t="shared" si="19"/>
        <v>0</v>
      </c>
      <c r="W100" s="27">
        <f t="shared" si="20"/>
        <v>0</v>
      </c>
      <c r="X100" s="4">
        <v>1123</v>
      </c>
      <c r="Y100" s="4"/>
      <c r="Z100" s="4"/>
      <c r="AA100" s="12">
        <f t="shared" si="21"/>
        <v>0</v>
      </c>
      <c r="AC100" s="121" t="s">
        <v>410</v>
      </c>
      <c r="AD100" s="21" t="str">
        <f t="shared" si="24"/>
        <v>/-340100</v>
      </c>
      <c r="AE100" s="79" t="str">
        <f t="shared" si="25"/>
        <v>/</v>
      </c>
      <c r="AF100" s="21" t="str">
        <f t="shared" si="23"/>
        <v>ХО-д өгөх өглөг MNT /ЭНХБАТ/</v>
      </c>
      <c r="AJ100" s="411"/>
      <c r="AK100" s="411"/>
      <c r="AL100" s="411"/>
      <c r="AM100" s="411"/>
    </row>
    <row r="101" spans="1:39" ht="12.75" customHeight="1">
      <c r="A101" s="24"/>
      <c r="B101" s="108">
        <f t="shared" si="22"/>
        <v>98</v>
      </c>
      <c r="C101" s="6">
        <v>220200</v>
      </c>
      <c r="D101" s="121" t="s">
        <v>800</v>
      </c>
      <c r="E101" s="9" t="s">
        <v>32</v>
      </c>
      <c r="F101" s="6"/>
      <c r="G101" s="6"/>
      <c r="H101" s="121">
        <v>0</v>
      </c>
      <c r="I101" s="121">
        <v>0</v>
      </c>
      <c r="J101" s="11">
        <f>+SUMIFS(JURNAL!G:G,JURNAL!E:E,C101,JURNAL!C:C,"&gt;="&amp;$H$1,JURNAL!C:C,"&lt;="&amp;$I$1)</f>
        <v>0</v>
      </c>
      <c r="K101" s="11">
        <f>+SUMIFS(JURNAL!H:H,JURNAL!E:E,C101,JURNAL!C:C,"&gt;="&amp;$H$1,JURNAL!C:C,"&lt;="&amp;$I$1)</f>
        <v>0</v>
      </c>
      <c r="L101" s="26">
        <f t="shared" si="15"/>
        <v>0</v>
      </c>
      <c r="M101" s="27">
        <f t="shared" si="16"/>
        <v>0</v>
      </c>
      <c r="N101" s="11"/>
      <c r="O101" s="335"/>
      <c r="P101" s="11"/>
      <c r="Q101" s="11"/>
      <c r="R101" s="26">
        <f t="shared" si="17"/>
        <v>0</v>
      </c>
      <c r="S101" s="27">
        <f t="shared" si="18"/>
        <v>0</v>
      </c>
      <c r="T101" s="11"/>
      <c r="U101" s="11"/>
      <c r="V101" s="26">
        <f t="shared" si="19"/>
        <v>0</v>
      </c>
      <c r="W101" s="27">
        <f t="shared" si="20"/>
        <v>0</v>
      </c>
      <c r="X101" s="4">
        <v>1123</v>
      </c>
      <c r="Y101" s="4"/>
      <c r="Z101" s="4"/>
      <c r="AA101" s="12">
        <f t="shared" si="21"/>
        <v>0</v>
      </c>
      <c r="AC101" s="121" t="s">
        <v>411</v>
      </c>
      <c r="AD101" s="21" t="str">
        <f t="shared" si="24"/>
        <v>/-350100</v>
      </c>
      <c r="AE101" s="79" t="str">
        <f t="shared" si="25"/>
        <v>/</v>
      </c>
      <c r="AF101" s="21" t="str">
        <f t="shared" si="23"/>
        <v>ХО-д өгөх өглөг USD /БАХДАМДЭМБЭРЭЛ/</v>
      </c>
      <c r="AJ101" s="411"/>
      <c r="AK101" s="411"/>
      <c r="AL101" s="411"/>
      <c r="AM101" s="411"/>
    </row>
    <row r="102" spans="1:39" ht="12.75" customHeight="1">
      <c r="A102" s="24"/>
      <c r="B102" s="108">
        <f t="shared" si="22"/>
        <v>99</v>
      </c>
      <c r="C102" s="6">
        <v>220400</v>
      </c>
      <c r="D102" s="121" t="s">
        <v>804</v>
      </c>
      <c r="E102" s="9" t="s">
        <v>32</v>
      </c>
      <c r="F102" s="6"/>
      <c r="G102" s="6"/>
      <c r="H102" s="121">
        <v>0</v>
      </c>
      <c r="I102" s="121">
        <v>0</v>
      </c>
      <c r="J102" s="11">
        <f>+SUMIFS(JURNAL!G:G,JURNAL!E:E,C102,JURNAL!C:C,"&gt;="&amp;$H$1,JURNAL!C:C,"&lt;="&amp;$I$1)</f>
        <v>0</v>
      </c>
      <c r="K102" s="11">
        <f>+SUMIFS(JURNAL!H:H,JURNAL!E:E,C102,JURNAL!C:C,"&gt;="&amp;$H$1,JURNAL!C:C,"&lt;="&amp;$I$1)</f>
        <v>0</v>
      </c>
      <c r="L102" s="26">
        <f t="shared" si="15"/>
        <v>0</v>
      </c>
      <c r="M102" s="27">
        <f t="shared" si="16"/>
        <v>0</v>
      </c>
      <c r="N102" s="11"/>
      <c r="O102" s="335"/>
      <c r="P102" s="11"/>
      <c r="Q102" s="11"/>
      <c r="R102" s="26">
        <f t="shared" si="17"/>
        <v>0</v>
      </c>
      <c r="S102" s="27">
        <f t="shared" si="18"/>
        <v>0</v>
      </c>
      <c r="T102" s="11"/>
      <c r="U102" s="11"/>
      <c r="V102" s="26">
        <f t="shared" si="19"/>
        <v>0</v>
      </c>
      <c r="W102" s="27">
        <f t="shared" si="20"/>
        <v>0</v>
      </c>
      <c r="X102" s="4">
        <v>1123</v>
      </c>
      <c r="Y102" s="4"/>
      <c r="Z102" s="4"/>
      <c r="AA102" s="12">
        <f t="shared" si="21"/>
        <v>0</v>
      </c>
      <c r="AC102" s="121" t="s">
        <v>412</v>
      </c>
      <c r="AD102" s="21" t="str">
        <f t="shared" si="24"/>
        <v>а-320200</v>
      </c>
      <c r="AE102" s="79" t="str">
        <f t="shared" si="25"/>
        <v>а</v>
      </c>
      <c r="AF102" s="21" t="str">
        <f t="shared" si="23"/>
        <v>Богино хугацаат өглөгийн хасагдуулга</v>
      </c>
      <c r="AJ102" s="411"/>
      <c r="AK102" s="411"/>
      <c r="AL102" s="411"/>
      <c r="AM102" s="411"/>
    </row>
    <row r="103" spans="1:39" ht="12.75" customHeight="1">
      <c r="A103" s="24"/>
      <c r="B103" s="108">
        <f t="shared" si="22"/>
        <v>100</v>
      </c>
      <c r="C103" s="6">
        <v>230100</v>
      </c>
      <c r="D103" s="121" t="s">
        <v>808</v>
      </c>
      <c r="E103" s="9" t="s">
        <v>32</v>
      </c>
      <c r="F103" s="6"/>
      <c r="G103" s="6"/>
      <c r="H103" s="121">
        <v>0</v>
      </c>
      <c r="I103" s="121">
        <v>0</v>
      </c>
      <c r="J103" s="11">
        <f>+SUMIFS(JURNAL!G:G,JURNAL!E:E,C103,JURNAL!C:C,"&gt;="&amp;$H$1,JURNAL!C:C,"&lt;="&amp;$I$1)</f>
        <v>0</v>
      </c>
      <c r="K103" s="11">
        <f>+SUMIFS(JURNAL!H:H,JURNAL!E:E,C103,JURNAL!C:C,"&gt;="&amp;$H$1,JURNAL!C:C,"&lt;="&amp;$I$1)</f>
        <v>0</v>
      </c>
      <c r="L103" s="26">
        <f t="shared" si="15"/>
        <v>0</v>
      </c>
      <c r="M103" s="27">
        <f t="shared" si="16"/>
        <v>0</v>
      </c>
      <c r="N103" s="11"/>
      <c r="O103" s="335"/>
      <c r="P103" s="11"/>
      <c r="Q103" s="11"/>
      <c r="R103" s="26">
        <f t="shared" si="17"/>
        <v>0</v>
      </c>
      <c r="S103" s="27">
        <f t="shared" si="18"/>
        <v>0</v>
      </c>
      <c r="T103" s="11"/>
      <c r="U103" s="11"/>
      <c r="V103" s="26">
        <f t="shared" si="19"/>
        <v>0</v>
      </c>
      <c r="W103" s="27">
        <f t="shared" si="20"/>
        <v>0</v>
      </c>
      <c r="X103" s="4">
        <v>1125</v>
      </c>
      <c r="Y103" s="4"/>
      <c r="Z103" s="4"/>
      <c r="AA103" s="12">
        <f t="shared" si="21"/>
        <v>0</v>
      </c>
      <c r="AC103" s="121" t="s">
        <v>413</v>
      </c>
      <c r="AD103" s="21" t="str">
        <f t="shared" si="24"/>
        <v>T-330200</v>
      </c>
      <c r="AE103" s="79" t="str">
        <f t="shared" si="25"/>
        <v>T</v>
      </c>
      <c r="AF103" s="21" t="str">
        <f t="shared" si="23"/>
        <v>Урт хугацаат зээл MNT</v>
      </c>
      <c r="AJ103" s="411"/>
      <c r="AK103" s="411"/>
      <c r="AL103" s="411"/>
      <c r="AM103" s="411"/>
    </row>
    <row r="104" spans="1:39" ht="12.75" customHeight="1">
      <c r="A104" s="24"/>
      <c r="B104" s="108">
        <f t="shared" si="22"/>
        <v>101</v>
      </c>
      <c r="C104" s="6">
        <v>230200</v>
      </c>
      <c r="D104" s="121" t="s">
        <v>812</v>
      </c>
      <c r="E104" s="9" t="s">
        <v>32</v>
      </c>
      <c r="F104" s="6"/>
      <c r="G104" s="6"/>
      <c r="H104" s="121">
        <v>0</v>
      </c>
      <c r="I104" s="121">
        <v>0</v>
      </c>
      <c r="J104" s="11">
        <f>+SUMIFS(JURNAL!G:G,JURNAL!E:E,C104,JURNAL!C:C,"&gt;="&amp;$H$1,JURNAL!C:C,"&lt;="&amp;$I$1)</f>
        <v>0</v>
      </c>
      <c r="K104" s="11">
        <f>+SUMIFS(JURNAL!H:H,JURNAL!E:E,C104,JURNAL!C:C,"&gt;="&amp;$H$1,JURNAL!C:C,"&lt;="&amp;$I$1)</f>
        <v>0</v>
      </c>
      <c r="L104" s="26">
        <f t="shared" si="15"/>
        <v>0</v>
      </c>
      <c r="M104" s="27">
        <f t="shared" si="16"/>
        <v>0</v>
      </c>
      <c r="N104" s="11"/>
      <c r="O104" s="335"/>
      <c r="P104" s="11"/>
      <c r="Q104" s="11"/>
      <c r="R104" s="26">
        <f t="shared" si="17"/>
        <v>0</v>
      </c>
      <c r="S104" s="27">
        <f t="shared" si="18"/>
        <v>0</v>
      </c>
      <c r="T104" s="11"/>
      <c r="U104" s="11"/>
      <c r="V104" s="26">
        <f t="shared" si="19"/>
        <v>0</v>
      </c>
      <c r="W104" s="27">
        <f t="shared" si="20"/>
        <v>0</v>
      </c>
      <c r="X104" s="4">
        <v>1126</v>
      </c>
      <c r="Y104" s="4"/>
      <c r="Z104" s="4"/>
      <c r="AA104" s="12">
        <f t="shared" si="21"/>
        <v>0</v>
      </c>
      <c r="AC104" s="121" t="s">
        <v>414</v>
      </c>
      <c r="AD104" s="21" t="str">
        <f t="shared" si="24"/>
        <v>D-330201</v>
      </c>
      <c r="AE104" s="79" t="str">
        <f t="shared" si="25"/>
        <v>D</v>
      </c>
      <c r="AF104" s="21" t="str">
        <f t="shared" si="23"/>
        <v>Урт хугацаат зээл USD</v>
      </c>
      <c r="AJ104" s="411"/>
      <c r="AK104" s="411"/>
      <c r="AL104" s="411"/>
      <c r="AM104" s="411"/>
    </row>
    <row r="105" spans="1:39" ht="12.75" customHeight="1">
      <c r="A105" s="24"/>
      <c r="B105" s="108">
        <f t="shared" si="22"/>
        <v>102</v>
      </c>
      <c r="C105" s="6">
        <v>310100</v>
      </c>
      <c r="D105" s="121" t="s">
        <v>505</v>
      </c>
      <c r="E105" s="9" t="s">
        <v>32</v>
      </c>
      <c r="F105" s="6"/>
      <c r="G105" s="6"/>
      <c r="H105" s="121">
        <v>0</v>
      </c>
      <c r="I105" s="121">
        <v>3499027.46</v>
      </c>
      <c r="J105" s="11">
        <f>+SUMIFS(JURNAL!G:G,JURNAL!E:E,C105,JURNAL!C:C,"&gt;="&amp;$H$1,JURNAL!C:C,"&lt;="&amp;$I$1)</f>
        <v>14647649.460000001</v>
      </c>
      <c r="K105" s="11">
        <f>+SUMIFS(JURNAL!H:H,JURNAL!E:E,C105,JURNAL!C:C,"&gt;="&amp;$H$1,JURNAL!C:C,"&lt;="&amp;$I$1)</f>
        <v>27509736.280000001</v>
      </c>
      <c r="L105" s="26">
        <f t="shared" si="15"/>
        <v>0</v>
      </c>
      <c r="M105" s="27">
        <f t="shared" si="16"/>
        <v>16361114.280000001</v>
      </c>
      <c r="N105" s="11"/>
      <c r="O105" s="335"/>
      <c r="P105" s="11"/>
      <c r="Q105" s="11"/>
      <c r="R105" s="26">
        <f t="shared" si="17"/>
        <v>0</v>
      </c>
      <c r="S105" s="27">
        <f t="shared" si="18"/>
        <v>16361114.280000001</v>
      </c>
      <c r="T105" s="11"/>
      <c r="U105" s="11"/>
      <c r="V105" s="26">
        <f t="shared" si="19"/>
        <v>0</v>
      </c>
      <c r="W105" s="855">
        <f t="shared" si="20"/>
        <v>16361114.280000001</v>
      </c>
      <c r="X105" s="4">
        <v>1201</v>
      </c>
      <c r="Y105" s="4"/>
      <c r="Z105" s="4"/>
      <c r="AA105" s="12">
        <f t="shared" si="21"/>
        <v>1</v>
      </c>
      <c r="AC105" s="121" t="s">
        <v>415</v>
      </c>
      <c r="AD105" s="21" t="str">
        <f t="shared" si="24"/>
        <v>р-330800</v>
      </c>
      <c r="AE105" s="79" t="str">
        <f t="shared" si="25"/>
        <v>р</v>
      </c>
      <c r="AF105" s="21" t="str">
        <f t="shared" si="23"/>
        <v>Хойшлогдсон татварын өр төлбөр</v>
      </c>
      <c r="AI105" s="81">
        <v>16361114.279999999</v>
      </c>
      <c r="AJ105" s="411">
        <f>+AI105-W105</f>
        <v>0</v>
      </c>
      <c r="AK105" s="411"/>
      <c r="AL105" s="411"/>
      <c r="AM105" s="411"/>
    </row>
    <row r="106" spans="1:39" ht="12.75" customHeight="1">
      <c r="A106" s="24"/>
      <c r="B106" s="108">
        <f t="shared" si="22"/>
        <v>103</v>
      </c>
      <c r="C106" s="6">
        <v>310101</v>
      </c>
      <c r="D106" s="121" t="s">
        <v>959</v>
      </c>
      <c r="E106" s="9" t="s">
        <v>30</v>
      </c>
      <c r="F106" s="6"/>
      <c r="G106" s="6"/>
      <c r="H106" s="121">
        <v>0</v>
      </c>
      <c r="I106" s="121">
        <v>0</v>
      </c>
      <c r="J106" s="11">
        <f>+SUMIFS(JURNAL!G:G,JURNAL!E:E,C106,JURNAL!C:C,"&gt;="&amp;$H$1,JURNAL!C:C,"&lt;="&amp;$I$1)</f>
        <v>0</v>
      </c>
      <c r="K106" s="11">
        <f>+SUMIFS(JURNAL!H:H,JURNAL!E:E,C106,JURNAL!C:C,"&gt;="&amp;$H$1,JURNAL!C:C,"&lt;="&amp;$I$1)</f>
        <v>0</v>
      </c>
      <c r="L106" s="26">
        <f t="shared" si="15"/>
        <v>0</v>
      </c>
      <c r="M106" s="27">
        <f t="shared" si="16"/>
        <v>0</v>
      </c>
      <c r="N106" s="11"/>
      <c r="O106" s="335"/>
      <c r="P106" s="11"/>
      <c r="Q106" s="11"/>
      <c r="R106" s="26">
        <f t="shared" si="17"/>
        <v>0</v>
      </c>
      <c r="S106" s="27">
        <f t="shared" si="18"/>
        <v>0</v>
      </c>
      <c r="T106" s="11"/>
      <c r="U106" s="11"/>
      <c r="V106" s="26">
        <f t="shared" si="19"/>
        <v>0</v>
      </c>
      <c r="W106" s="27">
        <f t="shared" si="20"/>
        <v>0</v>
      </c>
      <c r="X106" s="4">
        <v>1201</v>
      </c>
      <c r="Y106" s="4"/>
      <c r="Z106" s="4"/>
      <c r="AA106" s="12">
        <f t="shared" si="21"/>
        <v>0</v>
      </c>
      <c r="AC106" s="121" t="s">
        <v>416</v>
      </c>
      <c r="AD106" s="21" t="str">
        <f t="shared" si="24"/>
        <v>ч-410200</v>
      </c>
      <c r="AE106" s="79" t="str">
        <f t="shared" si="25"/>
        <v>ч</v>
      </c>
      <c r="AF106" s="21" t="str">
        <f t="shared" si="23"/>
        <v>Хувийн өмч</v>
      </c>
      <c r="AJ106" s="411"/>
      <c r="AK106" s="411"/>
      <c r="AL106" s="411"/>
      <c r="AM106" s="411"/>
    </row>
    <row r="107" spans="1:39" ht="12.75" customHeight="1">
      <c r="A107" s="24"/>
      <c r="B107" s="108">
        <f t="shared" si="22"/>
        <v>104</v>
      </c>
      <c r="C107" s="6">
        <v>311700</v>
      </c>
      <c r="D107" s="121" t="s">
        <v>960</v>
      </c>
      <c r="E107" s="9" t="s">
        <v>32</v>
      </c>
      <c r="F107" s="6"/>
      <c r="G107" s="6"/>
      <c r="H107" s="121">
        <v>0</v>
      </c>
      <c r="I107" s="121">
        <v>0</v>
      </c>
      <c r="J107" s="11">
        <f>+SUMIFS(JURNAL!G:G,JURNAL!E:E,C107,JURNAL!C:C,"&gt;="&amp;$H$1,JURNAL!C:C,"&lt;="&amp;$I$1)</f>
        <v>0</v>
      </c>
      <c r="K107" s="11">
        <f>+SUMIFS(JURNAL!H:H,JURNAL!E:E,C107,JURNAL!C:C,"&gt;="&amp;$H$1,JURNAL!C:C,"&lt;="&amp;$I$1)</f>
        <v>0</v>
      </c>
      <c r="L107" s="26">
        <f t="shared" si="15"/>
        <v>0</v>
      </c>
      <c r="M107" s="27">
        <f t="shared" si="16"/>
        <v>0</v>
      </c>
      <c r="N107" s="11"/>
      <c r="O107" s="335"/>
      <c r="P107" s="11"/>
      <c r="Q107" s="11"/>
      <c r="R107" s="26">
        <f t="shared" si="17"/>
        <v>0</v>
      </c>
      <c r="S107" s="27">
        <f t="shared" si="18"/>
        <v>0</v>
      </c>
      <c r="T107" s="11"/>
      <c r="U107" s="11"/>
      <c r="V107" s="26">
        <f t="shared" si="19"/>
        <v>0</v>
      </c>
      <c r="W107" s="27">
        <f t="shared" si="20"/>
        <v>0</v>
      </c>
      <c r="X107" s="4">
        <v>1201</v>
      </c>
      <c r="Y107" s="4"/>
      <c r="Z107" s="4"/>
      <c r="AA107" s="12">
        <f t="shared" si="21"/>
        <v>0</v>
      </c>
      <c r="AC107" s="121"/>
      <c r="AD107" s="238"/>
      <c r="AE107" s="79"/>
      <c r="AF107" s="238"/>
      <c r="AJ107" s="411"/>
      <c r="AK107" s="411"/>
      <c r="AL107" s="411"/>
      <c r="AM107" s="411"/>
    </row>
    <row r="108" spans="1:39" ht="12.75" customHeight="1">
      <c r="A108" s="24"/>
      <c r="B108" s="108">
        <f t="shared" si="22"/>
        <v>105</v>
      </c>
      <c r="C108" s="6">
        <v>310300</v>
      </c>
      <c r="D108" s="121" t="s">
        <v>526</v>
      </c>
      <c r="E108" s="9" t="s">
        <v>32</v>
      </c>
      <c r="F108" s="6"/>
      <c r="G108" s="6"/>
      <c r="H108" s="121">
        <v>0</v>
      </c>
      <c r="I108" s="121">
        <v>0</v>
      </c>
      <c r="J108" s="11">
        <f>+SUMIFS(JURNAL!G:G,JURNAL!E:E,C108,JURNAL!C:C,"&gt;="&amp;$H$1,JURNAL!C:C,"&lt;="&amp;$I$1)</f>
        <v>0</v>
      </c>
      <c r="K108" s="11">
        <f>+SUMIFS(JURNAL!H:H,JURNAL!E:E,C108,JURNAL!C:C,"&gt;="&amp;$H$1,JURNAL!C:C,"&lt;="&amp;$I$1)</f>
        <v>0</v>
      </c>
      <c r="L108" s="26">
        <f t="shared" si="15"/>
        <v>0</v>
      </c>
      <c r="M108" s="27">
        <f t="shared" si="16"/>
        <v>0</v>
      </c>
      <c r="N108" s="11"/>
      <c r="O108" s="335"/>
      <c r="P108" s="11"/>
      <c r="Q108" s="11"/>
      <c r="R108" s="26">
        <f t="shared" si="17"/>
        <v>0</v>
      </c>
      <c r="S108" s="27">
        <f t="shared" si="18"/>
        <v>0</v>
      </c>
      <c r="T108" s="11"/>
      <c r="U108" s="11"/>
      <c r="V108" s="26">
        <f t="shared" si="19"/>
        <v>0</v>
      </c>
      <c r="W108" s="27">
        <f t="shared" si="20"/>
        <v>0</v>
      </c>
      <c r="X108" s="4">
        <v>1207</v>
      </c>
      <c r="Y108" s="4"/>
      <c r="Z108" s="4"/>
      <c r="AA108" s="12">
        <f t="shared" si="21"/>
        <v>0</v>
      </c>
      <c r="AC108" s="121" t="s">
        <v>417</v>
      </c>
      <c r="AD108" s="21" t="str">
        <f t="shared" si="24"/>
        <v>ц-420100</v>
      </c>
      <c r="AE108" s="79" t="str">
        <f t="shared" si="25"/>
        <v>ц</v>
      </c>
      <c r="AF108" s="21" t="str">
        <f t="shared" si="23"/>
        <v>Дахин үнэлгээний нөөц</v>
      </c>
      <c r="AJ108" s="411"/>
      <c r="AK108" s="411"/>
      <c r="AL108" s="411"/>
      <c r="AM108" s="411"/>
    </row>
    <row r="109" spans="1:39" ht="12.75" customHeight="1">
      <c r="A109" s="24"/>
      <c r="B109" s="108">
        <f t="shared" si="22"/>
        <v>106</v>
      </c>
      <c r="C109" s="6">
        <v>310400</v>
      </c>
      <c r="D109" s="121" t="s">
        <v>533</v>
      </c>
      <c r="E109" s="9" t="s">
        <v>32</v>
      </c>
      <c r="F109" s="6"/>
      <c r="G109" s="6"/>
      <c r="H109" s="121">
        <v>0</v>
      </c>
      <c r="I109" s="121">
        <v>22456333.000000015</v>
      </c>
      <c r="J109" s="11">
        <f>+SUMIFS(JURNAL!G:G,JURNAL!E:E,C109,JURNAL!C:C,"&gt;="&amp;$H$1,JURNAL!C:C,"&lt;="&amp;$I$1)</f>
        <v>16618648</v>
      </c>
      <c r="K109" s="11">
        <f>+SUMIFS(JURNAL!H:H,JURNAL!E:E,C109,JURNAL!C:C,"&gt;="&amp;$H$1,JURNAL!C:C,"&lt;="&amp;$I$1)</f>
        <v>0</v>
      </c>
      <c r="L109" s="26">
        <f t="shared" si="15"/>
        <v>0</v>
      </c>
      <c r="M109" s="27">
        <f t="shared" si="16"/>
        <v>5837685.0000000149</v>
      </c>
      <c r="N109" s="11"/>
      <c r="O109" s="335"/>
      <c r="P109" s="11"/>
      <c r="Q109" s="11"/>
      <c r="R109" s="26">
        <f t="shared" si="17"/>
        <v>0</v>
      </c>
      <c r="S109" s="27">
        <f t="shared" si="18"/>
        <v>5837685.0000000149</v>
      </c>
      <c r="T109" s="11"/>
      <c r="U109" s="11"/>
      <c r="V109" s="26">
        <f t="shared" si="19"/>
        <v>0</v>
      </c>
      <c r="W109" s="849">
        <f t="shared" si="20"/>
        <v>5837685.0000000149</v>
      </c>
      <c r="X109" s="4">
        <v>1205</v>
      </c>
      <c r="Y109" s="4"/>
      <c r="Z109" s="4"/>
      <c r="AA109" s="12">
        <f t="shared" si="21"/>
        <v>1</v>
      </c>
      <c r="AC109" s="121" t="s">
        <v>418</v>
      </c>
      <c r="AD109" s="21" t="str">
        <f t="shared" si="24"/>
        <v>ц-420200</v>
      </c>
      <c r="AE109" s="79" t="str">
        <f t="shared" si="25"/>
        <v>ц</v>
      </c>
      <c r="AF109" s="21" t="str">
        <f t="shared" si="23"/>
        <v>Гадаад валютын хөрвүүлэлтийн нөөц</v>
      </c>
      <c r="AI109" s="81">
        <v>5837685</v>
      </c>
      <c r="AJ109" s="411">
        <f>+AI109-W109</f>
        <v>-1.4901161193847656E-8</v>
      </c>
      <c r="AK109" s="411"/>
      <c r="AL109" s="411"/>
      <c r="AM109" s="411"/>
    </row>
    <row r="110" spans="1:39" ht="12.75" customHeight="1">
      <c r="A110" s="24"/>
      <c r="B110" s="108">
        <f t="shared" si="22"/>
        <v>107</v>
      </c>
      <c r="C110" s="6">
        <v>310401</v>
      </c>
      <c r="D110" s="121" t="s">
        <v>961</v>
      </c>
      <c r="E110" s="9" t="s">
        <v>30</v>
      </c>
      <c r="F110" s="6"/>
      <c r="G110" s="6"/>
      <c r="H110" s="121">
        <v>0</v>
      </c>
      <c r="I110" s="121">
        <v>0</v>
      </c>
      <c r="J110" s="11">
        <f>+SUMIFS(JURNAL!G:G,JURNAL!E:E,C110,JURNAL!C:C,"&gt;="&amp;$H$1,JURNAL!C:C,"&lt;="&amp;$I$1)</f>
        <v>0</v>
      </c>
      <c r="K110" s="11">
        <f>+SUMIFS(JURNAL!H:H,JURNAL!E:E,C110,JURNAL!C:C,"&gt;="&amp;$H$1,JURNAL!C:C,"&lt;="&amp;$I$1)</f>
        <v>0</v>
      </c>
      <c r="L110" s="26">
        <f t="shared" si="15"/>
        <v>0</v>
      </c>
      <c r="M110" s="27">
        <f t="shared" si="16"/>
        <v>0</v>
      </c>
      <c r="N110" s="11"/>
      <c r="O110" s="335"/>
      <c r="P110" s="11"/>
      <c r="Q110" s="11"/>
      <c r="R110" s="26">
        <f t="shared" si="17"/>
        <v>0</v>
      </c>
      <c r="S110" s="27">
        <f t="shared" si="18"/>
        <v>0</v>
      </c>
      <c r="T110" s="11"/>
      <c r="U110" s="11"/>
      <c r="V110" s="26">
        <f t="shared" si="19"/>
        <v>0</v>
      </c>
      <c r="W110" s="27">
        <f t="shared" si="20"/>
        <v>0</v>
      </c>
      <c r="X110" s="4">
        <v>1205</v>
      </c>
      <c r="Y110" s="4"/>
      <c r="Z110" s="4"/>
      <c r="AA110" s="12">
        <f t="shared" si="21"/>
        <v>0</v>
      </c>
      <c r="AC110" s="121" t="s">
        <v>419</v>
      </c>
      <c r="AD110" s="21" t="str">
        <f t="shared" si="24"/>
        <v>г-430300</v>
      </c>
      <c r="AE110" s="79" t="str">
        <f t="shared" si="25"/>
        <v>г</v>
      </c>
      <c r="AF110" s="21" t="str">
        <f t="shared" si="23"/>
        <v>Эзэмшигчдийн өмчийн бусад хэсэг</v>
      </c>
      <c r="AJ110" s="411"/>
      <c r="AK110" s="411"/>
      <c r="AL110" s="411"/>
      <c r="AM110" s="411"/>
    </row>
    <row r="111" spans="1:39" ht="12.75" customHeight="1">
      <c r="A111" s="24"/>
      <c r="B111" s="108">
        <f t="shared" si="22"/>
        <v>108</v>
      </c>
      <c r="C111" s="6">
        <v>310500</v>
      </c>
      <c r="D111" s="121" t="s">
        <v>540</v>
      </c>
      <c r="E111" s="9" t="s">
        <v>32</v>
      </c>
      <c r="F111" s="6"/>
      <c r="G111" s="6"/>
      <c r="H111" s="121">
        <v>0</v>
      </c>
      <c r="I111" s="121">
        <v>67186734.859999999</v>
      </c>
      <c r="J111" s="11">
        <f>+SUMIFS(JURNAL!G:G,JURNAL!E:E,C111,JURNAL!C:C,"&gt;="&amp;$H$1,JURNAL!C:C,"&lt;="&amp;$I$1)</f>
        <v>0</v>
      </c>
      <c r="K111" s="11">
        <f>+SUMIFS(JURNAL!H:H,JURNAL!E:E,C111,JURNAL!C:C,"&gt;="&amp;$H$1,JURNAL!C:C,"&lt;="&amp;$I$1)</f>
        <v>3525478.8218181813</v>
      </c>
      <c r="L111" s="26">
        <f t="shared" si="15"/>
        <v>0</v>
      </c>
      <c r="M111" s="27">
        <f t="shared" si="16"/>
        <v>70712213.681818187</v>
      </c>
      <c r="N111" s="27">
        <v>4201956.6809090916</v>
      </c>
      <c r="O111" s="335"/>
      <c r="P111" s="11"/>
      <c r="Q111" s="11"/>
      <c r="R111" s="26">
        <f t="shared" si="17"/>
        <v>0</v>
      </c>
      <c r="S111" s="27">
        <f t="shared" si="18"/>
        <v>66510257.000909097</v>
      </c>
      <c r="T111" s="11"/>
      <c r="U111" s="11"/>
      <c r="V111" s="26">
        <f t="shared" si="19"/>
        <v>0</v>
      </c>
      <c r="W111" s="855">
        <f>+IF((R111+T111)&lt;(S111+U111),(S111+U111)-(R111+T111),0)</f>
        <v>66510257.000909097</v>
      </c>
      <c r="X111" s="4">
        <v>1203</v>
      </c>
      <c r="Y111" s="4"/>
      <c r="Z111" s="4"/>
      <c r="AA111" s="12">
        <f t="shared" si="21"/>
        <v>1</v>
      </c>
      <c r="AC111" s="121" t="s">
        <v>420</v>
      </c>
      <c r="AD111" s="21" t="str">
        <f t="shared" si="24"/>
        <v>л-440100</v>
      </c>
      <c r="AE111" s="79" t="str">
        <f t="shared" si="25"/>
        <v>л</v>
      </c>
      <c r="AF111" s="21" t="str">
        <f t="shared" si="23"/>
        <v>Өмнөх үеийн ашиг/алдагдал</v>
      </c>
      <c r="AI111" s="81">
        <v>66510256.579999998</v>
      </c>
      <c r="AJ111" s="411">
        <f>+AI111-W111</f>
        <v>-0.4209090992808342</v>
      </c>
      <c r="AK111" s="411"/>
      <c r="AL111" s="411"/>
      <c r="AM111" s="411"/>
    </row>
    <row r="112" spans="1:39" ht="12.75" customHeight="1">
      <c r="A112" s="24"/>
      <c r="B112" s="108">
        <f t="shared" si="22"/>
        <v>109</v>
      </c>
      <c r="C112" s="6">
        <v>310600</v>
      </c>
      <c r="D112" s="121" t="s">
        <v>545</v>
      </c>
      <c r="E112" s="9" t="s">
        <v>32</v>
      </c>
      <c r="F112" s="6"/>
      <c r="G112" s="6"/>
      <c r="H112" s="121">
        <v>0</v>
      </c>
      <c r="I112" s="121">
        <v>0</v>
      </c>
      <c r="J112" s="11">
        <f>+SUMIFS(JURNAL!G:G,JURNAL!E:E,C112,JURNAL!C:C,"&gt;="&amp;$H$1,JURNAL!C:C,"&lt;="&amp;$I$1)</f>
        <v>0</v>
      </c>
      <c r="K112" s="11">
        <f>+SUMIFS(JURNAL!H:H,JURNAL!E:E,C112,JURNAL!C:C,"&gt;="&amp;$H$1,JURNAL!C:C,"&lt;="&amp;$I$1)</f>
        <v>0</v>
      </c>
      <c r="L112" s="26">
        <f t="shared" si="15"/>
        <v>0</v>
      </c>
      <c r="M112" s="27">
        <f t="shared" si="16"/>
        <v>0</v>
      </c>
      <c r="N112" s="11"/>
      <c r="O112" s="335"/>
      <c r="P112" s="11"/>
      <c r="Q112" s="11"/>
      <c r="R112" s="26">
        <f t="shared" si="17"/>
        <v>0</v>
      </c>
      <c r="S112" s="27">
        <f t="shared" si="18"/>
        <v>0</v>
      </c>
      <c r="T112" s="11"/>
      <c r="U112" s="11"/>
      <c r="V112" s="26">
        <f t="shared" si="19"/>
        <v>0</v>
      </c>
      <c r="W112" s="27">
        <f t="shared" si="20"/>
        <v>0</v>
      </c>
      <c r="X112" s="4">
        <v>1203</v>
      </c>
      <c r="Y112" s="4"/>
      <c r="Z112" s="4"/>
      <c r="AA112" s="12">
        <f t="shared" si="21"/>
        <v>0</v>
      </c>
      <c r="AC112" s="121" t="s">
        <v>421</v>
      </c>
      <c r="AD112" s="21" t="str">
        <f t="shared" si="24"/>
        <v>л-440200</v>
      </c>
      <c r="AE112" s="79" t="str">
        <f t="shared" si="25"/>
        <v>л</v>
      </c>
      <c r="AF112" s="21" t="str">
        <f t="shared" si="23"/>
        <v>Тайлант үеийн ашиг/алдагдал</v>
      </c>
      <c r="AJ112" s="411"/>
      <c r="AK112" s="411"/>
      <c r="AL112" s="411"/>
      <c r="AM112" s="411"/>
    </row>
    <row r="113" spans="1:39" ht="12.75" customHeight="1">
      <c r="A113" s="25"/>
      <c r="B113" s="108">
        <f t="shared" si="22"/>
        <v>110</v>
      </c>
      <c r="C113" s="6">
        <v>310700</v>
      </c>
      <c r="D113" s="121" t="s">
        <v>550</v>
      </c>
      <c r="E113" s="9" t="s">
        <v>32</v>
      </c>
      <c r="F113" s="6"/>
      <c r="G113" s="11"/>
      <c r="H113" s="121">
        <v>0</v>
      </c>
      <c r="I113" s="121">
        <v>0</v>
      </c>
      <c r="J113" s="11">
        <f>+SUMIFS(JURNAL!G:G,JURNAL!E:E,C113,JURNAL!C:C,"&gt;="&amp;$H$1,JURNAL!C:C,"&lt;="&amp;$I$1)</f>
        <v>0</v>
      </c>
      <c r="K113" s="11">
        <f>+SUMIFS(JURNAL!H:H,JURNAL!E:E,C113,JURNAL!C:C,"&gt;="&amp;$H$1,JURNAL!C:C,"&lt;="&amp;$I$1)</f>
        <v>2421730.7519171843</v>
      </c>
      <c r="L113" s="26">
        <f t="shared" si="15"/>
        <v>0</v>
      </c>
      <c r="M113" s="27">
        <f t="shared" si="16"/>
        <v>2421730.7519171843</v>
      </c>
      <c r="N113" s="335">
        <v>53998.17</v>
      </c>
      <c r="O113" s="335"/>
      <c r="P113" s="11"/>
      <c r="Q113" s="11"/>
      <c r="R113" s="26">
        <f t="shared" si="17"/>
        <v>0</v>
      </c>
      <c r="S113" s="27">
        <f t="shared" si="18"/>
        <v>2367732.5819171844</v>
      </c>
      <c r="T113" s="11"/>
      <c r="U113" s="11"/>
      <c r="V113" s="26">
        <f t="shared" si="19"/>
        <v>0</v>
      </c>
      <c r="W113" s="855">
        <f t="shared" si="20"/>
        <v>2367732.5819171844</v>
      </c>
      <c r="X113" s="4">
        <v>1203</v>
      </c>
      <c r="Y113" s="4"/>
      <c r="Z113" s="4"/>
      <c r="AA113" s="12">
        <f t="shared" si="21"/>
        <v>1</v>
      </c>
      <c r="AC113" s="138"/>
      <c r="AD113" s="21" t="str">
        <f t="shared" si="24"/>
        <v/>
      </c>
      <c r="AE113" s="79" t="str">
        <f t="shared" si="25"/>
        <v/>
      </c>
      <c r="AF113" s="21" t="str">
        <f t="shared" si="23"/>
        <v/>
      </c>
      <c r="AI113" s="81">
        <v>2357448.65</v>
      </c>
      <c r="AJ113" s="411">
        <f>+AI113-W113</f>
        <v>-10283.931917184498</v>
      </c>
      <c r="AK113" s="411"/>
      <c r="AL113" s="411"/>
      <c r="AM113" s="411"/>
    </row>
    <row r="114" spans="1:39" ht="12.75" customHeight="1">
      <c r="A114" s="24"/>
      <c r="B114" s="108">
        <f t="shared" si="22"/>
        <v>111</v>
      </c>
      <c r="C114" s="6">
        <v>310800</v>
      </c>
      <c r="D114" s="121" t="s">
        <v>555</v>
      </c>
      <c r="E114" s="9" t="s">
        <v>32</v>
      </c>
      <c r="F114" s="6"/>
      <c r="G114" s="6"/>
      <c r="H114" s="121">
        <v>0</v>
      </c>
      <c r="I114" s="121">
        <v>0</v>
      </c>
      <c r="J114" s="11">
        <f>+SUMIFS(JURNAL!G:G,JURNAL!E:E,C114,JURNAL!C:C,"&gt;="&amp;$H$1,JURNAL!C:C,"&lt;="&amp;$I$1)</f>
        <v>0</v>
      </c>
      <c r="K114" s="11">
        <f>+SUMIFS(JURNAL!H:H,JURNAL!E:E,C114,JURNAL!C:C,"&gt;="&amp;$H$1,JURNAL!C:C,"&lt;="&amp;$I$1)</f>
        <v>8835706.4599585924</v>
      </c>
      <c r="L114" s="26">
        <f t="shared" si="15"/>
        <v>0</v>
      </c>
      <c r="M114" s="27">
        <f t="shared" si="16"/>
        <v>8835706.4599585924</v>
      </c>
      <c r="N114" s="335">
        <v>82442.47</v>
      </c>
      <c r="O114" s="335"/>
      <c r="P114" s="11"/>
      <c r="Q114" s="11"/>
      <c r="R114" s="26">
        <f t="shared" si="17"/>
        <v>0</v>
      </c>
      <c r="S114" s="27">
        <f t="shared" si="18"/>
        <v>8753263.9899585918</v>
      </c>
      <c r="T114" s="11"/>
      <c r="U114" s="11"/>
      <c r="V114" s="26">
        <f t="shared" si="19"/>
        <v>0</v>
      </c>
      <c r="W114" s="849">
        <f t="shared" si="20"/>
        <v>8753263.9899585918</v>
      </c>
      <c r="X114" s="4">
        <v>1204</v>
      </c>
      <c r="Y114" s="4"/>
      <c r="Z114" s="4"/>
      <c r="AA114" s="12">
        <f t="shared" si="21"/>
        <v>1</v>
      </c>
      <c r="AC114" s="6" t="s">
        <v>422</v>
      </c>
      <c r="AD114" s="21" t="str">
        <f t="shared" si="24"/>
        <v>т-510000</v>
      </c>
      <c r="AE114" s="79" t="str">
        <f t="shared" si="25"/>
        <v>т</v>
      </c>
      <c r="AF114" s="21" t="str">
        <f>+SUBSTITUTE(AC114,AD114,AE114)</f>
        <v>Үндсэн үйл ажиллагааны борлуулалт</v>
      </c>
      <c r="AI114" s="81">
        <v>8753263.9600000009</v>
      </c>
      <c r="AJ114" s="411">
        <f>+W114-AI114</f>
        <v>2.9958590865135193E-2</v>
      </c>
      <c r="AK114" s="411"/>
      <c r="AL114" s="411"/>
      <c r="AM114" s="411"/>
    </row>
    <row r="115" spans="1:39" ht="12.75" customHeight="1">
      <c r="A115" s="24"/>
      <c r="B115" s="108">
        <f t="shared" si="22"/>
        <v>112</v>
      </c>
      <c r="C115" s="6">
        <v>310900</v>
      </c>
      <c r="D115" s="121" t="s">
        <v>560</v>
      </c>
      <c r="E115" s="9" t="s">
        <v>32</v>
      </c>
      <c r="F115" s="6"/>
      <c r="G115" s="6"/>
      <c r="H115" s="121">
        <v>0</v>
      </c>
      <c r="I115" s="121">
        <v>0</v>
      </c>
      <c r="J115" s="11">
        <f>+SUMIFS(JURNAL!G:G,JURNAL!E:E,C115,JURNAL!C:C,"&gt;="&amp;$H$1,JURNAL!C:C,"&lt;="&amp;$I$1)</f>
        <v>0</v>
      </c>
      <c r="K115" s="11">
        <f>+SUMIFS(JURNAL!H:H,JURNAL!E:E,C115,JURNAL!C:C,"&gt;="&amp;$H$1,JURNAL!C:C,"&lt;="&amp;$I$1)</f>
        <v>0</v>
      </c>
      <c r="L115" s="26">
        <f t="shared" si="15"/>
        <v>0</v>
      </c>
      <c r="M115" s="27">
        <f t="shared" si="16"/>
        <v>0</v>
      </c>
      <c r="N115" s="11"/>
      <c r="O115" s="335"/>
      <c r="P115" s="11"/>
      <c r="Q115" s="11"/>
      <c r="R115" s="26">
        <f t="shared" si="17"/>
        <v>0</v>
      </c>
      <c r="S115" s="27">
        <f t="shared" si="18"/>
        <v>0</v>
      </c>
      <c r="T115" s="11"/>
      <c r="U115" s="11"/>
      <c r="V115" s="26">
        <f t="shared" si="19"/>
        <v>0</v>
      </c>
      <c r="W115" s="27">
        <f t="shared" si="20"/>
        <v>0</v>
      </c>
      <c r="X115" s="4">
        <v>1203</v>
      </c>
      <c r="Y115" s="4"/>
      <c r="Z115" s="4"/>
      <c r="AA115" s="12">
        <f t="shared" si="21"/>
        <v>0</v>
      </c>
      <c r="AB115" s="83"/>
      <c r="AC115" s="6" t="s">
        <v>423</v>
      </c>
      <c r="AD115" s="21" t="str">
        <f t="shared" si="24"/>
        <v>о-510100</v>
      </c>
      <c r="AE115" s="79" t="str">
        <f t="shared" si="25"/>
        <v>о</v>
      </c>
      <c r="AF115" s="21" t="str">
        <f t="shared" si="23"/>
        <v>Үзүүлсэн ажил үйлчилгээний орлого</v>
      </c>
      <c r="AJ115" s="411"/>
      <c r="AK115" s="411"/>
      <c r="AL115" s="411"/>
      <c r="AM115" s="411"/>
    </row>
    <row r="116" spans="1:39" ht="12.75" customHeight="1">
      <c r="A116" s="24"/>
      <c r="B116" s="108">
        <f t="shared" si="22"/>
        <v>113</v>
      </c>
      <c r="C116" s="6">
        <v>311000</v>
      </c>
      <c r="D116" s="121" t="s">
        <v>565</v>
      </c>
      <c r="E116" s="9" t="s">
        <v>32</v>
      </c>
      <c r="F116" s="6"/>
      <c r="G116" s="6"/>
      <c r="H116" s="121">
        <v>0</v>
      </c>
      <c r="I116" s="121">
        <v>0</v>
      </c>
      <c r="J116" s="11">
        <f>+SUMIFS(JURNAL!G:G,JURNAL!E:E,C116,JURNAL!C:C,"&gt;="&amp;$H$1,JURNAL!C:C,"&lt;="&amp;$I$1)</f>
        <v>30042737.900000002</v>
      </c>
      <c r="K116" s="11">
        <f>+SUMIFS(JURNAL!H:H,JURNAL!E:E,C116,JURNAL!C:C,"&gt;="&amp;$H$1,JURNAL!C:C,"&lt;="&amp;$I$1)</f>
        <v>30042737.900000002</v>
      </c>
      <c r="L116" s="26">
        <f t="shared" si="15"/>
        <v>0</v>
      </c>
      <c r="M116" s="27">
        <f t="shared" si="16"/>
        <v>0</v>
      </c>
      <c r="N116" s="11"/>
      <c r="O116" s="335"/>
      <c r="P116" s="11"/>
      <c r="Q116" s="11"/>
      <c r="R116" s="26">
        <f t="shared" si="17"/>
        <v>0</v>
      </c>
      <c r="S116" s="27">
        <f t="shared" si="18"/>
        <v>0</v>
      </c>
      <c r="T116" s="11"/>
      <c r="U116" s="11"/>
      <c r="V116" s="26">
        <f t="shared" si="19"/>
        <v>0</v>
      </c>
      <c r="W116" s="27">
        <f t="shared" si="20"/>
        <v>0</v>
      </c>
      <c r="X116" s="4">
        <v>1202</v>
      </c>
      <c r="Y116" s="4"/>
      <c r="Z116" s="4"/>
      <c r="AA116" s="12">
        <f t="shared" si="21"/>
        <v>1</v>
      </c>
      <c r="AC116" s="6" t="s">
        <v>424</v>
      </c>
      <c r="AD116" s="21" t="str">
        <f t="shared" si="24"/>
        <v>т-510200</v>
      </c>
      <c r="AE116" s="79" t="str">
        <f t="shared" si="25"/>
        <v>т</v>
      </c>
      <c r="AF116" s="21" t="str">
        <f t="shared" si="23"/>
        <v>Борлуулалтын хорогдол, буцаалт</v>
      </c>
      <c r="AJ116" s="411"/>
      <c r="AK116" s="411"/>
      <c r="AL116" s="411"/>
      <c r="AM116" s="411"/>
    </row>
    <row r="117" spans="1:39" ht="12.75" customHeight="1">
      <c r="A117" s="24"/>
      <c r="B117" s="108">
        <f t="shared" si="22"/>
        <v>114</v>
      </c>
      <c r="C117" s="6">
        <v>311100</v>
      </c>
      <c r="D117" s="121" t="s">
        <v>570</v>
      </c>
      <c r="E117" s="9" t="s">
        <v>32</v>
      </c>
      <c r="F117" s="6"/>
      <c r="G117" s="6"/>
      <c r="H117" s="121">
        <v>0</v>
      </c>
      <c r="I117" s="121">
        <v>70822909</v>
      </c>
      <c r="J117" s="11">
        <f>+SUMIFS(JURNAL!G:G,JURNAL!E:E,C117,JURNAL!C:C,"&gt;="&amp;$H$1,JURNAL!C:C,"&lt;="&amp;$I$1)</f>
        <v>10239708</v>
      </c>
      <c r="K117" s="11">
        <f>+SUMIFS(JURNAL!H:H,JURNAL!E:E,C117,JURNAL!C:C,"&gt;="&amp;$H$1,JURNAL!C:C,"&lt;="&amp;$I$1)</f>
        <v>0</v>
      </c>
      <c r="L117" s="26">
        <f t="shared" si="15"/>
        <v>0</v>
      </c>
      <c r="M117" s="27">
        <f t="shared" si="16"/>
        <v>60583201</v>
      </c>
      <c r="N117" s="11"/>
      <c r="O117" s="335"/>
      <c r="P117" s="11"/>
      <c r="Q117" s="11"/>
      <c r="R117" s="26">
        <f t="shared" si="17"/>
        <v>0</v>
      </c>
      <c r="S117" s="27">
        <f t="shared" si="18"/>
        <v>60583201</v>
      </c>
      <c r="T117" s="11"/>
      <c r="U117" s="11"/>
      <c r="V117" s="26">
        <f t="shared" si="19"/>
        <v>0</v>
      </c>
      <c r="W117" s="849">
        <f t="shared" si="20"/>
        <v>60583201</v>
      </c>
      <c r="X117" s="4">
        <v>1210</v>
      </c>
      <c r="Y117" s="4"/>
      <c r="Z117" s="4"/>
      <c r="AA117" s="12">
        <f t="shared" si="21"/>
        <v>1</v>
      </c>
      <c r="AC117" s="6" t="s">
        <v>425</v>
      </c>
      <c r="AD117" s="21" t="str">
        <f t="shared" si="24"/>
        <v>т-510300</v>
      </c>
      <c r="AE117" s="79" t="str">
        <f t="shared" si="25"/>
        <v>т</v>
      </c>
      <c r="AF117" s="21" t="str">
        <f t="shared" si="23"/>
        <v>Борлуулалтын хөнгөлөлт</v>
      </c>
      <c r="AI117" s="81">
        <v>60583201</v>
      </c>
      <c r="AJ117" s="411">
        <f>+W117-AI117</f>
        <v>0</v>
      </c>
      <c r="AK117" s="411"/>
      <c r="AL117" s="411"/>
      <c r="AM117" s="411"/>
    </row>
    <row r="118" spans="1:39" ht="12.75" customHeight="1">
      <c r="A118" s="24"/>
      <c r="B118" s="108">
        <f t="shared" si="22"/>
        <v>115</v>
      </c>
      <c r="C118" s="6">
        <v>311200</v>
      </c>
      <c r="D118" s="121" t="s">
        <v>575</v>
      </c>
      <c r="E118" s="9" t="s">
        <v>32</v>
      </c>
      <c r="F118" s="6"/>
      <c r="G118" s="6"/>
      <c r="H118" s="121">
        <v>0</v>
      </c>
      <c r="I118" s="121">
        <v>0</v>
      </c>
      <c r="J118" s="11">
        <f>+SUMIFS(JURNAL!G:G,JURNAL!E:E,C118,JURNAL!C:C,"&gt;="&amp;$H$1,JURNAL!C:C,"&lt;="&amp;$I$1)</f>
        <v>0</v>
      </c>
      <c r="K118" s="11">
        <f>+SUMIFS(JURNAL!H:H,JURNAL!E:E,C118,JURNAL!C:C,"&gt;="&amp;$H$1,JURNAL!C:C,"&lt;="&amp;$I$1)</f>
        <v>0</v>
      </c>
      <c r="L118" s="26">
        <f t="shared" si="15"/>
        <v>0</v>
      </c>
      <c r="M118" s="27">
        <f t="shared" si="16"/>
        <v>0</v>
      </c>
      <c r="N118" s="11"/>
      <c r="O118" s="335"/>
      <c r="P118" s="11"/>
      <c r="Q118" s="11"/>
      <c r="R118" s="26">
        <f t="shared" si="17"/>
        <v>0</v>
      </c>
      <c r="S118" s="27">
        <f t="shared" si="18"/>
        <v>0</v>
      </c>
      <c r="T118" s="11"/>
      <c r="U118" s="11"/>
      <c r="V118" s="26">
        <f t="shared" si="19"/>
        <v>0</v>
      </c>
      <c r="W118" s="27">
        <f t="shared" si="20"/>
        <v>0</v>
      </c>
      <c r="X118" s="4">
        <v>1201</v>
      </c>
      <c r="Y118" s="4"/>
      <c r="Z118" s="4"/>
      <c r="AA118" s="12">
        <f t="shared" si="21"/>
        <v>0</v>
      </c>
      <c r="AC118" s="6" t="s">
        <v>426</v>
      </c>
      <c r="AD118" s="21" t="str">
        <f t="shared" si="24"/>
        <v>т-510400</v>
      </c>
      <c r="AE118" s="79" t="str">
        <f t="shared" si="25"/>
        <v>т</v>
      </c>
      <c r="AF118" s="21" t="str">
        <f t="shared" si="23"/>
        <v>Бусад борлуулалт</v>
      </c>
      <c r="AJ118" s="411"/>
      <c r="AK118" s="411"/>
      <c r="AL118" s="411"/>
      <c r="AM118" s="411"/>
    </row>
    <row r="119" spans="1:39" ht="12.75" customHeight="1">
      <c r="A119" s="24"/>
      <c r="B119" s="108">
        <f t="shared" si="22"/>
        <v>116</v>
      </c>
      <c r="C119" s="6">
        <v>311300</v>
      </c>
      <c r="D119" s="121" t="s">
        <v>580</v>
      </c>
      <c r="E119" s="9" t="s">
        <v>32</v>
      </c>
      <c r="F119" s="6"/>
      <c r="G119" s="6"/>
      <c r="H119" s="121">
        <v>0</v>
      </c>
      <c r="I119" s="121">
        <v>0</v>
      </c>
      <c r="J119" s="11">
        <f>+SUMIFS(JURNAL!G:G,JURNAL!E:E,C119,JURNAL!C:C,"&gt;="&amp;$H$1,JURNAL!C:C,"&lt;="&amp;$I$1)</f>
        <v>0</v>
      </c>
      <c r="K119" s="11">
        <f>+SUMIFS(JURNAL!H:H,JURNAL!E:E,C119,JURNAL!C:C,"&gt;="&amp;$H$1,JURNAL!C:C,"&lt;="&amp;$I$1)</f>
        <v>0</v>
      </c>
      <c r="L119" s="26">
        <f t="shared" si="15"/>
        <v>0</v>
      </c>
      <c r="M119" s="27">
        <f t="shared" si="16"/>
        <v>0</v>
      </c>
      <c r="N119" s="11"/>
      <c r="O119" s="335"/>
      <c r="P119" s="11"/>
      <c r="Q119" s="11"/>
      <c r="R119" s="26">
        <f t="shared" si="17"/>
        <v>0</v>
      </c>
      <c r="S119" s="27">
        <f t="shared" si="18"/>
        <v>0</v>
      </c>
      <c r="T119" s="11"/>
      <c r="U119" s="11"/>
      <c r="V119" s="26">
        <f t="shared" si="19"/>
        <v>0</v>
      </c>
      <c r="W119" s="27">
        <f t="shared" si="20"/>
        <v>0</v>
      </c>
      <c r="X119" s="4">
        <v>1201</v>
      </c>
      <c r="Y119" s="4"/>
      <c r="Z119" s="4"/>
      <c r="AA119" s="12">
        <f t="shared" si="21"/>
        <v>0</v>
      </c>
      <c r="AC119" s="6" t="s">
        <v>427</v>
      </c>
      <c r="AD119" s="21" t="str">
        <f t="shared" si="24"/>
        <v>о-511000</v>
      </c>
      <c r="AE119" s="79" t="str">
        <f t="shared" si="25"/>
        <v>о</v>
      </c>
      <c r="AF119" s="21" t="str">
        <f t="shared" si="23"/>
        <v>Үл хөдлөх хөрөнгө борлуулсны орлого</v>
      </c>
      <c r="AJ119" s="411"/>
      <c r="AK119" s="411"/>
      <c r="AL119" s="411"/>
      <c r="AM119" s="411"/>
    </row>
    <row r="120" spans="1:39" ht="12.75" customHeight="1">
      <c r="A120" s="24"/>
      <c r="B120" s="108">
        <f t="shared" si="22"/>
        <v>117</v>
      </c>
      <c r="C120" s="6">
        <v>311301</v>
      </c>
      <c r="D120" s="121" t="s">
        <v>962</v>
      </c>
      <c r="E120" s="9" t="s">
        <v>30</v>
      </c>
      <c r="F120" s="6"/>
      <c r="G120" s="6"/>
      <c r="H120" s="121">
        <v>0</v>
      </c>
      <c r="I120" s="121">
        <v>0</v>
      </c>
      <c r="J120" s="11">
        <f>+SUMIFS(JURNAL!G:G,JURNAL!E:E,C120,JURNAL!C:C,"&gt;="&amp;$H$1,JURNAL!C:C,"&lt;="&amp;$I$1)</f>
        <v>0</v>
      </c>
      <c r="K120" s="11">
        <f>+SUMIFS(JURNAL!H:H,JURNAL!E:E,C120,JURNAL!C:C,"&gt;="&amp;$H$1,JURNAL!C:C,"&lt;="&amp;$I$1)</f>
        <v>0</v>
      </c>
      <c r="L120" s="26">
        <f t="shared" si="15"/>
        <v>0</v>
      </c>
      <c r="M120" s="27">
        <f t="shared" si="16"/>
        <v>0</v>
      </c>
      <c r="N120" s="11"/>
      <c r="O120" s="335"/>
      <c r="P120" s="11"/>
      <c r="Q120" s="11"/>
      <c r="R120" s="26">
        <f t="shared" si="17"/>
        <v>0</v>
      </c>
      <c r="S120" s="27">
        <f t="shared" si="18"/>
        <v>0</v>
      </c>
      <c r="T120" s="11"/>
      <c r="U120" s="11"/>
      <c r="V120" s="26">
        <f t="shared" si="19"/>
        <v>0</v>
      </c>
      <c r="W120" s="27">
        <f t="shared" si="20"/>
        <v>0</v>
      </c>
      <c r="X120" s="4">
        <v>1201</v>
      </c>
      <c r="Y120" s="4"/>
      <c r="Z120" s="4"/>
      <c r="AA120" s="12">
        <f t="shared" si="21"/>
        <v>0</v>
      </c>
      <c r="AC120" s="6" t="s">
        <v>428</v>
      </c>
      <c r="AD120" s="21" t="str">
        <f t="shared" si="24"/>
        <v>о-511100</v>
      </c>
      <c r="AE120" s="79" t="str">
        <f t="shared" si="25"/>
        <v>о</v>
      </c>
      <c r="AF120" s="21" t="str">
        <f t="shared" si="23"/>
        <v>Хөдлөх хөрөнгө борлуулсны орлого</v>
      </c>
      <c r="AJ120" s="411"/>
      <c r="AK120" s="411"/>
      <c r="AL120" s="411"/>
      <c r="AM120" s="411"/>
    </row>
    <row r="121" spans="1:39" ht="12.75" customHeight="1">
      <c r="A121" s="24"/>
      <c r="B121" s="108">
        <f t="shared" si="22"/>
        <v>118</v>
      </c>
      <c r="C121" s="6">
        <v>311400</v>
      </c>
      <c r="D121" s="121" t="s">
        <v>993</v>
      </c>
      <c r="E121" s="9" t="s">
        <v>32</v>
      </c>
      <c r="F121" s="6"/>
      <c r="G121" s="6"/>
      <c r="H121" s="121">
        <v>0</v>
      </c>
      <c r="I121" s="121">
        <v>0</v>
      </c>
      <c r="J121" s="11">
        <f>+SUMIFS(JURNAL!G:G,JURNAL!E:E,C121,JURNAL!C:C,"&gt;="&amp;$H$1,JURNAL!C:C,"&lt;="&amp;$I$1)</f>
        <v>0</v>
      </c>
      <c r="K121" s="11">
        <f>+SUMIFS(JURNAL!H:H,JURNAL!E:E,C121,JURNAL!C:C,"&gt;="&amp;$H$1,JURNAL!C:C,"&lt;="&amp;$I$1)</f>
        <v>0</v>
      </c>
      <c r="L121" s="26">
        <f t="shared" si="15"/>
        <v>0</v>
      </c>
      <c r="M121" s="27">
        <f t="shared" si="16"/>
        <v>0</v>
      </c>
      <c r="N121" s="11"/>
      <c r="O121" s="335"/>
      <c r="P121" s="11"/>
      <c r="Q121" s="11"/>
      <c r="R121" s="26">
        <f t="shared" si="17"/>
        <v>0</v>
      </c>
      <c r="S121" s="27">
        <f t="shared" si="18"/>
        <v>0</v>
      </c>
      <c r="T121" s="11"/>
      <c r="U121" s="11"/>
      <c r="V121" s="26">
        <f t="shared" si="19"/>
        <v>0</v>
      </c>
      <c r="W121" s="27">
        <f t="shared" si="20"/>
        <v>0</v>
      </c>
      <c r="X121" s="4">
        <v>1210</v>
      </c>
      <c r="Y121" s="4"/>
      <c r="Z121" s="4"/>
      <c r="AA121" s="12">
        <f t="shared" si="21"/>
        <v>0</v>
      </c>
      <c r="AC121" s="6" t="s">
        <v>429</v>
      </c>
      <c r="AD121" s="21" t="str">
        <f t="shared" si="24"/>
        <v>о-511200</v>
      </c>
      <c r="AE121" s="79" t="str">
        <f t="shared" si="25"/>
        <v>о</v>
      </c>
      <c r="AF121" s="21" t="str">
        <f t="shared" si="23"/>
        <v>Хүүгийн орлого</v>
      </c>
      <c r="AJ121" s="411"/>
      <c r="AK121" s="411"/>
      <c r="AL121" s="411"/>
      <c r="AM121" s="411"/>
    </row>
    <row r="122" spans="1:39" ht="12.75" customHeight="1">
      <c r="A122" s="24"/>
      <c r="B122" s="108">
        <f t="shared" si="22"/>
        <v>119</v>
      </c>
      <c r="C122" s="6">
        <v>311401</v>
      </c>
      <c r="D122" s="121" t="s">
        <v>994</v>
      </c>
      <c r="E122" s="9" t="s">
        <v>30</v>
      </c>
      <c r="F122" s="6"/>
      <c r="G122" s="6"/>
      <c r="H122" s="121">
        <v>0</v>
      </c>
      <c r="I122" s="121">
        <v>0</v>
      </c>
      <c r="J122" s="11">
        <f>+SUMIFS(JURNAL!G:G,JURNAL!E:E,C122,JURNAL!C:C,"&gt;="&amp;$H$1,JURNAL!C:C,"&lt;="&amp;$I$1)</f>
        <v>0</v>
      </c>
      <c r="K122" s="11">
        <f>+SUMIFS(JURNAL!H:H,JURNAL!E:E,C122,JURNAL!C:C,"&gt;="&amp;$H$1,JURNAL!C:C,"&lt;="&amp;$I$1)</f>
        <v>0</v>
      </c>
      <c r="L122" s="26">
        <f t="shared" si="15"/>
        <v>0</v>
      </c>
      <c r="M122" s="27">
        <f t="shared" si="16"/>
        <v>0</v>
      </c>
      <c r="N122" s="11"/>
      <c r="O122" s="335"/>
      <c r="P122" s="11"/>
      <c r="Q122" s="11"/>
      <c r="R122" s="26">
        <f t="shared" si="17"/>
        <v>0</v>
      </c>
      <c r="S122" s="27">
        <f t="shared" si="18"/>
        <v>0</v>
      </c>
      <c r="T122" s="11"/>
      <c r="U122" s="11"/>
      <c r="V122" s="26">
        <f t="shared" si="19"/>
        <v>0</v>
      </c>
      <c r="W122" s="27">
        <f t="shared" si="20"/>
        <v>0</v>
      </c>
      <c r="X122" s="4">
        <v>1210</v>
      </c>
      <c r="Y122" s="4"/>
      <c r="Z122" s="4"/>
      <c r="AA122" s="12">
        <f t="shared" si="21"/>
        <v>0</v>
      </c>
      <c r="AC122" s="6" t="s">
        <v>430</v>
      </c>
      <c r="AD122" s="21" t="str">
        <f t="shared" si="24"/>
        <v>о-511300</v>
      </c>
      <c r="AE122" s="79" t="str">
        <f t="shared" si="25"/>
        <v>о</v>
      </c>
      <c r="AF122" s="21" t="str">
        <f t="shared" si="23"/>
        <v>Хөрөнгө түрээслүүлсний орлого</v>
      </c>
      <c r="AJ122" s="411"/>
      <c r="AK122" s="411"/>
      <c r="AL122" s="411"/>
      <c r="AM122" s="411"/>
    </row>
    <row r="123" spans="1:39" ht="12.75" customHeight="1">
      <c r="A123" s="24"/>
      <c r="B123" s="108">
        <f t="shared" si="22"/>
        <v>120</v>
      </c>
      <c r="C123" s="6">
        <v>311600</v>
      </c>
      <c r="D123" s="121" t="s">
        <v>588</v>
      </c>
      <c r="E123" s="9" t="s">
        <v>32</v>
      </c>
      <c r="F123" s="6"/>
      <c r="G123" s="6"/>
      <c r="H123" s="121">
        <v>0</v>
      </c>
      <c r="I123" s="121">
        <v>0</v>
      </c>
      <c r="J123" s="11">
        <f>+SUMIFS(JURNAL!G:G,JURNAL!E:E,C123,JURNAL!C:C,"&gt;="&amp;$H$1,JURNAL!C:C,"&lt;="&amp;$I$1)</f>
        <v>0</v>
      </c>
      <c r="K123" s="11">
        <f>+SUMIFS(JURNAL!H:H,JURNAL!E:E,C123,JURNAL!C:C,"&gt;="&amp;$H$1,JURNAL!C:C,"&lt;="&amp;$I$1)</f>
        <v>0</v>
      </c>
      <c r="L123" s="26">
        <f t="shared" si="15"/>
        <v>0</v>
      </c>
      <c r="M123" s="27">
        <f t="shared" si="16"/>
        <v>0</v>
      </c>
      <c r="N123" s="11"/>
      <c r="O123" s="335"/>
      <c r="P123" s="11"/>
      <c r="Q123" s="11"/>
      <c r="R123" s="26">
        <f t="shared" si="17"/>
        <v>0</v>
      </c>
      <c r="S123" s="27">
        <f t="shared" si="18"/>
        <v>0</v>
      </c>
      <c r="T123" s="11"/>
      <c r="U123" s="11"/>
      <c r="V123" s="26">
        <f t="shared" si="19"/>
        <v>0</v>
      </c>
      <c r="W123" s="27">
        <f t="shared" si="20"/>
        <v>0</v>
      </c>
      <c r="X123" s="4">
        <v>1208</v>
      </c>
      <c r="Y123" s="4"/>
      <c r="Z123" s="4"/>
      <c r="AA123" s="12">
        <f t="shared" si="21"/>
        <v>0</v>
      </c>
      <c r="AC123" s="6" t="s">
        <v>431</v>
      </c>
      <c r="AD123" s="21" t="str">
        <f t="shared" si="24"/>
        <v>о-511400</v>
      </c>
      <c r="AE123" s="79" t="str">
        <f t="shared" si="25"/>
        <v>о</v>
      </c>
      <c r="AF123" s="21" t="str">
        <f t="shared" si="23"/>
        <v>Ногдол ашгийн орлого</v>
      </c>
      <c r="AJ123" s="411"/>
      <c r="AK123" s="411"/>
      <c r="AL123" s="411"/>
      <c r="AM123" s="411"/>
    </row>
    <row r="124" spans="1:39" ht="12.75" customHeight="1">
      <c r="A124" s="24"/>
      <c r="B124" s="108">
        <f t="shared" si="22"/>
        <v>121</v>
      </c>
      <c r="C124" s="6">
        <v>312000</v>
      </c>
      <c r="D124" s="121" t="s">
        <v>593</v>
      </c>
      <c r="E124" s="9" t="s">
        <v>32</v>
      </c>
      <c r="F124" s="6"/>
      <c r="G124" s="6"/>
      <c r="H124" s="121">
        <v>0</v>
      </c>
      <c r="I124" s="121">
        <v>0</v>
      </c>
      <c r="J124" s="11">
        <f>+SUMIFS(JURNAL!G:G,JURNAL!E:E,C124,JURNAL!C:C,"&gt;="&amp;$H$1,JURNAL!C:C,"&lt;="&amp;$I$1)</f>
        <v>0</v>
      </c>
      <c r="K124" s="11">
        <f>+SUMIFS(JURNAL!H:H,JURNAL!E:E,C124,JURNAL!C:C,"&gt;="&amp;$H$1,JURNAL!C:C,"&lt;="&amp;$I$1)</f>
        <v>0</v>
      </c>
      <c r="L124" s="26">
        <f t="shared" si="15"/>
        <v>0</v>
      </c>
      <c r="M124" s="27">
        <f t="shared" si="16"/>
        <v>0</v>
      </c>
      <c r="N124" s="11"/>
      <c r="O124" s="335"/>
      <c r="P124" s="11"/>
      <c r="Q124" s="11"/>
      <c r="R124" s="26">
        <f t="shared" si="17"/>
        <v>0</v>
      </c>
      <c r="S124" s="27">
        <f t="shared" si="18"/>
        <v>0</v>
      </c>
      <c r="T124" s="11"/>
      <c r="U124" s="11"/>
      <c r="V124" s="26">
        <f t="shared" si="19"/>
        <v>0</v>
      </c>
      <c r="W124" s="27">
        <f t="shared" si="20"/>
        <v>0</v>
      </c>
      <c r="X124" s="4">
        <v>1210</v>
      </c>
      <c r="Y124" s="4"/>
      <c r="Z124" s="4"/>
      <c r="AA124" s="12">
        <f t="shared" si="21"/>
        <v>0</v>
      </c>
      <c r="AC124" s="6" t="s">
        <v>432</v>
      </c>
      <c r="AD124" s="21" t="str">
        <f t="shared" si="24"/>
        <v>о-511500</v>
      </c>
      <c r="AE124" s="79" t="str">
        <f t="shared" si="25"/>
        <v>о</v>
      </c>
      <c r="AF124" s="21" t="str">
        <f t="shared" si="23"/>
        <v>Эрхийн шимтгэлийн орлого</v>
      </c>
      <c r="AJ124" s="411"/>
      <c r="AK124" s="411"/>
      <c r="AL124" s="411"/>
      <c r="AM124" s="411"/>
    </row>
    <row r="125" spans="1:39" ht="12.75" customHeight="1">
      <c r="A125" s="24"/>
      <c r="B125" s="108">
        <f t="shared" si="22"/>
        <v>122</v>
      </c>
      <c r="C125" s="6">
        <v>320100</v>
      </c>
      <c r="D125" s="121" t="s">
        <v>598</v>
      </c>
      <c r="E125" s="9" t="s">
        <v>32</v>
      </c>
      <c r="F125" s="6"/>
      <c r="G125" s="6"/>
      <c r="H125" s="121">
        <v>0</v>
      </c>
      <c r="I125" s="121">
        <v>118147724.09</v>
      </c>
      <c r="J125" s="11">
        <f>+SUMIFS(JURNAL!G:G,JURNAL!E:E,C125,JURNAL!C:C,"&gt;="&amp;$H$1,JURNAL!C:C,"&lt;="&amp;$I$1)</f>
        <v>38780267</v>
      </c>
      <c r="K125" s="11">
        <f>+SUMIFS(JURNAL!H:H,JURNAL!E:E,C125,JURNAL!C:C,"&gt;="&amp;$H$1,JURNAL!C:C,"&lt;="&amp;$I$1)</f>
        <v>38780267</v>
      </c>
      <c r="L125" s="26">
        <f t="shared" si="15"/>
        <v>0</v>
      </c>
      <c r="M125" s="27">
        <f t="shared" si="16"/>
        <v>118147724.09</v>
      </c>
      <c r="N125" s="11"/>
      <c r="O125" s="335"/>
      <c r="P125" s="11"/>
      <c r="Q125" s="11"/>
      <c r="R125" s="26">
        <f t="shared" si="17"/>
        <v>0</v>
      </c>
      <c r="S125" s="27">
        <f t="shared" si="18"/>
        <v>118147724.09</v>
      </c>
      <c r="T125" s="11"/>
      <c r="U125" s="11"/>
      <c r="V125" s="26">
        <f t="shared" si="19"/>
        <v>0</v>
      </c>
      <c r="W125" s="27">
        <f t="shared" si="20"/>
        <v>118147724.09</v>
      </c>
      <c r="X125" s="4">
        <v>1211</v>
      </c>
      <c r="Y125" s="4"/>
      <c r="Z125" s="4"/>
      <c r="AA125" s="12">
        <f t="shared" si="21"/>
        <v>1</v>
      </c>
      <c r="AC125" s="6" t="s">
        <v>433</v>
      </c>
      <c r="AD125" s="21" t="str">
        <f t="shared" si="24"/>
        <v>г-610100</v>
      </c>
      <c r="AE125" s="79" t="str">
        <f t="shared" si="25"/>
        <v>г</v>
      </c>
      <c r="AF125" s="21" t="str">
        <f t="shared" si="23"/>
        <v>Борлуулсан барааны өртөг</v>
      </c>
      <c r="AJ125" s="411"/>
      <c r="AK125" s="411"/>
      <c r="AL125" s="411"/>
      <c r="AM125" s="411"/>
    </row>
    <row r="126" spans="1:39" ht="12.75" customHeight="1">
      <c r="A126" s="24"/>
      <c r="B126" s="108">
        <f t="shared" si="22"/>
        <v>123</v>
      </c>
      <c r="C126" s="6">
        <v>320101</v>
      </c>
      <c r="D126" s="121" t="s">
        <v>963</v>
      </c>
      <c r="E126" s="9" t="s">
        <v>30</v>
      </c>
      <c r="F126" s="6"/>
      <c r="G126" s="6"/>
      <c r="H126" s="121">
        <v>0</v>
      </c>
      <c r="I126" s="121">
        <v>0</v>
      </c>
      <c r="J126" s="11">
        <f>+SUMIFS(JURNAL!G:G,JURNAL!E:E,C126,JURNAL!C:C,"&gt;="&amp;$H$1,JURNAL!C:C,"&lt;="&amp;$I$1)</f>
        <v>0</v>
      </c>
      <c r="K126" s="11">
        <f>+SUMIFS(JURNAL!H:H,JURNAL!E:E,C126,JURNAL!C:C,"&gt;="&amp;$H$1,JURNAL!C:C,"&lt;="&amp;$I$1)</f>
        <v>0</v>
      </c>
      <c r="L126" s="26">
        <f t="shared" si="15"/>
        <v>0</v>
      </c>
      <c r="M126" s="27">
        <f t="shared" si="16"/>
        <v>0</v>
      </c>
      <c r="N126" s="11"/>
      <c r="O126" s="335"/>
      <c r="P126" s="11"/>
      <c r="Q126" s="11"/>
      <c r="R126" s="26">
        <f t="shared" si="17"/>
        <v>0</v>
      </c>
      <c r="S126" s="27">
        <f t="shared" si="18"/>
        <v>0</v>
      </c>
      <c r="T126" s="11"/>
      <c r="U126" s="11"/>
      <c r="V126" s="26">
        <f t="shared" si="19"/>
        <v>0</v>
      </c>
      <c r="W126" s="27">
        <f t="shared" si="20"/>
        <v>0</v>
      </c>
      <c r="X126" s="4">
        <v>1211</v>
      </c>
      <c r="Y126" s="4"/>
      <c r="Z126" s="4"/>
      <c r="AA126" s="12">
        <f t="shared" si="21"/>
        <v>0</v>
      </c>
      <c r="AC126" s="6" t="s">
        <v>434</v>
      </c>
      <c r="AD126" s="21" t="str">
        <f t="shared" si="24"/>
        <v>д-610101</v>
      </c>
      <c r="AE126" s="79" t="str">
        <f t="shared" si="25"/>
        <v>д</v>
      </c>
      <c r="AF126" s="21" t="str">
        <f t="shared" si="23"/>
        <v>Борлуулсан барааны өртөг - Бусад</v>
      </c>
      <c r="AJ126" s="411"/>
      <c r="AK126" s="411"/>
      <c r="AL126" s="411"/>
      <c r="AM126" s="411"/>
    </row>
    <row r="127" spans="1:39" ht="12.75" customHeight="1">
      <c r="A127" s="24"/>
      <c r="B127" s="108">
        <f t="shared" si="22"/>
        <v>124</v>
      </c>
      <c r="C127" s="6">
        <v>340100</v>
      </c>
      <c r="D127" s="121" t="s">
        <v>1567</v>
      </c>
      <c r="E127" s="9" t="s">
        <v>32</v>
      </c>
      <c r="F127" s="6"/>
      <c r="G127" s="6"/>
      <c r="H127" s="121">
        <v>0</v>
      </c>
      <c r="I127" s="121">
        <v>0</v>
      </c>
      <c r="J127" s="11">
        <f>+SUMIFS(JURNAL!G:G,JURNAL!E:E,C127,JURNAL!C:C,"&gt;="&amp;$H$1,JURNAL!C:C,"&lt;="&amp;$I$1)</f>
        <v>0</v>
      </c>
      <c r="K127" s="11">
        <f>+SUMIFS(JURNAL!H:H,JURNAL!E:E,C127,JURNAL!C:C,"&gt;="&amp;$H$1,JURNAL!C:C,"&lt;="&amp;$I$1)</f>
        <v>0</v>
      </c>
      <c r="L127" s="26">
        <f t="shared" si="15"/>
        <v>0</v>
      </c>
      <c r="M127" s="27">
        <f t="shared" si="16"/>
        <v>0</v>
      </c>
      <c r="N127" s="11"/>
      <c r="O127" s="335"/>
      <c r="P127" s="11"/>
      <c r="Q127" s="11"/>
      <c r="R127" s="26">
        <f t="shared" si="17"/>
        <v>0</v>
      </c>
      <c r="S127" s="27">
        <f t="shared" si="18"/>
        <v>0</v>
      </c>
      <c r="T127" s="11"/>
      <c r="U127" s="11"/>
      <c r="V127" s="26">
        <f t="shared" si="19"/>
        <v>0</v>
      </c>
      <c r="W127" s="27">
        <f t="shared" si="20"/>
        <v>0</v>
      </c>
      <c r="X127" s="4">
        <v>1210</v>
      </c>
      <c r="Y127" s="4"/>
      <c r="Z127" s="4"/>
      <c r="AA127" s="12">
        <f t="shared" si="21"/>
        <v>0</v>
      </c>
      <c r="AC127" s="6" t="s">
        <v>435</v>
      </c>
      <c r="AD127" s="21" t="str">
        <f t="shared" si="24"/>
        <v>г-610200</v>
      </c>
      <c r="AE127" s="79" t="str">
        <f t="shared" si="25"/>
        <v>г</v>
      </c>
      <c r="AF127" s="21" t="str">
        <f t="shared" si="23"/>
        <v>Үзүүлсэн ажил үйлчилгээний өртөг</v>
      </c>
      <c r="AJ127" s="411"/>
      <c r="AK127" s="411"/>
      <c r="AL127" s="411"/>
      <c r="AM127" s="411"/>
    </row>
    <row r="128" spans="1:39" ht="12.75" customHeight="1">
      <c r="A128" s="24"/>
      <c r="B128" s="108">
        <f t="shared" si="22"/>
        <v>125</v>
      </c>
      <c r="C128" s="6">
        <v>350100</v>
      </c>
      <c r="D128" s="121" t="s">
        <v>1568</v>
      </c>
      <c r="E128" s="9" t="s">
        <v>30</v>
      </c>
      <c r="F128" s="6"/>
      <c r="G128" s="6"/>
      <c r="H128" s="121">
        <v>0</v>
      </c>
      <c r="I128" s="121">
        <v>0</v>
      </c>
      <c r="J128" s="11">
        <f>+SUMIFS(JURNAL!G:G,JURNAL!E:E,C128,JURNAL!C:C,"&gt;="&amp;$H$1,JURNAL!C:C,"&lt;="&amp;$I$1)</f>
        <v>0</v>
      </c>
      <c r="K128" s="11">
        <f>+SUMIFS(JURNAL!H:H,JURNAL!E:E,C128,JURNAL!C:C,"&gt;="&amp;$H$1,JURNAL!C:C,"&lt;="&amp;$I$1)</f>
        <v>0</v>
      </c>
      <c r="L128" s="26">
        <f t="shared" si="15"/>
        <v>0</v>
      </c>
      <c r="M128" s="27">
        <f t="shared" si="16"/>
        <v>0</v>
      </c>
      <c r="N128" s="11"/>
      <c r="O128" s="335"/>
      <c r="P128" s="11"/>
      <c r="Q128" s="11"/>
      <c r="R128" s="26">
        <f t="shared" si="17"/>
        <v>0</v>
      </c>
      <c r="S128" s="27">
        <f t="shared" si="18"/>
        <v>0</v>
      </c>
      <c r="T128" s="11"/>
      <c r="U128" s="11"/>
      <c r="V128" s="26">
        <f t="shared" si="19"/>
        <v>0</v>
      </c>
      <c r="W128" s="27">
        <f t="shared" si="20"/>
        <v>0</v>
      </c>
      <c r="X128" s="4">
        <v>1210</v>
      </c>
      <c r="Y128" s="4"/>
      <c r="Z128" s="4"/>
      <c r="AA128" s="12">
        <f t="shared" si="21"/>
        <v>0</v>
      </c>
      <c r="AC128" s="6" t="s">
        <v>436</v>
      </c>
      <c r="AD128" s="21" t="str">
        <f t="shared" si="24"/>
        <v>г-610300</v>
      </c>
      <c r="AE128" s="79" t="str">
        <f t="shared" si="25"/>
        <v>г</v>
      </c>
      <c r="AF128" s="21" t="str">
        <f t="shared" si="23"/>
        <v>Бусад барааны өртөг</v>
      </c>
      <c r="AJ128" s="411"/>
      <c r="AK128" s="411"/>
      <c r="AL128" s="411"/>
      <c r="AM128" s="411"/>
    </row>
    <row r="129" spans="1:41" ht="12.75" customHeight="1">
      <c r="A129" s="24"/>
      <c r="B129" s="108">
        <f t="shared" si="22"/>
        <v>126</v>
      </c>
      <c r="C129" s="6">
        <v>320200</v>
      </c>
      <c r="D129" s="121" t="s">
        <v>603</v>
      </c>
      <c r="E129" s="9" t="s">
        <v>32</v>
      </c>
      <c r="F129" s="6"/>
      <c r="G129" s="6"/>
      <c r="H129" s="121">
        <v>0</v>
      </c>
      <c r="I129" s="121">
        <v>0</v>
      </c>
      <c r="J129" s="11">
        <f>+SUMIFS(JURNAL!G:G,JURNAL!E:E,C129,JURNAL!C:C,"&gt;="&amp;$H$1,JURNAL!C:C,"&lt;="&amp;$I$1)</f>
        <v>0</v>
      </c>
      <c r="K129" s="11">
        <f>+SUMIFS(JURNAL!H:H,JURNAL!E:E,C129,JURNAL!C:C,"&gt;="&amp;$H$1,JURNAL!C:C,"&lt;="&amp;$I$1)</f>
        <v>0</v>
      </c>
      <c r="L129" s="26">
        <f t="shared" si="15"/>
        <v>0</v>
      </c>
      <c r="M129" s="27">
        <f t="shared" si="16"/>
        <v>0</v>
      </c>
      <c r="N129" s="11"/>
      <c r="O129" s="335"/>
      <c r="P129" s="11"/>
      <c r="Q129" s="11"/>
      <c r="R129" s="26">
        <f t="shared" si="17"/>
        <v>0</v>
      </c>
      <c r="S129" s="27">
        <f t="shared" si="18"/>
        <v>0</v>
      </c>
      <c r="T129" s="11"/>
      <c r="U129" s="11"/>
      <c r="V129" s="26">
        <f t="shared" si="19"/>
        <v>0</v>
      </c>
      <c r="W129" s="27">
        <f t="shared" si="20"/>
        <v>0</v>
      </c>
      <c r="X129" s="4">
        <v>1210</v>
      </c>
      <c r="Y129" s="4"/>
      <c r="Z129" s="4"/>
      <c r="AA129" s="12">
        <f t="shared" si="21"/>
        <v>0</v>
      </c>
      <c r="AC129" s="6" t="s">
        <v>437</v>
      </c>
      <c r="AD129" s="21" t="str">
        <f t="shared" si="24"/>
        <v>л-700100</v>
      </c>
      <c r="AE129" s="79" t="str">
        <f t="shared" si="25"/>
        <v>л</v>
      </c>
      <c r="AF129" s="21" t="str">
        <f t="shared" si="23"/>
        <v>Цалин хөлс, шагнал</v>
      </c>
      <c r="AJ129" s="411"/>
      <c r="AK129" s="411"/>
      <c r="AL129" s="411"/>
      <c r="AM129" s="411"/>
    </row>
    <row r="130" spans="1:41" ht="12.75" customHeight="1">
      <c r="A130" s="24"/>
      <c r="B130" s="108">
        <f t="shared" si="22"/>
        <v>127</v>
      </c>
      <c r="C130" s="6">
        <v>330200</v>
      </c>
      <c r="D130" s="121" t="s">
        <v>608</v>
      </c>
      <c r="E130" s="9" t="s">
        <v>32</v>
      </c>
      <c r="F130" s="6"/>
      <c r="G130" s="6"/>
      <c r="H130" s="121">
        <v>0</v>
      </c>
      <c r="I130" s="121">
        <v>0</v>
      </c>
      <c r="J130" s="11">
        <f>+SUMIFS(JURNAL!G:G,JURNAL!E:E,C130,JURNAL!C:C,"&gt;="&amp;$H$1,JURNAL!C:C,"&lt;="&amp;$I$1)</f>
        <v>0</v>
      </c>
      <c r="K130" s="11">
        <f>+SUMIFS(JURNAL!H:H,JURNAL!E:E,C130,JURNAL!C:C,"&gt;="&amp;$H$1,JURNAL!C:C,"&lt;="&amp;$I$1)</f>
        <v>0</v>
      </c>
      <c r="L130" s="26">
        <f t="shared" si="15"/>
        <v>0</v>
      </c>
      <c r="M130" s="27">
        <f t="shared" si="16"/>
        <v>0</v>
      </c>
      <c r="N130" s="11"/>
      <c r="O130" s="335"/>
      <c r="P130" s="11"/>
      <c r="Q130" s="11"/>
      <c r="R130" s="26">
        <f t="shared" si="17"/>
        <v>0</v>
      </c>
      <c r="S130" s="27">
        <f t="shared" si="18"/>
        <v>0</v>
      </c>
      <c r="T130" s="11"/>
      <c r="U130" s="11"/>
      <c r="V130" s="26">
        <f t="shared" si="19"/>
        <v>0</v>
      </c>
      <c r="W130" s="27">
        <f t="shared" si="20"/>
        <v>0</v>
      </c>
      <c r="X130" s="4">
        <v>1221</v>
      </c>
      <c r="Y130" s="4"/>
      <c r="Z130" s="4"/>
      <c r="AA130" s="12">
        <f t="shared" si="21"/>
        <v>0</v>
      </c>
      <c r="AC130" s="6" t="s">
        <v>438</v>
      </c>
      <c r="AD130" s="21" t="str">
        <f t="shared" si="24"/>
        <v>л-700200</v>
      </c>
      <c r="AE130" s="79" t="str">
        <f t="shared" si="25"/>
        <v>л</v>
      </c>
      <c r="AF130" s="21" t="str">
        <f t="shared" si="23"/>
        <v>НДШимтгэл</v>
      </c>
      <c r="AJ130" s="411"/>
      <c r="AK130" s="411"/>
      <c r="AL130" s="411"/>
      <c r="AM130" s="411"/>
    </row>
    <row r="131" spans="1:41" ht="12.75" customHeight="1">
      <c r="A131" s="24"/>
      <c r="B131" s="108">
        <f t="shared" si="22"/>
        <v>128</v>
      </c>
      <c r="C131" s="6">
        <v>330201</v>
      </c>
      <c r="D131" s="121" t="s">
        <v>964</v>
      </c>
      <c r="E131" s="9" t="s">
        <v>30</v>
      </c>
      <c r="F131" s="6"/>
      <c r="G131" s="6"/>
      <c r="H131" s="121">
        <v>0</v>
      </c>
      <c r="I131" s="121">
        <v>0</v>
      </c>
      <c r="J131" s="11">
        <f>+SUMIFS(JURNAL!G:G,JURNAL!E:E,C131,JURNAL!C:C,"&gt;="&amp;$H$1,JURNAL!C:C,"&lt;="&amp;$I$1)</f>
        <v>0</v>
      </c>
      <c r="K131" s="11">
        <f>+SUMIFS(JURNAL!H:H,JURNAL!E:E,C131,JURNAL!C:C,"&gt;="&amp;$H$1,JURNAL!C:C,"&lt;="&amp;$I$1)</f>
        <v>0</v>
      </c>
      <c r="L131" s="26">
        <f t="shared" si="15"/>
        <v>0</v>
      </c>
      <c r="M131" s="27">
        <f t="shared" si="16"/>
        <v>0</v>
      </c>
      <c r="N131" s="11"/>
      <c r="O131" s="335"/>
      <c r="P131" s="11"/>
      <c r="Q131" s="11"/>
      <c r="R131" s="26">
        <f t="shared" si="17"/>
        <v>0</v>
      </c>
      <c r="S131" s="27">
        <f t="shared" si="18"/>
        <v>0</v>
      </c>
      <c r="T131" s="11"/>
      <c r="U131" s="11"/>
      <c r="V131" s="26">
        <f t="shared" si="19"/>
        <v>0</v>
      </c>
      <c r="W131" s="27">
        <f t="shared" si="20"/>
        <v>0</v>
      </c>
      <c r="X131" s="4">
        <v>1221</v>
      </c>
      <c r="Y131" s="4"/>
      <c r="Z131" s="4"/>
      <c r="AA131" s="12">
        <f t="shared" si="21"/>
        <v>0</v>
      </c>
      <c r="AC131" s="6" t="s">
        <v>439</v>
      </c>
      <c r="AD131" s="21" t="str">
        <f t="shared" si="24"/>
        <v>ч-700700</v>
      </c>
      <c r="AE131" s="79" t="str">
        <f t="shared" si="25"/>
        <v>ч</v>
      </c>
      <c r="AF131" s="21" t="str">
        <f t="shared" si="23"/>
        <v>Цахилгаан эрчим хүч</v>
      </c>
      <c r="AJ131" s="411"/>
      <c r="AK131" s="411"/>
      <c r="AL131" s="411"/>
      <c r="AM131" s="411"/>
    </row>
    <row r="132" spans="1:41" ht="12.75" customHeight="1">
      <c r="A132" s="24"/>
      <c r="B132" s="108">
        <f t="shared" si="22"/>
        <v>129</v>
      </c>
      <c r="C132" s="6">
        <v>330800</v>
      </c>
      <c r="D132" s="121" t="s">
        <v>613</v>
      </c>
      <c r="E132" s="9" t="s">
        <v>32</v>
      </c>
      <c r="F132" s="6"/>
      <c r="G132" s="6"/>
      <c r="H132" s="121">
        <v>0</v>
      </c>
      <c r="I132" s="121">
        <v>0</v>
      </c>
      <c r="J132" s="11">
        <f>+SUMIFS(JURNAL!G:G,JURNAL!E:E,C132,JURNAL!C:C,"&gt;="&amp;$H$1,JURNAL!C:C,"&lt;="&amp;$I$1)</f>
        <v>0</v>
      </c>
      <c r="K132" s="11">
        <f>+SUMIFS(JURNAL!H:H,JURNAL!E:E,C132,JURNAL!C:C,"&gt;="&amp;$H$1,JURNAL!C:C,"&lt;="&amp;$I$1)</f>
        <v>0</v>
      </c>
      <c r="L132" s="26">
        <f t="shared" si="15"/>
        <v>0</v>
      </c>
      <c r="M132" s="27">
        <f t="shared" si="16"/>
        <v>0</v>
      </c>
      <c r="N132" s="11"/>
      <c r="O132" s="335"/>
      <c r="P132" s="11"/>
      <c r="Q132" s="11"/>
      <c r="R132" s="26">
        <f t="shared" si="17"/>
        <v>0</v>
      </c>
      <c r="S132" s="27">
        <f t="shared" si="18"/>
        <v>0</v>
      </c>
      <c r="T132" s="11"/>
      <c r="U132" s="11"/>
      <c r="V132" s="26">
        <f t="shared" si="19"/>
        <v>0</v>
      </c>
      <c r="W132" s="27">
        <f t="shared" si="20"/>
        <v>0</v>
      </c>
      <c r="X132" s="4">
        <v>1223</v>
      </c>
      <c r="Y132" s="4"/>
      <c r="Z132" s="4"/>
      <c r="AA132" s="12">
        <f t="shared" si="21"/>
        <v>0</v>
      </c>
      <c r="AC132" s="6" t="s">
        <v>440</v>
      </c>
      <c r="AD132" s="21" t="str">
        <f t="shared" si="24"/>
        <v>н-700800</v>
      </c>
      <c r="AE132" s="79" t="str">
        <f t="shared" si="25"/>
        <v>н</v>
      </c>
      <c r="AF132" s="21" t="str">
        <f t="shared" ref="AF132:AF189" si="26">+SUBSTITUTE(AC132,AD132,AE132)</f>
        <v>Дулаан</v>
      </c>
      <c r="AJ132" s="411"/>
      <c r="AK132" s="411"/>
      <c r="AL132" s="411"/>
      <c r="AM132" s="411"/>
    </row>
    <row r="133" spans="1:41" ht="12.75" customHeight="1">
      <c r="A133" s="24"/>
      <c r="B133" s="108">
        <f t="shared" si="22"/>
        <v>130</v>
      </c>
      <c r="C133" s="6">
        <v>410200</v>
      </c>
      <c r="D133" s="121" t="s">
        <v>965</v>
      </c>
      <c r="E133" s="9" t="s">
        <v>32</v>
      </c>
      <c r="F133" s="6"/>
      <c r="G133" s="6"/>
      <c r="H133" s="121">
        <v>0</v>
      </c>
      <c r="I133" s="121">
        <v>30701981.399999999</v>
      </c>
      <c r="J133" s="11">
        <f>+SUMIFS(JURNAL!G:G,JURNAL!E:E,C133,JURNAL!C:C,"&gt;="&amp;$H$1,JURNAL!C:C,"&lt;="&amp;$I$1)</f>
        <v>0</v>
      </c>
      <c r="K133" s="11">
        <f>+SUMIFS(JURNAL!H:H,JURNAL!E:E,C133,JURNAL!C:C,"&gt;="&amp;$H$1,JURNAL!C:C,"&lt;="&amp;$I$1)</f>
        <v>0</v>
      </c>
      <c r="L133" s="26">
        <f t="shared" ref="L133:L138" si="27">+IF((H133+J133)&gt;(I133+K133),(H133+J133)-(I133+K133),0)</f>
        <v>0</v>
      </c>
      <c r="M133" s="27">
        <f t="shared" ref="M133:M138" si="28">+IF((H133+J133)&lt;(I133+K133),(I133+K133)-(H133+J133),0)</f>
        <v>30701981.399999999</v>
      </c>
      <c r="N133" s="11"/>
      <c r="O133" s="335"/>
      <c r="P133" s="11"/>
      <c r="Q133" s="11"/>
      <c r="R133" s="26">
        <f t="shared" ref="R133:R138" si="29">+IF((L133+N133)&gt;(M133+O133),(L133+N133)-(M133+O133),0)</f>
        <v>0</v>
      </c>
      <c r="S133" s="27">
        <f t="shared" ref="S133:S138" si="30">+IF((L133+N133)&lt;(M133+O133),(M133+O133)-(L133+N133),0)</f>
        <v>30701981.399999999</v>
      </c>
      <c r="T133" s="11"/>
      <c r="U133" s="11"/>
      <c r="V133" s="26">
        <f t="shared" ref="V133:V138" si="31">+IF((R133+T133)&gt;(S133+U133),(R133+T133)-(S133+U133),0)</f>
        <v>0</v>
      </c>
      <c r="W133" s="27">
        <f t="shared" ref="W133:W138" si="32">+IF((R133+T133)&lt;(S133+U133),(S133+U133)-(R133+T133),0)</f>
        <v>30701981.399999999</v>
      </c>
      <c r="X133" s="4">
        <v>1302</v>
      </c>
      <c r="Y133" s="4"/>
      <c r="Z133" s="4"/>
      <c r="AA133" s="12">
        <f t="shared" ref="AA133:AA196" si="33">+IF(H133+I133+J133+K133+L133+M133+N133+O133+R133+S133+T133+U133+V133+W133,1,0)</f>
        <v>1</v>
      </c>
      <c r="AC133" s="6" t="s">
        <v>441</v>
      </c>
      <c r="AD133" s="21" t="str">
        <f t="shared" si="24"/>
        <v>с-700900</v>
      </c>
      <c r="AE133" s="79" t="str">
        <f t="shared" si="25"/>
        <v>с</v>
      </c>
      <c r="AF133" s="21" t="str">
        <f t="shared" si="26"/>
        <v>Уур, ус</v>
      </c>
      <c r="AJ133" s="411"/>
      <c r="AK133" s="411"/>
      <c r="AL133" s="411"/>
      <c r="AM133" s="411"/>
    </row>
    <row r="134" spans="1:41" ht="12.75" customHeight="1">
      <c r="A134" s="24"/>
      <c r="B134" s="108">
        <f t="shared" ref="B134:B197" si="34">+B133+1</f>
        <v>131</v>
      </c>
      <c r="C134" s="6">
        <v>420100</v>
      </c>
      <c r="D134" s="121" t="s">
        <v>620</v>
      </c>
      <c r="E134" s="9" t="s">
        <v>32</v>
      </c>
      <c r="F134" s="6"/>
      <c r="G134" s="6"/>
      <c r="H134" s="121">
        <v>0</v>
      </c>
      <c r="I134" s="121">
        <v>680931312.63</v>
      </c>
      <c r="J134" s="11">
        <f>+SUMIFS(JURNAL!G:G,JURNAL!E:E,C134,JURNAL!C:C,"&gt;="&amp;$H$1,JURNAL!C:C,"&lt;="&amp;$I$1)</f>
        <v>0</v>
      </c>
      <c r="K134" s="11">
        <f>+SUMIFS(JURNAL!H:H,JURNAL!E:E,C134,JURNAL!C:C,"&gt;="&amp;$H$1,JURNAL!C:C,"&lt;="&amp;$I$1)</f>
        <v>0</v>
      </c>
      <c r="L134" s="26">
        <f t="shared" si="27"/>
        <v>0</v>
      </c>
      <c r="M134" s="27">
        <f t="shared" si="28"/>
        <v>680931312.63</v>
      </c>
      <c r="N134" s="11"/>
      <c r="O134" s="335"/>
      <c r="P134" s="11"/>
      <c r="Q134" s="11"/>
      <c r="R134" s="26">
        <f t="shared" si="29"/>
        <v>0</v>
      </c>
      <c r="S134" s="27">
        <f t="shared" si="30"/>
        <v>680931312.63</v>
      </c>
      <c r="T134" s="11"/>
      <c r="U134" s="11"/>
      <c r="V134" s="26">
        <f t="shared" si="31"/>
        <v>0</v>
      </c>
      <c r="W134" s="27">
        <f t="shared" si="32"/>
        <v>680931312.63</v>
      </c>
      <c r="X134" s="4">
        <v>1310</v>
      </c>
      <c r="Y134" s="4"/>
      <c r="Z134" s="4"/>
      <c r="AA134" s="12">
        <f t="shared" si="33"/>
        <v>1</v>
      </c>
      <c r="AC134" s="6" t="s">
        <v>442</v>
      </c>
      <c r="AD134" s="21" t="str">
        <f t="shared" si="24"/>
        <v>л-701000</v>
      </c>
      <c r="AE134" s="79" t="str">
        <f t="shared" si="25"/>
        <v>л</v>
      </c>
      <c r="AF134" s="21" t="str">
        <f t="shared" si="26"/>
        <v>Сэлбэг хэрэгсэл</v>
      </c>
      <c r="AJ134" s="411"/>
      <c r="AK134" s="411"/>
      <c r="AL134" s="411"/>
      <c r="AM134" s="411"/>
    </row>
    <row r="135" spans="1:41" ht="12.75" customHeight="1">
      <c r="A135" s="24"/>
      <c r="B135" s="108">
        <f t="shared" si="34"/>
        <v>132</v>
      </c>
      <c r="C135" s="6">
        <v>420200</v>
      </c>
      <c r="D135" s="121" t="s">
        <v>180</v>
      </c>
      <c r="E135" s="9" t="s">
        <v>32</v>
      </c>
      <c r="F135" s="6"/>
      <c r="G135" s="6"/>
      <c r="H135" s="121">
        <v>0</v>
      </c>
      <c r="I135" s="121">
        <v>0</v>
      </c>
      <c r="J135" s="11">
        <f>+SUMIFS(JURNAL!G:G,JURNAL!E:E,C135,JURNAL!C:C,"&gt;="&amp;$H$1,JURNAL!C:C,"&lt;="&amp;$I$1)</f>
        <v>0</v>
      </c>
      <c r="K135" s="11">
        <f>+SUMIFS(JURNAL!H:H,JURNAL!E:E,C135,JURNAL!C:C,"&gt;="&amp;$H$1,JURNAL!C:C,"&lt;="&amp;$I$1)</f>
        <v>0</v>
      </c>
      <c r="L135" s="26">
        <f t="shared" si="27"/>
        <v>0</v>
      </c>
      <c r="M135" s="27">
        <f t="shared" si="28"/>
        <v>0</v>
      </c>
      <c r="N135" s="11"/>
      <c r="O135" s="335"/>
      <c r="P135" s="11"/>
      <c r="Q135" s="11"/>
      <c r="R135" s="26">
        <f t="shared" si="29"/>
        <v>0</v>
      </c>
      <c r="S135" s="27">
        <f t="shared" si="30"/>
        <v>0</v>
      </c>
      <c r="T135" s="11"/>
      <c r="U135" s="11"/>
      <c r="V135" s="26">
        <f t="shared" si="31"/>
        <v>0</v>
      </c>
      <c r="W135" s="27">
        <f t="shared" si="32"/>
        <v>0</v>
      </c>
      <c r="X135" s="4">
        <v>1311</v>
      </c>
      <c r="Y135" s="4"/>
      <c r="Z135" s="4"/>
      <c r="AA135" s="12">
        <f t="shared" si="33"/>
        <v>0</v>
      </c>
      <c r="AC135" s="6" t="s">
        <v>443</v>
      </c>
      <c r="AD135" s="21" t="str">
        <f t="shared" si="24"/>
        <v>л-701100</v>
      </c>
      <c r="AE135" s="79" t="str">
        <f t="shared" si="25"/>
        <v>л</v>
      </c>
      <c r="AF135" s="21" t="str">
        <f t="shared" si="26"/>
        <v>Түрээсийн зардал</v>
      </c>
      <c r="AJ135" s="411"/>
      <c r="AK135" s="411"/>
      <c r="AL135" s="411"/>
      <c r="AM135" s="411"/>
    </row>
    <row r="136" spans="1:41" ht="12.75" customHeight="1">
      <c r="A136" s="24"/>
      <c r="B136" s="108">
        <f t="shared" si="34"/>
        <v>133</v>
      </c>
      <c r="C136" s="6">
        <v>430300</v>
      </c>
      <c r="D136" s="121" t="s">
        <v>627</v>
      </c>
      <c r="E136" s="9" t="s">
        <v>32</v>
      </c>
      <c r="F136" s="6"/>
      <c r="G136" s="6"/>
      <c r="H136" s="121">
        <v>0</v>
      </c>
      <c r="I136" s="121">
        <v>106378624.62</v>
      </c>
      <c r="J136" s="11">
        <f>+SUMIFS(JURNAL!G:G,JURNAL!E:E,C136,JURNAL!C:C,"&gt;="&amp;$H$1,JURNAL!C:C,"&lt;="&amp;$I$1)</f>
        <v>0</v>
      </c>
      <c r="K136" s="11">
        <f>+SUMIFS(JURNAL!H:H,JURNAL!E:E,C136,JURNAL!C:C,"&gt;="&amp;$H$1,JURNAL!C:C,"&lt;="&amp;$I$1)</f>
        <v>0</v>
      </c>
      <c r="L136" s="26">
        <f t="shared" si="27"/>
        <v>0</v>
      </c>
      <c r="M136" s="27">
        <f t="shared" si="28"/>
        <v>106378624.62</v>
      </c>
      <c r="N136" s="11"/>
      <c r="O136" s="335"/>
      <c r="P136" s="11"/>
      <c r="Q136" s="11"/>
      <c r="R136" s="26">
        <f t="shared" si="29"/>
        <v>0</v>
      </c>
      <c r="S136" s="27">
        <f t="shared" si="30"/>
        <v>106378624.62</v>
      </c>
      <c r="T136" s="11"/>
      <c r="U136" s="11"/>
      <c r="V136" s="26">
        <f t="shared" si="31"/>
        <v>0</v>
      </c>
      <c r="W136" s="27">
        <f t="shared" si="32"/>
        <v>106378624.62</v>
      </c>
      <c r="X136" s="4">
        <v>1312</v>
      </c>
      <c r="Y136" s="4"/>
      <c r="Z136" s="4"/>
      <c r="AA136" s="12">
        <f t="shared" si="33"/>
        <v>1</v>
      </c>
      <c r="AC136" s="6" t="s">
        <v>444</v>
      </c>
      <c r="AD136" s="21" t="str">
        <f t="shared" si="24"/>
        <v>л-701200</v>
      </c>
      <c r="AE136" s="79" t="str">
        <f t="shared" si="25"/>
        <v>л</v>
      </c>
      <c r="AF136" s="21" t="str">
        <f t="shared" si="26"/>
        <v>Албан томилолтын зардал</v>
      </c>
      <c r="AJ136" s="411"/>
      <c r="AK136" s="411"/>
      <c r="AL136" s="411"/>
      <c r="AM136" s="411"/>
    </row>
    <row r="137" spans="1:41" ht="12.75" customHeight="1">
      <c r="A137" s="24"/>
      <c r="B137" s="108">
        <f t="shared" si="34"/>
        <v>134</v>
      </c>
      <c r="C137" s="6">
        <v>440100</v>
      </c>
      <c r="D137" s="121" t="s">
        <v>633</v>
      </c>
      <c r="E137" s="9" t="s">
        <v>32</v>
      </c>
      <c r="F137" s="6"/>
      <c r="G137" s="6"/>
      <c r="H137" s="121">
        <v>0</v>
      </c>
      <c r="I137" s="121">
        <v>1038581855.87</v>
      </c>
      <c r="J137" s="11">
        <f>+SUMIFS(JURNAL!G:G,JURNAL!E:E,C137,JURNAL!C:C,"&gt;="&amp;$H$1,JURNAL!C:C,"&lt;="&amp;$I$1)</f>
        <v>0</v>
      </c>
      <c r="K137" s="11">
        <f>+SUMIFS(JURNAL!H:H,JURNAL!E:E,C137,JURNAL!C:C,"&gt;="&amp;$H$1,JURNAL!C:C,"&lt;="&amp;$I$1)</f>
        <v>0</v>
      </c>
      <c r="L137" s="26">
        <f t="shared" si="27"/>
        <v>0</v>
      </c>
      <c r="M137" s="27">
        <f t="shared" si="28"/>
        <v>1038581855.87</v>
      </c>
      <c r="N137" s="27">
        <v>54118465.740000002</v>
      </c>
      <c r="O137" s="27"/>
      <c r="P137" s="11"/>
      <c r="Q137" s="11"/>
      <c r="R137" s="26">
        <f t="shared" si="29"/>
        <v>0</v>
      </c>
      <c r="S137" s="27">
        <f t="shared" si="30"/>
        <v>984463390.13</v>
      </c>
      <c r="T137" s="11"/>
      <c r="U137" s="11"/>
      <c r="V137" s="26">
        <f t="shared" si="31"/>
        <v>0</v>
      </c>
      <c r="W137" s="27">
        <f t="shared" si="32"/>
        <v>984463390.13</v>
      </c>
      <c r="X137" s="4">
        <v>1313</v>
      </c>
      <c r="Y137" s="4"/>
      <c r="Z137" s="4"/>
      <c r="AA137" s="12">
        <f t="shared" si="33"/>
        <v>1</v>
      </c>
      <c r="AC137" s="6" t="s">
        <v>445</v>
      </c>
      <c r="AD137" s="21" t="str">
        <f t="shared" si="24"/>
        <v>л-701300</v>
      </c>
      <c r="AE137" s="79" t="str">
        <f t="shared" si="25"/>
        <v>л</v>
      </c>
      <c r="AF137" s="21" t="str">
        <f t="shared" si="26"/>
        <v>Тээврийн зардал</v>
      </c>
      <c r="AJ137" s="411"/>
      <c r="AK137" s="411"/>
      <c r="AL137" s="411"/>
      <c r="AM137" s="411"/>
    </row>
    <row r="138" spans="1:41" ht="12.75" customHeight="1">
      <c r="A138" s="24"/>
      <c r="B138" s="108">
        <f t="shared" si="34"/>
        <v>135</v>
      </c>
      <c r="C138" s="6">
        <v>440200</v>
      </c>
      <c r="D138" s="121" t="s">
        <v>639</v>
      </c>
      <c r="E138" s="9" t="s">
        <v>32</v>
      </c>
      <c r="F138" s="6"/>
      <c r="G138" s="6"/>
      <c r="H138" s="121">
        <v>54118465.740000002</v>
      </c>
      <c r="I138" s="121">
        <v>0</v>
      </c>
      <c r="J138" s="11">
        <f>+SUMIFS(JURNAL!G:G,JURNAL!E:E,C138,JURNAL!C:C,"&gt;="&amp;$H$1,JURNAL!C:C,"&lt;="&amp;$I$1)</f>
        <v>0</v>
      </c>
      <c r="K138" s="11">
        <f>+SUMIFS(JURNAL!H:H,JURNAL!E:E,C138,JURNAL!C:C,"&gt;="&amp;$H$1,JURNAL!C:C,"&lt;="&amp;$I$1)</f>
        <v>0</v>
      </c>
      <c r="L138" s="26">
        <f t="shared" si="27"/>
        <v>54118465.740000002</v>
      </c>
      <c r="M138" s="27">
        <f t="shared" si="28"/>
        <v>0</v>
      </c>
      <c r="N138" s="11"/>
      <c r="O138" s="27">
        <v>54118465.740000002</v>
      </c>
      <c r="P138" s="11"/>
      <c r="Q138" s="11"/>
      <c r="R138" s="26">
        <f t="shared" si="29"/>
        <v>0</v>
      </c>
      <c r="S138" s="27">
        <f t="shared" si="30"/>
        <v>0</v>
      </c>
      <c r="T138" s="27">
        <v>29421719.660101078</v>
      </c>
      <c r="U138" s="11"/>
      <c r="V138" s="26">
        <f t="shared" si="31"/>
        <v>29421719.660101078</v>
      </c>
      <c r="W138" s="27">
        <f t="shared" si="32"/>
        <v>0</v>
      </c>
      <c r="X138" s="4">
        <v>1314</v>
      </c>
      <c r="Y138" s="4"/>
      <c r="Z138" s="4"/>
      <c r="AA138" s="12">
        <f t="shared" si="33"/>
        <v>1</v>
      </c>
      <c r="AC138" s="6" t="s">
        <v>446</v>
      </c>
      <c r="AD138" s="21" t="str">
        <f t="shared" si="24"/>
        <v>л-701400</v>
      </c>
      <c r="AE138" s="79" t="str">
        <f t="shared" si="25"/>
        <v>л</v>
      </c>
      <c r="AF138" s="21" t="str">
        <f t="shared" si="26"/>
        <v>Засвар үйлчилгээний зардал</v>
      </c>
      <c r="AJ138" s="411"/>
      <c r="AK138" s="411"/>
      <c r="AL138" s="411"/>
      <c r="AM138" s="411"/>
    </row>
    <row r="139" spans="1:41" ht="12.75" customHeight="1">
      <c r="A139" s="24"/>
      <c r="B139" s="108">
        <f t="shared" si="34"/>
        <v>136</v>
      </c>
      <c r="C139" s="137"/>
      <c r="D139" s="138" t="s">
        <v>996</v>
      </c>
      <c r="E139" s="61" t="s">
        <v>32</v>
      </c>
      <c r="F139" s="28">
        <f>+SUM(F4:F138)</f>
        <v>6147.9800000000014</v>
      </c>
      <c r="G139" s="28">
        <f>+SUM(G4:G138)</f>
        <v>14604.900000000003</v>
      </c>
      <c r="H139" s="28">
        <f>+SUM(H4:H138)</f>
        <v>3363851144.8299994</v>
      </c>
      <c r="I139" s="28">
        <f>+SUM(I4:I138)</f>
        <v>3363851144.8299994</v>
      </c>
      <c r="J139" s="28">
        <f t="shared" ref="J139:Z139" si="35">+SUM(J4:J138)</f>
        <v>1149916183.2372727</v>
      </c>
      <c r="K139" s="28">
        <f t="shared" si="35"/>
        <v>1179329118.9373736</v>
      </c>
      <c r="L139" s="28">
        <f t="shared" si="35"/>
        <v>3362559056.3535924</v>
      </c>
      <c r="M139" s="28">
        <f t="shared" si="35"/>
        <v>3391971992.0536938</v>
      </c>
      <c r="N139" s="28">
        <f t="shared" si="35"/>
        <v>58456863.060909092</v>
      </c>
      <c r="O139" s="28">
        <f t="shared" si="35"/>
        <v>58465647.023309097</v>
      </c>
      <c r="P139" s="28">
        <v>6150.4600000000009</v>
      </c>
      <c r="Q139" s="28">
        <v>14684.7</v>
      </c>
      <c r="R139" s="28">
        <f t="shared" si="35"/>
        <v>3304093409.3302836</v>
      </c>
      <c r="S139" s="28">
        <f t="shared" si="35"/>
        <v>3333515128.992785</v>
      </c>
      <c r="T139" s="28">
        <f t="shared" si="35"/>
        <v>29421719.660101078</v>
      </c>
      <c r="U139" s="28">
        <f t="shared" si="35"/>
        <v>0</v>
      </c>
      <c r="V139" s="28">
        <f t="shared" si="35"/>
        <v>3333515128.9903846</v>
      </c>
      <c r="W139" s="28">
        <f t="shared" si="35"/>
        <v>3333515128.992785</v>
      </c>
      <c r="X139" s="28"/>
      <c r="Y139" s="28">
        <f t="shared" si="35"/>
        <v>0</v>
      </c>
      <c r="Z139" s="28">
        <f t="shared" si="35"/>
        <v>0</v>
      </c>
      <c r="AA139" s="28">
        <f>+SUM(AA4:AA138)</f>
        <v>58</v>
      </c>
      <c r="AC139" s="6" t="s">
        <v>447</v>
      </c>
      <c r="AD139" s="21" t="str">
        <f t="shared" si="24"/>
        <v>л-701500</v>
      </c>
      <c r="AE139" s="79" t="str">
        <f t="shared" si="25"/>
        <v>л</v>
      </c>
      <c r="AF139" s="21" t="str">
        <f t="shared" si="26"/>
        <v>Урсгал засварын зардал</v>
      </c>
      <c r="AJ139" s="411"/>
      <c r="AK139" s="411"/>
      <c r="AL139" s="411"/>
      <c r="AM139" s="411"/>
    </row>
    <row r="140" spans="1:41" ht="12.75" customHeight="1">
      <c r="A140" s="24"/>
      <c r="B140" s="108">
        <f t="shared" si="34"/>
        <v>137</v>
      </c>
      <c r="C140" s="6">
        <v>510000</v>
      </c>
      <c r="D140" s="6" t="s">
        <v>507</v>
      </c>
      <c r="E140" s="9" t="s">
        <v>32</v>
      </c>
      <c r="F140" s="6"/>
      <c r="G140" s="6"/>
      <c r="H140" s="11"/>
      <c r="I140" s="27"/>
      <c r="J140" s="11">
        <f>+SUMIFS(JURNAL!G:G,JURNAL!E:E,C140,JURNAL!C:C,"&gt;="&amp;$H$1,JURNAL!C:C,"&lt;="&amp;$I$1)</f>
        <v>0</v>
      </c>
      <c r="K140" s="11">
        <f>+SUMIFS(JURNAL!H:H,JURNAL!E:E,C140,JURNAL!C:C,"&gt;="&amp;$H$1,JURNAL!C:C,"&lt;="&amp;$I$1)</f>
        <v>26087051.818181813</v>
      </c>
      <c r="L140" s="26">
        <f>+IF((H140+J140)&gt;(I140+K140),(H140+J140)-(I140+K140),0)</f>
        <v>0</v>
      </c>
      <c r="M140" s="27">
        <f>+IF((H140+J140)&lt;(I140+K140),(I140+K140)-(H140+J140),0)</f>
        <v>26087051.818181813</v>
      </c>
      <c r="N140" s="11"/>
      <c r="O140" s="11"/>
      <c r="P140" s="11"/>
      <c r="Q140" s="11"/>
      <c r="R140" s="26">
        <f>+IF((L140+N140)&gt;(M140+O140),(L140+N140)-(M140+O140),0)</f>
        <v>0</v>
      </c>
      <c r="S140" s="27">
        <f>+IF((L140+N140)&lt;(M140+O140),(M140+O140)-(L140+N140),0)</f>
        <v>26087051.818181813</v>
      </c>
      <c r="T140" s="11">
        <f>+S140</f>
        <v>26087051.818181813</v>
      </c>
      <c r="U140" s="11">
        <f>+R140</f>
        <v>0</v>
      </c>
      <c r="V140" s="26">
        <f>+IF((R140+T140)&gt;(S140+U140),(R140+T140)-(S140+U140),0)</f>
        <v>0</v>
      </c>
      <c r="W140" s="27">
        <f>+IF((R140+T140)&lt;(S140+U140),(S140+U140)-(R140+T140),0)</f>
        <v>0</v>
      </c>
      <c r="X140" s="4">
        <v>5101</v>
      </c>
      <c r="Y140" s="4"/>
      <c r="Z140" s="4"/>
      <c r="AA140" s="12">
        <f t="shared" si="33"/>
        <v>1</v>
      </c>
      <c r="AC140" s="6" t="s">
        <v>448</v>
      </c>
      <c r="AD140" s="21" t="str">
        <f t="shared" si="24"/>
        <v>л-701600</v>
      </c>
      <c r="AE140" s="79" t="str">
        <f t="shared" si="25"/>
        <v>л</v>
      </c>
      <c r="AF140" s="21" t="str">
        <f t="shared" si="26"/>
        <v>Элэгдэл, хорогдлын зардал</v>
      </c>
      <c r="AJ140" s="411"/>
      <c r="AK140" s="411"/>
      <c r="AL140" s="411"/>
      <c r="AM140" s="411"/>
      <c r="AN140" s="412"/>
      <c r="AO140" s="412"/>
    </row>
    <row r="141" spans="1:41" ht="12.75" customHeight="1">
      <c r="A141" s="24"/>
      <c r="B141" s="108">
        <f t="shared" si="34"/>
        <v>138</v>
      </c>
      <c r="C141" s="6">
        <v>510100</v>
      </c>
      <c r="D141" s="6" t="s">
        <v>512</v>
      </c>
      <c r="E141" s="9" t="s">
        <v>32</v>
      </c>
      <c r="F141" s="6"/>
      <c r="G141" s="6"/>
      <c r="H141" s="11"/>
      <c r="I141" s="11"/>
      <c r="J141" s="11">
        <f>+SUMIFS(JURNAL!G:G,JURNAL!E:E,C141,JURNAL!C:C,"&gt;="&amp;$H$1,JURNAL!C:C,"&lt;="&amp;$I$1)</f>
        <v>0</v>
      </c>
      <c r="K141" s="11">
        <f>+SUMIFS(JURNAL!H:H,JURNAL!E:E,C141,JURNAL!C:C,"&gt;="&amp;$H$1,JURNAL!C:C,"&lt;="&amp;$I$1)</f>
        <v>9167728.3599999994</v>
      </c>
      <c r="L141" s="26">
        <f t="shared" ref="L141:L204" si="36">+IF((H141+J141)&gt;(I141+K141),(H141+J141)-(I141+K141),0)</f>
        <v>0</v>
      </c>
      <c r="M141" s="27">
        <f t="shared" ref="M141:M204" si="37">+IF((H141+J141)&lt;(I141+K141),(I141+K141)-(H141+J141),0)</f>
        <v>9167728.3599999994</v>
      </c>
      <c r="N141" s="11"/>
      <c r="O141" s="11"/>
      <c r="P141" s="11"/>
      <c r="Q141" s="11"/>
      <c r="R141" s="26">
        <f t="shared" ref="R141:R204" si="38">+IF((L141+N141)&gt;(M141+O141),(L141+N141)-(M141+O141),0)</f>
        <v>0</v>
      </c>
      <c r="S141" s="27">
        <f t="shared" ref="S141:S204" si="39">+IF((L141+N141)&lt;(M141+O141),(M141+O141)-(L141+N141),0)</f>
        <v>9167728.3599999994</v>
      </c>
      <c r="T141" s="11">
        <f>+S141</f>
        <v>9167728.3599999994</v>
      </c>
      <c r="U141" s="11">
        <f t="shared" ref="U141:U204" si="40">+R141</f>
        <v>0</v>
      </c>
      <c r="V141" s="26">
        <f t="shared" ref="V141:V204" si="41">+IF((R141+T141)&gt;(S141+U141),(R141+T141)-(S141+U141),0)</f>
        <v>0</v>
      </c>
      <c r="W141" s="27">
        <f t="shared" ref="W141:W204" si="42">+IF((R141+T141)&lt;(S141+U141),(S141+U141)-(R141+T141),0)</f>
        <v>0</v>
      </c>
      <c r="X141" s="4">
        <v>5101</v>
      </c>
      <c r="Y141" s="4"/>
      <c r="Z141" s="4"/>
      <c r="AA141" s="12">
        <f t="shared" si="33"/>
        <v>1</v>
      </c>
      <c r="AC141" s="6" t="s">
        <v>449</v>
      </c>
      <c r="AD141" s="21" t="str">
        <f t="shared" si="24"/>
        <v>л-701700</v>
      </c>
      <c r="AE141" s="79" t="str">
        <f t="shared" si="25"/>
        <v>л</v>
      </c>
      <c r="AF141" s="21" t="str">
        <f t="shared" si="26"/>
        <v>Зар сурталчилгааны зардал</v>
      </c>
      <c r="AJ141" s="411"/>
      <c r="AK141" s="411"/>
      <c r="AL141" s="411"/>
      <c r="AM141" s="411"/>
      <c r="AN141" s="412"/>
      <c r="AO141" s="412"/>
    </row>
    <row r="142" spans="1:41" ht="12.75" customHeight="1">
      <c r="A142" s="24"/>
      <c r="B142" s="108">
        <f t="shared" si="34"/>
        <v>139</v>
      </c>
      <c r="C142" s="6">
        <v>510200</v>
      </c>
      <c r="D142" s="6" t="s">
        <v>517</v>
      </c>
      <c r="E142" s="9" t="s">
        <v>32</v>
      </c>
      <c r="F142" s="6"/>
      <c r="G142" s="6"/>
      <c r="H142" s="11"/>
      <c r="I142" s="11"/>
      <c r="J142" s="11">
        <f>+SUMIFS(JURNAL!G:G,JURNAL!E:E,C142,JURNAL!C:C,"&gt;="&amp;$H$1,JURNAL!C:C,"&lt;="&amp;$I$1)</f>
        <v>0</v>
      </c>
      <c r="K142" s="11">
        <f>+SUMIFS(JURNAL!H:H,JURNAL!E:E,C142,JURNAL!C:C,"&gt;="&amp;$H$1,JURNAL!C:C,"&lt;="&amp;$I$1)</f>
        <v>0</v>
      </c>
      <c r="L142" s="26">
        <f t="shared" si="36"/>
        <v>0</v>
      </c>
      <c r="M142" s="27">
        <f t="shared" si="37"/>
        <v>0</v>
      </c>
      <c r="N142" s="11"/>
      <c r="O142" s="11"/>
      <c r="P142" s="11"/>
      <c r="Q142" s="11"/>
      <c r="R142" s="26">
        <f t="shared" si="38"/>
        <v>0</v>
      </c>
      <c r="S142" s="27">
        <f t="shared" si="39"/>
        <v>0</v>
      </c>
      <c r="T142" s="11">
        <f t="shared" ref="T142:T204" si="43">+S142</f>
        <v>0</v>
      </c>
      <c r="U142" s="11">
        <f t="shared" si="40"/>
        <v>0</v>
      </c>
      <c r="V142" s="26">
        <f t="shared" si="41"/>
        <v>0</v>
      </c>
      <c r="W142" s="27">
        <f t="shared" si="42"/>
        <v>0</v>
      </c>
      <c r="X142" s="4">
        <v>5101</v>
      </c>
      <c r="Y142" s="4"/>
      <c r="Z142" s="4"/>
      <c r="AA142" s="12">
        <f t="shared" si="33"/>
        <v>0</v>
      </c>
      <c r="AC142" s="6" t="s">
        <v>450</v>
      </c>
      <c r="AD142" s="21" t="str">
        <f t="shared" si="24"/>
        <v>ж-701800</v>
      </c>
      <c r="AE142" s="79" t="str">
        <f t="shared" si="25"/>
        <v>ж</v>
      </c>
      <c r="AF142" s="21" t="str">
        <f t="shared" si="26"/>
        <v>Шуудан илгээмж</v>
      </c>
      <c r="AJ142" s="411"/>
      <c r="AK142" s="411"/>
      <c r="AL142" s="411"/>
      <c r="AM142" s="411"/>
      <c r="AN142" s="412"/>
      <c r="AO142" s="412"/>
    </row>
    <row r="143" spans="1:41" ht="12.75" customHeight="1">
      <c r="A143" s="24"/>
      <c r="B143" s="108">
        <f t="shared" si="34"/>
        <v>140</v>
      </c>
      <c r="C143" s="6">
        <v>510300</v>
      </c>
      <c r="D143" s="6" t="s">
        <v>522</v>
      </c>
      <c r="E143" s="9" t="s">
        <v>32</v>
      </c>
      <c r="F143" s="6"/>
      <c r="G143" s="6"/>
      <c r="H143" s="11"/>
      <c r="I143" s="11"/>
      <c r="J143" s="11">
        <f>+SUMIFS(JURNAL!G:G,JURNAL!E:E,C143,JURNAL!C:C,"&gt;="&amp;$H$1,JURNAL!C:C,"&lt;="&amp;$I$1)</f>
        <v>0</v>
      </c>
      <c r="K143" s="11">
        <f>+SUMIFS(JURNAL!H:H,JURNAL!E:E,C143,JURNAL!C:C,"&gt;="&amp;$H$1,JURNAL!C:C,"&lt;="&amp;$I$1)</f>
        <v>0</v>
      </c>
      <c r="L143" s="26">
        <f t="shared" si="36"/>
        <v>0</v>
      </c>
      <c r="M143" s="27">
        <f t="shared" si="37"/>
        <v>0</v>
      </c>
      <c r="N143" s="11"/>
      <c r="O143" s="11"/>
      <c r="P143" s="11"/>
      <c r="Q143" s="11"/>
      <c r="R143" s="26">
        <f t="shared" si="38"/>
        <v>0</v>
      </c>
      <c r="S143" s="27">
        <f t="shared" si="39"/>
        <v>0</v>
      </c>
      <c r="T143" s="11">
        <f t="shared" si="43"/>
        <v>0</v>
      </c>
      <c r="U143" s="11">
        <f t="shared" si="40"/>
        <v>0</v>
      </c>
      <c r="V143" s="26">
        <f t="shared" si="41"/>
        <v>0</v>
      </c>
      <c r="W143" s="27">
        <f t="shared" si="42"/>
        <v>0</v>
      </c>
      <c r="X143" s="4">
        <v>5101</v>
      </c>
      <c r="Y143" s="4"/>
      <c r="Z143" s="4"/>
      <c r="AA143" s="12">
        <f t="shared" si="33"/>
        <v>0</v>
      </c>
      <c r="AC143" s="6" t="s">
        <v>451</v>
      </c>
      <c r="AD143" s="21" t="str">
        <f t="shared" si="24"/>
        <v>о-701900</v>
      </c>
      <c r="AE143" s="79" t="str">
        <f t="shared" si="25"/>
        <v>о</v>
      </c>
      <c r="AF143" s="21" t="str">
        <f t="shared" si="26"/>
        <v>Харилцаа холбоо</v>
      </c>
      <c r="AJ143" s="411"/>
      <c r="AK143" s="411"/>
      <c r="AL143" s="411"/>
      <c r="AM143" s="411"/>
      <c r="AN143" s="412"/>
      <c r="AO143" s="412"/>
    </row>
    <row r="144" spans="1:41" ht="12.75" customHeight="1">
      <c r="A144" s="24"/>
      <c r="B144" s="108">
        <f t="shared" si="34"/>
        <v>141</v>
      </c>
      <c r="C144" s="6">
        <v>510400</v>
      </c>
      <c r="D144" s="6" t="s">
        <v>528</v>
      </c>
      <c r="E144" s="9" t="s">
        <v>32</v>
      </c>
      <c r="F144" s="6"/>
      <c r="G144" s="6"/>
      <c r="H144" s="11"/>
      <c r="I144" s="11"/>
      <c r="J144" s="11">
        <f>+SUMIFS(JURNAL!G:G,JURNAL!E:E,C144,JURNAL!C:C,"&gt;="&amp;$H$1,JURNAL!C:C,"&lt;="&amp;$I$1)</f>
        <v>0</v>
      </c>
      <c r="K144" s="11">
        <f>+SUMIFS(JURNAL!H:H,JURNAL!E:E,C144,JURNAL!C:C,"&gt;="&amp;$H$1,JURNAL!C:C,"&lt;="&amp;$I$1)</f>
        <v>0</v>
      </c>
      <c r="L144" s="26">
        <f t="shared" si="36"/>
        <v>0</v>
      </c>
      <c r="M144" s="27">
        <f t="shared" si="37"/>
        <v>0</v>
      </c>
      <c r="N144" s="11"/>
      <c r="O144" s="11"/>
      <c r="P144" s="11"/>
      <c r="Q144" s="11"/>
      <c r="R144" s="26">
        <f t="shared" si="38"/>
        <v>0</v>
      </c>
      <c r="S144" s="27">
        <f t="shared" si="39"/>
        <v>0</v>
      </c>
      <c r="T144" s="11">
        <f t="shared" si="43"/>
        <v>0</v>
      </c>
      <c r="U144" s="11">
        <f t="shared" si="40"/>
        <v>0</v>
      </c>
      <c r="V144" s="26">
        <f t="shared" si="41"/>
        <v>0</v>
      </c>
      <c r="W144" s="27">
        <f t="shared" si="42"/>
        <v>0</v>
      </c>
      <c r="X144" s="4">
        <v>5101</v>
      </c>
      <c r="Y144" s="4"/>
      <c r="Z144" s="4"/>
      <c r="AA144" s="12">
        <f t="shared" si="33"/>
        <v>0</v>
      </c>
      <c r="AC144" s="6" t="s">
        <v>452</v>
      </c>
      <c r="AD144" s="21" t="str">
        <f t="shared" si="24"/>
        <v>н-702000</v>
      </c>
      <c r="AE144" s="79" t="str">
        <f t="shared" si="25"/>
        <v>н</v>
      </c>
      <c r="AF144" s="21" t="str">
        <f t="shared" si="26"/>
        <v>Түлш, шатахуун</v>
      </c>
      <c r="AJ144" s="411"/>
      <c r="AK144" s="411"/>
      <c r="AL144" s="411"/>
      <c r="AM144" s="411"/>
      <c r="AN144" s="412"/>
      <c r="AO144" s="412"/>
    </row>
    <row r="145" spans="1:41" ht="12.75" customHeight="1">
      <c r="A145" s="24"/>
      <c r="B145" s="108">
        <f t="shared" si="34"/>
        <v>142</v>
      </c>
      <c r="C145" s="6">
        <v>511000</v>
      </c>
      <c r="D145" s="6" t="s">
        <v>535</v>
      </c>
      <c r="E145" s="9" t="s">
        <v>32</v>
      </c>
      <c r="F145" s="6"/>
      <c r="G145" s="6"/>
      <c r="H145" s="11"/>
      <c r="I145" s="11"/>
      <c r="J145" s="11">
        <f>+SUMIFS(JURNAL!G:G,JURNAL!E:E,C145,JURNAL!C:C,"&gt;="&amp;$H$1,JURNAL!C:C,"&lt;="&amp;$I$1)</f>
        <v>0</v>
      </c>
      <c r="K145" s="11">
        <f>+SUMIFS(JURNAL!H:H,JURNAL!E:E,C145,JURNAL!C:C,"&gt;="&amp;$H$1,JURNAL!C:C,"&lt;="&amp;$I$1)</f>
        <v>0</v>
      </c>
      <c r="L145" s="26">
        <f t="shared" si="36"/>
        <v>0</v>
      </c>
      <c r="M145" s="27">
        <f t="shared" si="37"/>
        <v>0</v>
      </c>
      <c r="N145" s="11"/>
      <c r="O145" s="11"/>
      <c r="P145" s="11"/>
      <c r="Q145" s="11"/>
      <c r="R145" s="26">
        <f t="shared" si="38"/>
        <v>0</v>
      </c>
      <c r="S145" s="27">
        <f t="shared" si="39"/>
        <v>0</v>
      </c>
      <c r="T145" s="11">
        <f t="shared" si="43"/>
        <v>0</v>
      </c>
      <c r="U145" s="11">
        <f t="shared" si="40"/>
        <v>0</v>
      </c>
      <c r="V145" s="26">
        <f t="shared" si="41"/>
        <v>0</v>
      </c>
      <c r="W145" s="27">
        <f t="shared" si="42"/>
        <v>0</v>
      </c>
      <c r="X145" s="4">
        <v>8402</v>
      </c>
      <c r="Y145" s="4"/>
      <c r="Z145" s="4"/>
      <c r="AA145" s="12">
        <f t="shared" si="33"/>
        <v>0</v>
      </c>
      <c r="AC145" s="6" t="s">
        <v>453</v>
      </c>
      <c r="AD145" s="21" t="str">
        <f t="shared" si="24"/>
        <v>л-702100</v>
      </c>
      <c r="AE145" s="79" t="str">
        <f t="shared" si="25"/>
        <v>л</v>
      </c>
      <c r="AF145" s="21" t="str">
        <f t="shared" si="26"/>
        <v>Тослох материал</v>
      </c>
      <c r="AJ145" s="411"/>
      <c r="AK145" s="411"/>
      <c r="AL145" s="411"/>
      <c r="AM145" s="411"/>
      <c r="AN145" s="412"/>
      <c r="AO145" s="412"/>
    </row>
    <row r="146" spans="1:41" ht="12.75" customHeight="1">
      <c r="A146" s="24"/>
      <c r="B146" s="108">
        <f t="shared" si="34"/>
        <v>143</v>
      </c>
      <c r="C146" s="6">
        <v>511100</v>
      </c>
      <c r="D146" s="6" t="s">
        <v>542</v>
      </c>
      <c r="E146" s="9" t="s">
        <v>32</v>
      </c>
      <c r="F146" s="6"/>
      <c r="G146" s="6"/>
      <c r="H146" s="11"/>
      <c r="I146" s="11"/>
      <c r="J146" s="11">
        <f>+SUMIFS(JURNAL!G:G,JURNAL!E:E,C146,JURNAL!C:C,"&gt;="&amp;$H$1,JURNAL!C:C,"&lt;="&amp;$I$1)</f>
        <v>0</v>
      </c>
      <c r="K146" s="11">
        <f>+SUMIFS(JURNAL!H:H,JURNAL!E:E,C146,JURNAL!C:C,"&gt;="&amp;$H$1,JURNAL!C:C,"&lt;="&amp;$I$1)</f>
        <v>0</v>
      </c>
      <c r="L146" s="26">
        <f t="shared" si="36"/>
        <v>0</v>
      </c>
      <c r="M146" s="27">
        <f t="shared" si="37"/>
        <v>0</v>
      </c>
      <c r="N146" s="11"/>
      <c r="O146" s="11"/>
      <c r="P146" s="11"/>
      <c r="Q146" s="11"/>
      <c r="R146" s="26">
        <f t="shared" si="38"/>
        <v>0</v>
      </c>
      <c r="S146" s="27">
        <f t="shared" si="39"/>
        <v>0</v>
      </c>
      <c r="T146" s="11">
        <f t="shared" si="43"/>
        <v>0</v>
      </c>
      <c r="U146" s="11">
        <f t="shared" si="40"/>
        <v>0</v>
      </c>
      <c r="V146" s="26">
        <f t="shared" si="41"/>
        <v>0</v>
      </c>
      <c r="W146" s="27">
        <f t="shared" si="42"/>
        <v>0</v>
      </c>
      <c r="X146" s="4">
        <v>5111</v>
      </c>
      <c r="Y146" s="4"/>
      <c r="Z146" s="4"/>
      <c r="AA146" s="12">
        <f t="shared" si="33"/>
        <v>0</v>
      </c>
      <c r="AC146" s="6" t="s">
        <v>454</v>
      </c>
      <c r="AD146" s="21" t="str">
        <f t="shared" si="24"/>
        <v>л-702300</v>
      </c>
      <c r="AE146" s="79" t="str">
        <f t="shared" si="25"/>
        <v>л</v>
      </c>
      <c r="AF146" s="21" t="str">
        <f t="shared" si="26"/>
        <v>Шагнал, урамшуулал</v>
      </c>
      <c r="AJ146" s="411"/>
      <c r="AK146" s="411"/>
      <c r="AL146" s="411"/>
      <c r="AM146" s="411"/>
      <c r="AN146" s="412"/>
      <c r="AO146" s="412"/>
    </row>
    <row r="147" spans="1:41" ht="12.75" customHeight="1">
      <c r="A147" s="24"/>
      <c r="B147" s="108">
        <f t="shared" si="34"/>
        <v>144</v>
      </c>
      <c r="C147" s="6">
        <v>511200</v>
      </c>
      <c r="D147" s="6" t="s">
        <v>547</v>
      </c>
      <c r="E147" s="9" t="s">
        <v>32</v>
      </c>
      <c r="F147" s="6"/>
      <c r="G147" s="6"/>
      <c r="H147" s="11"/>
      <c r="I147" s="11"/>
      <c r="J147" s="11">
        <f>+SUMIFS(JURNAL!G:G,JURNAL!E:E,C147,JURNAL!C:C,"&gt;="&amp;$H$1,JURNAL!C:C,"&lt;="&amp;$I$1)</f>
        <v>0</v>
      </c>
      <c r="K147" s="11">
        <f>+SUMIFS(JURNAL!H:H,JURNAL!E:E,C147,JURNAL!C:C,"&gt;="&amp;$H$1,JURNAL!C:C,"&lt;="&amp;$I$1)</f>
        <v>0</v>
      </c>
      <c r="L147" s="26">
        <f t="shared" si="36"/>
        <v>0</v>
      </c>
      <c r="M147" s="27">
        <f t="shared" si="37"/>
        <v>0</v>
      </c>
      <c r="N147" s="11"/>
      <c r="O147" s="11"/>
      <c r="P147" s="11"/>
      <c r="Q147" s="11"/>
      <c r="R147" s="26">
        <f t="shared" si="38"/>
        <v>0</v>
      </c>
      <c r="S147" s="27">
        <f t="shared" si="39"/>
        <v>0</v>
      </c>
      <c r="T147" s="11">
        <f t="shared" si="43"/>
        <v>0</v>
      </c>
      <c r="U147" s="11">
        <f t="shared" si="40"/>
        <v>0</v>
      </c>
      <c r="V147" s="26">
        <f t="shared" si="41"/>
        <v>0</v>
      </c>
      <c r="W147" s="27">
        <f t="shared" si="42"/>
        <v>0</v>
      </c>
      <c r="X147" s="4">
        <v>5112</v>
      </c>
      <c r="Y147" s="4"/>
      <c r="Z147" s="4"/>
      <c r="AA147" s="12">
        <f t="shared" si="33"/>
        <v>0</v>
      </c>
      <c r="AC147" s="6" t="s">
        <v>455</v>
      </c>
      <c r="AD147" s="21" t="str">
        <f t="shared" si="24"/>
        <v>л-702500</v>
      </c>
      <c r="AE147" s="79" t="str">
        <f t="shared" si="25"/>
        <v>л</v>
      </c>
      <c r="AF147" s="21" t="str">
        <f t="shared" si="26"/>
        <v>Зээлийн хүүгийн зардал</v>
      </c>
      <c r="AJ147" s="411"/>
      <c r="AK147" s="411"/>
      <c r="AL147" s="411"/>
      <c r="AM147" s="411"/>
      <c r="AN147" s="412"/>
      <c r="AO147" s="412"/>
    </row>
    <row r="148" spans="1:41" ht="12.75" customHeight="1">
      <c r="A148" s="24"/>
      <c r="B148" s="108">
        <f t="shared" si="34"/>
        <v>145</v>
      </c>
      <c r="C148" s="6">
        <v>511300</v>
      </c>
      <c r="D148" s="6" t="s">
        <v>552</v>
      </c>
      <c r="E148" s="9" t="s">
        <v>32</v>
      </c>
      <c r="F148" s="6"/>
      <c r="G148" s="6"/>
      <c r="H148" s="11"/>
      <c r="I148" s="11"/>
      <c r="J148" s="11">
        <f>+SUMIFS(JURNAL!G:G,JURNAL!E:E,C148,JURNAL!C:C,"&gt;="&amp;$H$1,JURNAL!C:C,"&lt;="&amp;$I$1)</f>
        <v>0</v>
      </c>
      <c r="K148" s="11">
        <f>+SUMIFS(JURNAL!H:H,JURNAL!E:E,C148,JURNAL!C:C,"&gt;="&amp;$H$1,JURNAL!C:C,"&lt;="&amp;$I$1)</f>
        <v>0</v>
      </c>
      <c r="L148" s="26">
        <f t="shared" si="36"/>
        <v>0</v>
      </c>
      <c r="M148" s="27">
        <f t="shared" si="37"/>
        <v>0</v>
      </c>
      <c r="N148" s="11"/>
      <c r="O148" s="11"/>
      <c r="P148" s="11"/>
      <c r="Q148" s="11"/>
      <c r="R148" s="26">
        <f t="shared" si="38"/>
        <v>0</v>
      </c>
      <c r="S148" s="27">
        <f t="shared" si="39"/>
        <v>0</v>
      </c>
      <c r="T148" s="11">
        <f t="shared" si="43"/>
        <v>0</v>
      </c>
      <c r="U148" s="11">
        <f t="shared" si="40"/>
        <v>0</v>
      </c>
      <c r="V148" s="26">
        <f t="shared" si="41"/>
        <v>0</v>
      </c>
      <c r="W148" s="27">
        <f t="shared" si="42"/>
        <v>0</v>
      </c>
      <c r="X148" s="4">
        <v>5113</v>
      </c>
      <c r="Y148" s="4"/>
      <c r="Z148" s="4"/>
      <c r="AA148" s="12">
        <f t="shared" si="33"/>
        <v>0</v>
      </c>
      <c r="AC148" s="6" t="s">
        <v>456</v>
      </c>
      <c r="AD148" s="21" t="str">
        <f t="shared" si="24"/>
        <v>л-702400</v>
      </c>
      <c r="AE148" s="79" t="str">
        <f t="shared" si="25"/>
        <v>л</v>
      </c>
      <c r="AF148" s="21" t="str">
        <f t="shared" si="26"/>
        <v>Захиргааны зардал</v>
      </c>
      <c r="AJ148" s="411"/>
      <c r="AK148" s="411"/>
      <c r="AL148" s="411"/>
      <c r="AM148" s="411"/>
      <c r="AN148" s="412"/>
      <c r="AO148" s="412"/>
    </row>
    <row r="149" spans="1:41" ht="12.75" customHeight="1">
      <c r="A149" s="24"/>
      <c r="B149" s="108">
        <f t="shared" si="34"/>
        <v>146</v>
      </c>
      <c r="C149" s="6">
        <v>511400</v>
      </c>
      <c r="D149" s="6" t="s">
        <v>557</v>
      </c>
      <c r="E149" s="9" t="s">
        <v>32</v>
      </c>
      <c r="F149" s="6"/>
      <c r="G149" s="6"/>
      <c r="H149" s="11"/>
      <c r="I149" s="11"/>
      <c r="J149" s="11">
        <f>+SUMIFS(JURNAL!G:G,JURNAL!E:E,C149,JURNAL!C:C,"&gt;="&amp;$H$1,JURNAL!C:C,"&lt;="&amp;$I$1)</f>
        <v>0</v>
      </c>
      <c r="K149" s="11">
        <f>+SUMIFS(JURNAL!H:H,JURNAL!E:E,C149,JURNAL!C:C,"&gt;="&amp;$H$1,JURNAL!C:C,"&lt;="&amp;$I$1)</f>
        <v>0</v>
      </c>
      <c r="L149" s="26">
        <f t="shared" si="36"/>
        <v>0</v>
      </c>
      <c r="M149" s="27">
        <f t="shared" si="37"/>
        <v>0</v>
      </c>
      <c r="N149" s="11"/>
      <c r="O149" s="11"/>
      <c r="P149" s="11"/>
      <c r="Q149" s="11"/>
      <c r="R149" s="26">
        <f t="shared" si="38"/>
        <v>0</v>
      </c>
      <c r="S149" s="27">
        <f t="shared" si="39"/>
        <v>0</v>
      </c>
      <c r="T149" s="11">
        <f t="shared" si="43"/>
        <v>0</v>
      </c>
      <c r="U149" s="11">
        <f t="shared" si="40"/>
        <v>0</v>
      </c>
      <c r="V149" s="26">
        <f t="shared" si="41"/>
        <v>0</v>
      </c>
      <c r="W149" s="27">
        <f t="shared" si="42"/>
        <v>0</v>
      </c>
      <c r="X149" s="4">
        <v>5114</v>
      </c>
      <c r="Y149" s="4"/>
      <c r="Z149" s="4"/>
      <c r="AA149" s="12">
        <f t="shared" si="33"/>
        <v>0</v>
      </c>
      <c r="AC149" s="6" t="s">
        <v>457</v>
      </c>
      <c r="AD149" s="21" t="str">
        <f t="shared" si="24"/>
        <v>ж-702600</v>
      </c>
      <c r="AE149" s="79" t="str">
        <f t="shared" si="25"/>
        <v>ж</v>
      </c>
      <c r="AF149" s="21" t="str">
        <f t="shared" si="26"/>
        <v>Сайн дурын даатгалын хураамж</v>
      </c>
      <c r="AJ149" s="411"/>
      <c r="AK149" s="411"/>
      <c r="AL149" s="411"/>
      <c r="AM149" s="411"/>
      <c r="AN149" s="412"/>
      <c r="AO149" s="412"/>
    </row>
    <row r="150" spans="1:41" ht="12.75" customHeight="1">
      <c r="A150" s="24"/>
      <c r="B150" s="108">
        <f t="shared" si="34"/>
        <v>147</v>
      </c>
      <c r="C150" s="6">
        <v>511500</v>
      </c>
      <c r="D150" s="6" t="s">
        <v>562</v>
      </c>
      <c r="E150" s="9" t="s">
        <v>32</v>
      </c>
      <c r="F150" s="6"/>
      <c r="G150" s="6"/>
      <c r="H150" s="11"/>
      <c r="I150" s="11"/>
      <c r="J150" s="11">
        <f>+SUMIFS(JURNAL!G:G,JURNAL!E:E,C150,JURNAL!C:C,"&gt;="&amp;$H$1,JURNAL!C:C,"&lt;="&amp;$I$1)</f>
        <v>0</v>
      </c>
      <c r="K150" s="11">
        <f>+SUMIFS(JURNAL!H:H,JURNAL!E:E,C150,JURNAL!C:C,"&gt;="&amp;$H$1,JURNAL!C:C,"&lt;="&amp;$I$1)</f>
        <v>0</v>
      </c>
      <c r="L150" s="26">
        <f t="shared" si="36"/>
        <v>0</v>
      </c>
      <c r="M150" s="27">
        <f t="shared" si="37"/>
        <v>0</v>
      </c>
      <c r="N150" s="11"/>
      <c r="O150" s="11"/>
      <c r="P150" s="11"/>
      <c r="Q150" s="11"/>
      <c r="R150" s="26">
        <f t="shared" si="38"/>
        <v>0</v>
      </c>
      <c r="S150" s="27">
        <f t="shared" si="39"/>
        <v>0</v>
      </c>
      <c r="T150" s="11">
        <f t="shared" si="43"/>
        <v>0</v>
      </c>
      <c r="U150" s="11">
        <f t="shared" si="40"/>
        <v>0</v>
      </c>
      <c r="V150" s="26">
        <f t="shared" si="41"/>
        <v>0</v>
      </c>
      <c r="W150" s="27">
        <f t="shared" si="42"/>
        <v>0</v>
      </c>
      <c r="X150" s="4">
        <v>5115</v>
      </c>
      <c r="Y150" s="4"/>
      <c r="Z150" s="4"/>
      <c r="AA150" s="12">
        <f t="shared" si="33"/>
        <v>0</v>
      </c>
      <c r="AC150" s="6" t="s">
        <v>458</v>
      </c>
      <c r="AD150" s="21" t="str">
        <f t="shared" si="24"/>
        <v>ж-702700</v>
      </c>
      <c r="AE150" s="79" t="str">
        <f t="shared" si="25"/>
        <v>ж</v>
      </c>
      <c r="AF150" s="21" t="str">
        <f t="shared" si="26"/>
        <v>Заавал даатгуулах даатгалын хураамж</v>
      </c>
      <c r="AJ150" s="411"/>
      <c r="AK150" s="411"/>
      <c r="AL150" s="411"/>
      <c r="AM150" s="411"/>
      <c r="AN150" s="412"/>
      <c r="AO150" s="412"/>
    </row>
    <row r="151" spans="1:41" ht="12.75" customHeight="1">
      <c r="A151" s="24"/>
      <c r="B151" s="108">
        <f t="shared" si="34"/>
        <v>148</v>
      </c>
      <c r="C151" s="6">
        <v>610100</v>
      </c>
      <c r="D151" s="6" t="s">
        <v>567</v>
      </c>
      <c r="E151" s="9" t="s">
        <v>32</v>
      </c>
      <c r="F151" s="6"/>
      <c r="G151" s="6"/>
      <c r="H151" s="11"/>
      <c r="I151" s="11"/>
      <c r="J151" s="11">
        <f>+SUMIFS(JURNAL!G:G,JURNAL!E:E,C151,JURNAL!C:C,"&gt;="&amp;$H$1,JURNAL!C:C,"&lt;="&amp;$I$1)</f>
        <v>14781190.071191521</v>
      </c>
      <c r="K151" s="11">
        <f>+SUMIFS(JURNAL!H:H,JURNAL!E:E,C151,JURNAL!C:C,"&gt;="&amp;$H$1,JURNAL!C:C,"&lt;="&amp;$I$1)</f>
        <v>0</v>
      </c>
      <c r="L151" s="26">
        <f t="shared" si="36"/>
        <v>14781190.071191521</v>
      </c>
      <c r="M151" s="27">
        <f t="shared" si="37"/>
        <v>0</v>
      </c>
      <c r="N151" s="11"/>
      <c r="O151" s="11"/>
      <c r="P151" s="11"/>
      <c r="Q151" s="11"/>
      <c r="R151" s="26">
        <f t="shared" si="38"/>
        <v>14781190.071191521</v>
      </c>
      <c r="S151" s="27">
        <f t="shared" si="39"/>
        <v>0</v>
      </c>
      <c r="T151" s="11">
        <f t="shared" si="43"/>
        <v>0</v>
      </c>
      <c r="U151" s="11">
        <f t="shared" si="40"/>
        <v>14781190.071191521</v>
      </c>
      <c r="V151" s="26">
        <f t="shared" si="41"/>
        <v>0</v>
      </c>
      <c r="W151" s="27">
        <f t="shared" si="42"/>
        <v>0</v>
      </c>
      <c r="X151" s="4">
        <v>6101</v>
      </c>
      <c r="Y151" s="4"/>
      <c r="Z151" s="4"/>
      <c r="AA151" s="12">
        <f t="shared" si="33"/>
        <v>1</v>
      </c>
      <c r="AC151" s="6" t="s">
        <v>459</v>
      </c>
      <c r="AD151" s="21" t="str">
        <f t="shared" si="24"/>
        <v>р-702800</v>
      </c>
      <c r="AE151" s="79" t="str">
        <f t="shared" si="25"/>
        <v>р</v>
      </c>
      <c r="AF151" s="21" t="str">
        <f t="shared" si="26"/>
        <v>Аудитын төлбөр</v>
      </c>
      <c r="AJ151" s="411"/>
      <c r="AK151" s="411"/>
      <c r="AL151" s="411"/>
      <c r="AM151" s="411"/>
      <c r="AN151" s="412"/>
      <c r="AO151" s="412"/>
    </row>
    <row r="152" spans="1:41" ht="12.75" customHeight="1">
      <c r="A152" s="24"/>
      <c r="B152" s="108">
        <f t="shared" si="34"/>
        <v>149</v>
      </c>
      <c r="C152" s="6">
        <v>610101</v>
      </c>
      <c r="D152" s="6" t="s">
        <v>966</v>
      </c>
      <c r="E152" s="9" t="s">
        <v>32</v>
      </c>
      <c r="F152" s="6"/>
      <c r="G152" s="6"/>
      <c r="H152" s="11"/>
      <c r="I152" s="11"/>
      <c r="J152" s="11">
        <f>+SUMIFS(JURNAL!G:G,JURNAL!E:E,C152,JURNAL!C:C,"&gt;="&amp;$H$1,JURNAL!C:C,"&lt;="&amp;$I$1)</f>
        <v>6615641.4423765056</v>
      </c>
      <c r="K152" s="11">
        <f>+SUMIFS(JURNAL!H:H,JURNAL!E:E,C152,JURNAL!C:C,"&gt;="&amp;$H$1,JURNAL!C:C,"&lt;="&amp;$I$1)</f>
        <v>0</v>
      </c>
      <c r="L152" s="26">
        <f t="shared" si="36"/>
        <v>6615641.4423765056</v>
      </c>
      <c r="M152" s="27">
        <f t="shared" si="37"/>
        <v>0</v>
      </c>
      <c r="N152" s="11"/>
      <c r="O152" s="11"/>
      <c r="P152" s="11"/>
      <c r="Q152" s="11"/>
      <c r="R152" s="26">
        <f t="shared" si="38"/>
        <v>6615641.4423765056</v>
      </c>
      <c r="S152" s="27">
        <f t="shared" si="39"/>
        <v>0</v>
      </c>
      <c r="T152" s="11">
        <f t="shared" si="43"/>
        <v>0</v>
      </c>
      <c r="U152" s="11">
        <f t="shared" si="40"/>
        <v>6615641.4423765056</v>
      </c>
      <c r="V152" s="26">
        <f t="shared" si="41"/>
        <v>0</v>
      </c>
      <c r="W152" s="27">
        <f t="shared" si="42"/>
        <v>0</v>
      </c>
      <c r="X152" s="4">
        <v>6101</v>
      </c>
      <c r="Y152" s="4"/>
      <c r="Z152" s="4"/>
      <c r="AA152" s="12">
        <f t="shared" si="33"/>
        <v>1</v>
      </c>
      <c r="AC152" s="6" t="s">
        <v>460</v>
      </c>
      <c r="AD152" s="21" t="str">
        <f t="shared" ref="AD152:AD189" si="44">+RIGHT(AC152,8)</f>
        <v>с-703300</v>
      </c>
      <c r="AE152" s="79" t="str">
        <f t="shared" ref="AE152:AE189" si="45">+LEFT(AD152,1)</f>
        <v>с</v>
      </c>
      <c r="AF152" s="21" t="str">
        <f t="shared" si="26"/>
        <v>Орчуулгын хөлс</v>
      </c>
      <c r="AJ152" s="411"/>
      <c r="AK152" s="411"/>
      <c r="AL152" s="411"/>
      <c r="AM152" s="411"/>
      <c r="AN152" s="412"/>
      <c r="AO152" s="412"/>
    </row>
    <row r="153" spans="1:41" ht="12.75" customHeight="1">
      <c r="A153" s="24"/>
      <c r="B153" s="108">
        <f t="shared" si="34"/>
        <v>150</v>
      </c>
      <c r="C153" s="6">
        <v>610200</v>
      </c>
      <c r="D153" s="6" t="s">
        <v>572</v>
      </c>
      <c r="E153" s="9" t="s">
        <v>32</v>
      </c>
      <c r="F153" s="6"/>
      <c r="G153" s="6"/>
      <c r="H153" s="11"/>
      <c r="I153" s="11"/>
      <c r="J153" s="11">
        <f>+SUMIFS(JURNAL!G:G,JURNAL!E:E,C153,JURNAL!C:C,"&gt;="&amp;$H$1,JURNAL!C:C,"&lt;="&amp;$I$1)</f>
        <v>0</v>
      </c>
      <c r="K153" s="11">
        <f>+SUMIFS(JURNAL!H:H,JURNAL!E:E,C153,JURNAL!C:C,"&gt;="&amp;$H$1,JURNAL!C:C,"&lt;="&amp;$I$1)</f>
        <v>0</v>
      </c>
      <c r="L153" s="26">
        <f t="shared" si="36"/>
        <v>0</v>
      </c>
      <c r="M153" s="27">
        <f t="shared" si="37"/>
        <v>0</v>
      </c>
      <c r="N153" s="11"/>
      <c r="O153" s="11"/>
      <c r="P153" s="11"/>
      <c r="Q153" s="11"/>
      <c r="R153" s="26">
        <f t="shared" si="38"/>
        <v>0</v>
      </c>
      <c r="S153" s="27">
        <f t="shared" si="39"/>
        <v>0</v>
      </c>
      <c r="T153" s="11">
        <f t="shared" si="43"/>
        <v>0</v>
      </c>
      <c r="U153" s="11">
        <f t="shared" si="40"/>
        <v>0</v>
      </c>
      <c r="V153" s="26">
        <f t="shared" si="41"/>
        <v>0</v>
      </c>
      <c r="W153" s="27">
        <f t="shared" si="42"/>
        <v>0</v>
      </c>
      <c r="X153" s="4">
        <v>6101</v>
      </c>
      <c r="Y153" s="4"/>
      <c r="Z153" s="4"/>
      <c r="AA153" s="12">
        <f t="shared" si="33"/>
        <v>0</v>
      </c>
      <c r="AC153" s="6" t="s">
        <v>461</v>
      </c>
      <c r="AD153" s="21" t="str">
        <f t="shared" si="44"/>
        <v>э-703400</v>
      </c>
      <c r="AE153" s="79" t="str">
        <f t="shared" si="45"/>
        <v>э</v>
      </c>
      <c r="AF153" s="21" t="str">
        <f t="shared" si="26"/>
        <v>Мэргэжлийн байгууллагаар гүйцэтгүүслэн ажил үйлчилгээ</v>
      </c>
      <c r="AJ153" s="411"/>
      <c r="AK153" s="411"/>
      <c r="AL153" s="411"/>
      <c r="AM153" s="411"/>
      <c r="AN153" s="412"/>
      <c r="AO153" s="412"/>
    </row>
    <row r="154" spans="1:41" ht="12.75" customHeight="1">
      <c r="A154" s="24"/>
      <c r="B154" s="108">
        <f t="shared" si="34"/>
        <v>151</v>
      </c>
      <c r="C154" s="6">
        <v>610300</v>
      </c>
      <c r="D154" s="6" t="s">
        <v>577</v>
      </c>
      <c r="E154" s="9" t="s">
        <v>32</v>
      </c>
      <c r="F154" s="6"/>
      <c r="G154" s="6"/>
      <c r="H154" s="11"/>
      <c r="I154" s="11"/>
      <c r="J154" s="11">
        <f>+SUMIFS(JURNAL!G:G,JURNAL!E:E,C154,JURNAL!C:C,"&gt;="&amp;$H$1,JURNAL!C:C,"&lt;="&amp;$I$1)</f>
        <v>0</v>
      </c>
      <c r="K154" s="11">
        <f>+SUMIFS(JURNAL!H:H,JURNAL!E:E,C154,JURNAL!C:C,"&gt;="&amp;$H$1,JURNAL!C:C,"&lt;="&amp;$I$1)</f>
        <v>0</v>
      </c>
      <c r="L154" s="26">
        <f t="shared" si="36"/>
        <v>0</v>
      </c>
      <c r="M154" s="27">
        <f t="shared" si="37"/>
        <v>0</v>
      </c>
      <c r="N154" s="11"/>
      <c r="O154" s="11"/>
      <c r="P154" s="11"/>
      <c r="Q154" s="11"/>
      <c r="R154" s="26">
        <f t="shared" si="38"/>
        <v>0</v>
      </c>
      <c r="S154" s="27">
        <f t="shared" si="39"/>
        <v>0</v>
      </c>
      <c r="T154" s="11">
        <f t="shared" si="43"/>
        <v>0</v>
      </c>
      <c r="U154" s="11">
        <f t="shared" si="40"/>
        <v>0</v>
      </c>
      <c r="V154" s="26">
        <f t="shared" si="41"/>
        <v>0</v>
      </c>
      <c r="W154" s="27">
        <f t="shared" si="42"/>
        <v>0</v>
      </c>
      <c r="X154" s="4">
        <v>6101</v>
      </c>
      <c r="Y154" s="4"/>
      <c r="Z154" s="4"/>
      <c r="AA154" s="12">
        <f t="shared" si="33"/>
        <v>0</v>
      </c>
      <c r="AC154" s="6" t="s">
        <v>462</v>
      </c>
      <c r="AD154" s="21" t="str">
        <f t="shared" si="44"/>
        <v>л-703700</v>
      </c>
      <c r="AE154" s="79" t="str">
        <f t="shared" si="45"/>
        <v>л</v>
      </c>
      <c r="AF154" s="21" t="str">
        <f t="shared" si="26"/>
        <v>Бичиг хэргийн зардал</v>
      </c>
      <c r="AJ154" s="411"/>
      <c r="AK154" s="411"/>
      <c r="AL154" s="411"/>
      <c r="AM154" s="411"/>
      <c r="AN154" s="412"/>
      <c r="AO154" s="412"/>
    </row>
    <row r="155" spans="1:41" ht="12.75" customHeight="1">
      <c r="A155" s="24"/>
      <c r="B155" s="108">
        <f t="shared" si="34"/>
        <v>152</v>
      </c>
      <c r="C155" s="6">
        <v>700100</v>
      </c>
      <c r="D155" s="6" t="s">
        <v>270</v>
      </c>
      <c r="E155" s="9" t="s">
        <v>32</v>
      </c>
      <c r="F155" s="6"/>
      <c r="G155" s="6"/>
      <c r="H155" s="121"/>
      <c r="I155" s="121"/>
      <c r="J155" s="11">
        <f>+SUMIFS(JURNAL!G:G,JURNAL!E:E,C155,JURNAL!C:C,"&gt;="&amp;$H$1,JURNAL!C:C,"&lt;="&amp;$I$1)</f>
        <v>36454180.09109731</v>
      </c>
      <c r="K155" s="11">
        <f>+SUMIFS(JURNAL!H:H,JURNAL!E:E,C155,JURNAL!C:C,"&gt;="&amp;$H$1,JURNAL!C:C,"&lt;="&amp;$I$1)</f>
        <v>20694496</v>
      </c>
      <c r="L155" s="26">
        <f t="shared" si="36"/>
        <v>15759684.09109731</v>
      </c>
      <c r="M155" s="27">
        <f t="shared" si="37"/>
        <v>0</v>
      </c>
      <c r="N155" s="11"/>
      <c r="O155" s="11"/>
      <c r="P155" s="11"/>
      <c r="Q155" s="11"/>
      <c r="R155" s="26">
        <f t="shared" si="38"/>
        <v>15759684.09109731</v>
      </c>
      <c r="S155" s="27">
        <f t="shared" si="39"/>
        <v>0</v>
      </c>
      <c r="T155" s="11">
        <f t="shared" si="43"/>
        <v>0</v>
      </c>
      <c r="U155" s="11">
        <f t="shared" si="40"/>
        <v>15759684.09109731</v>
      </c>
      <c r="V155" s="26">
        <f t="shared" si="41"/>
        <v>0</v>
      </c>
      <c r="W155" s="27">
        <f t="shared" si="42"/>
        <v>0</v>
      </c>
      <c r="X155" s="4">
        <v>7002</v>
      </c>
      <c r="Y155" s="4"/>
      <c r="Z155" s="4"/>
      <c r="AA155" s="12">
        <f t="shared" si="33"/>
        <v>1</v>
      </c>
      <c r="AC155" s="6" t="s">
        <v>463</v>
      </c>
      <c r="AD155" s="21" t="str">
        <f t="shared" si="44"/>
        <v>л-703800</v>
      </c>
      <c r="AE155" s="79" t="str">
        <f t="shared" si="45"/>
        <v>л</v>
      </c>
      <c r="AF155" s="21" t="str">
        <f t="shared" si="26"/>
        <v>Хоол унааны зардал</v>
      </c>
      <c r="AJ155" s="411"/>
      <c r="AK155" s="411"/>
      <c r="AL155" s="411"/>
      <c r="AM155" s="411"/>
      <c r="AN155" s="412"/>
      <c r="AO155" s="412"/>
    </row>
    <row r="156" spans="1:41" ht="12.75" customHeight="1">
      <c r="A156" s="24"/>
      <c r="B156" s="108">
        <f t="shared" si="34"/>
        <v>153</v>
      </c>
      <c r="C156" s="6">
        <v>700200</v>
      </c>
      <c r="D156" s="6" t="s">
        <v>590</v>
      </c>
      <c r="E156" s="9" t="s">
        <v>32</v>
      </c>
      <c r="F156" s="6"/>
      <c r="G156" s="6"/>
      <c r="H156" s="121"/>
      <c r="I156" s="121"/>
      <c r="J156" s="11">
        <f>+SUMIFS(JURNAL!G:G,JURNAL!E:E,C156,JURNAL!C:C,"&gt;="&amp;$H$1,JURNAL!C:C,"&lt;="&amp;$I$1)</f>
        <v>4845995.0308902692</v>
      </c>
      <c r="K156" s="11">
        <f>+SUMIFS(JURNAL!H:H,JURNAL!E:E,C156,JURNAL!C:C,"&gt;="&amp;$H$1,JURNAL!C:C,"&lt;="&amp;$I$1)</f>
        <v>2188595</v>
      </c>
      <c r="L156" s="26">
        <f t="shared" si="36"/>
        <v>2657400.0308902692</v>
      </c>
      <c r="M156" s="27">
        <f t="shared" si="37"/>
        <v>0</v>
      </c>
      <c r="N156" s="11"/>
      <c r="O156" s="11"/>
      <c r="P156" s="11"/>
      <c r="Q156" s="11"/>
      <c r="R156" s="26">
        <f t="shared" si="38"/>
        <v>2657400.0308902692</v>
      </c>
      <c r="S156" s="27">
        <f t="shared" si="39"/>
        <v>0</v>
      </c>
      <c r="T156" s="11">
        <f t="shared" si="43"/>
        <v>0</v>
      </c>
      <c r="U156" s="11">
        <f t="shared" si="40"/>
        <v>2657400.0308902692</v>
      </c>
      <c r="V156" s="26">
        <f t="shared" si="41"/>
        <v>0</v>
      </c>
      <c r="W156" s="27">
        <f t="shared" si="42"/>
        <v>0</v>
      </c>
      <c r="X156" s="4">
        <v>7002</v>
      </c>
      <c r="Y156" s="4"/>
      <c r="Z156" s="4"/>
      <c r="AA156" s="12">
        <f t="shared" si="33"/>
        <v>1</v>
      </c>
      <c r="AC156" s="6" t="s">
        <v>464</v>
      </c>
      <c r="AD156" s="21" t="str">
        <f t="shared" si="44"/>
        <v>р-703900</v>
      </c>
      <c r="AE156" s="79" t="str">
        <f t="shared" si="45"/>
        <v>р</v>
      </c>
      <c r="AF156" s="21" t="str">
        <f t="shared" si="26"/>
        <v>Үл хөдлөхийн татвар</v>
      </c>
      <c r="AJ156" s="411"/>
      <c r="AK156" s="411"/>
      <c r="AL156" s="411"/>
      <c r="AM156" s="411"/>
      <c r="AN156" s="412"/>
      <c r="AO156" s="412"/>
    </row>
    <row r="157" spans="1:41" ht="12.75" customHeight="1">
      <c r="A157" s="24"/>
      <c r="B157" s="108">
        <f t="shared" si="34"/>
        <v>154</v>
      </c>
      <c r="C157" s="6">
        <v>700700</v>
      </c>
      <c r="D157" s="6" t="s">
        <v>595</v>
      </c>
      <c r="E157" s="9" t="s">
        <v>32</v>
      </c>
      <c r="F157" s="6"/>
      <c r="G157" s="6"/>
      <c r="H157" s="121"/>
      <c r="I157" s="121"/>
      <c r="J157" s="11">
        <f>+SUMIFS(JURNAL!G:G,JURNAL!E:E,C157,JURNAL!C:C,"&gt;="&amp;$H$1,JURNAL!C:C,"&lt;="&amp;$I$1)</f>
        <v>5672984.5518181818</v>
      </c>
      <c r="K157" s="11">
        <f>+SUMIFS(JURNAL!H:H,JURNAL!E:E,C157,JURNAL!C:C,"&gt;="&amp;$H$1,JURNAL!C:C,"&lt;="&amp;$I$1)</f>
        <v>5389335.3200000003</v>
      </c>
      <c r="L157" s="26">
        <f t="shared" si="36"/>
        <v>283649.23181818146</v>
      </c>
      <c r="M157" s="27">
        <f t="shared" si="37"/>
        <v>0</v>
      </c>
      <c r="N157" s="11"/>
      <c r="O157" s="11"/>
      <c r="P157" s="11"/>
      <c r="Q157" s="11"/>
      <c r="R157" s="26">
        <f t="shared" si="38"/>
        <v>283649.23181818146</v>
      </c>
      <c r="S157" s="27">
        <f t="shared" si="39"/>
        <v>0</v>
      </c>
      <c r="T157" s="11">
        <f t="shared" si="43"/>
        <v>0</v>
      </c>
      <c r="U157" s="11">
        <f t="shared" si="40"/>
        <v>283649.23181818146</v>
      </c>
      <c r="V157" s="26">
        <f t="shared" si="41"/>
        <v>0</v>
      </c>
      <c r="W157" s="27">
        <f t="shared" si="42"/>
        <v>0</v>
      </c>
      <c r="X157" s="4">
        <v>7002</v>
      </c>
      <c r="Y157" s="4"/>
      <c r="Z157" s="4"/>
      <c r="AA157" s="12">
        <f t="shared" si="33"/>
        <v>1</v>
      </c>
      <c r="AC157" s="6" t="s">
        <v>465</v>
      </c>
      <c r="AD157" s="21" t="str">
        <f t="shared" si="44"/>
        <v>р-704000</v>
      </c>
      <c r="AE157" s="79" t="str">
        <f t="shared" si="45"/>
        <v>р</v>
      </c>
      <c r="AF157" s="21" t="str">
        <f t="shared" si="26"/>
        <v>Авто тээвэр, өөрөө явагч хэрэгслийн татвар</v>
      </c>
      <c r="AJ157" s="411"/>
      <c r="AK157" s="411"/>
      <c r="AL157" s="411"/>
      <c r="AM157" s="411"/>
      <c r="AN157" s="412"/>
      <c r="AO157" s="412"/>
    </row>
    <row r="158" spans="1:41" ht="12.75" customHeight="1">
      <c r="A158" s="24"/>
      <c r="B158" s="108">
        <f t="shared" si="34"/>
        <v>155</v>
      </c>
      <c r="C158" s="6">
        <v>700800</v>
      </c>
      <c r="D158" s="6" t="s">
        <v>600</v>
      </c>
      <c r="E158" s="9" t="s">
        <v>32</v>
      </c>
      <c r="F158" s="6"/>
      <c r="G158" s="6"/>
      <c r="H158" s="121"/>
      <c r="I158" s="121"/>
      <c r="J158" s="11">
        <f>+SUMIFS(JURNAL!G:G,JURNAL!E:E,C158,JURNAL!C:C,"&gt;="&amp;$H$1,JURNAL!C:C,"&lt;="&amp;$I$1)</f>
        <v>11913634.6</v>
      </c>
      <c r="K158" s="11">
        <f>+SUMIFS(JURNAL!H:H,JURNAL!E:E,C158,JURNAL!C:C,"&gt;="&amp;$H$1,JURNAL!C:C,"&lt;="&amp;$I$1)</f>
        <v>11317952.869999999</v>
      </c>
      <c r="L158" s="26">
        <f t="shared" si="36"/>
        <v>595681.73000000045</v>
      </c>
      <c r="M158" s="27">
        <f t="shared" si="37"/>
        <v>0</v>
      </c>
      <c r="N158" s="11"/>
      <c r="O158" s="11"/>
      <c r="P158" s="11"/>
      <c r="Q158" s="11"/>
      <c r="R158" s="26">
        <f t="shared" si="38"/>
        <v>595681.73000000045</v>
      </c>
      <c r="S158" s="27">
        <f t="shared" si="39"/>
        <v>0</v>
      </c>
      <c r="T158" s="11">
        <f t="shared" si="43"/>
        <v>0</v>
      </c>
      <c r="U158" s="11">
        <f t="shared" si="40"/>
        <v>595681.73000000045</v>
      </c>
      <c r="V158" s="26">
        <f t="shared" si="41"/>
        <v>0</v>
      </c>
      <c r="W158" s="27">
        <f t="shared" si="42"/>
        <v>0</v>
      </c>
      <c r="X158" s="4">
        <v>7002</v>
      </c>
      <c r="Y158" s="4"/>
      <c r="Z158" s="4"/>
      <c r="AA158" s="12">
        <f t="shared" si="33"/>
        <v>1</v>
      </c>
      <c r="AC158" s="6" t="s">
        <v>466</v>
      </c>
      <c r="AD158" s="21" t="str">
        <f t="shared" si="44"/>
        <v>ж-704100</v>
      </c>
      <c r="AE158" s="79" t="str">
        <f t="shared" si="45"/>
        <v>ж</v>
      </c>
      <c r="AF158" s="21" t="str">
        <f t="shared" si="26"/>
        <v>Газар, байгалийн нөөц ашигласны төлбөр, хураамж</v>
      </c>
      <c r="AJ158" s="411"/>
      <c r="AK158" s="411"/>
      <c r="AL158" s="411"/>
      <c r="AM158" s="411"/>
      <c r="AN158" s="412"/>
      <c r="AO158" s="412"/>
    </row>
    <row r="159" spans="1:41" ht="12.75" customHeight="1">
      <c r="A159" s="24"/>
      <c r="B159" s="108">
        <f t="shared" si="34"/>
        <v>156</v>
      </c>
      <c r="C159" s="6">
        <v>700900</v>
      </c>
      <c r="D159" s="6" t="s">
        <v>605</v>
      </c>
      <c r="E159" s="9" t="s">
        <v>32</v>
      </c>
      <c r="F159" s="6"/>
      <c r="G159" s="6"/>
      <c r="H159" s="121"/>
      <c r="I159" s="121"/>
      <c r="J159" s="11">
        <f>+SUMIFS(JURNAL!G:G,JURNAL!E:E,C159,JURNAL!C:C,"&gt;="&amp;$H$1,JURNAL!C:C,"&lt;="&amp;$I$1)</f>
        <v>22296165.25</v>
      </c>
      <c r="K159" s="11">
        <f>+SUMIFS(JURNAL!H:H,JURNAL!E:E,C159,JURNAL!C:C,"&gt;="&amp;$H$1,JURNAL!C:C,"&lt;="&amp;$I$1)</f>
        <v>21679660.25</v>
      </c>
      <c r="L159" s="26">
        <f t="shared" si="36"/>
        <v>616505</v>
      </c>
      <c r="M159" s="27">
        <f t="shared" si="37"/>
        <v>0</v>
      </c>
      <c r="N159" s="11"/>
      <c r="O159" s="11"/>
      <c r="P159" s="11"/>
      <c r="Q159" s="11"/>
      <c r="R159" s="26">
        <f t="shared" si="38"/>
        <v>616505</v>
      </c>
      <c r="S159" s="27">
        <f t="shared" si="39"/>
        <v>0</v>
      </c>
      <c r="T159" s="11">
        <f t="shared" si="43"/>
        <v>0</v>
      </c>
      <c r="U159" s="11">
        <f t="shared" si="40"/>
        <v>616505</v>
      </c>
      <c r="V159" s="26">
        <f t="shared" si="41"/>
        <v>0</v>
      </c>
      <c r="W159" s="27">
        <f t="shared" si="42"/>
        <v>0</v>
      </c>
      <c r="X159" s="4">
        <v>7002</v>
      </c>
      <c r="Y159" s="4"/>
      <c r="Z159" s="4"/>
      <c r="AA159" s="12">
        <f t="shared" si="33"/>
        <v>1</v>
      </c>
      <c r="AC159" s="6" t="s">
        <v>467</v>
      </c>
      <c r="AD159" s="21" t="str">
        <f t="shared" si="44"/>
        <v>р-704200</v>
      </c>
      <c r="AE159" s="79" t="str">
        <f t="shared" si="45"/>
        <v>р</v>
      </c>
      <c r="AF159" s="21" t="str">
        <f t="shared" si="26"/>
        <v>Бууны татвар</v>
      </c>
      <c r="AJ159" s="411"/>
      <c r="AK159" s="411"/>
      <c r="AL159" s="411"/>
      <c r="AM159" s="411"/>
      <c r="AN159" s="412"/>
      <c r="AO159" s="412"/>
    </row>
    <row r="160" spans="1:41" ht="12.75" customHeight="1">
      <c r="A160" s="24"/>
      <c r="B160" s="108">
        <f t="shared" si="34"/>
        <v>157</v>
      </c>
      <c r="C160" s="6">
        <v>701000</v>
      </c>
      <c r="D160" s="6" t="s">
        <v>610</v>
      </c>
      <c r="E160" s="9" t="s">
        <v>32</v>
      </c>
      <c r="F160" s="6"/>
      <c r="G160" s="6"/>
      <c r="H160" s="121"/>
      <c r="I160" s="121"/>
      <c r="J160" s="11">
        <f>+SUMIFS(JURNAL!G:G,JURNAL!E:E,C160,JURNAL!C:C,"&gt;="&amp;$H$1,JURNAL!C:C,"&lt;="&amp;$I$1)</f>
        <v>0</v>
      </c>
      <c r="K160" s="11">
        <f>+SUMIFS(JURNAL!H:H,JURNAL!E:E,C160,JURNAL!C:C,"&gt;="&amp;$H$1,JURNAL!C:C,"&lt;="&amp;$I$1)</f>
        <v>0</v>
      </c>
      <c r="L160" s="26">
        <f t="shared" si="36"/>
        <v>0</v>
      </c>
      <c r="M160" s="27">
        <f t="shared" si="37"/>
        <v>0</v>
      </c>
      <c r="N160" s="11"/>
      <c r="O160" s="11"/>
      <c r="P160" s="11"/>
      <c r="Q160" s="11"/>
      <c r="R160" s="26">
        <f t="shared" si="38"/>
        <v>0</v>
      </c>
      <c r="S160" s="27">
        <f t="shared" si="39"/>
        <v>0</v>
      </c>
      <c r="T160" s="11">
        <f t="shared" si="43"/>
        <v>0</v>
      </c>
      <c r="U160" s="11">
        <f t="shared" si="40"/>
        <v>0</v>
      </c>
      <c r="V160" s="26">
        <f t="shared" si="41"/>
        <v>0</v>
      </c>
      <c r="W160" s="27">
        <f t="shared" si="42"/>
        <v>0</v>
      </c>
      <c r="X160" s="4">
        <v>7002</v>
      </c>
      <c r="Y160" s="4"/>
      <c r="Z160" s="4"/>
      <c r="AA160" s="12">
        <f t="shared" si="33"/>
        <v>0</v>
      </c>
      <c r="AC160" s="6" t="s">
        <v>468</v>
      </c>
      <c r="AD160" s="21" t="str">
        <f t="shared" si="44"/>
        <v>л-704300</v>
      </c>
      <c r="AE160" s="79" t="str">
        <f t="shared" si="45"/>
        <v>л</v>
      </c>
      <c r="AF160" s="21" t="str">
        <f t="shared" si="26"/>
        <v>Лицензийн зардал</v>
      </c>
      <c r="AJ160" s="411"/>
      <c r="AK160" s="411"/>
      <c r="AL160" s="411"/>
      <c r="AM160" s="411"/>
      <c r="AN160" s="412"/>
      <c r="AO160" s="412"/>
    </row>
    <row r="161" spans="1:41" ht="12.75" customHeight="1">
      <c r="A161" s="24"/>
      <c r="B161" s="108">
        <f t="shared" si="34"/>
        <v>158</v>
      </c>
      <c r="C161" s="6">
        <v>701100</v>
      </c>
      <c r="D161" s="6" t="s">
        <v>272</v>
      </c>
      <c r="E161" s="9" t="s">
        <v>32</v>
      </c>
      <c r="F161" s="6"/>
      <c r="G161" s="6"/>
      <c r="H161" s="121"/>
      <c r="I161" s="121"/>
      <c r="J161" s="11">
        <f>+SUMIFS(JURNAL!G:G,JURNAL!E:E,C161,JURNAL!C:C,"&gt;="&amp;$H$1,JURNAL!C:C,"&lt;="&amp;$I$1)</f>
        <v>0</v>
      </c>
      <c r="K161" s="11">
        <f>+SUMIFS(JURNAL!H:H,JURNAL!E:E,C161,JURNAL!C:C,"&gt;="&amp;$H$1,JURNAL!C:C,"&lt;="&amp;$I$1)</f>
        <v>0</v>
      </c>
      <c r="L161" s="26">
        <f t="shared" si="36"/>
        <v>0</v>
      </c>
      <c r="M161" s="27">
        <f t="shared" si="37"/>
        <v>0</v>
      </c>
      <c r="N161" s="11"/>
      <c r="O161" s="11"/>
      <c r="P161" s="11"/>
      <c r="Q161" s="11"/>
      <c r="R161" s="26">
        <f t="shared" si="38"/>
        <v>0</v>
      </c>
      <c r="S161" s="27">
        <f t="shared" si="39"/>
        <v>0</v>
      </c>
      <c r="T161" s="11">
        <f t="shared" si="43"/>
        <v>0</v>
      </c>
      <c r="U161" s="11">
        <f t="shared" si="40"/>
        <v>0</v>
      </c>
      <c r="V161" s="26">
        <f t="shared" si="41"/>
        <v>0</v>
      </c>
      <c r="W161" s="27">
        <f t="shared" si="42"/>
        <v>0</v>
      </c>
      <c r="X161" s="4">
        <v>7002</v>
      </c>
      <c r="Y161" s="4"/>
      <c r="Z161" s="4"/>
      <c r="AA161" s="12">
        <f t="shared" si="33"/>
        <v>0</v>
      </c>
      <c r="AC161" s="6" t="s">
        <v>469</v>
      </c>
      <c r="AD161" s="21" t="str">
        <f t="shared" si="44"/>
        <v>а-704400</v>
      </c>
      <c r="AE161" s="79" t="str">
        <f t="shared" si="45"/>
        <v>а</v>
      </c>
      <c r="AF161" s="21" t="str">
        <f t="shared" si="26"/>
        <v>Хэвлэл захиалга</v>
      </c>
      <c r="AJ161" s="411"/>
      <c r="AK161" s="411"/>
      <c r="AL161" s="411"/>
      <c r="AM161" s="411"/>
      <c r="AN161" s="412"/>
      <c r="AO161" s="412"/>
    </row>
    <row r="162" spans="1:41" ht="12.75" customHeight="1">
      <c r="A162" s="24"/>
      <c r="B162" s="108">
        <f t="shared" si="34"/>
        <v>159</v>
      </c>
      <c r="C162" s="6">
        <v>701200</v>
      </c>
      <c r="D162" s="6" t="s">
        <v>273</v>
      </c>
      <c r="E162" s="9" t="s">
        <v>32</v>
      </c>
      <c r="F162" s="6"/>
      <c r="G162" s="6"/>
      <c r="H162" s="121"/>
      <c r="I162" s="121"/>
      <c r="J162" s="11">
        <f>+SUMIFS(JURNAL!G:G,JURNAL!E:E,C162,JURNAL!C:C,"&gt;="&amp;$H$1,JURNAL!C:C,"&lt;="&amp;$I$1)</f>
        <v>0</v>
      </c>
      <c r="K162" s="11">
        <f>+SUMIFS(JURNAL!H:H,JURNAL!E:E,C162,JURNAL!C:C,"&gt;="&amp;$H$1,JURNAL!C:C,"&lt;="&amp;$I$1)</f>
        <v>0</v>
      </c>
      <c r="L162" s="26">
        <f t="shared" si="36"/>
        <v>0</v>
      </c>
      <c r="M162" s="27">
        <f t="shared" si="37"/>
        <v>0</v>
      </c>
      <c r="N162" s="11"/>
      <c r="O162" s="11"/>
      <c r="P162" s="11"/>
      <c r="Q162" s="11"/>
      <c r="R162" s="26">
        <f t="shared" si="38"/>
        <v>0</v>
      </c>
      <c r="S162" s="27">
        <f t="shared" si="39"/>
        <v>0</v>
      </c>
      <c r="T162" s="11">
        <f t="shared" si="43"/>
        <v>0</v>
      </c>
      <c r="U162" s="11">
        <f t="shared" si="40"/>
        <v>0</v>
      </c>
      <c r="V162" s="26">
        <f t="shared" si="41"/>
        <v>0</v>
      </c>
      <c r="W162" s="27">
        <f t="shared" si="42"/>
        <v>0</v>
      </c>
      <c r="X162" s="4">
        <v>7002</v>
      </c>
      <c r="Y162" s="4"/>
      <c r="Z162" s="4"/>
      <c r="AA162" s="12">
        <f t="shared" si="33"/>
        <v>0</v>
      </c>
      <c r="AC162" s="6" t="s">
        <v>470</v>
      </c>
      <c r="AD162" s="21" t="str">
        <f t="shared" si="44"/>
        <v>л-704600</v>
      </c>
      <c r="AE162" s="79" t="str">
        <f t="shared" si="45"/>
        <v>л</v>
      </c>
      <c r="AF162" s="21" t="str">
        <f t="shared" si="26"/>
        <v>Хөдөлмөр хамгаалалын зардал</v>
      </c>
      <c r="AJ162" s="411"/>
      <c r="AK162" s="411"/>
      <c r="AL162" s="411"/>
      <c r="AM162" s="411"/>
      <c r="AN162" s="412"/>
      <c r="AO162" s="412"/>
    </row>
    <row r="163" spans="1:41" ht="12.75" customHeight="1">
      <c r="A163" s="24"/>
      <c r="B163" s="108">
        <f t="shared" si="34"/>
        <v>160</v>
      </c>
      <c r="C163" s="6">
        <v>701300</v>
      </c>
      <c r="D163" s="6" t="s">
        <v>274</v>
      </c>
      <c r="E163" s="9" t="s">
        <v>32</v>
      </c>
      <c r="F163" s="6"/>
      <c r="G163" s="6"/>
      <c r="H163" s="121"/>
      <c r="I163" s="121"/>
      <c r="J163" s="11">
        <f>+SUMIFS(JURNAL!G:G,JURNAL!E:E,C163,JURNAL!C:C,"&gt;="&amp;$H$1,JURNAL!C:C,"&lt;="&amp;$I$1)</f>
        <v>0</v>
      </c>
      <c r="K163" s="11">
        <f>+SUMIFS(JURNAL!H:H,JURNAL!E:E,C163,JURNAL!C:C,"&gt;="&amp;$H$1,JURNAL!C:C,"&lt;="&amp;$I$1)</f>
        <v>0</v>
      </c>
      <c r="L163" s="26">
        <f t="shared" si="36"/>
        <v>0</v>
      </c>
      <c r="M163" s="27">
        <f t="shared" si="37"/>
        <v>0</v>
      </c>
      <c r="N163" s="11"/>
      <c r="O163" s="11"/>
      <c r="P163" s="11"/>
      <c r="Q163" s="11"/>
      <c r="R163" s="26">
        <f t="shared" si="38"/>
        <v>0</v>
      </c>
      <c r="S163" s="27">
        <f t="shared" si="39"/>
        <v>0</v>
      </c>
      <c r="T163" s="11">
        <f t="shared" si="43"/>
        <v>0</v>
      </c>
      <c r="U163" s="11">
        <f t="shared" si="40"/>
        <v>0</v>
      </c>
      <c r="V163" s="26">
        <f t="shared" si="41"/>
        <v>0</v>
      </c>
      <c r="W163" s="27">
        <f t="shared" si="42"/>
        <v>0</v>
      </c>
      <c r="X163" s="4">
        <v>7002</v>
      </c>
      <c r="Y163" s="4"/>
      <c r="Z163" s="4"/>
      <c r="AA163" s="12">
        <f t="shared" si="33"/>
        <v>0</v>
      </c>
      <c r="AC163" s="6" t="s">
        <v>471</v>
      </c>
      <c r="AD163" s="21" t="str">
        <f t="shared" si="44"/>
        <v>э-704700</v>
      </c>
      <c r="AE163" s="79" t="str">
        <f t="shared" si="45"/>
        <v>э</v>
      </c>
      <c r="AF163" s="21" t="str">
        <f t="shared" si="26"/>
        <v>Цэвэрлэгээ</v>
      </c>
      <c r="AJ163" s="411"/>
      <c r="AK163" s="411"/>
      <c r="AL163" s="411"/>
      <c r="AM163" s="411"/>
      <c r="AN163" s="412"/>
      <c r="AO163" s="412"/>
    </row>
    <row r="164" spans="1:41" ht="12.75" customHeight="1">
      <c r="A164" s="24"/>
      <c r="B164" s="108">
        <f t="shared" si="34"/>
        <v>161</v>
      </c>
      <c r="C164" s="6">
        <v>701400</v>
      </c>
      <c r="D164" s="6" t="s">
        <v>271</v>
      </c>
      <c r="E164" s="9" t="s">
        <v>32</v>
      </c>
      <c r="F164" s="6"/>
      <c r="G164" s="6"/>
      <c r="H164" s="121"/>
      <c r="I164" s="121"/>
      <c r="J164" s="11">
        <f>+SUMIFS(JURNAL!G:G,JURNAL!E:E,C164,JURNAL!C:C,"&gt;="&amp;$H$1,JURNAL!C:C,"&lt;="&amp;$I$1)</f>
        <v>0</v>
      </c>
      <c r="K164" s="11">
        <f>+SUMIFS(JURNAL!H:H,JURNAL!E:E,C164,JURNAL!C:C,"&gt;="&amp;$H$1,JURNAL!C:C,"&lt;="&amp;$I$1)</f>
        <v>0</v>
      </c>
      <c r="L164" s="26">
        <f t="shared" si="36"/>
        <v>0</v>
      </c>
      <c r="M164" s="27">
        <f t="shared" si="37"/>
        <v>0</v>
      </c>
      <c r="N164" s="11"/>
      <c r="O164" s="11"/>
      <c r="P164" s="11"/>
      <c r="Q164" s="11"/>
      <c r="R164" s="26">
        <f t="shared" si="38"/>
        <v>0</v>
      </c>
      <c r="S164" s="27">
        <f t="shared" si="39"/>
        <v>0</v>
      </c>
      <c r="T164" s="11">
        <f t="shared" si="43"/>
        <v>0</v>
      </c>
      <c r="U164" s="11">
        <f t="shared" si="40"/>
        <v>0</v>
      </c>
      <c r="V164" s="26">
        <f t="shared" si="41"/>
        <v>0</v>
      </c>
      <c r="W164" s="27">
        <f t="shared" si="42"/>
        <v>0</v>
      </c>
      <c r="X164" s="4">
        <v>7002</v>
      </c>
      <c r="Y164" s="4"/>
      <c r="Z164" s="4"/>
      <c r="AA164" s="12">
        <f t="shared" si="33"/>
        <v>0</v>
      </c>
      <c r="AC164" s="6" t="s">
        <v>472</v>
      </c>
      <c r="AD164" s="21" t="str">
        <f t="shared" si="44"/>
        <v>с-704800</v>
      </c>
      <c r="AE164" s="79" t="str">
        <f t="shared" si="45"/>
        <v>с</v>
      </c>
      <c r="AF164" s="21" t="str">
        <f t="shared" si="26"/>
        <v>Хангамжийн зүйлс</v>
      </c>
      <c r="AJ164" s="411"/>
      <c r="AK164" s="411"/>
      <c r="AL164" s="411"/>
      <c r="AM164" s="411"/>
      <c r="AN164" s="412"/>
      <c r="AO164" s="412"/>
    </row>
    <row r="165" spans="1:41" ht="12.75" customHeight="1">
      <c r="A165" s="24"/>
      <c r="B165" s="108">
        <f t="shared" si="34"/>
        <v>162</v>
      </c>
      <c r="C165" s="6">
        <v>701500</v>
      </c>
      <c r="D165" s="6" t="s">
        <v>629</v>
      </c>
      <c r="E165" s="9" t="s">
        <v>32</v>
      </c>
      <c r="F165" s="6"/>
      <c r="G165" s="6"/>
      <c r="H165" s="121"/>
      <c r="I165" s="121"/>
      <c r="J165" s="11">
        <f>+SUMIFS(JURNAL!G:G,JURNAL!E:E,C165,JURNAL!C:C,"&gt;="&amp;$H$1,JURNAL!C:C,"&lt;="&amp;$I$1)</f>
        <v>0</v>
      </c>
      <c r="K165" s="11">
        <f>+SUMIFS(JURNAL!H:H,JURNAL!E:E,C165,JURNAL!C:C,"&gt;="&amp;$H$1,JURNAL!C:C,"&lt;="&amp;$I$1)</f>
        <v>0</v>
      </c>
      <c r="L165" s="26">
        <f t="shared" si="36"/>
        <v>0</v>
      </c>
      <c r="M165" s="27">
        <f t="shared" si="37"/>
        <v>0</v>
      </c>
      <c r="N165" s="11"/>
      <c r="O165" s="11"/>
      <c r="P165" s="11"/>
      <c r="Q165" s="11"/>
      <c r="R165" s="26">
        <f t="shared" si="38"/>
        <v>0</v>
      </c>
      <c r="S165" s="27">
        <f t="shared" si="39"/>
        <v>0</v>
      </c>
      <c r="T165" s="11">
        <f t="shared" si="43"/>
        <v>0</v>
      </c>
      <c r="U165" s="11">
        <f t="shared" si="40"/>
        <v>0</v>
      </c>
      <c r="V165" s="26">
        <f t="shared" si="41"/>
        <v>0</v>
      </c>
      <c r="W165" s="27">
        <f t="shared" si="42"/>
        <v>0</v>
      </c>
      <c r="X165" s="4">
        <v>7002</v>
      </c>
      <c r="Y165" s="4"/>
      <c r="Z165" s="4"/>
      <c r="AA165" s="12">
        <f t="shared" si="33"/>
        <v>0</v>
      </c>
      <c r="AC165" s="6" t="s">
        <v>473</v>
      </c>
      <c r="AD165" s="21" t="str">
        <f t="shared" si="44"/>
        <v>э-704900</v>
      </c>
      <c r="AE165" s="79" t="str">
        <f t="shared" si="45"/>
        <v>э</v>
      </c>
      <c r="AF165" s="21" t="str">
        <f t="shared" si="26"/>
        <v>Банкны үйлчилгээ</v>
      </c>
      <c r="AJ165" s="411"/>
      <c r="AK165" s="411"/>
      <c r="AL165" s="411"/>
      <c r="AM165" s="411"/>
      <c r="AN165" s="412"/>
      <c r="AO165" s="412"/>
    </row>
    <row r="166" spans="1:41" ht="12.75" customHeight="1">
      <c r="A166" s="24"/>
      <c r="B166" s="108">
        <f t="shared" si="34"/>
        <v>163</v>
      </c>
      <c r="C166" s="6">
        <v>701600</v>
      </c>
      <c r="D166" s="6" t="s">
        <v>635</v>
      </c>
      <c r="E166" s="9" t="s">
        <v>32</v>
      </c>
      <c r="F166" s="6"/>
      <c r="G166" s="6"/>
      <c r="H166" s="121"/>
      <c r="I166" s="121"/>
      <c r="J166" s="11">
        <f>+SUMIFS(JURNAL!G:G,JURNAL!E:E,C166,JURNAL!C:C,"&gt;="&amp;$H$1,JURNAL!C:C,"&lt;="&amp;$I$1)</f>
        <v>27334200.370000001</v>
      </c>
      <c r="K166" s="11">
        <f>+SUMIFS(JURNAL!H:H,JURNAL!E:E,C166,JURNAL!C:C,"&gt;="&amp;$H$1,JURNAL!C:C,"&lt;="&amp;$I$1)</f>
        <v>20351377.649999999</v>
      </c>
      <c r="L166" s="26">
        <f t="shared" si="36"/>
        <v>6982822.7200000025</v>
      </c>
      <c r="M166" s="27">
        <f t="shared" si="37"/>
        <v>0</v>
      </c>
      <c r="N166" s="11"/>
      <c r="O166" s="11"/>
      <c r="P166" s="11"/>
      <c r="Q166" s="11"/>
      <c r="R166" s="26">
        <f t="shared" si="38"/>
        <v>6982822.7200000025</v>
      </c>
      <c r="S166" s="27">
        <f t="shared" si="39"/>
        <v>0</v>
      </c>
      <c r="T166" s="11">
        <f t="shared" si="43"/>
        <v>0</v>
      </c>
      <c r="U166" s="11">
        <f t="shared" si="40"/>
        <v>6982822.7200000025</v>
      </c>
      <c r="V166" s="26">
        <f t="shared" si="41"/>
        <v>0</v>
      </c>
      <c r="W166" s="27">
        <f t="shared" si="42"/>
        <v>0</v>
      </c>
      <c r="X166" s="4">
        <v>7002</v>
      </c>
      <c r="Y166" s="4"/>
      <c r="Z166" s="4"/>
      <c r="AA166" s="12">
        <f t="shared" si="33"/>
        <v>1</v>
      </c>
      <c r="AC166" s="6" t="s">
        <v>474</v>
      </c>
      <c r="AD166" s="21" t="str">
        <f t="shared" si="44"/>
        <v>л-705000</v>
      </c>
      <c r="AE166" s="79" t="str">
        <f t="shared" si="45"/>
        <v>л</v>
      </c>
      <c r="AF166" s="21" t="str">
        <f t="shared" si="26"/>
        <v>Бараа материалын хэвийн хорогдол</v>
      </c>
      <c r="AJ166" s="411"/>
      <c r="AK166" s="411"/>
      <c r="AL166" s="411"/>
      <c r="AM166" s="411"/>
      <c r="AN166" s="412"/>
      <c r="AO166" s="412"/>
    </row>
    <row r="167" spans="1:41" ht="12.75" customHeight="1">
      <c r="A167" s="24"/>
      <c r="B167" s="108">
        <f t="shared" si="34"/>
        <v>164</v>
      </c>
      <c r="C167" s="6">
        <v>701700</v>
      </c>
      <c r="D167" s="6" t="s">
        <v>275</v>
      </c>
      <c r="E167" s="9" t="s">
        <v>32</v>
      </c>
      <c r="F167" s="6"/>
      <c r="G167" s="6"/>
      <c r="H167" s="121"/>
      <c r="I167" s="121"/>
      <c r="J167" s="11">
        <f>+SUMIFS(JURNAL!G:G,JURNAL!E:E,C167,JURNAL!C:C,"&gt;="&amp;$H$1,JURNAL!C:C,"&lt;="&amp;$I$1)</f>
        <v>0</v>
      </c>
      <c r="K167" s="11">
        <f>+SUMIFS(JURNAL!H:H,JURNAL!E:E,C167,JURNAL!C:C,"&gt;="&amp;$H$1,JURNAL!C:C,"&lt;="&amp;$I$1)</f>
        <v>0</v>
      </c>
      <c r="L167" s="26">
        <f t="shared" si="36"/>
        <v>0</v>
      </c>
      <c r="M167" s="27">
        <f t="shared" si="37"/>
        <v>0</v>
      </c>
      <c r="N167" s="11"/>
      <c r="O167" s="11"/>
      <c r="P167" s="11"/>
      <c r="Q167" s="11"/>
      <c r="R167" s="26">
        <f t="shared" si="38"/>
        <v>0</v>
      </c>
      <c r="S167" s="27">
        <f t="shared" si="39"/>
        <v>0</v>
      </c>
      <c r="T167" s="11">
        <f t="shared" si="43"/>
        <v>0</v>
      </c>
      <c r="U167" s="11">
        <f t="shared" si="40"/>
        <v>0</v>
      </c>
      <c r="V167" s="26">
        <f t="shared" si="41"/>
        <v>0</v>
      </c>
      <c r="W167" s="27">
        <f t="shared" si="42"/>
        <v>0</v>
      </c>
      <c r="X167" s="4">
        <v>7001</v>
      </c>
      <c r="Y167" s="4"/>
      <c r="Z167" s="4"/>
      <c r="AA167" s="12">
        <f t="shared" si="33"/>
        <v>0</v>
      </c>
      <c r="AC167" s="6" t="s">
        <v>475</v>
      </c>
      <c r="AD167" s="21" t="str">
        <f t="shared" si="44"/>
        <v>т-705800</v>
      </c>
      <c r="AE167" s="79" t="str">
        <f t="shared" si="45"/>
        <v>т</v>
      </c>
      <c r="AF167" s="21" t="str">
        <f t="shared" si="26"/>
        <v>Харуул хамгаалалт</v>
      </c>
      <c r="AJ167" s="411"/>
      <c r="AK167" s="411"/>
      <c r="AL167" s="411"/>
      <c r="AM167" s="411"/>
      <c r="AN167" s="412"/>
      <c r="AO167" s="412"/>
    </row>
    <row r="168" spans="1:41" ht="12.75" customHeight="1">
      <c r="A168" s="24"/>
      <c r="B168" s="108">
        <f t="shared" si="34"/>
        <v>165</v>
      </c>
      <c r="C168" s="6">
        <v>701800</v>
      </c>
      <c r="D168" s="6" t="s">
        <v>644</v>
      </c>
      <c r="E168" s="9" t="s">
        <v>32</v>
      </c>
      <c r="F168" s="6"/>
      <c r="G168" s="6"/>
      <c r="H168" s="121"/>
      <c r="I168" s="121"/>
      <c r="J168" s="11">
        <f>+SUMIFS(JURNAL!G:G,JURNAL!E:E,C168,JURNAL!C:C,"&gt;="&amp;$H$1,JURNAL!C:C,"&lt;="&amp;$I$1)</f>
        <v>0</v>
      </c>
      <c r="K168" s="11">
        <f>+SUMIFS(JURNAL!H:H,JURNAL!E:E,C168,JURNAL!C:C,"&gt;="&amp;$H$1,JURNAL!C:C,"&lt;="&amp;$I$1)</f>
        <v>0</v>
      </c>
      <c r="L168" s="26">
        <f t="shared" si="36"/>
        <v>0</v>
      </c>
      <c r="M168" s="27">
        <f t="shared" si="37"/>
        <v>0</v>
      </c>
      <c r="N168" s="11"/>
      <c r="O168" s="11"/>
      <c r="P168" s="11"/>
      <c r="Q168" s="11"/>
      <c r="R168" s="26">
        <f t="shared" si="38"/>
        <v>0</v>
      </c>
      <c r="S168" s="27">
        <f t="shared" si="39"/>
        <v>0</v>
      </c>
      <c r="T168" s="11">
        <f t="shared" si="43"/>
        <v>0</v>
      </c>
      <c r="U168" s="11">
        <f t="shared" si="40"/>
        <v>0</v>
      </c>
      <c r="V168" s="26">
        <f t="shared" si="41"/>
        <v>0</v>
      </c>
      <c r="W168" s="27">
        <f t="shared" si="42"/>
        <v>0</v>
      </c>
      <c r="X168" s="4">
        <v>7002</v>
      </c>
      <c r="Y168" s="4"/>
      <c r="Z168" s="4"/>
      <c r="AA168" s="12">
        <f t="shared" si="33"/>
        <v>0</v>
      </c>
      <c r="AC168" s="6" t="s">
        <v>476</v>
      </c>
      <c r="AD168" s="21" t="str">
        <f t="shared" si="44"/>
        <v>л-705900</v>
      </c>
      <c r="AE168" s="79" t="str">
        <f t="shared" si="45"/>
        <v>л</v>
      </c>
      <c r="AF168" s="21" t="str">
        <f t="shared" si="26"/>
        <v>Эрэл хайгуулын зардал, БОНС зардал</v>
      </c>
      <c r="AJ168" s="411"/>
      <c r="AK168" s="411"/>
      <c r="AL168" s="411"/>
      <c r="AM168" s="411"/>
      <c r="AN168" s="412"/>
      <c r="AO168" s="412"/>
    </row>
    <row r="169" spans="1:41" ht="12.75" customHeight="1">
      <c r="A169" s="24"/>
      <c r="B169" s="108">
        <f t="shared" si="34"/>
        <v>166</v>
      </c>
      <c r="C169" s="6">
        <v>701900</v>
      </c>
      <c r="D169" s="6" t="s">
        <v>648</v>
      </c>
      <c r="E169" s="9" t="s">
        <v>32</v>
      </c>
      <c r="F169" s="6"/>
      <c r="G169" s="6"/>
      <c r="H169" s="121"/>
      <c r="I169" s="121"/>
      <c r="J169" s="11">
        <f>+SUMIFS(JURNAL!G:G,JURNAL!E:E,C169,JURNAL!C:C,"&gt;="&amp;$H$1,JURNAL!C:C,"&lt;="&amp;$I$1)</f>
        <v>917800</v>
      </c>
      <c r="K169" s="11">
        <f>+SUMIFS(JURNAL!H:H,JURNAL!E:E,C169,JURNAL!C:C,"&gt;="&amp;$H$1,JURNAL!C:C,"&lt;="&amp;$I$1)</f>
        <v>0</v>
      </c>
      <c r="L169" s="26">
        <f t="shared" si="36"/>
        <v>917800</v>
      </c>
      <c r="M169" s="27">
        <f t="shared" si="37"/>
        <v>0</v>
      </c>
      <c r="N169" s="11"/>
      <c r="O169" s="11"/>
      <c r="P169" s="11"/>
      <c r="Q169" s="11"/>
      <c r="R169" s="26">
        <f t="shared" si="38"/>
        <v>917800</v>
      </c>
      <c r="S169" s="27">
        <f t="shared" si="39"/>
        <v>0</v>
      </c>
      <c r="T169" s="11">
        <f t="shared" si="43"/>
        <v>0</v>
      </c>
      <c r="U169" s="11">
        <f t="shared" si="40"/>
        <v>917800</v>
      </c>
      <c r="V169" s="26">
        <f t="shared" si="41"/>
        <v>0</v>
      </c>
      <c r="W169" s="27">
        <f t="shared" si="42"/>
        <v>0</v>
      </c>
      <c r="X169" s="4">
        <v>7002</v>
      </c>
      <c r="Y169" s="4"/>
      <c r="Z169" s="4"/>
      <c r="AA169" s="12">
        <f t="shared" si="33"/>
        <v>1</v>
      </c>
      <c r="AC169" s="6" t="s">
        <v>477</v>
      </c>
      <c r="AD169" s="21" t="str">
        <f t="shared" si="44"/>
        <v>л-706000</v>
      </c>
      <c r="AE169" s="79" t="str">
        <f t="shared" si="45"/>
        <v>л</v>
      </c>
      <c r="AF169" s="21" t="str">
        <f t="shared" si="26"/>
        <v>Бусад зардал</v>
      </c>
      <c r="AJ169" s="411"/>
      <c r="AK169" s="411"/>
      <c r="AL169" s="411"/>
      <c r="AM169" s="411"/>
      <c r="AN169" s="412"/>
      <c r="AO169" s="412"/>
    </row>
    <row r="170" spans="1:41" ht="12.75" customHeight="1">
      <c r="A170" s="24"/>
      <c r="B170" s="108">
        <f t="shared" si="34"/>
        <v>167</v>
      </c>
      <c r="C170" s="6">
        <v>702000</v>
      </c>
      <c r="D170" s="6" t="s">
        <v>652</v>
      </c>
      <c r="E170" s="9" t="s">
        <v>32</v>
      </c>
      <c r="F170" s="6"/>
      <c r="G170" s="6"/>
      <c r="H170" s="121"/>
      <c r="I170" s="121"/>
      <c r="J170" s="11">
        <f>+SUMIFS(JURNAL!G:G,JURNAL!E:E,C170,JURNAL!C:C,"&gt;="&amp;$H$1,JURNAL!C:C,"&lt;="&amp;$I$1)</f>
        <v>584045.45090909081</v>
      </c>
      <c r="K170" s="11">
        <f>+SUMIFS(JURNAL!H:H,JURNAL!E:E,C170,JURNAL!C:C,"&gt;="&amp;$H$1,JURNAL!C:C,"&lt;="&amp;$I$1)</f>
        <v>13590.9</v>
      </c>
      <c r="L170" s="26">
        <f t="shared" si="36"/>
        <v>570454.55090909079</v>
      </c>
      <c r="M170" s="27">
        <f t="shared" si="37"/>
        <v>0</v>
      </c>
      <c r="N170" s="11"/>
      <c r="O170" s="11"/>
      <c r="P170" s="11"/>
      <c r="Q170" s="11"/>
      <c r="R170" s="26">
        <f t="shared" si="38"/>
        <v>570454.55090909079</v>
      </c>
      <c r="S170" s="27">
        <f t="shared" si="39"/>
        <v>0</v>
      </c>
      <c r="T170" s="11">
        <f t="shared" si="43"/>
        <v>0</v>
      </c>
      <c r="U170" s="11">
        <f t="shared" si="40"/>
        <v>570454.55090909079</v>
      </c>
      <c r="V170" s="26">
        <f t="shared" si="41"/>
        <v>0</v>
      </c>
      <c r="W170" s="27">
        <f t="shared" si="42"/>
        <v>0</v>
      </c>
      <c r="X170" s="4">
        <v>7002</v>
      </c>
      <c r="Y170" s="4"/>
      <c r="Z170" s="4"/>
      <c r="AA170" s="12">
        <f t="shared" si="33"/>
        <v>1</v>
      </c>
      <c r="AC170" s="6" t="s">
        <v>478</v>
      </c>
      <c r="AD170" s="21" t="str">
        <f t="shared" si="44"/>
        <v>о-840000</v>
      </c>
      <c r="AE170" s="79" t="str">
        <f t="shared" si="45"/>
        <v>о</v>
      </c>
      <c r="AF170" s="21" t="str">
        <f t="shared" si="26"/>
        <v>Үндсэн бус үйл ажиллагааны орлого</v>
      </c>
      <c r="AJ170" s="411"/>
      <c r="AK170" s="411"/>
      <c r="AL170" s="411"/>
      <c r="AM170" s="411"/>
      <c r="AN170" s="412"/>
      <c r="AO170" s="412"/>
    </row>
    <row r="171" spans="1:41" ht="12.75" customHeight="1">
      <c r="A171" s="24"/>
      <c r="B171" s="108">
        <f t="shared" si="34"/>
        <v>168</v>
      </c>
      <c r="C171" s="6">
        <v>702100</v>
      </c>
      <c r="D171" s="6" t="s">
        <v>656</v>
      </c>
      <c r="E171" s="9" t="s">
        <v>32</v>
      </c>
      <c r="F171" s="6"/>
      <c r="G171" s="6"/>
      <c r="H171" s="121"/>
      <c r="I171" s="121"/>
      <c r="J171" s="11">
        <f>+SUMIFS(JURNAL!G:G,JURNAL!E:E,C171,JURNAL!C:C,"&gt;="&amp;$H$1,JURNAL!C:C,"&lt;="&amp;$I$1)</f>
        <v>0</v>
      </c>
      <c r="K171" s="11">
        <f>+SUMIFS(JURNAL!H:H,JURNAL!E:E,C171,JURNAL!C:C,"&gt;="&amp;$H$1,JURNAL!C:C,"&lt;="&amp;$I$1)</f>
        <v>0</v>
      </c>
      <c r="L171" s="26">
        <f t="shared" si="36"/>
        <v>0</v>
      </c>
      <c r="M171" s="27">
        <f t="shared" si="37"/>
        <v>0</v>
      </c>
      <c r="N171" s="11"/>
      <c r="O171" s="11"/>
      <c r="P171" s="11"/>
      <c r="Q171" s="11"/>
      <c r="R171" s="26">
        <f t="shared" si="38"/>
        <v>0</v>
      </c>
      <c r="S171" s="27">
        <f t="shared" si="39"/>
        <v>0</v>
      </c>
      <c r="T171" s="11">
        <f t="shared" si="43"/>
        <v>0</v>
      </c>
      <c r="U171" s="11">
        <f t="shared" si="40"/>
        <v>0</v>
      </c>
      <c r="V171" s="26">
        <f t="shared" si="41"/>
        <v>0</v>
      </c>
      <c r="W171" s="27">
        <f t="shared" si="42"/>
        <v>0</v>
      </c>
      <c r="X171" s="4">
        <v>7002</v>
      </c>
      <c r="Y171" s="4"/>
      <c r="Z171" s="4"/>
      <c r="AA171" s="12">
        <f t="shared" si="33"/>
        <v>0</v>
      </c>
      <c r="AC171" s="6" t="s">
        <v>479</v>
      </c>
      <c r="AD171" s="21" t="str">
        <f t="shared" si="44"/>
        <v>г-840100</v>
      </c>
      <c r="AE171" s="79" t="str">
        <f t="shared" si="45"/>
        <v>г</v>
      </c>
      <c r="AF171" s="21" t="str">
        <f t="shared" si="26"/>
        <v>Валютын ханшийн зөрүүнээс үүссэн хэрэгжсэн ашиг</v>
      </c>
      <c r="AJ171" s="411"/>
      <c r="AK171" s="411"/>
      <c r="AL171" s="411"/>
      <c r="AM171" s="411"/>
      <c r="AN171" s="412"/>
      <c r="AO171" s="412"/>
    </row>
    <row r="172" spans="1:41" ht="12.75" customHeight="1">
      <c r="A172" s="24"/>
      <c r="B172" s="108">
        <f t="shared" si="34"/>
        <v>169</v>
      </c>
      <c r="C172" s="6">
        <v>702300</v>
      </c>
      <c r="D172" s="6" t="s">
        <v>660</v>
      </c>
      <c r="E172" s="9" t="s">
        <v>32</v>
      </c>
      <c r="F172" s="6"/>
      <c r="G172" s="6"/>
      <c r="H172" s="121"/>
      <c r="I172" s="121"/>
      <c r="J172" s="11">
        <f>+SUMIFS(JURNAL!G:G,JURNAL!E:E,C172,JURNAL!C:C,"&gt;="&amp;$H$1,JURNAL!C:C,"&lt;="&amp;$I$1)</f>
        <v>0</v>
      </c>
      <c r="K172" s="11">
        <f>+SUMIFS(JURNAL!H:H,JURNAL!E:E,C172,JURNAL!C:C,"&gt;="&amp;$H$1,JURNAL!C:C,"&lt;="&amp;$I$1)</f>
        <v>0</v>
      </c>
      <c r="L172" s="26">
        <f t="shared" si="36"/>
        <v>0</v>
      </c>
      <c r="M172" s="27">
        <f t="shared" si="37"/>
        <v>0</v>
      </c>
      <c r="N172" s="11"/>
      <c r="O172" s="11"/>
      <c r="P172" s="11"/>
      <c r="Q172" s="11"/>
      <c r="R172" s="26">
        <f t="shared" si="38"/>
        <v>0</v>
      </c>
      <c r="S172" s="27">
        <f t="shared" si="39"/>
        <v>0</v>
      </c>
      <c r="T172" s="11">
        <f t="shared" si="43"/>
        <v>0</v>
      </c>
      <c r="U172" s="11">
        <f t="shared" si="40"/>
        <v>0</v>
      </c>
      <c r="V172" s="26">
        <f t="shared" si="41"/>
        <v>0</v>
      </c>
      <c r="W172" s="27">
        <f t="shared" si="42"/>
        <v>0</v>
      </c>
      <c r="X172" s="4">
        <v>7002</v>
      </c>
      <c r="Y172" s="4"/>
      <c r="Z172" s="4"/>
      <c r="AA172" s="12">
        <f t="shared" si="33"/>
        <v>0</v>
      </c>
      <c r="AC172" s="6" t="s">
        <v>480</v>
      </c>
      <c r="AD172" s="21" t="str">
        <f t="shared" si="44"/>
        <v>г-840200</v>
      </c>
      <c r="AE172" s="79" t="str">
        <f t="shared" si="45"/>
        <v>г</v>
      </c>
      <c r="AF172" s="21" t="str">
        <f t="shared" si="26"/>
        <v>Валютын ханшийн зөрүүнээс үүссэн хэрэгжээгүй ашиг</v>
      </c>
      <c r="AJ172" s="411"/>
      <c r="AK172" s="411"/>
      <c r="AL172" s="411"/>
      <c r="AM172" s="411"/>
      <c r="AN172" s="412"/>
      <c r="AO172" s="412"/>
    </row>
    <row r="173" spans="1:41" ht="12.75" customHeight="1">
      <c r="A173" s="24"/>
      <c r="B173" s="108">
        <f t="shared" si="34"/>
        <v>170</v>
      </c>
      <c r="C173" s="6">
        <v>702500</v>
      </c>
      <c r="D173" s="6" t="s">
        <v>277</v>
      </c>
      <c r="E173" s="9" t="s">
        <v>32</v>
      </c>
      <c r="F173" s="6"/>
      <c r="G173" s="6"/>
      <c r="H173" s="121"/>
      <c r="I173" s="121"/>
      <c r="J173" s="11">
        <f>+SUMIFS(JURNAL!G:G,JURNAL!E:E,C173,JURNAL!C:C,"&gt;="&amp;$H$1,JURNAL!C:C,"&lt;="&amp;$I$1)</f>
        <v>4540705.1899999995</v>
      </c>
      <c r="K173" s="11">
        <f>+SUMIFS(JURNAL!H:H,JURNAL!E:E,C173,JURNAL!C:C,"&gt;="&amp;$H$1,JURNAL!C:C,"&lt;="&amp;$I$1)</f>
        <v>0</v>
      </c>
      <c r="L173" s="26">
        <f t="shared" si="36"/>
        <v>4540705.1899999995</v>
      </c>
      <c r="M173" s="27">
        <f t="shared" si="37"/>
        <v>0</v>
      </c>
      <c r="N173" s="11"/>
      <c r="O173" s="11"/>
      <c r="P173" s="11"/>
      <c r="Q173" s="11"/>
      <c r="R173" s="26">
        <f t="shared" si="38"/>
        <v>4540705.1899999995</v>
      </c>
      <c r="S173" s="27">
        <f t="shared" si="39"/>
        <v>0</v>
      </c>
      <c r="T173" s="11">
        <f t="shared" si="43"/>
        <v>0</v>
      </c>
      <c r="U173" s="11">
        <f t="shared" si="40"/>
        <v>4540705.1899999995</v>
      </c>
      <c r="V173" s="26">
        <f t="shared" si="41"/>
        <v>0</v>
      </c>
      <c r="W173" s="27">
        <f t="shared" si="42"/>
        <v>0</v>
      </c>
      <c r="X173" s="4">
        <v>7002</v>
      </c>
      <c r="Y173" s="4"/>
      <c r="Z173" s="4"/>
      <c r="AA173" s="12">
        <f t="shared" si="33"/>
        <v>1</v>
      </c>
      <c r="AC173" s="6" t="s">
        <v>481</v>
      </c>
      <c r="AD173" s="21" t="str">
        <f t="shared" si="44"/>
        <v>о-840400</v>
      </c>
      <c r="AE173" s="79" t="str">
        <f t="shared" si="45"/>
        <v>о</v>
      </c>
      <c r="AF173" s="21" t="str">
        <f t="shared" si="26"/>
        <v>Хүү торгууль, хөнгөлөлтийн орлого</v>
      </c>
      <c r="AJ173" s="411"/>
      <c r="AK173" s="411"/>
      <c r="AL173" s="411"/>
      <c r="AM173" s="411"/>
      <c r="AN173" s="412"/>
      <c r="AO173" s="412"/>
    </row>
    <row r="174" spans="1:41" ht="12.75" customHeight="1">
      <c r="A174" s="24"/>
      <c r="B174" s="108">
        <f t="shared" si="34"/>
        <v>171</v>
      </c>
      <c r="C174" s="6">
        <v>702400</v>
      </c>
      <c r="D174" s="6" t="s">
        <v>967</v>
      </c>
      <c r="E174" s="9" t="s">
        <v>32</v>
      </c>
      <c r="F174" s="6"/>
      <c r="G174" s="6"/>
      <c r="H174" s="121"/>
      <c r="I174" s="121"/>
      <c r="J174" s="11">
        <f>+SUMIFS(JURNAL!G:G,JURNAL!E:E,C174,JURNAL!C:C,"&gt;="&amp;$H$1,JURNAL!C:C,"&lt;="&amp;$I$1)</f>
        <v>0</v>
      </c>
      <c r="K174" s="11">
        <f>+SUMIFS(JURNAL!H:H,JURNAL!E:E,C174,JURNAL!C:C,"&gt;="&amp;$H$1,JURNAL!C:C,"&lt;="&amp;$I$1)</f>
        <v>0</v>
      </c>
      <c r="L174" s="26">
        <f t="shared" si="36"/>
        <v>0</v>
      </c>
      <c r="M174" s="27">
        <f t="shared" si="37"/>
        <v>0</v>
      </c>
      <c r="N174" s="11"/>
      <c r="O174" s="11"/>
      <c r="P174" s="11"/>
      <c r="Q174" s="11"/>
      <c r="R174" s="26">
        <f t="shared" si="38"/>
        <v>0</v>
      </c>
      <c r="S174" s="27">
        <f t="shared" si="39"/>
        <v>0</v>
      </c>
      <c r="T174" s="11">
        <f t="shared" si="43"/>
        <v>0</v>
      </c>
      <c r="U174" s="11">
        <f t="shared" si="40"/>
        <v>0</v>
      </c>
      <c r="V174" s="26">
        <f t="shared" si="41"/>
        <v>0</v>
      </c>
      <c r="W174" s="27">
        <f t="shared" si="42"/>
        <v>0</v>
      </c>
      <c r="X174" s="4">
        <v>7002</v>
      </c>
      <c r="Y174" s="4"/>
      <c r="Z174" s="4"/>
      <c r="AA174" s="12">
        <f t="shared" si="33"/>
        <v>0</v>
      </c>
      <c r="AC174" s="6" t="s">
        <v>482</v>
      </c>
      <c r="AD174" s="21" t="str">
        <f t="shared" si="44"/>
        <v>о-840500</v>
      </c>
      <c r="AE174" s="79" t="str">
        <f t="shared" si="45"/>
        <v>о</v>
      </c>
      <c r="AF174" s="21" t="str">
        <f t="shared" si="26"/>
        <v>Биет бус хөрөнгө борлуулсны орлого</v>
      </c>
      <c r="AJ174" s="411"/>
      <c r="AK174" s="411"/>
      <c r="AL174" s="411"/>
      <c r="AM174" s="411"/>
      <c r="AN174" s="412"/>
      <c r="AO174" s="412"/>
    </row>
    <row r="175" spans="1:41" ht="12.75" customHeight="1">
      <c r="A175" s="24"/>
      <c r="B175" s="108">
        <f t="shared" si="34"/>
        <v>172</v>
      </c>
      <c r="C175" s="6">
        <v>702600</v>
      </c>
      <c r="D175" s="6" t="s">
        <v>670</v>
      </c>
      <c r="E175" s="9" t="s">
        <v>32</v>
      </c>
      <c r="F175" s="6"/>
      <c r="G175" s="6"/>
      <c r="H175" s="121"/>
      <c r="I175" s="121"/>
      <c r="J175" s="11">
        <f>+SUMIFS(JURNAL!G:G,JURNAL!E:E,C175,JURNAL!C:C,"&gt;="&amp;$H$1,JURNAL!C:C,"&lt;="&amp;$I$1)</f>
        <v>0</v>
      </c>
      <c r="K175" s="11">
        <f>+SUMIFS(JURNAL!H:H,JURNAL!E:E,C175,JURNAL!C:C,"&gt;="&amp;$H$1,JURNAL!C:C,"&lt;="&amp;$I$1)</f>
        <v>0</v>
      </c>
      <c r="L175" s="26">
        <f t="shared" si="36"/>
        <v>0</v>
      </c>
      <c r="M175" s="27">
        <f t="shared" si="37"/>
        <v>0</v>
      </c>
      <c r="N175" s="11"/>
      <c r="O175" s="11"/>
      <c r="P175" s="11"/>
      <c r="Q175" s="11"/>
      <c r="R175" s="26">
        <f t="shared" si="38"/>
        <v>0</v>
      </c>
      <c r="S175" s="27">
        <f t="shared" si="39"/>
        <v>0</v>
      </c>
      <c r="T175" s="11">
        <f t="shared" si="43"/>
        <v>0</v>
      </c>
      <c r="U175" s="11">
        <f t="shared" si="40"/>
        <v>0</v>
      </c>
      <c r="V175" s="26">
        <f t="shared" si="41"/>
        <v>0</v>
      </c>
      <c r="W175" s="27">
        <f t="shared" si="42"/>
        <v>0</v>
      </c>
      <c r="X175" s="4">
        <v>7002</v>
      </c>
      <c r="Y175" s="4"/>
      <c r="Z175" s="4"/>
      <c r="AA175" s="12">
        <f t="shared" si="33"/>
        <v>0</v>
      </c>
      <c r="AC175" s="6" t="s">
        <v>483</v>
      </c>
      <c r="AD175" s="21" t="str">
        <f t="shared" si="44"/>
        <v>о-840800</v>
      </c>
      <c r="AE175" s="79" t="str">
        <f t="shared" si="45"/>
        <v>о</v>
      </c>
      <c r="AF175" s="21" t="str">
        <f t="shared" si="26"/>
        <v>Үндсэн бус үйл ажиллагааны бусад орлого</v>
      </c>
      <c r="AJ175" s="411"/>
      <c r="AK175" s="411"/>
      <c r="AL175" s="411"/>
      <c r="AM175" s="411"/>
      <c r="AN175" s="412"/>
      <c r="AO175" s="412"/>
    </row>
    <row r="176" spans="1:41" ht="12.75" customHeight="1">
      <c r="A176" s="24"/>
      <c r="B176" s="108">
        <f t="shared" si="34"/>
        <v>173</v>
      </c>
      <c r="C176" s="6">
        <v>702700</v>
      </c>
      <c r="D176" s="6" t="s">
        <v>674</v>
      </c>
      <c r="E176" s="9" t="s">
        <v>32</v>
      </c>
      <c r="F176" s="6"/>
      <c r="G176" s="6"/>
      <c r="H176" s="121"/>
      <c r="I176" s="121"/>
      <c r="J176" s="11">
        <f>+SUMIFS(JURNAL!G:G,JURNAL!E:E,C176,JURNAL!C:C,"&gt;="&amp;$H$1,JURNAL!C:C,"&lt;="&amp;$I$1)</f>
        <v>0</v>
      </c>
      <c r="K176" s="11">
        <f>+SUMIFS(JURNAL!H:H,JURNAL!E:E,C176,JURNAL!C:C,"&gt;="&amp;$H$1,JURNAL!C:C,"&lt;="&amp;$I$1)</f>
        <v>0</v>
      </c>
      <c r="L176" s="26">
        <f t="shared" si="36"/>
        <v>0</v>
      </c>
      <c r="M176" s="27">
        <f t="shared" si="37"/>
        <v>0</v>
      </c>
      <c r="N176" s="11"/>
      <c r="O176" s="11"/>
      <c r="P176" s="11"/>
      <c r="Q176" s="11"/>
      <c r="R176" s="26">
        <f t="shared" si="38"/>
        <v>0</v>
      </c>
      <c r="S176" s="27">
        <f t="shared" si="39"/>
        <v>0</v>
      </c>
      <c r="T176" s="11">
        <f t="shared" si="43"/>
        <v>0</v>
      </c>
      <c r="U176" s="11">
        <f t="shared" si="40"/>
        <v>0</v>
      </c>
      <c r="V176" s="26">
        <f t="shared" si="41"/>
        <v>0</v>
      </c>
      <c r="W176" s="27">
        <f t="shared" si="42"/>
        <v>0</v>
      </c>
      <c r="X176" s="4">
        <v>7002</v>
      </c>
      <c r="Y176" s="4"/>
      <c r="Z176" s="4"/>
      <c r="AA176" s="12">
        <f t="shared" si="33"/>
        <v>0</v>
      </c>
      <c r="AC176" s="6" t="s">
        <v>484</v>
      </c>
      <c r="AD176" s="21" t="str">
        <f t="shared" si="44"/>
        <v>о-840900</v>
      </c>
      <c r="AE176" s="79" t="str">
        <f t="shared" si="45"/>
        <v>о</v>
      </c>
      <c r="AF176" s="21" t="str">
        <f t="shared" si="26"/>
        <v>Хөрөнгө оруулалт борлуулсны орлого</v>
      </c>
      <c r="AJ176" s="411"/>
      <c r="AK176" s="411"/>
      <c r="AL176" s="411"/>
      <c r="AM176" s="411"/>
      <c r="AN176" s="412"/>
      <c r="AO176" s="412"/>
    </row>
    <row r="177" spans="1:41" ht="12.75" customHeight="1">
      <c r="A177" s="24"/>
      <c r="B177" s="108">
        <f t="shared" si="34"/>
        <v>174</v>
      </c>
      <c r="C177" s="6">
        <v>702800</v>
      </c>
      <c r="D177" s="6" t="s">
        <v>678</v>
      </c>
      <c r="E177" s="9" t="s">
        <v>32</v>
      </c>
      <c r="F177" s="6"/>
      <c r="G177" s="6"/>
      <c r="H177" s="121"/>
      <c r="I177" s="121"/>
      <c r="J177" s="11">
        <f>+SUMIFS(JURNAL!G:G,JURNAL!E:E,C177,JURNAL!C:C,"&gt;="&amp;$H$1,JURNAL!C:C,"&lt;="&amp;$I$1)</f>
        <v>1500000</v>
      </c>
      <c r="K177" s="11">
        <f>+SUMIFS(JURNAL!H:H,JURNAL!E:E,C177,JURNAL!C:C,"&gt;="&amp;$H$1,JURNAL!C:C,"&lt;="&amp;$I$1)</f>
        <v>0</v>
      </c>
      <c r="L177" s="26">
        <f t="shared" si="36"/>
        <v>1500000</v>
      </c>
      <c r="M177" s="27">
        <f t="shared" si="37"/>
        <v>0</v>
      </c>
      <c r="N177" s="11"/>
      <c r="O177" s="11"/>
      <c r="P177" s="11"/>
      <c r="Q177" s="11"/>
      <c r="R177" s="26">
        <f t="shared" si="38"/>
        <v>1500000</v>
      </c>
      <c r="S177" s="27">
        <f t="shared" si="39"/>
        <v>0</v>
      </c>
      <c r="T177" s="11">
        <f t="shared" si="43"/>
        <v>0</v>
      </c>
      <c r="U177" s="11">
        <f t="shared" si="40"/>
        <v>1500000</v>
      </c>
      <c r="V177" s="26">
        <f t="shared" si="41"/>
        <v>0</v>
      </c>
      <c r="W177" s="27">
        <f t="shared" si="42"/>
        <v>0</v>
      </c>
      <c r="X177" s="4">
        <v>7002</v>
      </c>
      <c r="Y177" s="4"/>
      <c r="Z177" s="4"/>
      <c r="AA177" s="12">
        <f t="shared" si="33"/>
        <v>1</v>
      </c>
      <c r="AC177" s="6" t="s">
        <v>485</v>
      </c>
      <c r="AD177" s="21" t="str">
        <f t="shared" si="44"/>
        <v>а-870000</v>
      </c>
      <c r="AE177" s="79" t="str">
        <f t="shared" si="45"/>
        <v>а</v>
      </c>
      <c r="AF177" s="21" t="str">
        <f t="shared" si="26"/>
        <v>Үндсэн бус үйл ажиллагааны зарлага</v>
      </c>
      <c r="AJ177" s="411"/>
      <c r="AK177" s="411"/>
      <c r="AL177" s="411"/>
      <c r="AM177" s="411"/>
      <c r="AN177" s="412"/>
      <c r="AO177" s="412"/>
    </row>
    <row r="178" spans="1:41" ht="12.75" customHeight="1">
      <c r="A178" s="24"/>
      <c r="B178" s="108">
        <f t="shared" si="34"/>
        <v>175</v>
      </c>
      <c r="C178" s="6">
        <v>703300</v>
      </c>
      <c r="D178" s="6" t="s">
        <v>682</v>
      </c>
      <c r="E178" s="9" t="s">
        <v>32</v>
      </c>
      <c r="F178" s="6"/>
      <c r="G178" s="6"/>
      <c r="H178" s="121"/>
      <c r="I178" s="121"/>
      <c r="J178" s="11">
        <f>+SUMIFS(JURNAL!G:G,JURNAL!E:E,C178,JURNAL!C:C,"&gt;="&amp;$H$1,JURNAL!C:C,"&lt;="&amp;$I$1)</f>
        <v>0</v>
      </c>
      <c r="K178" s="11">
        <f>+SUMIFS(JURNAL!H:H,JURNAL!E:E,C178,JURNAL!C:C,"&gt;="&amp;$H$1,JURNAL!C:C,"&lt;="&amp;$I$1)</f>
        <v>0</v>
      </c>
      <c r="L178" s="26">
        <f t="shared" si="36"/>
        <v>0</v>
      </c>
      <c r="M178" s="27">
        <f t="shared" si="37"/>
        <v>0</v>
      </c>
      <c r="N178" s="11"/>
      <c r="O178" s="11"/>
      <c r="P178" s="11"/>
      <c r="Q178" s="11"/>
      <c r="R178" s="26">
        <f t="shared" si="38"/>
        <v>0</v>
      </c>
      <c r="S178" s="27">
        <f t="shared" si="39"/>
        <v>0</v>
      </c>
      <c r="T178" s="11">
        <f t="shared" si="43"/>
        <v>0</v>
      </c>
      <c r="U178" s="11">
        <f t="shared" si="40"/>
        <v>0</v>
      </c>
      <c r="V178" s="26">
        <f t="shared" si="41"/>
        <v>0</v>
      </c>
      <c r="W178" s="27">
        <f t="shared" si="42"/>
        <v>0</v>
      </c>
      <c r="X178" s="4">
        <v>7002</v>
      </c>
      <c r="Y178" s="4"/>
      <c r="Z178" s="4"/>
      <c r="AA178" s="12">
        <f t="shared" si="33"/>
        <v>0</v>
      </c>
      <c r="AC178" s="6" t="s">
        <v>486</v>
      </c>
      <c r="AD178" s="21" t="str">
        <f t="shared" si="44"/>
        <v>л-870100</v>
      </c>
      <c r="AE178" s="79" t="str">
        <f t="shared" si="45"/>
        <v>л</v>
      </c>
      <c r="AF178" s="21" t="str">
        <f t="shared" si="26"/>
        <v>Валютын ханшийн зөрүүнээс үүссэн хэрэгжсэн алдагдал</v>
      </c>
      <c r="AJ178" s="411"/>
      <c r="AK178" s="411"/>
      <c r="AL178" s="411"/>
      <c r="AM178" s="411"/>
      <c r="AN178" s="412"/>
      <c r="AO178" s="412"/>
    </row>
    <row r="179" spans="1:41" ht="12.75" customHeight="1">
      <c r="A179" s="24"/>
      <c r="B179" s="108">
        <f t="shared" si="34"/>
        <v>176</v>
      </c>
      <c r="C179" s="6">
        <v>703400</v>
      </c>
      <c r="D179" s="6" t="s">
        <v>968</v>
      </c>
      <c r="E179" s="9" t="s">
        <v>32</v>
      </c>
      <c r="F179" s="6"/>
      <c r="G179" s="6"/>
      <c r="H179" s="121"/>
      <c r="I179" s="121"/>
      <c r="J179" s="11">
        <f>+SUMIFS(JURNAL!G:G,JURNAL!E:E,C179,JURNAL!C:C,"&gt;="&amp;$H$1,JURNAL!C:C,"&lt;="&amp;$I$1)</f>
        <v>0</v>
      </c>
      <c r="K179" s="11">
        <f>+SUMIFS(JURNAL!H:H,JURNAL!E:E,C179,JURNAL!C:C,"&gt;="&amp;$H$1,JURNAL!C:C,"&lt;="&amp;$I$1)</f>
        <v>0</v>
      </c>
      <c r="L179" s="26">
        <f t="shared" si="36"/>
        <v>0</v>
      </c>
      <c r="M179" s="27">
        <f t="shared" si="37"/>
        <v>0</v>
      </c>
      <c r="N179" s="11"/>
      <c r="O179" s="11"/>
      <c r="P179" s="11"/>
      <c r="Q179" s="11"/>
      <c r="R179" s="26">
        <f t="shared" si="38"/>
        <v>0</v>
      </c>
      <c r="S179" s="27">
        <f t="shared" si="39"/>
        <v>0</v>
      </c>
      <c r="T179" s="11">
        <f t="shared" si="43"/>
        <v>0</v>
      </c>
      <c r="U179" s="11">
        <f t="shared" si="40"/>
        <v>0</v>
      </c>
      <c r="V179" s="26">
        <f t="shared" si="41"/>
        <v>0</v>
      </c>
      <c r="W179" s="27">
        <f t="shared" si="42"/>
        <v>0</v>
      </c>
      <c r="X179" s="4">
        <v>7002</v>
      </c>
      <c r="Y179" s="4"/>
      <c r="Z179" s="4"/>
      <c r="AA179" s="12">
        <f t="shared" si="33"/>
        <v>0</v>
      </c>
      <c r="AC179" s="6" t="s">
        <v>487</v>
      </c>
      <c r="AD179" s="21" t="str">
        <f t="shared" si="44"/>
        <v>л-870200</v>
      </c>
      <c r="AE179" s="79" t="str">
        <f t="shared" si="45"/>
        <v>л</v>
      </c>
      <c r="AF179" s="21" t="str">
        <f t="shared" si="26"/>
        <v>Валютын ханшийн зөрүүнээс үүссэн хэрэгжээгүй алдагдал</v>
      </c>
      <c r="AJ179" s="411"/>
      <c r="AK179" s="411"/>
      <c r="AL179" s="411"/>
      <c r="AM179" s="411"/>
      <c r="AN179" s="412"/>
      <c r="AO179" s="412"/>
    </row>
    <row r="180" spans="1:41" ht="12.75" customHeight="1">
      <c r="A180" s="24"/>
      <c r="B180" s="108">
        <f t="shared" si="34"/>
        <v>177</v>
      </c>
      <c r="C180" s="6">
        <v>703700</v>
      </c>
      <c r="D180" s="6" t="s">
        <v>690</v>
      </c>
      <c r="E180" s="9" t="s">
        <v>32</v>
      </c>
      <c r="F180" s="6"/>
      <c r="G180" s="6"/>
      <c r="H180" s="121"/>
      <c r="I180" s="121"/>
      <c r="J180" s="11">
        <f>+SUMIFS(JURNAL!G:G,JURNAL!E:E,C180,JURNAL!C:C,"&gt;="&amp;$H$1,JURNAL!C:C,"&lt;="&amp;$I$1)</f>
        <v>162045.46</v>
      </c>
      <c r="K180" s="11">
        <f>+SUMIFS(JURNAL!H:H,JURNAL!E:E,C180,JURNAL!C:C,"&gt;="&amp;$H$1,JURNAL!C:C,"&lt;="&amp;$I$1)</f>
        <v>0</v>
      </c>
      <c r="L180" s="26">
        <f t="shared" si="36"/>
        <v>162045.46</v>
      </c>
      <c r="M180" s="27">
        <f t="shared" si="37"/>
        <v>0</v>
      </c>
      <c r="N180" s="11"/>
      <c r="O180" s="11"/>
      <c r="P180" s="11"/>
      <c r="Q180" s="11"/>
      <c r="R180" s="26">
        <f t="shared" si="38"/>
        <v>162045.46</v>
      </c>
      <c r="S180" s="27">
        <f t="shared" si="39"/>
        <v>0</v>
      </c>
      <c r="T180" s="11">
        <f t="shared" si="43"/>
        <v>0</v>
      </c>
      <c r="U180" s="11">
        <f t="shared" si="40"/>
        <v>162045.46</v>
      </c>
      <c r="V180" s="26">
        <f t="shared" si="41"/>
        <v>0</v>
      </c>
      <c r="W180" s="27">
        <f t="shared" si="42"/>
        <v>0</v>
      </c>
      <c r="X180" s="4">
        <v>7002</v>
      </c>
      <c r="Y180" s="4"/>
      <c r="Z180" s="4"/>
      <c r="AA180" s="12">
        <f t="shared" si="33"/>
        <v>1</v>
      </c>
      <c r="AC180" s="6" t="s">
        <v>488</v>
      </c>
      <c r="AD180" s="21" t="str">
        <f t="shared" si="44"/>
        <v>л-870300</v>
      </c>
      <c r="AE180" s="79" t="str">
        <f t="shared" si="45"/>
        <v>л</v>
      </c>
      <c r="AF180" s="21" t="str">
        <f t="shared" si="26"/>
        <v>Найдваргүй авлагын зардал</v>
      </c>
      <c r="AJ180" s="411"/>
      <c r="AK180" s="411"/>
      <c r="AL180" s="411"/>
      <c r="AM180" s="411"/>
      <c r="AN180" s="412"/>
      <c r="AO180" s="412"/>
    </row>
    <row r="181" spans="1:41" ht="12.75" customHeight="1">
      <c r="A181" s="24"/>
      <c r="B181" s="108">
        <f t="shared" si="34"/>
        <v>178</v>
      </c>
      <c r="C181" s="6">
        <v>703800</v>
      </c>
      <c r="D181" s="6" t="s">
        <v>694</v>
      </c>
      <c r="E181" s="9" t="s">
        <v>32</v>
      </c>
      <c r="F181" s="6"/>
      <c r="G181" s="6"/>
      <c r="H181" s="121"/>
      <c r="I181" s="121"/>
      <c r="J181" s="11">
        <f>+SUMIFS(JURNAL!G:G,JURNAL!E:E,C181,JURNAL!C:C,"&gt;="&amp;$H$1,JURNAL!C:C,"&lt;="&amp;$I$1)</f>
        <v>0</v>
      </c>
      <c r="K181" s="11">
        <f>+SUMIFS(JURNAL!H:H,JURNAL!E:E,C181,JURNAL!C:C,"&gt;="&amp;$H$1,JURNAL!C:C,"&lt;="&amp;$I$1)</f>
        <v>0</v>
      </c>
      <c r="L181" s="26">
        <f t="shared" si="36"/>
        <v>0</v>
      </c>
      <c r="M181" s="27">
        <f t="shared" si="37"/>
        <v>0</v>
      </c>
      <c r="N181" s="11"/>
      <c r="O181" s="11"/>
      <c r="P181" s="11"/>
      <c r="Q181" s="11"/>
      <c r="R181" s="26">
        <f t="shared" si="38"/>
        <v>0</v>
      </c>
      <c r="S181" s="27">
        <f t="shared" si="39"/>
        <v>0</v>
      </c>
      <c r="T181" s="11">
        <f t="shared" si="43"/>
        <v>0</v>
      </c>
      <c r="U181" s="11">
        <f t="shared" si="40"/>
        <v>0</v>
      </c>
      <c r="V181" s="26">
        <f t="shared" si="41"/>
        <v>0</v>
      </c>
      <c r="W181" s="27">
        <f t="shared" si="42"/>
        <v>0</v>
      </c>
      <c r="X181" s="4">
        <v>7002</v>
      </c>
      <c r="Y181" s="4"/>
      <c r="Z181" s="4"/>
      <c r="AA181" s="12">
        <f t="shared" si="33"/>
        <v>0</v>
      </c>
      <c r="AC181" s="6" t="s">
        <v>489</v>
      </c>
      <c r="AD181" s="21" t="str">
        <f t="shared" si="44"/>
        <v>т-870400</v>
      </c>
      <c r="AE181" s="79" t="str">
        <f t="shared" si="45"/>
        <v>т</v>
      </c>
      <c r="AF181" s="21" t="str">
        <f t="shared" si="26"/>
        <v>Хүү торгууль, хөнгөлөлт</v>
      </c>
      <c r="AJ181" s="411"/>
      <c r="AK181" s="411"/>
      <c r="AL181" s="411"/>
      <c r="AM181" s="411"/>
      <c r="AN181" s="412"/>
      <c r="AO181" s="412"/>
    </row>
    <row r="182" spans="1:41" ht="12.75" customHeight="1">
      <c r="A182" s="24"/>
      <c r="B182" s="108">
        <f t="shared" si="34"/>
        <v>179</v>
      </c>
      <c r="C182" s="6">
        <v>703900</v>
      </c>
      <c r="D182" s="6" t="s">
        <v>698</v>
      </c>
      <c r="E182" s="9" t="s">
        <v>32</v>
      </c>
      <c r="F182" s="6"/>
      <c r="G182" s="6"/>
      <c r="H182" s="121"/>
      <c r="I182" s="121"/>
      <c r="J182" s="11">
        <f>+SUMIFS(JURNAL!G:G,JURNAL!E:E,C182,JURNAL!C:C,"&gt;="&amp;$H$1,JURNAL!C:C,"&lt;="&amp;$I$1)</f>
        <v>0</v>
      </c>
      <c r="K182" s="11">
        <f>+SUMIFS(JURNAL!H:H,JURNAL!E:E,C182,JURNAL!C:C,"&gt;="&amp;$H$1,JURNAL!C:C,"&lt;="&amp;$I$1)</f>
        <v>0</v>
      </c>
      <c r="L182" s="26">
        <f t="shared" si="36"/>
        <v>0</v>
      </c>
      <c r="M182" s="27">
        <f t="shared" si="37"/>
        <v>0</v>
      </c>
      <c r="N182" s="11"/>
      <c r="O182" s="11"/>
      <c r="P182" s="11"/>
      <c r="Q182" s="11"/>
      <c r="R182" s="26">
        <f t="shared" si="38"/>
        <v>0</v>
      </c>
      <c r="S182" s="27">
        <f t="shared" si="39"/>
        <v>0</v>
      </c>
      <c r="T182" s="11">
        <f t="shared" si="43"/>
        <v>0</v>
      </c>
      <c r="U182" s="11">
        <f t="shared" si="40"/>
        <v>0</v>
      </c>
      <c r="V182" s="26">
        <f t="shared" si="41"/>
        <v>0</v>
      </c>
      <c r="W182" s="27">
        <f t="shared" si="42"/>
        <v>0</v>
      </c>
      <c r="X182" s="4">
        <v>7002</v>
      </c>
      <c r="Y182" s="4"/>
      <c r="Z182" s="4"/>
      <c r="AA182" s="12">
        <f t="shared" si="33"/>
        <v>0</v>
      </c>
      <c r="AC182" s="6" t="s">
        <v>490</v>
      </c>
      <c r="AD182" s="21" t="str">
        <f t="shared" si="44"/>
        <v>г-870500</v>
      </c>
      <c r="AE182" s="79" t="str">
        <f t="shared" si="45"/>
        <v>г</v>
      </c>
      <c r="AF182" s="21" t="str">
        <f t="shared" si="26"/>
        <v>Биет бус хөрөнгийн үлдэгдэл өртөг</v>
      </c>
      <c r="AJ182" s="411"/>
      <c r="AK182" s="411"/>
      <c r="AL182" s="411"/>
      <c r="AM182" s="411"/>
      <c r="AN182" s="412"/>
      <c r="AO182" s="412"/>
    </row>
    <row r="183" spans="1:41" ht="12.75" customHeight="1">
      <c r="A183" s="24"/>
      <c r="B183" s="108">
        <f t="shared" si="34"/>
        <v>180</v>
      </c>
      <c r="C183" s="6">
        <v>704000</v>
      </c>
      <c r="D183" s="6" t="s">
        <v>702</v>
      </c>
      <c r="E183" s="9" t="s">
        <v>32</v>
      </c>
      <c r="F183" s="6"/>
      <c r="G183" s="6"/>
      <c r="H183" s="121"/>
      <c r="I183" s="121"/>
      <c r="J183" s="11">
        <f>+SUMIFS(JURNAL!G:G,JURNAL!E:E,C183,JURNAL!C:C,"&gt;="&amp;$H$1,JURNAL!C:C,"&lt;="&amp;$I$1)</f>
        <v>0</v>
      </c>
      <c r="K183" s="11">
        <f>+SUMIFS(JURNAL!H:H,JURNAL!E:E,C183,JURNAL!C:C,"&gt;="&amp;$H$1,JURNAL!C:C,"&lt;="&amp;$I$1)</f>
        <v>0</v>
      </c>
      <c r="L183" s="26">
        <f t="shared" si="36"/>
        <v>0</v>
      </c>
      <c r="M183" s="27">
        <f t="shared" si="37"/>
        <v>0</v>
      </c>
      <c r="N183" s="11"/>
      <c r="O183" s="11"/>
      <c r="P183" s="11"/>
      <c r="Q183" s="11"/>
      <c r="R183" s="26">
        <f t="shared" si="38"/>
        <v>0</v>
      </c>
      <c r="S183" s="27">
        <f t="shared" si="39"/>
        <v>0</v>
      </c>
      <c r="T183" s="11">
        <f t="shared" si="43"/>
        <v>0</v>
      </c>
      <c r="U183" s="11">
        <f t="shared" si="40"/>
        <v>0</v>
      </c>
      <c r="V183" s="26">
        <f t="shared" si="41"/>
        <v>0</v>
      </c>
      <c r="W183" s="27">
        <f t="shared" si="42"/>
        <v>0</v>
      </c>
      <c r="X183" s="4">
        <v>7002</v>
      </c>
      <c r="Y183" s="4"/>
      <c r="Z183" s="4"/>
      <c r="AA183" s="12">
        <f t="shared" si="33"/>
        <v>0</v>
      </c>
      <c r="AC183" s="6" t="s">
        <v>491</v>
      </c>
      <c r="AD183" s="21" t="str">
        <f t="shared" si="44"/>
        <v>л-870700</v>
      </c>
      <c r="AE183" s="79" t="str">
        <f t="shared" si="45"/>
        <v>л</v>
      </c>
      <c r="AF183" s="21" t="str">
        <f t="shared" si="26"/>
        <v>Үндсэн бус үйл ажиллагааны бусад зардал</v>
      </c>
      <c r="AJ183" s="411"/>
      <c r="AK183" s="411"/>
      <c r="AL183" s="411"/>
      <c r="AM183" s="411"/>
      <c r="AN183" s="412"/>
      <c r="AO183" s="412"/>
    </row>
    <row r="184" spans="1:41" ht="12.75" customHeight="1">
      <c r="A184" s="24"/>
      <c r="B184" s="108">
        <f t="shared" si="34"/>
        <v>181</v>
      </c>
      <c r="C184" s="6">
        <v>704100</v>
      </c>
      <c r="D184" s="6" t="s">
        <v>706</v>
      </c>
      <c r="E184" s="9" t="s">
        <v>32</v>
      </c>
      <c r="F184" s="6"/>
      <c r="G184" s="6"/>
      <c r="H184" s="121"/>
      <c r="I184" s="121"/>
      <c r="J184" s="11">
        <f>+SUMIFS(JURNAL!G:G,JURNAL!E:E,C184,JURNAL!C:C,"&gt;="&amp;$H$1,JURNAL!C:C,"&lt;="&amp;$I$1)</f>
        <v>0</v>
      </c>
      <c r="K184" s="11">
        <f>+SUMIFS(JURNAL!H:H,JURNAL!E:E,C184,JURNAL!C:C,"&gt;="&amp;$H$1,JURNAL!C:C,"&lt;="&amp;$I$1)</f>
        <v>0</v>
      </c>
      <c r="L184" s="26">
        <f t="shared" si="36"/>
        <v>0</v>
      </c>
      <c r="M184" s="27">
        <f t="shared" si="37"/>
        <v>0</v>
      </c>
      <c r="N184" s="11"/>
      <c r="O184" s="11"/>
      <c r="P184" s="11"/>
      <c r="Q184" s="11"/>
      <c r="R184" s="26">
        <f t="shared" si="38"/>
        <v>0</v>
      </c>
      <c r="S184" s="27">
        <f t="shared" si="39"/>
        <v>0</v>
      </c>
      <c r="T184" s="11">
        <f t="shared" si="43"/>
        <v>0</v>
      </c>
      <c r="U184" s="11">
        <f t="shared" si="40"/>
        <v>0</v>
      </c>
      <c r="V184" s="26">
        <f t="shared" si="41"/>
        <v>0</v>
      </c>
      <c r="W184" s="27">
        <f t="shared" si="42"/>
        <v>0</v>
      </c>
      <c r="X184" s="4">
        <v>7002</v>
      </c>
      <c r="Y184" s="4"/>
      <c r="Z184" s="4"/>
      <c r="AA184" s="12">
        <f t="shared" si="33"/>
        <v>0</v>
      </c>
      <c r="AC184" s="6" t="s">
        <v>492</v>
      </c>
      <c r="AD184" s="21" t="str">
        <f t="shared" si="44"/>
        <v>л-870800</v>
      </c>
      <c r="AE184" s="79" t="str">
        <f t="shared" si="45"/>
        <v>л</v>
      </c>
      <c r="AF184" s="21" t="str">
        <f t="shared" si="26"/>
        <v>Түрээсийн орлого олохтой холбогдож гарсан зардал</v>
      </c>
      <c r="AJ184" s="411"/>
      <c r="AK184" s="411"/>
      <c r="AL184" s="411"/>
      <c r="AM184" s="411"/>
      <c r="AN184" s="412"/>
      <c r="AO184" s="412"/>
    </row>
    <row r="185" spans="1:41" ht="12.75" customHeight="1">
      <c r="A185" s="24"/>
      <c r="B185" s="108">
        <f t="shared" si="34"/>
        <v>182</v>
      </c>
      <c r="C185" s="6">
        <v>704200</v>
      </c>
      <c r="D185" s="130" t="s">
        <v>710</v>
      </c>
      <c r="E185" s="9" t="s">
        <v>32</v>
      </c>
      <c r="F185" s="6"/>
      <c r="G185" s="6"/>
      <c r="H185" s="121"/>
      <c r="I185" s="121"/>
      <c r="J185" s="11">
        <f>+SUMIFS(JURNAL!G:G,JURNAL!E:E,C185,JURNAL!C:C,"&gt;="&amp;$H$1,JURNAL!C:C,"&lt;="&amp;$I$1)</f>
        <v>0</v>
      </c>
      <c r="K185" s="11">
        <f>+SUMIFS(JURNAL!H:H,JURNAL!E:E,C185,JURNAL!C:C,"&gt;="&amp;$H$1,JURNAL!C:C,"&lt;="&amp;$I$1)</f>
        <v>0</v>
      </c>
      <c r="L185" s="26">
        <f t="shared" si="36"/>
        <v>0</v>
      </c>
      <c r="M185" s="27">
        <f t="shared" si="37"/>
        <v>0</v>
      </c>
      <c r="N185" s="11"/>
      <c r="O185" s="11"/>
      <c r="P185" s="11"/>
      <c r="Q185" s="11"/>
      <c r="R185" s="26">
        <f t="shared" si="38"/>
        <v>0</v>
      </c>
      <c r="S185" s="27">
        <f t="shared" si="39"/>
        <v>0</v>
      </c>
      <c r="T185" s="11">
        <f t="shared" si="43"/>
        <v>0</v>
      </c>
      <c r="U185" s="11">
        <f t="shared" si="40"/>
        <v>0</v>
      </c>
      <c r="V185" s="26">
        <f t="shared" si="41"/>
        <v>0</v>
      </c>
      <c r="W185" s="27">
        <f t="shared" si="42"/>
        <v>0</v>
      </c>
      <c r="X185" s="4">
        <v>7002</v>
      </c>
      <c r="Y185" s="4"/>
      <c r="Z185" s="4"/>
      <c r="AA185" s="12">
        <f t="shared" si="33"/>
        <v>0</v>
      </c>
      <c r="AC185" s="6" t="s">
        <v>493</v>
      </c>
      <c r="AD185" s="21" t="str">
        <f t="shared" si="44"/>
        <v>г-870900</v>
      </c>
      <c r="AE185" s="79" t="str">
        <f t="shared" si="45"/>
        <v>г</v>
      </c>
      <c r="AF185" s="21" t="str">
        <f t="shared" si="26"/>
        <v>Хөрөнгө оруулалтын өртөг</v>
      </c>
      <c r="AJ185" s="411"/>
      <c r="AK185" s="411"/>
      <c r="AL185" s="411"/>
      <c r="AM185" s="411"/>
      <c r="AN185" s="412"/>
      <c r="AO185" s="412"/>
    </row>
    <row r="186" spans="1:41" ht="12.75" customHeight="1">
      <c r="A186" s="24"/>
      <c r="B186" s="108">
        <f t="shared" si="34"/>
        <v>183</v>
      </c>
      <c r="C186" s="6">
        <v>704300</v>
      </c>
      <c r="D186" s="6" t="s">
        <v>714</v>
      </c>
      <c r="E186" s="9" t="s">
        <v>32</v>
      </c>
      <c r="F186" s="6"/>
      <c r="G186" s="6"/>
      <c r="H186" s="121"/>
      <c r="I186" s="121"/>
      <c r="J186" s="11">
        <f>+SUMIFS(JURNAL!G:G,JURNAL!E:E,C186,JURNAL!C:C,"&gt;="&amp;$H$1,JURNAL!C:C,"&lt;="&amp;$I$1)</f>
        <v>0</v>
      </c>
      <c r="K186" s="11">
        <f>+SUMIFS(JURNAL!H:H,JURNAL!E:E,C186,JURNAL!C:C,"&gt;="&amp;$H$1,JURNAL!C:C,"&lt;="&amp;$I$1)</f>
        <v>0</v>
      </c>
      <c r="L186" s="26">
        <f t="shared" si="36"/>
        <v>0</v>
      </c>
      <c r="M186" s="27">
        <f t="shared" si="37"/>
        <v>0</v>
      </c>
      <c r="N186" s="11"/>
      <c r="O186" s="11"/>
      <c r="P186" s="11"/>
      <c r="Q186" s="11"/>
      <c r="R186" s="26">
        <f t="shared" si="38"/>
        <v>0</v>
      </c>
      <c r="S186" s="27">
        <f t="shared" si="39"/>
        <v>0</v>
      </c>
      <c r="T186" s="11">
        <f t="shared" si="43"/>
        <v>0</v>
      </c>
      <c r="U186" s="11">
        <f t="shared" si="40"/>
        <v>0</v>
      </c>
      <c r="V186" s="26">
        <f t="shared" si="41"/>
        <v>0</v>
      </c>
      <c r="W186" s="27">
        <f t="shared" si="42"/>
        <v>0</v>
      </c>
      <c r="X186" s="4">
        <v>7002</v>
      </c>
      <c r="Y186" s="4"/>
      <c r="Z186" s="4"/>
      <c r="AA186" s="12">
        <f t="shared" si="33"/>
        <v>0</v>
      </c>
      <c r="AC186" s="6" t="s">
        <v>494</v>
      </c>
      <c r="AD186" s="21" t="str">
        <f t="shared" si="44"/>
        <v>г-871100</v>
      </c>
      <c r="AE186" s="79" t="str">
        <f t="shared" si="45"/>
        <v>г</v>
      </c>
      <c r="AF186" s="21" t="str">
        <f t="shared" si="26"/>
        <v>Худалдаж борлуулсан хөдлөх хөрөнгийн өртөг</v>
      </c>
      <c r="AJ186" s="411"/>
      <c r="AK186" s="411"/>
      <c r="AL186" s="411"/>
      <c r="AM186" s="411"/>
      <c r="AN186" s="412"/>
      <c r="AO186" s="412"/>
    </row>
    <row r="187" spans="1:41" ht="12.75" customHeight="1">
      <c r="A187" s="24"/>
      <c r="B187" s="108">
        <f t="shared" si="34"/>
        <v>184</v>
      </c>
      <c r="C187" s="6">
        <v>704400</v>
      </c>
      <c r="D187" s="6" t="s">
        <v>718</v>
      </c>
      <c r="E187" s="9" t="s">
        <v>32</v>
      </c>
      <c r="F187" s="6"/>
      <c r="G187" s="6"/>
      <c r="H187" s="121"/>
      <c r="I187" s="121"/>
      <c r="J187" s="11">
        <f>+SUMIFS(JURNAL!G:G,JURNAL!E:E,C187,JURNAL!C:C,"&gt;="&amp;$H$1,JURNAL!C:C,"&lt;="&amp;$I$1)</f>
        <v>0</v>
      </c>
      <c r="K187" s="11">
        <f>+SUMIFS(JURNAL!H:H,JURNAL!E:E,C187,JURNAL!C:C,"&gt;="&amp;$H$1,JURNAL!C:C,"&lt;="&amp;$I$1)</f>
        <v>0</v>
      </c>
      <c r="L187" s="26">
        <f t="shared" si="36"/>
        <v>0</v>
      </c>
      <c r="M187" s="27">
        <f t="shared" si="37"/>
        <v>0</v>
      </c>
      <c r="N187" s="11"/>
      <c r="O187" s="11"/>
      <c r="P187" s="11"/>
      <c r="Q187" s="11"/>
      <c r="R187" s="26">
        <f t="shared" si="38"/>
        <v>0</v>
      </c>
      <c r="S187" s="27">
        <f t="shared" si="39"/>
        <v>0</v>
      </c>
      <c r="T187" s="11">
        <f t="shared" si="43"/>
        <v>0</v>
      </c>
      <c r="U187" s="11">
        <f t="shared" si="40"/>
        <v>0</v>
      </c>
      <c r="V187" s="26">
        <f t="shared" si="41"/>
        <v>0</v>
      </c>
      <c r="W187" s="27">
        <f t="shared" si="42"/>
        <v>0</v>
      </c>
      <c r="X187" s="4">
        <v>7002</v>
      </c>
      <c r="Y187" s="4"/>
      <c r="Z187" s="4"/>
      <c r="AA187" s="12">
        <f t="shared" si="33"/>
        <v>0</v>
      </c>
      <c r="AC187" s="6" t="s">
        <v>495</v>
      </c>
      <c r="AD187" s="21" t="str">
        <f t="shared" si="44"/>
        <v>г-871200</v>
      </c>
      <c r="AE187" s="79" t="str">
        <f t="shared" si="45"/>
        <v>г</v>
      </c>
      <c r="AF187" s="21" t="str">
        <f t="shared" si="26"/>
        <v>Худалдаж борлуулсан үл хөдлөх хөрөнгийн өртөг</v>
      </c>
      <c r="AJ187" s="411"/>
      <c r="AK187" s="411"/>
      <c r="AL187" s="411"/>
      <c r="AM187" s="411"/>
      <c r="AN187" s="412"/>
      <c r="AO187" s="412"/>
    </row>
    <row r="188" spans="1:41" ht="12.75" customHeight="1">
      <c r="A188" s="24"/>
      <c r="B188" s="108">
        <f t="shared" si="34"/>
        <v>185</v>
      </c>
      <c r="C188" s="6">
        <v>704600</v>
      </c>
      <c r="D188" s="6" t="s">
        <v>722</v>
      </c>
      <c r="E188" s="9" t="s">
        <v>32</v>
      </c>
      <c r="F188" s="6"/>
      <c r="G188" s="6"/>
      <c r="H188" s="121"/>
      <c r="I188" s="121"/>
      <c r="J188" s="11">
        <f>+SUMIFS(JURNAL!G:G,JURNAL!E:E,C188,JURNAL!C:C,"&gt;="&amp;$H$1,JURNAL!C:C,"&lt;="&amp;$I$1)</f>
        <v>2533636.36</v>
      </c>
      <c r="K188" s="11">
        <f>+SUMIFS(JURNAL!H:H,JURNAL!E:E,C188,JURNAL!C:C,"&gt;="&amp;$H$1,JURNAL!C:C,"&lt;="&amp;$I$1)</f>
        <v>0</v>
      </c>
      <c r="L188" s="26">
        <f t="shared" si="36"/>
        <v>2533636.36</v>
      </c>
      <c r="M188" s="27">
        <f t="shared" si="37"/>
        <v>0</v>
      </c>
      <c r="N188" s="11"/>
      <c r="O188" s="11"/>
      <c r="P188" s="11"/>
      <c r="Q188" s="11"/>
      <c r="R188" s="26">
        <f t="shared" si="38"/>
        <v>2533636.36</v>
      </c>
      <c r="S188" s="27">
        <f t="shared" si="39"/>
        <v>0</v>
      </c>
      <c r="T188" s="11">
        <f t="shared" si="43"/>
        <v>0</v>
      </c>
      <c r="U188" s="11">
        <f t="shared" si="40"/>
        <v>2533636.36</v>
      </c>
      <c r="V188" s="26">
        <f t="shared" si="41"/>
        <v>0</v>
      </c>
      <c r="W188" s="27">
        <f>+IF((R188+T188)&lt;(S188+U188),(S188+U188)-(R188+T188),0)</f>
        <v>0</v>
      </c>
      <c r="X188" s="4">
        <v>7002</v>
      </c>
      <c r="Y188" s="4"/>
      <c r="Z188" s="4"/>
      <c r="AA188" s="12">
        <f t="shared" si="33"/>
        <v>1</v>
      </c>
      <c r="AC188" s="6" t="s">
        <v>496</v>
      </c>
      <c r="AD188" s="21" t="str">
        <f t="shared" si="44"/>
        <v>л-910100</v>
      </c>
      <c r="AE188" s="79" t="str">
        <f t="shared" si="45"/>
        <v>л</v>
      </c>
      <c r="AF188" s="21" t="str">
        <f t="shared" si="26"/>
        <v>Татварын зардал</v>
      </c>
      <c r="AJ188" s="411"/>
      <c r="AK188" s="411"/>
      <c r="AL188" s="411"/>
      <c r="AM188" s="411"/>
      <c r="AN188" s="412"/>
      <c r="AO188" s="412"/>
    </row>
    <row r="189" spans="1:41" ht="12.75" customHeight="1">
      <c r="A189" s="24"/>
      <c r="B189" s="108">
        <f t="shared" si="34"/>
        <v>186</v>
      </c>
      <c r="C189" s="6">
        <v>704700</v>
      </c>
      <c r="D189" s="6" t="s">
        <v>726</v>
      </c>
      <c r="E189" s="9" t="s">
        <v>32</v>
      </c>
      <c r="F189" s="6"/>
      <c r="G189" s="6"/>
      <c r="H189" s="121"/>
      <c r="I189" s="121"/>
      <c r="J189" s="11">
        <f>+SUMIFS(JURNAL!G:G,JURNAL!E:E,C189,JURNAL!C:C,"&gt;="&amp;$H$1,JURNAL!C:C,"&lt;="&amp;$I$1)</f>
        <v>0</v>
      </c>
      <c r="K189" s="11">
        <f>+SUMIFS(JURNAL!H:H,JURNAL!E:E,C189,JURNAL!C:C,"&gt;="&amp;$H$1,JURNAL!C:C,"&lt;="&amp;$I$1)</f>
        <v>0</v>
      </c>
      <c r="L189" s="26">
        <f t="shared" si="36"/>
        <v>0</v>
      </c>
      <c r="M189" s="27">
        <f t="shared" si="37"/>
        <v>0</v>
      </c>
      <c r="N189" s="11"/>
      <c r="O189" s="11"/>
      <c r="P189" s="11"/>
      <c r="Q189" s="11"/>
      <c r="R189" s="26">
        <f t="shared" si="38"/>
        <v>0</v>
      </c>
      <c r="S189" s="27">
        <f t="shared" si="39"/>
        <v>0</v>
      </c>
      <c r="T189" s="11">
        <f t="shared" si="43"/>
        <v>0</v>
      </c>
      <c r="U189" s="11">
        <f t="shared" si="40"/>
        <v>0</v>
      </c>
      <c r="V189" s="26">
        <f t="shared" si="41"/>
        <v>0</v>
      </c>
      <c r="W189" s="27">
        <f t="shared" si="42"/>
        <v>0</v>
      </c>
      <c r="X189" s="4">
        <v>7002</v>
      </c>
      <c r="Y189" s="4"/>
      <c r="Z189" s="4"/>
      <c r="AA189" s="12">
        <f t="shared" si="33"/>
        <v>0</v>
      </c>
      <c r="AC189" s="6" t="s">
        <v>497</v>
      </c>
      <c r="AD189" s="21" t="str">
        <f t="shared" si="44"/>
        <v>с-920100</v>
      </c>
      <c r="AE189" s="79" t="str">
        <f t="shared" si="45"/>
        <v>с</v>
      </c>
      <c r="AF189" s="21" t="str">
        <f t="shared" si="26"/>
        <v>Орлого зардлын нэгдсэн данс</v>
      </c>
      <c r="AJ189" s="411"/>
      <c r="AK189" s="411"/>
      <c r="AL189" s="411"/>
      <c r="AM189" s="411"/>
      <c r="AN189" s="412"/>
      <c r="AO189" s="412"/>
    </row>
    <row r="190" spans="1:41" ht="12.75" customHeight="1">
      <c r="B190" s="108">
        <f t="shared" si="34"/>
        <v>187</v>
      </c>
      <c r="C190" s="6">
        <v>704800</v>
      </c>
      <c r="D190" s="6" t="s">
        <v>730</v>
      </c>
      <c r="E190" s="9" t="s">
        <v>32</v>
      </c>
      <c r="F190" s="6"/>
      <c r="G190" s="6"/>
      <c r="H190" s="121"/>
      <c r="I190" s="121"/>
      <c r="J190" s="11">
        <f>+SUMIFS(JURNAL!G:G,JURNAL!E:E,C190,JURNAL!C:C,"&gt;="&amp;$H$1,JURNAL!C:C,"&lt;="&amp;$I$1)</f>
        <v>0</v>
      </c>
      <c r="K190" s="11">
        <f>+SUMIFS(JURNAL!H:H,JURNAL!E:E,C190,JURNAL!C:C,"&gt;="&amp;$H$1,JURNAL!C:C,"&lt;="&amp;$I$1)</f>
        <v>0</v>
      </c>
      <c r="L190" s="26">
        <f t="shared" si="36"/>
        <v>0</v>
      </c>
      <c r="M190" s="27">
        <f t="shared" si="37"/>
        <v>0</v>
      </c>
      <c r="N190" s="11"/>
      <c r="O190" s="11"/>
      <c r="P190" s="11"/>
      <c r="Q190" s="11"/>
      <c r="R190" s="26">
        <f t="shared" si="38"/>
        <v>0</v>
      </c>
      <c r="S190" s="27">
        <f t="shared" si="39"/>
        <v>0</v>
      </c>
      <c r="T190" s="11">
        <f t="shared" si="43"/>
        <v>0</v>
      </c>
      <c r="U190" s="11">
        <f t="shared" si="40"/>
        <v>0</v>
      </c>
      <c r="V190" s="26">
        <f t="shared" si="41"/>
        <v>0</v>
      </c>
      <c r="W190" s="27">
        <f t="shared" si="42"/>
        <v>0</v>
      </c>
      <c r="X190" s="4">
        <v>7002</v>
      </c>
      <c r="Y190" s="4"/>
      <c r="Z190" s="4"/>
      <c r="AA190" s="12">
        <f t="shared" si="33"/>
        <v>0</v>
      </c>
      <c r="AJ190" s="411"/>
      <c r="AK190" s="411"/>
      <c r="AL190" s="411"/>
      <c r="AM190" s="411"/>
      <c r="AN190" s="412"/>
      <c r="AO190" s="412"/>
    </row>
    <row r="191" spans="1:41" ht="12.75" customHeight="1">
      <c r="B191" s="108">
        <f t="shared" si="34"/>
        <v>188</v>
      </c>
      <c r="C191" s="6">
        <v>704900</v>
      </c>
      <c r="D191" s="6" t="s">
        <v>734</v>
      </c>
      <c r="E191" s="9" t="s">
        <v>32</v>
      </c>
      <c r="F191" s="6"/>
      <c r="G191" s="6"/>
      <c r="H191" s="121"/>
      <c r="I191" s="121"/>
      <c r="J191" s="11">
        <f>+SUMIFS(JURNAL!G:G,JURNAL!E:E,C191,JURNAL!C:C,"&gt;="&amp;$H$1,JURNAL!C:C,"&lt;="&amp;$I$1)</f>
        <v>7400</v>
      </c>
      <c r="K191" s="11">
        <f>+SUMIFS(JURNAL!H:H,JURNAL!E:E,C191,JURNAL!C:C,"&gt;="&amp;$H$1,JURNAL!C:C,"&lt;="&amp;$I$1)</f>
        <v>0</v>
      </c>
      <c r="L191" s="26">
        <f t="shared" si="36"/>
        <v>7400</v>
      </c>
      <c r="M191" s="27">
        <f t="shared" si="37"/>
        <v>0</v>
      </c>
      <c r="N191" s="11"/>
      <c r="O191" s="11"/>
      <c r="P191" s="11"/>
      <c r="Q191" s="11"/>
      <c r="R191" s="26">
        <f t="shared" si="38"/>
        <v>7400</v>
      </c>
      <c r="S191" s="27">
        <f t="shared" si="39"/>
        <v>0</v>
      </c>
      <c r="T191" s="11">
        <f t="shared" si="43"/>
        <v>0</v>
      </c>
      <c r="U191" s="11">
        <f t="shared" si="40"/>
        <v>7400</v>
      </c>
      <c r="V191" s="26">
        <f t="shared" si="41"/>
        <v>0</v>
      </c>
      <c r="W191" s="27">
        <f t="shared" si="42"/>
        <v>0</v>
      </c>
      <c r="X191" s="4">
        <v>7002</v>
      </c>
      <c r="Y191" s="4"/>
      <c r="Z191" s="4"/>
      <c r="AA191" s="12">
        <f t="shared" si="33"/>
        <v>1</v>
      </c>
      <c r="AJ191" s="411"/>
      <c r="AK191" s="411"/>
      <c r="AL191" s="411"/>
      <c r="AM191" s="411"/>
      <c r="AN191" s="412"/>
      <c r="AO191" s="412"/>
    </row>
    <row r="192" spans="1:41" ht="12.75" customHeight="1">
      <c r="B192" s="108">
        <f t="shared" si="34"/>
        <v>189</v>
      </c>
      <c r="C192" s="6">
        <v>705000</v>
      </c>
      <c r="D192" s="6" t="s">
        <v>738</v>
      </c>
      <c r="E192" s="9" t="s">
        <v>32</v>
      </c>
      <c r="F192" s="6"/>
      <c r="G192" s="6"/>
      <c r="H192" s="121"/>
      <c r="I192" s="121"/>
      <c r="J192" s="11">
        <f>+SUMIFS(JURNAL!G:G,JURNAL!E:E,C192,JURNAL!C:C,"&gt;="&amp;$H$1,JURNAL!C:C,"&lt;="&amp;$I$1)</f>
        <v>0</v>
      </c>
      <c r="K192" s="11">
        <f>+SUMIFS(JURNAL!H:H,JURNAL!E:E,C192,JURNAL!C:C,"&gt;="&amp;$H$1,JURNAL!C:C,"&lt;="&amp;$I$1)</f>
        <v>0</v>
      </c>
      <c r="L192" s="26">
        <f t="shared" si="36"/>
        <v>0</v>
      </c>
      <c r="M192" s="27">
        <f t="shared" si="37"/>
        <v>0</v>
      </c>
      <c r="N192" s="11"/>
      <c r="O192" s="11"/>
      <c r="P192" s="11"/>
      <c r="Q192" s="11"/>
      <c r="R192" s="26">
        <f t="shared" si="38"/>
        <v>0</v>
      </c>
      <c r="S192" s="27">
        <f t="shared" si="39"/>
        <v>0</v>
      </c>
      <c r="T192" s="11">
        <f t="shared" si="43"/>
        <v>0</v>
      </c>
      <c r="U192" s="11">
        <f t="shared" si="40"/>
        <v>0</v>
      </c>
      <c r="V192" s="26">
        <f t="shared" si="41"/>
        <v>0</v>
      </c>
      <c r="W192" s="27">
        <f t="shared" si="42"/>
        <v>0</v>
      </c>
      <c r="X192" s="4">
        <v>7002</v>
      </c>
      <c r="Y192" s="4"/>
      <c r="Z192" s="4"/>
      <c r="AA192" s="12">
        <f t="shared" si="33"/>
        <v>0</v>
      </c>
      <c r="AJ192" s="411"/>
      <c r="AK192" s="411"/>
      <c r="AL192" s="411"/>
      <c r="AM192" s="411"/>
      <c r="AN192" s="412"/>
      <c r="AO192" s="412"/>
    </row>
    <row r="193" spans="2:41" ht="12.75" customHeight="1">
      <c r="B193" s="108">
        <f t="shared" si="34"/>
        <v>190</v>
      </c>
      <c r="C193" s="6">
        <v>705800</v>
      </c>
      <c r="D193" s="6" t="s">
        <v>742</v>
      </c>
      <c r="E193" s="9" t="s">
        <v>32</v>
      </c>
      <c r="F193" s="6"/>
      <c r="G193" s="6"/>
      <c r="H193" s="121"/>
      <c r="I193" s="121"/>
      <c r="J193" s="11">
        <f>+SUMIFS(JURNAL!G:G,JURNAL!E:E,C193,JURNAL!C:C,"&gt;="&amp;$H$1,JURNAL!C:C,"&lt;="&amp;$I$1)</f>
        <v>4500000</v>
      </c>
      <c r="K193" s="11">
        <f>+SUMIFS(JURNAL!H:H,JURNAL!E:E,C193,JURNAL!C:C,"&gt;="&amp;$H$1,JURNAL!C:C,"&lt;="&amp;$I$1)</f>
        <v>0</v>
      </c>
      <c r="L193" s="26">
        <f t="shared" si="36"/>
        <v>4500000</v>
      </c>
      <c r="M193" s="27">
        <f t="shared" si="37"/>
        <v>0</v>
      </c>
      <c r="N193" s="11"/>
      <c r="O193" s="11"/>
      <c r="P193" s="11"/>
      <c r="Q193" s="11"/>
      <c r="R193" s="26">
        <f t="shared" si="38"/>
        <v>4500000</v>
      </c>
      <c r="S193" s="27">
        <f t="shared" si="39"/>
        <v>0</v>
      </c>
      <c r="T193" s="11">
        <f t="shared" si="43"/>
        <v>0</v>
      </c>
      <c r="U193" s="11">
        <f t="shared" si="40"/>
        <v>4500000</v>
      </c>
      <c r="V193" s="26">
        <f t="shared" si="41"/>
        <v>0</v>
      </c>
      <c r="W193" s="27">
        <f t="shared" si="42"/>
        <v>0</v>
      </c>
      <c r="X193" s="4">
        <v>7002</v>
      </c>
      <c r="Y193" s="4"/>
      <c r="Z193" s="4"/>
      <c r="AA193" s="12">
        <f t="shared" si="33"/>
        <v>1</v>
      </c>
      <c r="AJ193" s="411"/>
      <c r="AK193" s="411"/>
      <c r="AL193" s="411"/>
      <c r="AM193" s="411"/>
      <c r="AN193" s="412"/>
      <c r="AO193" s="412"/>
    </row>
    <row r="194" spans="2:41" ht="12.75" customHeight="1">
      <c r="B194" s="108">
        <f t="shared" si="34"/>
        <v>191</v>
      </c>
      <c r="C194" s="6">
        <v>705900</v>
      </c>
      <c r="D194" s="6" t="s">
        <v>969</v>
      </c>
      <c r="E194" s="9" t="s">
        <v>32</v>
      </c>
      <c r="F194" s="6"/>
      <c r="G194" s="6"/>
      <c r="H194" s="121"/>
      <c r="I194" s="121"/>
      <c r="J194" s="11">
        <f>+SUMIFS(JURNAL!G:G,JURNAL!E:E,C194,JURNAL!C:C,"&gt;="&amp;$H$1,JURNAL!C:C,"&lt;="&amp;$I$1)</f>
        <v>0</v>
      </c>
      <c r="K194" s="11">
        <f>+SUMIFS(JURNAL!H:H,JURNAL!E:E,C194,JURNAL!C:C,"&gt;="&amp;$H$1,JURNAL!C:C,"&lt;="&amp;$I$1)</f>
        <v>0</v>
      </c>
      <c r="L194" s="26">
        <f t="shared" si="36"/>
        <v>0</v>
      </c>
      <c r="M194" s="27">
        <f t="shared" si="37"/>
        <v>0</v>
      </c>
      <c r="N194" s="11"/>
      <c r="O194" s="11"/>
      <c r="P194" s="11"/>
      <c r="Q194" s="11"/>
      <c r="R194" s="26">
        <f t="shared" si="38"/>
        <v>0</v>
      </c>
      <c r="S194" s="27">
        <f t="shared" si="39"/>
        <v>0</v>
      </c>
      <c r="T194" s="11">
        <f t="shared" si="43"/>
        <v>0</v>
      </c>
      <c r="U194" s="11">
        <f t="shared" si="40"/>
        <v>0</v>
      </c>
      <c r="V194" s="26">
        <f t="shared" si="41"/>
        <v>0</v>
      </c>
      <c r="W194" s="27">
        <f t="shared" si="42"/>
        <v>0</v>
      </c>
      <c r="X194" s="4">
        <v>7002</v>
      </c>
      <c r="Y194" s="4"/>
      <c r="Z194" s="4"/>
      <c r="AA194" s="12">
        <f t="shared" si="33"/>
        <v>0</v>
      </c>
      <c r="AC194" s="21">
        <v>3625167.0589999999</v>
      </c>
      <c r="AJ194" s="411"/>
      <c r="AK194" s="411"/>
      <c r="AL194" s="411"/>
      <c r="AM194" s="411"/>
      <c r="AN194" s="412"/>
      <c r="AO194" s="412"/>
    </row>
    <row r="195" spans="2:41" ht="12.75" customHeight="1">
      <c r="B195" s="108">
        <f t="shared" si="34"/>
        <v>192</v>
      </c>
      <c r="C195" s="6">
        <v>706000</v>
      </c>
      <c r="D195" s="6" t="s">
        <v>750</v>
      </c>
      <c r="E195" s="9" t="s">
        <v>32</v>
      </c>
      <c r="F195" s="6"/>
      <c r="G195" s="6"/>
      <c r="H195" s="121"/>
      <c r="I195" s="121"/>
      <c r="J195" s="11">
        <f>+SUMIFS(JURNAL!G:G,JURNAL!E:E,C195,JURNAL!C:C,"&gt;="&amp;$H$1,JURNAL!C:C,"&lt;="&amp;$I$1)</f>
        <v>1643100</v>
      </c>
      <c r="K195" s="11">
        <f>+SUMIFS(JURNAL!H:H,JURNAL!E:E,C195,JURNAL!C:C,"&gt;="&amp;$H$1,JURNAL!C:C,"&lt;="&amp;$I$1)</f>
        <v>0</v>
      </c>
      <c r="L195" s="26">
        <f t="shared" si="36"/>
        <v>1643100</v>
      </c>
      <c r="M195" s="27">
        <f t="shared" si="37"/>
        <v>0</v>
      </c>
      <c r="N195" s="11"/>
      <c r="O195" s="11"/>
      <c r="P195" s="11"/>
      <c r="Q195" s="11"/>
      <c r="R195" s="26">
        <f t="shared" si="38"/>
        <v>1643100</v>
      </c>
      <c r="S195" s="27">
        <f t="shared" si="39"/>
        <v>0</v>
      </c>
      <c r="T195" s="11">
        <f t="shared" si="43"/>
        <v>0</v>
      </c>
      <c r="U195" s="11">
        <f t="shared" si="40"/>
        <v>1643100</v>
      </c>
      <c r="V195" s="26">
        <f t="shared" si="41"/>
        <v>0</v>
      </c>
      <c r="W195" s="27">
        <f t="shared" si="42"/>
        <v>0</v>
      </c>
      <c r="X195" s="4">
        <v>7002</v>
      </c>
      <c r="Y195" s="4"/>
      <c r="Z195" s="4"/>
      <c r="AA195" s="12">
        <f t="shared" si="33"/>
        <v>1</v>
      </c>
      <c r="AJ195" s="411"/>
      <c r="AK195" s="411"/>
      <c r="AL195" s="411"/>
      <c r="AM195" s="411"/>
      <c r="AN195" s="412"/>
      <c r="AO195" s="412"/>
    </row>
    <row r="196" spans="2:41" ht="12.75" customHeight="1">
      <c r="B196" s="108">
        <f t="shared" si="34"/>
        <v>193</v>
      </c>
      <c r="C196" s="6">
        <v>840000</v>
      </c>
      <c r="D196" s="6" t="s">
        <v>816</v>
      </c>
      <c r="E196" s="9" t="s">
        <v>32</v>
      </c>
      <c r="F196" s="6"/>
      <c r="G196" s="6"/>
      <c r="H196" s="121"/>
      <c r="I196" s="121"/>
      <c r="J196" s="11">
        <f>+SUMIFS(JURNAL!G:G,JURNAL!E:E,C196,JURNAL!C:C,"&gt;="&amp;$H$1,JURNAL!C:C,"&lt;="&amp;$I$1)</f>
        <v>0</v>
      </c>
      <c r="K196" s="11">
        <f>+SUMIFS(JURNAL!H:H,JURNAL!E:E,C196,JURNAL!C:C,"&gt;="&amp;$H$1,JURNAL!C:C,"&lt;="&amp;$I$1)</f>
        <v>0</v>
      </c>
      <c r="L196" s="26">
        <f t="shared" si="36"/>
        <v>0</v>
      </c>
      <c r="M196" s="27">
        <f t="shared" si="37"/>
        <v>0</v>
      </c>
      <c r="N196" s="11"/>
      <c r="O196" s="11"/>
      <c r="P196" s="11"/>
      <c r="Q196" s="11"/>
      <c r="R196" s="26">
        <f t="shared" si="38"/>
        <v>0</v>
      </c>
      <c r="S196" s="27">
        <f t="shared" si="39"/>
        <v>0</v>
      </c>
      <c r="T196" s="11">
        <f t="shared" si="43"/>
        <v>0</v>
      </c>
      <c r="U196" s="11">
        <f t="shared" si="40"/>
        <v>0</v>
      </c>
      <c r="V196" s="26">
        <f t="shared" si="41"/>
        <v>0</v>
      </c>
      <c r="W196" s="27">
        <f t="shared" si="42"/>
        <v>0</v>
      </c>
      <c r="X196" s="4">
        <v>8400</v>
      </c>
      <c r="Y196" s="4"/>
      <c r="Z196" s="4"/>
      <c r="AA196" s="12">
        <f t="shared" si="33"/>
        <v>0</v>
      </c>
      <c r="AJ196" s="411"/>
      <c r="AK196" s="411"/>
      <c r="AL196" s="411"/>
      <c r="AM196" s="411"/>
      <c r="AN196" s="412"/>
      <c r="AO196" s="412"/>
    </row>
    <row r="197" spans="2:41" ht="12.75" customHeight="1">
      <c r="B197" s="108">
        <f t="shared" si="34"/>
        <v>194</v>
      </c>
      <c r="C197" s="6">
        <v>840100</v>
      </c>
      <c r="D197" s="6" t="s">
        <v>819</v>
      </c>
      <c r="E197" s="9" t="s">
        <v>32</v>
      </c>
      <c r="F197" s="6"/>
      <c r="G197" s="6"/>
      <c r="H197" s="121"/>
      <c r="I197" s="121"/>
      <c r="J197" s="11">
        <f>+SUMIFS(JURNAL!G:G,JURNAL!E:E,C197,JURNAL!C:C,"&gt;="&amp;$H$1,JURNAL!C:C,"&lt;="&amp;$I$1)</f>
        <v>0</v>
      </c>
      <c r="K197" s="11">
        <f>+SUMIFS(JURNAL!H:H,JURNAL!E:E,C197,JURNAL!C:C,"&gt;="&amp;$H$1,JURNAL!C:C,"&lt;="&amp;$I$1)</f>
        <v>0</v>
      </c>
      <c r="L197" s="26">
        <f t="shared" si="36"/>
        <v>0</v>
      </c>
      <c r="M197" s="27">
        <f t="shared" si="37"/>
        <v>0</v>
      </c>
      <c r="N197" s="11"/>
      <c r="O197" s="11"/>
      <c r="P197" s="11"/>
      <c r="Q197" s="11"/>
      <c r="R197" s="26">
        <f t="shared" si="38"/>
        <v>0</v>
      </c>
      <c r="S197" s="27">
        <f t="shared" si="39"/>
        <v>0</v>
      </c>
      <c r="T197" s="11">
        <f t="shared" si="43"/>
        <v>0</v>
      </c>
      <c r="U197" s="11">
        <f t="shared" si="40"/>
        <v>0</v>
      </c>
      <c r="V197" s="26">
        <f t="shared" si="41"/>
        <v>0</v>
      </c>
      <c r="W197" s="27">
        <f t="shared" si="42"/>
        <v>0</v>
      </c>
      <c r="X197" s="4">
        <v>8401</v>
      </c>
      <c r="Y197" s="4"/>
      <c r="Z197" s="4"/>
      <c r="AA197" s="12">
        <f t="shared" ref="AA197:AA214" si="46">+IF(H197+I197+J197+K197+L197+M197+N197+O197+R197+S197+T197+U197+V197+W197,1,0)</f>
        <v>0</v>
      </c>
      <c r="AJ197" s="411"/>
      <c r="AK197" s="411"/>
      <c r="AL197" s="411"/>
      <c r="AM197" s="411"/>
      <c r="AN197" s="412"/>
      <c r="AO197" s="412"/>
    </row>
    <row r="198" spans="2:41" ht="12.75" customHeight="1">
      <c r="B198" s="108">
        <f t="shared" ref="B198:B215" si="47">+B197+1</f>
        <v>195</v>
      </c>
      <c r="C198" s="6">
        <v>840200</v>
      </c>
      <c r="D198" s="6" t="s">
        <v>822</v>
      </c>
      <c r="E198" s="9" t="s">
        <v>32</v>
      </c>
      <c r="F198" s="6"/>
      <c r="G198" s="6"/>
      <c r="H198" s="121"/>
      <c r="I198" s="121"/>
      <c r="J198" s="11">
        <f>+SUMIFS(JURNAL!G:G,JURNAL!E:E,C198,JURNAL!C:C,"&gt;="&amp;$H$1,JURNAL!C:C,"&lt;="&amp;$I$1)</f>
        <v>0</v>
      </c>
      <c r="K198" s="11">
        <f>+SUMIFS(JURNAL!H:H,JURNAL!E:E,C198,JURNAL!C:C,"&gt;="&amp;$H$1,JURNAL!C:C,"&lt;="&amp;$I$1)</f>
        <v>0</v>
      </c>
      <c r="L198" s="26">
        <f t="shared" si="36"/>
        <v>0</v>
      </c>
      <c r="M198" s="27">
        <f t="shared" si="37"/>
        <v>0</v>
      </c>
      <c r="N198" s="11"/>
      <c r="O198" s="11"/>
      <c r="P198" s="11"/>
      <c r="Q198" s="11"/>
      <c r="R198" s="26">
        <f t="shared" si="38"/>
        <v>0</v>
      </c>
      <c r="S198" s="27">
        <f t="shared" si="39"/>
        <v>0</v>
      </c>
      <c r="T198" s="11">
        <f t="shared" si="43"/>
        <v>0</v>
      </c>
      <c r="U198" s="11">
        <f t="shared" si="40"/>
        <v>0</v>
      </c>
      <c r="V198" s="26">
        <f t="shared" si="41"/>
        <v>0</v>
      </c>
      <c r="W198" s="27">
        <f t="shared" si="42"/>
        <v>0</v>
      </c>
      <c r="X198" s="4">
        <v>8401</v>
      </c>
      <c r="Y198" s="4"/>
      <c r="Z198" s="4"/>
      <c r="AA198" s="12">
        <f t="shared" si="46"/>
        <v>0</v>
      </c>
      <c r="AJ198" s="411"/>
      <c r="AK198" s="411"/>
      <c r="AL198" s="411"/>
      <c r="AM198" s="411"/>
      <c r="AN198" s="412"/>
      <c r="AO198" s="412"/>
    </row>
    <row r="199" spans="2:41" ht="12.75" customHeight="1">
      <c r="B199" s="108">
        <f t="shared" si="47"/>
        <v>196</v>
      </c>
      <c r="C199" s="6">
        <v>840400</v>
      </c>
      <c r="D199" s="6" t="s">
        <v>825</v>
      </c>
      <c r="E199" s="9" t="s">
        <v>32</v>
      </c>
      <c r="F199" s="6"/>
      <c r="G199" s="6"/>
      <c r="H199" s="121"/>
      <c r="I199" s="121"/>
      <c r="J199" s="11">
        <f>+SUMIFS(JURNAL!G:G,JURNAL!E:E,C199,JURNAL!C:C,"&gt;="&amp;$H$1,JURNAL!C:C,"&lt;="&amp;$I$1)</f>
        <v>0</v>
      </c>
      <c r="K199" s="11">
        <f>+SUMIFS(JURNAL!H:H,JURNAL!E:E,C199,JURNAL!C:C,"&gt;="&amp;$H$1,JURNAL!C:C,"&lt;="&amp;$I$1)</f>
        <v>0</v>
      </c>
      <c r="L199" s="26">
        <f t="shared" si="36"/>
        <v>0</v>
      </c>
      <c r="M199" s="27">
        <f t="shared" si="37"/>
        <v>0</v>
      </c>
      <c r="N199" s="11"/>
      <c r="O199" s="11"/>
      <c r="P199" s="11"/>
      <c r="Q199" s="11"/>
      <c r="R199" s="26">
        <f t="shared" si="38"/>
        <v>0</v>
      </c>
      <c r="S199" s="27">
        <f t="shared" si="39"/>
        <v>0</v>
      </c>
      <c r="T199" s="11">
        <f t="shared" si="43"/>
        <v>0</v>
      </c>
      <c r="U199" s="11">
        <f t="shared" si="40"/>
        <v>0</v>
      </c>
      <c r="V199" s="26">
        <f t="shared" si="41"/>
        <v>0</v>
      </c>
      <c r="W199" s="27">
        <f t="shared" si="42"/>
        <v>0</v>
      </c>
      <c r="X199" s="4">
        <v>5112</v>
      </c>
      <c r="Y199" s="4"/>
      <c r="Z199" s="4"/>
      <c r="AA199" s="12">
        <f t="shared" si="46"/>
        <v>0</v>
      </c>
      <c r="AJ199" s="411"/>
      <c r="AK199" s="411"/>
      <c r="AL199" s="411"/>
      <c r="AM199" s="411"/>
      <c r="AN199" s="412"/>
      <c r="AO199" s="412"/>
    </row>
    <row r="200" spans="2:41" ht="12.75" customHeight="1">
      <c r="B200" s="108">
        <f t="shared" si="47"/>
        <v>197</v>
      </c>
      <c r="C200" s="6">
        <v>840500</v>
      </c>
      <c r="D200" s="6" t="s">
        <v>828</v>
      </c>
      <c r="E200" s="9" t="s">
        <v>32</v>
      </c>
      <c r="F200" s="6"/>
      <c r="G200" s="6"/>
      <c r="H200" s="121"/>
      <c r="I200" s="121"/>
      <c r="J200" s="11">
        <f>+SUMIFS(JURNAL!G:G,JURNAL!E:E,C200,JURNAL!C:C,"&gt;="&amp;$H$1,JURNAL!C:C,"&lt;="&amp;$I$1)</f>
        <v>0</v>
      </c>
      <c r="K200" s="11">
        <f>+SUMIFS(JURNAL!H:H,JURNAL!E:E,C200,JURNAL!C:C,"&gt;="&amp;$H$1,JURNAL!C:C,"&lt;="&amp;$I$1)</f>
        <v>0</v>
      </c>
      <c r="L200" s="26">
        <f t="shared" si="36"/>
        <v>0</v>
      </c>
      <c r="M200" s="27">
        <f t="shared" si="37"/>
        <v>0</v>
      </c>
      <c r="N200" s="11"/>
      <c r="O200" s="11"/>
      <c r="P200" s="11"/>
      <c r="Q200" s="11"/>
      <c r="R200" s="26">
        <f t="shared" si="38"/>
        <v>0</v>
      </c>
      <c r="S200" s="27">
        <f t="shared" si="39"/>
        <v>0</v>
      </c>
      <c r="T200" s="11">
        <f t="shared" si="43"/>
        <v>0</v>
      </c>
      <c r="U200" s="11">
        <f t="shared" si="40"/>
        <v>0</v>
      </c>
      <c r="V200" s="26">
        <f t="shared" si="41"/>
        <v>0</v>
      </c>
      <c r="W200" s="27">
        <f t="shared" si="42"/>
        <v>0</v>
      </c>
      <c r="X200" s="4">
        <v>8405</v>
      </c>
      <c r="Y200" s="4"/>
      <c r="Z200" s="4"/>
      <c r="AA200" s="12">
        <f t="shared" si="46"/>
        <v>0</v>
      </c>
      <c r="AJ200" s="411"/>
      <c r="AK200" s="411"/>
      <c r="AL200" s="411"/>
      <c r="AM200" s="411"/>
      <c r="AN200" s="412"/>
      <c r="AO200" s="412"/>
    </row>
    <row r="201" spans="2:41" ht="12.75" customHeight="1">
      <c r="B201" s="108">
        <f t="shared" si="47"/>
        <v>198</v>
      </c>
      <c r="C201" s="6">
        <v>840800</v>
      </c>
      <c r="D201" s="6" t="s">
        <v>834</v>
      </c>
      <c r="E201" s="9" t="s">
        <v>32</v>
      </c>
      <c r="F201" s="6"/>
      <c r="G201" s="6"/>
      <c r="H201" s="121"/>
      <c r="I201" s="121"/>
      <c r="J201" s="11">
        <f>+SUMIFS(JURNAL!G:G,JURNAL!E:E,C201,JURNAL!C:C,"&gt;="&amp;$H$1,JURNAL!C:C,"&lt;="&amp;$I$1)</f>
        <v>0</v>
      </c>
      <c r="K201" s="11">
        <f>+SUMIFS(JURNAL!H:H,JURNAL!E:E,C201,JURNAL!C:C,"&gt;="&amp;$H$1,JURNAL!C:C,"&lt;="&amp;$I$1)</f>
        <v>0</v>
      </c>
      <c r="L201" s="26">
        <f t="shared" si="36"/>
        <v>0</v>
      </c>
      <c r="M201" s="27">
        <f t="shared" si="37"/>
        <v>0</v>
      </c>
      <c r="N201" s="11"/>
      <c r="O201" s="11"/>
      <c r="P201" s="11"/>
      <c r="Q201" s="11"/>
      <c r="R201" s="26">
        <f t="shared" si="38"/>
        <v>0</v>
      </c>
      <c r="S201" s="27">
        <f t="shared" si="39"/>
        <v>0</v>
      </c>
      <c r="T201" s="11">
        <f t="shared" si="43"/>
        <v>0</v>
      </c>
      <c r="U201" s="11">
        <f t="shared" si="40"/>
        <v>0</v>
      </c>
      <c r="V201" s="26">
        <f t="shared" si="41"/>
        <v>0</v>
      </c>
      <c r="W201" s="27">
        <f t="shared" si="42"/>
        <v>0</v>
      </c>
      <c r="X201" s="4">
        <v>8400</v>
      </c>
      <c r="Y201" s="4"/>
      <c r="Z201" s="4"/>
      <c r="AA201" s="12">
        <f t="shared" si="46"/>
        <v>0</v>
      </c>
      <c r="AJ201" s="411"/>
      <c r="AK201" s="411"/>
      <c r="AL201" s="411"/>
      <c r="AM201" s="411"/>
      <c r="AN201" s="412"/>
      <c r="AO201" s="412"/>
    </row>
    <row r="202" spans="2:41" ht="12.75" customHeight="1">
      <c r="B202" s="108">
        <f t="shared" si="47"/>
        <v>199</v>
      </c>
      <c r="C202" s="6">
        <v>840900</v>
      </c>
      <c r="D202" s="6" t="s">
        <v>836</v>
      </c>
      <c r="E202" s="9" t="s">
        <v>32</v>
      </c>
      <c r="F202" s="6"/>
      <c r="G202" s="6"/>
      <c r="H202" s="121"/>
      <c r="I202" s="121"/>
      <c r="J202" s="11">
        <f>+SUMIFS(JURNAL!G:G,JURNAL!E:E,C202,JURNAL!C:C,"&gt;="&amp;$H$1,JURNAL!C:C,"&lt;="&amp;$I$1)</f>
        <v>0</v>
      </c>
      <c r="K202" s="11">
        <f>+SUMIFS(JURNAL!H:H,JURNAL!E:E,C202,JURNAL!C:C,"&gt;="&amp;$H$1,JURNAL!C:C,"&lt;="&amp;$I$1)</f>
        <v>0</v>
      </c>
      <c r="L202" s="26">
        <f t="shared" si="36"/>
        <v>0</v>
      </c>
      <c r="M202" s="27">
        <f t="shared" si="37"/>
        <v>0</v>
      </c>
      <c r="N202" s="11"/>
      <c r="O202" s="11"/>
      <c r="P202" s="11"/>
      <c r="Q202" s="11"/>
      <c r="R202" s="26">
        <f t="shared" si="38"/>
        <v>0</v>
      </c>
      <c r="S202" s="27">
        <f t="shared" si="39"/>
        <v>0</v>
      </c>
      <c r="T202" s="11">
        <f t="shared" si="43"/>
        <v>0</v>
      </c>
      <c r="U202" s="11">
        <f t="shared" si="40"/>
        <v>0</v>
      </c>
      <c r="V202" s="26">
        <f t="shared" si="41"/>
        <v>0</v>
      </c>
      <c r="W202" s="27">
        <f t="shared" si="42"/>
        <v>0</v>
      </c>
      <c r="X202" s="4">
        <v>8409</v>
      </c>
      <c r="Y202" s="4"/>
      <c r="Z202" s="4"/>
      <c r="AA202" s="12">
        <f t="shared" si="46"/>
        <v>0</v>
      </c>
      <c r="AJ202" s="411"/>
      <c r="AK202" s="411"/>
      <c r="AL202" s="411"/>
      <c r="AM202" s="411"/>
      <c r="AN202" s="412"/>
      <c r="AO202" s="412"/>
    </row>
    <row r="203" spans="2:41" ht="12.75" customHeight="1">
      <c r="B203" s="108">
        <f t="shared" si="47"/>
        <v>200</v>
      </c>
      <c r="C203" s="6">
        <v>870000</v>
      </c>
      <c r="D203" s="6" t="s">
        <v>840</v>
      </c>
      <c r="E203" s="9" t="s">
        <v>32</v>
      </c>
      <c r="F203" s="6"/>
      <c r="G203" s="6"/>
      <c r="H203" s="121"/>
      <c r="I203" s="121"/>
      <c r="J203" s="11">
        <f>+SUMIFS(JURNAL!G:G,JURNAL!E:E,C203,JURNAL!C:C,"&gt;="&amp;$H$1,JURNAL!C:C,"&lt;="&amp;$I$1)</f>
        <v>0</v>
      </c>
      <c r="K203" s="11">
        <f>+SUMIFS(JURNAL!H:H,JURNAL!E:E,C203,JURNAL!C:C,"&gt;="&amp;$H$1,JURNAL!C:C,"&lt;="&amp;$I$1)</f>
        <v>0</v>
      </c>
      <c r="L203" s="26">
        <f t="shared" si="36"/>
        <v>0</v>
      </c>
      <c r="M203" s="27">
        <f t="shared" si="37"/>
        <v>0</v>
      </c>
      <c r="N203" s="11"/>
      <c r="O203" s="11"/>
      <c r="P203" s="11"/>
      <c r="Q203" s="11"/>
      <c r="R203" s="26">
        <f t="shared" si="38"/>
        <v>0</v>
      </c>
      <c r="S203" s="27">
        <f t="shared" si="39"/>
        <v>0</v>
      </c>
      <c r="T203" s="11">
        <f t="shared" si="43"/>
        <v>0</v>
      </c>
      <c r="U203" s="11">
        <f t="shared" si="40"/>
        <v>0</v>
      </c>
      <c r="V203" s="26">
        <f t="shared" si="41"/>
        <v>0</v>
      </c>
      <c r="W203" s="27">
        <f t="shared" si="42"/>
        <v>0</v>
      </c>
      <c r="X203" s="4">
        <v>8400</v>
      </c>
      <c r="Y203" s="4"/>
      <c r="Z203" s="4"/>
      <c r="AA203" s="12">
        <f t="shared" si="46"/>
        <v>0</v>
      </c>
      <c r="AJ203" s="411"/>
      <c r="AK203" s="411"/>
      <c r="AL203" s="411"/>
      <c r="AM203" s="411"/>
      <c r="AN203" s="412"/>
      <c r="AO203" s="412"/>
    </row>
    <row r="204" spans="2:41" ht="12.75" customHeight="1">
      <c r="B204" s="108">
        <f t="shared" si="47"/>
        <v>201</v>
      </c>
      <c r="C204" s="6">
        <v>870100</v>
      </c>
      <c r="D204" s="6" t="s">
        <v>843</v>
      </c>
      <c r="E204" s="9" t="s">
        <v>32</v>
      </c>
      <c r="F204" s="6"/>
      <c r="G204" s="6"/>
      <c r="H204" s="121"/>
      <c r="I204" s="121"/>
      <c r="J204" s="11">
        <f>+SUMIFS(JURNAL!G:G,JURNAL!E:E,C204,JURNAL!C:C,"&gt;="&amp;$H$1,JURNAL!C:C,"&lt;="&amp;$I$1)</f>
        <v>0</v>
      </c>
      <c r="K204" s="11">
        <f>+SUMIFS(JURNAL!H:H,JURNAL!E:E,C204,JURNAL!C:C,"&gt;="&amp;$H$1,JURNAL!C:C,"&lt;="&amp;$I$1)</f>
        <v>0</v>
      </c>
      <c r="L204" s="26">
        <f t="shared" si="36"/>
        <v>0</v>
      </c>
      <c r="M204" s="27">
        <f t="shared" si="37"/>
        <v>0</v>
      </c>
      <c r="N204" s="11"/>
      <c r="O204" s="11"/>
      <c r="P204" s="11"/>
      <c r="Q204" s="11"/>
      <c r="R204" s="26">
        <f t="shared" si="38"/>
        <v>0</v>
      </c>
      <c r="S204" s="27">
        <f t="shared" si="39"/>
        <v>0</v>
      </c>
      <c r="T204" s="11">
        <f t="shared" si="43"/>
        <v>0</v>
      </c>
      <c r="U204" s="11">
        <f t="shared" si="40"/>
        <v>0</v>
      </c>
      <c r="V204" s="26">
        <f t="shared" si="41"/>
        <v>0</v>
      </c>
      <c r="W204" s="27">
        <f t="shared" si="42"/>
        <v>0</v>
      </c>
      <c r="X204" s="4">
        <v>8401</v>
      </c>
      <c r="Y204" s="4"/>
      <c r="Z204" s="4"/>
      <c r="AA204" s="12">
        <f t="shared" si="46"/>
        <v>0</v>
      </c>
      <c r="AJ204" s="411"/>
      <c r="AK204" s="411"/>
      <c r="AL204" s="411"/>
      <c r="AM204" s="411"/>
      <c r="AN204" s="412"/>
      <c r="AO204" s="412"/>
    </row>
    <row r="205" spans="2:41" ht="12.75" customHeight="1">
      <c r="B205" s="108">
        <f t="shared" si="47"/>
        <v>202</v>
      </c>
      <c r="C205" s="6">
        <v>870200</v>
      </c>
      <c r="D205" s="6" t="s">
        <v>846</v>
      </c>
      <c r="E205" s="9" t="s">
        <v>32</v>
      </c>
      <c r="F205" s="6"/>
      <c r="G205" s="6"/>
      <c r="H205" s="121"/>
      <c r="I205" s="121"/>
      <c r="J205" s="11">
        <f>+SUMIFS(JURNAL!G:G,JURNAL!E:E,C205,JURNAL!C:C,"&gt;="&amp;$H$1,JURNAL!C:C,"&lt;="&amp;$I$1)</f>
        <v>0</v>
      </c>
      <c r="K205" s="11">
        <f>+SUMIFS(JURNAL!H:H,JURNAL!E:E,C205,JURNAL!C:C,"&gt;="&amp;$H$1,JURNAL!C:C,"&lt;="&amp;$I$1)</f>
        <v>0</v>
      </c>
      <c r="L205" s="26">
        <f t="shared" ref="L205:L215" si="48">+IF((H205+J205)&gt;(I205+K205),(H205+J205)-(I205+K205),0)</f>
        <v>0</v>
      </c>
      <c r="M205" s="27">
        <f t="shared" ref="M205:M215" si="49">+IF((H205+J205)&lt;(I205+K205),(I205+K205)-(H205+J205),0)</f>
        <v>0</v>
      </c>
      <c r="N205" s="11">
        <v>8783.9599999999991</v>
      </c>
      <c r="O205" s="11"/>
      <c r="P205" s="11"/>
      <c r="Q205" s="11"/>
      <c r="R205" s="26">
        <f t="shared" ref="R205:R215" si="50">+IF((L205+N205)&gt;(M205+O205),(L205+N205)-(M205+O205),0)</f>
        <v>8783.9599999999991</v>
      </c>
      <c r="S205" s="27">
        <f t="shared" ref="S205:S215" si="51">+IF((L205+N205)&lt;(M205+O205),(M205+O205)-(L205+N205),0)</f>
        <v>0</v>
      </c>
      <c r="T205" s="11">
        <f t="shared" ref="T205:T214" si="52">+S205</f>
        <v>0</v>
      </c>
      <c r="U205" s="11">
        <f t="shared" ref="U205:U214" si="53">+R205</f>
        <v>8783.9599999999991</v>
      </c>
      <c r="V205" s="26">
        <f t="shared" ref="V205:V215" si="54">+IF((R205+T205)&gt;(S205+U205),(R205+T205)-(S205+U205),0)</f>
        <v>0</v>
      </c>
      <c r="W205" s="27">
        <f t="shared" ref="W205:W215" si="55">+IF((R205+T205)&lt;(S205+U205),(S205+U205)-(R205+T205),0)</f>
        <v>0</v>
      </c>
      <c r="X205" s="4">
        <v>8401</v>
      </c>
      <c r="Y205" s="4"/>
      <c r="Z205" s="4"/>
      <c r="AA205" s="12">
        <f t="shared" si="46"/>
        <v>1</v>
      </c>
      <c r="AJ205" s="411"/>
      <c r="AK205" s="411"/>
      <c r="AL205" s="411"/>
      <c r="AM205" s="411"/>
      <c r="AN205" s="412"/>
      <c r="AO205" s="412"/>
    </row>
    <row r="206" spans="2:41" ht="12.75" customHeight="1">
      <c r="B206" s="108">
        <f t="shared" si="47"/>
        <v>203</v>
      </c>
      <c r="C206" s="6">
        <v>870300</v>
      </c>
      <c r="D206" s="6" t="s">
        <v>276</v>
      </c>
      <c r="E206" s="9" t="s">
        <v>32</v>
      </c>
      <c r="F206" s="6"/>
      <c r="G206" s="6"/>
      <c r="H206" s="121"/>
      <c r="I206" s="121"/>
      <c r="J206" s="11">
        <f>+SUMIFS(JURNAL!G:G,JURNAL!E:E,C206,JURNAL!C:C,"&gt;="&amp;$H$1,JURNAL!C:C,"&lt;="&amp;$I$1)</f>
        <v>0</v>
      </c>
      <c r="K206" s="11">
        <f>+SUMIFS(JURNAL!H:H,JURNAL!E:E,C206,JURNAL!C:C,"&gt;="&amp;$H$1,JURNAL!C:C,"&lt;="&amp;$I$1)</f>
        <v>0</v>
      </c>
      <c r="L206" s="26">
        <f t="shared" si="48"/>
        <v>0</v>
      </c>
      <c r="M206" s="27">
        <f t="shared" si="49"/>
        <v>0</v>
      </c>
      <c r="N206" s="11"/>
      <c r="O206" s="11"/>
      <c r="P206" s="11"/>
      <c r="Q206" s="11"/>
      <c r="R206" s="26">
        <f t="shared" si="50"/>
        <v>0</v>
      </c>
      <c r="S206" s="27">
        <f t="shared" si="51"/>
        <v>0</v>
      </c>
      <c r="T206" s="11">
        <f t="shared" si="52"/>
        <v>0</v>
      </c>
      <c r="U206" s="11">
        <f t="shared" si="53"/>
        <v>0</v>
      </c>
      <c r="V206" s="26">
        <f t="shared" si="54"/>
        <v>0</v>
      </c>
      <c r="W206" s="27">
        <f t="shared" si="55"/>
        <v>0</v>
      </c>
      <c r="X206" s="4">
        <v>7201</v>
      </c>
      <c r="Y206" s="4"/>
      <c r="Z206" s="4"/>
      <c r="AA206" s="12">
        <f t="shared" si="46"/>
        <v>0</v>
      </c>
      <c r="AJ206" s="411"/>
      <c r="AK206" s="411"/>
      <c r="AL206" s="411"/>
      <c r="AM206" s="411"/>
      <c r="AN206" s="412"/>
      <c r="AO206" s="412"/>
    </row>
    <row r="207" spans="2:41" ht="12.75" customHeight="1">
      <c r="B207" s="108">
        <f t="shared" si="47"/>
        <v>204</v>
      </c>
      <c r="C207" s="6">
        <v>870400</v>
      </c>
      <c r="D207" s="6" t="s">
        <v>851</v>
      </c>
      <c r="E207" s="9" t="s">
        <v>32</v>
      </c>
      <c r="F207" s="6"/>
      <c r="G207" s="6"/>
      <c r="H207" s="121"/>
      <c r="I207" s="121"/>
      <c r="J207" s="11">
        <f>+SUMIFS(JURNAL!G:G,JURNAL!E:E,C207,JURNAL!C:C,"&gt;="&amp;$H$1,JURNAL!C:C,"&lt;="&amp;$I$1)</f>
        <v>0</v>
      </c>
      <c r="K207" s="11">
        <f>+SUMIFS(JURNAL!H:H,JURNAL!E:E,C207,JURNAL!C:C,"&gt;="&amp;$H$1,JURNAL!C:C,"&lt;="&amp;$I$1)</f>
        <v>0</v>
      </c>
      <c r="L207" s="26">
        <f t="shared" si="48"/>
        <v>0</v>
      </c>
      <c r="M207" s="27">
        <f t="shared" si="49"/>
        <v>0</v>
      </c>
      <c r="N207" s="11"/>
      <c r="O207" s="11"/>
      <c r="P207" s="11"/>
      <c r="Q207" s="11"/>
      <c r="R207" s="26">
        <f t="shared" si="50"/>
        <v>0</v>
      </c>
      <c r="S207" s="27">
        <f t="shared" si="51"/>
        <v>0</v>
      </c>
      <c r="T207" s="11">
        <f t="shared" si="52"/>
        <v>0</v>
      </c>
      <c r="U207" s="11">
        <f t="shared" si="53"/>
        <v>0</v>
      </c>
      <c r="V207" s="26">
        <f t="shared" si="54"/>
        <v>0</v>
      </c>
      <c r="W207" s="27">
        <f t="shared" si="55"/>
        <v>0</v>
      </c>
      <c r="X207" s="4">
        <v>7201</v>
      </c>
      <c r="Y207" s="4"/>
      <c r="Z207" s="4"/>
      <c r="AA207" s="12">
        <f t="shared" si="46"/>
        <v>0</v>
      </c>
      <c r="AJ207" s="411"/>
      <c r="AK207" s="411"/>
      <c r="AL207" s="411"/>
      <c r="AM207" s="411"/>
      <c r="AN207" s="412"/>
      <c r="AO207" s="412"/>
    </row>
    <row r="208" spans="2:41" ht="12.75" customHeight="1">
      <c r="B208" s="108">
        <f t="shared" si="47"/>
        <v>205</v>
      </c>
      <c r="C208" s="6">
        <v>870500</v>
      </c>
      <c r="D208" s="6" t="s">
        <v>854</v>
      </c>
      <c r="E208" s="9" t="s">
        <v>32</v>
      </c>
      <c r="F208" s="6"/>
      <c r="G208" s="6"/>
      <c r="H208" s="121"/>
      <c r="I208" s="121"/>
      <c r="J208" s="11">
        <f>+SUMIFS(JURNAL!G:G,JURNAL!E:E,C208,JURNAL!C:C,"&gt;="&amp;$H$1,JURNAL!C:C,"&lt;="&amp;$I$1)</f>
        <v>0</v>
      </c>
      <c r="K208" s="11">
        <f>+SUMIFS(JURNAL!H:H,JURNAL!E:E,C208,JURNAL!C:C,"&gt;="&amp;$H$1,JURNAL!C:C,"&lt;="&amp;$I$1)</f>
        <v>0</v>
      </c>
      <c r="L208" s="26">
        <f t="shared" si="48"/>
        <v>0</v>
      </c>
      <c r="M208" s="27">
        <f t="shared" si="49"/>
        <v>0</v>
      </c>
      <c r="N208" s="11"/>
      <c r="O208" s="11"/>
      <c r="P208" s="11"/>
      <c r="Q208" s="11"/>
      <c r="R208" s="26">
        <f t="shared" si="50"/>
        <v>0</v>
      </c>
      <c r="S208" s="27">
        <f t="shared" si="51"/>
        <v>0</v>
      </c>
      <c r="T208" s="11">
        <f t="shared" si="52"/>
        <v>0</v>
      </c>
      <c r="U208" s="11">
        <f t="shared" si="53"/>
        <v>0</v>
      </c>
      <c r="V208" s="26">
        <f t="shared" si="54"/>
        <v>0</v>
      </c>
      <c r="W208" s="27">
        <f t="shared" si="55"/>
        <v>0</v>
      </c>
      <c r="X208" s="4">
        <v>8405</v>
      </c>
      <c r="Y208" s="4"/>
      <c r="Z208" s="4"/>
      <c r="AA208" s="12">
        <f t="shared" si="46"/>
        <v>0</v>
      </c>
      <c r="AJ208" s="411"/>
      <c r="AK208" s="411"/>
      <c r="AL208" s="411"/>
      <c r="AM208" s="411"/>
      <c r="AN208" s="412"/>
      <c r="AO208" s="412"/>
    </row>
    <row r="209" spans="2:41" ht="12.75" customHeight="1">
      <c r="B209" s="108">
        <f t="shared" si="47"/>
        <v>206</v>
      </c>
      <c r="C209" s="6">
        <v>870700</v>
      </c>
      <c r="D209" s="6" t="s">
        <v>857</v>
      </c>
      <c r="E209" s="9" t="s">
        <v>32</v>
      </c>
      <c r="F209" s="6"/>
      <c r="G209" s="6"/>
      <c r="H209" s="121"/>
      <c r="I209" s="121"/>
      <c r="J209" s="11">
        <f>+SUMIFS(JURNAL!G:G,JURNAL!E:E,C209,JURNAL!C:C,"&gt;="&amp;$H$1,JURNAL!C:C,"&lt;="&amp;$I$1)</f>
        <v>0</v>
      </c>
      <c r="K209" s="11">
        <f>+SUMIFS(JURNAL!H:H,JURNAL!E:E,C209,JURNAL!C:C,"&gt;="&amp;$H$1,JURNAL!C:C,"&lt;="&amp;$I$1)</f>
        <v>0</v>
      </c>
      <c r="L209" s="26">
        <f t="shared" si="48"/>
        <v>0</v>
      </c>
      <c r="M209" s="27">
        <f t="shared" si="49"/>
        <v>0</v>
      </c>
      <c r="N209" s="11"/>
      <c r="O209" s="11"/>
      <c r="P209" s="11"/>
      <c r="Q209" s="11"/>
      <c r="R209" s="26">
        <f t="shared" si="50"/>
        <v>0</v>
      </c>
      <c r="S209" s="27">
        <f t="shared" si="51"/>
        <v>0</v>
      </c>
      <c r="T209" s="11">
        <f t="shared" si="52"/>
        <v>0</v>
      </c>
      <c r="U209" s="11">
        <f t="shared" si="53"/>
        <v>0</v>
      </c>
      <c r="V209" s="26">
        <f t="shared" si="54"/>
        <v>0</v>
      </c>
      <c r="W209" s="27">
        <f t="shared" si="55"/>
        <v>0</v>
      </c>
      <c r="X209" s="4">
        <v>8400</v>
      </c>
      <c r="Y209" s="4"/>
      <c r="Z209" s="4"/>
      <c r="AA209" s="12">
        <f t="shared" si="46"/>
        <v>0</v>
      </c>
      <c r="AJ209" s="411"/>
      <c r="AK209" s="411"/>
      <c r="AL209" s="411"/>
      <c r="AM209" s="411"/>
      <c r="AN209" s="412"/>
      <c r="AO209" s="412"/>
    </row>
    <row r="210" spans="2:41" ht="12.75" customHeight="1">
      <c r="B210" s="108">
        <f t="shared" si="47"/>
        <v>207</v>
      </c>
      <c r="C210" s="6">
        <v>870800</v>
      </c>
      <c r="D210" s="6" t="s">
        <v>860</v>
      </c>
      <c r="E210" s="9" t="s">
        <v>32</v>
      </c>
      <c r="F210" s="6"/>
      <c r="G210" s="6"/>
      <c r="H210" s="121"/>
      <c r="I210" s="121"/>
      <c r="J210" s="11">
        <f>+SUMIFS(JURNAL!G:G,JURNAL!E:E,C210,JURNAL!C:C,"&gt;="&amp;$H$1,JURNAL!C:C,"&lt;="&amp;$I$1)</f>
        <v>0</v>
      </c>
      <c r="K210" s="11">
        <f>+SUMIFS(JURNAL!H:H,JURNAL!E:E,C210,JURNAL!C:C,"&gt;="&amp;$H$1,JURNAL!C:C,"&lt;="&amp;$I$1)</f>
        <v>0</v>
      </c>
      <c r="L210" s="26">
        <f t="shared" si="48"/>
        <v>0</v>
      </c>
      <c r="M210" s="27">
        <f t="shared" si="49"/>
        <v>0</v>
      </c>
      <c r="N210" s="11"/>
      <c r="O210" s="11"/>
      <c r="P210" s="11"/>
      <c r="Q210" s="11"/>
      <c r="R210" s="26">
        <f t="shared" si="50"/>
        <v>0</v>
      </c>
      <c r="S210" s="27">
        <f t="shared" si="51"/>
        <v>0</v>
      </c>
      <c r="T210" s="11">
        <f t="shared" si="52"/>
        <v>0</v>
      </c>
      <c r="U210" s="11">
        <f t="shared" si="53"/>
        <v>0</v>
      </c>
      <c r="V210" s="26">
        <f t="shared" si="54"/>
        <v>0</v>
      </c>
      <c r="W210" s="27">
        <f t="shared" si="55"/>
        <v>0</v>
      </c>
      <c r="X210" s="4">
        <v>7202</v>
      </c>
      <c r="Y210" s="4"/>
      <c r="Z210" s="4"/>
      <c r="AA210" s="12">
        <f t="shared" si="46"/>
        <v>0</v>
      </c>
      <c r="AJ210" s="411"/>
      <c r="AK210" s="411"/>
      <c r="AL210" s="411"/>
      <c r="AM210" s="411"/>
      <c r="AN210" s="412"/>
      <c r="AO210" s="412"/>
    </row>
    <row r="211" spans="2:41" ht="12.75" customHeight="1">
      <c r="B211" s="108">
        <f t="shared" si="47"/>
        <v>208</v>
      </c>
      <c r="C211" s="6">
        <v>870900</v>
      </c>
      <c r="D211" s="6" t="s">
        <v>862</v>
      </c>
      <c r="E211" s="9" t="s">
        <v>32</v>
      </c>
      <c r="F211" s="6"/>
      <c r="G211" s="6"/>
      <c r="H211" s="121"/>
      <c r="I211" s="121"/>
      <c r="J211" s="11">
        <f>+SUMIFS(JURNAL!G:G,JURNAL!E:E,C211,JURNAL!C:C,"&gt;="&amp;$H$1,JURNAL!C:C,"&lt;="&amp;$I$1)</f>
        <v>0</v>
      </c>
      <c r="K211" s="11">
        <f>+SUMIFS(JURNAL!H:H,JURNAL!E:E,C211,JURNAL!C:C,"&gt;="&amp;$H$1,JURNAL!C:C,"&lt;="&amp;$I$1)</f>
        <v>0</v>
      </c>
      <c r="L211" s="26">
        <f t="shared" si="48"/>
        <v>0</v>
      </c>
      <c r="M211" s="27">
        <f t="shared" si="49"/>
        <v>0</v>
      </c>
      <c r="N211" s="11"/>
      <c r="O211" s="11"/>
      <c r="P211" s="11"/>
      <c r="Q211" s="11"/>
      <c r="R211" s="26">
        <f t="shared" si="50"/>
        <v>0</v>
      </c>
      <c r="S211" s="27">
        <f t="shared" si="51"/>
        <v>0</v>
      </c>
      <c r="T211" s="11">
        <f t="shared" si="52"/>
        <v>0</v>
      </c>
      <c r="U211" s="11">
        <f t="shared" si="53"/>
        <v>0</v>
      </c>
      <c r="V211" s="26">
        <f t="shared" si="54"/>
        <v>0</v>
      </c>
      <c r="W211" s="27">
        <f t="shared" si="55"/>
        <v>0</v>
      </c>
      <c r="X211" s="4">
        <v>8409</v>
      </c>
      <c r="Y211" s="4"/>
      <c r="Z211" s="4"/>
      <c r="AA211" s="12">
        <f t="shared" si="46"/>
        <v>0</v>
      </c>
      <c r="AJ211" s="411"/>
      <c r="AK211" s="411"/>
      <c r="AL211" s="411"/>
      <c r="AM211" s="411"/>
      <c r="AN211" s="412"/>
      <c r="AO211" s="412"/>
    </row>
    <row r="212" spans="2:41" ht="12.75" customHeight="1">
      <c r="B212" s="108">
        <f t="shared" si="47"/>
        <v>209</v>
      </c>
      <c r="C212" s="6">
        <v>871100</v>
      </c>
      <c r="D212" s="6" t="s">
        <v>865</v>
      </c>
      <c r="E212" s="9" t="s">
        <v>32</v>
      </c>
      <c r="F212" s="6"/>
      <c r="G212" s="6"/>
      <c r="H212" s="121"/>
      <c r="I212" s="121"/>
      <c r="J212" s="11">
        <f>+SUMIFS(JURNAL!G:G,JURNAL!E:E,C212,JURNAL!C:C,"&gt;="&amp;$H$1,JURNAL!C:C,"&lt;="&amp;$I$1)</f>
        <v>0</v>
      </c>
      <c r="K212" s="11">
        <f>+SUMIFS(JURNAL!H:H,JURNAL!E:E,C212,JURNAL!C:C,"&gt;="&amp;$H$1,JURNAL!C:C,"&lt;="&amp;$I$1)</f>
        <v>0</v>
      </c>
      <c r="L212" s="26">
        <f t="shared" si="48"/>
        <v>0</v>
      </c>
      <c r="M212" s="27">
        <f t="shared" si="49"/>
        <v>0</v>
      </c>
      <c r="N212" s="11"/>
      <c r="O212" s="11"/>
      <c r="P212" s="11"/>
      <c r="Q212" s="11"/>
      <c r="R212" s="26">
        <f t="shared" si="50"/>
        <v>0</v>
      </c>
      <c r="S212" s="27">
        <f t="shared" si="51"/>
        <v>0</v>
      </c>
      <c r="T212" s="11">
        <f t="shared" si="52"/>
        <v>0</v>
      </c>
      <c r="U212" s="11">
        <f t="shared" si="53"/>
        <v>0</v>
      </c>
      <c r="V212" s="26">
        <f t="shared" si="54"/>
        <v>0</v>
      </c>
      <c r="W212" s="27">
        <f t="shared" si="55"/>
        <v>0</v>
      </c>
      <c r="X212" s="4">
        <v>7202</v>
      </c>
      <c r="Y212" s="4"/>
      <c r="Z212" s="4"/>
      <c r="AA212" s="12">
        <f t="shared" si="46"/>
        <v>0</v>
      </c>
      <c r="AJ212" s="411"/>
      <c r="AK212" s="411"/>
      <c r="AL212" s="411"/>
      <c r="AM212" s="411"/>
      <c r="AN212" s="412"/>
      <c r="AO212" s="412"/>
    </row>
    <row r="213" spans="2:41" ht="12.75" customHeight="1">
      <c r="B213" s="108">
        <f t="shared" si="47"/>
        <v>210</v>
      </c>
      <c r="C213" s="6">
        <v>871200</v>
      </c>
      <c r="D213" s="6" t="s">
        <v>868</v>
      </c>
      <c r="E213" s="9" t="s">
        <v>32</v>
      </c>
      <c r="F213" s="6"/>
      <c r="G213" s="6"/>
      <c r="H213" s="121"/>
      <c r="I213" s="121"/>
      <c r="J213" s="11">
        <f>+SUMIFS(JURNAL!G:G,JURNAL!E:E,C213,JURNAL!C:C,"&gt;="&amp;$H$1,JURNAL!C:C,"&lt;="&amp;$I$1)</f>
        <v>0</v>
      </c>
      <c r="K213" s="11">
        <f>+SUMIFS(JURNAL!H:H,JURNAL!E:E,C213,JURNAL!C:C,"&gt;="&amp;$H$1,JURNAL!C:C,"&lt;="&amp;$I$1)</f>
        <v>0</v>
      </c>
      <c r="L213" s="26">
        <f t="shared" si="48"/>
        <v>0</v>
      </c>
      <c r="M213" s="27">
        <f t="shared" si="49"/>
        <v>0</v>
      </c>
      <c r="N213" s="11"/>
      <c r="O213" s="11"/>
      <c r="P213" s="11"/>
      <c r="Q213" s="11"/>
      <c r="R213" s="26">
        <f t="shared" si="50"/>
        <v>0</v>
      </c>
      <c r="S213" s="27">
        <f t="shared" si="51"/>
        <v>0</v>
      </c>
      <c r="T213" s="11">
        <f t="shared" si="52"/>
        <v>0</v>
      </c>
      <c r="U213" s="11">
        <f t="shared" si="53"/>
        <v>0</v>
      </c>
      <c r="V213" s="26">
        <f t="shared" si="54"/>
        <v>0</v>
      </c>
      <c r="W213" s="27">
        <f t="shared" si="55"/>
        <v>0</v>
      </c>
      <c r="X213" s="4">
        <v>8402</v>
      </c>
      <c r="Y213" s="4"/>
      <c r="Z213" s="4"/>
      <c r="AA213" s="12">
        <f t="shared" si="46"/>
        <v>0</v>
      </c>
      <c r="AJ213" s="411"/>
      <c r="AK213" s="411"/>
      <c r="AL213" s="411"/>
      <c r="AM213" s="411"/>
      <c r="AN213" s="412"/>
      <c r="AO213" s="412"/>
    </row>
    <row r="214" spans="2:41" ht="12.75" customHeight="1">
      <c r="B214" s="108">
        <f t="shared" si="47"/>
        <v>211</v>
      </c>
      <c r="C214" s="6">
        <v>910100</v>
      </c>
      <c r="D214" s="6" t="s">
        <v>278</v>
      </c>
      <c r="E214" s="9" t="s">
        <v>32</v>
      </c>
      <c r="F214" s="6"/>
      <c r="G214" s="6"/>
      <c r="H214" s="121"/>
      <c r="I214" s="121"/>
      <c r="J214" s="11">
        <f>+SUMIFS(JURNAL!G:G,JURNAL!E:E,C214,JURNAL!C:C,"&gt;="&amp;$H$1,JURNAL!C:C,"&lt;="&amp;$I$1)</f>
        <v>0</v>
      </c>
      <c r="K214" s="11">
        <f>+SUMIFS(JURNAL!H:H,JURNAL!E:E,C214,JURNAL!C:C,"&gt;="&amp;$H$1,JURNAL!C:C,"&lt;="&amp;$I$1)</f>
        <v>0</v>
      </c>
      <c r="L214" s="26">
        <f t="shared" si="48"/>
        <v>0</v>
      </c>
      <c r="M214" s="27">
        <f t="shared" si="49"/>
        <v>0</v>
      </c>
      <c r="N214" s="11"/>
      <c r="O214" s="11"/>
      <c r="P214" s="11"/>
      <c r="Q214" s="11"/>
      <c r="R214" s="26">
        <f t="shared" si="50"/>
        <v>0</v>
      </c>
      <c r="S214" s="27">
        <f t="shared" si="51"/>
        <v>0</v>
      </c>
      <c r="T214" s="11">
        <f t="shared" si="52"/>
        <v>0</v>
      </c>
      <c r="U214" s="11">
        <f t="shared" si="53"/>
        <v>0</v>
      </c>
      <c r="V214" s="26">
        <f t="shared" si="54"/>
        <v>0</v>
      </c>
      <c r="W214" s="27">
        <f t="shared" si="55"/>
        <v>0</v>
      </c>
      <c r="X214" s="4">
        <v>9101</v>
      </c>
      <c r="Y214" s="4"/>
      <c r="Z214" s="4"/>
      <c r="AA214" s="12">
        <f t="shared" si="46"/>
        <v>0</v>
      </c>
      <c r="AJ214" s="411"/>
      <c r="AK214" s="411"/>
      <c r="AL214" s="411"/>
      <c r="AM214" s="411"/>
      <c r="AN214" s="412"/>
      <c r="AO214" s="412"/>
    </row>
    <row r="215" spans="2:41" ht="12.75" customHeight="1">
      <c r="B215" s="108">
        <f t="shared" si="47"/>
        <v>212</v>
      </c>
      <c r="C215" s="6">
        <v>920100</v>
      </c>
      <c r="D215" s="6" t="s">
        <v>874</v>
      </c>
      <c r="E215" s="9" t="s">
        <v>32</v>
      </c>
      <c r="F215" s="6"/>
      <c r="G215" s="6"/>
      <c r="H215" s="121"/>
      <c r="I215" s="121"/>
      <c r="J215" s="11">
        <f>+SUMIFS(JURNAL!G:G,JURNAL!E:E,C215,JURNAL!C:C,"&gt;="&amp;$H$1,JURNAL!C:C,"&lt;="&amp;$I$1)</f>
        <v>0</v>
      </c>
      <c r="K215" s="11">
        <f>+SUMIFS(JURNAL!H:H,JURNAL!E:E,C215,JURNAL!C:C,"&gt;="&amp;$H$1,JURNAL!C:C,"&lt;="&amp;$I$1)</f>
        <v>0</v>
      </c>
      <c r="L215" s="26">
        <f t="shared" si="48"/>
        <v>0</v>
      </c>
      <c r="M215" s="27">
        <f t="shared" si="49"/>
        <v>0</v>
      </c>
      <c r="N215" s="11"/>
      <c r="O215" s="11"/>
      <c r="P215" s="11"/>
      <c r="Q215" s="11"/>
      <c r="R215" s="26">
        <f t="shared" si="50"/>
        <v>0</v>
      </c>
      <c r="S215" s="27">
        <f t="shared" si="51"/>
        <v>0</v>
      </c>
      <c r="T215" s="27">
        <v>29421719.660101078</v>
      </c>
      <c r="U215" s="27">
        <v>29421719.660101078</v>
      </c>
      <c r="V215" s="26">
        <f t="shared" si="54"/>
        <v>0</v>
      </c>
      <c r="W215" s="27">
        <f t="shared" si="55"/>
        <v>0</v>
      </c>
      <c r="X215" s="4"/>
      <c r="Y215" s="4"/>
      <c r="Z215" s="4"/>
      <c r="AA215" s="12">
        <v>1</v>
      </c>
      <c r="AJ215" s="411"/>
      <c r="AK215" s="411"/>
      <c r="AL215" s="411"/>
      <c r="AM215" s="411"/>
      <c r="AN215" s="412"/>
      <c r="AO215" s="412"/>
    </row>
    <row r="216" spans="2:41" ht="12.75" customHeight="1">
      <c r="B216" s="188"/>
      <c r="C216" s="137"/>
      <c r="D216" s="188" t="s">
        <v>39</v>
      </c>
      <c r="E216" s="323"/>
      <c r="F216" s="13">
        <f t="shared" ref="F216:W216" si="56">SUM(F140:F215)</f>
        <v>0</v>
      </c>
      <c r="G216" s="13">
        <f t="shared" si="56"/>
        <v>0</v>
      </c>
      <c r="H216" s="13">
        <f t="shared" si="56"/>
        <v>0</v>
      </c>
      <c r="I216" s="13">
        <f t="shared" si="56"/>
        <v>0</v>
      </c>
      <c r="J216" s="13">
        <f t="shared" si="56"/>
        <v>146302723.86828291</v>
      </c>
      <c r="K216" s="13">
        <f t="shared" si="56"/>
        <v>116889788.16818181</v>
      </c>
      <c r="L216" s="13">
        <f t="shared" si="56"/>
        <v>64667715.878282882</v>
      </c>
      <c r="M216" s="13">
        <f t="shared" si="56"/>
        <v>35254780.178181812</v>
      </c>
      <c r="N216" s="13">
        <f t="shared" si="56"/>
        <v>8783.9599999999991</v>
      </c>
      <c r="O216" s="13">
        <f t="shared" si="56"/>
        <v>0</v>
      </c>
      <c r="P216" s="13">
        <f t="shared" si="56"/>
        <v>0</v>
      </c>
      <c r="Q216" s="13">
        <f t="shared" si="56"/>
        <v>0</v>
      </c>
      <c r="R216" s="13">
        <f t="shared" si="56"/>
        <v>64676499.838282883</v>
      </c>
      <c r="S216" s="13">
        <f t="shared" si="56"/>
        <v>35254780.178181812</v>
      </c>
      <c r="T216" s="13">
        <f t="shared" si="56"/>
        <v>64676499.838282891</v>
      </c>
      <c r="U216" s="13">
        <f t="shared" si="56"/>
        <v>94098219.498383969</v>
      </c>
      <c r="V216" s="13">
        <f t="shared" si="56"/>
        <v>0</v>
      </c>
      <c r="W216" s="13">
        <f t="shared" si="56"/>
        <v>0</v>
      </c>
      <c r="X216" s="14"/>
      <c r="Y216" s="14"/>
      <c r="Z216" s="14"/>
      <c r="AA216" s="14"/>
      <c r="AJ216" s="411"/>
      <c r="AK216" s="411"/>
      <c r="AL216" s="411"/>
      <c r="AM216" s="411"/>
      <c r="AN216" s="412"/>
      <c r="AO216" s="412"/>
    </row>
    <row r="217" spans="2:41" ht="12.75" customHeight="1">
      <c r="B217" s="29"/>
      <c r="C217" s="29" t="s">
        <v>21</v>
      </c>
      <c r="D217" s="29"/>
      <c r="E217" s="30"/>
      <c r="F217" s="31">
        <f t="shared" ref="F217:W217" si="57">+F216+F139</f>
        <v>6147.9800000000014</v>
      </c>
      <c r="G217" s="31">
        <f t="shared" si="57"/>
        <v>14604.900000000003</v>
      </c>
      <c r="H217" s="803">
        <v>0</v>
      </c>
      <c r="I217" s="803">
        <v>1038581855.8768401</v>
      </c>
      <c r="J217" s="31">
        <f t="shared" si="57"/>
        <v>1296218907.1055555</v>
      </c>
      <c r="K217" s="31">
        <f t="shared" si="57"/>
        <v>1296218907.1055555</v>
      </c>
      <c r="L217" s="31">
        <f t="shared" si="57"/>
        <v>3427226772.2318754</v>
      </c>
      <c r="M217" s="31">
        <f t="shared" si="57"/>
        <v>3427226772.2318754</v>
      </c>
      <c r="N217" s="31">
        <f>+N216+N139</f>
        <v>58465647.020909093</v>
      </c>
      <c r="O217" s="31">
        <f>+O216+O139</f>
        <v>58465647.023309097</v>
      </c>
      <c r="P217" s="31">
        <f t="shared" si="57"/>
        <v>6150.4600000000009</v>
      </c>
      <c r="Q217" s="31">
        <f t="shared" si="57"/>
        <v>14684.7</v>
      </c>
      <c r="R217" s="31">
        <f t="shared" si="57"/>
        <v>3368769909.1685667</v>
      </c>
      <c r="S217" s="31">
        <f t="shared" si="57"/>
        <v>3368769909.1709666</v>
      </c>
      <c r="T217" s="31">
        <f t="shared" si="57"/>
        <v>94098219.498383969</v>
      </c>
      <c r="U217" s="31">
        <f t="shared" si="57"/>
        <v>94098219.498383969</v>
      </c>
      <c r="V217" s="31">
        <f t="shared" si="57"/>
        <v>3333515128.9903846</v>
      </c>
      <c r="W217" s="31">
        <f t="shared" si="57"/>
        <v>3333515128.992785</v>
      </c>
      <c r="X217" s="31"/>
      <c r="Y217" s="31"/>
      <c r="Z217" s="31"/>
      <c r="AA217" s="31"/>
      <c r="AJ217" s="411"/>
      <c r="AK217" s="411"/>
      <c r="AL217" s="411"/>
      <c r="AM217" s="411"/>
    </row>
    <row r="218" spans="2:41" ht="12.75" customHeight="1">
      <c r="B218" s="6"/>
      <c r="C218" s="6" t="s">
        <v>22</v>
      </c>
      <c r="D218" s="6"/>
      <c r="E218" s="9"/>
      <c r="F218" s="6"/>
      <c r="G218" s="6"/>
      <c r="H218" s="121"/>
      <c r="I218" s="121">
        <v>0</v>
      </c>
      <c r="J218" s="11">
        <f>+SUMIFS(JURNAL!G:G,JURNAL!E:E,C218,JURNAL!C:C,"&gt;="&amp;$H$1,JURNAL!C:C,"&lt;="&amp;$I$1)</f>
        <v>0</v>
      </c>
      <c r="K218" s="11">
        <f>+SUMIFS(JURNAL!H:H,JURNAL!F:F,D218,JURNAL!D:D,"&gt;="&amp;$H$1,JURNAL!D:D,"&lt;="&amp;$I$1)</f>
        <v>0</v>
      </c>
      <c r="L218" s="11">
        <f>+SUMIFS(JURNAL!I:I,JURNAL!G:G,E218,JURNAL!E:E,"&gt;="&amp;$H$1,JURNAL!E:E,"&lt;="&amp;$I$1)</f>
        <v>0</v>
      </c>
      <c r="M218" s="11">
        <f>+SUMIFS(JURNAL!J:J,JURNAL!H:H,F218,JURNAL!F:F,"&gt;="&amp;$H$1,JURNAL!F:F,"&lt;="&amp;$I$1)</f>
        <v>0</v>
      </c>
      <c r="N218" s="32"/>
      <c r="O218" s="32"/>
      <c r="P218" s="32"/>
      <c r="Q218" s="32"/>
      <c r="R218" s="11">
        <f>+SUMIFS(JURNAL!O:O,JURNAL!M:M,K218,JURNAL!K:K,"&gt;="&amp;$H$1,JURNAL!K:K,"&lt;="&amp;$I$1)</f>
        <v>0</v>
      </c>
      <c r="S218" s="11">
        <f>+SUMIFS(JURNAL!P:P,JURNAL!N:N,L218,JURNAL!L:L,"&gt;="&amp;$H$1,JURNAL!L:L,"&lt;="&amp;$I$1)</f>
        <v>0</v>
      </c>
      <c r="T218" s="11">
        <f>+SUMIFS(JURNAL!Q:Q,JURNAL!O:O,M218,JURNAL!M:M,"&gt;="&amp;$H$1,JURNAL!M:M,"&lt;="&amp;$I$1)</f>
        <v>0</v>
      </c>
      <c r="U218" s="11">
        <f>+SUMIFS(JURNAL!R:R,JURNAL!P:P,N218,JURNAL!N:N,"&gt;="&amp;$H$1,JURNAL!N:N,"&lt;="&amp;$I$1)</f>
        <v>0</v>
      </c>
      <c r="V218" s="11">
        <f>+SUMIFS(JURNAL!S:S,JURNAL!Q:Q,O218,JURNAL!O:O,"&gt;="&amp;$H$1,JURNAL!O:O,"&lt;="&amp;$I$1)</f>
        <v>0</v>
      </c>
      <c r="W218" s="11">
        <f>+SUMIFS(JURNAL!T:T,JURNAL!R:R,P218,JURNAL!P:P,"&gt;="&amp;$H$1,JURNAL!P:P,"&lt;="&amp;$I$1)</f>
        <v>0</v>
      </c>
      <c r="X218" s="11">
        <f ca="1">+SUMIFS(JURNAL!U:U,JURNAL!S:S,Q218,JURNAL!Q:Q,"&gt;="&amp;$H$1,JURNAL!Q:Q,"&lt;="&amp;$I$1)</f>
        <v>0</v>
      </c>
      <c r="Y218" s="11">
        <f ca="1">+SUMIFS(JURNAL!V:V,JURNAL!T:T,R218,JURNAL!R:R,"&gt;="&amp;$H$1,JURNAL!R:R,"&lt;="&amp;$I$1)</f>
        <v>0</v>
      </c>
      <c r="Z218" s="11">
        <f ca="1">+SUMIFS(JURNAL!W:W,JURNAL!U:U,S218,JURNAL!S:S,"&gt;="&amp;$H$1,JURNAL!S:S,"&lt;="&amp;$I$1)</f>
        <v>0</v>
      </c>
      <c r="AA218" s="11">
        <f ca="1">+SUMIFS(JURNAL!X:X,JURNAL!V:V,T218,JURNAL!T:T,"&gt;="&amp;$H$1,JURNAL!T:T,"&lt;="&amp;$I$1)</f>
        <v>0</v>
      </c>
      <c r="AJ218" s="411"/>
      <c r="AK218" s="411"/>
      <c r="AL218" s="411"/>
      <c r="AM218" s="411"/>
    </row>
    <row r="219" spans="2:41" ht="12.75" customHeight="1">
      <c r="B219" s="6"/>
      <c r="C219" s="6" t="s">
        <v>23</v>
      </c>
      <c r="D219" s="6"/>
      <c r="E219" s="9"/>
      <c r="F219" s="6"/>
      <c r="G219" s="6"/>
      <c r="H219" s="32"/>
      <c r="I219" s="32"/>
      <c r="J219" s="11">
        <f>+SUMIFS(JURNAL!G:G,JURNAL!E:E,C219,JURNAL!C:C,"&gt;="&amp;$H$1,JURNAL!C:C,"&lt;="&amp;$I$1)</f>
        <v>0</v>
      </c>
      <c r="K219" s="11">
        <f>+SUMIFS(JURNAL!H:H,JURNAL!F:F,D219,JURNAL!D:D,"&gt;="&amp;$H$1,JURNAL!D:D,"&lt;="&amp;$I$1)</f>
        <v>0</v>
      </c>
      <c r="L219" s="11">
        <f>+SUMIFS(JURNAL!I:I,JURNAL!G:G,E219,JURNAL!E:E,"&gt;="&amp;$H$1,JURNAL!E:E,"&lt;="&amp;$I$1)</f>
        <v>0</v>
      </c>
      <c r="M219" s="11">
        <f>+SUMIFS(JURNAL!J:J,JURNAL!H:H,F219,JURNAL!F:F,"&gt;="&amp;$H$1,JURNAL!F:F,"&lt;="&amp;$I$1)</f>
        <v>0</v>
      </c>
      <c r="N219" s="32"/>
      <c r="O219" s="32"/>
      <c r="P219" s="32"/>
      <c r="Q219" s="32"/>
      <c r="R219" s="11">
        <f>+SUMIFS(JURNAL!O:O,JURNAL!M:M,K219,JURNAL!K:K,"&gt;="&amp;$H$1,JURNAL!K:K,"&lt;="&amp;$I$1)</f>
        <v>0</v>
      </c>
      <c r="S219" s="11">
        <f>+SUMIFS(JURNAL!P:P,JURNAL!N:N,L219,JURNAL!L:L,"&gt;="&amp;$H$1,JURNAL!L:L,"&lt;="&amp;$I$1)</f>
        <v>0</v>
      </c>
      <c r="T219" s="11">
        <f>+SUMIFS(JURNAL!Q:Q,JURNAL!O:O,M219,JURNAL!M:M,"&gt;="&amp;$H$1,JURNAL!M:M,"&lt;="&amp;$I$1)</f>
        <v>0</v>
      </c>
      <c r="U219" s="11">
        <f>+SUMIFS(JURNAL!R:R,JURNAL!P:P,N219,JURNAL!N:N,"&gt;="&amp;$H$1,JURNAL!N:N,"&lt;="&amp;$I$1)</f>
        <v>0</v>
      </c>
      <c r="V219" s="11">
        <f>+SUMIFS(JURNAL!S:S,JURNAL!Q:Q,O219,JURNAL!O:O,"&gt;="&amp;$H$1,JURNAL!O:O,"&lt;="&amp;$I$1)</f>
        <v>0</v>
      </c>
      <c r="W219" s="11">
        <f>+SUMIFS(JURNAL!T:T,JURNAL!R:R,P219,JURNAL!P:P,"&gt;="&amp;$H$1,JURNAL!P:P,"&lt;="&amp;$I$1)</f>
        <v>0</v>
      </c>
      <c r="X219" s="11">
        <f ca="1">+SUMIFS(JURNAL!U:U,JURNAL!S:S,Q219,JURNAL!Q:Q,"&gt;="&amp;$H$1,JURNAL!Q:Q,"&lt;="&amp;$I$1)</f>
        <v>0</v>
      </c>
      <c r="Y219" s="11">
        <f ca="1">+SUMIFS(JURNAL!V:V,JURNAL!T:T,R219,JURNAL!R:R,"&gt;="&amp;$H$1,JURNAL!R:R,"&lt;="&amp;$I$1)</f>
        <v>0</v>
      </c>
      <c r="Z219" s="11">
        <f ca="1">+SUMIFS(JURNAL!W:W,JURNAL!U:U,S219,JURNAL!S:S,"&gt;="&amp;$H$1,JURNAL!S:S,"&lt;="&amp;$I$1)</f>
        <v>0</v>
      </c>
      <c r="AA219" s="11">
        <f ca="1">+SUMIFS(JURNAL!X:X,JURNAL!V:V,T219,JURNAL!T:T,"&gt;="&amp;$H$1,JURNAL!T:T,"&lt;="&amp;$I$1)</f>
        <v>0</v>
      </c>
      <c r="AJ219" s="411"/>
      <c r="AK219" s="411"/>
      <c r="AL219" s="411"/>
      <c r="AM219" s="411"/>
    </row>
    <row r="220" spans="2:41" ht="12.75" customHeight="1">
      <c r="B220" s="6"/>
      <c r="C220" s="6" t="s">
        <v>24</v>
      </c>
      <c r="D220" s="6"/>
      <c r="E220" s="9"/>
      <c r="F220" s="6"/>
      <c r="G220" s="6"/>
      <c r="H220" s="32"/>
      <c r="I220" s="27">
        <f>+I217-H217</f>
        <v>1038581855.8768401</v>
      </c>
      <c r="J220" s="11">
        <f>+SUMIFS(JURNAL!G:G,JURNAL!E:E,C220,JURNAL!C:C,"&gt;="&amp;$H$1,JURNAL!C:C,"&lt;="&amp;$I$1)</f>
        <v>0</v>
      </c>
      <c r="K220" s="11">
        <f>+SUMIFS(JURNAL!H:H,JURNAL!F:F,D220,JURNAL!D:D,"&gt;="&amp;$H$1,JURNAL!D:D,"&lt;="&amp;$I$1)</f>
        <v>0</v>
      </c>
      <c r="L220" s="11">
        <f>+SUMIFS(JURNAL!I:I,JURNAL!G:G,E220,JURNAL!E:E,"&gt;="&amp;$H$1,JURNAL!E:E,"&lt;="&amp;$I$1)</f>
        <v>0</v>
      </c>
      <c r="M220" s="11">
        <f>+SUMIFS(JURNAL!J:J,JURNAL!H:H,F220,JURNAL!F:F,"&gt;="&amp;$H$1,JURNAL!F:F,"&lt;="&amp;$I$1)</f>
        <v>0</v>
      </c>
      <c r="N220" s="32"/>
      <c r="O220" s="32"/>
      <c r="P220" s="32"/>
      <c r="Q220" s="32"/>
      <c r="R220" s="11">
        <f>+SUMIFS(JURNAL!O:O,JURNAL!M:M,K220,JURNAL!K:K,"&gt;="&amp;$H$1,JURNAL!K:K,"&lt;="&amp;$I$1)</f>
        <v>0</v>
      </c>
      <c r="S220" s="11">
        <f>+SUMIFS(JURNAL!P:P,JURNAL!N:N,L220,JURNAL!L:L,"&gt;="&amp;$H$1,JURNAL!L:L,"&lt;="&amp;$I$1)</f>
        <v>0</v>
      </c>
      <c r="T220" s="11">
        <f>+SUMIFS(JURNAL!Q:Q,JURNAL!O:O,M220,JURNAL!M:M,"&gt;="&amp;$H$1,JURNAL!M:M,"&lt;="&amp;$I$1)</f>
        <v>0</v>
      </c>
      <c r="U220" s="11">
        <f>+SUMIFS(JURNAL!R:R,JURNAL!P:P,N220,JURNAL!N:N,"&gt;="&amp;$H$1,JURNAL!N:N,"&lt;="&amp;$I$1)</f>
        <v>0</v>
      </c>
      <c r="V220" s="11">
        <f>+SUMIFS(JURNAL!S:S,JURNAL!Q:Q,O220,JURNAL!O:O,"&gt;="&amp;$H$1,JURNAL!O:O,"&lt;="&amp;$I$1)</f>
        <v>0</v>
      </c>
      <c r="W220" s="11">
        <f>+SUMIFS(JURNAL!T:T,JURNAL!R:R,P220,JURNAL!P:P,"&gt;="&amp;$H$1,JURNAL!P:P,"&lt;="&amp;$I$1)</f>
        <v>0</v>
      </c>
      <c r="X220" s="11">
        <f ca="1">+SUMIFS(JURNAL!U:U,JURNAL!S:S,Q220,JURNAL!Q:Q,"&gt;="&amp;$H$1,JURNAL!Q:Q,"&lt;="&amp;$I$1)</f>
        <v>0</v>
      </c>
      <c r="Y220" s="11">
        <f ca="1">+SUMIFS(JURNAL!V:V,JURNAL!T:T,R220,JURNAL!R:R,"&gt;="&amp;$H$1,JURNAL!R:R,"&lt;="&amp;$I$1)</f>
        <v>0</v>
      </c>
      <c r="Z220" s="11">
        <f ca="1">+SUMIFS(JURNAL!W:W,JURNAL!U:U,S220,JURNAL!S:S,"&gt;="&amp;$H$1,JURNAL!S:S,"&lt;="&amp;$I$1)</f>
        <v>0</v>
      </c>
      <c r="AA220" s="11">
        <f ca="1">+SUMIFS(JURNAL!X:X,JURNAL!V:V,T220,JURNAL!T:T,"&gt;="&amp;$H$1,JURNAL!T:T,"&lt;="&amp;$I$1)</f>
        <v>0</v>
      </c>
      <c r="AJ220" s="411"/>
      <c r="AK220" s="411"/>
      <c r="AL220" s="411"/>
      <c r="AM220" s="411"/>
    </row>
    <row r="221" spans="2:41" ht="12.75" customHeight="1">
      <c r="B221" s="7"/>
      <c r="C221" s="7"/>
      <c r="D221" s="7"/>
      <c r="E221" s="10"/>
      <c r="F221" s="7"/>
      <c r="G221" s="7"/>
      <c r="H221" s="8"/>
      <c r="I221" s="8"/>
      <c r="V221" s="41">
        <f>+V217-W217</f>
        <v>-2.4003982543945313E-3</v>
      </c>
      <c r="X221" s="7"/>
      <c r="Y221" s="7"/>
      <c r="Z221" s="7"/>
      <c r="AA221" s="7"/>
    </row>
    <row r="222" spans="2:41" ht="12.75" customHeight="1">
      <c r="J222" s="41">
        <f>+J217-K217</f>
        <v>0</v>
      </c>
      <c r="K222" s="41">
        <f>+K217-J217</f>
        <v>0</v>
      </c>
      <c r="N222" s="41">
        <f>+N217-O217</f>
        <v>-2.4000033736228943E-3</v>
      </c>
      <c r="R222" s="41">
        <f>+R217-S217</f>
        <v>-2.3999214172363281E-3</v>
      </c>
      <c r="T222" s="41">
        <f>+T217-U217</f>
        <v>0</v>
      </c>
      <c r="X222" s="7"/>
      <c r="Y222" s="7"/>
      <c r="Z222" s="7"/>
      <c r="AA222" s="7"/>
    </row>
    <row r="223" spans="2:41" ht="12.75" customHeight="1">
      <c r="T223" s="1">
        <f>+T222*-1</f>
        <v>0</v>
      </c>
    </row>
  </sheetData>
  <autoFilter ref="B3:AA222"/>
  <mergeCells count="7">
    <mergeCell ref="T2:U2"/>
    <mergeCell ref="V2:W2"/>
    <mergeCell ref="H2:I2"/>
    <mergeCell ref="J2:K2"/>
    <mergeCell ref="R2:S2"/>
    <mergeCell ref="L2:M2"/>
    <mergeCell ref="N2:O2"/>
  </mergeCells>
  <conditionalFormatting sqref="B4:B189">
    <cfRule type="expression" dxfId="11" priority="5">
      <formula>$B4&lt;&gt;""</formula>
    </cfRule>
  </conditionalFormatting>
  <conditionalFormatting sqref="B4:B215">
    <cfRule type="expression" dxfId="10" priority="1">
      <formula>$B4&lt;&gt;""</formula>
    </cfRule>
  </conditionalFormatting>
  <pageMargins left="0.7" right="0.7" top="0.75" bottom="0.75" header="0.3" footer="0.3"/>
  <pageSetup scale="36" fitToHeight="0" orientation="landscape" horizontalDpi="0" verticalDpi="0" r:id="rId1"/>
  <ignoredErrors>
    <ignoredError sqref="J139:M139 P139:AA139" formula="1"/>
  </ignoredErrors>
</worksheet>
</file>

<file path=xl/worksheets/sheet14.xml><?xml version="1.0" encoding="utf-8"?>
<worksheet xmlns="http://schemas.openxmlformats.org/spreadsheetml/2006/main" xmlns:r="http://schemas.openxmlformats.org/officeDocument/2006/relationships">
  <sheetPr>
    <tabColor rgb="FF00B0F0"/>
    <pageSetUpPr fitToPage="1"/>
  </sheetPr>
  <dimension ref="A1:AF223"/>
  <sheetViews>
    <sheetView workbookViewId="0">
      <pane xSplit="5" ySplit="3" topLeftCell="J118" activePane="bottomRight" state="frozen"/>
      <selection activeCell="G113" sqref="G113"/>
      <selection pane="topRight" activeCell="G113" sqref="G113"/>
      <selection pane="bottomLeft" activeCell="G113" sqref="G113"/>
      <selection pane="bottomRight" activeCell="E238" sqref="E238"/>
    </sheetView>
  </sheetViews>
  <sheetFormatPr defaultRowHeight="12.75" customHeight="1"/>
  <cols>
    <col min="1" max="1" width="7" style="1" customWidth="1"/>
    <col min="2" max="2" width="3.85546875" style="1" customWidth="1"/>
    <col min="3" max="3" width="7.7109375" style="1" customWidth="1"/>
    <col min="4" max="4" width="40.140625" style="1" customWidth="1"/>
    <col min="5" max="5" width="8.42578125" style="2" customWidth="1"/>
    <col min="6" max="6" width="10.28515625" style="1" customWidth="1"/>
    <col min="7" max="7" width="11.140625" style="1" bestFit="1" customWidth="1"/>
    <col min="8" max="9" width="14.7109375" style="1" bestFit="1" customWidth="1"/>
    <col min="10" max="13" width="14.28515625" style="1" bestFit="1" customWidth="1"/>
    <col min="14" max="14" width="12.42578125" style="1" customWidth="1"/>
    <col min="15" max="15" width="14.140625" style="1" customWidth="1"/>
    <col min="16" max="17" width="12.42578125" style="1" customWidth="1"/>
    <col min="18" max="19" width="14.42578125" style="1" bestFit="1" customWidth="1"/>
    <col min="20" max="23" width="14.42578125" style="1" customWidth="1"/>
    <col min="24" max="27" width="6.28515625" style="1" customWidth="1"/>
    <col min="28" max="28" width="9.140625" style="1"/>
    <col min="29" max="29" width="16.42578125" style="1" bestFit="1" customWidth="1"/>
    <col min="30" max="30" width="15.7109375" style="1" bestFit="1" customWidth="1"/>
    <col min="31" max="31" width="16.42578125" style="1" bestFit="1" customWidth="1"/>
    <col min="32" max="32" width="15.7109375" style="1" bestFit="1" customWidth="1"/>
    <col min="33" max="16384" width="9.140625" style="1"/>
  </cols>
  <sheetData>
    <row r="1" spans="1:32" ht="12.75" customHeight="1">
      <c r="B1" s="96">
        <f>COUNT(B4:B5965)</f>
        <v>212</v>
      </c>
      <c r="C1" s="266" t="s">
        <v>1318</v>
      </c>
      <c r="E1" s="33"/>
      <c r="F1" s="113" t="s">
        <v>43</v>
      </c>
      <c r="G1" s="114"/>
      <c r="H1" s="115">
        <v>43191</v>
      </c>
      <c r="I1" s="115">
        <v>43281</v>
      </c>
      <c r="J1" s="81"/>
      <c r="K1" s="41"/>
      <c r="U1" s="83"/>
      <c r="V1" s="83"/>
    </row>
    <row r="2" spans="1:32" ht="12.75" customHeight="1">
      <c r="B2" s="60" t="s">
        <v>12</v>
      </c>
      <c r="C2" s="61" t="s">
        <v>13</v>
      </c>
      <c r="D2" s="61" t="s">
        <v>13</v>
      </c>
      <c r="E2" s="61" t="s">
        <v>29</v>
      </c>
      <c r="F2" s="62"/>
      <c r="G2" s="62"/>
      <c r="H2" s="1041" t="s">
        <v>14</v>
      </c>
      <c r="I2" s="1041"/>
      <c r="J2" s="1041" t="s">
        <v>34</v>
      </c>
      <c r="K2" s="1041"/>
      <c r="L2" s="1041" t="s">
        <v>35</v>
      </c>
      <c r="M2" s="1041"/>
      <c r="N2" s="1041" t="s">
        <v>36</v>
      </c>
      <c r="O2" s="1041"/>
      <c r="P2" s="62"/>
      <c r="Q2" s="62"/>
      <c r="R2" s="1041" t="s">
        <v>15</v>
      </c>
      <c r="S2" s="1041"/>
      <c r="T2" s="1041" t="s">
        <v>37</v>
      </c>
      <c r="U2" s="1041"/>
      <c r="V2" s="1041" t="s">
        <v>38</v>
      </c>
      <c r="W2" s="1041"/>
      <c r="X2" s="60" t="s">
        <v>0</v>
      </c>
      <c r="Y2" s="60" t="s">
        <v>0</v>
      </c>
      <c r="Z2" s="60" t="s">
        <v>0</v>
      </c>
      <c r="AA2" s="60"/>
    </row>
    <row r="3" spans="1:32" ht="12.75" customHeight="1">
      <c r="B3" s="60"/>
      <c r="C3" s="61" t="s">
        <v>16</v>
      </c>
      <c r="D3" s="61" t="s">
        <v>27</v>
      </c>
      <c r="E3" s="61" t="s">
        <v>28</v>
      </c>
      <c r="F3" s="120" t="s">
        <v>25</v>
      </c>
      <c r="G3" s="120" t="s">
        <v>26</v>
      </c>
      <c r="H3" s="61" t="s">
        <v>17</v>
      </c>
      <c r="I3" s="61" t="s">
        <v>18</v>
      </c>
      <c r="J3" s="61" t="s">
        <v>17</v>
      </c>
      <c r="K3" s="61" t="s">
        <v>18</v>
      </c>
      <c r="L3" s="61" t="s">
        <v>17</v>
      </c>
      <c r="M3" s="61" t="s">
        <v>18</v>
      </c>
      <c r="N3" s="61" t="s">
        <v>17</v>
      </c>
      <c r="O3" s="61" t="s">
        <v>18</v>
      </c>
      <c r="P3" s="120" t="s">
        <v>25</v>
      </c>
      <c r="Q3" s="120" t="s">
        <v>26</v>
      </c>
      <c r="R3" s="61" t="s">
        <v>17</v>
      </c>
      <c r="S3" s="61" t="s">
        <v>18</v>
      </c>
      <c r="T3" s="61" t="s">
        <v>17</v>
      </c>
      <c r="U3" s="61" t="s">
        <v>18</v>
      </c>
      <c r="V3" s="61" t="s">
        <v>17</v>
      </c>
      <c r="W3" s="61" t="s">
        <v>18</v>
      </c>
      <c r="X3" s="60" t="s">
        <v>281</v>
      </c>
      <c r="Y3" s="64" t="s">
        <v>282</v>
      </c>
      <c r="Z3" s="60" t="s">
        <v>19</v>
      </c>
      <c r="AA3" s="60"/>
      <c r="AC3" s="238"/>
      <c r="AD3" s="238"/>
      <c r="AE3" s="238"/>
    </row>
    <row r="4" spans="1:32" ht="12.75" customHeight="1">
      <c r="A4" s="24"/>
      <c r="B4" s="108">
        <v>1</v>
      </c>
      <c r="C4" s="5">
        <v>100100</v>
      </c>
      <c r="D4" s="122" t="s">
        <v>888</v>
      </c>
      <c r="E4" s="9" t="s">
        <v>32</v>
      </c>
      <c r="F4" s="6"/>
      <c r="G4" s="6"/>
      <c r="H4" s="11">
        <f>+STAT1!V4</f>
        <v>199582718.02988821</v>
      </c>
      <c r="I4" s="11">
        <f>+STAT1!W4</f>
        <v>0</v>
      </c>
      <c r="J4" s="11">
        <f>+SUMIFS(JURNAL!G:G,JURNAL!E:E,C4,JURNAL!C:C,"&gt;="&amp;$H$1,JURNAL!C:C,"&lt;="&amp;$I$1)</f>
        <v>16080137</v>
      </c>
      <c r="K4" s="11">
        <f>+SUMIFS(JURNAL!H:H,JURNAL!E:E,C4,JURNAL!C:C,"&gt;="&amp;$H$1,JURNAL!C:C,"&lt;="&amp;$I$1)</f>
        <v>115948884.42</v>
      </c>
      <c r="L4" s="26">
        <f>+IF((H4+J4)&gt;(I4+K4),(H4+J4)-(I4+K4),0)</f>
        <v>99713970.609888211</v>
      </c>
      <c r="M4" s="27">
        <f t="shared" ref="M4:M67" si="0">+IF((H4+J4)&lt;(I4+K4),(I4+K4)-(H4+J4),0)</f>
        <v>0</v>
      </c>
      <c r="N4" s="11"/>
      <c r="O4" s="335"/>
      <c r="P4" s="11"/>
      <c r="Q4" s="11"/>
      <c r="R4" s="26">
        <f>+IF((L4+N4)&gt;(M4+O4),(L4+N4)-(M4+O4),0)</f>
        <v>99713970.609888211</v>
      </c>
      <c r="S4" s="27">
        <f>+IF((L4+N4)&lt;(M4+O4),(M4+O4)-(L4+N4),0)</f>
        <v>0</v>
      </c>
      <c r="T4" s="11"/>
      <c r="U4" s="11"/>
      <c r="V4" s="26">
        <f>+IF((R4+T4)&gt;(S4+U4),(R4+T4)-(S4+U4),0)</f>
        <v>99713970.609888211</v>
      </c>
      <c r="W4" s="27">
        <f t="shared" ref="W4:W67" si="1">+IF((R4+T4)&lt;(S4+U4),(S4+U4)-(R4+T4),0)</f>
        <v>0</v>
      </c>
      <c r="X4" s="4">
        <v>1101</v>
      </c>
      <c r="Y4" s="4"/>
      <c r="Z4" s="6"/>
      <c r="AA4" s="12">
        <f>+IF(H4+I4+J4+K4+L4+M4+N4+O4+R4+S4+T4+U4+V4+W4,1,0)</f>
        <v>1</v>
      </c>
      <c r="AC4" s="83"/>
      <c r="AD4" s="83"/>
      <c r="AE4" s="83"/>
      <c r="AF4" s="83"/>
    </row>
    <row r="5" spans="1:32" ht="12.75" customHeight="1">
      <c r="A5" s="24"/>
      <c r="B5" s="108">
        <f>+B4+1</f>
        <v>2</v>
      </c>
      <c r="C5" s="3">
        <v>100200</v>
      </c>
      <c r="D5" s="122" t="s">
        <v>943</v>
      </c>
      <c r="E5" s="9" t="s">
        <v>30</v>
      </c>
      <c r="F5" s="121">
        <v>5645.1</v>
      </c>
      <c r="G5" s="121">
        <v>2489.5300000000002</v>
      </c>
      <c r="H5" s="11">
        <f>+STAT1!V5</f>
        <v>13701391.560000001</v>
      </c>
      <c r="I5" s="11">
        <f>+STAT1!W5</f>
        <v>0</v>
      </c>
      <c r="J5" s="11">
        <f>+SUMIFS(JURNAL!G:G,JURNAL!E:E,C5,JURNAL!C:C,"&gt;="&amp;$H$1,JURNAL!C:C,"&lt;="&amp;$I$1)</f>
        <v>0</v>
      </c>
      <c r="K5" s="11">
        <f>+SUMIFS(JURNAL!H:H,JURNAL!E:E,C5,JURNAL!C:C,"&gt;="&amp;$H$1,JURNAL!C:C,"&lt;="&amp;$I$1)</f>
        <v>0</v>
      </c>
      <c r="L5" s="26">
        <f t="shared" ref="L5:L68" si="2">+IF((H5+J5)&gt;(I5+K5),(H5+J5)-(I5+K5),0)</f>
        <v>13701391.560000001</v>
      </c>
      <c r="M5" s="27">
        <f t="shared" si="0"/>
        <v>0</v>
      </c>
      <c r="N5" s="11"/>
      <c r="O5" s="335"/>
      <c r="P5" s="11"/>
      <c r="Q5" s="11"/>
      <c r="R5" s="26">
        <f t="shared" ref="R5:R68" si="3">+IF((L5+N5)&gt;(M5+O5),(L5+N5)-(M5+O5),0)</f>
        <v>13701391.560000001</v>
      </c>
      <c r="S5" s="27">
        <f t="shared" ref="S5:S68" si="4">+IF((L5+N5)&lt;(M5+O5),(M5+O5)-(L5+N5),0)</f>
        <v>0</v>
      </c>
      <c r="T5" s="11"/>
      <c r="U5" s="11"/>
      <c r="V5" s="26">
        <f t="shared" ref="V5:V68" si="5">+IF((R5+T5)&gt;(S5+U5),(R5+T5)-(S5+U5),0)</f>
        <v>13701391.560000001</v>
      </c>
      <c r="W5" s="27">
        <f t="shared" si="1"/>
        <v>0</v>
      </c>
      <c r="X5" s="4">
        <v>1101</v>
      </c>
      <c r="Y5" s="4"/>
      <c r="Z5" s="4"/>
      <c r="AA5" s="12">
        <f t="shared" ref="AA5:AA68" si="6">+IF(H5+I5+J5+K5+L5+M5+N5+O5+R5+S5+T5+U5+V5+W5,1,0)</f>
        <v>1</v>
      </c>
      <c r="AC5" s="83"/>
      <c r="AD5" s="83"/>
      <c r="AE5" s="83"/>
      <c r="AF5" s="83"/>
    </row>
    <row r="6" spans="1:32" ht="12.75" customHeight="1">
      <c r="A6" s="24"/>
      <c r="B6" s="108">
        <f t="shared" ref="B6:B69" si="7">+B5+1</f>
        <v>3</v>
      </c>
      <c r="C6" s="5">
        <v>110100</v>
      </c>
      <c r="D6" s="122" t="s">
        <v>1534</v>
      </c>
      <c r="E6" s="9" t="s">
        <v>32</v>
      </c>
      <c r="F6" s="6"/>
      <c r="G6" s="6"/>
      <c r="H6" s="11">
        <f>+STAT1!V6</f>
        <v>11900948.349999994</v>
      </c>
      <c r="I6" s="11">
        <f>+STAT1!W6</f>
        <v>0</v>
      </c>
      <c r="J6" s="11">
        <f>+SUMIFS(JURNAL!G:G,JURNAL!E:E,C6,JURNAL!C:C,"&gt;="&amp;$H$1,JURNAL!C:C,"&lt;="&amp;$I$1)</f>
        <v>20593720</v>
      </c>
      <c r="K6" s="11">
        <f>+SUMIFS(JURNAL!H:H,JURNAL!E:E,C6,JURNAL!C:C,"&gt;="&amp;$H$1,JURNAL!C:C,"&lt;="&amp;$I$1)</f>
        <v>31235023.350000001</v>
      </c>
      <c r="L6" s="26">
        <f t="shared" si="2"/>
        <v>1259644.9999999925</v>
      </c>
      <c r="M6" s="27">
        <f t="shared" si="0"/>
        <v>0</v>
      </c>
      <c r="N6" s="11"/>
      <c r="O6" s="335"/>
      <c r="P6" s="11"/>
      <c r="Q6" s="11"/>
      <c r="R6" s="26">
        <f t="shared" si="3"/>
        <v>1259644.9999999925</v>
      </c>
      <c r="S6" s="27">
        <f t="shared" si="4"/>
        <v>0</v>
      </c>
      <c r="T6" s="11"/>
      <c r="U6" s="11"/>
      <c r="V6" s="873">
        <f t="shared" si="5"/>
        <v>1259644.9999999925</v>
      </c>
      <c r="W6" s="27">
        <f t="shared" si="1"/>
        <v>0</v>
      </c>
      <c r="X6" s="4">
        <v>1101</v>
      </c>
      <c r="Y6" s="4"/>
      <c r="Z6" s="4"/>
      <c r="AA6" s="12">
        <f t="shared" si="6"/>
        <v>1</v>
      </c>
      <c r="AC6" s="83">
        <v>1259645</v>
      </c>
      <c r="AD6" s="83">
        <f>+V6-AC6</f>
        <v>-7.4505805969238281E-9</v>
      </c>
      <c r="AE6" s="83"/>
      <c r="AF6" s="83"/>
    </row>
    <row r="7" spans="1:32" ht="12.75" customHeight="1">
      <c r="A7" s="24"/>
      <c r="B7" s="108">
        <f t="shared" si="7"/>
        <v>4</v>
      </c>
      <c r="C7" s="6">
        <v>110102</v>
      </c>
      <c r="D7" s="122" t="s">
        <v>1535</v>
      </c>
      <c r="E7" s="9" t="s">
        <v>32</v>
      </c>
      <c r="F7" s="6"/>
      <c r="G7" s="6"/>
      <c r="H7" s="11">
        <f>+STAT1!V7</f>
        <v>16584.13</v>
      </c>
      <c r="I7" s="11">
        <f>+STAT1!W7</f>
        <v>0</v>
      </c>
      <c r="J7" s="11">
        <f>+SUMIFS(JURNAL!G:G,JURNAL!E:E,C7,JURNAL!C:C,"&gt;="&amp;$H$1,JURNAL!C:C,"&lt;="&amp;$I$1)</f>
        <v>0</v>
      </c>
      <c r="K7" s="11">
        <f>+SUMIFS(JURNAL!H:H,JURNAL!E:E,C7,JURNAL!C:C,"&gt;="&amp;$H$1,JURNAL!C:C,"&lt;="&amp;$I$1)</f>
        <v>0</v>
      </c>
      <c r="L7" s="26">
        <f t="shared" si="2"/>
        <v>16584.13</v>
      </c>
      <c r="M7" s="27">
        <f t="shared" si="0"/>
        <v>0</v>
      </c>
      <c r="N7" s="11"/>
      <c r="O7" s="335"/>
      <c r="P7" s="11"/>
      <c r="Q7" s="11"/>
      <c r="R7" s="26">
        <f t="shared" si="3"/>
        <v>16584.13</v>
      </c>
      <c r="S7" s="27">
        <f t="shared" si="4"/>
        <v>0</v>
      </c>
      <c r="T7" s="11"/>
      <c r="U7" s="11"/>
      <c r="V7" s="26">
        <f t="shared" si="5"/>
        <v>16584.13</v>
      </c>
      <c r="W7" s="27">
        <f t="shared" si="1"/>
        <v>0</v>
      </c>
      <c r="X7" s="4">
        <v>1101</v>
      </c>
      <c r="Y7" s="4"/>
      <c r="Z7" s="4"/>
      <c r="AA7" s="12">
        <f t="shared" si="6"/>
        <v>1</v>
      </c>
      <c r="AC7" s="83"/>
      <c r="AD7" s="83"/>
      <c r="AE7" s="83"/>
      <c r="AF7" s="83"/>
    </row>
    <row r="8" spans="1:32" ht="12.75" customHeight="1">
      <c r="A8" s="24"/>
      <c r="B8" s="108">
        <f t="shared" si="7"/>
        <v>5</v>
      </c>
      <c r="C8" s="6">
        <v>110103</v>
      </c>
      <c r="D8" s="122" t="s">
        <v>1536</v>
      </c>
      <c r="E8" s="9" t="s">
        <v>32</v>
      </c>
      <c r="F8" s="6"/>
      <c r="G8" s="6"/>
      <c r="H8" s="11">
        <f>+STAT1!V8</f>
        <v>88499.17</v>
      </c>
      <c r="I8" s="11">
        <f>+STAT1!W8</f>
        <v>0</v>
      </c>
      <c r="J8" s="11">
        <f>+SUMIFS(JURNAL!G:G,JURNAL!E:E,C8,JURNAL!C:C,"&gt;="&amp;$H$1,JURNAL!C:C,"&lt;="&amp;$I$1)</f>
        <v>0</v>
      </c>
      <c r="K8" s="11">
        <f>+SUMIFS(JURNAL!H:H,JURNAL!E:E,C8,JURNAL!C:C,"&gt;="&amp;$H$1,JURNAL!C:C,"&lt;="&amp;$I$1)</f>
        <v>0</v>
      </c>
      <c r="L8" s="26">
        <f t="shared" si="2"/>
        <v>88499.17</v>
      </c>
      <c r="M8" s="27">
        <f t="shared" si="0"/>
        <v>0</v>
      </c>
      <c r="N8" s="11"/>
      <c r="O8" s="335"/>
      <c r="P8" s="11"/>
      <c r="Q8" s="11"/>
      <c r="R8" s="26">
        <f t="shared" si="3"/>
        <v>88499.17</v>
      </c>
      <c r="S8" s="27">
        <f t="shared" si="4"/>
        <v>0</v>
      </c>
      <c r="T8" s="11"/>
      <c r="U8" s="11"/>
      <c r="V8" s="26">
        <f t="shared" si="5"/>
        <v>88499.17</v>
      </c>
      <c r="W8" s="27">
        <f t="shared" si="1"/>
        <v>0</v>
      </c>
      <c r="X8" s="4">
        <v>1101</v>
      </c>
      <c r="Y8" s="4"/>
      <c r="Z8" s="4"/>
      <c r="AA8" s="12">
        <f t="shared" si="6"/>
        <v>1</v>
      </c>
      <c r="AC8" s="83"/>
      <c r="AD8" s="83"/>
      <c r="AE8" s="83"/>
      <c r="AF8" s="83"/>
    </row>
    <row r="9" spans="1:32" ht="12.75" customHeight="1">
      <c r="A9" s="24"/>
      <c r="B9" s="108">
        <f t="shared" si="7"/>
        <v>6</v>
      </c>
      <c r="C9" s="6">
        <v>110104</v>
      </c>
      <c r="D9" s="122" t="s">
        <v>1537</v>
      </c>
      <c r="E9" s="9" t="s">
        <v>32</v>
      </c>
      <c r="F9" s="6"/>
      <c r="G9" s="6"/>
      <c r="H9" s="11">
        <f>+STAT1!V9</f>
        <v>27647.96</v>
      </c>
      <c r="I9" s="11">
        <f>+STAT1!W9</f>
        <v>0</v>
      </c>
      <c r="J9" s="11">
        <f>+SUMIFS(JURNAL!G:G,JURNAL!E:E,C9,JURNAL!C:C,"&gt;="&amp;$H$1,JURNAL!C:C,"&lt;="&amp;$I$1)</f>
        <v>0</v>
      </c>
      <c r="K9" s="11">
        <f>+SUMIFS(JURNAL!H:H,JURNAL!E:E,C9,JURNAL!C:C,"&gt;="&amp;$H$1,JURNAL!C:C,"&lt;="&amp;$I$1)</f>
        <v>0</v>
      </c>
      <c r="L9" s="26">
        <f t="shared" si="2"/>
        <v>27647.96</v>
      </c>
      <c r="M9" s="27">
        <f t="shared" si="0"/>
        <v>0</v>
      </c>
      <c r="N9" s="11"/>
      <c r="O9" s="335"/>
      <c r="P9" s="11"/>
      <c r="Q9" s="11"/>
      <c r="R9" s="26">
        <f t="shared" si="3"/>
        <v>27647.96</v>
      </c>
      <c r="S9" s="27">
        <f t="shared" si="4"/>
        <v>0</v>
      </c>
      <c r="T9" s="11"/>
      <c r="U9" s="11"/>
      <c r="V9" s="26">
        <f t="shared" si="5"/>
        <v>27647.96</v>
      </c>
      <c r="W9" s="27">
        <f t="shared" si="1"/>
        <v>0</v>
      </c>
      <c r="X9" s="4">
        <v>1101</v>
      </c>
      <c r="Y9" s="4"/>
      <c r="Z9" s="4"/>
      <c r="AA9" s="12">
        <f t="shared" si="6"/>
        <v>1</v>
      </c>
      <c r="AC9" s="83"/>
      <c r="AD9" s="83"/>
      <c r="AE9" s="83"/>
      <c r="AF9" s="83"/>
    </row>
    <row r="10" spans="1:32" ht="12.75" customHeight="1">
      <c r="A10" s="24"/>
      <c r="B10" s="108">
        <f t="shared" si="7"/>
        <v>7</v>
      </c>
      <c r="C10" s="6">
        <v>110105</v>
      </c>
      <c r="D10" s="122" t="s">
        <v>1538</v>
      </c>
      <c r="E10" s="9" t="s">
        <v>32</v>
      </c>
      <c r="F10" s="6"/>
      <c r="G10" s="6"/>
      <c r="H10" s="11">
        <f>+STAT1!V10</f>
        <v>135889.92000000001</v>
      </c>
      <c r="I10" s="11">
        <f>+STAT1!W10</f>
        <v>0</v>
      </c>
      <c r="J10" s="11">
        <f>+SUMIFS(JURNAL!G:G,JURNAL!E:E,C10,JURNAL!C:C,"&gt;="&amp;$H$1,JURNAL!C:C,"&lt;="&amp;$I$1)</f>
        <v>0</v>
      </c>
      <c r="K10" s="11">
        <f>+SUMIFS(JURNAL!H:H,JURNAL!E:E,C10,JURNAL!C:C,"&gt;="&amp;$H$1,JURNAL!C:C,"&lt;="&amp;$I$1)</f>
        <v>0</v>
      </c>
      <c r="L10" s="26">
        <f t="shared" si="2"/>
        <v>135889.92000000001</v>
      </c>
      <c r="M10" s="27">
        <f t="shared" si="0"/>
        <v>0</v>
      </c>
      <c r="N10" s="11"/>
      <c r="O10" s="335"/>
      <c r="P10" s="11"/>
      <c r="Q10" s="11"/>
      <c r="R10" s="26">
        <f t="shared" si="3"/>
        <v>135889.92000000001</v>
      </c>
      <c r="S10" s="27">
        <f t="shared" si="4"/>
        <v>0</v>
      </c>
      <c r="T10" s="11"/>
      <c r="U10" s="11"/>
      <c r="V10" s="26">
        <f t="shared" si="5"/>
        <v>135889.92000000001</v>
      </c>
      <c r="W10" s="27">
        <f t="shared" si="1"/>
        <v>0</v>
      </c>
      <c r="X10" s="4">
        <v>1101</v>
      </c>
      <c r="Y10" s="4"/>
      <c r="Z10" s="4"/>
      <c r="AA10" s="12">
        <f t="shared" si="6"/>
        <v>1</v>
      </c>
      <c r="AC10" s="83"/>
      <c r="AD10" s="83"/>
      <c r="AE10" s="83"/>
      <c r="AF10" s="83"/>
    </row>
    <row r="11" spans="1:32" ht="12.75" customHeight="1">
      <c r="A11" s="24"/>
      <c r="B11" s="108">
        <f t="shared" si="7"/>
        <v>8</v>
      </c>
      <c r="C11" s="6">
        <v>110200</v>
      </c>
      <c r="D11" s="122" t="s">
        <v>1539</v>
      </c>
      <c r="E11" s="9" t="s">
        <v>30</v>
      </c>
      <c r="F11" s="330">
        <v>7</v>
      </c>
      <c r="G11" s="330">
        <v>2489.5300000000002</v>
      </c>
      <c r="H11" s="11">
        <f>+STAT1!V11</f>
        <v>16749.39</v>
      </c>
      <c r="I11" s="11">
        <f>+STAT1!W11</f>
        <v>0</v>
      </c>
      <c r="J11" s="11">
        <f>+SUMIFS(JURNAL!G:G,JURNAL!E:E,C11,JURNAL!C:C,"&gt;="&amp;$H$1,JURNAL!C:C,"&lt;="&amp;$I$1)</f>
        <v>0</v>
      </c>
      <c r="K11" s="11">
        <f>+SUMIFS(JURNAL!H:H,JURNAL!E:E,C11,JURNAL!C:C,"&gt;="&amp;$H$1,JURNAL!C:C,"&lt;="&amp;$I$1)</f>
        <v>0</v>
      </c>
      <c r="L11" s="26">
        <f t="shared" si="2"/>
        <v>16749.39</v>
      </c>
      <c r="M11" s="27">
        <f t="shared" si="0"/>
        <v>0</v>
      </c>
      <c r="N11" s="11">
        <f>7*2462.82-16749.39</f>
        <v>490.35000000000218</v>
      </c>
      <c r="O11" s="335"/>
      <c r="P11" s="11">
        <f t="shared" ref="P11:P16" si="8">+F11</f>
        <v>7</v>
      </c>
      <c r="Q11" s="11">
        <v>2462.8200000000002</v>
      </c>
      <c r="R11" s="26">
        <f t="shared" si="3"/>
        <v>17239.740000000002</v>
      </c>
      <c r="S11" s="27">
        <f t="shared" si="4"/>
        <v>0</v>
      </c>
      <c r="T11" s="11"/>
      <c r="U11" s="11"/>
      <c r="V11" s="26">
        <f t="shared" si="5"/>
        <v>17239.740000000002</v>
      </c>
      <c r="W11" s="27">
        <f t="shared" si="1"/>
        <v>0</v>
      </c>
      <c r="X11" s="4">
        <v>1101</v>
      </c>
      <c r="Y11" s="4"/>
      <c r="Z11" s="4"/>
      <c r="AA11" s="12">
        <f t="shared" si="6"/>
        <v>1</v>
      </c>
      <c r="AC11" s="83"/>
      <c r="AD11" s="83"/>
      <c r="AE11" s="83"/>
      <c r="AF11" s="83"/>
    </row>
    <row r="12" spans="1:32" ht="12.75" customHeight="1">
      <c r="A12" s="24"/>
      <c r="B12" s="108">
        <f t="shared" si="7"/>
        <v>9</v>
      </c>
      <c r="C12" s="6">
        <v>110201</v>
      </c>
      <c r="D12" s="122" t="s">
        <v>1540</v>
      </c>
      <c r="E12" s="9" t="s">
        <v>30</v>
      </c>
      <c r="F12" s="330">
        <v>140</v>
      </c>
      <c r="G12" s="330">
        <v>2489.5300000000002</v>
      </c>
      <c r="H12" s="11">
        <f>+STAT1!V12</f>
        <v>334987.8</v>
      </c>
      <c r="I12" s="11">
        <f>+STAT1!W12</f>
        <v>0</v>
      </c>
      <c r="J12" s="11">
        <f>+SUMIFS(JURNAL!G:G,JURNAL!E:E,C12,JURNAL!C:C,"&gt;="&amp;$H$1,JURNAL!C:C,"&lt;="&amp;$I$1)</f>
        <v>0</v>
      </c>
      <c r="K12" s="11">
        <f>+SUMIFS(JURNAL!H:H,JURNAL!E:E,C12,JURNAL!C:C,"&gt;="&amp;$H$1,JURNAL!C:C,"&lt;="&amp;$I$1)</f>
        <v>0</v>
      </c>
      <c r="L12" s="26">
        <f t="shared" si="2"/>
        <v>334987.8</v>
      </c>
      <c r="M12" s="27">
        <f t="shared" si="0"/>
        <v>0</v>
      </c>
      <c r="N12" s="11">
        <v>9807</v>
      </c>
      <c r="O12" s="335"/>
      <c r="P12" s="11">
        <f t="shared" si="8"/>
        <v>140</v>
      </c>
      <c r="Q12" s="11">
        <v>2462.8200000000002</v>
      </c>
      <c r="R12" s="26">
        <f t="shared" si="3"/>
        <v>344794.8</v>
      </c>
      <c r="S12" s="27">
        <f t="shared" si="4"/>
        <v>0</v>
      </c>
      <c r="T12" s="11"/>
      <c r="U12" s="11"/>
      <c r="V12" s="26">
        <f t="shared" si="5"/>
        <v>344794.8</v>
      </c>
      <c r="W12" s="27">
        <f t="shared" si="1"/>
        <v>0</v>
      </c>
      <c r="X12" s="4">
        <v>1101</v>
      </c>
      <c r="Y12" s="4"/>
      <c r="Z12" s="4"/>
      <c r="AA12" s="12">
        <f t="shared" si="6"/>
        <v>1</v>
      </c>
      <c r="AB12" s="81"/>
      <c r="AC12" s="83"/>
      <c r="AD12" s="83"/>
      <c r="AE12" s="83"/>
      <c r="AF12" s="83"/>
    </row>
    <row r="13" spans="1:32" ht="12.75" customHeight="1">
      <c r="A13" s="24"/>
      <c r="B13" s="108">
        <f t="shared" si="7"/>
        <v>10</v>
      </c>
      <c r="C13" s="6">
        <v>110202</v>
      </c>
      <c r="D13" s="122" t="s">
        <v>1541</v>
      </c>
      <c r="E13" s="9" t="s">
        <v>30</v>
      </c>
      <c r="F13" s="330">
        <v>43.27</v>
      </c>
      <c r="G13" s="330">
        <v>2489.5300000000002</v>
      </c>
      <c r="H13" s="11">
        <f>+STAT1!V13</f>
        <v>103535.15790000001</v>
      </c>
      <c r="I13" s="11">
        <f>+STAT1!W13</f>
        <v>0</v>
      </c>
      <c r="J13" s="11">
        <f>+SUMIFS(JURNAL!G:G,JURNAL!E:E,C13,JURNAL!C:C,"&gt;="&amp;$H$1,JURNAL!C:C,"&lt;="&amp;$I$1)</f>
        <v>0</v>
      </c>
      <c r="K13" s="11">
        <f>+SUMIFS(JURNAL!H:H,JURNAL!E:E,C13,JURNAL!C:C,"&gt;="&amp;$H$1,JURNAL!C:C,"&lt;="&amp;$I$1)</f>
        <v>0</v>
      </c>
      <c r="L13" s="26">
        <f t="shared" si="2"/>
        <v>103535.15790000001</v>
      </c>
      <c r="M13" s="27">
        <f t="shared" si="0"/>
        <v>0</v>
      </c>
      <c r="N13" s="11">
        <v>3031.06</v>
      </c>
      <c r="O13" s="335"/>
      <c r="P13" s="11">
        <f t="shared" si="8"/>
        <v>43.27</v>
      </c>
      <c r="Q13" s="11">
        <v>2462.8200000000002</v>
      </c>
      <c r="R13" s="26">
        <f t="shared" si="3"/>
        <v>106566.2179</v>
      </c>
      <c r="S13" s="27">
        <f t="shared" si="4"/>
        <v>0</v>
      </c>
      <c r="T13" s="11"/>
      <c r="U13" s="11"/>
      <c r="V13" s="26">
        <f t="shared" si="5"/>
        <v>106566.2179</v>
      </c>
      <c r="W13" s="27">
        <f t="shared" si="1"/>
        <v>0</v>
      </c>
      <c r="X13" s="4">
        <v>1101</v>
      </c>
      <c r="Y13" s="4"/>
      <c r="Z13" s="4"/>
      <c r="AA13" s="12">
        <f t="shared" si="6"/>
        <v>1</v>
      </c>
      <c r="AC13" s="83"/>
      <c r="AD13" s="83"/>
      <c r="AE13" s="83"/>
      <c r="AF13" s="83"/>
    </row>
    <row r="14" spans="1:32" ht="12.75" customHeight="1">
      <c r="A14" s="24"/>
      <c r="B14" s="108">
        <f t="shared" si="7"/>
        <v>11</v>
      </c>
      <c r="C14" s="6">
        <v>110203</v>
      </c>
      <c r="D14" s="122" t="s">
        <v>1542</v>
      </c>
      <c r="E14" s="9" t="s">
        <v>30</v>
      </c>
      <c r="F14" s="330">
        <v>52.18</v>
      </c>
      <c r="G14" s="330">
        <v>2489.5300000000002</v>
      </c>
      <c r="H14" s="11">
        <f>+STAT1!V14</f>
        <v>124854.7386</v>
      </c>
      <c r="I14" s="11">
        <f>+STAT1!W14</f>
        <v>0</v>
      </c>
      <c r="J14" s="11">
        <f>+SUMIFS(JURNAL!G:G,JURNAL!E:E,C14,JURNAL!C:C,"&gt;="&amp;$H$1,JURNAL!C:C,"&lt;="&amp;$I$1)</f>
        <v>0</v>
      </c>
      <c r="K14" s="11">
        <f>+SUMIFS(JURNAL!H:H,JURNAL!E:E,C14,JURNAL!C:C,"&gt;="&amp;$H$1,JURNAL!C:C,"&lt;="&amp;$I$1)</f>
        <v>0</v>
      </c>
      <c r="L14" s="26">
        <f t="shared" si="2"/>
        <v>124854.7386</v>
      </c>
      <c r="M14" s="27">
        <f t="shared" si="0"/>
        <v>0</v>
      </c>
      <c r="N14" s="11">
        <v>3655.21</v>
      </c>
      <c r="O14" s="335"/>
      <c r="P14" s="11">
        <f t="shared" si="8"/>
        <v>52.18</v>
      </c>
      <c r="Q14" s="11">
        <v>2462.8200000000002</v>
      </c>
      <c r="R14" s="26">
        <f t="shared" si="3"/>
        <v>128509.9486</v>
      </c>
      <c r="S14" s="27">
        <f t="shared" si="4"/>
        <v>0</v>
      </c>
      <c r="T14" s="11"/>
      <c r="U14" s="11"/>
      <c r="V14" s="26">
        <f t="shared" si="5"/>
        <v>128509.9486</v>
      </c>
      <c r="W14" s="27">
        <f t="shared" si="1"/>
        <v>0</v>
      </c>
      <c r="X14" s="4">
        <v>1101</v>
      </c>
      <c r="Y14" s="4"/>
      <c r="Z14" s="4"/>
      <c r="AA14" s="12">
        <f t="shared" si="6"/>
        <v>1</v>
      </c>
      <c r="AC14" s="83"/>
      <c r="AD14" s="83"/>
      <c r="AE14" s="83"/>
      <c r="AF14" s="83"/>
    </row>
    <row r="15" spans="1:32" ht="12.75" customHeight="1">
      <c r="A15" s="24"/>
      <c r="B15" s="108">
        <f t="shared" si="7"/>
        <v>12</v>
      </c>
      <c r="C15" s="6">
        <v>110204</v>
      </c>
      <c r="D15" s="122" t="s">
        <v>1543</v>
      </c>
      <c r="E15" s="9" t="s">
        <v>30</v>
      </c>
      <c r="F15" s="330">
        <f>20-7.09</f>
        <v>12.91</v>
      </c>
      <c r="G15" s="330">
        <v>2489.5300000000002</v>
      </c>
      <c r="H15" s="11">
        <f>+STAT1!V15</f>
        <v>24956.591099999998</v>
      </c>
      <c r="I15" s="11">
        <f>+STAT1!W15</f>
        <v>0</v>
      </c>
      <c r="J15" s="11">
        <f>+SUMIFS(JURNAL!G:G,JURNAL!E:E,C15,JURNAL!C:C,"&gt;="&amp;$H$1,JURNAL!C:C,"&lt;="&amp;$I$1)</f>
        <v>0</v>
      </c>
      <c r="K15" s="11">
        <f>+SUMIFS(JURNAL!H:H,JURNAL!E:E,C15,JURNAL!C:C,"&gt;="&amp;$H$1,JURNAL!C:C,"&lt;="&amp;$I$1)</f>
        <v>0</v>
      </c>
      <c r="L15" s="26">
        <f t="shared" si="2"/>
        <v>24956.591099999998</v>
      </c>
      <c r="M15" s="27">
        <f t="shared" si="0"/>
        <v>0</v>
      </c>
      <c r="N15" s="11">
        <v>6838.42</v>
      </c>
      <c r="O15" s="335"/>
      <c r="P15" s="11">
        <f t="shared" si="8"/>
        <v>12.91</v>
      </c>
      <c r="Q15" s="11">
        <v>2462.8200000000002</v>
      </c>
      <c r="R15" s="26">
        <f t="shared" si="3"/>
        <v>31795.011099999996</v>
      </c>
      <c r="S15" s="27">
        <f t="shared" si="4"/>
        <v>0</v>
      </c>
      <c r="T15" s="11"/>
      <c r="U15" s="11"/>
      <c r="V15" s="26">
        <f t="shared" si="5"/>
        <v>31795.011099999996</v>
      </c>
      <c r="W15" s="27">
        <f t="shared" si="1"/>
        <v>0</v>
      </c>
      <c r="X15" s="4">
        <v>1101</v>
      </c>
      <c r="Y15" s="4"/>
      <c r="Z15" s="4"/>
      <c r="AA15" s="12">
        <f t="shared" si="6"/>
        <v>1</v>
      </c>
      <c r="AC15" s="83"/>
      <c r="AD15" s="83"/>
      <c r="AE15" s="83"/>
      <c r="AF15" s="83"/>
    </row>
    <row r="16" spans="1:32" ht="12.75" customHeight="1">
      <c r="A16" s="24"/>
      <c r="B16" s="108">
        <f t="shared" si="7"/>
        <v>13</v>
      </c>
      <c r="C16" s="6">
        <v>110300</v>
      </c>
      <c r="D16" s="331" t="s">
        <v>1544</v>
      </c>
      <c r="E16" s="9" t="s">
        <v>31</v>
      </c>
      <c r="F16" s="330">
        <v>250</v>
      </c>
      <c r="G16" s="330"/>
      <c r="H16" s="11">
        <f>+STAT1!V16</f>
        <v>10435</v>
      </c>
      <c r="I16" s="11">
        <f>+STAT1!W16</f>
        <v>0</v>
      </c>
      <c r="J16" s="11">
        <f>+SUMIFS(JURNAL!G:G,JURNAL!E:E,C16,JURNAL!C:C,"&gt;="&amp;$H$1,JURNAL!C:C,"&lt;="&amp;$I$1)</f>
        <v>0</v>
      </c>
      <c r="K16" s="11">
        <f>+SUMIFS(JURNAL!H:H,JURNAL!E:E,C16,JURNAL!C:C,"&gt;="&amp;$H$1,JURNAL!C:C,"&lt;="&amp;$I$1)</f>
        <v>0</v>
      </c>
      <c r="L16" s="26">
        <f t="shared" si="2"/>
        <v>10435</v>
      </c>
      <c r="M16" s="27">
        <f t="shared" si="0"/>
        <v>0</v>
      </c>
      <c r="N16" s="11"/>
      <c r="O16" s="335"/>
      <c r="P16" s="11">
        <f t="shared" si="8"/>
        <v>250</v>
      </c>
      <c r="Q16" s="11"/>
      <c r="R16" s="26">
        <f t="shared" si="3"/>
        <v>10435</v>
      </c>
      <c r="S16" s="27">
        <f t="shared" si="4"/>
        <v>0</v>
      </c>
      <c r="T16" s="11"/>
      <c r="U16" s="11"/>
      <c r="V16" s="26">
        <f t="shared" si="5"/>
        <v>10435</v>
      </c>
      <c r="W16" s="27">
        <f t="shared" si="1"/>
        <v>0</v>
      </c>
      <c r="X16" s="4">
        <v>1101</v>
      </c>
      <c r="Y16" s="4"/>
      <c r="Z16" s="4"/>
      <c r="AA16" s="12">
        <f t="shared" si="6"/>
        <v>1</v>
      </c>
      <c r="AC16" s="83"/>
      <c r="AD16" s="83"/>
      <c r="AE16" s="83"/>
      <c r="AF16" s="83"/>
    </row>
    <row r="17" spans="1:32" ht="12.75" customHeight="1">
      <c r="A17" s="24"/>
      <c r="B17" s="108">
        <f t="shared" si="7"/>
        <v>14</v>
      </c>
      <c r="C17" s="6">
        <v>900100</v>
      </c>
      <c r="D17" s="121" t="s">
        <v>944</v>
      </c>
      <c r="E17" s="9" t="s">
        <v>32</v>
      </c>
      <c r="F17" s="6"/>
      <c r="G17" s="6"/>
      <c r="H17" s="11">
        <f>+STAT1!V17</f>
        <v>0</v>
      </c>
      <c r="I17" s="11">
        <f>+STAT1!W17</f>
        <v>0</v>
      </c>
      <c r="J17" s="11">
        <f>+SUMIFS(JURNAL!G:G,JURNAL!E:E,C17,JURNAL!C:C,"&gt;="&amp;$H$1,JURNAL!C:C,"&lt;="&amp;$I$1)</f>
        <v>0</v>
      </c>
      <c r="K17" s="11">
        <f>+SUMIFS(JURNAL!H:H,JURNAL!E:E,C17,JURNAL!C:C,"&gt;="&amp;$H$1,JURNAL!C:C,"&lt;="&amp;$I$1)</f>
        <v>0</v>
      </c>
      <c r="L17" s="26">
        <f t="shared" si="2"/>
        <v>0</v>
      </c>
      <c r="M17" s="27">
        <f t="shared" si="0"/>
        <v>0</v>
      </c>
      <c r="N17" s="11"/>
      <c r="O17" s="335"/>
      <c r="P17" s="11"/>
      <c r="Q17" s="11"/>
      <c r="R17" s="26">
        <f t="shared" si="3"/>
        <v>0</v>
      </c>
      <c r="S17" s="27">
        <f t="shared" si="4"/>
        <v>0</v>
      </c>
      <c r="T17" s="11"/>
      <c r="U17" s="11"/>
      <c r="V17" s="26">
        <f t="shared" si="5"/>
        <v>0</v>
      </c>
      <c r="W17" s="27">
        <f t="shared" si="1"/>
        <v>0</v>
      </c>
      <c r="X17" s="4">
        <v>1101</v>
      </c>
      <c r="Y17" s="4"/>
      <c r="Z17" s="4"/>
      <c r="AA17" s="12">
        <f t="shared" si="6"/>
        <v>0</v>
      </c>
      <c r="AC17" s="83"/>
      <c r="AD17" s="83"/>
      <c r="AE17" s="83"/>
      <c r="AF17" s="83"/>
    </row>
    <row r="18" spans="1:32" ht="12.75" customHeight="1">
      <c r="A18" s="24"/>
      <c r="B18" s="108">
        <f t="shared" si="7"/>
        <v>15</v>
      </c>
      <c r="C18" s="6">
        <v>120100</v>
      </c>
      <c r="D18" s="121" t="s">
        <v>945</v>
      </c>
      <c r="E18" s="9" t="s">
        <v>32</v>
      </c>
      <c r="F18" s="6"/>
      <c r="G18" s="6"/>
      <c r="H18" s="11">
        <f>+STAT1!V18</f>
        <v>4063840.0100000016</v>
      </c>
      <c r="I18" s="11">
        <f>+STAT1!W18</f>
        <v>0</v>
      </c>
      <c r="J18" s="11">
        <f>+SUMIFS(JURNAL!G:G,JURNAL!E:E,C18,JURNAL!C:C,"&gt;="&amp;$H$1,JURNAL!C:C,"&lt;="&amp;$I$1)</f>
        <v>31968304.989999998</v>
      </c>
      <c r="K18" s="11">
        <f>+SUMIFS(JURNAL!H:H,JURNAL!E:E,C18,JURNAL!C:C,"&gt;="&amp;$H$1,JURNAL!C:C,"&lt;="&amp;$I$1)</f>
        <v>33135686.099999998</v>
      </c>
      <c r="L18" s="26">
        <f t="shared" si="2"/>
        <v>2896458.9000000022</v>
      </c>
      <c r="M18" s="27">
        <f t="shared" si="0"/>
        <v>0</v>
      </c>
      <c r="N18" s="11"/>
      <c r="O18" s="335"/>
      <c r="P18" s="11"/>
      <c r="Q18" s="11"/>
      <c r="R18" s="26">
        <f t="shared" si="3"/>
        <v>2896458.9000000022</v>
      </c>
      <c r="S18" s="27">
        <f t="shared" si="4"/>
        <v>0</v>
      </c>
      <c r="T18" s="11"/>
      <c r="U18" s="11"/>
      <c r="V18" s="873">
        <f t="shared" si="5"/>
        <v>2896458.9000000022</v>
      </c>
      <c r="W18" s="27">
        <f t="shared" si="1"/>
        <v>0</v>
      </c>
      <c r="X18" s="4">
        <v>1102</v>
      </c>
      <c r="Y18" s="4"/>
      <c r="Z18" s="4"/>
      <c r="AA18" s="12">
        <f t="shared" si="6"/>
        <v>1</v>
      </c>
      <c r="AC18" s="83"/>
      <c r="AD18" s="83"/>
      <c r="AE18" s="83"/>
      <c r="AF18" s="83"/>
    </row>
    <row r="19" spans="1:32" ht="12.75" customHeight="1">
      <c r="A19" s="24"/>
      <c r="B19" s="108">
        <f t="shared" si="7"/>
        <v>16</v>
      </c>
      <c r="C19" s="6">
        <v>120201</v>
      </c>
      <c r="D19" s="121" t="s">
        <v>946</v>
      </c>
      <c r="E19" s="9" t="s">
        <v>30</v>
      </c>
      <c r="F19" s="6"/>
      <c r="G19" s="6"/>
      <c r="H19" s="11">
        <f>+STAT1!V19</f>
        <v>0</v>
      </c>
      <c r="I19" s="11">
        <f>+STAT1!W19</f>
        <v>0</v>
      </c>
      <c r="J19" s="11">
        <f>+SUMIFS(JURNAL!G:G,JURNAL!E:E,C19,JURNAL!C:C,"&gt;="&amp;$H$1,JURNAL!C:C,"&lt;="&amp;$I$1)</f>
        <v>0</v>
      </c>
      <c r="K19" s="11">
        <f>+SUMIFS(JURNAL!H:H,JURNAL!E:E,C19,JURNAL!C:C,"&gt;="&amp;$H$1,JURNAL!C:C,"&lt;="&amp;$I$1)</f>
        <v>0</v>
      </c>
      <c r="L19" s="26">
        <f t="shared" si="2"/>
        <v>0</v>
      </c>
      <c r="M19" s="27">
        <f t="shared" si="0"/>
        <v>0</v>
      </c>
      <c r="N19" s="11"/>
      <c r="O19" s="335"/>
      <c r="P19" s="11"/>
      <c r="Q19" s="11"/>
      <c r="R19" s="26">
        <f t="shared" si="3"/>
        <v>0</v>
      </c>
      <c r="S19" s="27">
        <f t="shared" si="4"/>
        <v>0</v>
      </c>
      <c r="T19" s="11"/>
      <c r="U19" s="11"/>
      <c r="V19" s="26">
        <f t="shared" si="5"/>
        <v>0</v>
      </c>
      <c r="W19" s="27">
        <f t="shared" si="1"/>
        <v>0</v>
      </c>
      <c r="X19" s="4">
        <v>1102</v>
      </c>
      <c r="Y19" s="4"/>
      <c r="Z19" s="4"/>
      <c r="AA19" s="12">
        <f t="shared" si="6"/>
        <v>0</v>
      </c>
      <c r="AC19" s="83"/>
      <c r="AD19" s="83"/>
      <c r="AE19" s="83"/>
      <c r="AF19" s="83"/>
    </row>
    <row r="20" spans="1:32" ht="12.75" customHeight="1">
      <c r="A20" s="24"/>
      <c r="B20" s="108">
        <f t="shared" si="7"/>
        <v>17</v>
      </c>
      <c r="C20" s="6">
        <v>120200</v>
      </c>
      <c r="D20" s="121" t="s">
        <v>947</v>
      </c>
      <c r="E20" s="9" t="s">
        <v>32</v>
      </c>
      <c r="F20" s="6"/>
      <c r="G20" s="6"/>
      <c r="H20" s="11">
        <f>+STAT1!V20</f>
        <v>0</v>
      </c>
      <c r="I20" s="11">
        <f>+STAT1!W20</f>
        <v>0</v>
      </c>
      <c r="J20" s="11">
        <f>+SUMIFS(JURNAL!G:G,JURNAL!E:E,C20,JURNAL!C:C,"&gt;="&amp;$H$1,JURNAL!C:C,"&lt;="&amp;$I$1)</f>
        <v>0</v>
      </c>
      <c r="K20" s="11">
        <f>+SUMIFS(JURNAL!H:H,JURNAL!E:E,C20,JURNAL!C:C,"&gt;="&amp;$H$1,JURNAL!C:C,"&lt;="&amp;$I$1)</f>
        <v>0</v>
      </c>
      <c r="L20" s="26">
        <f t="shared" si="2"/>
        <v>0</v>
      </c>
      <c r="M20" s="27">
        <f t="shared" si="0"/>
        <v>0</v>
      </c>
      <c r="N20" s="11"/>
      <c r="O20" s="335"/>
      <c r="P20" s="11"/>
      <c r="Q20" s="11"/>
      <c r="R20" s="26">
        <f t="shared" si="3"/>
        <v>0</v>
      </c>
      <c r="S20" s="27">
        <f t="shared" si="4"/>
        <v>0</v>
      </c>
      <c r="T20" s="11"/>
      <c r="U20" s="11"/>
      <c r="V20" s="26">
        <f t="shared" si="5"/>
        <v>0</v>
      </c>
      <c r="W20" s="27">
        <f t="shared" si="1"/>
        <v>0</v>
      </c>
      <c r="X20" s="4">
        <v>1102</v>
      </c>
      <c r="Y20" s="4"/>
      <c r="Z20" s="4"/>
      <c r="AA20" s="12">
        <f t="shared" si="6"/>
        <v>0</v>
      </c>
      <c r="AC20" s="83"/>
      <c r="AD20" s="83"/>
      <c r="AE20" s="83"/>
      <c r="AF20" s="83"/>
    </row>
    <row r="21" spans="1:32" ht="12.75" customHeight="1">
      <c r="A21" s="24"/>
      <c r="B21" s="108">
        <f t="shared" si="7"/>
        <v>18</v>
      </c>
      <c r="C21" s="6">
        <v>120201</v>
      </c>
      <c r="D21" s="121" t="s">
        <v>948</v>
      </c>
      <c r="E21" s="9" t="s">
        <v>30</v>
      </c>
      <c r="F21" s="6"/>
      <c r="G21" s="6"/>
      <c r="H21" s="11">
        <f>+STAT1!V21</f>
        <v>0</v>
      </c>
      <c r="I21" s="11">
        <f>+STAT1!W21</f>
        <v>0</v>
      </c>
      <c r="J21" s="11">
        <f>+SUMIFS(JURNAL!G:G,JURNAL!E:E,C21,JURNAL!C:C,"&gt;="&amp;$H$1,JURNAL!C:C,"&lt;="&amp;$I$1)</f>
        <v>0</v>
      </c>
      <c r="K21" s="11">
        <f>+SUMIFS(JURNAL!H:H,JURNAL!E:E,C21,JURNAL!C:C,"&gt;="&amp;$H$1,JURNAL!C:C,"&lt;="&amp;$I$1)</f>
        <v>0</v>
      </c>
      <c r="L21" s="26">
        <f t="shared" si="2"/>
        <v>0</v>
      </c>
      <c r="M21" s="27">
        <f t="shared" si="0"/>
        <v>0</v>
      </c>
      <c r="N21" s="11"/>
      <c r="O21" s="335"/>
      <c r="P21" s="11"/>
      <c r="Q21" s="11"/>
      <c r="R21" s="26">
        <f t="shared" si="3"/>
        <v>0</v>
      </c>
      <c r="S21" s="27">
        <f t="shared" si="4"/>
        <v>0</v>
      </c>
      <c r="T21" s="11"/>
      <c r="U21" s="11"/>
      <c r="V21" s="26">
        <f t="shared" si="5"/>
        <v>0</v>
      </c>
      <c r="W21" s="27">
        <f t="shared" si="1"/>
        <v>0</v>
      </c>
      <c r="X21" s="4">
        <v>1102</v>
      </c>
      <c r="Y21" s="4"/>
      <c r="Z21" s="4"/>
      <c r="AA21" s="12">
        <f t="shared" si="6"/>
        <v>0</v>
      </c>
      <c r="AC21" s="83"/>
      <c r="AD21" s="83"/>
      <c r="AE21" s="83"/>
      <c r="AF21" s="83"/>
    </row>
    <row r="22" spans="1:32" ht="12.75" customHeight="1">
      <c r="A22" s="24"/>
      <c r="B22" s="108">
        <f t="shared" si="7"/>
        <v>19</v>
      </c>
      <c r="C22" s="6">
        <v>120202</v>
      </c>
      <c r="D22" s="121" t="s">
        <v>949</v>
      </c>
      <c r="E22" s="9" t="s">
        <v>32</v>
      </c>
      <c r="F22" s="6"/>
      <c r="G22" s="6"/>
      <c r="H22" s="11">
        <f>+STAT1!V22</f>
        <v>0</v>
      </c>
      <c r="I22" s="11">
        <f>+STAT1!W22</f>
        <v>0</v>
      </c>
      <c r="J22" s="11">
        <f>+SUMIFS(JURNAL!G:G,JURNAL!E:E,C22,JURNAL!C:C,"&gt;="&amp;$H$1,JURNAL!C:C,"&lt;="&amp;$I$1)</f>
        <v>0</v>
      </c>
      <c r="K22" s="11">
        <f>+SUMIFS(JURNAL!H:H,JURNAL!E:E,C22,JURNAL!C:C,"&gt;="&amp;$H$1,JURNAL!C:C,"&lt;="&amp;$I$1)</f>
        <v>0</v>
      </c>
      <c r="L22" s="26">
        <f t="shared" si="2"/>
        <v>0</v>
      </c>
      <c r="M22" s="27">
        <f t="shared" si="0"/>
        <v>0</v>
      </c>
      <c r="N22" s="11"/>
      <c r="O22" s="335"/>
      <c r="P22" s="11"/>
      <c r="Q22" s="11"/>
      <c r="R22" s="26">
        <f t="shared" si="3"/>
        <v>0</v>
      </c>
      <c r="S22" s="27">
        <f t="shared" si="4"/>
        <v>0</v>
      </c>
      <c r="T22" s="11"/>
      <c r="U22" s="11"/>
      <c r="V22" s="26">
        <f t="shared" si="5"/>
        <v>0</v>
      </c>
      <c r="W22" s="27">
        <f t="shared" si="1"/>
        <v>0</v>
      </c>
      <c r="X22" s="4">
        <v>1102</v>
      </c>
      <c r="Y22" s="4"/>
      <c r="Z22" s="4"/>
      <c r="AA22" s="12">
        <f t="shared" si="6"/>
        <v>0</v>
      </c>
      <c r="AC22" s="83"/>
      <c r="AD22" s="83"/>
      <c r="AE22" s="83"/>
      <c r="AF22" s="83"/>
    </row>
    <row r="23" spans="1:32" ht="12.75" customHeight="1">
      <c r="A23" s="24"/>
      <c r="B23" s="108">
        <f t="shared" si="7"/>
        <v>20</v>
      </c>
      <c r="C23" s="6">
        <v>120400</v>
      </c>
      <c r="D23" s="121" t="s">
        <v>543</v>
      </c>
      <c r="E23" s="9" t="s">
        <v>32</v>
      </c>
      <c r="F23" s="6"/>
      <c r="G23" s="6"/>
      <c r="H23" s="11">
        <f>+STAT1!V23</f>
        <v>0</v>
      </c>
      <c r="I23" s="11">
        <f>+STAT1!W23</f>
        <v>0</v>
      </c>
      <c r="J23" s="11">
        <f>+SUMIFS(JURNAL!G:G,JURNAL!E:E,C23,JURNAL!C:C,"&gt;="&amp;$H$1,JURNAL!C:C,"&lt;="&amp;$I$1)</f>
        <v>0</v>
      </c>
      <c r="K23" s="11">
        <f>+SUMIFS(JURNAL!H:H,JURNAL!E:E,C23,JURNAL!C:C,"&gt;="&amp;$H$1,JURNAL!C:C,"&lt;="&amp;$I$1)</f>
        <v>0</v>
      </c>
      <c r="L23" s="26">
        <f t="shared" si="2"/>
        <v>0</v>
      </c>
      <c r="M23" s="27">
        <f t="shared" si="0"/>
        <v>0</v>
      </c>
      <c r="N23" s="11"/>
      <c r="O23" s="335"/>
      <c r="P23" s="11"/>
      <c r="Q23" s="11"/>
      <c r="R23" s="26">
        <f t="shared" si="3"/>
        <v>0</v>
      </c>
      <c r="S23" s="27">
        <f t="shared" si="4"/>
        <v>0</v>
      </c>
      <c r="T23" s="11"/>
      <c r="U23" s="11"/>
      <c r="V23" s="26">
        <f t="shared" si="5"/>
        <v>0</v>
      </c>
      <c r="W23" s="27">
        <f t="shared" si="1"/>
        <v>0</v>
      </c>
      <c r="X23" s="4">
        <v>1104</v>
      </c>
      <c r="Y23" s="4"/>
      <c r="Z23" s="4"/>
      <c r="AA23" s="12">
        <f t="shared" si="6"/>
        <v>0</v>
      </c>
      <c r="AC23" s="83"/>
      <c r="AD23" s="83"/>
      <c r="AE23" s="83"/>
      <c r="AF23" s="83"/>
    </row>
    <row r="24" spans="1:32" ht="12.75" customHeight="1">
      <c r="A24" s="24"/>
      <c r="B24" s="108">
        <f t="shared" si="7"/>
        <v>21</v>
      </c>
      <c r="C24" s="6">
        <v>120401</v>
      </c>
      <c r="D24" s="121" t="s">
        <v>950</v>
      </c>
      <c r="E24" s="9" t="s">
        <v>30</v>
      </c>
      <c r="F24" s="6"/>
      <c r="G24" s="6"/>
      <c r="H24" s="11">
        <f>+STAT1!V24</f>
        <v>0</v>
      </c>
      <c r="I24" s="11">
        <f>+STAT1!W24</f>
        <v>0</v>
      </c>
      <c r="J24" s="11">
        <f>+SUMIFS(JURNAL!G:G,JURNAL!E:E,C24,JURNAL!C:C,"&gt;="&amp;$H$1,JURNAL!C:C,"&lt;="&amp;$I$1)</f>
        <v>0</v>
      </c>
      <c r="K24" s="11">
        <f>+SUMIFS(JURNAL!H:H,JURNAL!E:E,C24,JURNAL!C:C,"&gt;="&amp;$H$1,JURNAL!C:C,"&lt;="&amp;$I$1)</f>
        <v>0</v>
      </c>
      <c r="L24" s="26">
        <f t="shared" si="2"/>
        <v>0</v>
      </c>
      <c r="M24" s="27">
        <f t="shared" si="0"/>
        <v>0</v>
      </c>
      <c r="N24" s="11"/>
      <c r="O24" s="335"/>
      <c r="P24" s="11"/>
      <c r="Q24" s="11"/>
      <c r="R24" s="26">
        <f t="shared" si="3"/>
        <v>0</v>
      </c>
      <c r="S24" s="27">
        <f t="shared" si="4"/>
        <v>0</v>
      </c>
      <c r="T24" s="11"/>
      <c r="U24" s="11"/>
      <c r="V24" s="26">
        <f t="shared" si="5"/>
        <v>0</v>
      </c>
      <c r="W24" s="27">
        <f t="shared" si="1"/>
        <v>0</v>
      </c>
      <c r="X24" s="4">
        <v>1104</v>
      </c>
      <c r="Y24" s="4"/>
      <c r="Z24" s="4"/>
      <c r="AA24" s="12">
        <f t="shared" si="6"/>
        <v>0</v>
      </c>
      <c r="AC24" s="83"/>
      <c r="AD24" s="83"/>
      <c r="AE24" s="83"/>
      <c r="AF24" s="83"/>
    </row>
    <row r="25" spans="1:32" ht="12.75" customHeight="1">
      <c r="A25" s="24"/>
      <c r="B25" s="108">
        <f t="shared" si="7"/>
        <v>22</v>
      </c>
      <c r="C25" s="6">
        <v>120600</v>
      </c>
      <c r="D25" s="121" t="s">
        <v>548</v>
      </c>
      <c r="E25" s="9" t="s">
        <v>32</v>
      </c>
      <c r="F25" s="6"/>
      <c r="G25" s="6"/>
      <c r="H25" s="11">
        <f>+STAT1!V25</f>
        <v>0</v>
      </c>
      <c r="I25" s="11">
        <f>+STAT1!W25</f>
        <v>0</v>
      </c>
      <c r="J25" s="11">
        <f>+SUMIFS(JURNAL!G:G,JURNAL!E:E,C25,JURNAL!C:C,"&gt;="&amp;$H$1,JURNAL!C:C,"&lt;="&amp;$I$1)</f>
        <v>6637800.330000001</v>
      </c>
      <c r="K25" s="11">
        <f>+SUMIFS(JURNAL!H:H,JURNAL!E:E,C25,JURNAL!C:C,"&gt;="&amp;$H$1,JURNAL!C:C,"&lt;="&amp;$I$1)</f>
        <v>0</v>
      </c>
      <c r="L25" s="26">
        <f t="shared" si="2"/>
        <v>6637800.330000001</v>
      </c>
      <c r="M25" s="27">
        <f t="shared" si="0"/>
        <v>0</v>
      </c>
      <c r="N25" s="11"/>
      <c r="O25" s="335">
        <v>6637800.3300000001</v>
      </c>
      <c r="P25" s="11"/>
      <c r="Q25" s="11"/>
      <c r="R25" s="26">
        <f t="shared" si="3"/>
        <v>0</v>
      </c>
      <c r="S25" s="27">
        <f t="shared" si="4"/>
        <v>0</v>
      </c>
      <c r="T25" s="11"/>
      <c r="U25" s="11"/>
      <c r="V25" s="26">
        <f t="shared" si="5"/>
        <v>0</v>
      </c>
      <c r="W25" s="27">
        <f t="shared" si="1"/>
        <v>0</v>
      </c>
      <c r="X25" s="4">
        <v>1103</v>
      </c>
      <c r="Y25" s="4"/>
      <c r="Z25" s="4"/>
      <c r="AA25" s="12">
        <f t="shared" si="6"/>
        <v>1</v>
      </c>
      <c r="AC25" s="83"/>
      <c r="AD25" s="83"/>
      <c r="AE25" s="83"/>
      <c r="AF25" s="83"/>
    </row>
    <row r="26" spans="1:32" ht="12.75" customHeight="1">
      <c r="A26" s="24"/>
      <c r="B26" s="108">
        <f t="shared" si="7"/>
        <v>23</v>
      </c>
      <c r="C26" s="6">
        <v>120700</v>
      </c>
      <c r="D26" s="121" t="s">
        <v>553</v>
      </c>
      <c r="E26" s="9" t="s">
        <v>32</v>
      </c>
      <c r="F26" s="6"/>
      <c r="G26" s="6"/>
      <c r="H26" s="11">
        <f>+STAT1!V26</f>
        <v>99989.61</v>
      </c>
      <c r="I26" s="11">
        <f>+STAT1!W26</f>
        <v>0</v>
      </c>
      <c r="J26" s="11">
        <f>+SUMIFS(JURNAL!G:G,JURNAL!E:E,C26,JURNAL!C:C,"&gt;="&amp;$H$1,JURNAL!C:C,"&lt;="&amp;$I$1)</f>
        <v>0</v>
      </c>
      <c r="K26" s="11">
        <f>+SUMIFS(JURNAL!H:H,JURNAL!E:E,C26,JURNAL!C:C,"&gt;="&amp;$H$1,JURNAL!C:C,"&lt;="&amp;$I$1)</f>
        <v>0</v>
      </c>
      <c r="L26" s="26">
        <f t="shared" si="2"/>
        <v>99989.61</v>
      </c>
      <c r="M26" s="27">
        <f t="shared" si="0"/>
        <v>0</v>
      </c>
      <c r="N26" s="11"/>
      <c r="O26" s="335"/>
      <c r="P26" s="11"/>
      <c r="Q26" s="11"/>
      <c r="R26" s="26">
        <f t="shared" si="3"/>
        <v>99989.61</v>
      </c>
      <c r="S26" s="27">
        <f t="shared" si="4"/>
        <v>0</v>
      </c>
      <c r="T26" s="11"/>
      <c r="U26" s="11"/>
      <c r="V26" s="26">
        <f t="shared" si="5"/>
        <v>99989.61</v>
      </c>
      <c r="W26" s="27">
        <f t="shared" si="1"/>
        <v>0</v>
      </c>
      <c r="X26" s="4">
        <v>1103</v>
      </c>
      <c r="Y26" s="4"/>
      <c r="Z26" s="4"/>
      <c r="AA26" s="12">
        <f t="shared" si="6"/>
        <v>1</v>
      </c>
      <c r="AC26" s="83"/>
      <c r="AD26" s="83"/>
      <c r="AE26" s="83"/>
      <c r="AF26" s="83"/>
    </row>
    <row r="27" spans="1:32" ht="12.75" customHeight="1">
      <c r="A27" s="24"/>
      <c r="B27" s="108">
        <f t="shared" si="7"/>
        <v>24</v>
      </c>
      <c r="C27" s="6">
        <v>120800</v>
      </c>
      <c r="D27" s="121" t="s">
        <v>558</v>
      </c>
      <c r="E27" s="9" t="s">
        <v>32</v>
      </c>
      <c r="F27" s="6"/>
      <c r="G27" s="6"/>
      <c r="H27" s="11">
        <f>+STAT1!V27</f>
        <v>0</v>
      </c>
      <c r="I27" s="11">
        <f>+STAT1!W27</f>
        <v>0</v>
      </c>
      <c r="J27" s="11">
        <f>+SUMIFS(JURNAL!G:G,JURNAL!E:E,C27,JURNAL!C:C,"&gt;="&amp;$H$1,JURNAL!C:C,"&lt;="&amp;$I$1)</f>
        <v>600000</v>
      </c>
      <c r="K27" s="11">
        <f>+SUMIFS(JURNAL!H:H,JURNAL!E:E,C27,JURNAL!C:C,"&gt;="&amp;$H$1,JURNAL!C:C,"&lt;="&amp;$I$1)</f>
        <v>0</v>
      </c>
      <c r="L27" s="26">
        <f t="shared" si="2"/>
        <v>600000</v>
      </c>
      <c r="M27" s="27">
        <f t="shared" si="0"/>
        <v>0</v>
      </c>
      <c r="N27" s="11"/>
      <c r="O27" s="335">
        <v>600000</v>
      </c>
      <c r="P27" s="11"/>
      <c r="Q27" s="11"/>
      <c r="R27" s="26">
        <f t="shared" si="3"/>
        <v>0</v>
      </c>
      <c r="S27" s="27">
        <f t="shared" si="4"/>
        <v>0</v>
      </c>
      <c r="T27" s="11"/>
      <c r="U27" s="11"/>
      <c r="V27" s="26">
        <f t="shared" si="5"/>
        <v>0</v>
      </c>
      <c r="W27" s="27">
        <f t="shared" si="1"/>
        <v>0</v>
      </c>
      <c r="X27" s="4">
        <v>1103</v>
      </c>
      <c r="Y27" s="4"/>
      <c r="Z27" s="4"/>
      <c r="AA27" s="12">
        <f t="shared" si="6"/>
        <v>1</v>
      </c>
      <c r="AC27" s="83"/>
      <c r="AD27" s="83"/>
      <c r="AE27" s="83"/>
      <c r="AF27" s="83"/>
    </row>
    <row r="28" spans="1:32" ht="12.75" customHeight="1">
      <c r="A28" s="24"/>
      <c r="B28" s="108">
        <f t="shared" si="7"/>
        <v>25</v>
      </c>
      <c r="C28" s="6">
        <v>120900</v>
      </c>
      <c r="D28" s="121" t="s">
        <v>563</v>
      </c>
      <c r="E28" s="9" t="s">
        <v>32</v>
      </c>
      <c r="F28" s="6"/>
      <c r="G28" s="6"/>
      <c r="H28" s="11">
        <f>+STAT1!V28</f>
        <v>0</v>
      </c>
      <c r="I28" s="11">
        <f>+STAT1!W28</f>
        <v>0</v>
      </c>
      <c r="J28" s="11">
        <f>+SUMIFS(JURNAL!G:G,JURNAL!E:E,C28,JURNAL!C:C,"&gt;="&amp;$H$1,JURNAL!C:C,"&lt;="&amp;$I$1)</f>
        <v>5000000</v>
      </c>
      <c r="K28" s="11">
        <f>+SUMIFS(JURNAL!H:H,JURNAL!E:E,C28,JURNAL!C:C,"&gt;="&amp;$H$1,JURNAL!C:C,"&lt;="&amp;$I$1)</f>
        <v>0</v>
      </c>
      <c r="L28" s="26">
        <f t="shared" si="2"/>
        <v>5000000</v>
      </c>
      <c r="M28" s="27">
        <f t="shared" si="0"/>
        <v>0</v>
      </c>
      <c r="N28" s="11"/>
      <c r="O28" s="335">
        <v>5000000</v>
      </c>
      <c r="P28" s="11"/>
      <c r="Q28" s="11"/>
      <c r="R28" s="26">
        <f t="shared" si="3"/>
        <v>0</v>
      </c>
      <c r="S28" s="27">
        <f t="shared" si="4"/>
        <v>0</v>
      </c>
      <c r="T28" s="11"/>
      <c r="U28" s="11"/>
      <c r="V28" s="26">
        <f t="shared" si="5"/>
        <v>0</v>
      </c>
      <c r="W28" s="27">
        <f t="shared" si="1"/>
        <v>0</v>
      </c>
      <c r="X28" s="4">
        <v>1103</v>
      </c>
      <c r="Y28" s="4"/>
      <c r="Z28" s="4"/>
      <c r="AA28" s="12">
        <f t="shared" si="6"/>
        <v>1</v>
      </c>
      <c r="AC28" s="83"/>
      <c r="AD28" s="83"/>
      <c r="AE28" s="83"/>
      <c r="AF28" s="83"/>
    </row>
    <row r="29" spans="1:32" ht="12.75" customHeight="1">
      <c r="A29" s="24"/>
      <c r="B29" s="108">
        <f t="shared" si="7"/>
        <v>26</v>
      </c>
      <c r="C29" s="6">
        <v>121000</v>
      </c>
      <c r="D29" s="121" t="s">
        <v>568</v>
      </c>
      <c r="E29" s="9" t="s">
        <v>32</v>
      </c>
      <c r="F29" s="6"/>
      <c r="G29" s="6"/>
      <c r="H29" s="11">
        <f>+STAT1!V29</f>
        <v>0</v>
      </c>
      <c r="I29" s="11">
        <f>+STAT1!W29</f>
        <v>0</v>
      </c>
      <c r="J29" s="11">
        <f>+SUMIFS(JURNAL!G:G,JURNAL!E:E,C29,JURNAL!C:C,"&gt;="&amp;$H$1,JURNAL!C:C,"&lt;="&amp;$I$1)</f>
        <v>0</v>
      </c>
      <c r="K29" s="11">
        <f>+SUMIFS(JURNAL!H:H,JURNAL!E:E,C29,JURNAL!C:C,"&gt;="&amp;$H$1,JURNAL!C:C,"&lt;="&amp;$I$1)</f>
        <v>0</v>
      </c>
      <c r="L29" s="26">
        <f t="shared" si="2"/>
        <v>0</v>
      </c>
      <c r="M29" s="27">
        <f t="shared" si="0"/>
        <v>0</v>
      </c>
      <c r="N29" s="11"/>
      <c r="O29" s="335"/>
      <c r="P29" s="11"/>
      <c r="Q29" s="11"/>
      <c r="R29" s="26">
        <f t="shared" si="3"/>
        <v>0</v>
      </c>
      <c r="S29" s="27">
        <f t="shared" si="4"/>
        <v>0</v>
      </c>
      <c r="T29" s="11"/>
      <c r="U29" s="11"/>
      <c r="V29" s="26">
        <f t="shared" si="5"/>
        <v>0</v>
      </c>
      <c r="W29" s="27">
        <f t="shared" si="1"/>
        <v>0</v>
      </c>
      <c r="X29" s="4">
        <v>1103</v>
      </c>
      <c r="Y29" s="4"/>
      <c r="Z29" s="4"/>
      <c r="AA29" s="12">
        <f t="shared" si="6"/>
        <v>0</v>
      </c>
      <c r="AC29" s="83"/>
      <c r="AD29" s="83"/>
      <c r="AE29" s="83"/>
      <c r="AF29" s="83"/>
    </row>
    <row r="30" spans="1:32" ht="12.75" customHeight="1">
      <c r="A30" s="24"/>
      <c r="B30" s="108">
        <f t="shared" si="7"/>
        <v>27</v>
      </c>
      <c r="C30" s="6">
        <v>121100</v>
      </c>
      <c r="D30" s="121" t="s">
        <v>573</v>
      </c>
      <c r="E30" s="9" t="s">
        <v>32</v>
      </c>
      <c r="F30" s="6"/>
      <c r="G30" s="6"/>
      <c r="H30" s="11">
        <f>+STAT1!V30</f>
        <v>0</v>
      </c>
      <c r="I30" s="11">
        <f>+STAT1!W30</f>
        <v>0</v>
      </c>
      <c r="J30" s="11">
        <f>+SUMIFS(JURNAL!G:G,JURNAL!E:E,C30,JURNAL!C:C,"&gt;="&amp;$H$1,JURNAL!C:C,"&lt;="&amp;$I$1)</f>
        <v>0</v>
      </c>
      <c r="K30" s="11">
        <f>+SUMIFS(JURNAL!H:H,JURNAL!E:E,C30,JURNAL!C:C,"&gt;="&amp;$H$1,JURNAL!C:C,"&lt;="&amp;$I$1)</f>
        <v>0</v>
      </c>
      <c r="L30" s="26">
        <f t="shared" si="2"/>
        <v>0</v>
      </c>
      <c r="M30" s="27">
        <f t="shared" si="0"/>
        <v>0</v>
      </c>
      <c r="N30" s="11"/>
      <c r="O30" s="335"/>
      <c r="P30" s="11"/>
      <c r="Q30" s="11"/>
      <c r="R30" s="26">
        <f t="shared" si="3"/>
        <v>0</v>
      </c>
      <c r="S30" s="27">
        <f t="shared" si="4"/>
        <v>0</v>
      </c>
      <c r="T30" s="11"/>
      <c r="U30" s="11"/>
      <c r="V30" s="26">
        <f t="shared" si="5"/>
        <v>0</v>
      </c>
      <c r="W30" s="27">
        <f t="shared" si="1"/>
        <v>0</v>
      </c>
      <c r="X30" s="4">
        <v>1104</v>
      </c>
      <c r="Y30" s="4"/>
      <c r="Z30" s="4"/>
      <c r="AA30" s="12">
        <f t="shared" si="6"/>
        <v>0</v>
      </c>
      <c r="AC30" s="83"/>
      <c r="AD30" s="83"/>
      <c r="AE30" s="83"/>
      <c r="AF30" s="83"/>
    </row>
    <row r="31" spans="1:32" ht="12.75" customHeight="1">
      <c r="A31" s="24"/>
      <c r="B31" s="108">
        <f t="shared" si="7"/>
        <v>28</v>
      </c>
      <c r="C31" s="6">
        <v>121200</v>
      </c>
      <c r="D31" s="121" t="s">
        <v>951</v>
      </c>
      <c r="E31" s="9" t="s">
        <v>32</v>
      </c>
      <c r="F31" s="6"/>
      <c r="G31" s="6"/>
      <c r="H31" s="11">
        <f>+STAT1!V31</f>
        <v>0</v>
      </c>
      <c r="I31" s="11">
        <f>+STAT1!W31</f>
        <v>0</v>
      </c>
      <c r="J31" s="11">
        <f>+SUMIFS(JURNAL!G:G,JURNAL!E:E,C31,JURNAL!C:C,"&gt;="&amp;$H$1,JURNAL!C:C,"&lt;="&amp;$I$1)</f>
        <v>341000</v>
      </c>
      <c r="K31" s="11">
        <f>+SUMIFS(JURNAL!H:H,JURNAL!E:E,C31,JURNAL!C:C,"&gt;="&amp;$H$1,JURNAL!C:C,"&lt;="&amp;$I$1)</f>
        <v>341000</v>
      </c>
      <c r="L31" s="26">
        <f t="shared" si="2"/>
        <v>0</v>
      </c>
      <c r="M31" s="27">
        <f t="shared" si="0"/>
        <v>0</v>
      </c>
      <c r="N31" s="11"/>
      <c r="O31" s="335"/>
      <c r="P31" s="11"/>
      <c r="Q31" s="11"/>
      <c r="R31" s="26">
        <f t="shared" si="3"/>
        <v>0</v>
      </c>
      <c r="S31" s="27">
        <f t="shared" si="4"/>
        <v>0</v>
      </c>
      <c r="T31" s="11"/>
      <c r="U31" s="11"/>
      <c r="V31" s="26">
        <f t="shared" si="5"/>
        <v>0</v>
      </c>
      <c r="W31" s="27">
        <f t="shared" si="1"/>
        <v>0</v>
      </c>
      <c r="X31" s="4">
        <v>1104</v>
      </c>
      <c r="Y31" s="4"/>
      <c r="Z31" s="4"/>
      <c r="AA31" s="12">
        <f t="shared" si="6"/>
        <v>1</v>
      </c>
      <c r="AC31" s="83"/>
      <c r="AD31" s="83"/>
      <c r="AE31" s="83"/>
      <c r="AF31" s="83"/>
    </row>
    <row r="32" spans="1:32" ht="12.75" customHeight="1">
      <c r="A32" s="24"/>
      <c r="B32" s="108">
        <f t="shared" si="7"/>
        <v>29</v>
      </c>
      <c r="C32" s="6">
        <v>122000</v>
      </c>
      <c r="D32" s="121" t="s">
        <v>952</v>
      </c>
      <c r="E32" s="9" t="s">
        <v>32</v>
      </c>
      <c r="F32" s="6"/>
      <c r="G32" s="6"/>
      <c r="H32" s="11">
        <f>+STAT1!V32</f>
        <v>0</v>
      </c>
      <c r="I32" s="11">
        <f>+STAT1!W32</f>
        <v>0</v>
      </c>
      <c r="J32" s="11">
        <f>+SUMIFS(JURNAL!G:G,JURNAL!E:E,C32,JURNAL!C:C,"&gt;="&amp;$H$1,JURNAL!C:C,"&lt;="&amp;$I$1)</f>
        <v>0</v>
      </c>
      <c r="K32" s="11">
        <f>+SUMIFS(JURNAL!H:H,JURNAL!E:E,C32,JURNAL!C:C,"&gt;="&amp;$H$1,JURNAL!C:C,"&lt;="&amp;$I$1)</f>
        <v>0</v>
      </c>
      <c r="L32" s="26">
        <f t="shared" si="2"/>
        <v>0</v>
      </c>
      <c r="M32" s="27">
        <f t="shared" si="0"/>
        <v>0</v>
      </c>
      <c r="N32" s="11"/>
      <c r="O32" s="335"/>
      <c r="P32" s="11"/>
      <c r="Q32" s="11"/>
      <c r="R32" s="26">
        <f t="shared" si="3"/>
        <v>0</v>
      </c>
      <c r="S32" s="27">
        <f t="shared" si="4"/>
        <v>0</v>
      </c>
      <c r="T32" s="11"/>
      <c r="U32" s="11"/>
      <c r="V32" s="26">
        <f t="shared" si="5"/>
        <v>0</v>
      </c>
      <c r="W32" s="27">
        <f t="shared" si="1"/>
        <v>0</v>
      </c>
      <c r="X32" s="4">
        <v>1104</v>
      </c>
      <c r="Y32" s="4"/>
      <c r="Z32" s="4"/>
      <c r="AA32" s="12">
        <f t="shared" si="6"/>
        <v>0</v>
      </c>
      <c r="AC32" s="83"/>
      <c r="AD32" s="83"/>
      <c r="AE32" s="83"/>
      <c r="AF32" s="83"/>
    </row>
    <row r="33" spans="1:32" ht="12.75" customHeight="1">
      <c r="A33" s="24"/>
      <c r="B33" s="108">
        <f t="shared" si="7"/>
        <v>30</v>
      </c>
      <c r="C33" s="6">
        <v>122001</v>
      </c>
      <c r="D33" s="121" t="s">
        <v>953</v>
      </c>
      <c r="E33" s="9" t="s">
        <v>30</v>
      </c>
      <c r="F33" s="6"/>
      <c r="G33" s="6"/>
      <c r="H33" s="11">
        <f>+STAT1!V33</f>
        <v>0</v>
      </c>
      <c r="I33" s="11">
        <f>+STAT1!W33</f>
        <v>0</v>
      </c>
      <c r="J33" s="11">
        <f>+SUMIFS(JURNAL!G:G,JURNAL!E:E,C33,JURNAL!C:C,"&gt;="&amp;$H$1,JURNAL!C:C,"&lt;="&amp;$I$1)</f>
        <v>0</v>
      </c>
      <c r="K33" s="11">
        <f>+SUMIFS(JURNAL!H:H,JURNAL!E:E,C33,JURNAL!C:C,"&gt;="&amp;$H$1,JURNAL!C:C,"&lt;="&amp;$I$1)</f>
        <v>0</v>
      </c>
      <c r="L33" s="26">
        <f t="shared" si="2"/>
        <v>0</v>
      </c>
      <c r="M33" s="27">
        <f t="shared" si="0"/>
        <v>0</v>
      </c>
      <c r="N33" s="11"/>
      <c r="O33" s="335"/>
      <c r="P33" s="11"/>
      <c r="Q33" s="11"/>
      <c r="R33" s="26">
        <f t="shared" si="3"/>
        <v>0</v>
      </c>
      <c r="S33" s="27">
        <f t="shared" si="4"/>
        <v>0</v>
      </c>
      <c r="T33" s="11"/>
      <c r="U33" s="11"/>
      <c r="V33" s="26">
        <f t="shared" si="5"/>
        <v>0</v>
      </c>
      <c r="W33" s="27">
        <f t="shared" si="1"/>
        <v>0</v>
      </c>
      <c r="X33" s="4">
        <v>1104</v>
      </c>
      <c r="Y33" s="4"/>
      <c r="Z33" s="4"/>
      <c r="AA33" s="12">
        <f t="shared" si="6"/>
        <v>0</v>
      </c>
      <c r="AC33" s="83"/>
      <c r="AD33" s="83"/>
      <c r="AE33" s="83"/>
      <c r="AF33" s="83"/>
    </row>
    <row r="34" spans="1:32" ht="12.75" customHeight="1">
      <c r="A34" s="24"/>
      <c r="B34" s="108">
        <f t="shared" si="7"/>
        <v>31</v>
      </c>
      <c r="C34" s="6">
        <v>130100</v>
      </c>
      <c r="D34" s="121" t="s">
        <v>582</v>
      </c>
      <c r="E34" s="9" t="s">
        <v>32</v>
      </c>
      <c r="F34" s="6"/>
      <c r="G34" s="6"/>
      <c r="H34" s="11">
        <f>+STAT1!V34</f>
        <v>0</v>
      </c>
      <c r="I34" s="11">
        <f>+STAT1!W34</f>
        <v>0</v>
      </c>
      <c r="J34" s="11">
        <f>+SUMIFS(JURNAL!G:G,JURNAL!E:E,C34,JURNAL!C:C,"&gt;="&amp;$H$1,JURNAL!C:C,"&lt;="&amp;$I$1)</f>
        <v>0</v>
      </c>
      <c r="K34" s="11">
        <f>+SUMIFS(JURNAL!H:H,JURNAL!E:E,C34,JURNAL!C:C,"&gt;="&amp;$H$1,JURNAL!C:C,"&lt;="&amp;$I$1)</f>
        <v>0</v>
      </c>
      <c r="L34" s="26">
        <f t="shared" si="2"/>
        <v>0</v>
      </c>
      <c r="M34" s="27">
        <f t="shared" si="0"/>
        <v>0</v>
      </c>
      <c r="N34" s="11"/>
      <c r="O34" s="335"/>
      <c r="P34" s="11"/>
      <c r="Q34" s="11"/>
      <c r="R34" s="26">
        <f t="shared" si="3"/>
        <v>0</v>
      </c>
      <c r="S34" s="27">
        <f t="shared" si="4"/>
        <v>0</v>
      </c>
      <c r="T34" s="11"/>
      <c r="U34" s="11"/>
      <c r="V34" s="26">
        <f t="shared" si="5"/>
        <v>0</v>
      </c>
      <c r="W34" s="27">
        <f t="shared" si="1"/>
        <v>0</v>
      </c>
      <c r="X34" s="4">
        <v>1105</v>
      </c>
      <c r="Y34" s="4"/>
      <c r="Z34" s="4"/>
      <c r="AA34" s="12">
        <f t="shared" si="6"/>
        <v>0</v>
      </c>
      <c r="AC34" s="83"/>
      <c r="AD34" s="83"/>
      <c r="AE34" s="83"/>
      <c r="AF34" s="83"/>
    </row>
    <row r="35" spans="1:32" ht="12.75" customHeight="1">
      <c r="A35" s="24"/>
      <c r="B35" s="108">
        <f t="shared" si="7"/>
        <v>32</v>
      </c>
      <c r="C35" s="6">
        <v>130500</v>
      </c>
      <c r="D35" s="121" t="s">
        <v>586</v>
      </c>
      <c r="E35" s="9" t="s">
        <v>32</v>
      </c>
      <c r="F35" s="6"/>
      <c r="G35" s="6"/>
      <c r="H35" s="11">
        <f>+STAT1!V35</f>
        <v>0</v>
      </c>
      <c r="I35" s="11">
        <f>+STAT1!W35</f>
        <v>0</v>
      </c>
      <c r="J35" s="11">
        <f>+SUMIFS(JURNAL!G:G,JURNAL!E:E,C35,JURNAL!C:C,"&gt;="&amp;$H$1,JURNAL!C:C,"&lt;="&amp;$I$1)</f>
        <v>0</v>
      </c>
      <c r="K35" s="11">
        <f>+SUMIFS(JURNAL!H:H,JURNAL!E:E,C35,JURNAL!C:C,"&gt;="&amp;$H$1,JURNAL!C:C,"&lt;="&amp;$I$1)</f>
        <v>0</v>
      </c>
      <c r="L35" s="26">
        <f t="shared" si="2"/>
        <v>0</v>
      </c>
      <c r="M35" s="27">
        <f t="shared" si="0"/>
        <v>0</v>
      </c>
      <c r="N35" s="11"/>
      <c r="O35" s="335"/>
      <c r="P35" s="11"/>
      <c r="Q35" s="11"/>
      <c r="R35" s="26">
        <f t="shared" si="3"/>
        <v>0</v>
      </c>
      <c r="S35" s="27">
        <f t="shared" si="4"/>
        <v>0</v>
      </c>
      <c r="T35" s="11"/>
      <c r="U35" s="11"/>
      <c r="V35" s="26">
        <f t="shared" si="5"/>
        <v>0</v>
      </c>
      <c r="W35" s="27">
        <f t="shared" si="1"/>
        <v>0</v>
      </c>
      <c r="X35" s="4">
        <v>1105</v>
      </c>
      <c r="Y35" s="4"/>
      <c r="Z35" s="4"/>
      <c r="AA35" s="12">
        <f t="shared" si="6"/>
        <v>0</v>
      </c>
      <c r="AC35" s="83"/>
      <c r="AD35" s="83"/>
      <c r="AE35" s="83"/>
      <c r="AF35" s="83"/>
    </row>
    <row r="36" spans="1:32" ht="12.75" customHeight="1">
      <c r="A36" s="24"/>
      <c r="B36" s="108">
        <f t="shared" si="7"/>
        <v>33</v>
      </c>
      <c r="C36" s="6">
        <v>140100</v>
      </c>
      <c r="D36" s="121" t="s">
        <v>591</v>
      </c>
      <c r="E36" s="9" t="s">
        <v>32</v>
      </c>
      <c r="F36" s="6"/>
      <c r="G36" s="6"/>
      <c r="H36" s="11">
        <f>+STAT1!V36</f>
        <v>0</v>
      </c>
      <c r="I36" s="11">
        <f>+STAT1!W36</f>
        <v>0</v>
      </c>
      <c r="J36" s="11">
        <f>+SUMIFS(JURNAL!G:G,JURNAL!E:E,C36,JURNAL!C:C,"&gt;="&amp;$H$1,JURNAL!C:C,"&lt;="&amp;$I$1)</f>
        <v>0</v>
      </c>
      <c r="K36" s="11">
        <f>+SUMIFS(JURNAL!H:H,JURNAL!E:E,C36,JURNAL!C:C,"&gt;="&amp;$H$1,JURNAL!C:C,"&lt;="&amp;$I$1)</f>
        <v>0</v>
      </c>
      <c r="L36" s="26">
        <f t="shared" si="2"/>
        <v>0</v>
      </c>
      <c r="M36" s="27">
        <f t="shared" si="0"/>
        <v>0</v>
      </c>
      <c r="N36" s="11"/>
      <c r="O36" s="335"/>
      <c r="P36" s="11"/>
      <c r="Q36" s="11"/>
      <c r="R36" s="26">
        <f t="shared" si="3"/>
        <v>0</v>
      </c>
      <c r="S36" s="27">
        <f t="shared" si="4"/>
        <v>0</v>
      </c>
      <c r="T36" s="11"/>
      <c r="U36" s="11"/>
      <c r="V36" s="26">
        <f t="shared" si="5"/>
        <v>0</v>
      </c>
      <c r="W36" s="27">
        <f t="shared" si="1"/>
        <v>0</v>
      </c>
      <c r="X36" s="4">
        <v>1107</v>
      </c>
      <c r="Y36" s="4"/>
      <c r="Z36" s="4"/>
      <c r="AA36" s="12">
        <f t="shared" si="6"/>
        <v>0</v>
      </c>
      <c r="AC36" s="83"/>
      <c r="AD36" s="83"/>
      <c r="AE36" s="83"/>
      <c r="AF36" s="83"/>
    </row>
    <row r="37" spans="1:32" ht="12.75" customHeight="1">
      <c r="A37" s="24"/>
      <c r="B37" s="108">
        <f t="shared" si="7"/>
        <v>34</v>
      </c>
      <c r="C37" s="6">
        <v>140200</v>
      </c>
      <c r="D37" s="121" t="s">
        <v>1545</v>
      </c>
      <c r="E37" s="9" t="s">
        <v>32</v>
      </c>
      <c r="F37" s="6"/>
      <c r="G37" s="6"/>
      <c r="H37" s="11">
        <f>+STAT1!V37</f>
        <v>0</v>
      </c>
      <c r="I37" s="11">
        <f>+STAT1!W37</f>
        <v>0</v>
      </c>
      <c r="J37" s="11">
        <f>+SUMIFS(JURNAL!G:G,JURNAL!E:E,C37,JURNAL!C:C,"&gt;="&amp;$H$1,JURNAL!C:C,"&lt;="&amp;$I$1)</f>
        <v>0</v>
      </c>
      <c r="K37" s="11">
        <f>+SUMIFS(JURNAL!H:H,JURNAL!E:E,C37,JURNAL!C:C,"&gt;="&amp;$H$1,JURNAL!C:C,"&lt;="&amp;$I$1)</f>
        <v>0</v>
      </c>
      <c r="L37" s="26">
        <f t="shared" si="2"/>
        <v>0</v>
      </c>
      <c r="M37" s="27">
        <f t="shared" si="0"/>
        <v>0</v>
      </c>
      <c r="N37" s="11"/>
      <c r="O37" s="335"/>
      <c r="P37" s="11"/>
      <c r="Q37" s="11"/>
      <c r="R37" s="26">
        <f t="shared" si="3"/>
        <v>0</v>
      </c>
      <c r="S37" s="27">
        <f t="shared" si="4"/>
        <v>0</v>
      </c>
      <c r="T37" s="11"/>
      <c r="U37" s="11"/>
      <c r="V37" s="26">
        <f t="shared" si="5"/>
        <v>0</v>
      </c>
      <c r="W37" s="27">
        <f t="shared" si="1"/>
        <v>0</v>
      </c>
      <c r="X37" s="4">
        <v>1107</v>
      </c>
      <c r="Y37" s="4"/>
      <c r="Z37" s="4"/>
      <c r="AA37" s="12">
        <f t="shared" si="6"/>
        <v>0</v>
      </c>
      <c r="AC37" s="83"/>
      <c r="AD37" s="83"/>
      <c r="AE37" s="83"/>
      <c r="AF37" s="83"/>
    </row>
    <row r="38" spans="1:32" ht="12.75" customHeight="1">
      <c r="A38" s="24"/>
      <c r="B38" s="108">
        <f t="shared" si="7"/>
        <v>35</v>
      </c>
      <c r="C38" s="6">
        <v>140201</v>
      </c>
      <c r="D38" s="121" t="s">
        <v>1546</v>
      </c>
      <c r="E38" s="9" t="s">
        <v>32</v>
      </c>
      <c r="F38" s="6"/>
      <c r="G38" s="6"/>
      <c r="H38" s="11">
        <f>+STAT1!V38</f>
        <v>0</v>
      </c>
      <c r="I38" s="11">
        <f>+STAT1!W38</f>
        <v>0</v>
      </c>
      <c r="J38" s="11">
        <f>+SUMIFS(JURNAL!G:G,JURNAL!E:E,C38,JURNAL!C:C,"&gt;="&amp;$H$1,JURNAL!C:C,"&lt;="&amp;$I$1)</f>
        <v>77955155.189999998</v>
      </c>
      <c r="K38" s="11">
        <f>+SUMIFS(JURNAL!H:H,JURNAL!E:E,C38,JURNAL!C:C,"&gt;="&amp;$H$1,JURNAL!C:C,"&lt;="&amp;$I$1)</f>
        <v>77955155.189999998</v>
      </c>
      <c r="L38" s="26">
        <f t="shared" si="2"/>
        <v>0</v>
      </c>
      <c r="M38" s="27">
        <f t="shared" si="0"/>
        <v>0</v>
      </c>
      <c r="N38" s="11"/>
      <c r="O38" s="335"/>
      <c r="P38" s="11"/>
      <c r="Q38" s="11"/>
      <c r="R38" s="26">
        <f t="shared" si="3"/>
        <v>0</v>
      </c>
      <c r="S38" s="27">
        <f t="shared" si="4"/>
        <v>0</v>
      </c>
      <c r="T38" s="11"/>
      <c r="U38" s="11"/>
      <c r="V38" s="26">
        <f t="shared" si="5"/>
        <v>0</v>
      </c>
      <c r="W38" s="27">
        <f t="shared" si="1"/>
        <v>0</v>
      </c>
      <c r="X38" s="4">
        <v>1107</v>
      </c>
      <c r="Y38" s="4"/>
      <c r="Z38" s="4"/>
      <c r="AA38" s="12">
        <f t="shared" si="6"/>
        <v>1</v>
      </c>
      <c r="AC38" s="83"/>
      <c r="AD38" s="83"/>
      <c r="AE38" s="83"/>
      <c r="AF38" s="83"/>
    </row>
    <row r="39" spans="1:32" ht="12.75" customHeight="1">
      <c r="A39" s="24"/>
      <c r="B39" s="108">
        <f t="shared" si="7"/>
        <v>36</v>
      </c>
      <c r="C39" s="6">
        <v>140202</v>
      </c>
      <c r="D39" s="121" t="s">
        <v>1547</v>
      </c>
      <c r="E39" s="9" t="s">
        <v>32</v>
      </c>
      <c r="F39" s="6"/>
      <c r="G39" s="6"/>
      <c r="H39" s="11">
        <f>+STAT1!V39</f>
        <v>0</v>
      </c>
      <c r="I39" s="11">
        <f>+STAT1!W39</f>
        <v>0</v>
      </c>
      <c r="J39" s="11">
        <f>+SUMIFS(JURNAL!G:G,JURNAL!E:E,C39,JURNAL!C:C,"&gt;="&amp;$H$1,JURNAL!C:C,"&lt;="&amp;$I$1)</f>
        <v>0</v>
      </c>
      <c r="K39" s="11">
        <f>+SUMIFS(JURNAL!H:H,JURNAL!E:E,C39,JURNAL!C:C,"&gt;="&amp;$H$1,JURNAL!C:C,"&lt;="&amp;$I$1)</f>
        <v>0</v>
      </c>
      <c r="L39" s="26">
        <f t="shared" si="2"/>
        <v>0</v>
      </c>
      <c r="M39" s="27">
        <f t="shared" si="0"/>
        <v>0</v>
      </c>
      <c r="N39" s="11"/>
      <c r="O39" s="335"/>
      <c r="P39" s="11"/>
      <c r="Q39" s="11"/>
      <c r="R39" s="26">
        <f t="shared" si="3"/>
        <v>0</v>
      </c>
      <c r="S39" s="27">
        <f t="shared" si="4"/>
        <v>0</v>
      </c>
      <c r="T39" s="11"/>
      <c r="U39" s="11"/>
      <c r="V39" s="26">
        <f t="shared" si="5"/>
        <v>0</v>
      </c>
      <c r="W39" s="27">
        <f t="shared" si="1"/>
        <v>0</v>
      </c>
      <c r="X39" s="4">
        <v>1107</v>
      </c>
      <c r="Y39" s="4"/>
      <c r="Z39" s="4"/>
      <c r="AA39" s="12">
        <f t="shared" si="6"/>
        <v>0</v>
      </c>
      <c r="AC39" s="83"/>
      <c r="AD39" s="83"/>
      <c r="AE39" s="83"/>
      <c r="AF39" s="83"/>
    </row>
    <row r="40" spans="1:32" ht="12.75" customHeight="1">
      <c r="A40" s="24"/>
      <c r="B40" s="108">
        <f t="shared" si="7"/>
        <v>37</v>
      </c>
      <c r="C40" s="6">
        <v>140300</v>
      </c>
      <c r="D40" s="121" t="s">
        <v>1548</v>
      </c>
      <c r="E40" s="9" t="s">
        <v>32</v>
      </c>
      <c r="F40" s="6"/>
      <c r="G40" s="6"/>
      <c r="H40" s="11">
        <f>+STAT1!V40</f>
        <v>0</v>
      </c>
      <c r="I40" s="11">
        <f>+STAT1!W40</f>
        <v>0</v>
      </c>
      <c r="J40" s="11">
        <f>+SUMIFS(JURNAL!G:G,JURNAL!E:E,C40,JURNAL!C:C,"&gt;="&amp;$H$1,JURNAL!C:C,"&lt;="&amp;$I$1)</f>
        <v>0</v>
      </c>
      <c r="K40" s="11">
        <f>+SUMIFS(JURNAL!H:H,JURNAL!E:E,C40,JURNAL!C:C,"&gt;="&amp;$H$1,JURNAL!C:C,"&lt;="&amp;$I$1)</f>
        <v>0</v>
      </c>
      <c r="L40" s="26">
        <f t="shared" si="2"/>
        <v>0</v>
      </c>
      <c r="M40" s="27">
        <f t="shared" si="0"/>
        <v>0</v>
      </c>
      <c r="N40" s="11"/>
      <c r="O40" s="335"/>
      <c r="P40" s="11"/>
      <c r="Q40" s="11"/>
      <c r="R40" s="26">
        <f t="shared" si="3"/>
        <v>0</v>
      </c>
      <c r="S40" s="27">
        <f t="shared" si="4"/>
        <v>0</v>
      </c>
      <c r="T40" s="11"/>
      <c r="U40" s="11"/>
      <c r="V40" s="26">
        <f t="shared" si="5"/>
        <v>0</v>
      </c>
      <c r="W40" s="27">
        <f t="shared" si="1"/>
        <v>0</v>
      </c>
      <c r="X40" s="4">
        <v>1107</v>
      </c>
      <c r="Y40" s="4"/>
      <c r="Z40" s="4"/>
      <c r="AA40" s="12">
        <f t="shared" si="6"/>
        <v>0</v>
      </c>
      <c r="AC40" s="83"/>
      <c r="AD40" s="83"/>
      <c r="AE40" s="83"/>
      <c r="AF40" s="83"/>
    </row>
    <row r="41" spans="1:32" ht="12.75" customHeight="1">
      <c r="A41" s="24"/>
      <c r="B41" s="108">
        <f t="shared" si="7"/>
        <v>38</v>
      </c>
      <c r="C41" s="6">
        <v>140301</v>
      </c>
      <c r="D41" s="121" t="s">
        <v>1549</v>
      </c>
      <c r="E41" s="9" t="s">
        <v>32</v>
      </c>
      <c r="F41" s="6"/>
      <c r="G41" s="6"/>
      <c r="H41" s="11">
        <f>+STAT1!V41</f>
        <v>0</v>
      </c>
      <c r="I41" s="11">
        <f>+STAT1!W41</f>
        <v>0</v>
      </c>
      <c r="J41" s="11">
        <f>+SUMIFS(JURNAL!G:G,JURNAL!E:E,C41,JURNAL!C:C,"&gt;="&amp;$H$1,JURNAL!C:C,"&lt;="&amp;$I$1)</f>
        <v>24908804.669999998</v>
      </c>
      <c r="K41" s="11">
        <f>+SUMIFS(JURNAL!H:H,JURNAL!E:E,C41,JURNAL!C:C,"&gt;="&amp;$H$1,JURNAL!C:C,"&lt;="&amp;$I$1)</f>
        <v>24908804.669999998</v>
      </c>
      <c r="L41" s="26">
        <f t="shared" si="2"/>
        <v>0</v>
      </c>
      <c r="M41" s="27">
        <f t="shared" si="0"/>
        <v>0</v>
      </c>
      <c r="N41" s="11"/>
      <c r="O41" s="335"/>
      <c r="P41" s="11"/>
      <c r="Q41" s="11"/>
      <c r="R41" s="26">
        <f t="shared" si="3"/>
        <v>0</v>
      </c>
      <c r="S41" s="27">
        <f t="shared" si="4"/>
        <v>0</v>
      </c>
      <c r="T41" s="11"/>
      <c r="U41" s="11"/>
      <c r="V41" s="26">
        <f t="shared" si="5"/>
        <v>0</v>
      </c>
      <c r="W41" s="27">
        <f t="shared" si="1"/>
        <v>0</v>
      </c>
      <c r="X41" s="4">
        <v>1107</v>
      </c>
      <c r="Y41" s="4"/>
      <c r="Z41" s="4"/>
      <c r="AA41" s="12">
        <f t="shared" si="6"/>
        <v>1</v>
      </c>
      <c r="AC41" s="83"/>
      <c r="AD41" s="83"/>
      <c r="AE41" s="83"/>
      <c r="AF41" s="83"/>
    </row>
    <row r="42" spans="1:32" ht="12.75" customHeight="1">
      <c r="A42" s="24"/>
      <c r="B42" s="108">
        <f t="shared" si="7"/>
        <v>39</v>
      </c>
      <c r="C42" s="6">
        <v>140302</v>
      </c>
      <c r="D42" s="121" t="s">
        <v>1550</v>
      </c>
      <c r="E42" s="9" t="s">
        <v>32</v>
      </c>
      <c r="F42" s="6"/>
      <c r="G42" s="6"/>
      <c r="H42" s="11">
        <f>+STAT1!V42</f>
        <v>0</v>
      </c>
      <c r="I42" s="11">
        <f>+STAT1!W42</f>
        <v>0</v>
      </c>
      <c r="J42" s="11">
        <f>+SUMIFS(JURNAL!G:G,JURNAL!E:E,C42,JURNAL!C:C,"&gt;="&amp;$H$1,JURNAL!C:C,"&lt;="&amp;$I$1)</f>
        <v>0</v>
      </c>
      <c r="K42" s="11">
        <f>+SUMIFS(JURNAL!H:H,JURNAL!E:E,C42,JURNAL!C:C,"&gt;="&amp;$H$1,JURNAL!C:C,"&lt;="&amp;$I$1)</f>
        <v>0</v>
      </c>
      <c r="L42" s="26">
        <f t="shared" si="2"/>
        <v>0</v>
      </c>
      <c r="M42" s="27">
        <f t="shared" si="0"/>
        <v>0</v>
      </c>
      <c r="N42" s="11"/>
      <c r="O42" s="335"/>
      <c r="P42" s="11"/>
      <c r="Q42" s="11"/>
      <c r="R42" s="26">
        <f t="shared" si="3"/>
        <v>0</v>
      </c>
      <c r="S42" s="27">
        <f t="shared" si="4"/>
        <v>0</v>
      </c>
      <c r="T42" s="11"/>
      <c r="U42" s="11"/>
      <c r="V42" s="26">
        <f t="shared" si="5"/>
        <v>0</v>
      </c>
      <c r="W42" s="27">
        <f t="shared" si="1"/>
        <v>0</v>
      </c>
      <c r="X42" s="4">
        <v>1107</v>
      </c>
      <c r="Y42" s="4"/>
      <c r="Z42" s="4"/>
      <c r="AA42" s="12">
        <f t="shared" si="6"/>
        <v>0</v>
      </c>
      <c r="AC42" s="83"/>
      <c r="AD42" s="83"/>
      <c r="AE42" s="83"/>
      <c r="AF42" s="83"/>
    </row>
    <row r="43" spans="1:32" ht="12.75" customHeight="1">
      <c r="A43" s="24"/>
      <c r="B43" s="108">
        <f t="shared" si="7"/>
        <v>40</v>
      </c>
      <c r="C43" s="6">
        <v>140400</v>
      </c>
      <c r="D43" s="121" t="s">
        <v>1551</v>
      </c>
      <c r="E43" s="9" t="s">
        <v>32</v>
      </c>
      <c r="F43" s="6"/>
      <c r="G43" s="6"/>
      <c r="H43" s="11">
        <f>+STAT1!V43</f>
        <v>0</v>
      </c>
      <c r="I43" s="11">
        <f>+STAT1!W43</f>
        <v>0</v>
      </c>
      <c r="J43" s="11">
        <f>+SUMIFS(JURNAL!G:G,JURNAL!E:E,C43,JURNAL!C:C,"&gt;="&amp;$H$1,JURNAL!C:C,"&lt;="&amp;$I$1)</f>
        <v>0</v>
      </c>
      <c r="K43" s="11">
        <f>+SUMIFS(JURNAL!H:H,JURNAL!E:E,C43,JURNAL!C:C,"&gt;="&amp;$H$1,JURNAL!C:C,"&lt;="&amp;$I$1)</f>
        <v>0</v>
      </c>
      <c r="L43" s="26">
        <f t="shared" si="2"/>
        <v>0</v>
      </c>
      <c r="M43" s="27">
        <f t="shared" si="0"/>
        <v>0</v>
      </c>
      <c r="N43" s="11"/>
      <c r="O43" s="335"/>
      <c r="P43" s="11"/>
      <c r="Q43" s="11"/>
      <c r="R43" s="26">
        <f t="shared" si="3"/>
        <v>0</v>
      </c>
      <c r="S43" s="27">
        <f t="shared" si="4"/>
        <v>0</v>
      </c>
      <c r="T43" s="11"/>
      <c r="U43" s="11"/>
      <c r="V43" s="26">
        <f t="shared" si="5"/>
        <v>0</v>
      </c>
      <c r="W43" s="27">
        <f t="shared" si="1"/>
        <v>0</v>
      </c>
      <c r="X43" s="4">
        <v>1107</v>
      </c>
      <c r="Y43" s="4"/>
      <c r="Z43" s="4"/>
      <c r="AA43" s="12">
        <f t="shared" si="6"/>
        <v>0</v>
      </c>
      <c r="AC43" s="83"/>
      <c r="AD43" s="83"/>
      <c r="AE43" s="83"/>
      <c r="AF43" s="83"/>
    </row>
    <row r="44" spans="1:32" ht="12.75" customHeight="1">
      <c r="A44" s="24"/>
      <c r="B44" s="108">
        <f t="shared" si="7"/>
        <v>41</v>
      </c>
      <c r="C44" s="6">
        <v>140401</v>
      </c>
      <c r="D44" s="121" t="s">
        <v>1552</v>
      </c>
      <c r="E44" s="9" t="s">
        <v>32</v>
      </c>
      <c r="F44" s="6"/>
      <c r="G44" s="6"/>
      <c r="H44" s="11">
        <f>+STAT1!V44</f>
        <v>0</v>
      </c>
      <c r="I44" s="11">
        <f>+STAT1!W44</f>
        <v>0</v>
      </c>
      <c r="J44" s="11">
        <f>+SUMIFS(JURNAL!G:G,JURNAL!E:E,C44,JURNAL!C:C,"&gt;="&amp;$H$1,JURNAL!C:C,"&lt;="&amp;$I$1)</f>
        <v>36420464.120000005</v>
      </c>
      <c r="K44" s="11">
        <f>+SUMIFS(JURNAL!H:H,JURNAL!E:E,C44,JURNAL!C:C,"&gt;="&amp;$H$1,JURNAL!C:C,"&lt;="&amp;$I$1)</f>
        <v>36420464.120000005</v>
      </c>
      <c r="L44" s="26">
        <f t="shared" si="2"/>
        <v>0</v>
      </c>
      <c r="M44" s="27">
        <f t="shared" si="0"/>
        <v>0</v>
      </c>
      <c r="N44" s="11"/>
      <c r="O44" s="335"/>
      <c r="P44" s="11"/>
      <c r="Q44" s="11"/>
      <c r="R44" s="26">
        <f t="shared" si="3"/>
        <v>0</v>
      </c>
      <c r="S44" s="27">
        <f t="shared" si="4"/>
        <v>0</v>
      </c>
      <c r="T44" s="11"/>
      <c r="U44" s="11"/>
      <c r="V44" s="26">
        <f t="shared" si="5"/>
        <v>0</v>
      </c>
      <c r="W44" s="27">
        <f t="shared" si="1"/>
        <v>0</v>
      </c>
      <c r="X44" s="4">
        <v>1107</v>
      </c>
      <c r="Y44" s="4"/>
      <c r="Z44" s="4"/>
      <c r="AA44" s="12">
        <f t="shared" si="6"/>
        <v>1</v>
      </c>
      <c r="AC44" s="83"/>
      <c r="AD44" s="83"/>
      <c r="AE44" s="83"/>
      <c r="AF44" s="83"/>
    </row>
    <row r="45" spans="1:32" ht="12.75" customHeight="1">
      <c r="A45" s="24"/>
      <c r="B45" s="108">
        <f t="shared" si="7"/>
        <v>42</v>
      </c>
      <c r="C45" s="6">
        <v>140402</v>
      </c>
      <c r="D45" s="121" t="s">
        <v>1553</v>
      </c>
      <c r="E45" s="9" t="s">
        <v>32</v>
      </c>
      <c r="F45" s="6"/>
      <c r="G45" s="6"/>
      <c r="H45" s="11">
        <f>+STAT1!V45</f>
        <v>0</v>
      </c>
      <c r="I45" s="11">
        <f>+STAT1!W45</f>
        <v>0</v>
      </c>
      <c r="J45" s="11">
        <f>+SUMIFS(JURNAL!G:G,JURNAL!E:E,C45,JURNAL!C:C,"&gt;="&amp;$H$1,JURNAL!C:C,"&lt;="&amp;$I$1)</f>
        <v>0</v>
      </c>
      <c r="K45" s="11">
        <f>+SUMIFS(JURNAL!H:H,JURNAL!E:E,C45,JURNAL!C:C,"&gt;="&amp;$H$1,JURNAL!C:C,"&lt;="&amp;$I$1)</f>
        <v>0</v>
      </c>
      <c r="L45" s="26">
        <f t="shared" si="2"/>
        <v>0</v>
      </c>
      <c r="M45" s="27">
        <f t="shared" si="0"/>
        <v>0</v>
      </c>
      <c r="N45" s="11"/>
      <c r="O45" s="335"/>
      <c r="P45" s="11"/>
      <c r="Q45" s="11"/>
      <c r="R45" s="26">
        <f t="shared" si="3"/>
        <v>0</v>
      </c>
      <c r="S45" s="27">
        <f t="shared" si="4"/>
        <v>0</v>
      </c>
      <c r="T45" s="11"/>
      <c r="U45" s="11"/>
      <c r="V45" s="26">
        <f t="shared" si="5"/>
        <v>0</v>
      </c>
      <c r="W45" s="27">
        <f t="shared" si="1"/>
        <v>0</v>
      </c>
      <c r="X45" s="4">
        <v>1107</v>
      </c>
      <c r="Y45" s="4"/>
      <c r="Z45" s="4"/>
      <c r="AA45" s="12">
        <f t="shared" si="6"/>
        <v>0</v>
      </c>
      <c r="AC45" s="83"/>
      <c r="AD45" s="83"/>
      <c r="AE45" s="83"/>
      <c r="AF45" s="83"/>
    </row>
    <row r="46" spans="1:32" ht="12.75" customHeight="1">
      <c r="A46" s="24"/>
      <c r="B46" s="108">
        <f t="shared" si="7"/>
        <v>43</v>
      </c>
      <c r="C46" s="6">
        <v>140500</v>
      </c>
      <c r="D46" s="121" t="s">
        <v>1554</v>
      </c>
      <c r="E46" s="9" t="s">
        <v>32</v>
      </c>
      <c r="F46" s="6"/>
      <c r="G46" s="6"/>
      <c r="H46" s="11">
        <f>+STAT1!V46</f>
        <v>0</v>
      </c>
      <c r="I46" s="11">
        <f>+STAT1!W46</f>
        <v>0</v>
      </c>
      <c r="J46" s="11">
        <f>+SUMIFS(JURNAL!G:G,JURNAL!E:E,C46,JURNAL!C:C,"&gt;="&amp;$H$1,JURNAL!C:C,"&lt;="&amp;$I$1)</f>
        <v>0</v>
      </c>
      <c r="K46" s="11">
        <f>+SUMIFS(JURNAL!H:H,JURNAL!E:E,C46,JURNAL!C:C,"&gt;="&amp;$H$1,JURNAL!C:C,"&lt;="&amp;$I$1)</f>
        <v>0</v>
      </c>
      <c r="L46" s="26">
        <f t="shared" si="2"/>
        <v>0</v>
      </c>
      <c r="M46" s="27">
        <f t="shared" si="0"/>
        <v>0</v>
      </c>
      <c r="N46" s="11"/>
      <c r="O46" s="335"/>
      <c r="P46" s="11"/>
      <c r="Q46" s="11"/>
      <c r="R46" s="26">
        <f t="shared" si="3"/>
        <v>0</v>
      </c>
      <c r="S46" s="27">
        <f t="shared" si="4"/>
        <v>0</v>
      </c>
      <c r="T46" s="11"/>
      <c r="U46" s="11"/>
      <c r="V46" s="26">
        <f t="shared" si="5"/>
        <v>0</v>
      </c>
      <c r="W46" s="27">
        <f t="shared" si="1"/>
        <v>0</v>
      </c>
      <c r="X46" s="4">
        <v>1107</v>
      </c>
      <c r="Y46" s="4"/>
      <c r="Z46" s="4"/>
      <c r="AA46" s="12">
        <f t="shared" si="6"/>
        <v>0</v>
      </c>
      <c r="AC46" s="83"/>
      <c r="AD46" s="83"/>
      <c r="AE46" s="83"/>
      <c r="AF46" s="83"/>
    </row>
    <row r="47" spans="1:32" ht="12.75" customHeight="1">
      <c r="A47" s="24"/>
      <c r="B47" s="108">
        <f t="shared" si="7"/>
        <v>44</v>
      </c>
      <c r="C47" s="6">
        <v>140501</v>
      </c>
      <c r="D47" s="121" t="s">
        <v>1555</v>
      </c>
      <c r="E47" s="9" t="s">
        <v>32</v>
      </c>
      <c r="F47" s="6"/>
      <c r="G47" s="6"/>
      <c r="H47" s="11">
        <f>+STAT1!V47</f>
        <v>0</v>
      </c>
      <c r="I47" s="11">
        <f>+STAT1!W47</f>
        <v>0</v>
      </c>
      <c r="J47" s="11">
        <f>+SUMIFS(JURNAL!G:G,JURNAL!E:E,C47,JURNAL!C:C,"&gt;="&amp;$H$1,JURNAL!C:C,"&lt;="&amp;$I$1)</f>
        <v>139284423.98000002</v>
      </c>
      <c r="K47" s="11">
        <f>+SUMIFS(JURNAL!H:H,JURNAL!E:E,C47,JURNAL!C:C,"&gt;="&amp;$H$1,JURNAL!C:C,"&lt;="&amp;$I$1)</f>
        <v>139284423.98000002</v>
      </c>
      <c r="L47" s="26">
        <f t="shared" si="2"/>
        <v>0</v>
      </c>
      <c r="M47" s="27">
        <f t="shared" si="0"/>
        <v>0</v>
      </c>
      <c r="N47" s="11"/>
      <c r="O47" s="335"/>
      <c r="P47" s="11"/>
      <c r="Q47" s="11"/>
      <c r="R47" s="26">
        <f t="shared" si="3"/>
        <v>0</v>
      </c>
      <c r="S47" s="27">
        <f t="shared" si="4"/>
        <v>0</v>
      </c>
      <c r="T47" s="11"/>
      <c r="U47" s="11"/>
      <c r="V47" s="26">
        <f t="shared" si="5"/>
        <v>0</v>
      </c>
      <c r="W47" s="27">
        <f t="shared" si="1"/>
        <v>0</v>
      </c>
      <c r="X47" s="4">
        <v>1107</v>
      </c>
      <c r="Y47" s="4"/>
      <c r="Z47" s="4"/>
      <c r="AA47" s="12">
        <f t="shared" si="6"/>
        <v>1</v>
      </c>
      <c r="AC47" s="83"/>
      <c r="AD47" s="83"/>
      <c r="AE47" s="83"/>
      <c r="AF47" s="83"/>
    </row>
    <row r="48" spans="1:32" ht="12.75" customHeight="1">
      <c r="A48" s="24"/>
      <c r="B48" s="108">
        <f t="shared" si="7"/>
        <v>45</v>
      </c>
      <c r="C48" s="6">
        <v>140502</v>
      </c>
      <c r="D48" s="121" t="s">
        <v>1556</v>
      </c>
      <c r="E48" s="9" t="s">
        <v>32</v>
      </c>
      <c r="F48" s="6"/>
      <c r="G48" s="6"/>
      <c r="H48" s="11">
        <f>+STAT1!V48</f>
        <v>0</v>
      </c>
      <c r="I48" s="11">
        <f>+STAT1!W48</f>
        <v>0</v>
      </c>
      <c r="J48" s="11">
        <f>+SUMIFS(JURNAL!G:G,JURNAL!E:E,C48,JURNAL!C:C,"&gt;="&amp;$H$1,JURNAL!C:C,"&lt;="&amp;$I$1)</f>
        <v>0</v>
      </c>
      <c r="K48" s="11">
        <f>+SUMIFS(JURNAL!H:H,JURNAL!E:E,C48,JURNAL!C:C,"&gt;="&amp;$H$1,JURNAL!C:C,"&lt;="&amp;$I$1)</f>
        <v>0</v>
      </c>
      <c r="L48" s="26">
        <f t="shared" si="2"/>
        <v>0</v>
      </c>
      <c r="M48" s="27">
        <f t="shared" si="0"/>
        <v>0</v>
      </c>
      <c r="N48" s="11"/>
      <c r="O48" s="335"/>
      <c r="P48" s="11"/>
      <c r="Q48" s="11"/>
      <c r="R48" s="26">
        <f t="shared" si="3"/>
        <v>0</v>
      </c>
      <c r="S48" s="27">
        <f t="shared" si="4"/>
        <v>0</v>
      </c>
      <c r="T48" s="11"/>
      <c r="U48" s="11"/>
      <c r="V48" s="26">
        <f t="shared" si="5"/>
        <v>0</v>
      </c>
      <c r="W48" s="27">
        <f t="shared" si="1"/>
        <v>0</v>
      </c>
      <c r="X48" s="4">
        <v>1107</v>
      </c>
      <c r="Y48" s="4"/>
      <c r="Z48" s="4"/>
      <c r="AA48" s="12">
        <f t="shared" si="6"/>
        <v>0</v>
      </c>
      <c r="AC48" s="83"/>
      <c r="AD48" s="83"/>
      <c r="AE48" s="83"/>
      <c r="AF48" s="83"/>
    </row>
    <row r="49" spans="1:32" ht="12.75" customHeight="1">
      <c r="A49" s="24"/>
      <c r="B49" s="108">
        <f t="shared" si="7"/>
        <v>46</v>
      </c>
      <c r="C49" s="6">
        <v>141200</v>
      </c>
      <c r="D49" s="121" t="s">
        <v>1557</v>
      </c>
      <c r="E49" s="9" t="s">
        <v>32</v>
      </c>
      <c r="F49" s="6"/>
      <c r="G49" s="6"/>
      <c r="H49" s="11">
        <f>+STAT1!V49</f>
        <v>0</v>
      </c>
      <c r="I49" s="11">
        <f>+STAT1!W49</f>
        <v>0</v>
      </c>
      <c r="J49" s="11">
        <f>+SUMIFS(JURNAL!G:G,JURNAL!E:E,C49,JURNAL!C:C,"&gt;="&amp;$H$1,JURNAL!C:C,"&lt;="&amp;$I$1)</f>
        <v>0</v>
      </c>
      <c r="K49" s="11">
        <f>+SUMIFS(JURNAL!H:H,JURNAL!E:E,C49,JURNAL!C:C,"&gt;="&amp;$H$1,JURNAL!C:C,"&lt;="&amp;$I$1)</f>
        <v>0</v>
      </c>
      <c r="L49" s="26">
        <f t="shared" si="2"/>
        <v>0</v>
      </c>
      <c r="M49" s="27">
        <f t="shared" si="0"/>
        <v>0</v>
      </c>
      <c r="N49" s="11"/>
      <c r="O49" s="335"/>
      <c r="P49" s="11"/>
      <c r="Q49" s="11"/>
      <c r="R49" s="26">
        <f t="shared" si="3"/>
        <v>0</v>
      </c>
      <c r="S49" s="27">
        <f t="shared" si="4"/>
        <v>0</v>
      </c>
      <c r="T49" s="11"/>
      <c r="U49" s="11"/>
      <c r="V49" s="26">
        <f t="shared" si="5"/>
        <v>0</v>
      </c>
      <c r="W49" s="27">
        <f t="shared" si="1"/>
        <v>0</v>
      </c>
      <c r="X49" s="4">
        <v>1107</v>
      </c>
      <c r="Y49" s="4"/>
      <c r="Z49" s="4"/>
      <c r="AA49" s="12">
        <f t="shared" si="6"/>
        <v>0</v>
      </c>
      <c r="AC49" s="83"/>
      <c r="AD49" s="83"/>
      <c r="AE49" s="83"/>
      <c r="AF49" s="83"/>
    </row>
    <row r="50" spans="1:32" ht="12.75" customHeight="1">
      <c r="A50" s="24"/>
      <c r="B50" s="108">
        <f t="shared" si="7"/>
        <v>47</v>
      </c>
      <c r="C50" s="6">
        <v>141201</v>
      </c>
      <c r="D50" s="121" t="s">
        <v>2282</v>
      </c>
      <c r="E50" s="9" t="s">
        <v>32</v>
      </c>
      <c r="F50" s="6"/>
      <c r="G50" s="6"/>
      <c r="H50" s="11">
        <f>+STAT1!V50</f>
        <v>0</v>
      </c>
      <c r="I50" s="11">
        <f>+STAT1!W50</f>
        <v>0</v>
      </c>
      <c r="J50" s="11">
        <f>+SUMIFS(JURNAL!G:G,JURNAL!E:E,C50,JURNAL!C:C,"&gt;="&amp;$H$1,JURNAL!C:C,"&lt;="&amp;$I$1)</f>
        <v>0</v>
      </c>
      <c r="K50" s="11">
        <f>+SUMIFS(JURNAL!H:H,JURNAL!E:E,C50,JURNAL!C:C,"&gt;="&amp;$H$1,JURNAL!C:C,"&lt;="&amp;$I$1)</f>
        <v>0</v>
      </c>
      <c r="L50" s="26">
        <f t="shared" si="2"/>
        <v>0</v>
      </c>
      <c r="M50" s="27">
        <f t="shared" si="0"/>
        <v>0</v>
      </c>
      <c r="N50" s="11"/>
      <c r="O50" s="335"/>
      <c r="P50" s="11"/>
      <c r="Q50" s="11"/>
      <c r="R50" s="26">
        <f t="shared" si="3"/>
        <v>0</v>
      </c>
      <c r="S50" s="27">
        <f t="shared" si="4"/>
        <v>0</v>
      </c>
      <c r="T50" s="11"/>
      <c r="U50" s="11"/>
      <c r="V50" s="26">
        <f t="shared" si="5"/>
        <v>0</v>
      </c>
      <c r="W50" s="27">
        <f t="shared" si="1"/>
        <v>0</v>
      </c>
      <c r="X50" s="4">
        <v>1107</v>
      </c>
      <c r="Y50" s="4"/>
      <c r="Z50" s="4"/>
      <c r="AA50" s="12">
        <f t="shared" si="6"/>
        <v>0</v>
      </c>
      <c r="AC50" s="83"/>
      <c r="AD50" s="83"/>
      <c r="AE50" s="83"/>
      <c r="AF50" s="83"/>
    </row>
    <row r="51" spans="1:32" ht="12.75" customHeight="1">
      <c r="A51" s="24"/>
      <c r="B51" s="108">
        <f t="shared" si="7"/>
        <v>48</v>
      </c>
      <c r="C51" s="6">
        <v>141300</v>
      </c>
      <c r="D51" s="121" t="s">
        <v>1558</v>
      </c>
      <c r="E51" s="9" t="s">
        <v>32</v>
      </c>
      <c r="F51" s="6"/>
      <c r="G51" s="6"/>
      <c r="H51" s="11">
        <f>+STAT1!V51</f>
        <v>0</v>
      </c>
      <c r="I51" s="11">
        <f>+STAT1!W51</f>
        <v>0</v>
      </c>
      <c r="J51" s="11">
        <f>+SUMIFS(JURNAL!G:G,JURNAL!E:E,C51,JURNAL!C:C,"&gt;="&amp;$H$1,JURNAL!C:C,"&lt;="&amp;$I$1)</f>
        <v>0</v>
      </c>
      <c r="K51" s="11">
        <f>+SUMIFS(JURNAL!H:H,JURNAL!E:E,C51,JURNAL!C:C,"&gt;="&amp;$H$1,JURNAL!C:C,"&lt;="&amp;$I$1)</f>
        <v>0</v>
      </c>
      <c r="L51" s="26">
        <f t="shared" si="2"/>
        <v>0</v>
      </c>
      <c r="M51" s="27">
        <f t="shared" si="0"/>
        <v>0</v>
      </c>
      <c r="N51" s="11"/>
      <c r="O51" s="335"/>
      <c r="P51" s="11"/>
      <c r="Q51" s="11"/>
      <c r="R51" s="26">
        <f t="shared" si="3"/>
        <v>0</v>
      </c>
      <c r="S51" s="27">
        <f t="shared" si="4"/>
        <v>0</v>
      </c>
      <c r="T51" s="11"/>
      <c r="U51" s="11"/>
      <c r="V51" s="26">
        <f t="shared" si="5"/>
        <v>0</v>
      </c>
      <c r="W51" s="27">
        <f t="shared" si="1"/>
        <v>0</v>
      </c>
      <c r="X51" s="4">
        <v>1107</v>
      </c>
      <c r="Y51" s="4"/>
      <c r="Z51" s="4"/>
      <c r="AA51" s="12">
        <f t="shared" si="6"/>
        <v>0</v>
      </c>
      <c r="AC51" s="83"/>
      <c r="AD51" s="83"/>
      <c r="AE51" s="83"/>
      <c r="AF51" s="83"/>
    </row>
    <row r="52" spans="1:32" ht="12.75" customHeight="1">
      <c r="A52" s="24"/>
      <c r="B52" s="108">
        <f t="shared" si="7"/>
        <v>49</v>
      </c>
      <c r="C52" s="6">
        <v>141301</v>
      </c>
      <c r="D52" s="121" t="s">
        <v>2285</v>
      </c>
      <c r="E52" s="9" t="s">
        <v>32</v>
      </c>
      <c r="F52" s="6"/>
      <c r="G52" s="6"/>
      <c r="H52" s="11">
        <f>+STAT1!V52</f>
        <v>0</v>
      </c>
      <c r="I52" s="11">
        <f>+STAT1!W52</f>
        <v>0</v>
      </c>
      <c r="J52" s="11">
        <f>+SUMIFS(JURNAL!G:G,JURNAL!E:E,C52,JURNAL!C:C,"&gt;="&amp;$H$1,JURNAL!C:C,"&lt;="&amp;$I$1)</f>
        <v>0</v>
      </c>
      <c r="K52" s="11">
        <f>+SUMIFS(JURNAL!H:H,JURNAL!E:E,C52,JURNAL!C:C,"&gt;="&amp;$H$1,JURNAL!C:C,"&lt;="&amp;$I$1)</f>
        <v>0</v>
      </c>
      <c r="L52" s="26">
        <f t="shared" si="2"/>
        <v>0</v>
      </c>
      <c r="M52" s="27">
        <f t="shared" si="0"/>
        <v>0</v>
      </c>
      <c r="N52" s="11"/>
      <c r="O52" s="335"/>
      <c r="P52" s="11"/>
      <c r="Q52" s="11"/>
      <c r="R52" s="26">
        <f t="shared" si="3"/>
        <v>0</v>
      </c>
      <c r="S52" s="27">
        <f t="shared" si="4"/>
        <v>0</v>
      </c>
      <c r="T52" s="11"/>
      <c r="U52" s="11"/>
      <c r="V52" s="26">
        <f t="shared" si="5"/>
        <v>0</v>
      </c>
      <c r="W52" s="27">
        <f t="shared" si="1"/>
        <v>0</v>
      </c>
      <c r="X52" s="4">
        <v>1107</v>
      </c>
      <c r="Y52" s="4"/>
      <c r="Z52" s="4"/>
      <c r="AA52" s="12">
        <f t="shared" si="6"/>
        <v>0</v>
      </c>
      <c r="AC52" s="83"/>
      <c r="AD52" s="83"/>
      <c r="AE52" s="83"/>
      <c r="AF52" s="83"/>
    </row>
    <row r="53" spans="1:32" ht="12.75" customHeight="1">
      <c r="A53" s="24"/>
      <c r="B53" s="108">
        <f t="shared" si="7"/>
        <v>50</v>
      </c>
      <c r="C53" s="6">
        <v>141400</v>
      </c>
      <c r="D53" s="121" t="s">
        <v>1559</v>
      </c>
      <c r="E53" s="9" t="s">
        <v>32</v>
      </c>
      <c r="F53" s="6"/>
      <c r="G53" s="6"/>
      <c r="H53" s="11">
        <f>+STAT1!V53</f>
        <v>0</v>
      </c>
      <c r="I53" s="11">
        <f>+STAT1!W53</f>
        <v>0</v>
      </c>
      <c r="J53" s="11">
        <f>+SUMIFS(JURNAL!G:G,JURNAL!E:E,C53,JURNAL!C:C,"&gt;="&amp;$H$1,JURNAL!C:C,"&lt;="&amp;$I$1)</f>
        <v>0</v>
      </c>
      <c r="K53" s="11">
        <f>+SUMIFS(JURNAL!H:H,JURNAL!E:E,C53,JURNAL!C:C,"&gt;="&amp;$H$1,JURNAL!C:C,"&lt;="&amp;$I$1)</f>
        <v>0</v>
      </c>
      <c r="L53" s="26">
        <f t="shared" si="2"/>
        <v>0</v>
      </c>
      <c r="M53" s="27">
        <f t="shared" si="0"/>
        <v>0</v>
      </c>
      <c r="N53" s="11"/>
      <c r="O53" s="335"/>
      <c r="P53" s="11"/>
      <c r="Q53" s="11"/>
      <c r="R53" s="26">
        <f t="shared" si="3"/>
        <v>0</v>
      </c>
      <c r="S53" s="27">
        <f t="shared" si="4"/>
        <v>0</v>
      </c>
      <c r="T53" s="11"/>
      <c r="U53" s="11"/>
      <c r="V53" s="26">
        <f t="shared" si="5"/>
        <v>0</v>
      </c>
      <c r="W53" s="27">
        <f t="shared" si="1"/>
        <v>0</v>
      </c>
      <c r="X53" s="4">
        <v>1107</v>
      </c>
      <c r="Y53" s="4"/>
      <c r="Z53" s="4"/>
      <c r="AA53" s="12">
        <f t="shared" si="6"/>
        <v>0</v>
      </c>
      <c r="AC53" s="83"/>
      <c r="AD53" s="83"/>
      <c r="AE53" s="83"/>
      <c r="AF53" s="83"/>
    </row>
    <row r="54" spans="1:32" ht="12.75" customHeight="1">
      <c r="A54" s="24"/>
      <c r="B54" s="108">
        <f t="shared" si="7"/>
        <v>51</v>
      </c>
      <c r="C54" s="6">
        <v>141401</v>
      </c>
      <c r="D54" s="121" t="s">
        <v>2283</v>
      </c>
      <c r="E54" s="9" t="s">
        <v>32</v>
      </c>
      <c r="F54" s="6"/>
      <c r="G54" s="6"/>
      <c r="H54" s="11">
        <f>+STAT1!V54</f>
        <v>0</v>
      </c>
      <c r="I54" s="11">
        <f>+STAT1!W54</f>
        <v>0</v>
      </c>
      <c r="J54" s="11">
        <f>+SUMIFS(JURNAL!G:G,JURNAL!E:E,C54,JURNAL!C:C,"&gt;="&amp;$H$1,JURNAL!C:C,"&lt;="&amp;$I$1)</f>
        <v>0</v>
      </c>
      <c r="K54" s="11">
        <f>+SUMIFS(JURNAL!H:H,JURNAL!E:E,C54,JURNAL!C:C,"&gt;="&amp;$H$1,JURNAL!C:C,"&lt;="&amp;$I$1)</f>
        <v>0</v>
      </c>
      <c r="L54" s="26">
        <f t="shared" si="2"/>
        <v>0</v>
      </c>
      <c r="M54" s="27">
        <f t="shared" si="0"/>
        <v>0</v>
      </c>
      <c r="N54" s="11"/>
      <c r="O54" s="335"/>
      <c r="P54" s="11"/>
      <c r="Q54" s="11"/>
      <c r="R54" s="26">
        <f t="shared" si="3"/>
        <v>0</v>
      </c>
      <c r="S54" s="27">
        <f t="shared" si="4"/>
        <v>0</v>
      </c>
      <c r="T54" s="11"/>
      <c r="U54" s="11"/>
      <c r="V54" s="26">
        <f t="shared" si="5"/>
        <v>0</v>
      </c>
      <c r="W54" s="27">
        <f t="shared" si="1"/>
        <v>0</v>
      </c>
      <c r="X54" s="4">
        <v>1107</v>
      </c>
      <c r="Y54" s="4"/>
      <c r="Z54" s="4"/>
      <c r="AA54" s="12">
        <f t="shared" si="6"/>
        <v>0</v>
      </c>
      <c r="AC54" s="83"/>
      <c r="AD54" s="83"/>
      <c r="AE54" s="83"/>
      <c r="AF54" s="83"/>
    </row>
    <row r="55" spans="1:32" ht="12.75" customHeight="1">
      <c r="A55" s="24"/>
      <c r="B55" s="108">
        <f t="shared" si="7"/>
        <v>52</v>
      </c>
      <c r="C55" s="6">
        <v>141500</v>
      </c>
      <c r="D55" s="121" t="s">
        <v>1560</v>
      </c>
      <c r="E55" s="9" t="s">
        <v>32</v>
      </c>
      <c r="F55" s="6"/>
      <c r="G55" s="6"/>
      <c r="H55" s="11">
        <f>+STAT1!V55</f>
        <v>0</v>
      </c>
      <c r="I55" s="11">
        <f>+STAT1!W55</f>
        <v>0</v>
      </c>
      <c r="J55" s="11">
        <f>+SUMIFS(JURNAL!G:G,JURNAL!E:E,C55,JURNAL!C:C,"&gt;="&amp;$H$1,JURNAL!C:C,"&lt;="&amp;$I$1)</f>
        <v>0</v>
      </c>
      <c r="K55" s="11">
        <f>+SUMIFS(JURNAL!H:H,JURNAL!E:E,C55,JURNAL!C:C,"&gt;="&amp;$H$1,JURNAL!C:C,"&lt;="&amp;$I$1)</f>
        <v>0</v>
      </c>
      <c r="L55" s="26">
        <f t="shared" si="2"/>
        <v>0</v>
      </c>
      <c r="M55" s="27">
        <f t="shared" si="0"/>
        <v>0</v>
      </c>
      <c r="N55" s="11"/>
      <c r="O55" s="335"/>
      <c r="P55" s="11"/>
      <c r="Q55" s="11"/>
      <c r="R55" s="26">
        <f t="shared" si="3"/>
        <v>0</v>
      </c>
      <c r="S55" s="27">
        <f t="shared" si="4"/>
        <v>0</v>
      </c>
      <c r="T55" s="11"/>
      <c r="U55" s="11"/>
      <c r="V55" s="26">
        <f t="shared" si="5"/>
        <v>0</v>
      </c>
      <c r="W55" s="27">
        <f t="shared" si="1"/>
        <v>0</v>
      </c>
      <c r="X55" s="4">
        <v>1107</v>
      </c>
      <c r="Y55" s="4"/>
      <c r="Z55" s="4"/>
      <c r="AA55" s="12">
        <f t="shared" si="6"/>
        <v>0</v>
      </c>
      <c r="AC55" s="83"/>
      <c r="AD55" s="83"/>
      <c r="AE55" s="83"/>
      <c r="AF55" s="83"/>
    </row>
    <row r="56" spans="1:32" ht="12.75" customHeight="1">
      <c r="A56" s="24"/>
      <c r="B56" s="108">
        <f t="shared" si="7"/>
        <v>53</v>
      </c>
      <c r="C56" s="6">
        <v>141501</v>
      </c>
      <c r="D56" s="121" t="s">
        <v>2284</v>
      </c>
      <c r="E56" s="9" t="s">
        <v>32</v>
      </c>
      <c r="F56" s="6"/>
      <c r="G56" s="6"/>
      <c r="H56" s="11">
        <f>+STAT1!V56</f>
        <v>0</v>
      </c>
      <c r="I56" s="11">
        <f>+STAT1!W56</f>
        <v>0</v>
      </c>
      <c r="J56" s="11">
        <f>+SUMIFS(JURNAL!G:G,JURNAL!E:E,C56,JURNAL!C:C,"&gt;="&amp;$H$1,JURNAL!C:C,"&lt;="&amp;$I$1)</f>
        <v>0</v>
      </c>
      <c r="K56" s="11">
        <f>+SUMIFS(JURNAL!H:H,JURNAL!E:E,C56,JURNAL!C:C,"&gt;="&amp;$H$1,JURNAL!C:C,"&lt;="&amp;$I$1)</f>
        <v>0</v>
      </c>
      <c r="L56" s="26">
        <f t="shared" si="2"/>
        <v>0</v>
      </c>
      <c r="M56" s="27">
        <f t="shared" si="0"/>
        <v>0</v>
      </c>
      <c r="N56" s="11"/>
      <c r="O56" s="335"/>
      <c r="P56" s="11"/>
      <c r="Q56" s="11"/>
      <c r="R56" s="26">
        <f t="shared" si="3"/>
        <v>0</v>
      </c>
      <c r="S56" s="27">
        <f t="shared" si="4"/>
        <v>0</v>
      </c>
      <c r="T56" s="11"/>
      <c r="U56" s="11"/>
      <c r="V56" s="26">
        <f t="shared" si="5"/>
        <v>0</v>
      </c>
      <c r="W56" s="27">
        <f t="shared" si="1"/>
        <v>0</v>
      </c>
      <c r="X56" s="4">
        <v>1107</v>
      </c>
      <c r="Y56" s="4"/>
      <c r="Z56" s="4"/>
      <c r="AA56" s="12">
        <f t="shared" si="6"/>
        <v>0</v>
      </c>
      <c r="AC56" s="83"/>
      <c r="AD56" s="83"/>
      <c r="AE56" s="83"/>
      <c r="AF56" s="83"/>
    </row>
    <row r="57" spans="1:32" ht="12.75" customHeight="1">
      <c r="A57" s="24"/>
      <c r="B57" s="108">
        <f t="shared" si="7"/>
        <v>54</v>
      </c>
      <c r="C57" s="6">
        <v>150100</v>
      </c>
      <c r="D57" s="121" t="s">
        <v>1561</v>
      </c>
      <c r="E57" s="9" t="s">
        <v>32</v>
      </c>
      <c r="F57" s="6"/>
      <c r="G57" s="6"/>
      <c r="H57" s="11">
        <f>+STAT1!V57</f>
        <v>132652228.27</v>
      </c>
      <c r="I57" s="11">
        <f>+STAT1!W57</f>
        <v>0</v>
      </c>
      <c r="J57" s="11">
        <f>+SUMIFS(JURNAL!G:G,JURNAL!E:E,C57,JURNAL!C:C,"&gt;="&amp;$H$1,JURNAL!C:C,"&lt;="&amp;$I$1)</f>
        <v>0</v>
      </c>
      <c r="K57" s="11">
        <f>+SUMIFS(JURNAL!H:H,JURNAL!E:E,C57,JURNAL!C:C,"&gt;="&amp;$H$1,JURNAL!C:C,"&lt;="&amp;$I$1)</f>
        <v>77955155.189999998</v>
      </c>
      <c r="L57" s="26">
        <f t="shared" si="2"/>
        <v>54697073.079999998</v>
      </c>
      <c r="M57" s="27">
        <f t="shared" si="0"/>
        <v>0</v>
      </c>
      <c r="N57" s="11"/>
      <c r="O57" s="335"/>
      <c r="P57" s="11"/>
      <c r="Q57" s="11"/>
      <c r="R57" s="26">
        <f t="shared" si="3"/>
        <v>54697073.079999998</v>
      </c>
      <c r="S57" s="27">
        <f t="shared" si="4"/>
        <v>0</v>
      </c>
      <c r="T57" s="11"/>
      <c r="U57" s="11"/>
      <c r="V57" s="26">
        <f t="shared" si="5"/>
        <v>54697073.079999998</v>
      </c>
      <c r="W57" s="27">
        <f t="shared" si="1"/>
        <v>0</v>
      </c>
      <c r="X57" s="4">
        <v>1107</v>
      </c>
      <c r="Y57" s="4"/>
      <c r="Z57" s="4"/>
      <c r="AA57" s="12">
        <f t="shared" si="6"/>
        <v>1</v>
      </c>
      <c r="AC57" s="83"/>
      <c r="AD57" s="83"/>
      <c r="AE57" s="83"/>
      <c r="AF57" s="83"/>
    </row>
    <row r="58" spans="1:32" ht="12.75" customHeight="1">
      <c r="A58" s="24"/>
      <c r="B58" s="108">
        <f t="shared" si="7"/>
        <v>55</v>
      </c>
      <c r="C58" s="6">
        <v>150101</v>
      </c>
      <c r="D58" s="121" t="s">
        <v>1562</v>
      </c>
      <c r="E58" s="9" t="s">
        <v>32</v>
      </c>
      <c r="F58" s="6"/>
      <c r="G58" s="6"/>
      <c r="H58" s="11">
        <f>+STAT1!V58</f>
        <v>651208766.96740794</v>
      </c>
      <c r="I58" s="11">
        <f>+STAT1!W58</f>
        <v>0</v>
      </c>
      <c r="J58" s="11">
        <f>+SUMIFS(JURNAL!G:G,JURNAL!E:E,C58,JURNAL!C:C,"&gt;="&amp;$H$1,JURNAL!C:C,"&lt;="&amp;$I$1)</f>
        <v>139284423.98000002</v>
      </c>
      <c r="K58" s="11">
        <f>+SUMIFS(JURNAL!H:H,JURNAL!E:E,C58,JURNAL!C:C,"&gt;="&amp;$H$1,JURNAL!C:C,"&lt;="&amp;$I$1)</f>
        <v>14851047.35</v>
      </c>
      <c r="L58" s="26">
        <f t="shared" si="2"/>
        <v>775642143.59740794</v>
      </c>
      <c r="M58" s="27">
        <f t="shared" si="0"/>
        <v>0</v>
      </c>
      <c r="N58" s="11"/>
      <c r="O58" s="335"/>
      <c r="P58" s="11"/>
      <c r="Q58" s="11"/>
      <c r="R58" s="26">
        <f t="shared" si="3"/>
        <v>775642143.59740794</v>
      </c>
      <c r="S58" s="27">
        <f t="shared" si="4"/>
        <v>0</v>
      </c>
      <c r="T58" s="11"/>
      <c r="U58" s="11"/>
      <c r="V58" s="26">
        <f t="shared" si="5"/>
        <v>775642143.59740794</v>
      </c>
      <c r="W58" s="27">
        <f t="shared" si="1"/>
        <v>0</v>
      </c>
      <c r="X58" s="4">
        <v>1107</v>
      </c>
      <c r="Y58" s="4"/>
      <c r="Z58" s="4"/>
      <c r="AA58" s="12">
        <f t="shared" si="6"/>
        <v>1</v>
      </c>
      <c r="AC58" s="83"/>
      <c r="AD58" s="83"/>
      <c r="AE58" s="83"/>
      <c r="AF58" s="83"/>
    </row>
    <row r="59" spans="1:32" ht="12.75" customHeight="1">
      <c r="A59" s="24"/>
      <c r="B59" s="108">
        <f t="shared" si="7"/>
        <v>56</v>
      </c>
      <c r="C59" s="6">
        <v>150102</v>
      </c>
      <c r="D59" s="121" t="s">
        <v>1563</v>
      </c>
      <c r="E59" s="9" t="s">
        <v>32</v>
      </c>
      <c r="F59" s="6"/>
      <c r="G59" s="6"/>
      <c r="H59" s="11">
        <f>+STAT1!V59</f>
        <v>0</v>
      </c>
      <c r="I59" s="11">
        <f>+STAT1!W59</f>
        <v>0</v>
      </c>
      <c r="J59" s="11">
        <f>+SUMIFS(JURNAL!G:G,JURNAL!E:E,C59,JURNAL!C:C,"&gt;="&amp;$H$1,JURNAL!C:C,"&lt;="&amp;$I$1)</f>
        <v>0</v>
      </c>
      <c r="K59" s="11">
        <f>+SUMIFS(JURNAL!H:H,JURNAL!E:E,C59,JURNAL!C:C,"&gt;="&amp;$H$1,JURNAL!C:C,"&lt;="&amp;$I$1)</f>
        <v>0</v>
      </c>
      <c r="L59" s="26">
        <f t="shared" si="2"/>
        <v>0</v>
      </c>
      <c r="M59" s="27">
        <f t="shared" si="0"/>
        <v>0</v>
      </c>
      <c r="N59" s="11"/>
      <c r="O59" s="335"/>
      <c r="P59" s="11"/>
      <c r="Q59" s="11"/>
      <c r="R59" s="26">
        <f t="shared" si="3"/>
        <v>0</v>
      </c>
      <c r="S59" s="27">
        <f t="shared" si="4"/>
        <v>0</v>
      </c>
      <c r="T59" s="11"/>
      <c r="U59" s="11"/>
      <c r="V59" s="26">
        <f t="shared" si="5"/>
        <v>0</v>
      </c>
      <c r="W59" s="27">
        <f t="shared" si="1"/>
        <v>0</v>
      </c>
      <c r="X59" s="4">
        <v>1107</v>
      </c>
      <c r="Y59" s="4"/>
      <c r="Z59" s="4"/>
      <c r="AA59" s="12">
        <f t="shared" si="6"/>
        <v>0</v>
      </c>
      <c r="AC59" s="83"/>
      <c r="AD59" s="83"/>
      <c r="AE59" s="83"/>
      <c r="AF59" s="83"/>
    </row>
    <row r="60" spans="1:32" ht="12.75" customHeight="1">
      <c r="A60" s="24"/>
      <c r="B60" s="108">
        <f t="shared" si="7"/>
        <v>57</v>
      </c>
      <c r="C60" s="6">
        <v>151100</v>
      </c>
      <c r="D60" s="121" t="s">
        <v>1564</v>
      </c>
      <c r="E60" s="9" t="s">
        <v>32</v>
      </c>
      <c r="F60" s="6"/>
      <c r="G60" s="6"/>
      <c r="H60" s="11">
        <f>+STAT1!V60</f>
        <v>0</v>
      </c>
      <c r="I60" s="11">
        <f>+STAT1!W60</f>
        <v>0</v>
      </c>
      <c r="J60" s="11">
        <f>+SUMIFS(JURNAL!G:G,JURNAL!E:E,C60,JURNAL!C:C,"&gt;="&amp;$H$1,JURNAL!C:C,"&lt;="&amp;$I$1)</f>
        <v>0</v>
      </c>
      <c r="K60" s="11">
        <f>+SUMIFS(JURNAL!H:H,JURNAL!E:E,C60,JURNAL!C:C,"&gt;="&amp;$H$1,JURNAL!C:C,"&lt;="&amp;$I$1)</f>
        <v>0</v>
      </c>
      <c r="L60" s="26">
        <f t="shared" si="2"/>
        <v>0</v>
      </c>
      <c r="M60" s="27">
        <f t="shared" si="0"/>
        <v>0</v>
      </c>
      <c r="N60" s="11"/>
      <c r="O60" s="335"/>
      <c r="P60" s="11"/>
      <c r="Q60" s="11"/>
      <c r="R60" s="26">
        <f t="shared" si="3"/>
        <v>0</v>
      </c>
      <c r="S60" s="27">
        <f t="shared" si="4"/>
        <v>0</v>
      </c>
      <c r="T60" s="11"/>
      <c r="U60" s="11"/>
      <c r="V60" s="26">
        <f t="shared" si="5"/>
        <v>0</v>
      </c>
      <c r="W60" s="27">
        <f t="shared" si="1"/>
        <v>0</v>
      </c>
      <c r="X60" s="4">
        <v>1107</v>
      </c>
      <c r="Y60" s="4"/>
      <c r="Z60" s="4"/>
      <c r="AA60" s="12">
        <f t="shared" si="6"/>
        <v>0</v>
      </c>
      <c r="AC60" s="83"/>
      <c r="AD60" s="83"/>
      <c r="AE60" s="83"/>
      <c r="AF60" s="83"/>
    </row>
    <row r="61" spans="1:32" ht="12.75" customHeight="1">
      <c r="A61" s="24"/>
      <c r="B61" s="108">
        <f t="shared" si="7"/>
        <v>58</v>
      </c>
      <c r="C61" s="6">
        <v>151101</v>
      </c>
      <c r="D61" s="121" t="s">
        <v>1565</v>
      </c>
      <c r="E61" s="9" t="s">
        <v>32</v>
      </c>
      <c r="F61" s="6"/>
      <c r="G61" s="6"/>
      <c r="H61" s="11">
        <f>+STAT1!V61</f>
        <v>0</v>
      </c>
      <c r="I61" s="11">
        <f>+STAT1!W61</f>
        <v>0</v>
      </c>
      <c r="J61" s="11">
        <f>+SUMIFS(JURNAL!G:G,JURNAL!E:E,C61,JURNAL!C:C,"&gt;="&amp;$H$1,JURNAL!C:C,"&lt;="&amp;$I$1)</f>
        <v>0</v>
      </c>
      <c r="K61" s="11">
        <f>+SUMIFS(JURNAL!H:H,JURNAL!E:E,C61,JURNAL!C:C,"&gt;="&amp;$H$1,JURNAL!C:C,"&lt;="&amp;$I$1)</f>
        <v>0</v>
      </c>
      <c r="L61" s="26">
        <f t="shared" si="2"/>
        <v>0</v>
      </c>
      <c r="M61" s="27">
        <f t="shared" si="0"/>
        <v>0</v>
      </c>
      <c r="N61" s="11"/>
      <c r="O61" s="335"/>
      <c r="P61" s="11"/>
      <c r="Q61" s="11"/>
      <c r="R61" s="26">
        <f t="shared" si="3"/>
        <v>0</v>
      </c>
      <c r="S61" s="27">
        <f t="shared" si="4"/>
        <v>0</v>
      </c>
      <c r="T61" s="11"/>
      <c r="U61" s="11"/>
      <c r="V61" s="26">
        <f t="shared" si="5"/>
        <v>0</v>
      </c>
      <c r="W61" s="27">
        <f t="shared" si="1"/>
        <v>0</v>
      </c>
      <c r="X61" s="4">
        <v>1107</v>
      </c>
      <c r="Y61" s="4"/>
      <c r="Z61" s="4"/>
      <c r="AA61" s="12">
        <f t="shared" si="6"/>
        <v>0</v>
      </c>
      <c r="AC61" s="83"/>
      <c r="AD61" s="83"/>
      <c r="AE61" s="83"/>
      <c r="AF61" s="83"/>
    </row>
    <row r="62" spans="1:32" ht="12.75" customHeight="1">
      <c r="A62" s="24"/>
      <c r="B62" s="108">
        <f t="shared" si="7"/>
        <v>59</v>
      </c>
      <c r="C62" s="6">
        <v>160100</v>
      </c>
      <c r="D62" s="121" t="s">
        <v>954</v>
      </c>
      <c r="E62" s="9" t="s">
        <v>32</v>
      </c>
      <c r="F62" s="6"/>
      <c r="G62" s="6"/>
      <c r="H62" s="11">
        <f>+STAT1!V62</f>
        <v>139252103.07538766</v>
      </c>
      <c r="I62" s="11">
        <f>+STAT1!W62</f>
        <v>0</v>
      </c>
      <c r="J62" s="11">
        <f>+SUMIFS(JURNAL!G:G,JURNAL!E:E,C62,JURNAL!C:C,"&gt;="&amp;$H$1,JURNAL!C:C,"&lt;="&amp;$I$1)</f>
        <v>15094000</v>
      </c>
      <c r="K62" s="11">
        <f>+SUMIFS(JURNAL!H:H,JURNAL!E:E,C62,JURNAL!C:C,"&gt;="&amp;$H$1,JURNAL!C:C,"&lt;="&amp;$I$1)</f>
        <v>0</v>
      </c>
      <c r="L62" s="26">
        <f t="shared" si="2"/>
        <v>154346103.07538766</v>
      </c>
      <c r="M62" s="27">
        <f t="shared" si="0"/>
        <v>0</v>
      </c>
      <c r="N62" s="11"/>
      <c r="O62" s="335"/>
      <c r="P62" s="11"/>
      <c r="Q62" s="11"/>
      <c r="R62" s="26">
        <f t="shared" si="3"/>
        <v>154346103.07538766</v>
      </c>
      <c r="S62" s="27">
        <f t="shared" si="4"/>
        <v>0</v>
      </c>
      <c r="T62" s="11"/>
      <c r="U62" s="11"/>
      <c r="V62" s="26">
        <f t="shared" si="5"/>
        <v>154346103.07538766</v>
      </c>
      <c r="W62" s="27">
        <f t="shared" si="1"/>
        <v>0</v>
      </c>
      <c r="X62" s="4">
        <v>1107</v>
      </c>
      <c r="Y62" s="4"/>
      <c r="Z62" s="4"/>
      <c r="AA62" s="12">
        <f t="shared" si="6"/>
        <v>1</v>
      </c>
      <c r="AC62" s="83"/>
      <c r="AD62" s="83"/>
      <c r="AE62" s="83"/>
      <c r="AF62" s="83"/>
    </row>
    <row r="63" spans="1:32" ht="12.75" customHeight="1">
      <c r="A63" s="24"/>
      <c r="B63" s="108">
        <f t="shared" si="7"/>
        <v>60</v>
      </c>
      <c r="C63" s="6">
        <v>160200</v>
      </c>
      <c r="D63" s="121" t="s">
        <v>622</v>
      </c>
      <c r="E63" s="9" t="s">
        <v>32</v>
      </c>
      <c r="F63" s="6"/>
      <c r="G63" s="6"/>
      <c r="H63" s="11">
        <f>+STAT1!V63</f>
        <v>8632006.0899999999</v>
      </c>
      <c r="I63" s="11">
        <f>+STAT1!W63</f>
        <v>0</v>
      </c>
      <c r="J63" s="11">
        <f>+SUMIFS(JURNAL!G:G,JURNAL!E:E,C63,JURNAL!C:C,"&gt;="&amp;$H$1,JURNAL!C:C,"&lt;="&amp;$I$1)</f>
        <v>0</v>
      </c>
      <c r="K63" s="11">
        <f>+SUMIFS(JURNAL!H:H,JURNAL!E:E,C63,JURNAL!C:C,"&gt;="&amp;$H$1,JURNAL!C:C,"&lt;="&amp;$I$1)</f>
        <v>0</v>
      </c>
      <c r="L63" s="26">
        <f t="shared" si="2"/>
        <v>8632006.0899999999</v>
      </c>
      <c r="M63" s="27">
        <f t="shared" si="0"/>
        <v>0</v>
      </c>
      <c r="N63" s="11"/>
      <c r="O63" s="335"/>
      <c r="P63" s="11"/>
      <c r="Q63" s="11"/>
      <c r="R63" s="26">
        <f t="shared" si="3"/>
        <v>8632006.0899999999</v>
      </c>
      <c r="S63" s="27">
        <f t="shared" si="4"/>
        <v>0</v>
      </c>
      <c r="T63" s="11"/>
      <c r="U63" s="11"/>
      <c r="V63" s="26">
        <f t="shared" si="5"/>
        <v>8632006.0899999999</v>
      </c>
      <c r="W63" s="27">
        <f t="shared" si="1"/>
        <v>0</v>
      </c>
      <c r="X63" s="4">
        <v>1107</v>
      </c>
      <c r="Y63" s="4"/>
      <c r="Z63" s="4"/>
      <c r="AA63" s="12">
        <f t="shared" si="6"/>
        <v>1</v>
      </c>
      <c r="AC63" s="83"/>
      <c r="AD63" s="83"/>
      <c r="AE63" s="83"/>
      <c r="AF63" s="83"/>
    </row>
    <row r="64" spans="1:32" ht="12.75" customHeight="1">
      <c r="A64" s="24"/>
      <c r="B64" s="108">
        <f t="shared" si="7"/>
        <v>61</v>
      </c>
      <c r="C64" s="6">
        <v>160201</v>
      </c>
      <c r="D64" s="121" t="s">
        <v>1566</v>
      </c>
      <c r="E64" s="9" t="s">
        <v>32</v>
      </c>
      <c r="F64" s="6"/>
      <c r="G64" s="6"/>
      <c r="H64" s="11">
        <f>+STAT1!V64</f>
        <v>375918.57</v>
      </c>
      <c r="I64" s="11">
        <f>+STAT1!W64</f>
        <v>0</v>
      </c>
      <c r="J64" s="11">
        <f>+SUMIFS(JURNAL!G:G,JURNAL!E:E,C64,JURNAL!C:C,"&gt;="&amp;$H$1,JURNAL!C:C,"&lt;="&amp;$I$1)</f>
        <v>0</v>
      </c>
      <c r="K64" s="11">
        <f>+SUMIFS(JURNAL!H:H,JURNAL!E:E,C64,JURNAL!C:C,"&gt;="&amp;$H$1,JURNAL!C:C,"&lt;="&amp;$I$1)</f>
        <v>0</v>
      </c>
      <c r="L64" s="26">
        <f t="shared" si="2"/>
        <v>375918.57</v>
      </c>
      <c r="M64" s="27">
        <f t="shared" si="0"/>
        <v>0</v>
      </c>
      <c r="N64" s="11"/>
      <c r="O64" s="335"/>
      <c r="P64" s="11"/>
      <c r="Q64" s="11"/>
      <c r="R64" s="26">
        <f t="shared" si="3"/>
        <v>375918.57</v>
      </c>
      <c r="S64" s="27">
        <f t="shared" si="4"/>
        <v>0</v>
      </c>
      <c r="T64" s="11"/>
      <c r="U64" s="11"/>
      <c r="V64" s="26">
        <f t="shared" si="5"/>
        <v>375918.57</v>
      </c>
      <c r="W64" s="27">
        <f t="shared" si="1"/>
        <v>0</v>
      </c>
      <c r="X64" s="4">
        <v>1107</v>
      </c>
      <c r="Y64" s="4"/>
      <c r="Z64" s="4"/>
      <c r="AA64" s="12">
        <f t="shared" si="6"/>
        <v>1</v>
      </c>
      <c r="AC64" s="83"/>
      <c r="AD64" s="83"/>
      <c r="AE64" s="83"/>
      <c r="AF64" s="83"/>
    </row>
    <row r="65" spans="1:32" ht="12.75" customHeight="1">
      <c r="A65" s="24"/>
      <c r="B65" s="108">
        <f t="shared" si="7"/>
        <v>62</v>
      </c>
      <c r="C65" s="6">
        <v>160300</v>
      </c>
      <c r="D65" s="121" t="s">
        <v>955</v>
      </c>
      <c r="E65" s="9" t="s">
        <v>32</v>
      </c>
      <c r="F65" s="6"/>
      <c r="G65" s="6"/>
      <c r="H65" s="11">
        <f>+STAT1!V65</f>
        <v>0</v>
      </c>
      <c r="I65" s="11">
        <f>+STAT1!W65</f>
        <v>0</v>
      </c>
      <c r="J65" s="11">
        <f>+SUMIFS(JURNAL!G:G,JURNAL!E:E,C65,JURNAL!C:C,"&gt;="&amp;$H$1,JURNAL!C:C,"&lt;="&amp;$I$1)</f>
        <v>0</v>
      </c>
      <c r="K65" s="11">
        <f>+SUMIFS(JURNAL!H:H,JURNAL!E:E,C65,JURNAL!C:C,"&gt;="&amp;$H$1,JURNAL!C:C,"&lt;="&amp;$I$1)</f>
        <v>0</v>
      </c>
      <c r="L65" s="26">
        <f t="shared" si="2"/>
        <v>0</v>
      </c>
      <c r="M65" s="27">
        <f t="shared" si="0"/>
        <v>0</v>
      </c>
      <c r="N65" s="11"/>
      <c r="O65" s="335"/>
      <c r="P65" s="11"/>
      <c r="Q65" s="11"/>
      <c r="R65" s="26">
        <f t="shared" si="3"/>
        <v>0</v>
      </c>
      <c r="S65" s="27">
        <f t="shared" si="4"/>
        <v>0</v>
      </c>
      <c r="T65" s="11"/>
      <c r="U65" s="11"/>
      <c r="V65" s="26">
        <f t="shared" si="5"/>
        <v>0</v>
      </c>
      <c r="W65" s="27">
        <f t="shared" si="1"/>
        <v>0</v>
      </c>
      <c r="X65" s="4">
        <v>1107</v>
      </c>
      <c r="Y65" s="4"/>
      <c r="Z65" s="4"/>
      <c r="AA65" s="12">
        <f t="shared" si="6"/>
        <v>0</v>
      </c>
      <c r="AC65" s="83"/>
      <c r="AD65" s="83"/>
      <c r="AE65" s="83"/>
      <c r="AF65" s="83"/>
    </row>
    <row r="66" spans="1:32" ht="12.75" customHeight="1">
      <c r="A66" s="24"/>
      <c r="B66" s="108">
        <f t="shared" si="7"/>
        <v>63</v>
      </c>
      <c r="C66" s="6">
        <v>150500</v>
      </c>
      <c r="D66" s="121" t="s">
        <v>625</v>
      </c>
      <c r="E66" s="9" t="s">
        <v>32</v>
      </c>
      <c r="F66" s="6"/>
      <c r="G66" s="6"/>
      <c r="H66" s="11">
        <f>+STAT1!V66</f>
        <v>0</v>
      </c>
      <c r="I66" s="11">
        <f>+STAT1!W66</f>
        <v>0</v>
      </c>
      <c r="J66" s="11">
        <f>+SUMIFS(JURNAL!G:G,JURNAL!E:E,C66,JURNAL!C:C,"&gt;="&amp;$H$1,JURNAL!C:C,"&lt;="&amp;$I$1)</f>
        <v>0</v>
      </c>
      <c r="K66" s="11">
        <f>+SUMIFS(JURNAL!H:H,JURNAL!E:E,C66,JURNAL!C:C,"&gt;="&amp;$H$1,JURNAL!C:C,"&lt;="&amp;$I$1)</f>
        <v>0</v>
      </c>
      <c r="L66" s="26">
        <f t="shared" si="2"/>
        <v>0</v>
      </c>
      <c r="M66" s="27">
        <f t="shared" si="0"/>
        <v>0</v>
      </c>
      <c r="N66" s="11"/>
      <c r="O66" s="335"/>
      <c r="P66" s="11"/>
      <c r="Q66" s="11"/>
      <c r="R66" s="26">
        <f t="shared" si="3"/>
        <v>0</v>
      </c>
      <c r="S66" s="27">
        <f t="shared" si="4"/>
        <v>0</v>
      </c>
      <c r="T66" s="11"/>
      <c r="U66" s="11"/>
      <c r="V66" s="26">
        <f t="shared" si="5"/>
        <v>0</v>
      </c>
      <c r="W66" s="27">
        <f t="shared" si="1"/>
        <v>0</v>
      </c>
      <c r="X66" s="4">
        <v>1107</v>
      </c>
      <c r="Y66" s="4"/>
      <c r="Z66" s="4"/>
      <c r="AA66" s="12">
        <f t="shared" si="6"/>
        <v>0</v>
      </c>
      <c r="AC66" s="83"/>
      <c r="AD66" s="83"/>
      <c r="AE66" s="83"/>
      <c r="AF66" s="83"/>
    </row>
    <row r="67" spans="1:32" ht="12.75" customHeight="1">
      <c r="A67" s="24"/>
      <c r="B67" s="108">
        <f t="shared" si="7"/>
        <v>64</v>
      </c>
      <c r="C67" s="6">
        <v>150800</v>
      </c>
      <c r="D67" s="121" t="s">
        <v>631</v>
      </c>
      <c r="E67" s="9" t="s">
        <v>32</v>
      </c>
      <c r="F67" s="6"/>
      <c r="G67" s="6"/>
      <c r="H67" s="11">
        <f>+STAT1!V67</f>
        <v>0</v>
      </c>
      <c r="I67" s="11">
        <f>+STAT1!W67</f>
        <v>0</v>
      </c>
      <c r="J67" s="11">
        <f>+SUMIFS(JURNAL!G:G,JURNAL!E:E,C67,JURNAL!C:C,"&gt;="&amp;$H$1,JURNAL!C:C,"&lt;="&amp;$I$1)</f>
        <v>0</v>
      </c>
      <c r="K67" s="11">
        <f>+SUMIFS(JURNAL!H:H,JURNAL!E:E,C67,JURNAL!C:C,"&gt;="&amp;$H$1,JURNAL!C:C,"&lt;="&amp;$I$1)</f>
        <v>0</v>
      </c>
      <c r="L67" s="26">
        <f t="shared" si="2"/>
        <v>0</v>
      </c>
      <c r="M67" s="27">
        <f t="shared" si="0"/>
        <v>0</v>
      </c>
      <c r="N67" s="11"/>
      <c r="O67" s="335"/>
      <c r="P67" s="11"/>
      <c r="Q67" s="11"/>
      <c r="R67" s="26">
        <f t="shared" si="3"/>
        <v>0</v>
      </c>
      <c r="S67" s="27">
        <f t="shared" si="4"/>
        <v>0</v>
      </c>
      <c r="T67" s="11"/>
      <c r="U67" s="11"/>
      <c r="V67" s="26">
        <f t="shared" si="5"/>
        <v>0</v>
      </c>
      <c r="W67" s="27">
        <f t="shared" si="1"/>
        <v>0</v>
      </c>
      <c r="X67" s="4">
        <v>1109</v>
      </c>
      <c r="Y67" s="4"/>
      <c r="Z67" s="4"/>
      <c r="AA67" s="12">
        <f t="shared" si="6"/>
        <v>0</v>
      </c>
      <c r="AC67" s="83"/>
      <c r="AD67" s="83"/>
      <c r="AE67" s="83"/>
      <c r="AF67" s="83"/>
    </row>
    <row r="68" spans="1:32" ht="12.75" customHeight="1">
      <c r="A68" s="24"/>
      <c r="B68" s="108">
        <f t="shared" si="7"/>
        <v>65</v>
      </c>
      <c r="C68" s="6">
        <v>150900</v>
      </c>
      <c r="D68" s="121" t="s">
        <v>637</v>
      </c>
      <c r="E68" s="9" t="s">
        <v>32</v>
      </c>
      <c r="F68" s="6"/>
      <c r="G68" s="6"/>
      <c r="H68" s="11">
        <f>+STAT1!V68</f>
        <v>0</v>
      </c>
      <c r="I68" s="11">
        <f>+STAT1!W68</f>
        <v>0</v>
      </c>
      <c r="J68" s="11">
        <f>+SUMIFS(JURNAL!G:G,JURNAL!E:E,C68,JURNAL!C:C,"&gt;="&amp;$H$1,JURNAL!C:C,"&lt;="&amp;$I$1)</f>
        <v>0</v>
      </c>
      <c r="K68" s="11">
        <f>+SUMIFS(JURNAL!H:H,JURNAL!E:E,C68,JURNAL!C:C,"&gt;="&amp;$H$1,JURNAL!C:C,"&lt;="&amp;$I$1)</f>
        <v>0</v>
      </c>
      <c r="L68" s="26">
        <f t="shared" si="2"/>
        <v>0</v>
      </c>
      <c r="M68" s="27">
        <f t="shared" ref="M68:M131" si="9">+IF((H68+J68)&lt;(I68+K68),(I68+K68)-(H68+J68),0)</f>
        <v>0</v>
      </c>
      <c r="N68" s="11"/>
      <c r="O68" s="335"/>
      <c r="P68" s="11"/>
      <c r="Q68" s="11"/>
      <c r="R68" s="26">
        <f t="shared" si="3"/>
        <v>0</v>
      </c>
      <c r="S68" s="27">
        <f t="shared" si="4"/>
        <v>0</v>
      </c>
      <c r="T68" s="11"/>
      <c r="U68" s="11"/>
      <c r="V68" s="26">
        <f t="shared" si="5"/>
        <v>0</v>
      </c>
      <c r="W68" s="27">
        <f t="shared" ref="W68:W131" si="10">+IF((R68+T68)&lt;(S68+U68),(S68+U68)-(R68+T68),0)</f>
        <v>0</v>
      </c>
      <c r="X68" s="4">
        <v>1110</v>
      </c>
      <c r="Y68" s="4"/>
      <c r="Z68" s="4"/>
      <c r="AA68" s="12">
        <f t="shared" si="6"/>
        <v>0</v>
      </c>
      <c r="AC68" s="83"/>
      <c r="AD68" s="83"/>
      <c r="AE68" s="83"/>
      <c r="AF68" s="83"/>
    </row>
    <row r="69" spans="1:32" ht="12.75" customHeight="1">
      <c r="A69" s="24"/>
      <c r="B69" s="108">
        <f t="shared" si="7"/>
        <v>66</v>
      </c>
      <c r="C69" s="6">
        <v>180100</v>
      </c>
      <c r="D69" s="121" t="s">
        <v>642</v>
      </c>
      <c r="E69" s="9" t="s">
        <v>32</v>
      </c>
      <c r="F69" s="6"/>
      <c r="G69" s="6"/>
      <c r="H69" s="11">
        <f>+STAT1!V69</f>
        <v>50000000</v>
      </c>
      <c r="I69" s="11">
        <f>+STAT1!W69</f>
        <v>0</v>
      </c>
      <c r="J69" s="11">
        <f>+SUMIFS(JURNAL!G:G,JURNAL!E:E,C69,JURNAL!C:C,"&gt;="&amp;$H$1,JURNAL!C:C,"&lt;="&amp;$I$1)</f>
        <v>0</v>
      </c>
      <c r="K69" s="11">
        <f>+SUMIFS(JURNAL!H:H,JURNAL!E:E,C69,JURNAL!C:C,"&gt;="&amp;$H$1,JURNAL!C:C,"&lt;="&amp;$I$1)</f>
        <v>0</v>
      </c>
      <c r="L69" s="26">
        <f t="shared" ref="L69:L132" si="11">+IF((H69+J69)&gt;(I69+K69),(H69+J69)-(I69+K69),0)</f>
        <v>50000000</v>
      </c>
      <c r="M69" s="27">
        <f t="shared" si="9"/>
        <v>0</v>
      </c>
      <c r="N69" s="11"/>
      <c r="O69" s="335"/>
      <c r="P69" s="11"/>
      <c r="Q69" s="11"/>
      <c r="R69" s="26">
        <f t="shared" ref="R69:R132" si="12">+IF((L69+N69)&gt;(M69+O69),(L69+N69)-(M69+O69),0)</f>
        <v>50000000</v>
      </c>
      <c r="S69" s="27">
        <f t="shared" ref="S69:S132" si="13">+IF((L69+N69)&lt;(M69+O69),(M69+O69)-(L69+N69),0)</f>
        <v>0</v>
      </c>
      <c r="T69" s="11"/>
      <c r="U69" s="11"/>
      <c r="V69" s="26">
        <f t="shared" ref="V69:V132" si="14">+IF((R69+T69)&gt;(S69+U69),(R69+T69)-(S69+U69),0)</f>
        <v>50000000</v>
      </c>
      <c r="W69" s="27">
        <f t="shared" si="10"/>
        <v>0</v>
      </c>
      <c r="X69" s="4">
        <v>1108</v>
      </c>
      <c r="Y69" s="4"/>
      <c r="Z69" s="4"/>
      <c r="AA69" s="12">
        <f t="shared" ref="AA69:AA132" si="15">+IF(H69+I69+J69+K69+L69+M69+N69+O69+R69+S69+T69+U69+V69+W69,1,0)</f>
        <v>1</v>
      </c>
      <c r="AC69" s="83"/>
      <c r="AD69" s="83"/>
      <c r="AE69" s="83"/>
      <c r="AF69" s="83"/>
    </row>
    <row r="70" spans="1:32" ht="12.75" customHeight="1">
      <c r="A70" s="24"/>
      <c r="B70" s="108">
        <f t="shared" ref="B70:B133" si="16">+B69+1</f>
        <v>67</v>
      </c>
      <c r="C70" s="6">
        <v>180101</v>
      </c>
      <c r="D70" s="121" t="s">
        <v>956</v>
      </c>
      <c r="E70" s="9" t="s">
        <v>30</v>
      </c>
      <c r="F70" s="6"/>
      <c r="G70" s="6"/>
      <c r="H70" s="11">
        <f>+STAT1!V70</f>
        <v>0</v>
      </c>
      <c r="I70" s="11">
        <f>+STAT1!W70</f>
        <v>0</v>
      </c>
      <c r="J70" s="11">
        <f>+SUMIFS(JURNAL!G:G,JURNAL!E:E,C70,JURNAL!C:C,"&gt;="&amp;$H$1,JURNAL!C:C,"&lt;="&amp;$I$1)</f>
        <v>0</v>
      </c>
      <c r="K70" s="11">
        <f>+SUMIFS(JURNAL!H:H,JURNAL!E:E,C70,JURNAL!C:C,"&gt;="&amp;$H$1,JURNAL!C:C,"&lt;="&amp;$I$1)</f>
        <v>0</v>
      </c>
      <c r="L70" s="26">
        <f t="shared" si="11"/>
        <v>0</v>
      </c>
      <c r="M70" s="27">
        <f t="shared" si="9"/>
        <v>0</v>
      </c>
      <c r="N70" s="11"/>
      <c r="O70" s="335"/>
      <c r="P70" s="11"/>
      <c r="Q70" s="11"/>
      <c r="R70" s="26">
        <f t="shared" si="12"/>
        <v>0</v>
      </c>
      <c r="S70" s="27">
        <f t="shared" si="13"/>
        <v>0</v>
      </c>
      <c r="T70" s="11"/>
      <c r="U70" s="11"/>
      <c r="V70" s="26">
        <f t="shared" si="14"/>
        <v>0</v>
      </c>
      <c r="W70" s="27">
        <f t="shared" si="10"/>
        <v>0</v>
      </c>
      <c r="X70" s="4">
        <v>1108</v>
      </c>
      <c r="Y70" s="4"/>
      <c r="Z70" s="4"/>
      <c r="AA70" s="12">
        <f t="shared" si="15"/>
        <v>0</v>
      </c>
      <c r="AC70" s="83"/>
      <c r="AD70" s="83"/>
      <c r="AE70" s="83"/>
      <c r="AF70" s="83"/>
    </row>
    <row r="71" spans="1:32" ht="12.75" customHeight="1">
      <c r="A71" s="24"/>
      <c r="B71" s="108">
        <f t="shared" si="16"/>
        <v>68</v>
      </c>
      <c r="C71" s="6">
        <v>180200</v>
      </c>
      <c r="D71" s="121" t="s">
        <v>970</v>
      </c>
      <c r="E71" s="9" t="s">
        <v>32</v>
      </c>
      <c r="F71" s="6"/>
      <c r="G71" s="6"/>
      <c r="H71" s="11">
        <f>+STAT1!V71</f>
        <v>9090909.0899999999</v>
      </c>
      <c r="I71" s="11">
        <f>+STAT1!W71</f>
        <v>0</v>
      </c>
      <c r="J71" s="11">
        <f>+SUMIFS(JURNAL!G:G,JURNAL!E:E,C71,JURNAL!C:C,"&gt;="&amp;$H$1,JURNAL!C:C,"&lt;="&amp;$I$1)</f>
        <v>40127272.730000004</v>
      </c>
      <c r="K71" s="11">
        <f>+SUMIFS(JURNAL!H:H,JURNAL!E:E,C71,JURNAL!C:C,"&gt;="&amp;$H$1,JURNAL!C:C,"&lt;="&amp;$I$1)</f>
        <v>1818181.82</v>
      </c>
      <c r="L71" s="26">
        <f t="shared" si="11"/>
        <v>47400000.000000007</v>
      </c>
      <c r="M71" s="27">
        <f t="shared" si="9"/>
        <v>0</v>
      </c>
      <c r="N71" s="11"/>
      <c r="O71" s="335"/>
      <c r="P71" s="11"/>
      <c r="Q71" s="11"/>
      <c r="R71" s="26">
        <f t="shared" si="12"/>
        <v>47400000.000000007</v>
      </c>
      <c r="S71" s="27">
        <f t="shared" si="13"/>
        <v>0</v>
      </c>
      <c r="T71" s="11"/>
      <c r="U71" s="11"/>
      <c r="V71" s="26">
        <f t="shared" si="14"/>
        <v>47400000.000000007</v>
      </c>
      <c r="W71" s="27">
        <f t="shared" si="10"/>
        <v>0</v>
      </c>
      <c r="X71" s="4">
        <v>1108</v>
      </c>
      <c r="Y71" s="4"/>
      <c r="Z71" s="4"/>
      <c r="AA71" s="12">
        <f t="shared" si="15"/>
        <v>1</v>
      </c>
      <c r="AC71" s="83"/>
      <c r="AD71" s="83"/>
      <c r="AE71" s="83"/>
      <c r="AF71" s="83"/>
    </row>
    <row r="72" spans="1:32" ht="12.75" customHeight="1">
      <c r="A72" s="24"/>
      <c r="B72" s="108">
        <f t="shared" si="16"/>
        <v>69</v>
      </c>
      <c r="C72" s="6">
        <v>180300</v>
      </c>
      <c r="D72" s="121" t="s">
        <v>957</v>
      </c>
      <c r="E72" s="9" t="s">
        <v>30</v>
      </c>
      <c r="F72" s="6"/>
      <c r="G72" s="6"/>
      <c r="H72" s="11">
        <f>+STAT1!V72</f>
        <v>0</v>
      </c>
      <c r="I72" s="11">
        <f>+STAT1!W72</f>
        <v>0</v>
      </c>
      <c r="J72" s="11">
        <f>+SUMIFS(JURNAL!G:G,JURNAL!E:E,C72,JURNAL!C:C,"&gt;="&amp;$H$1,JURNAL!C:C,"&lt;="&amp;$I$1)</f>
        <v>0</v>
      </c>
      <c r="K72" s="11">
        <f>+SUMIFS(JURNAL!H:H,JURNAL!E:E,C72,JURNAL!C:C,"&gt;="&amp;$H$1,JURNAL!C:C,"&lt;="&amp;$I$1)</f>
        <v>0</v>
      </c>
      <c r="L72" s="26">
        <f t="shared" si="11"/>
        <v>0</v>
      </c>
      <c r="M72" s="27">
        <f t="shared" si="9"/>
        <v>0</v>
      </c>
      <c r="N72" s="11"/>
      <c r="O72" s="335"/>
      <c r="P72" s="11"/>
      <c r="Q72" s="11"/>
      <c r="R72" s="26">
        <f t="shared" si="12"/>
        <v>0</v>
      </c>
      <c r="S72" s="27">
        <f t="shared" si="13"/>
        <v>0</v>
      </c>
      <c r="T72" s="11"/>
      <c r="U72" s="11"/>
      <c r="V72" s="26">
        <f t="shared" si="14"/>
        <v>0</v>
      </c>
      <c r="W72" s="27">
        <f t="shared" si="10"/>
        <v>0</v>
      </c>
      <c r="X72" s="4">
        <v>1108</v>
      </c>
      <c r="Y72" s="4"/>
      <c r="Z72" s="4"/>
      <c r="AA72" s="12">
        <f t="shared" si="15"/>
        <v>0</v>
      </c>
      <c r="AC72" s="83"/>
      <c r="AD72" s="83"/>
      <c r="AE72" s="83"/>
      <c r="AF72" s="83"/>
    </row>
    <row r="73" spans="1:32" ht="12.75" customHeight="1">
      <c r="A73" s="24"/>
      <c r="B73" s="108">
        <f t="shared" si="16"/>
        <v>70</v>
      </c>
      <c r="C73" s="6">
        <v>180400</v>
      </c>
      <c r="D73" s="121" t="s">
        <v>650</v>
      </c>
      <c r="E73" s="9" t="s">
        <v>32</v>
      </c>
      <c r="F73" s="6"/>
      <c r="G73" s="6"/>
      <c r="H73" s="11">
        <f>+STAT1!V73</f>
        <v>0</v>
      </c>
      <c r="I73" s="11">
        <f>+STAT1!W73</f>
        <v>0</v>
      </c>
      <c r="J73" s="11">
        <f>+SUMIFS(JURNAL!G:G,JURNAL!E:E,C73,JURNAL!C:C,"&gt;="&amp;$H$1,JURNAL!C:C,"&lt;="&amp;$I$1)</f>
        <v>0</v>
      </c>
      <c r="K73" s="11">
        <f>+SUMIFS(JURNAL!H:H,JURNAL!E:E,C73,JURNAL!C:C,"&gt;="&amp;$H$1,JURNAL!C:C,"&lt;="&amp;$I$1)</f>
        <v>0</v>
      </c>
      <c r="L73" s="26">
        <f t="shared" si="11"/>
        <v>0</v>
      </c>
      <c r="M73" s="27">
        <f t="shared" si="9"/>
        <v>0</v>
      </c>
      <c r="N73" s="11"/>
      <c r="O73" s="335"/>
      <c r="P73" s="11"/>
      <c r="Q73" s="11"/>
      <c r="R73" s="26">
        <f t="shared" si="12"/>
        <v>0</v>
      </c>
      <c r="S73" s="27">
        <f t="shared" si="13"/>
        <v>0</v>
      </c>
      <c r="T73" s="11"/>
      <c r="U73" s="11"/>
      <c r="V73" s="26">
        <f t="shared" si="14"/>
        <v>0</v>
      </c>
      <c r="W73" s="27">
        <f t="shared" si="10"/>
        <v>0</v>
      </c>
      <c r="X73" s="4">
        <v>1108</v>
      </c>
      <c r="Y73" s="4"/>
      <c r="Z73" s="4"/>
      <c r="AA73" s="12">
        <f t="shared" si="15"/>
        <v>0</v>
      </c>
      <c r="AC73" s="83"/>
      <c r="AD73" s="83"/>
      <c r="AE73" s="83"/>
      <c r="AF73" s="83"/>
    </row>
    <row r="74" spans="1:32" ht="12.75" customHeight="1">
      <c r="A74" s="24"/>
      <c r="B74" s="108">
        <f t="shared" si="16"/>
        <v>71</v>
      </c>
      <c r="C74" s="6">
        <v>200100</v>
      </c>
      <c r="D74" s="121" t="s">
        <v>992</v>
      </c>
      <c r="E74" s="9" t="s">
        <v>32</v>
      </c>
      <c r="F74" s="6"/>
      <c r="G74" s="6"/>
      <c r="H74" s="11">
        <f>+STAT1!V74</f>
        <v>0</v>
      </c>
      <c r="I74" s="11">
        <f>+STAT1!W74</f>
        <v>0</v>
      </c>
      <c r="J74" s="11">
        <f>+SUMIFS(JURNAL!G:G,JURNAL!E:E,C74,JURNAL!C:C,"&gt;="&amp;$H$1,JURNAL!C:C,"&lt;="&amp;$I$1)</f>
        <v>0</v>
      </c>
      <c r="K74" s="11">
        <f>+SUMIFS(JURNAL!H:H,JURNAL!E:E,C74,JURNAL!C:C,"&gt;="&amp;$H$1,JURNAL!C:C,"&lt;="&amp;$I$1)</f>
        <v>0</v>
      </c>
      <c r="L74" s="26">
        <f t="shared" si="11"/>
        <v>0</v>
      </c>
      <c r="M74" s="27">
        <f t="shared" si="9"/>
        <v>0</v>
      </c>
      <c r="N74" s="11"/>
      <c r="O74" s="335"/>
      <c r="P74" s="11"/>
      <c r="Q74" s="11"/>
      <c r="R74" s="26">
        <f t="shared" si="12"/>
        <v>0</v>
      </c>
      <c r="S74" s="27">
        <f t="shared" si="13"/>
        <v>0</v>
      </c>
      <c r="T74" s="11"/>
      <c r="U74" s="11"/>
      <c r="V74" s="26">
        <f t="shared" si="14"/>
        <v>0</v>
      </c>
      <c r="W74" s="27">
        <f t="shared" si="10"/>
        <v>0</v>
      </c>
      <c r="X74" s="4">
        <v>1120</v>
      </c>
      <c r="Y74" s="4"/>
      <c r="Z74" s="4"/>
      <c r="AA74" s="12">
        <f t="shared" si="15"/>
        <v>0</v>
      </c>
      <c r="AC74" s="83"/>
      <c r="AD74" s="83"/>
      <c r="AE74" s="83"/>
      <c r="AF74" s="83"/>
    </row>
    <row r="75" spans="1:32" ht="12.75" customHeight="1">
      <c r="A75" s="24"/>
      <c r="B75" s="108">
        <f t="shared" si="16"/>
        <v>72</v>
      </c>
      <c r="C75" s="6">
        <v>200200</v>
      </c>
      <c r="D75" s="121" t="s">
        <v>658</v>
      </c>
      <c r="E75" s="9" t="s">
        <v>32</v>
      </c>
      <c r="F75" s="6"/>
      <c r="G75" s="6"/>
      <c r="H75" s="11">
        <f>+STAT1!V75</f>
        <v>1172805331</v>
      </c>
      <c r="I75" s="11">
        <f>+STAT1!W75</f>
        <v>0</v>
      </c>
      <c r="J75" s="11">
        <f>+SUMIFS(JURNAL!G:G,JURNAL!E:E,C75,JURNAL!C:C,"&gt;="&amp;$H$1,JURNAL!C:C,"&lt;="&amp;$I$1)</f>
        <v>0</v>
      </c>
      <c r="K75" s="11">
        <f>+SUMIFS(JURNAL!H:H,JURNAL!E:E,C75,JURNAL!C:C,"&gt;="&amp;$H$1,JURNAL!C:C,"&lt;="&amp;$I$1)</f>
        <v>0</v>
      </c>
      <c r="L75" s="26">
        <f t="shared" si="11"/>
        <v>1172805331</v>
      </c>
      <c r="M75" s="27">
        <f t="shared" si="9"/>
        <v>0</v>
      </c>
      <c r="N75" s="11"/>
      <c r="O75" s="335"/>
      <c r="P75" s="11"/>
      <c r="Q75" s="11"/>
      <c r="R75" s="26">
        <f t="shared" si="12"/>
        <v>1172805331</v>
      </c>
      <c r="S75" s="27">
        <f t="shared" si="13"/>
        <v>0</v>
      </c>
      <c r="T75" s="11"/>
      <c r="U75" s="11"/>
      <c r="V75" s="26">
        <f t="shared" si="14"/>
        <v>1172805331</v>
      </c>
      <c r="W75" s="27">
        <f t="shared" si="10"/>
        <v>0</v>
      </c>
      <c r="X75" s="4">
        <v>1120</v>
      </c>
      <c r="Y75" s="4"/>
      <c r="Z75" s="4"/>
      <c r="AA75" s="12">
        <f t="shared" si="15"/>
        <v>1</v>
      </c>
      <c r="AC75" s="83"/>
      <c r="AD75" s="83"/>
      <c r="AE75" s="83"/>
      <c r="AF75" s="83"/>
    </row>
    <row r="76" spans="1:32" ht="12.75" customHeight="1">
      <c r="A76" s="24"/>
      <c r="B76" s="108">
        <f t="shared" si="16"/>
        <v>73</v>
      </c>
      <c r="C76" s="6">
        <v>200300</v>
      </c>
      <c r="D76" s="121" t="s">
        <v>318</v>
      </c>
      <c r="E76" s="9" t="s">
        <v>32</v>
      </c>
      <c r="F76" s="6"/>
      <c r="G76" s="6"/>
      <c r="H76" s="11">
        <f>+STAT1!V76</f>
        <v>8844705.1799999997</v>
      </c>
      <c r="I76" s="11">
        <f>+STAT1!W76</f>
        <v>0</v>
      </c>
      <c r="J76" s="11">
        <f>+SUMIFS(JURNAL!G:G,JURNAL!E:E,C76,JURNAL!C:C,"&gt;="&amp;$H$1,JURNAL!C:C,"&lt;="&amp;$I$1)</f>
        <v>0</v>
      </c>
      <c r="K76" s="11">
        <f>+SUMIFS(JURNAL!H:H,JURNAL!E:E,C76,JURNAL!C:C,"&gt;="&amp;$H$1,JURNAL!C:C,"&lt;="&amp;$I$1)</f>
        <v>0</v>
      </c>
      <c r="L76" s="26">
        <f t="shared" si="11"/>
        <v>8844705.1799999997</v>
      </c>
      <c r="M76" s="27">
        <f t="shared" si="9"/>
        <v>0</v>
      </c>
      <c r="N76" s="11"/>
      <c r="O76" s="335"/>
      <c r="P76" s="11"/>
      <c r="Q76" s="11"/>
      <c r="R76" s="26">
        <f t="shared" si="12"/>
        <v>8844705.1799999997</v>
      </c>
      <c r="S76" s="27">
        <f t="shared" si="13"/>
        <v>0</v>
      </c>
      <c r="T76" s="11"/>
      <c r="U76" s="11"/>
      <c r="V76" s="26">
        <f t="shared" si="14"/>
        <v>8844705.1799999997</v>
      </c>
      <c r="W76" s="27">
        <f t="shared" si="10"/>
        <v>0</v>
      </c>
      <c r="X76" s="4">
        <v>1120</v>
      </c>
      <c r="Y76" s="4"/>
      <c r="Z76" s="4"/>
      <c r="AA76" s="12">
        <f t="shared" si="15"/>
        <v>1</v>
      </c>
      <c r="AC76" s="83"/>
      <c r="AD76" s="83"/>
      <c r="AE76" s="83"/>
      <c r="AF76" s="83"/>
    </row>
    <row r="77" spans="1:32" ht="12.75" customHeight="1">
      <c r="A77" s="24"/>
      <c r="B77" s="108">
        <f t="shared" si="16"/>
        <v>74</v>
      </c>
      <c r="C77" s="6">
        <v>200400</v>
      </c>
      <c r="D77" s="121" t="s">
        <v>664</v>
      </c>
      <c r="E77" s="9" t="s">
        <v>32</v>
      </c>
      <c r="F77" s="6"/>
      <c r="G77" s="6"/>
      <c r="H77" s="11">
        <f>+STAT1!V77</f>
        <v>709587375.44000006</v>
      </c>
      <c r="I77" s="11">
        <f>+STAT1!W77</f>
        <v>0</v>
      </c>
      <c r="J77" s="11">
        <f>+SUMIFS(JURNAL!G:G,JURNAL!E:E,C77,JURNAL!C:C,"&gt;="&amp;$H$1,JURNAL!C:C,"&lt;="&amp;$I$1)</f>
        <v>0</v>
      </c>
      <c r="K77" s="11">
        <f>+SUMIFS(JURNAL!H:H,JURNAL!E:E,C77,JURNAL!C:C,"&gt;="&amp;$H$1,JURNAL!C:C,"&lt;="&amp;$I$1)</f>
        <v>0</v>
      </c>
      <c r="L77" s="26">
        <f t="shared" si="11"/>
        <v>709587375.44000006</v>
      </c>
      <c r="M77" s="27">
        <f t="shared" si="9"/>
        <v>0</v>
      </c>
      <c r="N77" s="11"/>
      <c r="O77" s="335"/>
      <c r="P77" s="11"/>
      <c r="Q77" s="11"/>
      <c r="R77" s="26">
        <f t="shared" si="12"/>
        <v>709587375.44000006</v>
      </c>
      <c r="S77" s="27">
        <f t="shared" si="13"/>
        <v>0</v>
      </c>
      <c r="T77" s="11"/>
      <c r="U77" s="11"/>
      <c r="V77" s="26">
        <f t="shared" si="14"/>
        <v>709587375.44000006</v>
      </c>
      <c r="W77" s="27">
        <f t="shared" si="10"/>
        <v>0</v>
      </c>
      <c r="X77" s="4">
        <v>1120</v>
      </c>
      <c r="Y77" s="4"/>
      <c r="Z77" s="4"/>
      <c r="AA77" s="12">
        <f t="shared" si="15"/>
        <v>1</v>
      </c>
      <c r="AC77" s="83"/>
      <c r="AD77" s="83"/>
      <c r="AE77" s="83"/>
      <c r="AF77" s="83"/>
    </row>
    <row r="78" spans="1:32" ht="12.75" customHeight="1">
      <c r="A78" s="24"/>
      <c r="B78" s="108">
        <f t="shared" si="16"/>
        <v>75</v>
      </c>
      <c r="C78" s="6">
        <v>200500</v>
      </c>
      <c r="D78" s="121" t="s">
        <v>668</v>
      </c>
      <c r="E78" s="9" t="s">
        <v>32</v>
      </c>
      <c r="F78" s="6"/>
      <c r="G78" s="6"/>
      <c r="H78" s="11">
        <f>+STAT1!V78</f>
        <v>174300000</v>
      </c>
      <c r="I78" s="11">
        <f>+STAT1!W78</f>
        <v>0</v>
      </c>
      <c r="J78" s="11">
        <f>+SUMIFS(JURNAL!G:G,JURNAL!E:E,C78,JURNAL!C:C,"&gt;="&amp;$H$1,JURNAL!C:C,"&lt;="&amp;$I$1)</f>
        <v>0</v>
      </c>
      <c r="K78" s="11">
        <f>+SUMIFS(JURNAL!H:H,JURNAL!E:E,C78,JURNAL!C:C,"&gt;="&amp;$H$1,JURNAL!C:C,"&lt;="&amp;$I$1)</f>
        <v>0</v>
      </c>
      <c r="L78" s="26">
        <f t="shared" si="11"/>
        <v>174300000</v>
      </c>
      <c r="M78" s="27">
        <f t="shared" si="9"/>
        <v>0</v>
      </c>
      <c r="N78" s="11"/>
      <c r="O78" s="335"/>
      <c r="P78" s="11"/>
      <c r="Q78" s="11"/>
      <c r="R78" s="26">
        <f t="shared" si="12"/>
        <v>174300000</v>
      </c>
      <c r="S78" s="27">
        <f t="shared" si="13"/>
        <v>0</v>
      </c>
      <c r="T78" s="11"/>
      <c r="U78" s="11"/>
      <c r="V78" s="26">
        <f t="shared" si="14"/>
        <v>174300000</v>
      </c>
      <c r="W78" s="27">
        <f t="shared" si="10"/>
        <v>0</v>
      </c>
      <c r="X78" s="4">
        <v>1120</v>
      </c>
      <c r="Y78" s="4"/>
      <c r="Z78" s="4"/>
      <c r="AA78" s="12">
        <f t="shared" si="15"/>
        <v>1</v>
      </c>
      <c r="AC78" s="83"/>
      <c r="AD78" s="83"/>
      <c r="AE78" s="83"/>
      <c r="AF78" s="83"/>
    </row>
    <row r="79" spans="1:32" ht="12.75" customHeight="1">
      <c r="A79" s="24"/>
      <c r="B79" s="108">
        <f t="shared" si="16"/>
        <v>76</v>
      </c>
      <c r="C79" s="6">
        <v>201000</v>
      </c>
      <c r="D79" s="121" t="s">
        <v>688</v>
      </c>
      <c r="E79" s="9" t="s">
        <v>32</v>
      </c>
      <c r="F79" s="6"/>
      <c r="G79" s="6"/>
      <c r="H79" s="11">
        <f>+STAT1!V79</f>
        <v>17111038.23</v>
      </c>
      <c r="I79" s="11">
        <f>+STAT1!W79</f>
        <v>0</v>
      </c>
      <c r="J79" s="11">
        <f>+SUMIFS(JURNAL!G:G,JURNAL!E:E,C79,JURNAL!C:C,"&gt;="&amp;$H$1,JURNAL!C:C,"&lt;="&amp;$I$1)</f>
        <v>0</v>
      </c>
      <c r="K79" s="11">
        <f>+SUMIFS(JURNAL!H:H,JURNAL!E:E,C79,JURNAL!C:C,"&gt;="&amp;$H$1,JURNAL!C:C,"&lt;="&amp;$I$1)</f>
        <v>0</v>
      </c>
      <c r="L79" s="26">
        <f t="shared" si="11"/>
        <v>17111038.23</v>
      </c>
      <c r="M79" s="27">
        <f t="shared" si="9"/>
        <v>0</v>
      </c>
      <c r="N79" s="11"/>
      <c r="O79" s="335"/>
      <c r="P79" s="11"/>
      <c r="Q79" s="11"/>
      <c r="R79" s="26">
        <f t="shared" si="12"/>
        <v>17111038.23</v>
      </c>
      <c r="S79" s="27">
        <f t="shared" si="13"/>
        <v>0</v>
      </c>
      <c r="T79" s="11"/>
      <c r="U79" s="11"/>
      <c r="V79" s="26">
        <f t="shared" si="14"/>
        <v>17111038.23</v>
      </c>
      <c r="W79" s="27">
        <f t="shared" si="10"/>
        <v>0</v>
      </c>
      <c r="X79" s="4">
        <v>1120</v>
      </c>
      <c r="Y79" s="4"/>
      <c r="Z79" s="4"/>
      <c r="AA79" s="12">
        <f t="shared" si="15"/>
        <v>1</v>
      </c>
      <c r="AC79" s="83"/>
      <c r="AD79" s="83"/>
      <c r="AE79" s="83"/>
      <c r="AF79" s="83"/>
    </row>
    <row r="80" spans="1:32" ht="12.75" customHeight="1">
      <c r="A80" s="24"/>
      <c r="B80" s="108">
        <f t="shared" si="16"/>
        <v>77</v>
      </c>
      <c r="C80" s="6">
        <v>200201</v>
      </c>
      <c r="D80" s="121" t="s">
        <v>958</v>
      </c>
      <c r="E80" s="9" t="s">
        <v>32</v>
      </c>
      <c r="F80" s="6"/>
      <c r="G80" s="6"/>
      <c r="H80" s="11">
        <f>+STAT1!V80</f>
        <v>0</v>
      </c>
      <c r="I80" s="11">
        <f>+STAT1!W80</f>
        <v>0</v>
      </c>
      <c r="J80" s="11">
        <f>+SUMIFS(JURNAL!G:G,JURNAL!E:E,C80,JURNAL!C:C,"&gt;="&amp;$H$1,JURNAL!C:C,"&lt;="&amp;$I$1)</f>
        <v>0</v>
      </c>
      <c r="K80" s="11">
        <f>+SUMIFS(JURNAL!H:H,JURNAL!E:E,C80,JURNAL!C:C,"&gt;="&amp;$H$1,JURNAL!C:C,"&lt;="&amp;$I$1)</f>
        <v>0</v>
      </c>
      <c r="L80" s="26">
        <f t="shared" si="11"/>
        <v>0</v>
      </c>
      <c r="M80" s="27">
        <f t="shared" si="9"/>
        <v>0</v>
      </c>
      <c r="N80" s="11"/>
      <c r="O80" s="335"/>
      <c r="P80" s="11"/>
      <c r="Q80" s="11"/>
      <c r="R80" s="26">
        <f t="shared" si="12"/>
        <v>0</v>
      </c>
      <c r="S80" s="27">
        <f t="shared" si="13"/>
        <v>0</v>
      </c>
      <c r="T80" s="11"/>
      <c r="U80" s="11"/>
      <c r="V80" s="26">
        <f t="shared" si="14"/>
        <v>0</v>
      </c>
      <c r="W80" s="27">
        <f t="shared" si="10"/>
        <v>0</v>
      </c>
      <c r="X80" s="4">
        <v>1120</v>
      </c>
      <c r="Y80" s="4"/>
      <c r="Z80" s="4"/>
      <c r="AA80" s="12">
        <f t="shared" si="15"/>
        <v>0</v>
      </c>
      <c r="AC80" s="83"/>
      <c r="AD80" s="83"/>
      <c r="AE80" s="83"/>
      <c r="AF80" s="83"/>
    </row>
    <row r="81" spans="1:32" ht="12.75" customHeight="1">
      <c r="A81" s="24"/>
      <c r="B81" s="108">
        <f t="shared" si="16"/>
        <v>78</v>
      </c>
      <c r="C81" s="6">
        <v>200600</v>
      </c>
      <c r="D81" s="121" t="s">
        <v>672</v>
      </c>
      <c r="E81" s="9" t="s">
        <v>32</v>
      </c>
      <c r="F81" s="6"/>
      <c r="G81" s="6"/>
      <c r="H81" s="11">
        <f>+STAT1!V81</f>
        <v>0</v>
      </c>
      <c r="I81" s="11">
        <f>+STAT1!W81</f>
        <v>0</v>
      </c>
      <c r="J81" s="11">
        <f>+SUMIFS(JURNAL!G:G,JURNAL!E:E,C81,JURNAL!C:C,"&gt;="&amp;$H$1,JURNAL!C:C,"&lt;="&amp;$I$1)</f>
        <v>0</v>
      </c>
      <c r="K81" s="11">
        <f>+SUMIFS(JURNAL!H:H,JURNAL!E:E,C81,JURNAL!C:C,"&gt;="&amp;$H$1,JURNAL!C:C,"&lt;="&amp;$I$1)</f>
        <v>0</v>
      </c>
      <c r="L81" s="26">
        <f t="shared" si="11"/>
        <v>0</v>
      </c>
      <c r="M81" s="27">
        <f t="shared" si="9"/>
        <v>0</v>
      </c>
      <c r="N81" s="11"/>
      <c r="O81" s="335"/>
      <c r="P81" s="11"/>
      <c r="Q81" s="11"/>
      <c r="R81" s="26">
        <f t="shared" si="12"/>
        <v>0</v>
      </c>
      <c r="S81" s="27">
        <f t="shared" si="13"/>
        <v>0</v>
      </c>
      <c r="T81" s="11"/>
      <c r="U81" s="11"/>
      <c r="V81" s="26">
        <f t="shared" si="14"/>
        <v>0</v>
      </c>
      <c r="W81" s="27">
        <f t="shared" si="10"/>
        <v>0</v>
      </c>
      <c r="X81" s="4">
        <v>1120</v>
      </c>
      <c r="Y81" s="4"/>
      <c r="Z81" s="4"/>
      <c r="AA81" s="12">
        <f t="shared" si="15"/>
        <v>0</v>
      </c>
      <c r="AC81" s="83"/>
      <c r="AD81" s="83"/>
      <c r="AE81" s="83"/>
      <c r="AF81" s="83"/>
    </row>
    <row r="82" spans="1:32" ht="12.75" customHeight="1">
      <c r="A82" s="24"/>
      <c r="B82" s="108">
        <f t="shared" si="16"/>
        <v>79</v>
      </c>
      <c r="C82" s="6">
        <v>200700</v>
      </c>
      <c r="D82" s="121" t="s">
        <v>971</v>
      </c>
      <c r="E82" s="9" t="s">
        <v>32</v>
      </c>
      <c r="F82" s="6"/>
      <c r="G82" s="6"/>
      <c r="H82" s="11">
        <f>+STAT1!V82</f>
        <v>0</v>
      </c>
      <c r="I82" s="11">
        <f>+STAT1!W82</f>
        <v>0</v>
      </c>
      <c r="J82" s="11">
        <f>+SUMIFS(JURNAL!G:G,JURNAL!E:E,C82,JURNAL!C:C,"&gt;="&amp;$H$1,JURNAL!C:C,"&lt;="&amp;$I$1)</f>
        <v>0</v>
      </c>
      <c r="K82" s="11">
        <f>+SUMIFS(JURNAL!H:H,JURNAL!E:E,C82,JURNAL!C:C,"&gt;="&amp;$H$1,JURNAL!C:C,"&lt;="&amp;$I$1)</f>
        <v>0</v>
      </c>
      <c r="L82" s="26">
        <f t="shared" si="11"/>
        <v>0</v>
      </c>
      <c r="M82" s="27">
        <f t="shared" si="9"/>
        <v>0</v>
      </c>
      <c r="N82" s="11"/>
      <c r="O82" s="335"/>
      <c r="P82" s="11"/>
      <c r="Q82" s="11"/>
      <c r="R82" s="26">
        <f t="shared" si="12"/>
        <v>0</v>
      </c>
      <c r="S82" s="27">
        <f t="shared" si="13"/>
        <v>0</v>
      </c>
      <c r="T82" s="11"/>
      <c r="U82" s="11"/>
      <c r="V82" s="26">
        <f t="shared" si="14"/>
        <v>0</v>
      </c>
      <c r="W82" s="27">
        <f t="shared" si="10"/>
        <v>0</v>
      </c>
      <c r="X82" s="4">
        <v>1128</v>
      </c>
      <c r="Y82" s="4"/>
      <c r="Z82" s="4"/>
      <c r="AA82" s="12">
        <f t="shared" si="15"/>
        <v>0</v>
      </c>
      <c r="AC82" s="83"/>
      <c r="AD82" s="83"/>
      <c r="AE82" s="83"/>
      <c r="AF82" s="83"/>
    </row>
    <row r="83" spans="1:32" ht="12.75" customHeight="1">
      <c r="A83" s="24"/>
      <c r="B83" s="108">
        <f t="shared" si="16"/>
        <v>80</v>
      </c>
      <c r="C83" s="6">
        <v>200800</v>
      </c>
      <c r="D83" s="121" t="s">
        <v>680</v>
      </c>
      <c r="E83" s="9" t="s">
        <v>32</v>
      </c>
      <c r="F83" s="6"/>
      <c r="G83" s="6"/>
      <c r="H83" s="11">
        <f>+STAT1!V83</f>
        <v>0</v>
      </c>
      <c r="I83" s="11">
        <f>+STAT1!W83</f>
        <v>0</v>
      </c>
      <c r="J83" s="11">
        <f>+SUMIFS(JURNAL!G:G,JURNAL!E:E,C83,JURNAL!C:C,"&gt;="&amp;$H$1,JURNAL!C:C,"&lt;="&amp;$I$1)</f>
        <v>0</v>
      </c>
      <c r="K83" s="11">
        <f>+SUMIFS(JURNAL!H:H,JURNAL!E:E,C83,JURNAL!C:C,"&gt;="&amp;$H$1,JURNAL!C:C,"&lt;="&amp;$I$1)</f>
        <v>0</v>
      </c>
      <c r="L83" s="26">
        <f t="shared" si="11"/>
        <v>0</v>
      </c>
      <c r="M83" s="27">
        <f t="shared" si="9"/>
        <v>0</v>
      </c>
      <c r="N83" s="11"/>
      <c r="O83" s="335"/>
      <c r="P83" s="11"/>
      <c r="Q83" s="11"/>
      <c r="R83" s="26">
        <f t="shared" si="12"/>
        <v>0</v>
      </c>
      <c r="S83" s="27">
        <f t="shared" si="13"/>
        <v>0</v>
      </c>
      <c r="T83" s="11"/>
      <c r="U83" s="11"/>
      <c r="V83" s="26">
        <f t="shared" si="14"/>
        <v>0</v>
      </c>
      <c r="W83" s="27">
        <f t="shared" si="10"/>
        <v>0</v>
      </c>
      <c r="X83" s="4">
        <v>1127</v>
      </c>
      <c r="Y83" s="4"/>
      <c r="Z83" s="4"/>
      <c r="AA83" s="12">
        <f t="shared" si="15"/>
        <v>0</v>
      </c>
      <c r="AC83" s="83"/>
      <c r="AD83" s="83"/>
      <c r="AE83" s="83"/>
      <c r="AF83" s="83"/>
    </row>
    <row r="84" spans="1:32" ht="12.75" customHeight="1">
      <c r="A84" s="24"/>
      <c r="B84" s="108">
        <f t="shared" si="16"/>
        <v>81</v>
      </c>
      <c r="C84" s="6">
        <v>200900</v>
      </c>
      <c r="D84" s="121" t="s">
        <v>684</v>
      </c>
      <c r="E84" s="9" t="s">
        <v>32</v>
      </c>
      <c r="F84" s="6"/>
      <c r="G84" s="6"/>
      <c r="H84" s="11">
        <f>+STAT1!V84</f>
        <v>0</v>
      </c>
      <c r="I84" s="11">
        <f>+STAT1!W84</f>
        <v>0</v>
      </c>
      <c r="J84" s="11">
        <f>+SUMIFS(JURNAL!G:G,JURNAL!E:E,C84,JURNAL!C:C,"&gt;="&amp;$H$1,JURNAL!C:C,"&lt;="&amp;$I$1)</f>
        <v>0</v>
      </c>
      <c r="K84" s="11">
        <f>+SUMIFS(JURNAL!H:H,JURNAL!E:E,C84,JURNAL!C:C,"&gt;="&amp;$H$1,JURNAL!C:C,"&lt;="&amp;$I$1)</f>
        <v>0</v>
      </c>
      <c r="L84" s="26">
        <f t="shared" si="11"/>
        <v>0</v>
      </c>
      <c r="M84" s="27">
        <f t="shared" si="9"/>
        <v>0</v>
      </c>
      <c r="N84" s="11"/>
      <c r="O84" s="335"/>
      <c r="P84" s="11"/>
      <c r="Q84" s="11"/>
      <c r="R84" s="26">
        <f t="shared" si="12"/>
        <v>0</v>
      </c>
      <c r="S84" s="27">
        <f t="shared" si="13"/>
        <v>0</v>
      </c>
      <c r="T84" s="11"/>
      <c r="U84" s="11"/>
      <c r="V84" s="26">
        <f t="shared" si="14"/>
        <v>0</v>
      </c>
      <c r="W84" s="27">
        <f t="shared" si="10"/>
        <v>0</v>
      </c>
      <c r="X84" s="4">
        <v>1122</v>
      </c>
      <c r="Y84" s="4"/>
      <c r="Z84" s="4"/>
      <c r="AA84" s="12">
        <f t="shared" si="15"/>
        <v>0</v>
      </c>
      <c r="AB84" s="237"/>
      <c r="AC84" s="83"/>
      <c r="AD84" s="83"/>
      <c r="AE84" s="83"/>
      <c r="AF84" s="83"/>
    </row>
    <row r="85" spans="1:32" ht="12.75" customHeight="1">
      <c r="A85" s="24"/>
      <c r="B85" s="108">
        <f t="shared" si="16"/>
        <v>82</v>
      </c>
      <c r="C85" s="6">
        <v>201200</v>
      </c>
      <c r="D85" s="121" t="s">
        <v>972</v>
      </c>
      <c r="E85" s="9" t="s">
        <v>32</v>
      </c>
      <c r="F85" s="6"/>
      <c r="G85" s="6"/>
      <c r="H85" s="11">
        <f>+STAT1!V85</f>
        <v>0</v>
      </c>
      <c r="I85" s="11">
        <f>+STAT1!W85</f>
        <v>640248542.42999995</v>
      </c>
      <c r="J85" s="11">
        <f>+SUMIFS(JURNAL!G:G,JURNAL!E:E,C85,JURNAL!C:C,"&gt;="&amp;$H$1,JURNAL!C:C,"&lt;="&amp;$I$1)</f>
        <v>0</v>
      </c>
      <c r="K85" s="11">
        <f>+SUMIFS(JURNAL!H:H,JURNAL!E:E,C85,JURNAL!C:C,"&gt;="&amp;$H$1,JURNAL!C:C,"&lt;="&amp;$I$1)</f>
        <v>7330033.3200000003</v>
      </c>
      <c r="L85" s="26">
        <f t="shared" si="11"/>
        <v>0</v>
      </c>
      <c r="M85" s="27">
        <f t="shared" si="9"/>
        <v>647578575.75</v>
      </c>
      <c r="N85" s="11"/>
      <c r="O85" s="335"/>
      <c r="P85" s="11"/>
      <c r="Q85" s="11"/>
      <c r="R85" s="26">
        <f t="shared" si="12"/>
        <v>0</v>
      </c>
      <c r="S85" s="27">
        <f t="shared" si="13"/>
        <v>647578575.75</v>
      </c>
      <c r="T85" s="11"/>
      <c r="U85" s="11"/>
      <c r="V85" s="26">
        <f t="shared" si="14"/>
        <v>0</v>
      </c>
      <c r="W85" s="27">
        <f t="shared" si="10"/>
        <v>647578575.75</v>
      </c>
      <c r="X85" s="4">
        <v>1121</v>
      </c>
      <c r="Y85" s="4"/>
      <c r="Z85" s="4"/>
      <c r="AA85" s="12">
        <f t="shared" si="15"/>
        <v>1</v>
      </c>
      <c r="AB85" s="237"/>
      <c r="AC85" s="83"/>
      <c r="AD85" s="83"/>
      <c r="AE85" s="83"/>
      <c r="AF85" s="83"/>
    </row>
    <row r="86" spans="1:32" ht="12.75" customHeight="1">
      <c r="A86" s="24"/>
      <c r="B86" s="108">
        <f t="shared" si="16"/>
        <v>83</v>
      </c>
      <c r="C86" s="6">
        <v>201300</v>
      </c>
      <c r="D86" s="121" t="s">
        <v>973</v>
      </c>
      <c r="E86" s="9" t="s">
        <v>32</v>
      </c>
      <c r="F86" s="6"/>
      <c r="G86" s="6"/>
      <c r="H86" s="11">
        <f>+STAT1!V86</f>
        <v>0</v>
      </c>
      <c r="I86" s="11">
        <f>+STAT1!W86</f>
        <v>7458108.5999999978</v>
      </c>
      <c r="J86" s="11">
        <f>+SUMIFS(JURNAL!G:G,JURNAL!E:E,C86,JURNAL!C:C,"&gt;="&amp;$H$1,JURNAL!C:C,"&lt;="&amp;$I$1)</f>
        <v>0</v>
      </c>
      <c r="K86" s="11">
        <f>+SUMIFS(JURNAL!H:H,JURNAL!E:E,C86,JURNAL!C:C,"&gt;="&amp;$H$1,JURNAL!C:C,"&lt;="&amp;$I$1)</f>
        <v>73072.72</v>
      </c>
      <c r="L86" s="26">
        <f t="shared" si="11"/>
        <v>0</v>
      </c>
      <c r="M86" s="27">
        <f t="shared" si="9"/>
        <v>7531181.3199999975</v>
      </c>
      <c r="N86" s="11"/>
      <c r="O86" s="335"/>
      <c r="P86" s="11"/>
      <c r="Q86" s="11"/>
      <c r="R86" s="26">
        <f t="shared" si="12"/>
        <v>0</v>
      </c>
      <c r="S86" s="27">
        <f t="shared" si="13"/>
        <v>7531181.3199999975</v>
      </c>
      <c r="T86" s="11"/>
      <c r="U86" s="11"/>
      <c r="V86" s="26">
        <f t="shared" si="14"/>
        <v>0</v>
      </c>
      <c r="W86" s="27">
        <f t="shared" si="10"/>
        <v>7531181.3199999975</v>
      </c>
      <c r="X86" s="4">
        <v>1121</v>
      </c>
      <c r="Y86" s="4"/>
      <c r="Z86" s="4"/>
      <c r="AA86" s="12">
        <f t="shared" si="15"/>
        <v>1</v>
      </c>
      <c r="AC86" s="83"/>
      <c r="AD86" s="83"/>
      <c r="AE86" s="83"/>
      <c r="AF86" s="83"/>
    </row>
    <row r="87" spans="1:32" ht="12.75" customHeight="1">
      <c r="A87" s="24"/>
      <c r="B87" s="108">
        <f t="shared" si="16"/>
        <v>84</v>
      </c>
      <c r="C87" s="6">
        <v>201400</v>
      </c>
      <c r="D87" s="121" t="s">
        <v>974</v>
      </c>
      <c r="E87" s="9" t="s">
        <v>32</v>
      </c>
      <c r="F87" s="6"/>
      <c r="G87" s="6"/>
      <c r="H87" s="11">
        <f>+STAT1!V87</f>
        <v>0</v>
      </c>
      <c r="I87" s="11">
        <f>+STAT1!W87</f>
        <v>523656153.00999987</v>
      </c>
      <c r="J87" s="11">
        <f>+SUMIFS(JURNAL!G:G,JURNAL!E:E,C87,JURNAL!C:C,"&gt;="&amp;$H$1,JURNAL!C:C,"&lt;="&amp;$I$1)</f>
        <v>0</v>
      </c>
      <c r="K87" s="11">
        <f>+SUMIFS(JURNAL!H:H,JURNAL!E:E,C87,JURNAL!C:C,"&gt;="&amp;$H$1,JURNAL!C:C,"&lt;="&amp;$I$1)</f>
        <v>16363915.65</v>
      </c>
      <c r="L87" s="26">
        <f t="shared" si="11"/>
        <v>0</v>
      </c>
      <c r="M87" s="27">
        <f t="shared" si="9"/>
        <v>540020068.65999985</v>
      </c>
      <c r="N87" s="11"/>
      <c r="O87" s="335"/>
      <c r="P87" s="11"/>
      <c r="Q87" s="11"/>
      <c r="R87" s="26">
        <f t="shared" si="12"/>
        <v>0</v>
      </c>
      <c r="S87" s="27">
        <f t="shared" si="13"/>
        <v>540020068.65999985</v>
      </c>
      <c r="T87" s="11"/>
      <c r="U87" s="11"/>
      <c r="V87" s="26">
        <f t="shared" si="14"/>
        <v>0</v>
      </c>
      <c r="W87" s="27">
        <f t="shared" si="10"/>
        <v>540020068.65999985</v>
      </c>
      <c r="X87" s="4">
        <v>1121</v>
      </c>
      <c r="Y87" s="4"/>
      <c r="Z87" s="4"/>
      <c r="AA87" s="12">
        <f t="shared" si="15"/>
        <v>1</v>
      </c>
      <c r="AC87" s="83"/>
      <c r="AD87" s="83"/>
      <c r="AE87" s="83"/>
      <c r="AF87" s="83"/>
    </row>
    <row r="88" spans="1:32" ht="12.75" customHeight="1">
      <c r="A88" s="24"/>
      <c r="B88" s="108">
        <f t="shared" si="16"/>
        <v>85</v>
      </c>
      <c r="C88" s="6">
        <v>201500</v>
      </c>
      <c r="D88" s="121" t="s">
        <v>975</v>
      </c>
      <c r="E88" s="9" t="s">
        <v>32</v>
      </c>
      <c r="F88" s="6"/>
      <c r="G88" s="6"/>
      <c r="H88" s="11">
        <f>+STAT1!V88</f>
        <v>0</v>
      </c>
      <c r="I88" s="11">
        <f>+STAT1!W88</f>
        <v>64005000</v>
      </c>
      <c r="J88" s="11">
        <f>+SUMIFS(JURNAL!G:G,JURNAL!E:E,C88,JURNAL!C:C,"&gt;="&amp;$H$1,JURNAL!C:C,"&lt;="&amp;$I$1)</f>
        <v>0</v>
      </c>
      <c r="K88" s="11">
        <f>+SUMIFS(JURNAL!H:H,JURNAL!E:E,C88,JURNAL!C:C,"&gt;="&amp;$H$1,JURNAL!C:C,"&lt;="&amp;$I$1)</f>
        <v>4245000</v>
      </c>
      <c r="L88" s="26">
        <f t="shared" si="11"/>
        <v>0</v>
      </c>
      <c r="M88" s="27">
        <f t="shared" si="9"/>
        <v>68250000</v>
      </c>
      <c r="N88" s="11"/>
      <c r="O88" s="335"/>
      <c r="P88" s="11"/>
      <c r="Q88" s="11"/>
      <c r="R88" s="26">
        <f t="shared" si="12"/>
        <v>0</v>
      </c>
      <c r="S88" s="27">
        <f t="shared" si="13"/>
        <v>68250000</v>
      </c>
      <c r="T88" s="11"/>
      <c r="U88" s="11"/>
      <c r="V88" s="26">
        <f t="shared" si="14"/>
        <v>0</v>
      </c>
      <c r="W88" s="27">
        <f t="shared" si="10"/>
        <v>68250000</v>
      </c>
      <c r="X88" s="4">
        <v>1121</v>
      </c>
      <c r="Y88" s="4"/>
      <c r="Z88" s="4"/>
      <c r="AA88" s="12">
        <f t="shared" si="15"/>
        <v>1</v>
      </c>
      <c r="AC88" s="83"/>
      <c r="AD88" s="83"/>
      <c r="AE88" s="83"/>
      <c r="AF88" s="83"/>
    </row>
    <row r="89" spans="1:32" ht="12.75" customHeight="1">
      <c r="A89" s="24"/>
      <c r="B89" s="108">
        <f t="shared" si="16"/>
        <v>86</v>
      </c>
      <c r="C89" s="6">
        <v>201600</v>
      </c>
      <c r="D89" s="121" t="s">
        <v>976</v>
      </c>
      <c r="E89" s="9" t="s">
        <v>32</v>
      </c>
      <c r="F89" s="6"/>
      <c r="G89" s="6"/>
      <c r="H89" s="11">
        <f>+STAT1!V89</f>
        <v>0</v>
      </c>
      <c r="I89" s="11">
        <f>+STAT1!W89</f>
        <v>0</v>
      </c>
      <c r="J89" s="11">
        <f>+SUMIFS(JURNAL!G:G,JURNAL!E:E,C89,JURNAL!C:C,"&gt;="&amp;$H$1,JURNAL!C:C,"&lt;="&amp;$I$1)</f>
        <v>0</v>
      </c>
      <c r="K89" s="11">
        <f>+SUMIFS(JURNAL!H:H,JURNAL!E:E,C89,JURNAL!C:C,"&gt;="&amp;$H$1,JURNAL!C:C,"&lt;="&amp;$I$1)</f>
        <v>0</v>
      </c>
      <c r="L89" s="26">
        <f t="shared" si="11"/>
        <v>0</v>
      </c>
      <c r="M89" s="27">
        <f t="shared" si="9"/>
        <v>0</v>
      </c>
      <c r="N89" s="11"/>
      <c r="O89" s="335"/>
      <c r="P89" s="11"/>
      <c r="Q89" s="11"/>
      <c r="R89" s="26">
        <f t="shared" si="12"/>
        <v>0</v>
      </c>
      <c r="S89" s="27">
        <f t="shared" si="13"/>
        <v>0</v>
      </c>
      <c r="T89" s="11"/>
      <c r="U89" s="11"/>
      <c r="V89" s="26">
        <f t="shared" si="14"/>
        <v>0</v>
      </c>
      <c r="W89" s="27">
        <f t="shared" si="10"/>
        <v>0</v>
      </c>
      <c r="X89" s="4">
        <v>1121</v>
      </c>
      <c r="Y89" s="4"/>
      <c r="Z89" s="4"/>
      <c r="AA89" s="12">
        <f t="shared" si="15"/>
        <v>0</v>
      </c>
      <c r="AC89" s="83"/>
      <c r="AD89" s="83"/>
      <c r="AE89" s="83"/>
      <c r="AF89" s="83"/>
    </row>
    <row r="90" spans="1:32" ht="12.75" customHeight="1">
      <c r="A90" s="24"/>
      <c r="B90" s="108">
        <f t="shared" si="16"/>
        <v>87</v>
      </c>
      <c r="C90" s="6">
        <v>201800</v>
      </c>
      <c r="D90" s="121" t="s">
        <v>977</v>
      </c>
      <c r="E90" s="9" t="s">
        <v>32</v>
      </c>
      <c r="F90" s="6"/>
      <c r="G90" s="6"/>
      <c r="H90" s="11">
        <f>+STAT1!V90</f>
        <v>0</v>
      </c>
      <c r="I90" s="11">
        <f>+STAT1!W90</f>
        <v>0</v>
      </c>
      <c r="J90" s="11">
        <f>+SUMIFS(JURNAL!G:G,JURNAL!E:E,C90,JURNAL!C:C,"&gt;="&amp;$H$1,JURNAL!C:C,"&lt;="&amp;$I$1)</f>
        <v>0</v>
      </c>
      <c r="K90" s="11">
        <f>+SUMIFS(JURNAL!H:H,JURNAL!E:E,C90,JURNAL!C:C,"&gt;="&amp;$H$1,JURNAL!C:C,"&lt;="&amp;$I$1)</f>
        <v>0</v>
      </c>
      <c r="L90" s="26">
        <f t="shared" si="11"/>
        <v>0</v>
      </c>
      <c r="M90" s="27">
        <f t="shared" si="9"/>
        <v>0</v>
      </c>
      <c r="N90" s="11"/>
      <c r="O90" s="335"/>
      <c r="P90" s="11"/>
      <c r="Q90" s="11"/>
      <c r="R90" s="26">
        <f t="shared" si="12"/>
        <v>0</v>
      </c>
      <c r="S90" s="27">
        <f t="shared" si="13"/>
        <v>0</v>
      </c>
      <c r="T90" s="11"/>
      <c r="U90" s="11"/>
      <c r="V90" s="26">
        <f t="shared" si="14"/>
        <v>0</v>
      </c>
      <c r="W90" s="27">
        <f t="shared" si="10"/>
        <v>0</v>
      </c>
      <c r="X90" s="4">
        <v>1121</v>
      </c>
      <c r="Y90" s="4"/>
      <c r="Z90" s="4"/>
      <c r="AA90" s="12">
        <f t="shared" si="15"/>
        <v>0</v>
      </c>
      <c r="AC90" s="83"/>
      <c r="AD90" s="83"/>
      <c r="AE90" s="83"/>
      <c r="AF90" s="83"/>
    </row>
    <row r="91" spans="1:32" ht="12.75" customHeight="1">
      <c r="A91" s="24"/>
      <c r="B91" s="108">
        <f t="shared" si="16"/>
        <v>88</v>
      </c>
      <c r="C91" s="6">
        <v>202000</v>
      </c>
      <c r="D91" s="121" t="s">
        <v>978</v>
      </c>
      <c r="E91" s="9" t="s">
        <v>32</v>
      </c>
      <c r="F91" s="6"/>
      <c r="G91" s="6"/>
      <c r="H91" s="11">
        <f>+STAT1!V91</f>
        <v>0</v>
      </c>
      <c r="I91" s="11">
        <f>+STAT1!W91</f>
        <v>17111038.23</v>
      </c>
      <c r="J91" s="11">
        <f>+SUMIFS(JURNAL!G:G,JURNAL!E:E,C91,JURNAL!C:C,"&gt;="&amp;$H$1,JURNAL!C:C,"&lt;="&amp;$I$1)</f>
        <v>0</v>
      </c>
      <c r="K91" s="11">
        <f>+SUMIFS(JURNAL!H:H,JURNAL!E:E,C91,JURNAL!C:C,"&gt;="&amp;$H$1,JURNAL!C:C,"&lt;="&amp;$I$1)</f>
        <v>0</v>
      </c>
      <c r="L91" s="26">
        <f t="shared" si="11"/>
        <v>0</v>
      </c>
      <c r="M91" s="27">
        <f t="shared" si="9"/>
        <v>17111038.23</v>
      </c>
      <c r="N91" s="11"/>
      <c r="O91" s="335"/>
      <c r="P91" s="11"/>
      <c r="Q91" s="11"/>
      <c r="R91" s="26">
        <f t="shared" si="12"/>
        <v>0</v>
      </c>
      <c r="S91" s="27">
        <f t="shared" si="13"/>
        <v>17111038.23</v>
      </c>
      <c r="T91" s="11"/>
      <c r="U91" s="11"/>
      <c r="V91" s="26">
        <f t="shared" si="14"/>
        <v>0</v>
      </c>
      <c r="W91" s="27">
        <f t="shared" si="10"/>
        <v>17111038.23</v>
      </c>
      <c r="X91" s="4">
        <v>1121</v>
      </c>
      <c r="Y91" s="4"/>
      <c r="Z91" s="4"/>
      <c r="AA91" s="12">
        <f t="shared" si="15"/>
        <v>1</v>
      </c>
      <c r="AC91" s="83"/>
      <c r="AD91" s="83"/>
      <c r="AE91" s="83"/>
      <c r="AF91" s="83"/>
    </row>
    <row r="92" spans="1:32" ht="12.75" customHeight="1">
      <c r="A92" s="24"/>
      <c r="B92" s="108">
        <f t="shared" si="16"/>
        <v>89</v>
      </c>
      <c r="C92" s="6">
        <v>210100</v>
      </c>
      <c r="D92" s="121" t="s">
        <v>720</v>
      </c>
      <c r="E92" s="9" t="s">
        <v>32</v>
      </c>
      <c r="F92" s="6"/>
      <c r="G92" s="6"/>
      <c r="H92" s="11">
        <f>+STAT1!V92</f>
        <v>0</v>
      </c>
      <c r="I92" s="11">
        <f>+STAT1!W92</f>
        <v>0</v>
      </c>
      <c r="J92" s="11">
        <f>+SUMIFS(JURNAL!G:G,JURNAL!E:E,C92,JURNAL!C:C,"&gt;="&amp;$H$1,JURNAL!C:C,"&lt;="&amp;$I$1)</f>
        <v>0</v>
      </c>
      <c r="K92" s="11">
        <f>+SUMIFS(JURNAL!H:H,JURNAL!E:E,C92,JURNAL!C:C,"&gt;="&amp;$H$1,JURNAL!C:C,"&lt;="&amp;$I$1)</f>
        <v>0</v>
      </c>
      <c r="L92" s="26">
        <f t="shared" si="11"/>
        <v>0</v>
      </c>
      <c r="M92" s="27">
        <f t="shared" si="9"/>
        <v>0</v>
      </c>
      <c r="N92" s="11"/>
      <c r="O92" s="335"/>
      <c r="P92" s="11"/>
      <c r="Q92" s="11"/>
      <c r="R92" s="26">
        <f t="shared" si="12"/>
        <v>0</v>
      </c>
      <c r="S92" s="27">
        <f t="shared" si="13"/>
        <v>0</v>
      </c>
      <c r="T92" s="11"/>
      <c r="U92" s="11"/>
      <c r="V92" s="26">
        <f t="shared" si="14"/>
        <v>0</v>
      </c>
      <c r="W92" s="27">
        <f t="shared" si="10"/>
        <v>0</v>
      </c>
      <c r="X92" s="4">
        <v>1127</v>
      </c>
      <c r="Y92" s="4"/>
      <c r="Z92" s="4"/>
      <c r="AA92" s="12">
        <f t="shared" si="15"/>
        <v>0</v>
      </c>
      <c r="AC92" s="83"/>
      <c r="AD92" s="83"/>
      <c r="AE92" s="83"/>
      <c r="AF92" s="83"/>
    </row>
    <row r="93" spans="1:32" ht="12.75" customHeight="1">
      <c r="A93" s="24"/>
      <c r="B93" s="108">
        <f t="shared" si="16"/>
        <v>90</v>
      </c>
      <c r="C93" s="6">
        <v>210200</v>
      </c>
      <c r="D93" s="121" t="s">
        <v>724</v>
      </c>
      <c r="E93" s="9" t="s">
        <v>32</v>
      </c>
      <c r="F93" s="6"/>
      <c r="G93" s="6"/>
      <c r="H93" s="11">
        <f>+STAT1!V93</f>
        <v>0</v>
      </c>
      <c r="I93" s="11">
        <f>+STAT1!W93</f>
        <v>0</v>
      </c>
      <c r="J93" s="11">
        <f>+SUMIFS(JURNAL!G:G,JURNAL!E:E,C93,JURNAL!C:C,"&gt;="&amp;$H$1,JURNAL!C:C,"&lt;="&amp;$I$1)</f>
        <v>0</v>
      </c>
      <c r="K93" s="11">
        <f>+SUMIFS(JURNAL!H:H,JURNAL!E:E,C93,JURNAL!C:C,"&gt;="&amp;$H$1,JURNAL!C:C,"&lt;="&amp;$I$1)</f>
        <v>0</v>
      </c>
      <c r="L93" s="26">
        <f t="shared" si="11"/>
        <v>0</v>
      </c>
      <c r="M93" s="27">
        <f t="shared" si="9"/>
        <v>0</v>
      </c>
      <c r="N93" s="11"/>
      <c r="O93" s="335"/>
      <c r="P93" s="11"/>
      <c r="Q93" s="11"/>
      <c r="R93" s="26">
        <f t="shared" si="12"/>
        <v>0</v>
      </c>
      <c r="S93" s="27">
        <f t="shared" si="13"/>
        <v>0</v>
      </c>
      <c r="T93" s="11"/>
      <c r="U93" s="11"/>
      <c r="V93" s="26">
        <f t="shared" si="14"/>
        <v>0</v>
      </c>
      <c r="W93" s="27">
        <f t="shared" si="10"/>
        <v>0</v>
      </c>
      <c r="X93" s="4">
        <v>1127</v>
      </c>
      <c r="Y93" s="4"/>
      <c r="Z93" s="4"/>
      <c r="AA93" s="12">
        <f t="shared" si="15"/>
        <v>0</v>
      </c>
      <c r="AC93" s="83"/>
      <c r="AD93" s="83"/>
      <c r="AE93" s="83"/>
      <c r="AF93" s="83"/>
    </row>
    <row r="94" spans="1:32" ht="12.75" customHeight="1">
      <c r="A94" s="24"/>
      <c r="B94" s="108">
        <f t="shared" si="16"/>
        <v>91</v>
      </c>
      <c r="C94" s="6">
        <v>210300</v>
      </c>
      <c r="D94" s="121" t="s">
        <v>728</v>
      </c>
      <c r="E94" s="9" t="s">
        <v>32</v>
      </c>
      <c r="F94" s="6"/>
      <c r="G94" s="6"/>
      <c r="H94" s="11">
        <f>+STAT1!V94</f>
        <v>0</v>
      </c>
      <c r="I94" s="11">
        <f>+STAT1!W94</f>
        <v>0</v>
      </c>
      <c r="J94" s="11">
        <f>+SUMIFS(JURNAL!G:G,JURNAL!E:E,C94,JURNAL!C:C,"&gt;="&amp;$H$1,JURNAL!C:C,"&lt;="&amp;$I$1)</f>
        <v>0</v>
      </c>
      <c r="K94" s="11">
        <f>+SUMIFS(JURNAL!H:H,JURNAL!E:E,C94,JURNAL!C:C,"&gt;="&amp;$H$1,JURNAL!C:C,"&lt;="&amp;$I$1)</f>
        <v>0</v>
      </c>
      <c r="L94" s="26">
        <f t="shared" si="11"/>
        <v>0</v>
      </c>
      <c r="M94" s="27">
        <f t="shared" si="9"/>
        <v>0</v>
      </c>
      <c r="N94" s="11"/>
      <c r="O94" s="335"/>
      <c r="P94" s="11"/>
      <c r="Q94" s="11"/>
      <c r="R94" s="26">
        <f t="shared" si="12"/>
        <v>0</v>
      </c>
      <c r="S94" s="27">
        <f t="shared" si="13"/>
        <v>0</v>
      </c>
      <c r="T94" s="11"/>
      <c r="U94" s="11"/>
      <c r="V94" s="26">
        <f t="shared" si="14"/>
        <v>0</v>
      </c>
      <c r="W94" s="27">
        <f t="shared" si="10"/>
        <v>0</v>
      </c>
      <c r="X94" s="4">
        <v>1127</v>
      </c>
      <c r="Y94" s="4"/>
      <c r="Z94" s="4"/>
      <c r="AA94" s="12">
        <f t="shared" si="15"/>
        <v>0</v>
      </c>
      <c r="AC94" s="83"/>
      <c r="AD94" s="83"/>
      <c r="AE94" s="83"/>
      <c r="AF94" s="83"/>
    </row>
    <row r="95" spans="1:32" ht="12.75" customHeight="1">
      <c r="A95" s="24"/>
      <c r="B95" s="108">
        <f t="shared" si="16"/>
        <v>92</v>
      </c>
      <c r="C95" s="6">
        <v>210400</v>
      </c>
      <c r="D95" s="121" t="s">
        <v>732</v>
      </c>
      <c r="E95" s="9" t="s">
        <v>32</v>
      </c>
      <c r="F95" s="6"/>
      <c r="G95" s="6"/>
      <c r="H95" s="11">
        <f>+STAT1!V95</f>
        <v>0</v>
      </c>
      <c r="I95" s="11">
        <f>+STAT1!W95</f>
        <v>0</v>
      </c>
      <c r="J95" s="11">
        <f>+SUMIFS(JURNAL!G:G,JURNAL!E:E,C95,JURNAL!C:C,"&gt;="&amp;$H$1,JURNAL!C:C,"&lt;="&amp;$I$1)</f>
        <v>0</v>
      </c>
      <c r="K95" s="11">
        <f>+SUMIFS(JURNAL!H:H,JURNAL!E:E,C95,JURNAL!C:C,"&gt;="&amp;$H$1,JURNAL!C:C,"&lt;="&amp;$I$1)</f>
        <v>0</v>
      </c>
      <c r="L95" s="26">
        <f t="shared" si="11"/>
        <v>0</v>
      </c>
      <c r="M95" s="27">
        <f t="shared" si="9"/>
        <v>0</v>
      </c>
      <c r="N95" s="11"/>
      <c r="O95" s="335"/>
      <c r="P95" s="11"/>
      <c r="Q95" s="11"/>
      <c r="R95" s="26">
        <f t="shared" si="12"/>
        <v>0</v>
      </c>
      <c r="S95" s="27">
        <f t="shared" si="13"/>
        <v>0</v>
      </c>
      <c r="T95" s="11"/>
      <c r="U95" s="11"/>
      <c r="V95" s="26">
        <f t="shared" si="14"/>
        <v>0</v>
      </c>
      <c r="W95" s="27">
        <f t="shared" si="10"/>
        <v>0</v>
      </c>
      <c r="X95" s="4">
        <v>1127</v>
      </c>
      <c r="Y95" s="4"/>
      <c r="Z95" s="4"/>
      <c r="AA95" s="12">
        <f t="shared" si="15"/>
        <v>0</v>
      </c>
      <c r="AC95" s="83"/>
      <c r="AD95" s="83"/>
      <c r="AE95" s="83"/>
      <c r="AF95" s="83"/>
    </row>
    <row r="96" spans="1:32" ht="12.75" customHeight="1">
      <c r="A96" s="24"/>
      <c r="B96" s="108">
        <f t="shared" si="16"/>
        <v>93</v>
      </c>
      <c r="C96" s="6">
        <v>210500</v>
      </c>
      <c r="D96" s="121" t="s">
        <v>736</v>
      </c>
      <c r="E96" s="9" t="s">
        <v>32</v>
      </c>
      <c r="F96" s="6"/>
      <c r="G96" s="6"/>
      <c r="H96" s="11">
        <f>+STAT1!V96</f>
        <v>0</v>
      </c>
      <c r="I96" s="11">
        <f>+STAT1!W96</f>
        <v>0</v>
      </c>
      <c r="J96" s="11">
        <f>+SUMIFS(JURNAL!G:G,JURNAL!E:E,C96,JURNAL!C:C,"&gt;="&amp;$H$1,JURNAL!C:C,"&lt;="&amp;$I$1)</f>
        <v>0</v>
      </c>
      <c r="K96" s="11">
        <f>+SUMIFS(JURNAL!H:H,JURNAL!E:E,C96,JURNAL!C:C,"&gt;="&amp;$H$1,JURNAL!C:C,"&lt;="&amp;$I$1)</f>
        <v>0</v>
      </c>
      <c r="L96" s="26">
        <f t="shared" si="11"/>
        <v>0</v>
      </c>
      <c r="M96" s="27">
        <f t="shared" si="9"/>
        <v>0</v>
      </c>
      <c r="N96" s="11"/>
      <c r="O96" s="335"/>
      <c r="P96" s="11"/>
      <c r="Q96" s="11"/>
      <c r="R96" s="26">
        <f t="shared" si="12"/>
        <v>0</v>
      </c>
      <c r="S96" s="27">
        <f t="shared" si="13"/>
        <v>0</v>
      </c>
      <c r="T96" s="11"/>
      <c r="U96" s="11"/>
      <c r="V96" s="26">
        <f t="shared" si="14"/>
        <v>0</v>
      </c>
      <c r="W96" s="27">
        <f t="shared" si="10"/>
        <v>0</v>
      </c>
      <c r="X96" s="4">
        <v>1127</v>
      </c>
      <c r="Y96" s="4"/>
      <c r="Z96" s="4"/>
      <c r="AA96" s="12">
        <f t="shared" si="15"/>
        <v>0</v>
      </c>
      <c r="AC96" s="83"/>
      <c r="AD96" s="83"/>
      <c r="AE96" s="83"/>
      <c r="AF96" s="83"/>
    </row>
    <row r="97" spans="1:32" ht="12.75" customHeight="1">
      <c r="A97" s="24"/>
      <c r="B97" s="108">
        <f t="shared" si="16"/>
        <v>94</v>
      </c>
      <c r="C97" s="6">
        <v>210600</v>
      </c>
      <c r="D97" s="121" t="s">
        <v>740</v>
      </c>
      <c r="E97" s="9" t="s">
        <v>32</v>
      </c>
      <c r="F97" s="6"/>
      <c r="G97" s="6"/>
      <c r="H97" s="11">
        <f>+STAT1!V97</f>
        <v>0</v>
      </c>
      <c r="I97" s="11">
        <f>+STAT1!W97</f>
        <v>0</v>
      </c>
      <c r="J97" s="11">
        <f>+SUMIFS(JURNAL!G:G,JURNAL!E:E,C97,JURNAL!C:C,"&gt;="&amp;$H$1,JURNAL!C:C,"&lt;="&amp;$I$1)</f>
        <v>0</v>
      </c>
      <c r="K97" s="11">
        <f>+SUMIFS(JURNAL!H:H,JURNAL!E:E,C97,JURNAL!C:C,"&gt;="&amp;$H$1,JURNAL!C:C,"&lt;="&amp;$I$1)</f>
        <v>0</v>
      </c>
      <c r="L97" s="26">
        <f t="shared" si="11"/>
        <v>0</v>
      </c>
      <c r="M97" s="27">
        <f t="shared" si="9"/>
        <v>0</v>
      </c>
      <c r="N97" s="11"/>
      <c r="O97" s="335"/>
      <c r="P97" s="11"/>
      <c r="Q97" s="11"/>
      <c r="R97" s="26">
        <f t="shared" si="12"/>
        <v>0</v>
      </c>
      <c r="S97" s="27">
        <f t="shared" si="13"/>
        <v>0</v>
      </c>
      <c r="T97" s="11"/>
      <c r="U97" s="11"/>
      <c r="V97" s="26">
        <f t="shared" si="14"/>
        <v>0</v>
      </c>
      <c r="W97" s="27">
        <f t="shared" si="10"/>
        <v>0</v>
      </c>
      <c r="X97" s="4">
        <v>1127</v>
      </c>
      <c r="Y97" s="4"/>
      <c r="Z97" s="4"/>
      <c r="AA97" s="12">
        <f t="shared" si="15"/>
        <v>0</v>
      </c>
      <c r="AC97" s="83"/>
      <c r="AD97" s="83"/>
      <c r="AE97" s="83"/>
      <c r="AF97" s="83"/>
    </row>
    <row r="98" spans="1:32" ht="12.75" customHeight="1">
      <c r="A98" s="24"/>
      <c r="B98" s="108">
        <f t="shared" si="16"/>
        <v>95</v>
      </c>
      <c r="C98" s="6">
        <v>210700</v>
      </c>
      <c r="D98" s="121" t="s">
        <v>744</v>
      </c>
      <c r="E98" s="9" t="s">
        <v>32</v>
      </c>
      <c r="F98" s="6"/>
      <c r="G98" s="6"/>
      <c r="H98" s="11">
        <f>+STAT1!V98</f>
        <v>0</v>
      </c>
      <c r="I98" s="11">
        <f>+STAT1!W98</f>
        <v>0</v>
      </c>
      <c r="J98" s="11">
        <f>+SUMIFS(JURNAL!G:G,JURNAL!E:E,C98,JURNAL!C:C,"&gt;="&amp;$H$1,JURNAL!C:C,"&lt;="&amp;$I$1)</f>
        <v>0</v>
      </c>
      <c r="K98" s="11">
        <f>+SUMIFS(JURNAL!H:H,JURNAL!E:E,C98,JURNAL!C:C,"&gt;="&amp;$H$1,JURNAL!C:C,"&lt;="&amp;$I$1)</f>
        <v>0</v>
      </c>
      <c r="L98" s="26">
        <f t="shared" si="11"/>
        <v>0</v>
      </c>
      <c r="M98" s="27">
        <f t="shared" si="9"/>
        <v>0</v>
      </c>
      <c r="N98" s="11"/>
      <c r="O98" s="335"/>
      <c r="P98" s="11"/>
      <c r="Q98" s="11"/>
      <c r="R98" s="26">
        <f t="shared" si="12"/>
        <v>0</v>
      </c>
      <c r="S98" s="27">
        <f t="shared" si="13"/>
        <v>0</v>
      </c>
      <c r="T98" s="11"/>
      <c r="U98" s="11"/>
      <c r="V98" s="26">
        <f t="shared" si="14"/>
        <v>0</v>
      </c>
      <c r="W98" s="27">
        <f t="shared" si="10"/>
        <v>0</v>
      </c>
      <c r="X98" s="4">
        <v>1127</v>
      </c>
      <c r="Y98" s="4"/>
      <c r="Z98" s="4"/>
      <c r="AA98" s="12">
        <f t="shared" si="15"/>
        <v>0</v>
      </c>
      <c r="AC98" s="83"/>
      <c r="AD98" s="83"/>
      <c r="AE98" s="83"/>
      <c r="AF98" s="83"/>
    </row>
    <row r="99" spans="1:32" ht="12.75" customHeight="1">
      <c r="A99" s="24"/>
      <c r="B99" s="108">
        <f t="shared" si="16"/>
        <v>96</v>
      </c>
      <c r="C99" s="6">
        <v>211000</v>
      </c>
      <c r="D99" s="121" t="s">
        <v>654</v>
      </c>
      <c r="E99" s="9" t="s">
        <v>32</v>
      </c>
      <c r="F99" s="6"/>
      <c r="G99" s="6"/>
      <c r="H99" s="11">
        <f>+STAT1!V99</f>
        <v>0</v>
      </c>
      <c r="I99" s="11">
        <f>+STAT1!W99</f>
        <v>0</v>
      </c>
      <c r="J99" s="11">
        <f>+SUMIFS(JURNAL!G:G,JURNAL!E:E,C99,JURNAL!C:C,"&gt;="&amp;$H$1,JURNAL!C:C,"&lt;="&amp;$I$1)</f>
        <v>0</v>
      </c>
      <c r="K99" s="11">
        <f>+SUMIFS(JURNAL!H:H,JURNAL!E:E,C99,JURNAL!C:C,"&gt;="&amp;$H$1,JURNAL!C:C,"&lt;="&amp;$I$1)</f>
        <v>0</v>
      </c>
      <c r="L99" s="26">
        <f t="shared" si="11"/>
        <v>0</v>
      </c>
      <c r="M99" s="27">
        <f t="shared" si="9"/>
        <v>0</v>
      </c>
      <c r="N99" s="11"/>
      <c r="O99" s="335"/>
      <c r="P99" s="11"/>
      <c r="Q99" s="11"/>
      <c r="R99" s="26">
        <f t="shared" si="12"/>
        <v>0</v>
      </c>
      <c r="S99" s="27">
        <f t="shared" si="13"/>
        <v>0</v>
      </c>
      <c r="T99" s="11"/>
      <c r="U99" s="11"/>
      <c r="V99" s="26">
        <f t="shared" si="14"/>
        <v>0</v>
      </c>
      <c r="W99" s="27">
        <f t="shared" si="10"/>
        <v>0</v>
      </c>
      <c r="X99" s="4">
        <v>1127</v>
      </c>
      <c r="Y99" s="4"/>
      <c r="Z99" s="4"/>
      <c r="AA99" s="12">
        <f t="shared" si="15"/>
        <v>0</v>
      </c>
      <c r="AC99" s="83"/>
      <c r="AD99" s="83"/>
      <c r="AE99" s="83"/>
      <c r="AF99" s="83"/>
    </row>
    <row r="100" spans="1:32" ht="12.75" customHeight="1">
      <c r="A100" s="24"/>
      <c r="B100" s="108">
        <f t="shared" si="16"/>
        <v>97</v>
      </c>
      <c r="C100" s="6">
        <v>220100</v>
      </c>
      <c r="D100" s="121" t="s">
        <v>796</v>
      </c>
      <c r="E100" s="9" t="s">
        <v>32</v>
      </c>
      <c r="F100" s="6"/>
      <c r="G100" s="6"/>
      <c r="H100" s="11">
        <f>+STAT1!V100</f>
        <v>0</v>
      </c>
      <c r="I100" s="11">
        <f>+STAT1!W100</f>
        <v>0</v>
      </c>
      <c r="J100" s="11">
        <f>+SUMIFS(JURNAL!G:G,JURNAL!E:E,C100,JURNAL!C:C,"&gt;="&amp;$H$1,JURNAL!C:C,"&lt;="&amp;$I$1)</f>
        <v>0</v>
      </c>
      <c r="K100" s="11">
        <f>+SUMIFS(JURNAL!H:H,JURNAL!E:E,C100,JURNAL!C:C,"&gt;="&amp;$H$1,JURNAL!C:C,"&lt;="&amp;$I$1)</f>
        <v>0</v>
      </c>
      <c r="L100" s="26">
        <f t="shared" si="11"/>
        <v>0</v>
      </c>
      <c r="M100" s="27">
        <f t="shared" si="9"/>
        <v>0</v>
      </c>
      <c r="N100" s="11"/>
      <c r="O100" s="335"/>
      <c r="P100" s="11"/>
      <c r="Q100" s="11"/>
      <c r="R100" s="26">
        <f t="shared" si="12"/>
        <v>0</v>
      </c>
      <c r="S100" s="27">
        <f t="shared" si="13"/>
        <v>0</v>
      </c>
      <c r="T100" s="11"/>
      <c r="U100" s="11"/>
      <c r="V100" s="26">
        <f t="shared" si="14"/>
        <v>0</v>
      </c>
      <c r="W100" s="27">
        <f t="shared" si="10"/>
        <v>0</v>
      </c>
      <c r="X100" s="4">
        <v>1123</v>
      </c>
      <c r="Y100" s="4"/>
      <c r="Z100" s="4"/>
      <c r="AA100" s="12">
        <f t="shared" si="15"/>
        <v>0</v>
      </c>
      <c r="AC100" s="83"/>
      <c r="AD100" s="83"/>
      <c r="AE100" s="83"/>
      <c r="AF100" s="83"/>
    </row>
    <row r="101" spans="1:32" ht="12.75" customHeight="1">
      <c r="A101" s="24"/>
      <c r="B101" s="108">
        <f t="shared" si="16"/>
        <v>98</v>
      </c>
      <c r="C101" s="6">
        <v>220200</v>
      </c>
      <c r="D101" s="121" t="s">
        <v>800</v>
      </c>
      <c r="E101" s="9" t="s">
        <v>32</v>
      </c>
      <c r="F101" s="6"/>
      <c r="G101" s="6"/>
      <c r="H101" s="11">
        <f>+STAT1!V101</f>
        <v>0</v>
      </c>
      <c r="I101" s="11">
        <f>+STAT1!W101</f>
        <v>0</v>
      </c>
      <c r="J101" s="11">
        <f>+SUMIFS(JURNAL!G:G,JURNAL!E:E,C101,JURNAL!C:C,"&gt;="&amp;$H$1,JURNAL!C:C,"&lt;="&amp;$I$1)</f>
        <v>0</v>
      </c>
      <c r="K101" s="11">
        <f>+SUMIFS(JURNAL!H:H,JURNAL!E:E,C101,JURNAL!C:C,"&gt;="&amp;$H$1,JURNAL!C:C,"&lt;="&amp;$I$1)</f>
        <v>0</v>
      </c>
      <c r="L101" s="26">
        <f t="shared" si="11"/>
        <v>0</v>
      </c>
      <c r="M101" s="27">
        <f t="shared" si="9"/>
        <v>0</v>
      </c>
      <c r="N101" s="11"/>
      <c r="O101" s="335"/>
      <c r="P101" s="11"/>
      <c r="Q101" s="11"/>
      <c r="R101" s="26">
        <f t="shared" si="12"/>
        <v>0</v>
      </c>
      <c r="S101" s="27">
        <f t="shared" si="13"/>
        <v>0</v>
      </c>
      <c r="T101" s="11"/>
      <c r="U101" s="11"/>
      <c r="V101" s="26">
        <f t="shared" si="14"/>
        <v>0</v>
      </c>
      <c r="W101" s="27">
        <f t="shared" si="10"/>
        <v>0</v>
      </c>
      <c r="X101" s="4">
        <v>1123</v>
      </c>
      <c r="Y101" s="4"/>
      <c r="Z101" s="4"/>
      <c r="AA101" s="12">
        <f t="shared" si="15"/>
        <v>0</v>
      </c>
      <c r="AC101" s="83"/>
      <c r="AD101" s="83"/>
      <c r="AE101" s="83"/>
      <c r="AF101" s="83"/>
    </row>
    <row r="102" spans="1:32" ht="12.75" customHeight="1">
      <c r="A102" s="24"/>
      <c r="B102" s="108">
        <f t="shared" si="16"/>
        <v>99</v>
      </c>
      <c r="C102" s="6">
        <v>220400</v>
      </c>
      <c r="D102" s="121" t="s">
        <v>804</v>
      </c>
      <c r="E102" s="9" t="s">
        <v>32</v>
      </c>
      <c r="F102" s="6"/>
      <c r="G102" s="6"/>
      <c r="H102" s="11">
        <f>+STAT1!V102</f>
        <v>0</v>
      </c>
      <c r="I102" s="11">
        <f>+STAT1!W102</f>
        <v>0</v>
      </c>
      <c r="J102" s="11">
        <f>+SUMIFS(JURNAL!G:G,JURNAL!E:E,C102,JURNAL!C:C,"&gt;="&amp;$H$1,JURNAL!C:C,"&lt;="&amp;$I$1)</f>
        <v>0</v>
      </c>
      <c r="K102" s="11">
        <f>+SUMIFS(JURNAL!H:H,JURNAL!E:E,C102,JURNAL!C:C,"&gt;="&amp;$H$1,JURNAL!C:C,"&lt;="&amp;$I$1)</f>
        <v>0</v>
      </c>
      <c r="L102" s="26">
        <f t="shared" si="11"/>
        <v>0</v>
      </c>
      <c r="M102" s="27">
        <f t="shared" si="9"/>
        <v>0</v>
      </c>
      <c r="N102" s="11"/>
      <c r="O102" s="335"/>
      <c r="P102" s="11"/>
      <c r="Q102" s="11"/>
      <c r="R102" s="26">
        <f t="shared" si="12"/>
        <v>0</v>
      </c>
      <c r="S102" s="27">
        <f t="shared" si="13"/>
        <v>0</v>
      </c>
      <c r="T102" s="11"/>
      <c r="U102" s="11"/>
      <c r="V102" s="26">
        <f t="shared" si="14"/>
        <v>0</v>
      </c>
      <c r="W102" s="27">
        <f t="shared" si="10"/>
        <v>0</v>
      </c>
      <c r="X102" s="4">
        <v>1123</v>
      </c>
      <c r="Y102" s="4"/>
      <c r="Z102" s="4"/>
      <c r="AA102" s="12">
        <f t="shared" si="15"/>
        <v>0</v>
      </c>
      <c r="AC102" s="83"/>
      <c r="AD102" s="83"/>
      <c r="AE102" s="83"/>
      <c r="AF102" s="83"/>
    </row>
    <row r="103" spans="1:32" ht="12.75" customHeight="1">
      <c r="A103" s="24"/>
      <c r="B103" s="108">
        <f t="shared" si="16"/>
        <v>100</v>
      </c>
      <c r="C103" s="6">
        <v>230100</v>
      </c>
      <c r="D103" s="121" t="s">
        <v>808</v>
      </c>
      <c r="E103" s="9" t="s">
        <v>32</v>
      </c>
      <c r="F103" s="6"/>
      <c r="G103" s="6"/>
      <c r="H103" s="11">
        <f>+STAT1!V103</f>
        <v>0</v>
      </c>
      <c r="I103" s="11">
        <f>+STAT1!W103</f>
        <v>0</v>
      </c>
      <c r="J103" s="11">
        <f>+SUMIFS(JURNAL!G:G,JURNAL!E:E,C103,JURNAL!C:C,"&gt;="&amp;$H$1,JURNAL!C:C,"&lt;="&amp;$I$1)</f>
        <v>0</v>
      </c>
      <c r="K103" s="11">
        <f>+SUMIFS(JURNAL!H:H,JURNAL!E:E,C103,JURNAL!C:C,"&gt;="&amp;$H$1,JURNAL!C:C,"&lt;="&amp;$I$1)</f>
        <v>0</v>
      </c>
      <c r="L103" s="26">
        <f t="shared" si="11"/>
        <v>0</v>
      </c>
      <c r="M103" s="27">
        <f t="shared" si="9"/>
        <v>0</v>
      </c>
      <c r="N103" s="11"/>
      <c r="O103" s="335"/>
      <c r="P103" s="11"/>
      <c r="Q103" s="11"/>
      <c r="R103" s="26">
        <f t="shared" si="12"/>
        <v>0</v>
      </c>
      <c r="S103" s="27">
        <f t="shared" si="13"/>
        <v>0</v>
      </c>
      <c r="T103" s="11"/>
      <c r="U103" s="11"/>
      <c r="V103" s="26">
        <f t="shared" si="14"/>
        <v>0</v>
      </c>
      <c r="W103" s="27">
        <f t="shared" si="10"/>
        <v>0</v>
      </c>
      <c r="X103" s="4">
        <v>1125</v>
      </c>
      <c r="Y103" s="4"/>
      <c r="Z103" s="4"/>
      <c r="AA103" s="12">
        <f t="shared" si="15"/>
        <v>0</v>
      </c>
      <c r="AC103" s="83"/>
      <c r="AD103" s="83"/>
      <c r="AE103" s="83"/>
      <c r="AF103" s="83"/>
    </row>
    <row r="104" spans="1:32" ht="12.75" customHeight="1">
      <c r="A104" s="24"/>
      <c r="B104" s="108">
        <f t="shared" si="16"/>
        <v>101</v>
      </c>
      <c r="C104" s="6">
        <v>230200</v>
      </c>
      <c r="D104" s="121" t="s">
        <v>812</v>
      </c>
      <c r="E104" s="9" t="s">
        <v>32</v>
      </c>
      <c r="F104" s="6"/>
      <c r="G104" s="6"/>
      <c r="H104" s="11">
        <f>+STAT1!V104</f>
        <v>0</v>
      </c>
      <c r="I104" s="11">
        <f>+STAT1!W104</f>
        <v>0</v>
      </c>
      <c r="J104" s="11">
        <f>+SUMIFS(JURNAL!G:G,JURNAL!E:E,C104,JURNAL!C:C,"&gt;="&amp;$H$1,JURNAL!C:C,"&lt;="&amp;$I$1)</f>
        <v>0</v>
      </c>
      <c r="K104" s="11">
        <f>+SUMIFS(JURNAL!H:H,JURNAL!E:E,C104,JURNAL!C:C,"&gt;="&amp;$H$1,JURNAL!C:C,"&lt;="&amp;$I$1)</f>
        <v>0</v>
      </c>
      <c r="L104" s="26">
        <f t="shared" si="11"/>
        <v>0</v>
      </c>
      <c r="M104" s="27">
        <f t="shared" si="9"/>
        <v>0</v>
      </c>
      <c r="N104" s="11"/>
      <c r="O104" s="335"/>
      <c r="P104" s="11"/>
      <c r="Q104" s="11"/>
      <c r="R104" s="26">
        <f t="shared" si="12"/>
        <v>0</v>
      </c>
      <c r="S104" s="27">
        <f t="shared" si="13"/>
        <v>0</v>
      </c>
      <c r="T104" s="11"/>
      <c r="U104" s="11"/>
      <c r="V104" s="26">
        <f t="shared" si="14"/>
        <v>0</v>
      </c>
      <c r="W104" s="27">
        <f t="shared" si="10"/>
        <v>0</v>
      </c>
      <c r="X104" s="4">
        <v>1126</v>
      </c>
      <c r="Y104" s="4"/>
      <c r="Z104" s="4"/>
      <c r="AA104" s="12">
        <f t="shared" si="15"/>
        <v>0</v>
      </c>
      <c r="AC104" s="83"/>
      <c r="AD104" s="83"/>
      <c r="AE104" s="83"/>
      <c r="AF104" s="83"/>
    </row>
    <row r="105" spans="1:32" ht="12.75" customHeight="1">
      <c r="A105" s="24"/>
      <c r="B105" s="108">
        <f t="shared" si="16"/>
        <v>102</v>
      </c>
      <c r="C105" s="6">
        <v>310100</v>
      </c>
      <c r="D105" s="121" t="s">
        <v>505</v>
      </c>
      <c r="E105" s="9" t="s">
        <v>32</v>
      </c>
      <c r="F105" s="6"/>
      <c r="G105" s="6"/>
      <c r="H105" s="11">
        <f>+STAT1!V105</f>
        <v>0</v>
      </c>
      <c r="I105" s="11">
        <f>+STAT1!W105</f>
        <v>16361114.280000001</v>
      </c>
      <c r="J105" s="11">
        <f>+SUMIFS(JURNAL!G:G,JURNAL!E:E,C105,JURNAL!C:C,"&gt;="&amp;$H$1,JURNAL!C:C,"&lt;="&amp;$I$1)</f>
        <v>35030329.490000002</v>
      </c>
      <c r="K105" s="11">
        <f>+SUMIFS(JURNAL!H:H,JURNAL!E:E,C105,JURNAL!C:C,"&gt;="&amp;$H$1,JURNAL!C:C,"&lt;="&amp;$I$1)</f>
        <v>43669215.210000001</v>
      </c>
      <c r="L105" s="26">
        <f t="shared" si="11"/>
        <v>0</v>
      </c>
      <c r="M105" s="27">
        <f t="shared" si="9"/>
        <v>25000000</v>
      </c>
      <c r="N105" s="11"/>
      <c r="O105" s="335"/>
      <c r="P105" s="11"/>
      <c r="Q105" s="11"/>
      <c r="R105" s="26">
        <f t="shared" si="12"/>
        <v>0</v>
      </c>
      <c r="S105" s="27">
        <f t="shared" si="13"/>
        <v>25000000</v>
      </c>
      <c r="T105" s="11"/>
      <c r="U105" s="11"/>
      <c r="V105" s="26">
        <f t="shared" si="14"/>
        <v>0</v>
      </c>
      <c r="W105" s="27">
        <f t="shared" si="10"/>
        <v>25000000</v>
      </c>
      <c r="X105" s="4">
        <v>1201</v>
      </c>
      <c r="Y105" s="4"/>
      <c r="Z105" s="4"/>
      <c r="AA105" s="12">
        <f t="shared" si="15"/>
        <v>1</v>
      </c>
      <c r="AC105" s="83"/>
      <c r="AD105" s="83"/>
      <c r="AE105" s="83"/>
      <c r="AF105" s="83"/>
    </row>
    <row r="106" spans="1:32" ht="12.75" customHeight="1">
      <c r="A106" s="24"/>
      <c r="B106" s="108">
        <f t="shared" si="16"/>
        <v>103</v>
      </c>
      <c r="C106" s="6">
        <v>310101</v>
      </c>
      <c r="D106" s="121" t="s">
        <v>959</v>
      </c>
      <c r="E106" s="9" t="s">
        <v>30</v>
      </c>
      <c r="F106" s="6"/>
      <c r="G106" s="6"/>
      <c r="H106" s="11">
        <f>+STAT1!V106</f>
        <v>0</v>
      </c>
      <c r="I106" s="11">
        <f>+STAT1!W106</f>
        <v>0</v>
      </c>
      <c r="J106" s="11">
        <f>+SUMIFS(JURNAL!G:G,JURNAL!E:E,C106,JURNAL!C:C,"&gt;="&amp;$H$1,JURNAL!C:C,"&lt;="&amp;$I$1)</f>
        <v>0</v>
      </c>
      <c r="K106" s="11">
        <f>+SUMIFS(JURNAL!H:H,JURNAL!E:E,C106,JURNAL!C:C,"&gt;="&amp;$H$1,JURNAL!C:C,"&lt;="&amp;$I$1)</f>
        <v>0</v>
      </c>
      <c r="L106" s="26">
        <f t="shared" si="11"/>
        <v>0</v>
      </c>
      <c r="M106" s="27">
        <f t="shared" si="9"/>
        <v>0</v>
      </c>
      <c r="N106" s="11"/>
      <c r="O106" s="335"/>
      <c r="P106" s="11"/>
      <c r="Q106" s="11"/>
      <c r="R106" s="26">
        <f t="shared" si="12"/>
        <v>0</v>
      </c>
      <c r="S106" s="27">
        <f t="shared" si="13"/>
        <v>0</v>
      </c>
      <c r="T106" s="11"/>
      <c r="U106" s="11"/>
      <c r="V106" s="26">
        <f t="shared" si="14"/>
        <v>0</v>
      </c>
      <c r="W106" s="27">
        <f t="shared" si="10"/>
        <v>0</v>
      </c>
      <c r="X106" s="4">
        <v>1201</v>
      </c>
      <c r="Y106" s="4"/>
      <c r="Z106" s="4"/>
      <c r="AA106" s="12">
        <f t="shared" si="15"/>
        <v>0</v>
      </c>
      <c r="AC106" s="83"/>
      <c r="AD106" s="83"/>
      <c r="AE106" s="83"/>
      <c r="AF106" s="83"/>
    </row>
    <row r="107" spans="1:32" ht="12.75" customHeight="1">
      <c r="A107" s="24"/>
      <c r="B107" s="108">
        <f t="shared" si="16"/>
        <v>104</v>
      </c>
      <c r="C107" s="6">
        <v>311700</v>
      </c>
      <c r="D107" s="121" t="s">
        <v>960</v>
      </c>
      <c r="E107" s="9" t="s">
        <v>32</v>
      </c>
      <c r="F107" s="6"/>
      <c r="G107" s="6"/>
      <c r="H107" s="11">
        <f>+STAT1!V107</f>
        <v>0</v>
      </c>
      <c r="I107" s="11">
        <f>+STAT1!W107</f>
        <v>0</v>
      </c>
      <c r="J107" s="11">
        <f>+SUMIFS(JURNAL!G:G,JURNAL!E:E,C107,JURNAL!C:C,"&gt;="&amp;$H$1,JURNAL!C:C,"&lt;="&amp;$I$1)</f>
        <v>0</v>
      </c>
      <c r="K107" s="11">
        <f>+SUMIFS(JURNAL!H:H,JURNAL!E:E,C107,JURNAL!C:C,"&gt;="&amp;$H$1,JURNAL!C:C,"&lt;="&amp;$I$1)</f>
        <v>0</v>
      </c>
      <c r="L107" s="26">
        <f t="shared" si="11"/>
        <v>0</v>
      </c>
      <c r="M107" s="27">
        <f t="shared" si="9"/>
        <v>0</v>
      </c>
      <c r="N107" s="11"/>
      <c r="O107" s="335"/>
      <c r="P107" s="11"/>
      <c r="Q107" s="11"/>
      <c r="R107" s="26">
        <f t="shared" si="12"/>
        <v>0</v>
      </c>
      <c r="S107" s="27">
        <f t="shared" si="13"/>
        <v>0</v>
      </c>
      <c r="T107" s="11"/>
      <c r="U107" s="11"/>
      <c r="V107" s="26">
        <f t="shared" si="14"/>
        <v>0</v>
      </c>
      <c r="W107" s="27">
        <f t="shared" si="10"/>
        <v>0</v>
      </c>
      <c r="X107" s="4">
        <v>1201</v>
      </c>
      <c r="Y107" s="4"/>
      <c r="Z107" s="4"/>
      <c r="AA107" s="12">
        <f t="shared" si="15"/>
        <v>0</v>
      </c>
      <c r="AC107" s="83"/>
      <c r="AD107" s="83"/>
      <c r="AE107" s="83"/>
      <c r="AF107" s="83"/>
    </row>
    <row r="108" spans="1:32" ht="12.75" customHeight="1">
      <c r="A108" s="24"/>
      <c r="B108" s="108">
        <f t="shared" si="16"/>
        <v>105</v>
      </c>
      <c r="C108" s="6">
        <v>310300</v>
      </c>
      <c r="D108" s="121" t="s">
        <v>526</v>
      </c>
      <c r="E108" s="9" t="s">
        <v>32</v>
      </c>
      <c r="F108" s="6"/>
      <c r="G108" s="6"/>
      <c r="H108" s="11">
        <f>+STAT1!V108</f>
        <v>0</v>
      </c>
      <c r="I108" s="11">
        <f>+STAT1!W108</f>
        <v>0</v>
      </c>
      <c r="J108" s="11">
        <f>+SUMIFS(JURNAL!G:G,JURNAL!E:E,C108,JURNAL!C:C,"&gt;="&amp;$H$1,JURNAL!C:C,"&lt;="&amp;$I$1)</f>
        <v>0</v>
      </c>
      <c r="K108" s="11">
        <f>+SUMIFS(JURNAL!H:H,JURNAL!E:E,C108,JURNAL!C:C,"&gt;="&amp;$H$1,JURNAL!C:C,"&lt;="&amp;$I$1)</f>
        <v>0</v>
      </c>
      <c r="L108" s="26">
        <f t="shared" si="11"/>
        <v>0</v>
      </c>
      <c r="M108" s="27">
        <f t="shared" si="9"/>
        <v>0</v>
      </c>
      <c r="N108" s="11"/>
      <c r="O108" s="335"/>
      <c r="P108" s="11"/>
      <c r="Q108" s="11"/>
      <c r="R108" s="26">
        <f t="shared" si="12"/>
        <v>0</v>
      </c>
      <c r="S108" s="27">
        <f t="shared" si="13"/>
        <v>0</v>
      </c>
      <c r="T108" s="11"/>
      <c r="U108" s="11"/>
      <c r="V108" s="26">
        <f t="shared" si="14"/>
        <v>0</v>
      </c>
      <c r="W108" s="27">
        <f t="shared" si="10"/>
        <v>0</v>
      </c>
      <c r="X108" s="4">
        <v>1207</v>
      </c>
      <c r="Y108" s="4"/>
      <c r="Z108" s="4"/>
      <c r="AA108" s="12">
        <f t="shared" si="15"/>
        <v>0</v>
      </c>
      <c r="AC108" s="83"/>
      <c r="AD108" s="83"/>
      <c r="AE108" s="83"/>
      <c r="AF108" s="83"/>
    </row>
    <row r="109" spans="1:32" ht="12.75" customHeight="1">
      <c r="A109" s="24"/>
      <c r="B109" s="108">
        <f t="shared" si="16"/>
        <v>106</v>
      </c>
      <c r="C109" s="6">
        <v>310400</v>
      </c>
      <c r="D109" s="121" t="s">
        <v>533</v>
      </c>
      <c r="E109" s="9" t="s">
        <v>32</v>
      </c>
      <c r="F109" s="6"/>
      <c r="G109" s="6"/>
      <c r="H109" s="11">
        <f>+STAT1!V109</f>
        <v>0</v>
      </c>
      <c r="I109" s="11">
        <v>5837685</v>
      </c>
      <c r="J109" s="11">
        <f>+SUMIFS(JURNAL!G:G,JURNAL!E:E,C109,JURNAL!C:C,"&gt;="&amp;$H$1,JURNAL!C:C,"&lt;="&amp;$I$1)</f>
        <v>5837685</v>
      </c>
      <c r="K109" s="11">
        <f>+SUMIFS(JURNAL!H:H,JURNAL!E:E,C109,JURNAL!C:C,"&gt;="&amp;$H$1,JURNAL!C:C,"&lt;="&amp;$I$1)</f>
        <v>0</v>
      </c>
      <c r="L109" s="26">
        <f t="shared" si="11"/>
        <v>0</v>
      </c>
      <c r="M109" s="27">
        <f t="shared" si="9"/>
        <v>0</v>
      </c>
      <c r="N109" s="11"/>
      <c r="O109" s="335"/>
      <c r="P109" s="11"/>
      <c r="Q109" s="11"/>
      <c r="R109" s="26">
        <f t="shared" si="12"/>
        <v>0</v>
      </c>
      <c r="S109" s="27">
        <f t="shared" si="13"/>
        <v>0</v>
      </c>
      <c r="T109" s="11"/>
      <c r="U109" s="11"/>
      <c r="V109" s="26">
        <f t="shared" si="14"/>
        <v>0</v>
      </c>
      <c r="W109" s="27">
        <f t="shared" si="10"/>
        <v>0</v>
      </c>
      <c r="X109" s="4">
        <v>1205</v>
      </c>
      <c r="Y109" s="4"/>
      <c r="Z109" s="4"/>
      <c r="AA109" s="12">
        <f t="shared" si="15"/>
        <v>1</v>
      </c>
      <c r="AC109" s="83"/>
      <c r="AD109" s="83"/>
      <c r="AE109" s="83"/>
      <c r="AF109" s="83"/>
    </row>
    <row r="110" spans="1:32" ht="12.75" customHeight="1">
      <c r="A110" s="24"/>
      <c r="B110" s="108">
        <f t="shared" si="16"/>
        <v>107</v>
      </c>
      <c r="C110" s="6">
        <v>310401</v>
      </c>
      <c r="D110" s="121" t="s">
        <v>961</v>
      </c>
      <c r="E110" s="9" t="s">
        <v>30</v>
      </c>
      <c r="F110" s="6"/>
      <c r="G110" s="6"/>
      <c r="H110" s="11">
        <f>+STAT1!V110</f>
        <v>0</v>
      </c>
      <c r="I110" s="11">
        <f>+STAT1!W110</f>
        <v>0</v>
      </c>
      <c r="J110" s="11">
        <f>+SUMIFS(JURNAL!G:G,JURNAL!E:E,C110,JURNAL!C:C,"&gt;="&amp;$H$1,JURNAL!C:C,"&lt;="&amp;$I$1)</f>
        <v>0</v>
      </c>
      <c r="K110" s="11">
        <f>+SUMIFS(JURNAL!H:H,JURNAL!E:E,C110,JURNAL!C:C,"&gt;="&amp;$H$1,JURNAL!C:C,"&lt;="&amp;$I$1)</f>
        <v>0</v>
      </c>
      <c r="L110" s="26">
        <f t="shared" si="11"/>
        <v>0</v>
      </c>
      <c r="M110" s="27">
        <f t="shared" si="9"/>
        <v>0</v>
      </c>
      <c r="N110" s="11"/>
      <c r="O110" s="335"/>
      <c r="P110" s="11"/>
      <c r="Q110" s="11"/>
      <c r="R110" s="26">
        <f t="shared" si="12"/>
        <v>0</v>
      </c>
      <c r="S110" s="27">
        <f t="shared" si="13"/>
        <v>0</v>
      </c>
      <c r="T110" s="11"/>
      <c r="U110" s="11"/>
      <c r="V110" s="26">
        <f t="shared" si="14"/>
        <v>0</v>
      </c>
      <c r="W110" s="27">
        <f t="shared" si="10"/>
        <v>0</v>
      </c>
      <c r="X110" s="4">
        <v>1205</v>
      </c>
      <c r="Y110" s="4"/>
      <c r="Z110" s="4"/>
      <c r="AA110" s="12">
        <f t="shared" si="15"/>
        <v>0</v>
      </c>
      <c r="AC110" s="83"/>
      <c r="AD110" s="83"/>
      <c r="AE110" s="83"/>
      <c r="AF110" s="83"/>
    </row>
    <row r="111" spans="1:32" ht="12.75" customHeight="1">
      <c r="A111" s="24"/>
      <c r="B111" s="108">
        <f t="shared" si="16"/>
        <v>108</v>
      </c>
      <c r="C111" s="6">
        <v>310500</v>
      </c>
      <c r="D111" s="121" t="s">
        <v>540</v>
      </c>
      <c r="E111" s="9" t="s">
        <v>32</v>
      </c>
      <c r="F111" s="6"/>
      <c r="G111" s="6"/>
      <c r="H111" s="11">
        <f>+STAT1!V111</f>
        <v>0</v>
      </c>
      <c r="I111" s="11">
        <f>+STAT1!W111</f>
        <v>66510257.000909097</v>
      </c>
      <c r="J111" s="11">
        <f>+SUMIFS(JURNAL!G:G,JURNAL!E:E,C111,JURNAL!C:C,"&gt;="&amp;$H$1,JURNAL!C:C,"&lt;="&amp;$I$1)</f>
        <v>0</v>
      </c>
      <c r="K111" s="11">
        <f>+SUMIFS(JURNAL!H:H,JURNAL!E:E,C111,JURNAL!C:C,"&gt;="&amp;$H$1,JURNAL!C:C,"&lt;="&amp;$I$1)</f>
        <v>1964350.6300000001</v>
      </c>
      <c r="L111" s="26">
        <f t="shared" si="11"/>
        <v>0</v>
      </c>
      <c r="M111" s="27">
        <f t="shared" si="9"/>
        <v>68474607.6309091</v>
      </c>
      <c r="N111" s="335">
        <v>6637800.3300000001</v>
      </c>
      <c r="O111" s="335"/>
      <c r="P111" s="11"/>
      <c r="Q111" s="11"/>
      <c r="R111" s="26">
        <f t="shared" si="12"/>
        <v>0</v>
      </c>
      <c r="S111" s="27">
        <f t="shared" si="13"/>
        <v>61836807.300909102</v>
      </c>
      <c r="T111" s="11"/>
      <c r="U111" s="11"/>
      <c r="V111" s="26">
        <f t="shared" si="14"/>
        <v>0</v>
      </c>
      <c r="W111" s="27">
        <f t="shared" si="10"/>
        <v>61836807.300909102</v>
      </c>
      <c r="X111" s="4">
        <v>1203</v>
      </c>
      <c r="Y111" s="4"/>
      <c r="Z111" s="4"/>
      <c r="AA111" s="12">
        <f t="shared" si="15"/>
        <v>1</v>
      </c>
      <c r="AC111" s="83">
        <v>61836806.850000001</v>
      </c>
      <c r="AD111" s="83">
        <f>+W111-AC111</f>
        <v>0.45090910047292709</v>
      </c>
      <c r="AE111" s="83"/>
      <c r="AF111" s="83"/>
    </row>
    <row r="112" spans="1:32" ht="12.75" customHeight="1">
      <c r="A112" s="25"/>
      <c r="B112" s="108">
        <f t="shared" si="16"/>
        <v>109</v>
      </c>
      <c r="C112" s="6">
        <v>310600</v>
      </c>
      <c r="D112" s="121" t="s">
        <v>545</v>
      </c>
      <c r="E112" s="9" t="s">
        <v>32</v>
      </c>
      <c r="F112" s="6"/>
      <c r="G112" s="6"/>
      <c r="H112" s="11">
        <f>+STAT1!V112</f>
        <v>0</v>
      </c>
      <c r="I112" s="11">
        <f>+STAT1!W112</f>
        <v>0</v>
      </c>
      <c r="J112" s="11">
        <f>+SUMIFS(JURNAL!G:G,JURNAL!E:E,C112,JURNAL!C:C,"&gt;="&amp;$H$1,JURNAL!C:C,"&lt;="&amp;$I$1)</f>
        <v>0</v>
      </c>
      <c r="K112" s="11">
        <f>+SUMIFS(JURNAL!H:H,JURNAL!E:E,C112,JURNAL!C:C,"&gt;="&amp;$H$1,JURNAL!C:C,"&lt;="&amp;$I$1)</f>
        <v>0</v>
      </c>
      <c r="L112" s="26">
        <f t="shared" si="11"/>
        <v>0</v>
      </c>
      <c r="M112" s="27">
        <f t="shared" si="9"/>
        <v>0</v>
      </c>
      <c r="N112" s="11"/>
      <c r="O112" s="335"/>
      <c r="P112" s="11"/>
      <c r="Q112" s="11"/>
      <c r="R112" s="26">
        <f t="shared" si="12"/>
        <v>0</v>
      </c>
      <c r="S112" s="27">
        <f t="shared" si="13"/>
        <v>0</v>
      </c>
      <c r="T112" s="11"/>
      <c r="U112" s="11"/>
      <c r="V112" s="26">
        <f t="shared" si="14"/>
        <v>0</v>
      </c>
      <c r="W112" s="27">
        <f t="shared" si="10"/>
        <v>0</v>
      </c>
      <c r="X112" s="4">
        <v>1203</v>
      </c>
      <c r="Y112" s="4"/>
      <c r="Z112" s="4"/>
      <c r="AA112" s="12">
        <f t="shared" si="15"/>
        <v>0</v>
      </c>
      <c r="AC112" s="83"/>
      <c r="AD112" s="83"/>
      <c r="AE112" s="83"/>
      <c r="AF112" s="83"/>
    </row>
    <row r="113" spans="1:32" ht="12.75" customHeight="1">
      <c r="A113" s="24"/>
      <c r="B113" s="108">
        <f t="shared" si="16"/>
        <v>110</v>
      </c>
      <c r="C113" s="6">
        <v>310700</v>
      </c>
      <c r="D113" s="121" t="s">
        <v>550</v>
      </c>
      <c r="E113" s="9" t="s">
        <v>32</v>
      </c>
      <c r="F113" s="6"/>
      <c r="G113" s="11"/>
      <c r="H113" s="11">
        <f>+STAT1!V113</f>
        <v>0</v>
      </c>
      <c r="I113" s="11">
        <f>+STAT1!W113</f>
        <v>2367732.5819171844</v>
      </c>
      <c r="J113" s="11">
        <f>+SUMIFS(JURNAL!G:G,JURNAL!E:E,C113,JURNAL!C:C,"&gt;="&amp;$H$1,JURNAL!C:C,"&lt;="&amp;$I$1)</f>
        <v>0</v>
      </c>
      <c r="K113" s="11">
        <f>+SUMIFS(JURNAL!H:H,JURNAL!E:E,C113,JURNAL!C:C,"&gt;="&amp;$H$1,JURNAL!C:C,"&lt;="&amp;$I$1)</f>
        <v>2858031.28</v>
      </c>
      <c r="L113" s="26">
        <f t="shared" si="11"/>
        <v>0</v>
      </c>
      <c r="M113" s="27">
        <f t="shared" si="9"/>
        <v>5225763.8619171847</v>
      </c>
      <c r="N113" s="335">
        <v>600000</v>
      </c>
      <c r="O113" s="335"/>
      <c r="P113" s="11"/>
      <c r="Q113" s="11"/>
      <c r="R113" s="26">
        <f t="shared" si="12"/>
        <v>0</v>
      </c>
      <c r="S113" s="27">
        <f t="shared" si="13"/>
        <v>4625763.8619171847</v>
      </c>
      <c r="T113" s="11"/>
      <c r="U113" s="11"/>
      <c r="V113" s="26">
        <f t="shared" si="14"/>
        <v>0</v>
      </c>
      <c r="W113" s="872">
        <f t="shared" si="10"/>
        <v>4625763.8619171847</v>
      </c>
      <c r="X113" s="4">
        <v>1203</v>
      </c>
      <c r="Y113" s="4"/>
      <c r="Z113" s="4"/>
      <c r="AA113" s="12">
        <f t="shared" si="15"/>
        <v>1</v>
      </c>
      <c r="AC113" s="83">
        <v>5102657.72</v>
      </c>
      <c r="AD113" s="83">
        <f>+W113-AC113+500000</f>
        <v>23106.141917184927</v>
      </c>
      <c r="AE113" s="83"/>
      <c r="AF113" s="83"/>
    </row>
    <row r="114" spans="1:32" ht="12.75" customHeight="1">
      <c r="A114" s="24"/>
      <c r="B114" s="108">
        <f t="shared" si="16"/>
        <v>111</v>
      </c>
      <c r="C114" s="6">
        <v>310800</v>
      </c>
      <c r="D114" s="121" t="s">
        <v>555</v>
      </c>
      <c r="E114" s="9" t="s">
        <v>32</v>
      </c>
      <c r="F114" s="6"/>
      <c r="G114" s="6"/>
      <c r="H114" s="11">
        <f>+STAT1!V114</f>
        <v>0</v>
      </c>
      <c r="I114" s="11">
        <f>+STAT1!W114</f>
        <v>8753263.9899585918</v>
      </c>
      <c r="J114" s="11">
        <f>+SUMIFS(JURNAL!G:G,JURNAL!E:E,C114,JURNAL!C:C,"&gt;="&amp;$H$1,JURNAL!C:C,"&lt;="&amp;$I$1)</f>
        <v>66481</v>
      </c>
      <c r="K114" s="11">
        <f>+SUMIFS(JURNAL!H:H,JURNAL!E:E,C114,JURNAL!C:C,"&gt;="&amp;$H$1,JURNAL!C:C,"&lt;="&amp;$I$1)</f>
        <v>10139195.09814815</v>
      </c>
      <c r="L114" s="26">
        <f t="shared" si="11"/>
        <v>0</v>
      </c>
      <c r="M114" s="27">
        <f t="shared" si="9"/>
        <v>18825978.088106744</v>
      </c>
      <c r="N114" s="335">
        <v>5000000</v>
      </c>
      <c r="O114" s="335"/>
      <c r="P114" s="11"/>
      <c r="Q114" s="11"/>
      <c r="R114" s="26">
        <f t="shared" si="12"/>
        <v>0</v>
      </c>
      <c r="S114" s="27">
        <f t="shared" si="13"/>
        <v>13825978.088106744</v>
      </c>
      <c r="T114" s="11"/>
      <c r="U114" s="11"/>
      <c r="V114" s="26">
        <f t="shared" si="14"/>
        <v>0</v>
      </c>
      <c r="W114" s="872">
        <f t="shared" si="10"/>
        <v>13825978.088106744</v>
      </c>
      <c r="X114" s="4">
        <v>1204</v>
      </c>
      <c r="Y114" s="4"/>
      <c r="Z114" s="4"/>
      <c r="AA114" s="12">
        <f t="shared" si="15"/>
        <v>1</v>
      </c>
      <c r="AC114" s="83">
        <v>13825977.51</v>
      </c>
      <c r="AD114" s="83">
        <f>+W114-AC114</f>
        <v>0.57810674421489239</v>
      </c>
      <c r="AE114" s="83"/>
      <c r="AF114" s="83"/>
    </row>
    <row r="115" spans="1:32" ht="12.75" customHeight="1">
      <c r="A115" s="24"/>
      <c r="B115" s="108">
        <f t="shared" si="16"/>
        <v>112</v>
      </c>
      <c r="C115" s="6">
        <v>310900</v>
      </c>
      <c r="D115" s="121" t="s">
        <v>560</v>
      </c>
      <c r="E115" s="9" t="s">
        <v>32</v>
      </c>
      <c r="F115" s="6"/>
      <c r="G115" s="6"/>
      <c r="H115" s="11">
        <f>+STAT1!V115</f>
        <v>0</v>
      </c>
      <c r="I115" s="11">
        <f>+STAT1!W115</f>
        <v>0</v>
      </c>
      <c r="J115" s="11">
        <f>+SUMIFS(JURNAL!G:G,JURNAL!E:E,C115,JURNAL!C:C,"&gt;="&amp;$H$1,JURNAL!C:C,"&lt;="&amp;$I$1)</f>
        <v>0</v>
      </c>
      <c r="K115" s="11">
        <f>+SUMIFS(JURNAL!H:H,JURNAL!E:E,C115,JURNAL!C:C,"&gt;="&amp;$H$1,JURNAL!C:C,"&lt;="&amp;$I$1)</f>
        <v>0</v>
      </c>
      <c r="L115" s="26">
        <f t="shared" si="11"/>
        <v>0</v>
      </c>
      <c r="M115" s="27">
        <f t="shared" si="9"/>
        <v>0</v>
      </c>
      <c r="N115" s="11"/>
      <c r="O115" s="335"/>
      <c r="P115" s="11"/>
      <c r="Q115" s="11"/>
      <c r="R115" s="26">
        <f t="shared" si="12"/>
        <v>0</v>
      </c>
      <c r="S115" s="27">
        <f t="shared" si="13"/>
        <v>0</v>
      </c>
      <c r="T115" s="11"/>
      <c r="U115" s="11"/>
      <c r="V115" s="26">
        <f t="shared" si="14"/>
        <v>0</v>
      </c>
      <c r="W115" s="27">
        <f t="shared" si="10"/>
        <v>0</v>
      </c>
      <c r="X115" s="4">
        <v>1203</v>
      </c>
      <c r="Y115" s="4"/>
      <c r="Z115" s="4"/>
      <c r="AA115" s="12">
        <f t="shared" si="15"/>
        <v>0</v>
      </c>
      <c r="AB115" s="83"/>
      <c r="AC115" s="83"/>
      <c r="AD115" s="83"/>
      <c r="AE115" s="83"/>
      <c r="AF115" s="83"/>
    </row>
    <row r="116" spans="1:32" ht="12.75" customHeight="1">
      <c r="A116" s="24"/>
      <c r="B116" s="108">
        <f t="shared" si="16"/>
        <v>113</v>
      </c>
      <c r="C116" s="6">
        <v>311000</v>
      </c>
      <c r="D116" s="121" t="s">
        <v>565</v>
      </c>
      <c r="E116" s="9" t="s">
        <v>32</v>
      </c>
      <c r="F116" s="6"/>
      <c r="G116" s="6"/>
      <c r="H116" s="11">
        <f>+STAT1!V116</f>
        <v>0</v>
      </c>
      <c r="I116" s="11">
        <f>+STAT1!W116</f>
        <v>0</v>
      </c>
      <c r="J116" s="11">
        <f>+SUMIFS(JURNAL!G:G,JURNAL!E:E,C116,JURNAL!C:C,"&gt;="&amp;$H$1,JURNAL!C:C,"&lt;="&amp;$I$1)</f>
        <v>34444059.269999996</v>
      </c>
      <c r="K116" s="11">
        <f>+SUMIFS(JURNAL!H:H,JURNAL!E:E,C116,JURNAL!C:C,"&gt;="&amp;$H$1,JURNAL!C:C,"&lt;="&amp;$I$1)</f>
        <v>34444059.269999996</v>
      </c>
      <c r="L116" s="26">
        <f t="shared" si="11"/>
        <v>0</v>
      </c>
      <c r="M116" s="27">
        <f t="shared" si="9"/>
        <v>0</v>
      </c>
      <c r="N116" s="11"/>
      <c r="O116" s="335"/>
      <c r="P116" s="11"/>
      <c r="Q116" s="11"/>
      <c r="R116" s="26">
        <f t="shared" si="12"/>
        <v>0</v>
      </c>
      <c r="S116" s="27">
        <f t="shared" si="13"/>
        <v>0</v>
      </c>
      <c r="T116" s="11"/>
      <c r="U116" s="11"/>
      <c r="V116" s="26">
        <f t="shared" si="14"/>
        <v>0</v>
      </c>
      <c r="W116" s="27">
        <f t="shared" si="10"/>
        <v>0</v>
      </c>
      <c r="X116" s="4">
        <v>1202</v>
      </c>
      <c r="Y116" s="4"/>
      <c r="Z116" s="4"/>
      <c r="AA116" s="12">
        <f t="shared" si="15"/>
        <v>1</v>
      </c>
      <c r="AC116" s="83"/>
      <c r="AD116" s="83"/>
      <c r="AE116" s="83"/>
      <c r="AF116" s="83"/>
    </row>
    <row r="117" spans="1:32" ht="12.75" customHeight="1">
      <c r="A117" s="24"/>
      <c r="B117" s="108">
        <f t="shared" si="16"/>
        <v>114</v>
      </c>
      <c r="C117" s="6">
        <v>311100</v>
      </c>
      <c r="D117" s="121" t="s">
        <v>570</v>
      </c>
      <c r="E117" s="9" t="s">
        <v>32</v>
      </c>
      <c r="F117" s="6"/>
      <c r="G117" s="6"/>
      <c r="H117" s="11">
        <f>+STAT1!V117</f>
        <v>0</v>
      </c>
      <c r="I117" s="11">
        <f>+STAT1!W117</f>
        <v>60583201</v>
      </c>
      <c r="J117" s="11">
        <f>+SUMIFS(JURNAL!G:G,JURNAL!E:E,C117,JURNAL!C:C,"&gt;="&amp;$H$1,JURNAL!C:C,"&lt;="&amp;$I$1)</f>
        <v>10720171</v>
      </c>
      <c r="K117" s="11">
        <f>+SUMIFS(JURNAL!H:H,JURNAL!E:E,C117,JURNAL!C:C,"&gt;="&amp;$H$1,JURNAL!C:C,"&lt;="&amp;$I$1)</f>
        <v>0</v>
      </c>
      <c r="L117" s="26">
        <f t="shared" si="11"/>
        <v>0</v>
      </c>
      <c r="M117" s="27">
        <f t="shared" si="9"/>
        <v>49863030</v>
      </c>
      <c r="N117" s="11"/>
      <c r="O117" s="335"/>
      <c r="P117" s="11"/>
      <c r="Q117" s="11"/>
      <c r="R117" s="26">
        <f t="shared" si="12"/>
        <v>0</v>
      </c>
      <c r="S117" s="27">
        <f t="shared" si="13"/>
        <v>49863030</v>
      </c>
      <c r="T117" s="11"/>
      <c r="U117" s="11"/>
      <c r="V117" s="26">
        <f t="shared" si="14"/>
        <v>0</v>
      </c>
      <c r="W117" s="872">
        <f t="shared" si="10"/>
        <v>49863030</v>
      </c>
      <c r="X117" s="4">
        <v>1210</v>
      </c>
      <c r="Y117" s="4"/>
      <c r="Z117" s="4"/>
      <c r="AA117" s="12">
        <f t="shared" si="15"/>
        <v>1</v>
      </c>
      <c r="AC117" s="83">
        <v>49863030</v>
      </c>
      <c r="AD117" s="83">
        <f>+W117-AC117</f>
        <v>0</v>
      </c>
      <c r="AE117" s="83"/>
      <c r="AF117" s="83"/>
    </row>
    <row r="118" spans="1:32" ht="12.75" customHeight="1">
      <c r="A118" s="24"/>
      <c r="B118" s="108">
        <f t="shared" si="16"/>
        <v>115</v>
      </c>
      <c r="C118" s="6">
        <v>311200</v>
      </c>
      <c r="D118" s="121" t="s">
        <v>575</v>
      </c>
      <c r="E118" s="9" t="s">
        <v>32</v>
      </c>
      <c r="F118" s="6"/>
      <c r="G118" s="6"/>
      <c r="H118" s="11">
        <f>+STAT1!V118</f>
        <v>0</v>
      </c>
      <c r="I118" s="11">
        <f>+STAT1!W118</f>
        <v>0</v>
      </c>
      <c r="J118" s="11">
        <f>+SUMIFS(JURNAL!G:G,JURNAL!E:E,C118,JURNAL!C:C,"&gt;="&amp;$H$1,JURNAL!C:C,"&lt;="&amp;$I$1)</f>
        <v>0</v>
      </c>
      <c r="K118" s="11">
        <f>+SUMIFS(JURNAL!H:H,JURNAL!E:E,C118,JURNAL!C:C,"&gt;="&amp;$H$1,JURNAL!C:C,"&lt;="&amp;$I$1)</f>
        <v>0</v>
      </c>
      <c r="L118" s="26">
        <f t="shared" si="11"/>
        <v>0</v>
      </c>
      <c r="M118" s="27">
        <f t="shared" si="9"/>
        <v>0</v>
      </c>
      <c r="N118" s="11"/>
      <c r="O118" s="335"/>
      <c r="P118" s="11"/>
      <c r="Q118" s="11"/>
      <c r="R118" s="26">
        <f t="shared" si="12"/>
        <v>0</v>
      </c>
      <c r="S118" s="27">
        <f t="shared" si="13"/>
        <v>0</v>
      </c>
      <c r="T118" s="11"/>
      <c r="U118" s="11"/>
      <c r="V118" s="26">
        <f t="shared" si="14"/>
        <v>0</v>
      </c>
      <c r="W118" s="27">
        <f t="shared" si="10"/>
        <v>0</v>
      </c>
      <c r="X118" s="4">
        <v>1201</v>
      </c>
      <c r="Y118" s="4"/>
      <c r="Z118" s="4"/>
      <c r="AA118" s="12">
        <f t="shared" si="15"/>
        <v>0</v>
      </c>
      <c r="AC118" s="83"/>
      <c r="AD118" s="83"/>
      <c r="AE118" s="83"/>
      <c r="AF118" s="83"/>
    </row>
    <row r="119" spans="1:32" ht="12.75" customHeight="1">
      <c r="A119" s="24"/>
      <c r="B119" s="108">
        <f t="shared" si="16"/>
        <v>116</v>
      </c>
      <c r="C119" s="6">
        <v>311300</v>
      </c>
      <c r="D119" s="121" t="s">
        <v>580</v>
      </c>
      <c r="E119" s="9" t="s">
        <v>32</v>
      </c>
      <c r="F119" s="6"/>
      <c r="G119" s="6"/>
      <c r="H119" s="11">
        <f>+STAT1!V119</f>
        <v>0</v>
      </c>
      <c r="I119" s="11">
        <f>+STAT1!W119</f>
        <v>0</v>
      </c>
      <c r="J119" s="11">
        <f>+SUMIFS(JURNAL!G:G,JURNAL!E:E,C119,JURNAL!C:C,"&gt;="&amp;$H$1,JURNAL!C:C,"&lt;="&amp;$I$1)</f>
        <v>0</v>
      </c>
      <c r="K119" s="11">
        <f>+SUMIFS(JURNAL!H:H,JURNAL!E:E,C119,JURNAL!C:C,"&gt;="&amp;$H$1,JURNAL!C:C,"&lt;="&amp;$I$1)</f>
        <v>0</v>
      </c>
      <c r="L119" s="26">
        <f t="shared" si="11"/>
        <v>0</v>
      </c>
      <c r="M119" s="27">
        <f t="shared" si="9"/>
        <v>0</v>
      </c>
      <c r="N119" s="11"/>
      <c r="O119" s="335"/>
      <c r="P119" s="11"/>
      <c r="Q119" s="11"/>
      <c r="R119" s="26">
        <f t="shared" si="12"/>
        <v>0</v>
      </c>
      <c r="S119" s="27">
        <f t="shared" si="13"/>
        <v>0</v>
      </c>
      <c r="T119" s="11"/>
      <c r="U119" s="11"/>
      <c r="V119" s="26">
        <f t="shared" si="14"/>
        <v>0</v>
      </c>
      <c r="W119" s="27">
        <f t="shared" si="10"/>
        <v>0</v>
      </c>
      <c r="X119" s="4">
        <v>1201</v>
      </c>
      <c r="Y119" s="4"/>
      <c r="Z119" s="4"/>
      <c r="AA119" s="12">
        <f t="shared" si="15"/>
        <v>0</v>
      </c>
      <c r="AC119" s="83"/>
      <c r="AD119" s="83"/>
      <c r="AE119" s="83"/>
      <c r="AF119" s="83"/>
    </row>
    <row r="120" spans="1:32" ht="12.75" customHeight="1">
      <c r="A120" s="24"/>
      <c r="B120" s="108">
        <f t="shared" si="16"/>
        <v>117</v>
      </c>
      <c r="C120" s="6">
        <v>311301</v>
      </c>
      <c r="D120" s="121" t="s">
        <v>962</v>
      </c>
      <c r="E120" s="9" t="s">
        <v>30</v>
      </c>
      <c r="F120" s="6"/>
      <c r="G120" s="6"/>
      <c r="H120" s="11">
        <f>+STAT1!V120</f>
        <v>0</v>
      </c>
      <c r="I120" s="11">
        <f>+STAT1!W120</f>
        <v>0</v>
      </c>
      <c r="J120" s="11">
        <f>+SUMIFS(JURNAL!G:G,JURNAL!E:E,C120,JURNAL!C:C,"&gt;="&amp;$H$1,JURNAL!C:C,"&lt;="&amp;$I$1)</f>
        <v>0</v>
      </c>
      <c r="K120" s="11">
        <f>+SUMIFS(JURNAL!H:H,JURNAL!E:E,C120,JURNAL!C:C,"&gt;="&amp;$H$1,JURNAL!C:C,"&lt;="&amp;$I$1)</f>
        <v>0</v>
      </c>
      <c r="L120" s="26">
        <f t="shared" si="11"/>
        <v>0</v>
      </c>
      <c r="M120" s="27">
        <f t="shared" si="9"/>
        <v>0</v>
      </c>
      <c r="N120" s="11"/>
      <c r="O120" s="335"/>
      <c r="P120" s="11"/>
      <c r="Q120" s="11"/>
      <c r="R120" s="26">
        <f t="shared" si="12"/>
        <v>0</v>
      </c>
      <c r="S120" s="27">
        <f t="shared" si="13"/>
        <v>0</v>
      </c>
      <c r="T120" s="11"/>
      <c r="U120" s="11"/>
      <c r="V120" s="26">
        <f t="shared" si="14"/>
        <v>0</v>
      </c>
      <c r="W120" s="27">
        <f t="shared" si="10"/>
        <v>0</v>
      </c>
      <c r="X120" s="4">
        <v>1201</v>
      </c>
      <c r="Y120" s="4"/>
      <c r="Z120" s="4"/>
      <c r="AA120" s="12">
        <f t="shared" si="15"/>
        <v>0</v>
      </c>
      <c r="AC120" s="83"/>
      <c r="AD120" s="83"/>
      <c r="AE120" s="83"/>
      <c r="AF120" s="83"/>
    </row>
    <row r="121" spans="1:32" ht="12.75" customHeight="1">
      <c r="A121" s="24"/>
      <c r="B121" s="108">
        <f t="shared" si="16"/>
        <v>118</v>
      </c>
      <c r="C121" s="6">
        <v>311400</v>
      </c>
      <c r="D121" s="121" t="s">
        <v>993</v>
      </c>
      <c r="E121" s="9" t="s">
        <v>32</v>
      </c>
      <c r="F121" s="6"/>
      <c r="G121" s="6"/>
      <c r="H121" s="11">
        <f>+STAT1!V121</f>
        <v>0</v>
      </c>
      <c r="I121" s="11">
        <f>+STAT1!W121</f>
        <v>0</v>
      </c>
      <c r="J121" s="11">
        <f>+SUMIFS(JURNAL!G:G,JURNAL!E:E,C121,JURNAL!C:C,"&gt;="&amp;$H$1,JURNAL!C:C,"&lt;="&amp;$I$1)</f>
        <v>0</v>
      </c>
      <c r="K121" s="11">
        <f>+SUMIFS(JURNAL!H:H,JURNAL!E:E,C121,JURNAL!C:C,"&gt;="&amp;$H$1,JURNAL!C:C,"&lt;="&amp;$I$1)</f>
        <v>0</v>
      </c>
      <c r="L121" s="26">
        <f t="shared" si="11"/>
        <v>0</v>
      </c>
      <c r="M121" s="27">
        <f t="shared" si="9"/>
        <v>0</v>
      </c>
      <c r="N121" s="11"/>
      <c r="O121" s="335"/>
      <c r="P121" s="11"/>
      <c r="Q121" s="11"/>
      <c r="R121" s="26">
        <f t="shared" si="12"/>
        <v>0</v>
      </c>
      <c r="S121" s="27">
        <f t="shared" si="13"/>
        <v>0</v>
      </c>
      <c r="T121" s="11"/>
      <c r="U121" s="11"/>
      <c r="V121" s="26">
        <f t="shared" si="14"/>
        <v>0</v>
      </c>
      <c r="W121" s="27">
        <f t="shared" si="10"/>
        <v>0</v>
      </c>
      <c r="X121" s="4">
        <v>1210</v>
      </c>
      <c r="Y121" s="4"/>
      <c r="Z121" s="4"/>
      <c r="AA121" s="12">
        <f t="shared" si="15"/>
        <v>0</v>
      </c>
      <c r="AC121" s="83"/>
      <c r="AD121" s="83"/>
      <c r="AE121" s="83"/>
      <c r="AF121" s="83"/>
    </row>
    <row r="122" spans="1:32" ht="12.75" customHeight="1">
      <c r="A122" s="24"/>
      <c r="B122" s="108">
        <f t="shared" si="16"/>
        <v>119</v>
      </c>
      <c r="C122" s="6">
        <v>311401</v>
      </c>
      <c r="D122" s="121" t="s">
        <v>994</v>
      </c>
      <c r="E122" s="9" t="s">
        <v>30</v>
      </c>
      <c r="F122" s="6"/>
      <c r="G122" s="6"/>
      <c r="H122" s="11">
        <f>+STAT1!V122</f>
        <v>0</v>
      </c>
      <c r="I122" s="11">
        <f>+STAT1!W122</f>
        <v>0</v>
      </c>
      <c r="J122" s="11">
        <f>+SUMIFS(JURNAL!G:G,JURNAL!E:E,C122,JURNAL!C:C,"&gt;="&amp;$H$1,JURNAL!C:C,"&lt;="&amp;$I$1)</f>
        <v>0</v>
      </c>
      <c r="K122" s="11">
        <f>+SUMIFS(JURNAL!H:H,JURNAL!E:E,C122,JURNAL!C:C,"&gt;="&amp;$H$1,JURNAL!C:C,"&lt;="&amp;$I$1)</f>
        <v>0</v>
      </c>
      <c r="L122" s="26">
        <f t="shared" si="11"/>
        <v>0</v>
      </c>
      <c r="M122" s="27">
        <f t="shared" si="9"/>
        <v>0</v>
      </c>
      <c r="N122" s="11"/>
      <c r="O122" s="335"/>
      <c r="P122" s="11"/>
      <c r="Q122" s="11"/>
      <c r="R122" s="26">
        <f t="shared" si="12"/>
        <v>0</v>
      </c>
      <c r="S122" s="27">
        <f t="shared" si="13"/>
        <v>0</v>
      </c>
      <c r="T122" s="11"/>
      <c r="U122" s="11"/>
      <c r="V122" s="26">
        <f t="shared" si="14"/>
        <v>0</v>
      </c>
      <c r="W122" s="27">
        <f t="shared" si="10"/>
        <v>0</v>
      </c>
      <c r="X122" s="4">
        <v>1210</v>
      </c>
      <c r="Y122" s="4"/>
      <c r="Z122" s="4"/>
      <c r="AA122" s="12">
        <f t="shared" si="15"/>
        <v>0</v>
      </c>
      <c r="AC122" s="83"/>
      <c r="AD122" s="83"/>
      <c r="AE122" s="83"/>
      <c r="AF122" s="83"/>
    </row>
    <row r="123" spans="1:32" ht="12.75" customHeight="1">
      <c r="A123" s="24"/>
      <c r="B123" s="108">
        <f t="shared" si="16"/>
        <v>120</v>
      </c>
      <c r="C123" s="6">
        <v>311600</v>
      </c>
      <c r="D123" s="121" t="s">
        <v>588</v>
      </c>
      <c r="E123" s="9" t="s">
        <v>32</v>
      </c>
      <c r="F123" s="6"/>
      <c r="G123" s="6"/>
      <c r="H123" s="11">
        <f>+STAT1!V123</f>
        <v>0</v>
      </c>
      <c r="I123" s="11">
        <f>+STAT1!W123</f>
        <v>0</v>
      </c>
      <c r="J123" s="11">
        <f>+SUMIFS(JURNAL!G:G,JURNAL!E:E,C123,JURNAL!C:C,"&gt;="&amp;$H$1,JURNAL!C:C,"&lt;="&amp;$I$1)</f>
        <v>0</v>
      </c>
      <c r="K123" s="11">
        <f>+SUMIFS(JURNAL!H:H,JURNAL!E:E,C123,JURNAL!C:C,"&gt;="&amp;$H$1,JURNAL!C:C,"&lt;="&amp;$I$1)</f>
        <v>0</v>
      </c>
      <c r="L123" s="26">
        <f t="shared" si="11"/>
        <v>0</v>
      </c>
      <c r="M123" s="27">
        <f t="shared" si="9"/>
        <v>0</v>
      </c>
      <c r="N123" s="11"/>
      <c r="O123" s="335"/>
      <c r="P123" s="11"/>
      <c r="Q123" s="11"/>
      <c r="R123" s="26">
        <f t="shared" si="12"/>
        <v>0</v>
      </c>
      <c r="S123" s="27">
        <f t="shared" si="13"/>
        <v>0</v>
      </c>
      <c r="T123" s="11"/>
      <c r="U123" s="11"/>
      <c r="V123" s="26">
        <f t="shared" si="14"/>
        <v>0</v>
      </c>
      <c r="W123" s="27">
        <f t="shared" si="10"/>
        <v>0</v>
      </c>
      <c r="X123" s="4">
        <v>1208</v>
      </c>
      <c r="Y123" s="4"/>
      <c r="Z123" s="4"/>
      <c r="AA123" s="12">
        <f t="shared" si="15"/>
        <v>0</v>
      </c>
      <c r="AC123" s="83"/>
      <c r="AD123" s="83"/>
      <c r="AE123" s="83"/>
      <c r="AF123" s="83"/>
    </row>
    <row r="124" spans="1:32" ht="12.75" customHeight="1">
      <c r="A124" s="24"/>
      <c r="B124" s="108">
        <f t="shared" si="16"/>
        <v>121</v>
      </c>
      <c r="C124" s="6">
        <v>312000</v>
      </c>
      <c r="D124" s="121" t="s">
        <v>593</v>
      </c>
      <c r="E124" s="9" t="s">
        <v>32</v>
      </c>
      <c r="F124" s="6"/>
      <c r="G124" s="6"/>
      <c r="H124" s="11">
        <f>+STAT1!V124</f>
        <v>0</v>
      </c>
      <c r="I124" s="11">
        <f>+STAT1!W124</f>
        <v>0</v>
      </c>
      <c r="J124" s="11">
        <f>+SUMIFS(JURNAL!G:G,JURNAL!E:E,C124,JURNAL!C:C,"&gt;="&amp;$H$1,JURNAL!C:C,"&lt;="&amp;$I$1)</f>
        <v>0</v>
      </c>
      <c r="K124" s="11">
        <f>+SUMIFS(JURNAL!H:H,JURNAL!E:E,C124,JURNAL!C:C,"&gt;="&amp;$H$1,JURNAL!C:C,"&lt;="&amp;$I$1)</f>
        <v>0</v>
      </c>
      <c r="L124" s="26">
        <f t="shared" si="11"/>
        <v>0</v>
      </c>
      <c r="M124" s="27">
        <f t="shared" si="9"/>
        <v>0</v>
      </c>
      <c r="N124" s="11"/>
      <c r="O124" s="335"/>
      <c r="P124" s="11"/>
      <c r="Q124" s="11"/>
      <c r="R124" s="26">
        <f t="shared" si="12"/>
        <v>0</v>
      </c>
      <c r="S124" s="27">
        <f t="shared" si="13"/>
        <v>0</v>
      </c>
      <c r="T124" s="11"/>
      <c r="U124" s="11"/>
      <c r="V124" s="26">
        <f t="shared" si="14"/>
        <v>0</v>
      </c>
      <c r="W124" s="27">
        <f t="shared" si="10"/>
        <v>0</v>
      </c>
      <c r="X124" s="4">
        <v>1210</v>
      </c>
      <c r="Y124" s="4"/>
      <c r="Z124" s="4"/>
      <c r="AA124" s="12">
        <f t="shared" si="15"/>
        <v>0</v>
      </c>
      <c r="AC124" s="83"/>
      <c r="AD124" s="83"/>
      <c r="AE124" s="83"/>
      <c r="AF124" s="83"/>
    </row>
    <row r="125" spans="1:32" ht="12.75" customHeight="1">
      <c r="A125" s="24"/>
      <c r="B125" s="108">
        <f t="shared" si="16"/>
        <v>122</v>
      </c>
      <c r="C125" s="6">
        <v>320100</v>
      </c>
      <c r="D125" s="121" t="s">
        <v>598</v>
      </c>
      <c r="E125" s="9" t="s">
        <v>32</v>
      </c>
      <c r="F125" s="6"/>
      <c r="G125" s="6"/>
      <c r="H125" s="11">
        <f>+STAT1!V125</f>
        <v>0</v>
      </c>
      <c r="I125" s="11">
        <f>+STAT1!W125</f>
        <v>118147724.09</v>
      </c>
      <c r="J125" s="11">
        <f>+SUMIFS(JURNAL!G:G,JURNAL!E:E,C125,JURNAL!C:C,"&gt;="&amp;$H$1,JURNAL!C:C,"&lt;="&amp;$I$1)</f>
        <v>21607857</v>
      </c>
      <c r="K125" s="11">
        <f>+SUMIFS(JURNAL!H:H,JURNAL!E:E,C125,JURNAL!C:C,"&gt;="&amp;$H$1,JURNAL!C:C,"&lt;="&amp;$I$1)</f>
        <v>21607857</v>
      </c>
      <c r="L125" s="26">
        <f t="shared" si="11"/>
        <v>0</v>
      </c>
      <c r="M125" s="27">
        <f t="shared" si="9"/>
        <v>118147724.09</v>
      </c>
      <c r="N125" s="11"/>
      <c r="O125" s="335"/>
      <c r="P125" s="11"/>
      <c r="Q125" s="11"/>
      <c r="R125" s="26">
        <f t="shared" si="12"/>
        <v>0</v>
      </c>
      <c r="S125" s="27">
        <f t="shared" si="13"/>
        <v>118147724.09</v>
      </c>
      <c r="T125" s="11"/>
      <c r="U125" s="11"/>
      <c r="V125" s="26">
        <f t="shared" si="14"/>
        <v>0</v>
      </c>
      <c r="W125" s="27">
        <f t="shared" si="10"/>
        <v>118147724.09</v>
      </c>
      <c r="X125" s="4">
        <v>1211</v>
      </c>
      <c r="Y125" s="4"/>
      <c r="Z125" s="4"/>
      <c r="AA125" s="12">
        <f t="shared" si="15"/>
        <v>1</v>
      </c>
      <c r="AC125" s="83"/>
      <c r="AD125" s="83"/>
      <c r="AE125" s="83"/>
      <c r="AF125" s="83"/>
    </row>
    <row r="126" spans="1:32" ht="12.75" customHeight="1">
      <c r="A126" s="24"/>
      <c r="B126" s="108">
        <f t="shared" si="16"/>
        <v>123</v>
      </c>
      <c r="C126" s="6">
        <v>320101</v>
      </c>
      <c r="D126" s="121" t="s">
        <v>963</v>
      </c>
      <c r="E126" s="9" t="s">
        <v>30</v>
      </c>
      <c r="F126" s="6"/>
      <c r="G126" s="6"/>
      <c r="H126" s="11">
        <f>+STAT1!V126</f>
        <v>0</v>
      </c>
      <c r="I126" s="11">
        <f>+STAT1!W126</f>
        <v>0</v>
      </c>
      <c r="J126" s="11">
        <f>+SUMIFS(JURNAL!G:G,JURNAL!E:E,C126,JURNAL!C:C,"&gt;="&amp;$H$1,JURNAL!C:C,"&lt;="&amp;$I$1)</f>
        <v>0</v>
      </c>
      <c r="K126" s="11">
        <f>+SUMIFS(JURNAL!H:H,JURNAL!E:E,C126,JURNAL!C:C,"&gt;="&amp;$H$1,JURNAL!C:C,"&lt;="&amp;$I$1)</f>
        <v>0</v>
      </c>
      <c r="L126" s="26">
        <f t="shared" si="11"/>
        <v>0</v>
      </c>
      <c r="M126" s="27">
        <f t="shared" si="9"/>
        <v>0</v>
      </c>
      <c r="N126" s="11"/>
      <c r="O126" s="335"/>
      <c r="P126" s="11"/>
      <c r="Q126" s="11"/>
      <c r="R126" s="26">
        <f t="shared" si="12"/>
        <v>0</v>
      </c>
      <c r="S126" s="27">
        <f t="shared" si="13"/>
        <v>0</v>
      </c>
      <c r="T126" s="11"/>
      <c r="U126" s="11"/>
      <c r="V126" s="26">
        <f t="shared" si="14"/>
        <v>0</v>
      </c>
      <c r="W126" s="27">
        <f t="shared" si="10"/>
        <v>0</v>
      </c>
      <c r="X126" s="4">
        <v>1211</v>
      </c>
      <c r="Y126" s="4"/>
      <c r="Z126" s="4"/>
      <c r="AA126" s="12">
        <f t="shared" si="15"/>
        <v>0</v>
      </c>
      <c r="AC126" s="83"/>
      <c r="AD126" s="83"/>
      <c r="AE126" s="83"/>
      <c r="AF126" s="83"/>
    </row>
    <row r="127" spans="1:32" ht="12.75" customHeight="1">
      <c r="A127" s="24"/>
      <c r="B127" s="108">
        <f t="shared" si="16"/>
        <v>124</v>
      </c>
      <c r="C127" s="6">
        <v>340100</v>
      </c>
      <c r="D127" s="121" t="s">
        <v>1567</v>
      </c>
      <c r="E127" s="9" t="s">
        <v>32</v>
      </c>
      <c r="F127" s="6"/>
      <c r="G127" s="6"/>
      <c r="H127" s="11">
        <f>+STAT1!V127</f>
        <v>0</v>
      </c>
      <c r="I127" s="11">
        <f>+STAT1!W127</f>
        <v>0</v>
      </c>
      <c r="J127" s="11">
        <f>+SUMIFS(JURNAL!G:G,JURNAL!E:E,C127,JURNAL!C:C,"&gt;="&amp;$H$1,JURNAL!C:C,"&lt;="&amp;$I$1)</f>
        <v>0</v>
      </c>
      <c r="K127" s="11">
        <f>+SUMIFS(JURNAL!H:H,JURNAL!E:E,C127,JURNAL!C:C,"&gt;="&amp;$H$1,JURNAL!C:C,"&lt;="&amp;$I$1)</f>
        <v>0</v>
      </c>
      <c r="L127" s="26">
        <f t="shared" si="11"/>
        <v>0</v>
      </c>
      <c r="M127" s="27">
        <f t="shared" si="9"/>
        <v>0</v>
      </c>
      <c r="N127" s="11"/>
      <c r="O127" s="335"/>
      <c r="P127" s="11"/>
      <c r="Q127" s="11"/>
      <c r="R127" s="26">
        <f t="shared" si="12"/>
        <v>0</v>
      </c>
      <c r="S127" s="27">
        <f t="shared" si="13"/>
        <v>0</v>
      </c>
      <c r="T127" s="11"/>
      <c r="U127" s="11"/>
      <c r="V127" s="26">
        <f t="shared" si="14"/>
        <v>0</v>
      </c>
      <c r="W127" s="27">
        <f t="shared" si="10"/>
        <v>0</v>
      </c>
      <c r="X127" s="4">
        <v>1210</v>
      </c>
      <c r="Y127" s="4"/>
      <c r="Z127" s="4"/>
      <c r="AA127" s="12">
        <f t="shared" si="15"/>
        <v>0</v>
      </c>
      <c r="AC127" s="83"/>
      <c r="AD127" s="83"/>
      <c r="AE127" s="83"/>
      <c r="AF127" s="83"/>
    </row>
    <row r="128" spans="1:32" ht="12.75" customHeight="1">
      <c r="A128" s="24"/>
      <c r="B128" s="108">
        <f t="shared" si="16"/>
        <v>125</v>
      </c>
      <c r="C128" s="6">
        <v>350100</v>
      </c>
      <c r="D128" s="121" t="s">
        <v>1568</v>
      </c>
      <c r="E128" s="9" t="s">
        <v>30</v>
      </c>
      <c r="F128" s="6"/>
      <c r="G128" s="6"/>
      <c r="H128" s="11">
        <f>+STAT1!V128</f>
        <v>0</v>
      </c>
      <c r="I128" s="11">
        <f>+STAT1!W128</f>
        <v>0</v>
      </c>
      <c r="J128" s="11">
        <f>+SUMIFS(JURNAL!G:G,JURNAL!E:E,C128,JURNAL!C:C,"&gt;="&amp;$H$1,JURNAL!C:C,"&lt;="&amp;$I$1)</f>
        <v>0</v>
      </c>
      <c r="K128" s="11">
        <f>+SUMIFS(JURNAL!H:H,JURNAL!E:E,C128,JURNAL!C:C,"&gt;="&amp;$H$1,JURNAL!C:C,"&lt;="&amp;$I$1)</f>
        <v>0</v>
      </c>
      <c r="L128" s="26">
        <f t="shared" si="11"/>
        <v>0</v>
      </c>
      <c r="M128" s="27">
        <f t="shared" si="9"/>
        <v>0</v>
      </c>
      <c r="N128" s="11"/>
      <c r="O128" s="335"/>
      <c r="P128" s="11"/>
      <c r="Q128" s="11"/>
      <c r="R128" s="26">
        <f t="shared" si="12"/>
        <v>0</v>
      </c>
      <c r="S128" s="27">
        <f t="shared" si="13"/>
        <v>0</v>
      </c>
      <c r="T128" s="11"/>
      <c r="U128" s="11"/>
      <c r="V128" s="26">
        <f t="shared" si="14"/>
        <v>0</v>
      </c>
      <c r="W128" s="27">
        <f t="shared" si="10"/>
        <v>0</v>
      </c>
      <c r="X128" s="4">
        <v>1210</v>
      </c>
      <c r="Y128" s="4"/>
      <c r="Z128" s="4"/>
      <c r="AA128" s="12">
        <f t="shared" si="15"/>
        <v>0</v>
      </c>
      <c r="AC128" s="83"/>
      <c r="AD128" s="83"/>
      <c r="AE128" s="83"/>
      <c r="AF128" s="83"/>
    </row>
    <row r="129" spans="1:32" ht="12.75" customHeight="1">
      <c r="A129" s="24"/>
      <c r="B129" s="108">
        <f t="shared" si="16"/>
        <v>126</v>
      </c>
      <c r="C129" s="6">
        <v>320200</v>
      </c>
      <c r="D129" s="121" t="s">
        <v>603</v>
      </c>
      <c r="E129" s="9" t="s">
        <v>32</v>
      </c>
      <c r="F129" s="6"/>
      <c r="G129" s="6"/>
      <c r="H129" s="11">
        <f>+STAT1!V129</f>
        <v>0</v>
      </c>
      <c r="I129" s="11">
        <f>+STAT1!W129</f>
        <v>0</v>
      </c>
      <c r="J129" s="11">
        <f>+SUMIFS(JURNAL!G:G,JURNAL!E:E,C129,JURNAL!C:C,"&gt;="&amp;$H$1,JURNAL!C:C,"&lt;="&amp;$I$1)</f>
        <v>0</v>
      </c>
      <c r="K129" s="11">
        <f>+SUMIFS(JURNAL!H:H,JURNAL!E:E,C129,JURNAL!C:C,"&gt;="&amp;$H$1,JURNAL!C:C,"&lt;="&amp;$I$1)</f>
        <v>0</v>
      </c>
      <c r="L129" s="26">
        <f t="shared" si="11"/>
        <v>0</v>
      </c>
      <c r="M129" s="27">
        <f t="shared" si="9"/>
        <v>0</v>
      </c>
      <c r="N129" s="11"/>
      <c r="O129" s="335"/>
      <c r="P129" s="11"/>
      <c r="Q129" s="11"/>
      <c r="R129" s="26">
        <f t="shared" si="12"/>
        <v>0</v>
      </c>
      <c r="S129" s="27">
        <f t="shared" si="13"/>
        <v>0</v>
      </c>
      <c r="T129" s="11"/>
      <c r="U129" s="11"/>
      <c r="V129" s="26">
        <f t="shared" si="14"/>
        <v>0</v>
      </c>
      <c r="W129" s="27">
        <f t="shared" si="10"/>
        <v>0</v>
      </c>
      <c r="X129" s="4">
        <v>1210</v>
      </c>
      <c r="Y129" s="4"/>
      <c r="Z129" s="4"/>
      <c r="AA129" s="12">
        <f t="shared" si="15"/>
        <v>0</v>
      </c>
      <c r="AC129" s="83"/>
      <c r="AD129" s="83"/>
      <c r="AE129" s="83"/>
      <c r="AF129" s="83"/>
    </row>
    <row r="130" spans="1:32" ht="12.75" customHeight="1">
      <c r="A130" s="24"/>
      <c r="B130" s="108">
        <f t="shared" si="16"/>
        <v>127</v>
      </c>
      <c r="C130" s="6">
        <v>330200</v>
      </c>
      <c r="D130" s="121" t="s">
        <v>608</v>
      </c>
      <c r="E130" s="9" t="s">
        <v>32</v>
      </c>
      <c r="F130" s="6"/>
      <c r="G130" s="6"/>
      <c r="H130" s="11">
        <f>+STAT1!V130</f>
        <v>0</v>
      </c>
      <c r="I130" s="11">
        <f>+STAT1!W130</f>
        <v>0</v>
      </c>
      <c r="J130" s="11">
        <f>+SUMIFS(JURNAL!G:G,JURNAL!E:E,C130,JURNAL!C:C,"&gt;="&amp;$H$1,JURNAL!C:C,"&lt;="&amp;$I$1)</f>
        <v>0</v>
      </c>
      <c r="K130" s="11">
        <f>+SUMIFS(JURNAL!H:H,JURNAL!E:E,C130,JURNAL!C:C,"&gt;="&amp;$H$1,JURNAL!C:C,"&lt;="&amp;$I$1)</f>
        <v>0</v>
      </c>
      <c r="L130" s="26">
        <f t="shared" si="11"/>
        <v>0</v>
      </c>
      <c r="M130" s="27">
        <f t="shared" si="9"/>
        <v>0</v>
      </c>
      <c r="N130" s="11"/>
      <c r="O130" s="335"/>
      <c r="P130" s="11"/>
      <c r="Q130" s="11"/>
      <c r="R130" s="26">
        <f t="shared" si="12"/>
        <v>0</v>
      </c>
      <c r="S130" s="27">
        <f t="shared" si="13"/>
        <v>0</v>
      </c>
      <c r="T130" s="11"/>
      <c r="U130" s="11"/>
      <c r="V130" s="26">
        <f t="shared" si="14"/>
        <v>0</v>
      </c>
      <c r="W130" s="27">
        <f t="shared" si="10"/>
        <v>0</v>
      </c>
      <c r="X130" s="4">
        <v>1221</v>
      </c>
      <c r="Y130" s="4"/>
      <c r="Z130" s="4"/>
      <c r="AA130" s="12">
        <f t="shared" si="15"/>
        <v>0</v>
      </c>
      <c r="AC130" s="83"/>
      <c r="AD130" s="83"/>
      <c r="AE130" s="83"/>
      <c r="AF130" s="83"/>
    </row>
    <row r="131" spans="1:32" ht="12.75" customHeight="1">
      <c r="A131" s="24"/>
      <c r="B131" s="108">
        <f t="shared" si="16"/>
        <v>128</v>
      </c>
      <c r="C131" s="6">
        <v>330201</v>
      </c>
      <c r="D131" s="121" t="s">
        <v>964</v>
      </c>
      <c r="E131" s="9" t="s">
        <v>30</v>
      </c>
      <c r="F131" s="6"/>
      <c r="G131" s="6"/>
      <c r="H131" s="11">
        <f>+STAT1!V131</f>
        <v>0</v>
      </c>
      <c r="I131" s="11">
        <f>+STAT1!W131</f>
        <v>0</v>
      </c>
      <c r="J131" s="11">
        <f>+SUMIFS(JURNAL!G:G,JURNAL!E:E,C131,JURNAL!C:C,"&gt;="&amp;$H$1,JURNAL!C:C,"&lt;="&amp;$I$1)</f>
        <v>0</v>
      </c>
      <c r="K131" s="11">
        <f>+SUMIFS(JURNAL!H:H,JURNAL!E:E,C131,JURNAL!C:C,"&gt;="&amp;$H$1,JURNAL!C:C,"&lt;="&amp;$I$1)</f>
        <v>0</v>
      </c>
      <c r="L131" s="26">
        <f t="shared" si="11"/>
        <v>0</v>
      </c>
      <c r="M131" s="27">
        <f t="shared" si="9"/>
        <v>0</v>
      </c>
      <c r="N131" s="11"/>
      <c r="O131" s="335"/>
      <c r="P131" s="11"/>
      <c r="Q131" s="11"/>
      <c r="R131" s="26">
        <f t="shared" si="12"/>
        <v>0</v>
      </c>
      <c r="S131" s="27">
        <f t="shared" si="13"/>
        <v>0</v>
      </c>
      <c r="T131" s="11"/>
      <c r="U131" s="11"/>
      <c r="V131" s="26">
        <f t="shared" si="14"/>
        <v>0</v>
      </c>
      <c r="W131" s="27">
        <f t="shared" si="10"/>
        <v>0</v>
      </c>
      <c r="X131" s="4">
        <v>1221</v>
      </c>
      <c r="Y131" s="4"/>
      <c r="Z131" s="4"/>
      <c r="AA131" s="12">
        <f t="shared" si="15"/>
        <v>0</v>
      </c>
      <c r="AC131" s="83"/>
      <c r="AD131" s="83"/>
      <c r="AE131" s="83"/>
      <c r="AF131" s="83"/>
    </row>
    <row r="132" spans="1:32" ht="12.75" customHeight="1">
      <c r="A132" s="24"/>
      <c r="B132" s="108">
        <f t="shared" si="16"/>
        <v>129</v>
      </c>
      <c r="C132" s="6">
        <v>330800</v>
      </c>
      <c r="D132" s="121" t="s">
        <v>613</v>
      </c>
      <c r="E132" s="9" t="s">
        <v>32</v>
      </c>
      <c r="F132" s="6"/>
      <c r="G132" s="6"/>
      <c r="H132" s="11">
        <f>+STAT1!V132</f>
        <v>0</v>
      </c>
      <c r="I132" s="11">
        <f>+STAT1!W132</f>
        <v>0</v>
      </c>
      <c r="J132" s="11">
        <f>+SUMIFS(JURNAL!G:G,JURNAL!E:E,C132,JURNAL!C:C,"&gt;="&amp;$H$1,JURNAL!C:C,"&lt;="&amp;$I$1)</f>
        <v>0</v>
      </c>
      <c r="K132" s="11">
        <f>+SUMIFS(JURNAL!H:H,JURNAL!E:E,C132,JURNAL!C:C,"&gt;="&amp;$H$1,JURNAL!C:C,"&lt;="&amp;$I$1)</f>
        <v>0</v>
      </c>
      <c r="L132" s="26">
        <f t="shared" si="11"/>
        <v>0</v>
      </c>
      <c r="M132" s="27">
        <f t="shared" ref="M132:M138" si="17">+IF((H132+J132)&lt;(I132+K132),(I132+K132)-(H132+J132),0)</f>
        <v>0</v>
      </c>
      <c r="N132" s="11"/>
      <c r="O132" s="335"/>
      <c r="P132" s="11"/>
      <c r="Q132" s="11"/>
      <c r="R132" s="26">
        <f t="shared" si="12"/>
        <v>0</v>
      </c>
      <c r="S132" s="27">
        <f t="shared" si="13"/>
        <v>0</v>
      </c>
      <c r="T132" s="11"/>
      <c r="U132" s="11"/>
      <c r="V132" s="26">
        <f t="shared" si="14"/>
        <v>0</v>
      </c>
      <c r="W132" s="27">
        <f t="shared" ref="W132:W138" si="18">+IF((R132+T132)&lt;(S132+U132),(S132+U132)-(R132+T132),0)</f>
        <v>0</v>
      </c>
      <c r="X132" s="4">
        <v>1223</v>
      </c>
      <c r="Y132" s="4"/>
      <c r="Z132" s="4"/>
      <c r="AA132" s="12">
        <f t="shared" si="15"/>
        <v>0</v>
      </c>
      <c r="AC132" s="83"/>
      <c r="AD132" s="83"/>
      <c r="AE132" s="83"/>
      <c r="AF132" s="83"/>
    </row>
    <row r="133" spans="1:32" ht="12.75" customHeight="1">
      <c r="A133" s="24"/>
      <c r="B133" s="108">
        <f t="shared" si="16"/>
        <v>130</v>
      </c>
      <c r="C133" s="6">
        <v>410200</v>
      </c>
      <c r="D133" s="121" t="s">
        <v>965</v>
      </c>
      <c r="E133" s="9" t="s">
        <v>32</v>
      </c>
      <c r="F133" s="6"/>
      <c r="G133" s="6"/>
      <c r="H133" s="11">
        <f>+STAT1!V133</f>
        <v>0</v>
      </c>
      <c r="I133" s="11">
        <f>+STAT1!W133</f>
        <v>30701981.399999999</v>
      </c>
      <c r="J133" s="11">
        <f>+SUMIFS(JURNAL!G:G,JURNAL!E:E,C133,JURNAL!C:C,"&gt;="&amp;$H$1,JURNAL!C:C,"&lt;="&amp;$I$1)</f>
        <v>0</v>
      </c>
      <c r="K133" s="11">
        <f>+SUMIFS(JURNAL!H:H,JURNAL!E:E,C133,JURNAL!C:C,"&gt;="&amp;$H$1,JURNAL!C:C,"&lt;="&amp;$I$1)</f>
        <v>0</v>
      </c>
      <c r="L133" s="26">
        <f t="shared" ref="L133:L138" si="19">+IF((H133+J133)&gt;(I133+K133),(H133+J133)-(I133+K133),0)</f>
        <v>0</v>
      </c>
      <c r="M133" s="27">
        <f t="shared" si="17"/>
        <v>30701981.399999999</v>
      </c>
      <c r="N133" s="11"/>
      <c r="O133" s="335"/>
      <c r="P133" s="11"/>
      <c r="Q133" s="11"/>
      <c r="R133" s="26">
        <f t="shared" ref="R133:R138" si="20">+IF((L133+N133)&gt;(M133+O133),(L133+N133)-(M133+O133),0)</f>
        <v>0</v>
      </c>
      <c r="S133" s="27">
        <f t="shared" ref="S133:S138" si="21">+IF((L133+N133)&lt;(M133+O133),(M133+O133)-(L133+N133),0)</f>
        <v>30701981.399999999</v>
      </c>
      <c r="T133" s="11"/>
      <c r="U133" s="11"/>
      <c r="V133" s="26">
        <f t="shared" ref="V133:V138" si="22">+IF((R133+T133)&gt;(S133+U133),(R133+T133)-(S133+U133),0)</f>
        <v>0</v>
      </c>
      <c r="W133" s="27">
        <f t="shared" si="18"/>
        <v>30701981.399999999</v>
      </c>
      <c r="X133" s="4">
        <v>1302</v>
      </c>
      <c r="Y133" s="4"/>
      <c r="Z133" s="4"/>
      <c r="AA133" s="12">
        <f t="shared" ref="AA133:AA196" si="23">+IF(H133+I133+J133+K133+L133+M133+N133+O133+R133+S133+T133+U133+V133+W133,1,0)</f>
        <v>1</v>
      </c>
      <c r="AC133" s="83"/>
      <c r="AD133" s="83"/>
      <c r="AE133" s="83"/>
      <c r="AF133" s="83"/>
    </row>
    <row r="134" spans="1:32" ht="12.75" customHeight="1">
      <c r="A134" s="24"/>
      <c r="B134" s="108">
        <f t="shared" ref="B134:B197" si="24">+B133+1</f>
        <v>131</v>
      </c>
      <c r="C134" s="6">
        <v>420100</v>
      </c>
      <c r="D134" s="121" t="s">
        <v>620</v>
      </c>
      <c r="E134" s="9" t="s">
        <v>32</v>
      </c>
      <c r="F134" s="6"/>
      <c r="G134" s="6"/>
      <c r="H134" s="11">
        <f>+STAT1!V134</f>
        <v>0</v>
      </c>
      <c r="I134" s="11">
        <f>+STAT1!W134</f>
        <v>680931312.63</v>
      </c>
      <c r="J134" s="11">
        <f>+SUMIFS(JURNAL!G:G,JURNAL!E:E,C134,JURNAL!C:C,"&gt;="&amp;$H$1,JURNAL!C:C,"&lt;="&amp;$I$1)</f>
        <v>0</v>
      </c>
      <c r="K134" s="11">
        <f>+SUMIFS(JURNAL!H:H,JURNAL!E:E,C134,JURNAL!C:C,"&gt;="&amp;$H$1,JURNAL!C:C,"&lt;="&amp;$I$1)</f>
        <v>0</v>
      </c>
      <c r="L134" s="26">
        <f t="shared" si="19"/>
        <v>0</v>
      </c>
      <c r="M134" s="27">
        <f t="shared" si="17"/>
        <v>680931312.63</v>
      </c>
      <c r="N134" s="11"/>
      <c r="O134" s="335"/>
      <c r="P134" s="11"/>
      <c r="Q134" s="11"/>
      <c r="R134" s="26">
        <f t="shared" si="20"/>
        <v>0</v>
      </c>
      <c r="S134" s="27">
        <f t="shared" si="21"/>
        <v>680931312.63</v>
      </c>
      <c r="T134" s="11"/>
      <c r="U134" s="11"/>
      <c r="V134" s="26">
        <f t="shared" si="22"/>
        <v>0</v>
      </c>
      <c r="W134" s="27">
        <f t="shared" si="18"/>
        <v>680931312.63</v>
      </c>
      <c r="X134" s="4">
        <v>1310</v>
      </c>
      <c r="Y134" s="4"/>
      <c r="Z134" s="4"/>
      <c r="AA134" s="12">
        <f t="shared" si="23"/>
        <v>1</v>
      </c>
      <c r="AC134" s="83"/>
      <c r="AD134" s="83"/>
      <c r="AE134" s="83"/>
      <c r="AF134" s="83"/>
    </row>
    <row r="135" spans="1:32" ht="12.75" customHeight="1">
      <c r="A135" s="24"/>
      <c r="B135" s="108">
        <f t="shared" si="24"/>
        <v>132</v>
      </c>
      <c r="C135" s="6">
        <v>420200</v>
      </c>
      <c r="D135" s="121" t="s">
        <v>180</v>
      </c>
      <c r="E135" s="9" t="s">
        <v>32</v>
      </c>
      <c r="F135" s="6"/>
      <c r="G135" s="6"/>
      <c r="H135" s="11">
        <f>+STAT1!V135</f>
        <v>0</v>
      </c>
      <c r="I135" s="11">
        <f>+STAT1!W135</f>
        <v>0</v>
      </c>
      <c r="J135" s="11">
        <f>+SUMIFS(JURNAL!G:G,JURNAL!E:E,C135,JURNAL!C:C,"&gt;="&amp;$H$1,JURNAL!C:C,"&lt;="&amp;$I$1)</f>
        <v>0</v>
      </c>
      <c r="K135" s="11">
        <f>+SUMIFS(JURNAL!H:H,JURNAL!E:E,C135,JURNAL!C:C,"&gt;="&amp;$H$1,JURNAL!C:C,"&lt;="&amp;$I$1)</f>
        <v>0</v>
      </c>
      <c r="L135" s="26">
        <f t="shared" si="19"/>
        <v>0</v>
      </c>
      <c r="M135" s="27">
        <f t="shared" si="17"/>
        <v>0</v>
      </c>
      <c r="N135" s="11"/>
      <c r="O135" s="335"/>
      <c r="P135" s="11"/>
      <c r="Q135" s="11"/>
      <c r="R135" s="26">
        <f t="shared" si="20"/>
        <v>0</v>
      </c>
      <c r="S135" s="27">
        <f t="shared" si="21"/>
        <v>0</v>
      </c>
      <c r="T135" s="11"/>
      <c r="U135" s="11"/>
      <c r="V135" s="26">
        <f t="shared" si="22"/>
        <v>0</v>
      </c>
      <c r="W135" s="27">
        <f t="shared" si="18"/>
        <v>0</v>
      </c>
      <c r="X135" s="4">
        <v>1311</v>
      </c>
      <c r="Y135" s="4"/>
      <c r="Z135" s="4"/>
      <c r="AA135" s="12">
        <f t="shared" si="23"/>
        <v>0</v>
      </c>
      <c r="AC135" s="83"/>
      <c r="AD135" s="83"/>
      <c r="AE135" s="83"/>
      <c r="AF135" s="83"/>
    </row>
    <row r="136" spans="1:32" ht="12.75" customHeight="1">
      <c r="A136" s="24"/>
      <c r="B136" s="108">
        <f t="shared" si="24"/>
        <v>133</v>
      </c>
      <c r="C136" s="6">
        <v>430300</v>
      </c>
      <c r="D136" s="121" t="s">
        <v>627</v>
      </c>
      <c r="E136" s="9" t="s">
        <v>32</v>
      </c>
      <c r="F136" s="6"/>
      <c r="G136" s="6"/>
      <c r="H136" s="11">
        <f>+STAT1!V136</f>
        <v>0</v>
      </c>
      <c r="I136" s="11">
        <f>+STAT1!W136</f>
        <v>106378624.62</v>
      </c>
      <c r="J136" s="11">
        <f>+SUMIFS(JURNAL!G:G,JURNAL!E:E,C136,JURNAL!C:C,"&gt;="&amp;$H$1,JURNAL!C:C,"&lt;="&amp;$I$1)</f>
        <v>0</v>
      </c>
      <c r="K136" s="11">
        <f>+SUMIFS(JURNAL!H:H,JURNAL!E:E,C136,JURNAL!C:C,"&gt;="&amp;$H$1,JURNAL!C:C,"&lt;="&amp;$I$1)</f>
        <v>0</v>
      </c>
      <c r="L136" s="26">
        <f t="shared" si="19"/>
        <v>0</v>
      </c>
      <c r="M136" s="27">
        <f t="shared" si="17"/>
        <v>106378624.62</v>
      </c>
      <c r="N136" s="11"/>
      <c r="O136" s="335"/>
      <c r="P136" s="11"/>
      <c r="Q136" s="11"/>
      <c r="R136" s="26">
        <f t="shared" si="20"/>
        <v>0</v>
      </c>
      <c r="S136" s="27">
        <f t="shared" si="21"/>
        <v>106378624.62</v>
      </c>
      <c r="T136" s="11"/>
      <c r="U136" s="11"/>
      <c r="V136" s="26">
        <f t="shared" si="22"/>
        <v>0</v>
      </c>
      <c r="W136" s="27">
        <f t="shared" si="18"/>
        <v>106378624.62</v>
      </c>
      <c r="X136" s="4">
        <v>1312</v>
      </c>
      <c r="Y136" s="4"/>
      <c r="Z136" s="4"/>
      <c r="AA136" s="12">
        <f t="shared" si="23"/>
        <v>1</v>
      </c>
      <c r="AC136" s="83"/>
      <c r="AD136" s="83"/>
      <c r="AE136" s="83"/>
      <c r="AF136" s="83"/>
    </row>
    <row r="137" spans="1:32" ht="12.75" customHeight="1">
      <c r="A137" s="24"/>
      <c r="B137" s="108">
        <f t="shared" si="24"/>
        <v>134</v>
      </c>
      <c r="C137" s="6">
        <v>440100</v>
      </c>
      <c r="D137" s="121" t="s">
        <v>633</v>
      </c>
      <c r="E137" s="9" t="s">
        <v>32</v>
      </c>
      <c r="F137" s="6"/>
      <c r="G137" s="6"/>
      <c r="H137" s="11">
        <f>+STAT1!V137</f>
        <v>0</v>
      </c>
      <c r="I137" s="11">
        <f>+STAT1!W137</f>
        <v>984463390.13</v>
      </c>
      <c r="J137" s="11">
        <f>+SUMIFS(JURNAL!G:G,JURNAL!E:E,C137,JURNAL!C:C,"&gt;="&amp;$H$1,JURNAL!C:C,"&lt;="&amp;$I$1)</f>
        <v>0</v>
      </c>
      <c r="K137" s="11">
        <f>+SUMIFS(JURNAL!H:H,JURNAL!E:E,C137,JURNAL!C:C,"&gt;="&amp;$H$1,JURNAL!C:C,"&lt;="&amp;$I$1)</f>
        <v>0</v>
      </c>
      <c r="L137" s="26">
        <f t="shared" si="19"/>
        <v>0</v>
      </c>
      <c r="M137" s="27">
        <f t="shared" si="17"/>
        <v>984463390.13</v>
      </c>
      <c r="N137" s="11"/>
      <c r="O137" s="335"/>
      <c r="P137" s="11"/>
      <c r="Q137" s="11"/>
      <c r="R137" s="26">
        <f t="shared" si="20"/>
        <v>0</v>
      </c>
      <c r="S137" s="27">
        <f t="shared" si="21"/>
        <v>984463390.13</v>
      </c>
      <c r="T137" s="11"/>
      <c r="U137" s="11"/>
      <c r="V137" s="26">
        <f t="shared" si="22"/>
        <v>0</v>
      </c>
      <c r="W137" s="27">
        <f t="shared" si="18"/>
        <v>984463390.13</v>
      </c>
      <c r="X137" s="4">
        <v>1313</v>
      </c>
      <c r="Y137" s="4"/>
      <c r="Z137" s="4"/>
      <c r="AA137" s="12">
        <f t="shared" si="23"/>
        <v>1</v>
      </c>
      <c r="AC137" s="83"/>
      <c r="AD137" s="83"/>
      <c r="AE137" s="83"/>
      <c r="AF137" s="83"/>
    </row>
    <row r="138" spans="1:32" ht="12.75" customHeight="1">
      <c r="A138" s="24"/>
      <c r="B138" s="108">
        <f t="shared" si="24"/>
        <v>135</v>
      </c>
      <c r="C138" s="6">
        <v>440200</v>
      </c>
      <c r="D138" s="121" t="s">
        <v>639</v>
      </c>
      <c r="E138" s="9" t="s">
        <v>32</v>
      </c>
      <c r="F138" s="6"/>
      <c r="G138" s="6"/>
      <c r="H138" s="11">
        <f>+STAT1!V138</f>
        <v>29421719.660101078</v>
      </c>
      <c r="I138" s="11">
        <f>+STAT1!W138</f>
        <v>0</v>
      </c>
      <c r="J138" s="11">
        <f>+SUMIFS(JURNAL!G:G,JURNAL!E:E,C138,JURNAL!C:C,"&gt;="&amp;$H$1,JURNAL!C:C,"&lt;="&amp;$I$1)</f>
        <v>0</v>
      </c>
      <c r="K138" s="11">
        <f>+SUMIFS(JURNAL!H:H,JURNAL!E:E,C138,JURNAL!C:C,"&gt;="&amp;$H$1,JURNAL!C:C,"&lt;="&amp;$I$1)</f>
        <v>0</v>
      </c>
      <c r="L138" s="26">
        <f t="shared" si="19"/>
        <v>29421719.660101078</v>
      </c>
      <c r="M138" s="27">
        <f t="shared" si="17"/>
        <v>0</v>
      </c>
      <c r="N138" s="11"/>
      <c r="O138" s="335"/>
      <c r="P138" s="11"/>
      <c r="Q138" s="11"/>
      <c r="R138" s="26">
        <f t="shared" si="20"/>
        <v>29421719.660101078</v>
      </c>
      <c r="S138" s="27">
        <f t="shared" si="21"/>
        <v>0</v>
      </c>
      <c r="T138" s="27">
        <v>34522644.578148156</v>
      </c>
      <c r="U138" s="11"/>
      <c r="V138" s="26">
        <f t="shared" si="22"/>
        <v>63944364.238249235</v>
      </c>
      <c r="W138" s="27">
        <f t="shared" si="18"/>
        <v>0</v>
      </c>
      <c r="X138" s="4">
        <v>1314</v>
      </c>
      <c r="Y138" s="4"/>
      <c r="Z138" s="4"/>
      <c r="AA138" s="12">
        <f t="shared" si="23"/>
        <v>1</v>
      </c>
      <c r="AC138" s="83"/>
      <c r="AD138" s="83"/>
      <c r="AE138" s="83"/>
      <c r="AF138" s="83"/>
    </row>
    <row r="139" spans="1:32" ht="12.75" customHeight="1">
      <c r="A139" s="24"/>
      <c r="B139" s="108">
        <f t="shared" si="24"/>
        <v>136</v>
      </c>
      <c r="C139" s="137"/>
      <c r="D139" s="138" t="s">
        <v>996</v>
      </c>
      <c r="E139" s="61" t="s">
        <v>32</v>
      </c>
      <c r="F139" s="28">
        <f>+SUM(F4:F138)</f>
        <v>6150.4600000000009</v>
      </c>
      <c r="G139" s="28">
        <f>+SUM(G4:G138)</f>
        <v>14937.180000000002</v>
      </c>
      <c r="H139" s="28">
        <f>+SUM(H4:H138)</f>
        <v>3333515128.9903846</v>
      </c>
      <c r="I139" s="28">
        <f>+SUM(I4:I138)</f>
        <v>3333515128.992785</v>
      </c>
      <c r="J139" s="28">
        <f t="shared" ref="J139:AA139" si="25">+SUM(J4:J138)</f>
        <v>662002089.75</v>
      </c>
      <c r="K139" s="28">
        <f t="shared" si="25"/>
        <v>696548556.36814821</v>
      </c>
      <c r="L139" s="28">
        <f t="shared" si="25"/>
        <v>3333956809.7903848</v>
      </c>
      <c r="M139" s="28">
        <f t="shared" si="25"/>
        <v>3368503276.410933</v>
      </c>
      <c r="N139" s="28">
        <f t="shared" si="25"/>
        <v>12261622.370000001</v>
      </c>
      <c r="O139" s="28">
        <f t="shared" si="25"/>
        <v>12237800.33</v>
      </c>
      <c r="P139" s="28">
        <f t="shared" si="25"/>
        <v>505.36</v>
      </c>
      <c r="Q139" s="28">
        <f t="shared" si="25"/>
        <v>12314.1</v>
      </c>
      <c r="R139" s="28">
        <f t="shared" si="25"/>
        <v>3321742831.5003848</v>
      </c>
      <c r="S139" s="28">
        <f t="shared" si="25"/>
        <v>3356265476.0809331</v>
      </c>
      <c r="T139" s="28">
        <f t="shared" si="25"/>
        <v>34522644.578148156</v>
      </c>
      <c r="U139" s="28">
        <f t="shared" si="25"/>
        <v>0</v>
      </c>
      <c r="V139" s="28">
        <f t="shared" si="25"/>
        <v>3356265476.0785332</v>
      </c>
      <c r="W139" s="28">
        <f t="shared" si="25"/>
        <v>3356265476.0809331</v>
      </c>
      <c r="X139" s="28"/>
      <c r="Y139" s="28">
        <f t="shared" si="25"/>
        <v>0</v>
      </c>
      <c r="Z139" s="28">
        <f t="shared" si="25"/>
        <v>0</v>
      </c>
      <c r="AA139" s="28">
        <f t="shared" si="25"/>
        <v>53</v>
      </c>
      <c r="AC139" s="83"/>
      <c r="AD139" s="83"/>
      <c r="AE139" s="83"/>
      <c r="AF139" s="83"/>
    </row>
    <row r="140" spans="1:32" ht="12.75" customHeight="1">
      <c r="A140" s="24"/>
      <c r="B140" s="108">
        <f t="shared" si="24"/>
        <v>137</v>
      </c>
      <c r="C140" s="6">
        <v>510000</v>
      </c>
      <c r="D140" s="6" t="s">
        <v>507</v>
      </c>
      <c r="E140" s="9" t="s">
        <v>32</v>
      </c>
      <c r="F140" s="6"/>
      <c r="G140" s="6"/>
      <c r="H140" s="11">
        <f>+STAT1!V140</f>
        <v>0</v>
      </c>
      <c r="I140" s="11">
        <f>+STAT1!W140</f>
        <v>0</v>
      </c>
      <c r="J140" s="11">
        <f>+SUMIFS(JURNAL!G:G,JURNAL!E:E,C140,JURNAL!C:C,"&gt;="&amp;$H$1,JURNAL!C:C,"&lt;="&amp;$I$1)</f>
        <v>0</v>
      </c>
      <c r="K140" s="11">
        <f>+SUMIFS(JURNAL!H:H,JURNAL!E:E,C140,JURNAL!C:C,"&gt;="&amp;$H$1,JURNAL!C:C,"&lt;="&amp;$I$1)</f>
        <v>19643506.370000001</v>
      </c>
      <c r="L140" s="26">
        <f t="shared" ref="L140:L203" si="26">+IF((H140+J140)&gt;(I140+K140),(H140+J140)-(I140+K140),0)</f>
        <v>0</v>
      </c>
      <c r="M140" s="27">
        <f t="shared" ref="M140:M203" si="27">+IF((H140+J140)&lt;(I140+K140),(I140+K140)-(H140+J140),0)</f>
        <v>19643506.370000001</v>
      </c>
      <c r="N140" s="11"/>
      <c r="O140" s="11"/>
      <c r="P140" s="11"/>
      <c r="Q140" s="11"/>
      <c r="R140" s="26">
        <f t="shared" ref="R140:R203" si="28">+IF((L140+N140)&gt;(M140+O140),(L140+N140)-(M140+O140),0)</f>
        <v>0</v>
      </c>
      <c r="S140" s="27">
        <f t="shared" ref="S140:S203" si="29">+IF((L140+N140)&lt;(M140+O140),(M140+O140)-(L140+N140),0)</f>
        <v>19643506.370000001</v>
      </c>
      <c r="T140" s="11">
        <f t="shared" ref="T140:T203" si="30">+S140</f>
        <v>19643506.370000001</v>
      </c>
      <c r="U140" s="11">
        <f t="shared" ref="U140:U203" si="31">+R140</f>
        <v>0</v>
      </c>
      <c r="V140" s="26">
        <f t="shared" ref="V140:V203" si="32">+IF((R140+T140)&gt;(S140+U140),(R140+T140)-(S140+U140),0)</f>
        <v>0</v>
      </c>
      <c r="W140" s="27">
        <f t="shared" ref="W140:W203" si="33">+IF((R140+T140)&lt;(S140+U140),(S140+U140)-(R140+T140),0)</f>
        <v>0</v>
      </c>
      <c r="X140" s="4">
        <v>5101</v>
      </c>
      <c r="Y140" s="4"/>
      <c r="Z140" s="4"/>
      <c r="AA140" s="12">
        <f t="shared" si="23"/>
        <v>1</v>
      </c>
      <c r="AC140" s="83"/>
      <c r="AD140" s="83"/>
      <c r="AE140" s="83"/>
      <c r="AF140" s="83"/>
    </row>
    <row r="141" spans="1:32" ht="12.75" customHeight="1">
      <c r="A141" s="24"/>
      <c r="B141" s="108">
        <f t="shared" si="24"/>
        <v>138</v>
      </c>
      <c r="C141" s="6">
        <v>510100</v>
      </c>
      <c r="D141" s="6" t="s">
        <v>512</v>
      </c>
      <c r="E141" s="9" t="s">
        <v>32</v>
      </c>
      <c r="F141" s="6"/>
      <c r="G141" s="6"/>
      <c r="H141" s="11">
        <f>+STAT1!V141</f>
        <v>0</v>
      </c>
      <c r="I141" s="11">
        <f>+STAT1!W141</f>
        <v>0</v>
      </c>
      <c r="J141" s="11">
        <f>+SUMIFS(JURNAL!G:G,JURNAL!E:E,C141,JURNAL!C:C,"&gt;="&amp;$H$1,JURNAL!C:C,"&lt;="&amp;$I$1)</f>
        <v>0</v>
      </c>
      <c r="K141" s="11">
        <f>+SUMIFS(JURNAL!H:H,JURNAL!E:E,C141,JURNAL!C:C,"&gt;="&amp;$H$1,JURNAL!C:C,"&lt;="&amp;$I$1)</f>
        <v>0</v>
      </c>
      <c r="L141" s="26">
        <f t="shared" si="26"/>
        <v>0</v>
      </c>
      <c r="M141" s="27">
        <f t="shared" si="27"/>
        <v>0</v>
      </c>
      <c r="N141" s="11"/>
      <c r="O141" s="11"/>
      <c r="P141" s="11"/>
      <c r="Q141" s="11"/>
      <c r="R141" s="26">
        <f t="shared" si="28"/>
        <v>0</v>
      </c>
      <c r="S141" s="27">
        <f t="shared" si="29"/>
        <v>0</v>
      </c>
      <c r="T141" s="11">
        <f t="shared" si="30"/>
        <v>0</v>
      </c>
      <c r="U141" s="11">
        <f t="shared" si="31"/>
        <v>0</v>
      </c>
      <c r="V141" s="26">
        <f t="shared" si="32"/>
        <v>0</v>
      </c>
      <c r="W141" s="27">
        <f t="shared" si="33"/>
        <v>0</v>
      </c>
      <c r="X141" s="4">
        <v>5101</v>
      </c>
      <c r="Y141" s="4"/>
      <c r="Z141" s="4"/>
      <c r="AA141" s="12">
        <f t="shared" si="23"/>
        <v>0</v>
      </c>
      <c r="AC141" s="83"/>
      <c r="AD141" s="83"/>
      <c r="AE141" s="83"/>
      <c r="AF141" s="83"/>
    </row>
    <row r="142" spans="1:32" ht="12.75" customHeight="1">
      <c r="A142" s="24"/>
      <c r="B142" s="108">
        <f t="shared" si="24"/>
        <v>139</v>
      </c>
      <c r="C142" s="6">
        <v>510200</v>
      </c>
      <c r="D142" s="6" t="s">
        <v>517</v>
      </c>
      <c r="E142" s="9" t="s">
        <v>32</v>
      </c>
      <c r="F142" s="6"/>
      <c r="G142" s="6"/>
      <c r="H142" s="11">
        <f>+STAT1!V142</f>
        <v>0</v>
      </c>
      <c r="I142" s="11">
        <f>+STAT1!W142</f>
        <v>0</v>
      </c>
      <c r="J142" s="11">
        <f>+SUMIFS(JURNAL!G:G,JURNAL!E:E,C142,JURNAL!C:C,"&gt;="&amp;$H$1,JURNAL!C:C,"&lt;="&amp;$I$1)</f>
        <v>0</v>
      </c>
      <c r="K142" s="11">
        <f>+SUMIFS(JURNAL!H:H,JURNAL!E:E,C142,JURNAL!C:C,"&gt;="&amp;$H$1,JURNAL!C:C,"&lt;="&amp;$I$1)</f>
        <v>0</v>
      </c>
      <c r="L142" s="26">
        <f t="shared" si="26"/>
        <v>0</v>
      </c>
      <c r="M142" s="27">
        <f t="shared" si="27"/>
        <v>0</v>
      </c>
      <c r="N142" s="11"/>
      <c r="O142" s="11"/>
      <c r="P142" s="11"/>
      <c r="Q142" s="11"/>
      <c r="R142" s="26">
        <f t="shared" si="28"/>
        <v>0</v>
      </c>
      <c r="S142" s="27">
        <f t="shared" si="29"/>
        <v>0</v>
      </c>
      <c r="T142" s="11">
        <f t="shared" si="30"/>
        <v>0</v>
      </c>
      <c r="U142" s="11">
        <f t="shared" si="31"/>
        <v>0</v>
      </c>
      <c r="V142" s="26">
        <f t="shared" si="32"/>
        <v>0</v>
      </c>
      <c r="W142" s="27">
        <f t="shared" si="33"/>
        <v>0</v>
      </c>
      <c r="X142" s="4">
        <v>5101</v>
      </c>
      <c r="Y142" s="4"/>
      <c r="Z142" s="4"/>
      <c r="AA142" s="12">
        <f t="shared" si="23"/>
        <v>0</v>
      </c>
      <c r="AC142" s="83"/>
      <c r="AD142" s="83"/>
      <c r="AE142" s="83"/>
      <c r="AF142" s="83"/>
    </row>
    <row r="143" spans="1:32" ht="12.75" customHeight="1">
      <c r="A143" s="24"/>
      <c r="B143" s="108">
        <f t="shared" si="24"/>
        <v>140</v>
      </c>
      <c r="C143" s="6">
        <v>510300</v>
      </c>
      <c r="D143" s="6" t="s">
        <v>522</v>
      </c>
      <c r="E143" s="9" t="s">
        <v>32</v>
      </c>
      <c r="F143" s="6"/>
      <c r="G143" s="6"/>
      <c r="H143" s="11">
        <f>+STAT1!V143</f>
        <v>0</v>
      </c>
      <c r="I143" s="11">
        <f>+STAT1!W143</f>
        <v>0</v>
      </c>
      <c r="J143" s="11">
        <f>+SUMIFS(JURNAL!G:G,JURNAL!E:E,C143,JURNAL!C:C,"&gt;="&amp;$H$1,JURNAL!C:C,"&lt;="&amp;$I$1)</f>
        <v>0</v>
      </c>
      <c r="K143" s="11">
        <f>+SUMIFS(JURNAL!H:H,JURNAL!E:E,C143,JURNAL!C:C,"&gt;="&amp;$H$1,JURNAL!C:C,"&lt;="&amp;$I$1)</f>
        <v>0</v>
      </c>
      <c r="L143" s="26">
        <f t="shared" si="26"/>
        <v>0</v>
      </c>
      <c r="M143" s="27">
        <f t="shared" si="27"/>
        <v>0</v>
      </c>
      <c r="N143" s="11"/>
      <c r="O143" s="11"/>
      <c r="P143" s="11"/>
      <c r="Q143" s="11"/>
      <c r="R143" s="26">
        <f t="shared" si="28"/>
        <v>0</v>
      </c>
      <c r="S143" s="27">
        <f t="shared" si="29"/>
        <v>0</v>
      </c>
      <c r="T143" s="11">
        <f t="shared" si="30"/>
        <v>0</v>
      </c>
      <c r="U143" s="11">
        <f t="shared" si="31"/>
        <v>0</v>
      </c>
      <c r="V143" s="26">
        <f t="shared" si="32"/>
        <v>0</v>
      </c>
      <c r="W143" s="27">
        <f t="shared" si="33"/>
        <v>0</v>
      </c>
      <c r="X143" s="4">
        <v>5101</v>
      </c>
      <c r="Y143" s="4"/>
      <c r="Z143" s="4"/>
      <c r="AA143" s="12">
        <f t="shared" si="23"/>
        <v>0</v>
      </c>
      <c r="AC143" s="83"/>
      <c r="AD143" s="83"/>
      <c r="AE143" s="83"/>
      <c r="AF143" s="83"/>
    </row>
    <row r="144" spans="1:32" ht="12.75" customHeight="1">
      <c r="A144" s="24"/>
      <c r="B144" s="108">
        <f t="shared" si="24"/>
        <v>141</v>
      </c>
      <c r="C144" s="6">
        <v>510400</v>
      </c>
      <c r="D144" s="6" t="s">
        <v>528</v>
      </c>
      <c r="E144" s="9" t="s">
        <v>32</v>
      </c>
      <c r="F144" s="6"/>
      <c r="G144" s="6"/>
      <c r="H144" s="11">
        <f>+STAT1!V144</f>
        <v>0</v>
      </c>
      <c r="I144" s="11">
        <f>+STAT1!W144</f>
        <v>0</v>
      </c>
      <c r="J144" s="11">
        <f>+SUMIFS(JURNAL!G:G,JURNAL!E:E,C144,JURNAL!C:C,"&gt;="&amp;$H$1,JURNAL!C:C,"&lt;="&amp;$I$1)</f>
        <v>0</v>
      </c>
      <c r="K144" s="11">
        <f>+SUMIFS(JURNAL!H:H,JURNAL!E:E,C144,JURNAL!C:C,"&gt;="&amp;$H$1,JURNAL!C:C,"&lt;="&amp;$I$1)</f>
        <v>0</v>
      </c>
      <c r="L144" s="26">
        <f t="shared" si="26"/>
        <v>0</v>
      </c>
      <c r="M144" s="27">
        <f t="shared" si="27"/>
        <v>0</v>
      </c>
      <c r="N144" s="11"/>
      <c r="O144" s="11"/>
      <c r="P144" s="11"/>
      <c r="Q144" s="11"/>
      <c r="R144" s="26">
        <f t="shared" si="28"/>
        <v>0</v>
      </c>
      <c r="S144" s="27">
        <f t="shared" si="29"/>
        <v>0</v>
      </c>
      <c r="T144" s="11">
        <f t="shared" si="30"/>
        <v>0</v>
      </c>
      <c r="U144" s="11">
        <f t="shared" si="31"/>
        <v>0</v>
      </c>
      <c r="V144" s="26">
        <f t="shared" si="32"/>
        <v>0</v>
      </c>
      <c r="W144" s="27">
        <f t="shared" si="33"/>
        <v>0</v>
      </c>
      <c r="X144" s="4">
        <v>5101</v>
      </c>
      <c r="Y144" s="4"/>
      <c r="Z144" s="4"/>
      <c r="AA144" s="12">
        <f t="shared" si="23"/>
        <v>0</v>
      </c>
      <c r="AC144" s="83"/>
      <c r="AD144" s="83"/>
      <c r="AE144" s="83"/>
      <c r="AF144" s="83"/>
    </row>
    <row r="145" spans="1:32" ht="12.75" customHeight="1">
      <c r="A145" s="24"/>
      <c r="B145" s="108">
        <f t="shared" si="24"/>
        <v>142</v>
      </c>
      <c r="C145" s="6">
        <v>511000</v>
      </c>
      <c r="D145" s="6" t="s">
        <v>535</v>
      </c>
      <c r="E145" s="9" t="s">
        <v>32</v>
      </c>
      <c r="F145" s="6"/>
      <c r="G145" s="6"/>
      <c r="H145" s="11">
        <f>+STAT1!V145</f>
        <v>0</v>
      </c>
      <c r="I145" s="11">
        <f>+STAT1!W145</f>
        <v>0</v>
      </c>
      <c r="J145" s="11">
        <f>+SUMIFS(JURNAL!G:G,JURNAL!E:E,C145,JURNAL!C:C,"&gt;="&amp;$H$1,JURNAL!C:C,"&lt;="&amp;$I$1)</f>
        <v>0</v>
      </c>
      <c r="K145" s="11">
        <f>+SUMIFS(JURNAL!H:H,JURNAL!E:E,C145,JURNAL!C:C,"&gt;="&amp;$H$1,JURNAL!C:C,"&lt;="&amp;$I$1)</f>
        <v>0</v>
      </c>
      <c r="L145" s="26">
        <f t="shared" si="26"/>
        <v>0</v>
      </c>
      <c r="M145" s="27">
        <f t="shared" si="27"/>
        <v>0</v>
      </c>
      <c r="N145" s="11"/>
      <c r="O145" s="11"/>
      <c r="P145" s="11"/>
      <c r="Q145" s="11"/>
      <c r="R145" s="26">
        <f t="shared" si="28"/>
        <v>0</v>
      </c>
      <c r="S145" s="27">
        <f t="shared" si="29"/>
        <v>0</v>
      </c>
      <c r="T145" s="11">
        <f t="shared" si="30"/>
        <v>0</v>
      </c>
      <c r="U145" s="11">
        <f t="shared" si="31"/>
        <v>0</v>
      </c>
      <c r="V145" s="26">
        <f t="shared" si="32"/>
        <v>0</v>
      </c>
      <c r="W145" s="27">
        <f t="shared" si="33"/>
        <v>0</v>
      </c>
      <c r="X145" s="4">
        <v>8402</v>
      </c>
      <c r="Y145" s="4"/>
      <c r="Z145" s="4"/>
      <c r="AA145" s="12">
        <f t="shared" si="23"/>
        <v>0</v>
      </c>
      <c r="AC145" s="83"/>
      <c r="AD145" s="83"/>
      <c r="AE145" s="83"/>
      <c r="AF145" s="83"/>
    </row>
    <row r="146" spans="1:32" ht="12.75" customHeight="1">
      <c r="A146" s="24"/>
      <c r="B146" s="108">
        <f t="shared" si="24"/>
        <v>143</v>
      </c>
      <c r="C146" s="6">
        <v>511100</v>
      </c>
      <c r="D146" s="6" t="s">
        <v>542</v>
      </c>
      <c r="E146" s="9" t="s">
        <v>32</v>
      </c>
      <c r="F146" s="6"/>
      <c r="G146" s="6"/>
      <c r="H146" s="11">
        <f>+STAT1!V146</f>
        <v>0</v>
      </c>
      <c r="I146" s="11">
        <f>+STAT1!W146</f>
        <v>0</v>
      </c>
      <c r="J146" s="11">
        <f>+SUMIFS(JURNAL!G:G,JURNAL!E:E,C146,JURNAL!C:C,"&gt;="&amp;$H$1,JURNAL!C:C,"&lt;="&amp;$I$1)</f>
        <v>0</v>
      </c>
      <c r="K146" s="11">
        <f>+SUMIFS(JURNAL!H:H,JURNAL!E:E,C146,JURNAL!C:C,"&gt;="&amp;$H$1,JURNAL!C:C,"&lt;="&amp;$I$1)</f>
        <v>0</v>
      </c>
      <c r="L146" s="26">
        <f t="shared" si="26"/>
        <v>0</v>
      </c>
      <c r="M146" s="27">
        <f t="shared" si="27"/>
        <v>0</v>
      </c>
      <c r="N146" s="11"/>
      <c r="O146" s="11"/>
      <c r="P146" s="11"/>
      <c r="Q146" s="11"/>
      <c r="R146" s="26">
        <f t="shared" si="28"/>
        <v>0</v>
      </c>
      <c r="S146" s="27">
        <f t="shared" si="29"/>
        <v>0</v>
      </c>
      <c r="T146" s="11">
        <f t="shared" si="30"/>
        <v>0</v>
      </c>
      <c r="U146" s="11">
        <f t="shared" si="31"/>
        <v>0</v>
      </c>
      <c r="V146" s="26">
        <f t="shared" si="32"/>
        <v>0</v>
      </c>
      <c r="W146" s="27">
        <f t="shared" si="33"/>
        <v>0</v>
      </c>
      <c r="X146" s="4">
        <v>5111</v>
      </c>
      <c r="Y146" s="4"/>
      <c r="Z146" s="4"/>
      <c r="AA146" s="12">
        <f t="shared" si="23"/>
        <v>0</v>
      </c>
      <c r="AC146" s="83"/>
      <c r="AD146" s="83"/>
      <c r="AE146" s="83"/>
      <c r="AF146" s="83"/>
    </row>
    <row r="147" spans="1:32" ht="12.75" customHeight="1">
      <c r="A147" s="24"/>
      <c r="B147" s="108">
        <f t="shared" si="24"/>
        <v>144</v>
      </c>
      <c r="C147" s="6">
        <v>511200</v>
      </c>
      <c r="D147" s="6" t="s">
        <v>547</v>
      </c>
      <c r="E147" s="9" t="s">
        <v>32</v>
      </c>
      <c r="F147" s="6"/>
      <c r="G147" s="6"/>
      <c r="H147" s="11">
        <f>+STAT1!V147</f>
        <v>0</v>
      </c>
      <c r="I147" s="11">
        <f>+STAT1!W147</f>
        <v>0</v>
      </c>
      <c r="J147" s="11">
        <f>+SUMIFS(JURNAL!G:G,JURNAL!E:E,C147,JURNAL!C:C,"&gt;="&amp;$H$1,JURNAL!C:C,"&lt;="&amp;$I$1)</f>
        <v>0</v>
      </c>
      <c r="K147" s="11">
        <f>+SUMIFS(JURNAL!H:H,JURNAL!E:E,C147,JURNAL!C:C,"&gt;="&amp;$H$1,JURNAL!C:C,"&lt;="&amp;$I$1)</f>
        <v>0</v>
      </c>
      <c r="L147" s="26">
        <f t="shared" si="26"/>
        <v>0</v>
      </c>
      <c r="M147" s="27">
        <f t="shared" si="27"/>
        <v>0</v>
      </c>
      <c r="N147" s="11"/>
      <c r="O147" s="11"/>
      <c r="P147" s="11"/>
      <c r="Q147" s="11"/>
      <c r="R147" s="26">
        <f t="shared" si="28"/>
        <v>0</v>
      </c>
      <c r="S147" s="27">
        <f t="shared" si="29"/>
        <v>0</v>
      </c>
      <c r="T147" s="11">
        <f t="shared" si="30"/>
        <v>0</v>
      </c>
      <c r="U147" s="11">
        <f t="shared" si="31"/>
        <v>0</v>
      </c>
      <c r="V147" s="26">
        <f t="shared" si="32"/>
        <v>0</v>
      </c>
      <c r="W147" s="27">
        <f t="shared" si="33"/>
        <v>0</v>
      </c>
      <c r="X147" s="4">
        <v>5112</v>
      </c>
      <c r="Y147" s="4"/>
      <c r="Z147" s="4"/>
      <c r="AA147" s="12">
        <f t="shared" si="23"/>
        <v>0</v>
      </c>
      <c r="AC147" s="83"/>
      <c r="AD147" s="83"/>
      <c r="AE147" s="83"/>
      <c r="AF147" s="83"/>
    </row>
    <row r="148" spans="1:32" ht="12.75" customHeight="1">
      <c r="A148" s="24"/>
      <c r="B148" s="108">
        <f t="shared" si="24"/>
        <v>145</v>
      </c>
      <c r="C148" s="6">
        <v>511300</v>
      </c>
      <c r="D148" s="6" t="s">
        <v>552</v>
      </c>
      <c r="E148" s="9" t="s">
        <v>32</v>
      </c>
      <c r="F148" s="6"/>
      <c r="G148" s="6"/>
      <c r="H148" s="11">
        <f>+STAT1!V148</f>
        <v>0</v>
      </c>
      <c r="I148" s="11">
        <f>+STAT1!W148</f>
        <v>0</v>
      </c>
      <c r="J148" s="11">
        <f>+SUMIFS(JURNAL!G:G,JURNAL!E:E,C148,JURNAL!C:C,"&gt;="&amp;$H$1,JURNAL!C:C,"&lt;="&amp;$I$1)</f>
        <v>0</v>
      </c>
      <c r="K148" s="11">
        <f>+SUMIFS(JURNAL!H:H,JURNAL!E:E,C148,JURNAL!C:C,"&gt;="&amp;$H$1,JURNAL!C:C,"&lt;="&amp;$I$1)</f>
        <v>0</v>
      </c>
      <c r="L148" s="26">
        <f t="shared" si="26"/>
        <v>0</v>
      </c>
      <c r="M148" s="27">
        <f t="shared" si="27"/>
        <v>0</v>
      </c>
      <c r="N148" s="11"/>
      <c r="O148" s="11"/>
      <c r="P148" s="11"/>
      <c r="Q148" s="11"/>
      <c r="R148" s="26">
        <f t="shared" si="28"/>
        <v>0</v>
      </c>
      <c r="S148" s="27">
        <f t="shared" si="29"/>
        <v>0</v>
      </c>
      <c r="T148" s="11">
        <f t="shared" si="30"/>
        <v>0</v>
      </c>
      <c r="U148" s="11">
        <f t="shared" si="31"/>
        <v>0</v>
      </c>
      <c r="V148" s="26">
        <f t="shared" si="32"/>
        <v>0</v>
      </c>
      <c r="W148" s="27">
        <f t="shared" si="33"/>
        <v>0</v>
      </c>
      <c r="X148" s="4">
        <v>5113</v>
      </c>
      <c r="Y148" s="4"/>
      <c r="Z148" s="4"/>
      <c r="AA148" s="12">
        <f t="shared" si="23"/>
        <v>0</v>
      </c>
      <c r="AC148" s="83"/>
      <c r="AD148" s="83"/>
      <c r="AE148" s="83"/>
      <c r="AF148" s="83"/>
    </row>
    <row r="149" spans="1:32" ht="12.75" customHeight="1">
      <c r="A149" s="24"/>
      <c r="B149" s="108">
        <f t="shared" si="24"/>
        <v>146</v>
      </c>
      <c r="C149" s="6">
        <v>511400</v>
      </c>
      <c r="D149" s="6" t="s">
        <v>557</v>
      </c>
      <c r="E149" s="9" t="s">
        <v>32</v>
      </c>
      <c r="F149" s="6"/>
      <c r="G149" s="6"/>
      <c r="H149" s="11">
        <f>+STAT1!V149</f>
        <v>0</v>
      </c>
      <c r="I149" s="11">
        <f>+STAT1!W149</f>
        <v>0</v>
      </c>
      <c r="J149" s="11">
        <f>+SUMIFS(JURNAL!G:G,JURNAL!E:E,C149,JURNAL!C:C,"&gt;="&amp;$H$1,JURNAL!C:C,"&lt;="&amp;$I$1)</f>
        <v>0</v>
      </c>
      <c r="K149" s="11">
        <f>+SUMIFS(JURNAL!H:H,JURNAL!E:E,C149,JURNAL!C:C,"&gt;="&amp;$H$1,JURNAL!C:C,"&lt;="&amp;$I$1)</f>
        <v>0</v>
      </c>
      <c r="L149" s="26">
        <f t="shared" si="26"/>
        <v>0</v>
      </c>
      <c r="M149" s="27">
        <f t="shared" si="27"/>
        <v>0</v>
      </c>
      <c r="N149" s="11"/>
      <c r="O149" s="11"/>
      <c r="P149" s="11"/>
      <c r="Q149" s="11"/>
      <c r="R149" s="26">
        <f t="shared" si="28"/>
        <v>0</v>
      </c>
      <c r="S149" s="27">
        <f t="shared" si="29"/>
        <v>0</v>
      </c>
      <c r="T149" s="11">
        <f t="shared" si="30"/>
        <v>0</v>
      </c>
      <c r="U149" s="11">
        <f t="shared" si="31"/>
        <v>0</v>
      </c>
      <c r="V149" s="26">
        <f t="shared" si="32"/>
        <v>0</v>
      </c>
      <c r="W149" s="27">
        <f t="shared" si="33"/>
        <v>0</v>
      </c>
      <c r="X149" s="4">
        <v>5114</v>
      </c>
      <c r="Y149" s="4"/>
      <c r="Z149" s="4"/>
      <c r="AA149" s="12">
        <f t="shared" si="23"/>
        <v>0</v>
      </c>
      <c r="AC149" s="83"/>
      <c r="AD149" s="83"/>
      <c r="AE149" s="83"/>
      <c r="AF149" s="83"/>
    </row>
    <row r="150" spans="1:32" ht="12.75" customHeight="1">
      <c r="A150" s="24"/>
      <c r="B150" s="108">
        <f t="shared" si="24"/>
        <v>147</v>
      </c>
      <c r="C150" s="6">
        <v>511500</v>
      </c>
      <c r="D150" s="6" t="s">
        <v>562</v>
      </c>
      <c r="E150" s="9" t="s">
        <v>32</v>
      </c>
      <c r="F150" s="6"/>
      <c r="G150" s="6"/>
      <c r="H150" s="11">
        <f>+STAT1!V150</f>
        <v>0</v>
      </c>
      <c r="I150" s="11">
        <f>+STAT1!W150</f>
        <v>0</v>
      </c>
      <c r="J150" s="11">
        <f>+SUMIFS(JURNAL!G:G,JURNAL!E:E,C150,JURNAL!C:C,"&gt;="&amp;$H$1,JURNAL!C:C,"&lt;="&amp;$I$1)</f>
        <v>0</v>
      </c>
      <c r="K150" s="11">
        <f>+SUMIFS(JURNAL!H:H,JURNAL!E:E,C150,JURNAL!C:C,"&gt;="&amp;$H$1,JURNAL!C:C,"&lt;="&amp;$I$1)</f>
        <v>0</v>
      </c>
      <c r="L150" s="26">
        <f t="shared" si="26"/>
        <v>0</v>
      </c>
      <c r="M150" s="27">
        <f t="shared" si="27"/>
        <v>0</v>
      </c>
      <c r="N150" s="11"/>
      <c r="O150" s="11"/>
      <c r="P150" s="11"/>
      <c r="Q150" s="11"/>
      <c r="R150" s="26">
        <f t="shared" si="28"/>
        <v>0</v>
      </c>
      <c r="S150" s="27">
        <f t="shared" si="29"/>
        <v>0</v>
      </c>
      <c r="T150" s="11">
        <f t="shared" si="30"/>
        <v>0</v>
      </c>
      <c r="U150" s="11">
        <f t="shared" si="31"/>
        <v>0</v>
      </c>
      <c r="V150" s="26">
        <f t="shared" si="32"/>
        <v>0</v>
      </c>
      <c r="W150" s="27">
        <f t="shared" si="33"/>
        <v>0</v>
      </c>
      <c r="X150" s="4">
        <v>5115</v>
      </c>
      <c r="Y150" s="4"/>
      <c r="Z150" s="4"/>
      <c r="AA150" s="12">
        <f t="shared" si="23"/>
        <v>0</v>
      </c>
      <c r="AC150" s="83"/>
      <c r="AD150" s="83"/>
      <c r="AE150" s="83"/>
      <c r="AF150" s="83"/>
    </row>
    <row r="151" spans="1:32" ht="12.75" customHeight="1">
      <c r="A151" s="24"/>
      <c r="B151" s="108">
        <f t="shared" si="24"/>
        <v>148</v>
      </c>
      <c r="C151" s="6">
        <v>610100</v>
      </c>
      <c r="D151" s="6" t="s">
        <v>567</v>
      </c>
      <c r="E151" s="9" t="s">
        <v>32</v>
      </c>
      <c r="F151" s="6"/>
      <c r="G151" s="6"/>
      <c r="H151" s="11">
        <f>+STAT1!V151</f>
        <v>0</v>
      </c>
      <c r="I151" s="11">
        <f>+STAT1!W151</f>
        <v>0</v>
      </c>
      <c r="J151" s="11">
        <f>+SUMIFS(JURNAL!G:G,JURNAL!E:E,C151,JURNAL!C:C,"&gt;="&amp;$H$1,JURNAL!C:C,"&lt;="&amp;$I$1)</f>
        <v>14851047.35</v>
      </c>
      <c r="K151" s="11">
        <f>+SUMIFS(JURNAL!H:H,JURNAL!E:E,C151,JURNAL!C:C,"&gt;="&amp;$H$1,JURNAL!C:C,"&lt;="&amp;$I$1)</f>
        <v>0</v>
      </c>
      <c r="L151" s="26">
        <f t="shared" si="26"/>
        <v>14851047.35</v>
      </c>
      <c r="M151" s="27">
        <f t="shared" si="27"/>
        <v>0</v>
      </c>
      <c r="N151" s="11"/>
      <c r="O151" s="11"/>
      <c r="P151" s="11"/>
      <c r="Q151" s="11"/>
      <c r="R151" s="26">
        <f>+IF((L151+N151)&gt;(M151+O151),(L151+N151)-(M151+O151),0)</f>
        <v>14851047.35</v>
      </c>
      <c r="S151" s="27">
        <f t="shared" si="29"/>
        <v>0</v>
      </c>
      <c r="T151" s="11">
        <f t="shared" si="30"/>
        <v>0</v>
      </c>
      <c r="U151" s="11">
        <f>+R151</f>
        <v>14851047.35</v>
      </c>
      <c r="V151" s="26">
        <f t="shared" si="32"/>
        <v>0</v>
      </c>
      <c r="W151" s="27">
        <f t="shared" si="33"/>
        <v>0</v>
      </c>
      <c r="X151" s="4">
        <v>6101</v>
      </c>
      <c r="Y151" s="4"/>
      <c r="Z151" s="4"/>
      <c r="AA151" s="12">
        <f t="shared" si="23"/>
        <v>1</v>
      </c>
      <c r="AC151" s="83"/>
      <c r="AD151" s="83"/>
      <c r="AE151" s="83"/>
      <c r="AF151" s="83"/>
    </row>
    <row r="152" spans="1:32" ht="12.75" customHeight="1">
      <c r="A152" s="24"/>
      <c r="B152" s="108">
        <f t="shared" si="24"/>
        <v>149</v>
      </c>
      <c r="C152" s="6">
        <v>610101</v>
      </c>
      <c r="D152" s="6" t="s">
        <v>966</v>
      </c>
      <c r="E152" s="9" t="s">
        <v>32</v>
      </c>
      <c r="F152" s="6"/>
      <c r="G152" s="6"/>
      <c r="H152" s="11">
        <f>+STAT1!V152</f>
        <v>0</v>
      </c>
      <c r="I152" s="11">
        <f>+STAT1!W152</f>
        <v>0</v>
      </c>
      <c r="J152" s="11">
        <f>+SUMIFS(JURNAL!G:G,JURNAL!E:E,C152,JURNAL!C:C,"&gt;="&amp;$H$1,JURNAL!C:C,"&lt;="&amp;$I$1)</f>
        <v>0</v>
      </c>
      <c r="K152" s="11">
        <f>+SUMIFS(JURNAL!H:H,JURNAL!E:E,C152,JURNAL!C:C,"&gt;="&amp;$H$1,JURNAL!C:C,"&lt;="&amp;$I$1)</f>
        <v>0</v>
      </c>
      <c r="L152" s="26">
        <f t="shared" si="26"/>
        <v>0</v>
      </c>
      <c r="M152" s="27">
        <f t="shared" si="27"/>
        <v>0</v>
      </c>
      <c r="N152" s="11"/>
      <c r="O152" s="11"/>
      <c r="P152" s="11"/>
      <c r="Q152" s="11"/>
      <c r="R152" s="26">
        <f t="shared" si="28"/>
        <v>0</v>
      </c>
      <c r="S152" s="27">
        <f t="shared" si="29"/>
        <v>0</v>
      </c>
      <c r="T152" s="11">
        <f t="shared" si="30"/>
        <v>0</v>
      </c>
      <c r="U152" s="11">
        <f t="shared" si="31"/>
        <v>0</v>
      </c>
      <c r="V152" s="26">
        <f t="shared" si="32"/>
        <v>0</v>
      </c>
      <c r="W152" s="27">
        <f t="shared" si="33"/>
        <v>0</v>
      </c>
      <c r="X152" s="4">
        <v>6101</v>
      </c>
      <c r="Y152" s="4"/>
      <c r="Z152" s="4"/>
      <c r="AA152" s="12">
        <f t="shared" si="23"/>
        <v>0</v>
      </c>
      <c r="AC152" s="83"/>
      <c r="AD152" s="83"/>
      <c r="AE152" s="83"/>
      <c r="AF152" s="83"/>
    </row>
    <row r="153" spans="1:32" ht="12.75" customHeight="1">
      <c r="A153" s="24"/>
      <c r="B153" s="108">
        <f t="shared" si="24"/>
        <v>150</v>
      </c>
      <c r="C153" s="6">
        <v>610200</v>
      </c>
      <c r="D153" s="6" t="s">
        <v>572</v>
      </c>
      <c r="E153" s="9" t="s">
        <v>32</v>
      </c>
      <c r="F153" s="6"/>
      <c r="G153" s="6"/>
      <c r="H153" s="11">
        <f>+STAT1!V153</f>
        <v>0</v>
      </c>
      <c r="I153" s="11">
        <f>+STAT1!W153</f>
        <v>0</v>
      </c>
      <c r="J153" s="11">
        <f>+SUMIFS(JURNAL!G:G,JURNAL!E:E,C153,JURNAL!C:C,"&gt;="&amp;$H$1,JURNAL!C:C,"&lt;="&amp;$I$1)</f>
        <v>0</v>
      </c>
      <c r="K153" s="11">
        <f>+SUMIFS(JURNAL!H:H,JURNAL!E:E,C153,JURNAL!C:C,"&gt;="&amp;$H$1,JURNAL!C:C,"&lt;="&amp;$I$1)</f>
        <v>0</v>
      </c>
      <c r="L153" s="26">
        <f t="shared" si="26"/>
        <v>0</v>
      </c>
      <c r="M153" s="27">
        <f t="shared" si="27"/>
        <v>0</v>
      </c>
      <c r="N153" s="11"/>
      <c r="O153" s="11"/>
      <c r="P153" s="11"/>
      <c r="Q153" s="11"/>
      <c r="R153" s="26">
        <f t="shared" si="28"/>
        <v>0</v>
      </c>
      <c r="S153" s="27">
        <f t="shared" si="29"/>
        <v>0</v>
      </c>
      <c r="T153" s="11">
        <f t="shared" si="30"/>
        <v>0</v>
      </c>
      <c r="U153" s="11">
        <f t="shared" si="31"/>
        <v>0</v>
      </c>
      <c r="V153" s="26">
        <f t="shared" si="32"/>
        <v>0</v>
      </c>
      <c r="W153" s="27">
        <f t="shared" si="33"/>
        <v>0</v>
      </c>
      <c r="X153" s="4">
        <v>6101</v>
      </c>
      <c r="Y153" s="4"/>
      <c r="Z153" s="4"/>
      <c r="AA153" s="12">
        <f t="shared" si="23"/>
        <v>0</v>
      </c>
      <c r="AC153" s="83"/>
      <c r="AD153" s="83"/>
      <c r="AE153" s="83"/>
      <c r="AF153" s="83"/>
    </row>
    <row r="154" spans="1:32" ht="12.75" customHeight="1">
      <c r="A154" s="24"/>
      <c r="B154" s="108">
        <f t="shared" si="24"/>
        <v>151</v>
      </c>
      <c r="C154" s="6">
        <v>610300</v>
      </c>
      <c r="D154" s="6" t="s">
        <v>577</v>
      </c>
      <c r="E154" s="9" t="s">
        <v>32</v>
      </c>
      <c r="F154" s="6"/>
      <c r="G154" s="6"/>
      <c r="H154" s="11">
        <f>+STAT1!V154</f>
        <v>0</v>
      </c>
      <c r="I154" s="11">
        <f>+STAT1!W154</f>
        <v>0</v>
      </c>
      <c r="J154" s="11">
        <f>+SUMIFS(JURNAL!G:G,JURNAL!E:E,C154,JURNAL!C:C,"&gt;="&amp;$H$1,JURNAL!C:C,"&lt;="&amp;$I$1)</f>
        <v>0</v>
      </c>
      <c r="K154" s="11">
        <f>+SUMIFS(JURNAL!H:H,JURNAL!E:E,C154,JURNAL!C:C,"&gt;="&amp;$H$1,JURNAL!C:C,"&lt;="&amp;$I$1)</f>
        <v>0</v>
      </c>
      <c r="L154" s="26">
        <f t="shared" si="26"/>
        <v>0</v>
      </c>
      <c r="M154" s="27">
        <f t="shared" si="27"/>
        <v>0</v>
      </c>
      <c r="N154" s="11"/>
      <c r="O154" s="11"/>
      <c r="P154" s="11"/>
      <c r="Q154" s="11"/>
      <c r="R154" s="26">
        <f t="shared" si="28"/>
        <v>0</v>
      </c>
      <c r="S154" s="27">
        <f t="shared" si="29"/>
        <v>0</v>
      </c>
      <c r="T154" s="11">
        <f t="shared" si="30"/>
        <v>0</v>
      </c>
      <c r="U154" s="11">
        <f t="shared" si="31"/>
        <v>0</v>
      </c>
      <c r="V154" s="26">
        <f t="shared" si="32"/>
        <v>0</v>
      </c>
      <c r="W154" s="27">
        <f t="shared" si="33"/>
        <v>0</v>
      </c>
      <c r="X154" s="4">
        <v>6101</v>
      </c>
      <c r="Y154" s="4"/>
      <c r="Z154" s="4"/>
      <c r="AA154" s="12">
        <f t="shared" si="23"/>
        <v>0</v>
      </c>
      <c r="AC154" s="83"/>
      <c r="AD154" s="83"/>
      <c r="AE154" s="83"/>
      <c r="AF154" s="83"/>
    </row>
    <row r="155" spans="1:32" ht="12.75" customHeight="1">
      <c r="A155" s="24"/>
      <c r="B155" s="108">
        <f t="shared" si="24"/>
        <v>152</v>
      </c>
      <c r="C155" s="6">
        <v>700100</v>
      </c>
      <c r="D155" s="6" t="s">
        <v>270</v>
      </c>
      <c r="E155" s="9" t="s">
        <v>32</v>
      </c>
      <c r="F155" s="6"/>
      <c r="G155" s="6"/>
      <c r="H155" s="11">
        <f>+STAT1!V155</f>
        <v>0</v>
      </c>
      <c r="I155" s="11">
        <f>+STAT1!W155</f>
        <v>0</v>
      </c>
      <c r="J155" s="11">
        <f>+SUMIFS(JURNAL!G:G,JURNAL!E:E,C155,JURNAL!C:C,"&gt;="&amp;$H$1,JURNAL!C:C,"&lt;="&amp;$I$1)</f>
        <v>41883255.539999999</v>
      </c>
      <c r="K155" s="11">
        <f>+SUMIFS(JURNAL!H:H,JURNAL!E:E,C155,JURNAL!C:C,"&gt;="&amp;$H$1,JURNAL!C:C,"&lt;="&amp;$I$1)</f>
        <v>22104255.559999999</v>
      </c>
      <c r="L155" s="26">
        <f t="shared" si="26"/>
        <v>19778999.98</v>
      </c>
      <c r="M155" s="27">
        <f t="shared" si="27"/>
        <v>0</v>
      </c>
      <c r="N155" s="11"/>
      <c r="O155" s="11"/>
      <c r="P155" s="11"/>
      <c r="Q155" s="11"/>
      <c r="R155" s="26">
        <f t="shared" si="28"/>
        <v>19778999.98</v>
      </c>
      <c r="S155" s="27">
        <f t="shared" si="29"/>
        <v>0</v>
      </c>
      <c r="T155" s="11">
        <f t="shared" si="30"/>
        <v>0</v>
      </c>
      <c r="U155" s="11">
        <f t="shared" si="31"/>
        <v>19778999.98</v>
      </c>
      <c r="V155" s="26">
        <f t="shared" si="32"/>
        <v>0</v>
      </c>
      <c r="W155" s="27">
        <f t="shared" si="33"/>
        <v>0</v>
      </c>
      <c r="X155" s="4">
        <v>7002</v>
      </c>
      <c r="Y155" s="4"/>
      <c r="Z155" s="4"/>
      <c r="AA155" s="12">
        <f t="shared" si="23"/>
        <v>1</v>
      </c>
      <c r="AC155" s="83"/>
      <c r="AD155" s="83"/>
      <c r="AE155" s="83"/>
      <c r="AF155" s="83"/>
    </row>
    <row r="156" spans="1:32" ht="12.75" customHeight="1">
      <c r="A156" s="24"/>
      <c r="B156" s="108">
        <f t="shared" si="24"/>
        <v>153</v>
      </c>
      <c r="C156" s="6">
        <v>700200</v>
      </c>
      <c r="D156" s="6" t="s">
        <v>590</v>
      </c>
      <c r="E156" s="9" t="s">
        <v>32</v>
      </c>
      <c r="F156" s="6"/>
      <c r="G156" s="6"/>
      <c r="H156" s="11">
        <f>+STAT1!V156</f>
        <v>0</v>
      </c>
      <c r="I156" s="11">
        <f>+STAT1!W156</f>
        <v>0</v>
      </c>
      <c r="J156" s="11">
        <f>+SUMIFS(JURNAL!G:G,JURNAL!E:E,C156,JURNAL!C:C,"&gt;="&amp;$H$1,JURNAL!C:C,"&lt;="&amp;$I$1)</f>
        <v>5558030.1081481474</v>
      </c>
      <c r="K156" s="11">
        <f>+SUMIFS(JURNAL!H:H,JURNAL!E:E,C156,JURNAL!C:C,"&gt;="&amp;$H$1,JURNAL!C:C,"&lt;="&amp;$I$1)</f>
        <v>2871030.11</v>
      </c>
      <c r="L156" s="26">
        <f t="shared" si="26"/>
        <v>2686999.9981481475</v>
      </c>
      <c r="M156" s="27">
        <f t="shared" si="27"/>
        <v>0</v>
      </c>
      <c r="N156" s="11"/>
      <c r="O156" s="11"/>
      <c r="P156" s="11"/>
      <c r="Q156" s="11"/>
      <c r="R156" s="26">
        <f t="shared" si="28"/>
        <v>2686999.9981481475</v>
      </c>
      <c r="S156" s="27">
        <f t="shared" si="29"/>
        <v>0</v>
      </c>
      <c r="T156" s="11">
        <f t="shared" si="30"/>
        <v>0</v>
      </c>
      <c r="U156" s="11">
        <f t="shared" si="31"/>
        <v>2686999.9981481475</v>
      </c>
      <c r="V156" s="26">
        <f t="shared" si="32"/>
        <v>0</v>
      </c>
      <c r="W156" s="27">
        <f t="shared" si="33"/>
        <v>0</v>
      </c>
      <c r="X156" s="4">
        <v>7002</v>
      </c>
      <c r="Y156" s="4"/>
      <c r="Z156" s="4"/>
      <c r="AA156" s="12">
        <f t="shared" si="23"/>
        <v>1</v>
      </c>
      <c r="AC156" s="83"/>
      <c r="AD156" s="83"/>
      <c r="AE156" s="83"/>
      <c r="AF156" s="83"/>
    </row>
    <row r="157" spans="1:32" ht="12.75" customHeight="1">
      <c r="A157" s="24"/>
      <c r="B157" s="108">
        <f t="shared" si="24"/>
        <v>154</v>
      </c>
      <c r="C157" s="6">
        <v>700700</v>
      </c>
      <c r="D157" s="6" t="s">
        <v>595</v>
      </c>
      <c r="E157" s="9" t="s">
        <v>32</v>
      </c>
      <c r="F157" s="6"/>
      <c r="G157" s="6"/>
      <c r="H157" s="11">
        <f>+STAT1!V157</f>
        <v>0</v>
      </c>
      <c r="I157" s="11">
        <f>+STAT1!W157</f>
        <v>0</v>
      </c>
      <c r="J157" s="11">
        <f>+SUMIFS(JURNAL!G:G,JURNAL!E:E,C157,JURNAL!C:C,"&gt;="&amp;$H$1,JURNAL!C:C,"&lt;="&amp;$I$1)</f>
        <v>6107494</v>
      </c>
      <c r="K157" s="11">
        <f>+SUMIFS(JURNAL!H:H,JURNAL!E:E,C157,JURNAL!C:C,"&gt;="&amp;$H$1,JURNAL!C:C,"&lt;="&amp;$I$1)</f>
        <v>5802119.2999999998</v>
      </c>
      <c r="L157" s="26">
        <f t="shared" si="26"/>
        <v>305374.70000000019</v>
      </c>
      <c r="M157" s="27">
        <f t="shared" si="27"/>
        <v>0</v>
      </c>
      <c r="N157" s="11"/>
      <c r="O157" s="11"/>
      <c r="P157" s="11"/>
      <c r="Q157" s="11"/>
      <c r="R157" s="26">
        <f t="shared" si="28"/>
        <v>305374.70000000019</v>
      </c>
      <c r="S157" s="27">
        <f t="shared" si="29"/>
        <v>0</v>
      </c>
      <c r="T157" s="11">
        <f t="shared" si="30"/>
        <v>0</v>
      </c>
      <c r="U157" s="11">
        <f t="shared" si="31"/>
        <v>305374.70000000019</v>
      </c>
      <c r="V157" s="26">
        <f t="shared" si="32"/>
        <v>0</v>
      </c>
      <c r="W157" s="27">
        <f t="shared" si="33"/>
        <v>0</v>
      </c>
      <c r="X157" s="4">
        <v>7002</v>
      </c>
      <c r="Y157" s="4"/>
      <c r="Z157" s="4"/>
      <c r="AA157" s="12">
        <f t="shared" si="23"/>
        <v>1</v>
      </c>
      <c r="AC157" s="83"/>
      <c r="AD157" s="83"/>
      <c r="AE157" s="83"/>
      <c r="AF157" s="83"/>
    </row>
    <row r="158" spans="1:32" ht="12.75" customHeight="1">
      <c r="A158" s="24"/>
      <c r="B158" s="108">
        <f t="shared" si="24"/>
        <v>155</v>
      </c>
      <c r="C158" s="6">
        <v>700800</v>
      </c>
      <c r="D158" s="6" t="s">
        <v>600</v>
      </c>
      <c r="E158" s="9" t="s">
        <v>32</v>
      </c>
      <c r="F158" s="6"/>
      <c r="G158" s="6"/>
      <c r="H158" s="11">
        <f>+STAT1!V158</f>
        <v>0</v>
      </c>
      <c r="I158" s="11">
        <f>+STAT1!W158</f>
        <v>0</v>
      </c>
      <c r="J158" s="11">
        <f>+SUMIFS(JURNAL!G:G,JURNAL!E:E,C158,JURNAL!C:C,"&gt;="&amp;$H$1,JURNAL!C:C,"&lt;="&amp;$I$1)</f>
        <v>3226179.0700000003</v>
      </c>
      <c r="K158" s="11">
        <f>+SUMIFS(JURNAL!H:H,JURNAL!E:E,C158,JURNAL!C:C,"&gt;="&amp;$H$1,JURNAL!C:C,"&lt;="&amp;$I$1)</f>
        <v>3064870.12</v>
      </c>
      <c r="L158" s="26">
        <f t="shared" si="26"/>
        <v>161308.95000000019</v>
      </c>
      <c r="M158" s="27">
        <f t="shared" si="27"/>
        <v>0</v>
      </c>
      <c r="N158" s="11"/>
      <c r="O158" s="11"/>
      <c r="P158" s="11"/>
      <c r="Q158" s="11"/>
      <c r="R158" s="26">
        <f t="shared" si="28"/>
        <v>161308.95000000019</v>
      </c>
      <c r="S158" s="27">
        <f t="shared" si="29"/>
        <v>0</v>
      </c>
      <c r="T158" s="11">
        <f t="shared" si="30"/>
        <v>0</v>
      </c>
      <c r="U158" s="11">
        <f t="shared" si="31"/>
        <v>161308.95000000019</v>
      </c>
      <c r="V158" s="26">
        <f t="shared" si="32"/>
        <v>0</v>
      </c>
      <c r="W158" s="27">
        <f t="shared" si="33"/>
        <v>0</v>
      </c>
      <c r="X158" s="4">
        <v>7002</v>
      </c>
      <c r="Y158" s="4"/>
      <c r="Z158" s="4"/>
      <c r="AA158" s="12">
        <f t="shared" si="23"/>
        <v>1</v>
      </c>
      <c r="AC158" s="83"/>
      <c r="AD158" s="83"/>
      <c r="AE158" s="83"/>
      <c r="AF158" s="83"/>
    </row>
    <row r="159" spans="1:32" ht="12.75" customHeight="1">
      <c r="A159" s="24"/>
      <c r="B159" s="108">
        <f t="shared" si="24"/>
        <v>156</v>
      </c>
      <c r="C159" s="6">
        <v>700900</v>
      </c>
      <c r="D159" s="6" t="s">
        <v>605</v>
      </c>
      <c r="E159" s="9" t="s">
        <v>32</v>
      </c>
      <c r="F159" s="6"/>
      <c r="G159" s="6"/>
      <c r="H159" s="11">
        <f>+STAT1!V159</f>
        <v>0</v>
      </c>
      <c r="I159" s="11">
        <f>+STAT1!W159</f>
        <v>0</v>
      </c>
      <c r="J159" s="11">
        <f>+SUMIFS(JURNAL!G:G,JURNAL!E:E,C159,JURNAL!C:C,"&gt;="&amp;$H$1,JURNAL!C:C,"&lt;="&amp;$I$1)</f>
        <v>5033698.96</v>
      </c>
      <c r="K159" s="11">
        <f>+SUMIFS(JURNAL!H:H,JURNAL!E:E,C159,JURNAL!C:C,"&gt;="&amp;$H$1,JURNAL!C:C,"&lt;="&amp;$I$1)</f>
        <v>4080572.86</v>
      </c>
      <c r="L159" s="26">
        <f t="shared" si="26"/>
        <v>953126.10000000009</v>
      </c>
      <c r="M159" s="27">
        <f t="shared" si="27"/>
        <v>0</v>
      </c>
      <c r="N159" s="11"/>
      <c r="O159" s="11"/>
      <c r="P159" s="11"/>
      <c r="Q159" s="11"/>
      <c r="R159" s="26">
        <f t="shared" si="28"/>
        <v>953126.10000000009</v>
      </c>
      <c r="S159" s="27">
        <f t="shared" si="29"/>
        <v>0</v>
      </c>
      <c r="T159" s="11">
        <f t="shared" si="30"/>
        <v>0</v>
      </c>
      <c r="U159" s="11">
        <f t="shared" si="31"/>
        <v>953126.10000000009</v>
      </c>
      <c r="V159" s="26">
        <f t="shared" si="32"/>
        <v>0</v>
      </c>
      <c r="W159" s="27">
        <f t="shared" si="33"/>
        <v>0</v>
      </c>
      <c r="X159" s="4">
        <v>7002</v>
      </c>
      <c r="Y159" s="4"/>
      <c r="Z159" s="4"/>
      <c r="AA159" s="12">
        <f t="shared" si="23"/>
        <v>1</v>
      </c>
      <c r="AC159" s="83"/>
      <c r="AD159" s="83"/>
      <c r="AE159" s="83"/>
      <c r="AF159" s="83"/>
    </row>
    <row r="160" spans="1:32" ht="12.75" customHeight="1">
      <c r="A160" s="24"/>
      <c r="B160" s="108">
        <f t="shared" si="24"/>
        <v>157</v>
      </c>
      <c r="C160" s="6">
        <v>701000</v>
      </c>
      <c r="D160" s="6" t="s">
        <v>610</v>
      </c>
      <c r="E160" s="9" t="s">
        <v>32</v>
      </c>
      <c r="F160" s="6"/>
      <c r="G160" s="6"/>
      <c r="H160" s="11">
        <f>+STAT1!V160</f>
        <v>0</v>
      </c>
      <c r="I160" s="11">
        <f>+STAT1!W160</f>
        <v>0</v>
      </c>
      <c r="J160" s="11">
        <f>+SUMIFS(JURNAL!G:G,JURNAL!E:E,C160,JURNAL!C:C,"&gt;="&amp;$H$1,JURNAL!C:C,"&lt;="&amp;$I$1)</f>
        <v>0</v>
      </c>
      <c r="K160" s="11">
        <f>+SUMIFS(JURNAL!H:H,JURNAL!E:E,C160,JURNAL!C:C,"&gt;="&amp;$H$1,JURNAL!C:C,"&lt;="&amp;$I$1)</f>
        <v>0</v>
      </c>
      <c r="L160" s="26">
        <f t="shared" si="26"/>
        <v>0</v>
      </c>
      <c r="M160" s="27">
        <f t="shared" si="27"/>
        <v>0</v>
      </c>
      <c r="N160" s="11"/>
      <c r="O160" s="11"/>
      <c r="P160" s="11"/>
      <c r="Q160" s="11"/>
      <c r="R160" s="26">
        <f t="shared" si="28"/>
        <v>0</v>
      </c>
      <c r="S160" s="27">
        <f t="shared" si="29"/>
        <v>0</v>
      </c>
      <c r="T160" s="11">
        <f t="shared" si="30"/>
        <v>0</v>
      </c>
      <c r="U160" s="11">
        <f t="shared" si="31"/>
        <v>0</v>
      </c>
      <c r="V160" s="26">
        <f t="shared" si="32"/>
        <v>0</v>
      </c>
      <c r="W160" s="27">
        <f t="shared" si="33"/>
        <v>0</v>
      </c>
      <c r="X160" s="4">
        <v>7002</v>
      </c>
      <c r="Y160" s="4"/>
      <c r="Z160" s="4"/>
      <c r="AA160" s="12">
        <f t="shared" si="23"/>
        <v>0</v>
      </c>
      <c r="AC160" s="83"/>
      <c r="AD160" s="83"/>
      <c r="AE160" s="83"/>
      <c r="AF160" s="83"/>
    </row>
    <row r="161" spans="1:32" ht="12.75" customHeight="1">
      <c r="A161" s="24"/>
      <c r="B161" s="108">
        <f t="shared" si="24"/>
        <v>158</v>
      </c>
      <c r="C161" s="6">
        <v>701100</v>
      </c>
      <c r="D161" s="6" t="s">
        <v>272</v>
      </c>
      <c r="E161" s="9" t="s">
        <v>32</v>
      </c>
      <c r="F161" s="6"/>
      <c r="G161" s="6"/>
      <c r="H161" s="11">
        <f>+STAT1!V161</f>
        <v>0</v>
      </c>
      <c r="I161" s="11">
        <f>+STAT1!W161</f>
        <v>0</v>
      </c>
      <c r="J161" s="11">
        <f>+SUMIFS(JURNAL!G:G,JURNAL!E:E,C161,JURNAL!C:C,"&gt;="&amp;$H$1,JURNAL!C:C,"&lt;="&amp;$I$1)</f>
        <v>0</v>
      </c>
      <c r="K161" s="11">
        <f>+SUMIFS(JURNAL!H:H,JURNAL!E:E,C161,JURNAL!C:C,"&gt;="&amp;$H$1,JURNAL!C:C,"&lt;="&amp;$I$1)</f>
        <v>0</v>
      </c>
      <c r="L161" s="26">
        <f t="shared" si="26"/>
        <v>0</v>
      </c>
      <c r="M161" s="27">
        <f t="shared" si="27"/>
        <v>0</v>
      </c>
      <c r="N161" s="11"/>
      <c r="O161" s="11"/>
      <c r="P161" s="11"/>
      <c r="Q161" s="11"/>
      <c r="R161" s="26">
        <f t="shared" si="28"/>
        <v>0</v>
      </c>
      <c r="S161" s="27">
        <f t="shared" si="29"/>
        <v>0</v>
      </c>
      <c r="T161" s="11">
        <f t="shared" si="30"/>
        <v>0</v>
      </c>
      <c r="U161" s="11">
        <f t="shared" si="31"/>
        <v>0</v>
      </c>
      <c r="V161" s="26">
        <f t="shared" si="32"/>
        <v>0</v>
      </c>
      <c r="W161" s="27">
        <f t="shared" si="33"/>
        <v>0</v>
      </c>
      <c r="X161" s="4">
        <v>7002</v>
      </c>
      <c r="Y161" s="4"/>
      <c r="Z161" s="4"/>
      <c r="AA161" s="12">
        <f t="shared" si="23"/>
        <v>0</v>
      </c>
      <c r="AC161" s="83"/>
      <c r="AD161" s="83"/>
      <c r="AE161" s="83"/>
      <c r="AF161" s="83"/>
    </row>
    <row r="162" spans="1:32" ht="12.75" customHeight="1">
      <c r="A162" s="24"/>
      <c r="B162" s="108">
        <f t="shared" si="24"/>
        <v>159</v>
      </c>
      <c r="C162" s="6">
        <v>701200</v>
      </c>
      <c r="D162" s="6" t="s">
        <v>273</v>
      </c>
      <c r="E162" s="9" t="s">
        <v>32</v>
      </c>
      <c r="F162" s="6"/>
      <c r="G162" s="6"/>
      <c r="H162" s="11">
        <f>+STAT1!V162</f>
        <v>0</v>
      </c>
      <c r="I162" s="11">
        <f>+STAT1!W162</f>
        <v>0</v>
      </c>
      <c r="J162" s="11">
        <f>+SUMIFS(JURNAL!G:G,JURNAL!E:E,C162,JURNAL!C:C,"&gt;="&amp;$H$1,JURNAL!C:C,"&lt;="&amp;$I$1)</f>
        <v>0</v>
      </c>
      <c r="K162" s="11">
        <f>+SUMIFS(JURNAL!H:H,JURNAL!E:E,C162,JURNAL!C:C,"&gt;="&amp;$H$1,JURNAL!C:C,"&lt;="&amp;$I$1)</f>
        <v>0</v>
      </c>
      <c r="L162" s="26">
        <f t="shared" si="26"/>
        <v>0</v>
      </c>
      <c r="M162" s="27">
        <f t="shared" si="27"/>
        <v>0</v>
      </c>
      <c r="N162" s="11"/>
      <c r="O162" s="11"/>
      <c r="P162" s="11"/>
      <c r="Q162" s="11"/>
      <c r="R162" s="26">
        <f t="shared" si="28"/>
        <v>0</v>
      </c>
      <c r="S162" s="27">
        <f t="shared" si="29"/>
        <v>0</v>
      </c>
      <c r="T162" s="11">
        <f t="shared" si="30"/>
        <v>0</v>
      </c>
      <c r="U162" s="11">
        <f t="shared" si="31"/>
        <v>0</v>
      </c>
      <c r="V162" s="26">
        <f t="shared" si="32"/>
        <v>0</v>
      </c>
      <c r="W162" s="27">
        <f t="shared" si="33"/>
        <v>0</v>
      </c>
      <c r="X162" s="4">
        <v>7002</v>
      </c>
      <c r="Y162" s="4"/>
      <c r="Z162" s="4"/>
      <c r="AA162" s="12">
        <f t="shared" si="23"/>
        <v>0</v>
      </c>
      <c r="AC162" s="83"/>
      <c r="AD162" s="83"/>
      <c r="AE162" s="83"/>
      <c r="AF162" s="83"/>
    </row>
    <row r="163" spans="1:32" ht="12.75" customHeight="1">
      <c r="A163" s="24"/>
      <c r="B163" s="108">
        <f t="shared" si="24"/>
        <v>160</v>
      </c>
      <c r="C163" s="6">
        <v>701300</v>
      </c>
      <c r="D163" s="6" t="s">
        <v>274</v>
      </c>
      <c r="E163" s="9" t="s">
        <v>32</v>
      </c>
      <c r="F163" s="6"/>
      <c r="G163" s="6"/>
      <c r="H163" s="11">
        <f>+STAT1!V163</f>
        <v>0</v>
      </c>
      <c r="I163" s="11">
        <f>+STAT1!W163</f>
        <v>0</v>
      </c>
      <c r="J163" s="11">
        <f>+SUMIFS(JURNAL!G:G,JURNAL!E:E,C163,JURNAL!C:C,"&gt;="&amp;$H$1,JURNAL!C:C,"&lt;="&amp;$I$1)</f>
        <v>0</v>
      </c>
      <c r="K163" s="11">
        <f>+SUMIFS(JURNAL!H:H,JURNAL!E:E,C163,JURNAL!C:C,"&gt;="&amp;$H$1,JURNAL!C:C,"&lt;="&amp;$I$1)</f>
        <v>0</v>
      </c>
      <c r="L163" s="26">
        <f t="shared" si="26"/>
        <v>0</v>
      </c>
      <c r="M163" s="27">
        <f t="shared" si="27"/>
        <v>0</v>
      </c>
      <c r="N163" s="11"/>
      <c r="O163" s="11"/>
      <c r="P163" s="11"/>
      <c r="Q163" s="11"/>
      <c r="R163" s="26">
        <f t="shared" si="28"/>
        <v>0</v>
      </c>
      <c r="S163" s="27">
        <f t="shared" si="29"/>
        <v>0</v>
      </c>
      <c r="T163" s="11">
        <f t="shared" si="30"/>
        <v>0</v>
      </c>
      <c r="U163" s="11">
        <f t="shared" si="31"/>
        <v>0</v>
      </c>
      <c r="V163" s="26">
        <f t="shared" si="32"/>
        <v>0</v>
      </c>
      <c r="W163" s="27">
        <f t="shared" si="33"/>
        <v>0</v>
      </c>
      <c r="X163" s="4">
        <v>7002</v>
      </c>
      <c r="Y163" s="4"/>
      <c r="Z163" s="4"/>
      <c r="AA163" s="12">
        <f t="shared" si="23"/>
        <v>0</v>
      </c>
      <c r="AC163" s="83"/>
      <c r="AD163" s="83"/>
      <c r="AE163" s="83"/>
      <c r="AF163" s="83"/>
    </row>
    <row r="164" spans="1:32" ht="12.75" customHeight="1">
      <c r="A164" s="24"/>
      <c r="B164" s="108">
        <f t="shared" si="24"/>
        <v>161</v>
      </c>
      <c r="C164" s="6">
        <v>701400</v>
      </c>
      <c r="D164" s="6" t="s">
        <v>271</v>
      </c>
      <c r="E164" s="9" t="s">
        <v>32</v>
      </c>
      <c r="F164" s="6"/>
      <c r="G164" s="6"/>
      <c r="H164" s="11">
        <f>+STAT1!V164</f>
        <v>0</v>
      </c>
      <c r="I164" s="11">
        <f>+STAT1!W164</f>
        <v>0</v>
      </c>
      <c r="J164" s="11">
        <f>+SUMIFS(JURNAL!G:G,JURNAL!E:E,C164,JURNAL!C:C,"&gt;="&amp;$H$1,JURNAL!C:C,"&lt;="&amp;$I$1)</f>
        <v>0</v>
      </c>
      <c r="K164" s="11">
        <f>+SUMIFS(JURNAL!H:H,JURNAL!E:E,C164,JURNAL!C:C,"&gt;="&amp;$H$1,JURNAL!C:C,"&lt;="&amp;$I$1)</f>
        <v>0</v>
      </c>
      <c r="L164" s="26">
        <f t="shared" si="26"/>
        <v>0</v>
      </c>
      <c r="M164" s="27">
        <f t="shared" si="27"/>
        <v>0</v>
      </c>
      <c r="N164" s="11"/>
      <c r="O164" s="11"/>
      <c r="P164" s="11"/>
      <c r="Q164" s="11"/>
      <c r="R164" s="26">
        <f t="shared" si="28"/>
        <v>0</v>
      </c>
      <c r="S164" s="27">
        <f t="shared" si="29"/>
        <v>0</v>
      </c>
      <c r="T164" s="11">
        <f t="shared" si="30"/>
        <v>0</v>
      </c>
      <c r="U164" s="11">
        <f t="shared" si="31"/>
        <v>0</v>
      </c>
      <c r="V164" s="26">
        <f t="shared" si="32"/>
        <v>0</v>
      </c>
      <c r="W164" s="27">
        <f t="shared" si="33"/>
        <v>0</v>
      </c>
      <c r="X164" s="4">
        <v>7002</v>
      </c>
      <c r="Y164" s="4"/>
      <c r="Z164" s="4"/>
      <c r="AA164" s="12">
        <f t="shared" si="23"/>
        <v>0</v>
      </c>
      <c r="AC164" s="83"/>
      <c r="AD164" s="83"/>
      <c r="AE164" s="83"/>
      <c r="AF164" s="83"/>
    </row>
    <row r="165" spans="1:32" ht="12.75" customHeight="1">
      <c r="A165" s="24"/>
      <c r="B165" s="108">
        <f t="shared" si="24"/>
        <v>162</v>
      </c>
      <c r="C165" s="6">
        <v>701500</v>
      </c>
      <c r="D165" s="6" t="s">
        <v>629</v>
      </c>
      <c r="E165" s="9" t="s">
        <v>32</v>
      </c>
      <c r="F165" s="6"/>
      <c r="G165" s="6"/>
      <c r="H165" s="11">
        <f>+STAT1!V165</f>
        <v>0</v>
      </c>
      <c r="I165" s="11">
        <f>+STAT1!W165</f>
        <v>0</v>
      </c>
      <c r="J165" s="11">
        <f>+SUMIFS(JURNAL!G:G,JURNAL!E:E,C165,JURNAL!C:C,"&gt;="&amp;$H$1,JURNAL!C:C,"&lt;="&amp;$I$1)</f>
        <v>328181.82</v>
      </c>
      <c r="K165" s="11">
        <f>+SUMIFS(JURNAL!H:H,JURNAL!E:E,C165,JURNAL!C:C,"&gt;="&amp;$H$1,JURNAL!C:C,"&lt;="&amp;$I$1)</f>
        <v>0</v>
      </c>
      <c r="L165" s="26">
        <f t="shared" si="26"/>
        <v>328181.82</v>
      </c>
      <c r="M165" s="27">
        <f t="shared" si="27"/>
        <v>0</v>
      </c>
      <c r="N165" s="11"/>
      <c r="O165" s="11"/>
      <c r="P165" s="11"/>
      <c r="Q165" s="11"/>
      <c r="R165" s="26">
        <f t="shared" si="28"/>
        <v>328181.82</v>
      </c>
      <c r="S165" s="27">
        <f t="shared" si="29"/>
        <v>0</v>
      </c>
      <c r="T165" s="11">
        <f t="shared" si="30"/>
        <v>0</v>
      </c>
      <c r="U165" s="11">
        <f t="shared" si="31"/>
        <v>328181.82</v>
      </c>
      <c r="V165" s="26">
        <f t="shared" si="32"/>
        <v>0</v>
      </c>
      <c r="W165" s="27">
        <f t="shared" si="33"/>
        <v>0</v>
      </c>
      <c r="X165" s="4">
        <v>7002</v>
      </c>
      <c r="Y165" s="4"/>
      <c r="Z165" s="4"/>
      <c r="AA165" s="12">
        <f t="shared" si="23"/>
        <v>1</v>
      </c>
      <c r="AC165" s="83"/>
      <c r="AD165" s="83"/>
      <c r="AE165" s="83"/>
      <c r="AF165" s="83"/>
    </row>
    <row r="166" spans="1:32" ht="12.75" customHeight="1">
      <c r="A166" s="24"/>
      <c r="B166" s="108">
        <f t="shared" si="24"/>
        <v>163</v>
      </c>
      <c r="C166" s="6">
        <v>701600</v>
      </c>
      <c r="D166" s="6" t="s">
        <v>635</v>
      </c>
      <c r="E166" s="9" t="s">
        <v>32</v>
      </c>
      <c r="F166" s="6"/>
      <c r="G166" s="6"/>
      <c r="H166" s="11">
        <f>+STAT1!V166</f>
        <v>0</v>
      </c>
      <c r="I166" s="11">
        <f>+STAT1!W166</f>
        <v>0</v>
      </c>
      <c r="J166" s="11">
        <f>+SUMIFS(JURNAL!G:G,JURNAL!E:E,C166,JURNAL!C:C,"&gt;="&amp;$H$1,JURNAL!C:C,"&lt;="&amp;$I$1)</f>
        <v>28012021.690000001</v>
      </c>
      <c r="K166" s="11">
        <f>+SUMIFS(JURNAL!H:H,JURNAL!E:E,C166,JURNAL!C:C,"&gt;="&amp;$H$1,JURNAL!C:C,"&lt;="&amp;$I$1)</f>
        <v>23327447.300000001</v>
      </c>
      <c r="L166" s="26">
        <f t="shared" si="26"/>
        <v>4684574.3900000006</v>
      </c>
      <c r="M166" s="27">
        <f t="shared" si="27"/>
        <v>0</v>
      </c>
      <c r="N166" s="11"/>
      <c r="O166" s="11"/>
      <c r="P166" s="11"/>
      <c r="Q166" s="11"/>
      <c r="R166" s="26">
        <f t="shared" si="28"/>
        <v>4684574.3900000006</v>
      </c>
      <c r="S166" s="27">
        <f t="shared" si="29"/>
        <v>0</v>
      </c>
      <c r="T166" s="11">
        <f t="shared" si="30"/>
        <v>0</v>
      </c>
      <c r="U166" s="11">
        <f t="shared" si="31"/>
        <v>4684574.3900000006</v>
      </c>
      <c r="V166" s="26">
        <f t="shared" si="32"/>
        <v>0</v>
      </c>
      <c r="W166" s="27">
        <f t="shared" si="33"/>
        <v>0</v>
      </c>
      <c r="X166" s="4">
        <v>7002</v>
      </c>
      <c r="Y166" s="4"/>
      <c r="Z166" s="4"/>
      <c r="AA166" s="12">
        <f t="shared" si="23"/>
        <v>1</v>
      </c>
      <c r="AC166" s="83"/>
      <c r="AD166" s="83"/>
      <c r="AE166" s="83"/>
      <c r="AF166" s="83"/>
    </row>
    <row r="167" spans="1:32" ht="12.75" customHeight="1">
      <c r="A167" s="24"/>
      <c r="B167" s="108">
        <f t="shared" si="24"/>
        <v>164</v>
      </c>
      <c r="C167" s="6">
        <v>701700</v>
      </c>
      <c r="D167" s="6" t="s">
        <v>275</v>
      </c>
      <c r="E167" s="9" t="s">
        <v>32</v>
      </c>
      <c r="F167" s="6"/>
      <c r="G167" s="6"/>
      <c r="H167" s="11">
        <f>+STAT1!V167</f>
        <v>0</v>
      </c>
      <c r="I167" s="11">
        <f>+STAT1!W167</f>
        <v>0</v>
      </c>
      <c r="J167" s="11">
        <f>+SUMIFS(JURNAL!G:G,JURNAL!E:E,C167,JURNAL!C:C,"&gt;="&amp;$H$1,JURNAL!C:C,"&lt;="&amp;$I$1)</f>
        <v>0</v>
      </c>
      <c r="K167" s="11">
        <f>+SUMIFS(JURNAL!H:H,JURNAL!E:E,C167,JURNAL!C:C,"&gt;="&amp;$H$1,JURNAL!C:C,"&lt;="&amp;$I$1)</f>
        <v>0</v>
      </c>
      <c r="L167" s="26">
        <f t="shared" si="26"/>
        <v>0</v>
      </c>
      <c r="M167" s="27">
        <f t="shared" si="27"/>
        <v>0</v>
      </c>
      <c r="N167" s="11"/>
      <c r="O167" s="11"/>
      <c r="P167" s="11"/>
      <c r="Q167" s="11"/>
      <c r="R167" s="26">
        <f t="shared" si="28"/>
        <v>0</v>
      </c>
      <c r="S167" s="27">
        <f t="shared" si="29"/>
        <v>0</v>
      </c>
      <c r="T167" s="11">
        <f t="shared" si="30"/>
        <v>0</v>
      </c>
      <c r="U167" s="11">
        <f t="shared" si="31"/>
        <v>0</v>
      </c>
      <c r="V167" s="26">
        <f t="shared" si="32"/>
        <v>0</v>
      </c>
      <c r="W167" s="27">
        <f t="shared" si="33"/>
        <v>0</v>
      </c>
      <c r="X167" s="4">
        <v>7001</v>
      </c>
      <c r="Y167" s="4"/>
      <c r="Z167" s="4"/>
      <c r="AA167" s="12">
        <f t="shared" si="23"/>
        <v>0</v>
      </c>
      <c r="AC167" s="83"/>
      <c r="AD167" s="83"/>
      <c r="AE167" s="83"/>
      <c r="AF167" s="83"/>
    </row>
    <row r="168" spans="1:32" ht="12.75" customHeight="1">
      <c r="A168" s="24"/>
      <c r="B168" s="108">
        <f t="shared" si="24"/>
        <v>165</v>
      </c>
      <c r="C168" s="6">
        <v>701800</v>
      </c>
      <c r="D168" s="6" t="s">
        <v>644</v>
      </c>
      <c r="E168" s="9" t="s">
        <v>32</v>
      </c>
      <c r="F168" s="6"/>
      <c r="G168" s="6"/>
      <c r="H168" s="11">
        <f>+STAT1!V168</f>
        <v>0</v>
      </c>
      <c r="I168" s="11">
        <f>+STAT1!W168</f>
        <v>0</v>
      </c>
      <c r="J168" s="11">
        <f>+SUMIFS(JURNAL!G:G,JURNAL!E:E,C168,JURNAL!C:C,"&gt;="&amp;$H$1,JURNAL!C:C,"&lt;="&amp;$I$1)</f>
        <v>0</v>
      </c>
      <c r="K168" s="11">
        <f>+SUMIFS(JURNAL!H:H,JURNAL!E:E,C168,JURNAL!C:C,"&gt;="&amp;$H$1,JURNAL!C:C,"&lt;="&amp;$I$1)</f>
        <v>0</v>
      </c>
      <c r="L168" s="26">
        <f t="shared" si="26"/>
        <v>0</v>
      </c>
      <c r="M168" s="27">
        <f t="shared" si="27"/>
        <v>0</v>
      </c>
      <c r="N168" s="11"/>
      <c r="O168" s="11"/>
      <c r="P168" s="11"/>
      <c r="Q168" s="11"/>
      <c r="R168" s="26">
        <f t="shared" si="28"/>
        <v>0</v>
      </c>
      <c r="S168" s="27">
        <f t="shared" si="29"/>
        <v>0</v>
      </c>
      <c r="T168" s="11">
        <f t="shared" si="30"/>
        <v>0</v>
      </c>
      <c r="U168" s="11">
        <f t="shared" si="31"/>
        <v>0</v>
      </c>
      <c r="V168" s="26">
        <f t="shared" si="32"/>
        <v>0</v>
      </c>
      <c r="W168" s="27">
        <f t="shared" si="33"/>
        <v>0</v>
      </c>
      <c r="X168" s="4">
        <v>7002</v>
      </c>
      <c r="Y168" s="4"/>
      <c r="Z168" s="4"/>
      <c r="AA168" s="12">
        <f t="shared" si="23"/>
        <v>0</v>
      </c>
      <c r="AC168" s="83"/>
      <c r="AD168" s="83"/>
      <c r="AE168" s="83"/>
      <c r="AF168" s="83"/>
    </row>
    <row r="169" spans="1:32" ht="12.75" customHeight="1">
      <c r="A169" s="24"/>
      <c r="B169" s="108">
        <f t="shared" si="24"/>
        <v>166</v>
      </c>
      <c r="C169" s="6">
        <v>701900</v>
      </c>
      <c r="D169" s="6" t="s">
        <v>648</v>
      </c>
      <c r="E169" s="9" t="s">
        <v>32</v>
      </c>
      <c r="F169" s="6"/>
      <c r="G169" s="6"/>
      <c r="H169" s="11">
        <f>+STAT1!V169</f>
        <v>0</v>
      </c>
      <c r="I169" s="11">
        <f>+STAT1!W169</f>
        <v>0</v>
      </c>
      <c r="J169" s="11">
        <f>+SUMIFS(JURNAL!G:G,JURNAL!E:E,C169,JURNAL!C:C,"&gt;="&amp;$H$1,JURNAL!C:C,"&lt;="&amp;$I$1)</f>
        <v>632672.81999999995</v>
      </c>
      <c r="K169" s="11">
        <f>+SUMIFS(JURNAL!H:H,JURNAL!E:E,C169,JURNAL!C:C,"&gt;="&amp;$H$1,JURNAL!C:C,"&lt;="&amp;$I$1)</f>
        <v>0</v>
      </c>
      <c r="L169" s="26">
        <f t="shared" si="26"/>
        <v>632672.81999999995</v>
      </c>
      <c r="M169" s="27">
        <f t="shared" si="27"/>
        <v>0</v>
      </c>
      <c r="N169" s="11"/>
      <c r="O169" s="11"/>
      <c r="P169" s="11"/>
      <c r="Q169" s="11"/>
      <c r="R169" s="26">
        <f t="shared" si="28"/>
        <v>632672.81999999995</v>
      </c>
      <c r="S169" s="27">
        <f t="shared" si="29"/>
        <v>0</v>
      </c>
      <c r="T169" s="11">
        <f t="shared" si="30"/>
        <v>0</v>
      </c>
      <c r="U169" s="11">
        <f t="shared" si="31"/>
        <v>632672.81999999995</v>
      </c>
      <c r="V169" s="26">
        <f t="shared" si="32"/>
        <v>0</v>
      </c>
      <c r="W169" s="27">
        <f t="shared" si="33"/>
        <v>0</v>
      </c>
      <c r="X169" s="4">
        <v>7002</v>
      </c>
      <c r="Y169" s="4"/>
      <c r="Z169" s="4"/>
      <c r="AA169" s="12">
        <f t="shared" si="23"/>
        <v>1</v>
      </c>
      <c r="AC169" s="83"/>
      <c r="AD169" s="83"/>
      <c r="AE169" s="83"/>
      <c r="AF169" s="83"/>
    </row>
    <row r="170" spans="1:32" ht="12.75" customHeight="1">
      <c r="A170" s="24"/>
      <c r="B170" s="108">
        <f t="shared" si="24"/>
        <v>167</v>
      </c>
      <c r="C170" s="6">
        <v>702000</v>
      </c>
      <c r="D170" s="6" t="s">
        <v>652</v>
      </c>
      <c r="E170" s="9" t="s">
        <v>32</v>
      </c>
      <c r="F170" s="6"/>
      <c r="G170" s="6"/>
      <c r="H170" s="11">
        <f>+STAT1!V170</f>
        <v>0</v>
      </c>
      <c r="I170" s="11">
        <f>+STAT1!W170</f>
        <v>0</v>
      </c>
      <c r="J170" s="11">
        <f>+SUMIFS(JURNAL!G:G,JURNAL!E:E,C170,JURNAL!C:C,"&gt;="&amp;$H$1,JURNAL!C:C,"&lt;="&amp;$I$1)</f>
        <v>418181.82000000007</v>
      </c>
      <c r="K170" s="11">
        <f>+SUMIFS(JURNAL!H:H,JURNAL!E:E,C170,JURNAL!C:C,"&gt;="&amp;$H$1,JURNAL!C:C,"&lt;="&amp;$I$1)</f>
        <v>0</v>
      </c>
      <c r="L170" s="26">
        <f t="shared" si="26"/>
        <v>418181.82000000007</v>
      </c>
      <c r="M170" s="27">
        <f t="shared" si="27"/>
        <v>0</v>
      </c>
      <c r="N170" s="11"/>
      <c r="O170" s="11"/>
      <c r="P170" s="11"/>
      <c r="Q170" s="11"/>
      <c r="R170" s="26">
        <f t="shared" si="28"/>
        <v>418181.82000000007</v>
      </c>
      <c r="S170" s="27">
        <f t="shared" si="29"/>
        <v>0</v>
      </c>
      <c r="T170" s="11">
        <f t="shared" si="30"/>
        <v>0</v>
      </c>
      <c r="U170" s="11">
        <f t="shared" si="31"/>
        <v>418181.82000000007</v>
      </c>
      <c r="V170" s="26">
        <f t="shared" si="32"/>
        <v>0</v>
      </c>
      <c r="W170" s="27">
        <f t="shared" si="33"/>
        <v>0</v>
      </c>
      <c r="X170" s="4">
        <v>7002</v>
      </c>
      <c r="Y170" s="4"/>
      <c r="Z170" s="4"/>
      <c r="AA170" s="12">
        <f t="shared" si="23"/>
        <v>1</v>
      </c>
      <c r="AC170" s="83"/>
      <c r="AD170" s="83"/>
      <c r="AE170" s="83"/>
      <c r="AF170" s="83"/>
    </row>
    <row r="171" spans="1:32" ht="12.75" customHeight="1">
      <c r="A171" s="24"/>
      <c r="B171" s="108">
        <f t="shared" si="24"/>
        <v>168</v>
      </c>
      <c r="C171" s="6">
        <v>702100</v>
      </c>
      <c r="D171" s="6" t="s">
        <v>656</v>
      </c>
      <c r="E171" s="9" t="s">
        <v>32</v>
      </c>
      <c r="F171" s="6"/>
      <c r="G171" s="6"/>
      <c r="H171" s="11">
        <f>+STAT1!V171</f>
        <v>0</v>
      </c>
      <c r="I171" s="11">
        <f>+STAT1!W171</f>
        <v>0</v>
      </c>
      <c r="J171" s="11">
        <f>+SUMIFS(JURNAL!G:G,JURNAL!E:E,C171,JURNAL!C:C,"&gt;="&amp;$H$1,JURNAL!C:C,"&lt;="&amp;$I$1)</f>
        <v>0</v>
      </c>
      <c r="K171" s="11">
        <f>+SUMIFS(JURNAL!H:H,JURNAL!E:E,C171,JURNAL!C:C,"&gt;="&amp;$H$1,JURNAL!C:C,"&lt;="&amp;$I$1)</f>
        <v>0</v>
      </c>
      <c r="L171" s="26">
        <f t="shared" si="26"/>
        <v>0</v>
      </c>
      <c r="M171" s="27">
        <f t="shared" si="27"/>
        <v>0</v>
      </c>
      <c r="N171" s="11"/>
      <c r="O171" s="11"/>
      <c r="P171" s="11"/>
      <c r="Q171" s="11"/>
      <c r="R171" s="26">
        <f t="shared" si="28"/>
        <v>0</v>
      </c>
      <c r="S171" s="27">
        <f t="shared" si="29"/>
        <v>0</v>
      </c>
      <c r="T171" s="11">
        <f t="shared" si="30"/>
        <v>0</v>
      </c>
      <c r="U171" s="11">
        <f t="shared" si="31"/>
        <v>0</v>
      </c>
      <c r="V171" s="26">
        <f t="shared" si="32"/>
        <v>0</v>
      </c>
      <c r="W171" s="27">
        <f t="shared" si="33"/>
        <v>0</v>
      </c>
      <c r="X171" s="4">
        <v>7002</v>
      </c>
      <c r="Y171" s="4"/>
      <c r="Z171" s="4"/>
      <c r="AA171" s="12">
        <f t="shared" si="23"/>
        <v>0</v>
      </c>
      <c r="AC171" s="83"/>
      <c r="AD171" s="83"/>
      <c r="AE171" s="83"/>
      <c r="AF171" s="83"/>
    </row>
    <row r="172" spans="1:32" ht="12.75" customHeight="1">
      <c r="A172" s="24"/>
      <c r="B172" s="108">
        <f t="shared" si="24"/>
        <v>169</v>
      </c>
      <c r="C172" s="6">
        <v>702300</v>
      </c>
      <c r="D172" s="6" t="s">
        <v>660</v>
      </c>
      <c r="E172" s="9" t="s">
        <v>32</v>
      </c>
      <c r="F172" s="6"/>
      <c r="G172" s="6"/>
      <c r="H172" s="11">
        <f>+STAT1!V172</f>
        <v>0</v>
      </c>
      <c r="I172" s="11">
        <f>+STAT1!W172</f>
        <v>0</v>
      </c>
      <c r="J172" s="11">
        <f>+SUMIFS(JURNAL!G:G,JURNAL!E:E,C172,JURNAL!C:C,"&gt;="&amp;$H$1,JURNAL!C:C,"&lt;="&amp;$I$1)</f>
        <v>0</v>
      </c>
      <c r="K172" s="11">
        <f>+SUMIFS(JURNAL!H:H,JURNAL!E:E,C172,JURNAL!C:C,"&gt;="&amp;$H$1,JURNAL!C:C,"&lt;="&amp;$I$1)</f>
        <v>0</v>
      </c>
      <c r="L172" s="26">
        <f t="shared" si="26"/>
        <v>0</v>
      </c>
      <c r="M172" s="27">
        <f t="shared" si="27"/>
        <v>0</v>
      </c>
      <c r="N172" s="11"/>
      <c r="O172" s="11"/>
      <c r="P172" s="11"/>
      <c r="Q172" s="11"/>
      <c r="R172" s="26">
        <f t="shared" si="28"/>
        <v>0</v>
      </c>
      <c r="S172" s="27">
        <f t="shared" si="29"/>
        <v>0</v>
      </c>
      <c r="T172" s="11">
        <f t="shared" si="30"/>
        <v>0</v>
      </c>
      <c r="U172" s="11">
        <f t="shared" si="31"/>
        <v>0</v>
      </c>
      <c r="V172" s="26">
        <f t="shared" si="32"/>
        <v>0</v>
      </c>
      <c r="W172" s="27">
        <f t="shared" si="33"/>
        <v>0</v>
      </c>
      <c r="X172" s="4">
        <v>7002</v>
      </c>
      <c r="Y172" s="4"/>
      <c r="Z172" s="4"/>
      <c r="AA172" s="12">
        <f t="shared" si="23"/>
        <v>0</v>
      </c>
      <c r="AC172" s="83"/>
      <c r="AD172" s="83"/>
      <c r="AE172" s="83"/>
      <c r="AF172" s="83"/>
    </row>
    <row r="173" spans="1:32" ht="12.75" customHeight="1">
      <c r="A173" s="24"/>
      <c r="B173" s="108">
        <f t="shared" si="24"/>
        <v>170</v>
      </c>
      <c r="C173" s="6">
        <v>702500</v>
      </c>
      <c r="D173" s="6" t="s">
        <v>277</v>
      </c>
      <c r="E173" s="9" t="s">
        <v>32</v>
      </c>
      <c r="F173" s="6"/>
      <c r="G173" s="6"/>
      <c r="H173" s="11">
        <f>+STAT1!V173</f>
        <v>0</v>
      </c>
      <c r="I173" s="11">
        <f>+STAT1!W173</f>
        <v>0</v>
      </c>
      <c r="J173" s="11">
        <f>+SUMIFS(JURNAL!G:G,JURNAL!E:E,C173,JURNAL!C:C,"&gt;="&amp;$H$1,JURNAL!C:C,"&lt;="&amp;$I$1)</f>
        <v>3422070.9699999997</v>
      </c>
      <c r="K173" s="11">
        <f>+SUMIFS(JURNAL!H:H,JURNAL!E:E,C173,JURNAL!C:C,"&gt;="&amp;$H$1,JURNAL!C:C,"&lt;="&amp;$I$1)</f>
        <v>0</v>
      </c>
      <c r="L173" s="26">
        <f t="shared" si="26"/>
        <v>3422070.9699999997</v>
      </c>
      <c r="M173" s="27">
        <f t="shared" si="27"/>
        <v>0</v>
      </c>
      <c r="N173" s="11"/>
      <c r="O173" s="11"/>
      <c r="P173" s="11"/>
      <c r="Q173" s="11"/>
      <c r="R173" s="26">
        <f t="shared" si="28"/>
        <v>3422070.9699999997</v>
      </c>
      <c r="S173" s="27">
        <f t="shared" si="29"/>
        <v>0</v>
      </c>
      <c r="T173" s="11">
        <f t="shared" si="30"/>
        <v>0</v>
      </c>
      <c r="U173" s="11">
        <f t="shared" si="31"/>
        <v>3422070.9699999997</v>
      </c>
      <c r="V173" s="26">
        <f t="shared" si="32"/>
        <v>0</v>
      </c>
      <c r="W173" s="27">
        <f t="shared" si="33"/>
        <v>0</v>
      </c>
      <c r="X173" s="4">
        <v>7002</v>
      </c>
      <c r="Y173" s="4"/>
      <c r="Z173" s="4"/>
      <c r="AA173" s="12">
        <f t="shared" si="23"/>
        <v>1</v>
      </c>
      <c r="AC173" s="83"/>
      <c r="AD173" s="83"/>
      <c r="AE173" s="83"/>
      <c r="AF173" s="83"/>
    </row>
    <row r="174" spans="1:32" ht="12.75" customHeight="1">
      <c r="A174" s="24"/>
      <c r="B174" s="108">
        <f t="shared" si="24"/>
        <v>171</v>
      </c>
      <c r="C174" s="6">
        <v>702400</v>
      </c>
      <c r="D174" s="6" t="s">
        <v>967</v>
      </c>
      <c r="E174" s="9" t="s">
        <v>32</v>
      </c>
      <c r="F174" s="6"/>
      <c r="G174" s="6"/>
      <c r="H174" s="11">
        <f>+STAT1!V174</f>
        <v>0</v>
      </c>
      <c r="I174" s="11">
        <f>+STAT1!W174</f>
        <v>0</v>
      </c>
      <c r="J174" s="11">
        <f>+SUMIFS(JURNAL!G:G,JURNAL!E:E,C174,JURNAL!C:C,"&gt;="&amp;$H$1,JURNAL!C:C,"&lt;="&amp;$I$1)</f>
        <v>0</v>
      </c>
      <c r="K174" s="11">
        <f>+SUMIFS(JURNAL!H:H,JURNAL!E:E,C174,JURNAL!C:C,"&gt;="&amp;$H$1,JURNAL!C:C,"&lt;="&amp;$I$1)</f>
        <v>0</v>
      </c>
      <c r="L174" s="26">
        <f t="shared" si="26"/>
        <v>0</v>
      </c>
      <c r="M174" s="27">
        <f t="shared" si="27"/>
        <v>0</v>
      </c>
      <c r="N174" s="11"/>
      <c r="O174" s="11"/>
      <c r="P174" s="11"/>
      <c r="Q174" s="11"/>
      <c r="R174" s="26">
        <f t="shared" si="28"/>
        <v>0</v>
      </c>
      <c r="S174" s="27">
        <f t="shared" si="29"/>
        <v>0</v>
      </c>
      <c r="T174" s="11">
        <f t="shared" si="30"/>
        <v>0</v>
      </c>
      <c r="U174" s="11">
        <f t="shared" si="31"/>
        <v>0</v>
      </c>
      <c r="V174" s="26">
        <f t="shared" si="32"/>
        <v>0</v>
      </c>
      <c r="W174" s="27">
        <f t="shared" si="33"/>
        <v>0</v>
      </c>
      <c r="X174" s="4">
        <v>7002</v>
      </c>
      <c r="Y174" s="4"/>
      <c r="Z174" s="4"/>
      <c r="AA174" s="12">
        <f t="shared" si="23"/>
        <v>0</v>
      </c>
      <c r="AC174" s="83"/>
      <c r="AD174" s="83"/>
      <c r="AE174" s="83"/>
      <c r="AF174" s="83"/>
    </row>
    <row r="175" spans="1:32" ht="12.75" customHeight="1">
      <c r="A175" s="24"/>
      <c r="B175" s="108">
        <f t="shared" si="24"/>
        <v>172</v>
      </c>
      <c r="C175" s="6">
        <v>702600</v>
      </c>
      <c r="D175" s="6" t="s">
        <v>670</v>
      </c>
      <c r="E175" s="9" t="s">
        <v>32</v>
      </c>
      <c r="F175" s="6"/>
      <c r="G175" s="6"/>
      <c r="H175" s="11">
        <f>+STAT1!V175</f>
        <v>0</v>
      </c>
      <c r="I175" s="11">
        <f>+STAT1!W175</f>
        <v>0</v>
      </c>
      <c r="J175" s="11">
        <f>+SUMIFS(JURNAL!G:G,JURNAL!E:E,C175,JURNAL!C:C,"&gt;="&amp;$H$1,JURNAL!C:C,"&lt;="&amp;$I$1)</f>
        <v>0</v>
      </c>
      <c r="K175" s="11">
        <f>+SUMIFS(JURNAL!H:H,JURNAL!E:E,C175,JURNAL!C:C,"&gt;="&amp;$H$1,JURNAL!C:C,"&lt;="&amp;$I$1)</f>
        <v>0</v>
      </c>
      <c r="L175" s="26">
        <f t="shared" si="26"/>
        <v>0</v>
      </c>
      <c r="M175" s="27">
        <f t="shared" si="27"/>
        <v>0</v>
      </c>
      <c r="N175" s="11"/>
      <c r="O175" s="11"/>
      <c r="P175" s="11"/>
      <c r="Q175" s="11"/>
      <c r="R175" s="26">
        <f t="shared" si="28"/>
        <v>0</v>
      </c>
      <c r="S175" s="27">
        <f t="shared" si="29"/>
        <v>0</v>
      </c>
      <c r="T175" s="11">
        <f t="shared" si="30"/>
        <v>0</v>
      </c>
      <c r="U175" s="11">
        <f t="shared" si="31"/>
        <v>0</v>
      </c>
      <c r="V175" s="26">
        <f t="shared" si="32"/>
        <v>0</v>
      </c>
      <c r="W175" s="27">
        <f t="shared" si="33"/>
        <v>0</v>
      </c>
      <c r="X175" s="4">
        <v>7002</v>
      </c>
      <c r="Y175" s="4"/>
      <c r="Z175" s="4"/>
      <c r="AA175" s="12">
        <f t="shared" si="23"/>
        <v>0</v>
      </c>
      <c r="AC175" s="83"/>
      <c r="AD175" s="83"/>
      <c r="AE175" s="83"/>
      <c r="AF175" s="83"/>
    </row>
    <row r="176" spans="1:32" ht="12.75" customHeight="1">
      <c r="A176" s="24"/>
      <c r="B176" s="108">
        <f t="shared" si="24"/>
        <v>173</v>
      </c>
      <c r="C176" s="6">
        <v>702700</v>
      </c>
      <c r="D176" s="6" t="s">
        <v>674</v>
      </c>
      <c r="E176" s="9" t="s">
        <v>32</v>
      </c>
      <c r="F176" s="6"/>
      <c r="G176" s="6"/>
      <c r="H176" s="11">
        <f>+STAT1!V176</f>
        <v>0</v>
      </c>
      <c r="I176" s="11">
        <f>+STAT1!W176</f>
        <v>0</v>
      </c>
      <c r="J176" s="11">
        <f>+SUMIFS(JURNAL!G:G,JURNAL!E:E,C176,JURNAL!C:C,"&gt;="&amp;$H$1,JURNAL!C:C,"&lt;="&amp;$I$1)</f>
        <v>0</v>
      </c>
      <c r="K176" s="11">
        <f>+SUMIFS(JURNAL!H:H,JURNAL!E:E,C176,JURNAL!C:C,"&gt;="&amp;$H$1,JURNAL!C:C,"&lt;="&amp;$I$1)</f>
        <v>0</v>
      </c>
      <c r="L176" s="26">
        <f t="shared" si="26"/>
        <v>0</v>
      </c>
      <c r="M176" s="27">
        <f t="shared" si="27"/>
        <v>0</v>
      </c>
      <c r="N176" s="11"/>
      <c r="O176" s="11"/>
      <c r="P176" s="11"/>
      <c r="Q176" s="11"/>
      <c r="R176" s="26">
        <f t="shared" si="28"/>
        <v>0</v>
      </c>
      <c r="S176" s="27">
        <f t="shared" si="29"/>
        <v>0</v>
      </c>
      <c r="T176" s="11">
        <f t="shared" si="30"/>
        <v>0</v>
      </c>
      <c r="U176" s="11">
        <f t="shared" si="31"/>
        <v>0</v>
      </c>
      <c r="V176" s="26">
        <f t="shared" si="32"/>
        <v>0</v>
      </c>
      <c r="W176" s="27">
        <f t="shared" si="33"/>
        <v>0</v>
      </c>
      <c r="X176" s="4">
        <v>7002</v>
      </c>
      <c r="Y176" s="4"/>
      <c r="Z176" s="4"/>
      <c r="AA176" s="12">
        <f t="shared" si="23"/>
        <v>0</v>
      </c>
      <c r="AC176" s="83"/>
      <c r="AD176" s="83"/>
      <c r="AE176" s="83"/>
      <c r="AF176" s="83"/>
    </row>
    <row r="177" spans="1:32" ht="12.75" customHeight="1">
      <c r="A177" s="24"/>
      <c r="B177" s="108">
        <f t="shared" si="24"/>
        <v>174</v>
      </c>
      <c r="C177" s="6">
        <v>702800</v>
      </c>
      <c r="D177" s="6" t="s">
        <v>678</v>
      </c>
      <c r="E177" s="9" t="s">
        <v>32</v>
      </c>
      <c r="F177" s="6"/>
      <c r="G177" s="6"/>
      <c r="H177" s="11">
        <f>+STAT1!V177</f>
        <v>0</v>
      </c>
      <c r="I177" s="11">
        <f>+STAT1!W177</f>
        <v>0</v>
      </c>
      <c r="J177" s="11">
        <f>+SUMIFS(JURNAL!G:G,JURNAL!E:E,C177,JURNAL!C:C,"&gt;="&amp;$H$1,JURNAL!C:C,"&lt;="&amp;$I$1)</f>
        <v>0</v>
      </c>
      <c r="K177" s="11">
        <f>+SUMIFS(JURNAL!H:H,JURNAL!E:E,C177,JURNAL!C:C,"&gt;="&amp;$H$1,JURNAL!C:C,"&lt;="&amp;$I$1)</f>
        <v>0</v>
      </c>
      <c r="L177" s="26">
        <f t="shared" si="26"/>
        <v>0</v>
      </c>
      <c r="M177" s="27">
        <f t="shared" si="27"/>
        <v>0</v>
      </c>
      <c r="N177" s="11"/>
      <c r="O177" s="11"/>
      <c r="P177" s="11"/>
      <c r="Q177" s="11"/>
      <c r="R177" s="26">
        <f t="shared" si="28"/>
        <v>0</v>
      </c>
      <c r="S177" s="27">
        <f t="shared" si="29"/>
        <v>0</v>
      </c>
      <c r="T177" s="11">
        <f t="shared" si="30"/>
        <v>0</v>
      </c>
      <c r="U177" s="11">
        <f t="shared" si="31"/>
        <v>0</v>
      </c>
      <c r="V177" s="26">
        <f t="shared" si="32"/>
        <v>0</v>
      </c>
      <c r="W177" s="27">
        <f t="shared" si="33"/>
        <v>0</v>
      </c>
      <c r="X177" s="4">
        <v>7002</v>
      </c>
      <c r="Y177" s="4"/>
      <c r="Z177" s="4"/>
      <c r="AA177" s="12">
        <f t="shared" si="23"/>
        <v>0</v>
      </c>
      <c r="AC177" s="83"/>
      <c r="AD177" s="83"/>
      <c r="AE177" s="83"/>
      <c r="AF177" s="83"/>
    </row>
    <row r="178" spans="1:32" ht="12.75" customHeight="1">
      <c r="A178" s="24"/>
      <c r="B178" s="108">
        <f t="shared" si="24"/>
        <v>175</v>
      </c>
      <c r="C178" s="6">
        <v>703300</v>
      </c>
      <c r="D178" s="6" t="s">
        <v>682</v>
      </c>
      <c r="E178" s="9" t="s">
        <v>32</v>
      </c>
      <c r="F178" s="6"/>
      <c r="G178" s="6"/>
      <c r="H178" s="11">
        <f>+STAT1!V178</f>
        <v>0</v>
      </c>
      <c r="I178" s="11">
        <f>+STAT1!W178</f>
        <v>0</v>
      </c>
      <c r="J178" s="11">
        <f>+SUMIFS(JURNAL!G:G,JURNAL!E:E,C178,JURNAL!C:C,"&gt;="&amp;$H$1,JURNAL!C:C,"&lt;="&amp;$I$1)</f>
        <v>0</v>
      </c>
      <c r="K178" s="11">
        <f>+SUMIFS(JURNAL!H:H,JURNAL!E:E,C178,JURNAL!C:C,"&gt;="&amp;$H$1,JURNAL!C:C,"&lt;="&amp;$I$1)</f>
        <v>0</v>
      </c>
      <c r="L178" s="26">
        <f t="shared" si="26"/>
        <v>0</v>
      </c>
      <c r="M178" s="27">
        <f t="shared" si="27"/>
        <v>0</v>
      </c>
      <c r="N178" s="11"/>
      <c r="O178" s="11"/>
      <c r="P178" s="11"/>
      <c r="Q178" s="11"/>
      <c r="R178" s="26">
        <f t="shared" si="28"/>
        <v>0</v>
      </c>
      <c r="S178" s="27">
        <f t="shared" si="29"/>
        <v>0</v>
      </c>
      <c r="T178" s="11">
        <f t="shared" si="30"/>
        <v>0</v>
      </c>
      <c r="U178" s="11">
        <f t="shared" si="31"/>
        <v>0</v>
      </c>
      <c r="V178" s="26">
        <f t="shared" si="32"/>
        <v>0</v>
      </c>
      <c r="W178" s="27">
        <f t="shared" si="33"/>
        <v>0</v>
      </c>
      <c r="X178" s="4">
        <v>7002</v>
      </c>
      <c r="Y178" s="4"/>
      <c r="Z178" s="4"/>
      <c r="AA178" s="12">
        <f t="shared" si="23"/>
        <v>0</v>
      </c>
      <c r="AC178" s="83"/>
      <c r="AD178" s="83"/>
      <c r="AE178" s="83"/>
      <c r="AF178" s="83"/>
    </row>
    <row r="179" spans="1:32" ht="12.75" customHeight="1">
      <c r="A179" s="24"/>
      <c r="B179" s="108">
        <f t="shared" si="24"/>
        <v>176</v>
      </c>
      <c r="C179" s="6">
        <v>703400</v>
      </c>
      <c r="D179" s="6" t="s">
        <v>968</v>
      </c>
      <c r="E179" s="9" t="s">
        <v>32</v>
      </c>
      <c r="F179" s="6"/>
      <c r="G179" s="6"/>
      <c r="H179" s="11">
        <f>+STAT1!V179</f>
        <v>0</v>
      </c>
      <c r="I179" s="11">
        <f>+STAT1!W179</f>
        <v>0</v>
      </c>
      <c r="J179" s="11">
        <f>+SUMIFS(JURNAL!G:G,JURNAL!E:E,C179,JURNAL!C:C,"&gt;="&amp;$H$1,JURNAL!C:C,"&lt;="&amp;$I$1)</f>
        <v>0</v>
      </c>
      <c r="K179" s="11">
        <f>+SUMIFS(JURNAL!H:H,JURNAL!E:E,C179,JURNAL!C:C,"&gt;="&amp;$H$1,JURNAL!C:C,"&lt;="&amp;$I$1)</f>
        <v>0</v>
      </c>
      <c r="L179" s="26">
        <f t="shared" si="26"/>
        <v>0</v>
      </c>
      <c r="M179" s="27">
        <f t="shared" si="27"/>
        <v>0</v>
      </c>
      <c r="N179" s="11"/>
      <c r="O179" s="11"/>
      <c r="P179" s="11"/>
      <c r="Q179" s="11"/>
      <c r="R179" s="26">
        <f t="shared" si="28"/>
        <v>0</v>
      </c>
      <c r="S179" s="27">
        <f t="shared" si="29"/>
        <v>0</v>
      </c>
      <c r="T179" s="11">
        <f t="shared" si="30"/>
        <v>0</v>
      </c>
      <c r="U179" s="11">
        <f t="shared" si="31"/>
        <v>0</v>
      </c>
      <c r="V179" s="26">
        <f t="shared" si="32"/>
        <v>0</v>
      </c>
      <c r="W179" s="27">
        <f t="shared" si="33"/>
        <v>0</v>
      </c>
      <c r="X179" s="4">
        <v>7002</v>
      </c>
      <c r="Y179" s="4"/>
      <c r="Z179" s="4"/>
      <c r="AA179" s="12">
        <f t="shared" si="23"/>
        <v>0</v>
      </c>
      <c r="AC179" s="83"/>
      <c r="AD179" s="83"/>
      <c r="AE179" s="83"/>
      <c r="AF179" s="83"/>
    </row>
    <row r="180" spans="1:32" ht="12.75" customHeight="1">
      <c r="A180" s="24"/>
      <c r="B180" s="108">
        <f t="shared" si="24"/>
        <v>177</v>
      </c>
      <c r="C180" s="6">
        <v>703700</v>
      </c>
      <c r="D180" s="6" t="s">
        <v>690</v>
      </c>
      <c r="E180" s="9" t="s">
        <v>32</v>
      </c>
      <c r="F180" s="6"/>
      <c r="G180" s="6"/>
      <c r="H180" s="11">
        <f>+STAT1!V180</f>
        <v>0</v>
      </c>
      <c r="I180" s="11">
        <f>+STAT1!W180</f>
        <v>0</v>
      </c>
      <c r="J180" s="11">
        <f>+SUMIFS(JURNAL!G:G,JURNAL!E:E,C180,JURNAL!C:C,"&gt;="&amp;$H$1,JURNAL!C:C,"&lt;="&amp;$I$1)</f>
        <v>338534.09</v>
      </c>
      <c r="K180" s="11">
        <f>+SUMIFS(JURNAL!H:H,JURNAL!E:E,C180,JURNAL!C:C,"&gt;="&amp;$H$1,JURNAL!C:C,"&lt;="&amp;$I$1)</f>
        <v>0</v>
      </c>
      <c r="L180" s="26">
        <f t="shared" si="26"/>
        <v>338534.09</v>
      </c>
      <c r="M180" s="27">
        <f t="shared" si="27"/>
        <v>0</v>
      </c>
      <c r="N180" s="11"/>
      <c r="O180" s="11"/>
      <c r="P180" s="11"/>
      <c r="Q180" s="11"/>
      <c r="R180" s="26">
        <f t="shared" si="28"/>
        <v>338534.09</v>
      </c>
      <c r="S180" s="27">
        <f t="shared" si="29"/>
        <v>0</v>
      </c>
      <c r="T180" s="11">
        <f t="shared" si="30"/>
        <v>0</v>
      </c>
      <c r="U180" s="11">
        <f t="shared" si="31"/>
        <v>338534.09</v>
      </c>
      <c r="V180" s="26">
        <f t="shared" si="32"/>
        <v>0</v>
      </c>
      <c r="W180" s="27">
        <f t="shared" si="33"/>
        <v>0</v>
      </c>
      <c r="X180" s="4">
        <v>7002</v>
      </c>
      <c r="Y180" s="4"/>
      <c r="Z180" s="4"/>
      <c r="AA180" s="12">
        <f t="shared" si="23"/>
        <v>1</v>
      </c>
      <c r="AC180" s="83"/>
      <c r="AD180" s="83"/>
      <c r="AE180" s="83"/>
      <c r="AF180" s="83"/>
    </row>
    <row r="181" spans="1:32" ht="12.75" customHeight="1">
      <c r="A181" s="24"/>
      <c r="B181" s="108">
        <f t="shared" si="24"/>
        <v>178</v>
      </c>
      <c r="C181" s="6">
        <v>703800</v>
      </c>
      <c r="D181" s="6" t="s">
        <v>694</v>
      </c>
      <c r="E181" s="9" t="s">
        <v>32</v>
      </c>
      <c r="F181" s="6"/>
      <c r="G181" s="6"/>
      <c r="H181" s="11">
        <f>+STAT1!V181</f>
        <v>0</v>
      </c>
      <c r="I181" s="11">
        <f>+STAT1!W181</f>
        <v>0</v>
      </c>
      <c r="J181" s="11">
        <f>+SUMIFS(JURNAL!G:G,JURNAL!E:E,C181,JURNAL!C:C,"&gt;="&amp;$H$1,JURNAL!C:C,"&lt;="&amp;$I$1)</f>
        <v>0</v>
      </c>
      <c r="K181" s="11">
        <f>+SUMIFS(JURNAL!H:H,JURNAL!E:E,C181,JURNAL!C:C,"&gt;="&amp;$H$1,JURNAL!C:C,"&lt;="&amp;$I$1)</f>
        <v>0</v>
      </c>
      <c r="L181" s="26">
        <f t="shared" si="26"/>
        <v>0</v>
      </c>
      <c r="M181" s="27">
        <f t="shared" si="27"/>
        <v>0</v>
      </c>
      <c r="N181" s="11"/>
      <c r="O181" s="11"/>
      <c r="P181" s="11"/>
      <c r="Q181" s="11"/>
      <c r="R181" s="26">
        <f t="shared" si="28"/>
        <v>0</v>
      </c>
      <c r="S181" s="27">
        <f t="shared" si="29"/>
        <v>0</v>
      </c>
      <c r="T181" s="11">
        <f t="shared" si="30"/>
        <v>0</v>
      </c>
      <c r="U181" s="11">
        <f t="shared" si="31"/>
        <v>0</v>
      </c>
      <c r="V181" s="26">
        <f t="shared" si="32"/>
        <v>0</v>
      </c>
      <c r="W181" s="27">
        <f t="shared" si="33"/>
        <v>0</v>
      </c>
      <c r="X181" s="4">
        <v>7002</v>
      </c>
      <c r="Y181" s="4"/>
      <c r="Z181" s="4"/>
      <c r="AA181" s="12">
        <f t="shared" si="23"/>
        <v>0</v>
      </c>
      <c r="AC181" s="83"/>
      <c r="AD181" s="83"/>
      <c r="AE181" s="83"/>
      <c r="AF181" s="83"/>
    </row>
    <row r="182" spans="1:32" ht="12.75" customHeight="1">
      <c r="A182" s="24"/>
      <c r="B182" s="108">
        <f t="shared" si="24"/>
        <v>179</v>
      </c>
      <c r="C182" s="6">
        <v>703900</v>
      </c>
      <c r="D182" s="6" t="s">
        <v>698</v>
      </c>
      <c r="E182" s="9" t="s">
        <v>32</v>
      </c>
      <c r="F182" s="6"/>
      <c r="G182" s="6"/>
      <c r="H182" s="11">
        <f>+STAT1!V182</f>
        <v>0</v>
      </c>
      <c r="I182" s="11">
        <f>+STAT1!W182</f>
        <v>0</v>
      </c>
      <c r="J182" s="11">
        <f>+SUMIFS(JURNAL!G:G,JURNAL!E:E,C182,JURNAL!C:C,"&gt;="&amp;$H$1,JURNAL!C:C,"&lt;="&amp;$I$1)</f>
        <v>500000</v>
      </c>
      <c r="K182" s="11">
        <f>+SUMIFS(JURNAL!H:H,JURNAL!E:E,C182,JURNAL!C:C,"&gt;="&amp;$H$1,JURNAL!C:C,"&lt;="&amp;$I$1)</f>
        <v>0</v>
      </c>
      <c r="L182" s="26">
        <f t="shared" si="26"/>
        <v>500000</v>
      </c>
      <c r="M182" s="27">
        <f t="shared" si="27"/>
        <v>0</v>
      </c>
      <c r="N182" s="11"/>
      <c r="O182" s="11"/>
      <c r="P182" s="11"/>
      <c r="Q182" s="11"/>
      <c r="R182" s="26">
        <f t="shared" si="28"/>
        <v>500000</v>
      </c>
      <c r="S182" s="27">
        <f t="shared" si="29"/>
        <v>0</v>
      </c>
      <c r="T182" s="11">
        <f t="shared" si="30"/>
        <v>0</v>
      </c>
      <c r="U182" s="11">
        <f t="shared" si="31"/>
        <v>500000</v>
      </c>
      <c r="V182" s="26">
        <f t="shared" si="32"/>
        <v>0</v>
      </c>
      <c r="W182" s="27">
        <f t="shared" si="33"/>
        <v>0</v>
      </c>
      <c r="X182" s="4">
        <v>7002</v>
      </c>
      <c r="Y182" s="4"/>
      <c r="Z182" s="4"/>
      <c r="AA182" s="12">
        <f t="shared" si="23"/>
        <v>1</v>
      </c>
      <c r="AC182" s="83"/>
      <c r="AD182" s="83"/>
      <c r="AE182" s="83"/>
      <c r="AF182" s="83"/>
    </row>
    <row r="183" spans="1:32" ht="12.75" customHeight="1">
      <c r="A183" s="24"/>
      <c r="B183" s="108">
        <f t="shared" si="24"/>
        <v>180</v>
      </c>
      <c r="C183" s="6">
        <v>704000</v>
      </c>
      <c r="D183" s="6" t="s">
        <v>702</v>
      </c>
      <c r="E183" s="9" t="s">
        <v>32</v>
      </c>
      <c r="F183" s="6"/>
      <c r="G183" s="6"/>
      <c r="H183" s="11">
        <f>+STAT1!V183</f>
        <v>0</v>
      </c>
      <c r="I183" s="11">
        <f>+STAT1!W183</f>
        <v>0</v>
      </c>
      <c r="J183" s="11">
        <f>+SUMIFS(JURNAL!G:G,JURNAL!E:E,C183,JURNAL!C:C,"&gt;="&amp;$H$1,JURNAL!C:C,"&lt;="&amp;$I$1)</f>
        <v>0</v>
      </c>
      <c r="K183" s="11">
        <f>+SUMIFS(JURNAL!H:H,JURNAL!E:E,C183,JURNAL!C:C,"&gt;="&amp;$H$1,JURNAL!C:C,"&lt;="&amp;$I$1)</f>
        <v>0</v>
      </c>
      <c r="L183" s="26">
        <f t="shared" si="26"/>
        <v>0</v>
      </c>
      <c r="M183" s="27">
        <f t="shared" si="27"/>
        <v>0</v>
      </c>
      <c r="N183" s="11"/>
      <c r="O183" s="11"/>
      <c r="P183" s="11"/>
      <c r="Q183" s="11"/>
      <c r="R183" s="26">
        <f t="shared" si="28"/>
        <v>0</v>
      </c>
      <c r="S183" s="27">
        <f t="shared" si="29"/>
        <v>0</v>
      </c>
      <c r="T183" s="11">
        <f t="shared" si="30"/>
        <v>0</v>
      </c>
      <c r="U183" s="11">
        <f t="shared" si="31"/>
        <v>0</v>
      </c>
      <c r="V183" s="26">
        <f t="shared" si="32"/>
        <v>0</v>
      </c>
      <c r="W183" s="27">
        <f t="shared" si="33"/>
        <v>0</v>
      </c>
      <c r="X183" s="4">
        <v>7002</v>
      </c>
      <c r="Y183" s="4"/>
      <c r="Z183" s="4"/>
      <c r="AA183" s="12">
        <f t="shared" si="23"/>
        <v>0</v>
      </c>
      <c r="AC183" s="83"/>
      <c r="AD183" s="83"/>
      <c r="AE183" s="83"/>
      <c r="AF183" s="83"/>
    </row>
    <row r="184" spans="1:32" ht="12.75" customHeight="1">
      <c r="A184" s="24"/>
      <c r="B184" s="108">
        <f t="shared" si="24"/>
        <v>181</v>
      </c>
      <c r="C184" s="6">
        <v>704100</v>
      </c>
      <c r="D184" s="6" t="s">
        <v>706</v>
      </c>
      <c r="E184" s="9" t="s">
        <v>32</v>
      </c>
      <c r="F184" s="6"/>
      <c r="G184" s="6"/>
      <c r="H184" s="11">
        <f>+STAT1!V184</f>
        <v>0</v>
      </c>
      <c r="I184" s="11">
        <f>+STAT1!W184</f>
        <v>0</v>
      </c>
      <c r="J184" s="11">
        <f>+SUMIFS(JURNAL!G:G,JURNAL!E:E,C184,JURNAL!C:C,"&gt;="&amp;$H$1,JURNAL!C:C,"&lt;="&amp;$I$1)</f>
        <v>0</v>
      </c>
      <c r="K184" s="11">
        <f>+SUMIFS(JURNAL!H:H,JURNAL!E:E,C184,JURNAL!C:C,"&gt;="&amp;$H$1,JURNAL!C:C,"&lt;="&amp;$I$1)</f>
        <v>0</v>
      </c>
      <c r="L184" s="26">
        <f t="shared" si="26"/>
        <v>0</v>
      </c>
      <c r="M184" s="27">
        <f t="shared" si="27"/>
        <v>0</v>
      </c>
      <c r="N184" s="11"/>
      <c r="O184" s="11"/>
      <c r="P184" s="11"/>
      <c r="Q184" s="11"/>
      <c r="R184" s="26">
        <f t="shared" si="28"/>
        <v>0</v>
      </c>
      <c r="S184" s="27">
        <f t="shared" si="29"/>
        <v>0</v>
      </c>
      <c r="T184" s="11">
        <f t="shared" si="30"/>
        <v>0</v>
      </c>
      <c r="U184" s="11">
        <f t="shared" si="31"/>
        <v>0</v>
      </c>
      <c r="V184" s="26">
        <f t="shared" si="32"/>
        <v>0</v>
      </c>
      <c r="W184" s="27">
        <f t="shared" si="33"/>
        <v>0</v>
      </c>
      <c r="X184" s="4">
        <v>7002</v>
      </c>
      <c r="Y184" s="4"/>
      <c r="Z184" s="4"/>
      <c r="AA184" s="12">
        <f t="shared" si="23"/>
        <v>0</v>
      </c>
      <c r="AC184" s="83"/>
      <c r="AD184" s="83"/>
      <c r="AE184" s="83"/>
      <c r="AF184" s="83"/>
    </row>
    <row r="185" spans="1:32" ht="12.75" customHeight="1">
      <c r="A185" s="24"/>
      <c r="B185" s="108">
        <f t="shared" si="24"/>
        <v>182</v>
      </c>
      <c r="C185" s="6">
        <v>704200</v>
      </c>
      <c r="D185" s="130" t="s">
        <v>710</v>
      </c>
      <c r="E185" s="9" t="s">
        <v>32</v>
      </c>
      <c r="F185" s="6"/>
      <c r="G185" s="6"/>
      <c r="H185" s="11">
        <f>+STAT1!V185</f>
        <v>0</v>
      </c>
      <c r="I185" s="11">
        <f>+STAT1!W185</f>
        <v>0</v>
      </c>
      <c r="J185" s="11">
        <f>+SUMIFS(JURNAL!G:G,JURNAL!E:E,C185,JURNAL!C:C,"&gt;="&amp;$H$1,JURNAL!C:C,"&lt;="&amp;$I$1)</f>
        <v>0</v>
      </c>
      <c r="K185" s="11">
        <f>+SUMIFS(JURNAL!H:H,JURNAL!E:E,C185,JURNAL!C:C,"&gt;="&amp;$H$1,JURNAL!C:C,"&lt;="&amp;$I$1)</f>
        <v>0</v>
      </c>
      <c r="L185" s="26">
        <f t="shared" si="26"/>
        <v>0</v>
      </c>
      <c r="M185" s="27">
        <f t="shared" si="27"/>
        <v>0</v>
      </c>
      <c r="N185" s="11"/>
      <c r="O185" s="11"/>
      <c r="P185" s="11"/>
      <c r="Q185" s="11"/>
      <c r="R185" s="26">
        <f t="shared" si="28"/>
        <v>0</v>
      </c>
      <c r="S185" s="27">
        <f t="shared" si="29"/>
        <v>0</v>
      </c>
      <c r="T185" s="11">
        <f t="shared" si="30"/>
        <v>0</v>
      </c>
      <c r="U185" s="11">
        <f t="shared" si="31"/>
        <v>0</v>
      </c>
      <c r="V185" s="26">
        <f t="shared" si="32"/>
        <v>0</v>
      </c>
      <c r="W185" s="27">
        <f t="shared" si="33"/>
        <v>0</v>
      </c>
      <c r="X185" s="4">
        <v>7002</v>
      </c>
      <c r="Y185" s="4"/>
      <c r="Z185" s="4"/>
      <c r="AA185" s="12">
        <f t="shared" si="23"/>
        <v>0</v>
      </c>
      <c r="AC185" s="83"/>
      <c r="AD185" s="83"/>
      <c r="AE185" s="83"/>
      <c r="AF185" s="83"/>
    </row>
    <row r="186" spans="1:32" ht="12.75" customHeight="1">
      <c r="A186" s="24"/>
      <c r="B186" s="108">
        <f t="shared" si="24"/>
        <v>183</v>
      </c>
      <c r="C186" s="6">
        <v>704300</v>
      </c>
      <c r="D186" s="6" t="s">
        <v>714</v>
      </c>
      <c r="E186" s="9" t="s">
        <v>32</v>
      </c>
      <c r="F186" s="6"/>
      <c r="G186" s="6"/>
      <c r="H186" s="11">
        <f>+STAT1!V186</f>
        <v>0</v>
      </c>
      <c r="I186" s="11">
        <f>+STAT1!W186</f>
        <v>0</v>
      </c>
      <c r="J186" s="11">
        <f>+SUMIFS(JURNAL!G:G,JURNAL!E:E,C186,JURNAL!C:C,"&gt;="&amp;$H$1,JURNAL!C:C,"&lt;="&amp;$I$1)</f>
        <v>0</v>
      </c>
      <c r="K186" s="11">
        <f>+SUMIFS(JURNAL!H:H,JURNAL!E:E,C186,JURNAL!C:C,"&gt;="&amp;$H$1,JURNAL!C:C,"&lt;="&amp;$I$1)</f>
        <v>0</v>
      </c>
      <c r="L186" s="26">
        <f t="shared" si="26"/>
        <v>0</v>
      </c>
      <c r="M186" s="27">
        <f t="shared" si="27"/>
        <v>0</v>
      </c>
      <c r="N186" s="11"/>
      <c r="O186" s="11"/>
      <c r="P186" s="11"/>
      <c r="Q186" s="11"/>
      <c r="R186" s="26">
        <f t="shared" si="28"/>
        <v>0</v>
      </c>
      <c r="S186" s="27">
        <f t="shared" si="29"/>
        <v>0</v>
      </c>
      <c r="T186" s="11">
        <f t="shared" si="30"/>
        <v>0</v>
      </c>
      <c r="U186" s="11">
        <f t="shared" si="31"/>
        <v>0</v>
      </c>
      <c r="V186" s="26">
        <f t="shared" si="32"/>
        <v>0</v>
      </c>
      <c r="W186" s="27">
        <f t="shared" si="33"/>
        <v>0</v>
      </c>
      <c r="X186" s="4">
        <v>7002</v>
      </c>
      <c r="Y186" s="4"/>
      <c r="Z186" s="4"/>
      <c r="AA186" s="12">
        <f t="shared" si="23"/>
        <v>0</v>
      </c>
      <c r="AC186" s="83"/>
      <c r="AD186" s="83"/>
      <c r="AE186" s="83"/>
      <c r="AF186" s="83"/>
    </row>
    <row r="187" spans="1:32" ht="12.75" customHeight="1">
      <c r="A187" s="24"/>
      <c r="B187" s="108">
        <f t="shared" si="24"/>
        <v>184</v>
      </c>
      <c r="C187" s="6">
        <v>704400</v>
      </c>
      <c r="D187" s="6" t="s">
        <v>718</v>
      </c>
      <c r="E187" s="9" t="s">
        <v>32</v>
      </c>
      <c r="F187" s="6"/>
      <c r="G187" s="6"/>
      <c r="H187" s="11">
        <f>+STAT1!V187</f>
        <v>0</v>
      </c>
      <c r="I187" s="11">
        <f>+STAT1!W187</f>
        <v>0</v>
      </c>
      <c r="J187" s="11">
        <f>+SUMIFS(JURNAL!G:G,JURNAL!E:E,C187,JURNAL!C:C,"&gt;="&amp;$H$1,JURNAL!C:C,"&lt;="&amp;$I$1)</f>
        <v>0</v>
      </c>
      <c r="K187" s="11">
        <f>+SUMIFS(JURNAL!H:H,JURNAL!E:E,C187,JURNAL!C:C,"&gt;="&amp;$H$1,JURNAL!C:C,"&lt;="&amp;$I$1)</f>
        <v>0</v>
      </c>
      <c r="L187" s="26">
        <f t="shared" si="26"/>
        <v>0</v>
      </c>
      <c r="M187" s="27">
        <f t="shared" si="27"/>
        <v>0</v>
      </c>
      <c r="N187" s="11"/>
      <c r="O187" s="11"/>
      <c r="P187" s="11"/>
      <c r="Q187" s="11"/>
      <c r="R187" s="26">
        <f t="shared" si="28"/>
        <v>0</v>
      </c>
      <c r="S187" s="27">
        <f t="shared" si="29"/>
        <v>0</v>
      </c>
      <c r="T187" s="11">
        <f t="shared" si="30"/>
        <v>0</v>
      </c>
      <c r="U187" s="11">
        <f t="shared" si="31"/>
        <v>0</v>
      </c>
      <c r="V187" s="26">
        <f t="shared" si="32"/>
        <v>0</v>
      </c>
      <c r="W187" s="27">
        <f t="shared" si="33"/>
        <v>0</v>
      </c>
      <c r="X187" s="4">
        <v>7002</v>
      </c>
      <c r="Y187" s="4"/>
      <c r="Z187" s="4"/>
      <c r="AA187" s="12">
        <f t="shared" si="23"/>
        <v>0</v>
      </c>
      <c r="AC187" s="83"/>
      <c r="AD187" s="83"/>
      <c r="AE187" s="83"/>
      <c r="AF187" s="83"/>
    </row>
    <row r="188" spans="1:32" ht="12.75" customHeight="1">
      <c r="A188" s="24"/>
      <c r="B188" s="108">
        <f t="shared" si="24"/>
        <v>185</v>
      </c>
      <c r="C188" s="6">
        <v>704600</v>
      </c>
      <c r="D188" s="6" t="s">
        <v>722</v>
      </c>
      <c r="E188" s="9" t="s">
        <v>32</v>
      </c>
      <c r="F188" s="6"/>
      <c r="G188" s="6"/>
      <c r="H188" s="11">
        <f>+STAT1!V188</f>
        <v>0</v>
      </c>
      <c r="I188" s="11">
        <f>+STAT1!W188</f>
        <v>0</v>
      </c>
      <c r="J188" s="11">
        <f>+SUMIFS(JURNAL!G:G,JURNAL!E:E,C188,JURNAL!C:C,"&gt;="&amp;$H$1,JURNAL!C:C,"&lt;="&amp;$I$1)</f>
        <v>0</v>
      </c>
      <c r="K188" s="11">
        <f>+SUMIFS(JURNAL!H:H,JURNAL!E:E,C188,JURNAL!C:C,"&gt;="&amp;$H$1,JURNAL!C:C,"&lt;="&amp;$I$1)</f>
        <v>0</v>
      </c>
      <c r="L188" s="26">
        <f t="shared" si="26"/>
        <v>0</v>
      </c>
      <c r="M188" s="27">
        <f t="shared" si="27"/>
        <v>0</v>
      </c>
      <c r="N188" s="11"/>
      <c r="O188" s="11"/>
      <c r="P188" s="11"/>
      <c r="Q188" s="11"/>
      <c r="R188" s="26">
        <f t="shared" si="28"/>
        <v>0</v>
      </c>
      <c r="S188" s="27">
        <f t="shared" si="29"/>
        <v>0</v>
      </c>
      <c r="T188" s="11">
        <f t="shared" si="30"/>
        <v>0</v>
      </c>
      <c r="U188" s="11">
        <f t="shared" si="31"/>
        <v>0</v>
      </c>
      <c r="V188" s="26">
        <f t="shared" si="32"/>
        <v>0</v>
      </c>
      <c r="W188" s="27">
        <f t="shared" si="33"/>
        <v>0</v>
      </c>
      <c r="X188" s="4">
        <v>7002</v>
      </c>
      <c r="Y188" s="4"/>
      <c r="Z188" s="4"/>
      <c r="AA188" s="12">
        <f t="shared" si="23"/>
        <v>0</v>
      </c>
      <c r="AC188" s="83"/>
      <c r="AD188" s="83"/>
      <c r="AE188" s="83"/>
      <c r="AF188" s="83"/>
    </row>
    <row r="189" spans="1:32" ht="12.75" customHeight="1">
      <c r="B189" s="108">
        <f t="shared" si="24"/>
        <v>186</v>
      </c>
      <c r="C189" s="6">
        <v>704700</v>
      </c>
      <c r="D189" s="6" t="s">
        <v>726</v>
      </c>
      <c r="E189" s="9" t="s">
        <v>32</v>
      </c>
      <c r="F189" s="6"/>
      <c r="G189" s="6"/>
      <c r="H189" s="11">
        <f>+STAT1!V189</f>
        <v>0</v>
      </c>
      <c r="I189" s="11">
        <f>+STAT1!W189</f>
        <v>0</v>
      </c>
      <c r="J189" s="11">
        <f>+SUMIFS(JURNAL!G:G,JURNAL!E:E,C189,JURNAL!C:C,"&gt;="&amp;$H$1,JURNAL!C:C,"&lt;="&amp;$I$1)</f>
        <v>0</v>
      </c>
      <c r="K189" s="11">
        <f>+SUMIFS(JURNAL!H:H,JURNAL!E:E,C189,JURNAL!C:C,"&gt;="&amp;$H$1,JURNAL!C:C,"&lt;="&amp;$I$1)</f>
        <v>0</v>
      </c>
      <c r="L189" s="26">
        <f t="shared" si="26"/>
        <v>0</v>
      </c>
      <c r="M189" s="27">
        <f t="shared" si="27"/>
        <v>0</v>
      </c>
      <c r="N189" s="11"/>
      <c r="O189" s="11"/>
      <c r="P189" s="11"/>
      <c r="Q189" s="11"/>
      <c r="R189" s="26">
        <f t="shared" si="28"/>
        <v>0</v>
      </c>
      <c r="S189" s="27">
        <f t="shared" si="29"/>
        <v>0</v>
      </c>
      <c r="T189" s="11">
        <f t="shared" si="30"/>
        <v>0</v>
      </c>
      <c r="U189" s="11">
        <f t="shared" si="31"/>
        <v>0</v>
      </c>
      <c r="V189" s="26">
        <f t="shared" si="32"/>
        <v>0</v>
      </c>
      <c r="W189" s="27">
        <f t="shared" si="33"/>
        <v>0</v>
      </c>
      <c r="X189" s="4">
        <v>7002</v>
      </c>
      <c r="Y189" s="4"/>
      <c r="Z189" s="4"/>
      <c r="AA189" s="12">
        <f t="shared" si="23"/>
        <v>0</v>
      </c>
      <c r="AC189" s="83"/>
      <c r="AD189" s="83"/>
      <c r="AE189" s="83"/>
      <c r="AF189" s="83"/>
    </row>
    <row r="190" spans="1:32" ht="12.75" customHeight="1">
      <c r="B190" s="108">
        <f t="shared" si="24"/>
        <v>187</v>
      </c>
      <c r="C190" s="6">
        <v>704800</v>
      </c>
      <c r="D190" s="6" t="s">
        <v>730</v>
      </c>
      <c r="E190" s="9" t="s">
        <v>32</v>
      </c>
      <c r="F190" s="6"/>
      <c r="G190" s="6"/>
      <c r="H190" s="11">
        <f>+STAT1!V190</f>
        <v>0</v>
      </c>
      <c r="I190" s="11">
        <f>+STAT1!W190</f>
        <v>0</v>
      </c>
      <c r="J190" s="11">
        <f>+SUMIFS(JURNAL!G:G,JURNAL!E:E,C190,JURNAL!C:C,"&gt;="&amp;$H$1,JURNAL!C:C,"&lt;="&amp;$I$1)</f>
        <v>0</v>
      </c>
      <c r="K190" s="11">
        <f>+SUMIFS(JURNAL!H:H,JURNAL!E:E,C190,JURNAL!C:C,"&gt;="&amp;$H$1,JURNAL!C:C,"&lt;="&amp;$I$1)</f>
        <v>0</v>
      </c>
      <c r="L190" s="26">
        <f t="shared" si="26"/>
        <v>0</v>
      </c>
      <c r="M190" s="27">
        <f t="shared" si="27"/>
        <v>0</v>
      </c>
      <c r="N190" s="11"/>
      <c r="O190" s="11"/>
      <c r="P190" s="11"/>
      <c r="Q190" s="11"/>
      <c r="R190" s="26">
        <f t="shared" si="28"/>
        <v>0</v>
      </c>
      <c r="S190" s="27">
        <f t="shared" si="29"/>
        <v>0</v>
      </c>
      <c r="T190" s="11">
        <f t="shared" si="30"/>
        <v>0</v>
      </c>
      <c r="U190" s="11">
        <f t="shared" si="31"/>
        <v>0</v>
      </c>
      <c r="V190" s="26">
        <f t="shared" si="32"/>
        <v>0</v>
      </c>
      <c r="W190" s="27">
        <f t="shared" si="33"/>
        <v>0</v>
      </c>
      <c r="X190" s="4">
        <v>7002</v>
      </c>
      <c r="Y190" s="4"/>
      <c r="Z190" s="4"/>
      <c r="AA190" s="12">
        <f t="shared" si="23"/>
        <v>0</v>
      </c>
      <c r="AC190" s="83"/>
      <c r="AD190" s="83"/>
      <c r="AE190" s="83"/>
      <c r="AF190" s="83"/>
    </row>
    <row r="191" spans="1:32" ht="12.75" customHeight="1">
      <c r="B191" s="108">
        <f t="shared" si="24"/>
        <v>188</v>
      </c>
      <c r="C191" s="6">
        <v>704900</v>
      </c>
      <c r="D191" s="6" t="s">
        <v>734</v>
      </c>
      <c r="E191" s="9" t="s">
        <v>32</v>
      </c>
      <c r="F191" s="6"/>
      <c r="G191" s="6"/>
      <c r="H191" s="11">
        <f>+STAT1!V191</f>
        <v>0</v>
      </c>
      <c r="I191" s="11">
        <f>+STAT1!W191</f>
        <v>0</v>
      </c>
      <c r="J191" s="11">
        <f>+SUMIFS(JURNAL!G:G,JURNAL!E:E,C191,JURNAL!C:C,"&gt;="&amp;$H$1,JURNAL!C:C,"&lt;="&amp;$I$1)</f>
        <v>6800</v>
      </c>
      <c r="K191" s="11">
        <f>+SUMIFS(JURNAL!H:H,JURNAL!E:E,C191,JURNAL!C:C,"&gt;="&amp;$H$1,JURNAL!C:C,"&lt;="&amp;$I$1)</f>
        <v>0</v>
      </c>
      <c r="L191" s="26">
        <f t="shared" si="26"/>
        <v>6800</v>
      </c>
      <c r="M191" s="27">
        <f t="shared" si="27"/>
        <v>0</v>
      </c>
      <c r="N191" s="11"/>
      <c r="O191" s="11"/>
      <c r="P191" s="11"/>
      <c r="Q191" s="11"/>
      <c r="R191" s="26">
        <f t="shared" si="28"/>
        <v>6800</v>
      </c>
      <c r="S191" s="27">
        <f t="shared" si="29"/>
        <v>0</v>
      </c>
      <c r="T191" s="11">
        <f t="shared" si="30"/>
        <v>0</v>
      </c>
      <c r="U191" s="11">
        <f t="shared" si="31"/>
        <v>6800</v>
      </c>
      <c r="V191" s="26">
        <f t="shared" si="32"/>
        <v>0</v>
      </c>
      <c r="W191" s="27">
        <f t="shared" si="33"/>
        <v>0</v>
      </c>
      <c r="X191" s="4">
        <v>7002</v>
      </c>
      <c r="Y191" s="4"/>
      <c r="Z191" s="4"/>
      <c r="AA191" s="12">
        <f t="shared" si="23"/>
        <v>1</v>
      </c>
      <c r="AC191" s="83"/>
      <c r="AD191" s="83"/>
      <c r="AE191" s="83"/>
      <c r="AF191" s="83"/>
    </row>
    <row r="192" spans="1:32" ht="12.75" customHeight="1">
      <c r="B192" s="108">
        <f t="shared" si="24"/>
        <v>189</v>
      </c>
      <c r="C192" s="6">
        <v>705000</v>
      </c>
      <c r="D192" s="6" t="s">
        <v>738</v>
      </c>
      <c r="E192" s="9" t="s">
        <v>32</v>
      </c>
      <c r="F192" s="6"/>
      <c r="G192" s="6"/>
      <c r="H192" s="11">
        <f>+STAT1!V192</f>
        <v>0</v>
      </c>
      <c r="I192" s="11">
        <f>+STAT1!W192</f>
        <v>0</v>
      </c>
      <c r="J192" s="11">
        <f>+SUMIFS(JURNAL!G:G,JURNAL!E:E,C192,JURNAL!C:C,"&gt;="&amp;$H$1,JURNAL!C:C,"&lt;="&amp;$I$1)</f>
        <v>0</v>
      </c>
      <c r="K192" s="11">
        <f>+SUMIFS(JURNAL!H:H,JURNAL!E:E,C192,JURNAL!C:C,"&gt;="&amp;$H$1,JURNAL!C:C,"&lt;="&amp;$I$1)</f>
        <v>0</v>
      </c>
      <c r="L192" s="26">
        <f t="shared" si="26"/>
        <v>0</v>
      </c>
      <c r="M192" s="27">
        <f t="shared" si="27"/>
        <v>0</v>
      </c>
      <c r="N192" s="11"/>
      <c r="O192" s="11"/>
      <c r="P192" s="11"/>
      <c r="Q192" s="11"/>
      <c r="R192" s="26">
        <f t="shared" si="28"/>
        <v>0</v>
      </c>
      <c r="S192" s="27">
        <f t="shared" si="29"/>
        <v>0</v>
      </c>
      <c r="T192" s="11">
        <f t="shared" si="30"/>
        <v>0</v>
      </c>
      <c r="U192" s="11">
        <f t="shared" si="31"/>
        <v>0</v>
      </c>
      <c r="V192" s="26">
        <f t="shared" si="32"/>
        <v>0</v>
      </c>
      <c r="W192" s="27">
        <f t="shared" si="33"/>
        <v>0</v>
      </c>
      <c r="X192" s="4">
        <v>7002</v>
      </c>
      <c r="Y192" s="4"/>
      <c r="Z192" s="4"/>
      <c r="AA192" s="12">
        <f t="shared" si="23"/>
        <v>0</v>
      </c>
      <c r="AC192" s="83"/>
      <c r="AD192" s="83"/>
      <c r="AE192" s="83"/>
      <c r="AF192" s="83"/>
    </row>
    <row r="193" spans="2:32" ht="12.75" customHeight="1">
      <c r="B193" s="108">
        <f t="shared" si="24"/>
        <v>190</v>
      </c>
      <c r="C193" s="6">
        <v>705800</v>
      </c>
      <c r="D193" s="6" t="s">
        <v>742</v>
      </c>
      <c r="E193" s="9" t="s">
        <v>32</v>
      </c>
      <c r="F193" s="6"/>
      <c r="G193" s="6"/>
      <c r="H193" s="11">
        <f>+STAT1!V193</f>
        <v>0</v>
      </c>
      <c r="I193" s="11">
        <f>+STAT1!W193</f>
        <v>0</v>
      </c>
      <c r="J193" s="11">
        <f>+SUMIFS(JURNAL!G:G,JURNAL!E:E,C193,JURNAL!C:C,"&gt;="&amp;$H$1,JURNAL!C:C,"&lt;="&amp;$I$1)</f>
        <v>4500000</v>
      </c>
      <c r="K193" s="11">
        <f>+SUMIFS(JURNAL!H:H,JURNAL!E:E,C193,JURNAL!C:C,"&gt;="&amp;$H$1,JURNAL!C:C,"&lt;="&amp;$I$1)</f>
        <v>0</v>
      </c>
      <c r="L193" s="26">
        <f t="shared" si="26"/>
        <v>4500000</v>
      </c>
      <c r="M193" s="27">
        <f t="shared" si="27"/>
        <v>0</v>
      </c>
      <c r="N193" s="11"/>
      <c r="O193" s="11"/>
      <c r="P193" s="11"/>
      <c r="Q193" s="11"/>
      <c r="R193" s="26">
        <f t="shared" si="28"/>
        <v>4500000</v>
      </c>
      <c r="S193" s="27">
        <f t="shared" si="29"/>
        <v>0</v>
      </c>
      <c r="T193" s="11">
        <f t="shared" si="30"/>
        <v>0</v>
      </c>
      <c r="U193" s="11">
        <f t="shared" si="31"/>
        <v>4500000</v>
      </c>
      <c r="V193" s="26">
        <f t="shared" si="32"/>
        <v>0</v>
      </c>
      <c r="W193" s="27">
        <f t="shared" si="33"/>
        <v>0</v>
      </c>
      <c r="X193" s="4">
        <v>7002</v>
      </c>
      <c r="Y193" s="4"/>
      <c r="Z193" s="4"/>
      <c r="AA193" s="12">
        <f t="shared" si="23"/>
        <v>1</v>
      </c>
      <c r="AC193" s="83"/>
      <c r="AD193" s="83"/>
      <c r="AE193" s="83"/>
      <c r="AF193" s="83"/>
    </row>
    <row r="194" spans="2:32" ht="12.75" customHeight="1">
      <c r="B194" s="108">
        <f t="shared" si="24"/>
        <v>191</v>
      </c>
      <c r="C194" s="6">
        <v>705900</v>
      </c>
      <c r="D194" s="6" t="s">
        <v>969</v>
      </c>
      <c r="E194" s="9" t="s">
        <v>32</v>
      </c>
      <c r="F194" s="6"/>
      <c r="G194" s="6"/>
      <c r="H194" s="11">
        <f>+STAT1!V194</f>
        <v>0</v>
      </c>
      <c r="I194" s="11">
        <f>+STAT1!W194</f>
        <v>0</v>
      </c>
      <c r="J194" s="11">
        <f>+SUMIFS(JURNAL!G:G,JURNAL!E:E,C194,JURNAL!C:C,"&gt;="&amp;$H$1,JURNAL!C:C,"&lt;="&amp;$I$1)</f>
        <v>0</v>
      </c>
      <c r="K194" s="11">
        <f>+SUMIFS(JURNAL!H:H,JURNAL!E:E,C194,JURNAL!C:C,"&gt;="&amp;$H$1,JURNAL!C:C,"&lt;="&amp;$I$1)</f>
        <v>0</v>
      </c>
      <c r="L194" s="26">
        <f t="shared" si="26"/>
        <v>0</v>
      </c>
      <c r="M194" s="27">
        <f t="shared" si="27"/>
        <v>0</v>
      </c>
      <c r="N194" s="11"/>
      <c r="O194" s="11"/>
      <c r="P194" s="11"/>
      <c r="Q194" s="11"/>
      <c r="R194" s="26">
        <f t="shared" si="28"/>
        <v>0</v>
      </c>
      <c r="S194" s="27">
        <f t="shared" si="29"/>
        <v>0</v>
      </c>
      <c r="T194" s="11">
        <f t="shared" si="30"/>
        <v>0</v>
      </c>
      <c r="U194" s="11">
        <f t="shared" si="31"/>
        <v>0</v>
      </c>
      <c r="V194" s="26">
        <f t="shared" si="32"/>
        <v>0</v>
      </c>
      <c r="W194" s="27">
        <f t="shared" si="33"/>
        <v>0</v>
      </c>
      <c r="X194" s="4">
        <v>7002</v>
      </c>
      <c r="Y194" s="4"/>
      <c r="Z194" s="4"/>
      <c r="AA194" s="12">
        <f t="shared" si="23"/>
        <v>0</v>
      </c>
      <c r="AC194" s="83"/>
      <c r="AD194" s="83"/>
      <c r="AE194" s="83"/>
      <c r="AF194" s="83"/>
    </row>
    <row r="195" spans="2:32" ht="12.75" customHeight="1">
      <c r="B195" s="108">
        <f t="shared" si="24"/>
        <v>192</v>
      </c>
      <c r="C195" s="6">
        <v>706000</v>
      </c>
      <c r="D195" s="6" t="s">
        <v>750</v>
      </c>
      <c r="E195" s="9" t="s">
        <v>32</v>
      </c>
      <c r="F195" s="6"/>
      <c r="G195" s="6"/>
      <c r="H195" s="11">
        <f>+STAT1!V195</f>
        <v>0</v>
      </c>
      <c r="I195" s="11">
        <f>+STAT1!W195</f>
        <v>0</v>
      </c>
      <c r="J195" s="11">
        <f>+SUMIFS(JURNAL!G:G,JURNAL!E:E,C195,JURNAL!C:C,"&gt;="&amp;$H$1,JURNAL!C:C,"&lt;="&amp;$I$1)</f>
        <v>622100</v>
      </c>
      <c r="K195" s="11">
        <f>+SUMIFS(JURNAL!H:H,JURNAL!E:E,C195,JURNAL!C:C,"&gt;="&amp;$H$1,JURNAL!C:C,"&lt;="&amp;$I$1)</f>
        <v>0</v>
      </c>
      <c r="L195" s="26">
        <f t="shared" si="26"/>
        <v>622100</v>
      </c>
      <c r="M195" s="27">
        <f t="shared" si="27"/>
        <v>0</v>
      </c>
      <c r="N195" s="11"/>
      <c r="O195" s="11"/>
      <c r="P195" s="11"/>
      <c r="Q195" s="11"/>
      <c r="R195" s="26">
        <f t="shared" si="28"/>
        <v>622100</v>
      </c>
      <c r="S195" s="27">
        <f t="shared" si="29"/>
        <v>0</v>
      </c>
      <c r="T195" s="11">
        <f t="shared" si="30"/>
        <v>0</v>
      </c>
      <c r="U195" s="11">
        <f t="shared" si="31"/>
        <v>622100</v>
      </c>
      <c r="V195" s="26">
        <f t="shared" si="32"/>
        <v>0</v>
      </c>
      <c r="W195" s="27">
        <f t="shared" si="33"/>
        <v>0</v>
      </c>
      <c r="X195" s="4">
        <v>7002</v>
      </c>
      <c r="Y195" s="4"/>
      <c r="Z195" s="4"/>
      <c r="AA195" s="12">
        <f t="shared" si="23"/>
        <v>1</v>
      </c>
      <c r="AC195" s="83"/>
      <c r="AD195" s="83"/>
      <c r="AE195" s="83"/>
      <c r="AF195" s="83"/>
    </row>
    <row r="196" spans="2:32" ht="12.75" customHeight="1">
      <c r="B196" s="108">
        <f t="shared" si="24"/>
        <v>193</v>
      </c>
      <c r="C196" s="6">
        <v>840000</v>
      </c>
      <c r="D196" s="6" t="s">
        <v>816</v>
      </c>
      <c r="E196" s="9" t="s">
        <v>32</v>
      </c>
      <c r="F196" s="6"/>
      <c r="G196" s="6"/>
      <c r="H196" s="11">
        <f>+STAT1!V196</f>
        <v>0</v>
      </c>
      <c r="I196" s="11">
        <f>+STAT1!W196</f>
        <v>0</v>
      </c>
      <c r="J196" s="11">
        <f>+SUMIFS(JURNAL!G:G,JURNAL!E:E,C196,JURNAL!C:C,"&gt;="&amp;$H$1,JURNAL!C:C,"&lt;="&amp;$I$1)</f>
        <v>0</v>
      </c>
      <c r="K196" s="11">
        <f>+SUMIFS(JURNAL!H:H,JURNAL!E:E,C196,JURNAL!C:C,"&gt;="&amp;$H$1,JURNAL!C:C,"&lt;="&amp;$I$1)</f>
        <v>0</v>
      </c>
      <c r="L196" s="26">
        <f t="shared" si="26"/>
        <v>0</v>
      </c>
      <c r="M196" s="27">
        <f t="shared" si="27"/>
        <v>0</v>
      </c>
      <c r="N196" s="11"/>
      <c r="O196" s="11"/>
      <c r="P196" s="11"/>
      <c r="Q196" s="11"/>
      <c r="R196" s="26">
        <f t="shared" si="28"/>
        <v>0</v>
      </c>
      <c r="S196" s="27">
        <f t="shared" si="29"/>
        <v>0</v>
      </c>
      <c r="T196" s="11">
        <f t="shared" si="30"/>
        <v>0</v>
      </c>
      <c r="U196" s="11">
        <f t="shared" si="31"/>
        <v>0</v>
      </c>
      <c r="V196" s="26">
        <f t="shared" si="32"/>
        <v>0</v>
      </c>
      <c r="W196" s="27">
        <f t="shared" si="33"/>
        <v>0</v>
      </c>
      <c r="X196" s="4">
        <v>8400</v>
      </c>
      <c r="Y196" s="4"/>
      <c r="Z196" s="4"/>
      <c r="AA196" s="12">
        <f t="shared" si="23"/>
        <v>0</v>
      </c>
      <c r="AC196" s="83"/>
      <c r="AD196" s="83"/>
      <c r="AE196" s="83"/>
      <c r="AF196" s="83"/>
    </row>
    <row r="197" spans="2:32" ht="12.75" customHeight="1">
      <c r="B197" s="108">
        <f t="shared" si="24"/>
        <v>194</v>
      </c>
      <c r="C197" s="6">
        <v>840100</v>
      </c>
      <c r="D197" s="6" t="s">
        <v>819</v>
      </c>
      <c r="E197" s="9" t="s">
        <v>32</v>
      </c>
      <c r="F197" s="6"/>
      <c r="G197" s="6"/>
      <c r="H197" s="11">
        <f>+STAT1!V197</f>
        <v>0</v>
      </c>
      <c r="I197" s="11">
        <f>+STAT1!W197</f>
        <v>0</v>
      </c>
      <c r="J197" s="11">
        <f>+SUMIFS(JURNAL!G:G,JURNAL!E:E,C197,JURNAL!C:C,"&gt;="&amp;$H$1,JURNAL!C:C,"&lt;="&amp;$I$1)</f>
        <v>0</v>
      </c>
      <c r="K197" s="11">
        <f>+SUMIFS(JURNAL!H:H,JURNAL!E:E,C197,JURNAL!C:C,"&gt;="&amp;$H$1,JURNAL!C:C,"&lt;="&amp;$I$1)</f>
        <v>0</v>
      </c>
      <c r="L197" s="26">
        <f t="shared" si="26"/>
        <v>0</v>
      </c>
      <c r="M197" s="27">
        <f t="shared" si="27"/>
        <v>0</v>
      </c>
      <c r="N197" s="11"/>
      <c r="O197" s="11"/>
      <c r="P197" s="11"/>
      <c r="Q197" s="11"/>
      <c r="R197" s="26">
        <f t="shared" si="28"/>
        <v>0</v>
      </c>
      <c r="S197" s="27">
        <f t="shared" si="29"/>
        <v>0</v>
      </c>
      <c r="T197" s="11">
        <f t="shared" si="30"/>
        <v>0</v>
      </c>
      <c r="U197" s="11">
        <f t="shared" si="31"/>
        <v>0</v>
      </c>
      <c r="V197" s="26">
        <f t="shared" si="32"/>
        <v>0</v>
      </c>
      <c r="W197" s="27">
        <f t="shared" si="33"/>
        <v>0</v>
      </c>
      <c r="X197" s="4">
        <v>8401</v>
      </c>
      <c r="Y197" s="4"/>
      <c r="Z197" s="4"/>
      <c r="AA197" s="12">
        <f t="shared" ref="AA197:AA214" si="34">+IF(H197+I197+J197+K197+L197+M197+N197+O197+R197+S197+T197+U197+V197+W197,1,0)</f>
        <v>0</v>
      </c>
      <c r="AC197" s="83"/>
      <c r="AD197" s="83"/>
      <c r="AE197" s="83"/>
      <c r="AF197" s="83"/>
    </row>
    <row r="198" spans="2:32" ht="12.75" customHeight="1">
      <c r="B198" s="108">
        <f t="shared" ref="B198:B215" si="35">+B197+1</f>
        <v>195</v>
      </c>
      <c r="C198" s="6">
        <v>840200</v>
      </c>
      <c r="D198" s="6" t="s">
        <v>822</v>
      </c>
      <c r="E198" s="9" t="s">
        <v>32</v>
      </c>
      <c r="F198" s="6"/>
      <c r="G198" s="6"/>
      <c r="H198" s="11">
        <f>+STAT1!V198</f>
        <v>0</v>
      </c>
      <c r="I198" s="11">
        <f>+STAT1!W198</f>
        <v>0</v>
      </c>
      <c r="J198" s="11">
        <f>+SUMIFS(JURNAL!G:G,JURNAL!E:E,C198,JURNAL!C:C,"&gt;="&amp;$H$1,JURNAL!C:C,"&lt;="&amp;$I$1)</f>
        <v>0</v>
      </c>
      <c r="K198" s="11">
        <f>+SUMIFS(JURNAL!H:H,JURNAL!E:E,C198,JURNAL!C:C,"&gt;="&amp;$H$1,JURNAL!C:C,"&lt;="&amp;$I$1)</f>
        <v>0</v>
      </c>
      <c r="L198" s="26">
        <f t="shared" si="26"/>
        <v>0</v>
      </c>
      <c r="M198" s="27">
        <f t="shared" si="27"/>
        <v>0</v>
      </c>
      <c r="N198" s="11"/>
      <c r="O198" s="11">
        <v>23822.04</v>
      </c>
      <c r="P198" s="11"/>
      <c r="Q198" s="11"/>
      <c r="R198" s="26">
        <f>+IF((L198+N198)&gt;(M198+O198),(L198+N198)-(M198+O198),0)</f>
        <v>0</v>
      </c>
      <c r="S198" s="27">
        <f>+IF((L198+N198)&lt;(M198+O198),(M198+O198)-(L198+N198),0)</f>
        <v>23822.04</v>
      </c>
      <c r="T198" s="11">
        <f t="shared" si="30"/>
        <v>23822.04</v>
      </c>
      <c r="U198" s="11">
        <f t="shared" si="31"/>
        <v>0</v>
      </c>
      <c r="V198" s="26">
        <f t="shared" si="32"/>
        <v>0</v>
      </c>
      <c r="W198" s="27">
        <f t="shared" si="33"/>
        <v>0</v>
      </c>
      <c r="X198" s="4">
        <v>8401</v>
      </c>
      <c r="Y198" s="4"/>
      <c r="Z198" s="4"/>
      <c r="AA198" s="12">
        <f>+IF(H198+I198+J198+K198+L198+M198+N198+O198+R198+S198+T198+U198+V198+W198,1,0)</f>
        <v>1</v>
      </c>
      <c r="AC198" s="83"/>
      <c r="AD198" s="83"/>
      <c r="AE198" s="83"/>
      <c r="AF198" s="83"/>
    </row>
    <row r="199" spans="2:32" ht="12.75" customHeight="1">
      <c r="B199" s="108">
        <f t="shared" si="35"/>
        <v>196</v>
      </c>
      <c r="C199" s="6">
        <v>840400</v>
      </c>
      <c r="D199" s="6" t="s">
        <v>825</v>
      </c>
      <c r="E199" s="9" t="s">
        <v>32</v>
      </c>
      <c r="F199" s="6"/>
      <c r="G199" s="6"/>
      <c r="H199" s="11">
        <f>+STAT1!V199</f>
        <v>0</v>
      </c>
      <c r="I199" s="11">
        <f>+STAT1!W199</f>
        <v>0</v>
      </c>
      <c r="J199" s="11">
        <f>+SUMIFS(JURNAL!G:G,JURNAL!E:E,C199,JURNAL!C:C,"&gt;="&amp;$H$1,JURNAL!C:C,"&lt;="&amp;$I$1)</f>
        <v>0</v>
      </c>
      <c r="K199" s="11">
        <f>+SUMIFS(JURNAL!H:H,JURNAL!E:E,C199,JURNAL!C:C,"&gt;="&amp;$H$1,JURNAL!C:C,"&lt;="&amp;$I$1)</f>
        <v>0</v>
      </c>
      <c r="L199" s="26">
        <f t="shared" si="26"/>
        <v>0</v>
      </c>
      <c r="M199" s="27">
        <f t="shared" si="27"/>
        <v>0</v>
      </c>
      <c r="N199" s="11"/>
      <c r="O199" s="11"/>
      <c r="P199" s="11"/>
      <c r="Q199" s="11"/>
      <c r="R199" s="26">
        <f t="shared" si="28"/>
        <v>0</v>
      </c>
      <c r="S199" s="27">
        <f t="shared" si="29"/>
        <v>0</v>
      </c>
      <c r="T199" s="11">
        <f t="shared" si="30"/>
        <v>0</v>
      </c>
      <c r="U199" s="11">
        <f t="shared" si="31"/>
        <v>0</v>
      </c>
      <c r="V199" s="26">
        <f t="shared" si="32"/>
        <v>0</v>
      </c>
      <c r="W199" s="27">
        <f t="shared" si="33"/>
        <v>0</v>
      </c>
      <c r="X199" s="4">
        <v>5112</v>
      </c>
      <c r="Y199" s="4"/>
      <c r="Z199" s="4"/>
      <c r="AA199" s="12">
        <f t="shared" si="34"/>
        <v>0</v>
      </c>
      <c r="AC199" s="83"/>
      <c r="AD199" s="83"/>
      <c r="AE199" s="83"/>
      <c r="AF199" s="83"/>
    </row>
    <row r="200" spans="2:32" ht="12.75" customHeight="1">
      <c r="B200" s="108">
        <f t="shared" si="35"/>
        <v>197</v>
      </c>
      <c r="C200" s="6">
        <v>840500</v>
      </c>
      <c r="D200" s="6" t="s">
        <v>828</v>
      </c>
      <c r="E200" s="9" t="s">
        <v>32</v>
      </c>
      <c r="F200" s="6"/>
      <c r="G200" s="6"/>
      <c r="H200" s="11">
        <f>+STAT1!V200</f>
        <v>0</v>
      </c>
      <c r="I200" s="11">
        <f>+STAT1!W200</f>
        <v>0</v>
      </c>
      <c r="J200" s="11">
        <f>+SUMIFS(JURNAL!G:G,JURNAL!E:E,C200,JURNAL!C:C,"&gt;="&amp;$H$1,JURNAL!C:C,"&lt;="&amp;$I$1)</f>
        <v>0</v>
      </c>
      <c r="K200" s="11">
        <f>+SUMIFS(JURNAL!H:H,JURNAL!E:E,C200,JURNAL!C:C,"&gt;="&amp;$H$1,JURNAL!C:C,"&lt;="&amp;$I$1)</f>
        <v>0</v>
      </c>
      <c r="L200" s="26">
        <f t="shared" si="26"/>
        <v>0</v>
      </c>
      <c r="M200" s="27">
        <f t="shared" si="27"/>
        <v>0</v>
      </c>
      <c r="N200" s="11"/>
      <c r="O200" s="11"/>
      <c r="P200" s="11"/>
      <c r="Q200" s="11"/>
      <c r="R200" s="26">
        <f t="shared" si="28"/>
        <v>0</v>
      </c>
      <c r="S200" s="27">
        <f t="shared" si="29"/>
        <v>0</v>
      </c>
      <c r="T200" s="11">
        <f t="shared" si="30"/>
        <v>0</v>
      </c>
      <c r="U200" s="11">
        <f t="shared" si="31"/>
        <v>0</v>
      </c>
      <c r="V200" s="26">
        <f t="shared" si="32"/>
        <v>0</v>
      </c>
      <c r="W200" s="27">
        <f t="shared" si="33"/>
        <v>0</v>
      </c>
      <c r="X200" s="4">
        <v>8405</v>
      </c>
      <c r="Y200" s="4"/>
      <c r="Z200" s="4"/>
      <c r="AA200" s="12">
        <f t="shared" si="34"/>
        <v>0</v>
      </c>
      <c r="AC200" s="83"/>
      <c r="AD200" s="83"/>
      <c r="AE200" s="83"/>
      <c r="AF200" s="83"/>
    </row>
    <row r="201" spans="2:32" ht="12.75" customHeight="1">
      <c r="B201" s="108">
        <f t="shared" si="35"/>
        <v>198</v>
      </c>
      <c r="C201" s="6">
        <v>840800</v>
      </c>
      <c r="D201" s="6" t="s">
        <v>834</v>
      </c>
      <c r="E201" s="9" t="s">
        <v>32</v>
      </c>
      <c r="F201" s="6"/>
      <c r="G201" s="6"/>
      <c r="H201" s="11">
        <f>+STAT1!V201</f>
        <v>0</v>
      </c>
      <c r="I201" s="11">
        <f>+STAT1!W201</f>
        <v>0</v>
      </c>
      <c r="J201" s="11">
        <f>+SUMIFS(JURNAL!G:G,JURNAL!E:E,C201,JURNAL!C:C,"&gt;="&amp;$H$1,JURNAL!C:C,"&lt;="&amp;$I$1)</f>
        <v>0</v>
      </c>
      <c r="K201" s="11">
        <f>+SUMIFS(JURNAL!H:H,JURNAL!E:E,C201,JURNAL!C:C,"&gt;="&amp;$H$1,JURNAL!C:C,"&lt;="&amp;$I$1)</f>
        <v>0</v>
      </c>
      <c r="L201" s="26">
        <f t="shared" si="26"/>
        <v>0</v>
      </c>
      <c r="M201" s="27">
        <f t="shared" si="27"/>
        <v>0</v>
      </c>
      <c r="N201" s="11"/>
      <c r="O201" s="11"/>
      <c r="P201" s="11"/>
      <c r="Q201" s="11"/>
      <c r="R201" s="26">
        <f t="shared" si="28"/>
        <v>0</v>
      </c>
      <c r="S201" s="27">
        <f t="shared" si="29"/>
        <v>0</v>
      </c>
      <c r="T201" s="11">
        <f t="shared" si="30"/>
        <v>0</v>
      </c>
      <c r="U201" s="11">
        <f t="shared" si="31"/>
        <v>0</v>
      </c>
      <c r="V201" s="26">
        <f t="shared" si="32"/>
        <v>0</v>
      </c>
      <c r="W201" s="27">
        <f t="shared" si="33"/>
        <v>0</v>
      </c>
      <c r="X201" s="4">
        <v>8400</v>
      </c>
      <c r="Y201" s="4"/>
      <c r="Z201" s="4"/>
      <c r="AA201" s="12">
        <f t="shared" si="34"/>
        <v>0</v>
      </c>
      <c r="AC201" s="83"/>
      <c r="AD201" s="83"/>
      <c r="AE201" s="83"/>
      <c r="AF201" s="83"/>
    </row>
    <row r="202" spans="2:32" ht="12.75" customHeight="1">
      <c r="B202" s="108">
        <f t="shared" si="35"/>
        <v>199</v>
      </c>
      <c r="C202" s="6">
        <v>840900</v>
      </c>
      <c r="D202" s="6" t="s">
        <v>836</v>
      </c>
      <c r="E202" s="9" t="s">
        <v>32</v>
      </c>
      <c r="F202" s="6"/>
      <c r="G202" s="6"/>
      <c r="H202" s="11">
        <f>+STAT1!V202</f>
        <v>0</v>
      </c>
      <c r="I202" s="11">
        <f>+STAT1!W202</f>
        <v>0</v>
      </c>
      <c r="J202" s="11">
        <f>+SUMIFS(JURNAL!G:G,JURNAL!E:E,C202,JURNAL!C:C,"&gt;="&amp;$H$1,JURNAL!C:C,"&lt;="&amp;$I$1)</f>
        <v>0</v>
      </c>
      <c r="K202" s="11">
        <f>+SUMIFS(JURNAL!H:H,JURNAL!E:E,C202,JURNAL!C:C,"&gt;="&amp;$H$1,JURNAL!C:C,"&lt;="&amp;$I$1)</f>
        <v>0</v>
      </c>
      <c r="L202" s="26">
        <f t="shared" si="26"/>
        <v>0</v>
      </c>
      <c r="M202" s="27">
        <f t="shared" si="27"/>
        <v>0</v>
      </c>
      <c r="N202" s="11"/>
      <c r="O202" s="11"/>
      <c r="P202" s="11"/>
      <c r="Q202" s="11"/>
      <c r="R202" s="26">
        <f t="shared" si="28"/>
        <v>0</v>
      </c>
      <c r="S202" s="27">
        <f t="shared" si="29"/>
        <v>0</v>
      </c>
      <c r="T202" s="11">
        <f t="shared" si="30"/>
        <v>0</v>
      </c>
      <c r="U202" s="11">
        <f t="shared" si="31"/>
        <v>0</v>
      </c>
      <c r="V202" s="26">
        <f t="shared" si="32"/>
        <v>0</v>
      </c>
      <c r="W202" s="27">
        <f t="shared" si="33"/>
        <v>0</v>
      </c>
      <c r="X202" s="4">
        <v>8409</v>
      </c>
      <c r="Y202" s="4"/>
      <c r="Z202" s="4"/>
      <c r="AA202" s="12">
        <f t="shared" si="34"/>
        <v>0</v>
      </c>
      <c r="AC202" s="83"/>
      <c r="AD202" s="83"/>
      <c r="AE202" s="83"/>
      <c r="AF202" s="83"/>
    </row>
    <row r="203" spans="2:32" ht="12.75" customHeight="1">
      <c r="B203" s="108">
        <f t="shared" si="35"/>
        <v>200</v>
      </c>
      <c r="C203" s="6">
        <v>870000</v>
      </c>
      <c r="D203" s="6" t="s">
        <v>840</v>
      </c>
      <c r="E203" s="9" t="s">
        <v>32</v>
      </c>
      <c r="F203" s="6"/>
      <c r="G203" s="6"/>
      <c r="H203" s="11">
        <f>+STAT1!V203</f>
        <v>0</v>
      </c>
      <c r="I203" s="11">
        <f>+STAT1!W203</f>
        <v>0</v>
      </c>
      <c r="J203" s="11">
        <f>+SUMIFS(JURNAL!G:G,JURNAL!E:E,C203,JURNAL!C:C,"&gt;="&amp;$H$1,JURNAL!C:C,"&lt;="&amp;$I$1)</f>
        <v>0</v>
      </c>
      <c r="K203" s="11">
        <f>+SUMIFS(JURNAL!H:H,JURNAL!E:E,C203,JURNAL!C:C,"&gt;="&amp;$H$1,JURNAL!C:C,"&lt;="&amp;$I$1)</f>
        <v>0</v>
      </c>
      <c r="L203" s="26">
        <f t="shared" si="26"/>
        <v>0</v>
      </c>
      <c r="M203" s="27">
        <f t="shared" si="27"/>
        <v>0</v>
      </c>
      <c r="N203" s="11"/>
      <c r="O203" s="11"/>
      <c r="P203" s="11"/>
      <c r="Q203" s="11"/>
      <c r="R203" s="26">
        <f t="shared" si="28"/>
        <v>0</v>
      </c>
      <c r="S203" s="27">
        <f t="shared" si="29"/>
        <v>0</v>
      </c>
      <c r="T203" s="11">
        <f t="shared" si="30"/>
        <v>0</v>
      </c>
      <c r="U203" s="11">
        <f t="shared" si="31"/>
        <v>0</v>
      </c>
      <c r="V203" s="26">
        <f t="shared" si="32"/>
        <v>0</v>
      </c>
      <c r="W203" s="27">
        <f t="shared" si="33"/>
        <v>0</v>
      </c>
      <c r="X203" s="4">
        <v>8400</v>
      </c>
      <c r="Y203" s="4"/>
      <c r="Z203" s="4"/>
      <c r="AA203" s="12">
        <f t="shared" si="34"/>
        <v>0</v>
      </c>
      <c r="AC203" s="83"/>
      <c r="AD203" s="83"/>
      <c r="AE203" s="83"/>
      <c r="AF203" s="83"/>
    </row>
    <row r="204" spans="2:32" ht="12.75" customHeight="1">
      <c r="B204" s="108">
        <f t="shared" si="35"/>
        <v>201</v>
      </c>
      <c r="C204" s="6">
        <v>870100</v>
      </c>
      <c r="D204" s="6" t="s">
        <v>843</v>
      </c>
      <c r="E204" s="9" t="s">
        <v>32</v>
      </c>
      <c r="F204" s="6"/>
      <c r="G204" s="6"/>
      <c r="H204" s="11">
        <f>+STAT1!V204</f>
        <v>0</v>
      </c>
      <c r="I204" s="11">
        <f>+STAT1!W204</f>
        <v>0</v>
      </c>
      <c r="J204" s="11">
        <f>+SUMIFS(JURNAL!G:G,JURNAL!E:E,C204,JURNAL!C:C,"&gt;="&amp;$H$1,JURNAL!C:C,"&lt;="&amp;$I$1)</f>
        <v>0</v>
      </c>
      <c r="K204" s="11">
        <f>+SUMIFS(JURNAL!H:H,JURNAL!E:E,C204,JURNAL!C:C,"&gt;="&amp;$H$1,JURNAL!C:C,"&lt;="&amp;$I$1)</f>
        <v>0</v>
      </c>
      <c r="L204" s="26">
        <f t="shared" ref="L204:L215" si="36">+IF((H204+J204)&gt;(I204+K204),(H204+J204)-(I204+K204),0)</f>
        <v>0</v>
      </c>
      <c r="M204" s="27">
        <f t="shared" ref="M204:M215" si="37">+IF((H204+J204)&lt;(I204+K204),(I204+K204)-(H204+J204),0)</f>
        <v>0</v>
      </c>
      <c r="N204" s="11"/>
      <c r="O204" s="11"/>
      <c r="P204" s="11"/>
      <c r="Q204" s="11"/>
      <c r="R204" s="26">
        <f t="shared" ref="R204:R215" si="38">+IF((L204+N204)&gt;(M204+O204),(L204+N204)-(M204+O204),0)</f>
        <v>0</v>
      </c>
      <c r="S204" s="27">
        <f t="shared" ref="S204:S215" si="39">+IF((L204+N204)&lt;(M204+O204),(M204+O204)-(L204+N204),0)</f>
        <v>0</v>
      </c>
      <c r="T204" s="11">
        <f t="shared" ref="T204:U214" si="40">+S204</f>
        <v>0</v>
      </c>
      <c r="U204" s="11">
        <f t="shared" ref="U204:U213" si="41">+R204</f>
        <v>0</v>
      </c>
      <c r="V204" s="26">
        <f t="shared" ref="V204:V215" si="42">+IF((R204+T204)&gt;(S204+U204),(R204+T204)-(S204+U204),0)</f>
        <v>0</v>
      </c>
      <c r="W204" s="27">
        <f t="shared" ref="W204:W215" si="43">+IF((R204+T204)&lt;(S204+U204),(S204+U204)-(R204+T204),0)</f>
        <v>0</v>
      </c>
      <c r="X204" s="4">
        <v>8401</v>
      </c>
      <c r="Y204" s="4"/>
      <c r="Z204" s="4"/>
      <c r="AA204" s="12">
        <f t="shared" si="34"/>
        <v>0</v>
      </c>
      <c r="AC204" s="83"/>
      <c r="AD204" s="83"/>
      <c r="AE204" s="83"/>
      <c r="AF204" s="83"/>
    </row>
    <row r="205" spans="2:32" ht="12.75" customHeight="1">
      <c r="B205" s="108">
        <f t="shared" si="35"/>
        <v>202</v>
      </c>
      <c r="C205" s="6">
        <v>870200</v>
      </c>
      <c r="D205" s="6" t="s">
        <v>846</v>
      </c>
      <c r="E205" s="9" t="s">
        <v>32</v>
      </c>
      <c r="F205" s="6"/>
      <c r="G205" s="6"/>
      <c r="H205" s="11">
        <f>+STAT1!V205</f>
        <v>0</v>
      </c>
      <c r="I205" s="11">
        <f>+STAT1!W205</f>
        <v>0</v>
      </c>
      <c r="J205" s="11">
        <f>+SUMIFS(JURNAL!G:G,JURNAL!E:E,C205,JURNAL!C:C,"&gt;="&amp;$H$1,JURNAL!C:C,"&lt;="&amp;$I$1)</f>
        <v>0</v>
      </c>
      <c r="K205" s="11">
        <f>+SUMIFS(JURNAL!H:H,JURNAL!E:E,C205,JURNAL!C:C,"&gt;="&amp;$H$1,JURNAL!C:C,"&lt;="&amp;$I$1)</f>
        <v>0</v>
      </c>
      <c r="L205" s="26">
        <f t="shared" si="36"/>
        <v>0</v>
      </c>
      <c r="M205" s="27">
        <f t="shared" si="37"/>
        <v>0</v>
      </c>
      <c r="N205" s="11"/>
      <c r="O205" s="11"/>
      <c r="P205" s="11"/>
      <c r="Q205" s="11"/>
      <c r="R205" s="26">
        <f>+IF((L205+N205)&gt;(M205+O205),(L205+N205)-(M205+O205),0)</f>
        <v>0</v>
      </c>
      <c r="S205" s="27">
        <f>+IF((L205+N205)&lt;(M205+O205),(M205+O205)-(L205+N205),0)</f>
        <v>0</v>
      </c>
      <c r="T205" s="11">
        <f t="shared" si="40"/>
        <v>0</v>
      </c>
      <c r="U205" s="11">
        <f t="shared" si="41"/>
        <v>0</v>
      </c>
      <c r="V205" s="26">
        <f t="shared" si="42"/>
        <v>0</v>
      </c>
      <c r="W205" s="27">
        <f t="shared" si="43"/>
        <v>0</v>
      </c>
      <c r="X205" s="4">
        <v>8401</v>
      </c>
      <c r="Y205" s="4"/>
      <c r="Z205" s="4"/>
      <c r="AA205" s="12">
        <f>+IF(H205+I205+J205+K205+L205+M205+N205+O205+R205+S205+T205+U205+V205+W205,1,0)</f>
        <v>0</v>
      </c>
      <c r="AC205" s="83"/>
      <c r="AD205" s="83"/>
      <c r="AE205" s="83"/>
      <c r="AF205" s="83"/>
    </row>
    <row r="206" spans="2:32" ht="12.75" customHeight="1">
      <c r="B206" s="108">
        <f t="shared" si="35"/>
        <v>203</v>
      </c>
      <c r="C206" s="6">
        <v>870300</v>
      </c>
      <c r="D206" s="6" t="s">
        <v>276</v>
      </c>
      <c r="E206" s="9" t="s">
        <v>32</v>
      </c>
      <c r="F206" s="6"/>
      <c r="G206" s="6"/>
      <c r="H206" s="11">
        <f>+STAT1!V206</f>
        <v>0</v>
      </c>
      <c r="I206" s="11">
        <f>+STAT1!W206</f>
        <v>0</v>
      </c>
      <c r="J206" s="11">
        <f>+SUMIFS(JURNAL!G:G,JURNAL!E:E,C206,JURNAL!C:C,"&gt;="&amp;$H$1,JURNAL!C:C,"&lt;="&amp;$I$1)</f>
        <v>0</v>
      </c>
      <c r="K206" s="11">
        <f>+SUMIFS(JURNAL!H:H,JURNAL!E:E,C206,JURNAL!C:C,"&gt;="&amp;$H$1,JURNAL!C:C,"&lt;="&amp;$I$1)</f>
        <v>0</v>
      </c>
      <c r="L206" s="26">
        <f t="shared" si="36"/>
        <v>0</v>
      </c>
      <c r="M206" s="27">
        <f t="shared" si="37"/>
        <v>0</v>
      </c>
      <c r="N206" s="11"/>
      <c r="O206" s="11"/>
      <c r="P206" s="11"/>
      <c r="Q206" s="11"/>
      <c r="R206" s="26">
        <f t="shared" si="38"/>
        <v>0</v>
      </c>
      <c r="S206" s="27">
        <f t="shared" si="39"/>
        <v>0</v>
      </c>
      <c r="T206" s="11">
        <f t="shared" si="40"/>
        <v>0</v>
      </c>
      <c r="U206" s="11">
        <f t="shared" si="41"/>
        <v>0</v>
      </c>
      <c r="V206" s="26">
        <f t="shared" si="42"/>
        <v>0</v>
      </c>
      <c r="W206" s="27">
        <f t="shared" si="43"/>
        <v>0</v>
      </c>
      <c r="X206" s="4">
        <v>7201</v>
      </c>
      <c r="Y206" s="4"/>
      <c r="Z206" s="4"/>
      <c r="AA206" s="12">
        <f t="shared" si="34"/>
        <v>0</v>
      </c>
      <c r="AC206" s="83"/>
      <c r="AD206" s="83"/>
      <c r="AE206" s="83"/>
      <c r="AF206" s="83"/>
    </row>
    <row r="207" spans="2:32" ht="12.75" customHeight="1">
      <c r="B207" s="108">
        <f t="shared" si="35"/>
        <v>204</v>
      </c>
      <c r="C207" s="6">
        <v>870400</v>
      </c>
      <c r="D207" s="6" t="s">
        <v>851</v>
      </c>
      <c r="E207" s="9" t="s">
        <v>32</v>
      </c>
      <c r="F207" s="6"/>
      <c r="G207" s="6"/>
      <c r="H207" s="11">
        <f>+STAT1!V207</f>
        <v>0</v>
      </c>
      <c r="I207" s="11">
        <f>+STAT1!W207</f>
        <v>0</v>
      </c>
      <c r="J207" s="11">
        <f>+SUMIFS(JURNAL!G:G,JURNAL!E:E,C207,JURNAL!C:C,"&gt;="&amp;$H$1,JURNAL!C:C,"&lt;="&amp;$I$1)</f>
        <v>0</v>
      </c>
      <c r="K207" s="11">
        <f>+SUMIFS(JURNAL!H:H,JURNAL!E:E,C207,JURNAL!C:C,"&gt;="&amp;$H$1,JURNAL!C:C,"&lt;="&amp;$I$1)</f>
        <v>0</v>
      </c>
      <c r="L207" s="26">
        <f t="shared" si="36"/>
        <v>0</v>
      </c>
      <c r="M207" s="27">
        <f t="shared" si="37"/>
        <v>0</v>
      </c>
      <c r="N207" s="11"/>
      <c r="O207" s="11"/>
      <c r="P207" s="11"/>
      <c r="Q207" s="11"/>
      <c r="R207" s="26">
        <f t="shared" si="38"/>
        <v>0</v>
      </c>
      <c r="S207" s="27">
        <f t="shared" si="39"/>
        <v>0</v>
      </c>
      <c r="T207" s="11">
        <f t="shared" si="40"/>
        <v>0</v>
      </c>
      <c r="U207" s="11">
        <f t="shared" si="41"/>
        <v>0</v>
      </c>
      <c r="V207" s="26">
        <f t="shared" si="42"/>
        <v>0</v>
      </c>
      <c r="W207" s="27">
        <f t="shared" si="43"/>
        <v>0</v>
      </c>
      <c r="X207" s="4">
        <v>7201</v>
      </c>
      <c r="Y207" s="4"/>
      <c r="Z207" s="4"/>
      <c r="AA207" s="12">
        <f t="shared" si="34"/>
        <v>0</v>
      </c>
      <c r="AC207" s="83"/>
      <c r="AD207" s="83"/>
      <c r="AE207" s="83"/>
      <c r="AF207" s="83"/>
    </row>
    <row r="208" spans="2:32" ht="12.75" customHeight="1">
      <c r="B208" s="108">
        <f t="shared" si="35"/>
        <v>205</v>
      </c>
      <c r="C208" s="6">
        <v>870500</v>
      </c>
      <c r="D208" s="6" t="s">
        <v>854</v>
      </c>
      <c r="E208" s="9" t="s">
        <v>32</v>
      </c>
      <c r="F208" s="6"/>
      <c r="G208" s="6"/>
      <c r="H208" s="11">
        <f>+STAT1!V208</f>
        <v>0</v>
      </c>
      <c r="I208" s="11">
        <f>+STAT1!W208</f>
        <v>0</v>
      </c>
      <c r="J208" s="11">
        <f>+SUMIFS(JURNAL!G:G,JURNAL!E:E,C208,JURNAL!C:C,"&gt;="&amp;$H$1,JURNAL!C:C,"&lt;="&amp;$I$1)</f>
        <v>0</v>
      </c>
      <c r="K208" s="11">
        <f>+SUMIFS(JURNAL!H:H,JURNAL!E:E,C208,JURNAL!C:C,"&gt;="&amp;$H$1,JURNAL!C:C,"&lt;="&amp;$I$1)</f>
        <v>0</v>
      </c>
      <c r="L208" s="26">
        <f t="shared" si="36"/>
        <v>0</v>
      </c>
      <c r="M208" s="27">
        <f t="shared" si="37"/>
        <v>0</v>
      </c>
      <c r="N208" s="11"/>
      <c r="O208" s="11"/>
      <c r="P208" s="11"/>
      <c r="Q208" s="11"/>
      <c r="R208" s="26">
        <f t="shared" si="38"/>
        <v>0</v>
      </c>
      <c r="S208" s="27">
        <f t="shared" si="39"/>
        <v>0</v>
      </c>
      <c r="T208" s="11">
        <f t="shared" si="40"/>
        <v>0</v>
      </c>
      <c r="U208" s="11">
        <f t="shared" si="41"/>
        <v>0</v>
      </c>
      <c r="V208" s="26">
        <f t="shared" si="42"/>
        <v>0</v>
      </c>
      <c r="W208" s="27">
        <f t="shared" si="43"/>
        <v>0</v>
      </c>
      <c r="X208" s="4">
        <v>8405</v>
      </c>
      <c r="Y208" s="4"/>
      <c r="Z208" s="4"/>
      <c r="AA208" s="12">
        <f t="shared" si="34"/>
        <v>0</v>
      </c>
      <c r="AC208" s="83"/>
      <c r="AD208" s="83"/>
      <c r="AE208" s="83"/>
      <c r="AF208" s="83"/>
    </row>
    <row r="209" spans="2:32" ht="12.75" customHeight="1">
      <c r="B209" s="108">
        <f t="shared" si="35"/>
        <v>206</v>
      </c>
      <c r="C209" s="6">
        <v>870700</v>
      </c>
      <c r="D209" s="6" t="s">
        <v>857</v>
      </c>
      <c r="E209" s="9" t="s">
        <v>32</v>
      </c>
      <c r="F209" s="6"/>
      <c r="G209" s="6"/>
      <c r="H209" s="11">
        <f>+STAT1!V209</f>
        <v>0</v>
      </c>
      <c r="I209" s="11">
        <f>+STAT1!W209</f>
        <v>0</v>
      </c>
      <c r="J209" s="11">
        <f>+SUMIFS(JURNAL!G:G,JURNAL!E:E,C209,JURNAL!C:C,"&gt;="&amp;$H$1,JURNAL!C:C,"&lt;="&amp;$I$1)</f>
        <v>0</v>
      </c>
      <c r="K209" s="11">
        <f>+SUMIFS(JURNAL!H:H,JURNAL!E:E,C209,JURNAL!C:C,"&gt;="&amp;$H$1,JURNAL!C:C,"&lt;="&amp;$I$1)</f>
        <v>0</v>
      </c>
      <c r="L209" s="26">
        <f t="shared" si="36"/>
        <v>0</v>
      </c>
      <c r="M209" s="27">
        <f t="shared" si="37"/>
        <v>0</v>
      </c>
      <c r="N209" s="11"/>
      <c r="O209" s="11"/>
      <c r="P209" s="11"/>
      <c r="Q209" s="11"/>
      <c r="R209" s="26">
        <f t="shared" si="38"/>
        <v>0</v>
      </c>
      <c r="S209" s="27">
        <f t="shared" si="39"/>
        <v>0</v>
      </c>
      <c r="T209" s="11">
        <f t="shared" si="40"/>
        <v>0</v>
      </c>
      <c r="U209" s="11">
        <f t="shared" si="41"/>
        <v>0</v>
      </c>
      <c r="V209" s="26">
        <f t="shared" si="42"/>
        <v>0</v>
      </c>
      <c r="W209" s="27">
        <f t="shared" si="43"/>
        <v>0</v>
      </c>
      <c r="X209" s="4">
        <v>8400</v>
      </c>
      <c r="Y209" s="4"/>
      <c r="Z209" s="4"/>
      <c r="AA209" s="12">
        <f t="shared" si="34"/>
        <v>0</v>
      </c>
      <c r="AC209" s="83"/>
      <c r="AD209" s="83"/>
      <c r="AE209" s="83"/>
      <c r="AF209" s="83"/>
    </row>
    <row r="210" spans="2:32" ht="12.75" customHeight="1">
      <c r="B210" s="108">
        <f t="shared" si="35"/>
        <v>207</v>
      </c>
      <c r="C210" s="6">
        <v>870800</v>
      </c>
      <c r="D210" s="6" t="s">
        <v>860</v>
      </c>
      <c r="E210" s="9" t="s">
        <v>32</v>
      </c>
      <c r="F210" s="6"/>
      <c r="G210" s="6"/>
      <c r="H210" s="11">
        <f>+STAT1!V210</f>
        <v>0</v>
      </c>
      <c r="I210" s="11">
        <f>+STAT1!W210</f>
        <v>0</v>
      </c>
      <c r="J210" s="11">
        <f>+SUMIFS(JURNAL!G:G,JURNAL!E:E,C210,JURNAL!C:C,"&gt;="&amp;$H$1,JURNAL!C:C,"&lt;="&amp;$I$1)</f>
        <v>0</v>
      </c>
      <c r="K210" s="11">
        <f>+SUMIFS(JURNAL!H:H,JURNAL!E:E,C210,JURNAL!C:C,"&gt;="&amp;$H$1,JURNAL!C:C,"&lt;="&amp;$I$1)</f>
        <v>0</v>
      </c>
      <c r="L210" s="26">
        <f t="shared" si="36"/>
        <v>0</v>
      </c>
      <c r="M210" s="27">
        <f t="shared" si="37"/>
        <v>0</v>
      </c>
      <c r="N210" s="11"/>
      <c r="O210" s="11"/>
      <c r="P210" s="11"/>
      <c r="Q210" s="11"/>
      <c r="R210" s="26">
        <f t="shared" si="38"/>
        <v>0</v>
      </c>
      <c r="S210" s="27">
        <f t="shared" si="39"/>
        <v>0</v>
      </c>
      <c r="T210" s="11">
        <f t="shared" si="40"/>
        <v>0</v>
      </c>
      <c r="U210" s="11">
        <f t="shared" si="41"/>
        <v>0</v>
      </c>
      <c r="V210" s="26">
        <f t="shared" si="42"/>
        <v>0</v>
      </c>
      <c r="W210" s="27">
        <f t="shared" si="43"/>
        <v>0</v>
      </c>
      <c r="X210" s="4">
        <v>7202</v>
      </c>
      <c r="Y210" s="4"/>
      <c r="Z210" s="4"/>
      <c r="AA210" s="12">
        <f t="shared" si="34"/>
        <v>0</v>
      </c>
      <c r="AC210" s="83"/>
      <c r="AD210" s="83"/>
      <c r="AE210" s="83"/>
      <c r="AF210" s="83"/>
    </row>
    <row r="211" spans="2:32" ht="12.75" customHeight="1">
      <c r="B211" s="108">
        <f t="shared" si="35"/>
        <v>208</v>
      </c>
      <c r="C211" s="6">
        <v>870900</v>
      </c>
      <c r="D211" s="6" t="s">
        <v>862</v>
      </c>
      <c r="E211" s="9" t="s">
        <v>32</v>
      </c>
      <c r="F211" s="6"/>
      <c r="G211" s="6"/>
      <c r="H211" s="11">
        <f>+STAT1!V211</f>
        <v>0</v>
      </c>
      <c r="I211" s="11">
        <f>+STAT1!W211</f>
        <v>0</v>
      </c>
      <c r="J211" s="11">
        <f>+SUMIFS(JURNAL!G:G,JURNAL!E:E,C211,JURNAL!C:C,"&gt;="&amp;$H$1,JURNAL!C:C,"&lt;="&amp;$I$1)</f>
        <v>0</v>
      </c>
      <c r="K211" s="11">
        <f>+SUMIFS(JURNAL!H:H,JURNAL!E:E,C211,JURNAL!C:C,"&gt;="&amp;$H$1,JURNAL!C:C,"&lt;="&amp;$I$1)</f>
        <v>0</v>
      </c>
      <c r="L211" s="26">
        <f t="shared" si="36"/>
        <v>0</v>
      </c>
      <c r="M211" s="27">
        <f t="shared" si="37"/>
        <v>0</v>
      </c>
      <c r="N211" s="11"/>
      <c r="O211" s="11"/>
      <c r="P211" s="11"/>
      <c r="Q211" s="11"/>
      <c r="R211" s="26">
        <f t="shared" si="38"/>
        <v>0</v>
      </c>
      <c r="S211" s="27">
        <f t="shared" si="39"/>
        <v>0</v>
      </c>
      <c r="T211" s="11">
        <f t="shared" si="40"/>
        <v>0</v>
      </c>
      <c r="U211" s="11">
        <f t="shared" si="41"/>
        <v>0</v>
      </c>
      <c r="V211" s="26">
        <f t="shared" si="42"/>
        <v>0</v>
      </c>
      <c r="W211" s="27">
        <f t="shared" si="43"/>
        <v>0</v>
      </c>
      <c r="X211" s="4">
        <v>8409</v>
      </c>
      <c r="Y211" s="4"/>
      <c r="Z211" s="4"/>
      <c r="AA211" s="12">
        <f t="shared" si="34"/>
        <v>0</v>
      </c>
      <c r="AC211" s="83"/>
      <c r="AD211" s="83"/>
      <c r="AE211" s="83"/>
      <c r="AF211" s="83"/>
    </row>
    <row r="212" spans="2:32" ht="12.75" customHeight="1">
      <c r="B212" s="108">
        <f t="shared" si="35"/>
        <v>209</v>
      </c>
      <c r="C212" s="6">
        <v>871100</v>
      </c>
      <c r="D212" s="6" t="s">
        <v>865</v>
      </c>
      <c r="E212" s="9" t="s">
        <v>32</v>
      </c>
      <c r="F212" s="6"/>
      <c r="G212" s="6"/>
      <c r="H212" s="11">
        <f>+STAT1!V212</f>
        <v>0</v>
      </c>
      <c r="I212" s="11">
        <f>+STAT1!W212</f>
        <v>0</v>
      </c>
      <c r="J212" s="11">
        <f>+SUMIFS(JURNAL!G:G,JURNAL!E:E,C212,JURNAL!C:C,"&gt;="&amp;$H$1,JURNAL!C:C,"&lt;="&amp;$I$1)</f>
        <v>0</v>
      </c>
      <c r="K212" s="11">
        <f>+SUMIFS(JURNAL!H:H,JURNAL!E:E,C212,JURNAL!C:C,"&gt;="&amp;$H$1,JURNAL!C:C,"&lt;="&amp;$I$1)</f>
        <v>0</v>
      </c>
      <c r="L212" s="26">
        <f t="shared" si="36"/>
        <v>0</v>
      </c>
      <c r="M212" s="27">
        <f t="shared" si="37"/>
        <v>0</v>
      </c>
      <c r="N212" s="11"/>
      <c r="O212" s="11"/>
      <c r="P212" s="11"/>
      <c r="Q212" s="11"/>
      <c r="R212" s="26">
        <f t="shared" si="38"/>
        <v>0</v>
      </c>
      <c r="S212" s="27">
        <f t="shared" si="39"/>
        <v>0</v>
      </c>
      <c r="T212" s="11">
        <f t="shared" si="40"/>
        <v>0</v>
      </c>
      <c r="U212" s="11">
        <f t="shared" si="41"/>
        <v>0</v>
      </c>
      <c r="V212" s="26">
        <f t="shared" si="42"/>
        <v>0</v>
      </c>
      <c r="W212" s="27">
        <f t="shared" si="43"/>
        <v>0</v>
      </c>
      <c r="X212" s="4">
        <v>7202</v>
      </c>
      <c r="Y212" s="4"/>
      <c r="Z212" s="4"/>
      <c r="AA212" s="12">
        <f t="shared" si="34"/>
        <v>0</v>
      </c>
      <c r="AC212" s="83"/>
      <c r="AD212" s="83"/>
      <c r="AE212" s="83"/>
      <c r="AF212" s="83"/>
    </row>
    <row r="213" spans="2:32" ht="12.75" customHeight="1">
      <c r="B213" s="108">
        <f t="shared" si="35"/>
        <v>210</v>
      </c>
      <c r="C213" s="6">
        <v>871200</v>
      </c>
      <c r="D213" s="6" t="s">
        <v>868</v>
      </c>
      <c r="E213" s="9" t="s">
        <v>32</v>
      </c>
      <c r="F213" s="6"/>
      <c r="G213" s="6"/>
      <c r="H213" s="11">
        <f>+STAT1!V213</f>
        <v>0</v>
      </c>
      <c r="I213" s="11">
        <f>+STAT1!W213</f>
        <v>0</v>
      </c>
      <c r="J213" s="11">
        <f>+SUMIFS(JURNAL!G:G,JURNAL!E:E,C213,JURNAL!C:C,"&gt;="&amp;$H$1,JURNAL!C:C,"&lt;="&amp;$I$1)</f>
        <v>0</v>
      </c>
      <c r="K213" s="11">
        <f>+SUMIFS(JURNAL!H:H,JURNAL!E:E,C213,JURNAL!C:C,"&gt;="&amp;$H$1,JURNAL!C:C,"&lt;="&amp;$I$1)</f>
        <v>0</v>
      </c>
      <c r="L213" s="26">
        <f t="shared" si="36"/>
        <v>0</v>
      </c>
      <c r="M213" s="27">
        <f t="shared" si="37"/>
        <v>0</v>
      </c>
      <c r="N213" s="11"/>
      <c r="O213" s="11"/>
      <c r="P213" s="11"/>
      <c r="Q213" s="11"/>
      <c r="R213" s="26">
        <f t="shared" si="38"/>
        <v>0</v>
      </c>
      <c r="S213" s="27">
        <f t="shared" si="39"/>
        <v>0</v>
      </c>
      <c r="T213" s="11">
        <f t="shared" si="40"/>
        <v>0</v>
      </c>
      <c r="U213" s="11">
        <f t="shared" si="41"/>
        <v>0</v>
      </c>
      <c r="V213" s="26">
        <f t="shared" si="42"/>
        <v>0</v>
      </c>
      <c r="W213" s="27">
        <f t="shared" si="43"/>
        <v>0</v>
      </c>
      <c r="X213" s="4">
        <v>8402</v>
      </c>
      <c r="Y213" s="4"/>
      <c r="Z213" s="4"/>
      <c r="AA213" s="12">
        <f t="shared" si="34"/>
        <v>0</v>
      </c>
      <c r="AC213" s="83"/>
      <c r="AD213" s="83"/>
      <c r="AE213" s="83"/>
      <c r="AF213" s="83"/>
    </row>
    <row r="214" spans="2:32" ht="12.75" customHeight="1">
      <c r="B214" s="108">
        <f t="shared" si="35"/>
        <v>211</v>
      </c>
      <c r="C214" s="6">
        <v>910100</v>
      </c>
      <c r="D214" s="6" t="s">
        <v>278</v>
      </c>
      <c r="E214" s="9" t="s">
        <v>32</v>
      </c>
      <c r="F214" s="6"/>
      <c r="G214" s="6"/>
      <c r="H214" s="11">
        <f>+STAT1!V214</f>
        <v>0</v>
      </c>
      <c r="I214" s="11">
        <f>+STAT1!W214</f>
        <v>0</v>
      </c>
      <c r="J214" s="11">
        <f>+SUMIFS(JURNAL!G:G,JURNAL!E:E,C214,JURNAL!C:C,"&gt;="&amp;$H$1,JURNAL!C:C,"&lt;="&amp;$I$1)</f>
        <v>0</v>
      </c>
      <c r="K214" s="11">
        <f>+SUMIFS(JURNAL!H:H,JURNAL!E:E,C214,JURNAL!C:C,"&gt;="&amp;$H$1,JURNAL!C:C,"&lt;="&amp;$I$1)</f>
        <v>0</v>
      </c>
      <c r="L214" s="26">
        <f t="shared" si="36"/>
        <v>0</v>
      </c>
      <c r="M214" s="27">
        <f t="shared" si="37"/>
        <v>0</v>
      </c>
      <c r="N214" s="11"/>
      <c r="O214" s="11"/>
      <c r="P214" s="11"/>
      <c r="Q214" s="11"/>
      <c r="R214" s="26">
        <f t="shared" si="38"/>
        <v>0</v>
      </c>
      <c r="S214" s="27">
        <f t="shared" si="39"/>
        <v>0</v>
      </c>
      <c r="T214" s="11">
        <f t="shared" si="40"/>
        <v>0</v>
      </c>
      <c r="U214" s="11">
        <f t="shared" si="40"/>
        <v>0</v>
      </c>
      <c r="V214" s="26">
        <f t="shared" si="42"/>
        <v>0</v>
      </c>
      <c r="W214" s="27">
        <f t="shared" si="43"/>
        <v>0</v>
      </c>
      <c r="X214" s="4">
        <v>9101</v>
      </c>
      <c r="Y214" s="4"/>
      <c r="Z214" s="4"/>
      <c r="AA214" s="12">
        <f t="shared" si="34"/>
        <v>0</v>
      </c>
      <c r="AC214" s="83"/>
      <c r="AD214" s="83"/>
      <c r="AE214" s="83"/>
      <c r="AF214" s="83"/>
    </row>
    <row r="215" spans="2:32" ht="12.75" customHeight="1">
      <c r="B215" s="108">
        <f t="shared" si="35"/>
        <v>212</v>
      </c>
      <c r="C215" s="6">
        <v>920100</v>
      </c>
      <c r="D215" s="6" t="s">
        <v>874</v>
      </c>
      <c r="E215" s="9" t="s">
        <v>32</v>
      </c>
      <c r="F215" s="6"/>
      <c r="G215" s="6"/>
      <c r="H215" s="11">
        <f>+STAT1!V215</f>
        <v>0</v>
      </c>
      <c r="I215" s="11">
        <f>+STAT1!W215</f>
        <v>0</v>
      </c>
      <c r="J215" s="11">
        <f>+SUMIFS(JURNAL!G:G,JURNAL!E:E,C215,JURNAL!C:C,"&gt;="&amp;$H$1,JURNAL!C:C,"&lt;="&amp;$I$1)</f>
        <v>0</v>
      </c>
      <c r="K215" s="11">
        <f>+SUMIFS(JURNAL!H:H,JURNAL!E:E,C215,JURNAL!C:C,"&gt;="&amp;$H$1,JURNAL!C:C,"&lt;="&amp;$I$1)</f>
        <v>0</v>
      </c>
      <c r="L215" s="26">
        <f t="shared" si="36"/>
        <v>0</v>
      </c>
      <c r="M215" s="27">
        <f t="shared" si="37"/>
        <v>0</v>
      </c>
      <c r="N215" s="11"/>
      <c r="O215" s="11"/>
      <c r="P215" s="11"/>
      <c r="Q215" s="11"/>
      <c r="R215" s="26">
        <f t="shared" si="38"/>
        <v>0</v>
      </c>
      <c r="S215" s="27">
        <f t="shared" si="39"/>
        <v>0</v>
      </c>
      <c r="T215" s="27">
        <v>34522644.578148156</v>
      </c>
      <c r="U215" s="27">
        <v>34522644.578148156</v>
      </c>
      <c r="V215" s="26">
        <f t="shared" si="42"/>
        <v>0</v>
      </c>
      <c r="W215" s="27">
        <f t="shared" si="43"/>
        <v>0</v>
      </c>
      <c r="X215" s="4"/>
      <c r="Y215" s="4"/>
      <c r="Z215" s="4"/>
      <c r="AA215" s="12">
        <v>1</v>
      </c>
      <c r="AC215" s="83"/>
      <c r="AD215" s="83"/>
      <c r="AE215" s="83"/>
      <c r="AF215" s="83"/>
    </row>
    <row r="216" spans="2:32" ht="12.75" customHeight="1">
      <c r="B216" s="188"/>
      <c r="C216" s="137"/>
      <c r="D216" s="188" t="s">
        <v>39</v>
      </c>
      <c r="E216" s="323"/>
      <c r="F216" s="13">
        <f t="shared" ref="F216:W216" si="44">SUM(F140:F215)</f>
        <v>0</v>
      </c>
      <c r="G216" s="13">
        <f t="shared" si="44"/>
        <v>0</v>
      </c>
      <c r="H216" s="13">
        <f t="shared" si="44"/>
        <v>0</v>
      </c>
      <c r="I216" s="13">
        <f t="shared" si="44"/>
        <v>0</v>
      </c>
      <c r="J216" s="13">
        <f t="shared" si="44"/>
        <v>115440268.23814811</v>
      </c>
      <c r="K216" s="13">
        <f t="shared" si="44"/>
        <v>80893801.61999999</v>
      </c>
      <c r="L216" s="13">
        <f t="shared" si="44"/>
        <v>54189972.98814816</v>
      </c>
      <c r="M216" s="13">
        <f t="shared" si="44"/>
        <v>19643506.370000001</v>
      </c>
      <c r="N216" s="13">
        <f t="shared" si="44"/>
        <v>0</v>
      </c>
      <c r="O216" s="13">
        <f t="shared" si="44"/>
        <v>23822.04</v>
      </c>
      <c r="P216" s="13">
        <f t="shared" si="44"/>
        <v>0</v>
      </c>
      <c r="Q216" s="13">
        <f t="shared" si="44"/>
        <v>0</v>
      </c>
      <c r="R216" s="13">
        <f t="shared" si="44"/>
        <v>54189972.98814816</v>
      </c>
      <c r="S216" s="13">
        <f t="shared" si="44"/>
        <v>19667328.41</v>
      </c>
      <c r="T216" s="13">
        <f t="shared" si="44"/>
        <v>54189972.988148153</v>
      </c>
      <c r="U216" s="13">
        <f t="shared" si="44"/>
        <v>88712617.566296309</v>
      </c>
      <c r="V216" s="13">
        <f t="shared" si="44"/>
        <v>0</v>
      </c>
      <c r="W216" s="13">
        <f t="shared" si="44"/>
        <v>0</v>
      </c>
      <c r="X216" s="14"/>
      <c r="Y216" s="14"/>
      <c r="Z216" s="14"/>
      <c r="AA216" s="14"/>
      <c r="AC216" s="83"/>
      <c r="AD216" s="83"/>
      <c r="AE216" s="83"/>
      <c r="AF216" s="83"/>
    </row>
    <row r="217" spans="2:32" ht="12.75" customHeight="1">
      <c r="B217" s="29"/>
      <c r="C217" s="29" t="s">
        <v>21</v>
      </c>
      <c r="D217" s="29"/>
      <c r="E217" s="30"/>
      <c r="F217" s="31">
        <f t="shared" ref="F217:W217" si="45">+F216+F139</f>
        <v>6150.4600000000009</v>
      </c>
      <c r="G217" s="31">
        <f t="shared" si="45"/>
        <v>14937.180000000002</v>
      </c>
      <c r="H217" s="31">
        <f t="shared" si="45"/>
        <v>3333515128.9903846</v>
      </c>
      <c r="I217" s="31">
        <f t="shared" si="45"/>
        <v>3333515128.992785</v>
      </c>
      <c r="J217" s="31">
        <f t="shared" si="45"/>
        <v>777442357.98814809</v>
      </c>
      <c r="K217" s="31">
        <f t="shared" si="45"/>
        <v>777442357.98814821</v>
      </c>
      <c r="L217" s="31">
        <f t="shared" si="45"/>
        <v>3388146782.778533</v>
      </c>
      <c r="M217" s="31">
        <f t="shared" si="45"/>
        <v>3388146782.7809329</v>
      </c>
      <c r="N217" s="31">
        <f t="shared" si="45"/>
        <v>12261622.370000001</v>
      </c>
      <c r="O217" s="31">
        <f t="shared" si="45"/>
        <v>12261622.369999999</v>
      </c>
      <c r="P217" s="31">
        <f t="shared" si="45"/>
        <v>505.36</v>
      </c>
      <c r="Q217" s="31">
        <f t="shared" si="45"/>
        <v>12314.1</v>
      </c>
      <c r="R217" s="31">
        <f t="shared" si="45"/>
        <v>3375932804.488533</v>
      </c>
      <c r="S217" s="31">
        <f t="shared" si="45"/>
        <v>3375932804.4909329</v>
      </c>
      <c r="T217" s="31">
        <f t="shared" si="45"/>
        <v>88712617.566296309</v>
      </c>
      <c r="U217" s="31">
        <f t="shared" si="45"/>
        <v>88712617.566296309</v>
      </c>
      <c r="V217" s="31">
        <f t="shared" si="45"/>
        <v>3356265476.0785332</v>
      </c>
      <c r="W217" s="31">
        <f t="shared" si="45"/>
        <v>3356265476.0809331</v>
      </c>
      <c r="X217" s="31"/>
      <c r="Y217" s="31"/>
      <c r="Z217" s="31"/>
      <c r="AA217" s="31"/>
      <c r="AC217" s="83"/>
      <c r="AD217" s="83"/>
      <c r="AE217" s="83"/>
      <c r="AF217" s="83"/>
    </row>
    <row r="218" spans="2:32" ht="12.75" customHeight="1">
      <c r="B218" s="6"/>
      <c r="C218" s="6" t="s">
        <v>22</v>
      </c>
      <c r="D218" s="6"/>
      <c r="E218" s="9"/>
      <c r="F218" s="6"/>
      <c r="G218" s="6"/>
      <c r="H218" s="32"/>
      <c r="I218" s="32"/>
      <c r="J218" s="11">
        <f>+SUMIFS(JURNAL!G:G,JURNAL!E:E,C218,JURNAL!C:C,"&gt;="&amp;$H$1,JURNAL!C:C,"&lt;="&amp;$I$1)</f>
        <v>0</v>
      </c>
      <c r="K218" s="11">
        <f>+SUMIFS(JURNAL!H:H,JURNAL!F:F,D218,JURNAL!D:D,"&gt;="&amp;$H$1,JURNAL!D:D,"&lt;="&amp;$I$1)</f>
        <v>0</v>
      </c>
      <c r="L218" s="11">
        <f>+SUMIFS(JURNAL!I:I,JURNAL!G:G,E218,JURNAL!E:E,"&gt;="&amp;$H$1,JURNAL!E:E,"&lt;="&amp;$I$1)</f>
        <v>0</v>
      </c>
      <c r="M218" s="11">
        <f>+SUMIFS(JURNAL!J:J,JURNAL!H:H,F218,JURNAL!F:F,"&gt;="&amp;$H$1,JURNAL!F:F,"&lt;="&amp;$I$1)</f>
        <v>0</v>
      </c>
      <c r="N218" s="11">
        <f>+SUMIFS(JURNAL!K:K,JURNAL!I:I,G218,JURNAL!G:G,"&gt;="&amp;$H$1,JURNAL!G:G,"&lt;="&amp;$I$1)</f>
        <v>0</v>
      </c>
      <c r="O218" s="11">
        <f>+SUMIFS(JURNAL!L:L,JURNAL!J:J,H218,JURNAL!H:H,"&gt;="&amp;$H$1,JURNAL!H:H,"&lt;="&amp;$I$1)</f>
        <v>0</v>
      </c>
      <c r="P218" s="11">
        <f>+SUMIFS(JURNAL!M:M,JURNAL!K:K,I218,JURNAL!I:I,"&gt;="&amp;$H$1,JURNAL!I:I,"&lt;="&amp;$I$1)</f>
        <v>0</v>
      </c>
      <c r="Q218" s="11">
        <f>+SUMIFS(JURNAL!N:N,JURNAL!L:L,J218,JURNAL!J:J,"&gt;="&amp;$H$1,JURNAL!J:J,"&lt;="&amp;$I$1)</f>
        <v>0</v>
      </c>
      <c r="R218" s="11">
        <f>+SUMIFS(JURNAL!O:O,JURNAL!M:M,K218,JURNAL!K:K,"&gt;="&amp;$H$1,JURNAL!K:K,"&lt;="&amp;$I$1)</f>
        <v>0</v>
      </c>
      <c r="S218" s="11">
        <f>+SUMIFS(JURNAL!P:P,JURNAL!N:N,L218,JURNAL!L:L,"&gt;="&amp;$H$1,JURNAL!L:L,"&lt;="&amp;$I$1)</f>
        <v>0</v>
      </c>
      <c r="T218" s="11">
        <f>+SUMIFS(JURNAL!Q:Q,JURNAL!O:O,M218,JURNAL!M:M,"&gt;="&amp;$H$1,JURNAL!M:M,"&lt;="&amp;$I$1)</f>
        <v>0</v>
      </c>
      <c r="U218" s="11">
        <f>+SUMIFS(JURNAL!R:R,JURNAL!P:P,N218,JURNAL!N:N,"&gt;="&amp;$H$1,JURNAL!N:N,"&lt;="&amp;$I$1)</f>
        <v>0</v>
      </c>
      <c r="V218" s="11">
        <f>+SUMIFS(JURNAL!S:S,JURNAL!Q:Q,O218,JURNAL!O:O,"&gt;="&amp;$H$1,JURNAL!O:O,"&lt;="&amp;$I$1)</f>
        <v>0</v>
      </c>
      <c r="W218" s="11">
        <f>+SUMIFS(JURNAL!T:T,JURNAL!R:R,P218,JURNAL!P:P,"&gt;="&amp;$H$1,JURNAL!P:P,"&lt;="&amp;$I$1)</f>
        <v>0</v>
      </c>
      <c r="X218" s="11">
        <f ca="1">+SUMIFS(JURNAL!U:U,JURNAL!S:S,Q218,JURNAL!Q:Q,"&gt;="&amp;$H$1,JURNAL!Q:Q,"&lt;="&amp;$I$1)</f>
        <v>0</v>
      </c>
      <c r="Y218" s="11">
        <f ca="1">+SUMIFS(JURNAL!V:V,JURNAL!T:T,R218,JURNAL!R:R,"&gt;="&amp;$H$1,JURNAL!R:R,"&lt;="&amp;$I$1)</f>
        <v>0</v>
      </c>
      <c r="Z218" s="11">
        <f ca="1">+SUMIFS(JURNAL!W:W,JURNAL!U:U,S218,JURNAL!S:S,"&gt;="&amp;$H$1,JURNAL!S:S,"&lt;="&amp;$I$1)</f>
        <v>0</v>
      </c>
      <c r="AA218" s="11">
        <f ca="1">+SUMIFS(JURNAL!X:X,JURNAL!V:V,T218,JURNAL!T:T,"&gt;="&amp;$H$1,JURNAL!T:T,"&lt;="&amp;$I$1)</f>
        <v>0</v>
      </c>
      <c r="AC218" s="83"/>
      <c r="AD218" s="83"/>
      <c r="AE218" s="83"/>
      <c r="AF218" s="83"/>
    </row>
    <row r="219" spans="2:32" ht="12.75" customHeight="1">
      <c r="B219" s="6"/>
      <c r="C219" s="6" t="s">
        <v>23</v>
      </c>
      <c r="D219" s="6"/>
      <c r="E219" s="9"/>
      <c r="F219" s="6"/>
      <c r="G219" s="6"/>
      <c r="H219" s="32"/>
      <c r="I219" s="32"/>
      <c r="J219" s="11">
        <f>+SUMIFS(JURNAL!G:G,JURNAL!E:E,C219,JURNAL!C:C,"&gt;="&amp;$H$1,JURNAL!C:C,"&lt;="&amp;$I$1)</f>
        <v>0</v>
      </c>
      <c r="K219" s="11">
        <f>+SUMIFS(JURNAL!H:H,JURNAL!F:F,D219,JURNAL!D:D,"&gt;="&amp;$H$1,JURNAL!D:D,"&lt;="&amp;$I$1)</f>
        <v>0</v>
      </c>
      <c r="L219" s="11">
        <f>+SUMIFS(JURNAL!I:I,JURNAL!G:G,E219,JURNAL!E:E,"&gt;="&amp;$H$1,JURNAL!E:E,"&lt;="&amp;$I$1)</f>
        <v>0</v>
      </c>
      <c r="M219" s="11">
        <f>+SUMIFS(JURNAL!J:J,JURNAL!H:H,F219,JURNAL!F:F,"&gt;="&amp;$H$1,JURNAL!F:F,"&lt;="&amp;$I$1)</f>
        <v>0</v>
      </c>
      <c r="N219" s="11">
        <f>+SUMIFS(JURNAL!K:K,JURNAL!I:I,G219,JURNAL!G:G,"&gt;="&amp;$H$1,JURNAL!G:G,"&lt;="&amp;$I$1)</f>
        <v>0</v>
      </c>
      <c r="O219" s="11">
        <f>+SUMIFS(JURNAL!L:L,JURNAL!J:J,H219,JURNAL!H:H,"&gt;="&amp;$H$1,JURNAL!H:H,"&lt;="&amp;$I$1)</f>
        <v>0</v>
      </c>
      <c r="P219" s="11">
        <f>+SUMIFS(JURNAL!M:M,JURNAL!K:K,I219,JURNAL!I:I,"&gt;="&amp;$H$1,JURNAL!I:I,"&lt;="&amp;$I$1)</f>
        <v>0</v>
      </c>
      <c r="Q219" s="11">
        <f>+SUMIFS(JURNAL!N:N,JURNAL!L:L,J219,JURNAL!J:J,"&gt;="&amp;$H$1,JURNAL!J:J,"&lt;="&amp;$I$1)</f>
        <v>0</v>
      </c>
      <c r="R219" s="11">
        <f>+SUMIFS(JURNAL!O:O,JURNAL!M:M,K219,JURNAL!K:K,"&gt;="&amp;$H$1,JURNAL!K:K,"&lt;="&amp;$I$1)</f>
        <v>0</v>
      </c>
      <c r="S219" s="11">
        <f>+SUMIFS(JURNAL!P:P,JURNAL!N:N,L219,JURNAL!L:L,"&gt;="&amp;$H$1,JURNAL!L:L,"&lt;="&amp;$I$1)</f>
        <v>0</v>
      </c>
      <c r="T219" s="11">
        <f>+SUMIFS(JURNAL!Q:Q,JURNAL!O:O,M219,JURNAL!M:M,"&gt;="&amp;$H$1,JURNAL!M:M,"&lt;="&amp;$I$1)</f>
        <v>0</v>
      </c>
      <c r="U219" s="11">
        <f>+SUMIFS(JURNAL!R:R,JURNAL!P:P,N219,JURNAL!N:N,"&gt;="&amp;$H$1,JURNAL!N:N,"&lt;="&amp;$I$1)</f>
        <v>0</v>
      </c>
      <c r="V219" s="11">
        <f>+SUMIFS(JURNAL!S:S,JURNAL!Q:Q,O219,JURNAL!O:O,"&gt;="&amp;$H$1,JURNAL!O:O,"&lt;="&amp;$I$1)</f>
        <v>0</v>
      </c>
      <c r="W219" s="11">
        <f>+SUMIFS(JURNAL!T:T,JURNAL!R:R,P219,JURNAL!P:P,"&gt;="&amp;$H$1,JURNAL!P:P,"&lt;="&amp;$I$1)</f>
        <v>0</v>
      </c>
      <c r="X219" s="11">
        <f ca="1">+SUMIFS(JURNAL!U:U,JURNAL!S:S,Q219,JURNAL!Q:Q,"&gt;="&amp;$H$1,JURNAL!Q:Q,"&lt;="&amp;$I$1)</f>
        <v>0</v>
      </c>
      <c r="Y219" s="11">
        <f ca="1">+SUMIFS(JURNAL!V:V,JURNAL!T:T,R219,JURNAL!R:R,"&gt;="&amp;$H$1,JURNAL!R:R,"&lt;="&amp;$I$1)</f>
        <v>0</v>
      </c>
      <c r="Z219" s="11">
        <f ca="1">+SUMIFS(JURNAL!W:W,JURNAL!U:U,S219,JURNAL!S:S,"&gt;="&amp;$H$1,JURNAL!S:S,"&lt;="&amp;$I$1)</f>
        <v>0</v>
      </c>
      <c r="AA219" s="11">
        <f ca="1">+SUMIFS(JURNAL!X:X,JURNAL!V:V,T219,JURNAL!T:T,"&gt;="&amp;$H$1,JURNAL!T:T,"&lt;="&amp;$I$1)</f>
        <v>0</v>
      </c>
      <c r="AC219" s="83"/>
      <c r="AD219" s="83"/>
      <c r="AE219" s="83"/>
      <c r="AF219" s="83"/>
    </row>
    <row r="220" spans="2:32" ht="12.75" customHeight="1">
      <c r="B220" s="6"/>
      <c r="C220" s="6" t="s">
        <v>24</v>
      </c>
      <c r="D220" s="6"/>
      <c r="E220" s="9"/>
      <c r="F220" s="6"/>
      <c r="G220" s="6"/>
      <c r="H220" s="32"/>
      <c r="I220" s="413">
        <f>+I217-H217</f>
        <v>2.4003982543945313E-3</v>
      </c>
      <c r="J220" s="11">
        <f>+SUMIFS(JURNAL!G:G,JURNAL!E:E,C220,JURNAL!C:C,"&gt;="&amp;$H$1,JURNAL!C:C,"&lt;="&amp;$I$1)</f>
        <v>0</v>
      </c>
      <c r="K220" s="11">
        <f>+SUMIFS(JURNAL!H:H,JURNAL!F:F,D220,JURNAL!D:D,"&gt;="&amp;$H$1,JURNAL!D:D,"&lt;="&amp;$I$1)</f>
        <v>0</v>
      </c>
      <c r="L220" s="11">
        <f>+SUMIFS(JURNAL!I:I,JURNAL!G:G,E220,JURNAL!E:E,"&gt;="&amp;$H$1,JURNAL!E:E,"&lt;="&amp;$I$1)</f>
        <v>0</v>
      </c>
      <c r="M220" s="11">
        <f>+SUMIFS(JURNAL!J:J,JURNAL!H:H,F220,JURNAL!F:F,"&gt;="&amp;$H$1,JURNAL!F:F,"&lt;="&amp;$I$1)</f>
        <v>0</v>
      </c>
      <c r="N220" s="11">
        <f>+SUMIFS(JURNAL!K:K,JURNAL!I:I,G220,JURNAL!G:G,"&gt;="&amp;$H$1,JURNAL!G:G,"&lt;="&amp;$I$1)</f>
        <v>0</v>
      </c>
      <c r="O220" s="11">
        <f>+SUMIFS(JURNAL!L:L,JURNAL!J:J,H220,JURNAL!H:H,"&gt;="&amp;$H$1,JURNAL!H:H,"&lt;="&amp;$I$1)</f>
        <v>0</v>
      </c>
      <c r="P220" s="11">
        <f>+SUMIFS(JURNAL!M:M,JURNAL!K:K,I220,JURNAL!I:I,"&gt;="&amp;$H$1,JURNAL!I:I,"&lt;="&amp;$I$1)</f>
        <v>0</v>
      </c>
      <c r="Q220" s="11">
        <f>+SUMIFS(JURNAL!N:N,JURNAL!L:L,J220,JURNAL!J:J,"&gt;="&amp;$H$1,JURNAL!J:J,"&lt;="&amp;$I$1)</f>
        <v>0</v>
      </c>
      <c r="R220" s="11">
        <f>+SUMIFS(JURNAL!O:O,JURNAL!M:M,K220,JURNAL!K:K,"&gt;="&amp;$H$1,JURNAL!K:K,"&lt;="&amp;$I$1)</f>
        <v>0</v>
      </c>
      <c r="S220" s="11">
        <f>+SUMIFS(JURNAL!P:P,JURNAL!N:N,L220,JURNAL!L:L,"&gt;="&amp;$H$1,JURNAL!L:L,"&lt;="&amp;$I$1)</f>
        <v>0</v>
      </c>
      <c r="T220" s="11">
        <f>+SUMIFS(JURNAL!Q:Q,JURNAL!O:O,M220,JURNAL!M:M,"&gt;="&amp;$H$1,JURNAL!M:M,"&lt;="&amp;$I$1)</f>
        <v>0</v>
      </c>
      <c r="U220" s="11">
        <f>+SUMIFS(JURNAL!R:R,JURNAL!P:P,N220,JURNAL!N:N,"&gt;="&amp;$H$1,JURNAL!N:N,"&lt;="&amp;$I$1)</f>
        <v>0</v>
      </c>
      <c r="V220" s="11">
        <f>+SUMIFS(JURNAL!S:S,JURNAL!Q:Q,O220,JURNAL!O:O,"&gt;="&amp;$H$1,JURNAL!O:O,"&lt;="&amp;$I$1)</f>
        <v>0</v>
      </c>
      <c r="W220" s="11">
        <f>+SUMIFS(JURNAL!T:T,JURNAL!R:R,P220,JURNAL!P:P,"&gt;="&amp;$H$1,JURNAL!P:P,"&lt;="&amp;$I$1)</f>
        <v>0</v>
      </c>
      <c r="X220" s="11">
        <f ca="1">+SUMIFS(JURNAL!U:U,JURNAL!S:S,Q220,JURNAL!Q:Q,"&gt;="&amp;$H$1,JURNAL!Q:Q,"&lt;="&amp;$I$1)</f>
        <v>0</v>
      </c>
      <c r="Y220" s="11">
        <f ca="1">+SUMIFS(JURNAL!V:V,JURNAL!T:T,R220,JURNAL!R:R,"&gt;="&amp;$H$1,JURNAL!R:R,"&lt;="&amp;$I$1)</f>
        <v>0</v>
      </c>
      <c r="Z220" s="11">
        <f ca="1">+SUMIFS(JURNAL!W:W,JURNAL!U:U,S220,JURNAL!S:S,"&gt;="&amp;$H$1,JURNAL!S:S,"&lt;="&amp;$I$1)</f>
        <v>0</v>
      </c>
      <c r="AA220" s="11">
        <f ca="1">+SUMIFS(JURNAL!X:X,JURNAL!V:V,T220,JURNAL!T:T,"&gt;="&amp;$H$1,JURNAL!T:T,"&lt;="&amp;$I$1)</f>
        <v>0</v>
      </c>
      <c r="AC220" s="83"/>
      <c r="AD220" s="83"/>
      <c r="AE220" s="83"/>
      <c r="AF220" s="83"/>
    </row>
    <row r="221" spans="2:32" ht="12.75" customHeight="1">
      <c r="W221" s="41"/>
    </row>
    <row r="222" spans="2:32" ht="12.75" customHeight="1">
      <c r="T222" s="81">
        <f>+T217-U217</f>
        <v>0</v>
      </c>
      <c r="V222" s="81">
        <f>+V217-W217</f>
        <v>-2.3999214172363281E-3</v>
      </c>
    </row>
    <row r="223" spans="2:32" ht="12.75" customHeight="1">
      <c r="T223" s="1">
        <f>+T222*-1</f>
        <v>0</v>
      </c>
    </row>
  </sheetData>
  <autoFilter ref="A3:AF220"/>
  <mergeCells count="7">
    <mergeCell ref="R2:S2"/>
    <mergeCell ref="T2:U2"/>
    <mergeCell ref="V2:W2"/>
    <mergeCell ref="H2:I2"/>
    <mergeCell ref="J2:K2"/>
    <mergeCell ref="L2:M2"/>
    <mergeCell ref="N2:O2"/>
  </mergeCells>
  <conditionalFormatting sqref="B4:B189">
    <cfRule type="expression" dxfId="9" priority="3">
      <formula>$B4&lt;&gt;""</formula>
    </cfRule>
  </conditionalFormatting>
  <conditionalFormatting sqref="B4:B215">
    <cfRule type="expression" dxfId="8" priority="1">
      <formula>$B4&lt;&gt;""</formula>
    </cfRule>
  </conditionalFormatting>
  <pageMargins left="0.7" right="0.7" top="0.75" bottom="0.75" header="0.3" footer="0.3"/>
  <pageSetup scale="36" fitToHeight="0" orientation="landscape" horizontalDpi="0" verticalDpi="0" r:id="rId1"/>
</worksheet>
</file>

<file path=xl/worksheets/sheet15.xml><?xml version="1.0" encoding="utf-8"?>
<worksheet xmlns="http://schemas.openxmlformats.org/spreadsheetml/2006/main" xmlns:r="http://schemas.openxmlformats.org/officeDocument/2006/relationships">
  <sheetPr>
    <tabColor rgb="FF00B0F0"/>
    <pageSetUpPr fitToPage="1"/>
  </sheetPr>
  <dimension ref="A1:AJ223"/>
  <sheetViews>
    <sheetView workbookViewId="0">
      <pane xSplit="4" ySplit="3" topLeftCell="F37" activePane="bottomRight" state="frozen"/>
      <selection pane="topRight" activeCell="E1" sqref="E1"/>
      <selection pane="bottomLeft" activeCell="A4" sqref="A4"/>
      <selection pane="bottomRight" activeCell="V57" sqref="V57"/>
    </sheetView>
  </sheetViews>
  <sheetFormatPr defaultRowHeight="12.75" customHeight="1"/>
  <cols>
    <col min="1" max="1" width="5.140625" style="1" customWidth="1"/>
    <col min="2" max="2" width="3.85546875" style="1" customWidth="1"/>
    <col min="3" max="3" width="8" style="1" customWidth="1"/>
    <col min="4" max="4" width="34.7109375" style="1" customWidth="1"/>
    <col min="5" max="5" width="8.42578125" style="2" customWidth="1"/>
    <col min="6" max="6" width="8.42578125" style="1" customWidth="1"/>
    <col min="7" max="7" width="8.5703125" style="1" customWidth="1"/>
    <col min="8" max="9" width="14.7109375" style="1" bestFit="1" customWidth="1"/>
    <col min="10" max="10" width="14.28515625" style="1" bestFit="1" customWidth="1"/>
    <col min="11" max="11" width="14" style="1" customWidth="1"/>
    <col min="12" max="13" width="14.28515625" style="1" bestFit="1" customWidth="1"/>
    <col min="14" max="14" width="13.28515625" style="1" customWidth="1"/>
    <col min="15" max="15" width="13.140625" style="1" customWidth="1"/>
    <col min="16" max="16" width="12.42578125" style="81" customWidth="1"/>
    <col min="17" max="17" width="12.42578125" style="1" customWidth="1"/>
    <col min="18" max="19" width="14.42578125" style="1" bestFit="1" customWidth="1"/>
    <col min="20" max="23" width="14.42578125" style="1" customWidth="1"/>
    <col min="24" max="27" width="6.28515625" style="1" customWidth="1"/>
    <col min="28" max="28" width="9.140625" style="1"/>
    <col min="29" max="31" width="15" style="238" bestFit="1" customWidth="1"/>
    <col min="32" max="32" width="14.7109375" style="238" bestFit="1" customWidth="1"/>
    <col min="33" max="33" width="13.28515625" style="238" customWidth="1"/>
    <col min="34" max="34" width="14.5703125" style="238" customWidth="1"/>
    <col min="35" max="35" width="12.85546875" style="1" bestFit="1" customWidth="1"/>
    <col min="36" max="16384" width="9.140625" style="1"/>
  </cols>
  <sheetData>
    <row r="1" spans="1:32" ht="12.75" customHeight="1">
      <c r="B1" s="96">
        <f>COUNT(B4:B5965)</f>
        <v>212</v>
      </c>
      <c r="C1" s="266" t="s">
        <v>1317</v>
      </c>
      <c r="E1" s="33"/>
      <c r="F1" s="113" t="s">
        <v>43</v>
      </c>
      <c r="G1" s="114"/>
      <c r="H1" s="115">
        <v>43282</v>
      </c>
      <c r="I1" s="115">
        <v>43373</v>
      </c>
    </row>
    <row r="2" spans="1:32" ht="12.75" customHeight="1">
      <c r="B2" s="60" t="s">
        <v>12</v>
      </c>
      <c r="C2" s="61" t="s">
        <v>13</v>
      </c>
      <c r="D2" s="61" t="s">
        <v>13</v>
      </c>
      <c r="E2" s="61" t="s">
        <v>29</v>
      </c>
      <c r="F2" s="62"/>
      <c r="G2" s="62"/>
      <c r="H2" s="1041" t="s">
        <v>14</v>
      </c>
      <c r="I2" s="1041"/>
      <c r="J2" s="1041" t="s">
        <v>34</v>
      </c>
      <c r="K2" s="1041"/>
      <c r="L2" s="1041" t="s">
        <v>35</v>
      </c>
      <c r="M2" s="1041"/>
      <c r="N2" s="1041" t="s">
        <v>36</v>
      </c>
      <c r="O2" s="1041"/>
      <c r="P2" s="312"/>
      <c r="Q2" s="62"/>
      <c r="R2" s="1041" t="s">
        <v>15</v>
      </c>
      <c r="S2" s="1041"/>
      <c r="T2" s="1041" t="s">
        <v>37</v>
      </c>
      <c r="U2" s="1041"/>
      <c r="V2" s="1041" t="s">
        <v>38</v>
      </c>
      <c r="W2" s="1041"/>
      <c r="X2" s="60" t="s">
        <v>0</v>
      </c>
      <c r="Y2" s="60" t="s">
        <v>0</v>
      </c>
      <c r="Z2" s="60" t="s">
        <v>0</v>
      </c>
      <c r="AA2" s="60" t="s">
        <v>0</v>
      </c>
    </row>
    <row r="3" spans="1:32" ht="12.75" customHeight="1">
      <c r="B3" s="60"/>
      <c r="C3" s="61" t="s">
        <v>16</v>
      </c>
      <c r="D3" s="61" t="s">
        <v>27</v>
      </c>
      <c r="E3" s="61" t="s">
        <v>28</v>
      </c>
      <c r="F3" s="120" t="s">
        <v>25</v>
      </c>
      <c r="G3" s="120" t="s">
        <v>26</v>
      </c>
      <c r="H3" s="61" t="s">
        <v>17</v>
      </c>
      <c r="I3" s="61" t="s">
        <v>18</v>
      </c>
      <c r="J3" s="61" t="s">
        <v>17</v>
      </c>
      <c r="K3" s="61" t="s">
        <v>18</v>
      </c>
      <c r="L3" s="61" t="s">
        <v>17</v>
      </c>
      <c r="M3" s="61" t="s">
        <v>18</v>
      </c>
      <c r="N3" s="61" t="s">
        <v>17</v>
      </c>
      <c r="O3" s="61" t="s">
        <v>18</v>
      </c>
      <c r="P3" s="313" t="s">
        <v>25</v>
      </c>
      <c r="Q3" s="120" t="s">
        <v>26</v>
      </c>
      <c r="R3" s="61" t="s">
        <v>17</v>
      </c>
      <c r="S3" s="61" t="s">
        <v>18</v>
      </c>
      <c r="T3" s="61" t="s">
        <v>17</v>
      </c>
      <c r="U3" s="61" t="s">
        <v>18</v>
      </c>
      <c r="V3" s="61" t="s">
        <v>17</v>
      </c>
      <c r="W3" s="61" t="s">
        <v>18</v>
      </c>
      <c r="X3" s="60" t="s">
        <v>281</v>
      </c>
      <c r="Y3" s="64" t="s">
        <v>282</v>
      </c>
      <c r="Z3" s="60" t="s">
        <v>19</v>
      </c>
      <c r="AA3" s="60" t="s">
        <v>20</v>
      </c>
    </row>
    <row r="4" spans="1:32" ht="12.75" customHeight="1">
      <c r="A4" s="24"/>
      <c r="B4" s="108">
        <v>1</v>
      </c>
      <c r="C4" s="5">
        <v>100100</v>
      </c>
      <c r="D4" s="122" t="s">
        <v>888</v>
      </c>
      <c r="E4" s="9" t="s">
        <v>32</v>
      </c>
      <c r="F4" s="6"/>
      <c r="G4" s="6"/>
      <c r="H4" s="11">
        <f>+STAT2!V4</f>
        <v>99713970.609888211</v>
      </c>
      <c r="I4" s="11">
        <f>+STAT2!W4</f>
        <v>0</v>
      </c>
      <c r="J4" s="11">
        <f>+SUMIFS(JURNAL!G:G,JURNAL!E:E,C4,JURNAL!C:C,"&gt;="&amp;$H$1,JURNAL!C:C,"&lt;="&amp;$I$1)</f>
        <v>40891050</v>
      </c>
      <c r="K4" s="11">
        <f>+SUMIFS(JURNAL!H:H,JURNAL!E:E,C4,JURNAL!C:C,"&gt;="&amp;$H$1,JURNAL!C:C,"&lt;="&amp;$I$1)</f>
        <v>62759613.165000007</v>
      </c>
      <c r="L4" s="26">
        <f>+IF((H4+J4)&gt;(I4+K4),(H4+J4)-(I4+K4),0)</f>
        <v>77845407.444888189</v>
      </c>
      <c r="M4" s="27">
        <f t="shared" ref="M4:M67" si="0">+IF((H4+J4)&lt;(I4+K4),(I4+K4)-(H4+J4),0)</f>
        <v>0</v>
      </c>
      <c r="N4" s="11"/>
      <c r="O4" s="190"/>
      <c r="P4" s="27"/>
      <c r="Q4" s="11"/>
      <c r="R4" s="26">
        <f>+IF((L4+N4)&gt;(M4+O4),(L4+N4)-(M4+O4),0)</f>
        <v>77845407.444888189</v>
      </c>
      <c r="S4" s="27">
        <f>+IF((L4+N4)&lt;(M4+O4),(M4+O4)-(L4+N4),0)</f>
        <v>0</v>
      </c>
      <c r="T4" s="11"/>
      <c r="U4" s="11"/>
      <c r="V4" s="415">
        <f>+IF((R4+T4)&gt;(S4+U4),(R4+T4)-(S4+U4),0)</f>
        <v>77845407.444888189</v>
      </c>
      <c r="W4" s="379">
        <f t="shared" ref="W4:W67" si="1">+IF((R4+T4)&lt;(S4+U4),(S4+U4)-(R4+T4),0)</f>
        <v>0</v>
      </c>
      <c r="X4" s="4">
        <v>1101</v>
      </c>
      <c r="Y4" s="4"/>
      <c r="Z4" s="6"/>
      <c r="AA4" s="12">
        <f>+IF(H4+I4+J4+K4+L4+M4+N4+O4+R4+S4+T4+U4+V4+W4,1,0)</f>
        <v>1</v>
      </c>
      <c r="AC4" s="79"/>
      <c r="AD4" s="79"/>
      <c r="AE4" s="79"/>
      <c r="AF4" s="79"/>
    </row>
    <row r="5" spans="1:32" ht="12.75" customHeight="1">
      <c r="A5" s="24"/>
      <c r="B5" s="108">
        <f>+B4+1</f>
        <v>2</v>
      </c>
      <c r="C5" s="3">
        <v>100200</v>
      </c>
      <c r="D5" s="122" t="s">
        <v>943</v>
      </c>
      <c r="E5" s="9" t="s">
        <v>30</v>
      </c>
      <c r="F5" s="121">
        <v>5645.1</v>
      </c>
      <c r="G5" s="121">
        <v>2489.5300000000002</v>
      </c>
      <c r="H5" s="11">
        <f>+STAT2!V5</f>
        <v>13701391.560000001</v>
      </c>
      <c r="I5" s="11">
        <f>+STAT2!W5</f>
        <v>0</v>
      </c>
      <c r="J5" s="11">
        <f>+SUMIFS(JURNAL!G:G,JURNAL!E:E,C5,JURNAL!C:C,"&gt;="&amp;$H$1,JURNAL!C:C,"&lt;="&amp;$I$1)</f>
        <v>0</v>
      </c>
      <c r="K5" s="11">
        <f>+SUMIFS(JURNAL!H:H,JURNAL!E:E,C5,JURNAL!C:C,"&gt;="&amp;$H$1,JURNAL!C:C,"&lt;="&amp;$I$1)</f>
        <v>0</v>
      </c>
      <c r="L5" s="26">
        <f t="shared" ref="L5:L68" si="2">+IF((H5+J5)&gt;(I5+K5),(H5+J5)-(I5+K5),0)</f>
        <v>13701391.560000001</v>
      </c>
      <c r="M5" s="27">
        <f t="shared" si="0"/>
        <v>0</v>
      </c>
      <c r="N5" s="11"/>
      <c r="O5" s="190"/>
      <c r="P5" s="27">
        <f>+F5</f>
        <v>5645.1</v>
      </c>
      <c r="Q5" s="11">
        <v>2552.13</v>
      </c>
      <c r="R5" s="26">
        <f t="shared" ref="R5:R68" si="3">+IF((L5+N5)&gt;(M5+O5),(L5+N5)-(M5+O5),0)</f>
        <v>13701391.560000001</v>
      </c>
      <c r="S5" s="27">
        <f t="shared" ref="S5:S68" si="4">+IF((L5+N5)&lt;(M5+O5),(M5+O5)-(L5+N5),0)</f>
        <v>0</v>
      </c>
      <c r="T5" s="11"/>
      <c r="U5" s="11"/>
      <c r="V5" s="415">
        <f t="shared" ref="V5:V68" si="5">+IF((R5+T5)&gt;(S5+U5),(R5+T5)-(S5+U5),0)</f>
        <v>13701391.560000001</v>
      </c>
      <c r="W5" s="379">
        <f t="shared" si="1"/>
        <v>0</v>
      </c>
      <c r="X5" s="4">
        <v>1101</v>
      </c>
      <c r="Y5" s="4"/>
      <c r="Z5" s="4"/>
      <c r="AA5" s="12">
        <f t="shared" ref="AA5:AA68" si="6">+IF(H5+I5+J5+K5+L5+M5+N5+O5+R5+S5+T5+U5+V5+W5,1,0)</f>
        <v>1</v>
      </c>
      <c r="AC5" s="79"/>
      <c r="AD5" s="79"/>
      <c r="AE5" s="79"/>
      <c r="AF5" s="79"/>
    </row>
    <row r="6" spans="1:32" ht="12.75" customHeight="1">
      <c r="A6" s="24"/>
      <c r="B6" s="108">
        <f t="shared" ref="B6:B69" si="7">+B5+1</f>
        <v>3</v>
      </c>
      <c r="C6" s="5">
        <v>110100</v>
      </c>
      <c r="D6" s="122" t="s">
        <v>1534</v>
      </c>
      <c r="E6" s="9" t="s">
        <v>32</v>
      </c>
      <c r="F6" s="6"/>
      <c r="G6" s="6"/>
      <c r="H6" s="11">
        <f>+STAT2!V6</f>
        <v>1259644.9999999925</v>
      </c>
      <c r="I6" s="11">
        <f>+STAT2!W6</f>
        <v>0</v>
      </c>
      <c r="J6" s="11">
        <f>+SUMIFS(JURNAL!G:G,JURNAL!E:E,C6,JURNAL!C:C,"&gt;="&amp;$H$1,JURNAL!C:C,"&lt;="&amp;$I$1)</f>
        <v>52854782.5</v>
      </c>
      <c r="K6" s="11">
        <f>+SUMIFS(JURNAL!H:H,JURNAL!E:E,C6,JURNAL!C:C,"&gt;="&amp;$H$1,JURNAL!C:C,"&lt;="&amp;$I$1)</f>
        <v>54092962.030000001</v>
      </c>
      <c r="L6" s="26">
        <f t="shared" si="2"/>
        <v>21465.469999991357</v>
      </c>
      <c r="M6" s="27">
        <f t="shared" si="0"/>
        <v>0</v>
      </c>
      <c r="N6" s="11"/>
      <c r="O6" s="190"/>
      <c r="P6" s="27"/>
      <c r="Q6" s="11"/>
      <c r="R6" s="26">
        <f t="shared" si="3"/>
        <v>21465.469999991357</v>
      </c>
      <c r="S6" s="27">
        <f t="shared" si="4"/>
        <v>0</v>
      </c>
      <c r="T6" s="11"/>
      <c r="U6" s="11"/>
      <c r="V6" s="873">
        <f t="shared" si="5"/>
        <v>21465.469999991357</v>
      </c>
      <c r="W6" s="379">
        <f t="shared" si="1"/>
        <v>0</v>
      </c>
      <c r="X6" s="4">
        <v>1101</v>
      </c>
      <c r="Y6" s="4"/>
      <c r="Z6" s="4"/>
      <c r="AA6" s="12">
        <f t="shared" si="6"/>
        <v>1</v>
      </c>
      <c r="AC6" s="79">
        <v>21465.47</v>
      </c>
      <c r="AD6" s="79">
        <f>+V6-AC6</f>
        <v>-8.64383764564991E-9</v>
      </c>
      <c r="AE6" s="79"/>
      <c r="AF6" s="79"/>
    </row>
    <row r="7" spans="1:32" ht="12.75" customHeight="1">
      <c r="A7" s="24"/>
      <c r="B7" s="108">
        <f t="shared" si="7"/>
        <v>4</v>
      </c>
      <c r="C7" s="6">
        <v>110102</v>
      </c>
      <c r="D7" s="122" t="s">
        <v>1535</v>
      </c>
      <c r="E7" s="9" t="s">
        <v>32</v>
      </c>
      <c r="F7" s="6"/>
      <c r="G7" s="6"/>
      <c r="H7" s="11">
        <f>+STAT2!V7</f>
        <v>16584.13</v>
      </c>
      <c r="I7" s="11">
        <f>+STAT2!W7</f>
        <v>0</v>
      </c>
      <c r="J7" s="11">
        <f>+SUMIFS(JURNAL!G:G,JURNAL!E:E,C7,JURNAL!C:C,"&gt;="&amp;$H$1,JURNAL!C:C,"&lt;="&amp;$I$1)</f>
        <v>0</v>
      </c>
      <c r="K7" s="11">
        <f>+SUMIFS(JURNAL!H:H,JURNAL!E:E,C7,JURNAL!C:C,"&gt;="&amp;$H$1,JURNAL!C:C,"&lt;="&amp;$I$1)</f>
        <v>0</v>
      </c>
      <c r="L7" s="26">
        <f t="shared" si="2"/>
        <v>16584.13</v>
      </c>
      <c r="M7" s="27">
        <f t="shared" si="0"/>
        <v>0</v>
      </c>
      <c r="N7" s="11"/>
      <c r="O7" s="190"/>
      <c r="P7" s="27"/>
      <c r="Q7" s="11"/>
      <c r="R7" s="26">
        <f t="shared" si="3"/>
        <v>16584.13</v>
      </c>
      <c r="S7" s="27">
        <f t="shared" si="4"/>
        <v>0</v>
      </c>
      <c r="T7" s="11"/>
      <c r="U7" s="11"/>
      <c r="V7" s="873">
        <f t="shared" si="5"/>
        <v>16584.13</v>
      </c>
      <c r="W7" s="379">
        <f t="shared" si="1"/>
        <v>0</v>
      </c>
      <c r="X7" s="4">
        <v>1101</v>
      </c>
      <c r="Y7" s="4"/>
      <c r="Z7" s="4"/>
      <c r="AA7" s="12">
        <f t="shared" si="6"/>
        <v>1</v>
      </c>
      <c r="AC7" s="79"/>
      <c r="AD7" s="79"/>
      <c r="AE7" s="79"/>
      <c r="AF7" s="79"/>
    </row>
    <row r="8" spans="1:32" ht="12.75" customHeight="1">
      <c r="A8" s="24"/>
      <c r="B8" s="108">
        <f t="shared" si="7"/>
        <v>5</v>
      </c>
      <c r="C8" s="6">
        <v>110103</v>
      </c>
      <c r="D8" s="122" t="s">
        <v>1536</v>
      </c>
      <c r="E8" s="912" t="s">
        <v>32</v>
      </c>
      <c r="F8" s="6"/>
      <c r="G8" s="6"/>
      <c r="H8" s="913">
        <f>+STAT2!V8</f>
        <v>88499.17</v>
      </c>
      <c r="I8" s="11">
        <f>+STAT2!W8</f>
        <v>0</v>
      </c>
      <c r="J8" s="11">
        <f>+SUMIFS(JURNAL!G:G,JURNAL!E:E,C8,JURNAL!C:C,"&gt;="&amp;$H$1,JURNAL!C:C,"&lt;="&amp;$I$1)</f>
        <v>0</v>
      </c>
      <c r="K8" s="11">
        <f>+SUMIFS(JURNAL!H:H,JURNAL!E:E,C8,JURNAL!C:C,"&gt;="&amp;$H$1,JURNAL!C:C,"&lt;="&amp;$I$1)</f>
        <v>0</v>
      </c>
      <c r="L8" s="26">
        <f t="shared" si="2"/>
        <v>88499.17</v>
      </c>
      <c r="M8" s="27">
        <f t="shared" si="0"/>
        <v>0</v>
      </c>
      <c r="N8" s="11"/>
      <c r="O8" s="190"/>
      <c r="P8" s="27"/>
      <c r="Q8" s="11"/>
      <c r="R8" s="26">
        <f t="shared" si="3"/>
        <v>88499.17</v>
      </c>
      <c r="S8" s="27">
        <f t="shared" si="4"/>
        <v>0</v>
      </c>
      <c r="T8" s="11"/>
      <c r="U8" s="11"/>
      <c r="V8" s="873">
        <f t="shared" si="5"/>
        <v>88499.17</v>
      </c>
      <c r="W8" s="379">
        <f t="shared" si="1"/>
        <v>0</v>
      </c>
      <c r="X8" s="4">
        <v>1101</v>
      </c>
      <c r="Y8" s="4"/>
      <c r="Z8" s="4"/>
      <c r="AA8" s="12">
        <f t="shared" si="6"/>
        <v>1</v>
      </c>
      <c r="AC8" s="79"/>
      <c r="AD8" s="79"/>
      <c r="AE8" s="79"/>
      <c r="AF8" s="79"/>
    </row>
    <row r="9" spans="1:32" ht="12.75" customHeight="1">
      <c r="A9" s="24"/>
      <c r="B9" s="108">
        <f t="shared" si="7"/>
        <v>6</v>
      </c>
      <c r="C9" s="6">
        <v>110104</v>
      </c>
      <c r="D9" s="122" t="s">
        <v>1537</v>
      </c>
      <c r="E9" s="912" t="s">
        <v>32</v>
      </c>
      <c r="F9" s="6"/>
      <c r="G9" s="6"/>
      <c r="H9" s="913">
        <f>+STAT2!V9</f>
        <v>27647.96</v>
      </c>
      <c r="I9" s="11">
        <f>+STAT2!W9</f>
        <v>0</v>
      </c>
      <c r="J9" s="11">
        <f>+SUMIFS(JURNAL!G:G,JURNAL!E:E,C9,JURNAL!C:C,"&gt;="&amp;$H$1,JURNAL!C:C,"&lt;="&amp;$I$1)</f>
        <v>0</v>
      </c>
      <c r="K9" s="11">
        <f>+SUMIFS(JURNAL!H:H,JURNAL!E:E,C9,JURNAL!C:C,"&gt;="&amp;$H$1,JURNAL!C:C,"&lt;="&amp;$I$1)</f>
        <v>0</v>
      </c>
      <c r="L9" s="26">
        <f t="shared" si="2"/>
        <v>27647.96</v>
      </c>
      <c r="M9" s="27">
        <f t="shared" si="0"/>
        <v>0</v>
      </c>
      <c r="N9" s="11"/>
      <c r="O9" s="190"/>
      <c r="P9" s="27"/>
      <c r="Q9" s="11"/>
      <c r="R9" s="26">
        <f t="shared" si="3"/>
        <v>27647.96</v>
      </c>
      <c r="S9" s="27">
        <f t="shared" si="4"/>
        <v>0</v>
      </c>
      <c r="T9" s="11"/>
      <c r="U9" s="11"/>
      <c r="V9" s="873">
        <f t="shared" si="5"/>
        <v>27647.96</v>
      </c>
      <c r="W9" s="379">
        <f t="shared" si="1"/>
        <v>0</v>
      </c>
      <c r="X9" s="4">
        <v>1101</v>
      </c>
      <c r="Y9" s="4"/>
      <c r="Z9" s="4"/>
      <c r="AA9" s="12">
        <f t="shared" si="6"/>
        <v>1</v>
      </c>
      <c r="AC9" s="79"/>
      <c r="AD9" s="79"/>
      <c r="AE9" s="79"/>
      <c r="AF9" s="79"/>
    </row>
    <row r="10" spans="1:32" ht="12.75" customHeight="1">
      <c r="A10" s="24"/>
      <c r="B10" s="108">
        <f t="shared" si="7"/>
        <v>7</v>
      </c>
      <c r="C10" s="6">
        <v>110105</v>
      </c>
      <c r="D10" s="122" t="s">
        <v>1538</v>
      </c>
      <c r="E10" s="912" t="s">
        <v>32</v>
      </c>
      <c r="F10" s="6"/>
      <c r="G10" s="6"/>
      <c r="H10" s="913">
        <f>+STAT2!V10</f>
        <v>135889.92000000001</v>
      </c>
      <c r="I10" s="11">
        <f>+STAT2!W10</f>
        <v>0</v>
      </c>
      <c r="J10" s="11">
        <f>+SUMIFS(JURNAL!G:G,JURNAL!E:E,C10,JURNAL!C:C,"&gt;="&amp;$H$1,JURNAL!C:C,"&lt;="&amp;$I$1)</f>
        <v>0</v>
      </c>
      <c r="K10" s="11">
        <f>+SUMIFS(JURNAL!H:H,JURNAL!E:E,C10,JURNAL!C:C,"&gt;="&amp;$H$1,JURNAL!C:C,"&lt;="&amp;$I$1)</f>
        <v>0</v>
      </c>
      <c r="L10" s="26">
        <f t="shared" si="2"/>
        <v>135889.92000000001</v>
      </c>
      <c r="M10" s="27">
        <f t="shared" si="0"/>
        <v>0</v>
      </c>
      <c r="N10" s="11"/>
      <c r="O10" s="190"/>
      <c r="P10" s="27"/>
      <c r="Q10" s="11"/>
      <c r="R10" s="26">
        <f t="shared" si="3"/>
        <v>135889.92000000001</v>
      </c>
      <c r="S10" s="27">
        <f t="shared" si="4"/>
        <v>0</v>
      </c>
      <c r="T10" s="11"/>
      <c r="U10" s="11"/>
      <c r="V10" s="873">
        <f t="shared" si="5"/>
        <v>135889.92000000001</v>
      </c>
      <c r="W10" s="379">
        <f t="shared" si="1"/>
        <v>0</v>
      </c>
      <c r="X10" s="4">
        <v>1101</v>
      </c>
      <c r="Y10" s="4"/>
      <c r="Z10" s="4"/>
      <c r="AA10" s="12">
        <f t="shared" si="6"/>
        <v>1</v>
      </c>
      <c r="AC10" s="79"/>
      <c r="AD10" s="79"/>
      <c r="AE10" s="79"/>
      <c r="AF10" s="79"/>
    </row>
    <row r="11" spans="1:32" ht="12.75" customHeight="1">
      <c r="A11" s="24"/>
      <c r="B11" s="108">
        <f t="shared" si="7"/>
        <v>8</v>
      </c>
      <c r="C11" s="6">
        <v>110200</v>
      </c>
      <c r="D11" s="122" t="s">
        <v>1539</v>
      </c>
      <c r="E11" s="912" t="s">
        <v>30</v>
      </c>
      <c r="F11" s="914">
        <v>7</v>
      </c>
      <c r="G11" s="914">
        <v>2349.87</v>
      </c>
      <c r="H11" s="913">
        <f>+STAT2!V11</f>
        <v>17239.740000000002</v>
      </c>
      <c r="I11" s="11">
        <f>+STAT2!W11</f>
        <v>0</v>
      </c>
      <c r="J11" s="11">
        <f>+SUMIFS(JURNAL!G:G,JURNAL!E:E,C11,JURNAL!C:C,"&gt;="&amp;$H$1,JURNAL!C:C,"&lt;="&amp;$I$1)</f>
        <v>0</v>
      </c>
      <c r="K11" s="11">
        <f>+SUMIFS(JURNAL!H:H,JURNAL!E:E,C11,JURNAL!C:C,"&gt;="&amp;$H$1,JURNAL!C:C,"&lt;="&amp;$I$1)</f>
        <v>0</v>
      </c>
      <c r="L11" s="26">
        <f t="shared" si="2"/>
        <v>17239.740000000002</v>
      </c>
      <c r="M11" s="27">
        <f t="shared" si="0"/>
        <v>0</v>
      </c>
      <c r="N11" s="915">
        <v>625.16999999999825</v>
      </c>
      <c r="O11" s="190"/>
      <c r="P11" s="27">
        <f t="shared" ref="P11:P16" si="8">+F11</f>
        <v>7</v>
      </c>
      <c r="Q11" s="11">
        <v>2552.13</v>
      </c>
      <c r="R11" s="26">
        <f>+IF((L11+N11)&gt;(M11+O11),(L11+N11)-(M11+O11),0)</f>
        <v>17864.91</v>
      </c>
      <c r="S11" s="27">
        <f t="shared" si="4"/>
        <v>0</v>
      </c>
      <c r="T11" s="11"/>
      <c r="U11" s="11"/>
      <c r="V11" s="873">
        <f t="shared" si="5"/>
        <v>17864.91</v>
      </c>
      <c r="W11" s="379">
        <f t="shared" si="1"/>
        <v>0</v>
      </c>
      <c r="X11" s="4">
        <v>1101</v>
      </c>
      <c r="Y11" s="4"/>
      <c r="Z11" s="4"/>
      <c r="AA11" s="12">
        <f t="shared" si="6"/>
        <v>1</v>
      </c>
      <c r="AC11" s="79"/>
      <c r="AD11" s="79"/>
      <c r="AE11" s="79"/>
      <c r="AF11" s="79"/>
    </row>
    <row r="12" spans="1:32" ht="12.75" customHeight="1">
      <c r="A12" s="24"/>
      <c r="B12" s="108">
        <f t="shared" si="7"/>
        <v>9</v>
      </c>
      <c r="C12" s="6">
        <v>110201</v>
      </c>
      <c r="D12" s="122" t="s">
        <v>1540</v>
      </c>
      <c r="E12" s="912" t="s">
        <v>30</v>
      </c>
      <c r="F12" s="914">
        <v>140</v>
      </c>
      <c r="G12" s="914">
        <v>2349.87</v>
      </c>
      <c r="H12" s="913">
        <f>+STAT2!V12</f>
        <v>344794.8</v>
      </c>
      <c r="I12" s="11">
        <f>+STAT2!W12</f>
        <v>0</v>
      </c>
      <c r="J12" s="11">
        <f>+SUMIFS(JURNAL!G:G,JURNAL!E:E,C12,JURNAL!C:C,"&gt;="&amp;$H$1,JURNAL!C:C,"&lt;="&amp;$I$1)</f>
        <v>0</v>
      </c>
      <c r="K12" s="11">
        <f>+SUMIFS(JURNAL!H:H,JURNAL!E:E,C12,JURNAL!C:C,"&gt;="&amp;$H$1,JURNAL!C:C,"&lt;="&amp;$I$1)</f>
        <v>0</v>
      </c>
      <c r="L12" s="26">
        <f t="shared" si="2"/>
        <v>344794.8</v>
      </c>
      <c r="M12" s="27">
        <f t="shared" si="0"/>
        <v>0</v>
      </c>
      <c r="N12" s="915">
        <v>12503.400000000023</v>
      </c>
      <c r="O12" s="190"/>
      <c r="P12" s="27">
        <f t="shared" si="8"/>
        <v>140</v>
      </c>
      <c r="Q12" s="11">
        <v>2552.13</v>
      </c>
      <c r="R12" s="26">
        <f t="shared" si="3"/>
        <v>357298.2</v>
      </c>
      <c r="S12" s="27">
        <f t="shared" si="4"/>
        <v>0</v>
      </c>
      <c r="T12" s="11"/>
      <c r="U12" s="11"/>
      <c r="V12" s="873">
        <f t="shared" si="5"/>
        <v>357298.2</v>
      </c>
      <c r="W12" s="379">
        <f t="shared" si="1"/>
        <v>0</v>
      </c>
      <c r="X12" s="4">
        <v>1101</v>
      </c>
      <c r="Y12" s="4"/>
      <c r="Z12" s="4"/>
      <c r="AA12" s="12">
        <f t="shared" si="6"/>
        <v>1</v>
      </c>
      <c r="AC12" s="79"/>
      <c r="AD12" s="79"/>
      <c r="AE12" s="79"/>
      <c r="AF12" s="79"/>
    </row>
    <row r="13" spans="1:32" ht="12.75" customHeight="1">
      <c r="A13" s="24"/>
      <c r="B13" s="108">
        <f t="shared" si="7"/>
        <v>10</v>
      </c>
      <c r="C13" s="6">
        <v>110202</v>
      </c>
      <c r="D13" s="122" t="s">
        <v>1541</v>
      </c>
      <c r="E13" s="912" t="s">
        <v>30</v>
      </c>
      <c r="F13" s="914">
        <v>43.27</v>
      </c>
      <c r="G13" s="914">
        <v>2349.87</v>
      </c>
      <c r="H13" s="913">
        <f>+STAT2!V13</f>
        <v>106566.2179</v>
      </c>
      <c r="I13" s="11">
        <f>+STAT2!W13</f>
        <v>0</v>
      </c>
      <c r="J13" s="11">
        <f>+SUMIFS(JURNAL!G:G,JURNAL!E:E,C13,JURNAL!C:C,"&gt;="&amp;$H$1,JURNAL!C:C,"&lt;="&amp;$I$1)</f>
        <v>0</v>
      </c>
      <c r="K13" s="11">
        <f>+SUMIFS(JURNAL!H:H,JURNAL!E:E,C13,JURNAL!C:C,"&gt;="&amp;$H$1,JURNAL!C:C,"&lt;="&amp;$I$1)</f>
        <v>0</v>
      </c>
      <c r="L13" s="26">
        <f t="shared" si="2"/>
        <v>106566.2179</v>
      </c>
      <c r="M13" s="27">
        <f t="shared" si="0"/>
        <v>0</v>
      </c>
      <c r="N13" s="915">
        <v>3864.4472000000096</v>
      </c>
      <c r="O13" s="190"/>
      <c r="P13" s="27">
        <f t="shared" si="8"/>
        <v>43.27</v>
      </c>
      <c r="Q13" s="11">
        <v>2552.13</v>
      </c>
      <c r="R13" s="26">
        <f t="shared" si="3"/>
        <v>110430.66510000001</v>
      </c>
      <c r="S13" s="27">
        <f t="shared" si="4"/>
        <v>0</v>
      </c>
      <c r="T13" s="11"/>
      <c r="U13" s="11"/>
      <c r="V13" s="873">
        <f t="shared" si="5"/>
        <v>110430.66510000001</v>
      </c>
      <c r="W13" s="379">
        <f t="shared" si="1"/>
        <v>0</v>
      </c>
      <c r="X13" s="4">
        <v>1101</v>
      </c>
      <c r="Y13" s="4"/>
      <c r="Z13" s="4"/>
      <c r="AA13" s="12">
        <f t="shared" si="6"/>
        <v>1</v>
      </c>
      <c r="AC13" s="79"/>
      <c r="AD13" s="79"/>
      <c r="AE13" s="79"/>
      <c r="AF13" s="79"/>
    </row>
    <row r="14" spans="1:32" ht="12.75" customHeight="1">
      <c r="A14" s="24"/>
      <c r="B14" s="108">
        <f t="shared" si="7"/>
        <v>11</v>
      </c>
      <c r="C14" s="6">
        <v>110203</v>
      </c>
      <c r="D14" s="122" t="s">
        <v>1542</v>
      </c>
      <c r="E14" s="912" t="s">
        <v>30</v>
      </c>
      <c r="F14" s="914">
        <v>52.18</v>
      </c>
      <c r="G14" s="914">
        <v>2349.87</v>
      </c>
      <c r="H14" s="913">
        <f>+STAT2!V14</f>
        <v>128509.9486</v>
      </c>
      <c r="I14" s="11">
        <f>+STAT2!W14</f>
        <v>0</v>
      </c>
      <c r="J14" s="11">
        <f>+SUMIFS(JURNAL!G:G,JURNAL!E:E,C14,JURNAL!C:C,"&gt;="&amp;$H$1,JURNAL!C:C,"&lt;="&amp;$I$1)</f>
        <v>0</v>
      </c>
      <c r="K14" s="11">
        <f>+SUMIFS(JURNAL!H:H,JURNAL!E:E,C14,JURNAL!C:C,"&gt;="&amp;$H$1,JURNAL!C:C,"&lt;="&amp;$I$1)</f>
        <v>0</v>
      </c>
      <c r="L14" s="26">
        <f t="shared" si="2"/>
        <v>128509.9486</v>
      </c>
      <c r="M14" s="27">
        <f t="shared" si="0"/>
        <v>0</v>
      </c>
      <c r="N14" s="915">
        <v>4660.1947999999975</v>
      </c>
      <c r="O14" s="190"/>
      <c r="P14" s="27">
        <f t="shared" si="8"/>
        <v>52.18</v>
      </c>
      <c r="Q14" s="11">
        <v>2552.13</v>
      </c>
      <c r="R14" s="26">
        <f t="shared" si="3"/>
        <v>133170.1434</v>
      </c>
      <c r="S14" s="27">
        <f t="shared" si="4"/>
        <v>0</v>
      </c>
      <c r="T14" s="11"/>
      <c r="U14" s="11"/>
      <c r="V14" s="873">
        <f t="shared" si="5"/>
        <v>133170.1434</v>
      </c>
      <c r="W14" s="379">
        <f t="shared" si="1"/>
        <v>0</v>
      </c>
      <c r="X14" s="4">
        <v>1101</v>
      </c>
      <c r="Y14" s="4"/>
      <c r="Z14" s="4"/>
      <c r="AA14" s="12">
        <f t="shared" si="6"/>
        <v>1</v>
      </c>
      <c r="AC14" s="79"/>
      <c r="AD14" s="79"/>
      <c r="AE14" s="79"/>
      <c r="AF14" s="79"/>
    </row>
    <row r="15" spans="1:32" ht="12.75" customHeight="1">
      <c r="A15" s="24"/>
      <c r="B15" s="108">
        <f t="shared" si="7"/>
        <v>12</v>
      </c>
      <c r="C15" s="6">
        <v>110204</v>
      </c>
      <c r="D15" s="122" t="s">
        <v>1543</v>
      </c>
      <c r="E15" s="912" t="s">
        <v>30</v>
      </c>
      <c r="F15" s="914">
        <v>10.43</v>
      </c>
      <c r="G15" s="914">
        <v>2349.87</v>
      </c>
      <c r="H15" s="913">
        <f>+STAT2!V15</f>
        <v>31795.011099999996</v>
      </c>
      <c r="I15" s="11">
        <f>+STAT2!W15</f>
        <v>0</v>
      </c>
      <c r="J15" s="11">
        <f>+SUMIFS(JURNAL!G:G,JURNAL!E:E,C15,JURNAL!C:C,"&gt;="&amp;$H$1,JURNAL!C:C,"&lt;="&amp;$I$1)</f>
        <v>0</v>
      </c>
      <c r="K15" s="11">
        <f>+SUMIFS(JURNAL!H:H,JURNAL!E:E,C15,JURNAL!C:C,"&gt;="&amp;$H$1,JURNAL!C:C,"&lt;="&amp;$I$1)</f>
        <v>0</v>
      </c>
      <c r="L15" s="26">
        <f t="shared" si="2"/>
        <v>31795.011099999996</v>
      </c>
      <c r="M15" s="27">
        <f t="shared" si="0"/>
        <v>0</v>
      </c>
      <c r="N15" s="11"/>
      <c r="O15" s="190">
        <v>5176.3</v>
      </c>
      <c r="P15" s="27">
        <f t="shared" si="8"/>
        <v>10.43</v>
      </c>
      <c r="Q15" s="11">
        <v>2552.13</v>
      </c>
      <c r="R15" s="26">
        <f t="shared" si="3"/>
        <v>26618.711099999997</v>
      </c>
      <c r="S15" s="27">
        <f t="shared" si="4"/>
        <v>0</v>
      </c>
      <c r="T15" s="11"/>
      <c r="U15" s="11"/>
      <c r="V15" s="873">
        <f t="shared" si="5"/>
        <v>26618.711099999997</v>
      </c>
      <c r="W15" s="379">
        <f t="shared" si="1"/>
        <v>0</v>
      </c>
      <c r="X15" s="4">
        <v>1101</v>
      </c>
      <c r="Y15" s="4"/>
      <c r="Z15" s="4"/>
      <c r="AA15" s="12">
        <f t="shared" si="6"/>
        <v>1</v>
      </c>
      <c r="AC15" s="79"/>
      <c r="AD15" s="79"/>
      <c r="AE15" s="79"/>
      <c r="AF15" s="79"/>
    </row>
    <row r="16" spans="1:32" ht="12.75" customHeight="1">
      <c r="A16" s="24"/>
      <c r="B16" s="108">
        <f t="shared" si="7"/>
        <v>13</v>
      </c>
      <c r="C16" s="6">
        <v>110300</v>
      </c>
      <c r="D16" s="331" t="s">
        <v>1544</v>
      </c>
      <c r="E16" s="912" t="s">
        <v>31</v>
      </c>
      <c r="F16" s="914">
        <v>250</v>
      </c>
      <c r="G16" s="914">
        <v>42.16</v>
      </c>
      <c r="H16" s="913">
        <f>+STAT2!V16</f>
        <v>10435</v>
      </c>
      <c r="I16" s="11">
        <f>+STAT2!W16</f>
        <v>0</v>
      </c>
      <c r="J16" s="11">
        <f>+SUMIFS(JURNAL!G:G,JURNAL!E:E,C16,JURNAL!C:C,"&gt;="&amp;$H$1,JURNAL!C:C,"&lt;="&amp;$I$1)</f>
        <v>0</v>
      </c>
      <c r="K16" s="11">
        <f>+SUMIFS(JURNAL!H:H,JURNAL!E:E,C16,JURNAL!C:C,"&gt;="&amp;$H$1,JURNAL!C:C,"&lt;="&amp;$I$1)</f>
        <v>0</v>
      </c>
      <c r="L16" s="26">
        <f t="shared" si="2"/>
        <v>10435</v>
      </c>
      <c r="M16" s="27">
        <f t="shared" si="0"/>
        <v>0</v>
      </c>
      <c r="N16" s="11"/>
      <c r="O16" s="190">
        <f>10435-9725</f>
        <v>710</v>
      </c>
      <c r="P16" s="27">
        <f t="shared" si="8"/>
        <v>250</v>
      </c>
      <c r="Q16" s="11">
        <v>38.9</v>
      </c>
      <c r="R16" s="26">
        <f t="shared" si="3"/>
        <v>9725</v>
      </c>
      <c r="S16" s="27">
        <f t="shared" si="4"/>
        <v>0</v>
      </c>
      <c r="T16" s="11"/>
      <c r="U16" s="11"/>
      <c r="V16" s="873">
        <f t="shared" si="5"/>
        <v>9725</v>
      </c>
      <c r="W16" s="379">
        <f t="shared" si="1"/>
        <v>0</v>
      </c>
      <c r="X16" s="4">
        <v>1101</v>
      </c>
      <c r="Y16" s="4"/>
      <c r="Z16" s="4"/>
      <c r="AA16" s="12">
        <f t="shared" si="6"/>
        <v>1</v>
      </c>
      <c r="AC16" s="79"/>
      <c r="AD16" s="79"/>
      <c r="AE16" s="79"/>
      <c r="AF16" s="79"/>
    </row>
    <row r="17" spans="1:32" ht="12.75" customHeight="1">
      <c r="A17" s="24"/>
      <c r="B17" s="108">
        <f t="shared" si="7"/>
        <v>14</v>
      </c>
      <c r="C17" s="6">
        <v>900100</v>
      </c>
      <c r="D17" s="121" t="s">
        <v>944</v>
      </c>
      <c r="E17" s="912" t="s">
        <v>32</v>
      </c>
      <c r="F17" s="6"/>
      <c r="G17" s="6"/>
      <c r="H17" s="913">
        <f>+STAT2!V17</f>
        <v>0</v>
      </c>
      <c r="I17" s="11">
        <f>+STAT2!W17</f>
        <v>0</v>
      </c>
      <c r="J17" s="11">
        <f>+SUMIFS(JURNAL!G:G,JURNAL!E:E,C17,JURNAL!C:C,"&gt;="&amp;$H$1,JURNAL!C:C,"&lt;="&amp;$I$1)</f>
        <v>0</v>
      </c>
      <c r="K17" s="11">
        <f>+SUMIFS(JURNAL!H:H,JURNAL!E:E,C17,JURNAL!C:C,"&gt;="&amp;$H$1,JURNAL!C:C,"&lt;="&amp;$I$1)</f>
        <v>0</v>
      </c>
      <c r="L17" s="26">
        <f t="shared" si="2"/>
        <v>0</v>
      </c>
      <c r="M17" s="27">
        <f t="shared" si="0"/>
        <v>0</v>
      </c>
      <c r="N17" s="11"/>
      <c r="O17" s="190"/>
      <c r="P17" s="27"/>
      <c r="Q17" s="11"/>
      <c r="R17" s="26">
        <f t="shared" si="3"/>
        <v>0</v>
      </c>
      <c r="S17" s="27">
        <f t="shared" si="4"/>
        <v>0</v>
      </c>
      <c r="T17" s="11"/>
      <c r="U17" s="11"/>
      <c r="V17" s="415">
        <f t="shared" si="5"/>
        <v>0</v>
      </c>
      <c r="W17" s="379">
        <f t="shared" si="1"/>
        <v>0</v>
      </c>
      <c r="X17" s="4">
        <v>1101</v>
      </c>
      <c r="Y17" s="4"/>
      <c r="Z17" s="4"/>
      <c r="AA17" s="12">
        <f t="shared" si="6"/>
        <v>0</v>
      </c>
      <c r="AC17" s="79"/>
      <c r="AD17" s="79"/>
      <c r="AE17" s="79"/>
      <c r="AF17" s="79"/>
    </row>
    <row r="18" spans="1:32" ht="12.75" customHeight="1">
      <c r="A18" s="24"/>
      <c r="B18" s="108">
        <f t="shared" si="7"/>
        <v>15</v>
      </c>
      <c r="C18" s="6">
        <v>120100</v>
      </c>
      <c r="D18" s="121" t="s">
        <v>945</v>
      </c>
      <c r="E18" s="912" t="s">
        <v>32</v>
      </c>
      <c r="F18" s="6"/>
      <c r="G18" s="6"/>
      <c r="H18" s="913">
        <f>+STAT2!V18</f>
        <v>2896458.9000000022</v>
      </c>
      <c r="I18" s="11">
        <f>+STAT2!W18</f>
        <v>0</v>
      </c>
      <c r="J18" s="11">
        <f>+SUMIFS(JURNAL!G:G,JURNAL!E:E,C18,JURNAL!C:C,"&gt;="&amp;$H$1,JURNAL!C:C,"&lt;="&amp;$I$1)</f>
        <v>5574498.21</v>
      </c>
      <c r="K18" s="11">
        <f>+SUMIFS(JURNAL!H:H,JURNAL!E:E,C18,JURNAL!C:C,"&gt;="&amp;$H$1,JURNAL!C:C,"&lt;="&amp;$I$1)</f>
        <v>5081128.0999999996</v>
      </c>
      <c r="L18" s="26">
        <f t="shared" si="2"/>
        <v>3389829.0100000035</v>
      </c>
      <c r="M18" s="27">
        <f t="shared" si="0"/>
        <v>0</v>
      </c>
      <c r="N18" s="11"/>
      <c r="O18" s="190"/>
      <c r="P18" s="27"/>
      <c r="Q18" s="11"/>
      <c r="R18" s="26">
        <f t="shared" si="3"/>
        <v>3389829.0100000035</v>
      </c>
      <c r="S18" s="27">
        <f t="shared" si="4"/>
        <v>0</v>
      </c>
      <c r="T18" s="11"/>
      <c r="U18" s="11"/>
      <c r="V18" s="415">
        <f t="shared" si="5"/>
        <v>3389829.0100000035</v>
      </c>
      <c r="W18" s="379">
        <f t="shared" si="1"/>
        <v>0</v>
      </c>
      <c r="X18" s="4">
        <v>1102</v>
      </c>
      <c r="Y18" s="4"/>
      <c r="Z18" s="4"/>
      <c r="AA18" s="12">
        <f t="shared" si="6"/>
        <v>1</v>
      </c>
      <c r="AC18" s="79"/>
      <c r="AD18" s="79"/>
      <c r="AE18" s="79"/>
      <c r="AF18" s="79"/>
    </row>
    <row r="19" spans="1:32" ht="12.75" customHeight="1">
      <c r="A19" s="24"/>
      <c r="B19" s="108">
        <f t="shared" si="7"/>
        <v>16</v>
      </c>
      <c r="C19" s="6">
        <v>120201</v>
      </c>
      <c r="D19" s="121" t="s">
        <v>946</v>
      </c>
      <c r="E19" s="912" t="s">
        <v>30</v>
      </c>
      <c r="F19" s="6"/>
      <c r="G19" s="6"/>
      <c r="H19" s="913">
        <f>+STAT2!V19</f>
        <v>0</v>
      </c>
      <c r="I19" s="11">
        <f>+STAT2!W19</f>
        <v>0</v>
      </c>
      <c r="J19" s="11">
        <f>+SUMIFS(JURNAL!G:G,JURNAL!E:E,C19,JURNAL!C:C,"&gt;="&amp;$H$1,JURNAL!C:C,"&lt;="&amp;$I$1)</f>
        <v>0</v>
      </c>
      <c r="K19" s="11">
        <f>+SUMIFS(JURNAL!H:H,JURNAL!E:E,C19,JURNAL!C:C,"&gt;="&amp;$H$1,JURNAL!C:C,"&lt;="&amp;$I$1)</f>
        <v>0</v>
      </c>
      <c r="L19" s="26">
        <f t="shared" si="2"/>
        <v>0</v>
      </c>
      <c r="M19" s="27">
        <f t="shared" si="0"/>
        <v>0</v>
      </c>
      <c r="N19" s="11"/>
      <c r="O19" s="190"/>
      <c r="P19" s="27"/>
      <c r="Q19" s="11"/>
      <c r="R19" s="26">
        <f t="shared" si="3"/>
        <v>0</v>
      </c>
      <c r="S19" s="27">
        <f t="shared" si="4"/>
        <v>0</v>
      </c>
      <c r="T19" s="11"/>
      <c r="U19" s="11"/>
      <c r="V19" s="415">
        <f t="shared" si="5"/>
        <v>0</v>
      </c>
      <c r="W19" s="379">
        <f t="shared" si="1"/>
        <v>0</v>
      </c>
      <c r="X19" s="4">
        <v>1102</v>
      </c>
      <c r="Y19" s="4"/>
      <c r="Z19" s="4"/>
      <c r="AA19" s="12">
        <f t="shared" si="6"/>
        <v>0</v>
      </c>
      <c r="AC19" s="79"/>
      <c r="AD19" s="79"/>
      <c r="AE19" s="79"/>
      <c r="AF19" s="79"/>
    </row>
    <row r="20" spans="1:32" ht="12.75" customHeight="1">
      <c r="A20" s="24"/>
      <c r="B20" s="108">
        <f t="shared" si="7"/>
        <v>17</v>
      </c>
      <c r="C20" s="6">
        <v>120200</v>
      </c>
      <c r="D20" s="121" t="s">
        <v>947</v>
      </c>
      <c r="E20" s="912" t="s">
        <v>32</v>
      </c>
      <c r="F20" s="6"/>
      <c r="G20" s="6"/>
      <c r="H20" s="913">
        <f>+STAT2!V20</f>
        <v>0</v>
      </c>
      <c r="I20" s="11">
        <f>+STAT2!W20</f>
        <v>0</v>
      </c>
      <c r="J20" s="11">
        <f>+SUMIFS(JURNAL!G:G,JURNAL!E:E,C20,JURNAL!C:C,"&gt;="&amp;$H$1,JURNAL!C:C,"&lt;="&amp;$I$1)</f>
        <v>0</v>
      </c>
      <c r="K20" s="11">
        <f>+SUMIFS(JURNAL!H:H,JURNAL!E:E,C20,JURNAL!C:C,"&gt;="&amp;$H$1,JURNAL!C:C,"&lt;="&amp;$I$1)</f>
        <v>0</v>
      </c>
      <c r="L20" s="26">
        <f t="shared" si="2"/>
        <v>0</v>
      </c>
      <c r="M20" s="27">
        <f t="shared" si="0"/>
        <v>0</v>
      </c>
      <c r="N20" s="11"/>
      <c r="O20" s="190"/>
      <c r="P20" s="27"/>
      <c r="Q20" s="11"/>
      <c r="R20" s="26">
        <f t="shared" si="3"/>
        <v>0</v>
      </c>
      <c r="S20" s="27">
        <f t="shared" si="4"/>
        <v>0</v>
      </c>
      <c r="T20" s="11"/>
      <c r="U20" s="11"/>
      <c r="V20" s="415">
        <f t="shared" si="5"/>
        <v>0</v>
      </c>
      <c r="W20" s="379">
        <f t="shared" si="1"/>
        <v>0</v>
      </c>
      <c r="X20" s="4">
        <v>1102</v>
      </c>
      <c r="Y20" s="4"/>
      <c r="Z20" s="4"/>
      <c r="AA20" s="12">
        <f t="shared" si="6"/>
        <v>0</v>
      </c>
      <c r="AC20" s="79"/>
      <c r="AD20" s="79"/>
      <c r="AE20" s="79"/>
      <c r="AF20" s="79"/>
    </row>
    <row r="21" spans="1:32" ht="12.75" customHeight="1">
      <c r="A21" s="24"/>
      <c r="B21" s="108">
        <f t="shared" si="7"/>
        <v>18</v>
      </c>
      <c r="C21" s="6">
        <v>120201</v>
      </c>
      <c r="D21" s="121" t="s">
        <v>948</v>
      </c>
      <c r="E21" s="912" t="s">
        <v>30</v>
      </c>
      <c r="F21" s="6"/>
      <c r="G21" s="6"/>
      <c r="H21" s="913">
        <f>+STAT2!V21</f>
        <v>0</v>
      </c>
      <c r="I21" s="11">
        <f>+STAT2!W21</f>
        <v>0</v>
      </c>
      <c r="J21" s="11">
        <f>+SUMIFS(JURNAL!G:G,JURNAL!E:E,C21,JURNAL!C:C,"&gt;="&amp;$H$1,JURNAL!C:C,"&lt;="&amp;$I$1)</f>
        <v>0</v>
      </c>
      <c r="K21" s="11">
        <f>+SUMIFS(JURNAL!H:H,JURNAL!E:E,C21,JURNAL!C:C,"&gt;="&amp;$H$1,JURNAL!C:C,"&lt;="&amp;$I$1)</f>
        <v>0</v>
      </c>
      <c r="L21" s="26">
        <f t="shared" si="2"/>
        <v>0</v>
      </c>
      <c r="M21" s="27">
        <f t="shared" si="0"/>
        <v>0</v>
      </c>
      <c r="N21" s="11"/>
      <c r="O21" s="190"/>
      <c r="P21" s="27"/>
      <c r="Q21" s="11"/>
      <c r="R21" s="26">
        <f t="shared" si="3"/>
        <v>0</v>
      </c>
      <c r="S21" s="27">
        <f t="shared" si="4"/>
        <v>0</v>
      </c>
      <c r="T21" s="11"/>
      <c r="U21" s="11"/>
      <c r="V21" s="415">
        <f t="shared" si="5"/>
        <v>0</v>
      </c>
      <c r="W21" s="379">
        <f t="shared" si="1"/>
        <v>0</v>
      </c>
      <c r="X21" s="4">
        <v>1102</v>
      </c>
      <c r="Y21" s="4"/>
      <c r="Z21" s="4"/>
      <c r="AA21" s="12">
        <f t="shared" si="6"/>
        <v>0</v>
      </c>
      <c r="AC21" s="79"/>
      <c r="AD21" s="79"/>
      <c r="AE21" s="79"/>
      <c r="AF21" s="79"/>
    </row>
    <row r="22" spans="1:32" ht="12.75" customHeight="1">
      <c r="A22" s="24"/>
      <c r="B22" s="108">
        <f t="shared" si="7"/>
        <v>19</v>
      </c>
      <c r="C22" s="6">
        <v>120202</v>
      </c>
      <c r="D22" s="121" t="s">
        <v>949</v>
      </c>
      <c r="E22" s="9" t="s">
        <v>32</v>
      </c>
      <c r="F22" s="6"/>
      <c r="G22" s="6"/>
      <c r="H22" s="11">
        <f>+STAT2!V22</f>
        <v>0</v>
      </c>
      <c r="I22" s="11">
        <f>+STAT2!W22</f>
        <v>0</v>
      </c>
      <c r="J22" s="11">
        <f>+SUMIFS(JURNAL!G:G,JURNAL!E:E,C22,JURNAL!C:C,"&gt;="&amp;$H$1,JURNAL!C:C,"&lt;="&amp;$I$1)</f>
        <v>0</v>
      </c>
      <c r="K22" s="11">
        <f>+SUMIFS(JURNAL!H:H,JURNAL!E:E,C22,JURNAL!C:C,"&gt;="&amp;$H$1,JURNAL!C:C,"&lt;="&amp;$I$1)</f>
        <v>0</v>
      </c>
      <c r="L22" s="26">
        <f t="shared" si="2"/>
        <v>0</v>
      </c>
      <c r="M22" s="27">
        <f t="shared" si="0"/>
        <v>0</v>
      </c>
      <c r="N22" s="11"/>
      <c r="O22" s="190"/>
      <c r="P22" s="27"/>
      <c r="Q22" s="11"/>
      <c r="R22" s="26">
        <f t="shared" si="3"/>
        <v>0</v>
      </c>
      <c r="S22" s="27">
        <f t="shared" si="4"/>
        <v>0</v>
      </c>
      <c r="T22" s="11"/>
      <c r="U22" s="11"/>
      <c r="V22" s="415">
        <f t="shared" si="5"/>
        <v>0</v>
      </c>
      <c r="W22" s="379">
        <f t="shared" si="1"/>
        <v>0</v>
      </c>
      <c r="X22" s="4">
        <v>1102</v>
      </c>
      <c r="Y22" s="4"/>
      <c r="Z22" s="4"/>
      <c r="AA22" s="12">
        <f t="shared" si="6"/>
        <v>0</v>
      </c>
      <c r="AC22" s="79"/>
      <c r="AD22" s="79"/>
      <c r="AE22" s="79"/>
      <c r="AF22" s="79"/>
    </row>
    <row r="23" spans="1:32" ht="12.75" customHeight="1">
      <c r="A23" s="24"/>
      <c r="B23" s="108">
        <f t="shared" si="7"/>
        <v>20</v>
      </c>
      <c r="C23" s="6">
        <v>120400</v>
      </c>
      <c r="D23" s="121" t="s">
        <v>543</v>
      </c>
      <c r="E23" s="9" t="s">
        <v>32</v>
      </c>
      <c r="F23" s="6"/>
      <c r="G23" s="6"/>
      <c r="H23" s="11">
        <f>+STAT2!V23</f>
        <v>0</v>
      </c>
      <c r="I23" s="11">
        <f>+STAT2!W23</f>
        <v>0</v>
      </c>
      <c r="J23" s="11">
        <f>+SUMIFS(JURNAL!G:G,JURNAL!E:E,C23,JURNAL!C:C,"&gt;="&amp;$H$1,JURNAL!C:C,"&lt;="&amp;$I$1)</f>
        <v>0</v>
      </c>
      <c r="K23" s="11">
        <f>+SUMIFS(JURNAL!H:H,JURNAL!E:E,C23,JURNAL!C:C,"&gt;="&amp;$H$1,JURNAL!C:C,"&lt;="&amp;$I$1)</f>
        <v>0</v>
      </c>
      <c r="L23" s="26">
        <f t="shared" si="2"/>
        <v>0</v>
      </c>
      <c r="M23" s="27">
        <f t="shared" si="0"/>
        <v>0</v>
      </c>
      <c r="N23" s="11"/>
      <c r="O23" s="190"/>
      <c r="P23" s="27"/>
      <c r="Q23" s="11"/>
      <c r="R23" s="26">
        <f t="shared" si="3"/>
        <v>0</v>
      </c>
      <c r="S23" s="27">
        <f t="shared" si="4"/>
        <v>0</v>
      </c>
      <c r="T23" s="11"/>
      <c r="U23" s="11"/>
      <c r="V23" s="415">
        <f t="shared" si="5"/>
        <v>0</v>
      </c>
      <c r="W23" s="379">
        <f t="shared" si="1"/>
        <v>0</v>
      </c>
      <c r="X23" s="4">
        <v>1104</v>
      </c>
      <c r="Y23" s="4"/>
      <c r="Z23" s="4"/>
      <c r="AA23" s="12">
        <f t="shared" si="6"/>
        <v>0</v>
      </c>
      <c r="AC23" s="79"/>
      <c r="AD23" s="79"/>
      <c r="AE23" s="79"/>
      <c r="AF23" s="79"/>
    </row>
    <row r="24" spans="1:32" ht="12.75" customHeight="1">
      <c r="A24" s="24"/>
      <c r="B24" s="108">
        <f t="shared" si="7"/>
        <v>21</v>
      </c>
      <c r="C24" s="6">
        <v>120401</v>
      </c>
      <c r="D24" s="121" t="s">
        <v>950</v>
      </c>
      <c r="E24" s="9" t="s">
        <v>30</v>
      </c>
      <c r="F24" s="6"/>
      <c r="G24" s="6"/>
      <c r="H24" s="11">
        <f>+STAT2!V24</f>
        <v>0</v>
      </c>
      <c r="I24" s="11">
        <f>+STAT2!W24</f>
        <v>0</v>
      </c>
      <c r="J24" s="11">
        <f>+SUMIFS(JURNAL!G:G,JURNAL!E:E,C24,JURNAL!C:C,"&gt;="&amp;$H$1,JURNAL!C:C,"&lt;="&amp;$I$1)</f>
        <v>0</v>
      </c>
      <c r="K24" s="11">
        <f>+SUMIFS(JURNAL!H:H,JURNAL!E:E,C24,JURNAL!C:C,"&gt;="&amp;$H$1,JURNAL!C:C,"&lt;="&amp;$I$1)</f>
        <v>0</v>
      </c>
      <c r="L24" s="26">
        <f t="shared" si="2"/>
        <v>0</v>
      </c>
      <c r="M24" s="27">
        <f t="shared" si="0"/>
        <v>0</v>
      </c>
      <c r="N24" s="11"/>
      <c r="O24" s="190"/>
      <c r="P24" s="27"/>
      <c r="Q24" s="11"/>
      <c r="R24" s="26">
        <f t="shared" si="3"/>
        <v>0</v>
      </c>
      <c r="S24" s="27">
        <f t="shared" si="4"/>
        <v>0</v>
      </c>
      <c r="T24" s="11"/>
      <c r="U24" s="11"/>
      <c r="V24" s="415">
        <f t="shared" si="5"/>
        <v>0</v>
      </c>
      <c r="W24" s="379">
        <f t="shared" si="1"/>
        <v>0</v>
      </c>
      <c r="X24" s="4">
        <v>1104</v>
      </c>
      <c r="Y24" s="4"/>
      <c r="Z24" s="4"/>
      <c r="AA24" s="12">
        <f t="shared" si="6"/>
        <v>0</v>
      </c>
      <c r="AC24" s="79"/>
      <c r="AD24" s="79"/>
      <c r="AE24" s="79"/>
      <c r="AF24" s="79"/>
    </row>
    <row r="25" spans="1:32" ht="12.75" customHeight="1">
      <c r="A25" s="24"/>
      <c r="B25" s="108">
        <f t="shared" si="7"/>
        <v>22</v>
      </c>
      <c r="C25" s="6">
        <v>120600</v>
      </c>
      <c r="D25" s="121" t="s">
        <v>548</v>
      </c>
      <c r="E25" s="9" t="s">
        <v>32</v>
      </c>
      <c r="F25" s="6"/>
      <c r="G25" s="6"/>
      <c r="H25" s="11">
        <f>+STAT2!V25</f>
        <v>0</v>
      </c>
      <c r="I25" s="11">
        <f>+STAT2!W25</f>
        <v>0</v>
      </c>
      <c r="J25" s="11">
        <f>+SUMIFS(JURNAL!G:G,JURNAL!E:E,C25,JURNAL!C:C,"&gt;="&amp;$H$1,JURNAL!C:C,"&lt;="&amp;$I$1)</f>
        <v>2100712.0881818184</v>
      </c>
      <c r="K25" s="11">
        <f>+SUMIFS(JURNAL!H:H,JURNAL!E:E,C25,JURNAL!C:C,"&gt;="&amp;$H$1,JURNAL!C:C,"&lt;="&amp;$I$1)</f>
        <v>0</v>
      </c>
      <c r="L25" s="26">
        <f t="shared" si="2"/>
        <v>2100712.0881818184</v>
      </c>
      <c r="M25" s="27">
        <f t="shared" si="0"/>
        <v>0</v>
      </c>
      <c r="N25" s="11"/>
      <c r="O25" s="11">
        <v>2100712.09</v>
      </c>
      <c r="P25" s="27"/>
      <c r="Q25" s="11"/>
      <c r="R25" s="26">
        <f t="shared" si="3"/>
        <v>0</v>
      </c>
      <c r="S25" s="27">
        <f t="shared" si="4"/>
        <v>1.8181814812123775E-3</v>
      </c>
      <c r="T25" s="11"/>
      <c r="U25" s="11"/>
      <c r="V25" s="415">
        <f t="shared" si="5"/>
        <v>0</v>
      </c>
      <c r="W25" s="379">
        <f t="shared" si="1"/>
        <v>1.8181814812123775E-3</v>
      </c>
      <c r="X25" s="4">
        <v>1103</v>
      </c>
      <c r="Y25" s="4"/>
      <c r="Z25" s="4"/>
      <c r="AA25" s="12">
        <f t="shared" si="6"/>
        <v>1</v>
      </c>
      <c r="AC25" s="79"/>
      <c r="AD25" s="79"/>
      <c r="AE25" s="79"/>
      <c r="AF25" s="79"/>
    </row>
    <row r="26" spans="1:32" ht="12.75" customHeight="1">
      <c r="A26" s="24"/>
      <c r="B26" s="108">
        <f t="shared" si="7"/>
        <v>23</v>
      </c>
      <c r="C26" s="6">
        <v>120700</v>
      </c>
      <c r="D26" s="121" t="s">
        <v>553</v>
      </c>
      <c r="E26" s="9" t="s">
        <v>32</v>
      </c>
      <c r="F26" s="6"/>
      <c r="G26" s="6"/>
      <c r="H26" s="11">
        <f>+STAT2!V26</f>
        <v>99989.61</v>
      </c>
      <c r="I26" s="11">
        <f>+STAT2!W26</f>
        <v>0</v>
      </c>
      <c r="J26" s="11">
        <f>+SUMIFS(JURNAL!G:G,JURNAL!E:E,C26,JURNAL!C:C,"&gt;="&amp;$H$1,JURNAL!C:C,"&lt;="&amp;$I$1)</f>
        <v>0</v>
      </c>
      <c r="K26" s="11">
        <f>+SUMIFS(JURNAL!H:H,JURNAL!E:E,C26,JURNAL!C:C,"&gt;="&amp;$H$1,JURNAL!C:C,"&lt;="&amp;$I$1)</f>
        <v>0</v>
      </c>
      <c r="L26" s="26">
        <f t="shared" si="2"/>
        <v>99989.61</v>
      </c>
      <c r="M26" s="27">
        <f t="shared" si="0"/>
        <v>0</v>
      </c>
      <c r="N26" s="11"/>
      <c r="O26" s="190"/>
      <c r="P26" s="27"/>
      <c r="Q26" s="11"/>
      <c r="R26" s="26">
        <f t="shared" si="3"/>
        <v>99989.61</v>
      </c>
      <c r="S26" s="27">
        <f t="shared" si="4"/>
        <v>0</v>
      </c>
      <c r="T26" s="11"/>
      <c r="U26" s="11"/>
      <c r="V26" s="415">
        <f t="shared" si="5"/>
        <v>99989.61</v>
      </c>
      <c r="W26" s="379">
        <f t="shared" si="1"/>
        <v>0</v>
      </c>
      <c r="X26" s="4">
        <v>1103</v>
      </c>
      <c r="Y26" s="4"/>
      <c r="Z26" s="4"/>
      <c r="AA26" s="12">
        <f t="shared" si="6"/>
        <v>1</v>
      </c>
      <c r="AC26" s="79"/>
      <c r="AD26" s="79"/>
      <c r="AE26" s="79"/>
      <c r="AF26" s="79"/>
    </row>
    <row r="27" spans="1:32" ht="12.75" customHeight="1">
      <c r="A27" s="24"/>
      <c r="B27" s="108">
        <f t="shared" si="7"/>
        <v>24</v>
      </c>
      <c r="C27" s="6">
        <v>120800</v>
      </c>
      <c r="D27" s="121" t="s">
        <v>558</v>
      </c>
      <c r="E27" s="9" t="s">
        <v>32</v>
      </c>
      <c r="F27" s="6"/>
      <c r="G27" s="6"/>
      <c r="H27" s="11">
        <f>+STAT2!V27</f>
        <v>0</v>
      </c>
      <c r="I27" s="11">
        <f>+STAT2!W27</f>
        <v>0</v>
      </c>
      <c r="J27" s="11">
        <f>+SUMIFS(JURNAL!G:G,JURNAL!E:E,C27,JURNAL!C:C,"&gt;="&amp;$H$1,JURNAL!C:C,"&lt;="&amp;$I$1)</f>
        <v>0</v>
      </c>
      <c r="K27" s="11">
        <f>+SUMIFS(JURNAL!H:H,JURNAL!E:E,C27,JURNAL!C:C,"&gt;="&amp;$H$1,JURNAL!C:C,"&lt;="&amp;$I$1)</f>
        <v>0</v>
      </c>
      <c r="L27" s="26">
        <f t="shared" si="2"/>
        <v>0</v>
      </c>
      <c r="M27" s="27">
        <f t="shared" si="0"/>
        <v>0</v>
      </c>
      <c r="N27" s="11"/>
      <c r="O27" s="190"/>
      <c r="P27" s="27"/>
      <c r="Q27" s="11"/>
      <c r="R27" s="26">
        <f t="shared" si="3"/>
        <v>0</v>
      </c>
      <c r="S27" s="27">
        <f t="shared" si="4"/>
        <v>0</v>
      </c>
      <c r="T27" s="11"/>
      <c r="U27" s="11"/>
      <c r="V27" s="415">
        <f t="shared" si="5"/>
        <v>0</v>
      </c>
      <c r="W27" s="379">
        <f t="shared" si="1"/>
        <v>0</v>
      </c>
      <c r="X27" s="4">
        <v>1103</v>
      </c>
      <c r="Y27" s="4"/>
      <c r="Z27" s="4"/>
      <c r="AA27" s="12">
        <f t="shared" si="6"/>
        <v>0</v>
      </c>
      <c r="AC27" s="79"/>
      <c r="AD27" s="79"/>
      <c r="AE27" s="79"/>
      <c r="AF27" s="79"/>
    </row>
    <row r="28" spans="1:32" ht="12.75" customHeight="1">
      <c r="A28" s="24"/>
      <c r="B28" s="108">
        <f t="shared" si="7"/>
        <v>25</v>
      </c>
      <c r="C28" s="6">
        <v>120900</v>
      </c>
      <c r="D28" s="121" t="s">
        <v>563</v>
      </c>
      <c r="E28" s="9" t="s">
        <v>32</v>
      </c>
      <c r="F28" s="6"/>
      <c r="G28" s="6"/>
      <c r="H28" s="11">
        <f>+STAT2!V28</f>
        <v>0</v>
      </c>
      <c r="I28" s="11">
        <f>+STAT2!W28</f>
        <v>0</v>
      </c>
      <c r="J28" s="11">
        <f>+SUMIFS(JURNAL!G:G,JURNAL!E:E,C28,JURNAL!C:C,"&gt;="&amp;$H$1,JURNAL!C:C,"&lt;="&amp;$I$1)</f>
        <v>10000000</v>
      </c>
      <c r="K28" s="11">
        <f>+SUMIFS(JURNAL!H:H,JURNAL!E:E,C28,JURNAL!C:C,"&gt;="&amp;$H$1,JURNAL!C:C,"&lt;="&amp;$I$1)</f>
        <v>0</v>
      </c>
      <c r="L28" s="26">
        <f t="shared" si="2"/>
        <v>10000000</v>
      </c>
      <c r="M28" s="27">
        <f t="shared" si="0"/>
        <v>0</v>
      </c>
      <c r="N28" s="11"/>
      <c r="O28" s="190">
        <v>10000000</v>
      </c>
      <c r="P28" s="27"/>
      <c r="Q28" s="11"/>
      <c r="R28" s="26">
        <f t="shared" si="3"/>
        <v>0</v>
      </c>
      <c r="S28" s="27">
        <f t="shared" si="4"/>
        <v>0</v>
      </c>
      <c r="T28" s="11"/>
      <c r="U28" s="11"/>
      <c r="V28" s="415">
        <f t="shared" si="5"/>
        <v>0</v>
      </c>
      <c r="W28" s="379">
        <f t="shared" si="1"/>
        <v>0</v>
      </c>
      <c r="X28" s="4">
        <v>1103</v>
      </c>
      <c r="Y28" s="4"/>
      <c r="Z28" s="4"/>
      <c r="AA28" s="12">
        <f t="shared" si="6"/>
        <v>1</v>
      </c>
      <c r="AC28" s="79"/>
      <c r="AD28" s="79"/>
      <c r="AE28" s="79"/>
      <c r="AF28" s="79"/>
    </row>
    <row r="29" spans="1:32" ht="12.75" customHeight="1">
      <c r="A29" s="24"/>
      <c r="B29" s="108">
        <f t="shared" si="7"/>
        <v>26</v>
      </c>
      <c r="C29" s="6">
        <v>121000</v>
      </c>
      <c r="D29" s="121" t="s">
        <v>568</v>
      </c>
      <c r="E29" s="9" t="s">
        <v>32</v>
      </c>
      <c r="F29" s="6"/>
      <c r="G29" s="6"/>
      <c r="H29" s="11">
        <f>+STAT2!V29</f>
        <v>0</v>
      </c>
      <c r="I29" s="11">
        <f>+STAT2!W29</f>
        <v>0</v>
      </c>
      <c r="J29" s="11">
        <f>+SUMIFS(JURNAL!G:G,JURNAL!E:E,C29,JURNAL!C:C,"&gt;="&amp;$H$1,JURNAL!C:C,"&lt;="&amp;$I$1)</f>
        <v>0</v>
      </c>
      <c r="K29" s="11">
        <f>+SUMIFS(JURNAL!H:H,JURNAL!E:E,C29,JURNAL!C:C,"&gt;="&amp;$H$1,JURNAL!C:C,"&lt;="&amp;$I$1)</f>
        <v>0</v>
      </c>
      <c r="L29" s="26">
        <f t="shared" si="2"/>
        <v>0</v>
      </c>
      <c r="M29" s="27">
        <f t="shared" si="0"/>
        <v>0</v>
      </c>
      <c r="N29" s="11"/>
      <c r="O29" s="190"/>
      <c r="P29" s="27"/>
      <c r="Q29" s="11"/>
      <c r="R29" s="26">
        <f t="shared" si="3"/>
        <v>0</v>
      </c>
      <c r="S29" s="27">
        <f t="shared" si="4"/>
        <v>0</v>
      </c>
      <c r="T29" s="11"/>
      <c r="U29" s="11"/>
      <c r="V29" s="415">
        <f t="shared" si="5"/>
        <v>0</v>
      </c>
      <c r="W29" s="379">
        <f t="shared" si="1"/>
        <v>0</v>
      </c>
      <c r="X29" s="4">
        <v>1103</v>
      </c>
      <c r="Y29" s="4"/>
      <c r="Z29" s="4"/>
      <c r="AA29" s="12">
        <f t="shared" si="6"/>
        <v>0</v>
      </c>
      <c r="AC29" s="79"/>
      <c r="AD29" s="79"/>
      <c r="AE29" s="79"/>
      <c r="AF29" s="79"/>
    </row>
    <row r="30" spans="1:32" ht="12.75" customHeight="1">
      <c r="A30" s="24"/>
      <c r="B30" s="108">
        <f t="shared" si="7"/>
        <v>27</v>
      </c>
      <c r="C30" s="6">
        <v>121100</v>
      </c>
      <c r="D30" s="121" t="s">
        <v>573</v>
      </c>
      <c r="E30" s="9" t="s">
        <v>32</v>
      </c>
      <c r="F30" s="6"/>
      <c r="G30" s="6"/>
      <c r="H30" s="11">
        <f>+STAT2!V30</f>
        <v>0</v>
      </c>
      <c r="I30" s="11">
        <f>+STAT2!W30</f>
        <v>0</v>
      </c>
      <c r="J30" s="11">
        <f>+SUMIFS(JURNAL!G:G,JURNAL!E:E,C30,JURNAL!C:C,"&gt;="&amp;$H$1,JURNAL!C:C,"&lt;="&amp;$I$1)</f>
        <v>0</v>
      </c>
      <c r="K30" s="11">
        <f>+SUMIFS(JURNAL!H:H,JURNAL!E:E,C30,JURNAL!C:C,"&gt;="&amp;$H$1,JURNAL!C:C,"&lt;="&amp;$I$1)</f>
        <v>0</v>
      </c>
      <c r="L30" s="26">
        <f t="shared" si="2"/>
        <v>0</v>
      </c>
      <c r="M30" s="27">
        <f t="shared" si="0"/>
        <v>0</v>
      </c>
      <c r="N30" s="11"/>
      <c r="O30" s="190"/>
      <c r="P30" s="27"/>
      <c r="Q30" s="11"/>
      <c r="R30" s="26">
        <f t="shared" si="3"/>
        <v>0</v>
      </c>
      <c r="S30" s="27">
        <f t="shared" si="4"/>
        <v>0</v>
      </c>
      <c r="T30" s="11"/>
      <c r="U30" s="11"/>
      <c r="V30" s="415">
        <f t="shared" si="5"/>
        <v>0</v>
      </c>
      <c r="W30" s="379">
        <f t="shared" si="1"/>
        <v>0</v>
      </c>
      <c r="X30" s="4">
        <v>1104</v>
      </c>
      <c r="Y30" s="4"/>
      <c r="Z30" s="4"/>
      <c r="AA30" s="12">
        <f t="shared" si="6"/>
        <v>0</v>
      </c>
      <c r="AC30" s="79"/>
      <c r="AD30" s="79"/>
      <c r="AE30" s="79"/>
      <c r="AF30" s="79"/>
    </row>
    <row r="31" spans="1:32" ht="12.75" customHeight="1">
      <c r="A31" s="24"/>
      <c r="B31" s="108">
        <f t="shared" si="7"/>
        <v>28</v>
      </c>
      <c r="C31" s="6">
        <v>121200</v>
      </c>
      <c r="D31" s="121" t="s">
        <v>951</v>
      </c>
      <c r="E31" s="9" t="s">
        <v>32</v>
      </c>
      <c r="F31" s="6"/>
      <c r="G31" s="6"/>
      <c r="H31" s="11">
        <f>+STAT2!V31</f>
        <v>0</v>
      </c>
      <c r="I31" s="11">
        <f>+STAT2!W31</f>
        <v>0</v>
      </c>
      <c r="J31" s="11">
        <f>+SUMIFS(JURNAL!G:G,JURNAL!E:E,C31,JURNAL!C:C,"&gt;="&amp;$H$1,JURNAL!C:C,"&lt;="&amp;$I$1)</f>
        <v>7978600</v>
      </c>
      <c r="K31" s="11">
        <f>+SUMIFS(JURNAL!H:H,JURNAL!E:E,C31,JURNAL!C:C,"&gt;="&amp;$H$1,JURNAL!C:C,"&lt;="&amp;$I$1)</f>
        <v>7978600</v>
      </c>
      <c r="L31" s="26">
        <f t="shared" si="2"/>
        <v>0</v>
      </c>
      <c r="M31" s="27">
        <f t="shared" si="0"/>
        <v>0</v>
      </c>
      <c r="N31" s="11"/>
      <c r="O31" s="190"/>
      <c r="P31" s="27"/>
      <c r="Q31" s="11"/>
      <c r="R31" s="26">
        <f t="shared" si="3"/>
        <v>0</v>
      </c>
      <c r="S31" s="27">
        <f t="shared" si="4"/>
        <v>0</v>
      </c>
      <c r="T31" s="11"/>
      <c r="U31" s="11"/>
      <c r="V31" s="415">
        <f t="shared" si="5"/>
        <v>0</v>
      </c>
      <c r="W31" s="379">
        <f t="shared" si="1"/>
        <v>0</v>
      </c>
      <c r="X31" s="4">
        <v>1104</v>
      </c>
      <c r="Y31" s="4"/>
      <c r="Z31" s="4"/>
      <c r="AA31" s="12">
        <f t="shared" si="6"/>
        <v>1</v>
      </c>
      <c r="AC31" s="79"/>
      <c r="AD31" s="79"/>
      <c r="AE31" s="79"/>
      <c r="AF31" s="79"/>
    </row>
    <row r="32" spans="1:32" ht="12.75" customHeight="1">
      <c r="A32" s="24"/>
      <c r="B32" s="108">
        <f t="shared" si="7"/>
        <v>29</v>
      </c>
      <c r="C32" s="6">
        <v>122000</v>
      </c>
      <c r="D32" s="121" t="s">
        <v>952</v>
      </c>
      <c r="E32" s="9" t="s">
        <v>32</v>
      </c>
      <c r="F32" s="6"/>
      <c r="G32" s="6"/>
      <c r="H32" s="11">
        <f>+STAT2!V32</f>
        <v>0</v>
      </c>
      <c r="I32" s="11">
        <f>+STAT2!W32</f>
        <v>0</v>
      </c>
      <c r="J32" s="11">
        <f>+SUMIFS(JURNAL!G:G,JURNAL!E:E,C32,JURNAL!C:C,"&gt;="&amp;$H$1,JURNAL!C:C,"&lt;="&amp;$I$1)</f>
        <v>0</v>
      </c>
      <c r="K32" s="11">
        <f>+SUMIFS(JURNAL!H:H,JURNAL!E:E,C32,JURNAL!C:C,"&gt;="&amp;$H$1,JURNAL!C:C,"&lt;="&amp;$I$1)</f>
        <v>0</v>
      </c>
      <c r="L32" s="26">
        <f t="shared" si="2"/>
        <v>0</v>
      </c>
      <c r="M32" s="27">
        <f t="shared" si="0"/>
        <v>0</v>
      </c>
      <c r="N32" s="11"/>
      <c r="O32" s="190"/>
      <c r="P32" s="27"/>
      <c r="Q32" s="11"/>
      <c r="R32" s="26">
        <f t="shared" si="3"/>
        <v>0</v>
      </c>
      <c r="S32" s="27">
        <f t="shared" si="4"/>
        <v>0</v>
      </c>
      <c r="T32" s="11"/>
      <c r="U32" s="11"/>
      <c r="V32" s="415">
        <f t="shared" si="5"/>
        <v>0</v>
      </c>
      <c r="W32" s="379">
        <f t="shared" si="1"/>
        <v>0</v>
      </c>
      <c r="X32" s="4">
        <v>1104</v>
      </c>
      <c r="Y32" s="4"/>
      <c r="Z32" s="4"/>
      <c r="AA32" s="12">
        <f t="shared" si="6"/>
        <v>0</v>
      </c>
      <c r="AC32" s="79"/>
      <c r="AD32" s="79"/>
      <c r="AE32" s="79"/>
      <c r="AF32" s="79"/>
    </row>
    <row r="33" spans="1:32" ht="12.75" customHeight="1">
      <c r="A33" s="24"/>
      <c r="B33" s="108">
        <f t="shared" si="7"/>
        <v>30</v>
      </c>
      <c r="C33" s="6">
        <v>122001</v>
      </c>
      <c r="D33" s="121" t="s">
        <v>953</v>
      </c>
      <c r="E33" s="9" t="s">
        <v>30</v>
      </c>
      <c r="F33" s="6"/>
      <c r="G33" s="6"/>
      <c r="H33" s="11">
        <f>+STAT2!V33</f>
        <v>0</v>
      </c>
      <c r="I33" s="11">
        <f>+STAT2!W33</f>
        <v>0</v>
      </c>
      <c r="J33" s="11">
        <f>+SUMIFS(JURNAL!G:G,JURNAL!E:E,C33,JURNAL!C:C,"&gt;="&amp;$H$1,JURNAL!C:C,"&lt;="&amp;$I$1)</f>
        <v>0</v>
      </c>
      <c r="K33" s="11">
        <f>+SUMIFS(JURNAL!H:H,JURNAL!E:E,C33,JURNAL!C:C,"&gt;="&amp;$H$1,JURNAL!C:C,"&lt;="&amp;$I$1)</f>
        <v>0</v>
      </c>
      <c r="L33" s="26">
        <f t="shared" si="2"/>
        <v>0</v>
      </c>
      <c r="M33" s="27">
        <f t="shared" si="0"/>
        <v>0</v>
      </c>
      <c r="N33" s="11"/>
      <c r="O33" s="190"/>
      <c r="P33" s="27"/>
      <c r="Q33" s="11"/>
      <c r="R33" s="26">
        <f t="shared" si="3"/>
        <v>0</v>
      </c>
      <c r="S33" s="27">
        <f t="shared" si="4"/>
        <v>0</v>
      </c>
      <c r="T33" s="11"/>
      <c r="U33" s="11"/>
      <c r="V33" s="415">
        <f t="shared" si="5"/>
        <v>0</v>
      </c>
      <c r="W33" s="379">
        <f t="shared" si="1"/>
        <v>0</v>
      </c>
      <c r="X33" s="4">
        <v>1104</v>
      </c>
      <c r="Y33" s="4"/>
      <c r="Z33" s="4"/>
      <c r="AA33" s="12">
        <f t="shared" si="6"/>
        <v>0</v>
      </c>
      <c r="AC33" s="79"/>
      <c r="AD33" s="79"/>
      <c r="AE33" s="79"/>
      <c r="AF33" s="79"/>
    </row>
    <row r="34" spans="1:32" ht="12.75" customHeight="1">
      <c r="A34" s="24"/>
      <c r="B34" s="108">
        <f t="shared" si="7"/>
        <v>31</v>
      </c>
      <c r="C34" s="6">
        <v>130100</v>
      </c>
      <c r="D34" s="121" t="s">
        <v>582</v>
      </c>
      <c r="E34" s="9" t="s">
        <v>32</v>
      </c>
      <c r="F34" s="6"/>
      <c r="G34" s="6"/>
      <c r="H34" s="11">
        <f>+STAT2!V34</f>
        <v>0</v>
      </c>
      <c r="I34" s="11">
        <f>+STAT2!W34</f>
        <v>0</v>
      </c>
      <c r="J34" s="11">
        <f>+SUMIFS(JURNAL!G:G,JURNAL!E:E,C34,JURNAL!C:C,"&gt;="&amp;$H$1,JURNAL!C:C,"&lt;="&amp;$I$1)</f>
        <v>0</v>
      </c>
      <c r="K34" s="11">
        <f>+SUMIFS(JURNAL!H:H,JURNAL!E:E,C34,JURNAL!C:C,"&gt;="&amp;$H$1,JURNAL!C:C,"&lt;="&amp;$I$1)</f>
        <v>0</v>
      </c>
      <c r="L34" s="26">
        <f t="shared" si="2"/>
        <v>0</v>
      </c>
      <c r="M34" s="27">
        <f t="shared" si="0"/>
        <v>0</v>
      </c>
      <c r="N34" s="11"/>
      <c r="O34" s="190"/>
      <c r="P34" s="27"/>
      <c r="Q34" s="11"/>
      <c r="R34" s="26">
        <f t="shared" si="3"/>
        <v>0</v>
      </c>
      <c r="S34" s="27">
        <f t="shared" si="4"/>
        <v>0</v>
      </c>
      <c r="T34" s="11"/>
      <c r="U34" s="11"/>
      <c r="V34" s="415">
        <f t="shared" si="5"/>
        <v>0</v>
      </c>
      <c r="W34" s="379">
        <f t="shared" si="1"/>
        <v>0</v>
      </c>
      <c r="X34" s="4">
        <v>1105</v>
      </c>
      <c r="Y34" s="4"/>
      <c r="Z34" s="4"/>
      <c r="AA34" s="12">
        <f t="shared" si="6"/>
        <v>0</v>
      </c>
      <c r="AC34" s="79"/>
      <c r="AD34" s="79"/>
      <c r="AE34" s="79"/>
      <c r="AF34" s="79"/>
    </row>
    <row r="35" spans="1:32" ht="12.75" customHeight="1">
      <c r="A35" s="24"/>
      <c r="B35" s="108">
        <f t="shared" si="7"/>
        <v>32</v>
      </c>
      <c r="C35" s="6">
        <v>130500</v>
      </c>
      <c r="D35" s="121" t="s">
        <v>586</v>
      </c>
      <c r="E35" s="9" t="s">
        <v>32</v>
      </c>
      <c r="F35" s="6"/>
      <c r="G35" s="6"/>
      <c r="H35" s="11">
        <f>+STAT2!V35</f>
        <v>0</v>
      </c>
      <c r="I35" s="11">
        <f>+STAT2!W35</f>
        <v>0</v>
      </c>
      <c r="J35" s="11">
        <f>+SUMIFS(JURNAL!G:G,JURNAL!E:E,C35,JURNAL!C:C,"&gt;="&amp;$H$1,JURNAL!C:C,"&lt;="&amp;$I$1)</f>
        <v>0</v>
      </c>
      <c r="K35" s="11">
        <f>+SUMIFS(JURNAL!H:H,JURNAL!E:E,C35,JURNAL!C:C,"&gt;="&amp;$H$1,JURNAL!C:C,"&lt;="&amp;$I$1)</f>
        <v>0</v>
      </c>
      <c r="L35" s="26">
        <f t="shared" si="2"/>
        <v>0</v>
      </c>
      <c r="M35" s="27">
        <f t="shared" si="0"/>
        <v>0</v>
      </c>
      <c r="N35" s="11"/>
      <c r="O35" s="190"/>
      <c r="P35" s="27"/>
      <c r="Q35" s="11"/>
      <c r="R35" s="26">
        <f t="shared" si="3"/>
        <v>0</v>
      </c>
      <c r="S35" s="27">
        <f t="shared" si="4"/>
        <v>0</v>
      </c>
      <c r="T35" s="11"/>
      <c r="U35" s="11"/>
      <c r="V35" s="415">
        <f t="shared" si="5"/>
        <v>0</v>
      </c>
      <c r="W35" s="379">
        <f t="shared" si="1"/>
        <v>0</v>
      </c>
      <c r="X35" s="4">
        <v>1105</v>
      </c>
      <c r="Y35" s="4"/>
      <c r="Z35" s="4"/>
      <c r="AA35" s="12">
        <f t="shared" si="6"/>
        <v>0</v>
      </c>
      <c r="AC35" s="79"/>
      <c r="AD35" s="79"/>
      <c r="AE35" s="79"/>
      <c r="AF35" s="79"/>
    </row>
    <row r="36" spans="1:32" ht="12.75" customHeight="1">
      <c r="A36" s="24"/>
      <c r="B36" s="108">
        <f t="shared" si="7"/>
        <v>33</v>
      </c>
      <c r="C36" s="6">
        <v>140100</v>
      </c>
      <c r="D36" s="121" t="s">
        <v>591</v>
      </c>
      <c r="E36" s="9" t="s">
        <v>32</v>
      </c>
      <c r="F36" s="6"/>
      <c r="G36" s="6"/>
      <c r="H36" s="11">
        <f>+STAT2!V36</f>
        <v>0</v>
      </c>
      <c r="I36" s="11">
        <f>+STAT2!W36</f>
        <v>0</v>
      </c>
      <c r="J36" s="11">
        <f>+SUMIFS(JURNAL!G:G,JURNAL!E:E,C36,JURNAL!C:C,"&gt;="&amp;$H$1,JURNAL!C:C,"&lt;="&amp;$I$1)</f>
        <v>0</v>
      </c>
      <c r="K36" s="11">
        <f>+SUMIFS(JURNAL!H:H,JURNAL!E:E,C36,JURNAL!C:C,"&gt;="&amp;$H$1,JURNAL!C:C,"&lt;="&amp;$I$1)</f>
        <v>0</v>
      </c>
      <c r="L36" s="26">
        <f t="shared" si="2"/>
        <v>0</v>
      </c>
      <c r="M36" s="27">
        <f t="shared" si="0"/>
        <v>0</v>
      </c>
      <c r="N36" s="11"/>
      <c r="O36" s="190"/>
      <c r="P36" s="27"/>
      <c r="Q36" s="11"/>
      <c r="R36" s="26">
        <f t="shared" si="3"/>
        <v>0</v>
      </c>
      <c r="S36" s="27">
        <f t="shared" si="4"/>
        <v>0</v>
      </c>
      <c r="T36" s="11"/>
      <c r="U36" s="11"/>
      <c r="V36" s="415">
        <f t="shared" si="5"/>
        <v>0</v>
      </c>
      <c r="W36" s="379">
        <f t="shared" si="1"/>
        <v>0</v>
      </c>
      <c r="X36" s="4">
        <v>1107</v>
      </c>
      <c r="Y36" s="4"/>
      <c r="Z36" s="4"/>
      <c r="AA36" s="12">
        <f t="shared" si="6"/>
        <v>0</v>
      </c>
      <c r="AC36" s="79"/>
      <c r="AD36" s="79"/>
      <c r="AE36" s="79"/>
      <c r="AF36" s="79"/>
    </row>
    <row r="37" spans="1:32" ht="12.75" customHeight="1">
      <c r="A37" s="24"/>
      <c r="B37" s="108">
        <f t="shared" si="7"/>
        <v>34</v>
      </c>
      <c r="C37" s="6">
        <v>140200</v>
      </c>
      <c r="D37" s="121" t="s">
        <v>1545</v>
      </c>
      <c r="E37" s="9" t="s">
        <v>32</v>
      </c>
      <c r="F37" s="6"/>
      <c r="G37" s="6"/>
      <c r="H37" s="11">
        <f>+STAT2!V37</f>
        <v>0</v>
      </c>
      <c r="I37" s="11">
        <f>+STAT2!W37</f>
        <v>0</v>
      </c>
      <c r="J37" s="11">
        <f>+SUMIFS(JURNAL!G:G,JURNAL!E:E,C37,JURNAL!C:C,"&gt;="&amp;$H$1,JURNAL!C:C,"&lt;="&amp;$I$1)</f>
        <v>0</v>
      </c>
      <c r="K37" s="11">
        <f>+SUMIFS(JURNAL!H:H,JURNAL!E:E,C37,JURNAL!C:C,"&gt;="&amp;$H$1,JURNAL!C:C,"&lt;="&amp;$I$1)</f>
        <v>0</v>
      </c>
      <c r="L37" s="26">
        <f t="shared" si="2"/>
        <v>0</v>
      </c>
      <c r="M37" s="27">
        <f t="shared" si="0"/>
        <v>0</v>
      </c>
      <c r="N37" s="11"/>
      <c r="O37" s="190"/>
      <c r="P37" s="27"/>
      <c r="Q37" s="11"/>
      <c r="R37" s="26">
        <f t="shared" si="3"/>
        <v>0</v>
      </c>
      <c r="S37" s="27">
        <f t="shared" si="4"/>
        <v>0</v>
      </c>
      <c r="T37" s="11"/>
      <c r="U37" s="11"/>
      <c r="V37" s="415">
        <f t="shared" si="5"/>
        <v>0</v>
      </c>
      <c r="W37" s="379">
        <f t="shared" si="1"/>
        <v>0</v>
      </c>
      <c r="X37" s="4">
        <v>1107</v>
      </c>
      <c r="Y37" s="4"/>
      <c r="Z37" s="4"/>
      <c r="AA37" s="12">
        <f t="shared" si="6"/>
        <v>0</v>
      </c>
      <c r="AC37" s="79"/>
      <c r="AD37" s="79"/>
      <c r="AE37" s="79"/>
      <c r="AF37" s="79"/>
    </row>
    <row r="38" spans="1:32" ht="12.75" customHeight="1">
      <c r="A38" s="24"/>
      <c r="B38" s="108">
        <f t="shared" si="7"/>
        <v>35</v>
      </c>
      <c r="C38" s="6">
        <v>140201</v>
      </c>
      <c r="D38" s="121" t="s">
        <v>1546</v>
      </c>
      <c r="E38" s="9" t="s">
        <v>32</v>
      </c>
      <c r="F38" s="6"/>
      <c r="G38" s="6"/>
      <c r="H38" s="11">
        <f>+STAT2!V38</f>
        <v>0</v>
      </c>
      <c r="I38" s="11">
        <f>+STAT2!W38</f>
        <v>0</v>
      </c>
      <c r="J38" s="11">
        <f>+SUMIFS(JURNAL!G:G,JURNAL!E:E,C38,JURNAL!C:C,"&gt;="&amp;$H$1,JURNAL!C:C,"&lt;="&amp;$I$1)</f>
        <v>6527962.5800000001</v>
      </c>
      <c r="K38" s="11">
        <f>+SUMIFS(JURNAL!H:H,JURNAL!E:E,C38,JURNAL!C:C,"&gt;="&amp;$H$1,JURNAL!C:C,"&lt;="&amp;$I$1)</f>
        <v>6527962.5800000001</v>
      </c>
      <c r="L38" s="26">
        <f t="shared" si="2"/>
        <v>0</v>
      </c>
      <c r="M38" s="27">
        <f t="shared" si="0"/>
        <v>0</v>
      </c>
      <c r="N38" s="11"/>
      <c r="O38" s="190"/>
      <c r="P38" s="27"/>
      <c r="Q38" s="11"/>
      <c r="R38" s="26">
        <f t="shared" si="3"/>
        <v>0</v>
      </c>
      <c r="S38" s="27">
        <f t="shared" si="4"/>
        <v>0</v>
      </c>
      <c r="T38" s="11"/>
      <c r="U38" s="11"/>
      <c r="V38" s="415">
        <f t="shared" si="5"/>
        <v>0</v>
      </c>
      <c r="W38" s="379">
        <f t="shared" si="1"/>
        <v>0</v>
      </c>
      <c r="X38" s="4">
        <v>1107</v>
      </c>
      <c r="Y38" s="4"/>
      <c r="Z38" s="4"/>
      <c r="AA38" s="12">
        <f t="shared" si="6"/>
        <v>1</v>
      </c>
      <c r="AC38" s="79"/>
      <c r="AD38" s="79"/>
      <c r="AE38" s="79"/>
      <c r="AF38" s="79"/>
    </row>
    <row r="39" spans="1:32" ht="12.75" customHeight="1">
      <c r="A39" s="24"/>
      <c r="B39" s="108">
        <f t="shared" si="7"/>
        <v>36</v>
      </c>
      <c r="C39" s="6">
        <v>140202</v>
      </c>
      <c r="D39" s="121" t="s">
        <v>1547</v>
      </c>
      <c r="E39" s="9" t="s">
        <v>32</v>
      </c>
      <c r="F39" s="6"/>
      <c r="G39" s="6"/>
      <c r="H39" s="11">
        <f>+STAT2!V39</f>
        <v>0</v>
      </c>
      <c r="I39" s="11">
        <f>+STAT2!W39</f>
        <v>0</v>
      </c>
      <c r="J39" s="11">
        <f>+SUMIFS(JURNAL!G:G,JURNAL!E:E,C39,JURNAL!C:C,"&gt;="&amp;$H$1,JURNAL!C:C,"&lt;="&amp;$I$1)</f>
        <v>0</v>
      </c>
      <c r="K39" s="11">
        <f>+SUMIFS(JURNAL!H:H,JURNAL!E:E,C39,JURNAL!C:C,"&gt;="&amp;$H$1,JURNAL!C:C,"&lt;="&amp;$I$1)</f>
        <v>0</v>
      </c>
      <c r="L39" s="26">
        <f t="shared" si="2"/>
        <v>0</v>
      </c>
      <c r="M39" s="27">
        <f t="shared" si="0"/>
        <v>0</v>
      </c>
      <c r="N39" s="11"/>
      <c r="O39" s="190"/>
      <c r="P39" s="27"/>
      <c r="Q39" s="11"/>
      <c r="R39" s="26">
        <f t="shared" si="3"/>
        <v>0</v>
      </c>
      <c r="S39" s="27">
        <f t="shared" si="4"/>
        <v>0</v>
      </c>
      <c r="T39" s="11"/>
      <c r="U39" s="11"/>
      <c r="V39" s="415">
        <f t="shared" si="5"/>
        <v>0</v>
      </c>
      <c r="W39" s="379">
        <f t="shared" si="1"/>
        <v>0</v>
      </c>
      <c r="X39" s="4">
        <v>1107</v>
      </c>
      <c r="Y39" s="4"/>
      <c r="Z39" s="4"/>
      <c r="AA39" s="12">
        <f t="shared" si="6"/>
        <v>0</v>
      </c>
      <c r="AC39" s="79"/>
      <c r="AD39" s="79"/>
      <c r="AE39" s="79"/>
      <c r="AF39" s="79"/>
    </row>
    <row r="40" spans="1:32" ht="12.75" customHeight="1">
      <c r="A40" s="24"/>
      <c r="B40" s="108">
        <f t="shared" si="7"/>
        <v>37</v>
      </c>
      <c r="C40" s="6">
        <v>140300</v>
      </c>
      <c r="D40" s="121" t="s">
        <v>1548</v>
      </c>
      <c r="E40" s="9" t="s">
        <v>32</v>
      </c>
      <c r="F40" s="6"/>
      <c r="G40" s="6"/>
      <c r="H40" s="11">
        <f>+STAT2!V40</f>
        <v>0</v>
      </c>
      <c r="I40" s="11">
        <f>+STAT2!W40</f>
        <v>0</v>
      </c>
      <c r="J40" s="11">
        <f>+SUMIFS(JURNAL!G:G,JURNAL!E:E,C40,JURNAL!C:C,"&gt;="&amp;$H$1,JURNAL!C:C,"&lt;="&amp;$I$1)</f>
        <v>0</v>
      </c>
      <c r="K40" s="11">
        <f>+SUMIFS(JURNAL!H:H,JURNAL!E:E,C40,JURNAL!C:C,"&gt;="&amp;$H$1,JURNAL!C:C,"&lt;="&amp;$I$1)</f>
        <v>0</v>
      </c>
      <c r="L40" s="26">
        <f t="shared" si="2"/>
        <v>0</v>
      </c>
      <c r="M40" s="27">
        <f t="shared" si="0"/>
        <v>0</v>
      </c>
      <c r="N40" s="11"/>
      <c r="O40" s="190"/>
      <c r="P40" s="27"/>
      <c r="Q40" s="11"/>
      <c r="R40" s="26">
        <f t="shared" si="3"/>
        <v>0</v>
      </c>
      <c r="S40" s="27">
        <f t="shared" si="4"/>
        <v>0</v>
      </c>
      <c r="T40" s="11"/>
      <c r="U40" s="11"/>
      <c r="V40" s="415">
        <f t="shared" si="5"/>
        <v>0</v>
      </c>
      <c r="W40" s="379">
        <f t="shared" si="1"/>
        <v>0</v>
      </c>
      <c r="X40" s="4">
        <v>1107</v>
      </c>
      <c r="Y40" s="4"/>
      <c r="Z40" s="4"/>
      <c r="AA40" s="12">
        <f t="shared" si="6"/>
        <v>0</v>
      </c>
      <c r="AC40" s="79"/>
      <c r="AD40" s="79"/>
      <c r="AE40" s="79"/>
      <c r="AF40" s="79"/>
    </row>
    <row r="41" spans="1:32" ht="12.75" customHeight="1">
      <c r="A41" s="24"/>
      <c r="B41" s="108">
        <f t="shared" si="7"/>
        <v>38</v>
      </c>
      <c r="C41" s="6">
        <v>140301</v>
      </c>
      <c r="D41" s="121" t="s">
        <v>1549</v>
      </c>
      <c r="E41" s="9" t="s">
        <v>32</v>
      </c>
      <c r="F41" s="6"/>
      <c r="G41" s="6"/>
      <c r="H41" s="11">
        <f>+STAT2!V41</f>
        <v>0</v>
      </c>
      <c r="I41" s="11">
        <f>+STAT2!W41</f>
        <v>0</v>
      </c>
      <c r="J41" s="11">
        <f>+SUMIFS(JURNAL!G:G,JURNAL!E:E,C41,JURNAL!C:C,"&gt;="&amp;$H$1,JURNAL!C:C,"&lt;="&amp;$I$1)</f>
        <v>0</v>
      </c>
      <c r="K41" s="11">
        <f>+SUMIFS(JURNAL!H:H,JURNAL!E:E,C41,JURNAL!C:C,"&gt;="&amp;$H$1,JURNAL!C:C,"&lt;="&amp;$I$1)</f>
        <v>0</v>
      </c>
      <c r="L41" s="26">
        <f t="shared" si="2"/>
        <v>0</v>
      </c>
      <c r="M41" s="27">
        <f t="shared" si="0"/>
        <v>0</v>
      </c>
      <c r="N41" s="11"/>
      <c r="O41" s="190"/>
      <c r="P41" s="27"/>
      <c r="Q41" s="11"/>
      <c r="R41" s="26">
        <f t="shared" si="3"/>
        <v>0</v>
      </c>
      <c r="S41" s="27">
        <f t="shared" si="4"/>
        <v>0</v>
      </c>
      <c r="T41" s="11"/>
      <c r="U41" s="11"/>
      <c r="V41" s="415">
        <f t="shared" si="5"/>
        <v>0</v>
      </c>
      <c r="W41" s="379">
        <f t="shared" si="1"/>
        <v>0</v>
      </c>
      <c r="X41" s="4">
        <v>1107</v>
      </c>
      <c r="Y41" s="4"/>
      <c r="Z41" s="4"/>
      <c r="AA41" s="12">
        <f t="shared" si="6"/>
        <v>0</v>
      </c>
      <c r="AC41" s="79"/>
      <c r="AD41" s="79"/>
      <c r="AE41" s="79"/>
      <c r="AF41" s="79"/>
    </row>
    <row r="42" spans="1:32" ht="12.75" customHeight="1">
      <c r="A42" s="24"/>
      <c r="B42" s="108">
        <f t="shared" si="7"/>
        <v>39</v>
      </c>
      <c r="C42" s="6">
        <v>140302</v>
      </c>
      <c r="D42" s="121" t="s">
        <v>1550</v>
      </c>
      <c r="E42" s="9" t="s">
        <v>32</v>
      </c>
      <c r="F42" s="6"/>
      <c r="G42" s="6"/>
      <c r="H42" s="11">
        <f>+STAT2!V42</f>
        <v>0</v>
      </c>
      <c r="I42" s="11">
        <f>+STAT2!W42</f>
        <v>0</v>
      </c>
      <c r="J42" s="11">
        <f>+SUMIFS(JURNAL!G:G,JURNAL!E:E,C42,JURNAL!C:C,"&gt;="&amp;$H$1,JURNAL!C:C,"&lt;="&amp;$I$1)</f>
        <v>0</v>
      </c>
      <c r="K42" s="11">
        <f>+SUMIFS(JURNAL!H:H,JURNAL!E:E,C42,JURNAL!C:C,"&gt;="&amp;$H$1,JURNAL!C:C,"&lt;="&amp;$I$1)</f>
        <v>0</v>
      </c>
      <c r="L42" s="26">
        <f t="shared" si="2"/>
        <v>0</v>
      </c>
      <c r="M42" s="27">
        <f t="shared" si="0"/>
        <v>0</v>
      </c>
      <c r="N42" s="11"/>
      <c r="O42" s="190"/>
      <c r="P42" s="27"/>
      <c r="Q42" s="11"/>
      <c r="R42" s="26">
        <f t="shared" si="3"/>
        <v>0</v>
      </c>
      <c r="S42" s="27">
        <f t="shared" si="4"/>
        <v>0</v>
      </c>
      <c r="T42" s="11"/>
      <c r="U42" s="11"/>
      <c r="V42" s="415">
        <f t="shared" si="5"/>
        <v>0</v>
      </c>
      <c r="W42" s="379">
        <f t="shared" si="1"/>
        <v>0</v>
      </c>
      <c r="X42" s="4">
        <v>1107</v>
      </c>
      <c r="Y42" s="4"/>
      <c r="Z42" s="4"/>
      <c r="AA42" s="12">
        <f t="shared" si="6"/>
        <v>0</v>
      </c>
      <c r="AC42" s="79"/>
      <c r="AD42" s="79"/>
      <c r="AE42" s="79"/>
      <c r="AF42" s="79"/>
    </row>
    <row r="43" spans="1:32" ht="12.75" customHeight="1">
      <c r="A43" s="24"/>
      <c r="B43" s="108">
        <f t="shared" si="7"/>
        <v>40</v>
      </c>
      <c r="C43" s="6">
        <v>140400</v>
      </c>
      <c r="D43" s="121" t="s">
        <v>1551</v>
      </c>
      <c r="E43" s="9" t="s">
        <v>32</v>
      </c>
      <c r="F43" s="6"/>
      <c r="G43" s="6"/>
      <c r="H43" s="11">
        <f>+STAT2!V43</f>
        <v>0</v>
      </c>
      <c r="I43" s="11">
        <f>+STAT2!W43</f>
        <v>0</v>
      </c>
      <c r="J43" s="11">
        <f>+SUMIFS(JURNAL!G:G,JURNAL!E:E,C43,JURNAL!C:C,"&gt;="&amp;$H$1,JURNAL!C:C,"&lt;="&amp;$I$1)</f>
        <v>0</v>
      </c>
      <c r="K43" s="11">
        <f>+SUMIFS(JURNAL!H:H,JURNAL!E:E,C43,JURNAL!C:C,"&gt;="&amp;$H$1,JURNAL!C:C,"&lt;="&amp;$I$1)</f>
        <v>0</v>
      </c>
      <c r="L43" s="26">
        <f t="shared" si="2"/>
        <v>0</v>
      </c>
      <c r="M43" s="27">
        <f t="shared" si="0"/>
        <v>0</v>
      </c>
      <c r="N43" s="11"/>
      <c r="O43" s="190"/>
      <c r="P43" s="27"/>
      <c r="Q43" s="11"/>
      <c r="R43" s="26">
        <f t="shared" si="3"/>
        <v>0</v>
      </c>
      <c r="S43" s="27">
        <f t="shared" si="4"/>
        <v>0</v>
      </c>
      <c r="T43" s="11"/>
      <c r="U43" s="11"/>
      <c r="V43" s="415">
        <f t="shared" si="5"/>
        <v>0</v>
      </c>
      <c r="W43" s="379">
        <f t="shared" si="1"/>
        <v>0</v>
      </c>
      <c r="X43" s="4">
        <v>1107</v>
      </c>
      <c r="Y43" s="4"/>
      <c r="Z43" s="4"/>
      <c r="AA43" s="12">
        <f t="shared" si="6"/>
        <v>0</v>
      </c>
      <c r="AC43" s="79"/>
      <c r="AD43" s="79"/>
      <c r="AE43" s="79"/>
      <c r="AF43" s="79"/>
    </row>
    <row r="44" spans="1:32" ht="12.75" customHeight="1">
      <c r="A44" s="24"/>
      <c r="B44" s="108">
        <f t="shared" si="7"/>
        <v>41</v>
      </c>
      <c r="C44" s="6">
        <v>140401</v>
      </c>
      <c r="D44" s="121" t="s">
        <v>1552</v>
      </c>
      <c r="E44" s="9" t="s">
        <v>32</v>
      </c>
      <c r="F44" s="6"/>
      <c r="G44" s="6"/>
      <c r="H44" s="11">
        <f>+STAT2!V44</f>
        <v>0</v>
      </c>
      <c r="I44" s="11">
        <f>+STAT2!W44</f>
        <v>0</v>
      </c>
      <c r="J44" s="11">
        <f>+SUMIFS(JURNAL!G:G,JURNAL!E:E,C44,JURNAL!C:C,"&gt;="&amp;$H$1,JURNAL!C:C,"&lt;="&amp;$I$1)</f>
        <v>0</v>
      </c>
      <c r="K44" s="11">
        <f>+SUMIFS(JURNAL!H:H,JURNAL!E:E,C44,JURNAL!C:C,"&gt;="&amp;$H$1,JURNAL!C:C,"&lt;="&amp;$I$1)</f>
        <v>0</v>
      </c>
      <c r="L44" s="26">
        <f t="shared" si="2"/>
        <v>0</v>
      </c>
      <c r="M44" s="27">
        <f t="shared" si="0"/>
        <v>0</v>
      </c>
      <c r="N44" s="11"/>
      <c r="O44" s="190"/>
      <c r="P44" s="27"/>
      <c r="Q44" s="11"/>
      <c r="R44" s="26">
        <f t="shared" si="3"/>
        <v>0</v>
      </c>
      <c r="S44" s="27">
        <f t="shared" si="4"/>
        <v>0</v>
      </c>
      <c r="T44" s="11"/>
      <c r="U44" s="11"/>
      <c r="V44" s="415">
        <f t="shared" si="5"/>
        <v>0</v>
      </c>
      <c r="W44" s="379">
        <f t="shared" si="1"/>
        <v>0</v>
      </c>
      <c r="X44" s="4">
        <v>1107</v>
      </c>
      <c r="Y44" s="4"/>
      <c r="Z44" s="4"/>
      <c r="AA44" s="12">
        <f t="shared" si="6"/>
        <v>0</v>
      </c>
      <c r="AC44" s="79"/>
      <c r="AD44" s="79"/>
      <c r="AE44" s="79"/>
      <c r="AF44" s="79"/>
    </row>
    <row r="45" spans="1:32" ht="12.75" customHeight="1">
      <c r="A45" s="24"/>
      <c r="B45" s="108">
        <f t="shared" si="7"/>
        <v>42</v>
      </c>
      <c r="C45" s="6">
        <v>140402</v>
      </c>
      <c r="D45" s="121" t="s">
        <v>1553</v>
      </c>
      <c r="E45" s="9" t="s">
        <v>32</v>
      </c>
      <c r="F45" s="6"/>
      <c r="G45" s="6"/>
      <c r="H45" s="11">
        <f>+STAT2!V45</f>
        <v>0</v>
      </c>
      <c r="I45" s="11">
        <f>+STAT2!W45</f>
        <v>0</v>
      </c>
      <c r="J45" s="11">
        <f>+SUMIFS(JURNAL!G:G,JURNAL!E:E,C45,JURNAL!C:C,"&gt;="&amp;$H$1,JURNAL!C:C,"&lt;="&amp;$I$1)</f>
        <v>0</v>
      </c>
      <c r="K45" s="11">
        <f>+SUMIFS(JURNAL!H:H,JURNAL!E:E,C45,JURNAL!C:C,"&gt;="&amp;$H$1,JURNAL!C:C,"&lt;="&amp;$I$1)</f>
        <v>0</v>
      </c>
      <c r="L45" s="26">
        <f t="shared" si="2"/>
        <v>0</v>
      </c>
      <c r="M45" s="27">
        <f t="shared" si="0"/>
        <v>0</v>
      </c>
      <c r="N45" s="11"/>
      <c r="O45" s="190"/>
      <c r="P45" s="27"/>
      <c r="Q45" s="11"/>
      <c r="R45" s="26">
        <f t="shared" si="3"/>
        <v>0</v>
      </c>
      <c r="S45" s="27">
        <f t="shared" si="4"/>
        <v>0</v>
      </c>
      <c r="T45" s="11"/>
      <c r="U45" s="11"/>
      <c r="V45" s="415">
        <f t="shared" si="5"/>
        <v>0</v>
      </c>
      <c r="W45" s="379">
        <f t="shared" si="1"/>
        <v>0</v>
      </c>
      <c r="X45" s="4">
        <v>1107</v>
      </c>
      <c r="Y45" s="4"/>
      <c r="Z45" s="4"/>
      <c r="AA45" s="12">
        <f t="shared" si="6"/>
        <v>0</v>
      </c>
      <c r="AC45" s="79"/>
      <c r="AD45" s="79"/>
      <c r="AE45" s="79"/>
      <c r="AF45" s="79"/>
    </row>
    <row r="46" spans="1:32" ht="12.75" customHeight="1">
      <c r="A46" s="24"/>
      <c r="B46" s="108">
        <f t="shared" si="7"/>
        <v>43</v>
      </c>
      <c r="C46" s="6">
        <v>140500</v>
      </c>
      <c r="D46" s="121" t="s">
        <v>1554</v>
      </c>
      <c r="E46" s="9" t="s">
        <v>32</v>
      </c>
      <c r="F46" s="6"/>
      <c r="G46" s="6"/>
      <c r="H46" s="11">
        <f>+STAT2!V46</f>
        <v>0</v>
      </c>
      <c r="I46" s="11">
        <f>+STAT2!W46</f>
        <v>0</v>
      </c>
      <c r="J46" s="11">
        <f>+SUMIFS(JURNAL!G:G,JURNAL!E:E,C46,JURNAL!C:C,"&gt;="&amp;$H$1,JURNAL!C:C,"&lt;="&amp;$I$1)</f>
        <v>0</v>
      </c>
      <c r="K46" s="11">
        <f>+SUMIFS(JURNAL!H:H,JURNAL!E:E,C46,JURNAL!C:C,"&gt;="&amp;$H$1,JURNAL!C:C,"&lt;="&amp;$I$1)</f>
        <v>0</v>
      </c>
      <c r="L46" s="26">
        <f t="shared" si="2"/>
        <v>0</v>
      </c>
      <c r="M46" s="27">
        <f t="shared" si="0"/>
        <v>0</v>
      </c>
      <c r="N46" s="11"/>
      <c r="O46" s="190"/>
      <c r="P46" s="27"/>
      <c r="Q46" s="11"/>
      <c r="R46" s="26">
        <f t="shared" si="3"/>
        <v>0</v>
      </c>
      <c r="S46" s="27">
        <f t="shared" si="4"/>
        <v>0</v>
      </c>
      <c r="T46" s="11"/>
      <c r="U46" s="11"/>
      <c r="V46" s="415">
        <f t="shared" si="5"/>
        <v>0</v>
      </c>
      <c r="W46" s="379">
        <f t="shared" si="1"/>
        <v>0</v>
      </c>
      <c r="X46" s="4">
        <v>1107</v>
      </c>
      <c r="Y46" s="4"/>
      <c r="Z46" s="4"/>
      <c r="AA46" s="12">
        <f t="shared" si="6"/>
        <v>0</v>
      </c>
      <c r="AC46" s="79"/>
      <c r="AD46" s="79"/>
      <c r="AE46" s="79"/>
      <c r="AF46" s="79"/>
    </row>
    <row r="47" spans="1:32" ht="12.75" customHeight="1">
      <c r="A47" s="24"/>
      <c r="B47" s="108">
        <f t="shared" si="7"/>
        <v>44</v>
      </c>
      <c r="C47" s="6">
        <v>140501</v>
      </c>
      <c r="D47" s="121" t="s">
        <v>1555</v>
      </c>
      <c r="E47" s="9" t="s">
        <v>32</v>
      </c>
      <c r="F47" s="6"/>
      <c r="G47" s="6"/>
      <c r="H47" s="11">
        <f>+STAT2!V47</f>
        <v>0</v>
      </c>
      <c r="I47" s="11">
        <f>+STAT2!W47</f>
        <v>0</v>
      </c>
      <c r="J47" s="11">
        <f>+SUMIFS(JURNAL!G:G,JURNAL!E:E,C47,JURNAL!C:C,"&gt;="&amp;$H$1,JURNAL!C:C,"&lt;="&amp;$I$1)</f>
        <v>0</v>
      </c>
      <c r="K47" s="11">
        <f>+SUMIFS(JURNAL!H:H,JURNAL!E:E,C47,JURNAL!C:C,"&gt;="&amp;$H$1,JURNAL!C:C,"&lt;="&amp;$I$1)</f>
        <v>0</v>
      </c>
      <c r="L47" s="26">
        <f t="shared" si="2"/>
        <v>0</v>
      </c>
      <c r="M47" s="27">
        <f t="shared" si="0"/>
        <v>0</v>
      </c>
      <c r="N47" s="11"/>
      <c r="O47" s="190"/>
      <c r="P47" s="27"/>
      <c r="Q47" s="11"/>
      <c r="R47" s="26">
        <f t="shared" si="3"/>
        <v>0</v>
      </c>
      <c r="S47" s="27">
        <f t="shared" si="4"/>
        <v>0</v>
      </c>
      <c r="T47" s="11"/>
      <c r="U47" s="11"/>
      <c r="V47" s="415">
        <f t="shared" si="5"/>
        <v>0</v>
      </c>
      <c r="W47" s="416">
        <f t="shared" si="1"/>
        <v>0</v>
      </c>
      <c r="X47" s="4">
        <v>1107</v>
      </c>
      <c r="Y47" s="4"/>
      <c r="Z47" s="4"/>
      <c r="AA47" s="12">
        <f t="shared" si="6"/>
        <v>0</v>
      </c>
      <c r="AC47" s="79"/>
      <c r="AD47" s="79"/>
      <c r="AE47" s="79"/>
      <c r="AF47" s="79"/>
    </row>
    <row r="48" spans="1:32" ht="12.75" customHeight="1">
      <c r="A48" s="24"/>
      <c r="B48" s="108">
        <f t="shared" si="7"/>
        <v>45</v>
      </c>
      <c r="C48" s="6">
        <v>140502</v>
      </c>
      <c r="D48" s="121" t="s">
        <v>1556</v>
      </c>
      <c r="E48" s="9" t="s">
        <v>32</v>
      </c>
      <c r="F48" s="6"/>
      <c r="G48" s="6"/>
      <c r="H48" s="11">
        <f>+STAT2!V48</f>
        <v>0</v>
      </c>
      <c r="I48" s="11">
        <f>+STAT2!W48</f>
        <v>0</v>
      </c>
      <c r="J48" s="11">
        <f>+SUMIFS(JURNAL!G:G,JURNAL!E:E,C48,JURNAL!C:C,"&gt;="&amp;$H$1,JURNAL!C:C,"&lt;="&amp;$I$1)</f>
        <v>0</v>
      </c>
      <c r="K48" s="11">
        <f>+SUMIFS(JURNAL!H:H,JURNAL!E:E,C48,JURNAL!C:C,"&gt;="&amp;$H$1,JURNAL!C:C,"&lt;="&amp;$I$1)</f>
        <v>0</v>
      </c>
      <c r="L48" s="26">
        <f t="shared" si="2"/>
        <v>0</v>
      </c>
      <c r="M48" s="27">
        <f t="shared" si="0"/>
        <v>0</v>
      </c>
      <c r="N48" s="11"/>
      <c r="O48" s="190"/>
      <c r="P48" s="27"/>
      <c r="Q48" s="11"/>
      <c r="R48" s="26">
        <f t="shared" si="3"/>
        <v>0</v>
      </c>
      <c r="S48" s="27">
        <f t="shared" si="4"/>
        <v>0</v>
      </c>
      <c r="T48" s="11"/>
      <c r="U48" s="11"/>
      <c r="V48" s="415">
        <f t="shared" si="5"/>
        <v>0</v>
      </c>
      <c r="W48" s="379">
        <f t="shared" si="1"/>
        <v>0</v>
      </c>
      <c r="X48" s="4">
        <v>1107</v>
      </c>
      <c r="Y48" s="4"/>
      <c r="Z48" s="4"/>
      <c r="AA48" s="12">
        <f t="shared" si="6"/>
        <v>0</v>
      </c>
      <c r="AC48" s="79"/>
      <c r="AD48" s="79"/>
      <c r="AE48" s="79"/>
      <c r="AF48" s="79"/>
    </row>
    <row r="49" spans="1:32" ht="12.75" customHeight="1">
      <c r="A49" s="24"/>
      <c r="B49" s="108">
        <f t="shared" si="7"/>
        <v>46</v>
      </c>
      <c r="C49" s="6">
        <v>141200</v>
      </c>
      <c r="D49" s="121" t="s">
        <v>1557</v>
      </c>
      <c r="E49" s="9" t="s">
        <v>32</v>
      </c>
      <c r="F49" s="6"/>
      <c r="G49" s="6"/>
      <c r="H49" s="11">
        <f>+STAT2!V49</f>
        <v>0</v>
      </c>
      <c r="I49" s="11">
        <f>+STAT2!W49</f>
        <v>0</v>
      </c>
      <c r="J49" s="11">
        <f>+SUMIFS(JURNAL!G:G,JURNAL!E:E,C49,JURNAL!C:C,"&gt;="&amp;$H$1,JURNAL!C:C,"&lt;="&amp;$I$1)</f>
        <v>0</v>
      </c>
      <c r="K49" s="11">
        <f>+SUMIFS(JURNAL!H:H,JURNAL!E:E,C49,JURNAL!C:C,"&gt;="&amp;$H$1,JURNAL!C:C,"&lt;="&amp;$I$1)</f>
        <v>0</v>
      </c>
      <c r="L49" s="26">
        <f t="shared" si="2"/>
        <v>0</v>
      </c>
      <c r="M49" s="27">
        <f t="shared" si="0"/>
        <v>0</v>
      </c>
      <c r="N49" s="11"/>
      <c r="O49" s="190"/>
      <c r="P49" s="27"/>
      <c r="Q49" s="11"/>
      <c r="R49" s="26">
        <f t="shared" si="3"/>
        <v>0</v>
      </c>
      <c r="S49" s="27">
        <f t="shared" si="4"/>
        <v>0</v>
      </c>
      <c r="T49" s="11"/>
      <c r="U49" s="11"/>
      <c r="V49" s="415">
        <f t="shared" si="5"/>
        <v>0</v>
      </c>
      <c r="W49" s="379">
        <f t="shared" si="1"/>
        <v>0</v>
      </c>
      <c r="X49" s="4">
        <v>1107</v>
      </c>
      <c r="Y49" s="4"/>
      <c r="Z49" s="4"/>
      <c r="AA49" s="12">
        <f t="shared" si="6"/>
        <v>0</v>
      </c>
      <c r="AC49" s="79"/>
      <c r="AD49" s="79"/>
      <c r="AE49" s="79"/>
      <c r="AF49" s="79"/>
    </row>
    <row r="50" spans="1:32" ht="12.75" customHeight="1">
      <c r="A50" s="24"/>
      <c r="B50" s="108">
        <f t="shared" si="7"/>
        <v>47</v>
      </c>
      <c r="C50" s="6">
        <v>141201</v>
      </c>
      <c r="D50" s="121" t="s">
        <v>2282</v>
      </c>
      <c r="E50" s="9" t="s">
        <v>32</v>
      </c>
      <c r="F50" s="6"/>
      <c r="G50" s="6"/>
      <c r="H50" s="11">
        <f>+STAT2!V50</f>
        <v>0</v>
      </c>
      <c r="I50" s="11">
        <f>+STAT2!W50</f>
        <v>0</v>
      </c>
      <c r="J50" s="11">
        <f>+SUMIFS(JURNAL!G:G,JURNAL!E:E,C50,JURNAL!C:C,"&gt;="&amp;$H$1,JURNAL!C:C,"&lt;="&amp;$I$1)</f>
        <v>140605743.36000001</v>
      </c>
      <c r="K50" s="11">
        <f>+SUMIFS(JURNAL!H:H,JURNAL!E:E,C50,JURNAL!C:C,"&gt;="&amp;$H$1,JURNAL!C:C,"&lt;="&amp;$I$1)</f>
        <v>0</v>
      </c>
      <c r="L50" s="26">
        <f t="shared" si="2"/>
        <v>140605743.36000001</v>
      </c>
      <c r="M50" s="27">
        <f t="shared" si="0"/>
        <v>0</v>
      </c>
      <c r="N50" s="11"/>
      <c r="O50" s="190"/>
      <c r="P50" s="27"/>
      <c r="Q50" s="11"/>
      <c r="R50" s="26">
        <f t="shared" si="3"/>
        <v>140605743.36000001</v>
      </c>
      <c r="S50" s="27">
        <f t="shared" si="4"/>
        <v>0</v>
      </c>
      <c r="T50" s="11"/>
      <c r="U50" s="11"/>
      <c r="V50" s="415">
        <f t="shared" si="5"/>
        <v>140605743.36000001</v>
      </c>
      <c r="W50" s="379">
        <f t="shared" si="1"/>
        <v>0</v>
      </c>
      <c r="X50" s="4">
        <v>1107</v>
      </c>
      <c r="Y50" s="4"/>
      <c r="Z50" s="4"/>
      <c r="AA50" s="12">
        <f t="shared" si="6"/>
        <v>1</v>
      </c>
      <c r="AC50" s="79"/>
      <c r="AD50" s="79"/>
      <c r="AE50" s="79"/>
      <c r="AF50" s="79"/>
    </row>
    <row r="51" spans="1:32" ht="12.75" customHeight="1">
      <c r="A51" s="24"/>
      <c r="B51" s="108">
        <f t="shared" si="7"/>
        <v>48</v>
      </c>
      <c r="C51" s="6">
        <v>141300</v>
      </c>
      <c r="D51" s="121" t="s">
        <v>1558</v>
      </c>
      <c r="E51" s="9" t="s">
        <v>32</v>
      </c>
      <c r="F51" s="6"/>
      <c r="G51" s="6"/>
      <c r="H51" s="11">
        <f>+STAT2!V51</f>
        <v>0</v>
      </c>
      <c r="I51" s="11">
        <f>+STAT2!W51</f>
        <v>0</v>
      </c>
      <c r="J51" s="11">
        <f>+SUMIFS(JURNAL!G:G,JURNAL!E:E,C51,JURNAL!C:C,"&gt;="&amp;$H$1,JURNAL!C:C,"&lt;="&amp;$I$1)</f>
        <v>0</v>
      </c>
      <c r="K51" s="11">
        <f>+SUMIFS(JURNAL!H:H,JURNAL!E:E,C51,JURNAL!C:C,"&gt;="&amp;$H$1,JURNAL!C:C,"&lt;="&amp;$I$1)</f>
        <v>0</v>
      </c>
      <c r="L51" s="26">
        <f t="shared" si="2"/>
        <v>0</v>
      </c>
      <c r="M51" s="27">
        <f t="shared" si="0"/>
        <v>0</v>
      </c>
      <c r="N51" s="11"/>
      <c r="O51" s="190"/>
      <c r="P51" s="27"/>
      <c r="Q51" s="11"/>
      <c r="R51" s="26">
        <f t="shared" si="3"/>
        <v>0</v>
      </c>
      <c r="S51" s="27">
        <f t="shared" si="4"/>
        <v>0</v>
      </c>
      <c r="T51" s="11"/>
      <c r="U51" s="11"/>
      <c r="V51" s="415">
        <f t="shared" si="5"/>
        <v>0</v>
      </c>
      <c r="W51" s="379">
        <f t="shared" si="1"/>
        <v>0</v>
      </c>
      <c r="X51" s="4">
        <v>1107</v>
      </c>
      <c r="Y51" s="4"/>
      <c r="Z51" s="4"/>
      <c r="AA51" s="12">
        <f t="shared" si="6"/>
        <v>0</v>
      </c>
      <c r="AC51" s="79"/>
      <c r="AD51" s="79"/>
      <c r="AE51" s="79"/>
      <c r="AF51" s="79"/>
    </row>
    <row r="52" spans="1:32" ht="12.75" customHeight="1">
      <c r="A52" s="24"/>
      <c r="B52" s="108">
        <f t="shared" si="7"/>
        <v>49</v>
      </c>
      <c r="C52" s="6">
        <v>141301</v>
      </c>
      <c r="D52" s="121" t="s">
        <v>2285</v>
      </c>
      <c r="E52" s="9" t="s">
        <v>32</v>
      </c>
      <c r="F52" s="6"/>
      <c r="G52" s="6"/>
      <c r="H52" s="11">
        <f>+STAT2!V52</f>
        <v>0</v>
      </c>
      <c r="I52" s="11">
        <f>+STAT2!W52</f>
        <v>0</v>
      </c>
      <c r="J52" s="11">
        <f>+SUMIFS(JURNAL!G:G,JURNAL!E:E,C52,JURNAL!C:C,"&gt;="&amp;$H$1,JURNAL!C:C,"&lt;="&amp;$I$1)</f>
        <v>17956146.960000001</v>
      </c>
      <c r="K52" s="11">
        <f>+SUMIFS(JURNAL!H:H,JURNAL!E:E,C52,JURNAL!C:C,"&gt;="&amp;$H$1,JURNAL!C:C,"&lt;="&amp;$I$1)</f>
        <v>0</v>
      </c>
      <c r="L52" s="26">
        <f t="shared" si="2"/>
        <v>17956146.960000001</v>
      </c>
      <c r="M52" s="27">
        <f t="shared" si="0"/>
        <v>0</v>
      </c>
      <c r="N52" s="11"/>
      <c r="O52" s="190"/>
      <c r="P52" s="27"/>
      <c r="Q52" s="11"/>
      <c r="R52" s="26">
        <f t="shared" si="3"/>
        <v>17956146.960000001</v>
      </c>
      <c r="S52" s="27">
        <f t="shared" si="4"/>
        <v>0</v>
      </c>
      <c r="T52" s="11"/>
      <c r="U52" s="11"/>
      <c r="V52" s="415">
        <f t="shared" si="5"/>
        <v>17956146.960000001</v>
      </c>
      <c r="W52" s="379">
        <f t="shared" si="1"/>
        <v>0</v>
      </c>
      <c r="X52" s="4">
        <v>1107</v>
      </c>
      <c r="Y52" s="4"/>
      <c r="Z52" s="4"/>
      <c r="AA52" s="12">
        <f t="shared" si="6"/>
        <v>1</v>
      </c>
      <c r="AC52" s="79"/>
      <c r="AD52" s="79"/>
      <c r="AE52" s="79"/>
      <c r="AF52" s="79"/>
    </row>
    <row r="53" spans="1:32" ht="12.75" customHeight="1">
      <c r="A53" s="24"/>
      <c r="B53" s="108">
        <f t="shared" si="7"/>
        <v>50</v>
      </c>
      <c r="C53" s="6">
        <v>141400</v>
      </c>
      <c r="D53" s="121" t="s">
        <v>1559</v>
      </c>
      <c r="E53" s="9" t="s">
        <v>32</v>
      </c>
      <c r="F53" s="6"/>
      <c r="G53" s="6"/>
      <c r="H53" s="11">
        <f>+STAT2!V53</f>
        <v>0</v>
      </c>
      <c r="I53" s="11">
        <f>+STAT2!W53</f>
        <v>0</v>
      </c>
      <c r="J53" s="11">
        <f>+SUMIFS(JURNAL!G:G,JURNAL!E:E,C53,JURNAL!C:C,"&gt;="&amp;$H$1,JURNAL!C:C,"&lt;="&amp;$I$1)</f>
        <v>0</v>
      </c>
      <c r="K53" s="11">
        <f>+SUMIFS(JURNAL!H:H,JURNAL!E:E,C53,JURNAL!C:C,"&gt;="&amp;$H$1,JURNAL!C:C,"&lt;="&amp;$I$1)</f>
        <v>0</v>
      </c>
      <c r="L53" s="26">
        <f t="shared" si="2"/>
        <v>0</v>
      </c>
      <c r="M53" s="27">
        <f t="shared" si="0"/>
        <v>0</v>
      </c>
      <c r="N53" s="11"/>
      <c r="O53" s="190"/>
      <c r="P53" s="27"/>
      <c r="Q53" s="11"/>
      <c r="R53" s="26">
        <f t="shared" si="3"/>
        <v>0</v>
      </c>
      <c r="S53" s="27">
        <f t="shared" si="4"/>
        <v>0</v>
      </c>
      <c r="T53" s="11"/>
      <c r="U53" s="11"/>
      <c r="V53" s="415">
        <f t="shared" si="5"/>
        <v>0</v>
      </c>
      <c r="W53" s="379">
        <f t="shared" si="1"/>
        <v>0</v>
      </c>
      <c r="X53" s="4">
        <v>1107</v>
      </c>
      <c r="Y53" s="4"/>
      <c r="Z53" s="4"/>
      <c r="AA53" s="12">
        <f t="shared" si="6"/>
        <v>0</v>
      </c>
      <c r="AC53" s="79"/>
      <c r="AD53" s="79"/>
      <c r="AE53" s="79"/>
      <c r="AF53" s="79"/>
    </row>
    <row r="54" spans="1:32" ht="12.75" customHeight="1">
      <c r="A54" s="24"/>
      <c r="B54" s="108">
        <f t="shared" si="7"/>
        <v>51</v>
      </c>
      <c r="C54" s="6">
        <v>141401</v>
      </c>
      <c r="D54" s="121" t="s">
        <v>2283</v>
      </c>
      <c r="E54" s="9" t="s">
        <v>32</v>
      </c>
      <c r="F54" s="6"/>
      <c r="G54" s="6"/>
      <c r="H54" s="11">
        <f>+STAT2!V54</f>
        <v>0</v>
      </c>
      <c r="I54" s="11">
        <f>+STAT2!W54</f>
        <v>0</v>
      </c>
      <c r="J54" s="11">
        <f>+SUMIFS(JURNAL!G:G,JURNAL!E:E,C54,JURNAL!C:C,"&gt;="&amp;$H$1,JURNAL!C:C,"&lt;="&amp;$I$1)</f>
        <v>71250297.939999998</v>
      </c>
      <c r="K54" s="11">
        <f>+SUMIFS(JURNAL!H:H,JURNAL!E:E,C54,JURNAL!C:C,"&gt;="&amp;$H$1,JURNAL!C:C,"&lt;="&amp;$I$1)</f>
        <v>0</v>
      </c>
      <c r="L54" s="26">
        <f t="shared" si="2"/>
        <v>71250297.939999998</v>
      </c>
      <c r="M54" s="27">
        <f t="shared" si="0"/>
        <v>0</v>
      </c>
      <c r="N54" s="11"/>
      <c r="O54" s="190"/>
      <c r="P54" s="27"/>
      <c r="Q54" s="11"/>
      <c r="R54" s="26">
        <f t="shared" si="3"/>
        <v>71250297.939999998</v>
      </c>
      <c r="S54" s="27">
        <f t="shared" si="4"/>
        <v>0</v>
      </c>
      <c r="T54" s="11"/>
      <c r="U54" s="11"/>
      <c r="V54" s="415">
        <f t="shared" si="5"/>
        <v>71250297.939999998</v>
      </c>
      <c r="W54" s="379">
        <f t="shared" si="1"/>
        <v>0</v>
      </c>
      <c r="X54" s="4">
        <v>1107</v>
      </c>
      <c r="Y54" s="4"/>
      <c r="Z54" s="4"/>
      <c r="AA54" s="12">
        <f t="shared" si="6"/>
        <v>1</v>
      </c>
      <c r="AC54" s="79"/>
      <c r="AD54" s="79"/>
      <c r="AE54" s="79"/>
      <c r="AF54" s="79"/>
    </row>
    <row r="55" spans="1:32" ht="12.75" customHeight="1">
      <c r="A55" s="24"/>
      <c r="B55" s="108">
        <f t="shared" si="7"/>
        <v>52</v>
      </c>
      <c r="C55" s="6">
        <v>141500</v>
      </c>
      <c r="D55" s="121" t="s">
        <v>1560</v>
      </c>
      <c r="E55" s="9" t="s">
        <v>32</v>
      </c>
      <c r="F55" s="6"/>
      <c r="G55" s="6"/>
      <c r="H55" s="11">
        <f>+STAT2!V55</f>
        <v>0</v>
      </c>
      <c r="I55" s="11">
        <f>+STAT2!W55</f>
        <v>0</v>
      </c>
      <c r="J55" s="11">
        <f>+SUMIFS(JURNAL!G:G,JURNAL!E:E,C55,JURNAL!C:C,"&gt;="&amp;$H$1,JURNAL!C:C,"&lt;="&amp;$I$1)</f>
        <v>0</v>
      </c>
      <c r="K55" s="11">
        <f>+SUMIFS(JURNAL!H:H,JURNAL!E:E,C55,JURNAL!C:C,"&gt;="&amp;$H$1,JURNAL!C:C,"&lt;="&amp;$I$1)</f>
        <v>0</v>
      </c>
      <c r="L55" s="26">
        <f t="shared" si="2"/>
        <v>0</v>
      </c>
      <c r="M55" s="27">
        <f t="shared" si="0"/>
        <v>0</v>
      </c>
      <c r="N55" s="11"/>
      <c r="O55" s="190"/>
      <c r="P55" s="27"/>
      <c r="Q55" s="11"/>
      <c r="R55" s="26">
        <f t="shared" si="3"/>
        <v>0</v>
      </c>
      <c r="S55" s="27">
        <f t="shared" si="4"/>
        <v>0</v>
      </c>
      <c r="T55" s="11"/>
      <c r="U55" s="11"/>
      <c r="V55" s="415">
        <f t="shared" si="5"/>
        <v>0</v>
      </c>
      <c r="W55" s="379">
        <f t="shared" si="1"/>
        <v>0</v>
      </c>
      <c r="X55" s="4">
        <v>1107</v>
      </c>
      <c r="Y55" s="4"/>
      <c r="Z55" s="4"/>
      <c r="AA55" s="12">
        <f t="shared" si="6"/>
        <v>0</v>
      </c>
      <c r="AC55" s="79"/>
      <c r="AD55" s="79"/>
      <c r="AE55" s="79"/>
      <c r="AF55" s="79"/>
    </row>
    <row r="56" spans="1:32" ht="12.75" customHeight="1">
      <c r="A56" s="24"/>
      <c r="B56" s="108">
        <f t="shared" si="7"/>
        <v>53</v>
      </c>
      <c r="C56" s="6">
        <v>141501</v>
      </c>
      <c r="D56" s="121" t="s">
        <v>2284</v>
      </c>
      <c r="E56" s="9" t="s">
        <v>32</v>
      </c>
      <c r="F56" s="6"/>
      <c r="G56" s="6"/>
      <c r="H56" s="11">
        <f>+STAT2!V56</f>
        <v>0</v>
      </c>
      <c r="I56" s="11">
        <f>+STAT2!W56</f>
        <v>0</v>
      </c>
      <c r="J56" s="11">
        <f>+SUMIFS(JURNAL!G:G,JURNAL!E:E,C56,JURNAL!C:C,"&gt;="&amp;$H$1,JURNAL!C:C,"&lt;="&amp;$I$1)</f>
        <v>0</v>
      </c>
      <c r="K56" s="11">
        <f>+SUMIFS(JURNAL!H:H,JURNAL!E:E,C56,JURNAL!C:C,"&gt;="&amp;$H$1,JURNAL!C:C,"&lt;="&amp;$I$1)</f>
        <v>0</v>
      </c>
      <c r="L56" s="26">
        <f t="shared" si="2"/>
        <v>0</v>
      </c>
      <c r="M56" s="27">
        <f t="shared" si="0"/>
        <v>0</v>
      </c>
      <c r="N56" s="11"/>
      <c r="O56" s="190"/>
      <c r="P56" s="27"/>
      <c r="Q56" s="11"/>
      <c r="R56" s="26">
        <f t="shared" si="3"/>
        <v>0</v>
      </c>
      <c r="S56" s="27">
        <f t="shared" si="4"/>
        <v>0</v>
      </c>
      <c r="T56" s="11"/>
      <c r="U56" s="11"/>
      <c r="V56" s="415">
        <f t="shared" si="5"/>
        <v>0</v>
      </c>
      <c r="W56" s="379">
        <f t="shared" si="1"/>
        <v>0</v>
      </c>
      <c r="X56" s="4">
        <v>1107</v>
      </c>
      <c r="Y56" s="4"/>
      <c r="Z56" s="4"/>
      <c r="AA56" s="12">
        <f t="shared" si="6"/>
        <v>0</v>
      </c>
      <c r="AC56" s="79"/>
      <c r="AD56" s="79"/>
      <c r="AE56" s="79"/>
      <c r="AF56" s="79"/>
    </row>
    <row r="57" spans="1:32" ht="12.75" customHeight="1">
      <c r="A57" s="24"/>
      <c r="B57" s="108">
        <f t="shared" si="7"/>
        <v>54</v>
      </c>
      <c r="C57" s="6">
        <v>150100</v>
      </c>
      <c r="D57" s="121" t="s">
        <v>1561</v>
      </c>
      <c r="E57" s="9" t="s">
        <v>32</v>
      </c>
      <c r="F57" s="6"/>
      <c r="G57" s="6"/>
      <c r="H57" s="11">
        <f>+STAT2!V57</f>
        <v>54697073.079999998</v>
      </c>
      <c r="I57" s="11">
        <f>+STAT2!W57</f>
        <v>0</v>
      </c>
      <c r="J57" s="11">
        <f>+SUMIFS(JURNAL!G:G,JURNAL!E:E,C57,JURNAL!C:C,"&gt;="&amp;$H$1,JURNAL!C:C,"&lt;="&amp;$I$1)</f>
        <v>0</v>
      </c>
      <c r="K57" s="11">
        <f>+SUMIFS(JURNAL!H:H,JURNAL!E:E,C57,JURNAL!C:C,"&gt;="&amp;$H$1,JURNAL!C:C,"&lt;="&amp;$I$1)</f>
        <v>6527962.5800000001</v>
      </c>
      <c r="L57" s="26">
        <f t="shared" si="2"/>
        <v>48169110.5</v>
      </c>
      <c r="M57" s="27">
        <f t="shared" si="0"/>
        <v>0</v>
      </c>
      <c r="N57" s="11"/>
      <c r="O57" s="190"/>
      <c r="P57" s="27"/>
      <c r="Q57" s="11"/>
      <c r="R57" s="26">
        <f t="shared" si="3"/>
        <v>48169110.5</v>
      </c>
      <c r="S57" s="27">
        <f t="shared" si="4"/>
        <v>0</v>
      </c>
      <c r="T57" s="11"/>
      <c r="U57" s="11"/>
      <c r="V57" s="415">
        <f t="shared" si="5"/>
        <v>48169110.5</v>
      </c>
      <c r="W57" s="416">
        <f t="shared" si="1"/>
        <v>0</v>
      </c>
      <c r="X57" s="4">
        <v>1107</v>
      </c>
      <c r="Y57" s="4"/>
      <c r="Z57" s="4"/>
      <c r="AA57" s="12">
        <f t="shared" si="6"/>
        <v>1</v>
      </c>
      <c r="AC57" s="79"/>
      <c r="AD57" s="79"/>
      <c r="AE57" s="79"/>
      <c r="AF57" s="79"/>
    </row>
    <row r="58" spans="1:32" ht="12.75" customHeight="1">
      <c r="A58" s="24"/>
      <c r="B58" s="108">
        <f t="shared" si="7"/>
        <v>55</v>
      </c>
      <c r="C58" s="6">
        <v>150101</v>
      </c>
      <c r="D58" s="121" t="s">
        <v>1562</v>
      </c>
      <c r="E58" s="9" t="s">
        <v>32</v>
      </c>
      <c r="F58" s="6"/>
      <c r="G58" s="6"/>
      <c r="H58" s="11">
        <f>+STAT2!V58</f>
        <v>775642143.59740794</v>
      </c>
      <c r="I58" s="11">
        <f>+STAT2!W58</f>
        <v>0</v>
      </c>
      <c r="J58" s="11">
        <f>+SUMIFS(JURNAL!G:G,JURNAL!E:E,C58,JURNAL!C:C,"&gt;="&amp;$H$1,JURNAL!C:C,"&lt;="&amp;$I$1)</f>
        <v>6527962.5800000001</v>
      </c>
      <c r="K58" s="11">
        <f>+SUMIFS(JURNAL!H:H,JURNAL!E:E,C58,JURNAL!C:C,"&gt;="&amp;$H$1,JURNAL!C:C,"&lt;="&amp;$I$1)</f>
        <v>159043844.77059022</v>
      </c>
      <c r="L58" s="26">
        <f t="shared" si="2"/>
        <v>623126261.40681779</v>
      </c>
      <c r="M58" s="27">
        <f t="shared" si="0"/>
        <v>0</v>
      </c>
      <c r="N58" s="11"/>
      <c r="O58" s="190"/>
      <c r="P58" s="27"/>
      <c r="Q58" s="11"/>
      <c r="R58" s="26">
        <f t="shared" si="3"/>
        <v>623126261.40681779</v>
      </c>
      <c r="S58" s="27">
        <f t="shared" si="4"/>
        <v>0</v>
      </c>
      <c r="T58" s="11"/>
      <c r="U58" s="11"/>
      <c r="V58" s="415">
        <f>+IF((R58+T58)&gt;(S58+U58),(R58+T58)-(S58+U58),0)</f>
        <v>623126261.40681779</v>
      </c>
      <c r="W58" s="416">
        <f t="shared" si="1"/>
        <v>0</v>
      </c>
      <c r="X58" s="4">
        <v>1107</v>
      </c>
      <c r="Y58" s="4"/>
      <c r="Z58" s="4"/>
      <c r="AA58" s="12">
        <f t="shared" si="6"/>
        <v>1</v>
      </c>
      <c r="AC58" s="79"/>
      <c r="AD58" s="79"/>
      <c r="AE58" s="79"/>
      <c r="AF58" s="79"/>
    </row>
    <row r="59" spans="1:32" ht="12.75" customHeight="1">
      <c r="A59" s="24"/>
      <c r="B59" s="108">
        <f t="shared" si="7"/>
        <v>56</v>
      </c>
      <c r="C59" s="6">
        <v>150102</v>
      </c>
      <c r="D59" s="121" t="s">
        <v>1563</v>
      </c>
      <c r="E59" s="9" t="s">
        <v>32</v>
      </c>
      <c r="F59" s="6"/>
      <c r="G59" s="6"/>
      <c r="H59" s="11">
        <f>+STAT2!V59</f>
        <v>0</v>
      </c>
      <c r="I59" s="11">
        <f>+STAT2!W59</f>
        <v>0</v>
      </c>
      <c r="J59" s="11">
        <f>+SUMIFS(JURNAL!G:G,JURNAL!E:E,C59,JURNAL!C:C,"&gt;="&amp;$H$1,JURNAL!C:C,"&lt;="&amp;$I$1)</f>
        <v>0</v>
      </c>
      <c r="K59" s="11">
        <f>+SUMIFS(JURNAL!H:H,JURNAL!E:E,C59,JURNAL!C:C,"&gt;="&amp;$H$1,JURNAL!C:C,"&lt;="&amp;$I$1)</f>
        <v>0</v>
      </c>
      <c r="L59" s="26">
        <f t="shared" si="2"/>
        <v>0</v>
      </c>
      <c r="M59" s="27">
        <f t="shared" si="0"/>
        <v>0</v>
      </c>
      <c r="N59" s="11"/>
      <c r="O59" s="190"/>
      <c r="P59" s="27"/>
      <c r="Q59" s="11"/>
      <c r="R59" s="26">
        <f t="shared" si="3"/>
        <v>0</v>
      </c>
      <c r="S59" s="27">
        <f t="shared" si="4"/>
        <v>0</v>
      </c>
      <c r="T59" s="11"/>
      <c r="U59" s="11"/>
      <c r="V59" s="415">
        <f t="shared" si="5"/>
        <v>0</v>
      </c>
      <c r="W59" s="379">
        <f t="shared" si="1"/>
        <v>0</v>
      </c>
      <c r="X59" s="4">
        <v>1107</v>
      </c>
      <c r="Y59" s="4"/>
      <c r="Z59" s="4"/>
      <c r="AA59" s="12">
        <f t="shared" si="6"/>
        <v>0</v>
      </c>
      <c r="AC59" s="79"/>
      <c r="AD59" s="79"/>
      <c r="AE59" s="79"/>
      <c r="AF59" s="79"/>
    </row>
    <row r="60" spans="1:32" ht="12.75" customHeight="1">
      <c r="A60" s="24"/>
      <c r="B60" s="108">
        <f t="shared" si="7"/>
        <v>57</v>
      </c>
      <c r="C60" s="6">
        <v>151100</v>
      </c>
      <c r="D60" s="121" t="s">
        <v>1564</v>
      </c>
      <c r="E60" s="9" t="s">
        <v>32</v>
      </c>
      <c r="F60" s="6"/>
      <c r="G60" s="6"/>
      <c r="H60" s="11">
        <f>+STAT2!V60</f>
        <v>0</v>
      </c>
      <c r="I60" s="11">
        <f>+STAT2!W60</f>
        <v>0</v>
      </c>
      <c r="J60" s="11">
        <f>+SUMIFS(JURNAL!G:G,JURNAL!E:E,C60,JURNAL!C:C,"&gt;="&amp;$H$1,JURNAL!C:C,"&lt;="&amp;$I$1)</f>
        <v>0</v>
      </c>
      <c r="K60" s="11">
        <f>+SUMIFS(JURNAL!H:H,JURNAL!E:E,C60,JURNAL!C:C,"&gt;="&amp;$H$1,JURNAL!C:C,"&lt;="&amp;$I$1)</f>
        <v>0</v>
      </c>
      <c r="L60" s="26">
        <f t="shared" si="2"/>
        <v>0</v>
      </c>
      <c r="M60" s="27">
        <f t="shared" si="0"/>
        <v>0</v>
      </c>
      <c r="N60" s="11"/>
      <c r="O60" s="190"/>
      <c r="P60" s="27"/>
      <c r="Q60" s="11"/>
      <c r="R60" s="26">
        <f t="shared" si="3"/>
        <v>0</v>
      </c>
      <c r="S60" s="27">
        <f t="shared" si="4"/>
        <v>0</v>
      </c>
      <c r="T60" s="11"/>
      <c r="U60" s="11"/>
      <c r="V60" s="415">
        <f t="shared" si="5"/>
        <v>0</v>
      </c>
      <c r="W60" s="379">
        <f t="shared" si="1"/>
        <v>0</v>
      </c>
      <c r="X60" s="4">
        <v>1107</v>
      </c>
      <c r="Y60" s="4"/>
      <c r="Z60" s="4"/>
      <c r="AA60" s="12">
        <f t="shared" si="6"/>
        <v>0</v>
      </c>
      <c r="AC60" s="79"/>
      <c r="AD60" s="79"/>
      <c r="AE60" s="79"/>
      <c r="AF60" s="79"/>
    </row>
    <row r="61" spans="1:32" ht="12.75" customHeight="1">
      <c r="A61" s="24"/>
      <c r="B61" s="108">
        <f t="shared" si="7"/>
        <v>58</v>
      </c>
      <c r="C61" s="6">
        <v>151101</v>
      </c>
      <c r="D61" s="121" t="s">
        <v>1565</v>
      </c>
      <c r="E61" s="9" t="s">
        <v>32</v>
      </c>
      <c r="F61" s="6"/>
      <c r="G61" s="6"/>
      <c r="H61" s="11">
        <f>+STAT2!V61</f>
        <v>0</v>
      </c>
      <c r="I61" s="11">
        <f>+STAT2!W61</f>
        <v>0</v>
      </c>
      <c r="J61" s="11">
        <f>+SUMIFS(JURNAL!G:G,JURNAL!E:E,C61,JURNAL!C:C,"&gt;="&amp;$H$1,JURNAL!C:C,"&lt;="&amp;$I$1)</f>
        <v>0</v>
      </c>
      <c r="K61" s="11">
        <f>+SUMIFS(JURNAL!H:H,JURNAL!E:E,C61,JURNAL!C:C,"&gt;="&amp;$H$1,JURNAL!C:C,"&lt;="&amp;$I$1)</f>
        <v>0</v>
      </c>
      <c r="L61" s="26">
        <f t="shared" si="2"/>
        <v>0</v>
      </c>
      <c r="M61" s="27">
        <f t="shared" si="0"/>
        <v>0</v>
      </c>
      <c r="N61" s="11"/>
      <c r="O61" s="190"/>
      <c r="P61" s="27"/>
      <c r="Q61" s="11"/>
      <c r="R61" s="26">
        <f t="shared" si="3"/>
        <v>0</v>
      </c>
      <c r="S61" s="27">
        <f t="shared" si="4"/>
        <v>0</v>
      </c>
      <c r="T61" s="11"/>
      <c r="U61" s="11"/>
      <c r="V61" s="415">
        <f t="shared" si="5"/>
        <v>0</v>
      </c>
      <c r="W61" s="379">
        <f t="shared" si="1"/>
        <v>0</v>
      </c>
      <c r="X61" s="4">
        <v>1107</v>
      </c>
      <c r="Y61" s="4"/>
      <c r="Z61" s="4"/>
      <c r="AA61" s="12">
        <f t="shared" si="6"/>
        <v>0</v>
      </c>
      <c r="AC61" s="79"/>
      <c r="AD61" s="79"/>
      <c r="AE61" s="79"/>
      <c r="AF61" s="79"/>
    </row>
    <row r="62" spans="1:32" ht="12.75" customHeight="1">
      <c r="A62" s="24"/>
      <c r="B62" s="108">
        <f t="shared" si="7"/>
        <v>59</v>
      </c>
      <c r="C62" s="6">
        <v>160100</v>
      </c>
      <c r="D62" s="121" t="s">
        <v>954</v>
      </c>
      <c r="E62" s="9" t="s">
        <v>32</v>
      </c>
      <c r="F62" s="6"/>
      <c r="G62" s="6"/>
      <c r="H62" s="11">
        <f>+STAT2!V62</f>
        <v>154346103.07538766</v>
      </c>
      <c r="I62" s="11">
        <f>+STAT2!W62</f>
        <v>0</v>
      </c>
      <c r="J62" s="11">
        <f>+SUMIFS(JURNAL!G:G,JURNAL!E:E,C62,JURNAL!C:C,"&gt;="&amp;$H$1,JURNAL!C:C,"&lt;="&amp;$I$1)</f>
        <v>9409272.7318181805</v>
      </c>
      <c r="K62" s="11">
        <f>+SUMIFS(JURNAL!H:H,JURNAL!E:E,C62,JURNAL!C:C,"&gt;="&amp;$H$1,JURNAL!C:C,"&lt;="&amp;$I$1)</f>
        <v>35688147.340000004</v>
      </c>
      <c r="L62" s="26">
        <f t="shared" si="2"/>
        <v>128067228.46720582</v>
      </c>
      <c r="M62" s="27">
        <f t="shared" si="0"/>
        <v>0</v>
      </c>
      <c r="N62" s="11"/>
      <c r="O62" s="190"/>
      <c r="P62" s="27"/>
      <c r="Q62" s="11"/>
      <c r="R62" s="26">
        <f t="shared" si="3"/>
        <v>128067228.46720582</v>
      </c>
      <c r="S62" s="27">
        <f t="shared" si="4"/>
        <v>0</v>
      </c>
      <c r="T62" s="11"/>
      <c r="U62" s="11"/>
      <c r="V62" s="415">
        <f t="shared" si="5"/>
        <v>128067228.46720582</v>
      </c>
      <c r="W62" s="379">
        <f t="shared" si="1"/>
        <v>0</v>
      </c>
      <c r="X62" s="4">
        <v>1107</v>
      </c>
      <c r="Y62" s="4"/>
      <c r="Z62" s="4"/>
      <c r="AA62" s="12">
        <f t="shared" si="6"/>
        <v>1</v>
      </c>
      <c r="AC62" s="79"/>
      <c r="AD62" s="79"/>
      <c r="AE62" s="79"/>
      <c r="AF62" s="79"/>
    </row>
    <row r="63" spans="1:32" ht="12.75" customHeight="1">
      <c r="A63" s="24"/>
      <c r="B63" s="108">
        <f t="shared" si="7"/>
        <v>60</v>
      </c>
      <c r="C63" s="6">
        <v>160200</v>
      </c>
      <c r="D63" s="121" t="s">
        <v>622</v>
      </c>
      <c r="E63" s="9" t="s">
        <v>32</v>
      </c>
      <c r="F63" s="6"/>
      <c r="G63" s="6"/>
      <c r="H63" s="11">
        <f>+STAT2!V63</f>
        <v>8632006.0899999999</v>
      </c>
      <c r="I63" s="11">
        <f>+STAT2!W63</f>
        <v>0</v>
      </c>
      <c r="J63" s="11">
        <f>+SUMIFS(JURNAL!G:G,JURNAL!E:E,C63,JURNAL!C:C,"&gt;="&amp;$H$1,JURNAL!C:C,"&lt;="&amp;$I$1)</f>
        <v>0</v>
      </c>
      <c r="K63" s="11">
        <f>+SUMIFS(JURNAL!H:H,JURNAL!E:E,C63,JURNAL!C:C,"&gt;="&amp;$H$1,JURNAL!C:C,"&lt;="&amp;$I$1)</f>
        <v>0</v>
      </c>
      <c r="L63" s="26">
        <f t="shared" si="2"/>
        <v>8632006.0899999999</v>
      </c>
      <c r="M63" s="27">
        <f t="shared" si="0"/>
        <v>0</v>
      </c>
      <c r="N63" s="11"/>
      <c r="O63" s="190"/>
      <c r="P63" s="27"/>
      <c r="Q63" s="11"/>
      <c r="R63" s="26">
        <f t="shared" si="3"/>
        <v>8632006.0899999999</v>
      </c>
      <c r="S63" s="27">
        <f t="shared" si="4"/>
        <v>0</v>
      </c>
      <c r="T63" s="11"/>
      <c r="U63" s="11"/>
      <c r="V63" s="415">
        <f t="shared" si="5"/>
        <v>8632006.0899999999</v>
      </c>
      <c r="W63" s="379">
        <f t="shared" si="1"/>
        <v>0</v>
      </c>
      <c r="X63" s="4">
        <v>1107</v>
      </c>
      <c r="Y63" s="4"/>
      <c r="Z63" s="4"/>
      <c r="AA63" s="12">
        <f t="shared" si="6"/>
        <v>1</v>
      </c>
      <c r="AC63" s="79"/>
      <c r="AD63" s="79"/>
      <c r="AE63" s="79"/>
      <c r="AF63" s="79"/>
    </row>
    <row r="64" spans="1:32" ht="12.75" customHeight="1">
      <c r="A64" s="24"/>
      <c r="B64" s="108">
        <f t="shared" si="7"/>
        <v>61</v>
      </c>
      <c r="C64" s="6">
        <v>160201</v>
      </c>
      <c r="D64" s="121" t="s">
        <v>1566</v>
      </c>
      <c r="E64" s="9" t="s">
        <v>32</v>
      </c>
      <c r="F64" s="6"/>
      <c r="G64" s="6"/>
      <c r="H64" s="11">
        <f>+STAT2!V64</f>
        <v>375918.57</v>
      </c>
      <c r="I64" s="11">
        <f>+STAT2!W64</f>
        <v>0</v>
      </c>
      <c r="J64" s="11">
        <f>+SUMIFS(JURNAL!G:G,JURNAL!E:E,C64,JURNAL!C:C,"&gt;="&amp;$H$1,JURNAL!C:C,"&lt;="&amp;$I$1)</f>
        <v>0</v>
      </c>
      <c r="K64" s="11">
        <f>+SUMIFS(JURNAL!H:H,JURNAL!E:E,C64,JURNAL!C:C,"&gt;="&amp;$H$1,JURNAL!C:C,"&lt;="&amp;$I$1)</f>
        <v>0</v>
      </c>
      <c r="L64" s="26">
        <f t="shared" si="2"/>
        <v>375918.57</v>
      </c>
      <c r="M64" s="27">
        <f t="shared" si="0"/>
        <v>0</v>
      </c>
      <c r="N64" s="11"/>
      <c r="O64" s="190"/>
      <c r="P64" s="27"/>
      <c r="Q64" s="11"/>
      <c r="R64" s="26">
        <f t="shared" si="3"/>
        <v>375918.57</v>
      </c>
      <c r="S64" s="27">
        <f t="shared" si="4"/>
        <v>0</v>
      </c>
      <c r="T64" s="11"/>
      <c r="U64" s="11"/>
      <c r="V64" s="415">
        <f>+IF((R64+T64)&gt;(S64+U64),(R64+T64)-(S64+U64),0)</f>
        <v>375918.57</v>
      </c>
      <c r="W64" s="379">
        <f t="shared" si="1"/>
        <v>0</v>
      </c>
      <c r="X64" s="4">
        <v>1107</v>
      </c>
      <c r="Y64" s="4"/>
      <c r="Z64" s="4"/>
      <c r="AA64" s="12">
        <f t="shared" si="6"/>
        <v>1</v>
      </c>
      <c r="AC64" s="79"/>
      <c r="AD64" s="79"/>
      <c r="AE64" s="79"/>
      <c r="AF64" s="79"/>
    </row>
    <row r="65" spans="1:33" ht="12.75" customHeight="1">
      <c r="A65" s="24"/>
      <c r="B65" s="108">
        <f t="shared" si="7"/>
        <v>62</v>
      </c>
      <c r="C65" s="6">
        <v>160300</v>
      </c>
      <c r="D65" s="121" t="s">
        <v>955</v>
      </c>
      <c r="E65" s="9" t="s">
        <v>32</v>
      </c>
      <c r="F65" s="6"/>
      <c r="G65" s="6"/>
      <c r="H65" s="11">
        <f>+STAT2!V65</f>
        <v>0</v>
      </c>
      <c r="I65" s="11">
        <f>+STAT2!W65</f>
        <v>0</v>
      </c>
      <c r="J65" s="11">
        <f>+SUMIFS(JURNAL!G:G,JURNAL!E:E,C65,JURNAL!C:C,"&gt;="&amp;$H$1,JURNAL!C:C,"&lt;="&amp;$I$1)</f>
        <v>0</v>
      </c>
      <c r="K65" s="11">
        <f>+SUMIFS(JURNAL!H:H,JURNAL!E:E,C65,JURNAL!C:C,"&gt;="&amp;$H$1,JURNAL!C:C,"&lt;="&amp;$I$1)</f>
        <v>0</v>
      </c>
      <c r="L65" s="26">
        <f t="shared" si="2"/>
        <v>0</v>
      </c>
      <c r="M65" s="27">
        <f t="shared" si="0"/>
        <v>0</v>
      </c>
      <c r="N65" s="11"/>
      <c r="O65" s="190"/>
      <c r="P65" s="27"/>
      <c r="Q65" s="11"/>
      <c r="R65" s="26">
        <f t="shared" si="3"/>
        <v>0</v>
      </c>
      <c r="S65" s="27">
        <f t="shared" si="4"/>
        <v>0</v>
      </c>
      <c r="T65" s="11"/>
      <c r="U65" s="11"/>
      <c r="V65" s="415">
        <f t="shared" si="5"/>
        <v>0</v>
      </c>
      <c r="W65" s="379">
        <f t="shared" si="1"/>
        <v>0</v>
      </c>
      <c r="X65" s="4">
        <v>1107</v>
      </c>
      <c r="Y65" s="4"/>
      <c r="Z65" s="4"/>
      <c r="AA65" s="12">
        <f t="shared" si="6"/>
        <v>0</v>
      </c>
      <c r="AC65" s="79"/>
      <c r="AD65" s="79"/>
      <c r="AE65" s="79"/>
      <c r="AF65" s="79"/>
    </row>
    <row r="66" spans="1:33" ht="12.75" customHeight="1">
      <c r="A66" s="24"/>
      <c r="B66" s="108">
        <f t="shared" si="7"/>
        <v>63</v>
      </c>
      <c r="C66" s="6">
        <v>150500</v>
      </c>
      <c r="D66" s="121" t="s">
        <v>625</v>
      </c>
      <c r="E66" s="9" t="s">
        <v>32</v>
      </c>
      <c r="F66" s="6"/>
      <c r="G66" s="6"/>
      <c r="H66" s="11">
        <f>+STAT2!V66</f>
        <v>0</v>
      </c>
      <c r="I66" s="11">
        <f>+STAT2!W66</f>
        <v>0</v>
      </c>
      <c r="J66" s="11">
        <f>+SUMIFS(JURNAL!G:G,JURNAL!E:E,C66,JURNAL!C:C,"&gt;="&amp;$H$1,JURNAL!C:C,"&lt;="&amp;$I$1)</f>
        <v>0</v>
      </c>
      <c r="K66" s="11">
        <f>+SUMIFS(JURNAL!H:H,JURNAL!E:E,C66,JURNAL!C:C,"&gt;="&amp;$H$1,JURNAL!C:C,"&lt;="&amp;$I$1)</f>
        <v>0</v>
      </c>
      <c r="L66" s="26">
        <f t="shared" si="2"/>
        <v>0</v>
      </c>
      <c r="M66" s="27">
        <f t="shared" si="0"/>
        <v>0</v>
      </c>
      <c r="N66" s="11"/>
      <c r="O66" s="190"/>
      <c r="P66" s="27"/>
      <c r="Q66" s="11"/>
      <c r="R66" s="26">
        <f t="shared" si="3"/>
        <v>0</v>
      </c>
      <c r="S66" s="27">
        <f t="shared" si="4"/>
        <v>0</v>
      </c>
      <c r="T66" s="11"/>
      <c r="U66" s="11"/>
      <c r="V66" s="415">
        <f t="shared" si="5"/>
        <v>0</v>
      </c>
      <c r="W66" s="379">
        <f t="shared" si="1"/>
        <v>0</v>
      </c>
      <c r="X66" s="4">
        <v>1107</v>
      </c>
      <c r="Y66" s="4"/>
      <c r="Z66" s="4"/>
      <c r="AA66" s="12">
        <f t="shared" si="6"/>
        <v>0</v>
      </c>
      <c r="AC66" s="79"/>
      <c r="AD66" s="79"/>
      <c r="AE66" s="79"/>
      <c r="AF66" s="79"/>
    </row>
    <row r="67" spans="1:33" ht="12.75" customHeight="1">
      <c r="A67" s="24"/>
      <c r="B67" s="108">
        <f t="shared" si="7"/>
        <v>64</v>
      </c>
      <c r="C67" s="6">
        <v>150800</v>
      </c>
      <c r="D67" s="121" t="s">
        <v>631</v>
      </c>
      <c r="E67" s="9" t="s">
        <v>32</v>
      </c>
      <c r="F67" s="6"/>
      <c r="G67" s="6"/>
      <c r="H67" s="11">
        <f>+STAT2!V67</f>
        <v>0</v>
      </c>
      <c r="I67" s="11">
        <f>+STAT2!W67</f>
        <v>0</v>
      </c>
      <c r="J67" s="11">
        <f>+SUMIFS(JURNAL!G:G,JURNAL!E:E,C67,JURNAL!C:C,"&gt;="&amp;$H$1,JURNAL!C:C,"&lt;="&amp;$I$1)</f>
        <v>0</v>
      </c>
      <c r="K67" s="11">
        <f>+SUMIFS(JURNAL!H:H,JURNAL!E:E,C67,JURNAL!C:C,"&gt;="&amp;$H$1,JURNAL!C:C,"&lt;="&amp;$I$1)</f>
        <v>0</v>
      </c>
      <c r="L67" s="26">
        <f t="shared" si="2"/>
        <v>0</v>
      </c>
      <c r="M67" s="27">
        <f t="shared" si="0"/>
        <v>0</v>
      </c>
      <c r="N67" s="11"/>
      <c r="O67" s="190"/>
      <c r="P67" s="27"/>
      <c r="Q67" s="11"/>
      <c r="R67" s="26">
        <f t="shared" si="3"/>
        <v>0</v>
      </c>
      <c r="S67" s="27">
        <f t="shared" si="4"/>
        <v>0</v>
      </c>
      <c r="T67" s="11"/>
      <c r="U67" s="11"/>
      <c r="V67" s="415">
        <f t="shared" si="5"/>
        <v>0</v>
      </c>
      <c r="W67" s="379">
        <f t="shared" si="1"/>
        <v>0</v>
      </c>
      <c r="X67" s="4">
        <v>1109</v>
      </c>
      <c r="Y67" s="4"/>
      <c r="Z67" s="4"/>
      <c r="AA67" s="12">
        <f t="shared" si="6"/>
        <v>0</v>
      </c>
      <c r="AC67" s="79"/>
      <c r="AD67" s="79"/>
      <c r="AE67" s="79"/>
      <c r="AF67" s="79"/>
    </row>
    <row r="68" spans="1:33" ht="12.75" customHeight="1">
      <c r="A68" s="24"/>
      <c r="B68" s="108">
        <f t="shared" si="7"/>
        <v>65</v>
      </c>
      <c r="C68" s="6">
        <v>150900</v>
      </c>
      <c r="D68" s="121" t="s">
        <v>637</v>
      </c>
      <c r="E68" s="9" t="s">
        <v>32</v>
      </c>
      <c r="F68" s="6"/>
      <c r="G68" s="6"/>
      <c r="H68" s="11">
        <f>+STAT2!V68</f>
        <v>0</v>
      </c>
      <c r="I68" s="11">
        <f>+STAT2!W68</f>
        <v>0</v>
      </c>
      <c r="J68" s="11">
        <f>+SUMIFS(JURNAL!G:G,JURNAL!E:E,C68,JURNAL!C:C,"&gt;="&amp;$H$1,JURNAL!C:C,"&lt;="&amp;$I$1)</f>
        <v>0</v>
      </c>
      <c r="K68" s="11">
        <f>+SUMIFS(JURNAL!H:H,JURNAL!E:E,C68,JURNAL!C:C,"&gt;="&amp;$H$1,JURNAL!C:C,"&lt;="&amp;$I$1)</f>
        <v>0</v>
      </c>
      <c r="L68" s="26">
        <f t="shared" si="2"/>
        <v>0</v>
      </c>
      <c r="M68" s="27">
        <f t="shared" ref="M68:M131" si="9">+IF((H68+J68)&lt;(I68+K68),(I68+K68)-(H68+J68),0)</f>
        <v>0</v>
      </c>
      <c r="N68" s="11"/>
      <c r="O68" s="190"/>
      <c r="P68" s="27"/>
      <c r="Q68" s="11"/>
      <c r="R68" s="26">
        <f t="shared" si="3"/>
        <v>0</v>
      </c>
      <c r="S68" s="27">
        <f t="shared" si="4"/>
        <v>0</v>
      </c>
      <c r="T68" s="11"/>
      <c r="U68" s="11"/>
      <c r="V68" s="415">
        <f t="shared" si="5"/>
        <v>0</v>
      </c>
      <c r="W68" s="379">
        <f t="shared" ref="W68:W131" si="10">+IF((R68+T68)&lt;(S68+U68),(S68+U68)-(R68+T68),0)</f>
        <v>0</v>
      </c>
      <c r="X68" s="4">
        <v>1110</v>
      </c>
      <c r="Y68" s="4"/>
      <c r="Z68" s="4"/>
      <c r="AA68" s="12">
        <f t="shared" si="6"/>
        <v>0</v>
      </c>
      <c r="AC68" s="79"/>
      <c r="AD68" s="79"/>
      <c r="AE68" s="79"/>
      <c r="AF68" s="79"/>
    </row>
    <row r="69" spans="1:33" ht="12.75" customHeight="1">
      <c r="A69" s="24"/>
      <c r="B69" s="108">
        <f t="shared" si="7"/>
        <v>66</v>
      </c>
      <c r="C69" s="6">
        <v>180100</v>
      </c>
      <c r="D69" s="121" t="s">
        <v>642</v>
      </c>
      <c r="E69" s="9" t="s">
        <v>32</v>
      </c>
      <c r="F69" s="6"/>
      <c r="G69" s="6"/>
      <c r="H69" s="11">
        <f>+STAT2!V69</f>
        <v>50000000</v>
      </c>
      <c r="I69" s="11">
        <f>+STAT2!W69</f>
        <v>0</v>
      </c>
      <c r="J69" s="11">
        <f>+SUMIFS(JURNAL!G:G,JURNAL!E:E,C69,JURNAL!C:C,"&gt;="&amp;$H$1,JURNAL!C:C,"&lt;="&amp;$I$1)</f>
        <v>0</v>
      </c>
      <c r="K69" s="11">
        <f>+SUMIFS(JURNAL!H:H,JURNAL!E:E,C69,JURNAL!C:C,"&gt;="&amp;$H$1,JURNAL!C:C,"&lt;="&amp;$I$1)</f>
        <v>0</v>
      </c>
      <c r="L69" s="26">
        <f t="shared" ref="L69:L132" si="11">+IF((H69+J69)&gt;(I69+K69),(H69+J69)-(I69+K69),0)</f>
        <v>50000000</v>
      </c>
      <c r="M69" s="27">
        <f t="shared" si="9"/>
        <v>0</v>
      </c>
      <c r="N69" s="11"/>
      <c r="O69" s="190"/>
      <c r="P69" s="27"/>
      <c r="Q69" s="11"/>
      <c r="R69" s="26">
        <f t="shared" ref="R69:R132" si="12">+IF((L69+N69)&gt;(M69+O69),(L69+N69)-(M69+O69),0)</f>
        <v>50000000</v>
      </c>
      <c r="S69" s="27">
        <f t="shared" ref="S69:S132" si="13">+IF((L69+N69)&lt;(M69+O69),(M69+O69)-(L69+N69),0)</f>
        <v>0</v>
      </c>
      <c r="T69" s="11"/>
      <c r="U69" s="11"/>
      <c r="V69" s="415">
        <f t="shared" ref="V69:V132" si="14">+IF((R69+T69)&gt;(S69+U69),(R69+T69)-(S69+U69),0)</f>
        <v>50000000</v>
      </c>
      <c r="W69" s="379">
        <f t="shared" si="10"/>
        <v>0</v>
      </c>
      <c r="X69" s="4">
        <v>1108</v>
      </c>
      <c r="Y69" s="4"/>
      <c r="Z69" s="4"/>
      <c r="AA69" s="12">
        <f t="shared" ref="AA69:AA132" si="15">+IF(H69+I69+J69+K69+L69+M69+N69+O69+R69+S69+T69+U69+V69+W69,1,0)</f>
        <v>1</v>
      </c>
      <c r="AC69" s="79"/>
      <c r="AD69" s="79"/>
      <c r="AE69" s="79"/>
      <c r="AF69" s="79"/>
    </row>
    <row r="70" spans="1:33" ht="12.75" customHeight="1">
      <c r="A70" s="24"/>
      <c r="B70" s="108">
        <f t="shared" ref="B70:B133" si="16">+B69+1</f>
        <v>67</v>
      </c>
      <c r="C70" s="6">
        <v>180101</v>
      </c>
      <c r="D70" s="121" t="s">
        <v>956</v>
      </c>
      <c r="E70" s="9" t="s">
        <v>30</v>
      </c>
      <c r="F70" s="6"/>
      <c r="G70" s="6"/>
      <c r="H70" s="11">
        <f>+STAT2!V70</f>
        <v>0</v>
      </c>
      <c r="I70" s="11">
        <f>+STAT2!W70</f>
        <v>0</v>
      </c>
      <c r="J70" s="11">
        <f>+SUMIFS(JURNAL!G:G,JURNAL!E:E,C70,JURNAL!C:C,"&gt;="&amp;$H$1,JURNAL!C:C,"&lt;="&amp;$I$1)</f>
        <v>0</v>
      </c>
      <c r="K70" s="11">
        <f>+SUMIFS(JURNAL!H:H,JURNAL!E:E,C70,JURNAL!C:C,"&gt;="&amp;$H$1,JURNAL!C:C,"&lt;="&amp;$I$1)</f>
        <v>0</v>
      </c>
      <c r="L70" s="26">
        <f t="shared" si="11"/>
        <v>0</v>
      </c>
      <c r="M70" s="27">
        <f t="shared" si="9"/>
        <v>0</v>
      </c>
      <c r="N70" s="11"/>
      <c r="O70" s="190"/>
      <c r="P70" s="27"/>
      <c r="Q70" s="11"/>
      <c r="R70" s="26">
        <f t="shared" si="12"/>
        <v>0</v>
      </c>
      <c r="S70" s="27">
        <f t="shared" si="13"/>
        <v>0</v>
      </c>
      <c r="T70" s="11"/>
      <c r="U70" s="11"/>
      <c r="V70" s="415">
        <f t="shared" si="14"/>
        <v>0</v>
      </c>
      <c r="W70" s="379">
        <f t="shared" si="10"/>
        <v>0</v>
      </c>
      <c r="X70" s="4">
        <v>1108</v>
      </c>
      <c r="Y70" s="4"/>
      <c r="Z70" s="4"/>
      <c r="AA70" s="12">
        <f t="shared" si="15"/>
        <v>0</v>
      </c>
      <c r="AC70" s="79"/>
      <c r="AD70" s="79"/>
      <c r="AE70" s="79"/>
      <c r="AF70" s="79"/>
    </row>
    <row r="71" spans="1:33" ht="12.75" customHeight="1">
      <c r="A71" s="24"/>
      <c r="B71" s="108">
        <f t="shared" si="16"/>
        <v>68</v>
      </c>
      <c r="C71" s="6">
        <v>180200</v>
      </c>
      <c r="D71" s="121" t="s">
        <v>970</v>
      </c>
      <c r="E71" s="9" t="s">
        <v>32</v>
      </c>
      <c r="F71" s="6"/>
      <c r="G71" s="6"/>
      <c r="H71" s="11">
        <f>+STAT2!V71</f>
        <v>47400000.000000007</v>
      </c>
      <c r="I71" s="11">
        <f>+STAT2!W71</f>
        <v>0</v>
      </c>
      <c r="J71" s="11">
        <f>+SUMIFS(JURNAL!G:G,JURNAL!E:E,C71,JURNAL!C:C,"&gt;="&amp;$H$1,JURNAL!C:C,"&lt;="&amp;$I$1)</f>
        <v>0</v>
      </c>
      <c r="K71" s="11">
        <f>+SUMIFS(JURNAL!H:H,JURNAL!E:E,C71,JURNAL!C:C,"&gt;="&amp;$H$1,JURNAL!C:C,"&lt;="&amp;$I$1)</f>
        <v>0</v>
      </c>
      <c r="L71" s="26">
        <f t="shared" si="11"/>
        <v>47400000.000000007</v>
      </c>
      <c r="M71" s="27">
        <f t="shared" si="9"/>
        <v>0</v>
      </c>
      <c r="N71" s="11"/>
      <c r="O71" s="190"/>
      <c r="P71" s="27"/>
      <c r="Q71" s="11"/>
      <c r="R71" s="26">
        <f t="shared" si="12"/>
        <v>47400000.000000007</v>
      </c>
      <c r="S71" s="27">
        <f t="shared" si="13"/>
        <v>0</v>
      </c>
      <c r="T71" s="11"/>
      <c r="U71" s="11"/>
      <c r="V71" s="415">
        <f t="shared" si="14"/>
        <v>47400000.000000007</v>
      </c>
      <c r="W71" s="379">
        <f t="shared" si="10"/>
        <v>0</v>
      </c>
      <c r="X71" s="4">
        <v>1108</v>
      </c>
      <c r="Y71" s="4"/>
      <c r="Z71" s="4"/>
      <c r="AA71" s="12">
        <f t="shared" si="15"/>
        <v>1</v>
      </c>
      <c r="AC71" s="79"/>
      <c r="AD71" s="79"/>
      <c r="AE71" s="79"/>
      <c r="AF71" s="79"/>
    </row>
    <row r="72" spans="1:33" ht="12.75" customHeight="1">
      <c r="A72" s="24"/>
      <c r="B72" s="108">
        <f t="shared" si="16"/>
        <v>69</v>
      </c>
      <c r="C72" s="6">
        <v>180300</v>
      </c>
      <c r="D72" s="121" t="s">
        <v>957</v>
      </c>
      <c r="E72" s="9" t="s">
        <v>30</v>
      </c>
      <c r="F72" s="6"/>
      <c r="G72" s="6"/>
      <c r="H72" s="11">
        <f>+STAT2!V72</f>
        <v>0</v>
      </c>
      <c r="I72" s="11">
        <f>+STAT2!W72</f>
        <v>0</v>
      </c>
      <c r="J72" s="11">
        <f>+SUMIFS(JURNAL!G:G,JURNAL!E:E,C72,JURNAL!C:C,"&gt;="&amp;$H$1,JURNAL!C:C,"&lt;="&amp;$I$1)</f>
        <v>0</v>
      </c>
      <c r="K72" s="11">
        <f>+SUMIFS(JURNAL!H:H,JURNAL!E:E,C72,JURNAL!C:C,"&gt;="&amp;$H$1,JURNAL!C:C,"&lt;="&amp;$I$1)</f>
        <v>0</v>
      </c>
      <c r="L72" s="26">
        <f t="shared" si="11"/>
        <v>0</v>
      </c>
      <c r="M72" s="27">
        <f t="shared" si="9"/>
        <v>0</v>
      </c>
      <c r="N72" s="11"/>
      <c r="O72" s="190"/>
      <c r="P72" s="27"/>
      <c r="Q72" s="11"/>
      <c r="R72" s="26">
        <f t="shared" si="12"/>
        <v>0</v>
      </c>
      <c r="S72" s="27">
        <f t="shared" si="13"/>
        <v>0</v>
      </c>
      <c r="T72" s="11"/>
      <c r="U72" s="11"/>
      <c r="V72" s="415">
        <f t="shared" si="14"/>
        <v>0</v>
      </c>
      <c r="W72" s="379">
        <f t="shared" si="10"/>
        <v>0</v>
      </c>
      <c r="X72" s="4">
        <v>1108</v>
      </c>
      <c r="Y72" s="4"/>
      <c r="Z72" s="4"/>
      <c r="AA72" s="12">
        <f t="shared" si="15"/>
        <v>0</v>
      </c>
      <c r="AC72" s="79"/>
      <c r="AD72" s="79"/>
      <c r="AE72" s="79"/>
      <c r="AF72" s="79"/>
    </row>
    <row r="73" spans="1:33" ht="12.75" customHeight="1">
      <c r="A73" s="24"/>
      <c r="B73" s="108">
        <f t="shared" si="16"/>
        <v>70</v>
      </c>
      <c r="C73" s="6">
        <v>180400</v>
      </c>
      <c r="D73" s="121" t="s">
        <v>650</v>
      </c>
      <c r="E73" s="9" t="s">
        <v>32</v>
      </c>
      <c r="F73" s="6"/>
      <c r="G73" s="6"/>
      <c r="H73" s="11">
        <f>+STAT2!V73</f>
        <v>0</v>
      </c>
      <c r="I73" s="11">
        <f>+STAT2!W73</f>
        <v>0</v>
      </c>
      <c r="J73" s="11">
        <f>+SUMIFS(JURNAL!G:G,JURNAL!E:E,C73,JURNAL!C:C,"&gt;="&amp;$H$1,JURNAL!C:C,"&lt;="&amp;$I$1)</f>
        <v>0</v>
      </c>
      <c r="K73" s="11">
        <f>+SUMIFS(JURNAL!H:H,JURNAL!E:E,C73,JURNAL!C:C,"&gt;="&amp;$H$1,JURNAL!C:C,"&lt;="&amp;$I$1)</f>
        <v>0</v>
      </c>
      <c r="L73" s="26">
        <f t="shared" si="11"/>
        <v>0</v>
      </c>
      <c r="M73" s="27">
        <f t="shared" si="9"/>
        <v>0</v>
      </c>
      <c r="N73" s="11"/>
      <c r="O73" s="190"/>
      <c r="P73" s="27"/>
      <c r="Q73" s="11"/>
      <c r="R73" s="26">
        <f t="shared" si="12"/>
        <v>0</v>
      </c>
      <c r="S73" s="27">
        <f t="shared" si="13"/>
        <v>0</v>
      </c>
      <c r="T73" s="11"/>
      <c r="U73" s="11"/>
      <c r="V73" s="415">
        <f t="shared" si="14"/>
        <v>0</v>
      </c>
      <c r="W73" s="379">
        <f t="shared" si="10"/>
        <v>0</v>
      </c>
      <c r="X73" s="4">
        <v>1108</v>
      </c>
      <c r="Y73" s="4"/>
      <c r="Z73" s="4"/>
      <c r="AA73" s="12">
        <f t="shared" si="15"/>
        <v>0</v>
      </c>
      <c r="AC73" s="79"/>
      <c r="AD73" s="79"/>
      <c r="AE73" s="79"/>
      <c r="AF73" s="79"/>
    </row>
    <row r="74" spans="1:33" ht="12.75" customHeight="1">
      <c r="A74" s="24"/>
      <c r="B74" s="108">
        <f t="shared" si="16"/>
        <v>71</v>
      </c>
      <c r="C74" s="6">
        <v>200100</v>
      </c>
      <c r="D74" s="121" t="s">
        <v>992</v>
      </c>
      <c r="E74" s="9" t="s">
        <v>32</v>
      </c>
      <c r="F74" s="6"/>
      <c r="G74" s="6"/>
      <c r="H74" s="11">
        <f>+STAT2!V74</f>
        <v>0</v>
      </c>
      <c r="I74" s="11">
        <f>+STAT2!W74</f>
        <v>0</v>
      </c>
      <c r="J74" s="11">
        <f>+SUMIFS(JURNAL!G:G,JURNAL!E:E,C74,JURNAL!C:C,"&gt;="&amp;$H$1,JURNAL!C:C,"&lt;="&amp;$I$1)</f>
        <v>0</v>
      </c>
      <c r="K74" s="11">
        <f>+SUMIFS(JURNAL!H:H,JURNAL!E:E,C74,JURNAL!C:C,"&gt;="&amp;$H$1,JURNAL!C:C,"&lt;="&amp;$I$1)</f>
        <v>0</v>
      </c>
      <c r="L74" s="26">
        <f t="shared" si="11"/>
        <v>0</v>
      </c>
      <c r="M74" s="27">
        <f t="shared" si="9"/>
        <v>0</v>
      </c>
      <c r="N74" s="11"/>
      <c r="O74" s="190"/>
      <c r="P74" s="27"/>
      <c r="Q74" s="11"/>
      <c r="R74" s="26">
        <f t="shared" si="12"/>
        <v>0</v>
      </c>
      <c r="S74" s="27">
        <f t="shared" si="13"/>
        <v>0</v>
      </c>
      <c r="T74" s="11"/>
      <c r="U74" s="11"/>
      <c r="V74" s="415">
        <f t="shared" si="14"/>
        <v>0</v>
      </c>
      <c r="W74" s="379">
        <f t="shared" si="10"/>
        <v>0</v>
      </c>
      <c r="X74" s="4">
        <v>1120</v>
      </c>
      <c r="Y74" s="4"/>
      <c r="Z74" s="4"/>
      <c r="AA74" s="12">
        <f t="shared" si="15"/>
        <v>0</v>
      </c>
      <c r="AC74" s="79"/>
      <c r="AD74" s="79"/>
      <c r="AE74" s="79"/>
      <c r="AF74" s="79"/>
    </row>
    <row r="75" spans="1:33" ht="12.75" customHeight="1">
      <c r="A75" s="24"/>
      <c r="B75" s="108">
        <f t="shared" si="16"/>
        <v>72</v>
      </c>
      <c r="C75" s="6">
        <v>200200</v>
      </c>
      <c r="D75" s="121" t="s">
        <v>658</v>
      </c>
      <c r="E75" s="9" t="s">
        <v>32</v>
      </c>
      <c r="F75" s="6"/>
      <c r="G75" s="6"/>
      <c r="H75" s="11">
        <f>+STAT2!V75</f>
        <v>1172805331</v>
      </c>
      <c r="I75" s="11">
        <f>+STAT2!W75</f>
        <v>0</v>
      </c>
      <c r="J75" s="11">
        <f>+SUMIFS(JURNAL!G:G,JURNAL!E:E,C75,JURNAL!C:C,"&gt;="&amp;$H$1,JURNAL!C:C,"&lt;="&amp;$I$1)</f>
        <v>0</v>
      </c>
      <c r="K75" s="11">
        <f>+SUMIFS(JURNAL!H:H,JURNAL!E:E,C75,JURNAL!C:C,"&gt;="&amp;$H$1,JURNAL!C:C,"&lt;="&amp;$I$1)</f>
        <v>0</v>
      </c>
      <c r="L75" s="26">
        <f t="shared" si="11"/>
        <v>1172805331</v>
      </c>
      <c r="M75" s="27">
        <f t="shared" si="9"/>
        <v>0</v>
      </c>
      <c r="N75" s="11"/>
      <c r="O75" s="190"/>
      <c r="P75" s="27"/>
      <c r="Q75" s="11"/>
      <c r="R75" s="26">
        <f t="shared" si="12"/>
        <v>1172805331</v>
      </c>
      <c r="S75" s="27">
        <f t="shared" si="13"/>
        <v>0</v>
      </c>
      <c r="T75" s="11"/>
      <c r="U75" s="11"/>
      <c r="V75" s="415">
        <f t="shared" si="14"/>
        <v>1172805331</v>
      </c>
      <c r="W75" s="379">
        <f t="shared" si="10"/>
        <v>0</v>
      </c>
      <c r="X75" s="4">
        <v>1120</v>
      </c>
      <c r="Y75" s="4"/>
      <c r="Z75" s="4"/>
      <c r="AA75" s="12">
        <f t="shared" si="15"/>
        <v>1</v>
      </c>
      <c r="AC75" s="79"/>
      <c r="AD75" s="79"/>
      <c r="AE75" s="79"/>
      <c r="AF75" s="79"/>
    </row>
    <row r="76" spans="1:33" ht="12.75" customHeight="1">
      <c r="A76" s="24"/>
      <c r="B76" s="108">
        <f t="shared" si="16"/>
        <v>73</v>
      </c>
      <c r="C76" s="6">
        <v>200300</v>
      </c>
      <c r="D76" s="121" t="s">
        <v>318</v>
      </c>
      <c r="E76" s="9" t="s">
        <v>32</v>
      </c>
      <c r="F76" s="6"/>
      <c r="G76" s="6"/>
      <c r="H76" s="11">
        <f>+STAT2!V76</f>
        <v>8844705.1799999997</v>
      </c>
      <c r="I76" s="11">
        <f>+STAT2!W76</f>
        <v>0</v>
      </c>
      <c r="J76" s="11">
        <f>+SUMIFS(JURNAL!G:G,JURNAL!E:E,C76,JURNAL!C:C,"&gt;="&amp;$H$1,JURNAL!C:C,"&lt;="&amp;$I$1)</f>
        <v>0</v>
      </c>
      <c r="K76" s="11">
        <f>+SUMIFS(JURNAL!H:H,JURNAL!E:E,C76,JURNAL!C:C,"&gt;="&amp;$H$1,JURNAL!C:C,"&lt;="&amp;$I$1)</f>
        <v>0</v>
      </c>
      <c r="L76" s="26">
        <f t="shared" si="11"/>
        <v>8844705.1799999997</v>
      </c>
      <c r="M76" s="27">
        <f t="shared" si="9"/>
        <v>0</v>
      </c>
      <c r="N76" s="11"/>
      <c r="O76" s="190"/>
      <c r="P76" s="27"/>
      <c r="Q76" s="11"/>
      <c r="R76" s="26">
        <f t="shared" si="12"/>
        <v>8844705.1799999997</v>
      </c>
      <c r="S76" s="27">
        <f t="shared" si="13"/>
        <v>0</v>
      </c>
      <c r="T76" s="11"/>
      <c r="U76" s="11"/>
      <c r="V76" s="415">
        <f t="shared" si="14"/>
        <v>8844705.1799999997</v>
      </c>
      <c r="W76" s="379">
        <f t="shared" si="10"/>
        <v>0</v>
      </c>
      <c r="X76" s="4">
        <v>1120</v>
      </c>
      <c r="Y76" s="4"/>
      <c r="Z76" s="4"/>
      <c r="AA76" s="12">
        <f t="shared" si="15"/>
        <v>1</v>
      </c>
      <c r="AC76" s="79"/>
      <c r="AD76" s="79"/>
      <c r="AE76" s="79"/>
      <c r="AF76" s="79"/>
    </row>
    <row r="77" spans="1:33" ht="12.75" customHeight="1">
      <c r="A77" s="24"/>
      <c r="B77" s="108">
        <f t="shared" si="16"/>
        <v>74</v>
      </c>
      <c r="C77" s="6">
        <v>200400</v>
      </c>
      <c r="D77" s="121" t="s">
        <v>664</v>
      </c>
      <c r="E77" s="9" t="s">
        <v>32</v>
      </c>
      <c r="F77" s="6"/>
      <c r="G77" s="6"/>
      <c r="H77" s="11">
        <f>+STAT2!V77</f>
        <v>709587375.44000006</v>
      </c>
      <c r="I77" s="11">
        <f>+STAT2!W77</f>
        <v>0</v>
      </c>
      <c r="J77" s="11">
        <f>+SUMIFS(JURNAL!G:G,JURNAL!E:E,C77,JURNAL!C:C,"&gt;="&amp;$H$1,JURNAL!C:C,"&lt;="&amp;$I$1)</f>
        <v>0</v>
      </c>
      <c r="K77" s="11">
        <f>+SUMIFS(JURNAL!H:H,JURNAL!E:E,C77,JURNAL!C:C,"&gt;="&amp;$H$1,JURNAL!C:C,"&lt;="&amp;$I$1)</f>
        <v>0</v>
      </c>
      <c r="L77" s="26">
        <f t="shared" si="11"/>
        <v>709587375.44000006</v>
      </c>
      <c r="M77" s="27">
        <f t="shared" si="9"/>
        <v>0</v>
      </c>
      <c r="N77" s="11"/>
      <c r="O77" s="190"/>
      <c r="P77" s="27"/>
      <c r="Q77" s="11"/>
      <c r="R77" s="26">
        <f t="shared" si="12"/>
        <v>709587375.44000006</v>
      </c>
      <c r="S77" s="27">
        <f t="shared" si="13"/>
        <v>0</v>
      </c>
      <c r="T77" s="11"/>
      <c r="U77" s="11"/>
      <c r="V77" s="415">
        <f t="shared" si="14"/>
        <v>709587375.44000006</v>
      </c>
      <c r="W77" s="379">
        <f t="shared" si="10"/>
        <v>0</v>
      </c>
      <c r="X77" s="4">
        <v>1120</v>
      </c>
      <c r="Y77" s="4"/>
      <c r="Z77" s="4"/>
      <c r="AA77" s="12">
        <f t="shared" si="15"/>
        <v>1</v>
      </c>
      <c r="AC77" s="79"/>
      <c r="AD77" s="79"/>
      <c r="AE77" s="79"/>
      <c r="AF77" s="79"/>
    </row>
    <row r="78" spans="1:33" ht="12.75" customHeight="1">
      <c r="A78" s="24"/>
      <c r="B78" s="108">
        <f t="shared" si="16"/>
        <v>75</v>
      </c>
      <c r="C78" s="6">
        <v>200500</v>
      </c>
      <c r="D78" s="121" t="s">
        <v>668</v>
      </c>
      <c r="E78" s="9" t="s">
        <v>32</v>
      </c>
      <c r="F78" s="6"/>
      <c r="G78" s="6"/>
      <c r="H78" s="11">
        <f>+STAT2!V78</f>
        <v>174300000</v>
      </c>
      <c r="I78" s="11">
        <f>+STAT2!W78</f>
        <v>0</v>
      </c>
      <c r="J78" s="11">
        <f>+SUMIFS(JURNAL!G:G,JURNAL!E:E,C78,JURNAL!C:C,"&gt;="&amp;$H$1,JURNAL!C:C,"&lt;="&amp;$I$1)</f>
        <v>0</v>
      </c>
      <c r="K78" s="11">
        <f>+SUMIFS(JURNAL!H:H,JURNAL!E:E,C78,JURNAL!C:C,"&gt;="&amp;$H$1,JURNAL!C:C,"&lt;="&amp;$I$1)</f>
        <v>0</v>
      </c>
      <c r="L78" s="26">
        <f t="shared" si="11"/>
        <v>174300000</v>
      </c>
      <c r="M78" s="27">
        <f t="shared" si="9"/>
        <v>0</v>
      </c>
      <c r="N78" s="11"/>
      <c r="O78" s="190"/>
      <c r="P78" s="27"/>
      <c r="Q78" s="11"/>
      <c r="R78" s="26">
        <f t="shared" si="12"/>
        <v>174300000</v>
      </c>
      <c r="S78" s="27">
        <f t="shared" si="13"/>
        <v>0</v>
      </c>
      <c r="T78" s="11"/>
      <c r="U78" s="11"/>
      <c r="V78" s="415">
        <f t="shared" si="14"/>
        <v>174300000</v>
      </c>
      <c r="W78" s="379">
        <f t="shared" si="10"/>
        <v>0</v>
      </c>
      <c r="X78" s="4">
        <v>1120</v>
      </c>
      <c r="Y78" s="4"/>
      <c r="Z78" s="4"/>
      <c r="AA78" s="12">
        <f t="shared" si="15"/>
        <v>1</v>
      </c>
      <c r="AC78" s="79"/>
      <c r="AD78" s="79"/>
      <c r="AE78" s="79"/>
      <c r="AF78" s="79"/>
    </row>
    <row r="79" spans="1:33" ht="12.75" customHeight="1">
      <c r="A79" s="24"/>
      <c r="B79" s="108">
        <f t="shared" si="16"/>
        <v>76</v>
      </c>
      <c r="C79" s="6">
        <v>201000</v>
      </c>
      <c r="D79" s="121" t="s">
        <v>688</v>
      </c>
      <c r="E79" s="9" t="s">
        <v>32</v>
      </c>
      <c r="F79" s="6"/>
      <c r="G79" s="6"/>
      <c r="H79" s="11">
        <f>+STAT2!V79</f>
        <v>17111038.23</v>
      </c>
      <c r="I79" s="11">
        <f>+STAT2!W79</f>
        <v>0</v>
      </c>
      <c r="J79" s="11">
        <f>+SUMIFS(JURNAL!G:G,JURNAL!E:E,C79,JURNAL!C:C,"&gt;="&amp;$H$1,JURNAL!C:C,"&lt;="&amp;$I$1)</f>
        <v>0</v>
      </c>
      <c r="K79" s="11">
        <f>+SUMIFS(JURNAL!H:H,JURNAL!E:E,C79,JURNAL!C:C,"&gt;="&amp;$H$1,JURNAL!C:C,"&lt;="&amp;$I$1)</f>
        <v>0</v>
      </c>
      <c r="L79" s="26">
        <f t="shared" si="11"/>
        <v>17111038.23</v>
      </c>
      <c r="M79" s="27">
        <f t="shared" si="9"/>
        <v>0</v>
      </c>
      <c r="N79" s="11"/>
      <c r="O79" s="190"/>
      <c r="P79" s="27"/>
      <c r="Q79" s="11"/>
      <c r="R79" s="26">
        <f t="shared" si="12"/>
        <v>17111038.23</v>
      </c>
      <c r="S79" s="27">
        <f t="shared" si="13"/>
        <v>0</v>
      </c>
      <c r="T79" s="11"/>
      <c r="U79" s="11"/>
      <c r="V79" s="415">
        <f t="shared" si="14"/>
        <v>17111038.23</v>
      </c>
      <c r="W79" s="379">
        <f t="shared" si="10"/>
        <v>0</v>
      </c>
      <c r="X79" s="4">
        <v>1120</v>
      </c>
      <c r="Y79" s="4"/>
      <c r="Z79" s="4"/>
      <c r="AA79" s="12">
        <f t="shared" si="15"/>
        <v>1</v>
      </c>
      <c r="AC79" s="79"/>
      <c r="AD79" s="79"/>
      <c r="AE79" s="79"/>
      <c r="AF79" s="79"/>
    </row>
    <row r="80" spans="1:33" ht="12.75" customHeight="1">
      <c r="A80" s="24"/>
      <c r="B80" s="108">
        <f t="shared" si="16"/>
        <v>77</v>
      </c>
      <c r="C80" s="6">
        <v>200201</v>
      </c>
      <c r="D80" s="121" t="s">
        <v>958</v>
      </c>
      <c r="E80" s="9" t="s">
        <v>32</v>
      </c>
      <c r="F80" s="6"/>
      <c r="G80" s="6"/>
      <c r="H80" s="11">
        <f>+STAT2!V80</f>
        <v>0</v>
      </c>
      <c r="I80" s="11">
        <f>+STAT2!W80</f>
        <v>0</v>
      </c>
      <c r="J80" s="11">
        <f>+SUMIFS(JURNAL!G:G,JURNAL!E:E,C80,JURNAL!C:C,"&gt;="&amp;$H$1,JURNAL!C:C,"&lt;="&amp;$I$1)</f>
        <v>0</v>
      </c>
      <c r="K80" s="11">
        <f>+SUMIFS(JURNAL!H:H,JURNAL!E:E,C80,JURNAL!C:C,"&gt;="&amp;$H$1,JURNAL!C:C,"&lt;="&amp;$I$1)</f>
        <v>0</v>
      </c>
      <c r="L80" s="26">
        <f t="shared" si="11"/>
        <v>0</v>
      </c>
      <c r="M80" s="27">
        <f t="shared" si="9"/>
        <v>0</v>
      </c>
      <c r="N80" s="11"/>
      <c r="O80" s="190"/>
      <c r="P80" s="27"/>
      <c r="Q80" s="11"/>
      <c r="R80" s="26">
        <f t="shared" si="12"/>
        <v>0</v>
      </c>
      <c r="S80" s="27">
        <f t="shared" si="13"/>
        <v>0</v>
      </c>
      <c r="T80" s="11"/>
      <c r="U80" s="11"/>
      <c r="V80" s="415">
        <f t="shared" si="14"/>
        <v>0</v>
      </c>
      <c r="W80" s="379">
        <f t="shared" si="10"/>
        <v>0</v>
      </c>
      <c r="X80" s="4">
        <v>1120</v>
      </c>
      <c r="Y80" s="4"/>
      <c r="Z80" s="4"/>
      <c r="AA80" s="12">
        <f t="shared" si="15"/>
        <v>0</v>
      </c>
      <c r="AC80" s="79"/>
      <c r="AD80" s="79"/>
      <c r="AE80" s="79"/>
      <c r="AF80" s="79"/>
      <c r="AG80" s="79"/>
    </row>
    <row r="81" spans="1:36" ht="12.75" customHeight="1">
      <c r="A81" s="24"/>
      <c r="B81" s="108">
        <f t="shared" si="16"/>
        <v>78</v>
      </c>
      <c r="C81" s="6">
        <v>200600</v>
      </c>
      <c r="D81" s="121" t="s">
        <v>672</v>
      </c>
      <c r="E81" s="9" t="s">
        <v>32</v>
      </c>
      <c r="F81" s="6"/>
      <c r="G81" s="6"/>
      <c r="H81" s="11">
        <f>+STAT2!V81</f>
        <v>0</v>
      </c>
      <c r="I81" s="11">
        <f>+STAT2!W81</f>
        <v>0</v>
      </c>
      <c r="J81" s="11">
        <f>+SUMIFS(JURNAL!G:G,JURNAL!E:E,C81,JURNAL!C:C,"&gt;="&amp;$H$1,JURNAL!C:C,"&lt;="&amp;$I$1)</f>
        <v>0</v>
      </c>
      <c r="K81" s="11">
        <f>+SUMIFS(JURNAL!H:H,JURNAL!E:E,C81,JURNAL!C:C,"&gt;="&amp;$H$1,JURNAL!C:C,"&lt;="&amp;$I$1)</f>
        <v>0</v>
      </c>
      <c r="L81" s="26">
        <f t="shared" si="11"/>
        <v>0</v>
      </c>
      <c r="M81" s="27">
        <f t="shared" si="9"/>
        <v>0</v>
      </c>
      <c r="N81" s="11"/>
      <c r="O81" s="190"/>
      <c r="P81" s="27"/>
      <c r="Q81" s="11"/>
      <c r="R81" s="26">
        <f t="shared" si="12"/>
        <v>0</v>
      </c>
      <c r="S81" s="27">
        <f t="shared" si="13"/>
        <v>0</v>
      </c>
      <c r="T81" s="11"/>
      <c r="U81" s="11"/>
      <c r="V81" s="415">
        <f t="shared" si="14"/>
        <v>0</v>
      </c>
      <c r="W81" s="379">
        <f t="shared" si="10"/>
        <v>0</v>
      </c>
      <c r="X81" s="4">
        <v>1120</v>
      </c>
      <c r="Y81" s="4"/>
      <c r="Z81" s="4"/>
      <c r="AA81" s="12">
        <f t="shared" si="15"/>
        <v>0</v>
      </c>
      <c r="AC81" s="79"/>
      <c r="AD81" s="79"/>
      <c r="AE81" s="79"/>
      <c r="AF81" s="79"/>
    </row>
    <row r="82" spans="1:36" ht="12.75" customHeight="1">
      <c r="A82" s="24"/>
      <c r="B82" s="108">
        <f t="shared" si="16"/>
        <v>79</v>
      </c>
      <c r="C82" s="6">
        <v>200700</v>
      </c>
      <c r="D82" s="121" t="s">
        <v>971</v>
      </c>
      <c r="E82" s="9" t="s">
        <v>32</v>
      </c>
      <c r="F82" s="6"/>
      <c r="G82" s="6"/>
      <c r="H82" s="11">
        <f>+STAT2!V82</f>
        <v>0</v>
      </c>
      <c r="I82" s="11">
        <f>+STAT2!W82</f>
        <v>0</v>
      </c>
      <c r="J82" s="11">
        <f>+SUMIFS(JURNAL!G:G,JURNAL!E:E,C82,JURNAL!C:C,"&gt;="&amp;$H$1,JURNAL!C:C,"&lt;="&amp;$I$1)</f>
        <v>0</v>
      </c>
      <c r="K82" s="11">
        <f>+SUMIFS(JURNAL!H:H,JURNAL!E:E,C82,JURNAL!C:C,"&gt;="&amp;$H$1,JURNAL!C:C,"&lt;="&amp;$I$1)</f>
        <v>0</v>
      </c>
      <c r="L82" s="26">
        <f t="shared" si="11"/>
        <v>0</v>
      </c>
      <c r="M82" s="27">
        <f t="shared" si="9"/>
        <v>0</v>
      </c>
      <c r="N82" s="11"/>
      <c r="O82" s="190"/>
      <c r="P82" s="27"/>
      <c r="Q82" s="11"/>
      <c r="R82" s="26">
        <f t="shared" si="12"/>
        <v>0</v>
      </c>
      <c r="S82" s="27">
        <f t="shared" si="13"/>
        <v>0</v>
      </c>
      <c r="T82" s="11"/>
      <c r="U82" s="11"/>
      <c r="V82" s="415">
        <f t="shared" si="14"/>
        <v>0</v>
      </c>
      <c r="W82" s="379">
        <f t="shared" si="10"/>
        <v>0</v>
      </c>
      <c r="X82" s="4">
        <v>1128</v>
      </c>
      <c r="Y82" s="4"/>
      <c r="Z82" s="4"/>
      <c r="AA82" s="12">
        <f t="shared" si="15"/>
        <v>0</v>
      </c>
      <c r="AC82" s="79"/>
      <c r="AD82" s="79"/>
      <c r="AE82" s="79"/>
      <c r="AF82" s="79"/>
      <c r="AG82" s="79"/>
      <c r="AH82" s="79"/>
    </row>
    <row r="83" spans="1:36" ht="12.75" customHeight="1">
      <c r="A83" s="24"/>
      <c r="B83" s="108">
        <f t="shared" si="16"/>
        <v>80</v>
      </c>
      <c r="C83" s="6">
        <v>200800</v>
      </c>
      <c r="D83" s="121" t="s">
        <v>680</v>
      </c>
      <c r="E83" s="9" t="s">
        <v>32</v>
      </c>
      <c r="F83" s="6"/>
      <c r="G83" s="6"/>
      <c r="H83" s="11">
        <f>+STAT2!V83</f>
        <v>0</v>
      </c>
      <c r="I83" s="11">
        <f>+STAT2!W83</f>
        <v>0</v>
      </c>
      <c r="J83" s="11">
        <f>+SUMIFS(JURNAL!G:G,JURNAL!E:E,C83,JURNAL!C:C,"&gt;="&amp;$H$1,JURNAL!C:C,"&lt;="&amp;$I$1)</f>
        <v>0</v>
      </c>
      <c r="K83" s="11">
        <f>+SUMIFS(JURNAL!H:H,JURNAL!E:E,C83,JURNAL!C:C,"&gt;="&amp;$H$1,JURNAL!C:C,"&lt;="&amp;$I$1)</f>
        <v>0</v>
      </c>
      <c r="L83" s="26">
        <f t="shared" si="11"/>
        <v>0</v>
      </c>
      <c r="M83" s="27">
        <f t="shared" si="9"/>
        <v>0</v>
      </c>
      <c r="N83" s="11"/>
      <c r="O83" s="190"/>
      <c r="P83" s="27"/>
      <c r="Q83" s="11"/>
      <c r="R83" s="26">
        <f t="shared" si="12"/>
        <v>0</v>
      </c>
      <c r="S83" s="27">
        <f t="shared" si="13"/>
        <v>0</v>
      </c>
      <c r="T83" s="11"/>
      <c r="U83" s="11"/>
      <c r="V83" s="415">
        <f t="shared" si="14"/>
        <v>0</v>
      </c>
      <c r="W83" s="379">
        <f t="shared" si="10"/>
        <v>0</v>
      </c>
      <c r="X83" s="4">
        <v>1127</v>
      </c>
      <c r="Y83" s="4"/>
      <c r="Z83" s="4"/>
      <c r="AA83" s="12">
        <f t="shared" si="15"/>
        <v>0</v>
      </c>
      <c r="AC83" s="79"/>
      <c r="AD83" s="79"/>
      <c r="AE83" s="79"/>
      <c r="AF83" s="79"/>
      <c r="AG83" s="314"/>
      <c r="AI83" s="81"/>
      <c r="AJ83" s="83"/>
    </row>
    <row r="84" spans="1:36" ht="12.75" customHeight="1">
      <c r="A84" s="24"/>
      <c r="B84" s="108">
        <f t="shared" si="16"/>
        <v>81</v>
      </c>
      <c r="C84" s="6">
        <v>200900</v>
      </c>
      <c r="D84" s="121" t="s">
        <v>684</v>
      </c>
      <c r="E84" s="9" t="s">
        <v>32</v>
      </c>
      <c r="F84" s="6"/>
      <c r="G84" s="6"/>
      <c r="H84" s="11">
        <f>+STAT2!V84</f>
        <v>0</v>
      </c>
      <c r="I84" s="11">
        <f>+STAT2!W84</f>
        <v>0</v>
      </c>
      <c r="J84" s="11">
        <f>+SUMIFS(JURNAL!G:G,JURNAL!E:E,C84,JURNAL!C:C,"&gt;="&amp;$H$1,JURNAL!C:C,"&lt;="&amp;$I$1)</f>
        <v>0</v>
      </c>
      <c r="K84" s="11">
        <f>+SUMIFS(JURNAL!H:H,JURNAL!E:E,C84,JURNAL!C:C,"&gt;="&amp;$H$1,JURNAL!C:C,"&lt;="&amp;$I$1)</f>
        <v>0</v>
      </c>
      <c r="L84" s="26">
        <f t="shared" si="11"/>
        <v>0</v>
      </c>
      <c r="M84" s="27">
        <f t="shared" si="9"/>
        <v>0</v>
      </c>
      <c r="N84" s="11"/>
      <c r="O84" s="190"/>
      <c r="P84" s="27"/>
      <c r="Q84" s="11"/>
      <c r="R84" s="26">
        <f t="shared" si="12"/>
        <v>0</v>
      </c>
      <c r="S84" s="27">
        <f t="shared" si="13"/>
        <v>0</v>
      </c>
      <c r="T84" s="11"/>
      <c r="U84" s="11"/>
      <c r="V84" s="415">
        <f t="shared" si="14"/>
        <v>0</v>
      </c>
      <c r="W84" s="379">
        <f t="shared" si="10"/>
        <v>0</v>
      </c>
      <c r="X84" s="4">
        <v>1122</v>
      </c>
      <c r="Y84" s="4"/>
      <c r="Z84" s="4"/>
      <c r="AA84" s="12">
        <f t="shared" si="15"/>
        <v>0</v>
      </c>
      <c r="AC84" s="79"/>
      <c r="AD84" s="79"/>
      <c r="AE84" s="79"/>
      <c r="AF84" s="79"/>
      <c r="AG84" s="314"/>
      <c r="AI84" s="81"/>
    </row>
    <row r="85" spans="1:36" ht="12.75" customHeight="1">
      <c r="A85" s="24"/>
      <c r="B85" s="108">
        <f t="shared" si="16"/>
        <v>82</v>
      </c>
      <c r="C85" s="6">
        <v>201200</v>
      </c>
      <c r="D85" s="121" t="s">
        <v>972</v>
      </c>
      <c r="E85" s="9" t="s">
        <v>32</v>
      </c>
      <c r="F85" s="6"/>
      <c r="G85" s="6"/>
      <c r="H85" s="11">
        <f>+STAT2!V85</f>
        <v>0</v>
      </c>
      <c r="I85" s="11">
        <f>+STAT2!W85</f>
        <v>647578575.75</v>
      </c>
      <c r="J85" s="11">
        <f>+SUMIFS(JURNAL!G:G,JURNAL!E:E,C85,JURNAL!C:C,"&gt;="&amp;$H$1,JURNAL!C:C,"&lt;="&amp;$I$1)</f>
        <v>0</v>
      </c>
      <c r="K85" s="11">
        <f>+SUMIFS(JURNAL!H:H,JURNAL!E:E,C85,JURNAL!C:C,"&gt;="&amp;$H$1,JURNAL!C:C,"&lt;="&amp;$I$1)</f>
        <v>6661875</v>
      </c>
      <c r="L85" s="26">
        <f t="shared" si="11"/>
        <v>0</v>
      </c>
      <c r="M85" s="27">
        <f t="shared" si="9"/>
        <v>654240450.75</v>
      </c>
      <c r="N85" s="11"/>
      <c r="O85" s="190"/>
      <c r="P85" s="27"/>
      <c r="Q85" s="11"/>
      <c r="R85" s="26">
        <f t="shared" si="12"/>
        <v>0</v>
      </c>
      <c r="S85" s="27">
        <f t="shared" si="13"/>
        <v>654240450.75</v>
      </c>
      <c r="T85" s="11"/>
      <c r="U85" s="11"/>
      <c r="V85" s="415">
        <f t="shared" si="14"/>
        <v>0</v>
      </c>
      <c r="W85" s="379">
        <f t="shared" si="10"/>
        <v>654240450.75</v>
      </c>
      <c r="X85" s="4">
        <v>1121</v>
      </c>
      <c r="Y85" s="4"/>
      <c r="Z85" s="4"/>
      <c r="AA85" s="12">
        <f t="shared" si="15"/>
        <v>1</v>
      </c>
      <c r="AC85" s="79"/>
      <c r="AD85" s="79"/>
      <c r="AE85" s="79"/>
      <c r="AF85" s="79"/>
    </row>
    <row r="86" spans="1:36" ht="12.75" customHeight="1">
      <c r="A86" s="24"/>
      <c r="B86" s="108">
        <f t="shared" si="16"/>
        <v>83</v>
      </c>
      <c r="C86" s="6">
        <v>201300</v>
      </c>
      <c r="D86" s="121" t="s">
        <v>973</v>
      </c>
      <c r="E86" s="9" t="s">
        <v>32</v>
      </c>
      <c r="F86" s="6"/>
      <c r="G86" s="6"/>
      <c r="H86" s="11">
        <f>+STAT2!V86</f>
        <v>0</v>
      </c>
      <c r="I86" s="11">
        <f>+STAT2!W86</f>
        <v>7531181.3199999975</v>
      </c>
      <c r="J86" s="11">
        <f>+SUMIFS(JURNAL!G:G,JURNAL!E:E,C86,JURNAL!C:C,"&gt;="&amp;$H$1,JURNAL!C:C,"&lt;="&amp;$I$1)</f>
        <v>0</v>
      </c>
      <c r="K86" s="11">
        <f>+SUMIFS(JURNAL!H:H,JURNAL!E:E,C86,JURNAL!C:C,"&gt;="&amp;$H$1,JURNAL!C:C,"&lt;="&amp;$I$1)</f>
        <v>73072.72</v>
      </c>
      <c r="L86" s="26">
        <f t="shared" si="11"/>
        <v>0</v>
      </c>
      <c r="M86" s="27">
        <f t="shared" si="9"/>
        <v>7604254.0399999972</v>
      </c>
      <c r="N86" s="11"/>
      <c r="O86" s="190"/>
      <c r="P86" s="27"/>
      <c r="Q86" s="11"/>
      <c r="R86" s="26">
        <f t="shared" si="12"/>
        <v>0</v>
      </c>
      <c r="S86" s="27">
        <f t="shared" si="13"/>
        <v>7604254.0399999972</v>
      </c>
      <c r="T86" s="11"/>
      <c r="U86" s="11"/>
      <c r="V86" s="415">
        <f t="shared" si="14"/>
        <v>0</v>
      </c>
      <c r="W86" s="379">
        <f t="shared" si="10"/>
        <v>7604254.0399999972</v>
      </c>
      <c r="X86" s="4">
        <v>1121</v>
      </c>
      <c r="Y86" s="4"/>
      <c r="Z86" s="4"/>
      <c r="AA86" s="12">
        <f t="shared" si="15"/>
        <v>1</v>
      </c>
      <c r="AC86" s="79"/>
      <c r="AD86" s="79"/>
      <c r="AE86" s="79"/>
      <c r="AF86" s="79"/>
    </row>
    <row r="87" spans="1:36" ht="12.75" customHeight="1">
      <c r="A87" s="24"/>
      <c r="B87" s="108">
        <f t="shared" si="16"/>
        <v>84</v>
      </c>
      <c r="C87" s="6">
        <v>201400</v>
      </c>
      <c r="D87" s="121" t="s">
        <v>974</v>
      </c>
      <c r="E87" s="9" t="s">
        <v>32</v>
      </c>
      <c r="F87" s="6"/>
      <c r="G87" s="6"/>
      <c r="H87" s="11">
        <f>+STAT2!V87</f>
        <v>0</v>
      </c>
      <c r="I87" s="11">
        <f>+STAT2!W87</f>
        <v>540020068.65999985</v>
      </c>
      <c r="J87" s="11">
        <f>+SUMIFS(JURNAL!G:G,JURNAL!E:E,C87,JURNAL!C:C,"&gt;="&amp;$H$1,JURNAL!C:C,"&lt;="&amp;$I$1)</f>
        <v>0</v>
      </c>
      <c r="K87" s="11">
        <f>+SUMIFS(JURNAL!H:H,JURNAL!E:E,C87,JURNAL!C:C,"&gt;="&amp;$H$1,JURNAL!C:C,"&lt;="&amp;$I$1)</f>
        <v>15737229.65</v>
      </c>
      <c r="L87" s="26">
        <f t="shared" si="11"/>
        <v>0</v>
      </c>
      <c r="M87" s="27">
        <f t="shared" si="9"/>
        <v>555757298.30999982</v>
      </c>
      <c r="N87" s="11"/>
      <c r="O87" s="190"/>
      <c r="P87" s="27"/>
      <c r="Q87" s="11"/>
      <c r="R87" s="26">
        <f t="shared" si="12"/>
        <v>0</v>
      </c>
      <c r="S87" s="27">
        <f t="shared" si="13"/>
        <v>555757298.30999982</v>
      </c>
      <c r="T87" s="11"/>
      <c r="U87" s="11"/>
      <c r="V87" s="415">
        <f t="shared" si="14"/>
        <v>0</v>
      </c>
      <c r="W87" s="379">
        <f t="shared" si="10"/>
        <v>555757298.30999982</v>
      </c>
      <c r="X87" s="4">
        <v>1121</v>
      </c>
      <c r="Y87" s="4"/>
      <c r="Z87" s="4"/>
      <c r="AA87" s="12">
        <f t="shared" si="15"/>
        <v>1</v>
      </c>
      <c r="AC87" s="79"/>
      <c r="AD87" s="79"/>
      <c r="AE87" s="79"/>
      <c r="AF87" s="79"/>
    </row>
    <row r="88" spans="1:36" ht="12.75" customHeight="1">
      <c r="A88" s="24"/>
      <c r="B88" s="108">
        <f t="shared" si="16"/>
        <v>85</v>
      </c>
      <c r="C88" s="6">
        <v>201500</v>
      </c>
      <c r="D88" s="121" t="s">
        <v>975</v>
      </c>
      <c r="E88" s="9" t="s">
        <v>32</v>
      </c>
      <c r="F88" s="6"/>
      <c r="G88" s="6"/>
      <c r="H88" s="11">
        <f>+STAT2!V88</f>
        <v>0</v>
      </c>
      <c r="I88" s="11">
        <f>+STAT2!W88</f>
        <v>68250000</v>
      </c>
      <c r="J88" s="11">
        <f>+SUMIFS(JURNAL!G:G,JURNAL!E:E,C88,JURNAL!C:C,"&gt;="&amp;$H$1,JURNAL!C:C,"&lt;="&amp;$I$1)</f>
        <v>0</v>
      </c>
      <c r="K88" s="11">
        <f>+SUMIFS(JURNAL!H:H,JURNAL!E:E,C88,JURNAL!C:C,"&gt;="&amp;$H$1,JURNAL!C:C,"&lt;="&amp;$I$1)</f>
        <v>4245000</v>
      </c>
      <c r="L88" s="26">
        <f t="shared" si="11"/>
        <v>0</v>
      </c>
      <c r="M88" s="27">
        <f t="shared" si="9"/>
        <v>72495000</v>
      </c>
      <c r="N88" s="11"/>
      <c r="O88" s="190"/>
      <c r="P88" s="27"/>
      <c r="Q88" s="11"/>
      <c r="R88" s="26">
        <f t="shared" si="12"/>
        <v>0</v>
      </c>
      <c r="S88" s="27">
        <f t="shared" si="13"/>
        <v>72495000</v>
      </c>
      <c r="T88" s="11"/>
      <c r="U88" s="11"/>
      <c r="V88" s="415">
        <f t="shared" si="14"/>
        <v>0</v>
      </c>
      <c r="W88" s="379">
        <f t="shared" si="10"/>
        <v>72495000</v>
      </c>
      <c r="X88" s="4">
        <v>1121</v>
      </c>
      <c r="Y88" s="4"/>
      <c r="Z88" s="4"/>
      <c r="AA88" s="12">
        <f t="shared" si="15"/>
        <v>1</v>
      </c>
      <c r="AC88" s="79"/>
      <c r="AD88" s="79"/>
      <c r="AE88" s="79"/>
      <c r="AF88" s="79"/>
    </row>
    <row r="89" spans="1:36" ht="12.75" customHeight="1">
      <c r="A89" s="24"/>
      <c r="B89" s="108">
        <f t="shared" si="16"/>
        <v>86</v>
      </c>
      <c r="C89" s="6">
        <v>201600</v>
      </c>
      <c r="D89" s="121" t="s">
        <v>976</v>
      </c>
      <c r="E89" s="9" t="s">
        <v>32</v>
      </c>
      <c r="F89" s="6"/>
      <c r="G89" s="6"/>
      <c r="H89" s="11">
        <f>+STAT2!V89</f>
        <v>0</v>
      </c>
      <c r="I89" s="11">
        <f>+STAT2!W89</f>
        <v>0</v>
      </c>
      <c r="J89" s="11">
        <f>+SUMIFS(JURNAL!G:G,JURNAL!E:E,C89,JURNAL!C:C,"&gt;="&amp;$H$1,JURNAL!C:C,"&lt;="&amp;$I$1)</f>
        <v>0</v>
      </c>
      <c r="K89" s="11">
        <f>+SUMIFS(JURNAL!H:H,JURNAL!E:E,C89,JURNAL!C:C,"&gt;="&amp;$H$1,JURNAL!C:C,"&lt;="&amp;$I$1)</f>
        <v>0</v>
      </c>
      <c r="L89" s="26">
        <f t="shared" si="11"/>
        <v>0</v>
      </c>
      <c r="M89" s="27">
        <f t="shared" si="9"/>
        <v>0</v>
      </c>
      <c r="N89" s="11"/>
      <c r="O89" s="190"/>
      <c r="P89" s="27"/>
      <c r="Q89" s="11"/>
      <c r="R89" s="26">
        <f t="shared" si="12"/>
        <v>0</v>
      </c>
      <c r="S89" s="27">
        <f t="shared" si="13"/>
        <v>0</v>
      </c>
      <c r="T89" s="11"/>
      <c r="U89" s="11"/>
      <c r="V89" s="415">
        <f t="shared" si="14"/>
        <v>0</v>
      </c>
      <c r="W89" s="379">
        <f t="shared" si="10"/>
        <v>0</v>
      </c>
      <c r="X89" s="4">
        <v>1121</v>
      </c>
      <c r="Y89" s="4"/>
      <c r="Z89" s="4"/>
      <c r="AA89" s="12">
        <f t="shared" si="15"/>
        <v>0</v>
      </c>
      <c r="AC89" s="79"/>
      <c r="AD89" s="79"/>
      <c r="AE89" s="79"/>
      <c r="AF89" s="79"/>
    </row>
    <row r="90" spans="1:36" ht="12.75" customHeight="1">
      <c r="A90" s="24"/>
      <c r="B90" s="108">
        <f t="shared" si="16"/>
        <v>87</v>
      </c>
      <c r="C90" s="6">
        <v>201800</v>
      </c>
      <c r="D90" s="121" t="s">
        <v>977</v>
      </c>
      <c r="E90" s="9" t="s">
        <v>32</v>
      </c>
      <c r="F90" s="6"/>
      <c r="G90" s="6"/>
      <c r="H90" s="11">
        <f>+STAT2!V90</f>
        <v>0</v>
      </c>
      <c r="I90" s="11">
        <f>+STAT2!W90</f>
        <v>0</v>
      </c>
      <c r="J90" s="11">
        <f>+SUMIFS(JURNAL!G:G,JURNAL!E:E,C90,JURNAL!C:C,"&gt;="&amp;$H$1,JURNAL!C:C,"&lt;="&amp;$I$1)</f>
        <v>0</v>
      </c>
      <c r="K90" s="11">
        <f>+SUMIFS(JURNAL!H:H,JURNAL!E:E,C90,JURNAL!C:C,"&gt;="&amp;$H$1,JURNAL!C:C,"&lt;="&amp;$I$1)</f>
        <v>0</v>
      </c>
      <c r="L90" s="26">
        <f t="shared" si="11"/>
        <v>0</v>
      </c>
      <c r="M90" s="27">
        <f t="shared" si="9"/>
        <v>0</v>
      </c>
      <c r="N90" s="11"/>
      <c r="O90" s="190"/>
      <c r="P90" s="27"/>
      <c r="Q90" s="11"/>
      <c r="R90" s="26">
        <f t="shared" si="12"/>
        <v>0</v>
      </c>
      <c r="S90" s="27">
        <f t="shared" si="13"/>
        <v>0</v>
      </c>
      <c r="T90" s="11"/>
      <c r="U90" s="11"/>
      <c r="V90" s="415">
        <f t="shared" si="14"/>
        <v>0</v>
      </c>
      <c r="W90" s="379">
        <f t="shared" si="10"/>
        <v>0</v>
      </c>
      <c r="X90" s="4">
        <v>1121</v>
      </c>
      <c r="Y90" s="4"/>
      <c r="Z90" s="4"/>
      <c r="AA90" s="12">
        <f t="shared" si="15"/>
        <v>0</v>
      </c>
      <c r="AC90" s="79"/>
      <c r="AD90" s="79"/>
      <c r="AE90" s="79"/>
      <c r="AF90" s="79"/>
    </row>
    <row r="91" spans="1:36" ht="12.75" customHeight="1">
      <c r="A91" s="24"/>
      <c r="B91" s="108">
        <f t="shared" si="16"/>
        <v>88</v>
      </c>
      <c r="C91" s="6">
        <v>202000</v>
      </c>
      <c r="D91" s="121" t="s">
        <v>978</v>
      </c>
      <c r="E91" s="9" t="s">
        <v>32</v>
      </c>
      <c r="F91" s="6"/>
      <c r="G91" s="6"/>
      <c r="H91" s="11">
        <f>+STAT2!V91</f>
        <v>0</v>
      </c>
      <c r="I91" s="11">
        <f>+STAT2!W91</f>
        <v>17111038.23</v>
      </c>
      <c r="J91" s="11">
        <f>+SUMIFS(JURNAL!G:G,JURNAL!E:E,C91,JURNAL!C:C,"&gt;="&amp;$H$1,JURNAL!C:C,"&lt;="&amp;$I$1)</f>
        <v>0</v>
      </c>
      <c r="K91" s="11">
        <f>+SUMIFS(JURNAL!H:H,JURNAL!E:E,C91,JURNAL!C:C,"&gt;="&amp;$H$1,JURNAL!C:C,"&lt;="&amp;$I$1)</f>
        <v>0</v>
      </c>
      <c r="L91" s="26">
        <f t="shared" si="11"/>
        <v>0</v>
      </c>
      <c r="M91" s="27">
        <f t="shared" si="9"/>
        <v>17111038.23</v>
      </c>
      <c r="N91" s="11"/>
      <c r="O91" s="190"/>
      <c r="P91" s="27"/>
      <c r="Q91" s="11"/>
      <c r="R91" s="26">
        <f t="shared" si="12"/>
        <v>0</v>
      </c>
      <c r="S91" s="27">
        <f t="shared" si="13"/>
        <v>17111038.23</v>
      </c>
      <c r="T91" s="11"/>
      <c r="U91" s="11"/>
      <c r="V91" s="415">
        <f t="shared" si="14"/>
        <v>0</v>
      </c>
      <c r="W91" s="379">
        <f t="shared" si="10"/>
        <v>17111038.23</v>
      </c>
      <c r="X91" s="4">
        <v>1121</v>
      </c>
      <c r="Y91" s="4"/>
      <c r="Z91" s="4"/>
      <c r="AA91" s="12">
        <f t="shared" si="15"/>
        <v>1</v>
      </c>
      <c r="AC91" s="79"/>
      <c r="AD91" s="79"/>
      <c r="AE91" s="79"/>
      <c r="AF91" s="79"/>
    </row>
    <row r="92" spans="1:36" ht="12.75" customHeight="1">
      <c r="A92" s="24"/>
      <c r="B92" s="108">
        <f t="shared" si="16"/>
        <v>89</v>
      </c>
      <c r="C92" s="6">
        <v>210100</v>
      </c>
      <c r="D92" s="121" t="s">
        <v>720</v>
      </c>
      <c r="E92" s="9" t="s">
        <v>32</v>
      </c>
      <c r="F92" s="6"/>
      <c r="G92" s="6"/>
      <c r="H92" s="11">
        <f>+STAT2!V92</f>
        <v>0</v>
      </c>
      <c r="I92" s="11">
        <f>+STAT2!W92</f>
        <v>0</v>
      </c>
      <c r="J92" s="11">
        <f>+SUMIFS(JURNAL!G:G,JURNAL!E:E,C92,JURNAL!C:C,"&gt;="&amp;$H$1,JURNAL!C:C,"&lt;="&amp;$I$1)</f>
        <v>0</v>
      </c>
      <c r="K92" s="11">
        <f>+SUMIFS(JURNAL!H:H,JURNAL!E:E,C92,JURNAL!C:C,"&gt;="&amp;$H$1,JURNAL!C:C,"&lt;="&amp;$I$1)</f>
        <v>0</v>
      </c>
      <c r="L92" s="26">
        <f t="shared" si="11"/>
        <v>0</v>
      </c>
      <c r="M92" s="27">
        <f t="shared" si="9"/>
        <v>0</v>
      </c>
      <c r="N92" s="11"/>
      <c r="O92" s="190"/>
      <c r="P92" s="27"/>
      <c r="Q92" s="11"/>
      <c r="R92" s="26">
        <f t="shared" si="12"/>
        <v>0</v>
      </c>
      <c r="S92" s="27">
        <f t="shared" si="13"/>
        <v>0</v>
      </c>
      <c r="T92" s="11"/>
      <c r="U92" s="11"/>
      <c r="V92" s="415">
        <f t="shared" si="14"/>
        <v>0</v>
      </c>
      <c r="W92" s="379">
        <f t="shared" si="10"/>
        <v>0</v>
      </c>
      <c r="X92" s="4">
        <v>1127</v>
      </c>
      <c r="Y92" s="4"/>
      <c r="Z92" s="4"/>
      <c r="AA92" s="12">
        <f t="shared" si="15"/>
        <v>0</v>
      </c>
      <c r="AC92" s="79"/>
      <c r="AD92" s="79"/>
      <c r="AE92" s="79"/>
      <c r="AF92" s="79"/>
    </row>
    <row r="93" spans="1:36" ht="12.75" customHeight="1">
      <c r="A93" s="24"/>
      <c r="B93" s="108">
        <f t="shared" si="16"/>
        <v>90</v>
      </c>
      <c r="C93" s="6">
        <v>210200</v>
      </c>
      <c r="D93" s="121" t="s">
        <v>724</v>
      </c>
      <c r="E93" s="9" t="s">
        <v>32</v>
      </c>
      <c r="F93" s="6"/>
      <c r="G93" s="6"/>
      <c r="H93" s="11">
        <f>+STAT2!V93</f>
        <v>0</v>
      </c>
      <c r="I93" s="11">
        <f>+STAT2!W93</f>
        <v>0</v>
      </c>
      <c r="J93" s="11">
        <f>+SUMIFS(JURNAL!G:G,JURNAL!E:E,C93,JURNAL!C:C,"&gt;="&amp;$H$1,JURNAL!C:C,"&lt;="&amp;$I$1)</f>
        <v>0</v>
      </c>
      <c r="K93" s="11">
        <f>+SUMIFS(JURNAL!H:H,JURNAL!E:E,C93,JURNAL!C:C,"&gt;="&amp;$H$1,JURNAL!C:C,"&lt;="&amp;$I$1)</f>
        <v>0</v>
      </c>
      <c r="L93" s="26">
        <f t="shared" si="11"/>
        <v>0</v>
      </c>
      <c r="M93" s="27">
        <f t="shared" si="9"/>
        <v>0</v>
      </c>
      <c r="N93" s="11"/>
      <c r="O93" s="190"/>
      <c r="P93" s="27"/>
      <c r="Q93" s="11"/>
      <c r="R93" s="26">
        <f t="shared" si="12"/>
        <v>0</v>
      </c>
      <c r="S93" s="27">
        <f t="shared" si="13"/>
        <v>0</v>
      </c>
      <c r="T93" s="11"/>
      <c r="U93" s="11"/>
      <c r="V93" s="415">
        <f t="shared" si="14"/>
        <v>0</v>
      </c>
      <c r="W93" s="379">
        <f t="shared" si="10"/>
        <v>0</v>
      </c>
      <c r="X93" s="4">
        <v>1127</v>
      </c>
      <c r="Y93" s="4"/>
      <c r="Z93" s="4"/>
      <c r="AA93" s="12">
        <f t="shared" si="15"/>
        <v>0</v>
      </c>
      <c r="AC93" s="79"/>
      <c r="AD93" s="79"/>
      <c r="AE93" s="79"/>
      <c r="AF93" s="79"/>
    </row>
    <row r="94" spans="1:36" ht="12.75" customHeight="1">
      <c r="A94" s="24"/>
      <c r="B94" s="108">
        <f t="shared" si="16"/>
        <v>91</v>
      </c>
      <c r="C94" s="6">
        <v>210300</v>
      </c>
      <c r="D94" s="121" t="s">
        <v>728</v>
      </c>
      <c r="E94" s="9" t="s">
        <v>32</v>
      </c>
      <c r="F94" s="6"/>
      <c r="G94" s="6"/>
      <c r="H94" s="11">
        <f>+STAT2!V94</f>
        <v>0</v>
      </c>
      <c r="I94" s="11">
        <f>+STAT2!W94</f>
        <v>0</v>
      </c>
      <c r="J94" s="11">
        <f>+SUMIFS(JURNAL!G:G,JURNAL!E:E,C94,JURNAL!C:C,"&gt;="&amp;$H$1,JURNAL!C:C,"&lt;="&amp;$I$1)</f>
        <v>0</v>
      </c>
      <c r="K94" s="11">
        <f>+SUMIFS(JURNAL!H:H,JURNAL!E:E,C94,JURNAL!C:C,"&gt;="&amp;$H$1,JURNAL!C:C,"&lt;="&amp;$I$1)</f>
        <v>0</v>
      </c>
      <c r="L94" s="26">
        <f t="shared" si="11"/>
        <v>0</v>
      </c>
      <c r="M94" s="27">
        <f t="shared" si="9"/>
        <v>0</v>
      </c>
      <c r="N94" s="11"/>
      <c r="O94" s="190"/>
      <c r="P94" s="27"/>
      <c r="Q94" s="11"/>
      <c r="R94" s="26">
        <f t="shared" si="12"/>
        <v>0</v>
      </c>
      <c r="S94" s="27">
        <f t="shared" si="13"/>
        <v>0</v>
      </c>
      <c r="T94" s="11"/>
      <c r="U94" s="11"/>
      <c r="V94" s="415">
        <f t="shared" si="14"/>
        <v>0</v>
      </c>
      <c r="W94" s="379">
        <f t="shared" si="10"/>
        <v>0</v>
      </c>
      <c r="X94" s="4">
        <v>1127</v>
      </c>
      <c r="Y94" s="4"/>
      <c r="Z94" s="4"/>
      <c r="AA94" s="12">
        <f t="shared" si="15"/>
        <v>0</v>
      </c>
      <c r="AC94" s="79"/>
      <c r="AD94" s="79"/>
      <c r="AE94" s="79"/>
      <c r="AF94" s="79"/>
    </row>
    <row r="95" spans="1:36" ht="12.75" customHeight="1">
      <c r="A95" s="24"/>
      <c r="B95" s="108">
        <f t="shared" si="16"/>
        <v>92</v>
      </c>
      <c r="C95" s="6">
        <v>210400</v>
      </c>
      <c r="D95" s="121" t="s">
        <v>732</v>
      </c>
      <c r="E95" s="9" t="s">
        <v>32</v>
      </c>
      <c r="F95" s="6"/>
      <c r="G95" s="6"/>
      <c r="H95" s="11">
        <f>+STAT2!V95</f>
        <v>0</v>
      </c>
      <c r="I95" s="11">
        <f>+STAT2!W95</f>
        <v>0</v>
      </c>
      <c r="J95" s="11">
        <f>+SUMIFS(JURNAL!G:G,JURNAL!E:E,C95,JURNAL!C:C,"&gt;="&amp;$H$1,JURNAL!C:C,"&lt;="&amp;$I$1)</f>
        <v>0</v>
      </c>
      <c r="K95" s="11">
        <f>+SUMIFS(JURNAL!H:H,JURNAL!E:E,C95,JURNAL!C:C,"&gt;="&amp;$H$1,JURNAL!C:C,"&lt;="&amp;$I$1)</f>
        <v>0</v>
      </c>
      <c r="L95" s="26">
        <f t="shared" si="11"/>
        <v>0</v>
      </c>
      <c r="M95" s="27">
        <f t="shared" si="9"/>
        <v>0</v>
      </c>
      <c r="N95" s="11"/>
      <c r="O95" s="190"/>
      <c r="P95" s="27"/>
      <c r="Q95" s="11"/>
      <c r="R95" s="26">
        <f t="shared" si="12"/>
        <v>0</v>
      </c>
      <c r="S95" s="27">
        <f t="shared" si="13"/>
        <v>0</v>
      </c>
      <c r="T95" s="11"/>
      <c r="U95" s="11"/>
      <c r="V95" s="415">
        <f t="shared" si="14"/>
        <v>0</v>
      </c>
      <c r="W95" s="379">
        <f t="shared" si="10"/>
        <v>0</v>
      </c>
      <c r="X95" s="4">
        <v>1127</v>
      </c>
      <c r="Y95" s="4"/>
      <c r="Z95" s="4"/>
      <c r="AA95" s="12">
        <f t="shared" si="15"/>
        <v>0</v>
      </c>
      <c r="AC95" s="79"/>
      <c r="AD95" s="79"/>
      <c r="AE95" s="79"/>
      <c r="AF95" s="79"/>
    </row>
    <row r="96" spans="1:36" ht="12.75" customHeight="1">
      <c r="A96" s="24"/>
      <c r="B96" s="108">
        <f t="shared" si="16"/>
        <v>93</v>
      </c>
      <c r="C96" s="6">
        <v>210500</v>
      </c>
      <c r="D96" s="121" t="s">
        <v>736</v>
      </c>
      <c r="E96" s="9" t="s">
        <v>32</v>
      </c>
      <c r="F96" s="6"/>
      <c r="G96" s="6"/>
      <c r="H96" s="11">
        <f>+STAT2!V96</f>
        <v>0</v>
      </c>
      <c r="I96" s="11">
        <f>+STAT2!W96</f>
        <v>0</v>
      </c>
      <c r="J96" s="11">
        <f>+SUMIFS(JURNAL!G:G,JURNAL!E:E,C96,JURNAL!C:C,"&gt;="&amp;$H$1,JURNAL!C:C,"&lt;="&amp;$I$1)</f>
        <v>0</v>
      </c>
      <c r="K96" s="11">
        <f>+SUMIFS(JURNAL!H:H,JURNAL!E:E,C96,JURNAL!C:C,"&gt;="&amp;$H$1,JURNAL!C:C,"&lt;="&amp;$I$1)</f>
        <v>0</v>
      </c>
      <c r="L96" s="26">
        <f t="shared" si="11"/>
        <v>0</v>
      </c>
      <c r="M96" s="27">
        <f t="shared" si="9"/>
        <v>0</v>
      </c>
      <c r="N96" s="11"/>
      <c r="O96" s="190"/>
      <c r="P96" s="27"/>
      <c r="Q96" s="11"/>
      <c r="R96" s="26">
        <f t="shared" si="12"/>
        <v>0</v>
      </c>
      <c r="S96" s="27">
        <f t="shared" si="13"/>
        <v>0</v>
      </c>
      <c r="T96" s="11"/>
      <c r="U96" s="11"/>
      <c r="V96" s="415">
        <f t="shared" si="14"/>
        <v>0</v>
      </c>
      <c r="W96" s="379">
        <f t="shared" si="10"/>
        <v>0</v>
      </c>
      <c r="X96" s="4">
        <v>1127</v>
      </c>
      <c r="Y96" s="4"/>
      <c r="Z96" s="4"/>
      <c r="AA96" s="12">
        <f t="shared" si="15"/>
        <v>0</v>
      </c>
      <c r="AC96" s="79"/>
      <c r="AD96" s="79"/>
      <c r="AE96" s="79"/>
      <c r="AF96" s="79"/>
    </row>
    <row r="97" spans="1:32" ht="12.75" customHeight="1">
      <c r="A97" s="24"/>
      <c r="B97" s="108">
        <f t="shared" si="16"/>
        <v>94</v>
      </c>
      <c r="C97" s="6">
        <v>210600</v>
      </c>
      <c r="D97" s="121" t="s">
        <v>740</v>
      </c>
      <c r="E97" s="9" t="s">
        <v>32</v>
      </c>
      <c r="F97" s="6"/>
      <c r="G97" s="6"/>
      <c r="H97" s="11">
        <f>+STAT2!V97</f>
        <v>0</v>
      </c>
      <c r="I97" s="11">
        <f>+STAT2!W97</f>
        <v>0</v>
      </c>
      <c r="J97" s="11">
        <f>+SUMIFS(JURNAL!G:G,JURNAL!E:E,C97,JURNAL!C:C,"&gt;="&amp;$H$1,JURNAL!C:C,"&lt;="&amp;$I$1)</f>
        <v>0</v>
      </c>
      <c r="K97" s="11">
        <f>+SUMIFS(JURNAL!H:H,JURNAL!E:E,C97,JURNAL!C:C,"&gt;="&amp;$H$1,JURNAL!C:C,"&lt;="&amp;$I$1)</f>
        <v>0</v>
      </c>
      <c r="L97" s="26">
        <f t="shared" si="11"/>
        <v>0</v>
      </c>
      <c r="M97" s="27">
        <f t="shared" si="9"/>
        <v>0</v>
      </c>
      <c r="N97" s="11"/>
      <c r="O97" s="190"/>
      <c r="P97" s="27"/>
      <c r="Q97" s="11"/>
      <c r="R97" s="26">
        <f t="shared" si="12"/>
        <v>0</v>
      </c>
      <c r="S97" s="27">
        <f t="shared" si="13"/>
        <v>0</v>
      </c>
      <c r="T97" s="11"/>
      <c r="U97" s="11"/>
      <c r="V97" s="415">
        <f t="shared" si="14"/>
        <v>0</v>
      </c>
      <c r="W97" s="379">
        <f t="shared" si="10"/>
        <v>0</v>
      </c>
      <c r="X97" s="4">
        <v>1127</v>
      </c>
      <c r="Y97" s="4"/>
      <c r="Z97" s="4"/>
      <c r="AA97" s="12">
        <f t="shared" si="15"/>
        <v>0</v>
      </c>
      <c r="AC97" s="79"/>
      <c r="AD97" s="79"/>
      <c r="AE97" s="79"/>
      <c r="AF97" s="79"/>
    </row>
    <row r="98" spans="1:32" ht="12.75" customHeight="1">
      <c r="A98" s="24"/>
      <c r="B98" s="108">
        <f t="shared" si="16"/>
        <v>95</v>
      </c>
      <c r="C98" s="6">
        <v>210700</v>
      </c>
      <c r="D98" s="121" t="s">
        <v>744</v>
      </c>
      <c r="E98" s="9" t="s">
        <v>32</v>
      </c>
      <c r="F98" s="6"/>
      <c r="G98" s="6"/>
      <c r="H98" s="11">
        <f>+STAT2!V98</f>
        <v>0</v>
      </c>
      <c r="I98" s="11">
        <f>+STAT2!W98</f>
        <v>0</v>
      </c>
      <c r="J98" s="11">
        <f>+SUMIFS(JURNAL!G:G,JURNAL!E:E,C98,JURNAL!C:C,"&gt;="&amp;$H$1,JURNAL!C:C,"&lt;="&amp;$I$1)</f>
        <v>0</v>
      </c>
      <c r="K98" s="11">
        <f>+SUMIFS(JURNAL!H:H,JURNAL!E:E,C98,JURNAL!C:C,"&gt;="&amp;$H$1,JURNAL!C:C,"&lt;="&amp;$I$1)</f>
        <v>0</v>
      </c>
      <c r="L98" s="26">
        <f t="shared" si="11"/>
        <v>0</v>
      </c>
      <c r="M98" s="27">
        <f t="shared" si="9"/>
        <v>0</v>
      </c>
      <c r="N98" s="11"/>
      <c r="O98" s="190"/>
      <c r="P98" s="27"/>
      <c r="Q98" s="11"/>
      <c r="R98" s="26">
        <f t="shared" si="12"/>
        <v>0</v>
      </c>
      <c r="S98" s="27">
        <f t="shared" si="13"/>
        <v>0</v>
      </c>
      <c r="T98" s="11"/>
      <c r="U98" s="11"/>
      <c r="V98" s="415">
        <f t="shared" si="14"/>
        <v>0</v>
      </c>
      <c r="W98" s="379">
        <f t="shared" si="10"/>
        <v>0</v>
      </c>
      <c r="X98" s="4">
        <v>1127</v>
      </c>
      <c r="Y98" s="4"/>
      <c r="Z98" s="4"/>
      <c r="AA98" s="12">
        <f t="shared" si="15"/>
        <v>0</v>
      </c>
      <c r="AC98" s="79"/>
      <c r="AD98" s="79"/>
      <c r="AE98" s="79"/>
      <c r="AF98" s="79"/>
    </row>
    <row r="99" spans="1:32" ht="12.75" customHeight="1">
      <c r="A99" s="24"/>
      <c r="B99" s="108">
        <f t="shared" si="16"/>
        <v>96</v>
      </c>
      <c r="C99" s="6">
        <v>211000</v>
      </c>
      <c r="D99" s="121" t="s">
        <v>654</v>
      </c>
      <c r="E99" s="9" t="s">
        <v>32</v>
      </c>
      <c r="F99" s="6"/>
      <c r="G99" s="6"/>
      <c r="H99" s="11">
        <f>+STAT2!V99</f>
        <v>0</v>
      </c>
      <c r="I99" s="11">
        <f>+STAT2!W99</f>
        <v>0</v>
      </c>
      <c r="J99" s="11">
        <f>+SUMIFS(JURNAL!G:G,JURNAL!E:E,C99,JURNAL!C:C,"&gt;="&amp;$H$1,JURNAL!C:C,"&lt;="&amp;$I$1)</f>
        <v>0</v>
      </c>
      <c r="K99" s="11">
        <f>+SUMIFS(JURNAL!H:H,JURNAL!E:E,C99,JURNAL!C:C,"&gt;="&amp;$H$1,JURNAL!C:C,"&lt;="&amp;$I$1)</f>
        <v>0</v>
      </c>
      <c r="L99" s="26">
        <f t="shared" si="11"/>
        <v>0</v>
      </c>
      <c r="M99" s="27">
        <f t="shared" si="9"/>
        <v>0</v>
      </c>
      <c r="N99" s="11"/>
      <c r="O99" s="190"/>
      <c r="P99" s="27"/>
      <c r="Q99" s="11"/>
      <c r="R99" s="26">
        <f t="shared" si="12"/>
        <v>0</v>
      </c>
      <c r="S99" s="27">
        <f t="shared" si="13"/>
        <v>0</v>
      </c>
      <c r="T99" s="11"/>
      <c r="U99" s="11"/>
      <c r="V99" s="415">
        <f t="shared" si="14"/>
        <v>0</v>
      </c>
      <c r="W99" s="379">
        <f t="shared" si="10"/>
        <v>0</v>
      </c>
      <c r="X99" s="4">
        <v>1127</v>
      </c>
      <c r="Y99" s="4"/>
      <c r="Z99" s="4"/>
      <c r="AA99" s="12">
        <f t="shared" si="15"/>
        <v>0</v>
      </c>
      <c r="AC99" s="79"/>
      <c r="AD99" s="79"/>
      <c r="AE99" s="79"/>
      <c r="AF99" s="79"/>
    </row>
    <row r="100" spans="1:32" ht="12.75" customHeight="1">
      <c r="A100" s="24"/>
      <c r="B100" s="108">
        <f t="shared" si="16"/>
        <v>97</v>
      </c>
      <c r="C100" s="6">
        <v>220100</v>
      </c>
      <c r="D100" s="121" t="s">
        <v>796</v>
      </c>
      <c r="E100" s="9" t="s">
        <v>32</v>
      </c>
      <c r="F100" s="6"/>
      <c r="G100" s="6"/>
      <c r="H100" s="11">
        <f>+STAT2!V100</f>
        <v>0</v>
      </c>
      <c r="I100" s="11">
        <f>+STAT2!W100</f>
        <v>0</v>
      </c>
      <c r="J100" s="11">
        <f>+SUMIFS(JURNAL!G:G,JURNAL!E:E,C100,JURNAL!C:C,"&gt;="&amp;$H$1,JURNAL!C:C,"&lt;="&amp;$I$1)</f>
        <v>0</v>
      </c>
      <c r="K100" s="11">
        <f>+SUMIFS(JURNAL!H:H,JURNAL!E:E,C100,JURNAL!C:C,"&gt;="&amp;$H$1,JURNAL!C:C,"&lt;="&amp;$I$1)</f>
        <v>0</v>
      </c>
      <c r="L100" s="26">
        <f t="shared" si="11"/>
        <v>0</v>
      </c>
      <c r="M100" s="27">
        <f t="shared" si="9"/>
        <v>0</v>
      </c>
      <c r="N100" s="11"/>
      <c r="O100" s="190"/>
      <c r="P100" s="27"/>
      <c r="Q100" s="11"/>
      <c r="R100" s="26">
        <f t="shared" si="12"/>
        <v>0</v>
      </c>
      <c r="S100" s="27">
        <f t="shared" si="13"/>
        <v>0</v>
      </c>
      <c r="T100" s="11"/>
      <c r="U100" s="11"/>
      <c r="V100" s="415">
        <f t="shared" si="14"/>
        <v>0</v>
      </c>
      <c r="W100" s="379">
        <f t="shared" si="10"/>
        <v>0</v>
      </c>
      <c r="X100" s="4">
        <v>1123</v>
      </c>
      <c r="Y100" s="4"/>
      <c r="Z100" s="4"/>
      <c r="AA100" s="12">
        <f t="shared" si="15"/>
        <v>0</v>
      </c>
      <c r="AC100" s="79"/>
      <c r="AD100" s="79"/>
      <c r="AE100" s="79"/>
      <c r="AF100" s="79"/>
    </row>
    <row r="101" spans="1:32" ht="12.75" customHeight="1">
      <c r="A101" s="24"/>
      <c r="B101" s="108">
        <f t="shared" si="16"/>
        <v>98</v>
      </c>
      <c r="C101" s="6">
        <v>220200</v>
      </c>
      <c r="D101" s="121" t="s">
        <v>800</v>
      </c>
      <c r="E101" s="9" t="s">
        <v>32</v>
      </c>
      <c r="F101" s="6"/>
      <c r="G101" s="6"/>
      <c r="H101" s="11">
        <f>+STAT2!V101</f>
        <v>0</v>
      </c>
      <c r="I101" s="11">
        <f>+STAT2!W101</f>
        <v>0</v>
      </c>
      <c r="J101" s="11">
        <f>+SUMIFS(JURNAL!G:G,JURNAL!E:E,C101,JURNAL!C:C,"&gt;="&amp;$H$1,JURNAL!C:C,"&lt;="&amp;$I$1)</f>
        <v>0</v>
      </c>
      <c r="K101" s="11">
        <f>+SUMIFS(JURNAL!H:H,JURNAL!E:E,C101,JURNAL!C:C,"&gt;="&amp;$H$1,JURNAL!C:C,"&lt;="&amp;$I$1)</f>
        <v>0</v>
      </c>
      <c r="L101" s="26">
        <f t="shared" si="11"/>
        <v>0</v>
      </c>
      <c r="M101" s="27">
        <f t="shared" si="9"/>
        <v>0</v>
      </c>
      <c r="N101" s="11"/>
      <c r="O101" s="190"/>
      <c r="P101" s="27"/>
      <c r="Q101" s="11"/>
      <c r="R101" s="26">
        <f t="shared" si="12"/>
        <v>0</v>
      </c>
      <c r="S101" s="27">
        <f t="shared" si="13"/>
        <v>0</v>
      </c>
      <c r="T101" s="11"/>
      <c r="U101" s="11"/>
      <c r="V101" s="415">
        <f t="shared" si="14"/>
        <v>0</v>
      </c>
      <c r="W101" s="379">
        <f t="shared" si="10"/>
        <v>0</v>
      </c>
      <c r="X101" s="4">
        <v>1123</v>
      </c>
      <c r="Y101" s="4"/>
      <c r="Z101" s="4"/>
      <c r="AA101" s="12">
        <f t="shared" si="15"/>
        <v>0</v>
      </c>
      <c r="AC101" s="79"/>
      <c r="AD101" s="79"/>
      <c r="AE101" s="79"/>
      <c r="AF101" s="79"/>
    </row>
    <row r="102" spans="1:32" ht="12.75" customHeight="1">
      <c r="A102" s="24"/>
      <c r="B102" s="108">
        <f t="shared" si="16"/>
        <v>99</v>
      </c>
      <c r="C102" s="6">
        <v>220400</v>
      </c>
      <c r="D102" s="121" t="s">
        <v>804</v>
      </c>
      <c r="E102" s="9" t="s">
        <v>32</v>
      </c>
      <c r="F102" s="6"/>
      <c r="G102" s="6"/>
      <c r="H102" s="11">
        <f>+STAT2!V102</f>
        <v>0</v>
      </c>
      <c r="I102" s="11">
        <f>+STAT2!W102</f>
        <v>0</v>
      </c>
      <c r="J102" s="11">
        <f>+SUMIFS(JURNAL!G:G,JURNAL!E:E,C102,JURNAL!C:C,"&gt;="&amp;$H$1,JURNAL!C:C,"&lt;="&amp;$I$1)</f>
        <v>0</v>
      </c>
      <c r="K102" s="11">
        <f>+SUMIFS(JURNAL!H:H,JURNAL!E:E,C102,JURNAL!C:C,"&gt;="&amp;$H$1,JURNAL!C:C,"&lt;="&amp;$I$1)</f>
        <v>0</v>
      </c>
      <c r="L102" s="26">
        <f t="shared" si="11"/>
        <v>0</v>
      </c>
      <c r="M102" s="27">
        <f t="shared" si="9"/>
        <v>0</v>
      </c>
      <c r="N102" s="11"/>
      <c r="O102" s="190"/>
      <c r="P102" s="27"/>
      <c r="Q102" s="11"/>
      <c r="R102" s="26">
        <f t="shared" si="12"/>
        <v>0</v>
      </c>
      <c r="S102" s="27">
        <f t="shared" si="13"/>
        <v>0</v>
      </c>
      <c r="T102" s="11"/>
      <c r="U102" s="11"/>
      <c r="V102" s="415">
        <f t="shared" si="14"/>
        <v>0</v>
      </c>
      <c r="W102" s="379">
        <f t="shared" si="10"/>
        <v>0</v>
      </c>
      <c r="X102" s="4">
        <v>1123</v>
      </c>
      <c r="Y102" s="4"/>
      <c r="Z102" s="4"/>
      <c r="AA102" s="12">
        <f t="shared" si="15"/>
        <v>0</v>
      </c>
      <c r="AC102" s="79"/>
      <c r="AD102" s="79"/>
      <c r="AE102" s="79"/>
      <c r="AF102" s="79"/>
    </row>
    <row r="103" spans="1:32" ht="12.75" customHeight="1">
      <c r="A103" s="24"/>
      <c r="B103" s="108">
        <f t="shared" si="16"/>
        <v>100</v>
      </c>
      <c r="C103" s="6">
        <v>230100</v>
      </c>
      <c r="D103" s="121" t="s">
        <v>808</v>
      </c>
      <c r="E103" s="9" t="s">
        <v>32</v>
      </c>
      <c r="F103" s="6"/>
      <c r="G103" s="6"/>
      <c r="H103" s="11">
        <f>+STAT2!V103</f>
        <v>0</v>
      </c>
      <c r="I103" s="11">
        <f>+STAT2!W103</f>
        <v>0</v>
      </c>
      <c r="J103" s="11">
        <f>+SUMIFS(JURNAL!G:G,JURNAL!E:E,C103,JURNAL!C:C,"&gt;="&amp;$H$1,JURNAL!C:C,"&lt;="&amp;$I$1)</f>
        <v>0</v>
      </c>
      <c r="K103" s="11">
        <f>+SUMIFS(JURNAL!H:H,JURNAL!E:E,C103,JURNAL!C:C,"&gt;="&amp;$H$1,JURNAL!C:C,"&lt;="&amp;$I$1)</f>
        <v>0</v>
      </c>
      <c r="L103" s="26">
        <f t="shared" si="11"/>
        <v>0</v>
      </c>
      <c r="M103" s="27">
        <f t="shared" si="9"/>
        <v>0</v>
      </c>
      <c r="N103" s="11"/>
      <c r="O103" s="190"/>
      <c r="P103" s="27"/>
      <c r="Q103" s="11"/>
      <c r="R103" s="26">
        <f t="shared" si="12"/>
        <v>0</v>
      </c>
      <c r="S103" s="27">
        <f t="shared" si="13"/>
        <v>0</v>
      </c>
      <c r="T103" s="11"/>
      <c r="U103" s="11"/>
      <c r="V103" s="415">
        <f t="shared" si="14"/>
        <v>0</v>
      </c>
      <c r="W103" s="379">
        <f t="shared" si="10"/>
        <v>0</v>
      </c>
      <c r="X103" s="4">
        <v>1125</v>
      </c>
      <c r="Y103" s="4"/>
      <c r="Z103" s="4"/>
      <c r="AA103" s="12">
        <f t="shared" si="15"/>
        <v>0</v>
      </c>
      <c r="AC103" s="79"/>
      <c r="AD103" s="79"/>
      <c r="AE103" s="79"/>
      <c r="AF103" s="79"/>
    </row>
    <row r="104" spans="1:32" ht="12.75" customHeight="1">
      <c r="A104" s="24"/>
      <c r="B104" s="108">
        <f t="shared" si="16"/>
        <v>101</v>
      </c>
      <c r="C104" s="6">
        <v>230200</v>
      </c>
      <c r="D104" s="121" t="s">
        <v>812</v>
      </c>
      <c r="E104" s="9" t="s">
        <v>32</v>
      </c>
      <c r="F104" s="6"/>
      <c r="G104" s="6"/>
      <c r="H104" s="11">
        <f>+STAT2!V104</f>
        <v>0</v>
      </c>
      <c r="I104" s="11">
        <f>+STAT2!W104</f>
        <v>0</v>
      </c>
      <c r="J104" s="11">
        <f>+SUMIFS(JURNAL!G:G,JURNAL!E:E,C104,JURNAL!C:C,"&gt;="&amp;$H$1,JURNAL!C:C,"&lt;="&amp;$I$1)</f>
        <v>0</v>
      </c>
      <c r="K104" s="11">
        <f>+SUMIFS(JURNAL!H:H,JURNAL!E:E,C104,JURNAL!C:C,"&gt;="&amp;$H$1,JURNAL!C:C,"&lt;="&amp;$I$1)</f>
        <v>0</v>
      </c>
      <c r="L104" s="26">
        <f t="shared" si="11"/>
        <v>0</v>
      </c>
      <c r="M104" s="27">
        <f t="shared" si="9"/>
        <v>0</v>
      </c>
      <c r="N104" s="11"/>
      <c r="O104" s="190"/>
      <c r="P104" s="27"/>
      <c r="Q104" s="11"/>
      <c r="R104" s="26">
        <f t="shared" si="12"/>
        <v>0</v>
      </c>
      <c r="S104" s="27">
        <f t="shared" si="13"/>
        <v>0</v>
      </c>
      <c r="T104" s="11"/>
      <c r="U104" s="11"/>
      <c r="V104" s="415">
        <f t="shared" si="14"/>
        <v>0</v>
      </c>
      <c r="W104" s="379">
        <f t="shared" si="10"/>
        <v>0</v>
      </c>
      <c r="X104" s="4">
        <v>1126</v>
      </c>
      <c r="Y104" s="4"/>
      <c r="Z104" s="4"/>
      <c r="AA104" s="12">
        <f t="shared" si="15"/>
        <v>0</v>
      </c>
      <c r="AC104" s="79"/>
      <c r="AD104" s="79"/>
      <c r="AE104" s="79"/>
      <c r="AF104" s="79"/>
    </row>
    <row r="105" spans="1:32" ht="12.75" customHeight="1">
      <c r="A105" s="24"/>
      <c r="B105" s="108">
        <f t="shared" si="16"/>
        <v>102</v>
      </c>
      <c r="C105" s="6">
        <v>310100</v>
      </c>
      <c r="D105" s="121" t="s">
        <v>505</v>
      </c>
      <c r="E105" s="9" t="s">
        <v>32</v>
      </c>
      <c r="F105" s="6"/>
      <c r="G105" s="6"/>
      <c r="H105" s="11">
        <f>+STAT2!V105</f>
        <v>0</v>
      </c>
      <c r="I105" s="11">
        <f>+STAT2!W105</f>
        <v>25000000</v>
      </c>
      <c r="J105" s="11">
        <f>+SUMIFS(JURNAL!G:G,JURNAL!E:E,C105,JURNAL!C:C,"&gt;="&amp;$H$1,JURNAL!C:C,"&lt;="&amp;$I$1)</f>
        <v>1293124</v>
      </c>
      <c r="K105" s="11">
        <f>+SUMIFS(JURNAL!H:H,JURNAL!E:E,C105,JURNAL!C:C,"&gt;="&amp;$H$1,JURNAL!C:C,"&lt;="&amp;$I$1)</f>
        <v>6607697.9100000001</v>
      </c>
      <c r="L105" s="26">
        <f t="shared" si="11"/>
        <v>0</v>
      </c>
      <c r="M105" s="27">
        <f t="shared" si="9"/>
        <v>30314573.91</v>
      </c>
      <c r="N105" s="11"/>
      <c r="O105" s="190"/>
      <c r="P105" s="27"/>
      <c r="Q105" s="11"/>
      <c r="R105" s="26">
        <f t="shared" si="12"/>
        <v>0</v>
      </c>
      <c r="S105" s="27">
        <f t="shared" si="13"/>
        <v>30314573.91</v>
      </c>
      <c r="T105" s="11"/>
      <c r="U105" s="11"/>
      <c r="V105" s="415">
        <f t="shared" si="14"/>
        <v>0</v>
      </c>
      <c r="W105" s="379">
        <f t="shared" si="10"/>
        <v>30314573.91</v>
      </c>
      <c r="X105" s="4">
        <v>1201</v>
      </c>
      <c r="Y105" s="4"/>
      <c r="Z105" s="4"/>
      <c r="AA105" s="12">
        <f t="shared" si="15"/>
        <v>1</v>
      </c>
      <c r="AC105" s="79"/>
      <c r="AD105" s="79"/>
      <c r="AE105" s="79"/>
      <c r="AF105" s="79"/>
    </row>
    <row r="106" spans="1:32" ht="12.75" customHeight="1">
      <c r="A106" s="24"/>
      <c r="B106" s="108">
        <f t="shared" si="16"/>
        <v>103</v>
      </c>
      <c r="C106" s="6">
        <v>310101</v>
      </c>
      <c r="D106" s="121" t="s">
        <v>959</v>
      </c>
      <c r="E106" s="9" t="s">
        <v>30</v>
      </c>
      <c r="F106" s="6"/>
      <c r="G106" s="6"/>
      <c r="H106" s="11">
        <f>+STAT2!V106</f>
        <v>0</v>
      </c>
      <c r="I106" s="11">
        <f>+STAT2!W106</f>
        <v>0</v>
      </c>
      <c r="J106" s="11">
        <f>+SUMIFS(JURNAL!G:G,JURNAL!E:E,C106,JURNAL!C:C,"&gt;="&amp;$H$1,JURNAL!C:C,"&lt;="&amp;$I$1)</f>
        <v>0</v>
      </c>
      <c r="K106" s="11">
        <f>+SUMIFS(JURNAL!H:H,JURNAL!E:E,C106,JURNAL!C:C,"&gt;="&amp;$H$1,JURNAL!C:C,"&lt;="&amp;$I$1)</f>
        <v>0</v>
      </c>
      <c r="L106" s="26">
        <f t="shared" si="11"/>
        <v>0</v>
      </c>
      <c r="M106" s="27">
        <f t="shared" si="9"/>
        <v>0</v>
      </c>
      <c r="N106" s="11"/>
      <c r="O106" s="190"/>
      <c r="P106" s="27"/>
      <c r="Q106" s="11"/>
      <c r="R106" s="26">
        <f t="shared" si="12"/>
        <v>0</v>
      </c>
      <c r="S106" s="27">
        <f t="shared" si="13"/>
        <v>0</v>
      </c>
      <c r="T106" s="11"/>
      <c r="U106" s="11"/>
      <c r="V106" s="415">
        <f t="shared" si="14"/>
        <v>0</v>
      </c>
      <c r="W106" s="379">
        <f t="shared" si="10"/>
        <v>0</v>
      </c>
      <c r="X106" s="4">
        <v>1201</v>
      </c>
      <c r="Y106" s="4"/>
      <c r="Z106" s="4"/>
      <c r="AA106" s="12">
        <f t="shared" si="15"/>
        <v>0</v>
      </c>
      <c r="AC106" s="79"/>
      <c r="AD106" s="79"/>
      <c r="AE106" s="79"/>
      <c r="AF106" s="79"/>
    </row>
    <row r="107" spans="1:32" ht="12.75" customHeight="1">
      <c r="A107" s="24"/>
      <c r="B107" s="108">
        <f t="shared" si="16"/>
        <v>104</v>
      </c>
      <c r="C107" s="6">
        <v>311700</v>
      </c>
      <c r="D107" s="121" t="s">
        <v>960</v>
      </c>
      <c r="E107" s="9" t="s">
        <v>32</v>
      </c>
      <c r="F107" s="6"/>
      <c r="G107" s="6"/>
      <c r="H107" s="11">
        <f>+STAT2!V107</f>
        <v>0</v>
      </c>
      <c r="I107" s="11">
        <f>+STAT2!W107</f>
        <v>0</v>
      </c>
      <c r="J107" s="11">
        <f>+SUMIFS(JURNAL!G:G,JURNAL!E:E,C107,JURNAL!C:C,"&gt;="&amp;$H$1,JURNAL!C:C,"&lt;="&amp;$I$1)</f>
        <v>0</v>
      </c>
      <c r="K107" s="11">
        <f>+SUMIFS(JURNAL!H:H,JURNAL!E:E,C107,JURNAL!C:C,"&gt;="&amp;$H$1,JURNAL!C:C,"&lt;="&amp;$I$1)</f>
        <v>0</v>
      </c>
      <c r="L107" s="26">
        <f t="shared" si="11"/>
        <v>0</v>
      </c>
      <c r="M107" s="27">
        <f t="shared" si="9"/>
        <v>0</v>
      </c>
      <c r="N107" s="11"/>
      <c r="O107" s="190"/>
      <c r="P107" s="27"/>
      <c r="Q107" s="11"/>
      <c r="R107" s="26">
        <f t="shared" si="12"/>
        <v>0</v>
      </c>
      <c r="S107" s="27">
        <f t="shared" si="13"/>
        <v>0</v>
      </c>
      <c r="T107" s="11"/>
      <c r="U107" s="11"/>
      <c r="V107" s="415">
        <f t="shared" si="14"/>
        <v>0</v>
      </c>
      <c r="W107" s="379">
        <f t="shared" si="10"/>
        <v>0</v>
      </c>
      <c r="X107" s="4">
        <v>1201</v>
      </c>
      <c r="Y107" s="4"/>
      <c r="Z107" s="4"/>
      <c r="AA107" s="12">
        <f t="shared" si="15"/>
        <v>0</v>
      </c>
      <c r="AC107" s="79"/>
      <c r="AD107" s="79"/>
      <c r="AE107" s="79"/>
      <c r="AF107" s="79"/>
    </row>
    <row r="108" spans="1:32" ht="12.75" customHeight="1">
      <c r="A108" s="24"/>
      <c r="B108" s="108">
        <f t="shared" si="16"/>
        <v>105</v>
      </c>
      <c r="C108" s="6">
        <v>310300</v>
      </c>
      <c r="D108" s="121" t="s">
        <v>526</v>
      </c>
      <c r="E108" s="9" t="s">
        <v>32</v>
      </c>
      <c r="F108" s="6"/>
      <c r="G108" s="6"/>
      <c r="H108" s="11">
        <f>+STAT2!V108</f>
        <v>0</v>
      </c>
      <c r="I108" s="11">
        <f>+STAT2!W108</f>
        <v>0</v>
      </c>
      <c r="J108" s="11">
        <f>+SUMIFS(JURNAL!G:G,JURNAL!E:E,C108,JURNAL!C:C,"&gt;="&amp;$H$1,JURNAL!C:C,"&lt;="&amp;$I$1)</f>
        <v>0</v>
      </c>
      <c r="K108" s="11">
        <f>+SUMIFS(JURNAL!H:H,JURNAL!E:E,C108,JURNAL!C:C,"&gt;="&amp;$H$1,JURNAL!C:C,"&lt;="&amp;$I$1)</f>
        <v>0</v>
      </c>
      <c r="L108" s="26">
        <f t="shared" si="11"/>
        <v>0</v>
      </c>
      <c r="M108" s="27">
        <f t="shared" si="9"/>
        <v>0</v>
      </c>
      <c r="N108" s="11"/>
      <c r="O108" s="190"/>
      <c r="P108" s="27"/>
      <c r="Q108" s="11"/>
      <c r="R108" s="26">
        <f t="shared" si="12"/>
        <v>0</v>
      </c>
      <c r="S108" s="27">
        <f t="shared" si="13"/>
        <v>0</v>
      </c>
      <c r="T108" s="11"/>
      <c r="U108" s="11"/>
      <c r="V108" s="415">
        <f t="shared" si="14"/>
        <v>0</v>
      </c>
      <c r="W108" s="379">
        <f t="shared" si="10"/>
        <v>0</v>
      </c>
      <c r="X108" s="4">
        <v>1207</v>
      </c>
      <c r="Y108" s="4"/>
      <c r="Z108" s="4"/>
      <c r="AA108" s="12">
        <f t="shared" si="15"/>
        <v>0</v>
      </c>
      <c r="AC108" s="79"/>
      <c r="AD108" s="79"/>
      <c r="AE108" s="79"/>
      <c r="AF108" s="79"/>
    </row>
    <row r="109" spans="1:32" ht="12.75" customHeight="1">
      <c r="A109" s="24"/>
      <c r="B109" s="108">
        <f t="shared" si="16"/>
        <v>106</v>
      </c>
      <c r="C109" s="6">
        <v>310400</v>
      </c>
      <c r="D109" s="121" t="s">
        <v>533</v>
      </c>
      <c r="E109" s="9" t="s">
        <v>32</v>
      </c>
      <c r="F109" s="6"/>
      <c r="G109" s="6"/>
      <c r="H109" s="11">
        <f>+STAT2!V109</f>
        <v>0</v>
      </c>
      <c r="I109" s="11">
        <f>+STAT2!W109</f>
        <v>0</v>
      </c>
      <c r="J109" s="11">
        <f>+SUMIFS(JURNAL!G:G,JURNAL!E:E,C109,JURNAL!C:C,"&gt;="&amp;$H$1,JURNAL!C:C,"&lt;="&amp;$I$1)</f>
        <v>0</v>
      </c>
      <c r="K109" s="11">
        <f>+SUMIFS(JURNAL!H:H,JURNAL!E:E,C109,JURNAL!C:C,"&gt;="&amp;$H$1,JURNAL!C:C,"&lt;="&amp;$I$1)</f>
        <v>0</v>
      </c>
      <c r="L109" s="26">
        <f t="shared" si="11"/>
        <v>0</v>
      </c>
      <c r="M109" s="27">
        <f t="shared" si="9"/>
        <v>0</v>
      </c>
      <c r="N109" s="11"/>
      <c r="O109" s="190"/>
      <c r="P109" s="27"/>
      <c r="Q109" s="11"/>
      <c r="R109" s="26">
        <f t="shared" si="12"/>
        <v>0</v>
      </c>
      <c r="S109" s="27">
        <f t="shared" si="13"/>
        <v>0</v>
      </c>
      <c r="T109" s="11"/>
      <c r="U109" s="11"/>
      <c r="V109" s="415">
        <f t="shared" si="14"/>
        <v>0</v>
      </c>
      <c r="W109" s="379">
        <f t="shared" si="10"/>
        <v>0</v>
      </c>
      <c r="X109" s="4">
        <v>1205</v>
      </c>
      <c r="Y109" s="4"/>
      <c r="Z109" s="4"/>
      <c r="AA109" s="12">
        <f t="shared" si="15"/>
        <v>0</v>
      </c>
      <c r="AC109" s="79"/>
      <c r="AD109" s="79"/>
      <c r="AE109" s="79"/>
      <c r="AF109" s="79"/>
    </row>
    <row r="110" spans="1:32" ht="12.75" customHeight="1">
      <c r="A110" s="24"/>
      <c r="B110" s="108">
        <f t="shared" si="16"/>
        <v>107</v>
      </c>
      <c r="C110" s="6">
        <v>310401</v>
      </c>
      <c r="D110" s="121" t="s">
        <v>961</v>
      </c>
      <c r="E110" s="9" t="s">
        <v>30</v>
      </c>
      <c r="F110" s="6"/>
      <c r="G110" s="6"/>
      <c r="H110" s="11">
        <f>+STAT2!V110</f>
        <v>0</v>
      </c>
      <c r="I110" s="11">
        <f>+STAT2!W110</f>
        <v>0</v>
      </c>
      <c r="J110" s="11">
        <f>+SUMIFS(JURNAL!G:G,JURNAL!E:E,C110,JURNAL!C:C,"&gt;="&amp;$H$1,JURNAL!C:C,"&lt;="&amp;$I$1)</f>
        <v>0</v>
      </c>
      <c r="K110" s="11">
        <f>+SUMIFS(JURNAL!H:H,JURNAL!E:E,C110,JURNAL!C:C,"&gt;="&amp;$H$1,JURNAL!C:C,"&lt;="&amp;$I$1)</f>
        <v>0</v>
      </c>
      <c r="L110" s="26">
        <f t="shared" si="11"/>
        <v>0</v>
      </c>
      <c r="M110" s="27">
        <f t="shared" si="9"/>
        <v>0</v>
      </c>
      <c r="N110" s="11"/>
      <c r="O110" s="190"/>
      <c r="P110" s="27"/>
      <c r="Q110" s="11"/>
      <c r="R110" s="26">
        <f t="shared" si="12"/>
        <v>0</v>
      </c>
      <c r="S110" s="27">
        <f t="shared" si="13"/>
        <v>0</v>
      </c>
      <c r="T110" s="11"/>
      <c r="U110" s="11"/>
      <c r="V110" s="415">
        <f t="shared" si="14"/>
        <v>0</v>
      </c>
      <c r="W110" s="379">
        <f t="shared" si="10"/>
        <v>0</v>
      </c>
      <c r="X110" s="4">
        <v>1205</v>
      </c>
      <c r="Y110" s="4"/>
      <c r="Z110" s="4"/>
      <c r="AA110" s="12">
        <f t="shared" si="15"/>
        <v>0</v>
      </c>
      <c r="AC110" s="79"/>
      <c r="AD110" s="79"/>
      <c r="AE110" s="79"/>
      <c r="AF110" s="79"/>
    </row>
    <row r="111" spans="1:32" ht="12.75" customHeight="1">
      <c r="A111" s="24"/>
      <c r="B111" s="108">
        <f t="shared" si="16"/>
        <v>108</v>
      </c>
      <c r="C111" s="6">
        <v>310500</v>
      </c>
      <c r="D111" s="121" t="s">
        <v>540</v>
      </c>
      <c r="E111" s="9" t="s">
        <v>32</v>
      </c>
      <c r="F111" s="6"/>
      <c r="G111" s="6"/>
      <c r="H111" s="11">
        <f>+STAT2!V111</f>
        <v>0</v>
      </c>
      <c r="I111" s="11">
        <f>+STAT2!W111</f>
        <v>61836807.300909102</v>
      </c>
      <c r="J111" s="11">
        <f>+SUMIFS(JURNAL!G:G,JURNAL!E:E,C111,JURNAL!C:C,"&gt;="&amp;$H$1,JURNAL!C:C,"&lt;="&amp;$I$1)</f>
        <v>0</v>
      </c>
      <c r="K111" s="11">
        <f>+SUMIFS(JURNAL!H:H,JURNAL!E:E,C111,JURNAL!C:C,"&gt;="&amp;$H$1,JURNAL!C:C,"&lt;="&amp;$I$1)</f>
        <v>2955657.8300000005</v>
      </c>
      <c r="L111" s="26">
        <f t="shared" si="11"/>
        <v>0</v>
      </c>
      <c r="M111" s="27">
        <f t="shared" si="9"/>
        <v>64792465.1309091</v>
      </c>
      <c r="N111" s="11">
        <v>2100712.09</v>
      </c>
      <c r="O111" s="190"/>
      <c r="P111" s="27"/>
      <c r="Q111" s="11"/>
      <c r="R111" s="26">
        <f t="shared" si="12"/>
        <v>0</v>
      </c>
      <c r="S111" s="27">
        <f t="shared" si="13"/>
        <v>62691753.040909097</v>
      </c>
      <c r="T111" s="11"/>
      <c r="U111" s="11"/>
      <c r="V111" s="415">
        <f t="shared" si="14"/>
        <v>0</v>
      </c>
      <c r="W111" s="872">
        <f>+IF((R111+T111)&lt;(S111+U111),(S111+U111)-(R111+T111),0)</f>
        <v>62691753.040909097</v>
      </c>
      <c r="X111" s="4">
        <v>1203</v>
      </c>
      <c r="Y111" s="4"/>
      <c r="Z111" s="4"/>
      <c r="AA111" s="12">
        <f t="shared" si="15"/>
        <v>1</v>
      </c>
      <c r="AC111" s="79">
        <v>62691752.630000003</v>
      </c>
      <c r="AD111" s="79">
        <f>+W111-AC111</f>
        <v>0.41090909391641617</v>
      </c>
      <c r="AE111" s="79"/>
      <c r="AF111" s="79"/>
    </row>
    <row r="112" spans="1:32" ht="12.75" customHeight="1">
      <c r="A112" s="25"/>
      <c r="B112" s="108">
        <f t="shared" si="16"/>
        <v>109</v>
      </c>
      <c r="C112" s="6">
        <v>310600</v>
      </c>
      <c r="D112" s="121" t="s">
        <v>545</v>
      </c>
      <c r="E112" s="9" t="s">
        <v>32</v>
      </c>
      <c r="F112" s="6"/>
      <c r="G112" s="6"/>
      <c r="H112" s="11">
        <f>+STAT2!V112</f>
        <v>0</v>
      </c>
      <c r="I112" s="11">
        <f>+STAT2!W112</f>
        <v>0</v>
      </c>
      <c r="J112" s="11">
        <f>+SUMIFS(JURNAL!G:G,JURNAL!E:E,C112,JURNAL!C:C,"&gt;="&amp;$H$1,JURNAL!C:C,"&lt;="&amp;$I$1)</f>
        <v>0</v>
      </c>
      <c r="K112" s="11">
        <f>+SUMIFS(JURNAL!H:H,JURNAL!E:E,C112,JURNAL!C:C,"&gt;="&amp;$H$1,JURNAL!C:C,"&lt;="&amp;$I$1)</f>
        <v>0</v>
      </c>
      <c r="L112" s="26">
        <f t="shared" si="11"/>
        <v>0</v>
      </c>
      <c r="M112" s="27">
        <f t="shared" si="9"/>
        <v>0</v>
      </c>
      <c r="N112" s="11"/>
      <c r="O112" s="190"/>
      <c r="P112" s="27"/>
      <c r="Q112" s="11"/>
      <c r="R112" s="26">
        <f t="shared" si="12"/>
        <v>0</v>
      </c>
      <c r="S112" s="27">
        <f t="shared" si="13"/>
        <v>0</v>
      </c>
      <c r="T112" s="11"/>
      <c r="U112" s="11"/>
      <c r="V112" s="415">
        <f t="shared" si="14"/>
        <v>0</v>
      </c>
      <c r="W112" s="379">
        <f t="shared" si="10"/>
        <v>0</v>
      </c>
      <c r="X112" s="4">
        <v>1203</v>
      </c>
      <c r="Y112" s="4"/>
      <c r="Z112" s="4"/>
      <c r="AA112" s="12">
        <f t="shared" si="15"/>
        <v>0</v>
      </c>
      <c r="AC112" s="79"/>
      <c r="AD112" s="79"/>
      <c r="AE112" s="79"/>
      <c r="AF112" s="79"/>
    </row>
    <row r="113" spans="1:32" ht="12.75" customHeight="1">
      <c r="A113" s="24"/>
      <c r="B113" s="108">
        <f t="shared" si="16"/>
        <v>110</v>
      </c>
      <c r="C113" s="6">
        <v>310700</v>
      </c>
      <c r="D113" s="121" t="s">
        <v>550</v>
      </c>
      <c r="E113" s="9" t="s">
        <v>32</v>
      </c>
      <c r="F113" s="6"/>
      <c r="G113" s="6"/>
      <c r="H113" s="11">
        <f>+STAT2!V113</f>
        <v>0</v>
      </c>
      <c r="I113" s="11">
        <f>+STAT2!W113</f>
        <v>4625763.8619171847</v>
      </c>
      <c r="J113" s="11">
        <f>+SUMIFS(JURNAL!G:G,JURNAL!E:E,C113,JURNAL!C:C,"&gt;="&amp;$H$1,JURNAL!C:C,"&lt;="&amp;$I$1)</f>
        <v>0</v>
      </c>
      <c r="K113" s="11">
        <f>+SUMIFS(JURNAL!H:H,JURNAL!E:E,C113,JURNAL!C:C,"&gt;="&amp;$H$1,JURNAL!C:C,"&lt;="&amp;$I$1)</f>
        <v>1937939.7249999996</v>
      </c>
      <c r="L113" s="26">
        <f t="shared" si="11"/>
        <v>0</v>
      </c>
      <c r="M113" s="27">
        <f t="shared" si="9"/>
        <v>6563703.5869171843</v>
      </c>
      <c r="N113" s="11"/>
      <c r="O113" s="190"/>
      <c r="P113" s="27"/>
      <c r="Q113" s="11"/>
      <c r="R113" s="26">
        <f t="shared" si="12"/>
        <v>0</v>
      </c>
      <c r="S113" s="27">
        <f t="shared" si="13"/>
        <v>6563703.5869171843</v>
      </c>
      <c r="T113" s="11"/>
      <c r="U113" s="11"/>
      <c r="V113" s="415">
        <f t="shared" si="14"/>
        <v>0</v>
      </c>
      <c r="W113" s="872">
        <f t="shared" si="10"/>
        <v>6563703.5869171843</v>
      </c>
      <c r="X113" s="4">
        <v>1203</v>
      </c>
      <c r="Y113" s="4"/>
      <c r="Z113" s="4"/>
      <c r="AA113" s="12">
        <f t="shared" si="15"/>
        <v>1</v>
      </c>
      <c r="AC113" s="79">
        <v>6563703.9299999997</v>
      </c>
      <c r="AD113" s="79">
        <f>+AC113-W113</f>
        <v>0.34308281540870667</v>
      </c>
      <c r="AE113" s="79"/>
      <c r="AF113" s="79"/>
    </row>
    <row r="114" spans="1:32" ht="12.75" customHeight="1">
      <c r="A114" s="24"/>
      <c r="B114" s="108">
        <f t="shared" si="16"/>
        <v>111</v>
      </c>
      <c r="C114" s="6">
        <v>310800</v>
      </c>
      <c r="D114" s="121" t="s">
        <v>555</v>
      </c>
      <c r="E114" s="9" t="s">
        <v>32</v>
      </c>
      <c r="F114" s="6"/>
      <c r="G114" s="6"/>
      <c r="H114" s="11">
        <f>+STAT2!V114</f>
        <v>0</v>
      </c>
      <c r="I114" s="11">
        <f>+STAT2!W114</f>
        <v>13825978.088106744</v>
      </c>
      <c r="J114" s="11">
        <f>+SUMIFS(JURNAL!G:G,JURNAL!E:E,C114,JURNAL!C:C,"&gt;="&amp;$H$1,JURNAL!C:C,"&lt;="&amp;$I$1)</f>
        <v>75821.86</v>
      </c>
      <c r="K114" s="11">
        <f>+SUMIFS(JURNAL!H:H,JURNAL!E:E,C114,JURNAL!C:C,"&gt;="&amp;$H$1,JURNAL!C:C,"&lt;="&amp;$I$1)</f>
        <v>6768001.1099999994</v>
      </c>
      <c r="L114" s="26">
        <f t="shared" si="11"/>
        <v>0</v>
      </c>
      <c r="M114" s="27">
        <f t="shared" si="9"/>
        <v>20518157.338106744</v>
      </c>
      <c r="N114" s="190">
        <v>10000000</v>
      </c>
      <c r="O114" s="190"/>
      <c r="P114" s="27"/>
      <c r="Q114" s="11"/>
      <c r="R114" s="26">
        <f t="shared" si="12"/>
        <v>0</v>
      </c>
      <c r="S114" s="27">
        <f t="shared" si="13"/>
        <v>10518157.338106744</v>
      </c>
      <c r="T114" s="11"/>
      <c r="U114" s="11"/>
      <c r="V114" s="415">
        <f t="shared" si="14"/>
        <v>0</v>
      </c>
      <c r="W114" s="872">
        <f t="shared" si="10"/>
        <v>10518157.338106744</v>
      </c>
      <c r="X114" s="4">
        <v>1204</v>
      </c>
      <c r="Y114" s="4"/>
      <c r="Z114" s="4"/>
      <c r="AA114" s="12">
        <f t="shared" si="15"/>
        <v>1</v>
      </c>
      <c r="AC114" s="79">
        <v>10518156.82</v>
      </c>
      <c r="AD114" s="79">
        <f>+AC114-W114</f>
        <v>-0.51810674369335175</v>
      </c>
      <c r="AE114" s="79"/>
      <c r="AF114" s="79"/>
    </row>
    <row r="115" spans="1:32" ht="12.75" customHeight="1">
      <c r="A115" s="24"/>
      <c r="B115" s="108">
        <f t="shared" si="16"/>
        <v>112</v>
      </c>
      <c r="C115" s="6">
        <v>310900</v>
      </c>
      <c r="D115" s="121" t="s">
        <v>560</v>
      </c>
      <c r="E115" s="9" t="s">
        <v>32</v>
      </c>
      <c r="F115" s="6"/>
      <c r="G115" s="6"/>
      <c r="H115" s="11">
        <f>+STAT2!V115</f>
        <v>0</v>
      </c>
      <c r="I115" s="11">
        <f>+STAT2!W115</f>
        <v>0</v>
      </c>
      <c r="J115" s="11">
        <f>+SUMIFS(JURNAL!G:G,JURNAL!E:E,C115,JURNAL!C:C,"&gt;="&amp;$H$1,JURNAL!C:C,"&lt;="&amp;$I$1)</f>
        <v>0</v>
      </c>
      <c r="K115" s="11">
        <f>+SUMIFS(JURNAL!H:H,JURNAL!E:E,C115,JURNAL!C:C,"&gt;="&amp;$H$1,JURNAL!C:C,"&lt;="&amp;$I$1)</f>
        <v>0</v>
      </c>
      <c r="L115" s="26">
        <f t="shared" si="11"/>
        <v>0</v>
      </c>
      <c r="M115" s="27">
        <f t="shared" si="9"/>
        <v>0</v>
      </c>
      <c r="N115" s="11"/>
      <c r="O115" s="190"/>
      <c r="P115" s="27"/>
      <c r="Q115" s="11"/>
      <c r="R115" s="26">
        <f t="shared" si="12"/>
        <v>0</v>
      </c>
      <c r="S115" s="27">
        <f t="shared" si="13"/>
        <v>0</v>
      </c>
      <c r="T115" s="11"/>
      <c r="U115" s="11"/>
      <c r="V115" s="415">
        <f t="shared" si="14"/>
        <v>0</v>
      </c>
      <c r="W115" s="379">
        <f t="shared" si="10"/>
        <v>0</v>
      </c>
      <c r="X115" s="4">
        <v>1203</v>
      </c>
      <c r="Y115" s="4"/>
      <c r="Z115" s="4"/>
      <c r="AA115" s="12">
        <f t="shared" si="15"/>
        <v>0</v>
      </c>
      <c r="AC115" s="79"/>
      <c r="AD115" s="79"/>
      <c r="AE115" s="79"/>
      <c r="AF115" s="79"/>
    </row>
    <row r="116" spans="1:32" ht="12.75" customHeight="1">
      <c r="A116" s="24"/>
      <c r="B116" s="108">
        <f t="shared" si="16"/>
        <v>113</v>
      </c>
      <c r="C116" s="6">
        <v>311000</v>
      </c>
      <c r="D116" s="121" t="s">
        <v>565</v>
      </c>
      <c r="E116" s="9" t="s">
        <v>32</v>
      </c>
      <c r="F116" s="6"/>
      <c r="G116" s="6"/>
      <c r="H116" s="11">
        <f>+STAT2!V116</f>
        <v>0</v>
      </c>
      <c r="I116" s="11">
        <f>+STAT2!W116</f>
        <v>0</v>
      </c>
      <c r="J116" s="11">
        <f>+SUMIFS(JURNAL!G:G,JURNAL!E:E,C116,JURNAL!C:C,"&gt;="&amp;$H$1,JURNAL!C:C,"&lt;="&amp;$I$1)</f>
        <v>22774790.854999997</v>
      </c>
      <c r="K116" s="11">
        <f>+SUMIFS(JURNAL!H:H,JURNAL!E:E,C116,JURNAL!C:C,"&gt;="&amp;$H$1,JURNAL!C:C,"&lt;="&amp;$I$1)</f>
        <v>22774790.854999997</v>
      </c>
      <c r="L116" s="26">
        <f t="shared" si="11"/>
        <v>0</v>
      </c>
      <c r="M116" s="27">
        <f t="shared" si="9"/>
        <v>0</v>
      </c>
      <c r="N116" s="11"/>
      <c r="O116" s="190"/>
      <c r="P116" s="27"/>
      <c r="Q116" s="11"/>
      <c r="R116" s="26">
        <f t="shared" si="12"/>
        <v>0</v>
      </c>
      <c r="S116" s="27">
        <f t="shared" si="13"/>
        <v>0</v>
      </c>
      <c r="T116" s="11"/>
      <c r="U116" s="11"/>
      <c r="V116" s="415">
        <f t="shared" si="14"/>
        <v>0</v>
      </c>
      <c r="W116" s="379">
        <f t="shared" si="10"/>
        <v>0</v>
      </c>
      <c r="X116" s="4">
        <v>1202</v>
      </c>
      <c r="Y116" s="4"/>
      <c r="Z116" s="4"/>
      <c r="AA116" s="12">
        <f t="shared" si="15"/>
        <v>1</v>
      </c>
      <c r="AC116" s="79"/>
      <c r="AD116" s="79"/>
      <c r="AE116" s="79"/>
      <c r="AF116" s="79"/>
    </row>
    <row r="117" spans="1:32" ht="12.75" customHeight="1">
      <c r="A117" s="24"/>
      <c r="B117" s="108">
        <f t="shared" si="16"/>
        <v>114</v>
      </c>
      <c r="C117" s="6">
        <v>311100</v>
      </c>
      <c r="D117" s="121" t="s">
        <v>570</v>
      </c>
      <c r="E117" s="9" t="s">
        <v>32</v>
      </c>
      <c r="F117" s="6"/>
      <c r="G117" s="6"/>
      <c r="H117" s="11">
        <f>+STAT2!V117</f>
        <v>0</v>
      </c>
      <c r="I117" s="11">
        <f>+STAT2!W117</f>
        <v>49863030</v>
      </c>
      <c r="J117" s="11">
        <f>+SUMIFS(JURNAL!G:G,JURNAL!E:E,C117,JURNAL!C:C,"&gt;="&amp;$H$1,JURNAL!C:C,"&lt;="&amp;$I$1)</f>
        <v>11300356</v>
      </c>
      <c r="K117" s="11">
        <f>+SUMIFS(JURNAL!H:H,JURNAL!E:E,C117,JURNAL!C:C,"&gt;="&amp;$H$1,JURNAL!C:C,"&lt;="&amp;$I$1)</f>
        <v>0</v>
      </c>
      <c r="L117" s="26">
        <f t="shared" si="11"/>
        <v>0</v>
      </c>
      <c r="M117" s="27">
        <f t="shared" si="9"/>
        <v>38562674</v>
      </c>
      <c r="N117" s="11"/>
      <c r="O117" s="190"/>
      <c r="P117" s="27"/>
      <c r="Q117" s="11"/>
      <c r="R117" s="26">
        <f t="shared" si="12"/>
        <v>0</v>
      </c>
      <c r="S117" s="27">
        <f t="shared" si="13"/>
        <v>38562674</v>
      </c>
      <c r="T117" s="11"/>
      <c r="U117" s="11"/>
      <c r="V117" s="415">
        <f t="shared" si="14"/>
        <v>0</v>
      </c>
      <c r="W117" s="872">
        <f t="shared" si="10"/>
        <v>38562674</v>
      </c>
      <c r="X117" s="4">
        <v>1210</v>
      </c>
      <c r="Y117" s="4"/>
      <c r="Z117" s="4"/>
      <c r="AA117" s="12">
        <f t="shared" si="15"/>
        <v>1</v>
      </c>
      <c r="AC117" s="79">
        <v>38562673</v>
      </c>
      <c r="AD117" s="79">
        <f>+W117-AC117</f>
        <v>1</v>
      </c>
      <c r="AE117" s="79"/>
      <c r="AF117" s="79"/>
    </row>
    <row r="118" spans="1:32" ht="12.75" customHeight="1">
      <c r="A118" s="24"/>
      <c r="B118" s="108">
        <f t="shared" si="16"/>
        <v>115</v>
      </c>
      <c r="C118" s="6">
        <v>311200</v>
      </c>
      <c r="D118" s="121" t="s">
        <v>575</v>
      </c>
      <c r="E118" s="9" t="s">
        <v>32</v>
      </c>
      <c r="F118" s="6"/>
      <c r="G118" s="6"/>
      <c r="H118" s="11">
        <f>+STAT2!V118</f>
        <v>0</v>
      </c>
      <c r="I118" s="11">
        <f>+STAT2!W118</f>
        <v>0</v>
      </c>
      <c r="J118" s="11">
        <f>+SUMIFS(JURNAL!G:G,JURNAL!E:E,C118,JURNAL!C:C,"&gt;="&amp;$H$1,JURNAL!C:C,"&lt;="&amp;$I$1)</f>
        <v>0</v>
      </c>
      <c r="K118" s="11">
        <f>+SUMIFS(JURNAL!H:H,JURNAL!E:E,C118,JURNAL!C:C,"&gt;="&amp;$H$1,JURNAL!C:C,"&lt;="&amp;$I$1)</f>
        <v>0</v>
      </c>
      <c r="L118" s="26">
        <f t="shared" si="11"/>
        <v>0</v>
      </c>
      <c r="M118" s="27">
        <f t="shared" si="9"/>
        <v>0</v>
      </c>
      <c r="N118" s="11"/>
      <c r="O118" s="190"/>
      <c r="P118" s="27"/>
      <c r="Q118" s="11"/>
      <c r="R118" s="26">
        <f t="shared" si="12"/>
        <v>0</v>
      </c>
      <c r="S118" s="27">
        <f t="shared" si="13"/>
        <v>0</v>
      </c>
      <c r="T118" s="11"/>
      <c r="U118" s="11"/>
      <c r="V118" s="415">
        <f t="shared" si="14"/>
        <v>0</v>
      </c>
      <c r="W118" s="379">
        <f t="shared" si="10"/>
        <v>0</v>
      </c>
      <c r="X118" s="4">
        <v>1201</v>
      </c>
      <c r="Y118" s="4"/>
      <c r="Z118" s="4"/>
      <c r="AA118" s="12">
        <f t="shared" si="15"/>
        <v>0</v>
      </c>
      <c r="AC118" s="79"/>
      <c r="AD118" s="79"/>
      <c r="AE118" s="79"/>
      <c r="AF118" s="79"/>
    </row>
    <row r="119" spans="1:32" ht="12.75" customHeight="1">
      <c r="A119" s="24"/>
      <c r="B119" s="108">
        <f t="shared" si="16"/>
        <v>116</v>
      </c>
      <c r="C119" s="6">
        <v>311300</v>
      </c>
      <c r="D119" s="121" t="s">
        <v>580</v>
      </c>
      <c r="E119" s="9" t="s">
        <v>32</v>
      </c>
      <c r="F119" s="6"/>
      <c r="G119" s="6"/>
      <c r="H119" s="11">
        <f>+STAT2!V119</f>
        <v>0</v>
      </c>
      <c r="I119" s="11">
        <f>+STAT2!W119</f>
        <v>0</v>
      </c>
      <c r="J119" s="11">
        <f>+SUMIFS(JURNAL!G:G,JURNAL!E:E,C119,JURNAL!C:C,"&gt;="&amp;$H$1,JURNAL!C:C,"&lt;="&amp;$I$1)</f>
        <v>0</v>
      </c>
      <c r="K119" s="11">
        <f>+SUMIFS(JURNAL!H:H,JURNAL!E:E,C119,JURNAL!C:C,"&gt;="&amp;$H$1,JURNAL!C:C,"&lt;="&amp;$I$1)</f>
        <v>0</v>
      </c>
      <c r="L119" s="26">
        <f t="shared" si="11"/>
        <v>0</v>
      </c>
      <c r="M119" s="27">
        <f t="shared" si="9"/>
        <v>0</v>
      </c>
      <c r="N119" s="11"/>
      <c r="O119" s="190"/>
      <c r="P119" s="27"/>
      <c r="Q119" s="11"/>
      <c r="R119" s="26">
        <f t="shared" si="12"/>
        <v>0</v>
      </c>
      <c r="S119" s="27">
        <f t="shared" si="13"/>
        <v>0</v>
      </c>
      <c r="T119" s="11"/>
      <c r="U119" s="11"/>
      <c r="V119" s="415">
        <f t="shared" si="14"/>
        <v>0</v>
      </c>
      <c r="W119" s="379">
        <f t="shared" si="10"/>
        <v>0</v>
      </c>
      <c r="X119" s="4">
        <v>1201</v>
      </c>
      <c r="Y119" s="4"/>
      <c r="Z119" s="4"/>
      <c r="AA119" s="12">
        <f t="shared" si="15"/>
        <v>0</v>
      </c>
      <c r="AC119" s="79"/>
      <c r="AD119" s="79"/>
      <c r="AE119" s="79"/>
      <c r="AF119" s="79"/>
    </row>
    <row r="120" spans="1:32" ht="12.75" customHeight="1">
      <c r="A120" s="24"/>
      <c r="B120" s="108">
        <f t="shared" si="16"/>
        <v>117</v>
      </c>
      <c r="C120" s="6">
        <v>311301</v>
      </c>
      <c r="D120" s="121" t="s">
        <v>962</v>
      </c>
      <c r="E120" s="9" t="s">
        <v>30</v>
      </c>
      <c r="F120" s="6"/>
      <c r="G120" s="6"/>
      <c r="H120" s="11">
        <f>+STAT2!V120</f>
        <v>0</v>
      </c>
      <c r="I120" s="11">
        <f>+STAT2!W120</f>
        <v>0</v>
      </c>
      <c r="J120" s="11">
        <f>+SUMIFS(JURNAL!G:G,JURNAL!E:E,C120,JURNAL!C:C,"&gt;="&amp;$H$1,JURNAL!C:C,"&lt;="&amp;$I$1)</f>
        <v>0</v>
      </c>
      <c r="K120" s="11">
        <f>+SUMIFS(JURNAL!H:H,JURNAL!E:E,C120,JURNAL!C:C,"&gt;="&amp;$H$1,JURNAL!C:C,"&lt;="&amp;$I$1)</f>
        <v>0</v>
      </c>
      <c r="L120" s="26">
        <f t="shared" si="11"/>
        <v>0</v>
      </c>
      <c r="M120" s="27">
        <f t="shared" si="9"/>
        <v>0</v>
      </c>
      <c r="N120" s="11"/>
      <c r="O120" s="190"/>
      <c r="P120" s="27"/>
      <c r="Q120" s="11"/>
      <c r="R120" s="26">
        <f t="shared" si="12"/>
        <v>0</v>
      </c>
      <c r="S120" s="27">
        <f t="shared" si="13"/>
        <v>0</v>
      </c>
      <c r="T120" s="11"/>
      <c r="U120" s="11"/>
      <c r="V120" s="415">
        <f t="shared" si="14"/>
        <v>0</v>
      </c>
      <c r="W120" s="379">
        <f t="shared" si="10"/>
        <v>0</v>
      </c>
      <c r="X120" s="4">
        <v>1201</v>
      </c>
      <c r="Y120" s="4"/>
      <c r="Z120" s="4"/>
      <c r="AA120" s="12">
        <f t="shared" si="15"/>
        <v>0</v>
      </c>
      <c r="AC120" s="79"/>
      <c r="AD120" s="79"/>
      <c r="AE120" s="79"/>
      <c r="AF120" s="79"/>
    </row>
    <row r="121" spans="1:32" ht="12.75" customHeight="1">
      <c r="A121" s="24"/>
      <c r="B121" s="108">
        <f t="shared" si="16"/>
        <v>118</v>
      </c>
      <c r="C121" s="6">
        <v>311400</v>
      </c>
      <c r="D121" s="121" t="s">
        <v>993</v>
      </c>
      <c r="E121" s="9" t="s">
        <v>32</v>
      </c>
      <c r="F121" s="6"/>
      <c r="G121" s="6"/>
      <c r="H121" s="11">
        <f>+STAT2!V121</f>
        <v>0</v>
      </c>
      <c r="I121" s="11">
        <f>+STAT2!W121</f>
        <v>0</v>
      </c>
      <c r="J121" s="11">
        <f>+SUMIFS(JURNAL!G:G,JURNAL!E:E,C121,JURNAL!C:C,"&gt;="&amp;$H$1,JURNAL!C:C,"&lt;="&amp;$I$1)</f>
        <v>0</v>
      </c>
      <c r="K121" s="11">
        <f>+SUMIFS(JURNAL!H:H,JURNAL!E:E,C121,JURNAL!C:C,"&gt;="&amp;$H$1,JURNAL!C:C,"&lt;="&amp;$I$1)</f>
        <v>0</v>
      </c>
      <c r="L121" s="26">
        <f t="shared" si="11"/>
        <v>0</v>
      </c>
      <c r="M121" s="27">
        <f t="shared" si="9"/>
        <v>0</v>
      </c>
      <c r="N121" s="11"/>
      <c r="O121" s="190"/>
      <c r="P121" s="27"/>
      <c r="Q121" s="11"/>
      <c r="R121" s="26">
        <f t="shared" si="12"/>
        <v>0</v>
      </c>
      <c r="S121" s="27">
        <f t="shared" si="13"/>
        <v>0</v>
      </c>
      <c r="T121" s="11"/>
      <c r="U121" s="11"/>
      <c r="V121" s="415">
        <f t="shared" si="14"/>
        <v>0</v>
      </c>
      <c r="W121" s="379">
        <f t="shared" si="10"/>
        <v>0</v>
      </c>
      <c r="X121" s="4">
        <v>1210</v>
      </c>
      <c r="Y121" s="4"/>
      <c r="Z121" s="4"/>
      <c r="AA121" s="12">
        <f t="shared" si="15"/>
        <v>0</v>
      </c>
      <c r="AC121" s="79"/>
      <c r="AD121" s="79"/>
      <c r="AE121" s="79"/>
      <c r="AF121" s="79"/>
    </row>
    <row r="122" spans="1:32" ht="12.75" customHeight="1">
      <c r="A122" s="24"/>
      <c r="B122" s="108">
        <f t="shared" si="16"/>
        <v>119</v>
      </c>
      <c r="C122" s="6">
        <v>311401</v>
      </c>
      <c r="D122" s="121" t="s">
        <v>994</v>
      </c>
      <c r="E122" s="9" t="s">
        <v>30</v>
      </c>
      <c r="F122" s="6"/>
      <c r="G122" s="6"/>
      <c r="H122" s="11">
        <f>+STAT2!V122</f>
        <v>0</v>
      </c>
      <c r="I122" s="11">
        <f>+STAT2!W122</f>
        <v>0</v>
      </c>
      <c r="J122" s="11">
        <f>+SUMIFS(JURNAL!G:G,JURNAL!E:E,C122,JURNAL!C:C,"&gt;="&amp;$H$1,JURNAL!C:C,"&lt;="&amp;$I$1)</f>
        <v>0</v>
      </c>
      <c r="K122" s="11">
        <f>+SUMIFS(JURNAL!H:H,JURNAL!E:E,C122,JURNAL!C:C,"&gt;="&amp;$H$1,JURNAL!C:C,"&lt;="&amp;$I$1)</f>
        <v>0</v>
      </c>
      <c r="L122" s="26">
        <f t="shared" si="11"/>
        <v>0</v>
      </c>
      <c r="M122" s="27">
        <f t="shared" si="9"/>
        <v>0</v>
      </c>
      <c r="N122" s="11"/>
      <c r="O122" s="190"/>
      <c r="P122" s="27"/>
      <c r="Q122" s="11"/>
      <c r="R122" s="26">
        <f t="shared" si="12"/>
        <v>0</v>
      </c>
      <c r="S122" s="27">
        <f t="shared" si="13"/>
        <v>0</v>
      </c>
      <c r="T122" s="11"/>
      <c r="U122" s="11"/>
      <c r="V122" s="415">
        <f t="shared" si="14"/>
        <v>0</v>
      </c>
      <c r="W122" s="379">
        <f t="shared" si="10"/>
        <v>0</v>
      </c>
      <c r="X122" s="4">
        <v>1210</v>
      </c>
      <c r="Y122" s="4"/>
      <c r="Z122" s="4"/>
      <c r="AA122" s="12">
        <f t="shared" si="15"/>
        <v>0</v>
      </c>
      <c r="AC122" s="79"/>
      <c r="AD122" s="79"/>
      <c r="AE122" s="79"/>
      <c r="AF122" s="79"/>
    </row>
    <row r="123" spans="1:32" ht="12.75" customHeight="1">
      <c r="A123" s="24"/>
      <c r="B123" s="108">
        <f t="shared" si="16"/>
        <v>120</v>
      </c>
      <c r="C123" s="6">
        <v>311600</v>
      </c>
      <c r="D123" s="121" t="s">
        <v>588</v>
      </c>
      <c r="E123" s="9" t="s">
        <v>32</v>
      </c>
      <c r="F123" s="6"/>
      <c r="G123" s="6"/>
      <c r="H123" s="11">
        <f>+STAT2!V123</f>
        <v>0</v>
      </c>
      <c r="I123" s="11">
        <f>+STAT2!W123</f>
        <v>0</v>
      </c>
      <c r="J123" s="11">
        <f>+SUMIFS(JURNAL!G:G,JURNAL!E:E,C123,JURNAL!C:C,"&gt;="&amp;$H$1,JURNAL!C:C,"&lt;="&amp;$I$1)</f>
        <v>0</v>
      </c>
      <c r="K123" s="11">
        <f>+SUMIFS(JURNAL!H:H,JURNAL!E:E,C123,JURNAL!C:C,"&gt;="&amp;$H$1,JURNAL!C:C,"&lt;="&amp;$I$1)</f>
        <v>0</v>
      </c>
      <c r="L123" s="26">
        <f t="shared" si="11"/>
        <v>0</v>
      </c>
      <c r="M123" s="27">
        <f t="shared" si="9"/>
        <v>0</v>
      </c>
      <c r="N123" s="11"/>
      <c r="O123" s="190"/>
      <c r="P123" s="27"/>
      <c r="Q123" s="11"/>
      <c r="R123" s="26">
        <f t="shared" si="12"/>
        <v>0</v>
      </c>
      <c r="S123" s="27">
        <f t="shared" si="13"/>
        <v>0</v>
      </c>
      <c r="T123" s="11"/>
      <c r="U123" s="11"/>
      <c r="V123" s="415">
        <f t="shared" si="14"/>
        <v>0</v>
      </c>
      <c r="W123" s="379">
        <f t="shared" si="10"/>
        <v>0</v>
      </c>
      <c r="X123" s="4">
        <v>1208</v>
      </c>
      <c r="Y123" s="4"/>
      <c r="Z123" s="4"/>
      <c r="AA123" s="12">
        <f t="shared" si="15"/>
        <v>0</v>
      </c>
      <c r="AC123" s="79"/>
      <c r="AD123" s="79"/>
      <c r="AE123" s="79"/>
      <c r="AF123" s="79"/>
    </row>
    <row r="124" spans="1:32" ht="12.75" customHeight="1">
      <c r="A124" s="24"/>
      <c r="B124" s="108">
        <f t="shared" si="16"/>
        <v>121</v>
      </c>
      <c r="C124" s="6">
        <v>312000</v>
      </c>
      <c r="D124" s="121" t="s">
        <v>593</v>
      </c>
      <c r="E124" s="9" t="s">
        <v>32</v>
      </c>
      <c r="F124" s="6"/>
      <c r="G124" s="6"/>
      <c r="H124" s="11">
        <f>+STAT2!V124</f>
        <v>0</v>
      </c>
      <c r="I124" s="11">
        <f>+STAT2!W124</f>
        <v>0</v>
      </c>
      <c r="J124" s="11">
        <f>+SUMIFS(JURNAL!G:G,JURNAL!E:E,C124,JURNAL!C:C,"&gt;="&amp;$H$1,JURNAL!C:C,"&lt;="&amp;$I$1)</f>
        <v>0</v>
      </c>
      <c r="K124" s="11">
        <f>+SUMIFS(JURNAL!H:H,JURNAL!E:E,C124,JURNAL!C:C,"&gt;="&amp;$H$1,JURNAL!C:C,"&lt;="&amp;$I$1)</f>
        <v>0</v>
      </c>
      <c r="L124" s="26">
        <f t="shared" si="11"/>
        <v>0</v>
      </c>
      <c r="M124" s="27">
        <f t="shared" si="9"/>
        <v>0</v>
      </c>
      <c r="N124" s="11"/>
      <c r="O124" s="190"/>
      <c r="P124" s="27"/>
      <c r="Q124" s="11"/>
      <c r="R124" s="26">
        <f t="shared" si="12"/>
        <v>0</v>
      </c>
      <c r="S124" s="27">
        <f t="shared" si="13"/>
        <v>0</v>
      </c>
      <c r="T124" s="11"/>
      <c r="U124" s="11"/>
      <c r="V124" s="415">
        <f t="shared" si="14"/>
        <v>0</v>
      </c>
      <c r="W124" s="379">
        <f t="shared" si="10"/>
        <v>0</v>
      </c>
      <c r="X124" s="4">
        <v>1210</v>
      </c>
      <c r="Y124" s="4"/>
      <c r="Z124" s="4"/>
      <c r="AA124" s="12">
        <f t="shared" si="15"/>
        <v>0</v>
      </c>
      <c r="AC124" s="79"/>
      <c r="AD124" s="79"/>
      <c r="AE124" s="79"/>
      <c r="AF124" s="79"/>
    </row>
    <row r="125" spans="1:32" ht="12.75" customHeight="1">
      <c r="A125" s="24"/>
      <c r="B125" s="108">
        <f t="shared" si="16"/>
        <v>122</v>
      </c>
      <c r="C125" s="6">
        <v>320100</v>
      </c>
      <c r="D125" s="121" t="s">
        <v>598</v>
      </c>
      <c r="E125" s="9" t="s">
        <v>32</v>
      </c>
      <c r="F125" s="6"/>
      <c r="G125" s="6"/>
      <c r="H125" s="11">
        <f>+STAT2!V125</f>
        <v>0</v>
      </c>
      <c r="I125" s="11">
        <f>+STAT2!W125</f>
        <v>118147724.09</v>
      </c>
      <c r="J125" s="11">
        <f>+SUMIFS(JURNAL!G:G,JURNAL!E:E,C125,JURNAL!C:C,"&gt;="&amp;$H$1,JURNAL!C:C,"&lt;="&amp;$I$1)</f>
        <v>32512236</v>
      </c>
      <c r="K125" s="11">
        <f>+SUMIFS(JURNAL!H:H,JURNAL!E:E,C125,JURNAL!C:C,"&gt;="&amp;$H$1,JURNAL!C:C,"&lt;="&amp;$I$1)</f>
        <v>50519736</v>
      </c>
      <c r="L125" s="26">
        <f t="shared" si="11"/>
        <v>0</v>
      </c>
      <c r="M125" s="27">
        <f t="shared" si="9"/>
        <v>136155224.09</v>
      </c>
      <c r="N125" s="11"/>
      <c r="O125" s="190"/>
      <c r="P125" s="27"/>
      <c r="Q125" s="11"/>
      <c r="R125" s="26">
        <f t="shared" si="12"/>
        <v>0</v>
      </c>
      <c r="S125" s="27">
        <f t="shared" si="13"/>
        <v>136155224.09</v>
      </c>
      <c r="T125" s="11"/>
      <c r="U125" s="11"/>
      <c r="V125" s="415">
        <f t="shared" si="14"/>
        <v>0</v>
      </c>
      <c r="W125" s="379">
        <f t="shared" si="10"/>
        <v>136155224.09</v>
      </c>
      <c r="X125" s="4">
        <v>1211</v>
      </c>
      <c r="Y125" s="4"/>
      <c r="Z125" s="4"/>
      <c r="AA125" s="12">
        <f t="shared" si="15"/>
        <v>1</v>
      </c>
      <c r="AC125" s="79"/>
      <c r="AD125" s="79"/>
      <c r="AE125" s="79"/>
      <c r="AF125" s="79"/>
    </row>
    <row r="126" spans="1:32" ht="12.75" customHeight="1">
      <c r="A126" s="24"/>
      <c r="B126" s="108">
        <f t="shared" si="16"/>
        <v>123</v>
      </c>
      <c r="C126" s="6">
        <v>320101</v>
      </c>
      <c r="D126" s="121" t="s">
        <v>963</v>
      </c>
      <c r="E126" s="9" t="s">
        <v>30</v>
      </c>
      <c r="F126" s="6"/>
      <c r="G126" s="6"/>
      <c r="H126" s="11">
        <f>+STAT2!V126</f>
        <v>0</v>
      </c>
      <c r="I126" s="11">
        <f>+STAT2!W126</f>
        <v>0</v>
      </c>
      <c r="J126" s="11">
        <f>+SUMIFS(JURNAL!G:G,JURNAL!E:E,C126,JURNAL!C:C,"&gt;="&amp;$H$1,JURNAL!C:C,"&lt;="&amp;$I$1)</f>
        <v>0</v>
      </c>
      <c r="K126" s="11">
        <f>+SUMIFS(JURNAL!H:H,JURNAL!E:E,C126,JURNAL!C:C,"&gt;="&amp;$H$1,JURNAL!C:C,"&lt;="&amp;$I$1)</f>
        <v>0</v>
      </c>
      <c r="L126" s="26">
        <f t="shared" si="11"/>
        <v>0</v>
      </c>
      <c r="M126" s="27">
        <f t="shared" si="9"/>
        <v>0</v>
      </c>
      <c r="N126" s="11"/>
      <c r="O126" s="190"/>
      <c r="P126" s="27"/>
      <c r="Q126" s="11"/>
      <c r="R126" s="26">
        <f t="shared" si="12"/>
        <v>0</v>
      </c>
      <c r="S126" s="27">
        <f t="shared" si="13"/>
        <v>0</v>
      </c>
      <c r="T126" s="11"/>
      <c r="U126" s="11"/>
      <c r="V126" s="415">
        <f t="shared" si="14"/>
        <v>0</v>
      </c>
      <c r="W126" s="379">
        <f t="shared" si="10"/>
        <v>0</v>
      </c>
      <c r="X126" s="4">
        <v>1211</v>
      </c>
      <c r="Y126" s="4"/>
      <c r="Z126" s="4"/>
      <c r="AA126" s="12">
        <f t="shared" si="15"/>
        <v>0</v>
      </c>
      <c r="AC126" s="79"/>
      <c r="AD126" s="79"/>
      <c r="AE126" s="79"/>
      <c r="AF126" s="79"/>
    </row>
    <row r="127" spans="1:32" ht="12.75" customHeight="1">
      <c r="A127" s="24"/>
      <c r="B127" s="108">
        <f t="shared" si="16"/>
        <v>124</v>
      </c>
      <c r="C127" s="6">
        <v>340100</v>
      </c>
      <c r="D127" s="121" t="s">
        <v>1567</v>
      </c>
      <c r="E127" s="9" t="s">
        <v>32</v>
      </c>
      <c r="F127" s="6"/>
      <c r="G127" s="6"/>
      <c r="H127" s="11">
        <f>+STAT2!V127</f>
        <v>0</v>
      </c>
      <c r="I127" s="11">
        <f>+STAT2!W127</f>
        <v>0</v>
      </c>
      <c r="J127" s="11">
        <f>+SUMIFS(JURNAL!G:G,JURNAL!E:E,C127,JURNAL!C:C,"&gt;="&amp;$H$1,JURNAL!C:C,"&lt;="&amp;$I$1)</f>
        <v>0</v>
      </c>
      <c r="K127" s="11">
        <f>+SUMIFS(JURNAL!H:H,JURNAL!E:E,C127,JURNAL!C:C,"&gt;="&amp;$H$1,JURNAL!C:C,"&lt;="&amp;$I$1)</f>
        <v>0</v>
      </c>
      <c r="L127" s="26">
        <f t="shared" si="11"/>
        <v>0</v>
      </c>
      <c r="M127" s="27">
        <f t="shared" si="9"/>
        <v>0</v>
      </c>
      <c r="N127" s="11"/>
      <c r="O127" s="190"/>
      <c r="P127" s="27"/>
      <c r="Q127" s="11"/>
      <c r="R127" s="26">
        <f t="shared" si="12"/>
        <v>0</v>
      </c>
      <c r="S127" s="27">
        <f t="shared" si="13"/>
        <v>0</v>
      </c>
      <c r="T127" s="11"/>
      <c r="U127" s="11"/>
      <c r="V127" s="415">
        <f t="shared" si="14"/>
        <v>0</v>
      </c>
      <c r="W127" s="379">
        <f t="shared" si="10"/>
        <v>0</v>
      </c>
      <c r="X127" s="4">
        <v>1210</v>
      </c>
      <c r="Y127" s="4"/>
      <c r="Z127" s="4"/>
      <c r="AA127" s="12">
        <f t="shared" si="15"/>
        <v>0</v>
      </c>
      <c r="AC127" s="79"/>
      <c r="AD127" s="79"/>
      <c r="AE127" s="79"/>
      <c r="AF127" s="79"/>
    </row>
    <row r="128" spans="1:32" ht="12.75" customHeight="1">
      <c r="A128" s="24"/>
      <c r="B128" s="108">
        <f t="shared" si="16"/>
        <v>125</v>
      </c>
      <c r="C128" s="6">
        <v>350100</v>
      </c>
      <c r="D128" s="121" t="s">
        <v>1568</v>
      </c>
      <c r="E128" s="9" t="s">
        <v>30</v>
      </c>
      <c r="F128" s="6"/>
      <c r="G128" s="6"/>
      <c r="H128" s="11">
        <f>+STAT2!V128</f>
        <v>0</v>
      </c>
      <c r="I128" s="11">
        <f>+STAT2!W128</f>
        <v>0</v>
      </c>
      <c r="J128" s="11">
        <f>+SUMIFS(JURNAL!G:G,JURNAL!E:E,C128,JURNAL!C:C,"&gt;="&amp;$H$1,JURNAL!C:C,"&lt;="&amp;$I$1)</f>
        <v>0</v>
      </c>
      <c r="K128" s="11">
        <f>+SUMIFS(JURNAL!H:H,JURNAL!E:E,C128,JURNAL!C:C,"&gt;="&amp;$H$1,JURNAL!C:C,"&lt;="&amp;$I$1)</f>
        <v>0</v>
      </c>
      <c r="L128" s="26">
        <f t="shared" si="11"/>
        <v>0</v>
      </c>
      <c r="M128" s="27">
        <f t="shared" si="9"/>
        <v>0</v>
      </c>
      <c r="N128" s="11"/>
      <c r="O128" s="190"/>
      <c r="P128" s="27"/>
      <c r="Q128" s="11"/>
      <c r="R128" s="26">
        <f t="shared" si="12"/>
        <v>0</v>
      </c>
      <c r="S128" s="27">
        <f t="shared" si="13"/>
        <v>0</v>
      </c>
      <c r="T128" s="11"/>
      <c r="U128" s="11"/>
      <c r="V128" s="415">
        <f t="shared" si="14"/>
        <v>0</v>
      </c>
      <c r="W128" s="379">
        <f t="shared" si="10"/>
        <v>0</v>
      </c>
      <c r="X128" s="4">
        <v>1210</v>
      </c>
      <c r="Y128" s="4"/>
      <c r="Z128" s="4"/>
      <c r="AA128" s="12">
        <f t="shared" si="15"/>
        <v>0</v>
      </c>
      <c r="AC128" s="79"/>
      <c r="AD128" s="79"/>
      <c r="AE128" s="79"/>
      <c r="AF128" s="79"/>
    </row>
    <row r="129" spans="1:34" ht="12.75" customHeight="1">
      <c r="A129" s="24"/>
      <c r="B129" s="108">
        <f t="shared" si="16"/>
        <v>126</v>
      </c>
      <c r="C129" s="6">
        <v>320200</v>
      </c>
      <c r="D129" s="121" t="s">
        <v>603</v>
      </c>
      <c r="E129" s="9" t="s">
        <v>32</v>
      </c>
      <c r="F129" s="6"/>
      <c r="G129" s="6"/>
      <c r="H129" s="11">
        <f>+STAT2!V129</f>
        <v>0</v>
      </c>
      <c r="I129" s="11">
        <f>+STAT2!W129</f>
        <v>0</v>
      </c>
      <c r="J129" s="11">
        <f>+SUMIFS(JURNAL!G:G,JURNAL!E:E,C129,JURNAL!C:C,"&gt;="&amp;$H$1,JURNAL!C:C,"&lt;="&amp;$I$1)</f>
        <v>0</v>
      </c>
      <c r="K129" s="11">
        <f>+SUMIFS(JURNAL!H:H,JURNAL!E:E,C129,JURNAL!C:C,"&gt;="&amp;$H$1,JURNAL!C:C,"&lt;="&amp;$I$1)</f>
        <v>0</v>
      </c>
      <c r="L129" s="26">
        <f t="shared" si="11"/>
        <v>0</v>
      </c>
      <c r="M129" s="27">
        <f t="shared" si="9"/>
        <v>0</v>
      </c>
      <c r="N129" s="11"/>
      <c r="O129" s="190"/>
      <c r="P129" s="27"/>
      <c r="Q129" s="11"/>
      <c r="R129" s="26">
        <f t="shared" si="12"/>
        <v>0</v>
      </c>
      <c r="S129" s="27">
        <f t="shared" si="13"/>
        <v>0</v>
      </c>
      <c r="T129" s="11"/>
      <c r="U129" s="11"/>
      <c r="V129" s="415">
        <f t="shared" si="14"/>
        <v>0</v>
      </c>
      <c r="W129" s="379">
        <f t="shared" si="10"/>
        <v>0</v>
      </c>
      <c r="X129" s="4">
        <v>1210</v>
      </c>
      <c r="Y129" s="4"/>
      <c r="Z129" s="4"/>
      <c r="AA129" s="12">
        <f t="shared" si="15"/>
        <v>0</v>
      </c>
      <c r="AC129" s="79"/>
      <c r="AD129" s="79"/>
      <c r="AE129" s="79"/>
      <c r="AF129" s="79"/>
    </row>
    <row r="130" spans="1:34" ht="12.75" customHeight="1">
      <c r="A130" s="24"/>
      <c r="B130" s="108">
        <f t="shared" si="16"/>
        <v>127</v>
      </c>
      <c r="C130" s="6">
        <v>330200</v>
      </c>
      <c r="D130" s="121" t="s">
        <v>608</v>
      </c>
      <c r="E130" s="9" t="s">
        <v>32</v>
      </c>
      <c r="F130" s="6"/>
      <c r="G130" s="6"/>
      <c r="H130" s="11">
        <f>+STAT2!V130</f>
        <v>0</v>
      </c>
      <c r="I130" s="11">
        <f>+STAT2!W130</f>
        <v>0</v>
      </c>
      <c r="J130" s="11">
        <f>+SUMIFS(JURNAL!G:G,JURNAL!E:E,C130,JURNAL!C:C,"&gt;="&amp;$H$1,JURNAL!C:C,"&lt;="&amp;$I$1)</f>
        <v>0</v>
      </c>
      <c r="K130" s="11">
        <f>+SUMIFS(JURNAL!H:H,JURNAL!E:E,C130,JURNAL!C:C,"&gt;="&amp;$H$1,JURNAL!C:C,"&lt;="&amp;$I$1)</f>
        <v>0</v>
      </c>
      <c r="L130" s="26">
        <f t="shared" si="11"/>
        <v>0</v>
      </c>
      <c r="M130" s="27">
        <f t="shared" si="9"/>
        <v>0</v>
      </c>
      <c r="N130" s="11"/>
      <c r="O130" s="190"/>
      <c r="P130" s="27"/>
      <c r="Q130" s="11"/>
      <c r="R130" s="26">
        <f t="shared" si="12"/>
        <v>0</v>
      </c>
      <c r="S130" s="27">
        <f t="shared" si="13"/>
        <v>0</v>
      </c>
      <c r="T130" s="11"/>
      <c r="U130" s="11"/>
      <c r="V130" s="415">
        <f t="shared" si="14"/>
        <v>0</v>
      </c>
      <c r="W130" s="379">
        <f t="shared" si="10"/>
        <v>0</v>
      </c>
      <c r="X130" s="4">
        <v>1221</v>
      </c>
      <c r="Y130" s="4"/>
      <c r="Z130" s="4"/>
      <c r="AA130" s="12">
        <f t="shared" si="15"/>
        <v>0</v>
      </c>
      <c r="AC130" s="79"/>
      <c r="AD130" s="79"/>
      <c r="AE130" s="79"/>
      <c r="AF130" s="79"/>
    </row>
    <row r="131" spans="1:34" ht="12.75" customHeight="1">
      <c r="A131" s="24"/>
      <c r="B131" s="108">
        <f t="shared" si="16"/>
        <v>128</v>
      </c>
      <c r="C131" s="6">
        <v>330201</v>
      </c>
      <c r="D131" s="121" t="s">
        <v>964</v>
      </c>
      <c r="E131" s="9" t="s">
        <v>30</v>
      </c>
      <c r="F131" s="6"/>
      <c r="G131" s="6"/>
      <c r="H131" s="11">
        <f>+STAT2!V131</f>
        <v>0</v>
      </c>
      <c r="I131" s="11">
        <f>+STAT2!W131</f>
        <v>0</v>
      </c>
      <c r="J131" s="11">
        <f>+SUMIFS(JURNAL!G:G,JURNAL!E:E,C131,JURNAL!C:C,"&gt;="&amp;$H$1,JURNAL!C:C,"&lt;="&amp;$I$1)</f>
        <v>0</v>
      </c>
      <c r="K131" s="11">
        <f>+SUMIFS(JURNAL!H:H,JURNAL!E:E,C131,JURNAL!C:C,"&gt;="&amp;$H$1,JURNAL!C:C,"&lt;="&amp;$I$1)</f>
        <v>0</v>
      </c>
      <c r="L131" s="26">
        <f t="shared" si="11"/>
        <v>0</v>
      </c>
      <c r="M131" s="27">
        <f t="shared" si="9"/>
        <v>0</v>
      </c>
      <c r="N131" s="11"/>
      <c r="O131" s="190"/>
      <c r="P131" s="27"/>
      <c r="Q131" s="11"/>
      <c r="R131" s="26">
        <f t="shared" si="12"/>
        <v>0</v>
      </c>
      <c r="S131" s="27">
        <f t="shared" si="13"/>
        <v>0</v>
      </c>
      <c r="T131" s="11"/>
      <c r="U131" s="11"/>
      <c r="V131" s="415">
        <f t="shared" si="14"/>
        <v>0</v>
      </c>
      <c r="W131" s="379">
        <f t="shared" si="10"/>
        <v>0</v>
      </c>
      <c r="X131" s="4">
        <v>1221</v>
      </c>
      <c r="Y131" s="4"/>
      <c r="Z131" s="4"/>
      <c r="AA131" s="12">
        <f t="shared" si="15"/>
        <v>0</v>
      </c>
      <c r="AC131" s="79"/>
      <c r="AD131" s="79"/>
      <c r="AE131" s="79"/>
      <c r="AF131" s="79"/>
    </row>
    <row r="132" spans="1:34" ht="12.75" customHeight="1">
      <c r="A132" s="24"/>
      <c r="B132" s="108">
        <f t="shared" si="16"/>
        <v>129</v>
      </c>
      <c r="C132" s="6">
        <v>330800</v>
      </c>
      <c r="D132" s="121" t="s">
        <v>613</v>
      </c>
      <c r="E132" s="9" t="s">
        <v>32</v>
      </c>
      <c r="F132" s="6"/>
      <c r="G132" s="6"/>
      <c r="H132" s="11">
        <f>+STAT2!V132</f>
        <v>0</v>
      </c>
      <c r="I132" s="11">
        <f>+STAT2!W132</f>
        <v>0</v>
      </c>
      <c r="J132" s="11">
        <f>+SUMIFS(JURNAL!G:G,JURNAL!E:E,C132,JURNAL!C:C,"&gt;="&amp;$H$1,JURNAL!C:C,"&lt;="&amp;$I$1)</f>
        <v>0</v>
      </c>
      <c r="K132" s="11">
        <f>+SUMIFS(JURNAL!H:H,JURNAL!E:E,C132,JURNAL!C:C,"&gt;="&amp;$H$1,JURNAL!C:C,"&lt;="&amp;$I$1)</f>
        <v>0</v>
      </c>
      <c r="L132" s="26">
        <f t="shared" si="11"/>
        <v>0</v>
      </c>
      <c r="M132" s="27">
        <f t="shared" ref="M132:M138" si="17">+IF((H132+J132)&lt;(I132+K132),(I132+K132)-(H132+J132),0)</f>
        <v>0</v>
      </c>
      <c r="N132" s="11"/>
      <c r="O132" s="190"/>
      <c r="P132" s="27"/>
      <c r="Q132" s="11"/>
      <c r="R132" s="26">
        <f t="shared" si="12"/>
        <v>0</v>
      </c>
      <c r="S132" s="27">
        <f t="shared" si="13"/>
        <v>0</v>
      </c>
      <c r="T132" s="11"/>
      <c r="U132" s="11"/>
      <c r="V132" s="415">
        <f t="shared" si="14"/>
        <v>0</v>
      </c>
      <c r="W132" s="379">
        <f t="shared" ref="W132:W138" si="18">+IF((R132+T132)&lt;(S132+U132),(S132+U132)-(R132+T132),0)</f>
        <v>0</v>
      </c>
      <c r="X132" s="4">
        <v>1223</v>
      </c>
      <c r="Y132" s="4"/>
      <c r="Z132" s="4"/>
      <c r="AA132" s="12">
        <f t="shared" si="15"/>
        <v>0</v>
      </c>
      <c r="AC132" s="79"/>
      <c r="AD132" s="79"/>
      <c r="AE132" s="79"/>
      <c r="AF132" s="79"/>
    </row>
    <row r="133" spans="1:34" ht="12.75" customHeight="1">
      <c r="A133" s="24"/>
      <c r="B133" s="108">
        <f t="shared" si="16"/>
        <v>130</v>
      </c>
      <c r="C133" s="6">
        <v>410200</v>
      </c>
      <c r="D133" s="121" t="s">
        <v>965</v>
      </c>
      <c r="E133" s="9" t="s">
        <v>32</v>
      </c>
      <c r="F133" s="6"/>
      <c r="G133" s="6"/>
      <c r="H133" s="11">
        <f>+STAT2!V133</f>
        <v>0</v>
      </c>
      <c r="I133" s="11">
        <f>+STAT2!W133</f>
        <v>30701981.399999999</v>
      </c>
      <c r="J133" s="11">
        <f>+SUMIFS(JURNAL!G:G,JURNAL!E:E,C133,JURNAL!C:C,"&gt;="&amp;$H$1,JURNAL!C:C,"&lt;="&amp;$I$1)</f>
        <v>0</v>
      </c>
      <c r="K133" s="11">
        <f>+SUMIFS(JURNAL!H:H,JURNAL!E:E,C133,JURNAL!C:C,"&gt;="&amp;$H$1,JURNAL!C:C,"&lt;="&amp;$I$1)</f>
        <v>0</v>
      </c>
      <c r="L133" s="26">
        <f t="shared" ref="L133:L138" si="19">+IF((H133+J133)&gt;(I133+K133),(H133+J133)-(I133+K133),0)</f>
        <v>0</v>
      </c>
      <c r="M133" s="27">
        <f t="shared" si="17"/>
        <v>30701981.399999999</v>
      </c>
      <c r="N133" s="11"/>
      <c r="O133" s="190"/>
      <c r="P133" s="27"/>
      <c r="Q133" s="11"/>
      <c r="R133" s="26">
        <f t="shared" ref="R133:R138" si="20">+IF((L133+N133)&gt;(M133+O133),(L133+N133)-(M133+O133),0)</f>
        <v>0</v>
      </c>
      <c r="S133" s="27">
        <f t="shared" ref="S133:S138" si="21">+IF((L133+N133)&lt;(M133+O133),(M133+O133)-(L133+N133),0)</f>
        <v>30701981.399999999</v>
      </c>
      <c r="T133" s="11"/>
      <c r="U133" s="11"/>
      <c r="V133" s="415">
        <f t="shared" ref="V133:V138" si="22">+IF((R133+T133)&gt;(S133+U133),(R133+T133)-(S133+U133),0)</f>
        <v>0</v>
      </c>
      <c r="W133" s="379">
        <f t="shared" si="18"/>
        <v>30701981.399999999</v>
      </c>
      <c r="X133" s="4">
        <v>1302</v>
      </c>
      <c r="Y133" s="4"/>
      <c r="Z133" s="4"/>
      <c r="AA133" s="12">
        <f t="shared" ref="AA133:AA138" si="23">+IF(H133+I133+J133+K133+L133+M133+N133+O133+R133+S133+T133+U133+V133+W133,1,0)</f>
        <v>1</v>
      </c>
      <c r="AC133" s="79"/>
      <c r="AD133" s="79"/>
      <c r="AE133" s="79"/>
      <c r="AF133" s="79"/>
    </row>
    <row r="134" spans="1:34" ht="12.75" customHeight="1">
      <c r="A134" s="24"/>
      <c r="B134" s="108">
        <f t="shared" ref="B134:B197" si="24">+B133+1</f>
        <v>131</v>
      </c>
      <c r="C134" s="6">
        <v>420100</v>
      </c>
      <c r="D134" s="121" t="s">
        <v>620</v>
      </c>
      <c r="E134" s="9" t="s">
        <v>32</v>
      </c>
      <c r="F134" s="6"/>
      <c r="G134" s="6"/>
      <c r="H134" s="11">
        <f>+STAT2!V134</f>
        <v>0</v>
      </c>
      <c r="I134" s="11">
        <f>+STAT2!W134</f>
        <v>680931312.63</v>
      </c>
      <c r="J134" s="11">
        <f>+SUMIFS(JURNAL!G:G,JURNAL!E:E,C134,JURNAL!C:C,"&gt;="&amp;$H$1,JURNAL!C:C,"&lt;="&amp;$I$1)</f>
        <v>0</v>
      </c>
      <c r="K134" s="11">
        <f>+SUMIFS(JURNAL!H:H,JURNAL!E:E,C134,JURNAL!C:C,"&gt;="&amp;$H$1,JURNAL!C:C,"&lt;="&amp;$I$1)</f>
        <v>0</v>
      </c>
      <c r="L134" s="26">
        <f t="shared" si="19"/>
        <v>0</v>
      </c>
      <c r="M134" s="27">
        <f t="shared" si="17"/>
        <v>680931312.63</v>
      </c>
      <c r="N134" s="11"/>
      <c r="O134" s="190"/>
      <c r="P134" s="27"/>
      <c r="Q134" s="11"/>
      <c r="R134" s="26">
        <f t="shared" si="20"/>
        <v>0</v>
      </c>
      <c r="S134" s="27">
        <f t="shared" si="21"/>
        <v>680931312.63</v>
      </c>
      <c r="T134" s="11"/>
      <c r="U134" s="11"/>
      <c r="V134" s="415">
        <f t="shared" si="22"/>
        <v>0</v>
      </c>
      <c r="W134" s="379">
        <f t="shared" si="18"/>
        <v>680931312.63</v>
      </c>
      <c r="X134" s="4">
        <v>1310</v>
      </c>
      <c r="Y134" s="4"/>
      <c r="Z134" s="4"/>
      <c r="AA134" s="12">
        <f t="shared" si="23"/>
        <v>1</v>
      </c>
      <c r="AC134" s="79"/>
      <c r="AD134" s="79"/>
      <c r="AE134" s="79"/>
      <c r="AF134" s="79"/>
    </row>
    <row r="135" spans="1:34" ht="12.75" customHeight="1">
      <c r="A135" s="24"/>
      <c r="B135" s="108">
        <f t="shared" si="24"/>
        <v>132</v>
      </c>
      <c r="C135" s="6">
        <v>420200</v>
      </c>
      <c r="D135" s="121" t="s">
        <v>180</v>
      </c>
      <c r="E135" s="9" t="s">
        <v>32</v>
      </c>
      <c r="F135" s="6"/>
      <c r="G135" s="6"/>
      <c r="H135" s="11">
        <f>+STAT2!V135</f>
        <v>0</v>
      </c>
      <c r="I135" s="11">
        <f>+STAT2!W135</f>
        <v>0</v>
      </c>
      <c r="J135" s="11">
        <f>+SUMIFS(JURNAL!G:G,JURNAL!E:E,C135,JURNAL!C:C,"&gt;="&amp;$H$1,JURNAL!C:C,"&lt;="&amp;$I$1)</f>
        <v>0</v>
      </c>
      <c r="K135" s="11">
        <f>+SUMIFS(JURNAL!H:H,JURNAL!E:E,C135,JURNAL!C:C,"&gt;="&amp;$H$1,JURNAL!C:C,"&lt;="&amp;$I$1)</f>
        <v>0</v>
      </c>
      <c r="L135" s="26">
        <f t="shared" si="19"/>
        <v>0</v>
      </c>
      <c r="M135" s="27">
        <f t="shared" si="17"/>
        <v>0</v>
      </c>
      <c r="N135" s="11"/>
      <c r="O135" s="190"/>
      <c r="P135" s="27"/>
      <c r="Q135" s="11"/>
      <c r="R135" s="26">
        <f t="shared" si="20"/>
        <v>0</v>
      </c>
      <c r="S135" s="27">
        <f t="shared" si="21"/>
        <v>0</v>
      </c>
      <c r="T135" s="11"/>
      <c r="U135" s="11"/>
      <c r="V135" s="415">
        <f t="shared" si="22"/>
        <v>0</v>
      </c>
      <c r="W135" s="379">
        <f t="shared" si="18"/>
        <v>0</v>
      </c>
      <c r="X135" s="4">
        <v>1311</v>
      </c>
      <c r="Y135" s="4"/>
      <c r="Z135" s="4"/>
      <c r="AA135" s="12">
        <f t="shared" si="23"/>
        <v>0</v>
      </c>
      <c r="AC135" s="79"/>
      <c r="AD135" s="79"/>
      <c r="AE135" s="79"/>
      <c r="AF135" s="79"/>
    </row>
    <row r="136" spans="1:34" ht="12.75" customHeight="1">
      <c r="A136" s="24"/>
      <c r="B136" s="108">
        <f t="shared" si="24"/>
        <v>133</v>
      </c>
      <c r="C136" s="6">
        <v>430300</v>
      </c>
      <c r="D136" s="121" t="s">
        <v>627</v>
      </c>
      <c r="E136" s="9" t="s">
        <v>32</v>
      </c>
      <c r="F136" s="6"/>
      <c r="G136" s="6"/>
      <c r="H136" s="11">
        <f>+STAT2!V136</f>
        <v>0</v>
      </c>
      <c r="I136" s="11">
        <f>+STAT2!W136</f>
        <v>106378624.62</v>
      </c>
      <c r="J136" s="11">
        <f>+SUMIFS(JURNAL!G:G,JURNAL!E:E,C136,JURNAL!C:C,"&gt;="&amp;$H$1,JURNAL!C:C,"&lt;="&amp;$I$1)</f>
        <v>0</v>
      </c>
      <c r="K136" s="11">
        <f>+SUMIFS(JURNAL!H:H,JURNAL!E:E,C136,JURNAL!C:C,"&gt;="&amp;$H$1,JURNAL!C:C,"&lt;="&amp;$I$1)</f>
        <v>0</v>
      </c>
      <c r="L136" s="26">
        <f t="shared" si="19"/>
        <v>0</v>
      </c>
      <c r="M136" s="27">
        <f t="shared" si="17"/>
        <v>106378624.62</v>
      </c>
      <c r="N136" s="11"/>
      <c r="O136" s="190"/>
      <c r="P136" s="27"/>
      <c r="Q136" s="11"/>
      <c r="R136" s="26">
        <f t="shared" si="20"/>
        <v>0</v>
      </c>
      <c r="S136" s="27">
        <f t="shared" si="21"/>
        <v>106378624.62</v>
      </c>
      <c r="T136" s="11"/>
      <c r="U136" s="11"/>
      <c r="V136" s="415">
        <f t="shared" si="22"/>
        <v>0</v>
      </c>
      <c r="W136" s="379">
        <f t="shared" si="18"/>
        <v>106378624.62</v>
      </c>
      <c r="X136" s="4">
        <v>1312</v>
      </c>
      <c r="Y136" s="4"/>
      <c r="Z136" s="4"/>
      <c r="AA136" s="12">
        <f t="shared" si="23"/>
        <v>1</v>
      </c>
      <c r="AC136" s="79"/>
      <c r="AD136" s="79"/>
      <c r="AE136" s="79"/>
      <c r="AF136" s="79"/>
    </row>
    <row r="137" spans="1:34" ht="12.75" customHeight="1">
      <c r="A137" s="24"/>
      <c r="B137" s="108">
        <f t="shared" si="24"/>
        <v>134</v>
      </c>
      <c r="C137" s="6">
        <v>440100</v>
      </c>
      <c r="D137" s="121" t="s">
        <v>633</v>
      </c>
      <c r="E137" s="9" t="s">
        <v>32</v>
      </c>
      <c r="F137" s="6"/>
      <c r="G137" s="6"/>
      <c r="H137" s="11">
        <f>+STAT2!V137</f>
        <v>0</v>
      </c>
      <c r="I137" s="11">
        <f>+STAT2!W137</f>
        <v>984463390.13</v>
      </c>
      <c r="J137" s="11">
        <f>+SUMIFS(JURNAL!G:G,JURNAL!E:E,C137,JURNAL!C:C,"&gt;="&amp;$H$1,JURNAL!C:C,"&lt;="&amp;$I$1)</f>
        <v>0</v>
      </c>
      <c r="K137" s="11">
        <f>+SUMIFS(JURNAL!H:H,JURNAL!E:E,C137,JURNAL!C:C,"&gt;="&amp;$H$1,JURNAL!C:C,"&lt;="&amp;$I$1)</f>
        <v>0</v>
      </c>
      <c r="L137" s="26">
        <f t="shared" si="19"/>
        <v>0</v>
      </c>
      <c r="M137" s="27">
        <f t="shared" si="17"/>
        <v>984463390.13</v>
      </c>
      <c r="N137" s="11"/>
      <c r="O137" s="190"/>
      <c r="P137" s="27"/>
      <c r="Q137" s="11"/>
      <c r="R137" s="26">
        <f t="shared" si="20"/>
        <v>0</v>
      </c>
      <c r="S137" s="27">
        <f t="shared" si="21"/>
        <v>984463390.13</v>
      </c>
      <c r="T137" s="11"/>
      <c r="U137" s="414"/>
      <c r="V137" s="415">
        <f t="shared" si="22"/>
        <v>0</v>
      </c>
      <c r="W137" s="379">
        <f t="shared" si="18"/>
        <v>984463390.13</v>
      </c>
      <c r="X137" s="4">
        <v>1313</v>
      </c>
      <c r="Y137" s="4"/>
      <c r="Z137" s="4"/>
      <c r="AA137" s="12">
        <f t="shared" si="23"/>
        <v>1</v>
      </c>
      <c r="AC137" s="79"/>
      <c r="AD137" s="79"/>
      <c r="AE137" s="79"/>
      <c r="AF137" s="79"/>
    </row>
    <row r="138" spans="1:34" ht="12.75" customHeight="1">
      <c r="A138" s="24"/>
      <c r="B138" s="108">
        <f t="shared" si="24"/>
        <v>135</v>
      </c>
      <c r="C138" s="6">
        <v>440200</v>
      </c>
      <c r="D138" s="121" t="s">
        <v>639</v>
      </c>
      <c r="E138" s="9" t="s">
        <v>32</v>
      </c>
      <c r="F138" s="6"/>
      <c r="G138" s="6"/>
      <c r="H138" s="11">
        <f>+STAT2!V138</f>
        <v>63944364.238249235</v>
      </c>
      <c r="I138" s="11">
        <f>+STAT2!W138</f>
        <v>0</v>
      </c>
      <c r="J138" s="11">
        <f>+SUMIFS(JURNAL!G:G,JURNAL!E:E,C138,JURNAL!C:C,"&gt;="&amp;$H$1,JURNAL!C:C,"&lt;="&amp;$I$1)</f>
        <v>0</v>
      </c>
      <c r="K138" s="11">
        <f>+SUMIFS(JURNAL!H:H,JURNAL!E:E,C138,JURNAL!C:C,"&gt;="&amp;$H$1,JURNAL!C:C,"&lt;="&amp;$I$1)</f>
        <v>0</v>
      </c>
      <c r="L138" s="26">
        <f t="shared" si="19"/>
        <v>63944364.238249235</v>
      </c>
      <c r="M138" s="27">
        <f t="shared" si="17"/>
        <v>0</v>
      </c>
      <c r="N138" s="11"/>
      <c r="O138" s="190"/>
      <c r="P138" s="27"/>
      <c r="Q138" s="11"/>
      <c r="R138" s="26">
        <f t="shared" si="20"/>
        <v>63944364.238249235</v>
      </c>
      <c r="S138" s="27">
        <f t="shared" si="21"/>
        <v>0</v>
      </c>
      <c r="T138" s="27">
        <v>16332096.788590185</v>
      </c>
      <c r="U138" s="121"/>
      <c r="V138" s="415">
        <f t="shared" si="22"/>
        <v>80276461.02683942</v>
      </c>
      <c r="W138" s="379">
        <f t="shared" si="18"/>
        <v>0</v>
      </c>
      <c r="X138" s="4">
        <v>1314</v>
      </c>
      <c r="Y138" s="4"/>
      <c r="Z138" s="4"/>
      <c r="AA138" s="12">
        <f t="shared" si="23"/>
        <v>1</v>
      </c>
      <c r="AC138" s="79"/>
      <c r="AD138" s="79"/>
      <c r="AE138" s="79"/>
      <c r="AF138" s="79"/>
    </row>
    <row r="139" spans="1:34" ht="12.75" customHeight="1">
      <c r="A139" s="24"/>
      <c r="B139" s="108">
        <f t="shared" si="24"/>
        <v>136</v>
      </c>
      <c r="C139" s="137"/>
      <c r="D139" s="138" t="s">
        <v>996</v>
      </c>
      <c r="E139" s="61" t="s">
        <v>32</v>
      </c>
      <c r="F139" s="28">
        <f>+SUM(F4:F138)</f>
        <v>6147.9800000000014</v>
      </c>
      <c r="G139" s="28"/>
      <c r="H139" s="28">
        <f>+SUM(H4:H138)</f>
        <v>3356265476.0785332</v>
      </c>
      <c r="I139" s="28">
        <f t="shared" ref="I139:W139" si="25">+SUM(I4:I138)</f>
        <v>3356265476.0809331</v>
      </c>
      <c r="J139" s="28">
        <f t="shared" si="25"/>
        <v>439633357.66500002</v>
      </c>
      <c r="K139" s="28">
        <f t="shared" si="25"/>
        <v>455981221.36559033</v>
      </c>
      <c r="L139" s="28">
        <f t="shared" si="25"/>
        <v>3390242284.4629426</v>
      </c>
      <c r="M139" s="28">
        <f t="shared" si="25"/>
        <v>3406590148.1659331</v>
      </c>
      <c r="N139" s="28">
        <f t="shared" si="25"/>
        <v>12122365.301999999</v>
      </c>
      <c r="O139" s="28">
        <f t="shared" si="25"/>
        <v>12106598.390000001</v>
      </c>
      <c r="P139" s="28">
        <f t="shared" si="25"/>
        <v>6147.9800000000014</v>
      </c>
      <c r="Q139" s="28">
        <f t="shared" si="25"/>
        <v>15351.680000000002</v>
      </c>
      <c r="R139" s="28">
        <f t="shared" si="25"/>
        <v>3378157339.2867608</v>
      </c>
      <c r="S139" s="28">
        <f t="shared" si="25"/>
        <v>3394489436.0777512</v>
      </c>
      <c r="T139" s="28">
        <f t="shared" si="25"/>
        <v>16332096.788590185</v>
      </c>
      <c r="U139" s="28">
        <f t="shared" si="25"/>
        <v>0</v>
      </c>
      <c r="V139" s="28">
        <f t="shared" si="25"/>
        <v>3394489436.0753508</v>
      </c>
      <c r="W139" s="28">
        <f t="shared" si="25"/>
        <v>3394489436.0777512</v>
      </c>
      <c r="X139" s="28"/>
      <c r="Y139" s="28">
        <f>+SUM(Y4:Y138)</f>
        <v>0</v>
      </c>
      <c r="Z139" s="28">
        <f>+SUM(Z4:Z138)</f>
        <v>0</v>
      </c>
      <c r="AA139" s="28">
        <f>+SUM(AA4:AA138)</f>
        <v>51</v>
      </c>
    </row>
    <row r="140" spans="1:34" ht="12.75" customHeight="1">
      <c r="A140" s="24"/>
      <c r="B140" s="108">
        <f t="shared" si="24"/>
        <v>137</v>
      </c>
      <c r="C140" s="6">
        <v>510000</v>
      </c>
      <c r="D140" s="6" t="s">
        <v>507</v>
      </c>
      <c r="E140" s="9" t="s">
        <v>32</v>
      </c>
      <c r="F140" s="6"/>
      <c r="G140" s="6"/>
      <c r="H140" s="11">
        <f>+STAT2!V140</f>
        <v>0</v>
      </c>
      <c r="I140" s="11">
        <f>+STAT2!W140</f>
        <v>0</v>
      </c>
      <c r="J140" s="11">
        <f>+SUMIFS(JURNAL!G:G,JURNAL!E:E,C140,JURNAL!C:C,"&gt;="&amp;$H$1,JURNAL!C:C,"&lt;="&amp;$I$1)</f>
        <v>0</v>
      </c>
      <c r="K140" s="11">
        <f>+SUMIFS(JURNAL!H:H,JURNAL!E:E,C140,JURNAL!C:C,"&gt;="&amp;$H$1,JURNAL!C:C,"&lt;="&amp;$I$1)</f>
        <v>29556578.169999998</v>
      </c>
      <c r="L140" s="26">
        <f t="shared" ref="L140:L203" si="26">+IF((H140+J140)&gt;(I140+K140),(H140+J140)-(I140+K140),0)</f>
        <v>0</v>
      </c>
      <c r="M140" s="27">
        <f t="shared" ref="M140:M203" si="27">+IF((H140+J140)&lt;(I140+K140),(I140+K140)-(H140+J140),0)</f>
        <v>29556578.169999998</v>
      </c>
      <c r="N140" s="11"/>
      <c r="O140" s="11"/>
      <c r="P140" s="11"/>
      <c r="Q140" s="11"/>
      <c r="R140" s="26">
        <f t="shared" ref="R140:R203" si="28">+IF((L140+N140)&gt;(M140+O140),(L140+N140)-(M140+O140),0)</f>
        <v>0</v>
      </c>
      <c r="S140" s="27">
        <f t="shared" ref="S140:S203" si="29">+IF((L140+N140)&lt;(M140+O140),(M140+O140)-(L140+N140),0)</f>
        <v>29556578.169999998</v>
      </c>
      <c r="T140" s="11">
        <f t="shared" ref="T140:T203" si="30">+S140</f>
        <v>29556578.169999998</v>
      </c>
      <c r="U140" s="11">
        <f t="shared" ref="U140:U203" si="31">+R140</f>
        <v>0</v>
      </c>
      <c r="V140" s="26">
        <f t="shared" ref="V140:V203" si="32">+IF((R140+T140)&gt;(S140+U140),(R140+T140)-(S140+U140),0)</f>
        <v>0</v>
      </c>
      <c r="W140" s="27">
        <f t="shared" ref="W140:W203" si="33">+IF((R140+T140)&lt;(S140+U140),(S140+U140)-(R140+T140),0)</f>
        <v>0</v>
      </c>
      <c r="X140" s="4">
        <v>5101</v>
      </c>
      <c r="Y140" s="4"/>
      <c r="Z140" s="4"/>
      <c r="AA140" s="12">
        <f t="shared" ref="AA140:AA203" si="34">+IF(H140+I140+J140+K140+L140+M140+N140+O140+R140+S140+T140+U140+V140+W140,1,0)</f>
        <v>1</v>
      </c>
      <c r="AC140" s="558"/>
      <c r="AD140" s="83"/>
      <c r="AE140" s="83"/>
      <c r="AF140" s="83"/>
      <c r="AG140" s="1"/>
      <c r="AH140" s="1"/>
    </row>
    <row r="141" spans="1:34" ht="12.75" customHeight="1">
      <c r="A141" s="24"/>
      <c r="B141" s="108">
        <f t="shared" si="24"/>
        <v>138</v>
      </c>
      <c r="C141" s="6">
        <v>510100</v>
      </c>
      <c r="D141" s="6" t="s">
        <v>512</v>
      </c>
      <c r="E141" s="9" t="s">
        <v>32</v>
      </c>
      <c r="F141" s="6"/>
      <c r="G141" s="6"/>
      <c r="H141" s="11">
        <f>+STAT1!V141</f>
        <v>0</v>
      </c>
      <c r="I141" s="11">
        <f>+STAT1!W141</f>
        <v>0</v>
      </c>
      <c r="J141" s="11">
        <f>+SUMIFS(JURNAL!G:G,JURNAL!E:E,C141,JURNAL!C:C,"&gt;="&amp;$H$1,JURNAL!C:C,"&lt;="&amp;$I$1)</f>
        <v>0</v>
      </c>
      <c r="K141" s="11">
        <f>+SUMIFS(JURNAL!H:H,JURNAL!E:E,C141,JURNAL!C:C,"&gt;="&amp;$H$1,JURNAL!C:C,"&lt;="&amp;$I$1)</f>
        <v>0</v>
      </c>
      <c r="L141" s="26">
        <f t="shared" si="26"/>
        <v>0</v>
      </c>
      <c r="M141" s="27">
        <f t="shared" si="27"/>
        <v>0</v>
      </c>
      <c r="N141" s="11"/>
      <c r="O141" s="11"/>
      <c r="P141" s="11"/>
      <c r="Q141" s="11"/>
      <c r="R141" s="26">
        <f t="shared" si="28"/>
        <v>0</v>
      </c>
      <c r="S141" s="27">
        <f t="shared" si="29"/>
        <v>0</v>
      </c>
      <c r="T141" s="11">
        <f t="shared" si="30"/>
        <v>0</v>
      </c>
      <c r="U141" s="11">
        <f t="shared" si="31"/>
        <v>0</v>
      </c>
      <c r="V141" s="26">
        <f t="shared" si="32"/>
        <v>0</v>
      </c>
      <c r="W141" s="27">
        <f t="shared" si="33"/>
        <v>0</v>
      </c>
      <c r="X141" s="4">
        <v>5101</v>
      </c>
      <c r="Y141" s="4"/>
      <c r="Z141" s="4"/>
      <c r="AA141" s="12">
        <f t="shared" si="34"/>
        <v>0</v>
      </c>
      <c r="AC141" s="558"/>
      <c r="AD141" s="83"/>
      <c r="AE141" s="83"/>
      <c r="AF141" s="83"/>
      <c r="AG141" s="1"/>
      <c r="AH141" s="1"/>
    </row>
    <row r="142" spans="1:34" ht="12.75" customHeight="1">
      <c r="A142" s="24"/>
      <c r="B142" s="108">
        <f t="shared" si="24"/>
        <v>139</v>
      </c>
      <c r="C142" s="6">
        <v>510200</v>
      </c>
      <c r="D142" s="6" t="s">
        <v>517</v>
      </c>
      <c r="E142" s="9" t="s">
        <v>32</v>
      </c>
      <c r="F142" s="6"/>
      <c r="G142" s="6"/>
      <c r="H142" s="11">
        <f>+STAT1!V142</f>
        <v>0</v>
      </c>
      <c r="I142" s="11">
        <f>+STAT1!W142</f>
        <v>0</v>
      </c>
      <c r="J142" s="11">
        <f>+SUMIFS(JURNAL!G:G,JURNAL!E:E,C142,JURNAL!C:C,"&gt;="&amp;$H$1,JURNAL!C:C,"&lt;="&amp;$I$1)</f>
        <v>0</v>
      </c>
      <c r="K142" s="11">
        <f>+SUMIFS(JURNAL!H:H,JURNAL!E:E,C142,JURNAL!C:C,"&gt;="&amp;$H$1,JURNAL!C:C,"&lt;="&amp;$I$1)</f>
        <v>0</v>
      </c>
      <c r="L142" s="26">
        <f t="shared" si="26"/>
        <v>0</v>
      </c>
      <c r="M142" s="27">
        <f t="shared" si="27"/>
        <v>0</v>
      </c>
      <c r="N142" s="11"/>
      <c r="O142" s="11"/>
      <c r="P142" s="11"/>
      <c r="Q142" s="11"/>
      <c r="R142" s="26">
        <f t="shared" si="28"/>
        <v>0</v>
      </c>
      <c r="S142" s="27">
        <f t="shared" si="29"/>
        <v>0</v>
      </c>
      <c r="T142" s="11">
        <f t="shared" si="30"/>
        <v>0</v>
      </c>
      <c r="U142" s="11">
        <f t="shared" si="31"/>
        <v>0</v>
      </c>
      <c r="V142" s="26">
        <f t="shared" si="32"/>
        <v>0</v>
      </c>
      <c r="W142" s="27">
        <f t="shared" si="33"/>
        <v>0</v>
      </c>
      <c r="X142" s="4">
        <v>5101</v>
      </c>
      <c r="Y142" s="4"/>
      <c r="Z142" s="4"/>
      <c r="AA142" s="12">
        <f t="shared" si="34"/>
        <v>0</v>
      </c>
      <c r="AC142" s="558"/>
      <c r="AD142" s="83"/>
      <c r="AE142" s="83"/>
      <c r="AF142" s="83"/>
      <c r="AG142" s="1"/>
      <c r="AH142" s="1"/>
    </row>
    <row r="143" spans="1:34" ht="12.75" customHeight="1">
      <c r="A143" s="24"/>
      <c r="B143" s="108">
        <f t="shared" si="24"/>
        <v>140</v>
      </c>
      <c r="C143" s="6">
        <v>510300</v>
      </c>
      <c r="D143" s="6" t="s">
        <v>522</v>
      </c>
      <c r="E143" s="9" t="s">
        <v>32</v>
      </c>
      <c r="F143" s="6"/>
      <c r="G143" s="6"/>
      <c r="H143" s="11">
        <f>+STAT1!V143</f>
        <v>0</v>
      </c>
      <c r="I143" s="11">
        <f>+STAT1!W143</f>
        <v>0</v>
      </c>
      <c r="J143" s="11">
        <f>+SUMIFS(JURNAL!G:G,JURNAL!E:E,C143,JURNAL!C:C,"&gt;="&amp;$H$1,JURNAL!C:C,"&lt;="&amp;$I$1)</f>
        <v>0</v>
      </c>
      <c r="K143" s="11">
        <f>+SUMIFS(JURNAL!H:H,JURNAL!E:E,C143,JURNAL!C:C,"&gt;="&amp;$H$1,JURNAL!C:C,"&lt;="&amp;$I$1)</f>
        <v>0</v>
      </c>
      <c r="L143" s="26">
        <f t="shared" si="26"/>
        <v>0</v>
      </c>
      <c r="M143" s="27">
        <f t="shared" si="27"/>
        <v>0</v>
      </c>
      <c r="N143" s="11"/>
      <c r="O143" s="11"/>
      <c r="P143" s="11"/>
      <c r="Q143" s="11"/>
      <c r="R143" s="26">
        <f t="shared" si="28"/>
        <v>0</v>
      </c>
      <c r="S143" s="27">
        <f t="shared" si="29"/>
        <v>0</v>
      </c>
      <c r="T143" s="11">
        <f t="shared" si="30"/>
        <v>0</v>
      </c>
      <c r="U143" s="11">
        <f t="shared" si="31"/>
        <v>0</v>
      </c>
      <c r="V143" s="26">
        <f t="shared" si="32"/>
        <v>0</v>
      </c>
      <c r="W143" s="27">
        <f t="shared" si="33"/>
        <v>0</v>
      </c>
      <c r="X143" s="4">
        <v>5101</v>
      </c>
      <c r="Y143" s="4"/>
      <c r="Z143" s="4"/>
      <c r="AA143" s="12">
        <f t="shared" si="34"/>
        <v>0</v>
      </c>
      <c r="AC143" s="558"/>
      <c r="AD143" s="83"/>
      <c r="AE143" s="83"/>
      <c r="AF143" s="83"/>
      <c r="AG143" s="1"/>
      <c r="AH143" s="1"/>
    </row>
    <row r="144" spans="1:34" ht="12.75" customHeight="1">
      <c r="A144" s="24"/>
      <c r="B144" s="108">
        <f t="shared" si="24"/>
        <v>141</v>
      </c>
      <c r="C144" s="6">
        <v>510400</v>
      </c>
      <c r="D144" s="6" t="s">
        <v>528</v>
      </c>
      <c r="E144" s="9" t="s">
        <v>32</v>
      </c>
      <c r="F144" s="6"/>
      <c r="G144" s="6"/>
      <c r="H144" s="11">
        <f>+STAT1!V144</f>
        <v>0</v>
      </c>
      <c r="I144" s="11">
        <f>+STAT1!W144</f>
        <v>0</v>
      </c>
      <c r="J144" s="11">
        <f>+SUMIFS(JURNAL!G:G,JURNAL!E:E,C144,JURNAL!C:C,"&gt;="&amp;$H$1,JURNAL!C:C,"&lt;="&amp;$I$1)</f>
        <v>0</v>
      </c>
      <c r="K144" s="11">
        <f>+SUMIFS(JURNAL!H:H,JURNAL!E:E,C144,JURNAL!C:C,"&gt;="&amp;$H$1,JURNAL!C:C,"&lt;="&amp;$I$1)</f>
        <v>0</v>
      </c>
      <c r="L144" s="26">
        <f t="shared" si="26"/>
        <v>0</v>
      </c>
      <c r="M144" s="27">
        <f t="shared" si="27"/>
        <v>0</v>
      </c>
      <c r="N144" s="11"/>
      <c r="O144" s="11"/>
      <c r="P144" s="11"/>
      <c r="Q144" s="11"/>
      <c r="R144" s="26">
        <f t="shared" si="28"/>
        <v>0</v>
      </c>
      <c r="S144" s="27">
        <f t="shared" si="29"/>
        <v>0</v>
      </c>
      <c r="T144" s="11">
        <f t="shared" si="30"/>
        <v>0</v>
      </c>
      <c r="U144" s="11">
        <f t="shared" si="31"/>
        <v>0</v>
      </c>
      <c r="V144" s="26">
        <f t="shared" si="32"/>
        <v>0</v>
      </c>
      <c r="W144" s="27">
        <f t="shared" si="33"/>
        <v>0</v>
      </c>
      <c r="X144" s="4">
        <v>5101</v>
      </c>
      <c r="Y144" s="4"/>
      <c r="Z144" s="4"/>
      <c r="AA144" s="12">
        <f t="shared" si="34"/>
        <v>0</v>
      </c>
      <c r="AC144" s="558"/>
      <c r="AD144" s="83"/>
      <c r="AE144" s="83"/>
      <c r="AF144" s="83"/>
      <c r="AG144" s="1"/>
      <c r="AH144" s="1"/>
    </row>
    <row r="145" spans="1:34" ht="12.75" customHeight="1">
      <c r="A145" s="24"/>
      <c r="B145" s="108">
        <f t="shared" si="24"/>
        <v>142</v>
      </c>
      <c r="C145" s="6">
        <v>511000</v>
      </c>
      <c r="D145" s="6" t="s">
        <v>535</v>
      </c>
      <c r="E145" s="9" t="s">
        <v>32</v>
      </c>
      <c r="F145" s="6"/>
      <c r="G145" s="6"/>
      <c r="H145" s="11">
        <f>+STAT1!V145</f>
        <v>0</v>
      </c>
      <c r="I145" s="11">
        <f>+STAT1!W145</f>
        <v>0</v>
      </c>
      <c r="J145" s="11">
        <f>+SUMIFS(JURNAL!G:G,JURNAL!E:E,C145,JURNAL!C:C,"&gt;="&amp;$H$1,JURNAL!C:C,"&lt;="&amp;$I$1)</f>
        <v>0</v>
      </c>
      <c r="K145" s="11">
        <f>+SUMIFS(JURNAL!H:H,JURNAL!E:E,C145,JURNAL!C:C,"&gt;="&amp;$H$1,JURNAL!C:C,"&lt;="&amp;$I$1)</f>
        <v>0</v>
      </c>
      <c r="L145" s="26">
        <f t="shared" si="26"/>
        <v>0</v>
      </c>
      <c r="M145" s="27">
        <f t="shared" si="27"/>
        <v>0</v>
      </c>
      <c r="N145" s="11"/>
      <c r="O145" s="11"/>
      <c r="P145" s="11"/>
      <c r="Q145" s="11"/>
      <c r="R145" s="26">
        <f t="shared" si="28"/>
        <v>0</v>
      </c>
      <c r="S145" s="27">
        <f t="shared" si="29"/>
        <v>0</v>
      </c>
      <c r="T145" s="11">
        <f t="shared" si="30"/>
        <v>0</v>
      </c>
      <c r="U145" s="11">
        <f t="shared" si="31"/>
        <v>0</v>
      </c>
      <c r="V145" s="26">
        <f t="shared" si="32"/>
        <v>0</v>
      </c>
      <c r="W145" s="27">
        <f t="shared" si="33"/>
        <v>0</v>
      </c>
      <c r="X145" s="4">
        <v>8402</v>
      </c>
      <c r="Y145" s="4"/>
      <c r="Z145" s="4"/>
      <c r="AA145" s="12">
        <f t="shared" si="34"/>
        <v>0</v>
      </c>
      <c r="AC145" s="558"/>
      <c r="AD145" s="83"/>
      <c r="AE145" s="83"/>
      <c r="AF145" s="83"/>
      <c r="AG145" s="1"/>
      <c r="AH145" s="1"/>
    </row>
    <row r="146" spans="1:34" ht="12.75" customHeight="1">
      <c r="A146" s="24"/>
      <c r="B146" s="108">
        <f t="shared" si="24"/>
        <v>143</v>
      </c>
      <c r="C146" s="6">
        <v>511100</v>
      </c>
      <c r="D146" s="6" t="s">
        <v>542</v>
      </c>
      <c r="E146" s="9" t="s">
        <v>32</v>
      </c>
      <c r="F146" s="6"/>
      <c r="G146" s="6"/>
      <c r="H146" s="11">
        <f>+STAT1!V146</f>
        <v>0</v>
      </c>
      <c r="I146" s="11">
        <f>+STAT1!W146</f>
        <v>0</v>
      </c>
      <c r="J146" s="11">
        <f>+SUMIFS(JURNAL!G:G,JURNAL!E:E,C146,JURNAL!C:C,"&gt;="&amp;$H$1,JURNAL!C:C,"&lt;="&amp;$I$1)</f>
        <v>0</v>
      </c>
      <c r="K146" s="11">
        <f>+SUMIFS(JURNAL!H:H,JURNAL!E:E,C146,JURNAL!C:C,"&gt;="&amp;$H$1,JURNAL!C:C,"&lt;="&amp;$I$1)</f>
        <v>0</v>
      </c>
      <c r="L146" s="26">
        <f t="shared" si="26"/>
        <v>0</v>
      </c>
      <c r="M146" s="27">
        <f t="shared" si="27"/>
        <v>0</v>
      </c>
      <c r="N146" s="11"/>
      <c r="O146" s="11"/>
      <c r="P146" s="11"/>
      <c r="Q146" s="11"/>
      <c r="R146" s="26">
        <f t="shared" si="28"/>
        <v>0</v>
      </c>
      <c r="S146" s="27">
        <f t="shared" si="29"/>
        <v>0</v>
      </c>
      <c r="T146" s="11">
        <f t="shared" si="30"/>
        <v>0</v>
      </c>
      <c r="U146" s="11">
        <f t="shared" si="31"/>
        <v>0</v>
      </c>
      <c r="V146" s="26">
        <f t="shared" si="32"/>
        <v>0</v>
      </c>
      <c r="W146" s="27">
        <f t="shared" si="33"/>
        <v>0</v>
      </c>
      <c r="X146" s="4">
        <v>5111</v>
      </c>
      <c r="Y146" s="4"/>
      <c r="Z146" s="4"/>
      <c r="AA146" s="12">
        <f t="shared" si="34"/>
        <v>0</v>
      </c>
      <c r="AC146" s="558"/>
      <c r="AD146" s="83"/>
      <c r="AE146" s="83"/>
      <c r="AF146" s="83"/>
      <c r="AG146" s="1"/>
      <c r="AH146" s="1"/>
    </row>
    <row r="147" spans="1:34" ht="12.75" customHeight="1">
      <c r="A147" s="24"/>
      <c r="B147" s="108">
        <f t="shared" si="24"/>
        <v>144</v>
      </c>
      <c r="C147" s="6">
        <v>511200</v>
      </c>
      <c r="D147" s="6" t="s">
        <v>547</v>
      </c>
      <c r="E147" s="9" t="s">
        <v>32</v>
      </c>
      <c r="F147" s="6"/>
      <c r="G147" s="6"/>
      <c r="H147" s="11">
        <f>+STAT1!V147</f>
        <v>0</v>
      </c>
      <c r="I147" s="11">
        <f>+STAT1!W147</f>
        <v>0</v>
      </c>
      <c r="J147" s="11">
        <f>+SUMIFS(JURNAL!G:G,JURNAL!E:E,C147,JURNAL!C:C,"&gt;="&amp;$H$1,JURNAL!C:C,"&lt;="&amp;$I$1)</f>
        <v>0</v>
      </c>
      <c r="K147" s="11">
        <f>+SUMIFS(JURNAL!H:H,JURNAL!E:E,C147,JURNAL!C:C,"&gt;="&amp;$H$1,JURNAL!C:C,"&lt;="&amp;$I$1)</f>
        <v>0</v>
      </c>
      <c r="L147" s="26">
        <f t="shared" si="26"/>
        <v>0</v>
      </c>
      <c r="M147" s="27">
        <f t="shared" si="27"/>
        <v>0</v>
      </c>
      <c r="N147" s="11"/>
      <c r="O147" s="11"/>
      <c r="P147" s="11"/>
      <c r="Q147" s="11"/>
      <c r="R147" s="26">
        <f t="shared" si="28"/>
        <v>0</v>
      </c>
      <c r="S147" s="27">
        <f t="shared" si="29"/>
        <v>0</v>
      </c>
      <c r="T147" s="11">
        <f t="shared" si="30"/>
        <v>0</v>
      </c>
      <c r="U147" s="11">
        <f t="shared" si="31"/>
        <v>0</v>
      </c>
      <c r="V147" s="26">
        <f t="shared" si="32"/>
        <v>0</v>
      </c>
      <c r="W147" s="27">
        <f t="shared" si="33"/>
        <v>0</v>
      </c>
      <c r="X147" s="4">
        <v>5112</v>
      </c>
      <c r="Y147" s="4"/>
      <c r="Z147" s="4"/>
      <c r="AA147" s="12">
        <f t="shared" si="34"/>
        <v>0</v>
      </c>
      <c r="AC147" s="558"/>
      <c r="AD147" s="83"/>
      <c r="AE147" s="83"/>
      <c r="AF147" s="83"/>
      <c r="AG147" s="1"/>
      <c r="AH147" s="1"/>
    </row>
    <row r="148" spans="1:34" ht="12.75" customHeight="1">
      <c r="A148" s="24"/>
      <c r="B148" s="108">
        <f t="shared" si="24"/>
        <v>145</v>
      </c>
      <c r="C148" s="6">
        <v>511300</v>
      </c>
      <c r="D148" s="6" t="s">
        <v>552</v>
      </c>
      <c r="E148" s="9" t="s">
        <v>32</v>
      </c>
      <c r="F148" s="6"/>
      <c r="G148" s="6"/>
      <c r="H148" s="11">
        <f>+STAT1!V148</f>
        <v>0</v>
      </c>
      <c r="I148" s="11">
        <f>+STAT1!W148</f>
        <v>0</v>
      </c>
      <c r="J148" s="11">
        <f>+SUMIFS(JURNAL!G:G,JURNAL!E:E,C148,JURNAL!C:C,"&gt;="&amp;$H$1,JURNAL!C:C,"&lt;="&amp;$I$1)</f>
        <v>0</v>
      </c>
      <c r="K148" s="11">
        <f>+SUMIFS(JURNAL!H:H,JURNAL!E:E,C148,JURNAL!C:C,"&gt;="&amp;$H$1,JURNAL!C:C,"&lt;="&amp;$I$1)</f>
        <v>0</v>
      </c>
      <c r="L148" s="26">
        <f t="shared" si="26"/>
        <v>0</v>
      </c>
      <c r="M148" s="27">
        <f t="shared" si="27"/>
        <v>0</v>
      </c>
      <c r="N148" s="11"/>
      <c r="O148" s="11"/>
      <c r="P148" s="11"/>
      <c r="Q148" s="11"/>
      <c r="R148" s="26">
        <f t="shared" si="28"/>
        <v>0</v>
      </c>
      <c r="S148" s="27">
        <f t="shared" si="29"/>
        <v>0</v>
      </c>
      <c r="T148" s="11">
        <f t="shared" si="30"/>
        <v>0</v>
      </c>
      <c r="U148" s="11">
        <f t="shared" si="31"/>
        <v>0</v>
      </c>
      <c r="V148" s="26">
        <f t="shared" si="32"/>
        <v>0</v>
      </c>
      <c r="W148" s="27">
        <f t="shared" si="33"/>
        <v>0</v>
      </c>
      <c r="X148" s="4">
        <v>5113</v>
      </c>
      <c r="Y148" s="4"/>
      <c r="Z148" s="4"/>
      <c r="AA148" s="12">
        <f t="shared" si="34"/>
        <v>0</v>
      </c>
      <c r="AC148" s="558"/>
      <c r="AD148" s="83"/>
      <c r="AE148" s="83"/>
      <c r="AF148" s="83"/>
      <c r="AG148" s="1"/>
      <c r="AH148" s="1"/>
    </row>
    <row r="149" spans="1:34" ht="12.75" customHeight="1">
      <c r="A149" s="24"/>
      <c r="B149" s="108">
        <f t="shared" si="24"/>
        <v>146</v>
      </c>
      <c r="C149" s="6">
        <v>511400</v>
      </c>
      <c r="D149" s="6" t="s">
        <v>557</v>
      </c>
      <c r="E149" s="9" t="s">
        <v>32</v>
      </c>
      <c r="F149" s="6"/>
      <c r="G149" s="6"/>
      <c r="H149" s="11">
        <f>+STAT1!V149</f>
        <v>0</v>
      </c>
      <c r="I149" s="11">
        <f>+STAT1!W149</f>
        <v>0</v>
      </c>
      <c r="J149" s="11">
        <f>+SUMIFS(JURNAL!G:G,JURNAL!E:E,C149,JURNAL!C:C,"&gt;="&amp;$H$1,JURNAL!C:C,"&lt;="&amp;$I$1)</f>
        <v>0</v>
      </c>
      <c r="K149" s="11">
        <f>+SUMIFS(JURNAL!H:H,JURNAL!E:E,C149,JURNAL!C:C,"&gt;="&amp;$H$1,JURNAL!C:C,"&lt;="&amp;$I$1)</f>
        <v>0</v>
      </c>
      <c r="L149" s="26">
        <f t="shared" si="26"/>
        <v>0</v>
      </c>
      <c r="M149" s="27">
        <f t="shared" si="27"/>
        <v>0</v>
      </c>
      <c r="N149" s="11"/>
      <c r="O149" s="11"/>
      <c r="P149" s="11"/>
      <c r="Q149" s="11"/>
      <c r="R149" s="26">
        <f t="shared" si="28"/>
        <v>0</v>
      </c>
      <c r="S149" s="27">
        <f t="shared" si="29"/>
        <v>0</v>
      </c>
      <c r="T149" s="11">
        <f t="shared" si="30"/>
        <v>0</v>
      </c>
      <c r="U149" s="11">
        <f t="shared" si="31"/>
        <v>0</v>
      </c>
      <c r="V149" s="26">
        <f t="shared" si="32"/>
        <v>0</v>
      </c>
      <c r="W149" s="27">
        <f t="shared" si="33"/>
        <v>0</v>
      </c>
      <c r="X149" s="4">
        <v>5114</v>
      </c>
      <c r="Y149" s="4"/>
      <c r="Z149" s="4"/>
      <c r="AA149" s="12">
        <f t="shared" si="34"/>
        <v>0</v>
      </c>
      <c r="AC149" s="558"/>
      <c r="AD149" s="83"/>
      <c r="AE149" s="83"/>
      <c r="AF149" s="83"/>
      <c r="AG149" s="1"/>
      <c r="AH149" s="1"/>
    </row>
    <row r="150" spans="1:34" ht="12.75" customHeight="1">
      <c r="A150" s="24"/>
      <c r="B150" s="108">
        <f t="shared" si="24"/>
        <v>147</v>
      </c>
      <c r="C150" s="6">
        <v>511500</v>
      </c>
      <c r="D150" s="6" t="s">
        <v>562</v>
      </c>
      <c r="E150" s="9" t="s">
        <v>32</v>
      </c>
      <c r="F150" s="6"/>
      <c r="G150" s="6"/>
      <c r="H150" s="11">
        <f>+STAT1!V150</f>
        <v>0</v>
      </c>
      <c r="I150" s="11">
        <f>+STAT1!W150</f>
        <v>0</v>
      </c>
      <c r="J150" s="11">
        <f>+SUMIFS(JURNAL!G:G,JURNAL!E:E,C150,JURNAL!C:C,"&gt;="&amp;$H$1,JURNAL!C:C,"&lt;="&amp;$I$1)</f>
        <v>0</v>
      </c>
      <c r="K150" s="11">
        <f>+SUMIFS(JURNAL!H:H,JURNAL!E:E,C150,JURNAL!C:C,"&gt;="&amp;$H$1,JURNAL!C:C,"&lt;="&amp;$I$1)</f>
        <v>0</v>
      </c>
      <c r="L150" s="26">
        <f t="shared" si="26"/>
        <v>0</v>
      </c>
      <c r="M150" s="27">
        <f t="shared" si="27"/>
        <v>0</v>
      </c>
      <c r="N150" s="11"/>
      <c r="O150" s="11"/>
      <c r="P150" s="11"/>
      <c r="Q150" s="11"/>
      <c r="R150" s="26">
        <f t="shared" si="28"/>
        <v>0</v>
      </c>
      <c r="S150" s="27">
        <f t="shared" si="29"/>
        <v>0</v>
      </c>
      <c r="T150" s="11">
        <f t="shared" si="30"/>
        <v>0</v>
      </c>
      <c r="U150" s="11">
        <f t="shared" si="31"/>
        <v>0</v>
      </c>
      <c r="V150" s="26">
        <f t="shared" si="32"/>
        <v>0</v>
      </c>
      <c r="W150" s="27">
        <f t="shared" si="33"/>
        <v>0</v>
      </c>
      <c r="X150" s="4">
        <v>5115</v>
      </c>
      <c r="Y150" s="4"/>
      <c r="Z150" s="4"/>
      <c r="AA150" s="12">
        <f t="shared" si="34"/>
        <v>0</v>
      </c>
      <c r="AC150" s="558"/>
      <c r="AD150" s="83"/>
      <c r="AE150" s="83"/>
      <c r="AF150" s="83"/>
      <c r="AG150" s="1"/>
      <c r="AH150" s="1"/>
    </row>
    <row r="151" spans="1:34" ht="12.75" customHeight="1">
      <c r="A151" s="24"/>
      <c r="B151" s="108">
        <f t="shared" si="24"/>
        <v>148</v>
      </c>
      <c r="C151" s="6">
        <v>610100</v>
      </c>
      <c r="D151" s="6" t="s">
        <v>567</v>
      </c>
      <c r="E151" s="9" t="s">
        <v>32</v>
      </c>
      <c r="F151" s="6"/>
      <c r="G151" s="6"/>
      <c r="H151" s="11">
        <f>+STAT1!V151</f>
        <v>0</v>
      </c>
      <c r="I151" s="11">
        <f>+STAT1!W151</f>
        <v>0</v>
      </c>
      <c r="J151" s="11">
        <f>+SUMIFS(JURNAL!G:G,JURNAL!E:E,C151,JURNAL!C:C,"&gt;="&amp;$H$1,JURNAL!C:C,"&lt;="&amp;$I$1)</f>
        <v>18438101.410590194</v>
      </c>
      <c r="K151" s="11">
        <f>+SUMIFS(JURNAL!H:H,JURNAL!E:E,C151,JURNAL!C:C,"&gt;="&amp;$H$1,JURNAL!C:C,"&lt;="&amp;$I$1)</f>
        <v>0</v>
      </c>
      <c r="L151" s="26">
        <f t="shared" si="26"/>
        <v>18438101.410590194</v>
      </c>
      <c r="M151" s="27">
        <f t="shared" si="27"/>
        <v>0</v>
      </c>
      <c r="N151" s="11"/>
      <c r="O151" s="11"/>
      <c r="P151" s="11"/>
      <c r="Q151" s="11"/>
      <c r="R151" s="26">
        <f>+IF((L151+N151)&gt;(M151+O151),(L151+N151)-(M151+O151),0)</f>
        <v>18438101.410590194</v>
      </c>
      <c r="S151" s="27">
        <f t="shared" si="29"/>
        <v>0</v>
      </c>
      <c r="T151" s="11">
        <f t="shared" si="30"/>
        <v>0</v>
      </c>
      <c r="U151" s="11">
        <f t="shared" si="31"/>
        <v>18438101.410590194</v>
      </c>
      <c r="V151" s="26">
        <f t="shared" si="32"/>
        <v>0</v>
      </c>
      <c r="W151" s="27">
        <f t="shared" si="33"/>
        <v>0</v>
      </c>
      <c r="X151" s="4">
        <v>6101</v>
      </c>
      <c r="Y151" s="4"/>
      <c r="Z151" s="4"/>
      <c r="AA151" s="12">
        <f t="shared" si="34"/>
        <v>1</v>
      </c>
      <c r="AC151" s="558"/>
      <c r="AD151" s="83"/>
      <c r="AE151" s="83"/>
      <c r="AF151" s="83"/>
      <c r="AG151" s="1"/>
      <c r="AH151" s="1"/>
    </row>
    <row r="152" spans="1:34" ht="12.75" customHeight="1">
      <c r="A152" s="24"/>
      <c r="B152" s="108">
        <f t="shared" si="24"/>
        <v>149</v>
      </c>
      <c r="C152" s="6">
        <v>610101</v>
      </c>
      <c r="D152" s="6" t="s">
        <v>966</v>
      </c>
      <c r="E152" s="9" t="s">
        <v>32</v>
      </c>
      <c r="F152" s="6"/>
      <c r="G152" s="6"/>
      <c r="H152" s="11">
        <f>+STAT1!V152</f>
        <v>0</v>
      </c>
      <c r="I152" s="11">
        <f>+STAT1!W152</f>
        <v>0</v>
      </c>
      <c r="J152" s="11">
        <f>+SUMIFS(JURNAL!G:G,JURNAL!E:E,C152,JURNAL!C:C,"&gt;="&amp;$H$1,JURNAL!C:C,"&lt;="&amp;$I$1)</f>
        <v>0</v>
      </c>
      <c r="K152" s="11">
        <f>+SUMIFS(JURNAL!H:H,JURNAL!E:E,C152,JURNAL!C:C,"&gt;="&amp;$H$1,JURNAL!C:C,"&lt;="&amp;$I$1)</f>
        <v>0</v>
      </c>
      <c r="L152" s="26">
        <f t="shared" si="26"/>
        <v>0</v>
      </c>
      <c r="M152" s="27">
        <f t="shared" si="27"/>
        <v>0</v>
      </c>
      <c r="N152" s="11"/>
      <c r="O152" s="11"/>
      <c r="P152" s="11"/>
      <c r="Q152" s="11"/>
      <c r="R152" s="26">
        <f t="shared" si="28"/>
        <v>0</v>
      </c>
      <c r="S152" s="27">
        <f t="shared" si="29"/>
        <v>0</v>
      </c>
      <c r="T152" s="11">
        <f t="shared" si="30"/>
        <v>0</v>
      </c>
      <c r="U152" s="11">
        <f>+R152</f>
        <v>0</v>
      </c>
      <c r="V152" s="26">
        <f t="shared" si="32"/>
        <v>0</v>
      </c>
      <c r="W152" s="27">
        <f t="shared" si="33"/>
        <v>0</v>
      </c>
      <c r="X152" s="4">
        <v>6101</v>
      </c>
      <c r="Y152" s="4"/>
      <c r="Z152" s="4"/>
      <c r="AA152" s="12">
        <f t="shared" si="34"/>
        <v>0</v>
      </c>
      <c r="AC152" s="558"/>
      <c r="AD152" s="83"/>
      <c r="AE152" s="83"/>
      <c r="AF152" s="83"/>
      <c r="AG152" s="1"/>
      <c r="AH152" s="1"/>
    </row>
    <row r="153" spans="1:34" ht="12.75" customHeight="1">
      <c r="A153" s="24"/>
      <c r="B153" s="108">
        <f t="shared" si="24"/>
        <v>150</v>
      </c>
      <c r="C153" s="6">
        <v>610200</v>
      </c>
      <c r="D153" s="6" t="s">
        <v>572</v>
      </c>
      <c r="E153" s="9" t="s">
        <v>32</v>
      </c>
      <c r="F153" s="6"/>
      <c r="G153" s="6"/>
      <c r="H153" s="11">
        <f>+STAT1!V153</f>
        <v>0</v>
      </c>
      <c r="I153" s="11">
        <f>+STAT1!W153</f>
        <v>0</v>
      </c>
      <c r="J153" s="11">
        <f>+SUMIFS(JURNAL!G:G,JURNAL!E:E,C153,JURNAL!C:C,"&gt;="&amp;$H$1,JURNAL!C:C,"&lt;="&amp;$I$1)</f>
        <v>0</v>
      </c>
      <c r="K153" s="11">
        <f>+SUMIFS(JURNAL!H:H,JURNAL!E:E,C153,JURNAL!C:C,"&gt;="&amp;$H$1,JURNAL!C:C,"&lt;="&amp;$I$1)</f>
        <v>0</v>
      </c>
      <c r="L153" s="26">
        <f t="shared" si="26"/>
        <v>0</v>
      </c>
      <c r="M153" s="27">
        <f t="shared" si="27"/>
        <v>0</v>
      </c>
      <c r="N153" s="11"/>
      <c r="O153" s="11"/>
      <c r="P153" s="11"/>
      <c r="Q153" s="11"/>
      <c r="R153" s="26">
        <f t="shared" si="28"/>
        <v>0</v>
      </c>
      <c r="S153" s="27">
        <f t="shared" si="29"/>
        <v>0</v>
      </c>
      <c r="T153" s="11">
        <f t="shared" si="30"/>
        <v>0</v>
      </c>
      <c r="U153" s="11">
        <f t="shared" si="31"/>
        <v>0</v>
      </c>
      <c r="V153" s="26">
        <f t="shared" si="32"/>
        <v>0</v>
      </c>
      <c r="W153" s="27">
        <f t="shared" si="33"/>
        <v>0</v>
      </c>
      <c r="X153" s="4">
        <v>6101</v>
      </c>
      <c r="Y153" s="4"/>
      <c r="Z153" s="4"/>
      <c r="AA153" s="12">
        <f t="shared" si="34"/>
        <v>0</v>
      </c>
      <c r="AC153" s="558"/>
      <c r="AD153" s="83"/>
      <c r="AE153" s="83"/>
      <c r="AF153" s="83"/>
      <c r="AG153" s="1"/>
      <c r="AH153" s="1"/>
    </row>
    <row r="154" spans="1:34" ht="12.75" customHeight="1">
      <c r="A154" s="24"/>
      <c r="B154" s="108">
        <f t="shared" si="24"/>
        <v>151</v>
      </c>
      <c r="C154" s="6">
        <v>610300</v>
      </c>
      <c r="D154" s="6" t="s">
        <v>577</v>
      </c>
      <c r="E154" s="9" t="s">
        <v>32</v>
      </c>
      <c r="F154" s="6"/>
      <c r="G154" s="6"/>
      <c r="H154" s="11">
        <f>+STAT1!V154</f>
        <v>0</v>
      </c>
      <c r="I154" s="11">
        <f>+STAT1!W154</f>
        <v>0</v>
      </c>
      <c r="J154" s="11">
        <f>+SUMIFS(JURNAL!G:G,JURNAL!E:E,C154,JURNAL!C:C,"&gt;="&amp;$H$1,JURNAL!C:C,"&lt;="&amp;$I$1)</f>
        <v>0</v>
      </c>
      <c r="K154" s="11">
        <f>+SUMIFS(JURNAL!H:H,JURNAL!E:E,C154,JURNAL!C:C,"&gt;="&amp;$H$1,JURNAL!C:C,"&lt;="&amp;$I$1)</f>
        <v>0</v>
      </c>
      <c r="L154" s="26">
        <f t="shared" si="26"/>
        <v>0</v>
      </c>
      <c r="M154" s="27">
        <f t="shared" si="27"/>
        <v>0</v>
      </c>
      <c r="N154" s="11"/>
      <c r="O154" s="11"/>
      <c r="P154" s="11"/>
      <c r="Q154" s="11"/>
      <c r="R154" s="26">
        <f t="shared" si="28"/>
        <v>0</v>
      </c>
      <c r="S154" s="27">
        <f t="shared" si="29"/>
        <v>0</v>
      </c>
      <c r="T154" s="11">
        <f t="shared" si="30"/>
        <v>0</v>
      </c>
      <c r="U154" s="11">
        <f t="shared" si="31"/>
        <v>0</v>
      </c>
      <c r="V154" s="26">
        <f t="shared" si="32"/>
        <v>0</v>
      </c>
      <c r="W154" s="27">
        <f t="shared" si="33"/>
        <v>0</v>
      </c>
      <c r="X154" s="4">
        <v>6101</v>
      </c>
      <c r="Y154" s="4"/>
      <c r="Z154" s="4"/>
      <c r="AA154" s="12">
        <f t="shared" si="34"/>
        <v>0</v>
      </c>
      <c r="AC154" s="558"/>
      <c r="AD154" s="83"/>
      <c r="AE154" s="83"/>
      <c r="AF154" s="83"/>
      <c r="AG154" s="1"/>
      <c r="AH154" s="1"/>
    </row>
    <row r="155" spans="1:34" ht="12.75" customHeight="1">
      <c r="A155" s="24"/>
      <c r="B155" s="108">
        <f t="shared" si="24"/>
        <v>152</v>
      </c>
      <c r="C155" s="6">
        <v>700100</v>
      </c>
      <c r="D155" s="6" t="s">
        <v>270</v>
      </c>
      <c r="E155" s="9" t="s">
        <v>32</v>
      </c>
      <c r="F155" s="6"/>
      <c r="G155" s="6"/>
      <c r="H155" s="11">
        <f>+STAT1!V155</f>
        <v>0</v>
      </c>
      <c r="I155" s="11">
        <f>+STAT1!W155</f>
        <v>0</v>
      </c>
      <c r="J155" s="11">
        <f>+SUMIFS(JURNAL!G:G,JURNAL!E:E,C155,JURNAL!C:C,"&gt;="&amp;$H$1,JURNAL!C:C,"&lt;="&amp;$I$1)</f>
        <v>27734189.239999998</v>
      </c>
      <c r="K155" s="11">
        <f>+SUMIFS(JURNAL!H:H,JURNAL!E:E,C155,JURNAL!C:C,"&gt;="&amp;$H$1,JURNAL!C:C,"&lt;="&amp;$I$1)</f>
        <v>15902273.289999999</v>
      </c>
      <c r="L155" s="26">
        <f t="shared" si="26"/>
        <v>11831915.949999999</v>
      </c>
      <c r="M155" s="27">
        <f t="shared" si="27"/>
        <v>0</v>
      </c>
      <c r="N155" s="11"/>
      <c r="O155" s="11"/>
      <c r="P155" s="11"/>
      <c r="Q155" s="11"/>
      <c r="R155" s="26">
        <f t="shared" si="28"/>
        <v>11831915.949999999</v>
      </c>
      <c r="S155" s="27">
        <f t="shared" si="29"/>
        <v>0</v>
      </c>
      <c r="T155" s="11">
        <f t="shared" si="30"/>
        <v>0</v>
      </c>
      <c r="U155" s="11">
        <f t="shared" si="31"/>
        <v>11831915.949999999</v>
      </c>
      <c r="V155" s="26">
        <f t="shared" si="32"/>
        <v>0</v>
      </c>
      <c r="W155" s="27">
        <f t="shared" si="33"/>
        <v>0</v>
      </c>
      <c r="X155" s="4">
        <v>7002</v>
      </c>
      <c r="Y155" s="4"/>
      <c r="Z155" s="4"/>
      <c r="AA155" s="12">
        <f t="shared" si="34"/>
        <v>1</v>
      </c>
      <c r="AC155" s="558"/>
      <c r="AD155" s="83"/>
      <c r="AE155" s="83"/>
      <c r="AF155" s="83"/>
      <c r="AG155" s="1"/>
      <c r="AH155" s="1"/>
    </row>
    <row r="156" spans="1:34" ht="12.75" customHeight="1">
      <c r="A156" s="24"/>
      <c r="B156" s="108">
        <f t="shared" si="24"/>
        <v>153</v>
      </c>
      <c r="C156" s="6">
        <v>700200</v>
      </c>
      <c r="D156" s="6" t="s">
        <v>590</v>
      </c>
      <c r="E156" s="9" t="s">
        <v>32</v>
      </c>
      <c r="F156" s="6"/>
      <c r="G156" s="6"/>
      <c r="H156" s="11">
        <f>+STAT1!V156</f>
        <v>0</v>
      </c>
      <c r="I156" s="11">
        <f>+STAT1!W156</f>
        <v>0</v>
      </c>
      <c r="J156" s="11">
        <f>+SUMIFS(JURNAL!G:G,JURNAL!E:E,C156,JURNAL!C:C,"&gt;="&amp;$H$1,JURNAL!C:C,"&lt;="&amp;$I$1)</f>
        <v>3746542.45</v>
      </c>
      <c r="K156" s="11">
        <f>+SUMIFS(JURNAL!H:H,JURNAL!E:E,C156,JURNAL!C:C,"&gt;="&amp;$H$1,JURNAL!C:C,"&lt;="&amp;$I$1)</f>
        <v>2129695.5300000003</v>
      </c>
      <c r="L156" s="26">
        <f t="shared" si="26"/>
        <v>1616846.92</v>
      </c>
      <c r="M156" s="27">
        <f t="shared" si="27"/>
        <v>0</v>
      </c>
      <c r="N156" s="11"/>
      <c r="O156" s="11"/>
      <c r="P156" s="11"/>
      <c r="Q156" s="11"/>
      <c r="R156" s="26">
        <f t="shared" si="28"/>
        <v>1616846.92</v>
      </c>
      <c r="S156" s="27">
        <f t="shared" si="29"/>
        <v>0</v>
      </c>
      <c r="T156" s="11">
        <f t="shared" si="30"/>
        <v>0</v>
      </c>
      <c r="U156" s="11">
        <f t="shared" si="31"/>
        <v>1616846.92</v>
      </c>
      <c r="V156" s="26">
        <f t="shared" si="32"/>
        <v>0</v>
      </c>
      <c r="W156" s="27">
        <f t="shared" si="33"/>
        <v>0</v>
      </c>
      <c r="X156" s="4">
        <v>7002</v>
      </c>
      <c r="Y156" s="4"/>
      <c r="Z156" s="4"/>
      <c r="AA156" s="12">
        <f t="shared" si="34"/>
        <v>1</v>
      </c>
      <c r="AC156" s="558"/>
      <c r="AD156" s="83"/>
      <c r="AE156" s="83"/>
      <c r="AF156" s="83"/>
      <c r="AG156" s="1"/>
      <c r="AH156" s="1"/>
    </row>
    <row r="157" spans="1:34" ht="12.75" customHeight="1">
      <c r="A157" s="24"/>
      <c r="B157" s="108">
        <f t="shared" si="24"/>
        <v>154</v>
      </c>
      <c r="C157" s="6">
        <v>700700</v>
      </c>
      <c r="D157" s="6" t="s">
        <v>595</v>
      </c>
      <c r="E157" s="9" t="s">
        <v>32</v>
      </c>
      <c r="F157" s="6"/>
      <c r="G157" s="6"/>
      <c r="H157" s="11">
        <f>+STAT1!V157</f>
        <v>0</v>
      </c>
      <c r="I157" s="11">
        <f>+STAT1!W157</f>
        <v>0</v>
      </c>
      <c r="J157" s="11">
        <f>+SUMIFS(JURNAL!G:G,JURNAL!E:E,C157,JURNAL!C:C,"&gt;="&amp;$H$1,JURNAL!C:C,"&lt;="&amp;$I$1)</f>
        <v>7504790.71</v>
      </c>
      <c r="K157" s="11">
        <f>+SUMIFS(JURNAL!H:H,JURNAL!E:E,C157,JURNAL!C:C,"&gt;="&amp;$H$1,JURNAL!C:C,"&lt;="&amp;$I$1)</f>
        <v>7129551.1699999999</v>
      </c>
      <c r="L157" s="26">
        <f t="shared" si="26"/>
        <v>375239.54000000004</v>
      </c>
      <c r="M157" s="27">
        <f t="shared" si="27"/>
        <v>0</v>
      </c>
      <c r="N157" s="11"/>
      <c r="O157" s="11"/>
      <c r="P157" s="11"/>
      <c r="Q157" s="11"/>
      <c r="R157" s="26">
        <f t="shared" si="28"/>
        <v>375239.54000000004</v>
      </c>
      <c r="S157" s="27">
        <f t="shared" si="29"/>
        <v>0</v>
      </c>
      <c r="T157" s="11">
        <f t="shared" si="30"/>
        <v>0</v>
      </c>
      <c r="U157" s="11">
        <f t="shared" si="31"/>
        <v>375239.54000000004</v>
      </c>
      <c r="V157" s="26">
        <f t="shared" si="32"/>
        <v>0</v>
      </c>
      <c r="W157" s="27">
        <f t="shared" si="33"/>
        <v>0</v>
      </c>
      <c r="X157" s="4">
        <v>7002</v>
      </c>
      <c r="Y157" s="4"/>
      <c r="Z157" s="4"/>
      <c r="AA157" s="12">
        <f t="shared" si="34"/>
        <v>1</v>
      </c>
      <c r="AC157" s="558"/>
      <c r="AD157" s="83"/>
      <c r="AE157" s="83"/>
      <c r="AF157" s="83"/>
      <c r="AG157" s="1"/>
      <c r="AH157" s="1"/>
    </row>
    <row r="158" spans="1:34" ht="12.75" customHeight="1">
      <c r="A158" s="24"/>
      <c r="B158" s="108">
        <f t="shared" si="24"/>
        <v>155</v>
      </c>
      <c r="C158" s="6">
        <v>700800</v>
      </c>
      <c r="D158" s="6" t="s">
        <v>600</v>
      </c>
      <c r="E158" s="9" t="s">
        <v>32</v>
      </c>
      <c r="F158" s="6"/>
      <c r="G158" s="6"/>
      <c r="H158" s="11">
        <f>+STAT1!V158</f>
        <v>0</v>
      </c>
      <c r="I158" s="11">
        <f>+STAT1!W158</f>
        <v>0</v>
      </c>
      <c r="J158" s="11">
        <f>+SUMIFS(JURNAL!G:G,JURNAL!E:E,C158,JURNAL!C:C,"&gt;="&amp;$H$1,JURNAL!C:C,"&lt;="&amp;$I$1)</f>
        <v>677168.18</v>
      </c>
      <c r="K158" s="11">
        <f>+SUMIFS(JURNAL!H:H,JURNAL!E:E,C158,JURNAL!C:C,"&gt;="&amp;$H$1,JURNAL!C:C,"&lt;="&amp;$I$1)</f>
        <v>519809.77</v>
      </c>
      <c r="L158" s="26">
        <f t="shared" si="26"/>
        <v>157358.41000000003</v>
      </c>
      <c r="M158" s="27">
        <f t="shared" si="27"/>
        <v>0</v>
      </c>
      <c r="N158" s="11"/>
      <c r="O158" s="11"/>
      <c r="P158" s="11"/>
      <c r="Q158" s="11"/>
      <c r="R158" s="26">
        <f t="shared" si="28"/>
        <v>157358.41000000003</v>
      </c>
      <c r="S158" s="27">
        <f t="shared" si="29"/>
        <v>0</v>
      </c>
      <c r="T158" s="11">
        <f t="shared" si="30"/>
        <v>0</v>
      </c>
      <c r="U158" s="11">
        <f t="shared" si="31"/>
        <v>157358.41000000003</v>
      </c>
      <c r="V158" s="26">
        <f t="shared" si="32"/>
        <v>0</v>
      </c>
      <c r="W158" s="27">
        <f t="shared" si="33"/>
        <v>0</v>
      </c>
      <c r="X158" s="4">
        <v>7002</v>
      </c>
      <c r="Y158" s="4"/>
      <c r="Z158" s="4"/>
      <c r="AA158" s="12">
        <f t="shared" si="34"/>
        <v>1</v>
      </c>
      <c r="AC158" s="558"/>
      <c r="AD158" s="83"/>
      <c r="AE158" s="83"/>
      <c r="AF158" s="83"/>
      <c r="AG158" s="1"/>
      <c r="AH158" s="1"/>
    </row>
    <row r="159" spans="1:34" ht="12.75" customHeight="1">
      <c r="A159" s="24"/>
      <c r="B159" s="108">
        <f t="shared" si="24"/>
        <v>156</v>
      </c>
      <c r="C159" s="6">
        <v>700900</v>
      </c>
      <c r="D159" s="6" t="s">
        <v>605</v>
      </c>
      <c r="E159" s="9" t="s">
        <v>32</v>
      </c>
      <c r="F159" s="6"/>
      <c r="G159" s="6"/>
      <c r="H159" s="11">
        <f>+STAT1!V159</f>
        <v>0</v>
      </c>
      <c r="I159" s="11">
        <f>+STAT1!W159</f>
        <v>0</v>
      </c>
      <c r="J159" s="11">
        <f>+SUMIFS(JURNAL!G:G,JURNAL!E:E,C159,JURNAL!C:C,"&gt;="&amp;$H$1,JURNAL!C:C,"&lt;="&amp;$I$1)</f>
        <v>5631008.5499999998</v>
      </c>
      <c r="K159" s="11">
        <f>+SUMIFS(JURNAL!H:H,JURNAL!E:E,C159,JURNAL!C:C,"&gt;="&amp;$H$1,JURNAL!C:C,"&lt;="&amp;$I$1)</f>
        <v>5585120.5700000003</v>
      </c>
      <c r="L159" s="26">
        <f t="shared" si="26"/>
        <v>45887.979999999516</v>
      </c>
      <c r="M159" s="27">
        <f t="shared" si="27"/>
        <v>0</v>
      </c>
      <c r="N159" s="11"/>
      <c r="O159" s="11"/>
      <c r="P159" s="11"/>
      <c r="Q159" s="11"/>
      <c r="R159" s="26">
        <f t="shared" si="28"/>
        <v>45887.979999999516</v>
      </c>
      <c r="S159" s="27">
        <f t="shared" si="29"/>
        <v>0</v>
      </c>
      <c r="T159" s="11">
        <f t="shared" si="30"/>
        <v>0</v>
      </c>
      <c r="U159" s="11">
        <f t="shared" si="31"/>
        <v>45887.979999999516</v>
      </c>
      <c r="V159" s="26">
        <f t="shared" si="32"/>
        <v>0</v>
      </c>
      <c r="W159" s="27">
        <f t="shared" si="33"/>
        <v>0</v>
      </c>
      <c r="X159" s="4">
        <v>7002</v>
      </c>
      <c r="Y159" s="4"/>
      <c r="Z159" s="4"/>
      <c r="AA159" s="12">
        <f t="shared" si="34"/>
        <v>1</v>
      </c>
      <c r="AC159" s="558"/>
      <c r="AD159" s="83"/>
      <c r="AE159" s="83"/>
      <c r="AF159" s="83"/>
      <c r="AG159" s="1"/>
      <c r="AH159" s="1"/>
    </row>
    <row r="160" spans="1:34" ht="12.75" customHeight="1">
      <c r="A160" s="24"/>
      <c r="B160" s="108">
        <f t="shared" si="24"/>
        <v>157</v>
      </c>
      <c r="C160" s="6">
        <v>701000</v>
      </c>
      <c r="D160" s="6" t="s">
        <v>610</v>
      </c>
      <c r="E160" s="9" t="s">
        <v>32</v>
      </c>
      <c r="F160" s="6"/>
      <c r="G160" s="6"/>
      <c r="H160" s="11">
        <f>+STAT1!V160</f>
        <v>0</v>
      </c>
      <c r="I160" s="11">
        <f>+STAT1!W160</f>
        <v>0</v>
      </c>
      <c r="J160" s="11">
        <f>+SUMIFS(JURNAL!G:G,JURNAL!E:E,C160,JURNAL!C:C,"&gt;="&amp;$H$1,JURNAL!C:C,"&lt;="&amp;$I$1)</f>
        <v>0</v>
      </c>
      <c r="K160" s="11">
        <f>+SUMIFS(JURNAL!H:H,JURNAL!E:E,C160,JURNAL!C:C,"&gt;="&amp;$H$1,JURNAL!C:C,"&lt;="&amp;$I$1)</f>
        <v>0</v>
      </c>
      <c r="L160" s="26">
        <f t="shared" si="26"/>
        <v>0</v>
      </c>
      <c r="M160" s="27">
        <f t="shared" si="27"/>
        <v>0</v>
      </c>
      <c r="N160" s="11"/>
      <c r="O160" s="11"/>
      <c r="P160" s="11"/>
      <c r="Q160" s="11"/>
      <c r="R160" s="26">
        <f t="shared" si="28"/>
        <v>0</v>
      </c>
      <c r="S160" s="27">
        <f t="shared" si="29"/>
        <v>0</v>
      </c>
      <c r="T160" s="11">
        <f t="shared" si="30"/>
        <v>0</v>
      </c>
      <c r="U160" s="11">
        <f t="shared" si="31"/>
        <v>0</v>
      </c>
      <c r="V160" s="26">
        <f t="shared" si="32"/>
        <v>0</v>
      </c>
      <c r="W160" s="27">
        <f t="shared" si="33"/>
        <v>0</v>
      </c>
      <c r="X160" s="4">
        <v>7002</v>
      </c>
      <c r="Y160" s="4"/>
      <c r="Z160" s="4"/>
      <c r="AA160" s="12">
        <f t="shared" si="34"/>
        <v>0</v>
      </c>
      <c r="AC160" s="558"/>
      <c r="AD160" s="83"/>
      <c r="AE160" s="83"/>
      <c r="AF160" s="83"/>
      <c r="AG160" s="1"/>
      <c r="AH160" s="1"/>
    </row>
    <row r="161" spans="1:34" ht="12.75" customHeight="1">
      <c r="A161" s="24"/>
      <c r="B161" s="108">
        <f t="shared" si="24"/>
        <v>158</v>
      </c>
      <c r="C161" s="6">
        <v>701100</v>
      </c>
      <c r="D161" s="6" t="s">
        <v>272</v>
      </c>
      <c r="E161" s="9" t="s">
        <v>32</v>
      </c>
      <c r="F161" s="6"/>
      <c r="G161" s="6"/>
      <c r="H161" s="11">
        <f>+STAT1!V161</f>
        <v>0</v>
      </c>
      <c r="I161" s="11">
        <f>+STAT1!W161</f>
        <v>0</v>
      </c>
      <c r="J161" s="11">
        <f>+SUMIFS(JURNAL!G:G,JURNAL!E:E,C161,JURNAL!C:C,"&gt;="&amp;$H$1,JURNAL!C:C,"&lt;="&amp;$I$1)</f>
        <v>0</v>
      </c>
      <c r="K161" s="11">
        <f>+SUMIFS(JURNAL!H:H,JURNAL!E:E,C161,JURNAL!C:C,"&gt;="&amp;$H$1,JURNAL!C:C,"&lt;="&amp;$I$1)</f>
        <v>0</v>
      </c>
      <c r="L161" s="26">
        <f t="shared" si="26"/>
        <v>0</v>
      </c>
      <c r="M161" s="27">
        <f t="shared" si="27"/>
        <v>0</v>
      </c>
      <c r="N161" s="11"/>
      <c r="O161" s="11"/>
      <c r="P161" s="11"/>
      <c r="Q161" s="11"/>
      <c r="R161" s="26">
        <f t="shared" si="28"/>
        <v>0</v>
      </c>
      <c r="S161" s="27">
        <f t="shared" si="29"/>
        <v>0</v>
      </c>
      <c r="T161" s="11">
        <f t="shared" si="30"/>
        <v>0</v>
      </c>
      <c r="U161" s="11">
        <f t="shared" si="31"/>
        <v>0</v>
      </c>
      <c r="V161" s="26">
        <f t="shared" si="32"/>
        <v>0</v>
      </c>
      <c r="W161" s="27">
        <f t="shared" si="33"/>
        <v>0</v>
      </c>
      <c r="X161" s="4">
        <v>7002</v>
      </c>
      <c r="Y161" s="4"/>
      <c r="Z161" s="4"/>
      <c r="AA161" s="12">
        <f t="shared" si="34"/>
        <v>0</v>
      </c>
      <c r="AC161" s="558"/>
      <c r="AD161" s="83"/>
      <c r="AE161" s="83"/>
      <c r="AF161" s="83"/>
      <c r="AG161" s="1"/>
      <c r="AH161" s="1"/>
    </row>
    <row r="162" spans="1:34" ht="12.75" customHeight="1">
      <c r="A162" s="24"/>
      <c r="B162" s="108">
        <f t="shared" si="24"/>
        <v>159</v>
      </c>
      <c r="C162" s="6">
        <v>701200</v>
      </c>
      <c r="D162" s="6" t="s">
        <v>273</v>
      </c>
      <c r="E162" s="9" t="s">
        <v>32</v>
      </c>
      <c r="F162" s="6"/>
      <c r="G162" s="6"/>
      <c r="H162" s="11">
        <f>+STAT1!V162</f>
        <v>0</v>
      </c>
      <c r="I162" s="11">
        <f>+STAT1!W162</f>
        <v>0</v>
      </c>
      <c r="J162" s="11">
        <f>+SUMIFS(JURNAL!G:G,JURNAL!E:E,C162,JURNAL!C:C,"&gt;="&amp;$H$1,JURNAL!C:C,"&lt;="&amp;$I$1)</f>
        <v>0</v>
      </c>
      <c r="K162" s="11">
        <f>+SUMIFS(JURNAL!H:H,JURNAL!E:E,C162,JURNAL!C:C,"&gt;="&amp;$H$1,JURNAL!C:C,"&lt;="&amp;$I$1)</f>
        <v>0</v>
      </c>
      <c r="L162" s="26">
        <f t="shared" si="26"/>
        <v>0</v>
      </c>
      <c r="M162" s="27">
        <f t="shared" si="27"/>
        <v>0</v>
      </c>
      <c r="N162" s="11"/>
      <c r="O162" s="11"/>
      <c r="P162" s="11"/>
      <c r="Q162" s="11"/>
      <c r="R162" s="26">
        <f t="shared" si="28"/>
        <v>0</v>
      </c>
      <c r="S162" s="27">
        <f t="shared" si="29"/>
        <v>0</v>
      </c>
      <c r="T162" s="11">
        <f t="shared" si="30"/>
        <v>0</v>
      </c>
      <c r="U162" s="11">
        <f t="shared" si="31"/>
        <v>0</v>
      </c>
      <c r="V162" s="26">
        <f t="shared" si="32"/>
        <v>0</v>
      </c>
      <c r="W162" s="27">
        <f t="shared" si="33"/>
        <v>0</v>
      </c>
      <c r="X162" s="4">
        <v>7002</v>
      </c>
      <c r="Y162" s="4"/>
      <c r="Z162" s="4"/>
      <c r="AA162" s="12">
        <f t="shared" si="34"/>
        <v>0</v>
      </c>
      <c r="AC162" s="558"/>
      <c r="AD162" s="83"/>
      <c r="AE162" s="83"/>
      <c r="AF162" s="83"/>
      <c r="AG162" s="1"/>
      <c r="AH162" s="1"/>
    </row>
    <row r="163" spans="1:34" ht="12.75" customHeight="1">
      <c r="A163" s="24"/>
      <c r="B163" s="108">
        <f t="shared" si="24"/>
        <v>160</v>
      </c>
      <c r="C163" s="6">
        <v>701300</v>
      </c>
      <c r="D163" s="6" t="s">
        <v>274</v>
      </c>
      <c r="E163" s="9" t="s">
        <v>32</v>
      </c>
      <c r="F163" s="6"/>
      <c r="G163" s="6"/>
      <c r="H163" s="11">
        <f>+STAT1!V163</f>
        <v>0</v>
      </c>
      <c r="I163" s="11">
        <f>+STAT1!W163</f>
        <v>0</v>
      </c>
      <c r="J163" s="11">
        <f>+SUMIFS(JURNAL!G:G,JURNAL!E:E,C163,JURNAL!C:C,"&gt;="&amp;$H$1,JURNAL!C:C,"&lt;="&amp;$I$1)</f>
        <v>0</v>
      </c>
      <c r="K163" s="11">
        <f>+SUMIFS(JURNAL!H:H,JURNAL!E:E,C163,JURNAL!C:C,"&gt;="&amp;$H$1,JURNAL!C:C,"&lt;="&amp;$I$1)</f>
        <v>0</v>
      </c>
      <c r="L163" s="26">
        <f t="shared" si="26"/>
        <v>0</v>
      </c>
      <c r="M163" s="27">
        <f t="shared" si="27"/>
        <v>0</v>
      </c>
      <c r="N163" s="11"/>
      <c r="O163" s="11"/>
      <c r="P163" s="11"/>
      <c r="Q163" s="11"/>
      <c r="R163" s="26">
        <f t="shared" si="28"/>
        <v>0</v>
      </c>
      <c r="S163" s="27">
        <f t="shared" si="29"/>
        <v>0</v>
      </c>
      <c r="T163" s="11">
        <f t="shared" si="30"/>
        <v>0</v>
      </c>
      <c r="U163" s="11">
        <f t="shared" si="31"/>
        <v>0</v>
      </c>
      <c r="V163" s="26">
        <f t="shared" si="32"/>
        <v>0</v>
      </c>
      <c r="W163" s="27">
        <f t="shared" si="33"/>
        <v>0</v>
      </c>
      <c r="X163" s="4">
        <v>7002</v>
      </c>
      <c r="Y163" s="4"/>
      <c r="Z163" s="4"/>
      <c r="AA163" s="12">
        <f t="shared" si="34"/>
        <v>0</v>
      </c>
      <c r="AC163" s="558"/>
      <c r="AD163" s="83"/>
      <c r="AE163" s="83"/>
      <c r="AF163" s="83"/>
      <c r="AG163" s="1"/>
      <c r="AH163" s="1"/>
    </row>
    <row r="164" spans="1:34" ht="12.75" customHeight="1">
      <c r="A164" s="24"/>
      <c r="B164" s="108">
        <f t="shared" si="24"/>
        <v>161</v>
      </c>
      <c r="C164" s="6">
        <v>701400</v>
      </c>
      <c r="D164" s="6" t="s">
        <v>271</v>
      </c>
      <c r="E164" s="9" t="s">
        <v>32</v>
      </c>
      <c r="F164" s="6"/>
      <c r="G164" s="6"/>
      <c r="H164" s="11">
        <f>+STAT1!V164</f>
        <v>0</v>
      </c>
      <c r="I164" s="11">
        <f>+STAT1!W164</f>
        <v>0</v>
      </c>
      <c r="J164" s="11">
        <f>+SUMIFS(JURNAL!G:G,JURNAL!E:E,C164,JURNAL!C:C,"&gt;="&amp;$H$1,JURNAL!C:C,"&lt;="&amp;$I$1)</f>
        <v>179090.91</v>
      </c>
      <c r="K164" s="11">
        <f>+SUMIFS(JURNAL!H:H,JURNAL!E:E,C164,JURNAL!C:C,"&gt;="&amp;$H$1,JURNAL!C:C,"&lt;="&amp;$I$1)</f>
        <v>0</v>
      </c>
      <c r="L164" s="26">
        <f t="shared" si="26"/>
        <v>179090.91</v>
      </c>
      <c r="M164" s="27">
        <f t="shared" si="27"/>
        <v>0</v>
      </c>
      <c r="N164" s="11"/>
      <c r="O164" s="11"/>
      <c r="P164" s="11"/>
      <c r="Q164" s="11"/>
      <c r="R164" s="26">
        <f t="shared" si="28"/>
        <v>179090.91</v>
      </c>
      <c r="S164" s="27">
        <f t="shared" si="29"/>
        <v>0</v>
      </c>
      <c r="T164" s="11">
        <f t="shared" si="30"/>
        <v>0</v>
      </c>
      <c r="U164" s="11">
        <f t="shared" si="31"/>
        <v>179090.91</v>
      </c>
      <c r="V164" s="26">
        <f t="shared" si="32"/>
        <v>0</v>
      </c>
      <c r="W164" s="27">
        <f t="shared" si="33"/>
        <v>0</v>
      </c>
      <c r="X164" s="4">
        <v>7002</v>
      </c>
      <c r="Y164" s="4"/>
      <c r="Z164" s="4"/>
      <c r="AA164" s="12">
        <f t="shared" si="34"/>
        <v>1</v>
      </c>
      <c r="AC164" s="558"/>
      <c r="AD164" s="83"/>
      <c r="AE164" s="83"/>
      <c r="AF164" s="83"/>
      <c r="AG164" s="1"/>
      <c r="AH164" s="1"/>
    </row>
    <row r="165" spans="1:34" ht="12.75" customHeight="1">
      <c r="A165" s="24"/>
      <c r="B165" s="108">
        <f t="shared" si="24"/>
        <v>162</v>
      </c>
      <c r="C165" s="6">
        <v>701500</v>
      </c>
      <c r="D165" s="6" t="s">
        <v>629</v>
      </c>
      <c r="E165" s="9" t="s">
        <v>32</v>
      </c>
      <c r="F165" s="6"/>
      <c r="G165" s="6"/>
      <c r="H165" s="11">
        <f>+STAT1!V165</f>
        <v>0</v>
      </c>
      <c r="I165" s="11">
        <f>+STAT1!W165</f>
        <v>0</v>
      </c>
      <c r="J165" s="11">
        <f>+SUMIFS(JURNAL!G:G,JURNAL!E:E,C165,JURNAL!C:C,"&gt;="&amp;$H$1,JURNAL!C:C,"&lt;="&amp;$I$1)</f>
        <v>349090.91000000003</v>
      </c>
      <c r="K165" s="11">
        <f>+SUMIFS(JURNAL!H:H,JURNAL!E:E,C165,JURNAL!C:C,"&gt;="&amp;$H$1,JURNAL!C:C,"&lt;="&amp;$I$1)</f>
        <v>0</v>
      </c>
      <c r="L165" s="26">
        <f t="shared" si="26"/>
        <v>349090.91000000003</v>
      </c>
      <c r="M165" s="27">
        <f t="shared" si="27"/>
        <v>0</v>
      </c>
      <c r="N165" s="11"/>
      <c r="O165" s="11"/>
      <c r="P165" s="11"/>
      <c r="Q165" s="11"/>
      <c r="R165" s="26">
        <f t="shared" si="28"/>
        <v>349090.91000000003</v>
      </c>
      <c r="S165" s="27">
        <f t="shared" si="29"/>
        <v>0</v>
      </c>
      <c r="T165" s="11">
        <f t="shared" si="30"/>
        <v>0</v>
      </c>
      <c r="U165" s="11">
        <f t="shared" si="31"/>
        <v>349090.91000000003</v>
      </c>
      <c r="V165" s="26">
        <f t="shared" si="32"/>
        <v>0</v>
      </c>
      <c r="W165" s="27">
        <f t="shared" si="33"/>
        <v>0</v>
      </c>
      <c r="X165" s="4">
        <v>7002</v>
      </c>
      <c r="Y165" s="4"/>
      <c r="Z165" s="4"/>
      <c r="AA165" s="12">
        <f t="shared" si="34"/>
        <v>1</v>
      </c>
      <c r="AC165" s="558"/>
      <c r="AD165" s="83"/>
      <c r="AE165" s="83"/>
      <c r="AF165" s="83"/>
      <c r="AG165" s="1"/>
      <c r="AH165" s="1"/>
    </row>
    <row r="166" spans="1:34" ht="12.75" customHeight="1">
      <c r="A166" s="24"/>
      <c r="B166" s="108">
        <f t="shared" si="24"/>
        <v>163</v>
      </c>
      <c r="C166" s="6">
        <v>701600</v>
      </c>
      <c r="D166" s="6" t="s">
        <v>635</v>
      </c>
      <c r="E166" s="9" t="s">
        <v>32</v>
      </c>
      <c r="F166" s="6"/>
      <c r="G166" s="6"/>
      <c r="H166" s="11">
        <f>+STAT1!V166</f>
        <v>0</v>
      </c>
      <c r="I166" s="11">
        <f>+STAT1!W166</f>
        <v>0</v>
      </c>
      <c r="J166" s="11">
        <f>+SUMIFS(JURNAL!G:G,JURNAL!E:E,C166,JURNAL!C:C,"&gt;="&amp;$H$1,JURNAL!C:C,"&lt;="&amp;$I$1)</f>
        <v>26717177.370000001</v>
      </c>
      <c r="K166" s="11">
        <f>+SUMIFS(JURNAL!H:H,JURNAL!E:E,C166,JURNAL!C:C,"&gt;="&amp;$H$1,JURNAL!C:C,"&lt;="&amp;$I$1)</f>
        <v>22066010.899999999</v>
      </c>
      <c r="L166" s="26">
        <f t="shared" si="26"/>
        <v>4651166.4700000025</v>
      </c>
      <c r="M166" s="27">
        <f t="shared" si="27"/>
        <v>0</v>
      </c>
      <c r="N166" s="11"/>
      <c r="O166" s="11"/>
      <c r="P166" s="11"/>
      <c r="Q166" s="11"/>
      <c r="R166" s="26">
        <f t="shared" si="28"/>
        <v>4651166.4700000025</v>
      </c>
      <c r="S166" s="27">
        <f t="shared" si="29"/>
        <v>0</v>
      </c>
      <c r="T166" s="11">
        <f t="shared" si="30"/>
        <v>0</v>
      </c>
      <c r="U166" s="11">
        <f t="shared" si="31"/>
        <v>4651166.4700000025</v>
      </c>
      <c r="V166" s="26">
        <f t="shared" si="32"/>
        <v>0</v>
      </c>
      <c r="W166" s="27">
        <f t="shared" si="33"/>
        <v>0</v>
      </c>
      <c r="X166" s="4">
        <v>7002</v>
      </c>
      <c r="Y166" s="4"/>
      <c r="Z166" s="4"/>
      <c r="AA166" s="12">
        <f t="shared" si="34"/>
        <v>1</v>
      </c>
      <c r="AC166" s="558"/>
      <c r="AD166" s="83"/>
      <c r="AE166" s="83"/>
      <c r="AF166" s="83"/>
      <c r="AG166" s="1"/>
      <c r="AH166" s="1"/>
    </row>
    <row r="167" spans="1:34" ht="12.75" customHeight="1">
      <c r="A167" s="24"/>
      <c r="B167" s="108">
        <f t="shared" si="24"/>
        <v>164</v>
      </c>
      <c r="C167" s="6">
        <v>701700</v>
      </c>
      <c r="D167" s="6" t="s">
        <v>275</v>
      </c>
      <c r="E167" s="9" t="s">
        <v>32</v>
      </c>
      <c r="F167" s="6"/>
      <c r="G167" s="6"/>
      <c r="H167" s="11">
        <f>+STAT1!V167</f>
        <v>0</v>
      </c>
      <c r="I167" s="11">
        <f>+STAT1!W167</f>
        <v>0</v>
      </c>
      <c r="J167" s="11">
        <f>+SUMIFS(JURNAL!G:G,JURNAL!E:E,C167,JURNAL!C:C,"&gt;="&amp;$H$1,JURNAL!C:C,"&lt;="&amp;$I$1)</f>
        <v>0</v>
      </c>
      <c r="K167" s="11">
        <f>+SUMIFS(JURNAL!H:H,JURNAL!E:E,C167,JURNAL!C:C,"&gt;="&amp;$H$1,JURNAL!C:C,"&lt;="&amp;$I$1)</f>
        <v>0</v>
      </c>
      <c r="L167" s="26">
        <f t="shared" si="26"/>
        <v>0</v>
      </c>
      <c r="M167" s="27">
        <f t="shared" si="27"/>
        <v>0</v>
      </c>
      <c r="N167" s="11"/>
      <c r="O167" s="11"/>
      <c r="P167" s="11"/>
      <c r="Q167" s="11"/>
      <c r="R167" s="26">
        <f t="shared" si="28"/>
        <v>0</v>
      </c>
      <c r="S167" s="27">
        <f t="shared" si="29"/>
        <v>0</v>
      </c>
      <c r="T167" s="11">
        <f t="shared" si="30"/>
        <v>0</v>
      </c>
      <c r="U167" s="11">
        <f t="shared" si="31"/>
        <v>0</v>
      </c>
      <c r="V167" s="26">
        <f t="shared" si="32"/>
        <v>0</v>
      </c>
      <c r="W167" s="27">
        <f t="shared" si="33"/>
        <v>0</v>
      </c>
      <c r="X167" s="4">
        <v>7001</v>
      </c>
      <c r="Y167" s="4"/>
      <c r="Z167" s="4"/>
      <c r="AA167" s="12">
        <f t="shared" si="34"/>
        <v>0</v>
      </c>
      <c r="AC167" s="558"/>
      <c r="AD167" s="83"/>
      <c r="AE167" s="83"/>
      <c r="AF167" s="83"/>
      <c r="AG167" s="1"/>
      <c r="AH167" s="1"/>
    </row>
    <row r="168" spans="1:34" ht="12.75" customHeight="1">
      <c r="A168" s="24"/>
      <c r="B168" s="108">
        <f t="shared" si="24"/>
        <v>165</v>
      </c>
      <c r="C168" s="6">
        <v>701800</v>
      </c>
      <c r="D168" s="6" t="s">
        <v>644</v>
      </c>
      <c r="E168" s="9" t="s">
        <v>32</v>
      </c>
      <c r="F168" s="6"/>
      <c r="G168" s="6"/>
      <c r="H168" s="11">
        <f>+STAT1!V168</f>
        <v>0</v>
      </c>
      <c r="I168" s="11">
        <f>+STAT1!W168</f>
        <v>0</v>
      </c>
      <c r="J168" s="11">
        <f>+SUMIFS(JURNAL!G:G,JURNAL!E:E,C168,JURNAL!C:C,"&gt;="&amp;$H$1,JURNAL!C:C,"&lt;="&amp;$I$1)</f>
        <v>0</v>
      </c>
      <c r="K168" s="11">
        <f>+SUMIFS(JURNAL!H:H,JURNAL!E:E,C168,JURNAL!C:C,"&gt;="&amp;$H$1,JURNAL!C:C,"&lt;="&amp;$I$1)</f>
        <v>0</v>
      </c>
      <c r="L168" s="26">
        <f t="shared" si="26"/>
        <v>0</v>
      </c>
      <c r="M168" s="27">
        <f t="shared" si="27"/>
        <v>0</v>
      </c>
      <c r="N168" s="11"/>
      <c r="O168" s="11"/>
      <c r="P168" s="11"/>
      <c r="Q168" s="11"/>
      <c r="R168" s="26">
        <f t="shared" si="28"/>
        <v>0</v>
      </c>
      <c r="S168" s="27">
        <f t="shared" si="29"/>
        <v>0</v>
      </c>
      <c r="T168" s="11">
        <f t="shared" si="30"/>
        <v>0</v>
      </c>
      <c r="U168" s="11">
        <f t="shared" si="31"/>
        <v>0</v>
      </c>
      <c r="V168" s="26">
        <f t="shared" si="32"/>
        <v>0</v>
      </c>
      <c r="W168" s="27">
        <f t="shared" si="33"/>
        <v>0</v>
      </c>
      <c r="X168" s="4">
        <v>7002</v>
      </c>
      <c r="Y168" s="4"/>
      <c r="Z168" s="4"/>
      <c r="AA168" s="12">
        <f t="shared" si="34"/>
        <v>0</v>
      </c>
      <c r="AC168" s="558"/>
      <c r="AD168" s="83"/>
      <c r="AE168" s="83"/>
      <c r="AF168" s="83"/>
      <c r="AG168" s="1"/>
      <c r="AH168" s="1"/>
    </row>
    <row r="169" spans="1:34" ht="12.75" customHeight="1">
      <c r="A169" s="24"/>
      <c r="B169" s="108">
        <f t="shared" si="24"/>
        <v>166</v>
      </c>
      <c r="C169" s="6">
        <v>701900</v>
      </c>
      <c r="D169" s="6" t="s">
        <v>648</v>
      </c>
      <c r="E169" s="9" t="s">
        <v>32</v>
      </c>
      <c r="F169" s="6"/>
      <c r="G169" s="6"/>
      <c r="H169" s="11">
        <f>+STAT1!V169</f>
        <v>0</v>
      </c>
      <c r="I169" s="11">
        <f>+STAT1!W169</f>
        <v>0</v>
      </c>
      <c r="J169" s="11">
        <f>+SUMIFS(JURNAL!G:G,JURNAL!E:E,C169,JURNAL!C:C,"&gt;="&amp;$H$1,JURNAL!C:C,"&lt;="&amp;$I$1)</f>
        <v>1098185.4100000001</v>
      </c>
      <c r="K169" s="11">
        <f>+SUMIFS(JURNAL!H:H,JURNAL!E:E,C169,JURNAL!C:C,"&gt;="&amp;$H$1,JURNAL!C:C,"&lt;="&amp;$I$1)</f>
        <v>0</v>
      </c>
      <c r="L169" s="26">
        <f t="shared" si="26"/>
        <v>1098185.4100000001</v>
      </c>
      <c r="M169" s="27">
        <f t="shared" si="27"/>
        <v>0</v>
      </c>
      <c r="N169" s="11"/>
      <c r="O169" s="11"/>
      <c r="P169" s="11"/>
      <c r="Q169" s="11"/>
      <c r="R169" s="26">
        <f t="shared" si="28"/>
        <v>1098185.4100000001</v>
      </c>
      <c r="S169" s="27">
        <f t="shared" si="29"/>
        <v>0</v>
      </c>
      <c r="T169" s="11">
        <f t="shared" si="30"/>
        <v>0</v>
      </c>
      <c r="U169" s="11">
        <f t="shared" si="31"/>
        <v>1098185.4100000001</v>
      </c>
      <c r="V169" s="26">
        <f t="shared" si="32"/>
        <v>0</v>
      </c>
      <c r="W169" s="27">
        <f t="shared" si="33"/>
        <v>0</v>
      </c>
      <c r="X169" s="4">
        <v>7002</v>
      </c>
      <c r="Y169" s="4"/>
      <c r="Z169" s="4"/>
      <c r="AA169" s="12">
        <f t="shared" si="34"/>
        <v>1</v>
      </c>
      <c r="AC169" s="558"/>
      <c r="AD169" s="83"/>
      <c r="AE169" s="83"/>
      <c r="AF169" s="83"/>
      <c r="AG169" s="1"/>
      <c r="AH169" s="1"/>
    </row>
    <row r="170" spans="1:34" ht="12.75" customHeight="1">
      <c r="A170" s="24"/>
      <c r="B170" s="108">
        <f t="shared" si="24"/>
        <v>167</v>
      </c>
      <c r="C170" s="6">
        <v>702000</v>
      </c>
      <c r="D170" s="6" t="s">
        <v>652</v>
      </c>
      <c r="E170" s="9" t="s">
        <v>32</v>
      </c>
      <c r="F170" s="6"/>
      <c r="G170" s="6"/>
      <c r="H170" s="11">
        <f>+STAT1!V170</f>
        <v>0</v>
      </c>
      <c r="I170" s="11">
        <f>+STAT1!W170</f>
        <v>0</v>
      </c>
      <c r="J170" s="11">
        <f>+SUMIFS(JURNAL!G:G,JURNAL!E:E,C170,JURNAL!C:C,"&gt;="&amp;$H$1,JURNAL!C:C,"&lt;="&amp;$I$1)</f>
        <v>506363.66000000003</v>
      </c>
      <c r="K170" s="11">
        <f>+SUMIFS(JURNAL!H:H,JURNAL!E:E,C170,JURNAL!C:C,"&gt;="&amp;$H$1,JURNAL!C:C,"&lt;="&amp;$I$1)</f>
        <v>14545.45</v>
      </c>
      <c r="L170" s="26">
        <f t="shared" si="26"/>
        <v>491818.21</v>
      </c>
      <c r="M170" s="27">
        <f t="shared" si="27"/>
        <v>0</v>
      </c>
      <c r="N170" s="11"/>
      <c r="O170" s="11"/>
      <c r="P170" s="11"/>
      <c r="Q170" s="11"/>
      <c r="R170" s="26">
        <f t="shared" si="28"/>
        <v>491818.21</v>
      </c>
      <c r="S170" s="27">
        <f t="shared" si="29"/>
        <v>0</v>
      </c>
      <c r="T170" s="11">
        <f t="shared" si="30"/>
        <v>0</v>
      </c>
      <c r="U170" s="11">
        <f t="shared" si="31"/>
        <v>491818.21</v>
      </c>
      <c r="V170" s="26">
        <f t="shared" si="32"/>
        <v>0</v>
      </c>
      <c r="W170" s="27">
        <f t="shared" si="33"/>
        <v>0</v>
      </c>
      <c r="X170" s="4">
        <v>7002</v>
      </c>
      <c r="Y170" s="4"/>
      <c r="Z170" s="4"/>
      <c r="AA170" s="12">
        <f t="shared" si="34"/>
        <v>1</v>
      </c>
      <c r="AC170" s="558"/>
      <c r="AD170" s="83"/>
      <c r="AE170" s="83"/>
      <c r="AF170" s="83"/>
      <c r="AG170" s="1"/>
      <c r="AH170" s="1"/>
    </row>
    <row r="171" spans="1:34" ht="12.75" customHeight="1">
      <c r="A171" s="24"/>
      <c r="B171" s="108">
        <f t="shared" si="24"/>
        <v>168</v>
      </c>
      <c r="C171" s="6">
        <v>702100</v>
      </c>
      <c r="D171" s="6" t="s">
        <v>656</v>
      </c>
      <c r="E171" s="9" t="s">
        <v>32</v>
      </c>
      <c r="F171" s="6"/>
      <c r="G171" s="6"/>
      <c r="H171" s="11">
        <f>+STAT1!V171</f>
        <v>0</v>
      </c>
      <c r="I171" s="11">
        <f>+STAT1!W171</f>
        <v>0</v>
      </c>
      <c r="J171" s="11">
        <f>+SUMIFS(JURNAL!G:G,JURNAL!E:E,C171,JURNAL!C:C,"&gt;="&amp;$H$1,JURNAL!C:C,"&lt;="&amp;$I$1)</f>
        <v>0</v>
      </c>
      <c r="K171" s="11">
        <f>+SUMIFS(JURNAL!H:H,JURNAL!E:E,C171,JURNAL!C:C,"&gt;="&amp;$H$1,JURNAL!C:C,"&lt;="&amp;$I$1)</f>
        <v>0</v>
      </c>
      <c r="L171" s="26">
        <f t="shared" si="26"/>
        <v>0</v>
      </c>
      <c r="M171" s="27">
        <f t="shared" si="27"/>
        <v>0</v>
      </c>
      <c r="N171" s="11"/>
      <c r="O171" s="11"/>
      <c r="P171" s="11"/>
      <c r="Q171" s="11"/>
      <c r="R171" s="26">
        <f t="shared" si="28"/>
        <v>0</v>
      </c>
      <c r="S171" s="27">
        <f t="shared" si="29"/>
        <v>0</v>
      </c>
      <c r="T171" s="11">
        <f t="shared" si="30"/>
        <v>0</v>
      </c>
      <c r="U171" s="11">
        <f t="shared" si="31"/>
        <v>0</v>
      </c>
      <c r="V171" s="26">
        <f t="shared" si="32"/>
        <v>0</v>
      </c>
      <c r="W171" s="27">
        <f t="shared" si="33"/>
        <v>0</v>
      </c>
      <c r="X171" s="4">
        <v>7002</v>
      </c>
      <c r="Y171" s="4"/>
      <c r="Z171" s="4"/>
      <c r="AA171" s="12">
        <f t="shared" si="34"/>
        <v>0</v>
      </c>
      <c r="AC171" s="558"/>
      <c r="AD171" s="83"/>
      <c r="AE171" s="83"/>
      <c r="AF171" s="83"/>
      <c r="AG171" s="1"/>
      <c r="AH171" s="1"/>
    </row>
    <row r="172" spans="1:34" ht="12.75" customHeight="1">
      <c r="A172" s="24"/>
      <c r="B172" s="108">
        <f t="shared" si="24"/>
        <v>169</v>
      </c>
      <c r="C172" s="6">
        <v>702300</v>
      </c>
      <c r="D172" s="6" t="s">
        <v>660</v>
      </c>
      <c r="E172" s="9" t="s">
        <v>32</v>
      </c>
      <c r="F172" s="6"/>
      <c r="G172" s="6"/>
      <c r="H172" s="11">
        <f>+STAT1!V172</f>
        <v>0</v>
      </c>
      <c r="I172" s="11">
        <f>+STAT1!W172</f>
        <v>0</v>
      </c>
      <c r="J172" s="11">
        <f>+SUMIFS(JURNAL!G:G,JURNAL!E:E,C172,JURNAL!C:C,"&gt;="&amp;$H$1,JURNAL!C:C,"&lt;="&amp;$I$1)</f>
        <v>0</v>
      </c>
      <c r="K172" s="11">
        <f>+SUMIFS(JURNAL!H:H,JURNAL!E:E,C172,JURNAL!C:C,"&gt;="&amp;$H$1,JURNAL!C:C,"&lt;="&amp;$I$1)</f>
        <v>0</v>
      </c>
      <c r="L172" s="26">
        <f t="shared" si="26"/>
        <v>0</v>
      </c>
      <c r="M172" s="27">
        <f t="shared" si="27"/>
        <v>0</v>
      </c>
      <c r="N172" s="11"/>
      <c r="O172" s="11"/>
      <c r="P172" s="11"/>
      <c r="Q172" s="11"/>
      <c r="R172" s="26">
        <f t="shared" si="28"/>
        <v>0</v>
      </c>
      <c r="S172" s="27">
        <f t="shared" si="29"/>
        <v>0</v>
      </c>
      <c r="T172" s="11">
        <f t="shared" si="30"/>
        <v>0</v>
      </c>
      <c r="U172" s="11">
        <f t="shared" si="31"/>
        <v>0</v>
      </c>
      <c r="V172" s="26">
        <f t="shared" si="32"/>
        <v>0</v>
      </c>
      <c r="W172" s="27">
        <f t="shared" si="33"/>
        <v>0</v>
      </c>
      <c r="X172" s="4">
        <v>7002</v>
      </c>
      <c r="Y172" s="4"/>
      <c r="Z172" s="4"/>
      <c r="AA172" s="12">
        <f t="shared" si="34"/>
        <v>0</v>
      </c>
      <c r="AC172" s="558"/>
      <c r="AD172" s="83"/>
      <c r="AE172" s="83"/>
      <c r="AF172" s="83"/>
      <c r="AG172" s="1"/>
      <c r="AH172" s="1"/>
    </row>
    <row r="173" spans="1:34" ht="12.75" customHeight="1">
      <c r="A173" s="24"/>
      <c r="B173" s="108">
        <f t="shared" si="24"/>
        <v>170</v>
      </c>
      <c r="C173" s="6">
        <v>702500</v>
      </c>
      <c r="D173" s="6" t="s">
        <v>277</v>
      </c>
      <c r="E173" s="9" t="s">
        <v>32</v>
      </c>
      <c r="F173" s="6"/>
      <c r="G173" s="6"/>
      <c r="H173" s="11">
        <f>+STAT1!V173</f>
        <v>0</v>
      </c>
      <c r="I173" s="11">
        <f>+STAT1!W173</f>
        <v>0</v>
      </c>
      <c r="J173" s="11">
        <f>+SUMIFS(JURNAL!G:G,JURNAL!E:E,C173,JURNAL!C:C,"&gt;="&amp;$H$1,JURNAL!C:C,"&lt;="&amp;$I$1)</f>
        <v>1933800.6100000003</v>
      </c>
      <c r="K173" s="11">
        <f>+SUMIFS(JURNAL!H:H,JURNAL!E:E,C173,JURNAL!C:C,"&gt;="&amp;$H$1,JURNAL!C:C,"&lt;="&amp;$I$1)</f>
        <v>0</v>
      </c>
      <c r="L173" s="26">
        <f t="shared" si="26"/>
        <v>1933800.6100000003</v>
      </c>
      <c r="M173" s="27">
        <f t="shared" si="27"/>
        <v>0</v>
      </c>
      <c r="N173" s="11"/>
      <c r="O173" s="11"/>
      <c r="P173" s="11"/>
      <c r="Q173" s="11"/>
      <c r="R173" s="26">
        <f t="shared" si="28"/>
        <v>1933800.6100000003</v>
      </c>
      <c r="S173" s="27">
        <f t="shared" si="29"/>
        <v>0</v>
      </c>
      <c r="T173" s="11">
        <f t="shared" si="30"/>
        <v>0</v>
      </c>
      <c r="U173" s="11">
        <f t="shared" si="31"/>
        <v>1933800.6100000003</v>
      </c>
      <c r="V173" s="26">
        <f t="shared" si="32"/>
        <v>0</v>
      </c>
      <c r="W173" s="27">
        <f t="shared" si="33"/>
        <v>0</v>
      </c>
      <c r="X173" s="4">
        <v>7002</v>
      </c>
      <c r="Y173" s="4"/>
      <c r="Z173" s="4"/>
      <c r="AA173" s="12">
        <f t="shared" si="34"/>
        <v>1</v>
      </c>
      <c r="AC173" s="558"/>
      <c r="AD173" s="83"/>
      <c r="AE173" s="83"/>
      <c r="AF173" s="83"/>
      <c r="AG173" s="1"/>
      <c r="AH173" s="1"/>
    </row>
    <row r="174" spans="1:34" ht="12.75" customHeight="1">
      <c r="A174" s="24"/>
      <c r="B174" s="108">
        <f t="shared" si="24"/>
        <v>171</v>
      </c>
      <c r="C174" s="6">
        <v>702400</v>
      </c>
      <c r="D174" s="6" t="s">
        <v>967</v>
      </c>
      <c r="E174" s="9" t="s">
        <v>32</v>
      </c>
      <c r="F174" s="6"/>
      <c r="G174" s="6"/>
      <c r="H174" s="11">
        <f>+STAT1!V174</f>
        <v>0</v>
      </c>
      <c r="I174" s="11">
        <f>+STAT1!W174</f>
        <v>0</v>
      </c>
      <c r="J174" s="11">
        <f>+SUMIFS(JURNAL!G:G,JURNAL!E:E,C174,JURNAL!C:C,"&gt;="&amp;$H$1,JURNAL!C:C,"&lt;="&amp;$I$1)</f>
        <v>0</v>
      </c>
      <c r="K174" s="11">
        <f>+SUMIFS(JURNAL!H:H,JURNAL!E:E,C174,JURNAL!C:C,"&gt;="&amp;$H$1,JURNAL!C:C,"&lt;="&amp;$I$1)</f>
        <v>0</v>
      </c>
      <c r="L174" s="26">
        <f t="shared" si="26"/>
        <v>0</v>
      </c>
      <c r="M174" s="27">
        <f t="shared" si="27"/>
        <v>0</v>
      </c>
      <c r="N174" s="11"/>
      <c r="O174" s="11"/>
      <c r="P174" s="11"/>
      <c r="Q174" s="11"/>
      <c r="R174" s="26">
        <f t="shared" si="28"/>
        <v>0</v>
      </c>
      <c r="S174" s="27">
        <f t="shared" si="29"/>
        <v>0</v>
      </c>
      <c r="T174" s="11">
        <f t="shared" si="30"/>
        <v>0</v>
      </c>
      <c r="U174" s="11">
        <f t="shared" si="31"/>
        <v>0</v>
      </c>
      <c r="V174" s="26">
        <f t="shared" si="32"/>
        <v>0</v>
      </c>
      <c r="W174" s="27">
        <f t="shared" si="33"/>
        <v>0</v>
      </c>
      <c r="X174" s="4">
        <v>7002</v>
      </c>
      <c r="Y174" s="4"/>
      <c r="Z174" s="4"/>
      <c r="AA174" s="12">
        <f t="shared" si="34"/>
        <v>0</v>
      </c>
      <c r="AC174" s="558"/>
      <c r="AD174" s="83"/>
      <c r="AE174" s="83"/>
      <c r="AF174" s="83"/>
      <c r="AG174" s="1"/>
      <c r="AH174" s="1"/>
    </row>
    <row r="175" spans="1:34" ht="12.75" customHeight="1">
      <c r="A175" s="24"/>
      <c r="B175" s="108">
        <f t="shared" si="24"/>
        <v>172</v>
      </c>
      <c r="C175" s="6">
        <v>702600</v>
      </c>
      <c r="D175" s="6" t="s">
        <v>670</v>
      </c>
      <c r="E175" s="9" t="s">
        <v>32</v>
      </c>
      <c r="F175" s="6"/>
      <c r="G175" s="6"/>
      <c r="H175" s="11">
        <f>+STAT1!V175</f>
        <v>0</v>
      </c>
      <c r="I175" s="11">
        <f>+STAT1!W175</f>
        <v>0</v>
      </c>
      <c r="J175" s="11">
        <f>+SUMIFS(JURNAL!G:G,JURNAL!E:E,C175,JURNAL!C:C,"&gt;="&amp;$H$1,JURNAL!C:C,"&lt;="&amp;$I$1)</f>
        <v>0</v>
      </c>
      <c r="K175" s="11">
        <f>+SUMIFS(JURNAL!H:H,JURNAL!E:E,C175,JURNAL!C:C,"&gt;="&amp;$H$1,JURNAL!C:C,"&lt;="&amp;$I$1)</f>
        <v>0</v>
      </c>
      <c r="L175" s="26">
        <f t="shared" si="26"/>
        <v>0</v>
      </c>
      <c r="M175" s="27">
        <f t="shared" si="27"/>
        <v>0</v>
      </c>
      <c r="N175" s="11"/>
      <c r="O175" s="11"/>
      <c r="P175" s="11"/>
      <c r="Q175" s="11"/>
      <c r="R175" s="26">
        <f t="shared" si="28"/>
        <v>0</v>
      </c>
      <c r="S175" s="27">
        <f t="shared" si="29"/>
        <v>0</v>
      </c>
      <c r="T175" s="11">
        <f t="shared" si="30"/>
        <v>0</v>
      </c>
      <c r="U175" s="11">
        <f t="shared" si="31"/>
        <v>0</v>
      </c>
      <c r="V175" s="26">
        <f t="shared" si="32"/>
        <v>0</v>
      </c>
      <c r="W175" s="27">
        <f t="shared" si="33"/>
        <v>0</v>
      </c>
      <c r="X175" s="4">
        <v>7002</v>
      </c>
      <c r="Y175" s="4"/>
      <c r="Z175" s="4"/>
      <c r="AA175" s="12">
        <f t="shared" si="34"/>
        <v>0</v>
      </c>
      <c r="AC175" s="558"/>
      <c r="AD175" s="83"/>
      <c r="AE175" s="83"/>
      <c r="AF175" s="83"/>
      <c r="AG175" s="1"/>
      <c r="AH175" s="1"/>
    </row>
    <row r="176" spans="1:34" ht="12.75" customHeight="1">
      <c r="A176" s="24"/>
      <c r="B176" s="108">
        <f t="shared" si="24"/>
        <v>173</v>
      </c>
      <c r="C176" s="6">
        <v>702700</v>
      </c>
      <c r="D176" s="6" t="s">
        <v>674</v>
      </c>
      <c r="E176" s="9" t="s">
        <v>32</v>
      </c>
      <c r="F176" s="6"/>
      <c r="G176" s="6"/>
      <c r="H176" s="11">
        <f>+STAT1!V176</f>
        <v>0</v>
      </c>
      <c r="I176" s="11">
        <f>+STAT1!W176</f>
        <v>0</v>
      </c>
      <c r="J176" s="11">
        <f>+SUMIFS(JURNAL!G:G,JURNAL!E:E,C176,JURNAL!C:C,"&gt;="&amp;$H$1,JURNAL!C:C,"&lt;="&amp;$I$1)</f>
        <v>0</v>
      </c>
      <c r="K176" s="11">
        <f>+SUMIFS(JURNAL!H:H,JURNAL!E:E,C176,JURNAL!C:C,"&gt;="&amp;$H$1,JURNAL!C:C,"&lt;="&amp;$I$1)</f>
        <v>0</v>
      </c>
      <c r="L176" s="26">
        <f t="shared" si="26"/>
        <v>0</v>
      </c>
      <c r="M176" s="27">
        <f t="shared" si="27"/>
        <v>0</v>
      </c>
      <c r="N176" s="11"/>
      <c r="O176" s="11"/>
      <c r="P176" s="11"/>
      <c r="Q176" s="11"/>
      <c r="R176" s="26">
        <f t="shared" si="28"/>
        <v>0</v>
      </c>
      <c r="S176" s="27">
        <f t="shared" si="29"/>
        <v>0</v>
      </c>
      <c r="T176" s="11">
        <f t="shared" si="30"/>
        <v>0</v>
      </c>
      <c r="U176" s="11">
        <f t="shared" si="31"/>
        <v>0</v>
      </c>
      <c r="V176" s="26">
        <f t="shared" si="32"/>
        <v>0</v>
      </c>
      <c r="W176" s="27">
        <f t="shared" si="33"/>
        <v>0</v>
      </c>
      <c r="X176" s="4">
        <v>7002</v>
      </c>
      <c r="Y176" s="4"/>
      <c r="Z176" s="4"/>
      <c r="AA176" s="12">
        <f t="shared" si="34"/>
        <v>0</v>
      </c>
      <c r="AC176" s="558"/>
      <c r="AD176" s="83"/>
      <c r="AE176" s="83"/>
      <c r="AF176" s="83"/>
      <c r="AG176" s="1"/>
      <c r="AH176" s="1"/>
    </row>
    <row r="177" spans="1:34" ht="12.75" customHeight="1">
      <c r="A177" s="24"/>
      <c r="B177" s="108">
        <f t="shared" si="24"/>
        <v>174</v>
      </c>
      <c r="C177" s="6">
        <v>702800</v>
      </c>
      <c r="D177" s="6" t="s">
        <v>678</v>
      </c>
      <c r="E177" s="9" t="s">
        <v>32</v>
      </c>
      <c r="F177" s="6"/>
      <c r="G177" s="6"/>
      <c r="H177" s="11">
        <f>+STAT1!V177</f>
        <v>0</v>
      </c>
      <c r="I177" s="11">
        <f>+STAT1!W177</f>
        <v>0</v>
      </c>
      <c r="J177" s="11">
        <f>+SUMIFS(JURNAL!G:G,JURNAL!E:E,C177,JURNAL!C:C,"&gt;="&amp;$H$1,JURNAL!C:C,"&lt;="&amp;$I$1)</f>
        <v>0</v>
      </c>
      <c r="K177" s="11">
        <f>+SUMIFS(JURNAL!H:H,JURNAL!E:E,C177,JURNAL!C:C,"&gt;="&amp;$H$1,JURNAL!C:C,"&lt;="&amp;$I$1)</f>
        <v>0</v>
      </c>
      <c r="L177" s="26">
        <f t="shared" si="26"/>
        <v>0</v>
      </c>
      <c r="M177" s="27">
        <f t="shared" si="27"/>
        <v>0</v>
      </c>
      <c r="N177" s="11"/>
      <c r="O177" s="11"/>
      <c r="P177" s="11"/>
      <c r="Q177" s="11"/>
      <c r="R177" s="26">
        <f t="shared" si="28"/>
        <v>0</v>
      </c>
      <c r="S177" s="27">
        <f t="shared" si="29"/>
        <v>0</v>
      </c>
      <c r="T177" s="11">
        <f t="shared" si="30"/>
        <v>0</v>
      </c>
      <c r="U177" s="11">
        <f t="shared" si="31"/>
        <v>0</v>
      </c>
      <c r="V177" s="26">
        <f t="shared" si="32"/>
        <v>0</v>
      </c>
      <c r="W177" s="27">
        <f t="shared" si="33"/>
        <v>0</v>
      </c>
      <c r="X177" s="4">
        <v>7002</v>
      </c>
      <c r="Y177" s="4"/>
      <c r="Z177" s="4"/>
      <c r="AA177" s="12">
        <f t="shared" si="34"/>
        <v>0</v>
      </c>
      <c r="AC177" s="558"/>
      <c r="AD177" s="83"/>
      <c r="AE177" s="83"/>
      <c r="AF177" s="83"/>
      <c r="AG177" s="1"/>
      <c r="AH177" s="1"/>
    </row>
    <row r="178" spans="1:34" ht="12.75" customHeight="1">
      <c r="A178" s="24"/>
      <c r="B178" s="108">
        <f t="shared" si="24"/>
        <v>175</v>
      </c>
      <c r="C178" s="6">
        <v>703300</v>
      </c>
      <c r="D178" s="6" t="s">
        <v>682</v>
      </c>
      <c r="E178" s="9" t="s">
        <v>32</v>
      </c>
      <c r="F178" s="6"/>
      <c r="G178" s="6"/>
      <c r="H178" s="11">
        <f>+STAT1!V178</f>
        <v>0</v>
      </c>
      <c r="I178" s="11">
        <f>+STAT1!W178</f>
        <v>0</v>
      </c>
      <c r="J178" s="11">
        <f>+SUMIFS(JURNAL!G:G,JURNAL!E:E,C178,JURNAL!C:C,"&gt;="&amp;$H$1,JURNAL!C:C,"&lt;="&amp;$I$1)</f>
        <v>0</v>
      </c>
      <c r="K178" s="11">
        <f>+SUMIFS(JURNAL!H:H,JURNAL!E:E,C178,JURNAL!C:C,"&gt;="&amp;$H$1,JURNAL!C:C,"&lt;="&amp;$I$1)</f>
        <v>0</v>
      </c>
      <c r="L178" s="26">
        <f t="shared" si="26"/>
        <v>0</v>
      </c>
      <c r="M178" s="27">
        <f t="shared" si="27"/>
        <v>0</v>
      </c>
      <c r="N178" s="11"/>
      <c r="O178" s="11"/>
      <c r="P178" s="11"/>
      <c r="Q178" s="11"/>
      <c r="R178" s="26">
        <f t="shared" si="28"/>
        <v>0</v>
      </c>
      <c r="S178" s="27">
        <f t="shared" si="29"/>
        <v>0</v>
      </c>
      <c r="T178" s="11">
        <f t="shared" si="30"/>
        <v>0</v>
      </c>
      <c r="U178" s="11">
        <f t="shared" si="31"/>
        <v>0</v>
      </c>
      <c r="V178" s="26">
        <f t="shared" si="32"/>
        <v>0</v>
      </c>
      <c r="W178" s="27">
        <f t="shared" si="33"/>
        <v>0</v>
      </c>
      <c r="X178" s="4">
        <v>7002</v>
      </c>
      <c r="Y178" s="4"/>
      <c r="Z178" s="4"/>
      <c r="AA178" s="12">
        <f t="shared" si="34"/>
        <v>0</v>
      </c>
      <c r="AC178" s="558"/>
      <c r="AD178" s="83"/>
      <c r="AE178" s="83"/>
      <c r="AF178" s="83"/>
      <c r="AG178" s="1"/>
      <c r="AH178" s="1"/>
    </row>
    <row r="179" spans="1:34" ht="12.75" customHeight="1">
      <c r="A179" s="24"/>
      <c r="B179" s="108">
        <f t="shared" si="24"/>
        <v>176</v>
      </c>
      <c r="C179" s="6">
        <v>703400</v>
      </c>
      <c r="D179" s="6" t="s">
        <v>968</v>
      </c>
      <c r="E179" s="9" t="s">
        <v>32</v>
      </c>
      <c r="F179" s="6"/>
      <c r="G179" s="6"/>
      <c r="H179" s="11">
        <f>+STAT1!V179</f>
        <v>0</v>
      </c>
      <c r="I179" s="11">
        <f>+STAT1!W179</f>
        <v>0</v>
      </c>
      <c r="J179" s="11">
        <f>+SUMIFS(JURNAL!G:G,JURNAL!E:E,C179,JURNAL!C:C,"&gt;="&amp;$H$1,JURNAL!C:C,"&lt;="&amp;$I$1)</f>
        <v>0</v>
      </c>
      <c r="K179" s="11">
        <f>+SUMIFS(JURNAL!H:H,JURNAL!E:E,C179,JURNAL!C:C,"&gt;="&amp;$H$1,JURNAL!C:C,"&lt;="&amp;$I$1)</f>
        <v>0</v>
      </c>
      <c r="L179" s="26">
        <f t="shared" si="26"/>
        <v>0</v>
      </c>
      <c r="M179" s="27">
        <f t="shared" si="27"/>
        <v>0</v>
      </c>
      <c r="N179" s="11"/>
      <c r="O179" s="11"/>
      <c r="P179" s="11"/>
      <c r="Q179" s="11"/>
      <c r="R179" s="26">
        <f t="shared" si="28"/>
        <v>0</v>
      </c>
      <c r="S179" s="27">
        <f t="shared" si="29"/>
        <v>0</v>
      </c>
      <c r="T179" s="11">
        <f t="shared" si="30"/>
        <v>0</v>
      </c>
      <c r="U179" s="11">
        <f t="shared" si="31"/>
        <v>0</v>
      </c>
      <c r="V179" s="26">
        <f t="shared" si="32"/>
        <v>0</v>
      </c>
      <c r="W179" s="27">
        <f t="shared" si="33"/>
        <v>0</v>
      </c>
      <c r="X179" s="4">
        <v>7002</v>
      </c>
      <c r="Y179" s="4"/>
      <c r="Z179" s="4"/>
      <c r="AA179" s="12">
        <f t="shared" si="34"/>
        <v>0</v>
      </c>
      <c r="AC179" s="558"/>
      <c r="AD179" s="83"/>
      <c r="AE179" s="83"/>
      <c r="AF179" s="83"/>
      <c r="AG179" s="1"/>
      <c r="AH179" s="1"/>
    </row>
    <row r="180" spans="1:34" ht="12.75" customHeight="1">
      <c r="A180" s="24"/>
      <c r="B180" s="108">
        <f t="shared" si="24"/>
        <v>177</v>
      </c>
      <c r="C180" s="6">
        <v>703700</v>
      </c>
      <c r="D180" s="6" t="s">
        <v>690</v>
      </c>
      <c r="E180" s="9" t="s">
        <v>32</v>
      </c>
      <c r="F180" s="6"/>
      <c r="G180" s="6"/>
      <c r="H180" s="11">
        <f>+STAT1!V180</f>
        <v>0</v>
      </c>
      <c r="I180" s="11">
        <f>+STAT1!W180</f>
        <v>0</v>
      </c>
      <c r="J180" s="11">
        <f>+SUMIFS(JURNAL!G:G,JURNAL!E:E,C180,JURNAL!C:C,"&gt;="&amp;$H$1,JURNAL!C:C,"&lt;="&amp;$I$1)</f>
        <v>121590.91</v>
      </c>
      <c r="K180" s="11">
        <f>+SUMIFS(JURNAL!H:H,JURNAL!E:E,C180,JURNAL!C:C,"&gt;="&amp;$H$1,JURNAL!C:C,"&lt;="&amp;$I$1)</f>
        <v>0</v>
      </c>
      <c r="L180" s="26">
        <f t="shared" si="26"/>
        <v>121590.91</v>
      </c>
      <c r="M180" s="27">
        <f t="shared" si="27"/>
        <v>0</v>
      </c>
      <c r="N180" s="11"/>
      <c r="O180" s="11"/>
      <c r="P180" s="11"/>
      <c r="Q180" s="11"/>
      <c r="R180" s="26">
        <f t="shared" si="28"/>
        <v>121590.91</v>
      </c>
      <c r="S180" s="27">
        <f t="shared" si="29"/>
        <v>0</v>
      </c>
      <c r="T180" s="11">
        <f t="shared" si="30"/>
        <v>0</v>
      </c>
      <c r="U180" s="11">
        <f t="shared" si="31"/>
        <v>121590.91</v>
      </c>
      <c r="V180" s="26">
        <f t="shared" si="32"/>
        <v>0</v>
      </c>
      <c r="W180" s="27">
        <f t="shared" si="33"/>
        <v>0</v>
      </c>
      <c r="X180" s="4">
        <v>7002</v>
      </c>
      <c r="Y180" s="4"/>
      <c r="Z180" s="4"/>
      <c r="AA180" s="12">
        <f t="shared" si="34"/>
        <v>1</v>
      </c>
      <c r="AC180" s="558"/>
      <c r="AD180" s="83"/>
      <c r="AE180" s="83"/>
      <c r="AF180" s="83"/>
      <c r="AG180" s="1"/>
      <c r="AH180" s="1"/>
    </row>
    <row r="181" spans="1:34" ht="12.75" customHeight="1">
      <c r="A181" s="24"/>
      <c r="B181" s="108">
        <f t="shared" si="24"/>
        <v>178</v>
      </c>
      <c r="C181" s="6">
        <v>703800</v>
      </c>
      <c r="D181" s="6" t="s">
        <v>694</v>
      </c>
      <c r="E181" s="9" t="s">
        <v>32</v>
      </c>
      <c r="F181" s="6"/>
      <c r="G181" s="6"/>
      <c r="H181" s="11">
        <f>+STAT1!V181</f>
        <v>0</v>
      </c>
      <c r="I181" s="11">
        <f>+STAT1!W181</f>
        <v>0</v>
      </c>
      <c r="J181" s="11">
        <f>+SUMIFS(JURNAL!G:G,JURNAL!E:E,C181,JURNAL!C:C,"&gt;="&amp;$H$1,JURNAL!C:C,"&lt;="&amp;$I$1)</f>
        <v>0</v>
      </c>
      <c r="K181" s="11">
        <f>+SUMIFS(JURNAL!H:H,JURNAL!E:E,C181,JURNAL!C:C,"&gt;="&amp;$H$1,JURNAL!C:C,"&lt;="&amp;$I$1)</f>
        <v>0</v>
      </c>
      <c r="L181" s="26">
        <f t="shared" si="26"/>
        <v>0</v>
      </c>
      <c r="M181" s="27">
        <f t="shared" si="27"/>
        <v>0</v>
      </c>
      <c r="N181" s="11"/>
      <c r="O181" s="11"/>
      <c r="P181" s="11"/>
      <c r="Q181" s="11"/>
      <c r="R181" s="26">
        <f t="shared" si="28"/>
        <v>0</v>
      </c>
      <c r="S181" s="27">
        <f t="shared" si="29"/>
        <v>0</v>
      </c>
      <c r="T181" s="11">
        <f t="shared" si="30"/>
        <v>0</v>
      </c>
      <c r="U181" s="11">
        <f t="shared" si="31"/>
        <v>0</v>
      </c>
      <c r="V181" s="26">
        <f t="shared" si="32"/>
        <v>0</v>
      </c>
      <c r="W181" s="27">
        <f t="shared" si="33"/>
        <v>0</v>
      </c>
      <c r="X181" s="4">
        <v>7002</v>
      </c>
      <c r="Y181" s="4"/>
      <c r="Z181" s="4"/>
      <c r="AA181" s="12">
        <f t="shared" si="34"/>
        <v>0</v>
      </c>
      <c r="AC181" s="558"/>
      <c r="AD181" s="83"/>
      <c r="AE181" s="83"/>
      <c r="AF181" s="83"/>
      <c r="AG181" s="1"/>
      <c r="AH181" s="1"/>
    </row>
    <row r="182" spans="1:34" ht="12.75" customHeight="1">
      <c r="A182" s="24"/>
      <c r="B182" s="108">
        <f t="shared" si="24"/>
        <v>179</v>
      </c>
      <c r="C182" s="6">
        <v>703900</v>
      </c>
      <c r="D182" s="6" t="s">
        <v>698</v>
      </c>
      <c r="E182" s="9" t="s">
        <v>32</v>
      </c>
      <c r="F182" s="6"/>
      <c r="G182" s="6"/>
      <c r="H182" s="11">
        <f>+STAT1!V182</f>
        <v>0</v>
      </c>
      <c r="I182" s="11">
        <f>+STAT1!W182</f>
        <v>0</v>
      </c>
      <c r="J182" s="11">
        <f>+SUMIFS(JURNAL!G:G,JURNAL!E:E,C182,JURNAL!C:C,"&gt;="&amp;$H$1,JURNAL!C:C,"&lt;="&amp;$I$1)</f>
        <v>0</v>
      </c>
      <c r="K182" s="11">
        <f>+SUMIFS(JURNAL!H:H,JURNAL!E:E,C182,JURNAL!C:C,"&gt;="&amp;$H$1,JURNAL!C:C,"&lt;="&amp;$I$1)</f>
        <v>0</v>
      </c>
      <c r="L182" s="26">
        <f t="shared" si="26"/>
        <v>0</v>
      </c>
      <c r="M182" s="27">
        <f t="shared" si="27"/>
        <v>0</v>
      </c>
      <c r="N182" s="11"/>
      <c r="O182" s="11"/>
      <c r="P182" s="11"/>
      <c r="Q182" s="11"/>
      <c r="R182" s="26">
        <f t="shared" si="28"/>
        <v>0</v>
      </c>
      <c r="S182" s="27">
        <f t="shared" si="29"/>
        <v>0</v>
      </c>
      <c r="T182" s="11">
        <f t="shared" si="30"/>
        <v>0</v>
      </c>
      <c r="U182" s="11">
        <f t="shared" si="31"/>
        <v>0</v>
      </c>
      <c r="V182" s="26">
        <f t="shared" si="32"/>
        <v>0</v>
      </c>
      <c r="W182" s="27">
        <f t="shared" si="33"/>
        <v>0</v>
      </c>
      <c r="X182" s="4">
        <v>7002</v>
      </c>
      <c r="Y182" s="4"/>
      <c r="Z182" s="4"/>
      <c r="AA182" s="12">
        <f t="shared" si="34"/>
        <v>0</v>
      </c>
      <c r="AC182" s="558"/>
      <c r="AD182" s="83"/>
      <c r="AE182" s="83"/>
      <c r="AF182" s="83"/>
      <c r="AG182" s="1"/>
      <c r="AH182" s="1"/>
    </row>
    <row r="183" spans="1:34" ht="12.75" customHeight="1">
      <c r="A183" s="24"/>
      <c r="B183" s="108">
        <f t="shared" si="24"/>
        <v>180</v>
      </c>
      <c r="C183" s="6">
        <v>704000</v>
      </c>
      <c r="D183" s="6" t="s">
        <v>702</v>
      </c>
      <c r="E183" s="9" t="s">
        <v>32</v>
      </c>
      <c r="F183" s="6"/>
      <c r="G183" s="6"/>
      <c r="H183" s="11">
        <f>+STAT1!V183</f>
        <v>0</v>
      </c>
      <c r="I183" s="11">
        <f>+STAT1!W183</f>
        <v>0</v>
      </c>
      <c r="J183" s="11">
        <f>+SUMIFS(JURNAL!G:G,JURNAL!E:E,C183,JURNAL!C:C,"&gt;="&amp;$H$1,JURNAL!C:C,"&lt;="&amp;$I$1)</f>
        <v>0</v>
      </c>
      <c r="K183" s="11">
        <f>+SUMIFS(JURNAL!H:H,JURNAL!E:E,C183,JURNAL!C:C,"&gt;="&amp;$H$1,JURNAL!C:C,"&lt;="&amp;$I$1)</f>
        <v>0</v>
      </c>
      <c r="L183" s="26">
        <f t="shared" si="26"/>
        <v>0</v>
      </c>
      <c r="M183" s="27">
        <f t="shared" si="27"/>
        <v>0</v>
      </c>
      <c r="N183" s="11"/>
      <c r="O183" s="11"/>
      <c r="P183" s="11"/>
      <c r="Q183" s="11"/>
      <c r="R183" s="26">
        <f t="shared" si="28"/>
        <v>0</v>
      </c>
      <c r="S183" s="27">
        <f t="shared" si="29"/>
        <v>0</v>
      </c>
      <c r="T183" s="11">
        <f t="shared" si="30"/>
        <v>0</v>
      </c>
      <c r="U183" s="11">
        <f t="shared" si="31"/>
        <v>0</v>
      </c>
      <c r="V183" s="26">
        <f t="shared" si="32"/>
        <v>0</v>
      </c>
      <c r="W183" s="27">
        <f t="shared" si="33"/>
        <v>0</v>
      </c>
      <c r="X183" s="4">
        <v>7002</v>
      </c>
      <c r="Y183" s="4"/>
      <c r="Z183" s="4"/>
      <c r="AA183" s="12">
        <f t="shared" si="34"/>
        <v>0</v>
      </c>
      <c r="AC183" s="558"/>
      <c r="AD183" s="83"/>
      <c r="AE183" s="83"/>
      <c r="AF183" s="83"/>
      <c r="AG183" s="1"/>
      <c r="AH183" s="1"/>
    </row>
    <row r="184" spans="1:34" ht="12.75" customHeight="1">
      <c r="A184" s="24"/>
      <c r="B184" s="108">
        <f t="shared" si="24"/>
        <v>181</v>
      </c>
      <c r="C184" s="6">
        <v>704100</v>
      </c>
      <c r="D184" s="6" t="s">
        <v>706</v>
      </c>
      <c r="E184" s="9" t="s">
        <v>32</v>
      </c>
      <c r="F184" s="6"/>
      <c r="G184" s="6"/>
      <c r="H184" s="11">
        <f>+STAT1!V184</f>
        <v>0</v>
      </c>
      <c r="I184" s="11">
        <f>+STAT1!W184</f>
        <v>0</v>
      </c>
      <c r="J184" s="11">
        <f>+SUMIFS(JURNAL!G:G,JURNAL!E:E,C184,JURNAL!C:C,"&gt;="&amp;$H$1,JURNAL!C:C,"&lt;="&amp;$I$1)</f>
        <v>0</v>
      </c>
      <c r="K184" s="11">
        <f>+SUMIFS(JURNAL!H:H,JURNAL!E:E,C184,JURNAL!C:C,"&gt;="&amp;$H$1,JURNAL!C:C,"&lt;="&amp;$I$1)</f>
        <v>0</v>
      </c>
      <c r="L184" s="26">
        <f t="shared" si="26"/>
        <v>0</v>
      </c>
      <c r="M184" s="27">
        <f t="shared" si="27"/>
        <v>0</v>
      </c>
      <c r="N184" s="11"/>
      <c r="O184" s="11"/>
      <c r="P184" s="11"/>
      <c r="Q184" s="11"/>
      <c r="R184" s="26">
        <f t="shared" si="28"/>
        <v>0</v>
      </c>
      <c r="S184" s="27">
        <f t="shared" si="29"/>
        <v>0</v>
      </c>
      <c r="T184" s="11">
        <f t="shared" si="30"/>
        <v>0</v>
      </c>
      <c r="U184" s="11">
        <f t="shared" si="31"/>
        <v>0</v>
      </c>
      <c r="V184" s="26">
        <f t="shared" si="32"/>
        <v>0</v>
      </c>
      <c r="W184" s="27">
        <f t="shared" si="33"/>
        <v>0</v>
      </c>
      <c r="X184" s="4">
        <v>7002</v>
      </c>
      <c r="Y184" s="4"/>
      <c r="Z184" s="4"/>
      <c r="AA184" s="12">
        <f t="shared" si="34"/>
        <v>0</v>
      </c>
      <c r="AC184" s="558"/>
      <c r="AD184" s="83"/>
      <c r="AE184" s="83"/>
      <c r="AF184" s="83"/>
      <c r="AG184" s="1"/>
      <c r="AH184" s="1"/>
    </row>
    <row r="185" spans="1:34" ht="12.75" customHeight="1">
      <c r="A185" s="24"/>
      <c r="B185" s="108">
        <f t="shared" si="24"/>
        <v>182</v>
      </c>
      <c r="C185" s="6">
        <v>704200</v>
      </c>
      <c r="D185" s="130" t="s">
        <v>710</v>
      </c>
      <c r="E185" s="9" t="s">
        <v>32</v>
      </c>
      <c r="F185" s="6"/>
      <c r="G185" s="6"/>
      <c r="H185" s="11">
        <f>+STAT1!V185</f>
        <v>0</v>
      </c>
      <c r="I185" s="11">
        <f>+STAT1!W185</f>
        <v>0</v>
      </c>
      <c r="J185" s="11">
        <f>+SUMIFS(JURNAL!G:G,JURNAL!E:E,C185,JURNAL!C:C,"&gt;="&amp;$H$1,JURNAL!C:C,"&lt;="&amp;$I$1)</f>
        <v>0</v>
      </c>
      <c r="K185" s="11">
        <f>+SUMIFS(JURNAL!H:H,JURNAL!E:E,C185,JURNAL!C:C,"&gt;="&amp;$H$1,JURNAL!C:C,"&lt;="&amp;$I$1)</f>
        <v>0</v>
      </c>
      <c r="L185" s="26">
        <f t="shared" si="26"/>
        <v>0</v>
      </c>
      <c r="M185" s="27">
        <f t="shared" si="27"/>
        <v>0</v>
      </c>
      <c r="N185" s="11"/>
      <c r="O185" s="11"/>
      <c r="P185" s="11"/>
      <c r="Q185" s="11"/>
      <c r="R185" s="26">
        <f t="shared" si="28"/>
        <v>0</v>
      </c>
      <c r="S185" s="27">
        <f t="shared" si="29"/>
        <v>0</v>
      </c>
      <c r="T185" s="11">
        <f t="shared" si="30"/>
        <v>0</v>
      </c>
      <c r="U185" s="11">
        <f t="shared" si="31"/>
        <v>0</v>
      </c>
      <c r="V185" s="26">
        <f t="shared" si="32"/>
        <v>0</v>
      </c>
      <c r="W185" s="27">
        <f t="shared" si="33"/>
        <v>0</v>
      </c>
      <c r="X185" s="4">
        <v>7002</v>
      </c>
      <c r="Y185" s="4"/>
      <c r="Z185" s="4"/>
      <c r="AA185" s="12">
        <f t="shared" si="34"/>
        <v>0</v>
      </c>
      <c r="AC185" s="558"/>
      <c r="AD185" s="83"/>
      <c r="AE185" s="83"/>
      <c r="AF185" s="83"/>
      <c r="AG185" s="1"/>
      <c r="AH185" s="1"/>
    </row>
    <row r="186" spans="1:34" ht="12.75" customHeight="1">
      <c r="A186" s="24"/>
      <c r="B186" s="108">
        <f t="shared" si="24"/>
        <v>183</v>
      </c>
      <c r="C186" s="6">
        <v>704300</v>
      </c>
      <c r="D186" s="6" t="s">
        <v>714</v>
      </c>
      <c r="E186" s="9" t="s">
        <v>32</v>
      </c>
      <c r="F186" s="6"/>
      <c r="G186" s="6"/>
      <c r="H186" s="11">
        <f>+STAT1!V186</f>
        <v>0</v>
      </c>
      <c r="I186" s="11">
        <f>+STAT1!W186</f>
        <v>0</v>
      </c>
      <c r="J186" s="11">
        <f>+SUMIFS(JURNAL!G:G,JURNAL!E:E,C186,JURNAL!C:C,"&gt;="&amp;$H$1,JURNAL!C:C,"&lt;="&amp;$I$1)</f>
        <v>0</v>
      </c>
      <c r="K186" s="11">
        <f>+SUMIFS(JURNAL!H:H,JURNAL!E:E,C186,JURNAL!C:C,"&gt;="&amp;$H$1,JURNAL!C:C,"&lt;="&amp;$I$1)</f>
        <v>0</v>
      </c>
      <c r="L186" s="26">
        <f t="shared" si="26"/>
        <v>0</v>
      </c>
      <c r="M186" s="27">
        <f t="shared" si="27"/>
        <v>0</v>
      </c>
      <c r="N186" s="11"/>
      <c r="O186" s="11"/>
      <c r="P186" s="11"/>
      <c r="Q186" s="11"/>
      <c r="R186" s="26">
        <f t="shared" si="28"/>
        <v>0</v>
      </c>
      <c r="S186" s="27">
        <f t="shared" si="29"/>
        <v>0</v>
      </c>
      <c r="T186" s="11">
        <f t="shared" si="30"/>
        <v>0</v>
      </c>
      <c r="U186" s="11">
        <f t="shared" si="31"/>
        <v>0</v>
      </c>
      <c r="V186" s="26">
        <f t="shared" si="32"/>
        <v>0</v>
      </c>
      <c r="W186" s="27">
        <f t="shared" si="33"/>
        <v>0</v>
      </c>
      <c r="X186" s="4">
        <v>7002</v>
      </c>
      <c r="Y186" s="4"/>
      <c r="Z186" s="4"/>
      <c r="AA186" s="12">
        <f t="shared" si="34"/>
        <v>0</v>
      </c>
      <c r="AC186" s="558"/>
      <c r="AD186" s="83"/>
      <c r="AE186" s="83"/>
      <c r="AF186" s="83"/>
      <c r="AG186" s="1"/>
      <c r="AH186" s="1"/>
    </row>
    <row r="187" spans="1:34" ht="12.75" customHeight="1">
      <c r="A187" s="24"/>
      <c r="B187" s="108">
        <f t="shared" si="24"/>
        <v>184</v>
      </c>
      <c r="C187" s="6">
        <v>704400</v>
      </c>
      <c r="D187" s="6" t="s">
        <v>718</v>
      </c>
      <c r="E187" s="9" t="s">
        <v>32</v>
      </c>
      <c r="F187" s="6"/>
      <c r="G187" s="6"/>
      <c r="H187" s="11">
        <f>+STAT1!V187</f>
        <v>0</v>
      </c>
      <c r="I187" s="11">
        <f>+STAT1!W187</f>
        <v>0</v>
      </c>
      <c r="J187" s="11">
        <f>+SUMIFS(JURNAL!G:G,JURNAL!E:E,C187,JURNAL!C:C,"&gt;="&amp;$H$1,JURNAL!C:C,"&lt;="&amp;$I$1)</f>
        <v>0</v>
      </c>
      <c r="K187" s="11">
        <f>+SUMIFS(JURNAL!H:H,JURNAL!E:E,C187,JURNAL!C:C,"&gt;="&amp;$H$1,JURNAL!C:C,"&lt;="&amp;$I$1)</f>
        <v>0</v>
      </c>
      <c r="L187" s="26">
        <f t="shared" si="26"/>
        <v>0</v>
      </c>
      <c r="M187" s="27">
        <f t="shared" si="27"/>
        <v>0</v>
      </c>
      <c r="N187" s="11"/>
      <c r="O187" s="11"/>
      <c r="P187" s="11"/>
      <c r="Q187" s="11"/>
      <c r="R187" s="26">
        <f t="shared" si="28"/>
        <v>0</v>
      </c>
      <c r="S187" s="27">
        <f t="shared" si="29"/>
        <v>0</v>
      </c>
      <c r="T187" s="11">
        <f t="shared" si="30"/>
        <v>0</v>
      </c>
      <c r="U187" s="11">
        <f t="shared" si="31"/>
        <v>0</v>
      </c>
      <c r="V187" s="26">
        <f t="shared" si="32"/>
        <v>0</v>
      </c>
      <c r="W187" s="27">
        <f t="shared" si="33"/>
        <v>0</v>
      </c>
      <c r="X187" s="4">
        <v>7002</v>
      </c>
      <c r="Y187" s="4"/>
      <c r="Z187" s="4"/>
      <c r="AA187" s="12">
        <f t="shared" si="34"/>
        <v>0</v>
      </c>
      <c r="AC187" s="558"/>
      <c r="AD187" s="83"/>
      <c r="AE187" s="83"/>
      <c r="AF187" s="83"/>
      <c r="AG187" s="1"/>
      <c r="AH187" s="1"/>
    </row>
    <row r="188" spans="1:34" ht="12.75" customHeight="1">
      <c r="A188" s="24"/>
      <c r="B188" s="108">
        <f t="shared" si="24"/>
        <v>185</v>
      </c>
      <c r="C188" s="6">
        <v>704600</v>
      </c>
      <c r="D188" s="6" t="s">
        <v>722</v>
      </c>
      <c r="E188" s="9" t="s">
        <v>32</v>
      </c>
      <c r="F188" s="6"/>
      <c r="G188" s="6"/>
      <c r="H188" s="11">
        <f>+STAT1!V188</f>
        <v>0</v>
      </c>
      <c r="I188" s="11">
        <f>+STAT1!W188</f>
        <v>0</v>
      </c>
      <c r="J188" s="11">
        <f>+SUMIFS(JURNAL!G:G,JURNAL!E:E,C188,JURNAL!C:C,"&gt;="&amp;$H$1,JURNAL!C:C,"&lt;="&amp;$I$1)</f>
        <v>0</v>
      </c>
      <c r="K188" s="11">
        <f>+SUMIFS(JURNAL!H:H,JURNAL!E:E,C188,JURNAL!C:C,"&gt;="&amp;$H$1,JURNAL!C:C,"&lt;="&amp;$I$1)</f>
        <v>0</v>
      </c>
      <c r="L188" s="26">
        <f t="shared" si="26"/>
        <v>0</v>
      </c>
      <c r="M188" s="27">
        <f t="shared" si="27"/>
        <v>0</v>
      </c>
      <c r="N188" s="11"/>
      <c r="O188" s="11"/>
      <c r="P188" s="11"/>
      <c r="Q188" s="11"/>
      <c r="R188" s="26">
        <f t="shared" si="28"/>
        <v>0</v>
      </c>
      <c r="S188" s="27">
        <f t="shared" si="29"/>
        <v>0</v>
      </c>
      <c r="T188" s="11">
        <f t="shared" si="30"/>
        <v>0</v>
      </c>
      <c r="U188" s="11">
        <f t="shared" si="31"/>
        <v>0</v>
      </c>
      <c r="V188" s="26">
        <f t="shared" si="32"/>
        <v>0</v>
      </c>
      <c r="W188" s="27">
        <f t="shared" si="33"/>
        <v>0</v>
      </c>
      <c r="X188" s="4">
        <v>7002</v>
      </c>
      <c r="Y188" s="4"/>
      <c r="Z188" s="4"/>
      <c r="AA188" s="12">
        <f t="shared" si="34"/>
        <v>0</v>
      </c>
      <c r="AC188" s="558"/>
      <c r="AD188" s="83"/>
      <c r="AE188" s="83"/>
      <c r="AF188" s="83"/>
      <c r="AG188" s="1"/>
      <c r="AH188" s="1"/>
    </row>
    <row r="189" spans="1:34" ht="12.75" customHeight="1">
      <c r="B189" s="108">
        <f t="shared" si="24"/>
        <v>186</v>
      </c>
      <c r="C189" s="6">
        <v>704700</v>
      </c>
      <c r="D189" s="6" t="s">
        <v>726</v>
      </c>
      <c r="E189" s="9" t="s">
        <v>32</v>
      </c>
      <c r="F189" s="6"/>
      <c r="G189" s="6"/>
      <c r="H189" s="11">
        <f>+STAT1!V189</f>
        <v>0</v>
      </c>
      <c r="I189" s="11">
        <f>+STAT1!W189</f>
        <v>0</v>
      </c>
      <c r="J189" s="11">
        <f>+SUMIFS(JURNAL!G:G,JURNAL!E:E,C189,JURNAL!C:C,"&gt;="&amp;$H$1,JURNAL!C:C,"&lt;="&amp;$I$1)</f>
        <v>0</v>
      </c>
      <c r="K189" s="11">
        <f>+SUMIFS(JURNAL!H:H,JURNAL!E:E,C189,JURNAL!C:C,"&gt;="&amp;$H$1,JURNAL!C:C,"&lt;="&amp;$I$1)</f>
        <v>0</v>
      </c>
      <c r="L189" s="26">
        <f t="shared" si="26"/>
        <v>0</v>
      </c>
      <c r="M189" s="27">
        <f t="shared" si="27"/>
        <v>0</v>
      </c>
      <c r="N189" s="11"/>
      <c r="O189" s="11"/>
      <c r="P189" s="11"/>
      <c r="Q189" s="11"/>
      <c r="R189" s="26">
        <f t="shared" si="28"/>
        <v>0</v>
      </c>
      <c r="S189" s="27">
        <f t="shared" si="29"/>
        <v>0</v>
      </c>
      <c r="T189" s="11">
        <f t="shared" si="30"/>
        <v>0</v>
      </c>
      <c r="U189" s="11">
        <f t="shared" si="31"/>
        <v>0</v>
      </c>
      <c r="V189" s="26">
        <f t="shared" si="32"/>
        <v>0</v>
      </c>
      <c r="W189" s="27">
        <f t="shared" si="33"/>
        <v>0</v>
      </c>
      <c r="X189" s="4">
        <v>7002</v>
      </c>
      <c r="Y189" s="4"/>
      <c r="Z189" s="4"/>
      <c r="AA189" s="12">
        <f t="shared" si="34"/>
        <v>0</v>
      </c>
      <c r="AC189" s="558"/>
      <c r="AD189" s="83"/>
      <c r="AE189" s="83"/>
      <c r="AF189" s="83"/>
      <c r="AG189" s="1"/>
      <c r="AH189" s="1"/>
    </row>
    <row r="190" spans="1:34" ht="12.75" customHeight="1">
      <c r="B190" s="108">
        <f t="shared" si="24"/>
        <v>187</v>
      </c>
      <c r="C190" s="6">
        <v>704800</v>
      </c>
      <c r="D190" s="6" t="s">
        <v>730</v>
      </c>
      <c r="E190" s="9" t="s">
        <v>32</v>
      </c>
      <c r="F190" s="6"/>
      <c r="G190" s="6"/>
      <c r="H190" s="11">
        <f>+STAT1!V190</f>
        <v>0</v>
      </c>
      <c r="I190" s="11">
        <f>+STAT1!W190</f>
        <v>0</v>
      </c>
      <c r="J190" s="11">
        <f>+SUMIFS(JURNAL!G:G,JURNAL!E:E,C190,JURNAL!C:C,"&gt;="&amp;$H$1,JURNAL!C:C,"&lt;="&amp;$I$1)</f>
        <v>0</v>
      </c>
      <c r="K190" s="11">
        <f>+SUMIFS(JURNAL!H:H,JURNAL!E:E,C190,JURNAL!C:C,"&gt;="&amp;$H$1,JURNAL!C:C,"&lt;="&amp;$I$1)</f>
        <v>0</v>
      </c>
      <c r="L190" s="26">
        <f t="shared" si="26"/>
        <v>0</v>
      </c>
      <c r="M190" s="27">
        <f t="shared" si="27"/>
        <v>0</v>
      </c>
      <c r="N190" s="11"/>
      <c r="O190" s="11"/>
      <c r="P190" s="11"/>
      <c r="Q190" s="11"/>
      <c r="R190" s="26">
        <f t="shared" si="28"/>
        <v>0</v>
      </c>
      <c r="S190" s="27">
        <f t="shared" si="29"/>
        <v>0</v>
      </c>
      <c r="T190" s="11">
        <f t="shared" si="30"/>
        <v>0</v>
      </c>
      <c r="U190" s="11">
        <f t="shared" si="31"/>
        <v>0</v>
      </c>
      <c r="V190" s="26">
        <f t="shared" si="32"/>
        <v>0</v>
      </c>
      <c r="W190" s="27">
        <f t="shared" si="33"/>
        <v>0</v>
      </c>
      <c r="X190" s="4">
        <v>7002</v>
      </c>
      <c r="Y190" s="4"/>
      <c r="Z190" s="4"/>
      <c r="AA190" s="12">
        <f t="shared" si="34"/>
        <v>0</v>
      </c>
      <c r="AC190" s="558"/>
      <c r="AD190" s="83"/>
      <c r="AE190" s="83"/>
      <c r="AF190" s="83"/>
      <c r="AG190" s="1"/>
      <c r="AH190" s="1"/>
    </row>
    <row r="191" spans="1:34" ht="12.75" customHeight="1">
      <c r="B191" s="108">
        <f t="shared" si="24"/>
        <v>188</v>
      </c>
      <c r="C191" s="6">
        <v>704900</v>
      </c>
      <c r="D191" s="6" t="s">
        <v>734</v>
      </c>
      <c r="E191" s="9" t="s">
        <v>32</v>
      </c>
      <c r="F191" s="6"/>
      <c r="G191" s="6"/>
      <c r="H191" s="11">
        <f>+STAT1!V191</f>
        <v>0</v>
      </c>
      <c r="I191" s="11">
        <f>+STAT1!W191</f>
        <v>0</v>
      </c>
      <c r="J191" s="11">
        <f>+SUMIFS(JURNAL!G:G,JURNAL!E:E,C191,JURNAL!C:C,"&gt;="&amp;$H$1,JURNAL!C:C,"&lt;="&amp;$I$1)</f>
        <v>39374.42</v>
      </c>
      <c r="K191" s="11">
        <f>+SUMIFS(JURNAL!H:H,JURNAL!E:E,C191,JURNAL!C:C,"&gt;="&amp;$H$1,JURNAL!C:C,"&lt;="&amp;$I$1)</f>
        <v>10030.5</v>
      </c>
      <c r="L191" s="26">
        <f t="shared" si="26"/>
        <v>29343.919999999998</v>
      </c>
      <c r="M191" s="27">
        <f t="shared" si="27"/>
        <v>0</v>
      </c>
      <c r="N191" s="11"/>
      <c r="O191" s="11"/>
      <c r="P191" s="11"/>
      <c r="Q191" s="11"/>
      <c r="R191" s="26">
        <f t="shared" si="28"/>
        <v>29343.919999999998</v>
      </c>
      <c r="S191" s="27">
        <f t="shared" si="29"/>
        <v>0</v>
      </c>
      <c r="T191" s="11">
        <f t="shared" si="30"/>
        <v>0</v>
      </c>
      <c r="U191" s="11">
        <f t="shared" si="31"/>
        <v>29343.919999999998</v>
      </c>
      <c r="V191" s="26">
        <f t="shared" si="32"/>
        <v>0</v>
      </c>
      <c r="W191" s="27">
        <f t="shared" si="33"/>
        <v>0</v>
      </c>
      <c r="X191" s="4">
        <v>7002</v>
      </c>
      <c r="Y191" s="4"/>
      <c r="Z191" s="4"/>
      <c r="AA191" s="12">
        <f t="shared" si="34"/>
        <v>1</v>
      </c>
      <c r="AC191" s="558"/>
      <c r="AD191" s="83"/>
      <c r="AE191" s="83"/>
      <c r="AF191" s="83"/>
      <c r="AG191" s="1"/>
      <c r="AH191" s="1"/>
    </row>
    <row r="192" spans="1:34" ht="12.75" customHeight="1">
      <c r="B192" s="108">
        <f t="shared" si="24"/>
        <v>189</v>
      </c>
      <c r="C192" s="6">
        <v>705000</v>
      </c>
      <c r="D192" s="6" t="s">
        <v>738</v>
      </c>
      <c r="E192" s="9" t="s">
        <v>32</v>
      </c>
      <c r="F192" s="6"/>
      <c r="G192" s="6"/>
      <c r="H192" s="11">
        <f>+STAT1!V192</f>
        <v>0</v>
      </c>
      <c r="I192" s="11">
        <f>+STAT1!W192</f>
        <v>0</v>
      </c>
      <c r="J192" s="11">
        <f>+SUMIFS(JURNAL!G:G,JURNAL!E:E,C192,JURNAL!C:C,"&gt;="&amp;$H$1,JURNAL!C:C,"&lt;="&amp;$I$1)</f>
        <v>0</v>
      </c>
      <c r="K192" s="11">
        <f>+SUMIFS(JURNAL!H:H,JURNAL!E:E,C192,JURNAL!C:C,"&gt;="&amp;$H$1,JURNAL!C:C,"&lt;="&amp;$I$1)</f>
        <v>0</v>
      </c>
      <c r="L192" s="26">
        <f t="shared" si="26"/>
        <v>0</v>
      </c>
      <c r="M192" s="27">
        <f t="shared" si="27"/>
        <v>0</v>
      </c>
      <c r="N192" s="11"/>
      <c r="O192" s="11"/>
      <c r="P192" s="11"/>
      <c r="Q192" s="11"/>
      <c r="R192" s="26">
        <f t="shared" si="28"/>
        <v>0</v>
      </c>
      <c r="S192" s="27">
        <f t="shared" si="29"/>
        <v>0</v>
      </c>
      <c r="T192" s="11">
        <f t="shared" si="30"/>
        <v>0</v>
      </c>
      <c r="U192" s="11">
        <f t="shared" si="31"/>
        <v>0</v>
      </c>
      <c r="V192" s="26">
        <f t="shared" si="32"/>
        <v>0</v>
      </c>
      <c r="W192" s="27">
        <f t="shared" si="33"/>
        <v>0</v>
      </c>
      <c r="X192" s="4">
        <v>7002</v>
      </c>
      <c r="Y192" s="4"/>
      <c r="Z192" s="4"/>
      <c r="AA192" s="12">
        <f t="shared" si="34"/>
        <v>0</v>
      </c>
      <c r="AC192" s="558"/>
      <c r="AD192" s="83"/>
      <c r="AE192" s="83"/>
      <c r="AF192" s="83"/>
      <c r="AG192" s="1"/>
      <c r="AH192" s="1"/>
    </row>
    <row r="193" spans="2:34" ht="12.75" customHeight="1">
      <c r="B193" s="108">
        <f t="shared" si="24"/>
        <v>190</v>
      </c>
      <c r="C193" s="6">
        <v>705800</v>
      </c>
      <c r="D193" s="6" t="s">
        <v>742</v>
      </c>
      <c r="E193" s="9" t="s">
        <v>32</v>
      </c>
      <c r="F193" s="6"/>
      <c r="G193" s="6"/>
      <c r="H193" s="11">
        <f>+STAT1!V193</f>
        <v>0</v>
      </c>
      <c r="I193" s="11">
        <f>+STAT1!W193</f>
        <v>0</v>
      </c>
      <c r="J193" s="11">
        <f>+SUMIFS(JURNAL!G:G,JURNAL!E:E,C193,JURNAL!C:C,"&gt;="&amp;$H$1,JURNAL!C:C,"&lt;="&amp;$I$1)</f>
        <v>4500000</v>
      </c>
      <c r="K193" s="11">
        <f>+SUMIFS(JURNAL!H:H,JURNAL!E:E,C193,JURNAL!C:C,"&gt;="&amp;$H$1,JURNAL!C:C,"&lt;="&amp;$I$1)</f>
        <v>0</v>
      </c>
      <c r="L193" s="26">
        <f t="shared" si="26"/>
        <v>4500000</v>
      </c>
      <c r="M193" s="27">
        <f t="shared" si="27"/>
        <v>0</v>
      </c>
      <c r="N193" s="11"/>
      <c r="O193" s="11"/>
      <c r="P193" s="11"/>
      <c r="Q193" s="11"/>
      <c r="R193" s="26">
        <f t="shared" si="28"/>
        <v>4500000</v>
      </c>
      <c r="S193" s="27">
        <f t="shared" si="29"/>
        <v>0</v>
      </c>
      <c r="T193" s="11">
        <f t="shared" si="30"/>
        <v>0</v>
      </c>
      <c r="U193" s="11">
        <f t="shared" si="31"/>
        <v>4500000</v>
      </c>
      <c r="V193" s="26">
        <f t="shared" si="32"/>
        <v>0</v>
      </c>
      <c r="W193" s="27">
        <f t="shared" si="33"/>
        <v>0</v>
      </c>
      <c r="X193" s="4">
        <v>7002</v>
      </c>
      <c r="Y193" s="4"/>
      <c r="Z193" s="4"/>
      <c r="AA193" s="12">
        <f t="shared" si="34"/>
        <v>1</v>
      </c>
      <c r="AC193" s="558"/>
      <c r="AD193" s="83"/>
      <c r="AE193" s="83"/>
      <c r="AF193" s="83"/>
      <c r="AG193" s="1"/>
      <c r="AH193" s="1"/>
    </row>
    <row r="194" spans="2:34" ht="12.75" customHeight="1">
      <c r="B194" s="108">
        <f t="shared" si="24"/>
        <v>191</v>
      </c>
      <c r="C194" s="6">
        <v>705900</v>
      </c>
      <c r="D194" s="6" t="s">
        <v>969</v>
      </c>
      <c r="E194" s="9" t="s">
        <v>32</v>
      </c>
      <c r="F194" s="6"/>
      <c r="G194" s="6"/>
      <c r="H194" s="11">
        <f>+STAT1!V194</f>
        <v>0</v>
      </c>
      <c r="I194" s="11">
        <f>+STAT1!W194</f>
        <v>0</v>
      </c>
      <c r="J194" s="11">
        <f>+SUMIFS(JURNAL!G:G,JURNAL!E:E,C194,JURNAL!C:C,"&gt;="&amp;$H$1,JURNAL!C:C,"&lt;="&amp;$I$1)</f>
        <v>0</v>
      </c>
      <c r="K194" s="11">
        <f>+SUMIFS(JURNAL!H:H,JURNAL!E:E,C194,JURNAL!C:C,"&gt;="&amp;$H$1,JURNAL!C:C,"&lt;="&amp;$I$1)</f>
        <v>0</v>
      </c>
      <c r="L194" s="26">
        <f t="shared" si="26"/>
        <v>0</v>
      </c>
      <c r="M194" s="27">
        <f t="shared" si="27"/>
        <v>0</v>
      </c>
      <c r="N194" s="11"/>
      <c r="O194" s="11"/>
      <c r="P194" s="11"/>
      <c r="Q194" s="11"/>
      <c r="R194" s="26">
        <f t="shared" si="28"/>
        <v>0</v>
      </c>
      <c r="S194" s="27">
        <f t="shared" si="29"/>
        <v>0</v>
      </c>
      <c r="T194" s="11">
        <f t="shared" si="30"/>
        <v>0</v>
      </c>
      <c r="U194" s="11">
        <f t="shared" si="31"/>
        <v>0</v>
      </c>
      <c r="V194" s="26">
        <f t="shared" si="32"/>
        <v>0</v>
      </c>
      <c r="W194" s="27">
        <f t="shared" si="33"/>
        <v>0</v>
      </c>
      <c r="X194" s="4">
        <v>7002</v>
      </c>
      <c r="Y194" s="4"/>
      <c r="Z194" s="4"/>
      <c r="AA194" s="12">
        <f t="shared" si="34"/>
        <v>0</v>
      </c>
      <c r="AC194" s="558"/>
      <c r="AD194" s="83"/>
      <c r="AE194" s="83"/>
      <c r="AF194" s="83"/>
      <c r="AG194" s="1"/>
      <c r="AH194" s="1"/>
    </row>
    <row r="195" spans="2:34" ht="12.75" customHeight="1">
      <c r="B195" s="108">
        <f t="shared" si="24"/>
        <v>192</v>
      </c>
      <c r="C195" s="6">
        <v>706000</v>
      </c>
      <c r="D195" s="6" t="s">
        <v>750</v>
      </c>
      <c r="E195" s="9" t="s">
        <v>32</v>
      </c>
      <c r="F195" s="6"/>
      <c r="G195" s="6"/>
      <c r="H195" s="11">
        <f>+STAT1!V195</f>
        <v>0</v>
      </c>
      <c r="I195" s="11">
        <f>+STAT1!W195</f>
        <v>0</v>
      </c>
      <c r="J195" s="11">
        <f>+SUMIFS(JURNAL!G:G,JURNAL!E:E,C195,JURNAL!C:C,"&gt;="&amp;$H$1,JURNAL!C:C,"&lt;="&amp;$I$1)</f>
        <v>85004.31</v>
      </c>
      <c r="K195" s="11">
        <f>+SUMIFS(JURNAL!H:H,JURNAL!E:E,C195,JURNAL!C:C,"&gt;="&amp;$H$1,JURNAL!C:C,"&lt;="&amp;$I$1)</f>
        <v>0</v>
      </c>
      <c r="L195" s="26">
        <f t="shared" si="26"/>
        <v>85004.31</v>
      </c>
      <c r="M195" s="27">
        <f t="shared" si="27"/>
        <v>0</v>
      </c>
      <c r="N195" s="11"/>
      <c r="O195" s="11"/>
      <c r="P195" s="11"/>
      <c r="Q195" s="11"/>
      <c r="R195" s="26">
        <f t="shared" si="28"/>
        <v>85004.31</v>
      </c>
      <c r="S195" s="27">
        <f t="shared" si="29"/>
        <v>0</v>
      </c>
      <c r="T195" s="11">
        <f t="shared" si="30"/>
        <v>0</v>
      </c>
      <c r="U195" s="11">
        <f t="shared" si="31"/>
        <v>85004.31</v>
      </c>
      <c r="V195" s="26">
        <f t="shared" si="32"/>
        <v>0</v>
      </c>
      <c r="W195" s="27">
        <f t="shared" si="33"/>
        <v>0</v>
      </c>
      <c r="X195" s="4">
        <v>7002</v>
      </c>
      <c r="Y195" s="4"/>
      <c r="Z195" s="4"/>
      <c r="AA195" s="12">
        <f t="shared" si="34"/>
        <v>1</v>
      </c>
      <c r="AC195" s="558"/>
      <c r="AD195" s="83"/>
      <c r="AE195" s="83"/>
      <c r="AF195" s="83"/>
      <c r="AG195" s="1"/>
      <c r="AH195" s="1"/>
    </row>
    <row r="196" spans="2:34" ht="12.75" customHeight="1">
      <c r="B196" s="108">
        <f t="shared" si="24"/>
        <v>193</v>
      </c>
      <c r="C196" s="6">
        <v>840000</v>
      </c>
      <c r="D196" s="6" t="s">
        <v>816</v>
      </c>
      <c r="E196" s="9" t="s">
        <v>32</v>
      </c>
      <c r="F196" s="6"/>
      <c r="G196" s="6"/>
      <c r="H196" s="11">
        <f>+STAT1!V196</f>
        <v>0</v>
      </c>
      <c r="I196" s="11">
        <f>+STAT1!W196</f>
        <v>0</v>
      </c>
      <c r="J196" s="11">
        <f>+SUMIFS(JURNAL!G:G,JURNAL!E:E,C196,JURNAL!C:C,"&gt;="&amp;$H$1,JURNAL!C:C,"&lt;="&amp;$I$1)</f>
        <v>0</v>
      </c>
      <c r="K196" s="11">
        <f>+SUMIFS(JURNAL!H:H,JURNAL!E:E,C196,JURNAL!C:C,"&gt;="&amp;$H$1,JURNAL!C:C,"&lt;="&amp;$I$1)</f>
        <v>0</v>
      </c>
      <c r="L196" s="26">
        <f t="shared" si="26"/>
        <v>0</v>
      </c>
      <c r="M196" s="27">
        <f t="shared" si="27"/>
        <v>0</v>
      </c>
      <c r="N196" s="11"/>
      <c r="O196" s="11"/>
      <c r="P196" s="11"/>
      <c r="Q196" s="11"/>
      <c r="R196" s="26">
        <f t="shared" si="28"/>
        <v>0</v>
      </c>
      <c r="S196" s="27">
        <f t="shared" si="29"/>
        <v>0</v>
      </c>
      <c r="T196" s="11">
        <f t="shared" si="30"/>
        <v>0</v>
      </c>
      <c r="U196" s="11">
        <f t="shared" si="31"/>
        <v>0</v>
      </c>
      <c r="V196" s="26">
        <f t="shared" si="32"/>
        <v>0</v>
      </c>
      <c r="W196" s="27">
        <f t="shared" si="33"/>
        <v>0</v>
      </c>
      <c r="X196" s="4">
        <v>8400</v>
      </c>
      <c r="Y196" s="4"/>
      <c r="Z196" s="4"/>
      <c r="AA196" s="12">
        <f t="shared" si="34"/>
        <v>0</v>
      </c>
      <c r="AC196" s="558"/>
      <c r="AD196" s="83"/>
      <c r="AE196" s="83"/>
      <c r="AF196" s="83"/>
      <c r="AG196" s="1"/>
      <c r="AH196" s="1"/>
    </row>
    <row r="197" spans="2:34" ht="12.75" customHeight="1">
      <c r="B197" s="108">
        <f t="shared" si="24"/>
        <v>194</v>
      </c>
      <c r="C197" s="6">
        <v>840100</v>
      </c>
      <c r="D197" s="6" t="s">
        <v>819</v>
      </c>
      <c r="E197" s="9" t="s">
        <v>32</v>
      </c>
      <c r="F197" s="6"/>
      <c r="G197" s="6"/>
      <c r="H197" s="11">
        <f>+STAT1!V197</f>
        <v>0</v>
      </c>
      <c r="I197" s="11">
        <f>+STAT1!W197</f>
        <v>0</v>
      </c>
      <c r="J197" s="11">
        <f>+SUMIFS(JURNAL!G:G,JURNAL!E:E,C197,JURNAL!C:C,"&gt;="&amp;$H$1,JURNAL!C:C,"&lt;="&amp;$I$1)</f>
        <v>0</v>
      </c>
      <c r="K197" s="11">
        <f>+SUMIFS(JURNAL!H:H,JURNAL!E:E,C197,JURNAL!C:C,"&gt;="&amp;$H$1,JURNAL!C:C,"&lt;="&amp;$I$1)</f>
        <v>0</v>
      </c>
      <c r="L197" s="26">
        <f t="shared" si="26"/>
        <v>0</v>
      </c>
      <c r="M197" s="27">
        <f t="shared" si="27"/>
        <v>0</v>
      </c>
      <c r="N197" s="11"/>
      <c r="O197" s="11"/>
      <c r="P197" s="11"/>
      <c r="Q197" s="11"/>
      <c r="R197" s="26">
        <f t="shared" si="28"/>
        <v>0</v>
      </c>
      <c r="S197" s="27">
        <f t="shared" si="29"/>
        <v>0</v>
      </c>
      <c r="T197" s="11">
        <f t="shared" si="30"/>
        <v>0</v>
      </c>
      <c r="U197" s="11">
        <f t="shared" si="31"/>
        <v>0</v>
      </c>
      <c r="V197" s="26">
        <f t="shared" si="32"/>
        <v>0</v>
      </c>
      <c r="W197" s="27">
        <f t="shared" si="33"/>
        <v>0</v>
      </c>
      <c r="X197" s="4">
        <v>8401</v>
      </c>
      <c r="Y197" s="4"/>
      <c r="Z197" s="4"/>
      <c r="AA197" s="12">
        <f t="shared" si="34"/>
        <v>0</v>
      </c>
      <c r="AC197" s="558"/>
      <c r="AD197" s="83"/>
      <c r="AE197" s="83"/>
      <c r="AF197" s="83"/>
      <c r="AG197" s="1"/>
      <c r="AH197" s="1"/>
    </row>
    <row r="198" spans="2:34" ht="12.75" customHeight="1">
      <c r="B198" s="108">
        <f t="shared" ref="B198:B215" si="35">+B197+1</f>
        <v>195</v>
      </c>
      <c r="C198" s="6">
        <v>840200</v>
      </c>
      <c r="D198" s="6" t="s">
        <v>822</v>
      </c>
      <c r="E198" s="9" t="s">
        <v>32</v>
      </c>
      <c r="F198" s="6"/>
      <c r="G198" s="6"/>
      <c r="H198" s="11">
        <f>+STAT1!V198</f>
        <v>0</v>
      </c>
      <c r="I198" s="11">
        <f>+STAT1!W198</f>
        <v>0</v>
      </c>
      <c r="J198" s="11">
        <f>+SUMIFS(JURNAL!G:G,JURNAL!E:E,C198,JURNAL!C:C,"&gt;="&amp;$H$1,JURNAL!C:C,"&lt;="&amp;$I$1)</f>
        <v>0</v>
      </c>
      <c r="K198" s="11">
        <f>+SUMIFS(JURNAL!H:H,JURNAL!E:E,C198,JURNAL!C:C,"&gt;="&amp;$H$1,JURNAL!C:C,"&lt;="&amp;$I$1)</f>
        <v>0</v>
      </c>
      <c r="L198" s="26">
        <f t="shared" si="26"/>
        <v>0</v>
      </c>
      <c r="M198" s="27">
        <f t="shared" si="27"/>
        <v>0</v>
      </c>
      <c r="N198" s="11"/>
      <c r="O198" s="11">
        <v>21653.212</v>
      </c>
      <c r="P198" s="11"/>
      <c r="Q198" s="11"/>
      <c r="R198" s="26">
        <f t="shared" si="28"/>
        <v>0</v>
      </c>
      <c r="S198" s="27">
        <f t="shared" si="29"/>
        <v>21653.212</v>
      </c>
      <c r="T198" s="11">
        <f t="shared" si="30"/>
        <v>21653.212</v>
      </c>
      <c r="U198" s="11">
        <f t="shared" si="31"/>
        <v>0</v>
      </c>
      <c r="V198" s="26">
        <f t="shared" si="32"/>
        <v>0</v>
      </c>
      <c r="W198" s="27">
        <f t="shared" si="33"/>
        <v>0</v>
      </c>
      <c r="X198" s="4">
        <v>8401</v>
      </c>
      <c r="Y198" s="4"/>
      <c r="Z198" s="4"/>
      <c r="AA198" s="12">
        <f t="shared" si="34"/>
        <v>1</v>
      </c>
      <c r="AC198" s="558"/>
      <c r="AD198" s="83"/>
      <c r="AE198" s="83"/>
      <c r="AF198" s="83"/>
      <c r="AG198" s="1"/>
      <c r="AH198" s="1"/>
    </row>
    <row r="199" spans="2:34" ht="12.75" customHeight="1">
      <c r="B199" s="108">
        <f t="shared" si="35"/>
        <v>196</v>
      </c>
      <c r="C199" s="6">
        <v>840400</v>
      </c>
      <c r="D199" s="6" t="s">
        <v>825</v>
      </c>
      <c r="E199" s="9" t="s">
        <v>32</v>
      </c>
      <c r="F199" s="6"/>
      <c r="G199" s="6"/>
      <c r="H199" s="11">
        <f>+STAT1!V199</f>
        <v>0</v>
      </c>
      <c r="I199" s="11">
        <f>+STAT1!W199</f>
        <v>0</v>
      </c>
      <c r="J199" s="11">
        <f>+SUMIFS(JURNAL!G:G,JURNAL!E:E,C199,JURNAL!C:C,"&gt;="&amp;$H$1,JURNAL!C:C,"&lt;="&amp;$I$1)</f>
        <v>0</v>
      </c>
      <c r="K199" s="11">
        <f>+SUMIFS(JURNAL!H:H,JURNAL!E:E,C199,JURNAL!C:C,"&gt;="&amp;$H$1,JURNAL!C:C,"&lt;="&amp;$I$1)</f>
        <v>0</v>
      </c>
      <c r="L199" s="26">
        <f t="shared" si="26"/>
        <v>0</v>
      </c>
      <c r="M199" s="27">
        <f t="shared" si="27"/>
        <v>0</v>
      </c>
      <c r="N199" s="11"/>
      <c r="O199" s="11"/>
      <c r="P199" s="11"/>
      <c r="Q199" s="11"/>
      <c r="R199" s="26">
        <f t="shared" si="28"/>
        <v>0</v>
      </c>
      <c r="S199" s="27">
        <f t="shared" si="29"/>
        <v>0</v>
      </c>
      <c r="T199" s="11">
        <f t="shared" si="30"/>
        <v>0</v>
      </c>
      <c r="U199" s="11">
        <f t="shared" si="31"/>
        <v>0</v>
      </c>
      <c r="V199" s="26">
        <f t="shared" si="32"/>
        <v>0</v>
      </c>
      <c r="W199" s="27">
        <f t="shared" si="33"/>
        <v>0</v>
      </c>
      <c r="X199" s="4">
        <v>5112</v>
      </c>
      <c r="Y199" s="4"/>
      <c r="Z199" s="4"/>
      <c r="AA199" s="12">
        <f t="shared" si="34"/>
        <v>0</v>
      </c>
      <c r="AC199" s="558"/>
      <c r="AD199" s="83"/>
      <c r="AE199" s="83"/>
      <c r="AF199" s="83"/>
      <c r="AG199" s="1"/>
      <c r="AH199" s="1"/>
    </row>
    <row r="200" spans="2:34" ht="12.75" customHeight="1">
      <c r="B200" s="108">
        <f t="shared" si="35"/>
        <v>197</v>
      </c>
      <c r="C200" s="6">
        <v>840500</v>
      </c>
      <c r="D200" s="6" t="s">
        <v>828</v>
      </c>
      <c r="E200" s="9" t="s">
        <v>32</v>
      </c>
      <c r="F200" s="6"/>
      <c r="G200" s="6"/>
      <c r="H200" s="11">
        <f>+STAT1!V200</f>
        <v>0</v>
      </c>
      <c r="I200" s="11">
        <f>+STAT1!W200</f>
        <v>0</v>
      </c>
      <c r="J200" s="11">
        <f>+SUMIFS(JURNAL!G:G,JURNAL!E:E,C200,JURNAL!C:C,"&gt;="&amp;$H$1,JURNAL!C:C,"&lt;="&amp;$I$1)</f>
        <v>0</v>
      </c>
      <c r="K200" s="11">
        <f>+SUMIFS(JURNAL!H:H,JURNAL!E:E,C200,JURNAL!C:C,"&gt;="&amp;$H$1,JURNAL!C:C,"&lt;="&amp;$I$1)</f>
        <v>0</v>
      </c>
      <c r="L200" s="26">
        <f t="shared" si="26"/>
        <v>0</v>
      </c>
      <c r="M200" s="27">
        <f t="shared" si="27"/>
        <v>0</v>
      </c>
      <c r="N200" s="11"/>
      <c r="O200" s="11"/>
      <c r="P200" s="11"/>
      <c r="Q200" s="11"/>
      <c r="R200" s="26">
        <f t="shared" si="28"/>
        <v>0</v>
      </c>
      <c r="S200" s="27">
        <f t="shared" si="29"/>
        <v>0</v>
      </c>
      <c r="T200" s="11">
        <f t="shared" si="30"/>
        <v>0</v>
      </c>
      <c r="U200" s="11">
        <f t="shared" si="31"/>
        <v>0</v>
      </c>
      <c r="V200" s="26">
        <f t="shared" si="32"/>
        <v>0</v>
      </c>
      <c r="W200" s="27">
        <f t="shared" si="33"/>
        <v>0</v>
      </c>
      <c r="X200" s="4">
        <v>8405</v>
      </c>
      <c r="Y200" s="4"/>
      <c r="Z200" s="4"/>
      <c r="AA200" s="12">
        <f t="shared" si="34"/>
        <v>0</v>
      </c>
      <c r="AC200" s="558"/>
      <c r="AD200" s="83"/>
      <c r="AE200" s="83"/>
      <c r="AF200" s="83"/>
      <c r="AG200" s="1"/>
      <c r="AH200" s="1"/>
    </row>
    <row r="201" spans="2:34" ht="12.75" customHeight="1">
      <c r="B201" s="108">
        <f t="shared" si="35"/>
        <v>198</v>
      </c>
      <c r="C201" s="6">
        <v>840800</v>
      </c>
      <c r="D201" s="6" t="s">
        <v>834</v>
      </c>
      <c r="E201" s="9" t="s">
        <v>32</v>
      </c>
      <c r="F201" s="6"/>
      <c r="G201" s="6"/>
      <c r="H201" s="11">
        <f>+STAT1!V201</f>
        <v>0</v>
      </c>
      <c r="I201" s="11">
        <f>+STAT1!W201</f>
        <v>0</v>
      </c>
      <c r="J201" s="11">
        <f>+SUMIFS(JURNAL!G:G,JURNAL!E:E,C201,JURNAL!C:C,"&gt;="&amp;$H$1,JURNAL!C:C,"&lt;="&amp;$I$1)</f>
        <v>0</v>
      </c>
      <c r="K201" s="11">
        <f>+SUMIFS(JURNAL!H:H,JURNAL!E:E,C201,JURNAL!C:C,"&gt;="&amp;$H$1,JURNAL!C:C,"&lt;="&amp;$I$1)</f>
        <v>0</v>
      </c>
      <c r="L201" s="26">
        <f t="shared" si="26"/>
        <v>0</v>
      </c>
      <c r="M201" s="27">
        <f t="shared" si="27"/>
        <v>0</v>
      </c>
      <c r="N201" s="11"/>
      <c r="O201" s="11"/>
      <c r="P201" s="11"/>
      <c r="Q201" s="11"/>
      <c r="R201" s="26">
        <f t="shared" si="28"/>
        <v>0</v>
      </c>
      <c r="S201" s="27">
        <f t="shared" si="29"/>
        <v>0</v>
      </c>
      <c r="T201" s="11">
        <f t="shared" si="30"/>
        <v>0</v>
      </c>
      <c r="U201" s="11">
        <f t="shared" si="31"/>
        <v>0</v>
      </c>
      <c r="V201" s="26">
        <f t="shared" si="32"/>
        <v>0</v>
      </c>
      <c r="W201" s="27">
        <f t="shared" si="33"/>
        <v>0</v>
      </c>
      <c r="X201" s="4">
        <v>8400</v>
      </c>
      <c r="Y201" s="4"/>
      <c r="Z201" s="4"/>
      <c r="AA201" s="12">
        <f t="shared" si="34"/>
        <v>0</v>
      </c>
      <c r="AC201" s="558"/>
      <c r="AD201" s="83"/>
      <c r="AE201" s="83"/>
      <c r="AF201" s="83"/>
      <c r="AG201" s="1"/>
      <c r="AH201" s="1"/>
    </row>
    <row r="202" spans="2:34" ht="12.75" customHeight="1">
      <c r="B202" s="108">
        <f t="shared" si="35"/>
        <v>199</v>
      </c>
      <c r="C202" s="6">
        <v>840900</v>
      </c>
      <c r="D202" s="6" t="s">
        <v>836</v>
      </c>
      <c r="E202" s="9" t="s">
        <v>32</v>
      </c>
      <c r="F202" s="6"/>
      <c r="G202" s="6"/>
      <c r="H202" s="11">
        <f>+STAT1!V202</f>
        <v>0</v>
      </c>
      <c r="I202" s="11">
        <f>+STAT1!W202</f>
        <v>0</v>
      </c>
      <c r="J202" s="11">
        <f>+SUMIFS(JURNAL!G:G,JURNAL!E:E,C202,JURNAL!C:C,"&gt;="&amp;$H$1,JURNAL!C:C,"&lt;="&amp;$I$1)</f>
        <v>0</v>
      </c>
      <c r="K202" s="11">
        <f>+SUMIFS(JURNAL!H:H,JURNAL!E:E,C202,JURNAL!C:C,"&gt;="&amp;$H$1,JURNAL!C:C,"&lt;="&amp;$I$1)</f>
        <v>0</v>
      </c>
      <c r="L202" s="26">
        <f t="shared" si="26"/>
        <v>0</v>
      </c>
      <c r="M202" s="27">
        <f t="shared" si="27"/>
        <v>0</v>
      </c>
      <c r="N202" s="11"/>
      <c r="O202" s="11"/>
      <c r="P202" s="11"/>
      <c r="Q202" s="11"/>
      <c r="R202" s="26">
        <f t="shared" si="28"/>
        <v>0</v>
      </c>
      <c r="S202" s="27">
        <f t="shared" si="29"/>
        <v>0</v>
      </c>
      <c r="T202" s="11">
        <f t="shared" si="30"/>
        <v>0</v>
      </c>
      <c r="U202" s="11">
        <f t="shared" si="31"/>
        <v>0</v>
      </c>
      <c r="V202" s="26">
        <f t="shared" si="32"/>
        <v>0</v>
      </c>
      <c r="W202" s="27">
        <f t="shared" si="33"/>
        <v>0</v>
      </c>
      <c r="X202" s="4">
        <v>8409</v>
      </c>
      <c r="Y202" s="4"/>
      <c r="Z202" s="4"/>
      <c r="AA202" s="12">
        <f t="shared" si="34"/>
        <v>0</v>
      </c>
      <c r="AC202" s="558"/>
      <c r="AD202" s="83"/>
      <c r="AE202" s="83"/>
      <c r="AF202" s="83"/>
      <c r="AG202" s="1"/>
      <c r="AH202" s="1"/>
    </row>
    <row r="203" spans="2:34" ht="12.75" customHeight="1">
      <c r="B203" s="108">
        <f t="shared" si="35"/>
        <v>200</v>
      </c>
      <c r="C203" s="6">
        <v>870000</v>
      </c>
      <c r="D203" s="6" t="s">
        <v>840</v>
      </c>
      <c r="E203" s="9" t="s">
        <v>32</v>
      </c>
      <c r="F203" s="6"/>
      <c r="G203" s="6"/>
      <c r="H203" s="11">
        <f>+STAT1!V203</f>
        <v>0</v>
      </c>
      <c r="I203" s="11">
        <f>+STAT1!W203</f>
        <v>0</v>
      </c>
      <c r="J203" s="11">
        <f>+SUMIFS(JURNAL!G:G,JURNAL!E:E,C203,JURNAL!C:C,"&gt;="&amp;$H$1,JURNAL!C:C,"&lt;="&amp;$I$1)</f>
        <v>0</v>
      </c>
      <c r="K203" s="11">
        <f>+SUMIFS(JURNAL!H:H,JURNAL!E:E,C203,JURNAL!C:C,"&gt;="&amp;$H$1,JURNAL!C:C,"&lt;="&amp;$I$1)</f>
        <v>0</v>
      </c>
      <c r="L203" s="26">
        <f t="shared" si="26"/>
        <v>0</v>
      </c>
      <c r="M203" s="27">
        <f t="shared" si="27"/>
        <v>0</v>
      </c>
      <c r="N203" s="11"/>
      <c r="O203" s="11"/>
      <c r="P203" s="11"/>
      <c r="Q203" s="11"/>
      <c r="R203" s="26">
        <f t="shared" si="28"/>
        <v>0</v>
      </c>
      <c r="S203" s="27">
        <f t="shared" si="29"/>
        <v>0</v>
      </c>
      <c r="T203" s="11">
        <f t="shared" si="30"/>
        <v>0</v>
      </c>
      <c r="U203" s="11">
        <f t="shared" si="31"/>
        <v>0</v>
      </c>
      <c r="V203" s="26">
        <f t="shared" si="32"/>
        <v>0</v>
      </c>
      <c r="W203" s="27">
        <f t="shared" si="33"/>
        <v>0</v>
      </c>
      <c r="X203" s="4">
        <v>8400</v>
      </c>
      <c r="Y203" s="4"/>
      <c r="Z203" s="4"/>
      <c r="AA203" s="12">
        <f t="shared" si="34"/>
        <v>0</v>
      </c>
      <c r="AC203" s="558"/>
      <c r="AD203" s="83"/>
      <c r="AE203" s="83"/>
      <c r="AF203" s="83"/>
      <c r="AG203" s="1"/>
      <c r="AH203" s="1"/>
    </row>
    <row r="204" spans="2:34" ht="12.75" customHeight="1">
      <c r="B204" s="108">
        <f t="shared" si="35"/>
        <v>201</v>
      </c>
      <c r="C204" s="6">
        <v>870100</v>
      </c>
      <c r="D204" s="6" t="s">
        <v>843</v>
      </c>
      <c r="E204" s="9" t="s">
        <v>32</v>
      </c>
      <c r="F204" s="6"/>
      <c r="G204" s="6"/>
      <c r="H204" s="11">
        <f>+STAT1!V204</f>
        <v>0</v>
      </c>
      <c r="I204" s="11">
        <f>+STAT1!W204</f>
        <v>0</v>
      </c>
      <c r="J204" s="11">
        <f>+SUMIFS(JURNAL!G:G,JURNAL!E:E,C204,JURNAL!C:C,"&gt;="&amp;$H$1,JURNAL!C:C,"&lt;="&amp;$I$1)</f>
        <v>0</v>
      </c>
      <c r="K204" s="11">
        <f>+SUMIFS(JURNAL!H:H,JURNAL!E:E,C204,JURNAL!C:C,"&gt;="&amp;$H$1,JURNAL!C:C,"&lt;="&amp;$I$1)</f>
        <v>0</v>
      </c>
      <c r="L204" s="26">
        <f t="shared" ref="L204:L215" si="36">+IF((H204+J204)&gt;(I204+K204),(H204+J204)-(I204+K204),0)</f>
        <v>0</v>
      </c>
      <c r="M204" s="27">
        <f t="shared" ref="M204:M215" si="37">+IF((H204+J204)&lt;(I204+K204),(I204+K204)-(H204+J204),0)</f>
        <v>0</v>
      </c>
      <c r="N204" s="11"/>
      <c r="O204" s="11"/>
      <c r="P204" s="11"/>
      <c r="Q204" s="11"/>
      <c r="R204" s="26">
        <f t="shared" ref="R204:R215" si="38">+IF((L204+N204)&gt;(M204+O204),(L204+N204)-(M204+O204),0)</f>
        <v>0</v>
      </c>
      <c r="S204" s="27">
        <f t="shared" ref="S204:S215" si="39">+IF((L204+N204)&lt;(M204+O204),(M204+O204)-(L204+N204),0)</f>
        <v>0</v>
      </c>
      <c r="T204" s="11">
        <f t="shared" ref="T204:T214" si="40">+S204</f>
        <v>0</v>
      </c>
      <c r="U204" s="11">
        <f t="shared" ref="U204:U214" si="41">+R204</f>
        <v>0</v>
      </c>
      <c r="V204" s="26">
        <f t="shared" ref="V204:V215" si="42">+IF((R204+T204)&gt;(S204+U204),(R204+T204)-(S204+U204),0)</f>
        <v>0</v>
      </c>
      <c r="W204" s="27">
        <f t="shared" ref="W204:W215" si="43">+IF((R204+T204)&lt;(S204+U204),(S204+U204)-(R204+T204),0)</f>
        <v>0</v>
      </c>
      <c r="X204" s="4">
        <v>8401</v>
      </c>
      <c r="Y204" s="4"/>
      <c r="Z204" s="4"/>
      <c r="AA204" s="12">
        <f t="shared" ref="AA204:AA214" si="44">+IF(H204+I204+J204+K204+L204+M204+N204+O204+R204+S204+T204+U204+V204+W204,1,0)</f>
        <v>0</v>
      </c>
      <c r="AC204" s="558"/>
      <c r="AD204" s="83"/>
      <c r="AE204" s="83"/>
      <c r="AF204" s="83"/>
      <c r="AG204" s="1"/>
      <c r="AH204" s="1"/>
    </row>
    <row r="205" spans="2:34" ht="12.75" customHeight="1">
      <c r="B205" s="108">
        <f t="shared" si="35"/>
        <v>202</v>
      </c>
      <c r="C205" s="6">
        <v>870200</v>
      </c>
      <c r="D205" s="6" t="s">
        <v>846</v>
      </c>
      <c r="E205" s="9" t="s">
        <v>32</v>
      </c>
      <c r="F205" s="6"/>
      <c r="G205" s="6"/>
      <c r="H205" s="11">
        <f>+STAT1!V205</f>
        <v>0</v>
      </c>
      <c r="I205" s="11">
        <f>+STAT1!W205</f>
        <v>0</v>
      </c>
      <c r="J205" s="11">
        <f>+SUMIFS(JURNAL!G:G,JURNAL!E:E,C205,JURNAL!C:C,"&gt;="&amp;$H$1,JURNAL!C:C,"&lt;="&amp;$I$1)</f>
        <v>0</v>
      </c>
      <c r="K205" s="11">
        <f>+SUMIFS(JURNAL!H:H,JURNAL!E:E,C205,JURNAL!C:C,"&gt;="&amp;$H$1,JURNAL!C:C,"&lt;="&amp;$I$1)</f>
        <v>0</v>
      </c>
      <c r="L205" s="26">
        <f t="shared" si="36"/>
        <v>0</v>
      </c>
      <c r="M205" s="27">
        <f t="shared" si="37"/>
        <v>0</v>
      </c>
      <c r="N205" s="11">
        <v>5886.3</v>
      </c>
      <c r="O205" s="11"/>
      <c r="P205" s="11"/>
      <c r="Q205" s="11"/>
      <c r="R205" s="26">
        <f t="shared" si="38"/>
        <v>5886.3</v>
      </c>
      <c r="S205" s="27">
        <f t="shared" si="39"/>
        <v>0</v>
      </c>
      <c r="T205" s="11">
        <f t="shared" si="40"/>
        <v>0</v>
      </c>
      <c r="U205" s="11">
        <f t="shared" si="41"/>
        <v>5886.3</v>
      </c>
      <c r="V205" s="26">
        <f t="shared" si="42"/>
        <v>0</v>
      </c>
      <c r="W205" s="27">
        <f t="shared" si="43"/>
        <v>0</v>
      </c>
      <c r="X205" s="4">
        <v>8401</v>
      </c>
      <c r="Y205" s="4"/>
      <c r="Z205" s="4"/>
      <c r="AA205" s="12">
        <f t="shared" si="44"/>
        <v>1</v>
      </c>
      <c r="AC205" s="558"/>
      <c r="AD205" s="83"/>
      <c r="AE205" s="83"/>
      <c r="AF205" s="83"/>
      <c r="AG205" s="1"/>
      <c r="AH205" s="1"/>
    </row>
    <row r="206" spans="2:34" ht="12.75" customHeight="1">
      <c r="B206" s="108">
        <f t="shared" si="35"/>
        <v>203</v>
      </c>
      <c r="C206" s="6">
        <v>870300</v>
      </c>
      <c r="D206" s="6" t="s">
        <v>276</v>
      </c>
      <c r="E206" s="9" t="s">
        <v>32</v>
      </c>
      <c r="F206" s="6"/>
      <c r="G206" s="6"/>
      <c r="H206" s="11">
        <f>+STAT1!V206</f>
        <v>0</v>
      </c>
      <c r="I206" s="11">
        <f>+STAT1!W206</f>
        <v>0</v>
      </c>
      <c r="J206" s="11">
        <f>+SUMIFS(JURNAL!G:G,JURNAL!E:E,C206,JURNAL!C:C,"&gt;="&amp;$H$1,JURNAL!C:C,"&lt;="&amp;$I$1)</f>
        <v>0</v>
      </c>
      <c r="K206" s="11">
        <f>+SUMIFS(JURNAL!H:H,JURNAL!E:E,C206,JURNAL!C:C,"&gt;="&amp;$H$1,JURNAL!C:C,"&lt;="&amp;$I$1)</f>
        <v>0</v>
      </c>
      <c r="L206" s="26">
        <f t="shared" si="36"/>
        <v>0</v>
      </c>
      <c r="M206" s="27">
        <f t="shared" si="37"/>
        <v>0</v>
      </c>
      <c r="N206" s="11"/>
      <c r="O206" s="11"/>
      <c r="P206" s="11"/>
      <c r="Q206" s="11"/>
      <c r="R206" s="26">
        <f t="shared" si="38"/>
        <v>0</v>
      </c>
      <c r="S206" s="27">
        <f t="shared" si="39"/>
        <v>0</v>
      </c>
      <c r="T206" s="11">
        <f t="shared" si="40"/>
        <v>0</v>
      </c>
      <c r="U206" s="11">
        <f t="shared" si="41"/>
        <v>0</v>
      </c>
      <c r="V206" s="26">
        <f t="shared" si="42"/>
        <v>0</v>
      </c>
      <c r="W206" s="27">
        <f t="shared" si="43"/>
        <v>0</v>
      </c>
      <c r="X206" s="4">
        <v>7201</v>
      </c>
      <c r="Y206" s="4"/>
      <c r="Z206" s="4"/>
      <c r="AA206" s="12">
        <f t="shared" si="44"/>
        <v>0</v>
      </c>
      <c r="AC206" s="558"/>
      <c r="AD206" s="83"/>
      <c r="AE206" s="83"/>
      <c r="AF206" s="83"/>
      <c r="AG206" s="1"/>
      <c r="AH206" s="1"/>
    </row>
    <row r="207" spans="2:34" ht="12.75" customHeight="1">
      <c r="B207" s="108">
        <f t="shared" si="35"/>
        <v>204</v>
      </c>
      <c r="C207" s="6">
        <v>870400</v>
      </c>
      <c r="D207" s="6" t="s">
        <v>851</v>
      </c>
      <c r="E207" s="9" t="s">
        <v>32</v>
      </c>
      <c r="F207" s="6"/>
      <c r="G207" s="6"/>
      <c r="H207" s="11">
        <f>+STAT1!V207</f>
        <v>0</v>
      </c>
      <c r="I207" s="11">
        <f>+STAT1!W207</f>
        <v>0</v>
      </c>
      <c r="J207" s="11">
        <f>+SUMIFS(JURNAL!G:G,JURNAL!E:E,C207,JURNAL!C:C,"&gt;="&amp;$H$1,JURNAL!C:C,"&lt;="&amp;$I$1)</f>
        <v>0</v>
      </c>
      <c r="K207" s="11">
        <f>+SUMIFS(JURNAL!H:H,JURNAL!E:E,C207,JURNAL!C:C,"&gt;="&amp;$H$1,JURNAL!C:C,"&lt;="&amp;$I$1)</f>
        <v>0</v>
      </c>
      <c r="L207" s="26">
        <f t="shared" si="36"/>
        <v>0</v>
      </c>
      <c r="M207" s="27">
        <f t="shared" si="37"/>
        <v>0</v>
      </c>
      <c r="N207" s="11"/>
      <c r="O207" s="11"/>
      <c r="P207" s="11"/>
      <c r="Q207" s="11"/>
      <c r="R207" s="26">
        <f t="shared" si="38"/>
        <v>0</v>
      </c>
      <c r="S207" s="27">
        <f t="shared" si="39"/>
        <v>0</v>
      </c>
      <c r="T207" s="11">
        <f t="shared" si="40"/>
        <v>0</v>
      </c>
      <c r="U207" s="11">
        <f t="shared" si="41"/>
        <v>0</v>
      </c>
      <c r="V207" s="26">
        <f t="shared" si="42"/>
        <v>0</v>
      </c>
      <c r="W207" s="27">
        <f t="shared" si="43"/>
        <v>0</v>
      </c>
      <c r="X207" s="4">
        <v>7201</v>
      </c>
      <c r="Y207" s="4"/>
      <c r="Z207" s="4"/>
      <c r="AA207" s="12">
        <f t="shared" si="44"/>
        <v>0</v>
      </c>
      <c r="AC207" s="558"/>
      <c r="AD207" s="83"/>
      <c r="AE207" s="83"/>
      <c r="AF207" s="83"/>
      <c r="AG207" s="1"/>
      <c r="AH207" s="1"/>
    </row>
    <row r="208" spans="2:34" ht="12.75" customHeight="1">
      <c r="B208" s="108">
        <f t="shared" si="35"/>
        <v>205</v>
      </c>
      <c r="C208" s="6">
        <v>870500</v>
      </c>
      <c r="D208" s="6" t="s">
        <v>854</v>
      </c>
      <c r="E208" s="9" t="s">
        <v>32</v>
      </c>
      <c r="F208" s="6"/>
      <c r="G208" s="6"/>
      <c r="H208" s="11">
        <f>+STAT1!V208</f>
        <v>0</v>
      </c>
      <c r="I208" s="11">
        <f>+STAT1!W208</f>
        <v>0</v>
      </c>
      <c r="J208" s="11">
        <f>+SUMIFS(JURNAL!G:G,JURNAL!E:E,C208,JURNAL!C:C,"&gt;="&amp;$H$1,JURNAL!C:C,"&lt;="&amp;$I$1)</f>
        <v>0</v>
      </c>
      <c r="K208" s="11">
        <f>+SUMIFS(JURNAL!H:H,JURNAL!E:E,C208,JURNAL!C:C,"&gt;="&amp;$H$1,JURNAL!C:C,"&lt;="&amp;$I$1)</f>
        <v>0</v>
      </c>
      <c r="L208" s="26">
        <f t="shared" si="36"/>
        <v>0</v>
      </c>
      <c r="M208" s="27">
        <f t="shared" si="37"/>
        <v>0</v>
      </c>
      <c r="N208" s="11"/>
      <c r="O208" s="11"/>
      <c r="P208" s="11"/>
      <c r="Q208" s="11"/>
      <c r="R208" s="26">
        <f t="shared" si="38"/>
        <v>0</v>
      </c>
      <c r="S208" s="27">
        <f t="shared" si="39"/>
        <v>0</v>
      </c>
      <c r="T208" s="11">
        <f t="shared" si="40"/>
        <v>0</v>
      </c>
      <c r="U208" s="11">
        <f t="shared" si="41"/>
        <v>0</v>
      </c>
      <c r="V208" s="26">
        <f t="shared" si="42"/>
        <v>0</v>
      </c>
      <c r="W208" s="27">
        <f t="shared" si="43"/>
        <v>0</v>
      </c>
      <c r="X208" s="4">
        <v>8405</v>
      </c>
      <c r="Y208" s="4"/>
      <c r="Z208" s="4"/>
      <c r="AA208" s="12">
        <f t="shared" si="44"/>
        <v>0</v>
      </c>
      <c r="AC208" s="558"/>
      <c r="AD208" s="83"/>
      <c r="AE208" s="83"/>
      <c r="AF208" s="83"/>
      <c r="AG208" s="1"/>
      <c r="AH208" s="1"/>
    </row>
    <row r="209" spans="2:34" ht="12.75" customHeight="1">
      <c r="B209" s="108">
        <f t="shared" si="35"/>
        <v>206</v>
      </c>
      <c r="C209" s="6">
        <v>870700</v>
      </c>
      <c r="D209" s="6" t="s">
        <v>857</v>
      </c>
      <c r="E209" s="9" t="s">
        <v>32</v>
      </c>
      <c r="F209" s="6"/>
      <c r="G209" s="6"/>
      <c r="H209" s="11">
        <f>+STAT1!V209</f>
        <v>0</v>
      </c>
      <c r="I209" s="11">
        <f>+STAT1!W209</f>
        <v>0</v>
      </c>
      <c r="J209" s="11">
        <f>+SUMIFS(JURNAL!G:G,JURNAL!E:E,C209,JURNAL!C:C,"&gt;="&amp;$H$1,JURNAL!C:C,"&lt;="&amp;$I$1)</f>
        <v>0</v>
      </c>
      <c r="K209" s="11">
        <f>+SUMIFS(JURNAL!H:H,JURNAL!E:E,C209,JURNAL!C:C,"&gt;="&amp;$H$1,JURNAL!C:C,"&lt;="&amp;$I$1)</f>
        <v>0</v>
      </c>
      <c r="L209" s="26">
        <f t="shared" si="36"/>
        <v>0</v>
      </c>
      <c r="M209" s="27">
        <f t="shared" si="37"/>
        <v>0</v>
      </c>
      <c r="N209" s="11"/>
      <c r="O209" s="11"/>
      <c r="P209" s="11"/>
      <c r="Q209" s="11"/>
      <c r="R209" s="26">
        <f t="shared" si="38"/>
        <v>0</v>
      </c>
      <c r="S209" s="27">
        <f t="shared" si="39"/>
        <v>0</v>
      </c>
      <c r="T209" s="11">
        <f t="shared" si="40"/>
        <v>0</v>
      </c>
      <c r="U209" s="11">
        <f t="shared" si="41"/>
        <v>0</v>
      </c>
      <c r="V209" s="26">
        <f t="shared" si="42"/>
        <v>0</v>
      </c>
      <c r="W209" s="27">
        <f t="shared" si="43"/>
        <v>0</v>
      </c>
      <c r="X209" s="4">
        <v>8400</v>
      </c>
      <c r="Y209" s="4"/>
      <c r="Z209" s="4"/>
      <c r="AA209" s="12">
        <f t="shared" si="44"/>
        <v>0</v>
      </c>
      <c r="AC209" s="558"/>
      <c r="AD209" s="83"/>
      <c r="AE209" s="83"/>
      <c r="AF209" s="83"/>
      <c r="AG209" s="1"/>
      <c r="AH209" s="1"/>
    </row>
    <row r="210" spans="2:34" ht="12.75" customHeight="1">
      <c r="B210" s="108">
        <f t="shared" si="35"/>
        <v>207</v>
      </c>
      <c r="C210" s="6">
        <v>870800</v>
      </c>
      <c r="D210" s="6" t="s">
        <v>860</v>
      </c>
      <c r="E210" s="9" t="s">
        <v>32</v>
      </c>
      <c r="F210" s="6"/>
      <c r="G210" s="6"/>
      <c r="H210" s="11">
        <f>+STAT1!V210</f>
        <v>0</v>
      </c>
      <c r="I210" s="11">
        <f>+STAT1!W210</f>
        <v>0</v>
      </c>
      <c r="J210" s="11">
        <f>+SUMIFS(JURNAL!G:G,JURNAL!E:E,C210,JURNAL!C:C,"&gt;="&amp;$H$1,JURNAL!C:C,"&lt;="&amp;$I$1)</f>
        <v>0</v>
      </c>
      <c r="K210" s="11">
        <f>+SUMIFS(JURNAL!H:H,JURNAL!E:E,C210,JURNAL!C:C,"&gt;="&amp;$H$1,JURNAL!C:C,"&lt;="&amp;$I$1)</f>
        <v>0</v>
      </c>
      <c r="L210" s="26">
        <f t="shared" si="36"/>
        <v>0</v>
      </c>
      <c r="M210" s="27">
        <f t="shared" si="37"/>
        <v>0</v>
      </c>
      <c r="N210" s="11"/>
      <c r="O210" s="11"/>
      <c r="P210" s="11"/>
      <c r="Q210" s="11"/>
      <c r="R210" s="26">
        <f t="shared" si="38"/>
        <v>0</v>
      </c>
      <c r="S210" s="27">
        <f t="shared" si="39"/>
        <v>0</v>
      </c>
      <c r="T210" s="11">
        <f t="shared" si="40"/>
        <v>0</v>
      </c>
      <c r="U210" s="11">
        <f t="shared" si="41"/>
        <v>0</v>
      </c>
      <c r="V210" s="26">
        <f t="shared" si="42"/>
        <v>0</v>
      </c>
      <c r="W210" s="27">
        <f t="shared" si="43"/>
        <v>0</v>
      </c>
      <c r="X210" s="4">
        <v>7202</v>
      </c>
      <c r="Y210" s="4"/>
      <c r="Z210" s="4"/>
      <c r="AA210" s="12">
        <f t="shared" si="44"/>
        <v>0</v>
      </c>
      <c r="AC210" s="558"/>
      <c r="AD210" s="83"/>
      <c r="AE210" s="83"/>
      <c r="AF210" s="83"/>
      <c r="AG210" s="1"/>
      <c r="AH210" s="1"/>
    </row>
    <row r="211" spans="2:34" ht="12.75" customHeight="1">
      <c r="B211" s="108">
        <f t="shared" si="35"/>
        <v>208</v>
      </c>
      <c r="C211" s="6">
        <v>870900</v>
      </c>
      <c r="D211" s="6" t="s">
        <v>862</v>
      </c>
      <c r="E211" s="9" t="s">
        <v>32</v>
      </c>
      <c r="F211" s="6"/>
      <c r="G211" s="6"/>
      <c r="H211" s="11">
        <f>+STAT1!V211</f>
        <v>0</v>
      </c>
      <c r="I211" s="11">
        <f>+STAT1!W211</f>
        <v>0</v>
      </c>
      <c r="J211" s="11">
        <f>+SUMIFS(JURNAL!G:G,JURNAL!E:E,C211,JURNAL!C:C,"&gt;="&amp;$H$1,JURNAL!C:C,"&lt;="&amp;$I$1)</f>
        <v>0</v>
      </c>
      <c r="K211" s="11">
        <f>+SUMIFS(JURNAL!H:H,JURNAL!E:E,C211,JURNAL!C:C,"&gt;="&amp;$H$1,JURNAL!C:C,"&lt;="&amp;$I$1)</f>
        <v>0</v>
      </c>
      <c r="L211" s="26">
        <f t="shared" si="36"/>
        <v>0</v>
      </c>
      <c r="M211" s="27">
        <f t="shared" si="37"/>
        <v>0</v>
      </c>
      <c r="N211" s="11"/>
      <c r="O211" s="11"/>
      <c r="P211" s="11"/>
      <c r="Q211" s="11"/>
      <c r="R211" s="26">
        <f t="shared" si="38"/>
        <v>0</v>
      </c>
      <c r="S211" s="27">
        <f t="shared" si="39"/>
        <v>0</v>
      </c>
      <c r="T211" s="11">
        <f t="shared" si="40"/>
        <v>0</v>
      </c>
      <c r="U211" s="11">
        <f t="shared" si="41"/>
        <v>0</v>
      </c>
      <c r="V211" s="26">
        <f t="shared" si="42"/>
        <v>0</v>
      </c>
      <c r="W211" s="27">
        <f t="shared" si="43"/>
        <v>0</v>
      </c>
      <c r="X211" s="4">
        <v>8409</v>
      </c>
      <c r="Y211" s="4"/>
      <c r="Z211" s="4"/>
      <c r="AA211" s="12">
        <f t="shared" si="44"/>
        <v>0</v>
      </c>
      <c r="AC211" s="558"/>
      <c r="AD211" s="83"/>
      <c r="AE211" s="83"/>
      <c r="AF211" s="83"/>
      <c r="AG211" s="1"/>
      <c r="AH211" s="1"/>
    </row>
    <row r="212" spans="2:34" ht="12.75" customHeight="1">
      <c r="B212" s="108">
        <f t="shared" si="35"/>
        <v>209</v>
      </c>
      <c r="C212" s="6">
        <v>871100</v>
      </c>
      <c r="D212" s="6" t="s">
        <v>865</v>
      </c>
      <c r="E212" s="9" t="s">
        <v>32</v>
      </c>
      <c r="F212" s="6"/>
      <c r="G212" s="6"/>
      <c r="H212" s="11">
        <f>+STAT1!V212</f>
        <v>0</v>
      </c>
      <c r="I212" s="11">
        <f>+STAT1!W212</f>
        <v>0</v>
      </c>
      <c r="J212" s="11">
        <f>+SUMIFS(JURNAL!G:G,JURNAL!E:E,C212,JURNAL!C:C,"&gt;="&amp;$H$1,JURNAL!C:C,"&lt;="&amp;$I$1)</f>
        <v>0</v>
      </c>
      <c r="K212" s="11">
        <f>+SUMIFS(JURNAL!H:H,JURNAL!E:E,C212,JURNAL!C:C,"&gt;="&amp;$H$1,JURNAL!C:C,"&lt;="&amp;$I$1)</f>
        <v>0</v>
      </c>
      <c r="L212" s="26">
        <f t="shared" si="36"/>
        <v>0</v>
      </c>
      <c r="M212" s="27">
        <f t="shared" si="37"/>
        <v>0</v>
      </c>
      <c r="N212" s="11"/>
      <c r="O212" s="11"/>
      <c r="P212" s="11"/>
      <c r="Q212" s="11"/>
      <c r="R212" s="26">
        <f t="shared" si="38"/>
        <v>0</v>
      </c>
      <c r="S212" s="27">
        <f t="shared" si="39"/>
        <v>0</v>
      </c>
      <c r="T212" s="11">
        <f t="shared" si="40"/>
        <v>0</v>
      </c>
      <c r="U212" s="11">
        <f t="shared" si="41"/>
        <v>0</v>
      </c>
      <c r="V212" s="26">
        <f t="shared" si="42"/>
        <v>0</v>
      </c>
      <c r="W212" s="27">
        <f t="shared" si="43"/>
        <v>0</v>
      </c>
      <c r="X212" s="4">
        <v>7202</v>
      </c>
      <c r="Y212" s="4"/>
      <c r="Z212" s="4"/>
      <c r="AA212" s="12">
        <f t="shared" si="44"/>
        <v>0</v>
      </c>
      <c r="AC212" s="558"/>
      <c r="AD212" s="83"/>
      <c r="AE212" s="83"/>
      <c r="AF212" s="83"/>
      <c r="AG212" s="1"/>
      <c r="AH212" s="1"/>
    </row>
    <row r="213" spans="2:34" ht="12.75" customHeight="1">
      <c r="B213" s="108">
        <f t="shared" si="35"/>
        <v>210</v>
      </c>
      <c r="C213" s="6">
        <v>871200</v>
      </c>
      <c r="D213" s="6" t="s">
        <v>868</v>
      </c>
      <c r="E213" s="9" t="s">
        <v>32</v>
      </c>
      <c r="F213" s="6"/>
      <c r="G213" s="6"/>
      <c r="H213" s="11">
        <f>+STAT1!V213</f>
        <v>0</v>
      </c>
      <c r="I213" s="11">
        <f>+STAT1!W213</f>
        <v>0</v>
      </c>
      <c r="J213" s="11">
        <f>+SUMIFS(JURNAL!G:G,JURNAL!E:E,C213,JURNAL!C:C,"&gt;="&amp;$H$1,JURNAL!C:C,"&lt;="&amp;$I$1)</f>
        <v>0</v>
      </c>
      <c r="K213" s="11">
        <f>+SUMIFS(JURNAL!H:H,JURNAL!E:E,C213,JURNAL!C:C,"&gt;="&amp;$H$1,JURNAL!C:C,"&lt;="&amp;$I$1)</f>
        <v>0</v>
      </c>
      <c r="L213" s="26">
        <f t="shared" si="36"/>
        <v>0</v>
      </c>
      <c r="M213" s="27">
        <f t="shared" si="37"/>
        <v>0</v>
      </c>
      <c r="N213" s="11"/>
      <c r="O213" s="11"/>
      <c r="P213" s="11"/>
      <c r="Q213" s="11"/>
      <c r="R213" s="26">
        <f t="shared" si="38"/>
        <v>0</v>
      </c>
      <c r="S213" s="27">
        <f t="shared" si="39"/>
        <v>0</v>
      </c>
      <c r="T213" s="11">
        <f t="shared" si="40"/>
        <v>0</v>
      </c>
      <c r="U213" s="11">
        <f t="shared" si="41"/>
        <v>0</v>
      </c>
      <c r="V213" s="26">
        <f t="shared" si="42"/>
        <v>0</v>
      </c>
      <c r="W213" s="27">
        <f t="shared" si="43"/>
        <v>0</v>
      </c>
      <c r="X213" s="4">
        <v>8402</v>
      </c>
      <c r="Y213" s="4"/>
      <c r="Z213" s="4"/>
      <c r="AA213" s="12">
        <f t="shared" si="44"/>
        <v>0</v>
      </c>
      <c r="AC213" s="558"/>
      <c r="AD213" s="83"/>
      <c r="AE213" s="83"/>
      <c r="AF213" s="83"/>
      <c r="AG213" s="1"/>
      <c r="AH213" s="1"/>
    </row>
    <row r="214" spans="2:34" ht="12.75" customHeight="1">
      <c r="B214" s="108">
        <f t="shared" si="35"/>
        <v>211</v>
      </c>
      <c r="C214" s="6">
        <v>910100</v>
      </c>
      <c r="D214" s="6" t="s">
        <v>278</v>
      </c>
      <c r="E214" s="9" t="s">
        <v>32</v>
      </c>
      <c r="F214" s="6"/>
      <c r="G214" s="6"/>
      <c r="H214" s="11">
        <f>+STAT1!V214</f>
        <v>0</v>
      </c>
      <c r="I214" s="11">
        <f>+STAT1!W214</f>
        <v>0</v>
      </c>
      <c r="J214" s="11">
        <f>+SUMIFS(JURNAL!G:G,JURNAL!E:E,C214,JURNAL!C:C,"&gt;="&amp;$H$1,JURNAL!C:C,"&lt;="&amp;$I$1)</f>
        <v>0</v>
      </c>
      <c r="K214" s="11">
        <f>+SUMIFS(JURNAL!H:H,JURNAL!E:E,C214,JURNAL!C:C,"&gt;="&amp;$H$1,JURNAL!C:C,"&lt;="&amp;$I$1)</f>
        <v>0</v>
      </c>
      <c r="L214" s="26">
        <f t="shared" si="36"/>
        <v>0</v>
      </c>
      <c r="M214" s="27">
        <f t="shared" si="37"/>
        <v>0</v>
      </c>
      <c r="N214" s="11"/>
      <c r="O214" s="11"/>
      <c r="P214" s="11"/>
      <c r="Q214" s="11"/>
      <c r="R214" s="26">
        <f t="shared" si="38"/>
        <v>0</v>
      </c>
      <c r="S214" s="27">
        <f t="shared" si="39"/>
        <v>0</v>
      </c>
      <c r="T214" s="11">
        <f t="shared" si="40"/>
        <v>0</v>
      </c>
      <c r="U214" s="11">
        <f t="shared" si="41"/>
        <v>0</v>
      </c>
      <c r="V214" s="26">
        <f t="shared" si="42"/>
        <v>0</v>
      </c>
      <c r="W214" s="27">
        <f t="shared" si="43"/>
        <v>0</v>
      </c>
      <c r="X214" s="4">
        <v>9101</v>
      </c>
      <c r="Y214" s="4"/>
      <c r="Z214" s="4"/>
      <c r="AA214" s="12">
        <f t="shared" si="44"/>
        <v>0</v>
      </c>
      <c r="AC214" s="558"/>
      <c r="AD214" s="83"/>
      <c r="AE214" s="83"/>
      <c r="AF214" s="83"/>
      <c r="AG214" s="1"/>
      <c r="AH214" s="1"/>
    </row>
    <row r="215" spans="2:34" ht="12.75" customHeight="1">
      <c r="B215" s="108">
        <f t="shared" si="35"/>
        <v>212</v>
      </c>
      <c r="C215" s="6">
        <v>920100</v>
      </c>
      <c r="D215" s="6" t="s">
        <v>874</v>
      </c>
      <c r="E215" s="9" t="s">
        <v>32</v>
      </c>
      <c r="F215" s="6"/>
      <c r="G215" s="6"/>
      <c r="H215" s="11">
        <f>+STAT1!V215</f>
        <v>0</v>
      </c>
      <c r="I215" s="11">
        <f>+STAT1!W215</f>
        <v>0</v>
      </c>
      <c r="J215" s="11">
        <f>+SUMIFS(JURNAL!G:G,JURNAL!E:E,C215,JURNAL!C:C,"&gt;="&amp;$H$1,JURNAL!C:C,"&lt;="&amp;$I$1)</f>
        <v>0</v>
      </c>
      <c r="K215" s="11">
        <f>+SUMIFS(JURNAL!H:H,JURNAL!E:E,C215,JURNAL!C:C,"&gt;="&amp;$H$1,JURNAL!C:C,"&lt;="&amp;$I$1)</f>
        <v>0</v>
      </c>
      <c r="L215" s="26">
        <f t="shared" si="36"/>
        <v>0</v>
      </c>
      <c r="M215" s="27">
        <f t="shared" si="37"/>
        <v>0</v>
      </c>
      <c r="N215" s="11"/>
      <c r="O215" s="11"/>
      <c r="P215" s="11"/>
      <c r="Q215" s="11"/>
      <c r="R215" s="26">
        <f t="shared" si="38"/>
        <v>0</v>
      </c>
      <c r="S215" s="27">
        <f t="shared" si="39"/>
        <v>0</v>
      </c>
      <c r="T215" s="27">
        <v>16332096.788590185</v>
      </c>
      <c r="U215" s="27">
        <v>16332096.788590185</v>
      </c>
      <c r="V215" s="26">
        <f t="shared" si="42"/>
        <v>0</v>
      </c>
      <c r="W215" s="27">
        <f t="shared" si="43"/>
        <v>0</v>
      </c>
      <c r="X215" s="4"/>
      <c r="Y215" s="4"/>
      <c r="Z215" s="4"/>
      <c r="AA215" s="12">
        <v>1</v>
      </c>
      <c r="AC215" s="558"/>
      <c r="AD215" s="83"/>
      <c r="AE215" s="83"/>
      <c r="AF215" s="83"/>
      <c r="AG215" s="1"/>
      <c r="AH215" s="1"/>
    </row>
    <row r="216" spans="2:34" ht="12.75" customHeight="1">
      <c r="B216" s="188"/>
      <c r="C216" s="137"/>
      <c r="D216" s="188" t="s">
        <v>39</v>
      </c>
      <c r="E216" s="403"/>
      <c r="F216" s="13">
        <f t="shared" ref="F216:W216" si="45">SUM(F140:F215)</f>
        <v>0</v>
      </c>
      <c r="G216" s="13">
        <f t="shared" si="45"/>
        <v>0</v>
      </c>
      <c r="H216" s="13">
        <f t="shared" si="45"/>
        <v>0</v>
      </c>
      <c r="I216" s="13">
        <f t="shared" si="45"/>
        <v>0</v>
      </c>
      <c r="J216" s="13">
        <f t="shared" si="45"/>
        <v>99261479.050590187</v>
      </c>
      <c r="K216" s="13">
        <f t="shared" si="45"/>
        <v>82913615.350000009</v>
      </c>
      <c r="L216" s="13">
        <f t="shared" si="45"/>
        <v>45904441.870590188</v>
      </c>
      <c r="M216" s="13">
        <f t="shared" si="45"/>
        <v>29556578.169999998</v>
      </c>
      <c r="N216" s="13">
        <f t="shared" si="45"/>
        <v>5886.3</v>
      </c>
      <c r="O216" s="13">
        <f t="shared" si="45"/>
        <v>21653.212</v>
      </c>
      <c r="P216" s="13">
        <f t="shared" si="45"/>
        <v>0</v>
      </c>
      <c r="Q216" s="13">
        <f t="shared" si="45"/>
        <v>0</v>
      </c>
      <c r="R216" s="13">
        <f t="shared" si="45"/>
        <v>45910328.170590185</v>
      </c>
      <c r="S216" s="13">
        <f t="shared" si="45"/>
        <v>29578231.381999999</v>
      </c>
      <c r="T216" s="13">
        <f t="shared" si="45"/>
        <v>45910328.170590185</v>
      </c>
      <c r="U216" s="13">
        <f>SUM(U140:U215)</f>
        <v>62242424.95918037</v>
      </c>
      <c r="V216" s="13">
        <f t="shared" si="45"/>
        <v>0</v>
      </c>
      <c r="W216" s="13">
        <f t="shared" si="45"/>
        <v>0</v>
      </c>
      <c r="X216" s="14"/>
      <c r="Y216" s="14"/>
      <c r="Z216" s="14"/>
      <c r="AA216" s="14"/>
      <c r="AC216" s="558"/>
      <c r="AD216" s="83"/>
      <c r="AE216" s="83"/>
      <c r="AF216" s="83"/>
      <c r="AG216" s="1"/>
      <c r="AH216" s="1"/>
    </row>
    <row r="217" spans="2:34" ht="12.75" customHeight="1">
      <c r="B217" s="29"/>
      <c r="C217" s="29" t="s">
        <v>21</v>
      </c>
      <c r="D217" s="29"/>
      <c r="E217" s="30"/>
      <c r="F217" s="31">
        <f t="shared" ref="F217:W217" si="46">+F216+F139</f>
        <v>6147.9800000000014</v>
      </c>
      <c r="G217" s="31">
        <f t="shared" si="46"/>
        <v>0</v>
      </c>
      <c r="H217" s="31">
        <f t="shared" si="46"/>
        <v>3356265476.0785332</v>
      </c>
      <c r="I217" s="31">
        <f t="shared" si="46"/>
        <v>3356265476.0809331</v>
      </c>
      <c r="J217" s="31">
        <f t="shared" si="46"/>
        <v>538894836.71559024</v>
      </c>
      <c r="K217" s="31">
        <f t="shared" si="46"/>
        <v>538894836.71559036</v>
      </c>
      <c r="L217" s="31">
        <f t="shared" si="46"/>
        <v>3436146726.3335328</v>
      </c>
      <c r="M217" s="31">
        <f t="shared" si="46"/>
        <v>3436146726.3359332</v>
      </c>
      <c r="N217" s="31">
        <f t="shared" si="46"/>
        <v>12128251.602</v>
      </c>
      <c r="O217" s="31">
        <f t="shared" si="46"/>
        <v>12128251.602</v>
      </c>
      <c r="P217" s="31">
        <f t="shared" si="46"/>
        <v>6147.9800000000014</v>
      </c>
      <c r="Q217" s="31">
        <f t="shared" si="46"/>
        <v>15351.680000000002</v>
      </c>
      <c r="R217" s="31">
        <f t="shared" si="46"/>
        <v>3424067667.4573512</v>
      </c>
      <c r="S217" s="31">
        <f t="shared" si="46"/>
        <v>3424067667.4597511</v>
      </c>
      <c r="T217" s="31">
        <f t="shared" si="46"/>
        <v>62242424.95918037</v>
      </c>
      <c r="U217" s="31">
        <f t="shared" si="46"/>
        <v>62242424.95918037</v>
      </c>
      <c r="V217" s="31">
        <f t="shared" si="46"/>
        <v>3394489436.0753508</v>
      </c>
      <c r="W217" s="31">
        <f t="shared" si="46"/>
        <v>3394489436.0777512</v>
      </c>
      <c r="X217" s="31"/>
      <c r="Y217" s="31"/>
      <c r="Z217" s="31"/>
      <c r="AA217" s="31"/>
      <c r="AC217" s="558"/>
      <c r="AD217" s="83"/>
      <c r="AE217" s="83"/>
      <c r="AF217" s="83"/>
      <c r="AG217" s="1"/>
      <c r="AH217" s="1"/>
    </row>
    <row r="218" spans="2:34" ht="12.75" customHeight="1">
      <c r="B218" s="6"/>
      <c r="C218" s="6" t="s">
        <v>22</v>
      </c>
      <c r="D218" s="6"/>
      <c r="E218" s="9"/>
      <c r="F218" s="6"/>
      <c r="G218" s="6"/>
      <c r="H218" s="32"/>
      <c r="I218" s="32"/>
      <c r="J218" s="11">
        <f>+SUMIFS(JURNAL!G:G,JURNAL!E:E,C218,JURNAL!C:C,"&gt;="&amp;$H$1,JURNAL!C:C,"&lt;="&amp;$I$1)</f>
        <v>0</v>
      </c>
      <c r="K218" s="11">
        <f>+SUMIFS(JURNAL!H:H,JURNAL!F:F,D218,JURNAL!D:D,"&gt;="&amp;$H$1,JURNAL!D:D,"&lt;="&amp;$I$1)</f>
        <v>0</v>
      </c>
      <c r="L218" s="11">
        <f>+SUMIFS(JURNAL!I:I,JURNAL!G:G,E218,JURNAL!E:E,"&gt;="&amp;$H$1,JURNAL!E:E,"&lt;="&amp;$I$1)</f>
        <v>0</v>
      </c>
      <c r="M218" s="11">
        <f>+SUMIFS(JURNAL!J:J,JURNAL!H:H,F218,JURNAL!F:F,"&gt;="&amp;$H$1,JURNAL!F:F,"&lt;="&amp;$I$1)</f>
        <v>0</v>
      </c>
      <c r="N218" s="11">
        <f>+SUMIFS(JURNAL!K:K,JURNAL!I:I,G218,JURNAL!G:G,"&gt;="&amp;$H$1,JURNAL!G:G,"&lt;="&amp;$I$1)</f>
        <v>0</v>
      </c>
      <c r="O218" s="11">
        <f>+SUMIFS(JURNAL!L:L,JURNAL!J:J,H218,JURNAL!H:H,"&gt;="&amp;$H$1,JURNAL!H:H,"&lt;="&amp;$I$1)</f>
        <v>0</v>
      </c>
      <c r="P218" s="11">
        <f>+SUMIFS(JURNAL!M:M,JURNAL!K:K,I218,JURNAL!I:I,"&gt;="&amp;$H$1,JURNAL!I:I,"&lt;="&amp;$I$1)</f>
        <v>0</v>
      </c>
      <c r="Q218" s="11">
        <f>+SUMIFS(JURNAL!N:N,JURNAL!L:L,J218,JURNAL!J:J,"&gt;="&amp;$H$1,JURNAL!J:J,"&lt;="&amp;$I$1)</f>
        <v>0</v>
      </c>
      <c r="R218" s="11">
        <f>+SUMIFS(JURNAL!O:O,JURNAL!M:M,K218,JURNAL!K:K,"&gt;="&amp;$H$1,JURNAL!K:K,"&lt;="&amp;$I$1)</f>
        <v>0</v>
      </c>
      <c r="S218" s="11">
        <f>+SUMIFS(JURNAL!P:P,JURNAL!N:N,L218,JURNAL!L:L,"&gt;="&amp;$H$1,JURNAL!L:L,"&lt;="&amp;$I$1)</f>
        <v>0</v>
      </c>
      <c r="T218" s="11">
        <f>+SUMIFS(JURNAL!Q:Q,JURNAL!O:O,M218,JURNAL!M:M,"&gt;="&amp;$H$1,JURNAL!M:M,"&lt;="&amp;$I$1)</f>
        <v>0</v>
      </c>
      <c r="U218" s="11">
        <f>+SUMIFS(JURNAL!R:R,JURNAL!P:P,N218,JURNAL!N:N,"&gt;="&amp;$H$1,JURNAL!N:N,"&lt;="&amp;$I$1)</f>
        <v>0</v>
      </c>
      <c r="V218" s="11">
        <f>+SUMIFS(JURNAL!S:S,JURNAL!Q:Q,O218,JURNAL!O:O,"&gt;="&amp;$H$1,JURNAL!O:O,"&lt;="&amp;$I$1)</f>
        <v>0</v>
      </c>
      <c r="W218" s="11">
        <f>+SUMIFS(JURNAL!T:T,JURNAL!R:R,P218,JURNAL!P:P,"&gt;="&amp;$H$1,JURNAL!P:P,"&lt;="&amp;$I$1)</f>
        <v>0</v>
      </c>
      <c r="X218" s="11">
        <f ca="1">+SUMIFS(JURNAL!U:U,JURNAL!S:S,Q218,JURNAL!Q:Q,"&gt;="&amp;$H$1,JURNAL!Q:Q,"&lt;="&amp;$I$1)</f>
        <v>0</v>
      </c>
      <c r="Y218" s="11">
        <f ca="1">+SUMIFS(JURNAL!V:V,JURNAL!T:T,R218,JURNAL!R:R,"&gt;="&amp;$H$1,JURNAL!R:R,"&lt;="&amp;$I$1)</f>
        <v>0</v>
      </c>
      <c r="Z218" s="11">
        <f ca="1">+SUMIFS(JURNAL!W:W,JURNAL!U:U,S218,JURNAL!S:S,"&gt;="&amp;$H$1,JURNAL!S:S,"&lt;="&amp;$I$1)</f>
        <v>0</v>
      </c>
      <c r="AA218" s="11">
        <f ca="1">+SUMIFS(JURNAL!X:X,JURNAL!V:V,T218,JURNAL!T:T,"&gt;="&amp;$H$1,JURNAL!T:T,"&lt;="&amp;$I$1)</f>
        <v>0</v>
      </c>
      <c r="AC218" s="83"/>
      <c r="AD218" s="83"/>
      <c r="AE218" s="83"/>
      <c r="AF218" s="83"/>
      <c r="AG218" s="1"/>
      <c r="AH218" s="1"/>
    </row>
    <row r="219" spans="2:34" ht="12.75" customHeight="1">
      <c r="B219" s="6"/>
      <c r="C219" s="6" t="s">
        <v>23</v>
      </c>
      <c r="D219" s="6"/>
      <c r="E219" s="9"/>
      <c r="F219" s="6"/>
      <c r="G219" s="6"/>
      <c r="H219" s="32"/>
      <c r="I219" s="32"/>
      <c r="J219" s="11">
        <f>+SUMIFS(JURNAL!G:G,JURNAL!E:E,C219,JURNAL!C:C,"&gt;="&amp;$H$1,JURNAL!C:C,"&lt;="&amp;$I$1)</f>
        <v>0</v>
      </c>
      <c r="K219" s="11">
        <f>+SUMIFS(JURNAL!H:H,JURNAL!F:F,D219,JURNAL!D:D,"&gt;="&amp;$H$1,JURNAL!D:D,"&lt;="&amp;$I$1)</f>
        <v>0</v>
      </c>
      <c r="L219" s="11">
        <f>+SUMIFS(JURNAL!I:I,JURNAL!G:G,E219,JURNAL!E:E,"&gt;="&amp;$H$1,JURNAL!E:E,"&lt;="&amp;$I$1)</f>
        <v>0</v>
      </c>
      <c r="M219" s="11">
        <f>+SUMIFS(JURNAL!J:J,JURNAL!H:H,F219,JURNAL!F:F,"&gt;="&amp;$H$1,JURNAL!F:F,"&lt;="&amp;$I$1)</f>
        <v>0</v>
      </c>
      <c r="N219" s="11">
        <f>+SUMIFS(JURNAL!K:K,JURNAL!I:I,G219,JURNAL!G:G,"&gt;="&amp;$H$1,JURNAL!G:G,"&lt;="&amp;$I$1)</f>
        <v>0</v>
      </c>
      <c r="O219" s="11">
        <f>+SUMIFS(JURNAL!L:L,JURNAL!J:J,H219,JURNAL!H:H,"&gt;="&amp;$H$1,JURNAL!H:H,"&lt;="&amp;$I$1)</f>
        <v>0</v>
      </c>
      <c r="P219" s="11">
        <f>+SUMIFS(JURNAL!M:M,JURNAL!K:K,I219,JURNAL!I:I,"&gt;="&amp;$H$1,JURNAL!I:I,"&lt;="&amp;$I$1)</f>
        <v>0</v>
      </c>
      <c r="Q219" s="11">
        <f>+SUMIFS(JURNAL!N:N,JURNAL!L:L,J219,JURNAL!J:J,"&gt;="&amp;$H$1,JURNAL!J:J,"&lt;="&amp;$I$1)</f>
        <v>0</v>
      </c>
      <c r="R219" s="11">
        <f>+SUMIFS(JURNAL!O:O,JURNAL!M:M,K219,JURNAL!K:K,"&gt;="&amp;$H$1,JURNAL!K:K,"&lt;="&amp;$I$1)</f>
        <v>0</v>
      </c>
      <c r="S219" s="11">
        <f>+SUMIFS(JURNAL!P:P,JURNAL!N:N,L219,JURNAL!L:L,"&gt;="&amp;$H$1,JURNAL!L:L,"&lt;="&amp;$I$1)</f>
        <v>0</v>
      </c>
      <c r="T219" s="11">
        <f>+SUMIFS(JURNAL!Q:Q,JURNAL!O:O,M219,JURNAL!M:M,"&gt;="&amp;$H$1,JURNAL!M:M,"&lt;="&amp;$I$1)</f>
        <v>0</v>
      </c>
      <c r="U219" s="11">
        <f>+SUMIFS(JURNAL!R:R,JURNAL!P:P,N219,JURNAL!N:N,"&gt;="&amp;$H$1,JURNAL!N:N,"&lt;="&amp;$I$1)</f>
        <v>0</v>
      </c>
      <c r="V219" s="11">
        <f>+SUMIFS(JURNAL!S:S,JURNAL!Q:Q,O219,JURNAL!O:O,"&gt;="&amp;$H$1,JURNAL!O:O,"&lt;="&amp;$I$1)</f>
        <v>0</v>
      </c>
      <c r="W219" s="11">
        <f>+SUMIFS(JURNAL!T:T,JURNAL!R:R,P219,JURNAL!P:P,"&gt;="&amp;$H$1,JURNAL!P:P,"&lt;="&amp;$I$1)</f>
        <v>0</v>
      </c>
      <c r="X219" s="11">
        <f ca="1">+SUMIFS(JURNAL!U:U,JURNAL!S:S,Q219,JURNAL!Q:Q,"&gt;="&amp;$H$1,JURNAL!Q:Q,"&lt;="&amp;$I$1)</f>
        <v>0</v>
      </c>
      <c r="Y219" s="11">
        <f ca="1">+SUMIFS(JURNAL!V:V,JURNAL!T:T,R219,JURNAL!R:R,"&gt;="&amp;$H$1,JURNAL!R:R,"&lt;="&amp;$I$1)</f>
        <v>0</v>
      </c>
      <c r="Z219" s="11">
        <f ca="1">+SUMIFS(JURNAL!W:W,JURNAL!U:U,S219,JURNAL!S:S,"&gt;="&amp;$H$1,JURNAL!S:S,"&lt;="&amp;$I$1)</f>
        <v>0</v>
      </c>
      <c r="AA219" s="11">
        <f ca="1">+SUMIFS(JURNAL!X:X,JURNAL!V:V,T219,JURNAL!T:T,"&gt;="&amp;$H$1,JURNAL!T:T,"&lt;="&amp;$I$1)</f>
        <v>0</v>
      </c>
      <c r="AC219" s="83"/>
      <c r="AD219" s="83"/>
      <c r="AE219" s="83"/>
      <c r="AF219" s="83"/>
      <c r="AG219" s="1"/>
      <c r="AH219" s="1"/>
    </row>
    <row r="220" spans="2:34" ht="12.75" customHeight="1">
      <c r="B220" s="6"/>
      <c r="C220" s="6" t="s">
        <v>24</v>
      </c>
      <c r="D220" s="6"/>
      <c r="E220" s="9"/>
      <c r="F220" s="6"/>
      <c r="G220" s="6"/>
      <c r="H220" s="32"/>
      <c r="I220" s="27">
        <f>+I217-H217</f>
        <v>2.3999214172363281E-3</v>
      </c>
      <c r="J220" s="11">
        <f>+SUMIFS(JURNAL!G:G,JURNAL!E:E,C220,JURNAL!C:C,"&gt;="&amp;$H$1,JURNAL!C:C,"&lt;="&amp;$I$1)</f>
        <v>0</v>
      </c>
      <c r="K220" s="11">
        <f>+SUMIFS(JURNAL!H:H,JURNAL!F:F,D220,JURNAL!D:D,"&gt;="&amp;$H$1,JURNAL!D:D,"&lt;="&amp;$I$1)</f>
        <v>0</v>
      </c>
      <c r="L220" s="11">
        <f>+SUMIFS(JURNAL!I:I,JURNAL!G:G,E220,JURNAL!E:E,"&gt;="&amp;$H$1,JURNAL!E:E,"&lt;="&amp;$I$1)</f>
        <v>0</v>
      </c>
      <c r="M220" s="11">
        <f>+SUMIFS(JURNAL!J:J,JURNAL!H:H,F220,JURNAL!F:F,"&gt;="&amp;$H$1,JURNAL!F:F,"&lt;="&amp;$I$1)</f>
        <v>0</v>
      </c>
      <c r="N220" s="11">
        <f>+SUMIFS(JURNAL!K:K,JURNAL!I:I,G220,JURNAL!G:G,"&gt;="&amp;$H$1,JURNAL!G:G,"&lt;="&amp;$I$1)</f>
        <v>0</v>
      </c>
      <c r="O220" s="11">
        <f>+SUMIFS(JURNAL!L:L,JURNAL!J:J,H220,JURNAL!H:H,"&gt;="&amp;$H$1,JURNAL!H:H,"&lt;="&amp;$I$1)</f>
        <v>0</v>
      </c>
      <c r="P220" s="11">
        <f>+SUMIFS(JURNAL!M:M,JURNAL!K:K,I220,JURNAL!I:I,"&gt;="&amp;$H$1,JURNAL!I:I,"&lt;="&amp;$I$1)</f>
        <v>0</v>
      </c>
      <c r="Q220" s="11">
        <f>+SUMIFS(JURNAL!N:N,JURNAL!L:L,J220,JURNAL!J:J,"&gt;="&amp;$H$1,JURNAL!J:J,"&lt;="&amp;$I$1)</f>
        <v>0</v>
      </c>
      <c r="R220" s="11">
        <f>+SUMIFS(JURNAL!O:O,JURNAL!M:M,K220,JURNAL!K:K,"&gt;="&amp;$H$1,JURNAL!K:K,"&lt;="&amp;$I$1)</f>
        <v>0</v>
      </c>
      <c r="S220" s="11">
        <f>+SUMIFS(JURNAL!P:P,JURNAL!N:N,L220,JURNAL!L:L,"&gt;="&amp;$H$1,JURNAL!L:L,"&lt;="&amp;$I$1)</f>
        <v>0</v>
      </c>
      <c r="T220" s="11">
        <f>+SUMIFS(JURNAL!Q:Q,JURNAL!O:O,M220,JURNAL!M:M,"&gt;="&amp;$H$1,JURNAL!M:M,"&lt;="&amp;$I$1)</f>
        <v>0</v>
      </c>
      <c r="U220" s="11">
        <f>+SUMIFS(JURNAL!R:R,JURNAL!P:P,N220,JURNAL!N:N,"&gt;="&amp;$H$1,JURNAL!N:N,"&lt;="&amp;$I$1)</f>
        <v>0</v>
      </c>
      <c r="V220" s="11">
        <f>+SUMIFS(JURNAL!S:S,JURNAL!Q:Q,O220,JURNAL!O:O,"&gt;="&amp;$H$1,JURNAL!O:O,"&lt;="&amp;$I$1)</f>
        <v>0</v>
      </c>
      <c r="W220" s="11">
        <f>+SUMIFS(JURNAL!T:T,JURNAL!R:R,P220,JURNAL!P:P,"&gt;="&amp;$H$1,JURNAL!P:P,"&lt;="&amp;$I$1)</f>
        <v>0</v>
      </c>
      <c r="X220" s="11">
        <f ca="1">+SUMIFS(JURNAL!U:U,JURNAL!S:S,Q220,JURNAL!Q:Q,"&gt;="&amp;$H$1,JURNAL!Q:Q,"&lt;="&amp;$I$1)</f>
        <v>0</v>
      </c>
      <c r="Y220" s="11">
        <f ca="1">+SUMIFS(JURNAL!V:V,JURNAL!T:T,R220,JURNAL!R:R,"&gt;="&amp;$H$1,JURNAL!R:R,"&lt;="&amp;$I$1)</f>
        <v>0</v>
      </c>
      <c r="Z220" s="11">
        <f ca="1">+SUMIFS(JURNAL!W:W,JURNAL!U:U,S220,JURNAL!S:S,"&gt;="&amp;$H$1,JURNAL!S:S,"&lt;="&amp;$I$1)</f>
        <v>0</v>
      </c>
      <c r="AA220" s="11">
        <f ca="1">+SUMIFS(JURNAL!X:X,JURNAL!V:V,T220,JURNAL!T:T,"&gt;="&amp;$H$1,JURNAL!T:T,"&lt;="&amp;$I$1)</f>
        <v>0</v>
      </c>
      <c r="AC220" s="83"/>
      <c r="AD220" s="83"/>
      <c r="AE220" s="83"/>
      <c r="AF220" s="83"/>
      <c r="AG220" s="1"/>
      <c r="AH220" s="1"/>
    </row>
    <row r="222" spans="2:34" ht="12.75" customHeight="1">
      <c r="T222" s="81">
        <f>+T217-U217</f>
        <v>0</v>
      </c>
      <c r="U222" s="81"/>
      <c r="V222" s="81">
        <f>+V217-W217</f>
        <v>-2.4003982543945313E-3</v>
      </c>
    </row>
    <row r="223" spans="2:34" ht="12.75" customHeight="1">
      <c r="T223" s="81">
        <f>+T222*-1</f>
        <v>0</v>
      </c>
      <c r="U223" s="81"/>
      <c r="V223" s="81"/>
    </row>
  </sheetData>
  <autoFilter ref="B3:AA220"/>
  <mergeCells count="7">
    <mergeCell ref="R2:S2"/>
    <mergeCell ref="T2:U2"/>
    <mergeCell ref="V2:W2"/>
    <mergeCell ref="H2:I2"/>
    <mergeCell ref="J2:K2"/>
    <mergeCell ref="L2:M2"/>
    <mergeCell ref="N2:O2"/>
  </mergeCells>
  <conditionalFormatting sqref="B4:B189">
    <cfRule type="expression" dxfId="7" priority="7">
      <formula>$B4&lt;&gt;""</formula>
    </cfRule>
  </conditionalFormatting>
  <conditionalFormatting sqref="B4:B215">
    <cfRule type="expression" dxfId="6" priority="5">
      <formula>$B4&lt;&gt;""</formula>
    </cfRule>
  </conditionalFormatting>
  <conditionalFormatting sqref="B140:B189">
    <cfRule type="expression" dxfId="5" priority="3">
      <formula>$B140&lt;&gt;""</formula>
    </cfRule>
  </conditionalFormatting>
  <conditionalFormatting sqref="B140:B215">
    <cfRule type="expression" dxfId="4" priority="1">
      <formula>$B140&lt;&gt;""</formula>
    </cfRule>
  </conditionalFormatting>
  <pageMargins left="0.7" right="0.7" top="0.75" bottom="0.75" header="0.3" footer="0.3"/>
  <pageSetup scale="37" fitToHeight="0" orientation="landscape" horizontalDpi="0" verticalDpi="0" r:id="rId1"/>
  <ignoredErrors>
    <ignoredError sqref="AA139" formula="1"/>
  </ignoredErrors>
</worksheet>
</file>

<file path=xl/worksheets/sheet16.xml><?xml version="1.0" encoding="utf-8"?>
<worksheet xmlns="http://schemas.openxmlformats.org/spreadsheetml/2006/main" xmlns:r="http://schemas.openxmlformats.org/officeDocument/2006/relationships">
  <sheetPr>
    <tabColor rgb="FF00B0F0"/>
    <pageSetUpPr fitToPage="1"/>
  </sheetPr>
  <dimension ref="A1:AG224"/>
  <sheetViews>
    <sheetView workbookViewId="0">
      <pane xSplit="4" ySplit="4" topLeftCell="P203" activePane="bottomRight" state="frozen"/>
      <selection pane="topRight" activeCell="E1" sqref="E1"/>
      <selection pane="bottomLeft" activeCell="A5" sqref="A5"/>
      <selection pane="bottomRight" activeCell="T138" sqref="T138"/>
    </sheetView>
  </sheetViews>
  <sheetFormatPr defaultRowHeight="12.75" customHeight="1"/>
  <cols>
    <col min="1" max="1" width="5.140625" style="1" customWidth="1"/>
    <col min="2" max="2" width="3.85546875" style="1" customWidth="1"/>
    <col min="3" max="3" width="8" style="1" customWidth="1"/>
    <col min="4" max="4" width="34.7109375" style="1" customWidth="1"/>
    <col min="5" max="5" width="8.42578125" style="2" customWidth="1"/>
    <col min="6" max="6" width="10.7109375" style="1" bestFit="1" customWidth="1"/>
    <col min="7" max="7" width="9" style="1" bestFit="1" customWidth="1"/>
    <col min="8" max="8" width="14.7109375" style="1" bestFit="1" customWidth="1"/>
    <col min="9" max="9" width="16.42578125" style="1" bestFit="1" customWidth="1"/>
    <col min="10" max="10" width="14.28515625" style="1" bestFit="1" customWidth="1"/>
    <col min="11" max="11" width="14" style="1" customWidth="1"/>
    <col min="12" max="13" width="14.28515625" style="1" bestFit="1" customWidth="1"/>
    <col min="14" max="14" width="12.42578125" style="1" customWidth="1"/>
    <col min="15" max="15" width="14.5703125" style="1" customWidth="1"/>
    <col min="16" max="16" width="12.42578125" style="81" customWidth="1"/>
    <col min="17" max="17" width="12.42578125" style="1" customWidth="1"/>
    <col min="18" max="19" width="14.42578125" style="1" bestFit="1" customWidth="1"/>
    <col min="20" max="20" width="14.42578125" style="1" customWidth="1"/>
    <col min="21" max="21" width="15.85546875" style="1" customWidth="1"/>
    <col min="22" max="23" width="14.42578125" style="1" customWidth="1"/>
    <col min="24" max="27" width="6.28515625" style="1" customWidth="1"/>
    <col min="28" max="28" width="9.140625" style="1"/>
    <col min="29" max="29" width="15" style="237" bestFit="1" customWidth="1"/>
    <col min="30" max="30" width="14.28515625" style="238" bestFit="1" customWidth="1"/>
    <col min="31" max="31" width="14.5703125" style="238" customWidth="1"/>
    <col min="32" max="32" width="12.85546875" style="1" bestFit="1" customWidth="1"/>
    <col min="33" max="16384" width="9.140625" style="1"/>
  </cols>
  <sheetData>
    <row r="1" spans="1:32" ht="12.75" customHeight="1">
      <c r="B1" s="96">
        <f>COUNT(B4:B5965)</f>
        <v>212</v>
      </c>
      <c r="C1" s="266" t="s">
        <v>1316</v>
      </c>
      <c r="E1" s="33"/>
      <c r="F1" s="113" t="s">
        <v>43</v>
      </c>
      <c r="G1" s="114"/>
      <c r="H1" s="115">
        <v>43374</v>
      </c>
      <c r="I1" s="115">
        <v>43465</v>
      </c>
    </row>
    <row r="2" spans="1:32" ht="12.75" customHeight="1">
      <c r="B2" s="60" t="s">
        <v>12</v>
      </c>
      <c r="C2" s="61" t="s">
        <v>13</v>
      </c>
      <c r="D2" s="61" t="s">
        <v>13</v>
      </c>
      <c r="E2" s="61" t="s">
        <v>29</v>
      </c>
      <c r="F2" s="62"/>
      <c r="G2" s="62"/>
      <c r="H2" s="1041" t="s">
        <v>14</v>
      </c>
      <c r="I2" s="1041"/>
      <c r="J2" s="1041" t="s">
        <v>34</v>
      </c>
      <c r="K2" s="1041"/>
      <c r="L2" s="1041" t="s">
        <v>35</v>
      </c>
      <c r="M2" s="1041"/>
      <c r="N2" s="1041" t="s">
        <v>36</v>
      </c>
      <c r="O2" s="1041"/>
      <c r="P2" s="312"/>
      <c r="Q2" s="62"/>
      <c r="R2" s="1041" t="s">
        <v>15</v>
      </c>
      <c r="S2" s="1041"/>
      <c r="T2" s="1041" t="s">
        <v>37</v>
      </c>
      <c r="U2" s="1041"/>
      <c r="V2" s="1041" t="s">
        <v>38</v>
      </c>
      <c r="W2" s="1041"/>
      <c r="X2" s="60" t="s">
        <v>0</v>
      </c>
      <c r="Y2" s="60" t="s">
        <v>0</v>
      </c>
      <c r="Z2" s="60" t="s">
        <v>0</v>
      </c>
      <c r="AA2" s="60" t="s">
        <v>0</v>
      </c>
    </row>
    <row r="3" spans="1:32" ht="12.75" customHeight="1">
      <c r="B3" s="60"/>
      <c r="C3" s="61" t="s">
        <v>16</v>
      </c>
      <c r="D3" s="61" t="s">
        <v>27</v>
      </c>
      <c r="E3" s="61" t="s">
        <v>28</v>
      </c>
      <c r="F3" s="120" t="s">
        <v>25</v>
      </c>
      <c r="G3" s="120" t="s">
        <v>26</v>
      </c>
      <c r="H3" s="61" t="s">
        <v>17</v>
      </c>
      <c r="I3" s="61" t="s">
        <v>18</v>
      </c>
      <c r="J3" s="61" t="s">
        <v>17</v>
      </c>
      <c r="K3" s="61" t="s">
        <v>18</v>
      </c>
      <c r="L3" s="61" t="s">
        <v>17</v>
      </c>
      <c r="M3" s="61" t="s">
        <v>18</v>
      </c>
      <c r="N3" s="61" t="s">
        <v>17</v>
      </c>
      <c r="O3" s="61" t="s">
        <v>18</v>
      </c>
      <c r="P3" s="313" t="s">
        <v>25</v>
      </c>
      <c r="Q3" s="120" t="s">
        <v>26</v>
      </c>
      <c r="R3" s="61" t="s">
        <v>17</v>
      </c>
      <c r="S3" s="61" t="s">
        <v>18</v>
      </c>
      <c r="T3" s="61" t="s">
        <v>17</v>
      </c>
      <c r="U3" s="61" t="s">
        <v>18</v>
      </c>
      <c r="V3" s="61" t="s">
        <v>17</v>
      </c>
      <c r="W3" s="61" t="s">
        <v>18</v>
      </c>
      <c r="X3" s="60" t="s">
        <v>281</v>
      </c>
      <c r="Y3" s="64" t="s">
        <v>282</v>
      </c>
      <c r="Z3" s="60" t="s">
        <v>19</v>
      </c>
      <c r="AA3" s="60" t="s">
        <v>20</v>
      </c>
    </row>
    <row r="4" spans="1:32" ht="12.75" customHeight="1">
      <c r="A4" s="24"/>
      <c r="B4" s="108">
        <v>1</v>
      </c>
      <c r="C4" s="5">
        <v>100100</v>
      </c>
      <c r="D4" s="122" t="s">
        <v>888</v>
      </c>
      <c r="E4" s="9" t="s">
        <v>32</v>
      </c>
      <c r="F4" s="6"/>
      <c r="G4" s="6"/>
      <c r="H4" s="11">
        <f>+STAT3!V4</f>
        <v>77845407.444888189</v>
      </c>
      <c r="I4" s="11">
        <f>+STAT3!W4</f>
        <v>0</v>
      </c>
      <c r="J4" s="11">
        <f>+SUMIFS(JURNAL!G:G,JURNAL!E:E,C4,JURNAL!C:C,"&gt;="&amp;$H$1,JURNAL!C:C,"&lt;="&amp;$I$1)</f>
        <v>462658450</v>
      </c>
      <c r="K4" s="11">
        <f>+SUMIFS(JURNAL!H:H,JURNAL!E:E,C4,JURNAL!C:C,"&gt;="&amp;$H$1,JURNAL!C:C,"&lt;="&amp;$I$1)</f>
        <v>209972057.1275</v>
      </c>
      <c r="L4" s="26">
        <f>+IF((H4+J4)&gt;(I4+K4),(H4+J4)-(I4+K4),0)</f>
        <v>330531800.31738824</v>
      </c>
      <c r="M4" s="27">
        <f>+IF((H4+J4)&lt;(I4+K4),(I4+K4)-(H4+J4),0)</f>
        <v>0</v>
      </c>
      <c r="N4" s="11"/>
      <c r="O4" s="190"/>
      <c r="P4" s="27"/>
      <c r="Q4" s="11"/>
      <c r="R4" s="26">
        <f>+IF((L4+N4)&gt;(M4+O4),(L4+N4)-(M4+O4),0)</f>
        <v>330531800.31738824</v>
      </c>
      <c r="S4" s="27">
        <f>+IF((L4+N4)&lt;(M4+O4),(M4+O4)-(L4+N4),0)</f>
        <v>0</v>
      </c>
      <c r="T4" s="11"/>
      <c r="U4" s="11"/>
      <c r="V4" s="415">
        <f>+IF((R4+T4)&gt;(S4+U4),(R4+T4)-(S4+U4),0)</f>
        <v>330531800.31738824</v>
      </c>
      <c r="W4" s="379">
        <f t="shared" ref="W4:W67" si="0">+IF((R4+T4)&lt;(S4+U4),(S4+U4)-(R4+T4),0)</f>
        <v>0</v>
      </c>
      <c r="X4" s="4">
        <v>1101</v>
      </c>
      <c r="Y4" s="4"/>
      <c r="Z4" s="6"/>
      <c r="AA4" s="12">
        <f>+IF(H4+I4+J4+K4+L4+M4+N4+O4+R4+S4+T4+U4+V4+W4,1,0)</f>
        <v>1</v>
      </c>
      <c r="AE4" s="338"/>
      <c r="AF4" s="338"/>
    </row>
    <row r="5" spans="1:32" ht="12.75" customHeight="1">
      <c r="A5" s="24"/>
      <c r="B5" s="108">
        <f>+B4+1</f>
        <v>2</v>
      </c>
      <c r="C5" s="3">
        <v>100200</v>
      </c>
      <c r="D5" s="122" t="s">
        <v>943</v>
      </c>
      <c r="E5" s="9" t="s">
        <v>30</v>
      </c>
      <c r="F5" s="121">
        <f>+STAT3!P5</f>
        <v>5645.1</v>
      </c>
      <c r="G5" s="121">
        <f>+STAT3!Q5</f>
        <v>2552.13</v>
      </c>
      <c r="H5" s="11">
        <f>+STAT3!V5</f>
        <v>13701391.560000001</v>
      </c>
      <c r="I5" s="11">
        <f>+STAT3!W5</f>
        <v>0</v>
      </c>
      <c r="J5" s="11">
        <f>+SUMIFS(JURNAL!G:G,JURNAL!E:E,C5,JURNAL!C:C,"&gt;="&amp;$H$1,JURNAL!C:C,"&lt;="&amp;$I$1)</f>
        <v>0</v>
      </c>
      <c r="K5" s="11">
        <f>+SUMIFS(JURNAL!H:H,JURNAL!E:E,C5,JURNAL!C:C,"&gt;="&amp;$H$1,JURNAL!C:C,"&lt;="&amp;$I$1)</f>
        <v>0</v>
      </c>
      <c r="L5" s="26">
        <f t="shared" ref="L5:L68" si="1">+IF((H5+J5)&gt;(I5+K5),(H5+J5)-(I5+K5),0)</f>
        <v>13701391.560000001</v>
      </c>
      <c r="M5" s="27">
        <f t="shared" ref="M5:M67" si="2">+IF((H5+J5)&lt;(I5+K5),(I5+K5)-(H5+J5),0)</f>
        <v>0</v>
      </c>
      <c r="N5" s="11"/>
      <c r="O5" s="190"/>
      <c r="P5" s="121"/>
      <c r="Q5" s="11"/>
      <c r="R5" s="26">
        <f t="shared" ref="R5:R68" si="3">+IF((L5+N5)&gt;(M5+O5),(L5+N5)-(M5+O5),0)</f>
        <v>13701391.560000001</v>
      </c>
      <c r="S5" s="27">
        <f t="shared" ref="S5:S68" si="4">+IF((L5+N5)&lt;(M5+O5),(M5+O5)-(L5+N5),0)</f>
        <v>0</v>
      </c>
      <c r="T5" s="11"/>
      <c r="U5" s="11"/>
      <c r="V5" s="415">
        <f>+IF((R5+T5)&gt;(S5+U5),(R5+T5)-(S5+U5),0)</f>
        <v>13701391.560000001</v>
      </c>
      <c r="W5" s="379">
        <f t="shared" si="0"/>
        <v>0</v>
      </c>
      <c r="X5" s="4">
        <v>1101</v>
      </c>
      <c r="Y5" s="4"/>
      <c r="Z5" s="4"/>
      <c r="AA5" s="12">
        <f t="shared" ref="AA5:AA68" si="5">+IF(H5+I5+J5+K5+L5+M5+N5+O5+R5+S5+T5+U5+V5+W5,1,0)</f>
        <v>1</v>
      </c>
      <c r="AE5" s="338"/>
      <c r="AF5" s="338"/>
    </row>
    <row r="6" spans="1:32" ht="12.75" customHeight="1">
      <c r="A6" s="24"/>
      <c r="B6" s="108">
        <f t="shared" ref="B6:B69" si="6">+B5+1</f>
        <v>3</v>
      </c>
      <c r="C6" s="5">
        <v>110100</v>
      </c>
      <c r="D6" s="122" t="s">
        <v>1534</v>
      </c>
      <c r="E6" s="9" t="s">
        <v>32</v>
      </c>
      <c r="F6" s="121">
        <f>+STAT3!P6</f>
        <v>0</v>
      </c>
      <c r="G6" s="121">
        <f>+STAT3!Q6</f>
        <v>0</v>
      </c>
      <c r="H6" s="11">
        <f>+STAT3!V6</f>
        <v>21465.469999991357</v>
      </c>
      <c r="I6" s="11">
        <f>+STAT3!W6</f>
        <v>0</v>
      </c>
      <c r="J6" s="11">
        <f>+SUMIFS(JURNAL!G:G,JURNAL!E:E,C6,JURNAL!C:C,"&gt;="&amp;$H$1,JURNAL!C:C,"&lt;="&amp;$I$1)</f>
        <v>218669217</v>
      </c>
      <c r="K6" s="11">
        <f>+SUMIFS(JURNAL!H:H,JURNAL!E:E,C6,JURNAL!C:C,"&gt;="&amp;$H$1,JURNAL!C:C,"&lt;="&amp;$I$1)</f>
        <v>218667533.72</v>
      </c>
      <c r="L6" s="26">
        <f t="shared" si="1"/>
        <v>23148.75</v>
      </c>
      <c r="M6" s="27">
        <f t="shared" si="2"/>
        <v>0</v>
      </c>
      <c r="N6" s="11"/>
      <c r="O6" s="190"/>
      <c r="P6" s="27"/>
      <c r="Q6" s="11"/>
      <c r="R6" s="26">
        <f t="shared" si="3"/>
        <v>23148.75</v>
      </c>
      <c r="S6" s="27">
        <f t="shared" si="4"/>
        <v>0</v>
      </c>
      <c r="T6" s="11"/>
      <c r="U6" s="11"/>
      <c r="V6" s="415">
        <f t="shared" ref="V6:V68" si="7">+IF((R6+T6)&gt;(S6+U6),(R6+T6)-(S6+U6),0)</f>
        <v>23148.75</v>
      </c>
      <c r="W6" s="379">
        <f t="shared" si="0"/>
        <v>0</v>
      </c>
      <c r="X6" s="4">
        <v>1101</v>
      </c>
      <c r="Y6" s="4"/>
      <c r="Z6" s="4"/>
      <c r="AA6" s="12">
        <f t="shared" si="5"/>
        <v>1</v>
      </c>
      <c r="AC6" s="237">
        <v>23148.75</v>
      </c>
      <c r="AD6" s="79">
        <f>+V6-AC6</f>
        <v>0</v>
      </c>
      <c r="AE6" s="338"/>
      <c r="AF6" s="338"/>
    </row>
    <row r="7" spans="1:32" ht="12.75" customHeight="1">
      <c r="A7" s="24"/>
      <c r="B7" s="108">
        <f t="shared" si="6"/>
        <v>4</v>
      </c>
      <c r="C7" s="6">
        <v>110102</v>
      </c>
      <c r="D7" s="122" t="s">
        <v>1535</v>
      </c>
      <c r="E7" s="9" t="s">
        <v>32</v>
      </c>
      <c r="F7" s="121">
        <f>+STAT3!P7</f>
        <v>0</v>
      </c>
      <c r="G7" s="121">
        <f>+STAT3!Q7</f>
        <v>0</v>
      </c>
      <c r="H7" s="11">
        <f>+STAT3!V7</f>
        <v>16584.13</v>
      </c>
      <c r="I7" s="11">
        <f>+STAT3!W7</f>
        <v>0</v>
      </c>
      <c r="J7" s="11">
        <f>+SUMIFS(JURNAL!G:G,JURNAL!E:E,C7,JURNAL!C:C,"&gt;="&amp;$H$1,JURNAL!C:C,"&lt;="&amp;$I$1)</f>
        <v>0</v>
      </c>
      <c r="K7" s="11">
        <f>+SUMIFS(JURNAL!H:H,JURNAL!E:E,C7,JURNAL!C:C,"&gt;="&amp;$H$1,JURNAL!C:C,"&lt;="&amp;$I$1)</f>
        <v>16584.13</v>
      </c>
      <c r="L7" s="26">
        <f t="shared" si="1"/>
        <v>0</v>
      </c>
      <c r="M7" s="27">
        <f t="shared" si="2"/>
        <v>0</v>
      </c>
      <c r="N7" s="11"/>
      <c r="O7" s="190"/>
      <c r="P7" s="27"/>
      <c r="Q7" s="11"/>
      <c r="R7" s="26">
        <f t="shared" si="3"/>
        <v>0</v>
      </c>
      <c r="S7" s="27">
        <f t="shared" si="4"/>
        <v>0</v>
      </c>
      <c r="T7" s="11"/>
      <c r="U7" s="11"/>
      <c r="V7" s="415">
        <f t="shared" si="7"/>
        <v>0</v>
      </c>
      <c r="W7" s="379">
        <f t="shared" si="0"/>
        <v>0</v>
      </c>
      <c r="X7" s="4">
        <v>1101</v>
      </c>
      <c r="Y7" s="4"/>
      <c r="Z7" s="4"/>
      <c r="AA7" s="12">
        <f t="shared" si="5"/>
        <v>1</v>
      </c>
      <c r="AE7" s="338"/>
      <c r="AF7" s="338"/>
    </row>
    <row r="8" spans="1:32" ht="12.75" customHeight="1">
      <c r="A8" s="24"/>
      <c r="B8" s="108">
        <f t="shared" si="6"/>
        <v>5</v>
      </c>
      <c r="C8" s="6">
        <v>110103</v>
      </c>
      <c r="D8" s="122" t="s">
        <v>1536</v>
      </c>
      <c r="E8" s="9" t="s">
        <v>32</v>
      </c>
      <c r="F8" s="121">
        <f>+STAT3!P8</f>
        <v>0</v>
      </c>
      <c r="G8" s="121">
        <f>+STAT3!Q8</f>
        <v>0</v>
      </c>
      <c r="H8" s="11">
        <f>+STAT3!V8</f>
        <v>88499.17</v>
      </c>
      <c r="I8" s="11">
        <f>+STAT3!W8</f>
        <v>0</v>
      </c>
      <c r="J8" s="11">
        <f>+SUMIFS(JURNAL!G:G,JURNAL!E:E,C8,JURNAL!C:C,"&gt;="&amp;$H$1,JURNAL!C:C,"&lt;="&amp;$I$1)</f>
        <v>0</v>
      </c>
      <c r="K8" s="11">
        <f>+SUMIFS(JURNAL!H:H,JURNAL!E:E,C8,JURNAL!C:C,"&gt;="&amp;$H$1,JURNAL!C:C,"&lt;="&amp;$I$1)</f>
        <v>88499.17</v>
      </c>
      <c r="L8" s="26">
        <f t="shared" si="1"/>
        <v>0</v>
      </c>
      <c r="M8" s="27">
        <f t="shared" si="2"/>
        <v>0</v>
      </c>
      <c r="N8" s="11"/>
      <c r="O8" s="190"/>
      <c r="P8" s="27"/>
      <c r="Q8" s="11"/>
      <c r="R8" s="26">
        <f t="shared" si="3"/>
        <v>0</v>
      </c>
      <c r="S8" s="27">
        <f t="shared" si="4"/>
        <v>0</v>
      </c>
      <c r="T8" s="11"/>
      <c r="U8" s="11"/>
      <c r="V8" s="415">
        <f t="shared" si="7"/>
        <v>0</v>
      </c>
      <c r="W8" s="379">
        <f t="shared" si="0"/>
        <v>0</v>
      </c>
      <c r="X8" s="4">
        <v>1101</v>
      </c>
      <c r="Y8" s="4"/>
      <c r="Z8" s="4"/>
      <c r="AA8" s="12">
        <f t="shared" si="5"/>
        <v>1</v>
      </c>
      <c r="AE8" s="338"/>
      <c r="AF8" s="338"/>
    </row>
    <row r="9" spans="1:32" ht="12.75" customHeight="1">
      <c r="A9" s="24"/>
      <c r="B9" s="108">
        <f t="shared" si="6"/>
        <v>6</v>
      </c>
      <c r="C9" s="6">
        <v>110104</v>
      </c>
      <c r="D9" s="122" t="s">
        <v>1537</v>
      </c>
      <c r="E9" s="9" t="s">
        <v>32</v>
      </c>
      <c r="F9" s="121">
        <f>+STAT3!P9</f>
        <v>0</v>
      </c>
      <c r="G9" s="121">
        <f>+STAT3!Q9</f>
        <v>0</v>
      </c>
      <c r="H9" s="11">
        <f>+STAT3!V9</f>
        <v>27647.96</v>
      </c>
      <c r="I9" s="11">
        <f>+STAT3!W9</f>
        <v>0</v>
      </c>
      <c r="J9" s="11">
        <f>+SUMIFS(JURNAL!G:G,JURNAL!E:E,C9,JURNAL!C:C,"&gt;="&amp;$H$1,JURNAL!C:C,"&lt;="&amp;$I$1)</f>
        <v>0</v>
      </c>
      <c r="K9" s="11">
        <f>+SUMIFS(JURNAL!H:H,JURNAL!E:E,C9,JURNAL!C:C,"&gt;="&amp;$H$1,JURNAL!C:C,"&lt;="&amp;$I$1)</f>
        <v>27647.96</v>
      </c>
      <c r="L9" s="26">
        <f t="shared" si="1"/>
        <v>0</v>
      </c>
      <c r="M9" s="27">
        <f t="shared" si="2"/>
        <v>0</v>
      </c>
      <c r="N9" s="11"/>
      <c r="O9" s="190"/>
      <c r="P9" s="27"/>
      <c r="Q9" s="11"/>
      <c r="R9" s="26">
        <f t="shared" si="3"/>
        <v>0</v>
      </c>
      <c r="S9" s="27">
        <f t="shared" si="4"/>
        <v>0</v>
      </c>
      <c r="T9" s="11"/>
      <c r="U9" s="11"/>
      <c r="V9" s="415">
        <f>+IF((R9+T9)&gt;(S9+U9),(R9+T9)-(S9+U9),0)</f>
        <v>0</v>
      </c>
      <c r="W9" s="379">
        <f t="shared" si="0"/>
        <v>0</v>
      </c>
      <c r="X9" s="4">
        <v>1101</v>
      </c>
      <c r="Y9" s="4"/>
      <c r="Z9" s="4"/>
      <c r="AA9" s="12">
        <f t="shared" si="5"/>
        <v>1</v>
      </c>
      <c r="AE9" s="338"/>
      <c r="AF9" s="338"/>
    </row>
    <row r="10" spans="1:32" ht="12.75" customHeight="1">
      <c r="A10" s="24"/>
      <c r="B10" s="108">
        <f t="shared" si="6"/>
        <v>7</v>
      </c>
      <c r="C10" s="6">
        <v>110105</v>
      </c>
      <c r="D10" s="122" t="s">
        <v>1538</v>
      </c>
      <c r="E10" s="9" t="s">
        <v>32</v>
      </c>
      <c r="F10" s="121">
        <f>+STAT3!P10</f>
        <v>0</v>
      </c>
      <c r="G10" s="121">
        <f>+STAT3!Q10</f>
        <v>0</v>
      </c>
      <c r="H10" s="11">
        <f>+STAT3!V10</f>
        <v>135889.92000000001</v>
      </c>
      <c r="I10" s="11">
        <f>+STAT3!W10</f>
        <v>0</v>
      </c>
      <c r="J10" s="11">
        <f>+SUMIFS(JURNAL!G:G,JURNAL!E:E,C10,JURNAL!C:C,"&gt;="&amp;$H$1,JURNAL!C:C,"&lt;="&amp;$I$1)</f>
        <v>0</v>
      </c>
      <c r="K10" s="11">
        <f>+SUMIFS(JURNAL!H:H,JURNAL!E:E,C10,JURNAL!C:C,"&gt;="&amp;$H$1,JURNAL!C:C,"&lt;="&amp;$I$1)</f>
        <v>135889.92000000001</v>
      </c>
      <c r="L10" s="26">
        <f t="shared" si="1"/>
        <v>0</v>
      </c>
      <c r="M10" s="27">
        <f t="shared" si="2"/>
        <v>0</v>
      </c>
      <c r="N10" s="11"/>
      <c r="O10" s="190"/>
      <c r="P10" s="27"/>
      <c r="Q10" s="11"/>
      <c r="R10" s="26">
        <f t="shared" si="3"/>
        <v>0</v>
      </c>
      <c r="S10" s="27">
        <f t="shared" si="4"/>
        <v>0</v>
      </c>
      <c r="T10" s="11"/>
      <c r="U10" s="11"/>
      <c r="V10" s="415">
        <f t="shared" si="7"/>
        <v>0</v>
      </c>
      <c r="W10" s="379">
        <f t="shared" si="0"/>
        <v>0</v>
      </c>
      <c r="X10" s="4">
        <v>1101</v>
      </c>
      <c r="Y10" s="4"/>
      <c r="Z10" s="4"/>
      <c r="AA10" s="12">
        <f t="shared" si="5"/>
        <v>1</v>
      </c>
      <c r="AE10" s="338"/>
      <c r="AF10" s="338"/>
    </row>
    <row r="11" spans="1:32" ht="12.75" customHeight="1">
      <c r="A11" s="24"/>
      <c r="B11" s="108">
        <f t="shared" si="6"/>
        <v>8</v>
      </c>
      <c r="C11" s="6">
        <v>110200</v>
      </c>
      <c r="D11" s="122" t="s">
        <v>1539</v>
      </c>
      <c r="E11" s="9" t="s">
        <v>30</v>
      </c>
      <c r="F11" s="121">
        <f>+STAT3!P11</f>
        <v>7</v>
      </c>
      <c r="G11" s="121">
        <f>+STAT3!Q11</f>
        <v>2552.13</v>
      </c>
      <c r="H11" s="11">
        <f>+STAT3!V11</f>
        <v>17864.91</v>
      </c>
      <c r="I11" s="11">
        <f>+STAT3!W11</f>
        <v>0</v>
      </c>
      <c r="J11" s="11">
        <f>+SUMIFS(JURNAL!G:G,JURNAL!E:E,C11,JURNAL!C:C,"&gt;="&amp;$H$1,JURNAL!C:C,"&lt;="&amp;$I$1)</f>
        <v>0</v>
      </c>
      <c r="K11" s="11">
        <f>+SUMIFS(JURNAL!H:H,JURNAL!E:E,C11,JURNAL!C:C,"&gt;="&amp;$H$1,JURNAL!C:C,"&lt;="&amp;$I$1)</f>
        <v>17864.91</v>
      </c>
      <c r="L11" s="26">
        <f t="shared" si="1"/>
        <v>0</v>
      </c>
      <c r="M11" s="27">
        <f t="shared" si="2"/>
        <v>0</v>
      </c>
      <c r="N11" s="11"/>
      <c r="O11" s="11"/>
      <c r="P11" s="27"/>
      <c r="Q11" s="11"/>
      <c r="R11" s="26">
        <f>+IF((L11+N11)&gt;(M11+O11),(L11+N11)-(M11+O11),0)</f>
        <v>0</v>
      </c>
      <c r="S11" s="27">
        <f t="shared" si="4"/>
        <v>0</v>
      </c>
      <c r="T11" s="11"/>
      <c r="U11" s="11"/>
      <c r="V11" s="415">
        <f t="shared" si="7"/>
        <v>0</v>
      </c>
      <c r="W11" s="379">
        <f t="shared" si="0"/>
        <v>0</v>
      </c>
      <c r="X11" s="4">
        <v>1101</v>
      </c>
      <c r="Y11" s="4"/>
      <c r="Z11" s="4"/>
      <c r="AA11" s="12">
        <f t="shared" si="5"/>
        <v>1</v>
      </c>
      <c r="AE11" s="338"/>
      <c r="AF11" s="338"/>
    </row>
    <row r="12" spans="1:32" ht="12.75" customHeight="1">
      <c r="A12" s="24"/>
      <c r="B12" s="108">
        <f t="shared" si="6"/>
        <v>9</v>
      </c>
      <c r="C12" s="6">
        <v>110201</v>
      </c>
      <c r="D12" s="122" t="s">
        <v>1540</v>
      </c>
      <c r="E12" s="9" t="s">
        <v>30</v>
      </c>
      <c r="F12" s="121">
        <f>+STAT3!P12</f>
        <v>140</v>
      </c>
      <c r="G12" s="121">
        <f>+STAT3!Q12</f>
        <v>2552.13</v>
      </c>
      <c r="H12" s="11">
        <f>+STAT3!V12</f>
        <v>357298.2</v>
      </c>
      <c r="I12" s="11">
        <f>+STAT3!W12</f>
        <v>0</v>
      </c>
      <c r="J12" s="11">
        <f>+SUMIFS(JURNAL!G:G,JURNAL!E:E,C12,JURNAL!C:C,"&gt;="&amp;$H$1,JURNAL!C:C,"&lt;="&amp;$I$1)</f>
        <v>0</v>
      </c>
      <c r="K12" s="11">
        <f>+SUMIFS(JURNAL!H:H,JURNAL!E:E,C12,JURNAL!C:C,"&gt;="&amp;$H$1,JURNAL!C:C,"&lt;="&amp;$I$1)</f>
        <v>0</v>
      </c>
      <c r="L12" s="26">
        <f t="shared" si="1"/>
        <v>357298.2</v>
      </c>
      <c r="M12" s="27">
        <f t="shared" si="2"/>
        <v>0</v>
      </c>
      <c r="N12" s="11">
        <f>140*2643.6-L12</f>
        <v>12805.799999999988</v>
      </c>
      <c r="O12" s="11"/>
      <c r="P12" s="27">
        <f t="shared" ref="P12" si="8">+F12</f>
        <v>140</v>
      </c>
      <c r="Q12" s="11">
        <v>2643.69</v>
      </c>
      <c r="R12" s="26">
        <f t="shared" si="3"/>
        <v>370104</v>
      </c>
      <c r="S12" s="27">
        <f t="shared" si="4"/>
        <v>0</v>
      </c>
      <c r="T12" s="11"/>
      <c r="U12" s="11"/>
      <c r="V12" s="415">
        <f t="shared" si="7"/>
        <v>370104</v>
      </c>
      <c r="W12" s="379">
        <f t="shared" si="0"/>
        <v>0</v>
      </c>
      <c r="X12" s="4">
        <v>1101</v>
      </c>
      <c r="Y12" s="4"/>
      <c r="Z12" s="4"/>
      <c r="AA12" s="12">
        <f t="shared" si="5"/>
        <v>1</v>
      </c>
      <c r="AE12" s="338"/>
      <c r="AF12" s="338"/>
    </row>
    <row r="13" spans="1:32" ht="12.75" customHeight="1">
      <c r="A13" s="24"/>
      <c r="B13" s="108">
        <f t="shared" si="6"/>
        <v>10</v>
      </c>
      <c r="C13" s="6">
        <v>110202</v>
      </c>
      <c r="D13" s="122" t="s">
        <v>1541</v>
      </c>
      <c r="E13" s="9" t="s">
        <v>30</v>
      </c>
      <c r="F13" s="121">
        <f>+STAT3!P13</f>
        <v>43.27</v>
      </c>
      <c r="G13" s="121">
        <f>+STAT3!Q13</f>
        <v>2552.13</v>
      </c>
      <c r="H13" s="11">
        <f>+STAT3!V13</f>
        <v>110430.66510000001</v>
      </c>
      <c r="I13" s="11">
        <f>+STAT3!W13</f>
        <v>0</v>
      </c>
      <c r="J13" s="11">
        <f>+SUMIFS(JURNAL!G:G,JURNAL!E:E,C13,JURNAL!C:C,"&gt;="&amp;$H$1,JURNAL!C:C,"&lt;="&amp;$I$1)</f>
        <v>0</v>
      </c>
      <c r="K13" s="11">
        <f>+SUMIFS(JURNAL!H:H,JURNAL!E:E,C13,JURNAL!C:C,"&gt;="&amp;$H$1,JURNAL!C:C,"&lt;="&amp;$I$1)</f>
        <v>110430.66510000001</v>
      </c>
      <c r="L13" s="26">
        <f t="shared" si="1"/>
        <v>0</v>
      </c>
      <c r="M13" s="27">
        <f t="shared" si="2"/>
        <v>0</v>
      </c>
      <c r="N13" s="11"/>
      <c r="O13" s="11"/>
      <c r="P13" s="27"/>
      <c r="Q13" s="11"/>
      <c r="R13" s="26">
        <f t="shared" si="3"/>
        <v>0</v>
      </c>
      <c r="S13" s="27">
        <f t="shared" si="4"/>
        <v>0</v>
      </c>
      <c r="T13" s="11"/>
      <c r="U13" s="11"/>
      <c r="V13" s="415">
        <f t="shared" si="7"/>
        <v>0</v>
      </c>
      <c r="W13" s="379">
        <f t="shared" si="0"/>
        <v>0</v>
      </c>
      <c r="X13" s="4">
        <v>1101</v>
      </c>
      <c r="Y13" s="4"/>
      <c r="Z13" s="4"/>
      <c r="AA13" s="12">
        <f t="shared" si="5"/>
        <v>1</v>
      </c>
      <c r="AE13" s="338"/>
      <c r="AF13" s="338"/>
    </row>
    <row r="14" spans="1:32" ht="12.75" customHeight="1">
      <c r="A14" s="24"/>
      <c r="B14" s="108">
        <f t="shared" si="6"/>
        <v>11</v>
      </c>
      <c r="C14" s="6">
        <v>110203</v>
      </c>
      <c r="D14" s="122" t="s">
        <v>1542</v>
      </c>
      <c r="E14" s="9" t="s">
        <v>30</v>
      </c>
      <c r="F14" s="121">
        <f>+STAT3!P14</f>
        <v>52.18</v>
      </c>
      <c r="G14" s="121">
        <f>+STAT3!Q14</f>
        <v>2552.13</v>
      </c>
      <c r="H14" s="11">
        <f>+STAT3!V14</f>
        <v>133170.1434</v>
      </c>
      <c r="I14" s="11">
        <f>+STAT3!W14</f>
        <v>0</v>
      </c>
      <c r="J14" s="11">
        <f>+SUMIFS(JURNAL!G:G,JURNAL!E:E,C14,JURNAL!C:C,"&gt;="&amp;$H$1,JURNAL!C:C,"&lt;="&amp;$I$1)</f>
        <v>0</v>
      </c>
      <c r="K14" s="11">
        <f>+SUMIFS(JURNAL!H:H,JURNAL!E:E,C14,JURNAL!C:C,"&gt;="&amp;$H$1,JURNAL!C:C,"&lt;="&amp;$I$1)</f>
        <v>133170.1434</v>
      </c>
      <c r="L14" s="26">
        <f t="shared" si="1"/>
        <v>0</v>
      </c>
      <c r="M14" s="27">
        <f t="shared" si="2"/>
        <v>0</v>
      </c>
      <c r="N14" s="11"/>
      <c r="O14" s="11"/>
      <c r="P14" s="27"/>
      <c r="Q14" s="11"/>
      <c r="R14" s="26">
        <f t="shared" si="3"/>
        <v>0</v>
      </c>
      <c r="S14" s="27">
        <f t="shared" si="4"/>
        <v>0</v>
      </c>
      <c r="T14" s="11"/>
      <c r="U14" s="11"/>
      <c r="V14" s="415">
        <f t="shared" si="7"/>
        <v>0</v>
      </c>
      <c r="W14" s="379">
        <f t="shared" si="0"/>
        <v>0</v>
      </c>
      <c r="X14" s="4">
        <v>1101</v>
      </c>
      <c r="Y14" s="4"/>
      <c r="Z14" s="4"/>
      <c r="AA14" s="12">
        <f t="shared" si="5"/>
        <v>1</v>
      </c>
      <c r="AE14" s="338"/>
      <c r="AF14" s="338"/>
    </row>
    <row r="15" spans="1:32" ht="12.75" customHeight="1">
      <c r="A15" s="24"/>
      <c r="B15" s="108">
        <f t="shared" si="6"/>
        <v>12</v>
      </c>
      <c r="C15" s="6">
        <v>110204</v>
      </c>
      <c r="D15" s="122" t="s">
        <v>1543</v>
      </c>
      <c r="E15" s="9" t="s">
        <v>30</v>
      </c>
      <c r="F15" s="121">
        <f>+STAT3!P15</f>
        <v>10.43</v>
      </c>
      <c r="G15" s="121">
        <f>+STAT3!Q15</f>
        <v>2552.13</v>
      </c>
      <c r="H15" s="11">
        <f>+STAT3!V15</f>
        <v>26618.711099999997</v>
      </c>
      <c r="I15" s="11">
        <f>+STAT3!W15</f>
        <v>0</v>
      </c>
      <c r="J15" s="11">
        <f>+SUMIFS(JURNAL!G:G,JURNAL!E:E,C15,JURNAL!C:C,"&gt;="&amp;$H$1,JURNAL!C:C,"&lt;="&amp;$I$1)</f>
        <v>0</v>
      </c>
      <c r="K15" s="11">
        <f>+SUMIFS(JURNAL!H:H,JURNAL!E:E,C15,JURNAL!C:C,"&gt;="&amp;$H$1,JURNAL!C:C,"&lt;="&amp;$I$1)</f>
        <v>26618.711099999997</v>
      </c>
      <c r="L15" s="26">
        <f t="shared" si="1"/>
        <v>0</v>
      </c>
      <c r="M15" s="27">
        <f t="shared" si="2"/>
        <v>0</v>
      </c>
      <c r="N15" s="11"/>
      <c r="O15" s="11"/>
      <c r="P15" s="27"/>
      <c r="Q15" s="11"/>
      <c r="R15" s="26">
        <f t="shared" si="3"/>
        <v>0</v>
      </c>
      <c r="S15" s="27">
        <f t="shared" si="4"/>
        <v>0</v>
      </c>
      <c r="T15" s="11"/>
      <c r="U15" s="11"/>
      <c r="V15" s="415">
        <f t="shared" si="7"/>
        <v>0</v>
      </c>
      <c r="W15" s="379">
        <f t="shared" si="0"/>
        <v>0</v>
      </c>
      <c r="X15" s="4">
        <v>1101</v>
      </c>
      <c r="Y15" s="4"/>
      <c r="Z15" s="4"/>
      <c r="AA15" s="12">
        <f t="shared" si="5"/>
        <v>1</v>
      </c>
      <c r="AE15" s="338"/>
      <c r="AF15" s="338"/>
    </row>
    <row r="16" spans="1:32" ht="12.75" customHeight="1">
      <c r="A16" s="24"/>
      <c r="B16" s="108">
        <f t="shared" si="6"/>
        <v>13</v>
      </c>
      <c r="C16" s="6">
        <v>110300</v>
      </c>
      <c r="D16" s="331" t="s">
        <v>1544</v>
      </c>
      <c r="E16" s="9" t="s">
        <v>31</v>
      </c>
      <c r="F16" s="121">
        <f>+STAT3!P16</f>
        <v>250</v>
      </c>
      <c r="G16" s="121">
        <f>+STAT3!Q16</f>
        <v>38.9</v>
      </c>
      <c r="H16" s="11">
        <f>+STAT3!V16</f>
        <v>9725</v>
      </c>
      <c r="I16" s="11">
        <f>+STAT3!W16</f>
        <v>0</v>
      </c>
      <c r="J16" s="11">
        <f>+SUMIFS(JURNAL!G:G,JURNAL!E:E,C16,JURNAL!C:C,"&gt;="&amp;$H$1,JURNAL!C:C,"&lt;="&amp;$I$1)</f>
        <v>0</v>
      </c>
      <c r="K16" s="11">
        <f>+SUMIFS(JURNAL!H:H,JURNAL!E:E,C16,JURNAL!C:C,"&gt;="&amp;$H$1,JURNAL!C:C,"&lt;="&amp;$I$1)</f>
        <v>0</v>
      </c>
      <c r="L16" s="26">
        <f t="shared" si="1"/>
        <v>9725</v>
      </c>
      <c r="M16" s="27">
        <f t="shared" si="2"/>
        <v>0</v>
      </c>
      <c r="N16" s="11"/>
      <c r="O16" s="190"/>
      <c r="P16" s="27">
        <v>250</v>
      </c>
      <c r="Q16" s="11">
        <v>38.9</v>
      </c>
      <c r="R16" s="26">
        <f t="shared" si="3"/>
        <v>9725</v>
      </c>
      <c r="S16" s="27">
        <f t="shared" si="4"/>
        <v>0</v>
      </c>
      <c r="T16" s="11"/>
      <c r="U16" s="11"/>
      <c r="V16" s="415">
        <f t="shared" si="7"/>
        <v>9725</v>
      </c>
      <c r="W16" s="379">
        <f t="shared" si="0"/>
        <v>0</v>
      </c>
      <c r="X16" s="4">
        <v>1101</v>
      </c>
      <c r="Y16" s="4"/>
      <c r="Z16" s="4"/>
      <c r="AA16" s="12">
        <f t="shared" si="5"/>
        <v>1</v>
      </c>
      <c r="AE16" s="338"/>
      <c r="AF16" s="338"/>
    </row>
    <row r="17" spans="1:32" ht="12.75" customHeight="1">
      <c r="A17" s="24"/>
      <c r="B17" s="108">
        <f t="shared" si="6"/>
        <v>14</v>
      </c>
      <c r="C17" s="6">
        <v>900100</v>
      </c>
      <c r="D17" s="121" t="s">
        <v>944</v>
      </c>
      <c r="E17" s="9" t="s">
        <v>32</v>
      </c>
      <c r="F17" s="6"/>
      <c r="G17" s="121"/>
      <c r="H17" s="11">
        <f>+STAT3!V17</f>
        <v>0</v>
      </c>
      <c r="I17" s="11">
        <f>+STAT3!W17</f>
        <v>0</v>
      </c>
      <c r="J17" s="11">
        <f>+SUMIFS(JURNAL!G:G,JURNAL!E:E,C17,JURNAL!C:C,"&gt;="&amp;$H$1,JURNAL!C:C,"&lt;="&amp;$I$1)</f>
        <v>0</v>
      </c>
      <c r="K17" s="11">
        <f>+SUMIFS(JURNAL!H:H,JURNAL!E:E,C17,JURNAL!C:C,"&gt;="&amp;$H$1,JURNAL!C:C,"&lt;="&amp;$I$1)</f>
        <v>0</v>
      </c>
      <c r="L17" s="26">
        <f t="shared" si="1"/>
        <v>0</v>
      </c>
      <c r="M17" s="27">
        <f t="shared" si="2"/>
        <v>0</v>
      </c>
      <c r="N17" s="11"/>
      <c r="O17" s="190"/>
      <c r="P17" s="27"/>
      <c r="Q17" s="11"/>
      <c r="R17" s="26">
        <f t="shared" si="3"/>
        <v>0</v>
      </c>
      <c r="S17" s="27">
        <f t="shared" si="4"/>
        <v>0</v>
      </c>
      <c r="T17" s="11"/>
      <c r="U17" s="11"/>
      <c r="V17" s="415">
        <f t="shared" si="7"/>
        <v>0</v>
      </c>
      <c r="W17" s="379">
        <f t="shared" si="0"/>
        <v>0</v>
      </c>
      <c r="X17" s="4">
        <v>1101</v>
      </c>
      <c r="Y17" s="4"/>
      <c r="Z17" s="4"/>
      <c r="AA17" s="12">
        <f t="shared" si="5"/>
        <v>0</v>
      </c>
      <c r="AE17" s="338"/>
      <c r="AF17" s="338"/>
    </row>
    <row r="18" spans="1:32" ht="12.75" customHeight="1">
      <c r="A18" s="24"/>
      <c r="B18" s="108">
        <f t="shared" si="6"/>
        <v>15</v>
      </c>
      <c r="C18" s="6">
        <v>120100</v>
      </c>
      <c r="D18" s="121" t="s">
        <v>945</v>
      </c>
      <c r="E18" s="9" t="s">
        <v>32</v>
      </c>
      <c r="F18" s="6"/>
      <c r="G18" s="6"/>
      <c r="H18" s="11">
        <f>+STAT3!V18</f>
        <v>3389829.0100000035</v>
      </c>
      <c r="I18" s="11">
        <f>+STAT3!W18</f>
        <v>0</v>
      </c>
      <c r="J18" s="11">
        <f>+SUMIFS(JURNAL!G:G,JURNAL!E:E,C18,JURNAL!C:C,"&gt;="&amp;$H$1,JURNAL!C:C,"&lt;="&amp;$I$1)</f>
        <v>75090834.75</v>
      </c>
      <c r="K18" s="11">
        <f>+SUMIFS(JURNAL!H:H,JURNAL!E:E,C18,JURNAL!C:C,"&gt;="&amp;$H$1,JURNAL!C:C,"&lt;="&amp;$I$1)</f>
        <v>75836260.75999999</v>
      </c>
      <c r="L18" s="26">
        <f t="shared" si="1"/>
        <v>2644403.0000000149</v>
      </c>
      <c r="M18" s="27">
        <f t="shared" si="2"/>
        <v>0</v>
      </c>
      <c r="N18" s="11"/>
      <c r="O18" s="190"/>
      <c r="P18" s="27"/>
      <c r="Q18" s="11"/>
      <c r="R18" s="26">
        <f t="shared" si="3"/>
        <v>2644403.0000000149</v>
      </c>
      <c r="S18" s="27">
        <f t="shared" si="4"/>
        <v>0</v>
      </c>
      <c r="T18" s="11"/>
      <c r="U18" s="11"/>
      <c r="V18" s="415">
        <f t="shared" si="7"/>
        <v>2644403.0000000149</v>
      </c>
      <c r="W18" s="379">
        <f t="shared" si="0"/>
        <v>0</v>
      </c>
      <c r="X18" s="4">
        <v>1102</v>
      </c>
      <c r="Y18" s="4"/>
      <c r="Z18" s="4"/>
      <c r="AA18" s="12">
        <f t="shared" si="5"/>
        <v>1</v>
      </c>
      <c r="AE18" s="338"/>
      <c r="AF18" s="338"/>
    </row>
    <row r="19" spans="1:32" ht="12.75" customHeight="1">
      <c r="A19" s="24"/>
      <c r="B19" s="108">
        <f t="shared" si="6"/>
        <v>16</v>
      </c>
      <c r="C19" s="6">
        <v>120201</v>
      </c>
      <c r="D19" s="121" t="s">
        <v>946</v>
      </c>
      <c r="E19" s="9" t="s">
        <v>30</v>
      </c>
      <c r="F19" s="6"/>
      <c r="G19" s="6"/>
      <c r="H19" s="11">
        <f>+STAT3!V19</f>
        <v>0</v>
      </c>
      <c r="I19" s="11">
        <f>+STAT3!W19</f>
        <v>0</v>
      </c>
      <c r="J19" s="11">
        <f>+SUMIFS(JURNAL!G:G,JURNAL!E:E,C19,JURNAL!C:C,"&gt;="&amp;$H$1,JURNAL!C:C,"&lt;="&amp;$I$1)</f>
        <v>0</v>
      </c>
      <c r="K19" s="11">
        <f>+SUMIFS(JURNAL!H:H,JURNAL!E:E,C19,JURNAL!C:C,"&gt;="&amp;$H$1,JURNAL!C:C,"&lt;="&amp;$I$1)</f>
        <v>0</v>
      </c>
      <c r="L19" s="26">
        <f t="shared" si="1"/>
        <v>0</v>
      </c>
      <c r="M19" s="27">
        <f t="shared" si="2"/>
        <v>0</v>
      </c>
      <c r="N19" s="11"/>
      <c r="O19" s="190"/>
      <c r="P19" s="27"/>
      <c r="Q19" s="11"/>
      <c r="R19" s="26">
        <f t="shared" si="3"/>
        <v>0</v>
      </c>
      <c r="S19" s="27">
        <f t="shared" si="4"/>
        <v>0</v>
      </c>
      <c r="T19" s="11"/>
      <c r="U19" s="11"/>
      <c r="V19" s="415">
        <f t="shared" si="7"/>
        <v>0</v>
      </c>
      <c r="W19" s="379">
        <f t="shared" si="0"/>
        <v>0</v>
      </c>
      <c r="X19" s="4">
        <v>1102</v>
      </c>
      <c r="Y19" s="4"/>
      <c r="Z19" s="4"/>
      <c r="AA19" s="12">
        <f t="shared" si="5"/>
        <v>0</v>
      </c>
      <c r="AE19" s="338"/>
      <c r="AF19" s="338"/>
    </row>
    <row r="20" spans="1:32" ht="12.75" customHeight="1">
      <c r="A20" s="24"/>
      <c r="B20" s="108">
        <f t="shared" si="6"/>
        <v>17</v>
      </c>
      <c r="C20" s="6">
        <v>120200</v>
      </c>
      <c r="D20" s="121" t="s">
        <v>947</v>
      </c>
      <c r="E20" s="9" t="s">
        <v>32</v>
      </c>
      <c r="F20" s="6"/>
      <c r="G20" s="6"/>
      <c r="H20" s="11">
        <f>+STAT3!V20</f>
        <v>0</v>
      </c>
      <c r="I20" s="11">
        <f>+STAT3!W20</f>
        <v>0</v>
      </c>
      <c r="J20" s="11">
        <f>+SUMIFS(JURNAL!G:G,JURNAL!E:E,C20,JURNAL!C:C,"&gt;="&amp;$H$1,JURNAL!C:C,"&lt;="&amp;$I$1)</f>
        <v>0</v>
      </c>
      <c r="K20" s="11">
        <f>+SUMIFS(JURNAL!H:H,JURNAL!E:E,C20,JURNAL!C:C,"&gt;="&amp;$H$1,JURNAL!C:C,"&lt;="&amp;$I$1)</f>
        <v>0</v>
      </c>
      <c r="L20" s="26">
        <f t="shared" si="1"/>
        <v>0</v>
      </c>
      <c r="M20" s="27">
        <f t="shared" si="2"/>
        <v>0</v>
      </c>
      <c r="N20" s="11"/>
      <c r="O20" s="190"/>
      <c r="P20" s="27"/>
      <c r="Q20" s="11"/>
      <c r="R20" s="26">
        <f t="shared" si="3"/>
        <v>0</v>
      </c>
      <c r="S20" s="27">
        <f t="shared" si="4"/>
        <v>0</v>
      </c>
      <c r="T20" s="11"/>
      <c r="U20" s="11"/>
      <c r="V20" s="415">
        <f t="shared" si="7"/>
        <v>0</v>
      </c>
      <c r="W20" s="379">
        <f t="shared" si="0"/>
        <v>0</v>
      </c>
      <c r="X20" s="4">
        <v>1102</v>
      </c>
      <c r="Y20" s="4"/>
      <c r="Z20" s="4"/>
      <c r="AA20" s="12">
        <f t="shared" si="5"/>
        <v>0</v>
      </c>
      <c r="AE20" s="338"/>
      <c r="AF20" s="338"/>
    </row>
    <row r="21" spans="1:32" ht="12.75" customHeight="1">
      <c r="A21" s="24"/>
      <c r="B21" s="108">
        <f t="shared" si="6"/>
        <v>18</v>
      </c>
      <c r="C21" s="6">
        <v>120201</v>
      </c>
      <c r="D21" s="121" t="s">
        <v>948</v>
      </c>
      <c r="E21" s="9" t="s">
        <v>30</v>
      </c>
      <c r="F21" s="6"/>
      <c r="G21" s="6"/>
      <c r="H21" s="11">
        <f>+STAT3!V21</f>
        <v>0</v>
      </c>
      <c r="I21" s="11">
        <f>+STAT3!W21</f>
        <v>0</v>
      </c>
      <c r="J21" s="11">
        <f>+SUMIFS(JURNAL!G:G,JURNAL!E:E,C21,JURNAL!C:C,"&gt;="&amp;$H$1,JURNAL!C:C,"&lt;="&amp;$I$1)</f>
        <v>0</v>
      </c>
      <c r="K21" s="11">
        <f>+SUMIFS(JURNAL!H:H,JURNAL!E:E,C21,JURNAL!C:C,"&gt;="&amp;$H$1,JURNAL!C:C,"&lt;="&amp;$I$1)</f>
        <v>0</v>
      </c>
      <c r="L21" s="26">
        <f t="shared" si="1"/>
        <v>0</v>
      </c>
      <c r="M21" s="27">
        <f t="shared" si="2"/>
        <v>0</v>
      </c>
      <c r="N21" s="11"/>
      <c r="O21" s="190"/>
      <c r="P21" s="27"/>
      <c r="Q21" s="11"/>
      <c r="R21" s="26">
        <f t="shared" si="3"/>
        <v>0</v>
      </c>
      <c r="S21" s="27">
        <f t="shared" si="4"/>
        <v>0</v>
      </c>
      <c r="T21" s="11"/>
      <c r="U21" s="11"/>
      <c r="V21" s="415">
        <f t="shared" si="7"/>
        <v>0</v>
      </c>
      <c r="W21" s="379">
        <f t="shared" si="0"/>
        <v>0</v>
      </c>
      <c r="X21" s="4">
        <v>1102</v>
      </c>
      <c r="Y21" s="4"/>
      <c r="Z21" s="4"/>
      <c r="AA21" s="12">
        <f t="shared" si="5"/>
        <v>0</v>
      </c>
      <c r="AE21" s="338"/>
      <c r="AF21" s="338"/>
    </row>
    <row r="22" spans="1:32" ht="12.75" customHeight="1">
      <c r="A22" s="24"/>
      <c r="B22" s="108">
        <f t="shared" si="6"/>
        <v>19</v>
      </c>
      <c r="C22" s="6">
        <v>120202</v>
      </c>
      <c r="D22" s="121" t="s">
        <v>949</v>
      </c>
      <c r="E22" s="9" t="s">
        <v>32</v>
      </c>
      <c r="F22" s="6"/>
      <c r="G22" s="6"/>
      <c r="H22" s="11">
        <f>+STAT3!V22</f>
        <v>0</v>
      </c>
      <c r="I22" s="11">
        <f>+STAT3!W22</f>
        <v>0</v>
      </c>
      <c r="J22" s="11">
        <f>+SUMIFS(JURNAL!G:G,JURNAL!E:E,C22,JURNAL!C:C,"&gt;="&amp;$H$1,JURNAL!C:C,"&lt;="&amp;$I$1)</f>
        <v>0</v>
      </c>
      <c r="K22" s="11">
        <f>+SUMIFS(JURNAL!H:H,JURNAL!E:E,C22,JURNAL!C:C,"&gt;="&amp;$H$1,JURNAL!C:C,"&lt;="&amp;$I$1)</f>
        <v>0</v>
      </c>
      <c r="L22" s="26">
        <f t="shared" si="1"/>
        <v>0</v>
      </c>
      <c r="M22" s="27">
        <f t="shared" si="2"/>
        <v>0</v>
      </c>
      <c r="N22" s="11"/>
      <c r="O22" s="190"/>
      <c r="P22" s="27"/>
      <c r="Q22" s="11"/>
      <c r="R22" s="26">
        <f t="shared" si="3"/>
        <v>0</v>
      </c>
      <c r="S22" s="27">
        <f t="shared" si="4"/>
        <v>0</v>
      </c>
      <c r="T22" s="11"/>
      <c r="U22" s="11"/>
      <c r="V22" s="415">
        <f t="shared" si="7"/>
        <v>0</v>
      </c>
      <c r="W22" s="379">
        <f t="shared" si="0"/>
        <v>0</v>
      </c>
      <c r="X22" s="4">
        <v>1102</v>
      </c>
      <c r="Y22" s="4"/>
      <c r="Z22" s="4"/>
      <c r="AA22" s="12">
        <f t="shared" si="5"/>
        <v>0</v>
      </c>
      <c r="AE22" s="338"/>
      <c r="AF22" s="338"/>
    </row>
    <row r="23" spans="1:32" ht="12.75" customHeight="1">
      <c r="A23" s="24"/>
      <c r="B23" s="108">
        <f t="shared" si="6"/>
        <v>20</v>
      </c>
      <c r="C23" s="6">
        <v>120400</v>
      </c>
      <c r="D23" s="121" t="s">
        <v>543</v>
      </c>
      <c r="E23" s="9" t="s">
        <v>32</v>
      </c>
      <c r="F23" s="6"/>
      <c r="G23" s="6"/>
      <c r="H23" s="11">
        <f>+STAT3!V23</f>
        <v>0</v>
      </c>
      <c r="I23" s="11">
        <f>+STAT3!W23</f>
        <v>0</v>
      </c>
      <c r="J23" s="11">
        <f>+SUMIFS(JURNAL!G:G,JURNAL!E:E,C23,JURNAL!C:C,"&gt;="&amp;$H$1,JURNAL!C:C,"&lt;="&amp;$I$1)</f>
        <v>0</v>
      </c>
      <c r="K23" s="11">
        <f>+SUMIFS(JURNAL!H:H,JURNAL!E:E,C23,JURNAL!C:C,"&gt;="&amp;$H$1,JURNAL!C:C,"&lt;="&amp;$I$1)</f>
        <v>0</v>
      </c>
      <c r="L23" s="26">
        <f t="shared" si="1"/>
        <v>0</v>
      </c>
      <c r="M23" s="27">
        <f t="shared" si="2"/>
        <v>0</v>
      </c>
      <c r="N23" s="11"/>
      <c r="O23" s="190"/>
      <c r="P23" s="27"/>
      <c r="Q23" s="11"/>
      <c r="R23" s="26">
        <f t="shared" si="3"/>
        <v>0</v>
      </c>
      <c r="S23" s="27">
        <f t="shared" si="4"/>
        <v>0</v>
      </c>
      <c r="T23" s="11"/>
      <c r="U23" s="11"/>
      <c r="V23" s="415">
        <f t="shared" si="7"/>
        <v>0</v>
      </c>
      <c r="W23" s="379">
        <f t="shared" si="0"/>
        <v>0</v>
      </c>
      <c r="X23" s="4">
        <v>1104</v>
      </c>
      <c r="Y23" s="4"/>
      <c r="Z23" s="4"/>
      <c r="AA23" s="12">
        <f t="shared" si="5"/>
        <v>0</v>
      </c>
      <c r="AE23" s="338"/>
      <c r="AF23" s="338"/>
    </row>
    <row r="24" spans="1:32" ht="12.75" customHeight="1">
      <c r="A24" s="24"/>
      <c r="B24" s="108">
        <f t="shared" si="6"/>
        <v>21</v>
      </c>
      <c r="C24" s="6">
        <v>120401</v>
      </c>
      <c r="D24" s="121" t="s">
        <v>950</v>
      </c>
      <c r="E24" s="9" t="s">
        <v>30</v>
      </c>
      <c r="F24" s="6"/>
      <c r="G24" s="6"/>
      <c r="H24" s="11">
        <f>+STAT3!V24</f>
        <v>0</v>
      </c>
      <c r="I24" s="11">
        <f>+STAT3!W24</f>
        <v>0</v>
      </c>
      <c r="J24" s="11">
        <f>+SUMIFS(JURNAL!G:G,JURNAL!E:E,C24,JURNAL!C:C,"&gt;="&amp;$H$1,JURNAL!C:C,"&lt;="&amp;$I$1)</f>
        <v>0</v>
      </c>
      <c r="K24" s="11">
        <f>+SUMIFS(JURNAL!H:H,JURNAL!E:E,C24,JURNAL!C:C,"&gt;="&amp;$H$1,JURNAL!C:C,"&lt;="&amp;$I$1)</f>
        <v>0</v>
      </c>
      <c r="L24" s="26">
        <f t="shared" si="1"/>
        <v>0</v>
      </c>
      <c r="M24" s="27">
        <f t="shared" si="2"/>
        <v>0</v>
      </c>
      <c r="N24" s="11"/>
      <c r="O24" s="190"/>
      <c r="P24" s="27"/>
      <c r="Q24" s="11"/>
      <c r="R24" s="26">
        <f t="shared" si="3"/>
        <v>0</v>
      </c>
      <c r="S24" s="27">
        <f t="shared" si="4"/>
        <v>0</v>
      </c>
      <c r="T24" s="11"/>
      <c r="U24" s="11"/>
      <c r="V24" s="415">
        <f t="shared" si="7"/>
        <v>0</v>
      </c>
      <c r="W24" s="379">
        <f t="shared" si="0"/>
        <v>0</v>
      </c>
      <c r="X24" s="4">
        <v>1104</v>
      </c>
      <c r="Y24" s="4"/>
      <c r="Z24" s="4"/>
      <c r="AA24" s="12">
        <f t="shared" si="5"/>
        <v>0</v>
      </c>
      <c r="AE24" s="338"/>
      <c r="AF24" s="338"/>
    </row>
    <row r="25" spans="1:32" ht="12.75" customHeight="1">
      <c r="A25" s="24"/>
      <c r="B25" s="108">
        <f t="shared" si="6"/>
        <v>22</v>
      </c>
      <c r="C25" s="6">
        <v>120600</v>
      </c>
      <c r="D25" s="121" t="s">
        <v>548</v>
      </c>
      <c r="E25" s="9" t="s">
        <v>32</v>
      </c>
      <c r="F25" s="6"/>
      <c r="G25" s="6"/>
      <c r="H25" s="11">
        <f>+STAT3!V25</f>
        <v>0</v>
      </c>
      <c r="I25" s="11">
        <f>+STAT3!W25</f>
        <v>1.8181814812123775E-3</v>
      </c>
      <c r="J25" s="11">
        <f>+SUMIFS(JURNAL!G:G,JURNAL!E:E,C25,JURNAL!C:C,"&gt;="&amp;$H$1,JURNAL!C:C,"&lt;="&amp;$I$1)</f>
        <v>11683890.569999998</v>
      </c>
      <c r="K25" s="11">
        <f>+SUMIFS(JURNAL!H:H,JURNAL!E:E,C25,JURNAL!C:C,"&gt;="&amp;$H$1,JURNAL!C:C,"&lt;="&amp;$I$1)</f>
        <v>0</v>
      </c>
      <c r="L25" s="26">
        <f t="shared" si="1"/>
        <v>11683890.568181816</v>
      </c>
      <c r="M25" s="27">
        <f t="shared" si="2"/>
        <v>0</v>
      </c>
      <c r="N25" s="11"/>
      <c r="O25" s="27">
        <v>11683890.568181816</v>
      </c>
      <c r="P25" s="27"/>
      <c r="Q25" s="11"/>
      <c r="R25" s="26">
        <f t="shared" si="3"/>
        <v>0</v>
      </c>
      <c r="S25" s="27">
        <f t="shared" si="4"/>
        <v>0</v>
      </c>
      <c r="T25" s="11"/>
      <c r="U25" s="11"/>
      <c r="V25" s="415">
        <f t="shared" si="7"/>
        <v>0</v>
      </c>
      <c r="W25" s="379">
        <f t="shared" si="0"/>
        <v>0</v>
      </c>
      <c r="X25" s="4">
        <v>1103</v>
      </c>
      <c r="Y25" s="4"/>
      <c r="Z25" s="4"/>
      <c r="AA25" s="12">
        <f t="shared" si="5"/>
        <v>1</v>
      </c>
      <c r="AE25" s="338"/>
      <c r="AF25" s="338"/>
    </row>
    <row r="26" spans="1:32" ht="12.75" customHeight="1">
      <c r="A26" s="24"/>
      <c r="B26" s="108">
        <f t="shared" si="6"/>
        <v>23</v>
      </c>
      <c r="C26" s="6">
        <v>120700</v>
      </c>
      <c r="D26" s="121" t="s">
        <v>553</v>
      </c>
      <c r="E26" s="9" t="s">
        <v>32</v>
      </c>
      <c r="F26" s="6"/>
      <c r="G26" s="6"/>
      <c r="H26" s="11">
        <f>+STAT3!V26</f>
        <v>99989.61</v>
      </c>
      <c r="I26" s="11">
        <f>+STAT3!W26</f>
        <v>0</v>
      </c>
      <c r="J26" s="11">
        <f>+SUMIFS(JURNAL!G:G,JURNAL!E:E,C26,JURNAL!C:C,"&gt;="&amp;$H$1,JURNAL!C:C,"&lt;="&amp;$I$1)</f>
        <v>0</v>
      </c>
      <c r="K26" s="11">
        <f>+SUMIFS(JURNAL!H:H,JURNAL!E:E,C26,JURNAL!C:C,"&gt;="&amp;$H$1,JURNAL!C:C,"&lt;="&amp;$I$1)</f>
        <v>0</v>
      </c>
      <c r="L26" s="26">
        <f t="shared" si="1"/>
        <v>99989.61</v>
      </c>
      <c r="M26" s="27">
        <f t="shared" si="2"/>
        <v>0</v>
      </c>
      <c r="N26" s="11"/>
      <c r="O26" s="190"/>
      <c r="P26" s="27"/>
      <c r="Q26" s="11"/>
      <c r="R26" s="26">
        <f t="shared" si="3"/>
        <v>99989.61</v>
      </c>
      <c r="S26" s="27">
        <f t="shared" si="4"/>
        <v>0</v>
      </c>
      <c r="T26" s="11"/>
      <c r="U26" s="11"/>
      <c r="V26" s="415">
        <f t="shared" si="7"/>
        <v>99989.61</v>
      </c>
      <c r="W26" s="379">
        <f t="shared" si="0"/>
        <v>0</v>
      </c>
      <c r="X26" s="4">
        <v>1103</v>
      </c>
      <c r="Y26" s="4"/>
      <c r="Z26" s="4"/>
      <c r="AA26" s="12">
        <f t="shared" si="5"/>
        <v>1</v>
      </c>
      <c r="AE26" s="338"/>
      <c r="AF26" s="338"/>
    </row>
    <row r="27" spans="1:32" ht="12.75" customHeight="1">
      <c r="A27" s="24"/>
      <c r="B27" s="108">
        <f t="shared" si="6"/>
        <v>24</v>
      </c>
      <c r="C27" s="6">
        <v>120800</v>
      </c>
      <c r="D27" s="121" t="s">
        <v>558</v>
      </c>
      <c r="E27" s="9" t="s">
        <v>32</v>
      </c>
      <c r="F27" s="6"/>
      <c r="G27" s="6"/>
      <c r="H27" s="11">
        <f>+STAT3!V27</f>
        <v>0</v>
      </c>
      <c r="I27" s="11">
        <f>+STAT3!W27</f>
        <v>0</v>
      </c>
      <c r="J27" s="11">
        <f>+SUMIFS(JURNAL!G:G,JURNAL!E:E,C27,JURNAL!C:C,"&gt;="&amp;$H$1,JURNAL!C:C,"&lt;="&amp;$I$1)</f>
        <v>8800000</v>
      </c>
      <c r="K27" s="11">
        <f>+SUMIFS(JURNAL!H:H,JURNAL!E:E,C27,JURNAL!C:C,"&gt;="&amp;$H$1,JURNAL!C:C,"&lt;="&amp;$I$1)</f>
        <v>0</v>
      </c>
      <c r="L27" s="26">
        <f t="shared" si="1"/>
        <v>8800000</v>
      </c>
      <c r="M27" s="27">
        <f t="shared" si="2"/>
        <v>0</v>
      </c>
      <c r="N27" s="11"/>
      <c r="O27" s="121">
        <v>8731756.0800000001</v>
      </c>
      <c r="P27" s="27"/>
      <c r="Q27" s="11"/>
      <c r="R27" s="26">
        <f t="shared" si="3"/>
        <v>68243.919999999925</v>
      </c>
      <c r="S27" s="27">
        <f t="shared" si="4"/>
        <v>0</v>
      </c>
      <c r="T27" s="11"/>
      <c r="U27" s="11"/>
      <c r="V27" s="415">
        <f t="shared" si="7"/>
        <v>68243.919999999925</v>
      </c>
      <c r="W27" s="379">
        <f t="shared" si="0"/>
        <v>0</v>
      </c>
      <c r="X27" s="4">
        <v>1103</v>
      </c>
      <c r="Y27" s="4"/>
      <c r="Z27" s="4"/>
      <c r="AA27" s="12">
        <f t="shared" si="5"/>
        <v>1</v>
      </c>
      <c r="AD27" s="79"/>
      <c r="AE27" s="338"/>
      <c r="AF27" s="338"/>
    </row>
    <row r="28" spans="1:32" ht="12.75" customHeight="1">
      <c r="A28" s="24"/>
      <c r="B28" s="108">
        <f t="shared" si="6"/>
        <v>25</v>
      </c>
      <c r="C28" s="6">
        <v>120900</v>
      </c>
      <c r="D28" s="121" t="s">
        <v>563</v>
      </c>
      <c r="E28" s="9" t="s">
        <v>32</v>
      </c>
      <c r="F28" s="6"/>
      <c r="G28" s="6"/>
      <c r="H28" s="11">
        <f>+STAT3!V28</f>
        <v>0</v>
      </c>
      <c r="I28" s="11">
        <f>+STAT3!W28</f>
        <v>0</v>
      </c>
      <c r="J28" s="11">
        <f>+SUMIFS(JURNAL!G:G,JURNAL!E:E,C28,JURNAL!C:C,"&gt;="&amp;$H$1,JURNAL!C:C,"&lt;="&amp;$I$1)</f>
        <v>17806211.989999998</v>
      </c>
      <c r="K28" s="11">
        <f>+SUMIFS(JURNAL!H:H,JURNAL!E:E,C28,JURNAL!C:C,"&gt;="&amp;$H$1,JURNAL!C:C,"&lt;="&amp;$I$1)</f>
        <v>0</v>
      </c>
      <c r="L28" s="26">
        <f t="shared" si="1"/>
        <v>17806211.989999998</v>
      </c>
      <c r="M28" s="27">
        <f t="shared" si="2"/>
        <v>0</v>
      </c>
      <c r="N28" s="11"/>
      <c r="O28" s="27">
        <v>17619567.879999999</v>
      </c>
      <c r="P28" s="27"/>
      <c r="Q28" s="11"/>
      <c r="R28" s="26">
        <f t="shared" si="3"/>
        <v>186644.1099999994</v>
      </c>
      <c r="S28" s="27">
        <f t="shared" si="4"/>
        <v>0</v>
      </c>
      <c r="T28" s="11"/>
      <c r="U28" s="11"/>
      <c r="V28" s="873">
        <f t="shared" si="7"/>
        <v>186644.1099999994</v>
      </c>
      <c r="W28" s="379">
        <f t="shared" si="0"/>
        <v>0</v>
      </c>
      <c r="X28" s="4">
        <v>1103</v>
      </c>
      <c r="Y28" s="4"/>
      <c r="Z28" s="4"/>
      <c r="AA28" s="12">
        <f t="shared" si="5"/>
        <v>1</v>
      </c>
      <c r="AC28" s="307">
        <v>186644.61</v>
      </c>
      <c r="AD28" s="987">
        <f>+AC28-V28</f>
        <v>0.50000000058207661</v>
      </c>
      <c r="AE28" s="338"/>
      <c r="AF28" s="338"/>
    </row>
    <row r="29" spans="1:32" ht="12.75" customHeight="1">
      <c r="A29" s="24"/>
      <c r="B29" s="108">
        <f t="shared" si="6"/>
        <v>26</v>
      </c>
      <c r="C29" s="6">
        <v>121000</v>
      </c>
      <c r="D29" s="121" t="s">
        <v>568</v>
      </c>
      <c r="E29" s="9" t="s">
        <v>32</v>
      </c>
      <c r="F29" s="6"/>
      <c r="G29" s="6"/>
      <c r="H29" s="11">
        <f>+STAT3!V29</f>
        <v>0</v>
      </c>
      <c r="I29" s="11">
        <f>+STAT3!W29</f>
        <v>0</v>
      </c>
      <c r="J29" s="11">
        <f>+SUMIFS(JURNAL!G:G,JURNAL!E:E,C29,JURNAL!C:C,"&gt;="&amp;$H$1,JURNAL!C:C,"&lt;="&amp;$I$1)</f>
        <v>0</v>
      </c>
      <c r="K29" s="11">
        <f>+SUMIFS(JURNAL!H:H,JURNAL!E:E,C29,JURNAL!C:C,"&gt;="&amp;$H$1,JURNAL!C:C,"&lt;="&amp;$I$1)</f>
        <v>0</v>
      </c>
      <c r="L29" s="26">
        <f t="shared" si="1"/>
        <v>0</v>
      </c>
      <c r="M29" s="27">
        <f t="shared" si="2"/>
        <v>0</v>
      </c>
      <c r="N29" s="11"/>
      <c r="O29" s="190"/>
      <c r="P29" s="27"/>
      <c r="Q29" s="11"/>
      <c r="R29" s="26">
        <f t="shared" si="3"/>
        <v>0</v>
      </c>
      <c r="S29" s="27">
        <f t="shared" si="4"/>
        <v>0</v>
      </c>
      <c r="T29" s="11"/>
      <c r="U29" s="11"/>
      <c r="V29" s="415">
        <f t="shared" si="7"/>
        <v>0</v>
      </c>
      <c r="W29" s="379">
        <f t="shared" si="0"/>
        <v>0</v>
      </c>
      <c r="X29" s="4">
        <v>1103</v>
      </c>
      <c r="Y29" s="4"/>
      <c r="Z29" s="4"/>
      <c r="AA29" s="12">
        <f t="shared" si="5"/>
        <v>0</v>
      </c>
      <c r="AE29" s="338"/>
      <c r="AF29" s="338"/>
    </row>
    <row r="30" spans="1:32" ht="12.75" customHeight="1">
      <c r="A30" s="24"/>
      <c r="B30" s="108">
        <f t="shared" si="6"/>
        <v>27</v>
      </c>
      <c r="C30" s="6">
        <v>121100</v>
      </c>
      <c r="D30" s="121" t="s">
        <v>573</v>
      </c>
      <c r="E30" s="9" t="s">
        <v>32</v>
      </c>
      <c r="F30" s="6"/>
      <c r="G30" s="6"/>
      <c r="H30" s="11">
        <f>+STAT3!V30</f>
        <v>0</v>
      </c>
      <c r="I30" s="11">
        <f>+STAT3!W30</f>
        <v>0</v>
      </c>
      <c r="J30" s="11">
        <f>+SUMIFS(JURNAL!G:G,JURNAL!E:E,C30,JURNAL!C:C,"&gt;="&amp;$H$1,JURNAL!C:C,"&lt;="&amp;$I$1)</f>
        <v>0</v>
      </c>
      <c r="K30" s="11">
        <f>+SUMIFS(JURNAL!H:H,JURNAL!E:E,C30,JURNAL!C:C,"&gt;="&amp;$H$1,JURNAL!C:C,"&lt;="&amp;$I$1)</f>
        <v>0</v>
      </c>
      <c r="L30" s="26">
        <f t="shared" si="1"/>
        <v>0</v>
      </c>
      <c r="M30" s="27">
        <f t="shared" si="2"/>
        <v>0</v>
      </c>
      <c r="N30" s="11"/>
      <c r="O30" s="190"/>
      <c r="P30" s="27"/>
      <c r="Q30" s="11"/>
      <c r="R30" s="26">
        <f t="shared" si="3"/>
        <v>0</v>
      </c>
      <c r="S30" s="27">
        <f t="shared" si="4"/>
        <v>0</v>
      </c>
      <c r="T30" s="11"/>
      <c r="U30" s="11"/>
      <c r="V30" s="415">
        <f t="shared" si="7"/>
        <v>0</v>
      </c>
      <c r="W30" s="379">
        <f t="shared" si="0"/>
        <v>0</v>
      </c>
      <c r="X30" s="4">
        <v>1104</v>
      </c>
      <c r="Y30" s="4"/>
      <c r="Z30" s="4"/>
      <c r="AA30" s="12">
        <f t="shared" si="5"/>
        <v>0</v>
      </c>
      <c r="AE30" s="338"/>
      <c r="AF30" s="338"/>
    </row>
    <row r="31" spans="1:32" ht="12.75" customHeight="1">
      <c r="A31" s="24"/>
      <c r="B31" s="108">
        <f t="shared" si="6"/>
        <v>28</v>
      </c>
      <c r="C31" s="6">
        <v>121200</v>
      </c>
      <c r="D31" s="121" t="s">
        <v>951</v>
      </c>
      <c r="E31" s="9" t="s">
        <v>32</v>
      </c>
      <c r="F31" s="6"/>
      <c r="G31" s="6"/>
      <c r="H31" s="11">
        <f>+STAT3!V31</f>
        <v>0</v>
      </c>
      <c r="I31" s="11">
        <f>+STAT3!W31</f>
        <v>0</v>
      </c>
      <c r="J31" s="11">
        <f>+SUMIFS(JURNAL!G:G,JURNAL!E:E,C31,JURNAL!C:C,"&gt;="&amp;$H$1,JURNAL!C:C,"&lt;="&amp;$I$1)</f>
        <v>4766500</v>
      </c>
      <c r="K31" s="11">
        <f>+SUMIFS(JURNAL!H:H,JURNAL!E:E,C31,JURNAL!C:C,"&gt;="&amp;$H$1,JURNAL!C:C,"&lt;="&amp;$I$1)</f>
        <v>4766500</v>
      </c>
      <c r="L31" s="26">
        <f t="shared" si="1"/>
        <v>0</v>
      </c>
      <c r="M31" s="27">
        <f t="shared" si="2"/>
        <v>0</v>
      </c>
      <c r="N31" s="11"/>
      <c r="O31" s="190"/>
      <c r="P31" s="27"/>
      <c r="Q31" s="11"/>
      <c r="R31" s="26">
        <f t="shared" si="3"/>
        <v>0</v>
      </c>
      <c r="S31" s="27">
        <f t="shared" si="4"/>
        <v>0</v>
      </c>
      <c r="T31" s="11"/>
      <c r="U31" s="11"/>
      <c r="V31" s="415">
        <f t="shared" si="7"/>
        <v>0</v>
      </c>
      <c r="W31" s="379">
        <f t="shared" si="0"/>
        <v>0</v>
      </c>
      <c r="X31" s="4">
        <v>1104</v>
      </c>
      <c r="Y31" s="4"/>
      <c r="Z31" s="4"/>
      <c r="AA31" s="12">
        <f t="shared" si="5"/>
        <v>1</v>
      </c>
      <c r="AE31" s="338"/>
      <c r="AF31" s="338"/>
    </row>
    <row r="32" spans="1:32" ht="12.75" customHeight="1">
      <c r="A32" s="24"/>
      <c r="B32" s="108">
        <f t="shared" si="6"/>
        <v>29</v>
      </c>
      <c r="C32" s="6">
        <v>122000</v>
      </c>
      <c r="D32" s="121" t="s">
        <v>952</v>
      </c>
      <c r="E32" s="9" t="s">
        <v>32</v>
      </c>
      <c r="F32" s="6"/>
      <c r="G32" s="6"/>
      <c r="H32" s="11">
        <f>+STAT3!V32</f>
        <v>0</v>
      </c>
      <c r="I32" s="11">
        <f>+STAT3!W32</f>
        <v>0</v>
      </c>
      <c r="J32" s="11">
        <f>+SUMIFS(JURNAL!G:G,JURNAL!E:E,C32,JURNAL!C:C,"&gt;="&amp;$H$1,JURNAL!C:C,"&lt;="&amp;$I$1)</f>
        <v>0</v>
      </c>
      <c r="K32" s="11">
        <f>+SUMIFS(JURNAL!H:H,JURNAL!E:E,C32,JURNAL!C:C,"&gt;="&amp;$H$1,JURNAL!C:C,"&lt;="&amp;$I$1)</f>
        <v>0</v>
      </c>
      <c r="L32" s="26">
        <f t="shared" si="1"/>
        <v>0</v>
      </c>
      <c r="M32" s="27">
        <f t="shared" si="2"/>
        <v>0</v>
      </c>
      <c r="N32" s="11"/>
      <c r="O32" s="190"/>
      <c r="P32" s="27"/>
      <c r="Q32" s="11"/>
      <c r="R32" s="26">
        <f t="shared" si="3"/>
        <v>0</v>
      </c>
      <c r="S32" s="27">
        <f t="shared" si="4"/>
        <v>0</v>
      </c>
      <c r="T32" s="11"/>
      <c r="U32" s="11"/>
      <c r="V32" s="415">
        <f t="shared" si="7"/>
        <v>0</v>
      </c>
      <c r="W32" s="379">
        <f t="shared" si="0"/>
        <v>0</v>
      </c>
      <c r="X32" s="4">
        <v>1104</v>
      </c>
      <c r="Y32" s="4"/>
      <c r="Z32" s="4"/>
      <c r="AA32" s="12">
        <f t="shared" si="5"/>
        <v>0</v>
      </c>
      <c r="AE32" s="338"/>
      <c r="AF32" s="338"/>
    </row>
    <row r="33" spans="1:32" ht="12.75" customHeight="1">
      <c r="A33" s="24"/>
      <c r="B33" s="108">
        <f t="shared" si="6"/>
        <v>30</v>
      </c>
      <c r="C33" s="6">
        <v>122001</v>
      </c>
      <c r="D33" s="121" t="s">
        <v>953</v>
      </c>
      <c r="E33" s="9" t="s">
        <v>30</v>
      </c>
      <c r="F33" s="6"/>
      <c r="G33" s="6"/>
      <c r="H33" s="11">
        <f>+STAT3!V33</f>
        <v>0</v>
      </c>
      <c r="I33" s="11">
        <f>+STAT3!W33</f>
        <v>0</v>
      </c>
      <c r="J33" s="11">
        <f>+SUMIFS(JURNAL!G:G,JURNAL!E:E,C33,JURNAL!C:C,"&gt;="&amp;$H$1,JURNAL!C:C,"&lt;="&amp;$I$1)</f>
        <v>0</v>
      </c>
      <c r="K33" s="11">
        <f>+SUMIFS(JURNAL!H:H,JURNAL!E:E,C33,JURNAL!C:C,"&gt;="&amp;$H$1,JURNAL!C:C,"&lt;="&amp;$I$1)</f>
        <v>0</v>
      </c>
      <c r="L33" s="26">
        <f t="shared" si="1"/>
        <v>0</v>
      </c>
      <c r="M33" s="27">
        <f t="shared" si="2"/>
        <v>0</v>
      </c>
      <c r="N33" s="11"/>
      <c r="O33" s="190"/>
      <c r="P33" s="27"/>
      <c r="Q33" s="11"/>
      <c r="R33" s="26">
        <f t="shared" si="3"/>
        <v>0</v>
      </c>
      <c r="S33" s="27">
        <f t="shared" si="4"/>
        <v>0</v>
      </c>
      <c r="T33" s="11"/>
      <c r="U33" s="11"/>
      <c r="V33" s="415">
        <f t="shared" si="7"/>
        <v>0</v>
      </c>
      <c r="W33" s="379">
        <f t="shared" si="0"/>
        <v>0</v>
      </c>
      <c r="X33" s="4">
        <v>1104</v>
      </c>
      <c r="Y33" s="4"/>
      <c r="Z33" s="4"/>
      <c r="AA33" s="12">
        <f t="shared" si="5"/>
        <v>0</v>
      </c>
      <c r="AE33" s="338"/>
      <c r="AF33" s="338"/>
    </row>
    <row r="34" spans="1:32" ht="12.75" customHeight="1">
      <c r="A34" s="24"/>
      <c r="B34" s="108">
        <f t="shared" si="6"/>
        <v>31</v>
      </c>
      <c r="C34" s="6">
        <v>130100</v>
      </c>
      <c r="D34" s="121" t="s">
        <v>582</v>
      </c>
      <c r="E34" s="9" t="s">
        <v>32</v>
      </c>
      <c r="F34" s="6"/>
      <c r="G34" s="6"/>
      <c r="H34" s="11">
        <f>+STAT3!V34</f>
        <v>0</v>
      </c>
      <c r="I34" s="11">
        <f>+STAT3!W34</f>
        <v>0</v>
      </c>
      <c r="J34" s="11">
        <f>+SUMIFS(JURNAL!G:G,JURNAL!E:E,C34,JURNAL!C:C,"&gt;="&amp;$H$1,JURNAL!C:C,"&lt;="&amp;$I$1)</f>
        <v>0</v>
      </c>
      <c r="K34" s="11">
        <f>+SUMIFS(JURNAL!H:H,JURNAL!E:E,C34,JURNAL!C:C,"&gt;="&amp;$H$1,JURNAL!C:C,"&lt;="&amp;$I$1)</f>
        <v>0</v>
      </c>
      <c r="L34" s="26">
        <f t="shared" si="1"/>
        <v>0</v>
      </c>
      <c r="M34" s="27">
        <f t="shared" si="2"/>
        <v>0</v>
      </c>
      <c r="N34" s="11"/>
      <c r="O34" s="190"/>
      <c r="P34" s="27"/>
      <c r="Q34" s="11"/>
      <c r="R34" s="26">
        <f t="shared" si="3"/>
        <v>0</v>
      </c>
      <c r="S34" s="27">
        <f t="shared" si="4"/>
        <v>0</v>
      </c>
      <c r="T34" s="11"/>
      <c r="U34" s="11"/>
      <c r="V34" s="415">
        <f t="shared" si="7"/>
        <v>0</v>
      </c>
      <c r="W34" s="379">
        <f t="shared" si="0"/>
        <v>0</v>
      </c>
      <c r="X34" s="4">
        <v>1105</v>
      </c>
      <c r="Y34" s="4"/>
      <c r="Z34" s="4"/>
      <c r="AA34" s="12">
        <f t="shared" si="5"/>
        <v>0</v>
      </c>
      <c r="AE34" s="338"/>
      <c r="AF34" s="338"/>
    </row>
    <row r="35" spans="1:32" ht="12.75" customHeight="1">
      <c r="A35" s="24"/>
      <c r="B35" s="108">
        <f t="shared" si="6"/>
        <v>32</v>
      </c>
      <c r="C35" s="6">
        <v>130500</v>
      </c>
      <c r="D35" s="121" t="s">
        <v>586</v>
      </c>
      <c r="E35" s="9" t="s">
        <v>32</v>
      </c>
      <c r="F35" s="6"/>
      <c r="G35" s="6"/>
      <c r="H35" s="11">
        <f>+STAT3!V35</f>
        <v>0</v>
      </c>
      <c r="I35" s="11">
        <f>+STAT3!W35</f>
        <v>0</v>
      </c>
      <c r="J35" s="11">
        <f>+SUMIFS(JURNAL!G:G,JURNAL!E:E,C35,JURNAL!C:C,"&gt;="&amp;$H$1,JURNAL!C:C,"&lt;="&amp;$I$1)</f>
        <v>0</v>
      </c>
      <c r="K35" s="11">
        <f>+SUMIFS(JURNAL!H:H,JURNAL!E:E,C35,JURNAL!C:C,"&gt;="&amp;$H$1,JURNAL!C:C,"&lt;="&amp;$I$1)</f>
        <v>0</v>
      </c>
      <c r="L35" s="26">
        <f t="shared" si="1"/>
        <v>0</v>
      </c>
      <c r="M35" s="27">
        <f t="shared" si="2"/>
        <v>0</v>
      </c>
      <c r="N35" s="11"/>
      <c r="O35" s="190"/>
      <c r="P35" s="27"/>
      <c r="Q35" s="11"/>
      <c r="R35" s="26">
        <f t="shared" si="3"/>
        <v>0</v>
      </c>
      <c r="S35" s="27">
        <f t="shared" si="4"/>
        <v>0</v>
      </c>
      <c r="T35" s="11"/>
      <c r="U35" s="11"/>
      <c r="V35" s="415">
        <f t="shared" si="7"/>
        <v>0</v>
      </c>
      <c r="W35" s="379">
        <f t="shared" si="0"/>
        <v>0</v>
      </c>
      <c r="X35" s="4">
        <v>1105</v>
      </c>
      <c r="Y35" s="4"/>
      <c r="Z35" s="4"/>
      <c r="AA35" s="12">
        <f t="shared" si="5"/>
        <v>0</v>
      </c>
      <c r="AE35" s="338"/>
      <c r="AF35" s="338"/>
    </row>
    <row r="36" spans="1:32" ht="12.75" customHeight="1">
      <c r="A36" s="24"/>
      <c r="B36" s="108">
        <f t="shared" si="6"/>
        <v>33</v>
      </c>
      <c r="C36" s="6">
        <v>140100</v>
      </c>
      <c r="D36" s="121" t="s">
        <v>591</v>
      </c>
      <c r="E36" s="9" t="s">
        <v>32</v>
      </c>
      <c r="F36" s="6"/>
      <c r="G36" s="6"/>
      <c r="H36" s="11">
        <f>+STAT3!V36</f>
        <v>0</v>
      </c>
      <c r="I36" s="11">
        <f>+STAT3!W36</f>
        <v>0</v>
      </c>
      <c r="J36" s="11">
        <f>+SUMIFS(JURNAL!G:G,JURNAL!E:E,C36,JURNAL!C:C,"&gt;="&amp;$H$1,JURNAL!C:C,"&lt;="&amp;$I$1)</f>
        <v>68082636.370000005</v>
      </c>
      <c r="K36" s="11">
        <f>+SUMIFS(JURNAL!H:H,JURNAL!E:E,C36,JURNAL!C:C,"&gt;="&amp;$H$1,JURNAL!C:C,"&lt;="&amp;$I$1)</f>
        <v>30000000</v>
      </c>
      <c r="L36" s="26">
        <f t="shared" si="1"/>
        <v>38082636.370000005</v>
      </c>
      <c r="M36" s="27">
        <f t="shared" si="2"/>
        <v>0</v>
      </c>
      <c r="N36" s="11"/>
      <c r="O36" s="190"/>
      <c r="P36" s="27"/>
      <c r="Q36" s="11"/>
      <c r="R36" s="26">
        <f t="shared" si="3"/>
        <v>38082636.370000005</v>
      </c>
      <c r="S36" s="27">
        <f t="shared" si="4"/>
        <v>0</v>
      </c>
      <c r="T36" s="11"/>
      <c r="U36" s="11"/>
      <c r="V36" s="415">
        <f t="shared" si="7"/>
        <v>38082636.370000005</v>
      </c>
      <c r="W36" s="379">
        <f t="shared" si="0"/>
        <v>0</v>
      </c>
      <c r="X36" s="4">
        <v>1107</v>
      </c>
      <c r="Y36" s="4"/>
      <c r="Z36" s="4"/>
      <c r="AA36" s="12">
        <f t="shared" si="5"/>
        <v>1</v>
      </c>
      <c r="AE36" s="338"/>
      <c r="AF36" s="338"/>
    </row>
    <row r="37" spans="1:32" ht="12.75" customHeight="1">
      <c r="A37" s="24"/>
      <c r="B37" s="108">
        <f t="shared" si="6"/>
        <v>34</v>
      </c>
      <c r="C37" s="6">
        <v>140200</v>
      </c>
      <c r="D37" s="121" t="s">
        <v>1545</v>
      </c>
      <c r="E37" s="9" t="s">
        <v>32</v>
      </c>
      <c r="F37" s="6"/>
      <c r="G37" s="6"/>
      <c r="H37" s="11">
        <f>+STAT3!V37</f>
        <v>0</v>
      </c>
      <c r="I37" s="11">
        <f>+STAT3!W37</f>
        <v>0</v>
      </c>
      <c r="J37" s="11">
        <f>+SUMIFS(JURNAL!G:G,JURNAL!E:E,C37,JURNAL!C:C,"&gt;="&amp;$H$1,JURNAL!C:C,"&lt;="&amp;$I$1)</f>
        <v>30000000</v>
      </c>
      <c r="K37" s="11">
        <f>+SUMIFS(JURNAL!H:H,JURNAL!E:E,C37,JURNAL!C:C,"&gt;="&amp;$H$1,JURNAL!C:C,"&lt;="&amp;$I$1)</f>
        <v>30000000</v>
      </c>
      <c r="L37" s="26">
        <f t="shared" si="1"/>
        <v>0</v>
      </c>
      <c r="M37" s="27">
        <f t="shared" si="2"/>
        <v>0</v>
      </c>
      <c r="N37" s="11"/>
      <c r="O37" s="190"/>
      <c r="P37" s="27"/>
      <c r="Q37" s="11"/>
      <c r="R37" s="26">
        <f t="shared" si="3"/>
        <v>0</v>
      </c>
      <c r="S37" s="27">
        <f t="shared" si="4"/>
        <v>0</v>
      </c>
      <c r="T37" s="11"/>
      <c r="U37" s="11"/>
      <c r="V37" s="415">
        <f t="shared" si="7"/>
        <v>0</v>
      </c>
      <c r="W37" s="379">
        <f t="shared" si="0"/>
        <v>0</v>
      </c>
      <c r="X37" s="4">
        <v>1107</v>
      </c>
      <c r="Y37" s="4"/>
      <c r="Z37" s="4"/>
      <c r="AA37" s="12">
        <f t="shared" si="5"/>
        <v>1</v>
      </c>
      <c r="AE37" s="338"/>
      <c r="AF37" s="338"/>
    </row>
    <row r="38" spans="1:32" ht="12.75" customHeight="1">
      <c r="A38" s="24"/>
      <c r="B38" s="108">
        <f t="shared" si="6"/>
        <v>35</v>
      </c>
      <c r="C38" s="6">
        <v>140201</v>
      </c>
      <c r="D38" s="121" t="s">
        <v>1546</v>
      </c>
      <c r="E38" s="9" t="s">
        <v>32</v>
      </c>
      <c r="F38" s="6"/>
      <c r="G38" s="6"/>
      <c r="H38" s="11">
        <f>+STAT3!V38</f>
        <v>0</v>
      </c>
      <c r="I38" s="11">
        <f>+STAT3!W38</f>
        <v>0</v>
      </c>
      <c r="J38" s="11">
        <f>+SUMIFS(JURNAL!G:G,JURNAL!E:E,C38,JURNAL!C:C,"&gt;="&amp;$H$1,JURNAL!C:C,"&lt;="&amp;$I$1)</f>
        <v>2785264.03</v>
      </c>
      <c r="K38" s="11">
        <f>+SUMIFS(JURNAL!H:H,JURNAL!E:E,C38,JURNAL!C:C,"&gt;="&amp;$H$1,JURNAL!C:C,"&lt;="&amp;$I$1)</f>
        <v>2785264.03</v>
      </c>
      <c r="L38" s="26">
        <f t="shared" si="1"/>
        <v>0</v>
      </c>
      <c r="M38" s="27">
        <f t="shared" si="2"/>
        <v>0</v>
      </c>
      <c r="N38" s="11"/>
      <c r="O38" s="190"/>
      <c r="P38" s="27"/>
      <c r="Q38" s="11"/>
      <c r="R38" s="26">
        <f t="shared" si="3"/>
        <v>0</v>
      </c>
      <c r="S38" s="27">
        <f t="shared" si="4"/>
        <v>0</v>
      </c>
      <c r="T38" s="11"/>
      <c r="U38" s="11"/>
      <c r="V38" s="415">
        <f t="shared" si="7"/>
        <v>0</v>
      </c>
      <c r="W38" s="379">
        <f t="shared" si="0"/>
        <v>0</v>
      </c>
      <c r="X38" s="4">
        <v>1107</v>
      </c>
      <c r="Y38" s="4"/>
      <c r="Z38" s="4"/>
      <c r="AA38" s="12">
        <f t="shared" si="5"/>
        <v>1</v>
      </c>
      <c r="AE38" s="338"/>
      <c r="AF38" s="338"/>
    </row>
    <row r="39" spans="1:32" ht="12.75" customHeight="1">
      <c r="A39" s="24"/>
      <c r="B39" s="108">
        <f t="shared" si="6"/>
        <v>36</v>
      </c>
      <c r="C39" s="6">
        <v>140202</v>
      </c>
      <c r="D39" s="121" t="s">
        <v>1547</v>
      </c>
      <c r="E39" s="9" t="s">
        <v>32</v>
      </c>
      <c r="F39" s="6"/>
      <c r="G39" s="6"/>
      <c r="H39" s="11">
        <f>+STAT3!V39</f>
        <v>0</v>
      </c>
      <c r="I39" s="11">
        <f>+STAT3!W39</f>
        <v>0</v>
      </c>
      <c r="J39" s="11">
        <f>+SUMIFS(JURNAL!G:G,JURNAL!E:E,C39,JURNAL!C:C,"&gt;="&amp;$H$1,JURNAL!C:C,"&lt;="&amp;$I$1)</f>
        <v>0</v>
      </c>
      <c r="K39" s="11">
        <f>+SUMIFS(JURNAL!H:H,JURNAL!E:E,C39,JURNAL!C:C,"&gt;="&amp;$H$1,JURNAL!C:C,"&lt;="&amp;$I$1)</f>
        <v>0</v>
      </c>
      <c r="L39" s="26">
        <f t="shared" si="1"/>
        <v>0</v>
      </c>
      <c r="M39" s="27">
        <f t="shared" si="2"/>
        <v>0</v>
      </c>
      <c r="N39" s="11"/>
      <c r="O39" s="190"/>
      <c r="P39" s="27"/>
      <c r="Q39" s="11"/>
      <c r="R39" s="26">
        <f t="shared" si="3"/>
        <v>0</v>
      </c>
      <c r="S39" s="27">
        <f t="shared" si="4"/>
        <v>0</v>
      </c>
      <c r="T39" s="11"/>
      <c r="U39" s="11"/>
      <c r="V39" s="415">
        <f t="shared" si="7"/>
        <v>0</v>
      </c>
      <c r="W39" s="379">
        <f t="shared" si="0"/>
        <v>0</v>
      </c>
      <c r="X39" s="4">
        <v>1107</v>
      </c>
      <c r="Y39" s="4"/>
      <c r="Z39" s="4"/>
      <c r="AA39" s="12">
        <f t="shared" si="5"/>
        <v>0</v>
      </c>
      <c r="AE39" s="338"/>
      <c r="AF39" s="338"/>
    </row>
    <row r="40" spans="1:32" ht="12.75" customHeight="1">
      <c r="A40" s="24"/>
      <c r="B40" s="108">
        <f t="shared" si="6"/>
        <v>37</v>
      </c>
      <c r="C40" s="6">
        <v>140300</v>
      </c>
      <c r="D40" s="121" t="s">
        <v>1548</v>
      </c>
      <c r="E40" s="9" t="s">
        <v>32</v>
      </c>
      <c r="F40" s="6"/>
      <c r="G40" s="6"/>
      <c r="H40" s="11">
        <f>+STAT3!V40</f>
        <v>0</v>
      </c>
      <c r="I40" s="11">
        <f>+STAT3!W40</f>
        <v>0</v>
      </c>
      <c r="J40" s="11">
        <f>+SUMIFS(JURNAL!G:G,JURNAL!E:E,C40,JURNAL!C:C,"&gt;="&amp;$H$1,JURNAL!C:C,"&lt;="&amp;$I$1)</f>
        <v>0</v>
      </c>
      <c r="K40" s="11">
        <f>+SUMIFS(JURNAL!H:H,JURNAL!E:E,C40,JURNAL!C:C,"&gt;="&amp;$H$1,JURNAL!C:C,"&lt;="&amp;$I$1)</f>
        <v>0</v>
      </c>
      <c r="L40" s="26">
        <f t="shared" si="1"/>
        <v>0</v>
      </c>
      <c r="M40" s="27">
        <f t="shared" si="2"/>
        <v>0</v>
      </c>
      <c r="N40" s="11"/>
      <c r="O40" s="190"/>
      <c r="P40" s="27"/>
      <c r="Q40" s="11"/>
      <c r="R40" s="26">
        <f t="shared" si="3"/>
        <v>0</v>
      </c>
      <c r="S40" s="27">
        <f t="shared" si="4"/>
        <v>0</v>
      </c>
      <c r="T40" s="11"/>
      <c r="U40" s="11"/>
      <c r="V40" s="415">
        <f t="shared" si="7"/>
        <v>0</v>
      </c>
      <c r="W40" s="379">
        <f t="shared" si="0"/>
        <v>0</v>
      </c>
      <c r="X40" s="4">
        <v>1107</v>
      </c>
      <c r="Y40" s="4"/>
      <c r="Z40" s="4"/>
      <c r="AA40" s="12">
        <f t="shared" si="5"/>
        <v>0</v>
      </c>
      <c r="AE40" s="338"/>
      <c r="AF40" s="338"/>
    </row>
    <row r="41" spans="1:32" ht="12.75" customHeight="1">
      <c r="A41" s="24"/>
      <c r="B41" s="108">
        <f t="shared" si="6"/>
        <v>38</v>
      </c>
      <c r="C41" s="6">
        <v>140301</v>
      </c>
      <c r="D41" s="121" t="s">
        <v>1549</v>
      </c>
      <c r="E41" s="9" t="s">
        <v>32</v>
      </c>
      <c r="F41" s="6"/>
      <c r="G41" s="6"/>
      <c r="H41" s="11">
        <f>+STAT3!V41</f>
        <v>0</v>
      </c>
      <c r="I41" s="11">
        <f>+STAT3!W41</f>
        <v>0</v>
      </c>
      <c r="J41" s="11">
        <f>+SUMIFS(JURNAL!G:G,JURNAL!E:E,C41,JURNAL!C:C,"&gt;="&amp;$H$1,JURNAL!C:C,"&lt;="&amp;$I$1)</f>
        <v>0</v>
      </c>
      <c r="K41" s="11">
        <f>+SUMIFS(JURNAL!H:H,JURNAL!E:E,C41,JURNAL!C:C,"&gt;="&amp;$H$1,JURNAL!C:C,"&lt;="&amp;$I$1)</f>
        <v>0</v>
      </c>
      <c r="L41" s="26">
        <f t="shared" si="1"/>
        <v>0</v>
      </c>
      <c r="M41" s="27">
        <f t="shared" si="2"/>
        <v>0</v>
      </c>
      <c r="N41" s="11"/>
      <c r="O41" s="190"/>
      <c r="P41" s="27"/>
      <c r="Q41" s="11"/>
      <c r="R41" s="26">
        <f t="shared" si="3"/>
        <v>0</v>
      </c>
      <c r="S41" s="27">
        <f t="shared" si="4"/>
        <v>0</v>
      </c>
      <c r="T41" s="11"/>
      <c r="U41" s="11"/>
      <c r="V41" s="415">
        <f t="shared" si="7"/>
        <v>0</v>
      </c>
      <c r="W41" s="379">
        <f t="shared" si="0"/>
        <v>0</v>
      </c>
      <c r="X41" s="4">
        <v>1107</v>
      </c>
      <c r="Y41" s="4"/>
      <c r="Z41" s="4"/>
      <c r="AA41" s="12">
        <f t="shared" si="5"/>
        <v>0</v>
      </c>
      <c r="AE41" s="338"/>
      <c r="AF41" s="338"/>
    </row>
    <row r="42" spans="1:32" ht="12.75" customHeight="1">
      <c r="A42" s="24"/>
      <c r="B42" s="108">
        <f t="shared" si="6"/>
        <v>39</v>
      </c>
      <c r="C42" s="6">
        <v>140302</v>
      </c>
      <c r="D42" s="121" t="s">
        <v>1550</v>
      </c>
      <c r="E42" s="9" t="s">
        <v>32</v>
      </c>
      <c r="F42" s="6"/>
      <c r="G42" s="6"/>
      <c r="H42" s="11">
        <f>+STAT3!V42</f>
        <v>0</v>
      </c>
      <c r="I42" s="11">
        <f>+STAT3!W42</f>
        <v>0</v>
      </c>
      <c r="J42" s="11">
        <f>+SUMIFS(JURNAL!G:G,JURNAL!E:E,C42,JURNAL!C:C,"&gt;="&amp;$H$1,JURNAL!C:C,"&lt;="&amp;$I$1)</f>
        <v>0</v>
      </c>
      <c r="K42" s="11">
        <f>+SUMIFS(JURNAL!H:H,JURNAL!E:E,C42,JURNAL!C:C,"&gt;="&amp;$H$1,JURNAL!C:C,"&lt;="&amp;$I$1)</f>
        <v>0</v>
      </c>
      <c r="L42" s="26">
        <f t="shared" si="1"/>
        <v>0</v>
      </c>
      <c r="M42" s="27">
        <f t="shared" si="2"/>
        <v>0</v>
      </c>
      <c r="N42" s="11"/>
      <c r="O42" s="190"/>
      <c r="P42" s="27"/>
      <c r="Q42" s="11"/>
      <c r="R42" s="26">
        <f t="shared" si="3"/>
        <v>0</v>
      </c>
      <c r="S42" s="27">
        <f t="shared" si="4"/>
        <v>0</v>
      </c>
      <c r="T42" s="11"/>
      <c r="U42" s="11"/>
      <c r="V42" s="415">
        <f>+IF((R42+T42)&gt;(S42+U42),(R42+T42)-(S42+U42),0)</f>
        <v>0</v>
      </c>
      <c r="W42" s="379">
        <f t="shared" si="0"/>
        <v>0</v>
      </c>
      <c r="X42" s="4">
        <v>1107</v>
      </c>
      <c r="Y42" s="4"/>
      <c r="Z42" s="4"/>
      <c r="AA42" s="12">
        <f t="shared" si="5"/>
        <v>0</v>
      </c>
      <c r="AE42" s="338"/>
      <c r="AF42" s="338"/>
    </row>
    <row r="43" spans="1:32" ht="12.75" customHeight="1">
      <c r="A43" s="24"/>
      <c r="B43" s="108">
        <f t="shared" si="6"/>
        <v>40</v>
      </c>
      <c r="C43" s="6">
        <v>140400</v>
      </c>
      <c r="D43" s="121" t="s">
        <v>1551</v>
      </c>
      <c r="E43" s="9" t="s">
        <v>32</v>
      </c>
      <c r="F43" s="6"/>
      <c r="G43" s="6"/>
      <c r="H43" s="11">
        <f>+STAT3!V43</f>
        <v>0</v>
      </c>
      <c r="I43" s="11">
        <f>+STAT3!W43</f>
        <v>0</v>
      </c>
      <c r="J43" s="11">
        <f>+SUMIFS(JURNAL!G:G,JURNAL!E:E,C43,JURNAL!C:C,"&gt;="&amp;$H$1,JURNAL!C:C,"&lt;="&amp;$I$1)</f>
        <v>4909000</v>
      </c>
      <c r="K43" s="11">
        <f>+SUMIFS(JURNAL!H:H,JURNAL!E:E,C43,JURNAL!C:C,"&gt;="&amp;$H$1,JURNAL!C:C,"&lt;="&amp;$I$1)</f>
        <v>4909000</v>
      </c>
      <c r="L43" s="26">
        <f t="shared" si="1"/>
        <v>0</v>
      </c>
      <c r="M43" s="27">
        <f t="shared" si="2"/>
        <v>0</v>
      </c>
      <c r="N43" s="11"/>
      <c r="O43" s="190"/>
      <c r="P43" s="27"/>
      <c r="Q43" s="11"/>
      <c r="R43" s="26">
        <f t="shared" si="3"/>
        <v>0</v>
      </c>
      <c r="S43" s="27">
        <f t="shared" si="4"/>
        <v>0</v>
      </c>
      <c r="T43" s="11"/>
      <c r="U43" s="11"/>
      <c r="V43" s="415">
        <f t="shared" si="7"/>
        <v>0</v>
      </c>
      <c r="W43" s="379">
        <f t="shared" si="0"/>
        <v>0</v>
      </c>
      <c r="X43" s="4">
        <v>1107</v>
      </c>
      <c r="Y43" s="4"/>
      <c r="Z43" s="4"/>
      <c r="AA43" s="12">
        <f t="shared" si="5"/>
        <v>1</v>
      </c>
      <c r="AE43" s="338"/>
      <c r="AF43" s="338"/>
    </row>
    <row r="44" spans="1:32" ht="12.75" customHeight="1">
      <c r="A44" s="24"/>
      <c r="B44" s="108">
        <f t="shared" si="6"/>
        <v>41</v>
      </c>
      <c r="C44" s="6">
        <v>140401</v>
      </c>
      <c r="D44" s="121" t="s">
        <v>1552</v>
      </c>
      <c r="E44" s="9" t="s">
        <v>32</v>
      </c>
      <c r="F44" s="6"/>
      <c r="G44" s="6"/>
      <c r="H44" s="11">
        <f>+STAT3!V44</f>
        <v>0</v>
      </c>
      <c r="I44" s="11">
        <f>+STAT3!W44</f>
        <v>0</v>
      </c>
      <c r="J44" s="11">
        <f>+SUMIFS(JURNAL!G:G,JURNAL!E:E,C44,JURNAL!C:C,"&gt;="&amp;$H$1,JURNAL!C:C,"&lt;="&amp;$I$1)</f>
        <v>0</v>
      </c>
      <c r="K44" s="11">
        <f>+SUMIFS(JURNAL!H:H,JURNAL!E:E,C44,JURNAL!C:C,"&gt;="&amp;$H$1,JURNAL!C:C,"&lt;="&amp;$I$1)</f>
        <v>0</v>
      </c>
      <c r="L44" s="26">
        <f t="shared" si="1"/>
        <v>0</v>
      </c>
      <c r="M44" s="27">
        <f t="shared" si="2"/>
        <v>0</v>
      </c>
      <c r="N44" s="11"/>
      <c r="O44" s="190"/>
      <c r="P44" s="27"/>
      <c r="Q44" s="11"/>
      <c r="R44" s="26">
        <f t="shared" si="3"/>
        <v>0</v>
      </c>
      <c r="S44" s="27">
        <f t="shared" si="4"/>
        <v>0</v>
      </c>
      <c r="T44" s="11"/>
      <c r="U44" s="11"/>
      <c r="V44" s="415">
        <f t="shared" si="7"/>
        <v>0</v>
      </c>
      <c r="W44" s="379">
        <f t="shared" si="0"/>
        <v>0</v>
      </c>
      <c r="X44" s="4">
        <v>1107</v>
      </c>
      <c r="Y44" s="4"/>
      <c r="Z44" s="4"/>
      <c r="AA44" s="12">
        <f t="shared" si="5"/>
        <v>0</v>
      </c>
      <c r="AE44" s="338"/>
      <c r="AF44" s="338"/>
    </row>
    <row r="45" spans="1:32" ht="12.75" customHeight="1">
      <c r="A45" s="24"/>
      <c r="B45" s="108">
        <f t="shared" si="6"/>
        <v>42</v>
      </c>
      <c r="C45" s="6">
        <v>140402</v>
      </c>
      <c r="D45" s="121" t="s">
        <v>1553</v>
      </c>
      <c r="E45" s="9" t="s">
        <v>32</v>
      </c>
      <c r="F45" s="6"/>
      <c r="G45" s="6"/>
      <c r="H45" s="11">
        <f>+STAT3!V45</f>
        <v>0</v>
      </c>
      <c r="I45" s="11">
        <f>+STAT3!W45</f>
        <v>0</v>
      </c>
      <c r="J45" s="11">
        <f>+SUMIFS(JURNAL!G:G,JURNAL!E:E,C45,JURNAL!C:C,"&gt;="&amp;$H$1,JURNAL!C:C,"&lt;="&amp;$I$1)</f>
        <v>0</v>
      </c>
      <c r="K45" s="11">
        <f>+SUMIFS(JURNAL!H:H,JURNAL!E:E,C45,JURNAL!C:C,"&gt;="&amp;$H$1,JURNAL!C:C,"&lt;="&amp;$I$1)</f>
        <v>0</v>
      </c>
      <c r="L45" s="26">
        <f t="shared" si="1"/>
        <v>0</v>
      </c>
      <c r="M45" s="27">
        <f t="shared" si="2"/>
        <v>0</v>
      </c>
      <c r="N45" s="11"/>
      <c r="O45" s="190"/>
      <c r="P45" s="27"/>
      <c r="Q45" s="11"/>
      <c r="R45" s="26">
        <f t="shared" si="3"/>
        <v>0</v>
      </c>
      <c r="S45" s="27">
        <f t="shared" si="4"/>
        <v>0</v>
      </c>
      <c r="T45" s="11"/>
      <c r="U45" s="11"/>
      <c r="V45" s="415">
        <f t="shared" si="7"/>
        <v>0</v>
      </c>
      <c r="W45" s="379">
        <f t="shared" si="0"/>
        <v>0</v>
      </c>
      <c r="X45" s="4">
        <v>1107</v>
      </c>
      <c r="Y45" s="4"/>
      <c r="Z45" s="4"/>
      <c r="AA45" s="12">
        <f t="shared" si="5"/>
        <v>0</v>
      </c>
      <c r="AE45" s="338"/>
      <c r="AF45" s="338"/>
    </row>
    <row r="46" spans="1:32" ht="12.75" customHeight="1">
      <c r="A46" s="24"/>
      <c r="B46" s="108">
        <f t="shared" si="6"/>
        <v>43</v>
      </c>
      <c r="C46" s="6">
        <v>140500</v>
      </c>
      <c r="D46" s="121" t="s">
        <v>1554</v>
      </c>
      <c r="E46" s="9" t="s">
        <v>32</v>
      </c>
      <c r="F46" s="6"/>
      <c r="G46" s="6"/>
      <c r="H46" s="11">
        <f>+STAT3!V46</f>
        <v>0</v>
      </c>
      <c r="I46" s="11">
        <f>+STAT3!W46</f>
        <v>0</v>
      </c>
      <c r="J46" s="11">
        <f>+SUMIFS(JURNAL!G:G,JURNAL!E:E,C46,JURNAL!C:C,"&gt;="&amp;$H$1,JURNAL!C:C,"&lt;="&amp;$I$1)</f>
        <v>34909000</v>
      </c>
      <c r="K46" s="11">
        <f>+SUMIFS(JURNAL!H:H,JURNAL!E:E,C46,JURNAL!C:C,"&gt;="&amp;$H$1,JURNAL!C:C,"&lt;="&amp;$I$1)</f>
        <v>34909000</v>
      </c>
      <c r="L46" s="26">
        <f t="shared" si="1"/>
        <v>0</v>
      </c>
      <c r="M46" s="27">
        <f t="shared" si="2"/>
        <v>0</v>
      </c>
      <c r="N46" s="11"/>
      <c r="O46" s="190"/>
      <c r="P46" s="27"/>
      <c r="Q46" s="11"/>
      <c r="R46" s="26">
        <f t="shared" si="3"/>
        <v>0</v>
      </c>
      <c r="S46" s="27">
        <f t="shared" si="4"/>
        <v>0</v>
      </c>
      <c r="T46" s="11"/>
      <c r="U46" s="11"/>
      <c r="V46" s="415">
        <f t="shared" si="7"/>
        <v>0</v>
      </c>
      <c r="W46" s="379">
        <f t="shared" si="0"/>
        <v>0</v>
      </c>
      <c r="X46" s="4">
        <v>1107</v>
      </c>
      <c r="Y46" s="4"/>
      <c r="Z46" s="4"/>
      <c r="AA46" s="12">
        <f t="shared" si="5"/>
        <v>1</v>
      </c>
      <c r="AE46" s="338"/>
      <c r="AF46" s="338"/>
    </row>
    <row r="47" spans="1:32" ht="12.75" customHeight="1">
      <c r="A47" s="24"/>
      <c r="B47" s="108">
        <f t="shared" si="6"/>
        <v>44</v>
      </c>
      <c r="C47" s="6">
        <v>140501</v>
      </c>
      <c r="D47" s="121" t="s">
        <v>1555</v>
      </c>
      <c r="E47" s="9" t="s">
        <v>32</v>
      </c>
      <c r="F47" s="6"/>
      <c r="G47" s="6"/>
      <c r="H47" s="11">
        <f>+STAT3!V47</f>
        <v>0</v>
      </c>
      <c r="I47" s="11">
        <f>+STAT3!W47</f>
        <v>0</v>
      </c>
      <c r="J47" s="11">
        <f>+SUMIFS(JURNAL!G:G,JURNAL!E:E,C47,JURNAL!C:C,"&gt;="&amp;$H$1,JURNAL!C:C,"&lt;="&amp;$I$1)</f>
        <v>0</v>
      </c>
      <c r="K47" s="11">
        <f>+SUMIFS(JURNAL!H:H,JURNAL!E:E,C47,JURNAL!C:C,"&gt;="&amp;$H$1,JURNAL!C:C,"&lt;="&amp;$I$1)</f>
        <v>0</v>
      </c>
      <c r="L47" s="26">
        <f t="shared" si="1"/>
        <v>0</v>
      </c>
      <c r="M47" s="27">
        <f t="shared" si="2"/>
        <v>0</v>
      </c>
      <c r="N47" s="11"/>
      <c r="O47" s="190"/>
      <c r="P47" s="27"/>
      <c r="Q47" s="11"/>
      <c r="R47" s="26">
        <f t="shared" si="3"/>
        <v>0</v>
      </c>
      <c r="S47" s="27">
        <f t="shared" si="4"/>
        <v>0</v>
      </c>
      <c r="T47" s="11"/>
      <c r="U47" s="11"/>
      <c r="V47" s="415">
        <f t="shared" si="7"/>
        <v>0</v>
      </c>
      <c r="W47" s="379">
        <f t="shared" si="0"/>
        <v>0</v>
      </c>
      <c r="X47" s="4">
        <v>1107</v>
      </c>
      <c r="Y47" s="4"/>
      <c r="Z47" s="4"/>
      <c r="AA47" s="12">
        <f t="shared" si="5"/>
        <v>0</v>
      </c>
      <c r="AE47" s="338"/>
      <c r="AF47" s="338"/>
    </row>
    <row r="48" spans="1:32" ht="12.75" customHeight="1">
      <c r="A48" s="24"/>
      <c r="B48" s="108">
        <f t="shared" si="6"/>
        <v>45</v>
      </c>
      <c r="C48" s="6">
        <v>140502</v>
      </c>
      <c r="D48" s="121" t="s">
        <v>1556</v>
      </c>
      <c r="E48" s="9" t="s">
        <v>32</v>
      </c>
      <c r="F48" s="6"/>
      <c r="G48" s="6"/>
      <c r="H48" s="11">
        <f>+STAT3!V48</f>
        <v>0</v>
      </c>
      <c r="I48" s="11">
        <f>+STAT3!W48</f>
        <v>0</v>
      </c>
      <c r="J48" s="11">
        <f>+SUMIFS(JURNAL!G:G,JURNAL!E:E,C48,JURNAL!C:C,"&gt;="&amp;$H$1,JURNAL!C:C,"&lt;="&amp;$I$1)</f>
        <v>0</v>
      </c>
      <c r="K48" s="11">
        <f>+SUMIFS(JURNAL!H:H,JURNAL!E:E,C48,JURNAL!C:C,"&gt;="&amp;$H$1,JURNAL!C:C,"&lt;="&amp;$I$1)</f>
        <v>0</v>
      </c>
      <c r="L48" s="26">
        <f t="shared" si="1"/>
        <v>0</v>
      </c>
      <c r="M48" s="27">
        <f t="shared" si="2"/>
        <v>0</v>
      </c>
      <c r="N48" s="11"/>
      <c r="O48" s="190"/>
      <c r="P48" s="27"/>
      <c r="Q48" s="11"/>
      <c r="R48" s="26">
        <f t="shared" si="3"/>
        <v>0</v>
      </c>
      <c r="S48" s="27">
        <f t="shared" si="4"/>
        <v>0</v>
      </c>
      <c r="T48" s="11"/>
      <c r="U48" s="11"/>
      <c r="V48" s="415">
        <f t="shared" si="7"/>
        <v>0</v>
      </c>
      <c r="W48" s="379">
        <f t="shared" si="0"/>
        <v>0</v>
      </c>
      <c r="X48" s="4">
        <v>1107</v>
      </c>
      <c r="Y48" s="4"/>
      <c r="Z48" s="4"/>
      <c r="AA48" s="12">
        <f t="shared" si="5"/>
        <v>0</v>
      </c>
      <c r="AE48" s="338"/>
      <c r="AF48" s="338"/>
    </row>
    <row r="49" spans="1:32" ht="12.75" customHeight="1">
      <c r="A49" s="24"/>
      <c r="B49" s="108">
        <f t="shared" si="6"/>
        <v>46</v>
      </c>
      <c r="C49" s="6">
        <v>141200</v>
      </c>
      <c r="D49" s="121" t="s">
        <v>1557</v>
      </c>
      <c r="E49" s="9" t="s">
        <v>32</v>
      </c>
      <c r="F49" s="6"/>
      <c r="G49" s="6"/>
      <c r="H49" s="11">
        <f>+STAT3!V49</f>
        <v>0</v>
      </c>
      <c r="I49" s="11">
        <f>+STAT3!W49</f>
        <v>0</v>
      </c>
      <c r="J49" s="11">
        <f>+SUMIFS(JURNAL!G:G,JURNAL!E:E,C49,JURNAL!C:C,"&gt;="&amp;$H$1,JURNAL!C:C,"&lt;="&amp;$I$1)</f>
        <v>0</v>
      </c>
      <c r="K49" s="11">
        <f>+SUMIFS(JURNAL!H:H,JURNAL!E:E,C49,JURNAL!C:C,"&gt;="&amp;$H$1,JURNAL!C:C,"&lt;="&amp;$I$1)</f>
        <v>0</v>
      </c>
      <c r="L49" s="26">
        <f t="shared" si="1"/>
        <v>0</v>
      </c>
      <c r="M49" s="27">
        <f t="shared" si="2"/>
        <v>0</v>
      </c>
      <c r="N49" s="11"/>
      <c r="O49" s="190"/>
      <c r="P49" s="27"/>
      <c r="Q49" s="11"/>
      <c r="R49" s="26">
        <f t="shared" si="3"/>
        <v>0</v>
      </c>
      <c r="S49" s="27">
        <f t="shared" si="4"/>
        <v>0</v>
      </c>
      <c r="T49" s="11"/>
      <c r="U49" s="11"/>
      <c r="V49" s="415">
        <f t="shared" si="7"/>
        <v>0</v>
      </c>
      <c r="W49" s="379">
        <f t="shared" si="0"/>
        <v>0</v>
      </c>
      <c r="X49" s="4">
        <v>1107</v>
      </c>
      <c r="Y49" s="4"/>
      <c r="Z49" s="4"/>
      <c r="AA49" s="12">
        <f t="shared" si="5"/>
        <v>0</v>
      </c>
      <c r="AE49" s="338"/>
      <c r="AF49" s="338"/>
    </row>
    <row r="50" spans="1:32" ht="12.75" customHeight="1">
      <c r="A50" s="24"/>
      <c r="B50" s="108">
        <f t="shared" si="6"/>
        <v>47</v>
      </c>
      <c r="C50" s="6">
        <v>141201</v>
      </c>
      <c r="D50" s="121" t="s">
        <v>2282</v>
      </c>
      <c r="E50" s="9" t="s">
        <v>32</v>
      </c>
      <c r="F50" s="6"/>
      <c r="G50" s="6"/>
      <c r="H50" s="11">
        <f>+STAT3!V50</f>
        <v>140605743.36000001</v>
      </c>
      <c r="I50" s="11">
        <f>+STAT3!W50</f>
        <v>0</v>
      </c>
      <c r="J50" s="11">
        <f>+SUMIFS(JURNAL!G:G,JURNAL!E:E,C50,JURNAL!C:C,"&gt;="&amp;$H$1,JURNAL!C:C,"&lt;="&amp;$I$1)</f>
        <v>115526771.5464294</v>
      </c>
      <c r="K50" s="11">
        <f>+SUMIFS(JURNAL!H:H,JURNAL!E:E,C50,JURNAL!C:C,"&gt;="&amp;$H$1,JURNAL!C:C,"&lt;="&amp;$I$1)</f>
        <v>194727788.81999999</v>
      </c>
      <c r="L50" s="26">
        <f t="shared" si="1"/>
        <v>61404726.086429417</v>
      </c>
      <c r="M50" s="27">
        <f t="shared" si="2"/>
        <v>0</v>
      </c>
      <c r="N50" s="11"/>
      <c r="O50" s="190"/>
      <c r="P50" s="27"/>
      <c r="Q50" s="11"/>
      <c r="R50" s="26">
        <f t="shared" si="3"/>
        <v>61404726.086429417</v>
      </c>
      <c r="S50" s="27">
        <f t="shared" si="4"/>
        <v>0</v>
      </c>
      <c r="T50" s="11"/>
      <c r="U50" s="11"/>
      <c r="V50" s="415">
        <f t="shared" si="7"/>
        <v>61404726.086429417</v>
      </c>
      <c r="W50" s="379">
        <f t="shared" si="0"/>
        <v>0</v>
      </c>
      <c r="X50" s="4">
        <v>1107</v>
      </c>
      <c r="Y50" s="4"/>
      <c r="Z50" s="4"/>
      <c r="AA50" s="12">
        <f t="shared" si="5"/>
        <v>1</v>
      </c>
      <c r="AE50" s="338"/>
      <c r="AF50" s="338"/>
    </row>
    <row r="51" spans="1:32" ht="12.75" customHeight="1">
      <c r="A51" s="24"/>
      <c r="B51" s="108">
        <f t="shared" si="6"/>
        <v>48</v>
      </c>
      <c r="C51" s="6">
        <v>141300</v>
      </c>
      <c r="D51" s="121" t="s">
        <v>1558</v>
      </c>
      <c r="E51" s="9" t="s">
        <v>32</v>
      </c>
      <c r="F51" s="6"/>
      <c r="G51" s="6"/>
      <c r="H51" s="11">
        <f>+STAT3!V51</f>
        <v>0</v>
      </c>
      <c r="I51" s="11">
        <f>+STAT3!W51</f>
        <v>0</v>
      </c>
      <c r="J51" s="11">
        <f>+SUMIFS(JURNAL!G:G,JURNAL!E:E,C51,JURNAL!C:C,"&gt;="&amp;$H$1,JURNAL!C:C,"&lt;="&amp;$I$1)</f>
        <v>0</v>
      </c>
      <c r="K51" s="11">
        <f>+SUMIFS(JURNAL!H:H,JURNAL!E:E,C51,JURNAL!C:C,"&gt;="&amp;$H$1,JURNAL!C:C,"&lt;="&amp;$I$1)</f>
        <v>0</v>
      </c>
      <c r="L51" s="26">
        <f t="shared" si="1"/>
        <v>0</v>
      </c>
      <c r="M51" s="27">
        <f t="shared" si="2"/>
        <v>0</v>
      </c>
      <c r="N51" s="11"/>
      <c r="O51" s="190"/>
      <c r="P51" s="27"/>
      <c r="Q51" s="11"/>
      <c r="R51" s="26">
        <f t="shared" si="3"/>
        <v>0</v>
      </c>
      <c r="S51" s="27">
        <f t="shared" si="4"/>
        <v>0</v>
      </c>
      <c r="T51" s="11"/>
      <c r="U51" s="11"/>
      <c r="V51" s="415">
        <f t="shared" si="7"/>
        <v>0</v>
      </c>
      <c r="W51" s="379">
        <f t="shared" si="0"/>
        <v>0</v>
      </c>
      <c r="X51" s="4">
        <v>1107</v>
      </c>
      <c r="Y51" s="4"/>
      <c r="Z51" s="4"/>
      <c r="AA51" s="12">
        <f t="shared" si="5"/>
        <v>0</v>
      </c>
      <c r="AE51" s="338"/>
      <c r="AF51" s="338"/>
    </row>
    <row r="52" spans="1:32" ht="12.75" customHeight="1">
      <c r="A52" s="24"/>
      <c r="B52" s="108">
        <f t="shared" si="6"/>
        <v>49</v>
      </c>
      <c r="C52" s="6">
        <v>141301</v>
      </c>
      <c r="D52" s="121" t="s">
        <v>2285</v>
      </c>
      <c r="E52" s="9" t="s">
        <v>32</v>
      </c>
      <c r="F52" s="6"/>
      <c r="G52" s="6"/>
      <c r="H52" s="11">
        <f>+STAT3!V52</f>
        <v>17956146.960000001</v>
      </c>
      <c r="I52" s="11">
        <f>+STAT3!W52</f>
        <v>0</v>
      </c>
      <c r="J52" s="11">
        <f>+SUMIFS(JURNAL!G:G,JURNAL!E:E,C52,JURNAL!C:C,"&gt;="&amp;$H$1,JURNAL!C:C,"&lt;="&amp;$I$1)</f>
        <v>24401268.900000002</v>
      </c>
      <c r="K52" s="11">
        <f>+SUMIFS(JURNAL!H:H,JURNAL!E:E,C52,JURNAL!C:C,"&gt;="&amp;$H$1,JURNAL!C:C,"&lt;="&amp;$I$1)</f>
        <v>31375863.600000001</v>
      </c>
      <c r="L52" s="26">
        <f t="shared" si="1"/>
        <v>10981552.259999998</v>
      </c>
      <c r="M52" s="27">
        <f t="shared" si="2"/>
        <v>0</v>
      </c>
      <c r="N52" s="11"/>
      <c r="O52" s="190"/>
      <c r="P52" s="27"/>
      <c r="Q52" s="11"/>
      <c r="R52" s="26">
        <f t="shared" si="3"/>
        <v>10981552.259999998</v>
      </c>
      <c r="S52" s="27">
        <f t="shared" si="4"/>
        <v>0</v>
      </c>
      <c r="T52" s="11"/>
      <c r="U52" s="11"/>
      <c r="V52" s="415">
        <f t="shared" si="7"/>
        <v>10981552.259999998</v>
      </c>
      <c r="W52" s="379">
        <f t="shared" si="0"/>
        <v>0</v>
      </c>
      <c r="X52" s="4">
        <v>1107</v>
      </c>
      <c r="Y52" s="4"/>
      <c r="Z52" s="4"/>
      <c r="AA52" s="12">
        <f t="shared" si="5"/>
        <v>1</v>
      </c>
      <c r="AE52" s="338"/>
      <c r="AF52" s="338"/>
    </row>
    <row r="53" spans="1:32" ht="12.75" customHeight="1">
      <c r="A53" s="24"/>
      <c r="B53" s="108">
        <f t="shared" si="6"/>
        <v>50</v>
      </c>
      <c r="C53" s="6">
        <v>141400</v>
      </c>
      <c r="D53" s="121" t="s">
        <v>1559</v>
      </c>
      <c r="E53" s="9" t="s">
        <v>32</v>
      </c>
      <c r="F53" s="6"/>
      <c r="G53" s="6"/>
      <c r="H53" s="11">
        <f>+STAT3!V53</f>
        <v>0</v>
      </c>
      <c r="I53" s="11">
        <f>+STAT3!W53</f>
        <v>0</v>
      </c>
      <c r="J53" s="11">
        <f>+SUMIFS(JURNAL!G:G,JURNAL!E:E,C53,JURNAL!C:C,"&gt;="&amp;$H$1,JURNAL!C:C,"&lt;="&amp;$I$1)</f>
        <v>0</v>
      </c>
      <c r="K53" s="11">
        <f>+SUMIFS(JURNAL!H:H,JURNAL!E:E,C53,JURNAL!C:C,"&gt;="&amp;$H$1,JURNAL!C:C,"&lt;="&amp;$I$1)</f>
        <v>0</v>
      </c>
      <c r="L53" s="26">
        <f t="shared" si="1"/>
        <v>0</v>
      </c>
      <c r="M53" s="27">
        <f t="shared" si="2"/>
        <v>0</v>
      </c>
      <c r="N53" s="11"/>
      <c r="O53" s="190"/>
      <c r="P53" s="27"/>
      <c r="Q53" s="11"/>
      <c r="R53" s="26">
        <f t="shared" si="3"/>
        <v>0</v>
      </c>
      <c r="S53" s="27">
        <f t="shared" si="4"/>
        <v>0</v>
      </c>
      <c r="T53" s="11"/>
      <c r="U53" s="11"/>
      <c r="V53" s="415">
        <f t="shared" si="7"/>
        <v>0</v>
      </c>
      <c r="W53" s="379">
        <f t="shared" si="0"/>
        <v>0</v>
      </c>
      <c r="X53" s="4">
        <v>1107</v>
      </c>
      <c r="Y53" s="4"/>
      <c r="Z53" s="4"/>
      <c r="AA53" s="12">
        <f t="shared" si="5"/>
        <v>0</v>
      </c>
      <c r="AE53" s="338"/>
      <c r="AF53" s="338"/>
    </row>
    <row r="54" spans="1:32" ht="12.75" customHeight="1">
      <c r="A54" s="24"/>
      <c r="B54" s="108">
        <f t="shared" si="6"/>
        <v>51</v>
      </c>
      <c r="C54" s="6">
        <v>141401</v>
      </c>
      <c r="D54" s="121" t="s">
        <v>2283</v>
      </c>
      <c r="E54" s="9" t="s">
        <v>32</v>
      </c>
      <c r="F54" s="6"/>
      <c r="G54" s="6"/>
      <c r="H54" s="11">
        <f>+STAT3!V54</f>
        <v>71250297.939999998</v>
      </c>
      <c r="I54" s="11">
        <f>+STAT3!W54</f>
        <v>0</v>
      </c>
      <c r="J54" s="11">
        <f>+SUMIFS(JURNAL!G:G,JURNAL!E:E,C54,JURNAL!C:C,"&gt;="&amp;$H$1,JURNAL!C:C,"&lt;="&amp;$I$1)</f>
        <v>45502674.43999999</v>
      </c>
      <c r="K54" s="11">
        <f>+SUMIFS(JURNAL!H:H,JURNAL!E:E,C54,JURNAL!C:C,"&gt;="&amp;$H$1,JURNAL!C:C,"&lt;="&amp;$I$1)</f>
        <v>86483683.239999995</v>
      </c>
      <c r="L54" s="26">
        <f t="shared" si="1"/>
        <v>30269289.140000001</v>
      </c>
      <c r="M54" s="27">
        <f t="shared" si="2"/>
        <v>0</v>
      </c>
      <c r="N54" s="11"/>
      <c r="O54" s="190"/>
      <c r="P54" s="27"/>
      <c r="Q54" s="11"/>
      <c r="R54" s="26">
        <f t="shared" si="3"/>
        <v>30269289.140000001</v>
      </c>
      <c r="S54" s="27">
        <f t="shared" si="4"/>
        <v>0</v>
      </c>
      <c r="T54" s="11"/>
      <c r="U54" s="11"/>
      <c r="V54" s="415">
        <f t="shared" si="7"/>
        <v>30269289.140000001</v>
      </c>
      <c r="W54" s="379">
        <f t="shared" si="0"/>
        <v>0</v>
      </c>
      <c r="X54" s="4">
        <v>1107</v>
      </c>
      <c r="Y54" s="4"/>
      <c r="Z54" s="4"/>
      <c r="AA54" s="12">
        <f t="shared" si="5"/>
        <v>1</v>
      </c>
      <c r="AE54" s="338"/>
      <c r="AF54" s="338"/>
    </row>
    <row r="55" spans="1:32" ht="12.75" customHeight="1">
      <c r="A55" s="24"/>
      <c r="B55" s="108">
        <f t="shared" si="6"/>
        <v>52</v>
      </c>
      <c r="C55" s="6">
        <v>141500</v>
      </c>
      <c r="D55" s="121" t="s">
        <v>1560</v>
      </c>
      <c r="E55" s="9" t="s">
        <v>32</v>
      </c>
      <c r="F55" s="6"/>
      <c r="G55" s="6"/>
      <c r="H55" s="11">
        <f>+STAT3!V55</f>
        <v>0</v>
      </c>
      <c r="I55" s="11">
        <f>+STAT3!W55</f>
        <v>0</v>
      </c>
      <c r="J55" s="11">
        <f>+SUMIFS(JURNAL!G:G,JURNAL!E:E,C55,JURNAL!C:C,"&gt;="&amp;$H$1,JURNAL!C:C,"&lt;="&amp;$I$1)</f>
        <v>0</v>
      </c>
      <c r="K55" s="11">
        <f>+SUMIFS(JURNAL!H:H,JURNAL!E:E,C55,JURNAL!C:C,"&gt;="&amp;$H$1,JURNAL!C:C,"&lt;="&amp;$I$1)</f>
        <v>0</v>
      </c>
      <c r="L55" s="26">
        <f t="shared" si="1"/>
        <v>0</v>
      </c>
      <c r="M55" s="27">
        <f t="shared" si="2"/>
        <v>0</v>
      </c>
      <c r="N55" s="11"/>
      <c r="O55" s="190"/>
      <c r="P55" s="27"/>
      <c r="Q55" s="11"/>
      <c r="R55" s="26">
        <f t="shared" si="3"/>
        <v>0</v>
      </c>
      <c r="S55" s="27">
        <f t="shared" si="4"/>
        <v>0</v>
      </c>
      <c r="T55" s="11"/>
      <c r="U55" s="11"/>
      <c r="V55" s="415">
        <f t="shared" si="7"/>
        <v>0</v>
      </c>
      <c r="W55" s="379">
        <f t="shared" si="0"/>
        <v>0</v>
      </c>
      <c r="X55" s="4">
        <v>1107</v>
      </c>
      <c r="Y55" s="4"/>
      <c r="Z55" s="4"/>
      <c r="AA55" s="12">
        <f t="shared" si="5"/>
        <v>0</v>
      </c>
      <c r="AE55" s="338"/>
      <c r="AF55" s="338"/>
    </row>
    <row r="56" spans="1:32" ht="12.75" customHeight="1">
      <c r="A56" s="24"/>
      <c r="B56" s="108">
        <f t="shared" si="6"/>
        <v>53</v>
      </c>
      <c r="C56" s="6">
        <v>141501</v>
      </c>
      <c r="D56" s="121" t="s">
        <v>2284</v>
      </c>
      <c r="E56" s="9" t="s">
        <v>32</v>
      </c>
      <c r="F56" s="6"/>
      <c r="G56" s="6"/>
      <c r="H56" s="11">
        <f>+STAT3!V56</f>
        <v>0</v>
      </c>
      <c r="I56" s="11">
        <f>+STAT3!W56</f>
        <v>0</v>
      </c>
      <c r="J56" s="11">
        <f>+SUMIFS(JURNAL!G:G,JURNAL!E:E,C56,JURNAL!C:C,"&gt;="&amp;$H$1,JURNAL!C:C,"&lt;="&amp;$I$1)</f>
        <v>0</v>
      </c>
      <c r="K56" s="11">
        <f>+SUMIFS(JURNAL!H:H,JURNAL!E:E,C56,JURNAL!C:C,"&gt;="&amp;$H$1,JURNAL!C:C,"&lt;="&amp;$I$1)</f>
        <v>0</v>
      </c>
      <c r="L56" s="26">
        <f t="shared" si="1"/>
        <v>0</v>
      </c>
      <c r="M56" s="27">
        <f t="shared" si="2"/>
        <v>0</v>
      </c>
      <c r="N56" s="11"/>
      <c r="O56" s="190"/>
      <c r="P56" s="27"/>
      <c r="Q56" s="11"/>
      <c r="R56" s="26">
        <f t="shared" si="3"/>
        <v>0</v>
      </c>
      <c r="S56" s="27">
        <f t="shared" si="4"/>
        <v>0</v>
      </c>
      <c r="T56" s="11"/>
      <c r="U56" s="11"/>
      <c r="V56" s="415">
        <f t="shared" si="7"/>
        <v>0</v>
      </c>
      <c r="W56" s="379">
        <f t="shared" si="0"/>
        <v>0</v>
      </c>
      <c r="X56" s="4">
        <v>1107</v>
      </c>
      <c r="Y56" s="4"/>
      <c r="Z56" s="4"/>
      <c r="AA56" s="12">
        <f t="shared" si="5"/>
        <v>0</v>
      </c>
      <c r="AE56" s="338"/>
      <c r="AF56" s="338"/>
    </row>
    <row r="57" spans="1:32" ht="12.75" customHeight="1">
      <c r="A57" s="24"/>
      <c r="B57" s="108">
        <f t="shared" si="6"/>
        <v>54</v>
      </c>
      <c r="C57" s="6">
        <v>150100</v>
      </c>
      <c r="D57" s="121" t="s">
        <v>1561</v>
      </c>
      <c r="E57" s="9" t="s">
        <v>32</v>
      </c>
      <c r="F57" s="6"/>
      <c r="G57" s="6"/>
      <c r="H57" s="11">
        <f>+STAT3!V57</f>
        <v>48169110.5</v>
      </c>
      <c r="I57" s="11">
        <f>+STAT3!W57</f>
        <v>0</v>
      </c>
      <c r="J57" s="11">
        <f>+SUMIFS(JURNAL!G:G,JURNAL!E:E,C57,JURNAL!C:C,"&gt;="&amp;$H$1,JURNAL!C:C,"&lt;="&amp;$I$1)</f>
        <v>34909000</v>
      </c>
      <c r="K57" s="11">
        <f>+SUMIFS(JURNAL!H:H,JURNAL!E:E,C57,JURNAL!C:C,"&gt;="&amp;$H$1,JURNAL!C:C,"&lt;="&amp;$I$1)</f>
        <v>2785264.03</v>
      </c>
      <c r="L57" s="26">
        <f t="shared" si="1"/>
        <v>80292846.469999999</v>
      </c>
      <c r="M57" s="27">
        <f t="shared" si="2"/>
        <v>0</v>
      </c>
      <c r="N57" s="11"/>
      <c r="O57" s="190"/>
      <c r="P57" s="27"/>
      <c r="Q57" s="11"/>
      <c r="R57" s="26">
        <f t="shared" si="3"/>
        <v>80292846.469999999</v>
      </c>
      <c r="S57" s="27">
        <f t="shared" si="4"/>
        <v>0</v>
      </c>
      <c r="T57" s="11"/>
      <c r="U57" s="11"/>
      <c r="V57" s="415">
        <f t="shared" si="7"/>
        <v>80292846.469999999</v>
      </c>
      <c r="W57" s="379">
        <f t="shared" si="0"/>
        <v>0</v>
      </c>
      <c r="X57" s="4">
        <v>1107</v>
      </c>
      <c r="Y57" s="4"/>
      <c r="Z57" s="4"/>
      <c r="AA57" s="12">
        <f t="shared" si="5"/>
        <v>1</v>
      </c>
      <c r="AE57" s="338"/>
      <c r="AF57" s="338"/>
    </row>
    <row r="58" spans="1:32" ht="12.75" customHeight="1">
      <c r="A58" s="24"/>
      <c r="B58" s="108">
        <f t="shared" si="6"/>
        <v>55</v>
      </c>
      <c r="C58" s="6">
        <v>150101</v>
      </c>
      <c r="D58" s="121" t="s">
        <v>1562</v>
      </c>
      <c r="E58" s="9" t="s">
        <v>32</v>
      </c>
      <c r="F58" s="6"/>
      <c r="G58" s="6"/>
      <c r="H58" s="11">
        <f>+STAT3!V58</f>
        <v>623126261.40681779</v>
      </c>
      <c r="I58" s="11">
        <f>+STAT3!W58</f>
        <v>0</v>
      </c>
      <c r="J58" s="11">
        <f>+SUMIFS(JURNAL!G:G,JURNAL!E:E,C58,JURNAL!C:C,"&gt;="&amp;$H$1,JURNAL!C:C,"&lt;="&amp;$I$1)</f>
        <v>2785264.03</v>
      </c>
      <c r="K58" s="11">
        <f>+SUMIFS(JURNAL!H:H,JURNAL!E:E,C58,JURNAL!C:C,"&gt;="&amp;$H$1,JURNAL!C:C,"&lt;="&amp;$I$1)</f>
        <v>118492295.71141437</v>
      </c>
      <c r="L58" s="26">
        <f t="shared" si="1"/>
        <v>507419229.72540343</v>
      </c>
      <c r="M58" s="27">
        <f t="shared" si="2"/>
        <v>0</v>
      </c>
      <c r="N58" s="11"/>
      <c r="O58" s="190"/>
      <c r="P58" s="27"/>
      <c r="Q58" s="11"/>
      <c r="R58" s="26">
        <f t="shared" si="3"/>
        <v>507419229.72540343</v>
      </c>
      <c r="S58" s="27">
        <f t="shared" si="4"/>
        <v>0</v>
      </c>
      <c r="T58" s="11"/>
      <c r="U58" s="11"/>
      <c r="V58" s="415">
        <f t="shared" si="7"/>
        <v>507419229.72540343</v>
      </c>
      <c r="W58" s="379">
        <f t="shared" si="0"/>
        <v>0</v>
      </c>
      <c r="X58" s="4">
        <v>1107</v>
      </c>
      <c r="Y58" s="4"/>
      <c r="Z58" s="4"/>
      <c r="AA58" s="12">
        <f t="shared" si="5"/>
        <v>1</v>
      </c>
      <c r="AE58" s="338"/>
      <c r="AF58" s="338"/>
    </row>
    <row r="59" spans="1:32" ht="12.75" customHeight="1">
      <c r="A59" s="24"/>
      <c r="B59" s="108">
        <f t="shared" si="6"/>
        <v>56</v>
      </c>
      <c r="C59" s="6">
        <v>150102</v>
      </c>
      <c r="D59" s="121" t="s">
        <v>1563</v>
      </c>
      <c r="E59" s="9" t="s">
        <v>32</v>
      </c>
      <c r="F59" s="6"/>
      <c r="G59" s="6"/>
      <c r="H59" s="11">
        <f>+STAT3!V59</f>
        <v>0</v>
      </c>
      <c r="I59" s="11">
        <f>+STAT3!W59</f>
        <v>0</v>
      </c>
      <c r="J59" s="11">
        <f>+SUMIFS(JURNAL!G:G,JURNAL!E:E,C59,JURNAL!C:C,"&gt;="&amp;$H$1,JURNAL!C:C,"&lt;="&amp;$I$1)</f>
        <v>0</v>
      </c>
      <c r="K59" s="11">
        <f>+SUMIFS(JURNAL!H:H,JURNAL!E:E,C59,JURNAL!C:C,"&gt;="&amp;$H$1,JURNAL!C:C,"&lt;="&amp;$I$1)</f>
        <v>0</v>
      </c>
      <c r="L59" s="26">
        <f t="shared" si="1"/>
        <v>0</v>
      </c>
      <c r="M59" s="27">
        <f t="shared" si="2"/>
        <v>0</v>
      </c>
      <c r="N59" s="11"/>
      <c r="O59" s="190"/>
      <c r="P59" s="27"/>
      <c r="Q59" s="11"/>
      <c r="R59" s="26">
        <f t="shared" si="3"/>
        <v>0</v>
      </c>
      <c r="S59" s="27">
        <f t="shared" si="4"/>
        <v>0</v>
      </c>
      <c r="T59" s="11"/>
      <c r="U59" s="11"/>
      <c r="V59" s="415">
        <f t="shared" si="7"/>
        <v>0</v>
      </c>
      <c r="W59" s="379">
        <f t="shared" si="0"/>
        <v>0</v>
      </c>
      <c r="X59" s="4">
        <v>1107</v>
      </c>
      <c r="Y59" s="4"/>
      <c r="Z59" s="4"/>
      <c r="AA59" s="12">
        <f t="shared" si="5"/>
        <v>0</v>
      </c>
      <c r="AE59" s="338"/>
      <c r="AF59" s="338"/>
    </row>
    <row r="60" spans="1:32" ht="12.75" customHeight="1">
      <c r="A60" s="24"/>
      <c r="B60" s="108">
        <f t="shared" si="6"/>
        <v>57</v>
      </c>
      <c r="C60" s="6">
        <v>151100</v>
      </c>
      <c r="D60" s="121" t="s">
        <v>1564</v>
      </c>
      <c r="E60" s="9" t="s">
        <v>32</v>
      </c>
      <c r="F60" s="6"/>
      <c r="G60" s="6"/>
      <c r="H60" s="11">
        <f>+STAT3!V60</f>
        <v>0</v>
      </c>
      <c r="I60" s="11">
        <f>+STAT3!W60</f>
        <v>0</v>
      </c>
      <c r="J60" s="11">
        <f>+SUMIFS(JURNAL!G:G,JURNAL!E:E,C60,JURNAL!C:C,"&gt;="&amp;$H$1,JURNAL!C:C,"&lt;="&amp;$I$1)</f>
        <v>0</v>
      </c>
      <c r="K60" s="11">
        <f>+SUMIFS(JURNAL!H:H,JURNAL!E:E,C60,JURNAL!C:C,"&gt;="&amp;$H$1,JURNAL!C:C,"&lt;="&amp;$I$1)</f>
        <v>0</v>
      </c>
      <c r="L60" s="26">
        <f t="shared" si="1"/>
        <v>0</v>
      </c>
      <c r="M60" s="27">
        <f t="shared" si="2"/>
        <v>0</v>
      </c>
      <c r="N60" s="11"/>
      <c r="O60" s="190"/>
      <c r="P60" s="27"/>
      <c r="Q60" s="11"/>
      <c r="R60" s="26">
        <f t="shared" si="3"/>
        <v>0</v>
      </c>
      <c r="S60" s="27">
        <f t="shared" si="4"/>
        <v>0</v>
      </c>
      <c r="T60" s="11"/>
      <c r="U60" s="11"/>
      <c r="V60" s="415">
        <f t="shared" si="7"/>
        <v>0</v>
      </c>
      <c r="W60" s="379">
        <f t="shared" si="0"/>
        <v>0</v>
      </c>
      <c r="X60" s="4">
        <v>1107</v>
      </c>
      <c r="Y60" s="4"/>
      <c r="Z60" s="4"/>
      <c r="AA60" s="12">
        <f t="shared" si="5"/>
        <v>0</v>
      </c>
      <c r="AE60" s="338"/>
      <c r="AF60" s="338"/>
    </row>
    <row r="61" spans="1:32" ht="12.75" customHeight="1">
      <c r="A61" s="24"/>
      <c r="B61" s="108">
        <f t="shared" si="6"/>
        <v>58</v>
      </c>
      <c r="C61" s="6">
        <v>151101</v>
      </c>
      <c r="D61" s="121" t="s">
        <v>1565</v>
      </c>
      <c r="E61" s="9" t="s">
        <v>32</v>
      </c>
      <c r="F61" s="6"/>
      <c r="G61" s="6"/>
      <c r="H61" s="11">
        <f>+STAT3!V61</f>
        <v>0</v>
      </c>
      <c r="I61" s="11">
        <f>+STAT3!W61</f>
        <v>0</v>
      </c>
      <c r="J61" s="11">
        <f>+SUMIFS(JURNAL!G:G,JURNAL!E:E,C61,JURNAL!C:C,"&gt;="&amp;$H$1,JURNAL!C:C,"&lt;="&amp;$I$1)</f>
        <v>0</v>
      </c>
      <c r="K61" s="11">
        <f>+SUMIFS(JURNAL!H:H,JURNAL!E:E,C61,JURNAL!C:C,"&gt;="&amp;$H$1,JURNAL!C:C,"&lt;="&amp;$I$1)</f>
        <v>0</v>
      </c>
      <c r="L61" s="26">
        <f t="shared" si="1"/>
        <v>0</v>
      </c>
      <c r="M61" s="27">
        <f t="shared" si="2"/>
        <v>0</v>
      </c>
      <c r="N61" s="11"/>
      <c r="O61" s="190"/>
      <c r="P61" s="27"/>
      <c r="Q61" s="11"/>
      <c r="R61" s="26">
        <f t="shared" si="3"/>
        <v>0</v>
      </c>
      <c r="S61" s="27">
        <f t="shared" si="4"/>
        <v>0</v>
      </c>
      <c r="T61" s="11"/>
      <c r="U61" s="11"/>
      <c r="V61" s="415">
        <f t="shared" si="7"/>
        <v>0</v>
      </c>
      <c r="W61" s="379">
        <f t="shared" si="0"/>
        <v>0</v>
      </c>
      <c r="X61" s="4">
        <v>1107</v>
      </c>
      <c r="Y61" s="4"/>
      <c r="Z61" s="4"/>
      <c r="AA61" s="12">
        <f t="shared" si="5"/>
        <v>0</v>
      </c>
      <c r="AE61" s="338"/>
      <c r="AF61" s="338"/>
    </row>
    <row r="62" spans="1:32" ht="12.75" customHeight="1">
      <c r="A62" s="24"/>
      <c r="B62" s="108">
        <f t="shared" si="6"/>
        <v>59</v>
      </c>
      <c r="C62" s="6">
        <v>160100</v>
      </c>
      <c r="D62" s="121" t="s">
        <v>954</v>
      </c>
      <c r="E62" s="9" t="s">
        <v>32</v>
      </c>
      <c r="F62" s="6"/>
      <c r="G62" s="6"/>
      <c r="H62" s="11">
        <f>+STAT3!V62</f>
        <v>128067228.46720582</v>
      </c>
      <c r="I62" s="11">
        <f>+STAT3!W62</f>
        <v>0</v>
      </c>
      <c r="J62" s="11">
        <f>+SUMIFS(JURNAL!G:G,JURNAL!E:E,C62,JURNAL!C:C,"&gt;="&amp;$H$1,JURNAL!C:C,"&lt;="&amp;$I$1)</f>
        <v>3793700</v>
      </c>
      <c r="K62" s="11">
        <f>+SUMIFS(JURNAL!H:H,JURNAL!E:E,C62,JURNAL!C:C,"&gt;="&amp;$H$1,JURNAL!C:C,"&lt;="&amp;$I$1)</f>
        <v>5960048.6200000001</v>
      </c>
      <c r="L62" s="26">
        <f t="shared" si="1"/>
        <v>125900879.84720582</v>
      </c>
      <c r="M62" s="27">
        <f t="shared" si="2"/>
        <v>0</v>
      </c>
      <c r="N62" s="11"/>
      <c r="O62" s="190"/>
      <c r="P62" s="27"/>
      <c r="Q62" s="11"/>
      <c r="R62" s="26">
        <f t="shared" si="3"/>
        <v>125900879.84720582</v>
      </c>
      <c r="S62" s="27">
        <f t="shared" si="4"/>
        <v>0</v>
      </c>
      <c r="T62" s="11"/>
      <c r="U62" s="11"/>
      <c r="V62" s="415">
        <f t="shared" si="7"/>
        <v>125900879.84720582</v>
      </c>
      <c r="W62" s="379">
        <f t="shared" si="0"/>
        <v>0</v>
      </c>
      <c r="X62" s="4">
        <v>1107</v>
      </c>
      <c r="Y62" s="4"/>
      <c r="Z62" s="4"/>
      <c r="AA62" s="12">
        <f t="shared" si="5"/>
        <v>1</v>
      </c>
      <c r="AE62" s="338"/>
      <c r="AF62" s="338"/>
    </row>
    <row r="63" spans="1:32" ht="12.75" customHeight="1">
      <c r="A63" s="24"/>
      <c r="B63" s="108">
        <f t="shared" si="6"/>
        <v>60</v>
      </c>
      <c r="C63" s="6">
        <v>160200</v>
      </c>
      <c r="D63" s="121" t="s">
        <v>622</v>
      </c>
      <c r="E63" s="9" t="s">
        <v>32</v>
      </c>
      <c r="F63" s="6"/>
      <c r="G63" s="6"/>
      <c r="H63" s="11">
        <f>+STAT3!V63</f>
        <v>8632006.0899999999</v>
      </c>
      <c r="I63" s="11">
        <f>+STAT3!W63</f>
        <v>0</v>
      </c>
      <c r="J63" s="11">
        <f>+SUMIFS(JURNAL!G:G,JURNAL!E:E,C63,JURNAL!C:C,"&gt;="&amp;$H$1,JURNAL!C:C,"&lt;="&amp;$I$1)</f>
        <v>0</v>
      </c>
      <c r="K63" s="11">
        <f>+SUMIFS(JURNAL!H:H,JURNAL!E:E,C63,JURNAL!C:C,"&gt;="&amp;$H$1,JURNAL!C:C,"&lt;="&amp;$I$1)</f>
        <v>0</v>
      </c>
      <c r="L63" s="26">
        <f t="shared" si="1"/>
        <v>8632006.0899999999</v>
      </c>
      <c r="M63" s="27">
        <f t="shared" si="2"/>
        <v>0</v>
      </c>
      <c r="N63" s="11"/>
      <c r="O63" s="190"/>
      <c r="P63" s="27"/>
      <c r="Q63" s="11"/>
      <c r="R63" s="26">
        <f t="shared" si="3"/>
        <v>8632006.0899999999</v>
      </c>
      <c r="S63" s="27">
        <f t="shared" si="4"/>
        <v>0</v>
      </c>
      <c r="T63" s="11"/>
      <c r="U63" s="11"/>
      <c r="V63" s="415">
        <f t="shared" si="7"/>
        <v>8632006.0899999999</v>
      </c>
      <c r="W63" s="379">
        <f t="shared" si="0"/>
        <v>0</v>
      </c>
      <c r="X63" s="4">
        <v>1107</v>
      </c>
      <c r="Y63" s="4"/>
      <c r="Z63" s="4"/>
      <c r="AA63" s="12">
        <f t="shared" si="5"/>
        <v>1</v>
      </c>
      <c r="AE63" s="338"/>
      <c r="AF63" s="338"/>
    </row>
    <row r="64" spans="1:32" ht="12.75" customHeight="1">
      <c r="A64" s="24"/>
      <c r="B64" s="108">
        <f t="shared" si="6"/>
        <v>61</v>
      </c>
      <c r="C64" s="6">
        <v>160201</v>
      </c>
      <c r="D64" s="121" t="s">
        <v>1566</v>
      </c>
      <c r="E64" s="9" t="s">
        <v>32</v>
      </c>
      <c r="F64" s="6"/>
      <c r="G64" s="6"/>
      <c r="H64" s="11">
        <f>+STAT3!V64</f>
        <v>375918.57</v>
      </c>
      <c r="I64" s="11">
        <f>+STAT3!W64</f>
        <v>0</v>
      </c>
      <c r="J64" s="11">
        <f>+SUMIFS(JURNAL!G:G,JURNAL!E:E,C64,JURNAL!C:C,"&gt;="&amp;$H$1,JURNAL!C:C,"&lt;="&amp;$I$1)</f>
        <v>0</v>
      </c>
      <c r="K64" s="11">
        <f>+SUMIFS(JURNAL!H:H,JURNAL!E:E,C64,JURNAL!C:C,"&gt;="&amp;$H$1,JURNAL!C:C,"&lt;="&amp;$I$1)</f>
        <v>0</v>
      </c>
      <c r="L64" s="26">
        <f t="shared" si="1"/>
        <v>375918.57</v>
      </c>
      <c r="M64" s="27">
        <f t="shared" si="2"/>
        <v>0</v>
      </c>
      <c r="N64" s="11"/>
      <c r="O64" s="190"/>
      <c r="P64" s="27"/>
      <c r="Q64" s="11"/>
      <c r="R64" s="26">
        <f t="shared" si="3"/>
        <v>375918.57</v>
      </c>
      <c r="S64" s="27">
        <f t="shared" si="4"/>
        <v>0</v>
      </c>
      <c r="T64" s="11"/>
      <c r="U64" s="11"/>
      <c r="V64" s="415">
        <f t="shared" si="7"/>
        <v>375918.57</v>
      </c>
      <c r="W64" s="379">
        <f t="shared" si="0"/>
        <v>0</v>
      </c>
      <c r="X64" s="4">
        <v>1107</v>
      </c>
      <c r="Y64" s="4"/>
      <c r="Z64" s="4"/>
      <c r="AA64" s="12">
        <f t="shared" si="5"/>
        <v>1</v>
      </c>
      <c r="AE64" s="338"/>
      <c r="AF64" s="338"/>
    </row>
    <row r="65" spans="1:32" ht="12.75" customHeight="1">
      <c r="A65" s="24"/>
      <c r="B65" s="108">
        <f t="shared" si="6"/>
        <v>62</v>
      </c>
      <c r="C65" s="6">
        <v>160300</v>
      </c>
      <c r="D65" s="121" t="s">
        <v>955</v>
      </c>
      <c r="E65" s="9" t="s">
        <v>32</v>
      </c>
      <c r="F65" s="6"/>
      <c r="G65" s="6"/>
      <c r="H65" s="11">
        <f>+STAT3!V65</f>
        <v>0</v>
      </c>
      <c r="I65" s="11">
        <f>+STAT3!W65</f>
        <v>0</v>
      </c>
      <c r="J65" s="11">
        <f>+SUMIFS(JURNAL!G:G,JURNAL!E:E,C65,JURNAL!C:C,"&gt;="&amp;$H$1,JURNAL!C:C,"&lt;="&amp;$I$1)</f>
        <v>0</v>
      </c>
      <c r="K65" s="11">
        <f>+SUMIFS(JURNAL!H:H,JURNAL!E:E,C65,JURNAL!C:C,"&gt;="&amp;$H$1,JURNAL!C:C,"&lt;="&amp;$I$1)</f>
        <v>0</v>
      </c>
      <c r="L65" s="26">
        <f t="shared" si="1"/>
        <v>0</v>
      </c>
      <c r="M65" s="27">
        <f t="shared" si="2"/>
        <v>0</v>
      </c>
      <c r="N65" s="11"/>
      <c r="O65" s="190"/>
      <c r="P65" s="27"/>
      <c r="Q65" s="11"/>
      <c r="R65" s="26">
        <f t="shared" si="3"/>
        <v>0</v>
      </c>
      <c r="S65" s="27">
        <f t="shared" si="4"/>
        <v>0</v>
      </c>
      <c r="T65" s="11"/>
      <c r="U65" s="11"/>
      <c r="V65" s="415">
        <f t="shared" si="7"/>
        <v>0</v>
      </c>
      <c r="W65" s="379">
        <f t="shared" si="0"/>
        <v>0</v>
      </c>
      <c r="X65" s="4">
        <v>1107</v>
      </c>
      <c r="Y65" s="4"/>
      <c r="Z65" s="4"/>
      <c r="AA65" s="12">
        <f t="shared" si="5"/>
        <v>0</v>
      </c>
      <c r="AE65" s="338"/>
      <c r="AF65" s="338"/>
    </row>
    <row r="66" spans="1:32" ht="12.75" customHeight="1">
      <c r="A66" s="24"/>
      <c r="B66" s="108">
        <f t="shared" si="6"/>
        <v>63</v>
      </c>
      <c r="C66" s="6">
        <v>150500</v>
      </c>
      <c r="D66" s="121" t="s">
        <v>625</v>
      </c>
      <c r="E66" s="9" t="s">
        <v>32</v>
      </c>
      <c r="F66" s="6"/>
      <c r="G66" s="6"/>
      <c r="H66" s="11">
        <f>+STAT3!V66</f>
        <v>0</v>
      </c>
      <c r="I66" s="11">
        <f>+STAT3!W66</f>
        <v>0</v>
      </c>
      <c r="J66" s="11">
        <f>+SUMIFS(JURNAL!G:G,JURNAL!E:E,C66,JURNAL!C:C,"&gt;="&amp;$H$1,JURNAL!C:C,"&lt;="&amp;$I$1)</f>
        <v>0</v>
      </c>
      <c r="K66" s="11">
        <f>+SUMIFS(JURNAL!H:H,JURNAL!E:E,C66,JURNAL!C:C,"&gt;="&amp;$H$1,JURNAL!C:C,"&lt;="&amp;$I$1)</f>
        <v>0</v>
      </c>
      <c r="L66" s="26">
        <f t="shared" si="1"/>
        <v>0</v>
      </c>
      <c r="M66" s="27">
        <f t="shared" si="2"/>
        <v>0</v>
      </c>
      <c r="N66" s="11"/>
      <c r="O66" s="190"/>
      <c r="P66" s="27"/>
      <c r="Q66" s="11"/>
      <c r="R66" s="26">
        <f t="shared" si="3"/>
        <v>0</v>
      </c>
      <c r="S66" s="27">
        <f t="shared" si="4"/>
        <v>0</v>
      </c>
      <c r="T66" s="11"/>
      <c r="U66" s="11"/>
      <c r="V66" s="415">
        <f t="shared" si="7"/>
        <v>0</v>
      </c>
      <c r="W66" s="379">
        <f t="shared" si="0"/>
        <v>0</v>
      </c>
      <c r="X66" s="4">
        <v>1107</v>
      </c>
      <c r="Y66" s="4"/>
      <c r="Z66" s="4"/>
      <c r="AA66" s="12">
        <f t="shared" si="5"/>
        <v>0</v>
      </c>
      <c r="AE66" s="338"/>
      <c r="AF66" s="338"/>
    </row>
    <row r="67" spans="1:32" ht="12.75" customHeight="1">
      <c r="A67" s="24"/>
      <c r="B67" s="108">
        <f t="shared" si="6"/>
        <v>64</v>
      </c>
      <c r="C67" s="6">
        <v>150800</v>
      </c>
      <c r="D67" s="121" t="s">
        <v>631</v>
      </c>
      <c r="E67" s="9" t="s">
        <v>32</v>
      </c>
      <c r="F67" s="6"/>
      <c r="G67" s="6"/>
      <c r="H67" s="11">
        <f>+STAT3!V67</f>
        <v>0</v>
      </c>
      <c r="I67" s="11">
        <f>+STAT3!W67</f>
        <v>0</v>
      </c>
      <c r="J67" s="11">
        <f>+SUMIFS(JURNAL!G:G,JURNAL!E:E,C67,JURNAL!C:C,"&gt;="&amp;$H$1,JURNAL!C:C,"&lt;="&amp;$I$1)</f>
        <v>0</v>
      </c>
      <c r="K67" s="11">
        <f>+SUMIFS(JURNAL!H:H,JURNAL!E:E,C67,JURNAL!C:C,"&gt;="&amp;$H$1,JURNAL!C:C,"&lt;="&amp;$I$1)</f>
        <v>0</v>
      </c>
      <c r="L67" s="26">
        <f t="shared" si="1"/>
        <v>0</v>
      </c>
      <c r="M67" s="27">
        <f t="shared" si="2"/>
        <v>0</v>
      </c>
      <c r="N67" s="11"/>
      <c r="O67" s="190"/>
      <c r="P67" s="27"/>
      <c r="Q67" s="11"/>
      <c r="R67" s="26">
        <f t="shared" si="3"/>
        <v>0</v>
      </c>
      <c r="S67" s="27">
        <f t="shared" si="4"/>
        <v>0</v>
      </c>
      <c r="T67" s="11"/>
      <c r="U67" s="11"/>
      <c r="V67" s="415">
        <f t="shared" si="7"/>
        <v>0</v>
      </c>
      <c r="W67" s="379">
        <f t="shared" si="0"/>
        <v>0</v>
      </c>
      <c r="X67" s="4">
        <v>1109</v>
      </c>
      <c r="Y67" s="4"/>
      <c r="Z67" s="4"/>
      <c r="AA67" s="12">
        <f t="shared" si="5"/>
        <v>0</v>
      </c>
      <c r="AE67" s="338"/>
      <c r="AF67" s="338"/>
    </row>
    <row r="68" spans="1:32" ht="12.75" customHeight="1">
      <c r="A68" s="24"/>
      <c r="B68" s="108">
        <f t="shared" si="6"/>
        <v>65</v>
      </c>
      <c r="C68" s="6">
        <v>150900</v>
      </c>
      <c r="D68" s="121" t="s">
        <v>637</v>
      </c>
      <c r="E68" s="9" t="s">
        <v>32</v>
      </c>
      <c r="F68" s="6"/>
      <c r="G68" s="6"/>
      <c r="H68" s="11">
        <f>+STAT3!V68</f>
        <v>0</v>
      </c>
      <c r="I68" s="11">
        <f>+STAT3!W68</f>
        <v>0</v>
      </c>
      <c r="J68" s="11">
        <f>+SUMIFS(JURNAL!G:G,JURNAL!E:E,C68,JURNAL!C:C,"&gt;="&amp;$H$1,JURNAL!C:C,"&lt;="&amp;$I$1)</f>
        <v>0</v>
      </c>
      <c r="K68" s="11">
        <f>+SUMIFS(JURNAL!H:H,JURNAL!E:E,C68,JURNAL!C:C,"&gt;="&amp;$H$1,JURNAL!C:C,"&lt;="&amp;$I$1)</f>
        <v>0</v>
      </c>
      <c r="L68" s="26">
        <f t="shared" si="1"/>
        <v>0</v>
      </c>
      <c r="M68" s="27">
        <f t="shared" ref="M68:M131" si="9">+IF((H68+J68)&lt;(I68+K68),(I68+K68)-(H68+J68),0)</f>
        <v>0</v>
      </c>
      <c r="N68" s="11"/>
      <c r="O68" s="190"/>
      <c r="P68" s="27"/>
      <c r="Q68" s="11"/>
      <c r="R68" s="26">
        <f t="shared" si="3"/>
        <v>0</v>
      </c>
      <c r="S68" s="27">
        <f t="shared" si="4"/>
        <v>0</v>
      </c>
      <c r="T68" s="11"/>
      <c r="U68" s="11"/>
      <c r="V68" s="415">
        <f t="shared" si="7"/>
        <v>0</v>
      </c>
      <c r="W68" s="379">
        <f t="shared" ref="W68:W131" si="10">+IF((R68+T68)&lt;(S68+U68),(S68+U68)-(R68+T68),0)</f>
        <v>0</v>
      </c>
      <c r="X68" s="4">
        <v>1110</v>
      </c>
      <c r="Y68" s="4"/>
      <c r="Z68" s="4"/>
      <c r="AA68" s="12">
        <f t="shared" si="5"/>
        <v>0</v>
      </c>
      <c r="AE68" s="338"/>
      <c r="AF68" s="338"/>
    </row>
    <row r="69" spans="1:32" ht="12.75" customHeight="1">
      <c r="A69" s="24"/>
      <c r="B69" s="108">
        <f t="shared" si="6"/>
        <v>66</v>
      </c>
      <c r="C69" s="6">
        <v>180100</v>
      </c>
      <c r="D69" s="121" t="s">
        <v>642</v>
      </c>
      <c r="E69" s="9" t="s">
        <v>32</v>
      </c>
      <c r="F69" s="6"/>
      <c r="G69" s="6"/>
      <c r="H69" s="11">
        <f>+STAT3!V69</f>
        <v>50000000</v>
      </c>
      <c r="I69" s="11">
        <f>+STAT3!W69</f>
        <v>0</v>
      </c>
      <c r="J69" s="11">
        <f>+SUMIFS(JURNAL!G:G,JURNAL!E:E,C69,JURNAL!C:C,"&gt;="&amp;$H$1,JURNAL!C:C,"&lt;="&amp;$I$1)</f>
        <v>0</v>
      </c>
      <c r="K69" s="11">
        <f>+SUMIFS(JURNAL!H:H,JURNAL!E:E,C69,JURNAL!C:C,"&gt;="&amp;$H$1,JURNAL!C:C,"&lt;="&amp;$I$1)</f>
        <v>0</v>
      </c>
      <c r="L69" s="26">
        <f t="shared" ref="L69:L132" si="11">+IF((H69+J69)&gt;(I69+K69),(H69+J69)-(I69+K69),0)</f>
        <v>50000000</v>
      </c>
      <c r="M69" s="27">
        <f t="shared" si="9"/>
        <v>0</v>
      </c>
      <c r="N69" s="11"/>
      <c r="O69" s="190"/>
      <c r="P69" s="27"/>
      <c r="Q69" s="11"/>
      <c r="R69" s="26">
        <f t="shared" ref="R69:R132" si="12">+IF((L69+N69)&gt;(M69+O69),(L69+N69)-(M69+O69),0)</f>
        <v>50000000</v>
      </c>
      <c r="S69" s="27">
        <f t="shared" ref="S69:S132" si="13">+IF((L69+N69)&lt;(M69+O69),(M69+O69)-(L69+N69),0)</f>
        <v>0</v>
      </c>
      <c r="T69" s="11"/>
      <c r="U69" s="11"/>
      <c r="V69" s="415">
        <f t="shared" ref="V69:V132" si="14">+IF((R69+T69)&gt;(S69+U69),(R69+T69)-(S69+U69),0)</f>
        <v>50000000</v>
      </c>
      <c r="W69" s="379">
        <f t="shared" si="10"/>
        <v>0</v>
      </c>
      <c r="X69" s="4">
        <v>1108</v>
      </c>
      <c r="Y69" s="4"/>
      <c r="Z69" s="4"/>
      <c r="AA69" s="12">
        <f t="shared" ref="AA69:AA132" si="15">+IF(H69+I69+J69+K69+L69+M69+N69+O69+R69+S69+T69+U69+V69+W69,1,0)</f>
        <v>1</v>
      </c>
      <c r="AE69" s="338"/>
      <c r="AF69" s="338"/>
    </row>
    <row r="70" spans="1:32" ht="12.75" customHeight="1">
      <c r="A70" s="24"/>
      <c r="B70" s="108">
        <f t="shared" ref="B70:B133" si="16">+B69+1</f>
        <v>67</v>
      </c>
      <c r="C70" s="6">
        <v>180101</v>
      </c>
      <c r="D70" s="121" t="s">
        <v>956</v>
      </c>
      <c r="E70" s="9" t="s">
        <v>30</v>
      </c>
      <c r="F70" s="6"/>
      <c r="G70" s="6"/>
      <c r="H70" s="11">
        <f>+STAT3!V70</f>
        <v>0</v>
      </c>
      <c r="I70" s="11">
        <f>+STAT3!W70</f>
        <v>0</v>
      </c>
      <c r="J70" s="11">
        <f>+SUMIFS(JURNAL!G:G,JURNAL!E:E,C70,JURNAL!C:C,"&gt;="&amp;$H$1,JURNAL!C:C,"&lt;="&amp;$I$1)</f>
        <v>0</v>
      </c>
      <c r="K70" s="11">
        <f>+SUMIFS(JURNAL!H:H,JURNAL!E:E,C70,JURNAL!C:C,"&gt;="&amp;$H$1,JURNAL!C:C,"&lt;="&amp;$I$1)</f>
        <v>0</v>
      </c>
      <c r="L70" s="26">
        <f t="shared" si="11"/>
        <v>0</v>
      </c>
      <c r="M70" s="27">
        <f t="shared" si="9"/>
        <v>0</v>
      </c>
      <c r="N70" s="11"/>
      <c r="O70" s="190"/>
      <c r="P70" s="27"/>
      <c r="Q70" s="11"/>
      <c r="R70" s="26">
        <f t="shared" si="12"/>
        <v>0</v>
      </c>
      <c r="S70" s="27">
        <f t="shared" si="13"/>
        <v>0</v>
      </c>
      <c r="T70" s="11"/>
      <c r="U70" s="11"/>
      <c r="V70" s="415">
        <f t="shared" si="14"/>
        <v>0</v>
      </c>
      <c r="W70" s="379">
        <f t="shared" si="10"/>
        <v>0</v>
      </c>
      <c r="X70" s="4">
        <v>1108</v>
      </c>
      <c r="Y70" s="4"/>
      <c r="Z70" s="4"/>
      <c r="AA70" s="12">
        <f t="shared" si="15"/>
        <v>0</v>
      </c>
      <c r="AE70" s="338"/>
      <c r="AF70" s="338"/>
    </row>
    <row r="71" spans="1:32" ht="12.75" customHeight="1">
      <c r="A71" s="24"/>
      <c r="B71" s="108">
        <f t="shared" si="16"/>
        <v>68</v>
      </c>
      <c r="C71" s="6">
        <v>180200</v>
      </c>
      <c r="D71" s="121" t="s">
        <v>970</v>
      </c>
      <c r="E71" s="9" t="s">
        <v>32</v>
      </c>
      <c r="F71" s="6"/>
      <c r="G71" s="6"/>
      <c r="H71" s="11">
        <f>+STAT3!V71</f>
        <v>47400000.000000007</v>
      </c>
      <c r="I71" s="11">
        <f>+STAT3!W71</f>
        <v>0</v>
      </c>
      <c r="J71" s="11">
        <f>+SUMIFS(JURNAL!G:G,JURNAL!E:E,C71,JURNAL!C:C,"&gt;="&amp;$H$1,JURNAL!C:C,"&lt;="&amp;$I$1)</f>
        <v>92363.64</v>
      </c>
      <c r="K71" s="11">
        <f>+SUMIFS(JURNAL!H:H,JURNAL!E:E,C71,JURNAL!C:C,"&gt;="&amp;$H$1,JURNAL!C:C,"&lt;="&amp;$I$1)</f>
        <v>0</v>
      </c>
      <c r="L71" s="26">
        <f t="shared" si="11"/>
        <v>47492363.640000008</v>
      </c>
      <c r="M71" s="27">
        <f t="shared" si="9"/>
        <v>0</v>
      </c>
      <c r="N71" s="11"/>
      <c r="O71" s="190"/>
      <c r="P71" s="27"/>
      <c r="Q71" s="11"/>
      <c r="R71" s="26">
        <f t="shared" si="12"/>
        <v>47492363.640000008</v>
      </c>
      <c r="S71" s="27">
        <f t="shared" si="13"/>
        <v>0</v>
      </c>
      <c r="T71" s="11"/>
      <c r="U71" s="11"/>
      <c r="V71" s="415">
        <f t="shared" si="14"/>
        <v>47492363.640000008</v>
      </c>
      <c r="W71" s="379">
        <f t="shared" si="10"/>
        <v>0</v>
      </c>
      <c r="X71" s="4">
        <v>1108</v>
      </c>
      <c r="Y71" s="4"/>
      <c r="Z71" s="4"/>
      <c r="AA71" s="12">
        <f t="shared" si="15"/>
        <v>1</v>
      </c>
      <c r="AE71" s="338"/>
      <c r="AF71" s="338"/>
    </row>
    <row r="72" spans="1:32" ht="12.75" customHeight="1">
      <c r="A72" s="24"/>
      <c r="B72" s="108">
        <f t="shared" si="16"/>
        <v>69</v>
      </c>
      <c r="C72" s="6">
        <v>180300</v>
      </c>
      <c r="D72" s="121" t="s">
        <v>957</v>
      </c>
      <c r="E72" s="9" t="s">
        <v>30</v>
      </c>
      <c r="F72" s="6"/>
      <c r="G72" s="6"/>
      <c r="H72" s="11">
        <f>+STAT3!V72</f>
        <v>0</v>
      </c>
      <c r="I72" s="11">
        <f>+STAT3!W72</f>
        <v>0</v>
      </c>
      <c r="J72" s="11">
        <f>+SUMIFS(JURNAL!G:G,JURNAL!E:E,C72,JURNAL!C:C,"&gt;="&amp;$H$1,JURNAL!C:C,"&lt;="&amp;$I$1)</f>
        <v>0</v>
      </c>
      <c r="K72" s="11">
        <f>+SUMIFS(JURNAL!H:H,JURNAL!E:E,C72,JURNAL!C:C,"&gt;="&amp;$H$1,JURNAL!C:C,"&lt;="&amp;$I$1)</f>
        <v>0</v>
      </c>
      <c r="L72" s="26">
        <f t="shared" si="11"/>
        <v>0</v>
      </c>
      <c r="M72" s="27">
        <f t="shared" si="9"/>
        <v>0</v>
      </c>
      <c r="N72" s="11"/>
      <c r="O72" s="190"/>
      <c r="P72" s="27"/>
      <c r="Q72" s="11"/>
      <c r="R72" s="26">
        <f t="shared" si="12"/>
        <v>0</v>
      </c>
      <c r="S72" s="27">
        <f t="shared" si="13"/>
        <v>0</v>
      </c>
      <c r="T72" s="11"/>
      <c r="U72" s="11"/>
      <c r="V72" s="415">
        <f t="shared" si="14"/>
        <v>0</v>
      </c>
      <c r="W72" s="379">
        <f t="shared" si="10"/>
        <v>0</v>
      </c>
      <c r="X72" s="4">
        <v>1108</v>
      </c>
      <c r="Y72" s="4"/>
      <c r="Z72" s="4"/>
      <c r="AA72" s="12">
        <f t="shared" si="15"/>
        <v>0</v>
      </c>
      <c r="AE72" s="338"/>
      <c r="AF72" s="338"/>
    </row>
    <row r="73" spans="1:32" ht="12.75" customHeight="1">
      <c r="A73" s="24"/>
      <c r="B73" s="108">
        <f t="shared" si="16"/>
        <v>70</v>
      </c>
      <c r="C73" s="6">
        <v>180400</v>
      </c>
      <c r="D73" s="121" t="s">
        <v>650</v>
      </c>
      <c r="E73" s="9" t="s">
        <v>32</v>
      </c>
      <c r="F73" s="6"/>
      <c r="G73" s="6"/>
      <c r="H73" s="11">
        <f>+STAT3!V73</f>
        <v>0</v>
      </c>
      <c r="I73" s="11">
        <f>+STAT3!W73</f>
        <v>0</v>
      </c>
      <c r="J73" s="11">
        <f>+SUMIFS(JURNAL!G:G,JURNAL!E:E,C73,JURNAL!C:C,"&gt;="&amp;$H$1,JURNAL!C:C,"&lt;="&amp;$I$1)</f>
        <v>0</v>
      </c>
      <c r="K73" s="11">
        <f>+SUMIFS(JURNAL!H:H,JURNAL!E:E,C73,JURNAL!C:C,"&gt;="&amp;$H$1,JURNAL!C:C,"&lt;="&amp;$I$1)</f>
        <v>0</v>
      </c>
      <c r="L73" s="26">
        <f t="shared" si="11"/>
        <v>0</v>
      </c>
      <c r="M73" s="27">
        <f t="shared" si="9"/>
        <v>0</v>
      </c>
      <c r="N73" s="11"/>
      <c r="O73" s="190"/>
      <c r="P73" s="27"/>
      <c r="Q73" s="11"/>
      <c r="R73" s="26">
        <f t="shared" si="12"/>
        <v>0</v>
      </c>
      <c r="S73" s="27">
        <f t="shared" si="13"/>
        <v>0</v>
      </c>
      <c r="T73" s="11"/>
      <c r="U73" s="11"/>
      <c r="V73" s="415">
        <f t="shared" si="14"/>
        <v>0</v>
      </c>
      <c r="W73" s="379">
        <f t="shared" si="10"/>
        <v>0</v>
      </c>
      <c r="X73" s="4">
        <v>1108</v>
      </c>
      <c r="Y73" s="4"/>
      <c r="Z73" s="4"/>
      <c r="AA73" s="12">
        <f t="shared" si="15"/>
        <v>0</v>
      </c>
      <c r="AE73" s="338"/>
      <c r="AF73" s="338"/>
    </row>
    <row r="74" spans="1:32" ht="12.75" customHeight="1">
      <c r="A74" s="24"/>
      <c r="B74" s="108">
        <f t="shared" si="16"/>
        <v>71</v>
      </c>
      <c r="C74" s="6">
        <v>200100</v>
      </c>
      <c r="D74" s="121" t="s">
        <v>992</v>
      </c>
      <c r="E74" s="9" t="s">
        <v>32</v>
      </c>
      <c r="F74" s="6"/>
      <c r="G74" s="6"/>
      <c r="H74" s="11">
        <f>+STAT3!V74</f>
        <v>0</v>
      </c>
      <c r="I74" s="11">
        <f>+STAT3!W74</f>
        <v>0</v>
      </c>
      <c r="J74" s="11">
        <f>+SUMIFS(JURNAL!G:G,JURNAL!E:E,C74,JURNAL!C:C,"&gt;="&amp;$H$1,JURNAL!C:C,"&lt;="&amp;$I$1)</f>
        <v>0</v>
      </c>
      <c r="K74" s="11">
        <f>+SUMIFS(JURNAL!H:H,JURNAL!E:E,C74,JURNAL!C:C,"&gt;="&amp;$H$1,JURNAL!C:C,"&lt;="&amp;$I$1)</f>
        <v>0</v>
      </c>
      <c r="L74" s="26">
        <f t="shared" si="11"/>
        <v>0</v>
      </c>
      <c r="M74" s="27">
        <f t="shared" si="9"/>
        <v>0</v>
      </c>
      <c r="N74" s="11"/>
      <c r="O74" s="190"/>
      <c r="P74" s="27"/>
      <c r="Q74" s="11"/>
      <c r="R74" s="26">
        <f t="shared" si="12"/>
        <v>0</v>
      </c>
      <c r="S74" s="27">
        <f t="shared" si="13"/>
        <v>0</v>
      </c>
      <c r="T74" s="11"/>
      <c r="U74" s="11"/>
      <c r="V74" s="415">
        <f t="shared" si="14"/>
        <v>0</v>
      </c>
      <c r="W74" s="379">
        <f t="shared" si="10"/>
        <v>0</v>
      </c>
      <c r="X74" s="4">
        <v>1120</v>
      </c>
      <c r="Y74" s="4"/>
      <c r="Z74" s="4"/>
      <c r="AA74" s="12">
        <f t="shared" si="15"/>
        <v>0</v>
      </c>
      <c r="AE74" s="338"/>
      <c r="AF74" s="338"/>
    </row>
    <row r="75" spans="1:32" ht="12.75" customHeight="1">
      <c r="A75" s="24"/>
      <c r="B75" s="108">
        <f t="shared" si="16"/>
        <v>72</v>
      </c>
      <c r="C75" s="6">
        <v>200200</v>
      </c>
      <c r="D75" s="121" t="s">
        <v>658</v>
      </c>
      <c r="E75" s="9" t="s">
        <v>32</v>
      </c>
      <c r="F75" s="6"/>
      <c r="G75" s="6"/>
      <c r="H75" s="11">
        <f>+STAT3!V75</f>
        <v>1172805331</v>
      </c>
      <c r="I75" s="11">
        <f>+STAT3!W75</f>
        <v>0</v>
      </c>
      <c r="J75" s="11">
        <f>+SUMIFS(JURNAL!G:G,JURNAL!E:E,C75,JURNAL!C:C,"&gt;="&amp;$H$1,JURNAL!C:C,"&lt;="&amp;$I$1)</f>
        <v>0</v>
      </c>
      <c r="K75" s="11">
        <f>+SUMIFS(JURNAL!H:H,JURNAL!E:E,C75,JURNAL!C:C,"&gt;="&amp;$H$1,JURNAL!C:C,"&lt;="&amp;$I$1)</f>
        <v>0</v>
      </c>
      <c r="L75" s="26">
        <f t="shared" si="11"/>
        <v>1172805331</v>
      </c>
      <c r="M75" s="27">
        <f t="shared" si="9"/>
        <v>0</v>
      </c>
      <c r="N75" s="11"/>
      <c r="O75" s="190"/>
      <c r="P75" s="27"/>
      <c r="Q75" s="11"/>
      <c r="R75" s="26">
        <f t="shared" si="12"/>
        <v>1172805331</v>
      </c>
      <c r="S75" s="27">
        <f t="shared" si="13"/>
        <v>0</v>
      </c>
      <c r="T75" s="11"/>
      <c r="U75" s="11"/>
      <c r="V75" s="415">
        <f t="shared" si="14"/>
        <v>1172805331</v>
      </c>
      <c r="W75" s="379">
        <f t="shared" si="10"/>
        <v>0</v>
      </c>
      <c r="X75" s="4">
        <v>1120</v>
      </c>
      <c r="Y75" s="4"/>
      <c r="Z75" s="4"/>
      <c r="AA75" s="12">
        <f t="shared" si="15"/>
        <v>1</v>
      </c>
      <c r="AE75" s="338"/>
      <c r="AF75" s="338"/>
    </row>
    <row r="76" spans="1:32" ht="12.75" customHeight="1">
      <c r="A76" s="24"/>
      <c r="B76" s="108">
        <f t="shared" si="16"/>
        <v>73</v>
      </c>
      <c r="C76" s="6">
        <v>200300</v>
      </c>
      <c r="D76" s="121" t="s">
        <v>318</v>
      </c>
      <c r="E76" s="9" t="s">
        <v>32</v>
      </c>
      <c r="F76" s="6"/>
      <c r="G76" s="6"/>
      <c r="H76" s="11">
        <f>+STAT3!V76</f>
        <v>8844705.1799999997</v>
      </c>
      <c r="I76" s="11">
        <f>+STAT3!W76</f>
        <v>0</v>
      </c>
      <c r="J76" s="11">
        <f>+SUMIFS(JURNAL!G:G,JURNAL!E:E,C76,JURNAL!C:C,"&gt;="&amp;$H$1,JURNAL!C:C,"&lt;="&amp;$I$1)</f>
        <v>0</v>
      </c>
      <c r="K76" s="11">
        <f>+SUMIFS(JURNAL!H:H,JURNAL!E:E,C76,JURNAL!C:C,"&gt;="&amp;$H$1,JURNAL!C:C,"&lt;="&amp;$I$1)</f>
        <v>0</v>
      </c>
      <c r="L76" s="26">
        <f t="shared" si="11"/>
        <v>8844705.1799999997</v>
      </c>
      <c r="M76" s="27">
        <f t="shared" si="9"/>
        <v>0</v>
      </c>
      <c r="N76" s="11"/>
      <c r="O76" s="190"/>
      <c r="P76" s="27"/>
      <c r="Q76" s="11"/>
      <c r="R76" s="26">
        <f t="shared" si="12"/>
        <v>8844705.1799999997</v>
      </c>
      <c r="S76" s="27">
        <f t="shared" si="13"/>
        <v>0</v>
      </c>
      <c r="T76" s="11"/>
      <c r="U76" s="11"/>
      <c r="V76" s="415">
        <f t="shared" si="14"/>
        <v>8844705.1799999997</v>
      </c>
      <c r="W76" s="379">
        <f t="shared" si="10"/>
        <v>0</v>
      </c>
      <c r="X76" s="4">
        <v>1120</v>
      </c>
      <c r="Y76" s="4"/>
      <c r="Z76" s="4"/>
      <c r="AA76" s="12">
        <f t="shared" si="15"/>
        <v>1</v>
      </c>
      <c r="AE76" s="338"/>
      <c r="AF76" s="338"/>
    </row>
    <row r="77" spans="1:32" ht="12.75" customHeight="1">
      <c r="A77" s="24"/>
      <c r="B77" s="108">
        <f t="shared" si="16"/>
        <v>74</v>
      </c>
      <c r="C77" s="6">
        <v>200400</v>
      </c>
      <c r="D77" s="121" t="s">
        <v>664</v>
      </c>
      <c r="E77" s="9" t="s">
        <v>32</v>
      </c>
      <c r="F77" s="6"/>
      <c r="G77" s="6"/>
      <c r="H77" s="11">
        <f>+STAT3!V77</f>
        <v>709587375.44000006</v>
      </c>
      <c r="I77" s="11">
        <f>+STAT3!W77</f>
        <v>0</v>
      </c>
      <c r="J77" s="11">
        <f>+SUMIFS(JURNAL!G:G,JURNAL!E:E,C77,JURNAL!C:C,"&gt;="&amp;$H$1,JURNAL!C:C,"&lt;="&amp;$I$1)</f>
        <v>0</v>
      </c>
      <c r="K77" s="11">
        <f>+SUMIFS(JURNAL!H:H,JURNAL!E:E,C77,JURNAL!C:C,"&gt;="&amp;$H$1,JURNAL!C:C,"&lt;="&amp;$I$1)</f>
        <v>0</v>
      </c>
      <c r="L77" s="26">
        <f t="shared" si="11"/>
        <v>709587375.44000006</v>
      </c>
      <c r="M77" s="27">
        <f t="shared" si="9"/>
        <v>0</v>
      </c>
      <c r="N77" s="11"/>
      <c r="O77" s="190"/>
      <c r="P77" s="27"/>
      <c r="Q77" s="11"/>
      <c r="R77" s="26">
        <f t="shared" si="12"/>
        <v>709587375.44000006</v>
      </c>
      <c r="S77" s="27">
        <f t="shared" si="13"/>
        <v>0</v>
      </c>
      <c r="T77" s="11"/>
      <c r="U77" s="11"/>
      <c r="V77" s="415">
        <f t="shared" si="14"/>
        <v>709587375.44000006</v>
      </c>
      <c r="W77" s="379">
        <f t="shared" si="10"/>
        <v>0</v>
      </c>
      <c r="X77" s="4">
        <v>1120</v>
      </c>
      <c r="Y77" s="4"/>
      <c r="Z77" s="4"/>
      <c r="AA77" s="12">
        <f t="shared" si="15"/>
        <v>1</v>
      </c>
      <c r="AE77" s="338"/>
      <c r="AF77" s="338"/>
    </row>
    <row r="78" spans="1:32" ht="12.75" customHeight="1">
      <c r="A78" s="24"/>
      <c r="B78" s="108">
        <f t="shared" si="16"/>
        <v>75</v>
      </c>
      <c r="C78" s="6">
        <v>200500</v>
      </c>
      <c r="D78" s="121" t="s">
        <v>668</v>
      </c>
      <c r="E78" s="9" t="s">
        <v>32</v>
      </c>
      <c r="F78" s="6"/>
      <c r="G78" s="6"/>
      <c r="H78" s="11">
        <f>+STAT3!V78</f>
        <v>174300000</v>
      </c>
      <c r="I78" s="11">
        <f>+STAT3!W78</f>
        <v>0</v>
      </c>
      <c r="J78" s="11">
        <f>+SUMIFS(JURNAL!G:G,JURNAL!E:E,C78,JURNAL!C:C,"&gt;="&amp;$H$1,JURNAL!C:C,"&lt;="&amp;$I$1)</f>
        <v>0</v>
      </c>
      <c r="K78" s="11">
        <f>+SUMIFS(JURNAL!H:H,JURNAL!E:E,C78,JURNAL!C:C,"&gt;="&amp;$H$1,JURNAL!C:C,"&lt;="&amp;$I$1)</f>
        <v>0</v>
      </c>
      <c r="L78" s="26">
        <f t="shared" si="11"/>
        <v>174300000</v>
      </c>
      <c r="M78" s="27">
        <f t="shared" si="9"/>
        <v>0</v>
      </c>
      <c r="N78" s="11"/>
      <c r="O78" s="190"/>
      <c r="P78" s="27"/>
      <c r="Q78" s="11"/>
      <c r="R78" s="26">
        <f t="shared" si="12"/>
        <v>174300000</v>
      </c>
      <c r="S78" s="27">
        <f t="shared" si="13"/>
        <v>0</v>
      </c>
      <c r="T78" s="11"/>
      <c r="U78" s="11"/>
      <c r="V78" s="415">
        <f t="shared" si="14"/>
        <v>174300000</v>
      </c>
      <c r="W78" s="379">
        <f t="shared" si="10"/>
        <v>0</v>
      </c>
      <c r="X78" s="4">
        <v>1120</v>
      </c>
      <c r="Y78" s="4"/>
      <c r="Z78" s="4"/>
      <c r="AA78" s="12">
        <f t="shared" si="15"/>
        <v>1</v>
      </c>
      <c r="AE78" s="338"/>
      <c r="AF78" s="338"/>
    </row>
    <row r="79" spans="1:32" ht="12.75" customHeight="1">
      <c r="A79" s="24"/>
      <c r="B79" s="108">
        <f t="shared" si="16"/>
        <v>76</v>
      </c>
      <c r="C79" s="6">
        <v>201000</v>
      </c>
      <c r="D79" s="121" t="s">
        <v>688</v>
      </c>
      <c r="E79" s="9" t="s">
        <v>32</v>
      </c>
      <c r="F79" s="6"/>
      <c r="G79" s="6"/>
      <c r="H79" s="11">
        <f>+STAT3!V79</f>
        <v>17111038.23</v>
      </c>
      <c r="I79" s="11">
        <f>+STAT3!W79</f>
        <v>0</v>
      </c>
      <c r="J79" s="11">
        <f>+SUMIFS(JURNAL!G:G,JURNAL!E:E,C79,JURNAL!C:C,"&gt;="&amp;$H$1,JURNAL!C:C,"&lt;="&amp;$I$1)</f>
        <v>0</v>
      </c>
      <c r="K79" s="11">
        <f>+SUMIFS(JURNAL!H:H,JURNAL!E:E,C79,JURNAL!C:C,"&gt;="&amp;$H$1,JURNAL!C:C,"&lt;="&amp;$I$1)</f>
        <v>0</v>
      </c>
      <c r="L79" s="26">
        <f t="shared" si="11"/>
        <v>17111038.23</v>
      </c>
      <c r="M79" s="27">
        <f t="shared" si="9"/>
        <v>0</v>
      </c>
      <c r="N79" s="11"/>
      <c r="O79" s="190"/>
      <c r="P79" s="27"/>
      <c r="Q79" s="11"/>
      <c r="R79" s="26">
        <f t="shared" si="12"/>
        <v>17111038.23</v>
      </c>
      <c r="S79" s="27">
        <f t="shared" si="13"/>
        <v>0</v>
      </c>
      <c r="T79" s="11"/>
      <c r="U79" s="11"/>
      <c r="V79" s="415">
        <f t="shared" si="14"/>
        <v>17111038.23</v>
      </c>
      <c r="W79" s="379">
        <f t="shared" si="10"/>
        <v>0</v>
      </c>
      <c r="X79" s="4">
        <v>1120</v>
      </c>
      <c r="Y79" s="4"/>
      <c r="Z79" s="4"/>
      <c r="AA79" s="12">
        <f t="shared" si="15"/>
        <v>1</v>
      </c>
      <c r="AE79" s="338"/>
      <c r="AF79" s="338"/>
    </row>
    <row r="80" spans="1:32" ht="12.75" customHeight="1">
      <c r="A80" s="24"/>
      <c r="B80" s="108">
        <f t="shared" si="16"/>
        <v>77</v>
      </c>
      <c r="C80" s="6">
        <v>200201</v>
      </c>
      <c r="D80" s="121" t="s">
        <v>958</v>
      </c>
      <c r="E80" s="9" t="s">
        <v>32</v>
      </c>
      <c r="F80" s="6"/>
      <c r="G80" s="6"/>
      <c r="H80" s="11">
        <f>+STAT3!V80</f>
        <v>0</v>
      </c>
      <c r="I80" s="11">
        <f>+STAT3!W80</f>
        <v>0</v>
      </c>
      <c r="J80" s="11">
        <f>+SUMIFS(JURNAL!G:G,JURNAL!E:E,C80,JURNAL!C:C,"&gt;="&amp;$H$1,JURNAL!C:C,"&lt;="&amp;$I$1)</f>
        <v>0</v>
      </c>
      <c r="K80" s="11">
        <f>+SUMIFS(JURNAL!H:H,JURNAL!E:E,C80,JURNAL!C:C,"&gt;="&amp;$H$1,JURNAL!C:C,"&lt;="&amp;$I$1)</f>
        <v>0</v>
      </c>
      <c r="L80" s="26">
        <f t="shared" si="11"/>
        <v>0</v>
      </c>
      <c r="M80" s="27">
        <f t="shared" si="9"/>
        <v>0</v>
      </c>
      <c r="N80" s="11"/>
      <c r="O80" s="190"/>
      <c r="P80" s="27"/>
      <c r="Q80" s="11"/>
      <c r="R80" s="26">
        <f t="shared" si="12"/>
        <v>0</v>
      </c>
      <c r="S80" s="27">
        <f t="shared" si="13"/>
        <v>0</v>
      </c>
      <c r="T80" s="11"/>
      <c r="U80" s="11"/>
      <c r="V80" s="415">
        <f t="shared" si="14"/>
        <v>0</v>
      </c>
      <c r="W80" s="379">
        <f t="shared" si="10"/>
        <v>0</v>
      </c>
      <c r="X80" s="4">
        <v>1120</v>
      </c>
      <c r="Y80" s="4"/>
      <c r="Z80" s="4"/>
      <c r="AA80" s="12">
        <f t="shared" si="15"/>
        <v>0</v>
      </c>
      <c r="AD80" s="79"/>
      <c r="AE80" s="338"/>
      <c r="AF80" s="338"/>
    </row>
    <row r="81" spans="1:33" ht="12.75" customHeight="1">
      <c r="A81" s="24"/>
      <c r="B81" s="108">
        <f t="shared" si="16"/>
        <v>78</v>
      </c>
      <c r="C81" s="6">
        <v>200600</v>
      </c>
      <c r="D81" s="121" t="s">
        <v>672</v>
      </c>
      <c r="E81" s="9" t="s">
        <v>32</v>
      </c>
      <c r="F81" s="6"/>
      <c r="G81" s="6"/>
      <c r="H81" s="11">
        <f>+STAT3!V81</f>
        <v>0</v>
      </c>
      <c r="I81" s="11">
        <f>+STAT3!W81</f>
        <v>0</v>
      </c>
      <c r="J81" s="11">
        <f>+SUMIFS(JURNAL!G:G,JURNAL!E:E,C81,JURNAL!C:C,"&gt;="&amp;$H$1,JURNAL!C:C,"&lt;="&amp;$I$1)</f>
        <v>0</v>
      </c>
      <c r="K81" s="11">
        <f>+SUMIFS(JURNAL!H:H,JURNAL!E:E,C81,JURNAL!C:C,"&gt;="&amp;$H$1,JURNAL!C:C,"&lt;="&amp;$I$1)</f>
        <v>0</v>
      </c>
      <c r="L81" s="26">
        <f t="shared" si="11"/>
        <v>0</v>
      </c>
      <c r="M81" s="27">
        <f t="shared" si="9"/>
        <v>0</v>
      </c>
      <c r="N81" s="11"/>
      <c r="O81" s="190"/>
      <c r="P81" s="27"/>
      <c r="Q81" s="11"/>
      <c r="R81" s="26">
        <f t="shared" si="12"/>
        <v>0</v>
      </c>
      <c r="S81" s="27">
        <f t="shared" si="13"/>
        <v>0</v>
      </c>
      <c r="T81" s="11"/>
      <c r="U81" s="11"/>
      <c r="V81" s="415">
        <f t="shared" si="14"/>
        <v>0</v>
      </c>
      <c r="W81" s="379">
        <f t="shared" si="10"/>
        <v>0</v>
      </c>
      <c r="X81" s="4">
        <v>1120</v>
      </c>
      <c r="Y81" s="4"/>
      <c r="Z81" s="4"/>
      <c r="AA81" s="12">
        <f t="shared" si="15"/>
        <v>0</v>
      </c>
      <c r="AE81" s="338"/>
      <c r="AF81" s="338"/>
    </row>
    <row r="82" spans="1:33" ht="12.75" customHeight="1">
      <c r="A82" s="24"/>
      <c r="B82" s="108">
        <f t="shared" si="16"/>
        <v>79</v>
      </c>
      <c r="C82" s="6">
        <v>200700</v>
      </c>
      <c r="D82" s="121" t="s">
        <v>971</v>
      </c>
      <c r="E82" s="9" t="s">
        <v>32</v>
      </c>
      <c r="F82" s="6"/>
      <c r="G82" s="6"/>
      <c r="H82" s="11">
        <f>+STAT3!V82</f>
        <v>0</v>
      </c>
      <c r="I82" s="11">
        <f>+STAT3!W82</f>
        <v>0</v>
      </c>
      <c r="J82" s="11">
        <f>+SUMIFS(JURNAL!G:G,JURNAL!E:E,C82,JURNAL!C:C,"&gt;="&amp;$H$1,JURNAL!C:C,"&lt;="&amp;$I$1)</f>
        <v>312587335.66000003</v>
      </c>
      <c r="K82" s="11">
        <f>+SUMIFS(JURNAL!H:H,JURNAL!E:E,C82,JURNAL!C:C,"&gt;="&amp;$H$1,JURNAL!C:C,"&lt;="&amp;$I$1)</f>
        <v>312587335.66000003</v>
      </c>
      <c r="L82" s="26">
        <f t="shared" si="11"/>
        <v>0</v>
      </c>
      <c r="M82" s="27">
        <f t="shared" si="9"/>
        <v>0</v>
      </c>
      <c r="N82" s="11"/>
      <c r="O82" s="190"/>
      <c r="P82" s="27"/>
      <c r="Q82" s="11"/>
      <c r="R82" s="26">
        <f t="shared" si="12"/>
        <v>0</v>
      </c>
      <c r="S82" s="27">
        <f t="shared" si="13"/>
        <v>0</v>
      </c>
      <c r="T82" s="11"/>
      <c r="U82" s="11"/>
      <c r="V82" s="415">
        <f t="shared" si="14"/>
        <v>0</v>
      </c>
      <c r="W82" s="379">
        <f t="shared" si="10"/>
        <v>0</v>
      </c>
      <c r="X82" s="4">
        <v>1128</v>
      </c>
      <c r="Y82" s="4"/>
      <c r="Z82" s="4"/>
      <c r="AA82" s="12">
        <f t="shared" si="15"/>
        <v>1</v>
      </c>
      <c r="AD82" s="79"/>
      <c r="AE82" s="338"/>
      <c r="AF82" s="338"/>
    </row>
    <row r="83" spans="1:33" ht="12.75" customHeight="1">
      <c r="A83" s="24"/>
      <c r="B83" s="108">
        <f t="shared" si="16"/>
        <v>80</v>
      </c>
      <c r="C83" s="6">
        <v>200800</v>
      </c>
      <c r="D83" s="121" t="s">
        <v>680</v>
      </c>
      <c r="E83" s="9" t="s">
        <v>32</v>
      </c>
      <c r="F83" s="6"/>
      <c r="G83" s="6"/>
      <c r="H83" s="11">
        <f>+STAT3!V83</f>
        <v>0</v>
      </c>
      <c r="I83" s="11">
        <f>+STAT3!W83</f>
        <v>0</v>
      </c>
      <c r="J83" s="11">
        <f>+SUMIFS(JURNAL!G:G,JURNAL!E:E,C83,JURNAL!C:C,"&gt;="&amp;$H$1,JURNAL!C:C,"&lt;="&amp;$I$1)</f>
        <v>0</v>
      </c>
      <c r="K83" s="11">
        <f>+SUMIFS(JURNAL!H:H,JURNAL!E:E,C83,JURNAL!C:C,"&gt;="&amp;$H$1,JURNAL!C:C,"&lt;="&amp;$I$1)</f>
        <v>0</v>
      </c>
      <c r="L83" s="26">
        <f t="shared" si="11"/>
        <v>0</v>
      </c>
      <c r="M83" s="27">
        <f t="shared" si="9"/>
        <v>0</v>
      </c>
      <c r="N83" s="11"/>
      <c r="O83" s="190"/>
      <c r="P83" s="27"/>
      <c r="Q83" s="11"/>
      <c r="R83" s="26">
        <f t="shared" si="12"/>
        <v>0</v>
      </c>
      <c r="S83" s="27">
        <f t="shared" si="13"/>
        <v>0</v>
      </c>
      <c r="T83" s="11"/>
      <c r="U83" s="11"/>
      <c r="V83" s="415">
        <f t="shared" si="14"/>
        <v>0</v>
      </c>
      <c r="W83" s="379">
        <f t="shared" si="10"/>
        <v>0</v>
      </c>
      <c r="X83" s="4">
        <v>1127</v>
      </c>
      <c r="Y83" s="4"/>
      <c r="Z83" s="4"/>
      <c r="AA83" s="12">
        <f t="shared" si="15"/>
        <v>0</v>
      </c>
      <c r="AD83" s="314"/>
      <c r="AE83" s="338"/>
      <c r="AF83" s="338"/>
      <c r="AG83" s="83"/>
    </row>
    <row r="84" spans="1:33" ht="12.75" customHeight="1">
      <c r="A84" s="24"/>
      <c r="B84" s="108">
        <f t="shared" si="16"/>
        <v>81</v>
      </c>
      <c r="C84" s="6">
        <v>200900</v>
      </c>
      <c r="D84" s="121" t="s">
        <v>684</v>
      </c>
      <c r="E84" s="9" t="s">
        <v>32</v>
      </c>
      <c r="F84" s="6"/>
      <c r="G84" s="6"/>
      <c r="H84" s="11">
        <f>+STAT3!V84</f>
        <v>0</v>
      </c>
      <c r="I84" s="11">
        <f>+STAT3!W84</f>
        <v>0</v>
      </c>
      <c r="J84" s="11">
        <f>+SUMIFS(JURNAL!G:G,JURNAL!E:E,C84,JURNAL!C:C,"&gt;="&amp;$H$1,JURNAL!C:C,"&lt;="&amp;$I$1)</f>
        <v>0</v>
      </c>
      <c r="K84" s="11">
        <f>+SUMIFS(JURNAL!H:H,JURNAL!E:E,C84,JURNAL!C:C,"&gt;="&amp;$H$1,JURNAL!C:C,"&lt;="&amp;$I$1)</f>
        <v>0</v>
      </c>
      <c r="L84" s="26">
        <f t="shared" si="11"/>
        <v>0</v>
      </c>
      <c r="M84" s="27">
        <f t="shared" si="9"/>
        <v>0</v>
      </c>
      <c r="N84" s="11"/>
      <c r="O84" s="190"/>
      <c r="P84" s="27"/>
      <c r="Q84" s="11"/>
      <c r="R84" s="26">
        <f t="shared" si="12"/>
        <v>0</v>
      </c>
      <c r="S84" s="27">
        <f t="shared" si="13"/>
        <v>0</v>
      </c>
      <c r="T84" s="11"/>
      <c r="U84" s="11"/>
      <c r="V84" s="415">
        <f t="shared" si="14"/>
        <v>0</v>
      </c>
      <c r="W84" s="379">
        <f t="shared" si="10"/>
        <v>0</v>
      </c>
      <c r="X84" s="4">
        <v>1122</v>
      </c>
      <c r="Y84" s="4"/>
      <c r="Z84" s="4"/>
      <c r="AA84" s="12">
        <f t="shared" si="15"/>
        <v>0</v>
      </c>
      <c r="AD84" s="314"/>
      <c r="AE84" s="338"/>
      <c r="AF84" s="338"/>
    </row>
    <row r="85" spans="1:33" ht="12.75" customHeight="1">
      <c r="A85" s="24"/>
      <c r="B85" s="108">
        <f t="shared" si="16"/>
        <v>82</v>
      </c>
      <c r="C85" s="6">
        <v>201200</v>
      </c>
      <c r="D85" s="121" t="s">
        <v>972</v>
      </c>
      <c r="E85" s="9" t="s">
        <v>32</v>
      </c>
      <c r="F85" s="6"/>
      <c r="G85" s="6"/>
      <c r="H85" s="11">
        <f>+STAT3!V85</f>
        <v>0</v>
      </c>
      <c r="I85" s="11">
        <f>+STAT3!W85</f>
        <v>654240450.75</v>
      </c>
      <c r="J85" s="11">
        <f>+SUMIFS(JURNAL!G:G,JURNAL!E:E,C85,JURNAL!C:C,"&gt;="&amp;$H$1,JURNAL!C:C,"&lt;="&amp;$I$1)</f>
        <v>0</v>
      </c>
      <c r="K85" s="11">
        <f>+SUMIFS(JURNAL!H:H,JURNAL!E:E,C85,JURNAL!C:C,"&gt;="&amp;$H$1,JURNAL!C:C,"&lt;="&amp;$I$1)</f>
        <v>7330033.3200000003</v>
      </c>
      <c r="L85" s="26">
        <f t="shared" si="11"/>
        <v>0</v>
      </c>
      <c r="M85" s="27">
        <f t="shared" si="9"/>
        <v>661570484.07000005</v>
      </c>
      <c r="N85" s="11"/>
      <c r="O85" s="190"/>
      <c r="P85" s="27"/>
      <c r="Q85" s="11"/>
      <c r="R85" s="26">
        <f t="shared" si="12"/>
        <v>0</v>
      </c>
      <c r="S85" s="27">
        <f t="shared" si="13"/>
        <v>661570484.07000005</v>
      </c>
      <c r="T85" s="11"/>
      <c r="U85" s="11"/>
      <c r="V85" s="415">
        <f t="shared" si="14"/>
        <v>0</v>
      </c>
      <c r="W85" s="379">
        <f t="shared" si="10"/>
        <v>661570484.07000005</v>
      </c>
      <c r="X85" s="4">
        <v>1121</v>
      </c>
      <c r="Y85" s="4"/>
      <c r="Z85" s="4"/>
      <c r="AA85" s="12">
        <f t="shared" si="15"/>
        <v>1</v>
      </c>
      <c r="AE85" s="338"/>
      <c r="AF85" s="338"/>
    </row>
    <row r="86" spans="1:33" ht="12.75" customHeight="1">
      <c r="A86" s="24"/>
      <c r="B86" s="108">
        <f t="shared" si="16"/>
        <v>83</v>
      </c>
      <c r="C86" s="6">
        <v>201300</v>
      </c>
      <c r="D86" s="121" t="s">
        <v>973</v>
      </c>
      <c r="E86" s="9" t="s">
        <v>32</v>
      </c>
      <c r="F86" s="6"/>
      <c r="G86" s="6"/>
      <c r="H86" s="11">
        <f>+STAT3!V86</f>
        <v>0</v>
      </c>
      <c r="I86" s="11">
        <f>+STAT3!W86</f>
        <v>7604254.0399999972</v>
      </c>
      <c r="J86" s="11">
        <f>+SUMIFS(JURNAL!G:G,JURNAL!E:E,C86,JURNAL!C:C,"&gt;="&amp;$H$1,JURNAL!C:C,"&lt;="&amp;$I$1)</f>
        <v>0</v>
      </c>
      <c r="K86" s="11">
        <f>+SUMIFS(JURNAL!H:H,JURNAL!E:E,C86,JURNAL!C:C,"&gt;="&amp;$H$1,JURNAL!C:C,"&lt;="&amp;$I$1)</f>
        <v>70739.39</v>
      </c>
      <c r="L86" s="26">
        <f t="shared" si="11"/>
        <v>0</v>
      </c>
      <c r="M86" s="27">
        <f t="shared" si="9"/>
        <v>7674993.4299999969</v>
      </c>
      <c r="N86" s="11"/>
      <c r="O86" s="190"/>
      <c r="P86" s="27"/>
      <c r="Q86" s="11"/>
      <c r="R86" s="26">
        <f t="shared" si="12"/>
        <v>0</v>
      </c>
      <c r="S86" s="27">
        <f t="shared" si="13"/>
        <v>7674993.4299999969</v>
      </c>
      <c r="T86" s="11"/>
      <c r="U86" s="11"/>
      <c r="V86" s="415">
        <f t="shared" si="14"/>
        <v>0</v>
      </c>
      <c r="W86" s="379">
        <f t="shared" si="10"/>
        <v>7674993.4299999969</v>
      </c>
      <c r="X86" s="4">
        <v>1121</v>
      </c>
      <c r="Y86" s="4"/>
      <c r="Z86" s="4"/>
      <c r="AA86" s="12">
        <f t="shared" si="15"/>
        <v>1</v>
      </c>
      <c r="AE86" s="338"/>
      <c r="AF86" s="338"/>
    </row>
    <row r="87" spans="1:33" ht="12.75" customHeight="1">
      <c r="A87" s="24"/>
      <c r="B87" s="108">
        <f t="shared" si="16"/>
        <v>84</v>
      </c>
      <c r="C87" s="6">
        <v>201400</v>
      </c>
      <c r="D87" s="121" t="s">
        <v>974</v>
      </c>
      <c r="E87" s="9" t="s">
        <v>32</v>
      </c>
      <c r="F87" s="6"/>
      <c r="G87" s="6"/>
      <c r="H87" s="11">
        <f>+STAT3!V87</f>
        <v>0</v>
      </c>
      <c r="I87" s="11">
        <f>+STAT3!W87</f>
        <v>555757298.30999982</v>
      </c>
      <c r="J87" s="11">
        <f>+SUMIFS(JURNAL!G:G,JURNAL!E:E,C87,JURNAL!C:C,"&gt;="&amp;$H$1,JURNAL!C:C,"&lt;="&amp;$I$1)</f>
        <v>0</v>
      </c>
      <c r="K87" s="11">
        <f>+SUMIFS(JURNAL!H:H,JURNAL!E:E,C87,JURNAL!C:C,"&gt;="&amp;$H$1,JURNAL!C:C,"&lt;="&amp;$I$1)</f>
        <v>14619570.4</v>
      </c>
      <c r="L87" s="26">
        <f t="shared" si="11"/>
        <v>0</v>
      </c>
      <c r="M87" s="27">
        <f t="shared" si="9"/>
        <v>570376868.7099998</v>
      </c>
      <c r="N87" s="11"/>
      <c r="O87" s="190"/>
      <c r="P87" s="27"/>
      <c r="Q87" s="11"/>
      <c r="R87" s="26">
        <f t="shared" si="12"/>
        <v>0</v>
      </c>
      <c r="S87" s="27">
        <f t="shared" si="13"/>
        <v>570376868.7099998</v>
      </c>
      <c r="T87" s="11"/>
      <c r="U87" s="11"/>
      <c r="V87" s="415">
        <f t="shared" si="14"/>
        <v>0</v>
      </c>
      <c r="W87" s="379">
        <f t="shared" si="10"/>
        <v>570376868.7099998</v>
      </c>
      <c r="X87" s="4">
        <v>1121</v>
      </c>
      <c r="Y87" s="4"/>
      <c r="Z87" s="4"/>
      <c r="AA87" s="12">
        <f t="shared" si="15"/>
        <v>1</v>
      </c>
      <c r="AE87" s="338"/>
      <c r="AF87" s="338"/>
    </row>
    <row r="88" spans="1:33" ht="12.75" customHeight="1">
      <c r="A88" s="24"/>
      <c r="B88" s="108">
        <f t="shared" si="16"/>
        <v>85</v>
      </c>
      <c r="C88" s="6">
        <v>201500</v>
      </c>
      <c r="D88" s="121" t="s">
        <v>975</v>
      </c>
      <c r="E88" s="9" t="s">
        <v>32</v>
      </c>
      <c r="F88" s="6"/>
      <c r="G88" s="6"/>
      <c r="H88" s="11">
        <f>+STAT3!V88</f>
        <v>0</v>
      </c>
      <c r="I88" s="11">
        <f>+STAT3!W88</f>
        <v>72495000</v>
      </c>
      <c r="J88" s="11">
        <f>+SUMIFS(JURNAL!G:G,JURNAL!E:E,C88,JURNAL!C:C,"&gt;="&amp;$H$1,JURNAL!C:C,"&lt;="&amp;$I$1)</f>
        <v>0</v>
      </c>
      <c r="K88" s="11">
        <f>+SUMIFS(JURNAL!H:H,JURNAL!E:E,C88,JURNAL!C:C,"&gt;="&amp;$H$1,JURNAL!C:C,"&lt;="&amp;$I$1)</f>
        <v>4245000</v>
      </c>
      <c r="L88" s="26">
        <f t="shared" si="11"/>
        <v>0</v>
      </c>
      <c r="M88" s="27">
        <f t="shared" si="9"/>
        <v>76740000</v>
      </c>
      <c r="N88" s="11"/>
      <c r="O88" s="190"/>
      <c r="P88" s="27"/>
      <c r="Q88" s="11"/>
      <c r="R88" s="26">
        <f t="shared" si="12"/>
        <v>0</v>
      </c>
      <c r="S88" s="27">
        <f t="shared" si="13"/>
        <v>76740000</v>
      </c>
      <c r="T88" s="11"/>
      <c r="U88" s="11"/>
      <c r="V88" s="415">
        <f t="shared" si="14"/>
        <v>0</v>
      </c>
      <c r="W88" s="379">
        <f t="shared" si="10"/>
        <v>76740000</v>
      </c>
      <c r="X88" s="4">
        <v>1121</v>
      </c>
      <c r="Y88" s="4"/>
      <c r="Z88" s="4"/>
      <c r="AA88" s="12">
        <f t="shared" si="15"/>
        <v>1</v>
      </c>
      <c r="AE88" s="338"/>
      <c r="AF88" s="338"/>
    </row>
    <row r="89" spans="1:33" ht="12.75" customHeight="1">
      <c r="A89" s="24"/>
      <c r="B89" s="108">
        <f t="shared" si="16"/>
        <v>86</v>
      </c>
      <c r="C89" s="6">
        <v>201600</v>
      </c>
      <c r="D89" s="121" t="s">
        <v>976</v>
      </c>
      <c r="E89" s="9" t="s">
        <v>32</v>
      </c>
      <c r="F89" s="6"/>
      <c r="G89" s="6"/>
      <c r="H89" s="11">
        <f>+STAT3!V89</f>
        <v>0</v>
      </c>
      <c r="I89" s="11">
        <f>+STAT3!W89</f>
        <v>0</v>
      </c>
      <c r="J89" s="11">
        <f>+SUMIFS(JURNAL!G:G,JURNAL!E:E,C89,JURNAL!C:C,"&gt;="&amp;$H$1,JURNAL!C:C,"&lt;="&amp;$I$1)</f>
        <v>0</v>
      </c>
      <c r="K89" s="11">
        <f>+SUMIFS(JURNAL!H:H,JURNAL!E:E,C89,JURNAL!C:C,"&gt;="&amp;$H$1,JURNAL!C:C,"&lt;="&amp;$I$1)</f>
        <v>0</v>
      </c>
      <c r="L89" s="26">
        <f t="shared" si="11"/>
        <v>0</v>
      </c>
      <c r="M89" s="27">
        <f t="shared" si="9"/>
        <v>0</v>
      </c>
      <c r="N89" s="11"/>
      <c r="O89" s="190"/>
      <c r="P89" s="27"/>
      <c r="Q89" s="11"/>
      <c r="R89" s="26">
        <f t="shared" si="12"/>
        <v>0</v>
      </c>
      <c r="S89" s="27">
        <f t="shared" si="13"/>
        <v>0</v>
      </c>
      <c r="T89" s="11"/>
      <c r="U89" s="11"/>
      <c r="V89" s="415">
        <f t="shared" si="14"/>
        <v>0</v>
      </c>
      <c r="W89" s="379">
        <f t="shared" si="10"/>
        <v>0</v>
      </c>
      <c r="X89" s="4">
        <v>1121</v>
      </c>
      <c r="Y89" s="4"/>
      <c r="Z89" s="4"/>
      <c r="AA89" s="12">
        <f t="shared" si="15"/>
        <v>0</v>
      </c>
      <c r="AE89" s="338"/>
      <c r="AF89" s="338"/>
    </row>
    <row r="90" spans="1:33" ht="12.75" customHeight="1">
      <c r="A90" s="24"/>
      <c r="B90" s="108">
        <f t="shared" si="16"/>
        <v>87</v>
      </c>
      <c r="C90" s="6">
        <v>201800</v>
      </c>
      <c r="D90" s="121" t="s">
        <v>977</v>
      </c>
      <c r="E90" s="9" t="s">
        <v>32</v>
      </c>
      <c r="F90" s="6"/>
      <c r="G90" s="6"/>
      <c r="H90" s="11">
        <f>+STAT3!V90</f>
        <v>0</v>
      </c>
      <c r="I90" s="11">
        <f>+STAT3!W90</f>
        <v>0</v>
      </c>
      <c r="J90" s="11">
        <f>+SUMIFS(JURNAL!G:G,JURNAL!E:E,C90,JURNAL!C:C,"&gt;="&amp;$H$1,JURNAL!C:C,"&lt;="&amp;$I$1)</f>
        <v>0</v>
      </c>
      <c r="K90" s="11">
        <f>+SUMIFS(JURNAL!H:H,JURNAL!E:E,C90,JURNAL!C:C,"&gt;="&amp;$H$1,JURNAL!C:C,"&lt;="&amp;$I$1)</f>
        <v>0</v>
      </c>
      <c r="L90" s="26">
        <f t="shared" si="11"/>
        <v>0</v>
      </c>
      <c r="M90" s="27">
        <f t="shared" si="9"/>
        <v>0</v>
      </c>
      <c r="N90" s="11"/>
      <c r="O90" s="190"/>
      <c r="P90" s="27"/>
      <c r="Q90" s="11"/>
      <c r="R90" s="26">
        <f t="shared" si="12"/>
        <v>0</v>
      </c>
      <c r="S90" s="27">
        <f t="shared" si="13"/>
        <v>0</v>
      </c>
      <c r="T90" s="11"/>
      <c r="U90" s="11"/>
      <c r="V90" s="415">
        <f t="shared" si="14"/>
        <v>0</v>
      </c>
      <c r="W90" s="379">
        <f t="shared" si="10"/>
        <v>0</v>
      </c>
      <c r="X90" s="4">
        <v>1121</v>
      </c>
      <c r="Y90" s="4"/>
      <c r="Z90" s="4"/>
      <c r="AA90" s="12">
        <f t="shared" si="15"/>
        <v>0</v>
      </c>
      <c r="AE90" s="338"/>
      <c r="AF90" s="338"/>
    </row>
    <row r="91" spans="1:33" ht="12.75" customHeight="1">
      <c r="A91" s="24"/>
      <c r="B91" s="108">
        <f t="shared" si="16"/>
        <v>88</v>
      </c>
      <c r="C91" s="6">
        <v>202000</v>
      </c>
      <c r="D91" s="121" t="s">
        <v>978</v>
      </c>
      <c r="E91" s="9" t="s">
        <v>32</v>
      </c>
      <c r="F91" s="6"/>
      <c r="G91" s="6"/>
      <c r="H91" s="11">
        <f>+STAT3!V91</f>
        <v>0</v>
      </c>
      <c r="I91" s="11">
        <f>+STAT3!W91</f>
        <v>17111038.23</v>
      </c>
      <c r="J91" s="11">
        <f>+SUMIFS(JURNAL!G:G,JURNAL!E:E,C91,JURNAL!C:C,"&gt;="&amp;$H$1,JURNAL!C:C,"&lt;="&amp;$I$1)</f>
        <v>0</v>
      </c>
      <c r="K91" s="11">
        <f>+SUMIFS(JURNAL!H:H,JURNAL!E:E,C91,JURNAL!C:C,"&gt;="&amp;$H$1,JURNAL!C:C,"&lt;="&amp;$I$1)</f>
        <v>0</v>
      </c>
      <c r="L91" s="26">
        <f t="shared" si="11"/>
        <v>0</v>
      </c>
      <c r="M91" s="27">
        <f t="shared" si="9"/>
        <v>17111038.23</v>
      </c>
      <c r="N91" s="11"/>
      <c r="O91" s="190"/>
      <c r="P91" s="27"/>
      <c r="Q91" s="11"/>
      <c r="R91" s="26">
        <f t="shared" si="12"/>
        <v>0</v>
      </c>
      <c r="S91" s="27">
        <f t="shared" si="13"/>
        <v>17111038.23</v>
      </c>
      <c r="T91" s="11"/>
      <c r="U91" s="11"/>
      <c r="V91" s="415">
        <f t="shared" si="14"/>
        <v>0</v>
      </c>
      <c r="W91" s="379">
        <f>+IF((R91+T91)&lt;(S91+U91),(S91+U91)-(R91+T91),0)</f>
        <v>17111038.23</v>
      </c>
      <c r="X91" s="4">
        <v>1121</v>
      </c>
      <c r="Y91" s="4"/>
      <c r="Z91" s="4"/>
      <c r="AA91" s="12">
        <f t="shared" si="15"/>
        <v>1</v>
      </c>
      <c r="AE91" s="338"/>
      <c r="AF91" s="338"/>
    </row>
    <row r="92" spans="1:33" ht="12.75" customHeight="1">
      <c r="A92" s="24"/>
      <c r="B92" s="108">
        <f t="shared" si="16"/>
        <v>89</v>
      </c>
      <c r="C92" s="6">
        <v>210100</v>
      </c>
      <c r="D92" s="121" t="s">
        <v>720</v>
      </c>
      <c r="E92" s="9" t="s">
        <v>32</v>
      </c>
      <c r="F92" s="6"/>
      <c r="G92" s="6"/>
      <c r="H92" s="11">
        <f>+STAT3!V92</f>
        <v>0</v>
      </c>
      <c r="I92" s="11">
        <f>+STAT3!W92</f>
        <v>0</v>
      </c>
      <c r="J92" s="11">
        <f>+SUMIFS(JURNAL!G:G,JURNAL!E:E,C92,JURNAL!C:C,"&gt;="&amp;$H$1,JURNAL!C:C,"&lt;="&amp;$I$1)</f>
        <v>0</v>
      </c>
      <c r="K92" s="11">
        <f>+SUMIFS(JURNAL!H:H,JURNAL!E:E,C92,JURNAL!C:C,"&gt;="&amp;$H$1,JURNAL!C:C,"&lt;="&amp;$I$1)</f>
        <v>0</v>
      </c>
      <c r="L92" s="26">
        <f t="shared" si="11"/>
        <v>0</v>
      </c>
      <c r="M92" s="27">
        <f t="shared" si="9"/>
        <v>0</v>
      </c>
      <c r="N92" s="11"/>
      <c r="O92" s="190"/>
      <c r="P92" s="27"/>
      <c r="Q92" s="11"/>
      <c r="R92" s="26">
        <f t="shared" si="12"/>
        <v>0</v>
      </c>
      <c r="S92" s="27">
        <f t="shared" si="13"/>
        <v>0</v>
      </c>
      <c r="T92" s="11"/>
      <c r="U92" s="11"/>
      <c r="V92" s="415">
        <f t="shared" si="14"/>
        <v>0</v>
      </c>
      <c r="W92" s="379">
        <f t="shared" si="10"/>
        <v>0</v>
      </c>
      <c r="X92" s="4">
        <v>1127</v>
      </c>
      <c r="Y92" s="4"/>
      <c r="Z92" s="4"/>
      <c r="AA92" s="12">
        <f t="shared" si="15"/>
        <v>0</v>
      </c>
      <c r="AE92" s="338"/>
      <c r="AF92" s="338"/>
    </row>
    <row r="93" spans="1:33" ht="12.75" customHeight="1">
      <c r="A93" s="24"/>
      <c r="B93" s="108">
        <f t="shared" si="16"/>
        <v>90</v>
      </c>
      <c r="C93" s="6">
        <v>210200</v>
      </c>
      <c r="D93" s="121" t="s">
        <v>724</v>
      </c>
      <c r="E93" s="9" t="s">
        <v>32</v>
      </c>
      <c r="F93" s="6"/>
      <c r="G93" s="6"/>
      <c r="H93" s="11">
        <f>+STAT3!V93</f>
        <v>0</v>
      </c>
      <c r="I93" s="11">
        <f>+STAT3!W93</f>
        <v>0</v>
      </c>
      <c r="J93" s="11">
        <f>+SUMIFS(JURNAL!G:G,JURNAL!E:E,C93,JURNAL!C:C,"&gt;="&amp;$H$1,JURNAL!C:C,"&lt;="&amp;$I$1)</f>
        <v>0</v>
      </c>
      <c r="K93" s="11">
        <f>+SUMIFS(JURNAL!H:H,JURNAL!E:E,C93,JURNAL!C:C,"&gt;="&amp;$H$1,JURNAL!C:C,"&lt;="&amp;$I$1)</f>
        <v>0</v>
      </c>
      <c r="L93" s="26">
        <f t="shared" si="11"/>
        <v>0</v>
      </c>
      <c r="M93" s="27">
        <f t="shared" si="9"/>
        <v>0</v>
      </c>
      <c r="N93" s="11"/>
      <c r="O93" s="190"/>
      <c r="P93" s="27"/>
      <c r="Q93" s="11"/>
      <c r="R93" s="26">
        <f t="shared" si="12"/>
        <v>0</v>
      </c>
      <c r="S93" s="27">
        <f t="shared" si="13"/>
        <v>0</v>
      </c>
      <c r="T93" s="11"/>
      <c r="U93" s="11"/>
      <c r="V93" s="415">
        <f t="shared" si="14"/>
        <v>0</v>
      </c>
      <c r="W93" s="379">
        <f t="shared" si="10"/>
        <v>0</v>
      </c>
      <c r="X93" s="4">
        <v>1127</v>
      </c>
      <c r="Y93" s="4"/>
      <c r="Z93" s="4"/>
      <c r="AA93" s="12">
        <f t="shared" si="15"/>
        <v>0</v>
      </c>
      <c r="AE93" s="338"/>
      <c r="AF93" s="338"/>
    </row>
    <row r="94" spans="1:33" ht="12.75" customHeight="1">
      <c r="A94" s="24"/>
      <c r="B94" s="108">
        <f t="shared" si="16"/>
        <v>91</v>
      </c>
      <c r="C94" s="6">
        <v>210300</v>
      </c>
      <c r="D94" s="121" t="s">
        <v>728</v>
      </c>
      <c r="E94" s="9" t="s">
        <v>32</v>
      </c>
      <c r="F94" s="6"/>
      <c r="G94" s="6"/>
      <c r="H94" s="11">
        <f>+STAT3!V94</f>
        <v>0</v>
      </c>
      <c r="I94" s="11">
        <f>+STAT3!W94</f>
        <v>0</v>
      </c>
      <c r="J94" s="11">
        <f>+SUMIFS(JURNAL!G:G,JURNAL!E:E,C94,JURNAL!C:C,"&gt;="&amp;$H$1,JURNAL!C:C,"&lt;="&amp;$I$1)</f>
        <v>0</v>
      </c>
      <c r="K94" s="11">
        <f>+SUMIFS(JURNAL!H:H,JURNAL!E:E,C94,JURNAL!C:C,"&gt;="&amp;$H$1,JURNAL!C:C,"&lt;="&amp;$I$1)</f>
        <v>0</v>
      </c>
      <c r="L94" s="26">
        <f t="shared" si="11"/>
        <v>0</v>
      </c>
      <c r="M94" s="27">
        <f t="shared" si="9"/>
        <v>0</v>
      </c>
      <c r="N94" s="11"/>
      <c r="O94" s="190"/>
      <c r="P94" s="27"/>
      <c r="Q94" s="11"/>
      <c r="R94" s="26">
        <f t="shared" si="12"/>
        <v>0</v>
      </c>
      <c r="S94" s="27">
        <f t="shared" si="13"/>
        <v>0</v>
      </c>
      <c r="T94" s="11"/>
      <c r="U94" s="11"/>
      <c r="V94" s="415">
        <f t="shared" si="14"/>
        <v>0</v>
      </c>
      <c r="W94" s="379">
        <f t="shared" si="10"/>
        <v>0</v>
      </c>
      <c r="X94" s="4">
        <v>1127</v>
      </c>
      <c r="Y94" s="4"/>
      <c r="Z94" s="4"/>
      <c r="AA94" s="12">
        <f t="shared" si="15"/>
        <v>0</v>
      </c>
      <c r="AE94" s="338"/>
      <c r="AF94" s="338"/>
    </row>
    <row r="95" spans="1:33" ht="12.75" customHeight="1">
      <c r="A95" s="24"/>
      <c r="B95" s="108">
        <f t="shared" si="16"/>
        <v>92</v>
      </c>
      <c r="C95" s="6">
        <v>210400</v>
      </c>
      <c r="D95" s="121" t="s">
        <v>732</v>
      </c>
      <c r="E95" s="9" t="s">
        <v>32</v>
      </c>
      <c r="F95" s="6"/>
      <c r="G95" s="6"/>
      <c r="H95" s="11">
        <f>+STAT3!V95</f>
        <v>0</v>
      </c>
      <c r="I95" s="11">
        <f>+STAT3!W95</f>
        <v>0</v>
      </c>
      <c r="J95" s="11">
        <f>+SUMIFS(JURNAL!G:G,JURNAL!E:E,C95,JURNAL!C:C,"&gt;="&amp;$H$1,JURNAL!C:C,"&lt;="&amp;$I$1)</f>
        <v>0</v>
      </c>
      <c r="K95" s="11">
        <f>+SUMIFS(JURNAL!H:H,JURNAL!E:E,C95,JURNAL!C:C,"&gt;="&amp;$H$1,JURNAL!C:C,"&lt;="&amp;$I$1)</f>
        <v>0</v>
      </c>
      <c r="L95" s="26">
        <f t="shared" si="11"/>
        <v>0</v>
      </c>
      <c r="M95" s="27">
        <f t="shared" si="9"/>
        <v>0</v>
      </c>
      <c r="N95" s="11"/>
      <c r="O95" s="190"/>
      <c r="P95" s="27"/>
      <c r="Q95" s="11"/>
      <c r="R95" s="26">
        <f t="shared" si="12"/>
        <v>0</v>
      </c>
      <c r="S95" s="27">
        <f t="shared" si="13"/>
        <v>0</v>
      </c>
      <c r="T95" s="11"/>
      <c r="U95" s="11"/>
      <c r="V95" s="415">
        <f t="shared" si="14"/>
        <v>0</v>
      </c>
      <c r="W95" s="379">
        <f t="shared" si="10"/>
        <v>0</v>
      </c>
      <c r="X95" s="4">
        <v>1127</v>
      </c>
      <c r="Y95" s="4"/>
      <c r="Z95" s="4"/>
      <c r="AA95" s="12">
        <f t="shared" si="15"/>
        <v>0</v>
      </c>
      <c r="AE95" s="338"/>
      <c r="AF95" s="338"/>
    </row>
    <row r="96" spans="1:33" ht="12.75" customHeight="1">
      <c r="A96" s="24"/>
      <c r="B96" s="108">
        <f t="shared" si="16"/>
        <v>93</v>
      </c>
      <c r="C96" s="6">
        <v>210500</v>
      </c>
      <c r="D96" s="121" t="s">
        <v>736</v>
      </c>
      <c r="E96" s="9" t="s">
        <v>32</v>
      </c>
      <c r="F96" s="6"/>
      <c r="G96" s="6"/>
      <c r="H96" s="11">
        <f>+STAT3!V96</f>
        <v>0</v>
      </c>
      <c r="I96" s="11">
        <f>+STAT3!W96</f>
        <v>0</v>
      </c>
      <c r="J96" s="11">
        <f>+SUMIFS(JURNAL!G:G,JURNAL!E:E,C96,JURNAL!C:C,"&gt;="&amp;$H$1,JURNAL!C:C,"&lt;="&amp;$I$1)</f>
        <v>0</v>
      </c>
      <c r="K96" s="11">
        <f>+SUMIFS(JURNAL!H:H,JURNAL!E:E,C96,JURNAL!C:C,"&gt;="&amp;$H$1,JURNAL!C:C,"&lt;="&amp;$I$1)</f>
        <v>0</v>
      </c>
      <c r="L96" s="26">
        <f t="shared" si="11"/>
        <v>0</v>
      </c>
      <c r="M96" s="27">
        <f t="shared" si="9"/>
        <v>0</v>
      </c>
      <c r="N96" s="11"/>
      <c r="O96" s="190"/>
      <c r="P96" s="27"/>
      <c r="Q96" s="11"/>
      <c r="R96" s="26">
        <f t="shared" si="12"/>
        <v>0</v>
      </c>
      <c r="S96" s="27">
        <f t="shared" si="13"/>
        <v>0</v>
      </c>
      <c r="T96" s="11"/>
      <c r="U96" s="11"/>
      <c r="V96" s="415">
        <f t="shared" si="14"/>
        <v>0</v>
      </c>
      <c r="W96" s="379">
        <f t="shared" si="10"/>
        <v>0</v>
      </c>
      <c r="X96" s="4">
        <v>1127</v>
      </c>
      <c r="Y96" s="4"/>
      <c r="Z96" s="4"/>
      <c r="AA96" s="12">
        <f t="shared" si="15"/>
        <v>0</v>
      </c>
      <c r="AE96" s="338"/>
      <c r="AF96" s="338"/>
    </row>
    <row r="97" spans="1:32" ht="12.75" customHeight="1">
      <c r="A97" s="24"/>
      <c r="B97" s="108">
        <f t="shared" si="16"/>
        <v>94</v>
      </c>
      <c r="C97" s="6">
        <v>210600</v>
      </c>
      <c r="D97" s="121" t="s">
        <v>740</v>
      </c>
      <c r="E97" s="9" t="s">
        <v>32</v>
      </c>
      <c r="F97" s="6"/>
      <c r="G97" s="6"/>
      <c r="H97" s="11">
        <f>+STAT3!V97</f>
        <v>0</v>
      </c>
      <c r="I97" s="11">
        <f>+STAT3!W97</f>
        <v>0</v>
      </c>
      <c r="J97" s="11">
        <f>+SUMIFS(JURNAL!G:G,JURNAL!E:E,C97,JURNAL!C:C,"&gt;="&amp;$H$1,JURNAL!C:C,"&lt;="&amp;$I$1)</f>
        <v>0</v>
      </c>
      <c r="K97" s="11">
        <f>+SUMIFS(JURNAL!H:H,JURNAL!E:E,C97,JURNAL!C:C,"&gt;="&amp;$H$1,JURNAL!C:C,"&lt;="&amp;$I$1)</f>
        <v>0</v>
      </c>
      <c r="L97" s="26">
        <f t="shared" si="11"/>
        <v>0</v>
      </c>
      <c r="M97" s="27">
        <f t="shared" si="9"/>
        <v>0</v>
      </c>
      <c r="N97" s="11"/>
      <c r="O97" s="190"/>
      <c r="P97" s="27"/>
      <c r="Q97" s="11"/>
      <c r="R97" s="26">
        <f t="shared" si="12"/>
        <v>0</v>
      </c>
      <c r="S97" s="27">
        <f t="shared" si="13"/>
        <v>0</v>
      </c>
      <c r="T97" s="11"/>
      <c r="U97" s="11"/>
      <c r="V97" s="415">
        <f t="shared" si="14"/>
        <v>0</v>
      </c>
      <c r="W97" s="379">
        <f t="shared" si="10"/>
        <v>0</v>
      </c>
      <c r="X97" s="4">
        <v>1127</v>
      </c>
      <c r="Y97" s="4"/>
      <c r="Z97" s="4"/>
      <c r="AA97" s="12">
        <f t="shared" si="15"/>
        <v>0</v>
      </c>
      <c r="AE97" s="338"/>
      <c r="AF97" s="338"/>
    </row>
    <row r="98" spans="1:32" ht="12.75" customHeight="1">
      <c r="A98" s="24"/>
      <c r="B98" s="108">
        <f t="shared" si="16"/>
        <v>95</v>
      </c>
      <c r="C98" s="6">
        <v>210700</v>
      </c>
      <c r="D98" s="121" t="s">
        <v>744</v>
      </c>
      <c r="E98" s="9" t="s">
        <v>32</v>
      </c>
      <c r="F98" s="6"/>
      <c r="G98" s="6"/>
      <c r="H98" s="11">
        <f>+STAT3!V98</f>
        <v>0</v>
      </c>
      <c r="I98" s="11">
        <f>+STAT3!W98</f>
        <v>0</v>
      </c>
      <c r="J98" s="11">
        <f>+SUMIFS(JURNAL!G:G,JURNAL!E:E,C98,JURNAL!C:C,"&gt;="&amp;$H$1,JURNAL!C:C,"&lt;="&amp;$I$1)</f>
        <v>0</v>
      </c>
      <c r="K98" s="11">
        <f>+SUMIFS(JURNAL!H:H,JURNAL!E:E,C98,JURNAL!C:C,"&gt;="&amp;$H$1,JURNAL!C:C,"&lt;="&amp;$I$1)</f>
        <v>0</v>
      </c>
      <c r="L98" s="26">
        <f t="shared" si="11"/>
        <v>0</v>
      </c>
      <c r="M98" s="27">
        <f t="shared" si="9"/>
        <v>0</v>
      </c>
      <c r="N98" s="11"/>
      <c r="O98" s="190"/>
      <c r="P98" s="27"/>
      <c r="Q98" s="11"/>
      <c r="R98" s="26">
        <f t="shared" si="12"/>
        <v>0</v>
      </c>
      <c r="S98" s="27">
        <f t="shared" si="13"/>
        <v>0</v>
      </c>
      <c r="T98" s="11"/>
      <c r="U98" s="11"/>
      <c r="V98" s="415">
        <f t="shared" si="14"/>
        <v>0</v>
      </c>
      <c r="W98" s="379">
        <f t="shared" si="10"/>
        <v>0</v>
      </c>
      <c r="X98" s="4">
        <v>1127</v>
      </c>
      <c r="Y98" s="4"/>
      <c r="Z98" s="4"/>
      <c r="AA98" s="12">
        <f t="shared" si="15"/>
        <v>0</v>
      </c>
      <c r="AE98" s="338"/>
      <c r="AF98" s="338"/>
    </row>
    <row r="99" spans="1:32" ht="12.75" customHeight="1">
      <c r="A99" s="24"/>
      <c r="B99" s="108">
        <f t="shared" si="16"/>
        <v>96</v>
      </c>
      <c r="C99" s="6">
        <v>211000</v>
      </c>
      <c r="D99" s="121" t="s">
        <v>654</v>
      </c>
      <c r="E99" s="9" t="s">
        <v>32</v>
      </c>
      <c r="F99" s="6"/>
      <c r="G99" s="6"/>
      <c r="H99" s="11">
        <f>+STAT3!V99</f>
        <v>0</v>
      </c>
      <c r="I99" s="11">
        <f>+STAT3!W99</f>
        <v>0</v>
      </c>
      <c r="J99" s="11">
        <f>+SUMIFS(JURNAL!G:G,JURNAL!E:E,C99,JURNAL!C:C,"&gt;="&amp;$H$1,JURNAL!C:C,"&lt;="&amp;$I$1)</f>
        <v>0</v>
      </c>
      <c r="K99" s="11">
        <f>+SUMIFS(JURNAL!H:H,JURNAL!E:E,C99,JURNAL!C:C,"&gt;="&amp;$H$1,JURNAL!C:C,"&lt;="&amp;$I$1)</f>
        <v>0</v>
      </c>
      <c r="L99" s="26">
        <f t="shared" si="11"/>
        <v>0</v>
      </c>
      <c r="M99" s="27">
        <f t="shared" si="9"/>
        <v>0</v>
      </c>
      <c r="N99" s="11"/>
      <c r="O99" s="190"/>
      <c r="P99" s="27"/>
      <c r="Q99" s="11"/>
      <c r="R99" s="26">
        <f t="shared" si="12"/>
        <v>0</v>
      </c>
      <c r="S99" s="27">
        <f t="shared" si="13"/>
        <v>0</v>
      </c>
      <c r="T99" s="11"/>
      <c r="U99" s="11"/>
      <c r="V99" s="415">
        <f t="shared" si="14"/>
        <v>0</v>
      </c>
      <c r="W99" s="379">
        <f t="shared" si="10"/>
        <v>0</v>
      </c>
      <c r="X99" s="4">
        <v>1127</v>
      </c>
      <c r="Y99" s="4"/>
      <c r="Z99" s="4"/>
      <c r="AA99" s="12">
        <f t="shared" si="15"/>
        <v>0</v>
      </c>
      <c r="AE99" s="338"/>
      <c r="AF99" s="338"/>
    </row>
    <row r="100" spans="1:32" ht="12.75" customHeight="1">
      <c r="A100" s="24"/>
      <c r="B100" s="108">
        <f t="shared" si="16"/>
        <v>97</v>
      </c>
      <c r="C100" s="6">
        <v>220100</v>
      </c>
      <c r="D100" s="121" t="s">
        <v>796</v>
      </c>
      <c r="E100" s="9" t="s">
        <v>32</v>
      </c>
      <c r="F100" s="6"/>
      <c r="G100" s="6"/>
      <c r="H100" s="11">
        <f>+STAT3!V100</f>
        <v>0</v>
      </c>
      <c r="I100" s="11">
        <f>+STAT3!W100</f>
        <v>0</v>
      </c>
      <c r="J100" s="11">
        <f>+SUMIFS(JURNAL!G:G,JURNAL!E:E,C100,JURNAL!C:C,"&gt;="&amp;$H$1,JURNAL!C:C,"&lt;="&amp;$I$1)</f>
        <v>0</v>
      </c>
      <c r="K100" s="11">
        <f>+SUMIFS(JURNAL!H:H,JURNAL!E:E,C100,JURNAL!C:C,"&gt;="&amp;$H$1,JURNAL!C:C,"&lt;="&amp;$I$1)</f>
        <v>0</v>
      </c>
      <c r="L100" s="26">
        <f t="shared" si="11"/>
        <v>0</v>
      </c>
      <c r="M100" s="27">
        <f t="shared" si="9"/>
        <v>0</v>
      </c>
      <c r="N100" s="11"/>
      <c r="O100" s="190"/>
      <c r="P100" s="27"/>
      <c r="Q100" s="11"/>
      <c r="R100" s="26">
        <f t="shared" si="12"/>
        <v>0</v>
      </c>
      <c r="S100" s="27">
        <f t="shared" si="13"/>
        <v>0</v>
      </c>
      <c r="T100" s="11"/>
      <c r="U100" s="11"/>
      <c r="V100" s="415">
        <f t="shared" si="14"/>
        <v>0</v>
      </c>
      <c r="W100" s="379">
        <f t="shared" si="10"/>
        <v>0</v>
      </c>
      <c r="X100" s="4">
        <v>1123</v>
      </c>
      <c r="Y100" s="4"/>
      <c r="Z100" s="4"/>
      <c r="AA100" s="12">
        <f t="shared" si="15"/>
        <v>0</v>
      </c>
      <c r="AE100" s="338"/>
      <c r="AF100" s="338"/>
    </row>
    <row r="101" spans="1:32" ht="12.75" customHeight="1">
      <c r="A101" s="24"/>
      <c r="B101" s="108">
        <f t="shared" si="16"/>
        <v>98</v>
      </c>
      <c r="C101" s="6">
        <v>220200</v>
      </c>
      <c r="D101" s="121" t="s">
        <v>800</v>
      </c>
      <c r="E101" s="9" t="s">
        <v>32</v>
      </c>
      <c r="F101" s="6"/>
      <c r="G101" s="6"/>
      <c r="H101" s="11">
        <f>+STAT3!V101</f>
        <v>0</v>
      </c>
      <c r="I101" s="11">
        <f>+STAT3!W101</f>
        <v>0</v>
      </c>
      <c r="J101" s="11">
        <f>+SUMIFS(JURNAL!G:G,JURNAL!E:E,C101,JURNAL!C:C,"&gt;="&amp;$H$1,JURNAL!C:C,"&lt;="&amp;$I$1)</f>
        <v>0</v>
      </c>
      <c r="K101" s="11">
        <f>+SUMIFS(JURNAL!H:H,JURNAL!E:E,C101,JURNAL!C:C,"&gt;="&amp;$H$1,JURNAL!C:C,"&lt;="&amp;$I$1)</f>
        <v>0</v>
      </c>
      <c r="L101" s="26">
        <f t="shared" si="11"/>
        <v>0</v>
      </c>
      <c r="M101" s="27">
        <f t="shared" si="9"/>
        <v>0</v>
      </c>
      <c r="N101" s="11"/>
      <c r="O101" s="190"/>
      <c r="P101" s="27"/>
      <c r="Q101" s="11"/>
      <c r="R101" s="26">
        <f t="shared" si="12"/>
        <v>0</v>
      </c>
      <c r="S101" s="27">
        <f t="shared" si="13"/>
        <v>0</v>
      </c>
      <c r="T101" s="11"/>
      <c r="U101" s="11"/>
      <c r="V101" s="415">
        <f t="shared" si="14"/>
        <v>0</v>
      </c>
      <c r="W101" s="379">
        <f t="shared" si="10"/>
        <v>0</v>
      </c>
      <c r="X101" s="4">
        <v>1123</v>
      </c>
      <c r="Y101" s="4"/>
      <c r="Z101" s="4"/>
      <c r="AA101" s="12">
        <f t="shared" si="15"/>
        <v>0</v>
      </c>
      <c r="AE101" s="338"/>
      <c r="AF101" s="338"/>
    </row>
    <row r="102" spans="1:32" ht="12.75" customHeight="1">
      <c r="A102" s="24"/>
      <c r="B102" s="108">
        <f t="shared" si="16"/>
        <v>99</v>
      </c>
      <c r="C102" s="6">
        <v>220400</v>
      </c>
      <c r="D102" s="121" t="s">
        <v>804</v>
      </c>
      <c r="E102" s="9" t="s">
        <v>32</v>
      </c>
      <c r="F102" s="6"/>
      <c r="G102" s="6"/>
      <c r="H102" s="11">
        <f>+STAT3!V102</f>
        <v>0</v>
      </c>
      <c r="I102" s="11">
        <f>+STAT3!W102</f>
        <v>0</v>
      </c>
      <c r="J102" s="11">
        <f>+SUMIFS(JURNAL!G:G,JURNAL!E:E,C102,JURNAL!C:C,"&gt;="&amp;$H$1,JURNAL!C:C,"&lt;="&amp;$I$1)</f>
        <v>0</v>
      </c>
      <c r="K102" s="11">
        <f>+SUMIFS(JURNAL!H:H,JURNAL!E:E,C102,JURNAL!C:C,"&gt;="&amp;$H$1,JURNAL!C:C,"&lt;="&amp;$I$1)</f>
        <v>0</v>
      </c>
      <c r="L102" s="26">
        <f t="shared" si="11"/>
        <v>0</v>
      </c>
      <c r="M102" s="27">
        <f t="shared" si="9"/>
        <v>0</v>
      </c>
      <c r="N102" s="11"/>
      <c r="O102" s="190"/>
      <c r="P102" s="27"/>
      <c r="Q102" s="11"/>
      <c r="R102" s="26">
        <f t="shared" si="12"/>
        <v>0</v>
      </c>
      <c r="S102" s="27">
        <f t="shared" si="13"/>
        <v>0</v>
      </c>
      <c r="T102" s="11"/>
      <c r="U102" s="11"/>
      <c r="V102" s="415">
        <f t="shared" si="14"/>
        <v>0</v>
      </c>
      <c r="W102" s="379">
        <f t="shared" si="10"/>
        <v>0</v>
      </c>
      <c r="X102" s="4">
        <v>1123</v>
      </c>
      <c r="Y102" s="4"/>
      <c r="Z102" s="4"/>
      <c r="AA102" s="12">
        <f t="shared" si="15"/>
        <v>0</v>
      </c>
      <c r="AE102" s="338"/>
      <c r="AF102" s="338"/>
    </row>
    <row r="103" spans="1:32" ht="12.75" customHeight="1">
      <c r="A103" s="24"/>
      <c r="B103" s="108">
        <f t="shared" si="16"/>
        <v>100</v>
      </c>
      <c r="C103" s="6">
        <v>230100</v>
      </c>
      <c r="D103" s="121" t="s">
        <v>808</v>
      </c>
      <c r="E103" s="9" t="s">
        <v>32</v>
      </c>
      <c r="F103" s="6"/>
      <c r="G103" s="6"/>
      <c r="H103" s="11">
        <f>+STAT3!V103</f>
        <v>0</v>
      </c>
      <c r="I103" s="11">
        <f>+STAT3!W103</f>
        <v>0</v>
      </c>
      <c r="J103" s="11">
        <f>+SUMIFS(JURNAL!G:G,JURNAL!E:E,C103,JURNAL!C:C,"&gt;="&amp;$H$1,JURNAL!C:C,"&lt;="&amp;$I$1)</f>
        <v>0</v>
      </c>
      <c r="K103" s="11">
        <f>+SUMIFS(JURNAL!H:H,JURNAL!E:E,C103,JURNAL!C:C,"&gt;="&amp;$H$1,JURNAL!C:C,"&lt;="&amp;$I$1)</f>
        <v>0</v>
      </c>
      <c r="L103" s="26">
        <f t="shared" si="11"/>
        <v>0</v>
      </c>
      <c r="M103" s="27">
        <f t="shared" si="9"/>
        <v>0</v>
      </c>
      <c r="N103" s="11"/>
      <c r="O103" s="190"/>
      <c r="P103" s="27"/>
      <c r="Q103" s="11"/>
      <c r="R103" s="26">
        <f t="shared" si="12"/>
        <v>0</v>
      </c>
      <c r="S103" s="27">
        <f t="shared" si="13"/>
        <v>0</v>
      </c>
      <c r="T103" s="11"/>
      <c r="U103" s="11"/>
      <c r="V103" s="415">
        <f t="shared" si="14"/>
        <v>0</v>
      </c>
      <c r="W103" s="379">
        <f t="shared" si="10"/>
        <v>0</v>
      </c>
      <c r="X103" s="4">
        <v>1125</v>
      </c>
      <c r="Y103" s="4"/>
      <c r="Z103" s="4"/>
      <c r="AA103" s="12">
        <f t="shared" si="15"/>
        <v>0</v>
      </c>
      <c r="AE103" s="338"/>
      <c r="AF103" s="338"/>
    </row>
    <row r="104" spans="1:32" ht="12.75" customHeight="1">
      <c r="A104" s="24"/>
      <c r="B104" s="108">
        <f t="shared" si="16"/>
        <v>101</v>
      </c>
      <c r="C104" s="6">
        <v>230200</v>
      </c>
      <c r="D104" s="121" t="s">
        <v>812</v>
      </c>
      <c r="E104" s="9" t="s">
        <v>32</v>
      </c>
      <c r="F104" s="6"/>
      <c r="G104" s="6"/>
      <c r="H104" s="11">
        <f>+STAT3!V104</f>
        <v>0</v>
      </c>
      <c r="I104" s="11">
        <f>+STAT3!W104</f>
        <v>0</v>
      </c>
      <c r="J104" s="11">
        <f>+SUMIFS(JURNAL!G:G,JURNAL!E:E,C104,JURNAL!C:C,"&gt;="&amp;$H$1,JURNAL!C:C,"&lt;="&amp;$I$1)</f>
        <v>0</v>
      </c>
      <c r="K104" s="11">
        <f>+SUMIFS(JURNAL!H:H,JURNAL!E:E,C104,JURNAL!C:C,"&gt;="&amp;$H$1,JURNAL!C:C,"&lt;="&amp;$I$1)</f>
        <v>0</v>
      </c>
      <c r="L104" s="26">
        <f t="shared" si="11"/>
        <v>0</v>
      </c>
      <c r="M104" s="27">
        <f t="shared" si="9"/>
        <v>0</v>
      </c>
      <c r="N104" s="11"/>
      <c r="O104" s="190"/>
      <c r="P104" s="27"/>
      <c r="Q104" s="11"/>
      <c r="R104" s="26">
        <f t="shared" si="12"/>
        <v>0</v>
      </c>
      <c r="S104" s="27">
        <f t="shared" si="13"/>
        <v>0</v>
      </c>
      <c r="T104" s="11"/>
      <c r="U104" s="11"/>
      <c r="V104" s="415">
        <f t="shared" si="14"/>
        <v>0</v>
      </c>
      <c r="W104" s="379">
        <f t="shared" si="10"/>
        <v>0</v>
      </c>
      <c r="X104" s="4">
        <v>1126</v>
      </c>
      <c r="Y104" s="4"/>
      <c r="Z104" s="4"/>
      <c r="AA104" s="12">
        <f t="shared" si="15"/>
        <v>0</v>
      </c>
      <c r="AE104" s="338"/>
      <c r="AF104" s="338"/>
    </row>
    <row r="105" spans="1:32" ht="12.75" customHeight="1">
      <c r="A105" s="24"/>
      <c r="B105" s="108">
        <f t="shared" si="16"/>
        <v>102</v>
      </c>
      <c r="C105" s="6">
        <v>310100</v>
      </c>
      <c r="D105" s="121" t="s">
        <v>505</v>
      </c>
      <c r="E105" s="9" t="s">
        <v>32</v>
      </c>
      <c r="F105" s="6"/>
      <c r="G105" s="6"/>
      <c r="H105" s="11">
        <f>+STAT3!V105</f>
        <v>0</v>
      </c>
      <c r="I105" s="11">
        <f>+STAT3!W105</f>
        <v>30314573.91</v>
      </c>
      <c r="J105" s="11">
        <f>+SUMIFS(JURNAL!G:G,JURNAL!E:E,C105,JURNAL!C:C,"&gt;="&amp;$H$1,JURNAL!C:C,"&lt;="&amp;$I$1)</f>
        <v>42192174.909999996</v>
      </c>
      <c r="K105" s="11">
        <f>+SUMIFS(JURNAL!H:H,JURNAL!E:E,C105,JURNAL!C:C,"&gt;="&amp;$H$1,JURNAL!C:C,"&lt;="&amp;$I$1)</f>
        <v>12007601</v>
      </c>
      <c r="L105" s="26">
        <f t="shared" si="11"/>
        <v>0</v>
      </c>
      <c r="M105" s="27">
        <f t="shared" si="9"/>
        <v>130000</v>
      </c>
      <c r="N105" s="11"/>
      <c r="O105" s="190"/>
      <c r="P105" s="27"/>
      <c r="Q105" s="11"/>
      <c r="R105" s="26">
        <f t="shared" si="12"/>
        <v>0</v>
      </c>
      <c r="S105" s="27">
        <f t="shared" si="13"/>
        <v>130000</v>
      </c>
      <c r="T105" s="11"/>
      <c r="U105" s="11"/>
      <c r="V105" s="415">
        <f t="shared" si="14"/>
        <v>0</v>
      </c>
      <c r="W105" s="379">
        <f t="shared" si="10"/>
        <v>130000</v>
      </c>
      <c r="X105" s="4">
        <v>1201</v>
      </c>
      <c r="Y105" s="4"/>
      <c r="Z105" s="4"/>
      <c r="AA105" s="12">
        <f t="shared" si="15"/>
        <v>1</v>
      </c>
      <c r="AE105" s="338"/>
      <c r="AF105" s="338"/>
    </row>
    <row r="106" spans="1:32" ht="12.75" customHeight="1">
      <c r="A106" s="24"/>
      <c r="B106" s="108">
        <f t="shared" si="16"/>
        <v>103</v>
      </c>
      <c r="C106" s="6">
        <v>310101</v>
      </c>
      <c r="D106" s="121" t="s">
        <v>959</v>
      </c>
      <c r="E106" s="9" t="s">
        <v>30</v>
      </c>
      <c r="F106" s="6"/>
      <c r="G106" s="6"/>
      <c r="H106" s="11">
        <f>+STAT3!V106</f>
        <v>0</v>
      </c>
      <c r="I106" s="11">
        <f>+STAT3!W106</f>
        <v>0</v>
      </c>
      <c r="J106" s="11">
        <f>+SUMIFS(JURNAL!G:G,JURNAL!E:E,C106,JURNAL!C:C,"&gt;="&amp;$H$1,JURNAL!C:C,"&lt;="&amp;$I$1)</f>
        <v>0</v>
      </c>
      <c r="K106" s="11">
        <f>+SUMIFS(JURNAL!H:H,JURNAL!E:E,C106,JURNAL!C:C,"&gt;="&amp;$H$1,JURNAL!C:C,"&lt;="&amp;$I$1)</f>
        <v>0</v>
      </c>
      <c r="L106" s="26">
        <f t="shared" si="11"/>
        <v>0</v>
      </c>
      <c r="M106" s="27">
        <f t="shared" si="9"/>
        <v>0</v>
      </c>
      <c r="N106" s="11"/>
      <c r="O106" s="190"/>
      <c r="P106" s="27"/>
      <c r="Q106" s="11"/>
      <c r="R106" s="26">
        <f t="shared" si="12"/>
        <v>0</v>
      </c>
      <c r="S106" s="27">
        <f t="shared" si="13"/>
        <v>0</v>
      </c>
      <c r="T106" s="11"/>
      <c r="U106" s="11"/>
      <c r="V106" s="415">
        <f t="shared" si="14"/>
        <v>0</v>
      </c>
      <c r="W106" s="379">
        <f t="shared" si="10"/>
        <v>0</v>
      </c>
      <c r="X106" s="4">
        <v>1201</v>
      </c>
      <c r="Y106" s="4"/>
      <c r="Z106" s="4"/>
      <c r="AA106" s="12">
        <f t="shared" si="15"/>
        <v>0</v>
      </c>
      <c r="AE106" s="338"/>
      <c r="AF106" s="338"/>
    </row>
    <row r="107" spans="1:32" ht="12.75" customHeight="1">
      <c r="A107" s="24"/>
      <c r="B107" s="108">
        <f t="shared" si="16"/>
        <v>104</v>
      </c>
      <c r="C107" s="6">
        <v>311700</v>
      </c>
      <c r="D107" s="121" t="s">
        <v>960</v>
      </c>
      <c r="E107" s="9" t="s">
        <v>32</v>
      </c>
      <c r="F107" s="6"/>
      <c r="G107" s="6"/>
      <c r="H107" s="11">
        <f>+STAT3!V107</f>
        <v>0</v>
      </c>
      <c r="I107" s="11">
        <f>+STAT3!W107</f>
        <v>0</v>
      </c>
      <c r="J107" s="11">
        <f>+SUMIFS(JURNAL!G:G,JURNAL!E:E,C107,JURNAL!C:C,"&gt;="&amp;$H$1,JURNAL!C:C,"&lt;="&amp;$I$1)</f>
        <v>0</v>
      </c>
      <c r="K107" s="11">
        <f>+SUMIFS(JURNAL!H:H,JURNAL!E:E,C107,JURNAL!C:C,"&gt;="&amp;$H$1,JURNAL!C:C,"&lt;="&amp;$I$1)</f>
        <v>0</v>
      </c>
      <c r="L107" s="26">
        <f t="shared" si="11"/>
        <v>0</v>
      </c>
      <c r="M107" s="27">
        <f t="shared" si="9"/>
        <v>0</v>
      </c>
      <c r="N107" s="11"/>
      <c r="O107" s="190"/>
      <c r="P107" s="27"/>
      <c r="Q107" s="11"/>
      <c r="R107" s="26">
        <f t="shared" si="12"/>
        <v>0</v>
      </c>
      <c r="S107" s="27">
        <f t="shared" si="13"/>
        <v>0</v>
      </c>
      <c r="T107" s="11"/>
      <c r="U107" s="11"/>
      <c r="V107" s="415">
        <f t="shared" si="14"/>
        <v>0</v>
      </c>
      <c r="W107" s="379">
        <f t="shared" si="10"/>
        <v>0</v>
      </c>
      <c r="X107" s="4">
        <v>1201</v>
      </c>
      <c r="Y107" s="4"/>
      <c r="Z107" s="4"/>
      <c r="AA107" s="12">
        <f t="shared" si="15"/>
        <v>0</v>
      </c>
      <c r="AE107" s="338"/>
      <c r="AF107" s="338"/>
    </row>
    <row r="108" spans="1:32" ht="12.75" customHeight="1">
      <c r="A108" s="24"/>
      <c r="B108" s="108">
        <f t="shared" si="16"/>
        <v>105</v>
      </c>
      <c r="C108" s="6">
        <v>310300</v>
      </c>
      <c r="D108" s="121" t="s">
        <v>526</v>
      </c>
      <c r="E108" s="9" t="s">
        <v>32</v>
      </c>
      <c r="F108" s="6"/>
      <c r="G108" s="6"/>
      <c r="H108" s="11">
        <f>+STAT3!V108</f>
        <v>0</v>
      </c>
      <c r="I108" s="11">
        <f>+STAT3!W108</f>
        <v>0</v>
      </c>
      <c r="J108" s="11">
        <f>+SUMIFS(JURNAL!G:G,JURNAL!E:E,C108,JURNAL!C:C,"&gt;="&amp;$H$1,JURNAL!C:C,"&lt;="&amp;$I$1)</f>
        <v>0</v>
      </c>
      <c r="K108" s="11">
        <f>+SUMIFS(JURNAL!H:H,JURNAL!E:E,C108,JURNAL!C:C,"&gt;="&amp;$H$1,JURNAL!C:C,"&lt;="&amp;$I$1)</f>
        <v>0</v>
      </c>
      <c r="L108" s="26">
        <f t="shared" si="11"/>
        <v>0</v>
      </c>
      <c r="M108" s="27">
        <f t="shared" si="9"/>
        <v>0</v>
      </c>
      <c r="N108" s="11"/>
      <c r="O108" s="190"/>
      <c r="P108" s="27"/>
      <c r="Q108" s="11"/>
      <c r="R108" s="26">
        <f t="shared" si="12"/>
        <v>0</v>
      </c>
      <c r="S108" s="27">
        <f t="shared" si="13"/>
        <v>0</v>
      </c>
      <c r="T108" s="11"/>
      <c r="U108" s="11"/>
      <c r="V108" s="415">
        <f t="shared" si="14"/>
        <v>0</v>
      </c>
      <c r="W108" s="379">
        <f t="shared" si="10"/>
        <v>0</v>
      </c>
      <c r="X108" s="4">
        <v>1207</v>
      </c>
      <c r="Y108" s="4"/>
      <c r="Z108" s="4"/>
      <c r="AA108" s="12">
        <f t="shared" si="15"/>
        <v>0</v>
      </c>
      <c r="AE108" s="338"/>
      <c r="AF108" s="338"/>
    </row>
    <row r="109" spans="1:32" ht="12.75" customHeight="1">
      <c r="A109" s="24"/>
      <c r="B109" s="108">
        <f t="shared" si="16"/>
        <v>106</v>
      </c>
      <c r="C109" s="6">
        <v>310400</v>
      </c>
      <c r="D109" s="121" t="s">
        <v>533</v>
      </c>
      <c r="E109" s="9" t="s">
        <v>32</v>
      </c>
      <c r="F109" s="6"/>
      <c r="G109" s="6"/>
      <c r="H109" s="11">
        <f>+STAT3!V109</f>
        <v>0</v>
      </c>
      <c r="I109" s="11">
        <f>+STAT3!W109</f>
        <v>0</v>
      </c>
      <c r="J109" s="11">
        <f>+SUMIFS(JURNAL!G:G,JURNAL!E:E,C109,JURNAL!C:C,"&gt;="&amp;$H$1,JURNAL!C:C,"&lt;="&amp;$I$1)</f>
        <v>0</v>
      </c>
      <c r="K109" s="11">
        <f>+SUMIFS(JURNAL!H:H,JURNAL!E:E,C109,JURNAL!C:C,"&gt;="&amp;$H$1,JURNAL!C:C,"&lt;="&amp;$I$1)</f>
        <v>0</v>
      </c>
      <c r="L109" s="26">
        <f t="shared" si="11"/>
        <v>0</v>
      </c>
      <c r="M109" s="27">
        <f t="shared" si="9"/>
        <v>0</v>
      </c>
      <c r="N109" s="11"/>
      <c r="O109" s="190"/>
      <c r="P109" s="27"/>
      <c r="Q109" s="11"/>
      <c r="R109" s="26">
        <f t="shared" si="12"/>
        <v>0</v>
      </c>
      <c r="S109" s="27">
        <f t="shared" si="13"/>
        <v>0</v>
      </c>
      <c r="T109" s="11"/>
      <c r="U109" s="11"/>
      <c r="V109" s="415">
        <f t="shared" si="14"/>
        <v>0</v>
      </c>
      <c r="W109" s="379">
        <f t="shared" si="10"/>
        <v>0</v>
      </c>
      <c r="X109" s="4">
        <v>1205</v>
      </c>
      <c r="Y109" s="4"/>
      <c r="Z109" s="4"/>
      <c r="AA109" s="12">
        <f t="shared" si="15"/>
        <v>0</v>
      </c>
      <c r="AC109" s="329"/>
      <c r="AD109" s="329"/>
      <c r="AE109" s="338"/>
      <c r="AF109" s="338"/>
    </row>
    <row r="110" spans="1:32" ht="12.75" customHeight="1">
      <c r="A110" s="24"/>
      <c r="B110" s="108">
        <f t="shared" si="16"/>
        <v>107</v>
      </c>
      <c r="C110" s="6">
        <v>310401</v>
      </c>
      <c r="D110" s="121" t="s">
        <v>961</v>
      </c>
      <c r="E110" s="9" t="s">
        <v>30</v>
      </c>
      <c r="F110" s="6"/>
      <c r="G110" s="6"/>
      <c r="H110" s="11">
        <f>+STAT3!V110</f>
        <v>0</v>
      </c>
      <c r="I110" s="11">
        <f>+STAT3!W110</f>
        <v>0</v>
      </c>
      <c r="J110" s="11">
        <f>+SUMIFS(JURNAL!G:G,JURNAL!E:E,C110,JURNAL!C:C,"&gt;="&amp;$H$1,JURNAL!C:C,"&lt;="&amp;$I$1)</f>
        <v>0</v>
      </c>
      <c r="K110" s="11">
        <f>+SUMIFS(JURNAL!H:H,JURNAL!E:E,C110,JURNAL!C:C,"&gt;="&amp;$H$1,JURNAL!C:C,"&lt;="&amp;$I$1)</f>
        <v>0</v>
      </c>
      <c r="L110" s="26">
        <f t="shared" si="11"/>
        <v>0</v>
      </c>
      <c r="M110" s="27">
        <f t="shared" si="9"/>
        <v>0</v>
      </c>
      <c r="N110" s="11"/>
      <c r="O110" s="190"/>
      <c r="P110" s="27"/>
      <c r="Q110" s="11"/>
      <c r="R110" s="26">
        <f t="shared" si="12"/>
        <v>0</v>
      </c>
      <c r="S110" s="27">
        <f t="shared" si="13"/>
        <v>0</v>
      </c>
      <c r="T110" s="11"/>
      <c r="U110" s="11"/>
      <c r="V110" s="415">
        <f t="shared" si="14"/>
        <v>0</v>
      </c>
      <c r="W110" s="379">
        <f t="shared" si="10"/>
        <v>0</v>
      </c>
      <c r="X110" s="4">
        <v>1205</v>
      </c>
      <c r="Y110" s="4"/>
      <c r="Z110" s="4"/>
      <c r="AA110" s="12">
        <f t="shared" si="15"/>
        <v>0</v>
      </c>
      <c r="AE110" s="338"/>
      <c r="AF110" s="338"/>
    </row>
    <row r="111" spans="1:32" ht="12.75" customHeight="1">
      <c r="A111" s="24"/>
      <c r="B111" s="108">
        <f t="shared" si="16"/>
        <v>108</v>
      </c>
      <c r="C111" s="6">
        <v>310500</v>
      </c>
      <c r="D111" s="121" t="s">
        <v>540</v>
      </c>
      <c r="E111" s="9" t="s">
        <v>32</v>
      </c>
      <c r="F111" s="6"/>
      <c r="G111" s="6"/>
      <c r="H111" s="11">
        <f>+STAT3!V111</f>
        <v>0</v>
      </c>
      <c r="I111" s="11">
        <f>+STAT3!W111</f>
        <v>62691753.040909097</v>
      </c>
      <c r="J111" s="11">
        <f>+SUMIFS(JURNAL!G:G,JURNAL!E:E,C111,JURNAL!C:C,"&gt;="&amp;$H$1,JURNAL!C:C,"&lt;="&amp;$I$1)</f>
        <v>0</v>
      </c>
      <c r="K111" s="11">
        <f>+SUMIFS(JURNAL!H:H,JURNAL!E:E,C111,JURNAL!C:C,"&gt;="&amp;$H$1,JURNAL!C:C,"&lt;="&amp;$I$1)</f>
        <v>44168286.269999996</v>
      </c>
      <c r="L111" s="26">
        <f t="shared" si="11"/>
        <v>0</v>
      </c>
      <c r="M111" s="27">
        <f t="shared" si="9"/>
        <v>106860039.31090909</v>
      </c>
      <c r="N111" s="27">
        <v>11683890.568181816</v>
      </c>
      <c r="O111" s="190"/>
      <c r="P111" s="27"/>
      <c r="Q111" s="11"/>
      <c r="R111" s="26">
        <f t="shared" si="12"/>
        <v>0</v>
      </c>
      <c r="S111" s="27">
        <f t="shared" si="13"/>
        <v>95176148.74272728</v>
      </c>
      <c r="T111" s="11"/>
      <c r="U111" s="11"/>
      <c r="V111" s="415">
        <f t="shared" si="14"/>
        <v>0</v>
      </c>
      <c r="W111" s="379">
        <f t="shared" si="10"/>
        <v>95176148.74272728</v>
      </c>
      <c r="X111" s="4">
        <v>1203</v>
      </c>
      <c r="Y111" s="4"/>
      <c r="Z111" s="4"/>
      <c r="AA111" s="12">
        <f t="shared" si="15"/>
        <v>1</v>
      </c>
      <c r="AC111" s="79">
        <v>95176148.530000001</v>
      </c>
      <c r="AD111" s="237">
        <f>+AC111-W111</f>
        <v>-0.21272727847099304</v>
      </c>
      <c r="AE111" s="338"/>
      <c r="AF111" s="338"/>
    </row>
    <row r="112" spans="1:32" ht="12.75" customHeight="1">
      <c r="A112" s="25"/>
      <c r="B112" s="108">
        <f t="shared" si="16"/>
        <v>109</v>
      </c>
      <c r="C112" s="6">
        <v>310600</v>
      </c>
      <c r="D112" s="121" t="s">
        <v>545</v>
      </c>
      <c r="E112" s="9" t="s">
        <v>32</v>
      </c>
      <c r="F112" s="6"/>
      <c r="G112" s="6"/>
      <c r="H112" s="11">
        <f>+STAT3!V112</f>
        <v>0</v>
      </c>
      <c r="I112" s="11">
        <f>+STAT3!W112</f>
        <v>0</v>
      </c>
      <c r="J112" s="11">
        <f>+SUMIFS(JURNAL!G:G,JURNAL!E:E,C112,JURNAL!C:C,"&gt;="&amp;$H$1,JURNAL!C:C,"&lt;="&amp;$I$1)</f>
        <v>0</v>
      </c>
      <c r="K112" s="11">
        <f>+SUMIFS(JURNAL!H:H,JURNAL!E:E,C112,JURNAL!C:C,"&gt;="&amp;$H$1,JURNAL!C:C,"&lt;="&amp;$I$1)</f>
        <v>0</v>
      </c>
      <c r="L112" s="26">
        <f t="shared" si="11"/>
        <v>0</v>
      </c>
      <c r="M112" s="27">
        <f t="shared" si="9"/>
        <v>0</v>
      </c>
      <c r="N112" s="11"/>
      <c r="O112" s="190"/>
      <c r="P112" s="27"/>
      <c r="Q112" s="11"/>
      <c r="R112" s="26">
        <f t="shared" si="12"/>
        <v>0</v>
      </c>
      <c r="S112" s="27">
        <f t="shared" si="13"/>
        <v>0</v>
      </c>
      <c r="T112" s="11"/>
      <c r="U112" s="11"/>
      <c r="V112" s="415">
        <f t="shared" si="14"/>
        <v>0</v>
      </c>
      <c r="W112" s="379">
        <f t="shared" si="10"/>
        <v>0</v>
      </c>
      <c r="X112" s="4">
        <v>1203</v>
      </c>
      <c r="Y112" s="4"/>
      <c r="Z112" s="4"/>
      <c r="AA112" s="12">
        <f t="shared" si="15"/>
        <v>0</v>
      </c>
      <c r="AE112" s="338"/>
      <c r="AF112" s="338"/>
    </row>
    <row r="113" spans="1:32" ht="12.75" customHeight="1">
      <c r="A113" s="24"/>
      <c r="B113" s="108">
        <f t="shared" si="16"/>
        <v>110</v>
      </c>
      <c r="C113" s="6">
        <v>310700</v>
      </c>
      <c r="D113" s="121" t="s">
        <v>550</v>
      </c>
      <c r="E113" s="9" t="s">
        <v>32</v>
      </c>
      <c r="F113" s="6"/>
      <c r="G113" s="6"/>
      <c r="H113" s="11">
        <f>+STAT3!V113</f>
        <v>0</v>
      </c>
      <c r="I113" s="11">
        <f>+STAT3!W113</f>
        <v>6563703.5869171843</v>
      </c>
      <c r="J113" s="11">
        <f>+SUMIFS(JURNAL!G:G,JURNAL!E:E,C113,JURNAL!C:C,"&gt;="&amp;$H$1,JURNAL!C:C,"&lt;="&amp;$I$1)</f>
        <v>0</v>
      </c>
      <c r="K113" s="11">
        <f>+SUMIFS(JURNAL!H:H,JURNAL!E:E,C113,JURNAL!C:C,"&gt;="&amp;$H$1,JURNAL!C:C,"&lt;="&amp;$I$1)</f>
        <v>2168052.4950000001</v>
      </c>
      <c r="L113" s="26">
        <f t="shared" si="11"/>
        <v>0</v>
      </c>
      <c r="M113" s="27">
        <f t="shared" si="9"/>
        <v>8731756.0819171853</v>
      </c>
      <c r="N113" s="121">
        <v>8731756.0800000001</v>
      </c>
      <c r="O113" s="190"/>
      <c r="P113" s="27"/>
      <c r="Q113" s="11"/>
      <c r="R113" s="26">
        <f t="shared" si="12"/>
        <v>0</v>
      </c>
      <c r="S113" s="27">
        <f t="shared" si="13"/>
        <v>1.9171852618455887E-3</v>
      </c>
      <c r="T113" s="11"/>
      <c r="U113" s="11"/>
      <c r="V113" s="415">
        <f t="shared" si="14"/>
        <v>0</v>
      </c>
      <c r="W113" s="379">
        <f t="shared" si="10"/>
        <v>1.9171852618455887E-3</v>
      </c>
      <c r="X113" s="4">
        <v>1203</v>
      </c>
      <c r="Y113" s="4"/>
      <c r="Z113" s="4"/>
      <c r="AA113" s="12">
        <f t="shared" si="15"/>
        <v>1</v>
      </c>
      <c r="AD113" s="79"/>
      <c r="AE113" s="338"/>
      <c r="AF113" s="338"/>
    </row>
    <row r="114" spans="1:32" ht="12.75" customHeight="1">
      <c r="A114" s="24"/>
      <c r="B114" s="108">
        <f t="shared" si="16"/>
        <v>111</v>
      </c>
      <c r="C114" s="6">
        <v>310800</v>
      </c>
      <c r="D114" s="121" t="s">
        <v>555</v>
      </c>
      <c r="E114" s="9" t="s">
        <v>32</v>
      </c>
      <c r="F114" s="6"/>
      <c r="G114" s="6"/>
      <c r="H114" s="11">
        <f>+STAT3!V114</f>
        <v>0</v>
      </c>
      <c r="I114" s="11">
        <f>+STAT3!W114</f>
        <v>10518157.338106744</v>
      </c>
      <c r="J114" s="11">
        <f>+SUMIFS(JURNAL!G:G,JURNAL!E:E,C114,JURNAL!C:C,"&gt;="&amp;$H$1,JURNAL!C:C,"&lt;="&amp;$I$1)</f>
        <v>0</v>
      </c>
      <c r="K114" s="11">
        <f>+SUMIFS(JURNAL!H:H,JURNAL!E:E,C114,JURNAL!C:C,"&gt;="&amp;$H$1,JURNAL!C:C,"&lt;="&amp;$I$1)</f>
        <v>7101410.54</v>
      </c>
      <c r="L114" s="26">
        <f t="shared" si="11"/>
        <v>0</v>
      </c>
      <c r="M114" s="27">
        <f t="shared" si="9"/>
        <v>17619567.878106743</v>
      </c>
      <c r="N114" s="27">
        <v>17619567.879999999</v>
      </c>
      <c r="O114" s="190"/>
      <c r="P114" s="27"/>
      <c r="Q114" s="11"/>
      <c r="R114" s="26">
        <f t="shared" si="12"/>
        <v>1.8932558596134186E-3</v>
      </c>
      <c r="S114" s="27">
        <f t="shared" si="13"/>
        <v>0</v>
      </c>
      <c r="T114" s="11"/>
      <c r="U114" s="11"/>
      <c r="V114" s="415">
        <f t="shared" si="14"/>
        <v>1.8932558596134186E-3</v>
      </c>
      <c r="W114" s="379">
        <f t="shared" si="10"/>
        <v>0</v>
      </c>
      <c r="X114" s="4">
        <v>1204</v>
      </c>
      <c r="Y114" s="4"/>
      <c r="Z114" s="4"/>
      <c r="AA114" s="12">
        <f t="shared" si="15"/>
        <v>1</v>
      </c>
      <c r="AE114" s="338"/>
      <c r="AF114" s="338"/>
    </row>
    <row r="115" spans="1:32" ht="12.75" customHeight="1">
      <c r="A115" s="24"/>
      <c r="B115" s="108">
        <f t="shared" si="16"/>
        <v>112</v>
      </c>
      <c r="C115" s="6">
        <v>310900</v>
      </c>
      <c r="D115" s="121" t="s">
        <v>560</v>
      </c>
      <c r="E115" s="9" t="s">
        <v>32</v>
      </c>
      <c r="F115" s="6"/>
      <c r="G115" s="6"/>
      <c r="H115" s="11">
        <f>+STAT3!V115</f>
        <v>0</v>
      </c>
      <c r="I115" s="11">
        <f>+STAT3!W115</f>
        <v>0</v>
      </c>
      <c r="J115" s="11">
        <f>+SUMIFS(JURNAL!G:G,JURNAL!E:E,C115,JURNAL!C:C,"&gt;="&amp;$H$1,JURNAL!C:C,"&lt;="&amp;$I$1)</f>
        <v>13602616</v>
      </c>
      <c r="K115" s="11">
        <f>+SUMIFS(JURNAL!H:H,JURNAL!E:E,C115,JURNAL!C:C,"&gt;="&amp;$H$1,JURNAL!C:C,"&lt;="&amp;$I$1)</f>
        <v>13602616</v>
      </c>
      <c r="L115" s="26">
        <f t="shared" si="11"/>
        <v>0</v>
      </c>
      <c r="M115" s="27">
        <f t="shared" si="9"/>
        <v>0</v>
      </c>
      <c r="N115" s="11"/>
      <c r="O115" s="190"/>
      <c r="P115" s="27"/>
      <c r="Q115" s="11"/>
      <c r="R115" s="26">
        <f t="shared" si="12"/>
        <v>0</v>
      </c>
      <c r="S115" s="27">
        <f t="shared" si="13"/>
        <v>0</v>
      </c>
      <c r="T115" s="11"/>
      <c r="U115" s="11"/>
      <c r="V115" s="415">
        <f t="shared" si="14"/>
        <v>0</v>
      </c>
      <c r="W115" s="379">
        <f t="shared" si="10"/>
        <v>0</v>
      </c>
      <c r="X115" s="4">
        <v>1203</v>
      </c>
      <c r="Y115" s="4"/>
      <c r="Z115" s="4"/>
      <c r="AA115" s="12">
        <f t="shared" si="15"/>
        <v>1</v>
      </c>
      <c r="AE115" s="338"/>
      <c r="AF115" s="338"/>
    </row>
    <row r="116" spans="1:32" ht="12.75" customHeight="1">
      <c r="A116" s="24"/>
      <c r="B116" s="108">
        <f t="shared" si="16"/>
        <v>113</v>
      </c>
      <c r="C116" s="6">
        <v>311000</v>
      </c>
      <c r="D116" s="121" t="s">
        <v>565</v>
      </c>
      <c r="E116" s="9" t="s">
        <v>32</v>
      </c>
      <c r="F116" s="6"/>
      <c r="G116" s="6"/>
      <c r="H116" s="11">
        <f>+STAT3!V116</f>
        <v>0</v>
      </c>
      <c r="I116" s="11">
        <f>+STAT3!W116</f>
        <v>0</v>
      </c>
      <c r="J116" s="11">
        <f>+SUMIFS(JURNAL!G:G,JURNAL!E:E,C116,JURNAL!C:C,"&gt;="&amp;$H$1,JURNAL!C:C,"&lt;="&amp;$I$1)</f>
        <v>24706733.837500002</v>
      </c>
      <c r="K116" s="11">
        <f>+SUMIFS(JURNAL!H:H,JURNAL!E:E,C116,JURNAL!C:C,"&gt;="&amp;$H$1,JURNAL!C:C,"&lt;="&amp;$I$1)</f>
        <v>24706733.835000001</v>
      </c>
      <c r="L116" s="26">
        <f t="shared" si="11"/>
        <v>2.5000013411045074E-3</v>
      </c>
      <c r="M116" s="27">
        <f t="shared" si="9"/>
        <v>0</v>
      </c>
      <c r="N116" s="11"/>
      <c r="O116" s="190"/>
      <c r="P116" s="27"/>
      <c r="Q116" s="11"/>
      <c r="R116" s="26">
        <f t="shared" si="12"/>
        <v>2.5000013411045074E-3</v>
      </c>
      <c r="S116" s="27">
        <f t="shared" si="13"/>
        <v>0</v>
      </c>
      <c r="T116" s="11"/>
      <c r="U116" s="11"/>
      <c r="V116" s="415">
        <f t="shared" si="14"/>
        <v>2.5000013411045074E-3</v>
      </c>
      <c r="W116" s="379">
        <f t="shared" si="10"/>
        <v>0</v>
      </c>
      <c r="X116" s="4">
        <v>1202</v>
      </c>
      <c r="Y116" s="4"/>
      <c r="Z116" s="4"/>
      <c r="AA116" s="12">
        <f t="shared" si="15"/>
        <v>1</v>
      </c>
      <c r="AE116" s="338"/>
      <c r="AF116" s="338"/>
    </row>
    <row r="117" spans="1:32" ht="12.75" customHeight="1">
      <c r="A117" s="24"/>
      <c r="B117" s="108">
        <f t="shared" si="16"/>
        <v>114</v>
      </c>
      <c r="C117" s="6">
        <v>311100</v>
      </c>
      <c r="D117" s="121" t="s">
        <v>570</v>
      </c>
      <c r="E117" s="9" t="s">
        <v>32</v>
      </c>
      <c r="F117" s="6"/>
      <c r="G117" s="6"/>
      <c r="H117" s="11">
        <f>+STAT3!V117</f>
        <v>0</v>
      </c>
      <c r="I117" s="11">
        <f>+STAT3!W117</f>
        <v>38562674</v>
      </c>
      <c r="J117" s="11">
        <f>+SUMIFS(JURNAL!G:G,JURNAL!E:E,C117,JURNAL!C:C,"&gt;="&amp;$H$1,JURNAL!C:C,"&lt;="&amp;$I$1)</f>
        <v>11926772</v>
      </c>
      <c r="K117" s="11">
        <f>+SUMIFS(JURNAL!H:H,JURNAL!E:E,C117,JURNAL!C:C,"&gt;="&amp;$H$1,JURNAL!C:C,"&lt;="&amp;$I$1)</f>
        <v>0</v>
      </c>
      <c r="L117" s="26">
        <f t="shared" si="11"/>
        <v>0</v>
      </c>
      <c r="M117" s="27">
        <f t="shared" si="9"/>
        <v>26635902</v>
      </c>
      <c r="N117" s="11"/>
      <c r="O117" s="190"/>
      <c r="P117" s="27"/>
      <c r="Q117" s="11"/>
      <c r="R117" s="26">
        <f t="shared" si="12"/>
        <v>0</v>
      </c>
      <c r="S117" s="27">
        <f t="shared" si="13"/>
        <v>26635902</v>
      </c>
      <c r="T117" s="11"/>
      <c r="U117" s="11"/>
      <c r="V117" s="415">
        <f t="shared" si="14"/>
        <v>0</v>
      </c>
      <c r="W117" s="872">
        <f t="shared" si="10"/>
        <v>26635902</v>
      </c>
      <c r="X117" s="4">
        <v>1210</v>
      </c>
      <c r="Y117" s="4"/>
      <c r="Z117" s="4"/>
      <c r="AA117" s="12">
        <f t="shared" si="15"/>
        <v>1</v>
      </c>
      <c r="AC117" s="237">
        <v>26635902</v>
      </c>
      <c r="AD117" s="307">
        <f>+W117-AC117</f>
        <v>0</v>
      </c>
      <c r="AE117" s="338"/>
      <c r="AF117" s="338"/>
    </row>
    <row r="118" spans="1:32" ht="12.75" customHeight="1">
      <c r="A118" s="24"/>
      <c r="B118" s="108">
        <f t="shared" si="16"/>
        <v>115</v>
      </c>
      <c r="C118" s="6">
        <v>311200</v>
      </c>
      <c r="D118" s="121" t="s">
        <v>575</v>
      </c>
      <c r="E118" s="9" t="s">
        <v>32</v>
      </c>
      <c r="F118" s="6"/>
      <c r="G118" s="6"/>
      <c r="H118" s="11">
        <f>+STAT3!V118</f>
        <v>0</v>
      </c>
      <c r="I118" s="11">
        <f>+STAT3!W118</f>
        <v>0</v>
      </c>
      <c r="J118" s="11">
        <f>+SUMIFS(JURNAL!G:G,JURNAL!E:E,C118,JURNAL!C:C,"&gt;="&amp;$H$1,JURNAL!C:C,"&lt;="&amp;$I$1)</f>
        <v>0</v>
      </c>
      <c r="K118" s="11">
        <f>+SUMIFS(JURNAL!H:H,JURNAL!E:E,C118,JURNAL!C:C,"&gt;="&amp;$H$1,JURNAL!C:C,"&lt;="&amp;$I$1)</f>
        <v>0</v>
      </c>
      <c r="L118" s="26">
        <f t="shared" si="11"/>
        <v>0</v>
      </c>
      <c r="M118" s="27">
        <f t="shared" si="9"/>
        <v>0</v>
      </c>
      <c r="N118" s="11"/>
      <c r="O118" s="190"/>
      <c r="P118" s="27"/>
      <c r="Q118" s="11"/>
      <c r="R118" s="26">
        <f t="shared" si="12"/>
        <v>0</v>
      </c>
      <c r="S118" s="27">
        <f t="shared" si="13"/>
        <v>0</v>
      </c>
      <c r="T118" s="11"/>
      <c r="U118" s="11"/>
      <c r="V118" s="415">
        <f t="shared" si="14"/>
        <v>0</v>
      </c>
      <c r="W118" s="379">
        <f t="shared" si="10"/>
        <v>0</v>
      </c>
      <c r="X118" s="4">
        <v>1201</v>
      </c>
      <c r="Y118" s="4"/>
      <c r="Z118" s="4"/>
      <c r="AA118" s="12">
        <f t="shared" si="15"/>
        <v>0</v>
      </c>
      <c r="AE118" s="338"/>
      <c r="AF118" s="338"/>
    </row>
    <row r="119" spans="1:32" ht="12.75" customHeight="1">
      <c r="A119" s="24"/>
      <c r="B119" s="108">
        <f t="shared" si="16"/>
        <v>116</v>
      </c>
      <c r="C119" s="6">
        <v>311300</v>
      </c>
      <c r="D119" s="121" t="s">
        <v>580</v>
      </c>
      <c r="E119" s="9" t="s">
        <v>32</v>
      </c>
      <c r="F119" s="6"/>
      <c r="G119" s="6"/>
      <c r="H119" s="11">
        <f>+STAT3!V119</f>
        <v>0</v>
      </c>
      <c r="I119" s="11">
        <f>+STAT3!W119</f>
        <v>0</v>
      </c>
      <c r="J119" s="11">
        <f>+SUMIFS(JURNAL!G:G,JURNAL!E:E,C119,JURNAL!C:C,"&gt;="&amp;$H$1,JURNAL!C:C,"&lt;="&amp;$I$1)</f>
        <v>0</v>
      </c>
      <c r="K119" s="11">
        <f>+SUMIFS(JURNAL!H:H,JURNAL!E:E,C119,JURNAL!C:C,"&gt;="&amp;$H$1,JURNAL!C:C,"&lt;="&amp;$I$1)</f>
        <v>0</v>
      </c>
      <c r="L119" s="26">
        <f t="shared" si="11"/>
        <v>0</v>
      </c>
      <c r="M119" s="27">
        <f t="shared" si="9"/>
        <v>0</v>
      </c>
      <c r="N119" s="11"/>
      <c r="O119" s="190"/>
      <c r="P119" s="27"/>
      <c r="Q119" s="11"/>
      <c r="R119" s="26">
        <f t="shared" si="12"/>
        <v>0</v>
      </c>
      <c r="S119" s="27">
        <f t="shared" si="13"/>
        <v>0</v>
      </c>
      <c r="T119" s="11"/>
      <c r="U119" s="11"/>
      <c r="V119" s="415">
        <f t="shared" si="14"/>
        <v>0</v>
      </c>
      <c r="W119" s="379">
        <f t="shared" si="10"/>
        <v>0</v>
      </c>
      <c r="X119" s="4">
        <v>1201</v>
      </c>
      <c r="Y119" s="4"/>
      <c r="Z119" s="4"/>
      <c r="AA119" s="12">
        <f t="shared" si="15"/>
        <v>0</v>
      </c>
      <c r="AE119" s="338"/>
      <c r="AF119" s="338"/>
    </row>
    <row r="120" spans="1:32" ht="12.75" customHeight="1">
      <c r="A120" s="24"/>
      <c r="B120" s="108">
        <f t="shared" si="16"/>
        <v>117</v>
      </c>
      <c r="C120" s="6">
        <v>311301</v>
      </c>
      <c r="D120" s="121" t="s">
        <v>962</v>
      </c>
      <c r="E120" s="9" t="s">
        <v>30</v>
      </c>
      <c r="F120" s="6"/>
      <c r="G120" s="6"/>
      <c r="H120" s="11">
        <f>+STAT3!V120</f>
        <v>0</v>
      </c>
      <c r="I120" s="11">
        <f>+STAT3!W120</f>
        <v>0</v>
      </c>
      <c r="J120" s="11">
        <f>+SUMIFS(JURNAL!G:G,JURNAL!E:E,C120,JURNAL!C:C,"&gt;="&amp;$H$1,JURNAL!C:C,"&lt;="&amp;$I$1)</f>
        <v>0</v>
      </c>
      <c r="K120" s="11">
        <f>+SUMIFS(JURNAL!H:H,JURNAL!E:E,C120,JURNAL!C:C,"&gt;="&amp;$H$1,JURNAL!C:C,"&lt;="&amp;$I$1)</f>
        <v>0</v>
      </c>
      <c r="L120" s="26">
        <f t="shared" si="11"/>
        <v>0</v>
      </c>
      <c r="M120" s="27">
        <f t="shared" si="9"/>
        <v>0</v>
      </c>
      <c r="N120" s="11"/>
      <c r="O120" s="190"/>
      <c r="P120" s="27"/>
      <c r="Q120" s="11"/>
      <c r="R120" s="26">
        <f t="shared" si="12"/>
        <v>0</v>
      </c>
      <c r="S120" s="27">
        <f t="shared" si="13"/>
        <v>0</v>
      </c>
      <c r="T120" s="11"/>
      <c r="U120" s="11"/>
      <c r="V120" s="415">
        <f t="shared" si="14"/>
        <v>0</v>
      </c>
      <c r="W120" s="379">
        <f t="shared" si="10"/>
        <v>0</v>
      </c>
      <c r="X120" s="4">
        <v>1201</v>
      </c>
      <c r="Y120" s="4"/>
      <c r="Z120" s="4"/>
      <c r="AA120" s="12">
        <f t="shared" si="15"/>
        <v>0</v>
      </c>
      <c r="AE120" s="338"/>
      <c r="AF120" s="338"/>
    </row>
    <row r="121" spans="1:32" ht="12.75" customHeight="1">
      <c r="A121" s="24"/>
      <c r="B121" s="108">
        <f t="shared" si="16"/>
        <v>118</v>
      </c>
      <c r="C121" s="6">
        <v>311400</v>
      </c>
      <c r="D121" s="121" t="s">
        <v>993</v>
      </c>
      <c r="E121" s="9" t="s">
        <v>32</v>
      </c>
      <c r="F121" s="6"/>
      <c r="G121" s="6"/>
      <c r="H121" s="11">
        <f>+STAT3!V121</f>
        <v>0</v>
      </c>
      <c r="I121" s="11">
        <f>+STAT3!W121</f>
        <v>0</v>
      </c>
      <c r="J121" s="11">
        <f>+SUMIFS(JURNAL!G:G,JURNAL!E:E,C121,JURNAL!C:C,"&gt;="&amp;$H$1,JURNAL!C:C,"&lt;="&amp;$I$1)</f>
        <v>0</v>
      </c>
      <c r="K121" s="11">
        <f>+SUMIFS(JURNAL!H:H,JURNAL!E:E,C121,JURNAL!C:C,"&gt;="&amp;$H$1,JURNAL!C:C,"&lt;="&amp;$I$1)</f>
        <v>0</v>
      </c>
      <c r="L121" s="26">
        <f t="shared" si="11"/>
        <v>0</v>
      </c>
      <c r="M121" s="27">
        <f t="shared" si="9"/>
        <v>0</v>
      </c>
      <c r="N121" s="11"/>
      <c r="O121" s="190"/>
      <c r="P121" s="27"/>
      <c r="Q121" s="11"/>
      <c r="R121" s="26">
        <f t="shared" si="12"/>
        <v>0</v>
      </c>
      <c r="S121" s="27">
        <f t="shared" si="13"/>
        <v>0</v>
      </c>
      <c r="T121" s="11"/>
      <c r="U121" s="11"/>
      <c r="V121" s="415">
        <f t="shared" si="14"/>
        <v>0</v>
      </c>
      <c r="W121" s="379">
        <f t="shared" si="10"/>
        <v>0</v>
      </c>
      <c r="X121" s="4">
        <v>1210</v>
      </c>
      <c r="Y121" s="4"/>
      <c r="Z121" s="4"/>
      <c r="AA121" s="12">
        <f t="shared" si="15"/>
        <v>0</v>
      </c>
      <c r="AE121" s="338"/>
      <c r="AF121" s="338"/>
    </row>
    <row r="122" spans="1:32" ht="12.75" customHeight="1">
      <c r="A122" s="24"/>
      <c r="B122" s="108">
        <f t="shared" si="16"/>
        <v>119</v>
      </c>
      <c r="C122" s="6">
        <v>311401</v>
      </c>
      <c r="D122" s="121" t="s">
        <v>994</v>
      </c>
      <c r="E122" s="9" t="s">
        <v>30</v>
      </c>
      <c r="F122" s="6"/>
      <c r="G122" s="6"/>
      <c r="H122" s="11">
        <f>+STAT3!V122</f>
        <v>0</v>
      </c>
      <c r="I122" s="11">
        <f>+STAT3!W122</f>
        <v>0</v>
      </c>
      <c r="J122" s="11">
        <f>+SUMIFS(JURNAL!G:G,JURNAL!E:E,C122,JURNAL!C:C,"&gt;="&amp;$H$1,JURNAL!C:C,"&lt;="&amp;$I$1)</f>
        <v>0</v>
      </c>
      <c r="K122" s="11">
        <f>+SUMIFS(JURNAL!H:H,JURNAL!E:E,C122,JURNAL!C:C,"&gt;="&amp;$H$1,JURNAL!C:C,"&lt;="&amp;$I$1)</f>
        <v>0</v>
      </c>
      <c r="L122" s="26">
        <f t="shared" si="11"/>
        <v>0</v>
      </c>
      <c r="M122" s="27">
        <f t="shared" si="9"/>
        <v>0</v>
      </c>
      <c r="N122" s="11"/>
      <c r="O122" s="190"/>
      <c r="P122" s="27"/>
      <c r="Q122" s="11"/>
      <c r="R122" s="26">
        <f t="shared" si="12"/>
        <v>0</v>
      </c>
      <c r="S122" s="27">
        <f t="shared" si="13"/>
        <v>0</v>
      </c>
      <c r="T122" s="11"/>
      <c r="U122" s="11"/>
      <c r="V122" s="415">
        <f t="shared" si="14"/>
        <v>0</v>
      </c>
      <c r="W122" s="379">
        <f t="shared" si="10"/>
        <v>0</v>
      </c>
      <c r="X122" s="4">
        <v>1210</v>
      </c>
      <c r="Y122" s="4"/>
      <c r="Z122" s="4"/>
      <c r="AA122" s="12">
        <f t="shared" si="15"/>
        <v>0</v>
      </c>
      <c r="AE122" s="338"/>
      <c r="AF122" s="338"/>
    </row>
    <row r="123" spans="1:32" ht="12.75" customHeight="1">
      <c r="A123" s="24"/>
      <c r="B123" s="108">
        <f t="shared" si="16"/>
        <v>120</v>
      </c>
      <c r="C123" s="6">
        <v>311600</v>
      </c>
      <c r="D123" s="121" t="s">
        <v>588</v>
      </c>
      <c r="E123" s="9" t="s">
        <v>32</v>
      </c>
      <c r="F123" s="6"/>
      <c r="G123" s="6"/>
      <c r="H123" s="11">
        <f>+STAT3!V123</f>
        <v>0</v>
      </c>
      <c r="I123" s="11">
        <f>+STAT3!W123</f>
        <v>0</v>
      </c>
      <c r="J123" s="11">
        <f>+SUMIFS(JURNAL!G:G,JURNAL!E:E,C123,JURNAL!C:C,"&gt;="&amp;$H$1,JURNAL!C:C,"&lt;="&amp;$I$1)</f>
        <v>0</v>
      </c>
      <c r="K123" s="11">
        <f>+SUMIFS(JURNAL!H:H,JURNAL!E:E,C123,JURNAL!C:C,"&gt;="&amp;$H$1,JURNAL!C:C,"&lt;="&amp;$I$1)</f>
        <v>0</v>
      </c>
      <c r="L123" s="26">
        <f t="shared" si="11"/>
        <v>0</v>
      </c>
      <c r="M123" s="27">
        <f t="shared" si="9"/>
        <v>0</v>
      </c>
      <c r="N123" s="11"/>
      <c r="O123" s="190"/>
      <c r="P123" s="27"/>
      <c r="Q123" s="11"/>
      <c r="R123" s="26">
        <f t="shared" si="12"/>
        <v>0</v>
      </c>
      <c r="S123" s="27">
        <f t="shared" si="13"/>
        <v>0</v>
      </c>
      <c r="T123" s="11"/>
      <c r="U123" s="11"/>
      <c r="V123" s="415">
        <f t="shared" si="14"/>
        <v>0</v>
      </c>
      <c r="W123" s="379">
        <f t="shared" si="10"/>
        <v>0</v>
      </c>
      <c r="X123" s="4">
        <v>1208</v>
      </c>
      <c r="Y123" s="4"/>
      <c r="Z123" s="4"/>
      <c r="AA123" s="12">
        <f t="shared" si="15"/>
        <v>0</v>
      </c>
      <c r="AE123" s="338"/>
      <c r="AF123" s="338"/>
    </row>
    <row r="124" spans="1:32" ht="12.75" customHeight="1">
      <c r="A124" s="24"/>
      <c r="B124" s="108">
        <f t="shared" si="16"/>
        <v>121</v>
      </c>
      <c r="C124" s="6">
        <v>312000</v>
      </c>
      <c r="D124" s="121" t="s">
        <v>593</v>
      </c>
      <c r="E124" s="9" t="s">
        <v>32</v>
      </c>
      <c r="F124" s="6"/>
      <c r="G124" s="6"/>
      <c r="H124" s="11">
        <f>+STAT3!V124</f>
        <v>0</v>
      </c>
      <c r="I124" s="11">
        <f>+STAT3!W124</f>
        <v>0</v>
      </c>
      <c r="J124" s="11">
        <f>+SUMIFS(JURNAL!G:G,JURNAL!E:E,C124,JURNAL!C:C,"&gt;="&amp;$H$1,JURNAL!C:C,"&lt;="&amp;$I$1)</f>
        <v>0</v>
      </c>
      <c r="K124" s="11">
        <f>+SUMIFS(JURNAL!H:H,JURNAL!E:E,C124,JURNAL!C:C,"&gt;="&amp;$H$1,JURNAL!C:C,"&lt;="&amp;$I$1)</f>
        <v>0</v>
      </c>
      <c r="L124" s="26">
        <f t="shared" si="11"/>
        <v>0</v>
      </c>
      <c r="M124" s="27">
        <f t="shared" si="9"/>
        <v>0</v>
      </c>
      <c r="N124" s="11"/>
      <c r="O124" s="190"/>
      <c r="P124" s="27"/>
      <c r="Q124" s="11"/>
      <c r="R124" s="26">
        <f t="shared" si="12"/>
        <v>0</v>
      </c>
      <c r="S124" s="27">
        <f t="shared" si="13"/>
        <v>0</v>
      </c>
      <c r="T124" s="11"/>
      <c r="U124" s="11"/>
      <c r="V124" s="415">
        <f t="shared" si="14"/>
        <v>0</v>
      </c>
      <c r="W124" s="379">
        <f t="shared" si="10"/>
        <v>0</v>
      </c>
      <c r="X124" s="4">
        <v>1210</v>
      </c>
      <c r="Y124" s="4"/>
      <c r="Z124" s="4"/>
      <c r="AA124" s="12">
        <f t="shared" si="15"/>
        <v>0</v>
      </c>
      <c r="AE124" s="338"/>
      <c r="AF124" s="338"/>
    </row>
    <row r="125" spans="1:32" ht="12.75" customHeight="1">
      <c r="A125" s="24"/>
      <c r="B125" s="108">
        <f t="shared" si="16"/>
        <v>122</v>
      </c>
      <c r="C125" s="6">
        <v>320100</v>
      </c>
      <c r="D125" s="121" t="s">
        <v>598</v>
      </c>
      <c r="E125" s="9" t="s">
        <v>32</v>
      </c>
      <c r="F125" s="6"/>
      <c r="G125" s="6"/>
      <c r="H125" s="11">
        <f>+STAT3!V125</f>
        <v>0</v>
      </c>
      <c r="I125" s="11">
        <f>+STAT3!W125</f>
        <v>136155224.09</v>
      </c>
      <c r="J125" s="11">
        <f>+SUMIFS(JURNAL!G:G,JURNAL!E:E,C125,JURNAL!C:C,"&gt;="&amp;$H$1,JURNAL!C:C,"&lt;="&amp;$I$1)</f>
        <v>488871159.99875295</v>
      </c>
      <c r="K125" s="11">
        <f>+SUMIFS(JURNAL!H:H,JURNAL!E:E,C125,JURNAL!C:C,"&gt;="&amp;$H$1,JURNAL!C:C,"&lt;="&amp;$I$1)</f>
        <v>488871160</v>
      </c>
      <c r="L125" s="26">
        <f t="shared" si="11"/>
        <v>0</v>
      </c>
      <c r="M125" s="27">
        <f t="shared" si="9"/>
        <v>136155224.09124708</v>
      </c>
      <c r="N125" s="11"/>
      <c r="O125" s="190"/>
      <c r="P125" s="27"/>
      <c r="Q125" s="11"/>
      <c r="R125" s="26">
        <f t="shared" si="12"/>
        <v>0</v>
      </c>
      <c r="S125" s="27">
        <f t="shared" si="13"/>
        <v>136155224.09124708</v>
      </c>
      <c r="T125" s="11"/>
      <c r="U125" s="11"/>
      <c r="V125" s="415">
        <f t="shared" si="14"/>
        <v>0</v>
      </c>
      <c r="W125" s="379">
        <f t="shared" si="10"/>
        <v>136155224.09124708</v>
      </c>
      <c r="X125" s="4">
        <v>1211</v>
      </c>
      <c r="Y125" s="4"/>
      <c r="Z125" s="4"/>
      <c r="AA125" s="12">
        <f t="shared" si="15"/>
        <v>1</v>
      </c>
      <c r="AE125" s="338"/>
      <c r="AF125" s="338"/>
    </row>
    <row r="126" spans="1:32" ht="12.75" customHeight="1">
      <c r="A126" s="24"/>
      <c r="B126" s="108">
        <f t="shared" si="16"/>
        <v>123</v>
      </c>
      <c r="C126" s="6">
        <v>320101</v>
      </c>
      <c r="D126" s="121" t="s">
        <v>963</v>
      </c>
      <c r="E126" s="9" t="s">
        <v>30</v>
      </c>
      <c r="F126" s="6"/>
      <c r="G126" s="6"/>
      <c r="H126" s="11">
        <f>+STAT3!V126</f>
        <v>0</v>
      </c>
      <c r="I126" s="11">
        <f>+STAT3!W126</f>
        <v>0</v>
      </c>
      <c r="J126" s="11">
        <f>+SUMIFS(JURNAL!G:G,JURNAL!E:E,C126,JURNAL!C:C,"&gt;="&amp;$H$1,JURNAL!C:C,"&lt;="&amp;$I$1)</f>
        <v>0</v>
      </c>
      <c r="K126" s="11">
        <f>+SUMIFS(JURNAL!H:H,JURNAL!E:E,C126,JURNAL!C:C,"&gt;="&amp;$H$1,JURNAL!C:C,"&lt;="&amp;$I$1)</f>
        <v>0</v>
      </c>
      <c r="L126" s="26">
        <f t="shared" si="11"/>
        <v>0</v>
      </c>
      <c r="M126" s="27">
        <f t="shared" si="9"/>
        <v>0</v>
      </c>
      <c r="N126" s="11"/>
      <c r="O126" s="190"/>
      <c r="P126" s="27"/>
      <c r="Q126" s="11"/>
      <c r="R126" s="26">
        <f t="shared" si="12"/>
        <v>0</v>
      </c>
      <c r="S126" s="27">
        <f t="shared" si="13"/>
        <v>0</v>
      </c>
      <c r="T126" s="11"/>
      <c r="U126" s="11"/>
      <c r="V126" s="415">
        <f t="shared" si="14"/>
        <v>0</v>
      </c>
      <c r="W126" s="379">
        <f t="shared" si="10"/>
        <v>0</v>
      </c>
      <c r="X126" s="4">
        <v>1211</v>
      </c>
      <c r="Y126" s="4"/>
      <c r="Z126" s="4"/>
      <c r="AA126" s="12">
        <f t="shared" si="15"/>
        <v>0</v>
      </c>
      <c r="AE126" s="338"/>
      <c r="AF126" s="338"/>
    </row>
    <row r="127" spans="1:32" ht="12.75" customHeight="1">
      <c r="A127" s="24"/>
      <c r="B127" s="108">
        <f t="shared" si="16"/>
        <v>124</v>
      </c>
      <c r="C127" s="6">
        <v>340100</v>
      </c>
      <c r="D127" s="121" t="s">
        <v>1567</v>
      </c>
      <c r="E127" s="9" t="s">
        <v>32</v>
      </c>
      <c r="F127" s="6"/>
      <c r="G127" s="6"/>
      <c r="H127" s="11">
        <f>+STAT3!V127</f>
        <v>0</v>
      </c>
      <c r="I127" s="11">
        <f>+STAT3!W127</f>
        <v>0</v>
      </c>
      <c r="J127" s="11">
        <f>+SUMIFS(JURNAL!G:G,JURNAL!E:E,C127,JURNAL!C:C,"&gt;="&amp;$H$1,JURNAL!C:C,"&lt;="&amp;$I$1)</f>
        <v>0</v>
      </c>
      <c r="K127" s="11">
        <f>+SUMIFS(JURNAL!H:H,JURNAL!E:E,C127,JURNAL!C:C,"&gt;="&amp;$H$1,JURNAL!C:C,"&lt;="&amp;$I$1)</f>
        <v>0</v>
      </c>
      <c r="L127" s="26">
        <f t="shared" si="11"/>
        <v>0</v>
      </c>
      <c r="M127" s="27">
        <f t="shared" si="9"/>
        <v>0</v>
      </c>
      <c r="N127" s="11"/>
      <c r="O127" s="190"/>
      <c r="P127" s="27"/>
      <c r="Q127" s="11"/>
      <c r="R127" s="26">
        <f t="shared" si="12"/>
        <v>0</v>
      </c>
      <c r="S127" s="27">
        <f t="shared" si="13"/>
        <v>0</v>
      </c>
      <c r="T127" s="11"/>
      <c r="U127" s="11"/>
      <c r="V127" s="415">
        <f t="shared" si="14"/>
        <v>0</v>
      </c>
      <c r="W127" s="379">
        <f t="shared" si="10"/>
        <v>0</v>
      </c>
      <c r="X127" s="4">
        <v>1210</v>
      </c>
      <c r="Y127" s="4"/>
      <c r="Z127" s="4"/>
      <c r="AA127" s="12">
        <f t="shared" si="15"/>
        <v>0</v>
      </c>
      <c r="AE127" s="338"/>
      <c r="AF127" s="338"/>
    </row>
    <row r="128" spans="1:32" ht="12.75" customHeight="1">
      <c r="A128" s="24"/>
      <c r="B128" s="108">
        <f t="shared" si="16"/>
        <v>125</v>
      </c>
      <c r="C128" s="6">
        <v>350100</v>
      </c>
      <c r="D128" s="121" t="s">
        <v>1568</v>
      </c>
      <c r="E128" s="9" t="s">
        <v>30</v>
      </c>
      <c r="F128" s="6"/>
      <c r="G128" s="6"/>
      <c r="H128" s="11">
        <f>+STAT3!V128</f>
        <v>0</v>
      </c>
      <c r="I128" s="11">
        <f>+STAT3!W128</f>
        <v>0</v>
      </c>
      <c r="J128" s="11">
        <f>+SUMIFS(JURNAL!G:G,JURNAL!E:E,C128,JURNAL!C:C,"&gt;="&amp;$H$1,JURNAL!C:C,"&lt;="&amp;$I$1)</f>
        <v>0</v>
      </c>
      <c r="K128" s="11">
        <f>+SUMIFS(JURNAL!H:H,JURNAL!E:E,C128,JURNAL!C:C,"&gt;="&amp;$H$1,JURNAL!C:C,"&lt;="&amp;$I$1)</f>
        <v>0</v>
      </c>
      <c r="L128" s="26">
        <f t="shared" si="11"/>
        <v>0</v>
      </c>
      <c r="M128" s="27">
        <f t="shared" si="9"/>
        <v>0</v>
      </c>
      <c r="N128" s="11"/>
      <c r="O128" s="190"/>
      <c r="P128" s="27"/>
      <c r="Q128" s="11"/>
      <c r="R128" s="26">
        <f t="shared" si="12"/>
        <v>0</v>
      </c>
      <c r="S128" s="27">
        <f t="shared" si="13"/>
        <v>0</v>
      </c>
      <c r="T128" s="11"/>
      <c r="U128" s="11"/>
      <c r="V128" s="415">
        <f t="shared" si="14"/>
        <v>0</v>
      </c>
      <c r="W128" s="379">
        <f t="shared" si="10"/>
        <v>0</v>
      </c>
      <c r="X128" s="4">
        <v>1210</v>
      </c>
      <c r="Y128" s="4"/>
      <c r="Z128" s="4"/>
      <c r="AA128" s="12">
        <f t="shared" si="15"/>
        <v>0</v>
      </c>
      <c r="AE128" s="338"/>
      <c r="AF128" s="338"/>
    </row>
    <row r="129" spans="1:32" ht="12.75" customHeight="1">
      <c r="A129" s="24"/>
      <c r="B129" s="108">
        <f t="shared" si="16"/>
        <v>126</v>
      </c>
      <c r="C129" s="6">
        <v>320200</v>
      </c>
      <c r="D129" s="121" t="s">
        <v>603</v>
      </c>
      <c r="E129" s="9" t="s">
        <v>32</v>
      </c>
      <c r="F129" s="6"/>
      <c r="G129" s="6"/>
      <c r="H129" s="11">
        <f>+STAT3!V129</f>
        <v>0</v>
      </c>
      <c r="I129" s="11">
        <f>+STAT3!W129</f>
        <v>0</v>
      </c>
      <c r="J129" s="11">
        <f>+SUMIFS(JURNAL!G:G,JURNAL!E:E,C129,JURNAL!C:C,"&gt;="&amp;$H$1,JURNAL!C:C,"&lt;="&amp;$I$1)</f>
        <v>0</v>
      </c>
      <c r="K129" s="11">
        <f>+SUMIFS(JURNAL!H:H,JURNAL!E:E,C129,JURNAL!C:C,"&gt;="&amp;$H$1,JURNAL!C:C,"&lt;="&amp;$I$1)</f>
        <v>0</v>
      </c>
      <c r="L129" s="26">
        <f t="shared" si="11"/>
        <v>0</v>
      </c>
      <c r="M129" s="27">
        <f t="shared" si="9"/>
        <v>0</v>
      </c>
      <c r="N129" s="11"/>
      <c r="O129" s="190"/>
      <c r="P129" s="27"/>
      <c r="Q129" s="11"/>
      <c r="R129" s="26">
        <f t="shared" si="12"/>
        <v>0</v>
      </c>
      <c r="S129" s="27">
        <f t="shared" si="13"/>
        <v>0</v>
      </c>
      <c r="T129" s="11"/>
      <c r="U129" s="11"/>
      <c r="V129" s="415">
        <f t="shared" si="14"/>
        <v>0</v>
      </c>
      <c r="W129" s="379">
        <f t="shared" si="10"/>
        <v>0</v>
      </c>
      <c r="X129" s="4">
        <v>1210</v>
      </c>
      <c r="Y129" s="4"/>
      <c r="Z129" s="4"/>
      <c r="AA129" s="12">
        <f t="shared" si="15"/>
        <v>0</v>
      </c>
      <c r="AE129" s="338"/>
      <c r="AF129" s="338"/>
    </row>
    <row r="130" spans="1:32" ht="12.75" customHeight="1">
      <c r="A130" s="24"/>
      <c r="B130" s="108">
        <f t="shared" si="16"/>
        <v>127</v>
      </c>
      <c r="C130" s="6">
        <v>330200</v>
      </c>
      <c r="D130" s="121" t="s">
        <v>608</v>
      </c>
      <c r="E130" s="9" t="s">
        <v>32</v>
      </c>
      <c r="F130" s="6"/>
      <c r="G130" s="6"/>
      <c r="H130" s="11">
        <f>+STAT3!V130</f>
        <v>0</v>
      </c>
      <c r="I130" s="11">
        <f>+STAT3!W130</f>
        <v>0</v>
      </c>
      <c r="J130" s="11">
        <f>+SUMIFS(JURNAL!G:G,JURNAL!E:E,C130,JURNAL!C:C,"&gt;="&amp;$H$1,JURNAL!C:C,"&lt;="&amp;$I$1)</f>
        <v>0</v>
      </c>
      <c r="K130" s="11">
        <f>+SUMIFS(JURNAL!H:H,JURNAL!E:E,C130,JURNAL!C:C,"&gt;="&amp;$H$1,JURNAL!C:C,"&lt;="&amp;$I$1)</f>
        <v>0</v>
      </c>
      <c r="L130" s="26">
        <f t="shared" si="11"/>
        <v>0</v>
      </c>
      <c r="M130" s="27">
        <f t="shared" si="9"/>
        <v>0</v>
      </c>
      <c r="N130" s="11"/>
      <c r="O130" s="190"/>
      <c r="P130" s="27"/>
      <c r="Q130" s="11"/>
      <c r="R130" s="26">
        <f t="shared" si="12"/>
        <v>0</v>
      </c>
      <c r="S130" s="27">
        <f t="shared" si="13"/>
        <v>0</v>
      </c>
      <c r="T130" s="11"/>
      <c r="U130" s="11"/>
      <c r="V130" s="415">
        <f t="shared" si="14"/>
        <v>0</v>
      </c>
      <c r="W130" s="379">
        <f t="shared" si="10"/>
        <v>0</v>
      </c>
      <c r="X130" s="4">
        <v>1221</v>
      </c>
      <c r="Y130" s="4"/>
      <c r="Z130" s="4"/>
      <c r="AA130" s="12">
        <f t="shared" si="15"/>
        <v>0</v>
      </c>
      <c r="AE130" s="338"/>
      <c r="AF130" s="338"/>
    </row>
    <row r="131" spans="1:32" ht="12.75" customHeight="1">
      <c r="A131" s="24"/>
      <c r="B131" s="108">
        <f t="shared" si="16"/>
        <v>128</v>
      </c>
      <c r="C131" s="6">
        <v>330201</v>
      </c>
      <c r="D131" s="121" t="s">
        <v>964</v>
      </c>
      <c r="E131" s="9" t="s">
        <v>30</v>
      </c>
      <c r="F131" s="6"/>
      <c r="G131" s="6"/>
      <c r="H131" s="11">
        <f>+STAT3!V131</f>
        <v>0</v>
      </c>
      <c r="I131" s="11">
        <f>+STAT3!W131</f>
        <v>0</v>
      </c>
      <c r="J131" s="11">
        <f>+SUMIFS(JURNAL!G:G,JURNAL!E:E,C131,JURNAL!C:C,"&gt;="&amp;$H$1,JURNAL!C:C,"&lt;="&amp;$I$1)</f>
        <v>0</v>
      </c>
      <c r="K131" s="11">
        <f>+SUMIFS(JURNAL!H:H,JURNAL!E:E,C131,JURNAL!C:C,"&gt;="&amp;$H$1,JURNAL!C:C,"&lt;="&amp;$I$1)</f>
        <v>0</v>
      </c>
      <c r="L131" s="26">
        <f t="shared" si="11"/>
        <v>0</v>
      </c>
      <c r="M131" s="27">
        <f t="shared" si="9"/>
        <v>0</v>
      </c>
      <c r="N131" s="11"/>
      <c r="O131" s="190"/>
      <c r="P131" s="27"/>
      <c r="Q131" s="11"/>
      <c r="R131" s="26">
        <f t="shared" si="12"/>
        <v>0</v>
      </c>
      <c r="S131" s="27">
        <f t="shared" si="13"/>
        <v>0</v>
      </c>
      <c r="T131" s="11"/>
      <c r="U131" s="11"/>
      <c r="V131" s="415">
        <f t="shared" si="14"/>
        <v>0</v>
      </c>
      <c r="W131" s="379">
        <f t="shared" si="10"/>
        <v>0</v>
      </c>
      <c r="X131" s="4">
        <v>1221</v>
      </c>
      <c r="Y131" s="4"/>
      <c r="Z131" s="4"/>
      <c r="AA131" s="12">
        <f t="shared" si="15"/>
        <v>0</v>
      </c>
      <c r="AE131" s="338"/>
      <c r="AF131" s="338"/>
    </row>
    <row r="132" spans="1:32" ht="12.75" customHeight="1">
      <c r="A132" s="24"/>
      <c r="B132" s="108">
        <f t="shared" si="16"/>
        <v>129</v>
      </c>
      <c r="C132" s="6">
        <v>330800</v>
      </c>
      <c r="D132" s="121" t="s">
        <v>613</v>
      </c>
      <c r="E132" s="9" t="s">
        <v>32</v>
      </c>
      <c r="F132" s="6"/>
      <c r="G132" s="6"/>
      <c r="H132" s="11">
        <f>+STAT3!V132</f>
        <v>0</v>
      </c>
      <c r="I132" s="11">
        <f>+STAT3!W132</f>
        <v>0</v>
      </c>
      <c r="J132" s="11">
        <f>+SUMIFS(JURNAL!G:G,JURNAL!E:E,C132,JURNAL!C:C,"&gt;="&amp;$H$1,JURNAL!C:C,"&lt;="&amp;$I$1)</f>
        <v>0</v>
      </c>
      <c r="K132" s="11">
        <f>+SUMIFS(JURNAL!H:H,JURNAL!E:E,C132,JURNAL!C:C,"&gt;="&amp;$H$1,JURNAL!C:C,"&lt;="&amp;$I$1)</f>
        <v>0</v>
      </c>
      <c r="L132" s="26">
        <f t="shared" si="11"/>
        <v>0</v>
      </c>
      <c r="M132" s="27">
        <f t="shared" ref="M132:M138" si="17">+IF((H132+J132)&lt;(I132+K132),(I132+K132)-(H132+J132),0)</f>
        <v>0</v>
      </c>
      <c r="N132" s="11"/>
      <c r="O132" s="190"/>
      <c r="P132" s="27"/>
      <c r="Q132" s="11"/>
      <c r="R132" s="26">
        <f t="shared" si="12"/>
        <v>0</v>
      </c>
      <c r="S132" s="27">
        <f t="shared" si="13"/>
        <v>0</v>
      </c>
      <c r="T132" s="11"/>
      <c r="U132" s="11"/>
      <c r="V132" s="415">
        <f t="shared" si="14"/>
        <v>0</v>
      </c>
      <c r="W132" s="379">
        <f t="shared" ref="W132:W138" si="18">+IF((R132+T132)&lt;(S132+U132),(S132+U132)-(R132+T132),0)</f>
        <v>0</v>
      </c>
      <c r="X132" s="4">
        <v>1223</v>
      </c>
      <c r="Y132" s="4"/>
      <c r="Z132" s="4"/>
      <c r="AA132" s="12">
        <f t="shared" si="15"/>
        <v>0</v>
      </c>
      <c r="AE132" s="338"/>
      <c r="AF132" s="338"/>
    </row>
    <row r="133" spans="1:32" ht="12.75" customHeight="1">
      <c r="A133" s="24"/>
      <c r="B133" s="108">
        <f t="shared" si="16"/>
        <v>130</v>
      </c>
      <c r="C133" s="6">
        <v>410200</v>
      </c>
      <c r="D133" s="121" t="s">
        <v>965</v>
      </c>
      <c r="E133" s="9" t="s">
        <v>32</v>
      </c>
      <c r="F133" s="6"/>
      <c r="G133" s="6"/>
      <c r="H133" s="11">
        <f>+STAT3!V133</f>
        <v>0</v>
      </c>
      <c r="I133" s="11">
        <f>+STAT3!W133</f>
        <v>30701981.399999999</v>
      </c>
      <c r="J133" s="11">
        <f>+SUMIFS(JURNAL!G:G,JURNAL!E:E,C133,JURNAL!C:C,"&gt;="&amp;$H$1,JURNAL!C:C,"&lt;="&amp;$I$1)</f>
        <v>0</v>
      </c>
      <c r="K133" s="11">
        <f>+SUMIFS(JURNAL!H:H,JURNAL!E:E,C133,JURNAL!C:C,"&gt;="&amp;$H$1,JURNAL!C:C,"&lt;="&amp;$I$1)</f>
        <v>0</v>
      </c>
      <c r="L133" s="26">
        <f t="shared" ref="L133:L138" si="19">+IF((H133+J133)&gt;(I133+K133),(H133+J133)-(I133+K133),0)</f>
        <v>0</v>
      </c>
      <c r="M133" s="27">
        <f t="shared" si="17"/>
        <v>30701981.399999999</v>
      </c>
      <c r="N133" s="11"/>
      <c r="O133" s="190"/>
      <c r="P133" s="27"/>
      <c r="Q133" s="11"/>
      <c r="R133" s="26">
        <f t="shared" ref="R133:R138" si="20">+IF((L133+N133)&gt;(M133+O133),(L133+N133)-(M133+O133),0)</f>
        <v>0</v>
      </c>
      <c r="S133" s="27">
        <f t="shared" ref="S133:S138" si="21">+IF((L133+N133)&lt;(M133+O133),(M133+O133)-(L133+N133),0)</f>
        <v>30701981.399999999</v>
      </c>
      <c r="T133" s="11"/>
      <c r="U133" s="11"/>
      <c r="V133" s="415">
        <f t="shared" ref="V133:V138" si="22">+IF((R133+T133)&gt;(S133+U133),(R133+T133)-(S133+U133),0)</f>
        <v>0</v>
      </c>
      <c r="W133" s="379">
        <f t="shared" si="18"/>
        <v>30701981.399999999</v>
      </c>
      <c r="X133" s="4">
        <v>1302</v>
      </c>
      <c r="Y133" s="4"/>
      <c r="Z133" s="4"/>
      <c r="AA133" s="12">
        <f t="shared" ref="AA133:AA138" si="23">+IF(H133+I133+J133+K133+L133+M133+N133+O133+R133+S133+T133+U133+V133+W133,1,0)</f>
        <v>1</v>
      </c>
      <c r="AE133" s="338"/>
      <c r="AF133" s="338"/>
    </row>
    <row r="134" spans="1:32" ht="12.75" customHeight="1">
      <c r="A134" s="24"/>
      <c r="B134" s="108">
        <f t="shared" ref="B134:B197" si="24">+B133+1</f>
        <v>131</v>
      </c>
      <c r="C134" s="6">
        <v>420100</v>
      </c>
      <c r="D134" s="121" t="s">
        <v>620</v>
      </c>
      <c r="E134" s="9" t="s">
        <v>32</v>
      </c>
      <c r="F134" s="6"/>
      <c r="G134" s="6"/>
      <c r="H134" s="11">
        <f>+STAT3!V134</f>
        <v>0</v>
      </c>
      <c r="I134" s="11">
        <f>+STAT3!W134</f>
        <v>680931312.63</v>
      </c>
      <c r="J134" s="11">
        <f>+SUMIFS(JURNAL!G:G,JURNAL!E:E,C134,JURNAL!C:C,"&gt;="&amp;$H$1,JURNAL!C:C,"&lt;="&amp;$I$1)</f>
        <v>0</v>
      </c>
      <c r="K134" s="11">
        <f>+SUMIFS(JURNAL!H:H,JURNAL!E:E,C134,JURNAL!C:C,"&gt;="&amp;$H$1,JURNAL!C:C,"&lt;="&amp;$I$1)</f>
        <v>0</v>
      </c>
      <c r="L134" s="26">
        <f t="shared" si="19"/>
        <v>0</v>
      </c>
      <c r="M134" s="27">
        <f t="shared" si="17"/>
        <v>680931312.63</v>
      </c>
      <c r="N134" s="11"/>
      <c r="O134" s="190"/>
      <c r="P134" s="27"/>
      <c r="Q134" s="11"/>
      <c r="R134" s="26">
        <f t="shared" si="20"/>
        <v>0</v>
      </c>
      <c r="S134" s="27">
        <f t="shared" si="21"/>
        <v>680931312.63</v>
      </c>
      <c r="T134" s="11"/>
      <c r="U134" s="11"/>
      <c r="V134" s="415">
        <f t="shared" si="22"/>
        <v>0</v>
      </c>
      <c r="W134" s="379">
        <f t="shared" si="18"/>
        <v>680931312.63</v>
      </c>
      <c r="X134" s="4">
        <v>1310</v>
      </c>
      <c r="Y134" s="4"/>
      <c r="Z134" s="4"/>
      <c r="AA134" s="12">
        <f t="shared" si="23"/>
        <v>1</v>
      </c>
      <c r="AE134" s="338"/>
      <c r="AF134" s="338"/>
    </row>
    <row r="135" spans="1:32" ht="12.75" customHeight="1">
      <c r="A135" s="24"/>
      <c r="B135" s="108">
        <f t="shared" si="24"/>
        <v>132</v>
      </c>
      <c r="C135" s="6">
        <v>420200</v>
      </c>
      <c r="D135" s="121" t="s">
        <v>180</v>
      </c>
      <c r="E135" s="9" t="s">
        <v>32</v>
      </c>
      <c r="F135" s="6"/>
      <c r="G135" s="6"/>
      <c r="H135" s="11">
        <f>+STAT3!V135</f>
        <v>0</v>
      </c>
      <c r="I135" s="11">
        <f>+STAT3!W135</f>
        <v>0</v>
      </c>
      <c r="J135" s="11">
        <f>+SUMIFS(JURNAL!G:G,JURNAL!E:E,C135,JURNAL!C:C,"&gt;="&amp;$H$1,JURNAL!C:C,"&lt;="&amp;$I$1)</f>
        <v>0</v>
      </c>
      <c r="K135" s="11">
        <f>+SUMIFS(JURNAL!H:H,JURNAL!E:E,C135,JURNAL!C:C,"&gt;="&amp;$H$1,JURNAL!C:C,"&lt;="&amp;$I$1)</f>
        <v>0</v>
      </c>
      <c r="L135" s="26">
        <f t="shared" si="19"/>
        <v>0</v>
      </c>
      <c r="M135" s="27">
        <f t="shared" si="17"/>
        <v>0</v>
      </c>
      <c r="N135" s="11"/>
      <c r="O135" s="190"/>
      <c r="P135" s="27"/>
      <c r="Q135" s="11"/>
      <c r="R135" s="26">
        <f t="shared" si="20"/>
        <v>0</v>
      </c>
      <c r="S135" s="27">
        <f t="shared" si="21"/>
        <v>0</v>
      </c>
      <c r="T135" s="11"/>
      <c r="U135" s="11"/>
      <c r="V135" s="415">
        <f t="shared" si="22"/>
        <v>0</v>
      </c>
      <c r="W135" s="379">
        <f t="shared" si="18"/>
        <v>0</v>
      </c>
      <c r="X135" s="4">
        <v>1311</v>
      </c>
      <c r="Y135" s="4"/>
      <c r="Z135" s="4"/>
      <c r="AA135" s="12">
        <f t="shared" si="23"/>
        <v>0</v>
      </c>
      <c r="AE135" s="338"/>
      <c r="AF135" s="338"/>
    </row>
    <row r="136" spans="1:32" ht="12.75" customHeight="1">
      <c r="A136" s="24"/>
      <c r="B136" s="108">
        <f t="shared" si="24"/>
        <v>133</v>
      </c>
      <c r="C136" s="6">
        <v>430300</v>
      </c>
      <c r="D136" s="121" t="s">
        <v>627</v>
      </c>
      <c r="E136" s="9" t="s">
        <v>32</v>
      </c>
      <c r="F136" s="6"/>
      <c r="G136" s="6"/>
      <c r="H136" s="11">
        <f>+STAT3!V136</f>
        <v>0</v>
      </c>
      <c r="I136" s="11">
        <f>+STAT3!W136</f>
        <v>106378624.62</v>
      </c>
      <c r="J136" s="11">
        <f>+SUMIFS(JURNAL!G:G,JURNAL!E:E,C136,JURNAL!C:C,"&gt;="&amp;$H$1,JURNAL!C:C,"&lt;="&amp;$I$1)</f>
        <v>0</v>
      </c>
      <c r="K136" s="11">
        <f>+SUMIFS(JURNAL!H:H,JURNAL!E:E,C136,JURNAL!C:C,"&gt;="&amp;$H$1,JURNAL!C:C,"&lt;="&amp;$I$1)</f>
        <v>0</v>
      </c>
      <c r="L136" s="26">
        <f t="shared" si="19"/>
        <v>0</v>
      </c>
      <c r="M136" s="27">
        <f t="shared" si="17"/>
        <v>106378624.62</v>
      </c>
      <c r="N136" s="11"/>
      <c r="O136" s="190"/>
      <c r="P136" s="27"/>
      <c r="Q136" s="11"/>
      <c r="R136" s="26">
        <f t="shared" si="20"/>
        <v>0</v>
      </c>
      <c r="S136" s="27">
        <f t="shared" si="21"/>
        <v>106378624.62</v>
      </c>
      <c r="T136" s="11"/>
      <c r="U136" s="11"/>
      <c r="V136" s="415">
        <f t="shared" si="22"/>
        <v>0</v>
      </c>
      <c r="W136" s="379">
        <f t="shared" si="18"/>
        <v>106378624.62</v>
      </c>
      <c r="X136" s="4">
        <v>1312</v>
      </c>
      <c r="Y136" s="4"/>
      <c r="Z136" s="4"/>
      <c r="AA136" s="12">
        <f t="shared" si="23"/>
        <v>1</v>
      </c>
      <c r="AE136" s="338"/>
      <c r="AF136" s="338"/>
    </row>
    <row r="137" spans="1:32" ht="12.75" customHeight="1">
      <c r="A137" s="24"/>
      <c r="B137" s="108">
        <f t="shared" si="24"/>
        <v>134</v>
      </c>
      <c r="C137" s="6">
        <v>440100</v>
      </c>
      <c r="D137" s="121" t="s">
        <v>633</v>
      </c>
      <c r="E137" s="9" t="s">
        <v>32</v>
      </c>
      <c r="F137" s="6"/>
      <c r="G137" s="6"/>
      <c r="H137" s="11">
        <f>+STAT3!V137</f>
        <v>0</v>
      </c>
      <c r="I137" s="11">
        <f>+STAT3!W137</f>
        <v>984463390.13</v>
      </c>
      <c r="J137" s="11">
        <f>+SUMIFS(JURNAL!G:G,JURNAL!E:E,C137,JURNAL!C:C,"&gt;="&amp;$H$1,JURNAL!C:C,"&lt;="&amp;$I$1)</f>
        <v>0</v>
      </c>
      <c r="K137" s="11">
        <f>+SUMIFS(JURNAL!H:H,JURNAL!E:E,C137,JURNAL!C:C,"&gt;="&amp;$H$1,JURNAL!C:C,"&lt;="&amp;$I$1)</f>
        <v>0</v>
      </c>
      <c r="L137" s="26">
        <f t="shared" si="19"/>
        <v>0</v>
      </c>
      <c r="M137" s="27">
        <f t="shared" si="17"/>
        <v>984463390.13</v>
      </c>
      <c r="N137" s="11"/>
      <c r="O137" s="190"/>
      <c r="P137" s="27"/>
      <c r="Q137" s="11"/>
      <c r="R137" s="26">
        <f t="shared" si="20"/>
        <v>0</v>
      </c>
      <c r="S137" s="27">
        <f t="shared" si="21"/>
        <v>984463390.13</v>
      </c>
      <c r="T137" s="11"/>
      <c r="U137" s="11"/>
      <c r="V137" s="415">
        <f t="shared" si="22"/>
        <v>0</v>
      </c>
      <c r="W137" s="379">
        <f t="shared" si="18"/>
        <v>984463390.13</v>
      </c>
      <c r="X137" s="4">
        <v>1313</v>
      </c>
      <c r="Y137" s="4"/>
      <c r="Z137" s="4"/>
      <c r="AA137" s="12">
        <f t="shared" si="23"/>
        <v>1</v>
      </c>
      <c r="AE137" s="338"/>
      <c r="AF137" s="338"/>
    </row>
    <row r="138" spans="1:32" ht="12.75" customHeight="1">
      <c r="A138" s="24"/>
      <c r="B138" s="108">
        <f t="shared" si="24"/>
        <v>135</v>
      </c>
      <c r="C138" s="6">
        <v>440200</v>
      </c>
      <c r="D138" s="121" t="s">
        <v>639</v>
      </c>
      <c r="E138" s="9" t="s">
        <v>32</v>
      </c>
      <c r="F138" s="6"/>
      <c r="G138" s="6"/>
      <c r="H138" s="11">
        <f>+STAT3!V138</f>
        <v>80276461.02683942</v>
      </c>
      <c r="I138" s="11">
        <f>+STAT3!W138</f>
        <v>0</v>
      </c>
      <c r="J138" s="11">
        <f>+SUMIFS(JURNAL!G:G,JURNAL!E:E,C138,JURNAL!C:C,"&gt;="&amp;$H$1,JURNAL!C:C,"&lt;="&amp;$I$1)</f>
        <v>0</v>
      </c>
      <c r="K138" s="11">
        <f>+SUMIFS(JURNAL!H:H,JURNAL!E:E,C138,JURNAL!C:C,"&gt;="&amp;$H$1,JURNAL!C:C,"&lt;="&amp;$I$1)</f>
        <v>0</v>
      </c>
      <c r="L138" s="26">
        <f t="shared" si="19"/>
        <v>80276461.02683942</v>
      </c>
      <c r="M138" s="27">
        <f t="shared" si="17"/>
        <v>0</v>
      </c>
      <c r="N138" s="11"/>
      <c r="O138" s="190"/>
      <c r="P138" s="27"/>
      <c r="Q138" s="11"/>
      <c r="R138" s="26">
        <f t="shared" si="20"/>
        <v>80276461.02683942</v>
      </c>
      <c r="S138" s="27">
        <f t="shared" si="21"/>
        <v>0</v>
      </c>
      <c r="T138" s="11"/>
      <c r="U138" s="11">
        <v>77365841.294166267</v>
      </c>
      <c r="V138" s="415">
        <f t="shared" si="22"/>
        <v>2910619.7326731533</v>
      </c>
      <c r="W138" s="379">
        <f t="shared" si="18"/>
        <v>0</v>
      </c>
      <c r="X138" s="4">
        <v>1314</v>
      </c>
      <c r="Y138" s="4"/>
      <c r="Z138" s="4"/>
      <c r="AA138" s="12">
        <f t="shared" si="23"/>
        <v>1</v>
      </c>
      <c r="AE138" s="338"/>
      <c r="AF138" s="338"/>
    </row>
    <row r="139" spans="1:32" ht="12.75" customHeight="1">
      <c r="A139" s="24"/>
      <c r="B139" s="108">
        <f t="shared" si="24"/>
        <v>136</v>
      </c>
      <c r="C139" s="137"/>
      <c r="D139" s="138" t="s">
        <v>996</v>
      </c>
      <c r="E139" s="61" t="s">
        <v>32</v>
      </c>
      <c r="F139" s="28">
        <f t="shared" ref="F139:W139" si="25">+SUM(F4:F138)</f>
        <v>6147.9800000000014</v>
      </c>
      <c r="G139" s="28">
        <f t="shared" si="25"/>
        <v>15351.680000000002</v>
      </c>
      <c r="H139" s="28">
        <f t="shared" si="25"/>
        <v>3394489436.0753508</v>
      </c>
      <c r="I139" s="28">
        <f t="shared" si="25"/>
        <v>3394489436.0777512</v>
      </c>
      <c r="J139" s="28">
        <f t="shared" si="25"/>
        <v>2061058839.6726828</v>
      </c>
      <c r="K139" s="28">
        <f t="shared" si="25"/>
        <v>1983705804.1785142</v>
      </c>
      <c r="L139" s="28">
        <f t="shared" si="25"/>
        <v>3509434218.0739479</v>
      </c>
      <c r="M139" s="28">
        <f t="shared" si="25"/>
        <v>3432081182.58218</v>
      </c>
      <c r="N139" s="28">
        <f t="shared" si="25"/>
        <v>38048020.328181818</v>
      </c>
      <c r="O139" s="28">
        <f t="shared" si="25"/>
        <v>38035214.528181821</v>
      </c>
      <c r="P139" s="28">
        <f t="shared" si="25"/>
        <v>390</v>
      </c>
      <c r="Q139" s="28">
        <f t="shared" si="25"/>
        <v>2682.59</v>
      </c>
      <c r="R139" s="28">
        <f t="shared" si="25"/>
        <v>3471411809.3476591</v>
      </c>
      <c r="S139" s="28">
        <f t="shared" si="25"/>
        <v>3394045968.0558915</v>
      </c>
      <c r="T139" s="28">
        <f t="shared" si="25"/>
        <v>0</v>
      </c>
      <c r="U139" s="28">
        <f t="shared" si="25"/>
        <v>77365841.294166267</v>
      </c>
      <c r="V139" s="28">
        <f t="shared" si="25"/>
        <v>3394045968.053493</v>
      </c>
      <c r="W139" s="28">
        <f t="shared" si="25"/>
        <v>3394045968.0558915</v>
      </c>
      <c r="X139" s="28"/>
      <c r="Y139" s="28">
        <f>+SUM(Y4:Y138)</f>
        <v>0</v>
      </c>
      <c r="Z139" s="28">
        <f>+SUM(Z4:Z138)</f>
        <v>0</v>
      </c>
      <c r="AA139" s="28">
        <f>+SUM(AA4:AA138)</f>
        <v>58</v>
      </c>
      <c r="AE139" s="338"/>
      <c r="AF139" s="338"/>
    </row>
    <row r="140" spans="1:32" ht="12.75" customHeight="1">
      <c r="A140" s="24"/>
      <c r="B140" s="108">
        <f t="shared" si="24"/>
        <v>137</v>
      </c>
      <c r="C140" s="6">
        <v>510000</v>
      </c>
      <c r="D140" s="6" t="s">
        <v>507</v>
      </c>
      <c r="E140" s="9" t="s">
        <v>32</v>
      </c>
      <c r="F140" s="6"/>
      <c r="G140" s="6"/>
      <c r="H140" s="11">
        <f>+STAT3!V140</f>
        <v>0</v>
      </c>
      <c r="I140" s="11">
        <f>+STAT3!W140</f>
        <v>0</v>
      </c>
      <c r="J140" s="11">
        <f>+SUMIFS(JURNAL!G:G,JURNAL!E:E,C140,JURNAL!C:C,"&gt;="&amp;$H$1,JURNAL!C:C,"&lt;="&amp;$I$1)</f>
        <v>0</v>
      </c>
      <c r="K140" s="11">
        <f>+SUMIFS(JURNAL!H:H,JURNAL!E:E,C140,JURNAL!C:C,"&gt;="&amp;$H$1,JURNAL!C:C,"&lt;="&amp;$I$1)</f>
        <v>4702873.6386430003</v>
      </c>
      <c r="L140" s="26">
        <f t="shared" ref="L140:L203" si="26">+IF((H140+J140)&gt;(I140+K140),(H140+J140)-(I140+K140),0)</f>
        <v>0</v>
      </c>
      <c r="M140" s="27">
        <f t="shared" ref="M140:M203" si="27">+IF((H140+J140)&lt;(I140+K140),(I140+K140)-(H140+J140),0)</f>
        <v>4702873.6386430003</v>
      </c>
      <c r="N140" s="11"/>
      <c r="O140" s="11"/>
      <c r="P140" s="11"/>
      <c r="Q140" s="11"/>
      <c r="R140" s="26">
        <f t="shared" ref="R140:R203" si="28">+IF((L140+N140)&gt;(M140+O140),(L140+N140)-(M140+O140),0)</f>
        <v>0</v>
      </c>
      <c r="S140" s="27">
        <f t="shared" ref="S140:S203" si="29">+IF((L140+N140)&lt;(M140+O140),(M140+O140)-(L140+N140),0)</f>
        <v>4702873.6386430003</v>
      </c>
      <c r="T140" s="11">
        <f t="shared" ref="T140:T203" si="30">+S140</f>
        <v>4702873.6386430003</v>
      </c>
      <c r="U140" s="11">
        <f t="shared" ref="U140:U203" si="31">+R140</f>
        <v>0</v>
      </c>
      <c r="V140" s="26">
        <f t="shared" ref="V140:V203" si="32">+IF((R140+T140)&gt;(S140+U140),(R140+T140)-(S140+U140),0)</f>
        <v>0</v>
      </c>
      <c r="W140" s="27">
        <f t="shared" ref="W140:W203" si="33">+IF((R140+T140)&lt;(S140+U140),(S140+U140)-(R140+T140),0)</f>
        <v>0</v>
      </c>
      <c r="X140" s="4">
        <v>5101</v>
      </c>
      <c r="Y140" s="4"/>
      <c r="Z140" s="4"/>
      <c r="AA140" s="12">
        <f t="shared" ref="AA140:AA203" si="34">+IF(H140+I140+J140+K140+L140+M140+N140+O140+R140+S140+T140+U140+V140+W140,1,0)</f>
        <v>1</v>
      </c>
      <c r="AC140" s="81"/>
      <c r="AD140" s="41"/>
      <c r="AE140" s="338"/>
      <c r="AF140" s="338"/>
    </row>
    <row r="141" spans="1:32" ht="12.75" customHeight="1">
      <c r="A141" s="24"/>
      <c r="B141" s="108">
        <f t="shared" si="24"/>
        <v>138</v>
      </c>
      <c r="C141" s="6">
        <v>510100</v>
      </c>
      <c r="D141" s="6" t="s">
        <v>512</v>
      </c>
      <c r="E141" s="9" t="s">
        <v>32</v>
      </c>
      <c r="F141" s="6"/>
      <c r="G141" s="6"/>
      <c r="H141" s="11">
        <f>+STAT3!V141</f>
        <v>0</v>
      </c>
      <c r="I141" s="11">
        <f>+STAT3!W141</f>
        <v>0</v>
      </c>
      <c r="J141" s="11">
        <f>+SUMIFS(JURNAL!G:G,JURNAL!E:E,C141,JURNAL!C:C,"&gt;="&amp;$H$1,JURNAL!C:C,"&lt;="&amp;$I$1)</f>
        <v>0</v>
      </c>
      <c r="K141" s="11">
        <f>+SUMIFS(JURNAL!H:H,JURNAL!E:E,C141,JURNAL!C:C,"&gt;="&amp;$H$1,JURNAL!C:C,"&lt;="&amp;$I$1)</f>
        <v>0</v>
      </c>
      <c r="L141" s="26">
        <f t="shared" si="26"/>
        <v>0</v>
      </c>
      <c r="M141" s="27">
        <f t="shared" si="27"/>
        <v>0</v>
      </c>
      <c r="N141" s="11"/>
      <c r="O141" s="11"/>
      <c r="P141" s="11"/>
      <c r="Q141" s="11"/>
      <c r="R141" s="26">
        <f t="shared" si="28"/>
        <v>0</v>
      </c>
      <c r="S141" s="27">
        <f t="shared" si="29"/>
        <v>0</v>
      </c>
      <c r="T141" s="11">
        <f t="shared" si="30"/>
        <v>0</v>
      </c>
      <c r="U141" s="11">
        <f t="shared" si="31"/>
        <v>0</v>
      </c>
      <c r="V141" s="26">
        <f t="shared" si="32"/>
        <v>0</v>
      </c>
      <c r="W141" s="27">
        <f t="shared" si="33"/>
        <v>0</v>
      </c>
      <c r="X141" s="4">
        <v>5101</v>
      </c>
      <c r="Y141" s="4"/>
      <c r="Z141" s="4"/>
      <c r="AA141" s="12">
        <f t="shared" si="34"/>
        <v>0</v>
      </c>
      <c r="AC141" s="81"/>
      <c r="AD141" s="41"/>
      <c r="AE141" s="338"/>
      <c r="AF141" s="338"/>
    </row>
    <row r="142" spans="1:32" ht="12.75" customHeight="1">
      <c r="A142" s="24"/>
      <c r="B142" s="108">
        <f t="shared" si="24"/>
        <v>139</v>
      </c>
      <c r="C142" s="6">
        <v>510200</v>
      </c>
      <c r="D142" s="6" t="s">
        <v>517</v>
      </c>
      <c r="E142" s="9" t="s">
        <v>32</v>
      </c>
      <c r="F142" s="6"/>
      <c r="G142" s="6"/>
      <c r="H142" s="11">
        <f>+STAT3!V142</f>
        <v>0</v>
      </c>
      <c r="I142" s="11">
        <f>+STAT3!W142</f>
        <v>0</v>
      </c>
      <c r="J142" s="11">
        <f>+SUMIFS(JURNAL!G:G,JURNAL!E:E,C142,JURNAL!C:C,"&gt;="&amp;$H$1,JURNAL!C:C,"&lt;="&amp;$I$1)</f>
        <v>0</v>
      </c>
      <c r="K142" s="11">
        <f>+SUMIFS(JURNAL!H:H,JURNAL!E:E,C142,JURNAL!C:C,"&gt;="&amp;$H$1,JURNAL!C:C,"&lt;="&amp;$I$1)</f>
        <v>0</v>
      </c>
      <c r="L142" s="26">
        <f t="shared" si="26"/>
        <v>0</v>
      </c>
      <c r="M142" s="27">
        <f t="shared" si="27"/>
        <v>0</v>
      </c>
      <c r="N142" s="11"/>
      <c r="O142" s="11"/>
      <c r="P142" s="11"/>
      <c r="Q142" s="11"/>
      <c r="R142" s="26">
        <f t="shared" si="28"/>
        <v>0</v>
      </c>
      <c r="S142" s="27">
        <f t="shared" si="29"/>
        <v>0</v>
      </c>
      <c r="T142" s="11">
        <f t="shared" si="30"/>
        <v>0</v>
      </c>
      <c r="U142" s="11">
        <f t="shared" si="31"/>
        <v>0</v>
      </c>
      <c r="V142" s="26">
        <f t="shared" si="32"/>
        <v>0</v>
      </c>
      <c r="W142" s="27">
        <f t="shared" si="33"/>
        <v>0</v>
      </c>
      <c r="X142" s="4">
        <v>5101</v>
      </c>
      <c r="Y142" s="4"/>
      <c r="Z142" s="4"/>
      <c r="AA142" s="12">
        <f t="shared" si="34"/>
        <v>0</v>
      </c>
      <c r="AC142" s="81"/>
      <c r="AD142" s="41"/>
      <c r="AE142" s="338"/>
      <c r="AF142" s="338"/>
    </row>
    <row r="143" spans="1:32" ht="12.75" customHeight="1">
      <c r="A143" s="24"/>
      <c r="B143" s="108">
        <f t="shared" si="24"/>
        <v>140</v>
      </c>
      <c r="C143" s="6">
        <v>510300</v>
      </c>
      <c r="D143" s="6" t="s">
        <v>522</v>
      </c>
      <c r="E143" s="9" t="s">
        <v>32</v>
      </c>
      <c r="F143" s="6"/>
      <c r="G143" s="6"/>
      <c r="H143" s="11">
        <f>+STAT3!V143</f>
        <v>0</v>
      </c>
      <c r="I143" s="11">
        <f>+STAT3!W143</f>
        <v>0</v>
      </c>
      <c r="J143" s="11">
        <f>+SUMIFS(JURNAL!G:G,JURNAL!E:E,C143,JURNAL!C:C,"&gt;="&amp;$H$1,JURNAL!C:C,"&lt;="&amp;$I$1)</f>
        <v>0</v>
      </c>
      <c r="K143" s="11">
        <f>+SUMIFS(JURNAL!H:H,JURNAL!E:E,C143,JURNAL!C:C,"&gt;="&amp;$H$1,JURNAL!C:C,"&lt;="&amp;$I$1)</f>
        <v>0</v>
      </c>
      <c r="L143" s="26">
        <f t="shared" si="26"/>
        <v>0</v>
      </c>
      <c r="M143" s="27">
        <f t="shared" si="27"/>
        <v>0</v>
      </c>
      <c r="N143" s="11"/>
      <c r="O143" s="11"/>
      <c r="P143" s="11"/>
      <c r="Q143" s="11"/>
      <c r="R143" s="26">
        <f t="shared" si="28"/>
        <v>0</v>
      </c>
      <c r="S143" s="27">
        <f t="shared" si="29"/>
        <v>0</v>
      </c>
      <c r="T143" s="11">
        <f t="shared" si="30"/>
        <v>0</v>
      </c>
      <c r="U143" s="11">
        <f t="shared" si="31"/>
        <v>0</v>
      </c>
      <c r="V143" s="26">
        <f t="shared" si="32"/>
        <v>0</v>
      </c>
      <c r="W143" s="27">
        <f t="shared" si="33"/>
        <v>0</v>
      </c>
      <c r="X143" s="4">
        <v>5101</v>
      </c>
      <c r="Y143" s="4"/>
      <c r="Z143" s="4"/>
      <c r="AA143" s="12">
        <f t="shared" si="34"/>
        <v>0</v>
      </c>
      <c r="AC143" s="81"/>
      <c r="AD143" s="41"/>
      <c r="AE143" s="338"/>
      <c r="AF143" s="338"/>
    </row>
    <row r="144" spans="1:32" ht="12.75" customHeight="1">
      <c r="A144" s="24"/>
      <c r="B144" s="108">
        <f t="shared" si="24"/>
        <v>141</v>
      </c>
      <c r="C144" s="6">
        <v>510400</v>
      </c>
      <c r="D144" s="6" t="s">
        <v>528</v>
      </c>
      <c r="E144" s="9" t="s">
        <v>32</v>
      </c>
      <c r="F144" s="6"/>
      <c r="G144" s="6"/>
      <c r="H144" s="11">
        <f>+STAT3!V144</f>
        <v>0</v>
      </c>
      <c r="I144" s="11">
        <f>+STAT3!W144</f>
        <v>0</v>
      </c>
      <c r="J144" s="11">
        <f>+SUMIFS(JURNAL!G:G,JURNAL!E:E,C144,JURNAL!C:C,"&gt;="&amp;$H$1,JURNAL!C:C,"&lt;="&amp;$I$1)</f>
        <v>0</v>
      </c>
      <c r="K144" s="11">
        <f>+SUMIFS(JURNAL!H:H,JURNAL!E:E,C144,JURNAL!C:C,"&gt;="&amp;$H$1,JURNAL!C:C,"&lt;="&amp;$I$1)</f>
        <v>440000000.09000003</v>
      </c>
      <c r="L144" s="26">
        <f t="shared" si="26"/>
        <v>0</v>
      </c>
      <c r="M144" s="27">
        <f t="shared" si="27"/>
        <v>440000000.09000003</v>
      </c>
      <c r="N144" s="11"/>
      <c r="O144" s="11"/>
      <c r="P144" s="11"/>
      <c r="Q144" s="11"/>
      <c r="R144" s="26">
        <f t="shared" si="28"/>
        <v>0</v>
      </c>
      <c r="S144" s="27">
        <f t="shared" si="29"/>
        <v>440000000.09000003</v>
      </c>
      <c r="T144" s="11">
        <f t="shared" si="30"/>
        <v>440000000.09000003</v>
      </c>
      <c r="U144" s="11">
        <f t="shared" si="31"/>
        <v>0</v>
      </c>
      <c r="V144" s="26">
        <f t="shared" si="32"/>
        <v>0</v>
      </c>
      <c r="W144" s="27">
        <f t="shared" si="33"/>
        <v>0</v>
      </c>
      <c r="X144" s="4">
        <v>5101</v>
      </c>
      <c r="Y144" s="4"/>
      <c r="Z144" s="4"/>
      <c r="AA144" s="12">
        <f t="shared" si="34"/>
        <v>1</v>
      </c>
      <c r="AC144" s="81"/>
      <c r="AD144" s="41"/>
      <c r="AE144" s="338"/>
      <c r="AF144" s="338"/>
    </row>
    <row r="145" spans="1:32" ht="12.75" customHeight="1">
      <c r="A145" s="24"/>
      <c r="B145" s="108">
        <f t="shared" si="24"/>
        <v>142</v>
      </c>
      <c r="C145" s="6">
        <v>511000</v>
      </c>
      <c r="D145" s="6" t="s">
        <v>535</v>
      </c>
      <c r="E145" s="9" t="s">
        <v>32</v>
      </c>
      <c r="F145" s="6"/>
      <c r="G145" s="6"/>
      <c r="H145" s="11">
        <f>+STAT3!V145</f>
        <v>0</v>
      </c>
      <c r="I145" s="11">
        <f>+STAT3!W145</f>
        <v>0</v>
      </c>
      <c r="J145" s="11">
        <f>+SUMIFS(JURNAL!G:G,JURNAL!E:E,C145,JURNAL!C:C,"&gt;="&amp;$H$1,JURNAL!C:C,"&lt;="&amp;$I$1)</f>
        <v>0</v>
      </c>
      <c r="K145" s="11">
        <f>+SUMIFS(JURNAL!H:H,JURNAL!E:E,C145,JURNAL!C:C,"&gt;="&amp;$H$1,JURNAL!C:C,"&lt;="&amp;$I$1)</f>
        <v>0</v>
      </c>
      <c r="L145" s="26">
        <f t="shared" si="26"/>
        <v>0</v>
      </c>
      <c r="M145" s="27">
        <f t="shared" si="27"/>
        <v>0</v>
      </c>
      <c r="N145" s="11"/>
      <c r="O145" s="11"/>
      <c r="P145" s="11"/>
      <c r="Q145" s="11"/>
      <c r="R145" s="26">
        <f t="shared" si="28"/>
        <v>0</v>
      </c>
      <c r="S145" s="27">
        <f t="shared" si="29"/>
        <v>0</v>
      </c>
      <c r="T145" s="11">
        <f t="shared" si="30"/>
        <v>0</v>
      </c>
      <c r="U145" s="11">
        <f t="shared" si="31"/>
        <v>0</v>
      </c>
      <c r="V145" s="26">
        <f t="shared" si="32"/>
        <v>0</v>
      </c>
      <c r="W145" s="27">
        <f t="shared" si="33"/>
        <v>0</v>
      </c>
      <c r="X145" s="4">
        <v>8402</v>
      </c>
      <c r="Y145" s="4"/>
      <c r="Z145" s="4"/>
      <c r="AA145" s="12">
        <f t="shared" si="34"/>
        <v>0</v>
      </c>
      <c r="AC145" s="81"/>
      <c r="AD145" s="41"/>
      <c r="AE145" s="338"/>
      <c r="AF145" s="338"/>
    </row>
    <row r="146" spans="1:32" ht="12.75" customHeight="1">
      <c r="A146" s="24"/>
      <c r="B146" s="108">
        <f t="shared" si="24"/>
        <v>143</v>
      </c>
      <c r="C146" s="6">
        <v>511100</v>
      </c>
      <c r="D146" s="6" t="s">
        <v>542</v>
      </c>
      <c r="E146" s="9" t="s">
        <v>32</v>
      </c>
      <c r="F146" s="6"/>
      <c r="G146" s="6"/>
      <c r="H146" s="11">
        <f>+STAT3!V146</f>
        <v>0</v>
      </c>
      <c r="I146" s="11">
        <f>+STAT3!W146</f>
        <v>0</v>
      </c>
      <c r="J146" s="11">
        <f>+SUMIFS(JURNAL!G:G,JURNAL!E:E,C146,JURNAL!C:C,"&gt;="&amp;$H$1,JURNAL!C:C,"&lt;="&amp;$I$1)</f>
        <v>0</v>
      </c>
      <c r="K146" s="11">
        <f>+SUMIFS(JURNAL!H:H,JURNAL!E:E,C146,JURNAL!C:C,"&gt;="&amp;$H$1,JURNAL!C:C,"&lt;="&amp;$I$1)</f>
        <v>0</v>
      </c>
      <c r="L146" s="26">
        <f t="shared" si="26"/>
        <v>0</v>
      </c>
      <c r="M146" s="27">
        <f t="shared" si="27"/>
        <v>0</v>
      </c>
      <c r="N146" s="11"/>
      <c r="O146" s="11"/>
      <c r="P146" s="11"/>
      <c r="Q146" s="11"/>
      <c r="R146" s="26">
        <f t="shared" si="28"/>
        <v>0</v>
      </c>
      <c r="S146" s="27">
        <f t="shared" si="29"/>
        <v>0</v>
      </c>
      <c r="T146" s="11">
        <f t="shared" si="30"/>
        <v>0</v>
      </c>
      <c r="U146" s="11">
        <f t="shared" si="31"/>
        <v>0</v>
      </c>
      <c r="V146" s="26">
        <f t="shared" si="32"/>
        <v>0</v>
      </c>
      <c r="W146" s="27">
        <f t="shared" si="33"/>
        <v>0</v>
      </c>
      <c r="X146" s="4">
        <v>5111</v>
      </c>
      <c r="Y146" s="4"/>
      <c r="Z146" s="4"/>
      <c r="AA146" s="12">
        <f t="shared" si="34"/>
        <v>0</v>
      </c>
      <c r="AC146" s="81"/>
      <c r="AD146" s="41"/>
      <c r="AE146" s="338"/>
      <c r="AF146" s="338"/>
    </row>
    <row r="147" spans="1:32" ht="12.75" customHeight="1">
      <c r="A147" s="24"/>
      <c r="B147" s="108">
        <f t="shared" si="24"/>
        <v>144</v>
      </c>
      <c r="C147" s="6">
        <v>511200</v>
      </c>
      <c r="D147" s="6" t="s">
        <v>547</v>
      </c>
      <c r="E147" s="9" t="s">
        <v>32</v>
      </c>
      <c r="F147" s="6"/>
      <c r="G147" s="6"/>
      <c r="H147" s="11">
        <f>+STAT3!V147</f>
        <v>0</v>
      </c>
      <c r="I147" s="11">
        <f>+STAT3!W147</f>
        <v>0</v>
      </c>
      <c r="J147" s="11">
        <f>+SUMIFS(JURNAL!G:G,JURNAL!E:E,C147,JURNAL!C:C,"&gt;="&amp;$H$1,JURNAL!C:C,"&lt;="&amp;$I$1)</f>
        <v>0</v>
      </c>
      <c r="K147" s="11">
        <f>+SUMIFS(JURNAL!H:H,JURNAL!E:E,C147,JURNAL!C:C,"&gt;="&amp;$H$1,JURNAL!C:C,"&lt;="&amp;$I$1)</f>
        <v>0</v>
      </c>
      <c r="L147" s="26">
        <f t="shared" si="26"/>
        <v>0</v>
      </c>
      <c r="M147" s="27">
        <f t="shared" si="27"/>
        <v>0</v>
      </c>
      <c r="N147" s="11"/>
      <c r="O147" s="11"/>
      <c r="P147" s="11"/>
      <c r="Q147" s="11"/>
      <c r="R147" s="26">
        <f t="shared" si="28"/>
        <v>0</v>
      </c>
      <c r="S147" s="27">
        <f t="shared" si="29"/>
        <v>0</v>
      </c>
      <c r="T147" s="11">
        <f t="shared" si="30"/>
        <v>0</v>
      </c>
      <c r="U147" s="11">
        <f t="shared" si="31"/>
        <v>0</v>
      </c>
      <c r="V147" s="26">
        <f t="shared" si="32"/>
        <v>0</v>
      </c>
      <c r="W147" s="27">
        <f t="shared" si="33"/>
        <v>0</v>
      </c>
      <c r="X147" s="4">
        <v>5112</v>
      </c>
      <c r="Y147" s="4"/>
      <c r="Z147" s="4"/>
      <c r="AA147" s="12">
        <f t="shared" si="34"/>
        <v>0</v>
      </c>
      <c r="AC147" s="81"/>
      <c r="AD147" s="41"/>
      <c r="AE147" s="338"/>
      <c r="AF147" s="338"/>
    </row>
    <row r="148" spans="1:32" ht="12.75" customHeight="1">
      <c r="A148" s="24"/>
      <c r="B148" s="108">
        <f t="shared" si="24"/>
        <v>145</v>
      </c>
      <c r="C148" s="6">
        <v>511300</v>
      </c>
      <c r="D148" s="6" t="s">
        <v>552</v>
      </c>
      <c r="E148" s="9" t="s">
        <v>32</v>
      </c>
      <c r="F148" s="6"/>
      <c r="G148" s="6"/>
      <c r="H148" s="11">
        <f>+STAT3!V148</f>
        <v>0</v>
      </c>
      <c r="I148" s="11">
        <f>+STAT3!W148</f>
        <v>0</v>
      </c>
      <c r="J148" s="11">
        <f>+SUMIFS(JURNAL!G:G,JURNAL!E:E,C148,JURNAL!C:C,"&gt;="&amp;$H$1,JURNAL!C:C,"&lt;="&amp;$I$1)</f>
        <v>0</v>
      </c>
      <c r="K148" s="11">
        <f>+SUMIFS(JURNAL!H:H,JURNAL!E:E,C148,JURNAL!C:C,"&gt;="&amp;$H$1,JURNAL!C:C,"&lt;="&amp;$I$1)</f>
        <v>0</v>
      </c>
      <c r="L148" s="26">
        <f t="shared" si="26"/>
        <v>0</v>
      </c>
      <c r="M148" s="27">
        <f t="shared" si="27"/>
        <v>0</v>
      </c>
      <c r="N148" s="11"/>
      <c r="O148" s="11"/>
      <c r="P148" s="11"/>
      <c r="Q148" s="11"/>
      <c r="R148" s="26">
        <f t="shared" si="28"/>
        <v>0</v>
      </c>
      <c r="S148" s="27">
        <f t="shared" si="29"/>
        <v>0</v>
      </c>
      <c r="T148" s="11">
        <f t="shared" si="30"/>
        <v>0</v>
      </c>
      <c r="U148" s="11">
        <f t="shared" si="31"/>
        <v>0</v>
      </c>
      <c r="V148" s="26">
        <f t="shared" si="32"/>
        <v>0</v>
      </c>
      <c r="W148" s="27">
        <f t="shared" si="33"/>
        <v>0</v>
      </c>
      <c r="X148" s="4">
        <v>5113</v>
      </c>
      <c r="Y148" s="4"/>
      <c r="Z148" s="4"/>
      <c r="AA148" s="12">
        <f t="shared" si="34"/>
        <v>0</v>
      </c>
      <c r="AC148" s="81"/>
      <c r="AD148" s="41"/>
      <c r="AE148" s="338"/>
      <c r="AF148" s="338"/>
    </row>
    <row r="149" spans="1:32" ht="12.75" customHeight="1">
      <c r="A149" s="24"/>
      <c r="B149" s="108">
        <f t="shared" si="24"/>
        <v>146</v>
      </c>
      <c r="C149" s="6">
        <v>511400</v>
      </c>
      <c r="D149" s="6" t="s">
        <v>557</v>
      </c>
      <c r="E149" s="9" t="s">
        <v>32</v>
      </c>
      <c r="F149" s="6"/>
      <c r="G149" s="6"/>
      <c r="H149" s="11">
        <f>+STAT3!V149</f>
        <v>0</v>
      </c>
      <c r="I149" s="11">
        <f>+STAT3!W149</f>
        <v>0</v>
      </c>
      <c r="J149" s="11">
        <f>+SUMIFS(JURNAL!G:G,JURNAL!E:E,C149,JURNAL!C:C,"&gt;="&amp;$H$1,JURNAL!C:C,"&lt;="&amp;$I$1)</f>
        <v>0</v>
      </c>
      <c r="K149" s="11">
        <f>+SUMIFS(JURNAL!H:H,JURNAL!E:E,C149,JURNAL!C:C,"&gt;="&amp;$H$1,JURNAL!C:C,"&lt;="&amp;$I$1)</f>
        <v>0</v>
      </c>
      <c r="L149" s="26">
        <f t="shared" si="26"/>
        <v>0</v>
      </c>
      <c r="M149" s="27">
        <f t="shared" si="27"/>
        <v>0</v>
      </c>
      <c r="N149" s="11"/>
      <c r="O149" s="11"/>
      <c r="P149" s="11"/>
      <c r="Q149" s="11"/>
      <c r="R149" s="26">
        <f t="shared" si="28"/>
        <v>0</v>
      </c>
      <c r="S149" s="27">
        <f t="shared" si="29"/>
        <v>0</v>
      </c>
      <c r="T149" s="11">
        <f t="shared" si="30"/>
        <v>0</v>
      </c>
      <c r="U149" s="11">
        <f t="shared" si="31"/>
        <v>0</v>
      </c>
      <c r="V149" s="26">
        <f t="shared" si="32"/>
        <v>0</v>
      </c>
      <c r="W149" s="27">
        <f t="shared" si="33"/>
        <v>0</v>
      </c>
      <c r="X149" s="4">
        <v>5114</v>
      </c>
      <c r="Y149" s="4"/>
      <c r="Z149" s="4"/>
      <c r="AA149" s="12">
        <f t="shared" si="34"/>
        <v>0</v>
      </c>
      <c r="AC149" s="81"/>
      <c r="AD149" s="41"/>
      <c r="AE149" s="338"/>
      <c r="AF149" s="338"/>
    </row>
    <row r="150" spans="1:32" ht="12.75" customHeight="1">
      <c r="A150" s="24"/>
      <c r="B150" s="108">
        <f t="shared" si="24"/>
        <v>147</v>
      </c>
      <c r="C150" s="6">
        <v>511500</v>
      </c>
      <c r="D150" s="6" t="s">
        <v>562</v>
      </c>
      <c r="E150" s="9" t="s">
        <v>32</v>
      </c>
      <c r="F150" s="6"/>
      <c r="G150" s="6"/>
      <c r="H150" s="11">
        <f>+STAT3!V150</f>
        <v>0</v>
      </c>
      <c r="I150" s="11">
        <f>+STAT3!W150</f>
        <v>0</v>
      </c>
      <c r="J150" s="11">
        <f>+SUMIFS(JURNAL!G:G,JURNAL!E:E,C150,JURNAL!C:C,"&gt;="&amp;$H$1,JURNAL!C:C,"&lt;="&amp;$I$1)</f>
        <v>0</v>
      </c>
      <c r="K150" s="11">
        <f>+SUMIFS(JURNAL!H:H,JURNAL!E:E,C150,JURNAL!C:C,"&gt;="&amp;$H$1,JURNAL!C:C,"&lt;="&amp;$I$1)</f>
        <v>0</v>
      </c>
      <c r="L150" s="26">
        <f t="shared" si="26"/>
        <v>0</v>
      </c>
      <c r="M150" s="27">
        <f t="shared" si="27"/>
        <v>0</v>
      </c>
      <c r="N150" s="11"/>
      <c r="O150" s="11"/>
      <c r="P150" s="11"/>
      <c r="Q150" s="11"/>
      <c r="R150" s="26">
        <f t="shared" si="28"/>
        <v>0</v>
      </c>
      <c r="S150" s="27">
        <f t="shared" si="29"/>
        <v>0</v>
      </c>
      <c r="T150" s="11">
        <f t="shared" si="30"/>
        <v>0</v>
      </c>
      <c r="U150" s="11">
        <f t="shared" si="31"/>
        <v>0</v>
      </c>
      <c r="V150" s="26">
        <f t="shared" si="32"/>
        <v>0</v>
      </c>
      <c r="W150" s="27">
        <f t="shared" si="33"/>
        <v>0</v>
      </c>
      <c r="X150" s="4">
        <v>5115</v>
      </c>
      <c r="Y150" s="4"/>
      <c r="Z150" s="4"/>
      <c r="AA150" s="12">
        <f t="shared" si="34"/>
        <v>0</v>
      </c>
      <c r="AC150" s="81"/>
      <c r="AD150" s="41"/>
      <c r="AE150" s="338"/>
      <c r="AF150" s="338"/>
    </row>
    <row r="151" spans="1:32" ht="12.75" customHeight="1">
      <c r="A151" s="24"/>
      <c r="B151" s="108">
        <f t="shared" si="24"/>
        <v>148</v>
      </c>
      <c r="C151" s="6">
        <v>610100</v>
      </c>
      <c r="D151" s="6" t="s">
        <v>567</v>
      </c>
      <c r="E151" s="9" t="s">
        <v>32</v>
      </c>
      <c r="F151" s="6"/>
      <c r="G151" s="6"/>
      <c r="H151" s="11">
        <f>+STAT3!V151</f>
        <v>0</v>
      </c>
      <c r="I151" s="11">
        <f>+STAT3!W151</f>
        <v>0</v>
      </c>
      <c r="J151" s="11">
        <f>+SUMIFS(JURNAL!G:G,JURNAL!E:E,C151,JURNAL!C:C,"&gt;="&amp;$H$1,JURNAL!C:C,"&lt;="&amp;$I$1)</f>
        <v>2965524.1648768163</v>
      </c>
      <c r="K151" s="11">
        <f>+SUMIFS(JURNAL!H:H,JURNAL!E:E,C151,JURNAL!C:C,"&gt;="&amp;$H$1,JURNAL!C:C,"&lt;="&amp;$I$1)</f>
        <v>0</v>
      </c>
      <c r="L151" s="26">
        <f t="shared" si="26"/>
        <v>2965524.1648768163</v>
      </c>
      <c r="M151" s="27">
        <f t="shared" si="27"/>
        <v>0</v>
      </c>
      <c r="N151" s="11"/>
      <c r="O151" s="11"/>
      <c r="P151" s="11"/>
      <c r="Q151" s="11"/>
      <c r="R151" s="26">
        <f t="shared" si="28"/>
        <v>2965524.1648768163</v>
      </c>
      <c r="S151" s="27">
        <f t="shared" si="29"/>
        <v>0</v>
      </c>
      <c r="T151" s="11">
        <f t="shared" si="30"/>
        <v>0</v>
      </c>
      <c r="U151" s="11">
        <f t="shared" si="31"/>
        <v>2965524.1648768163</v>
      </c>
      <c r="V151" s="26">
        <f t="shared" si="32"/>
        <v>0</v>
      </c>
      <c r="W151" s="27">
        <f t="shared" si="33"/>
        <v>0</v>
      </c>
      <c r="X151" s="4">
        <v>6101</v>
      </c>
      <c r="Y151" s="4"/>
      <c r="Z151" s="4"/>
      <c r="AA151" s="12">
        <f t="shared" si="34"/>
        <v>1</v>
      </c>
      <c r="AC151" s="81"/>
      <c r="AD151" s="41"/>
      <c r="AE151" s="338"/>
      <c r="AF151" s="338"/>
    </row>
    <row r="152" spans="1:32" ht="12.75" customHeight="1">
      <c r="A152" s="24"/>
      <c r="B152" s="108">
        <f t="shared" si="24"/>
        <v>149</v>
      </c>
      <c r="C152" s="6">
        <v>610101</v>
      </c>
      <c r="D152" s="6" t="s">
        <v>966</v>
      </c>
      <c r="E152" s="9" t="s">
        <v>32</v>
      </c>
      <c r="F152" s="6"/>
      <c r="G152" s="6"/>
      <c r="H152" s="11">
        <f>+STAT3!V152</f>
        <v>0</v>
      </c>
      <c r="I152" s="11">
        <f>+STAT3!W152</f>
        <v>0</v>
      </c>
      <c r="J152" s="11">
        <f>+SUMIFS(JURNAL!G:G,JURNAL!E:E,C152,JURNAL!C:C,"&gt;="&amp;$H$1,JURNAL!C:C,"&lt;="&amp;$I$1)</f>
        <v>0</v>
      </c>
      <c r="K152" s="11">
        <f>+SUMIFS(JURNAL!H:H,JURNAL!E:E,C152,JURNAL!C:C,"&gt;="&amp;$H$1,JURNAL!C:C,"&lt;="&amp;$I$1)</f>
        <v>0</v>
      </c>
      <c r="L152" s="26">
        <f t="shared" si="26"/>
        <v>0</v>
      </c>
      <c r="M152" s="27">
        <f t="shared" si="27"/>
        <v>0</v>
      </c>
      <c r="N152" s="11"/>
      <c r="O152" s="11"/>
      <c r="P152" s="11"/>
      <c r="Q152" s="11"/>
      <c r="R152" s="26">
        <f t="shared" si="28"/>
        <v>0</v>
      </c>
      <c r="S152" s="27">
        <f t="shared" si="29"/>
        <v>0</v>
      </c>
      <c r="T152" s="11">
        <f t="shared" si="30"/>
        <v>0</v>
      </c>
      <c r="U152" s="11">
        <f t="shared" si="31"/>
        <v>0</v>
      </c>
      <c r="V152" s="26">
        <f t="shared" si="32"/>
        <v>0</v>
      </c>
      <c r="W152" s="27">
        <f t="shared" si="33"/>
        <v>0</v>
      </c>
      <c r="X152" s="4">
        <v>6101</v>
      </c>
      <c r="Y152" s="4"/>
      <c r="Z152" s="4"/>
      <c r="AA152" s="12">
        <f t="shared" si="34"/>
        <v>0</v>
      </c>
      <c r="AC152" s="81"/>
      <c r="AD152" s="41"/>
      <c r="AE152" s="338"/>
      <c r="AF152" s="338"/>
    </row>
    <row r="153" spans="1:32" ht="12.75" customHeight="1">
      <c r="A153" s="24"/>
      <c r="B153" s="108">
        <f t="shared" si="24"/>
        <v>150</v>
      </c>
      <c r="C153" s="6">
        <v>610200</v>
      </c>
      <c r="D153" s="6" t="s">
        <v>572</v>
      </c>
      <c r="E153" s="9" t="s">
        <v>32</v>
      </c>
      <c r="F153" s="6"/>
      <c r="G153" s="6"/>
      <c r="H153" s="11">
        <f>+STAT3!V153</f>
        <v>0</v>
      </c>
      <c r="I153" s="11">
        <f>+STAT3!W153</f>
        <v>0</v>
      </c>
      <c r="J153" s="11">
        <f>+SUMIFS(JURNAL!G:G,JURNAL!E:E,C153,JURNAL!C:C,"&gt;="&amp;$H$1,JURNAL!C:C,"&lt;="&amp;$I$1)</f>
        <v>0</v>
      </c>
      <c r="K153" s="11">
        <f>+SUMIFS(JURNAL!H:H,JURNAL!E:E,C153,JURNAL!C:C,"&gt;="&amp;$H$1,JURNAL!C:C,"&lt;="&amp;$I$1)</f>
        <v>0</v>
      </c>
      <c r="L153" s="26">
        <f t="shared" si="26"/>
        <v>0</v>
      </c>
      <c r="M153" s="27">
        <f t="shared" si="27"/>
        <v>0</v>
      </c>
      <c r="N153" s="11"/>
      <c r="O153" s="11"/>
      <c r="P153" s="11"/>
      <c r="Q153" s="11"/>
      <c r="R153" s="26">
        <f t="shared" si="28"/>
        <v>0</v>
      </c>
      <c r="S153" s="27">
        <f t="shared" si="29"/>
        <v>0</v>
      </c>
      <c r="T153" s="11">
        <f t="shared" si="30"/>
        <v>0</v>
      </c>
      <c r="U153" s="11">
        <f t="shared" si="31"/>
        <v>0</v>
      </c>
      <c r="V153" s="26">
        <f t="shared" si="32"/>
        <v>0</v>
      </c>
      <c r="W153" s="27">
        <f t="shared" si="33"/>
        <v>0</v>
      </c>
      <c r="X153" s="4">
        <v>6101</v>
      </c>
      <c r="Y153" s="4"/>
      <c r="Z153" s="4"/>
      <c r="AA153" s="12">
        <f t="shared" si="34"/>
        <v>0</v>
      </c>
      <c r="AC153" s="81"/>
      <c r="AD153" s="41"/>
      <c r="AE153" s="338"/>
      <c r="AF153" s="338"/>
    </row>
    <row r="154" spans="1:32" ht="12.75" customHeight="1">
      <c r="A154" s="24"/>
      <c r="B154" s="108">
        <f t="shared" si="24"/>
        <v>151</v>
      </c>
      <c r="C154" s="6">
        <v>610300</v>
      </c>
      <c r="D154" s="6" t="s">
        <v>577</v>
      </c>
      <c r="E154" s="9" t="s">
        <v>32</v>
      </c>
      <c r="F154" s="6"/>
      <c r="G154" s="6"/>
      <c r="H154" s="11">
        <f>+STAT3!V154</f>
        <v>0</v>
      </c>
      <c r="I154" s="11">
        <f>+STAT3!W154</f>
        <v>0</v>
      </c>
      <c r="J154" s="11">
        <f>+SUMIFS(JURNAL!G:G,JURNAL!E:E,C154,JURNAL!C:C,"&gt;="&amp;$H$1,JURNAL!C:C,"&lt;="&amp;$I$1)</f>
        <v>312587335.66000003</v>
      </c>
      <c r="K154" s="11">
        <f>+SUMIFS(JURNAL!H:H,JURNAL!E:E,C154,JURNAL!C:C,"&gt;="&amp;$H$1,JURNAL!C:C,"&lt;="&amp;$I$1)</f>
        <v>0</v>
      </c>
      <c r="L154" s="26">
        <f t="shared" si="26"/>
        <v>312587335.66000003</v>
      </c>
      <c r="M154" s="27">
        <f t="shared" si="27"/>
        <v>0</v>
      </c>
      <c r="N154" s="11"/>
      <c r="O154" s="11"/>
      <c r="P154" s="11"/>
      <c r="Q154" s="11"/>
      <c r="R154" s="26">
        <f t="shared" si="28"/>
        <v>312587335.66000003</v>
      </c>
      <c r="S154" s="27">
        <f t="shared" si="29"/>
        <v>0</v>
      </c>
      <c r="T154" s="11">
        <f t="shared" si="30"/>
        <v>0</v>
      </c>
      <c r="U154" s="11">
        <f t="shared" si="31"/>
        <v>312587335.66000003</v>
      </c>
      <c r="V154" s="26">
        <f t="shared" si="32"/>
        <v>0</v>
      </c>
      <c r="W154" s="27">
        <f t="shared" si="33"/>
        <v>0</v>
      </c>
      <c r="X154" s="4">
        <v>6101</v>
      </c>
      <c r="Y154" s="4"/>
      <c r="Z154" s="4"/>
      <c r="AA154" s="12">
        <f t="shared" si="34"/>
        <v>1</v>
      </c>
      <c r="AC154" s="81"/>
      <c r="AD154" s="41"/>
      <c r="AE154" s="338"/>
      <c r="AF154" s="338"/>
    </row>
    <row r="155" spans="1:32" ht="12.75" customHeight="1">
      <c r="A155" s="24"/>
      <c r="B155" s="108">
        <f t="shared" si="24"/>
        <v>152</v>
      </c>
      <c r="C155" s="6">
        <v>700100</v>
      </c>
      <c r="D155" s="6" t="s">
        <v>270</v>
      </c>
      <c r="E155" s="9" t="s">
        <v>32</v>
      </c>
      <c r="F155" s="6"/>
      <c r="G155" s="6"/>
      <c r="H155" s="11">
        <f>+STAT3!V155</f>
        <v>0</v>
      </c>
      <c r="I155" s="11">
        <f>+STAT3!W155</f>
        <v>0</v>
      </c>
      <c r="J155" s="11">
        <f>+SUMIFS(JURNAL!G:G,JURNAL!E:E,C155,JURNAL!C:C,"&gt;="&amp;$H$1,JURNAL!C:C,"&lt;="&amp;$I$1)</f>
        <v>29298379.810000002</v>
      </c>
      <c r="K155" s="11">
        <f>+SUMIFS(JURNAL!H:H,JURNAL!E:E,C155,JURNAL!C:C,"&gt;="&amp;$H$1,JURNAL!C:C,"&lt;="&amp;$I$1)</f>
        <v>21604591.789999999</v>
      </c>
      <c r="L155" s="26">
        <f t="shared" si="26"/>
        <v>7693788.0200000033</v>
      </c>
      <c r="M155" s="27">
        <f t="shared" si="27"/>
        <v>0</v>
      </c>
      <c r="N155" s="11"/>
      <c r="O155" s="11"/>
      <c r="P155" s="11"/>
      <c r="Q155" s="11"/>
      <c r="R155" s="26">
        <f t="shared" si="28"/>
        <v>7693788.0200000033</v>
      </c>
      <c r="S155" s="27">
        <f t="shared" si="29"/>
        <v>0</v>
      </c>
      <c r="T155" s="11">
        <f t="shared" si="30"/>
        <v>0</v>
      </c>
      <c r="U155" s="11">
        <f t="shared" si="31"/>
        <v>7693788.0200000033</v>
      </c>
      <c r="V155" s="26">
        <f t="shared" si="32"/>
        <v>0</v>
      </c>
      <c r="W155" s="27">
        <f t="shared" si="33"/>
        <v>0</v>
      </c>
      <c r="X155" s="4">
        <v>7002</v>
      </c>
      <c r="Y155" s="4"/>
      <c r="Z155" s="4"/>
      <c r="AA155" s="12">
        <f t="shared" si="34"/>
        <v>1</v>
      </c>
      <c r="AC155" s="81"/>
      <c r="AD155" s="41"/>
      <c r="AE155" s="563"/>
      <c r="AF155" s="563"/>
    </row>
    <row r="156" spans="1:32" ht="12.75" customHeight="1">
      <c r="A156" s="24"/>
      <c r="B156" s="108">
        <f t="shared" si="24"/>
        <v>153</v>
      </c>
      <c r="C156" s="6">
        <v>700200</v>
      </c>
      <c r="D156" s="6" t="s">
        <v>590</v>
      </c>
      <c r="E156" s="9" t="s">
        <v>32</v>
      </c>
      <c r="F156" s="6"/>
      <c r="G156" s="6"/>
      <c r="H156" s="11">
        <f>+STAT3!V156</f>
        <v>0</v>
      </c>
      <c r="I156" s="11">
        <f>+STAT3!W156</f>
        <v>0</v>
      </c>
      <c r="J156" s="11">
        <f>+SUMIFS(JURNAL!G:G,JURNAL!E:E,C156,JURNAL!C:C,"&gt;="&amp;$H$1,JURNAL!C:C,"&lt;="&amp;$I$1)</f>
        <v>3916889.06</v>
      </c>
      <c r="K156" s="11">
        <f>+SUMIFS(JURNAL!H:H,JURNAL!E:E,C156,JURNAL!C:C,"&gt;="&amp;$H$1,JURNAL!C:C,"&lt;="&amp;$I$1)</f>
        <v>2902889.1</v>
      </c>
      <c r="L156" s="26">
        <f t="shared" si="26"/>
        <v>1013999.96</v>
      </c>
      <c r="M156" s="27">
        <f t="shared" si="27"/>
        <v>0</v>
      </c>
      <c r="N156" s="11"/>
      <c r="O156" s="11"/>
      <c r="P156" s="11"/>
      <c r="Q156" s="11"/>
      <c r="R156" s="26">
        <f t="shared" si="28"/>
        <v>1013999.96</v>
      </c>
      <c r="S156" s="27">
        <f t="shared" si="29"/>
        <v>0</v>
      </c>
      <c r="T156" s="11">
        <f t="shared" si="30"/>
        <v>0</v>
      </c>
      <c r="U156" s="11">
        <f t="shared" si="31"/>
        <v>1013999.96</v>
      </c>
      <c r="V156" s="26">
        <f t="shared" si="32"/>
        <v>0</v>
      </c>
      <c r="W156" s="27">
        <f t="shared" si="33"/>
        <v>0</v>
      </c>
      <c r="X156" s="4">
        <v>7002</v>
      </c>
      <c r="Y156" s="4"/>
      <c r="Z156" s="4"/>
      <c r="AA156" s="12">
        <f t="shared" si="34"/>
        <v>1</v>
      </c>
      <c r="AC156" s="81"/>
      <c r="AD156" s="41"/>
      <c r="AE156" s="563"/>
      <c r="AF156" s="563"/>
    </row>
    <row r="157" spans="1:32" ht="12.75" customHeight="1">
      <c r="A157" s="24"/>
      <c r="B157" s="108">
        <f t="shared" si="24"/>
        <v>154</v>
      </c>
      <c r="C157" s="6">
        <v>700700</v>
      </c>
      <c r="D157" s="6" t="s">
        <v>595</v>
      </c>
      <c r="E157" s="9" t="s">
        <v>32</v>
      </c>
      <c r="F157" s="6"/>
      <c r="G157" s="6"/>
      <c r="H157" s="11">
        <f>+STAT3!V157</f>
        <v>0</v>
      </c>
      <c r="I157" s="11">
        <f>+STAT3!W157</f>
        <v>0</v>
      </c>
      <c r="J157" s="11">
        <f>+SUMIFS(JURNAL!G:G,JURNAL!E:E,C157,JURNAL!C:C,"&gt;="&amp;$H$1,JURNAL!C:C,"&lt;="&amp;$I$1)</f>
        <v>7163836.5800000001</v>
      </c>
      <c r="K157" s="11">
        <f>+SUMIFS(JURNAL!H:H,JURNAL!E:E,C157,JURNAL!C:C,"&gt;="&amp;$H$1,JURNAL!C:C,"&lt;="&amp;$I$1)</f>
        <v>6805644.75</v>
      </c>
      <c r="L157" s="26">
        <f t="shared" si="26"/>
        <v>358191.83000000007</v>
      </c>
      <c r="M157" s="27">
        <f t="shared" si="27"/>
        <v>0</v>
      </c>
      <c r="N157" s="11"/>
      <c r="O157" s="11"/>
      <c r="P157" s="11"/>
      <c r="Q157" s="11"/>
      <c r="R157" s="26">
        <f t="shared" si="28"/>
        <v>358191.83000000007</v>
      </c>
      <c r="S157" s="27">
        <f t="shared" si="29"/>
        <v>0</v>
      </c>
      <c r="T157" s="11">
        <f t="shared" si="30"/>
        <v>0</v>
      </c>
      <c r="U157" s="11">
        <f t="shared" si="31"/>
        <v>358191.83000000007</v>
      </c>
      <c r="V157" s="26">
        <f t="shared" si="32"/>
        <v>0</v>
      </c>
      <c r="W157" s="27">
        <f t="shared" si="33"/>
        <v>0</v>
      </c>
      <c r="X157" s="4">
        <v>7002</v>
      </c>
      <c r="Y157" s="4"/>
      <c r="Z157" s="4"/>
      <c r="AA157" s="12">
        <f t="shared" si="34"/>
        <v>1</v>
      </c>
      <c r="AC157" s="81"/>
      <c r="AD157" s="41"/>
      <c r="AE157" s="563"/>
      <c r="AF157" s="563"/>
    </row>
    <row r="158" spans="1:32" ht="12.75" customHeight="1">
      <c r="A158" s="24"/>
      <c r="B158" s="108">
        <f t="shared" si="24"/>
        <v>155</v>
      </c>
      <c r="C158" s="6">
        <v>700800</v>
      </c>
      <c r="D158" s="6" t="s">
        <v>600</v>
      </c>
      <c r="E158" s="9" t="s">
        <v>32</v>
      </c>
      <c r="F158" s="6"/>
      <c r="G158" s="6"/>
      <c r="H158" s="11">
        <f>+STAT3!V158</f>
        <v>0</v>
      </c>
      <c r="I158" s="11">
        <f>+STAT3!W158</f>
        <v>0</v>
      </c>
      <c r="J158" s="11">
        <f>+SUMIFS(JURNAL!G:G,JURNAL!E:E,C158,JURNAL!C:C,"&gt;="&amp;$H$1,JURNAL!C:C,"&lt;="&amp;$I$1)</f>
        <v>3758151.7</v>
      </c>
      <c r="K158" s="11">
        <f>+SUMIFS(JURNAL!H:H,JURNAL!E:E,C158,JURNAL!C:C,"&gt;="&amp;$H$1,JURNAL!C:C,"&lt;="&amp;$I$1)</f>
        <v>3570244.12</v>
      </c>
      <c r="L158" s="26">
        <f t="shared" si="26"/>
        <v>187907.58000000007</v>
      </c>
      <c r="M158" s="27">
        <f t="shared" si="27"/>
        <v>0</v>
      </c>
      <c r="N158" s="11"/>
      <c r="O158" s="11"/>
      <c r="P158" s="11"/>
      <c r="Q158" s="11"/>
      <c r="R158" s="26">
        <f t="shared" si="28"/>
        <v>187907.58000000007</v>
      </c>
      <c r="S158" s="27">
        <f t="shared" si="29"/>
        <v>0</v>
      </c>
      <c r="T158" s="11">
        <f t="shared" si="30"/>
        <v>0</v>
      </c>
      <c r="U158" s="11">
        <f t="shared" si="31"/>
        <v>187907.58000000007</v>
      </c>
      <c r="V158" s="26">
        <f t="shared" si="32"/>
        <v>0</v>
      </c>
      <c r="W158" s="27">
        <f t="shared" si="33"/>
        <v>0</v>
      </c>
      <c r="X158" s="4">
        <v>7002</v>
      </c>
      <c r="Y158" s="4"/>
      <c r="Z158" s="4"/>
      <c r="AA158" s="12">
        <f t="shared" si="34"/>
        <v>1</v>
      </c>
      <c r="AC158" s="81"/>
      <c r="AD158" s="41"/>
      <c r="AE158" s="563"/>
      <c r="AF158" s="563"/>
    </row>
    <row r="159" spans="1:32" ht="12.75" customHeight="1">
      <c r="A159" s="24"/>
      <c r="B159" s="108">
        <f t="shared" si="24"/>
        <v>156</v>
      </c>
      <c r="C159" s="6">
        <v>700900</v>
      </c>
      <c r="D159" s="6" t="s">
        <v>605</v>
      </c>
      <c r="E159" s="9" t="s">
        <v>32</v>
      </c>
      <c r="F159" s="6"/>
      <c r="G159" s="6"/>
      <c r="H159" s="11">
        <f>+STAT3!V159</f>
        <v>0</v>
      </c>
      <c r="I159" s="11">
        <f>+STAT3!W159</f>
        <v>0</v>
      </c>
      <c r="J159" s="11">
        <f>+SUMIFS(JURNAL!G:G,JURNAL!E:E,C159,JURNAL!C:C,"&gt;="&amp;$H$1,JURNAL!C:C,"&lt;="&amp;$I$1)</f>
        <v>10522075.890000001</v>
      </c>
      <c r="K159" s="11">
        <f>+SUMIFS(JURNAL!H:H,JURNAL!E:E,C159,JURNAL!C:C,"&gt;="&amp;$H$1,JURNAL!C:C,"&lt;="&amp;$I$1)</f>
        <v>10241422.1</v>
      </c>
      <c r="L159" s="26">
        <f t="shared" si="26"/>
        <v>280653.79000000097</v>
      </c>
      <c r="M159" s="27">
        <f t="shared" si="27"/>
        <v>0</v>
      </c>
      <c r="N159" s="11"/>
      <c r="O159" s="11"/>
      <c r="P159" s="11"/>
      <c r="Q159" s="11"/>
      <c r="R159" s="26">
        <f t="shared" si="28"/>
        <v>280653.79000000097</v>
      </c>
      <c r="S159" s="27">
        <f t="shared" si="29"/>
        <v>0</v>
      </c>
      <c r="T159" s="11">
        <f t="shared" si="30"/>
        <v>0</v>
      </c>
      <c r="U159" s="11">
        <f t="shared" si="31"/>
        <v>280653.79000000097</v>
      </c>
      <c r="V159" s="26">
        <f t="shared" si="32"/>
        <v>0</v>
      </c>
      <c r="W159" s="27">
        <f t="shared" si="33"/>
        <v>0</v>
      </c>
      <c r="X159" s="4">
        <v>7002</v>
      </c>
      <c r="Y159" s="4"/>
      <c r="Z159" s="4"/>
      <c r="AA159" s="12">
        <f t="shared" si="34"/>
        <v>1</v>
      </c>
      <c r="AC159" s="81"/>
      <c r="AD159" s="41"/>
      <c r="AE159" s="563"/>
      <c r="AF159" s="563"/>
    </row>
    <row r="160" spans="1:32" ht="12.75" customHeight="1">
      <c r="A160" s="24"/>
      <c r="B160" s="108">
        <f t="shared" si="24"/>
        <v>157</v>
      </c>
      <c r="C160" s="6">
        <v>701000</v>
      </c>
      <c r="D160" s="6" t="s">
        <v>610</v>
      </c>
      <c r="E160" s="9" t="s">
        <v>32</v>
      </c>
      <c r="F160" s="6"/>
      <c r="G160" s="6"/>
      <c r="H160" s="11">
        <f>+STAT3!V160</f>
        <v>0</v>
      </c>
      <c r="I160" s="11">
        <f>+STAT3!W160</f>
        <v>0</v>
      </c>
      <c r="J160" s="11">
        <f>+SUMIFS(JURNAL!G:G,JURNAL!E:E,C160,JURNAL!C:C,"&gt;="&amp;$H$1,JURNAL!C:C,"&lt;="&amp;$I$1)</f>
        <v>0</v>
      </c>
      <c r="K160" s="11">
        <f>+SUMIFS(JURNAL!H:H,JURNAL!E:E,C160,JURNAL!C:C,"&gt;="&amp;$H$1,JURNAL!C:C,"&lt;="&amp;$I$1)</f>
        <v>0</v>
      </c>
      <c r="L160" s="26">
        <f t="shared" si="26"/>
        <v>0</v>
      </c>
      <c r="M160" s="27">
        <f t="shared" si="27"/>
        <v>0</v>
      </c>
      <c r="N160" s="11"/>
      <c r="O160" s="11"/>
      <c r="P160" s="11"/>
      <c r="Q160" s="11"/>
      <c r="R160" s="26">
        <f t="shared" si="28"/>
        <v>0</v>
      </c>
      <c r="S160" s="27">
        <f t="shared" si="29"/>
        <v>0</v>
      </c>
      <c r="T160" s="11">
        <f t="shared" si="30"/>
        <v>0</v>
      </c>
      <c r="U160" s="11">
        <f t="shared" si="31"/>
        <v>0</v>
      </c>
      <c r="V160" s="26">
        <f t="shared" si="32"/>
        <v>0</v>
      </c>
      <c r="W160" s="27">
        <f t="shared" si="33"/>
        <v>0</v>
      </c>
      <c r="X160" s="4">
        <v>7002</v>
      </c>
      <c r="Y160" s="4"/>
      <c r="Z160" s="4"/>
      <c r="AA160" s="12">
        <f t="shared" si="34"/>
        <v>0</v>
      </c>
      <c r="AC160" s="81"/>
      <c r="AD160" s="41"/>
      <c r="AE160" s="563"/>
      <c r="AF160" s="563"/>
    </row>
    <row r="161" spans="1:32" ht="12.75" customHeight="1">
      <c r="A161" s="24"/>
      <c r="B161" s="108">
        <f t="shared" si="24"/>
        <v>158</v>
      </c>
      <c r="C161" s="6">
        <v>701100</v>
      </c>
      <c r="D161" s="6" t="s">
        <v>272</v>
      </c>
      <c r="E161" s="9" t="s">
        <v>32</v>
      </c>
      <c r="F161" s="6"/>
      <c r="G161" s="6"/>
      <c r="H161" s="11">
        <f>+STAT3!V161</f>
        <v>0</v>
      </c>
      <c r="I161" s="11">
        <f>+STAT3!W161</f>
        <v>0</v>
      </c>
      <c r="J161" s="11">
        <f>+SUMIFS(JURNAL!G:G,JURNAL!E:E,C161,JURNAL!C:C,"&gt;="&amp;$H$1,JURNAL!C:C,"&lt;="&amp;$I$1)</f>
        <v>0</v>
      </c>
      <c r="K161" s="11">
        <f>+SUMIFS(JURNAL!H:H,JURNAL!E:E,C161,JURNAL!C:C,"&gt;="&amp;$H$1,JURNAL!C:C,"&lt;="&amp;$I$1)</f>
        <v>0</v>
      </c>
      <c r="L161" s="26">
        <f t="shared" si="26"/>
        <v>0</v>
      </c>
      <c r="M161" s="27">
        <f t="shared" si="27"/>
        <v>0</v>
      </c>
      <c r="N161" s="11"/>
      <c r="O161" s="11"/>
      <c r="P161" s="11"/>
      <c r="Q161" s="11"/>
      <c r="R161" s="26">
        <f t="shared" si="28"/>
        <v>0</v>
      </c>
      <c r="S161" s="27">
        <f t="shared" si="29"/>
        <v>0</v>
      </c>
      <c r="T161" s="11">
        <f t="shared" si="30"/>
        <v>0</v>
      </c>
      <c r="U161" s="11">
        <f t="shared" si="31"/>
        <v>0</v>
      </c>
      <c r="V161" s="26">
        <f t="shared" si="32"/>
        <v>0</v>
      </c>
      <c r="W161" s="27">
        <f t="shared" si="33"/>
        <v>0</v>
      </c>
      <c r="X161" s="4">
        <v>7002</v>
      </c>
      <c r="Y161" s="4"/>
      <c r="Z161" s="4"/>
      <c r="AA161" s="12">
        <f t="shared" si="34"/>
        <v>0</v>
      </c>
      <c r="AC161" s="81"/>
      <c r="AD161" s="41"/>
      <c r="AE161" s="563"/>
      <c r="AF161" s="563"/>
    </row>
    <row r="162" spans="1:32" ht="12.75" customHeight="1">
      <c r="A162" s="24"/>
      <c r="B162" s="108">
        <f t="shared" si="24"/>
        <v>159</v>
      </c>
      <c r="C162" s="6">
        <v>701200</v>
      </c>
      <c r="D162" s="6" t="s">
        <v>273</v>
      </c>
      <c r="E162" s="9" t="s">
        <v>32</v>
      </c>
      <c r="F162" s="6"/>
      <c r="G162" s="6"/>
      <c r="H162" s="11">
        <f>+STAT3!V162</f>
        <v>0</v>
      </c>
      <c r="I162" s="11">
        <f>+STAT3!W162</f>
        <v>0</v>
      </c>
      <c r="J162" s="11">
        <f>+SUMIFS(JURNAL!G:G,JURNAL!E:E,C162,JURNAL!C:C,"&gt;="&amp;$H$1,JURNAL!C:C,"&lt;="&amp;$I$1)</f>
        <v>0</v>
      </c>
      <c r="K162" s="11">
        <f>+SUMIFS(JURNAL!H:H,JURNAL!E:E,C162,JURNAL!C:C,"&gt;="&amp;$H$1,JURNAL!C:C,"&lt;="&amp;$I$1)</f>
        <v>0</v>
      </c>
      <c r="L162" s="26">
        <f t="shared" si="26"/>
        <v>0</v>
      </c>
      <c r="M162" s="27">
        <f t="shared" si="27"/>
        <v>0</v>
      </c>
      <c r="N162" s="11"/>
      <c r="O162" s="11"/>
      <c r="P162" s="11"/>
      <c r="Q162" s="11"/>
      <c r="R162" s="26">
        <f t="shared" si="28"/>
        <v>0</v>
      </c>
      <c r="S162" s="27">
        <f t="shared" si="29"/>
        <v>0</v>
      </c>
      <c r="T162" s="11">
        <f t="shared" si="30"/>
        <v>0</v>
      </c>
      <c r="U162" s="11">
        <f t="shared" si="31"/>
        <v>0</v>
      </c>
      <c r="V162" s="26">
        <f t="shared" si="32"/>
        <v>0</v>
      </c>
      <c r="W162" s="27">
        <f t="shared" si="33"/>
        <v>0</v>
      </c>
      <c r="X162" s="4">
        <v>7002</v>
      </c>
      <c r="Y162" s="4"/>
      <c r="Z162" s="4"/>
      <c r="AA162" s="12">
        <f t="shared" si="34"/>
        <v>0</v>
      </c>
      <c r="AC162" s="81"/>
      <c r="AD162" s="41"/>
      <c r="AE162" s="563"/>
      <c r="AF162" s="563"/>
    </row>
    <row r="163" spans="1:32" ht="12.75" customHeight="1">
      <c r="A163" s="24"/>
      <c r="B163" s="108">
        <f t="shared" si="24"/>
        <v>160</v>
      </c>
      <c r="C163" s="6">
        <v>701300</v>
      </c>
      <c r="D163" s="6" t="s">
        <v>274</v>
      </c>
      <c r="E163" s="9" t="s">
        <v>32</v>
      </c>
      <c r="F163" s="6"/>
      <c r="G163" s="6"/>
      <c r="H163" s="11">
        <f>+STAT3!V163</f>
        <v>0</v>
      </c>
      <c r="I163" s="11">
        <f>+STAT3!W163</f>
        <v>0</v>
      </c>
      <c r="J163" s="11">
        <f>+SUMIFS(JURNAL!G:G,JURNAL!E:E,C163,JURNAL!C:C,"&gt;="&amp;$H$1,JURNAL!C:C,"&lt;="&amp;$I$1)</f>
        <v>0</v>
      </c>
      <c r="K163" s="11">
        <f>+SUMIFS(JURNAL!H:H,JURNAL!E:E,C163,JURNAL!C:C,"&gt;="&amp;$H$1,JURNAL!C:C,"&lt;="&amp;$I$1)</f>
        <v>0</v>
      </c>
      <c r="L163" s="26">
        <f t="shared" si="26"/>
        <v>0</v>
      </c>
      <c r="M163" s="27">
        <f t="shared" si="27"/>
        <v>0</v>
      </c>
      <c r="N163" s="11"/>
      <c r="O163" s="11"/>
      <c r="P163" s="11"/>
      <c r="Q163" s="11"/>
      <c r="R163" s="26">
        <f t="shared" si="28"/>
        <v>0</v>
      </c>
      <c r="S163" s="27">
        <f t="shared" si="29"/>
        <v>0</v>
      </c>
      <c r="T163" s="11">
        <f t="shared" si="30"/>
        <v>0</v>
      </c>
      <c r="U163" s="11">
        <f t="shared" si="31"/>
        <v>0</v>
      </c>
      <c r="V163" s="26">
        <f t="shared" si="32"/>
        <v>0</v>
      </c>
      <c r="W163" s="27">
        <f t="shared" si="33"/>
        <v>0</v>
      </c>
      <c r="X163" s="4">
        <v>7002</v>
      </c>
      <c r="Y163" s="4"/>
      <c r="Z163" s="4"/>
      <c r="AA163" s="12">
        <f t="shared" si="34"/>
        <v>0</v>
      </c>
      <c r="AC163" s="81"/>
      <c r="AD163" s="41"/>
      <c r="AE163" s="563"/>
      <c r="AF163" s="563"/>
    </row>
    <row r="164" spans="1:32" ht="12.75" customHeight="1">
      <c r="A164" s="24"/>
      <c r="B164" s="108">
        <f t="shared" si="24"/>
        <v>161</v>
      </c>
      <c r="C164" s="6">
        <v>701400</v>
      </c>
      <c r="D164" s="6" t="s">
        <v>271</v>
      </c>
      <c r="E164" s="9" t="s">
        <v>32</v>
      </c>
      <c r="F164" s="6"/>
      <c r="G164" s="6"/>
      <c r="H164" s="11">
        <f>+STAT3!V164</f>
        <v>0</v>
      </c>
      <c r="I164" s="11">
        <f>+STAT3!W164</f>
        <v>0</v>
      </c>
      <c r="J164" s="11">
        <f>+SUMIFS(JURNAL!G:G,JURNAL!E:E,C164,JURNAL!C:C,"&gt;="&amp;$H$1,JURNAL!C:C,"&lt;="&amp;$I$1)</f>
        <v>0</v>
      </c>
      <c r="K164" s="11">
        <f>+SUMIFS(JURNAL!H:H,JURNAL!E:E,C164,JURNAL!C:C,"&gt;="&amp;$H$1,JURNAL!C:C,"&lt;="&amp;$I$1)</f>
        <v>0</v>
      </c>
      <c r="L164" s="26">
        <f t="shared" si="26"/>
        <v>0</v>
      </c>
      <c r="M164" s="27">
        <f t="shared" si="27"/>
        <v>0</v>
      </c>
      <c r="N164" s="11"/>
      <c r="O164" s="11"/>
      <c r="P164" s="11"/>
      <c r="Q164" s="11"/>
      <c r="R164" s="26">
        <f t="shared" si="28"/>
        <v>0</v>
      </c>
      <c r="S164" s="27">
        <f t="shared" si="29"/>
        <v>0</v>
      </c>
      <c r="T164" s="11">
        <f t="shared" si="30"/>
        <v>0</v>
      </c>
      <c r="U164" s="11">
        <f t="shared" si="31"/>
        <v>0</v>
      </c>
      <c r="V164" s="26">
        <f t="shared" si="32"/>
        <v>0</v>
      </c>
      <c r="W164" s="27">
        <f t="shared" si="33"/>
        <v>0</v>
      </c>
      <c r="X164" s="4">
        <v>7002</v>
      </c>
      <c r="Y164" s="4"/>
      <c r="Z164" s="4"/>
      <c r="AA164" s="12">
        <f t="shared" si="34"/>
        <v>0</v>
      </c>
      <c r="AC164" s="81"/>
      <c r="AD164" s="41"/>
      <c r="AE164" s="563"/>
      <c r="AF164" s="563"/>
    </row>
    <row r="165" spans="1:32" ht="12" customHeight="1">
      <c r="A165" s="24"/>
      <c r="B165" s="108">
        <f t="shared" si="24"/>
        <v>162</v>
      </c>
      <c r="C165" s="6">
        <v>701500</v>
      </c>
      <c r="D165" s="6" t="s">
        <v>629</v>
      </c>
      <c r="E165" s="9" t="s">
        <v>32</v>
      </c>
      <c r="F165" s="6"/>
      <c r="G165" s="6"/>
      <c r="H165" s="11">
        <f>+STAT3!V165</f>
        <v>0</v>
      </c>
      <c r="I165" s="11">
        <f>+STAT3!W165</f>
        <v>0</v>
      </c>
      <c r="J165" s="11">
        <f>+SUMIFS(JURNAL!G:G,JURNAL!E:E,C165,JURNAL!C:C,"&gt;="&amp;$H$1,JURNAL!C:C,"&lt;="&amp;$I$1)</f>
        <v>16422780.09</v>
      </c>
      <c r="K165" s="11">
        <f>+SUMIFS(JURNAL!H:H,JURNAL!E:E,C165,JURNAL!C:C,"&gt;="&amp;$H$1,JURNAL!C:C,"&lt;="&amp;$I$1)</f>
        <v>0</v>
      </c>
      <c r="L165" s="26">
        <f t="shared" si="26"/>
        <v>16422780.09</v>
      </c>
      <c r="M165" s="27">
        <f t="shared" si="27"/>
        <v>0</v>
      </c>
      <c r="N165" s="11"/>
      <c r="O165" s="11"/>
      <c r="P165" s="11"/>
      <c r="Q165" s="11"/>
      <c r="R165" s="26">
        <f t="shared" si="28"/>
        <v>16422780.09</v>
      </c>
      <c r="S165" s="27">
        <f t="shared" si="29"/>
        <v>0</v>
      </c>
      <c r="T165" s="11">
        <f t="shared" si="30"/>
        <v>0</v>
      </c>
      <c r="U165" s="11">
        <f t="shared" si="31"/>
        <v>16422780.09</v>
      </c>
      <c r="V165" s="26">
        <f t="shared" si="32"/>
        <v>0</v>
      </c>
      <c r="W165" s="27">
        <f t="shared" si="33"/>
        <v>0</v>
      </c>
      <c r="X165" s="4">
        <v>7002</v>
      </c>
      <c r="Y165" s="4"/>
      <c r="Z165" s="4"/>
      <c r="AA165" s="12">
        <f t="shared" si="34"/>
        <v>1</v>
      </c>
      <c r="AC165" s="81"/>
      <c r="AD165" s="41"/>
      <c r="AE165" s="563"/>
      <c r="AF165" s="563"/>
    </row>
    <row r="166" spans="1:32" ht="12.75" customHeight="1">
      <c r="A166" s="24"/>
      <c r="B166" s="108">
        <f t="shared" si="24"/>
        <v>163</v>
      </c>
      <c r="C166" s="6">
        <v>701600</v>
      </c>
      <c r="D166" s="6" t="s">
        <v>635</v>
      </c>
      <c r="E166" s="9" t="s">
        <v>32</v>
      </c>
      <c r="F166" s="6"/>
      <c r="G166" s="6"/>
      <c r="H166" s="11">
        <f>+STAT3!V166</f>
        <v>0</v>
      </c>
      <c r="I166" s="11">
        <f>+STAT3!W166</f>
        <v>0</v>
      </c>
      <c r="J166" s="11">
        <f>+SUMIFS(JURNAL!G:G,JURNAL!E:E,C166,JURNAL!C:C,"&gt;="&amp;$H$1,JURNAL!C:C,"&lt;="&amp;$I$1)</f>
        <v>26265343.109999999</v>
      </c>
      <c r="K166" s="11">
        <f>+SUMIFS(JURNAL!H:H,JURNAL!E:E,C166,JURNAL!C:C,"&gt;="&amp;$H$1,JURNAL!C:C,"&lt;="&amp;$I$1)</f>
        <v>22364570.399999999</v>
      </c>
      <c r="L166" s="26">
        <f t="shared" si="26"/>
        <v>3900772.7100000009</v>
      </c>
      <c r="M166" s="27">
        <f t="shared" si="27"/>
        <v>0</v>
      </c>
      <c r="N166" s="11"/>
      <c r="O166" s="11"/>
      <c r="P166" s="11"/>
      <c r="Q166" s="11"/>
      <c r="R166" s="26">
        <f t="shared" si="28"/>
        <v>3900772.7100000009</v>
      </c>
      <c r="S166" s="27">
        <f t="shared" si="29"/>
        <v>0</v>
      </c>
      <c r="T166" s="11">
        <f t="shared" si="30"/>
        <v>0</v>
      </c>
      <c r="U166" s="11">
        <f t="shared" si="31"/>
        <v>3900772.7100000009</v>
      </c>
      <c r="V166" s="26">
        <f t="shared" si="32"/>
        <v>0</v>
      </c>
      <c r="W166" s="27">
        <f t="shared" si="33"/>
        <v>0</v>
      </c>
      <c r="X166" s="4">
        <v>7002</v>
      </c>
      <c r="Y166" s="4"/>
      <c r="Z166" s="4"/>
      <c r="AA166" s="12">
        <f t="shared" si="34"/>
        <v>1</v>
      </c>
      <c r="AC166" s="81"/>
      <c r="AD166" s="41"/>
      <c r="AE166" s="563"/>
      <c r="AF166" s="563"/>
    </row>
    <row r="167" spans="1:32" ht="12.75" customHeight="1">
      <c r="A167" s="24"/>
      <c r="B167" s="108">
        <f t="shared" si="24"/>
        <v>164</v>
      </c>
      <c r="C167" s="6">
        <v>701700</v>
      </c>
      <c r="D167" s="6" t="s">
        <v>275</v>
      </c>
      <c r="E167" s="9" t="s">
        <v>32</v>
      </c>
      <c r="F167" s="6"/>
      <c r="G167" s="6"/>
      <c r="H167" s="11">
        <f>+STAT3!V167</f>
        <v>0</v>
      </c>
      <c r="I167" s="11">
        <f>+STAT3!W167</f>
        <v>0</v>
      </c>
      <c r="J167" s="11">
        <f>+SUMIFS(JURNAL!G:G,JURNAL!E:E,C167,JURNAL!C:C,"&gt;="&amp;$H$1,JURNAL!C:C,"&lt;="&amp;$I$1)</f>
        <v>0</v>
      </c>
      <c r="K167" s="11">
        <f>+SUMIFS(JURNAL!H:H,JURNAL!E:E,C167,JURNAL!C:C,"&gt;="&amp;$H$1,JURNAL!C:C,"&lt;="&amp;$I$1)</f>
        <v>0</v>
      </c>
      <c r="L167" s="26">
        <f t="shared" si="26"/>
        <v>0</v>
      </c>
      <c r="M167" s="27">
        <f t="shared" si="27"/>
        <v>0</v>
      </c>
      <c r="N167" s="11"/>
      <c r="O167" s="11"/>
      <c r="P167" s="11"/>
      <c r="Q167" s="11"/>
      <c r="R167" s="26">
        <f t="shared" si="28"/>
        <v>0</v>
      </c>
      <c r="S167" s="27">
        <f t="shared" si="29"/>
        <v>0</v>
      </c>
      <c r="T167" s="11">
        <f t="shared" si="30"/>
        <v>0</v>
      </c>
      <c r="U167" s="11">
        <f t="shared" si="31"/>
        <v>0</v>
      </c>
      <c r="V167" s="26">
        <f t="shared" si="32"/>
        <v>0</v>
      </c>
      <c r="W167" s="27">
        <f t="shared" si="33"/>
        <v>0</v>
      </c>
      <c r="X167" s="4">
        <v>7001</v>
      </c>
      <c r="Y167" s="4"/>
      <c r="Z167" s="4"/>
      <c r="AA167" s="12">
        <f t="shared" si="34"/>
        <v>0</v>
      </c>
      <c r="AC167" s="81"/>
      <c r="AD167" s="41"/>
      <c r="AE167" s="563"/>
      <c r="AF167" s="563"/>
    </row>
    <row r="168" spans="1:32" ht="12.75" customHeight="1">
      <c r="A168" s="24"/>
      <c r="B168" s="108">
        <f t="shared" si="24"/>
        <v>165</v>
      </c>
      <c r="C168" s="6">
        <v>701800</v>
      </c>
      <c r="D168" s="6" t="s">
        <v>644</v>
      </c>
      <c r="E168" s="9" t="s">
        <v>32</v>
      </c>
      <c r="F168" s="6"/>
      <c r="G168" s="6"/>
      <c r="H168" s="11">
        <f>+STAT3!V168</f>
        <v>0</v>
      </c>
      <c r="I168" s="11">
        <f>+STAT3!W168</f>
        <v>0</v>
      </c>
      <c r="J168" s="11">
        <f>+SUMIFS(JURNAL!G:G,JURNAL!E:E,C168,JURNAL!C:C,"&gt;="&amp;$H$1,JURNAL!C:C,"&lt;="&amp;$I$1)</f>
        <v>0</v>
      </c>
      <c r="K168" s="11">
        <f>+SUMIFS(JURNAL!H:H,JURNAL!E:E,C168,JURNAL!C:C,"&gt;="&amp;$H$1,JURNAL!C:C,"&lt;="&amp;$I$1)</f>
        <v>0</v>
      </c>
      <c r="L168" s="26">
        <f t="shared" si="26"/>
        <v>0</v>
      </c>
      <c r="M168" s="27">
        <f t="shared" si="27"/>
        <v>0</v>
      </c>
      <c r="N168" s="11"/>
      <c r="O168" s="11"/>
      <c r="P168" s="11"/>
      <c r="Q168" s="11"/>
      <c r="R168" s="26">
        <f t="shared" si="28"/>
        <v>0</v>
      </c>
      <c r="S168" s="27">
        <f t="shared" si="29"/>
        <v>0</v>
      </c>
      <c r="T168" s="11">
        <f t="shared" si="30"/>
        <v>0</v>
      </c>
      <c r="U168" s="11">
        <f t="shared" si="31"/>
        <v>0</v>
      </c>
      <c r="V168" s="26">
        <f t="shared" si="32"/>
        <v>0</v>
      </c>
      <c r="W168" s="27">
        <f t="shared" si="33"/>
        <v>0</v>
      </c>
      <c r="X168" s="4">
        <v>7002</v>
      </c>
      <c r="Y168" s="4"/>
      <c r="Z168" s="4"/>
      <c r="AA168" s="12">
        <f t="shared" si="34"/>
        <v>0</v>
      </c>
      <c r="AC168" s="81"/>
      <c r="AD168" s="41"/>
      <c r="AE168" s="563"/>
      <c r="AF168" s="563"/>
    </row>
    <row r="169" spans="1:32" ht="12.75" customHeight="1">
      <c r="A169" s="24"/>
      <c r="B169" s="108">
        <f t="shared" si="24"/>
        <v>166</v>
      </c>
      <c r="C169" s="6">
        <v>701900</v>
      </c>
      <c r="D169" s="6" t="s">
        <v>648</v>
      </c>
      <c r="E169" s="9" t="s">
        <v>32</v>
      </c>
      <c r="F169" s="6"/>
      <c r="G169" s="6"/>
      <c r="H169" s="11">
        <f>+STAT3!V169</f>
        <v>0</v>
      </c>
      <c r="I169" s="11">
        <f>+STAT3!W169</f>
        <v>0</v>
      </c>
      <c r="J169" s="11">
        <f>+SUMIFS(JURNAL!G:G,JURNAL!E:E,C169,JURNAL!C:C,"&gt;="&amp;$H$1,JURNAL!C:C,"&lt;="&amp;$I$1)</f>
        <v>567263.64</v>
      </c>
      <c r="K169" s="11">
        <f>+SUMIFS(JURNAL!H:H,JURNAL!E:E,C169,JURNAL!C:C,"&gt;="&amp;$H$1,JURNAL!C:C,"&lt;="&amp;$I$1)</f>
        <v>15909.09</v>
      </c>
      <c r="L169" s="26">
        <f t="shared" si="26"/>
        <v>551354.55000000005</v>
      </c>
      <c r="M169" s="27">
        <f t="shared" si="27"/>
        <v>0</v>
      </c>
      <c r="N169" s="11"/>
      <c r="O169" s="11"/>
      <c r="P169" s="11"/>
      <c r="Q169" s="11"/>
      <c r="R169" s="26">
        <f t="shared" si="28"/>
        <v>551354.55000000005</v>
      </c>
      <c r="S169" s="27">
        <f t="shared" si="29"/>
        <v>0</v>
      </c>
      <c r="T169" s="11">
        <f t="shared" si="30"/>
        <v>0</v>
      </c>
      <c r="U169" s="11">
        <f t="shared" si="31"/>
        <v>551354.55000000005</v>
      </c>
      <c r="V169" s="26">
        <f t="shared" si="32"/>
        <v>0</v>
      </c>
      <c r="W169" s="27">
        <f t="shared" si="33"/>
        <v>0</v>
      </c>
      <c r="X169" s="4">
        <v>7002</v>
      </c>
      <c r="Y169" s="4"/>
      <c r="Z169" s="4"/>
      <c r="AA169" s="12">
        <f t="shared" si="34"/>
        <v>1</v>
      </c>
      <c r="AC169" s="81"/>
      <c r="AD169" s="41"/>
      <c r="AE169" s="563"/>
      <c r="AF169" s="563"/>
    </row>
    <row r="170" spans="1:32" ht="12.75" customHeight="1">
      <c r="A170" s="24"/>
      <c r="B170" s="108">
        <f t="shared" si="24"/>
        <v>167</v>
      </c>
      <c r="C170" s="6">
        <v>702000</v>
      </c>
      <c r="D170" s="6" t="s">
        <v>652</v>
      </c>
      <c r="E170" s="9" t="s">
        <v>32</v>
      </c>
      <c r="F170" s="6"/>
      <c r="G170" s="6"/>
      <c r="H170" s="11">
        <f>+STAT3!V170</f>
        <v>0</v>
      </c>
      <c r="I170" s="11">
        <f>+STAT3!W170</f>
        <v>0</v>
      </c>
      <c r="J170" s="11">
        <f>+SUMIFS(JURNAL!G:G,JURNAL!E:E,C170,JURNAL!C:C,"&gt;="&amp;$H$1,JURNAL!C:C,"&lt;="&amp;$I$1)</f>
        <v>1372227.28</v>
      </c>
      <c r="K170" s="11">
        <f>+SUMIFS(JURNAL!H:H,JURNAL!E:E,C170,JURNAL!C:C,"&gt;="&amp;$H$1,JURNAL!C:C,"&lt;="&amp;$I$1)</f>
        <v>772227.28</v>
      </c>
      <c r="L170" s="26">
        <f t="shared" si="26"/>
        <v>600000</v>
      </c>
      <c r="M170" s="27">
        <f t="shared" si="27"/>
        <v>0</v>
      </c>
      <c r="N170" s="11"/>
      <c r="O170" s="11"/>
      <c r="P170" s="11"/>
      <c r="Q170" s="11"/>
      <c r="R170" s="26">
        <f t="shared" si="28"/>
        <v>600000</v>
      </c>
      <c r="S170" s="27">
        <f t="shared" si="29"/>
        <v>0</v>
      </c>
      <c r="T170" s="11">
        <f t="shared" si="30"/>
        <v>0</v>
      </c>
      <c r="U170" s="11">
        <f t="shared" si="31"/>
        <v>600000</v>
      </c>
      <c r="V170" s="26">
        <f t="shared" si="32"/>
        <v>0</v>
      </c>
      <c r="W170" s="27">
        <f t="shared" si="33"/>
        <v>0</v>
      </c>
      <c r="X170" s="4">
        <v>7002</v>
      </c>
      <c r="Y170" s="4"/>
      <c r="Z170" s="4"/>
      <c r="AA170" s="12">
        <f t="shared" si="34"/>
        <v>1</v>
      </c>
      <c r="AC170" s="81"/>
      <c r="AD170" s="41"/>
      <c r="AE170" s="563"/>
      <c r="AF170" s="563"/>
    </row>
    <row r="171" spans="1:32" ht="12.75" customHeight="1">
      <c r="A171" s="24"/>
      <c r="B171" s="108">
        <f t="shared" si="24"/>
        <v>168</v>
      </c>
      <c r="C171" s="6">
        <v>702100</v>
      </c>
      <c r="D171" s="6" t="s">
        <v>656</v>
      </c>
      <c r="E171" s="9" t="s">
        <v>32</v>
      </c>
      <c r="F171" s="6"/>
      <c r="G171" s="6"/>
      <c r="H171" s="11">
        <f>+STAT3!V171</f>
        <v>0</v>
      </c>
      <c r="I171" s="11">
        <f>+STAT3!W171</f>
        <v>0</v>
      </c>
      <c r="J171" s="11">
        <f>+SUMIFS(JURNAL!G:G,JURNAL!E:E,C171,JURNAL!C:C,"&gt;="&amp;$H$1,JURNAL!C:C,"&lt;="&amp;$I$1)</f>
        <v>45454.55</v>
      </c>
      <c r="K171" s="11">
        <f>+SUMIFS(JURNAL!H:H,JURNAL!E:E,C171,JURNAL!C:C,"&gt;="&amp;$H$1,JURNAL!C:C,"&lt;="&amp;$I$1)</f>
        <v>0</v>
      </c>
      <c r="L171" s="26">
        <f t="shared" si="26"/>
        <v>45454.55</v>
      </c>
      <c r="M171" s="27">
        <f t="shared" si="27"/>
        <v>0</v>
      </c>
      <c r="N171" s="11"/>
      <c r="O171" s="11"/>
      <c r="P171" s="11"/>
      <c r="Q171" s="11"/>
      <c r="R171" s="26">
        <f t="shared" si="28"/>
        <v>45454.55</v>
      </c>
      <c r="S171" s="27">
        <f t="shared" si="29"/>
        <v>0</v>
      </c>
      <c r="T171" s="11">
        <f t="shared" si="30"/>
        <v>0</v>
      </c>
      <c r="U171" s="11">
        <f t="shared" si="31"/>
        <v>45454.55</v>
      </c>
      <c r="V171" s="26">
        <f t="shared" si="32"/>
        <v>0</v>
      </c>
      <c r="W171" s="27">
        <f t="shared" si="33"/>
        <v>0</v>
      </c>
      <c r="X171" s="4">
        <v>7002</v>
      </c>
      <c r="Y171" s="4"/>
      <c r="Z171" s="4"/>
      <c r="AA171" s="12">
        <f t="shared" si="34"/>
        <v>1</v>
      </c>
      <c r="AC171" s="81"/>
      <c r="AD171" s="41"/>
      <c r="AE171" s="563"/>
      <c r="AF171" s="563"/>
    </row>
    <row r="172" spans="1:32" ht="12.75" customHeight="1">
      <c r="A172" s="24"/>
      <c r="B172" s="108">
        <f t="shared" si="24"/>
        <v>169</v>
      </c>
      <c r="C172" s="6">
        <v>702300</v>
      </c>
      <c r="D172" s="6" t="s">
        <v>660</v>
      </c>
      <c r="E172" s="9" t="s">
        <v>32</v>
      </c>
      <c r="F172" s="6"/>
      <c r="G172" s="6"/>
      <c r="H172" s="11">
        <f>+STAT3!V172</f>
        <v>0</v>
      </c>
      <c r="I172" s="11">
        <f>+STAT3!W172</f>
        <v>0</v>
      </c>
      <c r="J172" s="11">
        <f>+SUMIFS(JURNAL!G:G,JURNAL!E:E,C172,JURNAL!C:C,"&gt;="&amp;$H$1,JURNAL!C:C,"&lt;="&amp;$I$1)</f>
        <v>0</v>
      </c>
      <c r="K172" s="11">
        <f>+SUMIFS(JURNAL!H:H,JURNAL!E:E,C172,JURNAL!C:C,"&gt;="&amp;$H$1,JURNAL!C:C,"&lt;="&amp;$I$1)</f>
        <v>0</v>
      </c>
      <c r="L172" s="26">
        <f t="shared" si="26"/>
        <v>0</v>
      </c>
      <c r="M172" s="27">
        <f t="shared" si="27"/>
        <v>0</v>
      </c>
      <c r="N172" s="11"/>
      <c r="O172" s="11"/>
      <c r="P172" s="11"/>
      <c r="Q172" s="11"/>
      <c r="R172" s="26">
        <f t="shared" si="28"/>
        <v>0</v>
      </c>
      <c r="S172" s="27">
        <f t="shared" si="29"/>
        <v>0</v>
      </c>
      <c r="T172" s="11">
        <f t="shared" si="30"/>
        <v>0</v>
      </c>
      <c r="U172" s="11">
        <f t="shared" si="31"/>
        <v>0</v>
      </c>
      <c r="V172" s="26">
        <f t="shared" si="32"/>
        <v>0</v>
      </c>
      <c r="W172" s="27">
        <f t="shared" si="33"/>
        <v>0</v>
      </c>
      <c r="X172" s="4">
        <v>7002</v>
      </c>
      <c r="Y172" s="4"/>
      <c r="Z172" s="4"/>
      <c r="AA172" s="12">
        <f t="shared" si="34"/>
        <v>0</v>
      </c>
      <c r="AC172" s="81"/>
      <c r="AD172" s="41"/>
      <c r="AE172" s="563"/>
      <c r="AF172" s="563"/>
    </row>
    <row r="173" spans="1:32" ht="12.75" customHeight="1">
      <c r="A173" s="24"/>
      <c r="B173" s="108">
        <f t="shared" si="24"/>
        <v>170</v>
      </c>
      <c r="C173" s="6">
        <v>702500</v>
      </c>
      <c r="D173" s="6" t="s">
        <v>277</v>
      </c>
      <c r="E173" s="9" t="s">
        <v>32</v>
      </c>
      <c r="F173" s="6"/>
      <c r="G173" s="6"/>
      <c r="H173" s="11">
        <f>+STAT3!V173</f>
        <v>0</v>
      </c>
      <c r="I173" s="11">
        <f>+STAT3!W173</f>
        <v>0</v>
      </c>
      <c r="J173" s="11">
        <f>+SUMIFS(JURNAL!G:G,JURNAL!E:E,C173,JURNAL!C:C,"&gt;="&amp;$H$1,JURNAL!C:C,"&lt;="&amp;$I$1)</f>
        <v>1817350.7200000002</v>
      </c>
      <c r="K173" s="11">
        <f>+SUMIFS(JURNAL!H:H,JURNAL!E:E,C173,JURNAL!C:C,"&gt;="&amp;$H$1,JURNAL!C:C,"&lt;="&amp;$I$1)</f>
        <v>0</v>
      </c>
      <c r="L173" s="26">
        <f t="shared" si="26"/>
        <v>1817350.7200000002</v>
      </c>
      <c r="M173" s="27">
        <f t="shared" si="27"/>
        <v>0</v>
      </c>
      <c r="N173" s="11"/>
      <c r="O173" s="11"/>
      <c r="P173" s="11"/>
      <c r="Q173" s="11"/>
      <c r="R173" s="26">
        <f t="shared" si="28"/>
        <v>1817350.7200000002</v>
      </c>
      <c r="S173" s="27">
        <f t="shared" si="29"/>
        <v>0</v>
      </c>
      <c r="T173" s="11">
        <f t="shared" si="30"/>
        <v>0</v>
      </c>
      <c r="U173" s="11">
        <f t="shared" si="31"/>
        <v>1817350.7200000002</v>
      </c>
      <c r="V173" s="26">
        <f t="shared" si="32"/>
        <v>0</v>
      </c>
      <c r="W173" s="27">
        <f t="shared" si="33"/>
        <v>0</v>
      </c>
      <c r="X173" s="4">
        <v>7002</v>
      </c>
      <c r="Y173" s="4"/>
      <c r="Z173" s="4"/>
      <c r="AA173" s="12">
        <f t="shared" si="34"/>
        <v>1</v>
      </c>
      <c r="AC173" s="81"/>
      <c r="AD173" s="41"/>
      <c r="AE173" s="563"/>
      <c r="AF173" s="563"/>
    </row>
    <row r="174" spans="1:32" ht="12.75" customHeight="1">
      <c r="A174" s="24"/>
      <c r="B174" s="108">
        <f t="shared" si="24"/>
        <v>171</v>
      </c>
      <c r="C174" s="6">
        <v>702400</v>
      </c>
      <c r="D174" s="6" t="s">
        <v>967</v>
      </c>
      <c r="E174" s="9" t="s">
        <v>32</v>
      </c>
      <c r="F174" s="6"/>
      <c r="G174" s="6"/>
      <c r="H174" s="11">
        <f>+STAT3!V174</f>
        <v>0</v>
      </c>
      <c r="I174" s="11">
        <f>+STAT3!W174</f>
        <v>0</v>
      </c>
      <c r="J174" s="11">
        <f>+SUMIFS(JURNAL!G:G,JURNAL!E:E,C174,JURNAL!C:C,"&gt;="&amp;$H$1,JURNAL!C:C,"&lt;="&amp;$I$1)</f>
        <v>0</v>
      </c>
      <c r="K174" s="11">
        <f>+SUMIFS(JURNAL!H:H,JURNAL!E:E,C174,JURNAL!C:C,"&gt;="&amp;$H$1,JURNAL!C:C,"&lt;="&amp;$I$1)</f>
        <v>0</v>
      </c>
      <c r="L174" s="26">
        <f t="shared" si="26"/>
        <v>0</v>
      </c>
      <c r="M174" s="27">
        <f t="shared" si="27"/>
        <v>0</v>
      </c>
      <c r="N174" s="11"/>
      <c r="O174" s="11"/>
      <c r="P174" s="11"/>
      <c r="Q174" s="11"/>
      <c r="R174" s="26">
        <f t="shared" si="28"/>
        <v>0</v>
      </c>
      <c r="S174" s="27">
        <f t="shared" si="29"/>
        <v>0</v>
      </c>
      <c r="T174" s="11">
        <f t="shared" si="30"/>
        <v>0</v>
      </c>
      <c r="U174" s="11">
        <f t="shared" si="31"/>
        <v>0</v>
      </c>
      <c r="V174" s="26">
        <f t="shared" si="32"/>
        <v>0</v>
      </c>
      <c r="W174" s="27">
        <f t="shared" si="33"/>
        <v>0</v>
      </c>
      <c r="X174" s="4">
        <v>7002</v>
      </c>
      <c r="Y174" s="4"/>
      <c r="Z174" s="4"/>
      <c r="AA174" s="12">
        <f t="shared" si="34"/>
        <v>0</v>
      </c>
      <c r="AC174" s="81"/>
      <c r="AD174" s="41"/>
      <c r="AE174" s="563"/>
      <c r="AF174" s="563"/>
    </row>
    <row r="175" spans="1:32" ht="12.75" customHeight="1">
      <c r="A175" s="24"/>
      <c r="B175" s="108">
        <f t="shared" si="24"/>
        <v>172</v>
      </c>
      <c r="C175" s="6">
        <v>702600</v>
      </c>
      <c r="D175" s="6" t="s">
        <v>670</v>
      </c>
      <c r="E175" s="9" t="s">
        <v>32</v>
      </c>
      <c r="F175" s="6"/>
      <c r="G175" s="6"/>
      <c r="H175" s="11">
        <f>+STAT3!V175</f>
        <v>0</v>
      </c>
      <c r="I175" s="11">
        <f>+STAT3!W175</f>
        <v>0</v>
      </c>
      <c r="J175" s="11">
        <f>+SUMIFS(JURNAL!G:G,JURNAL!E:E,C175,JURNAL!C:C,"&gt;="&amp;$H$1,JURNAL!C:C,"&lt;="&amp;$I$1)</f>
        <v>0</v>
      </c>
      <c r="K175" s="11">
        <f>+SUMIFS(JURNAL!H:H,JURNAL!E:E,C175,JURNAL!C:C,"&gt;="&amp;$H$1,JURNAL!C:C,"&lt;="&amp;$I$1)</f>
        <v>0</v>
      </c>
      <c r="L175" s="26">
        <f t="shared" si="26"/>
        <v>0</v>
      </c>
      <c r="M175" s="27">
        <f t="shared" si="27"/>
        <v>0</v>
      </c>
      <c r="N175" s="11"/>
      <c r="O175" s="11"/>
      <c r="P175" s="11"/>
      <c r="Q175" s="11"/>
      <c r="R175" s="26">
        <f t="shared" si="28"/>
        <v>0</v>
      </c>
      <c r="S175" s="27">
        <f t="shared" si="29"/>
        <v>0</v>
      </c>
      <c r="T175" s="11">
        <f t="shared" si="30"/>
        <v>0</v>
      </c>
      <c r="U175" s="11">
        <f t="shared" si="31"/>
        <v>0</v>
      </c>
      <c r="V175" s="26">
        <f t="shared" si="32"/>
        <v>0</v>
      </c>
      <c r="W175" s="27">
        <f t="shared" si="33"/>
        <v>0</v>
      </c>
      <c r="X175" s="4">
        <v>7002</v>
      </c>
      <c r="Y175" s="4"/>
      <c r="Z175" s="4"/>
      <c r="AA175" s="12">
        <f t="shared" si="34"/>
        <v>0</v>
      </c>
      <c r="AC175" s="81"/>
      <c r="AD175" s="41"/>
      <c r="AE175" s="563"/>
      <c r="AF175" s="563"/>
    </row>
    <row r="176" spans="1:32" ht="12.75" customHeight="1">
      <c r="A176" s="24"/>
      <c r="B176" s="108">
        <f t="shared" si="24"/>
        <v>173</v>
      </c>
      <c r="C176" s="6">
        <v>702700</v>
      </c>
      <c r="D176" s="6" t="s">
        <v>674</v>
      </c>
      <c r="E176" s="9" t="s">
        <v>32</v>
      </c>
      <c r="F176" s="6"/>
      <c r="G176" s="6"/>
      <c r="H176" s="11">
        <f>+STAT3!V176</f>
        <v>0</v>
      </c>
      <c r="I176" s="11">
        <f>+STAT3!W176</f>
        <v>0</v>
      </c>
      <c r="J176" s="11">
        <f>+SUMIFS(JURNAL!G:G,JURNAL!E:E,C176,JURNAL!C:C,"&gt;="&amp;$H$1,JURNAL!C:C,"&lt;="&amp;$I$1)</f>
        <v>0</v>
      </c>
      <c r="K176" s="11">
        <f>+SUMIFS(JURNAL!H:H,JURNAL!E:E,C176,JURNAL!C:C,"&gt;="&amp;$H$1,JURNAL!C:C,"&lt;="&amp;$I$1)</f>
        <v>0</v>
      </c>
      <c r="L176" s="26">
        <f t="shared" si="26"/>
        <v>0</v>
      </c>
      <c r="M176" s="27">
        <f t="shared" si="27"/>
        <v>0</v>
      </c>
      <c r="N176" s="11"/>
      <c r="O176" s="11"/>
      <c r="P176" s="11"/>
      <c r="Q176" s="11"/>
      <c r="R176" s="26">
        <f t="shared" si="28"/>
        <v>0</v>
      </c>
      <c r="S176" s="27">
        <f t="shared" si="29"/>
        <v>0</v>
      </c>
      <c r="T176" s="11">
        <f t="shared" si="30"/>
        <v>0</v>
      </c>
      <c r="U176" s="11">
        <f t="shared" si="31"/>
        <v>0</v>
      </c>
      <c r="V176" s="26">
        <f t="shared" si="32"/>
        <v>0</v>
      </c>
      <c r="W176" s="27">
        <f t="shared" si="33"/>
        <v>0</v>
      </c>
      <c r="X176" s="4">
        <v>7002</v>
      </c>
      <c r="Y176" s="4"/>
      <c r="Z176" s="4"/>
      <c r="AA176" s="12">
        <f t="shared" si="34"/>
        <v>0</v>
      </c>
      <c r="AC176" s="81"/>
      <c r="AD176" s="41"/>
      <c r="AE176" s="563"/>
      <c r="AF176" s="563"/>
    </row>
    <row r="177" spans="1:32" ht="12.75" customHeight="1">
      <c r="A177" s="24"/>
      <c r="B177" s="108">
        <f t="shared" si="24"/>
        <v>174</v>
      </c>
      <c r="C177" s="6">
        <v>702800</v>
      </c>
      <c r="D177" s="6" t="s">
        <v>678</v>
      </c>
      <c r="E177" s="9" t="s">
        <v>32</v>
      </c>
      <c r="F177" s="6"/>
      <c r="G177" s="6"/>
      <c r="H177" s="11">
        <f>+STAT3!V177</f>
        <v>0</v>
      </c>
      <c r="I177" s="11">
        <f>+STAT3!W177</f>
        <v>0</v>
      </c>
      <c r="J177" s="11">
        <f>+SUMIFS(JURNAL!G:G,JURNAL!E:E,C177,JURNAL!C:C,"&gt;="&amp;$H$1,JURNAL!C:C,"&lt;="&amp;$I$1)</f>
        <v>0</v>
      </c>
      <c r="K177" s="11">
        <f>+SUMIFS(JURNAL!H:H,JURNAL!E:E,C177,JURNAL!C:C,"&gt;="&amp;$H$1,JURNAL!C:C,"&lt;="&amp;$I$1)</f>
        <v>0</v>
      </c>
      <c r="L177" s="26">
        <f t="shared" si="26"/>
        <v>0</v>
      </c>
      <c r="M177" s="27">
        <f t="shared" si="27"/>
        <v>0</v>
      </c>
      <c r="N177" s="11"/>
      <c r="O177" s="11"/>
      <c r="P177" s="11"/>
      <c r="Q177" s="11"/>
      <c r="R177" s="26">
        <f t="shared" si="28"/>
        <v>0</v>
      </c>
      <c r="S177" s="27">
        <f t="shared" si="29"/>
        <v>0</v>
      </c>
      <c r="T177" s="11">
        <f t="shared" si="30"/>
        <v>0</v>
      </c>
      <c r="U177" s="11">
        <f t="shared" si="31"/>
        <v>0</v>
      </c>
      <c r="V177" s="26">
        <f t="shared" si="32"/>
        <v>0</v>
      </c>
      <c r="W177" s="27">
        <f t="shared" si="33"/>
        <v>0</v>
      </c>
      <c r="X177" s="4">
        <v>7002</v>
      </c>
      <c r="Y177" s="4"/>
      <c r="Z177" s="4"/>
      <c r="AA177" s="12">
        <f t="shared" si="34"/>
        <v>0</v>
      </c>
      <c r="AC177" s="81"/>
      <c r="AD177" s="41"/>
      <c r="AE177" s="563"/>
      <c r="AF177" s="563"/>
    </row>
    <row r="178" spans="1:32" ht="12.75" customHeight="1">
      <c r="A178" s="24"/>
      <c r="B178" s="108">
        <f t="shared" si="24"/>
        <v>175</v>
      </c>
      <c r="C178" s="6">
        <v>703300</v>
      </c>
      <c r="D178" s="6" t="s">
        <v>682</v>
      </c>
      <c r="E178" s="9" t="s">
        <v>32</v>
      </c>
      <c r="F178" s="6"/>
      <c r="G178" s="6"/>
      <c r="H178" s="11">
        <f>+STAT3!V178</f>
        <v>0</v>
      </c>
      <c r="I178" s="11">
        <f>+STAT3!W178</f>
        <v>0</v>
      </c>
      <c r="J178" s="11">
        <f>+SUMIFS(JURNAL!G:G,JURNAL!E:E,C178,JURNAL!C:C,"&gt;="&amp;$H$1,JURNAL!C:C,"&lt;="&amp;$I$1)</f>
        <v>0</v>
      </c>
      <c r="K178" s="11">
        <f>+SUMIFS(JURNAL!H:H,JURNAL!E:E,C178,JURNAL!C:C,"&gt;="&amp;$H$1,JURNAL!C:C,"&lt;="&amp;$I$1)</f>
        <v>0</v>
      </c>
      <c r="L178" s="26">
        <f t="shared" si="26"/>
        <v>0</v>
      </c>
      <c r="M178" s="27">
        <f t="shared" si="27"/>
        <v>0</v>
      </c>
      <c r="N178" s="11"/>
      <c r="O178" s="11"/>
      <c r="P178" s="11"/>
      <c r="Q178" s="11"/>
      <c r="R178" s="26">
        <f t="shared" si="28"/>
        <v>0</v>
      </c>
      <c r="S178" s="27">
        <f t="shared" si="29"/>
        <v>0</v>
      </c>
      <c r="T178" s="11">
        <f t="shared" si="30"/>
        <v>0</v>
      </c>
      <c r="U178" s="11">
        <f t="shared" si="31"/>
        <v>0</v>
      </c>
      <c r="V178" s="26">
        <f t="shared" si="32"/>
        <v>0</v>
      </c>
      <c r="W178" s="27">
        <f t="shared" si="33"/>
        <v>0</v>
      </c>
      <c r="X178" s="4">
        <v>7002</v>
      </c>
      <c r="Y178" s="4"/>
      <c r="Z178" s="4"/>
      <c r="AA178" s="12">
        <f t="shared" si="34"/>
        <v>0</v>
      </c>
      <c r="AC178" s="81"/>
      <c r="AD178" s="41"/>
      <c r="AE178" s="563"/>
      <c r="AF178" s="563"/>
    </row>
    <row r="179" spans="1:32" ht="12.75" customHeight="1">
      <c r="A179" s="24"/>
      <c r="B179" s="108">
        <f t="shared" si="24"/>
        <v>176</v>
      </c>
      <c r="C179" s="6">
        <v>703400</v>
      </c>
      <c r="D179" s="6" t="s">
        <v>968</v>
      </c>
      <c r="E179" s="9" t="s">
        <v>32</v>
      </c>
      <c r="F179" s="6"/>
      <c r="G179" s="6"/>
      <c r="H179" s="11">
        <f>+STAT3!V179</f>
        <v>0</v>
      </c>
      <c r="I179" s="11">
        <f>+STAT3!W179</f>
        <v>0</v>
      </c>
      <c r="J179" s="11">
        <f>+SUMIFS(JURNAL!G:G,JURNAL!E:E,C179,JURNAL!C:C,"&gt;="&amp;$H$1,JURNAL!C:C,"&lt;="&amp;$I$1)</f>
        <v>0</v>
      </c>
      <c r="K179" s="11">
        <f>+SUMIFS(JURNAL!H:H,JURNAL!E:E,C179,JURNAL!C:C,"&gt;="&amp;$H$1,JURNAL!C:C,"&lt;="&amp;$I$1)</f>
        <v>0</v>
      </c>
      <c r="L179" s="26">
        <f t="shared" si="26"/>
        <v>0</v>
      </c>
      <c r="M179" s="27">
        <f t="shared" si="27"/>
        <v>0</v>
      </c>
      <c r="N179" s="11"/>
      <c r="O179" s="11"/>
      <c r="P179" s="11"/>
      <c r="Q179" s="11"/>
      <c r="R179" s="26">
        <f t="shared" si="28"/>
        <v>0</v>
      </c>
      <c r="S179" s="27">
        <f t="shared" si="29"/>
        <v>0</v>
      </c>
      <c r="T179" s="11">
        <f t="shared" si="30"/>
        <v>0</v>
      </c>
      <c r="U179" s="11">
        <f t="shared" si="31"/>
        <v>0</v>
      </c>
      <c r="V179" s="26">
        <f t="shared" si="32"/>
        <v>0</v>
      </c>
      <c r="W179" s="27">
        <f t="shared" si="33"/>
        <v>0</v>
      </c>
      <c r="X179" s="4">
        <v>7002</v>
      </c>
      <c r="Y179" s="4"/>
      <c r="Z179" s="4"/>
      <c r="AA179" s="12">
        <f t="shared" si="34"/>
        <v>0</v>
      </c>
      <c r="AC179" s="81"/>
      <c r="AD179" s="41"/>
      <c r="AE179" s="563"/>
      <c r="AF179" s="563"/>
    </row>
    <row r="180" spans="1:32" ht="12.75" customHeight="1">
      <c r="A180" s="24"/>
      <c r="B180" s="108">
        <f t="shared" si="24"/>
        <v>177</v>
      </c>
      <c r="C180" s="6">
        <v>703700</v>
      </c>
      <c r="D180" s="6" t="s">
        <v>690</v>
      </c>
      <c r="E180" s="9" t="s">
        <v>32</v>
      </c>
      <c r="F180" s="6"/>
      <c r="G180" s="6"/>
      <c r="H180" s="11">
        <f>+STAT3!V180</f>
        <v>0</v>
      </c>
      <c r="I180" s="11">
        <f>+STAT3!W180</f>
        <v>0</v>
      </c>
      <c r="J180" s="11">
        <f>+SUMIFS(JURNAL!G:G,JURNAL!E:E,C180,JURNAL!C:C,"&gt;="&amp;$H$1,JURNAL!C:C,"&lt;="&amp;$I$1)</f>
        <v>80909.09</v>
      </c>
      <c r="K180" s="11">
        <f>+SUMIFS(JURNAL!H:H,JURNAL!E:E,C180,JURNAL!C:C,"&gt;="&amp;$H$1,JURNAL!C:C,"&lt;="&amp;$I$1)</f>
        <v>0</v>
      </c>
      <c r="L180" s="26">
        <f t="shared" si="26"/>
        <v>80909.09</v>
      </c>
      <c r="M180" s="27">
        <f t="shared" si="27"/>
        <v>0</v>
      </c>
      <c r="N180" s="11"/>
      <c r="O180" s="11"/>
      <c r="P180" s="11"/>
      <c r="Q180" s="11"/>
      <c r="R180" s="26">
        <f t="shared" si="28"/>
        <v>80909.09</v>
      </c>
      <c r="S180" s="27">
        <f t="shared" si="29"/>
        <v>0</v>
      </c>
      <c r="T180" s="11">
        <f t="shared" si="30"/>
        <v>0</v>
      </c>
      <c r="U180" s="11">
        <f t="shared" si="31"/>
        <v>80909.09</v>
      </c>
      <c r="V180" s="26">
        <f t="shared" si="32"/>
        <v>0</v>
      </c>
      <c r="W180" s="27">
        <f t="shared" si="33"/>
        <v>0</v>
      </c>
      <c r="X180" s="4">
        <v>7002</v>
      </c>
      <c r="Y180" s="4"/>
      <c r="Z180" s="4"/>
      <c r="AA180" s="12">
        <f t="shared" si="34"/>
        <v>1</v>
      </c>
      <c r="AC180" s="81"/>
      <c r="AD180" s="41"/>
      <c r="AE180" s="563"/>
      <c r="AF180" s="563"/>
    </row>
    <row r="181" spans="1:32" ht="12.75" customHeight="1">
      <c r="A181" s="24"/>
      <c r="B181" s="108">
        <f t="shared" si="24"/>
        <v>178</v>
      </c>
      <c r="C181" s="6">
        <v>703800</v>
      </c>
      <c r="D181" s="6" t="s">
        <v>694</v>
      </c>
      <c r="E181" s="9" t="s">
        <v>32</v>
      </c>
      <c r="F181" s="6"/>
      <c r="G181" s="6"/>
      <c r="H181" s="11">
        <f>+STAT3!V181</f>
        <v>0</v>
      </c>
      <c r="I181" s="11">
        <f>+STAT3!W181</f>
        <v>0</v>
      </c>
      <c r="J181" s="11">
        <f>+SUMIFS(JURNAL!G:G,JURNAL!E:E,C181,JURNAL!C:C,"&gt;="&amp;$H$1,JURNAL!C:C,"&lt;="&amp;$I$1)</f>
        <v>0</v>
      </c>
      <c r="K181" s="11">
        <f>+SUMIFS(JURNAL!H:H,JURNAL!E:E,C181,JURNAL!C:C,"&gt;="&amp;$H$1,JURNAL!C:C,"&lt;="&amp;$I$1)</f>
        <v>0</v>
      </c>
      <c r="L181" s="26">
        <f t="shared" si="26"/>
        <v>0</v>
      </c>
      <c r="M181" s="27">
        <f t="shared" si="27"/>
        <v>0</v>
      </c>
      <c r="N181" s="11"/>
      <c r="O181" s="11"/>
      <c r="P181" s="11"/>
      <c r="Q181" s="11"/>
      <c r="R181" s="26">
        <f t="shared" si="28"/>
        <v>0</v>
      </c>
      <c r="S181" s="27">
        <f t="shared" si="29"/>
        <v>0</v>
      </c>
      <c r="T181" s="11">
        <f t="shared" si="30"/>
        <v>0</v>
      </c>
      <c r="U181" s="11">
        <f t="shared" si="31"/>
        <v>0</v>
      </c>
      <c r="V181" s="26">
        <f t="shared" si="32"/>
        <v>0</v>
      </c>
      <c r="W181" s="27">
        <f t="shared" si="33"/>
        <v>0</v>
      </c>
      <c r="X181" s="4">
        <v>7002</v>
      </c>
      <c r="Y181" s="4"/>
      <c r="Z181" s="4"/>
      <c r="AA181" s="12">
        <f t="shared" si="34"/>
        <v>0</v>
      </c>
      <c r="AC181" s="81"/>
      <c r="AD181" s="41"/>
      <c r="AE181" s="563"/>
      <c r="AF181" s="563"/>
    </row>
    <row r="182" spans="1:32" ht="12.75" customHeight="1">
      <c r="A182" s="24"/>
      <c r="B182" s="108">
        <f t="shared" si="24"/>
        <v>179</v>
      </c>
      <c r="C182" s="6">
        <v>703900</v>
      </c>
      <c r="D182" s="6" t="s">
        <v>698</v>
      </c>
      <c r="E182" s="9" t="s">
        <v>32</v>
      </c>
      <c r="F182" s="6"/>
      <c r="G182" s="6"/>
      <c r="H182" s="11">
        <f>+STAT3!V182</f>
        <v>0</v>
      </c>
      <c r="I182" s="11">
        <f>+STAT3!W182</f>
        <v>0</v>
      </c>
      <c r="J182" s="11">
        <f>+SUMIFS(JURNAL!G:G,JURNAL!E:E,C182,JURNAL!C:C,"&gt;="&amp;$H$1,JURNAL!C:C,"&lt;="&amp;$I$1)</f>
        <v>10159000</v>
      </c>
      <c r="K182" s="11">
        <f>+SUMIFS(JURNAL!H:H,JURNAL!E:E,C182,JURNAL!C:C,"&gt;="&amp;$H$1,JURNAL!C:C,"&lt;="&amp;$I$1)</f>
        <v>0</v>
      </c>
      <c r="L182" s="26">
        <f t="shared" si="26"/>
        <v>10159000</v>
      </c>
      <c r="M182" s="27">
        <f t="shared" si="27"/>
        <v>0</v>
      </c>
      <c r="N182" s="11"/>
      <c r="O182" s="11"/>
      <c r="P182" s="11"/>
      <c r="Q182" s="11"/>
      <c r="R182" s="26">
        <f t="shared" si="28"/>
        <v>10159000</v>
      </c>
      <c r="S182" s="27">
        <f t="shared" si="29"/>
        <v>0</v>
      </c>
      <c r="T182" s="11">
        <f t="shared" si="30"/>
        <v>0</v>
      </c>
      <c r="U182" s="11">
        <f t="shared" si="31"/>
        <v>10159000</v>
      </c>
      <c r="V182" s="26">
        <f t="shared" si="32"/>
        <v>0</v>
      </c>
      <c r="W182" s="27">
        <f t="shared" si="33"/>
        <v>0</v>
      </c>
      <c r="X182" s="4">
        <v>7002</v>
      </c>
      <c r="Y182" s="4"/>
      <c r="Z182" s="4"/>
      <c r="AA182" s="12">
        <f t="shared" si="34"/>
        <v>1</v>
      </c>
      <c r="AC182" s="81"/>
      <c r="AD182" s="41"/>
      <c r="AE182" s="563"/>
      <c r="AF182" s="563"/>
    </row>
    <row r="183" spans="1:32" ht="12.75" customHeight="1">
      <c r="A183" s="24"/>
      <c r="B183" s="108">
        <f t="shared" si="24"/>
        <v>180</v>
      </c>
      <c r="C183" s="6">
        <v>704000</v>
      </c>
      <c r="D183" s="6" t="s">
        <v>702</v>
      </c>
      <c r="E183" s="9" t="s">
        <v>32</v>
      </c>
      <c r="F183" s="6"/>
      <c r="G183" s="6"/>
      <c r="H183" s="11">
        <f>+STAT3!V183</f>
        <v>0</v>
      </c>
      <c r="I183" s="11">
        <f>+STAT3!W183</f>
        <v>0</v>
      </c>
      <c r="J183" s="11">
        <f>+SUMIFS(JURNAL!G:G,JURNAL!E:E,C183,JURNAL!C:C,"&gt;="&amp;$H$1,JURNAL!C:C,"&lt;="&amp;$I$1)</f>
        <v>0</v>
      </c>
      <c r="K183" s="11">
        <f>+SUMIFS(JURNAL!H:H,JURNAL!E:E,C183,JURNAL!C:C,"&gt;="&amp;$H$1,JURNAL!C:C,"&lt;="&amp;$I$1)</f>
        <v>0</v>
      </c>
      <c r="L183" s="26">
        <f t="shared" si="26"/>
        <v>0</v>
      </c>
      <c r="M183" s="27">
        <f t="shared" si="27"/>
        <v>0</v>
      </c>
      <c r="N183" s="11"/>
      <c r="O183" s="11"/>
      <c r="P183" s="11"/>
      <c r="Q183" s="11"/>
      <c r="R183" s="26">
        <f t="shared" si="28"/>
        <v>0</v>
      </c>
      <c r="S183" s="27">
        <f t="shared" si="29"/>
        <v>0</v>
      </c>
      <c r="T183" s="11">
        <f t="shared" si="30"/>
        <v>0</v>
      </c>
      <c r="U183" s="11">
        <f t="shared" si="31"/>
        <v>0</v>
      </c>
      <c r="V183" s="26">
        <f t="shared" si="32"/>
        <v>0</v>
      </c>
      <c r="W183" s="27">
        <f t="shared" si="33"/>
        <v>0</v>
      </c>
      <c r="X183" s="4">
        <v>7002</v>
      </c>
      <c r="Y183" s="4"/>
      <c r="Z183" s="4"/>
      <c r="AA183" s="12">
        <f t="shared" si="34"/>
        <v>0</v>
      </c>
      <c r="AC183" s="81"/>
      <c r="AD183" s="41"/>
      <c r="AE183" s="563"/>
      <c r="AF183" s="563"/>
    </row>
    <row r="184" spans="1:32" ht="12.75" customHeight="1">
      <c r="A184" s="24"/>
      <c r="B184" s="108">
        <f t="shared" si="24"/>
        <v>181</v>
      </c>
      <c r="C184" s="6">
        <v>704100</v>
      </c>
      <c r="D184" s="6" t="s">
        <v>706</v>
      </c>
      <c r="E184" s="9" t="s">
        <v>32</v>
      </c>
      <c r="F184" s="6"/>
      <c r="G184" s="6"/>
      <c r="H184" s="11">
        <f>+STAT3!V184</f>
        <v>0</v>
      </c>
      <c r="I184" s="11">
        <f>+STAT3!W184</f>
        <v>0</v>
      </c>
      <c r="J184" s="11">
        <f>+SUMIFS(JURNAL!G:G,JURNAL!E:E,C184,JURNAL!C:C,"&gt;="&amp;$H$1,JURNAL!C:C,"&lt;="&amp;$I$1)</f>
        <v>3443616</v>
      </c>
      <c r="K184" s="11">
        <f>+SUMIFS(JURNAL!H:H,JURNAL!E:E,C184,JURNAL!C:C,"&gt;="&amp;$H$1,JURNAL!C:C,"&lt;="&amp;$I$1)</f>
        <v>0</v>
      </c>
      <c r="L184" s="26">
        <f t="shared" si="26"/>
        <v>3443616</v>
      </c>
      <c r="M184" s="27">
        <f t="shared" si="27"/>
        <v>0</v>
      </c>
      <c r="N184" s="11"/>
      <c r="O184" s="11"/>
      <c r="P184" s="11"/>
      <c r="Q184" s="11"/>
      <c r="R184" s="26">
        <f t="shared" si="28"/>
        <v>3443616</v>
      </c>
      <c r="S184" s="27">
        <f t="shared" si="29"/>
        <v>0</v>
      </c>
      <c r="T184" s="11">
        <f t="shared" si="30"/>
        <v>0</v>
      </c>
      <c r="U184" s="11">
        <f t="shared" si="31"/>
        <v>3443616</v>
      </c>
      <c r="V184" s="26">
        <f t="shared" si="32"/>
        <v>0</v>
      </c>
      <c r="W184" s="27">
        <f t="shared" si="33"/>
        <v>0</v>
      </c>
      <c r="X184" s="4">
        <v>7002</v>
      </c>
      <c r="Y184" s="4"/>
      <c r="Z184" s="4"/>
      <c r="AA184" s="12">
        <f t="shared" si="34"/>
        <v>1</v>
      </c>
      <c r="AC184" s="81"/>
      <c r="AD184" s="41"/>
      <c r="AE184" s="563"/>
      <c r="AF184" s="563"/>
    </row>
    <row r="185" spans="1:32" ht="12.75" customHeight="1">
      <c r="A185" s="24"/>
      <c r="B185" s="108">
        <f t="shared" si="24"/>
        <v>182</v>
      </c>
      <c r="C185" s="6">
        <v>704200</v>
      </c>
      <c r="D185" s="130" t="s">
        <v>710</v>
      </c>
      <c r="E185" s="9" t="s">
        <v>32</v>
      </c>
      <c r="F185" s="6"/>
      <c r="G185" s="6"/>
      <c r="H185" s="11">
        <f>+STAT3!V185</f>
        <v>0</v>
      </c>
      <c r="I185" s="11">
        <f>+STAT3!W185</f>
        <v>0</v>
      </c>
      <c r="J185" s="11">
        <f>+SUMIFS(JURNAL!G:G,JURNAL!E:E,C185,JURNAL!C:C,"&gt;="&amp;$H$1,JURNAL!C:C,"&lt;="&amp;$I$1)</f>
        <v>0</v>
      </c>
      <c r="K185" s="11">
        <f>+SUMIFS(JURNAL!H:H,JURNAL!E:E,C185,JURNAL!C:C,"&gt;="&amp;$H$1,JURNAL!C:C,"&lt;="&amp;$I$1)</f>
        <v>0</v>
      </c>
      <c r="L185" s="26">
        <f t="shared" si="26"/>
        <v>0</v>
      </c>
      <c r="M185" s="27">
        <f t="shared" si="27"/>
        <v>0</v>
      </c>
      <c r="N185" s="11"/>
      <c r="O185" s="11"/>
      <c r="P185" s="11"/>
      <c r="Q185" s="11"/>
      <c r="R185" s="26">
        <f t="shared" si="28"/>
        <v>0</v>
      </c>
      <c r="S185" s="27">
        <f t="shared" si="29"/>
        <v>0</v>
      </c>
      <c r="T185" s="11">
        <f t="shared" si="30"/>
        <v>0</v>
      </c>
      <c r="U185" s="11">
        <f t="shared" si="31"/>
        <v>0</v>
      </c>
      <c r="V185" s="26">
        <f t="shared" si="32"/>
        <v>0</v>
      </c>
      <c r="W185" s="27">
        <f t="shared" si="33"/>
        <v>0</v>
      </c>
      <c r="X185" s="4">
        <v>7002</v>
      </c>
      <c r="Y185" s="4"/>
      <c r="Z185" s="4"/>
      <c r="AA185" s="12">
        <f t="shared" si="34"/>
        <v>0</v>
      </c>
      <c r="AC185" s="81"/>
      <c r="AD185" s="41"/>
      <c r="AE185" s="563"/>
      <c r="AF185" s="563"/>
    </row>
    <row r="186" spans="1:32" ht="12.75" customHeight="1">
      <c r="A186" s="24"/>
      <c r="B186" s="108">
        <f t="shared" si="24"/>
        <v>183</v>
      </c>
      <c r="C186" s="6">
        <v>704300</v>
      </c>
      <c r="D186" s="6" t="s">
        <v>714</v>
      </c>
      <c r="E186" s="9" t="s">
        <v>32</v>
      </c>
      <c r="F186" s="6"/>
      <c r="G186" s="6"/>
      <c r="H186" s="11">
        <f>+STAT3!V186</f>
        <v>0</v>
      </c>
      <c r="I186" s="11">
        <f>+STAT3!W186</f>
        <v>0</v>
      </c>
      <c r="J186" s="11">
        <f>+SUMIFS(JURNAL!G:G,JURNAL!E:E,C186,JURNAL!C:C,"&gt;="&amp;$H$1,JURNAL!C:C,"&lt;="&amp;$I$1)</f>
        <v>0</v>
      </c>
      <c r="K186" s="11">
        <f>+SUMIFS(JURNAL!H:H,JURNAL!E:E,C186,JURNAL!C:C,"&gt;="&amp;$H$1,JURNAL!C:C,"&lt;="&amp;$I$1)</f>
        <v>0</v>
      </c>
      <c r="L186" s="26">
        <f t="shared" si="26"/>
        <v>0</v>
      </c>
      <c r="M186" s="27">
        <f t="shared" si="27"/>
        <v>0</v>
      </c>
      <c r="N186" s="11"/>
      <c r="O186" s="11"/>
      <c r="P186" s="11"/>
      <c r="Q186" s="11"/>
      <c r="R186" s="26">
        <f t="shared" si="28"/>
        <v>0</v>
      </c>
      <c r="S186" s="27">
        <f t="shared" si="29"/>
        <v>0</v>
      </c>
      <c r="T186" s="11">
        <f t="shared" si="30"/>
        <v>0</v>
      </c>
      <c r="U186" s="11">
        <f t="shared" si="31"/>
        <v>0</v>
      </c>
      <c r="V186" s="26">
        <f t="shared" si="32"/>
        <v>0</v>
      </c>
      <c r="W186" s="27">
        <f t="shared" si="33"/>
        <v>0</v>
      </c>
      <c r="X186" s="4">
        <v>7002</v>
      </c>
      <c r="Y186" s="4"/>
      <c r="Z186" s="4"/>
      <c r="AA186" s="12">
        <f t="shared" si="34"/>
        <v>0</v>
      </c>
      <c r="AC186" s="81"/>
      <c r="AD186" s="41"/>
      <c r="AE186" s="563"/>
      <c r="AF186" s="563"/>
    </row>
    <row r="187" spans="1:32" ht="12.75" customHeight="1">
      <c r="A187" s="24"/>
      <c r="B187" s="108">
        <f t="shared" si="24"/>
        <v>184</v>
      </c>
      <c r="C187" s="6">
        <v>704400</v>
      </c>
      <c r="D187" s="6" t="s">
        <v>718</v>
      </c>
      <c r="E187" s="9" t="s">
        <v>32</v>
      </c>
      <c r="F187" s="6"/>
      <c r="G187" s="6"/>
      <c r="H187" s="11">
        <f>+STAT3!V187</f>
        <v>0</v>
      </c>
      <c r="I187" s="11">
        <f>+STAT3!W187</f>
        <v>0</v>
      </c>
      <c r="J187" s="11">
        <f>+SUMIFS(JURNAL!G:G,JURNAL!E:E,C187,JURNAL!C:C,"&gt;="&amp;$H$1,JURNAL!C:C,"&lt;="&amp;$I$1)</f>
        <v>0</v>
      </c>
      <c r="K187" s="11">
        <f>+SUMIFS(JURNAL!H:H,JURNAL!E:E,C187,JURNAL!C:C,"&gt;="&amp;$H$1,JURNAL!C:C,"&lt;="&amp;$I$1)</f>
        <v>0</v>
      </c>
      <c r="L187" s="26">
        <f t="shared" si="26"/>
        <v>0</v>
      </c>
      <c r="M187" s="27">
        <f t="shared" si="27"/>
        <v>0</v>
      </c>
      <c r="N187" s="11"/>
      <c r="O187" s="11"/>
      <c r="P187" s="11"/>
      <c r="Q187" s="11"/>
      <c r="R187" s="26">
        <f t="shared" si="28"/>
        <v>0</v>
      </c>
      <c r="S187" s="27">
        <f t="shared" si="29"/>
        <v>0</v>
      </c>
      <c r="T187" s="11">
        <f t="shared" si="30"/>
        <v>0</v>
      </c>
      <c r="U187" s="11">
        <f t="shared" si="31"/>
        <v>0</v>
      </c>
      <c r="V187" s="26">
        <f t="shared" si="32"/>
        <v>0</v>
      </c>
      <c r="W187" s="27">
        <f t="shared" si="33"/>
        <v>0</v>
      </c>
      <c r="X187" s="4">
        <v>7002</v>
      </c>
      <c r="Y187" s="4"/>
      <c r="Z187" s="4"/>
      <c r="AA187" s="12">
        <f t="shared" si="34"/>
        <v>0</v>
      </c>
      <c r="AC187" s="81"/>
      <c r="AD187" s="41"/>
      <c r="AE187" s="563"/>
      <c r="AF187" s="563"/>
    </row>
    <row r="188" spans="1:32" ht="12.75" customHeight="1">
      <c r="A188" s="24"/>
      <c r="B188" s="108">
        <f t="shared" si="24"/>
        <v>185</v>
      </c>
      <c r="C188" s="6">
        <v>704600</v>
      </c>
      <c r="D188" s="6" t="s">
        <v>722</v>
      </c>
      <c r="E188" s="9" t="s">
        <v>32</v>
      </c>
      <c r="F188" s="6"/>
      <c r="G188" s="6"/>
      <c r="H188" s="11">
        <f>+STAT3!V188</f>
        <v>0</v>
      </c>
      <c r="I188" s="11">
        <f>+STAT3!W188</f>
        <v>0</v>
      </c>
      <c r="J188" s="11">
        <f>+SUMIFS(JURNAL!G:G,JURNAL!E:E,C188,JURNAL!C:C,"&gt;="&amp;$H$1,JURNAL!C:C,"&lt;="&amp;$I$1)</f>
        <v>0</v>
      </c>
      <c r="K188" s="11">
        <f>+SUMIFS(JURNAL!H:H,JURNAL!E:E,C188,JURNAL!C:C,"&gt;="&amp;$H$1,JURNAL!C:C,"&lt;="&amp;$I$1)</f>
        <v>0</v>
      </c>
      <c r="L188" s="26">
        <f t="shared" si="26"/>
        <v>0</v>
      </c>
      <c r="M188" s="27">
        <f t="shared" si="27"/>
        <v>0</v>
      </c>
      <c r="N188" s="11"/>
      <c r="O188" s="11"/>
      <c r="P188" s="11"/>
      <c r="Q188" s="11"/>
      <c r="R188" s="26">
        <f t="shared" si="28"/>
        <v>0</v>
      </c>
      <c r="S188" s="27">
        <f t="shared" si="29"/>
        <v>0</v>
      </c>
      <c r="T188" s="11">
        <f t="shared" si="30"/>
        <v>0</v>
      </c>
      <c r="U188" s="11">
        <f t="shared" si="31"/>
        <v>0</v>
      </c>
      <c r="V188" s="26">
        <f t="shared" si="32"/>
        <v>0</v>
      </c>
      <c r="W188" s="27">
        <f t="shared" si="33"/>
        <v>0</v>
      </c>
      <c r="X188" s="4">
        <v>7002</v>
      </c>
      <c r="Y188" s="4"/>
      <c r="Z188" s="4"/>
      <c r="AA188" s="12">
        <f t="shared" si="34"/>
        <v>0</v>
      </c>
      <c r="AC188" s="81"/>
      <c r="AD188" s="41"/>
      <c r="AE188" s="563"/>
      <c r="AF188" s="563"/>
    </row>
    <row r="189" spans="1:32" ht="12.75" customHeight="1">
      <c r="B189" s="108">
        <f t="shared" si="24"/>
        <v>186</v>
      </c>
      <c r="C189" s="6">
        <v>704700</v>
      </c>
      <c r="D189" s="6" t="s">
        <v>726</v>
      </c>
      <c r="E189" s="9" t="s">
        <v>32</v>
      </c>
      <c r="F189" s="6"/>
      <c r="G189" s="6"/>
      <c r="H189" s="11">
        <f>+STAT3!V189</f>
        <v>0</v>
      </c>
      <c r="I189" s="11">
        <f>+STAT3!W189</f>
        <v>0</v>
      </c>
      <c r="J189" s="11">
        <f>+SUMIFS(JURNAL!G:G,JURNAL!E:E,C189,JURNAL!C:C,"&gt;="&amp;$H$1,JURNAL!C:C,"&lt;="&amp;$I$1)</f>
        <v>82433.91</v>
      </c>
      <c r="K189" s="11">
        <f>+SUMIFS(JURNAL!H:H,JURNAL!E:E,C189,JURNAL!C:C,"&gt;="&amp;$H$1,JURNAL!C:C,"&lt;="&amp;$I$1)</f>
        <v>0</v>
      </c>
      <c r="L189" s="26">
        <f t="shared" si="26"/>
        <v>82433.91</v>
      </c>
      <c r="M189" s="27">
        <f t="shared" si="27"/>
        <v>0</v>
      </c>
      <c r="N189" s="11"/>
      <c r="O189" s="11"/>
      <c r="P189" s="11"/>
      <c r="Q189" s="11"/>
      <c r="R189" s="26">
        <f t="shared" si="28"/>
        <v>82433.91</v>
      </c>
      <c r="S189" s="27">
        <f t="shared" si="29"/>
        <v>0</v>
      </c>
      <c r="T189" s="11">
        <f t="shared" si="30"/>
        <v>0</v>
      </c>
      <c r="U189" s="11">
        <f t="shared" si="31"/>
        <v>82433.91</v>
      </c>
      <c r="V189" s="26">
        <f t="shared" si="32"/>
        <v>0</v>
      </c>
      <c r="W189" s="27">
        <f t="shared" si="33"/>
        <v>0</v>
      </c>
      <c r="X189" s="4">
        <v>7002</v>
      </c>
      <c r="Y189" s="4"/>
      <c r="Z189" s="4"/>
      <c r="AA189" s="12">
        <f t="shared" si="34"/>
        <v>1</v>
      </c>
      <c r="AC189" s="81"/>
      <c r="AD189" s="41"/>
      <c r="AE189" s="563"/>
      <c r="AF189" s="563"/>
    </row>
    <row r="190" spans="1:32" ht="12.75" customHeight="1">
      <c r="B190" s="108">
        <f t="shared" si="24"/>
        <v>187</v>
      </c>
      <c r="C190" s="6">
        <v>704800</v>
      </c>
      <c r="D190" s="6" t="s">
        <v>730</v>
      </c>
      <c r="E190" s="9" t="s">
        <v>32</v>
      </c>
      <c r="F190" s="6"/>
      <c r="G190" s="6"/>
      <c r="H190" s="11">
        <f>+STAT3!V190</f>
        <v>0</v>
      </c>
      <c r="I190" s="11">
        <f>+STAT3!W190</f>
        <v>0</v>
      </c>
      <c r="J190" s="11">
        <f>+SUMIFS(JURNAL!G:G,JURNAL!E:E,C190,JURNAL!C:C,"&gt;="&amp;$H$1,JURNAL!C:C,"&lt;="&amp;$I$1)</f>
        <v>0</v>
      </c>
      <c r="K190" s="11">
        <f>+SUMIFS(JURNAL!H:H,JURNAL!E:E,C190,JURNAL!C:C,"&gt;="&amp;$H$1,JURNAL!C:C,"&lt;="&amp;$I$1)</f>
        <v>0</v>
      </c>
      <c r="L190" s="26">
        <f t="shared" si="26"/>
        <v>0</v>
      </c>
      <c r="M190" s="27">
        <f t="shared" si="27"/>
        <v>0</v>
      </c>
      <c r="N190" s="11"/>
      <c r="O190" s="11"/>
      <c r="P190" s="11"/>
      <c r="Q190" s="11"/>
      <c r="R190" s="26">
        <f t="shared" si="28"/>
        <v>0</v>
      </c>
      <c r="S190" s="27">
        <f t="shared" si="29"/>
        <v>0</v>
      </c>
      <c r="T190" s="11">
        <f t="shared" si="30"/>
        <v>0</v>
      </c>
      <c r="U190" s="11">
        <f t="shared" si="31"/>
        <v>0</v>
      </c>
      <c r="V190" s="26">
        <f t="shared" si="32"/>
        <v>0</v>
      </c>
      <c r="W190" s="27">
        <f t="shared" si="33"/>
        <v>0</v>
      </c>
      <c r="X190" s="4">
        <v>7002</v>
      </c>
      <c r="Y190" s="4"/>
      <c r="Z190" s="4"/>
      <c r="AA190" s="12">
        <f t="shared" si="34"/>
        <v>0</v>
      </c>
      <c r="AC190" s="81"/>
      <c r="AD190" s="41"/>
      <c r="AE190" s="563"/>
      <c r="AF190" s="563"/>
    </row>
    <row r="191" spans="1:32" ht="12.75" customHeight="1">
      <c r="B191" s="108">
        <f t="shared" si="24"/>
        <v>188</v>
      </c>
      <c r="C191" s="6">
        <v>704900</v>
      </c>
      <c r="D191" s="6" t="s">
        <v>734</v>
      </c>
      <c r="E191" s="9" t="s">
        <v>32</v>
      </c>
      <c r="F191" s="6"/>
      <c r="G191" s="6"/>
      <c r="H191" s="11">
        <f>+STAT3!V191</f>
        <v>0</v>
      </c>
      <c r="I191" s="11">
        <f>+STAT3!W191</f>
        <v>0</v>
      </c>
      <c r="J191" s="11">
        <f>+SUMIFS(JURNAL!G:G,JURNAL!E:E,C191,JURNAL!C:C,"&gt;="&amp;$H$1,JURNAL!C:C,"&lt;="&amp;$I$1)</f>
        <v>658765.60959999997</v>
      </c>
      <c r="K191" s="11">
        <f>+SUMIFS(JURNAL!H:H,JURNAL!E:E,C191,JURNAL!C:C,"&gt;="&amp;$H$1,JURNAL!C:C,"&lt;="&amp;$I$1)</f>
        <v>0</v>
      </c>
      <c r="L191" s="26">
        <f t="shared" si="26"/>
        <v>658765.60959999997</v>
      </c>
      <c r="M191" s="27">
        <f t="shared" si="27"/>
        <v>0</v>
      </c>
      <c r="N191" s="11"/>
      <c r="O191" s="11"/>
      <c r="P191" s="11"/>
      <c r="Q191" s="11"/>
      <c r="R191" s="26">
        <f t="shared" si="28"/>
        <v>658765.60959999997</v>
      </c>
      <c r="S191" s="27">
        <f t="shared" si="29"/>
        <v>0</v>
      </c>
      <c r="T191" s="11">
        <f t="shared" si="30"/>
        <v>0</v>
      </c>
      <c r="U191" s="11">
        <f t="shared" si="31"/>
        <v>658765.60959999997</v>
      </c>
      <c r="V191" s="26">
        <f t="shared" si="32"/>
        <v>0</v>
      </c>
      <c r="W191" s="27">
        <f t="shared" si="33"/>
        <v>0</v>
      </c>
      <c r="X191" s="4">
        <v>7002</v>
      </c>
      <c r="Y191" s="4"/>
      <c r="Z191" s="4"/>
      <c r="AA191" s="12">
        <f t="shared" si="34"/>
        <v>1</v>
      </c>
      <c r="AC191" s="81"/>
      <c r="AD191" s="41"/>
      <c r="AE191" s="563"/>
      <c r="AF191" s="563"/>
    </row>
    <row r="192" spans="1:32" ht="12.75" customHeight="1">
      <c r="B192" s="108">
        <f t="shared" si="24"/>
        <v>189</v>
      </c>
      <c r="C192" s="6">
        <v>705000</v>
      </c>
      <c r="D192" s="6" t="s">
        <v>738</v>
      </c>
      <c r="E192" s="9" t="s">
        <v>32</v>
      </c>
      <c r="F192" s="6"/>
      <c r="G192" s="6"/>
      <c r="H192" s="11">
        <f>+STAT3!V192</f>
        <v>0</v>
      </c>
      <c r="I192" s="11">
        <f>+STAT3!W192</f>
        <v>0</v>
      </c>
      <c r="J192" s="11">
        <f>+SUMIFS(JURNAL!G:G,JURNAL!E:E,C192,JURNAL!C:C,"&gt;="&amp;$H$1,JURNAL!C:C,"&lt;="&amp;$I$1)</f>
        <v>0</v>
      </c>
      <c r="K192" s="11">
        <f>+SUMIFS(JURNAL!H:H,JURNAL!E:E,C192,JURNAL!C:C,"&gt;="&amp;$H$1,JURNAL!C:C,"&lt;="&amp;$I$1)</f>
        <v>0</v>
      </c>
      <c r="L192" s="26">
        <f t="shared" si="26"/>
        <v>0</v>
      </c>
      <c r="M192" s="27">
        <f t="shared" si="27"/>
        <v>0</v>
      </c>
      <c r="N192" s="11"/>
      <c r="O192" s="11"/>
      <c r="P192" s="11"/>
      <c r="Q192" s="11"/>
      <c r="R192" s="26">
        <f t="shared" si="28"/>
        <v>0</v>
      </c>
      <c r="S192" s="27">
        <f t="shared" si="29"/>
        <v>0</v>
      </c>
      <c r="T192" s="11">
        <f t="shared" si="30"/>
        <v>0</v>
      </c>
      <c r="U192" s="11">
        <f t="shared" si="31"/>
        <v>0</v>
      </c>
      <c r="V192" s="26">
        <f t="shared" si="32"/>
        <v>0</v>
      </c>
      <c r="W192" s="27">
        <f t="shared" si="33"/>
        <v>0</v>
      </c>
      <c r="X192" s="4">
        <v>7002</v>
      </c>
      <c r="Y192" s="4"/>
      <c r="Z192" s="4"/>
      <c r="AA192" s="12">
        <f t="shared" si="34"/>
        <v>0</v>
      </c>
      <c r="AC192" s="81"/>
      <c r="AD192" s="41"/>
      <c r="AE192" s="563"/>
      <c r="AF192" s="563"/>
    </row>
    <row r="193" spans="2:32" ht="12.75" customHeight="1">
      <c r="B193" s="108">
        <f t="shared" si="24"/>
        <v>190</v>
      </c>
      <c r="C193" s="6">
        <v>705800</v>
      </c>
      <c r="D193" s="6" t="s">
        <v>742</v>
      </c>
      <c r="E193" s="9" t="s">
        <v>32</v>
      </c>
      <c r="F193" s="6"/>
      <c r="G193" s="6"/>
      <c r="H193" s="11">
        <f>+STAT3!V193</f>
        <v>0</v>
      </c>
      <c r="I193" s="11">
        <f>+STAT3!W193</f>
        <v>0</v>
      </c>
      <c r="J193" s="11">
        <f>+SUMIFS(JURNAL!G:G,JURNAL!E:E,C193,JURNAL!C:C,"&gt;="&amp;$H$1,JURNAL!C:C,"&lt;="&amp;$I$1)</f>
        <v>4500000</v>
      </c>
      <c r="K193" s="11">
        <f>+SUMIFS(JURNAL!H:H,JURNAL!E:E,C193,JURNAL!C:C,"&gt;="&amp;$H$1,JURNAL!C:C,"&lt;="&amp;$I$1)</f>
        <v>0</v>
      </c>
      <c r="L193" s="26">
        <f t="shared" si="26"/>
        <v>4500000</v>
      </c>
      <c r="M193" s="27">
        <f t="shared" si="27"/>
        <v>0</v>
      </c>
      <c r="N193" s="11"/>
      <c r="O193" s="11"/>
      <c r="P193" s="11"/>
      <c r="Q193" s="11"/>
      <c r="R193" s="26">
        <f t="shared" si="28"/>
        <v>4500000</v>
      </c>
      <c r="S193" s="27">
        <f t="shared" si="29"/>
        <v>0</v>
      </c>
      <c r="T193" s="11">
        <f t="shared" si="30"/>
        <v>0</v>
      </c>
      <c r="U193" s="11">
        <f t="shared" si="31"/>
        <v>4500000</v>
      </c>
      <c r="V193" s="26">
        <f t="shared" si="32"/>
        <v>0</v>
      </c>
      <c r="W193" s="27">
        <f t="shared" si="33"/>
        <v>0</v>
      </c>
      <c r="X193" s="4">
        <v>7002</v>
      </c>
      <c r="Y193" s="4"/>
      <c r="Z193" s="4"/>
      <c r="AA193" s="12">
        <f t="shared" si="34"/>
        <v>1</v>
      </c>
      <c r="AC193" s="81"/>
      <c r="AD193" s="41"/>
      <c r="AE193" s="563"/>
      <c r="AF193" s="563"/>
    </row>
    <row r="194" spans="2:32" ht="12.75" customHeight="1">
      <c r="B194" s="108">
        <f t="shared" si="24"/>
        <v>191</v>
      </c>
      <c r="C194" s="6">
        <v>705900</v>
      </c>
      <c r="D194" s="6" t="s">
        <v>969</v>
      </c>
      <c r="E194" s="9" t="s">
        <v>32</v>
      </c>
      <c r="F194" s="6"/>
      <c r="G194" s="6"/>
      <c r="H194" s="11">
        <f>+STAT3!V194</f>
        <v>0</v>
      </c>
      <c r="I194" s="11">
        <f>+STAT3!W194</f>
        <v>0</v>
      </c>
      <c r="J194" s="11">
        <f>+SUMIFS(JURNAL!G:G,JURNAL!E:E,C194,JURNAL!C:C,"&gt;="&amp;$H$1,JURNAL!C:C,"&lt;="&amp;$I$1)</f>
        <v>0</v>
      </c>
      <c r="K194" s="11">
        <f>+SUMIFS(JURNAL!H:H,JURNAL!E:E,C194,JURNAL!C:C,"&gt;="&amp;$H$1,JURNAL!C:C,"&lt;="&amp;$I$1)</f>
        <v>0</v>
      </c>
      <c r="L194" s="26">
        <f t="shared" si="26"/>
        <v>0</v>
      </c>
      <c r="M194" s="27">
        <f t="shared" si="27"/>
        <v>0</v>
      </c>
      <c r="N194" s="11"/>
      <c r="O194" s="11"/>
      <c r="P194" s="11"/>
      <c r="Q194" s="11"/>
      <c r="R194" s="26">
        <f t="shared" si="28"/>
        <v>0</v>
      </c>
      <c r="S194" s="27">
        <f t="shared" si="29"/>
        <v>0</v>
      </c>
      <c r="T194" s="11">
        <f t="shared" si="30"/>
        <v>0</v>
      </c>
      <c r="U194" s="11">
        <f t="shared" si="31"/>
        <v>0</v>
      </c>
      <c r="V194" s="26">
        <f t="shared" si="32"/>
        <v>0</v>
      </c>
      <c r="W194" s="27">
        <f t="shared" si="33"/>
        <v>0</v>
      </c>
      <c r="X194" s="4">
        <v>7002</v>
      </c>
      <c r="Y194" s="4"/>
      <c r="Z194" s="4"/>
      <c r="AA194" s="12">
        <f t="shared" si="34"/>
        <v>0</v>
      </c>
      <c r="AC194" s="81"/>
      <c r="AD194" s="41"/>
      <c r="AE194" s="563"/>
      <c r="AF194" s="563"/>
    </row>
    <row r="195" spans="2:32" ht="12.75" customHeight="1">
      <c r="B195" s="108">
        <f t="shared" si="24"/>
        <v>192</v>
      </c>
      <c r="C195" s="6">
        <v>706000</v>
      </c>
      <c r="D195" s="6" t="s">
        <v>750</v>
      </c>
      <c r="E195" s="9" t="s">
        <v>32</v>
      </c>
      <c r="F195" s="6"/>
      <c r="G195" s="6"/>
      <c r="H195" s="11">
        <f>+STAT3!V195</f>
        <v>0</v>
      </c>
      <c r="I195" s="11">
        <f>+STAT3!W195</f>
        <v>0</v>
      </c>
      <c r="J195" s="11">
        <f>+SUMIFS(JURNAL!G:G,JURNAL!E:E,C195,JURNAL!C:C,"&gt;="&amp;$H$1,JURNAL!C:C,"&lt;="&amp;$I$1)</f>
        <v>0</v>
      </c>
      <c r="K195" s="11">
        <f>+SUMIFS(JURNAL!H:H,JURNAL!E:E,C195,JURNAL!C:C,"&gt;="&amp;$H$1,JURNAL!C:C,"&lt;="&amp;$I$1)</f>
        <v>0</v>
      </c>
      <c r="L195" s="26">
        <f t="shared" si="26"/>
        <v>0</v>
      </c>
      <c r="M195" s="27">
        <f t="shared" si="27"/>
        <v>0</v>
      </c>
      <c r="N195" s="11"/>
      <c r="O195" s="11"/>
      <c r="P195" s="11"/>
      <c r="Q195" s="11"/>
      <c r="R195" s="26">
        <f t="shared" si="28"/>
        <v>0</v>
      </c>
      <c r="S195" s="27">
        <f t="shared" si="29"/>
        <v>0</v>
      </c>
      <c r="T195" s="11">
        <f t="shared" si="30"/>
        <v>0</v>
      </c>
      <c r="U195" s="11">
        <f t="shared" si="31"/>
        <v>0</v>
      </c>
      <c r="V195" s="26">
        <f t="shared" si="32"/>
        <v>0</v>
      </c>
      <c r="W195" s="27">
        <f t="shared" si="33"/>
        <v>0</v>
      </c>
      <c r="X195" s="4">
        <v>7002</v>
      </c>
      <c r="Y195" s="4"/>
      <c r="Z195" s="4"/>
      <c r="AA195" s="12">
        <f t="shared" si="34"/>
        <v>0</v>
      </c>
      <c r="AC195" s="81"/>
      <c r="AD195" s="41"/>
      <c r="AE195" s="563"/>
      <c r="AF195" s="563"/>
    </row>
    <row r="196" spans="2:32" ht="12.75" customHeight="1">
      <c r="B196" s="108">
        <f t="shared" si="24"/>
        <v>193</v>
      </c>
      <c r="C196" s="6">
        <v>840000</v>
      </c>
      <c r="D196" s="6" t="s">
        <v>816</v>
      </c>
      <c r="E196" s="9" t="s">
        <v>32</v>
      </c>
      <c r="F196" s="6"/>
      <c r="G196" s="6"/>
      <c r="H196" s="11">
        <f>+STAT3!V196</f>
        <v>0</v>
      </c>
      <c r="I196" s="11">
        <f>+STAT3!W196</f>
        <v>0</v>
      </c>
      <c r="J196" s="11">
        <f>+SUMIFS(JURNAL!G:G,JURNAL!E:E,C196,JURNAL!C:C,"&gt;="&amp;$H$1,JURNAL!C:C,"&lt;="&amp;$I$1)</f>
        <v>0</v>
      </c>
      <c r="K196" s="11">
        <f>+SUMIFS(JURNAL!H:H,JURNAL!E:E,C196,JURNAL!C:C,"&gt;="&amp;$H$1,JURNAL!C:C,"&lt;="&amp;$I$1)</f>
        <v>0</v>
      </c>
      <c r="L196" s="26">
        <f t="shared" si="26"/>
        <v>0</v>
      </c>
      <c r="M196" s="27">
        <f t="shared" si="27"/>
        <v>0</v>
      </c>
      <c r="N196" s="11"/>
      <c r="O196" s="11"/>
      <c r="P196" s="11"/>
      <c r="Q196" s="11"/>
      <c r="R196" s="26">
        <f t="shared" si="28"/>
        <v>0</v>
      </c>
      <c r="S196" s="27">
        <f t="shared" si="29"/>
        <v>0</v>
      </c>
      <c r="T196" s="11">
        <f t="shared" si="30"/>
        <v>0</v>
      </c>
      <c r="U196" s="11">
        <f t="shared" si="31"/>
        <v>0</v>
      </c>
      <c r="V196" s="26">
        <f t="shared" si="32"/>
        <v>0</v>
      </c>
      <c r="W196" s="27">
        <f t="shared" si="33"/>
        <v>0</v>
      </c>
      <c r="X196" s="4">
        <v>8400</v>
      </c>
      <c r="Y196" s="4"/>
      <c r="Z196" s="4"/>
      <c r="AA196" s="12">
        <f t="shared" si="34"/>
        <v>0</v>
      </c>
      <c r="AC196" s="81"/>
      <c r="AD196" s="41"/>
      <c r="AE196" s="563"/>
      <c r="AF196" s="563"/>
    </row>
    <row r="197" spans="2:32" ht="12.75" customHeight="1">
      <c r="B197" s="108">
        <f t="shared" si="24"/>
        <v>194</v>
      </c>
      <c r="C197" s="6">
        <v>840100</v>
      </c>
      <c r="D197" s="6" t="s">
        <v>819</v>
      </c>
      <c r="E197" s="9" t="s">
        <v>32</v>
      </c>
      <c r="F197" s="6"/>
      <c r="G197" s="6"/>
      <c r="H197" s="11">
        <f>+STAT3!V197</f>
        <v>0</v>
      </c>
      <c r="I197" s="11">
        <f>+STAT3!W197</f>
        <v>0</v>
      </c>
      <c r="J197" s="11">
        <f>+SUMIFS(JURNAL!G:G,JURNAL!E:E,C197,JURNAL!C:C,"&gt;="&amp;$H$1,JURNAL!C:C,"&lt;="&amp;$I$1)</f>
        <v>0</v>
      </c>
      <c r="K197" s="11">
        <f>+SUMIFS(JURNAL!H:H,JURNAL!E:E,C197,JURNAL!C:C,"&gt;="&amp;$H$1,JURNAL!C:C,"&lt;="&amp;$I$1)</f>
        <v>0</v>
      </c>
      <c r="L197" s="26">
        <f t="shared" si="26"/>
        <v>0</v>
      </c>
      <c r="M197" s="27">
        <f t="shared" si="27"/>
        <v>0</v>
      </c>
      <c r="N197" s="11"/>
      <c r="O197" s="11"/>
      <c r="P197" s="11"/>
      <c r="Q197" s="11"/>
      <c r="R197" s="26">
        <f t="shared" si="28"/>
        <v>0</v>
      </c>
      <c r="S197" s="27">
        <f t="shared" si="29"/>
        <v>0</v>
      </c>
      <c r="T197" s="11">
        <f t="shared" si="30"/>
        <v>0</v>
      </c>
      <c r="U197" s="11">
        <f t="shared" si="31"/>
        <v>0</v>
      </c>
      <c r="V197" s="26">
        <f t="shared" si="32"/>
        <v>0</v>
      </c>
      <c r="W197" s="27">
        <f t="shared" si="33"/>
        <v>0</v>
      </c>
      <c r="X197" s="4">
        <v>8401</v>
      </c>
      <c r="Y197" s="4"/>
      <c r="Z197" s="4"/>
      <c r="AA197" s="12">
        <f t="shared" si="34"/>
        <v>0</v>
      </c>
      <c r="AC197" s="81"/>
      <c r="AD197" s="41"/>
      <c r="AE197" s="563"/>
      <c r="AF197" s="563"/>
    </row>
    <row r="198" spans="2:32" ht="12.75" customHeight="1">
      <c r="B198" s="108">
        <f t="shared" ref="B198:B215" si="35">+B197+1</f>
        <v>195</v>
      </c>
      <c r="C198" s="6">
        <v>840200</v>
      </c>
      <c r="D198" s="6" t="s">
        <v>822</v>
      </c>
      <c r="E198" s="9" t="s">
        <v>32</v>
      </c>
      <c r="F198" s="6"/>
      <c r="G198" s="6"/>
      <c r="H198" s="11">
        <f>+STAT3!V198</f>
        <v>0</v>
      </c>
      <c r="I198" s="11">
        <f>+STAT3!W198</f>
        <v>0</v>
      </c>
      <c r="J198" s="11">
        <f>+SUMIFS(JURNAL!G:G,JURNAL!E:E,C198,JURNAL!C:C,"&gt;="&amp;$H$1,JURNAL!C:C,"&lt;="&amp;$I$1)</f>
        <v>0</v>
      </c>
      <c r="K198" s="11">
        <f>+SUMIFS(JURNAL!H:H,JURNAL!E:E,C198,JURNAL!C:C,"&gt;="&amp;$H$1,JURNAL!C:C,"&lt;="&amp;$I$1)</f>
        <v>0</v>
      </c>
      <c r="L198" s="26">
        <f t="shared" si="26"/>
        <v>0</v>
      </c>
      <c r="M198" s="27">
        <f t="shared" si="27"/>
        <v>0</v>
      </c>
      <c r="N198" s="11"/>
      <c r="O198" s="11">
        <v>12805.799999999988</v>
      </c>
      <c r="P198" s="11"/>
      <c r="Q198" s="11"/>
      <c r="R198" s="26">
        <f t="shared" si="28"/>
        <v>0</v>
      </c>
      <c r="S198" s="27">
        <f t="shared" si="29"/>
        <v>12805.799999999988</v>
      </c>
      <c r="T198" s="11">
        <f t="shared" si="30"/>
        <v>12805.799999999988</v>
      </c>
      <c r="U198" s="11">
        <f t="shared" si="31"/>
        <v>0</v>
      </c>
      <c r="V198" s="26">
        <f t="shared" si="32"/>
        <v>0</v>
      </c>
      <c r="W198" s="27">
        <f t="shared" si="33"/>
        <v>0</v>
      </c>
      <c r="X198" s="4">
        <v>8401</v>
      </c>
      <c r="Y198" s="4"/>
      <c r="Z198" s="4"/>
      <c r="AA198" s="12">
        <f t="shared" si="34"/>
        <v>1</v>
      </c>
      <c r="AC198" s="81"/>
      <c r="AD198" s="41"/>
      <c r="AE198" s="563"/>
      <c r="AF198" s="563"/>
    </row>
    <row r="199" spans="2:32" ht="12.75" customHeight="1">
      <c r="B199" s="108">
        <f t="shared" si="35"/>
        <v>196</v>
      </c>
      <c r="C199" s="6">
        <v>840400</v>
      </c>
      <c r="D199" s="6" t="s">
        <v>825</v>
      </c>
      <c r="E199" s="9" t="s">
        <v>32</v>
      </c>
      <c r="F199" s="6"/>
      <c r="G199" s="6"/>
      <c r="H199" s="11">
        <f>+STAT3!V199</f>
        <v>0</v>
      </c>
      <c r="I199" s="11">
        <f>+STAT3!W199</f>
        <v>0</v>
      </c>
      <c r="J199" s="11">
        <f>+SUMIFS(JURNAL!G:G,JURNAL!E:E,C199,JURNAL!C:C,"&gt;="&amp;$H$1,JURNAL!C:C,"&lt;="&amp;$I$1)</f>
        <v>0</v>
      </c>
      <c r="K199" s="11">
        <f>+SUMIFS(JURNAL!H:H,JURNAL!E:E,C199,JURNAL!C:C,"&gt;="&amp;$H$1,JURNAL!C:C,"&lt;="&amp;$I$1)</f>
        <v>0</v>
      </c>
      <c r="L199" s="26">
        <f t="shared" si="26"/>
        <v>0</v>
      </c>
      <c r="M199" s="27">
        <f t="shared" si="27"/>
        <v>0</v>
      </c>
      <c r="N199" s="11"/>
      <c r="O199" s="11"/>
      <c r="P199" s="11"/>
      <c r="Q199" s="11"/>
      <c r="R199" s="26">
        <f t="shared" si="28"/>
        <v>0</v>
      </c>
      <c r="S199" s="27">
        <f t="shared" si="29"/>
        <v>0</v>
      </c>
      <c r="T199" s="11">
        <f t="shared" si="30"/>
        <v>0</v>
      </c>
      <c r="U199" s="11">
        <f t="shared" si="31"/>
        <v>0</v>
      </c>
      <c r="V199" s="26">
        <f t="shared" si="32"/>
        <v>0</v>
      </c>
      <c r="W199" s="27">
        <f t="shared" si="33"/>
        <v>0</v>
      </c>
      <c r="X199" s="4">
        <v>5112</v>
      </c>
      <c r="Y199" s="4"/>
      <c r="Z199" s="4"/>
      <c r="AA199" s="12">
        <f>+IF(H199+I199+J199+K199+L199+M199+N199+O199+R199+S199+T199+U199+V199+W199,1,0)</f>
        <v>0</v>
      </c>
      <c r="AC199" s="81"/>
      <c r="AD199" s="41"/>
      <c r="AE199" s="563"/>
      <c r="AF199" s="563"/>
    </row>
    <row r="200" spans="2:32" ht="12.75" customHeight="1">
      <c r="B200" s="108">
        <f t="shared" si="35"/>
        <v>197</v>
      </c>
      <c r="C200" s="6">
        <v>840500</v>
      </c>
      <c r="D200" s="6" t="s">
        <v>828</v>
      </c>
      <c r="E200" s="9" t="s">
        <v>32</v>
      </c>
      <c r="F200" s="6"/>
      <c r="G200" s="6"/>
      <c r="H200" s="11">
        <f>+STAT3!V200</f>
        <v>0</v>
      </c>
      <c r="I200" s="11">
        <f>+STAT3!W200</f>
        <v>0</v>
      </c>
      <c r="J200" s="11">
        <f>+SUMIFS(JURNAL!G:G,JURNAL!E:E,C200,JURNAL!C:C,"&gt;="&amp;$H$1,JURNAL!C:C,"&lt;="&amp;$I$1)</f>
        <v>0</v>
      </c>
      <c r="K200" s="11">
        <f>+SUMIFS(JURNAL!H:H,JURNAL!E:E,C200,JURNAL!C:C,"&gt;="&amp;$H$1,JURNAL!C:C,"&lt;="&amp;$I$1)</f>
        <v>0</v>
      </c>
      <c r="L200" s="26">
        <f t="shared" si="26"/>
        <v>0</v>
      </c>
      <c r="M200" s="27">
        <f t="shared" si="27"/>
        <v>0</v>
      </c>
      <c r="N200" s="11"/>
      <c r="O200" s="11"/>
      <c r="P200" s="11"/>
      <c r="Q200" s="11"/>
      <c r="R200" s="26">
        <f t="shared" si="28"/>
        <v>0</v>
      </c>
      <c r="S200" s="27">
        <f t="shared" si="29"/>
        <v>0</v>
      </c>
      <c r="T200" s="11">
        <f t="shared" si="30"/>
        <v>0</v>
      </c>
      <c r="U200" s="11">
        <f t="shared" si="31"/>
        <v>0</v>
      </c>
      <c r="V200" s="26">
        <f t="shared" si="32"/>
        <v>0</v>
      </c>
      <c r="W200" s="27">
        <f t="shared" si="33"/>
        <v>0</v>
      </c>
      <c r="X200" s="4">
        <v>8405</v>
      </c>
      <c r="Y200" s="4"/>
      <c r="Z200" s="4"/>
      <c r="AA200" s="12">
        <f t="shared" si="34"/>
        <v>0</v>
      </c>
      <c r="AC200" s="81"/>
      <c r="AD200" s="41"/>
      <c r="AE200" s="563"/>
      <c r="AF200" s="563"/>
    </row>
    <row r="201" spans="2:32" ht="12.75" customHeight="1">
      <c r="B201" s="108">
        <f t="shared" si="35"/>
        <v>198</v>
      </c>
      <c r="C201" s="6">
        <v>840800</v>
      </c>
      <c r="D201" s="6" t="s">
        <v>834</v>
      </c>
      <c r="E201" s="9" t="s">
        <v>32</v>
      </c>
      <c r="F201" s="6"/>
      <c r="G201" s="6"/>
      <c r="H201" s="11">
        <f>+STAT3!V201</f>
        <v>0</v>
      </c>
      <c r="I201" s="11">
        <f>+STAT3!W201</f>
        <v>0</v>
      </c>
      <c r="J201" s="11">
        <f>+SUMIFS(JURNAL!G:G,JURNAL!E:E,C201,JURNAL!C:C,"&gt;="&amp;$H$1,JURNAL!C:C,"&lt;="&amp;$I$1)</f>
        <v>0</v>
      </c>
      <c r="K201" s="11">
        <f>+SUMIFS(JURNAL!H:H,JURNAL!E:E,C201,JURNAL!C:C,"&gt;="&amp;$H$1,JURNAL!C:C,"&lt;="&amp;$I$1)</f>
        <v>0</v>
      </c>
      <c r="L201" s="26">
        <f t="shared" si="26"/>
        <v>0</v>
      </c>
      <c r="M201" s="27">
        <f t="shared" si="27"/>
        <v>0</v>
      </c>
      <c r="N201" s="11"/>
      <c r="O201" s="11"/>
      <c r="P201" s="11"/>
      <c r="Q201" s="11"/>
      <c r="R201" s="26">
        <f t="shared" si="28"/>
        <v>0</v>
      </c>
      <c r="S201" s="27">
        <f t="shared" si="29"/>
        <v>0</v>
      </c>
      <c r="T201" s="11">
        <f t="shared" si="30"/>
        <v>0</v>
      </c>
      <c r="U201" s="11">
        <f t="shared" si="31"/>
        <v>0</v>
      </c>
      <c r="V201" s="26">
        <f t="shared" si="32"/>
        <v>0</v>
      </c>
      <c r="W201" s="27">
        <f t="shared" si="33"/>
        <v>0</v>
      </c>
      <c r="X201" s="4">
        <v>8400</v>
      </c>
      <c r="Y201" s="4"/>
      <c r="Z201" s="4"/>
      <c r="AA201" s="12">
        <f t="shared" si="34"/>
        <v>0</v>
      </c>
      <c r="AC201" s="81"/>
      <c r="AD201" s="41"/>
      <c r="AE201" s="563"/>
      <c r="AF201" s="563"/>
    </row>
    <row r="202" spans="2:32" ht="12.75" customHeight="1">
      <c r="B202" s="108">
        <f t="shared" si="35"/>
        <v>199</v>
      </c>
      <c r="C202" s="6">
        <v>840900</v>
      </c>
      <c r="D202" s="6" t="s">
        <v>836</v>
      </c>
      <c r="E202" s="9" t="s">
        <v>32</v>
      </c>
      <c r="F202" s="6"/>
      <c r="G202" s="6"/>
      <c r="H202" s="11">
        <f>+STAT3!V202</f>
        <v>0</v>
      </c>
      <c r="I202" s="11">
        <f>+STAT3!W202</f>
        <v>0</v>
      </c>
      <c r="J202" s="11">
        <f>+SUMIFS(JURNAL!G:G,JURNAL!E:E,C202,JURNAL!C:C,"&gt;="&amp;$H$1,JURNAL!C:C,"&lt;="&amp;$I$1)</f>
        <v>0</v>
      </c>
      <c r="K202" s="11">
        <f>+SUMIFS(JURNAL!H:H,JURNAL!E:E,C202,JURNAL!C:C,"&gt;="&amp;$H$1,JURNAL!C:C,"&lt;="&amp;$I$1)</f>
        <v>0</v>
      </c>
      <c r="L202" s="26">
        <f t="shared" si="26"/>
        <v>0</v>
      </c>
      <c r="M202" s="27">
        <f t="shared" si="27"/>
        <v>0</v>
      </c>
      <c r="N202" s="11"/>
      <c r="O202" s="11"/>
      <c r="P202" s="11"/>
      <c r="Q202" s="11"/>
      <c r="R202" s="26">
        <f t="shared" si="28"/>
        <v>0</v>
      </c>
      <c r="S202" s="27">
        <f t="shared" si="29"/>
        <v>0</v>
      </c>
      <c r="T202" s="11">
        <f t="shared" si="30"/>
        <v>0</v>
      </c>
      <c r="U202" s="11">
        <f t="shared" si="31"/>
        <v>0</v>
      </c>
      <c r="V202" s="26">
        <f t="shared" si="32"/>
        <v>0</v>
      </c>
      <c r="W202" s="27">
        <f t="shared" si="33"/>
        <v>0</v>
      </c>
      <c r="X202" s="4">
        <v>8409</v>
      </c>
      <c r="Y202" s="4"/>
      <c r="Z202" s="4"/>
      <c r="AA202" s="12">
        <f t="shared" si="34"/>
        <v>0</v>
      </c>
      <c r="AC202" s="81"/>
      <c r="AD202" s="41"/>
      <c r="AE202" s="563"/>
      <c r="AF202" s="563"/>
    </row>
    <row r="203" spans="2:32" ht="12.75" customHeight="1">
      <c r="B203" s="108">
        <f t="shared" si="35"/>
        <v>200</v>
      </c>
      <c r="C203" s="6">
        <v>870000</v>
      </c>
      <c r="D203" s="6" t="s">
        <v>840</v>
      </c>
      <c r="E203" s="9" t="s">
        <v>32</v>
      </c>
      <c r="F203" s="6"/>
      <c r="G203" s="6"/>
      <c r="H203" s="11">
        <f>+STAT3!V203</f>
        <v>0</v>
      </c>
      <c r="I203" s="11">
        <f>+STAT3!W203</f>
        <v>0</v>
      </c>
      <c r="J203" s="11">
        <f>+SUMIFS(JURNAL!G:G,JURNAL!E:E,C203,JURNAL!C:C,"&gt;="&amp;$H$1,JURNAL!C:C,"&lt;="&amp;$I$1)</f>
        <v>0</v>
      </c>
      <c r="K203" s="11">
        <f>+SUMIFS(JURNAL!H:H,JURNAL!E:E,C203,JURNAL!C:C,"&gt;="&amp;$H$1,JURNAL!C:C,"&lt;="&amp;$I$1)</f>
        <v>0</v>
      </c>
      <c r="L203" s="26">
        <f t="shared" si="26"/>
        <v>0</v>
      </c>
      <c r="M203" s="27">
        <f t="shared" si="27"/>
        <v>0</v>
      </c>
      <c r="N203" s="11"/>
      <c r="O203" s="11"/>
      <c r="P203" s="11"/>
      <c r="Q203" s="11"/>
      <c r="R203" s="26">
        <f t="shared" si="28"/>
        <v>0</v>
      </c>
      <c r="S203" s="27">
        <f t="shared" si="29"/>
        <v>0</v>
      </c>
      <c r="T203" s="11">
        <f t="shared" si="30"/>
        <v>0</v>
      </c>
      <c r="U203" s="11">
        <f t="shared" si="31"/>
        <v>0</v>
      </c>
      <c r="V203" s="26">
        <f t="shared" si="32"/>
        <v>0</v>
      </c>
      <c r="W203" s="27">
        <f t="shared" si="33"/>
        <v>0</v>
      </c>
      <c r="X203" s="4">
        <v>8400</v>
      </c>
      <c r="Y203" s="4"/>
      <c r="Z203" s="4"/>
      <c r="AA203" s="12">
        <f t="shared" si="34"/>
        <v>0</v>
      </c>
      <c r="AC203" s="81"/>
      <c r="AD203" s="41"/>
      <c r="AE203" s="563"/>
      <c r="AF203" s="563"/>
    </row>
    <row r="204" spans="2:32" ht="12.75" customHeight="1">
      <c r="B204" s="108">
        <f t="shared" si="35"/>
        <v>201</v>
      </c>
      <c r="C204" s="6">
        <v>870100</v>
      </c>
      <c r="D204" s="6" t="s">
        <v>843</v>
      </c>
      <c r="E204" s="9" t="s">
        <v>32</v>
      </c>
      <c r="F204" s="6"/>
      <c r="G204" s="6"/>
      <c r="H204" s="11">
        <f>+STAT3!V204</f>
        <v>0</v>
      </c>
      <c r="I204" s="11">
        <f>+STAT3!W204</f>
        <v>0</v>
      </c>
      <c r="J204" s="11">
        <f>+SUMIFS(JURNAL!G:G,JURNAL!E:E,C204,JURNAL!C:C,"&gt;="&amp;$H$1,JURNAL!C:C,"&lt;="&amp;$I$1)</f>
        <v>0</v>
      </c>
      <c r="K204" s="11">
        <f>+SUMIFS(JURNAL!H:H,JURNAL!E:E,C204,JURNAL!C:C,"&gt;="&amp;$H$1,JURNAL!C:C,"&lt;="&amp;$I$1)</f>
        <v>0</v>
      </c>
      <c r="L204" s="26">
        <f t="shared" ref="L204:L215" si="36">+IF((H204+J204)&gt;(I204+K204),(H204+J204)-(I204+K204),0)</f>
        <v>0</v>
      </c>
      <c r="M204" s="27">
        <f t="shared" ref="M204:M215" si="37">+IF((H204+J204)&lt;(I204+K204),(I204+K204)-(H204+J204),0)</f>
        <v>0</v>
      </c>
      <c r="N204" s="11"/>
      <c r="O204" s="11"/>
      <c r="P204" s="11"/>
      <c r="Q204" s="11"/>
      <c r="R204" s="26">
        <f t="shared" ref="R204:R215" si="38">+IF((L204+N204)&gt;(M204+O204),(L204+N204)-(M204+O204),0)</f>
        <v>0</v>
      </c>
      <c r="S204" s="27">
        <f t="shared" ref="S204:S215" si="39">+IF((L204+N204)&lt;(M204+O204),(M204+O204)-(L204+N204),0)</f>
        <v>0</v>
      </c>
      <c r="T204" s="11">
        <f t="shared" ref="T204:T214" si="40">+S204</f>
        <v>0</v>
      </c>
      <c r="U204" s="11">
        <f t="shared" ref="U204:U214" si="41">+R204</f>
        <v>0</v>
      </c>
      <c r="V204" s="26">
        <f t="shared" ref="V204:V215" si="42">+IF((R204+T204)&gt;(S204+U204),(R204+T204)-(S204+U204),0)</f>
        <v>0</v>
      </c>
      <c r="W204" s="27">
        <f t="shared" ref="W204:W215" si="43">+IF((R204+T204)&lt;(S204+U204),(S204+U204)-(R204+T204),0)</f>
        <v>0</v>
      </c>
      <c r="X204" s="4">
        <v>8401</v>
      </c>
      <c r="Y204" s="4"/>
      <c r="Z204" s="4"/>
      <c r="AA204" s="12">
        <f t="shared" ref="AA204:AA214" si="44">+IF(H204+I204+J204+K204+L204+M204+N204+O204+R204+S204+T204+U204+V204+W204,1,0)</f>
        <v>0</v>
      </c>
      <c r="AC204" s="81"/>
      <c r="AD204" s="41"/>
      <c r="AE204" s="563"/>
      <c r="AF204" s="563"/>
    </row>
    <row r="205" spans="2:32" ht="12.75" customHeight="1">
      <c r="B205" s="108">
        <f t="shared" si="35"/>
        <v>202</v>
      </c>
      <c r="C205" s="6">
        <v>870200</v>
      </c>
      <c r="D205" s="6" t="s">
        <v>846</v>
      </c>
      <c r="E205" s="9" t="s">
        <v>32</v>
      </c>
      <c r="F205" s="6"/>
      <c r="G205" s="6"/>
      <c r="H205" s="11">
        <f>+STAT3!V205</f>
        <v>0</v>
      </c>
      <c r="I205" s="11">
        <f>+STAT3!W205</f>
        <v>0</v>
      </c>
      <c r="J205" s="11">
        <f>+SUMIFS(JURNAL!G:G,JURNAL!E:E,C205,JURNAL!C:C,"&gt;="&amp;$H$1,JURNAL!C:C,"&lt;="&amp;$I$1)</f>
        <v>0</v>
      </c>
      <c r="K205" s="11">
        <f>+SUMIFS(JURNAL!H:H,JURNAL!E:E,C205,JURNAL!C:C,"&gt;="&amp;$H$1,JURNAL!C:C,"&lt;="&amp;$I$1)</f>
        <v>0</v>
      </c>
      <c r="L205" s="26">
        <f t="shared" si="36"/>
        <v>0</v>
      </c>
      <c r="M205" s="27">
        <f t="shared" si="37"/>
        <v>0</v>
      </c>
      <c r="N205" s="11"/>
      <c r="O205" s="11"/>
      <c r="P205" s="11"/>
      <c r="Q205" s="11"/>
      <c r="R205" s="26">
        <f t="shared" si="38"/>
        <v>0</v>
      </c>
      <c r="S205" s="27">
        <f t="shared" si="39"/>
        <v>0</v>
      </c>
      <c r="T205" s="11">
        <f t="shared" si="40"/>
        <v>0</v>
      </c>
      <c r="U205" s="11">
        <f t="shared" si="41"/>
        <v>0</v>
      </c>
      <c r="V205" s="26">
        <f t="shared" si="42"/>
        <v>0</v>
      </c>
      <c r="W205" s="27">
        <f t="shared" si="43"/>
        <v>0</v>
      </c>
      <c r="X205" s="4">
        <v>8401</v>
      </c>
      <c r="Y205" s="4"/>
      <c r="Z205" s="4"/>
      <c r="AA205" s="12">
        <f t="shared" si="44"/>
        <v>0</v>
      </c>
      <c r="AC205" s="81"/>
      <c r="AD205" s="41"/>
      <c r="AE205" s="563"/>
      <c r="AF205" s="563"/>
    </row>
    <row r="206" spans="2:32" ht="12.75" customHeight="1">
      <c r="B206" s="108">
        <f t="shared" si="35"/>
        <v>203</v>
      </c>
      <c r="C206" s="6">
        <v>870300</v>
      </c>
      <c r="D206" s="6" t="s">
        <v>276</v>
      </c>
      <c r="E206" s="9" t="s">
        <v>32</v>
      </c>
      <c r="F206" s="6"/>
      <c r="G206" s="6"/>
      <c r="H206" s="11">
        <f>+STAT3!V206</f>
        <v>0</v>
      </c>
      <c r="I206" s="11">
        <f>+STAT3!W206</f>
        <v>0</v>
      </c>
      <c r="J206" s="11">
        <f>+SUMIFS(JURNAL!G:G,JURNAL!E:E,C206,JURNAL!C:C,"&gt;="&amp;$H$1,JURNAL!C:C,"&lt;="&amp;$I$1)</f>
        <v>0</v>
      </c>
      <c r="K206" s="11">
        <f>+SUMIFS(JURNAL!H:H,JURNAL!E:E,C206,JURNAL!C:C,"&gt;="&amp;$H$1,JURNAL!C:C,"&lt;="&amp;$I$1)</f>
        <v>0</v>
      </c>
      <c r="L206" s="26">
        <f t="shared" si="36"/>
        <v>0</v>
      </c>
      <c r="M206" s="27">
        <f t="shared" si="37"/>
        <v>0</v>
      </c>
      <c r="N206" s="11"/>
      <c r="O206" s="11"/>
      <c r="P206" s="11"/>
      <c r="Q206" s="11"/>
      <c r="R206" s="26">
        <f t="shared" si="38"/>
        <v>0</v>
      </c>
      <c r="S206" s="27">
        <f t="shared" si="39"/>
        <v>0</v>
      </c>
      <c r="T206" s="11">
        <f t="shared" si="40"/>
        <v>0</v>
      </c>
      <c r="U206" s="11">
        <f t="shared" si="41"/>
        <v>0</v>
      </c>
      <c r="V206" s="26">
        <f t="shared" si="42"/>
        <v>0</v>
      </c>
      <c r="W206" s="27">
        <f t="shared" si="43"/>
        <v>0</v>
      </c>
      <c r="X206" s="4">
        <v>7201</v>
      </c>
      <c r="Y206" s="4"/>
      <c r="Z206" s="4"/>
      <c r="AA206" s="12">
        <f t="shared" si="44"/>
        <v>0</v>
      </c>
      <c r="AC206" s="81"/>
      <c r="AD206" s="41"/>
      <c r="AE206" s="563"/>
      <c r="AF206" s="563"/>
    </row>
    <row r="207" spans="2:32" ht="12.75" customHeight="1">
      <c r="B207" s="108">
        <f t="shared" si="35"/>
        <v>204</v>
      </c>
      <c r="C207" s="6">
        <v>870400</v>
      </c>
      <c r="D207" s="6" t="s">
        <v>851</v>
      </c>
      <c r="E207" s="9" t="s">
        <v>32</v>
      </c>
      <c r="F207" s="6"/>
      <c r="G207" s="6"/>
      <c r="H207" s="11">
        <f>+STAT3!V207</f>
        <v>0</v>
      </c>
      <c r="I207" s="11">
        <f>+STAT3!W207</f>
        <v>0</v>
      </c>
      <c r="J207" s="11">
        <f>+SUMIFS(JURNAL!G:G,JURNAL!E:E,C207,JURNAL!C:C,"&gt;="&amp;$H$1,JURNAL!C:C,"&lt;="&amp;$I$1)</f>
        <v>0</v>
      </c>
      <c r="K207" s="11">
        <f>+SUMIFS(JURNAL!H:H,JURNAL!E:E,C207,JURNAL!C:C,"&gt;="&amp;$H$1,JURNAL!C:C,"&lt;="&amp;$I$1)</f>
        <v>0</v>
      </c>
      <c r="L207" s="26">
        <f t="shared" si="36"/>
        <v>0</v>
      </c>
      <c r="M207" s="27">
        <f t="shared" si="37"/>
        <v>0</v>
      </c>
      <c r="N207" s="11"/>
      <c r="O207" s="11"/>
      <c r="P207" s="11"/>
      <c r="Q207" s="11"/>
      <c r="R207" s="26">
        <f t="shared" si="38"/>
        <v>0</v>
      </c>
      <c r="S207" s="27">
        <f t="shared" si="39"/>
        <v>0</v>
      </c>
      <c r="T207" s="11">
        <f t="shared" si="40"/>
        <v>0</v>
      </c>
      <c r="U207" s="11">
        <f t="shared" si="41"/>
        <v>0</v>
      </c>
      <c r="V207" s="26">
        <f t="shared" si="42"/>
        <v>0</v>
      </c>
      <c r="W207" s="27">
        <f t="shared" si="43"/>
        <v>0</v>
      </c>
      <c r="X207" s="4">
        <v>7201</v>
      </c>
      <c r="Y207" s="4"/>
      <c r="Z207" s="4"/>
      <c r="AA207" s="12">
        <f t="shared" si="44"/>
        <v>0</v>
      </c>
      <c r="AC207" s="81"/>
      <c r="AD207" s="41"/>
      <c r="AE207" s="563"/>
      <c r="AF207" s="563"/>
    </row>
    <row r="208" spans="2:32" ht="12.75" customHeight="1">
      <c r="B208" s="108">
        <f t="shared" si="35"/>
        <v>205</v>
      </c>
      <c r="C208" s="6">
        <v>870500</v>
      </c>
      <c r="D208" s="6" t="s">
        <v>854</v>
      </c>
      <c r="E208" s="9" t="s">
        <v>32</v>
      </c>
      <c r="F208" s="6"/>
      <c r="G208" s="6"/>
      <c r="H208" s="11">
        <f>+STAT3!V208</f>
        <v>0</v>
      </c>
      <c r="I208" s="11">
        <f>+STAT3!W208</f>
        <v>0</v>
      </c>
      <c r="J208" s="11">
        <f>+SUMIFS(JURNAL!G:G,JURNAL!E:E,C208,JURNAL!C:C,"&gt;="&amp;$H$1,JURNAL!C:C,"&lt;="&amp;$I$1)</f>
        <v>0</v>
      </c>
      <c r="K208" s="11">
        <f>+SUMIFS(JURNAL!H:H,JURNAL!E:E,C208,JURNAL!C:C,"&gt;="&amp;$H$1,JURNAL!C:C,"&lt;="&amp;$I$1)</f>
        <v>0</v>
      </c>
      <c r="L208" s="26">
        <f t="shared" si="36"/>
        <v>0</v>
      </c>
      <c r="M208" s="27">
        <f t="shared" si="37"/>
        <v>0</v>
      </c>
      <c r="N208" s="11"/>
      <c r="O208" s="11"/>
      <c r="P208" s="11"/>
      <c r="Q208" s="11"/>
      <c r="R208" s="26">
        <f t="shared" si="38"/>
        <v>0</v>
      </c>
      <c r="S208" s="27">
        <f t="shared" si="39"/>
        <v>0</v>
      </c>
      <c r="T208" s="11">
        <f t="shared" si="40"/>
        <v>0</v>
      </c>
      <c r="U208" s="11">
        <f t="shared" si="41"/>
        <v>0</v>
      </c>
      <c r="V208" s="26">
        <f t="shared" si="42"/>
        <v>0</v>
      </c>
      <c r="W208" s="27">
        <f t="shared" si="43"/>
        <v>0</v>
      </c>
      <c r="X208" s="4">
        <v>8405</v>
      </c>
      <c r="Y208" s="4"/>
      <c r="Z208" s="4"/>
      <c r="AA208" s="12">
        <f t="shared" si="44"/>
        <v>0</v>
      </c>
      <c r="AC208" s="81"/>
      <c r="AD208" s="41"/>
      <c r="AE208" s="563"/>
      <c r="AF208" s="563"/>
    </row>
    <row r="209" spans="2:32" ht="12.75" customHeight="1">
      <c r="B209" s="108">
        <f t="shared" si="35"/>
        <v>206</v>
      </c>
      <c r="C209" s="6">
        <v>870700</v>
      </c>
      <c r="D209" s="6" t="s">
        <v>857</v>
      </c>
      <c r="E209" s="9" t="s">
        <v>32</v>
      </c>
      <c r="F209" s="6"/>
      <c r="G209" s="6"/>
      <c r="H209" s="11">
        <f>+STAT3!V209</f>
        <v>0</v>
      </c>
      <c r="I209" s="11">
        <f>+STAT3!W209</f>
        <v>0</v>
      </c>
      <c r="J209" s="11">
        <f>+SUMIFS(JURNAL!G:G,JURNAL!E:E,C209,JURNAL!C:C,"&gt;="&amp;$H$1,JURNAL!C:C,"&lt;="&amp;$I$1)</f>
        <v>0</v>
      </c>
      <c r="K209" s="11">
        <f>+SUMIFS(JURNAL!H:H,JURNAL!E:E,C209,JURNAL!C:C,"&gt;="&amp;$H$1,JURNAL!C:C,"&lt;="&amp;$I$1)</f>
        <v>0</v>
      </c>
      <c r="L209" s="26">
        <f t="shared" si="36"/>
        <v>0</v>
      </c>
      <c r="M209" s="27">
        <f t="shared" si="37"/>
        <v>0</v>
      </c>
      <c r="N209" s="11"/>
      <c r="O209" s="11"/>
      <c r="P209" s="11"/>
      <c r="Q209" s="11"/>
      <c r="R209" s="26">
        <f t="shared" si="38"/>
        <v>0</v>
      </c>
      <c r="S209" s="27">
        <f t="shared" si="39"/>
        <v>0</v>
      </c>
      <c r="T209" s="11">
        <f t="shared" si="40"/>
        <v>0</v>
      </c>
      <c r="U209" s="11">
        <f t="shared" si="41"/>
        <v>0</v>
      </c>
      <c r="V209" s="26">
        <f t="shared" si="42"/>
        <v>0</v>
      </c>
      <c r="W209" s="27">
        <f t="shared" si="43"/>
        <v>0</v>
      </c>
      <c r="X209" s="4">
        <v>8400</v>
      </c>
      <c r="Y209" s="4"/>
      <c r="Z209" s="4"/>
      <c r="AA209" s="12">
        <f t="shared" si="44"/>
        <v>0</v>
      </c>
      <c r="AC209" s="81"/>
      <c r="AD209" s="41"/>
      <c r="AE209" s="563"/>
      <c r="AF209" s="563"/>
    </row>
    <row r="210" spans="2:32" ht="12.75" customHeight="1">
      <c r="B210" s="108">
        <f t="shared" si="35"/>
        <v>207</v>
      </c>
      <c r="C210" s="6">
        <v>870800</v>
      </c>
      <c r="D210" s="6" t="s">
        <v>860</v>
      </c>
      <c r="E210" s="9" t="s">
        <v>32</v>
      </c>
      <c r="F210" s="6"/>
      <c r="G210" s="6"/>
      <c r="H210" s="11">
        <f>+STAT3!V210</f>
        <v>0</v>
      </c>
      <c r="I210" s="11">
        <f>+STAT3!W210</f>
        <v>0</v>
      </c>
      <c r="J210" s="11">
        <f>+SUMIFS(JURNAL!G:G,JURNAL!E:E,C210,JURNAL!C:C,"&gt;="&amp;$H$1,JURNAL!C:C,"&lt;="&amp;$I$1)</f>
        <v>0</v>
      </c>
      <c r="K210" s="11">
        <f>+SUMIFS(JURNAL!H:H,JURNAL!E:E,C210,JURNAL!C:C,"&gt;="&amp;$H$1,JURNAL!C:C,"&lt;="&amp;$I$1)</f>
        <v>0</v>
      </c>
      <c r="L210" s="26">
        <f t="shared" si="36"/>
        <v>0</v>
      </c>
      <c r="M210" s="27">
        <f t="shared" si="37"/>
        <v>0</v>
      </c>
      <c r="N210" s="11"/>
      <c r="O210" s="11"/>
      <c r="P210" s="11"/>
      <c r="Q210" s="11"/>
      <c r="R210" s="26">
        <f t="shared" si="38"/>
        <v>0</v>
      </c>
      <c r="S210" s="27">
        <f t="shared" si="39"/>
        <v>0</v>
      </c>
      <c r="T210" s="11">
        <f t="shared" si="40"/>
        <v>0</v>
      </c>
      <c r="U210" s="11">
        <f t="shared" si="41"/>
        <v>0</v>
      </c>
      <c r="V210" s="26">
        <f t="shared" si="42"/>
        <v>0</v>
      </c>
      <c r="W210" s="27">
        <f t="shared" si="43"/>
        <v>0</v>
      </c>
      <c r="X210" s="4">
        <v>7202</v>
      </c>
      <c r="Y210" s="4"/>
      <c r="Z210" s="4"/>
      <c r="AA210" s="12">
        <f t="shared" si="44"/>
        <v>0</v>
      </c>
      <c r="AC210" s="81"/>
      <c r="AD210" s="41"/>
      <c r="AE210" s="563"/>
      <c r="AF210" s="563"/>
    </row>
    <row r="211" spans="2:32" ht="12.75" customHeight="1">
      <c r="B211" s="108">
        <f t="shared" si="35"/>
        <v>208</v>
      </c>
      <c r="C211" s="6">
        <v>870900</v>
      </c>
      <c r="D211" s="6" t="s">
        <v>862</v>
      </c>
      <c r="E211" s="9" t="s">
        <v>32</v>
      </c>
      <c r="F211" s="6"/>
      <c r="G211" s="6"/>
      <c r="H211" s="11">
        <f>+STAT3!V211</f>
        <v>0</v>
      </c>
      <c r="I211" s="11">
        <f>+STAT3!W211</f>
        <v>0</v>
      </c>
      <c r="J211" s="11">
        <f>+SUMIFS(JURNAL!G:G,JURNAL!E:E,C211,JURNAL!C:C,"&gt;="&amp;$H$1,JURNAL!C:C,"&lt;="&amp;$I$1)</f>
        <v>0</v>
      </c>
      <c r="K211" s="11">
        <f>+SUMIFS(JURNAL!H:H,JURNAL!E:E,C211,JURNAL!C:C,"&gt;="&amp;$H$1,JURNAL!C:C,"&lt;="&amp;$I$1)</f>
        <v>0</v>
      </c>
      <c r="L211" s="26">
        <f t="shared" si="36"/>
        <v>0</v>
      </c>
      <c r="M211" s="27">
        <f t="shared" si="37"/>
        <v>0</v>
      </c>
      <c r="N211" s="11"/>
      <c r="O211" s="11"/>
      <c r="P211" s="11"/>
      <c r="Q211" s="11"/>
      <c r="R211" s="26">
        <f t="shared" si="38"/>
        <v>0</v>
      </c>
      <c r="S211" s="27">
        <f t="shared" si="39"/>
        <v>0</v>
      </c>
      <c r="T211" s="11">
        <f t="shared" si="40"/>
        <v>0</v>
      </c>
      <c r="U211" s="11">
        <f t="shared" si="41"/>
        <v>0</v>
      </c>
      <c r="V211" s="26">
        <f t="shared" si="42"/>
        <v>0</v>
      </c>
      <c r="W211" s="27">
        <f t="shared" si="43"/>
        <v>0</v>
      </c>
      <c r="X211" s="4">
        <v>8409</v>
      </c>
      <c r="Y211" s="4"/>
      <c r="Z211" s="4"/>
      <c r="AA211" s="12">
        <f t="shared" si="44"/>
        <v>0</v>
      </c>
      <c r="AC211" s="81"/>
      <c r="AD211" s="41"/>
      <c r="AE211" s="563"/>
      <c r="AF211" s="563"/>
    </row>
    <row r="212" spans="2:32" ht="12.75" customHeight="1">
      <c r="B212" s="108">
        <f t="shared" si="35"/>
        <v>209</v>
      </c>
      <c r="C212" s="6">
        <v>871100</v>
      </c>
      <c r="D212" s="6" t="s">
        <v>865</v>
      </c>
      <c r="E212" s="9" t="s">
        <v>32</v>
      </c>
      <c r="F212" s="6"/>
      <c r="G212" s="6"/>
      <c r="H212" s="11">
        <f>+STAT3!V212</f>
        <v>0</v>
      </c>
      <c r="I212" s="11">
        <f>+STAT3!W212</f>
        <v>0</v>
      </c>
      <c r="J212" s="11">
        <f>+SUMIFS(JURNAL!G:G,JURNAL!E:E,C212,JURNAL!C:C,"&gt;="&amp;$H$1,JURNAL!C:C,"&lt;="&amp;$I$1)</f>
        <v>0</v>
      </c>
      <c r="K212" s="11">
        <f>+SUMIFS(JURNAL!H:H,JURNAL!E:E,C212,JURNAL!C:C,"&gt;="&amp;$H$1,JURNAL!C:C,"&lt;="&amp;$I$1)</f>
        <v>0</v>
      </c>
      <c r="L212" s="26">
        <f t="shared" si="36"/>
        <v>0</v>
      </c>
      <c r="M212" s="27">
        <f t="shared" si="37"/>
        <v>0</v>
      </c>
      <c r="N212" s="11"/>
      <c r="O212" s="11"/>
      <c r="P212" s="11"/>
      <c r="Q212" s="11"/>
      <c r="R212" s="26">
        <f t="shared" si="38"/>
        <v>0</v>
      </c>
      <c r="S212" s="27">
        <f t="shared" si="39"/>
        <v>0</v>
      </c>
      <c r="T212" s="11">
        <f t="shared" si="40"/>
        <v>0</v>
      </c>
      <c r="U212" s="11">
        <f t="shared" si="41"/>
        <v>0</v>
      </c>
      <c r="V212" s="26">
        <f t="shared" si="42"/>
        <v>0</v>
      </c>
      <c r="W212" s="27">
        <f t="shared" si="43"/>
        <v>0</v>
      </c>
      <c r="X212" s="4">
        <v>7202</v>
      </c>
      <c r="Y212" s="4"/>
      <c r="Z212" s="4"/>
      <c r="AA212" s="12">
        <f t="shared" si="44"/>
        <v>0</v>
      </c>
      <c r="AC212" s="81"/>
      <c r="AD212" s="41"/>
      <c r="AE212" s="563"/>
      <c r="AF212" s="563"/>
    </row>
    <row r="213" spans="2:32" ht="12.75" customHeight="1">
      <c r="B213" s="108">
        <f t="shared" si="35"/>
        <v>210</v>
      </c>
      <c r="C213" s="6">
        <v>871200</v>
      </c>
      <c r="D213" s="6" t="s">
        <v>868</v>
      </c>
      <c r="E213" s="9" t="s">
        <v>32</v>
      </c>
      <c r="F213" s="6"/>
      <c r="G213" s="6"/>
      <c r="H213" s="11">
        <f>+STAT3!V213</f>
        <v>0</v>
      </c>
      <c r="I213" s="11">
        <f>+STAT3!W213</f>
        <v>0</v>
      </c>
      <c r="J213" s="11">
        <f>+SUMIFS(JURNAL!G:G,JURNAL!E:E,C213,JURNAL!C:C,"&gt;="&amp;$H$1,JURNAL!C:C,"&lt;="&amp;$I$1)</f>
        <v>0</v>
      </c>
      <c r="K213" s="11">
        <f>+SUMIFS(JURNAL!H:H,JURNAL!E:E,C213,JURNAL!C:C,"&gt;="&amp;$H$1,JURNAL!C:C,"&lt;="&amp;$I$1)</f>
        <v>0</v>
      </c>
      <c r="L213" s="26">
        <f t="shared" si="36"/>
        <v>0</v>
      </c>
      <c r="M213" s="27">
        <f t="shared" si="37"/>
        <v>0</v>
      </c>
      <c r="N213" s="11"/>
      <c r="O213" s="11"/>
      <c r="P213" s="11"/>
      <c r="Q213" s="11"/>
      <c r="R213" s="26">
        <f t="shared" si="38"/>
        <v>0</v>
      </c>
      <c r="S213" s="27">
        <f t="shared" si="39"/>
        <v>0</v>
      </c>
      <c r="T213" s="11">
        <f t="shared" si="40"/>
        <v>0</v>
      </c>
      <c r="U213" s="11">
        <f t="shared" si="41"/>
        <v>0</v>
      </c>
      <c r="V213" s="26">
        <f t="shared" si="42"/>
        <v>0</v>
      </c>
      <c r="W213" s="27">
        <f t="shared" si="43"/>
        <v>0</v>
      </c>
      <c r="X213" s="4">
        <v>8402</v>
      </c>
      <c r="Y213" s="4"/>
      <c r="Z213" s="4"/>
      <c r="AA213" s="12">
        <f t="shared" si="44"/>
        <v>0</v>
      </c>
      <c r="AC213" s="81"/>
      <c r="AD213" s="41"/>
      <c r="AE213" s="563"/>
      <c r="AF213" s="563"/>
    </row>
    <row r="214" spans="2:32" ht="12.75" customHeight="1">
      <c r="B214" s="108">
        <f t="shared" si="35"/>
        <v>211</v>
      </c>
      <c r="C214" s="6">
        <v>910100</v>
      </c>
      <c r="D214" s="6" t="s">
        <v>278</v>
      </c>
      <c r="E214" s="9" t="s">
        <v>32</v>
      </c>
      <c r="F214" s="6"/>
      <c r="G214" s="6"/>
      <c r="H214" s="11">
        <f>+STAT3!V214</f>
        <v>0</v>
      </c>
      <c r="I214" s="11">
        <f>+STAT3!W214</f>
        <v>0</v>
      </c>
      <c r="J214" s="11">
        <f>+SUMIFS(JURNAL!G:G,JURNAL!E:E,C214,JURNAL!C:C,"&gt;="&amp;$H$1,JURNAL!C:C,"&lt;="&amp;$I$1)</f>
        <v>0</v>
      </c>
      <c r="K214" s="11">
        <f>+SUMIFS(JURNAL!H:H,JURNAL!E:E,C214,JURNAL!C:C,"&gt;="&amp;$H$1,JURNAL!C:C,"&lt;="&amp;$I$1)</f>
        <v>0</v>
      </c>
      <c r="L214" s="26">
        <f t="shared" si="36"/>
        <v>0</v>
      </c>
      <c r="M214" s="27">
        <f t="shared" si="37"/>
        <v>0</v>
      </c>
      <c r="N214" s="11"/>
      <c r="O214" s="11"/>
      <c r="P214" s="11"/>
      <c r="Q214" s="11"/>
      <c r="R214" s="26">
        <f t="shared" si="38"/>
        <v>0</v>
      </c>
      <c r="S214" s="27">
        <f t="shared" si="39"/>
        <v>0</v>
      </c>
      <c r="T214" s="11">
        <f t="shared" si="40"/>
        <v>0</v>
      </c>
      <c r="U214" s="11">
        <f t="shared" si="41"/>
        <v>0</v>
      </c>
      <c r="V214" s="26">
        <f t="shared" si="42"/>
        <v>0</v>
      </c>
      <c r="W214" s="27">
        <f t="shared" si="43"/>
        <v>0</v>
      </c>
      <c r="X214" s="4">
        <v>9101</v>
      </c>
      <c r="Y214" s="4"/>
      <c r="Z214" s="4"/>
      <c r="AA214" s="12">
        <f t="shared" si="44"/>
        <v>0</v>
      </c>
      <c r="AC214" s="81"/>
      <c r="AD214" s="41"/>
      <c r="AE214" s="563"/>
      <c r="AF214" s="563"/>
    </row>
    <row r="215" spans="2:32" ht="12.75" customHeight="1">
      <c r="B215" s="108">
        <f t="shared" si="35"/>
        <v>212</v>
      </c>
      <c r="C215" s="6">
        <v>920100</v>
      </c>
      <c r="D215" s="6" t="s">
        <v>874</v>
      </c>
      <c r="E215" s="9" t="s">
        <v>32</v>
      </c>
      <c r="F215" s="6"/>
      <c r="G215" s="6"/>
      <c r="H215" s="11">
        <f>+STAT3!V215</f>
        <v>0</v>
      </c>
      <c r="I215" s="11">
        <f>+STAT3!W215</f>
        <v>0</v>
      </c>
      <c r="J215" s="11">
        <f>+SUMIFS(JURNAL!G:G,JURNAL!E:E,C215,JURNAL!C:C,"&gt;="&amp;$H$1,JURNAL!C:C,"&lt;="&amp;$I$1)</f>
        <v>0</v>
      </c>
      <c r="K215" s="11">
        <f>+SUMIFS(JURNAL!H:H,JURNAL!E:E,C215,JURNAL!C:C,"&gt;="&amp;$H$1,JURNAL!C:C,"&lt;="&amp;$I$1)</f>
        <v>0</v>
      </c>
      <c r="L215" s="26">
        <f t="shared" si="36"/>
        <v>0</v>
      </c>
      <c r="M215" s="27">
        <f t="shared" si="37"/>
        <v>0</v>
      </c>
      <c r="N215" s="11"/>
      <c r="O215" s="11"/>
      <c r="P215" s="11"/>
      <c r="Q215" s="11"/>
      <c r="R215" s="26">
        <f t="shared" si="38"/>
        <v>0</v>
      </c>
      <c r="S215" s="27">
        <f t="shared" si="39"/>
        <v>0</v>
      </c>
      <c r="T215" s="11">
        <v>77365841.294166267</v>
      </c>
      <c r="U215" s="11">
        <v>77365841.294166267</v>
      </c>
      <c r="V215" s="26">
        <f t="shared" si="42"/>
        <v>0</v>
      </c>
      <c r="W215" s="27">
        <f t="shared" si="43"/>
        <v>0</v>
      </c>
      <c r="X215" s="4"/>
      <c r="Y215" s="4"/>
      <c r="Z215" s="4"/>
      <c r="AA215" s="12">
        <v>1</v>
      </c>
      <c r="AC215" s="81"/>
      <c r="AD215" s="41"/>
      <c r="AE215" s="563"/>
      <c r="AF215" s="563"/>
    </row>
    <row r="216" spans="2:32" ht="12.75" customHeight="1">
      <c r="B216" s="188"/>
      <c r="C216" s="137"/>
      <c r="D216" s="188" t="s">
        <v>39</v>
      </c>
      <c r="E216" s="403"/>
      <c r="F216" s="13">
        <f t="shared" ref="F216:Q216" si="45">SUM(F140:F215)</f>
        <v>0</v>
      </c>
      <c r="G216" s="13">
        <f t="shared" si="45"/>
        <v>0</v>
      </c>
      <c r="H216" s="13">
        <f t="shared" si="45"/>
        <v>0</v>
      </c>
      <c r="I216" s="13">
        <f t="shared" si="45"/>
        <v>0</v>
      </c>
      <c r="J216" s="13">
        <f t="shared" si="45"/>
        <v>435627336.8644768</v>
      </c>
      <c r="K216" s="13">
        <f t="shared" si="45"/>
        <v>512980372.35864305</v>
      </c>
      <c r="L216" s="13">
        <f t="shared" si="45"/>
        <v>367349838.2344768</v>
      </c>
      <c r="M216" s="13">
        <f t="shared" si="45"/>
        <v>444702873.72864306</v>
      </c>
      <c r="N216" s="13">
        <f t="shared" si="45"/>
        <v>0</v>
      </c>
      <c r="O216" s="13">
        <f t="shared" si="45"/>
        <v>12805.799999999988</v>
      </c>
      <c r="P216" s="13">
        <f t="shared" si="45"/>
        <v>0</v>
      </c>
      <c r="Q216" s="13">
        <f t="shared" si="45"/>
        <v>0</v>
      </c>
      <c r="R216" s="13">
        <f>SUM(R140:R215)</f>
        <v>367349838.2344768</v>
      </c>
      <c r="S216" s="13">
        <f>SUM(S140:S215)</f>
        <v>444715679.52864307</v>
      </c>
      <c r="T216" s="13">
        <f>SUM(T140:T215)</f>
        <v>522081520.82280934</v>
      </c>
      <c r="U216" s="13">
        <f t="shared" ref="U216:W216" si="46">SUM(U140:U215)</f>
        <v>444715679.52864307</v>
      </c>
      <c r="V216" s="13">
        <f t="shared" si="46"/>
        <v>0</v>
      </c>
      <c r="W216" s="13">
        <f t="shared" si="46"/>
        <v>0</v>
      </c>
      <c r="X216" s="14"/>
      <c r="Y216" s="14"/>
      <c r="Z216" s="14"/>
      <c r="AA216" s="14"/>
      <c r="AC216" s="81"/>
      <c r="AD216" s="1"/>
      <c r="AE216" s="410"/>
      <c r="AF216" s="410"/>
    </row>
    <row r="217" spans="2:32" ht="12.75" customHeight="1">
      <c r="B217" s="29"/>
      <c r="C217" s="29" t="s">
        <v>21</v>
      </c>
      <c r="D217" s="29"/>
      <c r="E217" s="30"/>
      <c r="F217" s="31">
        <f t="shared" ref="F217:W217" si="47">+F216+F139</f>
        <v>6147.9800000000014</v>
      </c>
      <c r="G217" s="31">
        <f t="shared" si="47"/>
        <v>15351.680000000002</v>
      </c>
      <c r="H217" s="31">
        <f t="shared" si="47"/>
        <v>3394489436.0753508</v>
      </c>
      <c r="I217" s="31">
        <f t="shared" si="47"/>
        <v>3394489436.0777512</v>
      </c>
      <c r="J217" s="31">
        <f t="shared" si="47"/>
        <v>2496686176.5371594</v>
      </c>
      <c r="K217" s="31">
        <f>+K216+K139</f>
        <v>2496686176.5371571</v>
      </c>
      <c r="L217" s="31">
        <f>+L216+L139</f>
        <v>3876784056.3084249</v>
      </c>
      <c r="M217" s="31">
        <f>+M216+M139</f>
        <v>3876784056.310823</v>
      </c>
      <c r="N217" s="31">
        <f>+N216+N139</f>
        <v>38048020.328181818</v>
      </c>
      <c r="O217" s="31">
        <f>+O216+O139</f>
        <v>38048020.328181818</v>
      </c>
      <c r="P217" s="31">
        <f t="shared" si="47"/>
        <v>390</v>
      </c>
      <c r="Q217" s="31">
        <f t="shared" si="47"/>
        <v>2682.59</v>
      </c>
      <c r="R217" s="31">
        <f t="shared" si="47"/>
        <v>3838761647.5821362</v>
      </c>
      <c r="S217" s="31">
        <f t="shared" si="47"/>
        <v>3838761647.5845346</v>
      </c>
      <c r="T217" s="31">
        <f t="shared" si="47"/>
        <v>522081520.82280934</v>
      </c>
      <c r="U217" s="31">
        <f t="shared" si="47"/>
        <v>522081520.82280934</v>
      </c>
      <c r="V217" s="31">
        <f t="shared" si="47"/>
        <v>3394045968.053493</v>
      </c>
      <c r="W217" s="31">
        <f t="shared" si="47"/>
        <v>3394045968.0558915</v>
      </c>
      <c r="X217" s="31"/>
      <c r="Y217" s="31"/>
      <c r="Z217" s="31"/>
      <c r="AA217" s="31"/>
      <c r="AC217" s="81"/>
      <c r="AD217" s="1"/>
      <c r="AE217" s="410"/>
      <c r="AF217" s="410"/>
    </row>
    <row r="218" spans="2:32" ht="12.75" customHeight="1">
      <c r="B218" s="6"/>
      <c r="C218" s="6" t="s">
        <v>22</v>
      </c>
      <c r="D218" s="6"/>
      <c r="E218" s="9"/>
      <c r="F218" s="6"/>
      <c r="G218" s="6"/>
      <c r="H218" s="32"/>
      <c r="I218" s="32"/>
      <c r="J218" s="11">
        <f>+SUMIFS(JURNAL!G:G,JURNAL!E:E,C218,JURNAL!C:C,"&gt;="&amp;$H$1,JURNAL!C:C,"&lt;="&amp;$I$1)</f>
        <v>0</v>
      </c>
      <c r="K218" s="11">
        <f>+SUMIFS(JURNAL!H:H,JURNAL!F:F,D218,JURNAL!D:D,"&gt;="&amp;$H$1,JURNAL!D:D,"&lt;="&amp;$I$1)</f>
        <v>0</v>
      </c>
      <c r="L218" s="11">
        <f>+SUMIFS(JURNAL!I:I,JURNAL!G:G,E218,JURNAL!E:E,"&gt;="&amp;$H$1,JURNAL!E:E,"&lt;="&amp;$I$1)</f>
        <v>0</v>
      </c>
      <c r="M218" s="11">
        <f>+SUMIFS(JURNAL!J:J,JURNAL!H:H,F218,JURNAL!F:F,"&gt;="&amp;$H$1,JURNAL!F:F,"&lt;="&amp;$I$1)</f>
        <v>0</v>
      </c>
      <c r="N218" s="11">
        <f>+SUMIFS(JURNAL!K:K,JURNAL!I:I,G218,JURNAL!G:G,"&gt;="&amp;$H$1,JURNAL!G:G,"&lt;="&amp;$I$1)</f>
        <v>0</v>
      </c>
      <c r="O218" s="11">
        <f>+SUMIFS(JURNAL!L:L,JURNAL!J:J,H218,JURNAL!H:H,"&gt;="&amp;$H$1,JURNAL!H:H,"&lt;="&amp;$I$1)</f>
        <v>0</v>
      </c>
      <c r="P218" s="11">
        <f>+SUMIFS(JURNAL!M:M,JURNAL!K:K,I218,JURNAL!I:I,"&gt;="&amp;$H$1,JURNAL!I:I,"&lt;="&amp;$I$1)</f>
        <v>0</v>
      </c>
      <c r="Q218" s="11">
        <f>+SUMIFS(JURNAL!N:N,JURNAL!L:L,J218,JURNAL!J:J,"&gt;="&amp;$H$1,JURNAL!J:J,"&lt;="&amp;$I$1)</f>
        <v>0</v>
      </c>
      <c r="R218" s="11">
        <f>+SUMIFS(JURNAL!O:O,JURNAL!M:M,K218,JURNAL!K:K,"&gt;="&amp;$H$1,JURNAL!K:K,"&lt;="&amp;$I$1)</f>
        <v>0</v>
      </c>
      <c r="S218" s="11">
        <f>+SUMIFS(JURNAL!P:P,JURNAL!N:N,L218,JURNAL!L:L,"&gt;="&amp;$H$1,JURNAL!L:L,"&lt;="&amp;$I$1)</f>
        <v>0</v>
      </c>
      <c r="T218" s="11">
        <f>+SUMIFS(JURNAL!Q:Q,JURNAL!O:O,M218,JURNAL!M:M,"&gt;="&amp;$H$1,JURNAL!M:M,"&lt;="&amp;$I$1)</f>
        <v>0</v>
      </c>
      <c r="U218" s="11">
        <f>+SUMIFS(JURNAL!R:R,JURNAL!P:P,N218,JURNAL!N:N,"&gt;="&amp;$H$1,JURNAL!N:N,"&lt;="&amp;$I$1)</f>
        <v>0</v>
      </c>
      <c r="V218" s="11">
        <f>+SUMIFS(JURNAL!S:S,JURNAL!Q:Q,O218,JURNAL!O:O,"&gt;="&amp;$H$1,JURNAL!O:O,"&lt;="&amp;$I$1)</f>
        <v>0</v>
      </c>
      <c r="W218" s="11">
        <f>+SUMIFS(JURNAL!T:T,JURNAL!R:R,P218,JURNAL!P:P,"&gt;="&amp;$H$1,JURNAL!P:P,"&lt;="&amp;$I$1)</f>
        <v>0</v>
      </c>
      <c r="X218" s="11">
        <f ca="1">+SUMIFS(JURNAL!U:U,JURNAL!S:S,Q218,JURNAL!Q:Q,"&gt;="&amp;$H$1,JURNAL!Q:Q,"&lt;="&amp;$I$1)</f>
        <v>0</v>
      </c>
      <c r="Y218" s="11">
        <f ca="1">+SUMIFS(JURNAL!V:V,JURNAL!T:T,R218,JURNAL!R:R,"&gt;="&amp;$H$1,JURNAL!R:R,"&lt;="&amp;$I$1)</f>
        <v>0</v>
      </c>
      <c r="Z218" s="11">
        <f ca="1">+SUMIFS(JURNAL!W:W,JURNAL!U:U,S218,JURNAL!S:S,"&gt;="&amp;$H$1,JURNAL!S:S,"&lt;="&amp;$I$1)</f>
        <v>0</v>
      </c>
      <c r="AA218" s="11">
        <f ca="1">+SUMIFS(JURNAL!X:X,JURNAL!V:V,T218,JURNAL!T:T,"&gt;="&amp;$H$1,JURNAL!T:T,"&lt;="&amp;$I$1)</f>
        <v>0</v>
      </c>
      <c r="AC218" s="81"/>
      <c r="AD218" s="1"/>
      <c r="AE218" s="410"/>
      <c r="AF218" s="410"/>
    </row>
    <row r="219" spans="2:32" ht="12.75" customHeight="1">
      <c r="B219" s="6"/>
      <c r="C219" s="6" t="s">
        <v>23</v>
      </c>
      <c r="D219" s="6"/>
      <c r="E219" s="9"/>
      <c r="F219" s="6"/>
      <c r="G219" s="6"/>
      <c r="H219" s="32"/>
      <c r="I219" s="32"/>
      <c r="J219" s="11">
        <f>+SUMIFS(JURNAL!G:G,JURNAL!E:E,C219,JURNAL!C:C,"&gt;="&amp;$H$1,JURNAL!C:C,"&lt;="&amp;$I$1)</f>
        <v>0</v>
      </c>
      <c r="K219" s="11">
        <f>+SUMIFS(JURNAL!H:H,JURNAL!F:F,D219,JURNAL!D:D,"&gt;="&amp;$H$1,JURNAL!D:D,"&lt;="&amp;$I$1)</f>
        <v>0</v>
      </c>
      <c r="L219" s="11">
        <f>+SUMIFS(JURNAL!I:I,JURNAL!G:G,E219,JURNAL!E:E,"&gt;="&amp;$H$1,JURNAL!E:E,"&lt;="&amp;$I$1)</f>
        <v>0</v>
      </c>
      <c r="M219" s="11">
        <f>+SUMIFS(JURNAL!J:J,JURNAL!H:H,F219,JURNAL!F:F,"&gt;="&amp;$H$1,JURNAL!F:F,"&lt;="&amp;$I$1)</f>
        <v>0</v>
      </c>
      <c r="N219" s="11">
        <f>+SUMIFS(JURNAL!K:K,JURNAL!I:I,G219,JURNAL!G:G,"&gt;="&amp;$H$1,JURNAL!G:G,"&lt;="&amp;$I$1)</f>
        <v>0</v>
      </c>
      <c r="O219" s="11">
        <f>+SUMIFS(JURNAL!L:L,JURNAL!J:J,H219,JURNAL!H:H,"&gt;="&amp;$H$1,JURNAL!H:H,"&lt;="&amp;$I$1)</f>
        <v>0</v>
      </c>
      <c r="P219" s="11">
        <f>+SUMIFS(JURNAL!M:M,JURNAL!K:K,I219,JURNAL!I:I,"&gt;="&amp;$H$1,JURNAL!I:I,"&lt;="&amp;$I$1)</f>
        <v>0</v>
      </c>
      <c r="Q219" s="11">
        <f>+SUMIFS(JURNAL!N:N,JURNAL!L:L,J219,JURNAL!J:J,"&gt;="&amp;$H$1,JURNAL!J:J,"&lt;="&amp;$I$1)</f>
        <v>0</v>
      </c>
      <c r="R219" s="11">
        <f>+SUMIFS(JURNAL!O:O,JURNAL!M:M,K219,JURNAL!K:K,"&gt;="&amp;$H$1,JURNAL!K:K,"&lt;="&amp;$I$1)</f>
        <v>0</v>
      </c>
      <c r="S219" s="11">
        <f>+SUMIFS(JURNAL!P:P,JURNAL!N:N,L219,JURNAL!L:L,"&gt;="&amp;$H$1,JURNAL!L:L,"&lt;="&amp;$I$1)</f>
        <v>0</v>
      </c>
      <c r="T219" s="11">
        <f>+SUMIFS(JURNAL!Q:Q,JURNAL!O:O,M219,JURNAL!M:M,"&gt;="&amp;$H$1,JURNAL!M:M,"&lt;="&amp;$I$1)</f>
        <v>0</v>
      </c>
      <c r="U219" s="11">
        <f>+SUMIFS(JURNAL!R:R,JURNAL!P:P,N219,JURNAL!N:N,"&gt;="&amp;$H$1,JURNAL!N:N,"&lt;="&amp;$I$1)</f>
        <v>0</v>
      </c>
      <c r="V219" s="11">
        <f>+SUMIFS(JURNAL!S:S,JURNAL!Q:Q,O219,JURNAL!O:O,"&gt;="&amp;$H$1,JURNAL!O:O,"&lt;="&amp;$I$1)</f>
        <v>0</v>
      </c>
      <c r="W219" s="11">
        <f>+SUMIFS(JURNAL!T:T,JURNAL!R:R,P219,JURNAL!P:P,"&gt;="&amp;$H$1,JURNAL!P:P,"&lt;="&amp;$I$1)</f>
        <v>0</v>
      </c>
      <c r="X219" s="11">
        <f ca="1">+SUMIFS(JURNAL!U:U,JURNAL!S:S,Q219,JURNAL!Q:Q,"&gt;="&amp;$H$1,JURNAL!Q:Q,"&lt;="&amp;$I$1)</f>
        <v>0</v>
      </c>
      <c r="Y219" s="11">
        <f ca="1">+SUMIFS(JURNAL!V:V,JURNAL!T:T,R219,JURNAL!R:R,"&gt;="&amp;$H$1,JURNAL!R:R,"&lt;="&amp;$I$1)</f>
        <v>0</v>
      </c>
      <c r="Z219" s="11">
        <f ca="1">+SUMIFS(JURNAL!W:W,JURNAL!U:U,S219,JURNAL!S:S,"&gt;="&amp;$H$1,JURNAL!S:S,"&lt;="&amp;$I$1)</f>
        <v>0</v>
      </c>
      <c r="AA219" s="11">
        <f ca="1">+SUMIFS(JURNAL!X:X,JURNAL!V:V,T219,JURNAL!T:T,"&gt;="&amp;$H$1,JURNAL!T:T,"&lt;="&amp;$I$1)</f>
        <v>0</v>
      </c>
      <c r="AC219" s="81"/>
      <c r="AD219" s="1"/>
      <c r="AE219" s="410"/>
      <c r="AF219" s="410"/>
    </row>
    <row r="220" spans="2:32" ht="12.75" customHeight="1">
      <c r="B220" s="6"/>
      <c r="C220" s="6" t="s">
        <v>24</v>
      </c>
      <c r="D220" s="6"/>
      <c r="E220" s="9"/>
      <c r="F220" s="6"/>
      <c r="G220" s="6"/>
      <c r="H220" s="32"/>
      <c r="I220" s="27">
        <f>+I217-H217</f>
        <v>2.4003982543945313E-3</v>
      </c>
      <c r="J220" s="11">
        <f>+SUMIFS(JURNAL!G:G,JURNAL!E:E,C220,JURNAL!C:C,"&gt;="&amp;$H$1,JURNAL!C:C,"&lt;="&amp;$I$1)</f>
        <v>0</v>
      </c>
      <c r="K220" s="11">
        <f>+SUMIFS(JURNAL!H:H,JURNAL!F:F,D220,JURNAL!D:D,"&gt;="&amp;$H$1,JURNAL!D:D,"&lt;="&amp;$I$1)</f>
        <v>0</v>
      </c>
      <c r="L220" s="11">
        <f>+SUMIFS(JURNAL!I:I,JURNAL!G:G,E220,JURNAL!E:E,"&gt;="&amp;$H$1,JURNAL!E:E,"&lt;="&amp;$I$1)</f>
        <v>0</v>
      </c>
      <c r="M220" s="11">
        <f>+SUMIFS(JURNAL!J:J,JURNAL!H:H,F220,JURNAL!F:F,"&gt;="&amp;$H$1,JURNAL!F:F,"&lt;="&amp;$I$1)</f>
        <v>0</v>
      </c>
      <c r="N220" s="11">
        <f>+SUMIFS(JURNAL!K:K,JURNAL!I:I,G220,JURNAL!G:G,"&gt;="&amp;$H$1,JURNAL!G:G,"&lt;="&amp;$I$1)</f>
        <v>0</v>
      </c>
      <c r="O220" s="11">
        <f>+SUMIFS(JURNAL!L:L,JURNAL!J:J,H220,JURNAL!H:H,"&gt;="&amp;$H$1,JURNAL!H:H,"&lt;="&amp;$I$1)</f>
        <v>0</v>
      </c>
      <c r="P220" s="11">
        <f>+SUMIFS(JURNAL!M:M,JURNAL!K:K,I220,JURNAL!I:I,"&gt;="&amp;$H$1,JURNAL!I:I,"&lt;="&amp;$I$1)</f>
        <v>0</v>
      </c>
      <c r="Q220" s="11">
        <f>+SUMIFS(JURNAL!N:N,JURNAL!L:L,J220,JURNAL!J:J,"&gt;="&amp;$H$1,JURNAL!J:J,"&lt;="&amp;$I$1)</f>
        <v>0</v>
      </c>
      <c r="R220" s="11">
        <f>+SUMIFS(JURNAL!O:O,JURNAL!M:M,K220,JURNAL!K:K,"&gt;="&amp;$H$1,JURNAL!K:K,"&lt;="&amp;$I$1)</f>
        <v>0</v>
      </c>
      <c r="S220" s="11">
        <f>+SUMIFS(JURNAL!P:P,JURNAL!N:N,L220,JURNAL!L:L,"&gt;="&amp;$H$1,JURNAL!L:L,"&lt;="&amp;$I$1)</f>
        <v>0</v>
      </c>
      <c r="T220" s="11">
        <f>+SUMIFS(JURNAL!Q:Q,JURNAL!O:O,M220,JURNAL!M:M,"&gt;="&amp;$H$1,JURNAL!M:M,"&lt;="&amp;$I$1)</f>
        <v>0</v>
      </c>
      <c r="U220" s="11">
        <f>+SUMIFS(JURNAL!R:R,JURNAL!P:P,N220,JURNAL!N:N,"&gt;="&amp;$H$1,JURNAL!N:N,"&lt;="&amp;$I$1)</f>
        <v>0</v>
      </c>
      <c r="V220" s="11">
        <f>+SUMIFS(JURNAL!S:S,JURNAL!Q:Q,O220,JURNAL!O:O,"&gt;="&amp;$H$1,JURNAL!O:O,"&lt;="&amp;$I$1)</f>
        <v>0</v>
      </c>
      <c r="W220" s="11">
        <f>+SUMIFS(JURNAL!T:T,JURNAL!R:R,P220,JURNAL!P:P,"&gt;="&amp;$H$1,JURNAL!P:P,"&lt;="&amp;$I$1)</f>
        <v>0</v>
      </c>
      <c r="X220" s="11">
        <f ca="1">+SUMIFS(JURNAL!U:U,JURNAL!S:S,Q220,JURNAL!Q:Q,"&gt;="&amp;$H$1,JURNAL!Q:Q,"&lt;="&amp;$I$1)</f>
        <v>0</v>
      </c>
      <c r="Y220" s="11">
        <f ca="1">+SUMIFS(JURNAL!V:V,JURNAL!T:T,R220,JURNAL!R:R,"&gt;="&amp;$H$1,JURNAL!R:R,"&lt;="&amp;$I$1)</f>
        <v>0</v>
      </c>
      <c r="Z220" s="11">
        <f ca="1">+SUMIFS(JURNAL!W:W,JURNAL!U:U,S220,JURNAL!S:S,"&gt;="&amp;$H$1,JURNAL!S:S,"&lt;="&amp;$I$1)</f>
        <v>0</v>
      </c>
      <c r="AA220" s="11">
        <f ca="1">+SUMIFS(JURNAL!X:X,JURNAL!V:V,T220,JURNAL!T:T,"&gt;="&amp;$H$1,JURNAL!T:T,"&lt;="&amp;$I$1)</f>
        <v>0</v>
      </c>
      <c r="AC220" s="81"/>
      <c r="AD220" s="1"/>
      <c r="AE220" s="410"/>
      <c r="AF220" s="410"/>
    </row>
    <row r="221" spans="2:32" ht="12.75" customHeight="1">
      <c r="I221" s="83">
        <f>+I217-H217</f>
        <v>2.4003982543945313E-3</v>
      </c>
      <c r="K221" s="41">
        <f>+K217-J217</f>
        <v>0</v>
      </c>
      <c r="M221" s="41">
        <f>+M217-L217</f>
        <v>2.3980140686035156E-3</v>
      </c>
      <c r="O221" s="41">
        <f>+O217-N217</f>
        <v>0</v>
      </c>
      <c r="S221" s="41">
        <f>+S217-R217</f>
        <v>2.3984909057617188E-3</v>
      </c>
      <c r="AE221" s="206"/>
      <c r="AF221" s="410"/>
    </row>
    <row r="222" spans="2:32" ht="12.75" customHeight="1">
      <c r="I222" s="41"/>
      <c r="T222" s="41">
        <f>+T217-U217</f>
        <v>0</v>
      </c>
      <c r="W222" s="804">
        <f>+W217-V217</f>
        <v>2.3984909057617188E-3</v>
      </c>
      <c r="AE222" s="206"/>
      <c r="AF222" s="410"/>
    </row>
    <row r="224" spans="2:32" ht="12.75" customHeight="1">
      <c r="U224" s="81"/>
    </row>
  </sheetData>
  <autoFilter ref="B3:AC222"/>
  <mergeCells count="7">
    <mergeCell ref="R2:S2"/>
    <mergeCell ref="T2:U2"/>
    <mergeCell ref="V2:W2"/>
    <mergeCell ref="H2:I2"/>
    <mergeCell ref="J2:K2"/>
    <mergeCell ref="L2:M2"/>
    <mergeCell ref="N2:O2"/>
  </mergeCells>
  <conditionalFormatting sqref="B4:B189">
    <cfRule type="expression" dxfId="3" priority="7">
      <formula>$B4&lt;&gt;""</formula>
    </cfRule>
  </conditionalFormatting>
  <conditionalFormatting sqref="B4:B215">
    <cfRule type="expression" dxfId="2" priority="5">
      <formula>$B4&lt;&gt;""</formula>
    </cfRule>
  </conditionalFormatting>
  <conditionalFormatting sqref="B140:B189">
    <cfRule type="expression" dxfId="1" priority="3">
      <formula>$B140&lt;&gt;""</formula>
    </cfRule>
  </conditionalFormatting>
  <conditionalFormatting sqref="B140:B215">
    <cfRule type="expression" dxfId="0" priority="1">
      <formula>$B140&lt;&gt;""</formula>
    </cfRule>
  </conditionalFormatting>
  <pageMargins left="0.7" right="0.7" top="0.75" bottom="0.75" header="0.3" footer="0.3"/>
  <pageSetup scale="33" fitToHeight="0" orientation="landscape" horizontalDpi="0" verticalDpi="0" r:id="rId1"/>
  <ignoredErrors>
    <ignoredError sqref="J139 K139:P139 R139:S139 V139:W139" formula="1"/>
  </ignoredErrors>
</worksheet>
</file>

<file path=xl/worksheets/sheet17.xml><?xml version="1.0" encoding="utf-8"?>
<worksheet xmlns="http://schemas.openxmlformats.org/spreadsheetml/2006/main" xmlns:r="http://schemas.openxmlformats.org/officeDocument/2006/relationships">
  <sheetPr>
    <tabColor rgb="FFFF0000"/>
    <pageSetUpPr fitToPage="1"/>
  </sheetPr>
  <dimension ref="A1:K73"/>
  <sheetViews>
    <sheetView tabSelected="1" view="pageBreakPreview" topLeftCell="A55" zoomScaleSheetLayoutView="100" workbookViewId="0">
      <selection activeCell="J83" sqref="J83"/>
    </sheetView>
  </sheetViews>
  <sheetFormatPr defaultColWidth="9" defaultRowHeight="12.75" outlineLevelCol="1"/>
  <cols>
    <col min="1" max="1" width="8.140625" style="70" customWidth="1"/>
    <col min="2" max="2" width="26.42578125" style="43" customWidth="1"/>
    <col min="3" max="3" width="32.140625" style="43" customWidth="1"/>
    <col min="4" max="4" width="18.28515625" style="43" customWidth="1"/>
    <col min="5" max="6" width="16.5703125" style="43" hidden="1" customWidth="1" outlineLevel="1"/>
    <col min="7" max="7" width="18" style="43" hidden="1" customWidth="1" outlineLevel="1"/>
    <col min="8" max="8" width="17.7109375" style="43" customWidth="1" collapsed="1"/>
    <col min="9" max="9" width="8.140625" style="43" customWidth="1"/>
    <col min="10" max="10" width="17.28515625" style="43" bestFit="1" customWidth="1"/>
    <col min="11" max="11" width="14" style="43" bestFit="1" customWidth="1"/>
    <col min="12" max="16384" width="9" style="43"/>
  </cols>
  <sheetData>
    <row r="1" spans="1:11" ht="15" customHeight="1">
      <c r="A1" s="1042" t="s">
        <v>44</v>
      </c>
      <c r="B1" s="1042"/>
      <c r="C1" s="1042"/>
      <c r="D1" s="1042"/>
      <c r="E1" s="1042"/>
      <c r="F1" s="1042"/>
      <c r="G1" s="1042"/>
      <c r="H1" s="1042"/>
    </row>
    <row r="2" spans="1:11" ht="15.75" customHeight="1">
      <c r="A2" s="1050" t="str">
        <f>+'company '!C6</f>
        <v>ШИНЭСТ ХК</v>
      </c>
      <c r="B2" s="1050"/>
    </row>
    <row r="3" spans="1:11" ht="22.5" customHeight="1">
      <c r="A3" s="1051" t="s">
        <v>45</v>
      </c>
      <c r="B3" s="1051"/>
      <c r="D3" s="760" t="s">
        <v>46</v>
      </c>
      <c r="E3" s="760"/>
      <c r="F3" s="760"/>
      <c r="G3" s="760"/>
      <c r="H3" s="761" t="str">
        <f>+'company '!C23</f>
        <v>2018.01.01-2018.12.31</v>
      </c>
    </row>
    <row r="4" spans="1:11">
      <c r="A4" s="1052" t="s">
        <v>47</v>
      </c>
      <c r="B4" s="1052"/>
      <c r="C4" s="1052"/>
      <c r="D4" s="1052"/>
      <c r="E4" s="1052"/>
      <c r="F4" s="1052"/>
      <c r="G4" s="1052"/>
      <c r="H4" s="1052"/>
    </row>
    <row r="5" spans="1:11" ht="29.25" customHeight="1">
      <c r="A5" s="762" t="s">
        <v>48</v>
      </c>
      <c r="B5" s="1053" t="s">
        <v>49</v>
      </c>
      <c r="C5" s="1053"/>
      <c r="D5" s="825" t="s">
        <v>263</v>
      </c>
      <c r="E5" s="825" t="s">
        <v>2369</v>
      </c>
      <c r="F5" s="825" t="s">
        <v>2372</v>
      </c>
      <c r="G5" s="825" t="s">
        <v>2373</v>
      </c>
      <c r="H5" s="826" t="s">
        <v>2374</v>
      </c>
      <c r="I5" s="593" t="s">
        <v>279</v>
      </c>
    </row>
    <row r="6" spans="1:11" ht="15" customHeight="1">
      <c r="A6" s="762" t="s">
        <v>50</v>
      </c>
      <c r="B6" s="1046" t="s">
        <v>51</v>
      </c>
      <c r="C6" s="1046"/>
      <c r="D6" s="763">
        <v>0</v>
      </c>
      <c r="E6" s="763"/>
      <c r="F6" s="763"/>
      <c r="G6" s="763"/>
      <c r="H6" s="764">
        <v>0</v>
      </c>
    </row>
    <row r="7" spans="1:11" ht="15" customHeight="1">
      <c r="A7" s="762" t="s">
        <v>52</v>
      </c>
      <c r="B7" s="1046" t="s">
        <v>53</v>
      </c>
      <c r="C7" s="1046"/>
      <c r="D7" s="763">
        <v>0</v>
      </c>
      <c r="E7" s="763"/>
      <c r="F7" s="763"/>
      <c r="G7" s="763"/>
      <c r="H7" s="764">
        <v>0</v>
      </c>
    </row>
    <row r="8" spans="1:11" ht="15" customHeight="1">
      <c r="A8" s="762" t="s">
        <v>54</v>
      </c>
      <c r="B8" s="1044" t="s">
        <v>55</v>
      </c>
      <c r="C8" s="1044"/>
      <c r="D8" s="765">
        <f>+SUMIFS(STAT1!$H$4:$H$138,STAT1!$X$4:$X$138,$I8)+SUMIFS(STAT1!$I$4:$I$138,STAT1!$X$4:$X$138,$I8)</f>
        <v>304361423.32000005</v>
      </c>
      <c r="E8" s="765">
        <f>+SUMIFS(STAT1!$V$4:$V$138,STAT1!$X$4:$X$138,$I8)+SUMIFS(STAT1!$W$4:$W$138,STAT1!$X$4:$X$138,$I8)</f>
        <v>226069197.79748818</v>
      </c>
      <c r="F8" s="765">
        <f>+SUMIFS(STAT2!$V$4:$V$138,STAT2!$X$4:$X$138,$I8)+SUMIFS(STAT2!$W$4:$W$138,STAT2!$X$4:$X$138,$I8)</f>
        <v>115582969.06748816</v>
      </c>
      <c r="G8" s="765">
        <f>+SUMIFS(STAT3!$V$4:$V$138,STAT3!$X$4:$X$138,$I8)+SUMIFS(STAT3!$W$4:$W$138,STAT3!$X$4:$X$138,$I8)</f>
        <v>92491993.284488156</v>
      </c>
      <c r="H8" s="766">
        <f>+SUMIFS(STAT4!$V$4:$V$138,STAT4!$X$4:$X$138,$I8)+SUMIFS(STAT4!$W$4:$W$138,STAT4!$X$4:$X$138,$I8)</f>
        <v>344636169.62738824</v>
      </c>
      <c r="I8" s="43">
        <v>1101</v>
      </c>
      <c r="J8" s="44"/>
      <c r="K8" s="44"/>
    </row>
    <row r="9" spans="1:11" ht="15" customHeight="1">
      <c r="A9" s="762" t="s">
        <v>56</v>
      </c>
      <c r="B9" s="1044" t="s">
        <v>57</v>
      </c>
      <c r="C9" s="1044"/>
      <c r="D9" s="765">
        <f>+SUMIFS(STAT1!$H$4:$H$138,STAT1!$X$4:$X$138,$I9)+SUMIFS(STAT1!$I$4:$I$138,STAT1!$X$4:$X$138,$I9)</f>
        <v>2644403</v>
      </c>
      <c r="E9" s="765">
        <f>+SUMIFS(STAT1!$V$4:$V$138,STAT1!$X$4:$X$138,$I9)+SUMIFS(STAT1!$W$4:$W$138,STAT1!$X$4:$X$138,$I9)</f>
        <v>4063840.0100000016</v>
      </c>
      <c r="F9" s="765">
        <f>+SUMIFS(STAT2!$V$4:$V$138,STAT2!$X$4:$X$138,$I9)+SUMIFS(STAT2!$W$4:$W$138,STAT2!$X$4:$X$138,$I9)</f>
        <v>2896458.9000000022</v>
      </c>
      <c r="G9" s="765">
        <f>+SUMIFS(STAT3!$V$4:$V$138,STAT3!$X$4:$X$138,$I9)+SUMIFS(STAT3!$W$4:$W$138,STAT3!$X$4:$X$138,$I9)</f>
        <v>3389829.0100000035</v>
      </c>
      <c r="H9" s="766">
        <f>+SUMIFS(STAT4!$V$4:$V$138,STAT4!$X$4:$X$138,$I9)+SUMIFS(STAT4!$W$4:$W$138,STAT4!$X$4:$X$138,$I9)</f>
        <v>2644403.0000000149</v>
      </c>
      <c r="I9" s="43">
        <v>1102</v>
      </c>
      <c r="J9" s="44"/>
      <c r="K9" s="44"/>
    </row>
    <row r="10" spans="1:11" ht="15" customHeight="1">
      <c r="A10" s="762" t="s">
        <v>58</v>
      </c>
      <c r="B10" s="1044" t="s">
        <v>59</v>
      </c>
      <c r="C10" s="1044"/>
      <c r="D10" s="765">
        <f>+SUMIFS(STAT1!$H$4:$H$138,STAT1!$X$4:$X$138,$I10)+SUMIFS(STAT1!$I$4:$I$138,STAT1!$X$4:$X$138,$I10)</f>
        <v>236430.25</v>
      </c>
      <c r="E10" s="765">
        <f>+SUMIFS(STAT1!$V$4:$V$138,STAT1!$X$4:$X$138,$I10)+SUMIFS(STAT1!$W$4:$W$138,STAT1!$X$4:$X$138,$I10)</f>
        <v>99989.61</v>
      </c>
      <c r="F10" s="765">
        <f>+SUMIFS(STAT2!$V$4:$V$138,STAT2!$X$4:$X$138,$I10)+SUMIFS(STAT2!$W$4:$W$138,STAT2!$X$4:$X$138,$I10)</f>
        <v>99989.61</v>
      </c>
      <c r="G10" s="765">
        <f>+SUMIFS(STAT3!$V$4:$V$138,STAT3!$X$4:$X$138,$I10)+SUMIFS(STAT3!$W$4:$W$138,STAT3!$X$4:$X$138,$I10)</f>
        <v>99989.611818181482</v>
      </c>
      <c r="H10" s="766">
        <f>+SUMIFS(STAT4!$V$4:$V$138,STAT4!$X$4:$X$138,$I10)+SUMIFS(STAT4!$W$4:$W$138,STAT4!$X$4:$X$138,$I10)</f>
        <v>354877.63999999932</v>
      </c>
      <c r="I10" s="43">
        <v>1103</v>
      </c>
      <c r="J10" s="44"/>
      <c r="K10" s="44"/>
    </row>
    <row r="11" spans="1:11" ht="15" customHeight="1">
      <c r="A11" s="762" t="s">
        <v>60</v>
      </c>
      <c r="B11" s="1044" t="s">
        <v>61</v>
      </c>
      <c r="C11" s="1044"/>
      <c r="D11" s="765">
        <f>+SUMIFS(STAT1!$H$4:$H$138,STAT1!$X$4:$X$138,$I11)+SUMIFS(STAT1!$I$4:$I$138,STAT1!$X$4:$X$138,$I11)</f>
        <v>980008</v>
      </c>
      <c r="E11" s="765">
        <f>+SUMIFS(STAT1!$V$4:$V$138,STAT1!$X$4:$X$138,$I11)+SUMIFS(STAT1!$W$4:$W$138,STAT1!$X$4:$X$138,$I11)</f>
        <v>0</v>
      </c>
      <c r="F11" s="765">
        <f>+SUMIFS(STAT2!$V$4:$V$138,STAT2!$X$4:$X$138,$I11)+SUMIFS(STAT2!$W$4:$W$138,STAT2!$X$4:$X$138,$I11)</f>
        <v>0</v>
      </c>
      <c r="G11" s="765">
        <f>+SUMIFS(STAT3!$V$4:$V$138,STAT3!$X$4:$X$138,$I11)+SUMIFS(STAT3!$W$4:$W$138,STAT3!$X$4:$X$138,$I11)</f>
        <v>0</v>
      </c>
      <c r="H11" s="766">
        <f>+SUMIFS(STAT4!$V$4:$V$138,STAT4!$X$4:$X$138,$I11)+SUMIFS(STAT4!$W$4:$W$138,STAT4!$X$4:$X$138,$I11)</f>
        <v>0</v>
      </c>
      <c r="I11" s="43">
        <v>1104</v>
      </c>
      <c r="J11" s="44"/>
      <c r="K11" s="44"/>
    </row>
    <row r="12" spans="1:11" ht="15" customHeight="1">
      <c r="A12" s="762" t="s">
        <v>62</v>
      </c>
      <c r="B12" s="1044" t="s">
        <v>63</v>
      </c>
      <c r="C12" s="1044"/>
      <c r="D12" s="765">
        <f>+SUMIFS(STAT1!$H$4:$H$138,STAT1!$X$4:$X$138,$I12)+SUMIFS(STAT1!$I$4:$I$138,STAT1!$X$4:$X$138,$I12)</f>
        <v>0</v>
      </c>
      <c r="E12" s="765">
        <f>+SUMIFS(STAT1!$V$4:$V$138,STAT1!$X$4:$X$138,$I12)+SUMIFS(STAT1!$W$4:$W$138,STAT1!$X$4:$X$138,$I12)</f>
        <v>0</v>
      </c>
      <c r="F12" s="765">
        <f>+SUMIFS(STAT2!$V$4:$V$138,STAT2!$X$4:$X$138,$I12)+SUMIFS(STAT2!$W$4:$W$138,STAT2!$X$4:$X$138,$I12)</f>
        <v>0</v>
      </c>
      <c r="G12" s="765">
        <f>+SUMIFS(STAT3!$V$4:$V$138,STAT3!$X$4:$X$138,$I12)+SUMIFS(STAT3!$W$4:$W$138,STAT3!$X$4:$X$138,$I12)</f>
        <v>0</v>
      </c>
      <c r="H12" s="766">
        <f>+SUMIFS(STAT4!$V$4:$V$138,STAT4!$X$4:$X$138,$I12)+SUMIFS(STAT4!$W$4:$W$138,STAT4!$X$4:$X$138,$I12)</f>
        <v>0</v>
      </c>
      <c r="I12" s="43">
        <v>1105</v>
      </c>
      <c r="J12" s="44"/>
      <c r="K12" s="44"/>
    </row>
    <row r="13" spans="1:11" ht="15" customHeight="1">
      <c r="A13" s="762" t="s">
        <v>64</v>
      </c>
      <c r="B13" s="1044" t="s">
        <v>65</v>
      </c>
      <c r="C13" s="1044"/>
      <c r="D13" s="765">
        <f>+SUMIFS(STAT1!$H$4:$H$138,STAT1!$X$4:$X$138,$I13)+SUMIFS(STAT1!$I$4:$I$138,STAT1!$X$4:$X$138,$I13)</f>
        <v>868861964.66999996</v>
      </c>
      <c r="E13" s="765">
        <f>+SUMIFS(STAT1!$V$4:$V$138,STAT1!$X$4:$X$138,$I13)+SUMIFS(STAT1!$W$4:$W$138,STAT1!$X$4:$X$138,$I13)</f>
        <v>932121022.97279572</v>
      </c>
      <c r="F13" s="765">
        <f>+SUMIFS(STAT2!$V$4:$V$138,STAT2!$X$4:$X$138,$I13)+SUMIFS(STAT2!$W$4:$W$138,STAT2!$X$4:$X$138,$I13)</f>
        <v>993693244.41279578</v>
      </c>
      <c r="G13" s="765">
        <f>+SUMIFS(STAT3!$V$4:$V$138,STAT3!$X$4:$X$138,$I13)+SUMIFS(STAT3!$W$4:$W$138,STAT3!$X$4:$X$138,$I13)</f>
        <v>1038182713.2940238</v>
      </c>
      <c r="H13" s="766">
        <f>+SUMIFS(STAT4!$V$4:$V$138,STAT4!$X$4:$X$138,$I13)+SUMIFS(STAT4!$W$4:$W$138,STAT4!$X$4:$X$138,$I13)</f>
        <v>863359084.55903864</v>
      </c>
      <c r="I13" s="43">
        <v>1107</v>
      </c>
      <c r="J13" s="44"/>
      <c r="K13" s="44"/>
    </row>
    <row r="14" spans="1:11" ht="15" customHeight="1">
      <c r="A14" s="762" t="s">
        <v>66</v>
      </c>
      <c r="B14" s="1044" t="s">
        <v>67</v>
      </c>
      <c r="C14" s="1044"/>
      <c r="D14" s="765">
        <f>+SUMIFS(STAT1!$H$4:$H$138,STAT1!$X$4:$X$138,$I14)+SUMIFS(STAT1!$I$4:$I$138,STAT1!$X$4:$X$138,$I14)</f>
        <v>50000000</v>
      </c>
      <c r="E14" s="765">
        <f>+SUMIFS(STAT1!$V$4:$V$138,STAT1!$X$4:$X$138,$I14)+SUMIFS(STAT1!$W$4:$W$138,STAT1!$X$4:$X$138,$I14)</f>
        <v>59090909.090000004</v>
      </c>
      <c r="F14" s="765">
        <f>+SUMIFS(STAT2!$V$4:$V$138,STAT2!$X$4:$X$138,$I14)+SUMIFS(STAT2!$W$4:$W$138,STAT2!$X$4:$X$138,$I14)</f>
        <v>97400000</v>
      </c>
      <c r="G14" s="765">
        <f>+SUMIFS(STAT3!$V$4:$V$138,STAT3!$X$4:$X$138,$I14)+SUMIFS(STAT3!$W$4:$W$138,STAT3!$X$4:$X$138,$I14)</f>
        <v>97400000</v>
      </c>
      <c r="H14" s="766">
        <f>+SUMIFS(STAT4!$V$4:$V$138,STAT4!$X$4:$X$138,$I14)+SUMIFS(STAT4!$W$4:$W$138,STAT4!$X$4:$X$138,$I14)</f>
        <v>97492363.640000015</v>
      </c>
      <c r="I14" s="43">
        <v>1108</v>
      </c>
      <c r="J14" s="44"/>
      <c r="K14" s="44"/>
    </row>
    <row r="15" spans="1:11" ht="15" customHeight="1">
      <c r="A15" s="762" t="s">
        <v>68</v>
      </c>
      <c r="B15" s="1044" t="s">
        <v>69</v>
      </c>
      <c r="C15" s="1044"/>
      <c r="D15" s="765">
        <f>+SUMIFS(STAT1!$H$4:$H$138,STAT1!$X$4:$X$138,$I15)+SUMIFS(STAT1!$I$4:$I$138,STAT1!$X$4:$X$138,$I15)</f>
        <v>0</v>
      </c>
      <c r="E15" s="765">
        <f>+SUMIFS(STAT1!$V$4:$V$138,STAT1!$X$4:$X$138,$I15)+SUMIFS(STAT1!$W$4:$W$138,STAT1!$X$4:$X$138,$I15)</f>
        <v>0</v>
      </c>
      <c r="F15" s="765">
        <f>+SUMIFS(STAT2!$V$4:$V$138,STAT2!$X$4:$X$138,$I15)+SUMIFS(STAT2!$W$4:$W$138,STAT2!$X$4:$X$138,$I15)</f>
        <v>0</v>
      </c>
      <c r="G15" s="765">
        <f>+SUMIFS(STAT3!$V$4:$V$138,STAT3!$X$4:$X$138,$I15)+SUMIFS(STAT3!$W$4:$W$138,STAT3!$X$4:$X$138,$I15)</f>
        <v>0</v>
      </c>
      <c r="H15" s="766">
        <f>+SUMIFS(STAT4!$V$4:$V$138,STAT4!$X$4:$X$138,$I15)+SUMIFS(STAT4!$W$4:$W$138,STAT4!$X$4:$X$138,$I15)</f>
        <v>0</v>
      </c>
      <c r="I15" s="43">
        <v>1109</v>
      </c>
      <c r="J15" s="44"/>
      <c r="K15" s="44"/>
    </row>
    <row r="16" spans="1:11">
      <c r="A16" s="762" t="s">
        <v>70</v>
      </c>
      <c r="B16" s="1044" t="s">
        <v>71</v>
      </c>
      <c r="C16" s="1044"/>
      <c r="D16" s="765">
        <f>+SUMIFS(STAT1!$H$4:$H$138,STAT1!$X$4:$X$138,$I16)+SUMIFS(STAT1!$I$4:$I$138,STAT1!$X$4:$X$138,$I16)</f>
        <v>0</v>
      </c>
      <c r="E16" s="765">
        <f>+SUMIFS(STAT1!$V$4:$V$138,STAT1!$X$4:$X$138,$I16)+SUMIFS(STAT1!$W$4:$W$138,STAT1!$X$4:$X$138,$I16)</f>
        <v>0</v>
      </c>
      <c r="F16" s="765">
        <f>+SUMIFS(STAT2!$V$4:$V$138,STAT2!$X$4:$X$138,$I16)+SUMIFS(STAT2!$W$4:$W$138,STAT2!$X$4:$X$138,$I16)</f>
        <v>0</v>
      </c>
      <c r="G16" s="765">
        <f>+SUMIFS(STAT3!$V$4:$V$138,STAT3!$X$4:$X$138,$I16)+SUMIFS(STAT3!$W$4:$W$138,STAT3!$X$4:$X$138,$I16)</f>
        <v>0</v>
      </c>
      <c r="H16" s="766">
        <f>+SUMIFS(STAT4!$V$4:$V$138,STAT4!$X$4:$X$138,$I16)+SUMIFS(STAT4!$W$4:$W$138,STAT4!$X$4:$X$138,$I16)</f>
        <v>0</v>
      </c>
      <c r="I16" s="43">
        <v>1110</v>
      </c>
      <c r="J16" s="44"/>
      <c r="K16" s="44"/>
    </row>
    <row r="17" spans="1:11" ht="15" customHeight="1">
      <c r="A17" s="762" t="s">
        <v>72</v>
      </c>
      <c r="B17" s="1044" t="s">
        <v>73</v>
      </c>
      <c r="C17" s="1044"/>
      <c r="D17" s="765">
        <f>+SUMIFS(STAT1!$H$4:$H$138,STAT1!$X$4:$X$138,$I17)+SUMIFS(STAT1!$I$4:$I$138,STAT1!$X$4:$X$138,$I17)</f>
        <v>0</v>
      </c>
      <c r="E17" s="765">
        <f>+SUMIFS(STAT1!$V$4:$V$112,STAT1!$X$4:$X$112,$I17)+SUMIFS(STAT1!$W$4:$W$112,STAT1!$X$4:$X$112,$I17)</f>
        <v>0</v>
      </c>
      <c r="F17" s="765">
        <f>+SUMIFS(STAT2!$V$4:$V$138,STAT2!$X$4:$X$138,$I17)+SUMIFS(STAT2!$W$4:$W$138,STAT2!$X$4:$X$138,$I17)</f>
        <v>0</v>
      </c>
      <c r="G17" s="765">
        <f>+SUMIFS(STAT3!$V$4:$V$138,STAT3!$X$4:$X$138,$I17)+SUMIFS(STAT3!$W$4:$W$138,STAT3!$X$4:$X$138,$I17)</f>
        <v>0</v>
      </c>
      <c r="H17" s="766">
        <f>+SUMIFS(STAT4!$V$4:$V$138,STAT4!$X$4:$X$138,$I17)+SUMIFS(STAT4!$W$4:$W$138,STAT4!$X$4:$X$138,$I17)</f>
        <v>0</v>
      </c>
      <c r="I17" s="43">
        <v>1111</v>
      </c>
      <c r="J17" s="44"/>
      <c r="K17" s="44"/>
    </row>
    <row r="18" spans="1:11" ht="15" customHeight="1">
      <c r="A18" s="762" t="s">
        <v>74</v>
      </c>
      <c r="B18" s="1046" t="s">
        <v>75</v>
      </c>
      <c r="C18" s="1046"/>
      <c r="D18" s="763">
        <f>SUM(D8:D17)</f>
        <v>1227084229.24</v>
      </c>
      <c r="E18" s="763">
        <f>SUM(E8:E17)</f>
        <v>1221444959.4802837</v>
      </c>
      <c r="F18" s="763">
        <f>SUM(F8:F17)</f>
        <v>1209672661.990284</v>
      </c>
      <c r="G18" s="763">
        <f>SUM(G8:G17)</f>
        <v>1231564525.20033</v>
      </c>
      <c r="H18" s="764">
        <f>SUM(H8:H17)</f>
        <v>1308486898.4664271</v>
      </c>
      <c r="J18" s="44"/>
      <c r="K18" s="44"/>
    </row>
    <row r="19" spans="1:11" ht="15" customHeight="1">
      <c r="A19" s="762" t="s">
        <v>76</v>
      </c>
      <c r="B19" s="1046" t="s">
        <v>77</v>
      </c>
      <c r="C19" s="1046"/>
      <c r="D19" s="763"/>
      <c r="E19" s="765">
        <f>+SUMIFS(STAT1!V10:V123,STAT1!X10:X123,I19)</f>
        <v>0</v>
      </c>
      <c r="F19" s="763"/>
      <c r="G19" s="763"/>
      <c r="H19" s="764"/>
      <c r="J19" s="44"/>
      <c r="K19" s="44"/>
    </row>
    <row r="20" spans="1:11" ht="15" customHeight="1">
      <c r="A20" s="762" t="s">
        <v>78</v>
      </c>
      <c r="B20" s="1044" t="s">
        <v>79</v>
      </c>
      <c r="C20" s="1044"/>
      <c r="D20" s="765">
        <f>+SUMIFS(STAT1!$H$4:$H$138,STAT1!$X$4:$X$138,$I20)+SUMIFS(STAT1!$I$4:$I$138,STAT1!$X$4:$X$138,$I20)</f>
        <v>2082648449.8500001</v>
      </c>
      <c r="E20" s="765">
        <f>+SUMIFS(STAT1!$V$4:$V$138,STAT1!$X$4:$X$138,$I20)+SUMIFS(STAT1!$W$4:$W$138,STAT1!$X$4:$X$138,$I20)</f>
        <v>2082648449.8500001</v>
      </c>
      <c r="F20" s="767">
        <f>+SUMIFS(STAT2!$V$4:$V$138,STAT2!$X$4:$X$138,$I20)+SUMIFS(STAT2!$W$4:$W$138,STAT2!$X$4:$X$138,$I20)</f>
        <v>2082648449.8500001</v>
      </c>
      <c r="G20" s="765">
        <f>+SUMIFS(STAT3!$V$4:$V$138,STAT3!$X$4:$X$138,$I20)+SUMIFS(STAT3!$W$4:$W$138,STAT3!$X$4:$X$138,$I20)</f>
        <v>2082648449.8500001</v>
      </c>
      <c r="H20" s="766">
        <f>+SUMIFS(STAT4!$V$4:$V$138,STAT4!$X$4:$X$138,$I20)+SUMIFS(STAT4!$W$4:$W$138,STAT4!$X$4:$X$138,$I20)</f>
        <v>2082648449.8500001</v>
      </c>
      <c r="I20" s="43">
        <v>1120</v>
      </c>
      <c r="J20" s="44"/>
      <c r="K20" s="44"/>
    </row>
    <row r="21" spans="1:11" ht="15" customHeight="1">
      <c r="A21" s="762" t="s">
        <v>80</v>
      </c>
      <c r="B21" s="1044" t="s">
        <v>268</v>
      </c>
      <c r="C21" s="1044"/>
      <c r="D21" s="765">
        <f>(SUMIFS(STAT1!$H$4:$H$138,STAT1!$X$4:$X$138,$I21)+SUMIFS(STAT1!$I$4:$I$138,STAT1!$X$4:$X$138,$I21))*-1</f>
        <v>-1225144641.8999999</v>
      </c>
      <c r="E21" s="765">
        <f>SUMIFS(STAT1!$V$4:$V$138,STAT1!$X$4:$X$138,$I21)+SUMIFS(STAT1!$W$4:$W$138,STAT1!$X$4:$X$138,$I21)*-1</f>
        <v>-1252478842.27</v>
      </c>
      <c r="F21" s="765">
        <f>(SUMIFS(STAT2!$V$4:$V$108,STAT2!$X$4:$X$108,$I21)+SUMIFS(STAT2!$W$4:$W$108,STAT2!$X$4:$X$108,$I21))*-1</f>
        <v>-1280490863.96</v>
      </c>
      <c r="G21" s="765">
        <f>(SUMIFS(STAT3!$V$4:$V$138,STAT3!$X$4:$X$138,$I21)+SUMIFS(STAT3!$W$4:$W$138,STAT3!$X$4:$X$138,$I21))*-1</f>
        <v>-1307208041.3299999</v>
      </c>
      <c r="H21" s="766">
        <f>(SUMIFS(STAT4!$V$4:$V$138,STAT4!$X$4:$X$138,$I21)+SUMIFS(STAT4!$W$4:$W$138,STAT4!$X$4:$X$138,$I21))*-1</f>
        <v>-1333473384.4399998</v>
      </c>
      <c r="I21" s="43">
        <v>1121</v>
      </c>
      <c r="J21" s="44"/>
      <c r="K21" s="44"/>
    </row>
    <row r="22" spans="1:11" ht="15" customHeight="1">
      <c r="A22" s="762" t="s">
        <v>81</v>
      </c>
      <c r="B22" s="1044" t="s">
        <v>82</v>
      </c>
      <c r="C22" s="1044"/>
      <c r="D22" s="765">
        <f>+SUMIFS(STAT1!$H$4:$H$138,STAT1!$X$4:$X$138,$I22)+SUMIFS(STAT1!$I$4:$I$138,STAT1!$X$4:$X$138,$I22)</f>
        <v>0</v>
      </c>
      <c r="E22" s="765">
        <f>+SUMIFS(STAT1!$V$4:$V$138,STAT1!$X$4:$X$138,$I22)+SUMIFS(STAT1!$W$4:$W$138,STAT1!$X$4:$X$138,$I22)</f>
        <v>0</v>
      </c>
      <c r="F22" s="767">
        <f>+SUMIFS(STAT2!$V$4:$V$138,STAT2!$X$4:$X$138,$I22)+SUMIFS(STAT2!$W$4:$W$138,STAT2!$X$4:$X$138,$I22)</f>
        <v>0</v>
      </c>
      <c r="G22" s="765">
        <f>+SUMIFS(STAT3!$V$4:$V$138,STAT3!$X$4:$X$138,$I22)+SUMIFS(STAT3!$W$4:$W$138,STAT3!$X$4:$X$138,$I22)</f>
        <v>0</v>
      </c>
      <c r="H22" s="766">
        <f>+SUMIFS(STAT4!$V$4:$V$138,STAT4!$X$4:$X$138,$I22)+SUMIFS(STAT4!$W$4:$W$138,STAT4!$X$4:$X$138,$I22)</f>
        <v>0</v>
      </c>
      <c r="I22" s="43">
        <v>1122</v>
      </c>
      <c r="J22" s="44"/>
      <c r="K22" s="44"/>
    </row>
    <row r="23" spans="1:11" ht="15" customHeight="1">
      <c r="A23" s="762" t="s">
        <v>83</v>
      </c>
      <c r="B23" s="1044" t="s">
        <v>84</v>
      </c>
      <c r="C23" s="1044"/>
      <c r="D23" s="765">
        <f>+SUMIFS(STAT1!$H$4:$H$138,STAT1!$X$4:$X$138,$I23)+SUMIFS(STAT1!$I$4:$I$138,STAT1!$X$4:$X$138,$I23)</f>
        <v>0</v>
      </c>
      <c r="E23" s="765">
        <f>+SUMIFS(STAT1!$V$4:$V$138,STAT1!$X$4:$X$138,$I23)+SUMIFS(STAT1!$W$4:$W$138,STAT1!$X$4:$X$138,$I23)</f>
        <v>0</v>
      </c>
      <c r="F23" s="767">
        <f>+SUMIFS(STAT2!$V$4:$V$138,STAT2!$X$4:$X$138,$I23)+SUMIFS(STAT2!$W$4:$W$138,STAT2!$X$4:$X$138,$I23)</f>
        <v>0</v>
      </c>
      <c r="G23" s="765">
        <f>+SUMIFS(STAT3!$V$4:$V$138,STAT3!$X$4:$X$138,$I23)+SUMIFS(STAT3!$W$4:$W$138,STAT3!$X$4:$X$138,$I23)</f>
        <v>0</v>
      </c>
      <c r="H23" s="766">
        <f>+SUMIFS(STAT4!$V$4:$V$138,STAT4!$X$4:$X$138,$I23)+SUMIFS(STAT4!$W$4:$W$138,STAT4!$X$4:$X$138,$I23)</f>
        <v>0</v>
      </c>
      <c r="I23" s="43">
        <v>1123</v>
      </c>
      <c r="J23" s="44"/>
      <c r="K23" s="44"/>
    </row>
    <row r="24" spans="1:11" ht="15" customHeight="1">
      <c r="A24" s="762" t="s">
        <v>85</v>
      </c>
      <c r="B24" s="1044" t="s">
        <v>86</v>
      </c>
      <c r="C24" s="1044"/>
      <c r="D24" s="765">
        <f>+SUMIFS(STAT1!$H$4:$H$138,STAT1!$X$4:$X$138,$I24)+SUMIFS(STAT1!$I$4:$I$138,STAT1!$X$4:$X$138,$I24)</f>
        <v>0</v>
      </c>
      <c r="E24" s="765">
        <f>+SUMIFS(STAT1!$V$4:$V$138,STAT1!$X$4:$X$138,$I24)+SUMIFS(STAT1!$W$4:$W$138,STAT1!$X$4:$X$138,$I24)</f>
        <v>0</v>
      </c>
      <c r="F24" s="767">
        <f>+SUMIFS(STAT2!$V$4:$V$138,STAT2!$X$4:$X$138,$I24)+SUMIFS(STAT2!$W$4:$W$138,STAT2!$X$4:$X$138,$I24)</f>
        <v>0</v>
      </c>
      <c r="G24" s="765">
        <f>+SUMIFS(STAT3!$V$4:$V$138,STAT3!$X$4:$X$138,$I24)+SUMIFS(STAT3!$W$4:$W$138,STAT3!$X$4:$X$138,$I24)</f>
        <v>0</v>
      </c>
      <c r="H24" s="766">
        <f>+SUMIFS(STAT4!$V$4:$V$138,STAT4!$X$4:$X$138,$I24)+SUMIFS(STAT4!$W$4:$W$138,STAT4!$X$4:$X$138,$I24)</f>
        <v>0</v>
      </c>
      <c r="I24" s="43">
        <v>1124</v>
      </c>
      <c r="J24" s="44"/>
      <c r="K24" s="44"/>
    </row>
    <row r="25" spans="1:11" ht="15" customHeight="1">
      <c r="A25" s="762" t="s">
        <v>87</v>
      </c>
      <c r="B25" s="1044" t="s">
        <v>88</v>
      </c>
      <c r="C25" s="1044"/>
      <c r="D25" s="765">
        <f>+SUMIFS(STAT1!$H$4:$H$138,STAT1!$X$4:$X$138,$I25)+SUMIFS(STAT1!$I$4:$I$138,STAT1!$X$4:$X$138,$I25)</f>
        <v>0</v>
      </c>
      <c r="E25" s="765">
        <f>+SUMIFS(STAT1!$V$4:$V$138,STAT1!$X$4:$X$138,$I25)+SUMIFS(STAT1!$W$4:$W$138,STAT1!$X$4:$X$138,$I25)</f>
        <v>0</v>
      </c>
      <c r="F25" s="767">
        <f>+SUMIFS(STAT2!$V$4:$V$138,STAT2!$X$4:$X$138,$I25)+SUMIFS(STAT2!$W$4:$W$138,STAT2!$X$4:$X$138,$I25)</f>
        <v>0</v>
      </c>
      <c r="G25" s="765">
        <f>+SUMIFS(STAT3!$V$4:$V$138,STAT3!$X$4:$X$138,$I25)+SUMIFS(STAT3!$W$4:$W$138,STAT3!$X$4:$X$138,$I25)</f>
        <v>0</v>
      </c>
      <c r="H25" s="766">
        <f>+SUMIFS(STAT4!$V$4:$V$138,STAT4!$X$4:$X$138,$I25)+SUMIFS(STAT4!$W$4:$W$138,STAT4!$X$4:$X$138,$I25)</f>
        <v>0</v>
      </c>
      <c r="I25" s="43">
        <v>1125</v>
      </c>
      <c r="J25" s="44"/>
      <c r="K25" s="44"/>
    </row>
    <row r="26" spans="1:11" ht="21" customHeight="1">
      <c r="A26" s="762" t="s">
        <v>89</v>
      </c>
      <c r="B26" s="1044" t="s">
        <v>90</v>
      </c>
      <c r="C26" s="1044"/>
      <c r="D26" s="765">
        <f>+SUMIFS(STAT1!$H$4:$H$138,STAT1!$X$4:$X$138,$I26)+SUMIFS(STAT1!$I$4:$I$138,STAT1!$X$4:$X$138,$I26)</f>
        <v>0</v>
      </c>
      <c r="E26" s="765">
        <f>+SUMIFS(STAT1!$V$4:$V$138,STAT1!$X$4:$X$138,$I26)+SUMIFS(STAT1!$W$4:$W$138,STAT1!$X$4:$X$138,$I26)</f>
        <v>0</v>
      </c>
      <c r="F26" s="767">
        <f>+SUMIFS(STAT2!$V$4:$V$138,STAT2!$X$4:$X$138,$I26)+SUMIFS(STAT2!$W$4:$W$138,STAT2!$X$4:$X$138,$I26)</f>
        <v>0</v>
      </c>
      <c r="G26" s="765">
        <f>+SUMIFS(STAT3!$V$4:$V$138,STAT3!$X$4:$X$138,$I26)+SUMIFS(STAT3!$W$4:$W$138,STAT3!$X$4:$X$138,$I26)</f>
        <v>0</v>
      </c>
      <c r="H26" s="766">
        <f>+SUMIFS(STAT4!$V$4:$V$138,STAT4!$X$4:$X$138,$I26)+SUMIFS(STAT4!$W$4:$W$138,STAT4!$X$4:$X$138,$I26)</f>
        <v>0</v>
      </c>
      <c r="I26" s="43">
        <v>1126</v>
      </c>
      <c r="J26" s="44"/>
      <c r="K26" s="44"/>
    </row>
    <row r="27" spans="1:11" ht="15" customHeight="1">
      <c r="A27" s="762" t="s">
        <v>91</v>
      </c>
      <c r="B27" s="1044" t="s">
        <v>92</v>
      </c>
      <c r="C27" s="1044"/>
      <c r="D27" s="765">
        <f>+SUMIFS(STAT1!$H$4:$H$138,STAT1!$X$4:$X$138,$I27)+SUMIFS(STAT1!$I$4:$I$138,STAT1!$X$4:$X$138,$I27)</f>
        <v>0</v>
      </c>
      <c r="E27" s="765">
        <f>+SUMIFS(STAT1!$V$4:$V$138,STAT1!$X$4:$X$138,$I27)+SUMIFS(STAT1!$W$4:$W$138,STAT1!$X$4:$X$138,$I27)</f>
        <v>0</v>
      </c>
      <c r="F27" s="767">
        <f>+SUMIFS(STAT2!$V$4:$V$138,STAT2!$X$4:$X$138,$I27)+SUMIFS(STAT2!$W$4:$W$138,STAT2!$X$4:$X$138,$I27)</f>
        <v>0</v>
      </c>
      <c r="G27" s="765">
        <f>+SUMIFS(STAT3!$V$4:$V$138,STAT3!$X$4:$X$138,$I27)+SUMIFS(STAT3!$W$4:$W$138,STAT3!$X$4:$X$138,$I27)</f>
        <v>0</v>
      </c>
      <c r="H27" s="766">
        <f>+SUMIFS(STAT4!$V$4:$V$138,STAT4!$X$4:$X$138,$I27)+SUMIFS(STAT4!$W$4:$W$138,STAT4!$X$4:$X$138,$I27)</f>
        <v>0</v>
      </c>
      <c r="I27" s="43">
        <v>1127</v>
      </c>
      <c r="J27" s="44"/>
      <c r="K27" s="44"/>
    </row>
    <row r="28" spans="1:11" ht="15" customHeight="1">
      <c r="A28" s="762" t="s">
        <v>93</v>
      </c>
      <c r="B28" s="1044" t="s">
        <v>94</v>
      </c>
      <c r="C28" s="1044"/>
      <c r="D28" s="765">
        <f>+SUMIFS(STAT1!$H$4:$H$138,STAT1!$X$4:$X$138,$I28)+SUMIFS(STAT1!$I$4:$I$138,STAT1!$X$4:$X$138,$I28)</f>
        <v>0</v>
      </c>
      <c r="E28" s="765">
        <f>+SUMIFS(STAT1!$V$4:$V$138,STAT1!$X$4:$X$138,$I28)+SUMIFS(STAT1!$W$4:$W$138,STAT1!$X$4:$X$138,$I28)</f>
        <v>0</v>
      </c>
      <c r="F28" s="767">
        <f>+SUMIFS(STAT2!$V$4:$V$138,STAT2!$X$4:$X$138,$I28)+SUMIFS(STAT2!$W$4:$W$138,STAT2!$X$4:$X$138,$I28)</f>
        <v>0</v>
      </c>
      <c r="G28" s="765">
        <f>+SUMIFS(STAT3!$V$4:$V$138,STAT3!$X$4:$X$138,$I28)+SUMIFS(STAT3!$W$4:$W$138,STAT3!$X$4:$X$138,$I28)</f>
        <v>0</v>
      </c>
      <c r="H28" s="766">
        <f>+SUMIFS(STAT4!$V$4:$V$138,STAT4!$X$4:$X$138,$I28)+SUMIFS(STAT4!$W$4:$W$138,STAT4!$X$4:$X$138,$I28)</f>
        <v>0</v>
      </c>
      <c r="I28" s="43">
        <v>1128</v>
      </c>
      <c r="J28" s="44"/>
      <c r="K28" s="44"/>
    </row>
    <row r="29" spans="1:11" ht="15" customHeight="1">
      <c r="A29" s="762" t="s">
        <v>95</v>
      </c>
      <c r="B29" s="1046" t="s">
        <v>96</v>
      </c>
      <c r="C29" s="1046"/>
      <c r="D29" s="763">
        <f>SUM(D20:D28)</f>
        <v>857503807.95000029</v>
      </c>
      <c r="E29" s="763">
        <f>SUM(E20:E28)</f>
        <v>830169607.58000016</v>
      </c>
      <c r="F29" s="763">
        <f>SUM(F20:F28)</f>
        <v>802157585.8900001</v>
      </c>
      <c r="G29" s="763">
        <f>SUM(G20:G28)</f>
        <v>775440408.52000022</v>
      </c>
      <c r="H29" s="764">
        <f>SUM(H20:H28)</f>
        <v>749175065.41000032</v>
      </c>
      <c r="J29" s="44"/>
      <c r="K29" s="44"/>
    </row>
    <row r="30" spans="1:11" ht="15" customHeight="1">
      <c r="A30" s="762" t="s">
        <v>97</v>
      </c>
      <c r="B30" s="1046" t="s">
        <v>98</v>
      </c>
      <c r="C30" s="1046"/>
      <c r="D30" s="763">
        <f>+D18+D29</f>
        <v>2084588037.1900003</v>
      </c>
      <c r="E30" s="763">
        <f>+E18+E29</f>
        <v>2051614567.0602839</v>
      </c>
      <c r="F30" s="763">
        <f>+F18+F29</f>
        <v>2011830247.8802841</v>
      </c>
      <c r="G30" s="763">
        <f>+G18+G29</f>
        <v>2007004933.7203302</v>
      </c>
      <c r="H30" s="764">
        <f>+H18+H29</f>
        <v>2057661963.8764274</v>
      </c>
      <c r="I30" s="44"/>
      <c r="J30" s="44"/>
      <c r="K30" s="44"/>
    </row>
    <row r="31" spans="1:11" ht="15" customHeight="1">
      <c r="A31" s="762" t="s">
        <v>99</v>
      </c>
      <c r="B31" s="1046" t="s">
        <v>100</v>
      </c>
      <c r="C31" s="1046"/>
      <c r="D31" s="763"/>
      <c r="E31" s="763"/>
      <c r="F31" s="763"/>
      <c r="G31" s="763"/>
      <c r="H31" s="764"/>
      <c r="J31" s="44"/>
      <c r="K31" s="44"/>
    </row>
    <row r="32" spans="1:11" ht="15" customHeight="1">
      <c r="A32" s="762" t="s">
        <v>101</v>
      </c>
      <c r="B32" s="1046" t="s">
        <v>102</v>
      </c>
      <c r="C32" s="1046"/>
      <c r="D32" s="763"/>
      <c r="E32" s="763"/>
      <c r="F32" s="763"/>
      <c r="G32" s="763"/>
      <c r="H32" s="764"/>
      <c r="J32" s="44"/>
      <c r="K32" s="44"/>
    </row>
    <row r="33" spans="1:11" ht="15" customHeight="1">
      <c r="A33" s="762" t="s">
        <v>103</v>
      </c>
      <c r="B33" s="1046" t="s">
        <v>104</v>
      </c>
      <c r="C33" s="1046"/>
      <c r="D33" s="763"/>
      <c r="E33" s="763"/>
      <c r="F33" s="763"/>
      <c r="G33" s="763"/>
      <c r="H33" s="764"/>
      <c r="J33" s="44"/>
      <c r="K33" s="44"/>
    </row>
    <row r="34" spans="1:11" ht="15" customHeight="1">
      <c r="A34" s="762" t="s">
        <v>105</v>
      </c>
      <c r="B34" s="1044" t="s">
        <v>106</v>
      </c>
      <c r="C34" s="1044"/>
      <c r="D34" s="765">
        <f>+SUMIFS(STAT1!$H$4:$H$138,STAT1!$X$4:$X$138,$I34)+SUMIFS(STAT1!$I$4:$I$138,STAT1!$X$4:$X$138,$I34)</f>
        <v>3499027.46</v>
      </c>
      <c r="E34" s="765">
        <f>+SUMIFS(STAT1!$V$4:$V$138,STAT1!$X$4:$X$138,$I34)+SUMIFS(STAT1!$W$4:$W$138,STAT1!$X$4:$X$138,$I34)</f>
        <v>16361114.280000001</v>
      </c>
      <c r="F34" s="765">
        <f>+SUMIFS(STAT2!$V$4:$V$138,STAT2!$X$4:$X$138,$I34)+SUMIFS(STAT2!$W$4:$W$138,STAT2!$X$4:$X$138,$I34)</f>
        <v>25000000</v>
      </c>
      <c r="G34" s="765">
        <f>+SUMIFS(STAT3!$V$4:$V$138,STAT3!$X$4:$X$138,$I34)+SUMIFS(STAT3!$W$4:$W$138,STAT3!$X$4:$X$138,$I34)</f>
        <v>30314573.91</v>
      </c>
      <c r="H34" s="766">
        <f>+SUMIFS(STAT4!$V$4:$V$138,STAT4!$X$4:$X$138,$I34)+SUMIFS(STAT4!$W$4:$W$138,STAT4!$X$4:$X$138,$I34)</f>
        <v>130000</v>
      </c>
      <c r="I34" s="43">
        <v>1201</v>
      </c>
      <c r="J34" s="44"/>
      <c r="K34" s="44"/>
    </row>
    <row r="35" spans="1:11" ht="15" customHeight="1">
      <c r="A35" s="762" t="s">
        <v>107</v>
      </c>
      <c r="B35" s="1044" t="s">
        <v>108</v>
      </c>
      <c r="C35" s="1044"/>
      <c r="D35" s="765">
        <f>+SUMIFS(STAT1!$H$4:$H$138,STAT1!$X$4:$X$138,$I35)+SUMIFS(STAT1!$I$4:$I$138,STAT1!$X$4:$X$138,$I35)</f>
        <v>0</v>
      </c>
      <c r="E35" s="765">
        <f>+SUMIFS(STAT1!$V$4:$V$138,STAT1!$X$4:$X$138,$I35)+SUMIFS(STAT1!$W$4:$W$138,STAT1!$X$4:$X$138,$I35)</f>
        <v>0</v>
      </c>
      <c r="F35" s="765">
        <f>+SUMIFS(STAT2!$V$4:$V$138,STAT2!$X$4:$X$138,$I35)+SUMIFS(STAT2!$W$4:$W$138,STAT2!$X$4:$X$138,$I35)</f>
        <v>0</v>
      </c>
      <c r="G35" s="765">
        <f>+SUMIFS(STAT3!$V$4:$V$138,STAT3!$X$4:$X$138,$I35)+SUMIFS(STAT3!$W$4:$W$138,STAT3!$X$4:$X$138,$I35)</f>
        <v>0</v>
      </c>
      <c r="H35" s="766">
        <f>+SUMIFS(STAT4!$V$4:$V$138,STAT4!$X$4:$X$138,$I35)+SUMIFS(STAT4!$W$4:$W$138,STAT4!$X$4:$X$138,$I35)</f>
        <v>2.5000013411045074E-3</v>
      </c>
      <c r="I35" s="43">
        <v>1202</v>
      </c>
      <c r="J35" s="44"/>
      <c r="K35" s="44"/>
    </row>
    <row r="36" spans="1:11" ht="15" customHeight="1">
      <c r="A36" s="762" t="s">
        <v>109</v>
      </c>
      <c r="B36" s="1044" t="s">
        <v>110</v>
      </c>
      <c r="C36" s="1044"/>
      <c r="D36" s="765">
        <f>+SUMIFS(STAT1!$H$4:$H$138,STAT1!$X$4:$X$138,$I36)+SUMIFS(STAT1!$I$4:$I$138,STAT1!$X$4:$X$138,$I36)</f>
        <v>67186734.859999999</v>
      </c>
      <c r="E36" s="765">
        <f>+SUMIFS(STAT1!$V$4:$V$138,STAT1!$X$4:$X$138,$I36)+SUMIFS(STAT1!$W$4:$W$138,STAT1!$X$4:$X$138,$I36)</f>
        <v>68877989.582826287</v>
      </c>
      <c r="F36" s="765">
        <f>+SUMIFS(STAT2!$V$4:$V$138,STAT2!$X$4:$X$138,$I36)+SUMIFS(STAT2!$W$4:$W$138,STAT2!$X$4:$X$138,$I36)</f>
        <v>66462571.162826285</v>
      </c>
      <c r="G36" s="765">
        <f>+SUMIFS(STAT3!$V$4:$V$138,STAT3!$X$4:$X$138,$I36)+SUMIFS(STAT3!$W$4:$W$138,STAT3!$X$4:$X$138,$I36)</f>
        <v>69255456.627826273</v>
      </c>
      <c r="H36" s="766">
        <f>+SUMIFS(STAT4!$V$4:$V$138,STAT4!$X$4:$X$138,$I36)+SUMIFS(STAT4!$W$4:$W$138,STAT4!$X$4:$X$138,$I36)</f>
        <v>95176148.744644463</v>
      </c>
      <c r="I36" s="43">
        <v>1203</v>
      </c>
      <c r="J36" s="44"/>
      <c r="K36" s="44"/>
    </row>
    <row r="37" spans="1:11" ht="15" customHeight="1">
      <c r="A37" s="762" t="s">
        <v>111</v>
      </c>
      <c r="B37" s="1044" t="s">
        <v>112</v>
      </c>
      <c r="C37" s="1044"/>
      <c r="D37" s="765">
        <f>+SUMIFS(STAT1!$H$4:$H$138,STAT1!$X$4:$X$138,$I37)+SUMIFS(STAT1!$I$4:$I$138,STAT1!$X$4:$X$138,$I37)</f>
        <v>0</v>
      </c>
      <c r="E37" s="765">
        <f>+SUMIFS(STAT1!$V$4:$V$138,STAT1!$X$4:$X$138,$I37)+SUMIFS(STAT1!$W$4:$W$138,STAT1!$X$4:$X$138,$I37)</f>
        <v>8753263.9899585918</v>
      </c>
      <c r="F37" s="765">
        <f>+SUMIFS(STAT2!$V$4:$V$138,STAT2!$X$4:$X$138,$I37)+SUMIFS(STAT2!$W$4:$W$138,STAT2!$X$4:$X$138,$I37)</f>
        <v>13825978.088106744</v>
      </c>
      <c r="G37" s="765">
        <f>+SUMIFS(STAT3!$V$4:$V$138,STAT3!$X$4:$X$138,$I37)+SUMIFS(STAT3!$W$4:$W$138,STAT3!$X$4:$X$138,$I37)</f>
        <v>10518157.338106744</v>
      </c>
      <c r="H37" s="766">
        <f>+SUMIFS(STAT4!$V$4:$V$138,STAT4!$X$4:$X$138,$I37)+SUMIFS(STAT4!$W$4:$W$138,STAT4!$X$4:$X$138,$I37)</f>
        <v>1.8932558596134186E-3</v>
      </c>
      <c r="I37" s="43">
        <v>1204</v>
      </c>
      <c r="J37" s="44"/>
      <c r="K37" s="44"/>
    </row>
    <row r="38" spans="1:11" ht="15" customHeight="1">
      <c r="A38" s="762" t="s">
        <v>113</v>
      </c>
      <c r="B38" s="1044" t="s">
        <v>114</v>
      </c>
      <c r="C38" s="1044"/>
      <c r="D38" s="765">
        <f>+SUMIFS(STAT1!$H$4:$H$138,STAT1!$X$4:$X$138,$I38)+SUMIFS(STAT1!$I$4:$I$138,STAT1!$X$4:$X$138,$I38)</f>
        <v>22456333.000000015</v>
      </c>
      <c r="E38" s="765">
        <f>+SUMIFS(STAT1!$V$4:$V$138,STAT1!$X$4:$X$138,$I38)+SUMIFS(STAT1!$W$4:$W$138,STAT1!$X$4:$X$138,$I38)</f>
        <v>5837685.0000000149</v>
      </c>
      <c r="F38" s="765">
        <f>+SUMIFS(STAT2!$V$4:$V$138,STAT2!$X$4:$X$138,$I38)+SUMIFS(STAT2!$W$4:$W$138,STAT2!$X$4:$X$138,$I38)</f>
        <v>0</v>
      </c>
      <c r="G38" s="765">
        <f>+SUMIFS(STAT3!$V$4:$V$138,STAT3!$X$4:$X$138,$I38)+SUMIFS(STAT3!$W$4:$W$138,STAT3!$X$4:$X$138,$I38)</f>
        <v>0</v>
      </c>
      <c r="H38" s="766">
        <f>+SUMIFS(STAT4!$V$4:$V$138,STAT4!$X$4:$X$138,$I38)+SUMIFS(STAT4!$W$4:$W$138,STAT4!$X$4:$X$138,$I38)</f>
        <v>0</v>
      </c>
      <c r="I38" s="43">
        <v>1205</v>
      </c>
      <c r="J38" s="44"/>
      <c r="K38" s="44"/>
    </row>
    <row r="39" spans="1:11" ht="15" customHeight="1">
      <c r="A39" s="762" t="s">
        <v>115</v>
      </c>
      <c r="B39" s="1044" t="s">
        <v>116</v>
      </c>
      <c r="C39" s="1044"/>
      <c r="D39" s="765">
        <f>+SUMIFS(STAT1!$H$4:$H$138,STAT1!$X$4:$X$138,$I39)+SUMIFS(STAT1!$I$4:$I$138,STAT1!$X$4:$X$138,$I39)</f>
        <v>0</v>
      </c>
      <c r="E39" s="765">
        <f>+SUMIFS(STAT1!$V$4:$V$138,STAT1!$X$4:$X$138,$I39)+SUMIFS(STAT1!$W$4:$W$138,STAT1!$X$4:$X$138,$I39)</f>
        <v>0</v>
      </c>
      <c r="F39" s="765">
        <f>+SUMIFS(STAT2!$V$4:$V$138,STAT2!$X$4:$X$138,$I39)+SUMIFS(STAT2!$W$4:$W$138,STAT2!$X$4:$X$138,$I39)</f>
        <v>0</v>
      </c>
      <c r="G39" s="765">
        <f>+SUMIFS(STAT3!$V$4:$V$138,STAT3!$X$4:$X$138,$I39)+SUMIFS(STAT3!$W$4:$W$138,STAT3!$X$4:$X$138,$I39)</f>
        <v>0</v>
      </c>
      <c r="H39" s="766">
        <f>+SUMIFS(STAT4!$V$4:$V$138,STAT4!$X$4:$X$138,$I39)+SUMIFS(STAT4!$W$4:$W$138,STAT4!$X$4:$X$138,$I39)</f>
        <v>0</v>
      </c>
      <c r="I39" s="43">
        <v>1206</v>
      </c>
      <c r="J39" s="44"/>
      <c r="K39" s="44"/>
    </row>
    <row r="40" spans="1:11" ht="15" customHeight="1">
      <c r="A40" s="762" t="s">
        <v>117</v>
      </c>
      <c r="B40" s="1044" t="s">
        <v>118</v>
      </c>
      <c r="C40" s="1044"/>
      <c r="D40" s="765">
        <f>+SUMIFS(STAT1!$H$4:$H$138,STAT1!$X$4:$X$138,$I40)+SUMIFS(STAT1!$I$4:$I$138,STAT1!$X$4:$X$138,$I40)</f>
        <v>0</v>
      </c>
      <c r="E40" s="765">
        <f>+SUMIFS(STAT1!$V$4:$V$138,STAT1!$X$4:$X$138,$I40)+SUMIFS(STAT1!$W$4:$W$138,STAT1!$X$4:$X$138,$I40)</f>
        <v>0</v>
      </c>
      <c r="F40" s="765">
        <f>+SUMIFS(STAT2!$V$4:$V$138,STAT2!$X$4:$X$138,$I40)+SUMIFS(STAT2!$W$4:$W$138,STAT2!$X$4:$X$138,$I40)</f>
        <v>0</v>
      </c>
      <c r="G40" s="765">
        <f>+SUMIFS(STAT3!$V$4:$V$138,STAT3!$X$4:$X$138,$I40)+SUMIFS(STAT3!$W$4:$W$138,STAT3!$X$4:$X$138,$I40)</f>
        <v>0</v>
      </c>
      <c r="H40" s="766">
        <f>+SUMIFS(STAT4!$V$4:$V$138,STAT4!$X$4:$X$138,$I40)+SUMIFS(STAT4!$W$4:$W$138,STAT4!$X$4:$X$138,$I40)</f>
        <v>0</v>
      </c>
      <c r="I40" s="43">
        <v>1207</v>
      </c>
      <c r="J40" s="44"/>
      <c r="K40" s="44"/>
    </row>
    <row r="41" spans="1:11" ht="15" customHeight="1">
      <c r="A41" s="762" t="s">
        <v>119</v>
      </c>
      <c r="B41" s="1044" t="s">
        <v>120</v>
      </c>
      <c r="C41" s="1044"/>
      <c r="D41" s="765">
        <f>+SUMIFS(STAT1!$H$4:$H$138,STAT1!$X$4:$X$138,$I41)+SUMIFS(STAT1!$I$4:$I$138,STAT1!$X$4:$X$138,$I41)</f>
        <v>118147724.09</v>
      </c>
      <c r="E41" s="765">
        <f>+SUMIFS(STAT1!$V$4:$V$138,STAT1!$X$4:$X$138,$I41)+SUMIFS(STAT1!$W$4:$W$138,STAT1!$X$4:$X$138,$I41)</f>
        <v>118147724.09</v>
      </c>
      <c r="F41" s="765">
        <f>+SUMIFS(STAT2!$V$4:$V$138,STAT2!$X$4:$X$138,$I41)+SUMIFS(STAT2!$W$4:$W$138,STAT2!$X$4:$X$138,$I41)</f>
        <v>118147724.09</v>
      </c>
      <c r="G41" s="765">
        <f>+SUMIFS(STAT3!$V$4:$V$138,STAT3!$X$4:$X$138,$I41)+SUMIFS(STAT3!$W$4:$W$138,STAT3!$X$4:$X$138,$I41)</f>
        <v>136155224.09</v>
      </c>
      <c r="H41" s="766">
        <f>+SUMIFS(STAT4!$V$4:$V$138,STAT4!$X$4:$X$138,$I41)+SUMIFS(STAT4!$W$4:$W$138,STAT4!$X$4:$X$138,$I41)</f>
        <v>136155224.09124708</v>
      </c>
      <c r="I41" s="43">
        <v>1211</v>
      </c>
      <c r="J41" s="44"/>
      <c r="K41" s="44"/>
    </row>
    <row r="42" spans="1:11" ht="15" customHeight="1">
      <c r="A42" s="762" t="s">
        <v>121</v>
      </c>
      <c r="B42" s="1044" t="s">
        <v>122</v>
      </c>
      <c r="C42" s="1044"/>
      <c r="D42" s="765">
        <f>+SUMIFS(STAT1!$H$4:$H$138,STAT1!$X$4:$X$138,$I42)+SUMIFS(STAT1!$I$4:$I$138,STAT1!$X$4:$X$138,$I42)</f>
        <v>0</v>
      </c>
      <c r="E42" s="765">
        <f>+SUMIFS(STAT1!$V$4:$V$138,STAT1!$X$4:$X$138,$I42)+SUMIFS(STAT1!$W$4:$W$138,STAT1!$X$4:$X$138,$I42)</f>
        <v>0</v>
      </c>
      <c r="F42" s="765">
        <f>+SUMIFS(STAT2!$V$4:$V$138,STAT2!$X$4:$X$138,$I42)+SUMIFS(STAT2!$W$4:$W$138,STAT2!$X$4:$X$138,$I42)</f>
        <v>0</v>
      </c>
      <c r="G42" s="765">
        <f>+SUMIFS(STAT3!$V$4:$V$138,STAT3!$X$4:$X$138,$I42)+SUMIFS(STAT3!$W$4:$W$138,STAT3!$X$4:$X$138,$I42)</f>
        <v>0</v>
      </c>
      <c r="H42" s="766">
        <f>+SUMIFS(STAT4!$V$4:$V$138,STAT4!$X$4:$X$138,$I42)+SUMIFS(STAT4!$W$4:$W$138,STAT4!$X$4:$X$138,$I42)</f>
        <v>0</v>
      </c>
      <c r="I42" s="43">
        <v>1209</v>
      </c>
      <c r="J42" s="44"/>
      <c r="K42" s="44"/>
    </row>
    <row r="43" spans="1:11" ht="15" customHeight="1">
      <c r="A43" s="762" t="s">
        <v>123</v>
      </c>
      <c r="B43" s="1044" t="s">
        <v>124</v>
      </c>
      <c r="C43" s="1044"/>
      <c r="D43" s="765">
        <f>+SUMIFS(STAT1!$H$4:$H$138,STAT1!$X$4:$X$138,$I43)+SUMIFS(STAT1!$I$4:$I$138,STAT1!$X$4:$X$138,$I43)</f>
        <v>70822909</v>
      </c>
      <c r="E43" s="765">
        <f>+SUMIFS(STAT1!$V$4:$V$138,STAT1!$X$4:$X$138,$I43)+SUMIFS(STAT1!$W$4:$W$138,STAT1!$X$4:$X$138,$I43)</f>
        <v>60583201</v>
      </c>
      <c r="F43" s="765">
        <f>+SUMIFS(STAT2!$V$4:$V$138,STAT2!$X$4:$X$138,$I43)+SUMIFS(STAT2!$W$4:$W$138,STAT2!$X$4:$X$138,$I43)</f>
        <v>49863030</v>
      </c>
      <c r="G43" s="765">
        <f>+SUMIFS(STAT3!$V$4:$V$138,STAT3!$X$4:$X$138,$I43)+SUMIFS(STAT3!$W$4:$W$138,STAT3!$X$4:$X$138,$I43)</f>
        <v>38562674</v>
      </c>
      <c r="H43" s="766">
        <f>+SUMIFS(STAT4!$V$4:$V$138,STAT4!$X$4:$X$138,$I43)+SUMIFS(STAT4!$W$4:$W$138,STAT4!$X$4:$X$138,$I43)</f>
        <v>26635902</v>
      </c>
      <c r="I43" s="43">
        <v>1210</v>
      </c>
      <c r="J43" s="44"/>
      <c r="K43" s="44"/>
    </row>
    <row r="44" spans="1:11" ht="26.25" customHeight="1">
      <c r="A44" s="762" t="s">
        <v>125</v>
      </c>
      <c r="B44" s="1045" t="s">
        <v>126</v>
      </c>
      <c r="C44" s="1045"/>
      <c r="D44" s="765">
        <f>+SUMIFS(STAT1!$H$4:$H$138,STAT1!$X$4:$X$138,$I44)+SUMIFS(STAT1!$I$4:$I$138,STAT1!$X$4:$X$138,$I44)</f>
        <v>0</v>
      </c>
      <c r="E44" s="765">
        <f>+SUMIFS(STAT1!$V$4:$V$138,STAT1!$X$4:$X$138,$I44)+SUMIFS(STAT1!$W$4:$W$138,STAT1!$X$4:$X$138,$I44)</f>
        <v>0</v>
      </c>
      <c r="F44" s="765">
        <f>+SUMIFS(STAT2!$V$4:$V$138,STAT2!$X$4:$X$138,$I44)+SUMIFS(STAT2!$W$4:$W$138,STAT2!$X$4:$X$138,$I44)</f>
        <v>0</v>
      </c>
      <c r="G44" s="765">
        <f>+SUMIFS(STAT3!$V$4:$V$138,STAT3!$X$4:$X$138,$I44)+SUMIFS(STAT3!$W$4:$W$138,STAT3!$X$4:$X$138,$I44)</f>
        <v>0</v>
      </c>
      <c r="H44" s="766">
        <f>+SUMIFS(STAT4!$V$4:$V$138,STAT4!$X$4:$X$138,$I44)+SUMIFS(STAT4!$W$4:$W$138,STAT4!$X$4:$X$138,$I44)</f>
        <v>0</v>
      </c>
      <c r="I44" s="43">
        <v>1208</v>
      </c>
      <c r="J44" s="44"/>
      <c r="K44" s="44"/>
    </row>
    <row r="45" spans="1:11" ht="15" customHeight="1">
      <c r="A45" s="762" t="s">
        <v>127</v>
      </c>
      <c r="B45" s="1046" t="s">
        <v>128</v>
      </c>
      <c r="C45" s="1046"/>
      <c r="D45" s="763">
        <f>SUM(D34:D44)</f>
        <v>282112728.41000003</v>
      </c>
      <c r="E45" s="763">
        <f>SUM(E34:E44)</f>
        <v>278560977.94278491</v>
      </c>
      <c r="F45" s="763">
        <f>SUM(F34:F44)</f>
        <v>273299303.34093302</v>
      </c>
      <c r="G45" s="763">
        <f>SUM(G34:G44)</f>
        <v>284806085.96593302</v>
      </c>
      <c r="H45" s="764">
        <f>SUM(H34:H44)</f>
        <v>258097274.84028479</v>
      </c>
      <c r="I45" s="43">
        <v>1212</v>
      </c>
      <c r="J45" s="44"/>
      <c r="K45" s="44"/>
    </row>
    <row r="46" spans="1:11" ht="15" customHeight="1">
      <c r="A46" s="762" t="s">
        <v>129</v>
      </c>
      <c r="B46" s="1046" t="s">
        <v>130</v>
      </c>
      <c r="C46" s="1046"/>
      <c r="D46" s="763"/>
      <c r="E46" s="763"/>
      <c r="F46" s="763"/>
      <c r="G46" s="763"/>
      <c r="H46" s="764"/>
      <c r="J46" s="44"/>
      <c r="K46" s="44"/>
    </row>
    <row r="47" spans="1:11" ht="15" customHeight="1">
      <c r="A47" s="762" t="s">
        <v>131</v>
      </c>
      <c r="B47" s="1044" t="s">
        <v>132</v>
      </c>
      <c r="C47" s="1044"/>
      <c r="D47" s="765">
        <f>+SUMIFS(STAT1!$H$4:$H$138,STAT1!$X$4:$X$138,$I47)+SUMIFS(STAT1!$I$4:$I$138,STAT1!$X$4:$X$138,$I47)</f>
        <v>0</v>
      </c>
      <c r="E47" s="765">
        <f>+SUMIFS(STAT1!$V$4:$V$138,STAT1!$X$4:$X$138,$I47)+SUMIFS(STAT1!$W$4:$W$138,STAT1!$X$4:$X$138,$I47)</f>
        <v>0</v>
      </c>
      <c r="F47" s="765">
        <f>+SUMIFS(STAT2!$V$4:$V$138,STAT2!$X$4:$X$138,$I47)+SUMIFS(STAT2!$W$4:$W$138,STAT2!$X$4:$X$138,$I47)</f>
        <v>0</v>
      </c>
      <c r="G47" s="765">
        <f>+SUMIFS(STAT3!$V$4:$V$138,STAT3!$X$4:$X$138,$I47)+SUMIFS(STAT3!$W$4:$W$138,STAT3!$X$4:$X$138,$I47)</f>
        <v>0</v>
      </c>
      <c r="H47" s="766">
        <f>+SUMIFS(STAT4!$V$4:$V$138,STAT4!$X$4:$X$138,$I47)+SUMIFS(STAT4!$W$4:$W$138,STAT4!$X$4:$X$138,$I47)</f>
        <v>0</v>
      </c>
      <c r="I47" s="43">
        <v>1221</v>
      </c>
      <c r="J47" s="44"/>
      <c r="K47" s="44"/>
    </row>
    <row r="48" spans="1:11" ht="15" customHeight="1">
      <c r="A48" s="762" t="s">
        <v>133</v>
      </c>
      <c r="B48" s="1044" t="s">
        <v>122</v>
      </c>
      <c r="C48" s="1044"/>
      <c r="D48" s="765">
        <f>+SUMIFS(STAT1!$H$4:$H$138,STAT1!$X$4:$X$138,$I48)+SUMIFS(STAT1!$I$4:$I$138,STAT1!$X$4:$X$138,$I48)</f>
        <v>0</v>
      </c>
      <c r="E48" s="765">
        <f>+SUMIFS(STAT1!$V$4:$V$138,STAT1!$X$4:$X$138,$I48)+SUMIFS(STAT1!$W$4:$W$138,STAT1!$X$4:$X$138,$I48)</f>
        <v>0</v>
      </c>
      <c r="F48" s="765">
        <f>+SUMIFS(STAT2!$V$4:$V$138,STAT2!$X$4:$X$138,$I48)+SUMIFS(STAT2!$W$4:$W$138,STAT2!$X$4:$X$138,$I48)</f>
        <v>0</v>
      </c>
      <c r="G48" s="765">
        <f>+SUMIFS(STAT3!$V$4:$V$138,STAT3!$X$4:$X$138,$I48)+SUMIFS(STAT3!$W$4:$W$138,STAT3!$X$4:$X$138,$I48)</f>
        <v>0</v>
      </c>
      <c r="H48" s="766">
        <f>+SUMIFS(STAT4!$V$4:$V$138,STAT4!$X$4:$X$138,$I48)+SUMIFS(STAT4!$W$4:$W$138,STAT4!$X$4:$X$138,$I48)</f>
        <v>0</v>
      </c>
      <c r="I48" s="43">
        <v>1222</v>
      </c>
      <c r="J48" s="44"/>
      <c r="K48" s="44"/>
    </row>
    <row r="49" spans="1:11" ht="15" customHeight="1">
      <c r="A49" s="762" t="s">
        <v>134</v>
      </c>
      <c r="B49" s="1044" t="s">
        <v>135</v>
      </c>
      <c r="C49" s="1044"/>
      <c r="D49" s="765">
        <f>+SUMIFS(STAT1!$H$4:$H$138,STAT1!$X$4:$X$138,$I49)+SUMIFS(STAT1!$I$4:$I$138,STAT1!$X$4:$X$138,$I49)</f>
        <v>0</v>
      </c>
      <c r="E49" s="765">
        <f>+SUMIFS(STAT1!$V$4:$V$138,STAT1!$X$4:$X$138,$I49)+SUMIFS(STAT1!$W$4:$W$138,STAT1!$X$4:$X$138,$I49)</f>
        <v>0</v>
      </c>
      <c r="F49" s="765">
        <f>+SUMIFS(STAT2!$V$4:$V$138,STAT2!$X$4:$X$138,$I49)+SUMIFS(STAT2!$W$4:$W$138,STAT2!$X$4:$X$138,$I49)</f>
        <v>0</v>
      </c>
      <c r="G49" s="765">
        <f>+SUMIFS(STAT3!$V$4:$V$138,STAT3!$X$4:$X$138,$I49)+SUMIFS(STAT3!$W$4:$W$138,STAT3!$X$4:$X$138,$I49)</f>
        <v>0</v>
      </c>
      <c r="H49" s="766">
        <f>+SUMIFS(STAT4!$V$4:$V$138,STAT4!$X$4:$X$138,$I49)+SUMIFS(STAT4!$W$4:$W$138,STAT4!$X$4:$X$138,$I49)</f>
        <v>0</v>
      </c>
      <c r="I49" s="43">
        <v>1223</v>
      </c>
      <c r="J49" s="44"/>
      <c r="K49" s="44"/>
    </row>
    <row r="50" spans="1:11" ht="15" customHeight="1">
      <c r="A50" s="762" t="s">
        <v>136</v>
      </c>
      <c r="B50" s="1044" t="s">
        <v>137</v>
      </c>
      <c r="C50" s="1044"/>
      <c r="D50" s="765">
        <f>+SUMIFS(STAT1!$H$4:$H$138,STAT1!$X$4:$X$138,$I50)+SUMIFS(STAT1!$I$4:$I$138,STAT1!$X$4:$X$138,$I50)</f>
        <v>0</v>
      </c>
      <c r="E50" s="765">
        <f>+SUMIFS(STAT1!$V$4:$V$138,STAT1!$X$4:$X$138,$I50)+SUMIFS(STAT1!$W$4:$W$138,STAT1!$X$4:$X$138,$I50)</f>
        <v>0</v>
      </c>
      <c r="F50" s="765">
        <f>+SUMIFS(STAT2!$V$4:$V$138,STAT2!$X$4:$X$138,$I50)+SUMIFS(STAT2!$W$4:$W$138,STAT2!$X$4:$X$138,$I50)</f>
        <v>0</v>
      </c>
      <c r="G50" s="765">
        <f>+SUMIFS(STAT3!$V$4:$V$138,STAT3!$X$4:$X$138,$I50)+SUMIFS(STAT3!$W$4:$W$138,STAT3!$X$4:$X$138,$I50)</f>
        <v>0</v>
      </c>
      <c r="H50" s="766">
        <f>+SUMIFS(STAT4!$V$4:$V$138,STAT4!$X$4:$X$138,$I50)+SUMIFS(STAT4!$W$4:$W$138,STAT4!$X$4:$X$138,$I50)</f>
        <v>0</v>
      </c>
      <c r="I50" s="43">
        <v>1224</v>
      </c>
      <c r="J50" s="44"/>
      <c r="K50" s="44"/>
    </row>
    <row r="51" spans="1:11" ht="15" customHeight="1">
      <c r="A51" s="762" t="s">
        <v>138</v>
      </c>
      <c r="B51" s="1044" t="s">
        <v>139</v>
      </c>
      <c r="C51" s="1044"/>
      <c r="D51" s="765">
        <f>+SUMIFS(STAT1!$H$4:$H$138,STAT1!$X$4:$X$138,$I51)+SUMIFS(STAT1!$I$4:$I$138,STAT1!$X$4:$X$138,$I51)</f>
        <v>0</v>
      </c>
      <c r="E51" s="765">
        <f>+SUMIFS(STAT1!$V$4:$V$138,STAT1!$X$4:$X$138,$I51)+SUMIFS(STAT1!$W$4:$W$138,STAT1!$X$4:$X$138,$I51)</f>
        <v>0</v>
      </c>
      <c r="F51" s="765">
        <f>+SUMIFS(STAT2!$V$4:$V$138,STAT2!$X$4:$X$138,$I51)+SUMIFS(STAT2!$W$4:$W$138,STAT2!$X$4:$X$138,$I51)</f>
        <v>0</v>
      </c>
      <c r="G51" s="765">
        <f>+SUMIFS(STAT3!$V$4:$V$138,STAT3!$X$4:$X$138,$I51)+SUMIFS(STAT3!$W$4:$W$138,STAT3!$X$4:$X$138,$I51)</f>
        <v>0</v>
      </c>
      <c r="H51" s="766">
        <f>+SUMIFS(STAT4!$V$4:$V$138,STAT4!$X$4:$X$138,$I51)+SUMIFS(STAT4!$W$4:$W$138,STAT4!$X$4:$X$138,$I51)</f>
        <v>0</v>
      </c>
      <c r="I51" s="43">
        <v>1225</v>
      </c>
      <c r="J51" s="44"/>
      <c r="K51" s="44"/>
    </row>
    <row r="52" spans="1:11" ht="15" customHeight="1">
      <c r="A52" s="762" t="s">
        <v>140</v>
      </c>
      <c r="B52" s="1046" t="s">
        <v>141</v>
      </c>
      <c r="C52" s="1046"/>
      <c r="D52" s="763">
        <f>SUM(D47:D51)</f>
        <v>0</v>
      </c>
      <c r="E52" s="763">
        <f>SUM(E47:E51)</f>
        <v>0</v>
      </c>
      <c r="F52" s="763">
        <f>SUM(F47:F51)</f>
        <v>0</v>
      </c>
      <c r="G52" s="763">
        <f>SUM(G47:G51)</f>
        <v>0</v>
      </c>
      <c r="H52" s="763">
        <f>SUM(H47:H51)</f>
        <v>0</v>
      </c>
      <c r="J52" s="44"/>
      <c r="K52" s="44"/>
    </row>
    <row r="53" spans="1:11" ht="15" customHeight="1">
      <c r="A53" s="762" t="s">
        <v>142</v>
      </c>
      <c r="B53" s="1046" t="s">
        <v>143</v>
      </c>
      <c r="C53" s="1046"/>
      <c r="D53" s="763">
        <f>+D45+D52</f>
        <v>282112728.41000003</v>
      </c>
      <c r="E53" s="763">
        <f>+E45+E52</f>
        <v>278560977.94278491</v>
      </c>
      <c r="F53" s="763">
        <f>+F45+F52</f>
        <v>273299303.34093302</v>
      </c>
      <c r="G53" s="763">
        <f>+G45+G52</f>
        <v>284806085.96593302</v>
      </c>
      <c r="H53" s="764">
        <f>+H45+H52</f>
        <v>258097274.84028479</v>
      </c>
      <c r="J53" s="44"/>
      <c r="K53" s="44"/>
    </row>
    <row r="54" spans="1:11" ht="15" customHeight="1">
      <c r="A54" s="762" t="s">
        <v>144</v>
      </c>
      <c r="B54" s="1044" t="s">
        <v>145</v>
      </c>
      <c r="C54" s="1044"/>
      <c r="D54" s="765">
        <f>SUM(D55:D62)</f>
        <v>818011918.64999998</v>
      </c>
      <c r="E54" s="765">
        <f>SUM(E55:E62)</f>
        <v>818011918.64999998</v>
      </c>
      <c r="F54" s="765">
        <f>SUM(F55:F62)</f>
        <v>818011918.64999998</v>
      </c>
      <c r="G54" s="765">
        <f>SUM(G55:G62)</f>
        <v>818011918.64999998</v>
      </c>
      <c r="H54" s="766">
        <f>SUM(H55:H62)</f>
        <v>818011918.64999998</v>
      </c>
      <c r="J54" s="44"/>
      <c r="K54" s="44"/>
    </row>
    <row r="55" spans="1:11" ht="15" customHeight="1">
      <c r="A55" s="762" t="s">
        <v>146</v>
      </c>
      <c r="B55" s="1044" t="s">
        <v>147</v>
      </c>
      <c r="C55" s="1044"/>
      <c r="D55" s="765">
        <f>+SUMIFS(STAT1!$H$4:$H$138,STAT1!$X$4:$X$138,$I55)+SUMIFS(STAT1!$I$4:$I$138,STAT1!$X$4:$X$138,$I55)</f>
        <v>0</v>
      </c>
      <c r="E55" s="765">
        <f>+SUMIFS(STAT1!$V$4:$V$138,STAT1!$X$4:$X$138,$I55)+SUMIFS(STAT1!$W$4:$W$138,STAT1!$X$4:$X$138,$I55)</f>
        <v>0</v>
      </c>
      <c r="F55" s="765">
        <f>+SUMIFS(STAT2!$V$4:$V$138,STAT2!$X$4:$X$138,$I55)+SUMIFS(STAT2!$W$4:$W$138,STAT2!$X$4:$X$138,$I55)</f>
        <v>0</v>
      </c>
      <c r="G55" s="765">
        <f>+SUMIFS(STAT3!$V$4:$V$138,STAT3!$X$4:$X$138,$I55)+SUMIFS(STAT3!$W$4:$W$138,STAT3!$X$4:$X$138,$I55)</f>
        <v>0</v>
      </c>
      <c r="H55" s="766">
        <f>+SUMIFS(STAT4!$V$4:$V$138,STAT4!$X$4:$X$138,$I55)+SUMIFS(STAT4!$W$4:$W$138,STAT4!$X$4:$X$138,$I55)</f>
        <v>0</v>
      </c>
      <c r="I55" s="43">
        <v>1301</v>
      </c>
      <c r="J55" s="44"/>
      <c r="K55" s="44"/>
    </row>
    <row r="56" spans="1:11" ht="15" customHeight="1">
      <c r="A56" s="762" t="s">
        <v>148</v>
      </c>
      <c r="B56" s="1044" t="s">
        <v>149</v>
      </c>
      <c r="C56" s="1044"/>
      <c r="D56" s="765">
        <f>+SUMIFS(STAT1!$H$4:$H$138,STAT1!$X$4:$X$138,$I56)+SUMIFS(STAT1!$I$4:$I$138,STAT1!$X$4:$X$138,$I56)</f>
        <v>30701981.399999999</v>
      </c>
      <c r="E56" s="765">
        <f>+SUMIFS(STAT1!$V$4:$V$138,STAT1!$X$4:$X$138,$I56)+SUMIFS(STAT1!$W$4:$W$138,STAT1!$X$4:$X$138,$I56)</f>
        <v>30701981.399999999</v>
      </c>
      <c r="F56" s="765">
        <f>+SUMIFS(STAT2!$V$4:$V$138,STAT2!$X$4:$X$138,$I56)+SUMIFS(STAT2!$W$4:$W$138,STAT2!$X$4:$X$138,$I56)</f>
        <v>30701981.399999999</v>
      </c>
      <c r="G56" s="765">
        <f>+SUMIFS(STAT3!$V$4:$V$138,STAT3!$X$4:$X$138,$I56)+SUMIFS(STAT3!$W$4:$W$138,STAT3!$X$4:$X$138,$I56)</f>
        <v>30701981.399999999</v>
      </c>
      <c r="H56" s="766">
        <f>+SUMIFS(STAT4!$V$4:$V$138,STAT4!$X$4:$X$138,$I56)+SUMIFS(STAT4!$W$4:$W$138,STAT4!$X$4:$X$138,$I56)</f>
        <v>30701981.399999999</v>
      </c>
      <c r="I56" s="43">
        <v>1302</v>
      </c>
      <c r="J56" s="44"/>
      <c r="K56" s="44"/>
    </row>
    <row r="57" spans="1:11" ht="15" customHeight="1">
      <c r="A57" s="762" t="s">
        <v>150</v>
      </c>
      <c r="B57" s="1044" t="s">
        <v>151</v>
      </c>
      <c r="C57" s="1044"/>
      <c r="D57" s="765">
        <f>+SUMIFS(STAT1!$H$4:$H$138,STAT1!$X$4:$X$138,$I57)+SUMIFS(STAT1!$I$4:$I$138,STAT1!$X$4:$X$138,$I57)</f>
        <v>0</v>
      </c>
      <c r="E57" s="765">
        <f>+SUMIFS(STAT1!$V$4:$V$138,STAT1!$X$4:$X$138,$I57)+SUMIFS(STAT1!$W$4:$W$138,STAT1!$X$4:$X$138,$I57)</f>
        <v>0</v>
      </c>
      <c r="F57" s="765">
        <f>+SUMIFS(STAT2!$V$4:$V$138,STAT2!$X$4:$X$138,$I57)+SUMIFS(STAT2!$W$4:$W$138,STAT2!$X$4:$X$138,$I57)</f>
        <v>0</v>
      </c>
      <c r="G57" s="765">
        <f>+SUMIFS(STAT3!$V$4:$V$138,STAT3!$X$4:$X$138,$I57)+SUMIFS(STAT3!$W$4:$W$138,STAT3!$X$4:$X$138,$I57)</f>
        <v>0</v>
      </c>
      <c r="H57" s="766">
        <f>+SUMIFS(STAT4!$V$4:$V$138,STAT4!$X$4:$X$138,$I57)+SUMIFS(STAT4!$W$4:$W$138,STAT4!$X$4:$X$138,$I57)</f>
        <v>0</v>
      </c>
      <c r="I57" s="43">
        <v>1303</v>
      </c>
      <c r="J57" s="44"/>
      <c r="K57" s="44"/>
    </row>
    <row r="58" spans="1:11" ht="15" customHeight="1">
      <c r="A58" s="762" t="s">
        <v>152</v>
      </c>
      <c r="B58" s="1044" t="s">
        <v>153</v>
      </c>
      <c r="C58" s="1044"/>
      <c r="D58" s="765">
        <f>+SUMIFS(STAT1!$H$4:$H$138,STAT1!$X$4:$X$138,$I58)+SUMIFS(STAT1!$I$4:$I$138,STAT1!$X$4:$X$138,$I58)</f>
        <v>0</v>
      </c>
      <c r="E58" s="765">
        <f>+SUMIFS(STAT1!$V$4:$V$138,STAT1!$X$4:$X$138,$I58)+SUMIFS(STAT1!$W$4:$W$138,STAT1!$X$4:$X$138,$I58)</f>
        <v>0</v>
      </c>
      <c r="F58" s="765">
        <f>+SUMIFS(STAT2!$V$4:$V$138,STAT2!$X$4:$X$138,$I58)+SUMIFS(STAT2!$W$4:$W$138,STAT2!$X$4:$X$138,$I58)</f>
        <v>0</v>
      </c>
      <c r="G58" s="765">
        <f>+SUMIFS(STAT3!$V$4:$V$138,STAT3!$X$4:$X$138,$I58)+SUMIFS(STAT3!$W$4:$W$138,STAT3!$X$4:$X$138,$I58)</f>
        <v>0</v>
      </c>
      <c r="H58" s="766">
        <f>+SUMIFS(STAT4!$V$4:$V$138,STAT4!$X$4:$X$138,$I58)+SUMIFS(STAT4!$W$4:$W$138,STAT4!$X$4:$X$138,$I58)</f>
        <v>0</v>
      </c>
      <c r="I58" s="43">
        <v>1304</v>
      </c>
      <c r="J58" s="44"/>
      <c r="K58" s="44"/>
    </row>
    <row r="59" spans="1:11" ht="15" customHeight="1">
      <c r="A59" s="762" t="s">
        <v>154</v>
      </c>
      <c r="B59" s="1044" t="s">
        <v>155</v>
      </c>
      <c r="C59" s="1044"/>
      <c r="D59" s="765">
        <f>+SUMIFS(STAT1!$H$4:$H$138,STAT1!$X$4:$X$138,$I59)+SUMIFS(STAT1!$I$4:$I$138,STAT1!$X$4:$X$138,$I59)</f>
        <v>0</v>
      </c>
      <c r="E59" s="765">
        <f>+SUMIFS(STAT1!$V$4:$V$138,STAT1!$X$4:$X$138,$I59)+SUMIFS(STAT1!$W$4:$W$138,STAT1!$X$4:$X$138,$I59)</f>
        <v>0</v>
      </c>
      <c r="F59" s="765">
        <f>+SUMIFS(STAT2!$V$4:$V$138,STAT2!$X$4:$X$138,$I59)+SUMIFS(STAT2!$W$4:$W$138,STAT2!$X$4:$X$138,$I59)</f>
        <v>0</v>
      </c>
      <c r="G59" s="765">
        <f>+SUMIFS(STAT3!$V$4:$V$138,STAT3!$X$4:$X$138,$I59)+SUMIFS(STAT3!$W$4:$W$138,STAT3!$X$4:$X$138,$I59)</f>
        <v>0</v>
      </c>
      <c r="H59" s="766">
        <f>+SUMIFS(STAT4!$V$4:$V$138,STAT4!$X$4:$X$138,$I59)+SUMIFS(STAT4!$W$4:$W$138,STAT4!$X$4:$X$138,$I59)</f>
        <v>0</v>
      </c>
      <c r="I59" s="43">
        <v>1305</v>
      </c>
      <c r="J59" s="44"/>
      <c r="K59" s="44"/>
    </row>
    <row r="60" spans="1:11" ht="15" customHeight="1">
      <c r="A60" s="762" t="s">
        <v>156</v>
      </c>
      <c r="B60" s="1044" t="s">
        <v>157</v>
      </c>
      <c r="C60" s="1044"/>
      <c r="D60" s="765">
        <f>+SUMIFS(STAT1!$H$4:$H$138,STAT1!$X$4:$X$138,$I60)+SUMIFS(STAT1!$I$4:$I$138,STAT1!$X$4:$X$138,$I60)</f>
        <v>680931312.63</v>
      </c>
      <c r="E60" s="765">
        <f>+SUMIFS(STAT1!$V$4:$V$138,STAT1!$X$4:$X$138,$I60)+SUMIFS(STAT1!$W$4:$W$138,STAT1!$X$4:$X$138,$I60)</f>
        <v>680931312.63</v>
      </c>
      <c r="F60" s="765">
        <f>+SUMIFS(STAT2!$V$4:$V$138,STAT2!$X$4:$X$138,$I60)+SUMIFS(STAT2!$W$4:$W$138,STAT2!$X$4:$X$138,$I60)</f>
        <v>680931312.63</v>
      </c>
      <c r="G60" s="765">
        <f>+SUMIFS(STAT3!$V$4:$V$138,STAT3!$X$4:$X$138,$I60)+SUMIFS(STAT3!$W$4:$W$138,STAT3!$X$4:$X$138,$I60)</f>
        <v>680931312.63</v>
      </c>
      <c r="H60" s="766">
        <f>+SUMIFS(STAT4!$V$4:$V$138,STAT4!$X$4:$X$138,$I60)+SUMIFS(STAT4!$W$4:$W$138,STAT4!$X$4:$X$138,$I60)</f>
        <v>680931312.63</v>
      </c>
      <c r="I60" s="43">
        <v>1310</v>
      </c>
      <c r="J60" s="44"/>
      <c r="K60" s="44"/>
    </row>
    <row r="61" spans="1:11" ht="15" customHeight="1">
      <c r="A61" s="762" t="s">
        <v>158</v>
      </c>
      <c r="B61" s="1044" t="s">
        <v>159</v>
      </c>
      <c r="C61" s="1044"/>
      <c r="D61" s="765">
        <f>+SUMIFS(STAT1!$H$4:$H$138,STAT1!$X$4:$X$138,$I61)+SUMIFS(STAT1!$I$4:$I$138,STAT1!$X$4:$X$138,$I61)</f>
        <v>0</v>
      </c>
      <c r="E61" s="765">
        <f>+SUMIFS(STAT1!$V$4:$V$138,STAT1!$X$4:$X$138,$I61)+SUMIFS(STAT1!$W$4:$W$138,STAT1!$X$4:$X$138,$I61)</f>
        <v>0</v>
      </c>
      <c r="F61" s="765">
        <f>+SUMIFS(STAT2!$V$4:$V$138,STAT2!$X$4:$X$138,$I61)+SUMIFS(STAT2!$W$4:$W$138,STAT2!$X$4:$X$138,$I61)</f>
        <v>0</v>
      </c>
      <c r="G61" s="765">
        <f>+SUMIFS(STAT3!$V$4:$V$138,STAT3!$X$4:$X$138,$I61)+SUMIFS(STAT3!$W$4:$W$138,STAT3!$X$4:$X$138,$I61)</f>
        <v>0</v>
      </c>
      <c r="H61" s="766">
        <f>+SUMIFS(STAT4!$V$4:$V$138,STAT4!$X$4:$X$138,$I61)+SUMIFS(STAT4!$W$4:$W$138,STAT4!$X$4:$X$138,$I61)</f>
        <v>0</v>
      </c>
      <c r="I61" s="43">
        <v>1311</v>
      </c>
      <c r="J61" s="44"/>
      <c r="K61" s="44"/>
    </row>
    <row r="62" spans="1:11" ht="15" customHeight="1">
      <c r="A62" s="762" t="s">
        <v>160</v>
      </c>
      <c r="B62" s="1044" t="s">
        <v>161</v>
      </c>
      <c r="C62" s="1044"/>
      <c r="D62" s="765">
        <f>+SUMIFS(STAT1!$H$4:$H$138,STAT1!$X$4:$X$138,$I62)+SUMIFS(STAT1!$I$4:$I$138,STAT1!$X$4:$X$138,$I62)</f>
        <v>106378624.62</v>
      </c>
      <c r="E62" s="765">
        <f>+SUMIFS(STAT1!$V$4:$V$138,STAT1!$X$4:$X$138,$I62)+SUMIFS(STAT1!$W$4:$W$138,STAT1!$X$4:$X$138,$I62)</f>
        <v>106378624.62</v>
      </c>
      <c r="F62" s="765">
        <f>+SUMIFS(STAT2!$V$4:$V$138,STAT2!$X$4:$X$138,$I62)+SUMIFS(STAT2!$W$4:$W$138,STAT2!$X$4:$X$138,$I62)</f>
        <v>106378624.62</v>
      </c>
      <c r="G62" s="765">
        <f>+SUMIFS(STAT3!$V$4:$V$138,STAT3!$X$4:$X$138,$I62)+SUMIFS(STAT3!$W$4:$W$138,STAT3!$X$4:$X$138,$I62)</f>
        <v>106378624.62</v>
      </c>
      <c r="H62" s="766">
        <f>+SUMIFS(STAT4!$V$4:$V$138,STAT4!$X$4:$X$138,$I62)+SUMIFS(STAT4!$W$4:$W$138,STAT4!$X$4:$X$138,$I62)</f>
        <v>106378624.62</v>
      </c>
      <c r="I62" s="43">
        <v>1312</v>
      </c>
      <c r="J62" s="44"/>
      <c r="K62" s="44"/>
    </row>
    <row r="63" spans="1:11" ht="15" customHeight="1">
      <c r="A63" s="762" t="s">
        <v>162</v>
      </c>
      <c r="B63" s="1048" t="s">
        <v>163</v>
      </c>
      <c r="C63" s="1048"/>
      <c r="D63" s="765">
        <f>+SUMIFS(STAT1!$H$4:$H$138,STAT1!$X$4:$X$138,$I63)+SUMIFS(STAT1!$I$4:$I$138,STAT1!$X$4:$X$138,$I63)</f>
        <v>0</v>
      </c>
      <c r="E63" s="765">
        <f>+SUMIFS(STAT1!$V$4:$V$138,STAT1!$X$4:$X$138,$I63)+SUMIFS(STAT1!$W$4:$W$138,STAT1!$X$4:$X$138,$I63)</f>
        <v>0</v>
      </c>
      <c r="F63" s="765">
        <f>+SUMIFS(STAT2!$V$4:$V$138,STAT2!$X$4:$X$138,$I63)+SUMIFS(STAT2!$W$4:$W$138,STAT2!$X$4:$X$138,$I63)</f>
        <v>0</v>
      </c>
      <c r="G63" s="765">
        <f>+SUMIFS(STAT3!$V$4:$V$138,STAT3!$X$4:$X$138,$I63)+SUMIFS(STAT3!$W$4:$W$138,STAT3!$X$4:$X$138,$I63)</f>
        <v>0</v>
      </c>
      <c r="H63" s="766">
        <f>+SUMIFS(STAT4!$V$4:$V$138,STAT4!$X$4:$X$138,$I63)+SUMIFS(STAT4!$W$4:$W$138,STAT4!$X$4:$X$138,$I63)</f>
        <v>0</v>
      </c>
      <c r="J63" s="44"/>
      <c r="K63" s="44"/>
    </row>
    <row r="64" spans="1:11" ht="15" customHeight="1">
      <c r="A64" s="762" t="s">
        <v>164</v>
      </c>
      <c r="B64" s="1049" t="s">
        <v>165</v>
      </c>
      <c r="C64" s="1049"/>
      <c r="D64" s="765">
        <f>+SUMIFS(STAT1!$H$4:$H$138,STAT1!$X$4:$X$138,$I64)+SUMIFS(STAT1!$I$4:$I$138,STAT1!$X$4:$X$138,$I64)</f>
        <v>1038581855.87</v>
      </c>
      <c r="E64" s="765">
        <f>+SUMIFS(STAT1!$V$4:$V$138,STAT1!$X$4:$X$138,$I64)+SUMIFS(STAT1!$W$4:$W$138,STAT1!$X$4:$X$138,$I64)</f>
        <v>984463390.13</v>
      </c>
      <c r="F64" s="765">
        <f>+SUMIFS(STAT2!$V$4:$V$138,STAT2!$X$4:$X$138,$I64)+SUMIFS(STAT2!$W$4:$W$138,STAT2!$X$4:$X$138,$I64)</f>
        <v>984463390.13</v>
      </c>
      <c r="G64" s="765">
        <f>+SUMIFS(STAT3!$V$4:$V$138,STAT3!$X$4:$X$138,$I64)+SUMIFS(STAT3!$W$4:$W$138,STAT3!$X$4:$X$138,$I64)</f>
        <v>984463390.13</v>
      </c>
      <c r="H64" s="766">
        <f>+SUMIFS(STAT4!$V$4:$V$138,STAT4!$X$4:$X$138,$I64)+SUMIFS(STAT4!$W$4:$W$138,STAT4!$X$4:$X$138,$I64)</f>
        <v>984463390.13</v>
      </c>
      <c r="I64" s="43">
        <v>1313</v>
      </c>
      <c r="J64" s="44"/>
      <c r="K64" s="44"/>
    </row>
    <row r="65" spans="1:11" ht="15" customHeight="1">
      <c r="A65" s="762" t="s">
        <v>166</v>
      </c>
      <c r="B65" s="1049" t="s">
        <v>167</v>
      </c>
      <c r="C65" s="1049"/>
      <c r="D65" s="765">
        <f>+SUMIFS(STAT1!$H$4:$H$138,STAT1!$X$4:$X$138,$I65)*-1+SUMIFS(STAT1!$I$4:$I$138,STAT1!$X$4:$X$138,$I65)*-1</f>
        <v>-54118465.740000002</v>
      </c>
      <c r="E65" s="765">
        <f>-SUMIFS(STAT1!$V$4:$V$138,STAT1!$X$4:$X$138,$I65)+SUMIFS(STAT1!$W$4:$W$138,STAT1!$X$4:$X$138,$I65)</f>
        <v>-29421719.660101078</v>
      </c>
      <c r="F65" s="765">
        <f>+SUMIFS(STAT2!$V$4:$V$138,STAT2!$X$4:$X$138,$I65)*-1+SUMIFS(STAT2!$W$4:$W$138,STAT2!$X$4:$X$138,$I65)*-1</f>
        <v>-63944364.238249235</v>
      </c>
      <c r="G65" s="765">
        <f>+SUMIFS(STAT3!$V$4:$V$138,STAT3!$X$4:$X$138,$I65)*-1+SUMIFS(STAT3!$W$4:$W$138,STAT3!$X$4:$X$138,$I65)*-1</f>
        <v>-80276461.02683942</v>
      </c>
      <c r="H65" s="766">
        <f>+SUMIFS(STAT4!$V$4:$V$138,STAT4!$X$4:$X$138,$I65)*-1+SUMIFS(STAT4!$W$4:$W$138,STAT4!$X$4:$X$138,$I65)*-1</f>
        <v>-2910619.7326731533</v>
      </c>
      <c r="I65" s="43">
        <v>1314</v>
      </c>
      <c r="J65" s="44"/>
      <c r="K65" s="44"/>
    </row>
    <row r="66" spans="1:11" ht="15" customHeight="1">
      <c r="A66" s="762" t="s">
        <v>168</v>
      </c>
      <c r="B66" s="1046" t="s">
        <v>169</v>
      </c>
      <c r="C66" s="1046"/>
      <c r="D66" s="763">
        <f>+SUM(D55:D65)</f>
        <v>1802475308.78</v>
      </c>
      <c r="E66" s="763">
        <f>+SUM(E55:E65)</f>
        <v>1773053589.1198988</v>
      </c>
      <c r="F66" s="763">
        <f>+SUM(F55:F65)</f>
        <v>1738530944.5417507</v>
      </c>
      <c r="G66" s="763">
        <f>+SUM(G55:G65)</f>
        <v>1722198847.7531605</v>
      </c>
      <c r="H66" s="764">
        <f>+SUM(H55:H65)</f>
        <v>1799564689.0473268</v>
      </c>
      <c r="J66" s="44"/>
      <c r="K66" s="44"/>
    </row>
    <row r="67" spans="1:11" ht="15" customHeight="1">
      <c r="A67" s="762" t="s">
        <v>170</v>
      </c>
      <c r="B67" s="1046" t="s">
        <v>100</v>
      </c>
      <c r="C67" s="1046"/>
      <c r="D67" s="763">
        <f>+D53+D66</f>
        <v>2084588037.1900001</v>
      </c>
      <c r="E67" s="763">
        <f>+E53+E66</f>
        <v>2051614567.0626836</v>
      </c>
      <c r="F67" s="763">
        <f>+F53+F66</f>
        <v>2011830247.8826838</v>
      </c>
      <c r="G67" s="763">
        <f>+G53+G66</f>
        <v>2007004933.7190936</v>
      </c>
      <c r="H67" s="764">
        <f>+H53+H66</f>
        <v>2057661963.8876116</v>
      </c>
      <c r="I67" s="44"/>
      <c r="J67" s="44"/>
      <c r="K67" s="44"/>
    </row>
    <row r="68" spans="1:11" ht="15.75" customHeight="1">
      <c r="A68" s="760"/>
      <c r="B68" s="761"/>
      <c r="C68" s="761"/>
      <c r="D68" s="594">
        <f>+D30-D67</f>
        <v>0</v>
      </c>
      <c r="E68" s="594">
        <f>+E30-E67</f>
        <v>-2.3996829986572266E-3</v>
      </c>
      <c r="F68" s="594">
        <f>+F30-F67</f>
        <v>-2.3996829986572266E-3</v>
      </c>
      <c r="G68" s="594">
        <f>+G30-G67</f>
        <v>1.2366771697998047E-3</v>
      </c>
      <c r="H68" s="594">
        <f>+H30-H67</f>
        <v>-1.1184215545654297E-2</v>
      </c>
      <c r="J68" s="44"/>
      <c r="K68" s="44"/>
    </row>
    <row r="69" spans="1:11" ht="13.5" customHeight="1">
      <c r="A69" s="760"/>
      <c r="B69" s="1043" t="str">
        <f>+'company '!B25</f>
        <v>Ерөнхий захирал</v>
      </c>
      <c r="C69" s="1043"/>
      <c r="D69" s="768" t="s">
        <v>280</v>
      </c>
      <c r="E69" s="769"/>
      <c r="F69" s="770"/>
      <c r="G69" s="594"/>
      <c r="H69" s="769" t="str">
        <f>+'company '!C25</f>
        <v>/Д.Бахдамдэмбэрэл /</v>
      </c>
      <c r="J69" s="44"/>
      <c r="K69" s="44"/>
    </row>
    <row r="70" spans="1:11" ht="13.5" customHeight="1">
      <c r="A70" s="760"/>
      <c r="F70" s="771"/>
      <c r="H70" s="772"/>
      <c r="I70" s="772"/>
      <c r="J70" s="44"/>
      <c r="K70" s="44"/>
    </row>
    <row r="71" spans="1:11" ht="15" customHeight="1">
      <c r="B71" s="1043" t="str">
        <f>+'company '!B28</f>
        <v>Нягтлан бодогч</v>
      </c>
      <c r="C71" s="1043"/>
      <c r="D71" s="768" t="s">
        <v>280</v>
      </c>
      <c r="E71" s="771"/>
      <c r="F71" s="771"/>
      <c r="G71" s="771"/>
      <c r="H71" s="771" t="str">
        <f>+'company '!C28</f>
        <v>/Б.Түмэндэлгэр/</v>
      </c>
      <c r="I71" s="771"/>
      <c r="J71" s="44"/>
      <c r="K71" s="44"/>
    </row>
    <row r="72" spans="1:11" ht="15.75" customHeight="1">
      <c r="J72" s="44"/>
      <c r="K72" s="44"/>
    </row>
    <row r="73" spans="1:11">
      <c r="A73" s="773"/>
      <c r="B73" s="1047"/>
      <c r="C73" s="1047"/>
      <c r="D73" s="773"/>
      <c r="E73" s="773"/>
      <c r="F73" s="773"/>
      <c r="G73" s="773"/>
      <c r="H73" s="774"/>
      <c r="J73" s="44"/>
      <c r="K73" s="44"/>
    </row>
  </sheetData>
  <mergeCells count="70">
    <mergeCell ref="B7:C7"/>
    <mergeCell ref="A2:B2"/>
    <mergeCell ref="A3:B3"/>
    <mergeCell ref="A4:H4"/>
    <mergeCell ref="B5:C5"/>
    <mergeCell ref="B6:C6"/>
    <mergeCell ref="B19:C19"/>
    <mergeCell ref="B8:C8"/>
    <mergeCell ref="B9:C9"/>
    <mergeCell ref="B10:C10"/>
    <mergeCell ref="B11:C11"/>
    <mergeCell ref="B12:C12"/>
    <mergeCell ref="B13:C13"/>
    <mergeCell ref="B14:C14"/>
    <mergeCell ref="B15:C15"/>
    <mergeCell ref="B16:C16"/>
    <mergeCell ref="B17:C17"/>
    <mergeCell ref="B18:C18"/>
    <mergeCell ref="B31:C31"/>
    <mergeCell ref="B20:C20"/>
    <mergeCell ref="B21:C21"/>
    <mergeCell ref="B22:C22"/>
    <mergeCell ref="B23:C23"/>
    <mergeCell ref="B24:C24"/>
    <mergeCell ref="B25:C25"/>
    <mergeCell ref="B26:C26"/>
    <mergeCell ref="B27:C27"/>
    <mergeCell ref="B28:C28"/>
    <mergeCell ref="B29:C29"/>
    <mergeCell ref="B30:C30"/>
    <mergeCell ref="B38:C38"/>
    <mergeCell ref="B39:C39"/>
    <mergeCell ref="B40:C40"/>
    <mergeCell ref="B41:C41"/>
    <mergeCell ref="B42:C42"/>
    <mergeCell ref="B33:C33"/>
    <mergeCell ref="B34:C34"/>
    <mergeCell ref="B35:C35"/>
    <mergeCell ref="B36:C36"/>
    <mergeCell ref="B37:C37"/>
    <mergeCell ref="B73:C73"/>
    <mergeCell ref="B67:C67"/>
    <mergeCell ref="B56:C56"/>
    <mergeCell ref="B57:C57"/>
    <mergeCell ref="B58:C58"/>
    <mergeCell ref="B59:C59"/>
    <mergeCell ref="B60:C60"/>
    <mergeCell ref="B61:C61"/>
    <mergeCell ref="B62:C62"/>
    <mergeCell ref="B63:C63"/>
    <mergeCell ref="B64:C64"/>
    <mergeCell ref="B65:C65"/>
    <mergeCell ref="B66:C66"/>
    <mergeCell ref="B69:C69"/>
    <mergeCell ref="A1:H1"/>
    <mergeCell ref="B71:C71"/>
    <mergeCell ref="B55:C55"/>
    <mergeCell ref="B44:C44"/>
    <mergeCell ref="B45:C45"/>
    <mergeCell ref="B46:C46"/>
    <mergeCell ref="B47:C47"/>
    <mergeCell ref="B48:C48"/>
    <mergeCell ref="B49:C49"/>
    <mergeCell ref="B50:C50"/>
    <mergeCell ref="B51:C51"/>
    <mergeCell ref="B52:C52"/>
    <mergeCell ref="B53:C53"/>
    <mergeCell ref="B54:C54"/>
    <mergeCell ref="B43:C43"/>
    <mergeCell ref="B32:C32"/>
  </mergeCells>
  <pageMargins left="0.7" right="0.7" top="0.75" bottom="0.75" header="0.3" footer="0.3"/>
  <pageSetup scale="88" fitToHeight="0" orientation="portrait" r:id="rId1"/>
  <ignoredErrors>
    <ignoredError sqref="A6:A19 A30:A32 A53:A54 A67" numberStoredAsText="1"/>
    <ignoredError sqref="E18 E19 G18:H18" formulaRange="1"/>
    <ignoredError sqref="D21:H21" formula="1"/>
  </ignoredErrors>
</worksheet>
</file>

<file path=xl/worksheets/sheet18.xml><?xml version="1.0" encoding="utf-8"?>
<worksheet xmlns="http://schemas.openxmlformats.org/spreadsheetml/2006/main" xmlns:r="http://schemas.openxmlformats.org/officeDocument/2006/relationships">
  <sheetPr>
    <tabColor rgb="FFFF0000"/>
    <pageSetUpPr fitToPage="1"/>
  </sheetPr>
  <dimension ref="A1:L51"/>
  <sheetViews>
    <sheetView topLeftCell="A13" zoomScaleSheetLayoutView="100" workbookViewId="0">
      <selection activeCell="I16" sqref="I16"/>
    </sheetView>
  </sheetViews>
  <sheetFormatPr defaultRowHeight="12.75" outlineLevelCol="1"/>
  <cols>
    <col min="1" max="1" width="8.140625" style="43" customWidth="1"/>
    <col min="2" max="2" width="22" style="43" customWidth="1"/>
    <col min="3" max="3" width="20.85546875" style="43" customWidth="1"/>
    <col min="4" max="4" width="18.28515625" style="129" customWidth="1"/>
    <col min="5" max="5" width="17.7109375" style="129" hidden="1" customWidth="1" outlineLevel="1"/>
    <col min="6" max="8" width="18.7109375" style="43" hidden="1" customWidth="1" outlineLevel="1"/>
    <col min="9" max="9" width="19.5703125" style="43" customWidth="1" collapsed="1"/>
    <col min="10" max="10" width="12.5703125" style="71" bestFit="1" customWidth="1"/>
    <col min="11" max="11" width="9.140625" style="43"/>
    <col min="12" max="12" width="12.85546875" style="43" bestFit="1" customWidth="1"/>
    <col min="13" max="16384" width="9.140625" style="43"/>
  </cols>
  <sheetData>
    <row r="1" spans="1:12" s="46" customFormat="1" ht="15" customHeight="1">
      <c r="A1" s="43"/>
      <c r="B1" s="43"/>
      <c r="C1" s="43"/>
      <c r="D1" s="224"/>
      <c r="E1" s="224"/>
      <c r="F1" s="171"/>
      <c r="G1" s="171"/>
      <c r="H1" s="171"/>
      <c r="I1" s="43"/>
      <c r="J1" s="117"/>
    </row>
    <row r="2" spans="1:12" ht="19.5">
      <c r="A2" s="1060" t="s">
        <v>942</v>
      </c>
      <c r="B2" s="1060"/>
      <c r="C2" s="1060"/>
      <c r="D2" s="1060"/>
      <c r="E2" s="1060"/>
      <c r="F2" s="1060"/>
      <c r="G2" s="1060"/>
      <c r="H2" s="1060"/>
      <c r="I2" s="1060"/>
    </row>
    <row r="3" spans="1:12" ht="14.25" customHeight="1">
      <c r="A3" s="1059" t="str">
        <f>+'company '!C6</f>
        <v>ШИНЭСТ ХК</v>
      </c>
      <c r="B3" s="1059"/>
      <c r="D3" s="224"/>
      <c r="E3" s="224"/>
      <c r="F3" s="171"/>
      <c r="G3" s="171"/>
      <c r="H3" s="171"/>
    </row>
    <row r="4" spans="1:12" ht="14.25" customHeight="1">
      <c r="A4" s="1061" t="s">
        <v>45</v>
      </c>
      <c r="B4" s="1061"/>
      <c r="C4" s="208"/>
      <c r="D4" s="225" t="s">
        <v>46</v>
      </c>
      <c r="E4" s="225"/>
      <c r="F4" s="226"/>
      <c r="G4" s="226"/>
      <c r="H4" s="226"/>
      <c r="I4" s="35" t="str">
        <f>+'company '!C23</f>
        <v>2018.01.01-2018.12.31</v>
      </c>
    </row>
    <row r="5" spans="1:12" ht="29.25" customHeight="1">
      <c r="B5" s="35"/>
      <c r="C5" s="35"/>
      <c r="D5" s="225"/>
      <c r="E5" s="225"/>
      <c r="F5" s="227"/>
      <c r="G5" s="227"/>
      <c r="H5" s="227"/>
      <c r="I5" s="208" t="s">
        <v>47</v>
      </c>
      <c r="J5" s="118"/>
    </row>
    <row r="6" spans="1:12" ht="45.75" customHeight="1">
      <c r="A6" s="210" t="s">
        <v>48</v>
      </c>
      <c r="B6" s="1062" t="s">
        <v>49</v>
      </c>
      <c r="C6" s="1062"/>
      <c r="D6" s="802" t="s">
        <v>263</v>
      </c>
      <c r="E6" s="802" t="s">
        <v>2369</v>
      </c>
      <c r="F6" s="802" t="s">
        <v>2372</v>
      </c>
      <c r="G6" s="802" t="s">
        <v>2373</v>
      </c>
      <c r="H6" s="802" t="s">
        <v>2374</v>
      </c>
      <c r="I6" s="243" t="s">
        <v>941</v>
      </c>
      <c r="J6" s="185" t="s">
        <v>0</v>
      </c>
    </row>
    <row r="7" spans="1:12" ht="15.75" customHeight="1">
      <c r="A7" s="209" t="s">
        <v>50</v>
      </c>
      <c r="B7" s="1058" t="s">
        <v>891</v>
      </c>
      <c r="C7" s="1058"/>
      <c r="D7" s="234">
        <v>458303751.75</v>
      </c>
      <c r="E7" s="233">
        <f>+SUMIFS(STAT1!$T$140:$T$214,STAT1!$X$140:$X$214,J7)+SUMIFS(STAT1!$U$140:$U$214,STAT1!$X$140:$X$214,J7)</f>
        <v>35254780.178181812</v>
      </c>
      <c r="F7" s="231">
        <f>+SUMIFS(STAT2!$T$140:$T$214,STAT2!$X$140:$X$214,J7)+SUMIFS(STAT2!$U$140:$U$214,STAT2!$X$140:$X$214,J7)</f>
        <v>19643506.370000001</v>
      </c>
      <c r="G7" s="231">
        <f>+SUMIFS(STAT3!$T$140:$T$214,STAT3!$X$140:$X$214,J7)+SUMIFS(STAT3!$U$140:$U$214,STAT3!$X$140:$X$214,J7)</f>
        <v>29556578.169999998</v>
      </c>
      <c r="H7" s="404">
        <f>+SUMIFS(STAT4!$T$140:$T$214,STAT4!$X$140:$X$214,J7)+SUMIFS(STAT4!$U$140:$U$214,STAT4!$X$140:$X$214,J7)</f>
        <v>444702873.72864306</v>
      </c>
      <c r="I7" s="231">
        <f>SUM(E7:H7)</f>
        <v>529157738.44682491</v>
      </c>
      <c r="J7" s="71">
        <v>5101</v>
      </c>
      <c r="L7" s="44"/>
    </row>
    <row r="8" spans="1:12" ht="15.75" customHeight="1">
      <c r="A8" s="209" t="s">
        <v>99</v>
      </c>
      <c r="B8" s="1058" t="s">
        <v>892</v>
      </c>
      <c r="C8" s="1058"/>
      <c r="D8" s="228">
        <v>271139823.25999999</v>
      </c>
      <c r="E8" s="229">
        <f>+SUMIFS(STAT1!$T$140:$T$214,STAT1!$X$140:$X$214,J8)+SUMIFS(STAT1!$U$140:$U$214,STAT1!$X$140:$X$214,J8)</f>
        <v>21396831.513568029</v>
      </c>
      <c r="F8" s="230">
        <f>+SUMIFS(STAT2!$T$140:$T$214,STAT2!$X$140:$X$214,J8)+SUMIFS(STAT2!$U$140:$U$214,STAT2!$X$140:$X$214,J8)</f>
        <v>14851047.35</v>
      </c>
      <c r="G8" s="230">
        <f>+SUMIFS(STAT3!$T$140:$T$214,STAT3!$X$140:$X$214,J8)+SUMIFS(STAT3!$U$140:$U$214,STAT3!$X$140:$X$214,J8)</f>
        <v>18438101.410590194</v>
      </c>
      <c r="H8" s="404">
        <f>+SUMIFS(STAT4!$T$140:$T$214,STAT4!$X$140:$X$214,J8)+SUMIFS(STAT4!$U$140:$U$214,STAT4!$X$140:$X$214,J8)</f>
        <v>315552859.82487684</v>
      </c>
      <c r="I8" s="230">
        <f t="shared" ref="I8:I32" si="0">SUM(E8:H8)</f>
        <v>370238840.09903508</v>
      </c>
      <c r="J8" s="71">
        <v>6101</v>
      </c>
      <c r="L8" s="44"/>
    </row>
    <row r="9" spans="1:12" ht="15.75" customHeight="1">
      <c r="A9" s="232" t="s">
        <v>171</v>
      </c>
      <c r="B9" s="1056" t="s">
        <v>893</v>
      </c>
      <c r="C9" s="1056"/>
      <c r="D9" s="233">
        <f t="shared" ref="D9:I9" si="1">+D7-D8</f>
        <v>187163928.49000001</v>
      </c>
      <c r="E9" s="233">
        <f t="shared" si="1"/>
        <v>13857948.664613783</v>
      </c>
      <c r="F9" s="231">
        <f t="shared" si="1"/>
        <v>4792459.0200000014</v>
      </c>
      <c r="G9" s="231">
        <f t="shared" si="1"/>
        <v>11118476.759409804</v>
      </c>
      <c r="H9" s="231">
        <f t="shared" si="1"/>
        <v>129150013.90376621</v>
      </c>
      <c r="I9" s="231">
        <f t="shared" si="1"/>
        <v>158918898.34778982</v>
      </c>
    </row>
    <row r="10" spans="1:12" ht="15.75" customHeight="1">
      <c r="A10" s="209" t="s">
        <v>172</v>
      </c>
      <c r="B10" s="1058" t="s">
        <v>894</v>
      </c>
      <c r="C10" s="1058"/>
      <c r="D10" s="228"/>
      <c r="E10" s="229">
        <f>+SUMIFS(STAT1!$T$140:$T$214,STAT1!$X$140:$X$214,J10)+SUMIFS(STAT1!$U$140:$U$214,STAT1!$X$140:$X$214,J10)</f>
        <v>0</v>
      </c>
      <c r="F10" s="230">
        <f>+SUMIFS(STAT2!$T$140:$T$214,STAT2!$X$140:$X$214,J10)+SUMIFS(STAT2!$U$140:$U$214,STAT2!$X$140:$X$214,J10)</f>
        <v>0</v>
      </c>
      <c r="G10" s="230">
        <f>+SUMIFS(STAT3!$T$140:$T$214,STAT3!$X$140:$X$214,J10)+SUMIFS(STAT3!$U$140:$U$214,STAT3!$X$140:$X$214,J10)</f>
        <v>0</v>
      </c>
      <c r="H10" s="404">
        <f>+SUMIFS(STAT4!$T$140:$T$214,STAT4!$X$140:$X$214,J10)+SUMIFS(STAT4!$U$140:$U$214,STAT4!$X$140:$X$214,J10)</f>
        <v>0</v>
      </c>
      <c r="I10" s="231">
        <f t="shared" si="0"/>
        <v>0</v>
      </c>
      <c r="J10" s="71">
        <v>5113</v>
      </c>
    </row>
    <row r="11" spans="1:12" ht="15.75" customHeight="1">
      <c r="A11" s="209" t="s">
        <v>173</v>
      </c>
      <c r="B11" s="1058" t="s">
        <v>895</v>
      </c>
      <c r="C11" s="1058"/>
      <c r="D11" s="228">
        <v>8727.52</v>
      </c>
      <c r="E11" s="229">
        <f>+SUMIFS(STAT1!$T$140:$T$214,STAT1!$X$140:$X$214,J11)+SUMIFS(STAT1!$U$140:$U$214,STAT1!$X$140:$X$214,J11)</f>
        <v>0</v>
      </c>
      <c r="F11" s="230">
        <f>+SUMIFS(STAT2!$T$140:$T$214,STAT2!$X$140:$X$214,J11)+SUMIFS(STAT2!$U$140:$U$214,STAT2!$X$140:$X$214,J11)</f>
        <v>0</v>
      </c>
      <c r="G11" s="230">
        <f>+SUMIFS(STAT3!$T$140:$T$214,STAT3!$X$140:$X$214,J11)+SUMIFS(STAT3!$U$140:$U$214,STAT3!$X$140:$X$214,J11)</f>
        <v>0</v>
      </c>
      <c r="H11" s="404">
        <f>+SUMIFS(STAT4!$T$140:$T$214,STAT4!$X$140:$X$214,J11)+SUMIFS(STAT4!$U$140:$U$214,STAT4!$X$140:$X$214,J11)</f>
        <v>0</v>
      </c>
      <c r="I11" s="231">
        <f t="shared" si="0"/>
        <v>0</v>
      </c>
      <c r="J11" s="71">
        <v>5112</v>
      </c>
    </row>
    <row r="12" spans="1:12" ht="15.75" customHeight="1">
      <c r="A12" s="209" t="s">
        <v>174</v>
      </c>
      <c r="B12" s="1058" t="s">
        <v>896</v>
      </c>
      <c r="C12" s="1058"/>
      <c r="D12" s="228"/>
      <c r="E12" s="229">
        <f>+SUMIFS(STAT1!$T$140:$T$214,STAT1!$X$140:$X$214,J12)+SUMIFS(STAT1!$U$140:$U$214,STAT1!$X$140:$X$214,J12)</f>
        <v>0</v>
      </c>
      <c r="F12" s="230">
        <f>+SUMIFS(STAT2!$T$140:$T$214,STAT2!$X$140:$X$214,J12)+SUMIFS(STAT2!$U$140:$U$214,STAT2!$X$140:$X$214,J12)</f>
        <v>0</v>
      </c>
      <c r="G12" s="230">
        <f>+SUMIFS(STAT3!$T$140:$T$214,STAT3!$X$140:$X$214,J12)+SUMIFS(STAT3!$U$140:$U$214,STAT3!$X$140:$X$214,J12)</f>
        <v>0</v>
      </c>
      <c r="H12" s="404">
        <f>+SUMIFS(STAT4!$T$140:$T$214,STAT4!$X$140:$X$214,J12)+SUMIFS(STAT4!$U$140:$U$214,STAT4!$X$140:$X$214,J12)</f>
        <v>0</v>
      </c>
      <c r="I12" s="231">
        <f>SUM(E12:H12)</f>
        <v>0</v>
      </c>
      <c r="J12" s="71">
        <v>5114</v>
      </c>
    </row>
    <row r="13" spans="1:12" ht="15.75" customHeight="1">
      <c r="A13" s="209" t="s">
        <v>897</v>
      </c>
      <c r="B13" s="1058" t="s">
        <v>898</v>
      </c>
      <c r="C13" s="1058"/>
      <c r="D13" s="228"/>
      <c r="E13" s="229">
        <f>+SUMIFS(STAT1!$T$140:$T$214,STAT1!$X$140:$X$214,J13)+SUMIFS(STAT1!$U$140:$U$214,STAT1!$X$140:$X$214,J13)</f>
        <v>0</v>
      </c>
      <c r="F13" s="230">
        <f>+SUMIFS(STAT2!$T$140:$T$214,STAT2!$X$140:$X$214,J13)+SUMIFS(STAT2!$U$140:$U$214,STAT2!$X$140:$X$214,J13)</f>
        <v>0</v>
      </c>
      <c r="G13" s="230">
        <f>+SUMIFS(STAT3!$T$140:$T$214,STAT3!$X$140:$X$214,J13)+SUMIFS(STAT3!$U$140:$U$214,STAT3!$X$140:$X$214,J13)</f>
        <v>0</v>
      </c>
      <c r="H13" s="404">
        <f>+SUMIFS(STAT4!$T$140:$T$214,STAT4!$X$140:$X$214,J13)+SUMIFS(STAT4!$U$140:$U$214,STAT4!$X$140:$X$214,J13)</f>
        <v>0</v>
      </c>
      <c r="I13" s="231">
        <f t="shared" si="0"/>
        <v>0</v>
      </c>
      <c r="J13" s="71">
        <v>5115</v>
      </c>
    </row>
    <row r="14" spans="1:12" ht="15.75" customHeight="1">
      <c r="A14" s="209" t="s">
        <v>899</v>
      </c>
      <c r="B14" s="1058" t="s">
        <v>900</v>
      </c>
      <c r="C14" s="1058"/>
      <c r="D14" s="228"/>
      <c r="E14" s="229">
        <f>+SUMIFS(STAT1!$T$140:$T$214,STAT1!$X$140:$X$214,J14)+SUMIFS(STAT1!$U$140:$U$214,STAT1!$X$140:$X$214,J14)</f>
        <v>0</v>
      </c>
      <c r="F14" s="230">
        <f>+SUMIFS(STAT2!$T$140:$T$214,STAT2!$X$140:$X$214,J14)+SUMIFS(STAT2!$U$140:$U$214,STAT2!$X$140:$X$214,J14)</f>
        <v>0</v>
      </c>
      <c r="G14" s="230">
        <f>+SUMIFS(STAT3!$T$140:$T$214,STAT3!$X$140:$X$214,J14)+SUMIFS(STAT3!$U$140:$U$214,STAT3!$X$140:$X$214,J14)</f>
        <v>0</v>
      </c>
      <c r="H14" s="404">
        <f>+SUMIFS(STAT4!$T$140:$T$214,STAT4!$X$140:$X$214,J14)+SUMIFS(STAT4!$U$140:$U$214,STAT4!$X$140:$X$214,J14)</f>
        <v>0</v>
      </c>
      <c r="I14" s="231">
        <f t="shared" si="0"/>
        <v>0</v>
      </c>
      <c r="J14" s="71">
        <v>5111</v>
      </c>
    </row>
    <row r="15" spans="1:12" ht="15.75" customHeight="1">
      <c r="A15" s="209" t="s">
        <v>901</v>
      </c>
      <c r="B15" s="1058" t="s">
        <v>902</v>
      </c>
      <c r="C15" s="1058"/>
      <c r="D15" s="228"/>
      <c r="E15" s="229">
        <f>+SUMIFS(STAT1!$T$140:$T$214,STAT1!$X$140:$X$214,J15)+SUMIFS(STAT1!$U$140:$U$214,STAT1!$X$140:$X$214,J15)</f>
        <v>0</v>
      </c>
      <c r="F15" s="230"/>
      <c r="G15" s="230">
        <f>+SUMIFS(STAT3!$T$140:$T$214,STAT3!$X$140:$X$214,J15)+SUMIFS(STAT3!$U$140:$U$214,STAT3!$X$140:$X$214,J15)</f>
        <v>0</v>
      </c>
      <c r="H15" s="404">
        <f>+SUMIFS(STAT4!$T$140:$T$214,STAT4!$X$140:$X$214,J15)+SUMIFS(STAT4!$U$140:$U$214,STAT4!$X$140:$X$214,J15)</f>
        <v>0</v>
      </c>
      <c r="I15" s="231">
        <f t="shared" si="0"/>
        <v>0</v>
      </c>
      <c r="J15" s="71">
        <v>7001</v>
      </c>
    </row>
    <row r="16" spans="1:12" ht="15.75" customHeight="1">
      <c r="A16" s="209" t="s">
        <v>903</v>
      </c>
      <c r="B16" s="1058" t="s">
        <v>904</v>
      </c>
      <c r="C16" s="1058"/>
      <c r="D16" s="228">
        <v>365530299.16299999</v>
      </c>
      <c r="E16" s="229">
        <f>+SUMIFS(STAT1!$T$140:$T$214,STAT1!$X$140:$X$214,J16)+SUMIFS(STAT1!$U$140:$U$214,STAT1!$X$140:$X$214,J16)</f>
        <v>43270884.364714853</v>
      </c>
      <c r="F16" s="230">
        <f>+SUMIFS(STAT2!$T$140:$T$214,STAT2!$X$140:$X$214,J16)+SUMIFS(STAT2!$U$140:$U$214,STAT2!$X$140:$X$214,J16)+SUMIFS(STAT2!$T$140:$T$214,STAT2!$X$140:$X$214,J15)+SUMIFS(STAT2!$U$140:$U$214,STAT2!$X$140:$X$214,J15)</f>
        <v>39338925.638148151</v>
      </c>
      <c r="G16" s="230">
        <f>+SUMIFS(STAT3!$T$140:$T$214,STAT3!$X$140:$X$214,J16)+SUMIFS(STAT3!$U$140:$U$214,STAT3!$X$140:$X$214,J16)</f>
        <v>27466340.460000005</v>
      </c>
      <c r="H16" s="404">
        <f>+SUMIFS(STAT4!$T$140:$T$214,STAT4!$X$140:$X$214,J16)+SUMIFS(STAT4!$U$140:$U$214,STAT4!$X$140:$X$214,J16)</f>
        <v>51796978.409599997</v>
      </c>
      <c r="I16" s="231">
        <f>SUM(E16:H16)</f>
        <v>161873128.87246302</v>
      </c>
      <c r="J16" s="71">
        <v>7002</v>
      </c>
      <c r="L16" s="44"/>
    </row>
    <row r="17" spans="1:12" ht="15.75" customHeight="1">
      <c r="A17" s="209" t="s">
        <v>905</v>
      </c>
      <c r="B17" s="1058" t="s">
        <v>906</v>
      </c>
      <c r="C17" s="1058"/>
      <c r="D17" s="228"/>
      <c r="E17" s="229">
        <f>+SUMIFS(STAT1!$T$140:$T$214,STAT1!$X$140:$X$214,J17)+SUMIFS(STAT1!$U$140:$U$214,STAT1!$X$140:$X$214,J17)</f>
        <v>0</v>
      </c>
      <c r="F17" s="230">
        <f>+SUMIFS(STAT2!$T$140:$T$214,STAT2!$X$140:$X$214,J17)+SUMIFS(STAT2!$U$140:$U$214,STAT2!$X$140:$X$214,J17)</f>
        <v>0</v>
      </c>
      <c r="G17" s="230">
        <f>+SUMIFS(STAT3!$T$140:$T$214,STAT3!$X$140:$X$214,J17)+SUMIFS(STAT3!$U$140:$U$214,STAT3!$X$140:$X$214,J17)</f>
        <v>0</v>
      </c>
      <c r="H17" s="404">
        <f>+SUMIFS(STAT4!$T$140:$T$214,STAT4!$X$140:$X$214,J17)+SUMIFS(STAT4!$U$140:$U$214,STAT4!$X$140:$X$214,J17)</f>
        <v>0</v>
      </c>
      <c r="I17" s="231">
        <f t="shared" si="0"/>
        <v>0</v>
      </c>
      <c r="J17" s="71">
        <v>7201</v>
      </c>
    </row>
    <row r="18" spans="1:12" ht="15.75" customHeight="1">
      <c r="A18" s="209" t="s">
        <v>907</v>
      </c>
      <c r="B18" s="1058" t="s">
        <v>908</v>
      </c>
      <c r="C18" s="1058"/>
      <c r="D18" s="228"/>
      <c r="E18" s="229">
        <f>+SUMIFS(STAT1!$T$140:$T$214,STAT1!$X$140:$X$214,J18)+SUMIFS(STAT1!$U$140:$U$214,STAT1!$X$140:$X$214,J18)</f>
        <v>0</v>
      </c>
      <c r="F18" s="230">
        <f>+SUMIFS(STAT2!$T$140:$T$214,STAT2!$X$140:$X$214,J18)+SUMIFS(STAT2!$U$140:$U$214,STAT2!$X$140:$X$214,J18)</f>
        <v>0</v>
      </c>
      <c r="G18" s="230">
        <f>+SUMIFS(STAT3!$T$140:$T$214,STAT3!$X$140:$X$214,J18)+SUMIFS(STAT3!$U$140:$U$214,STAT3!$X$140:$X$214,J18)</f>
        <v>0</v>
      </c>
      <c r="H18" s="404">
        <f>+SUMIFS(STAT4!$T$140:$T$214,STAT4!$X$140:$X$214,J18)+SUMIFS(STAT4!$U$140:$U$214,STAT4!$X$140:$X$214,J18)</f>
        <v>0</v>
      </c>
      <c r="I18" s="231">
        <f t="shared" si="0"/>
        <v>0</v>
      </c>
      <c r="J18" s="71">
        <v>7202</v>
      </c>
    </row>
    <row r="19" spans="1:12" ht="15.75" customHeight="1">
      <c r="A19" s="209" t="s">
        <v>909</v>
      </c>
      <c r="B19" s="1058" t="s">
        <v>910</v>
      </c>
      <c r="C19" s="1058"/>
      <c r="D19" s="228">
        <v>2912714.06</v>
      </c>
      <c r="E19" s="229">
        <f>+SUMIFS(STAT1!$T$140:$T$214,STAT1!$X$140:$X$214,J19)-SUMIFS(STAT1!$U$140:$U$214,STAT1!$X$140:$X$214,J19)</f>
        <v>-8783.9599999999991</v>
      </c>
      <c r="F19" s="230">
        <f>+SUMIFS(STAT2!$T$140:$T$214,STAT2!$X$140:$X$214,J19)-SUMIFS(STAT2!$U$140:$U$214,STAT2!$X$140:$X$214,J19)</f>
        <v>23822.04</v>
      </c>
      <c r="G19" s="230">
        <f>+SUMIFS(STAT3!$T$140:$T$214,STAT3!$X$140:$X$214,J19)-SUMIFS(STAT3!$U$140:$U$214,STAT3!$X$140:$X$214,J19)</f>
        <v>15766.912</v>
      </c>
      <c r="H19" s="564">
        <f>+SUMIFS(STAT4!$T$140:$T$214,STAT4!$X$140:$X$214,J19)-SUMIFS(STAT4!$U$140:$U$214,STAT4!$X$140:$X$214,J19)</f>
        <v>12805.799999999988</v>
      </c>
      <c r="I19" s="231">
        <f>SUM(E19:H19)</f>
        <v>43610.791999999987</v>
      </c>
      <c r="J19" s="71">
        <v>8401</v>
      </c>
      <c r="L19" s="44"/>
    </row>
    <row r="20" spans="1:12" ht="15.75" customHeight="1">
      <c r="A20" s="232" t="s">
        <v>911</v>
      </c>
      <c r="B20" s="1055" t="s">
        <v>912</v>
      </c>
      <c r="C20" s="1055"/>
      <c r="D20" s="228">
        <v>0</v>
      </c>
      <c r="E20" s="229">
        <f>+SUMIFS(STAT1!$T$140:$T$214,STAT1!$X$140:$X$214,J20)+SUMIFS(STAT1!$U$140:$U$214,STAT1!$X$140:$X$214,J20)</f>
        <v>0</v>
      </c>
      <c r="F20" s="230">
        <f>+SUMIFS(STAT2!$T$140:$T$214,STAT2!$X$140:$X$214,J20)+SUMIFS(STAT2!$U$140:$U$214,STAT2!$X$140:$X$214,J20)</f>
        <v>0</v>
      </c>
      <c r="G20" s="230">
        <f>+SUMIFS(STAT3!$T$140:$T$214,STAT3!$X$140:$X$214,J20)+SUMIFS(STAT3!$U$140:$U$214,STAT3!$X$140:$X$214,J20)</f>
        <v>0</v>
      </c>
      <c r="H20" s="404">
        <f>+SUMIFS(STAT4!$T$140:$T$214,STAT4!$X$140:$X$214,J20)+SUMIFS(STAT4!$U$140:$U$214,STAT4!$X$140:$X$214,J20)</f>
        <v>0</v>
      </c>
      <c r="I20" s="231">
        <f t="shared" si="0"/>
        <v>0</v>
      </c>
      <c r="J20" s="71">
        <v>8402</v>
      </c>
    </row>
    <row r="21" spans="1:12" ht="15.75" customHeight="1">
      <c r="A21" s="209" t="s">
        <v>913</v>
      </c>
      <c r="B21" s="1055" t="s">
        <v>914</v>
      </c>
      <c r="C21" s="1055"/>
      <c r="D21" s="228">
        <v>0</v>
      </c>
      <c r="E21" s="229">
        <f>+SUMIFS(STAT1!$T$140:$T$214,STAT1!$X$140:$X$214,J21)+SUMIFS(STAT1!$U$140:$U$214,STAT1!$X$140:$X$214,J21)</f>
        <v>0</v>
      </c>
      <c r="F21" s="230">
        <f>+SUMIFS(STAT2!$T$140:$T$214,STAT2!$X$140:$X$214,J21)+SUMIFS(STAT2!$U$140:$U$214,STAT2!$X$140:$X$214,J21)</f>
        <v>0</v>
      </c>
      <c r="G21" s="230">
        <f>+SUMIFS(STAT3!$T$140:$T$214,STAT3!$X$140:$X$214,J21)+SUMIFS(STAT3!$U$140:$U$214,STAT3!$X$140:$X$214,J21)</f>
        <v>0</v>
      </c>
      <c r="H21" s="404">
        <f>+SUMIFS(STAT4!$T$140:$T$214,STAT4!$X$140:$X$214,J21)+SUMIFS(STAT4!$U$140:$U$214,STAT4!$X$140:$X$214,J21)</f>
        <v>0</v>
      </c>
      <c r="I21" s="231">
        <f t="shared" si="0"/>
        <v>0</v>
      </c>
      <c r="J21" s="71">
        <v>8405</v>
      </c>
    </row>
    <row r="22" spans="1:12" ht="36" customHeight="1">
      <c r="A22" s="209" t="s">
        <v>915</v>
      </c>
      <c r="B22" s="1055" t="s">
        <v>916</v>
      </c>
      <c r="C22" s="1055"/>
      <c r="D22" s="228">
        <v>0</v>
      </c>
      <c r="E22" s="229">
        <f>+SUMIFS(STAT1!$T$140:$T$214,STAT1!$X$140:$X$214,J22)+SUMIFS(STAT1!$U$140:$U$214,STAT1!$X$140:$X$214,J22)</f>
        <v>0</v>
      </c>
      <c r="F22" s="230">
        <f>+SUMIFS(STAT2!$T$140:$T$214,STAT2!$X$140:$X$214,J22)+SUMIFS(STAT2!$U$140:$U$214,STAT2!$X$140:$X$214,J22)</f>
        <v>0</v>
      </c>
      <c r="G22" s="230">
        <f>+SUMIFS(STAT3!$T$140:$T$214,STAT3!$X$140:$X$214,J22)+SUMIFS(STAT3!$U$140:$U$214,STAT3!$X$140:$X$214,J22)</f>
        <v>0</v>
      </c>
      <c r="H22" s="404">
        <f>+SUMIFS(STAT4!$T$140:$T$214,STAT4!$X$140:$X$214,J22)+SUMIFS(STAT4!$U$140:$U$214,STAT4!$X$140:$X$214,J22)</f>
        <v>0</v>
      </c>
      <c r="I22" s="231">
        <f t="shared" si="0"/>
        <v>0</v>
      </c>
      <c r="J22" s="71">
        <v>8409</v>
      </c>
    </row>
    <row r="23" spans="1:12" ht="15.75" customHeight="1">
      <c r="A23" s="209" t="s">
        <v>917</v>
      </c>
      <c r="B23" s="1055" t="s">
        <v>918</v>
      </c>
      <c r="C23" s="1055"/>
      <c r="D23" s="228">
        <v>0</v>
      </c>
      <c r="E23" s="229">
        <f>+SUMIFS(STAT1!$T$140:$T$214,STAT1!$X$140:$X$214,J23)+SUMIFS(STAT1!$U$140:$U$214,STAT1!$X$140:$X$214,J23)</f>
        <v>0</v>
      </c>
      <c r="F23" s="230">
        <f>+SUMIFS(STAT2!$T$140:$T$214,STAT2!$X$140:$X$214,J23)+SUMIFS(STAT2!$U$140:$U$214,STAT2!$X$140:$X$214,J23)</f>
        <v>0</v>
      </c>
      <c r="G23" s="230">
        <f>+SUMIFS(STAT3!$T$140:$T$214,STAT3!$X$140:$X$214,J23)+SUMIFS(STAT3!$U$140:$U$214,STAT3!$X$140:$X$214,J23)</f>
        <v>0</v>
      </c>
      <c r="H23" s="404">
        <f>+SUMIFS(STAT4!$T$140:$T$214,STAT4!$X$140:$X$214,J23)+SUMIFS(STAT4!$U$140:$U$214,STAT4!$X$140:$X$214,J23)</f>
        <v>0</v>
      </c>
      <c r="I23" s="231">
        <f t="shared" si="0"/>
        <v>0</v>
      </c>
      <c r="J23" s="71">
        <v>8400</v>
      </c>
    </row>
    <row r="24" spans="1:12" ht="15.75" customHeight="1">
      <c r="A24" s="232" t="s">
        <v>919</v>
      </c>
      <c r="B24" s="1056" t="s">
        <v>920</v>
      </c>
      <c r="C24" s="1056"/>
      <c r="D24" s="233">
        <v>-175444929.04673156</v>
      </c>
      <c r="E24" s="233">
        <f>+E9+E10+E11+E12+E13+E14-E15-E16-E17-E18+E19+E20+E21+E22+E23</f>
        <v>-29421719.660101071</v>
      </c>
      <c r="F24" s="233">
        <f>+F9+F10+F11+F12+F13+F14-F15-F16-F17-F18+F19+F20+F21+F22+F23</f>
        <v>-34522644.578148149</v>
      </c>
      <c r="G24" s="233">
        <f>+G9+G10+G11+G12+G13+G14-G15-G16-G17-G18+G19+G20+G21+G22+G23</f>
        <v>-16332096.7885902</v>
      </c>
      <c r="H24" s="233">
        <f>+H9+H10+H11+H12+H13+H14-H15-H16-H17-H18+H19+H20+H21+H22+H23</f>
        <v>77365841.294166222</v>
      </c>
      <c r="I24" s="233">
        <f>+I9+I10+I11+I12+I13+I14-I15-I16-I17-I18+I19+I20+I21+I22+I23</f>
        <v>-2910619.7326731938</v>
      </c>
    </row>
    <row r="25" spans="1:12" ht="15.75" customHeight="1">
      <c r="A25" s="209" t="s">
        <v>921</v>
      </c>
      <c r="B25" s="1055" t="s">
        <v>922</v>
      </c>
      <c r="C25" s="1055"/>
      <c r="D25" s="229">
        <v>872.75</v>
      </c>
      <c r="E25" s="229">
        <f>+SUMIFS(STAT1!$T$140:$T$214,STAT1!$X$140:$X$214,J25)+SUMIFS(STAT1!$U$140:$U$214,STAT1!$X$140:$X$214,J25)</f>
        <v>0</v>
      </c>
      <c r="F25" s="230">
        <f>+SUMIFS(STAT2!$T$140:$T$214,STAT2!$X$140:$X$214,J25)+SUMIFS(STAT2!$U$140:$U$214,STAT2!$X$140:$X$214,J25)</f>
        <v>0</v>
      </c>
      <c r="G25" s="230">
        <f>+SUMIFS(STAT3!$T$140:$T$214,STAT3!$X$140:$X$214,J25)+SUMIFS(STAT3!$U$140:$U$214,STAT3!$X$140:$X$214,J25)</f>
        <v>0</v>
      </c>
      <c r="H25" s="404">
        <f>+SUMIFS(STAT4!$T$140:$T$214,STAT4!$X$140:$X$214,J25)+SUMIFS(STAT4!$U$140:$U$214,STAT4!$X$140:$X$214,J25)</f>
        <v>0</v>
      </c>
      <c r="I25" s="231">
        <f>SUM(E25:H25)</f>
        <v>0</v>
      </c>
      <c r="J25" s="71">
        <v>9101</v>
      </c>
    </row>
    <row r="26" spans="1:12" ht="15.75" customHeight="1">
      <c r="A26" s="232" t="s">
        <v>923</v>
      </c>
      <c r="B26" s="1056" t="s">
        <v>924</v>
      </c>
      <c r="C26" s="1056"/>
      <c r="D26" s="233">
        <v>-175445801.79873157</v>
      </c>
      <c r="E26" s="233">
        <f>+E24-E25</f>
        <v>-29421719.660101071</v>
      </c>
      <c r="F26" s="233">
        <f>+F24-F25</f>
        <v>-34522644.578148149</v>
      </c>
      <c r="G26" s="233">
        <f>+G24-G25</f>
        <v>-16332096.7885902</v>
      </c>
      <c r="H26" s="233">
        <f>+H24-H25</f>
        <v>77365841.294166222</v>
      </c>
      <c r="I26" s="233">
        <f>+I24-I25</f>
        <v>-2910619.7326731938</v>
      </c>
    </row>
    <row r="27" spans="1:12" ht="27.75" customHeight="1">
      <c r="A27" s="209" t="s">
        <v>925</v>
      </c>
      <c r="B27" s="1056" t="s">
        <v>926</v>
      </c>
      <c r="C27" s="1056"/>
      <c r="D27" s="234"/>
      <c r="E27" s="229">
        <f>+SUMIFS(STAT1!$T$114:$T$188,STAT1!$X$114:$X$188,J27)+SUMIFS(STAT1!$U$114:$U$188,STAT1!$X$114:$X$188,J27)</f>
        <v>0</v>
      </c>
      <c r="F27" s="230">
        <f>+SUMIFS(STAT2!$T$113:$T$187,STAT2!$X$113:$X$187,J27)+SUMIFS(STAT2!$U$113:$U$187,STAT2!$X$113:$X$187,J27)</f>
        <v>0</v>
      </c>
      <c r="G27" s="230">
        <f>+SUMIFS(STAT3!$T$140:$T$187,STAT3!$X$140:$X$187,L27)+SUMIFS(STAT3!$U$187:$U$214,STAT3!$X$187:$X$214,L27)</f>
        <v>0</v>
      </c>
      <c r="H27" s="230">
        <f>+SUMIFS(STAT4!$T$113:$T$187,STAT4!$X$113:$X$187,M27)+SUMIFS(STAT4!$U$113:$U$187,STAT4!$X$113:$X$187,M27)</f>
        <v>0</v>
      </c>
      <c r="I27" s="231">
        <f t="shared" si="0"/>
        <v>0</v>
      </c>
    </row>
    <row r="28" spans="1:12" ht="15.75" customHeight="1">
      <c r="A28" s="232" t="s">
        <v>927</v>
      </c>
      <c r="B28" s="1056" t="s">
        <v>928</v>
      </c>
      <c r="C28" s="1056"/>
      <c r="D28" s="233">
        <v>-175445801.79873157</v>
      </c>
      <c r="E28" s="233">
        <f>+E26+E27</f>
        <v>-29421719.660101071</v>
      </c>
      <c r="F28" s="233">
        <f>+F26+F27</f>
        <v>-34522644.578148149</v>
      </c>
      <c r="G28" s="233">
        <f>+G26+G27</f>
        <v>-16332096.7885902</v>
      </c>
      <c r="H28" s="233">
        <f>+H26+H27</f>
        <v>77365841.294166222</v>
      </c>
      <c r="I28" s="233">
        <f>+I26+I27</f>
        <v>-2910619.7326731938</v>
      </c>
    </row>
    <row r="29" spans="1:12" ht="15.75" customHeight="1">
      <c r="A29" s="209" t="s">
        <v>929</v>
      </c>
      <c r="B29" s="1055" t="s">
        <v>930</v>
      </c>
      <c r="C29" s="1055"/>
      <c r="D29" s="262"/>
      <c r="E29" s="229">
        <f>+SUMIFS(STAT1!$T$114:$T$188,STAT1!$X$114:$X$188,J29)+SUMIFS(STAT1!$U$114:$U$188,STAT1!$X$114:$X$188,J29)</f>
        <v>0</v>
      </c>
      <c r="F29" s="230">
        <f>+SUMIFS(STAT2!$T$113:$T$187,STAT2!$X$113:$X$187,J29)+SUMIFS(STAT2!$U$113:$U$187,STAT2!$X$113:$X$187,J29)</f>
        <v>0</v>
      </c>
      <c r="G29" s="230">
        <f>+SUMIFS(STAT3!$T$113:$T$140,STAT3!$X$113:$X$140,L29)+SUMIFS(STAT3!$U$113:$U$214,STAT3!$X$113:$X$214,L29)</f>
        <v>0</v>
      </c>
      <c r="H29" s="230">
        <f>+SUMIFS(STAT4!$T$113:$T$187,STAT4!$X$113:$X$187,M29)+SUMIFS(STAT4!$U$113:$U$187,STAT4!$X$113:$X$187,M29)</f>
        <v>0</v>
      </c>
      <c r="I29" s="231">
        <f t="shared" si="0"/>
        <v>0</v>
      </c>
    </row>
    <row r="30" spans="1:12" ht="15.75" customHeight="1">
      <c r="A30" s="209" t="s">
        <v>931</v>
      </c>
      <c r="B30" s="1055" t="s">
        <v>932</v>
      </c>
      <c r="C30" s="1055"/>
      <c r="D30" s="228"/>
      <c r="E30" s="229">
        <f>+SUMIFS(STAT1!$T$114:$T$188,STAT1!$X$114:$X$188,J30)+SUMIFS(STAT1!$U$114:$U$188,STAT1!$X$114:$X$188,J30)</f>
        <v>0</v>
      </c>
      <c r="F30" s="230">
        <f>+SUMIFS(STAT2!$T$113:$T$187,STAT2!$X$113:$X$187,J30)+SUMIFS(STAT2!$U$113:$U$187,STAT2!$X$113:$X$187,J30)</f>
        <v>0</v>
      </c>
      <c r="G30" s="230">
        <f>+SUMIFS(STAT3!$T$113:$T$140,STAT3!$X$113:$X$140,L30)+SUMIFS(STAT3!$U$113:$U$214,STAT3!$X$113:$X$214,L30)</f>
        <v>0</v>
      </c>
      <c r="H30" s="230">
        <f>+SUMIFS(STAT4!$T$113:$T$187,STAT4!$X$113:$X$187,M30)+SUMIFS(STAT4!$U$113:$U$187,STAT4!$X$113:$X$187,M30)</f>
        <v>0</v>
      </c>
      <c r="I30" s="231">
        <f t="shared" si="0"/>
        <v>0</v>
      </c>
    </row>
    <row r="31" spans="1:12" ht="15.75" customHeight="1">
      <c r="A31" s="209" t="s">
        <v>933</v>
      </c>
      <c r="B31" s="1055" t="s">
        <v>934</v>
      </c>
      <c r="C31" s="1055"/>
      <c r="D31" s="228"/>
      <c r="E31" s="229">
        <f>+SUMIFS(STAT1!$T$114:$T$188,STAT1!$X$114:$X$188,J31)+SUMIFS(STAT1!$U$114:$U$188,STAT1!$X$114:$X$188,J31)</f>
        <v>0</v>
      </c>
      <c r="F31" s="230">
        <f>+SUMIFS(STAT2!$T$113:$T$187,STAT2!$X$113:$X$187,J31)+SUMIFS(STAT2!$U$113:$U$187,STAT2!$X$113:$X$187,J31)</f>
        <v>0</v>
      </c>
      <c r="G31" s="230">
        <f>+SUMIFS(STAT3!$T$113:$T$140,STAT3!$X$113:$X$140,L31)+SUMIFS(STAT3!$U$113:$U$214,STAT3!$X$113:$X$214,L31)</f>
        <v>0</v>
      </c>
      <c r="H31" s="230">
        <f>+SUMIFS(STAT4!$T$113:$T$187,STAT4!$X$113:$X$187,M31)+SUMIFS(STAT4!$U$113:$U$187,STAT4!$X$113:$X$187,M31)</f>
        <v>0</v>
      </c>
      <c r="I31" s="231">
        <f t="shared" si="0"/>
        <v>0</v>
      </c>
    </row>
    <row r="32" spans="1:12" ht="15.75" customHeight="1">
      <c r="A32" s="209" t="s">
        <v>935</v>
      </c>
      <c r="B32" s="1055" t="s">
        <v>936</v>
      </c>
      <c r="C32" s="1055"/>
      <c r="D32" s="228"/>
      <c r="E32" s="229">
        <f>+SUMIFS(STAT1!$T$114:$T$188,STAT1!$X$114:$X$188,J32)+SUMIFS(STAT1!$U$114:$U$188,STAT1!$X$114:$X$188,J32)</f>
        <v>0</v>
      </c>
      <c r="F32" s="230">
        <f>+SUMIFS(STAT2!$T$113:$T$187,STAT2!$X$113:$X$187,J32)+SUMIFS(STAT2!$U$113:$U$187,STAT2!$X$113:$X$187,J3)</f>
        <v>0</v>
      </c>
      <c r="G32" s="230">
        <f>+SUMIFS(STAT3!$T$113:$T$140,STAT3!$X$113:$X$140,L32)+SUMIFS(STAT3!$U$113:$U$214,STAT3!$X$113:$X$214,L32)</f>
        <v>0</v>
      </c>
      <c r="H32" s="230">
        <f>+SUMIFS(STAT4!$T$113:$T$187,STAT4!$X$113:$X$187,M32)+SUMIFS(STAT4!$U$113:$U$187,STAT4!$X$113:$X$187,M32)</f>
        <v>0</v>
      </c>
      <c r="I32" s="231">
        <f t="shared" si="0"/>
        <v>0</v>
      </c>
      <c r="J32" s="119"/>
    </row>
    <row r="33" spans="1:11" ht="15.75" customHeight="1">
      <c r="A33" s="232" t="s">
        <v>937</v>
      </c>
      <c r="B33" s="1056" t="s">
        <v>938</v>
      </c>
      <c r="C33" s="1056"/>
      <c r="D33" s="233">
        <v>-175445801.79873157</v>
      </c>
      <c r="E33" s="233">
        <f>SUM(E28:E32)</f>
        <v>-29421719.660101071</v>
      </c>
      <c r="F33" s="233">
        <f>SUM(F28:F32)</f>
        <v>-34522644.578148149</v>
      </c>
      <c r="G33" s="233">
        <f>SUM(G28:G32)</f>
        <v>-16332096.7885902</v>
      </c>
      <c r="H33" s="233">
        <f>SUM(H28:H32)</f>
        <v>77365841.294166222</v>
      </c>
      <c r="I33" s="233">
        <f>SUM(I28:I32)</f>
        <v>-2910619.7326731938</v>
      </c>
      <c r="J33" s="187"/>
      <c r="K33" s="44"/>
    </row>
    <row r="34" spans="1:11" ht="15.75" customHeight="1">
      <c r="A34" s="209" t="s">
        <v>939</v>
      </c>
      <c r="B34" s="1057" t="s">
        <v>940</v>
      </c>
      <c r="C34" s="1057"/>
      <c r="D34" s="234"/>
      <c r="E34" s="234"/>
      <c r="F34" s="235"/>
      <c r="G34" s="235"/>
      <c r="H34" s="235"/>
      <c r="I34" s="236"/>
    </row>
    <row r="35" spans="1:11" ht="15" customHeight="1">
      <c r="E35" s="244">
        <f>+STAT1!T138</f>
        <v>29421719.660101078</v>
      </c>
      <c r="F35" s="245">
        <f>+STAT2!T138</f>
        <v>34522644.578148156</v>
      </c>
      <c r="G35" s="245">
        <f>+STAT3!T138</f>
        <v>16332096.788590185</v>
      </c>
      <c r="H35" s="245">
        <f>+STAT4!U138</f>
        <v>77365841.294166267</v>
      </c>
      <c r="I35" s="44">
        <f>+I33-BS!H65</f>
        <v>-4.0512531995773315E-8</v>
      </c>
    </row>
    <row r="36" spans="1:11" ht="15" customHeight="1">
      <c r="E36" s="405">
        <f>+E35+E33</f>
        <v>0</v>
      </c>
      <c r="F36" s="405">
        <f>+F35+F33</f>
        <v>0</v>
      </c>
      <c r="G36" s="405">
        <f>+G35+G33</f>
        <v>-1.4901161193847656E-8</v>
      </c>
      <c r="H36" s="244">
        <f>+H33-H35</f>
        <v>0</v>
      </c>
      <c r="I36" s="44"/>
    </row>
    <row r="37" spans="1:11" ht="15" customHeight="1">
      <c r="A37" s="1054" t="str">
        <f>+'company '!B25</f>
        <v>Ерөнхий захирал</v>
      </c>
      <c r="B37" s="1054"/>
      <c r="C37" s="38" t="s">
        <v>280</v>
      </c>
      <c r="D37" s="34" t="str">
        <f>+'company '!C25</f>
        <v>/Д.Бахдамдэмбэрэл /</v>
      </c>
      <c r="E37" s="34"/>
      <c r="F37" s="34"/>
      <c r="G37" s="34"/>
      <c r="H37" s="34"/>
    </row>
    <row r="38" spans="1:11" ht="15" customHeight="1"/>
    <row r="39" spans="1:11" ht="15" customHeight="1">
      <c r="A39" s="1054" t="str">
        <f>+'company '!B28</f>
        <v>Нягтлан бодогч</v>
      </c>
      <c r="B39" s="1054"/>
      <c r="C39" s="38" t="s">
        <v>280</v>
      </c>
      <c r="D39" s="34" t="str">
        <f>+'company '!C28</f>
        <v>/Б.Түмэндэлгэр/</v>
      </c>
      <c r="E39" s="34"/>
      <c r="F39" s="34"/>
      <c r="G39" s="34"/>
      <c r="H39" s="34"/>
    </row>
    <row r="40" spans="1:11" ht="15" customHeight="1"/>
    <row r="41" spans="1:11" ht="15" customHeight="1"/>
    <row r="42" spans="1:11" ht="15" customHeight="1"/>
    <row r="43" spans="1:11" ht="15" customHeight="1"/>
    <row r="44" spans="1:11" ht="15" customHeight="1"/>
    <row r="45" spans="1:11" ht="15" customHeight="1"/>
    <row r="46" spans="1:11" ht="15" customHeight="1"/>
    <row r="47" spans="1:11" ht="15" customHeight="1"/>
    <row r="48" spans="1:11" ht="23.25" customHeight="1"/>
    <row r="49" ht="24" customHeight="1"/>
    <row r="50" ht="21" customHeight="1"/>
    <row r="51" ht="14.25" customHeight="1"/>
  </sheetData>
  <mergeCells count="34">
    <mergeCell ref="B13:C13"/>
    <mergeCell ref="B14:C14"/>
    <mergeCell ref="B8:C8"/>
    <mergeCell ref="B9:C9"/>
    <mergeCell ref="B10:C10"/>
    <mergeCell ref="B11:C11"/>
    <mergeCell ref="B12:C12"/>
    <mergeCell ref="A3:B3"/>
    <mergeCell ref="A2:I2"/>
    <mergeCell ref="A4:B4"/>
    <mergeCell ref="B6:C6"/>
    <mergeCell ref="B7:C7"/>
    <mergeCell ref="B15:C15"/>
    <mergeCell ref="B16:C16"/>
    <mergeCell ref="B17:C17"/>
    <mergeCell ref="B18:C18"/>
    <mergeCell ref="B19:C19"/>
    <mergeCell ref="B20:C20"/>
    <mergeCell ref="B21:C21"/>
    <mergeCell ref="B22:C22"/>
    <mergeCell ref="B23:C23"/>
    <mergeCell ref="B24:C24"/>
    <mergeCell ref="B25:C25"/>
    <mergeCell ref="B26:C26"/>
    <mergeCell ref="B27:C27"/>
    <mergeCell ref="B28:C28"/>
    <mergeCell ref="B29:C29"/>
    <mergeCell ref="A37:B37"/>
    <mergeCell ref="A39:B39"/>
    <mergeCell ref="B30:C30"/>
    <mergeCell ref="B31:C31"/>
    <mergeCell ref="B32:C32"/>
    <mergeCell ref="B33:C33"/>
    <mergeCell ref="B34:C34"/>
  </mergeCells>
  <pageMargins left="0.7" right="0.4" top="0.75" bottom="0.75" header="0.3" footer="0.3"/>
  <pageSetup orientation="portrait" r:id="rId1"/>
  <ignoredErrors>
    <ignoredError sqref="I8 I10:I11 I20:I23 I17:I18 I13:I15" formulaRange="1"/>
    <ignoredError sqref="A7:A34" numberStoredAsText="1"/>
    <ignoredError sqref="E9:F9 G9:I9 H27 I26 E30:F32 E28:I28 E27:F27 E29:F29 H29 H30:H32 I24 E24:H24" formula="1"/>
    <ignoredError sqref="I27 I29:I32" formula="1" formulaRange="1"/>
  </ignoredErrors>
</worksheet>
</file>

<file path=xl/worksheets/sheet19.xml><?xml version="1.0" encoding="utf-8"?>
<worksheet xmlns="http://schemas.openxmlformats.org/spreadsheetml/2006/main" xmlns:r="http://schemas.openxmlformats.org/officeDocument/2006/relationships">
  <sheetPr>
    <tabColor rgb="FFFF0000"/>
    <pageSetUpPr fitToPage="1"/>
  </sheetPr>
  <dimension ref="A1:L32"/>
  <sheetViews>
    <sheetView view="pageBreakPreview" topLeftCell="A4" zoomScaleSheetLayoutView="100" workbookViewId="0">
      <selection activeCell="I23" sqref="I23"/>
    </sheetView>
  </sheetViews>
  <sheetFormatPr defaultRowHeight="12.75"/>
  <cols>
    <col min="1" max="1" width="4.140625" style="43" customWidth="1"/>
    <col min="2" max="2" width="34.140625" style="43" customWidth="1"/>
    <col min="3" max="3" width="12.28515625" style="43" customWidth="1"/>
    <col min="4" max="4" width="9.5703125" style="43" customWidth="1"/>
    <col min="5" max="5" width="11" style="43" customWidth="1"/>
    <col min="6" max="6" width="12.42578125" style="43" customWidth="1"/>
    <col min="7" max="7" width="9.85546875" style="43" customWidth="1"/>
    <col min="8" max="8" width="12.5703125" style="43" bestFit="1" customWidth="1"/>
    <col min="9" max="9" width="13.85546875" style="43" customWidth="1"/>
    <col min="10" max="10" width="13.42578125" style="43" customWidth="1"/>
    <col min="11" max="11" width="14.28515625" style="43" bestFit="1" customWidth="1"/>
    <col min="12" max="12" width="14.85546875" style="43" customWidth="1"/>
    <col min="13" max="16384" width="9.140625" style="43"/>
  </cols>
  <sheetData>
    <row r="1" spans="1:12" ht="19.5">
      <c r="A1" s="1060" t="s">
        <v>175</v>
      </c>
      <c r="B1" s="1060"/>
      <c r="C1" s="1060"/>
      <c r="D1" s="1060"/>
      <c r="E1" s="1060"/>
      <c r="F1" s="1060"/>
      <c r="G1" s="1060"/>
      <c r="H1" s="1060"/>
      <c r="I1" s="1060"/>
      <c r="J1" s="1060"/>
    </row>
    <row r="2" spans="1:12">
      <c r="A2" s="1059" t="str">
        <f>+'company '!C6</f>
        <v>ШИНЭСТ ХК</v>
      </c>
      <c r="B2" s="1059"/>
      <c r="H2" s="417" t="s">
        <v>46</v>
      </c>
      <c r="I2" s="45" t="str">
        <f>+'company '!C23</f>
        <v>2018.01.01-2018.12.31</v>
      </c>
    </row>
    <row r="3" spans="1:12">
      <c r="A3" s="1061" t="s">
        <v>45</v>
      </c>
      <c r="B3" s="1061"/>
      <c r="C3" s="35"/>
      <c r="D3" s="35"/>
      <c r="E3" s="35"/>
      <c r="F3" s="35"/>
      <c r="G3" s="35"/>
      <c r="H3" s="35"/>
      <c r="I3" s="35"/>
      <c r="J3" s="417" t="s">
        <v>47</v>
      </c>
    </row>
    <row r="4" spans="1:12" ht="51">
      <c r="A4" s="65"/>
      <c r="B4" s="65" t="s">
        <v>49</v>
      </c>
      <c r="C4" s="65" t="s">
        <v>176</v>
      </c>
      <c r="D4" s="65" t="s">
        <v>177</v>
      </c>
      <c r="E4" s="65" t="s">
        <v>178</v>
      </c>
      <c r="F4" s="65" t="s">
        <v>179</v>
      </c>
      <c r="G4" s="65" t="s">
        <v>180</v>
      </c>
      <c r="H4" s="65" t="s">
        <v>181</v>
      </c>
      <c r="I4" s="65" t="s">
        <v>182</v>
      </c>
      <c r="J4" s="65" t="s">
        <v>183</v>
      </c>
    </row>
    <row r="5" spans="1:12">
      <c r="A5" s="68">
        <v>1</v>
      </c>
      <c r="B5" s="418" t="s">
        <v>2394</v>
      </c>
      <c r="C5" s="296"/>
      <c r="D5" s="66"/>
      <c r="E5" s="66"/>
      <c r="F5" s="296"/>
      <c r="G5" s="296"/>
      <c r="H5" s="296"/>
      <c r="I5" s="297"/>
      <c r="J5" s="296">
        <f>SUM(C5:I5)</f>
        <v>0</v>
      </c>
    </row>
    <row r="6" spans="1:12" ht="25.5">
      <c r="A6" s="68">
        <f>+A5+1</f>
        <v>2</v>
      </c>
      <c r="B6" s="298" t="s">
        <v>184</v>
      </c>
      <c r="C6" s="296"/>
      <c r="D6" s="66"/>
      <c r="E6" s="66"/>
      <c r="F6" s="296"/>
      <c r="G6" s="296"/>
      <c r="H6" s="296"/>
      <c r="I6" s="297"/>
      <c r="J6" s="296"/>
    </row>
    <row r="7" spans="1:12">
      <c r="A7" s="68">
        <f t="shared" ref="A7:A27" si="0">+A6+1</f>
        <v>3</v>
      </c>
      <c r="B7" s="418" t="s">
        <v>185</v>
      </c>
      <c r="C7" s="296"/>
      <c r="D7" s="66"/>
      <c r="E7" s="66"/>
      <c r="F7" s="296"/>
      <c r="G7" s="296"/>
      <c r="H7" s="296"/>
      <c r="I7" s="297"/>
      <c r="J7" s="296"/>
    </row>
    <row r="8" spans="1:12">
      <c r="A8" s="68">
        <f t="shared" si="0"/>
        <v>4</v>
      </c>
      <c r="B8" s="298" t="s">
        <v>264</v>
      </c>
      <c r="C8" s="296"/>
      <c r="D8" s="66"/>
      <c r="E8" s="66"/>
      <c r="F8" s="296"/>
      <c r="G8" s="296"/>
      <c r="H8" s="296"/>
      <c r="I8" s="297"/>
      <c r="J8" s="296"/>
    </row>
    <row r="9" spans="1:12">
      <c r="A9" s="68">
        <f t="shared" si="0"/>
        <v>5</v>
      </c>
      <c r="B9" s="298" t="s">
        <v>265</v>
      </c>
      <c r="C9" s="296"/>
      <c r="D9" s="66"/>
      <c r="E9" s="66"/>
      <c r="F9" s="296"/>
      <c r="G9" s="296"/>
      <c r="H9" s="296"/>
      <c r="I9" s="297"/>
      <c r="J9" s="296"/>
    </row>
    <row r="10" spans="1:12">
      <c r="A10" s="68">
        <f t="shared" si="0"/>
        <v>6</v>
      </c>
      <c r="B10" s="298" t="s">
        <v>266</v>
      </c>
      <c r="C10" s="296"/>
      <c r="D10" s="66"/>
      <c r="E10" s="66"/>
      <c r="F10" s="296"/>
      <c r="G10" s="296"/>
      <c r="H10" s="296"/>
      <c r="I10" s="297"/>
      <c r="J10" s="296"/>
    </row>
    <row r="11" spans="1:12">
      <c r="A11" s="68">
        <f t="shared" si="0"/>
        <v>7</v>
      </c>
      <c r="B11" s="298" t="s">
        <v>267</v>
      </c>
      <c r="C11" s="296"/>
      <c r="D11" s="66"/>
      <c r="E11" s="66"/>
      <c r="F11" s="296"/>
      <c r="G11" s="296"/>
      <c r="H11" s="296"/>
      <c r="I11" s="297"/>
      <c r="J11" s="296"/>
    </row>
    <row r="12" spans="1:12">
      <c r="A12" s="68">
        <f t="shared" si="0"/>
        <v>8</v>
      </c>
      <c r="B12" s="298" t="s">
        <v>186</v>
      </c>
      <c r="C12" s="296"/>
      <c r="D12" s="66"/>
      <c r="E12" s="66"/>
      <c r="F12" s="296"/>
      <c r="G12" s="296"/>
      <c r="H12" s="296"/>
      <c r="I12" s="297"/>
      <c r="J12" s="296"/>
    </row>
    <row r="13" spans="1:12">
      <c r="A13" s="68">
        <f t="shared" si="0"/>
        <v>9</v>
      </c>
      <c r="B13" s="298" t="s">
        <v>187</v>
      </c>
      <c r="C13" s="296"/>
      <c r="D13" s="66"/>
      <c r="E13" s="66"/>
      <c r="F13" s="296"/>
      <c r="G13" s="296"/>
      <c r="H13" s="296"/>
      <c r="I13" s="297"/>
      <c r="J13" s="296"/>
    </row>
    <row r="14" spans="1:12">
      <c r="A14" s="68">
        <f t="shared" si="0"/>
        <v>10</v>
      </c>
      <c r="B14" s="298" t="s">
        <v>188</v>
      </c>
      <c r="C14" s="296"/>
      <c r="D14" s="66"/>
      <c r="E14" s="66"/>
      <c r="F14" s="296"/>
      <c r="G14" s="296"/>
      <c r="H14" s="296"/>
      <c r="I14" s="297"/>
      <c r="J14" s="296"/>
    </row>
    <row r="15" spans="1:12" ht="25.5">
      <c r="A15" s="68">
        <f t="shared" si="0"/>
        <v>11</v>
      </c>
      <c r="B15" s="298" t="s">
        <v>189</v>
      </c>
      <c r="C15" s="296"/>
      <c r="D15" s="66"/>
      <c r="E15" s="66"/>
      <c r="F15" s="296"/>
      <c r="G15" s="296"/>
      <c r="H15" s="296"/>
      <c r="I15" s="297"/>
      <c r="J15" s="296"/>
    </row>
    <row r="16" spans="1:12">
      <c r="A16" s="68">
        <f t="shared" si="0"/>
        <v>12</v>
      </c>
      <c r="B16" s="418" t="s">
        <v>269</v>
      </c>
      <c r="C16" s="296">
        <f>+BS!D56</f>
        <v>30701981.399999999</v>
      </c>
      <c r="D16" s="299">
        <f>+BS!D58</f>
        <v>0</v>
      </c>
      <c r="E16" s="299">
        <f>+BS!D59</f>
        <v>0</v>
      </c>
      <c r="F16" s="296">
        <f>+BS!D60</f>
        <v>680931312.63</v>
      </c>
      <c r="G16" s="296">
        <f>+BS!D61</f>
        <v>0</v>
      </c>
      <c r="H16" s="296">
        <f>+BS!D62</f>
        <v>106378624.62</v>
      </c>
      <c r="I16" s="297">
        <f>+BS!D64+BS!D65</f>
        <v>984463390.13</v>
      </c>
      <c r="J16" s="296">
        <f>SUM(C16:I16)</f>
        <v>1802475308.78</v>
      </c>
      <c r="K16" s="44">
        <f>+BS!D66</f>
        <v>1802475308.78</v>
      </c>
      <c r="L16" s="186">
        <f>+K16-J16</f>
        <v>0</v>
      </c>
    </row>
    <row r="17" spans="1:12" ht="25.5">
      <c r="A17" s="68">
        <f t="shared" si="0"/>
        <v>13</v>
      </c>
      <c r="B17" s="298" t="s">
        <v>184</v>
      </c>
      <c r="C17" s="296"/>
      <c r="D17" s="66"/>
      <c r="E17" s="66"/>
      <c r="F17" s="296"/>
      <c r="G17" s="296"/>
      <c r="H17" s="296"/>
      <c r="I17" s="296"/>
      <c r="J17" s="296">
        <f>SUM(C17:I17)</f>
        <v>0</v>
      </c>
    </row>
    <row r="18" spans="1:12">
      <c r="A18" s="68">
        <f t="shared" si="0"/>
        <v>14</v>
      </c>
      <c r="B18" s="418" t="s">
        <v>185</v>
      </c>
      <c r="C18" s="296"/>
      <c r="D18" s="66"/>
      <c r="E18" s="66"/>
      <c r="F18" s="296"/>
      <c r="G18" s="296"/>
      <c r="H18" s="296"/>
      <c r="I18" s="297"/>
      <c r="J18" s="296">
        <f t="shared" ref="J18:J26" si="1">SUM(C18:I18)</f>
        <v>0</v>
      </c>
    </row>
    <row r="19" spans="1:12">
      <c r="A19" s="68">
        <f t="shared" si="0"/>
        <v>15</v>
      </c>
      <c r="B19" s="298" t="s">
        <v>264</v>
      </c>
      <c r="C19" s="296"/>
      <c r="D19" s="66"/>
      <c r="E19" s="66"/>
      <c r="F19" s="296"/>
      <c r="G19" s="296"/>
      <c r="H19" s="296"/>
      <c r="I19" s="297">
        <f>+IS!E28</f>
        <v>-29421719.660101071</v>
      </c>
      <c r="J19" s="296">
        <f t="shared" si="1"/>
        <v>-29421719.660101071</v>
      </c>
    </row>
    <row r="20" spans="1:12">
      <c r="A20" s="68">
        <f t="shared" si="0"/>
        <v>16</v>
      </c>
      <c r="B20" s="298" t="s">
        <v>265</v>
      </c>
      <c r="C20" s="296"/>
      <c r="D20" s="66"/>
      <c r="E20" s="66"/>
      <c r="F20" s="296"/>
      <c r="G20" s="296"/>
      <c r="H20" s="296"/>
      <c r="I20" s="297">
        <f>+IS!F28</f>
        <v>-34522644.578148149</v>
      </c>
      <c r="J20" s="296">
        <f t="shared" si="1"/>
        <v>-34522644.578148149</v>
      </c>
    </row>
    <row r="21" spans="1:12">
      <c r="A21" s="68">
        <f t="shared" si="0"/>
        <v>17</v>
      </c>
      <c r="B21" s="298" t="s">
        <v>266</v>
      </c>
      <c r="C21" s="296"/>
      <c r="D21" s="66"/>
      <c r="E21" s="66"/>
      <c r="F21" s="296"/>
      <c r="G21" s="296"/>
      <c r="H21" s="296"/>
      <c r="I21" s="297">
        <f>+IS!G28</f>
        <v>-16332096.7885902</v>
      </c>
      <c r="J21" s="296">
        <f t="shared" si="1"/>
        <v>-16332096.7885902</v>
      </c>
    </row>
    <row r="22" spans="1:12">
      <c r="A22" s="68">
        <f t="shared" si="0"/>
        <v>18</v>
      </c>
      <c r="B22" s="298" t="s">
        <v>267</v>
      </c>
      <c r="C22" s="296"/>
      <c r="D22" s="66"/>
      <c r="E22" s="66"/>
      <c r="F22" s="296"/>
      <c r="G22" s="296"/>
      <c r="H22" s="296"/>
      <c r="I22" s="297">
        <f>+IS!H28</f>
        <v>77365841.294166222</v>
      </c>
      <c r="J22" s="296">
        <f t="shared" si="1"/>
        <v>77365841.294166222</v>
      </c>
    </row>
    <row r="23" spans="1:12">
      <c r="A23" s="68">
        <f t="shared" si="0"/>
        <v>19</v>
      </c>
      <c r="B23" s="298" t="s">
        <v>186</v>
      </c>
      <c r="C23" s="296"/>
      <c r="D23" s="66"/>
      <c r="E23" s="66"/>
      <c r="F23" s="296"/>
      <c r="G23" s="296"/>
      <c r="H23" s="296"/>
      <c r="I23" s="297"/>
      <c r="J23" s="296">
        <f t="shared" si="1"/>
        <v>0</v>
      </c>
    </row>
    <row r="24" spans="1:12">
      <c r="A24" s="68">
        <f t="shared" si="0"/>
        <v>20</v>
      </c>
      <c r="B24" s="298" t="s">
        <v>187</v>
      </c>
      <c r="C24" s="296"/>
      <c r="D24" s="66"/>
      <c r="E24" s="66"/>
      <c r="F24" s="296"/>
      <c r="G24" s="296"/>
      <c r="H24" s="296"/>
      <c r="I24" s="297"/>
      <c r="J24" s="296">
        <f t="shared" si="1"/>
        <v>0</v>
      </c>
    </row>
    <row r="25" spans="1:12">
      <c r="A25" s="68">
        <f t="shared" si="0"/>
        <v>21</v>
      </c>
      <c r="B25" s="298" t="s">
        <v>188</v>
      </c>
      <c r="C25" s="296"/>
      <c r="D25" s="66"/>
      <c r="E25" s="66"/>
      <c r="F25" s="296"/>
      <c r="G25" s="296"/>
      <c r="H25" s="296"/>
      <c r="I25" s="297"/>
      <c r="J25" s="296">
        <f t="shared" si="1"/>
        <v>0</v>
      </c>
    </row>
    <row r="26" spans="1:12" ht="25.5">
      <c r="A26" s="68">
        <f t="shared" si="0"/>
        <v>22</v>
      </c>
      <c r="B26" s="298" t="s">
        <v>189</v>
      </c>
      <c r="C26" s="296"/>
      <c r="D26" s="66"/>
      <c r="E26" s="66"/>
      <c r="F26" s="296"/>
      <c r="G26" s="296"/>
      <c r="H26" s="296"/>
      <c r="I26" s="297"/>
      <c r="J26" s="296">
        <f t="shared" si="1"/>
        <v>0</v>
      </c>
    </row>
    <row r="27" spans="1:12">
      <c r="A27" s="68">
        <f t="shared" si="0"/>
        <v>23</v>
      </c>
      <c r="B27" s="418" t="s">
        <v>2395</v>
      </c>
      <c r="C27" s="296">
        <f t="shared" ref="C27:I27" si="2">SUM(C16:C26)</f>
        <v>30701981.399999999</v>
      </c>
      <c r="D27" s="299">
        <f t="shared" si="2"/>
        <v>0</v>
      </c>
      <c r="E27" s="299">
        <f t="shared" si="2"/>
        <v>0</v>
      </c>
      <c r="F27" s="296">
        <f t="shared" si="2"/>
        <v>680931312.63</v>
      </c>
      <c r="G27" s="299">
        <f t="shared" si="2"/>
        <v>0</v>
      </c>
      <c r="H27" s="296">
        <f t="shared" si="2"/>
        <v>106378624.62</v>
      </c>
      <c r="I27" s="296">
        <f t="shared" si="2"/>
        <v>981552770.39732683</v>
      </c>
      <c r="J27" s="296">
        <f>SUM(J16:J26)</f>
        <v>1799564689.0473268</v>
      </c>
      <c r="K27" s="44">
        <f>+BS!H66</f>
        <v>1799564689.0473268</v>
      </c>
      <c r="L27" s="44">
        <f>+K27-J27</f>
        <v>0</v>
      </c>
    </row>
    <row r="28" spans="1:12">
      <c r="A28" s="149"/>
      <c r="B28" s="150"/>
      <c r="C28" s="151"/>
      <c r="D28" s="151"/>
      <c r="E28" s="151"/>
      <c r="F28" s="152"/>
      <c r="G28" s="152"/>
      <c r="H28" s="152"/>
      <c r="I28" s="153"/>
      <c r="J28" s="152"/>
    </row>
    <row r="29" spans="1:12">
      <c r="A29" s="47"/>
      <c r="B29" s="47"/>
      <c r="C29" s="47"/>
      <c r="D29" s="47"/>
      <c r="E29" s="47"/>
      <c r="F29" s="47"/>
      <c r="G29" s="47"/>
      <c r="H29" s="47"/>
      <c r="I29" s="67"/>
      <c r="J29" s="67">
        <f>+[4]BS!H67-[4]OC!J22</f>
        <v>-6.0291290283203125E-3</v>
      </c>
    </row>
    <row r="30" spans="1:12">
      <c r="A30" s="1054" t="str">
        <f>+'company '!B25</f>
        <v>Ерөнхий захирал</v>
      </c>
      <c r="B30" s="1054"/>
      <c r="C30" s="1054"/>
      <c r="D30" s="38"/>
      <c r="E30" s="1064" t="str">
        <f>+'company '!C25</f>
        <v>/Д.Бахдамдэмбэрэл /</v>
      </c>
      <c r="F30" s="1064"/>
      <c r="G30" s="34"/>
    </row>
    <row r="31" spans="1:12" ht="12.75" customHeight="1">
      <c r="A31" s="1054"/>
      <c r="B31" s="1054"/>
      <c r="C31" s="1054"/>
      <c r="D31" s="38"/>
      <c r="E31" s="1063"/>
      <c r="F31" s="1063"/>
      <c r="G31" s="1063"/>
      <c r="H31" s="34"/>
      <c r="I31" s="34"/>
      <c r="J31" s="34"/>
    </row>
    <row r="32" spans="1:12" ht="12.75" customHeight="1">
      <c r="A32" s="1054" t="str">
        <f>+'company '!B28</f>
        <v>Нягтлан бодогч</v>
      </c>
      <c r="B32" s="1054"/>
      <c r="C32" s="1054"/>
      <c r="D32" s="38" t="s">
        <v>280</v>
      </c>
      <c r="E32" s="1063" t="str">
        <f>+'company '!C28</f>
        <v>/Б.Түмэндэлгэр/</v>
      </c>
      <c r="F32" s="1063"/>
      <c r="G32" s="34"/>
      <c r="H32" s="34"/>
      <c r="I32" s="34"/>
      <c r="J32" s="34"/>
    </row>
  </sheetData>
  <mergeCells count="9">
    <mergeCell ref="A32:C32"/>
    <mergeCell ref="A1:J1"/>
    <mergeCell ref="A2:B2"/>
    <mergeCell ref="A3:B3"/>
    <mergeCell ref="A31:C31"/>
    <mergeCell ref="E31:G31"/>
    <mergeCell ref="A30:C30"/>
    <mergeCell ref="E32:F32"/>
    <mergeCell ref="E30:F30"/>
  </mergeCells>
  <pageMargins left="0.31" right="0.23" top="0.75" bottom="0.75" header="0.3" footer="0.3"/>
  <pageSetup orientation="landscape" r:id="rId1"/>
</worksheet>
</file>

<file path=xl/worksheets/sheet2.xml><?xml version="1.0" encoding="utf-8"?>
<worksheet xmlns="http://schemas.openxmlformats.org/spreadsheetml/2006/main" xmlns:r="http://schemas.openxmlformats.org/officeDocument/2006/relationships">
  <sheetPr>
    <pageSetUpPr fitToPage="1"/>
  </sheetPr>
  <dimension ref="B1:M37"/>
  <sheetViews>
    <sheetView workbookViewId="0">
      <pane xSplit="9" ySplit="2" topLeftCell="J3" activePane="bottomRight" state="frozen"/>
      <selection pane="topRight" activeCell="I1" sqref="I1"/>
      <selection pane="bottomLeft" activeCell="A2" sqref="A2"/>
      <selection pane="bottomRight" activeCell="F9" sqref="F9"/>
    </sheetView>
  </sheetViews>
  <sheetFormatPr defaultRowHeight="12.75"/>
  <cols>
    <col min="1" max="1" width="9.140625" style="21"/>
    <col min="2" max="2" width="7.42578125" style="21" customWidth="1"/>
    <col min="3" max="3" width="26.140625" style="21" customWidth="1"/>
    <col min="4" max="4" width="14.5703125" style="17" customWidth="1"/>
    <col min="5" max="5" width="15.7109375" style="21" bestFit="1" customWidth="1"/>
    <col min="6" max="6" width="15.7109375" style="22" bestFit="1" customWidth="1"/>
    <col min="7" max="7" width="16.42578125" style="22" customWidth="1"/>
    <col min="8" max="8" width="4.28515625" style="21" customWidth="1"/>
    <col min="9" max="9" width="12.85546875" style="21" bestFit="1" customWidth="1"/>
    <col min="10" max="10" width="13.5703125" style="21" bestFit="1" customWidth="1"/>
    <col min="11" max="11" width="12" style="21" bestFit="1" customWidth="1"/>
    <col min="12" max="12" width="11.28515625" style="21" customWidth="1"/>
    <col min="13" max="13" width="14.85546875" style="21" customWidth="1"/>
    <col min="14" max="14" width="9.140625" style="21"/>
    <col min="15" max="15" width="9.85546875" style="21" customWidth="1"/>
    <col min="16" max="16" width="9.140625" style="21"/>
    <col min="17" max="17" width="13.5703125" style="21" customWidth="1"/>
    <col min="18" max="16384" width="9.140625" style="21"/>
  </cols>
  <sheetData>
    <row r="1" spans="2:11">
      <c r="D1" s="40" t="str">
        <f>+'company '!B25</f>
        <v>Ерөнхий захирал</v>
      </c>
      <c r="E1" s="39" t="str">
        <f>+'company '!C25</f>
        <v>/Д.Бахдамдэмбэрэл /</v>
      </c>
      <c r="F1" s="136" t="str">
        <f>+'company '!B15</f>
        <v>Утас:</v>
      </c>
      <c r="G1" s="263" t="str">
        <f>+'company '!C15</f>
        <v>70114414</v>
      </c>
    </row>
    <row r="2" spans="2:11">
      <c r="D2" s="39" t="str">
        <f>+'company '!B28</f>
        <v>Нягтлан бодогч</v>
      </c>
      <c r="E2" s="39" t="str">
        <f>+'company '!C28</f>
        <v>/Б.Түмэндэлгэр/</v>
      </c>
      <c r="F2" s="136" t="str">
        <f>+'company '!B16</f>
        <v>Утас:</v>
      </c>
      <c r="G2" s="263" t="str">
        <f>+'company '!C16</f>
        <v>99119765 99066093 86001044</v>
      </c>
    </row>
    <row r="3" spans="2:11" ht="18.75" customHeight="1">
      <c r="H3" s="23"/>
    </row>
    <row r="4" spans="2:11" ht="25.5" customHeight="1">
      <c r="B4" s="48" t="s">
        <v>7</v>
      </c>
      <c r="C4" s="49" t="s">
        <v>2</v>
      </c>
      <c r="D4" s="50" t="s">
        <v>11</v>
      </c>
      <c r="E4" s="51" t="s">
        <v>8</v>
      </c>
      <c r="F4" s="51" t="s">
        <v>9</v>
      </c>
      <c r="G4" s="51" t="s">
        <v>10</v>
      </c>
      <c r="K4" s="17"/>
    </row>
    <row r="5" spans="2:11">
      <c r="B5" s="52">
        <v>100100</v>
      </c>
      <c r="C5" s="52" t="s">
        <v>888</v>
      </c>
      <c r="D5" s="20">
        <v>289723810.94</v>
      </c>
      <c r="E5" s="53">
        <f>+SUMIFS(JURNAL!G:G,JURNAL!E:E,B5)</f>
        <v>533261047</v>
      </c>
      <c r="F5" s="53">
        <f>+SUMIFS(JURNAL!H:H,JURNAL!E:E,B5)</f>
        <v>492453057.62261176</v>
      </c>
      <c r="G5" s="829">
        <f>+D5+E5-F5</f>
        <v>330531800.3173883</v>
      </c>
      <c r="I5" s="79"/>
      <c r="J5" s="79">
        <f>+STAT2!V4</f>
        <v>99713970.609888211</v>
      </c>
      <c r="K5" s="17">
        <f>+J5-G5</f>
        <v>-230817829.7075001</v>
      </c>
    </row>
    <row r="6" spans="2:11">
      <c r="B6" s="52">
        <v>100200</v>
      </c>
      <c r="C6" s="52" t="s">
        <v>943</v>
      </c>
      <c r="D6" s="20">
        <v>13701391.560000001</v>
      </c>
      <c r="E6" s="53">
        <f>+SUMIFS(JURNAL!G:G,JURNAL!E:E,B6)+STAT1!N5+STAT2!N5+STAT3!N5+STAT4!N5</f>
        <v>0</v>
      </c>
      <c r="F6" s="53">
        <f>+SUMIFS(JURNAL!H:H,JURNAL!E:E,B6)+STAT1!O5+STAT2!O5+STAT3!O5+STAT4!O5</f>
        <v>0</v>
      </c>
      <c r="G6" s="829">
        <f t="shared" ref="G6:G18" si="0">+D6+E6-F6</f>
        <v>13701391.560000001</v>
      </c>
      <c r="I6" s="79"/>
      <c r="J6" s="79">
        <f>+STAT2!V5</f>
        <v>13701391.560000001</v>
      </c>
      <c r="K6" s="237">
        <f t="shared" ref="K6:K18" si="1">+J6-G6</f>
        <v>0</v>
      </c>
    </row>
    <row r="7" spans="2:11">
      <c r="B7" s="52">
        <v>110100</v>
      </c>
      <c r="C7" s="122" t="s">
        <v>1534</v>
      </c>
      <c r="D7" s="20">
        <v>43297</v>
      </c>
      <c r="E7" s="53">
        <f>+SUMIFS(JURNAL!G:G,JURNAL!E:E,B7)</f>
        <v>356901686.5</v>
      </c>
      <c r="F7" s="53">
        <f>+SUMIFS(JURNAL!H:H,JURNAL!E:E,B7)</f>
        <v>356921834.75</v>
      </c>
      <c r="G7" s="829">
        <f>+D7+E7-F7</f>
        <v>23148.75</v>
      </c>
      <c r="I7" s="79"/>
      <c r="J7" s="79">
        <f>+STAT2!V6</f>
        <v>1259644.9999999925</v>
      </c>
      <c r="K7" s="237">
        <f t="shared" si="1"/>
        <v>1236496.2499999925</v>
      </c>
    </row>
    <row r="8" spans="2:11">
      <c r="B8" s="52">
        <f>+STAT1!C7</f>
        <v>110102</v>
      </c>
      <c r="C8" s="122" t="s">
        <v>1535</v>
      </c>
      <c r="D8" s="20">
        <v>16584.13</v>
      </c>
      <c r="E8" s="53">
        <f>+SUMIFS(JURNAL!G:G,JURNAL!E:E,B8)</f>
        <v>0</v>
      </c>
      <c r="F8" s="53">
        <f>+SUMIFS(JURNAL!H:H,JURNAL!E:E,B8)</f>
        <v>16584.13</v>
      </c>
      <c r="G8" s="829">
        <f t="shared" si="0"/>
        <v>0</v>
      </c>
      <c r="I8" s="79"/>
      <c r="J8" s="79">
        <f>+STAT2!V7</f>
        <v>16584.13</v>
      </c>
      <c r="K8" s="237">
        <f t="shared" si="1"/>
        <v>16584.13</v>
      </c>
    </row>
    <row r="9" spans="2:11">
      <c r="B9" s="52">
        <f>+STAT1!C8</f>
        <v>110103</v>
      </c>
      <c r="C9" s="122" t="s">
        <v>1536</v>
      </c>
      <c r="D9" s="20">
        <v>88499.17</v>
      </c>
      <c r="E9" s="53">
        <f>+SUMIFS(JURNAL!G:G,JURNAL!E:E,B9)</f>
        <v>0</v>
      </c>
      <c r="F9" s="53">
        <f>+SUMIFS(JURNAL!H:H,JURNAL!E:E,B9)</f>
        <v>88499.17</v>
      </c>
      <c r="G9" s="829">
        <f t="shared" si="0"/>
        <v>0</v>
      </c>
      <c r="I9" s="79"/>
      <c r="J9" s="79">
        <f>+STAT2!V8</f>
        <v>88499.17</v>
      </c>
      <c r="K9" s="237">
        <f t="shared" si="1"/>
        <v>88499.17</v>
      </c>
    </row>
    <row r="10" spans="2:11">
      <c r="B10" s="52">
        <f>+STAT1!C9</f>
        <v>110104</v>
      </c>
      <c r="C10" s="122" t="s">
        <v>1537</v>
      </c>
      <c r="D10" s="20">
        <v>27647.96</v>
      </c>
      <c r="E10" s="53">
        <f>+SUMIFS(JURNAL!G:G,JURNAL!E:E,B10)+STAT1!N9+STAT2!N9+STAT3!N9+STAT4!N9</f>
        <v>0</v>
      </c>
      <c r="F10" s="53">
        <f>+SUMIFS(JURNAL!H:H,JURNAL!E:E,B10)+STAT1!O9+STAT2!O9+STAT3!O9+STAT4!O9</f>
        <v>27647.96</v>
      </c>
      <c r="G10" s="829">
        <f t="shared" si="0"/>
        <v>0</v>
      </c>
      <c r="I10" s="79"/>
      <c r="J10" s="79">
        <f>+STAT2!V9</f>
        <v>27647.96</v>
      </c>
      <c r="K10" s="237">
        <f t="shared" si="1"/>
        <v>27647.96</v>
      </c>
    </row>
    <row r="11" spans="2:11">
      <c r="B11" s="52">
        <f>+STAT1!C10</f>
        <v>110105</v>
      </c>
      <c r="C11" s="775" t="s">
        <v>1538</v>
      </c>
      <c r="D11" s="20">
        <v>135889.92000000001</v>
      </c>
      <c r="E11" s="53">
        <f>+SUMIFS(JURNAL!G:G,JURNAL!E:E,B11)+STAT1!N10+STAT2!N10+STAT3!N10+STAT4!N10</f>
        <v>0</v>
      </c>
      <c r="F11" s="53">
        <f>+SUMIFS(JURNAL!H:H,JURNAL!E:E,B11)+STAT1!O10+STAT2!O10+STAT3!O10+STAT4!O10</f>
        <v>135889.92000000001</v>
      </c>
      <c r="G11" s="829">
        <f t="shared" si="0"/>
        <v>0</v>
      </c>
      <c r="I11" s="79"/>
      <c r="J11" s="79">
        <f>+STAT2!V10</f>
        <v>135889.92000000001</v>
      </c>
      <c r="K11" s="237">
        <f t="shared" si="1"/>
        <v>135889.92000000001</v>
      </c>
    </row>
    <row r="12" spans="2:11" s="238" customFormat="1">
      <c r="B12" s="52">
        <f>+STAT1!C11</f>
        <v>110200</v>
      </c>
      <c r="C12" s="776" t="str">
        <f>+STAT1!D11</f>
        <v>Хаан Банк 5022577237</v>
      </c>
      <c r="D12" s="20">
        <v>16989.91</v>
      </c>
      <c r="E12" s="53">
        <f>+SUMIFS(JURNAL!G:G,JURNAL!E:E,B12)+STAT1!N11+STAT2!N11+STAT3!N11+STAT4!N11</f>
        <v>1115.5200000000004</v>
      </c>
      <c r="F12" s="53">
        <f>+SUMIFS(JURNAL!H:H,JURNAL!E:E,B12)+STAT1!O11+STAT2!O11+STAT3!O11+STAT4!O11</f>
        <v>18105.43</v>
      </c>
      <c r="G12" s="829">
        <f t="shared" si="0"/>
        <v>0</v>
      </c>
      <c r="I12" s="79"/>
      <c r="J12" s="79">
        <f>+STAT2!V11</f>
        <v>17239.740000000002</v>
      </c>
      <c r="K12" s="237">
        <f t="shared" si="1"/>
        <v>17239.740000000002</v>
      </c>
    </row>
    <row r="13" spans="2:11" s="238" customFormat="1">
      <c r="B13" s="52">
        <f>+STAT1!C12</f>
        <v>110201</v>
      </c>
      <c r="C13" s="776" t="str">
        <f>+STAT1!D12</f>
        <v>ХХБ БАНК 404187557</v>
      </c>
      <c r="D13" s="20">
        <v>339798.2</v>
      </c>
      <c r="E13" s="53">
        <f>+SUMIFS(JURNAL!G:G,JURNAL!E:E,B13)+STAT1!N12+STAT2!N12+STAT3!N12+STAT4!N12</f>
        <v>35116.200000000012</v>
      </c>
      <c r="F13" s="53">
        <f>+SUMIFS(JURNAL!H:H,JURNAL!E:E,B13)+STAT1!O12+STAT2!O12+STAT3!O12+STAT4!O12</f>
        <v>4810.4000000000233</v>
      </c>
      <c r="G13" s="829">
        <f t="shared" si="0"/>
        <v>370104</v>
      </c>
      <c r="I13" s="79"/>
      <c r="J13" s="79">
        <f>+STAT2!V12</f>
        <v>344794.8</v>
      </c>
      <c r="K13" s="237">
        <f t="shared" si="1"/>
        <v>-25309.200000000012</v>
      </c>
    </row>
    <row r="14" spans="2:11" s="238" customFormat="1">
      <c r="B14" s="52">
        <f>+STAT1!C13</f>
        <v>110202</v>
      </c>
      <c r="C14" s="776" t="str">
        <f>+STAT1!D13</f>
        <v>ГОЛОМТ БАНК 2101004089</v>
      </c>
      <c r="D14" s="20">
        <v>105021.92000000001</v>
      </c>
      <c r="E14" s="53">
        <f>+SUMIFS(JURNAL!G:G,JURNAL!E:E,B14)+STAT1!N13+STAT2!N13+STAT3!N13+STAT4!N13</f>
        <v>6895.5072000000091</v>
      </c>
      <c r="F14" s="53">
        <f>+SUMIFS(JURNAL!H:H,JURNAL!E:E,B14)+STAT1!O13+STAT2!O13+STAT3!O13+STAT4!O13</f>
        <v>111917.42720000002</v>
      </c>
      <c r="G14" s="829">
        <f t="shared" si="0"/>
        <v>0</v>
      </c>
      <c r="I14" s="79"/>
      <c r="J14" s="79">
        <f>+STAT2!V13</f>
        <v>106566.2179</v>
      </c>
      <c r="K14" s="237">
        <f t="shared" si="1"/>
        <v>106566.2179</v>
      </c>
    </row>
    <row r="15" spans="2:11" s="238" customFormat="1">
      <c r="B15" s="52">
        <f>+STAT1!C14</f>
        <v>110203</v>
      </c>
      <c r="C15" s="776" t="str">
        <f>+STAT1!D14</f>
        <v>ХАС БАНК 5000558440</v>
      </c>
      <c r="D15" s="20">
        <v>126647.64</v>
      </c>
      <c r="E15" s="53">
        <f>+SUMIFS(JURNAL!G:G,JURNAL!E:E,B15)+STAT1!N14+STAT2!N14+STAT3!N14+STAT4!N14</f>
        <v>8315.4047999999966</v>
      </c>
      <c r="F15" s="53">
        <f>+SUMIFS(JURNAL!H:H,JURNAL!E:E,B15)+STAT1!O14+STAT2!O14+STAT3!O14+STAT4!O14</f>
        <v>134963.0448</v>
      </c>
      <c r="G15" s="829">
        <f t="shared" si="0"/>
        <v>0</v>
      </c>
      <c r="I15" s="79"/>
      <c r="J15" s="79">
        <f>+STAT2!V14</f>
        <v>128509.9486</v>
      </c>
      <c r="K15" s="237">
        <f t="shared" si="1"/>
        <v>128509.9486</v>
      </c>
    </row>
    <row r="16" spans="2:11" s="238" customFormat="1">
      <c r="B16" s="52">
        <f>+STAT1!C15</f>
        <v>110204</v>
      </c>
      <c r="C16" s="776" t="str">
        <f>+STAT1!D15</f>
        <v>ХХБ БАНК 406094331</v>
      </c>
      <c r="D16" s="20">
        <v>25314.969999999998</v>
      </c>
      <c r="E16" s="53">
        <f>+SUMIFS(JURNAL!G:G,JURNAL!E:E,B16)+STAT1!N15+STAT2!N15+STAT3!N15+STAT4!N15</f>
        <v>6838.42</v>
      </c>
      <c r="F16" s="53">
        <f>+SUMIFS(JURNAL!H:H,JURNAL!E:E,B16)+STAT1!O15+STAT2!O15+STAT3!O15+STAT4!O15</f>
        <v>32153.389999999996</v>
      </c>
      <c r="G16" s="829">
        <f t="shared" si="0"/>
        <v>0</v>
      </c>
      <c r="I16" s="79"/>
      <c r="J16" s="79">
        <f>+STAT2!V15</f>
        <v>31795.011099999996</v>
      </c>
      <c r="K16" s="237">
        <f t="shared" si="1"/>
        <v>31795.011099999996</v>
      </c>
    </row>
    <row r="17" spans="2:11" s="238" customFormat="1">
      <c r="B17" s="52">
        <f>+STAT1!C16</f>
        <v>110300</v>
      </c>
      <c r="C17" s="776" t="str">
        <f>+STAT1!D16</f>
        <v>ЧИНГИС ХААН БАНК 3920120001</v>
      </c>
      <c r="D17" s="20">
        <v>10530</v>
      </c>
      <c r="E17" s="53">
        <f>+SUMIFS(JURNAL!G:G,JURNAL!E:E,B17)+STAT1!N16+STAT2!N16+STAT3!N16+STAT4!N16</f>
        <v>0</v>
      </c>
      <c r="F17" s="53">
        <f>+SUMIFS(JURNAL!H:H,JURNAL!E:E,B17)+STAT1!O16+STAT2!O16+STAT3!O16+STAT4!O16</f>
        <v>805</v>
      </c>
      <c r="G17" s="829">
        <f t="shared" si="0"/>
        <v>9725</v>
      </c>
      <c r="I17" s="79"/>
      <c r="J17" s="79">
        <f>+STAT2!V16</f>
        <v>10435</v>
      </c>
      <c r="K17" s="237">
        <f t="shared" si="1"/>
        <v>710</v>
      </c>
    </row>
    <row r="18" spans="2:11" s="238" customFormat="1">
      <c r="B18" s="52">
        <f>+STAT1!C17</f>
        <v>900100</v>
      </c>
      <c r="C18" s="776" t="str">
        <f>+STAT1!D17</f>
        <v>Мөнгөн хөрөнгийн клиринг</v>
      </c>
      <c r="D18" s="20">
        <v>0</v>
      </c>
      <c r="E18" s="53">
        <f>+SUMIFS(JURNAL!G:G,JURNAL!E:E,B18)</f>
        <v>0</v>
      </c>
      <c r="F18" s="53">
        <f>+SUMIFS(JURNAL!H:H,JURNAL!E:E,B18)</f>
        <v>0</v>
      </c>
      <c r="G18" s="829">
        <f t="shared" si="0"/>
        <v>0</v>
      </c>
      <c r="I18" s="79"/>
      <c r="J18" s="79">
        <f>+STAT1!V17</f>
        <v>0</v>
      </c>
      <c r="K18" s="237">
        <f t="shared" si="1"/>
        <v>0</v>
      </c>
    </row>
    <row r="19" spans="2:11" ht="15">
      <c r="B19" s="52"/>
      <c r="C19" s="54" t="s">
        <v>6</v>
      </c>
      <c r="D19" s="55">
        <f>SUM(D5:D18)</f>
        <v>304361423.32000005</v>
      </c>
      <c r="E19" s="55">
        <f>SUM(E5:E18)</f>
        <v>890221014.55200005</v>
      </c>
      <c r="F19" s="55">
        <f>SUM(F5:F18)</f>
        <v>849946268.24461162</v>
      </c>
      <c r="G19" s="55">
        <f>SUM(G5:G18)</f>
        <v>344636169.6273883</v>
      </c>
      <c r="K19" s="17"/>
    </row>
    <row r="20" spans="2:11">
      <c r="D20" s="17">
        <f>+SUM(STAT1!H4:H17)</f>
        <v>304361423.32000005</v>
      </c>
    </row>
    <row r="21" spans="2:11">
      <c r="D21" s="17">
        <f>+D19-D20</f>
        <v>0</v>
      </c>
    </row>
    <row r="24" spans="2:11">
      <c r="E24" s="79"/>
    </row>
    <row r="29" spans="2:11">
      <c r="J29" s="237"/>
    </row>
    <row r="30" spans="2:11">
      <c r="J30" s="79"/>
    </row>
    <row r="33" spans="4:13">
      <c r="D33" s="292"/>
      <c r="E33" s="73"/>
      <c r="F33" s="141"/>
      <c r="G33" s="141"/>
    </row>
    <row r="34" spans="4:13">
      <c r="D34" s="237"/>
      <c r="E34" s="73"/>
      <c r="F34" s="141"/>
      <c r="G34" s="147"/>
      <c r="M34" s="21" t="str">
        <f>IFERROR(VLOOKUP(K34,F34:G37,2,FALSE),"")</f>
        <v/>
      </c>
    </row>
    <row r="35" spans="4:13">
      <c r="D35" s="292"/>
      <c r="F35" s="141"/>
      <c r="G35" s="39"/>
    </row>
    <row r="36" spans="4:13">
      <c r="D36" s="16"/>
      <c r="F36" s="141"/>
      <c r="G36" s="39"/>
    </row>
    <row r="37" spans="4:13">
      <c r="D37" s="16"/>
      <c r="F37" s="141"/>
      <c r="G37" s="39"/>
      <c r="L37" s="21" t="str">
        <f>IFERROR(VLOOKUP(K37,D37:G40,OR(2,4),FALSE),"")</f>
        <v/>
      </c>
    </row>
  </sheetData>
  <conditionalFormatting sqref="B22:C49">
    <cfRule type="expression" dxfId="10988" priority="2">
      <formula>$B22&lt;&gt;""</formula>
    </cfRule>
  </conditionalFormatting>
  <conditionalFormatting sqref="D5:D18">
    <cfRule type="expression" dxfId="10987" priority="1">
      <formula>$C5&lt;&gt;""</formula>
    </cfRule>
  </conditionalFormatting>
  <pageMargins left="0.7" right="0.7" top="0.75" bottom="0.75" header="0.3" footer="0.3"/>
  <pageSetup scale="52" fitToHeight="0" orientation="portrait" horizontalDpi="0" verticalDpi="0" r:id="rId1"/>
</worksheet>
</file>

<file path=xl/worksheets/sheet20.xml><?xml version="1.0" encoding="utf-8"?>
<worksheet xmlns="http://schemas.openxmlformats.org/spreadsheetml/2006/main" xmlns:r="http://schemas.openxmlformats.org/officeDocument/2006/relationships">
  <sheetPr>
    <tabColor rgb="FFFF0000"/>
    <pageSetUpPr fitToPage="1"/>
  </sheetPr>
  <dimension ref="A1:N86"/>
  <sheetViews>
    <sheetView view="pageBreakPreview" topLeftCell="A43" zoomScaleSheetLayoutView="100" workbookViewId="0">
      <selection activeCell="G55" sqref="G55"/>
    </sheetView>
  </sheetViews>
  <sheetFormatPr defaultRowHeight="12.75" outlineLevelCol="1"/>
  <cols>
    <col min="1" max="1" width="6.85546875" style="70" customWidth="1"/>
    <col min="2" max="2" width="34" style="43" customWidth="1"/>
    <col min="3" max="3" width="11.5703125" style="43" customWidth="1"/>
    <col min="4" max="4" width="18" style="42" customWidth="1"/>
    <col min="5" max="5" width="18.5703125" style="37" hidden="1" customWidth="1" outlineLevel="1"/>
    <col min="6" max="7" width="18.140625" style="42" hidden="1" customWidth="1" outlineLevel="1"/>
    <col min="8" max="8" width="19.140625" style="42" hidden="1" customWidth="1" outlineLevel="1"/>
    <col min="9" max="9" width="17.28515625" style="43" bestFit="1" customWidth="1" collapsed="1"/>
    <col min="10" max="10" width="0.140625" style="43" hidden="1" customWidth="1"/>
    <col min="11" max="11" width="5.5703125" style="392" customWidth="1"/>
    <col min="12" max="12" width="15.5703125" style="393" bestFit="1" customWidth="1"/>
    <col min="13" max="13" width="12.85546875" style="43" bestFit="1" customWidth="1"/>
    <col min="14" max="16384" width="9.140625" style="43"/>
  </cols>
  <sheetData>
    <row r="1" spans="1:14" ht="19.5" customHeight="1">
      <c r="A1" s="1060" t="s">
        <v>190</v>
      </c>
      <c r="B1" s="1060"/>
      <c r="C1" s="1060"/>
      <c r="D1" s="1060"/>
      <c r="E1" s="1060"/>
      <c r="F1" s="1060"/>
      <c r="G1" s="1060"/>
      <c r="H1" s="1060"/>
      <c r="I1" s="1060"/>
    </row>
    <row r="2" spans="1:14">
      <c r="A2" s="1059" t="str">
        <f>+'company '!C6</f>
        <v>ШИНЭСТ ХК</v>
      </c>
      <c r="B2" s="1059"/>
      <c r="C2" s="35"/>
      <c r="D2" s="293" t="s">
        <v>46</v>
      </c>
      <c r="E2" s="191"/>
      <c r="F2" s="293"/>
      <c r="G2" s="293"/>
      <c r="H2" s="293"/>
      <c r="I2" s="35" t="str">
        <f>+'company '!C23</f>
        <v>2018.01.01-2018.12.31</v>
      </c>
    </row>
    <row r="3" spans="1:14" ht="20.25" customHeight="1">
      <c r="A3" s="1065" t="s">
        <v>45</v>
      </c>
      <c r="B3" s="1065"/>
      <c r="C3" s="35"/>
      <c r="D3" s="35"/>
      <c r="E3" s="192"/>
      <c r="F3" s="35"/>
      <c r="G3" s="35"/>
      <c r="H3" s="35"/>
      <c r="I3" s="293" t="s">
        <v>47</v>
      </c>
    </row>
    <row r="4" spans="1:14" ht="20.25" customHeight="1">
      <c r="A4" s="69" t="s">
        <v>48</v>
      </c>
      <c r="B4" s="1062" t="s">
        <v>191</v>
      </c>
      <c r="C4" s="1062"/>
      <c r="D4" s="802" t="s">
        <v>263</v>
      </c>
      <c r="E4" s="300" t="s">
        <v>2369</v>
      </c>
      <c r="F4" s="802" t="s">
        <v>2372</v>
      </c>
      <c r="G4" s="802" t="s">
        <v>2373</v>
      </c>
      <c r="H4" s="802" t="s">
        <v>2374</v>
      </c>
      <c r="I4" s="294" t="s">
        <v>941</v>
      </c>
      <c r="K4" s="419" t="s">
        <v>0</v>
      </c>
      <c r="L4" s="43"/>
    </row>
    <row r="5" spans="1:14" ht="12.75" customHeight="1">
      <c r="A5" s="301" t="s">
        <v>50</v>
      </c>
      <c r="B5" s="1055" t="s">
        <v>192</v>
      </c>
      <c r="C5" s="1055"/>
      <c r="D5" s="302"/>
      <c r="E5" s="302"/>
      <c r="F5" s="302"/>
      <c r="G5" s="302"/>
      <c r="H5" s="302"/>
      <c r="I5" s="27">
        <f t="shared" ref="I5:I11" si="0">SUM(E5:H5)</f>
        <v>0</v>
      </c>
      <c r="K5" s="394"/>
      <c r="L5" s="395">
        <v>43101</v>
      </c>
      <c r="M5" s="395">
        <v>43190</v>
      </c>
    </row>
    <row r="6" spans="1:14" ht="13.5" customHeight="1">
      <c r="A6" s="301" t="s">
        <v>52</v>
      </c>
      <c r="B6" s="1055" t="s">
        <v>193</v>
      </c>
      <c r="C6" s="1055"/>
      <c r="D6" s="303">
        <f t="shared" ref="D6:I6" si="1">SUM(D7:D12)</f>
        <v>461569783.76999998</v>
      </c>
      <c r="E6" s="303">
        <f t="shared" si="1"/>
        <v>38780267</v>
      </c>
      <c r="F6" s="303">
        <f t="shared" si="1"/>
        <v>21607857</v>
      </c>
      <c r="G6" s="303">
        <f t="shared" si="1"/>
        <v>50519736</v>
      </c>
      <c r="H6" s="303">
        <f t="shared" si="1"/>
        <v>488871160</v>
      </c>
      <c r="I6" s="303">
        <f t="shared" si="1"/>
        <v>599779020</v>
      </c>
      <c r="K6" s="394"/>
      <c r="L6" s="395">
        <v>43191</v>
      </c>
      <c r="M6" s="395">
        <v>43281</v>
      </c>
    </row>
    <row r="7" spans="1:14" ht="12.75" customHeight="1">
      <c r="A7" s="301" t="s">
        <v>54</v>
      </c>
      <c r="B7" s="1055" t="s">
        <v>194</v>
      </c>
      <c r="C7" s="1055"/>
      <c r="D7" s="302">
        <v>461569783.76999998</v>
      </c>
      <c r="E7" s="302">
        <f>+SUMIFS(JURNAL!G:G,JURNAL!N:N,K7,JURNAL!C:C,"&gt;="&amp;$L$5,JURNAL!C:C,"&lt;="&amp;$M$5)-SUMIFS(JURNAL!H:H,JURNAL!N:N,K7,JURNAL!C:C,"&gt;="&amp;$L$5,JURNAL!C:C,"&lt;="&amp;$M$5)</f>
        <v>38780267</v>
      </c>
      <c r="F7" s="402">
        <f>+SUMIFS(JURNAL!G:G,JURNAL!N:N,K7,JURNAL!C:C,"&gt;="&amp;$L$6,JURNAL!C:C,"&lt;="&amp;$M$6)-SUMIFS(JURNAL!H:H,JURNAL!N:N,K7,JURNAL!C:C,"&gt;="&amp;$L$6,JURNAL!C:C,"&lt;="&amp;$M$6)</f>
        <v>21607857</v>
      </c>
      <c r="G7" s="302">
        <f>+SUMIFS(JURNAL!G:G,JURNAL!N:N,K7,JURNAL!C:C,"&gt;="&amp;$L$7,JURNAL!C:C,"&lt;="&amp;$M$7)-SUMIFS(JURNAL!H:H,JURNAL!N:N,K7,JURNAL!C:C,"&gt;="&amp;$L$7,JURNAL!C:C,"&lt;="&amp;$M$7)</f>
        <v>50519736</v>
      </c>
      <c r="H7" s="302">
        <f>+SUMIFS(JURNAL!G:G,JURNAL!N:N,K7,JURNAL!C:C,"&gt;="&amp;$L$8,JURNAL!C:C,"&lt;="&amp;$M$8)-SUMIFS(JURNAL!H:H,JURNAL!N:N,K7,JURNAL!C:C,"&gt;="&amp;$L$8,JURNAL!C:C,"&lt;="&amp;$M$8)</f>
        <v>488871160</v>
      </c>
      <c r="I7" s="27">
        <f>SUM(E7:H7)</f>
        <v>599779020</v>
      </c>
      <c r="K7" s="394">
        <v>41</v>
      </c>
      <c r="L7" s="395">
        <v>43282</v>
      </c>
      <c r="M7" s="395">
        <v>43373</v>
      </c>
      <c r="N7" s="44"/>
    </row>
    <row r="8" spans="1:14" ht="12.75" customHeight="1">
      <c r="A8" s="301" t="s">
        <v>56</v>
      </c>
      <c r="B8" s="1055" t="s">
        <v>195</v>
      </c>
      <c r="C8" s="1055"/>
      <c r="D8" s="302"/>
      <c r="E8" s="302">
        <f>+SUMIFS(JURNAL!G:G,JURNAL!N:N,K8,JURNAL!C:C,"&gt;="&amp;$L$5,JURNAL!C:C,"&lt;="&amp;$M$5)-SUMIFS(JURNAL!H:H,JURNAL!N:N,K8,JURNAL!C:C,"&gt;="&amp;$L$5,JURNAL!C:C,"&lt;="&amp;$M$5)</f>
        <v>0</v>
      </c>
      <c r="F8" s="402">
        <f>+SUMIFS(JURNAL!G:G,JURNAL!N:N,K8,JURNAL!C:C,"&gt;="&amp;$L$6,JURNAL!C:C,"&lt;="&amp;$M$6)-SUMIFS(JURNAL!H:H,JURNAL!N:N,K8,JURNAL!C:C,"&gt;="&amp;$L$6,JURNAL!C:C,"&lt;="&amp;$M$6)</f>
        <v>0</v>
      </c>
      <c r="G8" s="302">
        <f>+SUMIFS(JURNAL!G:G,JURNAL!N:N,K8,JURNAL!C:C,"&gt;="&amp;$L$7,JURNAL!C:C,"&lt;="&amp;$M$7)-SUMIFS(JURNAL!H:H,JURNAL!N:N,K8,JURNAL!C:C,"&gt;="&amp;$L$7,JURNAL!C:C,"&lt;="&amp;$M$7)</f>
        <v>0</v>
      </c>
      <c r="H8" s="302">
        <f>+SUMIFS(JURNAL!G:G,JURNAL!N:N,K8,JURNAL!C:C,"&gt;="&amp;$L$8,JURNAL!C:C,"&lt;="&amp;$M$8)-SUMIFS(JURNAL!H:H,JURNAL!N:N,K8,JURNAL!C:C,"&gt;="&amp;$L$8,JURNAL!C:C,"&lt;="&amp;$M$8)</f>
        <v>0</v>
      </c>
      <c r="I8" s="27">
        <f t="shared" si="0"/>
        <v>0</v>
      </c>
      <c r="K8" s="394">
        <v>42</v>
      </c>
      <c r="L8" s="395">
        <v>43374</v>
      </c>
      <c r="M8" s="395">
        <v>43465</v>
      </c>
    </row>
    <row r="9" spans="1:14" ht="13.5" customHeight="1">
      <c r="A9" s="301" t="s">
        <v>58</v>
      </c>
      <c r="B9" s="1055" t="s">
        <v>196</v>
      </c>
      <c r="C9" s="1055"/>
      <c r="D9" s="302"/>
      <c r="E9" s="302">
        <f>+SUMIFS(JURNAL!G:G,JURNAL!N:N,K9,JURNAL!C:C,"&gt;="&amp;$L$5,JURNAL!C:C,"&lt;="&amp;$M$5)-SUMIFS(JURNAL!H:H,JURNAL!N:N,K9,JURNAL!C:C,"&gt;="&amp;$L$5,JURNAL!C:C,"&lt;="&amp;$M$5)</f>
        <v>0</v>
      </c>
      <c r="F9" s="402">
        <f>+SUMIFS(JURNAL!G:G,JURNAL!N:N,K9,JURNAL!C:C,"&gt;="&amp;$L$6,JURNAL!C:C,"&lt;="&amp;$M$6)-SUMIFS(JURNAL!H:H,JURNAL!N:N,K9,JURNAL!C:C,"&gt;="&amp;$L$6,JURNAL!C:C,"&lt;="&amp;$M$6)</f>
        <v>0</v>
      </c>
      <c r="G9" s="302">
        <f>+SUMIFS(JURNAL!G:G,JURNAL!N:N,K9,JURNAL!C:C,"&gt;="&amp;$L$7,JURNAL!C:C,"&lt;="&amp;$M$7)-SUMIFS(JURNAL!H:H,JURNAL!N:N,K9,JURNAL!C:C,"&gt;="&amp;$L$7,JURNAL!C:C,"&lt;="&amp;$M$7)</f>
        <v>0</v>
      </c>
      <c r="H9" s="302">
        <f>+SUMIFS(JURNAL!G:G,JURNAL!N:N,K9,JURNAL!C:C,"&gt;="&amp;$L$8,JURNAL!C:C,"&lt;="&amp;$M$8)-SUMIFS(JURNAL!H:H,JURNAL!N:N,K9,JURNAL!C:C,"&gt;="&amp;$L$8,JURNAL!C:C,"&lt;="&amp;$M$8)</f>
        <v>0</v>
      </c>
      <c r="I9" s="27">
        <f t="shared" si="0"/>
        <v>0</v>
      </c>
      <c r="K9" s="396">
        <v>43</v>
      </c>
    </row>
    <row r="10" spans="1:14" ht="12.75" customHeight="1">
      <c r="A10" s="301" t="s">
        <v>60</v>
      </c>
      <c r="B10" s="1055" t="s">
        <v>197</v>
      </c>
      <c r="C10" s="1055"/>
      <c r="D10" s="302"/>
      <c r="E10" s="302">
        <f>+SUMIFS(JURNAL!G:G,JURNAL!N:N,K10,JURNAL!C:C,"&gt;="&amp;$L$5,JURNAL!C:C,"&lt;="&amp;$M$5)-SUMIFS(JURNAL!H:H,JURNAL!N:N,K10,JURNAL!C:C,"&gt;="&amp;$L$5,JURNAL!C:C,"&lt;="&amp;$M$5)</f>
        <v>0</v>
      </c>
      <c r="F10" s="402">
        <f>+SUMIFS(JURNAL!G:G,JURNAL!N:N,K10,JURNAL!C:C,"&gt;="&amp;$L$6,JURNAL!C:C,"&lt;="&amp;$M$6)-SUMIFS(JURNAL!H:H,JURNAL!N:N,K10,JURNAL!C:C,"&gt;="&amp;$L$6,JURNAL!C:C,"&lt;="&amp;$M$6)</f>
        <v>0</v>
      </c>
      <c r="G10" s="302">
        <f>+SUMIFS(JURNAL!G:G,JURNAL!N:N,K10,JURNAL!C:C,"&gt;="&amp;$L$7,JURNAL!C:C,"&lt;="&amp;$M$7)-SUMIFS(JURNAL!H:H,JURNAL!N:N,K10,JURNAL!C:C,"&gt;="&amp;$L$7,JURNAL!C:C,"&lt;="&amp;$M$7)</f>
        <v>0</v>
      </c>
      <c r="H10" s="302">
        <f>+SUMIFS(JURNAL!G:G,JURNAL!N:N,K10,JURNAL!C:C,"&gt;="&amp;$L$8,JURNAL!C:C,"&lt;="&amp;$M$8)-SUMIFS(JURNAL!H:H,JURNAL!N:N,K10,JURNAL!C:C,"&gt;="&amp;$L$8,JURNAL!C:C,"&lt;="&amp;$M$8)</f>
        <v>0</v>
      </c>
      <c r="I10" s="27">
        <f t="shared" si="0"/>
        <v>0</v>
      </c>
      <c r="K10" s="397">
        <v>44</v>
      </c>
    </row>
    <row r="11" spans="1:14" ht="12.75" customHeight="1">
      <c r="A11" s="301" t="s">
        <v>62</v>
      </c>
      <c r="B11" s="1055" t="s">
        <v>198</v>
      </c>
      <c r="C11" s="1055"/>
      <c r="D11" s="302"/>
      <c r="E11" s="302">
        <f>+SUMIFS(JURNAL!G:G,JURNAL!N:N,K11,JURNAL!C:C,"&gt;="&amp;$L$5,JURNAL!C:C,"&lt;="&amp;$M$5)-SUMIFS(JURNAL!H:H,JURNAL!N:N,K11,JURNAL!C:C,"&gt;="&amp;$L$5,JURNAL!C:C,"&lt;="&amp;$M$5)</f>
        <v>0</v>
      </c>
      <c r="F11" s="402">
        <f>+SUMIFS(JURNAL!G:G,JURNAL!N:N,K11,JURNAL!C:C,"&gt;="&amp;$L$6,JURNAL!C:C,"&lt;="&amp;$M$6)-SUMIFS(JURNAL!H:H,JURNAL!N:N,K11,JURNAL!C:C,"&gt;="&amp;$L$6,JURNAL!C:C,"&lt;="&amp;$M$6)</f>
        <v>0</v>
      </c>
      <c r="G11" s="302">
        <f>+SUMIFS(JURNAL!G:G,JURNAL!N:N,K11,JURNAL!C:C,"&gt;="&amp;$L$7,JURNAL!C:C,"&lt;="&amp;$M$7)-SUMIFS(JURNAL!H:H,JURNAL!N:N,K11,JURNAL!C:C,"&gt;="&amp;$L$7,JURNAL!C:C,"&lt;="&amp;$M$7)</f>
        <v>0</v>
      </c>
      <c r="H11" s="302">
        <f>+SUMIFS(JURNAL!G:G,JURNAL!N:N,K11,JURNAL!C:C,"&gt;="&amp;$L$8,JURNAL!C:C,"&lt;="&amp;$M$8)-SUMIFS(JURNAL!H:H,JURNAL!N:N,K11,JURNAL!C:C,"&gt;="&amp;$L$8,JURNAL!C:C,"&lt;="&amp;$M$8)</f>
        <v>0</v>
      </c>
      <c r="I11" s="27">
        <f t="shared" si="0"/>
        <v>0</v>
      </c>
      <c r="K11" s="396">
        <v>45</v>
      </c>
    </row>
    <row r="12" spans="1:14" ht="13.5" customHeight="1">
      <c r="A12" s="301" t="s">
        <v>64</v>
      </c>
      <c r="B12" s="1055" t="s">
        <v>199</v>
      </c>
      <c r="C12" s="1055"/>
      <c r="D12" s="302"/>
      <c r="E12" s="302">
        <f>+SUMIFS(JURNAL!G:G,JURNAL!N:N,K12,JURNAL!C:C,"&gt;="&amp;$L$5,JURNAL!C:C,"&lt;="&amp;$M$5)-SUMIFS(JURNAL!H:H,JURNAL!N:N,K12,JURNAL!C:C,"&gt;="&amp;$L$5,JURNAL!C:C,"&lt;="&amp;$M$5)</f>
        <v>0</v>
      </c>
      <c r="F12" s="402">
        <f>+SUMIFS(JURNAL!G:G,JURNAL!N:N,K12,JURNAL!C:C,"&gt;="&amp;$L$6,JURNAL!C:C,"&lt;="&amp;$M$6)-SUMIFS(JURNAL!H:H,JURNAL!N:N,K12,JURNAL!C:C,"&gt;="&amp;$L$6,JURNAL!C:C,"&lt;="&amp;$M$6)</f>
        <v>0</v>
      </c>
      <c r="G12" s="302">
        <f>+SUMIFS(JURNAL!G:G,JURNAL!N:N,K12,JURNAL!C:C,"&gt;="&amp;$L$7,JURNAL!C:C,"&lt;="&amp;$M$7)-SUMIFS(JURNAL!H:H,JURNAL!N:N,K12,JURNAL!C:C,"&gt;="&amp;$L$7,JURNAL!C:C,"&lt;="&amp;$M$7)</f>
        <v>0</v>
      </c>
      <c r="H12" s="302">
        <f>+SUMIFS(JURNAL!G:G,JURNAL!N:N,K12,JURNAL!C:C,"&gt;="&amp;$L$8,JURNAL!C:C,"&lt;="&amp;$M$8)-SUMIFS(JURNAL!H:H,JURNAL!N:N,K12,JURNAL!C:C,"&gt;="&amp;$L$8,JURNAL!C:C,"&lt;="&amp;$M$8)</f>
        <v>0</v>
      </c>
      <c r="I12" s="27">
        <f>SUM(E12:H12)</f>
        <v>0</v>
      </c>
      <c r="K12" s="396">
        <v>46</v>
      </c>
    </row>
    <row r="13" spans="1:14" ht="12.75" customHeight="1">
      <c r="A13" s="301" t="s">
        <v>76</v>
      </c>
      <c r="B13" s="1055" t="s">
        <v>200</v>
      </c>
      <c r="C13" s="1055"/>
      <c r="D13" s="303">
        <f t="shared" ref="D13:J13" si="2">SUM(D14:D22)</f>
        <v>318551684.48000002</v>
      </c>
      <c r="E13" s="303">
        <f t="shared" si="2"/>
        <v>90205352.560111791</v>
      </c>
      <c r="F13" s="303">
        <f>SUM(F14:F22)</f>
        <v>115560051.77</v>
      </c>
      <c r="G13" s="303">
        <f t="shared" si="2"/>
        <v>62326122.694999993</v>
      </c>
      <c r="H13" s="303">
        <f t="shared" si="2"/>
        <v>224813017.4571</v>
      </c>
      <c r="I13" s="303">
        <f t="shared" si="2"/>
        <v>492904544.48221183</v>
      </c>
      <c r="J13" s="304">
        <f t="shared" si="2"/>
        <v>1304360773.4444234</v>
      </c>
      <c r="K13" s="396"/>
    </row>
    <row r="14" spans="1:14" ht="12.75" customHeight="1">
      <c r="A14" s="301" t="s">
        <v>78</v>
      </c>
      <c r="B14" s="1055" t="s">
        <v>201</v>
      </c>
      <c r="C14" s="1055"/>
      <c r="D14" s="302">
        <v>109027655.79000001</v>
      </c>
      <c r="E14" s="302">
        <f>+SUMIFS(JURNAL!H:H,JURNAL!N:N,K14,JURNAL!C:C,"&gt;="&amp;$L$5,JURNAL!C:C,"&lt;="&amp;$M$5)-SUMIFS(JURNAL!G:G,JURNAL!N:N,K14,JURNAL!C:C,"&gt;="&amp;$L$5,JURNAL!C:C,"&lt;="&amp;$M$5)</f>
        <v>30042737.9101118</v>
      </c>
      <c r="F14" s="302">
        <f>+SUMIFS(JURNAL!H:H,JURNAL!N:N,K14,JURNAL!C:C,"&gt;="&amp;$L$6,JURNAL!C:C,"&lt;="&amp;$M$6)-SUMIFS(JURNAL!G:G,JURNAL!N:N,K14,JURNAL!C:C,"&gt;="&amp;$L$6,JURNAL!C:C,"&lt;="&amp;$M$6)</f>
        <v>34444059.269999996</v>
      </c>
      <c r="G14" s="302">
        <f>+SUMIFS(JURNAL!H:H,JURNAL!N:N,K14,JURNAL!C:C,"&gt;="&amp;$L$7,JURNAL!C:C,"&lt;="&amp;$M$7)-SUMIFS(JURNAL!G:G,JURNAL!N:N,K14,JURNAL!C:C,"&gt;="&amp;$L$7,JURNAL!C:C,"&lt;="&amp;$M$7)</f>
        <v>22774790.854999997</v>
      </c>
      <c r="H14" s="302">
        <f>+SUMIFS(JURNAL!H:H,JURNAL!N:N,K14,JURNAL!C:C,"&gt;="&amp;$L$8,JURNAL!C:C,"&lt;="&amp;$M$8)-SUMIFS(JURNAL!G:G,JURNAL!N:N,K14,JURNAL!C:C,"&gt;="&amp;$L$8,JURNAL!C:C,"&lt;="&amp;$M$8)</f>
        <v>23945805.837500002</v>
      </c>
      <c r="I14" s="27">
        <f>SUM(E14:H14)</f>
        <v>111207393.87261179</v>
      </c>
      <c r="J14" s="44">
        <f t="shared" ref="J14:J22" si="3">SUM(D14:I14)</f>
        <v>331442443.5352236</v>
      </c>
      <c r="K14" s="396">
        <v>51</v>
      </c>
    </row>
    <row r="15" spans="1:14" ht="13.5" customHeight="1">
      <c r="A15" s="301" t="s">
        <v>80</v>
      </c>
      <c r="B15" s="1055" t="s">
        <v>202</v>
      </c>
      <c r="C15" s="1055"/>
      <c r="D15" s="302">
        <v>28790000</v>
      </c>
      <c r="E15" s="302">
        <f>+SUMIFS(JURNAL!H:H,JURNAL!N:N,K15,JURNAL!C:C,"&gt;="&amp;$L$5,JURNAL!C:C,"&lt;="&amp;$M$5)-SUMIFS(JURNAL!G:G,JURNAL!N:N,K15,JURNAL!C:C,"&gt;="&amp;$L$5,JURNAL!C:C,"&lt;="&amp;$M$5)</f>
        <v>0</v>
      </c>
      <c r="F15" s="302">
        <f>+SUMIFS(JURNAL!H:H,JURNAL!N:N,K15,JURNAL!C:C,"&gt;="&amp;$L$6,JURNAL!C:C,"&lt;="&amp;$M$6)-SUMIFS(JURNAL!G:G,JURNAL!N:N,K15,JURNAL!C:C,"&gt;="&amp;$L$6,JURNAL!C:C,"&lt;="&amp;$M$6)</f>
        <v>5000000</v>
      </c>
      <c r="G15" s="302">
        <f>+SUMIFS(JURNAL!H:H,JURNAL!N:N,K15,JURNAL!C:C,"&gt;="&amp;$L$7,JURNAL!C:C,"&lt;="&amp;$M$7)-SUMIFS(JURNAL!G:G,JURNAL!N:N,K15,JURNAL!C:C,"&gt;="&amp;$L$7,JURNAL!C:C,"&lt;="&amp;$M$7)</f>
        <v>10000000</v>
      </c>
      <c r="H15" s="302">
        <f>+SUMIFS(JURNAL!H:H,JURNAL!N:N,K15,JURNAL!C:C,"&gt;="&amp;$L$8,JURNAL!C:C,"&lt;="&amp;$M$8)-SUMIFS(JURNAL!G:G,JURNAL!N:N,K15,JURNAL!C:C,"&gt;="&amp;$L$8,JURNAL!C:C,"&lt;="&amp;$M$8)</f>
        <v>17700000</v>
      </c>
      <c r="I15" s="27">
        <f t="shared" ref="I15:I22" si="4">SUM(E15:H15)</f>
        <v>32700000</v>
      </c>
      <c r="J15" s="44">
        <f t="shared" si="3"/>
        <v>94190000</v>
      </c>
      <c r="K15" s="396">
        <v>52</v>
      </c>
    </row>
    <row r="16" spans="1:14" ht="12.75" customHeight="1">
      <c r="A16" s="301" t="s">
        <v>81</v>
      </c>
      <c r="B16" s="1055" t="s">
        <v>203</v>
      </c>
      <c r="C16" s="1055"/>
      <c r="D16" s="302">
        <v>32672479</v>
      </c>
      <c r="E16" s="302">
        <f>+SUMIFS(JURNAL!H:H,JURNAL!N:N,K16,JURNAL!C:C,"&gt;="&amp;$L$5,JURNAL!C:C,"&lt;="&amp;$M$5)-SUMIFS(JURNAL!G:G,JURNAL!N:N,K16,JURNAL!C:C,"&gt;="&amp;$L$5,JURNAL!C:C,"&lt;="&amp;$M$5)</f>
        <v>15323170</v>
      </c>
      <c r="F16" s="302">
        <f>+SUMIFS(JURNAL!H:H,JURNAL!N:N,K16,JURNAL!C:C,"&gt;="&amp;$L$6,JURNAL!C:C,"&lt;="&amp;$M$6)-SUMIFS(JURNAL!G:G,JURNAL!N:N,K16,JURNAL!C:C,"&gt;="&amp;$L$6,JURNAL!C:C,"&lt;="&amp;$M$6)</f>
        <v>32335760</v>
      </c>
      <c r="G16" s="302">
        <f>+SUMIFS(JURNAL!H:H,JURNAL!N:N,K16,JURNAL!C:C,"&gt;="&amp;$L$7,JURNAL!C:C,"&lt;="&amp;$M$7)-SUMIFS(JURNAL!G:G,JURNAL!N:N,K16,JURNAL!C:C,"&gt;="&amp;$L$7,JURNAL!C:C,"&lt;="&amp;$M$7)</f>
        <v>11324543.5</v>
      </c>
      <c r="H16" s="302">
        <f>+SUMIFS(JURNAL!H:H,JURNAL!N:N,K16,JURNAL!C:C,"&gt;="&amp;$L$8,JURNAL!C:C,"&lt;="&amp;$M$8)-SUMIFS(JURNAL!G:G,JURNAL!N:N,K16,JURNAL!C:C,"&gt;="&amp;$L$8,JURNAL!C:C,"&lt;="&amp;$M$8)</f>
        <v>105180000.58</v>
      </c>
      <c r="I16" s="27">
        <f t="shared" si="4"/>
        <v>164163474.07999998</v>
      </c>
      <c r="J16" s="44">
        <f t="shared" si="3"/>
        <v>360999427.15999997</v>
      </c>
      <c r="K16" s="396">
        <v>53</v>
      </c>
    </row>
    <row r="17" spans="1:13" ht="12.75" customHeight="1">
      <c r="A17" s="301" t="s">
        <v>83</v>
      </c>
      <c r="B17" s="1055" t="s">
        <v>204</v>
      </c>
      <c r="C17" s="1055"/>
      <c r="D17" s="302">
        <v>47194135</v>
      </c>
      <c r="E17" s="302">
        <f>+SUMIFS(JURNAL!H:H,JURNAL!N:N,K17,JURNAL!C:C,"&gt;="&amp;$L$5,JURNAL!C:C,"&lt;="&amp;$M$5)-SUMIFS(JURNAL!G:G,JURNAL!N:N,K17,JURNAL!C:C,"&gt;="&amp;$L$5,JURNAL!C:C,"&lt;="&amp;$M$5)</f>
        <v>31009159.460000001</v>
      </c>
      <c r="F17" s="302">
        <f>+SUMIFS(JURNAL!H:H,JURNAL!N:N,K17,JURNAL!C:C,"&gt;="&amp;$L$6,JURNAL!C:C,"&lt;="&amp;$M$6)-SUMIFS(JURNAL!G:G,JURNAL!N:N,K17,JURNAL!C:C,"&gt;="&amp;$L$6,JURNAL!C:C,"&lt;="&amp;$M$6)</f>
        <v>32165221.530000001</v>
      </c>
      <c r="G17" s="302">
        <f>+SUMIFS(JURNAL!H:H,JURNAL!N:N,K17,JURNAL!C:C,"&gt;="&amp;$L$7,JURNAL!C:C,"&lt;="&amp;$M$7)-SUMIFS(JURNAL!G:G,JURNAL!N:N,K17,JURNAL!C:C,"&gt;="&amp;$L$7,JURNAL!C:C,"&lt;="&amp;$M$7)</f>
        <v>9899805</v>
      </c>
      <c r="H17" s="302">
        <f>+SUMIFS(JURNAL!H:H,JURNAL!N:N,K17,JURNAL!C:C,"&gt;="&amp;$L$8,JURNAL!C:C,"&lt;="&amp;$M$8)-SUMIFS(JURNAL!G:G,JURNAL!N:N,K17,JURNAL!C:C,"&gt;="&amp;$L$8,JURNAL!C:C,"&lt;="&amp;$M$8)</f>
        <v>46554988.709999993</v>
      </c>
      <c r="I17" s="27">
        <f t="shared" si="4"/>
        <v>119629174.7</v>
      </c>
      <c r="J17" s="44">
        <f t="shared" si="3"/>
        <v>286452484.39999998</v>
      </c>
      <c r="K17" s="396">
        <v>54</v>
      </c>
    </row>
    <row r="18" spans="1:13" ht="13.5" customHeight="1">
      <c r="A18" s="301" t="s">
        <v>85</v>
      </c>
      <c r="B18" s="1055" t="s">
        <v>205</v>
      </c>
      <c r="C18" s="1055"/>
      <c r="D18" s="302">
        <v>2614518</v>
      </c>
      <c r="E18" s="302">
        <f>+SUMIFS(JURNAL!H:H,JURNAL!N:N,K18,JURNAL!C:C,"&gt;="&amp;$L$5,JURNAL!C:C,"&lt;="&amp;$M$5)-SUMIFS(JURNAL!G:G,JURNAL!N:N,K18,JURNAL!C:C,"&gt;="&amp;$L$5,JURNAL!C:C,"&lt;="&amp;$M$5)</f>
        <v>629500</v>
      </c>
      <c r="F18" s="302">
        <f>+SUMIFS(JURNAL!H:H,JURNAL!N:N,K18,JURNAL!C:C,"&gt;="&amp;$L$6,JURNAL!C:C,"&lt;="&amp;$M$6)-SUMIFS(JURNAL!G:G,JURNAL!N:N,K18,JURNAL!C:C,"&gt;="&amp;$L$6,JURNAL!C:C,"&lt;="&amp;$M$6)</f>
        <v>760000</v>
      </c>
      <c r="G18" s="302">
        <f>+SUMIFS(JURNAL!H:H,JURNAL!N:N,K18,JURNAL!C:C,"&gt;="&amp;$L$7,JURNAL!C:C,"&lt;="&amp;$M$7)-SUMIFS(JURNAL!G:G,JURNAL!N:N,K18,JURNAL!C:C,"&gt;="&amp;$L$7,JURNAL!C:C,"&lt;="&amp;$M$7)</f>
        <v>557000</v>
      </c>
      <c r="H18" s="302">
        <f>+SUMIFS(JURNAL!H:H,JURNAL!N:N,K18,JURNAL!C:C,"&gt;="&amp;$L$8,JURNAL!C:C,"&lt;="&amp;$M$8)-SUMIFS(JURNAL!G:G,JURNAL!N:N,K18,JURNAL!C:C,"&gt;="&amp;$L$8,JURNAL!C:C,"&lt;="&amp;$M$8)</f>
        <v>1429500</v>
      </c>
      <c r="I18" s="27">
        <f t="shared" si="4"/>
        <v>3376000</v>
      </c>
      <c r="J18" s="44">
        <f t="shared" si="3"/>
        <v>9366518</v>
      </c>
      <c r="K18" s="396">
        <v>55</v>
      </c>
    </row>
    <row r="19" spans="1:13" ht="12.75" customHeight="1">
      <c r="A19" s="301" t="s">
        <v>87</v>
      </c>
      <c r="B19" s="1055" t="s">
        <v>206</v>
      </c>
      <c r="C19" s="1055"/>
      <c r="D19" s="302">
        <v>31795970.010000002</v>
      </c>
      <c r="E19" s="302">
        <f>+SUMIFS(JURNAL!H:H,JURNAL!N:N,K19,JURNAL!C:C,"&gt;="&amp;$L$5,JURNAL!C:C,"&lt;="&amp;$M$5)-SUMIFS(JURNAL!G:G,JURNAL!N:N,K19,JURNAL!C:C,"&gt;="&amp;$L$5,JURNAL!C:C,"&lt;="&amp;$M$5)</f>
        <v>4540705.1899999995</v>
      </c>
      <c r="F19" s="302">
        <f>+SUMIFS(JURNAL!H:H,JURNAL!N:N,K19,JURNAL!C:C,"&gt;="&amp;$L$6,JURNAL!C:C,"&lt;="&amp;$M$6)-SUMIFS(JURNAL!G:G,JURNAL!N:N,K19,JURNAL!C:C,"&gt;="&amp;$L$6,JURNAL!C:C,"&lt;="&amp;$M$6)</f>
        <v>3422070.9699999997</v>
      </c>
      <c r="G19" s="302">
        <f>+SUMIFS(JURNAL!H:H,JURNAL!N:N,K19,JURNAL!C:C,"&gt;="&amp;$L$7,JURNAL!C:C,"&lt;="&amp;$M$7)-SUMIFS(JURNAL!G:G,JURNAL!N:N,K19,JURNAL!C:C,"&gt;="&amp;$L$7,JURNAL!C:C,"&lt;="&amp;$M$7)</f>
        <v>1933800.6100000003</v>
      </c>
      <c r="H19" s="302">
        <f>+SUMIFS(JURNAL!H:H,JURNAL!N:N,K19,JURNAL!C:C,"&gt;="&amp;$L$8,JURNAL!C:C,"&lt;="&amp;$M$8)-SUMIFS(JURNAL!G:G,JURNAL!N:N,K19,JURNAL!C:C,"&gt;="&amp;$L$8,JURNAL!C:C,"&lt;="&amp;$M$8)</f>
        <v>1817350.7200000002</v>
      </c>
      <c r="I19" s="27">
        <f t="shared" si="4"/>
        <v>11713927.49</v>
      </c>
      <c r="J19" s="44">
        <f t="shared" si="3"/>
        <v>55223824.990000002</v>
      </c>
      <c r="K19" s="420">
        <v>56</v>
      </c>
    </row>
    <row r="20" spans="1:13" ht="12.75" customHeight="1">
      <c r="A20" s="301" t="s">
        <v>89</v>
      </c>
      <c r="B20" s="1055" t="s">
        <v>207</v>
      </c>
      <c r="C20" s="1055"/>
      <c r="D20" s="302">
        <v>43136482</v>
      </c>
      <c r="E20" s="302">
        <f>+SUMIFS(JURNAL!H:H,JURNAL!N:N,K20,JURNAL!C:C,"&gt;="&amp;$L$5,JURNAL!C:C,"&lt;="&amp;$M$5)-SUMIFS(JURNAL!G:G,JURNAL!N:N,K20,JURNAL!C:C,"&gt;="&amp;$L$5,JURNAL!C:C,"&lt;="&amp;$M$5)</f>
        <v>0</v>
      </c>
      <c r="F20" s="302">
        <f>+SUMIFS(JURNAL!H:H,JURNAL!N:N,K20,JURNAL!C:C,"&gt;="&amp;$L$6,JURNAL!C:C,"&lt;="&amp;$M$6)-SUMIFS(JURNAL!G:G,JURNAL!N:N,K20,JURNAL!C:C,"&gt;="&amp;$L$6,JURNAL!C:C,"&lt;="&amp;$M$6)</f>
        <v>1600000</v>
      </c>
      <c r="G20" s="302">
        <f>+SUMIFS(JURNAL!H:H,JURNAL!N:N,K20,JURNAL!C:C,"&gt;="&amp;$L$7,JURNAL!C:C,"&lt;="&amp;$M$7)-SUMIFS(JURNAL!G:G,JURNAL!N:N,K20,JURNAL!C:C,"&gt;="&amp;$L$7,JURNAL!C:C,"&lt;="&amp;$M$7)</f>
        <v>0</v>
      </c>
      <c r="H20" s="302">
        <f>+SUMIFS(JURNAL!H:H,JURNAL!N:N,K20,JURNAL!C:C,"&gt;="&amp;$L$8,JURNAL!C:C,"&lt;="&amp;$M$8)-SUMIFS(JURNAL!G:G,JURNAL!N:N,K20,JURNAL!C:C,"&gt;="&amp;$L$8,JURNAL!C:C,"&lt;="&amp;$M$8)</f>
        <v>22402616</v>
      </c>
      <c r="I20" s="27">
        <f t="shared" si="4"/>
        <v>24002616</v>
      </c>
      <c r="J20" s="44">
        <f t="shared" si="3"/>
        <v>91141714</v>
      </c>
      <c r="K20" s="396">
        <v>57</v>
      </c>
    </row>
    <row r="21" spans="1:13" ht="13.5" customHeight="1">
      <c r="A21" s="301" t="s">
        <v>91</v>
      </c>
      <c r="B21" s="1055" t="s">
        <v>208</v>
      </c>
      <c r="C21" s="1055"/>
      <c r="D21" s="27"/>
      <c r="E21" s="302">
        <f>+SUMIFS(JURNAL!H:H,JURNAL!N:N,K21,JURNAL!C:C,"&gt;="&amp;$L$5,JURNAL!C:C,"&lt;="&amp;$M$5)-SUMIFS(JURNAL!G:G,JURNAL!N:N,K21,JURNAL!C:C,"&gt;="&amp;$L$5,JURNAL!C:C,"&lt;="&amp;$M$5)</f>
        <v>0</v>
      </c>
      <c r="F21" s="302">
        <f>+SUMIFS(JURNAL!H:H,JURNAL!N:N,K21,JURNAL!C:C,"&gt;="&amp;$L$6,JURNAL!C:C,"&lt;="&amp;$M$6)-SUMIFS(JURNAL!G:G,JURNAL!N:N,K21,JURNAL!C:C,"&gt;="&amp;$L$6,JURNAL!C:C,"&lt;="&amp;$M$6)</f>
        <v>0</v>
      </c>
      <c r="G21" s="302">
        <f>+SUMIFS(JURNAL!H:H,JURNAL!N:N,K21,JURNAL!C:C,"&gt;="&amp;$L$7,JURNAL!C:C,"&lt;="&amp;$M$7)-SUMIFS(JURNAL!G:G,JURNAL!N:N,K21,JURNAL!C:C,"&gt;="&amp;$L$7,JURNAL!C:C,"&lt;="&amp;$M$7)</f>
        <v>0</v>
      </c>
      <c r="H21" s="302">
        <f>+SUMIFS(JURNAL!H:H,JURNAL!N:N,K21,JURNAL!C:C,"&gt;="&amp;$L$8,JURNAL!C:C,"&lt;="&amp;$M$8)-SUMIFS(JURNAL!G:G,JURNAL!N:N,K21,JURNAL!C:C,"&gt;="&amp;$L$8,JURNAL!C:C,"&lt;="&amp;$M$8)</f>
        <v>0</v>
      </c>
      <c r="I21" s="27">
        <f t="shared" si="4"/>
        <v>0</v>
      </c>
      <c r="J21" s="44">
        <f t="shared" si="3"/>
        <v>0</v>
      </c>
      <c r="K21" s="396">
        <v>58</v>
      </c>
    </row>
    <row r="22" spans="1:13" ht="12.75" customHeight="1">
      <c r="A22" s="301" t="s">
        <v>93</v>
      </c>
      <c r="B22" s="1055" t="s">
        <v>209</v>
      </c>
      <c r="C22" s="1055"/>
      <c r="D22" s="302">
        <v>23320444.68</v>
      </c>
      <c r="E22" s="302">
        <f>+SUMIFS(JURNAL!H:H,JURNAL!N:N,K22,JURNAL!C:C,"&gt;="&amp;$L$5,JURNAL!C:C,"&lt;="&amp;$M$5)-SUMIFS(JURNAL!G:G,JURNAL!N:N,K22,JURNAL!C:C,"&gt;="&amp;$L$5,JURNAL!C:C,"&lt;="&amp;$M$5)</f>
        <v>8660080</v>
      </c>
      <c r="F22" s="302">
        <f>+SUMIFS(JURNAL!H:H,JURNAL!N:N,K22,JURNAL!C:C,"&gt;="&amp;$L$6,JURNAL!C:C,"&lt;="&amp;$M$6)-SUMIFS(JURNAL!G:G,JURNAL!N:N,K22,JURNAL!C:C,"&gt;="&amp;$L$6,JURNAL!C:C,"&lt;="&amp;$M$6)</f>
        <v>5832940</v>
      </c>
      <c r="G22" s="302">
        <f>+SUMIFS(JURNAL!H:H,JURNAL!N:N,K22,JURNAL!C:C,"&gt;="&amp;$L$7,JURNAL!C:C,"&lt;="&amp;$M$7)-SUMIFS(JURNAL!G:G,JURNAL!N:N,K22,JURNAL!C:C,"&gt;="&amp;$L$7,JURNAL!C:C,"&lt;="&amp;$M$7)</f>
        <v>5836182.7299999995</v>
      </c>
      <c r="H22" s="302">
        <f>+SUMIFS(JURNAL!H:H,JURNAL!N:N,K22,JURNAL!C:C,"&gt;="&amp;$L$8,JURNAL!C:C,"&lt;="&amp;$M$8)-SUMIFS(JURNAL!G:G,JURNAL!N:N,K22,JURNAL!C:C,"&gt;="&amp;$L$8,JURNAL!C:C,"&lt;="&amp;$M$8)</f>
        <v>5782755.6096000001</v>
      </c>
      <c r="I22" s="27">
        <f t="shared" si="4"/>
        <v>26111958.339600001</v>
      </c>
      <c r="J22" s="44">
        <f t="shared" si="3"/>
        <v>75544361.359200001</v>
      </c>
      <c r="K22" s="396">
        <v>59</v>
      </c>
    </row>
    <row r="23" spans="1:13" ht="12.75" customHeight="1" thickBot="1">
      <c r="A23" s="301" t="s">
        <v>97</v>
      </c>
      <c r="B23" s="1055" t="s">
        <v>210</v>
      </c>
      <c r="C23" s="1055"/>
      <c r="D23" s="303">
        <f t="shared" ref="D23:J23" si="5">+D6-D13</f>
        <v>143018099.28999996</v>
      </c>
      <c r="E23" s="303">
        <f t="shared" si="5"/>
        <v>-51425085.560111791</v>
      </c>
      <c r="F23" s="303">
        <f>+F6-F13</f>
        <v>-93952194.769999996</v>
      </c>
      <c r="G23" s="303">
        <f>+G6-G13</f>
        <v>-11806386.694999993</v>
      </c>
      <c r="H23" s="303">
        <f t="shared" si="5"/>
        <v>264058142.5429</v>
      </c>
      <c r="I23" s="303">
        <f t="shared" si="5"/>
        <v>106874475.51778817</v>
      </c>
      <c r="J23" s="305">
        <f t="shared" si="5"/>
        <v>-1304360773.4444234</v>
      </c>
      <c r="K23" s="396"/>
    </row>
    <row r="24" spans="1:13" ht="13.5" customHeight="1">
      <c r="A24" s="301" t="s">
        <v>99</v>
      </c>
      <c r="B24" s="1055" t="s">
        <v>211</v>
      </c>
      <c r="C24" s="1055"/>
      <c r="D24" s="302"/>
      <c r="E24" s="302"/>
      <c r="F24" s="302"/>
      <c r="G24" s="302"/>
      <c r="H24" s="302">
        <f>+SUMIFS(JURNAL!G:G,JURNAL!N:N,K25,JURNAL!C:C,"&gt;="&amp;$L$8,JURNAL!C:C,"&lt;="&amp;$M$8)-SUMIFS(JURNAL!H:H,JURNAL!N:N,K25,JURNAL!C:C,"&gt;="&amp;$L$8,JURNAL!C:C,"&lt;="&amp;$M$8)</f>
        <v>0</v>
      </c>
      <c r="I24" s="302"/>
      <c r="K24" s="396"/>
    </row>
    <row r="25" spans="1:13" s="399" customFormat="1" ht="12.75" customHeight="1">
      <c r="A25" s="236" t="s">
        <v>101</v>
      </c>
      <c r="B25" s="1056" t="s">
        <v>193</v>
      </c>
      <c r="C25" s="1056"/>
      <c r="D25" s="303">
        <f t="shared" ref="D25:I25" si="6">SUM(D26:D32)</f>
        <v>0</v>
      </c>
      <c r="E25" s="303">
        <f t="shared" si="6"/>
        <v>0</v>
      </c>
      <c r="F25" s="303">
        <f t="shared" si="6"/>
        <v>0</v>
      </c>
      <c r="G25" s="303">
        <f t="shared" si="6"/>
        <v>0</v>
      </c>
      <c r="H25" s="303">
        <f t="shared" si="6"/>
        <v>0</v>
      </c>
      <c r="I25" s="303">
        <f t="shared" si="6"/>
        <v>0</v>
      </c>
      <c r="K25" s="400"/>
      <c r="L25" s="401"/>
      <c r="M25" s="43"/>
    </row>
    <row r="26" spans="1:13" ht="12.75" customHeight="1">
      <c r="A26" s="301" t="s">
        <v>103</v>
      </c>
      <c r="B26" s="1055" t="s">
        <v>212</v>
      </c>
      <c r="C26" s="1055"/>
      <c r="D26" s="302"/>
      <c r="E26" s="302">
        <f>+SUMIFS(JURNAL!G:G,JURNAL!N:N,K26,JURNAL!C:C,"&gt;="&amp;$L$5,JURNAL!C:C,"&lt;="&amp;$M$5)-SUMIFS(JURNAL!H:H,JURNAL!N:N,K26,JURNAL!C:C,"&gt;="&amp;$L$5,JURNAL!C:C,"&lt;="&amp;$M$5)</f>
        <v>0</v>
      </c>
      <c r="F26" s="302">
        <f>+SUMIFS(JURNAL!G:G,JURNAL!N:N,K26,JURNAL!C:C,"&gt;="&amp;$L$6,JURNAL!C:C,"&lt;="&amp;$M$6)-SUMIFS(JURNAL!H:H,JURNAL!N:N,K26,JURNAL!C:C,"&gt;="&amp;$L$6,JURNAL!C:C,"&lt;="&amp;$M$6)</f>
        <v>0</v>
      </c>
      <c r="G26" s="302">
        <f>+SUMIFS(JURNAL!G:G,JURNAL!N:N,K26,JURNAL!C:C,"&gt;="&amp;$L$7,JURNAL!C:C,"&lt;="&amp;$M$7)-SUMIFS(JURNAL!H:H,JURNAL!N:N,K26,JURNAL!C:C,"&gt;="&amp;$L$7,JURNAL!C:C,"&lt;="&amp;$M$7)</f>
        <v>0</v>
      </c>
      <c r="H26" s="302">
        <f>+SUMIFS(JURNAL!H:H,JURNAL!N:N,K26,JURNAL!C:C,"&gt;="&amp;$L$8,JURNAL!C:C,"&lt;="&amp;$M$8)-SUMIFS(JURNAL!G:G,JURNAL!N:N,K26,JURNAL!C:C,"&gt;="&amp;$L$8,JURNAL!C:C,"&lt;="&amp;$M$8)</f>
        <v>0</v>
      </c>
      <c r="I26" s="27">
        <f t="shared" ref="I26:I31" si="7">SUM(E26:H26)</f>
        <v>0</v>
      </c>
      <c r="K26" s="421">
        <v>61</v>
      </c>
    </row>
    <row r="27" spans="1:13" ht="13.5" customHeight="1">
      <c r="A27" s="301" t="s">
        <v>129</v>
      </c>
      <c r="B27" s="1055" t="s">
        <v>213</v>
      </c>
      <c r="C27" s="1055"/>
      <c r="D27" s="302"/>
      <c r="E27" s="302">
        <f>+SUMIFS(JURNAL!G:G,JURNAL!N:N,K27,JURNAL!C:C,"&gt;="&amp;$L$5,JURNAL!C:C,"&lt;="&amp;$M$5)-SUMIFS(JURNAL!H:H,JURNAL!N:N,K27,JURNAL!C:C,"&gt;="&amp;$L$5,JURNAL!C:C,"&lt;="&amp;$M$5)</f>
        <v>0</v>
      </c>
      <c r="F27" s="302">
        <f>+SUMIFS(JURNAL!G:G,JURNAL!N:N,K27,JURNAL!C:C,"&gt;="&amp;$L$6,JURNAL!C:C,"&lt;="&amp;$M$6)-SUMIFS(JURNAL!H:H,JURNAL!N:N,K27,JURNAL!C:C,"&gt;="&amp;$L$6,JURNAL!C:C,"&lt;="&amp;$M$6)</f>
        <v>0</v>
      </c>
      <c r="G27" s="302">
        <f>+SUMIFS(JURNAL!G:G,JURNAL!N:N,K27,JURNAL!C:C,"&gt;="&amp;$L$7,JURNAL!C:C,"&lt;="&amp;$M$7)-SUMIFS(JURNAL!H:H,JURNAL!N:N,K27,JURNAL!C:C,"&gt;="&amp;$L$7,JURNAL!C:C,"&lt;="&amp;$M$7)</f>
        <v>0</v>
      </c>
      <c r="H27" s="302">
        <f>+SUMIFS(JURNAL!H:H,JURNAL!N:N,K27,JURNAL!C:C,"&gt;="&amp;$L$8,JURNAL!C:C,"&lt;="&amp;$M$8)-SUMIFS(JURNAL!G:G,JURNAL!N:N,K27,JURNAL!C:C,"&gt;="&amp;$L$8,JURNAL!C:C,"&lt;="&amp;$M$8)</f>
        <v>0</v>
      </c>
      <c r="I27" s="27">
        <f t="shared" si="7"/>
        <v>0</v>
      </c>
      <c r="K27" s="421">
        <v>62</v>
      </c>
    </row>
    <row r="28" spans="1:13" ht="12.75" customHeight="1">
      <c r="A28" s="301" t="s">
        <v>214</v>
      </c>
      <c r="B28" s="1055" t="s">
        <v>215</v>
      </c>
      <c r="C28" s="1055"/>
      <c r="D28" s="302"/>
      <c r="E28" s="302">
        <f>+SUMIFS(JURNAL!G:G,JURNAL!N:N,K28,JURNAL!C:C,"&gt;="&amp;$L$5,JURNAL!C:C,"&lt;="&amp;$M$5)-SUMIFS(JURNAL!H:H,JURNAL!N:N,K28,JURNAL!C:C,"&gt;="&amp;$L$5,JURNAL!C:C,"&lt;="&amp;$M$5)</f>
        <v>0</v>
      </c>
      <c r="F28" s="302">
        <f>+SUMIFS(JURNAL!G:G,JURNAL!N:N,K28,JURNAL!C:C,"&gt;="&amp;$L$6,JURNAL!C:C,"&lt;="&amp;$M$6)-SUMIFS(JURNAL!H:H,JURNAL!N:N,K28,JURNAL!C:C,"&gt;="&amp;$L$6,JURNAL!C:C,"&lt;="&amp;$M$6)</f>
        <v>0</v>
      </c>
      <c r="G28" s="302">
        <f>+SUMIFS(JURNAL!G:G,JURNAL!N:N,K28,JURNAL!C:C,"&gt;="&amp;$L$7,JURNAL!C:C,"&lt;="&amp;$M$7)-SUMIFS(JURNAL!H:H,JURNAL!N:N,K28,JURNAL!C:C,"&gt;="&amp;$L$7,JURNAL!C:C,"&lt;="&amp;$M$7)</f>
        <v>0</v>
      </c>
      <c r="H28" s="302">
        <f>+SUMIFS(JURNAL!H:H,JURNAL!N:N,K28,JURNAL!C:C,"&gt;="&amp;$L$8,JURNAL!C:C,"&lt;="&amp;$M$8)-SUMIFS(JURNAL!G:G,JURNAL!N:N,K28,JURNAL!C:C,"&gt;="&amp;$L$8,JURNAL!C:C,"&lt;="&amp;$M$8)</f>
        <v>0</v>
      </c>
      <c r="I28" s="27">
        <f t="shared" si="7"/>
        <v>0</v>
      </c>
      <c r="K28" s="396">
        <v>63</v>
      </c>
    </row>
    <row r="29" spans="1:13" ht="12.75" customHeight="1">
      <c r="A29" s="301" t="s">
        <v>216</v>
      </c>
      <c r="B29" s="1055" t="s">
        <v>217</v>
      </c>
      <c r="C29" s="1055"/>
      <c r="D29" s="302"/>
      <c r="E29" s="302">
        <f>+SUMIFS(JURNAL!G:G,JURNAL!N:N,K29,JURNAL!C:C,"&gt;="&amp;$L$5,JURNAL!C:C,"&lt;="&amp;$M$5)-SUMIFS(JURNAL!H:H,JURNAL!N:N,K29,JURNAL!C:C,"&gt;="&amp;$L$5,JURNAL!C:C,"&lt;="&amp;$M$5)</f>
        <v>0</v>
      </c>
      <c r="F29" s="302">
        <f>+SUMIFS(JURNAL!G:G,JURNAL!N:N,K29,JURNAL!C:C,"&gt;="&amp;$L$6,JURNAL!C:C,"&lt;="&amp;$M$6)-SUMIFS(JURNAL!H:H,JURNAL!N:N,K29,JURNAL!C:C,"&gt;="&amp;$L$6,JURNAL!C:C,"&lt;="&amp;$M$6)</f>
        <v>0</v>
      </c>
      <c r="G29" s="302">
        <f>+SUMIFS(JURNAL!G:G,JURNAL!N:N,K29,JURNAL!C:C,"&gt;="&amp;$L$7,JURNAL!C:C,"&lt;="&amp;$M$7)-SUMIFS(JURNAL!H:H,JURNAL!N:N,K29,JURNAL!C:C,"&gt;="&amp;$L$7,JURNAL!C:C,"&lt;="&amp;$M$7)</f>
        <v>0</v>
      </c>
      <c r="H29" s="302">
        <f>+SUMIFS(JURNAL!H:H,JURNAL!N:N,K29,JURNAL!C:C,"&gt;="&amp;$L$8,JURNAL!C:C,"&lt;="&amp;$M$8)-SUMIFS(JURNAL!G:G,JURNAL!N:N,K29,JURNAL!C:C,"&gt;="&amp;$L$8,JURNAL!C:C,"&lt;="&amp;$M$8)</f>
        <v>0</v>
      </c>
      <c r="I29" s="27">
        <f t="shared" si="7"/>
        <v>0</v>
      </c>
      <c r="K29" s="396">
        <v>64</v>
      </c>
    </row>
    <row r="30" spans="1:13" ht="12.75" customHeight="1">
      <c r="A30" s="301" t="s">
        <v>218</v>
      </c>
      <c r="B30" s="1055" t="s">
        <v>219</v>
      </c>
      <c r="C30" s="1055"/>
      <c r="D30" s="302"/>
      <c r="E30" s="302">
        <f>+SUMIFS(JURNAL!G:G,JURNAL!N:N,K30,JURNAL!C:C,"&gt;="&amp;$L$5,JURNAL!C:C,"&lt;="&amp;$M$5)-SUMIFS(JURNAL!H:H,JURNAL!N:N,K30,JURNAL!C:C,"&gt;="&amp;$L$5,JURNAL!C:C,"&lt;="&amp;$M$5)</f>
        <v>0</v>
      </c>
      <c r="F30" s="302">
        <f>+SUMIFS(JURNAL!G:G,JURNAL!N:N,K30,JURNAL!C:C,"&gt;="&amp;$L$6,JURNAL!C:C,"&lt;="&amp;$M$6)-SUMIFS(JURNAL!H:H,JURNAL!N:N,K30,JURNAL!C:C,"&gt;="&amp;$L$6,JURNAL!C:C,"&lt;="&amp;$M$6)</f>
        <v>0</v>
      </c>
      <c r="G30" s="302">
        <f>+SUMIFS(JURNAL!G:G,JURNAL!N:N,K30,JURNAL!C:C,"&gt;="&amp;$L$7,JURNAL!C:C,"&lt;="&amp;$M$7)-SUMIFS(JURNAL!H:H,JURNAL!N:N,K30,JURNAL!C:C,"&gt;="&amp;$L$7,JURNAL!C:C,"&lt;="&amp;$M$7)</f>
        <v>0</v>
      </c>
      <c r="H30" s="302">
        <f>+SUMIFS(JURNAL!H:H,JURNAL!N:N,K30,JURNAL!C:C,"&gt;="&amp;$L$8,JURNAL!C:C,"&lt;="&amp;$M$8)-SUMIFS(JURNAL!G:G,JURNAL!N:N,K30,JURNAL!C:C,"&gt;="&amp;$L$8,JURNAL!C:C,"&lt;="&amp;$M$8)</f>
        <v>0</v>
      </c>
      <c r="I30" s="27">
        <f t="shared" si="7"/>
        <v>0</v>
      </c>
      <c r="K30" s="396">
        <v>65</v>
      </c>
    </row>
    <row r="31" spans="1:13" ht="13.5" customHeight="1">
      <c r="A31" s="301" t="s">
        <v>220</v>
      </c>
      <c r="B31" s="1055" t="s">
        <v>221</v>
      </c>
      <c r="C31" s="1055"/>
      <c r="D31" s="302"/>
      <c r="E31" s="302">
        <f>+SUMIFS(JURNAL!G:G,JURNAL!N:N,K31,JURNAL!C:C,"&gt;="&amp;$L$5,JURNAL!C:C,"&lt;="&amp;$M$5)-SUMIFS(JURNAL!H:H,JURNAL!N:N,K31,JURNAL!C:C,"&gt;="&amp;$L$5,JURNAL!C:C,"&lt;="&amp;$M$5)</f>
        <v>0</v>
      </c>
      <c r="F31" s="302">
        <f>+SUMIFS(JURNAL!G:G,JURNAL!N:N,K31,JURNAL!C:C,"&gt;="&amp;$L$6,JURNAL!C:C,"&lt;="&amp;$M$6)-SUMIFS(JURNAL!H:H,JURNAL!N:N,K31,JURNAL!C:C,"&gt;="&amp;$L$6,JURNAL!C:C,"&lt;="&amp;$M$6)</f>
        <v>0</v>
      </c>
      <c r="G31" s="302">
        <f>+SUMIFS(JURNAL!G:G,JURNAL!N:N,K31,JURNAL!C:C,"&gt;="&amp;$L$7,JURNAL!C:C,"&lt;="&amp;$M$7)-SUMIFS(JURNAL!H:H,JURNAL!N:N,K31,JURNAL!C:C,"&gt;="&amp;$L$7,JURNAL!C:C,"&lt;="&amp;$M$7)</f>
        <v>0</v>
      </c>
      <c r="H31" s="302">
        <f>+SUMIFS(JURNAL!H:H,JURNAL!N:N,K31,JURNAL!C:C,"&gt;="&amp;$L$8,JURNAL!C:C,"&lt;="&amp;$M$8)-SUMIFS(JURNAL!G:G,JURNAL!N:N,K31,JURNAL!C:C,"&gt;="&amp;$L$8,JURNAL!C:C,"&lt;="&amp;$M$8)</f>
        <v>0</v>
      </c>
      <c r="I31" s="27">
        <f t="shared" si="7"/>
        <v>0</v>
      </c>
      <c r="K31" s="396">
        <v>66</v>
      </c>
    </row>
    <row r="32" spans="1:13" ht="12.75" customHeight="1">
      <c r="A32" s="301" t="s">
        <v>222</v>
      </c>
      <c r="B32" s="1055" t="s">
        <v>223</v>
      </c>
      <c r="C32" s="1055"/>
      <c r="D32" s="302"/>
      <c r="E32" s="302">
        <f>+SUMIFS(JURNAL!G:G,JURNAL!N:N,K32,JURNAL!C:C,"&gt;="&amp;$L$5,JURNAL!C:C,"&lt;="&amp;$M$5)-SUMIFS(JURNAL!H:H,JURNAL!N:N,K32,JURNAL!C:C,"&gt;="&amp;$L$5,JURNAL!C:C,"&lt;="&amp;$M$5)</f>
        <v>0</v>
      </c>
      <c r="F32" s="302">
        <f>+SUMIFS(JURNAL!G:G,JURNAL!N:N,K32,JURNAL!C:C,"&gt;="&amp;$L$6,JURNAL!C:C,"&lt;="&amp;$M$6)-SUMIFS(JURNAL!H:H,JURNAL!N:N,K32,JURNAL!C:C,"&gt;="&amp;$L$6,JURNAL!C:C,"&lt;="&amp;$M$6)</f>
        <v>0</v>
      </c>
      <c r="G32" s="302">
        <f>+SUMIFS(JURNAL!G:G,JURNAL!N:N,K32,JURNAL!C:C,"&gt;="&amp;$L$7,JURNAL!C:C,"&lt;="&amp;$M$7)-SUMIFS(JURNAL!H:H,JURNAL!N:N,K32,JURNAL!C:C,"&gt;="&amp;$L$7,JURNAL!C:C,"&lt;="&amp;$M$7)</f>
        <v>0</v>
      </c>
      <c r="H32" s="302">
        <f>+SUMIFS(JURNAL!H:H,JURNAL!N:N,K32,JURNAL!C:C,"&gt;="&amp;$L$8,JURNAL!C:C,"&lt;="&amp;$M$8)-SUMIFS(JURNAL!G:G,JURNAL!N:N,K32,JURNAL!C:C,"&gt;="&amp;$L$8,JURNAL!C:C,"&lt;="&amp;$M$8)</f>
        <v>0</v>
      </c>
      <c r="I32" s="27">
        <f t="shared" ref="I32:I38" si="8">SUM(E32:H32)</f>
        <v>0</v>
      </c>
      <c r="K32" s="396">
        <v>67</v>
      </c>
    </row>
    <row r="33" spans="1:13" ht="12.75" customHeight="1">
      <c r="A33" s="301" t="s">
        <v>142</v>
      </c>
      <c r="B33" s="1055" t="s">
        <v>200</v>
      </c>
      <c r="C33" s="1055"/>
      <c r="D33" s="302">
        <f t="shared" ref="D33:I33" si="9">SUM(D34:D38)</f>
        <v>0</v>
      </c>
      <c r="E33" s="302">
        <f t="shared" si="9"/>
        <v>0</v>
      </c>
      <c r="F33" s="302">
        <f t="shared" si="9"/>
        <v>0</v>
      </c>
      <c r="G33" s="302">
        <f t="shared" si="9"/>
        <v>0</v>
      </c>
      <c r="H33" s="302">
        <f t="shared" si="9"/>
        <v>0</v>
      </c>
      <c r="I33" s="302">
        <f t="shared" si="9"/>
        <v>0</v>
      </c>
      <c r="K33" s="396"/>
    </row>
    <row r="34" spans="1:13" ht="13.5" customHeight="1">
      <c r="A34" s="301" t="s">
        <v>224</v>
      </c>
      <c r="B34" s="1055" t="s">
        <v>225</v>
      </c>
      <c r="C34" s="1055"/>
      <c r="D34" s="302">
        <v>0</v>
      </c>
      <c r="E34" s="302">
        <f>+SUMIFS(JURNAL!G:G,JURNAL!N:N,K34,JURNAL!C:C,"&gt;="&amp;$L$5,JURNAL!C:C,"&lt;="&amp;$M$5)-SUMIFS(JURNAL!H:H,JURNAL!N:N,K34,JURNAL!C:C,"&gt;="&amp;$L$5,JURNAL!C:C,"&lt;="&amp;$M$5)</f>
        <v>0</v>
      </c>
      <c r="F34" s="302">
        <f>+SUMIFS(JURNAL!H:H,JURNAL!N:N,K34,JURNAL!C:C,"&gt;="&amp;$L$6,JURNAL!C:C,"&lt;="&amp;$M$6)-SUMIFS(JURNAL!G:G,JURNAL!N:N,K34,JURNAL!C:C,"&gt;="&amp;$L$6,JURNAL!C:C,"&lt;="&amp;$M$6)</f>
        <v>0</v>
      </c>
      <c r="G34" s="302">
        <f>+SUMIFS(JURNAL!H:H,JURNAL!N:N,K34,JURNAL!C:C,"&gt;="&amp;$L$7,JURNAL!C:C,"&lt;="&amp;$M$7)-SUMIFS(JURNAL!G:G,JURNAL!N:N,K34,JURNAL!C:C,"&gt;="&amp;$L$7,JURNAL!C:C,"&lt;="&amp;$M$7)</f>
        <v>0</v>
      </c>
      <c r="H34" s="302">
        <f>+SUMIFS(JURNAL!H:H,JURNAL!N:N,K34,JURNAL!C:C,"&gt;="&amp;$L$8,JURNAL!C:C,"&lt;="&amp;$M$8)-SUMIFS(JURNAL!G:G,JURNAL!N:N,K34,JURNAL!C:C,"&gt;="&amp;$L$8,JURNAL!C:C,"&lt;="&amp;$M$8)</f>
        <v>0</v>
      </c>
      <c r="I34" s="27">
        <f>SUM(E34:H34)</f>
        <v>0</v>
      </c>
      <c r="K34" s="396">
        <v>71</v>
      </c>
    </row>
    <row r="35" spans="1:13" ht="12.75" customHeight="1">
      <c r="A35" s="301" t="s">
        <v>226</v>
      </c>
      <c r="B35" s="1055" t="s">
        <v>227</v>
      </c>
      <c r="C35" s="1055"/>
      <c r="D35" s="302"/>
      <c r="E35" s="302">
        <f>+SUMIFS(JURNAL!G:G,JURNAL!N:N,K35,JURNAL!C:C,"&gt;="&amp;$L$5,JURNAL!C:C,"&lt;="&amp;$M$5)-SUMIFS(JURNAL!H:H,JURNAL!N:N,K35,JURNAL!C:C,"&gt;="&amp;$L$5,JURNAL!C:C,"&lt;="&amp;$M$5)</f>
        <v>0</v>
      </c>
      <c r="F35" s="302">
        <f>+SUMIFS(JURNAL!H:H,JURNAL!N:N,K35,JURNAL!C:C,"&gt;="&amp;$L$6,JURNAL!C:C,"&lt;="&amp;$M$6)-SUMIFS(JURNAL!G:G,JURNAL!N:N,K35,JURNAL!C:C,"&gt;="&amp;$L$6,JURNAL!C:C,"&lt;="&amp;$M$6)</f>
        <v>0</v>
      </c>
      <c r="G35" s="302">
        <f>+SUMIFS(JURNAL!H:H,JURNAL!N:N,K35,JURNAL!C:C,"&gt;="&amp;$L$7,JURNAL!C:C,"&lt;="&amp;$M$7)-SUMIFS(JURNAL!G:G,JURNAL!N:N,K35,JURNAL!C:C,"&gt;="&amp;$L$7,JURNAL!C:C,"&lt;="&amp;$M$7)</f>
        <v>0</v>
      </c>
      <c r="H35" s="302">
        <f>+SUMIFS(JURNAL!H:H,JURNAL!N:N,K35,JURNAL!C:C,"&gt;="&amp;$L$8,JURNAL!C:C,"&lt;="&amp;$M$8)-SUMIFS(JURNAL!G:G,JURNAL!N:N,K35,JURNAL!C:C,"&gt;="&amp;$L$8,JURNAL!C:C,"&lt;="&amp;$M$8)</f>
        <v>0</v>
      </c>
      <c r="I35" s="27">
        <f t="shared" si="8"/>
        <v>0</v>
      </c>
      <c r="K35" s="396">
        <v>72</v>
      </c>
    </row>
    <row r="36" spans="1:13" ht="12.75" customHeight="1">
      <c r="A36" s="301" t="s">
        <v>228</v>
      </c>
      <c r="B36" s="1055" t="s">
        <v>229</v>
      </c>
      <c r="C36" s="1055"/>
      <c r="D36" s="302"/>
      <c r="E36" s="302">
        <f>+SUMIFS(JURNAL!G:G,JURNAL!N:N,K36,JURNAL!C:C,"&gt;="&amp;$L$5,JURNAL!C:C,"&lt;="&amp;$M$5)-SUMIFS(JURNAL!H:H,JURNAL!N:N,K36,JURNAL!C:C,"&gt;="&amp;$L$5,JURNAL!C:C,"&lt;="&amp;$M$5)</f>
        <v>0</v>
      </c>
      <c r="F36" s="302">
        <f>+SUMIFS(JURNAL!H:H,JURNAL!N:N,K36,JURNAL!C:C,"&gt;="&amp;$L$6,JURNAL!C:C,"&lt;="&amp;$M$6)-SUMIFS(JURNAL!G:G,JURNAL!N:N,K36,JURNAL!C:C,"&gt;="&amp;$L$6,JURNAL!C:C,"&lt;="&amp;$M$6)</f>
        <v>0</v>
      </c>
      <c r="G36" s="302">
        <f>+SUMIFS(JURNAL!H:H,JURNAL!N:N,K36,JURNAL!C:C,"&gt;="&amp;$L$7,JURNAL!C:C,"&lt;="&amp;$M$7)-SUMIFS(JURNAL!G:G,JURNAL!N:N,K36,JURNAL!C:C,"&gt;="&amp;$L$7,JURNAL!C:C,"&lt;="&amp;$M$7)</f>
        <v>0</v>
      </c>
      <c r="H36" s="302">
        <f>+SUMIFS(JURNAL!H:H,JURNAL!N:N,K36,JURNAL!C:C,"&gt;="&amp;$L$8,JURNAL!C:C,"&lt;="&amp;$M$8)-SUMIFS(JURNAL!G:G,JURNAL!N:N,K36,JURNAL!C:C,"&gt;="&amp;$L$8,JURNAL!C:C,"&lt;="&amp;$M$8)</f>
        <v>0</v>
      </c>
      <c r="I36" s="27">
        <f t="shared" si="8"/>
        <v>0</v>
      </c>
      <c r="K36" s="396">
        <v>73</v>
      </c>
    </row>
    <row r="37" spans="1:13" ht="13.5" customHeight="1">
      <c r="A37" s="301" t="s">
        <v>230</v>
      </c>
      <c r="B37" s="1055" t="s">
        <v>231</v>
      </c>
      <c r="C37" s="1055"/>
      <c r="D37" s="302"/>
      <c r="E37" s="302">
        <f>+SUMIFS(JURNAL!G:G,JURNAL!N:N,K37,JURNAL!C:C,"&gt;="&amp;$L$5,JURNAL!C:C,"&lt;="&amp;$M$5)-SUMIFS(JURNAL!H:H,JURNAL!N:N,K37,JURNAL!C:C,"&gt;="&amp;$L$5,JURNAL!C:C,"&lt;="&amp;$M$5)</f>
        <v>0</v>
      </c>
      <c r="F37" s="302">
        <f>+SUMIFS(JURNAL!H:H,JURNAL!N:N,K37,JURNAL!C:C,"&gt;="&amp;$L$6,JURNAL!C:C,"&lt;="&amp;$M$6)-SUMIFS(JURNAL!G:G,JURNAL!N:N,K37,JURNAL!C:C,"&gt;="&amp;$L$6,JURNAL!C:C,"&lt;="&amp;$M$6)</f>
        <v>0</v>
      </c>
      <c r="G37" s="302">
        <f>+SUMIFS(JURNAL!H:H,JURNAL!N:N,K37,JURNAL!C:C,"&gt;="&amp;$L$7,JURNAL!C:C,"&lt;="&amp;$M$7)-SUMIFS(JURNAL!G:G,JURNAL!N:N,K37,JURNAL!C:C,"&gt;="&amp;$L$7,JURNAL!C:C,"&lt;="&amp;$M$7)</f>
        <v>0</v>
      </c>
      <c r="H37" s="302">
        <f>+SUMIFS(JURNAL!H:H,JURNAL!N:N,K37,JURNAL!C:C,"&gt;="&amp;$L$8,JURNAL!C:C,"&lt;="&amp;$M$8)-SUMIFS(JURNAL!G:G,JURNAL!N:N,K37,JURNAL!C:C,"&gt;="&amp;$L$8,JURNAL!C:C,"&lt;="&amp;$M$8)</f>
        <v>0</v>
      </c>
      <c r="I37" s="27">
        <f t="shared" si="8"/>
        <v>0</v>
      </c>
      <c r="K37" s="396">
        <v>74</v>
      </c>
    </row>
    <row r="38" spans="1:13" ht="12.75" customHeight="1">
      <c r="A38" s="301" t="s">
        <v>232</v>
      </c>
      <c r="B38" s="1055" t="s">
        <v>233</v>
      </c>
      <c r="C38" s="1055"/>
      <c r="D38" s="302"/>
      <c r="E38" s="302"/>
      <c r="F38" s="302">
        <f>+SUMIFS(JURNAL!H:H,JURNAL!N:N,K38,JURNAL!C:C,"&gt;="&amp;$L$6,JURNAL!C:C,"&lt;="&amp;$M$6)-SUMIFS(JURNAL!G:G,JURNAL!N:N,K38,JURNAL!C:C,"&gt;="&amp;$L$6,JURNAL!C:C,"&lt;="&amp;$M$6)</f>
        <v>0</v>
      </c>
      <c r="G38" s="302">
        <f>+SUMIFS(JURNAL!H:H,JURNAL!N:N,K38,JURNAL!C:C,"&gt;="&amp;$L$7,JURNAL!C:C,"&lt;="&amp;$M$7)-SUMIFS(JURNAL!G:G,JURNAL!N:N,K38,JURNAL!C:C,"&gt;="&amp;$L$7,JURNAL!C:C,"&lt;="&amp;$M$7)</f>
        <v>0</v>
      </c>
      <c r="H38" s="302">
        <f>+SUMIFS(JURNAL!H:H,JURNAL!N:N,K38,JURNAL!C:C,"&gt;="&amp;$L$8,JURNAL!C:C,"&lt;="&amp;$M$8)-SUMIFS(JURNAL!G:G,JURNAL!N:N,K38,JURNAL!C:C,"&gt;="&amp;$L$8,JURNAL!C:C,"&lt;="&amp;$M$8)</f>
        <v>0</v>
      </c>
      <c r="I38" s="27">
        <f t="shared" si="8"/>
        <v>0</v>
      </c>
      <c r="K38" s="396">
        <v>75</v>
      </c>
    </row>
    <row r="39" spans="1:13" s="399" customFormat="1" ht="12.75" customHeight="1">
      <c r="A39" s="236" t="s">
        <v>144</v>
      </c>
      <c r="B39" s="1056" t="s">
        <v>234</v>
      </c>
      <c r="C39" s="1056"/>
      <c r="D39" s="303">
        <f t="shared" ref="D39:I39" si="10">+D25-D33</f>
        <v>0</v>
      </c>
      <c r="E39" s="303">
        <f t="shared" si="10"/>
        <v>0</v>
      </c>
      <c r="F39" s="303">
        <f t="shared" si="10"/>
        <v>0</v>
      </c>
      <c r="G39" s="303">
        <f t="shared" si="10"/>
        <v>0</v>
      </c>
      <c r="H39" s="303">
        <f t="shared" si="10"/>
        <v>0</v>
      </c>
      <c r="I39" s="303">
        <f t="shared" si="10"/>
        <v>0</v>
      </c>
      <c r="K39" s="400"/>
      <c r="L39" s="401"/>
      <c r="M39" s="43"/>
    </row>
    <row r="40" spans="1:13" ht="13.5" customHeight="1">
      <c r="A40" s="301" t="s">
        <v>171</v>
      </c>
      <c r="B40" s="1055" t="s">
        <v>235</v>
      </c>
      <c r="C40" s="1055"/>
      <c r="D40" s="302"/>
      <c r="E40" s="302"/>
      <c r="F40" s="302"/>
      <c r="G40" s="302"/>
      <c r="H40" s="302"/>
      <c r="I40" s="302"/>
      <c r="K40" s="396"/>
    </row>
    <row r="41" spans="1:13" ht="12.75" customHeight="1">
      <c r="A41" s="301" t="s">
        <v>236</v>
      </c>
      <c r="B41" s="1055" t="s">
        <v>193</v>
      </c>
      <c r="C41" s="1055"/>
      <c r="D41" s="302">
        <f t="shared" ref="D41:I41" si="11">SUM(D42:D45)</f>
        <v>131025.51</v>
      </c>
      <c r="E41" s="302">
        <f t="shared" si="11"/>
        <v>0</v>
      </c>
      <c r="F41" s="302">
        <f t="shared" si="11"/>
        <v>23822.04</v>
      </c>
      <c r="G41" s="302">
        <f t="shared" si="11"/>
        <v>21653.212</v>
      </c>
      <c r="H41" s="302">
        <f t="shared" si="11"/>
        <v>12805.799999999988</v>
      </c>
      <c r="I41" s="302">
        <f t="shared" si="11"/>
        <v>58281.051999999989</v>
      </c>
      <c r="K41" s="396"/>
    </row>
    <row r="42" spans="1:13" ht="12.75" customHeight="1">
      <c r="A42" s="301" t="s">
        <v>237</v>
      </c>
      <c r="B42" s="1055" t="s">
        <v>238</v>
      </c>
      <c r="C42" s="1055"/>
      <c r="D42" s="302"/>
      <c r="E42" s="302">
        <f>+SUMIFS(JURNAL!G:G,JURNAL!N:N,K42,JURNAL!C:C,"&gt;="&amp;$L$5,JURNAL!C:C,"&lt;="&amp;$M$5)-SUMIFS(JURNAL!H:H,JURNAL!N:N,K42,JURNAL!C:C,"&gt;="&amp;$L$5,JURNAL!C:C,"&lt;="&amp;$M$5)</f>
        <v>0</v>
      </c>
      <c r="F42" s="302">
        <f>+SUMIFS(JURNAL!G:G,JURNAL!N:N,K42,JURNAL!C:C,"&gt;="&amp;$L$6,JURNAL!C:C,"&lt;="&amp;$M$6)-SUMIFS(JURNAL!H:H,JURNAL!N:N,K42,JURNAL!C:C,"&gt;="&amp;$L$6,JURNAL!C:C,"&lt;="&amp;$M$6)</f>
        <v>0</v>
      </c>
      <c r="G42" s="302">
        <f>+SUMIFS(JURNAL!I:I,JURNAL!P:P,M42,JURNAL!E:E,"&gt;="&amp;$L$5,JURNAL!E:E,"&lt;="&amp;$M$5)-SUMIFS(JURNAL!J:J,JURNAL!P:P,M42,JURNAL!E:E,"&gt;="&amp;$L$5,JURNAL!E:E,"&lt;="&amp;$M$5)</f>
        <v>0</v>
      </c>
      <c r="H42" s="302">
        <f>+SUMIFS(JURNAL!H:H,JURNAL!N:N,K42,JURNAL!C:C,"&gt;="&amp;$L$8,JURNAL!C:C,"&lt;="&amp;$M$8)-SUMIFS(JURNAL!G:G,JURNAL!N:N,K42,JURNAL!C:C,"&gt;="&amp;$L$8,JURNAL!C:C,"&lt;="&amp;$M$8)</f>
        <v>0</v>
      </c>
      <c r="I42" s="27">
        <f t="shared" ref="I42:I50" si="12">SUM(E42:H42)</f>
        <v>0</v>
      </c>
      <c r="K42" s="396">
        <v>81</v>
      </c>
    </row>
    <row r="43" spans="1:13" ht="13.5" customHeight="1">
      <c r="A43" s="301" t="s">
        <v>239</v>
      </c>
      <c r="B43" s="1055" t="s">
        <v>240</v>
      </c>
      <c r="C43" s="1055"/>
      <c r="D43" s="302"/>
      <c r="E43" s="302">
        <f>+SUMIFS(JURNAL!G:G,JURNAL!N:N,K43,JURNAL!C:C,"&gt;="&amp;$L$5,JURNAL!C:C,"&lt;="&amp;$M$5)-SUMIFS(JURNAL!H:H,JURNAL!N:N,K43,JURNAL!C:C,"&gt;="&amp;$L$5,JURNAL!C:C,"&lt;="&amp;$M$5)</f>
        <v>0</v>
      </c>
      <c r="F43" s="302">
        <f>+SUMIFS(JURNAL!G:G,JURNAL!N:N,K43,JURNAL!C:C,"&gt;="&amp;$L$6,JURNAL!C:C,"&lt;="&amp;$M$6)-SUMIFS(JURNAL!H:H,JURNAL!N:N,K43,JURNAL!C:C,"&gt;="&amp;$L$6,JURNAL!C:C,"&lt;="&amp;$M$6)</f>
        <v>0</v>
      </c>
      <c r="G43" s="302">
        <f>+SUMIFS(JURNAL!I:I,JURNAL!P:P,M43,JURNAL!E:E,"&gt;="&amp;$L$5,JURNAL!E:E,"&lt;="&amp;$M$5)-SUMIFS(JURNAL!J:J,JURNAL!P:P,M43,JURNAL!E:E,"&gt;="&amp;$L$5,JURNAL!E:E,"&lt;="&amp;$M$5)</f>
        <v>0</v>
      </c>
      <c r="H43" s="302">
        <f>+SUMIFS(JURNAL!H:H,JURNAL!N:N,K43,JURNAL!C:C,"&gt;="&amp;$L$8,JURNAL!C:C,"&lt;="&amp;$M$8)-SUMIFS(JURNAL!G:G,JURNAL!N:N,K43,JURNAL!C:C,"&gt;="&amp;$L$8,JURNAL!C:C,"&lt;="&amp;$M$8)</f>
        <v>0</v>
      </c>
      <c r="I43" s="27">
        <f t="shared" si="12"/>
        <v>0</v>
      </c>
      <c r="K43" s="396">
        <v>82</v>
      </c>
    </row>
    <row r="44" spans="1:13" ht="12.75" customHeight="1">
      <c r="A44" s="301" t="s">
        <v>241</v>
      </c>
      <c r="B44" s="1055" t="s">
        <v>242</v>
      </c>
      <c r="C44" s="1055"/>
      <c r="D44" s="302"/>
      <c r="E44" s="302">
        <f>+SUMIFS(JURNAL!G:G,JURNAL!N:N,K44,JURNAL!C:C,"&gt;="&amp;$L$5,JURNAL!C:C,"&lt;="&amp;$M$5)-SUMIFS(JURNAL!H:H,JURNAL!N:N,K44,JURNAL!C:C,"&gt;="&amp;$L$5,JURNAL!C:C,"&lt;="&amp;$M$5)</f>
        <v>0</v>
      </c>
      <c r="F44" s="302">
        <f>+SUMIFS(JURNAL!G:G,JURNAL!N:N,K44,JURNAL!C:C,"&gt;="&amp;$L$6,JURNAL!C:C,"&lt;="&amp;$M$6)-SUMIFS(JURNAL!H:H,JURNAL!N:N,K44,JURNAL!C:C,"&gt;="&amp;$L$6,JURNAL!C:C,"&lt;="&amp;$M$6)</f>
        <v>0</v>
      </c>
      <c r="G44" s="302">
        <f>+SUMIFS(JURNAL!I:I,JURNAL!P:P,M44,JURNAL!E:E,"&gt;="&amp;$L$5,JURNAL!E:E,"&lt;="&amp;$M$5)-SUMIFS(JURNAL!J:J,JURNAL!P:P,M44,JURNAL!E:E,"&gt;="&amp;$L$5,JURNAL!E:E,"&lt;="&amp;$M$5)</f>
        <v>0</v>
      </c>
      <c r="H44" s="302">
        <f>+SUMIFS(JURNAL!H:H,JURNAL!N:N,K44,JURNAL!C:C,"&gt;="&amp;$L$8,JURNAL!C:C,"&lt;="&amp;$M$8)-SUMIFS(JURNAL!G:G,JURNAL!N:N,K44,JURNAL!C:C,"&gt;="&amp;$L$8,JURNAL!C:C,"&lt;="&amp;$M$8)</f>
        <v>0</v>
      </c>
      <c r="I44" s="27">
        <f t="shared" si="12"/>
        <v>0</v>
      </c>
      <c r="K44" s="396">
        <v>83</v>
      </c>
    </row>
    <row r="45" spans="1:13" ht="12.75" customHeight="1">
      <c r="A45" s="301"/>
      <c r="B45" s="1055" t="s">
        <v>243</v>
      </c>
      <c r="C45" s="1055"/>
      <c r="D45" s="302">
        <v>131025.51</v>
      </c>
      <c r="E45" s="302">
        <f>+STAT1!O197+STAT1!O198</f>
        <v>0</v>
      </c>
      <c r="F45" s="302">
        <f>+STAT2!O197+STAT2!O198</f>
        <v>23822.04</v>
      </c>
      <c r="G45" s="302">
        <f>+STAT3!O198+STAT3!O197</f>
        <v>21653.212</v>
      </c>
      <c r="H45" s="302">
        <f>+STAT4!O198+STAT4!O197</f>
        <v>12805.799999999988</v>
      </c>
      <c r="I45" s="27">
        <f t="shared" si="12"/>
        <v>58281.051999999989</v>
      </c>
      <c r="K45" s="396">
        <v>84</v>
      </c>
    </row>
    <row r="46" spans="1:13" s="399" customFormat="1" ht="13.5" customHeight="1">
      <c r="A46" s="236" t="s">
        <v>244</v>
      </c>
      <c r="B46" s="1056" t="s">
        <v>200</v>
      </c>
      <c r="C46" s="1056"/>
      <c r="D46" s="303">
        <f t="shared" ref="D46:I46" si="13">SUM(D47:D51)</f>
        <v>93807600.819999993</v>
      </c>
      <c r="E46" s="303">
        <f t="shared" si="13"/>
        <v>26867139.960000001</v>
      </c>
      <c r="F46" s="303">
        <f t="shared" si="13"/>
        <v>16557856</v>
      </c>
      <c r="G46" s="303">
        <f t="shared" si="13"/>
        <v>11306242.300000001</v>
      </c>
      <c r="H46" s="303">
        <f t="shared" si="13"/>
        <v>11926772</v>
      </c>
      <c r="I46" s="303">
        <f t="shared" si="13"/>
        <v>66658010.259999998</v>
      </c>
      <c r="K46" s="400"/>
      <c r="L46" s="401"/>
      <c r="M46" s="43"/>
    </row>
    <row r="47" spans="1:13" ht="12.75" customHeight="1">
      <c r="A47" s="301" t="s">
        <v>245</v>
      </c>
      <c r="B47" s="1055" t="s">
        <v>246</v>
      </c>
      <c r="C47" s="1055"/>
      <c r="D47" s="302">
        <v>93308185</v>
      </c>
      <c r="E47" s="302">
        <f>+SUMIFS(JURNAL!H:H,JURNAL!N:N,K47,JURNAL!C:C,"&gt;="&amp;$L$5,JURNAL!C:C,"&lt;="&amp;$M$5)-SUMIFS(JURNAL!G:G,JURNAL!N:N,K47,JURNAL!C:C,"&gt;="&amp;$L$5,JURNAL!C:C,"&lt;="&amp;$M$5)</f>
        <v>26858356</v>
      </c>
      <c r="F47" s="302">
        <f>+SUMIFS(JURNAL!H:H,JURNAL!N:N,K47,JURNAL!C:C,"&gt;="&amp;$L$6,JURNAL!C:C,"&lt;="&amp;$M$6)-SUMIFS(JURNAL!G:G,JURNAL!N:N,K47,JURNAL!C:C,"&gt;="&amp;$L$6,JURNAL!C:C,"&lt;="&amp;$M$6)</f>
        <v>16557856</v>
      </c>
      <c r="G47" s="302">
        <f>+SUMIFS(JURNAL!H:H,JURNAL!N:N,K47,JURNAL!C:C,"&gt;="&amp;$L$7,JURNAL!C:C,"&lt;="&amp;$M$7)-SUMIFS(JURNAL!G:G,JURNAL!N:N,K47,JURNAL!C:C,"&gt;="&amp;$L$7,JURNAL!C:C,"&lt;="&amp;$M$7)</f>
        <v>11300356</v>
      </c>
      <c r="H47" s="302">
        <f>+SUMIFS(JURNAL!H:H,JURNAL!N:N,K47,JURNAL!C:C,"&gt;="&amp;$L$8,JURNAL!C:C,"&lt;="&amp;$M$8)-SUMIFS(JURNAL!G:G,JURNAL!N:N,K47,JURNAL!C:C,"&gt;="&amp;$L$8,JURNAL!C:C,"&lt;="&amp;$M$8)</f>
        <v>11926772</v>
      </c>
      <c r="I47" s="27">
        <f t="shared" si="12"/>
        <v>66643340</v>
      </c>
      <c r="K47" s="396">
        <v>91</v>
      </c>
    </row>
    <row r="48" spans="1:13" ht="12.75" customHeight="1">
      <c r="A48" s="301" t="s">
        <v>247</v>
      </c>
      <c r="B48" s="1055" t="s">
        <v>248</v>
      </c>
      <c r="C48" s="1055"/>
      <c r="D48" s="302"/>
      <c r="E48" s="302">
        <f>+SUMIFS(JURNAL!H:H,JURNAL!N:N,K48,JURNAL!C:C,"&gt;="&amp;$L$5,JURNAL!C:C,"&lt;="&amp;$M$5)-SUMIFS(JURNAL!G:G,JURNAL!N:N,K48,JURNAL!C:C,"&gt;="&amp;$L$5,JURNAL!C:C,"&lt;="&amp;$M$5)</f>
        <v>0</v>
      </c>
      <c r="F48" s="302">
        <f>+SUMIFS(JURNAL!H:H,JURNAL!N:N,K48,JURNAL!C:C,"&gt;="&amp;$L$6,JURNAL!C:C,"&lt;="&amp;$M$6)-SUMIFS(JURNAL!G:G,JURNAL!N:N,K48,JURNAL!C:C,"&gt;="&amp;$L$6,JURNAL!C:C,"&lt;="&amp;$M$6)</f>
        <v>0</v>
      </c>
      <c r="G48" s="302">
        <f>+SUMIFS(JURNAL!H:H,JURNAL!N:N,K48,JURNAL!C:C,"&gt;="&amp;$L$7,JURNAL!C:C,"&lt;="&amp;$M$7)-SUMIFS(JURNAL!G:G,JURNAL!N:N,K48,JURNAL!C:C,"&gt;="&amp;$L$7,JURNAL!C:C,"&lt;="&amp;$M$7)</f>
        <v>0</v>
      </c>
      <c r="H48" s="302">
        <f>+SUMIFS(JURNAL!H:H,JURNAL!N:N,K48,JURNAL!C:C,"&gt;="&amp;$L$8,JURNAL!C:C,"&lt;="&amp;$M$8)-SUMIFS(JURNAL!G:G,JURNAL!N:N,K48,JURNAL!C:C,"&gt;="&amp;$L$8,JURNAL!C:C,"&lt;="&amp;$M$8)</f>
        <v>0</v>
      </c>
      <c r="I48" s="27">
        <f t="shared" si="12"/>
        <v>0</v>
      </c>
      <c r="K48" s="396">
        <v>92</v>
      </c>
    </row>
    <row r="49" spans="1:12" ht="13.5" customHeight="1">
      <c r="A49" s="301" t="s">
        <v>249</v>
      </c>
      <c r="B49" s="1055" t="s">
        <v>250</v>
      </c>
      <c r="C49" s="1055"/>
      <c r="D49" s="302"/>
      <c r="E49" s="302">
        <f>+SUMIFS(JURNAL!H:H,JURNAL!N:N,K49,JURNAL!C:C,"&gt;="&amp;$L$5,JURNAL!C:C,"&lt;="&amp;$M$5)-SUMIFS(JURNAL!G:G,JURNAL!N:N,K49,JURNAL!C:C,"&gt;="&amp;$L$5,JURNAL!C:C,"&lt;="&amp;$M$5)</f>
        <v>0</v>
      </c>
      <c r="F49" s="302">
        <f>+SUMIFS(JURNAL!H:H,JURNAL!N:N,K49,JURNAL!C:C,"&gt;="&amp;$L$6,JURNAL!C:C,"&lt;="&amp;$M$6)-SUMIFS(JURNAL!G:G,JURNAL!N:N,K49,JURNAL!C:C,"&gt;="&amp;$L$6,JURNAL!C:C,"&lt;="&amp;$M$6)</f>
        <v>0</v>
      </c>
      <c r="G49" s="302">
        <f>+SUMIFS(JURNAL!H:H,JURNAL!N:N,K49,JURNAL!C:C,"&gt;="&amp;$L$7,JURNAL!C:C,"&lt;="&amp;$M$7)-SUMIFS(JURNAL!G:G,JURNAL!N:N,K49,JURNAL!C:C,"&gt;="&amp;$L$7,JURNAL!C:C,"&lt;="&amp;$M$7)</f>
        <v>0</v>
      </c>
      <c r="H49" s="302">
        <f>+SUMIFS(JURNAL!H:H,JURNAL!N:N,K49,JURNAL!C:C,"&gt;="&amp;$L$8,JURNAL!C:C,"&lt;="&amp;$M$8)-SUMIFS(JURNAL!G:G,JURNAL!N:N,K49,JURNAL!C:C,"&gt;="&amp;$L$8,JURNAL!C:C,"&lt;="&amp;$M$8)</f>
        <v>0</v>
      </c>
      <c r="I49" s="27">
        <f t="shared" si="12"/>
        <v>0</v>
      </c>
      <c r="K49" s="396">
        <v>93</v>
      </c>
    </row>
    <row r="50" spans="1:12" ht="12.75" customHeight="1">
      <c r="A50" s="301" t="s">
        <v>251</v>
      </c>
      <c r="B50" s="1055" t="s">
        <v>252</v>
      </c>
      <c r="C50" s="1055"/>
      <c r="D50" s="302"/>
      <c r="E50" s="302">
        <f>+SUMIFS(JURNAL!H:H,JURNAL!N:N,K50,JURNAL!C:C,"&gt;="&amp;$L$5,JURNAL!C:C,"&lt;="&amp;$M$5)-SUMIFS(JURNAL!G:G,JURNAL!N:N,K50,JURNAL!C:C,"&gt;="&amp;$L$5,JURNAL!C:C,"&lt;="&amp;$M$5)</f>
        <v>0</v>
      </c>
      <c r="F50" s="302">
        <f>+SUMIFS(JURNAL!H:H,JURNAL!N:N,K50,JURNAL!C:C,"&gt;="&amp;$L$6,JURNAL!C:C,"&lt;="&amp;$M$6)-SUMIFS(JURNAL!G:G,JURNAL!N:N,K50,JURNAL!C:C,"&gt;="&amp;$L$6,JURNAL!C:C,"&lt;="&amp;$M$6)</f>
        <v>0</v>
      </c>
      <c r="G50" s="302">
        <f>+SUMIFS(JURNAL!H:H,JURNAL!N:N,K50,JURNAL!C:C,"&gt;="&amp;$L$7,JURNAL!C:C,"&lt;="&amp;$M$7)-SUMIFS(JURNAL!G:G,JURNAL!N:N,K50,JURNAL!C:C,"&gt;="&amp;$L$7,JURNAL!C:C,"&lt;="&amp;$M$7)</f>
        <v>0</v>
      </c>
      <c r="H50" s="302">
        <f>+SUMIFS(JURNAL!H:H,JURNAL!N:N,K50,JURNAL!C:C,"&gt;="&amp;$L$8,JURNAL!C:C,"&lt;="&amp;$M$8)-SUMIFS(JURNAL!G:G,JURNAL!N:N,K50,JURNAL!C:C,"&gt;="&amp;$L$8,JURNAL!C:C,"&lt;="&amp;$M$8)</f>
        <v>0</v>
      </c>
      <c r="I50" s="27">
        <f t="shared" si="12"/>
        <v>0</v>
      </c>
      <c r="K50" s="396">
        <v>94</v>
      </c>
    </row>
    <row r="51" spans="1:12" ht="12.75" customHeight="1">
      <c r="A51" s="301" t="s">
        <v>253</v>
      </c>
      <c r="B51" s="1066" t="s">
        <v>254</v>
      </c>
      <c r="C51" s="1066"/>
      <c r="D51" s="302">
        <v>499415.82</v>
      </c>
      <c r="E51" s="302">
        <f>+STAT1!N205</f>
        <v>8783.9599999999991</v>
      </c>
      <c r="F51" s="302">
        <f>+STAT2!N205</f>
        <v>0</v>
      </c>
      <c r="G51" s="302">
        <f>+STAT3!N205</f>
        <v>5886.3</v>
      </c>
      <c r="H51" s="302">
        <f>+STAT4!U205</f>
        <v>0</v>
      </c>
      <c r="I51" s="27">
        <f>SUM(E51:H51)</f>
        <v>14670.259999999998</v>
      </c>
      <c r="K51" s="396">
        <v>95</v>
      </c>
      <c r="L51" s="44"/>
    </row>
    <row r="52" spans="1:12" ht="13.5" customHeight="1">
      <c r="A52" s="301" t="s">
        <v>255</v>
      </c>
      <c r="B52" s="1055" t="s">
        <v>256</v>
      </c>
      <c r="C52" s="1055"/>
      <c r="D52" s="302">
        <f t="shared" ref="D52:I52" si="14">+D41-D46</f>
        <v>-93676575.309999987</v>
      </c>
      <c r="E52" s="302">
        <f>+E41-E46</f>
        <v>-26867139.960000001</v>
      </c>
      <c r="F52" s="302">
        <f>+F41-F46</f>
        <v>-16534033.960000001</v>
      </c>
      <c r="G52" s="302">
        <f>+G41-G46</f>
        <v>-11284589.088000001</v>
      </c>
      <c r="H52" s="302">
        <f t="shared" si="14"/>
        <v>-11913966.199999999</v>
      </c>
      <c r="I52" s="302">
        <f t="shared" si="14"/>
        <v>-66599729.207999997</v>
      </c>
    </row>
    <row r="53" spans="1:12" ht="12.75" customHeight="1">
      <c r="A53" s="301" t="s">
        <v>172</v>
      </c>
      <c r="B53" s="1055" t="s">
        <v>257</v>
      </c>
      <c r="C53" s="1055"/>
      <c r="D53" s="302">
        <f t="shared" ref="D53:I53" si="15">+D23+D39+D52</f>
        <v>49341523.979999974</v>
      </c>
      <c r="E53" s="302">
        <f t="shared" si="15"/>
        <v>-78292225.520111799</v>
      </c>
      <c r="F53" s="302">
        <f t="shared" si="15"/>
        <v>-110486228.72999999</v>
      </c>
      <c r="G53" s="302">
        <f>+G23+G39+G52</f>
        <v>-23090975.782999992</v>
      </c>
      <c r="H53" s="302">
        <f t="shared" si="15"/>
        <v>252144176.34290001</v>
      </c>
      <c r="I53" s="302">
        <f t="shared" si="15"/>
        <v>40274746.309788175</v>
      </c>
    </row>
    <row r="54" spans="1:12" ht="12.75" customHeight="1">
      <c r="A54" s="301" t="s">
        <v>173</v>
      </c>
      <c r="B54" s="1055" t="s">
        <v>258</v>
      </c>
      <c r="C54" s="1055"/>
      <c r="D54" s="302">
        <v>255019899.34</v>
      </c>
      <c r="E54" s="302">
        <f>+D55</f>
        <v>304361423.32000005</v>
      </c>
      <c r="F54" s="302">
        <f>+E55</f>
        <v>226069197.79748818</v>
      </c>
      <c r="G54" s="302">
        <f>+F55</f>
        <v>115582969.06748816</v>
      </c>
      <c r="H54" s="302">
        <f>+G55</f>
        <v>92491993.284488156</v>
      </c>
      <c r="I54" s="302">
        <f>+E54</f>
        <v>304361423.32000005</v>
      </c>
    </row>
    <row r="55" spans="1:12" ht="12.75" customHeight="1">
      <c r="A55" s="301" t="s">
        <v>174</v>
      </c>
      <c r="B55" s="1055" t="s">
        <v>259</v>
      </c>
      <c r="C55" s="1055"/>
      <c r="D55" s="302">
        <f>+BS!D8</f>
        <v>304361423.32000005</v>
      </c>
      <c r="E55" s="302">
        <f>+BS!E8</f>
        <v>226069197.79748818</v>
      </c>
      <c r="F55" s="302">
        <f>+BS!F8</f>
        <v>115582969.06748816</v>
      </c>
      <c r="G55" s="302">
        <f>+BS!G8</f>
        <v>92491993.284488156</v>
      </c>
      <c r="H55" s="302">
        <f>+BS!H8</f>
        <v>344636169.62738824</v>
      </c>
      <c r="I55" s="302">
        <f>+BS!H8</f>
        <v>344636169.62738824</v>
      </c>
    </row>
    <row r="56" spans="1:12" s="36" customFormat="1" ht="18" customHeight="1">
      <c r="A56" s="1054" t="str">
        <f>+'company '!B25</f>
        <v>Ерөнхий захирал</v>
      </c>
      <c r="B56" s="1054"/>
      <c r="D56" s="37" t="str">
        <f>+'company '!C25</f>
        <v>/Д.Бахдамдэмбэрэл /</v>
      </c>
      <c r="E56" s="37">
        <f>+E55-E54-E53</f>
        <v>-2.4000704288482666E-3</v>
      </c>
      <c r="F56" s="37">
        <f>+F55-F54-F53</f>
        <v>0</v>
      </c>
      <c r="G56" s="37">
        <f>+G55-G54-G53</f>
        <v>0</v>
      </c>
      <c r="H56" s="37">
        <f>+H55-H54-H53</f>
        <v>0</v>
      </c>
      <c r="I56" s="37">
        <f>+I55-I54-I53</f>
        <v>-2.3999884724617004E-3</v>
      </c>
      <c r="K56" s="419"/>
      <c r="L56" s="398"/>
    </row>
    <row r="57" spans="1:12" s="36" customFormat="1" ht="18" customHeight="1">
      <c r="A57" s="295"/>
      <c r="B57" s="295"/>
      <c r="D57" s="37"/>
      <c r="E57" s="37"/>
      <c r="F57" s="37"/>
      <c r="G57" s="37"/>
      <c r="H57" s="306"/>
      <c r="I57" s="37"/>
      <c r="K57" s="419"/>
      <c r="L57" s="398"/>
    </row>
    <row r="58" spans="1:12" ht="12.75" customHeight="1">
      <c r="A58" s="1054" t="str">
        <f>+'company '!B28</f>
        <v>Нягтлан бодогч</v>
      </c>
      <c r="B58" s="1054"/>
      <c r="C58" s="38" t="s">
        <v>280</v>
      </c>
      <c r="D58" s="1063" t="str">
        <f>+'company '!C28</f>
        <v>/Б.Түмэндэлгэр/</v>
      </c>
      <c r="E58" s="1063"/>
      <c r="F58" s="34"/>
      <c r="G58" s="34"/>
      <c r="H58" s="34"/>
      <c r="I58" s="34"/>
    </row>
    <row r="59" spans="1:12" ht="16.5" hidden="1" customHeight="1">
      <c r="A59" s="1054"/>
      <c r="B59" s="1054"/>
      <c r="C59" s="38"/>
      <c r="D59" s="1063"/>
      <c r="E59" s="1063"/>
      <c r="F59" s="34"/>
      <c r="G59" s="34"/>
      <c r="H59" s="34"/>
      <c r="I59" s="34"/>
    </row>
    <row r="60" spans="1:12" hidden="1"/>
    <row r="63" spans="1:12">
      <c r="K63" s="419"/>
    </row>
    <row r="64" spans="1:12">
      <c r="K64" s="419"/>
    </row>
    <row r="65" spans="4:11">
      <c r="K65" s="419"/>
    </row>
    <row r="67" spans="4:11">
      <c r="D67" s="43"/>
      <c r="E67" s="36"/>
      <c r="F67" s="43"/>
      <c r="G67" s="43"/>
      <c r="H67" s="43"/>
    </row>
    <row r="68" spans="4:11">
      <c r="D68" s="43"/>
      <c r="E68" s="36"/>
      <c r="F68" s="43"/>
      <c r="G68" s="43"/>
      <c r="H68" s="43"/>
    </row>
    <row r="78" spans="4:11">
      <c r="D78" s="43"/>
      <c r="E78" s="36"/>
      <c r="F78" s="43"/>
      <c r="G78" s="43"/>
      <c r="H78" s="43"/>
    </row>
    <row r="79" spans="4:11">
      <c r="D79" s="43"/>
      <c r="E79" s="36"/>
      <c r="F79" s="43"/>
      <c r="G79" s="43"/>
      <c r="H79" s="43"/>
    </row>
    <row r="86" spans="4:8">
      <c r="D86" s="43"/>
      <c r="E86" s="36"/>
      <c r="F86" s="43"/>
      <c r="G86" s="43"/>
      <c r="H86" s="43"/>
    </row>
  </sheetData>
  <mergeCells count="60">
    <mergeCell ref="B55:C55"/>
    <mergeCell ref="A58:B58"/>
    <mergeCell ref="A59:B59"/>
    <mergeCell ref="B54:C54"/>
    <mergeCell ref="B43:C43"/>
    <mergeCell ref="B44:C44"/>
    <mergeCell ref="B45:C45"/>
    <mergeCell ref="B46:C46"/>
    <mergeCell ref="B47:C47"/>
    <mergeCell ref="B48:C48"/>
    <mergeCell ref="B49:C49"/>
    <mergeCell ref="B50:C50"/>
    <mergeCell ref="B51:C51"/>
    <mergeCell ref="B52:C52"/>
    <mergeCell ref="B53:C53"/>
    <mergeCell ref="A56:B56"/>
    <mergeCell ref="B42:C42"/>
    <mergeCell ref="B31:C31"/>
    <mergeCell ref="B32:C32"/>
    <mergeCell ref="B33:C33"/>
    <mergeCell ref="B34:C34"/>
    <mergeCell ref="B35:C35"/>
    <mergeCell ref="B36:C36"/>
    <mergeCell ref="B37:C37"/>
    <mergeCell ref="B38:C38"/>
    <mergeCell ref="B39:C39"/>
    <mergeCell ref="B40:C40"/>
    <mergeCell ref="B41:C41"/>
    <mergeCell ref="B14:C14"/>
    <mergeCell ref="B15:C15"/>
    <mergeCell ref="B16:C16"/>
    <mergeCell ref="B17:C17"/>
    <mergeCell ref="B30:C30"/>
    <mergeCell ref="B19:C19"/>
    <mergeCell ref="B20:C20"/>
    <mergeCell ref="B21:C21"/>
    <mergeCell ref="B22:C22"/>
    <mergeCell ref="B23:C23"/>
    <mergeCell ref="B24:C24"/>
    <mergeCell ref="B25:C25"/>
    <mergeCell ref="B26:C26"/>
    <mergeCell ref="B27:C27"/>
    <mergeCell ref="B28:C28"/>
    <mergeCell ref="B29:C29"/>
    <mergeCell ref="D58:E58"/>
    <mergeCell ref="D59:E59"/>
    <mergeCell ref="B6:C6"/>
    <mergeCell ref="A1:I1"/>
    <mergeCell ref="A2:B2"/>
    <mergeCell ref="A3:B3"/>
    <mergeCell ref="B4:C4"/>
    <mergeCell ref="B5:C5"/>
    <mergeCell ref="B18:C18"/>
    <mergeCell ref="B7:C7"/>
    <mergeCell ref="B8:C8"/>
    <mergeCell ref="B9:C9"/>
    <mergeCell ref="B10:C10"/>
    <mergeCell ref="B11:C11"/>
    <mergeCell ref="B12:C12"/>
    <mergeCell ref="B13:C13"/>
  </mergeCells>
  <pageMargins left="0.7" right="0.41" top="0.28000000000000003" bottom="0.32" header="0.3" footer="0.3"/>
  <pageSetup scale="99" orientation="portrait" r:id="rId1"/>
  <ignoredErrors>
    <ignoredError sqref="I31:I32 I47:I50 I42:I45 I12 I34:I38 I40" formulaRange="1"/>
    <ignoredError sqref="I6 I13 E33" formula="1"/>
  </ignoredErrors>
</worksheet>
</file>

<file path=xl/worksheets/sheet21.xml><?xml version="1.0" encoding="utf-8"?>
<worksheet xmlns="http://schemas.openxmlformats.org/spreadsheetml/2006/main" xmlns:r="http://schemas.openxmlformats.org/officeDocument/2006/relationships">
  <sheetPr>
    <pageSetUpPr fitToPage="1"/>
  </sheetPr>
  <dimension ref="B1:O452"/>
  <sheetViews>
    <sheetView topLeftCell="A411" workbookViewId="0">
      <selection activeCell="B392" sqref="B392:G450"/>
    </sheetView>
  </sheetViews>
  <sheetFormatPr defaultColWidth="4.7109375" defaultRowHeight="12" outlineLevelRow="1"/>
  <cols>
    <col min="1" max="1" width="4.7109375" style="196"/>
    <col min="2" max="2" width="6.7109375" style="196" customWidth="1"/>
    <col min="3" max="3" width="4.7109375" style="196" customWidth="1"/>
    <col min="4" max="4" width="51.5703125" style="204" customWidth="1"/>
    <col min="5" max="5" width="5.5703125" style="196" customWidth="1"/>
    <col min="6" max="6" width="15" style="196" bestFit="1" customWidth="1"/>
    <col min="7" max="7" width="13.140625" style="196" customWidth="1"/>
    <col min="8" max="8" width="4.7109375" style="196"/>
    <col min="9" max="9" width="13.28515625" style="198" customWidth="1"/>
    <col min="10" max="10" width="12.7109375" style="196" bestFit="1" customWidth="1"/>
    <col min="11" max="11" width="9.140625" style="196" customWidth="1"/>
    <col min="12" max="12" width="11.7109375" style="196" bestFit="1" customWidth="1"/>
    <col min="13" max="13" width="11.140625" style="196" bestFit="1" customWidth="1"/>
    <col min="14" max="14" width="9.85546875" style="196" bestFit="1" customWidth="1"/>
    <col min="15" max="15" width="11.140625" style="196" bestFit="1" customWidth="1"/>
    <col min="16" max="16384" width="4.7109375" style="196"/>
  </cols>
  <sheetData>
    <row r="1" spans="2:15" ht="12.75" hidden="1" outlineLevel="1">
      <c r="B1" s="918" t="s">
        <v>997</v>
      </c>
      <c r="C1" s="205"/>
      <c r="D1" s="718"/>
      <c r="E1" s="238"/>
      <c r="F1" s="205"/>
      <c r="G1" s="950" t="s">
        <v>998</v>
      </c>
      <c r="I1" s="1067" t="s">
        <v>292</v>
      </c>
      <c r="J1" s="1068"/>
      <c r="K1" s="440" t="s">
        <v>1707</v>
      </c>
      <c r="L1" s="1069" t="s">
        <v>1708</v>
      </c>
      <c r="M1" s="1070"/>
      <c r="N1" s="1069" t="s">
        <v>1709</v>
      </c>
      <c r="O1" s="1070"/>
    </row>
    <row r="2" spans="2:15" ht="12.75" hidden="1" outlineLevel="1">
      <c r="B2" s="205"/>
      <c r="C2" s="205"/>
      <c r="D2" s="718"/>
      <c r="E2" s="238"/>
      <c r="F2" s="205"/>
      <c r="G2" s="950" t="s">
        <v>999</v>
      </c>
      <c r="I2" s="442" t="s">
        <v>1711</v>
      </c>
      <c r="J2" s="442" t="s">
        <v>1712</v>
      </c>
      <c r="K2" s="440" t="s">
        <v>1713</v>
      </c>
      <c r="L2" s="443" t="s">
        <v>2769</v>
      </c>
      <c r="M2" s="443" t="s">
        <v>2770</v>
      </c>
      <c r="N2" s="443" t="s">
        <v>2769</v>
      </c>
      <c r="O2" s="443" t="s">
        <v>2770</v>
      </c>
    </row>
    <row r="3" spans="2:15" ht="13.5" hidden="1" customHeight="1" outlineLevel="1">
      <c r="B3" s="918"/>
      <c r="C3" s="205"/>
      <c r="D3" s="718"/>
      <c r="E3" s="205"/>
      <c r="F3" s="205"/>
      <c r="G3" s="205"/>
      <c r="I3" s="446">
        <v>43070</v>
      </c>
      <c r="J3" s="446">
        <v>43100</v>
      </c>
      <c r="K3" s="375"/>
      <c r="L3" s="381">
        <f>+SUMIFS(JURNAL!G:G,JURNAL!E:E,120700,JURNAL!C:C,"&gt;="&amp;I3,JURNAL!C:C,"&lt;="&amp;J3)-K3</f>
        <v>0</v>
      </c>
      <c r="M3" s="381">
        <f>+SUMIFS(JURNAL!H:H,JURNAL!E:E,310600,JURNAL!C:C,"&gt;="&amp;I3,JURNAL!C:C,"&lt;="&amp;J3)</f>
        <v>0</v>
      </c>
      <c r="N3" s="381">
        <f>+STAT1!V26</f>
        <v>99989.61</v>
      </c>
      <c r="O3" s="381">
        <v>0</v>
      </c>
    </row>
    <row r="4" spans="2:15" ht="26.25" hidden="1" customHeight="1" outlineLevel="1">
      <c r="B4" s="353"/>
      <c r="C4" s="951"/>
      <c r="D4" s="1089" t="s">
        <v>1000</v>
      </c>
      <c r="E4" s="1089"/>
      <c r="F4" s="1089"/>
      <c r="G4" s="1089"/>
      <c r="I4" s="446">
        <v>43101</v>
      </c>
      <c r="J4" s="446">
        <v>43131</v>
      </c>
      <c r="K4" s="375"/>
      <c r="L4" s="381">
        <f>+SUMIFS(JURNAL!G:G,JURNAL!E:E,120700,JURNAL!C:C,"&gt;="&amp;I4,JURNAL!C:C,"&lt;="&amp;J4)-K4</f>
        <v>0</v>
      </c>
      <c r="M4" s="381">
        <f>+SUMIFS(JURNAL!H:H,JURNAL!E:E,310600,JURNAL!C:C,"&gt;="&amp;I4,JURNAL!C:C,"&lt;="&amp;J4)</f>
        <v>0</v>
      </c>
      <c r="N4" s="381">
        <f>+IF((N3+K4+L4-O3-M4)&gt;0,(N3+K4+L4-O3-M4),0)</f>
        <v>99989.61</v>
      </c>
      <c r="O4" s="381">
        <f>+IF((O3+M4-N3-K4-L4)&gt;0,(O3+M4-N3-K4-L4),0)</f>
        <v>0</v>
      </c>
    </row>
    <row r="5" spans="2:15" ht="12.75" hidden="1" outlineLevel="1">
      <c r="B5" s="918"/>
      <c r="C5" s="205"/>
      <c r="D5" s="718"/>
      <c r="E5" s="205"/>
      <c r="F5" s="205"/>
      <c r="G5" s="205"/>
      <c r="I5" s="446">
        <v>43132</v>
      </c>
      <c r="J5" s="446">
        <v>43159</v>
      </c>
      <c r="K5" s="381"/>
      <c r="L5" s="381">
        <f>+SUMIFS(JURNAL!G:G,JURNAL!E:E,120700,JURNAL!C:C,"&gt;="&amp;I5,JURNAL!C:C,"&lt;="&amp;J5)-K5</f>
        <v>0</v>
      </c>
      <c r="M5" s="381">
        <f>+SUMIFS(JURNAL!H:H,JURNAL!E:E,310600,JURNAL!C:C,"&gt;="&amp;I5,JURNAL!C:C,"&lt;="&amp;J5)</f>
        <v>0</v>
      </c>
      <c r="N5" s="381">
        <f t="shared" ref="N5:N15" si="0">+IF((N4+K5+L5-O4-M5)&gt;0,(N4+K5+L5-O4-M5),0)</f>
        <v>99989.61</v>
      </c>
      <c r="O5" s="381">
        <f t="shared" ref="O5:O15" si="1">+IF((O4+M5-N4-K5-L5)&gt;0,(O4+M5-N4-K5-L5),0)</f>
        <v>0</v>
      </c>
    </row>
    <row r="6" spans="2:15" ht="15.75" hidden="1" customHeight="1" outlineLevel="1" thickBot="1">
      <c r="B6" s="1078" t="s">
        <v>1001</v>
      </c>
      <c r="C6" s="1078"/>
      <c r="D6" s="1078"/>
      <c r="E6" s="1078"/>
      <c r="F6" s="1078"/>
      <c r="G6" s="1078"/>
      <c r="I6" s="446">
        <v>43160</v>
      </c>
      <c r="J6" s="446">
        <v>43190</v>
      </c>
      <c r="K6" s="381"/>
      <c r="L6" s="381">
        <f>+SUMIFS(JURNAL!G:G,JURNAL!E:E,120700,JURNAL!C:C,"&gt;="&amp;I6,JURNAL!C:C,"&lt;="&amp;J6)-K6</f>
        <v>0</v>
      </c>
      <c r="M6" s="381">
        <f>+SUMIFS(JURNAL!H:H,JURNAL!E:E,310600,JURNAL!C:C,"&gt;="&amp;I6,JURNAL!C:C,"&lt;="&amp;J6)</f>
        <v>0</v>
      </c>
      <c r="N6" s="381">
        <f t="shared" si="0"/>
        <v>99989.61</v>
      </c>
      <c r="O6" s="381">
        <f t="shared" si="1"/>
        <v>0</v>
      </c>
    </row>
    <row r="7" spans="2:15" ht="9.75" hidden="1" customHeight="1" outlineLevel="1" thickTop="1">
      <c r="B7" s="918"/>
      <c r="C7" s="205"/>
      <c r="D7" s="718"/>
      <c r="E7" s="205"/>
      <c r="F7" s="205"/>
      <c r="G7" s="205"/>
      <c r="I7" s="446">
        <v>43191</v>
      </c>
      <c r="J7" s="446">
        <v>43220</v>
      </c>
      <c r="K7" s="381"/>
      <c r="L7" s="381">
        <f>+SUMIFS(JURNAL!G:G,JURNAL!E:E,120700,JURNAL!C:C,"&gt;="&amp;I7,JURNAL!C:C,"&lt;="&amp;J7)-K7</f>
        <v>0</v>
      </c>
      <c r="M7" s="381">
        <f>+SUMIFS(JURNAL!H:H,JURNAL!E:E,310600,JURNAL!C:C,"&gt;="&amp;I7,JURNAL!C:C,"&lt;="&amp;J7)</f>
        <v>0</v>
      </c>
      <c r="N7" s="381">
        <f t="shared" si="0"/>
        <v>99989.61</v>
      </c>
      <c r="O7" s="381">
        <f t="shared" si="1"/>
        <v>0</v>
      </c>
    </row>
    <row r="8" spans="2:15" s="238" customFormat="1" ht="12.75" hidden="1" outlineLevel="1">
      <c r="B8" s="918" t="s">
        <v>2754</v>
      </c>
      <c r="C8" s="205"/>
      <c r="D8" s="205"/>
      <c r="E8" s="918" t="s">
        <v>2755</v>
      </c>
      <c r="F8" s="205"/>
      <c r="G8" s="205"/>
      <c r="I8" s="446">
        <v>43221</v>
      </c>
      <c r="J8" s="446">
        <v>43251</v>
      </c>
      <c r="K8" s="381"/>
      <c r="L8" s="381">
        <f>+SUMIFS(JURNAL!G:G,JURNAL!E:E,120700,JURNAL!C:C,"&gt;="&amp;I8,JURNAL!C:C,"&lt;="&amp;J8)-K8</f>
        <v>0</v>
      </c>
      <c r="M8" s="381">
        <f>+SUMIFS(JURNAL!H:H,JURNAL!E:E,310600,JURNAL!C:C,"&gt;="&amp;I8,JURNAL!C:C,"&lt;="&amp;J8)</f>
        <v>0</v>
      </c>
      <c r="N8" s="381">
        <f t="shared" si="0"/>
        <v>99989.61</v>
      </c>
      <c r="O8" s="381">
        <f t="shared" si="1"/>
        <v>0</v>
      </c>
    </row>
    <row r="9" spans="2:15" s="238" customFormat="1" ht="12.75" hidden="1" outlineLevel="1">
      <c r="B9" s="918" t="s">
        <v>2756</v>
      </c>
      <c r="C9" s="205"/>
      <c r="D9" s="718"/>
      <c r="E9" s="205"/>
      <c r="F9" s="205"/>
      <c r="G9" s="205"/>
      <c r="I9" s="446">
        <v>43252</v>
      </c>
      <c r="J9" s="446">
        <v>43281</v>
      </c>
      <c r="K9" s="381"/>
      <c r="L9" s="381">
        <f>+SUMIFS(JURNAL!G:G,JURNAL!E:E,120700,JURNAL!C:C,"&gt;="&amp;I9,JURNAL!C:C,"&lt;="&amp;J9)-K9</f>
        <v>0</v>
      </c>
      <c r="M9" s="381">
        <f>+SUMIFS(JURNAL!H:H,JURNAL!E:E,310600,JURNAL!C:C,"&gt;="&amp;I9,JURNAL!C:C,"&lt;="&amp;J9)</f>
        <v>0</v>
      </c>
      <c r="N9" s="381">
        <f t="shared" si="0"/>
        <v>99989.61</v>
      </c>
      <c r="O9" s="381">
        <f t="shared" si="1"/>
        <v>0</v>
      </c>
    </row>
    <row r="10" spans="2:15" s="238" customFormat="1" ht="12.75" hidden="1" outlineLevel="1">
      <c r="B10" s="918" t="s">
        <v>1002</v>
      </c>
      <c r="C10" s="205"/>
      <c r="D10" s="718"/>
      <c r="E10" s="205"/>
      <c r="F10" s="205"/>
      <c r="G10" s="205"/>
      <c r="I10" s="446">
        <v>43282</v>
      </c>
      <c r="J10" s="446">
        <v>43312</v>
      </c>
      <c r="K10" s="381"/>
      <c r="L10" s="381">
        <f>+SUMIFS(JURNAL!G:G,JURNAL!E:E,120700,JURNAL!C:C,"&gt;="&amp;I10,JURNAL!C:C,"&lt;="&amp;J10)-K10</f>
        <v>0</v>
      </c>
      <c r="M10" s="381">
        <f>+SUMIFS(JURNAL!H:H,JURNAL!E:E,310600,JURNAL!C:C,"&gt;="&amp;I10,JURNAL!C:C,"&lt;="&amp;J10)</f>
        <v>0</v>
      </c>
      <c r="N10" s="381">
        <f t="shared" si="0"/>
        <v>99989.61</v>
      </c>
      <c r="O10" s="381">
        <f t="shared" si="1"/>
        <v>0</v>
      </c>
    </row>
    <row r="11" spans="2:15" s="238" customFormat="1" ht="11.25" hidden="1" customHeight="1" outlineLevel="1">
      <c r="B11" s="280" t="s">
        <v>2733</v>
      </c>
      <c r="C11" s="205"/>
      <c r="D11" s="205"/>
      <c r="E11" s="205"/>
      <c r="F11" s="205"/>
      <c r="G11" s="205"/>
      <c r="I11" s="446">
        <v>43313</v>
      </c>
      <c r="J11" s="446">
        <v>43343</v>
      </c>
      <c r="K11" s="381"/>
      <c r="L11" s="381">
        <f>+SUMIFS(JURNAL!G:G,JURNAL!E:E,120700,JURNAL!C:C,"&gt;="&amp;I11,JURNAL!C:C,"&lt;="&amp;J11)-K11</f>
        <v>0</v>
      </c>
      <c r="M11" s="381">
        <f>+SUMIFS(JURNAL!H:H,JURNAL!E:E,310600,JURNAL!C:C,"&gt;="&amp;I11,JURNAL!C:C,"&lt;="&amp;J11)</f>
        <v>0</v>
      </c>
      <c r="N11" s="381">
        <f t="shared" si="0"/>
        <v>99989.61</v>
      </c>
      <c r="O11" s="381">
        <f t="shared" si="1"/>
        <v>0</v>
      </c>
    </row>
    <row r="12" spans="2:15" s="238" customFormat="1" ht="11.25" hidden="1" customHeight="1" outlineLevel="1">
      <c r="B12" s="280" t="s">
        <v>2734</v>
      </c>
      <c r="C12" s="205"/>
      <c r="D12" s="205"/>
      <c r="E12" s="205"/>
      <c r="F12" s="205"/>
      <c r="G12" s="205"/>
      <c r="I12" s="446">
        <v>43344</v>
      </c>
      <c r="J12" s="446">
        <v>43373</v>
      </c>
      <c r="K12" s="381"/>
      <c r="L12" s="381">
        <f>+SUMIFS(JURNAL!G:G,JURNAL!E:E,120700,JURNAL!C:C,"&gt;="&amp;I12,JURNAL!C:C,"&lt;="&amp;J12)-K12</f>
        <v>0</v>
      </c>
      <c r="M12" s="381">
        <f>+SUMIFS(JURNAL!H:H,JURNAL!E:E,310600,JURNAL!C:C,"&gt;="&amp;I12,JURNAL!C:C,"&lt;="&amp;J12)</f>
        <v>0</v>
      </c>
      <c r="N12" s="381">
        <f t="shared" si="0"/>
        <v>99989.61</v>
      </c>
      <c r="O12" s="381">
        <f t="shared" si="1"/>
        <v>0</v>
      </c>
    </row>
    <row r="13" spans="2:15" s="238" customFormat="1" ht="11.25" hidden="1" customHeight="1" outlineLevel="1">
      <c r="B13" s="280"/>
      <c r="C13" s="205"/>
      <c r="D13" s="718"/>
      <c r="E13" s="205"/>
      <c r="F13" s="205"/>
      <c r="G13" s="205"/>
      <c r="I13" s="446">
        <v>43374</v>
      </c>
      <c r="J13" s="446">
        <v>43404</v>
      </c>
      <c r="K13" s="381"/>
      <c r="L13" s="381">
        <f>+SUMIFS(JURNAL!G:G,JURNAL!E:E,120700,JURNAL!C:C,"&gt;="&amp;I13,JURNAL!C:C,"&lt;="&amp;J13)-K13</f>
        <v>0</v>
      </c>
      <c r="M13" s="381">
        <f>+SUMIFS(JURNAL!H:H,JURNAL!E:E,310600,JURNAL!C:C,"&gt;="&amp;I13,JURNAL!C:C,"&lt;="&amp;J13)</f>
        <v>0</v>
      </c>
      <c r="N13" s="381">
        <f t="shared" si="0"/>
        <v>99989.61</v>
      </c>
      <c r="O13" s="381">
        <f t="shared" si="1"/>
        <v>0</v>
      </c>
    </row>
    <row r="14" spans="2:15" s="238" customFormat="1" ht="11.25" hidden="1" customHeight="1" outlineLevel="1">
      <c r="B14" s="280" t="s">
        <v>2757</v>
      </c>
      <c r="C14" s="205"/>
      <c r="D14" s="718"/>
      <c r="E14" s="205" t="str">
        <f>+CONCATENATE('[5]company '!B16,'[5]company '!C16)</f>
        <v>Утас2:99119765  99066093</v>
      </c>
      <c r="F14" s="205"/>
      <c r="G14" s="205"/>
      <c r="I14" s="446">
        <v>43405</v>
      </c>
      <c r="J14" s="446">
        <v>43434</v>
      </c>
      <c r="K14" s="375"/>
      <c r="L14" s="381">
        <f>+SUMIFS(JURNAL!G:G,JURNAL!E:E,120700,JURNAL!C:C,"&gt;="&amp;I14,JURNAL!C:C,"&lt;="&amp;J14)-K14</f>
        <v>0</v>
      </c>
      <c r="M14" s="381">
        <f>+SUMIFS(JURNAL!H:H,JURNAL!E:E,310600,JURNAL!C:C,"&gt;="&amp;I14,JURNAL!C:C,"&lt;="&amp;J14)</f>
        <v>0</v>
      </c>
      <c r="N14" s="381">
        <f t="shared" si="0"/>
        <v>99989.61</v>
      </c>
      <c r="O14" s="381">
        <f t="shared" si="1"/>
        <v>0</v>
      </c>
    </row>
    <row r="15" spans="2:15" s="238" customFormat="1" ht="11.25" hidden="1" customHeight="1" outlineLevel="1">
      <c r="B15" s="280" t="s">
        <v>1268</v>
      </c>
      <c r="C15" s="205"/>
      <c r="D15" s="718"/>
      <c r="E15" s="205"/>
      <c r="F15" s="205"/>
      <c r="G15" s="205"/>
      <c r="I15" s="446">
        <v>43435</v>
      </c>
      <c r="J15" s="446">
        <v>43465</v>
      </c>
      <c r="K15" s="381"/>
      <c r="L15" s="381">
        <f>+SUMIFS(JURNAL!G:G,JURNAL!E:E,120700,JURNAL!C:C,"&gt;="&amp;I15,JURNAL!C:C,"&lt;="&amp;J15)-K15</f>
        <v>0</v>
      </c>
      <c r="M15" s="381">
        <f>+SUMIFS(JURNAL!H:H,JURNAL!E:E,310600,JURNAL!C:C,"&gt;="&amp;I15,JURNAL!C:C,"&lt;="&amp;J15)</f>
        <v>0</v>
      </c>
      <c r="N15" s="381">
        <f t="shared" si="0"/>
        <v>99989.61</v>
      </c>
      <c r="O15" s="381">
        <f t="shared" si="1"/>
        <v>0</v>
      </c>
    </row>
    <row r="16" spans="2:15" s="238" customFormat="1" ht="11.25" hidden="1" customHeight="1" outlineLevel="1">
      <c r="B16" s="918" t="s">
        <v>2758</v>
      </c>
      <c r="C16" s="205"/>
      <c r="D16" s="287"/>
      <c r="E16" s="205"/>
      <c r="F16" s="205"/>
      <c r="G16" s="205"/>
      <c r="I16" s="446" t="s">
        <v>1723</v>
      </c>
      <c r="J16" s="446"/>
      <c r="K16" s="381">
        <f>SUM(K4:K15)</f>
        <v>0</v>
      </c>
      <c r="L16" s="381">
        <f>+SUMIFS(JURNAL!G:G,JURNAL!E:E,120800,JURNAL!C:C,"&gt;="&amp;I16,JURNAL!C:C,"&lt;="&amp;J16)-K16</f>
        <v>0</v>
      </c>
      <c r="M16" s="381">
        <f>SUM(M4:M15)</f>
        <v>0</v>
      </c>
      <c r="N16" s="381"/>
      <c r="O16" s="381"/>
    </row>
    <row r="17" spans="2:11" s="238" customFormat="1" ht="11.25" hidden="1" customHeight="1" outlineLevel="1">
      <c r="B17" s="719" t="s">
        <v>1003</v>
      </c>
      <c r="C17" s="205"/>
      <c r="D17" s="287"/>
      <c r="E17" s="205"/>
      <c r="F17" s="205"/>
      <c r="G17" s="205"/>
      <c r="I17" s="94"/>
      <c r="J17" s="353"/>
      <c r="K17" s="353"/>
    </row>
    <row r="18" spans="2:11" s="238" customFormat="1" ht="11.25" hidden="1" customHeight="1" outlineLevel="1">
      <c r="B18" s="918" t="s">
        <v>2310</v>
      </c>
      <c r="C18" s="205"/>
      <c r="D18" s="287"/>
      <c r="E18" s="205"/>
      <c r="F18" s="205"/>
      <c r="G18" s="205"/>
      <c r="I18" s="94"/>
      <c r="J18" s="353"/>
      <c r="K18" s="353"/>
    </row>
    <row r="19" spans="2:11" s="238" customFormat="1" ht="11.25" hidden="1" customHeight="1" outlineLevel="1">
      <c r="B19" s="918" t="s">
        <v>2745</v>
      </c>
      <c r="C19" s="205"/>
      <c r="D19" s="718"/>
      <c r="E19" s="205"/>
      <c r="F19" s="205"/>
      <c r="G19" s="205"/>
      <c r="I19" s="87"/>
    </row>
    <row r="20" spans="2:11" s="238" customFormat="1" ht="11.25" hidden="1" customHeight="1" outlineLevel="1">
      <c r="B20" s="918" t="s">
        <v>1004</v>
      </c>
      <c r="C20" s="205"/>
      <c r="D20" s="718"/>
      <c r="E20" s="205"/>
      <c r="F20" s="205"/>
      <c r="G20" s="205"/>
      <c r="I20" s="87"/>
    </row>
    <row r="21" spans="2:11" s="238" customFormat="1" ht="11.25" hidden="1" customHeight="1" outlineLevel="1">
      <c r="B21" s="918" t="s">
        <v>1005</v>
      </c>
      <c r="C21" s="205"/>
      <c r="D21" s="718"/>
      <c r="E21" s="205"/>
      <c r="F21" s="205"/>
      <c r="G21" s="205"/>
      <c r="I21" s="87"/>
    </row>
    <row r="22" spans="2:11" s="238" customFormat="1" ht="11.25" hidden="1" customHeight="1" outlineLevel="1">
      <c r="B22" s="1088" t="s">
        <v>1006</v>
      </c>
      <c r="C22" s="1088"/>
      <c r="D22" s="1088"/>
      <c r="E22" s="205"/>
      <c r="F22" s="206"/>
      <c r="G22" s="205"/>
      <c r="I22" s="87"/>
    </row>
    <row r="23" spans="2:11" s="238" customFormat="1" ht="11.25" hidden="1" customHeight="1" outlineLevel="1">
      <c r="B23" s="720" t="s">
        <v>1007</v>
      </c>
      <c r="C23" s="205"/>
      <c r="D23" s="718"/>
      <c r="E23" s="205"/>
      <c r="G23" s="721" t="s">
        <v>1008</v>
      </c>
      <c r="I23" s="87"/>
    </row>
    <row r="24" spans="2:11" s="238" customFormat="1" ht="39" hidden="1" customHeight="1" outlineLevel="1">
      <c r="B24" s="1084" t="s">
        <v>1009</v>
      </c>
      <c r="C24" s="1084"/>
      <c r="D24" s="1084"/>
      <c r="E24" s="919" t="s">
        <v>1010</v>
      </c>
      <c r="F24" s="952" t="s">
        <v>1011</v>
      </c>
      <c r="G24" s="952" t="s">
        <v>1012</v>
      </c>
      <c r="I24" s="87"/>
    </row>
    <row r="25" spans="2:11" s="238" customFormat="1" ht="11.25" hidden="1" customHeight="1" outlineLevel="1">
      <c r="B25" s="1075" t="s">
        <v>1013</v>
      </c>
      <c r="C25" s="1075"/>
      <c r="D25" s="1075"/>
      <c r="E25" s="722">
        <v>1</v>
      </c>
      <c r="F25" s="723">
        <f>+F26+F27+F28+F29+F30</f>
        <v>35254780.178181812</v>
      </c>
      <c r="G25" s="724"/>
      <c r="I25" s="87"/>
      <c r="J25" s="79"/>
    </row>
    <row r="26" spans="2:11" s="238" customFormat="1" ht="11.25" hidden="1" customHeight="1" outlineLevel="1">
      <c r="B26" s="1085" t="s">
        <v>1014</v>
      </c>
      <c r="C26" s="1071" t="s">
        <v>1015</v>
      </c>
      <c r="D26" s="1071"/>
      <c r="E26" s="725">
        <f>1+E25</f>
        <v>2</v>
      </c>
      <c r="F26" s="726"/>
      <c r="G26" s="727"/>
      <c r="I26" s="87"/>
    </row>
    <row r="27" spans="2:11" s="238" customFormat="1" ht="12.75" hidden="1" customHeight="1" outlineLevel="1">
      <c r="B27" s="1085"/>
      <c r="C27" s="1071" t="s">
        <v>1016</v>
      </c>
      <c r="D27" s="1071"/>
      <c r="E27" s="725">
        <f t="shared" ref="E27:E54" si="2">1+E26</f>
        <v>3</v>
      </c>
      <c r="F27" s="953">
        <f>+F58+F60+F65+F67+F69</f>
        <v>0</v>
      </c>
      <c r="G27" s="727"/>
      <c r="I27" s="87"/>
    </row>
    <row r="28" spans="2:11" s="238" customFormat="1" ht="11.25" hidden="1" customHeight="1" outlineLevel="1">
      <c r="B28" s="1085"/>
      <c r="C28" s="1071" t="s">
        <v>1017</v>
      </c>
      <c r="D28" s="1071"/>
      <c r="E28" s="725">
        <f t="shared" si="2"/>
        <v>4</v>
      </c>
      <c r="F28" s="726"/>
      <c r="G28" s="727"/>
      <c r="I28" s="87"/>
    </row>
    <row r="29" spans="2:11" s="238" customFormat="1" ht="11.25" hidden="1" customHeight="1" outlineLevel="1">
      <c r="B29" s="1085"/>
      <c r="C29" s="1071" t="s">
        <v>2759</v>
      </c>
      <c r="D29" s="1071"/>
      <c r="E29" s="725">
        <f t="shared" si="2"/>
        <v>5</v>
      </c>
      <c r="F29" s="726">
        <f>+'TT-z'!I53</f>
        <v>0</v>
      </c>
      <c r="G29" s="727"/>
      <c r="I29" s="87"/>
    </row>
    <row r="30" spans="2:11" s="238" customFormat="1" ht="11.25" hidden="1" customHeight="1" outlineLevel="1">
      <c r="B30" s="1085"/>
      <c r="C30" s="1071" t="s">
        <v>1019</v>
      </c>
      <c r="D30" s="1071"/>
      <c r="E30" s="725">
        <f t="shared" si="2"/>
        <v>6</v>
      </c>
      <c r="F30" s="726">
        <f>SUM(F31:F41)</f>
        <v>35254780.178181812</v>
      </c>
      <c r="G30" s="727"/>
      <c r="I30" s="87"/>
    </row>
    <row r="31" spans="2:11" s="238" customFormat="1" ht="11.25" hidden="1" customHeight="1" outlineLevel="1">
      <c r="B31" s="1085"/>
      <c r="C31" s="1085" t="s">
        <v>1014</v>
      </c>
      <c r="D31" s="920" t="s">
        <v>1020</v>
      </c>
      <c r="E31" s="725">
        <f t="shared" si="2"/>
        <v>7</v>
      </c>
      <c r="F31" s="726">
        <f>+IS!E7</f>
        <v>35254780.178181812</v>
      </c>
      <c r="G31" s="727"/>
      <c r="I31" s="87"/>
    </row>
    <row r="32" spans="2:11" s="238" customFormat="1" ht="12.75" hidden="1" outlineLevel="1">
      <c r="B32" s="1085"/>
      <c r="C32" s="1085"/>
      <c r="D32" s="920" t="s">
        <v>1021</v>
      </c>
      <c r="E32" s="725">
        <f t="shared" si="2"/>
        <v>8</v>
      </c>
      <c r="F32" s="726"/>
      <c r="G32" s="727"/>
      <c r="I32" s="87"/>
    </row>
    <row r="33" spans="2:12" s="238" customFormat="1" ht="12.75" hidden="1" outlineLevel="1">
      <c r="B33" s="1085"/>
      <c r="C33" s="1085"/>
      <c r="D33" s="920" t="s">
        <v>1022</v>
      </c>
      <c r="E33" s="725">
        <f t="shared" si="2"/>
        <v>9</v>
      </c>
      <c r="F33" s="726"/>
      <c r="G33" s="727"/>
      <c r="I33" s="79"/>
    </row>
    <row r="34" spans="2:12" s="238" customFormat="1" ht="12.75" hidden="1" outlineLevel="1">
      <c r="B34" s="1085"/>
      <c r="C34" s="1085"/>
      <c r="D34" s="920" t="s">
        <v>1023</v>
      </c>
      <c r="E34" s="725">
        <f t="shared" si="2"/>
        <v>10</v>
      </c>
      <c r="F34" s="726"/>
      <c r="G34" s="727"/>
    </row>
    <row r="35" spans="2:12" s="238" customFormat="1" ht="12.75" hidden="1" outlineLevel="1">
      <c r="B35" s="1085"/>
      <c r="C35" s="1085"/>
      <c r="D35" s="920" t="s">
        <v>828</v>
      </c>
      <c r="E35" s="725">
        <f t="shared" si="2"/>
        <v>11</v>
      </c>
      <c r="F35" s="726"/>
      <c r="G35" s="727"/>
    </row>
    <row r="36" spans="2:12" s="238" customFormat="1" ht="25.5" hidden="1" outlineLevel="1">
      <c r="B36" s="1085"/>
      <c r="C36" s="1085"/>
      <c r="D36" s="920" t="s">
        <v>1024</v>
      </c>
      <c r="E36" s="725">
        <f t="shared" si="2"/>
        <v>12</v>
      </c>
      <c r="F36" s="726"/>
      <c r="G36" s="727"/>
    </row>
    <row r="37" spans="2:12" s="238" customFormat="1" ht="25.5" hidden="1" outlineLevel="1">
      <c r="B37" s="1085"/>
      <c r="C37" s="1085"/>
      <c r="D37" s="920" t="s">
        <v>1025</v>
      </c>
      <c r="E37" s="725">
        <f t="shared" si="2"/>
        <v>13</v>
      </c>
      <c r="F37" s="726"/>
      <c r="G37" s="727"/>
    </row>
    <row r="38" spans="2:12" s="238" customFormat="1" ht="12.75" hidden="1" outlineLevel="1">
      <c r="B38" s="1085"/>
      <c r="C38" s="1085"/>
      <c r="D38" s="920" t="s">
        <v>1026</v>
      </c>
      <c r="E38" s="725">
        <f t="shared" si="2"/>
        <v>14</v>
      </c>
      <c r="F38" s="381">
        <f>+STAT1!S197</f>
        <v>0</v>
      </c>
      <c r="G38" s="727"/>
    </row>
    <row r="39" spans="2:12" s="238" customFormat="1" ht="12.75" hidden="1" outlineLevel="1">
      <c r="B39" s="1085"/>
      <c r="C39" s="1085"/>
      <c r="D39" s="920" t="s">
        <v>1027</v>
      </c>
      <c r="E39" s="725">
        <f t="shared" si="2"/>
        <v>15</v>
      </c>
      <c r="F39" s="726"/>
      <c r="G39" s="727"/>
    </row>
    <row r="40" spans="2:12" s="238" customFormat="1" ht="12.75" hidden="1" outlineLevel="1">
      <c r="B40" s="1085"/>
      <c r="C40" s="1085"/>
      <c r="D40" s="920" t="s">
        <v>1028</v>
      </c>
      <c r="E40" s="725">
        <f t="shared" si="2"/>
        <v>16</v>
      </c>
      <c r="F40" s="726"/>
      <c r="G40" s="727"/>
    </row>
    <row r="41" spans="2:12" s="238" customFormat="1" ht="12.75" hidden="1" outlineLevel="1">
      <c r="B41" s="1085"/>
      <c r="C41" s="1085"/>
      <c r="D41" s="920" t="s">
        <v>1029</v>
      </c>
      <c r="E41" s="725">
        <f t="shared" si="2"/>
        <v>17</v>
      </c>
      <c r="F41" s="726"/>
      <c r="G41" s="727"/>
    </row>
    <row r="42" spans="2:12" s="238" customFormat="1" ht="12.75" hidden="1" customHeight="1" outlineLevel="1">
      <c r="B42" s="1074" t="s">
        <v>1030</v>
      </c>
      <c r="C42" s="1074"/>
      <c r="D42" s="1074"/>
      <c r="E42" s="725">
        <f t="shared" si="2"/>
        <v>18</v>
      </c>
      <c r="F42" s="726">
        <f>+IS!E8</f>
        <v>21396831.513568029</v>
      </c>
      <c r="G42" s="727"/>
    </row>
    <row r="43" spans="2:12" s="238" customFormat="1" ht="12.75" hidden="1" customHeight="1" outlineLevel="1">
      <c r="B43" s="1073" t="s">
        <v>1031</v>
      </c>
      <c r="C43" s="1073"/>
      <c r="D43" s="1073"/>
      <c r="E43" s="725">
        <f t="shared" si="2"/>
        <v>19</v>
      </c>
      <c r="F43" s="726">
        <f>+'TT-02г'!D19</f>
        <v>21396831.512592077</v>
      </c>
      <c r="G43" s="727"/>
      <c r="I43" s="79"/>
    </row>
    <row r="44" spans="2:12" s="238" customFormat="1" ht="12.75" hidden="1" customHeight="1" outlineLevel="1">
      <c r="B44" s="1073" t="s">
        <v>1032</v>
      </c>
      <c r="C44" s="1073"/>
      <c r="D44" s="1073"/>
      <c r="E44" s="725">
        <f t="shared" si="2"/>
        <v>20</v>
      </c>
      <c r="F44" s="726">
        <f>+'TT-z'!E53</f>
        <v>8783.9599999999991</v>
      </c>
      <c r="G44" s="727"/>
      <c r="L44" s="79"/>
    </row>
    <row r="45" spans="2:12" s="238" customFormat="1" ht="12.75" hidden="1" customHeight="1" outlineLevel="1">
      <c r="B45" s="1073" t="s">
        <v>1033</v>
      </c>
      <c r="C45" s="1073"/>
      <c r="D45" s="1073"/>
      <c r="E45" s="725">
        <f t="shared" si="2"/>
        <v>21</v>
      </c>
      <c r="F45" s="723">
        <f>+F25-F42-F43-F44</f>
        <v>-7547666.8079782939</v>
      </c>
      <c r="G45" s="724"/>
      <c r="I45" s="79">
        <f>+IS!I24</f>
        <v>-2910619.7326731938</v>
      </c>
      <c r="J45" s="79"/>
    </row>
    <row r="46" spans="2:12" s="238" customFormat="1" ht="37.5" hidden="1" customHeight="1" outlineLevel="1">
      <c r="B46" s="1083" t="s">
        <v>1034</v>
      </c>
      <c r="C46" s="1083"/>
      <c r="D46" s="1083"/>
      <c r="E46" s="725">
        <f t="shared" si="2"/>
        <v>22</v>
      </c>
      <c r="F46" s="726">
        <f>+'TT-z'!E53</f>
        <v>8783.9599999999991</v>
      </c>
      <c r="G46" s="727"/>
    </row>
    <row r="47" spans="2:12" s="238" customFormat="1" ht="42" hidden="1" customHeight="1" outlineLevel="1">
      <c r="B47" s="1073" t="s">
        <v>1035</v>
      </c>
      <c r="C47" s="1073"/>
      <c r="D47" s="1073"/>
      <c r="E47" s="725">
        <f t="shared" si="2"/>
        <v>23</v>
      </c>
      <c r="F47" s="726">
        <f>+'TT-z'!I53+'TT-z'!I40</f>
        <v>0</v>
      </c>
      <c r="G47" s="727"/>
    </row>
    <row r="48" spans="2:12" s="238" customFormat="1" ht="15" hidden="1" customHeight="1" outlineLevel="1">
      <c r="B48" s="1073" t="s">
        <v>1036</v>
      </c>
      <c r="C48" s="1073"/>
      <c r="D48" s="1073"/>
      <c r="E48" s="725">
        <f t="shared" si="2"/>
        <v>24</v>
      </c>
      <c r="F48" s="728">
        <f>+F45+F46-F47</f>
        <v>-7538882.8479782939</v>
      </c>
      <c r="G48" s="727"/>
      <c r="H48" s="79"/>
      <c r="I48" s="79"/>
      <c r="J48" s="79"/>
    </row>
    <row r="49" spans="2:9" s="238" customFormat="1" ht="12.75" hidden="1" customHeight="1" outlineLevel="1">
      <c r="B49" s="1073" t="s">
        <v>1037</v>
      </c>
      <c r="C49" s="1073"/>
      <c r="D49" s="1073"/>
      <c r="E49" s="725">
        <f t="shared" si="2"/>
        <v>25</v>
      </c>
      <c r="F49" s="726">
        <f>+'TT-z'!H58</f>
        <v>0</v>
      </c>
      <c r="G49" s="727"/>
      <c r="I49" s="87"/>
    </row>
    <row r="50" spans="2:9" s="238" customFormat="1" ht="12.75" hidden="1" customHeight="1" outlineLevel="1">
      <c r="B50" s="1073" t="s">
        <v>1038</v>
      </c>
      <c r="C50" s="1073"/>
      <c r="D50" s="1073"/>
      <c r="E50" s="725">
        <f t="shared" si="2"/>
        <v>26</v>
      </c>
      <c r="F50" s="723">
        <f>+F48+F49</f>
        <v>-7538882.8479782939</v>
      </c>
      <c r="G50" s="727"/>
      <c r="I50" s="87"/>
    </row>
    <row r="51" spans="2:9" s="238" customFormat="1" ht="12.75" hidden="1" customHeight="1" outlineLevel="1">
      <c r="B51" s="1073" t="s">
        <v>1039</v>
      </c>
      <c r="C51" s="1073"/>
      <c r="D51" s="1073"/>
      <c r="E51" s="725">
        <f t="shared" si="2"/>
        <v>27</v>
      </c>
      <c r="F51" s="726">
        <f>+'TT-z'!H59</f>
        <v>0</v>
      </c>
      <c r="G51" s="727"/>
      <c r="I51" s="87"/>
    </row>
    <row r="52" spans="2:9" s="238" customFormat="1" ht="12.75" hidden="1" customHeight="1" outlineLevel="1">
      <c r="B52" s="1073" t="s">
        <v>1040</v>
      </c>
      <c r="C52" s="1073"/>
      <c r="D52" s="1073"/>
      <c r="E52" s="725">
        <f t="shared" si="2"/>
        <v>28</v>
      </c>
      <c r="F52" s="723">
        <f>+F50-F51</f>
        <v>-7538882.8479782939</v>
      </c>
      <c r="G52" s="727"/>
      <c r="I52" s="87"/>
    </row>
    <row r="53" spans="2:9" s="238" customFormat="1" ht="12.75" hidden="1" customHeight="1" outlineLevel="1">
      <c r="B53" s="1073" t="s">
        <v>1041</v>
      </c>
      <c r="C53" s="1073"/>
      <c r="D53" s="1073"/>
      <c r="E53" s="725">
        <f t="shared" si="2"/>
        <v>29</v>
      </c>
      <c r="F53" s="729">
        <f>+IF(F52&gt;0,F52*0.1,0)</f>
        <v>0</v>
      </c>
      <c r="G53" s="727"/>
      <c r="I53" s="87"/>
    </row>
    <row r="54" spans="2:9" s="238" customFormat="1" ht="12.75" hidden="1" customHeight="1" outlineLevel="1">
      <c r="B54" s="1073" t="s">
        <v>1042</v>
      </c>
      <c r="C54" s="1073"/>
      <c r="D54" s="1073"/>
      <c r="E54" s="725">
        <f t="shared" si="2"/>
        <v>30</v>
      </c>
      <c r="F54" s="729"/>
      <c r="G54" s="727"/>
      <c r="I54" s="87"/>
    </row>
    <row r="55" spans="2:9" s="565" customFormat="1" ht="12.75" hidden="1" customHeight="1" outlineLevel="1">
      <c r="B55" s="1075" t="s">
        <v>1043</v>
      </c>
      <c r="C55" s="1075"/>
      <c r="D55" s="1075"/>
      <c r="E55" s="919">
        <v>31</v>
      </c>
      <c r="F55" s="731">
        <f>+F53</f>
        <v>0</v>
      </c>
      <c r="G55" s="731"/>
      <c r="I55" s="87"/>
    </row>
    <row r="56" spans="2:9" s="238" customFormat="1" ht="12.75" hidden="1" outlineLevel="1">
      <c r="B56" s="1076"/>
      <c r="C56" s="1076"/>
      <c r="D56" s="1076"/>
      <c r="E56" s="1076"/>
      <c r="F56" s="1076"/>
      <c r="G56" s="1076"/>
      <c r="I56" s="87"/>
    </row>
    <row r="57" spans="2:9" s="238" customFormat="1" ht="12.75" hidden="1" customHeight="1" outlineLevel="1">
      <c r="B57" s="1077" t="s">
        <v>1044</v>
      </c>
      <c r="C57" s="1077"/>
      <c r="D57" s="1077"/>
      <c r="E57" s="1077"/>
      <c r="F57" s="1077"/>
      <c r="G57" s="1077"/>
      <c r="I57" s="87"/>
    </row>
    <row r="58" spans="2:9" s="238" customFormat="1" ht="12.75" hidden="1" customHeight="1" outlineLevel="1">
      <c r="B58" s="1073" t="s">
        <v>1045</v>
      </c>
      <c r="C58" s="1073"/>
      <c r="D58" s="1073"/>
      <c r="E58" s="732">
        <v>32</v>
      </c>
      <c r="F58" s="729"/>
      <c r="G58" s="733"/>
      <c r="I58" s="87"/>
    </row>
    <row r="59" spans="2:9" s="238" customFormat="1" ht="12.75" hidden="1" customHeight="1" outlineLevel="1">
      <c r="B59" s="375"/>
      <c r="C59" s="1073" t="s">
        <v>1046</v>
      </c>
      <c r="D59" s="1073"/>
      <c r="E59" s="732">
        <f>1+E58</f>
        <v>33</v>
      </c>
      <c r="F59" s="729">
        <f>+F58*40%</f>
        <v>0</v>
      </c>
      <c r="G59" s="729"/>
      <c r="I59" s="87"/>
    </row>
    <row r="60" spans="2:9" s="238" customFormat="1" ht="12.75" hidden="1" customHeight="1" outlineLevel="1">
      <c r="B60" s="1074" t="s">
        <v>1047</v>
      </c>
      <c r="C60" s="1074"/>
      <c r="D60" s="1074"/>
      <c r="E60" s="732">
        <f t="shared" ref="E60:E70" si="3">1+E59</f>
        <v>34</v>
      </c>
      <c r="F60" s="729"/>
      <c r="G60" s="734"/>
      <c r="I60" s="87"/>
    </row>
    <row r="61" spans="2:9" s="238" customFormat="1" ht="12.75" hidden="1" customHeight="1" outlineLevel="1">
      <c r="B61" s="1082"/>
      <c r="C61" s="1074" t="s">
        <v>1048</v>
      </c>
      <c r="D61" s="1074"/>
      <c r="E61" s="732">
        <f t="shared" si="3"/>
        <v>35</v>
      </c>
      <c r="F61" s="729"/>
      <c r="G61" s="734"/>
      <c r="I61" s="87"/>
    </row>
    <row r="62" spans="2:9" s="238" customFormat="1" ht="12.75" hidden="1" customHeight="1" outlineLevel="1">
      <c r="B62" s="1082"/>
      <c r="C62" s="1074" t="s">
        <v>1049</v>
      </c>
      <c r="D62" s="1074"/>
      <c r="E62" s="732">
        <f t="shared" si="3"/>
        <v>36</v>
      </c>
      <c r="F62" s="729"/>
      <c r="G62" s="734"/>
      <c r="I62" s="87"/>
    </row>
    <row r="63" spans="2:9" s="238" customFormat="1" ht="12.75" hidden="1" customHeight="1" outlineLevel="1">
      <c r="B63" s="1082"/>
      <c r="C63" s="1074" t="s">
        <v>1050</v>
      </c>
      <c r="D63" s="1074"/>
      <c r="E63" s="732">
        <f t="shared" si="3"/>
        <v>37</v>
      </c>
      <c r="F63" s="729">
        <f>+F60-F61-F62</f>
        <v>0</v>
      </c>
      <c r="G63" s="729"/>
      <c r="I63" s="87"/>
    </row>
    <row r="64" spans="2:9" s="238" customFormat="1" ht="12.75" hidden="1" customHeight="1" outlineLevel="1">
      <c r="B64" s="1082"/>
      <c r="C64" s="1074" t="s">
        <v>1051</v>
      </c>
      <c r="D64" s="1074"/>
      <c r="E64" s="732">
        <f t="shared" si="3"/>
        <v>38</v>
      </c>
      <c r="F64" s="729">
        <f>+F63*40%</f>
        <v>0</v>
      </c>
      <c r="G64" s="729"/>
      <c r="I64" s="87"/>
    </row>
    <row r="65" spans="2:9" s="238" customFormat="1" ht="12.75" hidden="1" customHeight="1" outlineLevel="1">
      <c r="B65" s="1074" t="s">
        <v>1052</v>
      </c>
      <c r="C65" s="1074"/>
      <c r="D65" s="1074"/>
      <c r="E65" s="732">
        <f t="shared" si="3"/>
        <v>39</v>
      </c>
      <c r="F65" s="600">
        <f>+IS!E11</f>
        <v>0</v>
      </c>
      <c r="G65" s="734"/>
      <c r="I65" s="87"/>
    </row>
    <row r="66" spans="2:9" s="238" customFormat="1" ht="12.75" hidden="1" customHeight="1" outlineLevel="1">
      <c r="B66" s="917"/>
      <c r="C66" s="1074" t="s">
        <v>1053</v>
      </c>
      <c r="D66" s="1074"/>
      <c r="E66" s="732">
        <f t="shared" si="3"/>
        <v>40</v>
      </c>
      <c r="F66" s="600">
        <f>+F65*10%</f>
        <v>0</v>
      </c>
      <c r="G66" s="729"/>
      <c r="I66" s="87"/>
    </row>
    <row r="67" spans="2:9" s="238" customFormat="1" ht="12.75" hidden="1" customHeight="1" outlineLevel="1">
      <c r="B67" s="1074" t="s">
        <v>1054</v>
      </c>
      <c r="C67" s="1074"/>
      <c r="D67" s="1074"/>
      <c r="E67" s="732">
        <f t="shared" si="3"/>
        <v>41</v>
      </c>
      <c r="F67" s="729"/>
      <c r="G67" s="734"/>
      <c r="I67" s="87"/>
    </row>
    <row r="68" spans="2:9" s="238" customFormat="1" ht="12.75" hidden="1" customHeight="1" outlineLevel="1">
      <c r="B68" s="917"/>
      <c r="C68" s="1074" t="s">
        <v>1055</v>
      </c>
      <c r="D68" s="1074"/>
      <c r="E68" s="732">
        <f t="shared" si="3"/>
        <v>42</v>
      </c>
      <c r="F68" s="729"/>
      <c r="G68" s="734"/>
      <c r="I68" s="87"/>
    </row>
    <row r="69" spans="2:9" s="238" customFormat="1" ht="12.75" hidden="1" customHeight="1" outlineLevel="1">
      <c r="B69" s="1074" t="s">
        <v>1056</v>
      </c>
      <c r="C69" s="1074"/>
      <c r="D69" s="1074"/>
      <c r="E69" s="732">
        <f t="shared" si="3"/>
        <v>43</v>
      </c>
      <c r="F69" s="729"/>
      <c r="G69" s="734"/>
      <c r="I69" s="87"/>
    </row>
    <row r="70" spans="2:9" s="238" customFormat="1" ht="12.75" hidden="1" customHeight="1" outlineLevel="1">
      <c r="B70" s="917"/>
      <c r="C70" s="1074" t="s">
        <v>1057</v>
      </c>
      <c r="D70" s="1074"/>
      <c r="E70" s="732">
        <f t="shared" si="3"/>
        <v>44</v>
      </c>
      <c r="F70" s="729"/>
      <c r="G70" s="734"/>
      <c r="I70" s="87"/>
    </row>
    <row r="71" spans="2:9" s="407" customFormat="1" ht="12.75" hidden="1" customHeight="1" outlineLevel="1">
      <c r="B71" s="1075" t="s">
        <v>1058</v>
      </c>
      <c r="C71" s="1075"/>
      <c r="D71" s="1075"/>
      <c r="E71" s="919">
        <v>45</v>
      </c>
      <c r="F71" s="723">
        <f>+F59+F81+F64+F66+F68+F70</f>
        <v>0</v>
      </c>
      <c r="G71" s="724"/>
      <c r="I71" s="735"/>
    </row>
    <row r="72" spans="2:9" s="353" customFormat="1" ht="12.75" hidden="1" outlineLevel="1">
      <c r="B72" s="1076"/>
      <c r="C72" s="1076"/>
      <c r="D72" s="1076"/>
      <c r="E72" s="736"/>
      <c r="F72" s="737"/>
      <c r="G72" s="737"/>
      <c r="I72" s="94"/>
    </row>
    <row r="73" spans="2:9" s="238" customFormat="1" ht="12.75" hidden="1" customHeight="1" outlineLevel="1">
      <c r="B73" s="1077" t="s">
        <v>1059</v>
      </c>
      <c r="C73" s="1077"/>
      <c r="D73" s="1077"/>
      <c r="E73" s="1077"/>
      <c r="F73" s="1077"/>
      <c r="G73" s="1077"/>
      <c r="I73" s="87"/>
    </row>
    <row r="74" spans="2:9" s="238" customFormat="1" ht="12.75" hidden="1" customHeight="1" outlineLevel="1">
      <c r="B74" s="1074" t="s">
        <v>1060</v>
      </c>
      <c r="C74" s="1074"/>
      <c r="D74" s="1074"/>
      <c r="E74" s="732">
        <v>46</v>
      </c>
      <c r="F74" s="729">
        <v>0</v>
      </c>
      <c r="G74" s="733"/>
      <c r="I74" s="87"/>
    </row>
    <row r="75" spans="2:9" s="238" customFormat="1" ht="12.75" hidden="1" customHeight="1" outlineLevel="1">
      <c r="B75" s="375"/>
      <c r="C75" s="1073" t="s">
        <v>1061</v>
      </c>
      <c r="D75" s="1073"/>
      <c r="E75" s="732">
        <f>1+E74</f>
        <v>47</v>
      </c>
      <c r="F75" s="729">
        <f>+F74*40%</f>
        <v>0</v>
      </c>
      <c r="G75" s="729"/>
      <c r="I75" s="87"/>
    </row>
    <row r="76" spans="2:9" s="238" customFormat="1" ht="12.75" hidden="1" customHeight="1" outlineLevel="1">
      <c r="B76" s="1074" t="s">
        <v>1062</v>
      </c>
      <c r="C76" s="1074"/>
      <c r="D76" s="1074"/>
      <c r="E76" s="732">
        <f t="shared" ref="E76:E82" si="4">1+E75</f>
        <v>48</v>
      </c>
      <c r="F76" s="729">
        <v>0</v>
      </c>
      <c r="G76" s="733"/>
      <c r="I76" s="87"/>
    </row>
    <row r="77" spans="2:9" s="238" customFormat="1" ht="12.75" hidden="1" customHeight="1" outlineLevel="1">
      <c r="B77" s="375"/>
      <c r="C77" s="1073" t="s">
        <v>1063</v>
      </c>
      <c r="D77" s="1073"/>
      <c r="E77" s="732">
        <f t="shared" si="4"/>
        <v>49</v>
      </c>
      <c r="F77" s="729">
        <f>+F76*10%</f>
        <v>0</v>
      </c>
      <c r="G77" s="729"/>
      <c r="I77" s="87"/>
    </row>
    <row r="78" spans="2:9" s="238" customFormat="1" ht="12.75" hidden="1" customHeight="1" outlineLevel="1">
      <c r="B78" s="1074" t="s">
        <v>1064</v>
      </c>
      <c r="C78" s="1074"/>
      <c r="D78" s="1074"/>
      <c r="E78" s="732">
        <f t="shared" si="4"/>
        <v>50</v>
      </c>
      <c r="F78" s="729">
        <v>0</v>
      </c>
      <c r="G78" s="733"/>
      <c r="I78" s="87"/>
    </row>
    <row r="79" spans="2:9" s="238" customFormat="1" ht="12.75" hidden="1" customHeight="1" outlineLevel="1">
      <c r="B79" s="375"/>
      <c r="C79" s="1073" t="s">
        <v>1065</v>
      </c>
      <c r="D79" s="1073"/>
      <c r="E79" s="732">
        <f t="shared" si="4"/>
        <v>51</v>
      </c>
      <c r="F79" s="729">
        <f>+F78*10%</f>
        <v>0</v>
      </c>
      <c r="G79" s="729"/>
      <c r="I79" s="87"/>
    </row>
    <row r="80" spans="2:9" s="238" customFormat="1" ht="12.75" hidden="1" customHeight="1" outlineLevel="1">
      <c r="B80" s="1074" t="s">
        <v>1066</v>
      </c>
      <c r="C80" s="1074"/>
      <c r="D80" s="1074"/>
      <c r="E80" s="732">
        <f t="shared" si="4"/>
        <v>52</v>
      </c>
      <c r="F80" s="729">
        <v>0</v>
      </c>
      <c r="G80" s="733"/>
      <c r="I80" s="87"/>
    </row>
    <row r="81" spans="2:12" s="238" customFormat="1" ht="12.75" hidden="1" customHeight="1" outlineLevel="1">
      <c r="B81" s="921"/>
      <c r="C81" s="1074" t="s">
        <v>1067</v>
      </c>
      <c r="D81" s="1074"/>
      <c r="E81" s="732">
        <f t="shared" si="4"/>
        <v>53</v>
      </c>
      <c r="F81" s="729">
        <f>+F80*2%</f>
        <v>0</v>
      </c>
      <c r="G81" s="729"/>
      <c r="I81" s="87"/>
    </row>
    <row r="82" spans="2:12" s="407" customFormat="1" ht="12.75" hidden="1" customHeight="1" outlineLevel="1">
      <c r="B82" s="1075" t="s">
        <v>1068</v>
      </c>
      <c r="C82" s="1075"/>
      <c r="D82" s="1075"/>
      <c r="E82" s="919">
        <f t="shared" si="4"/>
        <v>54</v>
      </c>
      <c r="F82" s="724">
        <f>F75+F77+F79+F81</f>
        <v>0</v>
      </c>
      <c r="G82" s="724"/>
      <c r="I82" s="735"/>
    </row>
    <row r="83" spans="2:12" s="741" customFormat="1" ht="12.75" hidden="1" outlineLevel="1">
      <c r="B83" s="738"/>
      <c r="C83" s="738"/>
      <c r="D83" s="738"/>
      <c r="E83" s="739"/>
      <c r="F83" s="740"/>
      <c r="G83" s="740"/>
      <c r="I83" s="742"/>
      <c r="L83" s="450"/>
    </row>
    <row r="84" spans="2:12" s="407" customFormat="1" ht="12.75" hidden="1" customHeight="1" outlineLevel="1">
      <c r="B84" s="1075" t="s">
        <v>1069</v>
      </c>
      <c r="C84" s="1075"/>
      <c r="D84" s="1075"/>
      <c r="E84" s="919">
        <v>55</v>
      </c>
      <c r="F84" s="743">
        <f>+F55+F71</f>
        <v>0</v>
      </c>
      <c r="G84" s="744"/>
      <c r="I84" s="735"/>
    </row>
    <row r="85" spans="2:12" s="407" customFormat="1" ht="12.75" hidden="1" outlineLevel="1">
      <c r="B85" s="738"/>
      <c r="C85" s="738"/>
      <c r="D85" s="738"/>
      <c r="E85" s="739"/>
      <c r="F85" s="745"/>
      <c r="G85" s="745"/>
      <c r="I85" s="735"/>
    </row>
    <row r="86" spans="2:12" s="238" customFormat="1" ht="12.75" hidden="1" outlineLevel="1">
      <c r="B86" s="746" t="s">
        <v>1070</v>
      </c>
      <c r="C86" s="747"/>
      <c r="D86" s="748"/>
      <c r="E86" s="747"/>
      <c r="F86" s="747" t="s">
        <v>1071</v>
      </c>
      <c r="G86" s="747" t="s">
        <v>18</v>
      </c>
      <c r="I86" s="87"/>
    </row>
    <row r="87" spans="2:12" s="238" customFormat="1" ht="12.75" hidden="1" outlineLevel="1">
      <c r="B87" s="746"/>
      <c r="C87" s="747"/>
      <c r="D87" s="748"/>
      <c r="E87" s="747"/>
      <c r="F87" s="747"/>
      <c r="G87" s="747"/>
      <c r="I87" s="87"/>
    </row>
    <row r="88" spans="2:12" s="238" customFormat="1" ht="12.75" hidden="1" customHeight="1" outlineLevel="1">
      <c r="B88" s="1071" t="s">
        <v>1072</v>
      </c>
      <c r="C88" s="1071"/>
      <c r="D88" s="1071" t="s">
        <v>1993</v>
      </c>
      <c r="E88" s="725">
        <v>1</v>
      </c>
      <c r="F88" s="749"/>
      <c r="G88" s="954">
        <f>+STAT1!V26</f>
        <v>99989.61</v>
      </c>
      <c r="I88" s="87"/>
    </row>
    <row r="89" spans="2:12" s="238" customFormat="1" ht="12.75" hidden="1" outlineLevel="1">
      <c r="B89" s="1071" t="s">
        <v>1073</v>
      </c>
      <c r="C89" s="1071"/>
      <c r="D89" s="1071"/>
      <c r="E89" s="725">
        <f>+E88+1</f>
        <v>2</v>
      </c>
      <c r="F89" s="954">
        <f>+[5]STAT1!I85</f>
        <v>0</v>
      </c>
      <c r="G89" s="749"/>
      <c r="I89" s="87"/>
    </row>
    <row r="90" spans="2:12" s="238" customFormat="1" ht="12.75" hidden="1" customHeight="1" outlineLevel="1">
      <c r="B90" s="1079" t="s">
        <v>2760</v>
      </c>
      <c r="C90" s="1080"/>
      <c r="D90" s="1081"/>
      <c r="E90" s="725">
        <f t="shared" ref="E90:E102" si="5">+E89+1</f>
        <v>3</v>
      </c>
      <c r="F90" s="954">
        <f>+F84</f>
        <v>0</v>
      </c>
      <c r="G90" s="749"/>
      <c r="I90" s="87"/>
    </row>
    <row r="91" spans="2:12" s="238" customFormat="1" ht="12.75" hidden="1" customHeight="1" outlineLevel="1">
      <c r="B91" s="1079" t="s">
        <v>2761</v>
      </c>
      <c r="C91" s="1080"/>
      <c r="D91" s="1081"/>
      <c r="E91" s="725">
        <f t="shared" si="5"/>
        <v>4</v>
      </c>
      <c r="F91" s="749"/>
      <c r="G91" s="954"/>
      <c r="I91" s="87"/>
    </row>
    <row r="92" spans="2:12" s="238" customFormat="1" ht="12.75" hidden="1" outlineLevel="1">
      <c r="B92" s="1072" t="s">
        <v>1078</v>
      </c>
      <c r="C92" s="1072"/>
      <c r="D92" s="1072"/>
      <c r="E92" s="725">
        <f t="shared" si="5"/>
        <v>5</v>
      </c>
      <c r="F92" s="749"/>
      <c r="G92" s="954"/>
      <c r="I92" s="87"/>
    </row>
    <row r="93" spans="2:12" s="238" customFormat="1" ht="12.75" hidden="1" customHeight="1" outlineLevel="1">
      <c r="B93" s="1072" t="s">
        <v>2762</v>
      </c>
      <c r="C93" s="1072"/>
      <c r="D93" s="1072"/>
      <c r="E93" s="725">
        <f t="shared" si="5"/>
        <v>6</v>
      </c>
      <c r="F93" s="954"/>
      <c r="G93" s="375"/>
      <c r="I93" s="87"/>
    </row>
    <row r="94" spans="2:12" s="238" customFormat="1" ht="12.75" hidden="1" customHeight="1" outlineLevel="1">
      <c r="B94" s="1071" t="s">
        <v>1072</v>
      </c>
      <c r="C94" s="1071"/>
      <c r="D94" s="1071" t="s">
        <v>2763</v>
      </c>
      <c r="E94" s="725">
        <f t="shared" si="5"/>
        <v>7</v>
      </c>
      <c r="F94" s="749"/>
      <c r="G94" s="954"/>
      <c r="I94" s="87"/>
    </row>
    <row r="95" spans="2:12" s="238" customFormat="1" ht="12.75" hidden="1" customHeight="1" outlineLevel="1">
      <c r="B95" s="1071" t="s">
        <v>1073</v>
      </c>
      <c r="C95" s="1071"/>
      <c r="D95" s="1071"/>
      <c r="E95" s="725">
        <f t="shared" si="5"/>
        <v>8</v>
      </c>
      <c r="F95" s="954"/>
      <c r="G95" s="749"/>
      <c r="I95" s="87"/>
      <c r="J95" s="237"/>
    </row>
    <row r="96" spans="2:12" s="238" customFormat="1" ht="12.75" hidden="1" customHeight="1" outlineLevel="1">
      <c r="B96" s="1071" t="s">
        <v>1072</v>
      </c>
      <c r="C96" s="1071"/>
      <c r="D96" s="1071" t="s">
        <v>2764</v>
      </c>
      <c r="E96" s="725">
        <f t="shared" si="5"/>
        <v>9</v>
      </c>
      <c r="F96" s="954"/>
      <c r="G96" s="749"/>
      <c r="I96" s="87"/>
    </row>
    <row r="97" spans="2:10" s="238" customFormat="1" ht="12.75" hidden="1" customHeight="1" outlineLevel="1">
      <c r="B97" s="1071" t="s">
        <v>1073</v>
      </c>
      <c r="C97" s="1071"/>
      <c r="D97" s="1071"/>
      <c r="E97" s="725">
        <f t="shared" si="5"/>
        <v>10</v>
      </c>
      <c r="F97" s="375"/>
      <c r="G97" s="954"/>
    </row>
    <row r="98" spans="2:10" s="238" customFormat="1" ht="12.75" hidden="1" outlineLevel="1">
      <c r="B98" s="1071" t="s">
        <v>2765</v>
      </c>
      <c r="C98" s="1071"/>
      <c r="D98" s="1071"/>
      <c r="E98" s="725">
        <f t="shared" si="5"/>
        <v>11</v>
      </c>
      <c r="F98" s="375"/>
      <c r="G98" s="954"/>
    </row>
    <row r="99" spans="2:10" s="238" customFormat="1" ht="12.75" hidden="1" outlineLevel="1">
      <c r="B99" s="1071" t="s">
        <v>1072</v>
      </c>
      <c r="C99" s="1071"/>
      <c r="D99" s="1071" t="s">
        <v>2766</v>
      </c>
      <c r="E99" s="725">
        <f t="shared" si="5"/>
        <v>12</v>
      </c>
      <c r="F99" s="375"/>
      <c r="G99" s="954"/>
      <c r="J99" s="237"/>
    </row>
    <row r="100" spans="2:10" s="238" customFormat="1" ht="12.75" hidden="1" outlineLevel="1">
      <c r="B100" s="1071" t="s">
        <v>1073</v>
      </c>
      <c r="C100" s="1071"/>
      <c r="D100" s="1071"/>
      <c r="E100" s="725">
        <f t="shared" si="5"/>
        <v>13</v>
      </c>
      <c r="F100" s="954"/>
      <c r="G100" s="749"/>
    </row>
    <row r="101" spans="2:10" s="238" customFormat="1" ht="12.75" hidden="1" outlineLevel="1">
      <c r="B101" s="1071" t="s">
        <v>1072</v>
      </c>
      <c r="C101" s="1071"/>
      <c r="D101" s="1071" t="s">
        <v>1994</v>
      </c>
      <c r="E101" s="725">
        <f t="shared" si="5"/>
        <v>14</v>
      </c>
      <c r="F101" s="749"/>
      <c r="G101" s="954">
        <f>+IF((G88+G91+G92+G94+G97+G98+G99-F89-F90-F93-F95-F96-F100)&gt;0,(G88+G91+G92+G94+G97+G98+G99-F89-F90-F93-F95-F96-F100),0)</f>
        <v>99989.61</v>
      </c>
    </row>
    <row r="102" spans="2:10" s="238" customFormat="1" ht="12.75" hidden="1" outlineLevel="1">
      <c r="B102" s="1071" t="s">
        <v>1073</v>
      </c>
      <c r="C102" s="1071"/>
      <c r="D102" s="1071"/>
      <c r="E102" s="725">
        <f t="shared" si="5"/>
        <v>15</v>
      </c>
      <c r="F102" s="954">
        <f>+IF((F89+F90+F93+F95+F96+F100-G88-G91-G92-G94-G97-G98-G99-G101)&gt;0,(F89+F90+F93+F95+F96+F100-G88-G91-G92-G94-G97-G98-G99-G101),0)</f>
        <v>0</v>
      </c>
      <c r="G102" s="752"/>
    </row>
    <row r="103" spans="2:10" s="238" customFormat="1" ht="12.75" hidden="1" outlineLevel="1">
      <c r="B103" s="205"/>
      <c r="C103" s="205"/>
      <c r="D103" s="718"/>
      <c r="E103" s="205"/>
      <c r="F103" s="753">
        <f>+O6</f>
        <v>0</v>
      </c>
      <c r="G103" s="753">
        <f>+N6</f>
        <v>99989.61</v>
      </c>
    </row>
    <row r="104" spans="2:10" s="238" customFormat="1" ht="12.75" hidden="1" outlineLevel="1">
      <c r="B104" s="918"/>
      <c r="C104" s="205" t="s">
        <v>1082</v>
      </c>
      <c r="D104" s="718"/>
      <c r="E104" s="205" t="s">
        <v>1083</v>
      </c>
      <c r="F104" s="205"/>
      <c r="G104" s="753"/>
    </row>
    <row r="105" spans="2:10" s="238" customFormat="1" ht="12.75" hidden="1" outlineLevel="1">
      <c r="B105" s="205"/>
      <c r="C105" s="205"/>
      <c r="D105" s="718"/>
      <c r="E105" s="205"/>
      <c r="F105" s="205"/>
      <c r="G105" s="205"/>
    </row>
    <row r="106" spans="2:10" s="238" customFormat="1" ht="12.75" hidden="1" outlineLevel="1">
      <c r="B106" s="205"/>
      <c r="C106" s="205" t="str">
        <f>+CONCATENATE('[5]company '!B25,  ". . . . . . .  . . . . . .  . . . . . . . . . . . . .",'[5]company '!C25)</f>
        <v>Ерөнхий захирал. . . . . . .  . . . . . .  . . . . . . . . . . . . ./Г.Солонго /</v>
      </c>
      <c r="D106" s="718"/>
      <c r="E106" s="205" t="s">
        <v>1084</v>
      </c>
      <c r="F106" s="205"/>
      <c r="G106" s="205"/>
    </row>
    <row r="107" spans="2:10" s="238" customFormat="1" ht="12.75" hidden="1" outlineLevel="1">
      <c r="B107" s="205"/>
      <c r="C107" s="205"/>
      <c r="D107" s="718"/>
      <c r="E107" s="205"/>
      <c r="F107" s="205"/>
      <c r="G107" s="205"/>
    </row>
    <row r="108" spans="2:10" s="238" customFormat="1" ht="12.75" hidden="1" outlineLevel="1">
      <c r="B108" s="205"/>
      <c r="C108" s="205" t="str">
        <f>+CONCATENATE('[5]company '!B28,"  . . . . . . . . . . . . . . . . .. . ",'[5]company '!C28)</f>
        <v>Ерөнхий нягтлан бодогч  . . . . . . . . . . . . . . . . .. . /Б.Түмэндэлгэр/</v>
      </c>
      <c r="D108" s="718"/>
      <c r="E108" s="205"/>
      <c r="F108" s="205"/>
      <c r="G108" s="205"/>
    </row>
    <row r="109" spans="2:10" s="238" customFormat="1" ht="12.75" hidden="1" outlineLevel="1">
      <c r="B109" s="205"/>
      <c r="C109" s="754"/>
      <c r="D109" s="718"/>
      <c r="E109" s="205"/>
      <c r="F109" s="205"/>
      <c r="G109" s="205"/>
    </row>
    <row r="110" spans="2:10" ht="12.75" hidden="1" outlineLevel="1">
      <c r="B110" s="205"/>
      <c r="C110" s="205" t="str">
        <f>+CONCATENATE( '[5]company '!B23,'[5]company '!C23)</f>
        <v>Тайлант үе:2018.01.01-2018.09.30</v>
      </c>
      <c r="D110" s="718"/>
      <c r="E110" s="205" t="s">
        <v>1085</v>
      </c>
      <c r="F110" s="205"/>
      <c r="G110" s="205"/>
    </row>
    <row r="111" spans="2:10" ht="13.5" hidden="1" outlineLevel="1" thickBot="1">
      <c r="B111" s="408"/>
      <c r="C111" s="408"/>
      <c r="D111" s="755"/>
      <c r="E111" s="408"/>
      <c r="F111" s="408"/>
      <c r="G111" s="408"/>
    </row>
    <row r="112" spans="2:10" ht="13.5" hidden="1" outlineLevel="1" thickTop="1">
      <c r="B112" s="39" t="s">
        <v>2767</v>
      </c>
      <c r="C112" s="238"/>
      <c r="D112" s="287"/>
      <c r="E112" s="238"/>
      <c r="F112" s="238"/>
      <c r="G112" s="238"/>
    </row>
    <row r="113" spans="2:7" ht="12.75" hidden="1" outlineLevel="1">
      <c r="B113" s="955" t="s">
        <v>2768</v>
      </c>
      <c r="C113" s="756"/>
      <c r="D113" s="757"/>
      <c r="E113" s="756"/>
      <c r="F113" s="756"/>
      <c r="G113" s="756"/>
    </row>
    <row r="114" spans="2:7" hidden="1" outlineLevel="1"/>
    <row r="115" spans="2:7" collapsed="1">
      <c r="B115" s="956" t="s">
        <v>2738</v>
      </c>
    </row>
    <row r="116" spans="2:7" hidden="1" outlineLevel="1"/>
    <row r="117" spans="2:7" ht="14.25" hidden="1" outlineLevel="1">
      <c r="B117" s="193" t="s">
        <v>997</v>
      </c>
      <c r="C117" s="194"/>
      <c r="D117" s="195"/>
      <c r="F117" s="194"/>
      <c r="G117" s="197" t="s">
        <v>998</v>
      </c>
    </row>
    <row r="118" spans="2:7" hidden="1" outlineLevel="1">
      <c r="B118" s="194"/>
      <c r="C118" s="194"/>
      <c r="D118" s="195"/>
      <c r="F118" s="194"/>
      <c r="G118" s="197" t="s">
        <v>999</v>
      </c>
    </row>
    <row r="119" spans="2:7" hidden="1" outlineLevel="1">
      <c r="B119" s="199"/>
      <c r="C119" s="194"/>
      <c r="D119" s="195"/>
      <c r="E119" s="194"/>
      <c r="F119" s="194"/>
      <c r="G119" s="194"/>
    </row>
    <row r="120" spans="2:7" ht="30.75" hidden="1" outlineLevel="1" thickBot="1">
      <c r="B120" s="200"/>
      <c r="C120" s="201"/>
      <c r="D120" s="1086" t="s">
        <v>1000</v>
      </c>
      <c r="E120" s="1086"/>
      <c r="F120" s="1086"/>
      <c r="G120" s="1086"/>
    </row>
    <row r="121" spans="2:7" ht="12.75" hidden="1" outlineLevel="1" thickTop="1">
      <c r="B121" s="199"/>
      <c r="C121" s="194"/>
      <c r="D121" s="195"/>
      <c r="E121" s="194"/>
      <c r="F121" s="194"/>
      <c r="G121" s="194"/>
    </row>
    <row r="122" spans="2:7" ht="18.75" hidden="1" outlineLevel="1">
      <c r="C122" s="202"/>
      <c r="D122" s="1087" t="s">
        <v>1001</v>
      </c>
      <c r="E122" s="1087"/>
      <c r="F122" s="1087"/>
      <c r="G122" s="1087"/>
    </row>
    <row r="123" spans="2:7" hidden="1" outlineLevel="1">
      <c r="B123" s="199"/>
      <c r="C123" s="194"/>
      <c r="D123" s="195"/>
      <c r="E123" s="194"/>
      <c r="F123" s="194"/>
      <c r="G123" s="194"/>
    </row>
    <row r="124" spans="2:7" ht="12.75" hidden="1" outlineLevel="1">
      <c r="B124" s="918" t="s">
        <v>2706</v>
      </c>
      <c r="C124" s="205"/>
      <c r="D124" s="205"/>
      <c r="E124" s="918" t="s">
        <v>2742</v>
      </c>
      <c r="F124" s="205"/>
      <c r="G124" s="205"/>
    </row>
    <row r="125" spans="2:7" ht="12.75" hidden="1" outlineLevel="1">
      <c r="B125" s="918" t="s">
        <v>2707</v>
      </c>
      <c r="C125" s="205"/>
      <c r="D125" s="718"/>
      <c r="E125" s="205"/>
      <c r="F125" s="205"/>
      <c r="G125" s="205"/>
    </row>
    <row r="126" spans="2:7" ht="12.75" hidden="1" outlineLevel="1">
      <c r="B126" s="918" t="s">
        <v>1002</v>
      </c>
      <c r="C126" s="205"/>
      <c r="D126" s="718"/>
      <c r="E126" s="205"/>
      <c r="F126" s="205"/>
      <c r="G126" s="205"/>
    </row>
    <row r="127" spans="2:7" ht="12.75" hidden="1" outlineLevel="1">
      <c r="B127" s="280" t="s">
        <v>2733</v>
      </c>
      <c r="C127" s="205"/>
      <c r="D127" s="205"/>
      <c r="E127" s="205"/>
      <c r="F127" s="205"/>
      <c r="G127" s="205"/>
    </row>
    <row r="128" spans="2:7" ht="12.75" hidden="1" outlineLevel="1">
      <c r="B128" s="280" t="s">
        <v>2734</v>
      </c>
      <c r="C128" s="205"/>
      <c r="D128" s="205"/>
      <c r="E128" s="205"/>
      <c r="F128" s="205"/>
      <c r="G128" s="205"/>
    </row>
    <row r="129" spans="2:7" ht="12.75" hidden="1" outlineLevel="1">
      <c r="B129" s="280" t="e">
        <v>#REF!</v>
      </c>
      <c r="C129" s="205"/>
      <c r="D129" s="718"/>
      <c r="E129" s="205"/>
      <c r="F129" s="205"/>
      <c r="G129" s="205"/>
    </row>
    <row r="130" spans="2:7" ht="12.75" hidden="1" outlineLevel="1">
      <c r="B130" s="280" t="s">
        <v>2736</v>
      </c>
      <c r="C130" s="205"/>
      <c r="D130" s="718"/>
      <c r="E130" s="205"/>
      <c r="F130" s="205"/>
      <c r="G130" s="205"/>
    </row>
    <row r="131" spans="2:7" ht="12.75" hidden="1" outlineLevel="1">
      <c r="B131" s="280" t="e">
        <v>#REF!</v>
      </c>
      <c r="C131" s="205"/>
      <c r="D131" s="718"/>
      <c r="E131" s="205"/>
      <c r="F131" s="205"/>
      <c r="G131" s="205"/>
    </row>
    <row r="132" spans="2:7" ht="12.75" hidden="1" outlineLevel="1">
      <c r="B132" s="918" t="s">
        <v>2743</v>
      </c>
      <c r="C132" s="205"/>
      <c r="D132" s="287"/>
      <c r="E132" s="205"/>
      <c r="F132" s="205"/>
      <c r="G132" s="205"/>
    </row>
    <row r="133" spans="2:7" ht="12.75" hidden="1" outlineLevel="1">
      <c r="B133" s="719" t="s">
        <v>1003</v>
      </c>
      <c r="C133" s="205"/>
      <c r="D133" s="287"/>
      <c r="E133" s="205"/>
      <c r="F133" s="205"/>
      <c r="G133" s="205"/>
    </row>
    <row r="134" spans="2:7" ht="12.75" hidden="1" outlineLevel="1">
      <c r="B134" s="918" t="s">
        <v>2744</v>
      </c>
      <c r="C134" s="205"/>
      <c r="D134" s="287"/>
      <c r="E134" s="205"/>
      <c r="F134" s="205"/>
      <c r="G134" s="205"/>
    </row>
    <row r="135" spans="2:7" ht="12.75" hidden="1" outlineLevel="1">
      <c r="B135" s="918" t="s">
        <v>2745</v>
      </c>
      <c r="C135" s="205"/>
      <c r="D135" s="718"/>
      <c r="E135" s="205"/>
      <c r="F135" s="205"/>
      <c r="G135" s="205"/>
    </row>
    <row r="136" spans="2:7" ht="12.75" hidden="1" outlineLevel="1">
      <c r="B136" s="918" t="s">
        <v>1004</v>
      </c>
      <c r="C136" s="205"/>
      <c r="D136" s="718"/>
      <c r="E136" s="205"/>
      <c r="F136" s="205"/>
      <c r="G136" s="205"/>
    </row>
    <row r="137" spans="2:7" ht="12.75" hidden="1" outlineLevel="1">
      <c r="B137" s="918" t="s">
        <v>1005</v>
      </c>
      <c r="C137" s="205"/>
      <c r="D137" s="718"/>
      <c r="E137" s="205"/>
      <c r="F137" s="205"/>
      <c r="G137" s="205"/>
    </row>
    <row r="138" spans="2:7" ht="12.75" hidden="1" outlineLevel="1">
      <c r="B138" s="1088" t="s">
        <v>1006</v>
      </c>
      <c r="C138" s="1088"/>
      <c r="D138" s="1088"/>
      <c r="E138" s="205"/>
      <c r="F138" s="206"/>
      <c r="G138" s="205"/>
    </row>
    <row r="139" spans="2:7" ht="12.75" hidden="1" outlineLevel="1">
      <c r="B139" s="720" t="s">
        <v>1007</v>
      </c>
      <c r="C139" s="205"/>
      <c r="D139" s="718"/>
      <c r="E139" s="205"/>
      <c r="F139" s="238"/>
      <c r="G139" s="721" t="s">
        <v>1008</v>
      </c>
    </row>
    <row r="140" spans="2:7" ht="38.25" hidden="1" outlineLevel="1">
      <c r="B140" s="1084" t="s">
        <v>1009</v>
      </c>
      <c r="C140" s="1084"/>
      <c r="D140" s="1084"/>
      <c r="E140" s="919" t="s">
        <v>1010</v>
      </c>
      <c r="F140" s="919" t="s">
        <v>1011</v>
      </c>
      <c r="G140" s="919" t="s">
        <v>1012</v>
      </c>
    </row>
    <row r="141" spans="2:7" ht="12.75" hidden="1" outlineLevel="1">
      <c r="B141" s="1075" t="s">
        <v>1013</v>
      </c>
      <c r="C141" s="1075"/>
      <c r="D141" s="1075"/>
      <c r="E141" s="722">
        <v>1</v>
      </c>
      <c r="F141" s="723">
        <f>+F142+F143+F144+F146+F145</f>
        <v>54922108.588181816</v>
      </c>
      <c r="G141" s="724"/>
    </row>
    <row r="142" spans="2:7" ht="12.75" hidden="1" outlineLevel="1">
      <c r="B142" s="1085" t="s">
        <v>1014</v>
      </c>
      <c r="C142" s="1071" t="s">
        <v>1015</v>
      </c>
      <c r="D142" s="1071"/>
      <c r="E142" s="725">
        <f>1+E141</f>
        <v>2</v>
      </c>
      <c r="F142" s="726"/>
      <c r="G142" s="727"/>
    </row>
    <row r="143" spans="2:7" ht="12.75" hidden="1" outlineLevel="1">
      <c r="B143" s="1085"/>
      <c r="C143" s="1071" t="s">
        <v>1016</v>
      </c>
      <c r="D143" s="1071"/>
      <c r="E143" s="725">
        <f t="shared" ref="E143:E170" si="6">1+E142</f>
        <v>3</v>
      </c>
      <c r="F143" s="726">
        <f>+F174+F176+F181+F183+F185</f>
        <v>0</v>
      </c>
      <c r="G143" s="727"/>
    </row>
    <row r="144" spans="2:7" ht="12.75" hidden="1" outlineLevel="1">
      <c r="B144" s="1085"/>
      <c r="C144" s="1071" t="s">
        <v>1017</v>
      </c>
      <c r="D144" s="1071"/>
      <c r="E144" s="725">
        <f t="shared" si="6"/>
        <v>4</v>
      </c>
      <c r="F144" s="726"/>
      <c r="G144" s="727"/>
    </row>
    <row r="145" spans="2:7" ht="12.75" hidden="1" outlineLevel="1">
      <c r="B145" s="1085"/>
      <c r="C145" s="1071" t="s">
        <v>1018</v>
      </c>
      <c r="D145" s="1071"/>
      <c r="E145" s="725">
        <f t="shared" si="6"/>
        <v>5</v>
      </c>
      <c r="F145" s="726">
        <f>+'TT-z'!I139</f>
        <v>23822.04</v>
      </c>
      <c r="G145" s="727"/>
    </row>
    <row r="146" spans="2:7" ht="12.75" hidden="1" outlineLevel="1">
      <c r="B146" s="1085"/>
      <c r="C146" s="1071" t="s">
        <v>1019</v>
      </c>
      <c r="D146" s="1071"/>
      <c r="E146" s="725">
        <f t="shared" si="6"/>
        <v>6</v>
      </c>
      <c r="F146" s="726">
        <f>SUM(F147:F157)</f>
        <v>54898286.548181817</v>
      </c>
      <c r="G146" s="727"/>
    </row>
    <row r="147" spans="2:7" ht="25.5" hidden="1" outlineLevel="1">
      <c r="B147" s="1085"/>
      <c r="C147" s="1085" t="s">
        <v>1014</v>
      </c>
      <c r="D147" s="920" t="s">
        <v>1020</v>
      </c>
      <c r="E147" s="725">
        <f t="shared" si="6"/>
        <v>7</v>
      </c>
      <c r="F147" s="726">
        <f>+IS!E7+IS!F7</f>
        <v>54898286.548181817</v>
      </c>
      <c r="G147" s="727"/>
    </row>
    <row r="148" spans="2:7" ht="12.75" hidden="1" outlineLevel="1">
      <c r="B148" s="1085"/>
      <c r="C148" s="1085"/>
      <c r="D148" s="920" t="s">
        <v>1021</v>
      </c>
      <c r="E148" s="725">
        <f t="shared" si="6"/>
        <v>8</v>
      </c>
      <c r="F148" s="726">
        <f>IS!E10+IS!F10</f>
        <v>0</v>
      </c>
      <c r="G148" s="727"/>
    </row>
    <row r="149" spans="2:7" ht="12.75" hidden="1" outlineLevel="1">
      <c r="B149" s="1085"/>
      <c r="C149" s="1085"/>
      <c r="D149" s="920" t="s">
        <v>1022</v>
      </c>
      <c r="E149" s="725">
        <f t="shared" si="6"/>
        <v>9</v>
      </c>
      <c r="F149" s="726">
        <v>0</v>
      </c>
      <c r="G149" s="727"/>
    </row>
    <row r="150" spans="2:7" ht="12.75" hidden="1" outlineLevel="1">
      <c r="B150" s="1085"/>
      <c r="C150" s="1085"/>
      <c r="D150" s="920" t="s">
        <v>1023</v>
      </c>
      <c r="E150" s="725">
        <f t="shared" si="6"/>
        <v>10</v>
      </c>
      <c r="F150" s="726"/>
      <c r="G150" s="727"/>
    </row>
    <row r="151" spans="2:7" ht="12.75" hidden="1" outlineLevel="1">
      <c r="B151" s="1085"/>
      <c r="C151" s="1085"/>
      <c r="D151" s="920" t="s">
        <v>828</v>
      </c>
      <c r="E151" s="725">
        <f t="shared" si="6"/>
        <v>11</v>
      </c>
      <c r="F151" s="726">
        <v>0</v>
      </c>
      <c r="G151" s="727"/>
    </row>
    <row r="152" spans="2:7" ht="25.5" hidden="1" outlineLevel="1">
      <c r="B152" s="1085"/>
      <c r="C152" s="1085"/>
      <c r="D152" s="920" t="s">
        <v>1024</v>
      </c>
      <c r="E152" s="725">
        <f t="shared" si="6"/>
        <v>12</v>
      </c>
      <c r="F152" s="726"/>
      <c r="G152" s="727"/>
    </row>
    <row r="153" spans="2:7" ht="25.5" hidden="1" outlineLevel="1">
      <c r="B153" s="1085"/>
      <c r="C153" s="1085"/>
      <c r="D153" s="920" t="s">
        <v>1025</v>
      </c>
      <c r="E153" s="725">
        <f t="shared" si="6"/>
        <v>13</v>
      </c>
      <c r="F153" s="726">
        <v>0</v>
      </c>
      <c r="G153" s="727"/>
    </row>
    <row r="154" spans="2:7" ht="12.75" hidden="1" outlineLevel="1">
      <c r="B154" s="1085"/>
      <c r="C154" s="1085"/>
      <c r="D154" s="920" t="s">
        <v>1026</v>
      </c>
      <c r="E154" s="725">
        <f t="shared" si="6"/>
        <v>14</v>
      </c>
      <c r="F154" s="726">
        <f>+STAT1!S197+STAT2!S197</f>
        <v>0</v>
      </c>
      <c r="G154" s="727"/>
    </row>
    <row r="155" spans="2:7" ht="12.75" hidden="1" outlineLevel="1">
      <c r="B155" s="1085"/>
      <c r="C155" s="1085"/>
      <c r="D155" s="920" t="s">
        <v>1027</v>
      </c>
      <c r="E155" s="725">
        <f t="shared" si="6"/>
        <v>15</v>
      </c>
      <c r="F155" s="726">
        <v>0</v>
      </c>
      <c r="G155" s="727"/>
    </row>
    <row r="156" spans="2:7" ht="12.75" hidden="1" outlineLevel="1">
      <c r="B156" s="1085"/>
      <c r="C156" s="1085"/>
      <c r="D156" s="920" t="s">
        <v>1028</v>
      </c>
      <c r="E156" s="725">
        <f t="shared" si="6"/>
        <v>16</v>
      </c>
      <c r="F156" s="726">
        <v>0</v>
      </c>
      <c r="G156" s="727"/>
    </row>
    <row r="157" spans="2:7" ht="12.75" hidden="1" outlineLevel="1">
      <c r="B157" s="1085"/>
      <c r="C157" s="1085"/>
      <c r="D157" s="920" t="s">
        <v>1029</v>
      </c>
      <c r="E157" s="725">
        <f t="shared" si="6"/>
        <v>17</v>
      </c>
      <c r="F157" s="726">
        <v>0</v>
      </c>
      <c r="G157" s="727"/>
    </row>
    <row r="158" spans="2:7" ht="12.75" hidden="1" outlineLevel="1">
      <c r="B158" s="1074" t="s">
        <v>1030</v>
      </c>
      <c r="C158" s="1074"/>
      <c r="D158" s="1074"/>
      <c r="E158" s="725">
        <f t="shared" si="6"/>
        <v>18</v>
      </c>
      <c r="F158" s="726">
        <f>+IS!E8+IS!F8</f>
        <v>36247878.86356803</v>
      </c>
      <c r="G158" s="727"/>
    </row>
    <row r="159" spans="2:7" ht="12.75" hidden="1" outlineLevel="1">
      <c r="B159" s="1073" t="s">
        <v>1031</v>
      </c>
      <c r="C159" s="1073"/>
      <c r="D159" s="1073"/>
      <c r="E159" s="725">
        <f t="shared" si="6"/>
        <v>19</v>
      </c>
      <c r="F159" s="726">
        <f>+IS!E16+IS!E15+IS!F16+IS!F15</f>
        <v>82609810.002863005</v>
      </c>
      <c r="G159" s="727"/>
    </row>
    <row r="160" spans="2:7" ht="12.75" hidden="1" outlineLevel="1">
      <c r="B160" s="1073" t="s">
        <v>1032</v>
      </c>
      <c r="C160" s="1073"/>
      <c r="D160" s="1073"/>
      <c r="E160" s="725">
        <f t="shared" si="6"/>
        <v>20</v>
      </c>
      <c r="F160" s="726">
        <f>+'TT-z'!E139</f>
        <v>8783.9599999999991</v>
      </c>
      <c r="G160" s="727"/>
    </row>
    <row r="161" spans="2:7" ht="12.75" hidden="1" outlineLevel="1">
      <c r="B161" s="1073" t="s">
        <v>1033</v>
      </c>
      <c r="C161" s="1073"/>
      <c r="D161" s="1073"/>
      <c r="E161" s="725">
        <f t="shared" si="6"/>
        <v>21</v>
      </c>
      <c r="F161" s="723">
        <f>+F141-F158-F159-F160</f>
        <v>-63944364.23824922</v>
      </c>
      <c r="G161" s="724"/>
    </row>
    <row r="162" spans="2:7" ht="12.75" hidden="1" outlineLevel="1">
      <c r="B162" s="1083" t="s">
        <v>1034</v>
      </c>
      <c r="C162" s="1083"/>
      <c r="D162" s="1083"/>
      <c r="E162" s="725">
        <f t="shared" si="6"/>
        <v>22</v>
      </c>
      <c r="F162" s="726">
        <f>+'TT-z'!E139</f>
        <v>8783.9599999999991</v>
      </c>
      <c r="G162" s="727"/>
    </row>
    <row r="163" spans="2:7" ht="12.75" hidden="1" outlineLevel="1">
      <c r="B163" s="1073" t="s">
        <v>1035</v>
      </c>
      <c r="C163" s="1073"/>
      <c r="D163" s="1073"/>
      <c r="E163" s="725">
        <f t="shared" si="6"/>
        <v>23</v>
      </c>
      <c r="F163" s="726">
        <f>+'TT-z'!I139+'TT-z'!I126</f>
        <v>23822.04</v>
      </c>
      <c r="G163" s="727"/>
    </row>
    <row r="164" spans="2:7" ht="12.75" hidden="1" outlineLevel="1">
      <c r="B164" s="1073" t="s">
        <v>1036</v>
      </c>
      <c r="C164" s="1073"/>
      <c r="D164" s="1073"/>
      <c r="E164" s="725">
        <f t="shared" si="6"/>
        <v>24</v>
      </c>
      <c r="F164" s="728">
        <f>+F161+F162-F163</f>
        <v>-63959402.318249218</v>
      </c>
      <c r="G164" s="727"/>
    </row>
    <row r="165" spans="2:7" ht="12.75" hidden="1" outlineLevel="1">
      <c r="B165" s="1073" t="s">
        <v>1037</v>
      </c>
      <c r="C165" s="1073"/>
      <c r="D165" s="1073"/>
      <c r="E165" s="725">
        <f t="shared" si="6"/>
        <v>25</v>
      </c>
      <c r="F165" s="726">
        <f>+'TT-z'!H144</f>
        <v>0</v>
      </c>
      <c r="G165" s="727"/>
    </row>
    <row r="166" spans="2:7" ht="12.75" hidden="1" outlineLevel="1">
      <c r="B166" s="1073" t="s">
        <v>1038</v>
      </c>
      <c r="C166" s="1073"/>
      <c r="D166" s="1073"/>
      <c r="E166" s="725">
        <f t="shared" si="6"/>
        <v>26</v>
      </c>
      <c r="F166" s="723">
        <f>+F164+F165</f>
        <v>-63959402.318249218</v>
      </c>
      <c r="G166" s="727"/>
    </row>
    <row r="167" spans="2:7" ht="12.75" hidden="1" outlineLevel="1">
      <c r="B167" s="1073" t="s">
        <v>1039</v>
      </c>
      <c r="C167" s="1073"/>
      <c r="D167" s="1073"/>
      <c r="E167" s="725">
        <f t="shared" si="6"/>
        <v>27</v>
      </c>
      <c r="F167" s="726">
        <f>+'TT-z'!H145</f>
        <v>0</v>
      </c>
      <c r="G167" s="727"/>
    </row>
    <row r="168" spans="2:7" ht="12.75" hidden="1" outlineLevel="1">
      <c r="B168" s="1073" t="s">
        <v>1040</v>
      </c>
      <c r="C168" s="1073"/>
      <c r="D168" s="1073"/>
      <c r="E168" s="725">
        <f t="shared" si="6"/>
        <v>28</v>
      </c>
      <c r="F168" s="723">
        <f>+F166-F167</f>
        <v>-63959402.318249218</v>
      </c>
      <c r="G168" s="727"/>
    </row>
    <row r="169" spans="2:7" ht="12.75" hidden="1" outlineLevel="1">
      <c r="B169" s="1073" t="s">
        <v>1041</v>
      </c>
      <c r="C169" s="1073"/>
      <c r="D169" s="1073"/>
      <c r="E169" s="725">
        <f t="shared" si="6"/>
        <v>29</v>
      </c>
      <c r="F169" s="729">
        <f>+IF(F168&gt;0,F168*0.1,0)</f>
        <v>0</v>
      </c>
      <c r="G169" s="727"/>
    </row>
    <row r="170" spans="2:7" ht="12.75" hidden="1" outlineLevel="1">
      <c r="B170" s="1073" t="s">
        <v>1042</v>
      </c>
      <c r="C170" s="1073"/>
      <c r="D170" s="1073"/>
      <c r="E170" s="725">
        <f t="shared" si="6"/>
        <v>30</v>
      </c>
      <c r="F170" s="729"/>
      <c r="G170" s="727"/>
    </row>
    <row r="171" spans="2:7" ht="12.75" hidden="1" outlineLevel="1">
      <c r="B171" s="1075" t="s">
        <v>1043</v>
      </c>
      <c r="C171" s="1075"/>
      <c r="D171" s="1075"/>
      <c r="E171" s="919">
        <v>31</v>
      </c>
      <c r="F171" s="730">
        <f>+F169</f>
        <v>0</v>
      </c>
      <c r="G171" s="731"/>
    </row>
    <row r="172" spans="2:7" ht="12.75" hidden="1" outlineLevel="1">
      <c r="B172" s="1076"/>
      <c r="C172" s="1076"/>
      <c r="D172" s="1076"/>
      <c r="E172" s="1076"/>
      <c r="F172" s="1076"/>
      <c r="G172" s="1076"/>
    </row>
    <row r="173" spans="2:7" ht="12.75" hidden="1" outlineLevel="1">
      <c r="B173" s="1077" t="s">
        <v>1044</v>
      </c>
      <c r="C173" s="1077"/>
      <c r="D173" s="1077"/>
      <c r="E173" s="1077"/>
      <c r="F173" s="1077"/>
      <c r="G173" s="1077"/>
    </row>
    <row r="174" spans="2:7" ht="12.75" hidden="1" outlineLevel="1">
      <c r="B174" s="1073" t="s">
        <v>1045</v>
      </c>
      <c r="C174" s="1073"/>
      <c r="D174" s="1073"/>
      <c r="E174" s="732">
        <v>32</v>
      </c>
      <c r="F174" s="729"/>
      <c r="G174" s="733"/>
    </row>
    <row r="175" spans="2:7" ht="12.75" hidden="1" outlineLevel="1">
      <c r="B175" s="375"/>
      <c r="C175" s="1073" t="s">
        <v>1046</v>
      </c>
      <c r="D175" s="1073"/>
      <c r="E175" s="732">
        <f>1+E174</f>
        <v>33</v>
      </c>
      <c r="F175" s="729">
        <f>+F174*40%</f>
        <v>0</v>
      </c>
      <c r="G175" s="729"/>
    </row>
    <row r="176" spans="2:7" ht="12.75" hidden="1" outlineLevel="1">
      <c r="B176" s="1074" t="s">
        <v>1047</v>
      </c>
      <c r="C176" s="1074"/>
      <c r="D176" s="1074"/>
      <c r="E176" s="732">
        <f t="shared" ref="E176:E186" si="7">1+E175</f>
        <v>34</v>
      </c>
      <c r="F176" s="729"/>
      <c r="G176" s="734"/>
    </row>
    <row r="177" spans="2:7" ht="12.75" hidden="1" outlineLevel="1">
      <c r="B177" s="1082"/>
      <c r="C177" s="1074" t="s">
        <v>1048</v>
      </c>
      <c r="D177" s="1074"/>
      <c r="E177" s="732">
        <f t="shared" si="7"/>
        <v>35</v>
      </c>
      <c r="F177" s="729"/>
      <c r="G177" s="734"/>
    </row>
    <row r="178" spans="2:7" ht="12.75" hidden="1" outlineLevel="1">
      <c r="B178" s="1082"/>
      <c r="C178" s="1074" t="s">
        <v>1049</v>
      </c>
      <c r="D178" s="1074"/>
      <c r="E178" s="732">
        <f t="shared" si="7"/>
        <v>36</v>
      </c>
      <c r="F178" s="729"/>
      <c r="G178" s="734"/>
    </row>
    <row r="179" spans="2:7" ht="12.75" hidden="1" outlineLevel="1">
      <c r="B179" s="1082"/>
      <c r="C179" s="1074" t="s">
        <v>1050</v>
      </c>
      <c r="D179" s="1074"/>
      <c r="E179" s="732">
        <f t="shared" si="7"/>
        <v>37</v>
      </c>
      <c r="F179" s="729">
        <f>+F176-F177-F178</f>
        <v>0</v>
      </c>
      <c r="G179" s="729"/>
    </row>
    <row r="180" spans="2:7" ht="12.75" hidden="1" outlineLevel="1">
      <c r="B180" s="1082"/>
      <c r="C180" s="1074" t="s">
        <v>1051</v>
      </c>
      <c r="D180" s="1074"/>
      <c r="E180" s="732">
        <f t="shared" si="7"/>
        <v>38</v>
      </c>
      <c r="F180" s="729">
        <f>+F179*40%</f>
        <v>0</v>
      </c>
      <c r="G180" s="729"/>
    </row>
    <row r="181" spans="2:7" ht="12.75" hidden="1" outlineLevel="1">
      <c r="B181" s="1074" t="s">
        <v>1052</v>
      </c>
      <c r="C181" s="1074"/>
      <c r="D181" s="1074"/>
      <c r="E181" s="732">
        <f t="shared" si="7"/>
        <v>39</v>
      </c>
      <c r="F181" s="600">
        <f>IS!I127</f>
        <v>0</v>
      </c>
      <c r="G181" s="734"/>
    </row>
    <row r="182" spans="2:7" ht="12.75" hidden="1" outlineLevel="1">
      <c r="B182" s="917"/>
      <c r="C182" s="1074" t="s">
        <v>1053</v>
      </c>
      <c r="D182" s="1074"/>
      <c r="E182" s="732">
        <f t="shared" si="7"/>
        <v>40</v>
      </c>
      <c r="F182" s="600">
        <f>+F181*10%</f>
        <v>0</v>
      </c>
      <c r="G182" s="729"/>
    </row>
    <row r="183" spans="2:7" ht="12.75" hidden="1" outlineLevel="1">
      <c r="B183" s="1074" t="s">
        <v>1054</v>
      </c>
      <c r="C183" s="1074"/>
      <c r="D183" s="1074"/>
      <c r="E183" s="732">
        <f t="shared" si="7"/>
        <v>41</v>
      </c>
      <c r="F183" s="729"/>
      <c r="G183" s="734"/>
    </row>
    <row r="184" spans="2:7" ht="12.75" hidden="1" outlineLevel="1">
      <c r="B184" s="917"/>
      <c r="C184" s="1074" t="s">
        <v>1055</v>
      </c>
      <c r="D184" s="1074"/>
      <c r="E184" s="732">
        <f t="shared" si="7"/>
        <v>42</v>
      </c>
      <c r="F184" s="729"/>
      <c r="G184" s="734"/>
    </row>
    <row r="185" spans="2:7" ht="12.75" hidden="1" outlineLevel="1">
      <c r="B185" s="1074" t="s">
        <v>1056</v>
      </c>
      <c r="C185" s="1074"/>
      <c r="D185" s="1074"/>
      <c r="E185" s="732">
        <f t="shared" si="7"/>
        <v>43</v>
      </c>
      <c r="F185" s="729"/>
      <c r="G185" s="734"/>
    </row>
    <row r="186" spans="2:7" ht="12.75" hidden="1" outlineLevel="1">
      <c r="B186" s="917"/>
      <c r="C186" s="1074" t="s">
        <v>1057</v>
      </c>
      <c r="D186" s="1074"/>
      <c r="E186" s="732">
        <f t="shared" si="7"/>
        <v>44</v>
      </c>
      <c r="F186" s="729"/>
      <c r="G186" s="734"/>
    </row>
    <row r="187" spans="2:7" ht="12.75" hidden="1" outlineLevel="1">
      <c r="B187" s="1075" t="s">
        <v>1058</v>
      </c>
      <c r="C187" s="1075"/>
      <c r="D187" s="1075"/>
      <c r="E187" s="919">
        <v>45</v>
      </c>
      <c r="F187" s="723">
        <f>+F175+F197+F180+F182+F184+F186</f>
        <v>0</v>
      </c>
      <c r="G187" s="724"/>
    </row>
    <row r="188" spans="2:7" ht="12.75" hidden="1" outlineLevel="1">
      <c r="B188" s="1076"/>
      <c r="C188" s="1076"/>
      <c r="D188" s="1076"/>
      <c r="E188" s="736"/>
      <c r="F188" s="737"/>
      <c r="G188" s="737"/>
    </row>
    <row r="189" spans="2:7" ht="12.75" hidden="1" outlineLevel="1">
      <c r="B189" s="1077" t="s">
        <v>1059</v>
      </c>
      <c r="C189" s="1077"/>
      <c r="D189" s="1077"/>
      <c r="E189" s="1077"/>
      <c r="F189" s="1077"/>
      <c r="G189" s="1077"/>
    </row>
    <row r="190" spans="2:7" ht="12.75" hidden="1" outlineLevel="1">
      <c r="B190" s="1074" t="s">
        <v>1060</v>
      </c>
      <c r="C190" s="1074"/>
      <c r="D190" s="1074"/>
      <c r="E190" s="732">
        <v>46</v>
      </c>
      <c r="F190" s="729">
        <v>0</v>
      </c>
      <c r="G190" s="733"/>
    </row>
    <row r="191" spans="2:7" ht="12.75" hidden="1" outlineLevel="1">
      <c r="B191" s="375"/>
      <c r="C191" s="1073" t="s">
        <v>1061</v>
      </c>
      <c r="D191" s="1073"/>
      <c r="E191" s="732">
        <f>1+E190</f>
        <v>47</v>
      </c>
      <c r="F191" s="729">
        <f>+F190*40%</f>
        <v>0</v>
      </c>
      <c r="G191" s="729"/>
    </row>
    <row r="192" spans="2:7" ht="12.75" hidden="1" outlineLevel="1">
      <c r="B192" s="1074" t="s">
        <v>1062</v>
      </c>
      <c r="C192" s="1074"/>
      <c r="D192" s="1074"/>
      <c r="E192" s="732">
        <f t="shared" ref="E192:E198" si="8">1+E191</f>
        <v>48</v>
      </c>
      <c r="F192" s="729">
        <v>0</v>
      </c>
      <c r="G192" s="733"/>
    </row>
    <row r="193" spans="2:7" ht="12.75" hidden="1" outlineLevel="1">
      <c r="B193" s="375"/>
      <c r="C193" s="1073" t="s">
        <v>1063</v>
      </c>
      <c r="D193" s="1073"/>
      <c r="E193" s="732">
        <f t="shared" si="8"/>
        <v>49</v>
      </c>
      <c r="F193" s="729">
        <f>+F192*10%</f>
        <v>0</v>
      </c>
      <c r="G193" s="729"/>
    </row>
    <row r="194" spans="2:7" ht="12.75" hidden="1" outlineLevel="1">
      <c r="B194" s="1074" t="s">
        <v>1064</v>
      </c>
      <c r="C194" s="1074"/>
      <c r="D194" s="1074"/>
      <c r="E194" s="732">
        <f t="shared" si="8"/>
        <v>50</v>
      </c>
      <c r="F194" s="729">
        <v>0</v>
      </c>
      <c r="G194" s="733"/>
    </row>
    <row r="195" spans="2:7" ht="12.75" hidden="1" outlineLevel="1">
      <c r="B195" s="375"/>
      <c r="C195" s="1073" t="s">
        <v>1065</v>
      </c>
      <c r="D195" s="1073"/>
      <c r="E195" s="732">
        <f t="shared" si="8"/>
        <v>51</v>
      </c>
      <c r="F195" s="729">
        <f>+F194*10%</f>
        <v>0</v>
      </c>
      <c r="G195" s="729"/>
    </row>
    <row r="196" spans="2:7" ht="12.75" hidden="1" outlineLevel="1">
      <c r="B196" s="1074" t="s">
        <v>1066</v>
      </c>
      <c r="C196" s="1074"/>
      <c r="D196" s="1074"/>
      <c r="E196" s="732">
        <f t="shared" si="8"/>
        <v>52</v>
      </c>
      <c r="F196" s="729">
        <v>0</v>
      </c>
      <c r="G196" s="733"/>
    </row>
    <row r="197" spans="2:7" ht="12.75" hidden="1" outlineLevel="1">
      <c r="B197" s="921"/>
      <c r="C197" s="1074" t="s">
        <v>1067</v>
      </c>
      <c r="D197" s="1074"/>
      <c r="E197" s="732">
        <f t="shared" si="8"/>
        <v>53</v>
      </c>
      <c r="F197" s="729">
        <f>+F196*2%</f>
        <v>0</v>
      </c>
      <c r="G197" s="729"/>
    </row>
    <row r="198" spans="2:7" ht="12.75" hidden="1" outlineLevel="1">
      <c r="B198" s="1075" t="s">
        <v>1068</v>
      </c>
      <c r="C198" s="1075"/>
      <c r="D198" s="1075"/>
      <c r="E198" s="919">
        <f t="shared" si="8"/>
        <v>54</v>
      </c>
      <c r="F198" s="724">
        <f>F191+F193+F195+F197</f>
        <v>0</v>
      </c>
      <c r="G198" s="724"/>
    </row>
    <row r="199" spans="2:7" ht="12.75" hidden="1" outlineLevel="1">
      <c r="B199" s="738"/>
      <c r="C199" s="738"/>
      <c r="D199" s="738"/>
      <c r="E199" s="739"/>
      <c r="F199" s="740"/>
      <c r="G199" s="740"/>
    </row>
    <row r="200" spans="2:7" ht="12.75" hidden="1" outlineLevel="1">
      <c r="B200" s="1075" t="s">
        <v>1069</v>
      </c>
      <c r="C200" s="1075"/>
      <c r="D200" s="1075"/>
      <c r="E200" s="919">
        <v>55</v>
      </c>
      <c r="F200" s="743">
        <f>+F171+F187</f>
        <v>0</v>
      </c>
      <c r="G200" s="744"/>
    </row>
    <row r="201" spans="2:7" ht="12.75" hidden="1" outlineLevel="1">
      <c r="B201" s="738"/>
      <c r="C201" s="738"/>
      <c r="D201" s="738"/>
      <c r="E201" s="739"/>
      <c r="F201" s="745"/>
      <c r="G201" s="745"/>
    </row>
    <row r="202" spans="2:7" ht="12.75" hidden="1" outlineLevel="1">
      <c r="B202" s="746" t="s">
        <v>1070</v>
      </c>
      <c r="C202" s="747"/>
      <c r="D202" s="748"/>
      <c r="E202" s="747"/>
      <c r="F202" s="747" t="s">
        <v>1071</v>
      </c>
      <c r="G202" s="747" t="s">
        <v>18</v>
      </c>
    </row>
    <row r="203" spans="2:7" ht="12.75" hidden="1" outlineLevel="1">
      <c r="B203" s="746"/>
      <c r="C203" s="747"/>
      <c r="D203" s="748"/>
      <c r="E203" s="747"/>
      <c r="F203" s="747"/>
      <c r="G203" s="747"/>
    </row>
    <row r="204" spans="2:7" ht="12.75" hidden="1" outlineLevel="1">
      <c r="B204" s="1072" t="s">
        <v>14</v>
      </c>
      <c r="C204" s="1072"/>
      <c r="D204" s="920" t="s">
        <v>1072</v>
      </c>
      <c r="E204" s="725">
        <v>56</v>
      </c>
      <c r="F204" s="749"/>
      <c r="G204" s="750">
        <f>+G88</f>
        <v>99989.61</v>
      </c>
    </row>
    <row r="205" spans="2:7" ht="12.75" hidden="1" outlineLevel="1">
      <c r="B205" s="1072"/>
      <c r="C205" s="1072"/>
      <c r="D205" s="920" t="s">
        <v>1073</v>
      </c>
      <c r="E205" s="725">
        <f>+E204+1</f>
        <v>57</v>
      </c>
      <c r="F205" s="751">
        <f>+STAT1!W228</f>
        <v>0</v>
      </c>
      <c r="G205" s="749"/>
    </row>
    <row r="206" spans="2:7" ht="12.75" hidden="1" outlineLevel="1">
      <c r="B206" s="1072" t="s">
        <v>1074</v>
      </c>
      <c r="C206" s="1072"/>
      <c r="D206" s="1072"/>
      <c r="E206" s="725">
        <f t="shared" ref="E206:E214" si="9">+E205+1</f>
        <v>58</v>
      </c>
      <c r="F206" s="750">
        <f>+F200</f>
        <v>0</v>
      </c>
      <c r="G206" s="749"/>
    </row>
    <row r="207" spans="2:7" ht="12.75" hidden="1" outlineLevel="1">
      <c r="B207" s="1072" t="s">
        <v>1075</v>
      </c>
      <c r="C207" s="1072"/>
      <c r="D207" s="920" t="s">
        <v>1076</v>
      </c>
      <c r="E207" s="725">
        <f t="shared" si="9"/>
        <v>59</v>
      </c>
      <c r="F207" s="749">
        <v>0</v>
      </c>
      <c r="G207" s="750"/>
    </row>
    <row r="208" spans="2:7" ht="12.75" hidden="1" outlineLevel="1">
      <c r="B208" s="1072"/>
      <c r="C208" s="1072"/>
      <c r="D208" s="920" t="s">
        <v>1077</v>
      </c>
      <c r="E208" s="725">
        <f t="shared" si="9"/>
        <v>60</v>
      </c>
      <c r="F208" s="749"/>
      <c r="G208" s="750"/>
    </row>
    <row r="209" spans="2:7" ht="12.75" hidden="1" outlineLevel="1">
      <c r="B209" s="1072" t="s">
        <v>1078</v>
      </c>
      <c r="C209" s="1072"/>
      <c r="D209" s="1072"/>
      <c r="E209" s="725">
        <f t="shared" si="9"/>
        <v>61</v>
      </c>
      <c r="F209" s="749"/>
      <c r="G209" s="750"/>
    </row>
    <row r="210" spans="2:7" ht="12.75" hidden="1" outlineLevel="1">
      <c r="B210" s="1072" t="s">
        <v>1079</v>
      </c>
      <c r="C210" s="1072"/>
      <c r="D210" s="1072"/>
      <c r="E210" s="725">
        <f t="shared" si="9"/>
        <v>62</v>
      </c>
      <c r="F210" s="749"/>
      <c r="G210" s="750"/>
    </row>
    <row r="211" spans="2:7" ht="12.75" hidden="1" outlineLevel="1">
      <c r="B211" s="1072" t="s">
        <v>1080</v>
      </c>
      <c r="C211" s="1072"/>
      <c r="D211" s="1072"/>
      <c r="E211" s="725">
        <f t="shared" si="9"/>
        <v>63</v>
      </c>
      <c r="F211" s="749"/>
      <c r="G211" s="750"/>
    </row>
    <row r="212" spans="2:7" ht="12.75" hidden="1" outlineLevel="1">
      <c r="B212" s="1072" t="s">
        <v>1081</v>
      </c>
      <c r="C212" s="1072"/>
      <c r="D212" s="1072"/>
      <c r="E212" s="725">
        <f t="shared" si="9"/>
        <v>64</v>
      </c>
      <c r="F212" s="750"/>
      <c r="G212" s="749"/>
    </row>
    <row r="213" spans="2:7" ht="12.75" hidden="1" outlineLevel="1">
      <c r="B213" s="1072" t="s">
        <v>15</v>
      </c>
      <c r="C213" s="1072"/>
      <c r="D213" s="920" t="s">
        <v>1072</v>
      </c>
      <c r="E213" s="725">
        <f t="shared" si="9"/>
        <v>65</v>
      </c>
      <c r="F213" s="749"/>
      <c r="G213" s="750"/>
    </row>
    <row r="214" spans="2:7" ht="12.75" hidden="1" outlineLevel="1">
      <c r="B214" s="1072"/>
      <c r="C214" s="1072"/>
      <c r="D214" s="920" t="s">
        <v>1073</v>
      </c>
      <c r="E214" s="725">
        <f t="shared" si="9"/>
        <v>66</v>
      </c>
      <c r="F214" s="750"/>
      <c r="G214" s="752">
        <f>+G209-F205</f>
        <v>0</v>
      </c>
    </row>
    <row r="215" spans="2:7" ht="12.75" hidden="1" outlineLevel="1">
      <c r="B215" s="205"/>
      <c r="C215" s="205"/>
      <c r="D215" s="718"/>
      <c r="E215" s="205"/>
      <c r="F215" s="753">
        <v>0</v>
      </c>
      <c r="G215" s="753">
        <v>99989.61</v>
      </c>
    </row>
    <row r="216" spans="2:7" ht="12.75" hidden="1" outlineLevel="1">
      <c r="B216" s="918"/>
      <c r="C216" s="205" t="s">
        <v>1082</v>
      </c>
      <c r="D216" s="718"/>
      <c r="E216" s="205" t="s">
        <v>1083</v>
      </c>
      <c r="F216" s="205"/>
      <c r="G216" s="753"/>
    </row>
    <row r="217" spans="2:7" ht="12.75" hidden="1" outlineLevel="1">
      <c r="B217" s="205"/>
      <c r="C217" s="205"/>
      <c r="D217" s="718"/>
      <c r="E217" s="205"/>
      <c r="F217" s="205"/>
      <c r="G217" s="205"/>
    </row>
    <row r="218" spans="2:7" ht="12.75" hidden="1" outlineLevel="1">
      <c r="B218" s="205"/>
      <c r="C218" s="205" t="s">
        <v>2771</v>
      </c>
      <c r="D218" s="718"/>
      <c r="E218" s="205" t="s">
        <v>1084</v>
      </c>
      <c r="F218" s="205"/>
      <c r="G218" s="205"/>
    </row>
    <row r="219" spans="2:7" ht="12.75" hidden="1" outlineLevel="1">
      <c r="B219" s="205"/>
      <c r="C219" s="205"/>
      <c r="D219" s="718"/>
      <c r="E219" s="205"/>
      <c r="F219" s="205"/>
      <c r="G219" s="205"/>
    </row>
    <row r="220" spans="2:7" ht="12.75" hidden="1" outlineLevel="1">
      <c r="B220" s="205"/>
      <c r="C220" s="205" t="s">
        <v>2772</v>
      </c>
      <c r="D220" s="718"/>
      <c r="E220" s="205"/>
      <c r="F220" s="205"/>
      <c r="G220" s="205"/>
    </row>
    <row r="221" spans="2:7" ht="12.75" hidden="1" outlineLevel="1">
      <c r="B221" s="205"/>
      <c r="C221" s="754"/>
      <c r="D221" s="718"/>
      <c r="E221" s="205"/>
      <c r="F221" s="205"/>
      <c r="G221" s="205"/>
    </row>
    <row r="222" spans="2:7" ht="12.75" hidden="1" outlineLevel="1">
      <c r="B222" s="205"/>
      <c r="C222" s="205" t="s">
        <v>2773</v>
      </c>
      <c r="D222" s="718"/>
      <c r="E222" s="205" t="s">
        <v>1085</v>
      </c>
      <c r="F222" s="205"/>
      <c r="G222" s="205"/>
    </row>
    <row r="223" spans="2:7" ht="13.5" hidden="1" outlineLevel="1" thickBot="1">
      <c r="B223" s="408"/>
      <c r="C223" s="408"/>
      <c r="D223" s="755"/>
      <c r="E223" s="408"/>
      <c r="F223" s="408"/>
      <c r="G223" s="408"/>
    </row>
    <row r="224" spans="2:7" ht="13.5" hidden="1" outlineLevel="1" thickTop="1">
      <c r="B224" s="758" t="s">
        <v>2767</v>
      </c>
      <c r="C224" s="238"/>
      <c r="D224" s="287"/>
      <c r="E224" s="238"/>
      <c r="F224" s="238"/>
      <c r="G224" s="238"/>
    </row>
    <row r="225" spans="2:7" ht="12.75" hidden="1" outlineLevel="1">
      <c r="B225" s="759" t="s">
        <v>2768</v>
      </c>
      <c r="C225" s="756"/>
      <c r="D225" s="757"/>
      <c r="E225" s="756"/>
      <c r="F225" s="756"/>
      <c r="G225" s="756"/>
    </row>
    <row r="226" spans="2:7" hidden="1" outlineLevel="1"/>
    <row r="227" spans="2:7" hidden="1" outlineLevel="1"/>
    <row r="228" spans="2:7" hidden="1" outlineLevel="1"/>
    <row r="229" spans="2:7" collapsed="1">
      <c r="B229" s="956" t="s">
        <v>2739</v>
      </c>
    </row>
    <row r="230" spans="2:7" ht="14.25" outlineLevel="1">
      <c r="B230" s="193" t="s">
        <v>997</v>
      </c>
      <c r="C230" s="194"/>
      <c r="D230" s="195"/>
      <c r="F230" s="194"/>
      <c r="G230" s="197" t="s">
        <v>998</v>
      </c>
    </row>
    <row r="231" spans="2:7" outlineLevel="1">
      <c r="B231" s="194"/>
      <c r="C231" s="194"/>
      <c r="D231" s="195"/>
      <c r="F231" s="194"/>
      <c r="G231" s="197" t="s">
        <v>999</v>
      </c>
    </row>
    <row r="232" spans="2:7" outlineLevel="1">
      <c r="B232" s="199"/>
      <c r="C232" s="194"/>
      <c r="D232" s="195"/>
      <c r="E232" s="194"/>
      <c r="F232" s="194"/>
      <c r="G232" s="194"/>
    </row>
    <row r="233" spans="2:7" ht="30.75" outlineLevel="1" thickBot="1">
      <c r="B233" s="200"/>
      <c r="C233" s="201"/>
      <c r="D233" s="1086" t="s">
        <v>1000</v>
      </c>
      <c r="E233" s="1086"/>
      <c r="F233" s="1086"/>
      <c r="G233" s="1086"/>
    </row>
    <row r="234" spans="2:7" ht="12.75" outlineLevel="1" thickTop="1">
      <c r="B234" s="199"/>
      <c r="C234" s="194"/>
      <c r="D234" s="195"/>
      <c r="E234" s="194"/>
      <c r="F234" s="194"/>
      <c r="G234" s="194"/>
    </row>
    <row r="235" spans="2:7" ht="18.75" outlineLevel="1">
      <c r="C235" s="202"/>
      <c r="D235" s="1087" t="s">
        <v>1001</v>
      </c>
      <c r="E235" s="1087"/>
      <c r="F235" s="1087"/>
      <c r="G235" s="1087"/>
    </row>
    <row r="236" spans="2:7" outlineLevel="1">
      <c r="B236" s="199"/>
      <c r="C236" s="194"/>
      <c r="D236" s="195"/>
      <c r="E236" s="194"/>
      <c r="F236" s="194"/>
      <c r="G236" s="194"/>
    </row>
    <row r="237" spans="2:7" ht="12.75" outlineLevel="1">
      <c r="B237" s="918" t="s">
        <v>2706</v>
      </c>
      <c r="C237" s="205"/>
      <c r="D237" s="205"/>
      <c r="E237" s="918" t="s">
        <v>2742</v>
      </c>
      <c r="F237" s="205"/>
      <c r="G237" s="205"/>
    </row>
    <row r="238" spans="2:7" ht="12.75" outlineLevel="1">
      <c r="B238" s="918" t="s">
        <v>2702</v>
      </c>
      <c r="C238" s="205"/>
      <c r="D238" s="718"/>
      <c r="E238" s="205"/>
      <c r="F238" s="205"/>
      <c r="G238" s="205"/>
    </row>
    <row r="239" spans="2:7" ht="12.75" outlineLevel="1">
      <c r="B239" s="918" t="s">
        <v>1002</v>
      </c>
      <c r="C239" s="205"/>
      <c r="D239" s="718"/>
      <c r="E239" s="205"/>
      <c r="F239" s="205"/>
      <c r="G239" s="205"/>
    </row>
    <row r="240" spans="2:7" ht="12.75" outlineLevel="1">
      <c r="B240" s="280" t="s">
        <v>2733</v>
      </c>
      <c r="C240" s="205"/>
      <c r="D240" s="205"/>
      <c r="E240" s="205"/>
      <c r="F240" s="205"/>
      <c r="G240" s="205"/>
    </row>
    <row r="241" spans="2:7" ht="12.75" outlineLevel="1">
      <c r="B241" s="280" t="s">
        <v>2734</v>
      </c>
      <c r="C241" s="205"/>
      <c r="D241" s="205"/>
      <c r="E241" s="205"/>
      <c r="F241" s="205"/>
      <c r="G241" s="205"/>
    </row>
    <row r="242" spans="2:7" ht="12.75" outlineLevel="1">
      <c r="B242" s="280" t="e">
        <v>#REF!</v>
      </c>
      <c r="C242" s="205"/>
      <c r="D242" s="718"/>
      <c r="E242" s="205"/>
      <c r="F242" s="205"/>
      <c r="G242" s="205"/>
    </row>
    <row r="243" spans="2:7" ht="12.75" outlineLevel="1">
      <c r="B243" s="280" t="s">
        <v>2736</v>
      </c>
      <c r="C243" s="205"/>
      <c r="D243" s="718"/>
      <c r="E243" s="205"/>
      <c r="F243" s="205"/>
      <c r="G243" s="205"/>
    </row>
    <row r="244" spans="2:7" ht="12.75" outlineLevel="1">
      <c r="B244" s="280" t="e">
        <v>#REF!</v>
      </c>
      <c r="C244" s="205"/>
      <c r="D244" s="718"/>
      <c r="E244" s="205"/>
      <c r="F244" s="205"/>
      <c r="G244" s="205"/>
    </row>
    <row r="245" spans="2:7" ht="12.75" outlineLevel="1">
      <c r="B245" s="918" t="s">
        <v>2743</v>
      </c>
      <c r="C245" s="205"/>
      <c r="D245" s="287"/>
      <c r="E245" s="205"/>
      <c r="F245" s="205"/>
      <c r="G245" s="205"/>
    </row>
    <row r="246" spans="2:7" ht="12.75" outlineLevel="1">
      <c r="B246" s="719" t="s">
        <v>1003</v>
      </c>
      <c r="C246" s="205"/>
      <c r="D246" s="287"/>
      <c r="E246" s="205"/>
      <c r="F246" s="205"/>
      <c r="G246" s="205"/>
    </row>
    <row r="247" spans="2:7" ht="12.75" outlineLevel="1">
      <c r="B247" s="918" t="s">
        <v>2744</v>
      </c>
      <c r="C247" s="205"/>
      <c r="D247" s="287"/>
      <c r="E247" s="205"/>
      <c r="F247" s="205"/>
      <c r="G247" s="205"/>
    </row>
    <row r="248" spans="2:7" ht="12.75" outlineLevel="1">
      <c r="B248" s="918" t="s">
        <v>2745</v>
      </c>
      <c r="C248" s="205"/>
      <c r="D248" s="718"/>
      <c r="E248" s="205"/>
      <c r="F248" s="205"/>
      <c r="G248" s="205"/>
    </row>
    <row r="249" spans="2:7" ht="12.75" outlineLevel="1">
      <c r="B249" s="918" t="s">
        <v>1004</v>
      </c>
      <c r="C249" s="205"/>
      <c r="D249" s="718"/>
      <c r="E249" s="205"/>
      <c r="F249" s="205"/>
      <c r="G249" s="205"/>
    </row>
    <row r="250" spans="2:7" ht="12.75" outlineLevel="1">
      <c r="B250" s="918" t="s">
        <v>1005</v>
      </c>
      <c r="C250" s="205"/>
      <c r="D250" s="718"/>
      <c r="E250" s="205"/>
      <c r="F250" s="205"/>
      <c r="G250" s="205"/>
    </row>
    <row r="251" spans="2:7" ht="12.75" outlineLevel="1">
      <c r="B251" s="1088" t="s">
        <v>1006</v>
      </c>
      <c r="C251" s="1088"/>
      <c r="D251" s="1088"/>
      <c r="E251" s="205"/>
      <c r="F251" s="206"/>
      <c r="G251" s="205"/>
    </row>
    <row r="252" spans="2:7" ht="12.75" outlineLevel="1">
      <c r="B252" s="720" t="s">
        <v>1007</v>
      </c>
      <c r="C252" s="205"/>
      <c r="D252" s="718"/>
      <c r="E252" s="205"/>
      <c r="F252" s="238"/>
      <c r="G252" s="721" t="s">
        <v>1008</v>
      </c>
    </row>
    <row r="253" spans="2:7" ht="38.25" outlineLevel="1">
      <c r="B253" s="1084" t="s">
        <v>1009</v>
      </c>
      <c r="C253" s="1084"/>
      <c r="D253" s="1084"/>
      <c r="E253" s="919" t="s">
        <v>1010</v>
      </c>
      <c r="F253" s="919" t="s">
        <v>1011</v>
      </c>
      <c r="G253" s="919" t="s">
        <v>1012</v>
      </c>
    </row>
    <row r="254" spans="2:7" ht="12.75" outlineLevel="1">
      <c r="B254" s="1075" t="s">
        <v>1013</v>
      </c>
      <c r="C254" s="1075"/>
      <c r="D254" s="1075"/>
      <c r="E254" s="722">
        <v>1</v>
      </c>
      <c r="F254" s="723">
        <f>+F255+F256+F257+F259+F258</f>
        <v>84500339.970181823</v>
      </c>
      <c r="G254" s="724"/>
    </row>
    <row r="255" spans="2:7" ht="12.75" outlineLevel="1">
      <c r="B255" s="1085" t="s">
        <v>1014</v>
      </c>
      <c r="C255" s="1071" t="s">
        <v>1015</v>
      </c>
      <c r="D255" s="1071"/>
      <c r="E255" s="725">
        <f>1+E254</f>
        <v>2</v>
      </c>
      <c r="F255" s="726"/>
      <c r="G255" s="727"/>
    </row>
    <row r="256" spans="2:7" ht="12.75" outlineLevel="1">
      <c r="B256" s="1085"/>
      <c r="C256" s="1071" t="s">
        <v>1016</v>
      </c>
      <c r="D256" s="1071"/>
      <c r="E256" s="725">
        <f t="shared" ref="E256:E283" si="10">1+E255</f>
        <v>3</v>
      </c>
      <c r="F256" s="726">
        <f>+F287+F289+F294+F296+F298</f>
        <v>0</v>
      </c>
      <c r="G256" s="727"/>
    </row>
    <row r="257" spans="2:7" ht="12.75" outlineLevel="1">
      <c r="B257" s="1085"/>
      <c r="C257" s="1071" t="s">
        <v>1017</v>
      </c>
      <c r="D257" s="1071"/>
      <c r="E257" s="725">
        <f t="shared" si="10"/>
        <v>4</v>
      </c>
      <c r="F257" s="726"/>
      <c r="G257" s="727"/>
    </row>
    <row r="258" spans="2:7" ht="12.75" outlineLevel="1">
      <c r="B258" s="1085"/>
      <c r="C258" s="1071" t="s">
        <v>1018</v>
      </c>
      <c r="D258" s="1071"/>
      <c r="E258" s="725">
        <f t="shared" si="10"/>
        <v>5</v>
      </c>
      <c r="F258" s="726">
        <f>+'TT-z'!I221</f>
        <v>45475.252</v>
      </c>
      <c r="G258" s="727"/>
    </row>
    <row r="259" spans="2:7" ht="12.75" outlineLevel="1">
      <c r="B259" s="1085"/>
      <c r="C259" s="1071" t="s">
        <v>1019</v>
      </c>
      <c r="D259" s="1071"/>
      <c r="E259" s="725">
        <f t="shared" si="10"/>
        <v>6</v>
      </c>
      <c r="F259" s="726">
        <f>SUM(F260:F270)</f>
        <v>84454864.718181819</v>
      </c>
      <c r="G259" s="727"/>
    </row>
    <row r="260" spans="2:7" ht="25.5" outlineLevel="1">
      <c r="B260" s="1085"/>
      <c r="C260" s="1085" t="s">
        <v>1014</v>
      </c>
      <c r="D260" s="920" t="s">
        <v>1020</v>
      </c>
      <c r="E260" s="725">
        <f t="shared" si="10"/>
        <v>7</v>
      </c>
      <c r="F260" s="726">
        <f>+IS!G7+IS!F7+IS!E7</f>
        <v>84454864.718181819</v>
      </c>
      <c r="G260" s="727"/>
    </row>
    <row r="261" spans="2:7" ht="12.75" outlineLevel="1">
      <c r="B261" s="1085"/>
      <c r="C261" s="1085"/>
      <c r="D261" s="920" t="s">
        <v>1021</v>
      </c>
      <c r="E261" s="725">
        <f t="shared" si="10"/>
        <v>8</v>
      </c>
      <c r="F261" s="726">
        <f>+IS!E10+IS!F10+IS!G10</f>
        <v>0</v>
      </c>
      <c r="G261" s="727"/>
    </row>
    <row r="262" spans="2:7" ht="12.75" outlineLevel="1">
      <c r="B262" s="1085"/>
      <c r="C262" s="1085"/>
      <c r="D262" s="920" t="s">
        <v>1022</v>
      </c>
      <c r="E262" s="725">
        <f t="shared" si="10"/>
        <v>9</v>
      </c>
      <c r="F262" s="726">
        <v>0</v>
      </c>
      <c r="G262" s="727"/>
    </row>
    <row r="263" spans="2:7" ht="12.75" outlineLevel="1">
      <c r="B263" s="1085"/>
      <c r="C263" s="1085"/>
      <c r="D263" s="920" t="s">
        <v>1023</v>
      </c>
      <c r="E263" s="725">
        <f t="shared" si="10"/>
        <v>10</v>
      </c>
      <c r="F263" s="726"/>
      <c r="G263" s="727"/>
    </row>
    <row r="264" spans="2:7" ht="12.75" outlineLevel="1">
      <c r="B264" s="1085"/>
      <c r="C264" s="1085"/>
      <c r="D264" s="920" t="s">
        <v>828</v>
      </c>
      <c r="E264" s="725">
        <f t="shared" si="10"/>
        <v>11</v>
      </c>
      <c r="F264" s="726">
        <v>0</v>
      </c>
      <c r="G264" s="727"/>
    </row>
    <row r="265" spans="2:7" ht="25.5" outlineLevel="1">
      <c r="B265" s="1085"/>
      <c r="C265" s="1085"/>
      <c r="D265" s="920" t="s">
        <v>1024</v>
      </c>
      <c r="E265" s="725">
        <f t="shared" si="10"/>
        <v>12</v>
      </c>
      <c r="F265" s="726"/>
      <c r="G265" s="727"/>
    </row>
    <row r="266" spans="2:7" ht="25.5" outlineLevel="1">
      <c r="B266" s="1085"/>
      <c r="C266" s="1085"/>
      <c r="D266" s="920" t="s">
        <v>1025</v>
      </c>
      <c r="E266" s="725">
        <f t="shared" si="10"/>
        <v>13</v>
      </c>
      <c r="F266" s="726">
        <v>0</v>
      </c>
      <c r="G266" s="727"/>
    </row>
    <row r="267" spans="2:7" ht="12.75" outlineLevel="1">
      <c r="B267" s="1085"/>
      <c r="C267" s="1085"/>
      <c r="D267" s="920" t="s">
        <v>1026</v>
      </c>
      <c r="E267" s="725">
        <f t="shared" si="10"/>
        <v>14</v>
      </c>
      <c r="F267" s="726">
        <f>+STAT1!S197+STAT2!S197+STAT3!S197</f>
        <v>0</v>
      </c>
      <c r="G267" s="727"/>
    </row>
    <row r="268" spans="2:7" ht="12.75" outlineLevel="1">
      <c r="B268" s="1085"/>
      <c r="C268" s="1085"/>
      <c r="D268" s="920" t="s">
        <v>1027</v>
      </c>
      <c r="E268" s="725">
        <f t="shared" si="10"/>
        <v>15</v>
      </c>
      <c r="F268" s="726">
        <v>0</v>
      </c>
      <c r="G268" s="727"/>
    </row>
    <row r="269" spans="2:7" ht="12.75" outlineLevel="1">
      <c r="B269" s="1085"/>
      <c r="C269" s="1085"/>
      <c r="D269" s="920" t="s">
        <v>1028</v>
      </c>
      <c r="E269" s="725">
        <f t="shared" si="10"/>
        <v>16</v>
      </c>
      <c r="F269" s="726">
        <v>0</v>
      </c>
      <c r="G269" s="727"/>
    </row>
    <row r="270" spans="2:7" ht="12.75" outlineLevel="1">
      <c r="B270" s="1085"/>
      <c r="C270" s="1085"/>
      <c r="D270" s="920" t="s">
        <v>1029</v>
      </c>
      <c r="E270" s="725">
        <f t="shared" si="10"/>
        <v>17</v>
      </c>
      <c r="F270" s="726">
        <v>0</v>
      </c>
      <c r="G270" s="727"/>
    </row>
    <row r="271" spans="2:7" ht="12.75" outlineLevel="1">
      <c r="B271" s="1074" t="s">
        <v>1030</v>
      </c>
      <c r="C271" s="1074"/>
      <c r="D271" s="1074"/>
      <c r="E271" s="725">
        <f t="shared" si="10"/>
        <v>18</v>
      </c>
      <c r="F271" s="726">
        <f>+IS!E8+IS!F8+IS!G8</f>
        <v>54685980.274158224</v>
      </c>
      <c r="G271" s="727"/>
    </row>
    <row r="272" spans="2:7" ht="12.75" outlineLevel="1">
      <c r="B272" s="1073" t="s">
        <v>1031</v>
      </c>
      <c r="C272" s="1073"/>
      <c r="D272" s="1073"/>
      <c r="E272" s="725">
        <f t="shared" si="10"/>
        <v>19</v>
      </c>
      <c r="F272" s="726">
        <f>+IS!E16+IS!F16+IS!G16</f>
        <v>110076150.46286301</v>
      </c>
      <c r="G272" s="727"/>
    </row>
    <row r="273" spans="2:7" ht="12.75" outlineLevel="1">
      <c r="B273" s="1073" t="s">
        <v>1032</v>
      </c>
      <c r="C273" s="1073"/>
      <c r="D273" s="1073"/>
      <c r="E273" s="725">
        <f t="shared" si="10"/>
        <v>20</v>
      </c>
      <c r="F273" s="726">
        <f>+'TT-z'!E221</f>
        <v>14670.259999999998</v>
      </c>
      <c r="G273" s="727"/>
    </row>
    <row r="274" spans="2:7" ht="12.75" outlineLevel="1">
      <c r="B274" s="1073" t="s">
        <v>1033</v>
      </c>
      <c r="C274" s="1073"/>
      <c r="D274" s="1073"/>
      <c r="E274" s="725">
        <f t="shared" si="10"/>
        <v>21</v>
      </c>
      <c r="F274" s="723">
        <f>+F254-F271-F272-F273</f>
        <v>-80276461.02683942</v>
      </c>
      <c r="G274" s="724"/>
    </row>
    <row r="275" spans="2:7" ht="12.75" outlineLevel="1">
      <c r="B275" s="1083" t="s">
        <v>1034</v>
      </c>
      <c r="C275" s="1083"/>
      <c r="D275" s="1083"/>
      <c r="E275" s="725">
        <f t="shared" si="10"/>
        <v>22</v>
      </c>
      <c r="F275" s="726">
        <f>+'TT-z'!E221</f>
        <v>14670.259999999998</v>
      </c>
      <c r="G275" s="727"/>
    </row>
    <row r="276" spans="2:7" ht="12.75" outlineLevel="1">
      <c r="B276" s="1073" t="s">
        <v>1035</v>
      </c>
      <c r="C276" s="1073"/>
      <c r="D276" s="1073"/>
      <c r="E276" s="725">
        <f t="shared" si="10"/>
        <v>23</v>
      </c>
      <c r="F276" s="726">
        <f>+'TT-z'!I208+'TT-z'!I221</f>
        <v>45475.252</v>
      </c>
      <c r="G276" s="727"/>
    </row>
    <row r="277" spans="2:7" ht="12.75" outlineLevel="1">
      <c r="B277" s="1073" t="s">
        <v>1036</v>
      </c>
      <c r="C277" s="1073"/>
      <c r="D277" s="1073"/>
      <c r="E277" s="725">
        <f t="shared" si="10"/>
        <v>24</v>
      </c>
      <c r="F277" s="728">
        <f>+F274+F275-F276</f>
        <v>-80307266.018839419</v>
      </c>
      <c r="G277" s="727"/>
    </row>
    <row r="278" spans="2:7" ht="12.75" outlineLevel="1">
      <c r="B278" s="1073" t="s">
        <v>1037</v>
      </c>
      <c r="C278" s="1073"/>
      <c r="D278" s="1073"/>
      <c r="E278" s="725">
        <f t="shared" si="10"/>
        <v>25</v>
      </c>
      <c r="F278" s="726">
        <f>+'TT-z'!H226</f>
        <v>0</v>
      </c>
      <c r="G278" s="727"/>
    </row>
    <row r="279" spans="2:7" ht="12.75" outlineLevel="1">
      <c r="B279" s="1073" t="s">
        <v>1038</v>
      </c>
      <c r="C279" s="1073"/>
      <c r="D279" s="1073"/>
      <c r="E279" s="725">
        <f t="shared" si="10"/>
        <v>26</v>
      </c>
      <c r="F279" s="723">
        <f>+F277+F278</f>
        <v>-80307266.018839419</v>
      </c>
      <c r="G279" s="727"/>
    </row>
    <row r="280" spans="2:7" ht="12.75" outlineLevel="1">
      <c r="B280" s="1073" t="s">
        <v>1039</v>
      </c>
      <c r="C280" s="1073"/>
      <c r="D280" s="1073"/>
      <c r="E280" s="725">
        <f t="shared" si="10"/>
        <v>27</v>
      </c>
      <c r="F280" s="726">
        <f>+'TT-z'!H227</f>
        <v>0</v>
      </c>
      <c r="G280" s="727"/>
    </row>
    <row r="281" spans="2:7" ht="12.75" outlineLevel="1">
      <c r="B281" s="1073" t="s">
        <v>1040</v>
      </c>
      <c r="C281" s="1073"/>
      <c r="D281" s="1073"/>
      <c r="E281" s="725">
        <f t="shared" si="10"/>
        <v>28</v>
      </c>
      <c r="F281" s="723">
        <f>+F279-F280</f>
        <v>-80307266.018839419</v>
      </c>
      <c r="G281" s="727"/>
    </row>
    <row r="282" spans="2:7" ht="12.75" outlineLevel="1">
      <c r="B282" s="1073" t="s">
        <v>1041</v>
      </c>
      <c r="C282" s="1073"/>
      <c r="D282" s="1073"/>
      <c r="E282" s="725">
        <f t="shared" si="10"/>
        <v>29</v>
      </c>
      <c r="F282" s="729">
        <f>+IF(F281&gt;0,F281*0.1,0)</f>
        <v>0</v>
      </c>
      <c r="G282" s="727"/>
    </row>
    <row r="283" spans="2:7" ht="12.75" outlineLevel="1">
      <c r="B283" s="1073" t="s">
        <v>1042</v>
      </c>
      <c r="C283" s="1073"/>
      <c r="D283" s="1073"/>
      <c r="E283" s="725">
        <f t="shared" si="10"/>
        <v>30</v>
      </c>
      <c r="F283" s="729"/>
      <c r="G283" s="727"/>
    </row>
    <row r="284" spans="2:7" ht="12.75" outlineLevel="1">
      <c r="B284" s="1075" t="s">
        <v>1043</v>
      </c>
      <c r="C284" s="1075"/>
      <c r="D284" s="1075"/>
      <c r="E284" s="919">
        <v>31</v>
      </c>
      <c r="F284" s="730">
        <f>+F282</f>
        <v>0</v>
      </c>
      <c r="G284" s="731"/>
    </row>
    <row r="285" spans="2:7" ht="12.75" outlineLevel="1">
      <c r="B285" s="1076"/>
      <c r="C285" s="1076"/>
      <c r="D285" s="1076"/>
      <c r="E285" s="1076"/>
      <c r="F285" s="1076"/>
      <c r="G285" s="1076"/>
    </row>
    <row r="286" spans="2:7" ht="12.75" outlineLevel="1">
      <c r="B286" s="1077" t="s">
        <v>1044</v>
      </c>
      <c r="C286" s="1077"/>
      <c r="D286" s="1077"/>
      <c r="E286" s="1077"/>
      <c r="F286" s="1077"/>
      <c r="G286" s="1077"/>
    </row>
    <row r="287" spans="2:7" ht="12.75" outlineLevel="1">
      <c r="B287" s="1073" t="s">
        <v>1045</v>
      </c>
      <c r="C287" s="1073"/>
      <c r="D287" s="1073"/>
      <c r="E287" s="732">
        <v>32</v>
      </c>
      <c r="F287" s="729"/>
      <c r="G287" s="733"/>
    </row>
    <row r="288" spans="2:7" ht="12.75" outlineLevel="1">
      <c r="B288" s="375"/>
      <c r="C288" s="1073" t="s">
        <v>1046</v>
      </c>
      <c r="D288" s="1073"/>
      <c r="E288" s="732">
        <f>1+E287</f>
        <v>33</v>
      </c>
      <c r="F288" s="729">
        <f>+F287*40%</f>
        <v>0</v>
      </c>
      <c r="G288" s="729"/>
    </row>
    <row r="289" spans="2:7" ht="12.75" outlineLevel="1">
      <c r="B289" s="1074" t="s">
        <v>1047</v>
      </c>
      <c r="C289" s="1074"/>
      <c r="D289" s="1074"/>
      <c r="E289" s="732">
        <f t="shared" ref="E289:E299" si="11">1+E288</f>
        <v>34</v>
      </c>
      <c r="F289" s="729"/>
      <c r="G289" s="734"/>
    </row>
    <row r="290" spans="2:7" ht="12.75" outlineLevel="1">
      <c r="B290" s="1082"/>
      <c r="C290" s="1074" t="s">
        <v>1048</v>
      </c>
      <c r="D290" s="1074"/>
      <c r="E290" s="732">
        <f t="shared" si="11"/>
        <v>35</v>
      </c>
      <c r="F290" s="729"/>
      <c r="G290" s="734"/>
    </row>
    <row r="291" spans="2:7" ht="12.75" outlineLevel="1">
      <c r="B291" s="1082"/>
      <c r="C291" s="1074" t="s">
        <v>1049</v>
      </c>
      <c r="D291" s="1074"/>
      <c r="E291" s="732">
        <f t="shared" si="11"/>
        <v>36</v>
      </c>
      <c r="F291" s="729"/>
      <c r="G291" s="734"/>
    </row>
    <row r="292" spans="2:7" ht="12.75" outlineLevel="1">
      <c r="B292" s="1082"/>
      <c r="C292" s="1074" t="s">
        <v>1050</v>
      </c>
      <c r="D292" s="1074"/>
      <c r="E292" s="732">
        <f t="shared" si="11"/>
        <v>37</v>
      </c>
      <c r="F292" s="729">
        <f>+F289-F290-F291</f>
        <v>0</v>
      </c>
      <c r="G292" s="729"/>
    </row>
    <row r="293" spans="2:7" ht="12.75" outlineLevel="1">
      <c r="B293" s="1082"/>
      <c r="C293" s="1074" t="s">
        <v>1051</v>
      </c>
      <c r="D293" s="1074"/>
      <c r="E293" s="732">
        <f t="shared" si="11"/>
        <v>38</v>
      </c>
      <c r="F293" s="729">
        <f>+F292*40%</f>
        <v>0</v>
      </c>
      <c r="G293" s="729"/>
    </row>
    <row r="294" spans="2:7" ht="12.75" outlineLevel="1">
      <c r="B294" s="1074" t="s">
        <v>1052</v>
      </c>
      <c r="C294" s="1074"/>
      <c r="D294" s="1074"/>
      <c r="E294" s="732">
        <f t="shared" si="11"/>
        <v>39</v>
      </c>
      <c r="F294" s="600">
        <f>IS!I240</f>
        <v>0</v>
      </c>
      <c r="G294" s="734"/>
    </row>
    <row r="295" spans="2:7" ht="12.75" outlineLevel="1">
      <c r="B295" s="917"/>
      <c r="C295" s="1074" t="s">
        <v>1053</v>
      </c>
      <c r="D295" s="1074"/>
      <c r="E295" s="732">
        <f t="shared" si="11"/>
        <v>40</v>
      </c>
      <c r="F295" s="600">
        <f>+F294*10%</f>
        <v>0</v>
      </c>
      <c r="G295" s="729"/>
    </row>
    <row r="296" spans="2:7" ht="12.75" outlineLevel="1">
      <c r="B296" s="1074" t="s">
        <v>1054</v>
      </c>
      <c r="C296" s="1074"/>
      <c r="D296" s="1074"/>
      <c r="E296" s="732">
        <f t="shared" si="11"/>
        <v>41</v>
      </c>
      <c r="F296" s="729"/>
      <c r="G296" s="734"/>
    </row>
    <row r="297" spans="2:7" ht="12.75" outlineLevel="1">
      <c r="B297" s="917"/>
      <c r="C297" s="1074" t="s">
        <v>1055</v>
      </c>
      <c r="D297" s="1074"/>
      <c r="E297" s="732">
        <f t="shared" si="11"/>
        <v>42</v>
      </c>
      <c r="F297" s="729"/>
      <c r="G297" s="734"/>
    </row>
    <row r="298" spans="2:7" ht="12.75" outlineLevel="1">
      <c r="B298" s="1074" t="s">
        <v>1056</v>
      </c>
      <c r="C298" s="1074"/>
      <c r="D298" s="1074"/>
      <c r="E298" s="732">
        <f t="shared" si="11"/>
        <v>43</v>
      </c>
      <c r="F298" s="729"/>
      <c r="G298" s="734"/>
    </row>
    <row r="299" spans="2:7" ht="12.75" outlineLevel="1">
      <c r="B299" s="917"/>
      <c r="C299" s="1074" t="s">
        <v>1057</v>
      </c>
      <c r="D299" s="1074"/>
      <c r="E299" s="732">
        <f t="shared" si="11"/>
        <v>44</v>
      </c>
      <c r="F299" s="729"/>
      <c r="G299" s="734"/>
    </row>
    <row r="300" spans="2:7" ht="12.75" outlineLevel="1">
      <c r="B300" s="1075" t="s">
        <v>1058</v>
      </c>
      <c r="C300" s="1075"/>
      <c r="D300" s="1075"/>
      <c r="E300" s="919">
        <v>45</v>
      </c>
      <c r="F300" s="723">
        <f>+F288+F310+F293+F295+F297+F299</f>
        <v>0</v>
      </c>
      <c r="G300" s="724"/>
    </row>
    <row r="301" spans="2:7" ht="12.75" outlineLevel="1">
      <c r="B301" s="1076"/>
      <c r="C301" s="1076"/>
      <c r="D301" s="1076"/>
      <c r="E301" s="736"/>
      <c r="F301" s="737"/>
      <c r="G301" s="737"/>
    </row>
    <row r="302" spans="2:7" ht="12.75" outlineLevel="1">
      <c r="B302" s="1077" t="s">
        <v>1059</v>
      </c>
      <c r="C302" s="1077"/>
      <c r="D302" s="1077"/>
      <c r="E302" s="1077"/>
      <c r="F302" s="1077"/>
      <c r="G302" s="1077"/>
    </row>
    <row r="303" spans="2:7" ht="12.75" outlineLevel="1">
      <c r="B303" s="1074" t="s">
        <v>1060</v>
      </c>
      <c r="C303" s="1074"/>
      <c r="D303" s="1074"/>
      <c r="E303" s="732">
        <v>46</v>
      </c>
      <c r="F303" s="729">
        <v>0</v>
      </c>
      <c r="G303" s="733"/>
    </row>
    <row r="304" spans="2:7" ht="12.75" outlineLevel="1">
      <c r="B304" s="375"/>
      <c r="C304" s="1073" t="s">
        <v>1061</v>
      </c>
      <c r="D304" s="1073"/>
      <c r="E304" s="732">
        <f>1+E303</f>
        <v>47</v>
      </c>
      <c r="F304" s="729">
        <f>+F303*40%</f>
        <v>0</v>
      </c>
      <c r="G304" s="729"/>
    </row>
    <row r="305" spans="2:7" ht="12.75" outlineLevel="1">
      <c r="B305" s="1074" t="s">
        <v>1062</v>
      </c>
      <c r="C305" s="1074"/>
      <c r="D305" s="1074"/>
      <c r="E305" s="732">
        <f t="shared" ref="E305:E311" si="12">1+E304</f>
        <v>48</v>
      </c>
      <c r="F305" s="729">
        <v>0</v>
      </c>
      <c r="G305" s="733"/>
    </row>
    <row r="306" spans="2:7" ht="12.75" outlineLevel="1">
      <c r="B306" s="375"/>
      <c r="C306" s="1073" t="s">
        <v>1063</v>
      </c>
      <c r="D306" s="1073"/>
      <c r="E306" s="732">
        <f t="shared" si="12"/>
        <v>49</v>
      </c>
      <c r="F306" s="729">
        <f>+F305*10%</f>
        <v>0</v>
      </c>
      <c r="G306" s="729"/>
    </row>
    <row r="307" spans="2:7" ht="12.75" outlineLevel="1">
      <c r="B307" s="1074" t="s">
        <v>1064</v>
      </c>
      <c r="C307" s="1074"/>
      <c r="D307" s="1074"/>
      <c r="E307" s="732">
        <f t="shared" si="12"/>
        <v>50</v>
      </c>
      <c r="F307" s="729">
        <v>0</v>
      </c>
      <c r="G307" s="733"/>
    </row>
    <row r="308" spans="2:7" ht="12.75" outlineLevel="1">
      <c r="B308" s="375"/>
      <c r="C308" s="1073" t="s">
        <v>1065</v>
      </c>
      <c r="D308" s="1073"/>
      <c r="E308" s="732">
        <f t="shared" si="12"/>
        <v>51</v>
      </c>
      <c r="F308" s="729">
        <f>+F307*10%</f>
        <v>0</v>
      </c>
      <c r="G308" s="729"/>
    </row>
    <row r="309" spans="2:7" ht="12.75" outlineLevel="1">
      <c r="B309" s="1074" t="s">
        <v>1066</v>
      </c>
      <c r="C309" s="1074"/>
      <c r="D309" s="1074"/>
      <c r="E309" s="732">
        <f t="shared" si="12"/>
        <v>52</v>
      </c>
      <c r="F309" s="729">
        <v>0</v>
      </c>
      <c r="G309" s="733"/>
    </row>
    <row r="310" spans="2:7" ht="12.75" outlineLevel="1">
      <c r="B310" s="921"/>
      <c r="C310" s="1074" t="s">
        <v>1067</v>
      </c>
      <c r="D310" s="1074"/>
      <c r="E310" s="732">
        <f t="shared" si="12"/>
        <v>53</v>
      </c>
      <c r="F310" s="729">
        <f>+F309*2%</f>
        <v>0</v>
      </c>
      <c r="G310" s="729"/>
    </row>
    <row r="311" spans="2:7" ht="12.75" outlineLevel="1">
      <c r="B311" s="1075" t="s">
        <v>1068</v>
      </c>
      <c r="C311" s="1075"/>
      <c r="D311" s="1075"/>
      <c r="E311" s="919">
        <f t="shared" si="12"/>
        <v>54</v>
      </c>
      <c r="F311" s="724">
        <f>F304+F306+F308+F310</f>
        <v>0</v>
      </c>
      <c r="G311" s="724"/>
    </row>
    <row r="312" spans="2:7" ht="12.75" outlineLevel="1">
      <c r="B312" s="738"/>
      <c r="C312" s="738"/>
      <c r="D312" s="738"/>
      <c r="E312" s="739"/>
      <c r="F312" s="740"/>
      <c r="G312" s="740"/>
    </row>
    <row r="313" spans="2:7" ht="12.75" outlineLevel="1">
      <c r="B313" s="1075" t="s">
        <v>1069</v>
      </c>
      <c r="C313" s="1075"/>
      <c r="D313" s="1075"/>
      <c r="E313" s="919">
        <v>55</v>
      </c>
      <c r="F313" s="743">
        <f>+F284+F300</f>
        <v>0</v>
      </c>
      <c r="G313" s="744"/>
    </row>
    <row r="314" spans="2:7" ht="12.75" outlineLevel="1">
      <c r="B314" s="738"/>
      <c r="C314" s="738"/>
      <c r="D314" s="738"/>
      <c r="E314" s="739"/>
      <c r="F314" s="745"/>
      <c r="G314" s="745"/>
    </row>
    <row r="315" spans="2:7" ht="12.75" outlineLevel="1">
      <c r="B315" s="746" t="s">
        <v>1070</v>
      </c>
      <c r="C315" s="747"/>
      <c r="D315" s="748"/>
      <c r="E315" s="747"/>
      <c r="F315" s="747" t="s">
        <v>1071</v>
      </c>
      <c r="G315" s="747" t="s">
        <v>18</v>
      </c>
    </row>
    <row r="316" spans="2:7" ht="12.75" outlineLevel="1">
      <c r="B316" s="746"/>
      <c r="C316" s="747"/>
      <c r="D316" s="748"/>
      <c r="E316" s="747"/>
      <c r="F316" s="747"/>
      <c r="G316" s="747"/>
    </row>
    <row r="317" spans="2:7" ht="12.75" outlineLevel="1">
      <c r="B317" s="1072" t="s">
        <v>14</v>
      </c>
      <c r="C317" s="1072"/>
      <c r="D317" s="920" t="s">
        <v>1072</v>
      </c>
      <c r="E317" s="725">
        <v>56</v>
      </c>
      <c r="F317" s="749"/>
      <c r="G317" s="750"/>
    </row>
    <row r="318" spans="2:7" ht="12.75" outlineLevel="1">
      <c r="B318" s="1072"/>
      <c r="C318" s="1072"/>
      <c r="D318" s="920" t="s">
        <v>1073</v>
      </c>
      <c r="E318" s="725">
        <f>+E317+1</f>
        <v>57</v>
      </c>
      <c r="F318" s="751">
        <f>+STAT1!W341</f>
        <v>0</v>
      </c>
      <c r="G318" s="749"/>
    </row>
    <row r="319" spans="2:7" ht="12.75" outlineLevel="1">
      <c r="B319" s="1072" t="s">
        <v>1074</v>
      </c>
      <c r="C319" s="1072"/>
      <c r="D319" s="1072"/>
      <c r="E319" s="725">
        <f t="shared" ref="E319:E327" si="13">+E318+1</f>
        <v>58</v>
      </c>
      <c r="F319" s="750">
        <f>+F313</f>
        <v>0</v>
      </c>
      <c r="G319" s="749"/>
    </row>
    <row r="320" spans="2:7" ht="12.75" outlineLevel="1">
      <c r="B320" s="1072" t="s">
        <v>1075</v>
      </c>
      <c r="C320" s="1072"/>
      <c r="D320" s="920" t="s">
        <v>1076</v>
      </c>
      <c r="E320" s="725">
        <f t="shared" si="13"/>
        <v>59</v>
      </c>
      <c r="F320" s="749">
        <v>0</v>
      </c>
      <c r="G320" s="750"/>
    </row>
    <row r="321" spans="2:7" ht="12.75" outlineLevel="1">
      <c r="B321" s="1072"/>
      <c r="C321" s="1072"/>
      <c r="D321" s="920" t="s">
        <v>1077</v>
      </c>
      <c r="E321" s="725">
        <f t="shared" si="13"/>
        <v>60</v>
      </c>
      <c r="F321" s="749"/>
      <c r="G321" s="750"/>
    </row>
    <row r="322" spans="2:7" ht="12.75" outlineLevel="1">
      <c r="B322" s="1072" t="s">
        <v>1078</v>
      </c>
      <c r="C322" s="1072"/>
      <c r="D322" s="1072"/>
      <c r="E322" s="725">
        <f t="shared" si="13"/>
        <v>61</v>
      </c>
      <c r="F322" s="749"/>
      <c r="G322" s="750"/>
    </row>
    <row r="323" spans="2:7" ht="12.75" outlineLevel="1">
      <c r="B323" s="1072" t="s">
        <v>1079</v>
      </c>
      <c r="C323" s="1072"/>
      <c r="D323" s="1072"/>
      <c r="E323" s="725">
        <f t="shared" si="13"/>
        <v>62</v>
      </c>
      <c r="F323" s="749"/>
      <c r="G323" s="750"/>
    </row>
    <row r="324" spans="2:7" ht="12.75" outlineLevel="1">
      <c r="B324" s="1072" t="s">
        <v>1080</v>
      </c>
      <c r="C324" s="1072"/>
      <c r="D324" s="1072"/>
      <c r="E324" s="725">
        <f t="shared" si="13"/>
        <v>63</v>
      </c>
      <c r="F324" s="749"/>
      <c r="G324" s="750"/>
    </row>
    <row r="325" spans="2:7" ht="12.75" outlineLevel="1">
      <c r="B325" s="1072" t="s">
        <v>1081</v>
      </c>
      <c r="C325" s="1072"/>
      <c r="D325" s="1072"/>
      <c r="E325" s="725">
        <f t="shared" si="13"/>
        <v>64</v>
      </c>
      <c r="F325" s="750"/>
      <c r="G325" s="749"/>
    </row>
    <row r="326" spans="2:7" ht="12.75" outlineLevel="1">
      <c r="B326" s="1072" t="s">
        <v>15</v>
      </c>
      <c r="C326" s="1072"/>
      <c r="D326" s="920" t="s">
        <v>1072</v>
      </c>
      <c r="E326" s="725">
        <f t="shared" si="13"/>
        <v>65</v>
      </c>
      <c r="F326" s="749"/>
      <c r="G326" s="750"/>
    </row>
    <row r="327" spans="2:7" ht="12.75" outlineLevel="1">
      <c r="B327" s="1072"/>
      <c r="C327" s="1072"/>
      <c r="D327" s="920" t="s">
        <v>1073</v>
      </c>
      <c r="E327" s="725">
        <f t="shared" si="13"/>
        <v>66</v>
      </c>
      <c r="F327" s="750"/>
      <c r="G327" s="752">
        <f>+G322-F318</f>
        <v>0</v>
      </c>
    </row>
    <row r="328" spans="2:7" ht="12.75" outlineLevel="1">
      <c r="B328" s="205"/>
      <c r="C328" s="205"/>
      <c r="D328" s="718"/>
      <c r="E328" s="205"/>
      <c r="F328" s="753">
        <v>0</v>
      </c>
      <c r="G328" s="753">
        <v>99989.61</v>
      </c>
    </row>
    <row r="329" spans="2:7" ht="12.75" outlineLevel="1">
      <c r="B329" s="918"/>
      <c r="C329" s="205" t="s">
        <v>1082</v>
      </c>
      <c r="D329" s="718"/>
      <c r="E329" s="205" t="s">
        <v>1083</v>
      </c>
      <c r="F329" s="205"/>
      <c r="G329" s="753"/>
    </row>
    <row r="330" spans="2:7" ht="12.75" outlineLevel="1">
      <c r="B330" s="205"/>
      <c r="C330" s="205"/>
      <c r="D330" s="718"/>
      <c r="E330" s="205"/>
      <c r="F330" s="205"/>
      <c r="G330" s="205"/>
    </row>
    <row r="331" spans="2:7" ht="12.75" outlineLevel="1">
      <c r="B331" s="205"/>
      <c r="C331" s="205" t="s">
        <v>2771</v>
      </c>
      <c r="D331" s="718"/>
      <c r="E331" s="205" t="s">
        <v>1084</v>
      </c>
      <c r="F331" s="205"/>
      <c r="G331" s="205"/>
    </row>
    <row r="332" spans="2:7" ht="12.75" outlineLevel="1">
      <c r="B332" s="205"/>
      <c r="C332" s="205"/>
      <c r="D332" s="718"/>
      <c r="E332" s="205"/>
      <c r="F332" s="205"/>
      <c r="G332" s="205"/>
    </row>
    <row r="333" spans="2:7" ht="12.75" outlineLevel="1">
      <c r="B333" s="205"/>
      <c r="C333" s="205" t="s">
        <v>2772</v>
      </c>
      <c r="D333" s="718"/>
      <c r="E333" s="205"/>
      <c r="F333" s="205"/>
      <c r="G333" s="205"/>
    </row>
    <row r="334" spans="2:7" ht="12.75" outlineLevel="1">
      <c r="B334" s="205"/>
      <c r="C334" s="754"/>
      <c r="D334" s="718"/>
      <c r="E334" s="205"/>
      <c r="F334" s="205"/>
      <c r="G334" s="205"/>
    </row>
    <row r="335" spans="2:7" ht="12.75" outlineLevel="1">
      <c r="B335" s="205"/>
      <c r="C335" s="205" t="s">
        <v>2773</v>
      </c>
      <c r="D335" s="718"/>
      <c r="E335" s="205" t="s">
        <v>1085</v>
      </c>
      <c r="F335" s="205"/>
      <c r="G335" s="205"/>
    </row>
    <row r="336" spans="2:7" ht="13.5" outlineLevel="1" thickBot="1">
      <c r="B336" s="408"/>
      <c r="C336" s="408"/>
      <c r="D336" s="755"/>
      <c r="E336" s="408"/>
      <c r="F336" s="408"/>
      <c r="G336" s="408"/>
    </row>
    <row r="337" spans="2:7" ht="13.5" outlineLevel="1" thickTop="1">
      <c r="B337" s="758" t="s">
        <v>2767</v>
      </c>
      <c r="C337" s="238"/>
      <c r="D337" s="287"/>
      <c r="E337" s="238"/>
      <c r="F337" s="238"/>
      <c r="G337" s="238"/>
    </row>
    <row r="338" spans="2:7" ht="12.75" outlineLevel="1">
      <c r="B338" s="759" t="s">
        <v>2768</v>
      </c>
      <c r="C338" s="756"/>
      <c r="D338" s="757"/>
      <c r="E338" s="756"/>
      <c r="F338" s="756"/>
      <c r="G338" s="756"/>
    </row>
    <row r="339" spans="2:7" outlineLevel="1"/>
    <row r="340" spans="2:7">
      <c r="B340" s="956" t="s">
        <v>2740</v>
      </c>
    </row>
    <row r="341" spans="2:7" outlineLevel="1"/>
    <row r="342" spans="2:7" ht="14.25" outlineLevel="1">
      <c r="B342" s="193" t="s">
        <v>997</v>
      </c>
      <c r="C342" s="194"/>
      <c r="D342" s="195"/>
      <c r="F342" s="194"/>
      <c r="G342" s="197" t="s">
        <v>998</v>
      </c>
    </row>
    <row r="343" spans="2:7" outlineLevel="1">
      <c r="B343" s="194"/>
      <c r="C343" s="194"/>
      <c r="D343" s="195"/>
      <c r="F343" s="194"/>
      <c r="G343" s="197" t="s">
        <v>999</v>
      </c>
    </row>
    <row r="344" spans="2:7" outlineLevel="1">
      <c r="B344" s="199"/>
      <c r="C344" s="194"/>
      <c r="D344" s="195"/>
      <c r="E344" s="194"/>
      <c r="F344" s="194"/>
      <c r="G344" s="194"/>
    </row>
    <row r="345" spans="2:7" ht="30.75" outlineLevel="1" thickBot="1">
      <c r="B345" s="200"/>
      <c r="C345" s="201"/>
      <c r="D345" s="1086" t="s">
        <v>1000</v>
      </c>
      <c r="E345" s="1086"/>
      <c r="F345" s="1086"/>
      <c r="G345" s="1086"/>
    </row>
    <row r="346" spans="2:7" ht="12.75" outlineLevel="1" thickTop="1">
      <c r="B346" s="199"/>
      <c r="C346" s="194"/>
      <c r="D346" s="195"/>
      <c r="E346" s="194"/>
      <c r="F346" s="194"/>
      <c r="G346" s="194"/>
    </row>
    <row r="347" spans="2:7" ht="18.75" outlineLevel="1">
      <c r="C347" s="202"/>
      <c r="D347" s="1087" t="s">
        <v>1001</v>
      </c>
      <c r="E347" s="1087"/>
      <c r="F347" s="1087"/>
      <c r="G347" s="1087"/>
    </row>
    <row r="348" spans="2:7" outlineLevel="1">
      <c r="B348" s="199"/>
      <c r="C348" s="194"/>
      <c r="D348" s="195"/>
      <c r="E348" s="194"/>
      <c r="F348" s="194"/>
      <c r="G348" s="194"/>
    </row>
    <row r="349" spans="2:7" ht="12.75" outlineLevel="1">
      <c r="B349" s="918" t="s">
        <v>2706</v>
      </c>
      <c r="C349" s="205"/>
      <c r="D349" s="205"/>
      <c r="E349" s="918" t="s">
        <v>2742</v>
      </c>
      <c r="F349" s="205"/>
      <c r="G349" s="205"/>
    </row>
    <row r="350" spans="2:7" ht="12.75" outlineLevel="1">
      <c r="B350" s="918" t="s">
        <v>2746</v>
      </c>
      <c r="C350" s="205"/>
      <c r="D350" s="718"/>
      <c r="E350" s="205"/>
      <c r="F350" s="205"/>
      <c r="G350" s="205"/>
    </row>
    <row r="351" spans="2:7" ht="12.75" outlineLevel="1">
      <c r="B351" s="918" t="s">
        <v>1002</v>
      </c>
      <c r="C351" s="205"/>
      <c r="D351" s="718"/>
      <c r="E351" s="205"/>
      <c r="F351" s="205"/>
      <c r="G351" s="205"/>
    </row>
    <row r="352" spans="2:7" ht="12.75" outlineLevel="1">
      <c r="B352" s="280" t="s">
        <v>2733</v>
      </c>
      <c r="C352" s="205"/>
      <c r="D352" s="205"/>
      <c r="E352" s="205"/>
      <c r="F352" s="205"/>
      <c r="G352" s="205"/>
    </row>
    <row r="353" spans="2:7" ht="12.75" outlineLevel="1">
      <c r="B353" s="280" t="s">
        <v>2734</v>
      </c>
      <c r="C353" s="205"/>
      <c r="D353" s="205"/>
      <c r="E353" s="205"/>
      <c r="F353" s="205"/>
      <c r="G353" s="205"/>
    </row>
    <row r="354" spans="2:7" ht="12.75" outlineLevel="1">
      <c r="B354" s="280" t="e">
        <v>#REF!</v>
      </c>
      <c r="C354" s="205"/>
      <c r="D354" s="718"/>
      <c r="E354" s="205"/>
      <c r="F354" s="205"/>
      <c r="G354" s="205"/>
    </row>
    <row r="355" spans="2:7" ht="12.75" outlineLevel="1">
      <c r="B355" s="280" t="s">
        <v>2736</v>
      </c>
      <c r="C355" s="205"/>
      <c r="D355" s="718"/>
      <c r="E355" s="205"/>
      <c r="F355" s="205"/>
      <c r="G355" s="205"/>
    </row>
    <row r="356" spans="2:7" ht="12.75" outlineLevel="1">
      <c r="B356" s="280" t="e">
        <v>#REF!</v>
      </c>
      <c r="C356" s="205"/>
      <c r="D356" s="718"/>
      <c r="E356" s="205"/>
      <c r="F356" s="205"/>
      <c r="G356" s="205"/>
    </row>
    <row r="357" spans="2:7" ht="12.75" outlineLevel="1">
      <c r="B357" s="918" t="s">
        <v>2743</v>
      </c>
      <c r="C357" s="205"/>
      <c r="D357" s="287"/>
      <c r="E357" s="205"/>
      <c r="F357" s="205"/>
      <c r="G357" s="205"/>
    </row>
    <row r="358" spans="2:7" ht="12.75" outlineLevel="1">
      <c r="B358" s="719" t="s">
        <v>1003</v>
      </c>
      <c r="C358" s="205"/>
      <c r="D358" s="287"/>
      <c r="E358" s="205"/>
      <c r="F358" s="205"/>
      <c r="G358" s="205"/>
    </row>
    <row r="359" spans="2:7" ht="12.75" outlineLevel="1">
      <c r="B359" s="918" t="s">
        <v>2744</v>
      </c>
      <c r="C359" s="205"/>
      <c r="D359" s="287"/>
      <c r="E359" s="205"/>
      <c r="F359" s="205"/>
      <c r="G359" s="205"/>
    </row>
    <row r="360" spans="2:7" ht="12.75" outlineLevel="1">
      <c r="B360" s="918" t="s">
        <v>2745</v>
      </c>
      <c r="C360" s="205"/>
      <c r="D360" s="718"/>
      <c r="E360" s="205"/>
      <c r="F360" s="205"/>
      <c r="G360" s="205"/>
    </row>
    <row r="361" spans="2:7" ht="12.75" outlineLevel="1">
      <c r="B361" s="918" t="s">
        <v>1004</v>
      </c>
      <c r="C361" s="205"/>
      <c r="D361" s="718"/>
      <c r="E361" s="205"/>
      <c r="F361" s="205"/>
      <c r="G361" s="205"/>
    </row>
    <row r="362" spans="2:7" ht="12.75" outlineLevel="1">
      <c r="B362" s="918" t="s">
        <v>1005</v>
      </c>
      <c r="C362" s="205"/>
      <c r="D362" s="718"/>
      <c r="E362" s="205"/>
      <c r="F362" s="205"/>
      <c r="G362" s="205"/>
    </row>
    <row r="363" spans="2:7" ht="12.75" outlineLevel="1">
      <c r="B363" s="1088" t="s">
        <v>1006</v>
      </c>
      <c r="C363" s="1088"/>
      <c r="D363" s="1088"/>
      <c r="E363" s="205"/>
      <c r="F363" s="206"/>
      <c r="G363" s="205"/>
    </row>
    <row r="364" spans="2:7" ht="12.75" outlineLevel="1">
      <c r="B364" s="720" t="s">
        <v>1007</v>
      </c>
      <c r="C364" s="205"/>
      <c r="D364" s="718"/>
      <c r="E364" s="205"/>
      <c r="F364" s="238"/>
      <c r="G364" s="721" t="s">
        <v>1008</v>
      </c>
    </row>
    <row r="365" spans="2:7" ht="38.25" outlineLevel="1">
      <c r="B365" s="1084" t="s">
        <v>1009</v>
      </c>
      <c r="C365" s="1084"/>
      <c r="D365" s="1084"/>
      <c r="E365" s="919" t="s">
        <v>1010</v>
      </c>
      <c r="F365" s="919" t="s">
        <v>1011</v>
      </c>
      <c r="G365" s="919" t="s">
        <v>1012</v>
      </c>
    </row>
    <row r="366" spans="2:7" ht="12.75" outlineLevel="1">
      <c r="B366" s="1075" t="s">
        <v>1013</v>
      </c>
      <c r="C366" s="1075"/>
      <c r="D366" s="1075"/>
      <c r="E366" s="722">
        <v>1</v>
      </c>
      <c r="F366" s="723">
        <f>+F367+F368+F369+F371+F370</f>
        <v>529216019.49882489</v>
      </c>
      <c r="G366" s="724"/>
    </row>
    <row r="367" spans="2:7" ht="12.75" outlineLevel="1">
      <c r="B367" s="1085" t="s">
        <v>1014</v>
      </c>
      <c r="C367" s="1071" t="s">
        <v>1015</v>
      </c>
      <c r="D367" s="1071"/>
      <c r="E367" s="725">
        <f>1+E366</f>
        <v>2</v>
      </c>
      <c r="F367" s="726"/>
      <c r="G367" s="727"/>
    </row>
    <row r="368" spans="2:7" ht="12.75" outlineLevel="1">
      <c r="B368" s="1085"/>
      <c r="C368" s="1071" t="s">
        <v>1016</v>
      </c>
      <c r="D368" s="1071"/>
      <c r="E368" s="725">
        <f t="shared" ref="E368:E395" si="14">1+E367</f>
        <v>3</v>
      </c>
      <c r="F368" s="726">
        <f>+F399+F401+F406+F408+F410</f>
        <v>0</v>
      </c>
      <c r="G368" s="727"/>
    </row>
    <row r="369" spans="2:7" ht="12.75" outlineLevel="1">
      <c r="B369" s="1085"/>
      <c r="C369" s="1071" t="s">
        <v>1017</v>
      </c>
      <c r="D369" s="1071"/>
      <c r="E369" s="725">
        <f t="shared" si="14"/>
        <v>4</v>
      </c>
      <c r="F369" s="726"/>
      <c r="G369" s="727"/>
    </row>
    <row r="370" spans="2:7" ht="12.75" outlineLevel="1">
      <c r="B370" s="1085"/>
      <c r="C370" s="1071" t="s">
        <v>1018</v>
      </c>
      <c r="D370" s="1071"/>
      <c r="E370" s="725">
        <f t="shared" si="14"/>
        <v>5</v>
      </c>
      <c r="F370" s="726">
        <f>+'TT-z'!I304</f>
        <v>58281.051999999989</v>
      </c>
      <c r="G370" s="727"/>
    </row>
    <row r="371" spans="2:7" ht="12.75" outlineLevel="1">
      <c r="B371" s="1085"/>
      <c r="C371" s="1071" t="s">
        <v>1019</v>
      </c>
      <c r="D371" s="1071"/>
      <c r="E371" s="725">
        <f t="shared" si="14"/>
        <v>6</v>
      </c>
      <c r="F371" s="726">
        <f>SUM(F372:F382)</f>
        <v>529157738.44682491</v>
      </c>
      <c r="G371" s="727"/>
    </row>
    <row r="372" spans="2:7" ht="25.5" outlineLevel="1">
      <c r="B372" s="1085"/>
      <c r="C372" s="1085" t="s">
        <v>1014</v>
      </c>
      <c r="D372" s="920" t="s">
        <v>1020</v>
      </c>
      <c r="E372" s="725">
        <f t="shared" si="14"/>
        <v>7</v>
      </c>
      <c r="F372" s="726">
        <f>+IS!I7</f>
        <v>529157738.44682491</v>
      </c>
      <c r="G372" s="727"/>
    </row>
    <row r="373" spans="2:7" ht="12.75" outlineLevel="1">
      <c r="B373" s="1085"/>
      <c r="C373" s="1085"/>
      <c r="D373" s="920" t="s">
        <v>1021</v>
      </c>
      <c r="E373" s="725">
        <f t="shared" si="14"/>
        <v>8</v>
      </c>
      <c r="F373" s="726">
        <f>IS!I352</f>
        <v>0</v>
      </c>
      <c r="G373" s="727"/>
    </row>
    <row r="374" spans="2:7" ht="12.75" outlineLevel="1">
      <c r="B374" s="1085"/>
      <c r="C374" s="1085"/>
      <c r="D374" s="920" t="s">
        <v>1022</v>
      </c>
      <c r="E374" s="725">
        <f t="shared" si="14"/>
        <v>9</v>
      </c>
      <c r="F374" s="726">
        <v>0</v>
      </c>
      <c r="G374" s="727"/>
    </row>
    <row r="375" spans="2:7" ht="12.75" outlineLevel="1">
      <c r="B375" s="1085"/>
      <c r="C375" s="1085"/>
      <c r="D375" s="920" t="s">
        <v>1023</v>
      </c>
      <c r="E375" s="725">
        <f t="shared" si="14"/>
        <v>10</v>
      </c>
      <c r="F375" s="726"/>
      <c r="G375" s="727"/>
    </row>
    <row r="376" spans="2:7" ht="12.75" outlineLevel="1">
      <c r="B376" s="1085"/>
      <c r="C376" s="1085"/>
      <c r="D376" s="920" t="s">
        <v>828</v>
      </c>
      <c r="E376" s="725">
        <f t="shared" si="14"/>
        <v>11</v>
      </c>
      <c r="F376" s="726">
        <v>0</v>
      </c>
      <c r="G376" s="727"/>
    </row>
    <row r="377" spans="2:7" ht="25.5" outlineLevel="1">
      <c r="B377" s="1085"/>
      <c r="C377" s="1085"/>
      <c r="D377" s="920" t="s">
        <v>1024</v>
      </c>
      <c r="E377" s="725">
        <f t="shared" si="14"/>
        <v>12</v>
      </c>
      <c r="F377" s="726"/>
      <c r="G377" s="727"/>
    </row>
    <row r="378" spans="2:7" ht="25.5" outlineLevel="1">
      <c r="B378" s="1085"/>
      <c r="C378" s="1085"/>
      <c r="D378" s="920" t="s">
        <v>1025</v>
      </c>
      <c r="E378" s="725">
        <f t="shared" si="14"/>
        <v>13</v>
      </c>
      <c r="F378" s="726">
        <v>0</v>
      </c>
      <c r="G378" s="727"/>
    </row>
    <row r="379" spans="2:7" ht="12.75" outlineLevel="1">
      <c r="B379" s="1085"/>
      <c r="C379" s="1085"/>
      <c r="D379" s="920" t="s">
        <v>1026</v>
      </c>
      <c r="E379" s="725">
        <f t="shared" si="14"/>
        <v>14</v>
      </c>
      <c r="F379" s="726">
        <f>+IF((STAT1!S197-STAT1!R204+STAT2!S197-STAT2!R204+STAT3!S197-STAT3!R204+STAT4!S197-STAT4!R204)&gt;0,(STAT1!S197-STAT1!R204+STAT2!S197-STAT2!R204+STAT3!S197-STAT3!R204+STAT4!S197-STAT4!R204),0)</f>
        <v>0</v>
      </c>
      <c r="G379" s="727"/>
    </row>
    <row r="380" spans="2:7" ht="12.75" outlineLevel="1">
      <c r="B380" s="1085"/>
      <c r="C380" s="1085"/>
      <c r="D380" s="920" t="s">
        <v>1027</v>
      </c>
      <c r="E380" s="725">
        <f t="shared" si="14"/>
        <v>15</v>
      </c>
      <c r="F380" s="726">
        <v>0</v>
      </c>
      <c r="G380" s="727"/>
    </row>
    <row r="381" spans="2:7" ht="12.75" outlineLevel="1">
      <c r="B381" s="1085"/>
      <c r="C381" s="1085"/>
      <c r="D381" s="920" t="s">
        <v>1028</v>
      </c>
      <c r="E381" s="725">
        <f t="shared" si="14"/>
        <v>16</v>
      </c>
      <c r="F381" s="726">
        <v>0</v>
      </c>
      <c r="G381" s="727"/>
    </row>
    <row r="382" spans="2:7" ht="12.75" outlineLevel="1">
      <c r="B382" s="1085"/>
      <c r="C382" s="1085"/>
      <c r="D382" s="920" t="s">
        <v>1029</v>
      </c>
      <c r="E382" s="725">
        <f t="shared" si="14"/>
        <v>17</v>
      </c>
      <c r="F382" s="726">
        <v>0</v>
      </c>
      <c r="G382" s="727"/>
    </row>
    <row r="383" spans="2:7" ht="12.75" outlineLevel="1">
      <c r="B383" s="1074" t="s">
        <v>1030</v>
      </c>
      <c r="C383" s="1074"/>
      <c r="D383" s="1074"/>
      <c r="E383" s="725">
        <f t="shared" si="14"/>
        <v>18</v>
      </c>
      <c r="F383" s="726">
        <f>+'TT-02г'!H19</f>
        <v>370238840.10032785</v>
      </c>
      <c r="G383" s="727"/>
    </row>
    <row r="384" spans="2:7" ht="12.75" outlineLevel="1">
      <c r="B384" s="1073" t="s">
        <v>1031</v>
      </c>
      <c r="C384" s="1073"/>
      <c r="D384" s="1073"/>
      <c r="E384" s="725">
        <f t="shared" si="14"/>
        <v>19</v>
      </c>
      <c r="F384" s="726">
        <f>+'TT-02г'!H48</f>
        <v>161873128.87246302</v>
      </c>
      <c r="G384" s="727"/>
    </row>
    <row r="385" spans="2:7" ht="12.75" outlineLevel="1">
      <c r="B385" s="1073" t="s">
        <v>1032</v>
      </c>
      <c r="C385" s="1073"/>
      <c r="D385" s="1073"/>
      <c r="E385" s="725">
        <f t="shared" si="14"/>
        <v>20</v>
      </c>
      <c r="F385" s="726">
        <f>+'TT-z'!E304</f>
        <v>14670.259999999998</v>
      </c>
      <c r="G385" s="727"/>
    </row>
    <row r="386" spans="2:7" ht="12.75" outlineLevel="1">
      <c r="B386" s="1073" t="s">
        <v>1033</v>
      </c>
      <c r="C386" s="1073"/>
      <c r="D386" s="1073"/>
      <c r="E386" s="725">
        <f t="shared" si="14"/>
        <v>21</v>
      </c>
      <c r="F386" s="723">
        <f>+F366-F383-F384-F385</f>
        <v>-2910619.7339659724</v>
      </c>
      <c r="G386" s="724"/>
    </row>
    <row r="387" spans="2:7" ht="12.75" outlineLevel="1">
      <c r="B387" s="1083" t="s">
        <v>1034</v>
      </c>
      <c r="C387" s="1083"/>
      <c r="D387" s="1083"/>
      <c r="E387" s="725">
        <f t="shared" si="14"/>
        <v>22</v>
      </c>
      <c r="F387" s="726">
        <f>+'TT-z'!E304</f>
        <v>14670.259999999998</v>
      </c>
      <c r="G387" s="727"/>
    </row>
    <row r="388" spans="2:7" ht="12.75" outlineLevel="1">
      <c r="B388" s="1073" t="s">
        <v>1035</v>
      </c>
      <c r="C388" s="1073"/>
      <c r="D388" s="1073"/>
      <c r="E388" s="725">
        <f t="shared" si="14"/>
        <v>23</v>
      </c>
      <c r="F388" s="726">
        <f>+'TT-z'!I304+'TT-z'!I291</f>
        <v>58281.051999999989</v>
      </c>
      <c r="G388" s="727"/>
    </row>
    <row r="389" spans="2:7" ht="12.75" outlineLevel="1">
      <c r="B389" s="1073" t="s">
        <v>1036</v>
      </c>
      <c r="C389" s="1073"/>
      <c r="D389" s="1073"/>
      <c r="E389" s="725">
        <f t="shared" si="14"/>
        <v>24</v>
      </c>
      <c r="F389" s="728">
        <f>+F386+F387-F388</f>
        <v>-2954230.5259659728</v>
      </c>
      <c r="G389" s="727"/>
    </row>
    <row r="390" spans="2:7" ht="12.75" outlineLevel="1">
      <c r="B390" s="1073" t="s">
        <v>1037</v>
      </c>
      <c r="C390" s="1073"/>
      <c r="D390" s="1073"/>
      <c r="E390" s="725">
        <f t="shared" si="14"/>
        <v>25</v>
      </c>
      <c r="F390" s="726">
        <f>+'TT-z'!H309</f>
        <v>0</v>
      </c>
      <c r="G390" s="727"/>
    </row>
    <row r="391" spans="2:7" ht="12.75" outlineLevel="1">
      <c r="B391" s="1073" t="s">
        <v>1038</v>
      </c>
      <c r="C391" s="1073"/>
      <c r="D391" s="1073"/>
      <c r="E391" s="725">
        <f t="shared" si="14"/>
        <v>26</v>
      </c>
      <c r="F391" s="723">
        <f>+F389+F390</f>
        <v>-2954230.5259659728</v>
      </c>
      <c r="G391" s="727"/>
    </row>
    <row r="392" spans="2:7" ht="12.75" outlineLevel="1">
      <c r="B392" s="1073" t="s">
        <v>1039</v>
      </c>
      <c r="C392" s="1073"/>
      <c r="D392" s="1073"/>
      <c r="E392" s="725">
        <f t="shared" si="14"/>
        <v>27</v>
      </c>
      <c r="F392" s="726">
        <f>+'TT-z'!H310</f>
        <v>0</v>
      </c>
      <c r="G392" s="727"/>
    </row>
    <row r="393" spans="2:7" ht="12.75" outlineLevel="1">
      <c r="B393" s="1073" t="s">
        <v>1040</v>
      </c>
      <c r="C393" s="1073"/>
      <c r="D393" s="1073"/>
      <c r="E393" s="725">
        <f t="shared" si="14"/>
        <v>28</v>
      </c>
      <c r="F393" s="723">
        <f>+F391-F392</f>
        <v>-2954230.5259659728</v>
      </c>
      <c r="G393" s="727"/>
    </row>
    <row r="394" spans="2:7" ht="12.75" outlineLevel="1">
      <c r="B394" s="1073" t="s">
        <v>1041</v>
      </c>
      <c r="C394" s="1073"/>
      <c r="D394" s="1073"/>
      <c r="E394" s="725">
        <f t="shared" si="14"/>
        <v>29</v>
      </c>
      <c r="F394" s="729">
        <f>+IF(F393&gt;0,F393*0.1,0)</f>
        <v>0</v>
      </c>
      <c r="G394" s="727"/>
    </row>
    <row r="395" spans="2:7" ht="12.75" outlineLevel="1">
      <c r="B395" s="1073" t="s">
        <v>1042</v>
      </c>
      <c r="C395" s="1073"/>
      <c r="D395" s="1073"/>
      <c r="E395" s="725">
        <f t="shared" si="14"/>
        <v>30</v>
      </c>
      <c r="F395" s="729"/>
      <c r="G395" s="727"/>
    </row>
    <row r="396" spans="2:7" ht="12.75" outlineLevel="1">
      <c r="B396" s="1075" t="s">
        <v>1043</v>
      </c>
      <c r="C396" s="1075"/>
      <c r="D396" s="1075"/>
      <c r="E396" s="919">
        <v>31</v>
      </c>
      <c r="F396" s="730">
        <f>+F394</f>
        <v>0</v>
      </c>
      <c r="G396" s="731"/>
    </row>
    <row r="397" spans="2:7" ht="12.75" outlineLevel="1">
      <c r="B397" s="1076"/>
      <c r="C397" s="1076"/>
      <c r="D397" s="1076"/>
      <c r="E397" s="1076"/>
      <c r="F397" s="1076"/>
      <c r="G397" s="1076"/>
    </row>
    <row r="398" spans="2:7" ht="12.75" outlineLevel="1">
      <c r="B398" s="1077" t="s">
        <v>1044</v>
      </c>
      <c r="C398" s="1077"/>
      <c r="D398" s="1077"/>
      <c r="E398" s="1077"/>
      <c r="F398" s="1077"/>
      <c r="G398" s="1077"/>
    </row>
    <row r="399" spans="2:7" ht="12.75" outlineLevel="1">
      <c r="B399" s="1073" t="s">
        <v>1045</v>
      </c>
      <c r="C399" s="1073"/>
      <c r="D399" s="1073"/>
      <c r="E399" s="732">
        <v>32</v>
      </c>
      <c r="F399" s="729"/>
      <c r="G399" s="733"/>
    </row>
    <row r="400" spans="2:7" ht="12.75" outlineLevel="1">
      <c r="B400" s="375"/>
      <c r="C400" s="1073" t="s">
        <v>1046</v>
      </c>
      <c r="D400" s="1073"/>
      <c r="E400" s="732">
        <f>1+E399</f>
        <v>33</v>
      </c>
      <c r="F400" s="729">
        <f>+F399*40%</f>
        <v>0</v>
      </c>
      <c r="G400" s="729"/>
    </row>
    <row r="401" spans="2:7" ht="12.75" outlineLevel="1">
      <c r="B401" s="1074" t="s">
        <v>1047</v>
      </c>
      <c r="C401" s="1074"/>
      <c r="D401" s="1074"/>
      <c r="E401" s="732">
        <f t="shared" ref="E401:E411" si="15">1+E400</f>
        <v>34</v>
      </c>
      <c r="F401" s="729"/>
      <c r="G401" s="734"/>
    </row>
    <row r="402" spans="2:7" ht="12.75" outlineLevel="1">
      <c r="B402" s="1082"/>
      <c r="C402" s="1074" t="s">
        <v>1048</v>
      </c>
      <c r="D402" s="1074"/>
      <c r="E402" s="732">
        <f t="shared" si="15"/>
        <v>35</v>
      </c>
      <c r="F402" s="729"/>
      <c r="G402" s="734"/>
    </row>
    <row r="403" spans="2:7" ht="12.75" outlineLevel="1">
      <c r="B403" s="1082"/>
      <c r="C403" s="1074" t="s">
        <v>1049</v>
      </c>
      <c r="D403" s="1074"/>
      <c r="E403" s="732">
        <f t="shared" si="15"/>
        <v>36</v>
      </c>
      <c r="F403" s="729"/>
      <c r="G403" s="734"/>
    </row>
    <row r="404" spans="2:7" ht="12.75" outlineLevel="1">
      <c r="B404" s="1082"/>
      <c r="C404" s="1074" t="s">
        <v>1050</v>
      </c>
      <c r="D404" s="1074"/>
      <c r="E404" s="732">
        <f t="shared" si="15"/>
        <v>37</v>
      </c>
      <c r="F404" s="729">
        <f>+F401-F402-F403</f>
        <v>0</v>
      </c>
      <c r="G404" s="729"/>
    </row>
    <row r="405" spans="2:7" ht="12.75" outlineLevel="1">
      <c r="B405" s="1082"/>
      <c r="C405" s="1074" t="s">
        <v>1051</v>
      </c>
      <c r="D405" s="1074"/>
      <c r="E405" s="732">
        <f t="shared" si="15"/>
        <v>38</v>
      </c>
      <c r="F405" s="729">
        <f>+F404*40%</f>
        <v>0</v>
      </c>
      <c r="G405" s="729"/>
    </row>
    <row r="406" spans="2:7" ht="12.75" outlineLevel="1">
      <c r="B406" s="1074" t="s">
        <v>1052</v>
      </c>
      <c r="C406" s="1074"/>
      <c r="D406" s="1074"/>
      <c r="E406" s="732">
        <f t="shared" si="15"/>
        <v>39</v>
      </c>
      <c r="F406" s="600">
        <f>IS!I353</f>
        <v>0</v>
      </c>
      <c r="G406" s="734"/>
    </row>
    <row r="407" spans="2:7" ht="12.75" outlineLevel="1">
      <c r="B407" s="917"/>
      <c r="C407" s="1074" t="s">
        <v>1053</v>
      </c>
      <c r="D407" s="1074"/>
      <c r="E407" s="732">
        <f t="shared" si="15"/>
        <v>40</v>
      </c>
      <c r="F407" s="600">
        <f>+F406*10%</f>
        <v>0</v>
      </c>
      <c r="G407" s="729"/>
    </row>
    <row r="408" spans="2:7" ht="12.75" outlineLevel="1">
      <c r="B408" s="1074" t="s">
        <v>1054</v>
      </c>
      <c r="C408" s="1074"/>
      <c r="D408" s="1074"/>
      <c r="E408" s="732">
        <f t="shared" si="15"/>
        <v>41</v>
      </c>
      <c r="F408" s="729"/>
      <c r="G408" s="734"/>
    </row>
    <row r="409" spans="2:7" ht="12.75" outlineLevel="1">
      <c r="B409" s="917"/>
      <c r="C409" s="1074" t="s">
        <v>1055</v>
      </c>
      <c r="D409" s="1074"/>
      <c r="E409" s="732">
        <f t="shared" si="15"/>
        <v>42</v>
      </c>
      <c r="F409" s="729"/>
      <c r="G409" s="734"/>
    </row>
    <row r="410" spans="2:7" ht="12.75" outlineLevel="1">
      <c r="B410" s="1074" t="s">
        <v>1056</v>
      </c>
      <c r="C410" s="1074"/>
      <c r="D410" s="1074"/>
      <c r="E410" s="732">
        <f t="shared" si="15"/>
        <v>43</v>
      </c>
      <c r="F410" s="729"/>
      <c r="G410" s="734"/>
    </row>
    <row r="411" spans="2:7" ht="12.75" outlineLevel="1">
      <c r="B411" s="917"/>
      <c r="C411" s="1074" t="s">
        <v>1057</v>
      </c>
      <c r="D411" s="1074"/>
      <c r="E411" s="732">
        <f t="shared" si="15"/>
        <v>44</v>
      </c>
      <c r="F411" s="729"/>
      <c r="G411" s="734"/>
    </row>
    <row r="412" spans="2:7" ht="12.75" outlineLevel="1">
      <c r="B412" s="1075" t="s">
        <v>1058</v>
      </c>
      <c r="C412" s="1075"/>
      <c r="D412" s="1075"/>
      <c r="E412" s="919">
        <v>45</v>
      </c>
      <c r="F412" s="723">
        <f>+F400+F422+F405+F407+F409+F411</f>
        <v>0</v>
      </c>
      <c r="G412" s="724"/>
    </row>
    <row r="413" spans="2:7" ht="12.75" outlineLevel="1">
      <c r="B413" s="1076"/>
      <c r="C413" s="1076"/>
      <c r="D413" s="1076"/>
      <c r="E413" s="736"/>
      <c r="F413" s="737"/>
      <c r="G413" s="737"/>
    </row>
    <row r="414" spans="2:7" ht="12.75" outlineLevel="1">
      <c r="B414" s="1077" t="s">
        <v>1059</v>
      </c>
      <c r="C414" s="1077"/>
      <c r="D414" s="1077"/>
      <c r="E414" s="1077"/>
      <c r="F414" s="1077"/>
      <c r="G414" s="1077"/>
    </row>
    <row r="415" spans="2:7" ht="12.75" outlineLevel="1">
      <c r="B415" s="1074" t="s">
        <v>1060</v>
      </c>
      <c r="C415" s="1074"/>
      <c r="D415" s="1074"/>
      <c r="E415" s="732">
        <v>46</v>
      </c>
      <c r="F415" s="729">
        <v>0</v>
      </c>
      <c r="G415" s="733"/>
    </row>
    <row r="416" spans="2:7" ht="12.75" outlineLevel="1">
      <c r="B416" s="375"/>
      <c r="C416" s="1073" t="s">
        <v>1061</v>
      </c>
      <c r="D416" s="1073"/>
      <c r="E416" s="732">
        <f>1+E415</f>
        <v>47</v>
      </c>
      <c r="F416" s="729">
        <f>+F415*40%</f>
        <v>0</v>
      </c>
      <c r="G416" s="729"/>
    </row>
    <row r="417" spans="2:7" ht="12.75" outlineLevel="1">
      <c r="B417" s="1074" t="s">
        <v>1062</v>
      </c>
      <c r="C417" s="1074"/>
      <c r="D417" s="1074"/>
      <c r="E417" s="732">
        <f t="shared" ref="E417:E423" si="16">1+E416</f>
        <v>48</v>
      </c>
      <c r="F417" s="729">
        <v>0</v>
      </c>
      <c r="G417" s="733"/>
    </row>
    <row r="418" spans="2:7" ht="12.75" outlineLevel="1">
      <c r="B418" s="375"/>
      <c r="C418" s="1073" t="s">
        <v>1063</v>
      </c>
      <c r="D418" s="1073"/>
      <c r="E418" s="732">
        <f t="shared" si="16"/>
        <v>49</v>
      </c>
      <c r="F418" s="729">
        <f>+F417*10%</f>
        <v>0</v>
      </c>
      <c r="G418" s="729"/>
    </row>
    <row r="419" spans="2:7" ht="12.75" outlineLevel="1">
      <c r="B419" s="1074" t="s">
        <v>1064</v>
      </c>
      <c r="C419" s="1074"/>
      <c r="D419" s="1074"/>
      <c r="E419" s="732">
        <f t="shared" si="16"/>
        <v>50</v>
      </c>
      <c r="F419" s="729">
        <v>0</v>
      </c>
      <c r="G419" s="733"/>
    </row>
    <row r="420" spans="2:7" ht="12.75" outlineLevel="1">
      <c r="B420" s="375"/>
      <c r="C420" s="1073" t="s">
        <v>1065</v>
      </c>
      <c r="D420" s="1073"/>
      <c r="E420" s="732">
        <f t="shared" si="16"/>
        <v>51</v>
      </c>
      <c r="F420" s="729">
        <f>+F419*10%</f>
        <v>0</v>
      </c>
      <c r="G420" s="729"/>
    </row>
    <row r="421" spans="2:7" ht="12.75" outlineLevel="1">
      <c r="B421" s="1074" t="s">
        <v>1066</v>
      </c>
      <c r="C421" s="1074"/>
      <c r="D421" s="1074"/>
      <c r="E421" s="732">
        <f t="shared" si="16"/>
        <v>52</v>
      </c>
      <c r="F421" s="729">
        <v>0</v>
      </c>
      <c r="G421" s="733"/>
    </row>
    <row r="422" spans="2:7" ht="12.75" outlineLevel="1">
      <c r="B422" s="921"/>
      <c r="C422" s="1074" t="s">
        <v>1067</v>
      </c>
      <c r="D422" s="1074"/>
      <c r="E422" s="732">
        <f t="shared" si="16"/>
        <v>53</v>
      </c>
      <c r="F422" s="729">
        <f>+F421*2%</f>
        <v>0</v>
      </c>
      <c r="G422" s="729"/>
    </row>
    <row r="423" spans="2:7" ht="12.75" outlineLevel="1">
      <c r="B423" s="1075" t="s">
        <v>1068</v>
      </c>
      <c r="C423" s="1075"/>
      <c r="D423" s="1075"/>
      <c r="E423" s="919">
        <f t="shared" si="16"/>
        <v>54</v>
      </c>
      <c r="F423" s="724">
        <f>F416+F418+F420+F422</f>
        <v>0</v>
      </c>
      <c r="G423" s="724"/>
    </row>
    <row r="424" spans="2:7" ht="12.75" outlineLevel="1">
      <c r="B424" s="738"/>
      <c r="C424" s="738"/>
      <c r="D424" s="738"/>
      <c r="E424" s="739"/>
      <c r="F424" s="740"/>
      <c r="G424" s="740"/>
    </row>
    <row r="425" spans="2:7" ht="12.75" outlineLevel="1">
      <c r="B425" s="1075" t="s">
        <v>1069</v>
      </c>
      <c r="C425" s="1075"/>
      <c r="D425" s="1075"/>
      <c r="E425" s="919">
        <v>55</v>
      </c>
      <c r="F425" s="743">
        <f>+F396+F412</f>
        <v>0</v>
      </c>
      <c r="G425" s="744"/>
    </row>
    <row r="426" spans="2:7" ht="12.75" outlineLevel="1">
      <c r="B426" s="738"/>
      <c r="C426" s="738"/>
      <c r="D426" s="738"/>
      <c r="E426" s="739"/>
      <c r="F426" s="745"/>
      <c r="G426" s="745"/>
    </row>
    <row r="427" spans="2:7" ht="12.75" outlineLevel="1">
      <c r="B427" s="746" t="s">
        <v>1070</v>
      </c>
      <c r="C427" s="747"/>
      <c r="D427" s="748"/>
      <c r="E427" s="747"/>
      <c r="F427" s="747" t="s">
        <v>1071</v>
      </c>
      <c r="G427" s="747" t="s">
        <v>18</v>
      </c>
    </row>
    <row r="428" spans="2:7" ht="12.75" outlineLevel="1">
      <c r="B428" s="746"/>
      <c r="C428" s="747"/>
      <c r="D428" s="748"/>
      <c r="E428" s="747"/>
      <c r="F428" s="747"/>
      <c r="G428" s="747"/>
    </row>
    <row r="429" spans="2:7" ht="12.75" outlineLevel="1">
      <c r="B429" s="1072" t="s">
        <v>14</v>
      </c>
      <c r="C429" s="1072"/>
      <c r="D429" s="920" t="s">
        <v>1072</v>
      </c>
      <c r="E429" s="725">
        <v>56</v>
      </c>
      <c r="F429" s="749"/>
      <c r="G429" s="750"/>
    </row>
    <row r="430" spans="2:7" ht="12.75" outlineLevel="1">
      <c r="B430" s="1072"/>
      <c r="C430" s="1072"/>
      <c r="D430" s="920" t="s">
        <v>1073</v>
      </c>
      <c r="E430" s="725">
        <f>+E429+1</f>
        <v>57</v>
      </c>
      <c r="F430" s="751">
        <f>+STAT1!W454</f>
        <v>0</v>
      </c>
      <c r="G430" s="749"/>
    </row>
    <row r="431" spans="2:7" ht="12.75" outlineLevel="1">
      <c r="B431" s="1072" t="s">
        <v>1074</v>
      </c>
      <c r="C431" s="1072"/>
      <c r="D431" s="1072"/>
      <c r="E431" s="725">
        <f t="shared" ref="E431:E439" si="17">+E430+1</f>
        <v>58</v>
      </c>
      <c r="F431" s="750">
        <f>+F425</f>
        <v>0</v>
      </c>
      <c r="G431" s="749"/>
    </row>
    <row r="432" spans="2:7" ht="12.75" outlineLevel="1">
      <c r="B432" s="1072" t="s">
        <v>1075</v>
      </c>
      <c r="C432" s="1072"/>
      <c r="D432" s="920" t="s">
        <v>1076</v>
      </c>
      <c r="E432" s="725">
        <f t="shared" si="17"/>
        <v>59</v>
      </c>
      <c r="F432" s="749">
        <v>0</v>
      </c>
      <c r="G432" s="750"/>
    </row>
    <row r="433" spans="2:7" ht="12.75" outlineLevel="1">
      <c r="B433" s="1072"/>
      <c r="C433" s="1072"/>
      <c r="D433" s="920" t="s">
        <v>1077</v>
      </c>
      <c r="E433" s="725">
        <f t="shared" si="17"/>
        <v>60</v>
      </c>
      <c r="F433" s="749"/>
      <c r="G433" s="750"/>
    </row>
    <row r="434" spans="2:7" ht="12.75" outlineLevel="1">
      <c r="B434" s="1072" t="s">
        <v>1078</v>
      </c>
      <c r="C434" s="1072"/>
      <c r="D434" s="1072"/>
      <c r="E434" s="725">
        <f t="shared" si="17"/>
        <v>61</v>
      </c>
      <c r="F434" s="749"/>
      <c r="G434" s="750">
        <v>100000</v>
      </c>
    </row>
    <row r="435" spans="2:7" ht="12.75" outlineLevel="1">
      <c r="B435" s="1072" t="s">
        <v>1079</v>
      </c>
      <c r="C435" s="1072"/>
      <c r="D435" s="1072"/>
      <c r="E435" s="725">
        <f t="shared" si="17"/>
        <v>62</v>
      </c>
      <c r="F435" s="749"/>
      <c r="G435" s="750"/>
    </row>
    <row r="436" spans="2:7" ht="12.75" outlineLevel="1">
      <c r="B436" s="1072" t="s">
        <v>1080</v>
      </c>
      <c r="C436" s="1072"/>
      <c r="D436" s="1072"/>
      <c r="E436" s="725">
        <f t="shared" si="17"/>
        <v>63</v>
      </c>
      <c r="F436" s="749"/>
      <c r="G436" s="750"/>
    </row>
    <row r="437" spans="2:7" ht="12.75" outlineLevel="1">
      <c r="B437" s="1072" t="s">
        <v>1081</v>
      </c>
      <c r="C437" s="1072"/>
      <c r="D437" s="1072"/>
      <c r="E437" s="725">
        <f t="shared" si="17"/>
        <v>64</v>
      </c>
      <c r="F437" s="750"/>
      <c r="G437" s="749"/>
    </row>
    <row r="438" spans="2:7" ht="12.75" outlineLevel="1">
      <c r="B438" s="1072" t="s">
        <v>15</v>
      </c>
      <c r="C438" s="1072"/>
      <c r="D438" s="920" t="s">
        <v>1072</v>
      </c>
      <c r="E438" s="725">
        <f t="shared" si="17"/>
        <v>65</v>
      </c>
      <c r="F438" s="749"/>
      <c r="G438" s="750"/>
    </row>
    <row r="439" spans="2:7" ht="12.75" outlineLevel="1">
      <c r="B439" s="1072"/>
      <c r="C439" s="1072"/>
      <c r="D439" s="920" t="s">
        <v>1073</v>
      </c>
      <c r="E439" s="725">
        <f t="shared" si="17"/>
        <v>66</v>
      </c>
      <c r="F439" s="750"/>
      <c r="G439" s="752">
        <f>+G434-F430</f>
        <v>100000</v>
      </c>
    </row>
    <row r="440" spans="2:7" ht="12.75" outlineLevel="1">
      <c r="B440" s="205"/>
      <c r="C440" s="205"/>
      <c r="D440" s="718"/>
      <c r="E440" s="205"/>
      <c r="F440" s="753">
        <v>0</v>
      </c>
      <c r="G440" s="753">
        <v>99989.61</v>
      </c>
    </row>
    <row r="441" spans="2:7" ht="12.75" outlineLevel="1">
      <c r="B441" s="918"/>
      <c r="C441" s="205" t="s">
        <v>1082</v>
      </c>
      <c r="D441" s="718"/>
      <c r="E441" s="205" t="s">
        <v>1083</v>
      </c>
      <c r="F441" s="205"/>
      <c r="G441" s="753"/>
    </row>
    <row r="442" spans="2:7" ht="12.75" outlineLevel="1">
      <c r="B442" s="205"/>
      <c r="C442" s="205"/>
      <c r="D442" s="718"/>
      <c r="E442" s="205"/>
      <c r="F442" s="205"/>
      <c r="G442" s="205"/>
    </row>
    <row r="443" spans="2:7" ht="12.75" outlineLevel="1">
      <c r="B443" s="205"/>
      <c r="C443" s="205" t="s">
        <v>2771</v>
      </c>
      <c r="D443" s="718"/>
      <c r="E443" s="205" t="s">
        <v>1084</v>
      </c>
      <c r="F443" s="205"/>
      <c r="G443" s="205"/>
    </row>
    <row r="444" spans="2:7" ht="12.75" outlineLevel="1">
      <c r="B444" s="205"/>
      <c r="C444" s="205"/>
      <c r="D444" s="718"/>
      <c r="E444" s="205"/>
      <c r="F444" s="205"/>
      <c r="G444" s="205"/>
    </row>
    <row r="445" spans="2:7" ht="12.75" outlineLevel="1">
      <c r="B445" s="205"/>
      <c r="C445" s="205" t="s">
        <v>2772</v>
      </c>
      <c r="D445" s="718"/>
      <c r="E445" s="205"/>
      <c r="F445" s="205"/>
      <c r="G445" s="205"/>
    </row>
    <row r="446" spans="2:7" ht="12.75" outlineLevel="1">
      <c r="B446" s="205"/>
      <c r="C446" s="754"/>
      <c r="D446" s="718"/>
      <c r="E446" s="205"/>
      <c r="F446" s="205"/>
      <c r="G446" s="205"/>
    </row>
    <row r="447" spans="2:7" ht="12.75" outlineLevel="1">
      <c r="B447" s="205"/>
      <c r="C447" s="205" t="s">
        <v>2773</v>
      </c>
      <c r="D447" s="718"/>
      <c r="E447" s="205" t="s">
        <v>1085</v>
      </c>
      <c r="F447" s="205"/>
      <c r="G447" s="205"/>
    </row>
    <row r="448" spans="2:7" ht="13.5" outlineLevel="1" thickBot="1">
      <c r="B448" s="408"/>
      <c r="C448" s="408"/>
      <c r="D448" s="755"/>
      <c r="E448" s="408"/>
      <c r="F448" s="408"/>
      <c r="G448" s="408"/>
    </row>
    <row r="449" spans="2:7" ht="13.5" outlineLevel="1" thickTop="1">
      <c r="B449" s="758" t="s">
        <v>2767</v>
      </c>
      <c r="C449" s="238"/>
      <c r="D449" s="287"/>
      <c r="E449" s="238"/>
      <c r="F449" s="238"/>
      <c r="G449" s="238"/>
    </row>
    <row r="450" spans="2:7" ht="12.75" outlineLevel="1">
      <c r="B450" s="759" t="s">
        <v>2768</v>
      </c>
      <c r="C450" s="756"/>
      <c r="D450" s="757"/>
      <c r="E450" s="756"/>
      <c r="F450" s="756"/>
      <c r="G450" s="756"/>
    </row>
    <row r="451" spans="2:7" outlineLevel="1"/>
    <row r="452" spans="2:7">
      <c r="B452" s="956" t="s">
        <v>2741</v>
      </c>
    </row>
  </sheetData>
  <mergeCells count="267">
    <mergeCell ref="B84:D84"/>
    <mergeCell ref="B90:D90"/>
    <mergeCell ref="B93:D93"/>
    <mergeCell ref="B82:D82"/>
    <mergeCell ref="B71:D71"/>
    <mergeCell ref="B72:D72"/>
    <mergeCell ref="B73:G73"/>
    <mergeCell ref="B74:D74"/>
    <mergeCell ref="C75:D75"/>
    <mergeCell ref="B76:D76"/>
    <mergeCell ref="C77:D77"/>
    <mergeCell ref="B78:D78"/>
    <mergeCell ref="C79:D79"/>
    <mergeCell ref="B80:D80"/>
    <mergeCell ref="C81:D81"/>
    <mergeCell ref="B49:D49"/>
    <mergeCell ref="B50:D50"/>
    <mergeCell ref="B51:D51"/>
    <mergeCell ref="B52:D52"/>
    <mergeCell ref="B53:D53"/>
    <mergeCell ref="B54:D54"/>
    <mergeCell ref="B55:D55"/>
    <mergeCell ref="B56:G56"/>
    <mergeCell ref="C70:D70"/>
    <mergeCell ref="B58:D58"/>
    <mergeCell ref="C59:D59"/>
    <mergeCell ref="B60:D60"/>
    <mergeCell ref="B61:B64"/>
    <mergeCell ref="C61:D61"/>
    <mergeCell ref="C62:D62"/>
    <mergeCell ref="C63:D63"/>
    <mergeCell ref="C64:D64"/>
    <mergeCell ref="B65:D65"/>
    <mergeCell ref="C66:D66"/>
    <mergeCell ref="B67:D67"/>
    <mergeCell ref="C68:D68"/>
    <mergeCell ref="B69:D69"/>
    <mergeCell ref="D120:G120"/>
    <mergeCell ref="D122:G122"/>
    <mergeCell ref="B138:D138"/>
    <mergeCell ref="B140:D140"/>
    <mergeCell ref="B141:D141"/>
    <mergeCell ref="B45:D45"/>
    <mergeCell ref="D4:G4"/>
    <mergeCell ref="B22:D22"/>
    <mergeCell ref="B24:D24"/>
    <mergeCell ref="B25:D25"/>
    <mergeCell ref="B26:B41"/>
    <mergeCell ref="C26:D26"/>
    <mergeCell ref="C27:D27"/>
    <mergeCell ref="C28:D28"/>
    <mergeCell ref="C29:D29"/>
    <mergeCell ref="C30:D30"/>
    <mergeCell ref="C31:C41"/>
    <mergeCell ref="B42:D42"/>
    <mergeCell ref="B43:D43"/>
    <mergeCell ref="B44:D44"/>
    <mergeCell ref="B57:G57"/>
    <mergeCell ref="B46:D46"/>
    <mergeCell ref="B47:D47"/>
    <mergeCell ref="B48:D48"/>
    <mergeCell ref="B158:D158"/>
    <mergeCell ref="B159:D159"/>
    <mergeCell ref="B160:D160"/>
    <mergeCell ref="B161:D161"/>
    <mergeCell ref="B162:D162"/>
    <mergeCell ref="B142:B157"/>
    <mergeCell ref="C142:D142"/>
    <mergeCell ref="C143:D143"/>
    <mergeCell ref="C144:D144"/>
    <mergeCell ref="C145:D145"/>
    <mergeCell ref="C146:D146"/>
    <mergeCell ref="C147:C157"/>
    <mergeCell ref="B168:D168"/>
    <mergeCell ref="B169:D169"/>
    <mergeCell ref="B170:D170"/>
    <mergeCell ref="B171:D171"/>
    <mergeCell ref="B172:G172"/>
    <mergeCell ref="B163:D163"/>
    <mergeCell ref="B164:D164"/>
    <mergeCell ref="B165:D165"/>
    <mergeCell ref="B166:D166"/>
    <mergeCell ref="B167:D167"/>
    <mergeCell ref="B173:G173"/>
    <mergeCell ref="B174:D174"/>
    <mergeCell ref="C175:D175"/>
    <mergeCell ref="B176:D176"/>
    <mergeCell ref="B177:B180"/>
    <mergeCell ref="C177:D177"/>
    <mergeCell ref="C178:D178"/>
    <mergeCell ref="C179:D179"/>
    <mergeCell ref="C180:D180"/>
    <mergeCell ref="C186:D186"/>
    <mergeCell ref="B187:D187"/>
    <mergeCell ref="B188:D188"/>
    <mergeCell ref="B189:G189"/>
    <mergeCell ref="B190:D190"/>
    <mergeCell ref="B181:D181"/>
    <mergeCell ref="C182:D182"/>
    <mergeCell ref="B183:D183"/>
    <mergeCell ref="C184:D184"/>
    <mergeCell ref="B185:D185"/>
    <mergeCell ref="B196:D196"/>
    <mergeCell ref="C197:D197"/>
    <mergeCell ref="B198:D198"/>
    <mergeCell ref="B200:D200"/>
    <mergeCell ref="B204:C205"/>
    <mergeCell ref="C191:D191"/>
    <mergeCell ref="B192:D192"/>
    <mergeCell ref="C193:D193"/>
    <mergeCell ref="B194:D194"/>
    <mergeCell ref="C195:D195"/>
    <mergeCell ref="B212:D212"/>
    <mergeCell ref="B213:C214"/>
    <mergeCell ref="D233:G233"/>
    <mergeCell ref="D235:G235"/>
    <mergeCell ref="B251:D251"/>
    <mergeCell ref="B206:D206"/>
    <mergeCell ref="B207:C208"/>
    <mergeCell ref="B209:D209"/>
    <mergeCell ref="B210:D210"/>
    <mergeCell ref="B211:D211"/>
    <mergeCell ref="B271:D271"/>
    <mergeCell ref="B272:D272"/>
    <mergeCell ref="B273:D273"/>
    <mergeCell ref="B274:D274"/>
    <mergeCell ref="B275:D275"/>
    <mergeCell ref="B253:D253"/>
    <mergeCell ref="B254:D254"/>
    <mergeCell ref="B255:B270"/>
    <mergeCell ref="C255:D255"/>
    <mergeCell ref="C256:D256"/>
    <mergeCell ref="C257:D257"/>
    <mergeCell ref="C258:D258"/>
    <mergeCell ref="C259:D259"/>
    <mergeCell ref="C260:C270"/>
    <mergeCell ref="B281:D281"/>
    <mergeCell ref="B282:D282"/>
    <mergeCell ref="B283:D283"/>
    <mergeCell ref="B284:D284"/>
    <mergeCell ref="B285:G285"/>
    <mergeCell ref="B276:D276"/>
    <mergeCell ref="B277:D277"/>
    <mergeCell ref="B278:D278"/>
    <mergeCell ref="B279:D279"/>
    <mergeCell ref="B280:D280"/>
    <mergeCell ref="B286:G286"/>
    <mergeCell ref="B287:D287"/>
    <mergeCell ref="C288:D288"/>
    <mergeCell ref="B289:D289"/>
    <mergeCell ref="B290:B293"/>
    <mergeCell ref="C290:D290"/>
    <mergeCell ref="C291:D291"/>
    <mergeCell ref="C292:D292"/>
    <mergeCell ref="C293:D293"/>
    <mergeCell ref="C299:D299"/>
    <mergeCell ref="B300:D300"/>
    <mergeCell ref="B301:D301"/>
    <mergeCell ref="B302:G302"/>
    <mergeCell ref="B303:D303"/>
    <mergeCell ref="B294:D294"/>
    <mergeCell ref="C295:D295"/>
    <mergeCell ref="B296:D296"/>
    <mergeCell ref="C297:D297"/>
    <mergeCell ref="B298:D298"/>
    <mergeCell ref="B309:D309"/>
    <mergeCell ref="C310:D310"/>
    <mergeCell ref="B311:D311"/>
    <mergeCell ref="B313:D313"/>
    <mergeCell ref="B317:C318"/>
    <mergeCell ref="C304:D304"/>
    <mergeCell ref="B305:D305"/>
    <mergeCell ref="C306:D306"/>
    <mergeCell ref="B307:D307"/>
    <mergeCell ref="C308:D308"/>
    <mergeCell ref="B325:D325"/>
    <mergeCell ref="B326:C327"/>
    <mergeCell ref="D345:G345"/>
    <mergeCell ref="D347:G347"/>
    <mergeCell ref="B363:D363"/>
    <mergeCell ref="B319:D319"/>
    <mergeCell ref="B320:C321"/>
    <mergeCell ref="B322:D322"/>
    <mergeCell ref="B323:D323"/>
    <mergeCell ref="B324:D324"/>
    <mergeCell ref="B383:D383"/>
    <mergeCell ref="B384:D384"/>
    <mergeCell ref="B385:D385"/>
    <mergeCell ref="B386:D386"/>
    <mergeCell ref="B387:D387"/>
    <mergeCell ref="B365:D365"/>
    <mergeCell ref="B366:D366"/>
    <mergeCell ref="B367:B382"/>
    <mergeCell ref="C367:D367"/>
    <mergeCell ref="C368:D368"/>
    <mergeCell ref="C369:D369"/>
    <mergeCell ref="C370:D370"/>
    <mergeCell ref="C371:D371"/>
    <mergeCell ref="C372:C382"/>
    <mergeCell ref="B393:D393"/>
    <mergeCell ref="B394:D394"/>
    <mergeCell ref="B395:D395"/>
    <mergeCell ref="B396:D396"/>
    <mergeCell ref="B397:G397"/>
    <mergeCell ref="B388:D388"/>
    <mergeCell ref="B389:D389"/>
    <mergeCell ref="B390:D390"/>
    <mergeCell ref="B391:D391"/>
    <mergeCell ref="B392:D392"/>
    <mergeCell ref="B410:D410"/>
    <mergeCell ref="B398:G398"/>
    <mergeCell ref="B399:D399"/>
    <mergeCell ref="C400:D400"/>
    <mergeCell ref="B401:D401"/>
    <mergeCell ref="B402:B405"/>
    <mergeCell ref="C402:D402"/>
    <mergeCell ref="C403:D403"/>
    <mergeCell ref="C404:D404"/>
    <mergeCell ref="C405:D405"/>
    <mergeCell ref="B438:C439"/>
    <mergeCell ref="B6:G6"/>
    <mergeCell ref="B88:C88"/>
    <mergeCell ref="D88:D89"/>
    <mergeCell ref="B89:C89"/>
    <mergeCell ref="B91:D91"/>
    <mergeCell ref="B92:D92"/>
    <mergeCell ref="B94:C94"/>
    <mergeCell ref="D94:D95"/>
    <mergeCell ref="B95:C95"/>
    <mergeCell ref="B96:C96"/>
    <mergeCell ref="D96:D97"/>
    <mergeCell ref="B97:C97"/>
    <mergeCell ref="B98:D98"/>
    <mergeCell ref="B99:C99"/>
    <mergeCell ref="B431:D431"/>
    <mergeCell ref="B432:C433"/>
    <mergeCell ref="B434:D434"/>
    <mergeCell ref="B435:D435"/>
    <mergeCell ref="B436:D436"/>
    <mergeCell ref="B421:D421"/>
    <mergeCell ref="C422:D422"/>
    <mergeCell ref="B423:D423"/>
    <mergeCell ref="B425:D425"/>
    <mergeCell ref="I1:J1"/>
    <mergeCell ref="L1:M1"/>
    <mergeCell ref="N1:O1"/>
    <mergeCell ref="D99:D100"/>
    <mergeCell ref="B100:C100"/>
    <mergeCell ref="B101:C101"/>
    <mergeCell ref="D101:D102"/>
    <mergeCell ref="B102:C102"/>
    <mergeCell ref="B437:D437"/>
    <mergeCell ref="B429:C430"/>
    <mergeCell ref="C416:D416"/>
    <mergeCell ref="B417:D417"/>
    <mergeCell ref="C418:D418"/>
    <mergeCell ref="B419:D419"/>
    <mergeCell ref="C420:D420"/>
    <mergeCell ref="C411:D411"/>
    <mergeCell ref="B412:D412"/>
    <mergeCell ref="B413:D413"/>
    <mergeCell ref="B414:G414"/>
    <mergeCell ref="B415:D415"/>
    <mergeCell ref="B406:D406"/>
    <mergeCell ref="C407:D407"/>
    <mergeCell ref="B408:D408"/>
    <mergeCell ref="C409:D409"/>
  </mergeCells>
  <pageMargins left="0.7" right="0.37" top="0.75" bottom="0.75" header="0.3" footer="0.3"/>
  <pageSetup scale="93" fitToHeight="0" orientation="portrait" horizontalDpi="0" verticalDpi="0" r:id="rId1"/>
  <drawing r:id="rId2"/>
</worksheet>
</file>

<file path=xl/worksheets/sheet22.xml><?xml version="1.0" encoding="utf-8"?>
<worksheet xmlns="http://schemas.openxmlformats.org/spreadsheetml/2006/main" xmlns:r="http://schemas.openxmlformats.org/officeDocument/2006/relationships">
  <sheetPr>
    <pageSetUpPr fitToPage="1"/>
  </sheetPr>
  <dimension ref="A1:M171"/>
  <sheetViews>
    <sheetView workbookViewId="0">
      <selection activeCell="H91" sqref="H91"/>
    </sheetView>
  </sheetViews>
  <sheetFormatPr defaultRowHeight="12" outlineLevelCol="1"/>
  <cols>
    <col min="1" max="1" width="3.28515625" style="267" customWidth="1"/>
    <col min="2" max="2" width="59.28515625" style="267" customWidth="1"/>
    <col min="3" max="3" width="5.5703125" style="269" customWidth="1"/>
    <col min="4" max="4" width="14" style="859" hidden="1" customWidth="1" outlineLevel="1"/>
    <col min="5" max="5" width="14" style="269" hidden="1" customWidth="1" outlineLevel="1"/>
    <col min="6" max="6" width="16.42578125" style="269" hidden="1" customWidth="1" outlineLevel="1"/>
    <col min="7" max="7" width="15" style="270" hidden="1" customWidth="1" outlineLevel="1"/>
    <col min="8" max="8" width="14.140625" style="267" customWidth="1" collapsed="1"/>
    <col min="9" max="9" width="15" style="267" bestFit="1" customWidth="1"/>
    <col min="10" max="10" width="15.5703125" style="963" bestFit="1" customWidth="1"/>
    <col min="11" max="12" width="15" style="267" bestFit="1" customWidth="1"/>
    <col min="13" max="16384" width="9.140625" style="267"/>
  </cols>
  <sheetData>
    <row r="1" spans="1:10" ht="12.75">
      <c r="A1" s="342"/>
      <c r="B1" s="479" t="s">
        <v>1867</v>
      </c>
      <c r="C1" s="480"/>
      <c r="D1" s="509"/>
      <c r="E1" s="480"/>
      <c r="F1" s="480"/>
      <c r="G1" s="481"/>
      <c r="H1" s="342"/>
      <c r="I1" s="268"/>
      <c r="J1" s="962"/>
    </row>
    <row r="2" spans="1:10" ht="12.75">
      <c r="A2" s="342"/>
      <c r="B2" s="342"/>
      <c r="C2" s="480"/>
      <c r="D2" s="509"/>
      <c r="E2" s="480"/>
      <c r="F2" s="480"/>
      <c r="G2" s="481"/>
      <c r="H2" s="342"/>
      <c r="I2" s="268"/>
      <c r="J2" s="962"/>
    </row>
    <row r="3" spans="1:10" ht="12.75">
      <c r="A3" s="342"/>
      <c r="B3" s="342"/>
      <c r="C3" s="480"/>
      <c r="D3" s="509"/>
      <c r="E3" s="480"/>
      <c r="F3" s="480"/>
      <c r="G3" s="481"/>
      <c r="H3" s="342"/>
      <c r="I3" s="268"/>
      <c r="J3" s="962"/>
    </row>
    <row r="4" spans="1:10" ht="12.75">
      <c r="A4" s="479" t="s">
        <v>1868</v>
      </c>
      <c r="B4" s="479"/>
      <c r="C4" s="480"/>
      <c r="D4" s="509"/>
      <c r="E4" s="480"/>
      <c r="F4" s="480"/>
      <c r="G4" s="481"/>
      <c r="H4" s="342"/>
      <c r="I4" s="268"/>
      <c r="J4" s="962"/>
    </row>
    <row r="5" spans="1:10" ht="12.75">
      <c r="A5" s="342"/>
      <c r="B5" s="342"/>
      <c r="C5" s="480"/>
      <c r="D5" s="509"/>
      <c r="E5" s="480"/>
      <c r="F5" s="480"/>
      <c r="G5" s="481"/>
      <c r="H5" s="342"/>
      <c r="I5" s="268"/>
      <c r="J5" s="962"/>
    </row>
    <row r="6" spans="1:10" ht="12.75">
      <c r="A6" s="1090" t="s">
        <v>1869</v>
      </c>
      <c r="B6" s="1090"/>
      <c r="C6" s="1090"/>
      <c r="D6" s="1090"/>
      <c r="E6" s="1090"/>
      <c r="F6" s="1090"/>
      <c r="G6" s="1090"/>
      <c r="H6" s="1090"/>
      <c r="I6" s="268"/>
      <c r="J6" s="962"/>
    </row>
    <row r="7" spans="1:10" ht="12.75">
      <c r="A7" s="342"/>
      <c r="B7" s="342"/>
      <c r="C7" s="480"/>
      <c r="D7" s="509"/>
      <c r="E7" s="480"/>
      <c r="F7" s="480"/>
      <c r="G7" s="481"/>
      <c r="H7" s="342"/>
      <c r="I7" s="268"/>
      <c r="J7" s="962"/>
    </row>
    <row r="8" spans="1:10" ht="12.75">
      <c r="A8" s="482" t="s">
        <v>1</v>
      </c>
      <c r="B8" s="482" t="s">
        <v>1870</v>
      </c>
      <c r="C8" s="483" t="s">
        <v>1871</v>
      </c>
      <c r="D8" s="858" t="s">
        <v>1872</v>
      </c>
      <c r="E8" s="483" t="s">
        <v>1873</v>
      </c>
      <c r="F8" s="483" t="s">
        <v>1874</v>
      </c>
      <c r="G8" s="483" t="s">
        <v>1875</v>
      </c>
      <c r="H8" s="482" t="s">
        <v>310</v>
      </c>
      <c r="I8" s="268"/>
      <c r="J8" s="962"/>
    </row>
    <row r="9" spans="1:10" ht="12.75">
      <c r="A9" s="484">
        <v>1</v>
      </c>
      <c r="B9" s="484" t="s">
        <v>1876</v>
      </c>
      <c r="C9" s="485"/>
      <c r="D9" s="508">
        <f>+STAT1!H58</f>
        <v>529308218.76999998</v>
      </c>
      <c r="E9" s="508">
        <f>+D18</f>
        <v>651208766.96740794</v>
      </c>
      <c r="F9" s="508">
        <f>+E18</f>
        <v>775642143.59740794</v>
      </c>
      <c r="G9" s="508">
        <f>+F18</f>
        <v>623126261.40681779</v>
      </c>
      <c r="H9" s="560">
        <f>+D9</f>
        <v>529308218.76999998</v>
      </c>
      <c r="I9" s="268"/>
      <c r="J9" s="962"/>
    </row>
    <row r="10" spans="1:10" ht="12.75">
      <c r="A10" s="484">
        <v>2</v>
      </c>
      <c r="B10" s="484" t="s">
        <v>1877</v>
      </c>
      <c r="C10" s="485"/>
      <c r="D10" s="508">
        <f>+D11+D12+D13+D14-D15</f>
        <v>143297379.70999998</v>
      </c>
      <c r="E10" s="508">
        <f>+E11+E12+E13+E14-E15</f>
        <v>139284423.98000002</v>
      </c>
      <c r="F10" s="508">
        <f>+F11+F12+F13+F14-F15</f>
        <v>-134077780.78000003</v>
      </c>
      <c r="G10" s="508">
        <f>+G11+G12+G13+G14-G15</f>
        <v>199845828.14573127</v>
      </c>
      <c r="H10" s="508">
        <f>+H11+H12+H13+H14-H15</f>
        <v>348349851.0557313</v>
      </c>
      <c r="I10" s="268"/>
      <c r="J10" s="962"/>
    </row>
    <row r="11" spans="1:10" ht="12.75">
      <c r="A11" s="484">
        <v>2.1</v>
      </c>
      <c r="B11" s="484" t="s">
        <v>1878</v>
      </c>
      <c r="C11" s="485"/>
      <c r="D11" s="508"/>
      <c r="E11" s="508"/>
      <c r="F11" s="508"/>
      <c r="G11" s="508">
        <f>+F15</f>
        <v>229812188.26000002</v>
      </c>
      <c r="H11" s="560"/>
      <c r="I11" s="268"/>
      <c r="J11" s="962"/>
    </row>
    <row r="12" spans="1:10" ht="12.75">
      <c r="A12" s="484">
        <v>2.2000000000000002</v>
      </c>
      <c r="B12" s="484" t="s">
        <v>1879</v>
      </c>
      <c r="C12" s="485"/>
      <c r="D12" s="508">
        <f>+STAT1!J38+STAT1!J50</f>
        <v>82600293.549999997</v>
      </c>
      <c r="E12" s="508">
        <f>+STAT2!J38+STAT2!J50</f>
        <v>77955155.189999998</v>
      </c>
      <c r="F12" s="508">
        <v>6527962.5800000001</v>
      </c>
      <c r="G12" s="508">
        <v>2785264.0321606682</v>
      </c>
      <c r="H12" s="560">
        <f>SUM(D12:G12)</f>
        <v>169868675.35216069</v>
      </c>
      <c r="I12" s="268"/>
      <c r="J12" s="962"/>
    </row>
    <row r="13" spans="1:10" ht="12.75">
      <c r="A13" s="484">
        <v>2.2999999999999998</v>
      </c>
      <c r="B13" s="484" t="s">
        <v>1880</v>
      </c>
      <c r="C13" s="485"/>
      <c r="D13" s="508">
        <f>+STAT1!J41+STAT1!J52</f>
        <v>22883091</v>
      </c>
      <c r="E13" s="508">
        <f>+STAT2!J41+STAT2!J52</f>
        <v>24908804.669999998</v>
      </c>
      <c r="F13" s="508">
        <f>+STAT3!J41+STAT3!J52</f>
        <v>17956146.960000001</v>
      </c>
      <c r="G13" s="508">
        <f>+STAT4!J41+STAT4!J52</f>
        <v>24401268.900000002</v>
      </c>
      <c r="H13" s="560">
        <f>SUM(D13:G13)</f>
        <v>90149311.530000001</v>
      </c>
      <c r="I13" s="268"/>
      <c r="J13" s="962"/>
    </row>
    <row r="14" spans="1:10" ht="12.75">
      <c r="A14" s="484">
        <v>2.4</v>
      </c>
      <c r="B14" s="484" t="s">
        <v>1881</v>
      </c>
      <c r="C14" s="485"/>
      <c r="D14" s="508">
        <f>+STAT1!J44+STAT1!J54+755329.32</f>
        <v>37813995.159999996</v>
      </c>
      <c r="E14" s="508">
        <f>+STAT2!J44+STAT2!J54</f>
        <v>36420464.120000005</v>
      </c>
      <c r="F14" s="508">
        <f>+STAT3!J44+STAT3!J54</f>
        <v>71250297.939999998</v>
      </c>
      <c r="G14" s="508">
        <f>+STAT4!J44+STAT4!J54</f>
        <v>45502674.43999999</v>
      </c>
      <c r="H14" s="560">
        <f>SUM(D14:G14)</f>
        <v>190987431.66</v>
      </c>
      <c r="I14" s="268"/>
      <c r="J14" s="962"/>
    </row>
    <row r="15" spans="1:10" ht="12.75">
      <c r="A15" s="484">
        <v>2.5</v>
      </c>
      <c r="B15" s="484" t="s">
        <v>1882</v>
      </c>
      <c r="C15" s="485"/>
      <c r="D15" s="508"/>
      <c r="E15" s="508"/>
      <c r="F15" s="508">
        <f>+SUM(STAT3!V37:V56)</f>
        <v>229812188.26000002</v>
      </c>
      <c r="G15" s="508">
        <f>+SUM(STAT4!V37:V56)</f>
        <v>102655567.48642941</v>
      </c>
      <c r="H15" s="560">
        <f>+G15</f>
        <v>102655567.48642941</v>
      </c>
      <c r="I15" s="268"/>
      <c r="J15" s="962"/>
    </row>
    <row r="16" spans="1:10" ht="12.75">
      <c r="A16" s="484">
        <v>3</v>
      </c>
      <c r="B16" s="484" t="s">
        <v>1883</v>
      </c>
      <c r="C16" s="485"/>
      <c r="D16" s="508"/>
      <c r="E16" s="508">
        <f>+STAT2!J50</f>
        <v>0</v>
      </c>
      <c r="F16" s="508"/>
      <c r="G16" s="508"/>
      <c r="H16" s="560"/>
      <c r="I16" s="268"/>
      <c r="J16" s="962"/>
    </row>
    <row r="17" spans="1:10" ht="12.75" customHeight="1">
      <c r="A17" s="484">
        <v>4</v>
      </c>
      <c r="B17" s="484" t="s">
        <v>1884</v>
      </c>
      <c r="C17" s="485"/>
      <c r="D17" s="508">
        <f>+D9+D10-D16</f>
        <v>672605598.48000002</v>
      </c>
      <c r="E17" s="508">
        <f>+E9+E10-E16</f>
        <v>790493190.94740796</v>
      </c>
      <c r="F17" s="508">
        <f>+F9+F10-F16</f>
        <v>641564362.81740785</v>
      </c>
      <c r="G17" s="508">
        <f>+G9+G10-G16</f>
        <v>822972089.55254912</v>
      </c>
      <c r="H17" s="508">
        <f>+H9+H10-H16</f>
        <v>877658069.82573128</v>
      </c>
      <c r="I17" s="268"/>
      <c r="J17" s="962"/>
    </row>
    <row r="18" spans="1:10" ht="12.75">
      <c r="A18" s="484">
        <v>5</v>
      </c>
      <c r="B18" s="484" t="s">
        <v>1885</v>
      </c>
      <c r="C18" s="485"/>
      <c r="D18" s="508">
        <f>+STAT1!V58</f>
        <v>651208766.96740794</v>
      </c>
      <c r="E18" s="508">
        <f>+STAT2!V58</f>
        <v>775642143.59740794</v>
      </c>
      <c r="F18" s="638">
        <f>+STAT3!V58</f>
        <v>623126261.40681779</v>
      </c>
      <c r="G18" s="508">
        <f>+STAT4!V58</f>
        <v>507419229.72540343</v>
      </c>
      <c r="H18" s="560">
        <f>+G18</f>
        <v>507419229.72540343</v>
      </c>
      <c r="I18" s="268"/>
      <c r="J18" s="962"/>
    </row>
    <row r="19" spans="1:10" ht="12.75">
      <c r="A19" s="484">
        <v>6</v>
      </c>
      <c r="B19" s="484" t="s">
        <v>1886</v>
      </c>
      <c r="C19" s="485"/>
      <c r="D19" s="508">
        <f>+D17-D18</f>
        <v>21396831.512592077</v>
      </c>
      <c r="E19" s="508">
        <f t="shared" ref="E19:G19" si="0">+E17-E18</f>
        <v>14851047.350000024</v>
      </c>
      <c r="F19" s="508">
        <f>+F17-F18</f>
        <v>18438101.410590053</v>
      </c>
      <c r="G19" s="508">
        <f t="shared" si="0"/>
        <v>315552859.8271457</v>
      </c>
      <c r="H19" s="508">
        <f>+H17-H18</f>
        <v>370238840.10032785</v>
      </c>
      <c r="I19" s="268"/>
      <c r="J19" s="962"/>
    </row>
    <row r="20" spans="1:10" ht="12.75">
      <c r="A20" s="342"/>
      <c r="B20" s="342"/>
      <c r="C20" s="480"/>
      <c r="D20" s="509">
        <f>+STAT1!U151+STAT1!U152</f>
        <v>21396831.513568029</v>
      </c>
      <c r="E20" s="559">
        <f>+STAT2!U151+STAT2!U152</f>
        <v>14851047.35</v>
      </c>
      <c r="F20" s="559">
        <f>+STAT3!U151</f>
        <v>18438101.410590194</v>
      </c>
      <c r="G20" s="481">
        <f>+STAT4!R151+STAT4!R154</f>
        <v>315552859.82487684</v>
      </c>
      <c r="H20" s="991">
        <f>+STAT4!R151+STAT4!R154+STAT3!R151+STAT2!L151+STAT1!J151+STAT1!J152</f>
        <v>370238840.09903508</v>
      </c>
      <c r="I20" s="268"/>
      <c r="J20" s="962"/>
    </row>
    <row r="21" spans="1:10" ht="12.75">
      <c r="A21" s="342"/>
      <c r="B21" s="342"/>
      <c r="C21" s="480"/>
      <c r="D21" s="509">
        <f>+D20-D19</f>
        <v>9.7595155239105225E-4</v>
      </c>
      <c r="E21" s="509">
        <f>+E20-E19</f>
        <v>-2.4214386940002441E-8</v>
      </c>
      <c r="F21" s="509">
        <f>+F19-F20</f>
        <v>-1.4156103134155273E-7</v>
      </c>
      <c r="G21" s="509">
        <f>+G19-G20</f>
        <v>2.2688508033752441E-3</v>
      </c>
      <c r="H21" s="991">
        <f>+H20-H19</f>
        <v>-1.2927651405334473E-3</v>
      </c>
      <c r="I21" s="268"/>
      <c r="J21" s="962"/>
    </row>
    <row r="22" spans="1:10" ht="12.75">
      <c r="A22" s="1090" t="s">
        <v>1887</v>
      </c>
      <c r="B22" s="1090"/>
      <c r="C22" s="1090"/>
      <c r="D22" s="1090"/>
      <c r="E22" s="1090"/>
      <c r="F22" s="1090"/>
      <c r="G22" s="1090"/>
      <c r="H22" s="1090"/>
      <c r="I22" s="268"/>
      <c r="J22" s="962"/>
    </row>
    <row r="23" spans="1:10" ht="12.75">
      <c r="A23" s="342"/>
      <c r="B23" s="342"/>
      <c r="C23" s="480"/>
      <c r="D23" s="509"/>
      <c r="E23" s="480"/>
      <c r="F23" s="480"/>
      <c r="G23" s="481"/>
      <c r="H23" s="342"/>
      <c r="I23" s="268"/>
      <c r="J23" s="962"/>
    </row>
    <row r="24" spans="1:10" ht="12.75">
      <c r="A24" s="482" t="s">
        <v>1</v>
      </c>
      <c r="B24" s="482" t="s">
        <v>1870</v>
      </c>
      <c r="C24" s="483" t="s">
        <v>1871</v>
      </c>
      <c r="D24" s="858" t="s">
        <v>1872</v>
      </c>
      <c r="E24" s="483" t="s">
        <v>1873</v>
      </c>
      <c r="F24" s="483" t="s">
        <v>1874</v>
      </c>
      <c r="G24" s="483" t="s">
        <v>1875</v>
      </c>
      <c r="H24" s="482" t="s">
        <v>310</v>
      </c>
      <c r="I24" s="268"/>
      <c r="J24" s="962"/>
    </row>
    <row r="25" spans="1:10" ht="12.75">
      <c r="A25" s="484">
        <v>1</v>
      </c>
      <c r="B25" s="484" t="s">
        <v>1888</v>
      </c>
      <c r="C25" s="485"/>
      <c r="D25" s="508"/>
      <c r="E25" s="485"/>
      <c r="F25" s="485"/>
      <c r="G25" s="486"/>
      <c r="H25" s="484">
        <f t="shared" ref="H25:H38" si="1">SUM(D25:G25)</f>
        <v>0</v>
      </c>
      <c r="I25" s="268"/>
      <c r="J25" s="962"/>
    </row>
    <row r="26" spans="1:10" ht="12.75">
      <c r="A26" s="484">
        <v>2</v>
      </c>
      <c r="B26" s="484" t="s">
        <v>1889</v>
      </c>
      <c r="C26" s="485"/>
      <c r="D26" s="508"/>
      <c r="E26" s="485"/>
      <c r="F26" s="485"/>
      <c r="G26" s="486"/>
      <c r="H26" s="484">
        <f t="shared" si="1"/>
        <v>0</v>
      </c>
      <c r="I26" s="268"/>
      <c r="J26" s="962"/>
    </row>
    <row r="27" spans="1:10" ht="12.75">
      <c r="A27" s="484">
        <v>2.1</v>
      </c>
      <c r="B27" s="484" t="s">
        <v>1890</v>
      </c>
      <c r="C27" s="485"/>
      <c r="D27" s="508"/>
      <c r="E27" s="485"/>
      <c r="F27" s="485"/>
      <c r="G27" s="486"/>
      <c r="H27" s="484">
        <f t="shared" si="1"/>
        <v>0</v>
      </c>
      <c r="I27" s="268"/>
      <c r="J27" s="962"/>
    </row>
    <row r="28" spans="1:10" ht="12.75">
      <c r="A28" s="484">
        <v>2.2000000000000002</v>
      </c>
      <c r="B28" s="484" t="s">
        <v>1891</v>
      </c>
      <c r="C28" s="485"/>
      <c r="D28" s="508"/>
      <c r="E28" s="485"/>
      <c r="F28" s="485"/>
      <c r="G28" s="486"/>
      <c r="H28" s="484">
        <f t="shared" si="1"/>
        <v>0</v>
      </c>
      <c r="I28" s="268"/>
      <c r="J28" s="962"/>
    </row>
    <row r="29" spans="1:10" ht="12.75">
      <c r="A29" s="484" t="s">
        <v>224</v>
      </c>
      <c r="B29" s="484" t="s">
        <v>1892</v>
      </c>
      <c r="C29" s="485"/>
      <c r="D29" s="508"/>
      <c r="E29" s="485"/>
      <c r="F29" s="485"/>
      <c r="G29" s="486"/>
      <c r="H29" s="484">
        <f t="shared" si="1"/>
        <v>0</v>
      </c>
      <c r="I29" s="268"/>
      <c r="J29" s="962"/>
    </row>
    <row r="30" spans="1:10" ht="12.75">
      <c r="A30" s="484" t="s">
        <v>226</v>
      </c>
      <c r="B30" s="484" t="s">
        <v>1893</v>
      </c>
      <c r="C30" s="485"/>
      <c r="D30" s="508"/>
      <c r="E30" s="485"/>
      <c r="F30" s="485"/>
      <c r="G30" s="486"/>
      <c r="H30" s="484">
        <f t="shared" si="1"/>
        <v>0</v>
      </c>
      <c r="I30" s="268"/>
      <c r="J30" s="962"/>
    </row>
    <row r="31" spans="1:10" ht="12.75">
      <c r="A31" s="484" t="s">
        <v>228</v>
      </c>
      <c r="B31" s="484" t="s">
        <v>1894</v>
      </c>
      <c r="C31" s="485"/>
      <c r="D31" s="508"/>
      <c r="E31" s="485"/>
      <c r="F31" s="485"/>
      <c r="G31" s="486"/>
      <c r="H31" s="484">
        <f t="shared" si="1"/>
        <v>0</v>
      </c>
      <c r="I31" s="268"/>
      <c r="J31" s="962"/>
    </row>
    <row r="32" spans="1:10" ht="12.75">
      <c r="A32" s="484" t="s">
        <v>230</v>
      </c>
      <c r="B32" s="484" t="s">
        <v>1895</v>
      </c>
      <c r="C32" s="485"/>
      <c r="D32" s="508"/>
      <c r="E32" s="485"/>
      <c r="F32" s="485"/>
      <c r="G32" s="486"/>
      <c r="H32" s="484">
        <f t="shared" si="1"/>
        <v>0</v>
      </c>
      <c r="I32" s="268"/>
      <c r="J32" s="962"/>
    </row>
    <row r="33" spans="1:13" ht="12.75" customHeight="1">
      <c r="A33" s="484" t="s">
        <v>232</v>
      </c>
      <c r="B33" s="484" t="s">
        <v>1896</v>
      </c>
      <c r="C33" s="485"/>
      <c r="D33" s="508"/>
      <c r="E33" s="485"/>
      <c r="F33" s="485"/>
      <c r="G33" s="486"/>
      <c r="H33" s="484">
        <f t="shared" si="1"/>
        <v>0</v>
      </c>
      <c r="I33" s="268"/>
      <c r="J33" s="962"/>
    </row>
    <row r="34" spans="1:13" ht="12.75">
      <c r="A34" s="484">
        <v>2.2999999999999998</v>
      </c>
      <c r="B34" s="484" t="s">
        <v>1897</v>
      </c>
      <c r="C34" s="485"/>
      <c r="D34" s="508"/>
      <c r="E34" s="485"/>
      <c r="F34" s="485"/>
      <c r="G34" s="486"/>
      <c r="H34" s="484">
        <f t="shared" si="1"/>
        <v>0</v>
      </c>
      <c r="I34" s="268"/>
      <c r="J34" s="962"/>
    </row>
    <row r="35" spans="1:13" ht="12.75">
      <c r="A35" s="484">
        <v>2.4</v>
      </c>
      <c r="B35" s="484" t="s">
        <v>1898</v>
      </c>
      <c r="C35" s="485"/>
      <c r="D35" s="508"/>
      <c r="E35" s="485"/>
      <c r="F35" s="485"/>
      <c r="G35" s="486"/>
      <c r="H35" s="484">
        <f t="shared" si="1"/>
        <v>0</v>
      </c>
      <c r="I35" s="268"/>
      <c r="J35" s="962"/>
    </row>
    <row r="36" spans="1:13" ht="12.75">
      <c r="A36" s="484">
        <v>3</v>
      </c>
      <c r="B36" s="484" t="s">
        <v>1899</v>
      </c>
      <c r="C36" s="485"/>
      <c r="D36" s="508"/>
      <c r="E36" s="485"/>
      <c r="F36" s="485"/>
      <c r="G36" s="486"/>
      <c r="H36" s="484">
        <f t="shared" si="1"/>
        <v>0</v>
      </c>
      <c r="I36" s="268"/>
      <c r="J36" s="962"/>
    </row>
    <row r="37" spans="1:13" ht="12.75">
      <c r="A37" s="484">
        <v>4</v>
      </c>
      <c r="B37" s="484" t="s">
        <v>1900</v>
      </c>
      <c r="C37" s="485"/>
      <c r="D37" s="508"/>
      <c r="E37" s="485"/>
      <c r="F37" s="485"/>
      <c r="G37" s="486"/>
      <c r="H37" s="484">
        <f t="shared" si="1"/>
        <v>0</v>
      </c>
      <c r="I37" s="268"/>
      <c r="J37" s="962"/>
    </row>
    <row r="38" spans="1:13" ht="12.75">
      <c r="A38" s="484">
        <v>5</v>
      </c>
      <c r="B38" s="484" t="s">
        <v>1901</v>
      </c>
      <c r="C38" s="485"/>
      <c r="D38" s="508"/>
      <c r="E38" s="485"/>
      <c r="F38" s="485"/>
      <c r="G38" s="486"/>
      <c r="H38" s="484">
        <f t="shared" si="1"/>
        <v>0</v>
      </c>
      <c r="I38" s="268"/>
      <c r="J38" s="962"/>
    </row>
    <row r="39" spans="1:13">
      <c r="A39" s="268"/>
      <c r="B39" s="268"/>
      <c r="H39" s="268"/>
      <c r="I39" s="268"/>
      <c r="J39" s="962"/>
    </row>
    <row r="40" spans="1:13">
      <c r="A40" s="268"/>
      <c r="B40" s="268"/>
      <c r="H40" s="268"/>
      <c r="I40" s="268"/>
      <c r="J40" s="962"/>
    </row>
    <row r="41" spans="1:13" ht="12.75">
      <c r="A41" s="1090" t="s">
        <v>1902</v>
      </c>
      <c r="B41" s="1090"/>
      <c r="C41" s="1090"/>
      <c r="D41" s="1090"/>
      <c r="E41" s="1090"/>
      <c r="F41" s="1090"/>
      <c r="G41" s="1090"/>
      <c r="H41" s="1090"/>
      <c r="I41" s="268"/>
      <c r="J41" s="962"/>
    </row>
    <row r="42" spans="1:13">
      <c r="A42" s="268"/>
      <c r="B42" s="271"/>
      <c r="C42" s="271"/>
      <c r="D42" s="860"/>
      <c r="E42" s="271"/>
      <c r="F42" s="271"/>
      <c r="G42" s="271"/>
      <c r="H42" s="271"/>
      <c r="I42" s="271"/>
      <c r="J42" s="962"/>
    </row>
    <row r="43" spans="1:13">
      <c r="A43" s="268"/>
      <c r="B43" s="1091"/>
      <c r="C43" s="1091"/>
      <c r="D43" s="1091"/>
      <c r="E43" s="1091"/>
      <c r="F43" s="1091"/>
      <c r="G43" s="1091"/>
      <c r="H43" s="1091"/>
      <c r="I43" s="1091"/>
      <c r="J43" s="962"/>
    </row>
    <row r="44" spans="1:13">
      <c r="A44" s="268"/>
      <c r="B44" s="268"/>
      <c r="D44" s="859">
        <f>+SUM(STAT1!U155:U204)</f>
        <v>43270884.364714853</v>
      </c>
      <c r="E44" s="270">
        <f>+SUM(STAT2!U155:U204)</f>
        <v>39338925.638148151</v>
      </c>
      <c r="F44" s="406">
        <f>+SUM(STAT3!U155:U204)</f>
        <v>27466340.460000005</v>
      </c>
      <c r="G44" s="270">
        <f>+SUM(STAT4!U155:U204)</f>
        <v>51796978.409599997</v>
      </c>
      <c r="H44" s="273"/>
      <c r="I44" s="268"/>
    </row>
    <row r="45" spans="1:13">
      <c r="B45" s="268"/>
      <c r="D45" s="859">
        <f>+D44-D48</f>
        <v>0</v>
      </c>
      <c r="E45" s="272">
        <f>+E44-E48</f>
        <v>0</v>
      </c>
      <c r="F45" s="272">
        <f>+F44-F48</f>
        <v>0</v>
      </c>
      <c r="G45" s="272">
        <f>+G44-G48</f>
        <v>0</v>
      </c>
      <c r="H45" s="274"/>
      <c r="I45" s="268"/>
      <c r="J45" s="962"/>
    </row>
    <row r="46" spans="1:13" s="269" customFormat="1" ht="12" customHeight="1">
      <c r="A46" s="1094" t="s">
        <v>1009</v>
      </c>
      <c r="B46" s="1094"/>
      <c r="C46" s="1094" t="s">
        <v>1010</v>
      </c>
      <c r="D46" s="861"/>
      <c r="E46" s="639"/>
      <c r="F46" s="639"/>
      <c r="G46" s="640"/>
      <c r="H46" s="1094" t="s">
        <v>1086</v>
      </c>
      <c r="J46" s="859"/>
    </row>
    <row r="47" spans="1:13" s="269" customFormat="1">
      <c r="A47" s="1094"/>
      <c r="B47" s="1094"/>
      <c r="C47" s="1094"/>
      <c r="D47" s="861">
        <v>1</v>
      </c>
      <c r="E47" s="639">
        <v>2</v>
      </c>
      <c r="F47" s="639">
        <v>3</v>
      </c>
      <c r="G47" s="640">
        <v>4</v>
      </c>
      <c r="H47" s="1094"/>
      <c r="J47" s="859"/>
    </row>
    <row r="48" spans="1:13">
      <c r="A48" s="1092" t="s">
        <v>1087</v>
      </c>
      <c r="B48" s="1092"/>
      <c r="C48" s="639">
        <v>1</v>
      </c>
      <c r="D48" s="643">
        <f>SUM(D49:D91)</f>
        <v>43270884.364714846</v>
      </c>
      <c r="E48" s="641">
        <f>SUM(E49:E91)</f>
        <v>39338925.638148144</v>
      </c>
      <c r="F48" s="641">
        <f>SUM(F49:F91)</f>
        <v>27466340.460000005</v>
      </c>
      <c r="G48" s="642">
        <f>SUM(G49:G91)</f>
        <v>51796978.409600005</v>
      </c>
      <c r="H48" s="643">
        <f>SUM(H49:H91)</f>
        <v>161873128.87246302</v>
      </c>
      <c r="I48" s="273"/>
      <c r="J48" s="962"/>
      <c r="K48" s="275"/>
      <c r="L48" s="275"/>
      <c r="M48" s="276"/>
    </row>
    <row r="49" spans="1:10" ht="36">
      <c r="A49" s="1093" t="s">
        <v>1088</v>
      </c>
      <c r="B49" s="644" t="s">
        <v>1089</v>
      </c>
      <c r="C49" s="645">
        <v>2</v>
      </c>
      <c r="D49" s="661">
        <f>+STAT1!U157+STAT1!U158+STAT1!U159+STAT1!U170</f>
        <v>2066290.5127272727</v>
      </c>
      <c r="E49" s="646">
        <f>+STAT2!U157+STAT2!U158+STAT2!U159+STAT2!U170</f>
        <v>1837991.5700000005</v>
      </c>
      <c r="F49" s="646">
        <f>+STAT3!U157+STAT3!U158+STAT3!U159+STAT3!U170</f>
        <v>1070304.1399999997</v>
      </c>
      <c r="G49" s="647">
        <f>+STAT4!U157+STAT4!U158+STAT4!U159+STAT4!U170+STAT4!U171</f>
        <v>1472207.7500000012</v>
      </c>
      <c r="H49" s="648">
        <f>SUM(D49:G49)</f>
        <v>6446793.9727272736</v>
      </c>
      <c r="I49" s="268"/>
      <c r="J49" s="962"/>
    </row>
    <row r="50" spans="1:10" ht="24">
      <c r="A50" s="1093"/>
      <c r="B50" s="649" t="s">
        <v>1090</v>
      </c>
      <c r="C50" s="645">
        <v>3</v>
      </c>
      <c r="D50" s="643">
        <f>+STAT1!U155</f>
        <v>15759684.09109731</v>
      </c>
      <c r="E50" s="650">
        <f>+STAT2!U155</f>
        <v>19778999.98</v>
      </c>
      <c r="F50" s="641">
        <f>+STAT3!U155</f>
        <v>11831915.949999999</v>
      </c>
      <c r="G50" s="647">
        <f>+STAT4!U155</f>
        <v>7693788.0200000033</v>
      </c>
      <c r="H50" s="648">
        <f t="shared" ref="H50:H70" si="2">SUM(D50:G50)</f>
        <v>55064388.041097321</v>
      </c>
      <c r="I50" s="268"/>
      <c r="J50" s="962"/>
    </row>
    <row r="51" spans="1:10">
      <c r="A51" s="1093"/>
      <c r="B51" s="649" t="s">
        <v>1091</v>
      </c>
      <c r="C51" s="645">
        <v>4</v>
      </c>
      <c r="D51" s="643">
        <f>+STAT1!U156</f>
        <v>2657400.0308902692</v>
      </c>
      <c r="E51" s="650">
        <f>+STAT2!U156</f>
        <v>2686999.9981481475</v>
      </c>
      <c r="F51" s="641">
        <f>+STAT3!U156</f>
        <v>1616846.92</v>
      </c>
      <c r="G51" s="647">
        <f>+STAT4!U156</f>
        <v>1013999.96</v>
      </c>
      <c r="H51" s="648">
        <f t="shared" si="2"/>
        <v>7975246.9090384161</v>
      </c>
      <c r="I51" s="268"/>
      <c r="J51" s="962"/>
    </row>
    <row r="52" spans="1:10" ht="24">
      <c r="A52" s="1093"/>
      <c r="B52" s="649" t="s">
        <v>1092</v>
      </c>
      <c r="C52" s="645">
        <v>5</v>
      </c>
      <c r="D52" s="643"/>
      <c r="E52" s="650"/>
      <c r="F52" s="641"/>
      <c r="G52" s="647"/>
      <c r="H52" s="648">
        <f t="shared" si="2"/>
        <v>0</v>
      </c>
      <c r="I52" s="268"/>
      <c r="J52" s="962"/>
    </row>
    <row r="53" spans="1:10">
      <c r="A53" s="1093"/>
      <c r="B53" s="649" t="s">
        <v>1093</v>
      </c>
      <c r="C53" s="645">
        <v>6</v>
      </c>
      <c r="D53" s="643">
        <f>+STAT1!U166</f>
        <v>6982822.7200000025</v>
      </c>
      <c r="E53" s="651">
        <f>+STAT2!U166</f>
        <v>4684574.3900000006</v>
      </c>
      <c r="F53" s="652">
        <f>+STAT3!U166</f>
        <v>4651166.4700000025</v>
      </c>
      <c r="G53" s="647">
        <f>+STAT4!U166</f>
        <v>3900772.7100000009</v>
      </c>
      <c r="H53" s="648">
        <f t="shared" si="2"/>
        <v>20219336.290000007</v>
      </c>
      <c r="I53" s="268"/>
      <c r="J53" s="962"/>
    </row>
    <row r="54" spans="1:10" ht="24">
      <c r="A54" s="1093"/>
      <c r="B54" s="649" t="s">
        <v>1094</v>
      </c>
      <c r="C54" s="645">
        <v>7</v>
      </c>
      <c r="D54" s="661">
        <f>+STAT1!U164+STAT1!U165</f>
        <v>0</v>
      </c>
      <c r="E54" s="653">
        <f>+STAT2!U164+STAT2!U165</f>
        <v>328181.82</v>
      </c>
      <c r="F54" s="646">
        <f>+STAT3!U164+STAT3!U165</f>
        <v>528181.82000000007</v>
      </c>
      <c r="G54" s="647">
        <f>+STAT4!U164+STAT4!U165</f>
        <v>16422780.09</v>
      </c>
      <c r="H54" s="648">
        <f t="shared" si="2"/>
        <v>17279143.73</v>
      </c>
      <c r="I54" s="268"/>
      <c r="J54" s="962"/>
    </row>
    <row r="55" spans="1:10" ht="24">
      <c r="A55" s="1093"/>
      <c r="B55" s="649" t="s">
        <v>1095</v>
      </c>
      <c r="C55" s="645">
        <v>8</v>
      </c>
      <c r="D55" s="862"/>
      <c r="E55" s="652"/>
      <c r="F55" s="652"/>
      <c r="G55" s="647"/>
      <c r="H55" s="648">
        <f t="shared" si="2"/>
        <v>0</v>
      </c>
      <c r="I55" s="268"/>
      <c r="J55" s="962"/>
    </row>
    <row r="56" spans="1:10">
      <c r="A56" s="1093"/>
      <c r="B56" s="649" t="s">
        <v>1096</v>
      </c>
      <c r="C56" s="645">
        <v>9</v>
      </c>
      <c r="D56" s="661"/>
      <c r="E56" s="645"/>
      <c r="F56" s="645"/>
      <c r="G56" s="647"/>
      <c r="H56" s="648">
        <f t="shared" si="2"/>
        <v>0</v>
      </c>
      <c r="I56" s="268"/>
      <c r="J56" s="962"/>
    </row>
    <row r="57" spans="1:10">
      <c r="A57" s="1093"/>
      <c r="B57" s="649" t="s">
        <v>1097</v>
      </c>
      <c r="C57" s="645">
        <v>10</v>
      </c>
      <c r="D57" s="863"/>
      <c r="E57" s="654"/>
      <c r="F57" s="654"/>
      <c r="G57" s="655"/>
      <c r="H57" s="648">
        <f t="shared" si="2"/>
        <v>0</v>
      </c>
      <c r="I57" s="268"/>
      <c r="J57" s="962"/>
    </row>
    <row r="58" spans="1:10">
      <c r="A58" s="1093"/>
      <c r="B58" s="649" t="s">
        <v>1098</v>
      </c>
      <c r="C58" s="645">
        <v>11</v>
      </c>
      <c r="D58" s="863"/>
      <c r="E58" s="654"/>
      <c r="F58" s="654"/>
      <c r="G58" s="655"/>
      <c r="H58" s="648">
        <f t="shared" si="2"/>
        <v>0</v>
      </c>
      <c r="I58" s="268"/>
      <c r="J58" s="962"/>
    </row>
    <row r="59" spans="1:10">
      <c r="A59" s="1093"/>
      <c r="B59" s="649" t="s">
        <v>1099</v>
      </c>
      <c r="C59" s="645">
        <v>12</v>
      </c>
      <c r="D59" s="863"/>
      <c r="E59" s="654"/>
      <c r="F59" s="654"/>
      <c r="G59" s="655"/>
      <c r="H59" s="648">
        <f t="shared" si="2"/>
        <v>0</v>
      </c>
      <c r="I59" s="268"/>
      <c r="J59" s="962"/>
    </row>
    <row r="60" spans="1:10">
      <c r="A60" s="1093"/>
      <c r="B60" s="649" t="s">
        <v>1100</v>
      </c>
      <c r="C60" s="645">
        <v>13</v>
      </c>
      <c r="D60" s="863"/>
      <c r="E60" s="654"/>
      <c r="F60" s="654"/>
      <c r="G60" s="655"/>
      <c r="H60" s="648">
        <f t="shared" si="2"/>
        <v>0</v>
      </c>
      <c r="I60" s="268"/>
      <c r="J60" s="962"/>
    </row>
    <row r="61" spans="1:10">
      <c r="A61" s="1093"/>
      <c r="B61" s="649" t="s">
        <v>1101</v>
      </c>
      <c r="C61" s="645">
        <v>14</v>
      </c>
      <c r="D61" s="863"/>
      <c r="E61" s="654"/>
      <c r="F61" s="654"/>
      <c r="G61" s="655"/>
      <c r="H61" s="648">
        <f t="shared" si="2"/>
        <v>0</v>
      </c>
      <c r="I61" s="268"/>
      <c r="J61" s="962"/>
    </row>
    <row r="62" spans="1:10" ht="24">
      <c r="A62" s="1093"/>
      <c r="B62" s="649" t="s">
        <v>1102</v>
      </c>
      <c r="C62" s="645">
        <v>15</v>
      </c>
      <c r="D62" s="863"/>
      <c r="E62" s="654"/>
      <c r="F62" s="654"/>
      <c r="G62" s="655"/>
      <c r="H62" s="648">
        <f t="shared" si="2"/>
        <v>0</v>
      </c>
      <c r="I62" s="268"/>
      <c r="J62" s="962"/>
    </row>
    <row r="63" spans="1:10" ht="48">
      <c r="A63" s="1093"/>
      <c r="B63" s="649" t="s">
        <v>1103</v>
      </c>
      <c r="C63" s="645">
        <v>16</v>
      </c>
      <c r="D63" s="863"/>
      <c r="E63" s="654"/>
      <c r="F63" s="654"/>
      <c r="G63" s="655"/>
      <c r="H63" s="648">
        <f t="shared" si="2"/>
        <v>0</v>
      </c>
      <c r="I63" s="268"/>
      <c r="J63" s="962"/>
    </row>
    <row r="64" spans="1:10" ht="36">
      <c r="A64" s="1093"/>
      <c r="B64" s="649" t="s">
        <v>1104</v>
      </c>
      <c r="C64" s="645">
        <v>17</v>
      </c>
      <c r="D64" s="863"/>
      <c r="E64" s="654"/>
      <c r="F64" s="654"/>
      <c r="G64" s="655"/>
      <c r="H64" s="648">
        <f t="shared" si="2"/>
        <v>0</v>
      </c>
      <c r="I64" s="268"/>
      <c r="J64" s="962"/>
    </row>
    <row r="65" spans="1:10">
      <c r="A65" s="1093"/>
      <c r="B65" s="649" t="s">
        <v>275</v>
      </c>
      <c r="C65" s="645">
        <v>18</v>
      </c>
      <c r="D65" s="863"/>
      <c r="E65" s="656">
        <f>+STAT2!U167</f>
        <v>0</v>
      </c>
      <c r="F65" s="654"/>
      <c r="G65" s="655"/>
      <c r="H65" s="648">
        <f t="shared" si="2"/>
        <v>0</v>
      </c>
      <c r="I65" s="268"/>
      <c r="J65" s="962"/>
    </row>
    <row r="66" spans="1:10" ht="24">
      <c r="A66" s="1093"/>
      <c r="B66" s="649" t="s">
        <v>1105</v>
      </c>
      <c r="C66" s="645">
        <v>19</v>
      </c>
      <c r="D66" s="863"/>
      <c r="E66" s="654"/>
      <c r="F66" s="654"/>
      <c r="G66" s="655"/>
      <c r="H66" s="648">
        <f t="shared" si="2"/>
        <v>0</v>
      </c>
      <c r="I66" s="268"/>
      <c r="J66" s="962"/>
    </row>
    <row r="67" spans="1:10" ht="24">
      <c r="A67" s="1093"/>
      <c r="B67" s="649" t="s">
        <v>1106</v>
      </c>
      <c r="C67" s="645">
        <v>20</v>
      </c>
      <c r="D67" s="863"/>
      <c r="E67" s="654"/>
      <c r="F67" s="654"/>
      <c r="G67" s="655"/>
      <c r="H67" s="648">
        <f t="shared" si="2"/>
        <v>0</v>
      </c>
      <c r="I67" s="268"/>
      <c r="J67" s="962"/>
    </row>
    <row r="68" spans="1:10" ht="24">
      <c r="A68" s="1093"/>
      <c r="B68" s="649" t="s">
        <v>1107</v>
      </c>
      <c r="C68" s="645">
        <v>21</v>
      </c>
      <c r="D68" s="863"/>
      <c r="E68" s="654"/>
      <c r="F68" s="654"/>
      <c r="G68" s="655"/>
      <c r="H68" s="648">
        <f t="shared" si="2"/>
        <v>0</v>
      </c>
      <c r="I68" s="268"/>
      <c r="J68" s="962"/>
    </row>
    <row r="69" spans="1:10">
      <c r="A69" s="1093"/>
      <c r="B69" s="649" t="s">
        <v>274</v>
      </c>
      <c r="C69" s="645">
        <v>22</v>
      </c>
      <c r="D69" s="863"/>
      <c r="E69" s="654"/>
      <c r="F69" s="654"/>
      <c r="G69" s="655"/>
      <c r="H69" s="648">
        <f t="shared" si="2"/>
        <v>0</v>
      </c>
      <c r="I69" s="268"/>
      <c r="J69" s="962"/>
    </row>
    <row r="70" spans="1:10">
      <c r="A70" s="1093"/>
      <c r="B70" s="649" t="s">
        <v>1108</v>
      </c>
      <c r="C70" s="645">
        <v>23</v>
      </c>
      <c r="D70" s="863"/>
      <c r="E70" s="654"/>
      <c r="F70" s="654"/>
      <c r="G70" s="655"/>
      <c r="H70" s="648">
        <f t="shared" si="2"/>
        <v>0</v>
      </c>
      <c r="I70" s="268"/>
      <c r="J70" s="962"/>
    </row>
    <row r="71" spans="1:10">
      <c r="A71" s="1093"/>
      <c r="B71" s="649" t="s">
        <v>1109</v>
      </c>
      <c r="C71" s="645">
        <v>24</v>
      </c>
      <c r="D71" s="862">
        <f>+STAT1!U188</f>
        <v>2533636.36</v>
      </c>
      <c r="E71" s="652">
        <f>+STAT2!U162</f>
        <v>0</v>
      </c>
      <c r="F71" s="652">
        <f>+STAT3!U188</f>
        <v>0</v>
      </c>
      <c r="G71" s="657">
        <f>+STAT4!U188</f>
        <v>0</v>
      </c>
      <c r="H71" s="648">
        <f>SUM(D71:G71)</f>
        <v>2533636.36</v>
      </c>
      <c r="I71" s="268"/>
      <c r="J71" s="962"/>
    </row>
    <row r="72" spans="1:10">
      <c r="A72" s="1093"/>
      <c r="B72" s="649" t="s">
        <v>1110</v>
      </c>
      <c r="C72" s="645">
        <v>25</v>
      </c>
      <c r="D72" s="862">
        <f>+STAT1!U193+STAT1!U189+STAT1!U180+STAT1!U169</f>
        <v>5579845.46</v>
      </c>
      <c r="E72" s="651">
        <f>+STAT2!U193+STAT2!U189+STAT2!U180+STAT2!U169</f>
        <v>5471206.9100000001</v>
      </c>
      <c r="F72" s="652">
        <f>+STAT3!U193+STAT3!U189+STAT3!U180+STAT3!U169</f>
        <v>5719776.3200000003</v>
      </c>
      <c r="G72" s="647">
        <f>+STAT4!U193+STAT4!U189+STAT4!U180+STAT4!U169</f>
        <v>5214697.55</v>
      </c>
      <c r="H72" s="648">
        <f>SUM(D72:G72)</f>
        <v>21985526.240000002</v>
      </c>
      <c r="I72" s="268"/>
      <c r="J72" s="962"/>
    </row>
    <row r="73" spans="1:10">
      <c r="A73" s="1093"/>
      <c r="B73" s="649" t="s">
        <v>1111</v>
      </c>
      <c r="C73" s="645">
        <v>26</v>
      </c>
      <c r="D73" s="661"/>
      <c r="E73" s="645"/>
      <c r="F73" s="645"/>
      <c r="G73" s="647"/>
      <c r="H73" s="648">
        <f>SUM(D73:G73)</f>
        <v>0</v>
      </c>
      <c r="I73" s="268"/>
      <c r="J73" s="962"/>
    </row>
    <row r="74" spans="1:10" ht="36">
      <c r="A74" s="1093"/>
      <c r="B74" s="649" t="s">
        <v>1112</v>
      </c>
      <c r="C74" s="645">
        <v>27</v>
      </c>
      <c r="D74" s="862"/>
      <c r="E74" s="652"/>
      <c r="F74" s="652"/>
      <c r="G74" s="647"/>
      <c r="H74" s="648">
        <f>SUM(D74:G74)</f>
        <v>0</v>
      </c>
      <c r="I74" s="268"/>
      <c r="J74" s="962"/>
    </row>
    <row r="75" spans="1:10" ht="24">
      <c r="A75" s="1093"/>
      <c r="B75" s="649" t="s">
        <v>1113</v>
      </c>
      <c r="C75" s="645">
        <v>28</v>
      </c>
      <c r="D75" s="862"/>
      <c r="E75" s="652"/>
      <c r="F75" s="652"/>
      <c r="G75" s="647"/>
      <c r="H75" s="648">
        <f>SUM(D75:G75)</f>
        <v>0</v>
      </c>
      <c r="I75" s="268"/>
      <c r="J75" s="962"/>
    </row>
    <row r="76" spans="1:10" ht="36">
      <c r="A76" s="1093"/>
      <c r="B76" s="649" t="s">
        <v>1114</v>
      </c>
      <c r="C76" s="645">
        <v>29</v>
      </c>
      <c r="D76" s="661"/>
      <c r="E76" s="645"/>
      <c r="F76" s="645"/>
      <c r="G76" s="647"/>
      <c r="H76" s="658"/>
      <c r="I76" s="268"/>
      <c r="J76" s="962"/>
    </row>
    <row r="77" spans="1:10" ht="24">
      <c r="A77" s="1093"/>
      <c r="B77" s="649" t="s">
        <v>1115</v>
      </c>
      <c r="C77" s="645">
        <v>30</v>
      </c>
      <c r="D77" s="661"/>
      <c r="E77" s="645"/>
      <c r="F77" s="645"/>
      <c r="G77" s="647"/>
      <c r="H77" s="658"/>
      <c r="I77" s="268"/>
      <c r="J77" s="962"/>
    </row>
    <row r="78" spans="1:10" ht="24">
      <c r="A78" s="1093"/>
      <c r="B78" s="649" t="s">
        <v>1116</v>
      </c>
      <c r="C78" s="645">
        <v>31</v>
      </c>
      <c r="D78" s="661"/>
      <c r="E78" s="645"/>
      <c r="F78" s="645"/>
      <c r="G78" s="647"/>
      <c r="H78" s="658"/>
      <c r="I78" s="268"/>
      <c r="J78" s="962"/>
    </row>
    <row r="79" spans="1:10">
      <c r="A79" s="1093"/>
      <c r="B79" s="649" t="s">
        <v>1117</v>
      </c>
      <c r="C79" s="645">
        <v>32</v>
      </c>
      <c r="D79" s="661"/>
      <c r="E79" s="645"/>
      <c r="F79" s="645"/>
      <c r="G79" s="647"/>
      <c r="H79" s="658"/>
      <c r="I79" s="268"/>
      <c r="J79" s="962"/>
    </row>
    <row r="80" spans="1:10" ht="24">
      <c r="A80" s="1093"/>
      <c r="B80" s="649" t="s">
        <v>1118</v>
      </c>
      <c r="C80" s="645">
        <v>33</v>
      </c>
      <c r="D80" s="661"/>
      <c r="E80" s="645"/>
      <c r="F80" s="645"/>
      <c r="G80" s="647"/>
      <c r="H80" s="658"/>
      <c r="I80" s="268"/>
      <c r="J80" s="962"/>
    </row>
    <row r="81" spans="1:10" ht="36">
      <c r="A81" s="1093"/>
      <c r="B81" s="659" t="s">
        <v>1119</v>
      </c>
      <c r="C81" s="645">
        <v>34</v>
      </c>
      <c r="D81" s="661"/>
      <c r="E81" s="645"/>
      <c r="F81" s="645"/>
      <c r="G81" s="647"/>
      <c r="H81" s="658"/>
      <c r="I81" s="268"/>
      <c r="J81" s="962"/>
    </row>
    <row r="82" spans="1:10" ht="36">
      <c r="A82" s="1093"/>
      <c r="B82" s="659" t="s">
        <v>1120</v>
      </c>
      <c r="C82" s="645">
        <v>35</v>
      </c>
      <c r="D82" s="661"/>
      <c r="E82" s="645"/>
      <c r="F82" s="645"/>
      <c r="G82" s="647"/>
      <c r="H82" s="658"/>
      <c r="I82" s="268"/>
      <c r="J82" s="962"/>
    </row>
    <row r="83" spans="1:10">
      <c r="A83" s="1093"/>
      <c r="B83" s="649" t="s">
        <v>1121</v>
      </c>
      <c r="C83" s="645">
        <v>36</v>
      </c>
      <c r="D83" s="661"/>
      <c r="E83" s="645"/>
      <c r="F83" s="645"/>
      <c r="G83" s="647"/>
      <c r="H83" s="658"/>
      <c r="I83" s="268"/>
      <c r="J83" s="962"/>
    </row>
    <row r="84" spans="1:10" ht="24">
      <c r="A84" s="1093"/>
      <c r="B84" s="649" t="s">
        <v>1122</v>
      </c>
      <c r="C84" s="645">
        <v>37</v>
      </c>
      <c r="D84" s="661"/>
      <c r="E84" s="645"/>
      <c r="F84" s="645"/>
      <c r="G84" s="647"/>
      <c r="H84" s="658"/>
      <c r="I84" s="268"/>
      <c r="J84" s="962"/>
    </row>
    <row r="85" spans="1:10">
      <c r="A85" s="1093"/>
      <c r="B85" s="649" t="s">
        <v>1123</v>
      </c>
      <c r="C85" s="645">
        <v>38</v>
      </c>
      <c r="D85" s="661"/>
      <c r="E85" s="645"/>
      <c r="F85" s="645"/>
      <c r="G85" s="647"/>
      <c r="H85" s="658"/>
      <c r="I85" s="268"/>
      <c r="J85" s="962"/>
    </row>
    <row r="86" spans="1:10">
      <c r="A86" s="1093"/>
      <c r="B86" s="649" t="s">
        <v>1124</v>
      </c>
      <c r="C86" s="645">
        <v>39</v>
      </c>
      <c r="D86" s="862"/>
      <c r="E86" s="652">
        <f>+STAT2!R182</f>
        <v>500000</v>
      </c>
      <c r="F86" s="652">
        <f>+STAT3!R182</f>
        <v>0</v>
      </c>
      <c r="G86" s="647">
        <f>+STAT4!U182</f>
        <v>10159000</v>
      </c>
      <c r="H86" s="648">
        <f t="shared" ref="H86:H91" si="3">SUM(D86:G86)</f>
        <v>10659000</v>
      </c>
      <c r="I86" s="268"/>
      <c r="J86" s="962"/>
    </row>
    <row r="87" spans="1:10">
      <c r="A87" s="1093"/>
      <c r="B87" s="649" t="s">
        <v>1125</v>
      </c>
      <c r="C87" s="645">
        <v>40</v>
      </c>
      <c r="D87" s="862"/>
      <c r="E87" s="652"/>
      <c r="F87" s="652"/>
      <c r="G87" s="647">
        <f>+STAT4!U183</f>
        <v>0</v>
      </c>
      <c r="H87" s="648">
        <f t="shared" si="3"/>
        <v>0</v>
      </c>
      <c r="I87" s="268"/>
      <c r="J87" s="962"/>
    </row>
    <row r="88" spans="1:10">
      <c r="A88" s="1093"/>
      <c r="B88" s="649" t="s">
        <v>1126</v>
      </c>
      <c r="C88" s="645">
        <v>41</v>
      </c>
      <c r="D88" s="661"/>
      <c r="E88" s="660">
        <f>+STAT2!U184</f>
        <v>0</v>
      </c>
      <c r="F88" s="661">
        <f>+STAT3!U184</f>
        <v>0</v>
      </c>
      <c r="G88" s="647">
        <f>+STAT4!U184</f>
        <v>3443616</v>
      </c>
      <c r="H88" s="648">
        <f t="shared" si="3"/>
        <v>3443616</v>
      </c>
      <c r="I88" s="268"/>
      <c r="J88" s="962"/>
    </row>
    <row r="89" spans="1:10">
      <c r="A89" s="1093"/>
      <c r="B89" s="649" t="s">
        <v>1127</v>
      </c>
      <c r="C89" s="645">
        <v>42</v>
      </c>
      <c r="D89" s="862"/>
      <c r="E89" s="652"/>
      <c r="F89" s="652"/>
      <c r="G89" s="647"/>
      <c r="H89" s="648">
        <f t="shared" si="3"/>
        <v>0</v>
      </c>
      <c r="I89" s="268"/>
      <c r="J89" s="962"/>
    </row>
    <row r="90" spans="1:10" ht="24">
      <c r="A90" s="1093"/>
      <c r="B90" s="649" t="s">
        <v>1128</v>
      </c>
      <c r="C90" s="645">
        <v>43</v>
      </c>
      <c r="D90" s="862"/>
      <c r="E90" s="652"/>
      <c r="F90" s="652">
        <f>+STAT3!U185</f>
        <v>0</v>
      </c>
      <c r="G90" s="647"/>
      <c r="H90" s="648">
        <f t="shared" si="3"/>
        <v>0</v>
      </c>
      <c r="I90" s="268"/>
      <c r="J90" s="962"/>
    </row>
    <row r="91" spans="1:10">
      <c r="A91" s="1093"/>
      <c r="B91" s="649" t="s">
        <v>750</v>
      </c>
      <c r="C91" s="645">
        <v>44</v>
      </c>
      <c r="D91" s="864">
        <f>+STAT1!U195+STAT1!U173+STAT1!U191+STAT1!U177</f>
        <v>7691205.1899999995</v>
      </c>
      <c r="E91" s="662">
        <f>+STAT2!U195+STAT2!U173+STAT2!U191</f>
        <v>4050970.9699999997</v>
      </c>
      <c r="F91" s="662">
        <f>+STAT3!U195+STAT3!U173+STAT3!U191</f>
        <v>2048148.8400000003</v>
      </c>
      <c r="G91" s="647">
        <f>+STAT4!U195+STAT4!U173+STAT4!U191</f>
        <v>2476116.3296000003</v>
      </c>
      <c r="H91" s="648">
        <f t="shared" si="3"/>
        <v>16266441.329600001</v>
      </c>
      <c r="I91" s="268"/>
      <c r="J91" s="962"/>
    </row>
    <row r="92" spans="1:10">
      <c r="A92" s="487"/>
      <c r="B92" s="488"/>
      <c r="C92" s="489"/>
      <c r="D92" s="865"/>
      <c r="E92" s="490"/>
      <c r="F92" s="490"/>
      <c r="G92" s="491"/>
      <c r="H92" s="490"/>
      <c r="I92" s="268"/>
      <c r="J92" s="962"/>
    </row>
    <row r="93" spans="1:10">
      <c r="A93" s="487"/>
      <c r="B93" s="488"/>
      <c r="C93" s="489"/>
      <c r="D93" s="865"/>
      <c r="E93" s="490"/>
      <c r="F93" s="490"/>
      <c r="G93" s="491"/>
      <c r="H93" s="490"/>
      <c r="I93" s="268"/>
      <c r="J93" s="962"/>
    </row>
    <row r="94" spans="1:10">
      <c r="A94" s="487"/>
      <c r="B94" s="488"/>
      <c r="C94" s="489"/>
      <c r="D94" s="865"/>
      <c r="E94" s="490"/>
      <c r="F94" s="490"/>
      <c r="G94" s="491"/>
      <c r="H94" s="490"/>
      <c r="I94" s="268"/>
      <c r="J94" s="962"/>
    </row>
    <row r="95" spans="1:10" ht="12.75">
      <c r="A95" s="1090" t="s">
        <v>1903</v>
      </c>
      <c r="B95" s="1090"/>
      <c r="C95" s="1090"/>
      <c r="D95" s="1090"/>
      <c r="E95" s="1090"/>
      <c r="F95" s="1090"/>
      <c r="G95" s="1090"/>
      <c r="H95" s="1090"/>
      <c r="I95" s="268"/>
      <c r="J95" s="962"/>
    </row>
    <row r="96" spans="1:10" ht="12.75">
      <c r="A96" s="492"/>
      <c r="B96" s="492"/>
      <c r="C96" s="480"/>
      <c r="D96" s="509"/>
      <c r="E96" s="480"/>
      <c r="F96" s="480"/>
      <c r="G96" s="481"/>
      <c r="H96" s="492"/>
      <c r="I96" s="268"/>
      <c r="J96" s="962"/>
    </row>
    <row r="97" spans="1:10" ht="38.25">
      <c r="A97" s="1095" t="s">
        <v>49</v>
      </c>
      <c r="B97" s="1095"/>
      <c r="C97" s="493" t="s">
        <v>1010</v>
      </c>
      <c r="D97" s="508" t="s">
        <v>1872</v>
      </c>
      <c r="E97" s="485" t="s">
        <v>1873</v>
      </c>
      <c r="F97" s="485" t="s">
        <v>1874</v>
      </c>
      <c r="G97" s="485" t="s">
        <v>1875</v>
      </c>
      <c r="H97" s="493" t="s">
        <v>1086</v>
      </c>
      <c r="I97" s="268"/>
      <c r="J97" s="962"/>
    </row>
    <row r="98" spans="1:10" ht="25.5">
      <c r="A98" s="1096" t="s">
        <v>1088</v>
      </c>
      <c r="B98" s="494" t="s">
        <v>1904</v>
      </c>
      <c r="C98" s="495">
        <v>1</v>
      </c>
      <c r="D98" s="866"/>
      <c r="E98" s="496"/>
      <c r="F98" s="496"/>
      <c r="G98" s="497"/>
      <c r="H98" s="498">
        <f>SUM(D98:G98)</f>
        <v>0</v>
      </c>
      <c r="I98" s="268"/>
      <c r="J98" s="962"/>
    </row>
    <row r="99" spans="1:10" ht="25.5">
      <c r="A99" s="1097"/>
      <c r="B99" s="499" t="s">
        <v>1905</v>
      </c>
      <c r="C99" s="495">
        <v>2</v>
      </c>
      <c r="D99" s="866"/>
      <c r="E99" s="496"/>
      <c r="F99" s="496"/>
      <c r="G99" s="497"/>
      <c r="H99" s="500">
        <f t="shared" ref="H99:H106" si="4">SUM(D99:G99)</f>
        <v>0</v>
      </c>
      <c r="I99" s="268"/>
      <c r="J99" s="962"/>
    </row>
    <row r="100" spans="1:10" ht="38.25">
      <c r="A100" s="1097"/>
      <c r="B100" s="499" t="s">
        <v>1906</v>
      </c>
      <c r="C100" s="495">
        <v>3</v>
      </c>
      <c r="D100" s="866"/>
      <c r="E100" s="496"/>
      <c r="F100" s="496"/>
      <c r="G100" s="497"/>
      <c r="H100" s="500">
        <f t="shared" si="4"/>
        <v>0</v>
      </c>
      <c r="I100" s="268"/>
      <c r="J100" s="962"/>
    </row>
    <row r="101" spans="1:10" ht="12.75">
      <c r="A101" s="1097"/>
      <c r="B101" s="499" t="s">
        <v>1907</v>
      </c>
      <c r="C101" s="495">
        <v>4</v>
      </c>
      <c r="D101" s="866"/>
      <c r="E101" s="496"/>
      <c r="F101" s="496"/>
      <c r="G101" s="497"/>
      <c r="H101" s="500">
        <f t="shared" si="4"/>
        <v>0</v>
      </c>
      <c r="I101" s="268"/>
      <c r="J101" s="962"/>
    </row>
    <row r="102" spans="1:10" ht="12.75">
      <c r="A102" s="1097"/>
      <c r="B102" s="499" t="s">
        <v>1908</v>
      </c>
      <c r="C102" s="495">
        <f>+C101+1</f>
        <v>5</v>
      </c>
      <c r="D102" s="866"/>
      <c r="E102" s="496"/>
      <c r="F102" s="496"/>
      <c r="G102" s="497"/>
      <c r="H102" s="500">
        <f t="shared" si="4"/>
        <v>0</v>
      </c>
      <c r="I102" s="268"/>
      <c r="J102" s="962"/>
    </row>
    <row r="103" spans="1:10" ht="25.5">
      <c r="A103" s="1097"/>
      <c r="B103" s="499" t="s">
        <v>1909</v>
      </c>
      <c r="C103" s="495">
        <f>+C102+1</f>
        <v>6</v>
      </c>
      <c r="D103" s="866"/>
      <c r="E103" s="496"/>
      <c r="F103" s="496"/>
      <c r="G103" s="497"/>
      <c r="H103" s="500">
        <f t="shared" si="4"/>
        <v>0</v>
      </c>
      <c r="I103" s="268"/>
      <c r="J103" s="962"/>
    </row>
    <row r="104" spans="1:10" ht="12.75">
      <c r="A104" s="1097"/>
      <c r="B104" s="499" t="s">
        <v>1910</v>
      </c>
      <c r="C104" s="495">
        <f>+C103+1</f>
        <v>7</v>
      </c>
      <c r="D104" s="866"/>
      <c r="E104" s="496"/>
      <c r="F104" s="496"/>
      <c r="G104" s="497"/>
      <c r="H104" s="500">
        <f t="shared" si="4"/>
        <v>0</v>
      </c>
      <c r="I104" s="268"/>
      <c r="J104" s="962"/>
    </row>
    <row r="105" spans="1:10" ht="12.75">
      <c r="A105" s="1097"/>
      <c r="B105" s="499" t="s">
        <v>1911</v>
      </c>
      <c r="C105" s="495">
        <f>+C104+1</f>
        <v>8</v>
      </c>
      <c r="D105" s="866">
        <f>+STAT1!R205</f>
        <v>8783.9599999999991</v>
      </c>
      <c r="E105" s="496"/>
      <c r="F105" s="496"/>
      <c r="G105" s="497"/>
      <c r="H105" s="500">
        <f t="shared" si="4"/>
        <v>8783.9599999999991</v>
      </c>
      <c r="I105" s="268"/>
      <c r="J105" s="962"/>
    </row>
    <row r="106" spans="1:10" ht="12.75">
      <c r="A106" s="1097"/>
      <c r="B106" s="501" t="s">
        <v>1216</v>
      </c>
      <c r="C106" s="502">
        <f>+C105+1</f>
        <v>9</v>
      </c>
      <c r="D106" s="867"/>
      <c r="E106" s="503"/>
      <c r="F106" s="503"/>
      <c r="G106" s="504"/>
      <c r="H106" s="505">
        <f t="shared" si="4"/>
        <v>0</v>
      </c>
      <c r="I106" s="268"/>
      <c r="J106" s="962"/>
    </row>
    <row r="107" spans="1:10" ht="12.75">
      <c r="A107" s="484"/>
      <c r="B107" s="482" t="s">
        <v>1912</v>
      </c>
      <c r="C107" s="485"/>
      <c r="D107" s="858">
        <f>SUM(D98:D106)</f>
        <v>8783.9599999999991</v>
      </c>
      <c r="E107" s="506">
        <f>SUM(E98:E106)</f>
        <v>0</v>
      </c>
      <c r="F107" s="506">
        <f>SUM(F98:F106)</f>
        <v>0</v>
      </c>
      <c r="G107" s="506">
        <f>SUM(G98:G106)</f>
        <v>0</v>
      </c>
      <c r="H107" s="506">
        <f>SUM(H98:H106)</f>
        <v>8783.9599999999991</v>
      </c>
      <c r="I107" s="268"/>
      <c r="J107" s="962"/>
    </row>
    <row r="108" spans="1:10" ht="12.75">
      <c r="A108" s="342"/>
      <c r="B108" s="342"/>
      <c r="C108" s="480"/>
      <c r="D108" s="509"/>
      <c r="E108" s="480"/>
      <c r="F108" s="480"/>
      <c r="G108" s="481"/>
      <c r="H108" s="342"/>
      <c r="I108" s="268"/>
      <c r="J108" s="962"/>
    </row>
    <row r="109" spans="1:10" ht="12.75">
      <c r="A109" s="1090" t="s">
        <v>1913</v>
      </c>
      <c r="B109" s="1090"/>
      <c r="C109" s="1090"/>
      <c r="D109" s="1090"/>
      <c r="E109" s="1090"/>
      <c r="F109" s="1090"/>
      <c r="G109" s="1090"/>
      <c r="H109" s="1090"/>
      <c r="I109" s="268"/>
      <c r="J109" s="962"/>
    </row>
    <row r="110" spans="1:10" ht="12.75">
      <c r="A110" s="342"/>
      <c r="B110" s="342"/>
      <c r="C110" s="480"/>
      <c r="D110" s="509"/>
      <c r="E110" s="480"/>
      <c r="F110" s="480"/>
      <c r="G110" s="481"/>
      <c r="H110" s="342"/>
      <c r="I110" s="268"/>
      <c r="J110" s="962"/>
    </row>
    <row r="111" spans="1:10" ht="12.75" customHeight="1">
      <c r="A111" s="1090" t="s">
        <v>1914</v>
      </c>
      <c r="B111" s="1090"/>
      <c r="C111" s="1090"/>
      <c r="D111" s="1090"/>
      <c r="E111" s="1090"/>
      <c r="F111" s="1090"/>
      <c r="G111" s="1090"/>
      <c r="H111" s="1090"/>
      <c r="I111" s="268"/>
      <c r="J111" s="962"/>
    </row>
    <row r="112" spans="1:10" ht="12.75">
      <c r="A112" s="342"/>
      <c r="B112" s="342"/>
      <c r="C112" s="480"/>
      <c r="D112" s="509"/>
      <c r="E112" s="480"/>
      <c r="F112" s="480"/>
      <c r="G112" s="481"/>
      <c r="H112" s="342"/>
      <c r="I112" s="268"/>
      <c r="J112" s="962"/>
    </row>
    <row r="113" spans="1:10" ht="38.25" customHeight="1">
      <c r="A113" s="482" t="s">
        <v>1915</v>
      </c>
      <c r="B113" s="482" t="s">
        <v>1916</v>
      </c>
      <c r="C113" s="483" t="s">
        <v>1010</v>
      </c>
      <c r="D113" s="858" t="s">
        <v>1917</v>
      </c>
      <c r="E113" s="483" t="s">
        <v>1918</v>
      </c>
      <c r="F113" s="483" t="s">
        <v>1919</v>
      </c>
      <c r="G113" s="483" t="s">
        <v>1920</v>
      </c>
      <c r="H113" s="482" t="s">
        <v>1921</v>
      </c>
      <c r="I113" s="268"/>
      <c r="J113" s="962"/>
    </row>
    <row r="114" spans="1:10" ht="25.5" customHeight="1">
      <c r="A114" s="484">
        <v>1</v>
      </c>
      <c r="B114" s="484" t="s">
        <v>1922</v>
      </c>
      <c r="C114" s="485">
        <v>1</v>
      </c>
      <c r="D114" s="508"/>
      <c r="E114" s="485"/>
      <c r="F114" s="485"/>
      <c r="G114" s="486"/>
      <c r="H114" s="484">
        <f>SUM(D114:G114)</f>
        <v>0</v>
      </c>
      <c r="I114" s="268"/>
      <c r="J114" s="962"/>
    </row>
    <row r="115" spans="1:10" ht="12.75">
      <c r="A115" s="484">
        <f>+A114+1</f>
        <v>2</v>
      </c>
      <c r="B115" s="484" t="s">
        <v>1923</v>
      </c>
      <c r="C115" s="485">
        <f>+C114+1</f>
        <v>2</v>
      </c>
      <c r="D115" s="508"/>
      <c r="E115" s="485"/>
      <c r="F115" s="485"/>
      <c r="G115" s="486"/>
      <c r="H115" s="484">
        <f t="shared" ref="H115:H143" si="5">SUM(D115:G115)</f>
        <v>0</v>
      </c>
      <c r="I115" s="268"/>
      <c r="J115" s="962"/>
    </row>
    <row r="116" spans="1:10" ht="12.75">
      <c r="A116" s="484">
        <f t="shared" ref="A116:A143" si="6">+A115+1</f>
        <v>3</v>
      </c>
      <c r="B116" s="484" t="s">
        <v>1924</v>
      </c>
      <c r="C116" s="485">
        <f t="shared" ref="C116:C143" si="7">+C115+1</f>
        <v>3</v>
      </c>
      <c r="D116" s="508"/>
      <c r="E116" s="485"/>
      <c r="F116" s="485"/>
      <c r="G116" s="486"/>
      <c r="H116" s="484">
        <f t="shared" si="5"/>
        <v>0</v>
      </c>
      <c r="I116" s="268"/>
      <c r="J116" s="962"/>
    </row>
    <row r="117" spans="1:10" ht="12.75">
      <c r="A117" s="484">
        <f t="shared" si="6"/>
        <v>4</v>
      </c>
      <c r="B117" s="484" t="s">
        <v>1925</v>
      </c>
      <c r="C117" s="485">
        <f t="shared" si="7"/>
        <v>4</v>
      </c>
      <c r="D117" s="508"/>
      <c r="E117" s="485"/>
      <c r="F117" s="485"/>
      <c r="G117" s="486"/>
      <c r="H117" s="484">
        <f t="shared" si="5"/>
        <v>0</v>
      </c>
      <c r="I117" s="268"/>
      <c r="J117" s="962"/>
    </row>
    <row r="118" spans="1:10" ht="12.75">
      <c r="A118" s="484">
        <f t="shared" si="6"/>
        <v>5</v>
      </c>
      <c r="B118" s="484" t="s">
        <v>1926</v>
      </c>
      <c r="C118" s="485">
        <f t="shared" si="7"/>
        <v>5</v>
      </c>
      <c r="D118" s="508"/>
      <c r="E118" s="485"/>
      <c r="F118" s="485"/>
      <c r="G118" s="486"/>
      <c r="H118" s="484">
        <f t="shared" si="5"/>
        <v>0</v>
      </c>
      <c r="I118" s="268"/>
      <c r="J118" s="962"/>
    </row>
    <row r="119" spans="1:10" ht="12.75">
      <c r="A119" s="484">
        <f t="shared" si="6"/>
        <v>6</v>
      </c>
      <c r="B119" s="484" t="s">
        <v>1927</v>
      </c>
      <c r="C119" s="485">
        <f t="shared" si="7"/>
        <v>6</v>
      </c>
      <c r="D119" s="508"/>
      <c r="E119" s="485"/>
      <c r="F119" s="485"/>
      <c r="G119" s="486"/>
      <c r="H119" s="484">
        <f t="shared" si="5"/>
        <v>0</v>
      </c>
      <c r="I119" s="268"/>
      <c r="J119" s="962"/>
    </row>
    <row r="120" spans="1:10" ht="12.75">
      <c r="A120" s="484">
        <f t="shared" si="6"/>
        <v>7</v>
      </c>
      <c r="B120" s="484" t="s">
        <v>1928</v>
      </c>
      <c r="C120" s="485">
        <f t="shared" si="7"/>
        <v>7</v>
      </c>
      <c r="D120" s="508"/>
      <c r="E120" s="485"/>
      <c r="F120" s="485"/>
      <c r="G120" s="486"/>
      <c r="H120" s="484">
        <f t="shared" si="5"/>
        <v>0</v>
      </c>
      <c r="I120" s="268"/>
      <c r="J120" s="962"/>
    </row>
    <row r="121" spans="1:10" ht="12.75">
      <c r="A121" s="484">
        <f t="shared" si="6"/>
        <v>8</v>
      </c>
      <c r="B121" s="484" t="s">
        <v>1929</v>
      </c>
      <c r="C121" s="485">
        <f t="shared" si="7"/>
        <v>8</v>
      </c>
      <c r="D121" s="508"/>
      <c r="E121" s="485"/>
      <c r="F121" s="485"/>
      <c r="G121" s="486"/>
      <c r="H121" s="484">
        <f t="shared" si="5"/>
        <v>0</v>
      </c>
      <c r="I121" s="268"/>
      <c r="J121" s="962"/>
    </row>
    <row r="122" spans="1:10" ht="12.75">
      <c r="A122" s="484">
        <f t="shared" si="6"/>
        <v>9</v>
      </c>
      <c r="B122" s="484" t="s">
        <v>1930</v>
      </c>
      <c r="C122" s="485">
        <f t="shared" si="7"/>
        <v>9</v>
      </c>
      <c r="D122" s="508"/>
      <c r="E122" s="485"/>
      <c r="F122" s="485"/>
      <c r="G122" s="486"/>
      <c r="H122" s="484">
        <f t="shared" si="5"/>
        <v>0</v>
      </c>
      <c r="I122" s="268"/>
      <c r="J122" s="962"/>
    </row>
    <row r="123" spans="1:10" ht="12.75">
      <c r="A123" s="484">
        <f t="shared" si="6"/>
        <v>10</v>
      </c>
      <c r="B123" s="484" t="s">
        <v>1931</v>
      </c>
      <c r="C123" s="485">
        <f t="shared" si="7"/>
        <v>10</v>
      </c>
      <c r="D123" s="508"/>
      <c r="E123" s="485"/>
      <c r="F123" s="485"/>
      <c r="G123" s="486"/>
      <c r="H123" s="484">
        <f t="shared" si="5"/>
        <v>0</v>
      </c>
      <c r="I123" s="268"/>
      <c r="J123" s="962"/>
    </row>
    <row r="124" spans="1:10" ht="12.75">
      <c r="A124" s="484">
        <f t="shared" si="6"/>
        <v>11</v>
      </c>
      <c r="B124" s="484" t="s">
        <v>1932</v>
      </c>
      <c r="C124" s="485">
        <f t="shared" si="7"/>
        <v>11</v>
      </c>
      <c r="D124" s="508"/>
      <c r="E124" s="485"/>
      <c r="F124" s="485"/>
      <c r="G124" s="486"/>
      <c r="H124" s="484">
        <f t="shared" si="5"/>
        <v>0</v>
      </c>
      <c r="I124" s="268"/>
      <c r="J124" s="962"/>
    </row>
    <row r="125" spans="1:10" ht="12.75" customHeight="1">
      <c r="A125" s="484">
        <f t="shared" si="6"/>
        <v>12</v>
      </c>
      <c r="B125" s="484" t="s">
        <v>1933</v>
      </c>
      <c r="C125" s="485">
        <f t="shared" si="7"/>
        <v>12</v>
      </c>
      <c r="D125" s="508"/>
      <c r="E125" s="485"/>
      <c r="F125" s="485"/>
      <c r="G125" s="486"/>
      <c r="H125" s="484">
        <f t="shared" si="5"/>
        <v>0</v>
      </c>
      <c r="I125" s="268"/>
      <c r="J125" s="962"/>
    </row>
    <row r="126" spans="1:10" ht="12.75">
      <c r="A126" s="484">
        <f t="shared" si="6"/>
        <v>13</v>
      </c>
      <c r="B126" s="482" t="s">
        <v>1934</v>
      </c>
      <c r="C126" s="485">
        <f t="shared" si="7"/>
        <v>13</v>
      </c>
      <c r="D126" s="508"/>
      <c r="E126" s="485"/>
      <c r="F126" s="485"/>
      <c r="G126" s="486"/>
      <c r="H126" s="484">
        <f t="shared" si="5"/>
        <v>0</v>
      </c>
      <c r="I126" s="268"/>
      <c r="J126" s="962"/>
    </row>
    <row r="127" spans="1:10" ht="12.75" customHeight="1">
      <c r="A127" s="484">
        <f t="shared" si="6"/>
        <v>14</v>
      </c>
      <c r="B127" s="484" t="s">
        <v>1935</v>
      </c>
      <c r="C127" s="485">
        <f t="shared" si="7"/>
        <v>14</v>
      </c>
      <c r="D127" s="508"/>
      <c r="E127" s="485"/>
      <c r="F127" s="485"/>
      <c r="G127" s="486"/>
      <c r="H127" s="484">
        <f t="shared" si="5"/>
        <v>0</v>
      </c>
      <c r="I127" s="268"/>
      <c r="J127" s="962"/>
    </row>
    <row r="128" spans="1:10" ht="12.75">
      <c r="A128" s="484">
        <f t="shared" si="6"/>
        <v>15</v>
      </c>
      <c r="B128" s="484" t="s">
        <v>1936</v>
      </c>
      <c r="C128" s="485">
        <f t="shared" si="7"/>
        <v>15</v>
      </c>
      <c r="D128" s="508"/>
      <c r="E128" s="485"/>
      <c r="F128" s="485"/>
      <c r="G128" s="486"/>
      <c r="H128" s="484">
        <f t="shared" si="5"/>
        <v>0</v>
      </c>
      <c r="I128" s="268"/>
      <c r="J128" s="962"/>
    </row>
    <row r="129" spans="1:10" ht="12.75">
      <c r="A129" s="484">
        <f t="shared" si="6"/>
        <v>16</v>
      </c>
      <c r="B129" s="484" t="s">
        <v>1937</v>
      </c>
      <c r="C129" s="485">
        <f t="shared" si="7"/>
        <v>16</v>
      </c>
      <c r="D129" s="508"/>
      <c r="E129" s="485"/>
      <c r="F129" s="485"/>
      <c r="G129" s="486"/>
      <c r="H129" s="484">
        <f t="shared" si="5"/>
        <v>0</v>
      </c>
      <c r="I129" s="268"/>
      <c r="J129" s="962"/>
    </row>
    <row r="130" spans="1:10" ht="12.75">
      <c r="A130" s="484">
        <f t="shared" si="6"/>
        <v>17</v>
      </c>
      <c r="B130" s="484" t="s">
        <v>1938</v>
      </c>
      <c r="C130" s="485">
        <f t="shared" si="7"/>
        <v>17</v>
      </c>
      <c r="D130" s="508"/>
      <c r="E130" s="485"/>
      <c r="F130" s="485"/>
      <c r="G130" s="486"/>
      <c r="H130" s="484">
        <f t="shared" si="5"/>
        <v>0</v>
      </c>
      <c r="I130" s="268"/>
      <c r="J130" s="962"/>
    </row>
    <row r="131" spans="1:10" ht="12.75">
      <c r="A131" s="484">
        <f t="shared" si="6"/>
        <v>18</v>
      </c>
      <c r="B131" s="484" t="s">
        <v>1939</v>
      </c>
      <c r="C131" s="485">
        <f t="shared" si="7"/>
        <v>18</v>
      </c>
      <c r="D131" s="508"/>
      <c r="E131" s="485"/>
      <c r="F131" s="485"/>
      <c r="G131" s="486"/>
      <c r="H131" s="484">
        <f t="shared" si="5"/>
        <v>0</v>
      </c>
      <c r="I131" s="268"/>
      <c r="J131" s="962"/>
    </row>
    <row r="132" spans="1:10" ht="12.75">
      <c r="A132" s="484">
        <f t="shared" si="6"/>
        <v>19</v>
      </c>
      <c r="B132" s="484" t="s">
        <v>1940</v>
      </c>
      <c r="C132" s="485">
        <f t="shared" si="7"/>
        <v>19</v>
      </c>
      <c r="D132" s="508"/>
      <c r="E132" s="485"/>
      <c r="F132" s="485"/>
      <c r="G132" s="486"/>
      <c r="H132" s="484">
        <f t="shared" si="5"/>
        <v>0</v>
      </c>
      <c r="I132" s="268"/>
      <c r="J132" s="962"/>
    </row>
    <row r="133" spans="1:10" ht="12.75">
      <c r="A133" s="484">
        <f t="shared" si="6"/>
        <v>20</v>
      </c>
      <c r="B133" s="484" t="s">
        <v>1941</v>
      </c>
      <c r="C133" s="485">
        <f t="shared" si="7"/>
        <v>20</v>
      </c>
      <c r="D133" s="508"/>
      <c r="E133" s="485"/>
      <c r="F133" s="485"/>
      <c r="G133" s="486"/>
      <c r="H133" s="484">
        <f t="shared" si="5"/>
        <v>0</v>
      </c>
      <c r="I133" s="268"/>
      <c r="J133" s="962"/>
    </row>
    <row r="134" spans="1:10" ht="12.75">
      <c r="A134" s="484">
        <f t="shared" si="6"/>
        <v>21</v>
      </c>
      <c r="B134" s="484" t="s">
        <v>1942</v>
      </c>
      <c r="C134" s="485">
        <f t="shared" si="7"/>
        <v>21</v>
      </c>
      <c r="D134" s="508"/>
      <c r="E134" s="485"/>
      <c r="F134" s="485"/>
      <c r="G134" s="486"/>
      <c r="H134" s="484">
        <f t="shared" si="5"/>
        <v>0</v>
      </c>
      <c r="I134" s="268"/>
      <c r="J134" s="962"/>
    </row>
    <row r="135" spans="1:10" ht="12.75">
      <c r="A135" s="484">
        <f t="shared" si="6"/>
        <v>22</v>
      </c>
      <c r="B135" s="484" t="s">
        <v>1943</v>
      </c>
      <c r="C135" s="485">
        <f t="shared" si="7"/>
        <v>22</v>
      </c>
      <c r="D135" s="508"/>
      <c r="E135" s="485"/>
      <c r="F135" s="485"/>
      <c r="G135" s="486"/>
      <c r="H135" s="484">
        <f t="shared" si="5"/>
        <v>0</v>
      </c>
      <c r="I135" s="268"/>
      <c r="J135" s="962"/>
    </row>
    <row r="136" spans="1:10" ht="12.75">
      <c r="A136" s="484">
        <f t="shared" si="6"/>
        <v>23</v>
      </c>
      <c r="B136" s="484" t="s">
        <v>1944</v>
      </c>
      <c r="C136" s="485">
        <f t="shared" si="7"/>
        <v>23</v>
      </c>
      <c r="D136" s="508"/>
      <c r="E136" s="485"/>
      <c r="F136" s="485"/>
      <c r="G136" s="486"/>
      <c r="H136" s="484">
        <f t="shared" si="5"/>
        <v>0</v>
      </c>
      <c r="I136" s="268"/>
      <c r="J136" s="962"/>
    </row>
    <row r="137" spans="1:10" ht="12.75">
      <c r="A137" s="484">
        <f t="shared" si="6"/>
        <v>24</v>
      </c>
      <c r="B137" s="484" t="s">
        <v>1945</v>
      </c>
      <c r="C137" s="485">
        <f t="shared" si="7"/>
        <v>24</v>
      </c>
      <c r="D137" s="508"/>
      <c r="E137" s="485"/>
      <c r="F137" s="485"/>
      <c r="G137" s="486"/>
      <c r="H137" s="484">
        <f t="shared" si="5"/>
        <v>0</v>
      </c>
      <c r="I137" s="268"/>
      <c r="J137" s="962"/>
    </row>
    <row r="138" spans="1:10" ht="12.75">
      <c r="A138" s="484">
        <f t="shared" si="6"/>
        <v>25</v>
      </c>
      <c r="B138" s="484" t="s">
        <v>1896</v>
      </c>
      <c r="C138" s="485">
        <f t="shared" si="7"/>
        <v>25</v>
      </c>
      <c r="D138" s="508"/>
      <c r="E138" s="485"/>
      <c r="F138" s="485"/>
      <c r="G138" s="486"/>
      <c r="H138" s="484">
        <f t="shared" si="5"/>
        <v>0</v>
      </c>
      <c r="I138" s="268"/>
      <c r="J138" s="962"/>
    </row>
    <row r="139" spans="1:10" ht="12.75">
      <c r="A139" s="484">
        <f t="shared" si="6"/>
        <v>26</v>
      </c>
      <c r="B139" s="482" t="s">
        <v>1934</v>
      </c>
      <c r="C139" s="485">
        <f t="shared" si="7"/>
        <v>26</v>
      </c>
      <c r="D139" s="508"/>
      <c r="E139" s="485"/>
      <c r="F139" s="485"/>
      <c r="G139" s="486"/>
      <c r="H139" s="484">
        <f t="shared" si="5"/>
        <v>0</v>
      </c>
      <c r="I139" s="268"/>
      <c r="J139" s="962"/>
    </row>
    <row r="140" spans="1:10" ht="12.75">
      <c r="A140" s="484">
        <f t="shared" si="6"/>
        <v>27</v>
      </c>
      <c r="B140" s="484" t="s">
        <v>1946</v>
      </c>
      <c r="C140" s="485">
        <f t="shared" si="7"/>
        <v>27</v>
      </c>
      <c r="D140" s="508"/>
      <c r="E140" s="485"/>
      <c r="F140" s="485"/>
      <c r="G140" s="486"/>
      <c r="H140" s="484">
        <f t="shared" si="5"/>
        <v>0</v>
      </c>
      <c r="I140" s="268"/>
      <c r="J140" s="962"/>
    </row>
    <row r="141" spans="1:10" ht="12.75">
      <c r="A141" s="484">
        <f t="shared" si="6"/>
        <v>28</v>
      </c>
      <c r="B141" s="484" t="s">
        <v>1947</v>
      </c>
      <c r="C141" s="485">
        <f t="shared" si="7"/>
        <v>28</v>
      </c>
      <c r="D141" s="508"/>
      <c r="E141" s="485"/>
      <c r="F141" s="485"/>
      <c r="G141" s="486"/>
      <c r="H141" s="484">
        <f t="shared" si="5"/>
        <v>0</v>
      </c>
      <c r="I141" s="268"/>
      <c r="J141" s="962"/>
    </row>
    <row r="142" spans="1:10" ht="12.75">
      <c r="A142" s="484">
        <f t="shared" si="6"/>
        <v>29</v>
      </c>
      <c r="B142" s="484" t="s">
        <v>1948</v>
      </c>
      <c r="C142" s="485">
        <f t="shared" si="7"/>
        <v>29</v>
      </c>
      <c r="D142" s="508"/>
      <c r="E142" s="485"/>
      <c r="F142" s="485"/>
      <c r="G142" s="486"/>
      <c r="H142" s="484">
        <f t="shared" si="5"/>
        <v>0</v>
      </c>
      <c r="I142" s="268"/>
      <c r="J142" s="962"/>
    </row>
    <row r="143" spans="1:10" ht="12.75">
      <c r="A143" s="484">
        <f t="shared" si="6"/>
        <v>30</v>
      </c>
      <c r="B143" s="484" t="s">
        <v>1947</v>
      </c>
      <c r="C143" s="485">
        <f t="shared" si="7"/>
        <v>30</v>
      </c>
      <c r="D143" s="508"/>
      <c r="E143" s="485"/>
      <c r="F143" s="485"/>
      <c r="G143" s="486"/>
      <c r="H143" s="484">
        <f t="shared" si="5"/>
        <v>0</v>
      </c>
      <c r="I143" s="268"/>
      <c r="J143" s="962"/>
    </row>
    <row r="144" spans="1:10" ht="12.75">
      <c r="A144" s="342"/>
      <c r="B144" s="342"/>
      <c r="C144" s="480"/>
      <c r="D144" s="509"/>
      <c r="E144" s="480"/>
      <c r="F144" s="480"/>
      <c r="G144" s="481"/>
      <c r="H144" s="342"/>
      <c r="I144" s="268"/>
      <c r="J144" s="962"/>
    </row>
    <row r="145" spans="1:10" ht="12.75">
      <c r="A145" s="1090" t="s">
        <v>1949</v>
      </c>
      <c r="B145" s="1090"/>
      <c r="C145" s="1090"/>
      <c r="D145" s="1090"/>
      <c r="E145" s="1090"/>
      <c r="F145" s="1090"/>
      <c r="G145" s="1090"/>
      <c r="H145" s="1090"/>
      <c r="I145" s="268"/>
      <c r="J145" s="962"/>
    </row>
    <row r="146" spans="1:10" ht="12.75">
      <c r="A146" s="342"/>
      <c r="B146" s="342"/>
      <c r="C146" s="480"/>
      <c r="D146" s="509"/>
      <c r="E146" s="480"/>
      <c r="F146" s="480"/>
      <c r="G146" s="481"/>
      <c r="H146" s="342"/>
      <c r="I146" s="268"/>
      <c r="J146" s="962"/>
    </row>
    <row r="147" spans="1:10" ht="38.25">
      <c r="A147" s="482" t="s">
        <v>1915</v>
      </c>
      <c r="B147" s="482" t="s">
        <v>1916</v>
      </c>
      <c r="C147" s="483"/>
      <c r="D147" s="858"/>
      <c r="E147" s="483"/>
      <c r="F147" s="483"/>
      <c r="G147" s="483"/>
      <c r="H147" s="507" t="s">
        <v>1950</v>
      </c>
      <c r="I147" s="507" t="s">
        <v>1951</v>
      </c>
      <c r="J147" s="962"/>
    </row>
    <row r="148" spans="1:10" ht="12.75">
      <c r="A148" s="484">
        <v>1</v>
      </c>
      <c r="B148" s="484" t="s">
        <v>1952</v>
      </c>
      <c r="C148" s="485"/>
      <c r="D148" s="508"/>
      <c r="E148" s="485"/>
      <c r="F148" s="485"/>
      <c r="G148" s="486"/>
      <c r="H148" s="484"/>
      <c r="I148" s="484"/>
      <c r="J148" s="962"/>
    </row>
    <row r="149" spans="1:10" ht="12.75">
      <c r="A149" s="484">
        <v>2</v>
      </c>
      <c r="B149" s="484" t="s">
        <v>1953</v>
      </c>
      <c r="C149" s="485"/>
      <c r="D149" s="508"/>
      <c r="E149" s="485"/>
      <c r="F149" s="485"/>
      <c r="G149" s="486"/>
      <c r="H149" s="484"/>
      <c r="I149" s="484"/>
      <c r="J149" s="962"/>
    </row>
    <row r="150" spans="1:10" ht="12.75">
      <c r="A150" s="484">
        <v>3</v>
      </c>
      <c r="B150" s="484" t="s">
        <v>1926</v>
      </c>
      <c r="C150" s="485"/>
      <c r="D150" s="508"/>
      <c r="E150" s="485"/>
      <c r="F150" s="485"/>
      <c r="G150" s="486"/>
      <c r="H150" s="484"/>
      <c r="I150" s="484"/>
      <c r="J150" s="962"/>
    </row>
    <row r="151" spans="1:10" ht="12.75">
      <c r="A151" s="484"/>
      <c r="B151" s="484" t="s">
        <v>1954</v>
      </c>
      <c r="C151" s="485"/>
      <c r="D151" s="508"/>
      <c r="E151" s="485"/>
      <c r="F151" s="485"/>
      <c r="G151" s="486"/>
      <c r="H151" s="484"/>
      <c r="I151" s="484"/>
      <c r="J151" s="962"/>
    </row>
    <row r="152" spans="1:10" ht="12.75">
      <c r="A152" s="484">
        <v>4</v>
      </c>
      <c r="B152" s="484" t="s">
        <v>1955</v>
      </c>
      <c r="C152" s="485"/>
      <c r="D152" s="508"/>
      <c r="E152" s="485"/>
      <c r="F152" s="485"/>
      <c r="G152" s="486"/>
      <c r="H152" s="484"/>
      <c r="I152" s="484"/>
      <c r="J152" s="962"/>
    </row>
    <row r="153" spans="1:10" ht="12.75">
      <c r="A153" s="484">
        <v>5</v>
      </c>
      <c r="B153" s="484" t="s">
        <v>1956</v>
      </c>
      <c r="C153" s="485"/>
      <c r="D153" s="508"/>
      <c r="E153" s="485"/>
      <c r="F153" s="485"/>
      <c r="G153" s="486"/>
      <c r="H153" s="484"/>
      <c r="I153" s="484"/>
      <c r="J153" s="962"/>
    </row>
    <row r="154" spans="1:10" ht="12.75">
      <c r="A154" s="484">
        <v>6</v>
      </c>
      <c r="B154" s="484" t="s">
        <v>1957</v>
      </c>
      <c r="C154" s="485"/>
      <c r="D154" s="508"/>
      <c r="E154" s="485"/>
      <c r="F154" s="485"/>
      <c r="G154" s="486"/>
      <c r="H154" s="484"/>
      <c r="I154" s="484"/>
      <c r="J154" s="962"/>
    </row>
    <row r="155" spans="1:10" ht="12.75">
      <c r="A155" s="484"/>
      <c r="B155" s="484" t="s">
        <v>1958</v>
      </c>
      <c r="C155" s="485"/>
      <c r="D155" s="508"/>
      <c r="E155" s="485"/>
      <c r="F155" s="485"/>
      <c r="G155" s="486"/>
      <c r="H155" s="484"/>
      <c r="I155" s="484"/>
      <c r="J155" s="962"/>
    </row>
    <row r="156" spans="1:10" ht="12.75">
      <c r="A156" s="342"/>
      <c r="B156" s="342"/>
      <c r="C156" s="480"/>
      <c r="D156" s="509"/>
      <c r="E156" s="480"/>
      <c r="F156" s="480"/>
      <c r="G156" s="481"/>
      <c r="H156" s="342"/>
      <c r="I156" s="268"/>
      <c r="J156" s="962"/>
    </row>
    <row r="157" spans="1:10" ht="12.75">
      <c r="A157" s="342"/>
      <c r="B157" s="342"/>
      <c r="C157" s="480"/>
      <c r="D157" s="509"/>
      <c r="E157" s="480"/>
      <c r="F157" s="480"/>
      <c r="G157" s="481"/>
      <c r="H157" s="342"/>
      <c r="I157" s="268"/>
      <c r="J157" s="962"/>
    </row>
    <row r="158" spans="1:10">
      <c r="A158" s="487"/>
      <c r="B158" s="488"/>
      <c r="C158" s="489"/>
      <c r="D158" s="865"/>
      <c r="E158" s="490"/>
      <c r="F158" s="490"/>
      <c r="G158" s="491"/>
      <c r="H158" s="490"/>
      <c r="I158" s="268"/>
      <c r="J158" s="962"/>
    </row>
    <row r="159" spans="1:10">
      <c r="A159" s="277"/>
      <c r="B159" s="268"/>
      <c r="H159" s="268"/>
      <c r="I159" s="268"/>
      <c r="J159" s="962"/>
    </row>
    <row r="160" spans="1:10">
      <c r="A160" s="268" t="s">
        <v>1129</v>
      </c>
      <c r="B160" s="268"/>
      <c r="H160" s="268"/>
      <c r="I160" s="268"/>
      <c r="J160" s="962"/>
    </row>
    <row r="161" spans="1:10">
      <c r="A161" s="268"/>
      <c r="B161" s="268"/>
      <c r="H161" s="268"/>
      <c r="I161" s="268"/>
      <c r="J161" s="962"/>
    </row>
    <row r="162" spans="1:10">
      <c r="A162" s="268"/>
      <c r="B162" s="268"/>
      <c r="H162" s="268"/>
      <c r="I162" s="268"/>
      <c r="J162" s="962"/>
    </row>
    <row r="163" spans="1:10">
      <c r="A163" s="268" t="str">
        <f>+[4]Tax_1!B102</f>
        <v>Дарга  /Захирал/:    . . . . . . . . . . . . . . . . . . .  /Д.Бахдамдэмбэрэл /</v>
      </c>
      <c r="C163" s="278"/>
      <c r="D163" s="868"/>
      <c r="E163" s="278"/>
      <c r="F163" s="278"/>
      <c r="G163" s="279"/>
      <c r="H163" s="268"/>
      <c r="I163" s="268"/>
      <c r="J163" s="962"/>
    </row>
    <row r="164" spans="1:10">
      <c r="A164" s="268"/>
      <c r="C164" s="278"/>
      <c r="D164" s="868"/>
      <c r="E164" s="278"/>
      <c r="F164" s="278"/>
      <c r="G164" s="279"/>
      <c r="H164" s="268"/>
      <c r="I164" s="268"/>
      <c r="J164" s="962"/>
    </row>
    <row r="165" spans="1:10">
      <c r="A165" s="268" t="str">
        <f>+[4]Tax_1!B104</f>
        <v>Ерөнхий нягтлан бодогч: . . . . . . . . . . . . . . /Б.Түмэндэлгэр/</v>
      </c>
      <c r="B165" s="268"/>
      <c r="C165" s="278"/>
      <c r="D165" s="868"/>
      <c r="E165" s="278"/>
      <c r="F165" s="278"/>
      <c r="G165" s="279"/>
      <c r="H165" s="268"/>
      <c r="I165" s="268"/>
      <c r="J165" s="962"/>
    </row>
    <row r="166" spans="1:10">
      <c r="A166" s="268"/>
      <c r="B166" s="268"/>
      <c r="H166" s="268"/>
      <c r="I166" s="268"/>
      <c r="J166" s="962"/>
    </row>
    <row r="167" spans="1:10">
      <c r="A167" s="268" t="s">
        <v>1003</v>
      </c>
      <c r="B167" s="268"/>
      <c r="H167" s="268"/>
      <c r="I167" s="268"/>
      <c r="J167" s="962"/>
    </row>
    <row r="168" spans="1:10">
      <c r="A168" s="268"/>
      <c r="B168" s="268" t="str">
        <f>+'company '!C22</f>
        <v>2018 оны 12 сарын 31</v>
      </c>
      <c r="C168" s="278" t="s">
        <v>1130</v>
      </c>
      <c r="D168" s="868"/>
      <c r="E168" s="278"/>
      <c r="F168" s="278"/>
      <c r="G168" s="279"/>
      <c r="H168" s="268"/>
      <c r="I168" s="268"/>
      <c r="J168" s="962"/>
    </row>
    <row r="169" spans="1:10">
      <c r="H169" s="268"/>
      <c r="J169" s="962"/>
    </row>
    <row r="170" spans="1:10">
      <c r="A170" s="268"/>
      <c r="B170" s="268"/>
      <c r="H170" s="268"/>
      <c r="I170" s="268"/>
      <c r="J170" s="962"/>
    </row>
    <row r="171" spans="1:10">
      <c r="A171" s="277"/>
      <c r="B171" s="268"/>
      <c r="H171" s="268"/>
      <c r="I171" s="268"/>
      <c r="J171" s="962"/>
    </row>
  </sheetData>
  <mergeCells count="15">
    <mergeCell ref="A49:A91"/>
    <mergeCell ref="A46:B47"/>
    <mergeCell ref="C46:C47"/>
    <mergeCell ref="H46:H47"/>
    <mergeCell ref="A145:H145"/>
    <mergeCell ref="A95:H95"/>
    <mergeCell ref="A97:B97"/>
    <mergeCell ref="A98:A106"/>
    <mergeCell ref="A109:H109"/>
    <mergeCell ref="A111:H111"/>
    <mergeCell ref="A6:H6"/>
    <mergeCell ref="A22:H22"/>
    <mergeCell ref="B43:I43"/>
    <mergeCell ref="A41:H41"/>
    <mergeCell ref="A48:B48"/>
  </mergeCells>
  <pageMargins left="0.49" right="0.31" top="0.75" bottom="0.75" header="0.3" footer="0.3"/>
  <pageSetup fitToHeight="0" orientation="portrait" horizontalDpi="0" verticalDpi="0" r:id="rId1"/>
  <ignoredErrors>
    <ignoredError sqref="H52:H64 H66:H75 H89 H98:H106" formulaRange="1"/>
  </ignoredErrors>
</worksheet>
</file>

<file path=xl/worksheets/sheet23.xml><?xml version="1.0" encoding="utf-8"?>
<worksheet xmlns="http://schemas.openxmlformats.org/spreadsheetml/2006/main" xmlns:r="http://schemas.openxmlformats.org/officeDocument/2006/relationships">
  <sheetPr>
    <pageSetUpPr fitToPage="1"/>
  </sheetPr>
  <dimension ref="A1:M339"/>
  <sheetViews>
    <sheetView topLeftCell="A291" workbookViewId="0">
      <selection activeCell="B254" sqref="B254:I333"/>
    </sheetView>
  </sheetViews>
  <sheetFormatPr defaultRowHeight="12.75" outlineLevelRow="1"/>
  <cols>
    <col min="1" max="1" width="8.140625" style="238" customWidth="1"/>
    <col min="2" max="2" width="6.7109375" style="238" customWidth="1"/>
    <col min="3" max="3" width="4.85546875" style="238" customWidth="1"/>
    <col min="4" max="4" width="25.140625" style="238" customWidth="1"/>
    <col min="5" max="5" width="11.85546875" style="238" customWidth="1"/>
    <col min="6" max="6" width="7.140625" style="238" customWidth="1"/>
    <col min="7" max="7" width="9.42578125" style="238" customWidth="1"/>
    <col min="8" max="8" width="14.85546875" style="238" customWidth="1"/>
    <col min="9" max="9" width="17.28515625" style="238" customWidth="1"/>
    <col min="10" max="10" width="9.140625" style="238"/>
    <col min="11" max="11" width="17.7109375" style="87" bestFit="1" customWidth="1"/>
    <col min="12" max="12" width="16" style="87" bestFit="1" customWidth="1"/>
    <col min="13" max="13" width="15.28515625" style="87" customWidth="1"/>
    <col min="14" max="16384" width="9.140625" style="238"/>
  </cols>
  <sheetData>
    <row r="1" spans="1:13" s="353" customFormat="1" hidden="1" outlineLevel="1">
      <c r="A1" s="929"/>
      <c r="B1" s="281"/>
      <c r="C1" s="238"/>
      <c r="D1" s="238"/>
      <c r="E1" s="238"/>
      <c r="F1" s="238"/>
      <c r="G1" s="238"/>
      <c r="H1" s="238"/>
      <c r="I1" s="282" t="s">
        <v>1195</v>
      </c>
      <c r="K1" s="94"/>
      <c r="L1" s="94"/>
      <c r="M1" s="94"/>
    </row>
    <row r="2" spans="1:13" s="353" customFormat="1" hidden="1" outlineLevel="1">
      <c r="A2" s="929"/>
      <c r="B2" s="281"/>
      <c r="C2" s="136"/>
      <c r="D2" s="238"/>
      <c r="E2" s="238"/>
      <c r="F2" s="238"/>
      <c r="G2" s="238"/>
      <c r="H2" s="238"/>
      <c r="I2" s="282" t="s">
        <v>1196</v>
      </c>
      <c r="K2" s="94"/>
      <c r="L2" s="94"/>
      <c r="M2" s="94"/>
    </row>
    <row r="3" spans="1:13" s="353" customFormat="1" hidden="1" outlineLevel="1">
      <c r="A3" s="929"/>
      <c r="B3" s="283"/>
      <c r="C3" s="238"/>
      <c r="D3" s="238"/>
      <c r="E3" s="238"/>
      <c r="F3" s="238"/>
      <c r="G3" s="238"/>
      <c r="H3" s="238"/>
      <c r="I3" s="238"/>
      <c r="K3" s="94"/>
      <c r="L3" s="94"/>
      <c r="M3" s="94"/>
    </row>
    <row r="4" spans="1:13" s="353" customFormat="1" hidden="1" outlineLevel="1">
      <c r="A4" s="929"/>
      <c r="B4" s="283"/>
      <c r="C4" s="238"/>
      <c r="D4" s="238"/>
      <c r="E4" s="238"/>
      <c r="F4" s="238"/>
      <c r="G4" s="238"/>
      <c r="H4" s="238"/>
      <c r="I4" s="238"/>
      <c r="K4" s="94"/>
      <c r="L4" s="94"/>
      <c r="M4" s="94"/>
    </row>
    <row r="5" spans="1:13" s="353" customFormat="1" ht="15.75" hidden="1" outlineLevel="1">
      <c r="A5" s="929"/>
      <c r="B5" s="1114" t="s">
        <v>1197</v>
      </c>
      <c r="C5" s="1114"/>
      <c r="D5" s="1114"/>
      <c r="E5" s="1114"/>
      <c r="F5" s="1114"/>
      <c r="G5" s="1114"/>
      <c r="H5" s="1114"/>
      <c r="I5" s="1114"/>
      <c r="K5" s="94"/>
      <c r="L5" s="94"/>
      <c r="M5" s="94"/>
    </row>
    <row r="6" spans="1:13" s="353" customFormat="1" ht="16.5" hidden="1" outlineLevel="1" thickBot="1">
      <c r="A6" s="929"/>
      <c r="B6" s="1115" t="s">
        <v>1198</v>
      </c>
      <c r="C6" s="1115"/>
      <c r="D6" s="1115"/>
      <c r="E6" s="1115"/>
      <c r="F6" s="1115"/>
      <c r="G6" s="1115"/>
      <c r="H6" s="1115"/>
      <c r="I6" s="1115"/>
      <c r="K6" s="94"/>
      <c r="L6" s="94"/>
      <c r="M6" s="94"/>
    </row>
    <row r="7" spans="1:13" s="353" customFormat="1" ht="13.5" hidden="1" outlineLevel="1" thickTop="1">
      <c r="A7" s="929"/>
      <c r="B7" s="284"/>
      <c r="C7" s="238"/>
      <c r="D7" s="238"/>
      <c r="E7" s="238"/>
      <c r="F7" s="238"/>
      <c r="G7" s="238"/>
      <c r="H7" s="238"/>
      <c r="I7" s="238"/>
      <c r="K7" s="94"/>
      <c r="L7" s="94"/>
      <c r="M7" s="94"/>
    </row>
    <row r="8" spans="1:13" s="353" customFormat="1" hidden="1" outlineLevel="1">
      <c r="A8" s="929"/>
      <c r="B8" s="280" t="s">
        <v>2706</v>
      </c>
      <c r="C8" s="280"/>
      <c r="D8" s="238"/>
      <c r="E8" s="238"/>
      <c r="F8" s="238"/>
      <c r="G8" s="238"/>
      <c r="H8" s="238"/>
      <c r="I8" s="238"/>
      <c r="J8" s="238"/>
      <c r="K8" s="94"/>
      <c r="L8" s="94"/>
      <c r="M8" s="94"/>
    </row>
    <row r="9" spans="1:13" s="353" customFormat="1" hidden="1" outlineLevel="1">
      <c r="A9" s="929"/>
      <c r="B9" s="284"/>
      <c r="C9" s="238"/>
      <c r="D9" s="238"/>
      <c r="E9" s="238"/>
      <c r="F9" s="238"/>
      <c r="G9" s="238"/>
      <c r="H9" s="238"/>
      <c r="I9" s="238"/>
      <c r="J9" s="238"/>
      <c r="K9" s="94"/>
      <c r="L9" s="94"/>
      <c r="M9" s="94"/>
    </row>
    <row r="10" spans="1:13" s="353" customFormat="1" hidden="1" outlineLevel="1">
      <c r="A10" s="929"/>
      <c r="B10" s="280" t="s">
        <v>2732</v>
      </c>
      <c r="C10" s="238"/>
      <c r="D10" s="238"/>
      <c r="E10" s="238"/>
      <c r="F10" s="238"/>
      <c r="G10" s="238"/>
      <c r="H10" s="238"/>
      <c r="I10" s="238"/>
      <c r="J10" s="238"/>
      <c r="K10" s="94"/>
      <c r="L10" s="94"/>
      <c r="M10" s="94"/>
    </row>
    <row r="11" spans="1:13" s="353" customFormat="1" hidden="1" outlineLevel="1">
      <c r="A11" s="929"/>
      <c r="B11" s="280"/>
      <c r="C11" s="238"/>
      <c r="D11" s="238"/>
      <c r="E11" s="238"/>
      <c r="F11" s="238"/>
      <c r="G11" s="238"/>
      <c r="H11" s="238"/>
      <c r="I11" s="238"/>
      <c r="J11" s="238"/>
      <c r="K11" s="94"/>
      <c r="L11" s="94"/>
      <c r="M11" s="94"/>
    </row>
    <row r="12" spans="1:13" s="353" customFormat="1" hidden="1" outlineLevel="1">
      <c r="A12" s="929"/>
      <c r="B12" s="280" t="s">
        <v>2733</v>
      </c>
      <c r="C12" s="238"/>
      <c r="D12" s="238"/>
      <c r="E12" s="238"/>
      <c r="F12" s="238"/>
      <c r="G12" s="238"/>
      <c r="H12" s="238"/>
      <c r="I12" s="238"/>
      <c r="J12" s="238"/>
      <c r="K12" s="94"/>
      <c r="L12" s="94"/>
      <c r="M12" s="94"/>
    </row>
    <row r="13" spans="1:13" s="930" customFormat="1" hidden="1" outlineLevel="1">
      <c r="A13" s="929"/>
      <c r="B13" s="280" t="s">
        <v>2734</v>
      </c>
      <c r="C13" s="194"/>
      <c r="D13" s="194"/>
      <c r="E13" s="194"/>
      <c r="F13" s="194"/>
      <c r="G13" s="194"/>
      <c r="H13" s="196"/>
      <c r="I13" s="196"/>
      <c r="J13" s="196"/>
      <c r="K13" s="94"/>
      <c r="L13" s="931"/>
      <c r="M13" s="931"/>
    </row>
    <row r="14" spans="1:13" s="930" customFormat="1" hidden="1" outlineLevel="1">
      <c r="A14" s="929"/>
      <c r="B14" s="280" t="s">
        <v>2735</v>
      </c>
      <c r="C14" s="194"/>
      <c r="D14" s="194"/>
      <c r="E14" s="194"/>
      <c r="F14" s="194"/>
      <c r="G14" s="194"/>
      <c r="H14" s="196"/>
      <c r="I14" s="196"/>
      <c r="J14" s="196"/>
      <c r="K14" s="94"/>
      <c r="L14" s="931"/>
      <c r="M14" s="931"/>
    </row>
    <row r="15" spans="1:13" s="930" customFormat="1" hidden="1" outlineLevel="1">
      <c r="A15" s="929"/>
      <c r="B15" s="280" t="s">
        <v>2736</v>
      </c>
      <c r="C15" s="194"/>
      <c r="D15" s="194"/>
      <c r="E15" s="194"/>
      <c r="F15" s="194"/>
      <c r="G15" s="194"/>
      <c r="H15" s="196"/>
      <c r="I15" s="196"/>
      <c r="J15" s="196"/>
      <c r="K15" s="94"/>
      <c r="L15" s="931"/>
      <c r="M15" s="931"/>
    </row>
    <row r="16" spans="1:13" s="930" customFormat="1" hidden="1" outlineLevel="1">
      <c r="A16" s="929"/>
      <c r="B16" s="280" t="s">
        <v>2737</v>
      </c>
      <c r="C16" s="194"/>
      <c r="D16" s="195"/>
      <c r="E16" s="194"/>
      <c r="F16" s="194"/>
      <c r="G16" s="194"/>
      <c r="H16" s="196"/>
      <c r="I16" s="196"/>
      <c r="J16" s="196"/>
      <c r="K16" s="94"/>
      <c r="L16" s="931"/>
      <c r="M16" s="931"/>
    </row>
    <row r="17" spans="1:13" s="930" customFormat="1" hidden="1" outlineLevel="1">
      <c r="A17" s="929"/>
      <c r="B17" s="280"/>
      <c r="C17" s="194"/>
      <c r="D17" s="194"/>
      <c r="E17" s="194"/>
      <c r="F17" s="194"/>
      <c r="G17" s="194"/>
      <c r="H17" s="196"/>
      <c r="I17" s="196"/>
      <c r="J17" s="196"/>
      <c r="K17" s="94"/>
      <c r="L17" s="931"/>
      <c r="M17" s="931"/>
    </row>
    <row r="18" spans="1:13" s="353" customFormat="1" hidden="1" outlineLevel="1">
      <c r="A18" s="929"/>
      <c r="B18" s="280" t="s">
        <v>1199</v>
      </c>
      <c r="C18" s="285"/>
      <c r="D18" s="280" t="s">
        <v>1200</v>
      </c>
      <c r="E18" s="238"/>
      <c r="F18" s="238"/>
      <c r="G18" s="238"/>
      <c r="H18" s="238"/>
      <c r="I18" s="238"/>
      <c r="J18" s="238"/>
      <c r="K18" s="94"/>
      <c r="L18" s="94"/>
      <c r="M18" s="94"/>
    </row>
    <row r="19" spans="1:13" s="353" customFormat="1" hidden="1" outlineLevel="1">
      <c r="A19" s="929"/>
      <c r="B19" s="280"/>
      <c r="C19" s="238"/>
      <c r="D19" s="238"/>
      <c r="E19" s="238"/>
      <c r="F19" s="238"/>
      <c r="G19" s="238"/>
      <c r="H19" s="238"/>
      <c r="I19" s="238"/>
      <c r="K19" s="94"/>
      <c r="L19" s="94"/>
      <c r="M19" s="94"/>
    </row>
    <row r="20" spans="1:13" s="353" customFormat="1" hidden="1" outlineLevel="1">
      <c r="A20" s="929"/>
      <c r="B20" s="280"/>
      <c r="C20" s="238"/>
      <c r="D20" s="238"/>
      <c r="E20" s="238"/>
      <c r="F20" s="238"/>
      <c r="G20" s="238"/>
      <c r="H20" s="238"/>
      <c r="I20" s="238"/>
      <c r="K20" s="94"/>
      <c r="L20" s="94"/>
      <c r="M20" s="94"/>
    </row>
    <row r="21" spans="1:13" s="353" customFormat="1" hidden="1" outlineLevel="1">
      <c r="A21" s="929"/>
      <c r="B21" s="280"/>
      <c r="C21" s="238"/>
      <c r="D21" s="238"/>
      <c r="E21" s="238"/>
      <c r="F21" s="238"/>
      <c r="G21" s="238"/>
      <c r="H21" s="238"/>
      <c r="I21" s="238"/>
      <c r="K21" s="94"/>
      <c r="L21" s="94"/>
      <c r="M21" s="94"/>
    </row>
    <row r="22" spans="1:13" s="353" customFormat="1" hidden="1" outlineLevel="1">
      <c r="A22" s="929"/>
      <c r="B22" s="1116" t="s">
        <v>1201</v>
      </c>
      <c r="C22" s="1116"/>
      <c r="D22" s="1116"/>
      <c r="E22" s="1116"/>
      <c r="F22" s="1116"/>
      <c r="G22" s="1116"/>
      <c r="H22" s="1116"/>
      <c r="I22" s="932">
        <f>+IS!E24</f>
        <v>-29421719.660101071</v>
      </c>
      <c r="K22" s="94"/>
      <c r="L22" s="94"/>
      <c r="M22" s="94"/>
    </row>
    <row r="23" spans="1:13" s="353" customFormat="1" hidden="1" outlineLevel="1">
      <c r="A23" s="929"/>
      <c r="B23" s="925"/>
      <c r="C23" s="1102"/>
      <c r="D23" s="1102"/>
      <c r="E23" s="1102"/>
      <c r="F23" s="1102"/>
      <c r="G23" s="1102"/>
      <c r="H23" s="1102"/>
      <c r="I23" s="1102"/>
      <c r="K23" s="94"/>
      <c r="L23" s="94"/>
      <c r="M23" s="94"/>
    </row>
    <row r="24" spans="1:13" s="353" customFormat="1" hidden="1" outlineLevel="1">
      <c r="A24" s="929"/>
      <c r="B24" s="928" t="s">
        <v>1202</v>
      </c>
      <c r="C24" s="1102" t="s">
        <v>1203</v>
      </c>
      <c r="D24" s="1102"/>
      <c r="E24" s="1102"/>
      <c r="F24" s="1102"/>
      <c r="G24" s="1102"/>
      <c r="H24" s="1102"/>
      <c r="I24" s="1102"/>
      <c r="K24" s="94"/>
      <c r="L24" s="94"/>
      <c r="M24" s="94"/>
    </row>
    <row r="25" spans="1:13" s="353" customFormat="1" ht="13.5" hidden="1" outlineLevel="1">
      <c r="A25" s="929"/>
      <c r="B25" s="928">
        <v>1</v>
      </c>
      <c r="C25" s="1117" t="s">
        <v>1204</v>
      </c>
      <c r="D25" s="1117"/>
      <c r="E25" s="928" t="s">
        <v>21</v>
      </c>
      <c r="F25" s="926">
        <v>2</v>
      </c>
      <c r="G25" s="1117" t="s">
        <v>1205</v>
      </c>
      <c r="H25" s="1117"/>
      <c r="I25" s="926" t="s">
        <v>21</v>
      </c>
      <c r="K25" s="94"/>
      <c r="L25" s="94"/>
      <c r="M25" s="94"/>
    </row>
    <row r="26" spans="1:13" s="353" customFormat="1" hidden="1" outlineLevel="1">
      <c r="A26" s="929"/>
      <c r="B26" s="1105">
        <v>1.1000000000000001</v>
      </c>
      <c r="C26" s="1105" t="s">
        <v>1206</v>
      </c>
      <c r="D26" s="1105"/>
      <c r="E26" s="1104"/>
      <c r="F26" s="1105">
        <v>2.1</v>
      </c>
      <c r="G26" s="1106" t="s">
        <v>1207</v>
      </c>
      <c r="H26" s="1107"/>
      <c r="I26" s="1104"/>
      <c r="K26" s="94"/>
      <c r="L26" s="94"/>
      <c r="M26" s="94"/>
    </row>
    <row r="27" spans="1:13" s="353" customFormat="1" hidden="1" outlineLevel="1">
      <c r="A27" s="929"/>
      <c r="B27" s="1105"/>
      <c r="C27" s="1110" t="s">
        <v>2747</v>
      </c>
      <c r="D27" s="1111"/>
      <c r="E27" s="1104"/>
      <c r="F27" s="1105"/>
      <c r="G27" s="1108"/>
      <c r="H27" s="1109"/>
      <c r="I27" s="1104"/>
      <c r="K27" s="94"/>
      <c r="L27" s="94"/>
      <c r="M27" s="94"/>
    </row>
    <row r="28" spans="1:13" s="353" customFormat="1" hidden="1" outlineLevel="1">
      <c r="A28" s="929"/>
      <c r="B28" s="922"/>
      <c r="C28" s="1112" t="s">
        <v>2748</v>
      </c>
      <c r="D28" s="1112"/>
      <c r="E28" s="923"/>
      <c r="F28" s="922">
        <v>2.2000000000000002</v>
      </c>
      <c r="G28" s="1112" t="s">
        <v>1208</v>
      </c>
      <c r="H28" s="1112"/>
      <c r="I28" s="923"/>
      <c r="K28" s="94"/>
      <c r="L28" s="94"/>
      <c r="M28" s="94"/>
    </row>
    <row r="29" spans="1:13" s="353" customFormat="1" hidden="1" outlineLevel="1">
      <c r="A29" s="929"/>
      <c r="B29" s="922"/>
      <c r="C29" s="1112" t="s">
        <v>2749</v>
      </c>
      <c r="D29" s="1112"/>
      <c r="E29" s="923"/>
      <c r="F29" s="922">
        <v>2.2999999999999998</v>
      </c>
      <c r="G29" s="1112" t="s">
        <v>1209</v>
      </c>
      <c r="H29" s="1112"/>
      <c r="I29" s="927">
        <f>+IS!E11</f>
        <v>0</v>
      </c>
      <c r="K29" s="94"/>
      <c r="L29" s="94"/>
      <c r="M29" s="94"/>
    </row>
    <row r="30" spans="1:13" s="353" customFormat="1" hidden="1" outlineLevel="1">
      <c r="A30" s="929"/>
      <c r="B30" s="922"/>
      <c r="C30" s="1112" t="s">
        <v>2750</v>
      </c>
      <c r="D30" s="1112"/>
      <c r="E30" s="923"/>
      <c r="F30" s="922">
        <v>2.4</v>
      </c>
      <c r="G30" s="1112" t="s">
        <v>1210</v>
      </c>
      <c r="H30" s="1112"/>
      <c r="I30" s="923">
        <f>+'TT-02'!G74+'TT-02'!G76+'TT-02'!G78+'TT-02'!G80</f>
        <v>0</v>
      </c>
      <c r="K30" s="94"/>
      <c r="L30" s="94"/>
      <c r="M30" s="94"/>
    </row>
    <row r="31" spans="1:13" s="353" customFormat="1" hidden="1" outlineLevel="1">
      <c r="A31" s="929"/>
      <c r="B31" s="922"/>
      <c r="C31" s="1112"/>
      <c r="D31" s="1112"/>
      <c r="E31" s="923"/>
      <c r="F31" s="922">
        <v>2.5</v>
      </c>
      <c r="G31" s="1112"/>
      <c r="H31" s="1112"/>
      <c r="I31" s="923"/>
      <c r="K31" s="94"/>
      <c r="L31" s="94"/>
      <c r="M31" s="94"/>
    </row>
    <row r="32" spans="1:13" s="353" customFormat="1" hidden="1" outlineLevel="1">
      <c r="A32" s="929"/>
      <c r="B32" s="922">
        <v>1.2</v>
      </c>
      <c r="C32" s="1112" t="s">
        <v>1211</v>
      </c>
      <c r="D32" s="1112"/>
      <c r="E32" s="923"/>
      <c r="F32" s="922">
        <v>2.6</v>
      </c>
      <c r="G32" s="1112" t="s">
        <v>1212</v>
      </c>
      <c r="H32" s="1112"/>
      <c r="I32" s="923">
        <f>+IS!E14</f>
        <v>0</v>
      </c>
      <c r="K32" s="94"/>
      <c r="L32" s="94"/>
      <c r="M32" s="94"/>
    </row>
    <row r="33" spans="1:13" s="353" customFormat="1" hidden="1" outlineLevel="1">
      <c r="A33" s="929"/>
      <c r="B33" s="922"/>
      <c r="C33" s="1112" t="s">
        <v>2751</v>
      </c>
      <c r="D33" s="1112"/>
      <c r="E33" s="923"/>
      <c r="F33" s="922"/>
      <c r="G33" s="1112"/>
      <c r="H33" s="1112"/>
      <c r="I33" s="923"/>
      <c r="K33" s="94"/>
      <c r="L33" s="94"/>
    </row>
    <row r="34" spans="1:13" s="353" customFormat="1" hidden="1" outlineLevel="1">
      <c r="A34" s="929"/>
      <c r="B34" s="922"/>
      <c r="C34" s="1112"/>
      <c r="D34" s="1112"/>
      <c r="E34" s="923"/>
      <c r="F34" s="922"/>
      <c r="G34" s="1112"/>
      <c r="H34" s="1112"/>
      <c r="I34" s="923"/>
      <c r="K34" s="94"/>
      <c r="L34" s="94"/>
    </row>
    <row r="35" spans="1:13" s="353" customFormat="1" hidden="1" outlineLevel="1">
      <c r="A35" s="929"/>
      <c r="B35" s="922">
        <v>1.3</v>
      </c>
      <c r="C35" s="1112" t="s">
        <v>1213</v>
      </c>
      <c r="D35" s="1112"/>
      <c r="E35" s="923"/>
      <c r="F35" s="922"/>
      <c r="G35" s="1112"/>
      <c r="H35" s="1112"/>
      <c r="I35" s="923"/>
      <c r="K35" s="94"/>
      <c r="L35" s="94"/>
    </row>
    <row r="36" spans="1:13" s="353" customFormat="1" hidden="1" outlineLevel="1">
      <c r="A36" s="929"/>
      <c r="B36" s="922">
        <v>1.4</v>
      </c>
      <c r="C36" s="1112" t="s">
        <v>1214</v>
      </c>
      <c r="D36" s="1112"/>
      <c r="E36" s="923"/>
      <c r="F36" s="922"/>
      <c r="G36" s="1112"/>
      <c r="H36" s="1112"/>
      <c r="I36" s="923"/>
      <c r="K36" s="94"/>
      <c r="L36" s="94"/>
    </row>
    <row r="37" spans="1:13" s="353" customFormat="1" hidden="1" outlineLevel="1">
      <c r="A37" s="929"/>
      <c r="B37" s="922">
        <v>1.5</v>
      </c>
      <c r="C37" s="1112" t="s">
        <v>1215</v>
      </c>
      <c r="D37" s="1112"/>
      <c r="E37" s="923"/>
      <c r="F37" s="922"/>
      <c r="G37" s="1112"/>
      <c r="H37" s="1112"/>
      <c r="I37" s="923"/>
      <c r="K37" s="94"/>
      <c r="L37" s="94"/>
    </row>
    <row r="38" spans="1:13" s="353" customFormat="1" hidden="1" outlineLevel="1">
      <c r="A38" s="929"/>
      <c r="B38" s="922">
        <v>1.6</v>
      </c>
      <c r="C38" s="1112" t="s">
        <v>1216</v>
      </c>
      <c r="D38" s="1112"/>
      <c r="E38" s="923">
        <f>+[5]IS!E18</f>
        <v>0</v>
      </c>
      <c r="F38" s="922"/>
      <c r="G38" s="1112"/>
      <c r="H38" s="1112"/>
      <c r="I38" s="923"/>
      <c r="K38" s="94"/>
      <c r="L38" s="94"/>
    </row>
    <row r="39" spans="1:13" s="353" customFormat="1" hidden="1" outlineLevel="1">
      <c r="A39" s="929"/>
      <c r="B39" s="922"/>
      <c r="C39" s="1112"/>
      <c r="D39" s="1112"/>
      <c r="E39" s="923"/>
      <c r="F39" s="922"/>
      <c r="G39" s="1112"/>
      <c r="H39" s="1112"/>
      <c r="I39" s="923"/>
      <c r="K39" s="94"/>
      <c r="L39" s="94"/>
    </row>
    <row r="40" spans="1:13" s="353" customFormat="1" hidden="1" outlineLevel="1">
      <c r="A40" s="929"/>
      <c r="B40" s="922" t="s">
        <v>1217</v>
      </c>
      <c r="C40" s="1112" t="s">
        <v>21</v>
      </c>
      <c r="D40" s="1112"/>
      <c r="E40" s="923">
        <f>SUM(E26:E39)</f>
        <v>0</v>
      </c>
      <c r="F40" s="922" t="s">
        <v>1218</v>
      </c>
      <c r="G40" s="1105" t="s">
        <v>5</v>
      </c>
      <c r="H40" s="1105"/>
      <c r="I40" s="923">
        <f>SUM(I26:I39)</f>
        <v>0</v>
      </c>
      <c r="K40" s="94"/>
      <c r="L40" s="94"/>
    </row>
    <row r="41" spans="1:13" s="353" customFormat="1" hidden="1" outlineLevel="1">
      <c r="A41" s="929"/>
      <c r="B41" s="928" t="s">
        <v>1219</v>
      </c>
      <c r="C41" s="1113" t="s">
        <v>1328</v>
      </c>
      <c r="D41" s="1113"/>
      <c r="E41" s="1113"/>
      <c r="F41" s="1113"/>
      <c r="G41" s="1113"/>
      <c r="H41" s="1113"/>
      <c r="I41" s="927">
        <f>I22+E40-I40</f>
        <v>-29421719.660101071</v>
      </c>
      <c r="K41" s="94"/>
      <c r="L41" s="94"/>
    </row>
    <row r="42" spans="1:13" s="353" customFormat="1" hidden="1" outlineLevel="1">
      <c r="A42" s="929"/>
      <c r="B42" s="922" t="s">
        <v>1220</v>
      </c>
      <c r="C42" s="1112" t="s">
        <v>1329</v>
      </c>
      <c r="D42" s="1112"/>
      <c r="E42" s="1112"/>
      <c r="F42" s="1112"/>
      <c r="G42" s="1112"/>
      <c r="H42" s="1112"/>
      <c r="I42" s="923">
        <f>IF(I41&gt;0,I41*0.1,0)</f>
        <v>0</v>
      </c>
      <c r="K42" s="94"/>
      <c r="L42" s="94"/>
    </row>
    <row r="43" spans="1:13" s="353" customFormat="1" hidden="1" outlineLevel="1">
      <c r="A43" s="929"/>
      <c r="B43" s="922" t="s">
        <v>1221</v>
      </c>
      <c r="C43" s="1112" t="s">
        <v>1222</v>
      </c>
      <c r="D43" s="1112"/>
      <c r="E43" s="1112"/>
      <c r="F43" s="1112"/>
      <c r="G43" s="1112"/>
      <c r="H43" s="1112"/>
      <c r="I43" s="923"/>
      <c r="K43" s="94"/>
      <c r="L43" s="94"/>
    </row>
    <row r="44" spans="1:13" s="353" customFormat="1" hidden="1" outlineLevel="1">
      <c r="A44" s="929"/>
      <c r="B44" s="922" t="s">
        <v>1223</v>
      </c>
      <c r="C44" s="1112" t="s">
        <v>1224</v>
      </c>
      <c r="D44" s="1112"/>
      <c r="E44" s="1112"/>
      <c r="F44" s="1112"/>
      <c r="G44" s="1112"/>
      <c r="H44" s="1112"/>
      <c r="I44" s="923">
        <f>+I42+I43</f>
        <v>0</v>
      </c>
      <c r="K44" s="94"/>
      <c r="L44" s="94"/>
    </row>
    <row r="45" spans="1:13" s="353" customFormat="1" hidden="1" outlineLevel="1">
      <c r="A45" s="929"/>
      <c r="B45" s="928" t="s">
        <v>1225</v>
      </c>
      <c r="C45" s="1102" t="s">
        <v>1226</v>
      </c>
      <c r="D45" s="1102"/>
      <c r="E45" s="1102"/>
      <c r="F45" s="1102"/>
      <c r="G45" s="1102"/>
      <c r="H45" s="1102"/>
      <c r="I45" s="1102"/>
      <c r="K45" s="94"/>
      <c r="L45" s="94"/>
    </row>
    <row r="46" spans="1:13" s="353" customFormat="1" ht="13.5" hidden="1" outlineLevel="1">
      <c r="A46" s="929"/>
      <c r="B46" s="928">
        <v>3</v>
      </c>
      <c r="C46" s="1121" t="s">
        <v>1204</v>
      </c>
      <c r="D46" s="1121"/>
      <c r="E46" s="928" t="s">
        <v>21</v>
      </c>
      <c r="F46" s="925"/>
      <c r="G46" s="1121" t="s">
        <v>1205</v>
      </c>
      <c r="H46" s="1121"/>
      <c r="I46" s="928" t="s">
        <v>21</v>
      </c>
      <c r="K46" s="94"/>
      <c r="L46" s="94"/>
    </row>
    <row r="47" spans="1:13" s="353" customFormat="1" hidden="1" outlineLevel="1">
      <c r="A47" s="929"/>
      <c r="B47" s="1118">
        <v>3.1</v>
      </c>
      <c r="C47" s="1112" t="s">
        <v>1227</v>
      </c>
      <c r="D47" s="1112"/>
      <c r="E47" s="924"/>
      <c r="F47" s="1119">
        <v>4.0999999999999996</v>
      </c>
      <c r="G47" s="1112" t="s">
        <v>1228</v>
      </c>
      <c r="H47" s="1112"/>
      <c r="I47" s="1098"/>
      <c r="K47" s="94"/>
      <c r="L47" s="94"/>
    </row>
    <row r="48" spans="1:13" s="353" customFormat="1" ht="51" hidden="1" customHeight="1" outlineLevel="1">
      <c r="A48" s="929"/>
      <c r="B48" s="1118"/>
      <c r="C48" s="1112" t="s">
        <v>1229</v>
      </c>
      <c r="D48" s="1112"/>
      <c r="E48" s="924"/>
      <c r="F48" s="1119"/>
      <c r="G48" s="1112"/>
      <c r="H48" s="1112"/>
      <c r="I48" s="1098"/>
      <c r="K48" s="94"/>
      <c r="L48" s="94"/>
      <c r="M48" s="20"/>
    </row>
    <row r="49" spans="1:12" s="353" customFormat="1" ht="28.5" hidden="1" customHeight="1" outlineLevel="1">
      <c r="A49" s="929"/>
      <c r="B49" s="922">
        <v>3.2</v>
      </c>
      <c r="C49" s="1112" t="s">
        <v>1230</v>
      </c>
      <c r="D49" s="1112"/>
      <c r="E49" s="664">
        <f>+STAT1!R205</f>
        <v>8783.9599999999991</v>
      </c>
      <c r="F49" s="933">
        <v>4.2</v>
      </c>
      <c r="G49" s="1112" t="s">
        <v>1231</v>
      </c>
      <c r="H49" s="1112"/>
      <c r="I49" s="934">
        <f>+STAT1!S198</f>
        <v>0</v>
      </c>
      <c r="K49" s="94"/>
      <c r="L49" s="846"/>
    </row>
    <row r="50" spans="1:12" s="353" customFormat="1" hidden="1" outlineLevel="1">
      <c r="A50" s="929"/>
      <c r="B50" s="922">
        <v>3.3</v>
      </c>
      <c r="C50" s="1098" t="s">
        <v>1212</v>
      </c>
      <c r="D50" s="1098"/>
      <c r="E50" s="924"/>
      <c r="F50" s="935">
        <v>4.3</v>
      </c>
      <c r="G50" s="1112" t="s">
        <v>1212</v>
      </c>
      <c r="H50" s="1112"/>
      <c r="I50" s="663"/>
      <c r="K50" s="94"/>
    </row>
    <row r="51" spans="1:12" s="353" customFormat="1" hidden="1" outlineLevel="1">
      <c r="A51" s="929"/>
      <c r="B51" s="922">
        <v>3.4</v>
      </c>
      <c r="C51" s="1098"/>
      <c r="D51" s="1098"/>
      <c r="E51" s="924"/>
      <c r="F51" s="935">
        <v>4.4000000000000004</v>
      </c>
      <c r="G51" s="1120"/>
      <c r="H51" s="1120"/>
      <c r="I51" s="663"/>
      <c r="K51" s="94"/>
    </row>
    <row r="52" spans="1:12" s="353" customFormat="1" hidden="1" outlineLevel="1">
      <c r="A52" s="929"/>
      <c r="B52" s="922">
        <v>3.5</v>
      </c>
      <c r="C52" s="1098"/>
      <c r="D52" s="1098"/>
      <c r="E52" s="924"/>
      <c r="F52" s="935">
        <v>4.5</v>
      </c>
      <c r="G52" s="1120"/>
      <c r="H52" s="1120"/>
      <c r="I52" s="663"/>
      <c r="K52" s="94"/>
    </row>
    <row r="53" spans="1:12" s="353" customFormat="1" hidden="1" outlineLevel="1">
      <c r="A53" s="929"/>
      <c r="B53" s="922" t="s">
        <v>1232</v>
      </c>
      <c r="C53" s="1098" t="s">
        <v>1233</v>
      </c>
      <c r="D53" s="1098"/>
      <c r="E53" s="936">
        <f>SUM(E47:E50)</f>
        <v>8783.9599999999991</v>
      </c>
      <c r="F53" s="935" t="s">
        <v>2752</v>
      </c>
      <c r="G53" s="1112" t="s">
        <v>1233</v>
      </c>
      <c r="H53" s="1112"/>
      <c r="I53" s="923">
        <f>SUM(I47:I50)</f>
        <v>0</v>
      </c>
      <c r="K53" s="94"/>
    </row>
    <row r="54" spans="1:12" s="353" customFormat="1" hidden="1" outlineLevel="1">
      <c r="A54" s="929"/>
      <c r="B54" s="1099"/>
      <c r="C54" s="1099"/>
      <c r="D54" s="1099"/>
      <c r="E54" s="1099"/>
      <c r="F54" s="1099"/>
      <c r="G54" s="1099"/>
      <c r="H54" s="1100" t="s">
        <v>2753</v>
      </c>
      <c r="I54" s="1100" t="s">
        <v>1234</v>
      </c>
      <c r="K54" s="94"/>
    </row>
    <row r="55" spans="1:12" s="353" customFormat="1" hidden="1" outlineLevel="1">
      <c r="A55" s="929"/>
      <c r="B55" s="1099"/>
      <c r="C55" s="1099"/>
      <c r="D55" s="1099"/>
      <c r="E55" s="1099"/>
      <c r="F55" s="1099"/>
      <c r="G55" s="1099"/>
      <c r="H55" s="1101"/>
      <c r="I55" s="1101"/>
      <c r="K55" s="94"/>
      <c r="L55" s="846"/>
    </row>
    <row r="56" spans="1:12" s="353" customFormat="1" hidden="1" outlineLevel="1">
      <c r="A56" s="929"/>
      <c r="B56" s="1102" t="s">
        <v>1235</v>
      </c>
      <c r="C56" s="1102"/>
      <c r="D56" s="1102"/>
      <c r="E56" s="1102"/>
      <c r="F56" s="1102"/>
      <c r="G56" s="1102"/>
      <c r="H56" s="937">
        <f>+I41+E53-I53</f>
        <v>-29412935.70010107</v>
      </c>
      <c r="I56" s="938"/>
      <c r="K56" s="94"/>
    </row>
    <row r="57" spans="1:12" s="353" customFormat="1" hidden="1" outlineLevel="1">
      <c r="A57" s="929"/>
      <c r="B57" s="1098" t="s">
        <v>1236</v>
      </c>
      <c r="C57" s="1098"/>
      <c r="D57" s="1098"/>
      <c r="E57" s="1098"/>
      <c r="F57" s="1098"/>
      <c r="G57" s="1098"/>
      <c r="H57" s="937"/>
      <c r="I57" s="939"/>
      <c r="K57" s="94"/>
    </row>
    <row r="58" spans="1:12" s="353" customFormat="1" hidden="1" outlineLevel="1">
      <c r="A58" s="929"/>
      <c r="B58" s="1103" t="s">
        <v>1237</v>
      </c>
      <c r="C58" s="1103"/>
      <c r="D58" s="1103"/>
      <c r="E58" s="1103"/>
      <c r="F58" s="1103"/>
      <c r="G58" s="1103"/>
      <c r="H58" s="940">
        <v>0</v>
      </c>
      <c r="I58" s="938"/>
      <c r="K58" s="94"/>
    </row>
    <row r="59" spans="1:12" s="353" customFormat="1" hidden="1" outlineLevel="1">
      <c r="A59" s="929"/>
      <c r="B59" s="1103" t="s">
        <v>1238</v>
      </c>
      <c r="C59" s="1103"/>
      <c r="D59" s="1103"/>
      <c r="E59" s="1103"/>
      <c r="F59" s="1103"/>
      <c r="G59" s="1103"/>
      <c r="H59" s="940">
        <v>0</v>
      </c>
      <c r="I59" s="938"/>
      <c r="K59" s="94"/>
    </row>
    <row r="60" spans="1:12" s="353" customFormat="1" hidden="1" outlineLevel="1">
      <c r="A60" s="929"/>
      <c r="B60" s="1102" t="s">
        <v>1239</v>
      </c>
      <c r="C60" s="1102"/>
      <c r="D60" s="1102"/>
      <c r="E60" s="1102"/>
      <c r="F60" s="1102"/>
      <c r="G60" s="1102"/>
      <c r="H60" s="941">
        <f>+H56+H58-H59</f>
        <v>-29412935.70010107</v>
      </c>
      <c r="I60" s="938"/>
      <c r="K60" s="94"/>
    </row>
    <row r="61" spans="1:12" s="353" customFormat="1" hidden="1" outlineLevel="1">
      <c r="A61" s="929"/>
      <c r="B61" s="1102" t="s">
        <v>1330</v>
      </c>
      <c r="C61" s="1102"/>
      <c r="D61" s="1102"/>
      <c r="E61" s="1102"/>
      <c r="F61" s="1102"/>
      <c r="G61" s="1102"/>
      <c r="H61" s="938"/>
      <c r="I61" s="942">
        <f>IF(H60&gt;0,H60*0.1,0)</f>
        <v>0</v>
      </c>
      <c r="K61" s="94"/>
    </row>
    <row r="62" spans="1:12" s="353" customFormat="1" hidden="1" outlineLevel="1">
      <c r="A62" s="929"/>
      <c r="B62" s="1098" t="s">
        <v>1240</v>
      </c>
      <c r="C62" s="1098"/>
      <c r="D62" s="1098"/>
      <c r="E62" s="1098"/>
      <c r="F62" s="1098"/>
      <c r="G62" s="1098"/>
      <c r="H62" s="938"/>
      <c r="I62" s="943"/>
      <c r="K62" s="94"/>
    </row>
    <row r="63" spans="1:12" s="353" customFormat="1" hidden="1" outlineLevel="1">
      <c r="A63" s="929"/>
      <c r="B63" s="1102" t="s">
        <v>1241</v>
      </c>
      <c r="C63" s="1102"/>
      <c r="D63" s="1102"/>
      <c r="E63" s="1102"/>
      <c r="F63" s="1102"/>
      <c r="G63" s="1102"/>
      <c r="H63" s="938"/>
      <c r="I63" s="940"/>
      <c r="K63" s="94"/>
    </row>
    <row r="64" spans="1:12" s="353" customFormat="1" hidden="1" outlineLevel="1">
      <c r="A64" s="929"/>
      <c r="B64" s="1112" t="s">
        <v>1242</v>
      </c>
      <c r="C64" s="1112"/>
      <c r="D64" s="1112"/>
      <c r="E64" s="1112"/>
      <c r="F64" s="1112"/>
      <c r="G64" s="1112"/>
      <c r="H64" s="938"/>
      <c r="I64" s="940"/>
      <c r="K64" s="94"/>
    </row>
    <row r="65" spans="1:11" s="353" customFormat="1" hidden="1" outlineLevel="1">
      <c r="A65" s="929"/>
      <c r="B65" s="1112" t="s">
        <v>1242</v>
      </c>
      <c r="C65" s="1112"/>
      <c r="D65" s="1112"/>
      <c r="E65" s="1112"/>
      <c r="F65" s="1112"/>
      <c r="G65" s="1112"/>
      <c r="H65" s="938"/>
      <c r="I65" s="940"/>
      <c r="K65" s="94"/>
    </row>
    <row r="66" spans="1:11" s="353" customFormat="1" hidden="1" outlineLevel="1">
      <c r="A66" s="929"/>
      <c r="B66" s="1102" t="s">
        <v>1243</v>
      </c>
      <c r="C66" s="1102"/>
      <c r="D66" s="1102"/>
      <c r="E66" s="1102"/>
      <c r="F66" s="1102"/>
      <c r="G66" s="1102"/>
      <c r="H66" s="941">
        <f>SUM(H67:H68)</f>
        <v>0</v>
      </c>
      <c r="I66" s="941">
        <f>SUM(I67:I68)</f>
        <v>0</v>
      </c>
      <c r="K66" s="94"/>
    </row>
    <row r="67" spans="1:11" s="353" customFormat="1" hidden="1" outlineLevel="1">
      <c r="A67" s="929"/>
      <c r="B67" s="1098" t="s">
        <v>1244</v>
      </c>
      <c r="C67" s="1098"/>
      <c r="D67" s="1098"/>
      <c r="E67" s="1098"/>
      <c r="F67" s="1098"/>
      <c r="G67" s="1098"/>
      <c r="H67" s="937">
        <f>'TT-02'!F156</f>
        <v>0</v>
      </c>
      <c r="I67" s="937">
        <f>+H67*0.1</f>
        <v>0</v>
      </c>
      <c r="K67" s="94"/>
    </row>
    <row r="68" spans="1:11" s="353" customFormat="1" hidden="1" outlineLevel="1">
      <c r="A68" s="929"/>
      <c r="B68" s="1098" t="s">
        <v>1245</v>
      </c>
      <c r="C68" s="1098"/>
      <c r="D68" s="1098"/>
      <c r="E68" s="1098"/>
      <c r="F68" s="1098"/>
      <c r="G68" s="1098"/>
      <c r="H68" s="923"/>
      <c r="I68" s="923"/>
      <c r="K68" s="94"/>
    </row>
    <row r="69" spans="1:11" s="353" customFormat="1" hidden="1" outlineLevel="1">
      <c r="A69" s="929"/>
      <c r="B69" s="1102" t="s">
        <v>1246</v>
      </c>
      <c r="C69" s="1102"/>
      <c r="D69" s="1102"/>
      <c r="E69" s="1102"/>
      <c r="F69" s="1102"/>
      <c r="G69" s="1102"/>
      <c r="H69" s="941">
        <f>+H60+H66</f>
        <v>-29412935.70010107</v>
      </c>
      <c r="I69" s="944">
        <f>+I61-I63+I66</f>
        <v>0</v>
      </c>
      <c r="K69" s="94"/>
    </row>
    <row r="70" spans="1:11" s="353" customFormat="1" hidden="1" outlineLevel="1">
      <c r="A70" s="929"/>
      <c r="B70" s="1102"/>
      <c r="C70" s="1102"/>
      <c r="D70" s="1102"/>
      <c r="E70" s="1102"/>
      <c r="F70" s="1102"/>
      <c r="G70" s="1102"/>
      <c r="H70" s="923" t="s">
        <v>261</v>
      </c>
      <c r="I70" s="923" t="s">
        <v>262</v>
      </c>
      <c r="K70" s="94"/>
    </row>
    <row r="71" spans="1:11" s="353" customFormat="1" hidden="1" outlineLevel="1">
      <c r="A71" s="929"/>
      <c r="B71" s="1102" t="s">
        <v>1247</v>
      </c>
      <c r="C71" s="1102"/>
      <c r="D71" s="1102"/>
      <c r="E71" s="1102"/>
      <c r="F71" s="1102"/>
      <c r="G71" s="1102"/>
      <c r="H71" s="940"/>
      <c r="I71" s="938"/>
      <c r="K71" s="94"/>
    </row>
    <row r="72" spans="1:11" s="353" customFormat="1" hidden="1" outlineLevel="1">
      <c r="A72" s="929"/>
      <c r="B72" s="1102" t="s">
        <v>1248</v>
      </c>
      <c r="C72" s="1102"/>
      <c r="D72" s="1102"/>
      <c r="E72" s="1102"/>
      <c r="F72" s="1102"/>
      <c r="G72" s="1102"/>
      <c r="H72" s="938"/>
      <c r="I72" s="945"/>
      <c r="K72" s="94"/>
    </row>
    <row r="73" spans="1:11" s="353" customFormat="1" hidden="1" outlineLevel="1">
      <c r="A73" s="929"/>
      <c r="B73" s="287"/>
      <c r="C73" s="287"/>
      <c r="D73" s="287"/>
      <c r="E73" s="287"/>
      <c r="F73" s="287"/>
      <c r="G73" s="287"/>
      <c r="H73" s="287"/>
      <c r="I73" s="287"/>
      <c r="K73" s="94"/>
    </row>
    <row r="74" spans="1:11" s="353" customFormat="1" hidden="1" outlineLevel="1">
      <c r="A74" s="929"/>
      <c r="B74" s="280"/>
      <c r="C74" s="238"/>
      <c r="D74" s="238"/>
      <c r="E74" s="238"/>
      <c r="F74" s="238"/>
      <c r="G74" s="238"/>
      <c r="H74" s="238"/>
      <c r="I74" s="238"/>
      <c r="K74" s="94"/>
    </row>
    <row r="75" spans="1:11" s="353" customFormat="1" hidden="1" outlineLevel="1">
      <c r="A75" s="929"/>
      <c r="B75" s="280"/>
      <c r="C75" s="238"/>
      <c r="D75" s="238"/>
      <c r="E75" s="238"/>
      <c r="F75" s="238"/>
      <c r="G75" s="238"/>
      <c r="H75" s="238"/>
      <c r="I75" s="238"/>
      <c r="K75" s="94"/>
    </row>
    <row r="76" spans="1:11" s="353" customFormat="1" hidden="1" outlineLevel="1">
      <c r="A76" s="929"/>
      <c r="B76" s="284" t="s">
        <v>1249</v>
      </c>
      <c r="C76" s="238"/>
      <c r="D76" s="238"/>
      <c r="E76" s="238"/>
      <c r="F76" s="284" t="s">
        <v>1083</v>
      </c>
      <c r="G76" s="238"/>
      <c r="H76" s="238"/>
      <c r="I76" s="238"/>
      <c r="K76" s="94"/>
    </row>
    <row r="77" spans="1:11" s="353" customFormat="1" hidden="1" outlineLevel="1">
      <c r="A77" s="929"/>
      <c r="B77" s="280"/>
      <c r="C77" s="238"/>
      <c r="D77" s="238"/>
      <c r="E77" s="238"/>
      <c r="F77" s="238"/>
      <c r="G77" s="238"/>
      <c r="H77" s="238"/>
      <c r="I77" s="238"/>
      <c r="K77" s="94"/>
    </row>
    <row r="78" spans="1:11" s="353" customFormat="1" hidden="1" outlineLevel="1">
      <c r="A78" s="929"/>
      <c r="B78" s="288" t="str">
        <f>+CONCATENATE('[5]company '!B25,  ". . . . . . .  . . . . . .  . . . . . . . . . . . . .",'[5]company '!C25)</f>
        <v>Ерөнхий захирал. . . . . . .  . . . . . .  . . . . . . . . . . . . ./Г.Солонго /</v>
      </c>
      <c r="C78" s="280"/>
      <c r="D78" s="136"/>
      <c r="E78" s="238"/>
      <c r="F78" s="280" t="s">
        <v>1250</v>
      </c>
      <c r="G78" s="238"/>
      <c r="H78" s="238"/>
      <c r="I78" s="238"/>
      <c r="K78" s="94"/>
    </row>
    <row r="79" spans="1:11" s="353" customFormat="1" hidden="1" outlineLevel="1">
      <c r="A79" s="929"/>
      <c r="B79" s="280"/>
      <c r="C79" s="238"/>
      <c r="D79" s="238"/>
      <c r="E79" s="238"/>
      <c r="F79" s="238"/>
      <c r="G79" s="238"/>
      <c r="H79" s="238"/>
      <c r="I79" s="238"/>
      <c r="K79" s="94"/>
    </row>
    <row r="80" spans="1:11" s="353" customFormat="1" hidden="1" outlineLevel="1">
      <c r="A80" s="929"/>
      <c r="B80" s="280" t="str">
        <f>+CONCATENATE('[5]company '!B28,"  . . . . . . . . . . . . . . . . .  ",'[5]company '!C28)</f>
        <v>Ерөнхий нягтлан бодогч  . . . . . . . . . . . . . . . . .  /Б.Түмэндэлгэр/</v>
      </c>
      <c r="C80" s="238"/>
      <c r="D80" s="136"/>
      <c r="E80" s="238"/>
      <c r="F80" s="238"/>
      <c r="G80" s="238"/>
      <c r="H80" s="238"/>
      <c r="I80" s="238"/>
      <c r="K80" s="94"/>
    </row>
    <row r="81" spans="1:13" s="353" customFormat="1" hidden="1" outlineLevel="1">
      <c r="A81" s="929"/>
      <c r="B81" s="280" t="s">
        <v>1003</v>
      </c>
      <c r="C81" s="238"/>
      <c r="D81" s="238"/>
      <c r="E81" s="238"/>
      <c r="F81" s="238"/>
      <c r="G81" s="238"/>
      <c r="H81" s="238"/>
      <c r="I81" s="238"/>
      <c r="K81" s="94"/>
      <c r="L81" s="94"/>
      <c r="M81" s="94"/>
    </row>
    <row r="82" spans="1:13" s="353" customFormat="1" hidden="1" outlineLevel="1">
      <c r="A82" s="929"/>
      <c r="B82" s="280" t="s">
        <v>1251</v>
      </c>
      <c r="C82" s="238"/>
      <c r="D82" s="238"/>
      <c r="E82" s="238"/>
      <c r="F82" s="280" t="s">
        <v>292</v>
      </c>
      <c r="G82" s="280" t="s">
        <v>1252</v>
      </c>
      <c r="H82" s="238"/>
      <c r="I82" s="238"/>
      <c r="K82" s="94"/>
      <c r="L82" s="94"/>
      <c r="M82" s="94"/>
    </row>
    <row r="83" spans="1:13" s="353" customFormat="1" hidden="1" outlineLevel="1">
      <c r="A83" s="929"/>
      <c r="B83" s="280"/>
      <c r="C83" s="238"/>
      <c r="D83" s="238"/>
      <c r="E83" s="238"/>
      <c r="F83" s="238"/>
      <c r="G83" s="238"/>
      <c r="H83" s="238"/>
      <c r="I83" s="238"/>
      <c r="K83" s="94"/>
      <c r="L83" s="94"/>
      <c r="M83" s="94"/>
    </row>
    <row r="84" spans="1:13" s="353" customFormat="1" hidden="1" outlineLevel="1">
      <c r="A84" s="929"/>
      <c r="B84" s="280" t="str">
        <f>+CONCATENATE('[5]company '!B23,'[5]company '!C23)</f>
        <v>Тайлант үе:2018.01.01-2018.09.30</v>
      </c>
      <c r="C84" s="280"/>
      <c r="D84" s="238"/>
      <c r="E84" s="238"/>
      <c r="F84" s="238"/>
      <c r="G84" s="238"/>
      <c r="H84" s="238"/>
      <c r="I84" s="238"/>
      <c r="K84" s="94"/>
      <c r="L84" s="94"/>
      <c r="M84" s="94"/>
    </row>
    <row r="85" spans="1:13" ht="14.25" customHeight="1" collapsed="1">
      <c r="A85" s="957" t="s">
        <v>2738</v>
      </c>
      <c r="B85" s="957"/>
    </row>
    <row r="86" spans="1:13" hidden="1" outlineLevel="1"/>
    <row r="87" spans="1:13" hidden="1" outlineLevel="1"/>
    <row r="88" spans="1:13" hidden="1" outlineLevel="1"/>
    <row r="89" spans="1:13" hidden="1" outlineLevel="1">
      <c r="B89" s="281"/>
      <c r="I89" s="282" t="s">
        <v>1195</v>
      </c>
    </row>
    <row r="90" spans="1:13" hidden="1" outlineLevel="1">
      <c r="B90" s="281"/>
      <c r="C90" s="136"/>
      <c r="I90" s="282" t="s">
        <v>1196</v>
      </c>
    </row>
    <row r="91" spans="1:13" hidden="1" outlineLevel="1">
      <c r="B91" s="283"/>
    </row>
    <row r="92" spans="1:13" hidden="1" outlineLevel="1">
      <c r="B92" s="283"/>
    </row>
    <row r="93" spans="1:13" ht="15.75" hidden="1" outlineLevel="1">
      <c r="B93" s="1114" t="s">
        <v>1197</v>
      </c>
      <c r="C93" s="1114"/>
      <c r="D93" s="1114"/>
      <c r="E93" s="1114"/>
      <c r="F93" s="1114"/>
      <c r="G93" s="1114"/>
      <c r="H93" s="1114"/>
      <c r="I93" s="1114"/>
    </row>
    <row r="94" spans="1:13" ht="16.5" hidden="1" outlineLevel="1" thickBot="1">
      <c r="B94" s="1115" t="s">
        <v>1198</v>
      </c>
      <c r="C94" s="1115"/>
      <c r="D94" s="1115"/>
      <c r="E94" s="1115"/>
      <c r="F94" s="1115"/>
      <c r="G94" s="1115"/>
      <c r="H94" s="1115"/>
      <c r="I94" s="1115"/>
    </row>
    <row r="95" spans="1:13" ht="13.5" hidden="1" outlineLevel="1" thickTop="1">
      <c r="B95" s="284"/>
    </row>
    <row r="96" spans="1:13" hidden="1" outlineLevel="1">
      <c r="B96" s="280" t="s">
        <v>2706</v>
      </c>
      <c r="C96" s="280"/>
    </row>
    <row r="97" spans="2:9" hidden="1" outlineLevel="1">
      <c r="B97" s="284"/>
    </row>
    <row r="98" spans="2:9" hidden="1" outlineLevel="1">
      <c r="B98" s="280" t="s">
        <v>2732</v>
      </c>
    </row>
    <row r="99" spans="2:9" hidden="1" outlineLevel="1">
      <c r="B99" s="280"/>
    </row>
    <row r="100" spans="2:9" hidden="1" outlineLevel="1">
      <c r="B100" s="280" t="s">
        <v>2733</v>
      </c>
    </row>
    <row r="101" spans="2:9" hidden="1" outlineLevel="1">
      <c r="B101" s="280" t="s">
        <v>2734</v>
      </c>
      <c r="C101" s="194"/>
      <c r="D101" s="194"/>
      <c r="E101" s="194"/>
      <c r="F101" s="194"/>
      <c r="G101" s="194"/>
      <c r="H101" s="196"/>
      <c r="I101" s="196"/>
    </row>
    <row r="102" spans="2:9" hidden="1" outlineLevel="1">
      <c r="B102" s="280" t="s">
        <v>2735</v>
      </c>
      <c r="C102" s="194"/>
      <c r="D102" s="194"/>
      <c r="E102" s="194"/>
      <c r="F102" s="194"/>
      <c r="G102" s="194"/>
      <c r="H102" s="196"/>
      <c r="I102" s="196"/>
    </row>
    <row r="103" spans="2:9" hidden="1" outlineLevel="1">
      <c r="B103" s="280" t="s">
        <v>2736</v>
      </c>
      <c r="C103" s="194"/>
      <c r="D103" s="194"/>
      <c r="E103" s="194"/>
      <c r="F103" s="194"/>
      <c r="G103" s="194"/>
      <c r="H103" s="196"/>
      <c r="I103" s="196"/>
    </row>
    <row r="104" spans="2:9" hidden="1" outlineLevel="1">
      <c r="B104" s="280" t="s">
        <v>2737</v>
      </c>
      <c r="C104" s="194"/>
      <c r="D104" s="195"/>
      <c r="E104" s="194"/>
      <c r="F104" s="194"/>
      <c r="G104" s="194"/>
      <c r="H104" s="196"/>
      <c r="I104" s="196"/>
    </row>
    <row r="105" spans="2:9" hidden="1" outlineLevel="1">
      <c r="B105" s="280"/>
      <c r="C105" s="194"/>
      <c r="D105" s="194"/>
      <c r="E105" s="194"/>
      <c r="F105" s="194"/>
      <c r="G105" s="194"/>
      <c r="H105" s="196"/>
      <c r="I105" s="196"/>
    </row>
    <row r="106" spans="2:9" hidden="1" outlineLevel="1">
      <c r="B106" s="280" t="s">
        <v>1199</v>
      </c>
      <c r="C106" s="285"/>
      <c r="D106" s="280" t="s">
        <v>1200</v>
      </c>
    </row>
    <row r="107" spans="2:9" hidden="1" outlineLevel="1">
      <c r="B107" s="280"/>
    </row>
    <row r="108" spans="2:9" hidden="1" outlineLevel="1">
      <c r="B108" s="1116" t="s">
        <v>1201</v>
      </c>
      <c r="C108" s="1116"/>
      <c r="D108" s="1116"/>
      <c r="E108" s="1116"/>
      <c r="F108" s="1116"/>
      <c r="G108" s="1116"/>
      <c r="H108" s="1116"/>
      <c r="I108" s="932">
        <f>+IS!E24+IS!F24</f>
        <v>-63944364.23824922</v>
      </c>
    </row>
    <row r="109" spans="2:9" hidden="1" outlineLevel="1">
      <c r="B109" s="925"/>
      <c r="C109" s="1102"/>
      <c r="D109" s="1102"/>
      <c r="E109" s="1102"/>
      <c r="F109" s="1102"/>
      <c r="G109" s="1102"/>
      <c r="H109" s="1102"/>
      <c r="I109" s="1102"/>
    </row>
    <row r="110" spans="2:9" hidden="1" outlineLevel="1">
      <c r="B110" s="928" t="s">
        <v>1202</v>
      </c>
      <c r="C110" s="1102" t="s">
        <v>1203</v>
      </c>
      <c r="D110" s="1102"/>
      <c r="E110" s="1102"/>
      <c r="F110" s="1102"/>
      <c r="G110" s="1102"/>
      <c r="H110" s="1102"/>
      <c r="I110" s="1102"/>
    </row>
    <row r="111" spans="2:9" ht="13.5" hidden="1" outlineLevel="1">
      <c r="B111" s="928">
        <v>1</v>
      </c>
      <c r="C111" s="1117" t="s">
        <v>1204</v>
      </c>
      <c r="D111" s="1117"/>
      <c r="E111" s="928" t="s">
        <v>21</v>
      </c>
      <c r="F111" s="926">
        <v>2</v>
      </c>
      <c r="G111" s="1117" t="s">
        <v>1205</v>
      </c>
      <c r="H111" s="1117"/>
      <c r="I111" s="926" t="s">
        <v>21</v>
      </c>
    </row>
    <row r="112" spans="2:9" hidden="1" outlineLevel="1">
      <c r="B112" s="1105">
        <v>1.1000000000000001</v>
      </c>
      <c r="C112" s="1105" t="s">
        <v>1206</v>
      </c>
      <c r="D112" s="1105"/>
      <c r="E112" s="1104"/>
      <c r="F112" s="1105">
        <v>2.1</v>
      </c>
      <c r="G112" s="1106" t="s">
        <v>1207</v>
      </c>
      <c r="H112" s="1107"/>
      <c r="I112" s="1104"/>
    </row>
    <row r="113" spans="2:9" hidden="1" outlineLevel="1">
      <c r="B113" s="1105"/>
      <c r="C113" s="1110" t="s">
        <v>2747</v>
      </c>
      <c r="D113" s="1111"/>
      <c r="E113" s="1104"/>
      <c r="F113" s="1105"/>
      <c r="G113" s="1108"/>
      <c r="H113" s="1109"/>
      <c r="I113" s="1104"/>
    </row>
    <row r="114" spans="2:9" hidden="1" outlineLevel="1">
      <c r="B114" s="922"/>
      <c r="C114" s="1112" t="s">
        <v>2748</v>
      </c>
      <c r="D114" s="1112"/>
      <c r="E114" s="923"/>
      <c r="F114" s="922">
        <v>2.2000000000000002</v>
      </c>
      <c r="G114" s="1112" t="s">
        <v>1208</v>
      </c>
      <c r="H114" s="1112"/>
      <c r="I114" s="923"/>
    </row>
    <row r="115" spans="2:9" hidden="1" outlineLevel="1">
      <c r="B115" s="922"/>
      <c r="C115" s="1112" t="s">
        <v>2749</v>
      </c>
      <c r="D115" s="1112"/>
      <c r="E115" s="923"/>
      <c r="F115" s="922">
        <v>2.2999999999999998</v>
      </c>
      <c r="G115" s="1112" t="s">
        <v>1209</v>
      </c>
      <c r="H115" s="1112"/>
      <c r="I115" s="927">
        <f>+IS!E11+IS!F11</f>
        <v>0</v>
      </c>
    </row>
    <row r="116" spans="2:9" hidden="1" outlineLevel="1">
      <c r="B116" s="922"/>
      <c r="C116" s="1112" t="s">
        <v>2750</v>
      </c>
      <c r="D116" s="1112"/>
      <c r="E116" s="923"/>
      <c r="F116" s="922">
        <v>2.4</v>
      </c>
      <c r="G116" s="1112" t="s">
        <v>1210</v>
      </c>
      <c r="H116" s="1112"/>
      <c r="I116" s="923">
        <f>+'TT-02'!G162+'TT-02'!G164+'TT-02'!G166+'TT-02'!G168</f>
        <v>0</v>
      </c>
    </row>
    <row r="117" spans="2:9" hidden="1" outlineLevel="1">
      <c r="B117" s="922"/>
      <c r="C117" s="1112"/>
      <c r="D117" s="1112"/>
      <c r="E117" s="923"/>
      <c r="F117" s="922">
        <v>2.5</v>
      </c>
      <c r="G117" s="1112"/>
      <c r="H117" s="1112"/>
      <c r="I117" s="923"/>
    </row>
    <row r="118" spans="2:9" hidden="1" outlineLevel="1">
      <c r="B118" s="922">
        <v>1.2</v>
      </c>
      <c r="C118" s="1112" t="s">
        <v>1211</v>
      </c>
      <c r="D118" s="1112"/>
      <c r="E118" s="923"/>
      <c r="F118" s="922">
        <v>2.6</v>
      </c>
      <c r="G118" s="1112" t="s">
        <v>1212</v>
      </c>
      <c r="H118" s="1112"/>
      <c r="I118" s="923">
        <f>+IS!E14+IS!F14</f>
        <v>0</v>
      </c>
    </row>
    <row r="119" spans="2:9" hidden="1" outlineLevel="1">
      <c r="B119" s="922"/>
      <c r="C119" s="1112" t="s">
        <v>2751</v>
      </c>
      <c r="D119" s="1112"/>
      <c r="E119" s="923"/>
      <c r="F119" s="922"/>
      <c r="G119" s="1112"/>
      <c r="H119" s="1112"/>
      <c r="I119" s="923"/>
    </row>
    <row r="120" spans="2:9" hidden="1" outlineLevel="1">
      <c r="B120" s="922"/>
      <c r="C120" s="1112"/>
      <c r="D120" s="1112"/>
      <c r="E120" s="923"/>
      <c r="F120" s="922"/>
      <c r="G120" s="1112"/>
      <c r="H120" s="1112"/>
      <c r="I120" s="923"/>
    </row>
    <row r="121" spans="2:9" hidden="1" outlineLevel="1">
      <c r="B121" s="922">
        <v>1.3</v>
      </c>
      <c r="C121" s="1112" t="s">
        <v>1213</v>
      </c>
      <c r="D121" s="1112"/>
      <c r="E121" s="923"/>
      <c r="F121" s="922"/>
      <c r="G121" s="1112"/>
      <c r="H121" s="1112"/>
      <c r="I121" s="923"/>
    </row>
    <row r="122" spans="2:9" hidden="1" outlineLevel="1">
      <c r="B122" s="922">
        <v>1.4</v>
      </c>
      <c r="C122" s="1112" t="s">
        <v>1214</v>
      </c>
      <c r="D122" s="1112"/>
      <c r="E122" s="923"/>
      <c r="F122" s="922"/>
      <c r="G122" s="1112"/>
      <c r="H122" s="1112"/>
      <c r="I122" s="923"/>
    </row>
    <row r="123" spans="2:9" hidden="1" outlineLevel="1">
      <c r="B123" s="922">
        <v>1.5</v>
      </c>
      <c r="C123" s="1112" t="s">
        <v>1215</v>
      </c>
      <c r="D123" s="1112"/>
      <c r="E123" s="923"/>
      <c r="F123" s="922"/>
      <c r="G123" s="1112"/>
      <c r="H123" s="1112"/>
      <c r="I123" s="923"/>
    </row>
    <row r="124" spans="2:9" hidden="1" outlineLevel="1">
      <c r="B124" s="922">
        <v>1.6</v>
      </c>
      <c r="C124" s="1112" t="s">
        <v>1216</v>
      </c>
      <c r="D124" s="1112"/>
      <c r="E124" s="923">
        <f>+IS!E18+IS!F18</f>
        <v>0</v>
      </c>
      <c r="F124" s="922"/>
      <c r="G124" s="1112"/>
      <c r="H124" s="1112"/>
      <c r="I124" s="923"/>
    </row>
    <row r="125" spans="2:9" hidden="1" outlineLevel="1">
      <c r="B125" s="922"/>
      <c r="C125" s="1112"/>
      <c r="D125" s="1112"/>
      <c r="E125" s="923"/>
      <c r="F125" s="922"/>
      <c r="G125" s="1112"/>
      <c r="H125" s="1112"/>
      <c r="I125" s="923"/>
    </row>
    <row r="126" spans="2:9" hidden="1" outlineLevel="1">
      <c r="B126" s="922" t="s">
        <v>1217</v>
      </c>
      <c r="C126" s="1112" t="s">
        <v>21</v>
      </c>
      <c r="D126" s="1112"/>
      <c r="E126" s="923">
        <f>SUM(E112:E125)</f>
        <v>0</v>
      </c>
      <c r="F126" s="922" t="s">
        <v>1218</v>
      </c>
      <c r="G126" s="1105" t="s">
        <v>5</v>
      </c>
      <c r="H126" s="1105"/>
      <c r="I126" s="923">
        <f>SUM(I112:I125)</f>
        <v>0</v>
      </c>
    </row>
    <row r="127" spans="2:9" hidden="1" outlineLevel="1">
      <c r="B127" s="928" t="s">
        <v>1219</v>
      </c>
      <c r="C127" s="1113" t="s">
        <v>1328</v>
      </c>
      <c r="D127" s="1113"/>
      <c r="E127" s="1113"/>
      <c r="F127" s="1113"/>
      <c r="G127" s="1113"/>
      <c r="H127" s="1113"/>
      <c r="I127" s="927">
        <f>I108+E126-I126</f>
        <v>-63944364.23824922</v>
      </c>
    </row>
    <row r="128" spans="2:9" hidden="1" outlineLevel="1">
      <c r="B128" s="922" t="s">
        <v>1220</v>
      </c>
      <c r="C128" s="1112" t="s">
        <v>1329</v>
      </c>
      <c r="D128" s="1112"/>
      <c r="E128" s="1112"/>
      <c r="F128" s="1112"/>
      <c r="G128" s="1112"/>
      <c r="H128" s="1112"/>
      <c r="I128" s="923">
        <f>IF(I127&gt;0,I127*0.1,0)</f>
        <v>0</v>
      </c>
    </row>
    <row r="129" spans="2:9" hidden="1" outlineLevel="1">
      <c r="B129" s="922" t="s">
        <v>1221</v>
      </c>
      <c r="C129" s="1112" t="s">
        <v>1222</v>
      </c>
      <c r="D129" s="1112"/>
      <c r="E129" s="1112"/>
      <c r="F129" s="1112"/>
      <c r="G129" s="1112"/>
      <c r="H129" s="1112"/>
      <c r="I129" s="923"/>
    </row>
    <row r="130" spans="2:9" hidden="1" outlineLevel="1">
      <c r="B130" s="922" t="s">
        <v>1223</v>
      </c>
      <c r="C130" s="1112" t="s">
        <v>1224</v>
      </c>
      <c r="D130" s="1112"/>
      <c r="E130" s="1112"/>
      <c r="F130" s="1112"/>
      <c r="G130" s="1112"/>
      <c r="H130" s="1112"/>
      <c r="I130" s="923">
        <f>+I128+I129</f>
        <v>0</v>
      </c>
    </row>
    <row r="131" spans="2:9" hidden="1" outlineLevel="1">
      <c r="B131" s="928" t="s">
        <v>1225</v>
      </c>
      <c r="C131" s="1102" t="s">
        <v>1226</v>
      </c>
      <c r="D131" s="1102"/>
      <c r="E131" s="1102"/>
      <c r="F131" s="1102"/>
      <c r="G131" s="1102"/>
      <c r="H131" s="1102"/>
      <c r="I131" s="1102"/>
    </row>
    <row r="132" spans="2:9" ht="13.5" hidden="1" outlineLevel="1">
      <c r="B132" s="928">
        <v>3</v>
      </c>
      <c r="C132" s="1121" t="s">
        <v>1204</v>
      </c>
      <c r="D132" s="1121"/>
      <c r="E132" s="928" t="s">
        <v>21</v>
      </c>
      <c r="F132" s="925"/>
      <c r="G132" s="1121" t="s">
        <v>1205</v>
      </c>
      <c r="H132" s="1121"/>
      <c r="I132" s="928" t="s">
        <v>21</v>
      </c>
    </row>
    <row r="133" spans="2:9" hidden="1" outlineLevel="1">
      <c r="B133" s="1118">
        <v>3.1</v>
      </c>
      <c r="C133" s="1112" t="s">
        <v>1227</v>
      </c>
      <c r="D133" s="1112"/>
      <c r="E133" s="924"/>
      <c r="F133" s="1119">
        <v>4.0999999999999996</v>
      </c>
      <c r="G133" s="1112" t="s">
        <v>1228</v>
      </c>
      <c r="H133" s="1112"/>
      <c r="I133" s="1098"/>
    </row>
    <row r="134" spans="2:9" hidden="1" outlineLevel="1">
      <c r="B134" s="1118"/>
      <c r="C134" s="1112" t="s">
        <v>1229</v>
      </c>
      <c r="D134" s="1112"/>
      <c r="E134" s="924"/>
      <c r="F134" s="1119"/>
      <c r="G134" s="1112"/>
      <c r="H134" s="1112"/>
      <c r="I134" s="1098"/>
    </row>
    <row r="135" spans="2:9" ht="25.5" hidden="1" customHeight="1" outlineLevel="1">
      <c r="B135" s="922">
        <v>3.2</v>
      </c>
      <c r="C135" s="1112" t="s">
        <v>1230</v>
      </c>
      <c r="D135" s="1112"/>
      <c r="E135" s="664">
        <f>+STAT1!R205+STAT2!R205</f>
        <v>8783.9599999999991</v>
      </c>
      <c r="F135" s="933">
        <v>4.2</v>
      </c>
      <c r="G135" s="1112" t="s">
        <v>1231</v>
      </c>
      <c r="H135" s="1112"/>
      <c r="I135" s="934">
        <f>+STAT1!S198+STAT2!S198</f>
        <v>23822.04</v>
      </c>
    </row>
    <row r="136" spans="2:9" hidden="1" outlineLevel="1">
      <c r="B136" s="922">
        <v>3.3</v>
      </c>
      <c r="C136" s="1098" t="s">
        <v>1212</v>
      </c>
      <c r="D136" s="1098"/>
      <c r="E136" s="924"/>
      <c r="F136" s="935">
        <v>4.3</v>
      </c>
      <c r="G136" s="1112" t="s">
        <v>1212</v>
      </c>
      <c r="H136" s="1112"/>
      <c r="I136" s="663"/>
    </row>
    <row r="137" spans="2:9" hidden="1" outlineLevel="1">
      <c r="B137" s="922">
        <v>3.4</v>
      </c>
      <c r="C137" s="1098"/>
      <c r="D137" s="1098"/>
      <c r="E137" s="924"/>
      <c r="F137" s="935">
        <v>4.4000000000000004</v>
      </c>
      <c r="G137" s="1120"/>
      <c r="H137" s="1120"/>
      <c r="I137" s="663"/>
    </row>
    <row r="138" spans="2:9" hidden="1" outlineLevel="1">
      <c r="B138" s="922">
        <v>3.5</v>
      </c>
      <c r="C138" s="1098"/>
      <c r="D138" s="1098"/>
      <c r="E138" s="924"/>
      <c r="F138" s="935">
        <v>4.5</v>
      </c>
      <c r="G138" s="1120"/>
      <c r="H138" s="1120"/>
      <c r="I138" s="663"/>
    </row>
    <row r="139" spans="2:9" hidden="1" outlineLevel="1">
      <c r="B139" s="922" t="s">
        <v>1232</v>
      </c>
      <c r="C139" s="1098" t="s">
        <v>1233</v>
      </c>
      <c r="D139" s="1098"/>
      <c r="E139" s="936">
        <f>SUM(E133:E136)</f>
        <v>8783.9599999999991</v>
      </c>
      <c r="F139" s="935" t="s">
        <v>2752</v>
      </c>
      <c r="G139" s="1112" t="s">
        <v>1233</v>
      </c>
      <c r="H139" s="1112"/>
      <c r="I139" s="923">
        <f>SUM(I133:I136)</f>
        <v>23822.04</v>
      </c>
    </row>
    <row r="140" spans="2:9" hidden="1" outlineLevel="1">
      <c r="B140" s="1099"/>
      <c r="C140" s="1099"/>
      <c r="D140" s="1099"/>
      <c r="E140" s="1099"/>
      <c r="F140" s="1099"/>
      <c r="G140" s="1099"/>
      <c r="H140" s="1100" t="s">
        <v>2753</v>
      </c>
      <c r="I140" s="1100" t="s">
        <v>1234</v>
      </c>
    </row>
    <row r="141" spans="2:9" hidden="1" outlineLevel="1">
      <c r="B141" s="1099"/>
      <c r="C141" s="1099"/>
      <c r="D141" s="1099"/>
      <c r="E141" s="1099"/>
      <c r="F141" s="1099"/>
      <c r="G141" s="1099"/>
      <c r="H141" s="1101"/>
      <c r="I141" s="1101"/>
    </row>
    <row r="142" spans="2:9" hidden="1" outlineLevel="1">
      <c r="B142" s="1102" t="s">
        <v>1235</v>
      </c>
      <c r="C142" s="1102"/>
      <c r="D142" s="1102"/>
      <c r="E142" s="1102"/>
      <c r="F142" s="1102"/>
      <c r="G142" s="1102"/>
      <c r="H142" s="937">
        <f>+I127+E139-I139</f>
        <v>-63959402.318249218</v>
      </c>
      <c r="I142" s="938"/>
    </row>
    <row r="143" spans="2:9" hidden="1" outlineLevel="1">
      <c r="B143" s="1098" t="s">
        <v>1236</v>
      </c>
      <c r="C143" s="1098"/>
      <c r="D143" s="1098"/>
      <c r="E143" s="1098"/>
      <c r="F143" s="1098"/>
      <c r="G143" s="1098"/>
      <c r="H143" s="937"/>
      <c r="I143" s="939"/>
    </row>
    <row r="144" spans="2:9" hidden="1" outlineLevel="1">
      <c r="B144" s="1103" t="s">
        <v>1237</v>
      </c>
      <c r="C144" s="1103"/>
      <c r="D144" s="1103"/>
      <c r="E144" s="1103"/>
      <c r="F144" s="1103"/>
      <c r="G144" s="1103"/>
      <c r="H144" s="940">
        <v>0</v>
      </c>
      <c r="I144" s="938"/>
    </row>
    <row r="145" spans="2:9" hidden="1" outlineLevel="1">
      <c r="B145" s="1103" t="s">
        <v>1238</v>
      </c>
      <c r="C145" s="1103"/>
      <c r="D145" s="1103"/>
      <c r="E145" s="1103"/>
      <c r="F145" s="1103"/>
      <c r="G145" s="1103"/>
      <c r="H145" s="940">
        <v>0</v>
      </c>
      <c r="I145" s="938"/>
    </row>
    <row r="146" spans="2:9" hidden="1" outlineLevel="1">
      <c r="B146" s="1102" t="s">
        <v>1239</v>
      </c>
      <c r="C146" s="1102"/>
      <c r="D146" s="1102"/>
      <c r="E146" s="1102"/>
      <c r="F146" s="1102"/>
      <c r="G146" s="1102"/>
      <c r="H146" s="941">
        <f>+H142+H144-H145</f>
        <v>-63959402.318249218</v>
      </c>
      <c r="I146" s="938"/>
    </row>
    <row r="147" spans="2:9" hidden="1" outlineLevel="1">
      <c r="B147" s="1102" t="s">
        <v>1330</v>
      </c>
      <c r="C147" s="1102"/>
      <c r="D147" s="1102"/>
      <c r="E147" s="1102"/>
      <c r="F147" s="1102"/>
      <c r="G147" s="1102"/>
      <c r="H147" s="938"/>
      <c r="I147" s="942">
        <f>IF(H146&gt;0,H146*0.1,0)</f>
        <v>0</v>
      </c>
    </row>
    <row r="148" spans="2:9" hidden="1" outlineLevel="1">
      <c r="B148" s="1098" t="s">
        <v>1240</v>
      </c>
      <c r="C148" s="1098"/>
      <c r="D148" s="1098"/>
      <c r="E148" s="1098"/>
      <c r="F148" s="1098"/>
      <c r="G148" s="1098"/>
      <c r="H148" s="938"/>
      <c r="I148" s="943"/>
    </row>
    <row r="149" spans="2:9" hidden="1" outlineLevel="1">
      <c r="B149" s="1102" t="s">
        <v>1241</v>
      </c>
      <c r="C149" s="1102"/>
      <c r="D149" s="1102"/>
      <c r="E149" s="1102"/>
      <c r="F149" s="1102"/>
      <c r="G149" s="1102"/>
      <c r="H149" s="938"/>
      <c r="I149" s="940"/>
    </row>
    <row r="150" spans="2:9" hidden="1" outlineLevel="1">
      <c r="B150" s="1112" t="s">
        <v>1242</v>
      </c>
      <c r="C150" s="1112"/>
      <c r="D150" s="1112"/>
      <c r="E150" s="1112"/>
      <c r="F150" s="1112"/>
      <c r="G150" s="1112"/>
      <c r="H150" s="938"/>
      <c r="I150" s="940"/>
    </row>
    <row r="151" spans="2:9" hidden="1" outlineLevel="1">
      <c r="B151" s="1112" t="s">
        <v>1242</v>
      </c>
      <c r="C151" s="1112"/>
      <c r="D151" s="1112"/>
      <c r="E151" s="1112"/>
      <c r="F151" s="1112"/>
      <c r="G151" s="1112"/>
      <c r="H151" s="938"/>
      <c r="I151" s="940"/>
    </row>
    <row r="152" spans="2:9" hidden="1" outlineLevel="1">
      <c r="B152" s="1102" t="s">
        <v>1243</v>
      </c>
      <c r="C152" s="1102"/>
      <c r="D152" s="1102"/>
      <c r="E152" s="1102"/>
      <c r="F152" s="1102"/>
      <c r="G152" s="1102"/>
      <c r="H152" s="941">
        <f>SUM(H153:H154)</f>
        <v>0</v>
      </c>
      <c r="I152" s="941">
        <f>SUM(I153:I154)</f>
        <v>0</v>
      </c>
    </row>
    <row r="153" spans="2:9" hidden="1" outlineLevel="1">
      <c r="B153" s="1098" t="s">
        <v>1244</v>
      </c>
      <c r="C153" s="1098"/>
      <c r="D153" s="1098"/>
      <c r="E153" s="1098"/>
      <c r="F153" s="1098"/>
      <c r="G153" s="1098"/>
      <c r="H153" s="937">
        <f>+IS!E11+IS!F11</f>
        <v>0</v>
      </c>
      <c r="I153" s="937">
        <f>+H153*0.1</f>
        <v>0</v>
      </c>
    </row>
    <row r="154" spans="2:9" hidden="1" outlineLevel="1">
      <c r="B154" s="1098" t="s">
        <v>1245</v>
      </c>
      <c r="C154" s="1098"/>
      <c r="D154" s="1098"/>
      <c r="E154" s="1098"/>
      <c r="F154" s="1098"/>
      <c r="G154" s="1098"/>
      <c r="H154" s="923"/>
      <c r="I154" s="923"/>
    </row>
    <row r="155" spans="2:9" hidden="1" outlineLevel="1">
      <c r="B155" s="1102" t="s">
        <v>1246</v>
      </c>
      <c r="C155" s="1102"/>
      <c r="D155" s="1102"/>
      <c r="E155" s="1102"/>
      <c r="F155" s="1102"/>
      <c r="G155" s="1102"/>
      <c r="H155" s="941">
        <f>+H146+H152</f>
        <v>-63959402.318249218</v>
      </c>
      <c r="I155" s="944">
        <f>+I147-I149+I152</f>
        <v>0</v>
      </c>
    </row>
    <row r="156" spans="2:9" hidden="1" outlineLevel="1">
      <c r="B156" s="1102"/>
      <c r="C156" s="1102"/>
      <c r="D156" s="1102"/>
      <c r="E156" s="1102"/>
      <c r="F156" s="1102"/>
      <c r="G156" s="1102"/>
      <c r="H156" s="923" t="s">
        <v>261</v>
      </c>
      <c r="I156" s="923" t="s">
        <v>262</v>
      </c>
    </row>
    <row r="157" spans="2:9" hidden="1" outlineLevel="1">
      <c r="B157" s="1102" t="s">
        <v>1247</v>
      </c>
      <c r="C157" s="1102"/>
      <c r="D157" s="1102"/>
      <c r="E157" s="1102"/>
      <c r="F157" s="1102"/>
      <c r="G157" s="1102"/>
      <c r="H157" s="940"/>
      <c r="I157" s="938"/>
    </row>
    <row r="158" spans="2:9" hidden="1" outlineLevel="1">
      <c r="B158" s="1102" t="s">
        <v>1248</v>
      </c>
      <c r="C158" s="1102"/>
      <c r="D158" s="1102"/>
      <c r="E158" s="1102"/>
      <c r="F158" s="1102"/>
      <c r="G158" s="1102"/>
      <c r="H158" s="938"/>
      <c r="I158" s="945"/>
    </row>
    <row r="159" spans="2:9" hidden="1" outlineLevel="1">
      <c r="B159" s="287"/>
      <c r="C159" s="287"/>
      <c r="D159" s="287"/>
      <c r="E159" s="287"/>
      <c r="F159" s="287"/>
      <c r="G159" s="287"/>
      <c r="H159" s="287"/>
      <c r="I159" s="287"/>
    </row>
    <row r="160" spans="2:9" hidden="1" outlineLevel="1">
      <c r="B160" s="280"/>
    </row>
    <row r="161" spans="1:9" hidden="1" outlineLevel="1">
      <c r="B161" s="280"/>
    </row>
    <row r="162" spans="1:9" hidden="1" outlineLevel="1">
      <c r="B162" s="284" t="s">
        <v>1249</v>
      </c>
      <c r="F162" s="284" t="s">
        <v>1083</v>
      </c>
    </row>
    <row r="163" spans="1:9" hidden="1" outlineLevel="1">
      <c r="B163" s="280"/>
    </row>
    <row r="164" spans="1:9" hidden="1" outlineLevel="1">
      <c r="B164" s="288" t="str">
        <f>+CONCATENATE('[5]company '!B113,  ". . . . . . .  . . . . . .  . . . . . . . . . . . . .",'[5]company '!C113)</f>
        <v>. . . . . . .  . . . . . .  . . . . . . . . . . . . .</v>
      </c>
      <c r="C164" s="280"/>
      <c r="D164" s="136"/>
      <c r="F164" s="280" t="s">
        <v>1250</v>
      </c>
    </row>
    <row r="165" spans="1:9" hidden="1" outlineLevel="1">
      <c r="B165" s="280"/>
    </row>
    <row r="166" spans="1:9" hidden="1" outlineLevel="1">
      <c r="B166" s="280" t="str">
        <f>+CONCATENATE('[5]company '!B116,"  . . . . . . . . . . . . . . . . .  ",'[5]company '!C116)</f>
        <v xml:space="preserve">  . . . . . . . . . . . . . . . . .  </v>
      </c>
      <c r="D166" s="136"/>
    </row>
    <row r="167" spans="1:9" hidden="1" outlineLevel="1">
      <c r="B167" s="280" t="s">
        <v>1003</v>
      </c>
    </row>
    <row r="168" spans="1:9" hidden="1" outlineLevel="1">
      <c r="B168" s="280" t="s">
        <v>1251</v>
      </c>
      <c r="F168" s="280" t="s">
        <v>292</v>
      </c>
      <c r="G168" s="280" t="s">
        <v>1252</v>
      </c>
    </row>
    <row r="169" spans="1:9" hidden="1" outlineLevel="1">
      <c r="B169" s="280"/>
    </row>
    <row r="170" spans="1:9" collapsed="1">
      <c r="A170" s="957" t="s">
        <v>2739</v>
      </c>
      <c r="B170" s="957"/>
      <c r="C170" s="280"/>
    </row>
    <row r="171" spans="1:9" hidden="1" outlineLevel="1">
      <c r="B171" s="281"/>
      <c r="I171" s="282" t="s">
        <v>1195</v>
      </c>
    </row>
    <row r="172" spans="1:9" hidden="1" outlineLevel="1">
      <c r="B172" s="281"/>
      <c r="C172" s="136"/>
      <c r="I172" s="282" t="s">
        <v>1196</v>
      </c>
    </row>
    <row r="173" spans="1:9" hidden="1" outlineLevel="1">
      <c r="B173" s="283"/>
    </row>
    <row r="174" spans="1:9" hidden="1" outlineLevel="1">
      <c r="B174" s="283"/>
    </row>
    <row r="175" spans="1:9" ht="15.75" hidden="1" outlineLevel="1">
      <c r="B175" s="1114" t="s">
        <v>1197</v>
      </c>
      <c r="C175" s="1114"/>
      <c r="D175" s="1114"/>
      <c r="E175" s="1114"/>
      <c r="F175" s="1114"/>
      <c r="G175" s="1114"/>
      <c r="H175" s="1114"/>
      <c r="I175" s="1114"/>
    </row>
    <row r="176" spans="1:9" ht="16.5" hidden="1" outlineLevel="1" thickBot="1">
      <c r="B176" s="1115" t="s">
        <v>1198</v>
      </c>
      <c r="C176" s="1115"/>
      <c r="D176" s="1115"/>
      <c r="E176" s="1115"/>
      <c r="F176" s="1115"/>
      <c r="G176" s="1115"/>
      <c r="H176" s="1115"/>
      <c r="I176" s="1115"/>
    </row>
    <row r="177" spans="2:9" ht="13.5" hidden="1" outlineLevel="1" thickTop="1">
      <c r="B177" s="284"/>
    </row>
    <row r="178" spans="2:9" hidden="1" outlineLevel="1">
      <c r="B178" s="280" t="s">
        <v>2706</v>
      </c>
      <c r="C178" s="280"/>
    </row>
    <row r="179" spans="2:9" hidden="1" outlineLevel="1">
      <c r="B179" s="284"/>
    </row>
    <row r="180" spans="2:9" hidden="1" outlineLevel="1">
      <c r="B180" s="280" t="s">
        <v>2732</v>
      </c>
    </row>
    <row r="181" spans="2:9" hidden="1" outlineLevel="1">
      <c r="B181" s="280"/>
    </row>
    <row r="182" spans="2:9" hidden="1" outlineLevel="1">
      <c r="B182" s="280" t="s">
        <v>2733</v>
      </c>
    </row>
    <row r="183" spans="2:9" hidden="1" outlineLevel="1">
      <c r="B183" s="280" t="s">
        <v>2734</v>
      </c>
      <c r="C183" s="194"/>
      <c r="D183" s="194"/>
      <c r="E183" s="194"/>
      <c r="F183" s="194"/>
      <c r="G183" s="194"/>
      <c r="H183" s="196"/>
      <c r="I183" s="196"/>
    </row>
    <row r="184" spans="2:9" hidden="1" outlineLevel="1">
      <c r="B184" s="280" t="s">
        <v>2735</v>
      </c>
      <c r="C184" s="194"/>
      <c r="D184" s="194"/>
      <c r="E184" s="194"/>
      <c r="F184" s="194"/>
      <c r="G184" s="194"/>
      <c r="H184" s="196"/>
      <c r="I184" s="196"/>
    </row>
    <row r="185" spans="2:9" hidden="1" outlineLevel="1">
      <c r="B185" s="280" t="s">
        <v>2736</v>
      </c>
      <c r="C185" s="194"/>
      <c r="D185" s="194"/>
      <c r="E185" s="194"/>
      <c r="F185" s="194"/>
      <c r="G185" s="194"/>
      <c r="H185" s="196"/>
      <c r="I185" s="196"/>
    </row>
    <row r="186" spans="2:9" hidden="1" outlineLevel="1">
      <c r="B186" s="280" t="s">
        <v>2737</v>
      </c>
      <c r="C186" s="194"/>
      <c r="D186" s="195"/>
      <c r="E186" s="194"/>
      <c r="F186" s="194"/>
      <c r="G186" s="194"/>
      <c r="H186" s="196"/>
      <c r="I186" s="196"/>
    </row>
    <row r="187" spans="2:9" hidden="1" outlineLevel="1">
      <c r="B187" s="280"/>
      <c r="C187" s="194"/>
      <c r="D187" s="194"/>
      <c r="E187" s="194"/>
      <c r="F187" s="194"/>
      <c r="G187" s="194"/>
      <c r="H187" s="196"/>
      <c r="I187" s="196"/>
    </row>
    <row r="188" spans="2:9" hidden="1" outlineLevel="1">
      <c r="B188" s="280" t="s">
        <v>1199</v>
      </c>
      <c r="C188" s="285"/>
      <c r="D188" s="280" t="s">
        <v>1200</v>
      </c>
    </row>
    <row r="189" spans="2:9" hidden="1" outlineLevel="1">
      <c r="B189" s="280"/>
    </row>
    <row r="190" spans="2:9" hidden="1" outlineLevel="1">
      <c r="B190" s="1116" t="s">
        <v>1201</v>
      </c>
      <c r="C190" s="1116"/>
      <c r="D190" s="1116"/>
      <c r="E190" s="1116"/>
      <c r="F190" s="1116"/>
      <c r="G190" s="1116"/>
      <c r="H190" s="1116"/>
      <c r="I190" s="932">
        <f>+IS!I24</f>
        <v>-2910619.7326731938</v>
      </c>
    </row>
    <row r="191" spans="2:9" hidden="1" outlineLevel="1">
      <c r="B191" s="925"/>
      <c r="C191" s="1102"/>
      <c r="D191" s="1102"/>
      <c r="E191" s="1102"/>
      <c r="F191" s="1102"/>
      <c r="G191" s="1102"/>
      <c r="H191" s="1102"/>
      <c r="I191" s="1102"/>
    </row>
    <row r="192" spans="2:9" hidden="1" outlineLevel="1">
      <c r="B192" s="928" t="s">
        <v>1202</v>
      </c>
      <c r="C192" s="1102" t="s">
        <v>1203</v>
      </c>
      <c r="D192" s="1102"/>
      <c r="E192" s="1102"/>
      <c r="F192" s="1102"/>
      <c r="G192" s="1102"/>
      <c r="H192" s="1102"/>
      <c r="I192" s="1102"/>
    </row>
    <row r="193" spans="2:9" ht="13.5" hidden="1" outlineLevel="1">
      <c r="B193" s="928">
        <v>1</v>
      </c>
      <c r="C193" s="1117" t="s">
        <v>1204</v>
      </c>
      <c r="D193" s="1117"/>
      <c r="E193" s="928" t="s">
        <v>21</v>
      </c>
      <c r="F193" s="926">
        <v>2</v>
      </c>
      <c r="G193" s="1117" t="s">
        <v>1205</v>
      </c>
      <c r="H193" s="1117"/>
      <c r="I193" s="926" t="s">
        <v>21</v>
      </c>
    </row>
    <row r="194" spans="2:9" hidden="1" outlineLevel="1">
      <c r="B194" s="1105">
        <v>1.1000000000000001</v>
      </c>
      <c r="C194" s="1105" t="s">
        <v>1206</v>
      </c>
      <c r="D194" s="1105"/>
      <c r="E194" s="1104"/>
      <c r="F194" s="1105">
        <v>2.1</v>
      </c>
      <c r="G194" s="1106" t="s">
        <v>1207</v>
      </c>
      <c r="H194" s="1107"/>
      <c r="I194" s="1104"/>
    </row>
    <row r="195" spans="2:9" hidden="1" outlineLevel="1">
      <c r="B195" s="1105"/>
      <c r="C195" s="1110" t="s">
        <v>2747</v>
      </c>
      <c r="D195" s="1111"/>
      <c r="E195" s="1104"/>
      <c r="F195" s="1105"/>
      <c r="G195" s="1108"/>
      <c r="H195" s="1109"/>
      <c r="I195" s="1104"/>
    </row>
    <row r="196" spans="2:9" hidden="1" outlineLevel="1">
      <c r="B196" s="922"/>
      <c r="C196" s="1112" t="s">
        <v>2748</v>
      </c>
      <c r="D196" s="1112"/>
      <c r="E196" s="923"/>
      <c r="F196" s="922">
        <v>2.2000000000000002</v>
      </c>
      <c r="G196" s="1112" t="s">
        <v>1208</v>
      </c>
      <c r="H196" s="1112"/>
      <c r="I196" s="923"/>
    </row>
    <row r="197" spans="2:9" hidden="1" outlineLevel="1">
      <c r="B197" s="922"/>
      <c r="C197" s="1112" t="s">
        <v>2749</v>
      </c>
      <c r="D197" s="1112"/>
      <c r="E197" s="923"/>
      <c r="F197" s="922">
        <v>2.2999999999999998</v>
      </c>
      <c r="G197" s="1112" t="s">
        <v>1209</v>
      </c>
      <c r="H197" s="1112"/>
      <c r="I197" s="927">
        <f>+IS!E11+IS!F11+IS!G11</f>
        <v>0</v>
      </c>
    </row>
    <row r="198" spans="2:9" hidden="1" outlineLevel="1">
      <c r="B198" s="922"/>
      <c r="C198" s="1112" t="s">
        <v>2750</v>
      </c>
      <c r="D198" s="1112"/>
      <c r="E198" s="923"/>
      <c r="F198" s="922">
        <v>2.4</v>
      </c>
      <c r="G198" s="1112" t="s">
        <v>1210</v>
      </c>
      <c r="H198" s="1112"/>
      <c r="I198" s="923"/>
    </row>
    <row r="199" spans="2:9" hidden="1" outlineLevel="1">
      <c r="B199" s="922"/>
      <c r="C199" s="1112"/>
      <c r="D199" s="1112"/>
      <c r="E199" s="923"/>
      <c r="F199" s="922">
        <v>2.5</v>
      </c>
      <c r="G199" s="1112"/>
      <c r="H199" s="1112"/>
      <c r="I199" s="923"/>
    </row>
    <row r="200" spans="2:9" hidden="1" outlineLevel="1">
      <c r="B200" s="922">
        <v>1.2</v>
      </c>
      <c r="C200" s="1112" t="s">
        <v>1211</v>
      </c>
      <c r="D200" s="1112"/>
      <c r="E200" s="923"/>
      <c r="F200" s="922">
        <v>2.6</v>
      </c>
      <c r="G200" s="1112" t="s">
        <v>1212</v>
      </c>
      <c r="H200" s="1112"/>
      <c r="I200" s="923">
        <f>+IS!E14+IS!F14+IS!G14</f>
        <v>0</v>
      </c>
    </row>
    <row r="201" spans="2:9" hidden="1" outlineLevel="1">
      <c r="B201" s="922"/>
      <c r="C201" s="1112" t="s">
        <v>2751</v>
      </c>
      <c r="D201" s="1112"/>
      <c r="E201" s="923"/>
      <c r="F201" s="922"/>
      <c r="G201" s="1112"/>
      <c r="H201" s="1112"/>
      <c r="I201" s="923"/>
    </row>
    <row r="202" spans="2:9" hidden="1" outlineLevel="1">
      <c r="B202" s="922"/>
      <c r="C202" s="1112"/>
      <c r="D202" s="1112"/>
      <c r="E202" s="923"/>
      <c r="F202" s="922"/>
      <c r="G202" s="1112"/>
      <c r="H202" s="1112"/>
      <c r="I202" s="923"/>
    </row>
    <row r="203" spans="2:9" hidden="1" outlineLevel="1">
      <c r="B203" s="922">
        <v>1.3</v>
      </c>
      <c r="C203" s="1112" t="s">
        <v>1213</v>
      </c>
      <c r="D203" s="1112"/>
      <c r="E203" s="923"/>
      <c r="F203" s="922"/>
      <c r="G203" s="1112"/>
      <c r="H203" s="1112"/>
      <c r="I203" s="923"/>
    </row>
    <row r="204" spans="2:9" hidden="1" outlineLevel="1">
      <c r="B204" s="922">
        <v>1.4</v>
      </c>
      <c r="C204" s="1112" t="s">
        <v>1214</v>
      </c>
      <c r="D204" s="1112"/>
      <c r="E204" s="923"/>
      <c r="F204" s="922"/>
      <c r="G204" s="1112"/>
      <c r="H204" s="1112"/>
      <c r="I204" s="923"/>
    </row>
    <row r="205" spans="2:9" hidden="1" outlineLevel="1">
      <c r="B205" s="922">
        <v>1.5</v>
      </c>
      <c r="C205" s="1112" t="s">
        <v>1215</v>
      </c>
      <c r="D205" s="1112"/>
      <c r="E205" s="923"/>
      <c r="F205" s="922"/>
      <c r="G205" s="1112"/>
      <c r="H205" s="1112"/>
      <c r="I205" s="923"/>
    </row>
    <row r="206" spans="2:9" hidden="1" outlineLevel="1">
      <c r="B206" s="922">
        <v>1.6</v>
      </c>
      <c r="C206" s="1112" t="s">
        <v>1216</v>
      </c>
      <c r="D206" s="1112"/>
      <c r="E206" s="923">
        <f>+IS!E18+IS!F18+IS!G18</f>
        <v>0</v>
      </c>
      <c r="F206" s="922"/>
      <c r="G206" s="1112"/>
      <c r="H206" s="1112"/>
      <c r="I206" s="923"/>
    </row>
    <row r="207" spans="2:9" hidden="1" outlineLevel="1">
      <c r="B207" s="922"/>
      <c r="C207" s="1112"/>
      <c r="D207" s="1112"/>
      <c r="E207" s="923"/>
      <c r="F207" s="922"/>
      <c r="G207" s="1112"/>
      <c r="H207" s="1112"/>
      <c r="I207" s="923"/>
    </row>
    <row r="208" spans="2:9" hidden="1" outlineLevel="1">
      <c r="B208" s="922" t="s">
        <v>1217</v>
      </c>
      <c r="C208" s="1112" t="s">
        <v>21</v>
      </c>
      <c r="D208" s="1112"/>
      <c r="E208" s="923">
        <f>SUM(E194:E207)</f>
        <v>0</v>
      </c>
      <c r="F208" s="922" t="s">
        <v>1218</v>
      </c>
      <c r="G208" s="1105" t="s">
        <v>5</v>
      </c>
      <c r="H208" s="1105"/>
      <c r="I208" s="923">
        <f>SUM(I194:I207)</f>
        <v>0</v>
      </c>
    </row>
    <row r="209" spans="2:9" hidden="1" outlineLevel="1">
      <c r="B209" s="928" t="s">
        <v>1219</v>
      </c>
      <c r="C209" s="1113" t="s">
        <v>1328</v>
      </c>
      <c r="D209" s="1113"/>
      <c r="E209" s="1113"/>
      <c r="F209" s="1113"/>
      <c r="G209" s="1113"/>
      <c r="H209" s="1113"/>
      <c r="I209" s="927">
        <f>I190+E208-I208</f>
        <v>-2910619.7326731938</v>
      </c>
    </row>
    <row r="210" spans="2:9" hidden="1" outlineLevel="1">
      <c r="B210" s="922" t="s">
        <v>1220</v>
      </c>
      <c r="C210" s="1112" t="s">
        <v>1329</v>
      </c>
      <c r="D210" s="1112"/>
      <c r="E210" s="1112"/>
      <c r="F210" s="1112"/>
      <c r="G210" s="1112"/>
      <c r="H210" s="1112"/>
      <c r="I210" s="923">
        <f>IF(I209&gt;0,I209*0.1,0)</f>
        <v>0</v>
      </c>
    </row>
    <row r="211" spans="2:9" hidden="1" outlineLevel="1">
      <c r="B211" s="922" t="s">
        <v>1221</v>
      </c>
      <c r="C211" s="1112" t="s">
        <v>1222</v>
      </c>
      <c r="D211" s="1112"/>
      <c r="E211" s="1112"/>
      <c r="F211" s="1112"/>
      <c r="G211" s="1112"/>
      <c r="H211" s="1112"/>
      <c r="I211" s="923">
        <f>+'[5]TT-02'!F261</f>
        <v>0</v>
      </c>
    </row>
    <row r="212" spans="2:9" hidden="1" outlineLevel="1">
      <c r="B212" s="922" t="s">
        <v>1223</v>
      </c>
      <c r="C212" s="1112" t="s">
        <v>1224</v>
      </c>
      <c r="D212" s="1112"/>
      <c r="E212" s="1112"/>
      <c r="F212" s="1112"/>
      <c r="G212" s="1112"/>
      <c r="H212" s="1112"/>
      <c r="I212" s="923">
        <f>+I210+I211</f>
        <v>0</v>
      </c>
    </row>
    <row r="213" spans="2:9" hidden="1" outlineLevel="1">
      <c r="B213" s="928" t="s">
        <v>1225</v>
      </c>
      <c r="C213" s="1102" t="s">
        <v>1226</v>
      </c>
      <c r="D213" s="1102"/>
      <c r="E213" s="1102"/>
      <c r="F213" s="1102"/>
      <c r="G213" s="1102"/>
      <c r="H213" s="1102"/>
      <c r="I213" s="1102"/>
    </row>
    <row r="214" spans="2:9" ht="13.5" hidden="1" outlineLevel="1">
      <c r="B214" s="928">
        <v>3</v>
      </c>
      <c r="C214" s="1121" t="s">
        <v>1204</v>
      </c>
      <c r="D214" s="1121"/>
      <c r="E214" s="928" t="s">
        <v>21</v>
      </c>
      <c r="F214" s="925"/>
      <c r="G214" s="1121" t="s">
        <v>1205</v>
      </c>
      <c r="H214" s="1121"/>
      <c r="I214" s="928" t="s">
        <v>21</v>
      </c>
    </row>
    <row r="215" spans="2:9" hidden="1" outlineLevel="1">
      <c r="B215" s="1118">
        <v>3.1</v>
      </c>
      <c r="C215" s="1112" t="s">
        <v>1227</v>
      </c>
      <c r="D215" s="1112"/>
      <c r="E215" s="924"/>
      <c r="F215" s="1119">
        <v>4.0999999999999996</v>
      </c>
      <c r="G215" s="1112" t="s">
        <v>1228</v>
      </c>
      <c r="H215" s="1112"/>
      <c r="I215" s="1098"/>
    </row>
    <row r="216" spans="2:9" hidden="1" outlineLevel="1">
      <c r="B216" s="1118"/>
      <c r="C216" s="1112" t="s">
        <v>1229</v>
      </c>
      <c r="D216" s="1112"/>
      <c r="E216" s="924"/>
      <c r="F216" s="1119"/>
      <c r="G216" s="1112"/>
      <c r="H216" s="1112"/>
      <c r="I216" s="1098"/>
    </row>
    <row r="217" spans="2:9" ht="27" hidden="1" customHeight="1" outlineLevel="1">
      <c r="B217" s="922">
        <v>3.2</v>
      </c>
      <c r="C217" s="1112" t="s">
        <v>1230</v>
      </c>
      <c r="D217" s="1112"/>
      <c r="E217" s="664">
        <f>+STAT1!R205+STAT2!R205+STAT3!R205</f>
        <v>14670.259999999998</v>
      </c>
      <c r="F217" s="933">
        <v>4.2</v>
      </c>
      <c r="G217" s="1112" t="s">
        <v>1231</v>
      </c>
      <c r="H217" s="1112"/>
      <c r="I217" s="934">
        <f>+STAT1!S198+STAT2!S198+STAT3!S198</f>
        <v>45475.252</v>
      </c>
    </row>
    <row r="218" spans="2:9" hidden="1" outlineLevel="1">
      <c r="B218" s="922">
        <v>3.3</v>
      </c>
      <c r="C218" s="1098" t="s">
        <v>1212</v>
      </c>
      <c r="D218" s="1098"/>
      <c r="E218" s="924"/>
      <c r="F218" s="935">
        <v>4.3</v>
      </c>
      <c r="G218" s="1112" t="s">
        <v>1212</v>
      </c>
      <c r="H218" s="1112"/>
      <c r="I218" s="663"/>
    </row>
    <row r="219" spans="2:9" hidden="1" outlineLevel="1">
      <c r="B219" s="922">
        <v>3.4</v>
      </c>
      <c r="C219" s="1098"/>
      <c r="D219" s="1098"/>
      <c r="E219" s="924"/>
      <c r="F219" s="935">
        <v>4.4000000000000004</v>
      </c>
      <c r="G219" s="1120"/>
      <c r="H219" s="1120"/>
      <c r="I219" s="663"/>
    </row>
    <row r="220" spans="2:9" hidden="1" outlineLevel="1">
      <c r="B220" s="922">
        <v>3.5</v>
      </c>
      <c r="C220" s="1098"/>
      <c r="D220" s="1098"/>
      <c r="E220" s="924"/>
      <c r="F220" s="935">
        <v>4.5</v>
      </c>
      <c r="G220" s="1120"/>
      <c r="H220" s="1120"/>
      <c r="I220" s="663"/>
    </row>
    <row r="221" spans="2:9" hidden="1" outlineLevel="1">
      <c r="B221" s="922" t="s">
        <v>1232</v>
      </c>
      <c r="C221" s="1098" t="s">
        <v>1233</v>
      </c>
      <c r="D221" s="1098"/>
      <c r="E221" s="936">
        <f>SUM(E215:E218)</f>
        <v>14670.259999999998</v>
      </c>
      <c r="F221" s="935" t="s">
        <v>2752</v>
      </c>
      <c r="G221" s="1112" t="s">
        <v>1233</v>
      </c>
      <c r="H221" s="1112"/>
      <c r="I221" s="949">
        <f>SUM(I215:I218)</f>
        <v>45475.252</v>
      </c>
    </row>
    <row r="222" spans="2:9" hidden="1" outlineLevel="1">
      <c r="B222" s="1099"/>
      <c r="C222" s="1099"/>
      <c r="D222" s="1099"/>
      <c r="E222" s="1099"/>
      <c r="F222" s="1099"/>
      <c r="G222" s="1099"/>
      <c r="H222" s="1100" t="s">
        <v>2753</v>
      </c>
      <c r="I222" s="1100" t="s">
        <v>1234</v>
      </c>
    </row>
    <row r="223" spans="2:9" hidden="1" outlineLevel="1">
      <c r="B223" s="1099"/>
      <c r="C223" s="1099"/>
      <c r="D223" s="1099"/>
      <c r="E223" s="1099"/>
      <c r="F223" s="1099"/>
      <c r="G223" s="1099"/>
      <c r="H223" s="1101"/>
      <c r="I223" s="1101"/>
    </row>
    <row r="224" spans="2:9" hidden="1" outlineLevel="1">
      <c r="B224" s="1102" t="s">
        <v>1235</v>
      </c>
      <c r="C224" s="1102"/>
      <c r="D224" s="1102"/>
      <c r="E224" s="1102"/>
      <c r="F224" s="1102"/>
      <c r="G224" s="1102"/>
      <c r="H224" s="946">
        <f>+I209+E221-I221</f>
        <v>-2941424.7246731939</v>
      </c>
      <c r="I224" s="938"/>
    </row>
    <row r="225" spans="2:9" hidden="1" outlineLevel="1">
      <c r="B225" s="1098" t="s">
        <v>1236</v>
      </c>
      <c r="C225" s="1098"/>
      <c r="D225" s="1098"/>
      <c r="E225" s="1098"/>
      <c r="F225" s="1098"/>
      <c r="G225" s="1098"/>
      <c r="H225" s="946"/>
      <c r="I225" s="939"/>
    </row>
    <row r="226" spans="2:9" hidden="1" outlineLevel="1">
      <c r="B226" s="1103" t="s">
        <v>1237</v>
      </c>
      <c r="C226" s="1103"/>
      <c r="D226" s="1103"/>
      <c r="E226" s="1103"/>
      <c r="F226" s="1103"/>
      <c r="G226" s="1103"/>
      <c r="H226" s="946">
        <v>0</v>
      </c>
      <c r="I226" s="938"/>
    </row>
    <row r="227" spans="2:9" hidden="1" outlineLevel="1">
      <c r="B227" s="1103" t="s">
        <v>1238</v>
      </c>
      <c r="C227" s="1103"/>
      <c r="D227" s="1103"/>
      <c r="E227" s="1103"/>
      <c r="F227" s="1103"/>
      <c r="G227" s="1103"/>
      <c r="H227" s="946">
        <v>0</v>
      </c>
      <c r="I227" s="938"/>
    </row>
    <row r="228" spans="2:9" hidden="1" outlineLevel="1">
      <c r="B228" s="1102" t="s">
        <v>1239</v>
      </c>
      <c r="C228" s="1102"/>
      <c r="D228" s="1102"/>
      <c r="E228" s="1102"/>
      <c r="F228" s="1102"/>
      <c r="G228" s="1102"/>
      <c r="H228" s="947">
        <f>+H224+H226-H227</f>
        <v>-2941424.7246731939</v>
      </c>
      <c r="I228" s="938"/>
    </row>
    <row r="229" spans="2:9" hidden="1" outlineLevel="1">
      <c r="B229" s="1102" t="s">
        <v>1330</v>
      </c>
      <c r="C229" s="1102"/>
      <c r="D229" s="1102"/>
      <c r="E229" s="1102"/>
      <c r="F229" s="1102"/>
      <c r="G229" s="1102"/>
      <c r="H229" s="948"/>
      <c r="I229" s="942">
        <f>IF(H228&gt;0,H228*0.1,0)</f>
        <v>0</v>
      </c>
    </row>
    <row r="230" spans="2:9" hidden="1" outlineLevel="1">
      <c r="B230" s="1098" t="s">
        <v>1240</v>
      </c>
      <c r="C230" s="1098"/>
      <c r="D230" s="1098"/>
      <c r="E230" s="1098"/>
      <c r="F230" s="1098"/>
      <c r="G230" s="1098"/>
      <c r="H230" s="948"/>
      <c r="I230" s="943"/>
    </row>
    <row r="231" spans="2:9" hidden="1" outlineLevel="1">
      <c r="B231" s="1102" t="s">
        <v>1241</v>
      </c>
      <c r="C231" s="1102"/>
      <c r="D231" s="1102"/>
      <c r="E231" s="1102"/>
      <c r="F231" s="1102"/>
      <c r="G231" s="1102"/>
      <c r="H231" s="948"/>
      <c r="I231" s="940"/>
    </row>
    <row r="232" spans="2:9" hidden="1" outlineLevel="1">
      <c r="B232" s="1112" t="s">
        <v>1242</v>
      </c>
      <c r="C232" s="1112"/>
      <c r="D232" s="1112"/>
      <c r="E232" s="1112"/>
      <c r="F232" s="1112"/>
      <c r="G232" s="1112"/>
      <c r="H232" s="948"/>
      <c r="I232" s="940"/>
    </row>
    <row r="233" spans="2:9" hidden="1" outlineLevel="1">
      <c r="B233" s="1112" t="s">
        <v>1242</v>
      </c>
      <c r="C233" s="1112"/>
      <c r="D233" s="1112"/>
      <c r="E233" s="1112"/>
      <c r="F233" s="1112"/>
      <c r="G233" s="1112"/>
      <c r="H233" s="948"/>
      <c r="I233" s="940"/>
    </row>
    <row r="234" spans="2:9" hidden="1" outlineLevel="1">
      <c r="B234" s="1102" t="s">
        <v>1243</v>
      </c>
      <c r="C234" s="1102"/>
      <c r="D234" s="1102"/>
      <c r="E234" s="1102"/>
      <c r="F234" s="1102"/>
      <c r="G234" s="1102"/>
      <c r="H234" s="947">
        <f>SUM(H235:H236)</f>
        <v>0</v>
      </c>
      <c r="I234" s="941">
        <f>SUM(I235:I236)</f>
        <v>0</v>
      </c>
    </row>
    <row r="235" spans="2:9" hidden="1" outlineLevel="1">
      <c r="B235" s="1098" t="s">
        <v>1244</v>
      </c>
      <c r="C235" s="1098"/>
      <c r="D235" s="1098"/>
      <c r="E235" s="1098"/>
      <c r="F235" s="1098"/>
      <c r="G235" s="1098"/>
      <c r="H235" s="946">
        <f>+IS!E11+IS!F11+IS!G11</f>
        <v>0</v>
      </c>
      <c r="I235" s="940">
        <f>+H235*0.1</f>
        <v>0</v>
      </c>
    </row>
    <row r="236" spans="2:9" hidden="1" outlineLevel="1">
      <c r="B236" s="1098" t="s">
        <v>1245</v>
      </c>
      <c r="C236" s="1098"/>
      <c r="D236" s="1098"/>
      <c r="E236" s="1098"/>
      <c r="F236" s="1098"/>
      <c r="G236" s="1098"/>
      <c r="H236" s="949"/>
      <c r="I236" s="923"/>
    </row>
    <row r="237" spans="2:9" hidden="1" outlineLevel="1">
      <c r="B237" s="1102" t="s">
        <v>1246</v>
      </c>
      <c r="C237" s="1102"/>
      <c r="D237" s="1102"/>
      <c r="E237" s="1102"/>
      <c r="F237" s="1102"/>
      <c r="G237" s="1102"/>
      <c r="H237" s="947">
        <f>+H228+H234</f>
        <v>-2941424.7246731939</v>
      </c>
      <c r="I237" s="944">
        <f>+I229-I231+I234</f>
        <v>0</v>
      </c>
    </row>
    <row r="238" spans="2:9" hidden="1" outlineLevel="1">
      <c r="B238" s="1102"/>
      <c r="C238" s="1102"/>
      <c r="D238" s="1102"/>
      <c r="E238" s="1102"/>
      <c r="F238" s="1102"/>
      <c r="G238" s="1102"/>
      <c r="H238" s="923" t="s">
        <v>261</v>
      </c>
      <c r="I238" s="923" t="s">
        <v>262</v>
      </c>
    </row>
    <row r="239" spans="2:9" hidden="1" outlineLevel="1">
      <c r="B239" s="1102" t="s">
        <v>1247</v>
      </c>
      <c r="C239" s="1102"/>
      <c r="D239" s="1102"/>
      <c r="E239" s="1102"/>
      <c r="F239" s="1102"/>
      <c r="G239" s="1102"/>
      <c r="H239" s="940"/>
      <c r="I239" s="938"/>
    </row>
    <row r="240" spans="2:9" hidden="1" outlineLevel="1">
      <c r="B240" s="1102" t="s">
        <v>1248</v>
      </c>
      <c r="C240" s="1102"/>
      <c r="D240" s="1102"/>
      <c r="E240" s="1102"/>
      <c r="F240" s="1102"/>
      <c r="G240" s="1102"/>
      <c r="H240" s="938"/>
      <c r="I240" s="945"/>
    </row>
    <row r="241" spans="1:9" hidden="1" outlineLevel="1">
      <c r="B241" s="287"/>
      <c r="C241" s="287"/>
      <c r="D241" s="287"/>
      <c r="E241" s="287"/>
      <c r="F241" s="287"/>
      <c r="G241" s="287"/>
      <c r="H241" s="287"/>
      <c r="I241" s="287"/>
    </row>
    <row r="242" spans="1:9" hidden="1" outlineLevel="1">
      <c r="B242" s="280"/>
    </row>
    <row r="243" spans="1:9" hidden="1" outlineLevel="1">
      <c r="B243" s="280"/>
    </row>
    <row r="244" spans="1:9" hidden="1" outlineLevel="1">
      <c r="B244" s="284" t="s">
        <v>1249</v>
      </c>
      <c r="F244" s="284" t="s">
        <v>1083</v>
      </c>
    </row>
    <row r="245" spans="1:9" hidden="1" outlineLevel="1">
      <c r="B245" s="280"/>
    </row>
    <row r="246" spans="1:9" hidden="1" outlineLevel="1">
      <c r="B246" s="288" t="str">
        <f>+CONCATENATE('[5]company '!B196,  ". . . . . . .  . . . . . .  . . . . . . . . . . . . .",'[5]company '!C196)</f>
        <v>. . . . . . .  . . . . . .  . . . . . . . . . . . . .</v>
      </c>
      <c r="C246" s="280"/>
      <c r="D246" s="136"/>
      <c r="F246" s="280" t="s">
        <v>1250</v>
      </c>
    </row>
    <row r="247" spans="1:9" hidden="1" outlineLevel="1">
      <c r="B247" s="280"/>
    </row>
    <row r="248" spans="1:9" hidden="1" outlineLevel="1">
      <c r="B248" s="280" t="str">
        <f>+CONCATENATE('[5]company '!B199,"  . . . . . . . . . . . . . . . . .  ",'[5]company '!C199)</f>
        <v xml:space="preserve">  . . . . . . . . . . . . . . . . .  </v>
      </c>
      <c r="D248" s="136"/>
    </row>
    <row r="249" spans="1:9" hidden="1" outlineLevel="1">
      <c r="B249" s="280" t="s">
        <v>1003</v>
      </c>
    </row>
    <row r="250" spans="1:9" hidden="1" outlineLevel="1">
      <c r="B250" s="280" t="s">
        <v>1251</v>
      </c>
      <c r="F250" s="280" t="s">
        <v>292</v>
      </c>
      <c r="G250" s="280" t="s">
        <v>1252</v>
      </c>
    </row>
    <row r="251" spans="1:9" hidden="1" outlineLevel="1"/>
    <row r="252" spans="1:9" collapsed="1">
      <c r="A252" s="957" t="s">
        <v>2740</v>
      </c>
      <c r="B252" s="957"/>
    </row>
    <row r="253" spans="1:9" outlineLevel="1"/>
    <row r="254" spans="1:9" outlineLevel="1">
      <c r="B254" s="281"/>
      <c r="I254" s="282" t="s">
        <v>1195</v>
      </c>
    </row>
    <row r="255" spans="1:9" outlineLevel="1">
      <c r="B255" s="281"/>
      <c r="C255" s="136"/>
      <c r="I255" s="282" t="s">
        <v>1196</v>
      </c>
    </row>
    <row r="256" spans="1:9" outlineLevel="1">
      <c r="B256" s="283"/>
    </row>
    <row r="257" spans="2:9" outlineLevel="1">
      <c r="B257" s="283"/>
    </row>
    <row r="258" spans="2:9" ht="15.75" outlineLevel="1">
      <c r="B258" s="1114" t="s">
        <v>1197</v>
      </c>
      <c r="C258" s="1114"/>
      <c r="D258" s="1114"/>
      <c r="E258" s="1114"/>
      <c r="F258" s="1114"/>
      <c r="G258" s="1114"/>
      <c r="H258" s="1114"/>
      <c r="I258" s="1114"/>
    </row>
    <row r="259" spans="2:9" ht="16.5" outlineLevel="1" thickBot="1">
      <c r="B259" s="1115" t="s">
        <v>1198</v>
      </c>
      <c r="C259" s="1115"/>
      <c r="D259" s="1115"/>
      <c r="E259" s="1115"/>
      <c r="F259" s="1115"/>
      <c r="G259" s="1115"/>
      <c r="H259" s="1115"/>
      <c r="I259" s="1115"/>
    </row>
    <row r="260" spans="2:9" ht="13.5" outlineLevel="1" thickTop="1">
      <c r="B260" s="284"/>
    </row>
    <row r="261" spans="2:9" outlineLevel="1">
      <c r="B261" s="280" t="s">
        <v>2706</v>
      </c>
      <c r="C261" s="280"/>
    </row>
    <row r="262" spans="2:9" outlineLevel="1">
      <c r="B262" s="284"/>
    </row>
    <row r="263" spans="2:9" outlineLevel="1">
      <c r="B263" s="280" t="s">
        <v>2732</v>
      </c>
    </row>
    <row r="264" spans="2:9" outlineLevel="1">
      <c r="B264" s="280"/>
    </row>
    <row r="265" spans="2:9" outlineLevel="1">
      <c r="B265" s="280" t="s">
        <v>2733</v>
      </c>
    </row>
    <row r="266" spans="2:9" outlineLevel="1">
      <c r="B266" s="280" t="s">
        <v>2734</v>
      </c>
      <c r="C266" s="194"/>
      <c r="D266" s="194"/>
      <c r="E266" s="194"/>
      <c r="F266" s="194"/>
      <c r="G266" s="194"/>
      <c r="H266" s="196"/>
      <c r="I266" s="196"/>
    </row>
    <row r="267" spans="2:9" outlineLevel="1">
      <c r="B267" s="280" t="s">
        <v>2735</v>
      </c>
      <c r="C267" s="194"/>
      <c r="D267" s="194"/>
      <c r="E267" s="194"/>
      <c r="F267" s="194"/>
      <c r="G267" s="194"/>
      <c r="H267" s="196"/>
      <c r="I267" s="196"/>
    </row>
    <row r="268" spans="2:9" outlineLevel="1">
      <c r="B268" s="280" t="s">
        <v>2736</v>
      </c>
      <c r="C268" s="194"/>
      <c r="D268" s="194"/>
      <c r="E268" s="194"/>
      <c r="F268" s="194"/>
      <c r="G268" s="194"/>
      <c r="H268" s="196"/>
      <c r="I268" s="196"/>
    </row>
    <row r="269" spans="2:9" outlineLevel="1">
      <c r="B269" s="280" t="s">
        <v>2737</v>
      </c>
      <c r="C269" s="194"/>
      <c r="D269" s="195"/>
      <c r="E269" s="194"/>
      <c r="F269" s="194"/>
      <c r="G269" s="194"/>
      <c r="H269" s="196"/>
      <c r="I269" s="196"/>
    </row>
    <row r="270" spans="2:9" outlineLevel="1">
      <c r="B270" s="280"/>
      <c r="C270" s="194"/>
      <c r="D270" s="194"/>
      <c r="E270" s="194"/>
      <c r="F270" s="194"/>
      <c r="G270" s="194"/>
      <c r="H270" s="196"/>
      <c r="I270" s="196"/>
    </row>
    <row r="271" spans="2:9" outlineLevel="1">
      <c r="B271" s="280" t="s">
        <v>1199</v>
      </c>
      <c r="C271" s="285"/>
      <c r="D271" s="280" t="s">
        <v>1200</v>
      </c>
    </row>
    <row r="272" spans="2:9" outlineLevel="1">
      <c r="B272" s="280"/>
    </row>
    <row r="273" spans="2:9" outlineLevel="1">
      <c r="B273" s="1116" t="s">
        <v>1201</v>
      </c>
      <c r="C273" s="1116"/>
      <c r="D273" s="1116"/>
      <c r="E273" s="1116"/>
      <c r="F273" s="1116"/>
      <c r="G273" s="1116"/>
      <c r="H273" s="1116"/>
      <c r="I273" s="932">
        <f>+IS!E24+IS!F24+IS!G24+IS!H24</f>
        <v>-2910619.732673198</v>
      </c>
    </row>
    <row r="274" spans="2:9" outlineLevel="1">
      <c r="B274" s="925"/>
      <c r="C274" s="1102"/>
      <c r="D274" s="1102"/>
      <c r="E274" s="1102"/>
      <c r="F274" s="1102"/>
      <c r="G274" s="1102"/>
      <c r="H274" s="1102"/>
      <c r="I274" s="1102"/>
    </row>
    <row r="275" spans="2:9" outlineLevel="1">
      <c r="B275" s="928" t="s">
        <v>1202</v>
      </c>
      <c r="C275" s="1102" t="s">
        <v>1203</v>
      </c>
      <c r="D275" s="1102"/>
      <c r="E275" s="1102"/>
      <c r="F275" s="1102"/>
      <c r="G275" s="1102"/>
      <c r="H275" s="1102"/>
      <c r="I275" s="1102"/>
    </row>
    <row r="276" spans="2:9" ht="13.5" outlineLevel="1">
      <c r="B276" s="928">
        <v>1</v>
      </c>
      <c r="C276" s="1117" t="s">
        <v>1204</v>
      </c>
      <c r="D276" s="1117"/>
      <c r="E276" s="928" t="s">
        <v>21</v>
      </c>
      <c r="F276" s="926">
        <v>2</v>
      </c>
      <c r="G276" s="1117" t="s">
        <v>1205</v>
      </c>
      <c r="H276" s="1117"/>
      <c r="I276" s="926" t="s">
        <v>21</v>
      </c>
    </row>
    <row r="277" spans="2:9" outlineLevel="1">
      <c r="B277" s="1105">
        <v>1.1000000000000001</v>
      </c>
      <c r="C277" s="1105" t="s">
        <v>1206</v>
      </c>
      <c r="D277" s="1105"/>
      <c r="E277" s="1104"/>
      <c r="F277" s="1105">
        <v>2.1</v>
      </c>
      <c r="G277" s="1106" t="s">
        <v>1207</v>
      </c>
      <c r="H277" s="1107"/>
      <c r="I277" s="1104"/>
    </row>
    <row r="278" spans="2:9" outlineLevel="1">
      <c r="B278" s="1105"/>
      <c r="C278" s="1110" t="s">
        <v>2747</v>
      </c>
      <c r="D278" s="1111"/>
      <c r="E278" s="1104"/>
      <c r="F278" s="1105"/>
      <c r="G278" s="1108"/>
      <c r="H278" s="1109"/>
      <c r="I278" s="1104"/>
    </row>
    <row r="279" spans="2:9" outlineLevel="1">
      <c r="B279" s="922"/>
      <c r="C279" s="1112" t="s">
        <v>2748</v>
      </c>
      <c r="D279" s="1112"/>
      <c r="E279" s="923"/>
      <c r="F279" s="922">
        <v>2.2000000000000002</v>
      </c>
      <c r="G279" s="1112" t="s">
        <v>1208</v>
      </c>
      <c r="H279" s="1112"/>
      <c r="I279" s="923"/>
    </row>
    <row r="280" spans="2:9" outlineLevel="1">
      <c r="B280" s="922"/>
      <c r="C280" s="1112" t="s">
        <v>2749</v>
      </c>
      <c r="D280" s="1112"/>
      <c r="E280" s="923"/>
      <c r="F280" s="922">
        <v>2.2999999999999998</v>
      </c>
      <c r="G280" s="1112" t="s">
        <v>1209</v>
      </c>
      <c r="H280" s="1112"/>
      <c r="I280" s="927">
        <f>+IS!E11+IS!F11+IS!G11+IS!H11</f>
        <v>0</v>
      </c>
    </row>
    <row r="281" spans="2:9" outlineLevel="1">
      <c r="B281" s="922"/>
      <c r="C281" s="1112" t="s">
        <v>2750</v>
      </c>
      <c r="D281" s="1112"/>
      <c r="E281" s="923"/>
      <c r="F281" s="922">
        <v>2.4</v>
      </c>
      <c r="G281" s="1112" t="s">
        <v>1210</v>
      </c>
      <c r="H281" s="1112"/>
      <c r="I281" s="923"/>
    </row>
    <row r="282" spans="2:9" outlineLevel="1">
      <c r="B282" s="922"/>
      <c r="C282" s="1112"/>
      <c r="D282" s="1112"/>
      <c r="E282" s="923"/>
      <c r="F282" s="922">
        <v>2.5</v>
      </c>
      <c r="G282" s="1112"/>
      <c r="H282" s="1112"/>
      <c r="I282" s="923"/>
    </row>
    <row r="283" spans="2:9" outlineLevel="1">
      <c r="B283" s="922">
        <v>1.2</v>
      </c>
      <c r="C283" s="1112" t="s">
        <v>1211</v>
      </c>
      <c r="D283" s="1112"/>
      <c r="E283" s="923"/>
      <c r="F283" s="922">
        <v>2.6</v>
      </c>
      <c r="G283" s="1112" t="s">
        <v>1212</v>
      </c>
      <c r="H283" s="1112"/>
      <c r="I283" s="923">
        <f>+IS!E14+IS!F14+IS!G14+IS!H14</f>
        <v>0</v>
      </c>
    </row>
    <row r="284" spans="2:9" outlineLevel="1">
      <c r="B284" s="922"/>
      <c r="C284" s="1112" t="s">
        <v>2751</v>
      </c>
      <c r="D284" s="1112"/>
      <c r="E284" s="923"/>
      <c r="F284" s="922"/>
      <c r="G284" s="1112"/>
      <c r="H284" s="1112"/>
      <c r="I284" s="923"/>
    </row>
    <row r="285" spans="2:9" outlineLevel="1">
      <c r="B285" s="922"/>
      <c r="C285" s="1112"/>
      <c r="D285" s="1112"/>
      <c r="E285" s="923"/>
      <c r="F285" s="922"/>
      <c r="G285" s="1112"/>
      <c r="H285" s="1112"/>
      <c r="I285" s="923"/>
    </row>
    <row r="286" spans="2:9" outlineLevel="1">
      <c r="B286" s="922">
        <v>1.3</v>
      </c>
      <c r="C286" s="1112" t="s">
        <v>1213</v>
      </c>
      <c r="D286" s="1112"/>
      <c r="E286" s="923"/>
      <c r="F286" s="922"/>
      <c r="G286" s="1112"/>
      <c r="H286" s="1112"/>
      <c r="I286" s="923"/>
    </row>
    <row r="287" spans="2:9" outlineLevel="1">
      <c r="B287" s="922">
        <v>1.4</v>
      </c>
      <c r="C287" s="1112" t="s">
        <v>1214</v>
      </c>
      <c r="D287" s="1112"/>
      <c r="E287" s="923"/>
      <c r="F287" s="922"/>
      <c r="G287" s="1112"/>
      <c r="H287" s="1112"/>
      <c r="I287" s="923"/>
    </row>
    <row r="288" spans="2:9" outlineLevel="1">
      <c r="B288" s="922">
        <v>1.5</v>
      </c>
      <c r="C288" s="1112" t="s">
        <v>1215</v>
      </c>
      <c r="D288" s="1112"/>
      <c r="E288" s="923"/>
      <c r="F288" s="922"/>
      <c r="G288" s="1112"/>
      <c r="H288" s="1112"/>
      <c r="I288" s="923"/>
    </row>
    <row r="289" spans="2:9" outlineLevel="1">
      <c r="B289" s="922">
        <v>1.6</v>
      </c>
      <c r="C289" s="1112" t="s">
        <v>1216</v>
      </c>
      <c r="D289" s="1112"/>
      <c r="E289" s="923">
        <f>+IS!E18+IS!F18+IS!G18+IS!H18</f>
        <v>0</v>
      </c>
      <c r="F289" s="922"/>
      <c r="G289" s="1112"/>
      <c r="H289" s="1112"/>
      <c r="I289" s="923"/>
    </row>
    <row r="290" spans="2:9" outlineLevel="1">
      <c r="B290" s="922"/>
      <c r="C290" s="1112"/>
      <c r="D290" s="1112"/>
      <c r="E290" s="923"/>
      <c r="F290" s="922"/>
      <c r="G290" s="1112"/>
      <c r="H290" s="1112"/>
      <c r="I290" s="923"/>
    </row>
    <row r="291" spans="2:9" outlineLevel="1">
      <c r="B291" s="922" t="s">
        <v>1217</v>
      </c>
      <c r="C291" s="1112" t="s">
        <v>21</v>
      </c>
      <c r="D291" s="1112"/>
      <c r="E291" s="923">
        <f>SUM(E277:E290)</f>
        <v>0</v>
      </c>
      <c r="F291" s="922" t="s">
        <v>1218</v>
      </c>
      <c r="G291" s="1105" t="s">
        <v>5</v>
      </c>
      <c r="H291" s="1105"/>
      <c r="I291" s="923">
        <f>SUM(I277:I290)</f>
        <v>0</v>
      </c>
    </row>
    <row r="292" spans="2:9" outlineLevel="1">
      <c r="B292" s="928" t="s">
        <v>1219</v>
      </c>
      <c r="C292" s="1113" t="s">
        <v>1328</v>
      </c>
      <c r="D292" s="1113"/>
      <c r="E292" s="1113"/>
      <c r="F292" s="1113"/>
      <c r="G292" s="1113"/>
      <c r="H292" s="1113"/>
      <c r="I292" s="927">
        <f>I273+E291-I291</f>
        <v>-2910619.732673198</v>
      </c>
    </row>
    <row r="293" spans="2:9" outlineLevel="1">
      <c r="B293" s="922" t="s">
        <v>1220</v>
      </c>
      <c r="C293" s="1112" t="s">
        <v>1329</v>
      </c>
      <c r="D293" s="1112"/>
      <c r="E293" s="1112"/>
      <c r="F293" s="1112"/>
      <c r="G293" s="1112"/>
      <c r="H293" s="1112"/>
      <c r="I293" s="923">
        <f>IF(I292&gt;0,I292*0.1,0)</f>
        <v>0</v>
      </c>
    </row>
    <row r="294" spans="2:9" outlineLevel="1">
      <c r="B294" s="922" t="s">
        <v>1221</v>
      </c>
      <c r="C294" s="1112" t="s">
        <v>1222</v>
      </c>
      <c r="D294" s="1112"/>
      <c r="E294" s="1112"/>
      <c r="F294" s="1112"/>
      <c r="G294" s="1112"/>
      <c r="H294" s="1112"/>
      <c r="I294" s="923"/>
    </row>
    <row r="295" spans="2:9" outlineLevel="1">
      <c r="B295" s="922" t="s">
        <v>1223</v>
      </c>
      <c r="C295" s="1112" t="s">
        <v>1224</v>
      </c>
      <c r="D295" s="1112"/>
      <c r="E295" s="1112"/>
      <c r="F295" s="1112"/>
      <c r="G295" s="1112"/>
      <c r="H295" s="1112"/>
      <c r="I295" s="923">
        <f>+I293+I294</f>
        <v>0</v>
      </c>
    </row>
    <row r="296" spans="2:9" outlineLevel="1">
      <c r="B296" s="928" t="s">
        <v>1225</v>
      </c>
      <c r="C296" s="1102" t="s">
        <v>1226</v>
      </c>
      <c r="D296" s="1102"/>
      <c r="E296" s="1102"/>
      <c r="F296" s="1102"/>
      <c r="G296" s="1102"/>
      <c r="H296" s="1102"/>
      <c r="I296" s="1102"/>
    </row>
    <row r="297" spans="2:9" ht="13.5" outlineLevel="1">
      <c r="B297" s="928">
        <v>3</v>
      </c>
      <c r="C297" s="1121" t="s">
        <v>1204</v>
      </c>
      <c r="D297" s="1121"/>
      <c r="E297" s="928" t="s">
        <v>21</v>
      </c>
      <c r="F297" s="925"/>
      <c r="G297" s="1121" t="s">
        <v>1205</v>
      </c>
      <c r="H297" s="1121"/>
      <c r="I297" s="928" t="s">
        <v>21</v>
      </c>
    </row>
    <row r="298" spans="2:9" outlineLevel="1">
      <c r="B298" s="1118">
        <v>3.1</v>
      </c>
      <c r="C298" s="1112" t="s">
        <v>1227</v>
      </c>
      <c r="D298" s="1112"/>
      <c r="E298" s="924"/>
      <c r="F298" s="1119">
        <v>4.0999999999999996</v>
      </c>
      <c r="G298" s="1112" t="s">
        <v>1228</v>
      </c>
      <c r="H298" s="1112"/>
      <c r="I298" s="1098"/>
    </row>
    <row r="299" spans="2:9" outlineLevel="1">
      <c r="B299" s="1118"/>
      <c r="C299" s="1112" t="s">
        <v>1229</v>
      </c>
      <c r="D299" s="1112"/>
      <c r="E299" s="924"/>
      <c r="F299" s="1119"/>
      <c r="G299" s="1112"/>
      <c r="H299" s="1112"/>
      <c r="I299" s="1098"/>
    </row>
    <row r="300" spans="2:9" outlineLevel="1">
      <c r="B300" s="922">
        <v>3.2</v>
      </c>
      <c r="C300" s="1112" t="s">
        <v>1230</v>
      </c>
      <c r="D300" s="1112"/>
      <c r="E300" s="664">
        <f>+STAT1!R205+STAT2!R205+STAT3!R205+STAT4!R205</f>
        <v>14670.259999999998</v>
      </c>
      <c r="F300" s="933">
        <v>4.2</v>
      </c>
      <c r="G300" s="1112" t="s">
        <v>1231</v>
      </c>
      <c r="H300" s="1112"/>
      <c r="I300" s="934">
        <f>+STAT1!S198+STAT2!S198+STAT3!S198+STAT4!S198</f>
        <v>58281.051999999989</v>
      </c>
    </row>
    <row r="301" spans="2:9" outlineLevel="1">
      <c r="B301" s="922">
        <v>3.3</v>
      </c>
      <c r="C301" s="1098" t="s">
        <v>1212</v>
      </c>
      <c r="D301" s="1098"/>
      <c r="E301" s="924"/>
      <c r="F301" s="935">
        <v>4.3</v>
      </c>
      <c r="G301" s="1112" t="s">
        <v>1212</v>
      </c>
      <c r="H301" s="1112"/>
      <c r="I301" s="663"/>
    </row>
    <row r="302" spans="2:9" outlineLevel="1">
      <c r="B302" s="922">
        <v>3.4</v>
      </c>
      <c r="C302" s="1098"/>
      <c r="D302" s="1098"/>
      <c r="E302" s="924"/>
      <c r="F302" s="935">
        <v>4.4000000000000004</v>
      </c>
      <c r="G302" s="1120"/>
      <c r="H302" s="1120"/>
      <c r="I302" s="663"/>
    </row>
    <row r="303" spans="2:9" outlineLevel="1">
      <c r="B303" s="922">
        <v>3.5</v>
      </c>
      <c r="C303" s="1098"/>
      <c r="D303" s="1098"/>
      <c r="E303" s="924"/>
      <c r="F303" s="935">
        <v>4.5</v>
      </c>
      <c r="G303" s="1120"/>
      <c r="H303" s="1120"/>
      <c r="I303" s="663"/>
    </row>
    <row r="304" spans="2:9" outlineLevel="1">
      <c r="B304" s="922" t="s">
        <v>1232</v>
      </c>
      <c r="C304" s="1098" t="s">
        <v>1233</v>
      </c>
      <c r="D304" s="1098"/>
      <c r="E304" s="936">
        <f>SUM(E298:E301)</f>
        <v>14670.259999999998</v>
      </c>
      <c r="F304" s="935" t="s">
        <v>2752</v>
      </c>
      <c r="G304" s="1112" t="s">
        <v>1233</v>
      </c>
      <c r="H304" s="1112"/>
      <c r="I304" s="949">
        <f>SUM(I298:I301)</f>
        <v>58281.051999999989</v>
      </c>
    </row>
    <row r="305" spans="2:9" outlineLevel="1">
      <c r="B305" s="1099"/>
      <c r="C305" s="1099"/>
      <c r="D305" s="1099"/>
      <c r="E305" s="1099"/>
      <c r="F305" s="1099"/>
      <c r="G305" s="1099"/>
      <c r="H305" s="1100" t="s">
        <v>2753</v>
      </c>
      <c r="I305" s="1100" t="s">
        <v>1234</v>
      </c>
    </row>
    <row r="306" spans="2:9" outlineLevel="1">
      <c r="B306" s="1099"/>
      <c r="C306" s="1099"/>
      <c r="D306" s="1099"/>
      <c r="E306" s="1099"/>
      <c r="F306" s="1099"/>
      <c r="G306" s="1099"/>
      <c r="H306" s="1101"/>
      <c r="I306" s="1101"/>
    </row>
    <row r="307" spans="2:9" outlineLevel="1">
      <c r="B307" s="1102" t="s">
        <v>1235</v>
      </c>
      <c r="C307" s="1102"/>
      <c r="D307" s="1102"/>
      <c r="E307" s="1102"/>
      <c r="F307" s="1102"/>
      <c r="G307" s="1102"/>
      <c r="H307" s="946">
        <f>+I292+E304-I304</f>
        <v>-2954230.5246731983</v>
      </c>
      <c r="I307" s="938"/>
    </row>
    <row r="308" spans="2:9" outlineLevel="1">
      <c r="B308" s="1098" t="s">
        <v>1236</v>
      </c>
      <c r="C308" s="1098"/>
      <c r="D308" s="1098"/>
      <c r="E308" s="1098"/>
      <c r="F308" s="1098"/>
      <c r="G308" s="1098"/>
      <c r="H308" s="946"/>
      <c r="I308" s="939"/>
    </row>
    <row r="309" spans="2:9" outlineLevel="1">
      <c r="B309" s="1103" t="s">
        <v>1237</v>
      </c>
      <c r="C309" s="1103"/>
      <c r="D309" s="1103"/>
      <c r="E309" s="1103"/>
      <c r="F309" s="1103"/>
      <c r="G309" s="1103"/>
      <c r="H309" s="946">
        <v>0</v>
      </c>
      <c r="I309" s="938"/>
    </row>
    <row r="310" spans="2:9" outlineLevel="1">
      <c r="B310" s="1103" t="s">
        <v>1238</v>
      </c>
      <c r="C310" s="1103"/>
      <c r="D310" s="1103"/>
      <c r="E310" s="1103"/>
      <c r="F310" s="1103"/>
      <c r="G310" s="1103"/>
      <c r="H310" s="946">
        <v>0</v>
      </c>
      <c r="I310" s="938"/>
    </row>
    <row r="311" spans="2:9" outlineLevel="1">
      <c r="B311" s="1102" t="s">
        <v>1239</v>
      </c>
      <c r="C311" s="1102"/>
      <c r="D311" s="1102"/>
      <c r="E311" s="1102"/>
      <c r="F311" s="1102"/>
      <c r="G311" s="1102"/>
      <c r="H311" s="947">
        <f>+H307+H309-H310</f>
        <v>-2954230.5246731983</v>
      </c>
      <c r="I311" s="938"/>
    </row>
    <row r="312" spans="2:9" outlineLevel="1">
      <c r="B312" s="1102" t="s">
        <v>1330</v>
      </c>
      <c r="C312" s="1102"/>
      <c r="D312" s="1102"/>
      <c r="E312" s="1102"/>
      <c r="F312" s="1102"/>
      <c r="G312" s="1102"/>
      <c r="H312" s="948"/>
      <c r="I312" s="942">
        <f>IF(H311&gt;0,H311*0.1,0)</f>
        <v>0</v>
      </c>
    </row>
    <row r="313" spans="2:9" outlineLevel="1">
      <c r="B313" s="1098" t="s">
        <v>1240</v>
      </c>
      <c r="C313" s="1098"/>
      <c r="D313" s="1098"/>
      <c r="E313" s="1098"/>
      <c r="F313" s="1098"/>
      <c r="G313" s="1098"/>
      <c r="H313" s="948"/>
      <c r="I313" s="943"/>
    </row>
    <row r="314" spans="2:9" outlineLevel="1">
      <c r="B314" s="1102" t="s">
        <v>1241</v>
      </c>
      <c r="C314" s="1102"/>
      <c r="D314" s="1102"/>
      <c r="E314" s="1102"/>
      <c r="F314" s="1102"/>
      <c r="G314" s="1102"/>
      <c r="H314" s="948"/>
      <c r="I314" s="940"/>
    </row>
    <row r="315" spans="2:9" outlineLevel="1">
      <c r="B315" s="1112" t="s">
        <v>1242</v>
      </c>
      <c r="C315" s="1112"/>
      <c r="D315" s="1112"/>
      <c r="E315" s="1112"/>
      <c r="F315" s="1112"/>
      <c r="G315" s="1112"/>
      <c r="H315" s="948"/>
      <c r="I315" s="940"/>
    </row>
    <row r="316" spans="2:9" outlineLevel="1">
      <c r="B316" s="1112" t="s">
        <v>1242</v>
      </c>
      <c r="C316" s="1112"/>
      <c r="D316" s="1112"/>
      <c r="E316" s="1112"/>
      <c r="F316" s="1112"/>
      <c r="G316" s="1112"/>
      <c r="H316" s="948"/>
      <c r="I316" s="940"/>
    </row>
    <row r="317" spans="2:9" outlineLevel="1">
      <c r="B317" s="1102" t="s">
        <v>1243</v>
      </c>
      <c r="C317" s="1102"/>
      <c r="D317" s="1102"/>
      <c r="E317" s="1102"/>
      <c r="F317" s="1102"/>
      <c r="G317" s="1102"/>
      <c r="H317" s="947">
        <f>SUM(H318:H319)</f>
        <v>0</v>
      </c>
      <c r="I317" s="941">
        <f>SUM(I318:I319)</f>
        <v>0</v>
      </c>
    </row>
    <row r="318" spans="2:9" outlineLevel="1">
      <c r="B318" s="1098" t="s">
        <v>1244</v>
      </c>
      <c r="C318" s="1098"/>
      <c r="D318" s="1098"/>
      <c r="E318" s="1098"/>
      <c r="F318" s="1098"/>
      <c r="G318" s="1098"/>
      <c r="H318" s="946">
        <f>+IS!E94+IS!F94+IS!G94</f>
        <v>0</v>
      </c>
      <c r="I318" s="940">
        <f>+H318*0.1</f>
        <v>0</v>
      </c>
    </row>
    <row r="319" spans="2:9" outlineLevel="1">
      <c r="B319" s="1098" t="s">
        <v>1245</v>
      </c>
      <c r="C319" s="1098"/>
      <c r="D319" s="1098"/>
      <c r="E319" s="1098"/>
      <c r="F319" s="1098"/>
      <c r="G319" s="1098"/>
      <c r="H319" s="949"/>
      <c r="I319" s="923"/>
    </row>
    <row r="320" spans="2:9" outlineLevel="1">
      <c r="B320" s="1102" t="s">
        <v>1246</v>
      </c>
      <c r="C320" s="1102"/>
      <c r="D320" s="1102"/>
      <c r="E320" s="1102"/>
      <c r="F320" s="1102"/>
      <c r="G320" s="1102"/>
      <c r="H320" s="947">
        <f>+H311+H317</f>
        <v>-2954230.5246731983</v>
      </c>
      <c r="I320" s="944">
        <f>+I312-I314+I317</f>
        <v>0</v>
      </c>
    </row>
    <row r="321" spans="1:9" outlineLevel="1">
      <c r="B321" s="1102"/>
      <c r="C321" s="1102"/>
      <c r="D321" s="1102"/>
      <c r="E321" s="1102"/>
      <c r="F321" s="1102"/>
      <c r="G321" s="1102"/>
      <c r="H321" s="923" t="s">
        <v>261</v>
      </c>
      <c r="I321" s="923" t="s">
        <v>262</v>
      </c>
    </row>
    <row r="322" spans="1:9" outlineLevel="1">
      <c r="B322" s="1102" t="s">
        <v>1247</v>
      </c>
      <c r="C322" s="1102"/>
      <c r="D322" s="1102"/>
      <c r="E322" s="1102"/>
      <c r="F322" s="1102"/>
      <c r="G322" s="1102"/>
      <c r="H322" s="940"/>
      <c r="I322" s="938"/>
    </row>
    <row r="323" spans="1:9" outlineLevel="1">
      <c r="B323" s="1102" t="s">
        <v>1248</v>
      </c>
      <c r="C323" s="1102"/>
      <c r="D323" s="1102"/>
      <c r="E323" s="1102"/>
      <c r="F323" s="1102"/>
      <c r="G323" s="1102"/>
      <c r="H323" s="938"/>
      <c r="I323" s="945"/>
    </row>
    <row r="324" spans="1:9" outlineLevel="1">
      <c r="B324" s="287"/>
      <c r="C324" s="287"/>
      <c r="D324" s="287"/>
      <c r="E324" s="287"/>
      <c r="F324" s="287"/>
      <c r="G324" s="287"/>
      <c r="H324" s="287"/>
      <c r="I324" s="287"/>
    </row>
    <row r="325" spans="1:9" outlineLevel="1">
      <c r="B325" s="280"/>
    </row>
    <row r="326" spans="1:9" outlineLevel="1">
      <c r="B326" s="280"/>
    </row>
    <row r="327" spans="1:9" outlineLevel="1">
      <c r="B327" s="284" t="s">
        <v>1249</v>
      </c>
      <c r="F327" s="284" t="s">
        <v>1083</v>
      </c>
    </row>
    <row r="328" spans="1:9" outlineLevel="1">
      <c r="B328" s="280"/>
    </row>
    <row r="329" spans="1:9" outlineLevel="1">
      <c r="B329" s="288" t="str">
        <f>+CONCATENATE('[5]company '!B279,  ". . . . . . .  . . . . . .  . . . . . . . . . . . . .",'[5]company '!C279)</f>
        <v>. . . . . . .  . . . . . .  . . . . . . . . . . . . .</v>
      </c>
      <c r="C329" s="280"/>
      <c r="D329" s="136"/>
      <c r="F329" s="280" t="s">
        <v>1250</v>
      </c>
    </row>
    <row r="330" spans="1:9" outlineLevel="1">
      <c r="B330" s="280"/>
    </row>
    <row r="331" spans="1:9" outlineLevel="1">
      <c r="B331" s="280" t="str">
        <f>+CONCATENATE('[5]company '!B282,"  . . . . . . . . . . . . . . . . .  ",'[5]company '!C282)</f>
        <v xml:space="preserve">  . . . . . . . . . . . . . . . . .  </v>
      </c>
      <c r="D331" s="136"/>
    </row>
    <row r="332" spans="1:9" outlineLevel="1">
      <c r="B332" s="280" t="s">
        <v>1003</v>
      </c>
    </row>
    <row r="333" spans="1:9" outlineLevel="1">
      <c r="B333" s="280" t="s">
        <v>1251</v>
      </c>
      <c r="F333" s="280" t="s">
        <v>292</v>
      </c>
      <c r="G333" s="280" t="s">
        <v>1252</v>
      </c>
    </row>
    <row r="334" spans="1:9" outlineLevel="1"/>
    <row r="335" spans="1:9">
      <c r="A335" s="957" t="s">
        <v>2741</v>
      </c>
      <c r="B335" s="957"/>
      <c r="I335" s="237"/>
    </row>
    <row r="336" spans="1:9">
      <c r="I336" s="237"/>
    </row>
    <row r="339" spans="9:9">
      <c r="I339" s="79"/>
    </row>
  </sheetData>
  <mergeCells count="332">
    <mergeCell ref="B71:G71"/>
    <mergeCell ref="B62:G62"/>
    <mergeCell ref="B63:G63"/>
    <mergeCell ref="B64:G64"/>
    <mergeCell ref="B65:G65"/>
    <mergeCell ref="B66:G66"/>
    <mergeCell ref="B67:G67"/>
    <mergeCell ref="B68:G68"/>
    <mergeCell ref="B69:G69"/>
    <mergeCell ref="B70:G70"/>
    <mergeCell ref="B54:G55"/>
    <mergeCell ref="H54:H55"/>
    <mergeCell ref="I54:I55"/>
    <mergeCell ref="B56:G56"/>
    <mergeCell ref="B57:G57"/>
    <mergeCell ref="B58:G58"/>
    <mergeCell ref="B59:G59"/>
    <mergeCell ref="B60:G60"/>
    <mergeCell ref="B61:G61"/>
    <mergeCell ref="G49:H49"/>
    <mergeCell ref="C49:D49"/>
    <mergeCell ref="G52:H52"/>
    <mergeCell ref="G53:H53"/>
    <mergeCell ref="G50:H50"/>
    <mergeCell ref="G51:H51"/>
    <mergeCell ref="C50:D50"/>
    <mergeCell ref="C51:D51"/>
    <mergeCell ref="C52:D52"/>
    <mergeCell ref="C53:D53"/>
    <mergeCell ref="C41:H41"/>
    <mergeCell ref="C42:H42"/>
    <mergeCell ref="C43:H43"/>
    <mergeCell ref="C44:H44"/>
    <mergeCell ref="C45:I45"/>
    <mergeCell ref="C46:D46"/>
    <mergeCell ref="G46:H46"/>
    <mergeCell ref="B47:B48"/>
    <mergeCell ref="C47:D47"/>
    <mergeCell ref="F47:F48"/>
    <mergeCell ref="G47:H48"/>
    <mergeCell ref="I47:I48"/>
    <mergeCell ref="C48:D48"/>
    <mergeCell ref="G35:H35"/>
    <mergeCell ref="G36:H36"/>
    <mergeCell ref="C39:D39"/>
    <mergeCell ref="C37:D37"/>
    <mergeCell ref="C38:D38"/>
    <mergeCell ref="G37:H37"/>
    <mergeCell ref="G38:H38"/>
    <mergeCell ref="G39:H39"/>
    <mergeCell ref="C40:D40"/>
    <mergeCell ref="G40:H40"/>
    <mergeCell ref="C28:D28"/>
    <mergeCell ref="C31:D31"/>
    <mergeCell ref="C32:D32"/>
    <mergeCell ref="C29:D29"/>
    <mergeCell ref="C30:D30"/>
    <mergeCell ref="C35:D35"/>
    <mergeCell ref="C36:D36"/>
    <mergeCell ref="C33:D33"/>
    <mergeCell ref="C34:D34"/>
    <mergeCell ref="C115:D115"/>
    <mergeCell ref="C116:D116"/>
    <mergeCell ref="C117:D117"/>
    <mergeCell ref="G115:H115"/>
    <mergeCell ref="G116:H116"/>
    <mergeCell ref="G117:H117"/>
    <mergeCell ref="C112:D112"/>
    <mergeCell ref="C113:D113"/>
    <mergeCell ref="C114:D114"/>
    <mergeCell ref="G114:H114"/>
    <mergeCell ref="C121:D121"/>
    <mergeCell ref="C122:D122"/>
    <mergeCell ref="G121:H121"/>
    <mergeCell ref="G122:H122"/>
    <mergeCell ref="C123:D123"/>
    <mergeCell ref="G123:H123"/>
    <mergeCell ref="C124:D124"/>
    <mergeCell ref="G124:H124"/>
    <mergeCell ref="C118:D118"/>
    <mergeCell ref="C119:D119"/>
    <mergeCell ref="C120:D120"/>
    <mergeCell ref="G118:H118"/>
    <mergeCell ref="G119:H119"/>
    <mergeCell ref="G120:H120"/>
    <mergeCell ref="G132:H132"/>
    <mergeCell ref="C131:I131"/>
    <mergeCell ref="C132:D132"/>
    <mergeCell ref="C125:D125"/>
    <mergeCell ref="G125:H125"/>
    <mergeCell ref="C126:D126"/>
    <mergeCell ref="G126:H126"/>
    <mergeCell ref="C127:H127"/>
    <mergeCell ref="C128:H128"/>
    <mergeCell ref="C129:H129"/>
    <mergeCell ref="C130:H130"/>
    <mergeCell ref="B133:B134"/>
    <mergeCell ref="C133:D133"/>
    <mergeCell ref="F133:F134"/>
    <mergeCell ref="G133:H134"/>
    <mergeCell ref="I133:I134"/>
    <mergeCell ref="C134:D134"/>
    <mergeCell ref="C135:D135"/>
    <mergeCell ref="C136:D136"/>
    <mergeCell ref="C137:D137"/>
    <mergeCell ref="C138:D138"/>
    <mergeCell ref="G138:H138"/>
    <mergeCell ref="C139:D139"/>
    <mergeCell ref="G139:H139"/>
    <mergeCell ref="B140:G141"/>
    <mergeCell ref="H140:H141"/>
    <mergeCell ref="I140:I141"/>
    <mergeCell ref="B142:G142"/>
    <mergeCell ref="G135:H135"/>
    <mergeCell ref="G136:H136"/>
    <mergeCell ref="G137:H137"/>
    <mergeCell ref="B148:G148"/>
    <mergeCell ref="B149:G149"/>
    <mergeCell ref="B150:G150"/>
    <mergeCell ref="B151:G151"/>
    <mergeCell ref="B152:G152"/>
    <mergeCell ref="B143:G143"/>
    <mergeCell ref="B144:G144"/>
    <mergeCell ref="B145:G145"/>
    <mergeCell ref="B146:G146"/>
    <mergeCell ref="B147:G147"/>
    <mergeCell ref="C193:D193"/>
    <mergeCell ref="C194:D194"/>
    <mergeCell ref="C195:D195"/>
    <mergeCell ref="G193:H193"/>
    <mergeCell ref="B190:H190"/>
    <mergeCell ref="C191:I191"/>
    <mergeCell ref="C192:I192"/>
    <mergeCell ref="B153:G153"/>
    <mergeCell ref="B154:G154"/>
    <mergeCell ref="B155:G155"/>
    <mergeCell ref="B156:G156"/>
    <mergeCell ref="B157:G157"/>
    <mergeCell ref="B158:G158"/>
    <mergeCell ref="B175:I175"/>
    <mergeCell ref="B176:I176"/>
    <mergeCell ref="B194:B195"/>
    <mergeCell ref="E194:E195"/>
    <mergeCell ref="F194:F195"/>
    <mergeCell ref="G194:H195"/>
    <mergeCell ref="I194:I195"/>
    <mergeCell ref="C204:D204"/>
    <mergeCell ref="G202:H202"/>
    <mergeCell ref="G203:H203"/>
    <mergeCell ref="G204:H204"/>
    <mergeCell ref="C199:D199"/>
    <mergeCell ref="C200:D200"/>
    <mergeCell ref="C201:D201"/>
    <mergeCell ref="G200:H200"/>
    <mergeCell ref="G201:H201"/>
    <mergeCell ref="B224:G224"/>
    <mergeCell ref="B225:G225"/>
    <mergeCell ref="G217:H217"/>
    <mergeCell ref="G218:H218"/>
    <mergeCell ref="G219:H219"/>
    <mergeCell ref="G220:H220"/>
    <mergeCell ref="G214:H214"/>
    <mergeCell ref="C214:D214"/>
    <mergeCell ref="B215:B216"/>
    <mergeCell ref="C215:D215"/>
    <mergeCell ref="F215:F216"/>
    <mergeCell ref="G215:H216"/>
    <mergeCell ref="C217:D217"/>
    <mergeCell ref="C218:D218"/>
    <mergeCell ref="C219:D219"/>
    <mergeCell ref="C220:D220"/>
    <mergeCell ref="C221:D221"/>
    <mergeCell ref="G221:H221"/>
    <mergeCell ref="B222:G223"/>
    <mergeCell ref="H222:H223"/>
    <mergeCell ref="B231:G231"/>
    <mergeCell ref="B232:G232"/>
    <mergeCell ref="B233:G233"/>
    <mergeCell ref="B234:G234"/>
    <mergeCell ref="B235:G235"/>
    <mergeCell ref="B226:G226"/>
    <mergeCell ref="B227:G227"/>
    <mergeCell ref="B228:G228"/>
    <mergeCell ref="B229:G229"/>
    <mergeCell ref="B230:G230"/>
    <mergeCell ref="C283:D283"/>
    <mergeCell ref="C284:D284"/>
    <mergeCell ref="C285:D285"/>
    <mergeCell ref="G283:H283"/>
    <mergeCell ref="G284:H284"/>
    <mergeCell ref="G285:H285"/>
    <mergeCell ref="C282:D282"/>
    <mergeCell ref="G282:H282"/>
    <mergeCell ref="B236:G236"/>
    <mergeCell ref="B237:G237"/>
    <mergeCell ref="B238:G238"/>
    <mergeCell ref="B239:G239"/>
    <mergeCell ref="B240:G240"/>
    <mergeCell ref="B258:I258"/>
    <mergeCell ref="B259:I259"/>
    <mergeCell ref="B273:H273"/>
    <mergeCell ref="C274:I274"/>
    <mergeCell ref="C275:I275"/>
    <mergeCell ref="C276:D276"/>
    <mergeCell ref="G276:H276"/>
    <mergeCell ref="B277:B278"/>
    <mergeCell ref="C277:D277"/>
    <mergeCell ref="C281:D281"/>
    <mergeCell ref="G281:H281"/>
    <mergeCell ref="G302:H302"/>
    <mergeCell ref="C303:D303"/>
    <mergeCell ref="C295:H295"/>
    <mergeCell ref="C296:I296"/>
    <mergeCell ref="C297:D297"/>
    <mergeCell ref="G297:H297"/>
    <mergeCell ref="G303:H303"/>
    <mergeCell ref="C286:D286"/>
    <mergeCell ref="C287:D287"/>
    <mergeCell ref="C288:D288"/>
    <mergeCell ref="G286:H286"/>
    <mergeCell ref="G287:H287"/>
    <mergeCell ref="G288:H288"/>
    <mergeCell ref="B323:G323"/>
    <mergeCell ref="B316:G316"/>
    <mergeCell ref="B317:G317"/>
    <mergeCell ref="B318:G318"/>
    <mergeCell ref="B319:G319"/>
    <mergeCell ref="B320:G320"/>
    <mergeCell ref="B311:G311"/>
    <mergeCell ref="B312:G312"/>
    <mergeCell ref="B313:G313"/>
    <mergeCell ref="B314:G314"/>
    <mergeCell ref="B315:G315"/>
    <mergeCell ref="G28:H28"/>
    <mergeCell ref="G29:H29"/>
    <mergeCell ref="G30:H30"/>
    <mergeCell ref="G31:H31"/>
    <mergeCell ref="G32:H32"/>
    <mergeCell ref="G33:H33"/>
    <mergeCell ref="G34:H34"/>
    <mergeCell ref="B321:G321"/>
    <mergeCell ref="B322:G322"/>
    <mergeCell ref="G304:H304"/>
    <mergeCell ref="G301:H301"/>
    <mergeCell ref="B298:B299"/>
    <mergeCell ref="C298:D298"/>
    <mergeCell ref="F298:F299"/>
    <mergeCell ref="G298:H299"/>
    <mergeCell ref="C292:H292"/>
    <mergeCell ref="C293:H293"/>
    <mergeCell ref="C294:H294"/>
    <mergeCell ref="C289:D289"/>
    <mergeCell ref="C290:D290"/>
    <mergeCell ref="C291:D291"/>
    <mergeCell ref="G289:H289"/>
    <mergeCell ref="G290:H290"/>
    <mergeCell ref="G291:H291"/>
    <mergeCell ref="B5:I5"/>
    <mergeCell ref="B6:I6"/>
    <mergeCell ref="B22:H22"/>
    <mergeCell ref="C23:I23"/>
    <mergeCell ref="C24:I24"/>
    <mergeCell ref="C25:D25"/>
    <mergeCell ref="G25:H25"/>
    <mergeCell ref="B26:B27"/>
    <mergeCell ref="C26:D26"/>
    <mergeCell ref="E26:E27"/>
    <mergeCell ref="F26:F27"/>
    <mergeCell ref="G26:H27"/>
    <mergeCell ref="I26:I27"/>
    <mergeCell ref="C27:D27"/>
    <mergeCell ref="B72:G72"/>
    <mergeCell ref="B93:I93"/>
    <mergeCell ref="B94:I94"/>
    <mergeCell ref="B108:H108"/>
    <mergeCell ref="C109:I109"/>
    <mergeCell ref="C110:I110"/>
    <mergeCell ref="G111:H111"/>
    <mergeCell ref="B112:B113"/>
    <mergeCell ref="E112:E113"/>
    <mergeCell ref="F112:F113"/>
    <mergeCell ref="G112:H113"/>
    <mergeCell ref="I112:I113"/>
    <mergeCell ref="C111:D111"/>
    <mergeCell ref="G196:H196"/>
    <mergeCell ref="G197:H197"/>
    <mergeCell ref="G198:H198"/>
    <mergeCell ref="G199:H199"/>
    <mergeCell ref="C196:D196"/>
    <mergeCell ref="C197:D197"/>
    <mergeCell ref="C198:D198"/>
    <mergeCell ref="I215:I216"/>
    <mergeCell ref="C216:D216"/>
    <mergeCell ref="C209:H209"/>
    <mergeCell ref="C210:H210"/>
    <mergeCell ref="C211:H211"/>
    <mergeCell ref="C212:H212"/>
    <mergeCell ref="C213:I213"/>
    <mergeCell ref="C205:D205"/>
    <mergeCell ref="G205:H205"/>
    <mergeCell ref="C206:D206"/>
    <mergeCell ref="G206:H206"/>
    <mergeCell ref="C207:D207"/>
    <mergeCell ref="G207:H207"/>
    <mergeCell ref="C208:D208"/>
    <mergeCell ref="G208:H208"/>
    <mergeCell ref="C202:D202"/>
    <mergeCell ref="C203:D203"/>
    <mergeCell ref="C304:D304"/>
    <mergeCell ref="B305:G306"/>
    <mergeCell ref="H305:H306"/>
    <mergeCell ref="I305:I306"/>
    <mergeCell ref="B307:G307"/>
    <mergeCell ref="B308:G308"/>
    <mergeCell ref="B309:G309"/>
    <mergeCell ref="B310:G310"/>
    <mergeCell ref="I222:I223"/>
    <mergeCell ref="E277:E278"/>
    <mergeCell ref="F277:F278"/>
    <mergeCell ref="G277:H278"/>
    <mergeCell ref="I277:I278"/>
    <mergeCell ref="C278:D278"/>
    <mergeCell ref="C279:D279"/>
    <mergeCell ref="G279:H279"/>
    <mergeCell ref="G280:H280"/>
    <mergeCell ref="C280:D280"/>
    <mergeCell ref="I298:I299"/>
    <mergeCell ref="C299:D299"/>
    <mergeCell ref="C300:D300"/>
    <mergeCell ref="G300:H300"/>
    <mergeCell ref="C301:D301"/>
    <mergeCell ref="C302:D302"/>
  </mergeCells>
  <pageMargins left="0.6" right="0.47" top="0.75" bottom="0.75" header="0.3" footer="0.3"/>
  <pageSetup paperSize="9" scale="86" fitToHeight="0" orientation="portrait" horizontalDpi="0" verticalDpi="0" r:id="rId1"/>
  <drawing r:id="rId2"/>
</worksheet>
</file>

<file path=xl/worksheets/sheet24.xml><?xml version="1.0" encoding="utf-8"?>
<worksheet xmlns="http://schemas.openxmlformats.org/spreadsheetml/2006/main" xmlns:r="http://schemas.openxmlformats.org/officeDocument/2006/relationships">
  <dimension ref="A1:S292"/>
  <sheetViews>
    <sheetView topLeftCell="F1" workbookViewId="0">
      <selection activeCell="I256" sqref="I256"/>
    </sheetView>
  </sheetViews>
  <sheetFormatPr defaultRowHeight="12.75" outlineLevelRow="1"/>
  <cols>
    <col min="1" max="1" width="2.85546875" style="678" customWidth="1"/>
    <col min="2" max="2" width="9" style="678" customWidth="1"/>
    <col min="3" max="3" width="44.85546875" style="678" customWidth="1"/>
    <col min="4" max="4" width="6.42578125" style="682" customWidth="1"/>
    <col min="5" max="5" width="13" style="680" customWidth="1"/>
    <col min="6" max="6" width="15" style="679" customWidth="1"/>
    <col min="7" max="7" width="7.7109375" style="678" customWidth="1"/>
    <col min="8" max="8" width="12.85546875" style="678" bestFit="1" customWidth="1"/>
    <col min="9" max="9" width="15.7109375" style="681" bestFit="1" customWidth="1"/>
    <col min="10" max="10" width="9.140625" style="678"/>
    <col min="11" max="11" width="9.85546875" style="678" bestFit="1" customWidth="1"/>
    <col min="12" max="12" width="11.28515625" style="681" customWidth="1"/>
    <col min="13" max="14" width="14.5703125" style="681" bestFit="1" customWidth="1"/>
    <col min="15" max="15" width="11.140625" style="678" bestFit="1" customWidth="1"/>
    <col min="16" max="17" width="12.85546875" style="678" bestFit="1" customWidth="1"/>
    <col min="18" max="18" width="13.5703125" style="678" bestFit="1" customWidth="1"/>
    <col min="19" max="19" width="12.85546875" style="678" bestFit="1" customWidth="1"/>
    <col min="20" max="16384" width="9.140625" style="678"/>
  </cols>
  <sheetData>
    <row r="1" spans="1:19" outlineLevel="1">
      <c r="I1" s="438" t="s">
        <v>292</v>
      </c>
      <c r="J1" s="439"/>
      <c r="K1" s="440" t="s">
        <v>1707</v>
      </c>
      <c r="L1" s="1069" t="s">
        <v>1708</v>
      </c>
      <c r="M1" s="1070"/>
      <c r="N1" s="1069" t="s">
        <v>1709</v>
      </c>
      <c r="O1" s="1070"/>
    </row>
    <row r="2" spans="1:19" outlineLevel="1">
      <c r="D2" s="679"/>
      <c r="F2" s="801" t="s">
        <v>2288</v>
      </c>
      <c r="I2" s="442" t="s">
        <v>1711</v>
      </c>
      <c r="J2" s="442" t="s">
        <v>1712</v>
      </c>
      <c r="K2" s="440" t="s">
        <v>1713</v>
      </c>
      <c r="L2" s="443" t="s">
        <v>2385</v>
      </c>
      <c r="M2" s="443" t="s">
        <v>2386</v>
      </c>
      <c r="N2" s="443" t="s">
        <v>2385</v>
      </c>
      <c r="O2" s="443" t="s">
        <v>2386</v>
      </c>
    </row>
    <row r="3" spans="1:19" outlineLevel="1">
      <c r="E3" s="679"/>
      <c r="F3" s="801" t="s">
        <v>1131</v>
      </c>
      <c r="I3" s="446">
        <v>43070</v>
      </c>
      <c r="J3" s="446">
        <v>43100</v>
      </c>
      <c r="K3" s="375"/>
      <c r="L3" s="381">
        <f>+SUMIFS(JURNAL!G:G,JURNAL!E:E,120800,JURNAL!C:C,"&gt;="&amp;I3,JURNAL!C:C,"&lt;="&amp;J3)-K3</f>
        <v>0</v>
      </c>
      <c r="M3" s="381">
        <f>+SUMIFS(JURNAL!H:H,JURNAL!E:E,310700,JURNAL!C:C,"&gt;="&amp;I3,JURNAL!C:C,"&lt;="&amp;J3)</f>
        <v>0</v>
      </c>
      <c r="N3" s="381">
        <f>+STAT1!H27</f>
        <v>53998.17</v>
      </c>
      <c r="O3" s="381">
        <f>+STAT1!H111</f>
        <v>0</v>
      </c>
    </row>
    <row r="4" spans="1:19" outlineLevel="1">
      <c r="I4" s="446">
        <v>43101</v>
      </c>
      <c r="J4" s="446">
        <v>43131</v>
      </c>
      <c r="K4" s="375"/>
      <c r="L4" s="381">
        <f>+SUMIFS(JURNAL!G:G,JURNAL!E:E,120800,JURNAL!C:C,"&gt;="&amp;I4,JURNAL!C:C,"&lt;="&amp;J4)-K4</f>
        <v>0</v>
      </c>
      <c r="M4" s="381">
        <f>+SUMIFS(JURNAL!H:H,JURNAL!E:E,310700,JURNAL!C:C,"&gt;="&amp;I4,JURNAL!C:C,"&lt;="&amp;J4)</f>
        <v>966612.02753623191</v>
      </c>
      <c r="N4" s="381">
        <f>+IF((N3+K4+L4-O3-M4)&gt;0,(N3+K4+L4-O3-M4),0)</f>
        <v>0</v>
      </c>
      <c r="O4" s="381">
        <f>+IF((O3+M4-N3-K4-L4)&gt;0,(O3+M4-N3-K4-L4),0)</f>
        <v>912613.85753623187</v>
      </c>
    </row>
    <row r="5" spans="1:19" ht="13.5" outlineLevel="1" thickBot="1">
      <c r="A5" s="683"/>
      <c r="B5" s="683"/>
      <c r="C5" s="1130" t="s">
        <v>1132</v>
      </c>
      <c r="D5" s="1130"/>
      <c r="E5" s="1130"/>
      <c r="F5" s="1130"/>
      <c r="G5" s="684"/>
      <c r="I5" s="446">
        <v>43132</v>
      </c>
      <c r="J5" s="446">
        <v>43159</v>
      </c>
      <c r="K5" s="381"/>
      <c r="L5" s="381">
        <f>+SUMIFS(JURNAL!G:G,JURNAL!E:E,120800,JURNAL!C:C,"&gt;="&amp;I5,JURNAL!C:C,"&lt;="&amp;J5)-K5</f>
        <v>0</v>
      </c>
      <c r="M5" s="381">
        <f>+SUMIFS(JURNAL!H:H,JURNAL!E:E,310700,JURNAL!C:C,"&gt;="&amp;I5,JURNAL!C:C,"&lt;="&amp;J5)</f>
        <v>598424.21904761891</v>
      </c>
      <c r="N5" s="381">
        <f t="shared" ref="N5:N15" si="0">+IF((N4+K5+L5-O4-M5)&gt;0,(N4+K5+L5-O4-M5),0)</f>
        <v>0</v>
      </c>
      <c r="O5" s="381">
        <f t="shared" ref="O5:O15" si="1">+IF((O4+M5-N4-K5-L5)&gt;0,(O4+M5-N4-K5-L5),0)</f>
        <v>1511038.0765838507</v>
      </c>
    </row>
    <row r="6" spans="1:19" ht="13.5" outlineLevel="1" thickTop="1">
      <c r="A6" s="1131" t="s">
        <v>1133</v>
      </c>
      <c r="B6" s="1131"/>
      <c r="C6" s="1131"/>
      <c r="D6" s="1131"/>
      <c r="E6" s="1131"/>
      <c r="F6" s="1131"/>
      <c r="I6" s="446">
        <v>43160</v>
      </c>
      <c r="J6" s="446">
        <v>43190</v>
      </c>
      <c r="K6" s="381"/>
      <c r="L6" s="381">
        <f>+SUMIFS(JURNAL!G:G,JURNAL!E:E,120800,JURNAL!C:C,"&gt;="&amp;I6,JURNAL!C:C,"&lt;="&amp;J6)-K6</f>
        <v>0</v>
      </c>
      <c r="M6" s="381">
        <f>+SUMIFS(JURNAL!H:H,JURNAL!E:E,310700,JURNAL!C:C,"&gt;="&amp;I6,JURNAL!C:C,"&lt;="&amp;J6)</f>
        <v>856694.50533333339</v>
      </c>
      <c r="N6" s="381">
        <f t="shared" si="0"/>
        <v>0</v>
      </c>
      <c r="O6" s="381">
        <f t="shared" si="1"/>
        <v>2367732.5819171839</v>
      </c>
      <c r="P6" s="710"/>
      <c r="Q6" s="710"/>
      <c r="R6" s="710"/>
    </row>
    <row r="7" spans="1:19" outlineLevel="1">
      <c r="A7" s="1132" t="s">
        <v>1134</v>
      </c>
      <c r="B7" s="1132"/>
      <c r="C7" s="1132"/>
      <c r="D7" s="1132"/>
      <c r="E7" s="1132"/>
      <c r="F7" s="1132"/>
      <c r="I7" s="446">
        <v>43191</v>
      </c>
      <c r="J7" s="446">
        <v>43220</v>
      </c>
      <c r="K7" s="381"/>
      <c r="L7" s="381">
        <f>+SUMIFS(JURNAL!G:G,JURNAL!E:E,120800,JURNAL!C:C,"&gt;="&amp;I7,JURNAL!C:C,"&lt;="&amp;J7)-K7</f>
        <v>0</v>
      </c>
      <c r="M7" s="381">
        <f>+SUMIFS(JURNAL!H:H,JURNAL!E:E,310700,JURNAL!C:C,"&gt;="&amp;I7,JURNAL!C:C,"&lt;="&amp;J7)</f>
        <v>902775.67</v>
      </c>
      <c r="N7" s="381">
        <f t="shared" si="0"/>
        <v>0</v>
      </c>
      <c r="O7" s="381">
        <f t="shared" si="1"/>
        <v>3270508.2519171839</v>
      </c>
    </row>
    <row r="8" spans="1:19" outlineLevel="1">
      <c r="A8" s="685" t="str">
        <f>+'TT-02'!B8</f>
        <v>1. ТТД:  |_5_|_0_|_4_|_8_|_3_|_8_|_9_|                      2. Нэр:  СИ ЭЙ ЭМ ЭЛ ХХК</v>
      </c>
      <c r="B8" s="686"/>
      <c r="C8" s="686"/>
      <c r="D8" s="686"/>
      <c r="E8" s="687"/>
      <c r="F8" s="688"/>
      <c r="I8" s="446">
        <v>43221</v>
      </c>
      <c r="J8" s="446">
        <v>43251</v>
      </c>
      <c r="K8" s="381"/>
      <c r="L8" s="381">
        <f>+SUMIFS(JURNAL!G:G,JURNAL!E:E,120800,JURNAL!C:C,"&gt;="&amp;I8,JURNAL!C:C,"&lt;="&amp;J8)-K8</f>
        <v>0</v>
      </c>
      <c r="M8" s="381">
        <f>+SUMIFS(JURNAL!H:H,JURNAL!E:E,310700,JURNAL!C:C,"&gt;="&amp;I8,JURNAL!C:C,"&lt;="&amp;J8)</f>
        <v>1025379.77</v>
      </c>
      <c r="N8" s="381">
        <f t="shared" si="0"/>
        <v>0</v>
      </c>
      <c r="O8" s="381">
        <f t="shared" si="1"/>
        <v>4295888.0219171839</v>
      </c>
    </row>
    <row r="9" spans="1:19" ht="12.75" customHeight="1" outlineLevel="1">
      <c r="A9" s="685"/>
      <c r="C9" s="686"/>
      <c r="D9" s="1133" t="s">
        <v>1135</v>
      </c>
      <c r="E9" s="1133"/>
      <c r="F9" s="1133"/>
      <c r="I9" s="446">
        <v>43252</v>
      </c>
      <c r="J9" s="446">
        <v>43281</v>
      </c>
      <c r="K9" s="381"/>
      <c r="L9" s="381">
        <f>+SUMIFS(JURNAL!G:G,JURNAL!E:E,120800,JURNAL!C:C,"&gt;="&amp;I9,JURNAL!C:C,"&lt;="&amp;J9)-K9</f>
        <v>600000</v>
      </c>
      <c r="M9" s="381">
        <f>+SUMIFS(JURNAL!H:H,JURNAL!E:E,310700,JURNAL!C:C,"&gt;="&amp;I9,JURNAL!C:C,"&lt;="&amp;J9)</f>
        <v>929875.84</v>
      </c>
      <c r="N9" s="381">
        <f t="shared" si="0"/>
        <v>0</v>
      </c>
      <c r="O9" s="381">
        <f t="shared" si="1"/>
        <v>4625763.8619171837</v>
      </c>
      <c r="P9" s="710"/>
      <c r="Q9" s="710"/>
      <c r="R9" s="710"/>
      <c r="S9" s="710"/>
    </row>
    <row r="10" spans="1:19" outlineLevel="1">
      <c r="A10" s="689" t="s">
        <v>2702</v>
      </c>
      <c r="B10" s="686"/>
      <c r="C10" s="686"/>
      <c r="D10" s="1134" t="s">
        <v>1136</v>
      </c>
      <c r="E10" s="1134"/>
      <c r="F10" s="1134"/>
      <c r="I10" s="446">
        <v>43282</v>
      </c>
      <c r="J10" s="446">
        <v>43312</v>
      </c>
      <c r="K10" s="381"/>
      <c r="L10" s="381">
        <f>+SUMIFS(JURNAL!G:G,JURNAL!E:E,120800,JURNAL!C:C,"&gt;="&amp;I10,JURNAL!C:C,"&lt;="&amp;J10)-K10</f>
        <v>0</v>
      </c>
      <c r="M10" s="381">
        <f>+SUMIFS(JURNAL!H:H,JURNAL!E:E,310700,JURNAL!C:C,"&gt;="&amp;I10,JURNAL!C:C,"&lt;="&amp;J10)</f>
        <v>666457.71</v>
      </c>
      <c r="N10" s="381">
        <f t="shared" si="0"/>
        <v>0</v>
      </c>
      <c r="O10" s="381">
        <f t="shared" si="1"/>
        <v>5292221.5719171837</v>
      </c>
      <c r="R10" s="710"/>
      <c r="S10" s="710"/>
    </row>
    <row r="11" spans="1:19" outlineLevel="1">
      <c r="A11" s="689"/>
      <c r="B11" s="686"/>
      <c r="C11" s="686"/>
      <c r="D11" s="1134" t="s">
        <v>1137</v>
      </c>
      <c r="E11" s="1134"/>
      <c r="F11" s="1134"/>
      <c r="I11" s="446">
        <v>43313</v>
      </c>
      <c r="J11" s="446">
        <v>43343</v>
      </c>
      <c r="K11" s="381"/>
      <c r="L11" s="381">
        <f>+SUMIFS(JURNAL!G:G,JURNAL!E:E,120800,JURNAL!C:C,"&gt;="&amp;I11,JURNAL!C:C,"&lt;="&amp;J11)-K11</f>
        <v>0</v>
      </c>
      <c r="M11" s="381">
        <f>+SUMIFS(JURNAL!H:H,JURNAL!E:E,310700,JURNAL!C:C,"&gt;="&amp;I11,JURNAL!C:C,"&lt;="&amp;J11)</f>
        <v>620547.83999999997</v>
      </c>
      <c r="N11" s="381">
        <f t="shared" si="0"/>
        <v>0</v>
      </c>
      <c r="O11" s="381">
        <f t="shared" si="1"/>
        <v>5912769.4119171835</v>
      </c>
      <c r="Q11" s="710"/>
    </row>
    <row r="12" spans="1:19" outlineLevel="1">
      <c r="A12" s="685"/>
      <c r="B12" s="686"/>
      <c r="C12" s="686"/>
      <c r="D12" s="1132"/>
      <c r="E12" s="1132"/>
      <c r="F12" s="1132"/>
      <c r="I12" s="446">
        <v>43344</v>
      </c>
      <c r="J12" s="446">
        <v>43373</v>
      </c>
      <c r="K12" s="381"/>
      <c r="L12" s="381">
        <f>+SUMIFS(JURNAL!G:G,JURNAL!E:E,120800,JURNAL!C:C,"&gt;="&amp;I12,JURNAL!C:C,"&lt;="&amp;J12)-K12</f>
        <v>0</v>
      </c>
      <c r="M12" s="381">
        <f>+SUMIFS(JURNAL!H:H,JURNAL!E:E,310700,JURNAL!C:C,"&gt;="&amp;I12,JURNAL!C:C,"&lt;="&amp;J12)</f>
        <v>650934.17499999993</v>
      </c>
      <c r="N12" s="381">
        <f t="shared" si="0"/>
        <v>0</v>
      </c>
      <c r="O12" s="381">
        <f t="shared" si="1"/>
        <v>6563703.5869171834</v>
      </c>
      <c r="Q12" s="710"/>
      <c r="R12" s="710"/>
    </row>
    <row r="13" spans="1:19" outlineLevel="1">
      <c r="A13" s="678" t="s">
        <v>1138</v>
      </c>
      <c r="D13" s="1135" t="s">
        <v>1139</v>
      </c>
      <c r="E13" s="1135"/>
      <c r="F13" s="1135"/>
      <c r="I13" s="446">
        <v>43374</v>
      </c>
      <c r="J13" s="446">
        <v>43404</v>
      </c>
      <c r="K13" s="381"/>
      <c r="L13" s="381">
        <f>+SUMIFS(JURNAL!G:G,JURNAL!E:E,120800,JURNAL!C:C,"&gt;="&amp;I13,JURNAL!C:C,"&lt;="&amp;J13)-K13</f>
        <v>0</v>
      </c>
      <c r="M13" s="381">
        <f>+SUMIFS(JURNAL!H:H,JURNAL!E:E,310700,JURNAL!C:C,"&gt;="&amp;I13,JURNAL!C:C,"&lt;="&amp;J13)</f>
        <v>788232.41</v>
      </c>
      <c r="N13" s="381">
        <f t="shared" si="0"/>
        <v>0</v>
      </c>
      <c r="O13" s="381">
        <f t="shared" si="1"/>
        <v>7351935.9969171835</v>
      </c>
    </row>
    <row r="14" spans="1:19" outlineLevel="1">
      <c r="D14" s="682" t="s">
        <v>1140</v>
      </c>
      <c r="I14" s="446">
        <v>43405</v>
      </c>
      <c r="J14" s="446">
        <v>43434</v>
      </c>
      <c r="K14" s="375"/>
      <c r="L14" s="381">
        <f>+SUMIFS(JURNAL!G:G,JURNAL!E:E,120800,JURNAL!C:C,"&gt;="&amp;I14,JURNAL!C:C,"&lt;="&amp;J14)-K14</f>
        <v>0</v>
      </c>
      <c r="M14" s="381">
        <f>+SUMIFS(JURNAL!H:H,JURNAL!E:E,310700,JURNAL!C:C,"&gt;="&amp;I14,JURNAL!C:C,"&lt;="&amp;J14)</f>
        <v>673880.125</v>
      </c>
      <c r="N14" s="381">
        <f t="shared" si="0"/>
        <v>0</v>
      </c>
      <c r="O14" s="381">
        <f>+IF((O13+M14-N13-K14-L14)&gt;0,(O13+M14-N13-K14-L14),0)</f>
        <v>8025816.1219171835</v>
      </c>
      <c r="P14" s="710"/>
    </row>
    <row r="15" spans="1:19" outlineLevel="1">
      <c r="A15" s="690" t="s">
        <v>1141</v>
      </c>
      <c r="D15" s="1136"/>
      <c r="E15" s="1136"/>
      <c r="F15" s="1136"/>
      <c r="I15" s="446">
        <v>43435</v>
      </c>
      <c r="J15" s="446">
        <v>43465</v>
      </c>
      <c r="K15" s="381"/>
      <c r="L15" s="381">
        <f>+SUMIFS(JURNAL!G:G,JURNAL!E:E,120800,JURNAL!C:C,"&gt;="&amp;I15,JURNAL!C:C,"&lt;="&amp;J15)-K15</f>
        <v>8800000</v>
      </c>
      <c r="M15" s="381">
        <f>+SUMIFS(JURNAL!H:H,JURNAL!E:E,310700,JURNAL!C:C,"&gt;="&amp;I15,JURNAL!C:C,"&lt;="&amp;J15)</f>
        <v>705939.96</v>
      </c>
      <c r="N15" s="381">
        <f t="shared" si="0"/>
        <v>68243.918082816526</v>
      </c>
      <c r="O15" s="381">
        <f t="shared" si="1"/>
        <v>0</v>
      </c>
      <c r="P15" s="710">
        <f>+STAT4!V27</f>
        <v>68243.919999999925</v>
      </c>
      <c r="Q15" s="710">
        <f>+P15-N15</f>
        <v>1.9171833992004395E-3</v>
      </c>
    </row>
    <row r="16" spans="1:19" ht="38.25" outlineLevel="1">
      <c r="A16" s="691"/>
      <c r="B16" s="1128" t="s">
        <v>1142</v>
      </c>
      <c r="C16" s="1128"/>
      <c r="D16" s="692" t="s">
        <v>1143</v>
      </c>
      <c r="E16" s="693" t="s">
        <v>1144</v>
      </c>
      <c r="F16" s="694" t="s">
        <v>1145</v>
      </c>
      <c r="I16" s="446" t="s">
        <v>1723</v>
      </c>
      <c r="J16" s="446"/>
      <c r="K16" s="381">
        <f>SUM(K4:K15)</f>
        <v>0</v>
      </c>
      <c r="L16" s="381">
        <f>SUM(L4:L15)</f>
        <v>9400000</v>
      </c>
      <c r="M16" s="381">
        <f>SUM(M4:M15)</f>
        <v>9385754.2519171834</v>
      </c>
      <c r="N16" s="381"/>
      <c r="O16" s="381"/>
      <c r="P16" s="710"/>
      <c r="R16" s="710"/>
    </row>
    <row r="17" spans="1:14" outlineLevel="1">
      <c r="A17" s="691"/>
      <c r="B17" s="1129" t="s">
        <v>1146</v>
      </c>
      <c r="C17" s="1129"/>
      <c r="D17" s="692" t="s">
        <v>1147</v>
      </c>
      <c r="E17" s="693" t="s">
        <v>1148</v>
      </c>
      <c r="F17" s="694" t="s">
        <v>1149</v>
      </c>
    </row>
    <row r="18" spans="1:14" s="698" customFormat="1" ht="24.75" customHeight="1" outlineLevel="1">
      <c r="A18" s="1127" t="s">
        <v>1150</v>
      </c>
      <c r="B18" s="1127"/>
      <c r="C18" s="1127"/>
      <c r="D18" s="695">
        <v>1</v>
      </c>
      <c r="E18" s="696"/>
      <c r="F18" s="697">
        <f>+F19+F20</f>
        <v>36454180.09109731</v>
      </c>
      <c r="I18" s="699"/>
      <c r="L18" s="699"/>
      <c r="M18" s="699"/>
      <c r="N18" s="699"/>
    </row>
    <row r="19" spans="1:14" ht="52.5" customHeight="1" outlineLevel="1">
      <c r="A19" s="700"/>
      <c r="B19" s="1126" t="s">
        <v>1282</v>
      </c>
      <c r="C19" s="1126"/>
      <c r="D19" s="695">
        <f>+D18+1</f>
        <v>2</v>
      </c>
      <c r="E19" s="696"/>
      <c r="F19" s="697">
        <f>+'TT-11(1)'!$F$46</f>
        <v>36454180.09109731</v>
      </c>
    </row>
    <row r="20" spans="1:14" s="703" customFormat="1" ht="48" customHeight="1" outlineLevel="1">
      <c r="A20" s="700"/>
      <c r="B20" s="1126" t="s">
        <v>1151</v>
      </c>
      <c r="C20" s="1126"/>
      <c r="D20" s="695">
        <f t="shared" ref="D20:D55" si="2">+D19+1</f>
        <v>3</v>
      </c>
      <c r="E20" s="701"/>
      <c r="F20" s="702"/>
      <c r="I20" s="704"/>
      <c r="L20" s="704"/>
      <c r="M20" s="704"/>
      <c r="N20" s="704"/>
    </row>
    <row r="21" spans="1:14" s="703" customFormat="1" ht="51.75" customHeight="1" outlineLevel="1">
      <c r="A21" s="1125" t="s">
        <v>1152</v>
      </c>
      <c r="B21" s="1125"/>
      <c r="C21" s="1125"/>
      <c r="D21" s="695">
        <f t="shared" si="2"/>
        <v>4</v>
      </c>
      <c r="E21" s="701"/>
      <c r="F21" s="702">
        <f>+'TT-11(1)'!$I$46</f>
        <v>3989711.4290683232</v>
      </c>
      <c r="I21" s="704"/>
      <c r="L21" s="704"/>
      <c r="M21" s="704"/>
      <c r="N21" s="704"/>
    </row>
    <row r="22" spans="1:14" s="703" customFormat="1" ht="12.75" customHeight="1" outlineLevel="1">
      <c r="A22" s="1125" t="s">
        <v>1153</v>
      </c>
      <c r="B22" s="1125"/>
      <c r="C22" s="1125"/>
      <c r="D22" s="695">
        <f t="shared" si="2"/>
        <v>5</v>
      </c>
      <c r="E22" s="701"/>
      <c r="F22" s="702">
        <f>+F19-F21</f>
        <v>32464468.662028987</v>
      </c>
      <c r="I22" s="704"/>
      <c r="L22" s="704"/>
      <c r="M22" s="704"/>
      <c r="N22" s="704"/>
    </row>
    <row r="23" spans="1:14" s="703" customFormat="1" ht="12.75" customHeight="1" outlineLevel="1">
      <c r="A23" s="1125" t="s">
        <v>1154</v>
      </c>
      <c r="B23" s="1125"/>
      <c r="C23" s="1125"/>
      <c r="D23" s="695">
        <f t="shared" si="2"/>
        <v>6</v>
      </c>
      <c r="E23" s="701"/>
      <c r="F23" s="702">
        <f>+F22*0.1</f>
        <v>3246446.8662028988</v>
      </c>
      <c r="H23" s="705"/>
      <c r="I23" s="704"/>
      <c r="L23" s="704"/>
      <c r="M23" s="704"/>
      <c r="N23" s="704"/>
    </row>
    <row r="24" spans="1:14" s="703" customFormat="1" ht="22.5" customHeight="1" outlineLevel="1">
      <c r="A24" s="1125" t="s">
        <v>1155</v>
      </c>
      <c r="B24" s="1125"/>
      <c r="C24" s="1125"/>
      <c r="D24" s="695">
        <f t="shared" si="2"/>
        <v>7</v>
      </c>
      <c r="E24" s="701"/>
      <c r="F24" s="702"/>
      <c r="I24" s="704"/>
      <c r="L24" s="704"/>
      <c r="M24" s="704"/>
      <c r="N24" s="704"/>
    </row>
    <row r="25" spans="1:14" s="703" customFormat="1" ht="22.5" customHeight="1" outlineLevel="1">
      <c r="A25" s="700"/>
      <c r="B25" s="1126" t="s">
        <v>1156</v>
      </c>
      <c r="C25" s="1126"/>
      <c r="D25" s="695">
        <f t="shared" si="2"/>
        <v>8</v>
      </c>
      <c r="E25" s="701"/>
      <c r="F25" s="702"/>
      <c r="I25" s="704"/>
      <c r="L25" s="704"/>
      <c r="M25" s="704"/>
      <c r="N25" s="704"/>
    </row>
    <row r="26" spans="1:14" s="703" customFormat="1" ht="30" customHeight="1" outlineLevel="1">
      <c r="A26" s="1125" t="s">
        <v>1157</v>
      </c>
      <c r="B26" s="1125"/>
      <c r="C26" s="1125"/>
      <c r="D26" s="695">
        <f t="shared" si="2"/>
        <v>9</v>
      </c>
      <c r="E26" s="701"/>
      <c r="F26" s="702"/>
      <c r="I26" s="704"/>
      <c r="L26" s="704"/>
      <c r="M26" s="704"/>
      <c r="N26" s="704"/>
    </row>
    <row r="27" spans="1:14" s="703" customFormat="1" ht="27.75" customHeight="1" outlineLevel="1">
      <c r="A27" s="706"/>
      <c r="B27" s="1126" t="s">
        <v>1158</v>
      </c>
      <c r="C27" s="1126"/>
      <c r="D27" s="695">
        <f t="shared" si="2"/>
        <v>10</v>
      </c>
      <c r="E27" s="701"/>
      <c r="F27" s="702"/>
      <c r="I27" s="704"/>
      <c r="L27" s="704"/>
      <c r="M27" s="704"/>
      <c r="N27" s="704"/>
    </row>
    <row r="28" spans="1:14" s="703" customFormat="1" ht="51" customHeight="1" outlineLevel="1">
      <c r="A28" s="1125" t="s">
        <v>2306</v>
      </c>
      <c r="B28" s="1125"/>
      <c r="C28" s="1125"/>
      <c r="D28" s="695">
        <f t="shared" si="2"/>
        <v>11</v>
      </c>
      <c r="E28" s="701"/>
      <c r="F28" s="702"/>
      <c r="I28" s="704"/>
      <c r="L28" s="704"/>
      <c r="M28" s="704"/>
      <c r="N28" s="704"/>
    </row>
    <row r="29" spans="1:14" s="703" customFormat="1" ht="37.5" customHeight="1" outlineLevel="1">
      <c r="A29" s="706"/>
      <c r="B29" s="1126" t="s">
        <v>1159</v>
      </c>
      <c r="C29" s="1126"/>
      <c r="D29" s="695">
        <f t="shared" si="2"/>
        <v>12</v>
      </c>
      <c r="E29" s="701"/>
      <c r="F29" s="702"/>
      <c r="I29" s="704"/>
      <c r="L29" s="704"/>
      <c r="M29" s="704"/>
      <c r="N29" s="704"/>
    </row>
    <row r="30" spans="1:14" s="703" customFormat="1" ht="34.5" customHeight="1" outlineLevel="1">
      <c r="A30" s="1125" t="s">
        <v>1160</v>
      </c>
      <c r="B30" s="1125"/>
      <c r="C30" s="1125"/>
      <c r="D30" s="695">
        <f t="shared" si="2"/>
        <v>13</v>
      </c>
      <c r="E30" s="701"/>
      <c r="F30" s="702"/>
      <c r="I30" s="704"/>
      <c r="L30" s="704"/>
      <c r="M30" s="704"/>
      <c r="N30" s="704"/>
    </row>
    <row r="31" spans="1:14" s="703" customFormat="1" ht="26.25" customHeight="1" outlineLevel="1">
      <c r="A31" s="706"/>
      <c r="B31" s="1126" t="s">
        <v>1161</v>
      </c>
      <c r="C31" s="1126"/>
      <c r="D31" s="695">
        <f t="shared" si="2"/>
        <v>14</v>
      </c>
      <c r="E31" s="701"/>
      <c r="F31" s="702"/>
      <c r="I31" s="704"/>
      <c r="L31" s="704"/>
      <c r="M31" s="704"/>
      <c r="N31" s="704"/>
    </row>
    <row r="32" spans="1:14" s="703" customFormat="1" ht="12.75" customHeight="1" outlineLevel="1">
      <c r="A32" s="1125" t="s">
        <v>2307</v>
      </c>
      <c r="B32" s="1125"/>
      <c r="C32" s="1125"/>
      <c r="D32" s="695">
        <f t="shared" si="2"/>
        <v>15</v>
      </c>
      <c r="E32" s="701"/>
      <c r="F32" s="702">
        <f>+F23+F24+F26+F28+F30</f>
        <v>3246446.8662028988</v>
      </c>
      <c r="I32" s="704"/>
      <c r="L32" s="704"/>
      <c r="M32" s="704"/>
      <c r="N32" s="704"/>
    </row>
    <row r="33" spans="1:8" ht="38.25" customHeight="1" outlineLevel="1">
      <c r="A33" s="1127" t="s">
        <v>1162</v>
      </c>
      <c r="B33" s="1127"/>
      <c r="C33" s="707" t="s">
        <v>1163</v>
      </c>
      <c r="D33" s="695">
        <f t="shared" si="2"/>
        <v>16</v>
      </c>
      <c r="E33" s="696"/>
      <c r="F33" s="697">
        <f>+'TT-11(1)'!$L$46</f>
        <v>824716.11428571434</v>
      </c>
    </row>
    <row r="34" spans="1:8" ht="35.25" customHeight="1" outlineLevel="1">
      <c r="A34" s="1127"/>
      <c r="B34" s="1127"/>
      <c r="C34" s="707" t="s">
        <v>1164</v>
      </c>
      <c r="D34" s="695">
        <f t="shared" si="2"/>
        <v>17</v>
      </c>
      <c r="E34" s="696"/>
      <c r="F34" s="697"/>
    </row>
    <row r="35" spans="1:8" ht="12.75" customHeight="1" outlineLevel="1">
      <c r="A35" s="1125" t="s">
        <v>1165</v>
      </c>
      <c r="B35" s="1125"/>
      <c r="C35" s="1125"/>
      <c r="D35" s="695">
        <f t="shared" si="2"/>
        <v>18</v>
      </c>
      <c r="E35" s="696"/>
      <c r="F35" s="697">
        <f>+F23-F33</f>
        <v>2421730.7519171843</v>
      </c>
    </row>
    <row r="36" spans="1:8" outlineLevel="1">
      <c r="A36" s="708" t="s">
        <v>1166</v>
      </c>
      <c r="B36" s="709"/>
      <c r="C36" s="709"/>
      <c r="D36" s="695"/>
      <c r="E36" s="696"/>
      <c r="F36" s="697"/>
      <c r="H36" s="710"/>
    </row>
    <row r="37" spans="1:8" ht="12.75" customHeight="1" outlineLevel="1">
      <c r="A37" s="1122" t="s">
        <v>1167</v>
      </c>
      <c r="B37" s="1122"/>
      <c r="C37" s="1122"/>
      <c r="D37" s="695">
        <f>+D35+1</f>
        <v>19</v>
      </c>
      <c r="E37" s="696"/>
      <c r="F37" s="697"/>
    </row>
    <row r="38" spans="1:8" ht="60" customHeight="1" outlineLevel="1">
      <c r="A38" s="1122" t="s">
        <v>2308</v>
      </c>
      <c r="B38" s="1122"/>
      <c r="C38" s="1122"/>
      <c r="D38" s="695">
        <f t="shared" si="2"/>
        <v>20</v>
      </c>
      <c r="E38" s="696"/>
      <c r="F38" s="697"/>
    </row>
    <row r="39" spans="1:8" ht="30.75" customHeight="1" outlineLevel="1">
      <c r="A39" s="711"/>
      <c r="B39" s="1123" t="s">
        <v>1168</v>
      </c>
      <c r="C39" s="1123"/>
      <c r="D39" s="695">
        <f t="shared" si="2"/>
        <v>21</v>
      </c>
      <c r="E39" s="696"/>
      <c r="F39" s="697"/>
    </row>
    <row r="40" spans="1:8" ht="30" customHeight="1" outlineLevel="1">
      <c r="A40" s="711"/>
      <c r="B40" s="1123" t="s">
        <v>1169</v>
      </c>
      <c r="C40" s="1123"/>
      <c r="D40" s="695">
        <f t="shared" si="2"/>
        <v>22</v>
      </c>
      <c r="E40" s="696"/>
      <c r="F40" s="697"/>
    </row>
    <row r="41" spans="1:8" ht="16.5" customHeight="1" outlineLevel="1">
      <c r="A41" s="711"/>
      <c r="B41" s="1123" t="s">
        <v>1170</v>
      </c>
      <c r="C41" s="1123"/>
      <c r="D41" s="695">
        <f t="shared" si="2"/>
        <v>23</v>
      </c>
      <c r="E41" s="696"/>
      <c r="F41" s="697"/>
    </row>
    <row r="42" spans="1:8" ht="12.75" customHeight="1" outlineLevel="1">
      <c r="A42" s="711"/>
      <c r="B42" s="1123" t="s">
        <v>1171</v>
      </c>
      <c r="C42" s="1123"/>
      <c r="D42" s="695">
        <f t="shared" si="2"/>
        <v>24</v>
      </c>
      <c r="E42" s="696"/>
      <c r="F42" s="697"/>
    </row>
    <row r="43" spans="1:8" ht="12.75" customHeight="1" outlineLevel="1">
      <c r="A43" s="711"/>
      <c r="B43" s="1123" t="s">
        <v>1172</v>
      </c>
      <c r="C43" s="1123"/>
      <c r="D43" s="695">
        <f t="shared" si="2"/>
        <v>25</v>
      </c>
      <c r="E43" s="696"/>
      <c r="F43" s="697"/>
    </row>
    <row r="44" spans="1:8" ht="27.75" customHeight="1" outlineLevel="1">
      <c r="A44" s="711"/>
      <c r="B44" s="1123" t="s">
        <v>1173</v>
      </c>
      <c r="C44" s="1123"/>
      <c r="D44" s="695">
        <f t="shared" si="2"/>
        <v>26</v>
      </c>
      <c r="E44" s="696"/>
      <c r="F44" s="697"/>
    </row>
    <row r="45" spans="1:8" ht="12.75" customHeight="1" outlineLevel="1">
      <c r="A45" s="711"/>
      <c r="B45" s="1123" t="s">
        <v>1174</v>
      </c>
      <c r="C45" s="1123"/>
      <c r="D45" s="695">
        <f t="shared" si="2"/>
        <v>27</v>
      </c>
      <c r="E45" s="696"/>
      <c r="F45" s="697"/>
    </row>
    <row r="46" spans="1:8" ht="52.5" customHeight="1" outlineLevel="1">
      <c r="A46" s="1122" t="s">
        <v>2309</v>
      </c>
      <c r="B46" s="1122"/>
      <c r="C46" s="1122"/>
      <c r="D46" s="695">
        <f t="shared" si="2"/>
        <v>28</v>
      </c>
      <c r="E46" s="696"/>
      <c r="F46" s="697"/>
    </row>
    <row r="47" spans="1:8" ht="36" customHeight="1" outlineLevel="1">
      <c r="A47" s="711"/>
      <c r="B47" s="1124" t="s">
        <v>1175</v>
      </c>
      <c r="C47" s="1124"/>
      <c r="D47" s="695">
        <f t="shared" si="2"/>
        <v>29</v>
      </c>
      <c r="E47" s="696"/>
      <c r="F47" s="697"/>
    </row>
    <row r="48" spans="1:8" ht="39" customHeight="1" outlineLevel="1">
      <c r="A48" s="711"/>
      <c r="B48" s="1123" t="s">
        <v>1176</v>
      </c>
      <c r="C48" s="1123"/>
      <c r="D48" s="695">
        <f t="shared" si="2"/>
        <v>30</v>
      </c>
      <c r="E48" s="696"/>
      <c r="F48" s="697"/>
    </row>
    <row r="49" spans="1:8" ht="42" customHeight="1" outlineLevel="1">
      <c r="A49" s="711"/>
      <c r="B49" s="1123" t="s">
        <v>1177</v>
      </c>
      <c r="C49" s="1123"/>
      <c r="D49" s="695">
        <f t="shared" si="2"/>
        <v>31</v>
      </c>
      <c r="E49" s="696"/>
      <c r="F49" s="697"/>
    </row>
    <row r="50" spans="1:8" ht="12.75" customHeight="1" outlineLevel="1">
      <c r="A50" s="711"/>
      <c r="B50" s="1123" t="s">
        <v>1178</v>
      </c>
      <c r="C50" s="1123"/>
      <c r="D50" s="695">
        <f t="shared" si="2"/>
        <v>32</v>
      </c>
      <c r="E50" s="696"/>
      <c r="F50" s="697"/>
    </row>
    <row r="51" spans="1:8" ht="12.75" customHeight="1" outlineLevel="1">
      <c r="A51" s="1122" t="s">
        <v>1179</v>
      </c>
      <c r="B51" s="1122"/>
      <c r="C51" s="1122"/>
      <c r="D51" s="695">
        <f t="shared" si="2"/>
        <v>33</v>
      </c>
      <c r="E51" s="696"/>
      <c r="F51" s="697">
        <f>+F38*0.1</f>
        <v>0</v>
      </c>
    </row>
    <row r="52" spans="1:8" ht="12.75" customHeight="1" outlineLevel="1">
      <c r="A52" s="1122" t="s">
        <v>1180</v>
      </c>
      <c r="B52" s="1122"/>
      <c r="C52" s="1122"/>
      <c r="D52" s="695">
        <f t="shared" si="2"/>
        <v>34</v>
      </c>
      <c r="E52" s="696"/>
      <c r="F52" s="697">
        <f>+F51+F35</f>
        <v>2421730.7519171843</v>
      </c>
    </row>
    <row r="53" spans="1:8" ht="12.75" customHeight="1" outlineLevel="1">
      <c r="A53" s="1122" t="s">
        <v>1181</v>
      </c>
      <c r="B53" s="1122"/>
      <c r="C53" s="1122"/>
      <c r="D53" s="695">
        <f t="shared" si="2"/>
        <v>35</v>
      </c>
      <c r="E53" s="696"/>
      <c r="F53" s="697"/>
    </row>
    <row r="54" spans="1:8" ht="12.75" customHeight="1" outlineLevel="1">
      <c r="A54" s="1122" t="s">
        <v>1182</v>
      </c>
      <c r="B54" s="1122"/>
      <c r="C54" s="1122"/>
      <c r="D54" s="695">
        <f t="shared" si="2"/>
        <v>36</v>
      </c>
      <c r="E54" s="696"/>
      <c r="F54" s="712"/>
    </row>
    <row r="55" spans="1:8" ht="12.75" customHeight="1" outlineLevel="1">
      <c r="A55" s="1122" t="s">
        <v>1183</v>
      </c>
      <c r="B55" s="1122"/>
      <c r="C55" s="1122"/>
      <c r="D55" s="695">
        <f t="shared" si="2"/>
        <v>37</v>
      </c>
      <c r="E55" s="696"/>
      <c r="F55" s="697"/>
    </row>
    <row r="56" spans="1:8" outlineLevel="1">
      <c r="E56" s="713"/>
    </row>
    <row r="57" spans="1:8" outlineLevel="1">
      <c r="A57" s="690" t="s">
        <v>1184</v>
      </c>
      <c r="E57" s="713" t="s">
        <v>1185</v>
      </c>
      <c r="F57" s="679" t="s">
        <v>1186</v>
      </c>
    </row>
    <row r="58" spans="1:8" outlineLevel="1">
      <c r="A58" s="711" t="s">
        <v>1187</v>
      </c>
      <c r="B58" s="711"/>
      <c r="C58" s="711"/>
      <c r="D58" s="714"/>
      <c r="E58" s="712"/>
      <c r="F58" s="715">
        <f>+STAT1!H27</f>
        <v>53998.17</v>
      </c>
      <c r="H58" s="716"/>
    </row>
    <row r="59" spans="1:8" outlineLevel="1">
      <c r="A59" s="711" t="s">
        <v>1188</v>
      </c>
      <c r="B59" s="711"/>
      <c r="C59" s="711"/>
      <c r="D59" s="714"/>
      <c r="E59" s="712">
        <f>+F35</f>
        <v>2421730.7519171843</v>
      </c>
      <c r="F59" s="712"/>
      <c r="H59" s="710"/>
    </row>
    <row r="60" spans="1:8" outlineLevel="1">
      <c r="A60" s="711" t="s">
        <v>1189</v>
      </c>
      <c r="B60" s="711"/>
      <c r="C60" s="711"/>
      <c r="D60" s="714"/>
      <c r="E60" s="712"/>
      <c r="F60" s="712"/>
    </row>
    <row r="61" spans="1:8" outlineLevel="1">
      <c r="A61" s="711" t="s">
        <v>1190</v>
      </c>
      <c r="B61" s="711"/>
      <c r="C61" s="711"/>
      <c r="D61" s="714"/>
      <c r="E61" s="712">
        <f>+E59-F58</f>
        <v>2367732.5819171844</v>
      </c>
      <c r="F61" s="712"/>
    </row>
    <row r="62" spans="1:8" outlineLevel="1">
      <c r="E62" s="713"/>
    </row>
    <row r="63" spans="1:8" outlineLevel="1">
      <c r="B63" s="678" t="s">
        <v>1191</v>
      </c>
      <c r="C63" s="717"/>
      <c r="D63" s="142"/>
      <c r="G63" s="142"/>
    </row>
    <row r="64" spans="1:8" outlineLevel="1">
      <c r="C64" s="717"/>
      <c r="D64" s="142"/>
      <c r="G64" s="142"/>
    </row>
    <row r="65" spans="1:8" outlineLevel="1">
      <c r="B65" s="703"/>
      <c r="C65" s="717"/>
      <c r="D65" s="142"/>
      <c r="G65" s="142"/>
    </row>
    <row r="66" spans="1:8" outlineLevel="1">
      <c r="B66" s="678" t="s">
        <v>1192</v>
      </c>
      <c r="C66" s="717"/>
      <c r="D66" s="142"/>
      <c r="G66" s="142"/>
    </row>
    <row r="67" spans="1:8" outlineLevel="1">
      <c r="B67" s="703"/>
      <c r="C67" s="717"/>
      <c r="D67" s="142"/>
      <c r="G67" s="142"/>
    </row>
    <row r="68" spans="1:8" outlineLevel="1">
      <c r="B68" s="678" t="s">
        <v>1193</v>
      </c>
      <c r="C68" s="717"/>
      <c r="D68" s="142"/>
      <c r="G68" s="142"/>
    </row>
    <row r="69" spans="1:8" outlineLevel="1">
      <c r="B69" s="703"/>
      <c r="C69" s="717"/>
      <c r="D69" s="142"/>
      <c r="G69" s="142"/>
    </row>
    <row r="70" spans="1:8" outlineLevel="1">
      <c r="B70" s="678" t="s">
        <v>1194</v>
      </c>
      <c r="C70" s="717"/>
      <c r="D70" s="142"/>
      <c r="G70" s="142"/>
      <c r="H70" s="142"/>
    </row>
    <row r="71" spans="1:8" outlineLevel="1"/>
    <row r="72" spans="1:8">
      <c r="B72" s="889" t="s">
        <v>2644</v>
      </c>
    </row>
    <row r="74" spans="1:8" hidden="1" outlineLevel="1"/>
    <row r="75" spans="1:8" hidden="1" outlineLevel="1">
      <c r="D75" s="679"/>
      <c r="F75" s="801" t="s">
        <v>2288</v>
      </c>
    </row>
    <row r="76" spans="1:8" hidden="1" outlineLevel="1">
      <c r="E76" s="679"/>
      <c r="F76" s="801" t="s">
        <v>1131</v>
      </c>
    </row>
    <row r="77" spans="1:8" hidden="1" outlineLevel="1"/>
    <row r="78" spans="1:8" ht="13.5" hidden="1" outlineLevel="1" thickBot="1">
      <c r="A78" s="683"/>
      <c r="B78" s="683"/>
      <c r="C78" s="1130" t="s">
        <v>1132</v>
      </c>
      <c r="D78" s="1130"/>
      <c r="E78" s="1130"/>
      <c r="F78" s="1130"/>
      <c r="G78" s="684"/>
    </row>
    <row r="79" spans="1:8" ht="13.5" hidden="1" outlineLevel="1" thickTop="1">
      <c r="A79" s="1131" t="s">
        <v>1133</v>
      </c>
      <c r="B79" s="1131"/>
      <c r="C79" s="1131"/>
      <c r="D79" s="1131"/>
      <c r="E79" s="1131"/>
      <c r="F79" s="1131"/>
    </row>
    <row r="80" spans="1:8" hidden="1" outlineLevel="1">
      <c r="A80" s="1132" t="s">
        <v>1134</v>
      </c>
      <c r="B80" s="1132"/>
      <c r="C80" s="1132"/>
      <c r="D80" s="1132"/>
      <c r="E80" s="1132"/>
      <c r="F80" s="1132"/>
    </row>
    <row r="81" spans="1:7" hidden="1" outlineLevel="1">
      <c r="A81" s="685" t="s">
        <v>2706</v>
      </c>
      <c r="B81" s="902"/>
      <c r="C81" s="902"/>
      <c r="D81" s="902"/>
      <c r="E81" s="687"/>
      <c r="F81" s="688"/>
    </row>
    <row r="82" spans="1:7" hidden="1" outlineLevel="1">
      <c r="A82" s="685"/>
      <c r="C82" s="902"/>
      <c r="D82" s="1133" t="s">
        <v>1135</v>
      </c>
      <c r="E82" s="1133"/>
      <c r="F82" s="1133"/>
    </row>
    <row r="83" spans="1:7" hidden="1" outlineLevel="1">
      <c r="A83" s="689" t="s">
        <v>2707</v>
      </c>
      <c r="B83" s="902"/>
      <c r="C83" s="902"/>
      <c r="D83" s="1134" t="s">
        <v>1136</v>
      </c>
      <c r="E83" s="1134"/>
      <c r="F83" s="1134"/>
    </row>
    <row r="84" spans="1:7" hidden="1" outlineLevel="1">
      <c r="A84" s="689"/>
      <c r="B84" s="902"/>
      <c r="C84" s="902"/>
      <c r="D84" s="1134" t="s">
        <v>1137</v>
      </c>
      <c r="E84" s="1134"/>
      <c r="F84" s="1134"/>
    </row>
    <row r="85" spans="1:7" hidden="1" outlineLevel="1">
      <c r="A85" s="685"/>
      <c r="B85" s="902"/>
      <c r="C85" s="902"/>
      <c r="D85" s="1132"/>
      <c r="E85" s="1132"/>
      <c r="F85" s="1132"/>
    </row>
    <row r="86" spans="1:7" hidden="1" outlineLevel="1">
      <c r="A86" s="678" t="s">
        <v>1138</v>
      </c>
      <c r="D86" s="1135" t="s">
        <v>1139</v>
      </c>
      <c r="E86" s="1135"/>
      <c r="F86" s="1135"/>
    </row>
    <row r="87" spans="1:7" hidden="1" outlineLevel="1">
      <c r="D87" s="682" t="s">
        <v>1140</v>
      </c>
    </row>
    <row r="88" spans="1:7" hidden="1" outlineLevel="1">
      <c r="A88" s="690" t="s">
        <v>1141</v>
      </c>
      <c r="D88" s="1136"/>
      <c r="E88" s="1136"/>
      <c r="F88" s="1136"/>
    </row>
    <row r="89" spans="1:7" ht="38.25" hidden="1" outlineLevel="1">
      <c r="A89" s="691"/>
      <c r="B89" s="1128" t="s">
        <v>1142</v>
      </c>
      <c r="C89" s="1128"/>
      <c r="D89" s="881" t="s">
        <v>1143</v>
      </c>
      <c r="E89" s="693" t="s">
        <v>1144</v>
      </c>
      <c r="F89" s="694" t="s">
        <v>1145</v>
      </c>
    </row>
    <row r="90" spans="1:7" hidden="1" outlineLevel="1">
      <c r="A90" s="691"/>
      <c r="B90" s="1129" t="s">
        <v>1146</v>
      </c>
      <c r="C90" s="1129"/>
      <c r="D90" s="881" t="s">
        <v>1147</v>
      </c>
      <c r="E90" s="693" t="s">
        <v>1148</v>
      </c>
      <c r="F90" s="694" t="s">
        <v>1149</v>
      </c>
    </row>
    <row r="91" spans="1:7" hidden="1" outlineLevel="1">
      <c r="A91" s="1127" t="s">
        <v>1150</v>
      </c>
      <c r="B91" s="1127"/>
      <c r="C91" s="1127"/>
      <c r="D91" s="695">
        <v>1</v>
      </c>
      <c r="E91" s="696"/>
      <c r="F91" s="697">
        <f>+F92+F93</f>
        <v>78337435.646652862</v>
      </c>
      <c r="G91" s="698"/>
    </row>
    <row r="92" spans="1:7" hidden="1" outlineLevel="1">
      <c r="A92" s="700"/>
      <c r="B92" s="1126" t="s">
        <v>1282</v>
      </c>
      <c r="C92" s="1126"/>
      <c r="D92" s="695">
        <f>+D91+1</f>
        <v>2</v>
      </c>
      <c r="E92" s="696"/>
      <c r="F92" s="697">
        <f>+'TT-11(1)'!$F$101</f>
        <v>78337435.646652862</v>
      </c>
    </row>
    <row r="93" spans="1:7" hidden="1" outlineLevel="1">
      <c r="A93" s="700"/>
      <c r="B93" s="1126" t="s">
        <v>1151</v>
      </c>
      <c r="C93" s="1126"/>
      <c r="D93" s="695">
        <f t="shared" ref="D93:D128" si="3">+D92+1</f>
        <v>3</v>
      </c>
      <c r="E93" s="701"/>
      <c r="F93" s="702"/>
      <c r="G93" s="703"/>
    </row>
    <row r="94" spans="1:7" hidden="1" outlineLevel="1">
      <c r="A94" s="1125" t="s">
        <v>1152</v>
      </c>
      <c r="B94" s="1125"/>
      <c r="C94" s="1125"/>
      <c r="D94" s="695">
        <f t="shared" si="3"/>
        <v>4</v>
      </c>
      <c r="E94" s="701"/>
      <c r="F94" s="702">
        <f>+'TT-11(1)'!$I$101</f>
        <v>8570876.4261053596</v>
      </c>
      <c r="G94" s="703"/>
    </row>
    <row r="95" spans="1:7" hidden="1" outlineLevel="1">
      <c r="A95" s="1125" t="s">
        <v>1153</v>
      </c>
      <c r="B95" s="1125"/>
      <c r="C95" s="1125"/>
      <c r="D95" s="695">
        <f t="shared" si="3"/>
        <v>5</v>
      </c>
      <c r="E95" s="701"/>
      <c r="F95" s="702">
        <f>+F92-F94</f>
        <v>69766559.220547497</v>
      </c>
      <c r="G95" s="703"/>
    </row>
    <row r="96" spans="1:7" hidden="1" outlineLevel="1">
      <c r="A96" s="1125" t="s">
        <v>1154</v>
      </c>
      <c r="B96" s="1125"/>
      <c r="C96" s="1125"/>
      <c r="D96" s="695">
        <f t="shared" si="3"/>
        <v>6</v>
      </c>
      <c r="E96" s="701"/>
      <c r="F96" s="702">
        <f>+F95*0.1</f>
        <v>6976655.9220547499</v>
      </c>
      <c r="G96" s="703"/>
    </row>
    <row r="97" spans="1:7" hidden="1" outlineLevel="1">
      <c r="A97" s="1125" t="s">
        <v>1155</v>
      </c>
      <c r="B97" s="1125"/>
      <c r="C97" s="1125"/>
      <c r="D97" s="695">
        <f t="shared" si="3"/>
        <v>7</v>
      </c>
      <c r="E97" s="701"/>
      <c r="F97" s="702"/>
      <c r="G97" s="703"/>
    </row>
    <row r="98" spans="1:7" hidden="1" outlineLevel="1">
      <c r="A98" s="700"/>
      <c r="B98" s="1126" t="s">
        <v>1156</v>
      </c>
      <c r="C98" s="1126"/>
      <c r="D98" s="695">
        <f t="shared" si="3"/>
        <v>8</v>
      </c>
      <c r="E98" s="701"/>
      <c r="F98" s="702"/>
      <c r="G98" s="703"/>
    </row>
    <row r="99" spans="1:7" hidden="1" outlineLevel="1">
      <c r="A99" s="1125" t="s">
        <v>1157</v>
      </c>
      <c r="B99" s="1125"/>
      <c r="C99" s="1125"/>
      <c r="D99" s="695">
        <f t="shared" si="3"/>
        <v>9</v>
      </c>
      <c r="E99" s="701"/>
      <c r="F99" s="702"/>
      <c r="G99" s="703"/>
    </row>
    <row r="100" spans="1:7" hidden="1" outlineLevel="1">
      <c r="A100" s="879"/>
      <c r="B100" s="1126" t="s">
        <v>1158</v>
      </c>
      <c r="C100" s="1126"/>
      <c r="D100" s="695">
        <f t="shared" si="3"/>
        <v>10</v>
      </c>
      <c r="E100" s="701"/>
      <c r="F100" s="702"/>
      <c r="G100" s="703"/>
    </row>
    <row r="101" spans="1:7" hidden="1" outlineLevel="1">
      <c r="A101" s="1125" t="s">
        <v>2306</v>
      </c>
      <c r="B101" s="1125"/>
      <c r="C101" s="1125"/>
      <c r="D101" s="695">
        <f t="shared" si="3"/>
        <v>11</v>
      </c>
      <c r="E101" s="701"/>
      <c r="F101" s="702"/>
      <c r="G101" s="703"/>
    </row>
    <row r="102" spans="1:7" hidden="1" outlineLevel="1">
      <c r="A102" s="879"/>
      <c r="B102" s="1126" t="s">
        <v>1159</v>
      </c>
      <c r="C102" s="1126"/>
      <c r="D102" s="695">
        <f t="shared" si="3"/>
        <v>12</v>
      </c>
      <c r="E102" s="701"/>
      <c r="F102" s="702"/>
      <c r="G102" s="703"/>
    </row>
    <row r="103" spans="1:7" hidden="1" outlineLevel="1">
      <c r="A103" s="1125" t="s">
        <v>1160</v>
      </c>
      <c r="B103" s="1125"/>
      <c r="C103" s="1125"/>
      <c r="D103" s="695">
        <f t="shared" si="3"/>
        <v>13</v>
      </c>
      <c r="E103" s="701"/>
      <c r="F103" s="702"/>
      <c r="G103" s="703"/>
    </row>
    <row r="104" spans="1:7" hidden="1" outlineLevel="1">
      <c r="A104" s="879"/>
      <c r="B104" s="1126" t="s">
        <v>1161</v>
      </c>
      <c r="C104" s="1126"/>
      <c r="D104" s="695">
        <f t="shared" si="3"/>
        <v>14</v>
      </c>
      <c r="E104" s="701"/>
      <c r="F104" s="702"/>
      <c r="G104" s="703"/>
    </row>
    <row r="105" spans="1:7" hidden="1" outlineLevel="1">
      <c r="A105" s="1125" t="s">
        <v>2307</v>
      </c>
      <c r="B105" s="1125"/>
      <c r="C105" s="1125"/>
      <c r="D105" s="695">
        <f t="shared" si="3"/>
        <v>15</v>
      </c>
      <c r="E105" s="701"/>
      <c r="F105" s="702">
        <f>+F96+F97+F99+F101+F103</f>
        <v>6976655.9220547499</v>
      </c>
      <c r="G105" s="703"/>
    </row>
    <row r="106" spans="1:7" ht="38.25" hidden="1" outlineLevel="1">
      <c r="A106" s="1127" t="s">
        <v>1162</v>
      </c>
      <c r="B106" s="1127"/>
      <c r="C106" s="707" t="s">
        <v>1163</v>
      </c>
      <c r="D106" s="695">
        <f t="shared" si="3"/>
        <v>16</v>
      </c>
      <c r="E106" s="696"/>
      <c r="F106" s="697">
        <f>+'TT-11(1)'!$L$101</f>
        <v>1696893.8920634924</v>
      </c>
    </row>
    <row r="107" spans="1:7" ht="38.25" hidden="1" outlineLevel="1">
      <c r="A107" s="1127"/>
      <c r="B107" s="1127"/>
      <c r="C107" s="707" t="s">
        <v>1164</v>
      </c>
      <c r="D107" s="695">
        <f t="shared" si="3"/>
        <v>17</v>
      </c>
      <c r="E107" s="696"/>
      <c r="F107" s="697"/>
    </row>
    <row r="108" spans="1:7" hidden="1" outlineLevel="1">
      <c r="A108" s="1125" t="s">
        <v>1165</v>
      </c>
      <c r="B108" s="1125"/>
      <c r="C108" s="1125"/>
      <c r="D108" s="695">
        <f t="shared" si="3"/>
        <v>18</v>
      </c>
      <c r="E108" s="696"/>
      <c r="F108" s="697">
        <f>+F96-F106</f>
        <v>5279762.0299912579</v>
      </c>
    </row>
    <row r="109" spans="1:7" hidden="1" outlineLevel="1">
      <c r="A109" s="708" t="s">
        <v>1166</v>
      </c>
      <c r="B109" s="880"/>
      <c r="C109" s="880"/>
      <c r="D109" s="695"/>
      <c r="E109" s="696"/>
      <c r="F109" s="697"/>
    </row>
    <row r="110" spans="1:7" hidden="1" outlineLevel="1">
      <c r="A110" s="1122" t="s">
        <v>1167</v>
      </c>
      <c r="B110" s="1122"/>
      <c r="C110" s="1122"/>
      <c r="D110" s="695">
        <f>+D108+1</f>
        <v>19</v>
      </c>
      <c r="E110" s="696"/>
      <c r="F110" s="697"/>
    </row>
    <row r="111" spans="1:7" hidden="1" outlineLevel="1">
      <c r="A111" s="1122" t="s">
        <v>2308</v>
      </c>
      <c r="B111" s="1122"/>
      <c r="C111" s="1122"/>
      <c r="D111" s="695">
        <f t="shared" si="3"/>
        <v>20</v>
      </c>
      <c r="E111" s="696"/>
      <c r="F111" s="697"/>
    </row>
    <row r="112" spans="1:7" hidden="1" outlineLevel="1">
      <c r="A112" s="711"/>
      <c r="B112" s="1123" t="s">
        <v>1168</v>
      </c>
      <c r="C112" s="1123"/>
      <c r="D112" s="695">
        <f t="shared" si="3"/>
        <v>21</v>
      </c>
      <c r="E112" s="696"/>
      <c r="F112" s="697"/>
    </row>
    <row r="113" spans="1:6" hidden="1" outlineLevel="1">
      <c r="A113" s="711"/>
      <c r="B113" s="1123" t="s">
        <v>1169</v>
      </c>
      <c r="C113" s="1123"/>
      <c r="D113" s="695">
        <f t="shared" si="3"/>
        <v>22</v>
      </c>
      <c r="E113" s="696"/>
      <c r="F113" s="697"/>
    </row>
    <row r="114" spans="1:6" hidden="1" outlineLevel="1">
      <c r="A114" s="711"/>
      <c r="B114" s="1123" t="s">
        <v>1170</v>
      </c>
      <c r="C114" s="1123"/>
      <c r="D114" s="695">
        <f t="shared" si="3"/>
        <v>23</v>
      </c>
      <c r="E114" s="696"/>
      <c r="F114" s="697"/>
    </row>
    <row r="115" spans="1:6" hidden="1" outlineLevel="1">
      <c r="A115" s="711"/>
      <c r="B115" s="1123" t="s">
        <v>1171</v>
      </c>
      <c r="C115" s="1123"/>
      <c r="D115" s="695">
        <f t="shared" si="3"/>
        <v>24</v>
      </c>
      <c r="E115" s="696"/>
      <c r="F115" s="697"/>
    </row>
    <row r="116" spans="1:6" hidden="1" outlineLevel="1">
      <c r="A116" s="711"/>
      <c r="B116" s="1123" t="s">
        <v>1172</v>
      </c>
      <c r="C116" s="1123"/>
      <c r="D116" s="695">
        <f t="shared" si="3"/>
        <v>25</v>
      </c>
      <c r="E116" s="696"/>
      <c r="F116" s="697"/>
    </row>
    <row r="117" spans="1:6" hidden="1" outlineLevel="1">
      <c r="A117" s="711"/>
      <c r="B117" s="1123" t="s">
        <v>1173</v>
      </c>
      <c r="C117" s="1123"/>
      <c r="D117" s="695">
        <f t="shared" si="3"/>
        <v>26</v>
      </c>
      <c r="E117" s="696"/>
      <c r="F117" s="697"/>
    </row>
    <row r="118" spans="1:6" hidden="1" outlineLevel="1">
      <c r="A118" s="711"/>
      <c r="B118" s="1123" t="s">
        <v>1174</v>
      </c>
      <c r="C118" s="1123"/>
      <c r="D118" s="695">
        <f t="shared" si="3"/>
        <v>27</v>
      </c>
      <c r="E118" s="696"/>
      <c r="F118" s="697"/>
    </row>
    <row r="119" spans="1:6" hidden="1" outlineLevel="1">
      <c r="A119" s="1122" t="s">
        <v>2309</v>
      </c>
      <c r="B119" s="1122"/>
      <c r="C119" s="1122"/>
      <c r="D119" s="695">
        <f t="shared" si="3"/>
        <v>28</v>
      </c>
      <c r="E119" s="696"/>
      <c r="F119" s="697"/>
    </row>
    <row r="120" spans="1:6" hidden="1" outlineLevel="1">
      <c r="A120" s="711"/>
      <c r="B120" s="1124" t="s">
        <v>1175</v>
      </c>
      <c r="C120" s="1124"/>
      <c r="D120" s="695">
        <f t="shared" si="3"/>
        <v>29</v>
      </c>
      <c r="E120" s="696"/>
      <c r="F120" s="697"/>
    </row>
    <row r="121" spans="1:6" hidden="1" outlineLevel="1">
      <c r="A121" s="711"/>
      <c r="B121" s="1123" t="s">
        <v>1176</v>
      </c>
      <c r="C121" s="1123"/>
      <c r="D121" s="695">
        <f t="shared" si="3"/>
        <v>30</v>
      </c>
      <c r="E121" s="696"/>
      <c r="F121" s="697"/>
    </row>
    <row r="122" spans="1:6" hidden="1" outlineLevel="1">
      <c r="A122" s="711"/>
      <c r="B122" s="1123" t="s">
        <v>1177</v>
      </c>
      <c r="C122" s="1123"/>
      <c r="D122" s="695">
        <f t="shared" si="3"/>
        <v>31</v>
      </c>
      <c r="E122" s="696"/>
      <c r="F122" s="697"/>
    </row>
    <row r="123" spans="1:6" hidden="1" outlineLevel="1">
      <c r="A123" s="711"/>
      <c r="B123" s="1123" t="s">
        <v>1178</v>
      </c>
      <c r="C123" s="1123"/>
      <c r="D123" s="695">
        <f t="shared" si="3"/>
        <v>32</v>
      </c>
      <c r="E123" s="696"/>
      <c r="F123" s="697"/>
    </row>
    <row r="124" spans="1:6" hidden="1" outlineLevel="1">
      <c r="A124" s="1122" t="s">
        <v>1179</v>
      </c>
      <c r="B124" s="1122"/>
      <c r="C124" s="1122"/>
      <c r="D124" s="695">
        <f t="shared" si="3"/>
        <v>33</v>
      </c>
      <c r="E124" s="696"/>
      <c r="F124" s="697">
        <f>+F111*0.1</f>
        <v>0</v>
      </c>
    </row>
    <row r="125" spans="1:6" hidden="1" outlineLevel="1">
      <c r="A125" s="1122" t="s">
        <v>1180</v>
      </c>
      <c r="B125" s="1122"/>
      <c r="C125" s="1122"/>
      <c r="D125" s="695">
        <f t="shared" si="3"/>
        <v>34</v>
      </c>
      <c r="E125" s="696"/>
      <c r="F125" s="697">
        <f>+F124+F108</f>
        <v>5279762.0299912579</v>
      </c>
    </row>
    <row r="126" spans="1:6" hidden="1" outlineLevel="1">
      <c r="A126" s="1122" t="s">
        <v>1181</v>
      </c>
      <c r="B126" s="1122"/>
      <c r="C126" s="1122"/>
      <c r="D126" s="695">
        <f t="shared" si="3"/>
        <v>35</v>
      </c>
      <c r="E126" s="696"/>
      <c r="F126" s="697"/>
    </row>
    <row r="127" spans="1:6" hidden="1" outlineLevel="1">
      <c r="A127" s="1122" t="s">
        <v>1182</v>
      </c>
      <c r="B127" s="1122"/>
      <c r="C127" s="1122"/>
      <c r="D127" s="695">
        <f t="shared" si="3"/>
        <v>36</v>
      </c>
      <c r="E127" s="696"/>
      <c r="F127" s="712"/>
    </row>
    <row r="128" spans="1:6" hidden="1" outlineLevel="1">
      <c r="A128" s="1122" t="s">
        <v>1183</v>
      </c>
      <c r="B128" s="1122"/>
      <c r="C128" s="1122"/>
      <c r="D128" s="695">
        <f t="shared" si="3"/>
        <v>37</v>
      </c>
      <c r="E128" s="696"/>
      <c r="F128" s="697"/>
    </row>
    <row r="129" spans="1:7" hidden="1" outlineLevel="1">
      <c r="E129" s="713"/>
    </row>
    <row r="130" spans="1:7" hidden="1" outlineLevel="1">
      <c r="A130" s="690" t="s">
        <v>1184</v>
      </c>
      <c r="E130" s="713" t="s">
        <v>1185</v>
      </c>
      <c r="F130" s="679" t="s">
        <v>1186</v>
      </c>
    </row>
    <row r="131" spans="1:7" hidden="1" outlineLevel="1">
      <c r="A131" s="711" t="s">
        <v>1187</v>
      </c>
      <c r="B131" s="711"/>
      <c r="C131" s="711"/>
      <c r="D131" s="714"/>
      <c r="E131" s="712"/>
      <c r="F131" s="715">
        <f>+STAT1!H27</f>
        <v>53998.17</v>
      </c>
    </row>
    <row r="132" spans="1:7" hidden="1" outlineLevel="1">
      <c r="A132" s="711" t="s">
        <v>1188</v>
      </c>
      <c r="B132" s="711"/>
      <c r="C132" s="711"/>
      <c r="D132" s="714"/>
      <c r="E132" s="712">
        <f>+F108</f>
        <v>5279762.0299912579</v>
      </c>
      <c r="F132" s="712"/>
    </row>
    <row r="133" spans="1:7" hidden="1" outlineLevel="1">
      <c r="A133" s="711" t="s">
        <v>1189</v>
      </c>
      <c r="B133" s="711"/>
      <c r="C133" s="711"/>
      <c r="D133" s="714"/>
      <c r="E133" s="712"/>
      <c r="F133" s="712"/>
    </row>
    <row r="134" spans="1:7" hidden="1" outlineLevel="1">
      <c r="A134" s="711" t="s">
        <v>1190</v>
      </c>
      <c r="B134" s="711"/>
      <c r="C134" s="711"/>
      <c r="D134" s="714"/>
      <c r="E134" s="712">
        <f>+E132-F131</f>
        <v>5225763.859991258</v>
      </c>
      <c r="F134" s="712"/>
    </row>
    <row r="135" spans="1:7" hidden="1" outlineLevel="1">
      <c r="E135" s="713"/>
    </row>
    <row r="136" spans="1:7" hidden="1" outlineLevel="1">
      <c r="B136" s="678" t="s">
        <v>1191</v>
      </c>
      <c r="C136" s="717"/>
      <c r="D136" s="142"/>
      <c r="G136" s="142"/>
    </row>
    <row r="137" spans="1:7" hidden="1" outlineLevel="1">
      <c r="C137" s="717"/>
      <c r="D137" s="142"/>
      <c r="G137" s="142"/>
    </row>
    <row r="138" spans="1:7" hidden="1" outlineLevel="1">
      <c r="B138" s="703"/>
      <c r="C138" s="717"/>
      <c r="D138" s="142"/>
      <c r="G138" s="142"/>
    </row>
    <row r="139" spans="1:7" hidden="1" outlineLevel="1">
      <c r="B139" s="678" t="s">
        <v>1192</v>
      </c>
      <c r="C139" s="717"/>
      <c r="D139" s="142"/>
      <c r="G139" s="142"/>
    </row>
    <row r="140" spans="1:7" hidden="1" outlineLevel="1">
      <c r="B140" s="703"/>
      <c r="C140" s="717"/>
      <c r="D140" s="142"/>
      <c r="G140" s="142"/>
    </row>
    <row r="141" spans="1:7" hidden="1" outlineLevel="1">
      <c r="B141" s="678" t="s">
        <v>1193</v>
      </c>
      <c r="C141" s="717"/>
      <c r="D141" s="142"/>
      <c r="G141" s="142"/>
    </row>
    <row r="142" spans="1:7" hidden="1" outlineLevel="1">
      <c r="B142" s="703"/>
      <c r="C142" s="717"/>
      <c r="D142" s="142"/>
      <c r="G142" s="142"/>
    </row>
    <row r="143" spans="1:7" hidden="1" outlineLevel="1">
      <c r="B143" s="678" t="s">
        <v>1194</v>
      </c>
      <c r="C143" s="717"/>
      <c r="D143" s="142"/>
      <c r="G143" s="142"/>
    </row>
    <row r="144" spans="1:7" hidden="1" outlineLevel="1"/>
    <row r="145" spans="1:6" hidden="1" outlineLevel="1">
      <c r="B145" s="889" t="s">
        <v>2645</v>
      </c>
    </row>
    <row r="146" spans="1:6" collapsed="1"/>
    <row r="147" spans="1:6" outlineLevel="1"/>
    <row r="148" spans="1:6" outlineLevel="1"/>
    <row r="149" spans="1:6" outlineLevel="1">
      <c r="D149" s="679"/>
      <c r="F149" s="801" t="s">
        <v>2288</v>
      </c>
    </row>
    <row r="150" spans="1:6" outlineLevel="1">
      <c r="E150" s="679"/>
      <c r="F150" s="801" t="s">
        <v>1131</v>
      </c>
    </row>
    <row r="151" spans="1:6" outlineLevel="1"/>
    <row r="152" spans="1:6" ht="13.5" outlineLevel="1" thickBot="1">
      <c r="A152" s="683"/>
      <c r="B152" s="683"/>
      <c r="C152" s="1130" t="s">
        <v>1132</v>
      </c>
      <c r="D152" s="1130"/>
      <c r="E152" s="1130"/>
      <c r="F152" s="1130"/>
    </row>
    <row r="153" spans="1:6" ht="13.5" outlineLevel="1" thickTop="1">
      <c r="A153" s="1131" t="s">
        <v>1133</v>
      </c>
      <c r="B153" s="1131"/>
      <c r="C153" s="1131"/>
      <c r="D153" s="1131"/>
      <c r="E153" s="1131"/>
      <c r="F153" s="1131"/>
    </row>
    <row r="154" spans="1:6" outlineLevel="1">
      <c r="A154" s="1132" t="s">
        <v>1134</v>
      </c>
      <c r="B154" s="1132"/>
      <c r="C154" s="1132"/>
      <c r="D154" s="1132"/>
      <c r="E154" s="1132"/>
      <c r="F154" s="1132"/>
    </row>
    <row r="155" spans="1:6" outlineLevel="1">
      <c r="A155" s="685" t="s">
        <v>2706</v>
      </c>
      <c r="B155" s="902"/>
      <c r="C155" s="902"/>
      <c r="D155" s="902"/>
      <c r="E155" s="687"/>
      <c r="F155" s="688"/>
    </row>
    <row r="156" spans="1:6" ht="12.75" customHeight="1" outlineLevel="1">
      <c r="A156" s="685"/>
      <c r="C156" s="902"/>
      <c r="D156" s="1133" t="s">
        <v>1135</v>
      </c>
      <c r="E156" s="1133"/>
      <c r="F156" s="1133"/>
    </row>
    <row r="157" spans="1:6" outlineLevel="1">
      <c r="A157" s="689" t="s">
        <v>2702</v>
      </c>
      <c r="B157" s="902"/>
      <c r="C157" s="902"/>
      <c r="D157" s="1134" t="s">
        <v>1136</v>
      </c>
      <c r="E157" s="1134"/>
      <c r="F157" s="1134"/>
    </row>
    <row r="158" spans="1:6" outlineLevel="1">
      <c r="A158" s="689"/>
      <c r="B158" s="902"/>
      <c r="C158" s="902"/>
      <c r="D158" s="1134" t="s">
        <v>1137</v>
      </c>
      <c r="E158" s="1134"/>
      <c r="F158" s="1134"/>
    </row>
    <row r="159" spans="1:6" outlineLevel="1">
      <c r="A159" s="685"/>
      <c r="B159" s="902"/>
      <c r="C159" s="902"/>
      <c r="D159" s="1132"/>
      <c r="E159" s="1132"/>
      <c r="F159" s="1132"/>
    </row>
    <row r="160" spans="1:6" outlineLevel="1">
      <c r="A160" s="678" t="s">
        <v>1138</v>
      </c>
      <c r="D160" s="1135" t="s">
        <v>1139</v>
      </c>
      <c r="E160" s="1135"/>
      <c r="F160" s="1135"/>
    </row>
    <row r="161" spans="1:6" outlineLevel="1">
      <c r="D161" s="682" t="s">
        <v>1140</v>
      </c>
    </row>
    <row r="162" spans="1:6" outlineLevel="1">
      <c r="A162" s="690" t="s">
        <v>1141</v>
      </c>
      <c r="D162" s="1136"/>
      <c r="E162" s="1136"/>
      <c r="F162" s="1136"/>
    </row>
    <row r="163" spans="1:6" ht="38.25" outlineLevel="1">
      <c r="A163" s="691"/>
      <c r="B163" s="1128" t="s">
        <v>1142</v>
      </c>
      <c r="C163" s="1128"/>
      <c r="D163" s="904" t="s">
        <v>1143</v>
      </c>
      <c r="E163" s="693" t="s">
        <v>1144</v>
      </c>
      <c r="F163" s="694" t="s">
        <v>1145</v>
      </c>
    </row>
    <row r="164" spans="1:6" outlineLevel="1">
      <c r="A164" s="691"/>
      <c r="B164" s="1129" t="s">
        <v>1146</v>
      </c>
      <c r="C164" s="1129"/>
      <c r="D164" s="904" t="s">
        <v>1147</v>
      </c>
      <c r="E164" s="693" t="s">
        <v>1148</v>
      </c>
      <c r="F164" s="694" t="s">
        <v>1149</v>
      </c>
    </row>
    <row r="165" spans="1:6" outlineLevel="1">
      <c r="A165" s="1127" t="s">
        <v>1150</v>
      </c>
      <c r="B165" s="1127"/>
      <c r="C165" s="1127"/>
      <c r="D165" s="695">
        <v>1</v>
      </c>
      <c r="E165" s="696"/>
      <c r="F165" s="697">
        <f>+F166+F167</f>
        <v>106071624.89166708</v>
      </c>
    </row>
    <row r="166" spans="1:6" outlineLevel="1">
      <c r="A166" s="700"/>
      <c r="B166" s="1126" t="s">
        <v>1282</v>
      </c>
      <c r="C166" s="1126"/>
      <c r="D166" s="695">
        <f>+D165+1</f>
        <v>2</v>
      </c>
      <c r="E166" s="696"/>
      <c r="F166" s="697">
        <f>+'TT-11(1)'!$F$157</f>
        <v>106071624.89166708</v>
      </c>
    </row>
    <row r="167" spans="1:6" outlineLevel="1">
      <c r="A167" s="700"/>
      <c r="B167" s="1126" t="s">
        <v>1151</v>
      </c>
      <c r="C167" s="1126"/>
      <c r="D167" s="695">
        <f t="shared" ref="D167:D202" si="4">+D166+1</f>
        <v>3</v>
      </c>
      <c r="E167" s="701"/>
      <c r="F167" s="702"/>
    </row>
    <row r="168" spans="1:6" outlineLevel="1">
      <c r="A168" s="1125" t="s">
        <v>1152</v>
      </c>
      <c r="B168" s="1125"/>
      <c r="C168" s="1125"/>
      <c r="D168" s="695">
        <f t="shared" si="4"/>
        <v>4</v>
      </c>
      <c r="E168" s="701"/>
      <c r="F168" s="702">
        <f>+'TT-11(1)'!$I$157</f>
        <v>11592335.092059774</v>
      </c>
    </row>
    <row r="169" spans="1:6" outlineLevel="1">
      <c r="A169" s="1125" t="s">
        <v>1153</v>
      </c>
      <c r="B169" s="1125"/>
      <c r="C169" s="1125"/>
      <c r="D169" s="695">
        <f t="shared" si="4"/>
        <v>5</v>
      </c>
      <c r="E169" s="701"/>
      <c r="F169" s="702">
        <f>+F166-F168</f>
        <v>94479289.799607307</v>
      </c>
    </row>
    <row r="170" spans="1:6" outlineLevel="1">
      <c r="A170" s="1125" t="s">
        <v>1154</v>
      </c>
      <c r="B170" s="1125"/>
      <c r="C170" s="1125"/>
      <c r="D170" s="695">
        <f t="shared" si="4"/>
        <v>6</v>
      </c>
      <c r="E170" s="701"/>
      <c r="F170" s="702">
        <f>+F169*0.1</f>
        <v>9447928.9799607303</v>
      </c>
    </row>
    <row r="171" spans="1:6" outlineLevel="1">
      <c r="A171" s="1125" t="s">
        <v>1155</v>
      </c>
      <c r="B171" s="1125"/>
      <c r="C171" s="1125"/>
      <c r="D171" s="695">
        <f t="shared" si="4"/>
        <v>7</v>
      </c>
      <c r="E171" s="701"/>
      <c r="F171" s="702"/>
    </row>
    <row r="172" spans="1:6" outlineLevel="1">
      <c r="A172" s="700"/>
      <c r="B172" s="1126" t="s">
        <v>1156</v>
      </c>
      <c r="C172" s="1126"/>
      <c r="D172" s="695">
        <f t="shared" si="4"/>
        <v>8</v>
      </c>
      <c r="E172" s="701"/>
      <c r="F172" s="702"/>
    </row>
    <row r="173" spans="1:6" outlineLevel="1">
      <c r="A173" s="1125" t="s">
        <v>1157</v>
      </c>
      <c r="B173" s="1125"/>
      <c r="C173" s="1125"/>
      <c r="D173" s="695">
        <f t="shared" si="4"/>
        <v>9</v>
      </c>
      <c r="E173" s="701"/>
      <c r="F173" s="702"/>
    </row>
    <row r="174" spans="1:6" outlineLevel="1">
      <c r="A174" s="905"/>
      <c r="B174" s="1126" t="s">
        <v>1158</v>
      </c>
      <c r="C174" s="1126"/>
      <c r="D174" s="695">
        <f t="shared" si="4"/>
        <v>10</v>
      </c>
      <c r="E174" s="701"/>
      <c r="F174" s="702"/>
    </row>
    <row r="175" spans="1:6" outlineLevel="1">
      <c r="A175" s="1125" t="s">
        <v>2306</v>
      </c>
      <c r="B175" s="1125"/>
      <c r="C175" s="1125"/>
      <c r="D175" s="695">
        <f t="shared" si="4"/>
        <v>11</v>
      </c>
      <c r="E175" s="701"/>
      <c r="F175" s="702"/>
    </row>
    <row r="176" spans="1:6" outlineLevel="1">
      <c r="A176" s="905"/>
      <c r="B176" s="1126" t="s">
        <v>1159</v>
      </c>
      <c r="C176" s="1126"/>
      <c r="D176" s="695">
        <f t="shared" si="4"/>
        <v>12</v>
      </c>
      <c r="E176" s="701"/>
      <c r="F176" s="702"/>
    </row>
    <row r="177" spans="1:6" outlineLevel="1">
      <c r="A177" s="1125" t="s">
        <v>1160</v>
      </c>
      <c r="B177" s="1125"/>
      <c r="C177" s="1125"/>
      <c r="D177" s="695">
        <f t="shared" si="4"/>
        <v>13</v>
      </c>
      <c r="E177" s="701"/>
      <c r="F177" s="702"/>
    </row>
    <row r="178" spans="1:6" outlineLevel="1">
      <c r="A178" s="905"/>
      <c r="B178" s="1126" t="s">
        <v>1161</v>
      </c>
      <c r="C178" s="1126"/>
      <c r="D178" s="695">
        <f t="shared" si="4"/>
        <v>14</v>
      </c>
      <c r="E178" s="701"/>
      <c r="F178" s="702"/>
    </row>
    <row r="179" spans="1:6" outlineLevel="1">
      <c r="A179" s="1125" t="s">
        <v>2307</v>
      </c>
      <c r="B179" s="1125"/>
      <c r="C179" s="1125"/>
      <c r="D179" s="695">
        <f t="shared" si="4"/>
        <v>15</v>
      </c>
      <c r="E179" s="701"/>
      <c r="F179" s="702">
        <f>+F170+F171+F173+F175+F177</f>
        <v>9447928.9799607303</v>
      </c>
    </row>
    <row r="180" spans="1:6" ht="38.25" outlineLevel="1">
      <c r="A180" s="1127" t="s">
        <v>1162</v>
      </c>
      <c r="B180" s="1127"/>
      <c r="C180" s="707" t="s">
        <v>1163</v>
      </c>
      <c r="D180" s="695">
        <f t="shared" si="4"/>
        <v>16</v>
      </c>
      <c r="E180" s="696"/>
      <c r="F180" s="697">
        <f>+'TT-11(1)'!$L$157</f>
        <v>2230227.2253968255</v>
      </c>
    </row>
    <row r="181" spans="1:6" ht="38.25" outlineLevel="1">
      <c r="A181" s="1127"/>
      <c r="B181" s="1127"/>
      <c r="C181" s="707" t="s">
        <v>1164</v>
      </c>
      <c r="D181" s="695">
        <f t="shared" si="4"/>
        <v>17</v>
      </c>
      <c r="E181" s="696"/>
      <c r="F181" s="697"/>
    </row>
    <row r="182" spans="1:6" outlineLevel="1">
      <c r="A182" s="1125" t="s">
        <v>1165</v>
      </c>
      <c r="B182" s="1125"/>
      <c r="C182" s="1125"/>
      <c r="D182" s="695">
        <f t="shared" si="4"/>
        <v>18</v>
      </c>
      <c r="E182" s="696"/>
      <c r="F182" s="697">
        <f>+F170-F180</f>
        <v>7217701.7545639053</v>
      </c>
    </row>
    <row r="183" spans="1:6" outlineLevel="1">
      <c r="A183" s="708" t="s">
        <v>1166</v>
      </c>
      <c r="B183" s="903"/>
      <c r="C183" s="903"/>
      <c r="D183" s="695"/>
      <c r="E183" s="696"/>
      <c r="F183" s="697"/>
    </row>
    <row r="184" spans="1:6" outlineLevel="1">
      <c r="A184" s="1122" t="s">
        <v>1167</v>
      </c>
      <c r="B184" s="1122"/>
      <c r="C184" s="1122"/>
      <c r="D184" s="695">
        <f>+D182+1</f>
        <v>19</v>
      </c>
      <c r="E184" s="696"/>
      <c r="F184" s="697"/>
    </row>
    <row r="185" spans="1:6" outlineLevel="1">
      <c r="A185" s="1122" t="s">
        <v>2308</v>
      </c>
      <c r="B185" s="1122"/>
      <c r="C185" s="1122"/>
      <c r="D185" s="695">
        <f t="shared" si="4"/>
        <v>20</v>
      </c>
      <c r="E185" s="696"/>
      <c r="F185" s="697"/>
    </row>
    <row r="186" spans="1:6" outlineLevel="1">
      <c r="A186" s="711"/>
      <c r="B186" s="1123" t="s">
        <v>1168</v>
      </c>
      <c r="C186" s="1123"/>
      <c r="D186" s="695">
        <f t="shared" si="4"/>
        <v>21</v>
      </c>
      <c r="E186" s="696"/>
      <c r="F186" s="697"/>
    </row>
    <row r="187" spans="1:6" outlineLevel="1">
      <c r="A187" s="711"/>
      <c r="B187" s="1123" t="s">
        <v>1169</v>
      </c>
      <c r="C187" s="1123"/>
      <c r="D187" s="695">
        <f t="shared" si="4"/>
        <v>22</v>
      </c>
      <c r="E187" s="696"/>
      <c r="F187" s="697"/>
    </row>
    <row r="188" spans="1:6" outlineLevel="1">
      <c r="A188" s="711"/>
      <c r="B188" s="1123" t="s">
        <v>1170</v>
      </c>
      <c r="C188" s="1123"/>
      <c r="D188" s="695">
        <f t="shared" si="4"/>
        <v>23</v>
      </c>
      <c r="E188" s="696"/>
      <c r="F188" s="697"/>
    </row>
    <row r="189" spans="1:6" outlineLevel="1">
      <c r="A189" s="711"/>
      <c r="B189" s="1123" t="s">
        <v>1171</v>
      </c>
      <c r="C189" s="1123"/>
      <c r="D189" s="695">
        <f t="shared" si="4"/>
        <v>24</v>
      </c>
      <c r="E189" s="696"/>
      <c r="F189" s="697"/>
    </row>
    <row r="190" spans="1:6" outlineLevel="1">
      <c r="A190" s="711"/>
      <c r="B190" s="1123" t="s">
        <v>1172</v>
      </c>
      <c r="C190" s="1123"/>
      <c r="D190" s="695">
        <f t="shared" si="4"/>
        <v>25</v>
      </c>
      <c r="E190" s="696"/>
      <c r="F190" s="697"/>
    </row>
    <row r="191" spans="1:6" outlineLevel="1">
      <c r="A191" s="711"/>
      <c r="B191" s="1123" t="s">
        <v>1173</v>
      </c>
      <c r="C191" s="1123"/>
      <c r="D191" s="695">
        <f t="shared" si="4"/>
        <v>26</v>
      </c>
      <c r="E191" s="696"/>
      <c r="F191" s="697"/>
    </row>
    <row r="192" spans="1:6" outlineLevel="1">
      <c r="A192" s="711"/>
      <c r="B192" s="1123" t="s">
        <v>1174</v>
      </c>
      <c r="C192" s="1123"/>
      <c r="D192" s="695">
        <f t="shared" si="4"/>
        <v>27</v>
      </c>
      <c r="E192" s="696"/>
      <c r="F192" s="697"/>
    </row>
    <row r="193" spans="1:8" outlineLevel="1">
      <c r="A193" s="1122" t="s">
        <v>2309</v>
      </c>
      <c r="B193" s="1122"/>
      <c r="C193" s="1122"/>
      <c r="D193" s="695">
        <f t="shared" si="4"/>
        <v>28</v>
      </c>
      <c r="E193" s="696"/>
      <c r="F193" s="697"/>
    </row>
    <row r="194" spans="1:8" outlineLevel="1">
      <c r="A194" s="711"/>
      <c r="B194" s="1124" t="s">
        <v>1175</v>
      </c>
      <c r="C194" s="1124"/>
      <c r="D194" s="695">
        <f t="shared" si="4"/>
        <v>29</v>
      </c>
      <c r="E194" s="696"/>
      <c r="F194" s="697"/>
    </row>
    <row r="195" spans="1:8" outlineLevel="1">
      <c r="A195" s="711"/>
      <c r="B195" s="1123" t="s">
        <v>1176</v>
      </c>
      <c r="C195" s="1123"/>
      <c r="D195" s="695">
        <f t="shared" si="4"/>
        <v>30</v>
      </c>
      <c r="E195" s="696"/>
      <c r="F195" s="697"/>
    </row>
    <row r="196" spans="1:8" outlineLevel="1">
      <c r="A196" s="711"/>
      <c r="B196" s="1123" t="s">
        <v>1177</v>
      </c>
      <c r="C196" s="1123"/>
      <c r="D196" s="695">
        <f t="shared" si="4"/>
        <v>31</v>
      </c>
      <c r="E196" s="696"/>
      <c r="F196" s="697"/>
    </row>
    <row r="197" spans="1:8" outlineLevel="1">
      <c r="A197" s="711"/>
      <c r="B197" s="1123" t="s">
        <v>1178</v>
      </c>
      <c r="C197" s="1123"/>
      <c r="D197" s="695">
        <f t="shared" si="4"/>
        <v>32</v>
      </c>
      <c r="E197" s="696"/>
      <c r="F197" s="697"/>
    </row>
    <row r="198" spans="1:8" outlineLevel="1">
      <c r="A198" s="1122" t="s">
        <v>1179</v>
      </c>
      <c r="B198" s="1122"/>
      <c r="C198" s="1122"/>
      <c r="D198" s="695">
        <f t="shared" si="4"/>
        <v>33</v>
      </c>
      <c r="E198" s="696"/>
      <c r="F198" s="697">
        <f>+F185*0.1</f>
        <v>0</v>
      </c>
    </row>
    <row r="199" spans="1:8" outlineLevel="1">
      <c r="A199" s="1122" t="s">
        <v>1180</v>
      </c>
      <c r="B199" s="1122"/>
      <c r="C199" s="1122"/>
      <c r="D199" s="695">
        <f t="shared" si="4"/>
        <v>34</v>
      </c>
      <c r="E199" s="696"/>
      <c r="F199" s="697">
        <f>+F198+F182</f>
        <v>7217701.7545639053</v>
      </c>
    </row>
    <row r="200" spans="1:8" outlineLevel="1">
      <c r="A200" s="1122" t="s">
        <v>1181</v>
      </c>
      <c r="B200" s="1122"/>
      <c r="C200" s="1122"/>
      <c r="D200" s="695">
        <f t="shared" si="4"/>
        <v>35</v>
      </c>
      <c r="E200" s="696"/>
      <c r="F200" s="697"/>
    </row>
    <row r="201" spans="1:8" outlineLevel="1">
      <c r="A201" s="1122" t="s">
        <v>1182</v>
      </c>
      <c r="B201" s="1122"/>
      <c r="C201" s="1122"/>
      <c r="D201" s="695">
        <f t="shared" si="4"/>
        <v>36</v>
      </c>
      <c r="E201" s="696"/>
      <c r="F201" s="712"/>
    </row>
    <row r="202" spans="1:8" outlineLevel="1">
      <c r="A202" s="1122" t="s">
        <v>1183</v>
      </c>
      <c r="B202" s="1122"/>
      <c r="C202" s="1122"/>
      <c r="D202" s="695">
        <f t="shared" si="4"/>
        <v>37</v>
      </c>
      <c r="E202" s="696"/>
      <c r="F202" s="697"/>
    </row>
    <row r="203" spans="1:8" outlineLevel="1">
      <c r="E203" s="713"/>
    </row>
    <row r="204" spans="1:8" outlineLevel="1">
      <c r="A204" s="690" t="s">
        <v>1184</v>
      </c>
      <c r="E204" s="713" t="s">
        <v>1185</v>
      </c>
      <c r="F204" s="679" t="s">
        <v>1186</v>
      </c>
    </row>
    <row r="205" spans="1:8" outlineLevel="1">
      <c r="A205" s="711" t="s">
        <v>1187</v>
      </c>
      <c r="B205" s="711"/>
      <c r="C205" s="711"/>
      <c r="D205" s="714"/>
      <c r="E205" s="712"/>
      <c r="F205" s="715">
        <f>+STAT1!H27</f>
        <v>53998.17</v>
      </c>
    </row>
    <row r="206" spans="1:8" outlineLevel="1">
      <c r="A206" s="711" t="s">
        <v>1188</v>
      </c>
      <c r="B206" s="711"/>
      <c r="C206" s="711"/>
      <c r="D206" s="714"/>
      <c r="E206" s="712">
        <f>+F182</f>
        <v>7217701.7545639053</v>
      </c>
      <c r="F206" s="712"/>
    </row>
    <row r="207" spans="1:8" outlineLevel="1">
      <c r="A207" s="711" t="s">
        <v>1189</v>
      </c>
      <c r="B207" s="711"/>
      <c r="C207" s="711"/>
      <c r="D207" s="714"/>
      <c r="E207" s="712"/>
      <c r="F207" s="712">
        <v>600000</v>
      </c>
    </row>
    <row r="208" spans="1:8" outlineLevel="1">
      <c r="A208" s="711" t="s">
        <v>1190</v>
      </c>
      <c r="B208" s="711"/>
      <c r="C208" s="711"/>
      <c r="D208" s="714"/>
      <c r="E208" s="712">
        <f>+E206-F205-F207</f>
        <v>6563703.5845639054</v>
      </c>
      <c r="F208" s="712"/>
      <c r="H208" s="710">
        <f>+O12</f>
        <v>6563703.5869171834</v>
      </c>
    </row>
    <row r="209" spans="2:8" outlineLevel="1">
      <c r="E209" s="713"/>
      <c r="H209" s="710">
        <f>+H208-E208</f>
        <v>2.3532779887318611E-3</v>
      </c>
    </row>
    <row r="210" spans="2:8" outlineLevel="1">
      <c r="B210" s="678" t="s">
        <v>2704</v>
      </c>
      <c r="C210" s="717"/>
      <c r="D210" s="680"/>
    </row>
    <row r="211" spans="2:8" outlineLevel="1">
      <c r="C211" s="717"/>
      <c r="D211" s="680"/>
    </row>
    <row r="212" spans="2:8" outlineLevel="1">
      <c r="B212" s="703"/>
      <c r="C212" s="717"/>
      <c r="D212" s="680"/>
    </row>
    <row r="213" spans="2:8" outlineLevel="1">
      <c r="B213" s="678" t="s">
        <v>2703</v>
      </c>
      <c r="C213" s="717"/>
      <c r="D213" s="680"/>
    </row>
    <row r="214" spans="2:8" outlineLevel="1">
      <c r="B214" s="703"/>
      <c r="C214" s="717"/>
      <c r="D214" s="680"/>
    </row>
    <row r="215" spans="2:8" outlineLevel="1">
      <c r="B215" s="678" t="s">
        <v>1193</v>
      </c>
      <c r="C215" s="717"/>
      <c r="D215" s="680"/>
    </row>
    <row r="216" spans="2:8" outlineLevel="1">
      <c r="B216" s="703"/>
      <c r="C216" s="717"/>
      <c r="D216" s="680"/>
    </row>
    <row r="217" spans="2:8" outlineLevel="1">
      <c r="B217" s="678" t="s">
        <v>2705</v>
      </c>
      <c r="C217" s="717"/>
      <c r="D217" s="680"/>
    </row>
    <row r="218" spans="2:8" outlineLevel="1"/>
    <row r="219" spans="2:8">
      <c r="B219" s="889" t="s">
        <v>2701</v>
      </c>
    </row>
    <row r="222" spans="2:8">
      <c r="D222" s="679"/>
      <c r="F222" s="801" t="s">
        <v>2288</v>
      </c>
    </row>
    <row r="223" spans="2:8">
      <c r="E223" s="679"/>
      <c r="F223" s="801" t="s">
        <v>1131</v>
      </c>
    </row>
    <row r="225" spans="1:6" ht="13.5" thickBot="1">
      <c r="A225" s="683"/>
      <c r="B225" s="683"/>
      <c r="C225" s="1130" t="s">
        <v>1132</v>
      </c>
      <c r="D225" s="1130"/>
      <c r="E225" s="1130"/>
      <c r="F225" s="1130"/>
    </row>
    <row r="226" spans="1:6" ht="13.5" thickTop="1">
      <c r="A226" s="1131" t="s">
        <v>1133</v>
      </c>
      <c r="B226" s="1131"/>
      <c r="C226" s="1131"/>
      <c r="D226" s="1131"/>
      <c r="E226" s="1131"/>
      <c r="F226" s="1131"/>
    </row>
    <row r="227" spans="1:6">
      <c r="A227" s="1132" t="s">
        <v>1134</v>
      </c>
      <c r="B227" s="1132"/>
      <c r="C227" s="1132"/>
      <c r="D227" s="1132"/>
      <c r="E227" s="1132"/>
      <c r="F227" s="1132"/>
    </row>
    <row r="228" spans="1:6">
      <c r="A228" s="685" t="s">
        <v>2706</v>
      </c>
      <c r="B228" s="984"/>
      <c r="C228" s="984"/>
      <c r="D228" s="984"/>
      <c r="E228" s="687"/>
      <c r="F228" s="688"/>
    </row>
    <row r="229" spans="1:6">
      <c r="A229" s="685"/>
      <c r="C229" s="984"/>
      <c r="D229" s="1133" t="s">
        <v>1135</v>
      </c>
      <c r="E229" s="1133"/>
      <c r="F229" s="1133"/>
    </row>
    <row r="230" spans="1:6">
      <c r="A230" s="689" t="s">
        <v>2746</v>
      </c>
      <c r="B230" s="984"/>
      <c r="C230" s="984"/>
      <c r="D230" s="1134" t="s">
        <v>1136</v>
      </c>
      <c r="E230" s="1134"/>
      <c r="F230" s="1134"/>
    </row>
    <row r="231" spans="1:6">
      <c r="A231" s="689"/>
      <c r="B231" s="984"/>
      <c r="C231" s="984"/>
      <c r="D231" s="1134" t="s">
        <v>1137</v>
      </c>
      <c r="E231" s="1134"/>
      <c r="F231" s="1134"/>
    </row>
    <row r="232" spans="1:6">
      <c r="A232" s="685"/>
      <c r="B232" s="984"/>
      <c r="C232" s="984"/>
      <c r="D232" s="1132"/>
      <c r="E232" s="1132"/>
      <c r="F232" s="1132"/>
    </row>
    <row r="233" spans="1:6">
      <c r="A233" s="678" t="s">
        <v>1138</v>
      </c>
      <c r="D233" s="1135" t="s">
        <v>1139</v>
      </c>
      <c r="E233" s="1135"/>
      <c r="F233" s="1135"/>
    </row>
    <row r="234" spans="1:6">
      <c r="D234" s="682" t="s">
        <v>1140</v>
      </c>
    </row>
    <row r="235" spans="1:6">
      <c r="A235" s="690" t="s">
        <v>1141</v>
      </c>
      <c r="D235" s="1136"/>
      <c r="E235" s="1136"/>
      <c r="F235" s="1136"/>
    </row>
    <row r="236" spans="1:6" ht="38.25">
      <c r="A236" s="691"/>
      <c r="B236" s="1128" t="s">
        <v>1142</v>
      </c>
      <c r="C236" s="1128"/>
      <c r="D236" s="985" t="s">
        <v>1143</v>
      </c>
      <c r="E236" s="693" t="s">
        <v>1144</v>
      </c>
      <c r="F236" s="694" t="s">
        <v>1145</v>
      </c>
    </row>
    <row r="237" spans="1:6">
      <c r="A237" s="691"/>
      <c r="B237" s="1129" t="s">
        <v>1146</v>
      </c>
      <c r="C237" s="1129"/>
      <c r="D237" s="985" t="s">
        <v>1147</v>
      </c>
      <c r="E237" s="693" t="s">
        <v>1148</v>
      </c>
      <c r="F237" s="694" t="s">
        <v>1149</v>
      </c>
    </row>
    <row r="238" spans="1:6">
      <c r="A238" s="1127" t="s">
        <v>1150</v>
      </c>
      <c r="B238" s="1127"/>
      <c r="C238" s="1127"/>
      <c r="D238" s="695">
        <v>1</v>
      </c>
      <c r="E238" s="696"/>
      <c r="F238" s="697">
        <f>+F239+F240</f>
        <v>135370004.69935939</v>
      </c>
    </row>
    <row r="239" spans="1:6">
      <c r="A239" s="700"/>
      <c r="B239" s="1126" t="s">
        <v>1282</v>
      </c>
      <c r="C239" s="1126"/>
      <c r="D239" s="695">
        <f>+D238+1</f>
        <v>2</v>
      </c>
      <c r="E239" s="696"/>
      <c r="F239" s="697">
        <f>+'TT-11(1)'!H212</f>
        <v>135370004.69935939</v>
      </c>
    </row>
    <row r="240" spans="1:6">
      <c r="A240" s="700"/>
      <c r="B240" s="1126" t="s">
        <v>1151</v>
      </c>
      <c r="C240" s="1126"/>
      <c r="D240" s="695">
        <f t="shared" ref="D240:D275" si="5">+D239+1</f>
        <v>3</v>
      </c>
      <c r="E240" s="701"/>
      <c r="F240" s="702"/>
    </row>
    <row r="241" spans="1:6">
      <c r="A241" s="1125" t="s">
        <v>1152</v>
      </c>
      <c r="B241" s="1125"/>
      <c r="C241" s="1125"/>
      <c r="D241" s="695">
        <f t="shared" si="5"/>
        <v>4</v>
      </c>
      <c r="E241" s="701"/>
      <c r="F241" s="702">
        <f>+'TT-11(1)'!I212</f>
        <v>14776856.56321362</v>
      </c>
    </row>
    <row r="242" spans="1:6">
      <c r="A242" s="1125" t="s">
        <v>1153</v>
      </c>
      <c r="B242" s="1125"/>
      <c r="C242" s="1125"/>
      <c r="D242" s="695">
        <f t="shared" si="5"/>
        <v>5</v>
      </c>
      <c r="E242" s="701"/>
      <c r="F242" s="702">
        <f>+F239-F241</f>
        <v>120593148.13614577</v>
      </c>
    </row>
    <row r="243" spans="1:6">
      <c r="A243" s="1125" t="s">
        <v>1154</v>
      </c>
      <c r="B243" s="1125"/>
      <c r="C243" s="1125"/>
      <c r="D243" s="695">
        <f t="shared" si="5"/>
        <v>6</v>
      </c>
      <c r="E243" s="701"/>
      <c r="F243" s="702">
        <f>+F242*0.1</f>
        <v>12059314.813614577</v>
      </c>
    </row>
    <row r="244" spans="1:6">
      <c r="A244" s="1125" t="s">
        <v>1155</v>
      </c>
      <c r="B244" s="1125"/>
      <c r="C244" s="1125"/>
      <c r="D244" s="695">
        <f t="shared" si="5"/>
        <v>7</v>
      </c>
      <c r="E244" s="701"/>
      <c r="F244" s="702"/>
    </row>
    <row r="245" spans="1:6">
      <c r="A245" s="700"/>
      <c r="B245" s="1126" t="s">
        <v>1156</v>
      </c>
      <c r="C245" s="1126"/>
      <c r="D245" s="695">
        <f t="shared" si="5"/>
        <v>8</v>
      </c>
      <c r="E245" s="701"/>
      <c r="F245" s="702"/>
    </row>
    <row r="246" spans="1:6">
      <c r="A246" s="1125" t="s">
        <v>1157</v>
      </c>
      <c r="B246" s="1125"/>
      <c r="C246" s="1125"/>
      <c r="D246" s="695">
        <f t="shared" si="5"/>
        <v>9</v>
      </c>
      <c r="E246" s="701"/>
      <c r="F246" s="702"/>
    </row>
    <row r="247" spans="1:6">
      <c r="A247" s="983"/>
      <c r="B247" s="1126" t="s">
        <v>1158</v>
      </c>
      <c r="C247" s="1126"/>
      <c r="D247" s="695">
        <f t="shared" si="5"/>
        <v>10</v>
      </c>
      <c r="E247" s="701"/>
      <c r="F247" s="702"/>
    </row>
    <row r="248" spans="1:6">
      <c r="A248" s="1125" t="s">
        <v>2306</v>
      </c>
      <c r="B248" s="1125"/>
      <c r="C248" s="1125"/>
      <c r="D248" s="695">
        <f t="shared" si="5"/>
        <v>11</v>
      </c>
      <c r="E248" s="701"/>
      <c r="F248" s="702"/>
    </row>
    <row r="249" spans="1:6">
      <c r="A249" s="983"/>
      <c r="B249" s="1126" t="s">
        <v>1159</v>
      </c>
      <c r="C249" s="1126"/>
      <c r="D249" s="695">
        <f t="shared" si="5"/>
        <v>12</v>
      </c>
      <c r="E249" s="701"/>
      <c r="F249" s="702"/>
    </row>
    <row r="250" spans="1:6">
      <c r="A250" s="1125" t="s">
        <v>1160</v>
      </c>
      <c r="B250" s="1125"/>
      <c r="C250" s="1125"/>
      <c r="D250" s="695">
        <f t="shared" si="5"/>
        <v>13</v>
      </c>
      <c r="E250" s="701"/>
      <c r="F250" s="702"/>
    </row>
    <row r="251" spans="1:6">
      <c r="A251" s="983"/>
      <c r="B251" s="1126" t="s">
        <v>1161</v>
      </c>
      <c r="C251" s="1126"/>
      <c r="D251" s="695">
        <f t="shared" si="5"/>
        <v>14</v>
      </c>
      <c r="E251" s="701"/>
      <c r="F251" s="702"/>
    </row>
    <row r="252" spans="1:6">
      <c r="A252" s="1125" t="s">
        <v>2307</v>
      </c>
      <c r="B252" s="1125"/>
      <c r="C252" s="1125"/>
      <c r="D252" s="695">
        <f t="shared" si="5"/>
        <v>15</v>
      </c>
      <c r="E252" s="701"/>
      <c r="F252" s="702">
        <f>+F243+F244+F246+F248+F250</f>
        <v>12059314.813614577</v>
      </c>
    </row>
    <row r="253" spans="1:6" ht="38.25">
      <c r="A253" s="1127" t="s">
        <v>1162</v>
      </c>
      <c r="B253" s="1127"/>
      <c r="C253" s="707" t="s">
        <v>1163</v>
      </c>
      <c r="D253" s="695">
        <f t="shared" si="5"/>
        <v>16</v>
      </c>
      <c r="E253" s="696"/>
      <c r="F253" s="697">
        <f>+'TT-11(1)'!L212</f>
        <v>2673560.5587301585</v>
      </c>
    </row>
    <row r="254" spans="1:6" ht="38.25">
      <c r="A254" s="1127"/>
      <c r="B254" s="1127"/>
      <c r="C254" s="707" t="s">
        <v>1164</v>
      </c>
      <c r="D254" s="695">
        <f t="shared" si="5"/>
        <v>17</v>
      </c>
      <c r="E254" s="696"/>
      <c r="F254" s="697"/>
    </row>
    <row r="255" spans="1:6">
      <c r="A255" s="1125" t="s">
        <v>1165</v>
      </c>
      <c r="B255" s="1125"/>
      <c r="C255" s="1125"/>
      <c r="D255" s="695">
        <f t="shared" si="5"/>
        <v>18</v>
      </c>
      <c r="E255" s="696"/>
      <c r="F255" s="697">
        <f>+F243-F253</f>
        <v>9385754.2548844181</v>
      </c>
    </row>
    <row r="256" spans="1:6">
      <c r="A256" s="708" t="s">
        <v>1166</v>
      </c>
      <c r="B256" s="982"/>
      <c r="C256" s="982"/>
      <c r="D256" s="695"/>
      <c r="E256" s="696"/>
      <c r="F256" s="697"/>
    </row>
    <row r="257" spans="1:6">
      <c r="A257" s="1122" t="s">
        <v>1167</v>
      </c>
      <c r="B257" s="1122"/>
      <c r="C257" s="1122"/>
      <c r="D257" s="695">
        <f>+D255+1</f>
        <v>19</v>
      </c>
      <c r="E257" s="696"/>
      <c r="F257" s="697"/>
    </row>
    <row r="258" spans="1:6">
      <c r="A258" s="1122" t="s">
        <v>2308</v>
      </c>
      <c r="B258" s="1122"/>
      <c r="C258" s="1122"/>
      <c r="D258" s="695">
        <f t="shared" si="5"/>
        <v>20</v>
      </c>
      <c r="E258" s="696"/>
      <c r="F258" s="697"/>
    </row>
    <row r="259" spans="1:6">
      <c r="A259" s="711"/>
      <c r="B259" s="1123" t="s">
        <v>1168</v>
      </c>
      <c r="C259" s="1123"/>
      <c r="D259" s="695">
        <f t="shared" si="5"/>
        <v>21</v>
      </c>
      <c r="E259" s="696"/>
      <c r="F259" s="697"/>
    </row>
    <row r="260" spans="1:6">
      <c r="A260" s="711"/>
      <c r="B260" s="1123" t="s">
        <v>1169</v>
      </c>
      <c r="C260" s="1123"/>
      <c r="D260" s="695">
        <f t="shared" si="5"/>
        <v>22</v>
      </c>
      <c r="E260" s="696"/>
      <c r="F260" s="697"/>
    </row>
    <row r="261" spans="1:6">
      <c r="A261" s="711"/>
      <c r="B261" s="1123" t="s">
        <v>1170</v>
      </c>
      <c r="C261" s="1123"/>
      <c r="D261" s="695">
        <f t="shared" si="5"/>
        <v>23</v>
      </c>
      <c r="E261" s="696"/>
      <c r="F261" s="697"/>
    </row>
    <row r="262" spans="1:6">
      <c r="A262" s="711"/>
      <c r="B262" s="1123" t="s">
        <v>1171</v>
      </c>
      <c r="C262" s="1123"/>
      <c r="D262" s="695">
        <f t="shared" si="5"/>
        <v>24</v>
      </c>
      <c r="E262" s="696"/>
      <c r="F262" s="697"/>
    </row>
    <row r="263" spans="1:6">
      <c r="A263" s="711"/>
      <c r="B263" s="1123" t="s">
        <v>1172</v>
      </c>
      <c r="C263" s="1123"/>
      <c r="D263" s="695">
        <f t="shared" si="5"/>
        <v>25</v>
      </c>
      <c r="E263" s="696"/>
      <c r="F263" s="697"/>
    </row>
    <row r="264" spans="1:6">
      <c r="A264" s="711"/>
      <c r="B264" s="1123" t="s">
        <v>1173</v>
      </c>
      <c r="C264" s="1123"/>
      <c r="D264" s="695">
        <f t="shared" si="5"/>
        <v>26</v>
      </c>
      <c r="E264" s="696"/>
      <c r="F264" s="697"/>
    </row>
    <row r="265" spans="1:6">
      <c r="A265" s="711"/>
      <c r="B265" s="1123" t="s">
        <v>1174</v>
      </c>
      <c r="C265" s="1123"/>
      <c r="D265" s="695">
        <f t="shared" si="5"/>
        <v>27</v>
      </c>
      <c r="E265" s="696"/>
      <c r="F265" s="697"/>
    </row>
    <row r="266" spans="1:6">
      <c r="A266" s="1122" t="s">
        <v>2309</v>
      </c>
      <c r="B266" s="1122"/>
      <c r="C266" s="1122"/>
      <c r="D266" s="695">
        <f t="shared" si="5"/>
        <v>28</v>
      </c>
      <c r="E266" s="696"/>
      <c r="F266" s="697"/>
    </row>
    <row r="267" spans="1:6">
      <c r="A267" s="711"/>
      <c r="B267" s="1124" t="s">
        <v>1175</v>
      </c>
      <c r="C267" s="1124"/>
      <c r="D267" s="695">
        <f t="shared" si="5"/>
        <v>29</v>
      </c>
      <c r="E267" s="696"/>
      <c r="F267" s="697"/>
    </row>
    <row r="268" spans="1:6">
      <c r="A268" s="711"/>
      <c r="B268" s="1123" t="s">
        <v>1176</v>
      </c>
      <c r="C268" s="1123"/>
      <c r="D268" s="695">
        <f t="shared" si="5"/>
        <v>30</v>
      </c>
      <c r="E268" s="696"/>
      <c r="F268" s="697"/>
    </row>
    <row r="269" spans="1:6">
      <c r="A269" s="711"/>
      <c r="B269" s="1123" t="s">
        <v>1177</v>
      </c>
      <c r="C269" s="1123"/>
      <c r="D269" s="695">
        <f t="shared" si="5"/>
        <v>31</v>
      </c>
      <c r="E269" s="696"/>
      <c r="F269" s="697"/>
    </row>
    <row r="270" spans="1:6">
      <c r="A270" s="711"/>
      <c r="B270" s="1123" t="s">
        <v>1178</v>
      </c>
      <c r="C270" s="1123"/>
      <c r="D270" s="695">
        <f t="shared" si="5"/>
        <v>32</v>
      </c>
      <c r="E270" s="696"/>
      <c r="F270" s="697"/>
    </row>
    <row r="271" spans="1:6">
      <c r="A271" s="1122" t="s">
        <v>1179</v>
      </c>
      <c r="B271" s="1122"/>
      <c r="C271" s="1122"/>
      <c r="D271" s="695">
        <f t="shared" si="5"/>
        <v>33</v>
      </c>
      <c r="E271" s="696"/>
      <c r="F271" s="697">
        <f>+F258*0.1</f>
        <v>0</v>
      </c>
    </row>
    <row r="272" spans="1:6">
      <c r="A272" s="1122" t="s">
        <v>1180</v>
      </c>
      <c r="B272" s="1122"/>
      <c r="C272" s="1122"/>
      <c r="D272" s="695">
        <f t="shared" si="5"/>
        <v>34</v>
      </c>
      <c r="E272" s="696"/>
      <c r="F272" s="697">
        <f>+F271+F255</f>
        <v>9385754.2548844181</v>
      </c>
    </row>
    <row r="273" spans="1:6">
      <c r="A273" s="1122" t="s">
        <v>1181</v>
      </c>
      <c r="B273" s="1122"/>
      <c r="C273" s="1122"/>
      <c r="D273" s="695">
        <f t="shared" si="5"/>
        <v>35</v>
      </c>
      <c r="E273" s="696"/>
      <c r="F273" s="697"/>
    </row>
    <row r="274" spans="1:6">
      <c r="A274" s="1122" t="s">
        <v>1182</v>
      </c>
      <c r="B274" s="1122"/>
      <c r="C274" s="1122"/>
      <c r="D274" s="695">
        <f t="shared" si="5"/>
        <v>36</v>
      </c>
      <c r="E274" s="696"/>
      <c r="F274" s="712"/>
    </row>
    <row r="275" spans="1:6">
      <c r="A275" s="1122" t="s">
        <v>1183</v>
      </c>
      <c r="B275" s="1122"/>
      <c r="C275" s="1122"/>
      <c r="D275" s="695">
        <f t="shared" si="5"/>
        <v>37</v>
      </c>
      <c r="E275" s="696"/>
      <c r="F275" s="697"/>
    </row>
    <row r="276" spans="1:6">
      <c r="E276" s="713"/>
    </row>
    <row r="277" spans="1:6">
      <c r="A277" s="690" t="s">
        <v>1184</v>
      </c>
      <c r="E277" s="713" t="s">
        <v>1185</v>
      </c>
      <c r="F277" s="679" t="s">
        <v>1186</v>
      </c>
    </row>
    <row r="278" spans="1:6">
      <c r="A278" s="711" t="s">
        <v>1187</v>
      </c>
      <c r="B278" s="711"/>
      <c r="C278" s="711"/>
      <c r="D278" s="714"/>
      <c r="E278" s="712"/>
      <c r="F278" s="715">
        <f>+STAT1!H27</f>
        <v>53998.17</v>
      </c>
    </row>
    <row r="279" spans="1:6">
      <c r="A279" s="711" t="s">
        <v>1188</v>
      </c>
      <c r="B279" s="711"/>
      <c r="C279" s="711"/>
      <c r="D279" s="714"/>
      <c r="E279" s="712">
        <f>+F255</f>
        <v>9385754.2548844181</v>
      </c>
      <c r="F279" s="712"/>
    </row>
    <row r="280" spans="1:6">
      <c r="A280" s="711" t="s">
        <v>1189</v>
      </c>
      <c r="B280" s="711"/>
      <c r="C280" s="711"/>
      <c r="D280" s="714"/>
      <c r="E280" s="712"/>
      <c r="F280" s="712">
        <f>+L16</f>
        <v>9400000</v>
      </c>
    </row>
    <row r="281" spans="1:6">
      <c r="A281" s="711" t="s">
        <v>1190</v>
      </c>
      <c r="B281" s="711"/>
      <c r="C281" s="711"/>
      <c r="D281" s="714"/>
      <c r="E281" s="712"/>
      <c r="F281" s="712">
        <f>+F278-E279+F280</f>
        <v>68243.915115581825</v>
      </c>
    </row>
    <row r="282" spans="1:6">
      <c r="E282" s="713"/>
    </row>
    <row r="283" spans="1:6">
      <c r="B283" s="678" t="s">
        <v>2704</v>
      </c>
      <c r="C283" s="717"/>
      <c r="D283" s="680"/>
    </row>
    <row r="284" spans="1:6">
      <c r="C284" s="717"/>
      <c r="D284" s="680"/>
    </row>
    <row r="285" spans="1:6">
      <c r="B285" s="703"/>
      <c r="C285" s="717"/>
      <c r="D285" s="680"/>
    </row>
    <row r="286" spans="1:6">
      <c r="B286" s="678" t="s">
        <v>2703</v>
      </c>
      <c r="C286" s="717"/>
      <c r="D286" s="680"/>
    </row>
    <row r="287" spans="1:6">
      <c r="B287" s="703"/>
      <c r="C287" s="717"/>
      <c r="D287" s="680"/>
    </row>
    <row r="288" spans="1:6">
      <c r="B288" s="678" t="s">
        <v>1193</v>
      </c>
      <c r="C288" s="717"/>
      <c r="D288" s="680"/>
    </row>
    <row r="289" spans="2:4">
      <c r="B289" s="703"/>
      <c r="C289" s="717"/>
      <c r="D289" s="680"/>
    </row>
    <row r="290" spans="2:4">
      <c r="B290" s="678" t="s">
        <v>2705</v>
      </c>
      <c r="C290" s="717"/>
      <c r="D290" s="680"/>
    </row>
    <row r="292" spans="2:4">
      <c r="B292" s="889" t="s">
        <v>2701</v>
      </c>
    </row>
  </sheetData>
  <mergeCells count="190">
    <mergeCell ref="B118:C118"/>
    <mergeCell ref="A119:C119"/>
    <mergeCell ref="B120:C120"/>
    <mergeCell ref="B121:C121"/>
    <mergeCell ref="A127:C127"/>
    <mergeCell ref="A128:C128"/>
    <mergeCell ref="B122:C122"/>
    <mergeCell ref="B123:C123"/>
    <mergeCell ref="A124:C124"/>
    <mergeCell ref="A125:C125"/>
    <mergeCell ref="A126:C126"/>
    <mergeCell ref="A108:C108"/>
    <mergeCell ref="A110:C110"/>
    <mergeCell ref="A111:C111"/>
    <mergeCell ref="B112:C112"/>
    <mergeCell ref="B113:C113"/>
    <mergeCell ref="B114:C114"/>
    <mergeCell ref="B115:C115"/>
    <mergeCell ref="B116:C116"/>
    <mergeCell ref="B117:C117"/>
    <mergeCell ref="B98:C98"/>
    <mergeCell ref="A99:C99"/>
    <mergeCell ref="B100:C100"/>
    <mergeCell ref="A101:C101"/>
    <mergeCell ref="B102:C102"/>
    <mergeCell ref="A103:C103"/>
    <mergeCell ref="B104:C104"/>
    <mergeCell ref="A105:C105"/>
    <mergeCell ref="A106:B107"/>
    <mergeCell ref="B89:C89"/>
    <mergeCell ref="B90:C90"/>
    <mergeCell ref="A91:C91"/>
    <mergeCell ref="B92:C92"/>
    <mergeCell ref="B93:C93"/>
    <mergeCell ref="A94:C94"/>
    <mergeCell ref="A95:C95"/>
    <mergeCell ref="A96:C96"/>
    <mergeCell ref="A97:C97"/>
    <mergeCell ref="C78:F78"/>
    <mergeCell ref="A79:F79"/>
    <mergeCell ref="A80:F80"/>
    <mergeCell ref="D82:F82"/>
    <mergeCell ref="D83:F83"/>
    <mergeCell ref="D84:F84"/>
    <mergeCell ref="D85:F85"/>
    <mergeCell ref="D86:F86"/>
    <mergeCell ref="D88:F88"/>
    <mergeCell ref="L1:M1"/>
    <mergeCell ref="N1:O1"/>
    <mergeCell ref="A51:C51"/>
    <mergeCell ref="A52:C52"/>
    <mergeCell ref="A53:C53"/>
    <mergeCell ref="A38:C38"/>
    <mergeCell ref="B25:C25"/>
    <mergeCell ref="A26:C26"/>
    <mergeCell ref="B27:C27"/>
    <mergeCell ref="A28:C28"/>
    <mergeCell ref="B29:C29"/>
    <mergeCell ref="A30:C30"/>
    <mergeCell ref="B31:C31"/>
    <mergeCell ref="A32:C32"/>
    <mergeCell ref="A33:B34"/>
    <mergeCell ref="A35:C35"/>
    <mergeCell ref="A54:C54"/>
    <mergeCell ref="A55:C55"/>
    <mergeCell ref="B50:C50"/>
    <mergeCell ref="B39:C39"/>
    <mergeCell ref="B40:C40"/>
    <mergeCell ref="B41:C41"/>
    <mergeCell ref="B42:C42"/>
    <mergeCell ref="B43:C43"/>
    <mergeCell ref="B44:C44"/>
    <mergeCell ref="B45:C45"/>
    <mergeCell ref="A46:C46"/>
    <mergeCell ref="B47:C47"/>
    <mergeCell ref="B48:C48"/>
    <mergeCell ref="B49:C49"/>
    <mergeCell ref="C152:F152"/>
    <mergeCell ref="A153:F153"/>
    <mergeCell ref="A154:F154"/>
    <mergeCell ref="D156:F156"/>
    <mergeCell ref="D157:F157"/>
    <mergeCell ref="D11:F11"/>
    <mergeCell ref="C5:F5"/>
    <mergeCell ref="A6:F6"/>
    <mergeCell ref="A7:F7"/>
    <mergeCell ref="D9:F9"/>
    <mergeCell ref="D10:F10"/>
    <mergeCell ref="A37:C37"/>
    <mergeCell ref="A24:C24"/>
    <mergeCell ref="D12:F12"/>
    <mergeCell ref="D13:F13"/>
    <mergeCell ref="D15:F15"/>
    <mergeCell ref="B16:C16"/>
    <mergeCell ref="B17:C17"/>
    <mergeCell ref="A18:C18"/>
    <mergeCell ref="B19:C19"/>
    <mergeCell ref="B20:C20"/>
    <mergeCell ref="A21:C21"/>
    <mergeCell ref="A22:C22"/>
    <mergeCell ref="A23:C23"/>
    <mergeCell ref="B164:C164"/>
    <mergeCell ref="A165:C165"/>
    <mergeCell ref="B166:C166"/>
    <mergeCell ref="B167:C167"/>
    <mergeCell ref="A168:C168"/>
    <mergeCell ref="D158:F158"/>
    <mergeCell ref="D159:F159"/>
    <mergeCell ref="D160:F160"/>
    <mergeCell ref="D162:F162"/>
    <mergeCell ref="B163:C163"/>
    <mergeCell ref="B174:C174"/>
    <mergeCell ref="A175:C175"/>
    <mergeCell ref="B176:C176"/>
    <mergeCell ref="A177:C177"/>
    <mergeCell ref="B178:C178"/>
    <mergeCell ref="A169:C169"/>
    <mergeCell ref="A170:C170"/>
    <mergeCell ref="A171:C171"/>
    <mergeCell ref="B172:C172"/>
    <mergeCell ref="A173:C173"/>
    <mergeCell ref="B186:C186"/>
    <mergeCell ref="B187:C187"/>
    <mergeCell ref="B188:C188"/>
    <mergeCell ref="B189:C189"/>
    <mergeCell ref="B190:C190"/>
    <mergeCell ref="A179:C179"/>
    <mergeCell ref="A180:B181"/>
    <mergeCell ref="A182:C182"/>
    <mergeCell ref="A184:C184"/>
    <mergeCell ref="A185:C185"/>
    <mergeCell ref="A201:C201"/>
    <mergeCell ref="A202:C202"/>
    <mergeCell ref="B196:C196"/>
    <mergeCell ref="B197:C197"/>
    <mergeCell ref="A198:C198"/>
    <mergeCell ref="A199:C199"/>
    <mergeCell ref="A200:C200"/>
    <mergeCell ref="B191:C191"/>
    <mergeCell ref="B192:C192"/>
    <mergeCell ref="A193:C193"/>
    <mergeCell ref="B194:C194"/>
    <mergeCell ref="B195:C195"/>
    <mergeCell ref="C225:F225"/>
    <mergeCell ref="A226:F226"/>
    <mergeCell ref="A227:F227"/>
    <mergeCell ref="D229:F229"/>
    <mergeCell ref="D230:F230"/>
    <mergeCell ref="D231:F231"/>
    <mergeCell ref="D232:F232"/>
    <mergeCell ref="D233:F233"/>
    <mergeCell ref="D235:F235"/>
    <mergeCell ref="B236:C236"/>
    <mergeCell ref="B237:C237"/>
    <mergeCell ref="A238:C238"/>
    <mergeCell ref="B239:C239"/>
    <mergeCell ref="B240:C240"/>
    <mergeCell ref="A241:C241"/>
    <mergeCell ref="A242:C242"/>
    <mergeCell ref="A243:C243"/>
    <mergeCell ref="A244:C244"/>
    <mergeCell ref="B245:C245"/>
    <mergeCell ref="A246:C246"/>
    <mergeCell ref="B247:C247"/>
    <mergeCell ref="A248:C248"/>
    <mergeCell ref="B249:C249"/>
    <mergeCell ref="A250:C250"/>
    <mergeCell ref="B251:C251"/>
    <mergeCell ref="A252:C252"/>
    <mergeCell ref="A253:B254"/>
    <mergeCell ref="A255:C255"/>
    <mergeCell ref="A257:C257"/>
    <mergeCell ref="A258:C258"/>
    <mergeCell ref="B259:C259"/>
    <mergeCell ref="B260:C260"/>
    <mergeCell ref="B261:C261"/>
    <mergeCell ref="B262:C262"/>
    <mergeCell ref="B263:C263"/>
    <mergeCell ref="B264:C264"/>
    <mergeCell ref="A274:C274"/>
    <mergeCell ref="A275:C275"/>
    <mergeCell ref="B265:C265"/>
    <mergeCell ref="A266:C266"/>
    <mergeCell ref="B267:C267"/>
    <mergeCell ref="B268:C268"/>
    <mergeCell ref="B269:C269"/>
    <mergeCell ref="B270:C270"/>
    <mergeCell ref="A271:C271"/>
    <mergeCell ref="A272:C272"/>
    <mergeCell ref="A273:C273"/>
  </mergeCells>
  <pageMargins left="0.7" right="0.27" top="0.75" bottom="0.75" header="0.3" footer="0.3"/>
  <pageSetup paperSize="9" fitToHeight="0" orientation="portrait" horizontalDpi="0" verticalDpi="0" r:id="rId1"/>
</worksheet>
</file>

<file path=xl/worksheets/sheet25.xml><?xml version="1.0" encoding="utf-8"?>
<worksheet xmlns="http://schemas.openxmlformats.org/spreadsheetml/2006/main" xmlns:r="http://schemas.openxmlformats.org/officeDocument/2006/relationships">
  <dimension ref="A1:Q222"/>
  <sheetViews>
    <sheetView topLeftCell="E176" workbookViewId="0">
      <selection activeCell="K213" sqref="K213"/>
    </sheetView>
  </sheetViews>
  <sheetFormatPr defaultRowHeight="12.75" outlineLevelRow="1"/>
  <cols>
    <col min="1" max="1" width="11" style="512" bestFit="1" customWidth="1"/>
    <col min="2" max="2" width="4.28515625" style="15" customWidth="1"/>
    <col min="3" max="3" width="14.28515625" style="332" customWidth="1"/>
    <col min="4" max="4" width="16.7109375" style="237" customWidth="1"/>
    <col min="5" max="5" width="15.85546875" style="237" customWidth="1"/>
    <col min="6" max="6" width="14.140625" style="237" customWidth="1"/>
    <col min="7" max="7" width="12.28515625" style="237" customWidth="1"/>
    <col min="8" max="8" width="14.7109375" style="237" customWidth="1"/>
    <col min="9" max="9" width="13.28515625" style="237" customWidth="1"/>
    <col min="10" max="10" width="15.42578125" style="237" customWidth="1"/>
    <col min="11" max="11" width="14" style="237" customWidth="1"/>
    <col min="12" max="12" width="15.85546875" style="237" customWidth="1"/>
    <col min="13" max="13" width="15.7109375" style="237" customWidth="1"/>
    <col min="14" max="14" width="12.7109375" style="237" bestFit="1" customWidth="1"/>
    <col min="15" max="15" width="12.85546875" style="237" bestFit="1" customWidth="1"/>
    <col min="16" max="16" width="12" style="237" bestFit="1" customWidth="1"/>
    <col min="17" max="17" width="12.5703125" style="237" bestFit="1" customWidth="1"/>
    <col min="18" max="16384" width="9.140625" style="237"/>
  </cols>
  <sheetData>
    <row r="1" spans="2:16" hidden="1" outlineLevel="1">
      <c r="M1" s="289" t="s">
        <v>1605</v>
      </c>
    </row>
    <row r="2" spans="2:16" hidden="1" outlineLevel="1">
      <c r="B2" s="665"/>
      <c r="D2" s="40"/>
      <c r="E2" s="40"/>
      <c r="F2" s="40"/>
      <c r="G2" s="40"/>
      <c r="H2" s="40"/>
      <c r="I2" s="40"/>
      <c r="L2" s="40"/>
      <c r="M2" s="289" t="s">
        <v>1606</v>
      </c>
    </row>
    <row r="3" spans="2:16" hidden="1" outlineLevel="1">
      <c r="B3" s="665"/>
      <c r="D3" s="40"/>
      <c r="E3" s="40"/>
      <c r="F3" s="40"/>
      <c r="G3" s="40"/>
      <c r="H3" s="40"/>
      <c r="I3" s="40"/>
      <c r="L3" s="40"/>
      <c r="M3" s="289"/>
    </row>
    <row r="4" spans="2:16" hidden="1" outlineLevel="1">
      <c r="B4" s="666" t="s">
        <v>1607</v>
      </c>
      <c r="D4" s="40"/>
      <c r="E4" s="40"/>
      <c r="F4" s="40"/>
      <c r="G4" s="40"/>
      <c r="H4" s="40"/>
      <c r="I4" s="40"/>
      <c r="L4" s="40"/>
      <c r="M4" s="289"/>
    </row>
    <row r="5" spans="2:16" hidden="1" outlineLevel="1">
      <c r="B5" s="666"/>
      <c r="D5" s="40"/>
      <c r="E5" s="40"/>
      <c r="F5" s="40"/>
      <c r="G5" s="40"/>
      <c r="H5" s="40"/>
      <c r="I5" s="40"/>
      <c r="L5" s="40"/>
      <c r="M5" s="289"/>
    </row>
    <row r="6" spans="2:16" ht="19.5" hidden="1" outlineLevel="1">
      <c r="B6" s="1151" t="s">
        <v>1608</v>
      </c>
      <c r="C6" s="1151"/>
      <c r="D6" s="1151"/>
      <c r="E6" s="1151"/>
      <c r="F6" s="1151"/>
      <c r="G6" s="1151"/>
      <c r="H6" s="1151"/>
      <c r="I6" s="1151"/>
      <c r="J6" s="1151"/>
      <c r="K6" s="1151"/>
      <c r="L6" s="1151"/>
      <c r="M6" s="1151"/>
    </row>
    <row r="7" spans="2:16" ht="19.5" hidden="1" outlineLevel="1">
      <c r="B7" s="1151" t="s">
        <v>1609</v>
      </c>
      <c r="C7" s="1151"/>
      <c r="D7" s="1151"/>
      <c r="E7" s="1151"/>
      <c r="F7" s="1151"/>
      <c r="G7" s="1151"/>
      <c r="H7" s="1151"/>
      <c r="I7" s="1151"/>
      <c r="J7" s="1151"/>
      <c r="K7" s="1151"/>
      <c r="L7" s="1151"/>
      <c r="M7" s="1151"/>
      <c r="O7" s="395">
        <v>43101</v>
      </c>
      <c r="P7" s="395">
        <v>43190</v>
      </c>
    </row>
    <row r="8" spans="2:16" hidden="1" outlineLevel="1">
      <c r="B8" s="666"/>
      <c r="D8" s="40"/>
      <c r="E8" s="40"/>
      <c r="F8" s="40"/>
      <c r="G8" s="40"/>
      <c r="H8" s="40"/>
      <c r="I8" s="40"/>
      <c r="L8" s="40"/>
      <c r="M8" s="289"/>
      <c r="O8" s="395">
        <v>43191</v>
      </c>
      <c r="P8" s="395">
        <v>43281</v>
      </c>
    </row>
    <row r="9" spans="2:16" hidden="1" outlineLevel="1">
      <c r="B9" s="666" t="str">
        <f>CONCATENATE("1. ТТД:  ",'company '!C7,"")</f>
        <v>1. ТТД:  |_2_|_0_|_1_|_8_|_9_|_4_|_2_|</v>
      </c>
      <c r="D9" s="40"/>
      <c r="E9" s="40"/>
      <c r="F9" s="40"/>
      <c r="G9" s="40"/>
      <c r="H9" s="40"/>
      <c r="I9" s="1152" t="s">
        <v>1610</v>
      </c>
      <c r="J9" s="1153"/>
      <c r="K9" s="1153"/>
      <c r="L9" s="1154"/>
      <c r="M9" s="289"/>
      <c r="O9" s="395">
        <v>43282</v>
      </c>
      <c r="P9" s="395">
        <v>43373</v>
      </c>
    </row>
    <row r="10" spans="2:16" hidden="1" outlineLevel="1">
      <c r="D10" s="40"/>
      <c r="E10" s="40"/>
      <c r="F10" s="40"/>
      <c r="G10" s="40"/>
      <c r="H10" s="40"/>
      <c r="I10" s="1143" t="s">
        <v>1611</v>
      </c>
      <c r="J10" s="1144"/>
      <c r="K10" s="1144"/>
      <c r="L10" s="1145"/>
      <c r="M10" s="289"/>
      <c r="O10" s="395">
        <v>43374</v>
      </c>
      <c r="P10" s="395">
        <v>43465</v>
      </c>
    </row>
    <row r="11" spans="2:16" hidden="1" outlineLevel="1">
      <c r="B11" s="666" t="str">
        <f>CONCATENATE("2. Байгууллагын нэр:  ",'company '!C6,"")</f>
        <v>2. Байгууллагын нэр:  ШИНЭСТ ХК</v>
      </c>
      <c r="D11" s="40"/>
      <c r="E11" s="40"/>
      <c r="F11" s="40"/>
      <c r="G11" s="40"/>
      <c r="H11" s="40"/>
      <c r="I11" s="1143" t="s">
        <v>2305</v>
      </c>
      <c r="J11" s="1144"/>
      <c r="K11" s="1144"/>
      <c r="L11" s="1145"/>
      <c r="M11" s="289"/>
    </row>
    <row r="12" spans="2:16" hidden="1" outlineLevel="1">
      <c r="D12" s="40"/>
      <c r="E12" s="40"/>
      <c r="F12" s="40"/>
      <c r="G12" s="40"/>
      <c r="H12" s="40"/>
      <c r="I12" s="1140" t="s">
        <v>1612</v>
      </c>
      <c r="J12" s="1141"/>
      <c r="K12" s="1141"/>
      <c r="L12" s="1142"/>
      <c r="M12" s="289"/>
    </row>
    <row r="13" spans="2:16" hidden="1" outlineLevel="1">
      <c r="B13" s="667" t="str">
        <f>CONCATENATE("3. Тайлант хугацаа:    ",'company '!C24)</f>
        <v>3. Тайлант хугацаа:    |_2_|_0_|_1_|_8_|  улирал |_4_|</v>
      </c>
      <c r="C13" s="885" t="s">
        <v>2643</v>
      </c>
      <c r="I13" s="1143" t="s">
        <v>1613</v>
      </c>
      <c r="J13" s="1144"/>
      <c r="K13" s="1144"/>
      <c r="L13" s="1145"/>
    </row>
    <row r="14" spans="2:16" hidden="1" outlineLevel="1">
      <c r="I14" s="1146" t="s">
        <v>1614</v>
      </c>
      <c r="J14" s="1147"/>
      <c r="K14" s="1147"/>
      <c r="L14" s="1148"/>
    </row>
    <row r="15" spans="2:16" hidden="1" outlineLevel="1">
      <c r="I15" s="780"/>
      <c r="J15" s="780"/>
      <c r="K15" s="780"/>
      <c r="L15" s="780"/>
    </row>
    <row r="16" spans="2:16" hidden="1" outlineLevel="1">
      <c r="B16" s="96">
        <f>COUNT(B20:B45)</f>
        <v>26</v>
      </c>
      <c r="C16" s="668"/>
      <c r="D16" s="669"/>
      <c r="E16" s="669"/>
      <c r="F16" s="669" t="s">
        <v>1615</v>
      </c>
      <c r="G16" s="669"/>
      <c r="H16" s="669"/>
      <c r="I16" s="670"/>
      <c r="J16" s="671"/>
      <c r="K16" s="671"/>
      <c r="L16" s="671"/>
      <c r="M16" s="671"/>
    </row>
    <row r="17" spans="2:17" hidden="1" outlineLevel="1">
      <c r="B17" s="1149" t="s">
        <v>1</v>
      </c>
      <c r="C17" s="1150" t="s">
        <v>1616</v>
      </c>
      <c r="D17" s="1150"/>
      <c r="E17" s="1150"/>
      <c r="F17" s="1137" t="s">
        <v>1617</v>
      </c>
      <c r="G17" s="1137" t="s">
        <v>1618</v>
      </c>
      <c r="H17" s="1137" t="s">
        <v>1619</v>
      </c>
      <c r="I17" s="1137" t="s">
        <v>2501</v>
      </c>
      <c r="J17" s="1137" t="s">
        <v>1620</v>
      </c>
      <c r="K17" s="1137" t="s">
        <v>1621</v>
      </c>
      <c r="L17" s="1137" t="s">
        <v>1622</v>
      </c>
      <c r="M17" s="1137" t="s">
        <v>1623</v>
      </c>
    </row>
    <row r="18" spans="2:17" ht="54" hidden="1" customHeight="1" outlineLevel="1">
      <c r="B18" s="1149"/>
      <c r="C18" s="672" t="s">
        <v>1477</v>
      </c>
      <c r="D18" s="781" t="s">
        <v>1624</v>
      </c>
      <c r="E18" s="781" t="s">
        <v>1334</v>
      </c>
      <c r="F18" s="1137"/>
      <c r="G18" s="1137"/>
      <c r="H18" s="1137"/>
      <c r="I18" s="1137"/>
      <c r="J18" s="1137"/>
      <c r="K18" s="1137"/>
      <c r="L18" s="1137"/>
      <c r="M18" s="1137"/>
    </row>
    <row r="19" spans="2:17" ht="14.25" hidden="1" customHeight="1" outlineLevel="1">
      <c r="B19" s="1149"/>
      <c r="C19" s="672">
        <v>1</v>
      </c>
      <c r="D19" s="871">
        <v>2</v>
      </c>
      <c r="E19" s="871">
        <v>3</v>
      </c>
      <c r="F19" s="871">
        <v>4</v>
      </c>
      <c r="G19" s="871">
        <v>5</v>
      </c>
      <c r="H19" s="871">
        <v>6</v>
      </c>
      <c r="I19" s="871">
        <v>7</v>
      </c>
      <c r="J19" s="871">
        <v>8</v>
      </c>
      <c r="K19" s="871">
        <v>9</v>
      </c>
      <c r="L19" s="871">
        <v>10</v>
      </c>
      <c r="M19" s="871">
        <v>11</v>
      </c>
    </row>
    <row r="20" spans="2:17" hidden="1" outlineLevel="1">
      <c r="B20" s="673">
        <v>1</v>
      </c>
      <c r="C20" s="603" t="s">
        <v>1486</v>
      </c>
      <c r="D20" s="602" t="s">
        <v>1631</v>
      </c>
      <c r="E20" s="602" t="s">
        <v>1470</v>
      </c>
      <c r="F20" s="854">
        <f>+SUMIFS(TSALIN!$I$6:$I$105,TSALIN!$E$6:$E$105,C20)</f>
        <v>3600000</v>
      </c>
      <c r="G20" s="674"/>
      <c r="H20" s="674">
        <f>+F20+G20</f>
        <v>3600000</v>
      </c>
      <c r="I20" s="674">
        <f>+SUMIFS(TSALIN!$J$6:$J$105,TSALIN!$E$6:$E$105,C20)</f>
        <v>396000</v>
      </c>
      <c r="J20" s="674">
        <f>+H20-I20</f>
        <v>3204000</v>
      </c>
      <c r="K20" s="674">
        <f>+J20*0.1</f>
        <v>320400</v>
      </c>
      <c r="L20" s="674">
        <f>+SUMIFS(TSALIN!$K$6:$K$105,TSALIN!$E$6:$E$105,C20)</f>
        <v>30000</v>
      </c>
      <c r="M20" s="674">
        <f>+SUMIFS(TSALIN!$L$6:$L$105,TSALIN!$E$6:$E$105,C20)</f>
        <v>290400</v>
      </c>
      <c r="N20" s="237">
        <f>+K20-L20-M20</f>
        <v>0</v>
      </c>
      <c r="P20" s="237">
        <f>+TSALIN!I6+TSALIN!I44+TSALIN!I82+TSALIN!I121+TSALIN!I161+TSALIN!I202</f>
        <v>7200000</v>
      </c>
      <c r="Q20" s="237">
        <f>+F20-P20</f>
        <v>-3600000</v>
      </c>
    </row>
    <row r="21" spans="2:17" hidden="1" outlineLevel="1">
      <c r="B21" s="673">
        <f>+B20+1</f>
        <v>2</v>
      </c>
      <c r="C21" s="608" t="s">
        <v>1487</v>
      </c>
      <c r="D21" s="609" t="s">
        <v>1359</v>
      </c>
      <c r="E21" s="609" t="s">
        <v>1360</v>
      </c>
      <c r="F21" s="854">
        <f>+SUMIFS(TSALIN!$I$6:$I$105,TSALIN!$E$6:$E$105,C21)</f>
        <v>3600000</v>
      </c>
      <c r="G21" s="674"/>
      <c r="H21" s="674">
        <f t="shared" ref="H21:H38" si="0">+F21+G21</f>
        <v>3600000</v>
      </c>
      <c r="I21" s="674">
        <f>+SUMIFS(TSALIN!$J$6:$J$105,TSALIN!$E$6:$E$105,C21)</f>
        <v>396000</v>
      </c>
      <c r="J21" s="674">
        <f t="shared" ref="J21:J38" si="1">+H21-I21</f>
        <v>3204000</v>
      </c>
      <c r="K21" s="674">
        <f t="shared" ref="K21:K38" si="2">+J21*0.1</f>
        <v>320400</v>
      </c>
      <c r="L21" s="674">
        <f>+SUMIFS(TSALIN!$K$6:$K$105,TSALIN!$E$6:$E$105,C21)</f>
        <v>30000</v>
      </c>
      <c r="M21" s="674">
        <f>+SUMIFS(TSALIN!$L$6:$L$105,TSALIN!$E$6:$E$105,C21)</f>
        <v>290400</v>
      </c>
      <c r="N21" s="237">
        <f t="shared" ref="N21:N38" si="3">+K21-L21-M21</f>
        <v>0</v>
      </c>
      <c r="P21" s="237">
        <f>+TSALIN!I7+TSALIN!I45+TSALIN!I83+TSALIN!I122+TSALIN!I162+TSALIN!I203</f>
        <v>7200000</v>
      </c>
      <c r="Q21" s="237">
        <f t="shared" ref="Q21:Q45" si="4">+F21-P21</f>
        <v>-3600000</v>
      </c>
    </row>
    <row r="22" spans="2:17" hidden="1" outlineLevel="1">
      <c r="B22" s="673">
        <f t="shared" ref="B22:B45" si="5">+B21+1</f>
        <v>3</v>
      </c>
      <c r="C22" s="608" t="s">
        <v>1489</v>
      </c>
      <c r="D22" s="607" t="s">
        <v>1339</v>
      </c>
      <c r="E22" s="607" t="s">
        <v>1338</v>
      </c>
      <c r="F22" s="854">
        <f>+SUMIFS(TSALIN!$I$6:$I$105,TSALIN!$E$6:$E$105,C22)</f>
        <v>4200000</v>
      </c>
      <c r="G22" s="674"/>
      <c r="H22" s="674">
        <f t="shared" si="0"/>
        <v>4200000</v>
      </c>
      <c r="I22" s="674">
        <f>+SUMIFS(TSALIN!$J$6:$J$105,TSALIN!$E$6:$E$105,C22)</f>
        <v>462000</v>
      </c>
      <c r="J22" s="674">
        <f t="shared" si="1"/>
        <v>3738000</v>
      </c>
      <c r="K22" s="674">
        <f t="shared" si="2"/>
        <v>373800</v>
      </c>
      <c r="L22" s="674">
        <f>+SUMIFS(TSALIN!$K$6:$K$105,TSALIN!$E$6:$E$105,C22)</f>
        <v>30000</v>
      </c>
      <c r="M22" s="674">
        <f>+SUMIFS(TSALIN!$L$6:$L$105,TSALIN!$E$6:$E$105,C22)</f>
        <v>343800</v>
      </c>
      <c r="N22" s="237">
        <f t="shared" si="3"/>
        <v>0</v>
      </c>
      <c r="P22" s="237">
        <f>+TSALIN!I8+TSALIN!I46+TSALIN!I84+TSALIN!I123+TSALIN!I163+TSALIN!I204</f>
        <v>8400000</v>
      </c>
      <c r="Q22" s="237">
        <f t="shared" si="4"/>
        <v>-4200000</v>
      </c>
    </row>
    <row r="23" spans="2:17" hidden="1" outlineLevel="1">
      <c r="B23" s="673">
        <f t="shared" si="5"/>
        <v>4</v>
      </c>
      <c r="C23" s="611" t="s">
        <v>1490</v>
      </c>
      <c r="D23" s="607" t="s">
        <v>1645</v>
      </c>
      <c r="E23" s="607" t="s">
        <v>1634</v>
      </c>
      <c r="F23" s="854">
        <f>+SUMIFS(TSALIN!$I$6:$I$105,TSALIN!$E$6:$E$105,C23)</f>
        <v>1000000</v>
      </c>
      <c r="G23" s="674"/>
      <c r="H23" s="674">
        <f t="shared" si="0"/>
        <v>1000000</v>
      </c>
      <c r="I23" s="674">
        <f>+SUMIFS(TSALIN!$J$6:$J$105,TSALIN!$E$6:$E$105,C23)</f>
        <v>110000</v>
      </c>
      <c r="J23" s="674">
        <f t="shared" si="1"/>
        <v>890000</v>
      </c>
      <c r="K23" s="674">
        <f t="shared" si="2"/>
        <v>89000</v>
      </c>
      <c r="L23" s="674">
        <f>+SUMIFS(TSALIN!$K$6:$K$105,TSALIN!$E$6:$E$105,C23)</f>
        <v>11666.666666666666</v>
      </c>
      <c r="M23" s="674">
        <f>+SUMIFS(TSALIN!$L$6:$L$105,TSALIN!$E$6:$E$105,C23)</f>
        <v>77333.333333333328</v>
      </c>
      <c r="N23" s="237">
        <f t="shared" si="3"/>
        <v>0</v>
      </c>
      <c r="P23" s="237">
        <f>+TSALIN!I9+TSALIN!I47+TSALIN!I85+TSALIN!I124+TSALIN!I164+TSALIN!I205</f>
        <v>1000000</v>
      </c>
      <c r="Q23" s="237">
        <f t="shared" si="4"/>
        <v>0</v>
      </c>
    </row>
    <row r="24" spans="2:17" hidden="1" outlineLevel="1">
      <c r="B24" s="673">
        <f t="shared" si="5"/>
        <v>5</v>
      </c>
      <c r="C24" s="608" t="s">
        <v>1491</v>
      </c>
      <c r="D24" s="607" t="s">
        <v>1646</v>
      </c>
      <c r="E24" s="607" t="s">
        <v>1635</v>
      </c>
      <c r="F24" s="854">
        <f>+SUMIFS(TSALIN!$I$6:$I$105,TSALIN!$E$6:$E$105,C24)</f>
        <v>2700000</v>
      </c>
      <c r="G24" s="674"/>
      <c r="H24" s="674">
        <f t="shared" si="0"/>
        <v>2700000</v>
      </c>
      <c r="I24" s="674">
        <f>+SUMIFS(TSALIN!$J$6:$J$105,TSALIN!$E$6:$E$105,C24)</f>
        <v>297000</v>
      </c>
      <c r="J24" s="674">
        <f t="shared" si="1"/>
        <v>2403000</v>
      </c>
      <c r="K24" s="674">
        <f t="shared" si="2"/>
        <v>240300</v>
      </c>
      <c r="L24" s="674">
        <f>+SUMIFS(TSALIN!$K$6:$K$105,TSALIN!$E$6:$E$105,C24)</f>
        <v>35000</v>
      </c>
      <c r="M24" s="674">
        <f>+SUMIFS(TSALIN!$L$6:$L$105,TSALIN!$E$6:$E$105,C24)</f>
        <v>205300</v>
      </c>
      <c r="N24" s="237">
        <f t="shared" si="3"/>
        <v>0</v>
      </c>
      <c r="P24" s="237">
        <f>+TSALIN!I10+TSALIN!I48+TSALIN!I86+TSALIN!I125+TSALIN!I165+TSALIN!I206</f>
        <v>5400000</v>
      </c>
      <c r="Q24" s="237">
        <f t="shared" si="4"/>
        <v>-2700000</v>
      </c>
    </row>
    <row r="25" spans="2:17" hidden="1" outlineLevel="1">
      <c r="B25" s="673">
        <f t="shared" si="5"/>
        <v>6</v>
      </c>
      <c r="C25" s="608" t="s">
        <v>2417</v>
      </c>
      <c r="D25" s="607" t="s">
        <v>1632</v>
      </c>
      <c r="E25" s="607" t="s">
        <v>2491</v>
      </c>
      <c r="F25" s="854">
        <f>+SUMIFS(TSALIN!$I$6:$I$105,TSALIN!$E$6:$E$105,C25)</f>
        <v>3000000</v>
      </c>
      <c r="G25" s="674"/>
      <c r="H25" s="674">
        <f t="shared" si="0"/>
        <v>3000000</v>
      </c>
      <c r="I25" s="674">
        <f>+SUMIFS(TSALIN!$J$6:$J$105,TSALIN!$E$6:$E$105,C25)</f>
        <v>330000</v>
      </c>
      <c r="J25" s="674">
        <f t="shared" si="1"/>
        <v>2670000</v>
      </c>
      <c r="K25" s="674">
        <f t="shared" si="2"/>
        <v>267000</v>
      </c>
      <c r="L25" s="674">
        <f>+SUMIFS(TSALIN!$K$6:$K$105,TSALIN!$E$6:$E$105,C25)</f>
        <v>35000</v>
      </c>
      <c r="M25" s="674">
        <f>+SUMIFS(TSALIN!$L$6:$L$105,TSALIN!$E$6:$E$105,C25)</f>
        <v>232000</v>
      </c>
      <c r="N25" s="237">
        <f t="shared" si="3"/>
        <v>0</v>
      </c>
      <c r="P25" s="237">
        <f>+TSALIN!I11+TSALIN!I49+TSALIN!I87+TSALIN!I126+TSALIN!I166+TSALIN!I207</f>
        <v>6000000</v>
      </c>
      <c r="Q25" s="237">
        <f t="shared" si="4"/>
        <v>-3000000</v>
      </c>
    </row>
    <row r="26" spans="2:17" hidden="1" outlineLevel="1">
      <c r="B26" s="673">
        <f>+B25+1</f>
        <v>7</v>
      </c>
      <c r="C26" s="611" t="s">
        <v>1859</v>
      </c>
      <c r="D26" s="607" t="s">
        <v>2483</v>
      </c>
      <c r="E26" s="607" t="s">
        <v>2492</v>
      </c>
      <c r="F26" s="854">
        <f>+SUMIFS(TSALIN!$I$6:$I$105,TSALIN!$E$6:$E$105,C26)</f>
        <v>1405797.1014492754</v>
      </c>
      <c r="G26" s="674"/>
      <c r="H26" s="674">
        <f t="shared" si="0"/>
        <v>1405797.1014492754</v>
      </c>
      <c r="I26" s="674">
        <f>+SUMIFS(TSALIN!$J$6:$J$105,TSALIN!$E$6:$E$105,C26)</f>
        <v>154637.68115942029</v>
      </c>
      <c r="J26" s="674">
        <f t="shared" si="1"/>
        <v>1251159.420289855</v>
      </c>
      <c r="K26" s="674">
        <f t="shared" si="2"/>
        <v>125115.9420289855</v>
      </c>
      <c r="L26" s="674">
        <f>+SUMIFS(TSALIN!$K$6:$K$105,TSALIN!$E$6:$E$105,C26)</f>
        <v>40000</v>
      </c>
      <c r="M26" s="674">
        <f>+SUMIFS(TSALIN!$L$6:$L$105,TSALIN!$E$6:$E$105,C26)</f>
        <v>85115.942028985504</v>
      </c>
      <c r="N26" s="237">
        <f t="shared" si="3"/>
        <v>0</v>
      </c>
      <c r="P26" s="237">
        <f>+TSALIN!I12+TSALIN!I50+TSALIN!I88+TSALIN!I127+TSALIN!I167+TSALIN!I208</f>
        <v>2941197.1014492754</v>
      </c>
      <c r="Q26" s="237">
        <f t="shared" si="4"/>
        <v>-1535400</v>
      </c>
    </row>
    <row r="27" spans="2:17" hidden="1" outlineLevel="1">
      <c r="B27" s="673">
        <f t="shared" si="5"/>
        <v>8</v>
      </c>
      <c r="C27" s="611" t="s">
        <v>2418</v>
      </c>
      <c r="D27" s="607" t="s">
        <v>2484</v>
      </c>
      <c r="E27" s="607" t="s">
        <v>2493</v>
      </c>
      <c r="F27" s="854">
        <f>+SUMIFS(TSALIN!$I$6:$I$105,TSALIN!$E$6:$E$105,C27)</f>
        <v>0</v>
      </c>
      <c r="G27" s="674"/>
      <c r="H27" s="674">
        <f t="shared" si="0"/>
        <v>0</v>
      </c>
      <c r="I27" s="674">
        <f>+SUMIFS(TSALIN!$J$6:$J$105,TSALIN!$E$6:$E$105,C27)</f>
        <v>0</v>
      </c>
      <c r="J27" s="674">
        <f t="shared" si="1"/>
        <v>0</v>
      </c>
      <c r="K27" s="674">
        <f t="shared" si="2"/>
        <v>0</v>
      </c>
      <c r="L27" s="674">
        <f>+SUMIFS(TSALIN!$K$6:$K$105,TSALIN!$E$6:$E$105,C27)</f>
        <v>0</v>
      </c>
      <c r="M27" s="674">
        <f>+SUMIFS(TSALIN!$L$6:$L$105,TSALIN!$E$6:$E$105,C27)</f>
        <v>0</v>
      </c>
      <c r="N27" s="237">
        <f t="shared" si="3"/>
        <v>0</v>
      </c>
      <c r="P27" s="237">
        <f>+TSALIN!I13+TSALIN!I51+TSALIN!I89+TSALIN!I128+TSALIN!I168+TSALIN!I209</f>
        <v>0</v>
      </c>
      <c r="Q27" s="237">
        <f t="shared" si="4"/>
        <v>0</v>
      </c>
    </row>
    <row r="28" spans="2:17" hidden="1" outlineLevel="1">
      <c r="B28" s="673">
        <f t="shared" si="5"/>
        <v>9</v>
      </c>
      <c r="C28" s="614" t="s">
        <v>1860</v>
      </c>
      <c r="D28" s="832" t="s">
        <v>2281</v>
      </c>
      <c r="E28" s="832" t="s">
        <v>2494</v>
      </c>
      <c r="F28" s="854">
        <f>+SUMIFS(TSALIN!$I$6:$I$105,TSALIN!$E$6:$E$105,C28)</f>
        <v>702358.26086956519</v>
      </c>
      <c r="G28" s="674"/>
      <c r="H28" s="674">
        <f t="shared" si="0"/>
        <v>702358.26086956519</v>
      </c>
      <c r="I28" s="674">
        <f>+SUMIFS(TSALIN!$J$6:$J$105,TSALIN!$E$6:$E$105,C28)</f>
        <v>77259.408695652179</v>
      </c>
      <c r="J28" s="674">
        <f t="shared" si="1"/>
        <v>625098.85217391304</v>
      </c>
      <c r="K28" s="674">
        <f t="shared" si="2"/>
        <v>62509.885217391304</v>
      </c>
      <c r="L28" s="674">
        <f>+SUMIFS(TSALIN!$K$6:$K$105,TSALIN!$E$6:$E$105,C28)</f>
        <v>40000</v>
      </c>
      <c r="M28" s="674">
        <f>+SUMIFS(TSALIN!$L$6:$L$105,TSALIN!$E$6:$E$105,C28)</f>
        <v>22509.885217391311</v>
      </c>
      <c r="N28" s="237">
        <f t="shared" si="3"/>
        <v>0</v>
      </c>
      <c r="P28" s="237">
        <f>+TSALIN!I14+TSALIN!I52+TSALIN!I90+TSALIN!I129+TSALIN!I169+TSALIN!I210</f>
        <v>1933220.4830917874</v>
      </c>
      <c r="Q28" s="237">
        <f t="shared" si="4"/>
        <v>-1230862.2222222222</v>
      </c>
    </row>
    <row r="29" spans="2:17" hidden="1" outlineLevel="1">
      <c r="B29" s="673">
        <f t="shared" si="5"/>
        <v>10</v>
      </c>
      <c r="C29" s="611" t="s">
        <v>1492</v>
      </c>
      <c r="D29" s="616" t="s">
        <v>1647</v>
      </c>
      <c r="E29" s="616" t="s">
        <v>1636</v>
      </c>
      <c r="F29" s="854">
        <f>+SUMIFS(TSALIN!$I$6:$I$105,TSALIN!$E$6:$E$105,C29)</f>
        <v>920380.95238095243</v>
      </c>
      <c r="G29" s="674"/>
      <c r="H29" s="674">
        <f t="shared" si="0"/>
        <v>920380.95238095243</v>
      </c>
      <c r="I29" s="674">
        <f>+SUMIFS(TSALIN!$J$6:$J$105,TSALIN!$E$6:$E$105,C29)</f>
        <v>80993.523809523802</v>
      </c>
      <c r="J29" s="674">
        <f t="shared" si="1"/>
        <v>839387.42857142864</v>
      </c>
      <c r="K29" s="674">
        <f t="shared" si="2"/>
        <v>83938.742857142875</v>
      </c>
      <c r="L29" s="674">
        <f>+SUMIFS(TSALIN!$K$6:$K$105,TSALIN!$E$6:$E$105,C29)</f>
        <v>40000</v>
      </c>
      <c r="M29" s="674">
        <f>+SUMIFS(TSALIN!$L$6:$L$105,TSALIN!$E$6:$E$105,C29)</f>
        <v>43938.742857142846</v>
      </c>
      <c r="N29" s="237">
        <f t="shared" si="3"/>
        <v>0</v>
      </c>
      <c r="P29" s="237">
        <f>+TSALIN!I15+TSALIN!I53+TSALIN!I91+TSALIN!I130+TSALIN!I170+TSALIN!I211</f>
        <v>2101886.1375661376</v>
      </c>
      <c r="Q29" s="237">
        <f t="shared" si="4"/>
        <v>-1181505.1851851852</v>
      </c>
    </row>
    <row r="30" spans="2:17" hidden="1" outlineLevel="1">
      <c r="B30" s="673">
        <f t="shared" si="5"/>
        <v>11</v>
      </c>
      <c r="C30" s="611" t="s">
        <v>1493</v>
      </c>
      <c r="D30" s="616" t="s">
        <v>2486</v>
      </c>
      <c r="E30" s="616" t="s">
        <v>2495</v>
      </c>
      <c r="F30" s="854">
        <f>+SUMIFS(TSALIN!$I$6:$I$105,TSALIN!$E$6:$E$105,C30)</f>
        <v>1011828.8198757764</v>
      </c>
      <c r="G30" s="674"/>
      <c r="H30" s="674">
        <f t="shared" si="0"/>
        <v>1011828.8198757764</v>
      </c>
      <c r="I30" s="674">
        <f>+SUMIFS(TSALIN!$J$6:$J$105,TSALIN!$E$6:$E$105,C30)</f>
        <v>111301.1701863354</v>
      </c>
      <c r="J30" s="674">
        <f t="shared" si="1"/>
        <v>900527.64968944108</v>
      </c>
      <c r="K30" s="674">
        <f t="shared" si="2"/>
        <v>90052.764968944117</v>
      </c>
      <c r="L30" s="674">
        <f>+SUMIFS(TSALIN!$K$6:$K$105,TSALIN!$E$6:$E$105,C30)</f>
        <v>40000</v>
      </c>
      <c r="M30" s="674">
        <f>+SUMIFS(TSALIN!$L$6:$L$105,TSALIN!$E$6:$E$105,C30)</f>
        <v>50052.764968944095</v>
      </c>
      <c r="N30" s="237">
        <f t="shared" si="3"/>
        <v>0</v>
      </c>
      <c r="P30" s="237">
        <f>+TSALIN!I16+TSALIN!I54+TSALIN!I92+TSALIN!I131+TSALIN!I171+TSALIN!I212</f>
        <v>2138615.4865424428</v>
      </c>
      <c r="Q30" s="237">
        <f t="shared" si="4"/>
        <v>-1126786.6666666665</v>
      </c>
    </row>
    <row r="31" spans="2:17" hidden="1" outlineLevel="1">
      <c r="B31" s="673">
        <f t="shared" si="5"/>
        <v>12</v>
      </c>
      <c r="C31" s="622" t="s">
        <v>1494</v>
      </c>
      <c r="D31" s="602" t="s">
        <v>1648</v>
      </c>
      <c r="E31" s="602" t="s">
        <v>2496</v>
      </c>
      <c r="F31" s="854">
        <f>+SUMIFS(TSALIN!$I$6:$I$105,TSALIN!$E$6:$E$105,C31)</f>
        <v>1106517.0186335403</v>
      </c>
      <c r="G31" s="674"/>
      <c r="H31" s="674">
        <f t="shared" si="0"/>
        <v>1106517.0186335403</v>
      </c>
      <c r="I31" s="674">
        <f>+SUMIFS(TSALIN!$J$6:$J$105,TSALIN!$E$6:$E$105,C31)</f>
        <v>121716.87204968944</v>
      </c>
      <c r="J31" s="674">
        <f t="shared" si="1"/>
        <v>984800.14658385084</v>
      </c>
      <c r="K31" s="674">
        <f t="shared" si="2"/>
        <v>98480.014658385087</v>
      </c>
      <c r="L31" s="674">
        <f>+SUMIFS(TSALIN!$K$6:$K$105,TSALIN!$E$6:$E$105,C31)</f>
        <v>40000</v>
      </c>
      <c r="M31" s="674">
        <f>+SUMIFS(TSALIN!$L$6:$L$105,TSALIN!$E$6:$E$105,C31)</f>
        <v>58480.014658385095</v>
      </c>
      <c r="N31" s="237">
        <f t="shared" si="3"/>
        <v>0</v>
      </c>
      <c r="P31" s="237">
        <f>+TSALIN!I17+TSALIN!I55+TSALIN!I93+TSALIN!I132+TSALIN!I172+TSALIN!I213</f>
        <v>2550583.6853002068</v>
      </c>
      <c r="Q31" s="237">
        <f t="shared" si="4"/>
        <v>-1444066.6666666665</v>
      </c>
    </row>
    <row r="32" spans="2:17" hidden="1" outlineLevel="1">
      <c r="B32" s="673">
        <f t="shared" si="5"/>
        <v>13</v>
      </c>
      <c r="C32" s="451" t="s">
        <v>1861</v>
      </c>
      <c r="D32" s="602" t="s">
        <v>2487</v>
      </c>
      <c r="E32" s="602" t="s">
        <v>2286</v>
      </c>
      <c r="F32" s="854">
        <f>+SUMIFS(TSALIN!$I$6:$I$105,TSALIN!$E$6:$E$105,C32)</f>
        <v>1163154.7826086956</v>
      </c>
      <c r="G32" s="674"/>
      <c r="H32" s="674">
        <f t="shared" si="0"/>
        <v>1163154.7826086956</v>
      </c>
      <c r="I32" s="674">
        <f>+SUMIFS(TSALIN!$J$6:$J$105,TSALIN!$E$6:$E$105,C32)</f>
        <v>127947.02608695651</v>
      </c>
      <c r="J32" s="674">
        <f t="shared" si="1"/>
        <v>1035207.7565217391</v>
      </c>
      <c r="K32" s="674">
        <f t="shared" si="2"/>
        <v>103520.77565217391</v>
      </c>
      <c r="L32" s="674">
        <f>+SUMIFS(TSALIN!$K$6:$K$105,TSALIN!$E$6:$E$105,C32)</f>
        <v>40000</v>
      </c>
      <c r="M32" s="674">
        <f>+SUMIFS(TSALIN!$L$6:$L$105,TSALIN!$E$6:$E$105,C32)</f>
        <v>63520.775652173914</v>
      </c>
      <c r="N32" s="237">
        <f t="shared" si="3"/>
        <v>0</v>
      </c>
      <c r="P32" s="237">
        <f>+TSALIN!I18+TSALIN!I56+TSALIN!I94+TSALIN!I133+TSALIN!I173+TSALIN!I214</f>
        <v>2405154.7826086953</v>
      </c>
      <c r="Q32" s="237">
        <f t="shared" si="4"/>
        <v>-1241999.9999999998</v>
      </c>
    </row>
    <row r="33" spans="2:17" hidden="1" outlineLevel="1">
      <c r="B33" s="673">
        <f t="shared" si="5"/>
        <v>14</v>
      </c>
      <c r="C33" s="617" t="s">
        <v>1495</v>
      </c>
      <c r="D33" s="602" t="s">
        <v>1649</v>
      </c>
      <c r="E33" s="602" t="s">
        <v>2497</v>
      </c>
      <c r="F33" s="854">
        <f>+SUMIFS(TSALIN!$I$6:$I$105,TSALIN!$E$6:$E$105,C33)</f>
        <v>1046489.4409937889</v>
      </c>
      <c r="G33" s="674"/>
      <c r="H33" s="674">
        <f t="shared" si="0"/>
        <v>1046489.4409937889</v>
      </c>
      <c r="I33" s="674">
        <f>+SUMIFS(TSALIN!$J$6:$J$105,TSALIN!$E$6:$E$105,C33)</f>
        <v>115113.83850931677</v>
      </c>
      <c r="J33" s="674">
        <f t="shared" si="1"/>
        <v>931375.6024844721</v>
      </c>
      <c r="K33" s="674">
        <f t="shared" si="2"/>
        <v>93137.560248447218</v>
      </c>
      <c r="L33" s="674">
        <f>+SUMIFS(TSALIN!$K$6:$K$105,TSALIN!$E$6:$E$105,C33)</f>
        <v>40000</v>
      </c>
      <c r="M33" s="674">
        <f>+SUMIFS(TSALIN!$L$6:$L$105,TSALIN!$E$6:$E$105,C33)</f>
        <v>53137.560248447211</v>
      </c>
      <c r="N33" s="237">
        <f>+K33-L33-M33</f>
        <v>0</v>
      </c>
      <c r="P33" s="237">
        <f>+TSALIN!I19+TSALIN!I57+TSALIN!I95+TSALIN!I134+TSALIN!I174+TSALIN!I215</f>
        <v>1801084.9965493444</v>
      </c>
      <c r="Q33" s="237">
        <f t="shared" si="4"/>
        <v>-754595.5555555555</v>
      </c>
    </row>
    <row r="34" spans="2:17" hidden="1" outlineLevel="1">
      <c r="B34" s="675">
        <f t="shared" si="5"/>
        <v>15</v>
      </c>
      <c r="C34" s="611" t="s">
        <v>1496</v>
      </c>
      <c r="D34" s="616" t="s">
        <v>1650</v>
      </c>
      <c r="E34" s="616" t="s">
        <v>2498</v>
      </c>
      <c r="F34" s="854">
        <f>+SUMIFS(TSALIN!$I$6:$I$105,TSALIN!$E$6:$E$105,C34)</f>
        <v>782973.08488612843</v>
      </c>
      <c r="G34" s="674"/>
      <c r="H34" s="674">
        <f t="shared" si="0"/>
        <v>782973.08488612843</v>
      </c>
      <c r="I34" s="674">
        <f>+SUMIFS(TSALIN!$J$6:$J$105,TSALIN!$E$6:$E$105,C34)</f>
        <v>86127.039337474125</v>
      </c>
      <c r="J34" s="674">
        <f t="shared" si="1"/>
        <v>696846.04554865428</v>
      </c>
      <c r="K34" s="674">
        <f>+J34*0.1</f>
        <v>69684.604554865437</v>
      </c>
      <c r="L34" s="674">
        <f>+SUMIFS(TSALIN!$K$6:$K$105,TSALIN!$E$6:$E$105,C34)</f>
        <v>18447.619047619046</v>
      </c>
      <c r="M34" s="674">
        <f>+SUMIFS(TSALIN!$L$6:$L$105,TSALIN!$E$6:$E$105,C34)</f>
        <v>51236.985507246391</v>
      </c>
      <c r="N34" s="237">
        <f t="shared" si="3"/>
        <v>0</v>
      </c>
      <c r="P34" s="237">
        <f>+TSALIN!I20+TSALIN!I58+TSALIN!I96+TSALIN!I135+TSALIN!I175+TSALIN!I216</f>
        <v>3108934.5663676104</v>
      </c>
      <c r="Q34" s="237">
        <f t="shared" si="4"/>
        <v>-2325961.4814814818</v>
      </c>
    </row>
    <row r="35" spans="2:17" hidden="1" outlineLevel="1">
      <c r="B35" s="673">
        <f t="shared" si="5"/>
        <v>16</v>
      </c>
      <c r="C35" s="620" t="s">
        <v>1497</v>
      </c>
      <c r="D35" s="602" t="s">
        <v>1651</v>
      </c>
      <c r="E35" s="602" t="s">
        <v>1637</v>
      </c>
      <c r="F35" s="854">
        <f>+SUMIFS(TSALIN!$I$6:$I$105,TSALIN!$E$6:$E$105,C35)</f>
        <v>743055.1055900621</v>
      </c>
      <c r="G35" s="674"/>
      <c r="H35" s="674">
        <f t="shared" si="0"/>
        <v>743055.1055900621</v>
      </c>
      <c r="I35" s="674">
        <f>+SUMIFS(TSALIN!$J$6:$J$105,TSALIN!$E$6:$E$105,C35)</f>
        <v>81736.061614906837</v>
      </c>
      <c r="J35" s="674">
        <f t="shared" si="1"/>
        <v>661319.04397515522</v>
      </c>
      <c r="K35" s="674">
        <f t="shared" si="2"/>
        <v>66131.904397515522</v>
      </c>
      <c r="L35" s="674">
        <f>+SUMIFS(TSALIN!$K$6:$K$105,TSALIN!$E$6:$E$105,C35)</f>
        <v>36268.495238095238</v>
      </c>
      <c r="M35" s="674">
        <f>+SUMIFS(TSALIN!$L$6:$L$105,TSALIN!$E$6:$E$105,C35)</f>
        <v>29863.409159420291</v>
      </c>
      <c r="N35" s="237">
        <f t="shared" si="3"/>
        <v>0</v>
      </c>
      <c r="P35" s="237">
        <f>+TSALIN!I21+TSALIN!I59+TSALIN!I97+TSALIN!I136+TSALIN!I176+TSALIN!I217</f>
        <v>2035407.1055900622</v>
      </c>
      <c r="Q35" s="237">
        <f t="shared" si="4"/>
        <v>-1292352</v>
      </c>
    </row>
    <row r="36" spans="2:17" hidden="1" outlineLevel="1">
      <c r="B36" s="673">
        <f t="shared" si="5"/>
        <v>17</v>
      </c>
      <c r="C36" s="619" t="s">
        <v>1498</v>
      </c>
      <c r="D36" s="618" t="s">
        <v>1652</v>
      </c>
      <c r="E36" s="618" t="s">
        <v>1638</v>
      </c>
      <c r="F36" s="854">
        <f>+SUMIFS(TSALIN!$I$6:$I$105,TSALIN!$E$6:$E$105,C36)</f>
        <v>1253878.857142857</v>
      </c>
      <c r="G36" s="674"/>
      <c r="H36" s="674">
        <f t="shared" si="0"/>
        <v>1253878.857142857</v>
      </c>
      <c r="I36" s="674">
        <f>+SUMIFS(TSALIN!$J$6:$J$105,TSALIN!$E$6:$E$105,C36)</f>
        <v>137926.67428571428</v>
      </c>
      <c r="J36" s="674">
        <f t="shared" si="1"/>
        <v>1115952.1828571428</v>
      </c>
      <c r="K36" s="674">
        <f t="shared" si="2"/>
        <v>111595.21828571428</v>
      </c>
      <c r="L36" s="674">
        <f>+SUMIFS(TSALIN!$K$6:$K$105,TSALIN!$E$6:$E$105,C36)</f>
        <v>40000</v>
      </c>
      <c r="M36" s="674">
        <f>+SUMIFS(TSALIN!$L$6:$L$105,TSALIN!$E$6:$E$105,C36)</f>
        <v>71595.218285714276</v>
      </c>
      <c r="N36" s="237">
        <f t="shared" si="3"/>
        <v>0</v>
      </c>
      <c r="P36" s="237">
        <f>+TSALIN!I22+TSALIN!I60+TSALIN!I98+TSALIN!I137+TSALIN!I177+TSALIN!I218</f>
        <v>2823222.8571428573</v>
      </c>
      <c r="Q36" s="237">
        <f t="shared" si="4"/>
        <v>-1569344.0000000002</v>
      </c>
    </row>
    <row r="37" spans="2:17" hidden="1" outlineLevel="1">
      <c r="B37" s="673">
        <f t="shared" si="5"/>
        <v>18</v>
      </c>
      <c r="C37" s="451" t="s">
        <v>1499</v>
      </c>
      <c r="D37" s="616" t="s">
        <v>1653</v>
      </c>
      <c r="E37" s="616" t="s">
        <v>1474</v>
      </c>
      <c r="F37" s="854">
        <f>+SUMIFS(TSALIN!$I$6:$I$105,TSALIN!$E$6:$E$105,C37)</f>
        <v>1624848.1987577642</v>
      </c>
      <c r="G37" s="674"/>
      <c r="H37" s="674">
        <f t="shared" si="0"/>
        <v>1624848.1987577642</v>
      </c>
      <c r="I37" s="674">
        <f>+SUMIFS(TSALIN!$J$6:$J$105,TSALIN!$E$6:$E$105,C37)</f>
        <v>178733.30186335405</v>
      </c>
      <c r="J37" s="674">
        <f t="shared" si="1"/>
        <v>1446114.8968944103</v>
      </c>
      <c r="K37" s="674">
        <f t="shared" si="2"/>
        <v>144611.48968944102</v>
      </c>
      <c r="L37" s="674">
        <f>+SUMIFS(TSALIN!$K$6:$K$105,TSALIN!$E$6:$E$105,C37)</f>
        <v>38333.333333333336</v>
      </c>
      <c r="M37" s="674">
        <f>+SUMIFS(TSALIN!$L$6:$L$105,TSALIN!$E$6:$E$105,C37)</f>
        <v>106278.15635610768</v>
      </c>
      <c r="N37" s="237">
        <f t="shared" si="3"/>
        <v>0</v>
      </c>
      <c r="P37" s="237">
        <f>+TSALIN!I23+TSALIN!I61+TSALIN!I99+TSALIN!I138+TSALIN!I178+TSALIN!I219</f>
        <v>3328848.198757764</v>
      </c>
      <c r="Q37" s="237">
        <f t="shared" si="4"/>
        <v>-1703999.9999999998</v>
      </c>
    </row>
    <row r="38" spans="2:17" hidden="1" outlineLevel="1">
      <c r="B38" s="673">
        <f t="shared" si="5"/>
        <v>19</v>
      </c>
      <c r="C38" s="619" t="s">
        <v>1500</v>
      </c>
      <c r="D38" s="618" t="s">
        <v>1654</v>
      </c>
      <c r="E38" s="618" t="s">
        <v>1639</v>
      </c>
      <c r="F38" s="854">
        <f>+SUMIFS(TSALIN!$I$6:$I$105,TSALIN!$E$6:$E$105,C38)</f>
        <v>1226573.9130434783</v>
      </c>
      <c r="G38" s="674"/>
      <c r="H38" s="674">
        <f t="shared" si="0"/>
        <v>1226573.9130434783</v>
      </c>
      <c r="I38" s="674">
        <f>+SUMIFS(TSALIN!$J$6:$J$105,TSALIN!$E$6:$E$105,C38)</f>
        <v>134923.13043478259</v>
      </c>
      <c r="J38" s="674">
        <f t="shared" si="1"/>
        <v>1091650.7826086958</v>
      </c>
      <c r="K38" s="674">
        <f t="shared" si="2"/>
        <v>109165.07826086959</v>
      </c>
      <c r="L38" s="674">
        <f>+SUMIFS(TSALIN!$K$6:$K$105,TSALIN!$E$6:$E$105,C38)</f>
        <v>40000</v>
      </c>
      <c r="M38" s="674">
        <f>+SUMIFS(TSALIN!$L$6:$L$105,TSALIN!$E$6:$E$105,C38)</f>
        <v>69165.078260869574</v>
      </c>
      <c r="N38" s="237">
        <f t="shared" si="3"/>
        <v>0</v>
      </c>
      <c r="P38" s="237">
        <f>+TSALIN!I24+TSALIN!I62+TSALIN!I100+TSALIN!I139+TSALIN!I179+TSALIN!I220</f>
        <v>2713948.1352657005</v>
      </c>
      <c r="Q38" s="237">
        <f t="shared" si="4"/>
        <v>-1487374.2222222222</v>
      </c>
    </row>
    <row r="39" spans="2:17" hidden="1" outlineLevel="1">
      <c r="B39" s="673">
        <f t="shared" si="5"/>
        <v>20</v>
      </c>
      <c r="C39" s="608" t="s">
        <v>2588</v>
      </c>
      <c r="D39" s="616" t="s">
        <v>2591</v>
      </c>
      <c r="E39" s="618" t="s">
        <v>2592</v>
      </c>
      <c r="F39" s="854">
        <f>+SUMIFS(TSALIN!$I$6:$I$105,TSALIN!$E$6:$E$105,C39)</f>
        <v>0</v>
      </c>
      <c r="G39" s="674"/>
      <c r="H39" s="674">
        <f t="shared" ref="H39:H45" si="6">+F39+G39</f>
        <v>0</v>
      </c>
      <c r="I39" s="674">
        <f>+SUMIFS(TSALIN!$J$6:$J$105,TSALIN!$E$6:$E$105,C39)</f>
        <v>0</v>
      </c>
      <c r="J39" s="674">
        <f t="shared" ref="J39:J45" si="7">+H39-I39</f>
        <v>0</v>
      </c>
      <c r="K39" s="674">
        <f t="shared" ref="K39:K45" si="8">+J39*0.1</f>
        <v>0</v>
      </c>
      <c r="L39" s="674">
        <f>+SUMIFS(TSALIN!$K$6:$K$105,TSALIN!$E$6:$E$105,C39)</f>
        <v>0</v>
      </c>
      <c r="M39" s="674">
        <f>+SUMIFS(TSALIN!$L$6:$L$105,TSALIN!$E$6:$E$105,C39)</f>
        <v>0</v>
      </c>
      <c r="N39" s="237">
        <f t="shared" ref="N39:N46" si="9">+K39-L39-M39</f>
        <v>0</v>
      </c>
      <c r="P39" s="237">
        <f>+TSALIN!I180+TSALIN!I221</f>
        <v>896153.33333333326</v>
      </c>
      <c r="Q39" s="237">
        <f t="shared" si="4"/>
        <v>-896153.33333333326</v>
      </c>
    </row>
    <row r="40" spans="2:17" hidden="1" outlineLevel="1">
      <c r="B40" s="673">
        <f t="shared" si="5"/>
        <v>21</v>
      </c>
      <c r="C40" s="375" t="s">
        <v>1501</v>
      </c>
      <c r="D40" s="616" t="s">
        <v>1644</v>
      </c>
      <c r="E40" s="616" t="s">
        <v>1640</v>
      </c>
      <c r="F40" s="854">
        <f>+SUMIFS(TSALIN!$I$6:$I$105,TSALIN!$E$6:$E$105,C40)</f>
        <v>1059407.3291925467</v>
      </c>
      <c r="G40" s="674"/>
      <c r="H40" s="674">
        <f t="shared" si="6"/>
        <v>1059407.3291925467</v>
      </c>
      <c r="I40" s="674">
        <f>+SUMIFS(TSALIN!$J$6:$J$105,TSALIN!$E$6:$E$105,C40)</f>
        <v>116534.80621118013</v>
      </c>
      <c r="J40" s="674">
        <f t="shared" si="7"/>
        <v>942872.52298136649</v>
      </c>
      <c r="K40" s="674">
        <f t="shared" si="8"/>
        <v>94287.252298136649</v>
      </c>
      <c r="L40" s="674">
        <f>+SUMIFS(TSALIN!$K$6:$K$105,TSALIN!$E$6:$E$105,C40)</f>
        <v>40000</v>
      </c>
      <c r="M40" s="674">
        <f>+SUMIFS(TSALIN!$L$6:$L$105,TSALIN!$E$6:$E$105,C40)</f>
        <v>54287.252298136649</v>
      </c>
      <c r="N40" s="237">
        <f>+K40-L40-M40</f>
        <v>0</v>
      </c>
      <c r="P40" s="237">
        <f>+TSALIN!I25+TSALIN!I63+TSALIN!I101+TSALIN!I140+TSALIN!I181+TSALIN!I222</f>
        <v>2429760.6625258802</v>
      </c>
      <c r="Q40" s="237">
        <f t="shared" si="4"/>
        <v>-1370353.3333333335</v>
      </c>
    </row>
    <row r="41" spans="2:17" hidden="1" outlineLevel="1">
      <c r="B41" s="673">
        <f t="shared" si="5"/>
        <v>22</v>
      </c>
      <c r="C41" s="375" t="s">
        <v>1502</v>
      </c>
      <c r="D41" s="616" t="s">
        <v>1643</v>
      </c>
      <c r="E41" s="616" t="s">
        <v>1641</v>
      </c>
      <c r="F41" s="854">
        <f>+SUMIFS(TSALIN!$I$6:$I$105,TSALIN!$E$6:$E$105,C41)</f>
        <v>1511892.6708074533</v>
      </c>
      <c r="G41" s="674"/>
      <c r="H41" s="674">
        <f t="shared" si="6"/>
        <v>1511892.6708074533</v>
      </c>
      <c r="I41" s="674">
        <f>+SUMIFS(TSALIN!$J$6:$J$105,TSALIN!$E$6:$E$105,C41)</f>
        <v>166308.19378881989</v>
      </c>
      <c r="J41" s="674">
        <f t="shared" si="7"/>
        <v>1345584.4770186334</v>
      </c>
      <c r="K41" s="674">
        <f t="shared" si="8"/>
        <v>134558.44770186333</v>
      </c>
      <c r="L41" s="674">
        <f>+SUMIFS(TSALIN!$K$6:$K$105,TSALIN!$E$6:$E$105,C41)</f>
        <v>40000</v>
      </c>
      <c r="M41" s="674">
        <f>+SUMIFS(TSALIN!$L$6:$L$105,TSALIN!$E$6:$E$105,C41)</f>
        <v>94558.447701863362</v>
      </c>
      <c r="N41" s="237">
        <f t="shared" si="9"/>
        <v>0</v>
      </c>
      <c r="P41" s="237">
        <f>+TSALIN!I27+TSALIN!I65+TSALIN!I103+TSALIN!I142+TSALIN!I184+TSALIN!I223</f>
        <v>2861773.5596963423</v>
      </c>
      <c r="Q41" s="237">
        <f t="shared" si="4"/>
        <v>-1349880.888888889</v>
      </c>
    </row>
    <row r="42" spans="2:17" hidden="1" outlineLevel="1">
      <c r="B42" s="673">
        <f t="shared" si="5"/>
        <v>23</v>
      </c>
      <c r="C42" s="375" t="s">
        <v>2590</v>
      </c>
      <c r="D42" s="237" t="s">
        <v>2593</v>
      </c>
      <c r="E42" s="237" t="s">
        <v>2594</v>
      </c>
      <c r="F42" s="854">
        <f>+SUMIFS(TSALIN!$I$6:$I$105,TSALIN!$E$6:$E$105,C42)</f>
        <v>0</v>
      </c>
      <c r="H42" s="674">
        <f t="shared" si="6"/>
        <v>0</v>
      </c>
      <c r="I42" s="674">
        <f>+SUMIFS(TSALIN!$J$6:$J$105,TSALIN!$E$6:$E$105,C42)</f>
        <v>0</v>
      </c>
      <c r="J42" s="674">
        <f t="shared" si="7"/>
        <v>0</v>
      </c>
      <c r="K42" s="674">
        <f t="shared" si="8"/>
        <v>0</v>
      </c>
      <c r="L42" s="674">
        <f>+SUMIFS(TSALIN!$K$6:$K$105,TSALIN!$E$6:$E$105,C42)</f>
        <v>0</v>
      </c>
      <c r="M42" s="674">
        <f>+SUMIFS(TSALIN!$L$6:$L$105,TSALIN!$E$6:$E$105,C42)</f>
        <v>0</v>
      </c>
      <c r="N42" s="237">
        <f t="shared" si="9"/>
        <v>0</v>
      </c>
      <c r="P42" s="237">
        <f>+TSALIN!I225+TSALIN!I183</f>
        <v>895360</v>
      </c>
      <c r="Q42" s="237">
        <f t="shared" si="4"/>
        <v>-895360</v>
      </c>
    </row>
    <row r="43" spans="2:17" hidden="1" outlineLevel="1">
      <c r="B43" s="673">
        <f t="shared" si="5"/>
        <v>24</v>
      </c>
      <c r="C43" s="375" t="s">
        <v>1521</v>
      </c>
      <c r="D43" s="616" t="s">
        <v>2488</v>
      </c>
      <c r="E43" s="616" t="s">
        <v>2499</v>
      </c>
      <c r="F43" s="854">
        <f>+SUMIFS(TSALIN!$I$6:$I$105,TSALIN!$E$6:$E$105,C43)</f>
        <v>1050413.6645962733</v>
      </c>
      <c r="G43" s="674"/>
      <c r="H43" s="674">
        <f t="shared" si="6"/>
        <v>1050413.6645962733</v>
      </c>
      <c r="I43" s="674">
        <f>+SUMIFS(TSALIN!$J$6:$J$105,TSALIN!$E$6:$E$105,C43)</f>
        <v>115545.50310559006</v>
      </c>
      <c r="J43" s="674">
        <f t="shared" si="7"/>
        <v>934868.16149068321</v>
      </c>
      <c r="K43" s="674">
        <f t="shared" si="8"/>
        <v>93486.816149068327</v>
      </c>
      <c r="L43" s="674">
        <f>+SUMIFS(TSALIN!$K$6:$K$105,TSALIN!$E$6:$E$105,C43)</f>
        <v>40000</v>
      </c>
      <c r="M43" s="674">
        <f>+SUMIFS(TSALIN!$L$6:$L$105,TSALIN!$E$6:$E$105,C43)</f>
        <v>53486.816149068327</v>
      </c>
      <c r="N43" s="237">
        <f t="shared" si="9"/>
        <v>0</v>
      </c>
      <c r="P43" s="237">
        <f>+TSALIN!I26+TSALIN!I64+TSALIN!I102+TSALIN!I141+TSALIN!I182+TSALIN!I224</f>
        <v>2362426.9979296066</v>
      </c>
      <c r="Q43" s="237">
        <f t="shared" si="4"/>
        <v>-1312013.3333333333</v>
      </c>
    </row>
    <row r="44" spans="2:17" hidden="1" outlineLevel="1">
      <c r="B44" s="673">
        <f t="shared" si="5"/>
        <v>25</v>
      </c>
      <c r="C44" s="611" t="s">
        <v>1503</v>
      </c>
      <c r="D44" s="616" t="s">
        <v>1642</v>
      </c>
      <c r="E44" s="616" t="s">
        <v>2500</v>
      </c>
      <c r="F44" s="854">
        <f>+SUMIFS(TSALIN!$I$6:$I$105,TSALIN!$E$6:$E$105,C44)</f>
        <v>903405.09316770185</v>
      </c>
      <c r="G44" s="674"/>
      <c r="H44" s="674">
        <f t="shared" si="6"/>
        <v>903405.09316770185</v>
      </c>
      <c r="I44" s="674">
        <f>+SUMIFS(TSALIN!$J$6:$J$105,TSALIN!$E$6:$E$105,C44)</f>
        <v>99374.560248447204</v>
      </c>
      <c r="J44" s="674">
        <f t="shared" si="7"/>
        <v>804030.53291925462</v>
      </c>
      <c r="K44" s="674">
        <f t="shared" si="8"/>
        <v>80403.053291925462</v>
      </c>
      <c r="L44" s="674">
        <f>+SUMIFS(TSALIN!$K$6:$K$105,TSALIN!$E$6:$E$105,C44)</f>
        <v>40000</v>
      </c>
      <c r="M44" s="674">
        <f>+SUMIFS(TSALIN!$L$6:$L$105,TSALIN!$E$6:$E$105,C44)</f>
        <v>40403.053291925462</v>
      </c>
      <c r="N44" s="237">
        <f t="shared" si="9"/>
        <v>0</v>
      </c>
      <c r="P44" s="237">
        <f>+TSALIN!I226+TSALIN!I185+TSALIN!I143+TSALIN!I104+TSALIN!I66+TSALIN!I28</f>
        <v>2172585.0931677017</v>
      </c>
      <c r="Q44" s="237">
        <f t="shared" si="4"/>
        <v>-1269180</v>
      </c>
    </row>
    <row r="45" spans="2:17" hidden="1" outlineLevel="1">
      <c r="B45" s="673">
        <f t="shared" si="5"/>
        <v>26</v>
      </c>
      <c r="C45" s="611" t="s">
        <v>1851</v>
      </c>
      <c r="D45" s="616" t="s">
        <v>2489</v>
      </c>
      <c r="E45" s="616" t="s">
        <v>2490</v>
      </c>
      <c r="F45" s="854">
        <f>+SUMIFS(TSALIN!$I$6:$I$105,TSALIN!$E$6:$E$105,C45)</f>
        <v>841205.79710144922</v>
      </c>
      <c r="G45" s="674"/>
      <c r="H45" s="674">
        <f t="shared" si="6"/>
        <v>841205.79710144922</v>
      </c>
      <c r="I45" s="674">
        <f>+SUMIFS(TSALIN!$J$6:$J$105,TSALIN!$E$6:$E$105,C45)</f>
        <v>92532.637681159424</v>
      </c>
      <c r="J45" s="674">
        <f t="shared" si="7"/>
        <v>748673.1594202898</v>
      </c>
      <c r="K45" s="674">
        <f t="shared" si="8"/>
        <v>74867.315942028989</v>
      </c>
      <c r="L45" s="674">
        <f>+SUMIFS(TSALIN!$K$6:$K$105,TSALIN!$E$6:$E$105,C45)</f>
        <v>40000</v>
      </c>
      <c r="M45" s="674">
        <f>+SUMIFS(TSALIN!$L$6:$L$105,TSALIN!$E$6:$E$105,C45)</f>
        <v>34867.315942028981</v>
      </c>
      <c r="N45" s="237">
        <f t="shared" si="9"/>
        <v>0</v>
      </c>
      <c r="P45" s="237">
        <f>+TSALIN!I227+TSALIN!I186+TSALIN!I144+TSALIN!I105+TSALIN!I67+TSALIN!I29</f>
        <v>1637272.4637681162</v>
      </c>
      <c r="Q45" s="237">
        <f t="shared" si="4"/>
        <v>-796066.66666666698</v>
      </c>
    </row>
    <row r="46" spans="2:17" s="512" customFormat="1" hidden="1" outlineLevel="1">
      <c r="B46" s="852"/>
      <c r="C46" s="853"/>
      <c r="D46" s="1138" t="s">
        <v>21</v>
      </c>
      <c r="E46" s="1138"/>
      <c r="F46" s="870">
        <f>SUM(F20:F45)</f>
        <v>36454180.09109731</v>
      </c>
      <c r="G46" s="870">
        <f t="shared" ref="G46:M46" si="10">SUM(G20:G45)</f>
        <v>0</v>
      </c>
      <c r="H46" s="870">
        <f t="shared" si="10"/>
        <v>36454180.09109731</v>
      </c>
      <c r="I46" s="870">
        <f t="shared" si="10"/>
        <v>3989711.4290683232</v>
      </c>
      <c r="J46" s="870">
        <f t="shared" si="10"/>
        <v>32464468.662028983</v>
      </c>
      <c r="K46" s="870">
        <f t="shared" si="10"/>
        <v>3246446.8662028988</v>
      </c>
      <c r="L46" s="870">
        <f t="shared" si="10"/>
        <v>824716.11428571434</v>
      </c>
      <c r="M46" s="870">
        <f t="shared" si="10"/>
        <v>2421730.7519171848</v>
      </c>
      <c r="N46" s="512">
        <f t="shared" si="9"/>
        <v>0</v>
      </c>
    </row>
    <row r="47" spans="2:17" hidden="1" outlineLevel="1">
      <c r="F47" s="15">
        <f>+TSALIN!I117</f>
        <v>36454180.09109731</v>
      </c>
      <c r="G47" s="15"/>
      <c r="H47" s="15">
        <f>+TSALIN!I117</f>
        <v>36454180.09109731</v>
      </c>
      <c r="I47" s="15">
        <f>+TSALIN!J117</f>
        <v>3989711.4290683237</v>
      </c>
      <c r="J47" s="15">
        <f>+TSALIN!M117+TSALIN!L117</f>
        <v>32464468.662028983</v>
      </c>
      <c r="K47" s="15">
        <f>+TSALIN!K117+TSALIN!L117</f>
        <v>3246446.8662028988</v>
      </c>
      <c r="L47" s="15">
        <f>+TSALIN!K117</f>
        <v>824716.11428571446</v>
      </c>
      <c r="M47" s="15">
        <f>+TSALIN!L117</f>
        <v>2421730.7519171843</v>
      </c>
      <c r="N47" s="237">
        <f>+K47-L47-M47</f>
        <v>0</v>
      </c>
    </row>
    <row r="48" spans="2:17" hidden="1" outlineLevel="1">
      <c r="C48" s="332" t="s">
        <v>1625</v>
      </c>
      <c r="F48" s="237">
        <f t="shared" ref="F48:L48" si="11">+F47-F46</f>
        <v>0</v>
      </c>
      <c r="G48" s="237">
        <f t="shared" si="11"/>
        <v>0</v>
      </c>
      <c r="H48" s="237">
        <f t="shared" si="11"/>
        <v>0</v>
      </c>
      <c r="I48" s="237">
        <f t="shared" si="11"/>
        <v>0</v>
      </c>
      <c r="J48" s="237">
        <f>+J47-J46</f>
        <v>0</v>
      </c>
      <c r="K48" s="237">
        <f>+K46-K47</f>
        <v>0</v>
      </c>
      <c r="L48" s="237">
        <f t="shared" si="11"/>
        <v>0</v>
      </c>
      <c r="M48" s="237">
        <f>+M47-M46</f>
        <v>0</v>
      </c>
    </row>
    <row r="49" spans="1:13" hidden="1" outlineLevel="1">
      <c r="C49" s="676"/>
    </row>
    <row r="50" spans="1:13" hidden="1" outlineLevel="1">
      <c r="C50" s="332" t="s">
        <v>1626</v>
      </c>
      <c r="H50" s="237" t="s">
        <v>1627</v>
      </c>
    </row>
    <row r="51" spans="1:13" hidden="1" outlineLevel="1"/>
    <row r="52" spans="1:13" hidden="1" outlineLevel="1">
      <c r="C52" s="332" t="s">
        <v>1628</v>
      </c>
      <c r="D52" s="40"/>
      <c r="H52" s="237" t="s">
        <v>1629</v>
      </c>
    </row>
    <row r="53" spans="1:13" hidden="1" outlineLevel="1">
      <c r="C53" s="676"/>
    </row>
    <row r="54" spans="1:13" hidden="1" outlineLevel="1">
      <c r="B54" s="1139" t="s">
        <v>1630</v>
      </c>
      <c r="C54" s="1139"/>
      <c r="D54" s="1139"/>
      <c r="E54" s="1139"/>
      <c r="F54" s="1139"/>
      <c r="G54" s="1139"/>
      <c r="H54" s="1139"/>
      <c r="I54" s="1139"/>
      <c r="J54" s="1139"/>
      <c r="K54" s="1139"/>
      <c r="L54" s="1139"/>
      <c r="M54" s="1139"/>
    </row>
    <row r="55" spans="1:13" collapsed="1">
      <c r="A55" s="512" t="s">
        <v>2502</v>
      </c>
    </row>
    <row r="56" spans="1:13" hidden="1" outlineLevel="1">
      <c r="M56" s="289" t="s">
        <v>1605</v>
      </c>
    </row>
    <row r="57" spans="1:13" hidden="1" outlineLevel="1">
      <c r="B57" s="665"/>
      <c r="D57" s="40"/>
      <c r="E57" s="40"/>
      <c r="F57" s="40"/>
      <c r="G57" s="40"/>
      <c r="H57" s="40"/>
      <c r="I57" s="40"/>
      <c r="L57" s="40"/>
      <c r="M57" s="289" t="s">
        <v>1606</v>
      </c>
    </row>
    <row r="58" spans="1:13" hidden="1" outlineLevel="1">
      <c r="B58" s="665"/>
      <c r="D58" s="40"/>
      <c r="E58" s="40"/>
      <c r="F58" s="40"/>
      <c r="G58" s="40"/>
      <c r="H58" s="40"/>
      <c r="I58" s="40"/>
      <c r="L58" s="40"/>
      <c r="M58" s="289"/>
    </row>
    <row r="59" spans="1:13" hidden="1" outlineLevel="1">
      <c r="B59" s="666" t="s">
        <v>1607</v>
      </c>
      <c r="D59" s="40"/>
      <c r="E59" s="40"/>
      <c r="F59" s="40"/>
      <c r="G59" s="40"/>
      <c r="H59" s="40"/>
      <c r="I59" s="40"/>
      <c r="L59" s="40"/>
      <c r="M59" s="289"/>
    </row>
    <row r="60" spans="1:13" hidden="1" outlineLevel="1">
      <c r="B60" s="666"/>
      <c r="D60" s="40"/>
      <c r="E60" s="40"/>
      <c r="F60" s="40"/>
      <c r="G60" s="40"/>
      <c r="H60" s="40"/>
      <c r="I60" s="40"/>
      <c r="L60" s="40"/>
      <c r="M60" s="289"/>
    </row>
    <row r="61" spans="1:13" ht="19.5" hidden="1" outlineLevel="1">
      <c r="B61" s="1151" t="s">
        <v>1608</v>
      </c>
      <c r="C61" s="1151"/>
      <c r="D61" s="1151"/>
      <c r="E61" s="1151"/>
      <c r="F61" s="1151"/>
      <c r="G61" s="1151"/>
      <c r="H61" s="1151"/>
      <c r="I61" s="1151"/>
      <c r="J61" s="1151"/>
      <c r="K61" s="1151"/>
      <c r="L61" s="1151"/>
      <c r="M61" s="1151"/>
    </row>
    <row r="62" spans="1:13" ht="19.5" hidden="1" outlineLevel="1">
      <c r="B62" s="1151" t="s">
        <v>1609</v>
      </c>
      <c r="C62" s="1151"/>
      <c r="D62" s="1151"/>
      <c r="E62" s="1151"/>
      <c r="F62" s="1151"/>
      <c r="G62" s="1151"/>
      <c r="H62" s="1151"/>
      <c r="I62" s="1151"/>
      <c r="J62" s="1151"/>
      <c r="K62" s="1151"/>
      <c r="L62" s="1151"/>
      <c r="M62" s="1151"/>
    </row>
    <row r="63" spans="1:13" hidden="1" outlineLevel="1">
      <c r="B63" s="666"/>
      <c r="D63" s="40"/>
      <c r="E63" s="40"/>
      <c r="F63" s="40"/>
      <c r="G63" s="40"/>
      <c r="H63" s="40"/>
      <c r="I63" s="40"/>
      <c r="L63" s="40"/>
      <c r="M63" s="289"/>
    </row>
    <row r="64" spans="1:13" hidden="1" outlineLevel="1">
      <c r="B64" s="666" t="str">
        <f>CONCATENATE("1. ТТД:  ",'company '!C63,"")</f>
        <v xml:space="preserve">1. ТТД:  </v>
      </c>
      <c r="D64" s="40"/>
      <c r="E64" s="40"/>
      <c r="F64" s="40"/>
      <c r="G64" s="40"/>
      <c r="H64" s="40"/>
      <c r="I64" s="1152" t="s">
        <v>1610</v>
      </c>
      <c r="J64" s="1153"/>
      <c r="K64" s="1153"/>
      <c r="L64" s="1154"/>
      <c r="M64" s="289"/>
    </row>
    <row r="65" spans="2:14" hidden="1" outlineLevel="1">
      <c r="D65" s="40"/>
      <c r="E65" s="40"/>
      <c r="F65" s="40"/>
      <c r="G65" s="40"/>
      <c r="H65" s="40"/>
      <c r="I65" s="1143" t="s">
        <v>1611</v>
      </c>
      <c r="J65" s="1144"/>
      <c r="K65" s="1144"/>
      <c r="L65" s="1145"/>
      <c r="M65" s="289"/>
    </row>
    <row r="66" spans="2:14" hidden="1" outlineLevel="1">
      <c r="B66" s="666" t="str">
        <f>CONCATENATE("2. Байгууллагын нэр:  ",'company '!C62,"")</f>
        <v xml:space="preserve">2. Байгууллагын нэр:  </v>
      </c>
      <c r="D66" s="40"/>
      <c r="E66" s="40"/>
      <c r="F66" s="40"/>
      <c r="G66" s="40"/>
      <c r="H66" s="40"/>
      <c r="I66" s="1143" t="s">
        <v>2305</v>
      </c>
      <c r="J66" s="1144"/>
      <c r="K66" s="1144"/>
      <c r="L66" s="1145"/>
      <c r="M66" s="289"/>
    </row>
    <row r="67" spans="2:14" hidden="1" outlineLevel="1">
      <c r="D67" s="40"/>
      <c r="E67" s="40"/>
      <c r="F67" s="40"/>
      <c r="G67" s="40"/>
      <c r="H67" s="40"/>
      <c r="I67" s="1140" t="s">
        <v>1612</v>
      </c>
      <c r="J67" s="1141"/>
      <c r="K67" s="1141"/>
      <c r="L67" s="1142"/>
      <c r="M67" s="289"/>
    </row>
    <row r="68" spans="2:14" hidden="1" outlineLevel="1">
      <c r="B68" s="667" t="s">
        <v>2691</v>
      </c>
      <c r="C68" s="900" t="s">
        <v>2642</v>
      </c>
      <c r="I68" s="1143" t="s">
        <v>1613</v>
      </c>
      <c r="J68" s="1144"/>
      <c r="K68" s="1144"/>
      <c r="L68" s="1145"/>
    </row>
    <row r="69" spans="2:14" hidden="1" outlineLevel="1">
      <c r="I69" s="1146" t="s">
        <v>1614</v>
      </c>
      <c r="J69" s="1147"/>
      <c r="K69" s="1147"/>
      <c r="L69" s="1148"/>
    </row>
    <row r="70" spans="2:14" hidden="1" outlineLevel="1">
      <c r="I70" s="884"/>
      <c r="J70" s="884"/>
      <c r="K70" s="884"/>
      <c r="L70" s="884"/>
    </row>
    <row r="71" spans="2:14" hidden="1" outlineLevel="1">
      <c r="B71" s="96">
        <f>COUNT(B75:B100)</f>
        <v>26</v>
      </c>
      <c r="C71" s="668"/>
      <c r="D71" s="669"/>
      <c r="E71" s="669"/>
      <c r="F71" s="669" t="s">
        <v>1615</v>
      </c>
      <c r="G71" s="669"/>
      <c r="H71" s="669"/>
      <c r="I71" s="670"/>
      <c r="J71" s="671"/>
      <c r="K71" s="671"/>
      <c r="L71" s="671"/>
      <c r="M71" s="671"/>
    </row>
    <row r="72" spans="2:14" hidden="1" outlineLevel="1">
      <c r="B72" s="1149" t="s">
        <v>1</v>
      </c>
      <c r="C72" s="1150" t="s">
        <v>1616</v>
      </c>
      <c r="D72" s="1150"/>
      <c r="E72" s="1150"/>
      <c r="F72" s="1137" t="s">
        <v>1617</v>
      </c>
      <c r="G72" s="1137" t="s">
        <v>1618</v>
      </c>
      <c r="H72" s="1137" t="s">
        <v>1619</v>
      </c>
      <c r="I72" s="1137" t="s">
        <v>2501</v>
      </c>
      <c r="J72" s="1137" t="s">
        <v>1620</v>
      </c>
      <c r="K72" s="1137" t="s">
        <v>1621</v>
      </c>
      <c r="L72" s="1137" t="s">
        <v>1622</v>
      </c>
      <c r="M72" s="1137" t="s">
        <v>1623</v>
      </c>
    </row>
    <row r="73" spans="2:14" ht="25.5" hidden="1" outlineLevel="1">
      <c r="B73" s="1149"/>
      <c r="C73" s="672" t="s">
        <v>1477</v>
      </c>
      <c r="D73" s="883" t="s">
        <v>1624</v>
      </c>
      <c r="E73" s="883" t="s">
        <v>1334</v>
      </c>
      <c r="F73" s="1137"/>
      <c r="G73" s="1137"/>
      <c r="H73" s="1137"/>
      <c r="I73" s="1137"/>
      <c r="J73" s="1137"/>
      <c r="K73" s="1137"/>
      <c r="L73" s="1137"/>
      <c r="M73" s="1137"/>
    </row>
    <row r="74" spans="2:14" hidden="1" outlineLevel="1">
      <c r="B74" s="1149"/>
      <c r="C74" s="672">
        <v>1</v>
      </c>
      <c r="D74" s="883">
        <v>2</v>
      </c>
      <c r="E74" s="883">
        <v>3</v>
      </c>
      <c r="F74" s="883">
        <v>4</v>
      </c>
      <c r="G74" s="883">
        <v>5</v>
      </c>
      <c r="H74" s="883">
        <v>6</v>
      </c>
      <c r="I74" s="883">
        <v>7</v>
      </c>
      <c r="J74" s="883">
        <v>8</v>
      </c>
      <c r="K74" s="883">
        <v>9</v>
      </c>
      <c r="L74" s="883">
        <v>10</v>
      </c>
      <c r="M74" s="883">
        <v>11</v>
      </c>
    </row>
    <row r="75" spans="2:14" hidden="1" outlineLevel="1">
      <c r="B75" s="673">
        <v>1</v>
      </c>
      <c r="C75" s="603" t="s">
        <v>1486</v>
      </c>
      <c r="D75" s="602" t="s">
        <v>1631</v>
      </c>
      <c r="E75" s="907" t="s">
        <v>1470</v>
      </c>
      <c r="F75" s="854">
        <f>+SUMIFS(TSALIN!$I$6:$I$227,TSALIN!$E$6:$E$227,C75)</f>
        <v>7200000</v>
      </c>
      <c r="G75" s="674"/>
      <c r="H75" s="674">
        <f>+F75+G75</f>
        <v>7200000</v>
      </c>
      <c r="I75" s="674">
        <f>+SUMIFS(TSALIN!$J$6:$J$227,TSALIN!$E$6:$E$227,C75)</f>
        <v>792000</v>
      </c>
      <c r="J75" s="674">
        <f>+H75-I75</f>
        <v>6408000</v>
      </c>
      <c r="K75" s="674">
        <f>+J75*0.1</f>
        <v>640800</v>
      </c>
      <c r="L75" s="674">
        <f>+SUMIFS(TSALIN!$K$6:$K$227,TSALIN!$E$6:$E$227,C75)</f>
        <v>60000</v>
      </c>
      <c r="M75" s="674">
        <f>+K75-L75</f>
        <v>580800</v>
      </c>
      <c r="N75" s="237">
        <f>+K75-L75-M75</f>
        <v>0</v>
      </c>
    </row>
    <row r="76" spans="2:14" hidden="1" outlineLevel="1">
      <c r="B76" s="673">
        <f>+B75+1</f>
        <v>2</v>
      </c>
      <c r="C76" s="608" t="s">
        <v>1487</v>
      </c>
      <c r="D76" s="609" t="s">
        <v>1359</v>
      </c>
      <c r="E76" s="910" t="s">
        <v>1360</v>
      </c>
      <c r="F76" s="854">
        <f>+SUMIFS(TSALIN!$I$6:$I$227,TSALIN!$E$6:$E$227,C76)</f>
        <v>7200000</v>
      </c>
      <c r="G76" s="674"/>
      <c r="H76" s="674">
        <f t="shared" ref="H76:H100" si="12">+F76+G76</f>
        <v>7200000</v>
      </c>
      <c r="I76" s="674">
        <f>+SUMIFS(TSALIN!$J$6:$J$227,TSALIN!$E$6:$E$227,C76)</f>
        <v>792000</v>
      </c>
      <c r="J76" s="674">
        <f t="shared" ref="J76:J100" si="13">+H76-I76</f>
        <v>6408000</v>
      </c>
      <c r="K76" s="674">
        <f t="shared" ref="K76:K100" si="14">+J76*0.1</f>
        <v>640800</v>
      </c>
      <c r="L76" s="674">
        <f>+SUMIFS(TSALIN!$K$6:$K$227,TSALIN!$E$6:$E$227,C76)</f>
        <v>60000</v>
      </c>
      <c r="M76" s="674">
        <f t="shared" ref="M76:M100" si="15">+K76-L76</f>
        <v>580800</v>
      </c>
      <c r="N76" s="237">
        <f t="shared" ref="N76:N87" si="16">+K76-L76-M76</f>
        <v>0</v>
      </c>
    </row>
    <row r="77" spans="2:14" hidden="1" outlineLevel="1">
      <c r="B77" s="673">
        <f t="shared" ref="B77:B100" si="17">+B76+1</f>
        <v>3</v>
      </c>
      <c r="C77" s="608" t="s">
        <v>1489</v>
      </c>
      <c r="D77" s="607" t="s">
        <v>1339</v>
      </c>
      <c r="E77" s="907" t="s">
        <v>1338</v>
      </c>
      <c r="F77" s="854">
        <f>+SUMIFS(TSALIN!$I$6:$I$227,TSALIN!$E$6:$E$227,C77)</f>
        <v>8400000</v>
      </c>
      <c r="G77" s="674"/>
      <c r="H77" s="674">
        <f t="shared" si="12"/>
        <v>8400000</v>
      </c>
      <c r="I77" s="674">
        <f>+SUMIFS(TSALIN!$J$6:$J$227,TSALIN!$E$6:$E$227,C77)</f>
        <v>924000</v>
      </c>
      <c r="J77" s="674">
        <f t="shared" si="13"/>
        <v>7476000</v>
      </c>
      <c r="K77" s="674">
        <f t="shared" si="14"/>
        <v>747600</v>
      </c>
      <c r="L77" s="674">
        <f>+SUMIFS(TSALIN!$K$6:$K$227,TSALIN!$E$6:$E$227,C77)</f>
        <v>60000</v>
      </c>
      <c r="M77" s="674">
        <f t="shared" si="15"/>
        <v>687600</v>
      </c>
      <c r="N77" s="237">
        <f t="shared" si="16"/>
        <v>0</v>
      </c>
    </row>
    <row r="78" spans="2:14" hidden="1" outlineLevel="1">
      <c r="B78" s="673">
        <f t="shared" si="17"/>
        <v>4</v>
      </c>
      <c r="C78" s="611" t="s">
        <v>1490</v>
      </c>
      <c r="D78" s="607" t="s">
        <v>1645</v>
      </c>
      <c r="E78" s="907" t="s">
        <v>1634</v>
      </c>
      <c r="F78" s="854">
        <f>+SUMIFS(TSALIN!$I$6:$I$227,TSALIN!$E$6:$E$227,C78)</f>
        <v>1000000</v>
      </c>
      <c r="G78" s="674"/>
      <c r="H78" s="674">
        <f t="shared" si="12"/>
        <v>1000000</v>
      </c>
      <c r="I78" s="674">
        <f>+SUMIFS(TSALIN!$J$6:$J$227,TSALIN!$E$6:$E$227,C78)</f>
        <v>110000</v>
      </c>
      <c r="J78" s="674">
        <f t="shared" si="13"/>
        <v>890000</v>
      </c>
      <c r="K78" s="674">
        <f t="shared" si="14"/>
        <v>89000</v>
      </c>
      <c r="L78" s="674">
        <f>+SUMIFS(TSALIN!$K$6:$K$227,TSALIN!$E$6:$E$227,C78)</f>
        <v>11666.666666666666</v>
      </c>
      <c r="M78" s="674">
        <f t="shared" si="15"/>
        <v>77333.333333333328</v>
      </c>
      <c r="N78" s="237">
        <f t="shared" si="16"/>
        <v>0</v>
      </c>
    </row>
    <row r="79" spans="2:14" hidden="1" outlineLevel="1">
      <c r="B79" s="673">
        <f t="shared" si="17"/>
        <v>5</v>
      </c>
      <c r="C79" s="608" t="s">
        <v>1491</v>
      </c>
      <c r="D79" s="607" t="s">
        <v>1646</v>
      </c>
      <c r="E79" s="907" t="s">
        <v>1635</v>
      </c>
      <c r="F79" s="854">
        <f>+SUMIFS(TSALIN!$I$6:$I$227,TSALIN!$E$6:$E$227,C79)</f>
        <v>5400000</v>
      </c>
      <c r="G79" s="674"/>
      <c r="H79" s="674">
        <f t="shared" si="12"/>
        <v>5400000</v>
      </c>
      <c r="I79" s="674">
        <f>+SUMIFS(TSALIN!$J$6:$J$227,TSALIN!$E$6:$E$227,C79)</f>
        <v>594000</v>
      </c>
      <c r="J79" s="674">
        <f t="shared" si="13"/>
        <v>4806000</v>
      </c>
      <c r="K79" s="674">
        <f t="shared" si="14"/>
        <v>480600</v>
      </c>
      <c r="L79" s="674">
        <f>+SUMIFS(TSALIN!$K$6:$K$227,TSALIN!$E$6:$E$227,C79)</f>
        <v>70000</v>
      </c>
      <c r="M79" s="674">
        <f t="shared" si="15"/>
        <v>410600</v>
      </c>
      <c r="N79" s="237">
        <f t="shared" si="16"/>
        <v>0</v>
      </c>
    </row>
    <row r="80" spans="2:14" hidden="1" outlineLevel="1">
      <c r="B80" s="673">
        <f t="shared" si="17"/>
        <v>6</v>
      </c>
      <c r="C80" s="608" t="s">
        <v>2417</v>
      </c>
      <c r="D80" s="607" t="s">
        <v>1632</v>
      </c>
      <c r="E80" s="907" t="s">
        <v>2491</v>
      </c>
      <c r="F80" s="854">
        <f>+SUMIFS(TSALIN!$I$6:$I$227,TSALIN!$E$6:$E$227,C80)</f>
        <v>6000000</v>
      </c>
      <c r="G80" s="674"/>
      <c r="H80" s="674">
        <f t="shared" si="12"/>
        <v>6000000</v>
      </c>
      <c r="I80" s="674">
        <f>+SUMIFS(TSALIN!$J$6:$J$227,TSALIN!$E$6:$E$227,C80)</f>
        <v>660000</v>
      </c>
      <c r="J80" s="674">
        <f t="shared" si="13"/>
        <v>5340000</v>
      </c>
      <c r="K80" s="674">
        <f t="shared" si="14"/>
        <v>534000</v>
      </c>
      <c r="L80" s="674">
        <f>+SUMIFS(TSALIN!$K$6:$K$227,TSALIN!$E$6:$E$227,C80)</f>
        <v>70000</v>
      </c>
      <c r="M80" s="674">
        <f t="shared" si="15"/>
        <v>464000</v>
      </c>
      <c r="N80" s="237">
        <f t="shared" si="16"/>
        <v>0</v>
      </c>
    </row>
    <row r="81" spans="2:14" hidden="1" outlineLevel="1">
      <c r="B81" s="673">
        <f>+B80+1</f>
        <v>7</v>
      </c>
      <c r="C81" s="611" t="s">
        <v>1859</v>
      </c>
      <c r="D81" s="607" t="s">
        <v>2483</v>
      </c>
      <c r="E81" s="907" t="s">
        <v>2492</v>
      </c>
      <c r="F81" s="854">
        <f>+SUMIFS(TSALIN!$I$6:$I$227,TSALIN!$E$6:$E$227,C81)</f>
        <v>2941197.1014492754</v>
      </c>
      <c r="G81" s="674"/>
      <c r="H81" s="674">
        <f t="shared" si="12"/>
        <v>2941197.1014492754</v>
      </c>
      <c r="I81" s="674">
        <f>+SUMIFS(TSALIN!$J$6:$J$227,TSALIN!$E$6:$E$227,C81)</f>
        <v>323531.68115942029</v>
      </c>
      <c r="J81" s="674">
        <f t="shared" si="13"/>
        <v>2617665.420289855</v>
      </c>
      <c r="K81" s="674">
        <f t="shared" si="14"/>
        <v>261766.54202898551</v>
      </c>
      <c r="L81" s="674">
        <f>+SUMIFS(TSALIN!$K$6:$K$227,TSALIN!$E$6:$E$227,C81)</f>
        <v>80000</v>
      </c>
      <c r="M81" s="674">
        <f t="shared" si="15"/>
        <v>181766.54202898551</v>
      </c>
      <c r="N81" s="237">
        <f t="shared" si="16"/>
        <v>0</v>
      </c>
    </row>
    <row r="82" spans="2:14" hidden="1" outlineLevel="1">
      <c r="B82" s="673">
        <f t="shared" si="17"/>
        <v>8</v>
      </c>
      <c r="C82" s="611" t="s">
        <v>2418</v>
      </c>
      <c r="D82" s="607" t="s">
        <v>2484</v>
      </c>
      <c r="E82" s="907" t="s">
        <v>2493</v>
      </c>
      <c r="F82" s="854">
        <f>+SUMIFS(TSALIN!$I$6:$I$227,TSALIN!$E$6:$E$227,C82)</f>
        <v>0</v>
      </c>
      <c r="G82" s="674"/>
      <c r="H82" s="674">
        <f t="shared" si="12"/>
        <v>0</v>
      </c>
      <c r="I82" s="674">
        <f>+SUMIFS(TSALIN!$J$6:$J$227,TSALIN!$E$6:$E$227,C82)</f>
        <v>0</v>
      </c>
      <c r="J82" s="674">
        <f t="shared" si="13"/>
        <v>0</v>
      </c>
      <c r="K82" s="674">
        <f t="shared" si="14"/>
        <v>0</v>
      </c>
      <c r="L82" s="674">
        <f>+SUMIFS(TSALIN!$K$6:$K$227,TSALIN!$E$6:$E$227,C82)</f>
        <v>0</v>
      </c>
      <c r="M82" s="674">
        <f t="shared" si="15"/>
        <v>0</v>
      </c>
      <c r="N82" s="237">
        <f t="shared" si="16"/>
        <v>0</v>
      </c>
    </row>
    <row r="83" spans="2:14" hidden="1" outlineLevel="1">
      <c r="B83" s="673">
        <f t="shared" si="17"/>
        <v>9</v>
      </c>
      <c r="C83" s="614" t="s">
        <v>1860</v>
      </c>
      <c r="D83" s="832" t="s">
        <v>2281</v>
      </c>
      <c r="E83" s="906" t="s">
        <v>2494</v>
      </c>
      <c r="F83" s="854">
        <f>+SUMIFS(TSALIN!$I$6:$I$227,TSALIN!$E$6:$E$227,C83)</f>
        <v>1933220.4830917874</v>
      </c>
      <c r="G83" s="674"/>
      <c r="H83" s="674">
        <f t="shared" si="12"/>
        <v>1933220.4830917874</v>
      </c>
      <c r="I83" s="674">
        <f>+SUMIFS(TSALIN!$J$6:$J$227,TSALIN!$E$6:$E$227,C83)</f>
        <v>212654.25314009661</v>
      </c>
      <c r="J83" s="674">
        <f t="shared" si="13"/>
        <v>1720566.2299516909</v>
      </c>
      <c r="K83" s="674">
        <f t="shared" si="14"/>
        <v>172056.62299516911</v>
      </c>
      <c r="L83" s="674">
        <f>+SUMIFS(TSALIN!$K$6:$K$227,TSALIN!$E$6:$E$227,C83)</f>
        <v>80000</v>
      </c>
      <c r="M83" s="674">
        <f t="shared" si="15"/>
        <v>92056.622995169106</v>
      </c>
      <c r="N83" s="237">
        <f t="shared" si="16"/>
        <v>0</v>
      </c>
    </row>
    <row r="84" spans="2:14" hidden="1" outlineLevel="1">
      <c r="B84" s="673">
        <f t="shared" si="17"/>
        <v>10</v>
      </c>
      <c r="C84" s="611" t="s">
        <v>1492</v>
      </c>
      <c r="D84" s="616" t="s">
        <v>1647</v>
      </c>
      <c r="E84" s="907" t="s">
        <v>1636</v>
      </c>
      <c r="F84" s="854">
        <f>+SUMIFS(TSALIN!$I$6:$I$227,TSALIN!$E$6:$E$227,C84)</f>
        <v>2101886.1375661376</v>
      </c>
      <c r="G84" s="674"/>
      <c r="H84" s="674">
        <f t="shared" si="12"/>
        <v>2101886.1375661376</v>
      </c>
      <c r="I84" s="674">
        <f>+SUMIFS(TSALIN!$J$6:$J$227,TSALIN!$E$6:$E$227,C84)</f>
        <v>184965.98010582011</v>
      </c>
      <c r="J84" s="674">
        <f t="shared" si="13"/>
        <v>1916920.1574603175</v>
      </c>
      <c r="K84" s="674">
        <f t="shared" si="14"/>
        <v>191692.01574603177</v>
      </c>
      <c r="L84" s="674">
        <f>+SUMIFS(TSALIN!$K$6:$K$227,TSALIN!$E$6:$E$227,C84)</f>
        <v>80000</v>
      </c>
      <c r="M84" s="674">
        <f t="shared" si="15"/>
        <v>111692.01574603177</v>
      </c>
      <c r="N84" s="237">
        <f t="shared" si="16"/>
        <v>0</v>
      </c>
    </row>
    <row r="85" spans="2:14" hidden="1" outlineLevel="1">
      <c r="B85" s="673">
        <f t="shared" si="17"/>
        <v>11</v>
      </c>
      <c r="C85" s="611" t="s">
        <v>1493</v>
      </c>
      <c r="D85" s="616" t="s">
        <v>2486</v>
      </c>
      <c r="E85" s="907" t="s">
        <v>2495</v>
      </c>
      <c r="F85" s="854">
        <f>+SUMIFS(TSALIN!$I$6:$I$227,TSALIN!$E$6:$E$227,C85)</f>
        <v>2138615.4865424428</v>
      </c>
      <c r="G85" s="674"/>
      <c r="H85" s="674">
        <f t="shared" si="12"/>
        <v>2138615.4865424428</v>
      </c>
      <c r="I85" s="674">
        <f>+SUMIFS(TSALIN!$J$6:$J$227,TSALIN!$E$6:$E$227,C85)</f>
        <v>235247.70351966872</v>
      </c>
      <c r="J85" s="674">
        <f t="shared" si="13"/>
        <v>1903367.7830227742</v>
      </c>
      <c r="K85" s="674">
        <f t="shared" si="14"/>
        <v>190336.77830227744</v>
      </c>
      <c r="L85" s="674">
        <f>+SUMIFS(TSALIN!$K$6:$K$227,TSALIN!$E$6:$E$227,C85)</f>
        <v>80000</v>
      </c>
      <c r="M85" s="674">
        <f t="shared" si="15"/>
        <v>110336.77830227744</v>
      </c>
      <c r="N85" s="237">
        <f t="shared" si="16"/>
        <v>0</v>
      </c>
    </row>
    <row r="86" spans="2:14" hidden="1" outlineLevel="1">
      <c r="B86" s="673">
        <f t="shared" si="17"/>
        <v>12</v>
      </c>
      <c r="C86" s="622" t="s">
        <v>1494</v>
      </c>
      <c r="D86" s="602" t="s">
        <v>1648</v>
      </c>
      <c r="E86" s="907" t="s">
        <v>2496</v>
      </c>
      <c r="F86" s="854">
        <f>+SUMIFS(TSALIN!$I$6:$I$227,TSALIN!$E$6:$E$227,C86)</f>
        <v>2550583.6853002068</v>
      </c>
      <c r="G86" s="674"/>
      <c r="H86" s="674">
        <f t="shared" si="12"/>
        <v>2550583.6853002068</v>
      </c>
      <c r="I86" s="674">
        <f>+SUMIFS(TSALIN!$J$6:$J$227,TSALIN!$E$6:$E$227,C86)</f>
        <v>280564.20538302278</v>
      </c>
      <c r="J86" s="674">
        <f t="shared" si="13"/>
        <v>2270019.479917184</v>
      </c>
      <c r="K86" s="674">
        <f t="shared" si="14"/>
        <v>227001.94799171842</v>
      </c>
      <c r="L86" s="674">
        <f>+SUMIFS(TSALIN!$K$6:$K$227,TSALIN!$E$6:$E$227,C86)</f>
        <v>80000</v>
      </c>
      <c r="M86" s="674">
        <f t="shared" si="15"/>
        <v>147001.94799171842</v>
      </c>
      <c r="N86" s="237">
        <f t="shared" si="16"/>
        <v>0</v>
      </c>
    </row>
    <row r="87" spans="2:14" hidden="1" outlineLevel="1">
      <c r="B87" s="673">
        <f t="shared" si="17"/>
        <v>13</v>
      </c>
      <c r="C87" s="451" t="s">
        <v>1861</v>
      </c>
      <c r="D87" s="602" t="s">
        <v>2487</v>
      </c>
      <c r="E87" s="907" t="s">
        <v>2286</v>
      </c>
      <c r="F87" s="854">
        <f>+SUMIFS(TSALIN!$I$6:$I$227,TSALIN!$E$6:$E$227,C87)</f>
        <v>2405154.7826086953</v>
      </c>
      <c r="G87" s="674"/>
      <c r="H87" s="674">
        <f t="shared" si="12"/>
        <v>2405154.7826086953</v>
      </c>
      <c r="I87" s="674">
        <f>+SUMIFS(TSALIN!$J$6:$J$227,TSALIN!$E$6:$E$227,C87)</f>
        <v>264567.0260869565</v>
      </c>
      <c r="J87" s="674">
        <f t="shared" si="13"/>
        <v>2140587.7565217391</v>
      </c>
      <c r="K87" s="674">
        <f t="shared" si="14"/>
        <v>214058.77565217391</v>
      </c>
      <c r="L87" s="674">
        <f>+SUMIFS(TSALIN!$K$6:$K$227,TSALIN!$E$6:$E$227,C87)</f>
        <v>80000</v>
      </c>
      <c r="M87" s="674">
        <f t="shared" si="15"/>
        <v>134058.77565217391</v>
      </c>
      <c r="N87" s="237">
        <f t="shared" si="16"/>
        <v>0</v>
      </c>
    </row>
    <row r="88" spans="2:14" hidden="1" outlineLevel="1">
      <c r="B88" s="673">
        <f t="shared" si="17"/>
        <v>14</v>
      </c>
      <c r="C88" s="617" t="s">
        <v>1495</v>
      </c>
      <c r="D88" s="602" t="s">
        <v>1649</v>
      </c>
      <c r="E88" s="907" t="s">
        <v>2497</v>
      </c>
      <c r="F88" s="854">
        <f>+SUMIFS(TSALIN!$I$6:$I$227,TSALIN!$E$6:$E$227,C88)</f>
        <v>1801084.9965493444</v>
      </c>
      <c r="G88" s="674"/>
      <c r="H88" s="674">
        <f t="shared" si="12"/>
        <v>1801084.9965493444</v>
      </c>
      <c r="I88" s="674">
        <f>+SUMIFS(TSALIN!$J$6:$J$227,TSALIN!$E$6:$E$227,C88)</f>
        <v>198119.34962042788</v>
      </c>
      <c r="J88" s="674">
        <f t="shared" si="13"/>
        <v>1602965.6469289165</v>
      </c>
      <c r="K88" s="674">
        <f t="shared" si="14"/>
        <v>160296.56469289167</v>
      </c>
      <c r="L88" s="674">
        <f>+SUMIFS(TSALIN!$K$6:$K$227,TSALIN!$E$6:$E$227,C88)</f>
        <v>69831.111111111109</v>
      </c>
      <c r="M88" s="674">
        <f t="shared" si="15"/>
        <v>90465.453581780559</v>
      </c>
      <c r="N88" s="237">
        <f>+K88-L88-M88</f>
        <v>0</v>
      </c>
    </row>
    <row r="89" spans="2:14" hidden="1" outlineLevel="1">
      <c r="B89" s="675">
        <f t="shared" si="17"/>
        <v>15</v>
      </c>
      <c r="C89" s="611" t="s">
        <v>1496</v>
      </c>
      <c r="D89" s="616" t="s">
        <v>1650</v>
      </c>
      <c r="E89" s="907" t="s">
        <v>2498</v>
      </c>
      <c r="F89" s="854">
        <f>+SUMIFS(TSALIN!$I$6:$I$227,TSALIN!$E$6:$E$227,C89)</f>
        <v>3108934.5663676104</v>
      </c>
      <c r="G89" s="674"/>
      <c r="H89" s="674">
        <f t="shared" si="12"/>
        <v>3108934.5663676104</v>
      </c>
      <c r="I89" s="674">
        <f>+SUMIFS(TSALIN!$J$6:$J$227,TSALIN!$E$6:$E$227,C89)</f>
        <v>341982.80230043712</v>
      </c>
      <c r="J89" s="674">
        <f t="shared" si="13"/>
        <v>2766951.764067173</v>
      </c>
      <c r="K89" s="674">
        <f t="shared" si="14"/>
        <v>276695.17640671734</v>
      </c>
      <c r="L89" s="674">
        <f>+SUMIFS(TSALIN!$K$6:$K$227,TSALIN!$E$6:$E$227,C89)</f>
        <v>53447.619047619039</v>
      </c>
      <c r="M89" s="674">
        <f t="shared" si="15"/>
        <v>223247.55735909828</v>
      </c>
      <c r="N89" s="237">
        <f t="shared" ref="N89:N94" si="18">+K89-L89-M89</f>
        <v>0</v>
      </c>
    </row>
    <row r="90" spans="2:14" hidden="1" outlineLevel="1">
      <c r="B90" s="673">
        <f t="shared" si="17"/>
        <v>16</v>
      </c>
      <c r="C90" s="620" t="s">
        <v>1497</v>
      </c>
      <c r="D90" s="602" t="s">
        <v>1651</v>
      </c>
      <c r="E90" s="907" t="s">
        <v>1637</v>
      </c>
      <c r="F90" s="854">
        <f>+SUMIFS(TSALIN!$I$6:$I$227,TSALIN!$E$6:$E$227,C90)</f>
        <v>2035407.1055900622</v>
      </c>
      <c r="G90" s="674"/>
      <c r="H90" s="674">
        <f t="shared" si="12"/>
        <v>2035407.1055900622</v>
      </c>
      <c r="I90" s="674">
        <f>+SUMIFS(TSALIN!$J$6:$J$227,TSALIN!$E$6:$E$227,C90)</f>
        <v>223894.78161490685</v>
      </c>
      <c r="J90" s="674">
        <f t="shared" si="13"/>
        <v>1811512.3239751554</v>
      </c>
      <c r="K90" s="674">
        <f t="shared" si="14"/>
        <v>181151.23239751556</v>
      </c>
      <c r="L90" s="674">
        <f>+SUMIFS(TSALIN!$K$6:$K$227,TSALIN!$E$6:$E$227,C90)</f>
        <v>76268.495238095245</v>
      </c>
      <c r="M90" s="674">
        <f t="shared" si="15"/>
        <v>104882.73715942031</v>
      </c>
      <c r="N90" s="237">
        <f t="shared" si="18"/>
        <v>0</v>
      </c>
    </row>
    <row r="91" spans="2:14" hidden="1" outlineLevel="1">
      <c r="B91" s="673">
        <f t="shared" si="17"/>
        <v>17</v>
      </c>
      <c r="C91" s="619" t="s">
        <v>1498</v>
      </c>
      <c r="D91" s="618" t="s">
        <v>1652</v>
      </c>
      <c r="E91" s="908" t="s">
        <v>1638</v>
      </c>
      <c r="F91" s="854">
        <f>+SUMIFS(TSALIN!$I$6:$I$227,TSALIN!$E$6:$E$227,C91)</f>
        <v>2823222.8571428573</v>
      </c>
      <c r="G91" s="674"/>
      <c r="H91" s="674">
        <f t="shared" si="12"/>
        <v>2823222.8571428573</v>
      </c>
      <c r="I91" s="674">
        <f>+SUMIFS(TSALIN!$J$6:$J$227,TSALIN!$E$6:$E$227,C91)</f>
        <v>310554.51428571425</v>
      </c>
      <c r="J91" s="674">
        <f t="shared" si="13"/>
        <v>2512668.3428571429</v>
      </c>
      <c r="K91" s="674">
        <f t="shared" si="14"/>
        <v>251266.83428571431</v>
      </c>
      <c r="L91" s="674">
        <f>+SUMIFS(TSALIN!$K$6:$K$227,TSALIN!$E$6:$E$227,C91)</f>
        <v>78333.333333333328</v>
      </c>
      <c r="M91" s="674">
        <f t="shared" si="15"/>
        <v>172933.500952381</v>
      </c>
      <c r="N91" s="237">
        <f t="shared" si="18"/>
        <v>0</v>
      </c>
    </row>
    <row r="92" spans="2:14" hidden="1" outlineLevel="1">
      <c r="B92" s="673">
        <f t="shared" si="17"/>
        <v>18</v>
      </c>
      <c r="C92" s="451" t="s">
        <v>1499</v>
      </c>
      <c r="D92" s="616" t="s">
        <v>1653</v>
      </c>
      <c r="E92" s="907" t="s">
        <v>1474</v>
      </c>
      <c r="F92" s="854">
        <f>+SUMIFS(TSALIN!$I$6:$I$227,TSALIN!$E$6:$E$227,C92)</f>
        <v>3328848.198757764</v>
      </c>
      <c r="G92" s="674"/>
      <c r="H92" s="674">
        <f t="shared" si="12"/>
        <v>3328848.198757764</v>
      </c>
      <c r="I92" s="674">
        <f>+SUMIFS(TSALIN!$J$6:$J$227,TSALIN!$E$6:$E$227,C92)</f>
        <v>366173.30186335405</v>
      </c>
      <c r="J92" s="674">
        <f t="shared" si="13"/>
        <v>2962674.8968944098</v>
      </c>
      <c r="K92" s="674">
        <f t="shared" si="14"/>
        <v>296267.48968944099</v>
      </c>
      <c r="L92" s="674">
        <f>+SUMIFS(TSALIN!$K$6:$K$227,TSALIN!$E$6:$E$227,C92)</f>
        <v>76666.666666666672</v>
      </c>
      <c r="M92" s="674">
        <f t="shared" si="15"/>
        <v>219600.8230227743</v>
      </c>
      <c r="N92" s="237">
        <f t="shared" si="18"/>
        <v>0</v>
      </c>
    </row>
    <row r="93" spans="2:14" hidden="1" outlineLevel="1">
      <c r="B93" s="673">
        <f t="shared" si="17"/>
        <v>19</v>
      </c>
      <c r="C93" s="619" t="s">
        <v>1500</v>
      </c>
      <c r="D93" s="618" t="s">
        <v>1654</v>
      </c>
      <c r="E93" s="908" t="s">
        <v>1639</v>
      </c>
      <c r="F93" s="854">
        <f>+SUMIFS(TSALIN!$I$6:$I$227,TSALIN!$E$6:$E$227,C93)</f>
        <v>2713948.1352657005</v>
      </c>
      <c r="G93" s="674"/>
      <c r="H93" s="674">
        <f t="shared" si="12"/>
        <v>2713948.1352657005</v>
      </c>
      <c r="I93" s="674">
        <f>+SUMIFS(TSALIN!$J$6:$J$227,TSALIN!$E$6:$E$227,C93)</f>
        <v>298534.29487922706</v>
      </c>
      <c r="J93" s="674">
        <f t="shared" si="13"/>
        <v>2415413.8403864736</v>
      </c>
      <c r="K93" s="674">
        <f t="shared" si="14"/>
        <v>241541.38403864737</v>
      </c>
      <c r="L93" s="674">
        <f>+SUMIFS(TSALIN!$K$6:$K$227,TSALIN!$E$6:$E$227,C93)</f>
        <v>80000</v>
      </c>
      <c r="M93" s="674">
        <f t="shared" si="15"/>
        <v>161541.38403864737</v>
      </c>
      <c r="N93" s="237">
        <f t="shared" si="18"/>
        <v>0</v>
      </c>
    </row>
    <row r="94" spans="2:14" hidden="1" outlineLevel="1">
      <c r="B94" s="673">
        <f t="shared" si="17"/>
        <v>20</v>
      </c>
      <c r="C94" s="608" t="s">
        <v>2588</v>
      </c>
      <c r="D94" s="616" t="s">
        <v>2591</v>
      </c>
      <c r="E94" s="908" t="s">
        <v>2592</v>
      </c>
      <c r="F94" s="854">
        <f>+SUMIFS(TSALIN!$I$6:$I$227,TSALIN!$E$6:$E$227,C94)</f>
        <v>896153.33333333326</v>
      </c>
      <c r="G94" s="674"/>
      <c r="H94" s="674">
        <f t="shared" si="12"/>
        <v>896153.33333333326</v>
      </c>
      <c r="I94" s="674">
        <f>+SUMIFS(TSALIN!$J$6:$J$227,TSALIN!$E$6:$E$227,C94)</f>
        <v>98576.866666666669</v>
      </c>
      <c r="J94" s="674">
        <f t="shared" si="13"/>
        <v>797576.46666666656</v>
      </c>
      <c r="K94" s="674">
        <f t="shared" si="14"/>
        <v>79757.646666666667</v>
      </c>
      <c r="L94" s="674">
        <f>+SUMIFS(TSALIN!$K$6:$K$227,TSALIN!$E$6:$E$227,C94)</f>
        <v>26666.666666666668</v>
      </c>
      <c r="M94" s="674">
        <f t="shared" si="15"/>
        <v>53090.979999999996</v>
      </c>
      <c r="N94" s="237">
        <f t="shared" si="18"/>
        <v>0</v>
      </c>
    </row>
    <row r="95" spans="2:14" hidden="1" outlineLevel="1">
      <c r="B95" s="673">
        <f t="shared" si="17"/>
        <v>21</v>
      </c>
      <c r="C95" s="375" t="s">
        <v>1501</v>
      </c>
      <c r="D95" s="616" t="s">
        <v>1644</v>
      </c>
      <c r="E95" s="907" t="s">
        <v>1640</v>
      </c>
      <c r="F95" s="854">
        <f>+SUMIFS(TSALIN!$I$6:$I$227,TSALIN!$E$6:$E$227,C95)</f>
        <v>2429760.6625258802</v>
      </c>
      <c r="G95" s="674"/>
      <c r="H95" s="674">
        <f t="shared" si="12"/>
        <v>2429760.6625258802</v>
      </c>
      <c r="I95" s="674">
        <f>+SUMIFS(TSALIN!$J$6:$J$227,TSALIN!$E$6:$E$227,C95)</f>
        <v>267273.67287784681</v>
      </c>
      <c r="J95" s="674">
        <f t="shared" si="13"/>
        <v>2162486.9896480334</v>
      </c>
      <c r="K95" s="674">
        <f t="shared" si="14"/>
        <v>216248.69896480336</v>
      </c>
      <c r="L95" s="674">
        <f>+SUMIFS(TSALIN!$K$6:$K$227,TSALIN!$E$6:$E$227,C95)</f>
        <v>80000</v>
      </c>
      <c r="M95" s="674">
        <f t="shared" si="15"/>
        <v>136248.69896480336</v>
      </c>
      <c r="N95" s="237">
        <f>+K95-L95-M95</f>
        <v>0</v>
      </c>
    </row>
    <row r="96" spans="2:14" hidden="1" outlineLevel="1">
      <c r="B96" s="673">
        <f t="shared" si="17"/>
        <v>22</v>
      </c>
      <c r="C96" s="375" t="s">
        <v>1502</v>
      </c>
      <c r="D96" s="616" t="s">
        <v>1643</v>
      </c>
      <c r="E96" s="907" t="s">
        <v>1641</v>
      </c>
      <c r="F96" s="854">
        <f>+SUMIFS(TSALIN!$I$6:$I$227,TSALIN!$E$6:$E$227,C96)</f>
        <v>2861773.5596963423</v>
      </c>
      <c r="G96" s="674"/>
      <c r="H96" s="674">
        <f t="shared" si="12"/>
        <v>2861773.5596963423</v>
      </c>
      <c r="I96" s="674">
        <f>+SUMIFS(TSALIN!$J$6:$J$227,TSALIN!$E$6:$E$227,C96)</f>
        <v>314795.09156659764</v>
      </c>
      <c r="J96" s="674">
        <f t="shared" si="13"/>
        <v>2546978.4681297448</v>
      </c>
      <c r="K96" s="674">
        <f t="shared" si="14"/>
        <v>254697.84681297449</v>
      </c>
      <c r="L96" s="674">
        <f>+SUMIFS(TSALIN!$K$6:$K$227,TSALIN!$E$6:$E$227,C96)</f>
        <v>80000</v>
      </c>
      <c r="M96" s="674">
        <f t="shared" si="15"/>
        <v>174697.84681297449</v>
      </c>
      <c r="N96" s="237">
        <f t="shared" ref="N96:N101" si="19">+K96-L96-M96</f>
        <v>0</v>
      </c>
    </row>
    <row r="97" spans="1:14" hidden="1" outlineLevel="1">
      <c r="B97" s="673">
        <f t="shared" si="17"/>
        <v>23</v>
      </c>
      <c r="C97" s="375" t="s">
        <v>2590</v>
      </c>
      <c r="D97" s="237" t="s">
        <v>2593</v>
      </c>
      <c r="E97" s="909" t="s">
        <v>2594</v>
      </c>
      <c r="F97" s="854">
        <f>+SUMIFS(TSALIN!$I$6:$I$227,TSALIN!$E$6:$E$227,C97)</f>
        <v>895360</v>
      </c>
      <c r="H97" s="674">
        <f t="shared" si="12"/>
        <v>895360</v>
      </c>
      <c r="I97" s="674">
        <f>+SUMIFS(TSALIN!$J$6:$J$227,TSALIN!$E$6:$E$227,C97)</f>
        <v>98489.600000000006</v>
      </c>
      <c r="J97" s="674">
        <f t="shared" si="13"/>
        <v>796870.4</v>
      </c>
      <c r="K97" s="674">
        <f t="shared" si="14"/>
        <v>79687.040000000008</v>
      </c>
      <c r="L97" s="674">
        <f>+SUMIFS(TSALIN!$K$6:$K$227,TSALIN!$E$6:$E$227,C97)</f>
        <v>26666.666666666668</v>
      </c>
      <c r="M97" s="674">
        <f t="shared" si="15"/>
        <v>53020.373333333337</v>
      </c>
      <c r="N97" s="237">
        <f t="shared" si="19"/>
        <v>0</v>
      </c>
    </row>
    <row r="98" spans="1:14" hidden="1" outlineLevel="1">
      <c r="B98" s="673">
        <f t="shared" si="17"/>
        <v>24</v>
      </c>
      <c r="C98" s="375" t="s">
        <v>1521</v>
      </c>
      <c r="D98" s="616" t="s">
        <v>2488</v>
      </c>
      <c r="E98" s="907" t="s">
        <v>2499</v>
      </c>
      <c r="F98" s="854">
        <f>+SUMIFS(TSALIN!$I$6:$I$227,TSALIN!$E$6:$E$227,C98)</f>
        <v>2362426.9979296066</v>
      </c>
      <c r="G98" s="674"/>
      <c r="H98" s="674">
        <f t="shared" si="12"/>
        <v>2362426.9979296066</v>
      </c>
      <c r="I98" s="674">
        <f>+SUMIFS(TSALIN!$J$6:$J$227,TSALIN!$E$6:$E$227,C98)</f>
        <v>259866.96977225674</v>
      </c>
      <c r="J98" s="674">
        <f t="shared" si="13"/>
        <v>2102560.0281573497</v>
      </c>
      <c r="K98" s="674">
        <f t="shared" si="14"/>
        <v>210256.00281573497</v>
      </c>
      <c r="L98" s="674">
        <f>+SUMIFS(TSALIN!$K$6:$K$227,TSALIN!$E$6:$E$227,C98)</f>
        <v>80000</v>
      </c>
      <c r="M98" s="674">
        <f t="shared" si="15"/>
        <v>130256.00281573497</v>
      </c>
      <c r="N98" s="237">
        <f t="shared" si="19"/>
        <v>0</v>
      </c>
    </row>
    <row r="99" spans="1:14" hidden="1" outlineLevel="1">
      <c r="B99" s="673">
        <f t="shared" si="17"/>
        <v>25</v>
      </c>
      <c r="C99" s="611" t="s">
        <v>1503</v>
      </c>
      <c r="D99" s="616" t="s">
        <v>1642</v>
      </c>
      <c r="E99" s="907" t="s">
        <v>2500</v>
      </c>
      <c r="F99" s="854">
        <f>+SUMIFS(TSALIN!$I$6:$I$227,TSALIN!$E$6:$E$227,C99)</f>
        <v>2172585.0931677017</v>
      </c>
      <c r="G99" s="674"/>
      <c r="H99" s="674">
        <f t="shared" si="12"/>
        <v>2172585.0931677017</v>
      </c>
      <c r="I99" s="674">
        <f>+SUMIFS(TSALIN!$J$6:$J$227,TSALIN!$E$6:$E$227,C99)</f>
        <v>238984.36024844722</v>
      </c>
      <c r="J99" s="674">
        <f t="shared" si="13"/>
        <v>1933600.7329192546</v>
      </c>
      <c r="K99" s="674">
        <f t="shared" si="14"/>
        <v>193360.07329192548</v>
      </c>
      <c r="L99" s="674">
        <f>+SUMIFS(TSALIN!$K$6:$K$227,TSALIN!$E$6:$E$227,C99)</f>
        <v>80000</v>
      </c>
      <c r="M99" s="674">
        <f t="shared" si="15"/>
        <v>113360.07329192548</v>
      </c>
      <c r="N99" s="237">
        <f t="shared" si="19"/>
        <v>0</v>
      </c>
    </row>
    <row r="100" spans="1:14" hidden="1" outlineLevel="1">
      <c r="B100" s="673">
        <f t="shared" si="17"/>
        <v>26</v>
      </c>
      <c r="C100" s="611" t="s">
        <v>1851</v>
      </c>
      <c r="D100" s="616" t="s">
        <v>2489</v>
      </c>
      <c r="E100" s="907" t="s">
        <v>2490</v>
      </c>
      <c r="F100" s="854">
        <f>+SUMIFS(TSALIN!$I$6:$I$227,TSALIN!$E$6:$E$227,C100)</f>
        <v>1637272.463768116</v>
      </c>
      <c r="G100" s="674"/>
      <c r="H100" s="674">
        <f t="shared" si="12"/>
        <v>1637272.463768116</v>
      </c>
      <c r="I100" s="674">
        <f>+SUMIFS(TSALIN!$J$6:$J$227,TSALIN!$E$6:$E$227,C100)</f>
        <v>180099.97101449277</v>
      </c>
      <c r="J100" s="674">
        <f t="shared" si="13"/>
        <v>1457172.4927536233</v>
      </c>
      <c r="K100" s="674">
        <f t="shared" si="14"/>
        <v>145717.24927536232</v>
      </c>
      <c r="L100" s="674">
        <f>+SUMIFS(TSALIN!$K$6:$K$227,TSALIN!$E$6:$E$227,C100)</f>
        <v>77346.666666666672</v>
      </c>
      <c r="M100" s="674">
        <f t="shared" si="15"/>
        <v>68370.582608695651</v>
      </c>
      <c r="N100" s="237">
        <f t="shared" si="19"/>
        <v>0</v>
      </c>
    </row>
    <row r="101" spans="1:14" hidden="1" outlineLevel="1">
      <c r="B101" s="852"/>
      <c r="C101" s="853"/>
      <c r="D101" s="1138" t="s">
        <v>21</v>
      </c>
      <c r="E101" s="1138"/>
      <c r="F101" s="882">
        <f>SUM(F75:F100)</f>
        <v>78337435.646652862</v>
      </c>
      <c r="G101" s="882">
        <f t="shared" ref="G101:M101" si="20">SUM(G75:G100)</f>
        <v>0</v>
      </c>
      <c r="H101" s="882">
        <f t="shared" si="20"/>
        <v>78337435.646652862</v>
      </c>
      <c r="I101" s="882">
        <f t="shared" si="20"/>
        <v>8570876.4261053596</v>
      </c>
      <c r="J101" s="882">
        <f t="shared" si="20"/>
        <v>69766559.220547512</v>
      </c>
      <c r="K101" s="882">
        <f t="shared" si="20"/>
        <v>6976655.9220547518</v>
      </c>
      <c r="L101" s="882">
        <f t="shared" si="20"/>
        <v>1696893.8920634924</v>
      </c>
      <c r="M101" s="882">
        <f t="shared" si="20"/>
        <v>5279762.0299912598</v>
      </c>
      <c r="N101" s="512">
        <f t="shared" si="19"/>
        <v>0</v>
      </c>
    </row>
    <row r="102" spans="1:14" hidden="1" outlineLevel="1">
      <c r="F102" s="15">
        <f>+TSALIN!I242</f>
        <v>78337435.646652877</v>
      </c>
      <c r="G102" s="15"/>
      <c r="H102" s="15">
        <f>+TSALIN!I242</f>
        <v>78337435.646652877</v>
      </c>
      <c r="I102" s="15">
        <f>+TSALIN!J242</f>
        <v>8570876.4261053614</v>
      </c>
      <c r="J102" s="15">
        <f>+TSALIN!M242+TSALIN!L242</f>
        <v>69766559.220547497</v>
      </c>
      <c r="K102" s="15">
        <f>+TSALIN!K242+TSALIN!L242</f>
        <v>6976655.9220547508</v>
      </c>
      <c r="L102" s="15">
        <f>+TSALIN!K242</f>
        <v>1696893.8920634924</v>
      </c>
      <c r="M102" s="15">
        <f>+TSALIN!L242</f>
        <v>5279762.0299912579</v>
      </c>
      <c r="N102" s="237">
        <f>+K102-L102-M102</f>
        <v>0</v>
      </c>
    </row>
    <row r="103" spans="1:14" hidden="1" outlineLevel="1">
      <c r="C103" s="332" t="s">
        <v>1625</v>
      </c>
      <c r="F103" s="237">
        <f>+F102-F101</f>
        <v>0</v>
      </c>
      <c r="G103" s="237">
        <f>+G102-G101</f>
        <v>0</v>
      </c>
      <c r="H103" s="237">
        <f>+H102-H101</f>
        <v>0</v>
      </c>
      <c r="I103" s="237">
        <f>+I102-I101</f>
        <v>0</v>
      </c>
      <c r="J103" s="237">
        <f>+J102-J101</f>
        <v>0</v>
      </c>
      <c r="K103" s="237">
        <f>+K101-K102</f>
        <v>0</v>
      </c>
      <c r="L103" s="237">
        <f>+L102-L101</f>
        <v>0</v>
      </c>
      <c r="M103" s="237">
        <f>+M102-M101</f>
        <v>0</v>
      </c>
    </row>
    <row r="104" spans="1:14" hidden="1" outlineLevel="1">
      <c r="C104" s="676"/>
    </row>
    <row r="105" spans="1:14" hidden="1" outlineLevel="1">
      <c r="C105" s="332" t="s">
        <v>1626</v>
      </c>
      <c r="H105" s="237" t="s">
        <v>1627</v>
      </c>
    </row>
    <row r="106" spans="1:14" hidden="1" outlineLevel="1"/>
    <row r="107" spans="1:14" hidden="1" outlineLevel="1">
      <c r="C107" s="332" t="s">
        <v>1628</v>
      </c>
      <c r="D107" s="40"/>
      <c r="H107" s="237" t="s">
        <v>1629</v>
      </c>
    </row>
    <row r="108" spans="1:14" hidden="1" outlineLevel="1">
      <c r="C108" s="676"/>
    </row>
    <row r="109" spans="1:14" hidden="1" outlineLevel="1">
      <c r="B109" s="1139" t="s">
        <v>1630</v>
      </c>
      <c r="C109" s="1139"/>
      <c r="D109" s="1139"/>
      <c r="E109" s="1139"/>
      <c r="F109" s="1139"/>
      <c r="G109" s="1139"/>
      <c r="H109" s="1139"/>
      <c r="I109" s="1139"/>
      <c r="J109" s="1139"/>
      <c r="K109" s="1139"/>
      <c r="L109" s="1139"/>
      <c r="M109" s="1139"/>
    </row>
    <row r="110" spans="1:14" collapsed="1">
      <c r="A110" s="512" t="s">
        <v>2614</v>
      </c>
    </row>
    <row r="111" spans="1:14" hidden="1" outlineLevel="1">
      <c r="M111" s="289" t="s">
        <v>1605</v>
      </c>
    </row>
    <row r="112" spans="1:14" hidden="1" outlineLevel="1">
      <c r="B112" s="665"/>
      <c r="D112" s="40"/>
      <c r="E112" s="40"/>
      <c r="F112" s="40"/>
      <c r="G112" s="40"/>
      <c r="H112" s="40"/>
      <c r="I112" s="40"/>
      <c r="L112" s="40"/>
      <c r="M112" s="289" t="s">
        <v>1606</v>
      </c>
    </row>
    <row r="113" spans="2:13" hidden="1" outlineLevel="1">
      <c r="B113" s="665"/>
      <c r="D113" s="40"/>
      <c r="E113" s="40"/>
      <c r="F113" s="40"/>
      <c r="G113" s="40"/>
      <c r="H113" s="40"/>
      <c r="I113" s="40"/>
      <c r="L113" s="40"/>
      <c r="M113" s="289"/>
    </row>
    <row r="114" spans="2:13" hidden="1" outlineLevel="1">
      <c r="B114" s="666" t="s">
        <v>1607</v>
      </c>
      <c r="D114" s="40"/>
      <c r="E114" s="40"/>
      <c r="F114" s="40"/>
      <c r="G114" s="40"/>
      <c r="H114" s="40"/>
      <c r="I114" s="40"/>
      <c r="L114" s="40"/>
      <c r="M114" s="289"/>
    </row>
    <row r="115" spans="2:13" hidden="1" outlineLevel="1">
      <c r="B115" s="666"/>
      <c r="D115" s="40"/>
      <c r="E115" s="40"/>
      <c r="F115" s="40"/>
      <c r="G115" s="40"/>
      <c r="H115" s="40"/>
      <c r="I115" s="40"/>
      <c r="L115" s="40"/>
      <c r="M115" s="289"/>
    </row>
    <row r="116" spans="2:13" hidden="1" outlineLevel="1">
      <c r="B116" s="666"/>
      <c r="D116" s="40"/>
      <c r="E116" s="40"/>
      <c r="F116" s="40"/>
      <c r="G116" s="40"/>
      <c r="H116" s="40"/>
      <c r="I116" s="40"/>
      <c r="L116" s="40"/>
      <c r="M116" s="289"/>
    </row>
    <row r="117" spans="2:13" ht="19.5" hidden="1" outlineLevel="1">
      <c r="B117" s="1151" t="s">
        <v>1608</v>
      </c>
      <c r="C117" s="1151"/>
      <c r="D117" s="1151"/>
      <c r="E117" s="1151"/>
      <c r="F117" s="1151"/>
      <c r="G117" s="1151"/>
      <c r="H117" s="1151"/>
      <c r="I117" s="1151"/>
      <c r="J117" s="1151"/>
      <c r="K117" s="1151"/>
      <c r="L117" s="1151"/>
      <c r="M117" s="1151"/>
    </row>
    <row r="118" spans="2:13" ht="19.5" hidden="1" outlineLevel="1">
      <c r="B118" s="1151" t="s">
        <v>1609</v>
      </c>
      <c r="C118" s="1151"/>
      <c r="D118" s="1151"/>
      <c r="E118" s="1151"/>
      <c r="F118" s="1151"/>
      <c r="G118" s="1151"/>
      <c r="H118" s="1151"/>
      <c r="I118" s="1151"/>
      <c r="J118" s="1151"/>
      <c r="K118" s="1151"/>
      <c r="L118" s="1151"/>
      <c r="M118" s="1151"/>
    </row>
    <row r="119" spans="2:13" hidden="1" outlineLevel="1">
      <c r="B119" s="666"/>
      <c r="D119" s="40"/>
      <c r="E119" s="40"/>
      <c r="F119" s="40"/>
      <c r="G119" s="40"/>
      <c r="H119" s="40"/>
      <c r="I119" s="40"/>
      <c r="L119" s="40"/>
      <c r="M119" s="289"/>
    </row>
    <row r="120" spans="2:13" hidden="1" outlineLevel="1">
      <c r="B120" s="666" t="str">
        <f>CONCATENATE("1. ТТД:  ",'company '!C122,"")</f>
        <v xml:space="preserve">1. ТТД:  </v>
      </c>
      <c r="D120" s="40"/>
      <c r="E120" s="40"/>
      <c r="F120" s="40"/>
      <c r="G120" s="40"/>
      <c r="H120" s="40"/>
      <c r="I120" s="1152" t="s">
        <v>1610</v>
      </c>
      <c r="J120" s="1153"/>
      <c r="K120" s="1153"/>
      <c r="L120" s="1154"/>
      <c r="M120" s="289"/>
    </row>
    <row r="121" spans="2:13" hidden="1" outlineLevel="1">
      <c r="D121" s="40"/>
      <c r="E121" s="40"/>
      <c r="F121" s="40"/>
      <c r="G121" s="40"/>
      <c r="H121" s="40"/>
      <c r="I121" s="1143" t="s">
        <v>1611</v>
      </c>
      <c r="J121" s="1144"/>
      <c r="K121" s="1144"/>
      <c r="L121" s="1145"/>
      <c r="M121" s="289"/>
    </row>
    <row r="122" spans="2:13" hidden="1" outlineLevel="1">
      <c r="B122" s="666" t="str">
        <f>CONCATENATE("2. Байгууллагын нэр:  ",'company '!C121,"")</f>
        <v xml:space="preserve">2. Байгууллагын нэр:  </v>
      </c>
      <c r="D122" s="40"/>
      <c r="E122" s="40"/>
      <c r="F122" s="40"/>
      <c r="G122" s="40"/>
      <c r="H122" s="40"/>
      <c r="I122" s="1143" t="s">
        <v>2305</v>
      </c>
      <c r="J122" s="1144"/>
      <c r="K122" s="1144"/>
      <c r="L122" s="1145"/>
      <c r="M122" s="289"/>
    </row>
    <row r="123" spans="2:13" hidden="1" outlineLevel="1">
      <c r="D123" s="40"/>
      <c r="E123" s="40"/>
      <c r="F123" s="40"/>
      <c r="G123" s="40"/>
      <c r="H123" s="40"/>
      <c r="I123" s="1140" t="s">
        <v>1612</v>
      </c>
      <c r="J123" s="1141"/>
      <c r="K123" s="1141"/>
      <c r="L123" s="1142"/>
      <c r="M123" s="289"/>
    </row>
    <row r="124" spans="2:13" hidden="1" outlineLevel="1">
      <c r="B124" s="667" t="str">
        <f>CONCATENATE("3. Тайлант хугацаа:    ",'company '!C139)</f>
        <v xml:space="preserve">3. Тайлант хугацаа:    </v>
      </c>
      <c r="C124" s="900" t="s">
        <v>2692</v>
      </c>
      <c r="I124" s="1143" t="s">
        <v>1613</v>
      </c>
      <c r="J124" s="1144"/>
      <c r="K124" s="1144"/>
      <c r="L124" s="1145"/>
    </row>
    <row r="125" spans="2:13" hidden="1" outlineLevel="1">
      <c r="I125" s="1146" t="s">
        <v>1614</v>
      </c>
      <c r="J125" s="1147"/>
      <c r="K125" s="1147"/>
      <c r="L125" s="1148"/>
    </row>
    <row r="126" spans="2:13" hidden="1" outlineLevel="1">
      <c r="I126" s="898"/>
      <c r="J126" s="898"/>
      <c r="K126" s="898"/>
      <c r="L126" s="898"/>
    </row>
    <row r="127" spans="2:13" hidden="1" outlineLevel="1">
      <c r="B127" s="96">
        <f>COUNT(B131:B156)</f>
        <v>26</v>
      </c>
      <c r="C127" s="668"/>
      <c r="D127" s="669"/>
      <c r="E127" s="669"/>
      <c r="F127" s="669" t="s">
        <v>1615</v>
      </c>
      <c r="G127" s="669"/>
      <c r="H127" s="669"/>
      <c r="I127" s="670"/>
      <c r="J127" s="671"/>
      <c r="K127" s="671"/>
      <c r="L127" s="671"/>
      <c r="M127" s="671"/>
    </row>
    <row r="128" spans="2:13" hidden="1" outlineLevel="1">
      <c r="B128" s="1149" t="s">
        <v>1</v>
      </c>
      <c r="C128" s="1150" t="s">
        <v>1616</v>
      </c>
      <c r="D128" s="1150"/>
      <c r="E128" s="1150"/>
      <c r="F128" s="1137" t="s">
        <v>1617</v>
      </c>
      <c r="G128" s="1137" t="s">
        <v>1618</v>
      </c>
      <c r="H128" s="1137" t="s">
        <v>1619</v>
      </c>
      <c r="I128" s="1137" t="s">
        <v>2501</v>
      </c>
      <c r="J128" s="1137" t="s">
        <v>1620</v>
      </c>
      <c r="K128" s="1137" t="s">
        <v>1621</v>
      </c>
      <c r="L128" s="1137" t="s">
        <v>1622</v>
      </c>
      <c r="M128" s="1137" t="s">
        <v>1623</v>
      </c>
    </row>
    <row r="129" spans="2:14" ht="25.5" hidden="1" outlineLevel="1">
      <c r="B129" s="1149"/>
      <c r="C129" s="672" t="s">
        <v>1477</v>
      </c>
      <c r="D129" s="899" t="s">
        <v>1624</v>
      </c>
      <c r="E129" s="899" t="s">
        <v>1334</v>
      </c>
      <c r="F129" s="1137"/>
      <c r="G129" s="1137"/>
      <c r="H129" s="1137"/>
      <c r="I129" s="1137"/>
      <c r="J129" s="1137"/>
      <c r="K129" s="1137"/>
      <c r="L129" s="1137"/>
      <c r="M129" s="1137"/>
    </row>
    <row r="130" spans="2:14" hidden="1" outlineLevel="1">
      <c r="B130" s="1149"/>
      <c r="C130" s="672">
        <v>1</v>
      </c>
      <c r="D130" s="899">
        <v>2</v>
      </c>
      <c r="E130" s="899">
        <v>3</v>
      </c>
      <c r="F130" s="899">
        <v>4</v>
      </c>
      <c r="G130" s="899">
        <v>5</v>
      </c>
      <c r="H130" s="899">
        <v>6</v>
      </c>
      <c r="I130" s="899">
        <v>7</v>
      </c>
      <c r="J130" s="899">
        <v>8</v>
      </c>
      <c r="K130" s="899">
        <v>9</v>
      </c>
      <c r="L130" s="899">
        <v>10</v>
      </c>
      <c r="M130" s="899">
        <v>11</v>
      </c>
    </row>
    <row r="131" spans="2:14" hidden="1" outlineLevel="1">
      <c r="B131" s="673">
        <v>1</v>
      </c>
      <c r="C131" s="603" t="s">
        <v>1486</v>
      </c>
      <c r="D131" s="602" t="s">
        <v>1631</v>
      </c>
      <c r="E131" s="602" t="s">
        <v>1470</v>
      </c>
      <c r="F131" s="854">
        <f>+SUMIFS(TSALIN!$I$6:$I$328,TSALIN!$E$6:$E$328,C131)</f>
        <v>7200000</v>
      </c>
      <c r="G131" s="674"/>
      <c r="H131" s="854">
        <f>+F131+G131</f>
        <v>7200000</v>
      </c>
      <c r="I131" s="854">
        <f>+SUMIFS(TSALIN!$J$6:$J$328,TSALIN!$E$6:$E$328,C131)</f>
        <v>792000</v>
      </c>
      <c r="J131" s="854">
        <f>+H131-I131</f>
        <v>6408000</v>
      </c>
      <c r="K131" s="854">
        <f>+J131*0.1</f>
        <v>640800</v>
      </c>
      <c r="L131" s="854">
        <f>+SUMIFS(TSALIN!$K$6:$K$328,TSALIN!$E$6:$E$328,C131)</f>
        <v>60000</v>
      </c>
      <c r="M131" s="854">
        <f>+K131-L131</f>
        <v>580800</v>
      </c>
      <c r="N131" s="237">
        <f>+K131-L131-M131</f>
        <v>0</v>
      </c>
    </row>
    <row r="132" spans="2:14" hidden="1" outlineLevel="1">
      <c r="B132" s="673">
        <f>+B131+1</f>
        <v>2</v>
      </c>
      <c r="C132" s="608" t="s">
        <v>1487</v>
      </c>
      <c r="D132" s="609" t="s">
        <v>1359</v>
      </c>
      <c r="E132" s="609" t="s">
        <v>1360</v>
      </c>
      <c r="F132" s="854">
        <f>+SUMIFS(TSALIN!$I$6:$I$328,TSALIN!$E$6:$E$328,C132)</f>
        <v>10800000</v>
      </c>
      <c r="G132" s="674"/>
      <c r="H132" s="854">
        <f t="shared" ref="H132:H156" si="21">+F132+G132</f>
        <v>10800000</v>
      </c>
      <c r="I132" s="854">
        <f>+SUMIFS(TSALIN!$J$6:$J$328,TSALIN!$E$6:$E$328,C132)</f>
        <v>1188000</v>
      </c>
      <c r="J132" s="854">
        <f t="shared" ref="J132:J156" si="22">+H132-I132</f>
        <v>9612000</v>
      </c>
      <c r="K132" s="854">
        <f t="shared" ref="K132:K144" si="23">+J132*0.1</f>
        <v>961200</v>
      </c>
      <c r="L132" s="854">
        <f>+SUMIFS(TSALIN!$K$6:$K$328,TSALIN!$E$6:$E$328,C132)</f>
        <v>90000</v>
      </c>
      <c r="M132" s="854">
        <f t="shared" ref="M132:M156" si="24">+K132-L132</f>
        <v>871200</v>
      </c>
      <c r="N132" s="237">
        <f t="shared" ref="N132:N143" si="25">+K132-L132-M132</f>
        <v>0</v>
      </c>
    </row>
    <row r="133" spans="2:14" hidden="1" outlineLevel="1">
      <c r="B133" s="673">
        <f t="shared" ref="B133:B156" si="26">+B132+1</f>
        <v>3</v>
      </c>
      <c r="C133" s="608" t="s">
        <v>1489</v>
      </c>
      <c r="D133" s="607" t="s">
        <v>1339</v>
      </c>
      <c r="E133" s="607" t="s">
        <v>1338</v>
      </c>
      <c r="F133" s="854">
        <f>+SUMIFS(TSALIN!$I$6:$I$328,TSALIN!$E$6:$E$328,C133)</f>
        <v>12600000</v>
      </c>
      <c r="G133" s="674"/>
      <c r="H133" s="854">
        <f t="shared" si="21"/>
        <v>12600000</v>
      </c>
      <c r="I133" s="854">
        <f>+SUMIFS(TSALIN!$J$6:$J$328,TSALIN!$E$6:$E$328,C133)</f>
        <v>1386000</v>
      </c>
      <c r="J133" s="854">
        <f t="shared" si="22"/>
        <v>11214000</v>
      </c>
      <c r="K133" s="854">
        <f t="shared" si="23"/>
        <v>1121400</v>
      </c>
      <c r="L133" s="854">
        <f>+SUMIFS(TSALIN!$K$6:$K$328,TSALIN!$E$6:$E$328,C133)</f>
        <v>90000</v>
      </c>
      <c r="M133" s="854">
        <f t="shared" si="24"/>
        <v>1031400</v>
      </c>
      <c r="N133" s="237">
        <f t="shared" si="25"/>
        <v>0</v>
      </c>
    </row>
    <row r="134" spans="2:14" hidden="1" outlineLevel="1">
      <c r="B134" s="673">
        <f t="shared" si="26"/>
        <v>4</v>
      </c>
      <c r="C134" s="611" t="s">
        <v>1490</v>
      </c>
      <c r="D134" s="607" t="s">
        <v>1645</v>
      </c>
      <c r="E134" s="607" t="s">
        <v>1634</v>
      </c>
      <c r="F134" s="854">
        <f>+SUMIFS(TSALIN!$I$6:$I$328,TSALIN!$E$6:$E$328,C134)</f>
        <v>1000000</v>
      </c>
      <c r="G134" s="674"/>
      <c r="H134" s="854">
        <f t="shared" si="21"/>
        <v>1000000</v>
      </c>
      <c r="I134" s="854">
        <f>+SUMIFS(TSALIN!$J$6:$J$328,TSALIN!$E$6:$E$328,C134)</f>
        <v>110000</v>
      </c>
      <c r="J134" s="854">
        <f t="shared" si="22"/>
        <v>890000</v>
      </c>
      <c r="K134" s="854">
        <f t="shared" si="23"/>
        <v>89000</v>
      </c>
      <c r="L134" s="854">
        <f>+SUMIFS(TSALIN!$K$6:$K$328,TSALIN!$E$6:$E$328,C134)</f>
        <v>11666.666666666666</v>
      </c>
      <c r="M134" s="854">
        <f t="shared" si="24"/>
        <v>77333.333333333328</v>
      </c>
      <c r="N134" s="237">
        <f t="shared" si="25"/>
        <v>0</v>
      </c>
    </row>
    <row r="135" spans="2:14" hidden="1" outlineLevel="1">
      <c r="B135" s="673">
        <f t="shared" si="26"/>
        <v>5</v>
      </c>
      <c r="C135" s="608" t="s">
        <v>1491</v>
      </c>
      <c r="D135" s="607" t="s">
        <v>1646</v>
      </c>
      <c r="E135" s="607" t="s">
        <v>1635</v>
      </c>
      <c r="F135" s="854">
        <f>+SUMIFS(TSALIN!$I$6:$I$328,TSALIN!$E$6:$E$328,C135)</f>
        <v>8100000</v>
      </c>
      <c r="G135" s="674"/>
      <c r="H135" s="854">
        <f t="shared" si="21"/>
        <v>8100000</v>
      </c>
      <c r="I135" s="854">
        <f>+SUMIFS(TSALIN!$J$6:$J$328,TSALIN!$E$6:$E$328,C135)</f>
        <v>891000</v>
      </c>
      <c r="J135" s="854">
        <f t="shared" si="22"/>
        <v>7209000</v>
      </c>
      <c r="K135" s="854">
        <f t="shared" si="23"/>
        <v>720900</v>
      </c>
      <c r="L135" s="854">
        <f>+SUMIFS(TSALIN!$K$6:$K$328,TSALIN!$E$6:$E$328,C135)</f>
        <v>105000.00000000001</v>
      </c>
      <c r="M135" s="854">
        <f t="shared" si="24"/>
        <v>615900</v>
      </c>
      <c r="N135" s="237">
        <f t="shared" si="25"/>
        <v>0</v>
      </c>
    </row>
    <row r="136" spans="2:14" hidden="1" outlineLevel="1">
      <c r="B136" s="673">
        <f t="shared" si="26"/>
        <v>6</v>
      </c>
      <c r="C136" s="608" t="s">
        <v>2417</v>
      </c>
      <c r="D136" s="607" t="s">
        <v>1632</v>
      </c>
      <c r="E136" s="607" t="s">
        <v>2491</v>
      </c>
      <c r="F136" s="854">
        <f>+SUMIFS(TSALIN!$I$6:$I$328,TSALIN!$E$6:$E$328,C136)</f>
        <v>6000000</v>
      </c>
      <c r="G136" s="674"/>
      <c r="H136" s="854">
        <f t="shared" si="21"/>
        <v>6000000</v>
      </c>
      <c r="I136" s="854">
        <f>+SUMIFS(TSALIN!$J$6:$J$328,TSALIN!$E$6:$E$328,C136)</f>
        <v>660000</v>
      </c>
      <c r="J136" s="854">
        <f t="shared" si="22"/>
        <v>5340000</v>
      </c>
      <c r="K136" s="854">
        <f t="shared" si="23"/>
        <v>534000</v>
      </c>
      <c r="L136" s="854">
        <f>+SUMIFS(TSALIN!$K$6:$K$328,TSALIN!$E$6:$E$328,C136)</f>
        <v>70000</v>
      </c>
      <c r="M136" s="854">
        <f t="shared" si="24"/>
        <v>464000</v>
      </c>
      <c r="N136" s="237">
        <f t="shared" si="25"/>
        <v>0</v>
      </c>
    </row>
    <row r="137" spans="2:14" hidden="1" outlineLevel="1">
      <c r="B137" s="673">
        <f>+B136+1</f>
        <v>7</v>
      </c>
      <c r="C137" s="611" t="s">
        <v>1859</v>
      </c>
      <c r="D137" s="607" t="s">
        <v>2483</v>
      </c>
      <c r="E137" s="607" t="s">
        <v>2492</v>
      </c>
      <c r="F137" s="854">
        <f>+SUMIFS(TSALIN!$I$6:$I$328,TSALIN!$E$6:$E$328,C137)</f>
        <v>2941197.1014492754</v>
      </c>
      <c r="G137" s="674"/>
      <c r="H137" s="854">
        <f t="shared" si="21"/>
        <v>2941197.1014492754</v>
      </c>
      <c r="I137" s="854">
        <f>+SUMIFS(TSALIN!$J$6:$J$328,TSALIN!$E$6:$E$328,C137)</f>
        <v>323531.68115942029</v>
      </c>
      <c r="J137" s="854">
        <f t="shared" si="22"/>
        <v>2617665.420289855</v>
      </c>
      <c r="K137" s="854">
        <f t="shared" si="23"/>
        <v>261766.54202898551</v>
      </c>
      <c r="L137" s="854">
        <f>+SUMIFS(TSALIN!$K$6:$K$328,TSALIN!$E$6:$E$328,C137)</f>
        <v>80000</v>
      </c>
      <c r="M137" s="854">
        <f t="shared" si="24"/>
        <v>181766.54202898551</v>
      </c>
      <c r="N137" s="237">
        <f t="shared" si="25"/>
        <v>0</v>
      </c>
    </row>
    <row r="138" spans="2:14" hidden="1" outlineLevel="1">
      <c r="B138" s="673">
        <f t="shared" si="26"/>
        <v>8</v>
      </c>
      <c r="C138" s="611" t="s">
        <v>2418</v>
      </c>
      <c r="D138" s="607" t="s">
        <v>2484</v>
      </c>
      <c r="E138" s="607" t="s">
        <v>2493</v>
      </c>
      <c r="F138" s="854">
        <f>+SUMIFS(TSALIN!$I$6:$I$328,TSALIN!$E$6:$E$328,C138)</f>
        <v>0</v>
      </c>
      <c r="G138" s="674"/>
      <c r="H138" s="854">
        <f t="shared" si="21"/>
        <v>0</v>
      </c>
      <c r="I138" s="854">
        <f>+SUMIFS(TSALIN!$J$6:$J$328,TSALIN!$E$6:$E$328,C138)</f>
        <v>0</v>
      </c>
      <c r="J138" s="854">
        <f t="shared" si="22"/>
        <v>0</v>
      </c>
      <c r="K138" s="854">
        <f t="shared" si="23"/>
        <v>0</v>
      </c>
      <c r="L138" s="854">
        <f>+SUMIFS(TSALIN!$K$6:$K$328,TSALIN!$E$6:$E$328,C138)</f>
        <v>0</v>
      </c>
      <c r="M138" s="854">
        <f t="shared" si="24"/>
        <v>0</v>
      </c>
      <c r="N138" s="237">
        <f t="shared" si="25"/>
        <v>0</v>
      </c>
    </row>
    <row r="139" spans="2:14" hidden="1" outlineLevel="1">
      <c r="B139" s="673">
        <f t="shared" si="26"/>
        <v>9</v>
      </c>
      <c r="C139" s="614" t="s">
        <v>1860</v>
      </c>
      <c r="D139" s="832" t="s">
        <v>2281</v>
      </c>
      <c r="E139" s="832" t="s">
        <v>2494</v>
      </c>
      <c r="F139" s="854">
        <f>+SUMIFS(TSALIN!$I$6:$I$328,TSALIN!$E$6:$E$328,C139)</f>
        <v>1933220.4830917874</v>
      </c>
      <c r="G139" s="674"/>
      <c r="H139" s="854">
        <f t="shared" si="21"/>
        <v>1933220.4830917874</v>
      </c>
      <c r="I139" s="854">
        <f>+SUMIFS(TSALIN!$J$6:$J$328,TSALIN!$E$6:$E$328,C139)</f>
        <v>212654.25314009661</v>
      </c>
      <c r="J139" s="854">
        <f t="shared" si="22"/>
        <v>1720566.2299516909</v>
      </c>
      <c r="K139" s="854">
        <f t="shared" si="23"/>
        <v>172056.62299516911</v>
      </c>
      <c r="L139" s="854">
        <f>+SUMIFS(TSALIN!$K$6:$K$328,TSALIN!$E$6:$E$328,C139)</f>
        <v>80000</v>
      </c>
      <c r="M139" s="854">
        <f t="shared" si="24"/>
        <v>92056.622995169106</v>
      </c>
      <c r="N139" s="237">
        <f t="shared" si="25"/>
        <v>0</v>
      </c>
    </row>
    <row r="140" spans="2:14" hidden="1" outlineLevel="1">
      <c r="B140" s="673">
        <f t="shared" si="26"/>
        <v>10</v>
      </c>
      <c r="C140" s="611" t="s">
        <v>1492</v>
      </c>
      <c r="D140" s="616" t="s">
        <v>1647</v>
      </c>
      <c r="E140" s="616" t="s">
        <v>1636</v>
      </c>
      <c r="F140" s="854">
        <f>+SUMIFS(TSALIN!$I$6:$I$328,TSALIN!$E$6:$E$328,C140)</f>
        <v>3433802.0919820922</v>
      </c>
      <c r="G140" s="674"/>
      <c r="H140" s="854">
        <f t="shared" si="21"/>
        <v>3433802.0919820922</v>
      </c>
      <c r="I140" s="854">
        <f>+SUMIFS(TSALIN!$J$6:$J$328,TSALIN!$E$6:$E$328,C140)</f>
        <v>302174.58409442409</v>
      </c>
      <c r="J140" s="854">
        <f t="shared" si="22"/>
        <v>3131627.507887668</v>
      </c>
      <c r="K140" s="854">
        <f t="shared" si="23"/>
        <v>313162.75078876683</v>
      </c>
      <c r="L140" s="854">
        <f>+SUMIFS(TSALIN!$K$6:$K$328,TSALIN!$E$6:$E$328,C140)</f>
        <v>119999.99999999999</v>
      </c>
      <c r="M140" s="854">
        <f t="shared" si="24"/>
        <v>193162.75078876683</v>
      </c>
      <c r="N140" s="237">
        <f t="shared" si="25"/>
        <v>0</v>
      </c>
    </row>
    <row r="141" spans="2:14" hidden="1" outlineLevel="1">
      <c r="B141" s="673">
        <f t="shared" si="26"/>
        <v>11</v>
      </c>
      <c r="C141" s="611" t="s">
        <v>1493</v>
      </c>
      <c r="D141" s="616" t="s">
        <v>2486</v>
      </c>
      <c r="E141" s="616" t="s">
        <v>2495</v>
      </c>
      <c r="F141" s="854">
        <f>+SUMIFS(TSALIN!$I$6:$I$328,TSALIN!$E$6:$E$328,C141)</f>
        <v>2138615.4865424428</v>
      </c>
      <c r="G141" s="674"/>
      <c r="H141" s="854">
        <f t="shared" si="21"/>
        <v>2138615.4865424428</v>
      </c>
      <c r="I141" s="854">
        <f>+SUMIFS(TSALIN!$J$6:$J$328,TSALIN!$E$6:$E$328,C141)</f>
        <v>235247.70351966872</v>
      </c>
      <c r="J141" s="854">
        <f t="shared" si="22"/>
        <v>1903367.7830227742</v>
      </c>
      <c r="K141" s="854">
        <f t="shared" si="23"/>
        <v>190336.77830227744</v>
      </c>
      <c r="L141" s="854">
        <f>+SUMIFS(TSALIN!$K$6:$K$328,TSALIN!$E$6:$E$328,C141)</f>
        <v>80000</v>
      </c>
      <c r="M141" s="854">
        <f t="shared" si="24"/>
        <v>110336.77830227744</v>
      </c>
      <c r="N141" s="237">
        <f t="shared" si="25"/>
        <v>0</v>
      </c>
    </row>
    <row r="142" spans="2:14" hidden="1" outlineLevel="1">
      <c r="B142" s="673">
        <f t="shared" si="26"/>
        <v>12</v>
      </c>
      <c r="C142" s="622" t="s">
        <v>1494</v>
      </c>
      <c r="D142" s="602" t="s">
        <v>1648</v>
      </c>
      <c r="E142" s="602" t="s">
        <v>2496</v>
      </c>
      <c r="F142" s="854">
        <f>+SUMIFS(TSALIN!$I$6:$I$328,TSALIN!$E$6:$E$328,C142)</f>
        <v>4129719.9032489248</v>
      </c>
      <c r="G142" s="674"/>
      <c r="H142" s="854">
        <f t="shared" si="21"/>
        <v>4129719.9032489248</v>
      </c>
      <c r="I142" s="854">
        <f>+SUMIFS(TSALIN!$J$6:$J$328,TSALIN!$E$6:$E$328,C142)</f>
        <v>454269.18935738178</v>
      </c>
      <c r="J142" s="854">
        <f t="shared" si="22"/>
        <v>3675450.713891543</v>
      </c>
      <c r="K142" s="854">
        <f t="shared" si="23"/>
        <v>367545.0713891543</v>
      </c>
      <c r="L142" s="854">
        <f>+SUMIFS(TSALIN!$K$6:$K$328,TSALIN!$E$6:$E$328,C142)</f>
        <v>118333.33333333333</v>
      </c>
      <c r="M142" s="854">
        <f t="shared" si="24"/>
        <v>249211.73805582098</v>
      </c>
      <c r="N142" s="237">
        <f t="shared" si="25"/>
        <v>0</v>
      </c>
    </row>
    <row r="143" spans="2:14" hidden="1" outlineLevel="1">
      <c r="B143" s="673">
        <f t="shared" si="26"/>
        <v>13</v>
      </c>
      <c r="C143" s="451" t="s">
        <v>1861</v>
      </c>
      <c r="D143" s="602" t="s">
        <v>2487</v>
      </c>
      <c r="E143" s="602" t="s">
        <v>2286</v>
      </c>
      <c r="F143" s="854">
        <f>+SUMIFS(TSALIN!$I$6:$I$328,TSALIN!$E$6:$E$328,C143)</f>
        <v>2405154.7826086953</v>
      </c>
      <c r="G143" s="674"/>
      <c r="H143" s="854">
        <f t="shared" si="21"/>
        <v>2405154.7826086953</v>
      </c>
      <c r="I143" s="854">
        <f>+SUMIFS(TSALIN!$J$6:$J$328,TSALIN!$E$6:$E$328,C143)</f>
        <v>264567.0260869565</v>
      </c>
      <c r="J143" s="854">
        <f t="shared" si="22"/>
        <v>2140587.7565217391</v>
      </c>
      <c r="K143" s="854">
        <f t="shared" si="23"/>
        <v>214058.77565217391</v>
      </c>
      <c r="L143" s="854">
        <f>+SUMIFS(TSALIN!$K$6:$K$328,TSALIN!$E$6:$E$328,C143)</f>
        <v>80000</v>
      </c>
      <c r="M143" s="854">
        <f t="shared" si="24"/>
        <v>134058.77565217391</v>
      </c>
      <c r="N143" s="237">
        <f t="shared" si="25"/>
        <v>0</v>
      </c>
    </row>
    <row r="144" spans="2:14" hidden="1" outlineLevel="1">
      <c r="B144" s="673">
        <f t="shared" si="26"/>
        <v>14</v>
      </c>
      <c r="C144" s="617" t="s">
        <v>1495</v>
      </c>
      <c r="D144" s="602" t="s">
        <v>1649</v>
      </c>
      <c r="E144" s="602" t="s">
        <v>2497</v>
      </c>
      <c r="F144" s="854">
        <f>+SUMIFS(TSALIN!$I$6:$I$328,TSALIN!$E$6:$E$328,C144)</f>
        <v>3091300.3811647291</v>
      </c>
      <c r="G144" s="674"/>
      <c r="H144" s="854">
        <f t="shared" si="21"/>
        <v>3091300.3811647291</v>
      </c>
      <c r="I144" s="854">
        <f>+SUMIFS(TSALIN!$J$6:$J$328,TSALIN!$E$6:$E$328,C144)</f>
        <v>340043.04192812019</v>
      </c>
      <c r="J144" s="854">
        <f t="shared" si="22"/>
        <v>2751257.3392366087</v>
      </c>
      <c r="K144" s="854">
        <f t="shared" si="23"/>
        <v>275125.73392366088</v>
      </c>
      <c r="L144" s="854">
        <f>+SUMIFS(TSALIN!$K$6:$K$328,TSALIN!$E$6:$E$328,C144)</f>
        <v>109831.11111111109</v>
      </c>
      <c r="M144" s="854">
        <f t="shared" si="24"/>
        <v>165294.62281254979</v>
      </c>
      <c r="N144" s="237">
        <f>+K144-L144-M144</f>
        <v>0</v>
      </c>
    </row>
    <row r="145" spans="2:14" hidden="1" outlineLevel="1">
      <c r="B145" s="675">
        <f t="shared" si="26"/>
        <v>15</v>
      </c>
      <c r="C145" s="611" t="s">
        <v>1496</v>
      </c>
      <c r="D145" s="616" t="s">
        <v>1650</v>
      </c>
      <c r="E145" s="616" t="s">
        <v>2498</v>
      </c>
      <c r="F145" s="854">
        <f>+SUMIFS(TSALIN!$I$6:$I$328,TSALIN!$E$6:$E$328,C145)</f>
        <v>5541379.0108120553</v>
      </c>
      <c r="G145" s="674"/>
      <c r="H145" s="854">
        <f t="shared" si="21"/>
        <v>5541379.0108120553</v>
      </c>
      <c r="I145" s="854">
        <f>+SUMIFS(TSALIN!$J$6:$J$328,TSALIN!$E$6:$E$328,C145)</f>
        <v>609551.691189326</v>
      </c>
      <c r="J145" s="854">
        <f t="shared" si="22"/>
        <v>4931827.319622729</v>
      </c>
      <c r="K145" s="854">
        <f>+J145*0.1</f>
        <v>493182.7319622729</v>
      </c>
      <c r="L145" s="854">
        <f>+SUMIFS(TSALIN!$K$6:$K$328,TSALIN!$E$6:$E$328,C145)</f>
        <v>88447.619047619039</v>
      </c>
      <c r="M145" s="854">
        <f t="shared" si="24"/>
        <v>404735.11291465384</v>
      </c>
      <c r="N145" s="237">
        <f t="shared" ref="N145:N150" si="27">+K145-L145-M145</f>
        <v>0</v>
      </c>
    </row>
    <row r="146" spans="2:14" hidden="1" outlineLevel="1">
      <c r="B146" s="673">
        <f t="shared" si="26"/>
        <v>16</v>
      </c>
      <c r="C146" s="620" t="s">
        <v>1497</v>
      </c>
      <c r="D146" s="602" t="s">
        <v>1651</v>
      </c>
      <c r="E146" s="602" t="s">
        <v>1637</v>
      </c>
      <c r="F146" s="854">
        <f>+SUMIFS(TSALIN!$I$6:$I$328,TSALIN!$E$6:$E$328,C146)</f>
        <v>2968225.9090088657</v>
      </c>
      <c r="G146" s="674"/>
      <c r="H146" s="854">
        <f t="shared" si="21"/>
        <v>2968225.9090088657</v>
      </c>
      <c r="I146" s="854">
        <f>+SUMIFS(TSALIN!$J$6:$J$328,TSALIN!$E$6:$E$328,C146)</f>
        <v>326504.84999097523</v>
      </c>
      <c r="J146" s="854">
        <f t="shared" si="22"/>
        <v>2641721.0590178906</v>
      </c>
      <c r="K146" s="854">
        <f t="shared" ref="K146:K156" si="28">+J146*0.1</f>
        <v>264172.10590178909</v>
      </c>
      <c r="L146" s="854">
        <f>+SUMIFS(TSALIN!$K$6:$K$328,TSALIN!$E$6:$E$328,C146)</f>
        <v>116268.49523809523</v>
      </c>
      <c r="M146" s="854">
        <f t="shared" si="24"/>
        <v>147903.61066369386</v>
      </c>
      <c r="N146" s="237">
        <f t="shared" si="27"/>
        <v>0</v>
      </c>
    </row>
    <row r="147" spans="2:14" hidden="1" outlineLevel="1">
      <c r="B147" s="673">
        <f t="shared" si="26"/>
        <v>17</v>
      </c>
      <c r="C147" s="619" t="s">
        <v>1498</v>
      </c>
      <c r="D147" s="618" t="s">
        <v>1652</v>
      </c>
      <c r="E147" s="618" t="s">
        <v>1638</v>
      </c>
      <c r="F147" s="854">
        <f>+SUMIFS(TSALIN!$I$6:$I$328,TSALIN!$E$6:$E$328,C147)</f>
        <v>4496551.0622710623</v>
      </c>
      <c r="G147" s="674"/>
      <c r="H147" s="854">
        <f t="shared" si="21"/>
        <v>4496551.0622710623</v>
      </c>
      <c r="I147" s="854">
        <f>+SUMIFS(TSALIN!$J$6:$J$328,TSALIN!$E$6:$E$328,C147)</f>
        <v>494620.61684981681</v>
      </c>
      <c r="J147" s="854">
        <f t="shared" si="22"/>
        <v>4001930.4454212454</v>
      </c>
      <c r="K147" s="854">
        <f t="shared" si="28"/>
        <v>400193.04454212455</v>
      </c>
      <c r="L147" s="854">
        <f>+SUMIFS(TSALIN!$K$6:$K$328,TSALIN!$E$6:$E$328,C147)</f>
        <v>116666.66666666666</v>
      </c>
      <c r="M147" s="854">
        <f t="shared" si="24"/>
        <v>283526.37787545787</v>
      </c>
      <c r="N147" s="237">
        <f t="shared" si="27"/>
        <v>0</v>
      </c>
    </row>
    <row r="148" spans="2:14" hidden="1" outlineLevel="1">
      <c r="B148" s="673">
        <f t="shared" si="26"/>
        <v>18</v>
      </c>
      <c r="C148" s="451" t="s">
        <v>1499</v>
      </c>
      <c r="D148" s="616" t="s">
        <v>1653</v>
      </c>
      <c r="E148" s="616" t="s">
        <v>1474</v>
      </c>
      <c r="F148" s="854">
        <f>+SUMIFS(TSALIN!$I$6:$I$328,TSALIN!$E$6:$E$328,C148)</f>
        <v>5128848.198757764</v>
      </c>
      <c r="G148" s="674"/>
      <c r="H148" s="854">
        <f t="shared" si="21"/>
        <v>5128848.198757764</v>
      </c>
      <c r="I148" s="854">
        <f>+SUMIFS(TSALIN!$J$6:$J$328,TSALIN!$E$6:$E$328,C148)</f>
        <v>564173.30186335405</v>
      </c>
      <c r="J148" s="854">
        <f t="shared" si="22"/>
        <v>4564674.8968944103</v>
      </c>
      <c r="K148" s="854">
        <f t="shared" si="28"/>
        <v>456467.48968944105</v>
      </c>
      <c r="L148" s="854">
        <f>+SUMIFS(TSALIN!$K$6:$K$328,TSALIN!$E$6:$E$328,C148)</f>
        <v>111666.66666666669</v>
      </c>
      <c r="M148" s="854">
        <f t="shared" si="24"/>
        <v>344800.82302277436</v>
      </c>
      <c r="N148" s="237">
        <f t="shared" si="27"/>
        <v>0</v>
      </c>
    </row>
    <row r="149" spans="2:14" hidden="1" outlineLevel="1">
      <c r="B149" s="673">
        <f t="shared" si="26"/>
        <v>19</v>
      </c>
      <c r="C149" s="619" t="s">
        <v>1500</v>
      </c>
      <c r="D149" s="618" t="s">
        <v>1654</v>
      </c>
      <c r="E149" s="618" t="s">
        <v>1639</v>
      </c>
      <c r="F149" s="854">
        <f>+SUMIFS(TSALIN!$I$6:$I$328,TSALIN!$E$6:$E$328,C149)</f>
        <v>4183460.955778521</v>
      </c>
      <c r="G149" s="674"/>
      <c r="H149" s="854">
        <f t="shared" si="21"/>
        <v>4183460.955778521</v>
      </c>
      <c r="I149" s="854">
        <f>+SUMIFS(TSALIN!$J$6:$J$328,TSALIN!$E$6:$E$328,C149)</f>
        <v>460180.70513563731</v>
      </c>
      <c r="J149" s="854">
        <f t="shared" si="22"/>
        <v>3723280.2506428836</v>
      </c>
      <c r="K149" s="854">
        <f t="shared" si="28"/>
        <v>372328.02506428841</v>
      </c>
      <c r="L149" s="854">
        <f>+SUMIFS(TSALIN!$K$6:$K$328,TSALIN!$E$6:$E$328,C149)</f>
        <v>119999.99999999999</v>
      </c>
      <c r="M149" s="854">
        <f t="shared" si="24"/>
        <v>252328.02506428841</v>
      </c>
      <c r="N149" s="237">
        <f t="shared" si="27"/>
        <v>0</v>
      </c>
    </row>
    <row r="150" spans="2:14" hidden="1" outlineLevel="1">
      <c r="B150" s="673">
        <f t="shared" si="26"/>
        <v>20</v>
      </c>
      <c r="C150" s="608" t="s">
        <v>2588</v>
      </c>
      <c r="D150" s="616" t="s">
        <v>2591</v>
      </c>
      <c r="E150" s="618" t="s">
        <v>2592</v>
      </c>
      <c r="F150" s="854">
        <f>+SUMIFS(TSALIN!$I$6:$I$328,TSALIN!$E$6:$E$328,C150)</f>
        <v>896153.33333333326</v>
      </c>
      <c r="G150" s="674"/>
      <c r="H150" s="854">
        <f t="shared" si="21"/>
        <v>896153.33333333326</v>
      </c>
      <c r="I150" s="854">
        <f>+SUMIFS(TSALIN!$J$6:$J$328,TSALIN!$E$6:$E$328,C150)</f>
        <v>98576.866666666669</v>
      </c>
      <c r="J150" s="854">
        <f t="shared" si="22"/>
        <v>797576.46666666656</v>
      </c>
      <c r="K150" s="854">
        <f t="shared" si="28"/>
        <v>79757.646666666667</v>
      </c>
      <c r="L150" s="854">
        <f>+SUMIFS(TSALIN!$K$6:$K$328,TSALIN!$E$6:$E$328,C150)</f>
        <v>26666.666666666668</v>
      </c>
      <c r="M150" s="854">
        <f t="shared" si="24"/>
        <v>53090.979999999996</v>
      </c>
      <c r="N150" s="237">
        <f t="shared" si="27"/>
        <v>0</v>
      </c>
    </row>
    <row r="151" spans="2:14" hidden="1" outlineLevel="1">
      <c r="B151" s="673">
        <f t="shared" si="26"/>
        <v>21</v>
      </c>
      <c r="C151" s="375" t="s">
        <v>1501</v>
      </c>
      <c r="D151" s="616" t="s">
        <v>1644</v>
      </c>
      <c r="E151" s="616" t="s">
        <v>1640</v>
      </c>
      <c r="F151" s="854">
        <f>+SUMIFS(TSALIN!$I$6:$I$328,TSALIN!$E$6:$E$328,C151)</f>
        <v>4003339.1881669061</v>
      </c>
      <c r="G151" s="674"/>
      <c r="H151" s="854">
        <f t="shared" si="21"/>
        <v>4003339.1881669061</v>
      </c>
      <c r="I151" s="854">
        <f>+SUMIFS(TSALIN!$J$6:$J$328,TSALIN!$E$6:$E$328,C151)</f>
        <v>440367.31069835968</v>
      </c>
      <c r="J151" s="854">
        <f t="shared" si="22"/>
        <v>3562971.8774685464</v>
      </c>
      <c r="K151" s="854">
        <f t="shared" si="28"/>
        <v>356297.18774685467</v>
      </c>
      <c r="L151" s="854">
        <f>+SUMIFS(TSALIN!$K$6:$K$328,TSALIN!$E$6:$E$328,C151)</f>
        <v>118333.33333333333</v>
      </c>
      <c r="M151" s="854">
        <f t="shared" si="24"/>
        <v>237963.85441352136</v>
      </c>
      <c r="N151" s="237">
        <f>+K151-L151-M151</f>
        <v>0</v>
      </c>
    </row>
    <row r="152" spans="2:14" hidden="1" outlineLevel="1">
      <c r="B152" s="673">
        <f t="shared" si="26"/>
        <v>22</v>
      </c>
      <c r="C152" s="375" t="s">
        <v>1502</v>
      </c>
      <c r="D152" s="616" t="s">
        <v>1643</v>
      </c>
      <c r="E152" s="616" t="s">
        <v>1641</v>
      </c>
      <c r="F152" s="854">
        <f>+SUMIFS(TSALIN!$I$6:$I$328,TSALIN!$E$6:$E$328,C152)</f>
        <v>4194723.9870467698</v>
      </c>
      <c r="G152" s="674"/>
      <c r="H152" s="854">
        <f t="shared" si="21"/>
        <v>4194723.9870467698</v>
      </c>
      <c r="I152" s="854">
        <f>+SUMIFS(TSALIN!$J$6:$J$328,TSALIN!$E$6:$E$328,C152)</f>
        <v>461419.63857514464</v>
      </c>
      <c r="J152" s="854">
        <f t="shared" si="22"/>
        <v>3733304.3484716252</v>
      </c>
      <c r="K152" s="854">
        <f t="shared" si="28"/>
        <v>373330.43484716257</v>
      </c>
      <c r="L152" s="854">
        <f>+SUMIFS(TSALIN!$K$6:$K$328,TSALIN!$E$6:$E$328,C152)</f>
        <v>119999.99999999999</v>
      </c>
      <c r="M152" s="854">
        <f t="shared" si="24"/>
        <v>253330.43484716257</v>
      </c>
      <c r="N152" s="237">
        <f t="shared" ref="N152:N157" si="29">+K152-L152-M152</f>
        <v>0</v>
      </c>
    </row>
    <row r="153" spans="2:14" hidden="1" outlineLevel="1">
      <c r="B153" s="673">
        <f t="shared" si="26"/>
        <v>23</v>
      </c>
      <c r="C153" s="375" t="s">
        <v>2590</v>
      </c>
      <c r="D153" s="237" t="s">
        <v>2593</v>
      </c>
      <c r="E153" s="237" t="s">
        <v>2594</v>
      </c>
      <c r="F153" s="854">
        <f>+SUMIFS(TSALIN!$I$6:$I$328,TSALIN!$E$6:$E$328,C153)</f>
        <v>895360</v>
      </c>
      <c r="H153" s="854">
        <f t="shared" si="21"/>
        <v>895360</v>
      </c>
      <c r="I153" s="854">
        <f>+SUMIFS(TSALIN!$J$6:$J$328,TSALIN!$E$6:$E$328,C153)</f>
        <v>98489.600000000006</v>
      </c>
      <c r="J153" s="854">
        <f t="shared" si="22"/>
        <v>796870.4</v>
      </c>
      <c r="K153" s="854">
        <f t="shared" si="28"/>
        <v>79687.040000000008</v>
      </c>
      <c r="L153" s="854">
        <f>+SUMIFS(TSALIN!$K$6:$K$328,TSALIN!$E$6:$E$328,C153)</f>
        <v>26666.666666666668</v>
      </c>
      <c r="M153" s="854">
        <f t="shared" si="24"/>
        <v>53020.373333333337</v>
      </c>
      <c r="N153" s="237">
        <f t="shared" si="29"/>
        <v>0</v>
      </c>
    </row>
    <row r="154" spans="2:14" hidden="1" outlineLevel="1">
      <c r="B154" s="673">
        <f t="shared" si="26"/>
        <v>24</v>
      </c>
      <c r="C154" s="375" t="s">
        <v>1521</v>
      </c>
      <c r="D154" s="616" t="s">
        <v>2488</v>
      </c>
      <c r="E154" s="616" t="s">
        <v>2499</v>
      </c>
      <c r="F154" s="854">
        <f>+SUMIFS(TSALIN!$I$6:$I$328,TSALIN!$E$6:$E$328,C154)</f>
        <v>3730715.4594680681</v>
      </c>
      <c r="G154" s="674"/>
      <c r="H154" s="854">
        <f t="shared" si="21"/>
        <v>3730715.4594680681</v>
      </c>
      <c r="I154" s="854">
        <f>+SUMIFS(TSALIN!$J$6:$J$328,TSALIN!$E$6:$E$328,C154)</f>
        <v>410378.70054148749</v>
      </c>
      <c r="J154" s="854">
        <f t="shared" si="22"/>
        <v>3320336.7589265807</v>
      </c>
      <c r="K154" s="854">
        <f t="shared" si="28"/>
        <v>332033.67589265807</v>
      </c>
      <c r="L154" s="854">
        <f>+SUMIFS(TSALIN!$K$6:$K$328,TSALIN!$E$6:$E$328,C154)</f>
        <v>119999.99999999999</v>
      </c>
      <c r="M154" s="854">
        <f t="shared" si="24"/>
        <v>212033.67589265807</v>
      </c>
      <c r="N154" s="237">
        <f t="shared" si="29"/>
        <v>0</v>
      </c>
    </row>
    <row r="155" spans="2:14" hidden="1" outlineLevel="1">
      <c r="B155" s="673">
        <f t="shared" si="26"/>
        <v>25</v>
      </c>
      <c r="C155" s="611" t="s">
        <v>1503</v>
      </c>
      <c r="D155" s="616" t="s">
        <v>1642</v>
      </c>
      <c r="E155" s="616" t="s">
        <v>2500</v>
      </c>
      <c r="F155" s="854">
        <f>+SUMIFS(TSALIN!$I$6:$I$328,TSALIN!$E$6:$E$328,C155)</f>
        <v>2622585.0931677017</v>
      </c>
      <c r="G155" s="674"/>
      <c r="H155" s="854">
        <f t="shared" si="21"/>
        <v>2622585.0931677017</v>
      </c>
      <c r="I155" s="854">
        <f>+SUMIFS(TSALIN!$J$6:$J$328,TSALIN!$E$6:$E$328,C155)</f>
        <v>288484.36024844722</v>
      </c>
      <c r="J155" s="854">
        <f t="shared" si="22"/>
        <v>2334100.7329192543</v>
      </c>
      <c r="K155" s="854">
        <f t="shared" si="28"/>
        <v>233410.07329192545</v>
      </c>
      <c r="L155" s="854">
        <f>+SUMIFS(TSALIN!$K$6:$K$328,TSALIN!$E$6:$E$328,C155)</f>
        <v>93333.333333333328</v>
      </c>
      <c r="M155" s="854">
        <f t="shared" si="24"/>
        <v>140076.73995859211</v>
      </c>
      <c r="N155" s="237">
        <f t="shared" si="29"/>
        <v>0</v>
      </c>
    </row>
    <row r="156" spans="2:14" hidden="1" outlineLevel="1">
      <c r="B156" s="673">
        <f t="shared" si="26"/>
        <v>26</v>
      </c>
      <c r="C156" s="611" t="s">
        <v>1851</v>
      </c>
      <c r="D156" s="616" t="s">
        <v>2489</v>
      </c>
      <c r="E156" s="616" t="s">
        <v>2490</v>
      </c>
      <c r="F156" s="854">
        <f>+SUMIFS(TSALIN!$I$6:$I$328,TSALIN!$E$6:$E$328,C156)</f>
        <v>1637272.463768116</v>
      </c>
      <c r="G156" s="674"/>
      <c r="H156" s="854">
        <f t="shared" si="21"/>
        <v>1637272.463768116</v>
      </c>
      <c r="I156" s="854">
        <f>+SUMIFS(TSALIN!$J$6:$J$328,TSALIN!$E$6:$E$328,C156)</f>
        <v>180099.97101449277</v>
      </c>
      <c r="J156" s="854">
        <f t="shared" si="22"/>
        <v>1457172.4927536233</v>
      </c>
      <c r="K156" s="854">
        <f t="shared" si="28"/>
        <v>145717.24927536232</v>
      </c>
      <c r="L156" s="854">
        <f>+SUMIFS(TSALIN!$K$6:$K$328,TSALIN!$E$6:$E$328,C156)</f>
        <v>77346.666666666672</v>
      </c>
      <c r="M156" s="854">
        <f t="shared" si="24"/>
        <v>68370.582608695651</v>
      </c>
      <c r="N156" s="237">
        <f t="shared" si="29"/>
        <v>0</v>
      </c>
    </row>
    <row r="157" spans="2:14" hidden="1" outlineLevel="1">
      <c r="B157" s="852"/>
      <c r="C157" s="853"/>
      <c r="D157" s="1138" t="s">
        <v>21</v>
      </c>
      <c r="E157" s="1138"/>
      <c r="F157" s="897">
        <f>SUM(F131:F156)</f>
        <v>106071624.89166708</v>
      </c>
      <c r="G157" s="897">
        <f t="shared" ref="G157:M157" si="30">SUM(G131:G156)</f>
        <v>0</v>
      </c>
      <c r="H157" s="897">
        <f t="shared" si="30"/>
        <v>106071624.89166708</v>
      </c>
      <c r="I157" s="897">
        <f t="shared" si="30"/>
        <v>11592335.092059774</v>
      </c>
      <c r="J157" s="897">
        <f t="shared" si="30"/>
        <v>94479289.799607337</v>
      </c>
      <c r="K157" s="897">
        <f t="shared" si="30"/>
        <v>9447928.979960734</v>
      </c>
      <c r="L157" s="897">
        <f t="shared" si="30"/>
        <v>2230227.2253968255</v>
      </c>
      <c r="M157" s="897">
        <f t="shared" si="30"/>
        <v>7217701.754563909</v>
      </c>
      <c r="N157" s="512">
        <f t="shared" si="29"/>
        <v>0</v>
      </c>
    </row>
    <row r="158" spans="2:14" hidden="1" outlineLevel="1">
      <c r="F158" s="15">
        <f>+TSALIN!I343</f>
        <v>106071624.89166711</v>
      </c>
      <c r="G158" s="15"/>
      <c r="H158" s="15">
        <f>+TSALIN!I343</f>
        <v>106071624.89166711</v>
      </c>
      <c r="I158" s="15">
        <f>+TSALIN!J343</f>
        <v>11592335.092059776</v>
      </c>
      <c r="J158" s="15">
        <f>+TSALIN!I343-TSALIN!J343</f>
        <v>94479289.799607337</v>
      </c>
      <c r="K158" s="15">
        <f>+TSALIN!K343+TSALIN!L343</f>
        <v>9447928.979960734</v>
      </c>
      <c r="L158" s="15">
        <f>+TSALIN!K343</f>
        <v>2230227.2253968259</v>
      </c>
      <c r="M158" s="15">
        <f>+TSALIN!L343</f>
        <v>7217701.7545639081</v>
      </c>
      <c r="N158" s="237">
        <f>+K158-L158-M158</f>
        <v>0</v>
      </c>
    </row>
    <row r="159" spans="2:14" hidden="1" outlineLevel="1">
      <c r="C159" s="332" t="s">
        <v>1625</v>
      </c>
      <c r="F159" s="237">
        <f>+F158-F157</f>
        <v>0</v>
      </c>
      <c r="G159" s="237">
        <f>+G158-G157</f>
        <v>0</v>
      </c>
      <c r="H159" s="237">
        <f>+H158-H157</f>
        <v>0</v>
      </c>
      <c r="I159" s="237">
        <f>+I158-I157</f>
        <v>0</v>
      </c>
      <c r="J159" s="237">
        <f>+J158-J157</f>
        <v>0</v>
      </c>
      <c r="K159" s="237">
        <f>+K157-K158</f>
        <v>0</v>
      </c>
      <c r="L159" s="237">
        <f>+L158-L157</f>
        <v>0</v>
      </c>
      <c r="M159" s="237">
        <f>+M158-M157</f>
        <v>0</v>
      </c>
    </row>
    <row r="160" spans="2:14" hidden="1" outlineLevel="1">
      <c r="C160" s="676"/>
    </row>
    <row r="161" spans="1:13" hidden="1" outlineLevel="1">
      <c r="C161" s="332" t="s">
        <v>1626</v>
      </c>
      <c r="H161" s="237" t="s">
        <v>1627</v>
      </c>
    </row>
    <row r="162" spans="1:13" hidden="1" outlineLevel="1"/>
    <row r="163" spans="1:13" hidden="1" outlineLevel="1">
      <c r="C163" s="332" t="s">
        <v>1628</v>
      </c>
      <c r="D163" s="40"/>
      <c r="H163" s="237" t="s">
        <v>1629</v>
      </c>
    </row>
    <row r="164" spans="1:13" hidden="1" outlineLevel="1">
      <c r="C164" s="676"/>
    </row>
    <row r="165" spans="1:13" hidden="1" outlineLevel="1">
      <c r="B165" s="1139" t="s">
        <v>1630</v>
      </c>
      <c r="C165" s="1139"/>
      <c r="D165" s="1139"/>
      <c r="E165" s="1139"/>
      <c r="F165" s="1139"/>
      <c r="G165" s="1139"/>
      <c r="H165" s="1139"/>
      <c r="I165" s="1139"/>
      <c r="J165" s="1139"/>
      <c r="K165" s="1139"/>
      <c r="L165" s="1139"/>
      <c r="M165" s="1139"/>
    </row>
    <row r="166" spans="1:13" collapsed="1">
      <c r="A166" s="512" t="s">
        <v>2688</v>
      </c>
    </row>
    <row r="167" spans="1:13" outlineLevel="1">
      <c r="M167" s="289" t="s">
        <v>1605</v>
      </c>
    </row>
    <row r="168" spans="1:13" outlineLevel="1">
      <c r="B168" s="665"/>
      <c r="D168" s="40"/>
      <c r="E168" s="40"/>
      <c r="F168" s="40"/>
      <c r="G168" s="40"/>
      <c r="H168" s="40"/>
      <c r="I168" s="40"/>
      <c r="L168" s="40"/>
      <c r="M168" s="289" t="s">
        <v>1606</v>
      </c>
    </row>
    <row r="169" spans="1:13" outlineLevel="1">
      <c r="B169" s="665"/>
      <c r="D169" s="40"/>
      <c r="E169" s="40"/>
      <c r="F169" s="40"/>
      <c r="G169" s="40"/>
      <c r="H169" s="40"/>
      <c r="I169" s="40"/>
      <c r="L169" s="40"/>
      <c r="M169" s="289"/>
    </row>
    <row r="170" spans="1:13" outlineLevel="1">
      <c r="B170" s="666" t="s">
        <v>1607</v>
      </c>
      <c r="D170" s="40"/>
      <c r="E170" s="40"/>
      <c r="F170" s="40"/>
      <c r="G170" s="40"/>
      <c r="H170" s="40"/>
      <c r="I170" s="40"/>
      <c r="L170" s="40"/>
      <c r="M170" s="289"/>
    </row>
    <row r="171" spans="1:13" outlineLevel="1">
      <c r="B171" s="666"/>
      <c r="D171" s="40"/>
      <c r="E171" s="40"/>
      <c r="F171" s="40"/>
      <c r="G171" s="40"/>
      <c r="H171" s="40"/>
      <c r="I171" s="40"/>
      <c r="L171" s="40"/>
      <c r="M171" s="289"/>
    </row>
    <row r="172" spans="1:13" ht="19.5" outlineLevel="1">
      <c r="B172" s="1151" t="s">
        <v>1608</v>
      </c>
      <c r="C172" s="1151"/>
      <c r="D172" s="1151"/>
      <c r="E172" s="1151"/>
      <c r="F172" s="1151"/>
      <c r="G172" s="1151"/>
      <c r="H172" s="1151"/>
      <c r="I172" s="1151"/>
      <c r="J172" s="1151"/>
      <c r="K172" s="1151"/>
      <c r="L172" s="1151"/>
      <c r="M172" s="1151"/>
    </row>
    <row r="173" spans="1:13" ht="19.5" outlineLevel="1">
      <c r="B173" s="1151" t="s">
        <v>1609</v>
      </c>
      <c r="C173" s="1151"/>
      <c r="D173" s="1151"/>
      <c r="E173" s="1151"/>
      <c r="F173" s="1151"/>
      <c r="G173" s="1151"/>
      <c r="H173" s="1151"/>
      <c r="I173" s="1151"/>
      <c r="J173" s="1151"/>
      <c r="K173" s="1151"/>
      <c r="L173" s="1151"/>
      <c r="M173" s="1151"/>
    </row>
    <row r="174" spans="1:13" outlineLevel="1">
      <c r="B174" s="666"/>
      <c r="D174" s="40"/>
      <c r="E174" s="40"/>
      <c r="F174" s="40"/>
      <c r="G174" s="40"/>
      <c r="H174" s="40"/>
      <c r="I174" s="40"/>
      <c r="L174" s="40"/>
      <c r="M174" s="289"/>
    </row>
    <row r="175" spans="1:13" outlineLevel="1">
      <c r="B175" s="666" t="str">
        <f>CONCATENATE("1. ТТД:  ",'company '!C180,"")</f>
        <v xml:space="preserve">1. ТТД:  </v>
      </c>
      <c r="D175" s="40"/>
      <c r="E175" s="40"/>
      <c r="F175" s="40"/>
      <c r="G175" s="40"/>
      <c r="H175" s="40"/>
      <c r="I175" s="1152" t="s">
        <v>1610</v>
      </c>
      <c r="J175" s="1153"/>
      <c r="K175" s="1153"/>
      <c r="L175" s="1154"/>
      <c r="M175" s="289"/>
    </row>
    <row r="176" spans="1:13" outlineLevel="1">
      <c r="D176" s="40"/>
      <c r="E176" s="40"/>
      <c r="F176" s="40"/>
      <c r="G176" s="40"/>
      <c r="H176" s="40"/>
      <c r="I176" s="1143" t="s">
        <v>1611</v>
      </c>
      <c r="J176" s="1144"/>
      <c r="K176" s="1144"/>
      <c r="L176" s="1145"/>
      <c r="M176" s="289"/>
    </row>
    <row r="177" spans="2:14" outlineLevel="1">
      <c r="B177" s="666" t="str">
        <f>CONCATENATE("2. Байгууллагын нэр:  ",'company '!C179,"")</f>
        <v xml:space="preserve">2. Байгууллагын нэр:  </v>
      </c>
      <c r="D177" s="40"/>
      <c r="E177" s="40"/>
      <c r="F177" s="40"/>
      <c r="G177" s="40"/>
      <c r="H177" s="40"/>
      <c r="I177" s="1143" t="s">
        <v>2305</v>
      </c>
      <c r="J177" s="1144"/>
      <c r="K177" s="1144"/>
      <c r="L177" s="1145"/>
      <c r="M177" s="289"/>
    </row>
    <row r="178" spans="2:14" outlineLevel="1">
      <c r="D178" s="40"/>
      <c r="E178" s="40"/>
      <c r="F178" s="40"/>
      <c r="G178" s="40"/>
      <c r="H178" s="40"/>
      <c r="I178" s="1140" t="s">
        <v>1612</v>
      </c>
      <c r="J178" s="1141"/>
      <c r="K178" s="1141"/>
      <c r="L178" s="1142"/>
      <c r="M178" s="289"/>
    </row>
    <row r="179" spans="2:14" outlineLevel="1">
      <c r="B179" s="667" t="str">
        <f>CONCATENATE("3. Тайлант хугацаа:    ",'company '!C197)</f>
        <v xml:space="preserve">3. Тайлант хугацаа:    </v>
      </c>
      <c r="C179" s="968" t="s">
        <v>2809</v>
      </c>
      <c r="I179" s="1143" t="s">
        <v>1613</v>
      </c>
      <c r="J179" s="1144"/>
      <c r="K179" s="1144"/>
      <c r="L179" s="1145"/>
    </row>
    <row r="180" spans="2:14" outlineLevel="1">
      <c r="I180" s="1146" t="s">
        <v>1614</v>
      </c>
      <c r="J180" s="1147"/>
      <c r="K180" s="1147"/>
      <c r="L180" s="1148"/>
    </row>
    <row r="181" spans="2:14" outlineLevel="1">
      <c r="I181" s="965"/>
      <c r="J181" s="965"/>
      <c r="K181" s="965"/>
      <c r="L181" s="965"/>
    </row>
    <row r="182" spans="2:14" outlineLevel="1">
      <c r="B182" s="96">
        <f>COUNT(B186:B211)</f>
        <v>26</v>
      </c>
      <c r="C182" s="668"/>
      <c r="D182" s="669"/>
      <c r="E182" s="669"/>
      <c r="F182" s="669" t="s">
        <v>1615</v>
      </c>
      <c r="G182" s="669"/>
      <c r="H182" s="669"/>
      <c r="I182" s="670"/>
      <c r="J182" s="671"/>
      <c r="K182" s="671"/>
      <c r="L182" s="671"/>
      <c r="M182" s="671"/>
    </row>
    <row r="183" spans="2:14" outlineLevel="1">
      <c r="B183" s="1149" t="s">
        <v>1</v>
      </c>
      <c r="C183" s="1150" t="s">
        <v>1616</v>
      </c>
      <c r="D183" s="1150"/>
      <c r="E183" s="1150"/>
      <c r="F183" s="1137" t="s">
        <v>1617</v>
      </c>
      <c r="G183" s="1137" t="s">
        <v>1618</v>
      </c>
      <c r="H183" s="1137" t="s">
        <v>1619</v>
      </c>
      <c r="I183" s="1137" t="s">
        <v>2501</v>
      </c>
      <c r="J183" s="1137" t="s">
        <v>1620</v>
      </c>
      <c r="K183" s="1137" t="s">
        <v>1621</v>
      </c>
      <c r="L183" s="1137" t="s">
        <v>1622</v>
      </c>
      <c r="M183" s="1137" t="s">
        <v>1623</v>
      </c>
    </row>
    <row r="184" spans="2:14" ht="25.5" outlineLevel="1">
      <c r="B184" s="1149"/>
      <c r="C184" s="672" t="s">
        <v>1477</v>
      </c>
      <c r="D184" s="967" t="s">
        <v>1624</v>
      </c>
      <c r="E184" s="967" t="s">
        <v>1334</v>
      </c>
      <c r="F184" s="1137"/>
      <c r="G184" s="1137"/>
      <c r="H184" s="1137"/>
      <c r="I184" s="1137"/>
      <c r="J184" s="1137"/>
      <c r="K184" s="1137"/>
      <c r="L184" s="1137"/>
      <c r="M184" s="1137"/>
    </row>
    <row r="185" spans="2:14" outlineLevel="1">
      <c r="B185" s="1149"/>
      <c r="C185" s="672">
        <v>1</v>
      </c>
      <c r="D185" s="967">
        <v>2</v>
      </c>
      <c r="E185" s="967">
        <v>3</v>
      </c>
      <c r="F185" s="967">
        <v>4</v>
      </c>
      <c r="G185" s="967">
        <v>5</v>
      </c>
      <c r="H185" s="967">
        <v>6</v>
      </c>
      <c r="I185" s="967">
        <v>7</v>
      </c>
      <c r="J185" s="967">
        <v>8</v>
      </c>
      <c r="K185" s="967">
        <v>9</v>
      </c>
      <c r="L185" s="967">
        <v>10</v>
      </c>
      <c r="M185" s="967">
        <v>11</v>
      </c>
    </row>
    <row r="186" spans="2:14" outlineLevel="1">
      <c r="B186" s="673">
        <v>1</v>
      </c>
      <c r="C186" s="603" t="s">
        <v>1486</v>
      </c>
      <c r="D186" s="602" t="s">
        <v>1631</v>
      </c>
      <c r="E186" s="602" t="s">
        <v>1470</v>
      </c>
      <c r="F186" s="854">
        <f>+SUMIFS(TSALIN!$I$6:$I$465,TSALIN!$E$6:$E$465,C186)</f>
        <v>7200000</v>
      </c>
      <c r="G186" s="674"/>
      <c r="H186" s="854">
        <f>+F186+G186</f>
        <v>7200000</v>
      </c>
      <c r="I186" s="854">
        <f>+SUMIFS(TSALIN!$J$6:$J$465,TSALIN!$E$6:$E$465,C186)</f>
        <v>792000</v>
      </c>
      <c r="J186" s="854">
        <f>+H186-I186</f>
        <v>6408000</v>
      </c>
      <c r="K186" s="854">
        <f>+J186*0.1</f>
        <v>640800</v>
      </c>
      <c r="L186" s="854">
        <f>+SUMIFS(TSALIN!$K$6:$K$465,TSALIN!$E$6:$E$465,C186)</f>
        <v>60000</v>
      </c>
      <c r="M186" s="854">
        <f>+K186-L186</f>
        <v>580800</v>
      </c>
      <c r="N186" s="237">
        <f>+K186-L186-M186</f>
        <v>0</v>
      </c>
    </row>
    <row r="187" spans="2:14" outlineLevel="1">
      <c r="B187" s="673">
        <f>+B186+1</f>
        <v>2</v>
      </c>
      <c r="C187" s="608" t="s">
        <v>1487</v>
      </c>
      <c r="D187" s="609" t="s">
        <v>1359</v>
      </c>
      <c r="E187" s="609" t="s">
        <v>1360</v>
      </c>
      <c r="F187" s="854">
        <f>+SUMIFS(TSALIN!$I$6:$I$465,TSALIN!$E$6:$E$465,C187)</f>
        <v>14400000</v>
      </c>
      <c r="G187" s="674"/>
      <c r="H187" s="854">
        <f t="shared" ref="H187:H211" si="31">+F187+G187</f>
        <v>14400000</v>
      </c>
      <c r="I187" s="854">
        <f>+SUMIFS(TSALIN!$J$6:$J$465,TSALIN!$E$6:$E$465,C187)</f>
        <v>1584000</v>
      </c>
      <c r="J187" s="854">
        <f t="shared" ref="J187:J211" si="32">+H187-I187</f>
        <v>12816000</v>
      </c>
      <c r="K187" s="854">
        <f t="shared" ref="K187:K211" si="33">+J187*0.1</f>
        <v>1281600</v>
      </c>
      <c r="L187" s="854">
        <f>+SUMIFS(TSALIN!$K$6:$K$465,TSALIN!$E$6:$E$465,C187)</f>
        <v>120000</v>
      </c>
      <c r="M187" s="854">
        <f t="shared" ref="M187:M211" si="34">+K187-L187</f>
        <v>1161600</v>
      </c>
      <c r="N187" s="237">
        <f t="shared" ref="N187:N198" si="35">+K187-L187-M187</f>
        <v>0</v>
      </c>
    </row>
    <row r="188" spans="2:14" outlineLevel="1">
      <c r="B188" s="673">
        <f t="shared" ref="B188:B211" si="36">+B187+1</f>
        <v>3</v>
      </c>
      <c r="C188" s="608" t="s">
        <v>1489</v>
      </c>
      <c r="D188" s="607" t="s">
        <v>1339</v>
      </c>
      <c r="E188" s="607" t="s">
        <v>1338</v>
      </c>
      <c r="F188" s="854">
        <f>+SUMIFS(TSALIN!$I$6:$I$465,TSALIN!$E$6:$E$465,C188)</f>
        <v>16800000</v>
      </c>
      <c r="G188" s="674"/>
      <c r="H188" s="854">
        <f t="shared" si="31"/>
        <v>16800000</v>
      </c>
      <c r="I188" s="854">
        <f>+SUMIFS(TSALIN!$J$6:$J$465,TSALIN!$E$6:$E$465,C188)</f>
        <v>1848000</v>
      </c>
      <c r="J188" s="854">
        <f t="shared" si="32"/>
        <v>14952000</v>
      </c>
      <c r="K188" s="854">
        <f t="shared" si="33"/>
        <v>1495200</v>
      </c>
      <c r="L188" s="854">
        <f>+SUMIFS(TSALIN!$K$6:$K$465,TSALIN!$E$6:$E$465,C188)</f>
        <v>120000</v>
      </c>
      <c r="M188" s="854">
        <f t="shared" si="34"/>
        <v>1375200</v>
      </c>
      <c r="N188" s="237">
        <f t="shared" si="35"/>
        <v>0</v>
      </c>
    </row>
    <row r="189" spans="2:14" outlineLevel="1">
      <c r="B189" s="673">
        <f t="shared" si="36"/>
        <v>4</v>
      </c>
      <c r="C189" s="611" t="s">
        <v>1490</v>
      </c>
      <c r="D189" s="607" t="s">
        <v>1645</v>
      </c>
      <c r="E189" s="607" t="s">
        <v>1634</v>
      </c>
      <c r="F189" s="854">
        <f>+SUMIFS(TSALIN!$I$6:$I$465,TSALIN!$E$6:$E$465,C189)</f>
        <v>4000000</v>
      </c>
      <c r="G189" s="674"/>
      <c r="H189" s="854">
        <f t="shared" si="31"/>
        <v>4000000</v>
      </c>
      <c r="I189" s="854">
        <f>+SUMIFS(TSALIN!$J$6:$J$465,TSALIN!$E$6:$E$465,C189)</f>
        <v>440000</v>
      </c>
      <c r="J189" s="854">
        <f t="shared" si="32"/>
        <v>3560000</v>
      </c>
      <c r="K189" s="854">
        <f t="shared" si="33"/>
        <v>356000</v>
      </c>
      <c r="L189" s="854">
        <f>+SUMIFS(TSALIN!$K$6:$K$465,TSALIN!$E$6:$E$465,C189)</f>
        <v>46666.666666666664</v>
      </c>
      <c r="M189" s="854">
        <f t="shared" si="34"/>
        <v>309333.33333333331</v>
      </c>
      <c r="N189" s="237">
        <f t="shared" si="35"/>
        <v>0</v>
      </c>
    </row>
    <row r="190" spans="2:14" outlineLevel="1">
      <c r="B190" s="673">
        <f t="shared" si="36"/>
        <v>5</v>
      </c>
      <c r="C190" s="608" t="s">
        <v>1491</v>
      </c>
      <c r="D190" s="607" t="s">
        <v>1646</v>
      </c>
      <c r="E190" s="607" t="s">
        <v>1635</v>
      </c>
      <c r="F190" s="854">
        <f>+SUMIFS(TSALIN!$I$6:$I$465,TSALIN!$E$6:$E$465,C190)</f>
        <v>10800000</v>
      </c>
      <c r="G190" s="674"/>
      <c r="H190" s="854">
        <f t="shared" si="31"/>
        <v>10800000</v>
      </c>
      <c r="I190" s="854">
        <f>+SUMIFS(TSALIN!$J$6:$J$465,TSALIN!$E$6:$E$465,C190)</f>
        <v>1188000</v>
      </c>
      <c r="J190" s="854">
        <f t="shared" si="32"/>
        <v>9612000</v>
      </c>
      <c r="K190" s="854">
        <f t="shared" si="33"/>
        <v>961200</v>
      </c>
      <c r="L190" s="854">
        <f>+SUMIFS(TSALIN!$K$6:$K$465,TSALIN!$E$6:$E$465,C190)</f>
        <v>140000.00000000003</v>
      </c>
      <c r="M190" s="854">
        <f t="shared" si="34"/>
        <v>821200</v>
      </c>
      <c r="N190" s="237">
        <f t="shared" si="35"/>
        <v>0</v>
      </c>
    </row>
    <row r="191" spans="2:14" outlineLevel="1">
      <c r="B191" s="673">
        <f t="shared" si="36"/>
        <v>6</v>
      </c>
      <c r="C191" s="608" t="s">
        <v>2417</v>
      </c>
      <c r="D191" s="607" t="s">
        <v>1632</v>
      </c>
      <c r="E191" s="607" t="s">
        <v>2491</v>
      </c>
      <c r="F191" s="854">
        <f>+SUMIFS(TSALIN!$I$6:$I$465,TSALIN!$E$6:$E$465,C191)</f>
        <v>6000000</v>
      </c>
      <c r="G191" s="674"/>
      <c r="H191" s="854">
        <f t="shared" si="31"/>
        <v>6000000</v>
      </c>
      <c r="I191" s="854">
        <f>+SUMIFS(TSALIN!$J$6:$J$465,TSALIN!$E$6:$E$465,C191)</f>
        <v>660000</v>
      </c>
      <c r="J191" s="854">
        <f t="shared" si="32"/>
        <v>5340000</v>
      </c>
      <c r="K191" s="854">
        <f t="shared" si="33"/>
        <v>534000</v>
      </c>
      <c r="L191" s="854">
        <f>+SUMIFS(TSALIN!$K$6:$K$465,TSALIN!$E$6:$E$465,C191)</f>
        <v>70000</v>
      </c>
      <c r="M191" s="854">
        <f t="shared" si="34"/>
        <v>464000</v>
      </c>
      <c r="N191" s="237">
        <f t="shared" si="35"/>
        <v>0</v>
      </c>
    </row>
    <row r="192" spans="2:14" outlineLevel="1">
      <c r="B192" s="673">
        <f>+B191+1</f>
        <v>7</v>
      </c>
      <c r="C192" s="611" t="s">
        <v>1859</v>
      </c>
      <c r="D192" s="607" t="s">
        <v>2483</v>
      </c>
      <c r="E192" s="607" t="s">
        <v>2492</v>
      </c>
      <c r="F192" s="854">
        <f>+SUMIFS(TSALIN!$I$6:$I$465,TSALIN!$E$6:$E$465,C192)</f>
        <v>2941197.1014492754</v>
      </c>
      <c r="G192" s="674"/>
      <c r="H192" s="854">
        <f t="shared" si="31"/>
        <v>2941197.1014492754</v>
      </c>
      <c r="I192" s="854">
        <f>+SUMIFS(TSALIN!$J$6:$J$465,TSALIN!$E$6:$E$465,C192)</f>
        <v>323531.68115942029</v>
      </c>
      <c r="J192" s="854">
        <f t="shared" si="32"/>
        <v>2617665.420289855</v>
      </c>
      <c r="K192" s="854">
        <f t="shared" si="33"/>
        <v>261766.54202898551</v>
      </c>
      <c r="L192" s="854">
        <f>+SUMIFS(TSALIN!$K$6:$K$465,TSALIN!$E$6:$E$465,C192)</f>
        <v>80000</v>
      </c>
      <c r="M192" s="854">
        <f t="shared" si="34"/>
        <v>181766.54202898551</v>
      </c>
      <c r="N192" s="237">
        <f t="shared" si="35"/>
        <v>0</v>
      </c>
    </row>
    <row r="193" spans="2:14" outlineLevel="1">
      <c r="B193" s="673">
        <f t="shared" si="36"/>
        <v>8</v>
      </c>
      <c r="C193" s="611" t="s">
        <v>2418</v>
      </c>
      <c r="D193" s="607" t="s">
        <v>2484</v>
      </c>
      <c r="E193" s="607" t="s">
        <v>2493</v>
      </c>
      <c r="F193" s="854">
        <f>+SUMIFS(TSALIN!$I$6:$I$465,TSALIN!$E$6:$E$465,C193)</f>
        <v>0</v>
      </c>
      <c r="G193" s="674"/>
      <c r="H193" s="854">
        <f t="shared" si="31"/>
        <v>0</v>
      </c>
      <c r="I193" s="854">
        <f>+SUMIFS(TSALIN!$J$6:$J$465,TSALIN!$E$6:$E$465,C193)</f>
        <v>0</v>
      </c>
      <c r="J193" s="854">
        <f t="shared" si="32"/>
        <v>0</v>
      </c>
      <c r="K193" s="854">
        <f t="shared" si="33"/>
        <v>0</v>
      </c>
      <c r="L193" s="854">
        <f>+SUMIFS(TSALIN!$K$6:$K$465,TSALIN!$E$6:$E$465,C193)</f>
        <v>0</v>
      </c>
      <c r="M193" s="854">
        <f t="shared" si="34"/>
        <v>0</v>
      </c>
      <c r="N193" s="237">
        <f t="shared" si="35"/>
        <v>0</v>
      </c>
    </row>
    <row r="194" spans="2:14" outlineLevel="1">
      <c r="B194" s="673">
        <f t="shared" si="36"/>
        <v>9</v>
      </c>
      <c r="C194" s="614" t="s">
        <v>1860</v>
      </c>
      <c r="D194" s="832" t="s">
        <v>2281</v>
      </c>
      <c r="E194" s="832" t="s">
        <v>2494</v>
      </c>
      <c r="F194" s="854">
        <f>+SUMIFS(TSALIN!$I$6:$I$465,TSALIN!$E$6:$E$465,C194)</f>
        <v>1933220.4830917874</v>
      </c>
      <c r="G194" s="674"/>
      <c r="H194" s="854">
        <f t="shared" si="31"/>
        <v>1933220.4830917874</v>
      </c>
      <c r="I194" s="854">
        <f>+SUMIFS(TSALIN!$J$6:$J$465,TSALIN!$E$6:$E$465,C194)</f>
        <v>212654.25314009661</v>
      </c>
      <c r="J194" s="854">
        <f t="shared" si="32"/>
        <v>1720566.2299516909</v>
      </c>
      <c r="K194" s="854">
        <f t="shared" si="33"/>
        <v>172056.62299516911</v>
      </c>
      <c r="L194" s="854">
        <f>+SUMIFS(TSALIN!$K$6:$K$465,TSALIN!$E$6:$E$465,C194)</f>
        <v>80000</v>
      </c>
      <c r="M194" s="854">
        <f t="shared" si="34"/>
        <v>92056.622995169106</v>
      </c>
      <c r="N194" s="237">
        <f t="shared" si="35"/>
        <v>0</v>
      </c>
    </row>
    <row r="195" spans="2:14" outlineLevel="1">
      <c r="B195" s="673">
        <f t="shared" si="36"/>
        <v>10</v>
      </c>
      <c r="C195" s="611" t="s">
        <v>1492</v>
      </c>
      <c r="D195" s="616" t="s">
        <v>1647</v>
      </c>
      <c r="E195" s="616" t="s">
        <v>1636</v>
      </c>
      <c r="F195" s="854">
        <f>+SUMIFS(TSALIN!$I$6:$I$465,TSALIN!$E$6:$E$465,C195)</f>
        <v>5174725.1689051688</v>
      </c>
      <c r="G195" s="674"/>
      <c r="H195" s="854">
        <f t="shared" si="31"/>
        <v>5174725.1689051688</v>
      </c>
      <c r="I195" s="854">
        <f>+SUMIFS(TSALIN!$J$6:$J$465,TSALIN!$E$6:$E$465,C195)</f>
        <v>455375.81486365484</v>
      </c>
      <c r="J195" s="854">
        <f t="shared" si="32"/>
        <v>4719349.354041514</v>
      </c>
      <c r="K195" s="854">
        <f t="shared" si="33"/>
        <v>471934.93540415145</v>
      </c>
      <c r="L195" s="854">
        <f>+SUMIFS(TSALIN!$K$6:$K$465,TSALIN!$E$6:$E$465,C195)</f>
        <v>154999.99999999997</v>
      </c>
      <c r="M195" s="854">
        <f t="shared" si="34"/>
        <v>316934.93540415145</v>
      </c>
      <c r="N195" s="237">
        <f t="shared" si="35"/>
        <v>0</v>
      </c>
    </row>
    <row r="196" spans="2:14" outlineLevel="1">
      <c r="B196" s="673">
        <f t="shared" si="36"/>
        <v>11</v>
      </c>
      <c r="C196" s="611" t="s">
        <v>1493</v>
      </c>
      <c r="D196" s="616" t="s">
        <v>2486</v>
      </c>
      <c r="E196" s="616" t="s">
        <v>2495</v>
      </c>
      <c r="F196" s="854">
        <f>+SUMIFS(TSALIN!$I$6:$I$465,TSALIN!$E$6:$E$465,C196)</f>
        <v>2138615.4865424428</v>
      </c>
      <c r="G196" s="674"/>
      <c r="H196" s="854">
        <f t="shared" si="31"/>
        <v>2138615.4865424428</v>
      </c>
      <c r="I196" s="854">
        <f>+SUMIFS(TSALIN!$J$6:$J$465,TSALIN!$E$6:$E$465,C196)</f>
        <v>235247.70351966872</v>
      </c>
      <c r="J196" s="854">
        <f t="shared" si="32"/>
        <v>1903367.7830227742</v>
      </c>
      <c r="K196" s="854">
        <f t="shared" si="33"/>
        <v>190336.77830227744</v>
      </c>
      <c r="L196" s="854">
        <f>+SUMIFS(TSALIN!$K$6:$K$465,TSALIN!$E$6:$E$465,C196)</f>
        <v>80000</v>
      </c>
      <c r="M196" s="854">
        <f t="shared" si="34"/>
        <v>110336.77830227744</v>
      </c>
      <c r="N196" s="237">
        <f t="shared" si="35"/>
        <v>0</v>
      </c>
    </row>
    <row r="197" spans="2:14" outlineLevel="1">
      <c r="B197" s="673">
        <f t="shared" si="36"/>
        <v>12</v>
      </c>
      <c r="C197" s="622" t="s">
        <v>1494</v>
      </c>
      <c r="D197" s="602" t="s">
        <v>1648</v>
      </c>
      <c r="E197" s="602" t="s">
        <v>2496</v>
      </c>
      <c r="F197" s="854">
        <f>+SUMIFS(TSALIN!$I$6:$I$465,TSALIN!$E$6:$E$465,C197)</f>
        <v>6072623.7494027708</v>
      </c>
      <c r="G197" s="674"/>
      <c r="H197" s="854">
        <f t="shared" si="31"/>
        <v>6072623.7494027708</v>
      </c>
      <c r="I197" s="854">
        <f>+SUMIFS(TSALIN!$J$6:$J$465,TSALIN!$E$6:$E$465,C197)</f>
        <v>667988.6124343049</v>
      </c>
      <c r="J197" s="854">
        <f t="shared" si="32"/>
        <v>5404635.1369684655</v>
      </c>
      <c r="K197" s="854">
        <f t="shared" si="33"/>
        <v>540463.51369684655</v>
      </c>
      <c r="L197" s="854">
        <f>+SUMIFS(TSALIN!$K$6:$K$465,TSALIN!$E$6:$E$465,C197)</f>
        <v>153333.33333333331</v>
      </c>
      <c r="M197" s="854">
        <f t="shared" si="34"/>
        <v>387130.18036351324</v>
      </c>
      <c r="N197" s="237">
        <f t="shared" si="35"/>
        <v>0</v>
      </c>
    </row>
    <row r="198" spans="2:14" outlineLevel="1">
      <c r="B198" s="673">
        <f t="shared" si="36"/>
        <v>13</v>
      </c>
      <c r="C198" s="964" t="s">
        <v>1861</v>
      </c>
      <c r="D198" s="602" t="s">
        <v>2487</v>
      </c>
      <c r="E198" s="602" t="s">
        <v>2286</v>
      </c>
      <c r="F198" s="854">
        <f>+SUMIFS(TSALIN!$I$6:$I$465,TSALIN!$E$6:$E$465,C198)</f>
        <v>2405154.7826086953</v>
      </c>
      <c r="G198" s="674"/>
      <c r="H198" s="854">
        <f t="shared" si="31"/>
        <v>2405154.7826086953</v>
      </c>
      <c r="I198" s="854">
        <f>+SUMIFS(TSALIN!$J$6:$J$465,TSALIN!$E$6:$E$465,C198)</f>
        <v>264567.0260869565</v>
      </c>
      <c r="J198" s="854">
        <f t="shared" si="32"/>
        <v>2140587.7565217391</v>
      </c>
      <c r="K198" s="854">
        <f t="shared" si="33"/>
        <v>214058.77565217391</v>
      </c>
      <c r="L198" s="854">
        <f>+SUMIFS(TSALIN!$K$6:$K$465,TSALIN!$E$6:$E$465,C198)</f>
        <v>80000</v>
      </c>
      <c r="M198" s="854">
        <f t="shared" si="34"/>
        <v>134058.77565217391</v>
      </c>
      <c r="N198" s="237">
        <f t="shared" si="35"/>
        <v>0</v>
      </c>
    </row>
    <row r="199" spans="2:14" outlineLevel="1">
      <c r="B199" s="673">
        <f t="shared" si="36"/>
        <v>14</v>
      </c>
      <c r="C199" s="617" t="s">
        <v>1495</v>
      </c>
      <c r="D199" s="602" t="s">
        <v>1649</v>
      </c>
      <c r="E199" s="602" t="s">
        <v>2497</v>
      </c>
      <c r="F199" s="854">
        <f>+SUMIFS(TSALIN!$I$6:$I$465,TSALIN!$E$6:$E$465,C199)</f>
        <v>4567781.1503954986</v>
      </c>
      <c r="G199" s="674"/>
      <c r="H199" s="854">
        <f t="shared" si="31"/>
        <v>4567781.1503954986</v>
      </c>
      <c r="I199" s="854">
        <f>+SUMIFS(TSALIN!$J$6:$J$465,TSALIN!$E$6:$E$465,C199)</f>
        <v>502455.92654350481</v>
      </c>
      <c r="J199" s="854">
        <f t="shared" si="32"/>
        <v>4065325.2238519937</v>
      </c>
      <c r="K199" s="854">
        <f t="shared" si="33"/>
        <v>406532.52238519938</v>
      </c>
      <c r="L199" s="854">
        <f>+SUMIFS(TSALIN!$K$6:$K$465,TSALIN!$E$6:$E$465,C199)</f>
        <v>149831.11111111109</v>
      </c>
      <c r="M199" s="854">
        <f t="shared" si="34"/>
        <v>256701.41127408828</v>
      </c>
      <c r="N199" s="237">
        <f>+K199-L199-M199</f>
        <v>0</v>
      </c>
    </row>
    <row r="200" spans="2:14" outlineLevel="1">
      <c r="B200" s="675">
        <f t="shared" si="36"/>
        <v>15</v>
      </c>
      <c r="C200" s="611" t="s">
        <v>1496</v>
      </c>
      <c r="D200" s="616" t="s">
        <v>1650</v>
      </c>
      <c r="E200" s="616" t="s">
        <v>2498</v>
      </c>
      <c r="F200" s="854">
        <f>+SUMIFS(TSALIN!$I$6:$I$465,TSALIN!$E$6:$E$465,C200)</f>
        <v>7823045.6774787223</v>
      </c>
      <c r="G200" s="674"/>
      <c r="H200" s="854">
        <f t="shared" si="31"/>
        <v>7823045.6774787223</v>
      </c>
      <c r="I200" s="854">
        <f>+SUMIFS(TSALIN!$J$6:$J$465,TSALIN!$E$6:$E$465,C200)</f>
        <v>860535.02452265937</v>
      </c>
      <c r="J200" s="854">
        <f t="shared" si="32"/>
        <v>6962510.6529560629</v>
      </c>
      <c r="K200" s="854">
        <f t="shared" si="33"/>
        <v>696251.06529560639</v>
      </c>
      <c r="L200" s="854">
        <f>+SUMIFS(TSALIN!$K$6:$K$465,TSALIN!$E$6:$E$465,C200)</f>
        <v>123447.61904761905</v>
      </c>
      <c r="M200" s="854">
        <f t="shared" si="34"/>
        <v>572803.44624798733</v>
      </c>
      <c r="N200" s="237">
        <f t="shared" ref="N200:N205" si="37">+K200-L200-M200</f>
        <v>0</v>
      </c>
    </row>
    <row r="201" spans="2:14" outlineLevel="1">
      <c r="B201" s="673">
        <f t="shared" si="36"/>
        <v>16</v>
      </c>
      <c r="C201" s="620" t="s">
        <v>1497</v>
      </c>
      <c r="D201" s="602" t="s">
        <v>1651</v>
      </c>
      <c r="E201" s="602" t="s">
        <v>1637</v>
      </c>
      <c r="F201" s="854">
        <f>+SUMIFS(TSALIN!$I$6:$I$465,TSALIN!$E$6:$E$465,C201)</f>
        <v>2968225.9090088657</v>
      </c>
      <c r="G201" s="674"/>
      <c r="H201" s="854">
        <f t="shared" si="31"/>
        <v>2968225.9090088657</v>
      </c>
      <c r="I201" s="854">
        <f>+SUMIFS(TSALIN!$J$6:$J$465,TSALIN!$E$6:$E$465,C201)</f>
        <v>326504.84999097523</v>
      </c>
      <c r="J201" s="854">
        <f t="shared" si="32"/>
        <v>2641721.0590178906</v>
      </c>
      <c r="K201" s="854">
        <f t="shared" si="33"/>
        <v>264172.10590178909</v>
      </c>
      <c r="L201" s="854">
        <f>+SUMIFS(TSALIN!$K$6:$K$465,TSALIN!$E$6:$E$465,C201)</f>
        <v>116268.49523809523</v>
      </c>
      <c r="M201" s="854">
        <f t="shared" si="34"/>
        <v>147903.61066369386</v>
      </c>
      <c r="N201" s="237">
        <f t="shared" si="37"/>
        <v>0</v>
      </c>
    </row>
    <row r="202" spans="2:14" outlineLevel="1">
      <c r="B202" s="673">
        <f t="shared" si="36"/>
        <v>17</v>
      </c>
      <c r="C202" s="619" t="s">
        <v>1498</v>
      </c>
      <c r="D202" s="618" t="s">
        <v>1652</v>
      </c>
      <c r="E202" s="618" t="s">
        <v>1638</v>
      </c>
      <c r="F202" s="854">
        <f>+SUMIFS(TSALIN!$I$6:$I$465,TSALIN!$E$6:$E$465,C202)</f>
        <v>6625571.8956043953</v>
      </c>
      <c r="G202" s="674"/>
      <c r="H202" s="854">
        <f t="shared" si="31"/>
        <v>6625571.8956043953</v>
      </c>
      <c r="I202" s="854">
        <f>+SUMIFS(TSALIN!$J$6:$J$465,TSALIN!$E$6:$E$465,C202)</f>
        <v>728812.9085164835</v>
      </c>
      <c r="J202" s="854">
        <f t="shared" si="32"/>
        <v>5896758.9870879119</v>
      </c>
      <c r="K202" s="854">
        <f t="shared" si="33"/>
        <v>589675.89870879124</v>
      </c>
      <c r="L202" s="854">
        <f>+SUMIFS(TSALIN!$K$6:$K$465,TSALIN!$E$6:$E$465,C202)</f>
        <v>151666.66666666666</v>
      </c>
      <c r="M202" s="854">
        <f t="shared" si="34"/>
        <v>438009.23204212461</v>
      </c>
      <c r="N202" s="237">
        <f t="shared" si="37"/>
        <v>0</v>
      </c>
    </row>
    <row r="203" spans="2:14" outlineLevel="1">
      <c r="B203" s="673">
        <f t="shared" si="36"/>
        <v>18</v>
      </c>
      <c r="C203" s="964" t="s">
        <v>1499</v>
      </c>
      <c r="D203" s="616" t="s">
        <v>1653</v>
      </c>
      <c r="E203" s="616" t="s">
        <v>1474</v>
      </c>
      <c r="F203" s="854">
        <f>+SUMIFS(TSALIN!$I$6:$I$465,TSALIN!$E$6:$E$465,C203)</f>
        <v>7049598.198757764</v>
      </c>
      <c r="G203" s="674"/>
      <c r="H203" s="854">
        <f t="shared" si="31"/>
        <v>7049598.198757764</v>
      </c>
      <c r="I203" s="854">
        <f>+SUMIFS(TSALIN!$J$6:$J$465,TSALIN!$E$6:$E$465,C203)</f>
        <v>775455.80186335405</v>
      </c>
      <c r="J203" s="854">
        <f t="shared" si="32"/>
        <v>6274142.3968944103</v>
      </c>
      <c r="K203" s="854">
        <f t="shared" si="33"/>
        <v>627414.23968944105</v>
      </c>
      <c r="L203" s="854">
        <f>+SUMIFS(TSALIN!$K$6:$K$465,TSALIN!$E$6:$E$465,C203)</f>
        <v>146666.66666666669</v>
      </c>
      <c r="M203" s="854">
        <f t="shared" si="34"/>
        <v>480747.57302277436</v>
      </c>
      <c r="N203" s="237">
        <f t="shared" si="37"/>
        <v>0</v>
      </c>
    </row>
    <row r="204" spans="2:14" outlineLevel="1">
      <c r="B204" s="673">
        <f t="shared" si="36"/>
        <v>19</v>
      </c>
      <c r="C204" s="619" t="s">
        <v>1500</v>
      </c>
      <c r="D204" s="618" t="s">
        <v>1654</v>
      </c>
      <c r="E204" s="618" t="s">
        <v>1639</v>
      </c>
      <c r="F204" s="854">
        <f>+SUMIFS(TSALIN!$I$6:$I$465,TSALIN!$E$6:$E$465,C204)</f>
        <v>4548076.3403939055</v>
      </c>
      <c r="G204" s="674"/>
      <c r="H204" s="854">
        <f t="shared" si="31"/>
        <v>4548076.3403939055</v>
      </c>
      <c r="I204" s="854">
        <f>+SUMIFS(TSALIN!$J$6:$J$465,TSALIN!$E$6:$E$465,C204)</f>
        <v>500288.39744332962</v>
      </c>
      <c r="J204" s="854">
        <f t="shared" si="32"/>
        <v>4047787.9429505761</v>
      </c>
      <c r="K204" s="854">
        <f t="shared" si="33"/>
        <v>404778.79429505765</v>
      </c>
      <c r="L204" s="854">
        <f>+SUMIFS(TSALIN!$K$6:$K$465,TSALIN!$E$6:$E$465,C204)</f>
        <v>133333.33333333331</v>
      </c>
      <c r="M204" s="854">
        <f t="shared" si="34"/>
        <v>271445.46096172434</v>
      </c>
      <c r="N204" s="237">
        <f t="shared" si="37"/>
        <v>0</v>
      </c>
    </row>
    <row r="205" spans="2:14" outlineLevel="1">
      <c r="B205" s="673">
        <f t="shared" si="36"/>
        <v>20</v>
      </c>
      <c r="C205" s="608" t="s">
        <v>2588</v>
      </c>
      <c r="D205" s="616" t="s">
        <v>2591</v>
      </c>
      <c r="E205" s="618" t="s">
        <v>2592</v>
      </c>
      <c r="F205" s="854">
        <f>+SUMIFS(TSALIN!$I$6:$I$465,TSALIN!$E$6:$E$465,C205)</f>
        <v>896153.33333333326</v>
      </c>
      <c r="G205" s="674"/>
      <c r="H205" s="854">
        <f t="shared" si="31"/>
        <v>896153.33333333326</v>
      </c>
      <c r="I205" s="854">
        <f>+SUMIFS(TSALIN!$J$6:$J$465,TSALIN!$E$6:$E$465,C205)</f>
        <v>98576.866666666669</v>
      </c>
      <c r="J205" s="854">
        <f t="shared" si="32"/>
        <v>797576.46666666656</v>
      </c>
      <c r="K205" s="854">
        <f t="shared" si="33"/>
        <v>79757.646666666667</v>
      </c>
      <c r="L205" s="854">
        <f>+SUMIFS(TSALIN!$K$6:$K$465,TSALIN!$E$6:$E$465,C205)</f>
        <v>26666.666666666668</v>
      </c>
      <c r="M205" s="854">
        <f t="shared" si="34"/>
        <v>53090.979999999996</v>
      </c>
      <c r="N205" s="237">
        <f t="shared" si="37"/>
        <v>0</v>
      </c>
    </row>
    <row r="206" spans="2:14" outlineLevel="1">
      <c r="B206" s="673">
        <f t="shared" si="36"/>
        <v>21</v>
      </c>
      <c r="C206" s="375" t="s">
        <v>1501</v>
      </c>
      <c r="D206" s="616" t="s">
        <v>1644</v>
      </c>
      <c r="E206" s="616" t="s">
        <v>1640</v>
      </c>
      <c r="F206" s="854">
        <f>+SUMIFS(TSALIN!$I$6:$I$465,TSALIN!$E$6:$E$465,C206)</f>
        <v>5866858.4189361371</v>
      </c>
      <c r="G206" s="674"/>
      <c r="H206" s="854">
        <f t="shared" si="31"/>
        <v>5866858.4189361371</v>
      </c>
      <c r="I206" s="854">
        <f>+SUMIFS(TSALIN!$J$6:$J$465,TSALIN!$E$6:$E$465,C206)</f>
        <v>645354.426082975</v>
      </c>
      <c r="J206" s="854">
        <f t="shared" si="32"/>
        <v>5221503.9928531619</v>
      </c>
      <c r="K206" s="854">
        <f>+J206*0.1</f>
        <v>522150.39928531623</v>
      </c>
      <c r="L206" s="854">
        <f>+SUMIFS(TSALIN!$K$6:$K$465,TSALIN!$E$6:$E$465,C206)</f>
        <v>153333.33333333331</v>
      </c>
      <c r="M206" s="854">
        <f t="shared" si="34"/>
        <v>368817.06595198292</v>
      </c>
      <c r="N206" s="237">
        <f>+K206-L206-M206</f>
        <v>0</v>
      </c>
    </row>
    <row r="207" spans="2:14" outlineLevel="1">
      <c r="B207" s="673">
        <f t="shared" si="36"/>
        <v>22</v>
      </c>
      <c r="C207" s="375" t="s">
        <v>1502</v>
      </c>
      <c r="D207" s="616" t="s">
        <v>1643</v>
      </c>
      <c r="E207" s="616" t="s">
        <v>1641</v>
      </c>
      <c r="F207" s="854">
        <f>+SUMIFS(TSALIN!$I$6:$I$465,TSALIN!$E$6:$E$465,C207)</f>
        <v>5696300.9101236928</v>
      </c>
      <c r="G207" s="674"/>
      <c r="H207" s="854">
        <f t="shared" si="31"/>
        <v>5696300.9101236928</v>
      </c>
      <c r="I207" s="854">
        <f>+SUMIFS(TSALIN!$J$6:$J$465,TSALIN!$E$6:$E$465,C207)</f>
        <v>626593.1001136062</v>
      </c>
      <c r="J207" s="854">
        <f t="shared" si="32"/>
        <v>5069707.8100100867</v>
      </c>
      <c r="K207" s="854">
        <f t="shared" si="33"/>
        <v>506970.7810010087</v>
      </c>
      <c r="L207" s="854">
        <f>+SUMIFS(TSALIN!$K$6:$K$465,TSALIN!$E$6:$E$465,C207)</f>
        <v>158333.33333333334</v>
      </c>
      <c r="M207" s="854">
        <f t="shared" si="34"/>
        <v>348637.44766767533</v>
      </c>
      <c r="N207" s="237">
        <f t="shared" ref="N207:N212" si="38">+K207-L207-M207</f>
        <v>0</v>
      </c>
    </row>
    <row r="208" spans="2:14" outlineLevel="1">
      <c r="B208" s="673">
        <f t="shared" si="36"/>
        <v>23</v>
      </c>
      <c r="C208" s="375" t="s">
        <v>2590</v>
      </c>
      <c r="D208" s="237" t="s">
        <v>2593</v>
      </c>
      <c r="E208" s="237" t="s">
        <v>2594</v>
      </c>
      <c r="F208" s="854">
        <f>+SUMIFS(TSALIN!$I$6:$I$465,TSALIN!$E$6:$E$465,C208)</f>
        <v>895360</v>
      </c>
      <c r="H208" s="854">
        <f t="shared" si="31"/>
        <v>895360</v>
      </c>
      <c r="I208" s="854">
        <f>+SUMIFS(TSALIN!$J$6:$J$465,TSALIN!$E$6:$E$465,C208)</f>
        <v>98489.600000000006</v>
      </c>
      <c r="J208" s="854">
        <f t="shared" si="32"/>
        <v>796870.4</v>
      </c>
      <c r="K208" s="854">
        <f t="shared" si="33"/>
        <v>79687.040000000008</v>
      </c>
      <c r="L208" s="854">
        <f>+SUMIFS(TSALIN!$K$6:$K$465,TSALIN!$E$6:$E$465,C208)</f>
        <v>26666.666666666668</v>
      </c>
      <c r="M208" s="854">
        <f t="shared" si="34"/>
        <v>53020.373333333337</v>
      </c>
      <c r="N208" s="237">
        <f t="shared" si="38"/>
        <v>0</v>
      </c>
    </row>
    <row r="209" spans="1:14" outlineLevel="1">
      <c r="B209" s="673">
        <f t="shared" si="36"/>
        <v>24</v>
      </c>
      <c r="C209" s="375" t="s">
        <v>1521</v>
      </c>
      <c r="D209" s="616" t="s">
        <v>2488</v>
      </c>
      <c r="E209" s="616" t="s">
        <v>2499</v>
      </c>
      <c r="F209" s="854">
        <f>+SUMIFS(TSALIN!$I$6:$I$465,TSALIN!$E$6:$E$465,C209)</f>
        <v>4307638.5363911446</v>
      </c>
      <c r="G209" s="674"/>
      <c r="H209" s="854">
        <f t="shared" si="31"/>
        <v>4307638.5363911446</v>
      </c>
      <c r="I209" s="854">
        <f>+SUMIFS(TSALIN!$J$6:$J$465,TSALIN!$E$6:$E$465,C209)</f>
        <v>473840.23900302593</v>
      </c>
      <c r="J209" s="854">
        <f t="shared" si="32"/>
        <v>3833798.2973881187</v>
      </c>
      <c r="K209" s="854">
        <f t="shared" si="33"/>
        <v>383379.82973881188</v>
      </c>
      <c r="L209" s="854">
        <f>+SUMIFS(TSALIN!$K$6:$K$465,TSALIN!$E$6:$E$465,C209)</f>
        <v>131666.66666666666</v>
      </c>
      <c r="M209" s="854">
        <f t="shared" si="34"/>
        <v>251713.16307214522</v>
      </c>
      <c r="N209" s="237">
        <f t="shared" si="38"/>
        <v>0</v>
      </c>
    </row>
    <row r="210" spans="1:14" outlineLevel="1">
      <c r="B210" s="673">
        <f t="shared" si="36"/>
        <v>25</v>
      </c>
      <c r="C210" s="611" t="s">
        <v>1503</v>
      </c>
      <c r="D210" s="616" t="s">
        <v>1642</v>
      </c>
      <c r="E210" s="616" t="s">
        <v>2500</v>
      </c>
      <c r="F210" s="854">
        <f>+SUMIFS(TSALIN!$I$6:$I$465,TSALIN!$E$6:$E$465,C210)</f>
        <v>2622585.0931677017</v>
      </c>
      <c r="G210" s="674"/>
      <c r="H210" s="854">
        <f t="shared" si="31"/>
        <v>2622585.0931677017</v>
      </c>
      <c r="I210" s="854">
        <f>+SUMIFS(TSALIN!$J$6:$J$465,TSALIN!$E$6:$E$465,C210)</f>
        <v>288484.36024844722</v>
      </c>
      <c r="J210" s="854">
        <f t="shared" si="32"/>
        <v>2334100.7329192543</v>
      </c>
      <c r="K210" s="854">
        <f t="shared" si="33"/>
        <v>233410.07329192545</v>
      </c>
      <c r="L210" s="854">
        <f>+SUMIFS(TSALIN!$K$6:$K$465,TSALIN!$E$6:$E$465,C210)</f>
        <v>93333.333333333328</v>
      </c>
      <c r="M210" s="854">
        <f t="shared" si="34"/>
        <v>140076.73995859211</v>
      </c>
      <c r="N210" s="237">
        <f t="shared" si="38"/>
        <v>0</v>
      </c>
    </row>
    <row r="211" spans="1:14" outlineLevel="1">
      <c r="B211" s="673">
        <f t="shared" si="36"/>
        <v>26</v>
      </c>
      <c r="C211" s="611" t="s">
        <v>1851</v>
      </c>
      <c r="D211" s="616" t="s">
        <v>2489</v>
      </c>
      <c r="E211" s="616" t="s">
        <v>2490</v>
      </c>
      <c r="F211" s="854">
        <f>+SUMIFS(TSALIN!$I$6:$I$465,TSALIN!$E$6:$E$465,C211)</f>
        <v>1637272.463768116</v>
      </c>
      <c r="G211" s="674"/>
      <c r="H211" s="854">
        <f t="shared" si="31"/>
        <v>1637272.463768116</v>
      </c>
      <c r="I211" s="854">
        <f>+SUMIFS(TSALIN!$J$6:$J$465,TSALIN!$E$6:$E$465,C211)</f>
        <v>180099.97101449277</v>
      </c>
      <c r="J211" s="854">
        <f t="shared" si="32"/>
        <v>1457172.4927536233</v>
      </c>
      <c r="K211" s="854">
        <f t="shared" si="33"/>
        <v>145717.24927536232</v>
      </c>
      <c r="L211" s="854">
        <f>+SUMIFS(TSALIN!$K$6:$K$465,TSALIN!$E$6:$E$465,C211)</f>
        <v>77346.666666666672</v>
      </c>
      <c r="M211" s="854">
        <f t="shared" si="34"/>
        <v>68370.582608695651</v>
      </c>
      <c r="N211" s="237">
        <f t="shared" si="38"/>
        <v>0</v>
      </c>
    </row>
    <row r="212" spans="1:14" outlineLevel="1">
      <c r="B212" s="852"/>
      <c r="C212" s="853"/>
      <c r="D212" s="1138" t="s">
        <v>21</v>
      </c>
      <c r="E212" s="1138"/>
      <c r="F212" s="966">
        <f>SUM(F186:F211)</f>
        <v>135370004.69935939</v>
      </c>
      <c r="G212" s="966">
        <f t="shared" ref="G212:M212" si="39">SUM(G186:G211)</f>
        <v>0</v>
      </c>
      <c r="H212" s="966">
        <f t="shared" si="39"/>
        <v>135370004.69935939</v>
      </c>
      <c r="I212" s="966">
        <f t="shared" si="39"/>
        <v>14776856.56321362</v>
      </c>
      <c r="J212" s="966">
        <f t="shared" si="39"/>
        <v>120593148.13614582</v>
      </c>
      <c r="K212" s="966">
        <f>SUM(K186:K211)</f>
        <v>12059314.813614581</v>
      </c>
      <c r="L212" s="966">
        <f>SUM(L186:L211)</f>
        <v>2673560.5587301585</v>
      </c>
      <c r="M212" s="966">
        <f t="shared" si="39"/>
        <v>9385754.2548844218</v>
      </c>
      <c r="N212" s="512">
        <f t="shared" si="38"/>
        <v>0</v>
      </c>
    </row>
    <row r="213" spans="1:14" outlineLevel="1">
      <c r="F213" s="15">
        <f>+TSALIN!I471</f>
        <v>135370004.69935945</v>
      </c>
      <c r="G213" s="15"/>
      <c r="H213" s="15">
        <f>+TSALIN!I471</f>
        <v>135370004.69935945</v>
      </c>
      <c r="I213" s="15">
        <f>+TSALIN!J471</f>
        <v>14776856.563213622</v>
      </c>
      <c r="J213" s="15">
        <f>+TSALIN!I471-TSALIN!J471</f>
        <v>120593148.13614583</v>
      </c>
      <c r="K213" s="15">
        <f>+TSALIN!L471+TSALIN!K471</f>
        <v>12059314.813614579</v>
      </c>
      <c r="L213" s="15">
        <f>+TSALIN!K471</f>
        <v>2673560.5587301594</v>
      </c>
      <c r="M213" s="15">
        <f>+TSALIN!L471</f>
        <v>9385754.25488442</v>
      </c>
      <c r="N213" s="237">
        <f>+K213-L213-M213</f>
        <v>0</v>
      </c>
    </row>
    <row r="214" spans="1:14" outlineLevel="1">
      <c r="C214" s="332" t="s">
        <v>1625</v>
      </c>
      <c r="F214" s="237">
        <f>+F213-F212</f>
        <v>0</v>
      </c>
      <c r="G214" s="237">
        <f>+G213-G212</f>
        <v>0</v>
      </c>
      <c r="H214" s="237">
        <f>+H213-H212</f>
        <v>0</v>
      </c>
      <c r="I214" s="237">
        <f>+I213-I212</f>
        <v>0</v>
      </c>
      <c r="J214" s="237">
        <f>+J213-J212</f>
        <v>0</v>
      </c>
      <c r="K214" s="237">
        <f>+K212-K213</f>
        <v>0</v>
      </c>
      <c r="L214" s="237">
        <f>+L213-L212</f>
        <v>0</v>
      </c>
      <c r="M214" s="237">
        <f>+M213-M212</f>
        <v>0</v>
      </c>
    </row>
    <row r="215" spans="1:14" outlineLevel="1">
      <c r="C215" s="676"/>
    </row>
    <row r="216" spans="1:14" outlineLevel="1">
      <c r="C216" s="332" t="s">
        <v>1626</v>
      </c>
      <c r="H216" s="237" t="s">
        <v>1627</v>
      </c>
    </row>
    <row r="217" spans="1:14" outlineLevel="1"/>
    <row r="218" spans="1:14" outlineLevel="1">
      <c r="C218" s="332" t="s">
        <v>1628</v>
      </c>
      <c r="D218" s="40"/>
      <c r="H218" s="237" t="s">
        <v>1629</v>
      </c>
    </row>
    <row r="219" spans="1:14" outlineLevel="1">
      <c r="C219" s="676"/>
    </row>
    <row r="220" spans="1:14" outlineLevel="1">
      <c r="B220" s="1139" t="s">
        <v>1630</v>
      </c>
      <c r="C220" s="1139"/>
      <c r="D220" s="1139"/>
      <c r="E220" s="1139"/>
      <c r="F220" s="1139"/>
      <c r="G220" s="1139"/>
      <c r="H220" s="1139"/>
      <c r="I220" s="1139"/>
      <c r="J220" s="1139"/>
      <c r="K220" s="1139"/>
      <c r="L220" s="1139"/>
      <c r="M220" s="1139"/>
    </row>
    <row r="221" spans="1:14" outlineLevel="1"/>
    <row r="222" spans="1:14">
      <c r="A222" s="512" t="s">
        <v>2840</v>
      </c>
    </row>
  </sheetData>
  <mergeCells count="80">
    <mergeCell ref="M128:M129"/>
    <mergeCell ref="D157:E157"/>
    <mergeCell ref="B165:M165"/>
    <mergeCell ref="I123:L123"/>
    <mergeCell ref="I124:L124"/>
    <mergeCell ref="I125:L125"/>
    <mergeCell ref="B128:B130"/>
    <mergeCell ref="C128:E128"/>
    <mergeCell ref="F128:F129"/>
    <mergeCell ref="G128:G129"/>
    <mergeCell ref="H128:H129"/>
    <mergeCell ref="I128:I129"/>
    <mergeCell ref="J128:J129"/>
    <mergeCell ref="K128:K129"/>
    <mergeCell ref="L128:L129"/>
    <mergeCell ref="B117:M117"/>
    <mergeCell ref="B118:M118"/>
    <mergeCell ref="I120:L120"/>
    <mergeCell ref="I121:L121"/>
    <mergeCell ref="I122:L122"/>
    <mergeCell ref="M72:M73"/>
    <mergeCell ref="D101:E101"/>
    <mergeCell ref="B109:M109"/>
    <mergeCell ref="I67:L67"/>
    <mergeCell ref="I68:L68"/>
    <mergeCell ref="I69:L69"/>
    <mergeCell ref="B72:B74"/>
    <mergeCell ref="C72:E72"/>
    <mergeCell ref="F72:F73"/>
    <mergeCell ref="G72:G73"/>
    <mergeCell ref="H72:H73"/>
    <mergeCell ref="I72:I73"/>
    <mergeCell ref="J72:J73"/>
    <mergeCell ref="K72:K73"/>
    <mergeCell ref="L72:L73"/>
    <mergeCell ref="B61:M61"/>
    <mergeCell ref="B62:M62"/>
    <mergeCell ref="I64:L64"/>
    <mergeCell ref="I65:L65"/>
    <mergeCell ref="I66:L66"/>
    <mergeCell ref="L17:L18"/>
    <mergeCell ref="M17:M18"/>
    <mergeCell ref="D46:E46"/>
    <mergeCell ref="B54:M54"/>
    <mergeCell ref="I13:L13"/>
    <mergeCell ref="I14:L14"/>
    <mergeCell ref="B17:B19"/>
    <mergeCell ref="C17:E17"/>
    <mergeCell ref="F17:F18"/>
    <mergeCell ref="G17:G18"/>
    <mergeCell ref="H17:H18"/>
    <mergeCell ref="I17:I18"/>
    <mergeCell ref="J17:J18"/>
    <mergeCell ref="K17:K18"/>
    <mergeCell ref="I12:L12"/>
    <mergeCell ref="B6:M6"/>
    <mergeCell ref="B7:M7"/>
    <mergeCell ref="I9:L9"/>
    <mergeCell ref="I10:L10"/>
    <mergeCell ref="I11:L11"/>
    <mergeCell ref="B172:M172"/>
    <mergeCell ref="B173:M173"/>
    <mergeCell ref="I175:L175"/>
    <mergeCell ref="I176:L176"/>
    <mergeCell ref="I177:L177"/>
    <mergeCell ref="M183:M184"/>
    <mergeCell ref="D212:E212"/>
    <mergeCell ref="B220:M220"/>
    <mergeCell ref="I178:L178"/>
    <mergeCell ref="I179:L179"/>
    <mergeCell ref="I180:L180"/>
    <mergeCell ref="B183:B185"/>
    <mergeCell ref="C183:E183"/>
    <mergeCell ref="F183:F184"/>
    <mergeCell ref="G183:G184"/>
    <mergeCell ref="H183:H184"/>
    <mergeCell ref="I183:I184"/>
    <mergeCell ref="J183:J184"/>
    <mergeCell ref="K183:K184"/>
    <mergeCell ref="L183:L184"/>
  </mergeCells>
  <pageMargins left="0.18" right="0.19" top="0.6" bottom="0.28000000000000003" header="0.3" footer="0.3"/>
  <pageSetup scale="75" fitToHeight="0" orientation="landscape" horizontalDpi="0" verticalDpi="0" r:id="rId1"/>
  <drawing r:id="rId2"/>
</worksheet>
</file>

<file path=xl/worksheets/sheet26.xml><?xml version="1.0" encoding="utf-8"?>
<worksheet xmlns="http://schemas.openxmlformats.org/spreadsheetml/2006/main" xmlns:r="http://schemas.openxmlformats.org/officeDocument/2006/relationships">
  <sheetPr>
    <pageSetUpPr fitToPage="1"/>
  </sheetPr>
  <dimension ref="A1:R1464"/>
  <sheetViews>
    <sheetView topLeftCell="F1" workbookViewId="0">
      <selection activeCell="N20" sqref="N20"/>
    </sheetView>
  </sheetViews>
  <sheetFormatPr defaultRowHeight="12.75" outlineLevelRow="1"/>
  <cols>
    <col min="1" max="1" width="9.140625" style="238"/>
    <col min="2" max="2" width="3.28515625" style="441" customWidth="1"/>
    <col min="3" max="3" width="3.42578125" style="441" customWidth="1"/>
    <col min="4" max="4" width="48.5703125" style="332" customWidth="1"/>
    <col min="5" max="5" width="8.7109375" style="332" customWidth="1"/>
    <col min="6" max="6" width="10.85546875" style="332" customWidth="1"/>
    <col min="7" max="7" width="13.5703125" style="447" customWidth="1"/>
    <col min="8" max="8" width="14.5703125" style="336" bestFit="1" customWidth="1"/>
    <col min="9" max="9" width="5.42578125" style="237" customWidth="1"/>
    <col min="10" max="10" width="12.7109375" style="238" customWidth="1"/>
    <col min="11" max="11" width="13.85546875" style="238" customWidth="1"/>
    <col min="12" max="13" width="12.140625" style="238" customWidth="1"/>
    <col min="14" max="14" width="12.7109375" style="238" customWidth="1"/>
    <col min="15" max="15" width="12.140625" style="238" customWidth="1"/>
    <col min="16" max="16" width="13.85546875" style="238" customWidth="1"/>
    <col min="17" max="17" width="12.140625" style="237" customWidth="1"/>
    <col min="18" max="18" width="12.5703125" style="238" bestFit="1" customWidth="1"/>
    <col min="19" max="19" width="12.140625" style="238" customWidth="1"/>
    <col min="20" max="16384" width="9.140625" style="238"/>
  </cols>
  <sheetData>
    <row r="1" spans="2:18" ht="12.75" customHeight="1" outlineLevel="1">
      <c r="B1" s="437"/>
      <c r="C1" s="437"/>
      <c r="D1" s="437"/>
      <c r="E1" s="477"/>
      <c r="F1" s="1180" t="s">
        <v>1706</v>
      </c>
      <c r="G1" s="1180"/>
      <c r="H1" s="1180"/>
      <c r="J1" s="438" t="s">
        <v>292</v>
      </c>
      <c r="K1" s="439"/>
      <c r="L1" s="440" t="s">
        <v>1707</v>
      </c>
      <c r="M1" s="1069" t="s">
        <v>1708</v>
      </c>
      <c r="N1" s="1070"/>
      <c r="O1" s="1069" t="s">
        <v>1709</v>
      </c>
      <c r="P1" s="1070"/>
    </row>
    <row r="2" spans="2:18" ht="12.75" customHeight="1" outlineLevel="1">
      <c r="D2" s="437"/>
      <c r="E2" s="1181" t="s">
        <v>1710</v>
      </c>
      <c r="F2" s="1181"/>
      <c r="G2" s="1181"/>
      <c r="H2" s="1181"/>
      <c r="J2" s="442" t="s">
        <v>1711</v>
      </c>
      <c r="K2" s="442" t="s">
        <v>1712</v>
      </c>
      <c r="L2" s="440" t="s">
        <v>1713</v>
      </c>
      <c r="M2" s="443" t="s">
        <v>1714</v>
      </c>
      <c r="N2" s="443" t="s">
        <v>1715</v>
      </c>
      <c r="O2" s="443" t="s">
        <v>1714</v>
      </c>
      <c r="P2" s="443" t="s">
        <v>1715</v>
      </c>
    </row>
    <row r="3" spans="2:18" ht="18.75" outlineLevel="1">
      <c r="G3" s="444" t="s">
        <v>1716</v>
      </c>
      <c r="H3" s="445" t="s">
        <v>1717</v>
      </c>
      <c r="J3" s="446">
        <v>43070</v>
      </c>
      <c r="K3" s="446">
        <v>43100</v>
      </c>
      <c r="L3" s="375"/>
      <c r="M3" s="381">
        <f>+SUMIFS(JURNAL!G:G,JURNAL!E:E,120600,JURNAL!C:C,"&gt;="&amp;J3,JURNAL!C:C,"&lt;="&amp;K3)-L3</f>
        <v>0</v>
      </c>
      <c r="N3" s="381">
        <f>+SUMIFS(JURNAL!H:H,JURNAL!E:E,310500,JURNAL!C:C,"&gt;="&amp;J3,JURNAL!C:C,"&lt;="&amp;K3)</f>
        <v>0</v>
      </c>
      <c r="O3" s="381">
        <f>+STAT1!H25</f>
        <v>0</v>
      </c>
      <c r="P3" s="381">
        <f>+STAT1!I111</f>
        <v>67186734.859999999</v>
      </c>
    </row>
    <row r="4" spans="2:18" ht="21" outlineLevel="1" thickBot="1">
      <c r="B4" s="1182" t="s">
        <v>1718</v>
      </c>
      <c r="C4" s="1182"/>
      <c r="D4" s="1182"/>
      <c r="E4" s="1182"/>
      <c r="F4" s="1182"/>
      <c r="G4" s="1182"/>
      <c r="H4" s="1182"/>
      <c r="J4" s="446">
        <v>43101</v>
      </c>
      <c r="K4" s="446">
        <v>43131</v>
      </c>
      <c r="L4" s="375"/>
      <c r="M4" s="381">
        <f>+SUMIFS(JURNAL!G:G,JURNAL!E:E,120600,JURNAL!C:C,"&gt;="&amp;J4,JURNAL!C:C,"&lt;="&amp;K4)-L4</f>
        <v>740100.8445454546</v>
      </c>
      <c r="N4" s="381">
        <f>+SUMIFS(JURNAL!H:H,JURNAL!E:E,310500,JURNAL!C:C,"&gt;="&amp;J4,JURNAL!C:C,"&lt;="&amp;K4)</f>
        <v>1009055.4581818182</v>
      </c>
      <c r="O4" s="381">
        <f>+IF((O3+L4+M4-P3-N4)&gt;0,(O3+L4+M4-P3-N4),0)</f>
        <v>0</v>
      </c>
      <c r="P4" s="381">
        <f>+IF((P3+N4-O3-L4-M4)&gt;0,(P3+N4-O3-L4-M4),0)</f>
        <v>67455689.473636359</v>
      </c>
    </row>
    <row r="5" spans="2:18" ht="13.5" outlineLevel="1" thickTop="1">
      <c r="J5" s="446">
        <v>43132</v>
      </c>
      <c r="K5" s="446">
        <v>43159</v>
      </c>
      <c r="L5" s="381"/>
      <c r="M5" s="381">
        <f>+SUMIFS(JURNAL!G:G,JURNAL!E:E,120600,JURNAL!C:C,"&gt;="&amp;J5,JURNAL!C:C,"&lt;="&amp;K5)-L5</f>
        <v>1395313.4700000002</v>
      </c>
      <c r="N5" s="381">
        <f>+SUMIFS(JURNAL!H:H,JURNAL!E:E,310500,JURNAL!C:C,"&gt;="&amp;J5,JURNAL!C:C,"&lt;="&amp;K5)</f>
        <v>1190808.82</v>
      </c>
      <c r="O5" s="381">
        <f t="shared" ref="O5:O15" si="0">+IF((O4+L5+M5-P4-N5)&gt;0,(O4+L5+M5-P4-N5),0)</f>
        <v>0</v>
      </c>
      <c r="P5" s="381">
        <f t="shared" ref="P5:P15" si="1">+IF((P4+N5-O4-L5-M5)&gt;0,(P4+N5-O4-L5-M5),0)</f>
        <v>67251184.823636353</v>
      </c>
    </row>
    <row r="6" spans="2:18" outlineLevel="1">
      <c r="B6" s="1183" t="s">
        <v>1719</v>
      </c>
      <c r="C6" s="1184"/>
      <c r="D6" s="1184"/>
      <c r="E6" s="1184"/>
      <c r="F6" s="1184"/>
      <c r="G6" s="1184"/>
      <c r="H6" s="1185"/>
      <c r="J6" s="446">
        <v>43160</v>
      </c>
      <c r="K6" s="446">
        <v>43190</v>
      </c>
      <c r="L6" s="381"/>
      <c r="M6" s="381">
        <f>+SUMIFS(JURNAL!G:G,JURNAL!E:E,120600,JURNAL!C:C,"&gt;="&amp;J6,JURNAL!C:C,"&lt;="&amp;K6)-L6</f>
        <v>2066542.3663636367</v>
      </c>
      <c r="N6" s="381">
        <f>+SUMIFS(JURNAL!H:H,JURNAL!E:E,310500,JURNAL!C:C,"&gt;="&amp;J6,JURNAL!C:C,"&lt;="&amp;K6)</f>
        <v>1325614.5436363637</v>
      </c>
      <c r="O6" s="381">
        <f t="shared" si="0"/>
        <v>0</v>
      </c>
      <c r="P6" s="381">
        <f t="shared" si="1"/>
        <v>66510257.000909083</v>
      </c>
      <c r="Q6" s="237">
        <v>66510256.579999998</v>
      </c>
      <c r="R6" s="79">
        <f>+Q6-P6</f>
        <v>-0.420909084379673</v>
      </c>
    </row>
    <row r="7" spans="2:18" outlineLevel="1">
      <c r="B7" s="1155" t="str">
        <f>+CONCATENATE('company '!B7,'company '!C7)</f>
        <v>Регистрийн дугаар:|_2_|_0_|_1_|_8_|_9_|_4_|_2_|</v>
      </c>
      <c r="C7" s="1156"/>
      <c r="D7" s="1157"/>
      <c r="E7" s="1158" t="str">
        <f>+CONCATENATE('company '!B6,'company '!C6)</f>
        <v>Компанийн нэр:ШИНЭСТ ХК</v>
      </c>
      <c r="F7" s="1159"/>
      <c r="G7" s="1159"/>
      <c r="H7" s="1160"/>
      <c r="J7" s="446">
        <v>43191</v>
      </c>
      <c r="K7" s="446">
        <v>43220</v>
      </c>
      <c r="L7" s="381"/>
      <c r="M7" s="381">
        <f>+SUMIFS(JURNAL!G:G,JURNAL!E:E,120600,JURNAL!C:C,"&gt;="&amp;J7,JURNAL!C:C,"&lt;="&amp;K7)-L7</f>
        <v>3656401.1</v>
      </c>
      <c r="N7" s="381">
        <f>+SUMIFS(JURNAL!H:H,JURNAL!E:E,310500,JURNAL!C:C,"&gt;="&amp;J7,JURNAL!C:C,"&lt;="&amp;K7)</f>
        <v>779686.63000000012</v>
      </c>
      <c r="O7" s="381">
        <f t="shared" si="0"/>
        <v>0</v>
      </c>
      <c r="P7" s="381">
        <f t="shared" si="1"/>
        <v>63633542.530909084</v>
      </c>
    </row>
    <row r="8" spans="2:18" outlineLevel="1">
      <c r="J8" s="446">
        <v>43221</v>
      </c>
      <c r="K8" s="446">
        <v>43251</v>
      </c>
      <c r="L8" s="381"/>
      <c r="M8" s="381">
        <f>+SUMIFS(JURNAL!G:G,JURNAL!E:E,120600,JURNAL!C:C,"&gt;="&amp;J8,JURNAL!C:C,"&lt;="&amp;K8)-L8</f>
        <v>1941520.68</v>
      </c>
      <c r="N8" s="381">
        <f>+SUMIFS(JURNAL!H:H,JURNAL!E:E,310500,JURNAL!C:C,"&gt;="&amp;J8,JURNAL!C:C,"&lt;="&amp;K8)</f>
        <v>513857.09</v>
      </c>
      <c r="O8" s="381">
        <f t="shared" si="0"/>
        <v>0</v>
      </c>
      <c r="P8" s="381">
        <f t="shared" si="1"/>
        <v>62205878.940909088</v>
      </c>
      <c r="Q8" s="237">
        <v>62205878.659999996</v>
      </c>
      <c r="R8" s="79">
        <f>+Q8-P8</f>
        <v>-0.28090909123420715</v>
      </c>
    </row>
    <row r="9" spans="2:18" outlineLevel="1">
      <c r="B9" s="1183" t="str">
        <f>+CONCATENATE('company '!B9,'company '!C9)</f>
        <v>Хаяг: Аймаг, хотУлаанбаатар</v>
      </c>
      <c r="C9" s="1184"/>
      <c r="D9" s="1185"/>
      <c r="E9" s="1202" t="str">
        <f>+CONCATENATE('company '!B10,'company '!C10)</f>
        <v>Сум, дүүрэг:Хан уул дүүрэг</v>
      </c>
      <c r="F9" s="1203"/>
      <c r="G9" s="1203"/>
      <c r="H9" s="1205"/>
      <c r="J9" s="446">
        <v>43252</v>
      </c>
      <c r="K9" s="446">
        <v>43281</v>
      </c>
      <c r="L9" s="381"/>
      <c r="M9" s="381">
        <f>+SUMIFS(JURNAL!G:G,JURNAL!E:E,120600,JURNAL!C:C,"&gt;="&amp;J9,JURNAL!C:C,"&lt;="&amp;K9)-L9</f>
        <v>1039878.5500000002</v>
      </c>
      <c r="N9" s="381">
        <f>+SUMIFS(JURNAL!H:H,JURNAL!E:E,310500,JURNAL!C:C,"&gt;="&amp;J9,JURNAL!C:C,"&lt;="&amp;K9)</f>
        <v>670806.91</v>
      </c>
      <c r="O9" s="381">
        <f t="shared" si="0"/>
        <v>0</v>
      </c>
      <c r="P9" s="381">
        <f t="shared" si="1"/>
        <v>61836807.300909087</v>
      </c>
      <c r="Q9" s="237">
        <v>61836806.850000001</v>
      </c>
      <c r="R9" s="79">
        <f>+P9-Q9</f>
        <v>0.4509090855717659</v>
      </c>
    </row>
    <row r="10" spans="2:18" outlineLevel="1">
      <c r="B10" s="1183" t="str">
        <f>+CONCATENATE('company '!B11,'company '!C11)</f>
        <v xml:space="preserve">Баг, хороо:3-р хороо </v>
      </c>
      <c r="C10" s="1184"/>
      <c r="D10" s="1185"/>
      <c r="E10" s="1202" t="str">
        <f>+CONCATENATE('company '!B12,'company '!C12)</f>
        <v>Гудамж, хороолол:Эв нэгдэлийн гудамж</v>
      </c>
      <c r="F10" s="1203"/>
      <c r="G10" s="1203"/>
      <c r="H10" s="1205"/>
      <c r="J10" s="446">
        <v>43282</v>
      </c>
      <c r="K10" s="446">
        <v>43312</v>
      </c>
      <c r="L10" s="381"/>
      <c r="M10" s="381">
        <f>+SUMIFS(JURNAL!G:G,JURNAL!E:E,120600,JURNAL!C:C,"&gt;="&amp;J10,JURNAL!C:C,"&lt;="&amp;K10)-L10</f>
        <v>1211988.57</v>
      </c>
      <c r="N10" s="381">
        <f>+SUMIFS(JURNAL!H:H,JURNAL!E:E,310500,JURNAL!C:C,"&gt;="&amp;J10,JURNAL!C:C,"&lt;="&amp;K10)</f>
        <v>517193.64</v>
      </c>
      <c r="O10" s="381">
        <f t="shared" si="0"/>
        <v>0</v>
      </c>
      <c r="P10" s="381">
        <f t="shared" si="1"/>
        <v>61142012.370909087</v>
      </c>
    </row>
    <row r="11" spans="2:18" outlineLevel="1">
      <c r="B11" s="1183" t="str">
        <f>+CONCATENATE('company '!B13,'company '!C13)</f>
        <v xml:space="preserve">Байр:Шинэст ХК -н өөрийн байр </v>
      </c>
      <c r="C11" s="1184"/>
      <c r="D11" s="1185"/>
      <c r="E11" s="1202" t="str">
        <f>+CONCATENATE('[6]company '!B14,'[6]company '!C14)</f>
        <v>Хашаа, хаалга:</v>
      </c>
      <c r="F11" s="1203"/>
      <c r="G11" s="1203"/>
      <c r="H11" s="1205"/>
      <c r="J11" s="446">
        <v>43313</v>
      </c>
      <c r="K11" s="446">
        <v>43343</v>
      </c>
      <c r="L11" s="381"/>
      <c r="M11" s="381">
        <f>+SUMIFS(JURNAL!G:G,JURNAL!E:E,120600,JURNAL!C:C,"&gt;="&amp;J11,JURNAL!C:C,"&lt;="&amp;K11)-L11</f>
        <v>543100.51818181807</v>
      </c>
      <c r="N11" s="381">
        <f>+SUMIFS(JURNAL!H:H,JURNAL!E:E,310500,JURNAL!C:C,"&gt;="&amp;J11,JURNAL!C:C,"&lt;="&amp;K11)</f>
        <v>1956850.01</v>
      </c>
      <c r="O11" s="381">
        <f t="shared" si="0"/>
        <v>0</v>
      </c>
      <c r="P11" s="381">
        <f>+IF((P10+N11-O10-L11-M11)&gt;0,(P10+N11-O10-L11-M11),0)</f>
        <v>62555761.86272727</v>
      </c>
    </row>
    <row r="12" spans="2:18" outlineLevel="1">
      <c r="B12" s="1206" t="str">
        <f>+CONCATENATE('company '!B15,'company '!C15,'company '!C16)</f>
        <v>Утас:7011441499119765 99066093 86001044</v>
      </c>
      <c r="C12" s="1207"/>
      <c r="D12" s="1208"/>
      <c r="E12" s="1209" t="str">
        <f>+CONCATENATE('[6]company '!B17,'[6]company '!C17)</f>
        <v>Факс:</v>
      </c>
      <c r="F12" s="1210"/>
      <c r="G12" s="1210"/>
      <c r="H12" s="1211"/>
      <c r="J12" s="446">
        <v>43344</v>
      </c>
      <c r="K12" s="446">
        <v>43373</v>
      </c>
      <c r="L12" s="381"/>
      <c r="M12" s="381">
        <f>+SUMIFS(JURNAL!G:G,JURNAL!E:E,120600,JURNAL!C:C,"&gt;="&amp;J12,JURNAL!C:C,"&lt;="&amp;K12)-L12</f>
        <v>345623</v>
      </c>
      <c r="N12" s="381">
        <f>+SUMIFS(JURNAL!H:H,JURNAL!E:E,310500,JURNAL!C:C,"&gt;="&amp;J12,JURNAL!C:C,"&lt;="&amp;K12)</f>
        <v>481614.18</v>
      </c>
      <c r="O12" s="381">
        <f t="shared" si="0"/>
        <v>0</v>
      </c>
      <c r="P12" s="381">
        <f t="shared" si="1"/>
        <v>62691753.042727269</v>
      </c>
      <c r="Q12" s="237">
        <v>62691752.630000003</v>
      </c>
      <c r="R12" s="79">
        <f>+P12-Q12</f>
        <v>0.41272726655006409</v>
      </c>
    </row>
    <row r="13" spans="2:18" outlineLevel="1">
      <c r="B13" s="1212" t="str">
        <f>+CONCATENATE('company '!B18)</f>
        <v>Шуудангийн хайрцаг:</v>
      </c>
      <c r="C13" s="1212"/>
      <c r="D13" s="1212"/>
      <c r="E13" s="1213"/>
      <c r="F13" s="1213"/>
      <c r="G13" s="1213"/>
      <c r="H13" s="1213"/>
      <c r="J13" s="446">
        <v>43374</v>
      </c>
      <c r="K13" s="446">
        <v>43404</v>
      </c>
      <c r="L13" s="381"/>
      <c r="M13" s="381">
        <f>+SUMIFS(JURNAL!G:G,JURNAL!E:E,120600,JURNAL!C:C,"&gt;="&amp;J13,JURNAL!C:C,"&lt;="&amp;K13)-L13</f>
        <v>7503398.4900000002</v>
      </c>
      <c r="N13" s="381">
        <f>+SUMIFS(JURNAL!H:H,JURNAL!E:E,310500,JURNAL!C:C,"&gt;="&amp;J13,JURNAL!C:C,"&lt;="&amp;K13)</f>
        <v>7567386.3600000003</v>
      </c>
      <c r="O13" s="381">
        <f t="shared" si="0"/>
        <v>0</v>
      </c>
      <c r="P13" s="381">
        <f t="shared" si="1"/>
        <v>62755740.912727274</v>
      </c>
    </row>
    <row r="14" spans="2:18" outlineLevel="1">
      <c r="B14" s="1214"/>
      <c r="C14" s="1214"/>
      <c r="D14" s="1214"/>
      <c r="E14" s="1215"/>
      <c r="F14" s="1215"/>
      <c r="G14" s="1215"/>
      <c r="H14" s="1215"/>
      <c r="J14" s="446">
        <v>43405</v>
      </c>
      <c r="K14" s="446">
        <v>43434</v>
      </c>
      <c r="L14" s="375"/>
      <c r="M14" s="381">
        <f>+SUMIFS(JURNAL!G:G,JURNAL!E:E,120600,JURNAL!C:C,"&gt;="&amp;J14,JURNAL!C:C,"&lt;="&amp;K14)-L14</f>
        <v>686650.16</v>
      </c>
      <c r="N14" s="381">
        <f>+SUMIFS(JURNAL!H:H,JURNAL!E:E,310500,JURNAL!C:C,"&gt;="&amp;J14,JURNAL!C:C,"&lt;="&amp;K14)</f>
        <v>4644740.91</v>
      </c>
      <c r="O14" s="381">
        <f t="shared" si="0"/>
        <v>0</v>
      </c>
      <c r="P14" s="381">
        <f t="shared" si="1"/>
        <v>66713831.662727281</v>
      </c>
      <c r="Q14" s="237">
        <v>71350195.129999995</v>
      </c>
      <c r="R14" s="79">
        <f>+P14-Q14</f>
        <v>-4636363.4672727138</v>
      </c>
    </row>
    <row r="15" spans="2:18" outlineLevel="1">
      <c r="B15" s="1183" t="s">
        <v>1720</v>
      </c>
      <c r="C15" s="1184"/>
      <c r="D15" s="1184"/>
      <c r="E15" s="1184"/>
      <c r="F15" s="1184"/>
      <c r="G15" s="1184"/>
      <c r="H15" s="1185"/>
      <c r="J15" s="446">
        <v>43435</v>
      </c>
      <c r="K15" s="446">
        <v>43465</v>
      </c>
      <c r="L15" s="381"/>
      <c r="M15" s="381">
        <f>+SUMIFS(JURNAL!G:G,JURNAL!E:E,120600,JURNAL!C:C,"&gt;="&amp;J15,JURNAL!C:C,"&lt;="&amp;K15)-L15</f>
        <v>3493841.92</v>
      </c>
      <c r="N15" s="381">
        <f>+SUMIFS(JURNAL!H:H,JURNAL!E:E,310500,JURNAL!C:C,"&gt;="&amp;J15,JURNAL!C:C,"&lt;="&amp;K15)</f>
        <v>31956159</v>
      </c>
      <c r="O15" s="381">
        <f t="shared" si="0"/>
        <v>0</v>
      </c>
      <c r="P15" s="381">
        <f t="shared" si="1"/>
        <v>95176148.74272728</v>
      </c>
      <c r="Q15" s="237">
        <v>95176148.530000001</v>
      </c>
      <c r="R15" s="79">
        <f>+Q15-P15</f>
        <v>-0.21272727847099304</v>
      </c>
    </row>
    <row r="16" spans="2:18" outlineLevel="1">
      <c r="B16" s="1198"/>
      <c r="C16" s="1183" t="s">
        <v>1721</v>
      </c>
      <c r="D16" s="1185"/>
      <c r="E16" s="1202" t="s">
        <v>1722</v>
      </c>
      <c r="F16" s="1203"/>
      <c r="G16" s="1205"/>
      <c r="H16" s="448"/>
      <c r="J16" s="446" t="s">
        <v>1723</v>
      </c>
      <c r="K16" s="446"/>
      <c r="L16" s="381">
        <f>SUM(L4:L15)</f>
        <v>0</v>
      </c>
      <c r="M16" s="381">
        <f>SUM(M4:M15)</f>
        <v>24624359.669090912</v>
      </c>
      <c r="N16" s="381">
        <f>SUM(N4:N15)</f>
        <v>52613773.551818177</v>
      </c>
      <c r="O16" s="381"/>
      <c r="P16" s="381"/>
    </row>
    <row r="17" spans="2:14" outlineLevel="1">
      <c r="B17" s="1199"/>
      <c r="C17" s="1183" t="str">
        <f>+CONCATENATE(E17,H17)</f>
        <v>Тайлант үе:1-сар</v>
      </c>
      <c r="D17" s="1185"/>
      <c r="E17" s="1195" t="s">
        <v>46</v>
      </c>
      <c r="F17" s="1196"/>
      <c r="G17" s="1197"/>
      <c r="H17" s="427" t="s">
        <v>1959</v>
      </c>
    </row>
    <row r="18" spans="2:14" outlineLevel="1">
      <c r="B18" s="1200"/>
      <c r="C18" s="1195" t="s">
        <v>1724</v>
      </c>
      <c r="D18" s="1197"/>
      <c r="E18" s="1195" t="s">
        <v>1725</v>
      </c>
      <c r="F18" s="1196"/>
      <c r="G18" s="1197"/>
      <c r="H18" s="427"/>
    </row>
    <row r="19" spans="2:14" outlineLevel="1">
      <c r="B19" s="478"/>
      <c r="C19" s="478"/>
      <c r="D19" s="478"/>
      <c r="E19" s="478"/>
      <c r="F19" s="478"/>
      <c r="G19" s="449"/>
      <c r="H19" s="450"/>
      <c r="M19" s="237">
        <v>1584751</v>
      </c>
      <c r="N19" s="238">
        <v>31956159.09</v>
      </c>
    </row>
    <row r="20" spans="2:14" outlineLevel="1">
      <c r="B20" s="1216" t="s">
        <v>1726</v>
      </c>
      <c r="C20" s="1216"/>
      <c r="D20" s="1216"/>
      <c r="E20" s="451"/>
      <c r="F20" s="478" t="s">
        <v>1727</v>
      </c>
      <c r="G20" s="449"/>
      <c r="H20" s="450" t="s">
        <v>1728</v>
      </c>
      <c r="M20" s="79">
        <f>+M19-M15</f>
        <v>-1909090.92</v>
      </c>
      <c r="N20" s="79">
        <f>+N19-N15</f>
        <v>8.9999999850988388E-2</v>
      </c>
    </row>
    <row r="21" spans="2:14" outlineLevel="1">
      <c r="B21" s="478"/>
      <c r="C21" s="478"/>
      <c r="D21" s="478"/>
      <c r="E21" s="478"/>
      <c r="F21" s="478"/>
      <c r="G21" s="449"/>
      <c r="H21" s="450"/>
    </row>
    <row r="22" spans="2:14" outlineLevel="1">
      <c r="B22" s="478"/>
      <c r="C22" s="478"/>
      <c r="D22" s="478"/>
      <c r="E22" s="478"/>
      <c r="F22" s="478"/>
      <c r="G22" s="449"/>
      <c r="H22" s="450"/>
    </row>
    <row r="23" spans="2:14" ht="21.75" customHeight="1" outlineLevel="1">
      <c r="B23" s="1167" t="s">
        <v>1729</v>
      </c>
      <c r="C23" s="1167"/>
      <c r="D23" s="1167"/>
      <c r="E23" s="1167"/>
      <c r="F23" s="1167"/>
      <c r="G23" s="1167"/>
      <c r="H23" s="1167"/>
    </row>
    <row r="24" spans="2:14" outlineLevel="1">
      <c r="B24" s="1186" t="s">
        <v>1730</v>
      </c>
      <c r="C24" s="1187"/>
      <c r="D24" s="1187"/>
      <c r="E24" s="1187"/>
      <c r="F24" s="1188"/>
      <c r="G24" s="452" t="s">
        <v>1731</v>
      </c>
      <c r="H24" s="453">
        <f>+H25+H26</f>
        <v>10090546.541818181</v>
      </c>
    </row>
    <row r="25" spans="2:14" ht="12.75" customHeight="1" outlineLevel="1">
      <c r="B25" s="1192" t="s">
        <v>1732</v>
      </c>
      <c r="C25" s="1193"/>
      <c r="D25" s="1193"/>
      <c r="E25" s="1193"/>
      <c r="F25" s="1194"/>
      <c r="G25" s="452" t="s">
        <v>99</v>
      </c>
      <c r="H25" s="427"/>
    </row>
    <row r="26" spans="2:14" ht="12.75" customHeight="1" outlineLevel="1">
      <c r="B26" s="1192" t="s">
        <v>1733</v>
      </c>
      <c r="C26" s="1193"/>
      <c r="D26" s="1193"/>
      <c r="E26" s="1193"/>
      <c r="F26" s="1194"/>
      <c r="G26" s="452" t="s">
        <v>1734</v>
      </c>
      <c r="H26" s="427">
        <f>+H27+H33+H53</f>
        <v>10090546.541818181</v>
      </c>
    </row>
    <row r="27" spans="2:14" outlineLevel="1">
      <c r="B27" s="1198"/>
      <c r="C27" s="1186" t="s">
        <v>1735</v>
      </c>
      <c r="D27" s="1187"/>
      <c r="E27" s="1187"/>
      <c r="F27" s="1188"/>
      <c r="G27" s="452" t="s">
        <v>1736</v>
      </c>
      <c r="H27" s="453">
        <f>+H28+H29+H30+H31+H32</f>
        <v>10090546.541818181</v>
      </c>
    </row>
    <row r="28" spans="2:14" ht="12.75" customHeight="1" outlineLevel="1">
      <c r="B28" s="1199"/>
      <c r="C28" s="1189" t="s">
        <v>1737</v>
      </c>
      <c r="D28" s="1195" t="s">
        <v>1738</v>
      </c>
      <c r="E28" s="1196"/>
      <c r="F28" s="1197"/>
      <c r="G28" s="452" t="s">
        <v>173</v>
      </c>
      <c r="H28" s="427">
        <f>+SUMIFS(JURNAL!H:H,JURNAL!E:E,510000,JURNAL!C:C,"&gt;="&amp;J4,JURNAL!C:C,"&lt;="&amp;K4)+SUMIFS(JURNAL!H:H,JURNAL!E:E,510100,JURNAL!C:C,"&gt;="&amp;J4,JURNAL!C:C,"&lt;="&amp;K4)</f>
        <v>10090546.541818181</v>
      </c>
      <c r="J28" s="237"/>
    </row>
    <row r="29" spans="2:14" outlineLevel="1">
      <c r="B29" s="1199"/>
      <c r="C29" s="1190"/>
      <c r="D29" s="1161" t="s">
        <v>1739</v>
      </c>
      <c r="E29" s="1162"/>
      <c r="F29" s="1163"/>
      <c r="G29" s="454" t="s">
        <v>174</v>
      </c>
      <c r="H29" s="427"/>
    </row>
    <row r="30" spans="2:14" outlineLevel="1">
      <c r="B30" s="1199"/>
      <c r="C30" s="1190"/>
      <c r="D30" s="1161" t="s">
        <v>831</v>
      </c>
      <c r="E30" s="1162"/>
      <c r="F30" s="1163"/>
      <c r="G30" s="454" t="s">
        <v>897</v>
      </c>
      <c r="H30" s="427"/>
    </row>
    <row r="31" spans="2:14" outlineLevel="1">
      <c r="B31" s="1199"/>
      <c r="C31" s="1190"/>
      <c r="D31" s="1161" t="s">
        <v>1740</v>
      </c>
      <c r="E31" s="1162"/>
      <c r="F31" s="1163"/>
      <c r="G31" s="454" t="s">
        <v>899</v>
      </c>
      <c r="H31" s="427"/>
    </row>
    <row r="32" spans="2:14" outlineLevel="1">
      <c r="B32" s="1199"/>
      <c r="C32" s="1191"/>
      <c r="D32" s="1161" t="s">
        <v>1741</v>
      </c>
      <c r="E32" s="1162"/>
      <c r="F32" s="1163"/>
      <c r="G32" s="454" t="s">
        <v>901</v>
      </c>
      <c r="H32" s="427"/>
    </row>
    <row r="33" spans="2:8" outlineLevel="1">
      <c r="B33" s="1199"/>
      <c r="C33" s="1186" t="s">
        <v>1742</v>
      </c>
      <c r="D33" s="1187"/>
      <c r="E33" s="1187"/>
      <c r="F33" s="1188"/>
      <c r="G33" s="452" t="s">
        <v>1743</v>
      </c>
      <c r="H33" s="453">
        <f>+H34+H35+H36+H37+H38+H39+H40+H41+H42+H43+H44+H45+H46+H47+H48</f>
        <v>0</v>
      </c>
    </row>
    <row r="34" spans="2:8" ht="12.75" customHeight="1" outlineLevel="1">
      <c r="B34" s="1199"/>
      <c r="C34" s="1189" t="s">
        <v>1737</v>
      </c>
      <c r="D34" s="1161" t="s">
        <v>1744</v>
      </c>
      <c r="E34" s="1162"/>
      <c r="F34" s="1163"/>
      <c r="G34" s="454" t="s">
        <v>905</v>
      </c>
      <c r="H34" s="427"/>
    </row>
    <row r="35" spans="2:8" ht="12.75" customHeight="1" outlineLevel="1">
      <c r="B35" s="1199"/>
      <c r="C35" s="1190"/>
      <c r="D35" s="1161" t="s">
        <v>1745</v>
      </c>
      <c r="E35" s="1162"/>
      <c r="F35" s="1163"/>
      <c r="G35" s="454" t="s">
        <v>907</v>
      </c>
      <c r="H35" s="427"/>
    </row>
    <row r="36" spans="2:8" ht="12.75" customHeight="1" outlineLevel="1">
      <c r="B36" s="1199"/>
      <c r="C36" s="1190"/>
      <c r="D36" s="1161" t="s">
        <v>1746</v>
      </c>
      <c r="E36" s="1162"/>
      <c r="F36" s="1163"/>
      <c r="G36" s="454" t="s">
        <v>909</v>
      </c>
      <c r="H36" s="427"/>
    </row>
    <row r="37" spans="2:8" ht="12.75" customHeight="1" outlineLevel="1">
      <c r="B37" s="1199"/>
      <c r="C37" s="1190"/>
      <c r="D37" s="1161" t="s">
        <v>1747</v>
      </c>
      <c r="E37" s="1162"/>
      <c r="F37" s="1163"/>
      <c r="G37" s="454" t="s">
        <v>911</v>
      </c>
      <c r="H37" s="427"/>
    </row>
    <row r="38" spans="2:8" ht="12.75" customHeight="1" outlineLevel="1">
      <c r="B38" s="1199"/>
      <c r="C38" s="1190"/>
      <c r="D38" s="1161" t="s">
        <v>1748</v>
      </c>
      <c r="E38" s="1162"/>
      <c r="F38" s="1163"/>
      <c r="G38" s="454" t="s">
        <v>913</v>
      </c>
      <c r="H38" s="427"/>
    </row>
    <row r="39" spans="2:8" ht="12.75" customHeight="1" outlineLevel="1">
      <c r="B39" s="1199"/>
      <c r="C39" s="1190"/>
      <c r="D39" s="1161" t="s">
        <v>1749</v>
      </c>
      <c r="E39" s="1162"/>
      <c r="F39" s="1163"/>
      <c r="G39" s="454" t="s">
        <v>915</v>
      </c>
      <c r="H39" s="427"/>
    </row>
    <row r="40" spans="2:8" ht="12.75" customHeight="1" outlineLevel="1">
      <c r="B40" s="1199"/>
      <c r="C40" s="1190"/>
      <c r="D40" s="1161" t="s">
        <v>1750</v>
      </c>
      <c r="E40" s="1162"/>
      <c r="F40" s="1163"/>
      <c r="G40" s="454" t="s">
        <v>917</v>
      </c>
      <c r="H40" s="427"/>
    </row>
    <row r="41" spans="2:8" ht="12.75" customHeight="1" outlineLevel="1">
      <c r="B41" s="1199"/>
      <c r="C41" s="1190"/>
      <c r="D41" s="1161" t="s">
        <v>1751</v>
      </c>
      <c r="E41" s="1162"/>
      <c r="F41" s="1163"/>
      <c r="G41" s="454" t="s">
        <v>919</v>
      </c>
      <c r="H41" s="427"/>
    </row>
    <row r="42" spans="2:8" outlineLevel="1">
      <c r="B42" s="1199"/>
      <c r="C42" s="1190"/>
      <c r="D42" s="1161" t="s">
        <v>1752</v>
      </c>
      <c r="E42" s="1162"/>
      <c r="F42" s="1163"/>
      <c r="G42" s="454" t="s">
        <v>921</v>
      </c>
      <c r="H42" s="427"/>
    </row>
    <row r="43" spans="2:8" ht="12.75" customHeight="1" outlineLevel="1">
      <c r="B43" s="1199"/>
      <c r="C43" s="1190"/>
      <c r="D43" s="1161" t="s">
        <v>1753</v>
      </c>
      <c r="E43" s="1162"/>
      <c r="F43" s="1163"/>
      <c r="G43" s="454" t="s">
        <v>923</v>
      </c>
      <c r="H43" s="427"/>
    </row>
    <row r="44" spans="2:8" outlineLevel="1">
      <c r="B44" s="1199"/>
      <c r="C44" s="1190"/>
      <c r="D44" s="1161" t="s">
        <v>1754</v>
      </c>
      <c r="E44" s="1162"/>
      <c r="F44" s="1163"/>
      <c r="G44" s="454" t="s">
        <v>925</v>
      </c>
      <c r="H44" s="427"/>
    </row>
    <row r="45" spans="2:8" ht="12.75" customHeight="1" outlineLevel="1">
      <c r="B45" s="1199"/>
      <c r="C45" s="1190"/>
      <c r="D45" s="1161" t="s">
        <v>1755</v>
      </c>
      <c r="E45" s="1162"/>
      <c r="F45" s="1163"/>
      <c r="G45" s="454" t="s">
        <v>927</v>
      </c>
      <c r="H45" s="427"/>
    </row>
    <row r="46" spans="2:8" ht="12.75" customHeight="1" outlineLevel="1">
      <c r="B46" s="1199"/>
      <c r="C46" s="1190"/>
      <c r="D46" s="1161" t="s">
        <v>1756</v>
      </c>
      <c r="E46" s="1162"/>
      <c r="F46" s="1163"/>
      <c r="G46" s="454" t="s">
        <v>929</v>
      </c>
      <c r="H46" s="427"/>
    </row>
    <row r="47" spans="2:8" ht="12.75" customHeight="1" outlineLevel="1">
      <c r="B47" s="1199"/>
      <c r="C47" s="1190"/>
      <c r="D47" s="1161" t="s">
        <v>1757</v>
      </c>
      <c r="E47" s="1162"/>
      <c r="F47" s="1163"/>
      <c r="G47" s="454" t="s">
        <v>937</v>
      </c>
      <c r="H47" s="427"/>
    </row>
    <row r="48" spans="2:8" ht="12.75" customHeight="1" outlineLevel="1">
      <c r="B48" s="1200"/>
      <c r="C48" s="1191"/>
      <c r="D48" s="1161" t="s">
        <v>1758</v>
      </c>
      <c r="E48" s="1162"/>
      <c r="F48" s="1163"/>
      <c r="G48" s="454" t="s">
        <v>939</v>
      </c>
      <c r="H48" s="427"/>
    </row>
    <row r="49" spans="2:8" outlineLevel="1">
      <c r="B49" s="1186" t="s">
        <v>1759</v>
      </c>
      <c r="C49" s="1187"/>
      <c r="D49" s="1187"/>
      <c r="E49" s="1187"/>
      <c r="F49" s="1188"/>
      <c r="G49" s="452" t="s">
        <v>1760</v>
      </c>
      <c r="H49" s="453">
        <f>+H27+H33</f>
        <v>10090546.541818181</v>
      </c>
    </row>
    <row r="50" spans="2:8" outlineLevel="1">
      <c r="B50" s="1186" t="s">
        <v>1761</v>
      </c>
      <c r="C50" s="1187"/>
      <c r="D50" s="1187"/>
      <c r="E50" s="1187"/>
      <c r="F50" s="1188"/>
      <c r="G50" s="452" t="s">
        <v>1762</v>
      </c>
      <c r="H50" s="453">
        <f>+H49*0.1</f>
        <v>1009054.6541818181</v>
      </c>
    </row>
    <row r="51" spans="2:8" outlineLevel="1">
      <c r="B51" s="1195" t="s">
        <v>1763</v>
      </c>
      <c r="C51" s="1196"/>
      <c r="D51" s="1196"/>
      <c r="E51" s="1196"/>
      <c r="F51" s="1197"/>
      <c r="G51" s="452" t="s">
        <v>1764</v>
      </c>
      <c r="H51" s="427"/>
    </row>
    <row r="52" spans="2:8" outlineLevel="1">
      <c r="B52" s="1195" t="s">
        <v>1765</v>
      </c>
      <c r="C52" s="1196"/>
      <c r="D52" s="1196"/>
      <c r="E52" s="1196"/>
      <c r="F52" s="1197"/>
      <c r="G52" s="452" t="s">
        <v>1766</v>
      </c>
      <c r="H52" s="427"/>
    </row>
    <row r="53" spans="2:8" outlineLevel="1">
      <c r="B53" s="1186" t="s">
        <v>1767</v>
      </c>
      <c r="C53" s="1187"/>
      <c r="D53" s="1187"/>
      <c r="E53" s="1187"/>
      <c r="F53" s="1188"/>
      <c r="G53" s="452" t="s">
        <v>1768</v>
      </c>
      <c r="H53" s="453">
        <f>+H51+H52</f>
        <v>0</v>
      </c>
    </row>
    <row r="54" spans="2:8" outlineLevel="1">
      <c r="B54" s="1186" t="s">
        <v>1761</v>
      </c>
      <c r="C54" s="1187"/>
      <c r="D54" s="1187"/>
      <c r="E54" s="1187"/>
      <c r="F54" s="1188"/>
      <c r="G54" s="452" t="s">
        <v>1769</v>
      </c>
      <c r="H54" s="453">
        <f>+H53*0%</f>
        <v>0</v>
      </c>
    </row>
    <row r="55" spans="2:8" outlineLevel="1">
      <c r="B55" s="1186" t="s">
        <v>1770</v>
      </c>
      <c r="C55" s="1187"/>
      <c r="D55" s="1187"/>
      <c r="E55" s="1187"/>
      <c r="F55" s="1188"/>
      <c r="G55" s="452" t="s">
        <v>1771</v>
      </c>
      <c r="H55" s="453">
        <f>+H50+H54</f>
        <v>1009054.6541818181</v>
      </c>
    </row>
    <row r="56" spans="2:8" outlineLevel="1"/>
    <row r="57" spans="2:8" ht="24.75" customHeight="1" outlineLevel="1">
      <c r="B57" s="1167" t="s">
        <v>1772</v>
      </c>
      <c r="C57" s="1167"/>
      <c r="D57" s="1167"/>
      <c r="E57" s="1167"/>
      <c r="F57" s="1167"/>
      <c r="G57" s="1167"/>
      <c r="H57" s="1167"/>
    </row>
    <row r="58" spans="2:8" outlineLevel="1">
      <c r="B58" s="1186" t="s">
        <v>1773</v>
      </c>
      <c r="C58" s="1187"/>
      <c r="D58" s="1187"/>
      <c r="E58" s="1187"/>
      <c r="F58" s="1188"/>
      <c r="G58" s="452" t="s">
        <v>1774</v>
      </c>
      <c r="H58" s="427"/>
    </row>
    <row r="59" spans="2:8" ht="12.75" customHeight="1" outlineLevel="1">
      <c r="B59" s="1192" t="s">
        <v>1775</v>
      </c>
      <c r="C59" s="1193"/>
      <c r="D59" s="1193"/>
      <c r="E59" s="1193"/>
      <c r="F59" s="1194"/>
      <c r="G59" s="452" t="s">
        <v>1776</v>
      </c>
      <c r="H59" s="427">
        <f>+H60+H61+H62+H63</f>
        <v>7401008.4454545463</v>
      </c>
    </row>
    <row r="60" spans="2:8" ht="12.75" customHeight="1" outlineLevel="1">
      <c r="B60" s="1189" t="s">
        <v>1737</v>
      </c>
      <c r="C60" s="1161" t="s">
        <v>1777</v>
      </c>
      <c r="D60" s="1162"/>
      <c r="E60" s="1162"/>
      <c r="F60" s="1163"/>
      <c r="G60" s="452" t="s">
        <v>1778</v>
      </c>
      <c r="H60" s="427"/>
    </row>
    <row r="61" spans="2:8" ht="12.75" customHeight="1" outlineLevel="1">
      <c r="B61" s="1190"/>
      <c r="C61" s="1161" t="s">
        <v>1779</v>
      </c>
      <c r="D61" s="1162"/>
      <c r="E61" s="1162"/>
      <c r="F61" s="1163"/>
      <c r="G61" s="452" t="s">
        <v>1780</v>
      </c>
      <c r="H61" s="427">
        <f>+M4*10</f>
        <v>7401008.4454545463</v>
      </c>
    </row>
    <row r="62" spans="2:8" ht="12.75" customHeight="1" outlineLevel="1">
      <c r="B62" s="1190"/>
      <c r="C62" s="1161" t="s">
        <v>1781</v>
      </c>
      <c r="D62" s="1162"/>
      <c r="E62" s="1162"/>
      <c r="F62" s="1163"/>
      <c r="G62" s="452" t="s">
        <v>1782</v>
      </c>
      <c r="H62" s="427"/>
    </row>
    <row r="63" spans="2:8" ht="12.75" customHeight="1" outlineLevel="1">
      <c r="B63" s="1191"/>
      <c r="C63" s="1161" t="s">
        <v>1783</v>
      </c>
      <c r="D63" s="1162"/>
      <c r="E63" s="1162"/>
      <c r="F63" s="1163"/>
      <c r="G63" s="452" t="s">
        <v>1784</v>
      </c>
      <c r="H63" s="427"/>
    </row>
    <row r="64" spans="2:8" outlineLevel="1">
      <c r="B64" s="1186" t="s">
        <v>1785</v>
      </c>
      <c r="C64" s="1187"/>
      <c r="D64" s="1187"/>
      <c r="E64" s="1187"/>
      <c r="F64" s="1188"/>
      <c r="G64" s="452" t="s">
        <v>1786</v>
      </c>
      <c r="H64" s="453">
        <f>+H59*0.1</f>
        <v>740100.84454545472</v>
      </c>
    </row>
    <row r="65" spans="2:8" outlineLevel="1">
      <c r="B65" s="1186" t="s">
        <v>1787</v>
      </c>
      <c r="C65" s="1187"/>
      <c r="D65" s="1187"/>
      <c r="E65" s="1187"/>
      <c r="F65" s="1188"/>
      <c r="G65" s="452" t="s">
        <v>1788</v>
      </c>
      <c r="H65" s="453">
        <f>+H66+H67+H68+H69+H70+H71</f>
        <v>0</v>
      </c>
    </row>
    <row r="66" spans="2:8" ht="12.75" customHeight="1" outlineLevel="1">
      <c r="B66" s="1189" t="s">
        <v>1737</v>
      </c>
      <c r="C66" s="1161" t="s">
        <v>1789</v>
      </c>
      <c r="D66" s="1162"/>
      <c r="E66" s="1162"/>
      <c r="F66" s="1163"/>
      <c r="G66" s="452" t="s">
        <v>1790</v>
      </c>
      <c r="H66" s="427"/>
    </row>
    <row r="67" spans="2:8" ht="12.75" customHeight="1" outlineLevel="1">
      <c r="B67" s="1190"/>
      <c r="C67" s="1161" t="s">
        <v>1791</v>
      </c>
      <c r="D67" s="1162"/>
      <c r="E67" s="1162"/>
      <c r="F67" s="1163"/>
      <c r="G67" s="452" t="s">
        <v>1792</v>
      </c>
      <c r="H67" s="427"/>
    </row>
    <row r="68" spans="2:8" ht="12.75" customHeight="1" outlineLevel="1">
      <c r="B68" s="1190"/>
      <c r="C68" s="1161" t="s">
        <v>1793</v>
      </c>
      <c r="D68" s="1162"/>
      <c r="E68" s="1162"/>
      <c r="F68" s="1163"/>
      <c r="G68" s="452" t="s">
        <v>1794</v>
      </c>
      <c r="H68" s="427"/>
    </row>
    <row r="69" spans="2:8" ht="12.75" customHeight="1" outlineLevel="1">
      <c r="B69" s="1190"/>
      <c r="C69" s="1161" t="s">
        <v>1795</v>
      </c>
      <c r="D69" s="1162"/>
      <c r="E69" s="1162"/>
      <c r="F69" s="1163"/>
      <c r="G69" s="452" t="s">
        <v>1796</v>
      </c>
      <c r="H69" s="427"/>
    </row>
    <row r="70" spans="2:8" ht="12.75" customHeight="1" outlineLevel="1">
      <c r="B70" s="1190"/>
      <c r="C70" s="1161" t="s">
        <v>1797</v>
      </c>
      <c r="D70" s="1162"/>
      <c r="E70" s="1162"/>
      <c r="F70" s="1163"/>
      <c r="G70" s="452" t="s">
        <v>1798</v>
      </c>
      <c r="H70" s="427"/>
    </row>
    <row r="71" spans="2:8" ht="12.75" customHeight="1" outlineLevel="1">
      <c r="B71" s="1191"/>
      <c r="C71" s="1161" t="s">
        <v>1799</v>
      </c>
      <c r="D71" s="1162"/>
      <c r="E71" s="1162"/>
      <c r="F71" s="1163"/>
      <c r="G71" s="452" t="s">
        <v>1800</v>
      </c>
      <c r="H71" s="427"/>
    </row>
    <row r="72" spans="2:8" outlineLevel="1">
      <c r="B72" s="1186" t="s">
        <v>1801</v>
      </c>
      <c r="C72" s="1187"/>
      <c r="D72" s="1187"/>
      <c r="E72" s="1187"/>
      <c r="F72" s="1188"/>
      <c r="G72" s="452" t="s">
        <v>1802</v>
      </c>
      <c r="H72" s="453">
        <f>+H64-H65</f>
        <v>740100.84454545472</v>
      </c>
    </row>
    <row r="73" spans="2:8" outlineLevel="1"/>
    <row r="74" spans="2:8" ht="22.5" customHeight="1" outlineLevel="1">
      <c r="B74" s="1167" t="s">
        <v>1803</v>
      </c>
      <c r="C74" s="1167"/>
      <c r="D74" s="1167"/>
      <c r="E74" s="1167"/>
      <c r="F74" s="1167"/>
      <c r="G74" s="1167"/>
      <c r="H74" s="1167"/>
    </row>
    <row r="75" spans="2:8" ht="12.75" customHeight="1" outlineLevel="1">
      <c r="B75" s="1161" t="s">
        <v>1804</v>
      </c>
      <c r="C75" s="1162"/>
      <c r="D75" s="1162"/>
      <c r="E75" s="1162"/>
      <c r="F75" s="1163"/>
      <c r="G75" s="452" t="s">
        <v>1805</v>
      </c>
      <c r="H75" s="427"/>
    </row>
    <row r="76" spans="2:8" ht="12.75" customHeight="1" outlineLevel="1">
      <c r="B76" s="1161" t="s">
        <v>1806</v>
      </c>
      <c r="C76" s="1162"/>
      <c r="D76" s="1162"/>
      <c r="E76" s="1162"/>
      <c r="F76" s="1163"/>
      <c r="G76" s="452" t="s">
        <v>1807</v>
      </c>
      <c r="H76" s="427"/>
    </row>
    <row r="77" spans="2:8" ht="12.75" customHeight="1" outlineLevel="1">
      <c r="B77" s="1164" t="s">
        <v>1808</v>
      </c>
      <c r="C77" s="1165"/>
      <c r="D77" s="1165"/>
      <c r="E77" s="1165"/>
      <c r="F77" s="1166"/>
      <c r="G77" s="452" t="s">
        <v>1809</v>
      </c>
      <c r="H77" s="427">
        <f>+(H75+H76)*0.1</f>
        <v>0</v>
      </c>
    </row>
    <row r="78" spans="2:8" ht="12.75" customHeight="1" outlineLevel="1">
      <c r="B78" s="1161" t="s">
        <v>1810</v>
      </c>
      <c r="C78" s="1162"/>
      <c r="D78" s="1162"/>
      <c r="E78" s="1162"/>
      <c r="F78" s="1163"/>
      <c r="G78" s="452" t="s">
        <v>1811</v>
      </c>
      <c r="H78" s="427"/>
    </row>
    <row r="79" spans="2:8" ht="12.75" customHeight="1" outlineLevel="1">
      <c r="B79" s="1161" t="s">
        <v>1812</v>
      </c>
      <c r="C79" s="1162"/>
      <c r="D79" s="1162"/>
      <c r="E79" s="1162"/>
      <c r="F79" s="1163"/>
      <c r="G79" s="452" t="s">
        <v>1813</v>
      </c>
      <c r="H79" s="427"/>
    </row>
    <row r="80" spans="2:8" ht="12.75" customHeight="1" outlineLevel="1">
      <c r="B80" s="1164" t="s">
        <v>1814</v>
      </c>
      <c r="C80" s="1165"/>
      <c r="D80" s="1165"/>
      <c r="E80" s="1165"/>
      <c r="F80" s="1166"/>
      <c r="G80" s="452" t="s">
        <v>1815</v>
      </c>
      <c r="H80" s="427">
        <f>+(H78+H79)*0.1</f>
        <v>0</v>
      </c>
    </row>
    <row r="81" spans="2:10" outlineLevel="1"/>
    <row r="82" spans="2:10" ht="12.75" customHeight="1" outlineLevel="1">
      <c r="B82" s="1167" t="s">
        <v>1816</v>
      </c>
      <c r="C82" s="1167"/>
      <c r="D82" s="1167"/>
      <c r="E82" s="1167"/>
      <c r="F82" s="1167"/>
      <c r="G82" s="1167"/>
      <c r="H82" s="1167"/>
    </row>
    <row r="83" spans="2:10" ht="12.75" customHeight="1" outlineLevel="1">
      <c r="B83" s="1164" t="s">
        <v>1817</v>
      </c>
      <c r="C83" s="1165"/>
      <c r="D83" s="1165"/>
      <c r="E83" s="1165"/>
      <c r="F83" s="1166"/>
      <c r="G83" s="452" t="s">
        <v>1818</v>
      </c>
      <c r="H83" s="427">
        <f>+H55+H77</f>
        <v>1009054.6541818181</v>
      </c>
    </row>
    <row r="84" spans="2:10" ht="12.75" customHeight="1" outlineLevel="1">
      <c r="B84" s="1164" t="s">
        <v>1819</v>
      </c>
      <c r="C84" s="1165"/>
      <c r="D84" s="1165"/>
      <c r="E84" s="1165"/>
      <c r="F84" s="1166"/>
      <c r="G84" s="452" t="s">
        <v>1820</v>
      </c>
      <c r="H84" s="427">
        <f>+H72+H80</f>
        <v>740100.84454545472</v>
      </c>
    </row>
    <row r="85" spans="2:10" outlineLevel="1"/>
    <row r="86" spans="2:10" ht="12.75" customHeight="1" outlineLevel="1">
      <c r="B86" s="1167" t="s">
        <v>1821</v>
      </c>
      <c r="C86" s="1167"/>
      <c r="D86" s="1167"/>
      <c r="E86" s="1167"/>
      <c r="F86" s="1167"/>
      <c r="G86" s="1167"/>
      <c r="H86" s="1167"/>
    </row>
    <row r="87" spans="2:10" ht="12.75" customHeight="1" outlineLevel="1">
      <c r="B87" s="1161" t="s">
        <v>1822</v>
      </c>
      <c r="C87" s="1162"/>
      <c r="D87" s="1162"/>
      <c r="E87" s="1162"/>
      <c r="F87" s="1163"/>
      <c r="G87" s="452" t="s">
        <v>1823</v>
      </c>
      <c r="H87" s="427"/>
    </row>
    <row r="88" spans="2:10" ht="12.75" customHeight="1" outlineLevel="1">
      <c r="B88" s="1164" t="s">
        <v>1824</v>
      </c>
      <c r="C88" s="1165"/>
      <c r="D88" s="1165"/>
      <c r="E88" s="1165"/>
      <c r="F88" s="1166"/>
      <c r="G88" s="452" t="s">
        <v>1825</v>
      </c>
      <c r="H88" s="427">
        <f>+H87*0.1</f>
        <v>0</v>
      </c>
    </row>
    <row r="89" spans="2:10" ht="12.75" customHeight="1" outlineLevel="1">
      <c r="B89" s="1161" t="s">
        <v>1826</v>
      </c>
      <c r="C89" s="1162"/>
      <c r="D89" s="1162"/>
      <c r="E89" s="1162"/>
      <c r="F89" s="1163"/>
      <c r="G89" s="452" t="s">
        <v>1827</v>
      </c>
      <c r="H89" s="427"/>
    </row>
    <row r="90" spans="2:10" ht="12.75" customHeight="1" outlineLevel="1">
      <c r="B90" s="1164" t="s">
        <v>1814</v>
      </c>
      <c r="C90" s="1165"/>
      <c r="D90" s="1165"/>
      <c r="E90" s="1165"/>
      <c r="F90" s="1166"/>
      <c r="G90" s="452" t="s">
        <v>1828</v>
      </c>
      <c r="H90" s="427">
        <f>+H89*0.1</f>
        <v>0</v>
      </c>
    </row>
    <row r="91" spans="2:10" outlineLevel="1"/>
    <row r="92" spans="2:10" ht="12.75" customHeight="1" outlineLevel="1">
      <c r="B92" s="1167" t="s">
        <v>1829</v>
      </c>
      <c r="C92" s="1167"/>
      <c r="D92" s="1167"/>
      <c r="E92" s="1167"/>
      <c r="F92" s="1167"/>
      <c r="G92" s="1167"/>
      <c r="H92" s="1167"/>
    </row>
    <row r="93" spans="2:10" outlineLevel="1">
      <c r="B93" s="1168" t="s">
        <v>1303</v>
      </c>
      <c r="C93" s="1168"/>
      <c r="D93" s="1169" t="s">
        <v>1830</v>
      </c>
      <c r="E93" s="1170"/>
      <c r="F93" s="1171"/>
      <c r="G93" s="452" t="s">
        <v>1831</v>
      </c>
      <c r="H93" s="427">
        <f>+H83-H88</f>
        <v>1009054.6541818181</v>
      </c>
    </row>
    <row r="94" spans="2:10" outlineLevel="1">
      <c r="B94" s="1168"/>
      <c r="C94" s="1168"/>
      <c r="D94" s="1169" t="s">
        <v>1832</v>
      </c>
      <c r="E94" s="1170"/>
      <c r="F94" s="1171"/>
      <c r="G94" s="452" t="s">
        <v>1833</v>
      </c>
      <c r="H94" s="427">
        <f>+H84-H90</f>
        <v>740100.84454545472</v>
      </c>
    </row>
    <row r="95" spans="2:10" outlineLevel="1">
      <c r="B95" s="1168"/>
      <c r="C95" s="1168"/>
      <c r="D95" s="1169" t="s">
        <v>1834</v>
      </c>
      <c r="E95" s="1170"/>
      <c r="F95" s="1171"/>
      <c r="G95" s="452" t="s">
        <v>1835</v>
      </c>
      <c r="H95" s="427">
        <f>+H93-H94</f>
        <v>268953.80963636341</v>
      </c>
      <c r="J95" s="79"/>
    </row>
    <row r="96" spans="2:10" outlineLevel="1">
      <c r="B96" s="1168"/>
      <c r="C96" s="1168"/>
      <c r="D96" s="1169" t="s">
        <v>1836</v>
      </c>
      <c r="E96" s="1170"/>
      <c r="F96" s="1171"/>
      <c r="G96" s="452" t="s">
        <v>1837</v>
      </c>
      <c r="H96" s="427"/>
    </row>
    <row r="97" spans="2:11" outlineLevel="1"/>
    <row r="98" spans="2:11" ht="12.75" customHeight="1" outlineLevel="1">
      <c r="B98" s="1176" t="s">
        <v>1838</v>
      </c>
      <c r="C98" s="1176"/>
      <c r="D98" s="1176"/>
      <c r="E98" s="1176"/>
      <c r="F98" s="1176"/>
      <c r="G98" s="455" t="s">
        <v>1839</v>
      </c>
      <c r="H98" s="456" t="s">
        <v>1840</v>
      </c>
    </row>
    <row r="99" spans="2:11" outlineLevel="1">
      <c r="B99" s="1172" t="s">
        <v>1841</v>
      </c>
      <c r="C99" s="1172"/>
      <c r="D99" s="1172"/>
      <c r="E99" s="457" t="s">
        <v>1072</v>
      </c>
      <c r="F99" s="458">
        <v>1</v>
      </c>
      <c r="G99" s="459">
        <f>+O3</f>
        <v>0</v>
      </c>
      <c r="H99" s="460"/>
    </row>
    <row r="100" spans="2:11" outlineLevel="1">
      <c r="B100" s="1172"/>
      <c r="C100" s="1172"/>
      <c r="D100" s="1172"/>
      <c r="E100" s="457" t="s">
        <v>1073</v>
      </c>
      <c r="F100" s="458">
        <f>+F99+1</f>
        <v>2</v>
      </c>
      <c r="G100" s="461"/>
      <c r="H100" s="462">
        <f>+STAT1!I111</f>
        <v>67186734.859999999</v>
      </c>
      <c r="J100" s="237"/>
      <c r="K100" s="79"/>
    </row>
    <row r="101" spans="2:11" outlineLevel="1">
      <c r="B101" s="1172" t="s">
        <v>1842</v>
      </c>
      <c r="C101" s="1172"/>
      <c r="D101" s="1172"/>
      <c r="E101" s="457" t="s">
        <v>1072</v>
      </c>
      <c r="F101" s="458">
        <f t="shared" ref="F101:F114" si="2">+F100+1</f>
        <v>3</v>
      </c>
      <c r="G101" s="459"/>
      <c r="H101" s="460"/>
    </row>
    <row r="102" spans="2:11" outlineLevel="1">
      <c r="B102" s="1172"/>
      <c r="C102" s="1172"/>
      <c r="D102" s="1172"/>
      <c r="E102" s="457" t="s">
        <v>1073</v>
      </c>
      <c r="F102" s="458">
        <f t="shared" si="2"/>
        <v>4</v>
      </c>
      <c r="G102" s="461"/>
      <c r="H102" s="462">
        <f>+H95</f>
        <v>268953.80963636341</v>
      </c>
    </row>
    <row r="103" spans="2:11" outlineLevel="1">
      <c r="B103" s="1173" t="s">
        <v>1078</v>
      </c>
      <c r="C103" s="1174"/>
      <c r="D103" s="1174"/>
      <c r="E103" s="1175"/>
      <c r="F103" s="458">
        <f t="shared" si="2"/>
        <v>5</v>
      </c>
      <c r="G103" s="459">
        <f>L4</f>
        <v>0</v>
      </c>
      <c r="H103" s="460"/>
      <c r="J103" s="79"/>
      <c r="K103" s="237"/>
    </row>
    <row r="104" spans="2:11" ht="12.75" customHeight="1" outlineLevel="1">
      <c r="B104" s="1177" t="s">
        <v>1843</v>
      </c>
      <c r="C104" s="1178"/>
      <c r="D104" s="1178"/>
      <c r="E104" s="1179"/>
      <c r="F104" s="458">
        <f t="shared" si="2"/>
        <v>6</v>
      </c>
      <c r="G104" s="464"/>
      <c r="H104" s="460"/>
    </row>
    <row r="105" spans="2:11" ht="12.75" customHeight="1" outlineLevel="1">
      <c r="B105" s="1177" t="s">
        <v>1843</v>
      </c>
      <c r="C105" s="1178"/>
      <c r="D105" s="1178"/>
      <c r="E105" s="1179"/>
      <c r="F105" s="458">
        <f t="shared" si="2"/>
        <v>7</v>
      </c>
      <c r="G105" s="461"/>
      <c r="H105" s="463"/>
    </row>
    <row r="106" spans="2:11" outlineLevel="1">
      <c r="B106" s="1172" t="s">
        <v>1844</v>
      </c>
      <c r="C106" s="1172"/>
      <c r="D106" s="1172"/>
      <c r="E106" s="457" t="s">
        <v>1072</v>
      </c>
      <c r="F106" s="458">
        <f t="shared" si="2"/>
        <v>8</v>
      </c>
      <c r="G106" s="464"/>
      <c r="H106" s="460"/>
    </row>
    <row r="107" spans="2:11" outlineLevel="1">
      <c r="B107" s="1172"/>
      <c r="C107" s="1172"/>
      <c r="D107" s="1172"/>
      <c r="E107" s="457" t="s">
        <v>1073</v>
      </c>
      <c r="F107" s="458">
        <f t="shared" si="2"/>
        <v>9</v>
      </c>
      <c r="G107" s="461"/>
      <c r="H107" s="463"/>
    </row>
    <row r="108" spans="2:11" outlineLevel="1">
      <c r="B108" s="1172" t="s">
        <v>1845</v>
      </c>
      <c r="C108" s="1172"/>
      <c r="D108" s="1172"/>
      <c r="E108" s="457" t="s">
        <v>1072</v>
      </c>
      <c r="F108" s="458">
        <f t="shared" si="2"/>
        <v>10</v>
      </c>
      <c r="G108" s="464"/>
      <c r="H108" s="460"/>
    </row>
    <row r="109" spans="2:11" outlineLevel="1">
      <c r="B109" s="1172"/>
      <c r="C109" s="1172"/>
      <c r="D109" s="1172"/>
      <c r="E109" s="457" t="s">
        <v>1073</v>
      </c>
      <c r="F109" s="458">
        <f t="shared" si="2"/>
        <v>11</v>
      </c>
      <c r="G109" s="461"/>
      <c r="H109" s="463"/>
    </row>
    <row r="110" spans="2:11" outlineLevel="1">
      <c r="B110" s="1173" t="s">
        <v>1846</v>
      </c>
      <c r="C110" s="1174"/>
      <c r="D110" s="1174"/>
      <c r="E110" s="1175"/>
      <c r="F110" s="458">
        <f t="shared" si="2"/>
        <v>12</v>
      </c>
      <c r="G110" s="464"/>
      <c r="H110" s="460"/>
    </row>
    <row r="111" spans="2:11" outlineLevel="1">
      <c r="B111" s="1172" t="s">
        <v>1847</v>
      </c>
      <c r="C111" s="1172"/>
      <c r="D111" s="1172"/>
      <c r="E111" s="457" t="s">
        <v>1072</v>
      </c>
      <c r="F111" s="458">
        <f t="shared" si="2"/>
        <v>13</v>
      </c>
      <c r="G111" s="464"/>
      <c r="H111" s="460"/>
    </row>
    <row r="112" spans="2:11" outlineLevel="1">
      <c r="B112" s="1172"/>
      <c r="C112" s="1172"/>
      <c r="D112" s="1172"/>
      <c r="E112" s="457" t="s">
        <v>1073</v>
      </c>
      <c r="F112" s="458">
        <f t="shared" si="2"/>
        <v>14</v>
      </c>
      <c r="G112" s="461"/>
      <c r="H112" s="463"/>
    </row>
    <row r="113" spans="1:11" outlineLevel="1">
      <c r="B113" s="1172" t="s">
        <v>1848</v>
      </c>
      <c r="C113" s="1172"/>
      <c r="D113" s="1172"/>
      <c r="E113" s="457" t="s">
        <v>1072</v>
      </c>
      <c r="F113" s="458">
        <f t="shared" si="2"/>
        <v>15</v>
      </c>
      <c r="G113" s="459">
        <f>IF((G99+G101+G103-H100-H102)&gt;0,(G99+G101+G103-H100-H102),0)</f>
        <v>0</v>
      </c>
      <c r="H113" s="460"/>
    </row>
    <row r="114" spans="1:11" outlineLevel="1">
      <c r="B114" s="1172"/>
      <c r="C114" s="1172"/>
      <c r="D114" s="1172"/>
      <c r="E114" s="457" t="s">
        <v>1073</v>
      </c>
      <c r="F114" s="458">
        <f t="shared" si="2"/>
        <v>16</v>
      </c>
      <c r="G114" s="465"/>
      <c r="H114" s="510">
        <f>+IF((H100+H102-G99-G101-G103)&gt;0,(H100+H102-G99-G101-G103),0)</f>
        <v>67455688.669636369</v>
      </c>
      <c r="J114" s="238">
        <v>53215268.479999997</v>
      </c>
      <c r="K114" s="79">
        <f>+J114-H114</f>
        <v>-14240420.189636372</v>
      </c>
    </row>
    <row r="115" spans="1:11" outlineLevel="1"/>
    <row r="116" spans="1:11" outlineLevel="1"/>
    <row r="117" spans="1:11" outlineLevel="1">
      <c r="B117" s="332" t="s">
        <v>1849</v>
      </c>
      <c r="E117" s="332" t="s">
        <v>1083</v>
      </c>
    </row>
    <row r="118" spans="1:11" outlineLevel="1">
      <c r="B118" s="332"/>
    </row>
    <row r="119" spans="1:11" outlineLevel="1">
      <c r="B119" s="332" t="str">
        <f>+CONCATENATE('[6]company '!B25," . . . . . . . . . . . . . . . . . .  ... . . . .. . . . ",'[6]company '!C25)</f>
        <v>Ерөнхий захирал . . . . . . . . . . . . . . . . . .  ... . . . .. . . . /Г.Солонго /</v>
      </c>
      <c r="E119" s="332" t="s">
        <v>1850</v>
      </c>
    </row>
    <row r="120" spans="1:11" outlineLevel="1">
      <c r="B120" s="332"/>
    </row>
    <row r="121" spans="1:11" outlineLevel="1">
      <c r="B121" s="332" t="str">
        <f>+CONCATENATE('[6]company '!B28,". . . . . . . . . . . . . . . . . . . . ",'[6]company '!C28)</f>
        <v>Ерөнхий нягтлан бодогч. . . . . . . . . . . . . . . . . . . . /Б.Түмэндэлгэр/</v>
      </c>
    </row>
    <row r="122" spans="1:11">
      <c r="A122" s="238" t="s">
        <v>2290</v>
      </c>
    </row>
    <row r="123" spans="1:11" hidden="1" outlineLevel="1">
      <c r="B123" s="437"/>
      <c r="C123" s="437"/>
      <c r="D123" s="437"/>
      <c r="E123" s="477"/>
      <c r="F123" s="1180" t="s">
        <v>1706</v>
      </c>
      <c r="G123" s="1180"/>
      <c r="H123" s="1180"/>
    </row>
    <row r="124" spans="1:11" hidden="1" outlineLevel="1">
      <c r="D124" s="437"/>
      <c r="E124" s="1181" t="s">
        <v>1710</v>
      </c>
      <c r="F124" s="1181"/>
      <c r="G124" s="1181"/>
      <c r="H124" s="1181"/>
    </row>
    <row r="125" spans="1:11" ht="18.75" hidden="1" outlineLevel="1">
      <c r="G125" s="444" t="s">
        <v>1716</v>
      </c>
      <c r="H125" s="445" t="s">
        <v>1717</v>
      </c>
    </row>
    <row r="126" spans="1:11" ht="21" hidden="1" outlineLevel="1" thickBot="1">
      <c r="B126" s="1182" t="s">
        <v>1718</v>
      </c>
      <c r="C126" s="1182"/>
      <c r="D126" s="1182"/>
      <c r="E126" s="1182"/>
      <c r="F126" s="1182"/>
      <c r="G126" s="1182"/>
      <c r="H126" s="1182"/>
    </row>
    <row r="127" spans="1:11" ht="13.5" hidden="1" outlineLevel="1" thickTop="1"/>
    <row r="128" spans="1:11" hidden="1" outlineLevel="1">
      <c r="B128" s="1183" t="s">
        <v>1719</v>
      </c>
      <c r="C128" s="1184"/>
      <c r="D128" s="1184"/>
      <c r="E128" s="1184"/>
      <c r="F128" s="1184"/>
      <c r="G128" s="1184"/>
      <c r="H128" s="1185"/>
    </row>
    <row r="129" spans="2:8" hidden="1" outlineLevel="1">
      <c r="B129" s="1155" t="str">
        <f>+CONCATENATE('company '!B129,'company '!C129)</f>
        <v/>
      </c>
      <c r="C129" s="1156"/>
      <c r="D129" s="1157"/>
      <c r="E129" s="1158" t="str">
        <f>+CONCATENATE('company '!B128,'company '!C128)</f>
        <v/>
      </c>
      <c r="F129" s="1159"/>
      <c r="G129" s="1159"/>
      <c r="H129" s="1160"/>
    </row>
    <row r="130" spans="2:8" hidden="1" outlineLevel="1">
      <c r="B130" s="1155" t="str">
        <f>+CONCATENATE('company '!B130,'company '!C130)</f>
        <v/>
      </c>
      <c r="C130" s="1156"/>
      <c r="D130" s="1157"/>
      <c r="E130" s="1158" t="str">
        <f>+CONCATENATE('company '!B129,'company '!C129)</f>
        <v/>
      </c>
      <c r="F130" s="1159"/>
      <c r="G130" s="1159"/>
      <c r="H130" s="1160"/>
    </row>
    <row r="131" spans="2:8" hidden="1" outlineLevel="1">
      <c r="B131" s="441" t="s">
        <v>1971</v>
      </c>
      <c r="D131" s="557"/>
      <c r="E131" s="332" t="s">
        <v>1972</v>
      </c>
      <c r="G131" s="409"/>
    </row>
    <row r="132" spans="2:8" hidden="1" outlineLevel="1">
      <c r="B132" s="1183"/>
      <c r="C132" s="1184"/>
      <c r="D132" s="1201"/>
      <c r="E132" s="1202"/>
      <c r="F132" s="1203"/>
      <c r="G132" s="1204"/>
      <c r="H132" s="1205"/>
    </row>
    <row r="133" spans="2:8" hidden="1" outlineLevel="1">
      <c r="B133" s="1183" t="s">
        <v>1973</v>
      </c>
      <c r="C133" s="1184"/>
      <c r="D133" s="1185"/>
      <c r="E133" s="1202" t="s">
        <v>1974</v>
      </c>
      <c r="F133" s="1203"/>
      <c r="G133" s="1203"/>
      <c r="H133" s="1205"/>
    </row>
    <row r="134" spans="2:8" hidden="1" outlineLevel="1">
      <c r="B134" s="1183" t="s">
        <v>1975</v>
      </c>
      <c r="C134" s="1184"/>
      <c r="D134" s="1185"/>
      <c r="E134" s="1202" t="s">
        <v>1976</v>
      </c>
      <c r="F134" s="1203"/>
      <c r="G134" s="1203"/>
      <c r="H134" s="1205"/>
    </row>
    <row r="135" spans="2:8" hidden="1" outlineLevel="1">
      <c r="B135" s="1206" t="s">
        <v>1977</v>
      </c>
      <c r="C135" s="1207"/>
      <c r="D135" s="1208"/>
      <c r="E135" s="1209" t="s">
        <v>1266</v>
      </c>
      <c r="F135" s="1210"/>
      <c r="G135" s="1210"/>
      <c r="H135" s="1211"/>
    </row>
    <row r="136" spans="2:8" hidden="1" outlineLevel="1">
      <c r="B136" s="1212" t="s">
        <v>1978</v>
      </c>
      <c r="C136" s="1212"/>
      <c r="D136" s="1212"/>
      <c r="E136" s="1213" t="s">
        <v>1268</v>
      </c>
      <c r="F136" s="1213"/>
      <c r="G136" s="1213"/>
      <c r="H136" s="1213"/>
    </row>
    <row r="137" spans="2:8" hidden="1" outlineLevel="1">
      <c r="B137" s="1183" t="s">
        <v>1269</v>
      </c>
      <c r="C137" s="1184"/>
      <c r="D137" s="1184"/>
      <c r="E137" s="1217"/>
      <c r="F137" s="1217"/>
      <c r="G137" s="1217"/>
      <c r="H137" s="1201"/>
    </row>
    <row r="138" spans="2:8" hidden="1" outlineLevel="1">
      <c r="B138" s="1198"/>
      <c r="C138" s="1183" t="s">
        <v>1721</v>
      </c>
      <c r="D138" s="1185"/>
      <c r="E138" s="1202" t="s">
        <v>1722</v>
      </c>
      <c r="F138" s="1203"/>
      <c r="G138" s="1205"/>
      <c r="H138" s="448"/>
    </row>
    <row r="139" spans="2:8" hidden="1" outlineLevel="1">
      <c r="B139" s="1199"/>
      <c r="C139" s="1183" t="str">
        <f>+CONCATENATE(E139,H139)</f>
        <v>Тайлант үе:2-сар</v>
      </c>
      <c r="D139" s="1185"/>
      <c r="E139" s="1195" t="s">
        <v>46</v>
      </c>
      <c r="F139" s="1196"/>
      <c r="G139" s="1197"/>
      <c r="H139" s="427" t="s">
        <v>1960</v>
      </c>
    </row>
    <row r="140" spans="2:8" hidden="1" outlineLevel="1">
      <c r="B140" s="1200"/>
      <c r="C140" s="1195" t="s">
        <v>1724</v>
      </c>
      <c r="D140" s="1197"/>
      <c r="E140" s="1195" t="s">
        <v>1725</v>
      </c>
      <c r="F140" s="1196"/>
      <c r="G140" s="1197"/>
      <c r="H140" s="427"/>
    </row>
    <row r="141" spans="2:8" hidden="1" outlineLevel="1">
      <c r="B141" s="478"/>
      <c r="C141" s="478"/>
      <c r="D141" s="478"/>
      <c r="E141" s="478"/>
      <c r="F141" s="478"/>
      <c r="G141" s="449"/>
      <c r="H141" s="450"/>
    </row>
    <row r="142" spans="2:8" hidden="1" outlineLevel="1">
      <c r="B142" s="1216" t="s">
        <v>1726</v>
      </c>
      <c r="C142" s="1216"/>
      <c r="D142" s="1216"/>
      <c r="E142" s="451"/>
      <c r="F142" s="478" t="s">
        <v>1727</v>
      </c>
      <c r="G142" s="449"/>
      <c r="H142" s="450" t="s">
        <v>1728</v>
      </c>
    </row>
    <row r="143" spans="2:8" hidden="1" outlineLevel="1">
      <c r="B143" s="478"/>
      <c r="C143" s="478"/>
      <c r="D143" s="478"/>
      <c r="E143" s="478"/>
      <c r="F143" s="478"/>
      <c r="G143" s="449"/>
      <c r="H143" s="450"/>
    </row>
    <row r="144" spans="2:8" hidden="1" outlineLevel="1">
      <c r="B144" s="478"/>
      <c r="C144" s="478"/>
      <c r="D144" s="478"/>
      <c r="E144" s="478"/>
      <c r="F144" s="478"/>
      <c r="G144" s="449"/>
      <c r="H144" s="450"/>
    </row>
    <row r="145" spans="2:8" ht="21.75" hidden="1" customHeight="1" outlineLevel="1">
      <c r="B145" s="1167" t="s">
        <v>1729</v>
      </c>
      <c r="C145" s="1167"/>
      <c r="D145" s="1167"/>
      <c r="E145" s="1167"/>
      <c r="F145" s="1167"/>
      <c r="G145" s="1167"/>
      <c r="H145" s="1167"/>
    </row>
    <row r="146" spans="2:8" hidden="1" outlineLevel="1">
      <c r="B146" s="1186" t="s">
        <v>1730</v>
      </c>
      <c r="C146" s="1187"/>
      <c r="D146" s="1187"/>
      <c r="E146" s="1187"/>
      <c r="F146" s="1188"/>
      <c r="G146" s="452" t="s">
        <v>1731</v>
      </c>
      <c r="H146" s="453">
        <f>+H147+H148</f>
        <v>11908088.18</v>
      </c>
    </row>
    <row r="147" spans="2:8" hidden="1" outlineLevel="1">
      <c r="B147" s="1192" t="s">
        <v>1732</v>
      </c>
      <c r="C147" s="1193"/>
      <c r="D147" s="1193"/>
      <c r="E147" s="1193"/>
      <c r="F147" s="1194"/>
      <c r="G147" s="452" t="s">
        <v>99</v>
      </c>
      <c r="H147" s="427"/>
    </row>
    <row r="148" spans="2:8" hidden="1" outlineLevel="1">
      <c r="B148" s="1192" t="s">
        <v>1733</v>
      </c>
      <c r="C148" s="1193"/>
      <c r="D148" s="1193"/>
      <c r="E148" s="1193"/>
      <c r="F148" s="1194"/>
      <c r="G148" s="452" t="s">
        <v>1734</v>
      </c>
      <c r="H148" s="427">
        <f>+H149+H155+H175</f>
        <v>11908088.18</v>
      </c>
    </row>
    <row r="149" spans="2:8" hidden="1" outlineLevel="1">
      <c r="B149" s="1198"/>
      <c r="C149" s="1186" t="s">
        <v>1735</v>
      </c>
      <c r="D149" s="1187"/>
      <c r="E149" s="1187"/>
      <c r="F149" s="1188"/>
      <c r="G149" s="452" t="s">
        <v>1736</v>
      </c>
      <c r="H149" s="453">
        <f>+H150+H151+H152+H153+H154</f>
        <v>11908088.18</v>
      </c>
    </row>
    <row r="150" spans="2:8" hidden="1" outlineLevel="1">
      <c r="B150" s="1199"/>
      <c r="C150" s="1189" t="s">
        <v>1737</v>
      </c>
      <c r="D150" s="1195" t="s">
        <v>1738</v>
      </c>
      <c r="E150" s="1196"/>
      <c r="F150" s="1197"/>
      <c r="G150" s="452" t="s">
        <v>173</v>
      </c>
      <c r="H150" s="427">
        <f>+SUMIFS(JURNAL!H:H,JURNAL!E:E,510000,JURNAL!C:C,"&gt;="&amp;J5,JURNAL!C:C,"&lt;="&amp;K5)+SUMIFS(JURNAL!H:H,JURNAL!E:E,510100,JURNAL!C:C,"&gt;="&amp;J5,JURNAL!C:C,"&lt;="&amp;K5)</f>
        <v>11908088.18</v>
      </c>
    </row>
    <row r="151" spans="2:8" hidden="1" outlineLevel="1">
      <c r="B151" s="1199"/>
      <c r="C151" s="1190"/>
      <c r="D151" s="1161" t="s">
        <v>1739</v>
      </c>
      <c r="E151" s="1162"/>
      <c r="F151" s="1163"/>
      <c r="G151" s="454" t="s">
        <v>174</v>
      </c>
      <c r="H151" s="427"/>
    </row>
    <row r="152" spans="2:8" hidden="1" outlineLevel="1">
      <c r="B152" s="1199"/>
      <c r="C152" s="1190"/>
      <c r="D152" s="1161" t="s">
        <v>831</v>
      </c>
      <c r="E152" s="1162"/>
      <c r="F152" s="1163"/>
      <c r="G152" s="454" t="s">
        <v>897</v>
      </c>
      <c r="H152" s="427"/>
    </row>
    <row r="153" spans="2:8" hidden="1" outlineLevel="1">
      <c r="B153" s="1199"/>
      <c r="C153" s="1190"/>
      <c r="D153" s="1161" t="s">
        <v>1740</v>
      </c>
      <c r="E153" s="1162"/>
      <c r="F153" s="1163"/>
      <c r="G153" s="454" t="s">
        <v>899</v>
      </c>
      <c r="H153" s="427"/>
    </row>
    <row r="154" spans="2:8" hidden="1" outlineLevel="1">
      <c r="B154" s="1199"/>
      <c r="C154" s="1191"/>
      <c r="D154" s="1161" t="s">
        <v>1741</v>
      </c>
      <c r="E154" s="1162"/>
      <c r="F154" s="1163"/>
      <c r="G154" s="454" t="s">
        <v>901</v>
      </c>
      <c r="H154" s="427"/>
    </row>
    <row r="155" spans="2:8" hidden="1" outlineLevel="1">
      <c r="B155" s="1199"/>
      <c r="C155" s="1186" t="s">
        <v>1742</v>
      </c>
      <c r="D155" s="1187"/>
      <c r="E155" s="1187"/>
      <c r="F155" s="1188"/>
      <c r="G155" s="452" t="s">
        <v>1743</v>
      </c>
      <c r="H155" s="453">
        <f>+H156+H157+H158+H159+H160+H161+H162+H163+H164+H165+H166+H167+H168+H169+H170</f>
        <v>0</v>
      </c>
    </row>
    <row r="156" spans="2:8" hidden="1" outlineLevel="1">
      <c r="B156" s="1199"/>
      <c r="C156" s="1189" t="s">
        <v>1737</v>
      </c>
      <c r="D156" s="1161" t="s">
        <v>1744</v>
      </c>
      <c r="E156" s="1162"/>
      <c r="F156" s="1163"/>
      <c r="G156" s="454" t="s">
        <v>905</v>
      </c>
      <c r="H156" s="427"/>
    </row>
    <row r="157" spans="2:8" hidden="1" outlineLevel="1">
      <c r="B157" s="1199"/>
      <c r="C157" s="1190"/>
      <c r="D157" s="1161" t="s">
        <v>1745</v>
      </c>
      <c r="E157" s="1162"/>
      <c r="F157" s="1163"/>
      <c r="G157" s="454" t="s">
        <v>907</v>
      </c>
      <c r="H157" s="427"/>
    </row>
    <row r="158" spans="2:8" hidden="1" outlineLevel="1">
      <c r="B158" s="1199"/>
      <c r="C158" s="1190"/>
      <c r="D158" s="1161" t="s">
        <v>1746</v>
      </c>
      <c r="E158" s="1162"/>
      <c r="F158" s="1163"/>
      <c r="G158" s="454" t="s">
        <v>909</v>
      </c>
      <c r="H158" s="427"/>
    </row>
    <row r="159" spans="2:8" hidden="1" outlineLevel="1">
      <c r="B159" s="1199"/>
      <c r="C159" s="1190"/>
      <c r="D159" s="1161" t="s">
        <v>1747</v>
      </c>
      <c r="E159" s="1162"/>
      <c r="F159" s="1163"/>
      <c r="G159" s="454" t="s">
        <v>911</v>
      </c>
      <c r="H159" s="427"/>
    </row>
    <row r="160" spans="2:8" hidden="1" outlineLevel="1">
      <c r="B160" s="1199"/>
      <c r="C160" s="1190"/>
      <c r="D160" s="1161" t="s">
        <v>1748</v>
      </c>
      <c r="E160" s="1162"/>
      <c r="F160" s="1163"/>
      <c r="G160" s="454" t="s">
        <v>913</v>
      </c>
      <c r="H160" s="427"/>
    </row>
    <row r="161" spans="2:8" hidden="1" outlineLevel="1">
      <c r="B161" s="1199"/>
      <c r="C161" s="1190"/>
      <c r="D161" s="1161" t="s">
        <v>1749</v>
      </c>
      <c r="E161" s="1162"/>
      <c r="F161" s="1163"/>
      <c r="G161" s="454" t="s">
        <v>915</v>
      </c>
      <c r="H161" s="427"/>
    </row>
    <row r="162" spans="2:8" hidden="1" outlineLevel="1">
      <c r="B162" s="1199"/>
      <c r="C162" s="1190"/>
      <c r="D162" s="1161" t="s">
        <v>1750</v>
      </c>
      <c r="E162" s="1162"/>
      <c r="F162" s="1163"/>
      <c r="G162" s="454" t="s">
        <v>917</v>
      </c>
      <c r="H162" s="427"/>
    </row>
    <row r="163" spans="2:8" hidden="1" outlineLevel="1">
      <c r="B163" s="1199"/>
      <c r="C163" s="1190"/>
      <c r="D163" s="1161" t="s">
        <v>1751</v>
      </c>
      <c r="E163" s="1162"/>
      <c r="F163" s="1163"/>
      <c r="G163" s="454" t="s">
        <v>919</v>
      </c>
      <c r="H163" s="427"/>
    </row>
    <row r="164" spans="2:8" hidden="1" outlineLevel="1">
      <c r="B164" s="1199"/>
      <c r="C164" s="1190"/>
      <c r="D164" s="1161" t="s">
        <v>1752</v>
      </c>
      <c r="E164" s="1162"/>
      <c r="F164" s="1163"/>
      <c r="G164" s="454" t="s">
        <v>921</v>
      </c>
      <c r="H164" s="427"/>
    </row>
    <row r="165" spans="2:8" hidden="1" outlineLevel="1">
      <c r="B165" s="1199"/>
      <c r="C165" s="1190"/>
      <c r="D165" s="1161" t="s">
        <v>1753</v>
      </c>
      <c r="E165" s="1162"/>
      <c r="F165" s="1163"/>
      <c r="G165" s="454" t="s">
        <v>923</v>
      </c>
      <c r="H165" s="427"/>
    </row>
    <row r="166" spans="2:8" hidden="1" outlineLevel="1">
      <c r="B166" s="1199"/>
      <c r="C166" s="1190"/>
      <c r="D166" s="1161" t="s">
        <v>1754</v>
      </c>
      <c r="E166" s="1162"/>
      <c r="F166" s="1163"/>
      <c r="G166" s="454" t="s">
        <v>925</v>
      </c>
      <c r="H166" s="427"/>
    </row>
    <row r="167" spans="2:8" hidden="1" outlineLevel="1">
      <c r="B167" s="1199"/>
      <c r="C167" s="1190"/>
      <c r="D167" s="1161" t="s">
        <v>1755</v>
      </c>
      <c r="E167" s="1162"/>
      <c r="F167" s="1163"/>
      <c r="G167" s="454" t="s">
        <v>927</v>
      </c>
      <c r="H167" s="427"/>
    </row>
    <row r="168" spans="2:8" hidden="1" outlineLevel="1">
      <c r="B168" s="1199"/>
      <c r="C168" s="1190"/>
      <c r="D168" s="1161" t="s">
        <v>1756</v>
      </c>
      <c r="E168" s="1162"/>
      <c r="F168" s="1163"/>
      <c r="G168" s="454" t="s">
        <v>929</v>
      </c>
      <c r="H168" s="427"/>
    </row>
    <row r="169" spans="2:8" hidden="1" outlineLevel="1">
      <c r="B169" s="1199"/>
      <c r="C169" s="1190"/>
      <c r="D169" s="1161" t="s">
        <v>1757</v>
      </c>
      <c r="E169" s="1162"/>
      <c r="F169" s="1163"/>
      <c r="G169" s="454" t="s">
        <v>937</v>
      </c>
      <c r="H169" s="427"/>
    </row>
    <row r="170" spans="2:8" hidden="1" outlineLevel="1">
      <c r="B170" s="1200"/>
      <c r="C170" s="1191"/>
      <c r="D170" s="1161" t="s">
        <v>1758</v>
      </c>
      <c r="E170" s="1162"/>
      <c r="F170" s="1163"/>
      <c r="G170" s="454" t="s">
        <v>939</v>
      </c>
      <c r="H170" s="427"/>
    </row>
    <row r="171" spans="2:8" hidden="1" outlineLevel="1">
      <c r="B171" s="1186" t="s">
        <v>1759</v>
      </c>
      <c r="C171" s="1187"/>
      <c r="D171" s="1187"/>
      <c r="E171" s="1187"/>
      <c r="F171" s="1188"/>
      <c r="G171" s="452" t="s">
        <v>1760</v>
      </c>
      <c r="H171" s="453">
        <f>+H149+H155</f>
        <v>11908088.18</v>
      </c>
    </row>
    <row r="172" spans="2:8" hidden="1" outlineLevel="1">
      <c r="B172" s="1186" t="s">
        <v>1761</v>
      </c>
      <c r="C172" s="1187"/>
      <c r="D172" s="1187"/>
      <c r="E172" s="1187"/>
      <c r="F172" s="1188"/>
      <c r="G172" s="452" t="s">
        <v>1762</v>
      </c>
      <c r="H172" s="453">
        <f>+H171*0.1</f>
        <v>1190808.818</v>
      </c>
    </row>
    <row r="173" spans="2:8" hidden="1" outlineLevel="1">
      <c r="B173" s="1195" t="s">
        <v>1763</v>
      </c>
      <c r="C173" s="1196"/>
      <c r="D173" s="1196"/>
      <c r="E173" s="1196"/>
      <c r="F173" s="1197"/>
      <c r="G173" s="452" t="s">
        <v>1764</v>
      </c>
      <c r="H173" s="427"/>
    </row>
    <row r="174" spans="2:8" hidden="1" outlineLevel="1">
      <c r="B174" s="1195" t="s">
        <v>1765</v>
      </c>
      <c r="C174" s="1196"/>
      <c r="D174" s="1196"/>
      <c r="E174" s="1196"/>
      <c r="F174" s="1197"/>
      <c r="G174" s="452" t="s">
        <v>1766</v>
      </c>
      <c r="H174" s="427"/>
    </row>
    <row r="175" spans="2:8" hidden="1" outlineLevel="1">
      <c r="B175" s="1186" t="s">
        <v>1767</v>
      </c>
      <c r="C175" s="1187"/>
      <c r="D175" s="1187"/>
      <c r="E175" s="1187"/>
      <c r="F175" s="1188"/>
      <c r="G175" s="452" t="s">
        <v>1768</v>
      </c>
      <c r="H175" s="453">
        <f>+H173+H174</f>
        <v>0</v>
      </c>
    </row>
    <row r="176" spans="2:8" hidden="1" outlineLevel="1">
      <c r="B176" s="1186" t="s">
        <v>1761</v>
      </c>
      <c r="C176" s="1187"/>
      <c r="D176" s="1187"/>
      <c r="E176" s="1187"/>
      <c r="F176" s="1188"/>
      <c r="G176" s="452" t="s">
        <v>1769</v>
      </c>
      <c r="H176" s="453">
        <f>+H175*0%</f>
        <v>0</v>
      </c>
    </row>
    <row r="177" spans="2:8" hidden="1" outlineLevel="1">
      <c r="B177" s="1186" t="s">
        <v>1770</v>
      </c>
      <c r="C177" s="1187"/>
      <c r="D177" s="1187"/>
      <c r="E177" s="1187"/>
      <c r="F177" s="1188"/>
      <c r="G177" s="452" t="s">
        <v>1771</v>
      </c>
      <c r="H177" s="453">
        <f>+H172+H176</f>
        <v>1190808.818</v>
      </c>
    </row>
    <row r="178" spans="2:8" hidden="1" outlineLevel="1"/>
    <row r="179" spans="2:8" ht="25.5" hidden="1" customHeight="1" outlineLevel="1">
      <c r="B179" s="1167" t="s">
        <v>1772</v>
      </c>
      <c r="C179" s="1167"/>
      <c r="D179" s="1167"/>
      <c r="E179" s="1167"/>
      <c r="F179" s="1167"/>
      <c r="G179" s="1167"/>
      <c r="H179" s="1167"/>
    </row>
    <row r="180" spans="2:8" hidden="1" outlineLevel="1">
      <c r="B180" s="1186" t="s">
        <v>1773</v>
      </c>
      <c r="C180" s="1187"/>
      <c r="D180" s="1187"/>
      <c r="E180" s="1187"/>
      <c r="F180" s="1188"/>
      <c r="G180" s="452" t="s">
        <v>1774</v>
      </c>
      <c r="H180" s="427"/>
    </row>
    <row r="181" spans="2:8" hidden="1" outlineLevel="1">
      <c r="B181" s="1192" t="s">
        <v>1775</v>
      </c>
      <c r="C181" s="1193"/>
      <c r="D181" s="1193"/>
      <c r="E181" s="1193"/>
      <c r="F181" s="1194"/>
      <c r="G181" s="452" t="s">
        <v>1776</v>
      </c>
      <c r="H181" s="427">
        <f>+H182+H183+H184+H185</f>
        <v>13953134.700000003</v>
      </c>
    </row>
    <row r="182" spans="2:8" hidden="1" outlineLevel="1">
      <c r="B182" s="1189" t="s">
        <v>1737</v>
      </c>
      <c r="C182" s="1161" t="s">
        <v>1777</v>
      </c>
      <c r="D182" s="1162"/>
      <c r="E182" s="1162"/>
      <c r="F182" s="1163"/>
      <c r="G182" s="452" t="s">
        <v>1778</v>
      </c>
      <c r="H182" s="427"/>
    </row>
    <row r="183" spans="2:8" hidden="1" outlineLevel="1">
      <c r="B183" s="1190"/>
      <c r="C183" s="1161" t="s">
        <v>1779</v>
      </c>
      <c r="D183" s="1162"/>
      <c r="E183" s="1162"/>
      <c r="F183" s="1163"/>
      <c r="G183" s="452" t="s">
        <v>1780</v>
      </c>
      <c r="H183" s="427">
        <f>+M5*10</f>
        <v>13953134.700000003</v>
      </c>
    </row>
    <row r="184" spans="2:8" hidden="1" outlineLevel="1">
      <c r="B184" s="1190"/>
      <c r="C184" s="1161" t="s">
        <v>1781</v>
      </c>
      <c r="D184" s="1162"/>
      <c r="E184" s="1162"/>
      <c r="F184" s="1163"/>
      <c r="G184" s="452" t="s">
        <v>1782</v>
      </c>
      <c r="H184" s="427"/>
    </row>
    <row r="185" spans="2:8" hidden="1" outlineLevel="1">
      <c r="B185" s="1191"/>
      <c r="C185" s="1161" t="s">
        <v>1783</v>
      </c>
      <c r="D185" s="1162"/>
      <c r="E185" s="1162"/>
      <c r="F185" s="1163"/>
      <c r="G185" s="452" t="s">
        <v>1784</v>
      </c>
      <c r="H185" s="427"/>
    </row>
    <row r="186" spans="2:8" hidden="1" outlineLevel="1">
      <c r="B186" s="1186" t="s">
        <v>1785</v>
      </c>
      <c r="C186" s="1187"/>
      <c r="D186" s="1187"/>
      <c r="E186" s="1187"/>
      <c r="F186" s="1188"/>
      <c r="G186" s="452" t="s">
        <v>1786</v>
      </c>
      <c r="H186" s="453">
        <f>+H181*0.1</f>
        <v>1395313.4700000004</v>
      </c>
    </row>
    <row r="187" spans="2:8" hidden="1" outlineLevel="1">
      <c r="B187" s="1186" t="s">
        <v>1787</v>
      </c>
      <c r="C187" s="1187"/>
      <c r="D187" s="1187"/>
      <c r="E187" s="1187"/>
      <c r="F187" s="1188"/>
      <c r="G187" s="452" t="s">
        <v>1788</v>
      </c>
      <c r="H187" s="453">
        <f>+H188+H189+H190+H191+H192+H193</f>
        <v>0</v>
      </c>
    </row>
    <row r="188" spans="2:8" hidden="1" outlineLevel="1">
      <c r="B188" s="1189" t="s">
        <v>1737</v>
      </c>
      <c r="C188" s="1161" t="s">
        <v>1789</v>
      </c>
      <c r="D188" s="1162"/>
      <c r="E188" s="1162"/>
      <c r="F188" s="1163"/>
      <c r="G188" s="452" t="s">
        <v>1790</v>
      </c>
      <c r="H188" s="427"/>
    </row>
    <row r="189" spans="2:8" hidden="1" outlineLevel="1">
      <c r="B189" s="1190"/>
      <c r="C189" s="1161" t="s">
        <v>1791</v>
      </c>
      <c r="D189" s="1162"/>
      <c r="E189" s="1162"/>
      <c r="F189" s="1163"/>
      <c r="G189" s="452" t="s">
        <v>1792</v>
      </c>
      <c r="H189" s="427"/>
    </row>
    <row r="190" spans="2:8" hidden="1" outlineLevel="1">
      <c r="B190" s="1190"/>
      <c r="C190" s="1161" t="s">
        <v>1793</v>
      </c>
      <c r="D190" s="1162"/>
      <c r="E190" s="1162"/>
      <c r="F190" s="1163"/>
      <c r="G190" s="452" t="s">
        <v>1794</v>
      </c>
      <c r="H190" s="427"/>
    </row>
    <row r="191" spans="2:8" hidden="1" outlineLevel="1">
      <c r="B191" s="1190"/>
      <c r="C191" s="1161" t="s">
        <v>1795</v>
      </c>
      <c r="D191" s="1162"/>
      <c r="E191" s="1162"/>
      <c r="F191" s="1163"/>
      <c r="G191" s="452" t="s">
        <v>1796</v>
      </c>
      <c r="H191" s="427"/>
    </row>
    <row r="192" spans="2:8" hidden="1" outlineLevel="1">
      <c r="B192" s="1190"/>
      <c r="C192" s="1161" t="s">
        <v>1797</v>
      </c>
      <c r="D192" s="1162"/>
      <c r="E192" s="1162"/>
      <c r="F192" s="1163"/>
      <c r="G192" s="452" t="s">
        <v>1798</v>
      </c>
      <c r="H192" s="427"/>
    </row>
    <row r="193" spans="2:8" hidden="1" outlineLevel="1">
      <c r="B193" s="1191"/>
      <c r="C193" s="1161" t="s">
        <v>1799</v>
      </c>
      <c r="D193" s="1162"/>
      <c r="E193" s="1162"/>
      <c r="F193" s="1163"/>
      <c r="G193" s="452" t="s">
        <v>1800</v>
      </c>
      <c r="H193" s="427"/>
    </row>
    <row r="194" spans="2:8" hidden="1" outlineLevel="1">
      <c r="B194" s="1186" t="s">
        <v>1801</v>
      </c>
      <c r="C194" s="1187"/>
      <c r="D194" s="1187"/>
      <c r="E194" s="1187"/>
      <c r="F194" s="1188"/>
      <c r="G194" s="452" t="s">
        <v>1802</v>
      </c>
      <c r="H194" s="453">
        <f>+H186-H187</f>
        <v>1395313.4700000004</v>
      </c>
    </row>
    <row r="195" spans="2:8" hidden="1" outlineLevel="1"/>
    <row r="196" spans="2:8" ht="21" hidden="1" customHeight="1" outlineLevel="1">
      <c r="B196" s="1167" t="s">
        <v>1803</v>
      </c>
      <c r="C196" s="1167"/>
      <c r="D196" s="1167"/>
      <c r="E196" s="1167"/>
      <c r="F196" s="1167"/>
      <c r="G196" s="1167"/>
      <c r="H196" s="1167"/>
    </row>
    <row r="197" spans="2:8" hidden="1" outlineLevel="1">
      <c r="B197" s="1161" t="s">
        <v>1804</v>
      </c>
      <c r="C197" s="1162"/>
      <c r="D197" s="1162"/>
      <c r="E197" s="1162"/>
      <c r="F197" s="1163"/>
      <c r="G197" s="452" t="s">
        <v>1805</v>
      </c>
      <c r="H197" s="427"/>
    </row>
    <row r="198" spans="2:8" hidden="1" outlineLevel="1">
      <c r="B198" s="1161" t="s">
        <v>1806</v>
      </c>
      <c r="C198" s="1162"/>
      <c r="D198" s="1162"/>
      <c r="E198" s="1162"/>
      <c r="F198" s="1163"/>
      <c r="G198" s="452" t="s">
        <v>1807</v>
      </c>
      <c r="H198" s="427"/>
    </row>
    <row r="199" spans="2:8" hidden="1" outlineLevel="1">
      <c r="B199" s="1164" t="s">
        <v>1808</v>
      </c>
      <c r="C199" s="1165"/>
      <c r="D199" s="1165"/>
      <c r="E199" s="1165"/>
      <c r="F199" s="1166"/>
      <c r="G199" s="452" t="s">
        <v>1809</v>
      </c>
      <c r="H199" s="427">
        <f>+(H197+H198)*0.1</f>
        <v>0</v>
      </c>
    </row>
    <row r="200" spans="2:8" hidden="1" outlineLevel="1">
      <c r="B200" s="1161" t="s">
        <v>1810</v>
      </c>
      <c r="C200" s="1162"/>
      <c r="D200" s="1162"/>
      <c r="E200" s="1162"/>
      <c r="F200" s="1163"/>
      <c r="G200" s="452" t="s">
        <v>1811</v>
      </c>
      <c r="H200" s="427"/>
    </row>
    <row r="201" spans="2:8" hidden="1" outlineLevel="1">
      <c r="B201" s="1161" t="s">
        <v>1812</v>
      </c>
      <c r="C201" s="1162"/>
      <c r="D201" s="1162"/>
      <c r="E201" s="1162"/>
      <c r="F201" s="1163"/>
      <c r="G201" s="452" t="s">
        <v>1813</v>
      </c>
      <c r="H201" s="427"/>
    </row>
    <row r="202" spans="2:8" hidden="1" outlineLevel="1">
      <c r="B202" s="1164" t="s">
        <v>1814</v>
      </c>
      <c r="C202" s="1165"/>
      <c r="D202" s="1165"/>
      <c r="E202" s="1165"/>
      <c r="F202" s="1166"/>
      <c r="G202" s="452" t="s">
        <v>1815</v>
      </c>
      <c r="H202" s="427">
        <f>+(H200+H201)*0.1</f>
        <v>0</v>
      </c>
    </row>
    <row r="203" spans="2:8" hidden="1" outlineLevel="1"/>
    <row r="204" spans="2:8" hidden="1" outlineLevel="1">
      <c r="B204" s="1167" t="s">
        <v>1816</v>
      </c>
      <c r="C204" s="1167"/>
      <c r="D204" s="1167"/>
      <c r="E204" s="1167"/>
      <c r="F204" s="1167"/>
      <c r="G204" s="1167"/>
      <c r="H204" s="1167"/>
    </row>
    <row r="205" spans="2:8" hidden="1" outlineLevel="1">
      <c r="B205" s="1164" t="s">
        <v>1817</v>
      </c>
      <c r="C205" s="1165"/>
      <c r="D205" s="1165"/>
      <c r="E205" s="1165"/>
      <c r="F205" s="1166"/>
      <c r="G205" s="452" t="s">
        <v>1818</v>
      </c>
      <c r="H205" s="427">
        <f>+H177+H199</f>
        <v>1190808.818</v>
      </c>
    </row>
    <row r="206" spans="2:8" hidden="1" outlineLevel="1">
      <c r="B206" s="1164" t="s">
        <v>1819</v>
      </c>
      <c r="C206" s="1165"/>
      <c r="D206" s="1165"/>
      <c r="E206" s="1165"/>
      <c r="F206" s="1166"/>
      <c r="G206" s="452" t="s">
        <v>1820</v>
      </c>
      <c r="H206" s="427">
        <f>+H194+H202</f>
        <v>1395313.4700000004</v>
      </c>
    </row>
    <row r="207" spans="2:8" hidden="1" outlineLevel="1"/>
    <row r="208" spans="2:8" hidden="1" outlineLevel="1">
      <c r="B208" s="1167" t="s">
        <v>1821</v>
      </c>
      <c r="C208" s="1167"/>
      <c r="D208" s="1167"/>
      <c r="E208" s="1167"/>
      <c r="F208" s="1167"/>
      <c r="G208" s="1167"/>
      <c r="H208" s="1167"/>
    </row>
    <row r="209" spans="2:8" hidden="1" outlineLevel="1">
      <c r="B209" s="1161" t="s">
        <v>1822</v>
      </c>
      <c r="C209" s="1162"/>
      <c r="D209" s="1162"/>
      <c r="E209" s="1162"/>
      <c r="F209" s="1163"/>
      <c r="G209" s="452" t="s">
        <v>1823</v>
      </c>
      <c r="H209" s="427"/>
    </row>
    <row r="210" spans="2:8" hidden="1" outlineLevel="1">
      <c r="B210" s="1164" t="s">
        <v>1824</v>
      </c>
      <c r="C210" s="1165"/>
      <c r="D210" s="1165"/>
      <c r="E210" s="1165"/>
      <c r="F210" s="1166"/>
      <c r="G210" s="452" t="s">
        <v>1825</v>
      </c>
      <c r="H210" s="427">
        <f>+H209*0.1</f>
        <v>0</v>
      </c>
    </row>
    <row r="211" spans="2:8" hidden="1" outlineLevel="1">
      <c r="B211" s="1161" t="s">
        <v>1826</v>
      </c>
      <c r="C211" s="1162"/>
      <c r="D211" s="1162"/>
      <c r="E211" s="1162"/>
      <c r="F211" s="1163"/>
      <c r="G211" s="452" t="s">
        <v>1827</v>
      </c>
      <c r="H211" s="427"/>
    </row>
    <row r="212" spans="2:8" hidden="1" outlineLevel="1">
      <c r="B212" s="1164" t="s">
        <v>1814</v>
      </c>
      <c r="C212" s="1165"/>
      <c r="D212" s="1165"/>
      <c r="E212" s="1165"/>
      <c r="F212" s="1166"/>
      <c r="G212" s="452" t="s">
        <v>1828</v>
      </c>
      <c r="H212" s="427">
        <f>+H211*0.1</f>
        <v>0</v>
      </c>
    </row>
    <row r="213" spans="2:8" hidden="1" outlineLevel="1"/>
    <row r="214" spans="2:8" hidden="1" outlineLevel="1">
      <c r="B214" s="1167" t="s">
        <v>1829</v>
      </c>
      <c r="C214" s="1167"/>
      <c r="D214" s="1167"/>
      <c r="E214" s="1167"/>
      <c r="F214" s="1167"/>
      <c r="G214" s="1167"/>
      <c r="H214" s="1167"/>
    </row>
    <row r="215" spans="2:8" hidden="1" outlineLevel="1">
      <c r="B215" s="1168" t="s">
        <v>1303</v>
      </c>
      <c r="C215" s="1168"/>
      <c r="D215" s="1169" t="s">
        <v>1830</v>
      </c>
      <c r="E215" s="1170"/>
      <c r="F215" s="1171"/>
      <c r="G215" s="452" t="s">
        <v>1831</v>
      </c>
      <c r="H215" s="427">
        <f>+H205-H210</f>
        <v>1190808.818</v>
      </c>
    </row>
    <row r="216" spans="2:8" hidden="1" outlineLevel="1">
      <c r="B216" s="1168"/>
      <c r="C216" s="1168"/>
      <c r="D216" s="1169" t="s">
        <v>1832</v>
      </c>
      <c r="E216" s="1170"/>
      <c r="F216" s="1171"/>
      <c r="G216" s="452" t="s">
        <v>1833</v>
      </c>
      <c r="H216" s="427">
        <f>+H206-H212</f>
        <v>1395313.4700000004</v>
      </c>
    </row>
    <row r="217" spans="2:8" hidden="1" outlineLevel="1">
      <c r="B217" s="1168"/>
      <c r="C217" s="1168"/>
      <c r="D217" s="1169" t="s">
        <v>1834</v>
      </c>
      <c r="E217" s="1170"/>
      <c r="F217" s="1171"/>
      <c r="G217" s="452" t="s">
        <v>1835</v>
      </c>
      <c r="H217" s="427">
        <f>+H215-H216</f>
        <v>-204504.65200000047</v>
      </c>
    </row>
    <row r="218" spans="2:8" hidden="1" outlineLevel="1">
      <c r="B218" s="1168"/>
      <c r="C218" s="1168"/>
      <c r="D218" s="1169" t="s">
        <v>1836</v>
      </c>
      <c r="E218" s="1170"/>
      <c r="F218" s="1171"/>
      <c r="G218" s="452" t="s">
        <v>1837</v>
      </c>
      <c r="H218" s="427"/>
    </row>
    <row r="219" spans="2:8" hidden="1" outlineLevel="1"/>
    <row r="220" spans="2:8" hidden="1" outlineLevel="1">
      <c r="B220" s="1176" t="s">
        <v>1838</v>
      </c>
      <c r="C220" s="1176"/>
      <c r="D220" s="1176"/>
      <c r="E220" s="1176"/>
      <c r="F220" s="1176"/>
      <c r="G220" s="455" t="s">
        <v>1839</v>
      </c>
      <c r="H220" s="456" t="s">
        <v>1840</v>
      </c>
    </row>
    <row r="221" spans="2:8" hidden="1" outlineLevel="1">
      <c r="B221" s="1172" t="s">
        <v>1841</v>
      </c>
      <c r="C221" s="1172"/>
      <c r="D221" s="1172"/>
      <c r="E221" s="457" t="s">
        <v>1072</v>
      </c>
      <c r="F221" s="458">
        <v>1</v>
      </c>
      <c r="G221" s="459">
        <f>+O4</f>
        <v>0</v>
      </c>
      <c r="H221" s="460"/>
    </row>
    <row r="222" spans="2:8" hidden="1" outlineLevel="1">
      <c r="B222" s="1172"/>
      <c r="C222" s="1172"/>
      <c r="D222" s="1172"/>
      <c r="E222" s="457" t="s">
        <v>1073</v>
      </c>
      <c r="F222" s="458">
        <f>+F221+1</f>
        <v>2</v>
      </c>
      <c r="G222" s="461"/>
      <c r="H222" s="462">
        <f>+P4</f>
        <v>67455689.473636359</v>
      </c>
    </row>
    <row r="223" spans="2:8" hidden="1" outlineLevel="1">
      <c r="B223" s="1172" t="s">
        <v>1842</v>
      </c>
      <c r="C223" s="1172"/>
      <c r="D223" s="1172"/>
      <c r="E223" s="457" t="s">
        <v>1072</v>
      </c>
      <c r="F223" s="458">
        <f t="shared" ref="F223:F236" si="3">+F222+1</f>
        <v>3</v>
      </c>
      <c r="G223" s="459"/>
      <c r="H223" s="460"/>
    </row>
    <row r="224" spans="2:8" hidden="1" outlineLevel="1">
      <c r="B224" s="1172"/>
      <c r="C224" s="1172"/>
      <c r="D224" s="1172"/>
      <c r="E224" s="457" t="s">
        <v>1073</v>
      </c>
      <c r="F224" s="458">
        <f t="shared" si="3"/>
        <v>4</v>
      </c>
      <c r="G224" s="461"/>
      <c r="H224" s="462">
        <f>+H217</f>
        <v>-204504.65200000047</v>
      </c>
    </row>
    <row r="225" spans="2:11" hidden="1" outlineLevel="1">
      <c r="B225" s="1173" t="s">
        <v>1078</v>
      </c>
      <c r="C225" s="1174"/>
      <c r="D225" s="1174"/>
      <c r="E225" s="1175"/>
      <c r="F225" s="458">
        <f t="shared" si="3"/>
        <v>5</v>
      </c>
      <c r="G225" s="459">
        <f>+L5</f>
        <v>0</v>
      </c>
      <c r="H225" s="460"/>
    </row>
    <row r="226" spans="2:11" hidden="1" outlineLevel="1">
      <c r="B226" s="1177" t="s">
        <v>1843</v>
      </c>
      <c r="C226" s="1178"/>
      <c r="D226" s="1178"/>
      <c r="E226" s="1179"/>
      <c r="F226" s="458">
        <f t="shared" si="3"/>
        <v>6</v>
      </c>
      <c r="G226" s="464"/>
      <c r="H226" s="460"/>
    </row>
    <row r="227" spans="2:11" hidden="1" outlineLevel="1">
      <c r="B227" s="1177" t="s">
        <v>1843</v>
      </c>
      <c r="C227" s="1178"/>
      <c r="D227" s="1178"/>
      <c r="E227" s="1179"/>
      <c r="F227" s="458">
        <f t="shared" si="3"/>
        <v>7</v>
      </c>
      <c r="G227" s="461"/>
      <c r="H227" s="463"/>
    </row>
    <row r="228" spans="2:11" hidden="1" outlineLevel="1">
      <c r="B228" s="1172" t="s">
        <v>1844</v>
      </c>
      <c r="C228" s="1172"/>
      <c r="D228" s="1172"/>
      <c r="E228" s="457" t="s">
        <v>1072</v>
      </c>
      <c r="F228" s="458">
        <f t="shared" si="3"/>
        <v>8</v>
      </c>
      <c r="G228" s="464"/>
      <c r="H228" s="460"/>
    </row>
    <row r="229" spans="2:11" hidden="1" outlineLevel="1">
      <c r="B229" s="1172"/>
      <c r="C229" s="1172"/>
      <c r="D229" s="1172"/>
      <c r="E229" s="457" t="s">
        <v>1073</v>
      </c>
      <c r="F229" s="458">
        <f t="shared" si="3"/>
        <v>9</v>
      </c>
      <c r="G229" s="461"/>
      <c r="H229" s="463"/>
    </row>
    <row r="230" spans="2:11" hidden="1" outlineLevel="1">
      <c r="B230" s="1172" t="s">
        <v>1845</v>
      </c>
      <c r="C230" s="1172"/>
      <c r="D230" s="1172"/>
      <c r="E230" s="457" t="s">
        <v>1072</v>
      </c>
      <c r="F230" s="458">
        <f t="shared" si="3"/>
        <v>10</v>
      </c>
      <c r="G230" s="464"/>
      <c r="H230" s="460"/>
    </row>
    <row r="231" spans="2:11" hidden="1" outlineLevel="1">
      <c r="B231" s="1172"/>
      <c r="C231" s="1172"/>
      <c r="D231" s="1172"/>
      <c r="E231" s="457" t="s">
        <v>1073</v>
      </c>
      <c r="F231" s="458">
        <f t="shared" si="3"/>
        <v>11</v>
      </c>
      <c r="G231" s="461"/>
      <c r="H231" s="463"/>
    </row>
    <row r="232" spans="2:11" hidden="1" outlineLevel="1">
      <c r="B232" s="1173" t="s">
        <v>1846</v>
      </c>
      <c r="C232" s="1174"/>
      <c r="D232" s="1174"/>
      <c r="E232" s="1175"/>
      <c r="F232" s="458">
        <f t="shared" si="3"/>
        <v>12</v>
      </c>
      <c r="G232" s="464"/>
      <c r="H232" s="460"/>
    </row>
    <row r="233" spans="2:11" hidden="1" outlineLevel="1">
      <c r="B233" s="1172" t="s">
        <v>1847</v>
      </c>
      <c r="C233" s="1172"/>
      <c r="D233" s="1172"/>
      <c r="E233" s="457" t="s">
        <v>1072</v>
      </c>
      <c r="F233" s="458">
        <f t="shared" si="3"/>
        <v>13</v>
      </c>
      <c r="G233" s="464"/>
      <c r="H233" s="460"/>
    </row>
    <row r="234" spans="2:11" hidden="1" outlineLevel="1">
      <c r="B234" s="1172"/>
      <c r="C234" s="1172"/>
      <c r="D234" s="1172"/>
      <c r="E234" s="457" t="s">
        <v>1073</v>
      </c>
      <c r="F234" s="458">
        <f t="shared" si="3"/>
        <v>14</v>
      </c>
      <c r="G234" s="461"/>
      <c r="H234" s="463"/>
    </row>
    <row r="235" spans="2:11" hidden="1" outlineLevel="1">
      <c r="B235" s="1172" t="s">
        <v>1848</v>
      </c>
      <c r="C235" s="1172"/>
      <c r="D235" s="1172"/>
      <c r="E235" s="457" t="s">
        <v>1072</v>
      </c>
      <c r="F235" s="458">
        <f t="shared" si="3"/>
        <v>15</v>
      </c>
      <c r="G235" s="459">
        <f>IF((G221+G223+G225-H222-H224)&gt;0,(G221+G223+G225-H222-H224),0)</f>
        <v>0</v>
      </c>
      <c r="H235" s="460"/>
    </row>
    <row r="236" spans="2:11" hidden="1" outlineLevel="1">
      <c r="B236" s="1172"/>
      <c r="C236" s="1172"/>
      <c r="D236" s="1172"/>
      <c r="E236" s="457" t="s">
        <v>1073</v>
      </c>
      <c r="F236" s="458">
        <f t="shared" si="3"/>
        <v>16</v>
      </c>
      <c r="G236" s="465"/>
      <c r="H236" s="510">
        <f>+IF((H222+H224-G221-G223-G225)&gt;0,(H222+H224-G221-G223-G225),0)</f>
        <v>67251184.821636364</v>
      </c>
      <c r="J236" s="237"/>
      <c r="K236" s="79"/>
    </row>
    <row r="237" spans="2:11" hidden="1" outlineLevel="1"/>
    <row r="238" spans="2:11" hidden="1" outlineLevel="1"/>
    <row r="239" spans="2:11" hidden="1" outlineLevel="1">
      <c r="B239" s="332" t="s">
        <v>1849</v>
      </c>
      <c r="E239" s="332" t="s">
        <v>1083</v>
      </c>
    </row>
    <row r="240" spans="2:11" hidden="1" outlineLevel="1">
      <c r="B240" s="332"/>
    </row>
    <row r="241" spans="1:8" hidden="1" outlineLevel="1">
      <c r="B241" s="332" t="str">
        <f>+CONCATENATE('[6]company '!B147," . . . . . . . . . . . . . . . . . .  ... . . . .. . . . ",'[6]company '!C147)</f>
        <v xml:space="preserve"> . . . . . . . . . . . . . . . . . .  ... . . . .. . . . </v>
      </c>
      <c r="E241" s="332" t="s">
        <v>1850</v>
      </c>
    </row>
    <row r="242" spans="1:8" hidden="1" outlineLevel="1">
      <c r="B242" s="332"/>
    </row>
    <row r="243" spans="1:8" hidden="1" outlineLevel="1">
      <c r="B243" s="332" t="str">
        <f>+CONCATENATE('[6]company '!B150,". . . . . . . . . . . . . . . . . . . . ",'[6]company '!C150)</f>
        <v xml:space="preserve">. . . . . . . . . . . . . . . . . . . . </v>
      </c>
    </row>
    <row r="244" spans="1:8" collapsed="1">
      <c r="A244" s="238" t="s">
        <v>2291</v>
      </c>
    </row>
    <row r="245" spans="1:8" hidden="1" outlineLevel="1">
      <c r="B245" s="437"/>
      <c r="C245" s="437"/>
      <c r="D245" s="437"/>
      <c r="E245" s="477"/>
      <c r="F245" s="1180" t="s">
        <v>1706</v>
      </c>
      <c r="G245" s="1180"/>
      <c r="H245" s="1180"/>
    </row>
    <row r="246" spans="1:8" hidden="1" outlineLevel="1">
      <c r="D246" s="437"/>
      <c r="E246" s="1181" t="s">
        <v>1710</v>
      </c>
      <c r="F246" s="1181"/>
      <c r="G246" s="1181"/>
      <c r="H246" s="1181"/>
    </row>
    <row r="247" spans="1:8" ht="18.75" hidden="1" outlineLevel="1">
      <c r="G247" s="444" t="s">
        <v>1716</v>
      </c>
      <c r="H247" s="445" t="s">
        <v>1717</v>
      </c>
    </row>
    <row r="248" spans="1:8" ht="21" hidden="1" outlineLevel="1" thickBot="1">
      <c r="B248" s="1182" t="s">
        <v>1718</v>
      </c>
      <c r="C248" s="1182"/>
      <c r="D248" s="1182"/>
      <c r="E248" s="1182"/>
      <c r="F248" s="1182"/>
      <c r="G248" s="1182"/>
      <c r="H248" s="1182"/>
    </row>
    <row r="249" spans="1:8" ht="13.5" hidden="1" outlineLevel="1" thickTop="1"/>
    <row r="250" spans="1:8" hidden="1" outlineLevel="1">
      <c r="B250" s="1183" t="s">
        <v>1719</v>
      </c>
      <c r="C250" s="1184"/>
      <c r="D250" s="1184"/>
      <c r="E250" s="1184"/>
      <c r="F250" s="1184"/>
      <c r="G250" s="1184"/>
      <c r="H250" s="1185"/>
    </row>
    <row r="251" spans="1:8" hidden="1" outlineLevel="1">
      <c r="B251" s="1155" t="s">
        <v>1971</v>
      </c>
      <c r="C251" s="1156"/>
      <c r="D251" s="1157"/>
      <c r="E251" s="1158" t="s">
        <v>1972</v>
      </c>
      <c r="F251" s="1159"/>
      <c r="G251" s="1159"/>
      <c r="H251" s="1160"/>
    </row>
    <row r="252" spans="1:8" hidden="1" outlineLevel="1"/>
    <row r="253" spans="1:8" hidden="1" outlineLevel="1">
      <c r="B253" s="1183" t="s">
        <v>1973</v>
      </c>
      <c r="C253" s="1184"/>
      <c r="D253" s="1185"/>
      <c r="E253" s="1202" t="s">
        <v>1974</v>
      </c>
      <c r="F253" s="1203"/>
      <c r="G253" s="1203"/>
      <c r="H253" s="1205"/>
    </row>
    <row r="254" spans="1:8" hidden="1" outlineLevel="1">
      <c r="B254" s="1183" t="s">
        <v>1975</v>
      </c>
      <c r="C254" s="1184"/>
      <c r="D254" s="1185"/>
      <c r="E254" s="1202" t="s">
        <v>1976</v>
      </c>
      <c r="F254" s="1203"/>
      <c r="G254" s="1203"/>
      <c r="H254" s="1205"/>
    </row>
    <row r="255" spans="1:8" hidden="1" outlineLevel="1">
      <c r="B255" s="1183" t="s">
        <v>1977</v>
      </c>
      <c r="C255" s="1184"/>
      <c r="D255" s="1185"/>
      <c r="E255" s="1202" t="s">
        <v>1266</v>
      </c>
      <c r="F255" s="1203"/>
      <c r="G255" s="1203"/>
      <c r="H255" s="1205"/>
    </row>
    <row r="256" spans="1:8" hidden="1" outlineLevel="1">
      <c r="B256" s="1206" t="s">
        <v>1978</v>
      </c>
      <c r="C256" s="1207"/>
      <c r="D256" s="1208"/>
      <c r="E256" s="1209" t="s">
        <v>1268</v>
      </c>
      <c r="F256" s="1210"/>
      <c r="G256" s="1210"/>
      <c r="H256" s="1211"/>
    </row>
    <row r="257" spans="2:8" hidden="1" outlineLevel="1">
      <c r="B257" s="1212" t="s">
        <v>1269</v>
      </c>
      <c r="C257" s="1212"/>
      <c r="D257" s="1212"/>
      <c r="E257" s="1213"/>
      <c r="F257" s="1213"/>
      <c r="G257" s="1213"/>
      <c r="H257" s="1213"/>
    </row>
    <row r="258" spans="2:8" hidden="1" outlineLevel="1">
      <c r="B258" s="1214"/>
      <c r="C258" s="1214"/>
      <c r="D258" s="1214"/>
      <c r="E258" s="1215"/>
      <c r="F258" s="1215"/>
      <c r="G258" s="1215"/>
      <c r="H258" s="1215"/>
    </row>
    <row r="259" spans="2:8" hidden="1" outlineLevel="1">
      <c r="B259" s="1183" t="s">
        <v>1720</v>
      </c>
      <c r="C259" s="1184"/>
      <c r="D259" s="1184"/>
      <c r="E259" s="1184"/>
      <c r="F259" s="1184"/>
      <c r="G259" s="1184"/>
      <c r="H259" s="1185"/>
    </row>
    <row r="260" spans="2:8" hidden="1" outlineLevel="1">
      <c r="B260" s="1198"/>
      <c r="C260" s="1183" t="s">
        <v>1721</v>
      </c>
      <c r="D260" s="1185"/>
      <c r="E260" s="1202" t="s">
        <v>1722</v>
      </c>
      <c r="F260" s="1203"/>
      <c r="G260" s="1205"/>
      <c r="H260" s="448"/>
    </row>
    <row r="261" spans="2:8" hidden="1" outlineLevel="1">
      <c r="B261" s="1199"/>
      <c r="C261" s="1183" t="str">
        <f>+CONCATENATE('[6]company '!B267,"-""03 сар")</f>
        <v>-"03 сар</v>
      </c>
      <c r="D261" s="1185"/>
      <c r="E261" s="1195" t="s">
        <v>46</v>
      </c>
      <c r="F261" s="1196"/>
      <c r="G261" s="1197"/>
      <c r="H261" s="427" t="s">
        <v>1961</v>
      </c>
    </row>
    <row r="262" spans="2:8" hidden="1" outlineLevel="1">
      <c r="B262" s="1200"/>
      <c r="C262" s="1195" t="s">
        <v>1724</v>
      </c>
      <c r="D262" s="1197"/>
      <c r="E262" s="1195" t="s">
        <v>1725</v>
      </c>
      <c r="F262" s="1196"/>
      <c r="G262" s="1197"/>
      <c r="H262" s="427"/>
    </row>
    <row r="263" spans="2:8" hidden="1" outlineLevel="1">
      <c r="B263" s="478"/>
      <c r="C263" s="478"/>
      <c r="D263" s="478"/>
      <c r="E263" s="478"/>
      <c r="F263" s="478"/>
      <c r="G263" s="449"/>
      <c r="H263" s="450"/>
    </row>
    <row r="264" spans="2:8" hidden="1" outlineLevel="1">
      <c r="B264" s="1216" t="s">
        <v>1726</v>
      </c>
      <c r="C264" s="1216"/>
      <c r="D264" s="1216"/>
      <c r="E264" s="451"/>
      <c r="F264" s="478" t="s">
        <v>1727</v>
      </c>
      <c r="G264" s="449"/>
      <c r="H264" s="450" t="s">
        <v>1728</v>
      </c>
    </row>
    <row r="265" spans="2:8" hidden="1" outlineLevel="1">
      <c r="B265" s="478"/>
      <c r="C265" s="478"/>
      <c r="D265" s="478"/>
      <c r="E265" s="478"/>
      <c r="F265" s="478"/>
      <c r="G265" s="449"/>
      <c r="H265" s="450"/>
    </row>
    <row r="266" spans="2:8" hidden="1" outlineLevel="1">
      <c r="B266" s="478"/>
      <c r="C266" s="478"/>
      <c r="D266" s="478"/>
      <c r="E266" s="478"/>
      <c r="F266" s="478"/>
      <c r="G266" s="449"/>
      <c r="H266" s="450"/>
    </row>
    <row r="267" spans="2:8" ht="23.25" hidden="1" customHeight="1" outlineLevel="1">
      <c r="B267" s="1167" t="s">
        <v>1729</v>
      </c>
      <c r="C267" s="1167"/>
      <c r="D267" s="1167"/>
      <c r="E267" s="1167"/>
      <c r="F267" s="1167"/>
      <c r="G267" s="1167"/>
      <c r="H267" s="1167"/>
    </row>
    <row r="268" spans="2:8" hidden="1" outlineLevel="1">
      <c r="B268" s="1186" t="s">
        <v>1730</v>
      </c>
      <c r="C268" s="1187"/>
      <c r="D268" s="1187"/>
      <c r="E268" s="1187"/>
      <c r="F268" s="1188"/>
      <c r="G268" s="452" t="s">
        <v>1731</v>
      </c>
      <c r="H268" s="453">
        <f>+H269+H270</f>
        <v>13256145.456363637</v>
      </c>
    </row>
    <row r="269" spans="2:8" hidden="1" outlineLevel="1">
      <c r="B269" s="1192" t="s">
        <v>1732</v>
      </c>
      <c r="C269" s="1193"/>
      <c r="D269" s="1193"/>
      <c r="E269" s="1193"/>
      <c r="F269" s="1194"/>
      <c r="G269" s="452" t="s">
        <v>99</v>
      </c>
      <c r="H269" s="427"/>
    </row>
    <row r="270" spans="2:8" hidden="1" outlineLevel="1">
      <c r="B270" s="1192" t="s">
        <v>1733</v>
      </c>
      <c r="C270" s="1193"/>
      <c r="D270" s="1193"/>
      <c r="E270" s="1193"/>
      <c r="F270" s="1194"/>
      <c r="G270" s="452" t="s">
        <v>1734</v>
      </c>
      <c r="H270" s="427">
        <f>+H271+H277+H297</f>
        <v>13256145.456363637</v>
      </c>
    </row>
    <row r="271" spans="2:8" hidden="1" outlineLevel="1">
      <c r="B271" s="1198"/>
      <c r="C271" s="1186" t="s">
        <v>1735</v>
      </c>
      <c r="D271" s="1187"/>
      <c r="E271" s="1187"/>
      <c r="F271" s="1188"/>
      <c r="G271" s="452" t="s">
        <v>1736</v>
      </c>
      <c r="H271" s="453">
        <f>+H272+H273+H274+H275+H276</f>
        <v>13256145.456363637</v>
      </c>
    </row>
    <row r="272" spans="2:8" hidden="1" outlineLevel="1">
      <c r="B272" s="1199"/>
      <c r="C272" s="1189" t="s">
        <v>1737</v>
      </c>
      <c r="D272" s="1195" t="s">
        <v>1738</v>
      </c>
      <c r="E272" s="1196"/>
      <c r="F272" s="1197"/>
      <c r="G272" s="452" t="s">
        <v>173</v>
      </c>
      <c r="H272" s="427">
        <f>+SUMIFS(JURNAL!H:H,JURNAL!E:E,510000,JURNAL!C:C,"&gt;="&amp;J6,JURNAL!C:C,"&lt;="&amp;K6)+SUMIFS(JURNAL!H:H,JURNAL!E:E,510100,JURNAL!C:C,"&gt;="&amp;J6,JURNAL!C:C,"&lt;="&amp;K6)</f>
        <v>13256145.456363637</v>
      </c>
    </row>
    <row r="273" spans="2:8" hidden="1" outlineLevel="1">
      <c r="B273" s="1199"/>
      <c r="C273" s="1190"/>
      <c r="D273" s="1161" t="s">
        <v>1739</v>
      </c>
      <c r="E273" s="1162"/>
      <c r="F273" s="1163"/>
      <c r="G273" s="454" t="s">
        <v>174</v>
      </c>
      <c r="H273" s="427"/>
    </row>
    <row r="274" spans="2:8" hidden="1" outlineLevel="1">
      <c r="B274" s="1199"/>
      <c r="C274" s="1190"/>
      <c r="D274" s="1161" t="s">
        <v>831</v>
      </c>
      <c r="E274" s="1162"/>
      <c r="F274" s="1163"/>
      <c r="G274" s="454" t="s">
        <v>897</v>
      </c>
      <c r="H274" s="427"/>
    </row>
    <row r="275" spans="2:8" hidden="1" outlineLevel="1">
      <c r="B275" s="1199"/>
      <c r="C275" s="1190"/>
      <c r="D275" s="1161" t="s">
        <v>1740</v>
      </c>
      <c r="E275" s="1162"/>
      <c r="F275" s="1163"/>
      <c r="G275" s="454" t="s">
        <v>899</v>
      </c>
      <c r="H275" s="427"/>
    </row>
    <row r="276" spans="2:8" hidden="1" outlineLevel="1">
      <c r="B276" s="1199"/>
      <c r="C276" s="1191"/>
      <c r="D276" s="1161" t="s">
        <v>1741</v>
      </c>
      <c r="E276" s="1162"/>
      <c r="F276" s="1163"/>
      <c r="G276" s="454" t="s">
        <v>901</v>
      </c>
      <c r="H276" s="427"/>
    </row>
    <row r="277" spans="2:8" hidden="1" outlineLevel="1">
      <c r="B277" s="1199"/>
      <c r="C277" s="1186" t="s">
        <v>1742</v>
      </c>
      <c r="D277" s="1187"/>
      <c r="E277" s="1187"/>
      <c r="F277" s="1188"/>
      <c r="G277" s="452" t="s">
        <v>1743</v>
      </c>
      <c r="H277" s="453">
        <f>+H278+H279+H280+H281+H282+H283+H284+H285+H286+H287+H288+H289+H290+H291+H292</f>
        <v>0</v>
      </c>
    </row>
    <row r="278" spans="2:8" hidden="1" outlineLevel="1">
      <c r="B278" s="1199"/>
      <c r="C278" s="1189" t="s">
        <v>1737</v>
      </c>
      <c r="D278" s="1161" t="s">
        <v>1744</v>
      </c>
      <c r="E278" s="1162"/>
      <c r="F278" s="1163"/>
      <c r="G278" s="454" t="s">
        <v>905</v>
      </c>
      <c r="H278" s="427"/>
    </row>
    <row r="279" spans="2:8" hidden="1" outlineLevel="1">
      <c r="B279" s="1199"/>
      <c r="C279" s="1190"/>
      <c r="D279" s="1161" t="s">
        <v>1745</v>
      </c>
      <c r="E279" s="1162"/>
      <c r="F279" s="1163"/>
      <c r="G279" s="454" t="s">
        <v>907</v>
      </c>
      <c r="H279" s="427"/>
    </row>
    <row r="280" spans="2:8" hidden="1" outlineLevel="1">
      <c r="B280" s="1199"/>
      <c r="C280" s="1190"/>
      <c r="D280" s="1161" t="s">
        <v>1746</v>
      </c>
      <c r="E280" s="1162"/>
      <c r="F280" s="1163"/>
      <c r="G280" s="454" t="s">
        <v>909</v>
      </c>
      <c r="H280" s="427"/>
    </row>
    <row r="281" spans="2:8" hidden="1" outlineLevel="1">
      <c r="B281" s="1199"/>
      <c r="C281" s="1190"/>
      <c r="D281" s="1161" t="s">
        <v>1747</v>
      </c>
      <c r="E281" s="1162"/>
      <c r="F281" s="1163"/>
      <c r="G281" s="454" t="s">
        <v>911</v>
      </c>
      <c r="H281" s="427"/>
    </row>
    <row r="282" spans="2:8" hidden="1" outlineLevel="1">
      <c r="B282" s="1199"/>
      <c r="C282" s="1190"/>
      <c r="D282" s="1161" t="s">
        <v>1748</v>
      </c>
      <c r="E282" s="1162"/>
      <c r="F282" s="1163"/>
      <c r="G282" s="454" t="s">
        <v>913</v>
      </c>
      <c r="H282" s="427"/>
    </row>
    <row r="283" spans="2:8" hidden="1" outlineLevel="1">
      <c r="B283" s="1199"/>
      <c r="C283" s="1190"/>
      <c r="D283" s="1161" t="s">
        <v>1749</v>
      </c>
      <c r="E283" s="1162"/>
      <c r="F283" s="1163"/>
      <c r="G283" s="454" t="s">
        <v>915</v>
      </c>
      <c r="H283" s="427"/>
    </row>
    <row r="284" spans="2:8" hidden="1" outlineLevel="1">
      <c r="B284" s="1199"/>
      <c r="C284" s="1190"/>
      <c r="D284" s="1161" t="s">
        <v>1750</v>
      </c>
      <c r="E284" s="1162"/>
      <c r="F284" s="1163"/>
      <c r="G284" s="454" t="s">
        <v>917</v>
      </c>
      <c r="H284" s="427"/>
    </row>
    <row r="285" spans="2:8" hidden="1" outlineLevel="1">
      <c r="B285" s="1199"/>
      <c r="C285" s="1190"/>
      <c r="D285" s="1161" t="s">
        <v>1751</v>
      </c>
      <c r="E285" s="1162"/>
      <c r="F285" s="1163"/>
      <c r="G285" s="454" t="s">
        <v>919</v>
      </c>
      <c r="H285" s="427"/>
    </row>
    <row r="286" spans="2:8" hidden="1" outlineLevel="1">
      <c r="B286" s="1199"/>
      <c r="C286" s="1190"/>
      <c r="D286" s="1161" t="s">
        <v>1752</v>
      </c>
      <c r="E286" s="1162"/>
      <c r="F286" s="1163"/>
      <c r="G286" s="454" t="s">
        <v>921</v>
      </c>
      <c r="H286" s="427"/>
    </row>
    <row r="287" spans="2:8" hidden="1" outlineLevel="1">
      <c r="B287" s="1199"/>
      <c r="C287" s="1190"/>
      <c r="D287" s="1161" t="s">
        <v>1753</v>
      </c>
      <c r="E287" s="1162"/>
      <c r="F287" s="1163"/>
      <c r="G287" s="454" t="s">
        <v>923</v>
      </c>
      <c r="H287" s="427"/>
    </row>
    <row r="288" spans="2:8" hidden="1" outlineLevel="1">
      <c r="B288" s="1199"/>
      <c r="C288" s="1190"/>
      <c r="D288" s="1161" t="s">
        <v>1754</v>
      </c>
      <c r="E288" s="1162"/>
      <c r="F288" s="1163"/>
      <c r="G288" s="454" t="s">
        <v>925</v>
      </c>
      <c r="H288" s="427"/>
    </row>
    <row r="289" spans="2:8" hidden="1" outlineLevel="1">
      <c r="B289" s="1199"/>
      <c r="C289" s="1190"/>
      <c r="D289" s="1161" t="s">
        <v>1755</v>
      </c>
      <c r="E289" s="1162"/>
      <c r="F289" s="1163"/>
      <c r="G289" s="454" t="s">
        <v>927</v>
      </c>
      <c r="H289" s="427"/>
    </row>
    <row r="290" spans="2:8" hidden="1" outlineLevel="1">
      <c r="B290" s="1199"/>
      <c r="C290" s="1190"/>
      <c r="D290" s="1161" t="s">
        <v>1756</v>
      </c>
      <c r="E290" s="1162"/>
      <c r="F290" s="1163"/>
      <c r="G290" s="454" t="s">
        <v>929</v>
      </c>
      <c r="H290" s="427"/>
    </row>
    <row r="291" spans="2:8" hidden="1" outlineLevel="1">
      <c r="B291" s="1199"/>
      <c r="C291" s="1190"/>
      <c r="D291" s="1161" t="s">
        <v>1757</v>
      </c>
      <c r="E291" s="1162"/>
      <c r="F291" s="1163"/>
      <c r="G291" s="454" t="s">
        <v>937</v>
      </c>
      <c r="H291" s="427"/>
    </row>
    <row r="292" spans="2:8" hidden="1" outlineLevel="1">
      <c r="B292" s="1200"/>
      <c r="C292" s="1191"/>
      <c r="D292" s="1161" t="s">
        <v>1758</v>
      </c>
      <c r="E292" s="1162"/>
      <c r="F292" s="1163"/>
      <c r="G292" s="454" t="s">
        <v>939</v>
      </c>
      <c r="H292" s="427"/>
    </row>
    <row r="293" spans="2:8" hidden="1" outlineLevel="1">
      <c r="B293" s="1186" t="s">
        <v>1759</v>
      </c>
      <c r="C293" s="1187"/>
      <c r="D293" s="1187"/>
      <c r="E293" s="1187"/>
      <c r="F293" s="1188"/>
      <c r="G293" s="452" t="s">
        <v>1760</v>
      </c>
      <c r="H293" s="453">
        <f>+H271+H277</f>
        <v>13256145.456363637</v>
      </c>
    </row>
    <row r="294" spans="2:8" hidden="1" outlineLevel="1">
      <c r="B294" s="1186" t="s">
        <v>1761</v>
      </c>
      <c r="C294" s="1187"/>
      <c r="D294" s="1187"/>
      <c r="E294" s="1187"/>
      <c r="F294" s="1188"/>
      <c r="G294" s="452" t="s">
        <v>1762</v>
      </c>
      <c r="H294" s="453">
        <f>+H293*0.1</f>
        <v>1325614.5456363638</v>
      </c>
    </row>
    <row r="295" spans="2:8" hidden="1" outlineLevel="1">
      <c r="B295" s="1195" t="s">
        <v>1763</v>
      </c>
      <c r="C295" s="1196"/>
      <c r="D295" s="1196"/>
      <c r="E295" s="1196"/>
      <c r="F295" s="1197"/>
      <c r="G295" s="452" t="s">
        <v>1764</v>
      </c>
      <c r="H295" s="427"/>
    </row>
    <row r="296" spans="2:8" hidden="1" outlineLevel="1">
      <c r="B296" s="1195" t="s">
        <v>1765</v>
      </c>
      <c r="C296" s="1196"/>
      <c r="D296" s="1196"/>
      <c r="E296" s="1196"/>
      <c r="F296" s="1197"/>
      <c r="G296" s="452" t="s">
        <v>1766</v>
      </c>
      <c r="H296" s="427"/>
    </row>
    <row r="297" spans="2:8" hidden="1" outlineLevel="1">
      <c r="B297" s="1186" t="s">
        <v>1767</v>
      </c>
      <c r="C297" s="1187"/>
      <c r="D297" s="1187"/>
      <c r="E297" s="1187"/>
      <c r="F297" s="1188"/>
      <c r="G297" s="452" t="s">
        <v>1768</v>
      </c>
      <c r="H297" s="453">
        <f>+H295+H296</f>
        <v>0</v>
      </c>
    </row>
    <row r="298" spans="2:8" hidden="1" outlineLevel="1">
      <c r="B298" s="1186" t="s">
        <v>1761</v>
      </c>
      <c r="C298" s="1187"/>
      <c r="D298" s="1187"/>
      <c r="E298" s="1187"/>
      <c r="F298" s="1188"/>
      <c r="G298" s="452" t="s">
        <v>1769</v>
      </c>
      <c r="H298" s="453">
        <f>+H297*0%</f>
        <v>0</v>
      </c>
    </row>
    <row r="299" spans="2:8" hidden="1" outlineLevel="1">
      <c r="B299" s="1186" t="s">
        <v>1770</v>
      </c>
      <c r="C299" s="1187"/>
      <c r="D299" s="1187"/>
      <c r="E299" s="1187"/>
      <c r="F299" s="1188"/>
      <c r="G299" s="452" t="s">
        <v>1771</v>
      </c>
      <c r="H299" s="453">
        <f>+H294+H298</f>
        <v>1325614.5456363638</v>
      </c>
    </row>
    <row r="300" spans="2:8" hidden="1" outlineLevel="1"/>
    <row r="301" spans="2:8" ht="21.75" hidden="1" customHeight="1" outlineLevel="1">
      <c r="B301" s="1167" t="s">
        <v>1772</v>
      </c>
      <c r="C301" s="1167"/>
      <c r="D301" s="1167"/>
      <c r="E301" s="1167"/>
      <c r="F301" s="1167"/>
      <c r="G301" s="1167"/>
      <c r="H301" s="1167"/>
    </row>
    <row r="302" spans="2:8" hidden="1" outlineLevel="1">
      <c r="B302" s="1186" t="s">
        <v>1773</v>
      </c>
      <c r="C302" s="1187"/>
      <c r="D302" s="1187"/>
      <c r="E302" s="1187"/>
      <c r="F302" s="1188"/>
      <c r="G302" s="452" t="s">
        <v>1774</v>
      </c>
      <c r="H302" s="427"/>
    </row>
    <row r="303" spans="2:8" hidden="1" outlineLevel="1">
      <c r="B303" s="1192" t="s">
        <v>1775</v>
      </c>
      <c r="C303" s="1193"/>
      <c r="D303" s="1193"/>
      <c r="E303" s="1193"/>
      <c r="F303" s="1194"/>
      <c r="G303" s="452" t="s">
        <v>1776</v>
      </c>
      <c r="H303" s="427">
        <f>+H304+H305+H306+H307</f>
        <v>20665423.663636368</v>
      </c>
    </row>
    <row r="304" spans="2:8" hidden="1" outlineLevel="1">
      <c r="B304" s="1189" t="s">
        <v>1737</v>
      </c>
      <c r="C304" s="1161" t="s">
        <v>1777</v>
      </c>
      <c r="D304" s="1162"/>
      <c r="E304" s="1162"/>
      <c r="F304" s="1163"/>
      <c r="G304" s="452" t="s">
        <v>1778</v>
      </c>
      <c r="H304" s="427"/>
    </row>
    <row r="305" spans="2:8" hidden="1" outlineLevel="1">
      <c r="B305" s="1190"/>
      <c r="C305" s="1161" t="s">
        <v>1779</v>
      </c>
      <c r="D305" s="1162"/>
      <c r="E305" s="1162"/>
      <c r="F305" s="1163"/>
      <c r="G305" s="452" t="s">
        <v>1780</v>
      </c>
      <c r="H305" s="427">
        <f>+M6*10</f>
        <v>20665423.663636368</v>
      </c>
    </row>
    <row r="306" spans="2:8" hidden="1" outlineLevel="1">
      <c r="B306" s="1190"/>
      <c r="C306" s="1161" t="s">
        <v>1781</v>
      </c>
      <c r="D306" s="1162"/>
      <c r="E306" s="1162"/>
      <c r="F306" s="1163"/>
      <c r="G306" s="452" t="s">
        <v>1782</v>
      </c>
      <c r="H306" s="427"/>
    </row>
    <row r="307" spans="2:8" hidden="1" outlineLevel="1">
      <c r="B307" s="1191"/>
      <c r="C307" s="1161" t="s">
        <v>1783</v>
      </c>
      <c r="D307" s="1162"/>
      <c r="E307" s="1162"/>
      <c r="F307" s="1163"/>
      <c r="G307" s="452" t="s">
        <v>1784</v>
      </c>
      <c r="H307" s="427"/>
    </row>
    <row r="308" spans="2:8" hidden="1" outlineLevel="1">
      <c r="B308" s="1186" t="s">
        <v>1785</v>
      </c>
      <c r="C308" s="1187"/>
      <c r="D308" s="1187"/>
      <c r="E308" s="1187"/>
      <c r="F308" s="1188"/>
      <c r="G308" s="452" t="s">
        <v>1786</v>
      </c>
      <c r="H308" s="453">
        <f>+H303*0.1</f>
        <v>2066542.3663636369</v>
      </c>
    </row>
    <row r="309" spans="2:8" hidden="1" outlineLevel="1">
      <c r="B309" s="1186" t="s">
        <v>1787</v>
      </c>
      <c r="C309" s="1187"/>
      <c r="D309" s="1187"/>
      <c r="E309" s="1187"/>
      <c r="F309" s="1188"/>
      <c r="G309" s="452" t="s">
        <v>1788</v>
      </c>
      <c r="H309" s="453">
        <f>+H310+H311+H312+H313+H314+H315</f>
        <v>0</v>
      </c>
    </row>
    <row r="310" spans="2:8" hidden="1" outlineLevel="1">
      <c r="B310" s="1189" t="s">
        <v>1737</v>
      </c>
      <c r="C310" s="1161" t="s">
        <v>1789</v>
      </c>
      <c r="D310" s="1162"/>
      <c r="E310" s="1162"/>
      <c r="F310" s="1163"/>
      <c r="G310" s="452" t="s">
        <v>1790</v>
      </c>
      <c r="H310" s="427"/>
    </row>
    <row r="311" spans="2:8" hidden="1" outlineLevel="1">
      <c r="B311" s="1190"/>
      <c r="C311" s="1161" t="s">
        <v>1791</v>
      </c>
      <c r="D311" s="1162"/>
      <c r="E311" s="1162"/>
      <c r="F311" s="1163"/>
      <c r="G311" s="452" t="s">
        <v>1792</v>
      </c>
      <c r="H311" s="427"/>
    </row>
    <row r="312" spans="2:8" hidden="1" outlineLevel="1">
      <c r="B312" s="1190"/>
      <c r="C312" s="1161" t="s">
        <v>1793</v>
      </c>
      <c r="D312" s="1162"/>
      <c r="E312" s="1162"/>
      <c r="F312" s="1163"/>
      <c r="G312" s="452" t="s">
        <v>1794</v>
      </c>
      <c r="H312" s="427"/>
    </row>
    <row r="313" spans="2:8" hidden="1" outlineLevel="1">
      <c r="B313" s="1190"/>
      <c r="C313" s="1161" t="s">
        <v>1795</v>
      </c>
      <c r="D313" s="1162"/>
      <c r="E313" s="1162"/>
      <c r="F313" s="1163"/>
      <c r="G313" s="452" t="s">
        <v>1796</v>
      </c>
      <c r="H313" s="427"/>
    </row>
    <row r="314" spans="2:8" hidden="1" outlineLevel="1">
      <c r="B314" s="1190"/>
      <c r="C314" s="1161" t="s">
        <v>1797</v>
      </c>
      <c r="D314" s="1162"/>
      <c r="E314" s="1162"/>
      <c r="F314" s="1163"/>
      <c r="G314" s="452" t="s">
        <v>1798</v>
      </c>
      <c r="H314" s="427"/>
    </row>
    <row r="315" spans="2:8" hidden="1" outlineLevel="1">
      <c r="B315" s="1191"/>
      <c r="C315" s="1161" t="s">
        <v>1799</v>
      </c>
      <c r="D315" s="1162"/>
      <c r="E315" s="1162"/>
      <c r="F315" s="1163"/>
      <c r="G315" s="452" t="s">
        <v>1800</v>
      </c>
      <c r="H315" s="427"/>
    </row>
    <row r="316" spans="2:8" hidden="1" outlineLevel="1">
      <c r="B316" s="1186" t="s">
        <v>1801</v>
      </c>
      <c r="C316" s="1187"/>
      <c r="D316" s="1187"/>
      <c r="E316" s="1187"/>
      <c r="F316" s="1188"/>
      <c r="G316" s="452" t="s">
        <v>1802</v>
      </c>
      <c r="H316" s="453">
        <f>+H308-H309</f>
        <v>2066542.3663636369</v>
      </c>
    </row>
    <row r="317" spans="2:8" hidden="1" outlineLevel="1"/>
    <row r="318" spans="2:8" ht="24.75" hidden="1" customHeight="1" outlineLevel="1">
      <c r="B318" s="1167" t="s">
        <v>1803</v>
      </c>
      <c r="C318" s="1167"/>
      <c r="D318" s="1167"/>
      <c r="E318" s="1167"/>
      <c r="F318" s="1167"/>
      <c r="G318" s="1167"/>
      <c r="H318" s="1167"/>
    </row>
    <row r="319" spans="2:8" hidden="1" outlineLevel="1">
      <c r="B319" s="1161" t="s">
        <v>1804</v>
      </c>
      <c r="C319" s="1162"/>
      <c r="D319" s="1162"/>
      <c r="E319" s="1162"/>
      <c r="F319" s="1163"/>
      <c r="G319" s="452" t="s">
        <v>1805</v>
      </c>
      <c r="H319" s="427"/>
    </row>
    <row r="320" spans="2:8" hidden="1" outlineLevel="1">
      <c r="B320" s="1161" t="s">
        <v>1806</v>
      </c>
      <c r="C320" s="1162"/>
      <c r="D320" s="1162"/>
      <c r="E320" s="1162"/>
      <c r="F320" s="1163"/>
      <c r="G320" s="452" t="s">
        <v>1807</v>
      </c>
      <c r="H320" s="427"/>
    </row>
    <row r="321" spans="2:8" hidden="1" outlineLevel="1">
      <c r="B321" s="1164" t="s">
        <v>1808</v>
      </c>
      <c r="C321" s="1165"/>
      <c r="D321" s="1165"/>
      <c r="E321" s="1165"/>
      <c r="F321" s="1166"/>
      <c r="G321" s="452" t="s">
        <v>1809</v>
      </c>
      <c r="H321" s="427">
        <f>+(H319+H320)*0.1</f>
        <v>0</v>
      </c>
    </row>
    <row r="322" spans="2:8" hidden="1" outlineLevel="1">
      <c r="B322" s="1161" t="s">
        <v>1810</v>
      </c>
      <c r="C322" s="1162"/>
      <c r="D322" s="1162"/>
      <c r="E322" s="1162"/>
      <c r="F322" s="1163"/>
      <c r="G322" s="452" t="s">
        <v>1811</v>
      </c>
      <c r="H322" s="427"/>
    </row>
    <row r="323" spans="2:8" hidden="1" outlineLevel="1">
      <c r="B323" s="1161" t="s">
        <v>1812</v>
      </c>
      <c r="C323" s="1162"/>
      <c r="D323" s="1162"/>
      <c r="E323" s="1162"/>
      <c r="F323" s="1163"/>
      <c r="G323" s="452" t="s">
        <v>1813</v>
      </c>
      <c r="H323" s="427"/>
    </row>
    <row r="324" spans="2:8" hidden="1" outlineLevel="1">
      <c r="B324" s="1164" t="s">
        <v>1814</v>
      </c>
      <c r="C324" s="1165"/>
      <c r="D324" s="1165"/>
      <c r="E324" s="1165"/>
      <c r="F324" s="1166"/>
      <c r="G324" s="452" t="s">
        <v>1815</v>
      </c>
      <c r="H324" s="427">
        <f>+(H322+H323)*0.1</f>
        <v>0</v>
      </c>
    </row>
    <row r="325" spans="2:8" hidden="1" outlineLevel="1"/>
    <row r="326" spans="2:8" hidden="1" outlineLevel="1">
      <c r="B326" s="1167" t="s">
        <v>1816</v>
      </c>
      <c r="C326" s="1167"/>
      <c r="D326" s="1167"/>
      <c r="E326" s="1167"/>
      <c r="F326" s="1167"/>
      <c r="G326" s="1167"/>
      <c r="H326" s="1167"/>
    </row>
    <row r="327" spans="2:8" hidden="1" outlineLevel="1">
      <c r="B327" s="1164" t="s">
        <v>1817</v>
      </c>
      <c r="C327" s="1165"/>
      <c r="D327" s="1165"/>
      <c r="E327" s="1165"/>
      <c r="F327" s="1166"/>
      <c r="G327" s="452" t="s">
        <v>1818</v>
      </c>
      <c r="H327" s="427">
        <f>+H299+H321</f>
        <v>1325614.5456363638</v>
      </c>
    </row>
    <row r="328" spans="2:8" hidden="1" outlineLevel="1">
      <c r="B328" s="1164" t="s">
        <v>1819</v>
      </c>
      <c r="C328" s="1165"/>
      <c r="D328" s="1165"/>
      <c r="E328" s="1165"/>
      <c r="F328" s="1166"/>
      <c r="G328" s="452" t="s">
        <v>1820</v>
      </c>
      <c r="H328" s="427">
        <f>+H316+H324</f>
        <v>2066542.3663636369</v>
      </c>
    </row>
    <row r="329" spans="2:8" hidden="1" outlineLevel="1"/>
    <row r="330" spans="2:8" hidden="1" outlineLevel="1">
      <c r="B330" s="1167" t="s">
        <v>1821</v>
      </c>
      <c r="C330" s="1167"/>
      <c r="D330" s="1167"/>
      <c r="E330" s="1167"/>
      <c r="F330" s="1167"/>
      <c r="G330" s="1167"/>
      <c r="H330" s="1167"/>
    </row>
    <row r="331" spans="2:8" hidden="1" outlineLevel="1">
      <c r="B331" s="1161" t="s">
        <v>1822</v>
      </c>
      <c r="C331" s="1162"/>
      <c r="D331" s="1162"/>
      <c r="E331" s="1162"/>
      <c r="F331" s="1163"/>
      <c r="G331" s="452" t="s">
        <v>1823</v>
      </c>
      <c r="H331" s="427"/>
    </row>
    <row r="332" spans="2:8" hidden="1" outlineLevel="1">
      <c r="B332" s="1164" t="s">
        <v>1824</v>
      </c>
      <c r="C332" s="1165"/>
      <c r="D332" s="1165"/>
      <c r="E332" s="1165"/>
      <c r="F332" s="1166"/>
      <c r="G332" s="452" t="s">
        <v>1825</v>
      </c>
      <c r="H332" s="427">
        <f>+H331*0.1</f>
        <v>0</v>
      </c>
    </row>
    <row r="333" spans="2:8" hidden="1" outlineLevel="1">
      <c r="B333" s="1161" t="s">
        <v>1826</v>
      </c>
      <c r="C333" s="1162"/>
      <c r="D333" s="1162"/>
      <c r="E333" s="1162"/>
      <c r="F333" s="1163"/>
      <c r="G333" s="452" t="s">
        <v>1827</v>
      </c>
      <c r="H333" s="427"/>
    </row>
    <row r="334" spans="2:8" hidden="1" outlineLevel="1">
      <c r="B334" s="1164" t="s">
        <v>1814</v>
      </c>
      <c r="C334" s="1165"/>
      <c r="D334" s="1165"/>
      <c r="E334" s="1165"/>
      <c r="F334" s="1166"/>
      <c r="G334" s="452" t="s">
        <v>1828</v>
      </c>
      <c r="H334" s="427">
        <f>+H333*0.1</f>
        <v>0</v>
      </c>
    </row>
    <row r="335" spans="2:8" hidden="1" outlineLevel="1"/>
    <row r="336" spans="2:8" hidden="1" outlineLevel="1">
      <c r="B336" s="1167" t="s">
        <v>1829</v>
      </c>
      <c r="C336" s="1167"/>
      <c r="D336" s="1167"/>
      <c r="E336" s="1167"/>
      <c r="F336" s="1167"/>
      <c r="G336" s="1167"/>
      <c r="H336" s="1167"/>
    </row>
    <row r="337" spans="2:8" hidden="1" outlineLevel="1">
      <c r="B337" s="1168" t="s">
        <v>1303</v>
      </c>
      <c r="C337" s="1168"/>
      <c r="D337" s="1169" t="s">
        <v>1830</v>
      </c>
      <c r="E337" s="1170"/>
      <c r="F337" s="1171"/>
      <c r="G337" s="452" t="s">
        <v>1831</v>
      </c>
      <c r="H337" s="427">
        <f>+H327-H332</f>
        <v>1325614.5456363638</v>
      </c>
    </row>
    <row r="338" spans="2:8" hidden="1" outlineLevel="1">
      <c r="B338" s="1168"/>
      <c r="C338" s="1168"/>
      <c r="D338" s="1169" t="s">
        <v>1832</v>
      </c>
      <c r="E338" s="1170"/>
      <c r="F338" s="1171"/>
      <c r="G338" s="452" t="s">
        <v>1833</v>
      </c>
      <c r="H338" s="427">
        <f>+H328-H334</f>
        <v>2066542.3663636369</v>
      </c>
    </row>
    <row r="339" spans="2:8" hidden="1" outlineLevel="1">
      <c r="B339" s="1168"/>
      <c r="C339" s="1168"/>
      <c r="D339" s="1169" t="s">
        <v>1834</v>
      </c>
      <c r="E339" s="1170"/>
      <c r="F339" s="1171"/>
      <c r="G339" s="452" t="s">
        <v>1835</v>
      </c>
      <c r="H339" s="427">
        <f>+H337-H338</f>
        <v>-740927.82072727312</v>
      </c>
    </row>
    <row r="340" spans="2:8" hidden="1" outlineLevel="1">
      <c r="B340" s="1168"/>
      <c r="C340" s="1168"/>
      <c r="D340" s="1169" t="s">
        <v>1836</v>
      </c>
      <c r="E340" s="1170"/>
      <c r="F340" s="1171"/>
      <c r="G340" s="452" t="s">
        <v>1837</v>
      </c>
      <c r="H340" s="427"/>
    </row>
    <row r="341" spans="2:8" hidden="1" outlineLevel="1"/>
    <row r="342" spans="2:8" hidden="1" outlineLevel="1">
      <c r="B342" s="1176" t="s">
        <v>1838</v>
      </c>
      <c r="C342" s="1176"/>
      <c r="D342" s="1176"/>
      <c r="E342" s="1176"/>
      <c r="F342" s="1176"/>
      <c r="G342" s="455" t="s">
        <v>1839</v>
      </c>
      <c r="H342" s="456" t="s">
        <v>1840</v>
      </c>
    </row>
    <row r="343" spans="2:8" hidden="1" outlineLevel="1">
      <c r="B343" s="1172" t="s">
        <v>1841</v>
      </c>
      <c r="C343" s="1172"/>
      <c r="D343" s="1172"/>
      <c r="E343" s="457" t="s">
        <v>1072</v>
      </c>
      <c r="F343" s="458">
        <v>1</v>
      </c>
      <c r="G343" s="459">
        <f>+O5</f>
        <v>0</v>
      </c>
      <c r="H343" s="460"/>
    </row>
    <row r="344" spans="2:8" hidden="1" outlineLevel="1">
      <c r="B344" s="1172"/>
      <c r="C344" s="1172"/>
      <c r="D344" s="1172"/>
      <c r="E344" s="457" t="s">
        <v>1073</v>
      </c>
      <c r="F344" s="458">
        <f>+F343+1</f>
        <v>2</v>
      </c>
      <c r="G344" s="461"/>
      <c r="H344" s="462">
        <f>+P5</f>
        <v>67251184.823636353</v>
      </c>
    </row>
    <row r="345" spans="2:8" hidden="1" outlineLevel="1">
      <c r="B345" s="1172" t="s">
        <v>1842</v>
      </c>
      <c r="C345" s="1172"/>
      <c r="D345" s="1172"/>
      <c r="E345" s="457" t="s">
        <v>1072</v>
      </c>
      <c r="F345" s="458">
        <f t="shared" ref="F345:F358" si="4">+F344+1</f>
        <v>3</v>
      </c>
      <c r="G345" s="459"/>
      <c r="H345" s="460"/>
    </row>
    <row r="346" spans="2:8" hidden="1" outlineLevel="1">
      <c r="B346" s="1172"/>
      <c r="C346" s="1172"/>
      <c r="D346" s="1172"/>
      <c r="E346" s="457" t="s">
        <v>1073</v>
      </c>
      <c r="F346" s="458">
        <f t="shared" si="4"/>
        <v>4</v>
      </c>
      <c r="G346" s="461"/>
      <c r="H346" s="462">
        <f>+H339</f>
        <v>-740927.82072727312</v>
      </c>
    </row>
    <row r="347" spans="2:8" hidden="1" outlineLevel="1">
      <c r="B347" s="1173" t="s">
        <v>1078</v>
      </c>
      <c r="C347" s="1174"/>
      <c r="D347" s="1174"/>
      <c r="E347" s="1175"/>
      <c r="F347" s="458">
        <f t="shared" si="4"/>
        <v>5</v>
      </c>
      <c r="G347" s="459">
        <f>+L6</f>
        <v>0</v>
      </c>
      <c r="H347" s="460"/>
    </row>
    <row r="348" spans="2:8" hidden="1" outlineLevel="1">
      <c r="B348" s="1177" t="s">
        <v>1843</v>
      </c>
      <c r="C348" s="1178"/>
      <c r="D348" s="1178"/>
      <c r="E348" s="1179"/>
      <c r="F348" s="458">
        <f t="shared" si="4"/>
        <v>6</v>
      </c>
      <c r="G348" s="464"/>
      <c r="H348" s="460"/>
    </row>
    <row r="349" spans="2:8" hidden="1" outlineLevel="1">
      <c r="B349" s="1177" t="s">
        <v>1843</v>
      </c>
      <c r="C349" s="1178"/>
      <c r="D349" s="1178"/>
      <c r="E349" s="1179"/>
      <c r="F349" s="458">
        <f t="shared" si="4"/>
        <v>7</v>
      </c>
      <c r="G349" s="461"/>
      <c r="H349" s="463"/>
    </row>
    <row r="350" spans="2:8" hidden="1" outlineLevel="1">
      <c r="B350" s="1172" t="s">
        <v>1844</v>
      </c>
      <c r="C350" s="1172"/>
      <c r="D350" s="1172"/>
      <c r="E350" s="457" t="s">
        <v>1072</v>
      </c>
      <c r="F350" s="458">
        <f t="shared" si="4"/>
        <v>8</v>
      </c>
      <c r="G350" s="464"/>
      <c r="H350" s="460"/>
    </row>
    <row r="351" spans="2:8" hidden="1" outlineLevel="1">
      <c r="B351" s="1172"/>
      <c r="C351" s="1172"/>
      <c r="D351" s="1172"/>
      <c r="E351" s="457" t="s">
        <v>1073</v>
      </c>
      <c r="F351" s="458">
        <f t="shared" si="4"/>
        <v>9</v>
      </c>
      <c r="G351" s="461"/>
      <c r="H351" s="463"/>
    </row>
    <row r="352" spans="2:8" hidden="1" outlineLevel="1">
      <c r="B352" s="1172" t="s">
        <v>1845</v>
      </c>
      <c r="C352" s="1172"/>
      <c r="D352" s="1172"/>
      <c r="E352" s="457" t="s">
        <v>1072</v>
      </c>
      <c r="F352" s="458">
        <f t="shared" si="4"/>
        <v>10</v>
      </c>
      <c r="G352" s="464"/>
      <c r="H352" s="460"/>
    </row>
    <row r="353" spans="1:11" hidden="1" outlineLevel="1">
      <c r="B353" s="1172"/>
      <c r="C353" s="1172"/>
      <c r="D353" s="1172"/>
      <c r="E353" s="457" t="s">
        <v>1073</v>
      </c>
      <c r="F353" s="458">
        <f t="shared" si="4"/>
        <v>11</v>
      </c>
      <c r="G353" s="461"/>
      <c r="H353" s="463"/>
    </row>
    <row r="354" spans="1:11" hidden="1" outlineLevel="1">
      <c r="B354" s="1173" t="s">
        <v>1846</v>
      </c>
      <c r="C354" s="1174"/>
      <c r="D354" s="1174"/>
      <c r="E354" s="1175"/>
      <c r="F354" s="458">
        <f t="shared" si="4"/>
        <v>12</v>
      </c>
      <c r="G354" s="464"/>
      <c r="H354" s="460"/>
    </row>
    <row r="355" spans="1:11" hidden="1" outlineLevel="1">
      <c r="B355" s="1172" t="s">
        <v>1847</v>
      </c>
      <c r="C355" s="1172"/>
      <c r="D355" s="1172"/>
      <c r="E355" s="457" t="s">
        <v>1072</v>
      </c>
      <c r="F355" s="458">
        <f t="shared" si="4"/>
        <v>13</v>
      </c>
      <c r="G355" s="464"/>
      <c r="H355" s="460"/>
    </row>
    <row r="356" spans="1:11" hidden="1" outlineLevel="1">
      <c r="B356" s="1172"/>
      <c r="C356" s="1172"/>
      <c r="D356" s="1172"/>
      <c r="E356" s="457" t="s">
        <v>1073</v>
      </c>
      <c r="F356" s="458">
        <f t="shared" si="4"/>
        <v>14</v>
      </c>
      <c r="G356" s="461"/>
      <c r="H356" s="463"/>
    </row>
    <row r="357" spans="1:11" hidden="1" outlineLevel="1">
      <c r="B357" s="1172" t="s">
        <v>1848</v>
      </c>
      <c r="C357" s="1172"/>
      <c r="D357" s="1172"/>
      <c r="E357" s="457" t="s">
        <v>1072</v>
      </c>
      <c r="F357" s="458">
        <f t="shared" si="4"/>
        <v>15</v>
      </c>
      <c r="G357" s="459">
        <f>IF((G343+G345+G347-H344-H346)&gt;0,(G343+G345+G347-H344-H346),0)</f>
        <v>0</v>
      </c>
      <c r="H357" s="460"/>
    </row>
    <row r="358" spans="1:11" hidden="1" outlineLevel="1">
      <c r="B358" s="1172"/>
      <c r="C358" s="1172"/>
      <c r="D358" s="1172"/>
      <c r="E358" s="457" t="s">
        <v>1073</v>
      </c>
      <c r="F358" s="458">
        <f t="shared" si="4"/>
        <v>16</v>
      </c>
      <c r="G358" s="465"/>
      <c r="H358" s="510">
        <f>+IF((H344+H346-G343-G345-G347)&gt;0,(H344+H346-G343-G345-G347),0)</f>
        <v>66510257.002909079</v>
      </c>
      <c r="J358" s="79">
        <f>+P6</f>
        <v>66510257.000909083</v>
      </c>
      <c r="K358" s="79">
        <f>+J358-H358</f>
        <v>-1.9999966025352478E-3</v>
      </c>
    </row>
    <row r="359" spans="1:11" hidden="1" outlineLevel="1">
      <c r="K359" s="79">
        <f>+K358+K236+K114</f>
        <v>-14240420.191636369</v>
      </c>
    </row>
    <row r="360" spans="1:11" hidden="1" outlineLevel="1"/>
    <row r="361" spans="1:11" hidden="1" outlineLevel="1">
      <c r="B361" s="332" t="s">
        <v>1849</v>
      </c>
      <c r="E361" s="332" t="s">
        <v>1083</v>
      </c>
    </row>
    <row r="362" spans="1:11" hidden="1" outlineLevel="1">
      <c r="B362" s="332"/>
    </row>
    <row r="363" spans="1:11" hidden="1" outlineLevel="1">
      <c r="B363" s="332" t="str">
        <f>+CONCATENATE('[6]company '!B269," . . . . . . . . . . . . . . . . . .  ... . . . .. . . . ",'[6]company '!C269)</f>
        <v xml:space="preserve"> . . . . . . . . . . . . . . . . . .  ... . . . .. . . . </v>
      </c>
      <c r="E363" s="332" t="s">
        <v>1850</v>
      </c>
    </row>
    <row r="364" spans="1:11" collapsed="1">
      <c r="A364" s="238" t="s">
        <v>2292</v>
      </c>
      <c r="B364" s="332"/>
    </row>
    <row r="365" spans="1:11" hidden="1" outlineLevel="1">
      <c r="B365" s="332" t="str">
        <f>+CONCATENATE('[6]company '!B272,". . . . . . . . . . . . . . . . . . . . ",'[6]company '!C272)</f>
        <v xml:space="preserve">. . . . . . . . . . . . . . . . . . . . </v>
      </c>
    </row>
    <row r="366" spans="1:11" hidden="1" outlineLevel="1"/>
    <row r="367" spans="1:11" hidden="1" outlineLevel="1">
      <c r="B367" s="437"/>
      <c r="C367" s="437"/>
      <c r="D367" s="437"/>
      <c r="E367" s="477"/>
      <c r="F367" s="1180" t="s">
        <v>1706</v>
      </c>
      <c r="G367" s="1180"/>
      <c r="H367" s="1180"/>
    </row>
    <row r="368" spans="1:11" hidden="1" outlineLevel="1">
      <c r="D368" s="437"/>
      <c r="E368" s="1181" t="s">
        <v>1710</v>
      </c>
      <c r="F368" s="1181"/>
      <c r="G368" s="1181"/>
      <c r="H368" s="1181"/>
    </row>
    <row r="369" spans="2:8" ht="18.75" hidden="1" outlineLevel="1">
      <c r="G369" s="444" t="s">
        <v>1716</v>
      </c>
      <c r="H369" s="445" t="s">
        <v>1717</v>
      </c>
    </row>
    <row r="370" spans="2:8" ht="21" hidden="1" outlineLevel="1" thickBot="1">
      <c r="B370" s="1182" t="s">
        <v>1718</v>
      </c>
      <c r="C370" s="1182"/>
      <c r="D370" s="1182"/>
      <c r="E370" s="1182"/>
      <c r="F370" s="1182"/>
      <c r="G370" s="1182"/>
      <c r="H370" s="1182"/>
    </row>
    <row r="371" spans="2:8" ht="13.5" hidden="1" outlineLevel="1" thickTop="1"/>
    <row r="372" spans="2:8" hidden="1" outlineLevel="1">
      <c r="B372" s="1183" t="s">
        <v>1719</v>
      </c>
      <c r="C372" s="1184"/>
      <c r="D372" s="1184"/>
      <c r="E372" s="1184"/>
      <c r="F372" s="1184"/>
      <c r="G372" s="1184"/>
      <c r="H372" s="1185"/>
    </row>
    <row r="373" spans="2:8" hidden="1" outlineLevel="1">
      <c r="B373" s="1155" t="s">
        <v>1971</v>
      </c>
      <c r="C373" s="1156"/>
      <c r="D373" s="1157"/>
      <c r="E373" s="1158" t="s">
        <v>1972</v>
      </c>
      <c r="F373" s="1159"/>
      <c r="G373" s="1159"/>
      <c r="H373" s="1160"/>
    </row>
    <row r="374" spans="2:8" hidden="1" outlineLevel="1"/>
    <row r="375" spans="2:8" hidden="1" outlineLevel="1">
      <c r="B375" s="1183" t="s">
        <v>1973</v>
      </c>
      <c r="C375" s="1184"/>
      <c r="D375" s="1185"/>
      <c r="E375" s="1202" t="s">
        <v>1974</v>
      </c>
      <c r="F375" s="1203"/>
      <c r="G375" s="1203"/>
      <c r="H375" s="1205"/>
    </row>
    <row r="376" spans="2:8" hidden="1" outlineLevel="1">
      <c r="B376" s="1183" t="s">
        <v>1975</v>
      </c>
      <c r="C376" s="1184"/>
      <c r="D376" s="1185"/>
      <c r="E376" s="1202" t="s">
        <v>1976</v>
      </c>
      <c r="F376" s="1203"/>
      <c r="G376" s="1203"/>
      <c r="H376" s="1205"/>
    </row>
    <row r="377" spans="2:8" hidden="1" outlineLevel="1">
      <c r="B377" s="1183" t="s">
        <v>1977</v>
      </c>
      <c r="C377" s="1184"/>
      <c r="D377" s="1185"/>
      <c r="E377" s="1202" t="s">
        <v>1266</v>
      </c>
      <c r="F377" s="1203"/>
      <c r="G377" s="1203"/>
      <c r="H377" s="1205"/>
    </row>
    <row r="378" spans="2:8" hidden="1" outlineLevel="1">
      <c r="B378" s="1206" t="s">
        <v>1978</v>
      </c>
      <c r="C378" s="1207"/>
      <c r="D378" s="1208"/>
      <c r="E378" s="1209" t="s">
        <v>1268</v>
      </c>
      <c r="F378" s="1210"/>
      <c r="G378" s="1210"/>
      <c r="H378" s="1211"/>
    </row>
    <row r="379" spans="2:8" hidden="1" outlineLevel="1">
      <c r="B379" s="1212" t="s">
        <v>1269</v>
      </c>
      <c r="C379" s="1212"/>
      <c r="D379" s="1212"/>
      <c r="E379" s="1213"/>
      <c r="F379" s="1213"/>
      <c r="G379" s="1213"/>
      <c r="H379" s="1213"/>
    </row>
    <row r="380" spans="2:8" hidden="1" outlineLevel="1">
      <c r="B380" s="1214"/>
      <c r="C380" s="1214"/>
      <c r="D380" s="1214"/>
      <c r="E380" s="1215"/>
      <c r="F380" s="1215"/>
      <c r="G380" s="1215"/>
      <c r="H380" s="1215"/>
    </row>
    <row r="381" spans="2:8" hidden="1" outlineLevel="1">
      <c r="B381" s="1183" t="s">
        <v>1720</v>
      </c>
      <c r="C381" s="1184"/>
      <c r="D381" s="1184"/>
      <c r="E381" s="1184"/>
      <c r="F381" s="1184"/>
      <c r="G381" s="1184"/>
      <c r="H381" s="1185"/>
    </row>
    <row r="382" spans="2:8" hidden="1" outlineLevel="1">
      <c r="B382" s="1198"/>
      <c r="C382" s="1183" t="s">
        <v>1721</v>
      </c>
      <c r="D382" s="1185"/>
      <c r="E382" s="1202" t="s">
        <v>1722</v>
      </c>
      <c r="F382" s="1203"/>
      <c r="G382" s="1205"/>
      <c r="H382" s="448"/>
    </row>
    <row r="383" spans="2:8" hidden="1" outlineLevel="1">
      <c r="B383" s="1199"/>
      <c r="C383" s="1183" t="str">
        <f>+CONCATENATE('[6]company '!B389,"-""04 сар")</f>
        <v>-"04 сар</v>
      </c>
      <c r="D383" s="1185"/>
      <c r="E383" s="1195" t="s">
        <v>46</v>
      </c>
      <c r="F383" s="1196"/>
      <c r="G383" s="1197"/>
      <c r="H383" s="427" t="s">
        <v>1962</v>
      </c>
    </row>
    <row r="384" spans="2:8" hidden="1" outlineLevel="1">
      <c r="B384" s="1200"/>
      <c r="C384" s="1195" t="s">
        <v>1724</v>
      </c>
      <c r="D384" s="1197"/>
      <c r="E384" s="1195" t="s">
        <v>1725</v>
      </c>
      <c r="F384" s="1196"/>
      <c r="G384" s="1197"/>
      <c r="H384" s="427"/>
    </row>
    <row r="385" spans="2:8" hidden="1" outlineLevel="1">
      <c r="B385" s="478"/>
      <c r="C385" s="478"/>
      <c r="D385" s="478"/>
      <c r="E385" s="478"/>
      <c r="F385" s="478"/>
      <c r="G385" s="449"/>
      <c r="H385" s="450"/>
    </row>
    <row r="386" spans="2:8" hidden="1" outlineLevel="1">
      <c r="B386" s="1216" t="s">
        <v>1726</v>
      </c>
      <c r="C386" s="1216"/>
      <c r="D386" s="1216"/>
      <c r="E386" s="451"/>
      <c r="F386" s="478" t="s">
        <v>1727</v>
      </c>
      <c r="G386" s="449"/>
      <c r="H386" s="450" t="s">
        <v>1728</v>
      </c>
    </row>
    <row r="387" spans="2:8" hidden="1" outlineLevel="1">
      <c r="B387" s="478"/>
      <c r="C387" s="478"/>
      <c r="D387" s="478"/>
      <c r="E387" s="478"/>
      <c r="F387" s="478"/>
      <c r="G387" s="449"/>
      <c r="H387" s="450"/>
    </row>
    <row r="388" spans="2:8" hidden="1" outlineLevel="1">
      <c r="B388" s="478"/>
      <c r="C388" s="478"/>
      <c r="D388" s="478"/>
      <c r="E388" s="478"/>
      <c r="F388" s="478"/>
      <c r="G388" s="449"/>
      <c r="H388" s="450"/>
    </row>
    <row r="389" spans="2:8" ht="21.75" hidden="1" customHeight="1" outlineLevel="1">
      <c r="B389" s="1167" t="s">
        <v>1729</v>
      </c>
      <c r="C389" s="1167"/>
      <c r="D389" s="1167"/>
      <c r="E389" s="1167"/>
      <c r="F389" s="1167"/>
      <c r="G389" s="1167"/>
      <c r="H389" s="1167"/>
    </row>
    <row r="390" spans="2:8" hidden="1" outlineLevel="1">
      <c r="B390" s="1186" t="s">
        <v>1730</v>
      </c>
      <c r="C390" s="1187"/>
      <c r="D390" s="1187"/>
      <c r="E390" s="1187"/>
      <c r="F390" s="1188"/>
      <c r="G390" s="452" t="s">
        <v>1731</v>
      </c>
      <c r="H390" s="453">
        <f>+H391+H392</f>
        <v>7796866.3700000001</v>
      </c>
    </row>
    <row r="391" spans="2:8" hidden="1" outlineLevel="1">
      <c r="B391" s="1192" t="s">
        <v>1732</v>
      </c>
      <c r="C391" s="1193"/>
      <c r="D391" s="1193"/>
      <c r="E391" s="1193"/>
      <c r="F391" s="1194"/>
      <c r="G391" s="452" t="s">
        <v>99</v>
      </c>
      <c r="H391" s="427"/>
    </row>
    <row r="392" spans="2:8" hidden="1" outlineLevel="1">
      <c r="B392" s="1192" t="s">
        <v>1733</v>
      </c>
      <c r="C392" s="1193"/>
      <c r="D392" s="1193"/>
      <c r="E392" s="1193"/>
      <c r="F392" s="1194"/>
      <c r="G392" s="452" t="s">
        <v>1734</v>
      </c>
      <c r="H392" s="427">
        <f>+H393+H399+H419</f>
        <v>7796866.3700000001</v>
      </c>
    </row>
    <row r="393" spans="2:8" hidden="1" outlineLevel="1">
      <c r="B393" s="1198"/>
      <c r="C393" s="1186" t="s">
        <v>1735</v>
      </c>
      <c r="D393" s="1187"/>
      <c r="E393" s="1187"/>
      <c r="F393" s="1188"/>
      <c r="G393" s="452" t="s">
        <v>1736</v>
      </c>
      <c r="H393" s="453">
        <f>+H394+H395+H396+H397+H398</f>
        <v>7796866.3700000001</v>
      </c>
    </row>
    <row r="394" spans="2:8" hidden="1" outlineLevel="1">
      <c r="B394" s="1199"/>
      <c r="C394" s="1189" t="s">
        <v>1737</v>
      </c>
      <c r="D394" s="1195" t="s">
        <v>1738</v>
      </c>
      <c r="E394" s="1196"/>
      <c r="F394" s="1197"/>
      <c r="G394" s="452" t="s">
        <v>173</v>
      </c>
      <c r="H394" s="427">
        <f>+SUMIFS(JURNAL!H:H,JURNAL!E:E,510000,JURNAL!C:C,"&gt;="&amp;J7,JURNAL!C:C,"&lt;="&amp;K7)+SUMIFS(JURNAL!H:H,JURNAL!E:E,510100,JURNAL!C:C,"&gt;="&amp;J7,JURNAL!C:C,"&lt;="&amp;K7)</f>
        <v>7796866.3700000001</v>
      </c>
    </row>
    <row r="395" spans="2:8" hidden="1" outlineLevel="1">
      <c r="B395" s="1199"/>
      <c r="C395" s="1190"/>
      <c r="D395" s="1161" t="s">
        <v>1739</v>
      </c>
      <c r="E395" s="1162"/>
      <c r="F395" s="1163"/>
      <c r="G395" s="454" t="s">
        <v>174</v>
      </c>
      <c r="H395" s="427"/>
    </row>
    <row r="396" spans="2:8" hidden="1" outlineLevel="1">
      <c r="B396" s="1199"/>
      <c r="C396" s="1190"/>
      <c r="D396" s="1161" t="s">
        <v>831</v>
      </c>
      <c r="E396" s="1162"/>
      <c r="F396" s="1163"/>
      <c r="G396" s="454" t="s">
        <v>897</v>
      </c>
      <c r="H396" s="427"/>
    </row>
    <row r="397" spans="2:8" hidden="1" outlineLevel="1">
      <c r="B397" s="1199"/>
      <c r="C397" s="1190"/>
      <c r="D397" s="1161" t="s">
        <v>1740</v>
      </c>
      <c r="E397" s="1162"/>
      <c r="F397" s="1163"/>
      <c r="G397" s="454" t="s">
        <v>899</v>
      </c>
      <c r="H397" s="427"/>
    </row>
    <row r="398" spans="2:8" hidden="1" outlineLevel="1">
      <c r="B398" s="1199"/>
      <c r="C398" s="1191"/>
      <c r="D398" s="1161" t="s">
        <v>1741</v>
      </c>
      <c r="E398" s="1162"/>
      <c r="F398" s="1163"/>
      <c r="G398" s="454" t="s">
        <v>901</v>
      </c>
      <c r="H398" s="427"/>
    </row>
    <row r="399" spans="2:8" hidden="1" outlineLevel="1">
      <c r="B399" s="1199"/>
      <c r="C399" s="1186" t="s">
        <v>1742</v>
      </c>
      <c r="D399" s="1187"/>
      <c r="E399" s="1187"/>
      <c r="F399" s="1188"/>
      <c r="G399" s="452" t="s">
        <v>1743</v>
      </c>
      <c r="H399" s="453">
        <f>+H400+H401+H402+H403+H404+H405+H406+H407+H408+H409+H410+H411+H412+H413+H414</f>
        <v>0</v>
      </c>
    </row>
    <row r="400" spans="2:8" hidden="1" outlineLevel="1">
      <c r="B400" s="1199"/>
      <c r="C400" s="1189" t="s">
        <v>1737</v>
      </c>
      <c r="D400" s="1161" t="s">
        <v>1744</v>
      </c>
      <c r="E400" s="1162"/>
      <c r="F400" s="1163"/>
      <c r="G400" s="454" t="s">
        <v>905</v>
      </c>
      <c r="H400" s="427"/>
    </row>
    <row r="401" spans="2:8" hidden="1" outlineLevel="1">
      <c r="B401" s="1199"/>
      <c r="C401" s="1190"/>
      <c r="D401" s="1161" t="s">
        <v>1745</v>
      </c>
      <c r="E401" s="1162"/>
      <c r="F401" s="1163"/>
      <c r="G401" s="454" t="s">
        <v>907</v>
      </c>
      <c r="H401" s="427"/>
    </row>
    <row r="402" spans="2:8" hidden="1" outlineLevel="1">
      <c r="B402" s="1199"/>
      <c r="C402" s="1190"/>
      <c r="D402" s="1161" t="s">
        <v>1746</v>
      </c>
      <c r="E402" s="1162"/>
      <c r="F402" s="1163"/>
      <c r="G402" s="454" t="s">
        <v>909</v>
      </c>
      <c r="H402" s="427"/>
    </row>
    <row r="403" spans="2:8" hidden="1" outlineLevel="1">
      <c r="B403" s="1199"/>
      <c r="C403" s="1190"/>
      <c r="D403" s="1161" t="s">
        <v>1747</v>
      </c>
      <c r="E403" s="1162"/>
      <c r="F403" s="1163"/>
      <c r="G403" s="454" t="s">
        <v>911</v>
      </c>
      <c r="H403" s="427"/>
    </row>
    <row r="404" spans="2:8" hidden="1" outlineLevel="1">
      <c r="B404" s="1199"/>
      <c r="C404" s="1190"/>
      <c r="D404" s="1161" t="s">
        <v>1748</v>
      </c>
      <c r="E404" s="1162"/>
      <c r="F404" s="1163"/>
      <c r="G404" s="454" t="s">
        <v>913</v>
      </c>
      <c r="H404" s="427"/>
    </row>
    <row r="405" spans="2:8" hidden="1" outlineLevel="1">
      <c r="B405" s="1199"/>
      <c r="C405" s="1190"/>
      <c r="D405" s="1161" t="s">
        <v>1749</v>
      </c>
      <c r="E405" s="1162"/>
      <c r="F405" s="1163"/>
      <c r="G405" s="454" t="s">
        <v>915</v>
      </c>
      <c r="H405" s="427"/>
    </row>
    <row r="406" spans="2:8" hidden="1" outlineLevel="1">
      <c r="B406" s="1199"/>
      <c r="C406" s="1190"/>
      <c r="D406" s="1161" t="s">
        <v>1750</v>
      </c>
      <c r="E406" s="1162"/>
      <c r="F406" s="1163"/>
      <c r="G406" s="454" t="s">
        <v>917</v>
      </c>
      <c r="H406" s="427"/>
    </row>
    <row r="407" spans="2:8" hidden="1" outlineLevel="1">
      <c r="B407" s="1199"/>
      <c r="C407" s="1190"/>
      <c r="D407" s="1161" t="s">
        <v>1751</v>
      </c>
      <c r="E407" s="1162"/>
      <c r="F407" s="1163"/>
      <c r="G407" s="454" t="s">
        <v>919</v>
      </c>
      <c r="H407" s="427"/>
    </row>
    <row r="408" spans="2:8" hidden="1" outlineLevel="1">
      <c r="B408" s="1199"/>
      <c r="C408" s="1190"/>
      <c r="D408" s="1161" t="s">
        <v>1752</v>
      </c>
      <c r="E408" s="1162"/>
      <c r="F408" s="1163"/>
      <c r="G408" s="454" t="s">
        <v>921</v>
      </c>
      <c r="H408" s="427"/>
    </row>
    <row r="409" spans="2:8" hidden="1" outlineLevel="1">
      <c r="B409" s="1199"/>
      <c r="C409" s="1190"/>
      <c r="D409" s="1161" t="s">
        <v>1753</v>
      </c>
      <c r="E409" s="1162"/>
      <c r="F409" s="1163"/>
      <c r="G409" s="454" t="s">
        <v>923</v>
      </c>
      <c r="H409" s="427"/>
    </row>
    <row r="410" spans="2:8" hidden="1" outlineLevel="1">
      <c r="B410" s="1199"/>
      <c r="C410" s="1190"/>
      <c r="D410" s="1161" t="s">
        <v>1754</v>
      </c>
      <c r="E410" s="1162"/>
      <c r="F410" s="1163"/>
      <c r="G410" s="454" t="s">
        <v>925</v>
      </c>
      <c r="H410" s="427"/>
    </row>
    <row r="411" spans="2:8" hidden="1" outlineLevel="1">
      <c r="B411" s="1199"/>
      <c r="C411" s="1190"/>
      <c r="D411" s="1161" t="s">
        <v>1755</v>
      </c>
      <c r="E411" s="1162"/>
      <c r="F411" s="1163"/>
      <c r="G411" s="454" t="s">
        <v>927</v>
      </c>
      <c r="H411" s="427"/>
    </row>
    <row r="412" spans="2:8" hidden="1" outlineLevel="1">
      <c r="B412" s="1199"/>
      <c r="C412" s="1190"/>
      <c r="D412" s="1161" t="s">
        <v>1756</v>
      </c>
      <c r="E412" s="1162"/>
      <c r="F412" s="1163"/>
      <c r="G412" s="454" t="s">
        <v>929</v>
      </c>
      <c r="H412" s="427"/>
    </row>
    <row r="413" spans="2:8" hidden="1" outlineLevel="1">
      <c r="B413" s="1199"/>
      <c r="C413" s="1190"/>
      <c r="D413" s="1161" t="s">
        <v>1757</v>
      </c>
      <c r="E413" s="1162"/>
      <c r="F413" s="1163"/>
      <c r="G413" s="454" t="s">
        <v>937</v>
      </c>
      <c r="H413" s="427"/>
    </row>
    <row r="414" spans="2:8" hidden="1" outlineLevel="1">
      <c r="B414" s="1200"/>
      <c r="C414" s="1191"/>
      <c r="D414" s="1161" t="s">
        <v>1758</v>
      </c>
      <c r="E414" s="1162"/>
      <c r="F414" s="1163"/>
      <c r="G414" s="454" t="s">
        <v>939</v>
      </c>
      <c r="H414" s="427"/>
    </row>
    <row r="415" spans="2:8" hidden="1" outlineLevel="1">
      <c r="B415" s="1186" t="s">
        <v>1759</v>
      </c>
      <c r="C415" s="1187"/>
      <c r="D415" s="1187"/>
      <c r="E415" s="1187"/>
      <c r="F415" s="1188"/>
      <c r="G415" s="452" t="s">
        <v>1760</v>
      </c>
      <c r="H415" s="453">
        <f>+H393+H399</f>
        <v>7796866.3700000001</v>
      </c>
    </row>
    <row r="416" spans="2:8" hidden="1" outlineLevel="1">
      <c r="B416" s="1186" t="s">
        <v>1761</v>
      </c>
      <c r="C416" s="1187"/>
      <c r="D416" s="1187"/>
      <c r="E416" s="1187"/>
      <c r="F416" s="1188"/>
      <c r="G416" s="452" t="s">
        <v>1762</v>
      </c>
      <c r="H416" s="453">
        <f>+H415*0.1</f>
        <v>779686.6370000001</v>
      </c>
    </row>
    <row r="417" spans="2:8" hidden="1" outlineLevel="1">
      <c r="B417" s="1195" t="s">
        <v>1763</v>
      </c>
      <c r="C417" s="1196"/>
      <c r="D417" s="1196"/>
      <c r="E417" s="1196"/>
      <c r="F417" s="1197"/>
      <c r="G417" s="452" t="s">
        <v>1764</v>
      </c>
      <c r="H417" s="427"/>
    </row>
    <row r="418" spans="2:8" hidden="1" outlineLevel="1">
      <c r="B418" s="1195" t="s">
        <v>1765</v>
      </c>
      <c r="C418" s="1196"/>
      <c r="D418" s="1196"/>
      <c r="E418" s="1196"/>
      <c r="F418" s="1197"/>
      <c r="G418" s="452" t="s">
        <v>1766</v>
      </c>
      <c r="H418" s="427"/>
    </row>
    <row r="419" spans="2:8" hidden="1" outlineLevel="1">
      <c r="B419" s="1186" t="s">
        <v>1767</v>
      </c>
      <c r="C419" s="1187"/>
      <c r="D419" s="1187"/>
      <c r="E419" s="1187"/>
      <c r="F419" s="1188"/>
      <c r="G419" s="452" t="s">
        <v>1768</v>
      </c>
      <c r="H419" s="453">
        <f>+H417+H418</f>
        <v>0</v>
      </c>
    </row>
    <row r="420" spans="2:8" hidden="1" outlineLevel="1">
      <c r="B420" s="1186" t="s">
        <v>1761</v>
      </c>
      <c r="C420" s="1187"/>
      <c r="D420" s="1187"/>
      <c r="E420" s="1187"/>
      <c r="F420" s="1188"/>
      <c r="G420" s="452" t="s">
        <v>1769</v>
      </c>
      <c r="H420" s="453">
        <f>+H419*0%</f>
        <v>0</v>
      </c>
    </row>
    <row r="421" spans="2:8" hidden="1" outlineLevel="1">
      <c r="B421" s="1186" t="s">
        <v>1770</v>
      </c>
      <c r="C421" s="1187"/>
      <c r="D421" s="1187"/>
      <c r="E421" s="1187"/>
      <c r="F421" s="1188"/>
      <c r="G421" s="452" t="s">
        <v>1771</v>
      </c>
      <c r="H421" s="453">
        <f>+H416+H420</f>
        <v>779686.6370000001</v>
      </c>
    </row>
    <row r="422" spans="2:8" hidden="1" outlineLevel="1"/>
    <row r="423" spans="2:8" ht="25.5" hidden="1" customHeight="1" outlineLevel="1">
      <c r="B423" s="1167" t="s">
        <v>1772</v>
      </c>
      <c r="C423" s="1167"/>
      <c r="D423" s="1167"/>
      <c r="E423" s="1167"/>
      <c r="F423" s="1167"/>
      <c r="G423" s="1167"/>
      <c r="H423" s="1167"/>
    </row>
    <row r="424" spans="2:8" hidden="1" outlineLevel="1">
      <c r="B424" s="1186" t="s">
        <v>1773</v>
      </c>
      <c r="C424" s="1187"/>
      <c r="D424" s="1187"/>
      <c r="E424" s="1187"/>
      <c r="F424" s="1188"/>
      <c r="G424" s="452" t="s">
        <v>1774</v>
      </c>
      <c r="H424" s="427"/>
    </row>
    <row r="425" spans="2:8" hidden="1" outlineLevel="1">
      <c r="B425" s="1192" t="s">
        <v>1775</v>
      </c>
      <c r="C425" s="1193"/>
      <c r="D425" s="1193"/>
      <c r="E425" s="1193"/>
      <c r="F425" s="1194"/>
      <c r="G425" s="452" t="s">
        <v>1776</v>
      </c>
      <c r="H425" s="427">
        <f>+H426+H427+H428+H429</f>
        <v>36564011</v>
      </c>
    </row>
    <row r="426" spans="2:8" hidden="1" outlineLevel="1">
      <c r="B426" s="1189" t="s">
        <v>1737</v>
      </c>
      <c r="C426" s="1161" t="s">
        <v>1777</v>
      </c>
      <c r="D426" s="1162"/>
      <c r="E426" s="1162"/>
      <c r="F426" s="1163"/>
      <c r="G426" s="452" t="s">
        <v>1778</v>
      </c>
      <c r="H426" s="427"/>
    </row>
    <row r="427" spans="2:8" hidden="1" outlineLevel="1">
      <c r="B427" s="1190"/>
      <c r="C427" s="1161" t="s">
        <v>1779</v>
      </c>
      <c r="D427" s="1162"/>
      <c r="E427" s="1162"/>
      <c r="F427" s="1163"/>
      <c r="G427" s="452" t="s">
        <v>1780</v>
      </c>
      <c r="H427" s="427">
        <f>+M7*10</f>
        <v>36564011</v>
      </c>
    </row>
    <row r="428" spans="2:8" hidden="1" outlineLevel="1">
      <c r="B428" s="1190"/>
      <c r="C428" s="1161" t="s">
        <v>1781</v>
      </c>
      <c r="D428" s="1162"/>
      <c r="E428" s="1162"/>
      <c r="F428" s="1163"/>
      <c r="G428" s="452" t="s">
        <v>1782</v>
      </c>
      <c r="H428" s="427"/>
    </row>
    <row r="429" spans="2:8" hidden="1" outlineLevel="1">
      <c r="B429" s="1191"/>
      <c r="C429" s="1161" t="s">
        <v>1783</v>
      </c>
      <c r="D429" s="1162"/>
      <c r="E429" s="1162"/>
      <c r="F429" s="1163"/>
      <c r="G429" s="452" t="s">
        <v>1784</v>
      </c>
      <c r="H429" s="427"/>
    </row>
    <row r="430" spans="2:8" hidden="1" outlineLevel="1">
      <c r="B430" s="1186" t="s">
        <v>1785</v>
      </c>
      <c r="C430" s="1187"/>
      <c r="D430" s="1187"/>
      <c r="E430" s="1187"/>
      <c r="F430" s="1188"/>
      <c r="G430" s="452" t="s">
        <v>1786</v>
      </c>
      <c r="H430" s="453">
        <f>+H425*0.1</f>
        <v>3656401.1</v>
      </c>
    </row>
    <row r="431" spans="2:8" hidden="1" outlineLevel="1">
      <c r="B431" s="1186" t="s">
        <v>1787</v>
      </c>
      <c r="C431" s="1187"/>
      <c r="D431" s="1187"/>
      <c r="E431" s="1187"/>
      <c r="F431" s="1188"/>
      <c r="G431" s="452" t="s">
        <v>1788</v>
      </c>
      <c r="H431" s="453">
        <f>+H432+H433+H434+H435+H436+H437</f>
        <v>0</v>
      </c>
    </row>
    <row r="432" spans="2:8" hidden="1" outlineLevel="1">
      <c r="B432" s="1189" t="s">
        <v>1737</v>
      </c>
      <c r="C432" s="1161" t="s">
        <v>1789</v>
      </c>
      <c r="D432" s="1162"/>
      <c r="E432" s="1162"/>
      <c r="F432" s="1163"/>
      <c r="G432" s="452" t="s">
        <v>1790</v>
      </c>
      <c r="H432" s="427"/>
    </row>
    <row r="433" spans="2:8" hidden="1" outlineLevel="1">
      <c r="B433" s="1190"/>
      <c r="C433" s="1161" t="s">
        <v>1791</v>
      </c>
      <c r="D433" s="1162"/>
      <c r="E433" s="1162"/>
      <c r="F433" s="1163"/>
      <c r="G433" s="452" t="s">
        <v>1792</v>
      </c>
      <c r="H433" s="427"/>
    </row>
    <row r="434" spans="2:8" hidden="1" outlineLevel="1">
      <c r="B434" s="1190"/>
      <c r="C434" s="1161" t="s">
        <v>1793</v>
      </c>
      <c r="D434" s="1162"/>
      <c r="E434" s="1162"/>
      <c r="F434" s="1163"/>
      <c r="G434" s="452" t="s">
        <v>1794</v>
      </c>
      <c r="H434" s="427"/>
    </row>
    <row r="435" spans="2:8" hidden="1" outlineLevel="1">
      <c r="B435" s="1190"/>
      <c r="C435" s="1161" t="s">
        <v>1795</v>
      </c>
      <c r="D435" s="1162"/>
      <c r="E435" s="1162"/>
      <c r="F435" s="1163"/>
      <c r="G435" s="452" t="s">
        <v>1796</v>
      </c>
      <c r="H435" s="427"/>
    </row>
    <row r="436" spans="2:8" hidden="1" outlineLevel="1">
      <c r="B436" s="1190"/>
      <c r="C436" s="1161" t="s">
        <v>1797</v>
      </c>
      <c r="D436" s="1162"/>
      <c r="E436" s="1162"/>
      <c r="F436" s="1163"/>
      <c r="G436" s="452" t="s">
        <v>1798</v>
      </c>
      <c r="H436" s="427"/>
    </row>
    <row r="437" spans="2:8" hidden="1" outlineLevel="1">
      <c r="B437" s="1191"/>
      <c r="C437" s="1161" t="s">
        <v>1799</v>
      </c>
      <c r="D437" s="1162"/>
      <c r="E437" s="1162"/>
      <c r="F437" s="1163"/>
      <c r="G437" s="452" t="s">
        <v>1800</v>
      </c>
      <c r="H437" s="427"/>
    </row>
    <row r="438" spans="2:8" hidden="1" outlineLevel="1">
      <c r="B438" s="1186" t="s">
        <v>1801</v>
      </c>
      <c r="C438" s="1187"/>
      <c r="D438" s="1187"/>
      <c r="E438" s="1187"/>
      <c r="F438" s="1188"/>
      <c r="G438" s="452" t="s">
        <v>1802</v>
      </c>
      <c r="H438" s="453">
        <f>+H430-H431</f>
        <v>3656401.1</v>
      </c>
    </row>
    <row r="439" spans="2:8" hidden="1" outlineLevel="1"/>
    <row r="440" spans="2:8" ht="22.5" hidden="1" customHeight="1" outlineLevel="1">
      <c r="B440" s="1167" t="s">
        <v>1803</v>
      </c>
      <c r="C440" s="1167"/>
      <c r="D440" s="1167"/>
      <c r="E440" s="1167"/>
      <c r="F440" s="1167"/>
      <c r="G440" s="1167"/>
      <c r="H440" s="1167"/>
    </row>
    <row r="441" spans="2:8" hidden="1" outlineLevel="1">
      <c r="B441" s="1161" t="s">
        <v>1804</v>
      </c>
      <c r="C441" s="1162"/>
      <c r="D441" s="1162"/>
      <c r="E441" s="1162"/>
      <c r="F441" s="1163"/>
      <c r="G441" s="452" t="s">
        <v>1805</v>
      </c>
      <c r="H441" s="427"/>
    </row>
    <row r="442" spans="2:8" hidden="1" outlineLevel="1">
      <c r="B442" s="1161" t="s">
        <v>1806</v>
      </c>
      <c r="C442" s="1162"/>
      <c r="D442" s="1162"/>
      <c r="E442" s="1162"/>
      <c r="F442" s="1163"/>
      <c r="G442" s="452" t="s">
        <v>1807</v>
      </c>
      <c r="H442" s="427"/>
    </row>
    <row r="443" spans="2:8" hidden="1" outlineLevel="1">
      <c r="B443" s="1164" t="s">
        <v>1808</v>
      </c>
      <c r="C443" s="1165"/>
      <c r="D443" s="1165"/>
      <c r="E443" s="1165"/>
      <c r="F443" s="1166"/>
      <c r="G443" s="452" t="s">
        <v>1809</v>
      </c>
      <c r="H443" s="427">
        <f>+(H441+H442)*0.1</f>
        <v>0</v>
      </c>
    </row>
    <row r="444" spans="2:8" hidden="1" outlineLevel="1">
      <c r="B444" s="1161" t="s">
        <v>1810</v>
      </c>
      <c r="C444" s="1162"/>
      <c r="D444" s="1162"/>
      <c r="E444" s="1162"/>
      <c r="F444" s="1163"/>
      <c r="G444" s="452" t="s">
        <v>1811</v>
      </c>
      <c r="H444" s="427"/>
    </row>
    <row r="445" spans="2:8" hidden="1" outlineLevel="1">
      <c r="B445" s="1161" t="s">
        <v>1812</v>
      </c>
      <c r="C445" s="1162"/>
      <c r="D445" s="1162"/>
      <c r="E445" s="1162"/>
      <c r="F445" s="1163"/>
      <c r="G445" s="452" t="s">
        <v>1813</v>
      </c>
      <c r="H445" s="427"/>
    </row>
    <row r="446" spans="2:8" hidden="1" outlineLevel="1">
      <c r="B446" s="1164" t="s">
        <v>1814</v>
      </c>
      <c r="C446" s="1165"/>
      <c r="D446" s="1165"/>
      <c r="E446" s="1165"/>
      <c r="F446" s="1166"/>
      <c r="G446" s="452" t="s">
        <v>1815</v>
      </c>
      <c r="H446" s="427">
        <f>+(H444+H445)*0.1</f>
        <v>0</v>
      </c>
    </row>
    <row r="447" spans="2:8" hidden="1" outlineLevel="1"/>
    <row r="448" spans="2:8" hidden="1" outlineLevel="1">
      <c r="B448" s="1167" t="s">
        <v>1816</v>
      </c>
      <c r="C448" s="1167"/>
      <c r="D448" s="1167"/>
      <c r="E448" s="1167"/>
      <c r="F448" s="1167"/>
      <c r="G448" s="1167"/>
      <c r="H448" s="1167"/>
    </row>
    <row r="449" spans="2:8" hidden="1" outlineLevel="1">
      <c r="B449" s="1164" t="s">
        <v>1817</v>
      </c>
      <c r="C449" s="1165"/>
      <c r="D449" s="1165"/>
      <c r="E449" s="1165"/>
      <c r="F449" s="1166"/>
      <c r="G449" s="452" t="s">
        <v>1818</v>
      </c>
      <c r="H449" s="427">
        <f>+H421+H443</f>
        <v>779686.6370000001</v>
      </c>
    </row>
    <row r="450" spans="2:8" hidden="1" outlineLevel="1">
      <c r="B450" s="1164" t="s">
        <v>1819</v>
      </c>
      <c r="C450" s="1165"/>
      <c r="D450" s="1165"/>
      <c r="E450" s="1165"/>
      <c r="F450" s="1166"/>
      <c r="G450" s="452" t="s">
        <v>1820</v>
      </c>
      <c r="H450" s="427">
        <f>+H438+H446</f>
        <v>3656401.1</v>
      </c>
    </row>
    <row r="451" spans="2:8" hidden="1" outlineLevel="1"/>
    <row r="452" spans="2:8" hidden="1" outlineLevel="1">
      <c r="B452" s="1167" t="s">
        <v>1821</v>
      </c>
      <c r="C452" s="1167"/>
      <c r="D452" s="1167"/>
      <c r="E452" s="1167"/>
      <c r="F452" s="1167"/>
      <c r="G452" s="1167"/>
      <c r="H452" s="1167"/>
    </row>
    <row r="453" spans="2:8" hidden="1" outlineLevel="1">
      <c r="B453" s="1161" t="s">
        <v>1822</v>
      </c>
      <c r="C453" s="1162"/>
      <c r="D453" s="1162"/>
      <c r="E453" s="1162"/>
      <c r="F453" s="1163"/>
      <c r="G453" s="452" t="s">
        <v>1823</v>
      </c>
      <c r="H453" s="427"/>
    </row>
    <row r="454" spans="2:8" hidden="1" outlineLevel="1">
      <c r="B454" s="1164" t="s">
        <v>1824</v>
      </c>
      <c r="C454" s="1165"/>
      <c r="D454" s="1165"/>
      <c r="E454" s="1165"/>
      <c r="F454" s="1166"/>
      <c r="G454" s="452" t="s">
        <v>1825</v>
      </c>
      <c r="H454" s="427">
        <f>+H453*0.1</f>
        <v>0</v>
      </c>
    </row>
    <row r="455" spans="2:8" hidden="1" outlineLevel="1">
      <c r="B455" s="1161" t="s">
        <v>1826</v>
      </c>
      <c r="C455" s="1162"/>
      <c r="D455" s="1162"/>
      <c r="E455" s="1162"/>
      <c r="F455" s="1163"/>
      <c r="G455" s="452" t="s">
        <v>1827</v>
      </c>
      <c r="H455" s="427"/>
    </row>
    <row r="456" spans="2:8" hidden="1" outlineLevel="1">
      <c r="B456" s="1164" t="s">
        <v>1814</v>
      </c>
      <c r="C456" s="1165"/>
      <c r="D456" s="1165"/>
      <c r="E456" s="1165"/>
      <c r="F456" s="1166"/>
      <c r="G456" s="452" t="s">
        <v>1828</v>
      </c>
      <c r="H456" s="427">
        <f>+H455*0.1</f>
        <v>0</v>
      </c>
    </row>
    <row r="457" spans="2:8" hidden="1" outlineLevel="1"/>
    <row r="458" spans="2:8" hidden="1" outlineLevel="1">
      <c r="B458" s="1167" t="s">
        <v>1829</v>
      </c>
      <c r="C458" s="1167"/>
      <c r="D458" s="1167"/>
      <c r="E458" s="1167"/>
      <c r="F458" s="1167"/>
      <c r="G458" s="1167"/>
      <c r="H458" s="1167"/>
    </row>
    <row r="459" spans="2:8" hidden="1" outlineLevel="1">
      <c r="B459" s="1168" t="s">
        <v>1303</v>
      </c>
      <c r="C459" s="1168"/>
      <c r="D459" s="1169" t="s">
        <v>1830</v>
      </c>
      <c r="E459" s="1170"/>
      <c r="F459" s="1171"/>
      <c r="G459" s="452" t="s">
        <v>1831</v>
      </c>
      <c r="H459" s="427">
        <f>+H449-H454</f>
        <v>779686.6370000001</v>
      </c>
    </row>
    <row r="460" spans="2:8" hidden="1" outlineLevel="1">
      <c r="B460" s="1168"/>
      <c r="C460" s="1168"/>
      <c r="D460" s="1169" t="s">
        <v>1832</v>
      </c>
      <c r="E460" s="1170"/>
      <c r="F460" s="1171"/>
      <c r="G460" s="452" t="s">
        <v>1833</v>
      </c>
      <c r="H460" s="427">
        <f>+H450-H456</f>
        <v>3656401.1</v>
      </c>
    </row>
    <row r="461" spans="2:8" hidden="1" outlineLevel="1">
      <c r="B461" s="1168"/>
      <c r="C461" s="1168"/>
      <c r="D461" s="1169" t="s">
        <v>1834</v>
      </c>
      <c r="E461" s="1170"/>
      <c r="F461" s="1171"/>
      <c r="G461" s="452" t="s">
        <v>1835</v>
      </c>
      <c r="H461" s="427">
        <f>+H459-H460</f>
        <v>-2876714.463</v>
      </c>
    </row>
    <row r="462" spans="2:8" hidden="1" outlineLevel="1">
      <c r="B462" s="1168"/>
      <c r="C462" s="1168"/>
      <c r="D462" s="1169" t="s">
        <v>1836</v>
      </c>
      <c r="E462" s="1170"/>
      <c r="F462" s="1171"/>
      <c r="G462" s="452" t="s">
        <v>1837</v>
      </c>
      <c r="H462" s="427"/>
    </row>
    <row r="463" spans="2:8" hidden="1" outlineLevel="1"/>
    <row r="464" spans="2:8" hidden="1" outlineLevel="1">
      <c r="B464" s="1176" t="s">
        <v>1838</v>
      </c>
      <c r="C464" s="1176"/>
      <c r="D464" s="1176"/>
      <c r="E464" s="1176"/>
      <c r="F464" s="1176"/>
      <c r="G464" s="455" t="s">
        <v>1839</v>
      </c>
      <c r="H464" s="456" t="s">
        <v>1840</v>
      </c>
    </row>
    <row r="465" spans="2:11" hidden="1" outlineLevel="1">
      <c r="B465" s="1172" t="s">
        <v>1841</v>
      </c>
      <c r="C465" s="1172"/>
      <c r="D465" s="1172"/>
      <c r="E465" s="457" t="s">
        <v>1072</v>
      </c>
      <c r="F465" s="458">
        <v>1</v>
      </c>
      <c r="G465" s="459">
        <f>+O6</f>
        <v>0</v>
      </c>
      <c r="H465" s="460"/>
    </row>
    <row r="466" spans="2:11" hidden="1" outlineLevel="1">
      <c r="B466" s="1172"/>
      <c r="C466" s="1172"/>
      <c r="D466" s="1172"/>
      <c r="E466" s="457" t="s">
        <v>1073</v>
      </c>
      <c r="F466" s="458">
        <f>+F465+1</f>
        <v>2</v>
      </c>
      <c r="G466" s="461"/>
      <c r="H466" s="462">
        <f>+P6</f>
        <v>66510257.000909083</v>
      </c>
    </row>
    <row r="467" spans="2:11" hidden="1" outlineLevel="1">
      <c r="B467" s="1172" t="s">
        <v>1842</v>
      </c>
      <c r="C467" s="1172"/>
      <c r="D467" s="1172"/>
      <c r="E467" s="457" t="s">
        <v>1072</v>
      </c>
      <c r="F467" s="458">
        <f t="shared" ref="F467:F480" si="5">+F466+1</f>
        <v>3</v>
      </c>
      <c r="G467" s="459"/>
      <c r="H467" s="460"/>
    </row>
    <row r="468" spans="2:11" hidden="1" outlineLevel="1">
      <c r="B468" s="1172"/>
      <c r="C468" s="1172"/>
      <c r="D468" s="1172"/>
      <c r="E468" s="457" t="s">
        <v>1073</v>
      </c>
      <c r="F468" s="458">
        <f t="shared" si="5"/>
        <v>4</v>
      </c>
      <c r="G468" s="461"/>
      <c r="H468" s="462">
        <f>+H461</f>
        <v>-2876714.463</v>
      </c>
    </row>
    <row r="469" spans="2:11" hidden="1" outlineLevel="1">
      <c r="B469" s="1173" t="s">
        <v>1078</v>
      </c>
      <c r="C469" s="1174"/>
      <c r="D469" s="1174"/>
      <c r="E469" s="1175"/>
      <c r="F469" s="458">
        <f t="shared" si="5"/>
        <v>5</v>
      </c>
      <c r="G469" s="459">
        <f>+L7</f>
        <v>0</v>
      </c>
      <c r="H469" s="460"/>
    </row>
    <row r="470" spans="2:11" hidden="1" outlineLevel="1">
      <c r="B470" s="1177" t="s">
        <v>1843</v>
      </c>
      <c r="C470" s="1178"/>
      <c r="D470" s="1178"/>
      <c r="E470" s="1179"/>
      <c r="F470" s="458">
        <f t="shared" si="5"/>
        <v>6</v>
      </c>
      <c r="G470" s="464"/>
      <c r="H470" s="460"/>
    </row>
    <row r="471" spans="2:11" hidden="1" outlineLevel="1">
      <c r="B471" s="1177" t="s">
        <v>1843</v>
      </c>
      <c r="C471" s="1178"/>
      <c r="D471" s="1178"/>
      <c r="E471" s="1179"/>
      <c r="F471" s="458">
        <f t="shared" si="5"/>
        <v>7</v>
      </c>
      <c r="G471" s="461"/>
      <c r="H471" s="463"/>
    </row>
    <row r="472" spans="2:11" hidden="1" outlineLevel="1">
      <c r="B472" s="1172" t="s">
        <v>1844</v>
      </c>
      <c r="C472" s="1172"/>
      <c r="D472" s="1172"/>
      <c r="E472" s="457" t="s">
        <v>1072</v>
      </c>
      <c r="F472" s="458">
        <f t="shared" si="5"/>
        <v>8</v>
      </c>
      <c r="G472" s="464"/>
      <c r="H472" s="460"/>
    </row>
    <row r="473" spans="2:11" hidden="1" outlineLevel="1">
      <c r="B473" s="1172"/>
      <c r="C473" s="1172"/>
      <c r="D473" s="1172"/>
      <c r="E473" s="457" t="s">
        <v>1073</v>
      </c>
      <c r="F473" s="458">
        <f t="shared" si="5"/>
        <v>9</v>
      </c>
      <c r="G473" s="461"/>
      <c r="H473" s="463"/>
    </row>
    <row r="474" spans="2:11" hidden="1" outlineLevel="1">
      <c r="B474" s="1172" t="s">
        <v>1845</v>
      </c>
      <c r="C474" s="1172"/>
      <c r="D474" s="1172"/>
      <c r="E474" s="457" t="s">
        <v>1072</v>
      </c>
      <c r="F474" s="458">
        <f t="shared" si="5"/>
        <v>10</v>
      </c>
      <c r="G474" s="464"/>
      <c r="H474" s="460"/>
    </row>
    <row r="475" spans="2:11" hidden="1" outlineLevel="1">
      <c r="B475" s="1172"/>
      <c r="C475" s="1172"/>
      <c r="D475" s="1172"/>
      <c r="E475" s="457" t="s">
        <v>1073</v>
      </c>
      <c r="F475" s="458">
        <f t="shared" si="5"/>
        <v>11</v>
      </c>
      <c r="G475" s="461"/>
      <c r="H475" s="463"/>
    </row>
    <row r="476" spans="2:11" hidden="1" outlineLevel="1">
      <c r="B476" s="1173" t="s">
        <v>1846</v>
      </c>
      <c r="C476" s="1174"/>
      <c r="D476" s="1174"/>
      <c r="E476" s="1175"/>
      <c r="F476" s="458">
        <f t="shared" si="5"/>
        <v>12</v>
      </c>
      <c r="G476" s="464"/>
      <c r="H476" s="460"/>
    </row>
    <row r="477" spans="2:11" hidden="1" outlineLevel="1">
      <c r="B477" s="1172" t="s">
        <v>1847</v>
      </c>
      <c r="C477" s="1172"/>
      <c r="D477" s="1172"/>
      <c r="E477" s="457" t="s">
        <v>1072</v>
      </c>
      <c r="F477" s="458">
        <f t="shared" si="5"/>
        <v>13</v>
      </c>
      <c r="G477" s="464"/>
      <c r="H477" s="460"/>
    </row>
    <row r="478" spans="2:11" hidden="1" outlineLevel="1">
      <c r="B478" s="1172"/>
      <c r="C478" s="1172"/>
      <c r="D478" s="1172"/>
      <c r="E478" s="457" t="s">
        <v>1073</v>
      </c>
      <c r="F478" s="458">
        <f t="shared" si="5"/>
        <v>14</v>
      </c>
      <c r="G478" s="461"/>
      <c r="H478" s="463"/>
    </row>
    <row r="479" spans="2:11" hidden="1" outlineLevel="1">
      <c r="B479" s="1172" t="s">
        <v>1848</v>
      </c>
      <c r="C479" s="1172"/>
      <c r="D479" s="1172"/>
      <c r="E479" s="457" t="s">
        <v>1072</v>
      </c>
      <c r="F479" s="458">
        <f t="shared" si="5"/>
        <v>15</v>
      </c>
      <c r="G479" s="459">
        <f>IF((G465+G467+G469-H466-H468)&gt;0,(G465+G467+G469-H466-H468),0)</f>
        <v>0</v>
      </c>
      <c r="H479" s="460"/>
    </row>
    <row r="480" spans="2:11" hidden="1" outlineLevel="1">
      <c r="B480" s="1172"/>
      <c r="C480" s="1172"/>
      <c r="D480" s="1172"/>
      <c r="E480" s="457" t="s">
        <v>1073</v>
      </c>
      <c r="F480" s="458">
        <f t="shared" si="5"/>
        <v>16</v>
      </c>
      <c r="G480" s="465"/>
      <c r="H480" s="510">
        <f>+IF((H466+H468-G465-G467-G469)&gt;0,(H466+H468-G465-G467-G469),0)</f>
        <v>63633542.537909083</v>
      </c>
      <c r="J480" s="79">
        <f>+P7</f>
        <v>63633542.530909084</v>
      </c>
      <c r="K480" s="79">
        <f>+H480-J480</f>
        <v>6.9999992847442627E-3</v>
      </c>
    </row>
    <row r="481" spans="1:8" hidden="1" outlineLevel="1"/>
    <row r="482" spans="1:8" hidden="1" outlineLevel="1"/>
    <row r="483" spans="1:8" hidden="1" outlineLevel="1">
      <c r="B483" s="332" t="s">
        <v>1849</v>
      </c>
      <c r="E483" s="332" t="s">
        <v>1083</v>
      </c>
    </row>
    <row r="484" spans="1:8" hidden="1" outlineLevel="1">
      <c r="B484" s="332"/>
    </row>
    <row r="485" spans="1:8" hidden="1" outlineLevel="1">
      <c r="B485" s="332" t="str">
        <f>+CONCATENATE('[6]company '!B391," . . . . . . . . . . . . . . . . . .  ... . . . .. . . . ",'[6]company '!C391)</f>
        <v xml:space="preserve"> . . . . . . . . . . . . . . . . . .  ... . . . .. . . . </v>
      </c>
      <c r="E485" s="332" t="s">
        <v>1850</v>
      </c>
    </row>
    <row r="486" spans="1:8" hidden="1" outlineLevel="1">
      <c r="B486" s="332"/>
    </row>
    <row r="487" spans="1:8" hidden="1" outlineLevel="1">
      <c r="B487" s="332" t="str">
        <f>+CONCATENATE('[6]company '!B394,". . . . . . . . . . . . . . . . . . . . ",'[6]company '!C394)</f>
        <v xml:space="preserve">. . . . . . . . . . . . . . . . . . . . </v>
      </c>
    </row>
    <row r="488" spans="1:8" collapsed="1">
      <c r="A488" s="238" t="s">
        <v>2293</v>
      </c>
    </row>
    <row r="489" spans="1:8" hidden="1" outlineLevel="1">
      <c r="B489" s="437"/>
      <c r="C489" s="437"/>
      <c r="D489" s="437"/>
      <c r="E489" s="477"/>
      <c r="F489" s="1180" t="s">
        <v>1706</v>
      </c>
      <c r="G489" s="1180"/>
      <c r="H489" s="1180"/>
    </row>
    <row r="490" spans="1:8" hidden="1" outlineLevel="1">
      <c r="D490" s="437"/>
      <c r="E490" s="1181" t="s">
        <v>1710</v>
      </c>
      <c r="F490" s="1181"/>
      <c r="G490" s="1181"/>
      <c r="H490" s="1181"/>
    </row>
    <row r="491" spans="1:8" ht="18.75" hidden="1" outlineLevel="1">
      <c r="G491" s="444" t="s">
        <v>1716</v>
      </c>
      <c r="H491" s="445" t="s">
        <v>1717</v>
      </c>
    </row>
    <row r="492" spans="1:8" ht="21" hidden="1" outlineLevel="1" thickBot="1">
      <c r="B492" s="1182" t="s">
        <v>1718</v>
      </c>
      <c r="C492" s="1182"/>
      <c r="D492" s="1182"/>
      <c r="E492" s="1182"/>
      <c r="F492" s="1182"/>
      <c r="G492" s="1182"/>
      <c r="H492" s="1182"/>
    </row>
    <row r="493" spans="1:8" ht="13.5" hidden="1" outlineLevel="1" thickTop="1"/>
    <row r="494" spans="1:8" hidden="1" outlineLevel="1">
      <c r="B494" s="1183" t="s">
        <v>1719</v>
      </c>
      <c r="C494" s="1184"/>
      <c r="D494" s="1184"/>
      <c r="E494" s="1184"/>
      <c r="F494" s="1184"/>
      <c r="G494" s="1184"/>
      <c r="H494" s="1185"/>
    </row>
    <row r="495" spans="1:8" hidden="1" outlineLevel="1">
      <c r="B495" s="1155" t="s">
        <v>1971</v>
      </c>
      <c r="C495" s="1156"/>
      <c r="D495" s="1157"/>
      <c r="E495" s="1158" t="s">
        <v>1972</v>
      </c>
      <c r="F495" s="1159"/>
      <c r="G495" s="1159"/>
      <c r="H495" s="1160"/>
    </row>
    <row r="496" spans="1:8" hidden="1" outlineLevel="1"/>
    <row r="497" spans="2:8" hidden="1" outlineLevel="1">
      <c r="B497" s="1183" t="s">
        <v>1973</v>
      </c>
      <c r="C497" s="1184"/>
      <c r="D497" s="1185"/>
      <c r="E497" s="1202" t="s">
        <v>1974</v>
      </c>
      <c r="F497" s="1203"/>
      <c r="G497" s="1203"/>
      <c r="H497" s="1205"/>
    </row>
    <row r="498" spans="2:8" hidden="1" outlineLevel="1">
      <c r="B498" s="1183" t="s">
        <v>1975</v>
      </c>
      <c r="C498" s="1184"/>
      <c r="D498" s="1185"/>
      <c r="E498" s="1202" t="s">
        <v>1976</v>
      </c>
      <c r="F498" s="1203"/>
      <c r="G498" s="1203"/>
      <c r="H498" s="1205"/>
    </row>
    <row r="499" spans="2:8" hidden="1" outlineLevel="1">
      <c r="B499" s="1183" t="s">
        <v>1977</v>
      </c>
      <c r="C499" s="1184"/>
      <c r="D499" s="1185"/>
      <c r="E499" s="1202" t="s">
        <v>1266</v>
      </c>
      <c r="F499" s="1203"/>
      <c r="G499" s="1203"/>
      <c r="H499" s="1205"/>
    </row>
    <row r="500" spans="2:8" hidden="1" outlineLevel="1">
      <c r="B500" s="1206" t="s">
        <v>1978</v>
      </c>
      <c r="C500" s="1207"/>
      <c r="D500" s="1208"/>
      <c r="E500" s="1209" t="s">
        <v>1268</v>
      </c>
      <c r="F500" s="1210"/>
      <c r="G500" s="1210"/>
      <c r="H500" s="1211"/>
    </row>
    <row r="501" spans="2:8" hidden="1" outlineLevel="1">
      <c r="B501" s="1212" t="s">
        <v>1269</v>
      </c>
      <c r="C501" s="1212"/>
      <c r="D501" s="1212"/>
      <c r="E501" s="1213"/>
      <c r="F501" s="1213"/>
      <c r="G501" s="1213"/>
      <c r="H501" s="1213"/>
    </row>
    <row r="502" spans="2:8" hidden="1" outlineLevel="1">
      <c r="B502" s="1214"/>
      <c r="C502" s="1214"/>
      <c r="D502" s="1214"/>
      <c r="E502" s="1215"/>
      <c r="F502" s="1215"/>
      <c r="G502" s="1215"/>
      <c r="H502" s="1215"/>
    </row>
    <row r="503" spans="2:8" hidden="1" outlineLevel="1">
      <c r="B503" s="1183" t="s">
        <v>1720</v>
      </c>
      <c r="C503" s="1184"/>
      <c r="D503" s="1184"/>
      <c r="E503" s="1184"/>
      <c r="F503" s="1184"/>
      <c r="G503" s="1184"/>
      <c r="H503" s="1185"/>
    </row>
    <row r="504" spans="2:8" hidden="1" outlineLevel="1">
      <c r="B504" s="1198"/>
      <c r="C504" s="1183" t="s">
        <v>1721</v>
      </c>
      <c r="D504" s="1185"/>
      <c r="E504" s="1202" t="s">
        <v>1722</v>
      </c>
      <c r="F504" s="1203"/>
      <c r="G504" s="1205"/>
      <c r="H504" s="448"/>
    </row>
    <row r="505" spans="2:8" hidden="1" outlineLevel="1">
      <c r="B505" s="1199"/>
      <c r="C505" s="1183" t="str">
        <f>+CONCATENATE('[6]company '!B511,"-""05 сар")</f>
        <v>-"05 сар</v>
      </c>
      <c r="D505" s="1185"/>
      <c r="E505" s="1195" t="s">
        <v>46</v>
      </c>
      <c r="F505" s="1196"/>
      <c r="G505" s="1197"/>
      <c r="H505" s="427" t="s">
        <v>1963</v>
      </c>
    </row>
    <row r="506" spans="2:8" hidden="1" outlineLevel="1">
      <c r="B506" s="1200"/>
      <c r="C506" s="1195" t="s">
        <v>1724</v>
      </c>
      <c r="D506" s="1197"/>
      <c r="E506" s="1195" t="s">
        <v>1725</v>
      </c>
      <c r="F506" s="1196"/>
      <c r="G506" s="1197"/>
      <c r="H506" s="427"/>
    </row>
    <row r="507" spans="2:8" hidden="1" outlineLevel="1">
      <c r="B507" s="478"/>
      <c r="C507" s="478"/>
      <c r="D507" s="478"/>
      <c r="E507" s="478"/>
      <c r="F507" s="478"/>
      <c r="G507" s="449"/>
      <c r="H507" s="450"/>
    </row>
    <row r="508" spans="2:8" hidden="1" outlineLevel="1">
      <c r="B508" s="1216" t="s">
        <v>1726</v>
      </c>
      <c r="C508" s="1216"/>
      <c r="D508" s="1216"/>
      <c r="E508" s="451"/>
      <c r="F508" s="478" t="s">
        <v>1727</v>
      </c>
      <c r="G508" s="449"/>
      <c r="H508" s="450" t="s">
        <v>1728</v>
      </c>
    </row>
    <row r="509" spans="2:8" hidden="1" outlineLevel="1">
      <c r="B509" s="478"/>
      <c r="C509" s="478"/>
      <c r="D509" s="478"/>
      <c r="E509" s="478"/>
      <c r="F509" s="478"/>
      <c r="G509" s="449"/>
      <c r="H509" s="450"/>
    </row>
    <row r="510" spans="2:8" hidden="1" outlineLevel="1">
      <c r="B510" s="478"/>
      <c r="C510" s="478"/>
      <c r="D510" s="478"/>
      <c r="E510" s="478"/>
      <c r="F510" s="478"/>
      <c r="G510" s="449"/>
      <c r="H510" s="450"/>
    </row>
    <row r="511" spans="2:8" hidden="1" outlineLevel="1">
      <c r="B511" s="1167" t="s">
        <v>1729</v>
      </c>
      <c r="C511" s="1167"/>
      <c r="D511" s="1167"/>
      <c r="E511" s="1167"/>
      <c r="F511" s="1167"/>
      <c r="G511" s="1167"/>
      <c r="H511" s="1167"/>
    </row>
    <row r="512" spans="2:8" hidden="1" outlineLevel="1">
      <c r="B512" s="1186" t="s">
        <v>1730</v>
      </c>
      <c r="C512" s="1187"/>
      <c r="D512" s="1187"/>
      <c r="E512" s="1187"/>
      <c r="F512" s="1188"/>
      <c r="G512" s="452" t="s">
        <v>1731</v>
      </c>
      <c r="H512" s="453">
        <f>+H513+H514</f>
        <v>5138570.91</v>
      </c>
    </row>
    <row r="513" spans="2:8" hidden="1" outlineLevel="1">
      <c r="B513" s="1192" t="s">
        <v>1732</v>
      </c>
      <c r="C513" s="1193"/>
      <c r="D513" s="1193"/>
      <c r="E513" s="1193"/>
      <c r="F513" s="1194"/>
      <c r="G513" s="452" t="s">
        <v>99</v>
      </c>
      <c r="H513" s="427"/>
    </row>
    <row r="514" spans="2:8" hidden="1" outlineLevel="1">
      <c r="B514" s="1192" t="s">
        <v>1733</v>
      </c>
      <c r="C514" s="1193"/>
      <c r="D514" s="1193"/>
      <c r="E514" s="1193"/>
      <c r="F514" s="1194"/>
      <c r="G514" s="452" t="s">
        <v>1734</v>
      </c>
      <c r="H514" s="427">
        <f>+H515+H521+H541</f>
        <v>5138570.91</v>
      </c>
    </row>
    <row r="515" spans="2:8" hidden="1" outlineLevel="1">
      <c r="B515" s="1198"/>
      <c r="C515" s="1186" t="s">
        <v>1735</v>
      </c>
      <c r="D515" s="1187"/>
      <c r="E515" s="1187"/>
      <c r="F515" s="1188"/>
      <c r="G515" s="452" t="s">
        <v>1736</v>
      </c>
      <c r="H515" s="453">
        <f>+H516+H517+H518+H519+H520</f>
        <v>5138570.91</v>
      </c>
    </row>
    <row r="516" spans="2:8" hidden="1" outlineLevel="1">
      <c r="B516" s="1199"/>
      <c r="C516" s="1189" t="s">
        <v>1737</v>
      </c>
      <c r="D516" s="1195" t="s">
        <v>1738</v>
      </c>
      <c r="E516" s="1196"/>
      <c r="F516" s="1197"/>
      <c r="G516" s="452" t="s">
        <v>173</v>
      </c>
      <c r="H516" s="427">
        <f>+SUMIFS(JURNAL!H:H,JURNAL!E:E,510000,JURNAL!C:C,"&gt;="&amp;J8,JURNAL!C:C,"&lt;="&amp;K8)+SUMIFS(JURNAL!H:H,JURNAL!E:E,510100,JURNAL!C:C,"&gt;="&amp;J8,JURNAL!C:C,"&lt;="&amp;K8)</f>
        <v>5138570.91</v>
      </c>
    </row>
    <row r="517" spans="2:8" hidden="1" outlineLevel="1">
      <c r="B517" s="1199"/>
      <c r="C517" s="1190"/>
      <c r="D517" s="1161" t="s">
        <v>1739</v>
      </c>
      <c r="E517" s="1162"/>
      <c r="F517" s="1163"/>
      <c r="G517" s="454" t="s">
        <v>174</v>
      </c>
      <c r="H517" s="427"/>
    </row>
    <row r="518" spans="2:8" hidden="1" outlineLevel="1">
      <c r="B518" s="1199"/>
      <c r="C518" s="1190"/>
      <c r="D518" s="1161" t="s">
        <v>831</v>
      </c>
      <c r="E518" s="1162"/>
      <c r="F518" s="1163"/>
      <c r="G518" s="454" t="s">
        <v>897</v>
      </c>
      <c r="H518" s="427"/>
    </row>
    <row r="519" spans="2:8" hidden="1" outlineLevel="1">
      <c r="B519" s="1199"/>
      <c r="C519" s="1190"/>
      <c r="D519" s="1161" t="s">
        <v>1740</v>
      </c>
      <c r="E519" s="1162"/>
      <c r="F519" s="1163"/>
      <c r="G519" s="454" t="s">
        <v>899</v>
      </c>
      <c r="H519" s="427"/>
    </row>
    <row r="520" spans="2:8" hidden="1" outlineLevel="1">
      <c r="B520" s="1199"/>
      <c r="C520" s="1191"/>
      <c r="D520" s="1161" t="s">
        <v>1741</v>
      </c>
      <c r="E520" s="1162"/>
      <c r="F520" s="1163"/>
      <c r="G520" s="454" t="s">
        <v>901</v>
      </c>
      <c r="H520" s="427"/>
    </row>
    <row r="521" spans="2:8" hidden="1" outlineLevel="1">
      <c r="B521" s="1199"/>
      <c r="C521" s="1186" t="s">
        <v>1742</v>
      </c>
      <c r="D521" s="1187"/>
      <c r="E521" s="1187"/>
      <c r="F521" s="1188"/>
      <c r="G521" s="452" t="s">
        <v>1743</v>
      </c>
      <c r="H521" s="453">
        <f>+H522+H523+H524+H525+H526+H527+H528+H529+H530+H531+H532+H533+H534+H535+H536</f>
        <v>0</v>
      </c>
    </row>
    <row r="522" spans="2:8" hidden="1" outlineLevel="1">
      <c r="B522" s="1199"/>
      <c r="C522" s="1189" t="s">
        <v>1737</v>
      </c>
      <c r="D522" s="1161" t="s">
        <v>1744</v>
      </c>
      <c r="E522" s="1162"/>
      <c r="F522" s="1163"/>
      <c r="G522" s="454" t="s">
        <v>905</v>
      </c>
      <c r="H522" s="427"/>
    </row>
    <row r="523" spans="2:8" hidden="1" outlineLevel="1">
      <c r="B523" s="1199"/>
      <c r="C523" s="1190"/>
      <c r="D523" s="1161" t="s">
        <v>1745</v>
      </c>
      <c r="E523" s="1162"/>
      <c r="F523" s="1163"/>
      <c r="G523" s="454" t="s">
        <v>907</v>
      </c>
      <c r="H523" s="427"/>
    </row>
    <row r="524" spans="2:8" hidden="1" outlineLevel="1">
      <c r="B524" s="1199"/>
      <c r="C524" s="1190"/>
      <c r="D524" s="1161" t="s">
        <v>1746</v>
      </c>
      <c r="E524" s="1162"/>
      <c r="F524" s="1163"/>
      <c r="G524" s="454" t="s">
        <v>909</v>
      </c>
      <c r="H524" s="427"/>
    </row>
    <row r="525" spans="2:8" hidden="1" outlineLevel="1">
      <c r="B525" s="1199"/>
      <c r="C525" s="1190"/>
      <c r="D525" s="1161" t="s">
        <v>1747</v>
      </c>
      <c r="E525" s="1162"/>
      <c r="F525" s="1163"/>
      <c r="G525" s="454" t="s">
        <v>911</v>
      </c>
      <c r="H525" s="427"/>
    </row>
    <row r="526" spans="2:8" hidden="1" outlineLevel="1">
      <c r="B526" s="1199"/>
      <c r="C526" s="1190"/>
      <c r="D526" s="1161" t="s">
        <v>1748</v>
      </c>
      <c r="E526" s="1162"/>
      <c r="F526" s="1163"/>
      <c r="G526" s="454" t="s">
        <v>913</v>
      </c>
      <c r="H526" s="427"/>
    </row>
    <row r="527" spans="2:8" hidden="1" outlineLevel="1">
      <c r="B527" s="1199"/>
      <c r="C527" s="1190"/>
      <c r="D527" s="1161" t="s">
        <v>1749</v>
      </c>
      <c r="E527" s="1162"/>
      <c r="F527" s="1163"/>
      <c r="G527" s="454" t="s">
        <v>915</v>
      </c>
      <c r="H527" s="427"/>
    </row>
    <row r="528" spans="2:8" hidden="1" outlineLevel="1">
      <c r="B528" s="1199"/>
      <c r="C528" s="1190"/>
      <c r="D528" s="1161" t="s">
        <v>1750</v>
      </c>
      <c r="E528" s="1162"/>
      <c r="F528" s="1163"/>
      <c r="G528" s="454" t="s">
        <v>917</v>
      </c>
      <c r="H528" s="427"/>
    </row>
    <row r="529" spans="2:8" hidden="1" outlineLevel="1">
      <c r="B529" s="1199"/>
      <c r="C529" s="1190"/>
      <c r="D529" s="1161" t="s">
        <v>1751</v>
      </c>
      <c r="E529" s="1162"/>
      <c r="F529" s="1163"/>
      <c r="G529" s="454" t="s">
        <v>919</v>
      </c>
      <c r="H529" s="427"/>
    </row>
    <row r="530" spans="2:8" hidden="1" outlineLevel="1">
      <c r="B530" s="1199"/>
      <c r="C530" s="1190"/>
      <c r="D530" s="1161" t="s">
        <v>1752</v>
      </c>
      <c r="E530" s="1162"/>
      <c r="F530" s="1163"/>
      <c r="G530" s="454" t="s">
        <v>921</v>
      </c>
      <c r="H530" s="427"/>
    </row>
    <row r="531" spans="2:8" hidden="1" outlineLevel="1">
      <c r="B531" s="1199"/>
      <c r="C531" s="1190"/>
      <c r="D531" s="1161" t="s">
        <v>1753</v>
      </c>
      <c r="E531" s="1162"/>
      <c r="F531" s="1163"/>
      <c r="G531" s="454" t="s">
        <v>923</v>
      </c>
      <c r="H531" s="427"/>
    </row>
    <row r="532" spans="2:8" hidden="1" outlineLevel="1">
      <c r="B532" s="1199"/>
      <c r="C532" s="1190"/>
      <c r="D532" s="1161" t="s">
        <v>1754</v>
      </c>
      <c r="E532" s="1162"/>
      <c r="F532" s="1163"/>
      <c r="G532" s="454" t="s">
        <v>925</v>
      </c>
      <c r="H532" s="427"/>
    </row>
    <row r="533" spans="2:8" hidden="1" outlineLevel="1">
      <c r="B533" s="1199"/>
      <c r="C533" s="1190"/>
      <c r="D533" s="1161" t="s">
        <v>1755</v>
      </c>
      <c r="E533" s="1162"/>
      <c r="F533" s="1163"/>
      <c r="G533" s="454" t="s">
        <v>927</v>
      </c>
      <c r="H533" s="427"/>
    </row>
    <row r="534" spans="2:8" hidden="1" outlineLevel="1">
      <c r="B534" s="1199"/>
      <c r="C534" s="1190"/>
      <c r="D534" s="1161" t="s">
        <v>1756</v>
      </c>
      <c r="E534" s="1162"/>
      <c r="F534" s="1163"/>
      <c r="G534" s="454" t="s">
        <v>929</v>
      </c>
      <c r="H534" s="427"/>
    </row>
    <row r="535" spans="2:8" hidden="1" outlineLevel="1">
      <c r="B535" s="1199"/>
      <c r="C535" s="1190"/>
      <c r="D535" s="1161" t="s">
        <v>1757</v>
      </c>
      <c r="E535" s="1162"/>
      <c r="F535" s="1163"/>
      <c r="G535" s="454" t="s">
        <v>937</v>
      </c>
      <c r="H535" s="427"/>
    </row>
    <row r="536" spans="2:8" hidden="1" outlineLevel="1">
      <c r="B536" s="1200"/>
      <c r="C536" s="1191"/>
      <c r="D536" s="1161" t="s">
        <v>1758</v>
      </c>
      <c r="E536" s="1162"/>
      <c r="F536" s="1163"/>
      <c r="G536" s="454" t="s">
        <v>939</v>
      </c>
      <c r="H536" s="427"/>
    </row>
    <row r="537" spans="2:8" hidden="1" outlineLevel="1">
      <c r="B537" s="1186" t="s">
        <v>1759</v>
      </c>
      <c r="C537" s="1187"/>
      <c r="D537" s="1187"/>
      <c r="E537" s="1187"/>
      <c r="F537" s="1188"/>
      <c r="G537" s="452" t="s">
        <v>1760</v>
      </c>
      <c r="H537" s="453">
        <f>+H515+H521</f>
        <v>5138570.91</v>
      </c>
    </row>
    <row r="538" spans="2:8" hidden="1" outlineLevel="1">
      <c r="B538" s="1186" t="s">
        <v>1761</v>
      </c>
      <c r="C538" s="1187"/>
      <c r="D538" s="1187"/>
      <c r="E538" s="1187"/>
      <c r="F538" s="1188"/>
      <c r="G538" s="452" t="s">
        <v>1762</v>
      </c>
      <c r="H538" s="453">
        <f>+H537*0.1</f>
        <v>513857.09100000001</v>
      </c>
    </row>
    <row r="539" spans="2:8" hidden="1" outlineLevel="1">
      <c r="B539" s="1195" t="s">
        <v>1763</v>
      </c>
      <c r="C539" s="1196"/>
      <c r="D539" s="1196"/>
      <c r="E539" s="1196"/>
      <c r="F539" s="1197"/>
      <c r="G539" s="452" t="s">
        <v>1764</v>
      </c>
      <c r="H539" s="427"/>
    </row>
    <row r="540" spans="2:8" hidden="1" outlineLevel="1">
      <c r="B540" s="1195" t="s">
        <v>1765</v>
      </c>
      <c r="C540" s="1196"/>
      <c r="D540" s="1196"/>
      <c r="E540" s="1196"/>
      <c r="F540" s="1197"/>
      <c r="G540" s="452" t="s">
        <v>1766</v>
      </c>
      <c r="H540" s="427"/>
    </row>
    <row r="541" spans="2:8" hidden="1" outlineLevel="1">
      <c r="B541" s="1186" t="s">
        <v>1767</v>
      </c>
      <c r="C541" s="1187"/>
      <c r="D541" s="1187"/>
      <c r="E541" s="1187"/>
      <c r="F541" s="1188"/>
      <c r="G541" s="452" t="s">
        <v>1768</v>
      </c>
      <c r="H541" s="453">
        <f>+H539+H540</f>
        <v>0</v>
      </c>
    </row>
    <row r="542" spans="2:8" hidden="1" outlineLevel="1">
      <c r="B542" s="1186" t="s">
        <v>1761</v>
      </c>
      <c r="C542" s="1187"/>
      <c r="D542" s="1187"/>
      <c r="E542" s="1187"/>
      <c r="F542" s="1188"/>
      <c r="G542" s="452" t="s">
        <v>1769</v>
      </c>
      <c r="H542" s="453">
        <f>+H541*0%</f>
        <v>0</v>
      </c>
    </row>
    <row r="543" spans="2:8" hidden="1" outlineLevel="1">
      <c r="B543" s="1186" t="s">
        <v>1770</v>
      </c>
      <c r="C543" s="1187"/>
      <c r="D543" s="1187"/>
      <c r="E543" s="1187"/>
      <c r="F543" s="1188"/>
      <c r="G543" s="452" t="s">
        <v>1771</v>
      </c>
      <c r="H543" s="453">
        <f>+H538+H542</f>
        <v>513857.09100000001</v>
      </c>
    </row>
    <row r="544" spans="2:8" hidden="1" outlineLevel="1"/>
    <row r="545" spans="2:8" hidden="1" outlineLevel="1">
      <c r="B545" s="1167" t="s">
        <v>1772</v>
      </c>
      <c r="C545" s="1167"/>
      <c r="D545" s="1167"/>
      <c r="E545" s="1167"/>
      <c r="F545" s="1167"/>
      <c r="G545" s="1167"/>
      <c r="H545" s="1167"/>
    </row>
    <row r="546" spans="2:8" hidden="1" outlineLevel="1">
      <c r="B546" s="1186" t="s">
        <v>1773</v>
      </c>
      <c r="C546" s="1187"/>
      <c r="D546" s="1187"/>
      <c r="E546" s="1187"/>
      <c r="F546" s="1188"/>
      <c r="G546" s="452" t="s">
        <v>1774</v>
      </c>
      <c r="H546" s="427"/>
    </row>
    <row r="547" spans="2:8" hidden="1" outlineLevel="1">
      <c r="B547" s="1192" t="s">
        <v>1775</v>
      </c>
      <c r="C547" s="1193"/>
      <c r="D547" s="1193"/>
      <c r="E547" s="1193"/>
      <c r="F547" s="1194"/>
      <c r="G547" s="452" t="s">
        <v>1776</v>
      </c>
      <c r="H547" s="427">
        <f>+H548+H549+H550+H551</f>
        <v>19415206.800000001</v>
      </c>
    </row>
    <row r="548" spans="2:8" hidden="1" outlineLevel="1">
      <c r="B548" s="1189" t="s">
        <v>1737</v>
      </c>
      <c r="C548" s="1161" t="s">
        <v>1777</v>
      </c>
      <c r="D548" s="1162"/>
      <c r="E548" s="1162"/>
      <c r="F548" s="1163"/>
      <c r="G548" s="452" t="s">
        <v>1778</v>
      </c>
      <c r="H548" s="427"/>
    </row>
    <row r="549" spans="2:8" hidden="1" outlineLevel="1">
      <c r="B549" s="1190"/>
      <c r="C549" s="1161" t="s">
        <v>1779</v>
      </c>
      <c r="D549" s="1162"/>
      <c r="E549" s="1162"/>
      <c r="F549" s="1163"/>
      <c r="G549" s="452" t="s">
        <v>1780</v>
      </c>
      <c r="H549" s="427">
        <f>+M8*10</f>
        <v>19415206.800000001</v>
      </c>
    </row>
    <row r="550" spans="2:8" hidden="1" outlineLevel="1">
      <c r="B550" s="1190"/>
      <c r="C550" s="1161" t="s">
        <v>1781</v>
      </c>
      <c r="D550" s="1162"/>
      <c r="E550" s="1162"/>
      <c r="F550" s="1163"/>
      <c r="G550" s="452" t="s">
        <v>1782</v>
      </c>
      <c r="H550" s="427"/>
    </row>
    <row r="551" spans="2:8" hidden="1" outlineLevel="1">
      <c r="B551" s="1191"/>
      <c r="C551" s="1161" t="s">
        <v>1783</v>
      </c>
      <c r="D551" s="1162"/>
      <c r="E551" s="1162"/>
      <c r="F551" s="1163"/>
      <c r="G551" s="452" t="s">
        <v>1784</v>
      </c>
      <c r="H551" s="427"/>
    </row>
    <row r="552" spans="2:8" hidden="1" outlineLevel="1">
      <c r="B552" s="1186" t="s">
        <v>1785</v>
      </c>
      <c r="C552" s="1187"/>
      <c r="D552" s="1187"/>
      <c r="E552" s="1187"/>
      <c r="F552" s="1188"/>
      <c r="G552" s="452" t="s">
        <v>1786</v>
      </c>
      <c r="H552" s="453">
        <f>+H547*0.1</f>
        <v>1941520.6800000002</v>
      </c>
    </row>
    <row r="553" spans="2:8" hidden="1" outlineLevel="1">
      <c r="B553" s="1186" t="s">
        <v>1787</v>
      </c>
      <c r="C553" s="1187"/>
      <c r="D553" s="1187"/>
      <c r="E553" s="1187"/>
      <c r="F553" s="1188"/>
      <c r="G553" s="452" t="s">
        <v>1788</v>
      </c>
      <c r="H553" s="453">
        <f>+H554+H555+H556+H557+H558+H559</f>
        <v>0</v>
      </c>
    </row>
    <row r="554" spans="2:8" hidden="1" outlineLevel="1">
      <c r="B554" s="1189" t="s">
        <v>1737</v>
      </c>
      <c r="C554" s="1161" t="s">
        <v>1789</v>
      </c>
      <c r="D554" s="1162"/>
      <c r="E554" s="1162"/>
      <c r="F554" s="1163"/>
      <c r="G554" s="452" t="s">
        <v>1790</v>
      </c>
      <c r="H554" s="427"/>
    </row>
    <row r="555" spans="2:8" hidden="1" outlineLevel="1">
      <c r="B555" s="1190"/>
      <c r="C555" s="1161" t="s">
        <v>1791</v>
      </c>
      <c r="D555" s="1162"/>
      <c r="E555" s="1162"/>
      <c r="F555" s="1163"/>
      <c r="G555" s="452" t="s">
        <v>1792</v>
      </c>
      <c r="H555" s="427"/>
    </row>
    <row r="556" spans="2:8" hidden="1" outlineLevel="1">
      <c r="B556" s="1190"/>
      <c r="C556" s="1161" t="s">
        <v>1793</v>
      </c>
      <c r="D556" s="1162"/>
      <c r="E556" s="1162"/>
      <c r="F556" s="1163"/>
      <c r="G556" s="452" t="s">
        <v>1794</v>
      </c>
      <c r="H556" s="427"/>
    </row>
    <row r="557" spans="2:8" hidden="1" outlineLevel="1">
      <c r="B557" s="1190"/>
      <c r="C557" s="1161" t="s">
        <v>1795</v>
      </c>
      <c r="D557" s="1162"/>
      <c r="E557" s="1162"/>
      <c r="F557" s="1163"/>
      <c r="G557" s="452" t="s">
        <v>1796</v>
      </c>
      <c r="H557" s="427"/>
    </row>
    <row r="558" spans="2:8" hidden="1" outlineLevel="1">
      <c r="B558" s="1190"/>
      <c r="C558" s="1161" t="s">
        <v>1797</v>
      </c>
      <c r="D558" s="1162"/>
      <c r="E558" s="1162"/>
      <c r="F558" s="1163"/>
      <c r="G558" s="452" t="s">
        <v>1798</v>
      </c>
      <c r="H558" s="427"/>
    </row>
    <row r="559" spans="2:8" hidden="1" outlineLevel="1">
      <c r="B559" s="1191"/>
      <c r="C559" s="1161" t="s">
        <v>1799</v>
      </c>
      <c r="D559" s="1162"/>
      <c r="E559" s="1162"/>
      <c r="F559" s="1163"/>
      <c r="G559" s="452" t="s">
        <v>1800</v>
      </c>
      <c r="H559" s="427"/>
    </row>
    <row r="560" spans="2:8" hidden="1" outlineLevel="1">
      <c r="B560" s="1186" t="s">
        <v>1801</v>
      </c>
      <c r="C560" s="1187"/>
      <c r="D560" s="1187"/>
      <c r="E560" s="1187"/>
      <c r="F560" s="1188"/>
      <c r="G560" s="452" t="s">
        <v>1802</v>
      </c>
      <c r="H560" s="453">
        <f>+H552-H553</f>
        <v>1941520.6800000002</v>
      </c>
    </row>
    <row r="561" spans="2:8" hidden="1" outlineLevel="1"/>
    <row r="562" spans="2:8" hidden="1" outlineLevel="1">
      <c r="B562" s="1167" t="s">
        <v>1803</v>
      </c>
      <c r="C562" s="1167"/>
      <c r="D562" s="1167"/>
      <c r="E562" s="1167"/>
      <c r="F562" s="1167"/>
      <c r="G562" s="1167"/>
      <c r="H562" s="1167"/>
    </row>
    <row r="563" spans="2:8" hidden="1" outlineLevel="1">
      <c r="B563" s="1161" t="s">
        <v>1804</v>
      </c>
      <c r="C563" s="1162"/>
      <c r="D563" s="1162"/>
      <c r="E563" s="1162"/>
      <c r="F563" s="1163"/>
      <c r="G563" s="452" t="s">
        <v>1805</v>
      </c>
      <c r="H563" s="427"/>
    </row>
    <row r="564" spans="2:8" hidden="1" outlineLevel="1">
      <c r="B564" s="1161" t="s">
        <v>1806</v>
      </c>
      <c r="C564" s="1162"/>
      <c r="D564" s="1162"/>
      <c r="E564" s="1162"/>
      <c r="F564" s="1163"/>
      <c r="G564" s="452" t="s">
        <v>1807</v>
      </c>
      <c r="H564" s="427"/>
    </row>
    <row r="565" spans="2:8" hidden="1" outlineLevel="1">
      <c r="B565" s="1164" t="s">
        <v>1808</v>
      </c>
      <c r="C565" s="1165"/>
      <c r="D565" s="1165"/>
      <c r="E565" s="1165"/>
      <c r="F565" s="1166"/>
      <c r="G565" s="452" t="s">
        <v>1809</v>
      </c>
      <c r="H565" s="427">
        <f>+(H563+H564)*0.1</f>
        <v>0</v>
      </c>
    </row>
    <row r="566" spans="2:8" hidden="1" outlineLevel="1">
      <c r="B566" s="1161" t="s">
        <v>1810</v>
      </c>
      <c r="C566" s="1162"/>
      <c r="D566" s="1162"/>
      <c r="E566" s="1162"/>
      <c r="F566" s="1163"/>
      <c r="G566" s="452" t="s">
        <v>1811</v>
      </c>
      <c r="H566" s="427"/>
    </row>
    <row r="567" spans="2:8" hidden="1" outlineLevel="1">
      <c r="B567" s="1161" t="s">
        <v>1812</v>
      </c>
      <c r="C567" s="1162"/>
      <c r="D567" s="1162"/>
      <c r="E567" s="1162"/>
      <c r="F567" s="1163"/>
      <c r="G567" s="452" t="s">
        <v>1813</v>
      </c>
      <c r="H567" s="427"/>
    </row>
    <row r="568" spans="2:8" hidden="1" outlineLevel="1">
      <c r="B568" s="1164" t="s">
        <v>1814</v>
      </c>
      <c r="C568" s="1165"/>
      <c r="D568" s="1165"/>
      <c r="E568" s="1165"/>
      <c r="F568" s="1166"/>
      <c r="G568" s="452" t="s">
        <v>1815</v>
      </c>
      <c r="H568" s="427">
        <f>+(H566+H567)*0.1</f>
        <v>0</v>
      </c>
    </row>
    <row r="569" spans="2:8" hidden="1" outlineLevel="1"/>
    <row r="570" spans="2:8" hidden="1" outlineLevel="1">
      <c r="B570" s="1167" t="s">
        <v>1816</v>
      </c>
      <c r="C570" s="1167"/>
      <c r="D570" s="1167"/>
      <c r="E570" s="1167"/>
      <c r="F570" s="1167"/>
      <c r="G570" s="1167"/>
      <c r="H570" s="1167"/>
    </row>
    <row r="571" spans="2:8" hidden="1" outlineLevel="1">
      <c r="B571" s="1164" t="s">
        <v>1817</v>
      </c>
      <c r="C571" s="1165"/>
      <c r="D571" s="1165"/>
      <c r="E571" s="1165"/>
      <c r="F571" s="1166"/>
      <c r="G571" s="452" t="s">
        <v>1818</v>
      </c>
      <c r="H571" s="427">
        <f>+H543+H565</f>
        <v>513857.09100000001</v>
      </c>
    </row>
    <row r="572" spans="2:8" hidden="1" outlineLevel="1">
      <c r="B572" s="1164" t="s">
        <v>1819</v>
      </c>
      <c r="C572" s="1165"/>
      <c r="D572" s="1165"/>
      <c r="E572" s="1165"/>
      <c r="F572" s="1166"/>
      <c r="G572" s="452" t="s">
        <v>1820</v>
      </c>
      <c r="H572" s="427">
        <f>+H560+H568</f>
        <v>1941520.6800000002</v>
      </c>
    </row>
    <row r="573" spans="2:8" hidden="1" outlineLevel="1"/>
    <row r="574" spans="2:8" hidden="1" outlineLevel="1">
      <c r="B574" s="1167" t="s">
        <v>1821</v>
      </c>
      <c r="C574" s="1167"/>
      <c r="D574" s="1167"/>
      <c r="E574" s="1167"/>
      <c r="F574" s="1167"/>
      <c r="G574" s="1167"/>
      <c r="H574" s="1167"/>
    </row>
    <row r="575" spans="2:8" hidden="1" outlineLevel="1">
      <c r="B575" s="1161" t="s">
        <v>1822</v>
      </c>
      <c r="C575" s="1162"/>
      <c r="D575" s="1162"/>
      <c r="E575" s="1162"/>
      <c r="F575" s="1163"/>
      <c r="G575" s="452" t="s">
        <v>1823</v>
      </c>
      <c r="H575" s="427"/>
    </row>
    <row r="576" spans="2:8" hidden="1" outlineLevel="1">
      <c r="B576" s="1164" t="s">
        <v>1824</v>
      </c>
      <c r="C576" s="1165"/>
      <c r="D576" s="1165"/>
      <c r="E576" s="1165"/>
      <c r="F576" s="1166"/>
      <c r="G576" s="452" t="s">
        <v>1825</v>
      </c>
      <c r="H576" s="427">
        <f>+H575*0.1</f>
        <v>0</v>
      </c>
    </row>
    <row r="577" spans="2:8" hidden="1" outlineLevel="1">
      <c r="B577" s="1161" t="s">
        <v>1826</v>
      </c>
      <c r="C577" s="1162"/>
      <c r="D577" s="1162"/>
      <c r="E577" s="1162"/>
      <c r="F577" s="1163"/>
      <c r="G577" s="452" t="s">
        <v>1827</v>
      </c>
      <c r="H577" s="427"/>
    </row>
    <row r="578" spans="2:8" hidden="1" outlineLevel="1">
      <c r="B578" s="1164" t="s">
        <v>1814</v>
      </c>
      <c r="C578" s="1165"/>
      <c r="D578" s="1165"/>
      <c r="E578" s="1165"/>
      <c r="F578" s="1166"/>
      <c r="G578" s="452" t="s">
        <v>1828</v>
      </c>
      <c r="H578" s="427">
        <f>+H577*0.1</f>
        <v>0</v>
      </c>
    </row>
    <row r="579" spans="2:8" hidden="1" outlineLevel="1"/>
    <row r="580" spans="2:8" hidden="1" outlineLevel="1">
      <c r="B580" s="1167" t="s">
        <v>1829</v>
      </c>
      <c r="C580" s="1167"/>
      <c r="D580" s="1167"/>
      <c r="E580" s="1167"/>
      <c r="F580" s="1167"/>
      <c r="G580" s="1167"/>
      <c r="H580" s="1167"/>
    </row>
    <row r="581" spans="2:8" hidden="1" outlineLevel="1">
      <c r="B581" s="1168" t="s">
        <v>1303</v>
      </c>
      <c r="C581" s="1168"/>
      <c r="D581" s="1169" t="s">
        <v>1830</v>
      </c>
      <c r="E581" s="1170"/>
      <c r="F581" s="1171"/>
      <c r="G581" s="452" t="s">
        <v>1831</v>
      </c>
      <c r="H581" s="427">
        <f>+H571-H576</f>
        <v>513857.09100000001</v>
      </c>
    </row>
    <row r="582" spans="2:8" hidden="1" outlineLevel="1">
      <c r="B582" s="1168"/>
      <c r="C582" s="1168"/>
      <c r="D582" s="1169" t="s">
        <v>1832</v>
      </c>
      <c r="E582" s="1170"/>
      <c r="F582" s="1171"/>
      <c r="G582" s="452" t="s">
        <v>1833</v>
      </c>
      <c r="H582" s="427">
        <f>+H572-H578</f>
        <v>1941520.6800000002</v>
      </c>
    </row>
    <row r="583" spans="2:8" hidden="1" outlineLevel="1">
      <c r="B583" s="1168"/>
      <c r="C583" s="1168"/>
      <c r="D583" s="1169" t="s">
        <v>1834</v>
      </c>
      <c r="E583" s="1170"/>
      <c r="F583" s="1171"/>
      <c r="G583" s="452" t="s">
        <v>1835</v>
      </c>
      <c r="H583" s="427">
        <f>+H581-H582</f>
        <v>-1427663.5890000002</v>
      </c>
    </row>
    <row r="584" spans="2:8" hidden="1" outlineLevel="1">
      <c r="B584" s="1168"/>
      <c r="C584" s="1168"/>
      <c r="D584" s="1169" t="s">
        <v>1836</v>
      </c>
      <c r="E584" s="1170"/>
      <c r="F584" s="1171"/>
      <c r="G584" s="452" t="s">
        <v>1837</v>
      </c>
      <c r="H584" s="427"/>
    </row>
    <row r="585" spans="2:8" hidden="1" outlineLevel="1"/>
    <row r="586" spans="2:8" hidden="1" outlineLevel="1">
      <c r="B586" s="1176" t="s">
        <v>1838</v>
      </c>
      <c r="C586" s="1176"/>
      <c r="D586" s="1176"/>
      <c r="E586" s="1176"/>
      <c r="F586" s="1176"/>
      <c r="G586" s="455" t="s">
        <v>1839</v>
      </c>
      <c r="H586" s="456" t="s">
        <v>1840</v>
      </c>
    </row>
    <row r="587" spans="2:8" hidden="1" outlineLevel="1">
      <c r="B587" s="1172" t="s">
        <v>1841</v>
      </c>
      <c r="C587" s="1172"/>
      <c r="D587" s="1172"/>
      <c r="E587" s="457" t="s">
        <v>1072</v>
      </c>
      <c r="F587" s="458">
        <v>1</v>
      </c>
      <c r="G587" s="459">
        <f>+O7</f>
        <v>0</v>
      </c>
      <c r="H587" s="460"/>
    </row>
    <row r="588" spans="2:8" hidden="1" outlineLevel="1">
      <c r="B588" s="1172"/>
      <c r="C588" s="1172"/>
      <c r="D588" s="1172"/>
      <c r="E588" s="457" t="s">
        <v>1073</v>
      </c>
      <c r="F588" s="458">
        <f>+F587+1</f>
        <v>2</v>
      </c>
      <c r="G588" s="461"/>
      <c r="H588" s="462">
        <f>+P7</f>
        <v>63633542.530909084</v>
      </c>
    </row>
    <row r="589" spans="2:8" hidden="1" outlineLevel="1">
      <c r="B589" s="1172" t="s">
        <v>1842</v>
      </c>
      <c r="C589" s="1172"/>
      <c r="D589" s="1172"/>
      <c r="E589" s="457" t="s">
        <v>1072</v>
      </c>
      <c r="F589" s="458">
        <f t="shared" ref="F589:F602" si="6">+F588+1</f>
        <v>3</v>
      </c>
      <c r="G589" s="459"/>
      <c r="H589" s="460"/>
    </row>
    <row r="590" spans="2:8" hidden="1" outlineLevel="1">
      <c r="B590" s="1172"/>
      <c r="C590" s="1172"/>
      <c r="D590" s="1172"/>
      <c r="E590" s="457" t="s">
        <v>1073</v>
      </c>
      <c r="F590" s="458">
        <f t="shared" si="6"/>
        <v>4</v>
      </c>
      <c r="G590" s="461"/>
      <c r="H590" s="462">
        <f>+H583</f>
        <v>-1427663.5890000002</v>
      </c>
    </row>
    <row r="591" spans="2:8" hidden="1" outlineLevel="1">
      <c r="B591" s="1173" t="s">
        <v>1078</v>
      </c>
      <c r="C591" s="1174"/>
      <c r="D591" s="1174"/>
      <c r="E591" s="1175"/>
      <c r="F591" s="458">
        <f t="shared" si="6"/>
        <v>5</v>
      </c>
      <c r="G591" s="459">
        <f>+L8</f>
        <v>0</v>
      </c>
      <c r="H591" s="460"/>
    </row>
    <row r="592" spans="2:8" hidden="1" outlineLevel="1">
      <c r="B592" s="1177" t="s">
        <v>1843</v>
      </c>
      <c r="C592" s="1178"/>
      <c r="D592" s="1178"/>
      <c r="E592" s="1179"/>
      <c r="F592" s="458">
        <f t="shared" si="6"/>
        <v>6</v>
      </c>
      <c r="G592" s="464"/>
      <c r="H592" s="460"/>
    </row>
    <row r="593" spans="2:11" hidden="1" outlineLevel="1">
      <c r="B593" s="1177" t="s">
        <v>1843</v>
      </c>
      <c r="C593" s="1178"/>
      <c r="D593" s="1178"/>
      <c r="E593" s="1179"/>
      <c r="F593" s="458">
        <f t="shared" si="6"/>
        <v>7</v>
      </c>
      <c r="G593" s="461"/>
      <c r="H593" s="463"/>
    </row>
    <row r="594" spans="2:11" hidden="1" outlineLevel="1">
      <c r="B594" s="1172" t="s">
        <v>1844</v>
      </c>
      <c r="C594" s="1172"/>
      <c r="D594" s="1172"/>
      <c r="E594" s="457" t="s">
        <v>1072</v>
      </c>
      <c r="F594" s="458">
        <f t="shared" si="6"/>
        <v>8</v>
      </c>
      <c r="G594" s="464"/>
      <c r="H594" s="460"/>
    </row>
    <row r="595" spans="2:11" hidden="1" outlineLevel="1">
      <c r="B595" s="1172"/>
      <c r="C595" s="1172"/>
      <c r="D595" s="1172"/>
      <c r="E595" s="457" t="s">
        <v>1073</v>
      </c>
      <c r="F595" s="458">
        <f t="shared" si="6"/>
        <v>9</v>
      </c>
      <c r="G595" s="461"/>
      <c r="H595" s="463"/>
    </row>
    <row r="596" spans="2:11" hidden="1" outlineLevel="1">
      <c r="B596" s="1172" t="s">
        <v>1845</v>
      </c>
      <c r="C596" s="1172"/>
      <c r="D596" s="1172"/>
      <c r="E596" s="457" t="s">
        <v>1072</v>
      </c>
      <c r="F596" s="458">
        <f t="shared" si="6"/>
        <v>10</v>
      </c>
      <c r="G596" s="464"/>
      <c r="H596" s="460"/>
    </row>
    <row r="597" spans="2:11" hidden="1" outlineLevel="1">
      <c r="B597" s="1172"/>
      <c r="C597" s="1172"/>
      <c r="D597" s="1172"/>
      <c r="E597" s="457" t="s">
        <v>1073</v>
      </c>
      <c r="F597" s="458">
        <f t="shared" si="6"/>
        <v>11</v>
      </c>
      <c r="G597" s="461"/>
      <c r="H597" s="463"/>
    </row>
    <row r="598" spans="2:11" hidden="1" outlineLevel="1">
      <c r="B598" s="1173" t="s">
        <v>1846</v>
      </c>
      <c r="C598" s="1174"/>
      <c r="D598" s="1174"/>
      <c r="E598" s="1175"/>
      <c r="F598" s="458">
        <f t="shared" si="6"/>
        <v>12</v>
      </c>
      <c r="G598" s="464"/>
      <c r="H598" s="460"/>
    </row>
    <row r="599" spans="2:11" hidden="1" outlineLevel="1">
      <c r="B599" s="1172" t="s">
        <v>1847</v>
      </c>
      <c r="C599" s="1172"/>
      <c r="D599" s="1172"/>
      <c r="E599" s="457" t="s">
        <v>1072</v>
      </c>
      <c r="F599" s="458">
        <f t="shared" si="6"/>
        <v>13</v>
      </c>
      <c r="G599" s="464"/>
      <c r="H599" s="460"/>
    </row>
    <row r="600" spans="2:11" hidden="1" outlineLevel="1">
      <c r="B600" s="1172"/>
      <c r="C600" s="1172"/>
      <c r="D600" s="1172"/>
      <c r="E600" s="457" t="s">
        <v>1073</v>
      </c>
      <c r="F600" s="458">
        <f t="shared" si="6"/>
        <v>14</v>
      </c>
      <c r="G600" s="461"/>
      <c r="H600" s="463"/>
    </row>
    <row r="601" spans="2:11" hidden="1" outlineLevel="1">
      <c r="B601" s="1172" t="s">
        <v>1848</v>
      </c>
      <c r="C601" s="1172"/>
      <c r="D601" s="1172"/>
      <c r="E601" s="457" t="s">
        <v>1072</v>
      </c>
      <c r="F601" s="458">
        <f t="shared" si="6"/>
        <v>15</v>
      </c>
      <c r="G601" s="459">
        <f>IF((G587+G589+G591-H588-H590)&gt;0,(G587+G589+G591-H588-H590),0)</f>
        <v>0</v>
      </c>
      <c r="H601" s="460"/>
    </row>
    <row r="602" spans="2:11" hidden="1" outlineLevel="1">
      <c r="B602" s="1172"/>
      <c r="C602" s="1172"/>
      <c r="D602" s="1172"/>
      <c r="E602" s="457" t="s">
        <v>1073</v>
      </c>
      <c r="F602" s="458">
        <f t="shared" si="6"/>
        <v>16</v>
      </c>
      <c r="G602" s="465"/>
      <c r="H602" s="510">
        <f>+IF((H588+H590-G587-G589-G591)&gt;0,(H588+H590-G587-G589-G591),0)</f>
        <v>62205878.941909082</v>
      </c>
      <c r="J602" s="79">
        <f>+P8</f>
        <v>62205878.940909088</v>
      </c>
      <c r="K602" s="79">
        <f>+H602-J602</f>
        <v>9.9999457597732544E-4</v>
      </c>
    </row>
    <row r="603" spans="2:11" hidden="1" outlineLevel="1"/>
    <row r="604" spans="2:11" hidden="1" outlineLevel="1"/>
    <row r="605" spans="2:11" hidden="1" outlineLevel="1">
      <c r="B605" s="332" t="s">
        <v>1849</v>
      </c>
      <c r="E605" s="332" t="s">
        <v>1083</v>
      </c>
    </row>
    <row r="606" spans="2:11" hidden="1" outlineLevel="1">
      <c r="B606" s="332"/>
    </row>
    <row r="607" spans="2:11" hidden="1" outlineLevel="1">
      <c r="B607" s="332" t="str">
        <f>+CONCATENATE('[6]company '!B513," . . . . . . . . . . . . . . . . . .  ... . . . .. . . . ",'[6]company '!C513)</f>
        <v xml:space="preserve"> . . . . . . . . . . . . . . . . . .  ... . . . .. . . . </v>
      </c>
      <c r="E607" s="332" t="s">
        <v>1850</v>
      </c>
    </row>
    <row r="608" spans="2:11" hidden="1" outlineLevel="1">
      <c r="B608" s="332"/>
    </row>
    <row r="609" spans="1:8" hidden="1" outlineLevel="1">
      <c r="B609" s="332" t="str">
        <f>+CONCATENATE('[6]company '!B516,". . . . . . . . . . . . . . . . . . . . ",'[6]company '!C516)</f>
        <v xml:space="preserve">. . . . . . . . . . . . . . . . . . . . </v>
      </c>
    </row>
    <row r="610" spans="1:8" collapsed="1">
      <c r="A610" s="238" t="s">
        <v>2294</v>
      </c>
    </row>
    <row r="611" spans="1:8" hidden="1" outlineLevel="1">
      <c r="B611" s="437"/>
      <c r="C611" s="437"/>
      <c r="D611" s="437"/>
      <c r="E611" s="477"/>
      <c r="F611" s="1180" t="s">
        <v>1706</v>
      </c>
      <c r="G611" s="1180"/>
      <c r="H611" s="1180"/>
    </row>
    <row r="612" spans="1:8" hidden="1" outlineLevel="1">
      <c r="D612" s="437"/>
      <c r="E612" s="1181" t="s">
        <v>1710</v>
      </c>
      <c r="F612" s="1181"/>
      <c r="G612" s="1181"/>
      <c r="H612" s="1181"/>
    </row>
    <row r="613" spans="1:8" ht="18.75" hidden="1" outlineLevel="1">
      <c r="G613" s="444" t="s">
        <v>1716</v>
      </c>
      <c r="H613" s="445" t="s">
        <v>1717</v>
      </c>
    </row>
    <row r="614" spans="1:8" ht="21" hidden="1" outlineLevel="1" thickBot="1">
      <c r="B614" s="1182" t="s">
        <v>1718</v>
      </c>
      <c r="C614" s="1182"/>
      <c r="D614" s="1182"/>
      <c r="E614" s="1182"/>
      <c r="F614" s="1182"/>
      <c r="G614" s="1182"/>
      <c r="H614" s="1182"/>
    </row>
    <row r="615" spans="1:8" ht="13.5" hidden="1" outlineLevel="1" thickTop="1"/>
    <row r="616" spans="1:8" hidden="1" outlineLevel="1">
      <c r="B616" s="1183" t="s">
        <v>1719</v>
      </c>
      <c r="C616" s="1184"/>
      <c r="D616" s="1184"/>
      <c r="E616" s="1184"/>
      <c r="F616" s="1184"/>
      <c r="G616" s="1184"/>
      <c r="H616" s="1185"/>
    </row>
    <row r="617" spans="1:8" hidden="1" outlineLevel="1">
      <c r="B617" s="1155" t="s">
        <v>1971</v>
      </c>
      <c r="C617" s="1156"/>
      <c r="D617" s="1157"/>
      <c r="E617" s="1158" t="s">
        <v>1972</v>
      </c>
      <c r="F617" s="1159"/>
      <c r="G617" s="1159"/>
      <c r="H617" s="1160"/>
    </row>
    <row r="618" spans="1:8" hidden="1" outlineLevel="1"/>
    <row r="619" spans="1:8" hidden="1" outlineLevel="1">
      <c r="B619" s="1183" t="s">
        <v>1973</v>
      </c>
      <c r="C619" s="1184"/>
      <c r="D619" s="1185"/>
      <c r="E619" s="1202" t="s">
        <v>1974</v>
      </c>
      <c r="F619" s="1203"/>
      <c r="G619" s="1203"/>
      <c r="H619" s="1205"/>
    </row>
    <row r="620" spans="1:8" hidden="1" outlineLevel="1">
      <c r="B620" s="1183" t="s">
        <v>1975</v>
      </c>
      <c r="C620" s="1184"/>
      <c r="D620" s="1185"/>
      <c r="E620" s="1202" t="s">
        <v>1976</v>
      </c>
      <c r="F620" s="1203"/>
      <c r="G620" s="1203"/>
      <c r="H620" s="1205"/>
    </row>
    <row r="621" spans="1:8" hidden="1" outlineLevel="1">
      <c r="B621" s="1183" t="s">
        <v>1977</v>
      </c>
      <c r="C621" s="1184"/>
      <c r="D621" s="1185"/>
      <c r="E621" s="1202" t="s">
        <v>1266</v>
      </c>
      <c r="F621" s="1203"/>
      <c r="G621" s="1203"/>
      <c r="H621" s="1205"/>
    </row>
    <row r="622" spans="1:8" hidden="1" outlineLevel="1">
      <c r="B622" s="1206" t="s">
        <v>1978</v>
      </c>
      <c r="C622" s="1207"/>
      <c r="D622" s="1208"/>
      <c r="E622" s="1209" t="s">
        <v>1268</v>
      </c>
      <c r="F622" s="1210"/>
      <c r="G622" s="1210"/>
      <c r="H622" s="1211"/>
    </row>
    <row r="623" spans="1:8" hidden="1" outlineLevel="1">
      <c r="B623" s="1212" t="s">
        <v>1269</v>
      </c>
      <c r="C623" s="1212"/>
      <c r="D623" s="1212"/>
      <c r="E623" s="1213"/>
      <c r="F623" s="1213"/>
      <c r="G623" s="1213"/>
      <c r="H623" s="1213"/>
    </row>
    <row r="624" spans="1:8" hidden="1" outlineLevel="1">
      <c r="B624" s="1214"/>
      <c r="C624" s="1214"/>
      <c r="D624" s="1214"/>
      <c r="E624" s="1215"/>
      <c r="F624" s="1215"/>
      <c r="G624" s="1215"/>
      <c r="H624" s="1215"/>
    </row>
    <row r="625" spans="2:8" hidden="1" outlineLevel="1">
      <c r="B625" s="1183" t="s">
        <v>1720</v>
      </c>
      <c r="C625" s="1184"/>
      <c r="D625" s="1184"/>
      <c r="E625" s="1184"/>
      <c r="F625" s="1184"/>
      <c r="G625" s="1184"/>
      <c r="H625" s="1185"/>
    </row>
    <row r="626" spans="2:8" hidden="1" outlineLevel="1">
      <c r="B626" s="1198"/>
      <c r="C626" s="1183" t="s">
        <v>1721</v>
      </c>
      <c r="D626" s="1185"/>
      <c r="E626" s="1202" t="s">
        <v>1722</v>
      </c>
      <c r="F626" s="1203"/>
      <c r="G626" s="1205"/>
      <c r="H626" s="448"/>
    </row>
    <row r="627" spans="2:8" hidden="1" outlineLevel="1">
      <c r="B627" s="1199"/>
      <c r="C627" s="1183" t="str">
        <f>+CONCATENATE('[6]company '!B633,"-""06 сар")</f>
        <v>-"06 сар</v>
      </c>
      <c r="D627" s="1185"/>
      <c r="E627" s="1195" t="s">
        <v>46</v>
      </c>
      <c r="F627" s="1196"/>
      <c r="G627" s="1197"/>
      <c r="H627" s="427" t="s">
        <v>1964</v>
      </c>
    </row>
    <row r="628" spans="2:8" hidden="1" outlineLevel="1">
      <c r="B628" s="1200"/>
      <c r="C628" s="1195" t="s">
        <v>1724</v>
      </c>
      <c r="D628" s="1197"/>
      <c r="E628" s="1195" t="s">
        <v>1725</v>
      </c>
      <c r="F628" s="1196"/>
      <c r="G628" s="1197"/>
      <c r="H628" s="427"/>
    </row>
    <row r="629" spans="2:8" hidden="1" outlineLevel="1">
      <c r="B629" s="478"/>
      <c r="C629" s="478"/>
      <c r="D629" s="478"/>
      <c r="E629" s="478"/>
      <c r="F629" s="478"/>
      <c r="G629" s="449"/>
      <c r="H629" s="450"/>
    </row>
    <row r="630" spans="2:8" hidden="1" outlineLevel="1">
      <c r="B630" s="1216" t="s">
        <v>1726</v>
      </c>
      <c r="C630" s="1216"/>
      <c r="D630" s="1216"/>
      <c r="E630" s="451"/>
      <c r="F630" s="478" t="s">
        <v>1727</v>
      </c>
      <c r="G630" s="449"/>
      <c r="H630" s="450" t="s">
        <v>1728</v>
      </c>
    </row>
    <row r="631" spans="2:8" hidden="1" outlineLevel="1">
      <c r="B631" s="478"/>
      <c r="C631" s="478"/>
      <c r="D631" s="478"/>
      <c r="E631" s="478"/>
      <c r="F631" s="478"/>
      <c r="G631" s="449"/>
      <c r="H631" s="450"/>
    </row>
    <row r="632" spans="2:8" hidden="1" outlineLevel="1">
      <c r="B632" s="478"/>
      <c r="C632" s="478"/>
      <c r="D632" s="478"/>
      <c r="E632" s="478"/>
      <c r="F632" s="478"/>
      <c r="G632" s="449"/>
      <c r="H632" s="450"/>
    </row>
    <row r="633" spans="2:8" ht="22.5" hidden="1" customHeight="1" outlineLevel="1">
      <c r="B633" s="1167" t="s">
        <v>1729</v>
      </c>
      <c r="C633" s="1167"/>
      <c r="D633" s="1167"/>
      <c r="E633" s="1167"/>
      <c r="F633" s="1167"/>
      <c r="G633" s="1167"/>
      <c r="H633" s="1167"/>
    </row>
    <row r="634" spans="2:8" hidden="1" outlineLevel="1">
      <c r="B634" s="1186" t="s">
        <v>1730</v>
      </c>
      <c r="C634" s="1187"/>
      <c r="D634" s="1187"/>
      <c r="E634" s="1187"/>
      <c r="F634" s="1188"/>
      <c r="G634" s="452" t="s">
        <v>1731</v>
      </c>
      <c r="H634" s="453">
        <f>+H635+H636</f>
        <v>6708069.0899999999</v>
      </c>
    </row>
    <row r="635" spans="2:8" hidden="1" outlineLevel="1">
      <c r="B635" s="1192" t="s">
        <v>1732</v>
      </c>
      <c r="C635" s="1193"/>
      <c r="D635" s="1193"/>
      <c r="E635" s="1193"/>
      <c r="F635" s="1194"/>
      <c r="G635" s="452" t="s">
        <v>99</v>
      </c>
      <c r="H635" s="427"/>
    </row>
    <row r="636" spans="2:8" hidden="1" outlineLevel="1">
      <c r="B636" s="1192" t="s">
        <v>1733</v>
      </c>
      <c r="C636" s="1193"/>
      <c r="D636" s="1193"/>
      <c r="E636" s="1193"/>
      <c r="F636" s="1194"/>
      <c r="G636" s="452" t="s">
        <v>1734</v>
      </c>
      <c r="H636" s="427">
        <f>+H637+H643+H663</f>
        <v>6708069.0899999999</v>
      </c>
    </row>
    <row r="637" spans="2:8" hidden="1" outlineLevel="1">
      <c r="B637" s="1198"/>
      <c r="C637" s="1186" t="s">
        <v>1735</v>
      </c>
      <c r="D637" s="1187"/>
      <c r="E637" s="1187"/>
      <c r="F637" s="1188"/>
      <c r="G637" s="452" t="s">
        <v>1736</v>
      </c>
      <c r="H637" s="453">
        <f>+H638+H639+H640+H641+H642</f>
        <v>6708069.0899999999</v>
      </c>
    </row>
    <row r="638" spans="2:8" hidden="1" outlineLevel="1">
      <c r="B638" s="1199"/>
      <c r="C638" s="1189" t="s">
        <v>1737</v>
      </c>
      <c r="D638" s="1195" t="s">
        <v>1738</v>
      </c>
      <c r="E638" s="1196"/>
      <c r="F638" s="1197"/>
      <c r="G638" s="452" t="s">
        <v>173</v>
      </c>
      <c r="H638" s="427">
        <f>+SUMIFS(JURNAL!H:H,JURNAL!E:E,510000,JURNAL!C:C,"&gt;="&amp;J9,JURNAL!C:C,"&lt;="&amp;K9)+SUMIFS(JURNAL!H:H,JURNAL!E:E,510100,JURNAL!C:C,"&gt;="&amp;J9,JURNAL!C:C,"&lt;="&amp;K9)</f>
        <v>6708069.0899999999</v>
      </c>
    </row>
    <row r="639" spans="2:8" hidden="1" outlineLevel="1">
      <c r="B639" s="1199"/>
      <c r="C639" s="1190"/>
      <c r="D639" s="1161" t="s">
        <v>1739</v>
      </c>
      <c r="E639" s="1162"/>
      <c r="F639" s="1163"/>
      <c r="G639" s="454" t="s">
        <v>174</v>
      </c>
      <c r="H639" s="427"/>
    </row>
    <row r="640" spans="2:8" hidden="1" outlineLevel="1">
      <c r="B640" s="1199"/>
      <c r="C640" s="1190"/>
      <c r="D640" s="1161" t="s">
        <v>831</v>
      </c>
      <c r="E640" s="1162"/>
      <c r="F640" s="1163"/>
      <c r="G640" s="454" t="s">
        <v>897</v>
      </c>
      <c r="H640" s="427"/>
    </row>
    <row r="641" spans="2:8" hidden="1" outlineLevel="1">
      <c r="B641" s="1199"/>
      <c r="C641" s="1190"/>
      <c r="D641" s="1161" t="s">
        <v>1740</v>
      </c>
      <c r="E641" s="1162"/>
      <c r="F641" s="1163"/>
      <c r="G641" s="454" t="s">
        <v>899</v>
      </c>
      <c r="H641" s="427"/>
    </row>
    <row r="642" spans="2:8" hidden="1" outlineLevel="1">
      <c r="B642" s="1199"/>
      <c r="C642" s="1191"/>
      <c r="D642" s="1161" t="s">
        <v>1741</v>
      </c>
      <c r="E642" s="1162"/>
      <c r="F642" s="1163"/>
      <c r="G642" s="454" t="s">
        <v>901</v>
      </c>
      <c r="H642" s="427"/>
    </row>
    <row r="643" spans="2:8" hidden="1" outlineLevel="1">
      <c r="B643" s="1199"/>
      <c r="C643" s="1186" t="s">
        <v>1742</v>
      </c>
      <c r="D643" s="1187"/>
      <c r="E643" s="1187"/>
      <c r="F643" s="1188"/>
      <c r="G643" s="452" t="s">
        <v>1743</v>
      </c>
      <c r="H643" s="453">
        <f>+H644+H645+H646+H647+H648+H649+H650+H651+H652+H653+H654+H655+H656+H657+H658</f>
        <v>0</v>
      </c>
    </row>
    <row r="644" spans="2:8" hidden="1" outlineLevel="1">
      <c r="B644" s="1199"/>
      <c r="C644" s="1189" t="s">
        <v>1737</v>
      </c>
      <c r="D644" s="1161" t="s">
        <v>1744</v>
      </c>
      <c r="E644" s="1162"/>
      <c r="F644" s="1163"/>
      <c r="G644" s="454" t="s">
        <v>905</v>
      </c>
      <c r="H644" s="427"/>
    </row>
    <row r="645" spans="2:8" hidden="1" outlineLevel="1">
      <c r="B645" s="1199"/>
      <c r="C645" s="1190"/>
      <c r="D645" s="1161" t="s">
        <v>1745</v>
      </c>
      <c r="E645" s="1162"/>
      <c r="F645" s="1163"/>
      <c r="G645" s="454" t="s">
        <v>907</v>
      </c>
      <c r="H645" s="427"/>
    </row>
    <row r="646" spans="2:8" hidden="1" outlineLevel="1">
      <c r="B646" s="1199"/>
      <c r="C646" s="1190"/>
      <c r="D646" s="1161" t="s">
        <v>1746</v>
      </c>
      <c r="E646" s="1162"/>
      <c r="F646" s="1163"/>
      <c r="G646" s="454" t="s">
        <v>909</v>
      </c>
      <c r="H646" s="427"/>
    </row>
    <row r="647" spans="2:8" hidden="1" outlineLevel="1">
      <c r="B647" s="1199"/>
      <c r="C647" s="1190"/>
      <c r="D647" s="1161" t="s">
        <v>1747</v>
      </c>
      <c r="E647" s="1162"/>
      <c r="F647" s="1163"/>
      <c r="G647" s="454" t="s">
        <v>911</v>
      </c>
      <c r="H647" s="427"/>
    </row>
    <row r="648" spans="2:8" hidden="1" outlineLevel="1">
      <c r="B648" s="1199"/>
      <c r="C648" s="1190"/>
      <c r="D648" s="1161" t="s">
        <v>1748</v>
      </c>
      <c r="E648" s="1162"/>
      <c r="F648" s="1163"/>
      <c r="G648" s="454" t="s">
        <v>913</v>
      </c>
      <c r="H648" s="427"/>
    </row>
    <row r="649" spans="2:8" hidden="1" outlineLevel="1">
      <c r="B649" s="1199"/>
      <c r="C649" s="1190"/>
      <c r="D649" s="1161" t="s">
        <v>1749</v>
      </c>
      <c r="E649" s="1162"/>
      <c r="F649" s="1163"/>
      <c r="G649" s="454" t="s">
        <v>915</v>
      </c>
      <c r="H649" s="427"/>
    </row>
    <row r="650" spans="2:8" hidden="1" outlineLevel="1">
      <c r="B650" s="1199"/>
      <c r="C650" s="1190"/>
      <c r="D650" s="1161" t="s">
        <v>1750</v>
      </c>
      <c r="E650" s="1162"/>
      <c r="F650" s="1163"/>
      <c r="G650" s="454" t="s">
        <v>917</v>
      </c>
      <c r="H650" s="427"/>
    </row>
    <row r="651" spans="2:8" hidden="1" outlineLevel="1">
      <c r="B651" s="1199"/>
      <c r="C651" s="1190"/>
      <c r="D651" s="1161" t="s">
        <v>1751</v>
      </c>
      <c r="E651" s="1162"/>
      <c r="F651" s="1163"/>
      <c r="G651" s="454" t="s">
        <v>919</v>
      </c>
      <c r="H651" s="427"/>
    </row>
    <row r="652" spans="2:8" hidden="1" outlineLevel="1">
      <c r="B652" s="1199"/>
      <c r="C652" s="1190"/>
      <c r="D652" s="1161" t="s">
        <v>1752</v>
      </c>
      <c r="E652" s="1162"/>
      <c r="F652" s="1163"/>
      <c r="G652" s="454" t="s">
        <v>921</v>
      </c>
      <c r="H652" s="427"/>
    </row>
    <row r="653" spans="2:8" hidden="1" outlineLevel="1">
      <c r="B653" s="1199"/>
      <c r="C653" s="1190"/>
      <c r="D653" s="1161" t="s">
        <v>1753</v>
      </c>
      <c r="E653" s="1162"/>
      <c r="F653" s="1163"/>
      <c r="G653" s="454" t="s">
        <v>923</v>
      </c>
      <c r="H653" s="427"/>
    </row>
    <row r="654" spans="2:8" hidden="1" outlineLevel="1">
      <c r="B654" s="1199"/>
      <c r="C654" s="1190"/>
      <c r="D654" s="1161" t="s">
        <v>1754</v>
      </c>
      <c r="E654" s="1162"/>
      <c r="F654" s="1163"/>
      <c r="G654" s="454" t="s">
        <v>925</v>
      </c>
      <c r="H654" s="427"/>
    </row>
    <row r="655" spans="2:8" hidden="1" outlineLevel="1">
      <c r="B655" s="1199"/>
      <c r="C655" s="1190"/>
      <c r="D655" s="1161" t="s">
        <v>1755</v>
      </c>
      <c r="E655" s="1162"/>
      <c r="F655" s="1163"/>
      <c r="G655" s="454" t="s">
        <v>927</v>
      </c>
      <c r="H655" s="427"/>
    </row>
    <row r="656" spans="2:8" hidden="1" outlineLevel="1">
      <c r="B656" s="1199"/>
      <c r="C656" s="1190"/>
      <c r="D656" s="1161" t="s">
        <v>1756</v>
      </c>
      <c r="E656" s="1162"/>
      <c r="F656" s="1163"/>
      <c r="G656" s="454" t="s">
        <v>929</v>
      </c>
      <c r="H656" s="427"/>
    </row>
    <row r="657" spans="2:8" hidden="1" outlineLevel="1">
      <c r="B657" s="1199"/>
      <c r="C657" s="1190"/>
      <c r="D657" s="1161" t="s">
        <v>1757</v>
      </c>
      <c r="E657" s="1162"/>
      <c r="F657" s="1163"/>
      <c r="G657" s="454" t="s">
        <v>937</v>
      </c>
      <c r="H657" s="427"/>
    </row>
    <row r="658" spans="2:8" hidden="1" outlineLevel="1">
      <c r="B658" s="1200"/>
      <c r="C658" s="1191"/>
      <c r="D658" s="1161" t="s">
        <v>1758</v>
      </c>
      <c r="E658" s="1162"/>
      <c r="F658" s="1163"/>
      <c r="G658" s="454" t="s">
        <v>939</v>
      </c>
      <c r="H658" s="427"/>
    </row>
    <row r="659" spans="2:8" hidden="1" outlineLevel="1">
      <c r="B659" s="1186" t="s">
        <v>1759</v>
      </c>
      <c r="C659" s="1187"/>
      <c r="D659" s="1187"/>
      <c r="E659" s="1187"/>
      <c r="F659" s="1188"/>
      <c r="G659" s="452" t="s">
        <v>1760</v>
      </c>
      <c r="H659" s="453">
        <f>+H637+H643</f>
        <v>6708069.0899999999</v>
      </c>
    </row>
    <row r="660" spans="2:8" hidden="1" outlineLevel="1">
      <c r="B660" s="1186" t="s">
        <v>1761</v>
      </c>
      <c r="C660" s="1187"/>
      <c r="D660" s="1187"/>
      <c r="E660" s="1187"/>
      <c r="F660" s="1188"/>
      <c r="G660" s="452" t="s">
        <v>1762</v>
      </c>
      <c r="H660" s="453">
        <f>+H659*0.1</f>
        <v>670806.90899999999</v>
      </c>
    </row>
    <row r="661" spans="2:8" hidden="1" outlineLevel="1">
      <c r="B661" s="1195" t="s">
        <v>1763</v>
      </c>
      <c r="C661" s="1196"/>
      <c r="D661" s="1196"/>
      <c r="E661" s="1196"/>
      <c r="F661" s="1197"/>
      <c r="G661" s="452" t="s">
        <v>1764</v>
      </c>
      <c r="H661" s="427"/>
    </row>
    <row r="662" spans="2:8" hidden="1" outlineLevel="1">
      <c r="B662" s="1195" t="s">
        <v>1765</v>
      </c>
      <c r="C662" s="1196"/>
      <c r="D662" s="1196"/>
      <c r="E662" s="1196"/>
      <c r="F662" s="1197"/>
      <c r="G662" s="452" t="s">
        <v>1766</v>
      </c>
      <c r="H662" s="427"/>
    </row>
    <row r="663" spans="2:8" hidden="1" outlineLevel="1">
      <c r="B663" s="1186" t="s">
        <v>1767</v>
      </c>
      <c r="C663" s="1187"/>
      <c r="D663" s="1187"/>
      <c r="E663" s="1187"/>
      <c r="F663" s="1188"/>
      <c r="G663" s="452" t="s">
        <v>1768</v>
      </c>
      <c r="H663" s="453">
        <f>+H661+H662</f>
        <v>0</v>
      </c>
    </row>
    <row r="664" spans="2:8" hidden="1" outlineLevel="1">
      <c r="B664" s="1186" t="s">
        <v>1761</v>
      </c>
      <c r="C664" s="1187"/>
      <c r="D664" s="1187"/>
      <c r="E664" s="1187"/>
      <c r="F664" s="1188"/>
      <c r="G664" s="452" t="s">
        <v>1769</v>
      </c>
      <c r="H664" s="453">
        <f>+H663*0%</f>
        <v>0</v>
      </c>
    </row>
    <row r="665" spans="2:8" hidden="1" outlineLevel="1">
      <c r="B665" s="1186" t="s">
        <v>1770</v>
      </c>
      <c r="C665" s="1187"/>
      <c r="D665" s="1187"/>
      <c r="E665" s="1187"/>
      <c r="F665" s="1188"/>
      <c r="G665" s="452" t="s">
        <v>1771</v>
      </c>
      <c r="H665" s="453">
        <f>+H660+H664</f>
        <v>670806.90899999999</v>
      </c>
    </row>
    <row r="666" spans="2:8" hidden="1" outlineLevel="1"/>
    <row r="667" spans="2:8" ht="21.75" hidden="1" customHeight="1" outlineLevel="1">
      <c r="B667" s="1167" t="s">
        <v>1772</v>
      </c>
      <c r="C667" s="1167"/>
      <c r="D667" s="1167"/>
      <c r="E667" s="1167"/>
      <c r="F667" s="1167"/>
      <c r="G667" s="1167"/>
      <c r="H667" s="1167"/>
    </row>
    <row r="668" spans="2:8" hidden="1" outlineLevel="1">
      <c r="B668" s="1186" t="s">
        <v>1773</v>
      </c>
      <c r="C668" s="1187"/>
      <c r="D668" s="1187"/>
      <c r="E668" s="1187"/>
      <c r="F668" s="1188"/>
      <c r="G668" s="452" t="s">
        <v>1774</v>
      </c>
      <c r="H668" s="427"/>
    </row>
    <row r="669" spans="2:8" hidden="1" outlineLevel="1">
      <c r="B669" s="1192" t="s">
        <v>1775</v>
      </c>
      <c r="C669" s="1193"/>
      <c r="D669" s="1193"/>
      <c r="E669" s="1193"/>
      <c r="F669" s="1194"/>
      <c r="G669" s="452" t="s">
        <v>1776</v>
      </c>
      <c r="H669" s="427">
        <f>+H670+H671+H672+H673</f>
        <v>10398785.500000002</v>
      </c>
    </row>
    <row r="670" spans="2:8" hidden="1" outlineLevel="1">
      <c r="B670" s="1189" t="s">
        <v>1737</v>
      </c>
      <c r="C670" s="1161" t="s">
        <v>1777</v>
      </c>
      <c r="D670" s="1162"/>
      <c r="E670" s="1162"/>
      <c r="F670" s="1163"/>
      <c r="G670" s="452" t="s">
        <v>1778</v>
      </c>
      <c r="H670" s="427"/>
    </row>
    <row r="671" spans="2:8" hidden="1" outlineLevel="1">
      <c r="B671" s="1190"/>
      <c r="C671" s="1161" t="s">
        <v>1779</v>
      </c>
      <c r="D671" s="1162"/>
      <c r="E671" s="1162"/>
      <c r="F671" s="1163"/>
      <c r="G671" s="452" t="s">
        <v>1780</v>
      </c>
      <c r="H671" s="427">
        <f>+M9*10</f>
        <v>10398785.500000002</v>
      </c>
    </row>
    <row r="672" spans="2:8" hidden="1" outlineLevel="1">
      <c r="B672" s="1190"/>
      <c r="C672" s="1161" t="s">
        <v>1781</v>
      </c>
      <c r="D672" s="1162"/>
      <c r="E672" s="1162"/>
      <c r="F672" s="1163"/>
      <c r="G672" s="452" t="s">
        <v>1782</v>
      </c>
      <c r="H672" s="427"/>
    </row>
    <row r="673" spans="2:8" hidden="1" outlineLevel="1">
      <c r="B673" s="1191"/>
      <c r="C673" s="1161" t="s">
        <v>1783</v>
      </c>
      <c r="D673" s="1162"/>
      <c r="E673" s="1162"/>
      <c r="F673" s="1163"/>
      <c r="G673" s="452" t="s">
        <v>1784</v>
      </c>
      <c r="H673" s="427"/>
    </row>
    <row r="674" spans="2:8" hidden="1" outlineLevel="1">
      <c r="B674" s="1186" t="s">
        <v>1785</v>
      </c>
      <c r="C674" s="1187"/>
      <c r="D674" s="1187"/>
      <c r="E674" s="1187"/>
      <c r="F674" s="1188"/>
      <c r="G674" s="452" t="s">
        <v>1786</v>
      </c>
      <c r="H674" s="453">
        <f>+H669*0.1</f>
        <v>1039878.5500000003</v>
      </c>
    </row>
    <row r="675" spans="2:8" hidden="1" outlineLevel="1">
      <c r="B675" s="1186" t="s">
        <v>1787</v>
      </c>
      <c r="C675" s="1187"/>
      <c r="D675" s="1187"/>
      <c r="E675" s="1187"/>
      <c r="F675" s="1188"/>
      <c r="G675" s="452" t="s">
        <v>1788</v>
      </c>
      <c r="H675" s="453">
        <f>+H676+H677+H678+H679+H680+H681</f>
        <v>0</v>
      </c>
    </row>
    <row r="676" spans="2:8" hidden="1" outlineLevel="1">
      <c r="B676" s="1189" t="s">
        <v>1737</v>
      </c>
      <c r="C676" s="1161" t="s">
        <v>1789</v>
      </c>
      <c r="D676" s="1162"/>
      <c r="E676" s="1162"/>
      <c r="F676" s="1163"/>
      <c r="G676" s="452" t="s">
        <v>1790</v>
      </c>
      <c r="H676" s="427"/>
    </row>
    <row r="677" spans="2:8" hidden="1" outlineLevel="1">
      <c r="B677" s="1190"/>
      <c r="C677" s="1161" t="s">
        <v>1791</v>
      </c>
      <c r="D677" s="1162"/>
      <c r="E677" s="1162"/>
      <c r="F677" s="1163"/>
      <c r="G677" s="452" t="s">
        <v>1792</v>
      </c>
      <c r="H677" s="427"/>
    </row>
    <row r="678" spans="2:8" hidden="1" outlineLevel="1">
      <c r="B678" s="1190"/>
      <c r="C678" s="1161" t="s">
        <v>1793</v>
      </c>
      <c r="D678" s="1162"/>
      <c r="E678" s="1162"/>
      <c r="F678" s="1163"/>
      <c r="G678" s="452" t="s">
        <v>1794</v>
      </c>
      <c r="H678" s="427"/>
    </row>
    <row r="679" spans="2:8" hidden="1" outlineLevel="1">
      <c r="B679" s="1190"/>
      <c r="C679" s="1161" t="s">
        <v>1795</v>
      </c>
      <c r="D679" s="1162"/>
      <c r="E679" s="1162"/>
      <c r="F679" s="1163"/>
      <c r="G679" s="452" t="s">
        <v>1796</v>
      </c>
      <c r="H679" s="427"/>
    </row>
    <row r="680" spans="2:8" hidden="1" outlineLevel="1">
      <c r="B680" s="1190"/>
      <c r="C680" s="1161" t="s">
        <v>1797</v>
      </c>
      <c r="D680" s="1162"/>
      <c r="E680" s="1162"/>
      <c r="F680" s="1163"/>
      <c r="G680" s="452" t="s">
        <v>1798</v>
      </c>
      <c r="H680" s="427"/>
    </row>
    <row r="681" spans="2:8" hidden="1" outlineLevel="1">
      <c r="B681" s="1191"/>
      <c r="C681" s="1161" t="s">
        <v>1799</v>
      </c>
      <c r="D681" s="1162"/>
      <c r="E681" s="1162"/>
      <c r="F681" s="1163"/>
      <c r="G681" s="452" t="s">
        <v>1800</v>
      </c>
      <c r="H681" s="427"/>
    </row>
    <row r="682" spans="2:8" hidden="1" outlineLevel="1">
      <c r="B682" s="1186" t="s">
        <v>1801</v>
      </c>
      <c r="C682" s="1187"/>
      <c r="D682" s="1187"/>
      <c r="E682" s="1187"/>
      <c r="F682" s="1188"/>
      <c r="G682" s="452" t="s">
        <v>1802</v>
      </c>
      <c r="H682" s="453">
        <f>+H674-H675</f>
        <v>1039878.5500000003</v>
      </c>
    </row>
    <row r="683" spans="2:8" hidden="1" outlineLevel="1"/>
    <row r="684" spans="2:8" ht="21.75" hidden="1" customHeight="1" outlineLevel="1">
      <c r="B684" s="1167" t="s">
        <v>1803</v>
      </c>
      <c r="C684" s="1167"/>
      <c r="D684" s="1167"/>
      <c r="E684" s="1167"/>
      <c r="F684" s="1167"/>
      <c r="G684" s="1167"/>
      <c r="H684" s="1167"/>
    </row>
    <row r="685" spans="2:8" hidden="1" outlineLevel="1">
      <c r="B685" s="1161" t="s">
        <v>1804</v>
      </c>
      <c r="C685" s="1162"/>
      <c r="D685" s="1162"/>
      <c r="E685" s="1162"/>
      <c r="F685" s="1163"/>
      <c r="G685" s="452" t="s">
        <v>1805</v>
      </c>
      <c r="H685" s="427"/>
    </row>
    <row r="686" spans="2:8" hidden="1" outlineLevel="1">
      <c r="B686" s="1161" t="s">
        <v>1806</v>
      </c>
      <c r="C686" s="1162"/>
      <c r="D686" s="1162"/>
      <c r="E686" s="1162"/>
      <c r="F686" s="1163"/>
      <c r="G686" s="452" t="s">
        <v>1807</v>
      </c>
      <c r="H686" s="427"/>
    </row>
    <row r="687" spans="2:8" hidden="1" outlineLevel="1">
      <c r="B687" s="1164" t="s">
        <v>1808</v>
      </c>
      <c r="C687" s="1165"/>
      <c r="D687" s="1165"/>
      <c r="E687" s="1165"/>
      <c r="F687" s="1166"/>
      <c r="G687" s="452" t="s">
        <v>1809</v>
      </c>
      <c r="H687" s="427">
        <f>+(H685+H686)*0.1</f>
        <v>0</v>
      </c>
    </row>
    <row r="688" spans="2:8" hidden="1" outlineLevel="1">
      <c r="B688" s="1161" t="s">
        <v>1810</v>
      </c>
      <c r="C688" s="1162"/>
      <c r="D688" s="1162"/>
      <c r="E688" s="1162"/>
      <c r="F688" s="1163"/>
      <c r="G688" s="452" t="s">
        <v>1811</v>
      </c>
      <c r="H688" s="427"/>
    </row>
    <row r="689" spans="2:8" hidden="1" outlineLevel="1">
      <c r="B689" s="1161" t="s">
        <v>1812</v>
      </c>
      <c r="C689" s="1162"/>
      <c r="D689" s="1162"/>
      <c r="E689" s="1162"/>
      <c r="F689" s="1163"/>
      <c r="G689" s="452" t="s">
        <v>1813</v>
      </c>
      <c r="H689" s="427"/>
    </row>
    <row r="690" spans="2:8" hidden="1" outlineLevel="1">
      <c r="B690" s="1164" t="s">
        <v>1814</v>
      </c>
      <c r="C690" s="1165"/>
      <c r="D690" s="1165"/>
      <c r="E690" s="1165"/>
      <c r="F690" s="1166"/>
      <c r="G690" s="452" t="s">
        <v>1815</v>
      </c>
      <c r="H690" s="427">
        <f>+(H688+H689)*0.1</f>
        <v>0</v>
      </c>
    </row>
    <row r="691" spans="2:8" hidden="1" outlineLevel="1"/>
    <row r="692" spans="2:8" hidden="1" outlineLevel="1">
      <c r="B692" s="1167" t="s">
        <v>1816</v>
      </c>
      <c r="C692" s="1167"/>
      <c r="D692" s="1167"/>
      <c r="E692" s="1167"/>
      <c r="F692" s="1167"/>
      <c r="G692" s="1167"/>
      <c r="H692" s="1167"/>
    </row>
    <row r="693" spans="2:8" hidden="1" outlineLevel="1">
      <c r="B693" s="1164" t="s">
        <v>1817</v>
      </c>
      <c r="C693" s="1165"/>
      <c r="D693" s="1165"/>
      <c r="E693" s="1165"/>
      <c r="F693" s="1166"/>
      <c r="G693" s="452" t="s">
        <v>1818</v>
      </c>
      <c r="H693" s="427">
        <f>+H665+H687</f>
        <v>670806.90899999999</v>
      </c>
    </row>
    <row r="694" spans="2:8" hidden="1" outlineLevel="1">
      <c r="B694" s="1164" t="s">
        <v>1819</v>
      </c>
      <c r="C694" s="1165"/>
      <c r="D694" s="1165"/>
      <c r="E694" s="1165"/>
      <c r="F694" s="1166"/>
      <c r="G694" s="452" t="s">
        <v>1820</v>
      </c>
      <c r="H694" s="427">
        <f>+H682+H690</f>
        <v>1039878.5500000003</v>
      </c>
    </row>
    <row r="695" spans="2:8" hidden="1" outlineLevel="1"/>
    <row r="696" spans="2:8" hidden="1" outlineLevel="1">
      <c r="B696" s="1167" t="s">
        <v>1821</v>
      </c>
      <c r="C696" s="1167"/>
      <c r="D696" s="1167"/>
      <c r="E696" s="1167"/>
      <c r="F696" s="1167"/>
      <c r="G696" s="1167"/>
      <c r="H696" s="1167"/>
    </row>
    <row r="697" spans="2:8" hidden="1" outlineLevel="1">
      <c r="B697" s="1161" t="s">
        <v>1822</v>
      </c>
      <c r="C697" s="1162"/>
      <c r="D697" s="1162"/>
      <c r="E697" s="1162"/>
      <c r="F697" s="1163"/>
      <c r="G697" s="452" t="s">
        <v>1823</v>
      </c>
      <c r="H697" s="427"/>
    </row>
    <row r="698" spans="2:8" hidden="1" outlineLevel="1">
      <c r="B698" s="1164" t="s">
        <v>1824</v>
      </c>
      <c r="C698" s="1165"/>
      <c r="D698" s="1165"/>
      <c r="E698" s="1165"/>
      <c r="F698" s="1166"/>
      <c r="G698" s="452" t="s">
        <v>1825</v>
      </c>
      <c r="H698" s="427">
        <f>+H697*0.1</f>
        <v>0</v>
      </c>
    </row>
    <row r="699" spans="2:8" hidden="1" outlineLevel="1">
      <c r="B699" s="1161" t="s">
        <v>1826</v>
      </c>
      <c r="C699" s="1162"/>
      <c r="D699" s="1162"/>
      <c r="E699" s="1162"/>
      <c r="F699" s="1163"/>
      <c r="G699" s="452" t="s">
        <v>1827</v>
      </c>
      <c r="H699" s="427"/>
    </row>
    <row r="700" spans="2:8" hidden="1" outlineLevel="1">
      <c r="B700" s="1164" t="s">
        <v>1814</v>
      </c>
      <c r="C700" s="1165"/>
      <c r="D700" s="1165"/>
      <c r="E700" s="1165"/>
      <c r="F700" s="1166"/>
      <c r="G700" s="452" t="s">
        <v>1828</v>
      </c>
      <c r="H700" s="427">
        <f>+H699*0.1</f>
        <v>0</v>
      </c>
    </row>
    <row r="701" spans="2:8" hidden="1" outlineLevel="1"/>
    <row r="702" spans="2:8" hidden="1" outlineLevel="1">
      <c r="B702" s="1167" t="s">
        <v>1829</v>
      </c>
      <c r="C702" s="1167"/>
      <c r="D702" s="1167"/>
      <c r="E702" s="1167"/>
      <c r="F702" s="1167"/>
      <c r="G702" s="1167"/>
      <c r="H702" s="1167"/>
    </row>
    <row r="703" spans="2:8" hidden="1" outlineLevel="1">
      <c r="B703" s="1168" t="s">
        <v>1303</v>
      </c>
      <c r="C703" s="1168"/>
      <c r="D703" s="1169" t="s">
        <v>1830</v>
      </c>
      <c r="E703" s="1170"/>
      <c r="F703" s="1171"/>
      <c r="G703" s="452" t="s">
        <v>1831</v>
      </c>
      <c r="H703" s="427">
        <f>+H693-H698</f>
        <v>670806.90899999999</v>
      </c>
    </row>
    <row r="704" spans="2:8" hidden="1" outlineLevel="1">
      <c r="B704" s="1168"/>
      <c r="C704" s="1168"/>
      <c r="D704" s="1169" t="s">
        <v>1832</v>
      </c>
      <c r="E704" s="1170"/>
      <c r="F704" s="1171"/>
      <c r="G704" s="452" t="s">
        <v>1833</v>
      </c>
      <c r="H704" s="427">
        <f>+H694-H700</f>
        <v>1039878.5500000003</v>
      </c>
    </row>
    <row r="705" spans="2:8" hidden="1" outlineLevel="1">
      <c r="B705" s="1168"/>
      <c r="C705" s="1168"/>
      <c r="D705" s="1169" t="s">
        <v>1834</v>
      </c>
      <c r="E705" s="1170"/>
      <c r="F705" s="1171"/>
      <c r="G705" s="452" t="s">
        <v>1835</v>
      </c>
      <c r="H705" s="427">
        <f>+H703-H704</f>
        <v>-369071.64100000029</v>
      </c>
    </row>
    <row r="706" spans="2:8" hidden="1" outlineLevel="1">
      <c r="B706" s="1168"/>
      <c r="C706" s="1168"/>
      <c r="D706" s="1169" t="s">
        <v>1836</v>
      </c>
      <c r="E706" s="1170"/>
      <c r="F706" s="1171"/>
      <c r="G706" s="452" t="s">
        <v>1837</v>
      </c>
      <c r="H706" s="427"/>
    </row>
    <row r="707" spans="2:8" hidden="1" outlineLevel="1"/>
    <row r="708" spans="2:8" hidden="1" outlineLevel="1">
      <c r="B708" s="1176" t="s">
        <v>1838</v>
      </c>
      <c r="C708" s="1176"/>
      <c r="D708" s="1176"/>
      <c r="E708" s="1176"/>
      <c r="F708" s="1176"/>
      <c r="G708" s="455" t="s">
        <v>1839</v>
      </c>
      <c r="H708" s="456" t="s">
        <v>1840</v>
      </c>
    </row>
    <row r="709" spans="2:8" hidden="1" outlineLevel="1">
      <c r="B709" s="1172" t="s">
        <v>1841</v>
      </c>
      <c r="C709" s="1172"/>
      <c r="D709" s="1172"/>
      <c r="E709" s="457" t="s">
        <v>1072</v>
      </c>
      <c r="F709" s="458">
        <v>1</v>
      </c>
      <c r="G709" s="459">
        <f>+O8</f>
        <v>0</v>
      </c>
      <c r="H709" s="460"/>
    </row>
    <row r="710" spans="2:8" hidden="1" outlineLevel="1">
      <c r="B710" s="1172"/>
      <c r="C710" s="1172"/>
      <c r="D710" s="1172"/>
      <c r="E710" s="457" t="s">
        <v>1073</v>
      </c>
      <c r="F710" s="458">
        <f>+F709+1</f>
        <v>2</v>
      </c>
      <c r="G710" s="461"/>
      <c r="H710" s="462">
        <f>+P8</f>
        <v>62205878.940909088</v>
      </c>
    </row>
    <row r="711" spans="2:8" hidden="1" outlineLevel="1">
      <c r="B711" s="1172" t="s">
        <v>1842</v>
      </c>
      <c r="C711" s="1172"/>
      <c r="D711" s="1172"/>
      <c r="E711" s="457" t="s">
        <v>1072</v>
      </c>
      <c r="F711" s="458">
        <f t="shared" ref="F711:F724" si="7">+F710+1</f>
        <v>3</v>
      </c>
      <c r="G711" s="459"/>
      <c r="H711" s="460"/>
    </row>
    <row r="712" spans="2:8" hidden="1" outlineLevel="1">
      <c r="B712" s="1172"/>
      <c r="C712" s="1172"/>
      <c r="D712" s="1172"/>
      <c r="E712" s="457" t="s">
        <v>1073</v>
      </c>
      <c r="F712" s="458">
        <f t="shared" si="7"/>
        <v>4</v>
      </c>
      <c r="G712" s="461"/>
      <c r="H712" s="462">
        <f>+H705</f>
        <v>-369071.64100000029</v>
      </c>
    </row>
    <row r="713" spans="2:8" hidden="1" outlineLevel="1">
      <c r="B713" s="1173" t="s">
        <v>1078</v>
      </c>
      <c r="C713" s="1174"/>
      <c r="D713" s="1174"/>
      <c r="E713" s="1175"/>
      <c r="F713" s="458">
        <f t="shared" si="7"/>
        <v>5</v>
      </c>
      <c r="G713" s="459">
        <f>+L9</f>
        <v>0</v>
      </c>
      <c r="H713" s="460"/>
    </row>
    <row r="714" spans="2:8" hidden="1" outlineLevel="1">
      <c r="B714" s="1177" t="s">
        <v>1843</v>
      </c>
      <c r="C714" s="1178"/>
      <c r="D714" s="1178"/>
      <c r="E714" s="1179"/>
      <c r="F714" s="458">
        <f t="shared" si="7"/>
        <v>6</v>
      </c>
      <c r="G714" s="464"/>
      <c r="H714" s="460"/>
    </row>
    <row r="715" spans="2:8" hidden="1" outlineLevel="1">
      <c r="B715" s="1177" t="s">
        <v>1843</v>
      </c>
      <c r="C715" s="1178"/>
      <c r="D715" s="1178"/>
      <c r="E715" s="1179"/>
      <c r="F715" s="458">
        <f t="shared" si="7"/>
        <v>7</v>
      </c>
      <c r="G715" s="461"/>
      <c r="H715" s="463"/>
    </row>
    <row r="716" spans="2:8" hidden="1" outlineLevel="1">
      <c r="B716" s="1172" t="s">
        <v>1844</v>
      </c>
      <c r="C716" s="1172"/>
      <c r="D716" s="1172"/>
      <c r="E716" s="457" t="s">
        <v>1072</v>
      </c>
      <c r="F716" s="458">
        <f t="shared" si="7"/>
        <v>8</v>
      </c>
      <c r="G716" s="464"/>
      <c r="H716" s="460"/>
    </row>
    <row r="717" spans="2:8" hidden="1" outlineLevel="1">
      <c r="B717" s="1172"/>
      <c r="C717" s="1172"/>
      <c r="D717" s="1172"/>
      <c r="E717" s="457" t="s">
        <v>1073</v>
      </c>
      <c r="F717" s="458">
        <f t="shared" si="7"/>
        <v>9</v>
      </c>
      <c r="G717" s="461"/>
      <c r="H717" s="463"/>
    </row>
    <row r="718" spans="2:8" hidden="1" outlineLevel="1">
      <c r="B718" s="1172" t="s">
        <v>1845</v>
      </c>
      <c r="C718" s="1172"/>
      <c r="D718" s="1172"/>
      <c r="E718" s="457" t="s">
        <v>1072</v>
      </c>
      <c r="F718" s="458">
        <f t="shared" si="7"/>
        <v>10</v>
      </c>
      <c r="G718" s="464"/>
      <c r="H718" s="460"/>
    </row>
    <row r="719" spans="2:8" hidden="1" outlineLevel="1">
      <c r="B719" s="1172"/>
      <c r="C719" s="1172"/>
      <c r="D719" s="1172"/>
      <c r="E719" s="457" t="s">
        <v>1073</v>
      </c>
      <c r="F719" s="458">
        <f t="shared" si="7"/>
        <v>11</v>
      </c>
      <c r="G719" s="461"/>
      <c r="H719" s="463"/>
    </row>
    <row r="720" spans="2:8" hidden="1" outlineLevel="1">
      <c r="B720" s="1173" t="s">
        <v>1846</v>
      </c>
      <c r="C720" s="1174"/>
      <c r="D720" s="1174"/>
      <c r="E720" s="1175"/>
      <c r="F720" s="458">
        <f t="shared" si="7"/>
        <v>12</v>
      </c>
      <c r="G720" s="464"/>
      <c r="H720" s="460"/>
    </row>
    <row r="721" spans="1:11" hidden="1" outlineLevel="1">
      <c r="B721" s="1172" t="s">
        <v>1847</v>
      </c>
      <c r="C721" s="1172"/>
      <c r="D721" s="1172"/>
      <c r="E721" s="457" t="s">
        <v>1072</v>
      </c>
      <c r="F721" s="458">
        <f t="shared" si="7"/>
        <v>13</v>
      </c>
      <c r="G721" s="464"/>
      <c r="H721" s="460"/>
    </row>
    <row r="722" spans="1:11" hidden="1" outlineLevel="1">
      <c r="B722" s="1172"/>
      <c r="C722" s="1172"/>
      <c r="D722" s="1172"/>
      <c r="E722" s="457" t="s">
        <v>1073</v>
      </c>
      <c r="F722" s="458">
        <f t="shared" si="7"/>
        <v>14</v>
      </c>
      <c r="G722" s="461"/>
      <c r="H722" s="463"/>
    </row>
    <row r="723" spans="1:11" hidden="1" outlineLevel="1">
      <c r="B723" s="1172" t="s">
        <v>1848</v>
      </c>
      <c r="C723" s="1172"/>
      <c r="D723" s="1172"/>
      <c r="E723" s="457" t="s">
        <v>1072</v>
      </c>
      <c r="F723" s="458">
        <f t="shared" si="7"/>
        <v>15</v>
      </c>
      <c r="G723" s="459">
        <f>IF((G709+G711+G713-H710-H712)&gt;0,(G709+G711+G713-H710-H712),0)</f>
        <v>0</v>
      </c>
      <c r="H723" s="460"/>
    </row>
    <row r="724" spans="1:11" hidden="1" outlineLevel="1">
      <c r="B724" s="1172"/>
      <c r="C724" s="1172"/>
      <c r="D724" s="1172"/>
      <c r="E724" s="457" t="s">
        <v>1073</v>
      </c>
      <c r="F724" s="458">
        <f t="shared" si="7"/>
        <v>16</v>
      </c>
      <c r="G724" s="465"/>
      <c r="H724" s="510">
        <f>+IF((H710+H712-G709-G711-G713)&gt;0,(H710+H712-G709-G711-G713),0)</f>
        <v>61836807.299909085</v>
      </c>
      <c r="J724" s="79">
        <f>+STAT2!W111</f>
        <v>61836807.300909102</v>
      </c>
      <c r="K724" s="79">
        <f>++J724-H724</f>
        <v>1.0000169277191162E-3</v>
      </c>
    </row>
    <row r="725" spans="1:11" hidden="1" outlineLevel="1"/>
    <row r="726" spans="1:11" hidden="1" outlineLevel="1"/>
    <row r="727" spans="1:11" hidden="1" outlineLevel="1">
      <c r="B727" s="332" t="s">
        <v>1849</v>
      </c>
      <c r="E727" s="332" t="s">
        <v>1083</v>
      </c>
    </row>
    <row r="728" spans="1:11" hidden="1" outlineLevel="1">
      <c r="B728" s="332"/>
    </row>
    <row r="729" spans="1:11" hidden="1" outlineLevel="1">
      <c r="B729" s="332" t="str">
        <f>+CONCATENATE('[6]company '!B635," . . . . . . . . . . . . . . . . . .  ... . . . .. . . . ",'[6]company '!C635)</f>
        <v xml:space="preserve"> . . . . . . . . . . . . . . . . . .  ... . . . .. . . . </v>
      </c>
      <c r="E729" s="332" t="s">
        <v>1850</v>
      </c>
    </row>
    <row r="730" spans="1:11" hidden="1" outlineLevel="1">
      <c r="B730" s="332"/>
    </row>
    <row r="731" spans="1:11" hidden="1" outlineLevel="1">
      <c r="B731" s="332" t="str">
        <f>+CONCATENATE('[6]company '!B638,". . . . . . . . . . . . . . . . . . . . ",'[6]company '!C638)</f>
        <v xml:space="preserve">. . . . . . . . . . . . . . . . . . . . </v>
      </c>
    </row>
    <row r="732" spans="1:11" collapsed="1">
      <c r="A732" s="238" t="s">
        <v>2295</v>
      </c>
    </row>
    <row r="733" spans="1:11" hidden="1" outlineLevel="1">
      <c r="B733" s="437"/>
      <c r="C733" s="437"/>
      <c r="D733" s="437"/>
      <c r="E733" s="477"/>
      <c r="F733" s="1180" t="s">
        <v>1706</v>
      </c>
      <c r="G733" s="1180"/>
      <c r="H733" s="1180"/>
    </row>
    <row r="734" spans="1:11" hidden="1" outlineLevel="1">
      <c r="D734" s="437"/>
      <c r="E734" s="1181" t="s">
        <v>1710</v>
      </c>
      <c r="F734" s="1181"/>
      <c r="G734" s="1181"/>
      <c r="H734" s="1181"/>
    </row>
    <row r="735" spans="1:11" ht="18.75" hidden="1" outlineLevel="1">
      <c r="G735" s="444" t="s">
        <v>1716</v>
      </c>
      <c r="H735" s="445" t="s">
        <v>1717</v>
      </c>
    </row>
    <row r="736" spans="1:11" ht="21" hidden="1" outlineLevel="1" thickBot="1">
      <c r="B736" s="1182" t="s">
        <v>1718</v>
      </c>
      <c r="C736" s="1182"/>
      <c r="D736" s="1182"/>
      <c r="E736" s="1182"/>
      <c r="F736" s="1182"/>
      <c r="G736" s="1182"/>
      <c r="H736" s="1182"/>
    </row>
    <row r="737" spans="2:8" ht="13.5" hidden="1" outlineLevel="1" thickTop="1"/>
    <row r="738" spans="2:8" hidden="1" outlineLevel="1">
      <c r="B738" s="1183" t="s">
        <v>1719</v>
      </c>
      <c r="C738" s="1184"/>
      <c r="D738" s="1184"/>
      <c r="E738" s="1184"/>
      <c r="F738" s="1184"/>
      <c r="G738" s="1184"/>
      <c r="H738" s="1185"/>
    </row>
    <row r="739" spans="2:8" hidden="1" outlineLevel="1">
      <c r="B739" s="1155" t="s">
        <v>1971</v>
      </c>
      <c r="C739" s="1156"/>
      <c r="D739" s="1157"/>
      <c r="E739" s="1158" t="s">
        <v>1972</v>
      </c>
      <c r="F739" s="1159"/>
      <c r="G739" s="1159"/>
      <c r="H739" s="1160"/>
    </row>
    <row r="740" spans="2:8" hidden="1" outlineLevel="1"/>
    <row r="741" spans="2:8" hidden="1" outlineLevel="1">
      <c r="B741" s="1183" t="s">
        <v>1973</v>
      </c>
      <c r="C741" s="1184"/>
      <c r="D741" s="1185"/>
      <c r="E741" s="1202" t="s">
        <v>1974</v>
      </c>
      <c r="F741" s="1203"/>
      <c r="G741" s="1203"/>
      <c r="H741" s="1205"/>
    </row>
    <row r="742" spans="2:8" hidden="1" outlineLevel="1">
      <c r="B742" s="1183" t="s">
        <v>1975</v>
      </c>
      <c r="C742" s="1184"/>
      <c r="D742" s="1185"/>
      <c r="E742" s="1202" t="s">
        <v>1976</v>
      </c>
      <c r="F742" s="1203"/>
      <c r="G742" s="1203"/>
      <c r="H742" s="1205"/>
    </row>
    <row r="743" spans="2:8" hidden="1" outlineLevel="1">
      <c r="B743" s="1183" t="s">
        <v>1977</v>
      </c>
      <c r="C743" s="1184"/>
      <c r="D743" s="1185"/>
      <c r="E743" s="1202" t="s">
        <v>1266</v>
      </c>
      <c r="F743" s="1203"/>
      <c r="G743" s="1203"/>
      <c r="H743" s="1205"/>
    </row>
    <row r="744" spans="2:8" hidden="1" outlineLevel="1">
      <c r="B744" s="1206" t="s">
        <v>1978</v>
      </c>
      <c r="C744" s="1207"/>
      <c r="D744" s="1208"/>
      <c r="E744" s="1209" t="s">
        <v>1268</v>
      </c>
      <c r="F744" s="1210"/>
      <c r="G744" s="1210"/>
      <c r="H744" s="1211"/>
    </row>
    <row r="745" spans="2:8" hidden="1" outlineLevel="1">
      <c r="B745" s="1212" t="s">
        <v>1269</v>
      </c>
      <c r="C745" s="1212"/>
      <c r="D745" s="1212"/>
      <c r="E745" s="1213"/>
      <c r="F745" s="1213"/>
      <c r="G745" s="1213"/>
      <c r="H745" s="1213"/>
    </row>
    <row r="746" spans="2:8" hidden="1" outlineLevel="1">
      <c r="B746" s="1214"/>
      <c r="C746" s="1214"/>
      <c r="D746" s="1214"/>
      <c r="E746" s="1215"/>
      <c r="F746" s="1215"/>
      <c r="G746" s="1215"/>
      <c r="H746" s="1215"/>
    </row>
    <row r="747" spans="2:8" hidden="1" outlineLevel="1">
      <c r="B747" s="1183" t="s">
        <v>1720</v>
      </c>
      <c r="C747" s="1184"/>
      <c r="D747" s="1184"/>
      <c r="E747" s="1184"/>
      <c r="F747" s="1184"/>
      <c r="G747" s="1184"/>
      <c r="H747" s="1185"/>
    </row>
    <row r="748" spans="2:8" hidden="1" outlineLevel="1">
      <c r="B748" s="1198"/>
      <c r="C748" s="1183" t="s">
        <v>1721</v>
      </c>
      <c r="D748" s="1185"/>
      <c r="E748" s="1202" t="s">
        <v>1722</v>
      </c>
      <c r="F748" s="1203"/>
      <c r="G748" s="1205"/>
      <c r="H748" s="448"/>
    </row>
    <row r="749" spans="2:8" hidden="1" outlineLevel="1">
      <c r="B749" s="1199"/>
      <c r="C749" s="1183" t="str">
        <f>+CONCATENATE('[6]company '!B755,"-""07 сар")</f>
        <v>-"07 сар</v>
      </c>
      <c r="D749" s="1185"/>
      <c r="E749" s="1195" t="s">
        <v>46</v>
      </c>
      <c r="F749" s="1196"/>
      <c r="G749" s="1197"/>
      <c r="H749" s="427" t="s">
        <v>1965</v>
      </c>
    </row>
    <row r="750" spans="2:8" hidden="1" outlineLevel="1">
      <c r="B750" s="1200"/>
      <c r="C750" s="1195" t="s">
        <v>1724</v>
      </c>
      <c r="D750" s="1197"/>
      <c r="E750" s="1195" t="s">
        <v>1725</v>
      </c>
      <c r="F750" s="1196"/>
      <c r="G750" s="1197"/>
      <c r="H750" s="427"/>
    </row>
    <row r="751" spans="2:8" hidden="1" outlineLevel="1">
      <c r="B751" s="478"/>
      <c r="C751" s="478"/>
      <c r="D751" s="478"/>
      <c r="E751" s="478"/>
      <c r="F751" s="478"/>
      <c r="G751" s="449"/>
      <c r="H751" s="450"/>
    </row>
    <row r="752" spans="2:8" hidden="1" outlineLevel="1">
      <c r="B752" s="1216" t="s">
        <v>1726</v>
      </c>
      <c r="C752" s="1216"/>
      <c r="D752" s="1216"/>
      <c r="E752" s="451"/>
      <c r="F752" s="478" t="s">
        <v>1727</v>
      </c>
      <c r="G752" s="449"/>
      <c r="H752" s="450" t="s">
        <v>1728</v>
      </c>
    </row>
    <row r="753" spans="2:8" hidden="1" outlineLevel="1">
      <c r="B753" s="478"/>
      <c r="C753" s="478"/>
      <c r="D753" s="478"/>
      <c r="E753" s="478"/>
      <c r="F753" s="478"/>
      <c r="G753" s="449"/>
      <c r="H753" s="450"/>
    </row>
    <row r="754" spans="2:8" hidden="1" outlineLevel="1">
      <c r="B754" s="478"/>
      <c r="C754" s="478"/>
      <c r="D754" s="478"/>
      <c r="E754" s="478"/>
      <c r="F754" s="478"/>
      <c r="G754" s="449"/>
      <c r="H754" s="450"/>
    </row>
    <row r="755" spans="2:8" ht="25.5" hidden="1" customHeight="1" outlineLevel="1">
      <c r="B755" s="1167" t="s">
        <v>1729</v>
      </c>
      <c r="C755" s="1167"/>
      <c r="D755" s="1167"/>
      <c r="E755" s="1167"/>
      <c r="F755" s="1167"/>
      <c r="G755" s="1167"/>
      <c r="H755" s="1167"/>
    </row>
    <row r="756" spans="2:8" hidden="1" outlineLevel="1">
      <c r="B756" s="1186" t="s">
        <v>1730</v>
      </c>
      <c r="C756" s="1187"/>
      <c r="D756" s="1187"/>
      <c r="E756" s="1187"/>
      <c r="F756" s="1188"/>
      <c r="G756" s="452" t="s">
        <v>1731</v>
      </c>
      <c r="H756" s="453">
        <f>+H757+H758</f>
        <v>5171936.3600000003</v>
      </c>
    </row>
    <row r="757" spans="2:8" hidden="1" outlineLevel="1">
      <c r="B757" s="1192" t="s">
        <v>1732</v>
      </c>
      <c r="C757" s="1193"/>
      <c r="D757" s="1193"/>
      <c r="E757" s="1193"/>
      <c r="F757" s="1194"/>
      <c r="G757" s="452" t="s">
        <v>99</v>
      </c>
      <c r="H757" s="427"/>
    </row>
    <row r="758" spans="2:8" hidden="1" outlineLevel="1">
      <c r="B758" s="1192" t="s">
        <v>1733</v>
      </c>
      <c r="C758" s="1193"/>
      <c r="D758" s="1193"/>
      <c r="E758" s="1193"/>
      <c r="F758" s="1194"/>
      <c r="G758" s="452" t="s">
        <v>1734</v>
      </c>
      <c r="H758" s="427">
        <f>+H759+H765+H785</f>
        <v>5171936.3600000003</v>
      </c>
    </row>
    <row r="759" spans="2:8" hidden="1" outlineLevel="1">
      <c r="B759" s="1198"/>
      <c r="C759" s="1186" t="s">
        <v>1735</v>
      </c>
      <c r="D759" s="1187"/>
      <c r="E759" s="1187"/>
      <c r="F759" s="1188"/>
      <c r="G759" s="452" t="s">
        <v>1736</v>
      </c>
      <c r="H759" s="453">
        <f>+H760+H761+H762+H763+H764</f>
        <v>5171936.3600000003</v>
      </c>
    </row>
    <row r="760" spans="2:8" hidden="1" outlineLevel="1">
      <c r="B760" s="1199"/>
      <c r="C760" s="1189" t="s">
        <v>1737</v>
      </c>
      <c r="D760" s="1195" t="s">
        <v>1738</v>
      </c>
      <c r="E760" s="1196"/>
      <c r="F760" s="1197"/>
      <c r="G760" s="452" t="s">
        <v>173</v>
      </c>
      <c r="H760" s="427">
        <f>+SUMIFS(JURNAL!H:H,JURNAL!E:E,510000,JURNAL!C:C,"&gt;="&amp;J10,JURNAL!C:C,"&lt;="&amp;K10)+SUMIFS(JURNAL!H:H,JURNAL!E:E,510100,JURNAL!C:C,"&gt;="&amp;J10,JURNAL!C:C,"&lt;="&amp;K10)</f>
        <v>5171936.3600000003</v>
      </c>
    </row>
    <row r="761" spans="2:8" hidden="1" outlineLevel="1">
      <c r="B761" s="1199"/>
      <c r="C761" s="1190"/>
      <c r="D761" s="1161" t="s">
        <v>1739</v>
      </c>
      <c r="E761" s="1162"/>
      <c r="F761" s="1163"/>
      <c r="G761" s="454" t="s">
        <v>174</v>
      </c>
      <c r="H761" s="427"/>
    </row>
    <row r="762" spans="2:8" hidden="1" outlineLevel="1">
      <c r="B762" s="1199"/>
      <c r="C762" s="1190"/>
      <c r="D762" s="1161" t="s">
        <v>831</v>
      </c>
      <c r="E762" s="1162"/>
      <c r="F762" s="1163"/>
      <c r="G762" s="454" t="s">
        <v>897</v>
      </c>
      <c r="H762" s="427"/>
    </row>
    <row r="763" spans="2:8" hidden="1" outlineLevel="1">
      <c r="B763" s="1199"/>
      <c r="C763" s="1190"/>
      <c r="D763" s="1161" t="s">
        <v>1740</v>
      </c>
      <c r="E763" s="1162"/>
      <c r="F763" s="1163"/>
      <c r="G763" s="454" t="s">
        <v>899</v>
      </c>
      <c r="H763" s="427"/>
    </row>
    <row r="764" spans="2:8" hidden="1" outlineLevel="1">
      <c r="B764" s="1199"/>
      <c r="C764" s="1191"/>
      <c r="D764" s="1161" t="s">
        <v>1741</v>
      </c>
      <c r="E764" s="1162"/>
      <c r="F764" s="1163"/>
      <c r="G764" s="454" t="s">
        <v>901</v>
      </c>
      <c r="H764" s="427"/>
    </row>
    <row r="765" spans="2:8" hidden="1" outlineLevel="1">
      <c r="B765" s="1199"/>
      <c r="C765" s="1186" t="s">
        <v>1742</v>
      </c>
      <c r="D765" s="1187"/>
      <c r="E765" s="1187"/>
      <c r="F765" s="1188"/>
      <c r="G765" s="452" t="s">
        <v>1743</v>
      </c>
      <c r="H765" s="453">
        <f>+H766+H767+H768+H769+H770+H771+H772+H773+H774+H775+H776+H777+H778+H779+H780</f>
        <v>0</v>
      </c>
    </row>
    <row r="766" spans="2:8" hidden="1" outlineLevel="1">
      <c r="B766" s="1199"/>
      <c r="C766" s="1189" t="s">
        <v>1737</v>
      </c>
      <c r="D766" s="1161" t="s">
        <v>1744</v>
      </c>
      <c r="E766" s="1162"/>
      <c r="F766" s="1163"/>
      <c r="G766" s="454" t="s">
        <v>905</v>
      </c>
      <c r="H766" s="427"/>
    </row>
    <row r="767" spans="2:8" hidden="1" outlineLevel="1">
      <c r="B767" s="1199"/>
      <c r="C767" s="1190"/>
      <c r="D767" s="1161" t="s">
        <v>1745</v>
      </c>
      <c r="E767" s="1162"/>
      <c r="F767" s="1163"/>
      <c r="G767" s="454" t="s">
        <v>907</v>
      </c>
      <c r="H767" s="427"/>
    </row>
    <row r="768" spans="2:8" hidden="1" outlineLevel="1">
      <c r="B768" s="1199"/>
      <c r="C768" s="1190"/>
      <c r="D768" s="1161" t="s">
        <v>1746</v>
      </c>
      <c r="E768" s="1162"/>
      <c r="F768" s="1163"/>
      <c r="G768" s="454" t="s">
        <v>909</v>
      </c>
      <c r="H768" s="427"/>
    </row>
    <row r="769" spans="2:8" hidden="1" outlineLevel="1">
      <c r="B769" s="1199"/>
      <c r="C769" s="1190"/>
      <c r="D769" s="1161" t="s">
        <v>1747</v>
      </c>
      <c r="E769" s="1162"/>
      <c r="F769" s="1163"/>
      <c r="G769" s="454" t="s">
        <v>911</v>
      </c>
      <c r="H769" s="427"/>
    </row>
    <row r="770" spans="2:8" hidden="1" outlineLevel="1">
      <c r="B770" s="1199"/>
      <c r="C770" s="1190"/>
      <c r="D770" s="1161" t="s">
        <v>1748</v>
      </c>
      <c r="E770" s="1162"/>
      <c r="F770" s="1163"/>
      <c r="G770" s="454" t="s">
        <v>913</v>
      </c>
      <c r="H770" s="427"/>
    </row>
    <row r="771" spans="2:8" hidden="1" outlineLevel="1">
      <c r="B771" s="1199"/>
      <c r="C771" s="1190"/>
      <c r="D771" s="1161" t="s">
        <v>1749</v>
      </c>
      <c r="E771" s="1162"/>
      <c r="F771" s="1163"/>
      <c r="G771" s="454" t="s">
        <v>915</v>
      </c>
      <c r="H771" s="427"/>
    </row>
    <row r="772" spans="2:8" hidden="1" outlineLevel="1">
      <c r="B772" s="1199"/>
      <c r="C772" s="1190"/>
      <c r="D772" s="1161" t="s">
        <v>1750</v>
      </c>
      <c r="E772" s="1162"/>
      <c r="F772" s="1163"/>
      <c r="G772" s="454" t="s">
        <v>917</v>
      </c>
      <c r="H772" s="427"/>
    </row>
    <row r="773" spans="2:8" hidden="1" outlineLevel="1">
      <c r="B773" s="1199"/>
      <c r="C773" s="1190"/>
      <c r="D773" s="1161" t="s">
        <v>1751</v>
      </c>
      <c r="E773" s="1162"/>
      <c r="F773" s="1163"/>
      <c r="G773" s="454" t="s">
        <v>919</v>
      </c>
      <c r="H773" s="427"/>
    </row>
    <row r="774" spans="2:8" hidden="1" outlineLevel="1">
      <c r="B774" s="1199"/>
      <c r="C774" s="1190"/>
      <c r="D774" s="1161" t="s">
        <v>1752</v>
      </c>
      <c r="E774" s="1162"/>
      <c r="F774" s="1163"/>
      <c r="G774" s="454" t="s">
        <v>921</v>
      </c>
      <c r="H774" s="427"/>
    </row>
    <row r="775" spans="2:8" hidden="1" outlineLevel="1">
      <c r="B775" s="1199"/>
      <c r="C775" s="1190"/>
      <c r="D775" s="1161" t="s">
        <v>1753</v>
      </c>
      <c r="E775" s="1162"/>
      <c r="F775" s="1163"/>
      <c r="G775" s="454" t="s">
        <v>923</v>
      </c>
      <c r="H775" s="427"/>
    </row>
    <row r="776" spans="2:8" hidden="1" outlineLevel="1">
      <c r="B776" s="1199"/>
      <c r="C776" s="1190"/>
      <c r="D776" s="1161" t="s">
        <v>1754</v>
      </c>
      <c r="E776" s="1162"/>
      <c r="F776" s="1163"/>
      <c r="G776" s="454" t="s">
        <v>925</v>
      </c>
      <c r="H776" s="427"/>
    </row>
    <row r="777" spans="2:8" hidden="1" outlineLevel="1">
      <c r="B777" s="1199"/>
      <c r="C777" s="1190"/>
      <c r="D777" s="1161" t="s">
        <v>1755</v>
      </c>
      <c r="E777" s="1162"/>
      <c r="F777" s="1163"/>
      <c r="G777" s="454" t="s">
        <v>927</v>
      </c>
      <c r="H777" s="427"/>
    </row>
    <row r="778" spans="2:8" hidden="1" outlineLevel="1">
      <c r="B778" s="1199"/>
      <c r="C778" s="1190"/>
      <c r="D778" s="1161" t="s">
        <v>1756</v>
      </c>
      <c r="E778" s="1162"/>
      <c r="F778" s="1163"/>
      <c r="G778" s="454" t="s">
        <v>929</v>
      </c>
      <c r="H778" s="427"/>
    </row>
    <row r="779" spans="2:8" hidden="1" outlineLevel="1">
      <c r="B779" s="1199"/>
      <c r="C779" s="1190"/>
      <c r="D779" s="1161" t="s">
        <v>1757</v>
      </c>
      <c r="E779" s="1162"/>
      <c r="F779" s="1163"/>
      <c r="G779" s="454" t="s">
        <v>937</v>
      </c>
      <c r="H779" s="427"/>
    </row>
    <row r="780" spans="2:8" hidden="1" outlineLevel="1">
      <c r="B780" s="1200"/>
      <c r="C780" s="1191"/>
      <c r="D780" s="1161" t="s">
        <v>1758</v>
      </c>
      <c r="E780" s="1162"/>
      <c r="F780" s="1163"/>
      <c r="G780" s="454" t="s">
        <v>939</v>
      </c>
      <c r="H780" s="427"/>
    </row>
    <row r="781" spans="2:8" hidden="1" outlineLevel="1">
      <c r="B781" s="1186" t="s">
        <v>1759</v>
      </c>
      <c r="C781" s="1187"/>
      <c r="D781" s="1187"/>
      <c r="E781" s="1187"/>
      <c r="F781" s="1188"/>
      <c r="G781" s="452" t="s">
        <v>1760</v>
      </c>
      <c r="H781" s="453">
        <f>+H759+H765</f>
        <v>5171936.3600000003</v>
      </c>
    </row>
    <row r="782" spans="2:8" hidden="1" outlineLevel="1">
      <c r="B782" s="1186" t="s">
        <v>1761</v>
      </c>
      <c r="C782" s="1187"/>
      <c r="D782" s="1187"/>
      <c r="E782" s="1187"/>
      <c r="F782" s="1188"/>
      <c r="G782" s="452" t="s">
        <v>1762</v>
      </c>
      <c r="H782" s="453">
        <f>+H781*0.1</f>
        <v>517193.63600000006</v>
      </c>
    </row>
    <row r="783" spans="2:8" hidden="1" outlineLevel="1">
      <c r="B783" s="1195" t="s">
        <v>1763</v>
      </c>
      <c r="C783" s="1196"/>
      <c r="D783" s="1196"/>
      <c r="E783" s="1196"/>
      <c r="F783" s="1197"/>
      <c r="G783" s="452" t="s">
        <v>1764</v>
      </c>
      <c r="H783" s="427"/>
    </row>
    <row r="784" spans="2:8" hidden="1" outlineLevel="1">
      <c r="B784" s="1195" t="s">
        <v>1765</v>
      </c>
      <c r="C784" s="1196"/>
      <c r="D784" s="1196"/>
      <c r="E784" s="1196"/>
      <c r="F784" s="1197"/>
      <c r="G784" s="452" t="s">
        <v>1766</v>
      </c>
      <c r="H784" s="427"/>
    </row>
    <row r="785" spans="2:8" hidden="1" outlineLevel="1">
      <c r="B785" s="1186" t="s">
        <v>1767</v>
      </c>
      <c r="C785" s="1187"/>
      <c r="D785" s="1187"/>
      <c r="E785" s="1187"/>
      <c r="F785" s="1188"/>
      <c r="G785" s="452" t="s">
        <v>1768</v>
      </c>
      <c r="H785" s="453">
        <f>+H783+H784</f>
        <v>0</v>
      </c>
    </row>
    <row r="786" spans="2:8" hidden="1" outlineLevel="1">
      <c r="B786" s="1186" t="s">
        <v>1761</v>
      </c>
      <c r="C786" s="1187"/>
      <c r="D786" s="1187"/>
      <c r="E786" s="1187"/>
      <c r="F786" s="1188"/>
      <c r="G786" s="452" t="s">
        <v>1769</v>
      </c>
      <c r="H786" s="453">
        <f>+H785*0%</f>
        <v>0</v>
      </c>
    </row>
    <row r="787" spans="2:8" hidden="1" outlineLevel="1">
      <c r="B787" s="1186" t="s">
        <v>1770</v>
      </c>
      <c r="C787" s="1187"/>
      <c r="D787" s="1187"/>
      <c r="E787" s="1187"/>
      <c r="F787" s="1188"/>
      <c r="G787" s="452" t="s">
        <v>1771</v>
      </c>
      <c r="H787" s="453">
        <f>+H782+H786</f>
        <v>517193.63600000006</v>
      </c>
    </row>
    <row r="788" spans="2:8" hidden="1" outlineLevel="1"/>
    <row r="789" spans="2:8" ht="20.25" hidden="1" customHeight="1" outlineLevel="1">
      <c r="B789" s="1167" t="s">
        <v>1772</v>
      </c>
      <c r="C789" s="1167"/>
      <c r="D789" s="1167"/>
      <c r="E789" s="1167"/>
      <c r="F789" s="1167"/>
      <c r="G789" s="1167"/>
      <c r="H789" s="1167"/>
    </row>
    <row r="790" spans="2:8" hidden="1" outlineLevel="1">
      <c r="B790" s="1186" t="s">
        <v>1773</v>
      </c>
      <c r="C790" s="1187"/>
      <c r="D790" s="1187"/>
      <c r="E790" s="1187"/>
      <c r="F790" s="1188"/>
      <c r="G790" s="452" t="s">
        <v>1774</v>
      </c>
      <c r="H790" s="427"/>
    </row>
    <row r="791" spans="2:8" hidden="1" outlineLevel="1">
      <c r="B791" s="1192" t="s">
        <v>1775</v>
      </c>
      <c r="C791" s="1193"/>
      <c r="D791" s="1193"/>
      <c r="E791" s="1193"/>
      <c r="F791" s="1194"/>
      <c r="G791" s="452" t="s">
        <v>1776</v>
      </c>
      <c r="H791" s="427">
        <f>+H792+H793+H794+H795</f>
        <v>12119885.700000001</v>
      </c>
    </row>
    <row r="792" spans="2:8" hidden="1" outlineLevel="1">
      <c r="B792" s="1189" t="s">
        <v>1737</v>
      </c>
      <c r="C792" s="1161" t="s">
        <v>1777</v>
      </c>
      <c r="D792" s="1162"/>
      <c r="E792" s="1162"/>
      <c r="F792" s="1163"/>
      <c r="G792" s="452" t="s">
        <v>1778</v>
      </c>
      <c r="H792" s="427"/>
    </row>
    <row r="793" spans="2:8" hidden="1" outlineLevel="1">
      <c r="B793" s="1190"/>
      <c r="C793" s="1161" t="s">
        <v>1779</v>
      </c>
      <c r="D793" s="1162"/>
      <c r="E793" s="1162"/>
      <c r="F793" s="1163"/>
      <c r="G793" s="452" t="s">
        <v>1780</v>
      </c>
      <c r="H793" s="427">
        <f>+M10*10</f>
        <v>12119885.700000001</v>
      </c>
    </row>
    <row r="794" spans="2:8" hidden="1" outlineLevel="1">
      <c r="B794" s="1190"/>
      <c r="C794" s="1161" t="s">
        <v>1781</v>
      </c>
      <c r="D794" s="1162"/>
      <c r="E794" s="1162"/>
      <c r="F794" s="1163"/>
      <c r="G794" s="452" t="s">
        <v>1782</v>
      </c>
      <c r="H794" s="427"/>
    </row>
    <row r="795" spans="2:8" hidden="1" outlineLevel="1">
      <c r="B795" s="1191"/>
      <c r="C795" s="1161" t="s">
        <v>1783</v>
      </c>
      <c r="D795" s="1162"/>
      <c r="E795" s="1162"/>
      <c r="F795" s="1163"/>
      <c r="G795" s="452" t="s">
        <v>1784</v>
      </c>
      <c r="H795" s="427"/>
    </row>
    <row r="796" spans="2:8" hidden="1" outlineLevel="1">
      <c r="B796" s="1186" t="s">
        <v>1785</v>
      </c>
      <c r="C796" s="1187"/>
      <c r="D796" s="1187"/>
      <c r="E796" s="1187"/>
      <c r="F796" s="1188"/>
      <c r="G796" s="452" t="s">
        <v>1786</v>
      </c>
      <c r="H796" s="453">
        <f>+H791*0.1</f>
        <v>1211988.57</v>
      </c>
    </row>
    <row r="797" spans="2:8" hidden="1" outlineLevel="1">
      <c r="B797" s="1186" t="s">
        <v>1787</v>
      </c>
      <c r="C797" s="1187"/>
      <c r="D797" s="1187"/>
      <c r="E797" s="1187"/>
      <c r="F797" s="1188"/>
      <c r="G797" s="452" t="s">
        <v>1788</v>
      </c>
      <c r="H797" s="453">
        <f>+H798+H799+H800+H801+H802+H803</f>
        <v>0</v>
      </c>
    </row>
    <row r="798" spans="2:8" hidden="1" outlineLevel="1">
      <c r="B798" s="1189" t="s">
        <v>1737</v>
      </c>
      <c r="C798" s="1161" t="s">
        <v>1789</v>
      </c>
      <c r="D798" s="1162"/>
      <c r="E798" s="1162"/>
      <c r="F798" s="1163"/>
      <c r="G798" s="452" t="s">
        <v>1790</v>
      </c>
      <c r="H798" s="427"/>
    </row>
    <row r="799" spans="2:8" hidden="1" outlineLevel="1">
      <c r="B799" s="1190"/>
      <c r="C799" s="1161" t="s">
        <v>1791</v>
      </c>
      <c r="D799" s="1162"/>
      <c r="E799" s="1162"/>
      <c r="F799" s="1163"/>
      <c r="G799" s="452" t="s">
        <v>1792</v>
      </c>
      <c r="H799" s="427"/>
    </row>
    <row r="800" spans="2:8" hidden="1" outlineLevel="1">
      <c r="B800" s="1190"/>
      <c r="C800" s="1161" t="s">
        <v>1793</v>
      </c>
      <c r="D800" s="1162"/>
      <c r="E800" s="1162"/>
      <c r="F800" s="1163"/>
      <c r="G800" s="452" t="s">
        <v>1794</v>
      </c>
      <c r="H800" s="427"/>
    </row>
    <row r="801" spans="2:8" hidden="1" outlineLevel="1">
      <c r="B801" s="1190"/>
      <c r="C801" s="1161" t="s">
        <v>1795</v>
      </c>
      <c r="D801" s="1162"/>
      <c r="E801" s="1162"/>
      <c r="F801" s="1163"/>
      <c r="G801" s="452" t="s">
        <v>1796</v>
      </c>
      <c r="H801" s="427"/>
    </row>
    <row r="802" spans="2:8" hidden="1" outlineLevel="1">
      <c r="B802" s="1190"/>
      <c r="C802" s="1161" t="s">
        <v>1797</v>
      </c>
      <c r="D802" s="1162"/>
      <c r="E802" s="1162"/>
      <c r="F802" s="1163"/>
      <c r="G802" s="452" t="s">
        <v>1798</v>
      </c>
      <c r="H802" s="427"/>
    </row>
    <row r="803" spans="2:8" hidden="1" outlineLevel="1">
      <c r="B803" s="1191"/>
      <c r="C803" s="1161" t="s">
        <v>1799</v>
      </c>
      <c r="D803" s="1162"/>
      <c r="E803" s="1162"/>
      <c r="F803" s="1163"/>
      <c r="G803" s="452" t="s">
        <v>1800</v>
      </c>
      <c r="H803" s="427"/>
    </row>
    <row r="804" spans="2:8" hidden="1" outlineLevel="1">
      <c r="B804" s="1186" t="s">
        <v>1801</v>
      </c>
      <c r="C804" s="1187"/>
      <c r="D804" s="1187"/>
      <c r="E804" s="1187"/>
      <c r="F804" s="1188"/>
      <c r="G804" s="452" t="s">
        <v>1802</v>
      </c>
      <c r="H804" s="453">
        <f>+H796-H797</f>
        <v>1211988.57</v>
      </c>
    </row>
    <row r="805" spans="2:8" hidden="1" outlineLevel="1"/>
    <row r="806" spans="2:8" ht="24.75" hidden="1" customHeight="1" outlineLevel="1">
      <c r="B806" s="1167" t="s">
        <v>1803</v>
      </c>
      <c r="C806" s="1167"/>
      <c r="D806" s="1167"/>
      <c r="E806" s="1167"/>
      <c r="F806" s="1167"/>
      <c r="G806" s="1167"/>
      <c r="H806" s="1167"/>
    </row>
    <row r="807" spans="2:8" hidden="1" outlineLevel="1">
      <c r="B807" s="1161" t="s">
        <v>1804</v>
      </c>
      <c r="C807" s="1162"/>
      <c r="D807" s="1162"/>
      <c r="E807" s="1162"/>
      <c r="F807" s="1163"/>
      <c r="G807" s="452" t="s">
        <v>1805</v>
      </c>
      <c r="H807" s="427"/>
    </row>
    <row r="808" spans="2:8" hidden="1" outlineLevel="1">
      <c r="B808" s="1161" t="s">
        <v>1806</v>
      </c>
      <c r="C808" s="1162"/>
      <c r="D808" s="1162"/>
      <c r="E808" s="1162"/>
      <c r="F808" s="1163"/>
      <c r="G808" s="452" t="s">
        <v>1807</v>
      </c>
      <c r="H808" s="427"/>
    </row>
    <row r="809" spans="2:8" hidden="1" outlineLevel="1">
      <c r="B809" s="1164" t="s">
        <v>1808</v>
      </c>
      <c r="C809" s="1165"/>
      <c r="D809" s="1165"/>
      <c r="E809" s="1165"/>
      <c r="F809" s="1166"/>
      <c r="G809" s="452" t="s">
        <v>1809</v>
      </c>
      <c r="H809" s="427">
        <f>+(H807+H808)*0.1</f>
        <v>0</v>
      </c>
    </row>
    <row r="810" spans="2:8" hidden="1" outlineLevel="1">
      <c r="B810" s="1161" t="s">
        <v>1810</v>
      </c>
      <c r="C810" s="1162"/>
      <c r="D810" s="1162"/>
      <c r="E810" s="1162"/>
      <c r="F810" s="1163"/>
      <c r="G810" s="452" t="s">
        <v>1811</v>
      </c>
      <c r="H810" s="427"/>
    </row>
    <row r="811" spans="2:8" hidden="1" outlineLevel="1">
      <c r="B811" s="1161" t="s">
        <v>1812</v>
      </c>
      <c r="C811" s="1162"/>
      <c r="D811" s="1162"/>
      <c r="E811" s="1162"/>
      <c r="F811" s="1163"/>
      <c r="G811" s="452" t="s">
        <v>1813</v>
      </c>
      <c r="H811" s="427"/>
    </row>
    <row r="812" spans="2:8" hidden="1" outlineLevel="1">
      <c r="B812" s="1164" t="s">
        <v>1814</v>
      </c>
      <c r="C812" s="1165"/>
      <c r="D812" s="1165"/>
      <c r="E812" s="1165"/>
      <c r="F812" s="1166"/>
      <c r="G812" s="452" t="s">
        <v>1815</v>
      </c>
      <c r="H812" s="427">
        <f>+(H810+H811)*0.1</f>
        <v>0</v>
      </c>
    </row>
    <row r="813" spans="2:8" hidden="1" outlineLevel="1"/>
    <row r="814" spans="2:8" hidden="1" outlineLevel="1">
      <c r="B814" s="1167" t="s">
        <v>1816</v>
      </c>
      <c r="C814" s="1167"/>
      <c r="D814" s="1167"/>
      <c r="E814" s="1167"/>
      <c r="F814" s="1167"/>
      <c r="G814" s="1167"/>
      <c r="H814" s="1167"/>
    </row>
    <row r="815" spans="2:8" hidden="1" outlineLevel="1">
      <c r="B815" s="1164" t="s">
        <v>1817</v>
      </c>
      <c r="C815" s="1165"/>
      <c r="D815" s="1165"/>
      <c r="E815" s="1165"/>
      <c r="F815" s="1166"/>
      <c r="G815" s="452" t="s">
        <v>1818</v>
      </c>
      <c r="H815" s="427">
        <f>+H787+H809</f>
        <v>517193.63600000006</v>
      </c>
    </row>
    <row r="816" spans="2:8" hidden="1" outlineLevel="1">
      <c r="B816" s="1164" t="s">
        <v>1819</v>
      </c>
      <c r="C816" s="1165"/>
      <c r="D816" s="1165"/>
      <c r="E816" s="1165"/>
      <c r="F816" s="1166"/>
      <c r="G816" s="452" t="s">
        <v>1820</v>
      </c>
      <c r="H816" s="427">
        <f>+H804+H812</f>
        <v>1211988.57</v>
      </c>
    </row>
    <row r="817" spans="2:8" hidden="1" outlineLevel="1"/>
    <row r="818" spans="2:8" hidden="1" outlineLevel="1">
      <c r="B818" s="1167" t="s">
        <v>1821</v>
      </c>
      <c r="C818" s="1167"/>
      <c r="D818" s="1167"/>
      <c r="E818" s="1167"/>
      <c r="F818" s="1167"/>
      <c r="G818" s="1167"/>
      <c r="H818" s="1167"/>
    </row>
    <row r="819" spans="2:8" hidden="1" outlineLevel="1">
      <c r="B819" s="1161" t="s">
        <v>1822</v>
      </c>
      <c r="C819" s="1162"/>
      <c r="D819" s="1162"/>
      <c r="E819" s="1162"/>
      <c r="F819" s="1163"/>
      <c r="G819" s="452" t="s">
        <v>1823</v>
      </c>
      <c r="H819" s="427"/>
    </row>
    <row r="820" spans="2:8" hidden="1" outlineLevel="1">
      <c r="B820" s="1164" t="s">
        <v>1824</v>
      </c>
      <c r="C820" s="1165"/>
      <c r="D820" s="1165"/>
      <c r="E820" s="1165"/>
      <c r="F820" s="1166"/>
      <c r="G820" s="452" t="s">
        <v>1825</v>
      </c>
      <c r="H820" s="427">
        <f>+H819*0.1</f>
        <v>0</v>
      </c>
    </row>
    <row r="821" spans="2:8" hidden="1" outlineLevel="1">
      <c r="B821" s="1161" t="s">
        <v>1826</v>
      </c>
      <c r="C821" s="1162"/>
      <c r="D821" s="1162"/>
      <c r="E821" s="1162"/>
      <c r="F821" s="1163"/>
      <c r="G821" s="452" t="s">
        <v>1827</v>
      </c>
      <c r="H821" s="427"/>
    </row>
    <row r="822" spans="2:8" hidden="1" outlineLevel="1">
      <c r="B822" s="1164" t="s">
        <v>1814</v>
      </c>
      <c r="C822" s="1165"/>
      <c r="D822" s="1165"/>
      <c r="E822" s="1165"/>
      <c r="F822" s="1166"/>
      <c r="G822" s="452" t="s">
        <v>1828</v>
      </c>
      <c r="H822" s="427">
        <f>+H821*0.1</f>
        <v>0</v>
      </c>
    </row>
    <row r="823" spans="2:8" hidden="1" outlineLevel="1"/>
    <row r="824" spans="2:8" hidden="1" outlineLevel="1">
      <c r="B824" s="1167" t="s">
        <v>1829</v>
      </c>
      <c r="C824" s="1167"/>
      <c r="D824" s="1167"/>
      <c r="E824" s="1167"/>
      <c r="F824" s="1167"/>
      <c r="G824" s="1167"/>
      <c r="H824" s="1167"/>
    </row>
    <row r="825" spans="2:8" hidden="1" outlineLevel="1">
      <c r="B825" s="1168" t="s">
        <v>1303</v>
      </c>
      <c r="C825" s="1168"/>
      <c r="D825" s="1169" t="s">
        <v>1830</v>
      </c>
      <c r="E825" s="1170"/>
      <c r="F825" s="1171"/>
      <c r="G825" s="452" t="s">
        <v>1831</v>
      </c>
      <c r="H825" s="427">
        <f>+H815-H820</f>
        <v>517193.63600000006</v>
      </c>
    </row>
    <row r="826" spans="2:8" hidden="1" outlineLevel="1">
      <c r="B826" s="1168"/>
      <c r="C826" s="1168"/>
      <c r="D826" s="1169" t="s">
        <v>1832</v>
      </c>
      <c r="E826" s="1170"/>
      <c r="F826" s="1171"/>
      <c r="G826" s="452" t="s">
        <v>1833</v>
      </c>
      <c r="H826" s="427">
        <f>+H816-H822</f>
        <v>1211988.57</v>
      </c>
    </row>
    <row r="827" spans="2:8" hidden="1" outlineLevel="1">
      <c r="B827" s="1168"/>
      <c r="C827" s="1168"/>
      <c r="D827" s="1169" t="s">
        <v>1834</v>
      </c>
      <c r="E827" s="1170"/>
      <c r="F827" s="1171"/>
      <c r="G827" s="452" t="s">
        <v>1835</v>
      </c>
      <c r="H827" s="427">
        <f>+H825-H826</f>
        <v>-694794.93400000001</v>
      </c>
    </row>
    <row r="828" spans="2:8" hidden="1" outlineLevel="1">
      <c r="B828" s="1168"/>
      <c r="C828" s="1168"/>
      <c r="D828" s="1169" t="s">
        <v>1836</v>
      </c>
      <c r="E828" s="1170"/>
      <c r="F828" s="1171"/>
      <c r="G828" s="452" t="s">
        <v>1837</v>
      </c>
      <c r="H828" s="427"/>
    </row>
    <row r="829" spans="2:8" hidden="1" outlineLevel="1"/>
    <row r="830" spans="2:8" hidden="1" outlineLevel="1">
      <c r="B830" s="1176" t="s">
        <v>1838</v>
      </c>
      <c r="C830" s="1176"/>
      <c r="D830" s="1176"/>
      <c r="E830" s="1176"/>
      <c r="F830" s="1176"/>
      <c r="G830" s="455" t="s">
        <v>1839</v>
      </c>
      <c r="H830" s="456" t="s">
        <v>1840</v>
      </c>
    </row>
    <row r="831" spans="2:8" hidden="1" outlineLevel="1">
      <c r="B831" s="1172" t="s">
        <v>1841</v>
      </c>
      <c r="C831" s="1172"/>
      <c r="D831" s="1172"/>
      <c r="E831" s="457" t="s">
        <v>1072</v>
      </c>
      <c r="F831" s="458">
        <v>1</v>
      </c>
      <c r="G831" s="459">
        <f>+O9</f>
        <v>0</v>
      </c>
      <c r="H831" s="460"/>
    </row>
    <row r="832" spans="2:8" hidden="1" outlineLevel="1">
      <c r="B832" s="1172"/>
      <c r="C832" s="1172"/>
      <c r="D832" s="1172"/>
      <c r="E832" s="457" t="s">
        <v>1073</v>
      </c>
      <c r="F832" s="458">
        <f>+F831+1</f>
        <v>2</v>
      </c>
      <c r="G832" s="461"/>
      <c r="H832" s="462">
        <f>+P9</f>
        <v>61836807.300909087</v>
      </c>
    </row>
    <row r="833" spans="2:11" hidden="1" outlineLevel="1">
      <c r="B833" s="1172" t="s">
        <v>1842</v>
      </c>
      <c r="C833" s="1172"/>
      <c r="D833" s="1172"/>
      <c r="E833" s="457" t="s">
        <v>1072</v>
      </c>
      <c r="F833" s="458">
        <f t="shared" ref="F833:F846" si="8">+F832+1</f>
        <v>3</v>
      </c>
      <c r="G833" s="459"/>
      <c r="H833" s="460"/>
    </row>
    <row r="834" spans="2:11" hidden="1" outlineLevel="1">
      <c r="B834" s="1172"/>
      <c r="C834" s="1172"/>
      <c r="D834" s="1172"/>
      <c r="E834" s="457" t="s">
        <v>1073</v>
      </c>
      <c r="F834" s="458">
        <f t="shared" si="8"/>
        <v>4</v>
      </c>
      <c r="G834" s="461"/>
      <c r="H834" s="462">
        <f>+H827</f>
        <v>-694794.93400000001</v>
      </c>
    </row>
    <row r="835" spans="2:11" hidden="1" outlineLevel="1">
      <c r="B835" s="1173" t="s">
        <v>1078</v>
      </c>
      <c r="C835" s="1174"/>
      <c r="D835" s="1174"/>
      <c r="E835" s="1175"/>
      <c r="F835" s="458">
        <f t="shared" si="8"/>
        <v>5</v>
      </c>
      <c r="G835" s="459">
        <f>+L10</f>
        <v>0</v>
      </c>
      <c r="H835" s="460"/>
    </row>
    <row r="836" spans="2:11" hidden="1" outlineLevel="1">
      <c r="B836" s="1177" t="s">
        <v>1843</v>
      </c>
      <c r="C836" s="1178"/>
      <c r="D836" s="1178"/>
      <c r="E836" s="1179"/>
      <c r="F836" s="458">
        <f t="shared" si="8"/>
        <v>6</v>
      </c>
      <c r="G836" s="464"/>
      <c r="H836" s="460"/>
    </row>
    <row r="837" spans="2:11" hidden="1" outlineLevel="1">
      <c r="B837" s="1177" t="s">
        <v>1843</v>
      </c>
      <c r="C837" s="1178"/>
      <c r="D837" s="1178"/>
      <c r="E837" s="1179"/>
      <c r="F837" s="458">
        <f t="shared" si="8"/>
        <v>7</v>
      </c>
      <c r="G837" s="461"/>
      <c r="H837" s="463"/>
    </row>
    <row r="838" spans="2:11" hidden="1" outlineLevel="1">
      <c r="B838" s="1172" t="s">
        <v>1844</v>
      </c>
      <c r="C838" s="1172"/>
      <c r="D838" s="1172"/>
      <c r="E838" s="457" t="s">
        <v>1072</v>
      </c>
      <c r="F838" s="458">
        <f t="shared" si="8"/>
        <v>8</v>
      </c>
      <c r="G838" s="464"/>
      <c r="H838" s="460"/>
    </row>
    <row r="839" spans="2:11" hidden="1" outlineLevel="1">
      <c r="B839" s="1172"/>
      <c r="C839" s="1172"/>
      <c r="D839" s="1172"/>
      <c r="E839" s="457" t="s">
        <v>1073</v>
      </c>
      <c r="F839" s="458">
        <f t="shared" si="8"/>
        <v>9</v>
      </c>
      <c r="G839" s="461"/>
      <c r="H839" s="463"/>
    </row>
    <row r="840" spans="2:11" hidden="1" outlineLevel="1">
      <c r="B840" s="1172" t="s">
        <v>1845</v>
      </c>
      <c r="C840" s="1172"/>
      <c r="D840" s="1172"/>
      <c r="E840" s="457" t="s">
        <v>1072</v>
      </c>
      <c r="F840" s="458">
        <f t="shared" si="8"/>
        <v>10</v>
      </c>
      <c r="G840" s="464"/>
      <c r="H840" s="460"/>
    </row>
    <row r="841" spans="2:11" hidden="1" outlineLevel="1">
      <c r="B841" s="1172"/>
      <c r="C841" s="1172"/>
      <c r="D841" s="1172"/>
      <c r="E841" s="457" t="s">
        <v>1073</v>
      </c>
      <c r="F841" s="458">
        <f t="shared" si="8"/>
        <v>11</v>
      </c>
      <c r="G841" s="461"/>
      <c r="H841" s="463"/>
    </row>
    <row r="842" spans="2:11" hidden="1" outlineLevel="1">
      <c r="B842" s="1173" t="s">
        <v>1846</v>
      </c>
      <c r="C842" s="1174"/>
      <c r="D842" s="1174"/>
      <c r="E842" s="1175"/>
      <c r="F842" s="458">
        <f t="shared" si="8"/>
        <v>12</v>
      </c>
      <c r="G842" s="464"/>
      <c r="H842" s="460"/>
    </row>
    <row r="843" spans="2:11" hidden="1" outlineLevel="1">
      <c r="B843" s="1172" t="s">
        <v>1847</v>
      </c>
      <c r="C843" s="1172"/>
      <c r="D843" s="1172"/>
      <c r="E843" s="457" t="s">
        <v>1072</v>
      </c>
      <c r="F843" s="458">
        <f t="shared" si="8"/>
        <v>13</v>
      </c>
      <c r="G843" s="464"/>
      <c r="H843" s="460"/>
    </row>
    <row r="844" spans="2:11" hidden="1" outlineLevel="1">
      <c r="B844" s="1172"/>
      <c r="C844" s="1172"/>
      <c r="D844" s="1172"/>
      <c r="E844" s="457" t="s">
        <v>1073</v>
      </c>
      <c r="F844" s="458">
        <f t="shared" si="8"/>
        <v>14</v>
      </c>
      <c r="G844" s="461"/>
      <c r="H844" s="463"/>
    </row>
    <row r="845" spans="2:11" hidden="1" outlineLevel="1">
      <c r="B845" s="1172" t="s">
        <v>1848</v>
      </c>
      <c r="C845" s="1172"/>
      <c r="D845" s="1172"/>
      <c r="E845" s="457" t="s">
        <v>1072</v>
      </c>
      <c r="F845" s="458">
        <f t="shared" si="8"/>
        <v>15</v>
      </c>
      <c r="G845" s="459">
        <f>IF((G831+G833+G835-H832-H834)&gt;0,(G831+G833+G835-H832-H834),0)</f>
        <v>0</v>
      </c>
      <c r="H845" s="460"/>
    </row>
    <row r="846" spans="2:11" hidden="1" outlineLevel="1">
      <c r="B846" s="1172"/>
      <c r="C846" s="1172"/>
      <c r="D846" s="1172"/>
      <c r="E846" s="457" t="s">
        <v>1073</v>
      </c>
      <c r="F846" s="458">
        <f t="shared" si="8"/>
        <v>16</v>
      </c>
      <c r="G846" s="465"/>
      <c r="H846" s="510">
        <f>+IF((H832+H834-G831-G833-G835)&gt;0,(H832+H834-G831-G833-G835),0)</f>
        <v>61142012.366909087</v>
      </c>
      <c r="J846" s="79">
        <f>+P10</f>
        <v>61142012.370909087</v>
      </c>
      <c r="K846" s="79">
        <f>+J846-H846</f>
        <v>4.0000006556510925E-3</v>
      </c>
    </row>
    <row r="847" spans="2:11" hidden="1" outlineLevel="1"/>
    <row r="848" spans="2:11" hidden="1" outlineLevel="1"/>
    <row r="849" spans="1:8" hidden="1" outlineLevel="1">
      <c r="B849" s="332" t="s">
        <v>1849</v>
      </c>
      <c r="E849" s="332" t="s">
        <v>1083</v>
      </c>
    </row>
    <row r="850" spans="1:8" hidden="1" outlineLevel="1">
      <c r="B850" s="332"/>
    </row>
    <row r="851" spans="1:8" hidden="1" outlineLevel="1">
      <c r="B851" s="332" t="str">
        <f>+CONCATENATE('[6]company '!B757," . . . . . . . . . . . . . . . . . .  ... . . . .. . . . ",'[6]company '!C757)</f>
        <v xml:space="preserve"> . . . . . . . . . . . . . . . . . .  ... . . . .. . . . </v>
      </c>
      <c r="E851" s="332" t="s">
        <v>1850</v>
      </c>
    </row>
    <row r="852" spans="1:8" hidden="1" outlineLevel="1">
      <c r="B852" s="332"/>
    </row>
    <row r="853" spans="1:8" hidden="1" outlineLevel="1">
      <c r="B853" s="332" t="str">
        <f>+CONCATENATE('[6]company '!B760,". . . . . . . . . . . . . . . . . . . . ",'[6]company '!C760)</f>
        <v xml:space="preserve">. . . . . . . . . . . . . . . . . . . . </v>
      </c>
    </row>
    <row r="854" spans="1:8" collapsed="1">
      <c r="A854" s="238" t="s">
        <v>2296</v>
      </c>
    </row>
    <row r="855" spans="1:8" hidden="1" outlineLevel="1">
      <c r="B855" s="437"/>
      <c r="C855" s="437"/>
      <c r="D855" s="437"/>
      <c r="E855" s="477"/>
      <c r="F855" s="1180" t="s">
        <v>1706</v>
      </c>
      <c r="G855" s="1180"/>
      <c r="H855" s="1180"/>
    </row>
    <row r="856" spans="1:8" hidden="1" outlineLevel="1">
      <c r="D856" s="437"/>
      <c r="E856" s="1181" t="s">
        <v>1710</v>
      </c>
      <c r="F856" s="1181"/>
      <c r="G856" s="1181"/>
      <c r="H856" s="1181"/>
    </row>
    <row r="857" spans="1:8" ht="18.75" hidden="1" outlineLevel="1">
      <c r="G857" s="444" t="s">
        <v>1716</v>
      </c>
      <c r="H857" s="445" t="s">
        <v>1717</v>
      </c>
    </row>
    <row r="858" spans="1:8" ht="21" hidden="1" outlineLevel="1" thickBot="1">
      <c r="B858" s="1182" t="s">
        <v>1718</v>
      </c>
      <c r="C858" s="1182"/>
      <c r="D858" s="1182"/>
      <c r="E858" s="1182"/>
      <c r="F858" s="1182"/>
      <c r="G858" s="1182"/>
      <c r="H858" s="1182"/>
    </row>
    <row r="859" spans="1:8" ht="13.5" hidden="1" outlineLevel="1" thickTop="1"/>
    <row r="860" spans="1:8" hidden="1" outlineLevel="1">
      <c r="B860" s="1183" t="s">
        <v>1719</v>
      </c>
      <c r="C860" s="1184"/>
      <c r="D860" s="1184"/>
      <c r="E860" s="1184"/>
      <c r="F860" s="1184"/>
      <c r="G860" s="1184"/>
      <c r="H860" s="1185"/>
    </row>
    <row r="861" spans="1:8" hidden="1" outlineLevel="1">
      <c r="B861" s="1155" t="s">
        <v>1971</v>
      </c>
      <c r="C861" s="1156"/>
      <c r="D861" s="1157"/>
      <c r="E861" s="1158" t="s">
        <v>1972</v>
      </c>
      <c r="F861" s="1159"/>
      <c r="G861" s="1159"/>
      <c r="H861" s="1160"/>
    </row>
    <row r="862" spans="1:8" hidden="1" outlineLevel="1"/>
    <row r="863" spans="1:8" hidden="1" outlineLevel="1">
      <c r="B863" s="1183" t="s">
        <v>1973</v>
      </c>
      <c r="C863" s="1184"/>
      <c r="D863" s="1185"/>
      <c r="E863" s="1202" t="s">
        <v>1974</v>
      </c>
      <c r="F863" s="1203"/>
      <c r="G863" s="1203"/>
      <c r="H863" s="1205"/>
    </row>
    <row r="864" spans="1:8" hidden="1" outlineLevel="1">
      <c r="B864" s="1183" t="s">
        <v>1975</v>
      </c>
      <c r="C864" s="1184"/>
      <c r="D864" s="1185"/>
      <c r="E864" s="1202" t="s">
        <v>1976</v>
      </c>
      <c r="F864" s="1203"/>
      <c r="G864" s="1203"/>
      <c r="H864" s="1205"/>
    </row>
    <row r="865" spans="2:8" hidden="1" outlineLevel="1">
      <c r="B865" s="1183" t="s">
        <v>1977</v>
      </c>
      <c r="C865" s="1184"/>
      <c r="D865" s="1185"/>
      <c r="E865" s="1202" t="s">
        <v>1266</v>
      </c>
      <c r="F865" s="1203"/>
      <c r="G865" s="1203"/>
      <c r="H865" s="1205"/>
    </row>
    <row r="866" spans="2:8" hidden="1" outlineLevel="1">
      <c r="B866" s="1206" t="s">
        <v>1978</v>
      </c>
      <c r="C866" s="1207"/>
      <c r="D866" s="1208"/>
      <c r="E866" s="1209" t="s">
        <v>1268</v>
      </c>
      <c r="F866" s="1210"/>
      <c r="G866" s="1210"/>
      <c r="H866" s="1211"/>
    </row>
    <row r="867" spans="2:8" hidden="1" outlineLevel="1">
      <c r="B867" s="1212" t="s">
        <v>1269</v>
      </c>
      <c r="C867" s="1212"/>
      <c r="D867" s="1212"/>
      <c r="E867" s="1213"/>
      <c r="F867" s="1213"/>
      <c r="G867" s="1213"/>
      <c r="H867" s="1213"/>
    </row>
    <row r="868" spans="2:8" hidden="1" outlineLevel="1">
      <c r="B868" s="1214"/>
      <c r="C868" s="1214"/>
      <c r="D868" s="1214"/>
      <c r="E868" s="1215"/>
      <c r="F868" s="1215"/>
      <c r="G868" s="1215"/>
      <c r="H868" s="1215"/>
    </row>
    <row r="869" spans="2:8" hidden="1" outlineLevel="1">
      <c r="B869" s="1183" t="s">
        <v>1720</v>
      </c>
      <c r="C869" s="1184"/>
      <c r="D869" s="1184"/>
      <c r="E869" s="1184"/>
      <c r="F869" s="1184"/>
      <c r="G869" s="1184"/>
      <c r="H869" s="1185"/>
    </row>
    <row r="870" spans="2:8" hidden="1" outlineLevel="1">
      <c r="B870" s="1198"/>
      <c r="C870" s="1183" t="s">
        <v>1721</v>
      </c>
      <c r="D870" s="1185"/>
      <c r="E870" s="1202" t="s">
        <v>1722</v>
      </c>
      <c r="F870" s="1203"/>
      <c r="G870" s="1205"/>
      <c r="H870" s="448"/>
    </row>
    <row r="871" spans="2:8" hidden="1" outlineLevel="1">
      <c r="B871" s="1199"/>
      <c r="C871" s="1183" t="str">
        <f>+CONCATENATE('[6]company '!B877,"-""08 сар")</f>
        <v>-"08 сар</v>
      </c>
      <c r="D871" s="1185"/>
      <c r="E871" s="1195" t="s">
        <v>46</v>
      </c>
      <c r="F871" s="1196"/>
      <c r="G871" s="1197"/>
      <c r="H871" s="427" t="s">
        <v>1966</v>
      </c>
    </row>
    <row r="872" spans="2:8" hidden="1" outlineLevel="1">
      <c r="B872" s="1200"/>
      <c r="C872" s="1195" t="s">
        <v>1724</v>
      </c>
      <c r="D872" s="1197"/>
      <c r="E872" s="1195" t="s">
        <v>1725</v>
      </c>
      <c r="F872" s="1196"/>
      <c r="G872" s="1197"/>
      <c r="H872" s="427"/>
    </row>
    <row r="873" spans="2:8" hidden="1" outlineLevel="1">
      <c r="B873" s="478"/>
      <c r="C873" s="478"/>
      <c r="D873" s="478"/>
      <c r="E873" s="478"/>
      <c r="F873" s="478"/>
      <c r="G873" s="449"/>
      <c r="H873" s="450"/>
    </row>
    <row r="874" spans="2:8" hidden="1" outlineLevel="1">
      <c r="B874" s="1216" t="s">
        <v>1726</v>
      </c>
      <c r="C874" s="1216"/>
      <c r="D874" s="1216"/>
      <c r="E874" s="451"/>
      <c r="F874" s="478" t="s">
        <v>1727</v>
      </c>
      <c r="G874" s="449"/>
      <c r="H874" s="450" t="s">
        <v>1728</v>
      </c>
    </row>
    <row r="875" spans="2:8" hidden="1" outlineLevel="1">
      <c r="B875" s="478"/>
      <c r="C875" s="478"/>
      <c r="D875" s="478"/>
      <c r="E875" s="478"/>
      <c r="F875" s="478"/>
      <c r="G875" s="449"/>
      <c r="H875" s="450"/>
    </row>
    <row r="876" spans="2:8" hidden="1" outlineLevel="1">
      <c r="B876" s="478"/>
      <c r="C876" s="478"/>
      <c r="D876" s="478"/>
      <c r="E876" s="478"/>
      <c r="F876" s="478"/>
      <c r="G876" s="449"/>
      <c r="H876" s="450"/>
    </row>
    <row r="877" spans="2:8" ht="24.75" hidden="1" customHeight="1" outlineLevel="1">
      <c r="B877" s="1167" t="s">
        <v>1729</v>
      </c>
      <c r="C877" s="1167"/>
      <c r="D877" s="1167"/>
      <c r="E877" s="1167"/>
      <c r="F877" s="1167"/>
      <c r="G877" s="1167"/>
      <c r="H877" s="1167"/>
    </row>
    <row r="878" spans="2:8" hidden="1" outlineLevel="1">
      <c r="B878" s="1186" t="s">
        <v>1730</v>
      </c>
      <c r="C878" s="1187"/>
      <c r="D878" s="1187"/>
      <c r="E878" s="1187"/>
      <c r="F878" s="1188"/>
      <c r="G878" s="452" t="s">
        <v>1731</v>
      </c>
      <c r="H878" s="453">
        <f>+H879+H880</f>
        <v>19568499.989999998</v>
      </c>
    </row>
    <row r="879" spans="2:8" hidden="1" outlineLevel="1">
      <c r="B879" s="1192" t="s">
        <v>1732</v>
      </c>
      <c r="C879" s="1193"/>
      <c r="D879" s="1193"/>
      <c r="E879" s="1193"/>
      <c r="F879" s="1194"/>
      <c r="G879" s="452" t="s">
        <v>99</v>
      </c>
      <c r="H879" s="427"/>
    </row>
    <row r="880" spans="2:8" hidden="1" outlineLevel="1">
      <c r="B880" s="1192" t="s">
        <v>1733</v>
      </c>
      <c r="C880" s="1193"/>
      <c r="D880" s="1193"/>
      <c r="E880" s="1193"/>
      <c r="F880" s="1194"/>
      <c r="G880" s="452" t="s">
        <v>1734</v>
      </c>
      <c r="H880" s="427">
        <f>+H881+H887+H907</f>
        <v>19568499.989999998</v>
      </c>
    </row>
    <row r="881" spans="2:8" hidden="1" outlineLevel="1">
      <c r="B881" s="1198"/>
      <c r="C881" s="1186" t="s">
        <v>1735</v>
      </c>
      <c r="D881" s="1187"/>
      <c r="E881" s="1187"/>
      <c r="F881" s="1188"/>
      <c r="G881" s="452" t="s">
        <v>1736</v>
      </c>
      <c r="H881" s="453">
        <f>+H882+H883+H884+H885+H886</f>
        <v>19568499.989999998</v>
      </c>
    </row>
    <row r="882" spans="2:8" hidden="1" outlineLevel="1">
      <c r="B882" s="1199"/>
      <c r="C882" s="1189" t="s">
        <v>1737</v>
      </c>
      <c r="D882" s="1195" t="s">
        <v>1738</v>
      </c>
      <c r="E882" s="1196"/>
      <c r="F882" s="1197"/>
      <c r="G882" s="452" t="s">
        <v>173</v>
      </c>
      <c r="H882" s="427">
        <f>+SUMIFS(JURNAL!H:H,JURNAL!E:E,510000,JURNAL!C:C,"&gt;="&amp;J11,JURNAL!C:C,"&lt;="&amp;K11)+SUMIFS(JURNAL!H:H,JURNAL!E:E,510100,JURNAL!C:C,"&gt;="&amp;J11,JURNAL!C:C,"&lt;="&amp;K11)</f>
        <v>19568499.989999998</v>
      </c>
    </row>
    <row r="883" spans="2:8" hidden="1" outlineLevel="1">
      <c r="B883" s="1199"/>
      <c r="C883" s="1190"/>
      <c r="D883" s="1161" t="s">
        <v>1739</v>
      </c>
      <c r="E883" s="1162"/>
      <c r="F883" s="1163"/>
      <c r="G883" s="454" t="s">
        <v>174</v>
      </c>
      <c r="H883" s="427"/>
    </row>
    <row r="884" spans="2:8" hidden="1" outlineLevel="1">
      <c r="B884" s="1199"/>
      <c r="C884" s="1190"/>
      <c r="D884" s="1161" t="s">
        <v>831</v>
      </c>
      <c r="E884" s="1162"/>
      <c r="F884" s="1163"/>
      <c r="G884" s="454" t="s">
        <v>897</v>
      </c>
      <c r="H884" s="427"/>
    </row>
    <row r="885" spans="2:8" hidden="1" outlineLevel="1">
      <c r="B885" s="1199"/>
      <c r="C885" s="1190"/>
      <c r="D885" s="1161" t="s">
        <v>1740</v>
      </c>
      <c r="E885" s="1162"/>
      <c r="F885" s="1163"/>
      <c r="G885" s="454" t="s">
        <v>899</v>
      </c>
      <c r="H885" s="427"/>
    </row>
    <row r="886" spans="2:8" hidden="1" outlineLevel="1">
      <c r="B886" s="1199"/>
      <c r="C886" s="1191"/>
      <c r="D886" s="1161" t="s">
        <v>1741</v>
      </c>
      <c r="E886" s="1162"/>
      <c r="F886" s="1163"/>
      <c r="G886" s="454" t="s">
        <v>901</v>
      </c>
      <c r="H886" s="427"/>
    </row>
    <row r="887" spans="2:8" hidden="1" outlineLevel="1">
      <c r="B887" s="1199"/>
      <c r="C887" s="1186" t="s">
        <v>1742</v>
      </c>
      <c r="D887" s="1187"/>
      <c r="E887" s="1187"/>
      <c r="F887" s="1188"/>
      <c r="G887" s="452" t="s">
        <v>1743</v>
      </c>
      <c r="H887" s="453">
        <f>+H888+H889+H890+H891+H892+H893+H894+H895+H896+H897+H898+H899+H900+H901+H902</f>
        <v>0</v>
      </c>
    </row>
    <row r="888" spans="2:8" hidden="1" outlineLevel="1">
      <c r="B888" s="1199"/>
      <c r="C888" s="1189" t="s">
        <v>1737</v>
      </c>
      <c r="D888" s="1161" t="s">
        <v>1744</v>
      </c>
      <c r="E888" s="1162"/>
      <c r="F888" s="1163"/>
      <c r="G888" s="454" t="s">
        <v>905</v>
      </c>
      <c r="H888" s="427"/>
    </row>
    <row r="889" spans="2:8" hidden="1" outlineLevel="1">
      <c r="B889" s="1199"/>
      <c r="C889" s="1190"/>
      <c r="D889" s="1161" t="s">
        <v>1745</v>
      </c>
      <c r="E889" s="1162"/>
      <c r="F889" s="1163"/>
      <c r="G889" s="454" t="s">
        <v>907</v>
      </c>
      <c r="H889" s="427"/>
    </row>
    <row r="890" spans="2:8" hidden="1" outlineLevel="1">
      <c r="B890" s="1199"/>
      <c r="C890" s="1190"/>
      <c r="D890" s="1161" t="s">
        <v>1746</v>
      </c>
      <c r="E890" s="1162"/>
      <c r="F890" s="1163"/>
      <c r="G890" s="454" t="s">
        <v>909</v>
      </c>
      <c r="H890" s="427"/>
    </row>
    <row r="891" spans="2:8" hidden="1" outlineLevel="1">
      <c r="B891" s="1199"/>
      <c r="C891" s="1190"/>
      <c r="D891" s="1161" t="s">
        <v>1747</v>
      </c>
      <c r="E891" s="1162"/>
      <c r="F891" s="1163"/>
      <c r="G891" s="454" t="s">
        <v>911</v>
      </c>
      <c r="H891" s="427"/>
    </row>
    <row r="892" spans="2:8" hidden="1" outlineLevel="1">
      <c r="B892" s="1199"/>
      <c r="C892" s="1190"/>
      <c r="D892" s="1161" t="s">
        <v>1748</v>
      </c>
      <c r="E892" s="1162"/>
      <c r="F892" s="1163"/>
      <c r="G892" s="454" t="s">
        <v>913</v>
      </c>
      <c r="H892" s="427"/>
    </row>
    <row r="893" spans="2:8" hidden="1" outlineLevel="1">
      <c r="B893" s="1199"/>
      <c r="C893" s="1190"/>
      <c r="D893" s="1161" t="s">
        <v>1749</v>
      </c>
      <c r="E893" s="1162"/>
      <c r="F893" s="1163"/>
      <c r="G893" s="454" t="s">
        <v>915</v>
      </c>
      <c r="H893" s="427"/>
    </row>
    <row r="894" spans="2:8" hidden="1" outlineLevel="1">
      <c r="B894" s="1199"/>
      <c r="C894" s="1190"/>
      <c r="D894" s="1161" t="s">
        <v>1750</v>
      </c>
      <c r="E894" s="1162"/>
      <c r="F894" s="1163"/>
      <c r="G894" s="454" t="s">
        <v>917</v>
      </c>
      <c r="H894" s="427"/>
    </row>
    <row r="895" spans="2:8" hidden="1" outlineLevel="1">
      <c r="B895" s="1199"/>
      <c r="C895" s="1190"/>
      <c r="D895" s="1161" t="s">
        <v>1751</v>
      </c>
      <c r="E895" s="1162"/>
      <c r="F895" s="1163"/>
      <c r="G895" s="454" t="s">
        <v>919</v>
      </c>
      <c r="H895" s="427"/>
    </row>
    <row r="896" spans="2:8" hidden="1" outlineLevel="1">
      <c r="B896" s="1199"/>
      <c r="C896" s="1190"/>
      <c r="D896" s="1161" t="s">
        <v>1752</v>
      </c>
      <c r="E896" s="1162"/>
      <c r="F896" s="1163"/>
      <c r="G896" s="454" t="s">
        <v>921</v>
      </c>
      <c r="H896" s="427"/>
    </row>
    <row r="897" spans="2:8" hidden="1" outlineLevel="1">
      <c r="B897" s="1199"/>
      <c r="C897" s="1190"/>
      <c r="D897" s="1161" t="s">
        <v>1753</v>
      </c>
      <c r="E897" s="1162"/>
      <c r="F897" s="1163"/>
      <c r="G897" s="454" t="s">
        <v>923</v>
      </c>
      <c r="H897" s="427"/>
    </row>
    <row r="898" spans="2:8" hidden="1" outlineLevel="1">
      <c r="B898" s="1199"/>
      <c r="C898" s="1190"/>
      <c r="D898" s="1161" t="s">
        <v>1754</v>
      </c>
      <c r="E898" s="1162"/>
      <c r="F898" s="1163"/>
      <c r="G898" s="454" t="s">
        <v>925</v>
      </c>
      <c r="H898" s="427"/>
    </row>
    <row r="899" spans="2:8" hidden="1" outlineLevel="1">
      <c r="B899" s="1199"/>
      <c r="C899" s="1190"/>
      <c r="D899" s="1161" t="s">
        <v>1755</v>
      </c>
      <c r="E899" s="1162"/>
      <c r="F899" s="1163"/>
      <c r="G899" s="454" t="s">
        <v>927</v>
      </c>
      <c r="H899" s="427"/>
    </row>
    <row r="900" spans="2:8" hidden="1" outlineLevel="1">
      <c r="B900" s="1199"/>
      <c r="C900" s="1190"/>
      <c r="D900" s="1161" t="s">
        <v>1756</v>
      </c>
      <c r="E900" s="1162"/>
      <c r="F900" s="1163"/>
      <c r="G900" s="454" t="s">
        <v>929</v>
      </c>
      <c r="H900" s="427"/>
    </row>
    <row r="901" spans="2:8" hidden="1" outlineLevel="1">
      <c r="B901" s="1199"/>
      <c r="C901" s="1190"/>
      <c r="D901" s="1161" t="s">
        <v>1757</v>
      </c>
      <c r="E901" s="1162"/>
      <c r="F901" s="1163"/>
      <c r="G901" s="454" t="s">
        <v>937</v>
      </c>
      <c r="H901" s="427"/>
    </row>
    <row r="902" spans="2:8" hidden="1" outlineLevel="1">
      <c r="B902" s="1200"/>
      <c r="C902" s="1191"/>
      <c r="D902" s="1161" t="s">
        <v>1758</v>
      </c>
      <c r="E902" s="1162"/>
      <c r="F902" s="1163"/>
      <c r="G902" s="454" t="s">
        <v>939</v>
      </c>
      <c r="H902" s="427"/>
    </row>
    <row r="903" spans="2:8" hidden="1" outlineLevel="1">
      <c r="B903" s="1186" t="s">
        <v>1759</v>
      </c>
      <c r="C903" s="1187"/>
      <c r="D903" s="1187"/>
      <c r="E903" s="1187"/>
      <c r="F903" s="1188"/>
      <c r="G903" s="452" t="s">
        <v>1760</v>
      </c>
      <c r="H903" s="453">
        <f>+H881+H887</f>
        <v>19568499.989999998</v>
      </c>
    </row>
    <row r="904" spans="2:8" hidden="1" outlineLevel="1">
      <c r="B904" s="1186" t="s">
        <v>1761</v>
      </c>
      <c r="C904" s="1187"/>
      <c r="D904" s="1187"/>
      <c r="E904" s="1187"/>
      <c r="F904" s="1188"/>
      <c r="G904" s="452" t="s">
        <v>1762</v>
      </c>
      <c r="H904" s="453">
        <f>+H903*0.1</f>
        <v>1956849.9989999998</v>
      </c>
    </row>
    <row r="905" spans="2:8" hidden="1" outlineLevel="1">
      <c r="B905" s="1195" t="s">
        <v>1763</v>
      </c>
      <c r="C905" s="1196"/>
      <c r="D905" s="1196"/>
      <c r="E905" s="1196"/>
      <c r="F905" s="1197"/>
      <c r="G905" s="452" t="s">
        <v>1764</v>
      </c>
      <c r="H905" s="427"/>
    </row>
    <row r="906" spans="2:8" hidden="1" outlineLevel="1">
      <c r="B906" s="1195" t="s">
        <v>1765</v>
      </c>
      <c r="C906" s="1196"/>
      <c r="D906" s="1196"/>
      <c r="E906" s="1196"/>
      <c r="F906" s="1197"/>
      <c r="G906" s="452" t="s">
        <v>1766</v>
      </c>
      <c r="H906" s="427"/>
    </row>
    <row r="907" spans="2:8" hidden="1" outlineLevel="1">
      <c r="B907" s="1186" t="s">
        <v>1767</v>
      </c>
      <c r="C907" s="1187"/>
      <c r="D907" s="1187"/>
      <c r="E907" s="1187"/>
      <c r="F907" s="1188"/>
      <c r="G907" s="452" t="s">
        <v>1768</v>
      </c>
      <c r="H907" s="453">
        <f>+H905+H906</f>
        <v>0</v>
      </c>
    </row>
    <row r="908" spans="2:8" hidden="1" outlineLevel="1">
      <c r="B908" s="1186" t="s">
        <v>1761</v>
      </c>
      <c r="C908" s="1187"/>
      <c r="D908" s="1187"/>
      <c r="E908" s="1187"/>
      <c r="F908" s="1188"/>
      <c r="G908" s="452" t="s">
        <v>1769</v>
      </c>
      <c r="H908" s="453">
        <f>+H907*0%</f>
        <v>0</v>
      </c>
    </row>
    <row r="909" spans="2:8" hidden="1" outlineLevel="1">
      <c r="B909" s="1186" t="s">
        <v>1770</v>
      </c>
      <c r="C909" s="1187"/>
      <c r="D909" s="1187"/>
      <c r="E909" s="1187"/>
      <c r="F909" s="1188"/>
      <c r="G909" s="452" t="s">
        <v>1771</v>
      </c>
      <c r="H909" s="453">
        <f>+H904+H908</f>
        <v>1956849.9989999998</v>
      </c>
    </row>
    <row r="910" spans="2:8" hidden="1" outlineLevel="1"/>
    <row r="911" spans="2:8" ht="22.5" hidden="1" customHeight="1" outlineLevel="1">
      <c r="B911" s="1167" t="s">
        <v>1772</v>
      </c>
      <c r="C911" s="1167"/>
      <c r="D911" s="1167"/>
      <c r="E911" s="1167"/>
      <c r="F911" s="1167"/>
      <c r="G911" s="1167"/>
      <c r="H911" s="1167"/>
    </row>
    <row r="912" spans="2:8" hidden="1" outlineLevel="1">
      <c r="B912" s="1186" t="s">
        <v>1773</v>
      </c>
      <c r="C912" s="1187"/>
      <c r="D912" s="1187"/>
      <c r="E912" s="1187"/>
      <c r="F912" s="1188"/>
      <c r="G912" s="452" t="s">
        <v>1774</v>
      </c>
      <c r="H912" s="427"/>
    </row>
    <row r="913" spans="2:8" hidden="1" outlineLevel="1">
      <c r="B913" s="1192" t="s">
        <v>1775</v>
      </c>
      <c r="C913" s="1193"/>
      <c r="D913" s="1193"/>
      <c r="E913" s="1193"/>
      <c r="F913" s="1194"/>
      <c r="G913" s="452" t="s">
        <v>1776</v>
      </c>
      <c r="H913" s="427">
        <f>+H914+H915+H916+H917</f>
        <v>5431005.1818181807</v>
      </c>
    </row>
    <row r="914" spans="2:8" hidden="1" outlineLevel="1">
      <c r="B914" s="1189" t="s">
        <v>1737</v>
      </c>
      <c r="C914" s="1161" t="s">
        <v>1777</v>
      </c>
      <c r="D914" s="1162"/>
      <c r="E914" s="1162"/>
      <c r="F914" s="1163"/>
      <c r="G914" s="452" t="s">
        <v>1778</v>
      </c>
      <c r="H914" s="427"/>
    </row>
    <row r="915" spans="2:8" hidden="1" outlineLevel="1">
      <c r="B915" s="1190"/>
      <c r="C915" s="1161" t="s">
        <v>1779</v>
      </c>
      <c r="D915" s="1162"/>
      <c r="E915" s="1162"/>
      <c r="F915" s="1163"/>
      <c r="G915" s="452" t="s">
        <v>1780</v>
      </c>
      <c r="H915" s="427">
        <f>+M11*10</f>
        <v>5431005.1818181807</v>
      </c>
    </row>
    <row r="916" spans="2:8" hidden="1" outlineLevel="1">
      <c r="B916" s="1190"/>
      <c r="C916" s="1161" t="s">
        <v>1781</v>
      </c>
      <c r="D916" s="1162"/>
      <c r="E916" s="1162"/>
      <c r="F916" s="1163"/>
      <c r="G916" s="452" t="s">
        <v>1782</v>
      </c>
      <c r="H916" s="427"/>
    </row>
    <row r="917" spans="2:8" hidden="1" outlineLevel="1">
      <c r="B917" s="1191"/>
      <c r="C917" s="1161" t="s">
        <v>1783</v>
      </c>
      <c r="D917" s="1162"/>
      <c r="E917" s="1162"/>
      <c r="F917" s="1163"/>
      <c r="G917" s="452" t="s">
        <v>1784</v>
      </c>
      <c r="H917" s="427"/>
    </row>
    <row r="918" spans="2:8" hidden="1" outlineLevel="1">
      <c r="B918" s="1186" t="s">
        <v>1785</v>
      </c>
      <c r="C918" s="1187"/>
      <c r="D918" s="1187"/>
      <c r="E918" s="1187"/>
      <c r="F918" s="1188"/>
      <c r="G918" s="452" t="s">
        <v>1786</v>
      </c>
      <c r="H918" s="453">
        <f>+H913*0.1</f>
        <v>543100.51818181807</v>
      </c>
    </row>
    <row r="919" spans="2:8" hidden="1" outlineLevel="1">
      <c r="B919" s="1186" t="s">
        <v>1787</v>
      </c>
      <c r="C919" s="1187"/>
      <c r="D919" s="1187"/>
      <c r="E919" s="1187"/>
      <c r="F919" s="1188"/>
      <c r="G919" s="452" t="s">
        <v>1788</v>
      </c>
      <c r="H919" s="453">
        <f>+H920+H921+H922+H923+H924+H925</f>
        <v>0</v>
      </c>
    </row>
    <row r="920" spans="2:8" hidden="1" outlineLevel="1">
      <c r="B920" s="1189" t="s">
        <v>1737</v>
      </c>
      <c r="C920" s="1161" t="s">
        <v>1789</v>
      </c>
      <c r="D920" s="1162"/>
      <c r="E920" s="1162"/>
      <c r="F920" s="1163"/>
      <c r="G920" s="452" t="s">
        <v>1790</v>
      </c>
      <c r="H920" s="427"/>
    </row>
    <row r="921" spans="2:8" hidden="1" outlineLevel="1">
      <c r="B921" s="1190"/>
      <c r="C921" s="1161" t="s">
        <v>1791</v>
      </c>
      <c r="D921" s="1162"/>
      <c r="E921" s="1162"/>
      <c r="F921" s="1163"/>
      <c r="G921" s="452" t="s">
        <v>1792</v>
      </c>
      <c r="H921" s="427"/>
    </row>
    <row r="922" spans="2:8" hidden="1" outlineLevel="1">
      <c r="B922" s="1190"/>
      <c r="C922" s="1161" t="s">
        <v>1793</v>
      </c>
      <c r="D922" s="1162"/>
      <c r="E922" s="1162"/>
      <c r="F922" s="1163"/>
      <c r="G922" s="452" t="s">
        <v>1794</v>
      </c>
      <c r="H922" s="427"/>
    </row>
    <row r="923" spans="2:8" hidden="1" outlineLevel="1">
      <c r="B923" s="1190"/>
      <c r="C923" s="1161" t="s">
        <v>1795</v>
      </c>
      <c r="D923" s="1162"/>
      <c r="E923" s="1162"/>
      <c r="F923" s="1163"/>
      <c r="G923" s="452" t="s">
        <v>1796</v>
      </c>
      <c r="H923" s="427"/>
    </row>
    <row r="924" spans="2:8" hidden="1" outlineLevel="1">
      <c r="B924" s="1190"/>
      <c r="C924" s="1161" t="s">
        <v>1797</v>
      </c>
      <c r="D924" s="1162"/>
      <c r="E924" s="1162"/>
      <c r="F924" s="1163"/>
      <c r="G924" s="452" t="s">
        <v>1798</v>
      </c>
      <c r="H924" s="427"/>
    </row>
    <row r="925" spans="2:8" hidden="1" outlineLevel="1">
      <c r="B925" s="1191"/>
      <c r="C925" s="1161" t="s">
        <v>1799</v>
      </c>
      <c r="D925" s="1162"/>
      <c r="E925" s="1162"/>
      <c r="F925" s="1163"/>
      <c r="G925" s="452" t="s">
        <v>1800</v>
      </c>
      <c r="H925" s="427"/>
    </row>
    <row r="926" spans="2:8" hidden="1" outlineLevel="1">
      <c r="B926" s="1186" t="s">
        <v>1801</v>
      </c>
      <c r="C926" s="1187"/>
      <c r="D926" s="1187"/>
      <c r="E926" s="1187"/>
      <c r="F926" s="1188"/>
      <c r="G926" s="452" t="s">
        <v>1802</v>
      </c>
      <c r="H926" s="453">
        <f>+H918-H919</f>
        <v>543100.51818181807</v>
      </c>
    </row>
    <row r="927" spans="2:8" hidden="1" outlineLevel="1"/>
    <row r="928" spans="2:8" ht="24" hidden="1" customHeight="1" outlineLevel="1">
      <c r="B928" s="1167" t="s">
        <v>1803</v>
      </c>
      <c r="C928" s="1167"/>
      <c r="D928" s="1167"/>
      <c r="E928" s="1167"/>
      <c r="F928" s="1167"/>
      <c r="G928" s="1167"/>
      <c r="H928" s="1167"/>
    </row>
    <row r="929" spans="2:8" hidden="1" outlineLevel="1">
      <c r="B929" s="1161" t="s">
        <v>1804</v>
      </c>
      <c r="C929" s="1162"/>
      <c r="D929" s="1162"/>
      <c r="E929" s="1162"/>
      <c r="F929" s="1163"/>
      <c r="G929" s="452" t="s">
        <v>1805</v>
      </c>
      <c r="H929" s="427"/>
    </row>
    <row r="930" spans="2:8" hidden="1" outlineLevel="1">
      <c r="B930" s="1161" t="s">
        <v>1806</v>
      </c>
      <c r="C930" s="1162"/>
      <c r="D930" s="1162"/>
      <c r="E930" s="1162"/>
      <c r="F930" s="1163"/>
      <c r="G930" s="452" t="s">
        <v>1807</v>
      </c>
      <c r="H930" s="427"/>
    </row>
    <row r="931" spans="2:8" hidden="1" outlineLevel="1">
      <c r="B931" s="1164" t="s">
        <v>1808</v>
      </c>
      <c r="C931" s="1165"/>
      <c r="D931" s="1165"/>
      <c r="E931" s="1165"/>
      <c r="F931" s="1166"/>
      <c r="G931" s="452" t="s">
        <v>1809</v>
      </c>
      <c r="H931" s="427">
        <f>+(H929+H930)*0.1</f>
        <v>0</v>
      </c>
    </row>
    <row r="932" spans="2:8" hidden="1" outlineLevel="1">
      <c r="B932" s="1161" t="s">
        <v>1810</v>
      </c>
      <c r="C932" s="1162"/>
      <c r="D932" s="1162"/>
      <c r="E932" s="1162"/>
      <c r="F932" s="1163"/>
      <c r="G932" s="452" t="s">
        <v>1811</v>
      </c>
      <c r="H932" s="427"/>
    </row>
    <row r="933" spans="2:8" hidden="1" outlineLevel="1">
      <c r="B933" s="1161" t="s">
        <v>1812</v>
      </c>
      <c r="C933" s="1162"/>
      <c r="D933" s="1162"/>
      <c r="E933" s="1162"/>
      <c r="F933" s="1163"/>
      <c r="G933" s="452" t="s">
        <v>1813</v>
      </c>
      <c r="H933" s="427"/>
    </row>
    <row r="934" spans="2:8" hidden="1" outlineLevel="1">
      <c r="B934" s="1164" t="s">
        <v>1814</v>
      </c>
      <c r="C934" s="1165"/>
      <c r="D934" s="1165"/>
      <c r="E934" s="1165"/>
      <c r="F934" s="1166"/>
      <c r="G934" s="452" t="s">
        <v>1815</v>
      </c>
      <c r="H934" s="427">
        <f>+(H932+H933)*0.1</f>
        <v>0</v>
      </c>
    </row>
    <row r="935" spans="2:8" hidden="1" outlineLevel="1"/>
    <row r="936" spans="2:8" hidden="1" outlineLevel="1">
      <c r="B936" s="1167" t="s">
        <v>1816</v>
      </c>
      <c r="C936" s="1167"/>
      <c r="D936" s="1167"/>
      <c r="E936" s="1167"/>
      <c r="F936" s="1167"/>
      <c r="G936" s="1167"/>
      <c r="H936" s="1167"/>
    </row>
    <row r="937" spans="2:8" hidden="1" outlineLevel="1">
      <c r="B937" s="1164" t="s">
        <v>1817</v>
      </c>
      <c r="C937" s="1165"/>
      <c r="D937" s="1165"/>
      <c r="E937" s="1165"/>
      <c r="F937" s="1166"/>
      <c r="G937" s="452" t="s">
        <v>1818</v>
      </c>
      <c r="H937" s="427">
        <f>+H909+H931</f>
        <v>1956849.9989999998</v>
      </c>
    </row>
    <row r="938" spans="2:8" hidden="1" outlineLevel="1">
      <c r="B938" s="1164" t="s">
        <v>1819</v>
      </c>
      <c r="C938" s="1165"/>
      <c r="D938" s="1165"/>
      <c r="E938" s="1165"/>
      <c r="F938" s="1166"/>
      <c r="G938" s="452" t="s">
        <v>1820</v>
      </c>
      <c r="H938" s="427">
        <f>+H926+H934</f>
        <v>543100.51818181807</v>
      </c>
    </row>
    <row r="939" spans="2:8" hidden="1" outlineLevel="1"/>
    <row r="940" spans="2:8" hidden="1" outlineLevel="1">
      <c r="B940" s="1167" t="s">
        <v>1821</v>
      </c>
      <c r="C940" s="1167"/>
      <c r="D940" s="1167"/>
      <c r="E940" s="1167"/>
      <c r="F940" s="1167"/>
      <c r="G940" s="1167"/>
      <c r="H940" s="1167"/>
    </row>
    <row r="941" spans="2:8" hidden="1" outlineLevel="1">
      <c r="B941" s="1161" t="s">
        <v>1822</v>
      </c>
      <c r="C941" s="1162"/>
      <c r="D941" s="1162"/>
      <c r="E941" s="1162"/>
      <c r="F941" s="1163"/>
      <c r="G941" s="452" t="s">
        <v>1823</v>
      </c>
      <c r="H941" s="427"/>
    </row>
    <row r="942" spans="2:8" hidden="1" outlineLevel="1">
      <c r="B942" s="1164" t="s">
        <v>1824</v>
      </c>
      <c r="C942" s="1165"/>
      <c r="D942" s="1165"/>
      <c r="E942" s="1165"/>
      <c r="F942" s="1166"/>
      <c r="G942" s="452" t="s">
        <v>1825</v>
      </c>
      <c r="H942" s="427">
        <f>+H941*0.1</f>
        <v>0</v>
      </c>
    </row>
    <row r="943" spans="2:8" hidden="1" outlineLevel="1">
      <c r="B943" s="1161" t="s">
        <v>1826</v>
      </c>
      <c r="C943" s="1162"/>
      <c r="D943" s="1162"/>
      <c r="E943" s="1162"/>
      <c r="F943" s="1163"/>
      <c r="G943" s="452" t="s">
        <v>1827</v>
      </c>
      <c r="H943" s="427"/>
    </row>
    <row r="944" spans="2:8" hidden="1" outlineLevel="1">
      <c r="B944" s="1164" t="s">
        <v>1814</v>
      </c>
      <c r="C944" s="1165"/>
      <c r="D944" s="1165"/>
      <c r="E944" s="1165"/>
      <c r="F944" s="1166"/>
      <c r="G944" s="452" t="s">
        <v>1828</v>
      </c>
      <c r="H944" s="427">
        <f>+H943*0.1</f>
        <v>0</v>
      </c>
    </row>
    <row r="945" spans="2:8" hidden="1" outlineLevel="1"/>
    <row r="946" spans="2:8" hidden="1" outlineLevel="1">
      <c r="B946" s="1167" t="s">
        <v>1829</v>
      </c>
      <c r="C946" s="1167"/>
      <c r="D946" s="1167"/>
      <c r="E946" s="1167"/>
      <c r="F946" s="1167"/>
      <c r="G946" s="1167"/>
      <c r="H946" s="1167"/>
    </row>
    <row r="947" spans="2:8" hidden="1" outlineLevel="1">
      <c r="B947" s="1168" t="s">
        <v>1303</v>
      </c>
      <c r="C947" s="1168"/>
      <c r="D947" s="1169" t="s">
        <v>1830</v>
      </c>
      <c r="E947" s="1170"/>
      <c r="F947" s="1171"/>
      <c r="G947" s="452" t="s">
        <v>1831</v>
      </c>
      <c r="H947" s="427">
        <f>+H937-H942</f>
        <v>1956849.9989999998</v>
      </c>
    </row>
    <row r="948" spans="2:8" hidden="1" outlineLevel="1">
      <c r="B948" s="1168"/>
      <c r="C948" s="1168"/>
      <c r="D948" s="1169" t="s">
        <v>1832</v>
      </c>
      <c r="E948" s="1170"/>
      <c r="F948" s="1171"/>
      <c r="G948" s="452" t="s">
        <v>1833</v>
      </c>
      <c r="H948" s="427">
        <f>+H938-H944</f>
        <v>543100.51818181807</v>
      </c>
    </row>
    <row r="949" spans="2:8" hidden="1" outlineLevel="1">
      <c r="B949" s="1168"/>
      <c r="C949" s="1168"/>
      <c r="D949" s="1169" t="s">
        <v>1834</v>
      </c>
      <c r="E949" s="1170"/>
      <c r="F949" s="1171"/>
      <c r="G949" s="452" t="s">
        <v>1835</v>
      </c>
      <c r="H949" s="427">
        <f>+H947-H948</f>
        <v>1413749.4808181818</v>
      </c>
    </row>
    <row r="950" spans="2:8" hidden="1" outlineLevel="1">
      <c r="B950" s="1168"/>
      <c r="C950" s="1168"/>
      <c r="D950" s="1169" t="s">
        <v>1836</v>
      </c>
      <c r="E950" s="1170"/>
      <c r="F950" s="1171"/>
      <c r="G950" s="452" t="s">
        <v>1837</v>
      </c>
      <c r="H950" s="427"/>
    </row>
    <row r="951" spans="2:8" hidden="1" outlineLevel="1"/>
    <row r="952" spans="2:8" hidden="1" outlineLevel="1">
      <c r="B952" s="1176" t="s">
        <v>1838</v>
      </c>
      <c r="C952" s="1176"/>
      <c r="D952" s="1176"/>
      <c r="E952" s="1176"/>
      <c r="F952" s="1176"/>
      <c r="G952" s="455" t="s">
        <v>1839</v>
      </c>
      <c r="H952" s="456" t="s">
        <v>1840</v>
      </c>
    </row>
    <row r="953" spans="2:8" hidden="1" outlineLevel="1">
      <c r="B953" s="1172" t="s">
        <v>1841</v>
      </c>
      <c r="C953" s="1172"/>
      <c r="D953" s="1172"/>
      <c r="E953" s="457" t="s">
        <v>1072</v>
      </c>
      <c r="F953" s="458">
        <v>1</v>
      </c>
      <c r="G953" s="459">
        <f>+O10</f>
        <v>0</v>
      </c>
      <c r="H953" s="460"/>
    </row>
    <row r="954" spans="2:8" hidden="1" outlineLevel="1">
      <c r="B954" s="1172"/>
      <c r="C954" s="1172"/>
      <c r="D954" s="1172"/>
      <c r="E954" s="457" t="s">
        <v>1073</v>
      </c>
      <c r="F954" s="458">
        <f>+F953+1</f>
        <v>2</v>
      </c>
      <c r="G954" s="461"/>
      <c r="H954" s="462">
        <f>+P10</f>
        <v>61142012.370909087</v>
      </c>
    </row>
    <row r="955" spans="2:8" hidden="1" outlineLevel="1">
      <c r="B955" s="1172" t="s">
        <v>1842</v>
      </c>
      <c r="C955" s="1172"/>
      <c r="D955" s="1172"/>
      <c r="E955" s="457" t="s">
        <v>1072</v>
      </c>
      <c r="F955" s="458">
        <f t="shared" ref="F955:F968" si="9">+F954+1</f>
        <v>3</v>
      </c>
      <c r="G955" s="459"/>
      <c r="H955" s="460"/>
    </row>
    <row r="956" spans="2:8" hidden="1" outlineLevel="1">
      <c r="B956" s="1172"/>
      <c r="C956" s="1172"/>
      <c r="D956" s="1172"/>
      <c r="E956" s="457" t="s">
        <v>1073</v>
      </c>
      <c r="F956" s="458">
        <f t="shared" si="9"/>
        <v>4</v>
      </c>
      <c r="G956" s="461"/>
      <c r="H956" s="462">
        <f>+H949</f>
        <v>1413749.4808181818</v>
      </c>
    </row>
    <row r="957" spans="2:8" hidden="1" outlineLevel="1">
      <c r="B957" s="1173" t="s">
        <v>1078</v>
      </c>
      <c r="C957" s="1174"/>
      <c r="D957" s="1174"/>
      <c r="E957" s="1175"/>
      <c r="F957" s="458">
        <f t="shared" si="9"/>
        <v>5</v>
      </c>
      <c r="G957" s="459">
        <f>+L11</f>
        <v>0</v>
      </c>
      <c r="H957" s="460"/>
    </row>
    <row r="958" spans="2:8" hidden="1" outlineLevel="1">
      <c r="B958" s="1177" t="s">
        <v>1843</v>
      </c>
      <c r="C958" s="1178"/>
      <c r="D958" s="1178"/>
      <c r="E958" s="1179"/>
      <c r="F958" s="458">
        <f t="shared" si="9"/>
        <v>6</v>
      </c>
      <c r="G958" s="464"/>
      <c r="H958" s="460"/>
    </row>
    <row r="959" spans="2:8" hidden="1" outlineLevel="1">
      <c r="B959" s="1177" t="s">
        <v>1843</v>
      </c>
      <c r="C959" s="1178"/>
      <c r="D959" s="1178"/>
      <c r="E959" s="1179"/>
      <c r="F959" s="458">
        <f t="shared" si="9"/>
        <v>7</v>
      </c>
      <c r="G959" s="461"/>
      <c r="H959" s="463"/>
    </row>
    <row r="960" spans="2:8" hidden="1" outlineLevel="1">
      <c r="B960" s="1172" t="s">
        <v>1844</v>
      </c>
      <c r="C960" s="1172"/>
      <c r="D960" s="1172"/>
      <c r="E960" s="457" t="s">
        <v>1072</v>
      </c>
      <c r="F960" s="458">
        <f t="shared" si="9"/>
        <v>8</v>
      </c>
      <c r="G960" s="464"/>
      <c r="H960" s="460"/>
    </row>
    <row r="961" spans="1:11" hidden="1" outlineLevel="1">
      <c r="B961" s="1172"/>
      <c r="C961" s="1172"/>
      <c r="D961" s="1172"/>
      <c r="E961" s="457" t="s">
        <v>1073</v>
      </c>
      <c r="F961" s="458">
        <f t="shared" si="9"/>
        <v>9</v>
      </c>
      <c r="G961" s="461"/>
      <c r="H961" s="463"/>
    </row>
    <row r="962" spans="1:11" hidden="1" outlineLevel="1">
      <c r="B962" s="1172" t="s">
        <v>1845</v>
      </c>
      <c r="C962" s="1172"/>
      <c r="D962" s="1172"/>
      <c r="E962" s="457" t="s">
        <v>1072</v>
      </c>
      <c r="F962" s="458">
        <f t="shared" si="9"/>
        <v>10</v>
      </c>
      <c r="G962" s="464"/>
      <c r="H962" s="460"/>
    </row>
    <row r="963" spans="1:11" hidden="1" outlineLevel="1">
      <c r="B963" s="1172"/>
      <c r="C963" s="1172"/>
      <c r="D963" s="1172"/>
      <c r="E963" s="457" t="s">
        <v>1073</v>
      </c>
      <c r="F963" s="458">
        <f t="shared" si="9"/>
        <v>11</v>
      </c>
      <c r="G963" s="461"/>
      <c r="H963" s="463"/>
    </row>
    <row r="964" spans="1:11" hidden="1" outlineLevel="1">
      <c r="B964" s="1173" t="s">
        <v>1846</v>
      </c>
      <c r="C964" s="1174"/>
      <c r="D964" s="1174"/>
      <c r="E964" s="1175"/>
      <c r="F964" s="458">
        <f t="shared" si="9"/>
        <v>12</v>
      </c>
      <c r="G964" s="464"/>
      <c r="H964" s="460"/>
    </row>
    <row r="965" spans="1:11" hidden="1" outlineLevel="1">
      <c r="B965" s="1172" t="s">
        <v>1847</v>
      </c>
      <c r="C965" s="1172"/>
      <c r="D965" s="1172"/>
      <c r="E965" s="457" t="s">
        <v>1072</v>
      </c>
      <c r="F965" s="458">
        <f t="shared" si="9"/>
        <v>13</v>
      </c>
      <c r="G965" s="464"/>
      <c r="H965" s="460"/>
    </row>
    <row r="966" spans="1:11" hidden="1" outlineLevel="1">
      <c r="B966" s="1172"/>
      <c r="C966" s="1172"/>
      <c r="D966" s="1172"/>
      <c r="E966" s="457" t="s">
        <v>1073</v>
      </c>
      <c r="F966" s="458">
        <f t="shared" si="9"/>
        <v>14</v>
      </c>
      <c r="G966" s="461"/>
      <c r="H966" s="463"/>
    </row>
    <row r="967" spans="1:11" hidden="1" outlineLevel="1">
      <c r="B967" s="1172" t="s">
        <v>1848</v>
      </c>
      <c r="C967" s="1172"/>
      <c r="D967" s="1172"/>
      <c r="E967" s="457" t="s">
        <v>1072</v>
      </c>
      <c r="F967" s="458">
        <f t="shared" si="9"/>
        <v>15</v>
      </c>
      <c r="G967" s="459">
        <f>IF((G953+G955+G957-H954-H956)&gt;0,(G953+G955+G957-H954-H956),0)</f>
        <v>0</v>
      </c>
      <c r="H967" s="460"/>
    </row>
    <row r="968" spans="1:11" hidden="1" outlineLevel="1">
      <c r="B968" s="1172"/>
      <c r="C968" s="1172"/>
      <c r="D968" s="1172"/>
      <c r="E968" s="457" t="s">
        <v>1073</v>
      </c>
      <c r="F968" s="458">
        <f t="shared" si="9"/>
        <v>16</v>
      </c>
      <c r="G968" s="465"/>
      <c r="H968" s="510">
        <f>+IF((H954+H956-G953-G955-G957)&gt;0,(H954+H956-G953-G955-G957),0)</f>
        <v>62555761.85172727</v>
      </c>
      <c r="J968" s="79">
        <f>+P11</f>
        <v>62555761.86272727</v>
      </c>
      <c r="K968" s="79">
        <f>+J968-H968</f>
        <v>1.0999999940395355E-2</v>
      </c>
    </row>
    <row r="969" spans="1:11" hidden="1" outlineLevel="1"/>
    <row r="970" spans="1:11" hidden="1" outlineLevel="1"/>
    <row r="971" spans="1:11" hidden="1" outlineLevel="1">
      <c r="B971" s="332" t="s">
        <v>1849</v>
      </c>
      <c r="E971" s="332" t="s">
        <v>1083</v>
      </c>
    </row>
    <row r="972" spans="1:11" hidden="1" outlineLevel="1">
      <c r="B972" s="332"/>
    </row>
    <row r="973" spans="1:11" hidden="1" outlineLevel="1">
      <c r="B973" s="332" t="str">
        <f>+CONCATENATE('[6]company '!B879," . . . . . . . . . . . . . . . . . .  ... . . . .. . . . ",'[6]company '!C879)</f>
        <v xml:space="preserve"> . . . . . . . . . . . . . . . . . .  ... . . . .. . . . </v>
      </c>
      <c r="E973" s="332" t="s">
        <v>1850</v>
      </c>
    </row>
    <row r="974" spans="1:11" hidden="1" outlineLevel="1">
      <c r="B974" s="332"/>
    </row>
    <row r="975" spans="1:11" hidden="1" outlineLevel="1">
      <c r="B975" s="332" t="str">
        <f>+CONCATENATE('[6]company '!B882,". . . . . . . . . . . . . . . . . . . . ",'[6]company '!C882)</f>
        <v xml:space="preserve">. . . . . . . . . . . . . . . . . . . . </v>
      </c>
    </row>
    <row r="976" spans="1:11" collapsed="1">
      <c r="A976" s="238" t="s">
        <v>2297</v>
      </c>
    </row>
    <row r="977" spans="2:8" hidden="1" outlineLevel="1">
      <c r="B977" s="437"/>
      <c r="C977" s="437"/>
      <c r="D977" s="437"/>
      <c r="E977" s="477"/>
      <c r="F977" s="1180" t="s">
        <v>1706</v>
      </c>
      <c r="G977" s="1180"/>
      <c r="H977" s="1180"/>
    </row>
    <row r="978" spans="2:8" hidden="1" outlineLevel="1">
      <c r="D978" s="437"/>
      <c r="E978" s="1181" t="s">
        <v>1710</v>
      </c>
      <c r="F978" s="1181"/>
      <c r="G978" s="1181"/>
      <c r="H978" s="1181"/>
    </row>
    <row r="979" spans="2:8" ht="18.75" hidden="1" outlineLevel="1">
      <c r="G979" s="444" t="s">
        <v>1716</v>
      </c>
      <c r="H979" s="445" t="s">
        <v>1717</v>
      </c>
    </row>
    <row r="980" spans="2:8" ht="21" hidden="1" outlineLevel="1" thickBot="1">
      <c r="B980" s="1182" t="s">
        <v>1718</v>
      </c>
      <c r="C980" s="1182"/>
      <c r="D980" s="1182"/>
      <c r="E980" s="1182"/>
      <c r="F980" s="1182"/>
      <c r="G980" s="1182"/>
      <c r="H980" s="1182"/>
    </row>
    <row r="981" spans="2:8" ht="13.5" hidden="1" outlineLevel="1" thickTop="1"/>
    <row r="982" spans="2:8" hidden="1" outlineLevel="1">
      <c r="B982" s="1183" t="s">
        <v>1719</v>
      </c>
      <c r="C982" s="1184"/>
      <c r="D982" s="1184"/>
      <c r="E982" s="1184"/>
      <c r="F982" s="1184"/>
      <c r="G982" s="1184"/>
      <c r="H982" s="1185"/>
    </row>
    <row r="983" spans="2:8" hidden="1" outlineLevel="1">
      <c r="B983" s="1155" t="s">
        <v>1971</v>
      </c>
      <c r="C983" s="1156"/>
      <c r="D983" s="1157"/>
      <c r="E983" s="1158" t="s">
        <v>1972</v>
      </c>
      <c r="F983" s="1159"/>
      <c r="G983" s="1159"/>
      <c r="H983" s="1160"/>
    </row>
    <row r="984" spans="2:8" hidden="1" outlineLevel="1"/>
    <row r="985" spans="2:8" hidden="1" outlineLevel="1">
      <c r="B985" s="1183" t="s">
        <v>1973</v>
      </c>
      <c r="C985" s="1184"/>
      <c r="D985" s="1185"/>
      <c r="E985" s="1202" t="s">
        <v>1974</v>
      </c>
      <c r="F985" s="1203"/>
      <c r="G985" s="1203"/>
      <c r="H985" s="1205"/>
    </row>
    <row r="986" spans="2:8" hidden="1" outlineLevel="1">
      <c r="B986" s="1183" t="s">
        <v>1975</v>
      </c>
      <c r="C986" s="1184"/>
      <c r="D986" s="1185"/>
      <c r="E986" s="1202" t="s">
        <v>1976</v>
      </c>
      <c r="F986" s="1203"/>
      <c r="G986" s="1203"/>
      <c r="H986" s="1205"/>
    </row>
    <row r="987" spans="2:8" hidden="1" outlineLevel="1">
      <c r="B987" s="1183" t="s">
        <v>1977</v>
      </c>
      <c r="C987" s="1184"/>
      <c r="D987" s="1185"/>
      <c r="E987" s="1202" t="s">
        <v>1266</v>
      </c>
      <c r="F987" s="1203"/>
      <c r="G987" s="1203"/>
      <c r="H987" s="1205"/>
    </row>
    <row r="988" spans="2:8" hidden="1" outlineLevel="1">
      <c r="B988" s="1206" t="s">
        <v>1978</v>
      </c>
      <c r="C988" s="1207"/>
      <c r="D988" s="1208"/>
      <c r="E988" s="1209" t="s">
        <v>1268</v>
      </c>
      <c r="F988" s="1210"/>
      <c r="G988" s="1210"/>
      <c r="H988" s="1211"/>
    </row>
    <row r="989" spans="2:8" hidden="1" outlineLevel="1">
      <c r="B989" s="1212" t="s">
        <v>1269</v>
      </c>
      <c r="C989" s="1212"/>
      <c r="D989" s="1212"/>
      <c r="E989" s="1213"/>
      <c r="F989" s="1213"/>
      <c r="G989" s="1213"/>
      <c r="H989" s="1213"/>
    </row>
    <row r="990" spans="2:8" hidden="1" outlineLevel="1">
      <c r="B990" s="1214"/>
      <c r="C990" s="1214"/>
      <c r="D990" s="1214"/>
      <c r="E990" s="1215"/>
      <c r="F990" s="1215"/>
      <c r="G990" s="1215"/>
      <c r="H990" s="1215"/>
    </row>
    <row r="991" spans="2:8" hidden="1" outlineLevel="1">
      <c r="B991" s="1183" t="s">
        <v>1720</v>
      </c>
      <c r="C991" s="1184"/>
      <c r="D991" s="1184"/>
      <c r="E991" s="1184"/>
      <c r="F991" s="1184"/>
      <c r="G991" s="1184"/>
      <c r="H991" s="1185"/>
    </row>
    <row r="992" spans="2:8" hidden="1" outlineLevel="1">
      <c r="B992" s="1198"/>
      <c r="C992" s="1183" t="s">
        <v>1721</v>
      </c>
      <c r="D992" s="1185"/>
      <c r="E992" s="1202" t="s">
        <v>1722</v>
      </c>
      <c r="F992" s="1203"/>
      <c r="G992" s="1205"/>
      <c r="H992" s="448"/>
    </row>
    <row r="993" spans="2:8" hidden="1" outlineLevel="1">
      <c r="B993" s="1199"/>
      <c r="C993" s="1183" t="str">
        <f>+CONCATENATE('[6]company '!B999,"-""09 сар")</f>
        <v>-"09 сар</v>
      </c>
      <c r="D993" s="1185"/>
      <c r="E993" s="1195" t="s">
        <v>46</v>
      </c>
      <c r="F993" s="1196"/>
      <c r="G993" s="1197"/>
      <c r="H993" s="427" t="s">
        <v>1967</v>
      </c>
    </row>
    <row r="994" spans="2:8" hidden="1" outlineLevel="1">
      <c r="B994" s="1200"/>
      <c r="C994" s="1195" t="s">
        <v>1724</v>
      </c>
      <c r="D994" s="1197"/>
      <c r="E994" s="1195" t="s">
        <v>1725</v>
      </c>
      <c r="F994" s="1196"/>
      <c r="G994" s="1197"/>
      <c r="H994" s="427"/>
    </row>
    <row r="995" spans="2:8" hidden="1" outlineLevel="1">
      <c r="B995" s="478"/>
      <c r="C995" s="478"/>
      <c r="D995" s="478"/>
      <c r="E995" s="478"/>
      <c r="F995" s="478"/>
      <c r="G995" s="449"/>
      <c r="H995" s="450"/>
    </row>
    <row r="996" spans="2:8" hidden="1" outlineLevel="1">
      <c r="B996" s="1216" t="s">
        <v>1726</v>
      </c>
      <c r="C996" s="1216"/>
      <c r="D996" s="1216"/>
      <c r="E996" s="451"/>
      <c r="F996" s="478" t="s">
        <v>1727</v>
      </c>
      <c r="G996" s="449"/>
      <c r="H996" s="450" t="s">
        <v>1728</v>
      </c>
    </row>
    <row r="997" spans="2:8" hidden="1" outlineLevel="1">
      <c r="B997" s="478"/>
      <c r="C997" s="478"/>
      <c r="D997" s="478"/>
      <c r="E997" s="478"/>
      <c r="F997" s="478"/>
      <c r="G997" s="449"/>
      <c r="H997" s="450"/>
    </row>
    <row r="998" spans="2:8" hidden="1" outlineLevel="1">
      <c r="B998" s="478"/>
      <c r="C998" s="478"/>
      <c r="D998" s="478"/>
      <c r="E998" s="478"/>
      <c r="F998" s="478"/>
      <c r="G998" s="449"/>
      <c r="H998" s="450"/>
    </row>
    <row r="999" spans="2:8" ht="20.25" hidden="1" customHeight="1" outlineLevel="1">
      <c r="B999" s="1167" t="s">
        <v>1729</v>
      </c>
      <c r="C999" s="1167"/>
      <c r="D999" s="1167"/>
      <c r="E999" s="1167"/>
      <c r="F999" s="1167"/>
      <c r="G999" s="1167"/>
      <c r="H999" s="1167"/>
    </row>
    <row r="1000" spans="2:8" hidden="1" outlineLevel="1">
      <c r="B1000" s="1186" t="s">
        <v>1730</v>
      </c>
      <c r="C1000" s="1187"/>
      <c r="D1000" s="1187"/>
      <c r="E1000" s="1187"/>
      <c r="F1000" s="1188"/>
      <c r="G1000" s="452" t="s">
        <v>1731</v>
      </c>
      <c r="H1000" s="453">
        <f>+H1001+H1002</f>
        <v>4816141.82</v>
      </c>
    </row>
    <row r="1001" spans="2:8" hidden="1" outlineLevel="1">
      <c r="B1001" s="1192" t="s">
        <v>1732</v>
      </c>
      <c r="C1001" s="1193"/>
      <c r="D1001" s="1193"/>
      <c r="E1001" s="1193"/>
      <c r="F1001" s="1194"/>
      <c r="G1001" s="452" t="s">
        <v>99</v>
      </c>
      <c r="H1001" s="427"/>
    </row>
    <row r="1002" spans="2:8" hidden="1" outlineLevel="1">
      <c r="B1002" s="1192" t="s">
        <v>1733</v>
      </c>
      <c r="C1002" s="1193"/>
      <c r="D1002" s="1193"/>
      <c r="E1002" s="1193"/>
      <c r="F1002" s="1194"/>
      <c r="G1002" s="452" t="s">
        <v>1734</v>
      </c>
      <c r="H1002" s="427">
        <f>+H1003+H1009+H1029</f>
        <v>4816141.82</v>
      </c>
    </row>
    <row r="1003" spans="2:8" hidden="1" outlineLevel="1">
      <c r="B1003" s="1198"/>
      <c r="C1003" s="1186" t="s">
        <v>1735</v>
      </c>
      <c r="D1003" s="1187"/>
      <c r="E1003" s="1187"/>
      <c r="F1003" s="1188"/>
      <c r="G1003" s="452" t="s">
        <v>1736</v>
      </c>
      <c r="H1003" s="453">
        <f>+H1004+H1005+H1006+H1007+H1008</f>
        <v>4816141.82</v>
      </c>
    </row>
    <row r="1004" spans="2:8" hidden="1" outlineLevel="1">
      <c r="B1004" s="1199"/>
      <c r="C1004" s="1189" t="s">
        <v>1737</v>
      </c>
      <c r="D1004" s="1195" t="s">
        <v>1738</v>
      </c>
      <c r="E1004" s="1196"/>
      <c r="F1004" s="1197"/>
      <c r="G1004" s="452" t="s">
        <v>173</v>
      </c>
      <c r="H1004" s="427">
        <f>+SUMIFS(JURNAL!H:H,JURNAL!E:E,510000,JURNAL!C:C,"&gt;="&amp;J12,JURNAL!C:C,"&lt;="&amp;K12)+SUMIFS(JURNAL!H:H,JURNAL!E:E,510100,JURNAL!C:C,"&gt;="&amp;J12,JURNAL!C:C,"&lt;="&amp;K12)</f>
        <v>4816141.82</v>
      </c>
    </row>
    <row r="1005" spans="2:8" hidden="1" outlineLevel="1">
      <c r="B1005" s="1199"/>
      <c r="C1005" s="1190"/>
      <c r="D1005" s="1161" t="s">
        <v>1739</v>
      </c>
      <c r="E1005" s="1162"/>
      <c r="F1005" s="1163"/>
      <c r="G1005" s="454" t="s">
        <v>174</v>
      </c>
      <c r="H1005" s="427"/>
    </row>
    <row r="1006" spans="2:8" hidden="1" outlineLevel="1">
      <c r="B1006" s="1199"/>
      <c r="C1006" s="1190"/>
      <c r="D1006" s="1161" t="s">
        <v>831</v>
      </c>
      <c r="E1006" s="1162"/>
      <c r="F1006" s="1163"/>
      <c r="G1006" s="454" t="s">
        <v>897</v>
      </c>
      <c r="H1006" s="427"/>
    </row>
    <row r="1007" spans="2:8" hidden="1" outlineLevel="1">
      <c r="B1007" s="1199"/>
      <c r="C1007" s="1190"/>
      <c r="D1007" s="1161" t="s">
        <v>1740</v>
      </c>
      <c r="E1007" s="1162"/>
      <c r="F1007" s="1163"/>
      <c r="G1007" s="454" t="s">
        <v>899</v>
      </c>
      <c r="H1007" s="427"/>
    </row>
    <row r="1008" spans="2:8" hidden="1" outlineLevel="1">
      <c r="B1008" s="1199"/>
      <c r="C1008" s="1191"/>
      <c r="D1008" s="1161" t="s">
        <v>1741</v>
      </c>
      <c r="E1008" s="1162"/>
      <c r="F1008" s="1163"/>
      <c r="G1008" s="454" t="s">
        <v>901</v>
      </c>
      <c r="H1008" s="427"/>
    </row>
    <row r="1009" spans="2:8" hidden="1" outlineLevel="1">
      <c r="B1009" s="1199"/>
      <c r="C1009" s="1186" t="s">
        <v>1742</v>
      </c>
      <c r="D1009" s="1187"/>
      <c r="E1009" s="1187"/>
      <c r="F1009" s="1188"/>
      <c r="G1009" s="452" t="s">
        <v>1743</v>
      </c>
      <c r="H1009" s="453">
        <f>+H1010+H1011+H1012+H1013+H1014+H1015+H1016+H1017+H1018+H1019+H1020+H1021+H1022+H1023+H1024</f>
        <v>0</v>
      </c>
    </row>
    <row r="1010" spans="2:8" hidden="1" outlineLevel="1">
      <c r="B1010" s="1199"/>
      <c r="C1010" s="1189" t="s">
        <v>1737</v>
      </c>
      <c r="D1010" s="1161" t="s">
        <v>1744</v>
      </c>
      <c r="E1010" s="1162"/>
      <c r="F1010" s="1163"/>
      <c r="G1010" s="454" t="s">
        <v>905</v>
      </c>
      <c r="H1010" s="427"/>
    </row>
    <row r="1011" spans="2:8" hidden="1" outlineLevel="1">
      <c r="B1011" s="1199"/>
      <c r="C1011" s="1190"/>
      <c r="D1011" s="1161" t="s">
        <v>1745</v>
      </c>
      <c r="E1011" s="1162"/>
      <c r="F1011" s="1163"/>
      <c r="G1011" s="454" t="s">
        <v>907</v>
      </c>
      <c r="H1011" s="427"/>
    </row>
    <row r="1012" spans="2:8" hidden="1" outlineLevel="1">
      <c r="B1012" s="1199"/>
      <c r="C1012" s="1190"/>
      <c r="D1012" s="1161" t="s">
        <v>1746</v>
      </c>
      <c r="E1012" s="1162"/>
      <c r="F1012" s="1163"/>
      <c r="G1012" s="454" t="s">
        <v>909</v>
      </c>
      <c r="H1012" s="427"/>
    </row>
    <row r="1013" spans="2:8" hidden="1" outlineLevel="1">
      <c r="B1013" s="1199"/>
      <c r="C1013" s="1190"/>
      <c r="D1013" s="1161" t="s">
        <v>1747</v>
      </c>
      <c r="E1013" s="1162"/>
      <c r="F1013" s="1163"/>
      <c r="G1013" s="454" t="s">
        <v>911</v>
      </c>
      <c r="H1013" s="427"/>
    </row>
    <row r="1014" spans="2:8" hidden="1" outlineLevel="1">
      <c r="B1014" s="1199"/>
      <c r="C1014" s="1190"/>
      <c r="D1014" s="1161" t="s">
        <v>1748</v>
      </c>
      <c r="E1014" s="1162"/>
      <c r="F1014" s="1163"/>
      <c r="G1014" s="454" t="s">
        <v>913</v>
      </c>
      <c r="H1014" s="427"/>
    </row>
    <row r="1015" spans="2:8" hidden="1" outlineLevel="1">
      <c r="B1015" s="1199"/>
      <c r="C1015" s="1190"/>
      <c r="D1015" s="1161" t="s">
        <v>1749</v>
      </c>
      <c r="E1015" s="1162"/>
      <c r="F1015" s="1163"/>
      <c r="G1015" s="454" t="s">
        <v>915</v>
      </c>
      <c r="H1015" s="427"/>
    </row>
    <row r="1016" spans="2:8" hidden="1" outlineLevel="1">
      <c r="B1016" s="1199"/>
      <c r="C1016" s="1190"/>
      <c r="D1016" s="1161" t="s">
        <v>1750</v>
      </c>
      <c r="E1016" s="1162"/>
      <c r="F1016" s="1163"/>
      <c r="G1016" s="454" t="s">
        <v>917</v>
      </c>
      <c r="H1016" s="427"/>
    </row>
    <row r="1017" spans="2:8" hidden="1" outlineLevel="1">
      <c r="B1017" s="1199"/>
      <c r="C1017" s="1190"/>
      <c r="D1017" s="1161" t="s">
        <v>1751</v>
      </c>
      <c r="E1017" s="1162"/>
      <c r="F1017" s="1163"/>
      <c r="G1017" s="454" t="s">
        <v>919</v>
      </c>
      <c r="H1017" s="427"/>
    </row>
    <row r="1018" spans="2:8" hidden="1" outlineLevel="1">
      <c r="B1018" s="1199"/>
      <c r="C1018" s="1190"/>
      <c r="D1018" s="1161" t="s">
        <v>1752</v>
      </c>
      <c r="E1018" s="1162"/>
      <c r="F1018" s="1163"/>
      <c r="G1018" s="454" t="s">
        <v>921</v>
      </c>
      <c r="H1018" s="427"/>
    </row>
    <row r="1019" spans="2:8" hidden="1" outlineLevel="1">
      <c r="B1019" s="1199"/>
      <c r="C1019" s="1190"/>
      <c r="D1019" s="1161" t="s">
        <v>1753</v>
      </c>
      <c r="E1019" s="1162"/>
      <c r="F1019" s="1163"/>
      <c r="G1019" s="454" t="s">
        <v>923</v>
      </c>
      <c r="H1019" s="427"/>
    </row>
    <row r="1020" spans="2:8" hidden="1" outlineLevel="1">
      <c r="B1020" s="1199"/>
      <c r="C1020" s="1190"/>
      <c r="D1020" s="1161" t="s">
        <v>1754</v>
      </c>
      <c r="E1020" s="1162"/>
      <c r="F1020" s="1163"/>
      <c r="G1020" s="454" t="s">
        <v>925</v>
      </c>
      <c r="H1020" s="427"/>
    </row>
    <row r="1021" spans="2:8" hidden="1" outlineLevel="1">
      <c r="B1021" s="1199"/>
      <c r="C1021" s="1190"/>
      <c r="D1021" s="1161" t="s">
        <v>1755</v>
      </c>
      <c r="E1021" s="1162"/>
      <c r="F1021" s="1163"/>
      <c r="G1021" s="454" t="s">
        <v>927</v>
      </c>
      <c r="H1021" s="427"/>
    </row>
    <row r="1022" spans="2:8" hidden="1" outlineLevel="1">
      <c r="B1022" s="1199"/>
      <c r="C1022" s="1190"/>
      <c r="D1022" s="1161" t="s">
        <v>1756</v>
      </c>
      <c r="E1022" s="1162"/>
      <c r="F1022" s="1163"/>
      <c r="G1022" s="454" t="s">
        <v>929</v>
      </c>
      <c r="H1022" s="427"/>
    </row>
    <row r="1023" spans="2:8" hidden="1" outlineLevel="1">
      <c r="B1023" s="1199"/>
      <c r="C1023" s="1190"/>
      <c r="D1023" s="1161" t="s">
        <v>1757</v>
      </c>
      <c r="E1023" s="1162"/>
      <c r="F1023" s="1163"/>
      <c r="G1023" s="454" t="s">
        <v>937</v>
      </c>
      <c r="H1023" s="427"/>
    </row>
    <row r="1024" spans="2:8" hidden="1" outlineLevel="1">
      <c r="B1024" s="1200"/>
      <c r="C1024" s="1191"/>
      <c r="D1024" s="1161" t="s">
        <v>1758</v>
      </c>
      <c r="E1024" s="1162"/>
      <c r="F1024" s="1163"/>
      <c r="G1024" s="454" t="s">
        <v>939</v>
      </c>
      <c r="H1024" s="427"/>
    </row>
    <row r="1025" spans="2:8" hidden="1" outlineLevel="1">
      <c r="B1025" s="1186" t="s">
        <v>1759</v>
      </c>
      <c r="C1025" s="1187"/>
      <c r="D1025" s="1187"/>
      <c r="E1025" s="1187"/>
      <c r="F1025" s="1188"/>
      <c r="G1025" s="452" t="s">
        <v>1760</v>
      </c>
      <c r="H1025" s="453">
        <f>+H1003+H1009</f>
        <v>4816141.82</v>
      </c>
    </row>
    <row r="1026" spans="2:8" hidden="1" outlineLevel="1">
      <c r="B1026" s="1186" t="s">
        <v>1761</v>
      </c>
      <c r="C1026" s="1187"/>
      <c r="D1026" s="1187"/>
      <c r="E1026" s="1187"/>
      <c r="F1026" s="1188"/>
      <c r="G1026" s="452" t="s">
        <v>1762</v>
      </c>
      <c r="H1026" s="453">
        <f>+H1025*0.1</f>
        <v>481614.18200000003</v>
      </c>
    </row>
    <row r="1027" spans="2:8" hidden="1" outlineLevel="1">
      <c r="B1027" s="1195" t="s">
        <v>1763</v>
      </c>
      <c r="C1027" s="1196"/>
      <c r="D1027" s="1196"/>
      <c r="E1027" s="1196"/>
      <c r="F1027" s="1197"/>
      <c r="G1027" s="452" t="s">
        <v>1764</v>
      </c>
      <c r="H1027" s="427"/>
    </row>
    <row r="1028" spans="2:8" hidden="1" outlineLevel="1">
      <c r="B1028" s="1195" t="s">
        <v>1765</v>
      </c>
      <c r="C1028" s="1196"/>
      <c r="D1028" s="1196"/>
      <c r="E1028" s="1196"/>
      <c r="F1028" s="1197"/>
      <c r="G1028" s="452" t="s">
        <v>1766</v>
      </c>
      <c r="H1028" s="427"/>
    </row>
    <row r="1029" spans="2:8" hidden="1" outlineLevel="1">
      <c r="B1029" s="1186" t="s">
        <v>1767</v>
      </c>
      <c r="C1029" s="1187"/>
      <c r="D1029" s="1187"/>
      <c r="E1029" s="1187"/>
      <c r="F1029" s="1188"/>
      <c r="G1029" s="452" t="s">
        <v>1768</v>
      </c>
      <c r="H1029" s="453">
        <f>+H1027+H1028</f>
        <v>0</v>
      </c>
    </row>
    <row r="1030" spans="2:8" hidden="1" outlineLevel="1">
      <c r="B1030" s="1186" t="s">
        <v>1761</v>
      </c>
      <c r="C1030" s="1187"/>
      <c r="D1030" s="1187"/>
      <c r="E1030" s="1187"/>
      <c r="F1030" s="1188"/>
      <c r="G1030" s="452" t="s">
        <v>1769</v>
      </c>
      <c r="H1030" s="453">
        <f>+H1029*0%</f>
        <v>0</v>
      </c>
    </row>
    <row r="1031" spans="2:8" hidden="1" outlineLevel="1">
      <c r="B1031" s="1186" t="s">
        <v>1770</v>
      </c>
      <c r="C1031" s="1187"/>
      <c r="D1031" s="1187"/>
      <c r="E1031" s="1187"/>
      <c r="F1031" s="1188"/>
      <c r="G1031" s="452" t="s">
        <v>1771</v>
      </c>
      <c r="H1031" s="453">
        <f>+H1026+H1030</f>
        <v>481614.18200000003</v>
      </c>
    </row>
    <row r="1032" spans="2:8" hidden="1" outlineLevel="1"/>
    <row r="1033" spans="2:8" ht="24" hidden="1" customHeight="1" outlineLevel="1">
      <c r="B1033" s="1167" t="s">
        <v>1772</v>
      </c>
      <c r="C1033" s="1167"/>
      <c r="D1033" s="1167"/>
      <c r="E1033" s="1167"/>
      <c r="F1033" s="1167"/>
      <c r="G1033" s="1167"/>
      <c r="H1033" s="1167"/>
    </row>
    <row r="1034" spans="2:8" hidden="1" outlineLevel="1">
      <c r="B1034" s="1186" t="s">
        <v>1773</v>
      </c>
      <c r="C1034" s="1187"/>
      <c r="D1034" s="1187"/>
      <c r="E1034" s="1187"/>
      <c r="F1034" s="1188"/>
      <c r="G1034" s="452" t="s">
        <v>1774</v>
      </c>
      <c r="H1034" s="427"/>
    </row>
    <row r="1035" spans="2:8" hidden="1" outlineLevel="1">
      <c r="B1035" s="1192" t="s">
        <v>1775</v>
      </c>
      <c r="C1035" s="1193"/>
      <c r="D1035" s="1193"/>
      <c r="E1035" s="1193"/>
      <c r="F1035" s="1194"/>
      <c r="G1035" s="452" t="s">
        <v>1776</v>
      </c>
      <c r="H1035" s="427">
        <f>+H1036+H1037+H1038+H1039</f>
        <v>3456230</v>
      </c>
    </row>
    <row r="1036" spans="2:8" hidden="1" outlineLevel="1">
      <c r="B1036" s="1189" t="s">
        <v>1737</v>
      </c>
      <c r="C1036" s="1161" t="s">
        <v>1777</v>
      </c>
      <c r="D1036" s="1162"/>
      <c r="E1036" s="1162"/>
      <c r="F1036" s="1163"/>
      <c r="G1036" s="452" t="s">
        <v>1778</v>
      </c>
      <c r="H1036" s="427"/>
    </row>
    <row r="1037" spans="2:8" hidden="1" outlineLevel="1">
      <c r="B1037" s="1190"/>
      <c r="C1037" s="1161" t="s">
        <v>1779</v>
      </c>
      <c r="D1037" s="1162"/>
      <c r="E1037" s="1162"/>
      <c r="F1037" s="1163"/>
      <c r="G1037" s="452" t="s">
        <v>1780</v>
      </c>
      <c r="H1037" s="427">
        <f>+M12*10</f>
        <v>3456230</v>
      </c>
    </row>
    <row r="1038" spans="2:8" hidden="1" outlineLevel="1">
      <c r="B1038" s="1190"/>
      <c r="C1038" s="1161" t="s">
        <v>1781</v>
      </c>
      <c r="D1038" s="1162"/>
      <c r="E1038" s="1162"/>
      <c r="F1038" s="1163"/>
      <c r="G1038" s="452" t="s">
        <v>1782</v>
      </c>
      <c r="H1038" s="427"/>
    </row>
    <row r="1039" spans="2:8" hidden="1" outlineLevel="1">
      <c r="B1039" s="1191"/>
      <c r="C1039" s="1161" t="s">
        <v>1783</v>
      </c>
      <c r="D1039" s="1162"/>
      <c r="E1039" s="1162"/>
      <c r="F1039" s="1163"/>
      <c r="G1039" s="452" t="s">
        <v>1784</v>
      </c>
      <c r="H1039" s="427"/>
    </row>
    <row r="1040" spans="2:8" hidden="1" outlineLevel="1">
      <c r="B1040" s="1186" t="s">
        <v>1785</v>
      </c>
      <c r="C1040" s="1187"/>
      <c r="D1040" s="1187"/>
      <c r="E1040" s="1187"/>
      <c r="F1040" s="1188"/>
      <c r="G1040" s="452" t="s">
        <v>1786</v>
      </c>
      <c r="H1040" s="453">
        <f>+H1035*0.1</f>
        <v>345623</v>
      </c>
    </row>
    <row r="1041" spans="2:8" hidden="1" outlineLevel="1">
      <c r="B1041" s="1186" t="s">
        <v>1787</v>
      </c>
      <c r="C1041" s="1187"/>
      <c r="D1041" s="1187"/>
      <c r="E1041" s="1187"/>
      <c r="F1041" s="1188"/>
      <c r="G1041" s="452" t="s">
        <v>1788</v>
      </c>
      <c r="H1041" s="453">
        <f>+H1042+H1043+H1044+H1045+H1046+H1047</f>
        <v>0</v>
      </c>
    </row>
    <row r="1042" spans="2:8" hidden="1" outlineLevel="1">
      <c r="B1042" s="1189" t="s">
        <v>1737</v>
      </c>
      <c r="C1042" s="1161" t="s">
        <v>1789</v>
      </c>
      <c r="D1042" s="1162"/>
      <c r="E1042" s="1162"/>
      <c r="F1042" s="1163"/>
      <c r="G1042" s="452" t="s">
        <v>1790</v>
      </c>
      <c r="H1042" s="427"/>
    </row>
    <row r="1043" spans="2:8" hidden="1" outlineLevel="1">
      <c r="B1043" s="1190"/>
      <c r="C1043" s="1161" t="s">
        <v>1791</v>
      </c>
      <c r="D1043" s="1162"/>
      <c r="E1043" s="1162"/>
      <c r="F1043" s="1163"/>
      <c r="G1043" s="452" t="s">
        <v>1792</v>
      </c>
      <c r="H1043" s="427"/>
    </row>
    <row r="1044" spans="2:8" hidden="1" outlineLevel="1">
      <c r="B1044" s="1190"/>
      <c r="C1044" s="1161" t="s">
        <v>1793</v>
      </c>
      <c r="D1044" s="1162"/>
      <c r="E1044" s="1162"/>
      <c r="F1044" s="1163"/>
      <c r="G1044" s="452" t="s">
        <v>1794</v>
      </c>
      <c r="H1044" s="427"/>
    </row>
    <row r="1045" spans="2:8" hidden="1" outlineLevel="1">
      <c r="B1045" s="1190"/>
      <c r="C1045" s="1161" t="s">
        <v>1795</v>
      </c>
      <c r="D1045" s="1162"/>
      <c r="E1045" s="1162"/>
      <c r="F1045" s="1163"/>
      <c r="G1045" s="452" t="s">
        <v>1796</v>
      </c>
      <c r="H1045" s="427"/>
    </row>
    <row r="1046" spans="2:8" hidden="1" outlineLevel="1">
      <c r="B1046" s="1190"/>
      <c r="C1046" s="1161" t="s">
        <v>1797</v>
      </c>
      <c r="D1046" s="1162"/>
      <c r="E1046" s="1162"/>
      <c r="F1046" s="1163"/>
      <c r="G1046" s="452" t="s">
        <v>1798</v>
      </c>
      <c r="H1046" s="427"/>
    </row>
    <row r="1047" spans="2:8" hidden="1" outlineLevel="1">
      <c r="B1047" s="1191"/>
      <c r="C1047" s="1161" t="s">
        <v>1799</v>
      </c>
      <c r="D1047" s="1162"/>
      <c r="E1047" s="1162"/>
      <c r="F1047" s="1163"/>
      <c r="G1047" s="452" t="s">
        <v>1800</v>
      </c>
      <c r="H1047" s="427"/>
    </row>
    <row r="1048" spans="2:8" hidden="1" outlineLevel="1">
      <c r="B1048" s="1186" t="s">
        <v>1801</v>
      </c>
      <c r="C1048" s="1187"/>
      <c r="D1048" s="1187"/>
      <c r="E1048" s="1187"/>
      <c r="F1048" s="1188"/>
      <c r="G1048" s="452" t="s">
        <v>1802</v>
      </c>
      <c r="H1048" s="453">
        <f>+H1040-H1041</f>
        <v>345623</v>
      </c>
    </row>
    <row r="1049" spans="2:8" hidden="1" outlineLevel="1"/>
    <row r="1050" spans="2:8" ht="24" hidden="1" customHeight="1" outlineLevel="1">
      <c r="B1050" s="1167" t="s">
        <v>1803</v>
      </c>
      <c r="C1050" s="1167"/>
      <c r="D1050" s="1167"/>
      <c r="E1050" s="1167"/>
      <c r="F1050" s="1167"/>
      <c r="G1050" s="1167"/>
      <c r="H1050" s="1167"/>
    </row>
    <row r="1051" spans="2:8" hidden="1" outlineLevel="1">
      <c r="B1051" s="1161" t="s">
        <v>1804</v>
      </c>
      <c r="C1051" s="1162"/>
      <c r="D1051" s="1162"/>
      <c r="E1051" s="1162"/>
      <c r="F1051" s="1163"/>
      <c r="G1051" s="452" t="s">
        <v>1805</v>
      </c>
      <c r="H1051" s="427"/>
    </row>
    <row r="1052" spans="2:8" hidden="1" outlineLevel="1">
      <c r="B1052" s="1161" t="s">
        <v>1806</v>
      </c>
      <c r="C1052" s="1162"/>
      <c r="D1052" s="1162"/>
      <c r="E1052" s="1162"/>
      <c r="F1052" s="1163"/>
      <c r="G1052" s="452" t="s">
        <v>1807</v>
      </c>
      <c r="H1052" s="427"/>
    </row>
    <row r="1053" spans="2:8" hidden="1" outlineLevel="1">
      <c r="B1053" s="1164" t="s">
        <v>1808</v>
      </c>
      <c r="C1053" s="1165"/>
      <c r="D1053" s="1165"/>
      <c r="E1053" s="1165"/>
      <c r="F1053" s="1166"/>
      <c r="G1053" s="452" t="s">
        <v>1809</v>
      </c>
      <c r="H1053" s="427">
        <f>+(H1051+H1052)*0.1</f>
        <v>0</v>
      </c>
    </row>
    <row r="1054" spans="2:8" hidden="1" outlineLevel="1">
      <c r="B1054" s="1161" t="s">
        <v>1810</v>
      </c>
      <c r="C1054" s="1162"/>
      <c r="D1054" s="1162"/>
      <c r="E1054" s="1162"/>
      <c r="F1054" s="1163"/>
      <c r="G1054" s="452" t="s">
        <v>1811</v>
      </c>
      <c r="H1054" s="427"/>
    </row>
    <row r="1055" spans="2:8" hidden="1" outlineLevel="1">
      <c r="B1055" s="1161" t="s">
        <v>1812</v>
      </c>
      <c r="C1055" s="1162"/>
      <c r="D1055" s="1162"/>
      <c r="E1055" s="1162"/>
      <c r="F1055" s="1163"/>
      <c r="G1055" s="452" t="s">
        <v>1813</v>
      </c>
      <c r="H1055" s="427"/>
    </row>
    <row r="1056" spans="2:8" hidden="1" outlineLevel="1">
      <c r="B1056" s="1164" t="s">
        <v>1814</v>
      </c>
      <c r="C1056" s="1165"/>
      <c r="D1056" s="1165"/>
      <c r="E1056" s="1165"/>
      <c r="F1056" s="1166"/>
      <c r="G1056" s="452" t="s">
        <v>1815</v>
      </c>
      <c r="H1056" s="427">
        <f>+(H1054+H1055)*0.1</f>
        <v>0</v>
      </c>
    </row>
    <row r="1057" spans="2:8" hidden="1" outlineLevel="1"/>
    <row r="1058" spans="2:8" hidden="1" outlineLevel="1">
      <c r="B1058" s="1167" t="s">
        <v>1816</v>
      </c>
      <c r="C1058" s="1167"/>
      <c r="D1058" s="1167"/>
      <c r="E1058" s="1167"/>
      <c r="F1058" s="1167"/>
      <c r="G1058" s="1167"/>
      <c r="H1058" s="1167"/>
    </row>
    <row r="1059" spans="2:8" hidden="1" outlineLevel="1">
      <c r="B1059" s="1164" t="s">
        <v>1817</v>
      </c>
      <c r="C1059" s="1165"/>
      <c r="D1059" s="1165"/>
      <c r="E1059" s="1165"/>
      <c r="F1059" s="1166"/>
      <c r="G1059" s="452" t="s">
        <v>1818</v>
      </c>
      <c r="H1059" s="427">
        <f>+H1031+H1053</f>
        <v>481614.18200000003</v>
      </c>
    </row>
    <row r="1060" spans="2:8" hidden="1" outlineLevel="1">
      <c r="B1060" s="1164" t="s">
        <v>1819</v>
      </c>
      <c r="C1060" s="1165"/>
      <c r="D1060" s="1165"/>
      <c r="E1060" s="1165"/>
      <c r="F1060" s="1166"/>
      <c r="G1060" s="452" t="s">
        <v>1820</v>
      </c>
      <c r="H1060" s="427">
        <f>+H1048+H1056</f>
        <v>345623</v>
      </c>
    </row>
    <row r="1061" spans="2:8" hidden="1" outlineLevel="1"/>
    <row r="1062" spans="2:8" hidden="1" outlineLevel="1">
      <c r="B1062" s="1167" t="s">
        <v>1821</v>
      </c>
      <c r="C1062" s="1167"/>
      <c r="D1062" s="1167"/>
      <c r="E1062" s="1167"/>
      <c r="F1062" s="1167"/>
      <c r="G1062" s="1167"/>
      <c r="H1062" s="1167"/>
    </row>
    <row r="1063" spans="2:8" hidden="1" outlineLevel="1">
      <c r="B1063" s="1161" t="s">
        <v>1822</v>
      </c>
      <c r="C1063" s="1162"/>
      <c r="D1063" s="1162"/>
      <c r="E1063" s="1162"/>
      <c r="F1063" s="1163"/>
      <c r="G1063" s="452" t="s">
        <v>1823</v>
      </c>
      <c r="H1063" s="427"/>
    </row>
    <row r="1064" spans="2:8" hidden="1" outlineLevel="1">
      <c r="B1064" s="1164" t="s">
        <v>1824</v>
      </c>
      <c r="C1064" s="1165"/>
      <c r="D1064" s="1165"/>
      <c r="E1064" s="1165"/>
      <c r="F1064" s="1166"/>
      <c r="G1064" s="452" t="s">
        <v>1825</v>
      </c>
      <c r="H1064" s="427">
        <f>+H1063*0.1</f>
        <v>0</v>
      </c>
    </row>
    <row r="1065" spans="2:8" hidden="1" outlineLevel="1">
      <c r="B1065" s="1161" t="s">
        <v>1826</v>
      </c>
      <c r="C1065" s="1162"/>
      <c r="D1065" s="1162"/>
      <c r="E1065" s="1162"/>
      <c r="F1065" s="1163"/>
      <c r="G1065" s="452" t="s">
        <v>1827</v>
      </c>
      <c r="H1065" s="427"/>
    </row>
    <row r="1066" spans="2:8" hidden="1" outlineLevel="1">
      <c r="B1066" s="1164" t="s">
        <v>1814</v>
      </c>
      <c r="C1066" s="1165"/>
      <c r="D1066" s="1165"/>
      <c r="E1066" s="1165"/>
      <c r="F1066" s="1166"/>
      <c r="G1066" s="452" t="s">
        <v>1828</v>
      </c>
      <c r="H1066" s="427">
        <f>+H1065*0.1</f>
        <v>0</v>
      </c>
    </row>
    <row r="1067" spans="2:8" hidden="1" outlineLevel="1"/>
    <row r="1068" spans="2:8" hidden="1" outlineLevel="1">
      <c r="B1068" s="1167" t="s">
        <v>1829</v>
      </c>
      <c r="C1068" s="1167"/>
      <c r="D1068" s="1167"/>
      <c r="E1068" s="1167"/>
      <c r="F1068" s="1167"/>
      <c r="G1068" s="1167"/>
      <c r="H1068" s="1167"/>
    </row>
    <row r="1069" spans="2:8" hidden="1" outlineLevel="1">
      <c r="B1069" s="1168" t="s">
        <v>1303</v>
      </c>
      <c r="C1069" s="1168"/>
      <c r="D1069" s="1169" t="s">
        <v>1830</v>
      </c>
      <c r="E1069" s="1170"/>
      <c r="F1069" s="1171"/>
      <c r="G1069" s="452" t="s">
        <v>1831</v>
      </c>
      <c r="H1069" s="427">
        <f>+H1059-H1064</f>
        <v>481614.18200000003</v>
      </c>
    </row>
    <row r="1070" spans="2:8" hidden="1" outlineLevel="1">
      <c r="B1070" s="1168"/>
      <c r="C1070" s="1168"/>
      <c r="D1070" s="1169" t="s">
        <v>1832</v>
      </c>
      <c r="E1070" s="1170"/>
      <c r="F1070" s="1171"/>
      <c r="G1070" s="452" t="s">
        <v>1833</v>
      </c>
      <c r="H1070" s="427">
        <f>+H1060-H1066</f>
        <v>345623</v>
      </c>
    </row>
    <row r="1071" spans="2:8" hidden="1" outlineLevel="1">
      <c r="B1071" s="1168"/>
      <c r="C1071" s="1168"/>
      <c r="D1071" s="1169" t="s">
        <v>1834</v>
      </c>
      <c r="E1071" s="1170"/>
      <c r="F1071" s="1171"/>
      <c r="G1071" s="452" t="s">
        <v>1835</v>
      </c>
      <c r="H1071" s="427">
        <f>+H1069-H1070</f>
        <v>135991.18200000003</v>
      </c>
    </row>
    <row r="1072" spans="2:8" hidden="1" outlineLevel="1">
      <c r="B1072" s="1168"/>
      <c r="C1072" s="1168"/>
      <c r="D1072" s="1169" t="s">
        <v>1836</v>
      </c>
      <c r="E1072" s="1170"/>
      <c r="F1072" s="1171"/>
      <c r="G1072" s="452" t="s">
        <v>1837</v>
      </c>
      <c r="H1072" s="427"/>
    </row>
    <row r="1073" spans="2:8" hidden="1" outlineLevel="1"/>
    <row r="1074" spans="2:8" hidden="1" outlineLevel="1">
      <c r="B1074" s="1176" t="s">
        <v>1838</v>
      </c>
      <c r="C1074" s="1176"/>
      <c r="D1074" s="1176"/>
      <c r="E1074" s="1176"/>
      <c r="F1074" s="1176"/>
      <c r="G1074" s="455" t="s">
        <v>1839</v>
      </c>
      <c r="H1074" s="456" t="s">
        <v>1840</v>
      </c>
    </row>
    <row r="1075" spans="2:8" hidden="1" outlineLevel="1">
      <c r="B1075" s="1172" t="s">
        <v>1841</v>
      </c>
      <c r="C1075" s="1172"/>
      <c r="D1075" s="1172"/>
      <c r="E1075" s="457" t="s">
        <v>1072</v>
      </c>
      <c r="F1075" s="458">
        <v>1</v>
      </c>
      <c r="G1075" s="459">
        <f>+O11</f>
        <v>0</v>
      </c>
      <c r="H1075" s="460"/>
    </row>
    <row r="1076" spans="2:8" hidden="1" outlineLevel="1">
      <c r="B1076" s="1172"/>
      <c r="C1076" s="1172"/>
      <c r="D1076" s="1172"/>
      <c r="E1076" s="457" t="s">
        <v>1073</v>
      </c>
      <c r="F1076" s="458">
        <f>+F1075+1</f>
        <v>2</v>
      </c>
      <c r="G1076" s="461"/>
      <c r="H1076" s="462">
        <f>+P11</f>
        <v>62555761.86272727</v>
      </c>
    </row>
    <row r="1077" spans="2:8" hidden="1" outlineLevel="1">
      <c r="B1077" s="1172" t="s">
        <v>1842</v>
      </c>
      <c r="C1077" s="1172"/>
      <c r="D1077" s="1172"/>
      <c r="E1077" s="457" t="s">
        <v>1072</v>
      </c>
      <c r="F1077" s="458">
        <f t="shared" ref="F1077:F1090" si="10">+F1076+1</f>
        <v>3</v>
      </c>
      <c r="G1077" s="459"/>
      <c r="H1077" s="460"/>
    </row>
    <row r="1078" spans="2:8" hidden="1" outlineLevel="1">
      <c r="B1078" s="1172"/>
      <c r="C1078" s="1172"/>
      <c r="D1078" s="1172"/>
      <c r="E1078" s="457" t="s">
        <v>1073</v>
      </c>
      <c r="F1078" s="458">
        <f t="shared" si="10"/>
        <v>4</v>
      </c>
      <c r="G1078" s="461"/>
      <c r="H1078" s="462">
        <f>+H1071</f>
        <v>135991.18200000003</v>
      </c>
    </row>
    <row r="1079" spans="2:8" hidden="1" outlineLevel="1">
      <c r="B1079" s="1173" t="s">
        <v>1078</v>
      </c>
      <c r="C1079" s="1174"/>
      <c r="D1079" s="1174"/>
      <c r="E1079" s="1175"/>
      <c r="F1079" s="458">
        <f t="shared" si="10"/>
        <v>5</v>
      </c>
      <c r="G1079" s="459">
        <f>+L12</f>
        <v>0</v>
      </c>
      <c r="H1079" s="460"/>
    </row>
    <row r="1080" spans="2:8" hidden="1" outlineLevel="1">
      <c r="B1080" s="1177" t="s">
        <v>1843</v>
      </c>
      <c r="C1080" s="1178"/>
      <c r="D1080" s="1178"/>
      <c r="E1080" s="1179"/>
      <c r="F1080" s="458">
        <f t="shared" si="10"/>
        <v>6</v>
      </c>
      <c r="G1080" s="464"/>
      <c r="H1080" s="460"/>
    </row>
    <row r="1081" spans="2:8" hidden="1" outlineLevel="1">
      <c r="B1081" s="1177" t="s">
        <v>1843</v>
      </c>
      <c r="C1081" s="1178"/>
      <c r="D1081" s="1178"/>
      <c r="E1081" s="1179"/>
      <c r="F1081" s="458">
        <f t="shared" si="10"/>
        <v>7</v>
      </c>
      <c r="G1081" s="461"/>
      <c r="H1081" s="463"/>
    </row>
    <row r="1082" spans="2:8" hidden="1" outlineLevel="1">
      <c r="B1082" s="1172" t="s">
        <v>1844</v>
      </c>
      <c r="C1082" s="1172"/>
      <c r="D1082" s="1172"/>
      <c r="E1082" s="457" t="s">
        <v>1072</v>
      </c>
      <c r="F1082" s="458">
        <f t="shared" si="10"/>
        <v>8</v>
      </c>
      <c r="G1082" s="464"/>
      <c r="H1082" s="460"/>
    </row>
    <row r="1083" spans="2:8" hidden="1" outlineLevel="1">
      <c r="B1083" s="1172"/>
      <c r="C1083" s="1172"/>
      <c r="D1083" s="1172"/>
      <c r="E1083" s="457" t="s">
        <v>1073</v>
      </c>
      <c r="F1083" s="458">
        <f t="shared" si="10"/>
        <v>9</v>
      </c>
      <c r="G1083" s="461"/>
      <c r="H1083" s="463"/>
    </row>
    <row r="1084" spans="2:8" hidden="1" outlineLevel="1">
      <c r="B1084" s="1172" t="s">
        <v>1845</v>
      </c>
      <c r="C1084" s="1172"/>
      <c r="D1084" s="1172"/>
      <c r="E1084" s="457" t="s">
        <v>1072</v>
      </c>
      <c r="F1084" s="458">
        <f t="shared" si="10"/>
        <v>10</v>
      </c>
      <c r="G1084" s="464"/>
      <c r="H1084" s="460"/>
    </row>
    <row r="1085" spans="2:8" hidden="1" outlineLevel="1">
      <c r="B1085" s="1172"/>
      <c r="C1085" s="1172"/>
      <c r="D1085" s="1172"/>
      <c r="E1085" s="457" t="s">
        <v>1073</v>
      </c>
      <c r="F1085" s="458">
        <f t="shared" si="10"/>
        <v>11</v>
      </c>
      <c r="G1085" s="461"/>
      <c r="H1085" s="463"/>
    </row>
    <row r="1086" spans="2:8" hidden="1" outlineLevel="1">
      <c r="B1086" s="1173" t="s">
        <v>1846</v>
      </c>
      <c r="C1086" s="1174"/>
      <c r="D1086" s="1174"/>
      <c r="E1086" s="1175"/>
      <c r="F1086" s="458">
        <f t="shared" si="10"/>
        <v>12</v>
      </c>
      <c r="G1086" s="464"/>
      <c r="H1086" s="460"/>
    </row>
    <row r="1087" spans="2:8" hidden="1" outlineLevel="1">
      <c r="B1087" s="1172" t="s">
        <v>1847</v>
      </c>
      <c r="C1087" s="1172"/>
      <c r="D1087" s="1172"/>
      <c r="E1087" s="457" t="s">
        <v>1072</v>
      </c>
      <c r="F1087" s="458">
        <f t="shared" si="10"/>
        <v>13</v>
      </c>
      <c r="G1087" s="464"/>
      <c r="H1087" s="460"/>
    </row>
    <row r="1088" spans="2:8" hidden="1" outlineLevel="1">
      <c r="B1088" s="1172"/>
      <c r="C1088" s="1172"/>
      <c r="D1088" s="1172"/>
      <c r="E1088" s="457" t="s">
        <v>1073</v>
      </c>
      <c r="F1088" s="458">
        <f t="shared" si="10"/>
        <v>14</v>
      </c>
      <c r="G1088" s="461"/>
      <c r="H1088" s="463"/>
    </row>
    <row r="1089" spans="1:11" hidden="1" outlineLevel="1">
      <c r="B1089" s="1172" t="s">
        <v>1848</v>
      </c>
      <c r="C1089" s="1172"/>
      <c r="D1089" s="1172"/>
      <c r="E1089" s="457" t="s">
        <v>1072</v>
      </c>
      <c r="F1089" s="458">
        <f t="shared" si="10"/>
        <v>15</v>
      </c>
      <c r="G1089" s="459">
        <f>IF((G1075+G1077+G1079-H1076-H1078)&gt;0,(G1075+G1077+G1079-H1076-H1078),0)</f>
        <v>0</v>
      </c>
      <c r="H1089" s="460"/>
    </row>
    <row r="1090" spans="1:11" hidden="1" outlineLevel="1">
      <c r="B1090" s="1172"/>
      <c r="C1090" s="1172"/>
      <c r="D1090" s="1172"/>
      <c r="E1090" s="457" t="s">
        <v>1073</v>
      </c>
      <c r="F1090" s="458">
        <f t="shared" si="10"/>
        <v>16</v>
      </c>
      <c r="G1090" s="465"/>
      <c r="H1090" s="510">
        <f>+IF((H1076+H1078-G1075-G1077-G1079)&gt;0,(H1076+H1078-G1075-G1077-G1079),0)</f>
        <v>62691753.044727266</v>
      </c>
      <c r="J1090" s="79">
        <f>+STAT3!W111</f>
        <v>62691753.040909097</v>
      </c>
      <c r="K1090" s="79">
        <f>+J1090-H1090</f>
        <v>-3.8181692361831665E-3</v>
      </c>
    </row>
    <row r="1091" spans="1:11" hidden="1" outlineLevel="1"/>
    <row r="1092" spans="1:11" hidden="1" outlineLevel="1"/>
    <row r="1093" spans="1:11" hidden="1" outlineLevel="1">
      <c r="B1093" s="332" t="s">
        <v>1849</v>
      </c>
      <c r="E1093" s="332" t="s">
        <v>1083</v>
      </c>
    </row>
    <row r="1094" spans="1:11" hidden="1" outlineLevel="1">
      <c r="B1094" s="332"/>
    </row>
    <row r="1095" spans="1:11" hidden="1" outlineLevel="1">
      <c r="B1095" s="332" t="str">
        <f>+CONCATENATE('[6]company '!B1001," . . . . . . . . . . . . . . . . . .  ... . . . .. . . . ",'[6]company '!C1001)</f>
        <v xml:space="preserve"> . . . . . . . . . . . . . . . . . .  ... . . . .. . . . </v>
      </c>
      <c r="E1095" s="332" t="s">
        <v>1850</v>
      </c>
    </row>
    <row r="1096" spans="1:11" hidden="1" outlineLevel="1">
      <c r="B1096" s="332"/>
    </row>
    <row r="1097" spans="1:11" hidden="1" outlineLevel="1">
      <c r="B1097" s="332" t="str">
        <f>+CONCATENATE('[6]company '!B1004,". . . . . . . . . . . . . . . . . . . . ",'[6]company '!C1004)</f>
        <v xml:space="preserve">. . . . . . . . . . . . . . . . . . . . </v>
      </c>
    </row>
    <row r="1098" spans="1:11" collapsed="1">
      <c r="A1098" s="238" t="s">
        <v>2298</v>
      </c>
    </row>
    <row r="1099" spans="1:11" hidden="1" outlineLevel="1">
      <c r="B1099" s="437"/>
      <c r="C1099" s="437"/>
      <c r="D1099" s="437"/>
      <c r="E1099" s="477"/>
      <c r="F1099" s="1180" t="s">
        <v>1706</v>
      </c>
      <c r="G1099" s="1180"/>
      <c r="H1099" s="1180"/>
    </row>
    <row r="1100" spans="1:11" hidden="1" outlineLevel="1">
      <c r="D1100" s="437"/>
      <c r="E1100" s="1181" t="s">
        <v>1710</v>
      </c>
      <c r="F1100" s="1181"/>
      <c r="G1100" s="1181"/>
      <c r="H1100" s="1181"/>
    </row>
    <row r="1101" spans="1:11" ht="18.75" hidden="1" outlineLevel="1">
      <c r="G1101" s="444" t="s">
        <v>1716</v>
      </c>
      <c r="H1101" s="445" t="s">
        <v>1717</v>
      </c>
    </row>
    <row r="1102" spans="1:11" ht="21" hidden="1" outlineLevel="1" thickBot="1">
      <c r="B1102" s="1182" t="s">
        <v>1718</v>
      </c>
      <c r="C1102" s="1182"/>
      <c r="D1102" s="1182"/>
      <c r="E1102" s="1182"/>
      <c r="F1102" s="1182"/>
      <c r="G1102" s="1182"/>
      <c r="H1102" s="1182"/>
    </row>
    <row r="1103" spans="1:11" ht="13.5" hidden="1" outlineLevel="1" thickTop="1"/>
    <row r="1104" spans="1:11" hidden="1" outlineLevel="1">
      <c r="B1104" s="1183" t="s">
        <v>1719</v>
      </c>
      <c r="C1104" s="1184"/>
      <c r="D1104" s="1184"/>
      <c r="E1104" s="1184"/>
      <c r="F1104" s="1184"/>
      <c r="G1104" s="1184"/>
      <c r="H1104" s="1185"/>
    </row>
    <row r="1105" spans="2:8" hidden="1" outlineLevel="1">
      <c r="B1105" s="1155" t="s">
        <v>1971</v>
      </c>
      <c r="C1105" s="1156"/>
      <c r="D1105" s="1157"/>
      <c r="E1105" s="1158" t="s">
        <v>1972</v>
      </c>
      <c r="F1105" s="1159"/>
      <c r="G1105" s="1159"/>
      <c r="H1105" s="1160"/>
    </row>
    <row r="1106" spans="2:8" hidden="1" outlineLevel="1"/>
    <row r="1107" spans="2:8" hidden="1" outlineLevel="1">
      <c r="B1107" s="1183" t="s">
        <v>1973</v>
      </c>
      <c r="C1107" s="1184"/>
      <c r="D1107" s="1185"/>
      <c r="E1107" s="1202" t="s">
        <v>1974</v>
      </c>
      <c r="F1107" s="1203"/>
      <c r="G1107" s="1203"/>
      <c r="H1107" s="1205"/>
    </row>
    <row r="1108" spans="2:8" hidden="1" outlineLevel="1">
      <c r="B1108" s="1183" t="s">
        <v>1975</v>
      </c>
      <c r="C1108" s="1184"/>
      <c r="D1108" s="1185"/>
      <c r="E1108" s="1202" t="s">
        <v>1976</v>
      </c>
      <c r="F1108" s="1203"/>
      <c r="G1108" s="1203"/>
      <c r="H1108" s="1205"/>
    </row>
    <row r="1109" spans="2:8" hidden="1" outlineLevel="1">
      <c r="B1109" s="1183" t="s">
        <v>1977</v>
      </c>
      <c r="C1109" s="1184"/>
      <c r="D1109" s="1185"/>
      <c r="E1109" s="1202" t="s">
        <v>1266</v>
      </c>
      <c r="F1109" s="1203"/>
      <c r="G1109" s="1203"/>
      <c r="H1109" s="1205"/>
    </row>
    <row r="1110" spans="2:8" hidden="1" outlineLevel="1">
      <c r="B1110" s="1206" t="s">
        <v>1978</v>
      </c>
      <c r="C1110" s="1207"/>
      <c r="D1110" s="1208"/>
      <c r="E1110" s="1209" t="s">
        <v>1268</v>
      </c>
      <c r="F1110" s="1210"/>
      <c r="G1110" s="1210"/>
      <c r="H1110" s="1211"/>
    </row>
    <row r="1111" spans="2:8" hidden="1" outlineLevel="1">
      <c r="B1111" s="1212" t="s">
        <v>1269</v>
      </c>
      <c r="C1111" s="1212"/>
      <c r="D1111" s="1212"/>
      <c r="E1111" s="1213"/>
      <c r="F1111" s="1213"/>
      <c r="G1111" s="1213"/>
      <c r="H1111" s="1213"/>
    </row>
    <row r="1112" spans="2:8" hidden="1" outlineLevel="1">
      <c r="B1112" s="1214"/>
      <c r="C1112" s="1214"/>
      <c r="D1112" s="1214"/>
      <c r="E1112" s="1215"/>
      <c r="F1112" s="1215"/>
      <c r="G1112" s="1215"/>
      <c r="H1112" s="1215"/>
    </row>
    <row r="1113" spans="2:8" hidden="1" outlineLevel="1">
      <c r="B1113" s="1183" t="s">
        <v>1720</v>
      </c>
      <c r="C1113" s="1184"/>
      <c r="D1113" s="1184"/>
      <c r="E1113" s="1184"/>
      <c r="F1113" s="1184"/>
      <c r="G1113" s="1184"/>
      <c r="H1113" s="1185"/>
    </row>
    <row r="1114" spans="2:8" hidden="1" outlineLevel="1">
      <c r="B1114" s="1198"/>
      <c r="C1114" s="1183" t="s">
        <v>1721</v>
      </c>
      <c r="D1114" s="1185"/>
      <c r="E1114" s="1202" t="s">
        <v>1722</v>
      </c>
      <c r="F1114" s="1203"/>
      <c r="G1114" s="1205"/>
      <c r="H1114" s="448"/>
    </row>
    <row r="1115" spans="2:8" hidden="1" outlineLevel="1">
      <c r="B1115" s="1199"/>
      <c r="C1115" s="1183" t="str">
        <f>+CONCATENATE('[6]company '!B1121,"-""10 сар")</f>
        <v>-"10 сар</v>
      </c>
      <c r="D1115" s="1185"/>
      <c r="E1115" s="1195" t="s">
        <v>46</v>
      </c>
      <c r="F1115" s="1196"/>
      <c r="G1115" s="1197"/>
      <c r="H1115" s="427" t="s">
        <v>1968</v>
      </c>
    </row>
    <row r="1116" spans="2:8" hidden="1" outlineLevel="1">
      <c r="B1116" s="1200"/>
      <c r="C1116" s="1195" t="s">
        <v>1724</v>
      </c>
      <c r="D1116" s="1197"/>
      <c r="E1116" s="1195" t="s">
        <v>1725</v>
      </c>
      <c r="F1116" s="1196"/>
      <c r="G1116" s="1197"/>
      <c r="H1116" s="427"/>
    </row>
    <row r="1117" spans="2:8" hidden="1" outlineLevel="1">
      <c r="B1117" s="478"/>
      <c r="C1117" s="478"/>
      <c r="D1117" s="478"/>
      <c r="E1117" s="478"/>
      <c r="F1117" s="478"/>
      <c r="G1117" s="449"/>
      <c r="H1117" s="450"/>
    </row>
    <row r="1118" spans="2:8" hidden="1" outlineLevel="1">
      <c r="B1118" s="1216" t="s">
        <v>1726</v>
      </c>
      <c r="C1118" s="1216"/>
      <c r="D1118" s="1216"/>
      <c r="E1118" s="451"/>
      <c r="F1118" s="478" t="s">
        <v>1727</v>
      </c>
      <c r="G1118" s="449"/>
      <c r="H1118" s="450" t="s">
        <v>1728</v>
      </c>
    </row>
    <row r="1119" spans="2:8" hidden="1" outlineLevel="1">
      <c r="B1119" s="478"/>
      <c r="C1119" s="478"/>
      <c r="D1119" s="478"/>
      <c r="E1119" s="478"/>
      <c r="F1119" s="478"/>
      <c r="G1119" s="449"/>
      <c r="H1119" s="450"/>
    </row>
    <row r="1120" spans="2:8" hidden="1" outlineLevel="1">
      <c r="B1120" s="478"/>
      <c r="C1120" s="478"/>
      <c r="D1120" s="478"/>
      <c r="E1120" s="478"/>
      <c r="F1120" s="478"/>
      <c r="G1120" s="449"/>
      <c r="H1120" s="450"/>
    </row>
    <row r="1121" spans="2:8" ht="21.75" hidden="1" customHeight="1" outlineLevel="1">
      <c r="B1121" s="1167" t="s">
        <v>1729</v>
      </c>
      <c r="C1121" s="1167"/>
      <c r="D1121" s="1167"/>
      <c r="E1121" s="1167"/>
      <c r="F1121" s="1167"/>
      <c r="G1121" s="1167"/>
      <c r="H1121" s="1167"/>
    </row>
    <row r="1122" spans="2:8" hidden="1" outlineLevel="1">
      <c r="B1122" s="1186" t="s">
        <v>1730</v>
      </c>
      <c r="C1122" s="1187"/>
      <c r="D1122" s="1187"/>
      <c r="E1122" s="1187"/>
      <c r="F1122" s="1188"/>
      <c r="G1122" s="452" t="s">
        <v>1731</v>
      </c>
      <c r="H1122" s="453">
        <f>+H1123+H1124</f>
        <v>350000</v>
      </c>
    </row>
    <row r="1123" spans="2:8" hidden="1" outlineLevel="1">
      <c r="B1123" s="1192" t="s">
        <v>1732</v>
      </c>
      <c r="C1123" s="1193"/>
      <c r="D1123" s="1193"/>
      <c r="E1123" s="1193"/>
      <c r="F1123" s="1194"/>
      <c r="G1123" s="452" t="s">
        <v>99</v>
      </c>
      <c r="H1123" s="427"/>
    </row>
    <row r="1124" spans="2:8" hidden="1" outlineLevel="1">
      <c r="B1124" s="1192" t="s">
        <v>1733</v>
      </c>
      <c r="C1124" s="1193"/>
      <c r="D1124" s="1193"/>
      <c r="E1124" s="1193"/>
      <c r="F1124" s="1194"/>
      <c r="G1124" s="452" t="s">
        <v>1734</v>
      </c>
      <c r="H1124" s="427">
        <f>+H1125+H1131+H1151</f>
        <v>350000</v>
      </c>
    </row>
    <row r="1125" spans="2:8" hidden="1" outlineLevel="1">
      <c r="B1125" s="1198"/>
      <c r="C1125" s="1186" t="s">
        <v>1735</v>
      </c>
      <c r="D1125" s="1187"/>
      <c r="E1125" s="1187"/>
      <c r="F1125" s="1188"/>
      <c r="G1125" s="452" t="s">
        <v>1736</v>
      </c>
      <c r="H1125" s="453">
        <f>+H1126+H1127+H1128+H1129+H1130</f>
        <v>350000</v>
      </c>
    </row>
    <row r="1126" spans="2:8" hidden="1" outlineLevel="1">
      <c r="B1126" s="1199"/>
      <c r="C1126" s="1189" t="s">
        <v>1737</v>
      </c>
      <c r="D1126" s="1195" t="s">
        <v>1738</v>
      </c>
      <c r="E1126" s="1196"/>
      <c r="F1126" s="1197"/>
      <c r="G1126" s="452" t="s">
        <v>173</v>
      </c>
      <c r="H1126" s="427">
        <f>+SUMIFS(JURNAL!H:H,JURNAL!E:E,510000,JURNAL!C:C,"&gt;="&amp;J13,JURNAL!C:C,"&lt;="&amp;K13)+SUMIFS(JURNAL!H:H,JURNAL!E:E,510100,JURNAL!C:C,"&gt;="&amp;J13,JURNAL!C:C,"&lt;="&amp;K13)</f>
        <v>350000</v>
      </c>
    </row>
    <row r="1127" spans="2:8" hidden="1" outlineLevel="1">
      <c r="B1127" s="1199"/>
      <c r="C1127" s="1190"/>
      <c r="D1127" s="1161" t="s">
        <v>1739</v>
      </c>
      <c r="E1127" s="1162"/>
      <c r="F1127" s="1163"/>
      <c r="G1127" s="454" t="s">
        <v>174</v>
      </c>
      <c r="H1127" s="427"/>
    </row>
    <row r="1128" spans="2:8" hidden="1" outlineLevel="1">
      <c r="B1128" s="1199"/>
      <c r="C1128" s="1190"/>
      <c r="D1128" s="1161" t="s">
        <v>831</v>
      </c>
      <c r="E1128" s="1162"/>
      <c r="F1128" s="1163"/>
      <c r="G1128" s="454" t="s">
        <v>897</v>
      </c>
      <c r="H1128" s="427"/>
    </row>
    <row r="1129" spans="2:8" hidden="1" outlineLevel="1">
      <c r="B1129" s="1199"/>
      <c r="C1129" s="1190"/>
      <c r="D1129" s="1161" t="s">
        <v>1740</v>
      </c>
      <c r="E1129" s="1162"/>
      <c r="F1129" s="1163"/>
      <c r="G1129" s="454" t="s">
        <v>899</v>
      </c>
      <c r="H1129" s="427"/>
    </row>
    <row r="1130" spans="2:8" hidden="1" outlineLevel="1">
      <c r="B1130" s="1199"/>
      <c r="C1130" s="1191"/>
      <c r="D1130" s="1161" t="s">
        <v>1741</v>
      </c>
      <c r="E1130" s="1162"/>
      <c r="F1130" s="1163"/>
      <c r="G1130" s="454" t="s">
        <v>901</v>
      </c>
      <c r="H1130" s="427"/>
    </row>
    <row r="1131" spans="2:8" hidden="1" outlineLevel="1">
      <c r="B1131" s="1199"/>
      <c r="C1131" s="1186" t="s">
        <v>1742</v>
      </c>
      <c r="D1131" s="1187"/>
      <c r="E1131" s="1187"/>
      <c r="F1131" s="1188"/>
      <c r="G1131" s="452" t="s">
        <v>1743</v>
      </c>
      <c r="H1131" s="453">
        <f>+H1132+H1133+H1134+H1135+H1136+H1137+H1138+H1139+H1140+H1141+H1142+H1143+H1144+H1145+H1146</f>
        <v>0</v>
      </c>
    </row>
    <row r="1132" spans="2:8" hidden="1" outlineLevel="1">
      <c r="B1132" s="1199"/>
      <c r="C1132" s="1189" t="s">
        <v>1737</v>
      </c>
      <c r="D1132" s="1161" t="s">
        <v>1744</v>
      </c>
      <c r="E1132" s="1162"/>
      <c r="F1132" s="1163"/>
      <c r="G1132" s="454" t="s">
        <v>905</v>
      </c>
      <c r="H1132" s="427"/>
    </row>
    <row r="1133" spans="2:8" hidden="1" outlineLevel="1">
      <c r="B1133" s="1199"/>
      <c r="C1133" s="1190"/>
      <c r="D1133" s="1161" t="s">
        <v>1745</v>
      </c>
      <c r="E1133" s="1162"/>
      <c r="F1133" s="1163"/>
      <c r="G1133" s="454" t="s">
        <v>907</v>
      </c>
      <c r="H1133" s="427"/>
    </row>
    <row r="1134" spans="2:8" hidden="1" outlineLevel="1">
      <c r="B1134" s="1199"/>
      <c r="C1134" s="1190"/>
      <c r="D1134" s="1161" t="s">
        <v>1746</v>
      </c>
      <c r="E1134" s="1162"/>
      <c r="F1134" s="1163"/>
      <c r="G1134" s="454" t="s">
        <v>909</v>
      </c>
      <c r="H1134" s="427"/>
    </row>
    <row r="1135" spans="2:8" hidden="1" outlineLevel="1">
      <c r="B1135" s="1199"/>
      <c r="C1135" s="1190"/>
      <c r="D1135" s="1161" t="s">
        <v>1747</v>
      </c>
      <c r="E1135" s="1162"/>
      <c r="F1135" s="1163"/>
      <c r="G1135" s="454" t="s">
        <v>911</v>
      </c>
      <c r="H1135" s="427"/>
    </row>
    <row r="1136" spans="2:8" hidden="1" outlineLevel="1">
      <c r="B1136" s="1199"/>
      <c r="C1136" s="1190"/>
      <c r="D1136" s="1161" t="s">
        <v>1748</v>
      </c>
      <c r="E1136" s="1162"/>
      <c r="F1136" s="1163"/>
      <c r="G1136" s="454" t="s">
        <v>913</v>
      </c>
      <c r="H1136" s="427"/>
    </row>
    <row r="1137" spans="2:8" hidden="1" outlineLevel="1">
      <c r="B1137" s="1199"/>
      <c r="C1137" s="1190"/>
      <c r="D1137" s="1161" t="s">
        <v>1749</v>
      </c>
      <c r="E1137" s="1162"/>
      <c r="F1137" s="1163"/>
      <c r="G1137" s="454" t="s">
        <v>915</v>
      </c>
      <c r="H1137" s="427"/>
    </row>
    <row r="1138" spans="2:8" hidden="1" outlineLevel="1">
      <c r="B1138" s="1199"/>
      <c r="C1138" s="1190"/>
      <c r="D1138" s="1161" t="s">
        <v>1750</v>
      </c>
      <c r="E1138" s="1162"/>
      <c r="F1138" s="1163"/>
      <c r="G1138" s="454" t="s">
        <v>917</v>
      </c>
      <c r="H1138" s="427"/>
    </row>
    <row r="1139" spans="2:8" hidden="1" outlineLevel="1">
      <c r="B1139" s="1199"/>
      <c r="C1139" s="1190"/>
      <c r="D1139" s="1161" t="s">
        <v>1751</v>
      </c>
      <c r="E1139" s="1162"/>
      <c r="F1139" s="1163"/>
      <c r="G1139" s="454" t="s">
        <v>919</v>
      </c>
      <c r="H1139" s="427"/>
    </row>
    <row r="1140" spans="2:8" hidden="1" outlineLevel="1">
      <c r="B1140" s="1199"/>
      <c r="C1140" s="1190"/>
      <c r="D1140" s="1161" t="s">
        <v>1752</v>
      </c>
      <c r="E1140" s="1162"/>
      <c r="F1140" s="1163"/>
      <c r="G1140" s="454" t="s">
        <v>921</v>
      </c>
      <c r="H1140" s="427"/>
    </row>
    <row r="1141" spans="2:8" hidden="1" outlineLevel="1">
      <c r="B1141" s="1199"/>
      <c r="C1141" s="1190"/>
      <c r="D1141" s="1161" t="s">
        <v>1753</v>
      </c>
      <c r="E1141" s="1162"/>
      <c r="F1141" s="1163"/>
      <c r="G1141" s="454" t="s">
        <v>923</v>
      </c>
      <c r="H1141" s="427"/>
    </row>
    <row r="1142" spans="2:8" hidden="1" outlineLevel="1">
      <c r="B1142" s="1199"/>
      <c r="C1142" s="1190"/>
      <c r="D1142" s="1161" t="s">
        <v>1754</v>
      </c>
      <c r="E1142" s="1162"/>
      <c r="F1142" s="1163"/>
      <c r="G1142" s="454" t="s">
        <v>925</v>
      </c>
      <c r="H1142" s="427"/>
    </row>
    <row r="1143" spans="2:8" hidden="1" outlineLevel="1">
      <c r="B1143" s="1199"/>
      <c r="C1143" s="1190"/>
      <c r="D1143" s="1161" t="s">
        <v>1755</v>
      </c>
      <c r="E1143" s="1162"/>
      <c r="F1143" s="1163"/>
      <c r="G1143" s="454" t="s">
        <v>927</v>
      </c>
      <c r="H1143" s="427"/>
    </row>
    <row r="1144" spans="2:8" hidden="1" outlineLevel="1">
      <c r="B1144" s="1199"/>
      <c r="C1144" s="1190"/>
      <c r="D1144" s="1161" t="s">
        <v>1756</v>
      </c>
      <c r="E1144" s="1162"/>
      <c r="F1144" s="1163"/>
      <c r="G1144" s="454" t="s">
        <v>929</v>
      </c>
      <c r="H1144" s="427"/>
    </row>
    <row r="1145" spans="2:8" hidden="1" outlineLevel="1">
      <c r="B1145" s="1199"/>
      <c r="C1145" s="1190"/>
      <c r="D1145" s="1161" t="s">
        <v>1757</v>
      </c>
      <c r="E1145" s="1162"/>
      <c r="F1145" s="1163"/>
      <c r="G1145" s="454" t="s">
        <v>937</v>
      </c>
      <c r="H1145" s="427"/>
    </row>
    <row r="1146" spans="2:8" hidden="1" outlineLevel="1">
      <c r="B1146" s="1200"/>
      <c r="C1146" s="1191"/>
      <c r="D1146" s="1161" t="s">
        <v>1758</v>
      </c>
      <c r="E1146" s="1162"/>
      <c r="F1146" s="1163"/>
      <c r="G1146" s="454" t="s">
        <v>939</v>
      </c>
      <c r="H1146" s="427"/>
    </row>
    <row r="1147" spans="2:8" hidden="1" outlineLevel="1">
      <c r="B1147" s="1186" t="s">
        <v>1759</v>
      </c>
      <c r="C1147" s="1187"/>
      <c r="D1147" s="1187"/>
      <c r="E1147" s="1187"/>
      <c r="F1147" s="1188"/>
      <c r="G1147" s="452" t="s">
        <v>1760</v>
      </c>
      <c r="H1147" s="453">
        <f>+H1125+H1131</f>
        <v>350000</v>
      </c>
    </row>
    <row r="1148" spans="2:8" hidden="1" outlineLevel="1">
      <c r="B1148" s="1186" t="s">
        <v>1761</v>
      </c>
      <c r="C1148" s="1187"/>
      <c r="D1148" s="1187"/>
      <c r="E1148" s="1187"/>
      <c r="F1148" s="1188"/>
      <c r="G1148" s="452" t="s">
        <v>1762</v>
      </c>
      <c r="H1148" s="453">
        <f>+H1147*0.1</f>
        <v>35000</v>
      </c>
    </row>
    <row r="1149" spans="2:8" hidden="1" outlineLevel="1">
      <c r="B1149" s="1195" t="s">
        <v>1763</v>
      </c>
      <c r="C1149" s="1196"/>
      <c r="D1149" s="1196"/>
      <c r="E1149" s="1196"/>
      <c r="F1149" s="1197"/>
      <c r="G1149" s="452" t="s">
        <v>1764</v>
      </c>
      <c r="H1149" s="427"/>
    </row>
    <row r="1150" spans="2:8" hidden="1" outlineLevel="1">
      <c r="B1150" s="1195" t="s">
        <v>1765</v>
      </c>
      <c r="C1150" s="1196"/>
      <c r="D1150" s="1196"/>
      <c r="E1150" s="1196"/>
      <c r="F1150" s="1197"/>
      <c r="G1150" s="452" t="s">
        <v>1766</v>
      </c>
      <c r="H1150" s="427"/>
    </row>
    <row r="1151" spans="2:8" hidden="1" outlineLevel="1">
      <c r="B1151" s="1186" t="s">
        <v>1767</v>
      </c>
      <c r="C1151" s="1187"/>
      <c r="D1151" s="1187"/>
      <c r="E1151" s="1187"/>
      <c r="F1151" s="1188"/>
      <c r="G1151" s="452" t="s">
        <v>1768</v>
      </c>
      <c r="H1151" s="453">
        <f>+H1149+H1150</f>
        <v>0</v>
      </c>
    </row>
    <row r="1152" spans="2:8" hidden="1" outlineLevel="1">
      <c r="B1152" s="1186" t="s">
        <v>1761</v>
      </c>
      <c r="C1152" s="1187"/>
      <c r="D1152" s="1187"/>
      <c r="E1152" s="1187"/>
      <c r="F1152" s="1188"/>
      <c r="G1152" s="452" t="s">
        <v>1769</v>
      </c>
      <c r="H1152" s="453">
        <f>+H1151*0%</f>
        <v>0</v>
      </c>
    </row>
    <row r="1153" spans="2:8" hidden="1" outlineLevel="1">
      <c r="B1153" s="1186" t="s">
        <v>1770</v>
      </c>
      <c r="C1153" s="1187"/>
      <c r="D1153" s="1187"/>
      <c r="E1153" s="1187"/>
      <c r="F1153" s="1188"/>
      <c r="G1153" s="452" t="s">
        <v>1771</v>
      </c>
      <c r="H1153" s="453">
        <f>+H1148+H1152</f>
        <v>35000</v>
      </c>
    </row>
    <row r="1154" spans="2:8" hidden="1" outlineLevel="1"/>
    <row r="1155" spans="2:8" ht="21" hidden="1" customHeight="1" outlineLevel="1">
      <c r="B1155" s="1167" t="s">
        <v>1772</v>
      </c>
      <c r="C1155" s="1167"/>
      <c r="D1155" s="1167"/>
      <c r="E1155" s="1167"/>
      <c r="F1155" s="1167"/>
      <c r="G1155" s="1167"/>
      <c r="H1155" s="1167"/>
    </row>
    <row r="1156" spans="2:8" hidden="1" outlineLevel="1">
      <c r="B1156" s="1186" t="s">
        <v>1773</v>
      </c>
      <c r="C1156" s="1187"/>
      <c r="D1156" s="1187"/>
      <c r="E1156" s="1187"/>
      <c r="F1156" s="1188"/>
      <c r="G1156" s="452" t="s">
        <v>1774</v>
      </c>
      <c r="H1156" s="427"/>
    </row>
    <row r="1157" spans="2:8" hidden="1" outlineLevel="1">
      <c r="B1157" s="1192" t="s">
        <v>1775</v>
      </c>
      <c r="C1157" s="1193"/>
      <c r="D1157" s="1193"/>
      <c r="E1157" s="1193"/>
      <c r="F1157" s="1194"/>
      <c r="G1157" s="452" t="s">
        <v>1776</v>
      </c>
      <c r="H1157" s="427">
        <f>+H1158+H1159+H1160+H1161</f>
        <v>75033984.900000006</v>
      </c>
    </row>
    <row r="1158" spans="2:8" hidden="1" outlineLevel="1">
      <c r="B1158" s="1189" t="s">
        <v>1737</v>
      </c>
      <c r="C1158" s="1161" t="s">
        <v>1777</v>
      </c>
      <c r="D1158" s="1162"/>
      <c r="E1158" s="1162"/>
      <c r="F1158" s="1163"/>
      <c r="G1158" s="452" t="s">
        <v>1778</v>
      </c>
      <c r="H1158" s="427"/>
    </row>
    <row r="1159" spans="2:8" hidden="1" outlineLevel="1">
      <c r="B1159" s="1190"/>
      <c r="C1159" s="1161" t="s">
        <v>1779</v>
      </c>
      <c r="D1159" s="1162"/>
      <c r="E1159" s="1162"/>
      <c r="F1159" s="1163"/>
      <c r="G1159" s="452" t="s">
        <v>1780</v>
      </c>
      <c r="H1159" s="427">
        <f>+M13*10</f>
        <v>75033984.900000006</v>
      </c>
    </row>
    <row r="1160" spans="2:8" hidden="1" outlineLevel="1">
      <c r="B1160" s="1190"/>
      <c r="C1160" s="1161" t="s">
        <v>1781</v>
      </c>
      <c r="D1160" s="1162"/>
      <c r="E1160" s="1162"/>
      <c r="F1160" s="1163"/>
      <c r="G1160" s="452" t="s">
        <v>1782</v>
      </c>
      <c r="H1160" s="427"/>
    </row>
    <row r="1161" spans="2:8" hidden="1" outlineLevel="1">
      <c r="B1161" s="1191"/>
      <c r="C1161" s="1161" t="s">
        <v>1783</v>
      </c>
      <c r="D1161" s="1162"/>
      <c r="E1161" s="1162"/>
      <c r="F1161" s="1163"/>
      <c r="G1161" s="452" t="s">
        <v>1784</v>
      </c>
      <c r="H1161" s="427"/>
    </row>
    <row r="1162" spans="2:8" hidden="1" outlineLevel="1">
      <c r="B1162" s="1186" t="s">
        <v>1785</v>
      </c>
      <c r="C1162" s="1187"/>
      <c r="D1162" s="1187"/>
      <c r="E1162" s="1187"/>
      <c r="F1162" s="1188"/>
      <c r="G1162" s="452" t="s">
        <v>1786</v>
      </c>
      <c r="H1162" s="453">
        <f>+H1157*0.1</f>
        <v>7503398.4900000012</v>
      </c>
    </row>
    <row r="1163" spans="2:8" hidden="1" outlineLevel="1">
      <c r="B1163" s="1186" t="s">
        <v>1787</v>
      </c>
      <c r="C1163" s="1187"/>
      <c r="D1163" s="1187"/>
      <c r="E1163" s="1187"/>
      <c r="F1163" s="1188"/>
      <c r="G1163" s="452" t="s">
        <v>1788</v>
      </c>
      <c r="H1163" s="453">
        <f>+H1164+H1165+H1166+H1167+H1168+H1169</f>
        <v>0</v>
      </c>
    </row>
    <row r="1164" spans="2:8" hidden="1" outlineLevel="1">
      <c r="B1164" s="1189" t="s">
        <v>1737</v>
      </c>
      <c r="C1164" s="1161" t="s">
        <v>1789</v>
      </c>
      <c r="D1164" s="1162"/>
      <c r="E1164" s="1162"/>
      <c r="F1164" s="1163"/>
      <c r="G1164" s="452" t="s">
        <v>1790</v>
      </c>
      <c r="H1164" s="427"/>
    </row>
    <row r="1165" spans="2:8" hidden="1" outlineLevel="1">
      <c r="B1165" s="1190"/>
      <c r="C1165" s="1161" t="s">
        <v>1791</v>
      </c>
      <c r="D1165" s="1162"/>
      <c r="E1165" s="1162"/>
      <c r="F1165" s="1163"/>
      <c r="G1165" s="452" t="s">
        <v>1792</v>
      </c>
      <c r="H1165" s="427"/>
    </row>
    <row r="1166" spans="2:8" hidden="1" outlineLevel="1">
      <c r="B1166" s="1190"/>
      <c r="C1166" s="1161" t="s">
        <v>1793</v>
      </c>
      <c r="D1166" s="1162"/>
      <c r="E1166" s="1162"/>
      <c r="F1166" s="1163"/>
      <c r="G1166" s="452" t="s">
        <v>1794</v>
      </c>
      <c r="H1166" s="427"/>
    </row>
    <row r="1167" spans="2:8" hidden="1" outlineLevel="1">
      <c r="B1167" s="1190"/>
      <c r="C1167" s="1161" t="s">
        <v>1795</v>
      </c>
      <c r="D1167" s="1162"/>
      <c r="E1167" s="1162"/>
      <c r="F1167" s="1163"/>
      <c r="G1167" s="452" t="s">
        <v>1796</v>
      </c>
      <c r="H1167" s="427"/>
    </row>
    <row r="1168" spans="2:8" hidden="1" outlineLevel="1">
      <c r="B1168" s="1190"/>
      <c r="C1168" s="1161" t="s">
        <v>1797</v>
      </c>
      <c r="D1168" s="1162"/>
      <c r="E1168" s="1162"/>
      <c r="F1168" s="1163"/>
      <c r="G1168" s="452" t="s">
        <v>1798</v>
      </c>
      <c r="H1168" s="427"/>
    </row>
    <row r="1169" spans="2:8" hidden="1" outlineLevel="1">
      <c r="B1169" s="1191"/>
      <c r="C1169" s="1161" t="s">
        <v>1799</v>
      </c>
      <c r="D1169" s="1162"/>
      <c r="E1169" s="1162"/>
      <c r="F1169" s="1163"/>
      <c r="G1169" s="452" t="s">
        <v>1800</v>
      </c>
      <c r="H1169" s="427"/>
    </row>
    <row r="1170" spans="2:8" hidden="1" outlineLevel="1">
      <c r="B1170" s="1186" t="s">
        <v>1801</v>
      </c>
      <c r="C1170" s="1187"/>
      <c r="D1170" s="1187"/>
      <c r="E1170" s="1187"/>
      <c r="F1170" s="1188"/>
      <c r="G1170" s="452" t="s">
        <v>1802</v>
      </c>
      <c r="H1170" s="453">
        <f>+H1162-H1163</f>
        <v>7503398.4900000012</v>
      </c>
    </row>
    <row r="1171" spans="2:8" hidden="1" outlineLevel="1"/>
    <row r="1172" spans="2:8" ht="21.75" hidden="1" customHeight="1" outlineLevel="1">
      <c r="B1172" s="1167" t="s">
        <v>1803</v>
      </c>
      <c r="C1172" s="1167"/>
      <c r="D1172" s="1167"/>
      <c r="E1172" s="1167"/>
      <c r="F1172" s="1167"/>
      <c r="G1172" s="1167"/>
      <c r="H1172" s="1167"/>
    </row>
    <row r="1173" spans="2:8" hidden="1" outlineLevel="1">
      <c r="B1173" s="1161" t="s">
        <v>1804</v>
      </c>
      <c r="C1173" s="1162"/>
      <c r="D1173" s="1162"/>
      <c r="E1173" s="1162"/>
      <c r="F1173" s="1163"/>
      <c r="G1173" s="452" t="s">
        <v>1805</v>
      </c>
      <c r="H1173" s="427"/>
    </row>
    <row r="1174" spans="2:8" hidden="1" outlineLevel="1">
      <c r="B1174" s="1161" t="s">
        <v>1806</v>
      </c>
      <c r="C1174" s="1162"/>
      <c r="D1174" s="1162"/>
      <c r="E1174" s="1162"/>
      <c r="F1174" s="1163"/>
      <c r="G1174" s="452" t="s">
        <v>1807</v>
      </c>
      <c r="H1174" s="427"/>
    </row>
    <row r="1175" spans="2:8" hidden="1" outlineLevel="1">
      <c r="B1175" s="1164" t="s">
        <v>1808</v>
      </c>
      <c r="C1175" s="1165"/>
      <c r="D1175" s="1165"/>
      <c r="E1175" s="1165"/>
      <c r="F1175" s="1166"/>
      <c r="G1175" s="452" t="s">
        <v>1809</v>
      </c>
      <c r="H1175" s="427">
        <f>+(H1173+H1174)*0.1</f>
        <v>0</v>
      </c>
    </row>
    <row r="1176" spans="2:8" hidden="1" outlineLevel="1">
      <c r="B1176" s="1161" t="s">
        <v>1810</v>
      </c>
      <c r="C1176" s="1162"/>
      <c r="D1176" s="1162"/>
      <c r="E1176" s="1162"/>
      <c r="F1176" s="1163"/>
      <c r="G1176" s="452" t="s">
        <v>1811</v>
      </c>
      <c r="H1176" s="427"/>
    </row>
    <row r="1177" spans="2:8" hidden="1" outlineLevel="1">
      <c r="B1177" s="1161" t="s">
        <v>1812</v>
      </c>
      <c r="C1177" s="1162"/>
      <c r="D1177" s="1162"/>
      <c r="E1177" s="1162"/>
      <c r="F1177" s="1163"/>
      <c r="G1177" s="452" t="s">
        <v>1813</v>
      </c>
      <c r="H1177" s="427"/>
    </row>
    <row r="1178" spans="2:8" hidden="1" outlineLevel="1">
      <c r="B1178" s="1164" t="s">
        <v>1814</v>
      </c>
      <c r="C1178" s="1165"/>
      <c r="D1178" s="1165"/>
      <c r="E1178" s="1165"/>
      <c r="F1178" s="1166"/>
      <c r="G1178" s="452" t="s">
        <v>1815</v>
      </c>
      <c r="H1178" s="427">
        <f>+(H1176+H1177)*0.1</f>
        <v>0</v>
      </c>
    </row>
    <row r="1179" spans="2:8" hidden="1" outlineLevel="1"/>
    <row r="1180" spans="2:8" hidden="1" outlineLevel="1">
      <c r="B1180" s="1167" t="s">
        <v>1816</v>
      </c>
      <c r="C1180" s="1167"/>
      <c r="D1180" s="1167"/>
      <c r="E1180" s="1167"/>
      <c r="F1180" s="1167"/>
      <c r="G1180" s="1167"/>
      <c r="H1180" s="1167"/>
    </row>
    <row r="1181" spans="2:8" hidden="1" outlineLevel="1">
      <c r="B1181" s="1164" t="s">
        <v>1817</v>
      </c>
      <c r="C1181" s="1165"/>
      <c r="D1181" s="1165"/>
      <c r="E1181" s="1165"/>
      <c r="F1181" s="1166"/>
      <c r="G1181" s="452" t="s">
        <v>1818</v>
      </c>
      <c r="H1181" s="427">
        <f>+H1153+H1175</f>
        <v>35000</v>
      </c>
    </row>
    <row r="1182" spans="2:8" hidden="1" outlineLevel="1">
      <c r="B1182" s="1164" t="s">
        <v>1819</v>
      </c>
      <c r="C1182" s="1165"/>
      <c r="D1182" s="1165"/>
      <c r="E1182" s="1165"/>
      <c r="F1182" s="1166"/>
      <c r="G1182" s="452" t="s">
        <v>1820</v>
      </c>
      <c r="H1182" s="427">
        <f>+H1170+H1178</f>
        <v>7503398.4900000012</v>
      </c>
    </row>
    <row r="1183" spans="2:8" hidden="1" outlineLevel="1"/>
    <row r="1184" spans="2:8" hidden="1" outlineLevel="1">
      <c r="B1184" s="1167" t="s">
        <v>1821</v>
      </c>
      <c r="C1184" s="1167"/>
      <c r="D1184" s="1167"/>
      <c r="E1184" s="1167"/>
      <c r="F1184" s="1167"/>
      <c r="G1184" s="1167"/>
      <c r="H1184" s="1167"/>
    </row>
    <row r="1185" spans="2:8" hidden="1" outlineLevel="1">
      <c r="B1185" s="1161" t="s">
        <v>1822</v>
      </c>
      <c r="C1185" s="1162"/>
      <c r="D1185" s="1162"/>
      <c r="E1185" s="1162"/>
      <c r="F1185" s="1163"/>
      <c r="G1185" s="452" t="s">
        <v>1823</v>
      </c>
      <c r="H1185" s="427"/>
    </row>
    <row r="1186" spans="2:8" hidden="1" outlineLevel="1">
      <c r="B1186" s="1164" t="s">
        <v>1824</v>
      </c>
      <c r="C1186" s="1165"/>
      <c r="D1186" s="1165"/>
      <c r="E1186" s="1165"/>
      <c r="F1186" s="1166"/>
      <c r="G1186" s="452" t="s">
        <v>1825</v>
      </c>
      <c r="H1186" s="427">
        <f>+H1185*0.1</f>
        <v>0</v>
      </c>
    </row>
    <row r="1187" spans="2:8" hidden="1" outlineLevel="1">
      <c r="B1187" s="1161" t="s">
        <v>1826</v>
      </c>
      <c r="C1187" s="1162"/>
      <c r="D1187" s="1162"/>
      <c r="E1187" s="1162"/>
      <c r="F1187" s="1163"/>
      <c r="G1187" s="452" t="s">
        <v>1827</v>
      </c>
      <c r="H1187" s="427"/>
    </row>
    <row r="1188" spans="2:8" hidden="1" outlineLevel="1">
      <c r="B1188" s="1164" t="s">
        <v>1814</v>
      </c>
      <c r="C1188" s="1165"/>
      <c r="D1188" s="1165"/>
      <c r="E1188" s="1165"/>
      <c r="F1188" s="1166"/>
      <c r="G1188" s="452" t="s">
        <v>1828</v>
      </c>
      <c r="H1188" s="427">
        <f>+H1187*0.1</f>
        <v>0</v>
      </c>
    </row>
    <row r="1189" spans="2:8" hidden="1" outlineLevel="1"/>
    <row r="1190" spans="2:8" hidden="1" outlineLevel="1">
      <c r="B1190" s="1167" t="s">
        <v>1829</v>
      </c>
      <c r="C1190" s="1167"/>
      <c r="D1190" s="1167"/>
      <c r="E1190" s="1167"/>
      <c r="F1190" s="1167"/>
      <c r="G1190" s="1167"/>
      <c r="H1190" s="1167"/>
    </row>
    <row r="1191" spans="2:8" hidden="1" outlineLevel="1">
      <c r="B1191" s="1168" t="s">
        <v>1303</v>
      </c>
      <c r="C1191" s="1168"/>
      <c r="D1191" s="1169" t="s">
        <v>1830</v>
      </c>
      <c r="E1191" s="1170"/>
      <c r="F1191" s="1171"/>
      <c r="G1191" s="452" t="s">
        <v>1831</v>
      </c>
      <c r="H1191" s="427">
        <f>+H1181-H1186</f>
        <v>35000</v>
      </c>
    </row>
    <row r="1192" spans="2:8" hidden="1" outlineLevel="1">
      <c r="B1192" s="1168"/>
      <c r="C1192" s="1168"/>
      <c r="D1192" s="1169" t="s">
        <v>1832</v>
      </c>
      <c r="E1192" s="1170"/>
      <c r="F1192" s="1171"/>
      <c r="G1192" s="452" t="s">
        <v>1833</v>
      </c>
      <c r="H1192" s="427">
        <f>+H1182-H1188</f>
        <v>7503398.4900000012</v>
      </c>
    </row>
    <row r="1193" spans="2:8" hidden="1" outlineLevel="1">
      <c r="B1193" s="1168"/>
      <c r="C1193" s="1168"/>
      <c r="D1193" s="1169" t="s">
        <v>1834</v>
      </c>
      <c r="E1193" s="1170"/>
      <c r="F1193" s="1171"/>
      <c r="G1193" s="452" t="s">
        <v>1835</v>
      </c>
      <c r="H1193" s="427">
        <f>+H1191-H1192</f>
        <v>-7468398.4900000012</v>
      </c>
    </row>
    <row r="1194" spans="2:8" hidden="1" outlineLevel="1">
      <c r="B1194" s="1168"/>
      <c r="C1194" s="1168"/>
      <c r="D1194" s="1169" t="s">
        <v>1836</v>
      </c>
      <c r="E1194" s="1170"/>
      <c r="F1194" s="1171"/>
      <c r="G1194" s="452" t="s">
        <v>1837</v>
      </c>
      <c r="H1194" s="427"/>
    </row>
    <row r="1195" spans="2:8" hidden="1" outlineLevel="1"/>
    <row r="1196" spans="2:8" hidden="1" outlineLevel="1">
      <c r="B1196" s="1176" t="s">
        <v>1838</v>
      </c>
      <c r="C1196" s="1176"/>
      <c r="D1196" s="1176"/>
      <c r="E1196" s="1176"/>
      <c r="F1196" s="1176"/>
      <c r="G1196" s="455" t="s">
        <v>1839</v>
      </c>
      <c r="H1196" s="456" t="s">
        <v>1840</v>
      </c>
    </row>
    <row r="1197" spans="2:8" hidden="1" outlineLevel="1">
      <c r="B1197" s="1172" t="s">
        <v>1841</v>
      </c>
      <c r="C1197" s="1172"/>
      <c r="D1197" s="1172"/>
      <c r="E1197" s="457" t="s">
        <v>1072</v>
      </c>
      <c r="F1197" s="458">
        <v>1</v>
      </c>
      <c r="G1197" s="459">
        <f>+O12</f>
        <v>0</v>
      </c>
      <c r="H1197" s="460"/>
    </row>
    <row r="1198" spans="2:8" hidden="1" outlineLevel="1">
      <c r="B1198" s="1172"/>
      <c r="C1198" s="1172"/>
      <c r="D1198" s="1172"/>
      <c r="E1198" s="457" t="s">
        <v>1073</v>
      </c>
      <c r="F1198" s="458">
        <f>+F1197+1</f>
        <v>2</v>
      </c>
      <c r="G1198" s="461"/>
      <c r="H1198" s="462">
        <f>+P12</f>
        <v>62691753.042727269</v>
      </c>
    </row>
    <row r="1199" spans="2:8" hidden="1" outlineLevel="1">
      <c r="B1199" s="1172" t="s">
        <v>1842</v>
      </c>
      <c r="C1199" s="1172"/>
      <c r="D1199" s="1172"/>
      <c r="E1199" s="457" t="s">
        <v>1072</v>
      </c>
      <c r="F1199" s="458">
        <f t="shared" ref="F1199:F1212" si="11">+F1198+1</f>
        <v>3</v>
      </c>
      <c r="G1199" s="459"/>
      <c r="H1199" s="460"/>
    </row>
    <row r="1200" spans="2:8" hidden="1" outlineLevel="1">
      <c r="B1200" s="1172"/>
      <c r="C1200" s="1172"/>
      <c r="D1200" s="1172"/>
      <c r="E1200" s="457" t="s">
        <v>1073</v>
      </c>
      <c r="F1200" s="458">
        <f t="shared" si="11"/>
        <v>4</v>
      </c>
      <c r="G1200" s="461"/>
      <c r="H1200" s="462">
        <f>+H1193</f>
        <v>-7468398.4900000012</v>
      </c>
    </row>
    <row r="1201" spans="2:11" hidden="1" outlineLevel="1">
      <c r="B1201" s="1173" t="s">
        <v>1078</v>
      </c>
      <c r="C1201" s="1174"/>
      <c r="D1201" s="1174"/>
      <c r="E1201" s="1175"/>
      <c r="F1201" s="458">
        <f t="shared" si="11"/>
        <v>5</v>
      </c>
      <c r="G1201" s="459">
        <f>+L13</f>
        <v>0</v>
      </c>
      <c r="H1201" s="460"/>
    </row>
    <row r="1202" spans="2:11" hidden="1" outlineLevel="1">
      <c r="B1202" s="1177" t="s">
        <v>1843</v>
      </c>
      <c r="C1202" s="1178"/>
      <c r="D1202" s="1178"/>
      <c r="E1202" s="1179"/>
      <c r="F1202" s="458">
        <f t="shared" si="11"/>
        <v>6</v>
      </c>
      <c r="G1202" s="464"/>
      <c r="H1202" s="460"/>
    </row>
    <row r="1203" spans="2:11" hidden="1" outlineLevel="1">
      <c r="B1203" s="1177" t="s">
        <v>1843</v>
      </c>
      <c r="C1203" s="1178"/>
      <c r="D1203" s="1178"/>
      <c r="E1203" s="1179"/>
      <c r="F1203" s="458">
        <f t="shared" si="11"/>
        <v>7</v>
      </c>
      <c r="G1203" s="461"/>
      <c r="H1203" s="463"/>
    </row>
    <row r="1204" spans="2:11" hidden="1" outlineLevel="1">
      <c r="B1204" s="1172" t="s">
        <v>1844</v>
      </c>
      <c r="C1204" s="1172"/>
      <c r="D1204" s="1172"/>
      <c r="E1204" s="457" t="s">
        <v>1072</v>
      </c>
      <c r="F1204" s="458">
        <f t="shared" si="11"/>
        <v>8</v>
      </c>
      <c r="G1204" s="464"/>
      <c r="H1204" s="460"/>
    </row>
    <row r="1205" spans="2:11" hidden="1" outlineLevel="1">
      <c r="B1205" s="1172"/>
      <c r="C1205" s="1172"/>
      <c r="D1205" s="1172"/>
      <c r="E1205" s="457" t="s">
        <v>1073</v>
      </c>
      <c r="F1205" s="458">
        <f t="shared" si="11"/>
        <v>9</v>
      </c>
      <c r="G1205" s="461"/>
      <c r="H1205" s="463"/>
    </row>
    <row r="1206" spans="2:11" hidden="1" outlineLevel="1">
      <c r="B1206" s="1172" t="s">
        <v>1845</v>
      </c>
      <c r="C1206" s="1172"/>
      <c r="D1206" s="1172"/>
      <c r="E1206" s="457" t="s">
        <v>1072</v>
      </c>
      <c r="F1206" s="458">
        <f t="shared" si="11"/>
        <v>10</v>
      </c>
      <c r="G1206" s="464"/>
      <c r="H1206" s="460"/>
    </row>
    <row r="1207" spans="2:11" hidden="1" outlineLevel="1">
      <c r="B1207" s="1172"/>
      <c r="C1207" s="1172"/>
      <c r="D1207" s="1172"/>
      <c r="E1207" s="457" t="s">
        <v>1073</v>
      </c>
      <c r="F1207" s="458">
        <f t="shared" si="11"/>
        <v>11</v>
      </c>
      <c r="G1207" s="461"/>
      <c r="H1207" s="463"/>
    </row>
    <row r="1208" spans="2:11" hidden="1" outlineLevel="1">
      <c r="B1208" s="1173" t="s">
        <v>1846</v>
      </c>
      <c r="C1208" s="1174"/>
      <c r="D1208" s="1174"/>
      <c r="E1208" s="1175"/>
      <c r="F1208" s="458">
        <f t="shared" si="11"/>
        <v>12</v>
      </c>
      <c r="G1208" s="464"/>
      <c r="H1208" s="460"/>
    </row>
    <row r="1209" spans="2:11" hidden="1" outlineLevel="1">
      <c r="B1209" s="1172" t="s">
        <v>1847</v>
      </c>
      <c r="C1209" s="1172"/>
      <c r="D1209" s="1172"/>
      <c r="E1209" s="457" t="s">
        <v>1072</v>
      </c>
      <c r="F1209" s="458">
        <f t="shared" si="11"/>
        <v>13</v>
      </c>
      <c r="G1209" s="464"/>
      <c r="H1209" s="460"/>
    </row>
    <row r="1210" spans="2:11" hidden="1" outlineLevel="1">
      <c r="B1210" s="1172"/>
      <c r="C1210" s="1172"/>
      <c r="D1210" s="1172"/>
      <c r="E1210" s="457" t="s">
        <v>1073</v>
      </c>
      <c r="F1210" s="458">
        <f t="shared" si="11"/>
        <v>14</v>
      </c>
      <c r="G1210" s="461"/>
      <c r="H1210" s="463"/>
    </row>
    <row r="1211" spans="2:11" hidden="1" outlineLevel="1">
      <c r="B1211" s="1172" t="s">
        <v>1848</v>
      </c>
      <c r="C1211" s="1172"/>
      <c r="D1211" s="1172"/>
      <c r="E1211" s="457" t="s">
        <v>1072</v>
      </c>
      <c r="F1211" s="458">
        <f t="shared" si="11"/>
        <v>15</v>
      </c>
      <c r="G1211" s="459">
        <f>IF((G1197+G1199+G1201-H1198-H1200)&gt;0,(G1197+G1199+G1201-H1198-H1200),0)</f>
        <v>0</v>
      </c>
      <c r="H1211" s="460"/>
    </row>
    <row r="1212" spans="2:11" hidden="1" outlineLevel="1">
      <c r="B1212" s="1172"/>
      <c r="C1212" s="1172"/>
      <c r="D1212" s="1172"/>
      <c r="E1212" s="457" t="s">
        <v>1073</v>
      </c>
      <c r="F1212" s="458">
        <f t="shared" si="11"/>
        <v>16</v>
      </c>
      <c r="G1212" s="465"/>
      <c r="H1212" s="510">
        <f>+IF((H1198+H1200-G1197-G1199-G1201)&gt;0,(H1198+H1200-G1197-G1199-G1201),0)</f>
        <v>55223354.552727267</v>
      </c>
      <c r="J1212" s="79">
        <f>+P13</f>
        <v>62755740.912727274</v>
      </c>
      <c r="K1212" s="79">
        <f>+J1212-H1212</f>
        <v>7532386.3600000069</v>
      </c>
    </row>
    <row r="1213" spans="2:11" hidden="1" outlineLevel="1"/>
    <row r="1214" spans="2:11" hidden="1" outlineLevel="1"/>
    <row r="1215" spans="2:11" hidden="1" outlineLevel="1">
      <c r="B1215" s="332" t="s">
        <v>1849</v>
      </c>
      <c r="E1215" s="332" t="s">
        <v>1083</v>
      </c>
    </row>
    <row r="1216" spans="2:11" hidden="1" outlineLevel="1">
      <c r="B1216" s="332"/>
    </row>
    <row r="1217" spans="1:8" hidden="1" outlineLevel="1">
      <c r="B1217" s="332" t="str">
        <f>+CONCATENATE('[6]company '!B1123," . . . . . . . . . . . . . . . . . .  ... . . . .. . . . ",'[6]company '!C1123)</f>
        <v xml:space="preserve"> . . . . . . . . . . . . . . . . . .  ... . . . .. . . . </v>
      </c>
      <c r="E1217" s="332" t="s">
        <v>1850</v>
      </c>
    </row>
    <row r="1218" spans="1:8" hidden="1" outlineLevel="1">
      <c r="B1218" s="332"/>
    </row>
    <row r="1219" spans="1:8" hidden="1" outlineLevel="1">
      <c r="B1219" s="332" t="str">
        <f>+CONCATENATE('[6]company '!B1126,". . . . . . . . . . . . . . . . . . . . ",'[6]company '!C1126)</f>
        <v xml:space="preserve">. . . . . . . . . . . . . . . . . . . . </v>
      </c>
    </row>
    <row r="1220" spans="1:8" collapsed="1">
      <c r="A1220" s="238" t="s">
        <v>2299</v>
      </c>
    </row>
    <row r="1221" spans="1:8" outlineLevel="1">
      <c r="B1221" s="437"/>
      <c r="C1221" s="437"/>
      <c r="D1221" s="437"/>
      <c r="E1221" s="477"/>
      <c r="F1221" s="1180" t="s">
        <v>1706</v>
      </c>
      <c r="G1221" s="1180"/>
      <c r="H1221" s="1180"/>
    </row>
    <row r="1222" spans="1:8" outlineLevel="1">
      <c r="D1222" s="437"/>
      <c r="E1222" s="1181" t="s">
        <v>1710</v>
      </c>
      <c r="F1222" s="1181"/>
      <c r="G1222" s="1181"/>
      <c r="H1222" s="1181"/>
    </row>
    <row r="1223" spans="1:8" ht="18.75" outlineLevel="1">
      <c r="G1223" s="444" t="s">
        <v>1716</v>
      </c>
      <c r="H1223" s="445" t="s">
        <v>1717</v>
      </c>
    </row>
    <row r="1224" spans="1:8" ht="21" outlineLevel="1" thickBot="1">
      <c r="B1224" s="1182" t="s">
        <v>1718</v>
      </c>
      <c r="C1224" s="1182"/>
      <c r="D1224" s="1182"/>
      <c r="E1224" s="1182"/>
      <c r="F1224" s="1182"/>
      <c r="G1224" s="1182"/>
      <c r="H1224" s="1182"/>
    </row>
    <row r="1225" spans="1:8" ht="13.5" outlineLevel="1" thickTop="1"/>
    <row r="1226" spans="1:8" outlineLevel="1">
      <c r="B1226" s="1183" t="s">
        <v>1719</v>
      </c>
      <c r="C1226" s="1184"/>
      <c r="D1226" s="1184"/>
      <c r="E1226" s="1184"/>
      <c r="F1226" s="1184"/>
      <c r="G1226" s="1184"/>
      <c r="H1226" s="1185"/>
    </row>
    <row r="1227" spans="1:8" outlineLevel="1">
      <c r="B1227" s="1155" t="s">
        <v>1971</v>
      </c>
      <c r="C1227" s="1156"/>
      <c r="D1227" s="1157"/>
      <c r="E1227" s="1158" t="s">
        <v>1972</v>
      </c>
      <c r="F1227" s="1159"/>
      <c r="G1227" s="1159"/>
      <c r="H1227" s="1160"/>
    </row>
    <row r="1228" spans="1:8" outlineLevel="1"/>
    <row r="1229" spans="1:8" outlineLevel="1">
      <c r="B1229" s="1183" t="s">
        <v>1973</v>
      </c>
      <c r="C1229" s="1184"/>
      <c r="D1229" s="1185"/>
      <c r="E1229" s="1202" t="s">
        <v>1974</v>
      </c>
      <c r="F1229" s="1203"/>
      <c r="G1229" s="1203"/>
      <c r="H1229" s="1205"/>
    </row>
    <row r="1230" spans="1:8" outlineLevel="1">
      <c r="B1230" s="1183" t="s">
        <v>1975</v>
      </c>
      <c r="C1230" s="1184"/>
      <c r="D1230" s="1185"/>
      <c r="E1230" s="1202" t="s">
        <v>1976</v>
      </c>
      <c r="F1230" s="1203"/>
      <c r="G1230" s="1203"/>
      <c r="H1230" s="1205"/>
    </row>
    <row r="1231" spans="1:8" outlineLevel="1">
      <c r="B1231" s="1183" t="s">
        <v>1977</v>
      </c>
      <c r="C1231" s="1184"/>
      <c r="D1231" s="1185"/>
      <c r="E1231" s="1202" t="s">
        <v>1266</v>
      </c>
      <c r="F1231" s="1203"/>
      <c r="G1231" s="1203"/>
      <c r="H1231" s="1205"/>
    </row>
    <row r="1232" spans="1:8" outlineLevel="1">
      <c r="B1232" s="1206" t="s">
        <v>1978</v>
      </c>
      <c r="C1232" s="1207"/>
      <c r="D1232" s="1208"/>
      <c r="E1232" s="1209" t="s">
        <v>1268</v>
      </c>
      <c r="F1232" s="1210"/>
      <c r="G1232" s="1210"/>
      <c r="H1232" s="1211"/>
    </row>
    <row r="1233" spans="2:8" outlineLevel="1">
      <c r="B1233" s="1212" t="s">
        <v>1269</v>
      </c>
      <c r="C1233" s="1212"/>
      <c r="D1233" s="1212"/>
      <c r="E1233" s="1213"/>
      <c r="F1233" s="1213"/>
      <c r="G1233" s="1213"/>
      <c r="H1233" s="1213"/>
    </row>
    <row r="1234" spans="2:8" outlineLevel="1">
      <c r="B1234" s="1214"/>
      <c r="C1234" s="1214"/>
      <c r="D1234" s="1214"/>
      <c r="E1234" s="1215"/>
      <c r="F1234" s="1215"/>
      <c r="G1234" s="1215"/>
      <c r="H1234" s="1215"/>
    </row>
    <row r="1235" spans="2:8" outlineLevel="1">
      <c r="B1235" s="1183" t="s">
        <v>1720</v>
      </c>
      <c r="C1235" s="1184"/>
      <c r="D1235" s="1184"/>
      <c r="E1235" s="1184"/>
      <c r="F1235" s="1184"/>
      <c r="G1235" s="1184"/>
      <c r="H1235" s="1185"/>
    </row>
    <row r="1236" spans="2:8" outlineLevel="1">
      <c r="B1236" s="1198"/>
      <c r="C1236" s="1183" t="s">
        <v>1721</v>
      </c>
      <c r="D1236" s="1185"/>
      <c r="E1236" s="1202" t="s">
        <v>1722</v>
      </c>
      <c r="F1236" s="1203"/>
      <c r="G1236" s="1205"/>
      <c r="H1236" s="448"/>
    </row>
    <row r="1237" spans="2:8" outlineLevel="1">
      <c r="B1237" s="1199"/>
      <c r="C1237" s="1183" t="str">
        <f>+CONCATENATE('[6]company '!B1243,"-""11 сар")</f>
        <v>-"11 сар</v>
      </c>
      <c r="D1237" s="1185"/>
      <c r="E1237" s="1195" t="s">
        <v>46</v>
      </c>
      <c r="F1237" s="1196"/>
      <c r="G1237" s="1197"/>
      <c r="H1237" s="427" t="s">
        <v>1969</v>
      </c>
    </row>
    <row r="1238" spans="2:8" outlineLevel="1">
      <c r="B1238" s="1200"/>
      <c r="C1238" s="1195" t="s">
        <v>1724</v>
      </c>
      <c r="D1238" s="1197"/>
      <c r="E1238" s="1195" t="s">
        <v>1725</v>
      </c>
      <c r="F1238" s="1196"/>
      <c r="G1238" s="1197"/>
      <c r="H1238" s="427"/>
    </row>
    <row r="1239" spans="2:8" outlineLevel="1">
      <c r="B1239" s="478"/>
      <c r="C1239" s="478"/>
      <c r="D1239" s="478"/>
      <c r="E1239" s="478"/>
      <c r="F1239" s="478"/>
      <c r="G1239" s="449"/>
      <c r="H1239" s="450"/>
    </row>
    <row r="1240" spans="2:8" outlineLevel="1">
      <c r="B1240" s="1216" t="s">
        <v>1726</v>
      </c>
      <c r="C1240" s="1216"/>
      <c r="D1240" s="1216"/>
      <c r="E1240" s="451"/>
      <c r="F1240" s="478" t="s">
        <v>1727</v>
      </c>
      <c r="G1240" s="449"/>
      <c r="H1240" s="450" t="s">
        <v>1728</v>
      </c>
    </row>
    <row r="1241" spans="2:8" outlineLevel="1">
      <c r="B1241" s="478"/>
      <c r="C1241" s="478"/>
      <c r="D1241" s="478"/>
      <c r="E1241" s="478"/>
      <c r="F1241" s="478"/>
      <c r="G1241" s="449"/>
      <c r="H1241" s="450"/>
    </row>
    <row r="1242" spans="2:8" outlineLevel="1">
      <c r="B1242" s="478"/>
      <c r="C1242" s="478"/>
      <c r="D1242" s="478"/>
      <c r="E1242" s="478"/>
      <c r="F1242" s="478"/>
      <c r="G1242" s="449"/>
      <c r="H1242" s="450"/>
    </row>
    <row r="1243" spans="2:8" ht="23.25" customHeight="1" outlineLevel="1">
      <c r="B1243" s="1167" t="s">
        <v>1729</v>
      </c>
      <c r="C1243" s="1167"/>
      <c r="D1243" s="1167"/>
      <c r="E1243" s="1167"/>
      <c r="F1243" s="1167"/>
      <c r="G1243" s="1167"/>
      <c r="H1243" s="1167"/>
    </row>
    <row r="1244" spans="2:8" outlineLevel="1">
      <c r="B1244" s="1186" t="s">
        <v>1730</v>
      </c>
      <c r="C1244" s="1187"/>
      <c r="D1244" s="1187"/>
      <c r="E1244" s="1187"/>
      <c r="F1244" s="1188"/>
      <c r="G1244" s="452" t="s">
        <v>1731</v>
      </c>
      <c r="H1244" s="453">
        <f>+H1245+H1246</f>
        <v>992863.64</v>
      </c>
    </row>
    <row r="1245" spans="2:8" outlineLevel="1">
      <c r="B1245" s="1192" t="s">
        <v>1732</v>
      </c>
      <c r="C1245" s="1193"/>
      <c r="D1245" s="1193"/>
      <c r="E1245" s="1193"/>
      <c r="F1245" s="1194"/>
      <c r="G1245" s="452" t="s">
        <v>99</v>
      </c>
      <c r="H1245" s="427"/>
    </row>
    <row r="1246" spans="2:8" outlineLevel="1">
      <c r="B1246" s="1192" t="s">
        <v>1733</v>
      </c>
      <c r="C1246" s="1193"/>
      <c r="D1246" s="1193"/>
      <c r="E1246" s="1193"/>
      <c r="F1246" s="1194"/>
      <c r="G1246" s="452" t="s">
        <v>1734</v>
      </c>
      <c r="H1246" s="427">
        <f>+H1247+H1253+H1273</f>
        <v>992863.64</v>
      </c>
    </row>
    <row r="1247" spans="2:8" outlineLevel="1">
      <c r="B1247" s="1198"/>
      <c r="C1247" s="1186" t="s">
        <v>1735</v>
      </c>
      <c r="D1247" s="1187"/>
      <c r="E1247" s="1187"/>
      <c r="F1247" s="1188"/>
      <c r="G1247" s="452" t="s">
        <v>1736</v>
      </c>
      <c r="H1247" s="453">
        <f>+H1248+H1249+H1250+H1251+H1252</f>
        <v>992863.64</v>
      </c>
    </row>
    <row r="1248" spans="2:8" outlineLevel="1">
      <c r="B1248" s="1199"/>
      <c r="C1248" s="1189" t="s">
        <v>1737</v>
      </c>
      <c r="D1248" s="1195" t="s">
        <v>1738</v>
      </c>
      <c r="E1248" s="1196"/>
      <c r="F1248" s="1197"/>
      <c r="G1248" s="452" t="s">
        <v>173</v>
      </c>
      <c r="H1248" s="427">
        <f>+SUMIFS(JURNAL!H:H,JURNAL!E:E,510000,JURNAL!C:C,"&gt;="&amp;J14,JURNAL!C:C,"&lt;="&amp;K14)+SUMIFS(JURNAL!H:H,JURNAL!E:E,510100,JURNAL!C:C,"&gt;="&amp;J14,JURNAL!C:C,"&lt;="&amp;K14)</f>
        <v>992863.64</v>
      </c>
    </row>
    <row r="1249" spans="2:8" outlineLevel="1">
      <c r="B1249" s="1199"/>
      <c r="C1249" s="1190"/>
      <c r="D1249" s="1161" t="s">
        <v>1739</v>
      </c>
      <c r="E1249" s="1162"/>
      <c r="F1249" s="1163"/>
      <c r="G1249" s="454" t="s">
        <v>174</v>
      </c>
      <c r="H1249" s="427"/>
    </row>
    <row r="1250" spans="2:8" outlineLevel="1">
      <c r="B1250" s="1199"/>
      <c r="C1250" s="1190"/>
      <c r="D1250" s="1161" t="s">
        <v>831</v>
      </c>
      <c r="E1250" s="1162"/>
      <c r="F1250" s="1163"/>
      <c r="G1250" s="454" t="s">
        <v>897</v>
      </c>
      <c r="H1250" s="427"/>
    </row>
    <row r="1251" spans="2:8" outlineLevel="1">
      <c r="B1251" s="1199"/>
      <c r="C1251" s="1190"/>
      <c r="D1251" s="1161" t="s">
        <v>1740</v>
      </c>
      <c r="E1251" s="1162"/>
      <c r="F1251" s="1163"/>
      <c r="G1251" s="454" t="s">
        <v>899</v>
      </c>
      <c r="H1251" s="427"/>
    </row>
    <row r="1252" spans="2:8" outlineLevel="1">
      <c r="B1252" s="1199"/>
      <c r="C1252" s="1191"/>
      <c r="D1252" s="1161" t="s">
        <v>1741</v>
      </c>
      <c r="E1252" s="1162"/>
      <c r="F1252" s="1163"/>
      <c r="G1252" s="454" t="s">
        <v>901</v>
      </c>
      <c r="H1252" s="427"/>
    </row>
    <row r="1253" spans="2:8" outlineLevel="1">
      <c r="B1253" s="1199"/>
      <c r="C1253" s="1186" t="s">
        <v>1742</v>
      </c>
      <c r="D1253" s="1187"/>
      <c r="E1253" s="1187"/>
      <c r="F1253" s="1188"/>
      <c r="G1253" s="452" t="s">
        <v>1743</v>
      </c>
      <c r="H1253" s="453">
        <f>+H1254+H1255+H1256+H1257+H1258+H1259+H1260+H1261+H1262+H1263+H1264+H1265+H1266+H1267+H1268</f>
        <v>0</v>
      </c>
    </row>
    <row r="1254" spans="2:8" outlineLevel="1">
      <c r="B1254" s="1199"/>
      <c r="C1254" s="1189" t="s">
        <v>1737</v>
      </c>
      <c r="D1254" s="1161" t="s">
        <v>1744</v>
      </c>
      <c r="E1254" s="1162"/>
      <c r="F1254" s="1163"/>
      <c r="G1254" s="454" t="s">
        <v>905</v>
      </c>
      <c r="H1254" s="427"/>
    </row>
    <row r="1255" spans="2:8" outlineLevel="1">
      <c r="B1255" s="1199"/>
      <c r="C1255" s="1190"/>
      <c r="D1255" s="1161" t="s">
        <v>1745</v>
      </c>
      <c r="E1255" s="1162"/>
      <c r="F1255" s="1163"/>
      <c r="G1255" s="454" t="s">
        <v>907</v>
      </c>
      <c r="H1255" s="427"/>
    </row>
    <row r="1256" spans="2:8" outlineLevel="1">
      <c r="B1256" s="1199"/>
      <c r="C1256" s="1190"/>
      <c r="D1256" s="1161" t="s">
        <v>1746</v>
      </c>
      <c r="E1256" s="1162"/>
      <c r="F1256" s="1163"/>
      <c r="G1256" s="454" t="s">
        <v>909</v>
      </c>
      <c r="H1256" s="427"/>
    </row>
    <row r="1257" spans="2:8" outlineLevel="1">
      <c r="B1257" s="1199"/>
      <c r="C1257" s="1190"/>
      <c r="D1257" s="1161" t="s">
        <v>1747</v>
      </c>
      <c r="E1257" s="1162"/>
      <c r="F1257" s="1163"/>
      <c r="G1257" s="454" t="s">
        <v>911</v>
      </c>
      <c r="H1257" s="427"/>
    </row>
    <row r="1258" spans="2:8" outlineLevel="1">
      <c r="B1258" s="1199"/>
      <c r="C1258" s="1190"/>
      <c r="D1258" s="1161" t="s">
        <v>1748</v>
      </c>
      <c r="E1258" s="1162"/>
      <c r="F1258" s="1163"/>
      <c r="G1258" s="454" t="s">
        <v>913</v>
      </c>
      <c r="H1258" s="427"/>
    </row>
    <row r="1259" spans="2:8" outlineLevel="1">
      <c r="B1259" s="1199"/>
      <c r="C1259" s="1190"/>
      <c r="D1259" s="1161" t="s">
        <v>1749</v>
      </c>
      <c r="E1259" s="1162"/>
      <c r="F1259" s="1163"/>
      <c r="G1259" s="454" t="s">
        <v>915</v>
      </c>
      <c r="H1259" s="427"/>
    </row>
    <row r="1260" spans="2:8" outlineLevel="1">
      <c r="B1260" s="1199"/>
      <c r="C1260" s="1190"/>
      <c r="D1260" s="1161" t="s">
        <v>1750</v>
      </c>
      <c r="E1260" s="1162"/>
      <c r="F1260" s="1163"/>
      <c r="G1260" s="454" t="s">
        <v>917</v>
      </c>
      <c r="H1260" s="427"/>
    </row>
    <row r="1261" spans="2:8" outlineLevel="1">
      <c r="B1261" s="1199"/>
      <c r="C1261" s="1190"/>
      <c r="D1261" s="1161" t="s">
        <v>1751</v>
      </c>
      <c r="E1261" s="1162"/>
      <c r="F1261" s="1163"/>
      <c r="G1261" s="454" t="s">
        <v>919</v>
      </c>
      <c r="H1261" s="427"/>
    </row>
    <row r="1262" spans="2:8" outlineLevel="1">
      <c r="B1262" s="1199"/>
      <c r="C1262" s="1190"/>
      <c r="D1262" s="1161" t="s">
        <v>1752</v>
      </c>
      <c r="E1262" s="1162"/>
      <c r="F1262" s="1163"/>
      <c r="G1262" s="454" t="s">
        <v>921</v>
      </c>
      <c r="H1262" s="427"/>
    </row>
    <row r="1263" spans="2:8" outlineLevel="1">
      <c r="B1263" s="1199"/>
      <c r="C1263" s="1190"/>
      <c r="D1263" s="1161" t="s">
        <v>1753</v>
      </c>
      <c r="E1263" s="1162"/>
      <c r="F1263" s="1163"/>
      <c r="G1263" s="454" t="s">
        <v>923</v>
      </c>
      <c r="H1263" s="427"/>
    </row>
    <row r="1264" spans="2:8" outlineLevel="1">
      <c r="B1264" s="1199"/>
      <c r="C1264" s="1190"/>
      <c r="D1264" s="1161" t="s">
        <v>1754</v>
      </c>
      <c r="E1264" s="1162"/>
      <c r="F1264" s="1163"/>
      <c r="G1264" s="454" t="s">
        <v>925</v>
      </c>
      <c r="H1264" s="427"/>
    </row>
    <row r="1265" spans="2:8" outlineLevel="1">
      <c r="B1265" s="1199"/>
      <c r="C1265" s="1190"/>
      <c r="D1265" s="1161" t="s">
        <v>1755</v>
      </c>
      <c r="E1265" s="1162"/>
      <c r="F1265" s="1163"/>
      <c r="G1265" s="454" t="s">
        <v>927</v>
      </c>
      <c r="H1265" s="427"/>
    </row>
    <row r="1266" spans="2:8" outlineLevel="1">
      <c r="B1266" s="1199"/>
      <c r="C1266" s="1190"/>
      <c r="D1266" s="1161" t="s">
        <v>1756</v>
      </c>
      <c r="E1266" s="1162"/>
      <c r="F1266" s="1163"/>
      <c r="G1266" s="454" t="s">
        <v>929</v>
      </c>
      <c r="H1266" s="427"/>
    </row>
    <row r="1267" spans="2:8" outlineLevel="1">
      <c r="B1267" s="1199"/>
      <c r="C1267" s="1190"/>
      <c r="D1267" s="1161" t="s">
        <v>1757</v>
      </c>
      <c r="E1267" s="1162"/>
      <c r="F1267" s="1163"/>
      <c r="G1267" s="454" t="s">
        <v>937</v>
      </c>
      <c r="H1267" s="427"/>
    </row>
    <row r="1268" spans="2:8" outlineLevel="1">
      <c r="B1268" s="1200"/>
      <c r="C1268" s="1191"/>
      <c r="D1268" s="1161" t="s">
        <v>1758</v>
      </c>
      <c r="E1268" s="1162"/>
      <c r="F1268" s="1163"/>
      <c r="G1268" s="454" t="s">
        <v>939</v>
      </c>
      <c r="H1268" s="427"/>
    </row>
    <row r="1269" spans="2:8" outlineLevel="1">
      <c r="B1269" s="1186" t="s">
        <v>1759</v>
      </c>
      <c r="C1269" s="1187"/>
      <c r="D1269" s="1187"/>
      <c r="E1269" s="1187"/>
      <c r="F1269" s="1188"/>
      <c r="G1269" s="452" t="s">
        <v>1760</v>
      </c>
      <c r="H1269" s="453">
        <f>+H1247+H1253</f>
        <v>992863.64</v>
      </c>
    </row>
    <row r="1270" spans="2:8" outlineLevel="1">
      <c r="B1270" s="1186" t="s">
        <v>1761</v>
      </c>
      <c r="C1270" s="1187"/>
      <c r="D1270" s="1187"/>
      <c r="E1270" s="1187"/>
      <c r="F1270" s="1188"/>
      <c r="G1270" s="452" t="s">
        <v>1762</v>
      </c>
      <c r="H1270" s="453">
        <f>+H1269*0.1</f>
        <v>99286.364000000001</v>
      </c>
    </row>
    <row r="1271" spans="2:8" outlineLevel="1">
      <c r="B1271" s="1195" t="s">
        <v>1763</v>
      </c>
      <c r="C1271" s="1196"/>
      <c r="D1271" s="1196"/>
      <c r="E1271" s="1196"/>
      <c r="F1271" s="1197"/>
      <c r="G1271" s="452" t="s">
        <v>1764</v>
      </c>
      <c r="H1271" s="427"/>
    </row>
    <row r="1272" spans="2:8" outlineLevel="1">
      <c r="B1272" s="1195" t="s">
        <v>1765</v>
      </c>
      <c r="C1272" s="1196"/>
      <c r="D1272" s="1196"/>
      <c r="E1272" s="1196"/>
      <c r="F1272" s="1197"/>
      <c r="G1272" s="452" t="s">
        <v>1766</v>
      </c>
      <c r="H1272" s="427"/>
    </row>
    <row r="1273" spans="2:8" outlineLevel="1">
      <c r="B1273" s="1186" t="s">
        <v>1767</v>
      </c>
      <c r="C1273" s="1187"/>
      <c r="D1273" s="1187"/>
      <c r="E1273" s="1187"/>
      <c r="F1273" s="1188"/>
      <c r="G1273" s="452" t="s">
        <v>1768</v>
      </c>
      <c r="H1273" s="453">
        <f>+H1271+H1272</f>
        <v>0</v>
      </c>
    </row>
    <row r="1274" spans="2:8" outlineLevel="1">
      <c r="B1274" s="1186" t="s">
        <v>1761</v>
      </c>
      <c r="C1274" s="1187"/>
      <c r="D1274" s="1187"/>
      <c r="E1274" s="1187"/>
      <c r="F1274" s="1188"/>
      <c r="G1274" s="452" t="s">
        <v>1769</v>
      </c>
      <c r="H1274" s="453">
        <f>+H1273*0%</f>
        <v>0</v>
      </c>
    </row>
    <row r="1275" spans="2:8" outlineLevel="1">
      <c r="B1275" s="1186" t="s">
        <v>1770</v>
      </c>
      <c r="C1275" s="1187"/>
      <c r="D1275" s="1187"/>
      <c r="E1275" s="1187"/>
      <c r="F1275" s="1188"/>
      <c r="G1275" s="452" t="s">
        <v>1771</v>
      </c>
      <c r="H1275" s="453">
        <f>+H1270+H1274</f>
        <v>99286.364000000001</v>
      </c>
    </row>
    <row r="1276" spans="2:8" outlineLevel="1"/>
    <row r="1277" spans="2:8" ht="21" customHeight="1" outlineLevel="1">
      <c r="B1277" s="1167" t="s">
        <v>1772</v>
      </c>
      <c r="C1277" s="1167"/>
      <c r="D1277" s="1167"/>
      <c r="E1277" s="1167"/>
      <c r="F1277" s="1167"/>
      <c r="G1277" s="1167"/>
      <c r="H1277" s="1167"/>
    </row>
    <row r="1278" spans="2:8" outlineLevel="1">
      <c r="B1278" s="1186" t="s">
        <v>1773</v>
      </c>
      <c r="C1278" s="1187"/>
      <c r="D1278" s="1187"/>
      <c r="E1278" s="1187"/>
      <c r="F1278" s="1188"/>
      <c r="G1278" s="452" t="s">
        <v>1774</v>
      </c>
      <c r="H1278" s="427"/>
    </row>
    <row r="1279" spans="2:8" outlineLevel="1">
      <c r="B1279" s="1192" t="s">
        <v>1775</v>
      </c>
      <c r="C1279" s="1193"/>
      <c r="D1279" s="1193"/>
      <c r="E1279" s="1193"/>
      <c r="F1279" s="1194"/>
      <c r="G1279" s="452" t="s">
        <v>1776</v>
      </c>
      <c r="H1279" s="427">
        <f>+H1280+H1281+H1282+H1283</f>
        <v>6866501.6000000006</v>
      </c>
    </row>
    <row r="1280" spans="2:8" outlineLevel="1">
      <c r="B1280" s="1189" t="s">
        <v>1737</v>
      </c>
      <c r="C1280" s="1161" t="s">
        <v>1777</v>
      </c>
      <c r="D1280" s="1162"/>
      <c r="E1280" s="1162"/>
      <c r="F1280" s="1163"/>
      <c r="G1280" s="452" t="s">
        <v>1778</v>
      </c>
      <c r="H1280" s="427"/>
    </row>
    <row r="1281" spans="2:8" outlineLevel="1">
      <c r="B1281" s="1190"/>
      <c r="C1281" s="1161" t="s">
        <v>1779</v>
      </c>
      <c r="D1281" s="1162"/>
      <c r="E1281" s="1162"/>
      <c r="F1281" s="1163"/>
      <c r="G1281" s="452" t="s">
        <v>1780</v>
      </c>
      <c r="H1281" s="427">
        <f>+M14*10</f>
        <v>6866501.6000000006</v>
      </c>
    </row>
    <row r="1282" spans="2:8" outlineLevel="1">
      <c r="B1282" s="1190"/>
      <c r="C1282" s="1161" t="s">
        <v>1781</v>
      </c>
      <c r="D1282" s="1162"/>
      <c r="E1282" s="1162"/>
      <c r="F1282" s="1163"/>
      <c r="G1282" s="452" t="s">
        <v>1782</v>
      </c>
      <c r="H1282" s="427"/>
    </row>
    <row r="1283" spans="2:8" outlineLevel="1">
      <c r="B1283" s="1191"/>
      <c r="C1283" s="1161" t="s">
        <v>1783</v>
      </c>
      <c r="D1283" s="1162"/>
      <c r="E1283" s="1162"/>
      <c r="F1283" s="1163"/>
      <c r="G1283" s="452" t="s">
        <v>1784</v>
      </c>
      <c r="H1283" s="427"/>
    </row>
    <row r="1284" spans="2:8" outlineLevel="1">
      <c r="B1284" s="1186" t="s">
        <v>1785</v>
      </c>
      <c r="C1284" s="1187"/>
      <c r="D1284" s="1187"/>
      <c r="E1284" s="1187"/>
      <c r="F1284" s="1188"/>
      <c r="G1284" s="452" t="s">
        <v>1786</v>
      </c>
      <c r="H1284" s="453">
        <f>+H1279*0.1</f>
        <v>686650.16000000015</v>
      </c>
    </row>
    <row r="1285" spans="2:8" outlineLevel="1">
      <c r="B1285" s="1186" t="s">
        <v>1787</v>
      </c>
      <c r="C1285" s="1187"/>
      <c r="D1285" s="1187"/>
      <c r="E1285" s="1187"/>
      <c r="F1285" s="1188"/>
      <c r="G1285" s="452" t="s">
        <v>1788</v>
      </c>
      <c r="H1285" s="453">
        <f>+H1286+H1287+H1288+H1289+H1290+H1291</f>
        <v>0</v>
      </c>
    </row>
    <row r="1286" spans="2:8" outlineLevel="1">
      <c r="B1286" s="1189" t="s">
        <v>1737</v>
      </c>
      <c r="C1286" s="1161" t="s">
        <v>1789</v>
      </c>
      <c r="D1286" s="1162"/>
      <c r="E1286" s="1162"/>
      <c r="F1286" s="1163"/>
      <c r="G1286" s="452" t="s">
        <v>1790</v>
      </c>
      <c r="H1286" s="427"/>
    </row>
    <row r="1287" spans="2:8" outlineLevel="1">
      <c r="B1287" s="1190"/>
      <c r="C1287" s="1161" t="s">
        <v>1791</v>
      </c>
      <c r="D1287" s="1162"/>
      <c r="E1287" s="1162"/>
      <c r="F1287" s="1163"/>
      <c r="G1287" s="452" t="s">
        <v>1792</v>
      </c>
      <c r="H1287" s="427"/>
    </row>
    <row r="1288" spans="2:8" outlineLevel="1">
      <c r="B1288" s="1190"/>
      <c r="C1288" s="1161" t="s">
        <v>1793</v>
      </c>
      <c r="D1288" s="1162"/>
      <c r="E1288" s="1162"/>
      <c r="F1288" s="1163"/>
      <c r="G1288" s="452" t="s">
        <v>1794</v>
      </c>
      <c r="H1288" s="427"/>
    </row>
    <row r="1289" spans="2:8" outlineLevel="1">
      <c r="B1289" s="1190"/>
      <c r="C1289" s="1161" t="s">
        <v>1795</v>
      </c>
      <c r="D1289" s="1162"/>
      <c r="E1289" s="1162"/>
      <c r="F1289" s="1163"/>
      <c r="G1289" s="452" t="s">
        <v>1796</v>
      </c>
      <c r="H1289" s="427"/>
    </row>
    <row r="1290" spans="2:8" outlineLevel="1">
      <c r="B1290" s="1190"/>
      <c r="C1290" s="1161" t="s">
        <v>1797</v>
      </c>
      <c r="D1290" s="1162"/>
      <c r="E1290" s="1162"/>
      <c r="F1290" s="1163"/>
      <c r="G1290" s="452" t="s">
        <v>1798</v>
      </c>
      <c r="H1290" s="427"/>
    </row>
    <row r="1291" spans="2:8" outlineLevel="1">
      <c r="B1291" s="1191"/>
      <c r="C1291" s="1161" t="s">
        <v>1799</v>
      </c>
      <c r="D1291" s="1162"/>
      <c r="E1291" s="1162"/>
      <c r="F1291" s="1163"/>
      <c r="G1291" s="452" t="s">
        <v>1800</v>
      </c>
      <c r="H1291" s="427"/>
    </row>
    <row r="1292" spans="2:8" outlineLevel="1">
      <c r="B1292" s="1186" t="s">
        <v>1801</v>
      </c>
      <c r="C1292" s="1187"/>
      <c r="D1292" s="1187"/>
      <c r="E1292" s="1187"/>
      <c r="F1292" s="1188"/>
      <c r="G1292" s="452" t="s">
        <v>1802</v>
      </c>
      <c r="H1292" s="453">
        <f>+H1284-H1285</f>
        <v>686650.16000000015</v>
      </c>
    </row>
    <row r="1293" spans="2:8" outlineLevel="1"/>
    <row r="1294" spans="2:8" ht="21.75" customHeight="1" outlineLevel="1">
      <c r="B1294" s="1167" t="s">
        <v>1803</v>
      </c>
      <c r="C1294" s="1167"/>
      <c r="D1294" s="1167"/>
      <c r="E1294" s="1167"/>
      <c r="F1294" s="1167"/>
      <c r="G1294" s="1167"/>
      <c r="H1294" s="1167"/>
    </row>
    <row r="1295" spans="2:8" outlineLevel="1">
      <c r="B1295" s="1161" t="s">
        <v>1804</v>
      </c>
      <c r="C1295" s="1162"/>
      <c r="D1295" s="1162"/>
      <c r="E1295" s="1162"/>
      <c r="F1295" s="1163"/>
      <c r="G1295" s="452" t="s">
        <v>1805</v>
      </c>
      <c r="H1295" s="427"/>
    </row>
    <row r="1296" spans="2:8" outlineLevel="1">
      <c r="B1296" s="1161" t="s">
        <v>1806</v>
      </c>
      <c r="C1296" s="1162"/>
      <c r="D1296" s="1162"/>
      <c r="E1296" s="1162"/>
      <c r="F1296" s="1163"/>
      <c r="G1296" s="452" t="s">
        <v>1807</v>
      </c>
      <c r="H1296" s="427"/>
    </row>
    <row r="1297" spans="2:8" outlineLevel="1">
      <c r="B1297" s="1164" t="s">
        <v>1808</v>
      </c>
      <c r="C1297" s="1165"/>
      <c r="D1297" s="1165"/>
      <c r="E1297" s="1165"/>
      <c r="F1297" s="1166"/>
      <c r="G1297" s="452" t="s">
        <v>1809</v>
      </c>
      <c r="H1297" s="427">
        <f>+(H1295+H1296)*0.1</f>
        <v>0</v>
      </c>
    </row>
    <row r="1298" spans="2:8" outlineLevel="1">
      <c r="B1298" s="1161" t="s">
        <v>1810</v>
      </c>
      <c r="C1298" s="1162"/>
      <c r="D1298" s="1162"/>
      <c r="E1298" s="1162"/>
      <c r="F1298" s="1163"/>
      <c r="G1298" s="452" t="s">
        <v>1811</v>
      </c>
      <c r="H1298" s="427"/>
    </row>
    <row r="1299" spans="2:8" outlineLevel="1">
      <c r="B1299" s="1161" t="s">
        <v>1812</v>
      </c>
      <c r="C1299" s="1162"/>
      <c r="D1299" s="1162"/>
      <c r="E1299" s="1162"/>
      <c r="F1299" s="1163"/>
      <c r="G1299" s="452" t="s">
        <v>1813</v>
      </c>
      <c r="H1299" s="427"/>
    </row>
    <row r="1300" spans="2:8" outlineLevel="1">
      <c r="B1300" s="1164" t="s">
        <v>1814</v>
      </c>
      <c r="C1300" s="1165"/>
      <c r="D1300" s="1165"/>
      <c r="E1300" s="1165"/>
      <c r="F1300" s="1166"/>
      <c r="G1300" s="452" t="s">
        <v>1815</v>
      </c>
      <c r="H1300" s="427">
        <f>+(H1298+H1299)*0.1</f>
        <v>0</v>
      </c>
    </row>
    <row r="1301" spans="2:8" outlineLevel="1"/>
    <row r="1302" spans="2:8" outlineLevel="1">
      <c r="B1302" s="1167" t="s">
        <v>1816</v>
      </c>
      <c r="C1302" s="1167"/>
      <c r="D1302" s="1167"/>
      <c r="E1302" s="1167"/>
      <c r="F1302" s="1167"/>
      <c r="G1302" s="1167"/>
      <c r="H1302" s="1167"/>
    </row>
    <row r="1303" spans="2:8" outlineLevel="1">
      <c r="B1303" s="1164" t="s">
        <v>1817</v>
      </c>
      <c r="C1303" s="1165"/>
      <c r="D1303" s="1165"/>
      <c r="E1303" s="1165"/>
      <c r="F1303" s="1166"/>
      <c r="G1303" s="452" t="s">
        <v>1818</v>
      </c>
      <c r="H1303" s="427">
        <f>+H1275+H1297</f>
        <v>99286.364000000001</v>
      </c>
    </row>
    <row r="1304" spans="2:8" outlineLevel="1">
      <c r="B1304" s="1164" t="s">
        <v>1819</v>
      </c>
      <c r="C1304" s="1165"/>
      <c r="D1304" s="1165"/>
      <c r="E1304" s="1165"/>
      <c r="F1304" s="1166"/>
      <c r="G1304" s="452" t="s">
        <v>1820</v>
      </c>
      <c r="H1304" s="427">
        <f>+H1292+H1300</f>
        <v>686650.16000000015</v>
      </c>
    </row>
    <row r="1305" spans="2:8" outlineLevel="1"/>
    <row r="1306" spans="2:8" outlineLevel="1">
      <c r="B1306" s="1167" t="s">
        <v>1821</v>
      </c>
      <c r="C1306" s="1167"/>
      <c r="D1306" s="1167"/>
      <c r="E1306" s="1167"/>
      <c r="F1306" s="1167"/>
      <c r="G1306" s="1167"/>
      <c r="H1306" s="1167"/>
    </row>
    <row r="1307" spans="2:8" outlineLevel="1">
      <c r="B1307" s="1161" t="s">
        <v>1822</v>
      </c>
      <c r="C1307" s="1162"/>
      <c r="D1307" s="1162"/>
      <c r="E1307" s="1162"/>
      <c r="F1307" s="1163"/>
      <c r="G1307" s="452" t="s">
        <v>1823</v>
      </c>
      <c r="H1307" s="427"/>
    </row>
    <row r="1308" spans="2:8" outlineLevel="1">
      <c r="B1308" s="1164" t="s">
        <v>1824</v>
      </c>
      <c r="C1308" s="1165"/>
      <c r="D1308" s="1165"/>
      <c r="E1308" s="1165"/>
      <c r="F1308" s="1166"/>
      <c r="G1308" s="452" t="s">
        <v>1825</v>
      </c>
      <c r="H1308" s="427">
        <f>+H1307*0.1</f>
        <v>0</v>
      </c>
    </row>
    <row r="1309" spans="2:8" outlineLevel="1">
      <c r="B1309" s="1161" t="s">
        <v>1826</v>
      </c>
      <c r="C1309" s="1162"/>
      <c r="D1309" s="1162"/>
      <c r="E1309" s="1162"/>
      <c r="F1309" s="1163"/>
      <c r="G1309" s="452" t="s">
        <v>1827</v>
      </c>
      <c r="H1309" s="427"/>
    </row>
    <row r="1310" spans="2:8" outlineLevel="1">
      <c r="B1310" s="1164" t="s">
        <v>1814</v>
      </c>
      <c r="C1310" s="1165"/>
      <c r="D1310" s="1165"/>
      <c r="E1310" s="1165"/>
      <c r="F1310" s="1166"/>
      <c r="G1310" s="452" t="s">
        <v>1828</v>
      </c>
      <c r="H1310" s="427">
        <f>+H1309*0.1</f>
        <v>0</v>
      </c>
    </row>
    <row r="1311" spans="2:8" outlineLevel="1"/>
    <row r="1312" spans="2:8" outlineLevel="1">
      <c r="B1312" s="1167" t="s">
        <v>1829</v>
      </c>
      <c r="C1312" s="1167"/>
      <c r="D1312" s="1167"/>
      <c r="E1312" s="1167"/>
      <c r="F1312" s="1167"/>
      <c r="G1312" s="1167"/>
      <c r="H1312" s="1167"/>
    </row>
    <row r="1313" spans="2:8" outlineLevel="1">
      <c r="B1313" s="1168" t="s">
        <v>1303</v>
      </c>
      <c r="C1313" s="1168"/>
      <c r="D1313" s="1169" t="s">
        <v>1830</v>
      </c>
      <c r="E1313" s="1170"/>
      <c r="F1313" s="1171"/>
      <c r="G1313" s="452" t="s">
        <v>1831</v>
      </c>
      <c r="H1313" s="427">
        <f>+H1303-H1308</f>
        <v>99286.364000000001</v>
      </c>
    </row>
    <row r="1314" spans="2:8" outlineLevel="1">
      <c r="B1314" s="1168"/>
      <c r="C1314" s="1168"/>
      <c r="D1314" s="1169" t="s">
        <v>1832</v>
      </c>
      <c r="E1314" s="1170"/>
      <c r="F1314" s="1171"/>
      <c r="G1314" s="452" t="s">
        <v>1833</v>
      </c>
      <c r="H1314" s="427">
        <f>+H1304-H1310</f>
        <v>686650.16000000015</v>
      </c>
    </row>
    <row r="1315" spans="2:8" outlineLevel="1">
      <c r="B1315" s="1168"/>
      <c r="C1315" s="1168"/>
      <c r="D1315" s="1169" t="s">
        <v>1834</v>
      </c>
      <c r="E1315" s="1170"/>
      <c r="F1315" s="1171"/>
      <c r="G1315" s="452" t="s">
        <v>1835</v>
      </c>
      <c r="H1315" s="427">
        <f>+H1313-H1314</f>
        <v>-587363.79600000009</v>
      </c>
    </row>
    <row r="1316" spans="2:8" outlineLevel="1">
      <c r="B1316" s="1168"/>
      <c r="C1316" s="1168"/>
      <c r="D1316" s="1169" t="s">
        <v>1836</v>
      </c>
      <c r="E1316" s="1170"/>
      <c r="F1316" s="1171"/>
      <c r="G1316" s="452" t="s">
        <v>1837</v>
      </c>
      <c r="H1316" s="427"/>
    </row>
    <row r="1317" spans="2:8" outlineLevel="1"/>
    <row r="1318" spans="2:8" outlineLevel="1">
      <c r="B1318" s="1176" t="s">
        <v>1838</v>
      </c>
      <c r="C1318" s="1176"/>
      <c r="D1318" s="1176"/>
      <c r="E1318" s="1176"/>
      <c r="F1318" s="1176"/>
      <c r="G1318" s="455" t="s">
        <v>1839</v>
      </c>
      <c r="H1318" s="456" t="s">
        <v>1840</v>
      </c>
    </row>
    <row r="1319" spans="2:8" outlineLevel="1">
      <c r="B1319" s="1172" t="s">
        <v>1841</v>
      </c>
      <c r="C1319" s="1172"/>
      <c r="D1319" s="1172"/>
      <c r="E1319" s="457" t="s">
        <v>1072</v>
      </c>
      <c r="F1319" s="458">
        <v>1</v>
      </c>
      <c r="G1319" s="459">
        <f>+O13</f>
        <v>0</v>
      </c>
      <c r="H1319" s="460"/>
    </row>
    <row r="1320" spans="2:8" outlineLevel="1">
      <c r="B1320" s="1172"/>
      <c r="C1320" s="1172"/>
      <c r="D1320" s="1172"/>
      <c r="E1320" s="457" t="s">
        <v>1073</v>
      </c>
      <c r="F1320" s="458">
        <f>+F1319+1</f>
        <v>2</v>
      </c>
      <c r="G1320" s="461"/>
      <c r="H1320" s="462">
        <f>+P13</f>
        <v>62755740.912727274</v>
      </c>
    </row>
    <row r="1321" spans="2:8" outlineLevel="1">
      <c r="B1321" s="1172" t="s">
        <v>1842</v>
      </c>
      <c r="C1321" s="1172"/>
      <c r="D1321" s="1172"/>
      <c r="E1321" s="457" t="s">
        <v>1072</v>
      </c>
      <c r="F1321" s="458">
        <f t="shared" ref="F1321:F1334" si="12">+F1320+1</f>
        <v>3</v>
      </c>
      <c r="G1321" s="459"/>
      <c r="H1321" s="460"/>
    </row>
    <row r="1322" spans="2:8" outlineLevel="1">
      <c r="B1322" s="1172"/>
      <c r="C1322" s="1172"/>
      <c r="D1322" s="1172"/>
      <c r="E1322" s="457" t="s">
        <v>1073</v>
      </c>
      <c r="F1322" s="458">
        <f t="shared" si="12"/>
        <v>4</v>
      </c>
      <c r="G1322" s="461"/>
      <c r="H1322" s="462">
        <f>+H1315</f>
        <v>-587363.79600000009</v>
      </c>
    </row>
    <row r="1323" spans="2:8" outlineLevel="1">
      <c r="B1323" s="1173" t="s">
        <v>1078</v>
      </c>
      <c r="C1323" s="1174"/>
      <c r="D1323" s="1174"/>
      <c r="E1323" s="1175"/>
      <c r="F1323" s="458">
        <f t="shared" si="12"/>
        <v>5</v>
      </c>
      <c r="G1323" s="459">
        <f>+L14</f>
        <v>0</v>
      </c>
      <c r="H1323" s="460"/>
    </row>
    <row r="1324" spans="2:8" outlineLevel="1">
      <c r="B1324" s="1177" t="s">
        <v>1843</v>
      </c>
      <c r="C1324" s="1178"/>
      <c r="D1324" s="1178"/>
      <c r="E1324" s="1179"/>
      <c r="F1324" s="458">
        <f t="shared" si="12"/>
        <v>6</v>
      </c>
      <c r="G1324" s="464"/>
      <c r="H1324" s="460"/>
    </row>
    <row r="1325" spans="2:8" outlineLevel="1">
      <c r="B1325" s="1177" t="s">
        <v>1843</v>
      </c>
      <c r="C1325" s="1178"/>
      <c r="D1325" s="1178"/>
      <c r="E1325" s="1179"/>
      <c r="F1325" s="458">
        <f t="shared" si="12"/>
        <v>7</v>
      </c>
      <c r="G1325" s="461"/>
      <c r="H1325" s="463"/>
    </row>
    <row r="1326" spans="2:8" outlineLevel="1">
      <c r="B1326" s="1172" t="s">
        <v>1844</v>
      </c>
      <c r="C1326" s="1172"/>
      <c r="D1326" s="1172"/>
      <c r="E1326" s="457" t="s">
        <v>1072</v>
      </c>
      <c r="F1326" s="458">
        <f t="shared" si="12"/>
        <v>8</v>
      </c>
      <c r="G1326" s="464"/>
      <c r="H1326" s="460"/>
    </row>
    <row r="1327" spans="2:8" outlineLevel="1">
      <c r="B1327" s="1172"/>
      <c r="C1327" s="1172"/>
      <c r="D1327" s="1172"/>
      <c r="E1327" s="457" t="s">
        <v>1073</v>
      </c>
      <c r="F1327" s="458">
        <f t="shared" si="12"/>
        <v>9</v>
      </c>
      <c r="G1327" s="461"/>
      <c r="H1327" s="463"/>
    </row>
    <row r="1328" spans="2:8" outlineLevel="1">
      <c r="B1328" s="1172" t="s">
        <v>1845</v>
      </c>
      <c r="C1328" s="1172"/>
      <c r="D1328" s="1172"/>
      <c r="E1328" s="457" t="s">
        <v>1072</v>
      </c>
      <c r="F1328" s="458">
        <f t="shared" si="12"/>
        <v>10</v>
      </c>
      <c r="G1328" s="464"/>
      <c r="H1328" s="460"/>
    </row>
    <row r="1329" spans="1:11" outlineLevel="1">
      <c r="B1329" s="1172"/>
      <c r="C1329" s="1172"/>
      <c r="D1329" s="1172"/>
      <c r="E1329" s="457" t="s">
        <v>1073</v>
      </c>
      <c r="F1329" s="458">
        <f t="shared" si="12"/>
        <v>11</v>
      </c>
      <c r="G1329" s="461"/>
      <c r="H1329" s="463"/>
    </row>
    <row r="1330" spans="1:11" outlineLevel="1">
      <c r="B1330" s="1173" t="s">
        <v>1846</v>
      </c>
      <c r="C1330" s="1174"/>
      <c r="D1330" s="1174"/>
      <c r="E1330" s="1175"/>
      <c r="F1330" s="458">
        <f t="shared" si="12"/>
        <v>12</v>
      </c>
      <c r="G1330" s="464"/>
      <c r="H1330" s="460"/>
    </row>
    <row r="1331" spans="1:11" outlineLevel="1">
      <c r="B1331" s="1172" t="s">
        <v>1847</v>
      </c>
      <c r="C1331" s="1172"/>
      <c r="D1331" s="1172"/>
      <c r="E1331" s="457" t="s">
        <v>1072</v>
      </c>
      <c r="F1331" s="458">
        <f t="shared" si="12"/>
        <v>13</v>
      </c>
      <c r="G1331" s="464"/>
      <c r="H1331" s="460"/>
    </row>
    <row r="1332" spans="1:11" outlineLevel="1">
      <c r="B1332" s="1172"/>
      <c r="C1332" s="1172"/>
      <c r="D1332" s="1172"/>
      <c r="E1332" s="457" t="s">
        <v>1073</v>
      </c>
      <c r="F1332" s="458">
        <f t="shared" si="12"/>
        <v>14</v>
      </c>
      <c r="G1332" s="461"/>
      <c r="H1332" s="463"/>
    </row>
    <row r="1333" spans="1:11" outlineLevel="1">
      <c r="B1333" s="1172" t="s">
        <v>1848</v>
      </c>
      <c r="C1333" s="1172"/>
      <c r="D1333" s="1172"/>
      <c r="E1333" s="457" t="s">
        <v>1072</v>
      </c>
      <c r="F1333" s="458">
        <f t="shared" si="12"/>
        <v>15</v>
      </c>
      <c r="G1333" s="459">
        <f>IF((G1319+G1321+G1323-H1320-H1322)&gt;0,(G1319+G1321+G1323-H1320-H1322),0)</f>
        <v>0</v>
      </c>
      <c r="H1333" s="460"/>
    </row>
    <row r="1334" spans="1:11" outlineLevel="1">
      <c r="B1334" s="1172"/>
      <c r="C1334" s="1172"/>
      <c r="D1334" s="1172"/>
      <c r="E1334" s="457" t="s">
        <v>1073</v>
      </c>
      <c r="F1334" s="458">
        <f t="shared" si="12"/>
        <v>16</v>
      </c>
      <c r="G1334" s="465"/>
      <c r="H1334" s="510">
        <f>+IF((H1320+H1322-G1319-G1321-G1323)&gt;0,(H1320+H1322-G1319-G1321-G1323),0)</f>
        <v>62168377.116727278</v>
      </c>
      <c r="J1334" s="79">
        <f>+P14</f>
        <v>66713831.662727281</v>
      </c>
      <c r="K1334" s="79">
        <f>+J1334-H1334</f>
        <v>4545454.5460000038</v>
      </c>
    </row>
    <row r="1335" spans="1:11" outlineLevel="1"/>
    <row r="1336" spans="1:11" outlineLevel="1"/>
    <row r="1337" spans="1:11" outlineLevel="1">
      <c r="B1337" s="332" t="s">
        <v>1849</v>
      </c>
      <c r="E1337" s="332" t="s">
        <v>1083</v>
      </c>
    </row>
    <row r="1338" spans="1:11" outlineLevel="1">
      <c r="B1338" s="332"/>
    </row>
    <row r="1339" spans="1:11" outlineLevel="1">
      <c r="B1339" s="332" t="str">
        <f>+CONCATENATE('[6]company '!B1245," . . . . . . . . . . . . . . . . . .  ... . . . .. . . . ",'[6]company '!C1245)</f>
        <v xml:space="preserve"> . . . . . . . . . . . . . . . . . .  ... . . . .. . . . </v>
      </c>
      <c r="E1339" s="332" t="s">
        <v>1850</v>
      </c>
    </row>
    <row r="1340" spans="1:11" outlineLevel="1">
      <c r="B1340" s="332"/>
    </row>
    <row r="1341" spans="1:11" outlineLevel="1">
      <c r="B1341" s="332" t="str">
        <f>+CONCATENATE('[6]company '!B1248,". . . . . . . . . . . . . . . . . . . . ",'[6]company '!C1248)</f>
        <v xml:space="preserve">. . . . . . . . . . . . . . . . . . . . </v>
      </c>
    </row>
    <row r="1342" spans="1:11">
      <c r="A1342" s="238" t="s">
        <v>2300</v>
      </c>
    </row>
    <row r="1343" spans="1:11" outlineLevel="1">
      <c r="B1343" s="437"/>
      <c r="C1343" s="437"/>
      <c r="D1343" s="437"/>
      <c r="E1343" s="477"/>
      <c r="F1343" s="1180" t="s">
        <v>1706</v>
      </c>
      <c r="G1343" s="1180"/>
      <c r="H1343" s="1180"/>
    </row>
    <row r="1344" spans="1:11" outlineLevel="1">
      <c r="D1344" s="437"/>
      <c r="E1344" s="1181" t="s">
        <v>1710</v>
      </c>
      <c r="F1344" s="1181"/>
      <c r="G1344" s="1181"/>
      <c r="H1344" s="1181"/>
    </row>
    <row r="1345" spans="2:8" ht="18.75" outlineLevel="1">
      <c r="G1345" s="444" t="s">
        <v>1716</v>
      </c>
      <c r="H1345" s="445" t="s">
        <v>1717</v>
      </c>
    </row>
    <row r="1346" spans="2:8" ht="21" outlineLevel="1" thickBot="1">
      <c r="B1346" s="1182" t="s">
        <v>1718</v>
      </c>
      <c r="C1346" s="1182"/>
      <c r="D1346" s="1182"/>
      <c r="E1346" s="1182"/>
      <c r="F1346" s="1182"/>
      <c r="G1346" s="1182"/>
      <c r="H1346" s="1182"/>
    </row>
    <row r="1347" spans="2:8" ht="13.5" outlineLevel="1" thickTop="1"/>
    <row r="1348" spans="2:8" outlineLevel="1">
      <c r="B1348" s="1183" t="s">
        <v>1719</v>
      </c>
      <c r="C1348" s="1184"/>
      <c r="D1348" s="1184"/>
      <c r="E1348" s="1184"/>
      <c r="F1348" s="1184"/>
      <c r="G1348" s="1184"/>
      <c r="H1348" s="1185"/>
    </row>
    <row r="1349" spans="2:8" outlineLevel="1">
      <c r="B1349" s="1155" t="s">
        <v>1971</v>
      </c>
      <c r="C1349" s="1156"/>
      <c r="D1349" s="1157"/>
      <c r="E1349" s="1158" t="s">
        <v>1972</v>
      </c>
      <c r="F1349" s="1159"/>
      <c r="G1349" s="1159"/>
      <c r="H1349" s="1160"/>
    </row>
    <row r="1350" spans="2:8" outlineLevel="1"/>
    <row r="1351" spans="2:8" outlineLevel="1">
      <c r="B1351" s="1183" t="s">
        <v>1973</v>
      </c>
      <c r="C1351" s="1184"/>
      <c r="D1351" s="1185"/>
      <c r="E1351" s="1202" t="s">
        <v>1974</v>
      </c>
      <c r="F1351" s="1203"/>
      <c r="G1351" s="1203"/>
      <c r="H1351" s="1205"/>
    </row>
    <row r="1352" spans="2:8" outlineLevel="1">
      <c r="B1352" s="1183" t="s">
        <v>1975</v>
      </c>
      <c r="C1352" s="1184"/>
      <c r="D1352" s="1185"/>
      <c r="E1352" s="1202" t="s">
        <v>1976</v>
      </c>
      <c r="F1352" s="1203"/>
      <c r="G1352" s="1203"/>
      <c r="H1352" s="1205"/>
    </row>
    <row r="1353" spans="2:8" outlineLevel="1">
      <c r="B1353" s="1183" t="s">
        <v>1977</v>
      </c>
      <c r="C1353" s="1184"/>
      <c r="D1353" s="1185"/>
      <c r="E1353" s="1202" t="s">
        <v>1266</v>
      </c>
      <c r="F1353" s="1203"/>
      <c r="G1353" s="1203"/>
      <c r="H1353" s="1205"/>
    </row>
    <row r="1354" spans="2:8" outlineLevel="1">
      <c r="B1354" s="1206" t="s">
        <v>1978</v>
      </c>
      <c r="C1354" s="1207"/>
      <c r="D1354" s="1208"/>
      <c r="E1354" s="1209" t="s">
        <v>1268</v>
      </c>
      <c r="F1354" s="1210"/>
      <c r="G1354" s="1210"/>
      <c r="H1354" s="1211"/>
    </row>
    <row r="1355" spans="2:8" outlineLevel="1">
      <c r="B1355" s="1212" t="s">
        <v>1269</v>
      </c>
      <c r="C1355" s="1212"/>
      <c r="D1355" s="1212"/>
      <c r="E1355" s="1213"/>
      <c r="F1355" s="1213"/>
      <c r="G1355" s="1213"/>
      <c r="H1355" s="1213"/>
    </row>
    <row r="1356" spans="2:8" outlineLevel="1">
      <c r="B1356" s="1214"/>
      <c r="C1356" s="1214"/>
      <c r="D1356" s="1214"/>
      <c r="E1356" s="1215"/>
      <c r="F1356" s="1215"/>
      <c r="G1356" s="1215"/>
      <c r="H1356" s="1215"/>
    </row>
    <row r="1357" spans="2:8" outlineLevel="1">
      <c r="B1357" s="1183" t="s">
        <v>1720</v>
      </c>
      <c r="C1357" s="1184"/>
      <c r="D1357" s="1184"/>
      <c r="E1357" s="1184"/>
      <c r="F1357" s="1184"/>
      <c r="G1357" s="1184"/>
      <c r="H1357" s="1185"/>
    </row>
    <row r="1358" spans="2:8" outlineLevel="1">
      <c r="B1358" s="1198"/>
      <c r="C1358" s="1183" t="s">
        <v>1721</v>
      </c>
      <c r="D1358" s="1185"/>
      <c r="E1358" s="1202" t="s">
        <v>1722</v>
      </c>
      <c r="F1358" s="1203"/>
      <c r="G1358" s="1205"/>
      <c r="H1358" s="448"/>
    </row>
    <row r="1359" spans="2:8" outlineLevel="1">
      <c r="B1359" s="1199"/>
      <c r="C1359" s="1183" t="str">
        <f>+CONCATENATE('[6]company '!B1365,"-""12 сар")</f>
        <v>-"12 сар</v>
      </c>
      <c r="D1359" s="1185"/>
      <c r="E1359" s="1195" t="s">
        <v>46</v>
      </c>
      <c r="F1359" s="1196"/>
      <c r="G1359" s="1197"/>
      <c r="H1359" s="427" t="s">
        <v>1970</v>
      </c>
    </row>
    <row r="1360" spans="2:8" outlineLevel="1">
      <c r="B1360" s="1200"/>
      <c r="C1360" s="1195" t="s">
        <v>1724</v>
      </c>
      <c r="D1360" s="1197"/>
      <c r="E1360" s="1195" t="s">
        <v>1725</v>
      </c>
      <c r="F1360" s="1196"/>
      <c r="G1360" s="1197"/>
      <c r="H1360" s="427"/>
    </row>
    <row r="1361" spans="2:8" outlineLevel="1">
      <c r="B1361" s="478"/>
      <c r="C1361" s="478"/>
      <c r="D1361" s="478"/>
      <c r="E1361" s="478"/>
      <c r="F1361" s="478"/>
      <c r="G1361" s="449"/>
      <c r="H1361" s="450"/>
    </row>
    <row r="1362" spans="2:8" outlineLevel="1">
      <c r="B1362" s="1216" t="s">
        <v>1726</v>
      </c>
      <c r="C1362" s="1216"/>
      <c r="D1362" s="1216"/>
      <c r="E1362" s="451"/>
      <c r="F1362" s="478" t="s">
        <v>1727</v>
      </c>
      <c r="G1362" s="449"/>
      <c r="H1362" s="450" t="s">
        <v>1728</v>
      </c>
    </row>
    <row r="1363" spans="2:8" outlineLevel="1">
      <c r="B1363" s="478"/>
      <c r="C1363" s="478"/>
      <c r="D1363" s="478"/>
      <c r="E1363" s="478"/>
      <c r="F1363" s="478"/>
      <c r="G1363" s="449"/>
      <c r="H1363" s="450"/>
    </row>
    <row r="1364" spans="2:8" outlineLevel="1">
      <c r="B1364" s="478"/>
      <c r="C1364" s="478"/>
      <c r="D1364" s="478"/>
      <c r="E1364" s="478"/>
      <c r="F1364" s="478"/>
      <c r="G1364" s="449"/>
      <c r="H1364" s="450"/>
    </row>
    <row r="1365" spans="2:8" ht="26.25" customHeight="1" outlineLevel="1">
      <c r="B1365" s="1167" t="s">
        <v>1729</v>
      </c>
      <c r="C1365" s="1167"/>
      <c r="D1365" s="1167"/>
      <c r="E1365" s="1167"/>
      <c r="F1365" s="1167"/>
      <c r="G1365" s="1167"/>
      <c r="H1365" s="1167"/>
    </row>
    <row r="1366" spans="2:8" outlineLevel="1">
      <c r="B1366" s="1186" t="s">
        <v>1730</v>
      </c>
      <c r="C1366" s="1187"/>
      <c r="D1366" s="1187"/>
      <c r="E1366" s="1187"/>
      <c r="F1366" s="1188"/>
      <c r="G1366" s="452" t="s">
        <v>1731</v>
      </c>
      <c r="H1366" s="453">
        <f>+H1367+H1368</f>
        <v>3360009.9986429997</v>
      </c>
    </row>
    <row r="1367" spans="2:8" outlineLevel="1">
      <c r="B1367" s="1192" t="s">
        <v>1732</v>
      </c>
      <c r="C1367" s="1193"/>
      <c r="D1367" s="1193"/>
      <c r="E1367" s="1193"/>
      <c r="F1367" s="1194"/>
      <c r="G1367" s="452" t="s">
        <v>99</v>
      </c>
      <c r="H1367" s="427"/>
    </row>
    <row r="1368" spans="2:8" outlineLevel="1">
      <c r="B1368" s="1192" t="s">
        <v>1733</v>
      </c>
      <c r="C1368" s="1193"/>
      <c r="D1368" s="1193"/>
      <c r="E1368" s="1193"/>
      <c r="F1368" s="1194"/>
      <c r="G1368" s="452" t="s">
        <v>1734</v>
      </c>
      <c r="H1368" s="427">
        <f>+H1369+H1375+H1395</f>
        <v>3360009.9986429997</v>
      </c>
    </row>
    <row r="1369" spans="2:8" outlineLevel="1">
      <c r="B1369" s="1198"/>
      <c r="C1369" s="1186" t="s">
        <v>1735</v>
      </c>
      <c r="D1369" s="1187"/>
      <c r="E1369" s="1187"/>
      <c r="F1369" s="1188"/>
      <c r="G1369" s="452" t="s">
        <v>1736</v>
      </c>
      <c r="H1369" s="453">
        <f>+H1370+H1371+H1372+H1373+H1374</f>
        <v>3360009.9986429997</v>
      </c>
    </row>
    <row r="1370" spans="2:8" outlineLevel="1">
      <c r="B1370" s="1199"/>
      <c r="C1370" s="1189" t="s">
        <v>1737</v>
      </c>
      <c r="D1370" s="1195" t="s">
        <v>1738</v>
      </c>
      <c r="E1370" s="1196"/>
      <c r="F1370" s="1197"/>
      <c r="G1370" s="452" t="s">
        <v>173</v>
      </c>
      <c r="H1370" s="427">
        <f>+SUMIFS(JURNAL!H:H,JURNAL!E:E,510000,JURNAL!C:C,"&gt;="&amp;J15,JURNAL!C:C,"&lt;="&amp;K15)+SUMIFS(JURNAL!H:H,JURNAL!E:E,510100,JURNAL!C:C,"&gt;="&amp;J15,JURNAL!C:C,"&lt;="&amp;K15)</f>
        <v>3360009.9986429997</v>
      </c>
    </row>
    <row r="1371" spans="2:8" outlineLevel="1">
      <c r="B1371" s="1199"/>
      <c r="C1371" s="1190"/>
      <c r="D1371" s="1161" t="s">
        <v>1739</v>
      </c>
      <c r="E1371" s="1162"/>
      <c r="F1371" s="1163"/>
      <c r="G1371" s="454" t="s">
        <v>174</v>
      </c>
      <c r="H1371" s="427">
        <f>+SUMIFS(JURNAL!H:H,JURNAL!E:E,510000,JURNAL!C:C,"&gt;="&amp;J16,JURNAL!C:C,"&lt;="&amp;K16)+SUMIFS(JURNAL!H:H,JURNAL!E:E,510100,JURNAL!C:C,"&gt;="&amp;J16,JURNAL!C:C,"&lt;="&amp;K16)</f>
        <v>0</v>
      </c>
    </row>
    <row r="1372" spans="2:8" outlineLevel="1">
      <c r="B1372" s="1199"/>
      <c r="C1372" s="1190"/>
      <c r="D1372" s="1161" t="s">
        <v>831</v>
      </c>
      <c r="E1372" s="1162"/>
      <c r="F1372" s="1163"/>
      <c r="G1372" s="454" t="s">
        <v>897</v>
      </c>
      <c r="H1372" s="427"/>
    </row>
    <row r="1373" spans="2:8" outlineLevel="1">
      <c r="B1373" s="1199"/>
      <c r="C1373" s="1190"/>
      <c r="D1373" s="1161" t="s">
        <v>1740</v>
      </c>
      <c r="E1373" s="1162"/>
      <c r="F1373" s="1163"/>
      <c r="G1373" s="454" t="s">
        <v>899</v>
      </c>
      <c r="H1373" s="427"/>
    </row>
    <row r="1374" spans="2:8" outlineLevel="1">
      <c r="B1374" s="1199"/>
      <c r="C1374" s="1191"/>
      <c r="D1374" s="1161" t="s">
        <v>1741</v>
      </c>
      <c r="E1374" s="1162"/>
      <c r="F1374" s="1163"/>
      <c r="G1374" s="454" t="s">
        <v>901</v>
      </c>
      <c r="H1374" s="427"/>
    </row>
    <row r="1375" spans="2:8" outlineLevel="1">
      <c r="B1375" s="1199"/>
      <c r="C1375" s="1186" t="s">
        <v>1742</v>
      </c>
      <c r="D1375" s="1187"/>
      <c r="E1375" s="1187"/>
      <c r="F1375" s="1188"/>
      <c r="G1375" s="452" t="s">
        <v>1743</v>
      </c>
      <c r="H1375" s="453">
        <f>+H1376+H1377+H1378+H1379+H1380+H1381+H1382+H1383+H1384+H1385+H1386+H1387+H1388+H1389+H1390</f>
        <v>0</v>
      </c>
    </row>
    <row r="1376" spans="2:8" outlineLevel="1">
      <c r="B1376" s="1199"/>
      <c r="C1376" s="1189" t="s">
        <v>1737</v>
      </c>
      <c r="D1376" s="1161" t="s">
        <v>1744</v>
      </c>
      <c r="E1376" s="1162"/>
      <c r="F1376" s="1163"/>
      <c r="G1376" s="454" t="s">
        <v>905</v>
      </c>
      <c r="H1376" s="427"/>
    </row>
    <row r="1377" spans="2:8" outlineLevel="1">
      <c r="B1377" s="1199"/>
      <c r="C1377" s="1190"/>
      <c r="D1377" s="1161" t="s">
        <v>1745</v>
      </c>
      <c r="E1377" s="1162"/>
      <c r="F1377" s="1163"/>
      <c r="G1377" s="454" t="s">
        <v>907</v>
      </c>
      <c r="H1377" s="427"/>
    </row>
    <row r="1378" spans="2:8" outlineLevel="1">
      <c r="B1378" s="1199"/>
      <c r="C1378" s="1190"/>
      <c r="D1378" s="1161" t="s">
        <v>1746</v>
      </c>
      <c r="E1378" s="1162"/>
      <c r="F1378" s="1163"/>
      <c r="G1378" s="454" t="s">
        <v>909</v>
      </c>
      <c r="H1378" s="427"/>
    </row>
    <row r="1379" spans="2:8" outlineLevel="1">
      <c r="B1379" s="1199"/>
      <c r="C1379" s="1190"/>
      <c r="D1379" s="1161" t="s">
        <v>1747</v>
      </c>
      <c r="E1379" s="1162"/>
      <c r="F1379" s="1163"/>
      <c r="G1379" s="454" t="s">
        <v>911</v>
      </c>
      <c r="H1379" s="427"/>
    </row>
    <row r="1380" spans="2:8" outlineLevel="1">
      <c r="B1380" s="1199"/>
      <c r="C1380" s="1190"/>
      <c r="D1380" s="1161" t="s">
        <v>1748</v>
      </c>
      <c r="E1380" s="1162"/>
      <c r="F1380" s="1163"/>
      <c r="G1380" s="454" t="s">
        <v>913</v>
      </c>
      <c r="H1380" s="427"/>
    </row>
    <row r="1381" spans="2:8" outlineLevel="1">
      <c r="B1381" s="1199"/>
      <c r="C1381" s="1190"/>
      <c r="D1381" s="1161" t="s">
        <v>1749</v>
      </c>
      <c r="E1381" s="1162"/>
      <c r="F1381" s="1163"/>
      <c r="G1381" s="454" t="s">
        <v>915</v>
      </c>
      <c r="H1381" s="427"/>
    </row>
    <row r="1382" spans="2:8" outlineLevel="1">
      <c r="B1382" s="1199"/>
      <c r="C1382" s="1190"/>
      <c r="D1382" s="1161" t="s">
        <v>1750</v>
      </c>
      <c r="E1382" s="1162"/>
      <c r="F1382" s="1163"/>
      <c r="G1382" s="454" t="s">
        <v>917</v>
      </c>
      <c r="H1382" s="427"/>
    </row>
    <row r="1383" spans="2:8" outlineLevel="1">
      <c r="B1383" s="1199"/>
      <c r="C1383" s="1190"/>
      <c r="D1383" s="1161" t="s">
        <v>1751</v>
      </c>
      <c r="E1383" s="1162"/>
      <c r="F1383" s="1163"/>
      <c r="G1383" s="454" t="s">
        <v>919</v>
      </c>
      <c r="H1383" s="427"/>
    </row>
    <row r="1384" spans="2:8" outlineLevel="1">
      <c r="B1384" s="1199"/>
      <c r="C1384" s="1190"/>
      <c r="D1384" s="1161" t="s">
        <v>1752</v>
      </c>
      <c r="E1384" s="1162"/>
      <c r="F1384" s="1163"/>
      <c r="G1384" s="454" t="s">
        <v>921</v>
      </c>
      <c r="H1384" s="427"/>
    </row>
    <row r="1385" spans="2:8" outlineLevel="1">
      <c r="B1385" s="1199"/>
      <c r="C1385" s="1190"/>
      <c r="D1385" s="1161" t="s">
        <v>1753</v>
      </c>
      <c r="E1385" s="1162"/>
      <c r="F1385" s="1163"/>
      <c r="G1385" s="454" t="s">
        <v>923</v>
      </c>
      <c r="H1385" s="427"/>
    </row>
    <row r="1386" spans="2:8" outlineLevel="1">
      <c r="B1386" s="1199"/>
      <c r="C1386" s="1190"/>
      <c r="D1386" s="1161" t="s">
        <v>1754</v>
      </c>
      <c r="E1386" s="1162"/>
      <c r="F1386" s="1163"/>
      <c r="G1386" s="454" t="s">
        <v>925</v>
      </c>
      <c r="H1386" s="427"/>
    </row>
    <row r="1387" spans="2:8" outlineLevel="1">
      <c r="B1387" s="1199"/>
      <c r="C1387" s="1190"/>
      <c r="D1387" s="1161" t="s">
        <v>1755</v>
      </c>
      <c r="E1387" s="1162"/>
      <c r="F1387" s="1163"/>
      <c r="G1387" s="454" t="s">
        <v>927</v>
      </c>
      <c r="H1387" s="427"/>
    </row>
    <row r="1388" spans="2:8" outlineLevel="1">
      <c r="B1388" s="1199"/>
      <c r="C1388" s="1190"/>
      <c r="D1388" s="1161" t="s">
        <v>1756</v>
      </c>
      <c r="E1388" s="1162"/>
      <c r="F1388" s="1163"/>
      <c r="G1388" s="454" t="s">
        <v>929</v>
      </c>
      <c r="H1388" s="427"/>
    </row>
    <row r="1389" spans="2:8" outlineLevel="1">
      <c r="B1389" s="1199"/>
      <c r="C1389" s="1190"/>
      <c r="D1389" s="1161" t="s">
        <v>1757</v>
      </c>
      <c r="E1389" s="1162"/>
      <c r="F1389" s="1163"/>
      <c r="G1389" s="454" t="s">
        <v>937</v>
      </c>
      <c r="H1389" s="427"/>
    </row>
    <row r="1390" spans="2:8" outlineLevel="1">
      <c r="B1390" s="1200"/>
      <c r="C1390" s="1191"/>
      <c r="D1390" s="1161" t="s">
        <v>1758</v>
      </c>
      <c r="E1390" s="1162"/>
      <c r="F1390" s="1163"/>
      <c r="G1390" s="454" t="s">
        <v>939</v>
      </c>
      <c r="H1390" s="427"/>
    </row>
    <row r="1391" spans="2:8" outlineLevel="1">
      <c r="B1391" s="1186" t="s">
        <v>1759</v>
      </c>
      <c r="C1391" s="1187"/>
      <c r="D1391" s="1187"/>
      <c r="E1391" s="1187"/>
      <c r="F1391" s="1188"/>
      <c r="G1391" s="452" t="s">
        <v>1760</v>
      </c>
      <c r="H1391" s="453">
        <f>+H1369+H1375</f>
        <v>3360009.9986429997</v>
      </c>
    </row>
    <row r="1392" spans="2:8" outlineLevel="1">
      <c r="B1392" s="1186" t="s">
        <v>1761</v>
      </c>
      <c r="C1392" s="1187"/>
      <c r="D1392" s="1187"/>
      <c r="E1392" s="1187"/>
      <c r="F1392" s="1188"/>
      <c r="G1392" s="452" t="s">
        <v>1762</v>
      </c>
      <c r="H1392" s="453">
        <f>+H1391*0.1</f>
        <v>336000.99986430001</v>
      </c>
    </row>
    <row r="1393" spans="2:8" outlineLevel="1">
      <c r="B1393" s="1195" t="s">
        <v>1763</v>
      </c>
      <c r="C1393" s="1196"/>
      <c r="D1393" s="1196"/>
      <c r="E1393" s="1196"/>
      <c r="F1393" s="1197"/>
      <c r="G1393" s="452" t="s">
        <v>1764</v>
      </c>
      <c r="H1393" s="427"/>
    </row>
    <row r="1394" spans="2:8" outlineLevel="1">
      <c r="B1394" s="1195" t="s">
        <v>1765</v>
      </c>
      <c r="C1394" s="1196"/>
      <c r="D1394" s="1196"/>
      <c r="E1394" s="1196"/>
      <c r="F1394" s="1197"/>
      <c r="G1394" s="452" t="s">
        <v>1766</v>
      </c>
      <c r="H1394" s="427"/>
    </row>
    <row r="1395" spans="2:8" outlineLevel="1">
      <c r="B1395" s="1186" t="s">
        <v>1767</v>
      </c>
      <c r="C1395" s="1187"/>
      <c r="D1395" s="1187"/>
      <c r="E1395" s="1187"/>
      <c r="F1395" s="1188"/>
      <c r="G1395" s="452" t="s">
        <v>1768</v>
      </c>
      <c r="H1395" s="453">
        <f>+H1393+H1394</f>
        <v>0</v>
      </c>
    </row>
    <row r="1396" spans="2:8" outlineLevel="1">
      <c r="B1396" s="1186" t="s">
        <v>1761</v>
      </c>
      <c r="C1396" s="1187"/>
      <c r="D1396" s="1187"/>
      <c r="E1396" s="1187"/>
      <c r="F1396" s="1188"/>
      <c r="G1396" s="452" t="s">
        <v>1769</v>
      </c>
      <c r="H1396" s="453">
        <f>+H1395*0%</f>
        <v>0</v>
      </c>
    </row>
    <row r="1397" spans="2:8" outlineLevel="1">
      <c r="B1397" s="1186" t="s">
        <v>1770</v>
      </c>
      <c r="C1397" s="1187"/>
      <c r="D1397" s="1187"/>
      <c r="E1397" s="1187"/>
      <c r="F1397" s="1188"/>
      <c r="G1397" s="452" t="s">
        <v>1771</v>
      </c>
      <c r="H1397" s="453">
        <f>+H1392+H1396</f>
        <v>336000.99986430001</v>
      </c>
    </row>
    <row r="1398" spans="2:8" outlineLevel="1"/>
    <row r="1399" spans="2:8" ht="22.5" customHeight="1" outlineLevel="1">
      <c r="B1399" s="1167" t="s">
        <v>1772</v>
      </c>
      <c r="C1399" s="1167"/>
      <c r="D1399" s="1167"/>
      <c r="E1399" s="1167"/>
      <c r="F1399" s="1167"/>
      <c r="G1399" s="1167"/>
      <c r="H1399" s="1167"/>
    </row>
    <row r="1400" spans="2:8" outlineLevel="1">
      <c r="B1400" s="1186" t="s">
        <v>1773</v>
      </c>
      <c r="C1400" s="1187"/>
      <c r="D1400" s="1187"/>
      <c r="E1400" s="1187"/>
      <c r="F1400" s="1188"/>
      <c r="G1400" s="452" t="s">
        <v>1774</v>
      </c>
      <c r="H1400" s="427"/>
    </row>
    <row r="1401" spans="2:8" outlineLevel="1">
      <c r="B1401" s="1192" t="s">
        <v>1775</v>
      </c>
      <c r="C1401" s="1193"/>
      <c r="D1401" s="1193"/>
      <c r="E1401" s="1193"/>
      <c r="F1401" s="1194"/>
      <c r="G1401" s="452" t="s">
        <v>1776</v>
      </c>
      <c r="H1401" s="427">
        <f>+H1402+H1403+H1404+H1405</f>
        <v>34938419.200000003</v>
      </c>
    </row>
    <row r="1402" spans="2:8" outlineLevel="1">
      <c r="B1402" s="1189" t="s">
        <v>1737</v>
      </c>
      <c r="C1402" s="1161" t="s">
        <v>1777</v>
      </c>
      <c r="D1402" s="1162"/>
      <c r="E1402" s="1162"/>
      <c r="F1402" s="1163"/>
      <c r="G1402" s="452" t="s">
        <v>1778</v>
      </c>
      <c r="H1402" s="427"/>
    </row>
    <row r="1403" spans="2:8" outlineLevel="1">
      <c r="B1403" s="1190"/>
      <c r="C1403" s="1161" t="s">
        <v>1779</v>
      </c>
      <c r="D1403" s="1162"/>
      <c r="E1403" s="1162"/>
      <c r="F1403" s="1163"/>
      <c r="G1403" s="452" t="s">
        <v>1780</v>
      </c>
      <c r="H1403" s="427">
        <f>+M15*10</f>
        <v>34938419.200000003</v>
      </c>
    </row>
    <row r="1404" spans="2:8" outlineLevel="1">
      <c r="B1404" s="1190"/>
      <c r="C1404" s="1161" t="s">
        <v>1781</v>
      </c>
      <c r="D1404" s="1162"/>
      <c r="E1404" s="1162"/>
      <c r="F1404" s="1163"/>
      <c r="G1404" s="452" t="s">
        <v>1782</v>
      </c>
      <c r="H1404" s="427"/>
    </row>
    <row r="1405" spans="2:8" outlineLevel="1">
      <c r="B1405" s="1191"/>
      <c r="C1405" s="1161" t="s">
        <v>1783</v>
      </c>
      <c r="D1405" s="1162"/>
      <c r="E1405" s="1162"/>
      <c r="F1405" s="1163"/>
      <c r="G1405" s="452" t="s">
        <v>1784</v>
      </c>
      <c r="H1405" s="427"/>
    </row>
    <row r="1406" spans="2:8" outlineLevel="1">
      <c r="B1406" s="1186" t="s">
        <v>1785</v>
      </c>
      <c r="C1406" s="1187"/>
      <c r="D1406" s="1187"/>
      <c r="E1406" s="1187"/>
      <c r="F1406" s="1188"/>
      <c r="G1406" s="452" t="s">
        <v>1786</v>
      </c>
      <c r="H1406" s="453">
        <f>+H1401*0.1</f>
        <v>3493841.9200000004</v>
      </c>
    </row>
    <row r="1407" spans="2:8" outlineLevel="1">
      <c r="B1407" s="1186" t="s">
        <v>1787</v>
      </c>
      <c r="C1407" s="1187"/>
      <c r="D1407" s="1187"/>
      <c r="E1407" s="1187"/>
      <c r="F1407" s="1188"/>
      <c r="G1407" s="452" t="s">
        <v>1788</v>
      </c>
      <c r="H1407" s="453">
        <f>+H1408+H1409+H1410+H1411+H1412+H1413</f>
        <v>0</v>
      </c>
    </row>
    <row r="1408" spans="2:8" outlineLevel="1">
      <c r="B1408" s="1189" t="s">
        <v>1737</v>
      </c>
      <c r="C1408" s="1161" t="s">
        <v>1789</v>
      </c>
      <c r="D1408" s="1162"/>
      <c r="E1408" s="1162"/>
      <c r="F1408" s="1163"/>
      <c r="G1408" s="452" t="s">
        <v>1790</v>
      </c>
      <c r="H1408" s="427"/>
    </row>
    <row r="1409" spans="2:8" outlineLevel="1">
      <c r="B1409" s="1190"/>
      <c r="C1409" s="1161" t="s">
        <v>1791</v>
      </c>
      <c r="D1409" s="1162"/>
      <c r="E1409" s="1162"/>
      <c r="F1409" s="1163"/>
      <c r="G1409" s="452" t="s">
        <v>1792</v>
      </c>
      <c r="H1409" s="427"/>
    </row>
    <row r="1410" spans="2:8" outlineLevel="1">
      <c r="B1410" s="1190"/>
      <c r="C1410" s="1161" t="s">
        <v>1793</v>
      </c>
      <c r="D1410" s="1162"/>
      <c r="E1410" s="1162"/>
      <c r="F1410" s="1163"/>
      <c r="G1410" s="452" t="s">
        <v>1794</v>
      </c>
      <c r="H1410" s="427"/>
    </row>
    <row r="1411" spans="2:8" outlineLevel="1">
      <c r="B1411" s="1190"/>
      <c r="C1411" s="1161" t="s">
        <v>1795</v>
      </c>
      <c r="D1411" s="1162"/>
      <c r="E1411" s="1162"/>
      <c r="F1411" s="1163"/>
      <c r="G1411" s="452" t="s">
        <v>1796</v>
      </c>
      <c r="H1411" s="427"/>
    </row>
    <row r="1412" spans="2:8" outlineLevel="1">
      <c r="B1412" s="1190"/>
      <c r="C1412" s="1161" t="s">
        <v>1797</v>
      </c>
      <c r="D1412" s="1162"/>
      <c r="E1412" s="1162"/>
      <c r="F1412" s="1163"/>
      <c r="G1412" s="452" t="s">
        <v>1798</v>
      </c>
      <c r="H1412" s="427"/>
    </row>
    <row r="1413" spans="2:8" outlineLevel="1">
      <c r="B1413" s="1191"/>
      <c r="C1413" s="1161" t="s">
        <v>1799</v>
      </c>
      <c r="D1413" s="1162"/>
      <c r="E1413" s="1162"/>
      <c r="F1413" s="1163"/>
      <c r="G1413" s="452" t="s">
        <v>1800</v>
      </c>
      <c r="H1413" s="427"/>
    </row>
    <row r="1414" spans="2:8" outlineLevel="1">
      <c r="B1414" s="1186" t="s">
        <v>1801</v>
      </c>
      <c r="C1414" s="1187"/>
      <c r="D1414" s="1187"/>
      <c r="E1414" s="1187"/>
      <c r="F1414" s="1188"/>
      <c r="G1414" s="452" t="s">
        <v>1802</v>
      </c>
      <c r="H1414" s="453">
        <f>+H1406-H1407</f>
        <v>3493841.9200000004</v>
      </c>
    </row>
    <row r="1415" spans="2:8" outlineLevel="1"/>
    <row r="1416" spans="2:8" ht="19.5" customHeight="1" outlineLevel="1">
      <c r="B1416" s="1167" t="s">
        <v>1803</v>
      </c>
      <c r="C1416" s="1167"/>
      <c r="D1416" s="1167"/>
      <c r="E1416" s="1167"/>
      <c r="F1416" s="1167"/>
      <c r="G1416" s="1167"/>
      <c r="H1416" s="1167"/>
    </row>
    <row r="1417" spans="2:8" outlineLevel="1">
      <c r="B1417" s="1161" t="s">
        <v>1804</v>
      </c>
      <c r="C1417" s="1162"/>
      <c r="D1417" s="1162"/>
      <c r="E1417" s="1162"/>
      <c r="F1417" s="1163"/>
      <c r="G1417" s="452" t="s">
        <v>1805</v>
      </c>
      <c r="H1417" s="427"/>
    </row>
    <row r="1418" spans="2:8" outlineLevel="1">
      <c r="B1418" s="1161" t="s">
        <v>1806</v>
      </c>
      <c r="C1418" s="1162"/>
      <c r="D1418" s="1162"/>
      <c r="E1418" s="1162"/>
      <c r="F1418" s="1163"/>
      <c r="G1418" s="452" t="s">
        <v>1807</v>
      </c>
      <c r="H1418" s="427"/>
    </row>
    <row r="1419" spans="2:8" outlineLevel="1">
      <c r="B1419" s="1164" t="s">
        <v>1808</v>
      </c>
      <c r="C1419" s="1165"/>
      <c r="D1419" s="1165"/>
      <c r="E1419" s="1165"/>
      <c r="F1419" s="1166"/>
      <c r="G1419" s="452" t="s">
        <v>1809</v>
      </c>
      <c r="H1419" s="427">
        <f>+(H1417+H1418)*0.1</f>
        <v>0</v>
      </c>
    </row>
    <row r="1420" spans="2:8" outlineLevel="1">
      <c r="B1420" s="1161" t="s">
        <v>1810</v>
      </c>
      <c r="C1420" s="1162"/>
      <c r="D1420" s="1162"/>
      <c r="E1420" s="1162"/>
      <c r="F1420" s="1163"/>
      <c r="G1420" s="452" t="s">
        <v>1811</v>
      </c>
      <c r="H1420" s="427"/>
    </row>
    <row r="1421" spans="2:8" outlineLevel="1">
      <c r="B1421" s="1161" t="s">
        <v>1812</v>
      </c>
      <c r="C1421" s="1162"/>
      <c r="D1421" s="1162"/>
      <c r="E1421" s="1162"/>
      <c r="F1421" s="1163"/>
      <c r="G1421" s="452" t="s">
        <v>1813</v>
      </c>
      <c r="H1421" s="427"/>
    </row>
    <row r="1422" spans="2:8" outlineLevel="1">
      <c r="B1422" s="1164" t="s">
        <v>1814</v>
      </c>
      <c r="C1422" s="1165"/>
      <c r="D1422" s="1165"/>
      <c r="E1422" s="1165"/>
      <c r="F1422" s="1166"/>
      <c r="G1422" s="452" t="s">
        <v>1815</v>
      </c>
      <c r="H1422" s="427">
        <f>+(H1420+H1421)*0.1</f>
        <v>0</v>
      </c>
    </row>
    <row r="1423" spans="2:8" outlineLevel="1"/>
    <row r="1424" spans="2:8" outlineLevel="1">
      <c r="B1424" s="1167" t="s">
        <v>1816</v>
      </c>
      <c r="C1424" s="1167"/>
      <c r="D1424" s="1167"/>
      <c r="E1424" s="1167"/>
      <c r="F1424" s="1167"/>
      <c r="G1424" s="1167"/>
      <c r="H1424" s="1167"/>
    </row>
    <row r="1425" spans="2:8" outlineLevel="1">
      <c r="B1425" s="1164" t="s">
        <v>1817</v>
      </c>
      <c r="C1425" s="1165"/>
      <c r="D1425" s="1165"/>
      <c r="E1425" s="1165"/>
      <c r="F1425" s="1166"/>
      <c r="G1425" s="452" t="s">
        <v>1818</v>
      </c>
      <c r="H1425" s="427">
        <f>+H1397+H1419</f>
        <v>336000.99986430001</v>
      </c>
    </row>
    <row r="1426" spans="2:8" outlineLevel="1">
      <c r="B1426" s="1164" t="s">
        <v>1819</v>
      </c>
      <c r="C1426" s="1165"/>
      <c r="D1426" s="1165"/>
      <c r="E1426" s="1165"/>
      <c r="F1426" s="1166"/>
      <c r="G1426" s="452" t="s">
        <v>1820</v>
      </c>
      <c r="H1426" s="427">
        <f>+H1414+H1422</f>
        <v>3493841.9200000004</v>
      </c>
    </row>
    <row r="1427" spans="2:8" outlineLevel="1"/>
    <row r="1428" spans="2:8" outlineLevel="1">
      <c r="B1428" s="1167" t="s">
        <v>1821</v>
      </c>
      <c r="C1428" s="1167"/>
      <c r="D1428" s="1167"/>
      <c r="E1428" s="1167"/>
      <c r="F1428" s="1167"/>
      <c r="G1428" s="1167"/>
      <c r="H1428" s="1167"/>
    </row>
    <row r="1429" spans="2:8" outlineLevel="1">
      <c r="B1429" s="1161" t="s">
        <v>1822</v>
      </c>
      <c r="C1429" s="1162"/>
      <c r="D1429" s="1162"/>
      <c r="E1429" s="1162"/>
      <c r="F1429" s="1163"/>
      <c r="G1429" s="452" t="s">
        <v>1823</v>
      </c>
      <c r="H1429" s="427"/>
    </row>
    <row r="1430" spans="2:8" outlineLevel="1">
      <c r="B1430" s="1164" t="s">
        <v>1824</v>
      </c>
      <c r="C1430" s="1165"/>
      <c r="D1430" s="1165"/>
      <c r="E1430" s="1165"/>
      <c r="F1430" s="1166"/>
      <c r="G1430" s="452" t="s">
        <v>1825</v>
      </c>
      <c r="H1430" s="427">
        <f>+H1429*0.1</f>
        <v>0</v>
      </c>
    </row>
    <row r="1431" spans="2:8" outlineLevel="1">
      <c r="B1431" s="1161" t="s">
        <v>1826</v>
      </c>
      <c r="C1431" s="1162"/>
      <c r="D1431" s="1162"/>
      <c r="E1431" s="1162"/>
      <c r="F1431" s="1163"/>
      <c r="G1431" s="452" t="s">
        <v>1827</v>
      </c>
      <c r="H1431" s="427"/>
    </row>
    <row r="1432" spans="2:8" outlineLevel="1">
      <c r="B1432" s="1164" t="s">
        <v>1814</v>
      </c>
      <c r="C1432" s="1165"/>
      <c r="D1432" s="1165"/>
      <c r="E1432" s="1165"/>
      <c r="F1432" s="1166"/>
      <c r="G1432" s="452" t="s">
        <v>1828</v>
      </c>
      <c r="H1432" s="427">
        <f>+H1431*0.1</f>
        <v>0</v>
      </c>
    </row>
    <row r="1433" spans="2:8" outlineLevel="1"/>
    <row r="1434" spans="2:8" outlineLevel="1">
      <c r="B1434" s="1167" t="s">
        <v>1829</v>
      </c>
      <c r="C1434" s="1167"/>
      <c r="D1434" s="1167"/>
      <c r="E1434" s="1167"/>
      <c r="F1434" s="1167"/>
      <c r="G1434" s="1167"/>
      <c r="H1434" s="1167"/>
    </row>
    <row r="1435" spans="2:8" outlineLevel="1">
      <c r="B1435" s="1168" t="s">
        <v>1303</v>
      </c>
      <c r="C1435" s="1168"/>
      <c r="D1435" s="1169" t="s">
        <v>1830</v>
      </c>
      <c r="E1435" s="1170"/>
      <c r="F1435" s="1171"/>
      <c r="G1435" s="452" t="s">
        <v>1831</v>
      </c>
      <c r="H1435" s="427">
        <f>+H1425-H1430</f>
        <v>336000.99986430001</v>
      </c>
    </row>
    <row r="1436" spans="2:8" outlineLevel="1">
      <c r="B1436" s="1168"/>
      <c r="C1436" s="1168"/>
      <c r="D1436" s="1169" t="s">
        <v>1832</v>
      </c>
      <c r="E1436" s="1170"/>
      <c r="F1436" s="1171"/>
      <c r="G1436" s="452" t="s">
        <v>1833</v>
      </c>
      <c r="H1436" s="427">
        <f>+H1426-H1432</f>
        <v>3493841.9200000004</v>
      </c>
    </row>
    <row r="1437" spans="2:8" outlineLevel="1">
      <c r="B1437" s="1168"/>
      <c r="C1437" s="1168"/>
      <c r="D1437" s="1169" t="s">
        <v>1834</v>
      </c>
      <c r="E1437" s="1170"/>
      <c r="F1437" s="1171"/>
      <c r="G1437" s="452" t="s">
        <v>1835</v>
      </c>
      <c r="H1437" s="427">
        <f>+H1435-H1436</f>
        <v>-3157840.9201357001</v>
      </c>
    </row>
    <row r="1438" spans="2:8" outlineLevel="1">
      <c r="B1438" s="1168"/>
      <c r="C1438" s="1168"/>
      <c r="D1438" s="1169" t="s">
        <v>1836</v>
      </c>
      <c r="E1438" s="1170"/>
      <c r="F1438" s="1171"/>
      <c r="G1438" s="452" t="s">
        <v>1837</v>
      </c>
      <c r="H1438" s="427"/>
    </row>
    <row r="1439" spans="2:8" outlineLevel="1"/>
    <row r="1440" spans="2:8" outlineLevel="1">
      <c r="B1440" s="1176" t="s">
        <v>1838</v>
      </c>
      <c r="C1440" s="1176"/>
      <c r="D1440" s="1176"/>
      <c r="E1440" s="1176"/>
      <c r="F1440" s="1176"/>
      <c r="G1440" s="455" t="s">
        <v>1839</v>
      </c>
      <c r="H1440" s="456" t="s">
        <v>1840</v>
      </c>
    </row>
    <row r="1441" spans="2:11" outlineLevel="1">
      <c r="B1441" s="1172" t="s">
        <v>1841</v>
      </c>
      <c r="C1441" s="1172"/>
      <c r="D1441" s="1172"/>
      <c r="E1441" s="457" t="s">
        <v>1072</v>
      </c>
      <c r="F1441" s="458">
        <v>1</v>
      </c>
      <c r="G1441" s="459">
        <f>+O14</f>
        <v>0</v>
      </c>
      <c r="H1441" s="460"/>
    </row>
    <row r="1442" spans="2:11" outlineLevel="1">
      <c r="B1442" s="1172"/>
      <c r="C1442" s="1172"/>
      <c r="D1442" s="1172"/>
      <c r="E1442" s="457" t="s">
        <v>1073</v>
      </c>
      <c r="F1442" s="458">
        <f>+F1441+1</f>
        <v>2</v>
      </c>
      <c r="G1442" s="461"/>
      <c r="H1442" s="462">
        <f>+P14</f>
        <v>66713831.662727281</v>
      </c>
    </row>
    <row r="1443" spans="2:11" outlineLevel="1">
      <c r="B1443" s="1172" t="s">
        <v>1842</v>
      </c>
      <c r="C1443" s="1172"/>
      <c r="D1443" s="1172"/>
      <c r="E1443" s="457" t="s">
        <v>1072</v>
      </c>
      <c r="F1443" s="458">
        <f t="shared" ref="F1443:F1456" si="13">+F1442+1</f>
        <v>3</v>
      </c>
      <c r="G1443" s="459"/>
      <c r="H1443" s="460"/>
    </row>
    <row r="1444" spans="2:11" outlineLevel="1">
      <c r="B1444" s="1172"/>
      <c r="C1444" s="1172"/>
      <c r="D1444" s="1172"/>
      <c r="E1444" s="457" t="s">
        <v>1073</v>
      </c>
      <c r="F1444" s="458">
        <f t="shared" si="13"/>
        <v>4</v>
      </c>
      <c r="G1444" s="461"/>
      <c r="H1444" s="462">
        <f>+H1437</f>
        <v>-3157840.9201357001</v>
      </c>
    </row>
    <row r="1445" spans="2:11" outlineLevel="1">
      <c r="B1445" s="1173" t="s">
        <v>1078</v>
      </c>
      <c r="C1445" s="1174"/>
      <c r="D1445" s="1174"/>
      <c r="E1445" s="1175"/>
      <c r="F1445" s="458">
        <f t="shared" si="13"/>
        <v>5</v>
      </c>
      <c r="G1445" s="459">
        <f>+L15</f>
        <v>0</v>
      </c>
      <c r="H1445" s="460"/>
    </row>
    <row r="1446" spans="2:11" outlineLevel="1">
      <c r="B1446" s="1177" t="s">
        <v>1843</v>
      </c>
      <c r="C1446" s="1178"/>
      <c r="D1446" s="1178"/>
      <c r="E1446" s="1179"/>
      <c r="F1446" s="458">
        <f t="shared" si="13"/>
        <v>6</v>
      </c>
      <c r="G1446" s="464"/>
      <c r="H1446" s="460"/>
    </row>
    <row r="1447" spans="2:11" outlineLevel="1">
      <c r="B1447" s="1177" t="s">
        <v>1843</v>
      </c>
      <c r="C1447" s="1178"/>
      <c r="D1447" s="1178"/>
      <c r="E1447" s="1179"/>
      <c r="F1447" s="458">
        <f t="shared" si="13"/>
        <v>7</v>
      </c>
      <c r="G1447" s="461"/>
      <c r="H1447" s="463"/>
    </row>
    <row r="1448" spans="2:11" outlineLevel="1">
      <c r="B1448" s="1172" t="s">
        <v>1844</v>
      </c>
      <c r="C1448" s="1172"/>
      <c r="D1448" s="1172"/>
      <c r="E1448" s="457" t="s">
        <v>1072</v>
      </c>
      <c r="F1448" s="458">
        <f t="shared" si="13"/>
        <v>8</v>
      </c>
      <c r="G1448" s="464"/>
      <c r="H1448" s="460"/>
    </row>
    <row r="1449" spans="2:11" outlineLevel="1">
      <c r="B1449" s="1172"/>
      <c r="C1449" s="1172"/>
      <c r="D1449" s="1172"/>
      <c r="E1449" s="457" t="s">
        <v>1073</v>
      </c>
      <c r="F1449" s="458">
        <f t="shared" si="13"/>
        <v>9</v>
      </c>
      <c r="G1449" s="461"/>
      <c r="H1449" s="463"/>
    </row>
    <row r="1450" spans="2:11" outlineLevel="1">
      <c r="B1450" s="1172" t="s">
        <v>1845</v>
      </c>
      <c r="C1450" s="1172"/>
      <c r="D1450" s="1172"/>
      <c r="E1450" s="457" t="s">
        <v>1072</v>
      </c>
      <c r="F1450" s="458">
        <f t="shared" si="13"/>
        <v>10</v>
      </c>
      <c r="G1450" s="464"/>
      <c r="H1450" s="460"/>
    </row>
    <row r="1451" spans="2:11" outlineLevel="1">
      <c r="B1451" s="1172"/>
      <c r="C1451" s="1172"/>
      <c r="D1451" s="1172"/>
      <c r="E1451" s="457" t="s">
        <v>1073</v>
      </c>
      <c r="F1451" s="458">
        <f t="shared" si="13"/>
        <v>11</v>
      </c>
      <c r="G1451" s="461"/>
      <c r="H1451" s="463"/>
    </row>
    <row r="1452" spans="2:11" outlineLevel="1">
      <c r="B1452" s="1173" t="s">
        <v>1846</v>
      </c>
      <c r="C1452" s="1174"/>
      <c r="D1452" s="1174"/>
      <c r="E1452" s="1175"/>
      <c r="F1452" s="458">
        <f t="shared" si="13"/>
        <v>12</v>
      </c>
      <c r="G1452" s="464"/>
      <c r="H1452" s="460"/>
    </row>
    <row r="1453" spans="2:11" outlineLevel="1">
      <c r="B1453" s="1172" t="s">
        <v>1847</v>
      </c>
      <c r="C1453" s="1172"/>
      <c r="D1453" s="1172"/>
      <c r="E1453" s="457" t="s">
        <v>1072</v>
      </c>
      <c r="F1453" s="458">
        <f t="shared" si="13"/>
        <v>13</v>
      </c>
      <c r="G1453" s="464"/>
      <c r="H1453" s="460"/>
    </row>
    <row r="1454" spans="2:11" outlineLevel="1">
      <c r="B1454" s="1172"/>
      <c r="C1454" s="1172"/>
      <c r="D1454" s="1172"/>
      <c r="E1454" s="457" t="s">
        <v>1073</v>
      </c>
      <c r="F1454" s="458">
        <f t="shared" si="13"/>
        <v>14</v>
      </c>
      <c r="G1454" s="461"/>
      <c r="H1454" s="463"/>
    </row>
    <row r="1455" spans="2:11" outlineLevel="1">
      <c r="B1455" s="1172" t="s">
        <v>1848</v>
      </c>
      <c r="C1455" s="1172"/>
      <c r="D1455" s="1172"/>
      <c r="E1455" s="457" t="s">
        <v>1072</v>
      </c>
      <c r="F1455" s="458">
        <f t="shared" si="13"/>
        <v>15</v>
      </c>
      <c r="G1455" s="459">
        <f>IF((G1441+G1443+G1445-H1442-H1444)&gt;0,(G1441+G1443+G1445-H1442-H1444),0)</f>
        <v>0</v>
      </c>
      <c r="H1455" s="460"/>
    </row>
    <row r="1456" spans="2:11" outlineLevel="1">
      <c r="B1456" s="1172"/>
      <c r="C1456" s="1172"/>
      <c r="D1456" s="1172"/>
      <c r="E1456" s="457" t="s">
        <v>1073</v>
      </c>
      <c r="F1456" s="458">
        <f t="shared" si="13"/>
        <v>16</v>
      </c>
      <c r="G1456" s="465"/>
      <c r="H1456" s="510">
        <f>+IF((H1442+H1444-G1441-G1443-G1445)&gt;0,(H1442+H1444-G1441-G1443-G1445),0)</f>
        <v>63555990.742591582</v>
      </c>
      <c r="J1456" s="79">
        <f>+P15</f>
        <v>95176148.74272728</v>
      </c>
      <c r="K1456" s="79">
        <f>+J1456-H1456</f>
        <v>31620158.000135697</v>
      </c>
    </row>
    <row r="1457" spans="1:5" outlineLevel="1"/>
    <row r="1458" spans="1:5" outlineLevel="1"/>
    <row r="1459" spans="1:5" outlineLevel="1">
      <c r="B1459" s="332" t="s">
        <v>1849</v>
      </c>
      <c r="E1459" s="332" t="s">
        <v>1083</v>
      </c>
    </row>
    <row r="1460" spans="1:5" outlineLevel="1">
      <c r="B1460" s="332"/>
    </row>
    <row r="1461" spans="1:5" outlineLevel="1">
      <c r="B1461" s="332"/>
      <c r="E1461" s="332" t="s">
        <v>1850</v>
      </c>
    </row>
    <row r="1462" spans="1:5" outlineLevel="1">
      <c r="B1462" s="332"/>
    </row>
    <row r="1463" spans="1:5" outlineLevel="1">
      <c r="B1463" s="332"/>
    </row>
    <row r="1464" spans="1:5">
      <c r="A1464" s="238" t="s">
        <v>2301</v>
      </c>
    </row>
  </sheetData>
  <mergeCells count="1358">
    <mergeCell ref="B1453:D1454"/>
    <mergeCell ref="B1455:D1456"/>
    <mergeCell ref="B1440:F1440"/>
    <mergeCell ref="B1441:D1442"/>
    <mergeCell ref="B1443:D1444"/>
    <mergeCell ref="B1445:E1445"/>
    <mergeCell ref="B1446:E1446"/>
    <mergeCell ref="B1447:E1447"/>
    <mergeCell ref="B1448:D1449"/>
    <mergeCell ref="B1450:D1451"/>
    <mergeCell ref="B1452:E1452"/>
    <mergeCell ref="B1425:F1425"/>
    <mergeCell ref="B1426:F1426"/>
    <mergeCell ref="B1428:H1428"/>
    <mergeCell ref="B1429:F1429"/>
    <mergeCell ref="B1430:F1430"/>
    <mergeCell ref="B1431:F1431"/>
    <mergeCell ref="B1432:F1432"/>
    <mergeCell ref="B1434:H1434"/>
    <mergeCell ref="B1435:C1438"/>
    <mergeCell ref="D1435:F1435"/>
    <mergeCell ref="D1436:F1436"/>
    <mergeCell ref="D1437:F1437"/>
    <mergeCell ref="D1438:F1438"/>
    <mergeCell ref="B1414:F1414"/>
    <mergeCell ref="B1416:H1416"/>
    <mergeCell ref="B1417:F1417"/>
    <mergeCell ref="B1418:F1418"/>
    <mergeCell ref="B1419:F1419"/>
    <mergeCell ref="B1420:F1420"/>
    <mergeCell ref="B1421:F1421"/>
    <mergeCell ref="B1422:F1422"/>
    <mergeCell ref="B1424:H1424"/>
    <mergeCell ref="B1406:F1406"/>
    <mergeCell ref="B1407:F1407"/>
    <mergeCell ref="B1408:B1413"/>
    <mergeCell ref="C1408:F1408"/>
    <mergeCell ref="C1409:F1409"/>
    <mergeCell ref="C1410:F1410"/>
    <mergeCell ref="C1411:F1411"/>
    <mergeCell ref="C1412:F1412"/>
    <mergeCell ref="C1413:F1413"/>
    <mergeCell ref="B1395:F1395"/>
    <mergeCell ref="B1396:F1396"/>
    <mergeCell ref="B1397:F1397"/>
    <mergeCell ref="B1399:H1399"/>
    <mergeCell ref="B1400:F1400"/>
    <mergeCell ref="B1401:F1401"/>
    <mergeCell ref="B1402:B1405"/>
    <mergeCell ref="C1402:F1402"/>
    <mergeCell ref="C1403:F1403"/>
    <mergeCell ref="C1404:F1404"/>
    <mergeCell ref="C1405:F1405"/>
    <mergeCell ref="D1386:F1386"/>
    <mergeCell ref="D1387:F1387"/>
    <mergeCell ref="D1388:F1388"/>
    <mergeCell ref="D1389:F1389"/>
    <mergeCell ref="D1390:F1390"/>
    <mergeCell ref="B1391:F1391"/>
    <mergeCell ref="B1392:F1392"/>
    <mergeCell ref="B1393:F1393"/>
    <mergeCell ref="B1394:F1394"/>
    <mergeCell ref="B1365:H1365"/>
    <mergeCell ref="B1366:F1366"/>
    <mergeCell ref="B1367:F1367"/>
    <mergeCell ref="B1368:F1368"/>
    <mergeCell ref="B1369:B1390"/>
    <mergeCell ref="C1369:F1369"/>
    <mergeCell ref="C1370:C1374"/>
    <mergeCell ref="D1370:F1370"/>
    <mergeCell ref="D1371:F1371"/>
    <mergeCell ref="D1372:F1372"/>
    <mergeCell ref="D1373:F1373"/>
    <mergeCell ref="D1374:F1374"/>
    <mergeCell ref="C1375:F1375"/>
    <mergeCell ref="C1376:C1390"/>
    <mergeCell ref="D1376:F1376"/>
    <mergeCell ref="D1377:F1377"/>
    <mergeCell ref="D1378:F1378"/>
    <mergeCell ref="D1379:F1379"/>
    <mergeCell ref="D1380:F1380"/>
    <mergeCell ref="D1381:F1381"/>
    <mergeCell ref="D1382:F1382"/>
    <mergeCell ref="D1383:F1383"/>
    <mergeCell ref="D1384:F1384"/>
    <mergeCell ref="D1385:F1385"/>
    <mergeCell ref="B1357:H1357"/>
    <mergeCell ref="B1358:B1360"/>
    <mergeCell ref="C1358:D1358"/>
    <mergeCell ref="E1358:G1358"/>
    <mergeCell ref="C1359:D1359"/>
    <mergeCell ref="E1359:G1359"/>
    <mergeCell ref="C1360:D1360"/>
    <mergeCell ref="E1360:G1360"/>
    <mergeCell ref="B1362:D1362"/>
    <mergeCell ref="B1352:D1352"/>
    <mergeCell ref="E1352:H1352"/>
    <mergeCell ref="B1353:D1353"/>
    <mergeCell ref="E1353:H1353"/>
    <mergeCell ref="B1354:D1354"/>
    <mergeCell ref="E1354:H1354"/>
    <mergeCell ref="B1355:D1355"/>
    <mergeCell ref="E1355:H1355"/>
    <mergeCell ref="B1356:D1356"/>
    <mergeCell ref="E1356:H1356"/>
    <mergeCell ref="B1331:D1332"/>
    <mergeCell ref="B1333:D1334"/>
    <mergeCell ref="F1343:H1343"/>
    <mergeCell ref="E1344:H1344"/>
    <mergeCell ref="B1346:H1346"/>
    <mergeCell ref="B1348:H1348"/>
    <mergeCell ref="B1349:D1349"/>
    <mergeCell ref="E1349:H1349"/>
    <mergeCell ref="B1351:D1351"/>
    <mergeCell ref="E1351:H1351"/>
    <mergeCell ref="B1318:F1318"/>
    <mergeCell ref="B1319:D1320"/>
    <mergeCell ref="B1321:D1322"/>
    <mergeCell ref="B1323:E1323"/>
    <mergeCell ref="B1324:E1324"/>
    <mergeCell ref="B1325:E1325"/>
    <mergeCell ref="B1326:D1327"/>
    <mergeCell ref="B1328:D1329"/>
    <mergeCell ref="B1330:E1330"/>
    <mergeCell ref="B1303:F1303"/>
    <mergeCell ref="B1304:F1304"/>
    <mergeCell ref="B1306:H1306"/>
    <mergeCell ref="B1307:F1307"/>
    <mergeCell ref="B1308:F1308"/>
    <mergeCell ref="B1309:F1309"/>
    <mergeCell ref="B1310:F1310"/>
    <mergeCell ref="B1312:H1312"/>
    <mergeCell ref="B1313:C1316"/>
    <mergeCell ref="D1313:F1313"/>
    <mergeCell ref="D1314:F1314"/>
    <mergeCell ref="D1315:F1315"/>
    <mergeCell ref="D1316:F1316"/>
    <mergeCell ref="B1292:F1292"/>
    <mergeCell ref="B1294:H1294"/>
    <mergeCell ref="B1295:F1295"/>
    <mergeCell ref="B1296:F1296"/>
    <mergeCell ref="B1297:F1297"/>
    <mergeCell ref="B1298:F1298"/>
    <mergeCell ref="B1299:F1299"/>
    <mergeCell ref="B1300:F1300"/>
    <mergeCell ref="B1302:H1302"/>
    <mergeCell ref="B1284:F1284"/>
    <mergeCell ref="B1285:F1285"/>
    <mergeCell ref="B1286:B1291"/>
    <mergeCell ref="C1286:F1286"/>
    <mergeCell ref="C1287:F1287"/>
    <mergeCell ref="C1288:F1288"/>
    <mergeCell ref="C1289:F1289"/>
    <mergeCell ref="C1290:F1290"/>
    <mergeCell ref="C1291:F1291"/>
    <mergeCell ref="B1273:F1273"/>
    <mergeCell ref="B1274:F1274"/>
    <mergeCell ref="B1275:F1275"/>
    <mergeCell ref="B1277:H1277"/>
    <mergeCell ref="B1278:F1278"/>
    <mergeCell ref="B1279:F1279"/>
    <mergeCell ref="B1280:B1283"/>
    <mergeCell ref="C1280:F1280"/>
    <mergeCell ref="C1281:F1281"/>
    <mergeCell ref="C1282:F1282"/>
    <mergeCell ref="C1283:F1283"/>
    <mergeCell ref="D1264:F1264"/>
    <mergeCell ref="D1265:F1265"/>
    <mergeCell ref="D1266:F1266"/>
    <mergeCell ref="D1267:F1267"/>
    <mergeCell ref="D1268:F1268"/>
    <mergeCell ref="B1269:F1269"/>
    <mergeCell ref="B1270:F1270"/>
    <mergeCell ref="B1271:F1271"/>
    <mergeCell ref="B1272:F1272"/>
    <mergeCell ref="B1243:H1243"/>
    <mergeCell ref="B1244:F1244"/>
    <mergeCell ref="B1245:F1245"/>
    <mergeCell ref="B1246:F1246"/>
    <mergeCell ref="B1247:B1268"/>
    <mergeCell ref="C1247:F1247"/>
    <mergeCell ref="C1248:C1252"/>
    <mergeCell ref="D1248:F1248"/>
    <mergeCell ref="D1249:F1249"/>
    <mergeCell ref="D1250:F1250"/>
    <mergeCell ref="D1251:F1251"/>
    <mergeCell ref="D1252:F1252"/>
    <mergeCell ref="C1253:F1253"/>
    <mergeCell ref="C1254:C1268"/>
    <mergeCell ref="D1254:F1254"/>
    <mergeCell ref="D1255:F1255"/>
    <mergeCell ref="D1256:F1256"/>
    <mergeCell ref="D1257:F1257"/>
    <mergeCell ref="D1258:F1258"/>
    <mergeCell ref="D1259:F1259"/>
    <mergeCell ref="D1260:F1260"/>
    <mergeCell ref="D1261:F1261"/>
    <mergeCell ref="D1262:F1262"/>
    <mergeCell ref="D1263:F1263"/>
    <mergeCell ref="B1235:H1235"/>
    <mergeCell ref="B1236:B1238"/>
    <mergeCell ref="C1236:D1236"/>
    <mergeCell ref="E1236:G1236"/>
    <mergeCell ref="C1237:D1237"/>
    <mergeCell ref="E1237:G1237"/>
    <mergeCell ref="C1238:D1238"/>
    <mergeCell ref="E1238:G1238"/>
    <mergeCell ref="B1240:D1240"/>
    <mergeCell ref="B1230:D1230"/>
    <mergeCell ref="E1230:H1230"/>
    <mergeCell ref="B1231:D1231"/>
    <mergeCell ref="E1231:H1231"/>
    <mergeCell ref="B1232:D1232"/>
    <mergeCell ref="E1232:H1232"/>
    <mergeCell ref="B1233:D1233"/>
    <mergeCell ref="E1233:H1233"/>
    <mergeCell ref="B1234:D1234"/>
    <mergeCell ref="E1234:H1234"/>
    <mergeCell ref="B1209:D1210"/>
    <mergeCell ref="B1211:D1212"/>
    <mergeCell ref="F1221:H1221"/>
    <mergeCell ref="E1222:H1222"/>
    <mergeCell ref="B1224:H1224"/>
    <mergeCell ref="B1226:H1226"/>
    <mergeCell ref="B1227:D1227"/>
    <mergeCell ref="E1227:H1227"/>
    <mergeCell ref="B1229:D1229"/>
    <mergeCell ref="E1229:H1229"/>
    <mergeCell ref="B1196:F1196"/>
    <mergeCell ref="B1197:D1198"/>
    <mergeCell ref="B1199:D1200"/>
    <mergeCell ref="B1201:E1201"/>
    <mergeCell ref="B1202:E1202"/>
    <mergeCell ref="B1203:E1203"/>
    <mergeCell ref="B1204:D1205"/>
    <mergeCell ref="B1206:D1207"/>
    <mergeCell ref="B1208:E1208"/>
    <mergeCell ref="B1181:F1181"/>
    <mergeCell ref="B1182:F1182"/>
    <mergeCell ref="B1184:H1184"/>
    <mergeCell ref="B1185:F1185"/>
    <mergeCell ref="B1186:F1186"/>
    <mergeCell ref="B1187:F1187"/>
    <mergeCell ref="B1188:F1188"/>
    <mergeCell ref="B1190:H1190"/>
    <mergeCell ref="B1191:C1194"/>
    <mergeCell ref="D1191:F1191"/>
    <mergeCell ref="D1192:F1192"/>
    <mergeCell ref="D1193:F1193"/>
    <mergeCell ref="D1194:F1194"/>
    <mergeCell ref="B1170:F1170"/>
    <mergeCell ref="B1172:H1172"/>
    <mergeCell ref="B1173:F1173"/>
    <mergeCell ref="B1174:F1174"/>
    <mergeCell ref="B1175:F1175"/>
    <mergeCell ref="B1176:F1176"/>
    <mergeCell ref="B1177:F1177"/>
    <mergeCell ref="B1178:F1178"/>
    <mergeCell ref="B1180:H1180"/>
    <mergeCell ref="B1162:F1162"/>
    <mergeCell ref="B1163:F1163"/>
    <mergeCell ref="B1164:B1169"/>
    <mergeCell ref="C1164:F1164"/>
    <mergeCell ref="C1165:F1165"/>
    <mergeCell ref="C1166:F1166"/>
    <mergeCell ref="C1167:F1167"/>
    <mergeCell ref="C1168:F1168"/>
    <mergeCell ref="C1169:F1169"/>
    <mergeCell ref="B1151:F1151"/>
    <mergeCell ref="B1152:F1152"/>
    <mergeCell ref="B1153:F1153"/>
    <mergeCell ref="B1155:H1155"/>
    <mergeCell ref="B1156:F1156"/>
    <mergeCell ref="B1157:F1157"/>
    <mergeCell ref="B1158:B1161"/>
    <mergeCell ref="C1158:F1158"/>
    <mergeCell ref="C1159:F1159"/>
    <mergeCell ref="C1160:F1160"/>
    <mergeCell ref="C1161:F1161"/>
    <mergeCell ref="D1142:F1142"/>
    <mergeCell ref="D1143:F1143"/>
    <mergeCell ref="D1144:F1144"/>
    <mergeCell ref="D1145:F1145"/>
    <mergeCell ref="D1146:F1146"/>
    <mergeCell ref="B1147:F1147"/>
    <mergeCell ref="B1148:F1148"/>
    <mergeCell ref="B1149:F1149"/>
    <mergeCell ref="B1150:F1150"/>
    <mergeCell ref="B1121:H1121"/>
    <mergeCell ref="B1122:F1122"/>
    <mergeCell ref="B1123:F1123"/>
    <mergeCell ref="B1124:F1124"/>
    <mergeCell ref="B1125:B1146"/>
    <mergeCell ref="C1125:F1125"/>
    <mergeCell ref="C1126:C1130"/>
    <mergeCell ref="D1126:F1126"/>
    <mergeCell ref="D1127:F1127"/>
    <mergeCell ref="D1128:F1128"/>
    <mergeCell ref="D1129:F1129"/>
    <mergeCell ref="D1130:F1130"/>
    <mergeCell ref="C1131:F1131"/>
    <mergeCell ref="C1132:C1146"/>
    <mergeCell ref="D1132:F1132"/>
    <mergeCell ref="D1133:F1133"/>
    <mergeCell ref="D1134:F1134"/>
    <mergeCell ref="D1135:F1135"/>
    <mergeCell ref="D1136:F1136"/>
    <mergeCell ref="D1137:F1137"/>
    <mergeCell ref="D1138:F1138"/>
    <mergeCell ref="D1139:F1139"/>
    <mergeCell ref="D1140:F1140"/>
    <mergeCell ref="D1141:F1141"/>
    <mergeCell ref="B1113:H1113"/>
    <mergeCell ref="B1114:B1116"/>
    <mergeCell ref="C1114:D1114"/>
    <mergeCell ref="E1114:G1114"/>
    <mergeCell ref="C1115:D1115"/>
    <mergeCell ref="E1115:G1115"/>
    <mergeCell ref="C1116:D1116"/>
    <mergeCell ref="E1116:G1116"/>
    <mergeCell ref="B1118:D1118"/>
    <mergeCell ref="B1108:D1108"/>
    <mergeCell ref="E1108:H1108"/>
    <mergeCell ref="B1109:D1109"/>
    <mergeCell ref="E1109:H1109"/>
    <mergeCell ref="B1110:D1110"/>
    <mergeCell ref="E1110:H1110"/>
    <mergeCell ref="B1111:D1111"/>
    <mergeCell ref="E1111:H1111"/>
    <mergeCell ref="B1112:D1112"/>
    <mergeCell ref="E1112:H1112"/>
    <mergeCell ref="B1087:D1088"/>
    <mergeCell ref="B1089:D1090"/>
    <mergeCell ref="F1099:H1099"/>
    <mergeCell ref="E1100:H1100"/>
    <mergeCell ref="B1102:H1102"/>
    <mergeCell ref="B1104:H1104"/>
    <mergeCell ref="B1105:D1105"/>
    <mergeCell ref="E1105:H1105"/>
    <mergeCell ref="B1107:D1107"/>
    <mergeCell ref="E1107:H1107"/>
    <mergeCell ref="B1074:F1074"/>
    <mergeCell ref="B1075:D1076"/>
    <mergeCell ref="B1077:D1078"/>
    <mergeCell ref="B1079:E1079"/>
    <mergeCell ref="B1080:E1080"/>
    <mergeCell ref="B1081:E1081"/>
    <mergeCell ref="B1082:D1083"/>
    <mergeCell ref="B1084:D1085"/>
    <mergeCell ref="B1086:E1086"/>
    <mergeCell ref="B1059:F1059"/>
    <mergeCell ref="B1060:F1060"/>
    <mergeCell ref="B1062:H1062"/>
    <mergeCell ref="B1063:F1063"/>
    <mergeCell ref="B1064:F1064"/>
    <mergeCell ref="B1065:F1065"/>
    <mergeCell ref="B1066:F1066"/>
    <mergeCell ref="B1068:H1068"/>
    <mergeCell ref="B1069:C1072"/>
    <mergeCell ref="D1069:F1069"/>
    <mergeCell ref="D1070:F1070"/>
    <mergeCell ref="D1071:F1071"/>
    <mergeCell ref="D1072:F1072"/>
    <mergeCell ref="B1048:F1048"/>
    <mergeCell ref="B1050:H1050"/>
    <mergeCell ref="B1051:F1051"/>
    <mergeCell ref="B1052:F1052"/>
    <mergeCell ref="B1053:F1053"/>
    <mergeCell ref="B1054:F1054"/>
    <mergeCell ref="B1055:F1055"/>
    <mergeCell ref="B1056:F1056"/>
    <mergeCell ref="B1058:H1058"/>
    <mergeCell ref="B1040:F1040"/>
    <mergeCell ref="B1041:F1041"/>
    <mergeCell ref="B1042:B1047"/>
    <mergeCell ref="C1042:F1042"/>
    <mergeCell ref="C1043:F1043"/>
    <mergeCell ref="C1044:F1044"/>
    <mergeCell ref="C1045:F1045"/>
    <mergeCell ref="C1046:F1046"/>
    <mergeCell ref="C1047:F1047"/>
    <mergeCell ref="B1029:F1029"/>
    <mergeCell ref="B1030:F1030"/>
    <mergeCell ref="B1031:F1031"/>
    <mergeCell ref="B1033:H1033"/>
    <mergeCell ref="B1034:F1034"/>
    <mergeCell ref="B1035:F1035"/>
    <mergeCell ref="B1036:B1039"/>
    <mergeCell ref="C1036:F1036"/>
    <mergeCell ref="C1037:F1037"/>
    <mergeCell ref="C1038:F1038"/>
    <mergeCell ref="C1039:F1039"/>
    <mergeCell ref="D1020:F1020"/>
    <mergeCell ref="D1021:F1021"/>
    <mergeCell ref="D1022:F1022"/>
    <mergeCell ref="D1023:F1023"/>
    <mergeCell ref="D1024:F1024"/>
    <mergeCell ref="B1025:F1025"/>
    <mergeCell ref="B1026:F1026"/>
    <mergeCell ref="B1027:F1027"/>
    <mergeCell ref="B1028:F1028"/>
    <mergeCell ref="B999:H999"/>
    <mergeCell ref="B1000:F1000"/>
    <mergeCell ref="B1001:F1001"/>
    <mergeCell ref="B1002:F1002"/>
    <mergeCell ref="B1003:B1024"/>
    <mergeCell ref="C1003:F1003"/>
    <mergeCell ref="C1004:C1008"/>
    <mergeCell ref="D1004:F1004"/>
    <mergeCell ref="D1005:F1005"/>
    <mergeCell ref="D1006:F1006"/>
    <mergeCell ref="D1007:F1007"/>
    <mergeCell ref="D1008:F1008"/>
    <mergeCell ref="C1009:F1009"/>
    <mergeCell ref="C1010:C1024"/>
    <mergeCell ref="D1010:F1010"/>
    <mergeCell ref="D1011:F1011"/>
    <mergeCell ref="D1012:F1012"/>
    <mergeCell ref="D1013:F1013"/>
    <mergeCell ref="D1014:F1014"/>
    <mergeCell ref="D1015:F1015"/>
    <mergeCell ref="D1016:F1016"/>
    <mergeCell ref="D1017:F1017"/>
    <mergeCell ref="D1018:F1018"/>
    <mergeCell ref="D1019:F1019"/>
    <mergeCell ref="B991:H991"/>
    <mergeCell ref="B992:B994"/>
    <mergeCell ref="C992:D992"/>
    <mergeCell ref="E992:G992"/>
    <mergeCell ref="C993:D993"/>
    <mergeCell ref="E993:G993"/>
    <mergeCell ref="C994:D994"/>
    <mergeCell ref="E994:G994"/>
    <mergeCell ref="B996:D996"/>
    <mergeCell ref="B986:D986"/>
    <mergeCell ref="E986:H986"/>
    <mergeCell ref="B987:D987"/>
    <mergeCell ref="E987:H987"/>
    <mergeCell ref="B988:D988"/>
    <mergeCell ref="E988:H988"/>
    <mergeCell ref="B989:D989"/>
    <mergeCell ref="E989:H989"/>
    <mergeCell ref="B990:D990"/>
    <mergeCell ref="E990:H990"/>
    <mergeCell ref="B965:D966"/>
    <mergeCell ref="B967:D968"/>
    <mergeCell ref="F977:H977"/>
    <mergeCell ref="E978:H978"/>
    <mergeCell ref="B980:H980"/>
    <mergeCell ref="B982:H982"/>
    <mergeCell ref="B983:D983"/>
    <mergeCell ref="E983:H983"/>
    <mergeCell ref="B985:D985"/>
    <mergeCell ref="E985:H985"/>
    <mergeCell ref="B952:F952"/>
    <mergeCell ref="B953:D954"/>
    <mergeCell ref="B955:D956"/>
    <mergeCell ref="B957:E957"/>
    <mergeCell ref="B958:E958"/>
    <mergeCell ref="B959:E959"/>
    <mergeCell ref="B960:D961"/>
    <mergeCell ref="B962:D963"/>
    <mergeCell ref="B964:E964"/>
    <mergeCell ref="B937:F937"/>
    <mergeCell ref="B938:F938"/>
    <mergeCell ref="B940:H940"/>
    <mergeCell ref="B941:F941"/>
    <mergeCell ref="B942:F942"/>
    <mergeCell ref="B943:F943"/>
    <mergeCell ref="B944:F944"/>
    <mergeCell ref="B946:H946"/>
    <mergeCell ref="B947:C950"/>
    <mergeCell ref="D947:F947"/>
    <mergeCell ref="D948:F948"/>
    <mergeCell ref="D949:F949"/>
    <mergeCell ref="D950:F950"/>
    <mergeCell ref="B926:F926"/>
    <mergeCell ref="B928:H928"/>
    <mergeCell ref="B929:F929"/>
    <mergeCell ref="B930:F930"/>
    <mergeCell ref="B931:F931"/>
    <mergeCell ref="B932:F932"/>
    <mergeCell ref="B933:F933"/>
    <mergeCell ref="B934:F934"/>
    <mergeCell ref="B936:H936"/>
    <mergeCell ref="B918:F918"/>
    <mergeCell ref="B919:F919"/>
    <mergeCell ref="B920:B925"/>
    <mergeCell ref="C920:F920"/>
    <mergeCell ref="C921:F921"/>
    <mergeCell ref="C922:F922"/>
    <mergeCell ref="C923:F923"/>
    <mergeCell ref="C924:F924"/>
    <mergeCell ref="C925:F925"/>
    <mergeCell ref="B907:F907"/>
    <mergeCell ref="B908:F908"/>
    <mergeCell ref="B909:F909"/>
    <mergeCell ref="B911:H911"/>
    <mergeCell ref="B912:F912"/>
    <mergeCell ref="B913:F913"/>
    <mergeCell ref="B914:B917"/>
    <mergeCell ref="C914:F914"/>
    <mergeCell ref="C915:F915"/>
    <mergeCell ref="C916:F916"/>
    <mergeCell ref="C917:F917"/>
    <mergeCell ref="D898:F898"/>
    <mergeCell ref="D899:F899"/>
    <mergeCell ref="D900:F900"/>
    <mergeCell ref="D901:F901"/>
    <mergeCell ref="D902:F902"/>
    <mergeCell ref="B903:F903"/>
    <mergeCell ref="B904:F904"/>
    <mergeCell ref="B905:F905"/>
    <mergeCell ref="B906:F906"/>
    <mergeCell ref="B877:H877"/>
    <mergeCell ref="B878:F878"/>
    <mergeCell ref="B879:F879"/>
    <mergeCell ref="B880:F880"/>
    <mergeCell ref="B881:B902"/>
    <mergeCell ref="C881:F881"/>
    <mergeCell ref="C882:C886"/>
    <mergeCell ref="D882:F882"/>
    <mergeCell ref="D883:F883"/>
    <mergeCell ref="D884:F884"/>
    <mergeCell ref="D885:F885"/>
    <mergeCell ref="D886:F886"/>
    <mergeCell ref="C887:F887"/>
    <mergeCell ref="C888:C902"/>
    <mergeCell ref="D888:F888"/>
    <mergeCell ref="D889:F889"/>
    <mergeCell ref="D890:F890"/>
    <mergeCell ref="D891:F891"/>
    <mergeCell ref="D892:F892"/>
    <mergeCell ref="D893:F893"/>
    <mergeCell ref="D894:F894"/>
    <mergeCell ref="D895:F895"/>
    <mergeCell ref="D896:F896"/>
    <mergeCell ref="D897:F897"/>
    <mergeCell ref="B869:H869"/>
    <mergeCell ref="B870:B872"/>
    <mergeCell ref="C870:D870"/>
    <mergeCell ref="E870:G870"/>
    <mergeCell ref="C871:D871"/>
    <mergeCell ref="E871:G871"/>
    <mergeCell ref="C872:D872"/>
    <mergeCell ref="E872:G872"/>
    <mergeCell ref="B874:D874"/>
    <mergeCell ref="B864:D864"/>
    <mergeCell ref="E864:H864"/>
    <mergeCell ref="B865:D865"/>
    <mergeCell ref="E865:H865"/>
    <mergeCell ref="B866:D866"/>
    <mergeCell ref="E866:H866"/>
    <mergeCell ref="B867:D867"/>
    <mergeCell ref="E867:H867"/>
    <mergeCell ref="B868:D868"/>
    <mergeCell ref="E868:H868"/>
    <mergeCell ref="B843:D844"/>
    <mergeCell ref="B845:D846"/>
    <mergeCell ref="F855:H855"/>
    <mergeCell ref="E856:H856"/>
    <mergeCell ref="B858:H858"/>
    <mergeCell ref="B860:H860"/>
    <mergeCell ref="B861:D861"/>
    <mergeCell ref="E861:H861"/>
    <mergeCell ref="B863:D863"/>
    <mergeCell ref="E863:H863"/>
    <mergeCell ref="B830:F830"/>
    <mergeCell ref="B831:D832"/>
    <mergeCell ref="B833:D834"/>
    <mergeCell ref="B835:E835"/>
    <mergeCell ref="B836:E836"/>
    <mergeCell ref="B837:E837"/>
    <mergeCell ref="B838:D839"/>
    <mergeCell ref="B840:D841"/>
    <mergeCell ref="B842:E842"/>
    <mergeCell ref="B815:F815"/>
    <mergeCell ref="B816:F816"/>
    <mergeCell ref="B818:H818"/>
    <mergeCell ref="B819:F819"/>
    <mergeCell ref="B820:F820"/>
    <mergeCell ref="B821:F821"/>
    <mergeCell ref="B822:F822"/>
    <mergeCell ref="B824:H824"/>
    <mergeCell ref="B825:C828"/>
    <mergeCell ref="D825:F825"/>
    <mergeCell ref="D826:F826"/>
    <mergeCell ref="D827:F827"/>
    <mergeCell ref="D828:F828"/>
    <mergeCell ref="B804:F804"/>
    <mergeCell ref="B806:H806"/>
    <mergeCell ref="B807:F807"/>
    <mergeCell ref="B808:F808"/>
    <mergeCell ref="B809:F809"/>
    <mergeCell ref="B810:F810"/>
    <mergeCell ref="B811:F811"/>
    <mergeCell ref="B812:F812"/>
    <mergeCell ref="B814:H814"/>
    <mergeCell ref="B796:F796"/>
    <mergeCell ref="B797:F797"/>
    <mergeCell ref="B798:B803"/>
    <mergeCell ref="C798:F798"/>
    <mergeCell ref="C799:F799"/>
    <mergeCell ref="C800:F800"/>
    <mergeCell ref="C801:F801"/>
    <mergeCell ref="C802:F802"/>
    <mergeCell ref="C803:F803"/>
    <mergeCell ref="B785:F785"/>
    <mergeCell ref="B786:F786"/>
    <mergeCell ref="B787:F787"/>
    <mergeCell ref="B789:H789"/>
    <mergeCell ref="B790:F790"/>
    <mergeCell ref="B791:F791"/>
    <mergeCell ref="B792:B795"/>
    <mergeCell ref="C792:F792"/>
    <mergeCell ref="C793:F793"/>
    <mergeCell ref="C794:F794"/>
    <mergeCell ref="C795:F795"/>
    <mergeCell ref="D776:F776"/>
    <mergeCell ref="D777:F777"/>
    <mergeCell ref="D778:F778"/>
    <mergeCell ref="D779:F779"/>
    <mergeCell ref="D780:F780"/>
    <mergeCell ref="B781:F781"/>
    <mergeCell ref="B782:F782"/>
    <mergeCell ref="B783:F783"/>
    <mergeCell ref="B784:F784"/>
    <mergeCell ref="B755:H755"/>
    <mergeCell ref="B756:F756"/>
    <mergeCell ref="B757:F757"/>
    <mergeCell ref="B758:F758"/>
    <mergeCell ref="B759:B780"/>
    <mergeCell ref="C759:F759"/>
    <mergeCell ref="C760:C764"/>
    <mergeCell ref="D760:F760"/>
    <mergeCell ref="D761:F761"/>
    <mergeCell ref="D762:F762"/>
    <mergeCell ref="D763:F763"/>
    <mergeCell ref="D764:F764"/>
    <mergeCell ref="C765:F765"/>
    <mergeCell ref="C766:C780"/>
    <mergeCell ref="D766:F766"/>
    <mergeCell ref="D767:F767"/>
    <mergeCell ref="D768:F768"/>
    <mergeCell ref="D769:F769"/>
    <mergeCell ref="D770:F770"/>
    <mergeCell ref="D771:F771"/>
    <mergeCell ref="D772:F772"/>
    <mergeCell ref="D773:F773"/>
    <mergeCell ref="D774:F774"/>
    <mergeCell ref="D775:F775"/>
    <mergeCell ref="B747:H747"/>
    <mergeCell ref="B748:B750"/>
    <mergeCell ref="C748:D748"/>
    <mergeCell ref="E748:G748"/>
    <mergeCell ref="C749:D749"/>
    <mergeCell ref="E749:G749"/>
    <mergeCell ref="C750:D750"/>
    <mergeCell ref="E750:G750"/>
    <mergeCell ref="B752:D752"/>
    <mergeCell ref="B742:D742"/>
    <mergeCell ref="E742:H742"/>
    <mergeCell ref="B743:D743"/>
    <mergeCell ref="E743:H743"/>
    <mergeCell ref="B744:D744"/>
    <mergeCell ref="E744:H744"/>
    <mergeCell ref="B745:D745"/>
    <mergeCell ref="E745:H745"/>
    <mergeCell ref="B746:D746"/>
    <mergeCell ref="E746:H746"/>
    <mergeCell ref="B721:D722"/>
    <mergeCell ref="B723:D724"/>
    <mergeCell ref="F733:H733"/>
    <mergeCell ref="E734:H734"/>
    <mergeCell ref="B736:H736"/>
    <mergeCell ref="B738:H738"/>
    <mergeCell ref="B739:D739"/>
    <mergeCell ref="E739:H739"/>
    <mergeCell ref="B741:D741"/>
    <mergeCell ref="E741:H741"/>
    <mergeCell ref="B708:F708"/>
    <mergeCell ref="B709:D710"/>
    <mergeCell ref="B711:D712"/>
    <mergeCell ref="B713:E713"/>
    <mergeCell ref="B714:E714"/>
    <mergeCell ref="B715:E715"/>
    <mergeCell ref="B716:D717"/>
    <mergeCell ref="B718:D719"/>
    <mergeCell ref="B720:E720"/>
    <mergeCell ref="B693:F693"/>
    <mergeCell ref="B694:F694"/>
    <mergeCell ref="B696:H696"/>
    <mergeCell ref="B697:F697"/>
    <mergeCell ref="B698:F698"/>
    <mergeCell ref="B699:F699"/>
    <mergeCell ref="B700:F700"/>
    <mergeCell ref="B702:H702"/>
    <mergeCell ref="B703:C706"/>
    <mergeCell ref="D703:F703"/>
    <mergeCell ref="D704:F704"/>
    <mergeCell ref="D705:F705"/>
    <mergeCell ref="D706:F706"/>
    <mergeCell ref="B682:F682"/>
    <mergeCell ref="B684:H684"/>
    <mergeCell ref="B685:F685"/>
    <mergeCell ref="B686:F686"/>
    <mergeCell ref="B687:F687"/>
    <mergeCell ref="B688:F688"/>
    <mergeCell ref="B689:F689"/>
    <mergeCell ref="B690:F690"/>
    <mergeCell ref="B692:H692"/>
    <mergeCell ref="B674:F674"/>
    <mergeCell ref="B675:F675"/>
    <mergeCell ref="B676:B681"/>
    <mergeCell ref="C676:F676"/>
    <mergeCell ref="C677:F677"/>
    <mergeCell ref="C678:F678"/>
    <mergeCell ref="C679:F679"/>
    <mergeCell ref="C680:F680"/>
    <mergeCell ref="C681:F681"/>
    <mergeCell ref="B663:F663"/>
    <mergeCell ref="B664:F664"/>
    <mergeCell ref="B665:F665"/>
    <mergeCell ref="B667:H667"/>
    <mergeCell ref="B668:F668"/>
    <mergeCell ref="B669:F669"/>
    <mergeCell ref="B670:B673"/>
    <mergeCell ref="C670:F670"/>
    <mergeCell ref="C671:F671"/>
    <mergeCell ref="C672:F672"/>
    <mergeCell ref="C673:F673"/>
    <mergeCell ref="D654:F654"/>
    <mergeCell ref="D655:F655"/>
    <mergeCell ref="D656:F656"/>
    <mergeCell ref="D657:F657"/>
    <mergeCell ref="D658:F658"/>
    <mergeCell ref="B659:F659"/>
    <mergeCell ref="B660:F660"/>
    <mergeCell ref="B661:F661"/>
    <mergeCell ref="B662:F662"/>
    <mergeCell ref="B633:H633"/>
    <mergeCell ref="B634:F634"/>
    <mergeCell ref="B635:F635"/>
    <mergeCell ref="B636:F636"/>
    <mergeCell ref="B637:B658"/>
    <mergeCell ref="C637:F637"/>
    <mergeCell ref="C638:C642"/>
    <mergeCell ref="D638:F638"/>
    <mergeCell ref="D639:F639"/>
    <mergeCell ref="D640:F640"/>
    <mergeCell ref="D641:F641"/>
    <mergeCell ref="D642:F642"/>
    <mergeCell ref="C643:F643"/>
    <mergeCell ref="C644:C658"/>
    <mergeCell ref="D644:F644"/>
    <mergeCell ref="D645:F645"/>
    <mergeCell ref="D646:F646"/>
    <mergeCell ref="D647:F647"/>
    <mergeCell ref="D648:F648"/>
    <mergeCell ref="D649:F649"/>
    <mergeCell ref="D650:F650"/>
    <mergeCell ref="D651:F651"/>
    <mergeCell ref="D652:F652"/>
    <mergeCell ref="D653:F653"/>
    <mergeCell ref="B625:H625"/>
    <mergeCell ref="B626:B628"/>
    <mergeCell ref="C626:D626"/>
    <mergeCell ref="E626:G626"/>
    <mergeCell ref="C627:D627"/>
    <mergeCell ref="E627:G627"/>
    <mergeCell ref="C628:D628"/>
    <mergeCell ref="E628:G628"/>
    <mergeCell ref="B630:D630"/>
    <mergeCell ref="B620:D620"/>
    <mergeCell ref="E620:H620"/>
    <mergeCell ref="B621:D621"/>
    <mergeCell ref="E621:H621"/>
    <mergeCell ref="B622:D622"/>
    <mergeCell ref="E622:H622"/>
    <mergeCell ref="B623:D623"/>
    <mergeCell ref="E623:H623"/>
    <mergeCell ref="B624:D624"/>
    <mergeCell ref="E624:H624"/>
    <mergeCell ref="B599:D600"/>
    <mergeCell ref="B601:D602"/>
    <mergeCell ref="F611:H611"/>
    <mergeCell ref="E612:H612"/>
    <mergeCell ref="B614:H614"/>
    <mergeCell ref="B616:H616"/>
    <mergeCell ref="B617:D617"/>
    <mergeCell ref="E617:H617"/>
    <mergeCell ref="B619:D619"/>
    <mergeCell ref="E619:H619"/>
    <mergeCell ref="B586:F586"/>
    <mergeCell ref="B587:D588"/>
    <mergeCell ref="B589:D590"/>
    <mergeCell ref="B591:E591"/>
    <mergeCell ref="B592:E592"/>
    <mergeCell ref="B593:E593"/>
    <mergeCell ref="B594:D595"/>
    <mergeCell ref="B596:D597"/>
    <mergeCell ref="B598:E598"/>
    <mergeCell ref="B571:F571"/>
    <mergeCell ref="B572:F572"/>
    <mergeCell ref="B574:H574"/>
    <mergeCell ref="B575:F575"/>
    <mergeCell ref="B576:F576"/>
    <mergeCell ref="B577:F577"/>
    <mergeCell ref="B578:F578"/>
    <mergeCell ref="B580:H580"/>
    <mergeCell ref="B581:C584"/>
    <mergeCell ref="D581:F581"/>
    <mergeCell ref="D582:F582"/>
    <mergeCell ref="D583:F583"/>
    <mergeCell ref="D584:F584"/>
    <mergeCell ref="B560:F560"/>
    <mergeCell ref="B562:H562"/>
    <mergeCell ref="B563:F563"/>
    <mergeCell ref="B564:F564"/>
    <mergeCell ref="B565:F565"/>
    <mergeCell ref="B566:F566"/>
    <mergeCell ref="B567:F567"/>
    <mergeCell ref="B568:F568"/>
    <mergeCell ref="B570:H570"/>
    <mergeCell ref="B552:F552"/>
    <mergeCell ref="B553:F553"/>
    <mergeCell ref="B554:B559"/>
    <mergeCell ref="C554:F554"/>
    <mergeCell ref="C555:F555"/>
    <mergeCell ref="C556:F556"/>
    <mergeCell ref="C557:F557"/>
    <mergeCell ref="C558:F558"/>
    <mergeCell ref="C559:F559"/>
    <mergeCell ref="B541:F541"/>
    <mergeCell ref="B542:F542"/>
    <mergeCell ref="B543:F543"/>
    <mergeCell ref="B545:H545"/>
    <mergeCell ref="B546:F546"/>
    <mergeCell ref="B547:F547"/>
    <mergeCell ref="B548:B551"/>
    <mergeCell ref="C548:F548"/>
    <mergeCell ref="C549:F549"/>
    <mergeCell ref="C550:F550"/>
    <mergeCell ref="C551:F551"/>
    <mergeCell ref="D532:F532"/>
    <mergeCell ref="D533:F533"/>
    <mergeCell ref="D534:F534"/>
    <mergeCell ref="D535:F535"/>
    <mergeCell ref="D536:F536"/>
    <mergeCell ref="B537:F537"/>
    <mergeCell ref="B538:F538"/>
    <mergeCell ref="B539:F539"/>
    <mergeCell ref="B540:F540"/>
    <mergeCell ref="B511:H511"/>
    <mergeCell ref="B512:F512"/>
    <mergeCell ref="B513:F513"/>
    <mergeCell ref="B514:F514"/>
    <mergeCell ref="B515:B536"/>
    <mergeCell ref="C515:F515"/>
    <mergeCell ref="C516:C520"/>
    <mergeCell ref="D516:F516"/>
    <mergeCell ref="D517:F517"/>
    <mergeCell ref="D518:F518"/>
    <mergeCell ref="D519:F519"/>
    <mergeCell ref="D520:F520"/>
    <mergeCell ref="C521:F521"/>
    <mergeCell ref="C522:C536"/>
    <mergeCell ref="D522:F522"/>
    <mergeCell ref="D523:F523"/>
    <mergeCell ref="D524:F524"/>
    <mergeCell ref="D525:F525"/>
    <mergeCell ref="D526:F526"/>
    <mergeCell ref="D527:F527"/>
    <mergeCell ref="D528:F528"/>
    <mergeCell ref="D529:F529"/>
    <mergeCell ref="D530:F530"/>
    <mergeCell ref="D531:F531"/>
    <mergeCell ref="B503:H503"/>
    <mergeCell ref="B504:B506"/>
    <mergeCell ref="C504:D504"/>
    <mergeCell ref="E504:G504"/>
    <mergeCell ref="C505:D505"/>
    <mergeCell ref="E505:G505"/>
    <mergeCell ref="C506:D506"/>
    <mergeCell ref="E506:G506"/>
    <mergeCell ref="B508:D508"/>
    <mergeCell ref="B498:D498"/>
    <mergeCell ref="E498:H498"/>
    <mergeCell ref="B499:D499"/>
    <mergeCell ref="E499:H499"/>
    <mergeCell ref="B500:D500"/>
    <mergeCell ref="E500:H500"/>
    <mergeCell ref="B501:D501"/>
    <mergeCell ref="E501:H501"/>
    <mergeCell ref="B502:D502"/>
    <mergeCell ref="E502:H502"/>
    <mergeCell ref="B477:D478"/>
    <mergeCell ref="B479:D480"/>
    <mergeCell ref="F489:H489"/>
    <mergeCell ref="E490:H490"/>
    <mergeCell ref="B492:H492"/>
    <mergeCell ref="B494:H494"/>
    <mergeCell ref="B495:D495"/>
    <mergeCell ref="E495:H495"/>
    <mergeCell ref="B497:D497"/>
    <mergeCell ref="E497:H497"/>
    <mergeCell ref="B464:F464"/>
    <mergeCell ref="B465:D466"/>
    <mergeCell ref="B467:D468"/>
    <mergeCell ref="B469:E469"/>
    <mergeCell ref="B470:E470"/>
    <mergeCell ref="B471:E471"/>
    <mergeCell ref="B472:D473"/>
    <mergeCell ref="B474:D475"/>
    <mergeCell ref="B476:E476"/>
    <mergeCell ref="B449:F449"/>
    <mergeCell ref="B450:F450"/>
    <mergeCell ref="B452:H452"/>
    <mergeCell ref="B453:F453"/>
    <mergeCell ref="B454:F454"/>
    <mergeCell ref="B455:F455"/>
    <mergeCell ref="B456:F456"/>
    <mergeCell ref="B458:H458"/>
    <mergeCell ref="B459:C462"/>
    <mergeCell ref="D459:F459"/>
    <mergeCell ref="D460:F460"/>
    <mergeCell ref="D461:F461"/>
    <mergeCell ref="D462:F462"/>
    <mergeCell ref="B438:F438"/>
    <mergeCell ref="B440:H440"/>
    <mergeCell ref="B441:F441"/>
    <mergeCell ref="B442:F442"/>
    <mergeCell ref="B443:F443"/>
    <mergeCell ref="B444:F444"/>
    <mergeCell ref="B445:F445"/>
    <mergeCell ref="B446:F446"/>
    <mergeCell ref="B448:H448"/>
    <mergeCell ref="B430:F430"/>
    <mergeCell ref="B431:F431"/>
    <mergeCell ref="B432:B437"/>
    <mergeCell ref="C432:F432"/>
    <mergeCell ref="C433:F433"/>
    <mergeCell ref="C434:F434"/>
    <mergeCell ref="C435:F435"/>
    <mergeCell ref="C436:F436"/>
    <mergeCell ref="C437:F437"/>
    <mergeCell ref="B419:F419"/>
    <mergeCell ref="B420:F420"/>
    <mergeCell ref="B421:F421"/>
    <mergeCell ref="B423:H423"/>
    <mergeCell ref="B424:F424"/>
    <mergeCell ref="B425:F425"/>
    <mergeCell ref="B426:B429"/>
    <mergeCell ref="C426:F426"/>
    <mergeCell ref="C427:F427"/>
    <mergeCell ref="C428:F428"/>
    <mergeCell ref="C429:F429"/>
    <mergeCell ref="D410:F410"/>
    <mergeCell ref="D411:F411"/>
    <mergeCell ref="D412:F412"/>
    <mergeCell ref="D413:F413"/>
    <mergeCell ref="D414:F414"/>
    <mergeCell ref="B415:F415"/>
    <mergeCell ref="B416:F416"/>
    <mergeCell ref="B417:F417"/>
    <mergeCell ref="B418:F418"/>
    <mergeCell ref="B389:H389"/>
    <mergeCell ref="B390:F390"/>
    <mergeCell ref="B391:F391"/>
    <mergeCell ref="B392:F392"/>
    <mergeCell ref="B393:B414"/>
    <mergeCell ref="C393:F393"/>
    <mergeCell ref="C394:C398"/>
    <mergeCell ref="D394:F394"/>
    <mergeCell ref="D395:F395"/>
    <mergeCell ref="D396:F396"/>
    <mergeCell ref="D397:F397"/>
    <mergeCell ref="D398:F398"/>
    <mergeCell ref="C399:F399"/>
    <mergeCell ref="C400:C414"/>
    <mergeCell ref="D400:F400"/>
    <mergeCell ref="D401:F401"/>
    <mergeCell ref="D402:F402"/>
    <mergeCell ref="D403:F403"/>
    <mergeCell ref="D404:F404"/>
    <mergeCell ref="D405:F405"/>
    <mergeCell ref="D406:F406"/>
    <mergeCell ref="D407:F407"/>
    <mergeCell ref="D408:F408"/>
    <mergeCell ref="D409:F409"/>
    <mergeCell ref="B381:H381"/>
    <mergeCell ref="B382:B384"/>
    <mergeCell ref="C382:D382"/>
    <mergeCell ref="E382:G382"/>
    <mergeCell ref="C383:D383"/>
    <mergeCell ref="E383:G383"/>
    <mergeCell ref="C384:D384"/>
    <mergeCell ref="E384:G384"/>
    <mergeCell ref="B386:D386"/>
    <mergeCell ref="B376:D376"/>
    <mergeCell ref="E376:H376"/>
    <mergeCell ref="B377:D377"/>
    <mergeCell ref="E377:H377"/>
    <mergeCell ref="B378:D378"/>
    <mergeCell ref="E378:H378"/>
    <mergeCell ref="B379:D379"/>
    <mergeCell ref="E379:H379"/>
    <mergeCell ref="B380:D380"/>
    <mergeCell ref="E380:H380"/>
    <mergeCell ref="B355:D356"/>
    <mergeCell ref="B357:D358"/>
    <mergeCell ref="F367:H367"/>
    <mergeCell ref="E368:H368"/>
    <mergeCell ref="B370:H370"/>
    <mergeCell ref="B372:H372"/>
    <mergeCell ref="B373:D373"/>
    <mergeCell ref="E373:H373"/>
    <mergeCell ref="B375:D375"/>
    <mergeCell ref="E375:H375"/>
    <mergeCell ref="B342:F342"/>
    <mergeCell ref="B343:D344"/>
    <mergeCell ref="B345:D346"/>
    <mergeCell ref="B347:E347"/>
    <mergeCell ref="B348:E348"/>
    <mergeCell ref="B349:E349"/>
    <mergeCell ref="B350:D351"/>
    <mergeCell ref="B352:D353"/>
    <mergeCell ref="B354:E354"/>
    <mergeCell ref="B327:F327"/>
    <mergeCell ref="B328:F328"/>
    <mergeCell ref="B330:H330"/>
    <mergeCell ref="B331:F331"/>
    <mergeCell ref="B332:F332"/>
    <mergeCell ref="B333:F333"/>
    <mergeCell ref="B334:F334"/>
    <mergeCell ref="B336:H336"/>
    <mergeCell ref="B337:C340"/>
    <mergeCell ref="D337:F337"/>
    <mergeCell ref="D338:F338"/>
    <mergeCell ref="D339:F339"/>
    <mergeCell ref="D340:F340"/>
    <mergeCell ref="B316:F316"/>
    <mergeCell ref="B318:H318"/>
    <mergeCell ref="B319:F319"/>
    <mergeCell ref="B320:F320"/>
    <mergeCell ref="B321:F321"/>
    <mergeCell ref="B322:F322"/>
    <mergeCell ref="B323:F323"/>
    <mergeCell ref="B324:F324"/>
    <mergeCell ref="B326:H326"/>
    <mergeCell ref="B308:F308"/>
    <mergeCell ref="B309:F309"/>
    <mergeCell ref="B310:B315"/>
    <mergeCell ref="C310:F310"/>
    <mergeCell ref="C311:F311"/>
    <mergeCell ref="C312:F312"/>
    <mergeCell ref="C313:F313"/>
    <mergeCell ref="C314:F314"/>
    <mergeCell ref="C315:F315"/>
    <mergeCell ref="B297:F297"/>
    <mergeCell ref="B298:F298"/>
    <mergeCell ref="B299:F299"/>
    <mergeCell ref="B301:H301"/>
    <mergeCell ref="B302:F302"/>
    <mergeCell ref="B303:F303"/>
    <mergeCell ref="B304:B307"/>
    <mergeCell ref="C304:F304"/>
    <mergeCell ref="C305:F305"/>
    <mergeCell ref="C306:F306"/>
    <mergeCell ref="C307:F307"/>
    <mergeCell ref="D288:F288"/>
    <mergeCell ref="D289:F289"/>
    <mergeCell ref="D290:F290"/>
    <mergeCell ref="D291:F291"/>
    <mergeCell ref="D292:F292"/>
    <mergeCell ref="B293:F293"/>
    <mergeCell ref="B294:F294"/>
    <mergeCell ref="B295:F295"/>
    <mergeCell ref="B296:F296"/>
    <mergeCell ref="B267:H267"/>
    <mergeCell ref="B268:F268"/>
    <mergeCell ref="B269:F269"/>
    <mergeCell ref="B270:F270"/>
    <mergeCell ref="B271:B292"/>
    <mergeCell ref="C271:F271"/>
    <mergeCell ref="C272:C276"/>
    <mergeCell ref="D272:F272"/>
    <mergeCell ref="D273:F273"/>
    <mergeCell ref="D274:F274"/>
    <mergeCell ref="D275:F275"/>
    <mergeCell ref="D276:F276"/>
    <mergeCell ref="C277:F277"/>
    <mergeCell ref="C278:C292"/>
    <mergeCell ref="D278:F278"/>
    <mergeCell ref="D279:F279"/>
    <mergeCell ref="D280:F280"/>
    <mergeCell ref="D281:F281"/>
    <mergeCell ref="D282:F282"/>
    <mergeCell ref="D283:F283"/>
    <mergeCell ref="D284:F284"/>
    <mergeCell ref="D285:F285"/>
    <mergeCell ref="D286:F286"/>
    <mergeCell ref="D287:F287"/>
    <mergeCell ref="B259:H259"/>
    <mergeCell ref="B260:B262"/>
    <mergeCell ref="C260:D260"/>
    <mergeCell ref="E260:G260"/>
    <mergeCell ref="C261:D261"/>
    <mergeCell ref="E261:G261"/>
    <mergeCell ref="C262:D262"/>
    <mergeCell ref="E262:G262"/>
    <mergeCell ref="B264:D264"/>
    <mergeCell ref="B254:D254"/>
    <mergeCell ref="E254:H254"/>
    <mergeCell ref="B255:D255"/>
    <mergeCell ref="E255:H255"/>
    <mergeCell ref="B256:D256"/>
    <mergeCell ref="E256:H256"/>
    <mergeCell ref="B257:D257"/>
    <mergeCell ref="E257:H257"/>
    <mergeCell ref="B258:D258"/>
    <mergeCell ref="E258:H258"/>
    <mergeCell ref="B233:D234"/>
    <mergeCell ref="B235:D236"/>
    <mergeCell ref="F245:H245"/>
    <mergeCell ref="E246:H246"/>
    <mergeCell ref="B248:H248"/>
    <mergeCell ref="B250:H250"/>
    <mergeCell ref="B251:D251"/>
    <mergeCell ref="E251:H251"/>
    <mergeCell ref="B253:D253"/>
    <mergeCell ref="E253:H253"/>
    <mergeCell ref="B220:F220"/>
    <mergeCell ref="B221:D222"/>
    <mergeCell ref="B223:D224"/>
    <mergeCell ref="B225:E225"/>
    <mergeCell ref="B226:E226"/>
    <mergeCell ref="B227:E227"/>
    <mergeCell ref="B228:D229"/>
    <mergeCell ref="B230:D231"/>
    <mergeCell ref="B232:E232"/>
    <mergeCell ref="B205:F205"/>
    <mergeCell ref="B206:F206"/>
    <mergeCell ref="B208:H208"/>
    <mergeCell ref="B209:F209"/>
    <mergeCell ref="B210:F210"/>
    <mergeCell ref="B211:F211"/>
    <mergeCell ref="B212:F212"/>
    <mergeCell ref="B214:H214"/>
    <mergeCell ref="B215:C218"/>
    <mergeCell ref="D215:F215"/>
    <mergeCell ref="D216:F216"/>
    <mergeCell ref="D217:F217"/>
    <mergeCell ref="D218:F218"/>
    <mergeCell ref="B194:F194"/>
    <mergeCell ref="B196:H196"/>
    <mergeCell ref="B197:F197"/>
    <mergeCell ref="B198:F198"/>
    <mergeCell ref="B199:F199"/>
    <mergeCell ref="B200:F200"/>
    <mergeCell ref="B201:F201"/>
    <mergeCell ref="B202:F202"/>
    <mergeCell ref="B204:H204"/>
    <mergeCell ref="B186:F186"/>
    <mergeCell ref="B187:F187"/>
    <mergeCell ref="B188:B193"/>
    <mergeCell ref="C188:F188"/>
    <mergeCell ref="C189:F189"/>
    <mergeCell ref="C190:F190"/>
    <mergeCell ref="C191:F191"/>
    <mergeCell ref="C192:F192"/>
    <mergeCell ref="C193:F193"/>
    <mergeCell ref="B176:F176"/>
    <mergeCell ref="B177:F177"/>
    <mergeCell ref="B179:H179"/>
    <mergeCell ref="B180:F180"/>
    <mergeCell ref="B181:F181"/>
    <mergeCell ref="B182:B185"/>
    <mergeCell ref="C182:F182"/>
    <mergeCell ref="C183:F183"/>
    <mergeCell ref="C184:F184"/>
    <mergeCell ref="C185:F185"/>
    <mergeCell ref="D167:F167"/>
    <mergeCell ref="D168:F168"/>
    <mergeCell ref="D169:F169"/>
    <mergeCell ref="D170:F170"/>
    <mergeCell ref="B171:F171"/>
    <mergeCell ref="B172:F172"/>
    <mergeCell ref="B173:F173"/>
    <mergeCell ref="B174:F174"/>
    <mergeCell ref="B175:F175"/>
    <mergeCell ref="B146:F146"/>
    <mergeCell ref="B147:F147"/>
    <mergeCell ref="B148:F148"/>
    <mergeCell ref="B149:B170"/>
    <mergeCell ref="C149:F149"/>
    <mergeCell ref="C150:C154"/>
    <mergeCell ref="D150:F150"/>
    <mergeCell ref="D151:F151"/>
    <mergeCell ref="D152:F152"/>
    <mergeCell ref="D153:F153"/>
    <mergeCell ref="D154:F154"/>
    <mergeCell ref="C155:F155"/>
    <mergeCell ref="C156:C170"/>
    <mergeCell ref="D156:F156"/>
    <mergeCell ref="D157:F157"/>
    <mergeCell ref="D158:F158"/>
    <mergeCell ref="D159:F159"/>
    <mergeCell ref="D160:F160"/>
    <mergeCell ref="D161:F161"/>
    <mergeCell ref="D162:F162"/>
    <mergeCell ref="D163:F163"/>
    <mergeCell ref="D164:F164"/>
    <mergeCell ref="D165:F165"/>
    <mergeCell ref="D166:F166"/>
    <mergeCell ref="B138:B140"/>
    <mergeCell ref="C138:D138"/>
    <mergeCell ref="E138:G138"/>
    <mergeCell ref="C139:D139"/>
    <mergeCell ref="E139:G139"/>
    <mergeCell ref="C140:D140"/>
    <mergeCell ref="E140:G140"/>
    <mergeCell ref="B142:D142"/>
    <mergeCell ref="B145:H145"/>
    <mergeCell ref="B133:D133"/>
    <mergeCell ref="E133:H133"/>
    <mergeCell ref="B134:D134"/>
    <mergeCell ref="E134:H134"/>
    <mergeCell ref="B135:D135"/>
    <mergeCell ref="E135:H135"/>
    <mergeCell ref="B136:D136"/>
    <mergeCell ref="E136:H136"/>
    <mergeCell ref="B137:H137"/>
    <mergeCell ref="B132:D132"/>
    <mergeCell ref="E132:H132"/>
    <mergeCell ref="F1:H1"/>
    <mergeCell ref="M1:N1"/>
    <mergeCell ref="O1:P1"/>
    <mergeCell ref="E2:H2"/>
    <mergeCell ref="B4:H4"/>
    <mergeCell ref="B6:H6"/>
    <mergeCell ref="B11:D11"/>
    <mergeCell ref="E11:H11"/>
    <mergeCell ref="B12:D12"/>
    <mergeCell ref="E12:H12"/>
    <mergeCell ref="B13:D13"/>
    <mergeCell ref="E13:H13"/>
    <mergeCell ref="B7:D7"/>
    <mergeCell ref="E7:H7"/>
    <mergeCell ref="B9:D9"/>
    <mergeCell ref="E9:H9"/>
    <mergeCell ref="B10:D10"/>
    <mergeCell ref="E10:H10"/>
    <mergeCell ref="B14:D14"/>
    <mergeCell ref="E14:H14"/>
    <mergeCell ref="B15:H15"/>
    <mergeCell ref="B16:B18"/>
    <mergeCell ref="C16:D16"/>
    <mergeCell ref="E16:G16"/>
    <mergeCell ref="C17:D17"/>
    <mergeCell ref="E17:G17"/>
    <mergeCell ref="C18:D18"/>
    <mergeCell ref="E18:G18"/>
    <mergeCell ref="B20:D20"/>
    <mergeCell ref="B23:H23"/>
    <mergeCell ref="B24:F24"/>
    <mergeCell ref="B25:F25"/>
    <mergeCell ref="B26:F26"/>
    <mergeCell ref="B27:B48"/>
    <mergeCell ref="C27:F27"/>
    <mergeCell ref="C28:C32"/>
    <mergeCell ref="D28:F28"/>
    <mergeCell ref="D29:F29"/>
    <mergeCell ref="D30:F30"/>
    <mergeCell ref="D31:F31"/>
    <mergeCell ref="D32:F32"/>
    <mergeCell ref="C33:F33"/>
    <mergeCell ref="C34:C48"/>
    <mergeCell ref="D34:F34"/>
    <mergeCell ref="D35:F35"/>
    <mergeCell ref="D36:F36"/>
    <mergeCell ref="D37:F37"/>
    <mergeCell ref="D38:F38"/>
    <mergeCell ref="D45:F45"/>
    <mergeCell ref="D46:F46"/>
    <mergeCell ref="D47:F47"/>
    <mergeCell ref="D48:F48"/>
    <mergeCell ref="B49:F49"/>
    <mergeCell ref="B50:F50"/>
    <mergeCell ref="D39:F39"/>
    <mergeCell ref="D40:F40"/>
    <mergeCell ref="D41:F41"/>
    <mergeCell ref="D42:F42"/>
    <mergeCell ref="D43:F43"/>
    <mergeCell ref="D44:F44"/>
    <mergeCell ref="B58:F58"/>
    <mergeCell ref="B59:F59"/>
    <mergeCell ref="B60:B63"/>
    <mergeCell ref="C60:F60"/>
    <mergeCell ref="C61:F61"/>
    <mergeCell ref="C62:F62"/>
    <mergeCell ref="C63:F63"/>
    <mergeCell ref="B51:F51"/>
    <mergeCell ref="B52:F52"/>
    <mergeCell ref="B53:F53"/>
    <mergeCell ref="B54:F54"/>
    <mergeCell ref="B55:F55"/>
    <mergeCell ref="B57:H57"/>
    <mergeCell ref="B64:F64"/>
    <mergeCell ref="B65:F65"/>
    <mergeCell ref="B66:B71"/>
    <mergeCell ref="C66:F66"/>
    <mergeCell ref="C67:F67"/>
    <mergeCell ref="C68:F68"/>
    <mergeCell ref="C69:F69"/>
    <mergeCell ref="C70:F70"/>
    <mergeCell ref="C71:F71"/>
    <mergeCell ref="B79:F79"/>
    <mergeCell ref="B80:F80"/>
    <mergeCell ref="B82:H82"/>
    <mergeCell ref="B83:F83"/>
    <mergeCell ref="B84:F84"/>
    <mergeCell ref="B86:H86"/>
    <mergeCell ref="B72:F72"/>
    <mergeCell ref="B74:H74"/>
    <mergeCell ref="B75:F75"/>
    <mergeCell ref="B76:F76"/>
    <mergeCell ref="B77:F77"/>
    <mergeCell ref="B78:F78"/>
    <mergeCell ref="B130:D130"/>
    <mergeCell ref="E130:H130"/>
    <mergeCell ref="B87:F87"/>
    <mergeCell ref="B88:F88"/>
    <mergeCell ref="B89:F89"/>
    <mergeCell ref="B90:F90"/>
    <mergeCell ref="B92:H92"/>
    <mergeCell ref="B93:C96"/>
    <mergeCell ref="D93:F93"/>
    <mergeCell ref="D94:F94"/>
    <mergeCell ref="D95:F95"/>
    <mergeCell ref="D96:F96"/>
    <mergeCell ref="B106:D107"/>
    <mergeCell ref="B108:D109"/>
    <mergeCell ref="B110:E110"/>
    <mergeCell ref="B111:D112"/>
    <mergeCell ref="B113:D114"/>
    <mergeCell ref="B98:F98"/>
    <mergeCell ref="B99:D100"/>
    <mergeCell ref="B101:D102"/>
    <mergeCell ref="B103:E103"/>
    <mergeCell ref="B104:E104"/>
    <mergeCell ref="B105:E105"/>
    <mergeCell ref="F123:H123"/>
    <mergeCell ref="E124:H124"/>
    <mergeCell ref="B126:H126"/>
    <mergeCell ref="B128:H128"/>
    <mergeCell ref="B129:D129"/>
    <mergeCell ref="E129:H129"/>
  </mergeCells>
  <pageMargins left="0.7" right="0.7" top="0.75" bottom="0.75" header="0.3" footer="0.3"/>
  <pageSetup scale="63" fitToHeight="0" orientation="portrait" horizontalDpi="0" verticalDpi="0" r:id="rId1"/>
  <ignoredErrors>
    <ignoredError sqref="G25:G52 B58:H60 B87:H96 G147:G177 B180:H202 G209:G211 G269:G297 G302:G316 G319:G324 B331:H340 B62:H63 B61:G61 B65:H81 B64:G64" numberStoredAsText="1"/>
  </ignoredErrors>
  <drawing r:id="rId2"/>
</worksheet>
</file>

<file path=xl/worksheets/sheet27.xml><?xml version="1.0" encoding="utf-8"?>
<worksheet xmlns="http://schemas.openxmlformats.org/spreadsheetml/2006/main" xmlns:r="http://schemas.openxmlformats.org/officeDocument/2006/relationships">
  <sheetPr>
    <pageSetUpPr fitToPage="1"/>
  </sheetPr>
  <dimension ref="A1:P32"/>
  <sheetViews>
    <sheetView topLeftCell="A4" workbookViewId="0">
      <selection activeCell="M20" sqref="M20"/>
    </sheetView>
  </sheetViews>
  <sheetFormatPr defaultRowHeight="15"/>
  <cols>
    <col min="1" max="1" width="7.7109375" style="246" customWidth="1"/>
    <col min="2" max="2" width="5.5703125" style="246" customWidth="1"/>
    <col min="3" max="3" width="9.140625" style="246" customWidth="1"/>
    <col min="4" max="10" width="4" style="246" customWidth="1"/>
    <col min="11" max="11" width="6.42578125" style="246" customWidth="1"/>
    <col min="12" max="12" width="3.85546875" style="246" customWidth="1"/>
    <col min="13" max="13" width="9.140625" style="246"/>
    <col min="14" max="14" width="17" style="246" customWidth="1"/>
    <col min="15" max="15" width="4.5703125" style="246" customWidth="1"/>
    <col min="16" max="16384" width="9.140625" style="246"/>
  </cols>
  <sheetData>
    <row r="1" spans="1:14">
      <c r="M1" s="189" t="s">
        <v>1283</v>
      </c>
      <c r="N1" s="189"/>
    </row>
    <row r="2" spans="1:14">
      <c r="M2" s="189" t="s">
        <v>1284</v>
      </c>
      <c r="N2" s="189"/>
    </row>
    <row r="3" spans="1:14">
      <c r="M3" s="130" t="s">
        <v>1285</v>
      </c>
      <c r="N3" s="130"/>
    </row>
    <row r="4" spans="1:14" s="247" customFormat="1" ht="19.5" customHeight="1">
      <c r="A4" s="247" t="s">
        <v>1286</v>
      </c>
      <c r="D4" s="248" t="str">
        <f>+[4]Company!C7</f>
        <v>|_2_|_0_|_1_|_8_|_9_|_4_|_2_|</v>
      </c>
    </row>
    <row r="5" spans="1:14" s="247" customFormat="1" ht="19.5" customHeight="1">
      <c r="A5" s="247" t="s">
        <v>1287</v>
      </c>
      <c r="B5" s="247" t="str">
        <f>CONCATENATE([4]Company!C13,", ",[4]Company!C12,", ",[4]Company!C11,", ",[4]Company!C10)</f>
        <v>Шинэст ХК -н өөрийн байр , Эв нэгдэлийн гудамж, 3-р хороо , Хан уул дүүрэг</v>
      </c>
      <c r="D5" s="248"/>
    </row>
    <row r="6" spans="1:14" ht="21" customHeight="1">
      <c r="A6" s="246" t="s">
        <v>1288</v>
      </c>
    </row>
    <row r="7" spans="1:14" s="251" customFormat="1" ht="24" customHeight="1">
      <c r="A7" s="249" t="str">
        <f>CONCATENATE("Утас: ",[4]Company!C15,", ",[4]Company!C16,", ","                            ","Факс: ",[4]Company!C17)</f>
        <v>Утас: 70114414, 99119765 99066093 86001044,                             Факс: 70114404</v>
      </c>
      <c r="B7" s="249"/>
      <c r="C7" s="250"/>
      <c r="D7" s="250"/>
    </row>
    <row r="8" spans="1:14">
      <c r="A8" s="246" t="s">
        <v>1289</v>
      </c>
    </row>
    <row r="11" spans="1:14" ht="98.25" customHeight="1"/>
    <row r="12" spans="1:14" ht="33.75" customHeight="1">
      <c r="A12" s="252" t="s">
        <v>2859</v>
      </c>
      <c r="C12" s="253"/>
      <c r="D12" s="254"/>
      <c r="E12" s="253"/>
      <c r="F12" s="253"/>
      <c r="G12" s="253"/>
      <c r="H12" s="254"/>
      <c r="J12" s="255" t="str">
        <f>+Table133[[#Headers],[ШИНЭСТ ХК]]</f>
        <v>ШИНЭСТ ХК</v>
      </c>
      <c r="L12" s="253"/>
      <c r="M12" s="256"/>
    </row>
    <row r="13" spans="1:14" ht="27">
      <c r="C13" s="257"/>
      <c r="D13" s="1218">
        <v>2018</v>
      </c>
      <c r="E13" s="1218"/>
      <c r="F13" s="1218"/>
      <c r="G13" s="258" t="s">
        <v>1290</v>
      </c>
      <c r="I13" s="258"/>
      <c r="J13" s="259"/>
      <c r="K13" s="259"/>
      <c r="L13" s="259" t="s">
        <v>2871</v>
      </c>
      <c r="M13" s="257"/>
    </row>
    <row r="14" spans="1:14" ht="25.5">
      <c r="C14" s="257"/>
      <c r="D14" s="258"/>
      <c r="E14" s="260" t="s">
        <v>1291</v>
      </c>
      <c r="F14" s="258"/>
      <c r="G14" s="258"/>
      <c r="H14" s="258"/>
      <c r="I14" s="258"/>
      <c r="J14" s="258"/>
      <c r="K14" s="258"/>
      <c r="L14" s="257"/>
      <c r="M14" s="257"/>
    </row>
    <row r="25" spans="1:16">
      <c r="P25" s="261"/>
    </row>
    <row r="29" spans="1:16" ht="31.5" customHeight="1">
      <c r="A29" s="1219" t="s">
        <v>1292</v>
      </c>
      <c r="B29" s="1220"/>
      <c r="C29" s="1220"/>
      <c r="D29" s="1220"/>
      <c r="E29" s="1220"/>
      <c r="F29" s="1221"/>
      <c r="G29" s="1222" t="s">
        <v>1293</v>
      </c>
      <c r="H29" s="1223"/>
      <c r="I29" s="1223"/>
      <c r="J29" s="1223"/>
      <c r="K29" s="1224"/>
      <c r="L29" s="1222" t="s">
        <v>1294</v>
      </c>
      <c r="M29" s="1223"/>
      <c r="N29" s="1224"/>
    </row>
    <row r="30" spans="1:16" ht="22.5" customHeight="1">
      <c r="A30" s="1225"/>
      <c r="B30" s="1226"/>
      <c r="C30" s="1226"/>
      <c r="D30" s="1226"/>
      <c r="E30" s="1226"/>
      <c r="F30" s="1227"/>
      <c r="G30" s="1228"/>
      <c r="H30" s="1229"/>
      <c r="I30" s="1229"/>
      <c r="J30" s="1229"/>
      <c r="K30" s="1230"/>
      <c r="L30" s="1228"/>
      <c r="M30" s="1229"/>
      <c r="N30" s="1230"/>
    </row>
    <row r="31" spans="1:16" ht="22.5" customHeight="1">
      <c r="A31" s="1225"/>
      <c r="B31" s="1226"/>
      <c r="C31" s="1226"/>
      <c r="D31" s="1226"/>
      <c r="E31" s="1226"/>
      <c r="F31" s="1227"/>
      <c r="G31" s="1225"/>
      <c r="H31" s="1226"/>
      <c r="I31" s="1226"/>
      <c r="J31" s="1226"/>
      <c r="K31" s="1227"/>
      <c r="L31" s="1225"/>
      <c r="M31" s="1226"/>
      <c r="N31" s="1227"/>
    </row>
    <row r="32" spans="1:16" ht="22.5" customHeight="1">
      <c r="A32" s="1225"/>
      <c r="B32" s="1226"/>
      <c r="C32" s="1226"/>
      <c r="D32" s="1226"/>
      <c r="E32" s="1226"/>
      <c r="F32" s="1227"/>
      <c r="G32" s="1225"/>
      <c r="H32" s="1226"/>
      <c r="I32" s="1226"/>
      <c r="J32" s="1226"/>
      <c r="K32" s="1227"/>
      <c r="L32" s="1225"/>
      <c r="M32" s="1226"/>
      <c r="N32" s="1227"/>
    </row>
  </sheetData>
  <mergeCells count="13">
    <mergeCell ref="A31:F31"/>
    <mergeCell ref="G31:K31"/>
    <mergeCell ref="L31:N31"/>
    <mergeCell ref="A32:F32"/>
    <mergeCell ref="G32:K32"/>
    <mergeCell ref="L32:N32"/>
    <mergeCell ref="D13:F13"/>
    <mergeCell ref="A29:F29"/>
    <mergeCell ref="G29:K29"/>
    <mergeCell ref="L29:N29"/>
    <mergeCell ref="A30:F30"/>
    <mergeCell ref="G30:K30"/>
    <mergeCell ref="L30:N30"/>
  </mergeCells>
  <pageMargins left="0.7" right="0.7" top="0.75" bottom="0.75" header="0.3" footer="0.3"/>
  <pageSetup scale="89" orientation="portrait" horizontalDpi="0" verticalDpi="0" r:id="rId1"/>
</worksheet>
</file>

<file path=xl/worksheets/sheet28.xml><?xml version="1.0" encoding="utf-8"?>
<worksheet xmlns="http://schemas.openxmlformats.org/spreadsheetml/2006/main" xmlns:r="http://schemas.openxmlformats.org/officeDocument/2006/relationships">
  <sheetPr>
    <pageSetUpPr fitToPage="1"/>
  </sheetPr>
  <dimension ref="A2:K39"/>
  <sheetViews>
    <sheetView workbookViewId="0">
      <selection activeCell="N18" sqref="N18"/>
    </sheetView>
  </sheetViews>
  <sheetFormatPr defaultRowHeight="18" customHeight="1"/>
  <cols>
    <col min="1" max="1" width="9.140625" style="1"/>
    <col min="2" max="2" width="15.140625" style="1" customWidth="1"/>
    <col min="3" max="3" width="9.42578125" style="1" customWidth="1"/>
    <col min="4" max="4" width="5.7109375" style="1" customWidth="1"/>
    <col min="5" max="5" width="4.85546875" style="1" customWidth="1"/>
    <col min="6" max="6" width="7.5703125" style="1" customWidth="1"/>
    <col min="7" max="7" width="5.140625" style="1" customWidth="1"/>
    <col min="8" max="9" width="9.140625" style="1"/>
    <col min="10" max="10" width="2.7109375" style="1" customWidth="1"/>
    <col min="11" max="11" width="12.28515625" style="1" customWidth="1"/>
    <col min="12" max="16384" width="9.140625" style="1"/>
  </cols>
  <sheetData>
    <row r="2" spans="1:11" s="266" customFormat="1" ht="18" customHeight="1">
      <c r="C2" s="1231" t="str">
        <f>+CONCATENATE('company '!C6,"-ний ")</f>
        <v xml:space="preserve">ШИНЭСТ ХК-ний </v>
      </c>
      <c r="D2" s="1231"/>
      <c r="E2" s="1231"/>
      <c r="F2" s="1231"/>
      <c r="G2" s="1231"/>
      <c r="H2" s="1231"/>
      <c r="I2" s="795"/>
    </row>
    <row r="3" spans="1:11" s="266" customFormat="1" ht="18" customHeight="1">
      <c r="C3" s="266">
        <v>2018</v>
      </c>
      <c r="D3" s="266" t="s">
        <v>1295</v>
      </c>
    </row>
    <row r="4" spans="1:11" s="266" customFormat="1" ht="18" customHeight="1">
      <c r="C4" s="266" t="s">
        <v>1296</v>
      </c>
    </row>
    <row r="6" spans="1:11" s="2" customFormat="1" ht="18" customHeight="1">
      <c r="E6" s="796" t="str">
        <f>+'company '!C22</f>
        <v>2018 оны 12 сарын 31</v>
      </c>
      <c r="F6" s="797"/>
      <c r="G6" s="796"/>
    </row>
    <row r="8" spans="1:11" ht="18" customHeight="1">
      <c r="A8" s="1" t="s">
        <v>1297</v>
      </c>
      <c r="B8" s="798" t="str">
        <f>+'company '!C26</f>
        <v>Дашдэмбэрэл</v>
      </c>
      <c r="C8" s="1" t="s">
        <v>1298</v>
      </c>
      <c r="D8" s="1232" t="str">
        <f>+'company '!C27</f>
        <v>Бахдамдэмбэрэл</v>
      </c>
      <c r="E8" s="1232"/>
      <c r="F8" s="1232"/>
      <c r="G8" s="1" t="s">
        <v>1299</v>
      </c>
      <c r="K8" s="798" t="str">
        <f>+'company '!C29</f>
        <v>Батсуурь</v>
      </c>
    </row>
    <row r="9" spans="1:11" ht="18" customHeight="1">
      <c r="A9" s="1" t="s">
        <v>1298</v>
      </c>
      <c r="B9" s="799" t="str">
        <f>+'company '!C30</f>
        <v>Түмэндэлгэр</v>
      </c>
      <c r="C9" s="1" t="str">
        <f>CONCATENATE("бид манай аж ахуйн нэгжийн  ",'company '!C22,"-ийн")</f>
        <v>бид манай аж ахуйн нэгжийн  2018 оны 12 сарын 31-ийн</v>
      </c>
      <c r="D9" s="800"/>
      <c r="E9" s="800"/>
      <c r="F9" s="800"/>
      <c r="I9" s="2"/>
    </row>
    <row r="10" spans="1:11" ht="18" customHeight="1">
      <c r="A10" s="1" t="s">
        <v>1300</v>
      </c>
    </row>
    <row r="11" spans="1:11" ht="18" customHeight="1">
      <c r="A11" s="1" t="s">
        <v>1301</v>
      </c>
    </row>
    <row r="12" spans="1:11" ht="18" customHeight="1">
      <c r="A12" s="1" t="s">
        <v>1302</v>
      </c>
    </row>
    <row r="13" spans="1:11" ht="18" customHeight="1">
      <c r="A13" s="1" t="s">
        <v>1303</v>
      </c>
    </row>
    <row r="14" spans="1:11" ht="18" customHeight="1">
      <c r="A14" s="2">
        <v>1</v>
      </c>
      <c r="B14" s="1" t="s">
        <v>1304</v>
      </c>
    </row>
    <row r="15" spans="1:11" ht="18" customHeight="1">
      <c r="A15" s="2"/>
      <c r="B15" s="1" t="s">
        <v>1305</v>
      </c>
    </row>
    <row r="16" spans="1:11" ht="18" customHeight="1">
      <c r="A16" s="2">
        <v>2</v>
      </c>
      <c r="B16" s="1" t="s">
        <v>1306</v>
      </c>
    </row>
    <row r="17" spans="1:8" ht="15">
      <c r="A17" s="2">
        <v>3</v>
      </c>
      <c r="B17" s="1" t="s">
        <v>1307</v>
      </c>
    </row>
    <row r="18" spans="1:8" ht="15">
      <c r="A18" s="2"/>
      <c r="B18" s="1" t="s">
        <v>1308</v>
      </c>
    </row>
    <row r="19" spans="1:8" ht="15">
      <c r="A19" s="2">
        <v>4</v>
      </c>
      <c r="B19" s="1" t="s">
        <v>1309</v>
      </c>
    </row>
    <row r="20" spans="1:8" ht="15">
      <c r="A20" s="2"/>
      <c r="B20" s="1" t="s">
        <v>1310</v>
      </c>
    </row>
    <row r="21" spans="1:8" ht="15">
      <c r="A21" s="2">
        <v>5</v>
      </c>
      <c r="B21" s="1" t="s">
        <v>1311</v>
      </c>
    </row>
    <row r="22" spans="1:8" ht="15">
      <c r="A22" s="2"/>
      <c r="B22" s="1" t="s">
        <v>1312</v>
      </c>
    </row>
    <row r="23" spans="1:8" ht="15">
      <c r="A23" s="2">
        <v>6</v>
      </c>
      <c r="B23" s="1" t="s">
        <v>1313</v>
      </c>
    </row>
    <row r="24" spans="1:8" ht="15">
      <c r="A24" s="2"/>
      <c r="B24" s="1" t="s">
        <v>1314</v>
      </c>
    </row>
    <row r="29" spans="1:8" ht="15">
      <c r="B29" s="1" t="s">
        <v>1297</v>
      </c>
      <c r="H29" s="1" t="str">
        <f>+'company '!C25</f>
        <v>/Д.Бахдамдэмбэрэл /</v>
      </c>
    </row>
    <row r="31" spans="1:8" ht="15">
      <c r="B31" s="1" t="s">
        <v>1315</v>
      </c>
      <c r="H31" s="1" t="str">
        <f>+'company '!C28</f>
        <v>/Б.Түмэндэлгэр/</v>
      </c>
    </row>
    <row r="39" spans="11:11" ht="18" customHeight="1">
      <c r="K39" s="1">
        <v>2</v>
      </c>
    </row>
  </sheetData>
  <mergeCells count="2">
    <mergeCell ref="C2:H2"/>
    <mergeCell ref="D8:F8"/>
  </mergeCells>
  <pageMargins left="0.7" right="0.7" top="0.75" bottom="0.75" header="0.3" footer="0.3"/>
  <pageSetup orientation="portrait" horizontalDpi="0" verticalDpi="0" r:id="rId1"/>
</worksheet>
</file>

<file path=xl/worksheets/sheet29.xml><?xml version="1.0" encoding="utf-8"?>
<worksheet xmlns="http://schemas.openxmlformats.org/spreadsheetml/2006/main" xmlns:r="http://schemas.openxmlformats.org/officeDocument/2006/relationships">
  <sheetPr>
    <pageSetUpPr fitToPage="1"/>
  </sheetPr>
  <dimension ref="A1:R537"/>
  <sheetViews>
    <sheetView topLeftCell="A377" workbookViewId="0">
      <selection activeCell="M367" sqref="M367"/>
    </sheetView>
  </sheetViews>
  <sheetFormatPr defaultRowHeight="12.75"/>
  <cols>
    <col min="1" max="1" width="6.28515625" style="320" customWidth="1"/>
    <col min="2" max="2" width="15.7109375" style="332" customWidth="1"/>
    <col min="3" max="3" width="6.5703125" style="332" customWidth="1"/>
    <col min="4" max="4" width="6.85546875" style="332" customWidth="1"/>
    <col min="5" max="5" width="6.5703125" style="332" customWidth="1"/>
    <col min="6" max="6" width="8.85546875" style="332" customWidth="1"/>
    <col min="7" max="7" width="14" style="237" customWidth="1"/>
    <col min="8" max="8" width="14.28515625" style="237" bestFit="1" customWidth="1"/>
    <col min="9" max="9" width="15.42578125" style="237" customWidth="1"/>
    <col min="10" max="10" width="14.42578125" style="237" customWidth="1"/>
    <col min="11" max="11" width="14.28515625" style="237" bestFit="1" customWidth="1"/>
    <col min="12" max="12" width="13.42578125" style="237" customWidth="1"/>
    <col min="13" max="13" width="12.85546875" style="237" bestFit="1" customWidth="1"/>
    <col min="14" max="14" width="14.28515625" style="237" bestFit="1" customWidth="1"/>
    <col min="15" max="15" width="13" style="237" customWidth="1"/>
    <col min="16" max="16" width="14.28515625" style="237" bestFit="1" customWidth="1"/>
    <col min="17" max="18" width="13" style="237" customWidth="1"/>
    <col min="19" max="16384" width="9.140625" style="237"/>
  </cols>
  <sheetData>
    <row r="1" spans="1:12">
      <c r="L1" s="237" t="s">
        <v>1979</v>
      </c>
    </row>
    <row r="2" spans="1:12" ht="18.75">
      <c r="C2" s="794" t="s">
        <v>1980</v>
      </c>
      <c r="D2" s="511"/>
      <c r="E2" s="511"/>
      <c r="F2" s="511"/>
      <c r="G2" s="512"/>
      <c r="H2" s="512"/>
    </row>
    <row r="4" spans="1:12">
      <c r="A4" s="513" t="str">
        <f>+CONCATENATE(Table133[[#Headers],[ШИНЭСТ ХК]])</f>
        <v>ШИНЭСТ ХК</v>
      </c>
      <c r="B4" s="514"/>
      <c r="C4" s="514"/>
      <c r="I4" s="515" t="str">
        <f>+'company '!C22</f>
        <v>2018 оны 12 сарын 31</v>
      </c>
      <c r="J4" s="515"/>
      <c r="K4" s="515"/>
    </row>
    <row r="5" spans="1:12">
      <c r="A5" s="516" t="s">
        <v>1981</v>
      </c>
    </row>
    <row r="6" spans="1:12">
      <c r="A6" s="516"/>
    </row>
    <row r="7" spans="1:12">
      <c r="A7" s="516" t="s">
        <v>1982</v>
      </c>
    </row>
    <row r="8" spans="1:12">
      <c r="A8" s="516"/>
    </row>
    <row r="9" spans="1:12">
      <c r="A9" s="516" t="s">
        <v>1983</v>
      </c>
      <c r="B9" s="514" t="str">
        <f>+'company '!C19</f>
        <v>|_3_|_6_|_1_|_0_|_0_|_0_|  -  Барилга, гэр ахуйн модон эдлэл үйлдвэрлэх</v>
      </c>
      <c r="C9" s="514"/>
      <c r="D9" s="514"/>
      <c r="E9" s="514"/>
      <c r="F9" s="514"/>
      <c r="G9" s="515"/>
      <c r="H9" s="515"/>
      <c r="I9" s="515"/>
      <c r="J9" s="20"/>
    </row>
    <row r="10" spans="1:12">
      <c r="A10" s="516" t="s">
        <v>1984</v>
      </c>
      <c r="B10" s="517"/>
      <c r="C10" s="517"/>
      <c r="D10" s="517"/>
      <c r="E10" s="517"/>
      <c r="F10" s="517"/>
      <c r="G10" s="518"/>
      <c r="H10" s="518"/>
      <c r="I10" s="518"/>
      <c r="J10" s="20"/>
    </row>
    <row r="11" spans="1:12">
      <c r="A11" s="516" t="s">
        <v>1985</v>
      </c>
      <c r="B11" s="517"/>
      <c r="C11" s="517"/>
      <c r="D11" s="517"/>
      <c r="E11" s="517"/>
      <c r="F11" s="517"/>
      <c r="G11" s="518"/>
      <c r="H11" s="518"/>
      <c r="I11" s="518"/>
      <c r="J11" s="20"/>
    </row>
    <row r="12" spans="1:12">
      <c r="A12" s="516"/>
    </row>
    <row r="13" spans="1:12">
      <c r="A13" s="516" t="s">
        <v>1986</v>
      </c>
    </row>
    <row r="14" spans="1:12">
      <c r="A14" s="516"/>
    </row>
    <row r="15" spans="1:12">
      <c r="A15" s="516" t="s">
        <v>1983</v>
      </c>
      <c r="B15" s="514"/>
      <c r="C15" s="514"/>
      <c r="D15" s="514"/>
      <c r="E15" s="514"/>
      <c r="F15" s="332" t="s">
        <v>1984</v>
      </c>
      <c r="G15" s="515"/>
      <c r="H15" s="515"/>
      <c r="I15" s="515"/>
      <c r="J15" s="515"/>
      <c r="K15" s="515"/>
    </row>
    <row r="16" spans="1:12">
      <c r="A16" s="516" t="s">
        <v>1985</v>
      </c>
      <c r="B16" s="514"/>
      <c r="C16" s="514"/>
      <c r="D16" s="514"/>
      <c r="E16" s="514"/>
    </row>
    <row r="17" spans="1:11">
      <c r="A17" s="516"/>
    </row>
    <row r="18" spans="1:11">
      <c r="A18" s="516" t="s">
        <v>1987</v>
      </c>
    </row>
    <row r="19" spans="1:11">
      <c r="A19" s="516"/>
    </row>
    <row r="20" spans="1:11">
      <c r="A20" s="516" t="s">
        <v>1983</v>
      </c>
      <c r="B20" s="514"/>
      <c r="C20" s="514"/>
      <c r="D20" s="514"/>
      <c r="E20" s="514"/>
      <c r="F20" s="514"/>
      <c r="G20" s="515"/>
      <c r="H20" s="515"/>
      <c r="I20" s="515"/>
      <c r="J20" s="20"/>
    </row>
    <row r="21" spans="1:11">
      <c r="A21" s="516" t="s">
        <v>1984</v>
      </c>
      <c r="B21" s="517"/>
      <c r="C21" s="517"/>
      <c r="D21" s="517"/>
      <c r="E21" s="517"/>
      <c r="F21" s="517"/>
      <c r="G21" s="518"/>
      <c r="H21" s="518"/>
      <c r="I21" s="518"/>
      <c r="J21" s="20"/>
    </row>
    <row r="22" spans="1:11">
      <c r="A22" s="516" t="s">
        <v>1985</v>
      </c>
      <c r="B22" s="517"/>
      <c r="C22" s="517"/>
      <c r="D22" s="517"/>
      <c r="E22" s="517"/>
      <c r="F22" s="517"/>
      <c r="G22" s="518"/>
      <c r="H22" s="518"/>
      <c r="I22" s="518"/>
      <c r="J22" s="20"/>
    </row>
    <row r="25" spans="1:11">
      <c r="A25" s="1233" t="s">
        <v>1988</v>
      </c>
      <c r="B25" s="1233"/>
      <c r="C25" s="1233"/>
      <c r="D25" s="1233"/>
      <c r="E25" s="1233"/>
      <c r="F25" s="1233"/>
      <c r="G25" s="1233"/>
      <c r="H25" s="1233"/>
      <c r="I25" s="1233"/>
      <c r="J25" s="1233"/>
      <c r="K25" s="1233"/>
    </row>
    <row r="27" spans="1:11">
      <c r="A27" s="568" t="s">
        <v>2303</v>
      </c>
      <c r="B27" s="665"/>
      <c r="C27" s="665"/>
      <c r="D27" s="665"/>
      <c r="E27" s="665"/>
      <c r="F27" s="665"/>
      <c r="G27" s="665"/>
      <c r="H27" s="665"/>
      <c r="I27" s="665"/>
      <c r="J27" s="665"/>
      <c r="K27" s="665"/>
    </row>
    <row r="28" spans="1:11">
      <c r="A28" s="568" t="s">
        <v>2303</v>
      </c>
    </row>
    <row r="29" spans="1:11">
      <c r="A29" s="568" t="s">
        <v>2303</v>
      </c>
    </row>
    <row r="30" spans="1:11">
      <c r="A30" s="568" t="s">
        <v>2303</v>
      </c>
    </row>
    <row r="31" spans="1:11">
      <c r="A31" s="568" t="s">
        <v>2303</v>
      </c>
    </row>
    <row r="32" spans="1:11">
      <c r="A32" s="568" t="s">
        <v>2303</v>
      </c>
    </row>
    <row r="33" spans="1:11">
      <c r="A33" s="568" t="s">
        <v>2303</v>
      </c>
    </row>
    <row r="34" spans="1:11">
      <c r="A34" s="568" t="s">
        <v>2303</v>
      </c>
    </row>
    <row r="35" spans="1:11">
      <c r="A35" s="568" t="s">
        <v>2303</v>
      </c>
    </row>
    <row r="36" spans="1:11">
      <c r="A36" s="568" t="s">
        <v>2303</v>
      </c>
    </row>
    <row r="37" spans="1:11">
      <c r="A37" s="568" t="s">
        <v>2303</v>
      </c>
    </row>
    <row r="38" spans="1:11">
      <c r="A38" s="568" t="s">
        <v>2303</v>
      </c>
    </row>
    <row r="40" spans="1:11">
      <c r="A40" s="1233" t="s">
        <v>1989</v>
      </c>
      <c r="B40" s="1233"/>
      <c r="C40" s="1233"/>
      <c r="D40" s="1233"/>
      <c r="E40" s="1233"/>
      <c r="F40" s="1233"/>
      <c r="G40" s="1233"/>
      <c r="H40" s="1233"/>
      <c r="I40" s="1233"/>
      <c r="J40" s="1233"/>
      <c r="K40" s="1233"/>
    </row>
    <row r="41" spans="1:11">
      <c r="A41" s="516"/>
    </row>
    <row r="42" spans="1:11">
      <c r="A42" s="568" t="s">
        <v>2303</v>
      </c>
    </row>
    <row r="43" spans="1:11">
      <c r="A43" s="568" t="s">
        <v>2303</v>
      </c>
    </row>
    <row r="44" spans="1:11">
      <c r="A44" s="568" t="s">
        <v>2303</v>
      </c>
    </row>
    <row r="45" spans="1:11">
      <c r="A45" s="568" t="s">
        <v>2303</v>
      </c>
    </row>
    <row r="46" spans="1:11">
      <c r="A46" s="568" t="s">
        <v>2303</v>
      </c>
    </row>
    <row r="47" spans="1:11">
      <c r="A47" s="568" t="s">
        <v>2303</v>
      </c>
    </row>
    <row r="48" spans="1:11">
      <c r="A48" s="568" t="s">
        <v>2303</v>
      </c>
    </row>
    <row r="49" spans="1:14">
      <c r="A49" s="568" t="s">
        <v>2303</v>
      </c>
    </row>
    <row r="50" spans="1:14">
      <c r="A50" s="568" t="s">
        <v>2303</v>
      </c>
    </row>
    <row r="51" spans="1:14">
      <c r="A51" s="568" t="s">
        <v>2303</v>
      </c>
    </row>
    <row r="52" spans="1:14">
      <c r="A52" s="568" t="s">
        <v>2303</v>
      </c>
    </row>
    <row r="54" spans="1:14">
      <c r="A54" s="1233" t="s">
        <v>1990</v>
      </c>
      <c r="B54" s="1233"/>
      <c r="C54" s="1233"/>
      <c r="D54" s="1233"/>
      <c r="E54" s="1233"/>
      <c r="F54" s="1233"/>
      <c r="G54" s="1233"/>
      <c r="H54" s="1233"/>
      <c r="I54" s="1233"/>
      <c r="J54" s="1233"/>
      <c r="K54" s="1233"/>
      <c r="L54" s="237" t="s">
        <v>1991</v>
      </c>
    </row>
    <row r="56" spans="1:14">
      <c r="A56" s="519" t="s">
        <v>1</v>
      </c>
      <c r="B56" s="1234" t="s">
        <v>1992</v>
      </c>
      <c r="C56" s="1235"/>
      <c r="D56" s="1235"/>
      <c r="E56" s="1235"/>
      <c r="F56" s="1235"/>
      <c r="G56" s="1236"/>
      <c r="H56" s="1237" t="s">
        <v>1993</v>
      </c>
      <c r="I56" s="1238"/>
      <c r="J56" s="1237" t="s">
        <v>1994</v>
      </c>
      <c r="K56" s="1238"/>
    </row>
    <row r="57" spans="1:14">
      <c r="A57" s="519">
        <v>1</v>
      </c>
      <c r="B57" s="1234" t="s">
        <v>1995</v>
      </c>
      <c r="C57" s="1235"/>
      <c r="D57" s="1235"/>
      <c r="E57" s="1235"/>
      <c r="F57" s="1235"/>
      <c r="G57" s="1236"/>
      <c r="H57" s="1237">
        <f>+STAT1!H4+STAT1!H5</f>
        <v>303425202.5</v>
      </c>
      <c r="I57" s="1238"/>
      <c r="J57" s="1237">
        <f>+STAT4!V4+STAT4!V5</f>
        <v>344233191.87738824</v>
      </c>
      <c r="K57" s="1238"/>
    </row>
    <row r="58" spans="1:14">
      <c r="A58" s="519">
        <v>2</v>
      </c>
      <c r="B58" s="1234" t="s">
        <v>1996</v>
      </c>
      <c r="C58" s="1235"/>
      <c r="D58" s="1235"/>
      <c r="E58" s="1235"/>
      <c r="F58" s="1235"/>
      <c r="G58" s="1236"/>
      <c r="H58" s="1237">
        <f>+SUM(STAT1!H6:H16)</f>
        <v>936220.82000000007</v>
      </c>
      <c r="I58" s="1238"/>
      <c r="J58" s="1237">
        <f>+SUM(STAT4!V6:V16)</f>
        <v>402977.75</v>
      </c>
      <c r="K58" s="1238"/>
    </row>
    <row r="59" spans="1:14">
      <c r="A59" s="519">
        <v>3</v>
      </c>
      <c r="B59" s="1234" t="s">
        <v>1997</v>
      </c>
      <c r="C59" s="1235"/>
      <c r="D59" s="1235"/>
      <c r="E59" s="1235"/>
      <c r="F59" s="1235"/>
      <c r="G59" s="1236"/>
      <c r="H59" s="1237"/>
      <c r="I59" s="1238"/>
      <c r="J59" s="1237"/>
      <c r="K59" s="1238"/>
    </row>
    <row r="60" spans="1:14">
      <c r="A60" s="519">
        <v>4</v>
      </c>
      <c r="B60" s="1234" t="s">
        <v>1998</v>
      </c>
      <c r="C60" s="1235"/>
      <c r="D60" s="1235"/>
      <c r="E60" s="1235"/>
      <c r="F60" s="1235"/>
      <c r="G60" s="1236"/>
      <c r="H60" s="1237">
        <f>SUM(H57:I59)</f>
        <v>304361423.31999999</v>
      </c>
      <c r="I60" s="1238"/>
      <c r="J60" s="1237">
        <f>SUM(J57:K59)</f>
        <v>344636169.62738824</v>
      </c>
      <c r="K60" s="1238"/>
      <c r="M60" s="237">
        <f>+SUM(STAT4!V4:V16)</f>
        <v>344636169.62738824</v>
      </c>
      <c r="N60" s="237">
        <f>+J60-M60</f>
        <v>0</v>
      </c>
    </row>
    <row r="62" spans="1:14">
      <c r="A62" s="1233" t="s">
        <v>1999</v>
      </c>
      <c r="B62" s="1233"/>
      <c r="C62" s="1233"/>
      <c r="D62" s="1233"/>
      <c r="E62" s="1233"/>
      <c r="F62" s="1233"/>
      <c r="G62" s="1233"/>
      <c r="H62" s="1233"/>
      <c r="I62" s="1233"/>
      <c r="J62" s="1233"/>
      <c r="K62" s="1233"/>
    </row>
    <row r="63" spans="1:14">
      <c r="A63" s="516" t="s">
        <v>2000</v>
      </c>
    </row>
    <row r="64" spans="1:14">
      <c r="A64" s="520" t="s">
        <v>1</v>
      </c>
      <c r="B64" s="521" t="s">
        <v>49</v>
      </c>
      <c r="C64" s="522"/>
      <c r="D64" s="522"/>
      <c r="E64" s="522"/>
      <c r="F64" s="522"/>
      <c r="G64" s="523" t="s">
        <v>2001</v>
      </c>
      <c r="H64" s="1239" t="s">
        <v>538</v>
      </c>
      <c r="I64" s="1240"/>
      <c r="J64" s="1239" t="s">
        <v>2002</v>
      </c>
      <c r="K64" s="1240"/>
    </row>
    <row r="65" spans="1:14">
      <c r="A65" s="519">
        <v>1</v>
      </c>
      <c r="B65" s="1234" t="s">
        <v>1993</v>
      </c>
      <c r="C65" s="1235"/>
      <c r="D65" s="1235"/>
      <c r="E65" s="1235"/>
      <c r="F65" s="1236"/>
      <c r="G65" s="524">
        <f>+STAT1!H18+STAT1!H19</f>
        <v>2644403</v>
      </c>
      <c r="H65" s="1237"/>
      <c r="I65" s="1238"/>
      <c r="J65" s="1237">
        <f t="shared" ref="J65:J70" si="0">+G65-H65</f>
        <v>2644403</v>
      </c>
      <c r="K65" s="1238"/>
    </row>
    <row r="66" spans="1:14">
      <c r="A66" s="519">
        <f>+A65+1</f>
        <v>2</v>
      </c>
      <c r="B66" s="1234" t="s">
        <v>2003</v>
      </c>
      <c r="C66" s="1235"/>
      <c r="D66" s="1235"/>
      <c r="E66" s="1235"/>
      <c r="F66" s="1236"/>
      <c r="G66" s="524">
        <f>+STAT1!J18+STAT2!J18+STAT3!J18+STAT4!J18+STAT1!N18+STAT2!N18+STAT3!N18+STAT4!N18</f>
        <v>120691523.97999999</v>
      </c>
      <c r="H66" s="1237"/>
      <c r="I66" s="1238"/>
      <c r="J66" s="1237">
        <f t="shared" si="0"/>
        <v>120691523.97999999</v>
      </c>
      <c r="K66" s="1238"/>
    </row>
    <row r="67" spans="1:14">
      <c r="A67" s="519">
        <f>+A66+1</f>
        <v>3</v>
      </c>
      <c r="B67" s="1234" t="s">
        <v>2004</v>
      </c>
      <c r="C67" s="1235"/>
      <c r="D67" s="1235"/>
      <c r="E67" s="1235"/>
      <c r="F67" s="1236"/>
      <c r="G67" s="524">
        <f>+STAT1!K18+STAT2!K18+STAT3!K18+STAT4!K18+STAT1!O18+STAT2!O18+STAT3!O18+STAT4!O18</f>
        <v>120691523.97999999</v>
      </c>
      <c r="H67" s="1237">
        <f>+H68+H69</f>
        <v>0</v>
      </c>
      <c r="I67" s="1238"/>
      <c r="J67" s="1237">
        <f t="shared" si="0"/>
        <v>120691523.97999999</v>
      </c>
      <c r="K67" s="1238"/>
    </row>
    <row r="68" spans="1:14">
      <c r="A68" s="519"/>
      <c r="B68" s="525"/>
      <c r="C68" s="1234" t="s">
        <v>2005</v>
      </c>
      <c r="D68" s="1235"/>
      <c r="E68" s="1235"/>
      <c r="F68" s="1236"/>
      <c r="G68" s="524">
        <f>+STAT1!K23+STAT1!K24+STAT1!O23+STAT1!O24+STAT2!K18+STAT2!K19+STAT2!O18+STAT2!O19+STAT3!K23+STAT3!K24+STAT3!O23+STAT3!O24+STAT4!K18+STAT4!K19+STAT4!O18+STAT4!O19</f>
        <v>108971946.85999998</v>
      </c>
      <c r="H68" s="1237"/>
      <c r="I68" s="1238"/>
      <c r="J68" s="1237">
        <f t="shared" si="0"/>
        <v>108971946.85999998</v>
      </c>
      <c r="K68" s="1238"/>
    </row>
    <row r="69" spans="1:14">
      <c r="A69" s="519"/>
      <c r="B69" s="526"/>
      <c r="C69" s="1234" t="s">
        <v>2006</v>
      </c>
      <c r="D69" s="1235"/>
      <c r="E69" s="1235"/>
      <c r="F69" s="1236"/>
      <c r="G69" s="527"/>
      <c r="H69" s="1237"/>
      <c r="I69" s="1238"/>
      <c r="J69" s="1237">
        <f t="shared" si="0"/>
        <v>0</v>
      </c>
      <c r="K69" s="1238"/>
    </row>
    <row r="70" spans="1:14">
      <c r="A70" s="519">
        <v>4</v>
      </c>
      <c r="B70" s="1234" t="s">
        <v>1994</v>
      </c>
      <c r="C70" s="1235"/>
      <c r="D70" s="1235"/>
      <c r="E70" s="1235"/>
      <c r="F70" s="1236"/>
      <c r="G70" s="527">
        <f>+G65+G66-G67</f>
        <v>2644403</v>
      </c>
      <c r="H70" s="1237"/>
      <c r="I70" s="1238"/>
      <c r="J70" s="1237">
        <f t="shared" si="0"/>
        <v>2644403</v>
      </c>
      <c r="K70" s="1238"/>
      <c r="M70" s="237">
        <f>+STAT4!V18+STAT4!V19</f>
        <v>2644403.0000000149</v>
      </c>
      <c r="N70" s="237">
        <f>+J70-M70</f>
        <v>-1.4901161193847656E-8</v>
      </c>
    </row>
    <row r="72" spans="1:14">
      <c r="A72" s="516" t="s">
        <v>2007</v>
      </c>
    </row>
    <row r="73" spans="1:14">
      <c r="A73" s="519" t="s">
        <v>1</v>
      </c>
      <c r="B73" s="1234" t="s">
        <v>2008</v>
      </c>
      <c r="C73" s="1235"/>
      <c r="D73" s="1235"/>
      <c r="E73" s="1235"/>
      <c r="F73" s="1235"/>
      <c r="G73" s="1236"/>
      <c r="H73" s="1237" t="s">
        <v>1993</v>
      </c>
      <c r="I73" s="1238"/>
      <c r="J73" s="1237" t="s">
        <v>1994</v>
      </c>
      <c r="K73" s="1238"/>
    </row>
    <row r="74" spans="1:14">
      <c r="A74" s="519">
        <v>1</v>
      </c>
      <c r="B74" s="1234" t="s">
        <v>2009</v>
      </c>
      <c r="C74" s="1235"/>
      <c r="D74" s="1235"/>
      <c r="E74" s="1235"/>
      <c r="F74" s="1235"/>
      <c r="G74" s="1236"/>
      <c r="H74" s="1237">
        <f>+STAT1!H26</f>
        <v>99989.61</v>
      </c>
      <c r="I74" s="1238"/>
      <c r="J74" s="1237">
        <f>+STAT4!V26</f>
        <v>99989.61</v>
      </c>
      <c r="K74" s="1238"/>
    </row>
    <row r="75" spans="1:14">
      <c r="A75" s="519">
        <f>+A74+1</f>
        <v>2</v>
      </c>
      <c r="B75" s="1234" t="s">
        <v>2010</v>
      </c>
      <c r="C75" s="1235"/>
      <c r="D75" s="1235"/>
      <c r="E75" s="1235"/>
      <c r="F75" s="1235"/>
      <c r="G75" s="1236"/>
      <c r="H75" s="1237">
        <f>+STAT1!H26</f>
        <v>99989.61</v>
      </c>
      <c r="I75" s="1238"/>
      <c r="J75" s="1237">
        <f>+STAT4!V25</f>
        <v>0</v>
      </c>
      <c r="K75" s="1238"/>
    </row>
    <row r="76" spans="1:14">
      <c r="A76" s="519">
        <f>+A75+1</f>
        <v>3</v>
      </c>
      <c r="B76" s="1234" t="s">
        <v>2011</v>
      </c>
      <c r="C76" s="1235"/>
      <c r="D76" s="1235"/>
      <c r="E76" s="1235"/>
      <c r="F76" s="1235"/>
      <c r="G76" s="1236"/>
      <c r="H76" s="1237">
        <f>+STAT1!H28</f>
        <v>82442.47</v>
      </c>
      <c r="I76" s="1238"/>
      <c r="J76" s="1237">
        <f>+STAT4!V28</f>
        <v>186644.1099999994</v>
      </c>
      <c r="K76" s="1238"/>
    </row>
    <row r="77" spans="1:14">
      <c r="A77" s="519">
        <f>+A76+1</f>
        <v>4</v>
      </c>
      <c r="B77" s="525" t="s">
        <v>2012</v>
      </c>
      <c r="C77" s="517"/>
      <c r="D77" s="517"/>
      <c r="E77" s="517"/>
      <c r="F77" s="517"/>
      <c r="G77" s="528"/>
      <c r="H77" s="1237">
        <f>+STAT1!H27</f>
        <v>53998.17</v>
      </c>
      <c r="I77" s="1238"/>
      <c r="J77" s="1237">
        <f>+STAT4!V27</f>
        <v>68243.919999999925</v>
      </c>
      <c r="K77" s="1238"/>
    </row>
    <row r="78" spans="1:14">
      <c r="A78" s="519">
        <f>+A77+1</f>
        <v>5</v>
      </c>
      <c r="B78" s="1234" t="s">
        <v>1998</v>
      </c>
      <c r="C78" s="1235"/>
      <c r="D78" s="1235"/>
      <c r="E78" s="1235"/>
      <c r="F78" s="1235"/>
      <c r="G78" s="1236"/>
      <c r="H78" s="1237">
        <f>SUM(H74:I77)</f>
        <v>336419.86</v>
      </c>
      <c r="I78" s="1238"/>
      <c r="J78" s="1237">
        <f>SUM(J74:K77)</f>
        <v>354877.63999999932</v>
      </c>
      <c r="K78" s="1238"/>
      <c r="M78" s="237">
        <f>+SUM(STAT4!V25:V29)</f>
        <v>354877.63999999932</v>
      </c>
      <c r="N78" s="237">
        <f>+J78-M78</f>
        <v>0</v>
      </c>
    </row>
    <row r="80" spans="1:14">
      <c r="A80" s="516" t="s">
        <v>2013</v>
      </c>
    </row>
    <row r="81" spans="1:14">
      <c r="A81" s="519" t="s">
        <v>1</v>
      </c>
      <c r="B81" s="1234" t="s">
        <v>2008</v>
      </c>
      <c r="C81" s="1235"/>
      <c r="D81" s="1235"/>
      <c r="E81" s="1235"/>
      <c r="F81" s="1235"/>
      <c r="G81" s="1236"/>
      <c r="H81" s="1237" t="s">
        <v>1993</v>
      </c>
      <c r="I81" s="1238"/>
      <c r="J81" s="1237" t="s">
        <v>1994</v>
      </c>
      <c r="K81" s="1238"/>
    </row>
    <row r="82" spans="1:14">
      <c r="A82" s="519">
        <v>1</v>
      </c>
      <c r="B82" s="1241" t="s">
        <v>2014</v>
      </c>
      <c r="C82" s="1242"/>
      <c r="D82" s="1242"/>
      <c r="E82" s="1242"/>
      <c r="F82" s="1242"/>
      <c r="G82" s="1243"/>
      <c r="H82" s="1237">
        <f>+STAT1!H31</f>
        <v>980000</v>
      </c>
      <c r="I82" s="1238"/>
      <c r="J82" s="1237">
        <f>+STAT4!V31</f>
        <v>0</v>
      </c>
      <c r="K82" s="1238"/>
    </row>
    <row r="83" spans="1:14">
      <c r="A83" s="519">
        <f>+A82+1</f>
        <v>2</v>
      </c>
      <c r="B83" s="1234" t="s">
        <v>2015</v>
      </c>
      <c r="C83" s="1235"/>
      <c r="D83" s="1235"/>
      <c r="E83" s="1235"/>
      <c r="F83" s="1235"/>
      <c r="G83" s="1236"/>
      <c r="H83" s="1237">
        <f>+STAT1!H30</f>
        <v>0</v>
      </c>
      <c r="I83" s="1238"/>
      <c r="J83" s="1237">
        <f>+STAT4!V30</f>
        <v>0</v>
      </c>
      <c r="K83" s="1238"/>
    </row>
    <row r="84" spans="1:14">
      <c r="A84" s="519">
        <f t="shared" ref="A84:A89" si="1">+A83+1</f>
        <v>3</v>
      </c>
      <c r="B84" s="1234" t="s">
        <v>2016</v>
      </c>
      <c r="C84" s="1235"/>
      <c r="D84" s="1235"/>
      <c r="E84" s="1235"/>
      <c r="F84" s="1235"/>
      <c r="G84" s="1236"/>
      <c r="H84" s="1237"/>
      <c r="I84" s="1238"/>
      <c r="J84" s="1237"/>
      <c r="K84" s="1238"/>
    </row>
    <row r="85" spans="1:14">
      <c r="A85" s="519">
        <f t="shared" si="1"/>
        <v>4</v>
      </c>
      <c r="B85" s="525" t="s">
        <v>2017</v>
      </c>
      <c r="C85" s="517"/>
      <c r="D85" s="517"/>
      <c r="E85" s="517"/>
      <c r="F85" s="517"/>
      <c r="G85" s="528"/>
      <c r="H85" s="1237"/>
      <c r="I85" s="1238"/>
      <c r="J85" s="1237"/>
      <c r="K85" s="1238"/>
    </row>
    <row r="86" spans="1:14">
      <c r="A86" s="519">
        <f t="shared" si="1"/>
        <v>5</v>
      </c>
      <c r="B86" s="525" t="s">
        <v>2018</v>
      </c>
      <c r="C86" s="517"/>
      <c r="D86" s="517"/>
      <c r="E86" s="517"/>
      <c r="F86" s="517"/>
      <c r="G86" s="528"/>
      <c r="H86" s="1237"/>
      <c r="I86" s="1238"/>
      <c r="J86" s="1237"/>
      <c r="K86" s="1238"/>
    </row>
    <row r="87" spans="1:14">
      <c r="A87" s="519">
        <f t="shared" si="1"/>
        <v>6</v>
      </c>
      <c r="B87" s="525" t="s">
        <v>2019</v>
      </c>
      <c r="C87" s="517"/>
      <c r="D87" s="517"/>
      <c r="E87" s="517"/>
      <c r="F87" s="517"/>
      <c r="G87" s="528"/>
      <c r="H87" s="1237">
        <f>+STAT1!H30</f>
        <v>0</v>
      </c>
      <c r="I87" s="1238"/>
      <c r="J87" s="1237"/>
      <c r="K87" s="1238"/>
    </row>
    <row r="88" spans="1:14">
      <c r="A88" s="519">
        <f t="shared" si="1"/>
        <v>7</v>
      </c>
      <c r="B88" s="525" t="s">
        <v>2277</v>
      </c>
      <c r="C88" s="517"/>
      <c r="D88" s="517"/>
      <c r="E88" s="517"/>
      <c r="F88" s="517"/>
      <c r="G88" s="528"/>
      <c r="H88" s="1237">
        <f>+STAT1!H32+STAT1!H33</f>
        <v>8</v>
      </c>
      <c r="I88" s="1238"/>
      <c r="J88" s="1237">
        <f>+STAT4!V33+STAT4!V32</f>
        <v>0</v>
      </c>
      <c r="K88" s="1238"/>
    </row>
    <row r="89" spans="1:14">
      <c r="A89" s="519">
        <f t="shared" si="1"/>
        <v>8</v>
      </c>
      <c r="B89" s="1234" t="s">
        <v>1998</v>
      </c>
      <c r="C89" s="1235"/>
      <c r="D89" s="1235"/>
      <c r="E89" s="1235"/>
      <c r="F89" s="1235"/>
      <c r="G89" s="1236"/>
      <c r="H89" s="1237">
        <f>SUM(H82:I88)</f>
        <v>980008</v>
      </c>
      <c r="I89" s="1238"/>
      <c r="J89" s="1237">
        <f>SUM(J82:K88)</f>
        <v>0</v>
      </c>
      <c r="K89" s="1238"/>
      <c r="M89" s="237">
        <f>+SUM(STAT4!V30:V33)</f>
        <v>0</v>
      </c>
      <c r="N89" s="237">
        <f>+M89-J89</f>
        <v>0</v>
      </c>
    </row>
    <row r="91" spans="1:14">
      <c r="A91" s="1244" t="s">
        <v>2020</v>
      </c>
      <c r="B91" s="1244"/>
      <c r="C91" s="1244"/>
      <c r="D91" s="1244"/>
      <c r="E91" s="1244"/>
      <c r="F91" s="1244"/>
      <c r="G91" s="1244"/>
      <c r="H91" s="1244"/>
      <c r="I91" s="1244"/>
      <c r="J91" s="1244"/>
      <c r="K91" s="1244"/>
    </row>
    <row r="92" spans="1:14">
      <c r="A92" s="566" t="s">
        <v>2304</v>
      </c>
      <c r="B92" s="537"/>
      <c r="C92" s="537"/>
      <c r="D92" s="537"/>
      <c r="E92" s="537"/>
      <c r="F92" s="537"/>
      <c r="G92" s="20"/>
      <c r="H92" s="20"/>
      <c r="I92" s="20"/>
      <c r="J92" s="20"/>
      <c r="K92" s="20"/>
    </row>
    <row r="93" spans="1:14">
      <c r="A93" s="566" t="s">
        <v>2304</v>
      </c>
      <c r="B93" s="537"/>
      <c r="C93" s="537"/>
      <c r="D93" s="537"/>
      <c r="E93" s="537"/>
      <c r="F93" s="537"/>
      <c r="G93" s="20"/>
      <c r="H93" s="20"/>
      <c r="I93" s="20"/>
      <c r="J93" s="20"/>
      <c r="K93" s="20"/>
    </row>
    <row r="95" spans="1:14">
      <c r="A95" s="1233" t="s">
        <v>2021</v>
      </c>
      <c r="B95" s="1233"/>
      <c r="C95" s="1233"/>
      <c r="D95" s="1233"/>
      <c r="E95" s="1233"/>
      <c r="F95" s="1233"/>
      <c r="G95" s="1233"/>
      <c r="H95" s="1233"/>
      <c r="I95" s="1233"/>
      <c r="J95" s="1233"/>
      <c r="K95" s="1233"/>
      <c r="L95" s="237" t="s">
        <v>2022</v>
      </c>
    </row>
    <row r="97" spans="1:14">
      <c r="A97" s="519" t="s">
        <v>1</v>
      </c>
      <c r="B97" s="1234" t="s">
        <v>2023</v>
      </c>
      <c r="C97" s="1235"/>
      <c r="D97" s="1235"/>
      <c r="E97" s="1235"/>
      <c r="F97" s="1235"/>
      <c r="G97" s="1236"/>
      <c r="H97" s="1237" t="s">
        <v>1993</v>
      </c>
      <c r="I97" s="1238"/>
      <c r="J97" s="1237" t="s">
        <v>1994</v>
      </c>
      <c r="K97" s="1238"/>
    </row>
    <row r="98" spans="1:14">
      <c r="A98" s="519">
        <v>1</v>
      </c>
      <c r="B98" s="1234"/>
      <c r="C98" s="1235"/>
      <c r="D98" s="1235"/>
      <c r="E98" s="1235"/>
      <c r="F98" s="1235"/>
      <c r="G98" s="1236"/>
      <c r="H98" s="1237"/>
      <c r="I98" s="1238"/>
      <c r="J98" s="1237"/>
      <c r="K98" s="1238"/>
    </row>
    <row r="99" spans="1:14">
      <c r="A99" s="519">
        <v>2</v>
      </c>
      <c r="B99" s="1234"/>
      <c r="C99" s="1235"/>
      <c r="D99" s="1235"/>
      <c r="E99" s="1235"/>
      <c r="F99" s="1235"/>
      <c r="G99" s="1236"/>
      <c r="H99" s="1237"/>
      <c r="I99" s="1238"/>
      <c r="J99" s="1237"/>
      <c r="K99" s="1238"/>
    </row>
    <row r="100" spans="1:14">
      <c r="A100" s="519">
        <v>4</v>
      </c>
      <c r="B100" s="1234" t="s">
        <v>1998</v>
      </c>
      <c r="C100" s="1235"/>
      <c r="D100" s="1235"/>
      <c r="E100" s="1235"/>
      <c r="F100" s="1235"/>
      <c r="G100" s="1236"/>
      <c r="H100" s="1237"/>
      <c r="I100" s="1238"/>
      <c r="J100" s="1237"/>
      <c r="K100" s="1238"/>
    </row>
    <row r="102" spans="1:14">
      <c r="A102" s="1233" t="s">
        <v>2024</v>
      </c>
      <c r="B102" s="1233"/>
      <c r="C102" s="1233"/>
      <c r="D102" s="1233"/>
      <c r="E102" s="1233"/>
      <c r="F102" s="1233"/>
      <c r="G102" s="1233"/>
      <c r="H102" s="1233"/>
      <c r="I102" s="1233"/>
      <c r="J102" s="1233"/>
      <c r="K102" s="1233"/>
    </row>
    <row r="104" spans="1:14" ht="25.5">
      <c r="A104" s="519" t="s">
        <v>1</v>
      </c>
      <c r="B104" s="526" t="s">
        <v>2025</v>
      </c>
      <c r="C104" s="1245" t="s">
        <v>2026</v>
      </c>
      <c r="D104" s="1245"/>
      <c r="E104" s="1245" t="s">
        <v>2027</v>
      </c>
      <c r="F104" s="1245"/>
      <c r="G104" s="529" t="s">
        <v>2028</v>
      </c>
      <c r="H104" s="527" t="s">
        <v>2029</v>
      </c>
      <c r="I104" s="529" t="s">
        <v>2030</v>
      </c>
      <c r="J104" s="529" t="s">
        <v>610</v>
      </c>
      <c r="K104" s="527" t="s">
        <v>1998</v>
      </c>
    </row>
    <row r="105" spans="1:14" ht="38.25">
      <c r="A105" s="519">
        <v>1</v>
      </c>
      <c r="B105" s="530" t="s">
        <v>2031</v>
      </c>
      <c r="C105" s="1234">
        <f>+STAT1!H36</f>
        <v>147260176.78</v>
      </c>
      <c r="D105" s="1236"/>
      <c r="E105" s="1234">
        <f>+STAT1!H46+STAT1!H47+STAT1!H48</f>
        <v>0</v>
      </c>
      <c r="F105" s="1236"/>
      <c r="G105" s="527">
        <f>+STAT1!H57+STAT1!H58+STAT1!H59+STAT1!H60+STAT1!H61</f>
        <v>575620903.55999994</v>
      </c>
      <c r="H105" s="527">
        <f>+STAT1!H62</f>
        <v>139494959.66999999</v>
      </c>
      <c r="I105" s="527">
        <f>+STAT1!H63+STAT1!H64</f>
        <v>6485924.6600000011</v>
      </c>
      <c r="J105" s="527">
        <f>+STAT1!H65</f>
        <v>0</v>
      </c>
      <c r="K105" s="527">
        <f>SUM(C105:J105)</f>
        <v>868861964.66999984</v>
      </c>
      <c r="M105" s="237">
        <f>+SUM(STAT1!H57:H65)+STAT1!H36</f>
        <v>868861964.66999996</v>
      </c>
      <c r="N105" s="237">
        <f>+K105-M105</f>
        <v>0</v>
      </c>
    </row>
    <row r="106" spans="1:14" ht="24.75" customHeight="1">
      <c r="A106" s="519">
        <v>2</v>
      </c>
      <c r="B106" s="530" t="s">
        <v>2032</v>
      </c>
      <c r="C106" s="1234">
        <f>+STAT1!J36+STAT2!J36+STAT3!J36+STAT4!J36+STAT1!N36+STAT2!N36+STAT3!N36+STAT4!N36</f>
        <v>68082636.370000005</v>
      </c>
      <c r="D106" s="1236"/>
      <c r="E106" s="1234">
        <f>+STAT1!J46+STAT2!J46+STAT3!J46+STAT4!J46+STAT1!N46+STAT2!N46+STAT3!N46+STAT4!N46+STAT1!J47+STAT2!J47+STAT3!J47+STAT4!J47+STAT1!N47+STAT2!N47+STAT3!N47+STAT4!N47</f>
        <v>485675311.39999998</v>
      </c>
      <c r="F106" s="1236"/>
      <c r="G106" s="527">
        <f>+STAT1!J57+STAT2!J57+STAT3!J57+STAT4!J57+STAT1!N57+STAT2!N57+STAT3!N57+STAT4!N57+STAT1!J58+STAT2!J58+STAT3!J58+STAT4!J58+STAT1!N58+STAT2!N58+STAT3!N58+STAT4!N58</f>
        <v>494988538.00999993</v>
      </c>
      <c r="H106" s="527">
        <f>+STAT1!J62+STAT2!J62+STAT3!J62+STAT4!J62+STAT1!N62+STAT2!N62+STAT3!N62+STAT4!N62</f>
        <v>31150354.548181817</v>
      </c>
      <c r="I106" s="527">
        <f>+STAT1!J63+STAT2!J63+STAT3!J63+STAT4!J63+STAT1!N63+STAT2!N63+STAT3!N63+STAT4!N63</f>
        <v>2522000</v>
      </c>
      <c r="J106" s="527">
        <f>+STAT1!J65+STAT2!J65+STAT3!J65+STAT4!J65+STAT1!N65+STAT2!N65+STAT3!N65+STAT4!N65</f>
        <v>0</v>
      </c>
      <c r="K106" s="527">
        <f t="shared" ref="K106:K112" si="2">SUM(C106:J106)</f>
        <v>1082418840.3281817</v>
      </c>
    </row>
    <row r="107" spans="1:14">
      <c r="A107" s="519">
        <v>3</v>
      </c>
      <c r="B107" s="530" t="s">
        <v>2033</v>
      </c>
      <c r="C107" s="1234">
        <f>+STAT1!K36+STAT2!K36+STAT3!K36+STAT4!K36+STAT1!O36+STAT2!O36+STAT3!O36+STAT4!O36</f>
        <v>177260176.77999997</v>
      </c>
      <c r="D107" s="1236"/>
      <c r="E107" s="1234">
        <f>+STAT1!K46+STAT2!K46+STAT3!K46+STAT4!K46+STAT1!O46+STAT2!O46+STAT3!O46+STAT4!O46+STAT1!K47+STAT2!K47+STAT3!K47+STAT4!K47+STAT1!O47+STAT2!O47+STAT3!O47+STAT4!O47</f>
        <v>485675311.39999998</v>
      </c>
      <c r="F107" s="1236"/>
      <c r="G107" s="527">
        <f>+STAT1!K57+STAT2!K57+STAT3!K57+STAT4!K57+STAT1!O57+STAT2!O57+STAT3!O57+STAT4!O57+STAT1!K58+STAT2!K58+STAT3!K58+STAT4!K58+STAT1!O58+STAT2!O58+STAT3!O58+STAT4!O58</f>
        <v>482897365.37459671</v>
      </c>
      <c r="H107" s="527">
        <f>+STAT1!K62+STAT2!K62+STAT3!K62+STAT4!K62+STAT1!O62+STAT2!O62+STAT3!O62+STAT4!O62</f>
        <v>44744434.370975949</v>
      </c>
      <c r="I107" s="527">
        <f>+STAT1!K63+STAT2!K63+STAT3!K63+STAT4!K63+STAT1!O63+STAT2!O63+STAT3!O63+STAT4!O63</f>
        <v>0</v>
      </c>
      <c r="J107" s="527">
        <f>+STAT1!K65+STAT2!K65+STAT3!K65+STAT4!K65+STAT1!O65+STAT2!O65+STAT3!O65+STAT4!O65</f>
        <v>0</v>
      </c>
      <c r="K107" s="527">
        <f t="shared" si="2"/>
        <v>1190577287.9255726</v>
      </c>
    </row>
    <row r="108" spans="1:14" ht="38.25">
      <c r="A108" s="519">
        <v>4</v>
      </c>
      <c r="B108" s="530" t="s">
        <v>2034</v>
      </c>
      <c r="C108" s="1237">
        <f>+C105+C106-C107</f>
        <v>38082636.370000035</v>
      </c>
      <c r="D108" s="1238"/>
      <c r="E108" s="1237">
        <f>+E105+E106-E107</f>
        <v>0</v>
      </c>
      <c r="F108" s="1238"/>
      <c r="G108" s="525">
        <f>+G105+G106-G107</f>
        <v>587712076.19540322</v>
      </c>
      <c r="H108" s="525">
        <f>+H105+H106-H107</f>
        <v>125900879.84720585</v>
      </c>
      <c r="I108" s="525">
        <f>+I105+I106-I107</f>
        <v>9007924.6600000001</v>
      </c>
      <c r="J108" s="525">
        <f>+J105+J106-J107</f>
        <v>0</v>
      </c>
      <c r="K108" s="527">
        <f t="shared" si="2"/>
        <v>760703517.07260907</v>
      </c>
    </row>
    <row r="109" spans="1:14" ht="25.5">
      <c r="A109" s="519">
        <v>5</v>
      </c>
      <c r="B109" s="530" t="s">
        <v>2035</v>
      </c>
      <c r="C109" s="1234"/>
      <c r="D109" s="1236"/>
      <c r="E109" s="1234"/>
      <c r="F109" s="1236"/>
      <c r="G109" s="527"/>
      <c r="H109" s="527"/>
      <c r="I109" s="527"/>
      <c r="J109" s="527"/>
      <c r="K109" s="527">
        <f t="shared" si="2"/>
        <v>0</v>
      </c>
    </row>
    <row r="110" spans="1:14" ht="38.25">
      <c r="A110" s="519">
        <v>6</v>
      </c>
      <c r="B110" s="530" t="s">
        <v>2036</v>
      </c>
      <c r="C110" s="1234"/>
      <c r="D110" s="1236"/>
      <c r="E110" s="1234"/>
      <c r="F110" s="1236"/>
      <c r="G110" s="527"/>
      <c r="H110" s="527"/>
      <c r="I110" s="527"/>
      <c r="J110" s="527"/>
      <c r="K110" s="527">
        <f t="shared" si="2"/>
        <v>0</v>
      </c>
    </row>
    <row r="111" spans="1:14" ht="25.5">
      <c r="A111" s="519">
        <v>7</v>
      </c>
      <c r="B111" s="530" t="s">
        <v>2037</v>
      </c>
      <c r="C111" s="1234"/>
      <c r="D111" s="1236"/>
      <c r="E111" s="1234"/>
      <c r="F111" s="1236"/>
      <c r="G111" s="527"/>
      <c r="H111" s="527"/>
      <c r="I111" s="527"/>
      <c r="J111" s="527"/>
      <c r="K111" s="527">
        <f t="shared" si="2"/>
        <v>0</v>
      </c>
    </row>
    <row r="112" spans="1:14">
      <c r="A112" s="531">
        <v>7.1</v>
      </c>
      <c r="B112" s="530" t="s">
        <v>14</v>
      </c>
      <c r="C112" s="1234">
        <f>+STAT1!H36</f>
        <v>147260176.78</v>
      </c>
      <c r="D112" s="1236"/>
      <c r="E112" s="525">
        <f>+E105</f>
        <v>0</v>
      </c>
      <c r="F112" s="528"/>
      <c r="G112" s="525">
        <f>+G105</f>
        <v>575620903.55999994</v>
      </c>
      <c r="H112" s="528"/>
      <c r="I112" s="525">
        <f>+I105</f>
        <v>6485924.6600000011</v>
      </c>
      <c r="J112" s="528"/>
      <c r="K112" s="527">
        <f t="shared" si="2"/>
        <v>729367004.99999988</v>
      </c>
    </row>
    <row r="113" spans="1:14">
      <c r="A113" s="531">
        <v>7.2</v>
      </c>
      <c r="B113" s="530" t="s">
        <v>15</v>
      </c>
      <c r="C113" s="1234">
        <f>+STAT4!V36</f>
        <v>38082636.370000005</v>
      </c>
      <c r="D113" s="1236"/>
      <c r="E113" s="1234">
        <f>+STAT4!V46+STAT4!V47+STAT4!V48+STAT4!V55+STAT4!V56</f>
        <v>0</v>
      </c>
      <c r="F113" s="1236"/>
      <c r="G113" s="527">
        <f>+SUM(STAT4!V57:V61)</f>
        <v>587712076.19540346</v>
      </c>
      <c r="H113" s="527">
        <f>+STAT4!V62</f>
        <v>125900879.84720582</v>
      </c>
      <c r="I113" s="527">
        <f>+STAT4!V63+STAT4!V64</f>
        <v>9007924.6600000001</v>
      </c>
      <c r="J113" s="527">
        <f>+STAT4!V65</f>
        <v>0</v>
      </c>
      <c r="K113" s="527">
        <f>SUM(C113:J113)</f>
        <v>760703517.07260931</v>
      </c>
      <c r="M113" s="237">
        <f>+SUM(STAT4!V57:V65)+STAT4!V36+STAT4!V55+STAT4!V56+STAT4!V46+STAT4!V47+STAT4!V48</f>
        <v>760703517.07260931</v>
      </c>
      <c r="N113" s="237">
        <f>+K113-M113</f>
        <v>0</v>
      </c>
    </row>
    <row r="115" spans="1:14">
      <c r="A115" s="1246" t="s">
        <v>2038</v>
      </c>
      <c r="B115" s="1246"/>
      <c r="C115" s="1246"/>
      <c r="D115" s="1246"/>
      <c r="E115" s="1246"/>
      <c r="F115" s="1246"/>
      <c r="G115" s="1246"/>
      <c r="H115" s="1246"/>
      <c r="I115" s="1246"/>
      <c r="J115" s="1246"/>
      <c r="K115" s="1246"/>
    </row>
    <row r="117" spans="1:14">
      <c r="A117" s="1247" t="s">
        <v>2039</v>
      </c>
      <c r="B117" s="1247"/>
      <c r="C117" s="1247"/>
      <c r="D117" s="1247"/>
      <c r="E117" s="1247"/>
      <c r="F117" s="1247"/>
      <c r="G117" s="1247"/>
      <c r="H117" s="1247"/>
      <c r="I117" s="1247"/>
      <c r="J117" s="1247"/>
      <c r="K117" s="1247"/>
    </row>
    <row r="119" spans="1:14">
      <c r="A119" s="516" t="s">
        <v>2304</v>
      </c>
    </row>
    <row r="120" spans="1:14">
      <c r="A120" s="568" t="s">
        <v>2304</v>
      </c>
    </row>
    <row r="121" spans="1:14">
      <c r="A121" s="568" t="s">
        <v>2304</v>
      </c>
    </row>
    <row r="122" spans="1:14">
      <c r="A122" s="568" t="s">
        <v>2304</v>
      </c>
    </row>
    <row r="124" spans="1:14">
      <c r="A124" s="1233" t="s">
        <v>2040</v>
      </c>
      <c r="B124" s="1233"/>
      <c r="C124" s="1233"/>
      <c r="D124" s="1233"/>
      <c r="E124" s="1233"/>
      <c r="F124" s="1233"/>
      <c r="G124" s="1233"/>
      <c r="H124" s="1233"/>
      <c r="I124" s="1233"/>
      <c r="J124" s="1233"/>
      <c r="K124" s="1233"/>
    </row>
    <row r="126" spans="1:14">
      <c r="A126" s="519" t="s">
        <v>1</v>
      </c>
      <c r="B126" s="1234" t="s">
        <v>2008</v>
      </c>
      <c r="C126" s="1235"/>
      <c r="D126" s="1235"/>
      <c r="E126" s="1235"/>
      <c r="F126" s="1235"/>
      <c r="G126" s="1236"/>
      <c r="H126" s="1237" t="s">
        <v>1993</v>
      </c>
      <c r="I126" s="1238"/>
      <c r="J126" s="1237" t="s">
        <v>1994</v>
      </c>
      <c r="K126" s="1238"/>
    </row>
    <row r="127" spans="1:14">
      <c r="A127" s="519">
        <v>1</v>
      </c>
      <c r="B127" s="1234" t="s">
        <v>2041</v>
      </c>
      <c r="C127" s="1235"/>
      <c r="D127" s="1235"/>
      <c r="E127" s="1235"/>
      <c r="F127" s="1235"/>
      <c r="G127" s="1236"/>
      <c r="H127" s="1237">
        <f>+STAT1!H69+STAT1!H70+STAT1!H71+STAT1!H72</f>
        <v>50000000</v>
      </c>
      <c r="I127" s="1238"/>
      <c r="J127" s="1237">
        <f>+STAT4!V69+STAT4!V70+STAT4!V71+STAT4!V72</f>
        <v>97492363.640000015</v>
      </c>
      <c r="K127" s="1238"/>
    </row>
    <row r="128" spans="1:14">
      <c r="A128" s="519">
        <f>+A127+1</f>
        <v>2</v>
      </c>
      <c r="B128" s="1234" t="s">
        <v>2042</v>
      </c>
      <c r="C128" s="1235"/>
      <c r="D128" s="1235"/>
      <c r="E128" s="1235"/>
      <c r="F128" s="1235"/>
      <c r="G128" s="1236"/>
      <c r="H128" s="1237"/>
      <c r="I128" s="1238"/>
      <c r="J128" s="1237"/>
      <c r="K128" s="1238"/>
    </row>
    <row r="129" spans="1:17">
      <c r="A129" s="519">
        <f>+A128+1</f>
        <v>3</v>
      </c>
      <c r="B129" s="1234" t="s">
        <v>2043</v>
      </c>
      <c r="C129" s="1235"/>
      <c r="D129" s="1235"/>
      <c r="E129" s="1235"/>
      <c r="F129" s="1235"/>
      <c r="G129" s="1236"/>
      <c r="H129" s="1237"/>
      <c r="I129" s="1238"/>
      <c r="J129" s="1237"/>
      <c r="K129" s="1238"/>
    </row>
    <row r="130" spans="1:17">
      <c r="A130" s="519">
        <f>+A129+1</f>
        <v>4</v>
      </c>
      <c r="B130" s="525"/>
      <c r="C130" s="517"/>
      <c r="D130" s="517"/>
      <c r="E130" s="517"/>
      <c r="F130" s="517"/>
      <c r="G130" s="528"/>
      <c r="H130" s="1237"/>
      <c r="I130" s="1238"/>
      <c r="J130" s="1237"/>
      <c r="K130" s="1238"/>
    </row>
    <row r="131" spans="1:17">
      <c r="A131" s="519">
        <f>+A130+1</f>
        <v>5</v>
      </c>
      <c r="B131" s="1234" t="s">
        <v>1998</v>
      </c>
      <c r="C131" s="1235"/>
      <c r="D131" s="1235"/>
      <c r="E131" s="1235"/>
      <c r="F131" s="1235"/>
      <c r="G131" s="1236"/>
      <c r="H131" s="1237">
        <f>SUM(H127:I130)</f>
        <v>50000000</v>
      </c>
      <c r="I131" s="1238"/>
      <c r="J131" s="1237">
        <f>SUM(J127:K130)</f>
        <v>97492363.640000015</v>
      </c>
      <c r="K131" s="1238"/>
      <c r="M131" s="237">
        <f>+SUM(STAT4!V69:V72)</f>
        <v>97492363.640000015</v>
      </c>
      <c r="N131" s="237">
        <f>+J131-M131</f>
        <v>0</v>
      </c>
    </row>
    <row r="132" spans="1:17">
      <c r="L132" s="237" t="s">
        <v>2044</v>
      </c>
    </row>
    <row r="133" spans="1:17">
      <c r="A133" s="1233" t="s">
        <v>2045</v>
      </c>
      <c r="B133" s="1233"/>
      <c r="C133" s="1233"/>
      <c r="D133" s="1233"/>
      <c r="E133" s="1233"/>
      <c r="F133" s="1233"/>
      <c r="G133" s="1233"/>
      <c r="H133" s="1233"/>
      <c r="I133" s="1233"/>
      <c r="J133" s="1233"/>
      <c r="K133" s="1233"/>
      <c r="L133" s="532"/>
      <c r="M133" s="532"/>
      <c r="N133" s="532"/>
    </row>
    <row r="135" spans="1:17" ht="25.5">
      <c r="A135" s="519" t="s">
        <v>1</v>
      </c>
      <c r="B135" s="1248" t="s">
        <v>49</v>
      </c>
      <c r="C135" s="1248"/>
      <c r="D135" s="1248"/>
      <c r="E135" s="1248"/>
      <c r="F135" s="1248"/>
      <c r="G135" s="529" t="s">
        <v>2046</v>
      </c>
      <c r="H135" s="529" t="s">
        <v>658</v>
      </c>
      <c r="I135" s="529" t="s">
        <v>2047</v>
      </c>
      <c r="J135" s="529" t="s">
        <v>2048</v>
      </c>
      <c r="K135" s="529" t="s">
        <v>2049</v>
      </c>
      <c r="L135" s="529" t="s">
        <v>2050</v>
      </c>
      <c r="M135" s="529" t="s">
        <v>2051</v>
      </c>
      <c r="N135" s="529" t="s">
        <v>1998</v>
      </c>
    </row>
    <row r="136" spans="1:17">
      <c r="A136" s="533">
        <v>1</v>
      </c>
      <c r="B136" s="1249" t="s">
        <v>2052</v>
      </c>
      <c r="C136" s="1249"/>
      <c r="D136" s="1249"/>
      <c r="E136" s="1249"/>
      <c r="F136" s="1249"/>
      <c r="G136" s="527"/>
      <c r="H136" s="527"/>
      <c r="I136" s="527"/>
      <c r="J136" s="527"/>
      <c r="K136" s="527"/>
      <c r="L136" s="527"/>
      <c r="M136" s="527"/>
      <c r="N136" s="527"/>
    </row>
    <row r="137" spans="1:17">
      <c r="A137" s="531">
        <v>1.1000000000000001</v>
      </c>
      <c r="B137" s="1248" t="s">
        <v>1993</v>
      </c>
      <c r="C137" s="1248"/>
      <c r="D137" s="1248"/>
      <c r="E137" s="1248"/>
      <c r="F137" s="1248"/>
      <c r="G137" s="527"/>
      <c r="H137" s="527">
        <f>+STAT1!H75</f>
        <v>1172805331</v>
      </c>
      <c r="I137" s="527">
        <f>+STAT1!H77</f>
        <v>709587375.44000006</v>
      </c>
      <c r="J137" s="527">
        <f>+STAT1!H78</f>
        <v>174300000</v>
      </c>
      <c r="K137" s="527">
        <f>+STAT1!H76</f>
        <v>8844705.1799999997</v>
      </c>
      <c r="L137" s="527">
        <f>+STAT1!H79</f>
        <v>17111038.23</v>
      </c>
      <c r="M137" s="527">
        <f>+STAT1!H81</f>
        <v>0</v>
      </c>
      <c r="N137" s="527">
        <f>SUM(G137:M137)</f>
        <v>2082648449.8500001</v>
      </c>
      <c r="P137" s="237">
        <f>+SUM(STAT1!H74:H81)</f>
        <v>2082648449.8500001</v>
      </c>
      <c r="Q137" s="237">
        <f>+N137-P137</f>
        <v>0</v>
      </c>
    </row>
    <row r="138" spans="1:17">
      <c r="A138" s="531">
        <v>1.2</v>
      </c>
      <c r="B138" s="1248" t="s">
        <v>2032</v>
      </c>
      <c r="C138" s="1248"/>
      <c r="D138" s="1248"/>
      <c r="E138" s="1248"/>
      <c r="F138" s="1248"/>
      <c r="G138" s="527">
        <f t="shared" ref="G138:M138" si="3">SUM(G139:G142)</f>
        <v>0</v>
      </c>
      <c r="H138" s="527">
        <f t="shared" si="3"/>
        <v>0</v>
      </c>
      <c r="I138" s="527">
        <f t="shared" si="3"/>
        <v>0</v>
      </c>
      <c r="J138" s="527">
        <f t="shared" si="3"/>
        <v>0</v>
      </c>
      <c r="K138" s="527">
        <f t="shared" si="3"/>
        <v>0</v>
      </c>
      <c r="L138" s="527">
        <f t="shared" si="3"/>
        <v>0</v>
      </c>
      <c r="M138" s="527">
        <f t="shared" si="3"/>
        <v>0</v>
      </c>
      <c r="N138" s="527">
        <f t="shared" ref="N138:N161" si="4">SUM(G138:M138)</f>
        <v>0</v>
      </c>
    </row>
    <row r="139" spans="1:17">
      <c r="A139" s="519"/>
      <c r="B139" s="526"/>
      <c r="C139" s="1248" t="s">
        <v>2053</v>
      </c>
      <c r="D139" s="1248"/>
      <c r="E139" s="1248"/>
      <c r="F139" s="1248"/>
      <c r="G139" s="527"/>
      <c r="H139" s="527"/>
      <c r="I139" s="527"/>
      <c r="J139" s="527"/>
      <c r="K139" s="527"/>
      <c r="L139" s="527"/>
      <c r="M139" s="527"/>
      <c r="N139" s="527">
        <f t="shared" si="4"/>
        <v>0</v>
      </c>
    </row>
    <row r="140" spans="1:17">
      <c r="A140" s="519"/>
      <c r="B140" s="526"/>
      <c r="C140" s="1248" t="s">
        <v>2054</v>
      </c>
      <c r="D140" s="1248"/>
      <c r="E140" s="1248"/>
      <c r="F140" s="1248"/>
      <c r="G140" s="527"/>
      <c r="H140" s="527"/>
      <c r="I140" s="527"/>
      <c r="J140" s="527"/>
      <c r="K140" s="527"/>
      <c r="L140" s="527"/>
      <c r="M140" s="527"/>
      <c r="N140" s="527">
        <f t="shared" si="4"/>
        <v>0</v>
      </c>
    </row>
    <row r="141" spans="1:17">
      <c r="A141" s="519"/>
      <c r="B141" s="526"/>
      <c r="C141" s="1248" t="s">
        <v>2055</v>
      </c>
      <c r="D141" s="1248"/>
      <c r="E141" s="1248"/>
      <c r="F141" s="1248"/>
      <c r="G141" s="527"/>
      <c r="H141" s="527"/>
      <c r="I141" s="527"/>
      <c r="J141" s="527"/>
      <c r="K141" s="527"/>
      <c r="L141" s="527"/>
      <c r="M141" s="527"/>
      <c r="N141" s="527">
        <f t="shared" si="4"/>
        <v>0</v>
      </c>
    </row>
    <row r="142" spans="1:17">
      <c r="A142" s="519"/>
      <c r="B142" s="526"/>
      <c r="C142" s="1248" t="s">
        <v>2056</v>
      </c>
      <c r="D142" s="1248"/>
      <c r="E142" s="1248"/>
      <c r="F142" s="1248"/>
      <c r="G142" s="527"/>
      <c r="H142" s="527"/>
      <c r="I142" s="527"/>
      <c r="J142" s="527"/>
      <c r="K142" s="527"/>
      <c r="L142" s="527"/>
      <c r="M142" s="527"/>
      <c r="N142" s="527">
        <f t="shared" si="4"/>
        <v>0</v>
      </c>
    </row>
    <row r="143" spans="1:17">
      <c r="A143" s="531">
        <v>1.3</v>
      </c>
      <c r="B143" s="1248" t="s">
        <v>2057</v>
      </c>
      <c r="C143" s="1248"/>
      <c r="D143" s="1248"/>
      <c r="E143" s="1248"/>
      <c r="F143" s="1248"/>
      <c r="G143" s="527">
        <f>SUM(G144:G147)</f>
        <v>0</v>
      </c>
      <c r="H143" s="527">
        <f t="shared" ref="H143:N143" si="5">SUM(H144:H147)</f>
        <v>0</v>
      </c>
      <c r="I143" s="527">
        <f t="shared" si="5"/>
        <v>0</v>
      </c>
      <c r="J143" s="527">
        <f t="shared" si="5"/>
        <v>0</v>
      </c>
      <c r="K143" s="527">
        <f t="shared" si="5"/>
        <v>0</v>
      </c>
      <c r="L143" s="527">
        <f t="shared" si="5"/>
        <v>0</v>
      </c>
      <c r="M143" s="527">
        <f t="shared" si="5"/>
        <v>0</v>
      </c>
      <c r="N143" s="527">
        <f t="shared" si="5"/>
        <v>0</v>
      </c>
    </row>
    <row r="144" spans="1:17">
      <c r="A144" s="519"/>
      <c r="B144" s="526"/>
      <c r="C144" s="1248" t="s">
        <v>2058</v>
      </c>
      <c r="D144" s="1248"/>
      <c r="E144" s="1248"/>
      <c r="F144" s="1248"/>
      <c r="G144" s="527"/>
      <c r="H144" s="527"/>
      <c r="I144" s="527"/>
      <c r="J144" s="527"/>
      <c r="K144" s="527"/>
      <c r="L144" s="527"/>
      <c r="M144" s="527"/>
      <c r="N144" s="527">
        <f t="shared" si="4"/>
        <v>0</v>
      </c>
    </row>
    <row r="145" spans="1:17">
      <c r="A145" s="519"/>
      <c r="B145" s="526"/>
      <c r="C145" s="1248" t="s">
        <v>2059</v>
      </c>
      <c r="D145" s="1248"/>
      <c r="E145" s="1248"/>
      <c r="F145" s="1248"/>
      <c r="G145" s="527"/>
      <c r="H145" s="527"/>
      <c r="I145" s="527"/>
      <c r="J145" s="527"/>
      <c r="K145" s="527"/>
      <c r="L145" s="527"/>
      <c r="M145" s="527"/>
      <c r="N145" s="527">
        <f t="shared" si="4"/>
        <v>0</v>
      </c>
    </row>
    <row r="146" spans="1:17">
      <c r="A146" s="519"/>
      <c r="B146" s="526"/>
      <c r="C146" s="1248" t="s">
        <v>2060</v>
      </c>
      <c r="D146" s="1248"/>
      <c r="E146" s="1248"/>
      <c r="F146" s="1248"/>
      <c r="G146" s="527"/>
      <c r="H146" s="527"/>
      <c r="I146" s="527"/>
      <c r="J146" s="527"/>
      <c r="K146" s="527"/>
      <c r="L146" s="527"/>
      <c r="M146" s="527"/>
      <c r="N146" s="527">
        <f t="shared" si="4"/>
        <v>0</v>
      </c>
    </row>
    <row r="147" spans="1:17">
      <c r="A147" s="519"/>
      <c r="B147" s="526"/>
      <c r="C147" s="1234"/>
      <c r="D147" s="1235"/>
      <c r="E147" s="1235"/>
      <c r="F147" s="1236"/>
      <c r="G147" s="527"/>
      <c r="H147" s="527"/>
      <c r="I147" s="527"/>
      <c r="J147" s="527"/>
      <c r="K147" s="527"/>
      <c r="L147" s="527"/>
      <c r="M147" s="527"/>
      <c r="N147" s="527">
        <f t="shared" si="4"/>
        <v>0</v>
      </c>
    </row>
    <row r="148" spans="1:17">
      <c r="A148" s="531">
        <v>1.4</v>
      </c>
      <c r="B148" s="1234" t="s">
        <v>2061</v>
      </c>
      <c r="C148" s="1235"/>
      <c r="D148" s="1235"/>
      <c r="E148" s="1235"/>
      <c r="F148" s="1236"/>
      <c r="G148" s="527"/>
      <c r="H148" s="527"/>
      <c r="I148" s="527"/>
      <c r="J148" s="527"/>
      <c r="K148" s="527"/>
      <c r="L148" s="527"/>
      <c r="M148" s="527"/>
      <c r="N148" s="527">
        <f t="shared" si="4"/>
        <v>0</v>
      </c>
    </row>
    <row r="149" spans="1:17">
      <c r="A149" s="531">
        <v>1.5</v>
      </c>
      <c r="B149" s="1245" t="s">
        <v>2062</v>
      </c>
      <c r="C149" s="1245"/>
      <c r="D149" s="1245"/>
      <c r="E149" s="1245"/>
      <c r="F149" s="1245"/>
      <c r="G149" s="527"/>
      <c r="H149" s="527"/>
      <c r="I149" s="527"/>
      <c r="J149" s="527"/>
      <c r="K149" s="527"/>
      <c r="L149" s="527"/>
      <c r="M149" s="527"/>
      <c r="N149" s="527">
        <f t="shared" si="4"/>
        <v>0</v>
      </c>
    </row>
    <row r="150" spans="1:17">
      <c r="A150" s="531">
        <v>1.6</v>
      </c>
      <c r="B150" s="1234" t="s">
        <v>1994</v>
      </c>
      <c r="C150" s="1235"/>
      <c r="D150" s="1235"/>
      <c r="E150" s="1235"/>
      <c r="F150" s="1236"/>
      <c r="G150" s="527"/>
      <c r="H150" s="527">
        <f t="shared" ref="H150:M150" si="6">+H137+H138-H143</f>
        <v>1172805331</v>
      </c>
      <c r="I150" s="527">
        <f t="shared" si="6"/>
        <v>709587375.44000006</v>
      </c>
      <c r="J150" s="527">
        <f t="shared" si="6"/>
        <v>174300000</v>
      </c>
      <c r="K150" s="527">
        <f t="shared" si="6"/>
        <v>8844705.1799999997</v>
      </c>
      <c r="L150" s="527">
        <f t="shared" si="6"/>
        <v>17111038.23</v>
      </c>
      <c r="M150" s="527">
        <f t="shared" si="6"/>
        <v>0</v>
      </c>
      <c r="N150" s="527">
        <f t="shared" si="4"/>
        <v>2082648449.8500001</v>
      </c>
      <c r="P150" s="237">
        <f>+SUM(STAT4!V74:V81)</f>
        <v>2082648449.8500001</v>
      </c>
      <c r="Q150" s="237">
        <f>+N150-P150</f>
        <v>0</v>
      </c>
    </row>
    <row r="151" spans="1:17">
      <c r="A151" s="533">
        <v>2</v>
      </c>
      <c r="B151" s="1249" t="s">
        <v>2063</v>
      </c>
      <c r="C151" s="1249"/>
      <c r="D151" s="1249"/>
      <c r="E151" s="1249"/>
      <c r="F151" s="1249"/>
      <c r="G151" s="527"/>
      <c r="H151" s="527"/>
      <c r="I151" s="527"/>
      <c r="J151" s="527"/>
      <c r="K151" s="527"/>
      <c r="L151" s="527"/>
      <c r="M151" s="527"/>
      <c r="N151" s="527">
        <f t="shared" si="4"/>
        <v>0</v>
      </c>
    </row>
    <row r="152" spans="1:17">
      <c r="A152" s="531">
        <v>2.1</v>
      </c>
      <c r="B152" s="1234" t="s">
        <v>1993</v>
      </c>
      <c r="C152" s="1235"/>
      <c r="D152" s="1235"/>
      <c r="E152" s="1235"/>
      <c r="F152" s="1236"/>
      <c r="G152" s="527"/>
      <c r="H152" s="527">
        <f>+STAT1!I85</f>
        <v>633586667.42999995</v>
      </c>
      <c r="I152" s="527">
        <f>+STAT1!I87</f>
        <v>507301900.3599999</v>
      </c>
      <c r="J152" s="527">
        <f>+STAT1!I88</f>
        <v>59760000</v>
      </c>
      <c r="K152" s="527">
        <f>+STAT1!I86</f>
        <v>7385035.879999998</v>
      </c>
      <c r="L152" s="527">
        <f>+STAT1!I91</f>
        <v>17111038.23</v>
      </c>
      <c r="M152" s="527">
        <f>+STAT1!I89</f>
        <v>0</v>
      </c>
      <c r="N152" s="527">
        <f t="shared" si="4"/>
        <v>1225144641.9000001</v>
      </c>
      <c r="P152" s="237">
        <f>+SUM(STAT1!I85:I91)</f>
        <v>1225144641.8999999</v>
      </c>
      <c r="Q152" s="237">
        <f>+N152-P152</f>
        <v>0</v>
      </c>
    </row>
    <row r="153" spans="1:17">
      <c r="A153" s="531">
        <v>2.2000000000000002</v>
      </c>
      <c r="B153" s="1234" t="s">
        <v>2032</v>
      </c>
      <c r="C153" s="1235"/>
      <c r="D153" s="1235"/>
      <c r="E153" s="1235"/>
      <c r="F153" s="1236"/>
      <c r="G153" s="527">
        <f>+SUM(G154:G156)</f>
        <v>0</v>
      </c>
      <c r="H153" s="527">
        <f t="shared" ref="H153:M153" si="7">+SUM(H154:H156)</f>
        <v>27983816.640000001</v>
      </c>
      <c r="I153" s="527">
        <f t="shared" si="7"/>
        <v>63074968.350000001</v>
      </c>
      <c r="J153" s="527">
        <f t="shared" si="7"/>
        <v>16980000</v>
      </c>
      <c r="K153" s="527">
        <f t="shared" si="7"/>
        <v>289957.55</v>
      </c>
      <c r="L153" s="527">
        <f t="shared" si="7"/>
        <v>0</v>
      </c>
      <c r="M153" s="527">
        <f t="shared" si="7"/>
        <v>0</v>
      </c>
      <c r="N153" s="527">
        <f t="shared" si="4"/>
        <v>108328742.54000001</v>
      </c>
    </row>
    <row r="154" spans="1:17">
      <c r="A154" s="519"/>
      <c r="B154" s="526"/>
      <c r="C154" s="1234" t="s">
        <v>2064</v>
      </c>
      <c r="D154" s="1235"/>
      <c r="E154" s="1235"/>
      <c r="F154" s="1236"/>
      <c r="G154" s="527"/>
      <c r="H154" s="527">
        <f>+STAT1!K85+STAT2!K85+STAT3!K85+STAT4!K85+STAT1!O85+STAT2!O85+STAT3!O85+STAT4!O85</f>
        <v>27983816.640000001</v>
      </c>
      <c r="I154" s="527">
        <f>+STAT1!K87+STAT2!K87+STAT3!K87+STAT4!K87+STAT1!O87+STAT2!O87+STAT3!O87+STAT4!O87</f>
        <v>63074968.350000001</v>
      </c>
      <c r="J154" s="527">
        <f>+STAT1!K88+STAT2!K88+STAT3!K88+STAT4!K88+STAT1!O88+STAT2!O88+STAT3!O88+STAT4!O88</f>
        <v>16980000</v>
      </c>
      <c r="K154" s="527">
        <f>+STAT1!K86+STAT2!K86+STAT3!K86+STAT4!K86+STAT1!O86+STAT2!O86+STAT3!O86+STAT4!O86</f>
        <v>289957.55</v>
      </c>
      <c r="L154" s="527">
        <f>+STAT1!K91+STAT2!K91+STAT3!K91+STAT4!K91+STAT1!O91+STAT2!O91+STAT3!O91+STAT4!O91-STAT4!J91</f>
        <v>0</v>
      </c>
      <c r="M154" s="527">
        <f>+STAT1!K89+STAT2!K89+STAT3!K89+STAT4!K89+STAT1!O89+STAT2!O89+STAT3!O89+STAT4!O89</f>
        <v>0</v>
      </c>
      <c r="N154" s="527">
        <f>SUM(G154:M154)</f>
        <v>108328742.54000001</v>
      </c>
    </row>
    <row r="155" spans="1:17">
      <c r="A155" s="519"/>
      <c r="B155" s="526"/>
      <c r="C155" s="1234" t="s">
        <v>2065</v>
      </c>
      <c r="D155" s="1235"/>
      <c r="E155" s="1235"/>
      <c r="F155" s="1236"/>
      <c r="G155" s="527"/>
      <c r="H155" s="527"/>
      <c r="I155" s="527"/>
      <c r="J155" s="527"/>
      <c r="K155" s="527"/>
      <c r="L155" s="527"/>
      <c r="M155" s="527"/>
      <c r="N155" s="527">
        <f t="shared" si="4"/>
        <v>0</v>
      </c>
    </row>
    <row r="156" spans="1:17">
      <c r="A156" s="519"/>
      <c r="B156" s="526"/>
      <c r="C156" s="1234" t="s">
        <v>2066</v>
      </c>
      <c r="D156" s="1235"/>
      <c r="E156" s="1235"/>
      <c r="F156" s="1236"/>
      <c r="G156" s="527"/>
      <c r="H156" s="527"/>
      <c r="I156" s="527"/>
      <c r="J156" s="527"/>
      <c r="K156" s="527"/>
      <c r="L156" s="527"/>
      <c r="M156" s="527"/>
      <c r="N156" s="527">
        <f t="shared" si="4"/>
        <v>0</v>
      </c>
    </row>
    <row r="157" spans="1:17">
      <c r="A157" s="531">
        <v>2.2999999999999998</v>
      </c>
      <c r="B157" s="1234" t="s">
        <v>2067</v>
      </c>
      <c r="C157" s="1235"/>
      <c r="D157" s="1235"/>
      <c r="E157" s="1235"/>
      <c r="F157" s="1236"/>
      <c r="G157" s="527">
        <f>+SUM(G158:G160)</f>
        <v>0</v>
      </c>
      <c r="H157" s="527">
        <f t="shared" ref="H157:M157" si="8">+SUM(H158:H160)</f>
        <v>0</v>
      </c>
      <c r="I157" s="527">
        <f t="shared" si="8"/>
        <v>0</v>
      </c>
      <c r="J157" s="527">
        <f t="shared" si="8"/>
        <v>0</v>
      </c>
      <c r="K157" s="527">
        <f t="shared" si="8"/>
        <v>0</v>
      </c>
      <c r="L157" s="527">
        <f t="shared" si="8"/>
        <v>0</v>
      </c>
      <c r="M157" s="527">
        <f t="shared" si="8"/>
        <v>0</v>
      </c>
      <c r="N157" s="527">
        <f t="shared" si="4"/>
        <v>0</v>
      </c>
    </row>
    <row r="158" spans="1:17">
      <c r="A158" s="519"/>
      <c r="B158" s="526"/>
      <c r="C158" s="1234" t="s">
        <v>2068</v>
      </c>
      <c r="D158" s="1235"/>
      <c r="E158" s="1235"/>
      <c r="F158" s="1236"/>
      <c r="G158" s="527"/>
      <c r="H158" s="527"/>
      <c r="I158" s="527"/>
      <c r="J158" s="527"/>
      <c r="K158" s="527"/>
      <c r="L158" s="527"/>
      <c r="M158" s="527"/>
      <c r="N158" s="527">
        <f t="shared" si="4"/>
        <v>0</v>
      </c>
    </row>
    <row r="159" spans="1:17">
      <c r="A159" s="519"/>
      <c r="B159" s="526"/>
      <c r="C159" s="1234" t="s">
        <v>2069</v>
      </c>
      <c r="D159" s="1235"/>
      <c r="E159" s="1235"/>
      <c r="F159" s="1236"/>
      <c r="G159" s="527"/>
      <c r="H159" s="527"/>
      <c r="I159" s="527"/>
      <c r="J159" s="527"/>
      <c r="K159" s="527"/>
      <c r="L159" s="527"/>
      <c r="M159" s="527"/>
      <c r="N159" s="527">
        <f t="shared" si="4"/>
        <v>0</v>
      </c>
    </row>
    <row r="160" spans="1:17">
      <c r="A160" s="519"/>
      <c r="B160" s="526"/>
      <c r="C160" s="1234" t="s">
        <v>2070</v>
      </c>
      <c r="D160" s="1235"/>
      <c r="E160" s="1235"/>
      <c r="F160" s="1236"/>
      <c r="G160" s="527"/>
      <c r="H160" s="527"/>
      <c r="I160" s="527"/>
      <c r="J160" s="527"/>
      <c r="K160" s="527"/>
      <c r="L160" s="527"/>
      <c r="M160" s="527"/>
      <c r="N160" s="527">
        <f t="shared" si="4"/>
        <v>0</v>
      </c>
    </row>
    <row r="161" spans="1:17">
      <c r="A161" s="531">
        <v>2.4</v>
      </c>
      <c r="B161" s="1234" t="s">
        <v>1994</v>
      </c>
      <c r="C161" s="1235"/>
      <c r="D161" s="1235"/>
      <c r="E161" s="1235"/>
      <c r="F161" s="1236"/>
      <c r="G161" s="527">
        <f>+G152+G153-G157</f>
        <v>0</v>
      </c>
      <c r="H161" s="527">
        <f t="shared" ref="H161:M161" si="9">+H152+H153-H157</f>
        <v>661570484.06999993</v>
      </c>
      <c r="I161" s="527">
        <f t="shared" si="9"/>
        <v>570376868.70999992</v>
      </c>
      <c r="J161" s="527">
        <f t="shared" si="9"/>
        <v>76740000</v>
      </c>
      <c r="K161" s="527">
        <f t="shared" si="9"/>
        <v>7674993.4299999978</v>
      </c>
      <c r="L161" s="527">
        <f>+L152+L153-L157</f>
        <v>17111038.23</v>
      </c>
      <c r="M161" s="527">
        <f t="shared" si="9"/>
        <v>0</v>
      </c>
      <c r="N161" s="527">
        <f t="shared" si="4"/>
        <v>1333473384.4399998</v>
      </c>
      <c r="P161" s="237">
        <f>+SUM(STAT4!W85:W91)</f>
        <v>1333473384.4399998</v>
      </c>
      <c r="Q161" s="237">
        <f>+N161-P161</f>
        <v>0</v>
      </c>
    </row>
    <row r="162" spans="1:17">
      <c r="A162" s="533">
        <v>3</v>
      </c>
      <c r="B162" s="1249" t="s">
        <v>2071</v>
      </c>
      <c r="C162" s="1249"/>
      <c r="D162" s="1249"/>
      <c r="E162" s="1249"/>
      <c r="F162" s="1249"/>
      <c r="G162" s="527"/>
      <c r="H162" s="527"/>
      <c r="I162" s="527"/>
      <c r="J162" s="527"/>
      <c r="K162" s="527"/>
      <c r="L162" s="527"/>
      <c r="M162" s="527"/>
      <c r="N162" s="527">
        <f>SUM(G162:M162)</f>
        <v>0</v>
      </c>
    </row>
    <row r="163" spans="1:17">
      <c r="A163" s="531">
        <v>3.1</v>
      </c>
      <c r="B163" s="1234" t="s">
        <v>2072</v>
      </c>
      <c r="C163" s="1235"/>
      <c r="D163" s="1235"/>
      <c r="E163" s="1235"/>
      <c r="F163" s="1236"/>
      <c r="G163" s="527">
        <f t="shared" ref="G163:N163" si="10">+G137-G152</f>
        <v>0</v>
      </c>
      <c r="H163" s="527">
        <f t="shared" si="10"/>
        <v>539218663.57000005</v>
      </c>
      <c r="I163" s="527">
        <f t="shared" si="10"/>
        <v>202285475.08000016</v>
      </c>
      <c r="J163" s="527">
        <f t="shared" si="10"/>
        <v>114540000</v>
      </c>
      <c r="K163" s="527">
        <f t="shared" si="10"/>
        <v>1459669.3000000017</v>
      </c>
      <c r="L163" s="527">
        <f t="shared" si="10"/>
        <v>0</v>
      </c>
      <c r="M163" s="527">
        <f t="shared" si="10"/>
        <v>0</v>
      </c>
      <c r="N163" s="527">
        <f t="shared" si="10"/>
        <v>857503807.95000005</v>
      </c>
    </row>
    <row r="164" spans="1:17">
      <c r="A164" s="531">
        <v>3.2</v>
      </c>
      <c r="B164" s="1234" t="s">
        <v>2073</v>
      </c>
      <c r="C164" s="1235"/>
      <c r="D164" s="1235"/>
      <c r="E164" s="1235"/>
      <c r="F164" s="1236"/>
      <c r="G164" s="527">
        <f>+G148-G162</f>
        <v>0</v>
      </c>
      <c r="H164" s="527">
        <f>+H150-H161</f>
        <v>511234846.93000007</v>
      </c>
      <c r="I164" s="527">
        <f t="shared" ref="I164:N164" si="11">+I150-I161</f>
        <v>139210506.73000014</v>
      </c>
      <c r="J164" s="527">
        <f t="shared" si="11"/>
        <v>97560000</v>
      </c>
      <c r="K164" s="527">
        <f t="shared" si="11"/>
        <v>1169711.7500000019</v>
      </c>
      <c r="L164" s="527">
        <f t="shared" si="11"/>
        <v>0</v>
      </c>
      <c r="M164" s="527">
        <f t="shared" si="11"/>
        <v>0</v>
      </c>
      <c r="N164" s="527">
        <f t="shared" si="11"/>
        <v>749175065.41000032</v>
      </c>
    </row>
    <row r="166" spans="1:17">
      <c r="A166" s="1247" t="s">
        <v>2074</v>
      </c>
      <c r="B166" s="1247"/>
      <c r="C166" s="1247"/>
      <c r="D166" s="1247"/>
      <c r="E166" s="1247"/>
      <c r="F166" s="1247"/>
      <c r="G166" s="1247"/>
      <c r="H166" s="1247"/>
      <c r="I166" s="1247"/>
      <c r="J166" s="1247"/>
      <c r="K166" s="1247"/>
      <c r="L166" s="1247"/>
      <c r="M166" s="1247"/>
      <c r="N166" s="1247"/>
    </row>
    <row r="167" spans="1:17">
      <c r="L167" s="237" t="s">
        <v>2075</v>
      </c>
    </row>
    <row r="168" spans="1:17">
      <c r="A168" s="1233" t="s">
        <v>2076</v>
      </c>
      <c r="B168" s="1233"/>
      <c r="C168" s="1233"/>
      <c r="D168" s="1233"/>
      <c r="E168" s="1233"/>
      <c r="F168" s="1233"/>
      <c r="G168" s="1233"/>
      <c r="H168" s="1233"/>
      <c r="I168" s="1233"/>
      <c r="J168" s="1233"/>
      <c r="K168" s="1233"/>
      <c r="L168" s="532"/>
      <c r="M168" s="532"/>
      <c r="N168" s="532"/>
    </row>
    <row r="170" spans="1:17" ht="25.5">
      <c r="A170" s="519" t="s">
        <v>1</v>
      </c>
      <c r="B170" s="1248" t="s">
        <v>49</v>
      </c>
      <c r="C170" s="1248"/>
      <c r="D170" s="1248"/>
      <c r="E170" s="1248"/>
      <c r="F170" s="1248"/>
      <c r="G170" s="529"/>
      <c r="H170" s="529"/>
      <c r="I170" s="529"/>
      <c r="J170" s="529"/>
      <c r="K170" s="529"/>
      <c r="L170" s="529"/>
      <c r="M170" s="529" t="s">
        <v>2077</v>
      </c>
      <c r="N170" s="529" t="s">
        <v>1998</v>
      </c>
    </row>
    <row r="171" spans="1:17">
      <c r="A171" s="533">
        <v>1</v>
      </c>
      <c r="B171" s="1249" t="s">
        <v>2078</v>
      </c>
      <c r="C171" s="1249"/>
      <c r="D171" s="1249"/>
      <c r="E171" s="1249"/>
      <c r="F171" s="1249"/>
      <c r="G171" s="527"/>
      <c r="H171" s="527"/>
      <c r="I171" s="527"/>
      <c r="J171" s="527"/>
      <c r="K171" s="527"/>
      <c r="L171" s="527"/>
      <c r="M171" s="527"/>
      <c r="N171" s="527"/>
    </row>
    <row r="172" spans="1:17">
      <c r="A172" s="531">
        <v>1.1000000000000001</v>
      </c>
      <c r="B172" s="1248" t="s">
        <v>1993</v>
      </c>
      <c r="C172" s="1248"/>
      <c r="D172" s="1248"/>
      <c r="E172" s="1248"/>
      <c r="F172" s="1248"/>
      <c r="G172" s="527"/>
      <c r="H172" s="527"/>
      <c r="I172" s="527"/>
      <c r="J172" s="527"/>
      <c r="K172" s="527"/>
      <c r="L172" s="527"/>
      <c r="M172" s="527"/>
      <c r="N172" s="527"/>
    </row>
    <row r="173" spans="1:17">
      <c r="A173" s="531">
        <v>1.2</v>
      </c>
      <c r="B173" s="1248" t="s">
        <v>2032</v>
      </c>
      <c r="C173" s="1248"/>
      <c r="D173" s="1248"/>
      <c r="E173" s="1248"/>
      <c r="F173" s="1248"/>
      <c r="G173" s="527"/>
      <c r="H173" s="527"/>
      <c r="I173" s="527"/>
      <c r="J173" s="527"/>
      <c r="K173" s="527"/>
      <c r="L173" s="527"/>
      <c r="M173" s="527"/>
      <c r="N173" s="527"/>
    </row>
    <row r="174" spans="1:17">
      <c r="A174" s="519"/>
      <c r="B174" s="526"/>
      <c r="C174" s="1248" t="s">
        <v>2053</v>
      </c>
      <c r="D174" s="1248"/>
      <c r="E174" s="1248"/>
      <c r="F174" s="1248"/>
      <c r="G174" s="527"/>
      <c r="H174" s="527"/>
      <c r="I174" s="527"/>
      <c r="J174" s="527"/>
      <c r="K174" s="527"/>
      <c r="L174" s="527"/>
      <c r="M174" s="527"/>
      <c r="N174" s="527"/>
    </row>
    <row r="175" spans="1:17">
      <c r="A175" s="519"/>
      <c r="B175" s="526"/>
      <c r="C175" s="1248" t="s">
        <v>2054</v>
      </c>
      <c r="D175" s="1248"/>
      <c r="E175" s="1248"/>
      <c r="F175" s="1248"/>
      <c r="G175" s="527"/>
      <c r="H175" s="527"/>
      <c r="I175" s="527"/>
      <c r="J175" s="527"/>
      <c r="K175" s="527"/>
      <c r="L175" s="527"/>
      <c r="M175" s="527"/>
      <c r="N175" s="527"/>
    </row>
    <row r="176" spans="1:17">
      <c r="A176" s="519"/>
      <c r="B176" s="526"/>
      <c r="C176" s="1248" t="s">
        <v>2055</v>
      </c>
      <c r="D176" s="1248"/>
      <c r="E176" s="1248"/>
      <c r="F176" s="1248"/>
      <c r="G176" s="527"/>
      <c r="H176" s="527"/>
      <c r="I176" s="527"/>
      <c r="J176" s="527"/>
      <c r="K176" s="527"/>
      <c r="L176" s="527"/>
      <c r="M176" s="527"/>
      <c r="N176" s="527"/>
    </row>
    <row r="177" spans="1:14">
      <c r="A177" s="519"/>
      <c r="B177" s="526"/>
      <c r="C177" s="1248" t="s">
        <v>2056</v>
      </c>
      <c r="D177" s="1248"/>
      <c r="E177" s="1248"/>
      <c r="F177" s="1248"/>
      <c r="G177" s="527"/>
      <c r="H177" s="527"/>
      <c r="I177" s="527"/>
      <c r="J177" s="527"/>
      <c r="K177" s="527"/>
      <c r="L177" s="527"/>
      <c r="M177" s="527"/>
      <c r="N177" s="527"/>
    </row>
    <row r="178" spans="1:14">
      <c r="A178" s="531">
        <v>1.3</v>
      </c>
      <c r="B178" s="1248" t="s">
        <v>2057</v>
      </c>
      <c r="C178" s="1248"/>
      <c r="D178" s="1248"/>
      <c r="E178" s="1248"/>
      <c r="F178" s="1248"/>
      <c r="G178" s="527"/>
      <c r="H178" s="527"/>
      <c r="I178" s="527"/>
      <c r="J178" s="527"/>
      <c r="K178" s="527"/>
      <c r="L178" s="527"/>
      <c r="M178" s="527"/>
      <c r="N178" s="527"/>
    </row>
    <row r="179" spans="1:14">
      <c r="A179" s="519"/>
      <c r="B179" s="526"/>
      <c r="C179" s="1248" t="s">
        <v>2058</v>
      </c>
      <c r="D179" s="1248"/>
      <c r="E179" s="1248"/>
      <c r="F179" s="1248"/>
      <c r="G179" s="527"/>
      <c r="H179" s="527"/>
      <c r="I179" s="527"/>
      <c r="J179" s="527"/>
      <c r="K179" s="527"/>
      <c r="L179" s="527"/>
      <c r="M179" s="527"/>
      <c r="N179" s="527"/>
    </row>
    <row r="180" spans="1:14">
      <c r="A180" s="519"/>
      <c r="B180" s="526"/>
      <c r="C180" s="1248" t="s">
        <v>2059</v>
      </c>
      <c r="D180" s="1248"/>
      <c r="E180" s="1248"/>
      <c r="F180" s="1248"/>
      <c r="G180" s="527"/>
      <c r="H180" s="527"/>
      <c r="I180" s="527"/>
      <c r="J180" s="527"/>
      <c r="K180" s="527"/>
      <c r="L180" s="527"/>
      <c r="M180" s="527"/>
      <c r="N180" s="527"/>
    </row>
    <row r="181" spans="1:14">
      <c r="A181" s="519"/>
      <c r="B181" s="526"/>
      <c r="C181" s="1248" t="s">
        <v>2060</v>
      </c>
      <c r="D181" s="1248"/>
      <c r="E181" s="1248"/>
      <c r="F181" s="1248"/>
      <c r="G181" s="527"/>
      <c r="H181" s="527"/>
      <c r="I181" s="527"/>
      <c r="J181" s="527"/>
      <c r="K181" s="527"/>
      <c r="L181" s="527"/>
      <c r="M181" s="527"/>
      <c r="N181" s="527"/>
    </row>
    <row r="182" spans="1:14">
      <c r="A182" s="519"/>
      <c r="B182" s="526"/>
      <c r="C182" s="1234"/>
      <c r="D182" s="1235"/>
      <c r="E182" s="1235"/>
      <c r="F182" s="1236"/>
      <c r="G182" s="527"/>
      <c r="H182" s="527"/>
      <c r="I182" s="527"/>
      <c r="J182" s="527"/>
      <c r="K182" s="527"/>
      <c r="L182" s="527"/>
      <c r="M182" s="527"/>
      <c r="N182" s="527"/>
    </row>
    <row r="183" spans="1:14">
      <c r="A183" s="531">
        <v>1.4</v>
      </c>
      <c r="B183" s="1234" t="s">
        <v>1994</v>
      </c>
      <c r="C183" s="1235"/>
      <c r="D183" s="1235"/>
      <c r="E183" s="1235"/>
      <c r="F183" s="1236"/>
      <c r="G183" s="527"/>
      <c r="H183" s="527"/>
      <c r="I183" s="527"/>
      <c r="J183" s="527"/>
      <c r="K183" s="527"/>
      <c r="L183" s="527"/>
      <c r="M183" s="527"/>
      <c r="N183" s="527"/>
    </row>
    <row r="184" spans="1:14">
      <c r="A184" s="533">
        <v>2</v>
      </c>
      <c r="B184" s="1249" t="s">
        <v>2079</v>
      </c>
      <c r="C184" s="1249"/>
      <c r="D184" s="1249"/>
      <c r="E184" s="1249"/>
      <c r="F184" s="1249"/>
      <c r="G184" s="527"/>
      <c r="H184" s="527"/>
      <c r="I184" s="527"/>
      <c r="J184" s="527"/>
      <c r="K184" s="527"/>
      <c r="L184" s="527"/>
      <c r="M184" s="527"/>
      <c r="N184" s="527"/>
    </row>
    <row r="185" spans="1:14">
      <c r="A185" s="531">
        <v>2.1</v>
      </c>
      <c r="B185" s="1234" t="s">
        <v>1993</v>
      </c>
      <c r="C185" s="1235"/>
      <c r="D185" s="1235"/>
      <c r="E185" s="1235"/>
      <c r="F185" s="1236"/>
      <c r="G185" s="527"/>
      <c r="H185" s="527"/>
      <c r="I185" s="527"/>
      <c r="J185" s="527"/>
      <c r="K185" s="527"/>
      <c r="L185" s="527"/>
      <c r="M185" s="527"/>
      <c r="N185" s="527"/>
    </row>
    <row r="186" spans="1:14">
      <c r="A186" s="531">
        <v>2.2000000000000002</v>
      </c>
      <c r="B186" s="1234" t="s">
        <v>2032</v>
      </c>
      <c r="C186" s="1235"/>
      <c r="D186" s="1235"/>
      <c r="E186" s="1235"/>
      <c r="F186" s="1236"/>
      <c r="G186" s="527"/>
      <c r="H186" s="527"/>
      <c r="I186" s="527"/>
      <c r="J186" s="527"/>
      <c r="K186" s="527"/>
      <c r="L186" s="527"/>
      <c r="M186" s="527"/>
      <c r="N186" s="527"/>
    </row>
    <row r="187" spans="1:14">
      <c r="A187" s="519"/>
      <c r="B187" s="526"/>
      <c r="C187" s="1234" t="s">
        <v>2080</v>
      </c>
      <c r="D187" s="1235"/>
      <c r="E187" s="1235"/>
      <c r="F187" s="1236"/>
      <c r="G187" s="527"/>
      <c r="H187" s="527"/>
      <c r="I187" s="527"/>
      <c r="J187" s="527"/>
      <c r="K187" s="527"/>
      <c r="L187" s="527"/>
      <c r="M187" s="527"/>
      <c r="N187" s="527"/>
    </row>
    <row r="188" spans="1:14">
      <c r="A188" s="519"/>
      <c r="B188" s="526"/>
      <c r="C188" s="1234" t="s">
        <v>2065</v>
      </c>
      <c r="D188" s="1235"/>
      <c r="E188" s="1235"/>
      <c r="F188" s="1236"/>
      <c r="G188" s="527"/>
      <c r="H188" s="527"/>
      <c r="I188" s="527"/>
      <c r="J188" s="527"/>
      <c r="K188" s="527"/>
      <c r="L188" s="527"/>
      <c r="M188" s="527"/>
      <c r="N188" s="527"/>
    </row>
    <row r="189" spans="1:14">
      <c r="A189" s="519"/>
      <c r="B189" s="526"/>
      <c r="C189" s="1234" t="s">
        <v>2066</v>
      </c>
      <c r="D189" s="1235"/>
      <c r="E189" s="1235"/>
      <c r="F189" s="1236"/>
      <c r="G189" s="527"/>
      <c r="H189" s="527"/>
      <c r="I189" s="527"/>
      <c r="J189" s="527"/>
      <c r="K189" s="527"/>
      <c r="L189" s="527"/>
      <c r="M189" s="527"/>
      <c r="N189" s="527"/>
    </row>
    <row r="190" spans="1:14">
      <c r="A190" s="531">
        <v>2.2999999999999998</v>
      </c>
      <c r="B190" s="1234" t="s">
        <v>2067</v>
      </c>
      <c r="C190" s="1235"/>
      <c r="D190" s="1235"/>
      <c r="E190" s="1235"/>
      <c r="F190" s="1236"/>
      <c r="G190" s="527"/>
      <c r="H190" s="527"/>
      <c r="I190" s="527"/>
      <c r="J190" s="527"/>
      <c r="K190" s="527"/>
      <c r="L190" s="527"/>
      <c r="M190" s="527"/>
      <c r="N190" s="527"/>
    </row>
    <row r="191" spans="1:14">
      <c r="A191" s="519"/>
      <c r="B191" s="526"/>
      <c r="C191" s="1234" t="s">
        <v>2081</v>
      </c>
      <c r="D191" s="1235"/>
      <c r="E191" s="1235"/>
      <c r="F191" s="1236"/>
      <c r="G191" s="527"/>
      <c r="H191" s="527"/>
      <c r="I191" s="527"/>
      <c r="J191" s="527"/>
      <c r="K191" s="527"/>
      <c r="L191" s="527"/>
      <c r="M191" s="527"/>
      <c r="N191" s="527"/>
    </row>
    <row r="192" spans="1:14">
      <c r="A192" s="519"/>
      <c r="B192" s="526"/>
      <c r="C192" s="1234" t="s">
        <v>2069</v>
      </c>
      <c r="D192" s="1235"/>
      <c r="E192" s="1235"/>
      <c r="F192" s="1236"/>
      <c r="G192" s="527"/>
      <c r="H192" s="527"/>
      <c r="I192" s="527"/>
      <c r="J192" s="527"/>
      <c r="K192" s="527"/>
      <c r="L192" s="527"/>
      <c r="M192" s="527"/>
      <c r="N192" s="527"/>
    </row>
    <row r="193" spans="1:14">
      <c r="A193" s="519"/>
      <c r="B193" s="526"/>
      <c r="C193" s="1234" t="s">
        <v>2070</v>
      </c>
      <c r="D193" s="1235"/>
      <c r="E193" s="1235"/>
      <c r="F193" s="1236"/>
      <c r="G193" s="527"/>
      <c r="H193" s="527"/>
      <c r="I193" s="527"/>
      <c r="J193" s="527"/>
      <c r="K193" s="527"/>
      <c r="L193" s="527"/>
      <c r="M193" s="527"/>
      <c r="N193" s="527"/>
    </row>
    <row r="194" spans="1:14">
      <c r="A194" s="519"/>
      <c r="B194" s="1234" t="s">
        <v>1994</v>
      </c>
      <c r="C194" s="1235"/>
      <c r="D194" s="1235"/>
      <c r="E194" s="1235"/>
      <c r="F194" s="1236"/>
      <c r="G194" s="527"/>
      <c r="H194" s="527"/>
      <c r="I194" s="527"/>
      <c r="J194" s="527"/>
      <c r="K194" s="527"/>
      <c r="L194" s="527"/>
      <c r="M194" s="527"/>
      <c r="N194" s="527"/>
    </row>
    <row r="195" spans="1:14">
      <c r="A195" s="533">
        <v>3</v>
      </c>
      <c r="B195" s="1249" t="s">
        <v>2071</v>
      </c>
      <c r="C195" s="1249"/>
      <c r="D195" s="1249"/>
      <c r="E195" s="1249"/>
      <c r="F195" s="1249"/>
      <c r="G195" s="527"/>
      <c r="H195" s="527"/>
      <c r="I195" s="527"/>
      <c r="J195" s="527"/>
      <c r="K195" s="527"/>
      <c r="L195" s="527"/>
      <c r="M195" s="527"/>
      <c r="N195" s="527"/>
    </row>
    <row r="196" spans="1:14">
      <c r="A196" s="531">
        <v>3.1</v>
      </c>
      <c r="B196" s="1234" t="s">
        <v>2072</v>
      </c>
      <c r="C196" s="1235"/>
      <c r="D196" s="1235"/>
      <c r="E196" s="1235"/>
      <c r="F196" s="1236"/>
      <c r="G196" s="527"/>
      <c r="H196" s="527"/>
      <c r="I196" s="527"/>
      <c r="J196" s="527"/>
      <c r="K196" s="527"/>
      <c r="L196" s="527"/>
      <c r="M196" s="527"/>
      <c r="N196" s="527"/>
    </row>
    <row r="197" spans="1:14">
      <c r="A197" s="531">
        <v>3.2</v>
      </c>
      <c r="B197" s="1234" t="s">
        <v>2073</v>
      </c>
      <c r="C197" s="1235"/>
      <c r="D197" s="1235"/>
      <c r="E197" s="1235"/>
      <c r="F197" s="1236"/>
      <c r="G197" s="527"/>
      <c r="H197" s="527"/>
      <c r="I197" s="527"/>
      <c r="J197" s="527"/>
      <c r="K197" s="527"/>
      <c r="L197" s="527"/>
      <c r="M197" s="527"/>
      <c r="N197" s="527"/>
    </row>
    <row r="199" spans="1:14">
      <c r="A199" s="1247" t="s">
        <v>2082</v>
      </c>
      <c r="B199" s="1247"/>
      <c r="C199" s="1247"/>
      <c r="D199" s="1247"/>
      <c r="E199" s="1247"/>
      <c r="F199" s="1247"/>
      <c r="G199" s="1247"/>
      <c r="H199" s="1247"/>
      <c r="I199" s="1247"/>
      <c r="J199" s="1247"/>
      <c r="K199" s="1247"/>
      <c r="L199" s="1247"/>
      <c r="M199" s="1247"/>
      <c r="N199" s="1247"/>
    </row>
    <row r="201" spans="1:14">
      <c r="A201" s="1250" t="s">
        <v>2083</v>
      </c>
      <c r="B201" s="1250"/>
      <c r="C201" s="1250"/>
      <c r="D201" s="1250"/>
      <c r="E201" s="1250"/>
      <c r="F201" s="1250"/>
      <c r="G201" s="1250"/>
      <c r="H201" s="1250"/>
      <c r="I201" s="1250"/>
      <c r="J201" s="1250"/>
      <c r="K201" s="1250"/>
      <c r="L201" s="237" t="s">
        <v>2084</v>
      </c>
    </row>
    <row r="203" spans="1:14" ht="38.25">
      <c r="A203" s="520" t="s">
        <v>1</v>
      </c>
      <c r="B203" s="1259" t="s">
        <v>2085</v>
      </c>
      <c r="C203" s="1259"/>
      <c r="D203" s="1259"/>
      <c r="E203" s="1259"/>
      <c r="F203" s="1259"/>
      <c r="G203" s="1259"/>
      <c r="H203" s="534" t="s">
        <v>2086</v>
      </c>
      <c r="I203" s="534" t="s">
        <v>2087</v>
      </c>
      <c r="J203" s="534" t="s">
        <v>2088</v>
      </c>
      <c r="K203" s="529" t="s">
        <v>2089</v>
      </c>
    </row>
    <row r="204" spans="1:14">
      <c r="A204" s="519">
        <v>1</v>
      </c>
      <c r="B204" s="1237"/>
      <c r="C204" s="1260"/>
      <c r="D204" s="1260"/>
      <c r="E204" s="1260"/>
      <c r="F204" s="1260"/>
      <c r="G204" s="1238"/>
      <c r="H204" s="527"/>
      <c r="I204" s="527"/>
      <c r="J204" s="527"/>
      <c r="K204" s="527"/>
    </row>
    <row r="205" spans="1:14">
      <c r="A205" s="519">
        <v>2</v>
      </c>
      <c r="B205" s="1237"/>
      <c r="C205" s="1260"/>
      <c r="D205" s="1260"/>
      <c r="E205" s="1260"/>
      <c r="F205" s="1260"/>
      <c r="G205" s="1238"/>
      <c r="H205" s="527"/>
      <c r="I205" s="527"/>
      <c r="J205" s="527"/>
      <c r="K205" s="527"/>
    </row>
    <row r="206" spans="1:14">
      <c r="A206" s="519">
        <v>3</v>
      </c>
      <c r="B206" s="1234" t="s">
        <v>1998</v>
      </c>
      <c r="C206" s="1235"/>
      <c r="D206" s="1235"/>
      <c r="E206" s="1235"/>
      <c r="F206" s="1235"/>
      <c r="G206" s="1236"/>
      <c r="H206" s="527"/>
      <c r="I206" s="527"/>
      <c r="J206" s="527"/>
      <c r="K206" s="527"/>
    </row>
    <row r="208" spans="1:14">
      <c r="A208" s="1250" t="s">
        <v>2090</v>
      </c>
      <c r="B208" s="1250"/>
      <c r="C208" s="1250"/>
      <c r="D208" s="1250"/>
      <c r="E208" s="1250"/>
      <c r="F208" s="1250"/>
      <c r="G208" s="1250"/>
      <c r="H208" s="1250"/>
      <c r="I208" s="1250"/>
      <c r="J208" s="1250"/>
      <c r="K208" s="1250"/>
    </row>
    <row r="210" spans="1:11">
      <c r="A210" s="1251" t="s">
        <v>1</v>
      </c>
      <c r="B210" s="1253" t="s">
        <v>2091</v>
      </c>
      <c r="C210" s="1254"/>
      <c r="D210" s="1254"/>
      <c r="E210" s="1254"/>
      <c r="F210" s="1254"/>
      <c r="G210" s="1255"/>
      <c r="H210" s="1237" t="s">
        <v>1993</v>
      </c>
      <c r="I210" s="1238"/>
      <c r="J210" s="1237" t="s">
        <v>1994</v>
      </c>
      <c r="K210" s="1238"/>
    </row>
    <row r="211" spans="1:11">
      <c r="A211" s="1252"/>
      <c r="B211" s="1256"/>
      <c r="C211" s="1257"/>
      <c r="D211" s="1257"/>
      <c r="E211" s="1257"/>
      <c r="F211" s="1257"/>
      <c r="G211" s="1258"/>
      <c r="H211" s="535" t="s">
        <v>1871</v>
      </c>
      <c r="I211" s="535" t="s">
        <v>989</v>
      </c>
      <c r="J211" s="535" t="s">
        <v>1871</v>
      </c>
      <c r="K211" s="529" t="s">
        <v>989</v>
      </c>
    </row>
    <row r="212" spans="1:11">
      <c r="A212" s="519">
        <f>+A211+1</f>
        <v>1</v>
      </c>
      <c r="B212" s="1234"/>
      <c r="C212" s="1235"/>
      <c r="D212" s="1235"/>
      <c r="E212" s="1235"/>
      <c r="F212" s="1235"/>
      <c r="G212" s="1236"/>
      <c r="H212" s="524"/>
      <c r="I212" s="524"/>
      <c r="J212" s="524"/>
      <c r="K212" s="524"/>
    </row>
    <row r="213" spans="1:11">
      <c r="A213" s="519">
        <f>+A212+1</f>
        <v>2</v>
      </c>
      <c r="B213" s="1234"/>
      <c r="C213" s="1235"/>
      <c r="D213" s="1235"/>
      <c r="E213" s="1235"/>
      <c r="F213" s="1235"/>
      <c r="G213" s="1236"/>
      <c r="H213" s="524"/>
      <c r="I213" s="524"/>
      <c r="J213" s="524"/>
      <c r="K213" s="524"/>
    </row>
    <row r="214" spans="1:11">
      <c r="A214" s="519">
        <v>3</v>
      </c>
      <c r="B214" s="1234" t="s">
        <v>1998</v>
      </c>
      <c r="C214" s="1235"/>
      <c r="D214" s="1235"/>
      <c r="E214" s="1235"/>
      <c r="F214" s="1235"/>
      <c r="G214" s="1236"/>
      <c r="H214" s="524"/>
      <c r="I214" s="524"/>
      <c r="J214" s="524"/>
      <c r="K214" s="524"/>
    </row>
    <row r="215" spans="1:11">
      <c r="A215" s="536"/>
      <c r="B215" s="537"/>
      <c r="C215" s="537"/>
      <c r="D215" s="537"/>
      <c r="E215" s="537"/>
      <c r="F215" s="537"/>
      <c r="G215" s="537"/>
      <c r="H215" s="538"/>
      <c r="I215" s="538"/>
      <c r="J215" s="538"/>
      <c r="K215" s="538"/>
    </row>
    <row r="216" spans="1:11">
      <c r="A216" s="1261" t="s">
        <v>2092</v>
      </c>
      <c r="B216" s="1261"/>
      <c r="C216" s="1261"/>
      <c r="D216" s="1261"/>
      <c r="E216" s="1261"/>
      <c r="F216" s="1261"/>
      <c r="G216" s="1261"/>
      <c r="H216" s="1261"/>
      <c r="I216" s="1261"/>
      <c r="J216" s="1261"/>
      <c r="K216" s="1261"/>
    </row>
    <row r="217" spans="1:11">
      <c r="A217" s="566" t="s">
        <v>2304</v>
      </c>
      <c r="B217" s="537"/>
      <c r="C217" s="537"/>
      <c r="D217" s="537"/>
      <c r="E217" s="537"/>
      <c r="F217" s="537"/>
      <c r="G217" s="537"/>
      <c r="H217" s="538"/>
      <c r="I217" s="538"/>
      <c r="J217" s="538"/>
      <c r="K217" s="538"/>
    </row>
    <row r="218" spans="1:11">
      <c r="A218" s="566" t="s">
        <v>2304</v>
      </c>
      <c r="B218" s="537"/>
      <c r="C218" s="537"/>
      <c r="D218" s="537"/>
      <c r="E218" s="537"/>
      <c r="F218" s="537"/>
      <c r="G218" s="20"/>
      <c r="H218" s="20"/>
      <c r="I218" s="20"/>
      <c r="J218" s="20"/>
      <c r="K218" s="20"/>
    </row>
    <row r="220" spans="1:11">
      <c r="A220" s="1250" t="s">
        <v>2093</v>
      </c>
      <c r="B220" s="1250"/>
      <c r="C220" s="1250"/>
      <c r="D220" s="1250"/>
      <c r="E220" s="1250"/>
      <c r="F220" s="1250"/>
      <c r="G220" s="1250"/>
      <c r="H220" s="1250"/>
      <c r="I220" s="1250"/>
      <c r="J220" s="1250"/>
      <c r="K220" s="1250"/>
    </row>
    <row r="222" spans="1:11">
      <c r="A222" s="1251" t="s">
        <v>1</v>
      </c>
      <c r="B222" s="1253" t="s">
        <v>2091</v>
      </c>
      <c r="C222" s="1254"/>
      <c r="D222" s="1254"/>
      <c r="E222" s="1254"/>
      <c r="F222" s="1254"/>
      <c r="G222" s="1255"/>
      <c r="H222" s="1237" t="s">
        <v>1993</v>
      </c>
      <c r="I222" s="1238"/>
      <c r="J222" s="1237" t="s">
        <v>1994</v>
      </c>
      <c r="K222" s="1238"/>
    </row>
    <row r="223" spans="1:11" ht="38.25">
      <c r="A223" s="1252"/>
      <c r="B223" s="1256"/>
      <c r="C223" s="1257"/>
      <c r="D223" s="1257"/>
      <c r="E223" s="1257"/>
      <c r="F223" s="1257"/>
      <c r="G223" s="1258"/>
      <c r="H223" s="535" t="s">
        <v>2094</v>
      </c>
      <c r="I223" s="535" t="s">
        <v>2095</v>
      </c>
      <c r="J223" s="535" t="s">
        <v>2094</v>
      </c>
      <c r="K223" s="529" t="s">
        <v>2095</v>
      </c>
    </row>
    <row r="224" spans="1:11">
      <c r="A224" s="519">
        <f>+A223+1</f>
        <v>1</v>
      </c>
      <c r="B224" s="1234"/>
      <c r="C224" s="1235"/>
      <c r="D224" s="1235"/>
      <c r="E224" s="1235"/>
      <c r="F224" s="1235"/>
      <c r="G224" s="1236"/>
      <c r="H224" s="524"/>
      <c r="I224" s="524"/>
      <c r="J224" s="524"/>
      <c r="K224" s="524"/>
    </row>
    <row r="225" spans="1:11">
      <c r="A225" s="519">
        <f>+A224+1</f>
        <v>2</v>
      </c>
      <c r="B225" s="1234"/>
      <c r="C225" s="1235"/>
      <c r="D225" s="1235"/>
      <c r="E225" s="1235"/>
      <c r="F225" s="1235"/>
      <c r="G225" s="1236"/>
      <c r="H225" s="524"/>
      <c r="I225" s="524"/>
      <c r="J225" s="524"/>
      <c r="K225" s="524"/>
    </row>
    <row r="226" spans="1:11">
      <c r="A226" s="519">
        <f>+A225+1</f>
        <v>3</v>
      </c>
      <c r="B226" s="525"/>
      <c r="C226" s="517"/>
      <c r="D226" s="517"/>
      <c r="E226" s="517"/>
      <c r="F226" s="517"/>
      <c r="G226" s="528"/>
      <c r="H226" s="524"/>
      <c r="I226" s="524"/>
      <c r="J226" s="524"/>
      <c r="K226" s="524"/>
    </row>
    <row r="227" spans="1:11">
      <c r="A227" s="519">
        <f>+A226+1</f>
        <v>4</v>
      </c>
      <c r="B227" s="1234" t="s">
        <v>1998</v>
      </c>
      <c r="C227" s="1235"/>
      <c r="D227" s="1235"/>
      <c r="E227" s="1235"/>
      <c r="F227" s="1235"/>
      <c r="G227" s="1236"/>
      <c r="H227" s="524"/>
      <c r="I227" s="524"/>
      <c r="J227" s="524"/>
      <c r="K227" s="524"/>
    </row>
    <row r="229" spans="1:11">
      <c r="A229" s="1262" t="s">
        <v>2096</v>
      </c>
      <c r="B229" s="1262"/>
      <c r="C229" s="1262"/>
      <c r="D229" s="1262"/>
      <c r="E229" s="1262"/>
      <c r="F229" s="1262"/>
      <c r="G229" s="1262"/>
      <c r="H229" s="1262"/>
      <c r="I229" s="1262"/>
      <c r="J229" s="1262"/>
      <c r="K229" s="1262"/>
    </row>
    <row r="230" spans="1:11">
      <c r="A230" s="539"/>
      <c r="B230" s="540"/>
      <c r="C230" s="540"/>
      <c r="D230" s="540"/>
      <c r="E230" s="540"/>
      <c r="F230" s="540"/>
      <c r="G230" s="540"/>
      <c r="H230" s="540"/>
      <c r="I230" s="540"/>
      <c r="J230" s="540"/>
      <c r="K230" s="540"/>
    </row>
    <row r="231" spans="1:11">
      <c r="A231" s="566" t="s">
        <v>2304</v>
      </c>
      <c r="B231" s="567"/>
      <c r="C231" s="567"/>
      <c r="D231" s="567"/>
      <c r="E231" s="567"/>
      <c r="F231" s="567"/>
      <c r="G231" s="567"/>
      <c r="H231" s="567"/>
      <c r="I231" s="567"/>
      <c r="J231" s="567"/>
      <c r="K231" s="567"/>
    </row>
    <row r="232" spans="1:11">
      <c r="A232" s="566" t="s">
        <v>2304</v>
      </c>
      <c r="B232" s="567"/>
      <c r="C232" s="567"/>
      <c r="D232" s="567"/>
      <c r="E232" s="567"/>
      <c r="F232" s="567"/>
      <c r="G232" s="567"/>
      <c r="H232" s="567"/>
      <c r="I232" s="567"/>
      <c r="J232" s="567"/>
      <c r="K232" s="567"/>
    </row>
    <row r="233" spans="1:11">
      <c r="A233" s="566" t="s">
        <v>2304</v>
      </c>
      <c r="B233" s="567"/>
      <c r="C233" s="567"/>
      <c r="D233" s="567"/>
      <c r="E233" s="567"/>
      <c r="F233" s="567"/>
      <c r="G233" s="567"/>
      <c r="H233" s="567"/>
      <c r="I233" s="567"/>
      <c r="J233" s="567"/>
      <c r="K233" s="567"/>
    </row>
    <row r="235" spans="1:11">
      <c r="A235" s="1250" t="s">
        <v>2097</v>
      </c>
      <c r="B235" s="1250"/>
      <c r="C235" s="1250"/>
      <c r="D235" s="1250"/>
      <c r="E235" s="1250"/>
      <c r="F235" s="1250"/>
      <c r="G235" s="1250"/>
      <c r="H235" s="1250"/>
      <c r="I235" s="1250"/>
      <c r="J235" s="1250"/>
      <c r="K235" s="1250"/>
    </row>
    <row r="237" spans="1:11">
      <c r="A237" s="1262" t="s">
        <v>2098</v>
      </c>
      <c r="B237" s="1262"/>
      <c r="C237" s="1262"/>
      <c r="D237" s="1262"/>
      <c r="E237" s="1262"/>
      <c r="F237" s="1262"/>
      <c r="G237" s="1262"/>
      <c r="H237" s="1262"/>
      <c r="I237" s="1262"/>
      <c r="J237" s="1262"/>
      <c r="K237" s="1262"/>
    </row>
    <row r="238" spans="1:11">
      <c r="A238" s="566" t="s">
        <v>2304</v>
      </c>
      <c r="B238" s="567"/>
      <c r="C238" s="567"/>
      <c r="D238" s="567"/>
      <c r="E238" s="567"/>
      <c r="F238" s="567"/>
      <c r="G238" s="567"/>
      <c r="H238" s="567"/>
      <c r="I238" s="567"/>
      <c r="J238" s="567"/>
      <c r="K238" s="567"/>
    </row>
    <row r="239" spans="1:11">
      <c r="A239" s="566" t="s">
        <v>2304</v>
      </c>
      <c r="B239" s="567"/>
      <c r="C239" s="567"/>
      <c r="D239" s="567"/>
      <c r="E239" s="567"/>
      <c r="F239" s="567"/>
      <c r="G239" s="567"/>
      <c r="H239" s="567"/>
      <c r="I239" s="567"/>
      <c r="J239" s="567"/>
      <c r="K239" s="567"/>
    </row>
    <row r="240" spans="1:11">
      <c r="A240" s="566" t="s">
        <v>2304</v>
      </c>
      <c r="B240" s="567"/>
      <c r="C240" s="567"/>
      <c r="D240" s="567"/>
      <c r="E240" s="567"/>
      <c r="F240" s="567"/>
      <c r="G240" s="567"/>
      <c r="H240" s="567"/>
      <c r="I240" s="567"/>
      <c r="J240" s="567"/>
      <c r="K240" s="567"/>
    </row>
    <row r="241" spans="1:12">
      <c r="A241" s="566" t="s">
        <v>2304</v>
      </c>
      <c r="B241" s="567"/>
      <c r="C241" s="567"/>
      <c r="D241" s="567"/>
      <c r="E241" s="567"/>
      <c r="F241" s="567"/>
      <c r="G241" s="567"/>
      <c r="H241" s="567"/>
      <c r="I241" s="567"/>
      <c r="J241" s="567"/>
      <c r="K241" s="567"/>
    </row>
    <row r="242" spans="1:12">
      <c r="A242" s="566" t="s">
        <v>2304</v>
      </c>
      <c r="B242" s="567"/>
      <c r="C242" s="567"/>
      <c r="D242" s="567"/>
      <c r="E242" s="567"/>
      <c r="F242" s="567"/>
      <c r="G242" s="567"/>
      <c r="H242" s="567"/>
      <c r="I242" s="567"/>
      <c r="J242" s="567"/>
      <c r="K242" s="567"/>
    </row>
    <row r="243" spans="1:12">
      <c r="A243" s="566" t="s">
        <v>2304</v>
      </c>
      <c r="B243" s="567"/>
      <c r="C243" s="567"/>
      <c r="D243" s="567"/>
      <c r="E243" s="567"/>
      <c r="F243" s="567"/>
      <c r="G243" s="567"/>
      <c r="H243" s="567"/>
      <c r="I243" s="567"/>
      <c r="J243" s="567"/>
      <c r="K243" s="567"/>
    </row>
    <row r="244" spans="1:12">
      <c r="A244" s="566" t="s">
        <v>2304</v>
      </c>
      <c r="B244" s="567"/>
      <c r="C244" s="567"/>
      <c r="D244" s="567"/>
      <c r="E244" s="567"/>
      <c r="F244" s="567"/>
      <c r="G244" s="567"/>
      <c r="H244" s="567"/>
      <c r="I244" s="567"/>
      <c r="J244" s="567"/>
      <c r="K244" s="567"/>
    </row>
    <row r="246" spans="1:12">
      <c r="A246" s="1250" t="s">
        <v>2099</v>
      </c>
      <c r="B246" s="1250"/>
      <c r="C246" s="1250"/>
      <c r="D246" s="1250"/>
      <c r="E246" s="1250"/>
      <c r="F246" s="1250"/>
      <c r="G246" s="1250"/>
      <c r="H246" s="1250"/>
      <c r="I246" s="1250"/>
      <c r="J246" s="1250"/>
      <c r="K246" s="1250"/>
      <c r="L246" s="237" t="s">
        <v>2100</v>
      </c>
    </row>
    <row r="248" spans="1:12">
      <c r="A248" s="519" t="s">
        <v>1</v>
      </c>
      <c r="B248" s="1234" t="s">
        <v>2008</v>
      </c>
      <c r="C248" s="1235"/>
      <c r="D248" s="1235"/>
      <c r="E248" s="1235"/>
      <c r="F248" s="1235"/>
      <c r="G248" s="1236"/>
      <c r="H248" s="1237" t="s">
        <v>1993</v>
      </c>
      <c r="I248" s="1238"/>
      <c r="J248" s="1237" t="s">
        <v>1994</v>
      </c>
      <c r="K248" s="1238"/>
    </row>
    <row r="249" spans="1:12">
      <c r="A249" s="519">
        <v>1</v>
      </c>
      <c r="B249" s="1234"/>
      <c r="C249" s="1235"/>
      <c r="D249" s="1235"/>
      <c r="E249" s="1235"/>
      <c r="F249" s="1235"/>
      <c r="G249" s="1236"/>
      <c r="H249" s="1237"/>
      <c r="I249" s="1238"/>
      <c r="J249" s="1237"/>
      <c r="K249" s="1238"/>
    </row>
    <row r="250" spans="1:12">
      <c r="A250" s="519">
        <f>+A249+1</f>
        <v>2</v>
      </c>
      <c r="B250" s="1234"/>
      <c r="C250" s="1235"/>
      <c r="D250" s="1235"/>
      <c r="E250" s="1235"/>
      <c r="F250" s="1235"/>
      <c r="G250" s="1236"/>
      <c r="H250" s="1237"/>
      <c r="I250" s="1238"/>
      <c r="J250" s="1237"/>
      <c r="K250" s="1238"/>
    </row>
    <row r="251" spans="1:12">
      <c r="A251" s="519">
        <f>+A250+1</f>
        <v>3</v>
      </c>
      <c r="B251" s="1234" t="s">
        <v>1998</v>
      </c>
      <c r="C251" s="1235"/>
      <c r="D251" s="1235"/>
      <c r="E251" s="1235"/>
      <c r="F251" s="1235"/>
      <c r="G251" s="1236"/>
      <c r="H251" s="1237"/>
      <c r="I251" s="1238"/>
      <c r="J251" s="1237"/>
      <c r="K251" s="1238"/>
    </row>
    <row r="253" spans="1:12">
      <c r="A253" s="1263" t="s">
        <v>2101</v>
      </c>
      <c r="B253" s="1263"/>
      <c r="C253" s="1263"/>
      <c r="D253" s="1263"/>
      <c r="E253" s="1263"/>
      <c r="F253" s="1263"/>
      <c r="G253" s="1263"/>
      <c r="H253" s="1263"/>
      <c r="I253" s="1263"/>
      <c r="J253" s="1263"/>
      <c r="K253" s="1263"/>
    </row>
    <row r="254" spans="1:12">
      <c r="A254" s="566" t="s">
        <v>2304</v>
      </c>
      <c r="B254" s="567"/>
      <c r="C254" s="567"/>
      <c r="D254" s="567"/>
      <c r="E254" s="567"/>
      <c r="F254" s="567"/>
      <c r="G254" s="567"/>
      <c r="H254" s="567"/>
      <c r="I254" s="567"/>
      <c r="J254" s="567"/>
      <c r="K254" s="567"/>
    </row>
    <row r="255" spans="1:12">
      <c r="A255" s="566" t="s">
        <v>2304</v>
      </c>
      <c r="B255" s="567"/>
      <c r="C255" s="567"/>
      <c r="D255" s="567"/>
      <c r="E255" s="567"/>
      <c r="F255" s="567"/>
      <c r="G255" s="567"/>
      <c r="H255" s="567"/>
      <c r="I255" s="567"/>
      <c r="J255" s="567"/>
      <c r="K255" s="567"/>
    </row>
    <row r="256" spans="1:12">
      <c r="A256" s="566" t="s">
        <v>2304</v>
      </c>
      <c r="B256" s="567"/>
      <c r="C256" s="567"/>
      <c r="D256" s="567"/>
      <c r="E256" s="567"/>
      <c r="F256" s="567"/>
      <c r="G256" s="567"/>
      <c r="H256" s="567"/>
      <c r="I256" s="567"/>
      <c r="J256" s="567"/>
      <c r="K256" s="567"/>
    </row>
    <row r="258" spans="1:11">
      <c r="A258" s="1250" t="s">
        <v>2102</v>
      </c>
      <c r="B258" s="1250"/>
      <c r="C258" s="1250"/>
      <c r="D258" s="1250"/>
      <c r="E258" s="1250"/>
      <c r="F258" s="1250"/>
      <c r="G258" s="1250"/>
      <c r="H258" s="1250"/>
      <c r="I258" s="1250"/>
      <c r="J258" s="1250"/>
      <c r="K258" s="1250"/>
    </row>
    <row r="260" spans="1:11">
      <c r="A260" s="516" t="s">
        <v>2103</v>
      </c>
    </row>
    <row r="261" spans="1:11">
      <c r="A261" s="519" t="s">
        <v>1</v>
      </c>
      <c r="B261" s="1234" t="s">
        <v>2008</v>
      </c>
      <c r="C261" s="1235"/>
      <c r="D261" s="1235"/>
      <c r="E261" s="1235"/>
      <c r="F261" s="1235"/>
      <c r="G261" s="1236"/>
      <c r="H261" s="1237" t="s">
        <v>1993</v>
      </c>
      <c r="I261" s="1238"/>
      <c r="J261" s="1237" t="s">
        <v>1994</v>
      </c>
      <c r="K261" s="1238"/>
    </row>
    <row r="262" spans="1:11">
      <c r="A262" s="519">
        <v>1</v>
      </c>
      <c r="B262" s="1264" t="s">
        <v>2104</v>
      </c>
      <c r="C262" s="1265"/>
      <c r="D262" s="1265"/>
      <c r="E262" s="1265"/>
      <c r="F262" s="1265"/>
      <c r="G262" s="1266"/>
      <c r="H262" s="1237">
        <f>+STAT1!I105+STAT1!I106+STAT1!I107</f>
        <v>3499027.46</v>
      </c>
      <c r="I262" s="1238"/>
      <c r="J262" s="1237">
        <f>+STAT4!W105+STAT4!W106+STAT4!W107</f>
        <v>130000</v>
      </c>
      <c r="K262" s="1238"/>
    </row>
    <row r="263" spans="1:11">
      <c r="A263" s="519">
        <f>+A262+1</f>
        <v>2</v>
      </c>
      <c r="B263" s="1264" t="s">
        <v>2105</v>
      </c>
      <c r="C263" s="1265"/>
      <c r="D263" s="1265"/>
      <c r="E263" s="1265"/>
      <c r="F263" s="1265"/>
      <c r="G263" s="1266"/>
      <c r="H263" s="1237"/>
      <c r="I263" s="1238"/>
      <c r="J263" s="1237"/>
      <c r="K263" s="1238"/>
    </row>
    <row r="264" spans="1:11">
      <c r="A264" s="519">
        <f>+A263+1</f>
        <v>3</v>
      </c>
      <c r="B264" s="541"/>
      <c r="C264" s="542"/>
      <c r="D264" s="542"/>
      <c r="E264" s="542"/>
      <c r="F264" s="542"/>
      <c r="G264" s="543"/>
      <c r="H264" s="544"/>
      <c r="I264" s="545"/>
      <c r="J264" s="544"/>
      <c r="K264" s="545"/>
    </row>
    <row r="265" spans="1:11">
      <c r="A265" s="519">
        <f>+A264+1</f>
        <v>4</v>
      </c>
      <c r="B265" s="1234" t="s">
        <v>1998</v>
      </c>
      <c r="C265" s="1235"/>
      <c r="D265" s="1235"/>
      <c r="E265" s="1235"/>
      <c r="F265" s="1235"/>
      <c r="G265" s="1236"/>
      <c r="H265" s="1237">
        <f>SUM(H262:I264)</f>
        <v>3499027.46</v>
      </c>
      <c r="I265" s="1238"/>
      <c r="J265" s="1237">
        <f>SUM(J262:K264)</f>
        <v>130000</v>
      </c>
      <c r="K265" s="1238"/>
    </row>
    <row r="267" spans="1:11">
      <c r="A267" s="516" t="s">
        <v>2106</v>
      </c>
    </row>
    <row r="268" spans="1:11">
      <c r="A268" s="519" t="s">
        <v>1</v>
      </c>
      <c r="B268" s="1237" t="s">
        <v>2008</v>
      </c>
      <c r="C268" s="1260"/>
      <c r="D268" s="1260"/>
      <c r="E268" s="1260"/>
      <c r="F268" s="1260"/>
      <c r="G268" s="1238"/>
      <c r="H268" s="1237" t="s">
        <v>1993</v>
      </c>
      <c r="I268" s="1238"/>
      <c r="J268" s="1237" t="s">
        <v>1994</v>
      </c>
      <c r="K268" s="1238"/>
    </row>
    <row r="269" spans="1:11">
      <c r="A269" s="519">
        <v>1</v>
      </c>
      <c r="B269" s="1264" t="s">
        <v>2107</v>
      </c>
      <c r="C269" s="1265"/>
      <c r="D269" s="1265"/>
      <c r="E269" s="1265"/>
      <c r="F269" s="1265"/>
      <c r="G269" s="1266"/>
      <c r="H269" s="1237">
        <f>+STAT1!I112</f>
        <v>0</v>
      </c>
      <c r="I269" s="1238"/>
      <c r="J269" s="1237">
        <f>+STAT4!W112</f>
        <v>0</v>
      </c>
      <c r="K269" s="1238"/>
    </row>
    <row r="270" spans="1:11">
      <c r="A270" s="519">
        <f t="shared" ref="A270:A275" si="12">+A269+1</f>
        <v>2</v>
      </c>
      <c r="B270" s="541" t="s">
        <v>2108</v>
      </c>
      <c r="C270" s="542"/>
      <c r="D270" s="542"/>
      <c r="E270" s="542"/>
      <c r="F270" s="542"/>
      <c r="G270" s="543"/>
      <c r="H270" s="1237">
        <f>+STAT1!I111</f>
        <v>67186734.859999999</v>
      </c>
      <c r="I270" s="1238"/>
      <c r="J270" s="1237">
        <f>+STAT4!W111</f>
        <v>95176148.74272728</v>
      </c>
      <c r="K270" s="1238"/>
    </row>
    <row r="271" spans="1:11">
      <c r="A271" s="519">
        <f t="shared" si="12"/>
        <v>3</v>
      </c>
      <c r="B271" s="541" t="s">
        <v>2109</v>
      </c>
      <c r="C271" s="542"/>
      <c r="D271" s="542"/>
      <c r="E271" s="542"/>
      <c r="F271" s="542"/>
      <c r="G271" s="543"/>
      <c r="H271" s="1237">
        <f>+STAT1!I113</f>
        <v>0</v>
      </c>
      <c r="I271" s="1238"/>
      <c r="J271" s="1237">
        <f>+STAT4!W113</f>
        <v>1.9171852618455887E-3</v>
      </c>
      <c r="K271" s="1238"/>
    </row>
    <row r="272" spans="1:11">
      <c r="A272" s="519">
        <f t="shared" si="12"/>
        <v>4</v>
      </c>
      <c r="B272" s="541" t="s">
        <v>2110</v>
      </c>
      <c r="C272" s="542"/>
      <c r="D272" s="542"/>
      <c r="E272" s="542"/>
      <c r="F272" s="542"/>
      <c r="G272" s="543"/>
      <c r="H272" s="1237">
        <f>+STAT1!I114</f>
        <v>0</v>
      </c>
      <c r="I272" s="1238"/>
      <c r="J272" s="1237">
        <f>+STAT4!W114</f>
        <v>0</v>
      </c>
      <c r="K272" s="1238"/>
    </row>
    <row r="273" spans="1:14">
      <c r="A273" s="519">
        <f t="shared" si="12"/>
        <v>5</v>
      </c>
      <c r="B273" s="541" t="s">
        <v>2111</v>
      </c>
      <c r="C273" s="542"/>
      <c r="D273" s="542"/>
      <c r="E273" s="542"/>
      <c r="F273" s="542"/>
      <c r="G273" s="543"/>
      <c r="H273" s="1237">
        <f>+STAT1!I115</f>
        <v>0</v>
      </c>
      <c r="I273" s="1238"/>
      <c r="J273" s="1237">
        <f>+STAT4!W115</f>
        <v>0</v>
      </c>
      <c r="K273" s="1238"/>
    </row>
    <row r="274" spans="1:14">
      <c r="A274" s="519">
        <f t="shared" si="12"/>
        <v>6</v>
      </c>
      <c r="B274" s="1264"/>
      <c r="C274" s="1265"/>
      <c r="D274" s="1265"/>
      <c r="E274" s="1265"/>
      <c r="F274" s="1265"/>
      <c r="G274" s="1266"/>
      <c r="H274" s="1237"/>
      <c r="I274" s="1238"/>
      <c r="J274" s="1237"/>
      <c r="K274" s="1238"/>
    </row>
    <row r="275" spans="1:14">
      <c r="A275" s="519">
        <f t="shared" si="12"/>
        <v>7</v>
      </c>
      <c r="B275" s="1234" t="s">
        <v>1998</v>
      </c>
      <c r="C275" s="1235"/>
      <c r="D275" s="1235"/>
      <c r="E275" s="1235"/>
      <c r="F275" s="1235"/>
      <c r="G275" s="1236"/>
      <c r="H275" s="1237">
        <f>SUM(H269:I274)</f>
        <v>67186734.859999999</v>
      </c>
      <c r="I275" s="1238"/>
      <c r="J275" s="1237">
        <f>SUM(J269:K274)</f>
        <v>95176148.744644463</v>
      </c>
      <c r="K275" s="1238"/>
      <c r="M275" s="237">
        <f>+SUM(STAT4!W111:W115)</f>
        <v>95176148.744644463</v>
      </c>
      <c r="N275" s="237">
        <f>+M275-J275</f>
        <v>0</v>
      </c>
    </row>
    <row r="277" spans="1:14">
      <c r="A277" s="516" t="s">
        <v>2112</v>
      </c>
    </row>
    <row r="278" spans="1:14">
      <c r="A278" s="1251" t="s">
        <v>1</v>
      </c>
      <c r="B278" s="1253" t="s">
        <v>2008</v>
      </c>
      <c r="C278" s="1254"/>
      <c r="D278" s="1254"/>
      <c r="E278" s="1254"/>
      <c r="F278" s="1254"/>
      <c r="G278" s="1255"/>
      <c r="H278" s="1237" t="s">
        <v>1993</v>
      </c>
      <c r="I278" s="1238"/>
      <c r="J278" s="1237" t="s">
        <v>1994</v>
      </c>
      <c r="K278" s="1238"/>
    </row>
    <row r="279" spans="1:14">
      <c r="A279" s="1252"/>
      <c r="B279" s="1256"/>
      <c r="C279" s="1257"/>
      <c r="D279" s="1257"/>
      <c r="E279" s="1257"/>
      <c r="F279" s="1257"/>
      <c r="G279" s="1258"/>
      <c r="H279" s="546" t="s">
        <v>2113</v>
      </c>
      <c r="I279" s="546" t="s">
        <v>2114</v>
      </c>
      <c r="J279" s="546" t="s">
        <v>2113</v>
      </c>
      <c r="K279" s="546" t="s">
        <v>2114</v>
      </c>
    </row>
    <row r="280" spans="1:14">
      <c r="A280" s="519">
        <v>1</v>
      </c>
      <c r="B280" s="1264" t="s">
        <v>2104</v>
      </c>
      <c r="C280" s="1265"/>
      <c r="D280" s="1265"/>
      <c r="E280" s="1265"/>
      <c r="F280" s="1265"/>
      <c r="G280" s="1266"/>
      <c r="H280" s="524">
        <f>+STAT1!I109+STAT1!I117</f>
        <v>93279242.000000015</v>
      </c>
      <c r="I280" s="524"/>
      <c r="J280" s="524">
        <f>+STAT4!W109+STAT4!W117</f>
        <v>26635902</v>
      </c>
      <c r="K280" s="524"/>
    </row>
    <row r="281" spans="1:14">
      <c r="A281" s="519">
        <f>+A280+1</f>
        <v>2</v>
      </c>
      <c r="B281" s="1264" t="s">
        <v>2105</v>
      </c>
      <c r="C281" s="1265"/>
      <c r="D281" s="1265"/>
      <c r="E281" s="1265"/>
      <c r="F281" s="1265"/>
      <c r="G281" s="1266"/>
      <c r="H281" s="524"/>
      <c r="I281" s="524"/>
      <c r="J281" s="524"/>
      <c r="K281" s="524"/>
    </row>
    <row r="282" spans="1:14">
      <c r="A282" s="519">
        <f>+A281+1</f>
        <v>3</v>
      </c>
      <c r="B282" s="541"/>
      <c r="C282" s="542"/>
      <c r="D282" s="542"/>
      <c r="E282" s="542"/>
      <c r="F282" s="542"/>
      <c r="G282" s="543"/>
      <c r="H282" s="546"/>
      <c r="I282" s="546"/>
      <c r="J282" s="546"/>
      <c r="K282" s="546"/>
    </row>
    <row r="283" spans="1:14">
      <c r="A283" s="519">
        <f>+A282+1</f>
        <v>4</v>
      </c>
      <c r="B283" s="1234" t="s">
        <v>1998</v>
      </c>
      <c r="C283" s="1235"/>
      <c r="D283" s="1235"/>
      <c r="E283" s="1235"/>
      <c r="F283" s="1235"/>
      <c r="G283" s="1236"/>
      <c r="H283" s="524">
        <f>SUM(H280:H282)</f>
        <v>93279242.000000015</v>
      </c>
      <c r="I283" s="524"/>
      <c r="J283" s="524">
        <f>SUM(J280:J282)</f>
        <v>26635902</v>
      </c>
      <c r="K283" s="524"/>
    </row>
    <row r="285" spans="1:14">
      <c r="A285" s="516" t="s">
        <v>2115</v>
      </c>
    </row>
    <row r="286" spans="1:14" ht="38.25">
      <c r="A286" s="520" t="s">
        <v>1</v>
      </c>
      <c r="B286" s="1267" t="s">
        <v>2116</v>
      </c>
      <c r="C286" s="1268"/>
      <c r="D286" s="1268"/>
      <c r="E286" s="1268"/>
      <c r="F286" s="1269"/>
      <c r="G286" s="523" t="s">
        <v>1993</v>
      </c>
      <c r="H286" s="523" t="s">
        <v>2003</v>
      </c>
      <c r="I286" s="534" t="s">
        <v>2117</v>
      </c>
      <c r="J286" s="534" t="s">
        <v>2118</v>
      </c>
      <c r="K286" s="534" t="s">
        <v>1994</v>
      </c>
    </row>
    <row r="287" spans="1:14">
      <c r="A287" s="519">
        <v>1</v>
      </c>
      <c r="B287" s="1234" t="s">
        <v>2119</v>
      </c>
      <c r="C287" s="1235"/>
      <c r="D287" s="1235"/>
      <c r="E287" s="1235"/>
      <c r="F287" s="1236"/>
      <c r="G287" s="527"/>
      <c r="H287" s="527"/>
      <c r="I287" s="527"/>
      <c r="J287" s="527"/>
      <c r="K287" s="527"/>
    </row>
    <row r="288" spans="1:14">
      <c r="A288" s="519">
        <f>+A287+1</f>
        <v>2</v>
      </c>
      <c r="B288" s="1234" t="s">
        <v>2120</v>
      </c>
      <c r="C288" s="1235"/>
      <c r="D288" s="1235"/>
      <c r="E288" s="1235"/>
      <c r="F288" s="1236"/>
      <c r="G288" s="527"/>
      <c r="H288" s="527"/>
      <c r="I288" s="527"/>
      <c r="J288" s="527"/>
      <c r="K288" s="527"/>
    </row>
    <row r="289" spans="1:14">
      <c r="A289" s="519">
        <f>+A288+1</f>
        <v>3</v>
      </c>
      <c r="B289" s="1234"/>
      <c r="C289" s="1235"/>
      <c r="D289" s="1235"/>
      <c r="E289" s="1235"/>
      <c r="F289" s="1236"/>
      <c r="G289" s="527"/>
      <c r="H289" s="527"/>
      <c r="I289" s="527"/>
      <c r="J289" s="527"/>
      <c r="K289" s="527"/>
    </row>
    <row r="290" spans="1:14">
      <c r="A290" s="519">
        <f>+A289+1</f>
        <v>4</v>
      </c>
      <c r="B290" s="1234" t="s">
        <v>1998</v>
      </c>
      <c r="C290" s="1235"/>
      <c r="D290" s="1235"/>
      <c r="E290" s="1235"/>
      <c r="F290" s="1236"/>
      <c r="G290" s="527"/>
      <c r="H290" s="527"/>
      <c r="I290" s="527"/>
      <c r="J290" s="527"/>
      <c r="K290" s="527"/>
    </row>
    <row r="292" spans="1:14">
      <c r="A292" s="1263" t="s">
        <v>2121</v>
      </c>
      <c r="B292" s="1263"/>
      <c r="C292" s="1263"/>
      <c r="D292" s="1263"/>
      <c r="E292" s="1263"/>
      <c r="F292" s="1263"/>
      <c r="G292" s="1263"/>
      <c r="H292" s="1263"/>
      <c r="I292" s="1263"/>
      <c r="J292" s="1263"/>
      <c r="K292" s="1263"/>
      <c r="L292" s="237" t="s">
        <v>2122</v>
      </c>
    </row>
    <row r="293" spans="1:14">
      <c r="A293" s="566" t="s">
        <v>2304</v>
      </c>
      <c r="B293" s="567"/>
      <c r="C293" s="567"/>
      <c r="D293" s="567"/>
      <c r="E293" s="567"/>
      <c r="F293" s="567"/>
      <c r="G293" s="567"/>
      <c r="H293" s="567"/>
      <c r="I293" s="567"/>
      <c r="J293" s="567"/>
      <c r="K293" s="567"/>
    </row>
    <row r="294" spans="1:14">
      <c r="A294" s="566" t="s">
        <v>2304</v>
      </c>
      <c r="B294" s="567"/>
      <c r="C294" s="567"/>
      <c r="D294" s="567"/>
      <c r="E294" s="567"/>
      <c r="F294" s="567"/>
      <c r="G294" s="567"/>
      <c r="H294" s="567"/>
      <c r="I294" s="567"/>
      <c r="J294" s="567"/>
      <c r="K294" s="567"/>
    </row>
    <row r="296" spans="1:14">
      <c r="A296" s="516" t="s">
        <v>2123</v>
      </c>
    </row>
    <row r="297" spans="1:14">
      <c r="A297" s="519" t="s">
        <v>1</v>
      </c>
      <c r="B297" s="1237" t="s">
        <v>2008</v>
      </c>
      <c r="C297" s="1260"/>
      <c r="D297" s="1260"/>
      <c r="E297" s="1260"/>
      <c r="F297" s="1260"/>
      <c r="G297" s="1238"/>
      <c r="H297" s="1237" t="s">
        <v>1993</v>
      </c>
      <c r="I297" s="1238"/>
      <c r="J297" s="1237" t="s">
        <v>1994</v>
      </c>
      <c r="K297" s="1238"/>
    </row>
    <row r="298" spans="1:14">
      <c r="A298" s="519">
        <v>1</v>
      </c>
      <c r="B298" s="1264"/>
      <c r="C298" s="1265"/>
      <c r="D298" s="1265"/>
      <c r="E298" s="1265"/>
      <c r="F298" s="1265"/>
      <c r="G298" s="1266"/>
      <c r="H298" s="1237"/>
      <c r="I298" s="1238"/>
      <c r="J298" s="1237"/>
      <c r="K298" s="1238"/>
    </row>
    <row r="299" spans="1:14">
      <c r="A299" s="519">
        <f>+A298+1</f>
        <v>2</v>
      </c>
      <c r="B299" s="1264"/>
      <c r="C299" s="1265"/>
      <c r="D299" s="1265"/>
      <c r="E299" s="1265"/>
      <c r="F299" s="1265"/>
      <c r="G299" s="1266"/>
      <c r="H299" s="1237">
        <f>+STAT1!I117</f>
        <v>70822909</v>
      </c>
      <c r="I299" s="1238"/>
      <c r="J299" s="1237">
        <f>+STAT4!W117</f>
        <v>26635902</v>
      </c>
      <c r="K299" s="1238"/>
    </row>
    <row r="300" spans="1:14">
      <c r="A300" s="519">
        <f>+A299+1</f>
        <v>3</v>
      </c>
      <c r="B300" s="1234" t="s">
        <v>1998</v>
      </c>
      <c r="C300" s="1235"/>
      <c r="D300" s="1235"/>
      <c r="E300" s="1235"/>
      <c r="F300" s="1235"/>
      <c r="G300" s="1236"/>
      <c r="H300" s="1237">
        <f>SUM(H298:I299)</f>
        <v>70822909</v>
      </c>
      <c r="I300" s="1238"/>
      <c r="J300" s="1237">
        <f>SUM(J298:K299)</f>
        <v>26635902</v>
      </c>
      <c r="K300" s="1238"/>
      <c r="M300" s="237">
        <f>+STAT4!W117</f>
        <v>26635902</v>
      </c>
      <c r="N300" s="237">
        <f>+J300-M300</f>
        <v>0</v>
      </c>
    </row>
    <row r="302" spans="1:14">
      <c r="A302" s="1263" t="s">
        <v>2124</v>
      </c>
      <c r="B302" s="1263"/>
      <c r="C302" s="1263"/>
      <c r="D302" s="1263"/>
      <c r="E302" s="1263"/>
      <c r="F302" s="1263"/>
      <c r="G302" s="1263"/>
      <c r="H302" s="1263"/>
      <c r="I302" s="1263"/>
      <c r="J302" s="1263"/>
      <c r="K302" s="1263"/>
    </row>
    <row r="303" spans="1:14">
      <c r="A303" s="566" t="s">
        <v>2304</v>
      </c>
      <c r="B303" s="567"/>
      <c r="C303" s="567"/>
      <c r="D303" s="567"/>
      <c r="E303" s="567"/>
      <c r="F303" s="567"/>
      <c r="G303" s="567"/>
      <c r="H303" s="567"/>
      <c r="I303" s="567"/>
      <c r="J303" s="567"/>
      <c r="K303" s="567"/>
    </row>
    <row r="304" spans="1:14">
      <c r="A304" s="566" t="s">
        <v>2304</v>
      </c>
      <c r="B304" s="567"/>
      <c r="C304" s="567"/>
      <c r="D304" s="567"/>
      <c r="E304" s="567"/>
      <c r="F304" s="567"/>
      <c r="G304" s="567"/>
      <c r="H304" s="567"/>
      <c r="I304" s="567"/>
      <c r="J304" s="567"/>
      <c r="K304" s="567"/>
    </row>
    <row r="306" spans="1:11">
      <c r="A306" s="516" t="s">
        <v>2125</v>
      </c>
    </row>
    <row r="307" spans="1:11">
      <c r="A307" s="1251" t="s">
        <v>1</v>
      </c>
      <c r="B307" s="1253" t="s">
        <v>2008</v>
      </c>
      <c r="C307" s="1254"/>
      <c r="D307" s="1254"/>
      <c r="E307" s="1254"/>
      <c r="F307" s="1254"/>
      <c r="G307" s="1255"/>
      <c r="H307" s="1237" t="s">
        <v>1993</v>
      </c>
      <c r="I307" s="1238"/>
      <c r="J307" s="1237" t="s">
        <v>1994</v>
      </c>
      <c r="K307" s="1238"/>
    </row>
    <row r="308" spans="1:11">
      <c r="A308" s="1252"/>
      <c r="B308" s="1256"/>
      <c r="C308" s="1257"/>
      <c r="D308" s="1257"/>
      <c r="E308" s="1257"/>
      <c r="F308" s="1257"/>
      <c r="G308" s="1258"/>
      <c r="H308" s="546" t="s">
        <v>2113</v>
      </c>
      <c r="I308" s="546" t="s">
        <v>2114</v>
      </c>
      <c r="J308" s="546" t="s">
        <v>2113</v>
      </c>
      <c r="K308" s="546" t="s">
        <v>2114</v>
      </c>
    </row>
    <row r="309" spans="1:11">
      <c r="A309" s="519">
        <v>1</v>
      </c>
      <c r="B309" s="1264" t="s">
        <v>2126</v>
      </c>
      <c r="C309" s="1265"/>
      <c r="D309" s="1265"/>
      <c r="E309" s="1265"/>
      <c r="F309" s="1265"/>
      <c r="G309" s="1266"/>
      <c r="H309" s="524"/>
      <c r="I309" s="524"/>
      <c r="J309" s="524"/>
      <c r="K309" s="524"/>
    </row>
    <row r="310" spans="1:11">
      <c r="A310" s="1270"/>
      <c r="B310" s="541"/>
      <c r="C310" s="541" t="s">
        <v>2127</v>
      </c>
      <c r="D310" s="542"/>
      <c r="E310" s="542"/>
      <c r="F310" s="542"/>
      <c r="G310" s="547"/>
      <c r="H310" s="524"/>
      <c r="I310" s="524"/>
      <c r="J310" s="524"/>
      <c r="K310" s="524"/>
    </row>
    <row r="311" spans="1:11">
      <c r="A311" s="1271"/>
      <c r="B311" s="548"/>
      <c r="C311" s="542" t="s">
        <v>2128</v>
      </c>
      <c r="D311" s="542"/>
      <c r="E311" s="542"/>
      <c r="F311" s="542"/>
      <c r="G311" s="543"/>
      <c r="H311" s="546"/>
      <c r="I311" s="546"/>
      <c r="J311" s="546"/>
      <c r="K311" s="546"/>
    </row>
    <row r="312" spans="1:11">
      <c r="A312" s="1272"/>
      <c r="B312" s="548"/>
      <c r="C312" s="542" t="s">
        <v>2129</v>
      </c>
      <c r="D312" s="542"/>
      <c r="E312" s="542"/>
      <c r="F312" s="542"/>
      <c r="G312" s="543"/>
      <c r="H312" s="546"/>
      <c r="I312" s="546"/>
      <c r="J312" s="546"/>
      <c r="K312" s="546"/>
    </row>
    <row r="313" spans="1:11">
      <c r="A313" s="519">
        <v>2</v>
      </c>
      <c r="B313" s="1273" t="s">
        <v>2130</v>
      </c>
      <c r="C313" s="1274"/>
      <c r="D313" s="1274"/>
      <c r="E313" s="1274"/>
      <c r="F313" s="1274"/>
      <c r="G313" s="1275"/>
      <c r="H313" s="546"/>
      <c r="I313" s="546"/>
      <c r="J313" s="546"/>
      <c r="K313" s="546"/>
    </row>
    <row r="314" spans="1:11">
      <c r="A314" s="519">
        <v>3</v>
      </c>
      <c r="B314" s="1234" t="s">
        <v>1998</v>
      </c>
      <c r="C314" s="1235"/>
      <c r="D314" s="1235"/>
      <c r="E314" s="1235"/>
      <c r="F314" s="1235"/>
      <c r="G314" s="1236"/>
      <c r="H314" s="524"/>
      <c r="I314" s="524"/>
      <c r="J314" s="524"/>
      <c r="K314" s="524"/>
    </row>
    <row r="316" spans="1:11">
      <c r="A316" s="1263" t="s">
        <v>2131</v>
      </c>
      <c r="B316" s="1263"/>
      <c r="C316" s="1263"/>
      <c r="D316" s="1263"/>
      <c r="E316" s="1263"/>
      <c r="F316" s="1263"/>
      <c r="G316" s="1263"/>
      <c r="H316" s="1263"/>
      <c r="I316" s="1263"/>
      <c r="J316" s="1263"/>
      <c r="K316" s="1263"/>
    </row>
    <row r="317" spans="1:11">
      <c r="A317" s="566" t="s">
        <v>2304</v>
      </c>
      <c r="B317" s="567"/>
      <c r="C317" s="567"/>
      <c r="D317" s="567"/>
      <c r="E317" s="567"/>
      <c r="F317" s="567"/>
      <c r="G317" s="567"/>
      <c r="H317" s="567"/>
      <c r="I317" s="567"/>
      <c r="J317" s="567"/>
      <c r="K317" s="567"/>
    </row>
    <row r="318" spans="1:11">
      <c r="A318" s="566" t="s">
        <v>2304</v>
      </c>
      <c r="B318" s="567"/>
      <c r="C318" s="567"/>
      <c r="D318" s="567"/>
      <c r="E318" s="567"/>
      <c r="F318" s="567"/>
      <c r="G318" s="567"/>
      <c r="H318" s="567"/>
      <c r="I318" s="567"/>
      <c r="J318" s="567"/>
      <c r="K318" s="567"/>
    </row>
    <row r="319" spans="1:11">
      <c r="A319" s="566" t="s">
        <v>2304</v>
      </c>
      <c r="B319" s="567"/>
      <c r="C319" s="567"/>
      <c r="D319" s="567"/>
      <c r="E319" s="567"/>
      <c r="F319" s="567"/>
      <c r="G319" s="567"/>
      <c r="H319" s="567"/>
      <c r="I319" s="567"/>
      <c r="J319" s="567"/>
      <c r="K319" s="567"/>
    </row>
    <row r="320" spans="1:11">
      <c r="A320" s="566" t="s">
        <v>2304</v>
      </c>
      <c r="B320" s="567"/>
      <c r="C320" s="567"/>
      <c r="D320" s="567"/>
      <c r="E320" s="567"/>
      <c r="F320" s="567"/>
      <c r="G320" s="567"/>
      <c r="H320" s="567"/>
      <c r="I320" s="567"/>
      <c r="J320" s="567"/>
      <c r="K320" s="567"/>
    </row>
    <row r="322" spans="1:12">
      <c r="A322" s="1250" t="s">
        <v>2132</v>
      </c>
      <c r="B322" s="1250"/>
      <c r="C322" s="1250"/>
      <c r="D322" s="1250"/>
      <c r="E322" s="1250"/>
      <c r="F322" s="1250"/>
      <c r="G322" s="1250"/>
      <c r="H322" s="1250"/>
      <c r="I322" s="1250"/>
      <c r="J322" s="1250"/>
      <c r="K322" s="1250"/>
    </row>
    <row r="324" spans="1:12">
      <c r="A324" s="516" t="s">
        <v>2133</v>
      </c>
    </row>
    <row r="325" spans="1:12" ht="25.5">
      <c r="A325" s="520" t="s">
        <v>1</v>
      </c>
      <c r="B325" s="1267" t="s">
        <v>49</v>
      </c>
      <c r="C325" s="1268"/>
      <c r="D325" s="1268"/>
      <c r="E325" s="1268"/>
      <c r="F325" s="1269"/>
      <c r="G325" s="1239" t="s">
        <v>2134</v>
      </c>
      <c r="H325" s="1240"/>
      <c r="I325" s="1239" t="s">
        <v>2135</v>
      </c>
      <c r="J325" s="1240"/>
      <c r="K325" s="534" t="s">
        <v>2136</v>
      </c>
    </row>
    <row r="326" spans="1:12" ht="25.5">
      <c r="A326" s="519"/>
      <c r="B326" s="1234"/>
      <c r="C326" s="1235"/>
      <c r="D326" s="1235"/>
      <c r="E326" s="1235"/>
      <c r="F326" s="1236"/>
      <c r="G326" s="527" t="s">
        <v>2137</v>
      </c>
      <c r="H326" s="529" t="s">
        <v>2138</v>
      </c>
      <c r="I326" s="527" t="s">
        <v>2137</v>
      </c>
      <c r="J326" s="529" t="s">
        <v>2138</v>
      </c>
      <c r="K326" s="527"/>
    </row>
    <row r="327" spans="1:12">
      <c r="A327" s="519">
        <f>+A326+1</f>
        <v>1</v>
      </c>
      <c r="B327" s="1234" t="s">
        <v>1993</v>
      </c>
      <c r="C327" s="1235"/>
      <c r="D327" s="1235"/>
      <c r="E327" s="1235"/>
      <c r="F327" s="1236"/>
      <c r="G327" s="527"/>
      <c r="H327" s="527">
        <f>+STAT1!I133</f>
        <v>30701981.399999999</v>
      </c>
      <c r="I327" s="527"/>
      <c r="J327" s="527"/>
      <c r="K327" s="527">
        <f>+STAT4!W133</f>
        <v>30701981.399999999</v>
      </c>
    </row>
    <row r="328" spans="1:12">
      <c r="A328" s="519">
        <f>+A327+1</f>
        <v>2</v>
      </c>
      <c r="B328" s="525" t="s">
        <v>2003</v>
      </c>
      <c r="C328" s="517"/>
      <c r="D328" s="517"/>
      <c r="E328" s="517"/>
      <c r="F328" s="528"/>
      <c r="G328" s="527"/>
      <c r="H328" s="527"/>
      <c r="I328" s="527"/>
      <c r="J328" s="527"/>
      <c r="K328" s="527"/>
    </row>
    <row r="329" spans="1:12">
      <c r="A329" s="519">
        <f>+A328+1</f>
        <v>3</v>
      </c>
      <c r="B329" s="525" t="s">
        <v>2004</v>
      </c>
      <c r="C329" s="517"/>
      <c r="D329" s="517"/>
      <c r="E329" s="517"/>
      <c r="F329" s="528"/>
      <c r="G329" s="527"/>
      <c r="H329" s="527"/>
      <c r="I329" s="527"/>
      <c r="J329" s="527"/>
      <c r="K329" s="527"/>
    </row>
    <row r="330" spans="1:12">
      <c r="A330" s="519">
        <f>+A329+1</f>
        <v>4</v>
      </c>
      <c r="B330" s="1234" t="s">
        <v>1994</v>
      </c>
      <c r="C330" s="1235"/>
      <c r="D330" s="1235"/>
      <c r="E330" s="1235"/>
      <c r="F330" s="1236"/>
      <c r="G330" s="527"/>
      <c r="H330" s="527">
        <f>+H327+H328-H329</f>
        <v>30701981.399999999</v>
      </c>
      <c r="I330" s="527"/>
      <c r="J330" s="527"/>
      <c r="K330" s="527">
        <f>+K327+K328-K329</f>
        <v>30701981.399999999</v>
      </c>
    </row>
    <row r="332" spans="1:12">
      <c r="A332" s="516" t="s">
        <v>2139</v>
      </c>
    </row>
    <row r="333" spans="1:12" ht="63.75">
      <c r="A333" s="520" t="s">
        <v>1</v>
      </c>
      <c r="B333" s="1267" t="s">
        <v>49</v>
      </c>
      <c r="C333" s="1268"/>
      <c r="D333" s="1268"/>
      <c r="E333" s="1268"/>
      <c r="F333" s="1269"/>
      <c r="G333" s="534" t="s">
        <v>2140</v>
      </c>
      <c r="H333" s="1239" t="s">
        <v>2141</v>
      </c>
      <c r="I333" s="1240"/>
      <c r="J333" s="1239" t="s">
        <v>1998</v>
      </c>
      <c r="K333" s="1240"/>
    </row>
    <row r="334" spans="1:12">
      <c r="A334" s="519">
        <v>1</v>
      </c>
      <c r="B334" s="1234" t="s">
        <v>1993</v>
      </c>
      <c r="C334" s="1235"/>
      <c r="D334" s="1235"/>
      <c r="E334" s="1235"/>
      <c r="F334" s="1236"/>
      <c r="G334" s="524">
        <f>+STAT1!I134</f>
        <v>680931312.63</v>
      </c>
      <c r="H334" s="1237"/>
      <c r="I334" s="1238"/>
      <c r="J334" s="1237">
        <f>+G334+H334</f>
        <v>680931312.63</v>
      </c>
      <c r="K334" s="1238"/>
    </row>
    <row r="335" spans="1:12">
      <c r="A335" s="519">
        <f>+A334+1</f>
        <v>2</v>
      </c>
      <c r="B335" s="1234" t="s">
        <v>2003</v>
      </c>
      <c r="C335" s="1235"/>
      <c r="D335" s="1235"/>
      <c r="E335" s="1235"/>
      <c r="F335" s="1236"/>
      <c r="G335" s="524">
        <f>SUM(G336:G337)</f>
        <v>0</v>
      </c>
      <c r="H335" s="1237">
        <v>0</v>
      </c>
      <c r="I335" s="1238"/>
      <c r="J335" s="1237">
        <v>0</v>
      </c>
      <c r="K335" s="1238"/>
    </row>
    <row r="336" spans="1:12">
      <c r="A336" s="519"/>
      <c r="B336" s="1241" t="s">
        <v>2142</v>
      </c>
      <c r="C336" s="1242"/>
      <c r="D336" s="1242"/>
      <c r="E336" s="1242"/>
      <c r="F336" s="1243"/>
      <c r="G336" s="524"/>
      <c r="H336" s="1237"/>
      <c r="I336" s="1238"/>
      <c r="J336" s="1237"/>
      <c r="K336" s="1238"/>
      <c r="L336" s="237" t="s">
        <v>2143</v>
      </c>
    </row>
    <row r="337" spans="1:11">
      <c r="A337" s="519"/>
      <c r="B337" s="1245" t="s">
        <v>2144</v>
      </c>
      <c r="C337" s="1245"/>
      <c r="D337" s="1245"/>
      <c r="E337" s="1245"/>
      <c r="F337" s="1245"/>
      <c r="G337" s="527"/>
      <c r="H337" s="1237"/>
      <c r="I337" s="1238"/>
      <c r="J337" s="1237"/>
      <c r="K337" s="1238"/>
    </row>
    <row r="338" spans="1:11">
      <c r="A338" s="519">
        <v>3</v>
      </c>
      <c r="B338" s="1248" t="s">
        <v>2145</v>
      </c>
      <c r="C338" s="1248"/>
      <c r="D338" s="1248"/>
      <c r="E338" s="1248"/>
      <c r="F338" s="1248"/>
      <c r="G338" s="527">
        <f>SUM(G339:G341)</f>
        <v>0</v>
      </c>
      <c r="H338" s="1237">
        <v>0</v>
      </c>
      <c r="I338" s="1238"/>
      <c r="J338" s="1237">
        <v>0</v>
      </c>
      <c r="K338" s="1238"/>
    </row>
    <row r="339" spans="1:11">
      <c r="A339" s="519"/>
      <c r="B339" s="1245" t="s">
        <v>2142</v>
      </c>
      <c r="C339" s="1245"/>
      <c r="D339" s="1245"/>
      <c r="E339" s="1245"/>
      <c r="F339" s="1245"/>
      <c r="G339" s="527"/>
      <c r="H339" s="1237"/>
      <c r="I339" s="1238"/>
      <c r="J339" s="1237"/>
      <c r="K339" s="1238"/>
    </row>
    <row r="340" spans="1:11">
      <c r="A340" s="519"/>
      <c r="B340" s="1245" t="s">
        <v>2146</v>
      </c>
      <c r="C340" s="1245"/>
      <c r="D340" s="1245"/>
      <c r="E340" s="1245"/>
      <c r="F340" s="1245"/>
      <c r="G340" s="527"/>
      <c r="H340" s="1237"/>
      <c r="I340" s="1238"/>
      <c r="J340" s="1237"/>
      <c r="K340" s="1238"/>
    </row>
    <row r="341" spans="1:11">
      <c r="A341" s="519"/>
      <c r="B341" s="1245" t="s">
        <v>2147</v>
      </c>
      <c r="C341" s="1245"/>
      <c r="D341" s="1245"/>
      <c r="E341" s="1245"/>
      <c r="F341" s="1245"/>
      <c r="G341" s="527"/>
      <c r="H341" s="1237"/>
      <c r="I341" s="1238"/>
      <c r="J341" s="1237"/>
      <c r="K341" s="1238"/>
    </row>
    <row r="342" spans="1:11">
      <c r="A342" s="519">
        <v>4</v>
      </c>
      <c r="B342" s="1245" t="s">
        <v>15</v>
      </c>
      <c r="C342" s="1245"/>
      <c r="D342" s="1245"/>
      <c r="E342" s="1245"/>
      <c r="F342" s="1245"/>
      <c r="G342" s="527">
        <f>+G334+G335-G338</f>
        <v>680931312.63</v>
      </c>
      <c r="H342" s="1237"/>
      <c r="I342" s="1238"/>
      <c r="J342" s="1237">
        <v>680931312.63</v>
      </c>
      <c r="K342" s="1238"/>
    </row>
    <row r="344" spans="1:11">
      <c r="A344" s="516" t="s">
        <v>2148</v>
      </c>
    </row>
    <row r="345" spans="1:11" ht="25.5">
      <c r="A345" s="519" t="s">
        <v>1</v>
      </c>
      <c r="B345" s="1234" t="s">
        <v>49</v>
      </c>
      <c r="C345" s="1235"/>
      <c r="D345" s="1235"/>
      <c r="E345" s="1235"/>
      <c r="F345" s="1235"/>
      <c r="G345" s="1236"/>
      <c r="H345" s="529" t="s">
        <v>1993</v>
      </c>
      <c r="I345" s="529" t="s">
        <v>2149</v>
      </c>
      <c r="J345" s="529" t="s">
        <v>2150</v>
      </c>
      <c r="K345" s="529" t="s">
        <v>15</v>
      </c>
    </row>
    <row r="346" spans="1:11">
      <c r="A346" s="519">
        <v>1</v>
      </c>
      <c r="B346" s="1276" t="s">
        <v>2151</v>
      </c>
      <c r="C346" s="1277"/>
      <c r="D346" s="1277"/>
      <c r="E346" s="1277"/>
      <c r="F346" s="1277"/>
      <c r="G346" s="1278"/>
      <c r="H346" s="524"/>
      <c r="I346" s="524"/>
      <c r="J346" s="524"/>
      <c r="K346" s="524"/>
    </row>
    <row r="347" spans="1:11">
      <c r="A347" s="519">
        <f>+A346+1</f>
        <v>2</v>
      </c>
      <c r="B347" s="1276" t="s">
        <v>2152</v>
      </c>
      <c r="C347" s="1277"/>
      <c r="D347" s="1277"/>
      <c r="E347" s="1277"/>
      <c r="F347" s="1277"/>
      <c r="G347" s="1278"/>
      <c r="H347" s="524"/>
      <c r="I347" s="524"/>
      <c r="J347" s="524"/>
      <c r="K347" s="524"/>
    </row>
    <row r="348" spans="1:11">
      <c r="A348" s="519">
        <f>+A347+1</f>
        <v>3</v>
      </c>
      <c r="B348" s="541" t="s">
        <v>1212</v>
      </c>
      <c r="C348" s="542"/>
      <c r="D348" s="542"/>
      <c r="E348" s="542"/>
      <c r="F348" s="542"/>
      <c r="G348" s="543"/>
      <c r="H348" s="546"/>
      <c r="I348" s="546"/>
      <c r="J348" s="546"/>
      <c r="K348" s="546"/>
    </row>
    <row r="349" spans="1:11">
      <c r="A349" s="519">
        <f>+A348+1</f>
        <v>4</v>
      </c>
      <c r="B349" s="1234" t="s">
        <v>1998</v>
      </c>
      <c r="C349" s="1235"/>
      <c r="D349" s="1235"/>
      <c r="E349" s="1235"/>
      <c r="F349" s="1235"/>
      <c r="G349" s="1236"/>
      <c r="H349" s="524"/>
      <c r="I349" s="524"/>
      <c r="J349" s="524"/>
      <c r="K349" s="524"/>
    </row>
    <row r="351" spans="1:11">
      <c r="A351" s="516" t="s">
        <v>2153</v>
      </c>
    </row>
    <row r="353" spans="1:14">
      <c r="A353" s="1263" t="s">
        <v>2154</v>
      </c>
      <c r="B353" s="1263"/>
      <c r="C353" s="1263"/>
      <c r="D353" s="1263"/>
      <c r="E353" s="1263"/>
      <c r="F353" s="1263"/>
      <c r="G353" s="1263"/>
      <c r="H353" s="1263"/>
      <c r="I353" s="1263"/>
      <c r="J353" s="1263"/>
      <c r="K353" s="1263"/>
    </row>
    <row r="354" spans="1:14">
      <c r="A354" s="566" t="s">
        <v>2304</v>
      </c>
      <c r="B354" s="567"/>
      <c r="C354" s="567"/>
      <c r="D354" s="567"/>
      <c r="E354" s="567"/>
      <c r="F354" s="567"/>
      <c r="G354" s="567"/>
      <c r="H354" s="567"/>
      <c r="I354" s="567"/>
      <c r="J354" s="567"/>
      <c r="K354" s="567"/>
    </row>
    <row r="355" spans="1:14">
      <c r="A355" s="566" t="s">
        <v>2304</v>
      </c>
      <c r="B355" s="567"/>
      <c r="C355" s="567"/>
      <c r="D355" s="567"/>
      <c r="E355" s="567"/>
      <c r="F355" s="567"/>
      <c r="G355" s="567"/>
      <c r="H355" s="567"/>
      <c r="I355" s="567"/>
      <c r="J355" s="567"/>
      <c r="K355" s="567"/>
    </row>
    <row r="356" spans="1:14">
      <c r="A356" s="566" t="s">
        <v>2304</v>
      </c>
      <c r="B356" s="567"/>
      <c r="C356" s="567"/>
      <c r="D356" s="567"/>
      <c r="E356" s="567"/>
      <c r="F356" s="567"/>
      <c r="G356" s="567"/>
      <c r="H356" s="567"/>
      <c r="I356" s="567"/>
      <c r="J356" s="567"/>
      <c r="K356" s="567"/>
    </row>
    <row r="357" spans="1:14">
      <c r="A357" s="566" t="s">
        <v>2304</v>
      </c>
      <c r="B357" s="567"/>
      <c r="C357" s="567"/>
      <c r="D357" s="567"/>
      <c r="E357" s="567"/>
      <c r="F357" s="567"/>
      <c r="G357" s="567"/>
      <c r="H357" s="567"/>
      <c r="I357" s="567"/>
      <c r="J357" s="567"/>
      <c r="K357" s="567"/>
    </row>
    <row r="359" spans="1:14">
      <c r="A359" s="1250" t="s">
        <v>2155</v>
      </c>
      <c r="B359" s="1250"/>
      <c r="C359" s="1250"/>
      <c r="D359" s="1250"/>
      <c r="E359" s="1250"/>
      <c r="F359" s="1250"/>
      <c r="G359" s="1250"/>
      <c r="H359" s="1250"/>
      <c r="I359" s="1250"/>
      <c r="J359" s="1250"/>
      <c r="K359" s="1250"/>
    </row>
    <row r="361" spans="1:14">
      <c r="A361" s="519" t="s">
        <v>1</v>
      </c>
      <c r="B361" s="1234" t="s">
        <v>49</v>
      </c>
      <c r="C361" s="1235"/>
      <c r="D361" s="1235"/>
      <c r="E361" s="1235"/>
      <c r="F361" s="1235"/>
      <c r="G361" s="1236"/>
      <c r="H361" s="1237" t="s">
        <v>2156</v>
      </c>
      <c r="I361" s="1238"/>
      <c r="J361" s="1237" t="s">
        <v>2157</v>
      </c>
      <c r="K361" s="1238"/>
    </row>
    <row r="362" spans="1:14">
      <c r="A362" s="533">
        <v>1</v>
      </c>
      <c r="B362" s="1281" t="s">
        <v>2158</v>
      </c>
      <c r="C362" s="1265"/>
      <c r="D362" s="1265"/>
      <c r="E362" s="1265"/>
      <c r="F362" s="1265"/>
      <c r="G362" s="1266"/>
      <c r="H362" s="1237"/>
      <c r="I362" s="1238"/>
      <c r="J362" s="1237"/>
      <c r="K362" s="1238"/>
    </row>
    <row r="363" spans="1:14">
      <c r="A363" s="1279">
        <v>1.1000000000000001</v>
      </c>
      <c r="B363" s="1264" t="s">
        <v>1922</v>
      </c>
      <c r="C363" s="1265"/>
      <c r="D363" s="1265"/>
      <c r="E363" s="1265"/>
      <c r="F363" s="1265"/>
      <c r="G363" s="1266"/>
      <c r="H363" s="1237">
        <f>+IS!D7</f>
        <v>458303751.75</v>
      </c>
      <c r="I363" s="1238"/>
      <c r="J363" s="1237">
        <f>+STAT1!T140+STAT2!T140+STAT3!T140+STAT4!T140</f>
        <v>79990009.996824816</v>
      </c>
      <c r="K363" s="1238"/>
    </row>
    <row r="364" spans="1:14">
      <c r="A364" s="1280"/>
      <c r="B364" s="1264"/>
      <c r="C364" s="1265"/>
      <c r="D364" s="1265"/>
      <c r="E364" s="1265"/>
      <c r="F364" s="1265"/>
      <c r="G364" s="1266"/>
      <c r="H364" s="1237"/>
      <c r="I364" s="1238"/>
      <c r="J364" s="1237"/>
      <c r="K364" s="1238"/>
    </row>
    <row r="365" spans="1:14">
      <c r="A365" s="1279">
        <v>1.2</v>
      </c>
      <c r="B365" s="1264" t="s">
        <v>2159</v>
      </c>
      <c r="C365" s="1265"/>
      <c r="D365" s="1265"/>
      <c r="E365" s="1265"/>
      <c r="F365" s="1265"/>
      <c r="G365" s="1266"/>
      <c r="H365" s="1237">
        <v>0</v>
      </c>
      <c r="I365" s="1238"/>
      <c r="J365" s="1237">
        <f>+STAT1!T141+STAT2!S141+STAT3!T141+STAT4!T141</f>
        <v>9167728.3599999994</v>
      </c>
      <c r="K365" s="1238"/>
    </row>
    <row r="366" spans="1:14">
      <c r="A366" s="1280"/>
      <c r="B366" s="1264"/>
      <c r="C366" s="1265"/>
      <c r="D366" s="1265"/>
      <c r="E366" s="1265"/>
      <c r="F366" s="1265"/>
      <c r="G366" s="1266"/>
      <c r="H366" s="1237"/>
      <c r="I366" s="1238"/>
      <c r="J366" s="1237"/>
      <c r="K366" s="1238"/>
    </row>
    <row r="367" spans="1:14">
      <c r="A367" s="531">
        <v>1.3</v>
      </c>
      <c r="B367" s="1264" t="s">
        <v>2160</v>
      </c>
      <c r="C367" s="1265"/>
      <c r="D367" s="1265"/>
      <c r="E367" s="1265"/>
      <c r="F367" s="1265"/>
      <c r="G367" s="1266"/>
      <c r="H367" s="1237">
        <f>+H365+H363</f>
        <v>458303751.75</v>
      </c>
      <c r="I367" s="1238"/>
      <c r="J367" s="1237">
        <f>+J365+J363</f>
        <v>89157738.356824815</v>
      </c>
      <c r="K367" s="1238"/>
      <c r="M367" s="237">
        <f>+IS!I7</f>
        <v>529157738.44682491</v>
      </c>
      <c r="N367" s="237">
        <f>+J367-M367</f>
        <v>-440000000.09000009</v>
      </c>
    </row>
    <row r="368" spans="1:14">
      <c r="A368" s="533">
        <v>2</v>
      </c>
      <c r="B368" s="1281" t="s">
        <v>2161</v>
      </c>
      <c r="C368" s="1282"/>
      <c r="D368" s="1282"/>
      <c r="E368" s="1282"/>
      <c r="F368" s="1282"/>
      <c r="G368" s="1283"/>
      <c r="H368" s="1237"/>
      <c r="I368" s="1238"/>
      <c r="J368" s="1237"/>
      <c r="K368" s="1238"/>
      <c r="L368" s="237" t="s">
        <v>2162</v>
      </c>
    </row>
    <row r="369" spans="1:14">
      <c r="A369" s="533">
        <v>3</v>
      </c>
      <c r="B369" s="1284" t="s">
        <v>2163</v>
      </c>
      <c r="C369" s="1285"/>
      <c r="D369" s="1285"/>
      <c r="E369" s="1285"/>
      <c r="F369" s="1285"/>
      <c r="G369" s="1286"/>
      <c r="H369" s="1237"/>
      <c r="I369" s="1238"/>
      <c r="J369" s="1237"/>
      <c r="K369" s="1238"/>
    </row>
    <row r="370" spans="1:14">
      <c r="A370" s="533">
        <v>4</v>
      </c>
      <c r="B370" s="1284" t="s">
        <v>2164</v>
      </c>
      <c r="C370" s="1285"/>
      <c r="D370" s="1285"/>
      <c r="E370" s="1285"/>
      <c r="F370" s="1285"/>
      <c r="G370" s="1286"/>
      <c r="H370" s="1237"/>
      <c r="I370" s="1238"/>
      <c r="J370" s="1237"/>
      <c r="K370" s="1238"/>
    </row>
    <row r="371" spans="1:14">
      <c r="A371" s="1287">
        <v>4.0999999999999996</v>
      </c>
      <c r="B371" s="1234" t="s">
        <v>2165</v>
      </c>
      <c r="C371" s="1235"/>
      <c r="D371" s="1235"/>
      <c r="E371" s="1235"/>
      <c r="F371" s="1235"/>
      <c r="G371" s="1236"/>
      <c r="H371" s="1237">
        <v>271139823.25999999</v>
      </c>
      <c r="I371" s="1238"/>
      <c r="J371" s="1237">
        <f>+STAT1!U151+STAT2!U151+STAT3!U151+STAT4!U151</f>
        <v>51035862.996658534</v>
      </c>
      <c r="K371" s="1238"/>
    </row>
    <row r="372" spans="1:14">
      <c r="A372" s="1287"/>
      <c r="B372" s="1288"/>
      <c r="C372" s="1289"/>
      <c r="D372" s="1289"/>
      <c r="E372" s="1289"/>
      <c r="F372" s="1289"/>
      <c r="G372" s="1290"/>
      <c r="H372" s="1237"/>
      <c r="I372" s="1238"/>
      <c r="J372" s="1237"/>
      <c r="K372" s="1238"/>
    </row>
    <row r="373" spans="1:14">
      <c r="A373" s="1287">
        <v>4.2</v>
      </c>
      <c r="B373" s="1234" t="s">
        <v>2166</v>
      </c>
      <c r="C373" s="1235"/>
      <c r="D373" s="1235"/>
      <c r="E373" s="1235"/>
      <c r="F373" s="1235"/>
      <c r="G373" s="1236"/>
      <c r="H373" s="1237"/>
      <c r="I373" s="1238"/>
      <c r="J373" s="1237">
        <f>+STAT3!U152+STAT2!U152+STAT1!U152+STAT4!U152</f>
        <v>6615641.4423765056</v>
      </c>
      <c r="K373" s="1238"/>
    </row>
    <row r="374" spans="1:14">
      <c r="A374" s="1287"/>
      <c r="B374" s="1288"/>
      <c r="C374" s="1289"/>
      <c r="D374" s="1289"/>
      <c r="E374" s="1289"/>
      <c r="F374" s="1289"/>
      <c r="G374" s="1290"/>
      <c r="H374" s="1237"/>
      <c r="I374" s="1238"/>
      <c r="J374" s="1237"/>
      <c r="K374" s="1238"/>
    </row>
    <row r="375" spans="1:14">
      <c r="A375" s="549">
        <v>4.3</v>
      </c>
      <c r="B375" s="1234" t="s">
        <v>2167</v>
      </c>
      <c r="C375" s="1235"/>
      <c r="D375" s="1235"/>
      <c r="E375" s="1235"/>
      <c r="F375" s="1235"/>
      <c r="G375" s="1236"/>
      <c r="H375" s="1237">
        <f>+H373+H371</f>
        <v>271139823.25999999</v>
      </c>
      <c r="I375" s="1238"/>
      <c r="J375" s="1237">
        <f>+J373+J371</f>
        <v>57651504.439035043</v>
      </c>
      <c r="K375" s="1238"/>
      <c r="M375" s="237">
        <f>+IS!I8</f>
        <v>370238840.09903508</v>
      </c>
      <c r="N375" s="237">
        <f>+J375-M375</f>
        <v>-312587335.66000003</v>
      </c>
    </row>
    <row r="377" spans="1:14">
      <c r="A377" s="1291" t="s">
        <v>2168</v>
      </c>
      <c r="B377" s="1291"/>
      <c r="C377" s="1291"/>
      <c r="D377" s="1291"/>
      <c r="E377" s="1291"/>
      <c r="F377" s="1291"/>
      <c r="G377" s="1291"/>
      <c r="H377" s="1291"/>
      <c r="I377" s="1291"/>
      <c r="J377" s="1291"/>
      <c r="K377" s="1291"/>
    </row>
    <row r="378" spans="1:14">
      <c r="A378" s="1247" t="s">
        <v>2169</v>
      </c>
      <c r="B378" s="1247"/>
      <c r="C378" s="1247"/>
      <c r="D378" s="1247"/>
      <c r="E378" s="1247"/>
      <c r="F378" s="1247"/>
      <c r="G378" s="1247"/>
      <c r="H378" s="1247"/>
      <c r="I378" s="1247"/>
      <c r="J378" s="1247"/>
      <c r="K378" s="1247"/>
    </row>
    <row r="380" spans="1:14">
      <c r="A380" s="1250" t="s">
        <v>2170</v>
      </c>
      <c r="B380" s="1250"/>
      <c r="C380" s="1250"/>
      <c r="D380" s="1250"/>
      <c r="E380" s="1250"/>
      <c r="F380" s="1250"/>
      <c r="G380" s="1250"/>
      <c r="H380" s="1250"/>
      <c r="I380" s="1250"/>
      <c r="J380" s="1250"/>
      <c r="K380" s="1250"/>
    </row>
    <row r="382" spans="1:14">
      <c r="A382" s="516" t="s">
        <v>2171</v>
      </c>
    </row>
    <row r="383" spans="1:14">
      <c r="A383" s="519" t="s">
        <v>1</v>
      </c>
      <c r="B383" s="1234" t="s">
        <v>2172</v>
      </c>
      <c r="C383" s="1235"/>
      <c r="D383" s="1235"/>
      <c r="E383" s="1235"/>
      <c r="F383" s="1235"/>
      <c r="G383" s="1236"/>
      <c r="H383" s="1237" t="s">
        <v>2156</v>
      </c>
      <c r="I383" s="1238"/>
      <c r="J383" s="1237" t="s">
        <v>2157</v>
      </c>
      <c r="K383" s="1238"/>
    </row>
    <row r="384" spans="1:14">
      <c r="A384" s="519">
        <v>1</v>
      </c>
      <c r="B384" s="1264" t="s">
        <v>1930</v>
      </c>
      <c r="C384" s="1265"/>
      <c r="D384" s="1265"/>
      <c r="E384" s="1265"/>
      <c r="F384" s="1265"/>
      <c r="G384" s="1266"/>
      <c r="H384" s="1237">
        <f>+IS!D11</f>
        <v>8727.52</v>
      </c>
      <c r="I384" s="1238"/>
      <c r="J384" s="1237">
        <f>+IS!I11</f>
        <v>0</v>
      </c>
      <c r="K384" s="1238"/>
    </row>
    <row r="385" spans="1:11">
      <c r="A385" s="519">
        <f>+A384+1</f>
        <v>2</v>
      </c>
      <c r="B385" s="1264"/>
      <c r="C385" s="1265"/>
      <c r="D385" s="1265"/>
      <c r="E385" s="1265"/>
      <c r="F385" s="1265"/>
      <c r="G385" s="1266"/>
      <c r="H385" s="1237"/>
      <c r="I385" s="1238"/>
      <c r="J385" s="1237"/>
      <c r="K385" s="1238"/>
    </row>
    <row r="386" spans="1:11">
      <c r="A386" s="519">
        <f>+A385+1</f>
        <v>3</v>
      </c>
      <c r="B386" s="1234" t="s">
        <v>1998</v>
      </c>
      <c r="C386" s="1235"/>
      <c r="D386" s="1235"/>
      <c r="E386" s="1235"/>
      <c r="F386" s="1235"/>
      <c r="G386" s="1236"/>
      <c r="H386" s="1237">
        <f>SUM(H384:I385)</f>
        <v>8727.52</v>
      </c>
      <c r="I386" s="1238"/>
      <c r="J386" s="1237">
        <f>SUM(J384:K385)</f>
        <v>0</v>
      </c>
      <c r="K386" s="1238"/>
    </row>
    <row r="388" spans="1:11">
      <c r="A388" s="516" t="s">
        <v>2173</v>
      </c>
    </row>
    <row r="389" spans="1:11">
      <c r="A389" s="519" t="s">
        <v>1</v>
      </c>
      <c r="B389" s="1234" t="s">
        <v>2008</v>
      </c>
      <c r="C389" s="1235"/>
      <c r="D389" s="1235"/>
      <c r="E389" s="1235"/>
      <c r="F389" s="1235"/>
      <c r="G389" s="1236"/>
      <c r="H389" s="1237" t="s">
        <v>2156</v>
      </c>
      <c r="I389" s="1238"/>
      <c r="J389" s="1237" t="s">
        <v>2157</v>
      </c>
      <c r="K389" s="1238"/>
    </row>
    <row r="390" spans="1:11">
      <c r="A390" s="519">
        <v>1</v>
      </c>
      <c r="B390" s="1241" t="s">
        <v>2174</v>
      </c>
      <c r="C390" s="1242"/>
      <c r="D390" s="1242"/>
      <c r="E390" s="1242"/>
      <c r="F390" s="1242"/>
      <c r="G390" s="1243"/>
      <c r="H390" s="544"/>
      <c r="I390" s="545">
        <f>+IS!D19</f>
        <v>2912714.06</v>
      </c>
      <c r="J390" s="544"/>
      <c r="K390" s="545">
        <f>+IS!I19</f>
        <v>43610.791999999987</v>
      </c>
    </row>
    <row r="391" spans="1:11">
      <c r="A391" s="519">
        <f>+A390+1</f>
        <v>2</v>
      </c>
      <c r="B391" s="1241" t="s">
        <v>2175</v>
      </c>
      <c r="C391" s="1242"/>
      <c r="D391" s="1242"/>
      <c r="E391" s="1242"/>
      <c r="F391" s="1242"/>
      <c r="G391" s="1243"/>
      <c r="H391" s="544"/>
      <c r="I391" s="545"/>
      <c r="J391" s="544"/>
      <c r="K391" s="545"/>
    </row>
    <row r="392" spans="1:11">
      <c r="A392" s="519">
        <f>+A391+1</f>
        <v>3</v>
      </c>
      <c r="B392" s="1241" t="s">
        <v>2176</v>
      </c>
      <c r="C392" s="1242"/>
      <c r="D392" s="1242"/>
      <c r="E392" s="1242"/>
      <c r="F392" s="1242"/>
      <c r="G392" s="1243"/>
      <c r="H392" s="1237"/>
      <c r="I392" s="1238"/>
      <c r="J392" s="1237"/>
      <c r="K392" s="1238"/>
    </row>
    <row r="393" spans="1:11">
      <c r="A393" s="519">
        <f>+A392+1</f>
        <v>4</v>
      </c>
      <c r="B393" s="1241" t="s">
        <v>2177</v>
      </c>
      <c r="C393" s="1242"/>
      <c r="D393" s="1242"/>
      <c r="E393" s="1242"/>
      <c r="F393" s="1242"/>
      <c r="G393" s="1243"/>
      <c r="H393" s="1237"/>
      <c r="I393" s="1238"/>
      <c r="J393" s="1237"/>
      <c r="K393" s="1238"/>
    </row>
    <row r="394" spans="1:11">
      <c r="A394" s="519">
        <f>+A393+1</f>
        <v>5</v>
      </c>
      <c r="B394" s="1234" t="s">
        <v>1998</v>
      </c>
      <c r="C394" s="1235"/>
      <c r="D394" s="1235"/>
      <c r="E394" s="1235"/>
      <c r="F394" s="1235"/>
      <c r="G394" s="1236"/>
      <c r="H394" s="1237">
        <f>SUM(H390:I393)</f>
        <v>2912714.06</v>
      </c>
      <c r="I394" s="1238"/>
      <c r="J394" s="1237">
        <f>SUM(J390:K393)</f>
        <v>43610.791999999987</v>
      </c>
      <c r="K394" s="1238"/>
    </row>
    <row r="396" spans="1:11">
      <c r="A396" s="516" t="s">
        <v>2178</v>
      </c>
    </row>
    <row r="397" spans="1:11">
      <c r="A397" s="519" t="s">
        <v>1</v>
      </c>
      <c r="B397" s="1234" t="s">
        <v>2179</v>
      </c>
      <c r="C397" s="1235"/>
      <c r="D397" s="1235"/>
      <c r="E397" s="1235"/>
      <c r="F397" s="1235"/>
      <c r="G397" s="1236"/>
      <c r="H397" s="1237" t="s">
        <v>2156</v>
      </c>
      <c r="I397" s="1238"/>
      <c r="J397" s="1237" t="s">
        <v>2157</v>
      </c>
      <c r="K397" s="1238"/>
    </row>
    <row r="398" spans="1:11">
      <c r="A398" s="519">
        <v>1</v>
      </c>
      <c r="B398" s="1241" t="s">
        <v>2180</v>
      </c>
      <c r="C398" s="1242"/>
      <c r="D398" s="1242"/>
      <c r="E398" s="1242"/>
      <c r="F398" s="1242"/>
      <c r="G398" s="1243"/>
      <c r="H398" s="544"/>
      <c r="I398" s="545"/>
      <c r="J398" s="544"/>
      <c r="K398" s="545"/>
    </row>
    <row r="399" spans="1:11">
      <c r="A399" s="519">
        <f>+A398+1</f>
        <v>2</v>
      </c>
      <c r="B399" s="1241" t="s">
        <v>2181</v>
      </c>
      <c r="C399" s="1242"/>
      <c r="D399" s="1242"/>
      <c r="E399" s="1242"/>
      <c r="F399" s="1242"/>
      <c r="G399" s="1243"/>
      <c r="H399" s="544"/>
      <c r="I399" s="545"/>
      <c r="J399" s="544"/>
      <c r="K399" s="545"/>
    </row>
    <row r="400" spans="1:11">
      <c r="A400" s="519">
        <f>+A399+1</f>
        <v>3</v>
      </c>
      <c r="B400" s="1241" t="s">
        <v>2182</v>
      </c>
      <c r="C400" s="1242"/>
      <c r="D400" s="1242"/>
      <c r="E400" s="1242"/>
      <c r="F400" s="1242"/>
      <c r="G400" s="1243"/>
      <c r="H400" s="1237"/>
      <c r="I400" s="1238"/>
      <c r="J400" s="1237"/>
      <c r="K400" s="1238"/>
    </row>
    <row r="401" spans="1:12">
      <c r="A401" s="519">
        <f>+A400+1</f>
        <v>4</v>
      </c>
      <c r="B401" s="1241" t="s">
        <v>2183</v>
      </c>
      <c r="C401" s="1242"/>
      <c r="D401" s="1242"/>
      <c r="E401" s="1242"/>
      <c r="F401" s="1242"/>
      <c r="G401" s="1243"/>
      <c r="H401" s="1237"/>
      <c r="I401" s="1238"/>
      <c r="J401" s="1237"/>
      <c r="K401" s="1238"/>
    </row>
    <row r="402" spans="1:12">
      <c r="A402" s="519">
        <f>+A401+1</f>
        <v>5</v>
      </c>
      <c r="B402" s="1234" t="s">
        <v>1998</v>
      </c>
      <c r="C402" s="1235"/>
      <c r="D402" s="1235"/>
      <c r="E402" s="1235"/>
      <c r="F402" s="1235"/>
      <c r="G402" s="1236"/>
      <c r="H402" s="1237"/>
      <c r="I402" s="1238"/>
      <c r="J402" s="1237"/>
      <c r="K402" s="1238"/>
    </row>
    <row r="404" spans="1:12">
      <c r="A404" s="1250" t="s">
        <v>2184</v>
      </c>
      <c r="B404" s="1250"/>
      <c r="C404" s="1250"/>
      <c r="D404" s="1250"/>
      <c r="E404" s="1250"/>
      <c r="F404" s="1250"/>
      <c r="G404" s="1250"/>
      <c r="H404" s="1250"/>
      <c r="I404" s="1250"/>
      <c r="J404" s="1250"/>
      <c r="K404" s="1250"/>
    </row>
    <row r="406" spans="1:12">
      <c r="A406" s="516" t="s">
        <v>2185</v>
      </c>
    </row>
    <row r="407" spans="1:12">
      <c r="A407" s="1251" t="s">
        <v>1</v>
      </c>
      <c r="B407" s="1253" t="s">
        <v>2186</v>
      </c>
      <c r="C407" s="1254"/>
      <c r="D407" s="1254"/>
      <c r="E407" s="1254"/>
      <c r="F407" s="1254"/>
      <c r="G407" s="1255"/>
      <c r="H407" s="1237" t="s">
        <v>2156</v>
      </c>
      <c r="I407" s="1238"/>
      <c r="J407" s="1237" t="s">
        <v>2157</v>
      </c>
      <c r="K407" s="1238"/>
    </row>
    <row r="408" spans="1:12">
      <c r="A408" s="1252"/>
      <c r="B408" s="1256"/>
      <c r="C408" s="1257"/>
      <c r="D408" s="1257"/>
      <c r="E408" s="1257"/>
      <c r="F408" s="1257"/>
      <c r="G408" s="1258"/>
      <c r="H408" s="546" t="s">
        <v>2187</v>
      </c>
      <c r="I408" s="546" t="s">
        <v>2188</v>
      </c>
      <c r="J408" s="546" t="s">
        <v>2187</v>
      </c>
      <c r="K408" s="546" t="s">
        <v>2188</v>
      </c>
    </row>
    <row r="409" spans="1:12">
      <c r="A409" s="519">
        <v>1</v>
      </c>
      <c r="B409" s="1264" t="s">
        <v>2189</v>
      </c>
      <c r="C409" s="1265"/>
      <c r="D409" s="1265"/>
      <c r="E409" s="1265"/>
      <c r="F409" s="1265"/>
      <c r="G409" s="1266"/>
      <c r="H409" s="524"/>
      <c r="I409" s="524">
        <v>105946388.61</v>
      </c>
      <c r="J409" s="524"/>
      <c r="K409" s="524">
        <f>+STAT1!U155+STAT2!U155+STAT3!U155+STAT4!U155</f>
        <v>55064388.041097321</v>
      </c>
    </row>
    <row r="410" spans="1:12">
      <c r="A410" s="519">
        <f t="shared" ref="A410:A416" si="13">+A409+1</f>
        <v>2</v>
      </c>
      <c r="B410" s="1264" t="s">
        <v>2190</v>
      </c>
      <c r="C410" s="1265"/>
      <c r="D410" s="1265"/>
      <c r="E410" s="1265"/>
      <c r="F410" s="1265"/>
      <c r="G410" s="1266"/>
      <c r="H410" s="524"/>
      <c r="I410" s="524">
        <v>16518439.029999999</v>
      </c>
      <c r="J410" s="524"/>
      <c r="K410" s="524">
        <f>+STAT1!U156+STAT2!U156+STAT3!U156+STAT4!U156</f>
        <v>7975246.9090384161</v>
      </c>
    </row>
    <row r="411" spans="1:12">
      <c r="A411" s="519">
        <f t="shared" si="13"/>
        <v>3</v>
      </c>
      <c r="B411" s="1264" t="s">
        <v>2191</v>
      </c>
      <c r="C411" s="1265"/>
      <c r="D411" s="1265"/>
      <c r="E411" s="1265"/>
      <c r="F411" s="1265"/>
      <c r="G411" s="1266"/>
      <c r="H411" s="524"/>
      <c r="I411" s="524">
        <v>11224322</v>
      </c>
      <c r="J411" s="524"/>
      <c r="K411" s="524">
        <f>+SUM(STAT1!U182:U185)+SUM(STAT2!U182:U185)+SUM(STAT3!U182:U185)+SUM(STAT4!U182:U185)</f>
        <v>14102616</v>
      </c>
    </row>
    <row r="412" spans="1:12">
      <c r="A412" s="519">
        <f t="shared" si="13"/>
        <v>4</v>
      </c>
      <c r="B412" s="1264" t="s">
        <v>2192</v>
      </c>
      <c r="C412" s="1265"/>
      <c r="D412" s="1265"/>
      <c r="E412" s="1265"/>
      <c r="F412" s="1265"/>
      <c r="G412" s="1266"/>
      <c r="H412" s="524"/>
      <c r="I412" s="524">
        <v>0</v>
      </c>
      <c r="J412" s="524"/>
      <c r="K412" s="524">
        <f>+STAT1!U162+STAT2!U162+STAT3!U162+STAT4!U162</f>
        <v>0</v>
      </c>
    </row>
    <row r="413" spans="1:12">
      <c r="A413" s="519">
        <f t="shared" si="13"/>
        <v>5</v>
      </c>
      <c r="B413" s="1264" t="s">
        <v>2193</v>
      </c>
      <c r="C413" s="1265"/>
      <c r="D413" s="1265"/>
      <c r="E413" s="1265"/>
      <c r="F413" s="1265"/>
      <c r="G413" s="1266"/>
      <c r="H413" s="524"/>
      <c r="I413" s="524">
        <v>549673.68999999994</v>
      </c>
      <c r="J413" s="524"/>
      <c r="K413" s="524">
        <f>+STAT1!U180+STAT2!U180+STAT3!U180+STAT4!U180</f>
        <v>703079.55</v>
      </c>
    </row>
    <row r="414" spans="1:12">
      <c r="A414" s="519">
        <f t="shared" si="13"/>
        <v>6</v>
      </c>
      <c r="B414" s="1264" t="s">
        <v>2194</v>
      </c>
      <c r="C414" s="1265"/>
      <c r="D414" s="1265"/>
      <c r="E414" s="1265"/>
      <c r="F414" s="1265"/>
      <c r="G414" s="1266"/>
      <c r="H414" s="524"/>
      <c r="I414" s="524">
        <v>635754.54</v>
      </c>
      <c r="J414" s="524"/>
      <c r="K414" s="524">
        <f>+STAT1!U168+STAT1!U169+STAT2!U168+STAT2!U169+STAT3!U168+STAT3!U169+STAT4!U168+STAT4!U169</f>
        <v>3200012.7800000003</v>
      </c>
    </row>
    <row r="415" spans="1:12">
      <c r="A415" s="519">
        <f t="shared" si="13"/>
        <v>7</v>
      </c>
      <c r="B415" s="1264" t="s">
        <v>2195</v>
      </c>
      <c r="C415" s="1265"/>
      <c r="D415" s="1265"/>
      <c r="E415" s="1265"/>
      <c r="F415" s="1265"/>
      <c r="G415" s="1266"/>
      <c r="H415" s="524"/>
      <c r="I415" s="524"/>
      <c r="J415" s="524"/>
      <c r="K415" s="524">
        <f>+SUM(STAT1!U177:U179)+SUM(STAT2!U177:U179)+SUM(STAT3!U177:U179)+SUM(STAT4!U177:U179)</f>
        <v>1500000</v>
      </c>
    </row>
    <row r="416" spans="1:12">
      <c r="A416" s="519">
        <f t="shared" si="13"/>
        <v>8</v>
      </c>
      <c r="B416" s="1234" t="s">
        <v>2196</v>
      </c>
      <c r="C416" s="1235"/>
      <c r="D416" s="1235"/>
      <c r="E416" s="1235"/>
      <c r="F416" s="1235"/>
      <c r="G416" s="1236"/>
      <c r="H416" s="524"/>
      <c r="I416" s="524"/>
      <c r="J416" s="524"/>
      <c r="K416" s="524"/>
      <c r="L416" s="237" t="s">
        <v>2197</v>
      </c>
    </row>
    <row r="417" spans="1:14">
      <c r="A417" s="519">
        <f t="shared" ref="A417:A431" si="14">+A416+1</f>
        <v>9</v>
      </c>
      <c r="B417" s="1234" t="s">
        <v>2198</v>
      </c>
      <c r="C417" s="1235"/>
      <c r="D417" s="1235"/>
      <c r="E417" s="1235"/>
      <c r="F417" s="1235"/>
      <c r="G417" s="1236"/>
      <c r="H417" s="527"/>
      <c r="I417" s="527"/>
      <c r="J417" s="527"/>
      <c r="K417" s="527"/>
    </row>
    <row r="418" spans="1:14">
      <c r="A418" s="519">
        <f t="shared" si="14"/>
        <v>10</v>
      </c>
      <c r="B418" s="1234" t="s">
        <v>2199</v>
      </c>
      <c r="C418" s="1235"/>
      <c r="D418" s="1235"/>
      <c r="E418" s="1235"/>
      <c r="F418" s="1235"/>
      <c r="G418" s="1236"/>
      <c r="H418" s="527"/>
      <c r="I418" s="527"/>
      <c r="J418" s="527"/>
      <c r="K418" s="527">
        <f>+SUM(STAT1!U175:U176)+SUM(STAT2!U175:U176)+SUM(STAT3!U175:U176)+SUM(STAT4!U175:U176)</f>
        <v>0</v>
      </c>
    </row>
    <row r="419" spans="1:14">
      <c r="A419" s="519">
        <f t="shared" si="14"/>
        <v>11</v>
      </c>
      <c r="B419" s="1234" t="s">
        <v>2200</v>
      </c>
      <c r="C419" s="1235"/>
      <c r="D419" s="1235"/>
      <c r="E419" s="1235"/>
      <c r="F419" s="1235"/>
      <c r="G419" s="1236"/>
      <c r="H419" s="527"/>
      <c r="I419" s="527">
        <v>36051259.909999996</v>
      </c>
      <c r="J419" s="527"/>
      <c r="K419" s="527">
        <f>+SUM(STAT1!U157:U159)+SUM(STAT2!U157:U159)+SUM(STAT3!U157:U159)+SUM(STAT4!U157:U159)</f>
        <v>4320884.8418181837</v>
      </c>
    </row>
    <row r="420" spans="1:14">
      <c r="A420" s="519">
        <f t="shared" si="14"/>
        <v>12</v>
      </c>
      <c r="B420" s="1234" t="s">
        <v>2201</v>
      </c>
      <c r="C420" s="1235"/>
      <c r="D420" s="1235"/>
      <c r="E420" s="1235"/>
      <c r="F420" s="1235"/>
      <c r="G420" s="1236"/>
      <c r="H420" s="527"/>
      <c r="I420" s="527">
        <v>1883420.04</v>
      </c>
      <c r="J420" s="527"/>
      <c r="K420" s="527">
        <f>+SUM(STAT1!U164:U165)+SUM(STAT2!U164:U165)+SUM(STAT3!U164:U165)+SUM(STAT4!U164:U165)</f>
        <v>17279143.73</v>
      </c>
    </row>
    <row r="421" spans="1:14">
      <c r="A421" s="519">
        <f t="shared" si="14"/>
        <v>13</v>
      </c>
      <c r="B421" s="1234" t="s">
        <v>2202</v>
      </c>
      <c r="C421" s="1235"/>
      <c r="D421" s="1235"/>
      <c r="E421" s="1235"/>
      <c r="F421" s="1235"/>
      <c r="G421" s="1236"/>
      <c r="H421" s="527"/>
      <c r="I421" s="527">
        <v>115127670.43000001</v>
      </c>
      <c r="J421" s="527"/>
      <c r="K421" s="527">
        <f>+STAT1!U166+STAT2!U166+STAT3!U166+STAT4!U166</f>
        <v>20219336.290000007</v>
      </c>
    </row>
    <row r="422" spans="1:14">
      <c r="A422" s="519">
        <f t="shared" si="14"/>
        <v>14</v>
      </c>
      <c r="B422" s="1234" t="s">
        <v>2203</v>
      </c>
      <c r="C422" s="1235"/>
      <c r="D422" s="1235"/>
      <c r="E422" s="1235"/>
      <c r="F422" s="1235"/>
      <c r="G422" s="1236"/>
      <c r="H422" s="527"/>
      <c r="I422" s="527"/>
      <c r="J422" s="527"/>
      <c r="K422" s="527"/>
    </row>
    <row r="423" spans="1:14">
      <c r="A423" s="519">
        <f t="shared" si="14"/>
        <v>15</v>
      </c>
      <c r="B423" s="1234" t="s">
        <v>2204</v>
      </c>
      <c r="C423" s="1235"/>
      <c r="D423" s="1235"/>
      <c r="E423" s="1235"/>
      <c r="F423" s="1235"/>
      <c r="G423" s="1236"/>
      <c r="H423" s="527"/>
      <c r="I423" s="527">
        <v>18000000</v>
      </c>
      <c r="J423" s="527"/>
      <c r="K423" s="555">
        <f>+STAT1!U193+STAT2!U193+STAT3!U193+STAT4!U193</f>
        <v>18000000</v>
      </c>
    </row>
    <row r="424" spans="1:14">
      <c r="A424" s="519">
        <f t="shared" si="14"/>
        <v>16</v>
      </c>
      <c r="B424" s="1234" t="s">
        <v>2205</v>
      </c>
      <c r="C424" s="1235"/>
      <c r="D424" s="1235"/>
      <c r="E424" s="1235"/>
      <c r="F424" s="1235"/>
      <c r="G424" s="1236"/>
      <c r="H424" s="527"/>
      <c r="I424" s="527">
        <v>288864.53999999998</v>
      </c>
      <c r="J424" s="527"/>
      <c r="K424" s="527">
        <f>+STAT1!U189+STAT2!U189+STAT3!U189+STAT4!U189</f>
        <v>82433.91</v>
      </c>
    </row>
    <row r="425" spans="1:14">
      <c r="A425" s="519">
        <f t="shared" si="14"/>
        <v>17</v>
      </c>
      <c r="B425" s="1234" t="s">
        <v>1892</v>
      </c>
      <c r="C425" s="1235"/>
      <c r="D425" s="1235"/>
      <c r="E425" s="1235"/>
      <c r="F425" s="1235"/>
      <c r="G425" s="1236"/>
      <c r="H425" s="527"/>
      <c r="I425" s="527"/>
      <c r="J425" s="527"/>
      <c r="K425" s="527"/>
    </row>
    <row r="426" spans="1:14">
      <c r="A426" s="519">
        <f t="shared" si="14"/>
        <v>18</v>
      </c>
      <c r="B426" s="1234" t="s">
        <v>2206</v>
      </c>
      <c r="C426" s="1235"/>
      <c r="D426" s="1235"/>
      <c r="E426" s="1235"/>
      <c r="F426" s="1235"/>
      <c r="G426" s="1236"/>
      <c r="H426" s="527"/>
      <c r="I426" s="527">
        <v>4725332.76</v>
      </c>
      <c r="J426" s="527"/>
      <c r="K426" s="527">
        <f>+STAT1!U170+STAT1!U171+STAT2!U170+STAT2!U171+STAT3!U170+STAT3!U171+STAT4!U170+STAT4!U171</f>
        <v>2125909.1309090909</v>
      </c>
    </row>
    <row r="427" spans="1:14">
      <c r="A427" s="519">
        <f t="shared" si="14"/>
        <v>19</v>
      </c>
      <c r="B427" s="1234" t="s">
        <v>2207</v>
      </c>
      <c r="C427" s="1235"/>
      <c r="D427" s="1235"/>
      <c r="E427" s="1235"/>
      <c r="F427" s="1235"/>
      <c r="G427" s="1236"/>
      <c r="H427" s="527"/>
      <c r="I427" s="527"/>
      <c r="J427" s="527"/>
      <c r="K427" s="527"/>
    </row>
    <row r="428" spans="1:14">
      <c r="A428" s="519">
        <f t="shared" si="14"/>
        <v>20</v>
      </c>
      <c r="B428" s="1234" t="s">
        <v>2208</v>
      </c>
      <c r="C428" s="1235"/>
      <c r="D428" s="1235"/>
      <c r="E428" s="1235"/>
      <c r="F428" s="1235"/>
      <c r="G428" s="1236"/>
      <c r="H428" s="527"/>
      <c r="I428" s="527"/>
      <c r="J428" s="527"/>
      <c r="K428" s="527">
        <f>+STAT1!U167+STAT2!U167+STAT3!U167+STAT4!U167</f>
        <v>0</v>
      </c>
    </row>
    <row r="429" spans="1:14">
      <c r="A429" s="519">
        <f t="shared" si="14"/>
        <v>21</v>
      </c>
      <c r="B429" s="1234" t="s">
        <v>1216</v>
      </c>
      <c r="C429" s="1235"/>
      <c r="D429" s="1235"/>
      <c r="E429" s="1235"/>
      <c r="F429" s="1235"/>
      <c r="G429" s="1236"/>
      <c r="H429" s="527"/>
      <c r="I429" s="527">
        <v>54786563.530000001</v>
      </c>
      <c r="J429" s="527"/>
      <c r="K429" s="527">
        <f>+STAT3!U173+STAT2!U173+STAT1!U173+STAT4!U173+STAT3!U191+STAT2!U191+STAT1!U191+STAT4!U191+STAT3!U195+STAT2!U195+STAT1!U195+STAT4!U195+STAT3!U188+STAT2!U188+STAT1!U188+STAT4!U188</f>
        <v>17300077.689600002</v>
      </c>
    </row>
    <row r="430" spans="1:14">
      <c r="A430" s="519">
        <f t="shared" si="14"/>
        <v>22</v>
      </c>
      <c r="B430" s="1234"/>
      <c r="C430" s="1235"/>
      <c r="D430" s="1235"/>
      <c r="E430" s="1235"/>
      <c r="F430" s="1235"/>
      <c r="G430" s="1236"/>
      <c r="H430" s="527"/>
      <c r="I430" s="527"/>
      <c r="J430" s="527"/>
      <c r="K430" s="527"/>
    </row>
    <row r="431" spans="1:14">
      <c r="A431" s="519">
        <f t="shared" si="14"/>
        <v>23</v>
      </c>
      <c r="B431" s="1234" t="s">
        <v>1998</v>
      </c>
      <c r="C431" s="1235"/>
      <c r="D431" s="1235"/>
      <c r="E431" s="1235"/>
      <c r="F431" s="1235"/>
      <c r="G431" s="1236"/>
      <c r="H431" s="554">
        <f>SUM(H409:H430)</f>
        <v>0</v>
      </c>
      <c r="I431" s="554">
        <f>SUM(I409:I430)</f>
        <v>365737689.08000004</v>
      </c>
      <c r="J431" s="554">
        <f>SUM(J409:J430)</f>
        <v>0</v>
      </c>
      <c r="K431" s="554">
        <f>SUM(K409:K430)</f>
        <v>161873128.87246302</v>
      </c>
      <c r="M431" s="237">
        <f>+IS!I15+IS!I16</f>
        <v>161873128.87246302</v>
      </c>
      <c r="N431" s="237">
        <f>+J431+K431-M431</f>
        <v>0</v>
      </c>
    </row>
    <row r="433" spans="1:11">
      <c r="A433" s="516" t="s">
        <v>2209</v>
      </c>
    </row>
    <row r="434" spans="1:11">
      <c r="A434" s="519" t="s">
        <v>1</v>
      </c>
      <c r="B434" s="1237" t="s">
        <v>2172</v>
      </c>
      <c r="C434" s="1260"/>
      <c r="D434" s="1260"/>
      <c r="E434" s="1260"/>
      <c r="F434" s="1260"/>
      <c r="G434" s="1238"/>
      <c r="H434" s="1237" t="s">
        <v>2156</v>
      </c>
      <c r="I434" s="1238"/>
      <c r="J434" s="1237" t="s">
        <v>2157</v>
      </c>
      <c r="K434" s="1238"/>
    </row>
    <row r="435" spans="1:11">
      <c r="A435" s="519">
        <v>1</v>
      </c>
      <c r="B435" s="1264" t="s">
        <v>2210</v>
      </c>
      <c r="C435" s="1265"/>
      <c r="D435" s="1265"/>
      <c r="E435" s="1265"/>
      <c r="F435" s="1265"/>
      <c r="G435" s="1266"/>
      <c r="H435" s="1237"/>
      <c r="I435" s="1238"/>
      <c r="J435" s="1237"/>
      <c r="K435" s="1238"/>
    </row>
    <row r="436" spans="1:11">
      <c r="A436" s="519">
        <f>+A435+1</f>
        <v>2</v>
      </c>
      <c r="B436" s="542" t="s">
        <v>2211</v>
      </c>
      <c r="C436" s="542"/>
      <c r="D436" s="542"/>
      <c r="E436" s="542"/>
      <c r="F436" s="542"/>
      <c r="G436" s="543"/>
      <c r="H436" s="544"/>
      <c r="I436" s="545"/>
      <c r="J436" s="544"/>
      <c r="K436" s="545"/>
    </row>
    <row r="437" spans="1:11">
      <c r="A437" s="519">
        <f>+A436+1</f>
        <v>3</v>
      </c>
      <c r="B437" s="541" t="s">
        <v>2212</v>
      </c>
      <c r="C437" s="542"/>
      <c r="D437" s="542"/>
      <c r="E437" s="542"/>
      <c r="F437" s="542"/>
      <c r="G437" s="543"/>
      <c r="H437" s="544"/>
      <c r="I437" s="545"/>
      <c r="J437" s="544"/>
      <c r="K437" s="545"/>
    </row>
    <row r="438" spans="1:11">
      <c r="A438" s="519">
        <f>+A437+1</f>
        <v>4</v>
      </c>
      <c r="B438" s="1264"/>
      <c r="C438" s="1265"/>
      <c r="D438" s="1265"/>
      <c r="E438" s="1265"/>
      <c r="F438" s="1265"/>
      <c r="G438" s="1266"/>
      <c r="H438" s="1237"/>
      <c r="I438" s="1238"/>
      <c r="J438" s="1237"/>
      <c r="K438" s="1238"/>
    </row>
    <row r="439" spans="1:11">
      <c r="A439" s="519">
        <f>+A438+1</f>
        <v>5</v>
      </c>
      <c r="B439" s="1234" t="s">
        <v>1998</v>
      </c>
      <c r="C439" s="1235"/>
      <c r="D439" s="1235"/>
      <c r="E439" s="1235"/>
      <c r="F439" s="1235"/>
      <c r="G439" s="1236"/>
      <c r="H439" s="1237"/>
      <c r="I439" s="1238"/>
      <c r="J439" s="1237"/>
      <c r="K439" s="1238"/>
    </row>
    <row r="441" spans="1:11">
      <c r="A441" s="516" t="s">
        <v>2213</v>
      </c>
    </row>
    <row r="442" spans="1:11">
      <c r="A442" s="1251" t="s">
        <v>1</v>
      </c>
      <c r="B442" s="1253" t="s">
        <v>49</v>
      </c>
      <c r="C442" s="1254"/>
      <c r="D442" s="1254"/>
      <c r="E442" s="1254"/>
      <c r="F442" s="1255"/>
      <c r="G442" s="1292" t="s">
        <v>2214</v>
      </c>
      <c r="H442" s="1239" t="s">
        <v>2215</v>
      </c>
      <c r="I442" s="1294"/>
      <c r="J442" s="1294"/>
      <c r="K442" s="1240"/>
    </row>
    <row r="443" spans="1:11">
      <c r="A443" s="1252"/>
      <c r="B443" s="1256"/>
      <c r="C443" s="1257"/>
      <c r="D443" s="1257"/>
      <c r="E443" s="1257"/>
      <c r="F443" s="1258"/>
      <c r="G443" s="1293"/>
      <c r="H443" s="1237" t="s">
        <v>2156</v>
      </c>
      <c r="I443" s="1238"/>
      <c r="J443" s="1237" t="s">
        <v>2157</v>
      </c>
      <c r="K443" s="1238"/>
    </row>
    <row r="444" spans="1:11">
      <c r="A444" s="519">
        <f>+A443+1</f>
        <v>1</v>
      </c>
      <c r="B444" s="1234" t="s">
        <v>2216</v>
      </c>
      <c r="C444" s="1235"/>
      <c r="D444" s="1235"/>
      <c r="E444" s="1235"/>
      <c r="F444" s="1236"/>
      <c r="G444" s="524"/>
      <c r="H444" s="1237"/>
      <c r="I444" s="1238"/>
      <c r="J444" s="1237"/>
      <c r="K444" s="1238"/>
    </row>
    <row r="445" spans="1:11">
      <c r="A445" s="519"/>
      <c r="B445" s="1234"/>
      <c r="C445" s="1235"/>
      <c r="D445" s="1235"/>
      <c r="E445" s="1235"/>
      <c r="F445" s="1236"/>
      <c r="G445" s="524"/>
      <c r="H445" s="1237"/>
      <c r="I445" s="1238"/>
      <c r="J445" s="1237"/>
      <c r="K445" s="1238"/>
    </row>
    <row r="446" spans="1:11">
      <c r="A446" s="519">
        <v>2</v>
      </c>
      <c r="B446" s="1234" t="s">
        <v>2217</v>
      </c>
      <c r="C446" s="1235"/>
      <c r="D446" s="1235"/>
      <c r="E446" s="1235"/>
      <c r="F446" s="1236"/>
      <c r="G446" s="524"/>
      <c r="H446" s="1237"/>
      <c r="I446" s="1238"/>
      <c r="J446" s="1237"/>
      <c r="K446" s="1238"/>
    </row>
    <row r="447" spans="1:11">
      <c r="A447" s="519"/>
      <c r="B447" s="1234"/>
      <c r="C447" s="1235"/>
      <c r="D447" s="1235"/>
      <c r="E447" s="1235"/>
      <c r="F447" s="1236"/>
      <c r="G447" s="527"/>
      <c r="H447" s="1237"/>
      <c r="I447" s="1238"/>
      <c r="J447" s="1237"/>
      <c r="K447" s="1238"/>
    </row>
    <row r="448" spans="1:11">
      <c r="A448" s="519">
        <v>3</v>
      </c>
      <c r="B448" s="525" t="s">
        <v>2218</v>
      </c>
      <c r="C448" s="517"/>
      <c r="D448" s="517"/>
      <c r="E448" s="517"/>
      <c r="F448" s="528"/>
      <c r="G448" s="527"/>
      <c r="H448" s="544"/>
      <c r="I448" s="545"/>
      <c r="J448" s="544"/>
      <c r="K448" s="545"/>
    </row>
    <row r="449" spans="1:12">
      <c r="A449" s="519"/>
      <c r="B449" s="1234"/>
      <c r="C449" s="1235"/>
      <c r="D449" s="1235"/>
      <c r="E449" s="1235"/>
      <c r="F449" s="1236"/>
      <c r="G449" s="527"/>
      <c r="H449" s="544"/>
      <c r="I449" s="545"/>
      <c r="J449" s="544"/>
      <c r="K449" s="545"/>
    </row>
    <row r="450" spans="1:12">
      <c r="A450" s="519">
        <v>4</v>
      </c>
      <c r="B450" s="1234" t="s">
        <v>1998</v>
      </c>
      <c r="C450" s="1235"/>
      <c r="D450" s="1235"/>
      <c r="E450" s="1235"/>
      <c r="F450" s="1236"/>
      <c r="G450" s="527"/>
      <c r="H450" s="544"/>
      <c r="I450" s="545"/>
      <c r="J450" s="544"/>
      <c r="K450" s="545"/>
    </row>
    <row r="452" spans="1:12">
      <c r="A452" s="1250" t="s">
        <v>2219</v>
      </c>
      <c r="B452" s="1250"/>
      <c r="C452" s="1250"/>
      <c r="D452" s="1250"/>
      <c r="E452" s="1250"/>
      <c r="F452" s="1250"/>
      <c r="G452" s="1250"/>
      <c r="H452" s="1250"/>
      <c r="I452" s="1250"/>
      <c r="J452" s="1250"/>
      <c r="K452" s="1250"/>
      <c r="L452" s="237" t="s">
        <v>2220</v>
      </c>
    </row>
    <row r="454" spans="1:12">
      <c r="A454" s="519" t="s">
        <v>1</v>
      </c>
      <c r="B454" s="1237" t="s">
        <v>49</v>
      </c>
      <c r="C454" s="1260"/>
      <c r="D454" s="1260"/>
      <c r="E454" s="1260"/>
      <c r="F454" s="1260"/>
      <c r="G454" s="1238"/>
      <c r="H454" s="1237" t="s">
        <v>2156</v>
      </c>
      <c r="I454" s="1238"/>
      <c r="J454" s="1237" t="s">
        <v>2157</v>
      </c>
      <c r="K454" s="1238"/>
    </row>
    <row r="455" spans="1:12">
      <c r="A455" s="519">
        <v>1</v>
      </c>
      <c r="B455" s="1264" t="s">
        <v>2221</v>
      </c>
      <c r="C455" s="1265"/>
      <c r="D455" s="1265"/>
      <c r="E455" s="1265"/>
      <c r="F455" s="1265"/>
      <c r="G455" s="1266"/>
      <c r="H455" s="1237"/>
      <c r="I455" s="1238"/>
      <c r="J455" s="1237">
        <f>+STAT3!U214+STAT2!U214+STAT1!U214+STAT4!U214</f>
        <v>0</v>
      </c>
      <c r="K455" s="1238"/>
    </row>
    <row r="456" spans="1:12">
      <c r="A456" s="519">
        <f>+A455+1</f>
        <v>2</v>
      </c>
      <c r="B456" s="1264" t="s">
        <v>2222</v>
      </c>
      <c r="C456" s="1265"/>
      <c r="D456" s="1265"/>
      <c r="E456" s="1265"/>
      <c r="F456" s="1265"/>
      <c r="G456" s="1266"/>
      <c r="H456" s="1237"/>
      <c r="I456" s="1238"/>
      <c r="J456" s="1237"/>
      <c r="K456" s="1238"/>
    </row>
    <row r="457" spans="1:12">
      <c r="A457" s="519">
        <f>+A456+1</f>
        <v>3</v>
      </c>
      <c r="B457" s="1234" t="s">
        <v>2223</v>
      </c>
      <c r="C457" s="1235"/>
      <c r="D457" s="1235"/>
      <c r="E457" s="1235"/>
      <c r="F457" s="1235"/>
      <c r="G457" s="1236"/>
      <c r="H457" s="1237">
        <f>SUM(H455:I456)</f>
        <v>0</v>
      </c>
      <c r="I457" s="1238"/>
      <c r="J457" s="1237">
        <f>SUM(J455:K456)</f>
        <v>0</v>
      </c>
      <c r="K457" s="1238"/>
    </row>
    <row r="459" spans="1:12">
      <c r="A459" s="1263" t="s">
        <v>2224</v>
      </c>
      <c r="B459" s="1263"/>
      <c r="C459" s="1263"/>
      <c r="D459" s="1263"/>
      <c r="E459" s="1263"/>
      <c r="F459" s="1263"/>
      <c r="G459" s="1263"/>
      <c r="H459" s="1263"/>
      <c r="I459" s="1263"/>
      <c r="J459" s="1263"/>
      <c r="K459" s="1263"/>
    </row>
    <row r="460" spans="1:12">
      <c r="A460" s="566" t="s">
        <v>2304</v>
      </c>
      <c r="B460" s="567"/>
      <c r="C460" s="567"/>
      <c r="D460" s="567"/>
      <c r="E460" s="567"/>
      <c r="F460" s="567"/>
      <c r="G460" s="567"/>
      <c r="H460" s="567"/>
      <c r="I460" s="567"/>
      <c r="J460" s="567"/>
      <c r="K460" s="567"/>
    </row>
    <row r="461" spans="1:12">
      <c r="A461" s="566" t="s">
        <v>2304</v>
      </c>
      <c r="B461" s="567"/>
      <c r="C461" s="567"/>
      <c r="D461" s="567"/>
      <c r="E461" s="567"/>
      <c r="F461" s="567"/>
      <c r="G461" s="567"/>
      <c r="H461" s="567"/>
      <c r="I461" s="567"/>
      <c r="J461" s="567"/>
      <c r="K461" s="567"/>
    </row>
    <row r="462" spans="1:12">
      <c r="A462" s="566" t="s">
        <v>2304</v>
      </c>
      <c r="B462" s="567"/>
      <c r="C462" s="567"/>
      <c r="D462" s="567"/>
      <c r="E462" s="567"/>
      <c r="F462" s="567"/>
      <c r="G462" s="567"/>
      <c r="H462" s="567"/>
      <c r="I462" s="567"/>
      <c r="J462" s="567"/>
      <c r="K462" s="567"/>
    </row>
    <row r="463" spans="1:12">
      <c r="A463" s="566" t="s">
        <v>2304</v>
      </c>
      <c r="B463" s="567"/>
      <c r="C463" s="567"/>
      <c r="D463" s="567"/>
      <c r="E463" s="567"/>
      <c r="F463" s="567"/>
      <c r="G463" s="567"/>
      <c r="H463" s="567"/>
      <c r="I463" s="567"/>
      <c r="J463" s="567"/>
      <c r="K463" s="567"/>
    </row>
    <row r="464" spans="1:12">
      <c r="A464" s="566" t="s">
        <v>2304</v>
      </c>
      <c r="B464" s="567"/>
      <c r="C464" s="567"/>
      <c r="D464" s="567"/>
      <c r="E464" s="567"/>
      <c r="F464" s="567"/>
      <c r="G464" s="567"/>
      <c r="H464" s="567"/>
      <c r="I464" s="567"/>
      <c r="J464" s="567"/>
      <c r="K464" s="567"/>
    </row>
    <row r="465" spans="1:11">
      <c r="A465" s="566" t="s">
        <v>2304</v>
      </c>
      <c r="B465" s="567"/>
      <c r="C465" s="567"/>
      <c r="D465" s="567"/>
      <c r="E465" s="567"/>
      <c r="F465" s="567"/>
      <c r="G465" s="567"/>
      <c r="H465" s="567"/>
      <c r="I465" s="567"/>
      <c r="J465" s="567"/>
      <c r="K465" s="567"/>
    </row>
    <row r="467" spans="1:11">
      <c r="A467" s="1250" t="s">
        <v>2225</v>
      </c>
      <c r="B467" s="1250"/>
      <c r="C467" s="1250"/>
      <c r="D467" s="1250"/>
      <c r="E467" s="1250"/>
      <c r="F467" s="1250"/>
      <c r="G467" s="1250"/>
      <c r="H467" s="1250"/>
      <c r="I467" s="1250"/>
      <c r="J467" s="1250"/>
      <c r="K467" s="1250"/>
    </row>
    <row r="468" spans="1:11">
      <c r="A468" s="516" t="s">
        <v>2226</v>
      </c>
    </row>
    <row r="469" spans="1:11" ht="38.25">
      <c r="A469" s="519" t="s">
        <v>1</v>
      </c>
      <c r="B469" s="1237" t="s">
        <v>49</v>
      </c>
      <c r="C469" s="1260"/>
      <c r="D469" s="1260"/>
      <c r="E469" s="1260"/>
      <c r="F469" s="1260"/>
      <c r="G469" s="1238"/>
      <c r="H469" s="529" t="s">
        <v>2227</v>
      </c>
      <c r="I469" s="529" t="s">
        <v>2228</v>
      </c>
      <c r="J469" s="529" t="s">
        <v>2229</v>
      </c>
      <c r="K469" s="529" t="s">
        <v>2230</v>
      </c>
    </row>
    <row r="470" spans="1:11">
      <c r="A470" s="519">
        <v>1</v>
      </c>
      <c r="B470" s="1276" t="s">
        <v>1326</v>
      </c>
      <c r="C470" s="1277"/>
      <c r="D470" s="1277"/>
      <c r="E470" s="1277"/>
      <c r="F470" s="1277"/>
      <c r="G470" s="1278"/>
      <c r="H470" s="524"/>
      <c r="I470" s="524"/>
      <c r="J470" s="524"/>
      <c r="K470" s="524"/>
    </row>
    <row r="471" spans="1:11">
      <c r="A471" s="519">
        <f>+A470+1</f>
        <v>2</v>
      </c>
      <c r="B471" s="1276" t="s">
        <v>2231</v>
      </c>
      <c r="C471" s="1277"/>
      <c r="D471" s="1277"/>
      <c r="E471" s="1277"/>
      <c r="F471" s="1277"/>
      <c r="G471" s="1278"/>
      <c r="H471" s="524"/>
      <c r="I471" s="524"/>
      <c r="J471" s="524"/>
      <c r="K471" s="524"/>
    </row>
    <row r="472" spans="1:11">
      <c r="A472" s="519">
        <f>+A471+1</f>
        <v>3</v>
      </c>
      <c r="B472" s="541" t="s">
        <v>2232</v>
      </c>
      <c r="C472" s="542"/>
      <c r="D472" s="542"/>
      <c r="E472" s="542"/>
      <c r="F472" s="542"/>
      <c r="G472" s="543"/>
      <c r="H472" s="546"/>
      <c r="I472" s="546"/>
      <c r="J472" s="546"/>
      <c r="K472" s="546"/>
    </row>
    <row r="474" spans="1:11">
      <c r="A474" s="1295" t="s">
        <v>2233</v>
      </c>
      <c r="B474" s="1295"/>
      <c r="C474" s="1295"/>
      <c r="D474" s="1295"/>
      <c r="E474" s="1295"/>
      <c r="F474" s="1295"/>
      <c r="G474" s="1295"/>
      <c r="H474" s="1295"/>
      <c r="I474" s="1295"/>
      <c r="J474" s="1295"/>
      <c r="K474" s="1295"/>
    </row>
    <row r="475" spans="1:11">
      <c r="A475" s="1295" t="s">
        <v>2234</v>
      </c>
      <c r="B475" s="1295"/>
      <c r="C475" s="1295"/>
      <c r="D475" s="1295"/>
      <c r="E475" s="1295"/>
      <c r="F475" s="1295"/>
      <c r="G475" s="1295"/>
      <c r="H475" s="1295"/>
      <c r="I475" s="1295"/>
      <c r="J475" s="1295"/>
      <c r="K475" s="1295"/>
    </row>
    <row r="477" spans="1:11">
      <c r="A477" s="519" t="s">
        <v>1</v>
      </c>
      <c r="B477" s="1237" t="s">
        <v>2235</v>
      </c>
      <c r="C477" s="1260"/>
      <c r="D477" s="1260"/>
      <c r="E477" s="1260"/>
      <c r="F477" s="1260"/>
      <c r="G477" s="1238"/>
      <c r="H477" s="1237" t="s">
        <v>2156</v>
      </c>
      <c r="I477" s="1238"/>
      <c r="J477" s="1237" t="s">
        <v>2157</v>
      </c>
      <c r="K477" s="1238"/>
    </row>
    <row r="478" spans="1:11">
      <c r="A478" s="519">
        <v>1</v>
      </c>
      <c r="B478" s="1264" t="s">
        <v>2236</v>
      </c>
      <c r="C478" s="1265"/>
      <c r="D478" s="1265"/>
      <c r="E478" s="1265"/>
      <c r="F478" s="1265"/>
      <c r="G478" s="1266"/>
      <c r="H478" s="1237"/>
      <c r="I478" s="1238"/>
      <c r="J478" s="1237"/>
      <c r="K478" s="1238"/>
    </row>
    <row r="479" spans="1:11">
      <c r="A479" s="519">
        <f>+A478+1</f>
        <v>2</v>
      </c>
      <c r="B479" s="1264" t="s">
        <v>2237</v>
      </c>
      <c r="C479" s="1265"/>
      <c r="D479" s="1265"/>
      <c r="E479" s="1265"/>
      <c r="F479" s="1265"/>
      <c r="G479" s="1266"/>
      <c r="H479" s="544"/>
      <c r="I479" s="545"/>
      <c r="J479" s="544"/>
      <c r="K479" s="545"/>
    </row>
    <row r="480" spans="1:11">
      <c r="A480" s="519">
        <f>+A479+1</f>
        <v>3</v>
      </c>
      <c r="B480" s="1264" t="s">
        <v>2238</v>
      </c>
      <c r="C480" s="1265"/>
      <c r="D480" s="1265"/>
      <c r="E480" s="1265"/>
      <c r="F480" s="1265"/>
      <c r="G480" s="1266"/>
      <c r="H480" s="544"/>
      <c r="I480" s="545"/>
      <c r="J480" s="544"/>
      <c r="K480" s="545"/>
    </row>
    <row r="481" spans="1:11">
      <c r="A481" s="519">
        <f>+A480+1</f>
        <v>4</v>
      </c>
      <c r="B481" s="1264"/>
      <c r="C481" s="1265"/>
      <c r="D481" s="1265"/>
      <c r="E481" s="1265"/>
      <c r="F481" s="1265"/>
      <c r="G481" s="1266"/>
      <c r="H481" s="1237"/>
      <c r="I481" s="1238"/>
      <c r="J481" s="1237"/>
      <c r="K481" s="1238"/>
    </row>
    <row r="482" spans="1:11">
      <c r="A482" s="519">
        <f>+A481+1</f>
        <v>5</v>
      </c>
      <c r="B482" s="1234" t="s">
        <v>1998</v>
      </c>
      <c r="C482" s="1235"/>
      <c r="D482" s="1235"/>
      <c r="E482" s="1235"/>
      <c r="F482" s="1235"/>
      <c r="G482" s="1236"/>
      <c r="H482" s="1237"/>
      <c r="I482" s="1238"/>
      <c r="J482" s="1237"/>
      <c r="K482" s="1238"/>
    </row>
    <row r="484" spans="1:11">
      <c r="A484" s="516" t="s">
        <v>2239</v>
      </c>
    </row>
    <row r="486" spans="1:11">
      <c r="A486" s="519" t="s">
        <v>1</v>
      </c>
      <c r="B486" s="1237" t="s">
        <v>2240</v>
      </c>
      <c r="C486" s="1260"/>
      <c r="D486" s="1260"/>
      <c r="E486" s="1238"/>
      <c r="F486" s="1237" t="s">
        <v>2241</v>
      </c>
      <c r="G486" s="1238"/>
      <c r="H486" s="1237" t="s">
        <v>5</v>
      </c>
      <c r="I486" s="1238"/>
      <c r="J486" s="1237" t="s">
        <v>2230</v>
      </c>
      <c r="K486" s="1238"/>
    </row>
    <row r="487" spans="1:11">
      <c r="A487" s="519">
        <v>1</v>
      </c>
      <c r="B487" s="1234"/>
      <c r="C487" s="1235"/>
      <c r="D487" s="1235"/>
      <c r="E487" s="1236"/>
      <c r="F487" s="1237"/>
      <c r="G487" s="1238"/>
      <c r="H487" s="1237"/>
      <c r="I487" s="1238"/>
      <c r="J487" s="1237"/>
      <c r="K487" s="1238"/>
    </row>
    <row r="488" spans="1:11">
      <c r="A488" s="519">
        <v>2</v>
      </c>
      <c r="B488" s="1234"/>
      <c r="C488" s="1235"/>
      <c r="D488" s="1235"/>
      <c r="E488" s="1236"/>
      <c r="F488" s="1237"/>
      <c r="G488" s="1238"/>
      <c r="H488" s="1237"/>
      <c r="I488" s="1238"/>
      <c r="J488" s="1237"/>
      <c r="K488" s="1238"/>
    </row>
    <row r="490" spans="1:11">
      <c r="A490" s="1250" t="s">
        <v>2242</v>
      </c>
      <c r="B490" s="1250"/>
      <c r="C490" s="1250"/>
      <c r="D490" s="1250"/>
      <c r="E490" s="1250"/>
      <c r="F490" s="1250"/>
      <c r="G490" s="1250"/>
      <c r="H490" s="1250"/>
      <c r="I490" s="1250"/>
      <c r="J490" s="1250"/>
      <c r="K490" s="1250"/>
    </row>
    <row r="492" spans="1:11">
      <c r="A492" s="1263" t="s">
        <v>2243</v>
      </c>
      <c r="B492" s="1263"/>
      <c r="C492" s="1263"/>
      <c r="D492" s="1263"/>
      <c r="E492" s="1263"/>
      <c r="F492" s="1263"/>
      <c r="G492" s="1263"/>
      <c r="H492" s="1263"/>
      <c r="I492" s="1263"/>
      <c r="J492" s="1263"/>
      <c r="K492" s="1263"/>
    </row>
    <row r="493" spans="1:11">
      <c r="A493" s="566" t="s">
        <v>2304</v>
      </c>
      <c r="B493" s="567"/>
      <c r="C493" s="567"/>
      <c r="D493" s="567"/>
      <c r="E493" s="567"/>
      <c r="F493" s="567"/>
      <c r="G493" s="567"/>
      <c r="H493" s="567"/>
      <c r="I493" s="567"/>
      <c r="J493" s="567"/>
      <c r="K493" s="567"/>
    </row>
    <row r="494" spans="1:11">
      <c r="A494" s="566" t="s">
        <v>2304</v>
      </c>
      <c r="B494" s="567"/>
      <c r="C494" s="567"/>
      <c r="D494" s="567"/>
      <c r="E494" s="567"/>
      <c r="F494" s="567"/>
      <c r="G494" s="567"/>
      <c r="H494" s="567"/>
      <c r="I494" s="567"/>
      <c r="J494" s="567"/>
      <c r="K494" s="567"/>
    </row>
    <row r="495" spans="1:11">
      <c r="A495" s="566" t="s">
        <v>2304</v>
      </c>
      <c r="B495" s="567"/>
      <c r="C495" s="567"/>
      <c r="D495" s="567"/>
      <c r="E495" s="567"/>
      <c r="F495" s="567"/>
      <c r="G495" s="567"/>
      <c r="H495" s="567"/>
      <c r="I495" s="567"/>
      <c r="J495" s="567"/>
      <c r="K495" s="567"/>
    </row>
    <row r="496" spans="1:11">
      <c r="A496" s="566" t="s">
        <v>2304</v>
      </c>
      <c r="B496" s="567"/>
      <c r="C496" s="567"/>
      <c r="D496" s="567"/>
      <c r="E496" s="567"/>
      <c r="F496" s="567"/>
      <c r="G496" s="567"/>
      <c r="H496" s="567"/>
      <c r="I496" s="567"/>
      <c r="J496" s="567"/>
      <c r="K496" s="567"/>
    </row>
    <row r="497" spans="1:18">
      <c r="A497" s="1250" t="s">
        <v>2244</v>
      </c>
      <c r="B497" s="1250"/>
      <c r="C497" s="1250"/>
      <c r="D497" s="1250"/>
      <c r="E497" s="1250"/>
      <c r="F497" s="1250"/>
      <c r="G497" s="1250"/>
      <c r="H497" s="1250"/>
      <c r="I497" s="1250"/>
      <c r="J497" s="1250"/>
      <c r="K497" s="1250"/>
    </row>
    <row r="499" spans="1:18" ht="31.5" customHeight="1">
      <c r="A499" s="1263" t="s">
        <v>2245</v>
      </c>
      <c r="B499" s="1263"/>
      <c r="C499" s="1263"/>
      <c r="D499" s="1263"/>
      <c r="E499" s="1263"/>
      <c r="F499" s="1263"/>
      <c r="G499" s="1263"/>
      <c r="H499" s="1263"/>
      <c r="I499" s="1263"/>
      <c r="J499" s="1263"/>
      <c r="K499" s="1263"/>
    </row>
    <row r="500" spans="1:18">
      <c r="A500" s="566" t="s">
        <v>2304</v>
      </c>
      <c r="B500" s="567"/>
      <c r="C500" s="567"/>
      <c r="D500" s="567"/>
      <c r="E500" s="567"/>
      <c r="F500" s="567"/>
      <c r="G500" s="567"/>
      <c r="H500" s="567"/>
      <c r="I500" s="567"/>
      <c r="J500" s="567"/>
      <c r="K500" s="567"/>
    </row>
    <row r="501" spans="1:18">
      <c r="A501" s="566" t="s">
        <v>2304</v>
      </c>
      <c r="B501" s="567"/>
      <c r="C501" s="567"/>
      <c r="D501" s="567"/>
      <c r="E501" s="567"/>
      <c r="F501" s="567"/>
      <c r="G501" s="567"/>
      <c r="H501" s="567"/>
      <c r="I501" s="567"/>
      <c r="J501" s="567"/>
      <c r="K501" s="567"/>
    </row>
    <row r="502" spans="1:18">
      <c r="A502" s="566" t="s">
        <v>2304</v>
      </c>
      <c r="B502" s="567"/>
      <c r="C502" s="567"/>
      <c r="D502" s="567"/>
      <c r="E502" s="567"/>
      <c r="F502" s="567"/>
      <c r="G502" s="567"/>
      <c r="H502" s="567"/>
      <c r="I502" s="567"/>
      <c r="J502" s="567"/>
      <c r="K502" s="567"/>
    </row>
    <row r="503" spans="1:18">
      <c r="A503" s="566" t="s">
        <v>2304</v>
      </c>
      <c r="B503" s="567"/>
      <c r="C503" s="567"/>
      <c r="D503" s="567"/>
      <c r="E503" s="567"/>
      <c r="F503" s="567"/>
      <c r="G503" s="567"/>
      <c r="H503" s="567"/>
      <c r="I503" s="567"/>
      <c r="J503" s="567"/>
      <c r="K503" s="567"/>
    </row>
    <row r="504" spans="1:18">
      <c r="L504" s="237" t="s">
        <v>2246</v>
      </c>
    </row>
    <row r="505" spans="1:18">
      <c r="A505" s="1250" t="s">
        <v>2247</v>
      </c>
      <c r="B505" s="1250"/>
      <c r="C505" s="1250"/>
      <c r="D505" s="1250"/>
      <c r="E505" s="1250"/>
      <c r="F505" s="1250"/>
      <c r="G505" s="1250"/>
      <c r="H505" s="1250"/>
      <c r="I505" s="1250"/>
      <c r="J505" s="1250"/>
      <c r="K505" s="1250"/>
      <c r="L505" s="550"/>
      <c r="M505" s="550"/>
      <c r="N505" s="550"/>
      <c r="O505" s="550"/>
      <c r="P505" s="550"/>
      <c r="Q505" s="550"/>
      <c r="R505" s="550"/>
    </row>
    <row r="507" spans="1:18">
      <c r="A507" s="1297" t="s">
        <v>1</v>
      </c>
      <c r="B507" s="1298" t="s">
        <v>49</v>
      </c>
      <c r="C507" s="1299"/>
      <c r="D507" s="1299"/>
      <c r="E507" s="1299"/>
      <c r="F507" s="1300"/>
      <c r="G507" s="1304" t="s">
        <v>1993</v>
      </c>
      <c r="H507" s="1304" t="s">
        <v>2248</v>
      </c>
      <c r="I507" s="1304"/>
      <c r="J507" s="1304"/>
      <c r="K507" s="1304"/>
      <c r="L507" s="1304"/>
      <c r="M507" s="1304"/>
      <c r="N507" s="1304"/>
      <c r="O507" s="1304"/>
      <c r="P507" s="1304"/>
      <c r="Q507" s="1304"/>
      <c r="R507" s="1296" t="s">
        <v>2249</v>
      </c>
    </row>
    <row r="508" spans="1:18" ht="51">
      <c r="A508" s="1297"/>
      <c r="B508" s="1301"/>
      <c r="C508" s="1302"/>
      <c r="D508" s="1302"/>
      <c r="E508" s="1302"/>
      <c r="F508" s="1303"/>
      <c r="G508" s="1304"/>
      <c r="H508" s="529" t="s">
        <v>2250</v>
      </c>
      <c r="I508" s="529" t="s">
        <v>2251</v>
      </c>
      <c r="J508" s="529" t="s">
        <v>2252</v>
      </c>
      <c r="K508" s="529" t="s">
        <v>2253</v>
      </c>
      <c r="L508" s="529" t="s">
        <v>2254</v>
      </c>
      <c r="M508" s="529" t="s">
        <v>2255</v>
      </c>
      <c r="N508" s="529" t="s">
        <v>2256</v>
      </c>
      <c r="O508" s="529" t="s">
        <v>2257</v>
      </c>
      <c r="P508" s="529" t="s">
        <v>2258</v>
      </c>
      <c r="Q508" s="529" t="s">
        <v>5</v>
      </c>
      <c r="R508" s="1296"/>
    </row>
    <row r="509" spans="1:18">
      <c r="A509" s="533">
        <v>1</v>
      </c>
      <c r="B509" s="1284" t="s">
        <v>2259</v>
      </c>
      <c r="C509" s="1285"/>
      <c r="D509" s="1285"/>
      <c r="E509" s="1285"/>
      <c r="F509" s="1286"/>
      <c r="G509" s="527"/>
      <c r="H509" s="527"/>
      <c r="I509" s="527"/>
      <c r="J509" s="527"/>
      <c r="K509" s="527"/>
      <c r="L509" s="527"/>
      <c r="M509" s="527"/>
      <c r="N509" s="527"/>
      <c r="O509" s="527"/>
      <c r="P509" s="527"/>
      <c r="Q509" s="527"/>
      <c r="R509" s="527"/>
    </row>
    <row r="510" spans="1:18">
      <c r="A510" s="531">
        <v>1.1000000000000001</v>
      </c>
      <c r="B510" s="1234" t="s">
        <v>654</v>
      </c>
      <c r="C510" s="1235"/>
      <c r="D510" s="1235"/>
      <c r="E510" s="1235"/>
      <c r="F510" s="1236"/>
      <c r="G510" s="527"/>
      <c r="H510" s="527"/>
      <c r="I510" s="527"/>
      <c r="J510" s="527"/>
      <c r="K510" s="527"/>
      <c r="L510" s="527"/>
      <c r="M510" s="527"/>
      <c r="N510" s="527"/>
      <c r="O510" s="527"/>
      <c r="P510" s="527"/>
      <c r="Q510" s="527"/>
      <c r="R510" s="527"/>
    </row>
    <row r="511" spans="1:18">
      <c r="A511" s="531">
        <v>1.2</v>
      </c>
      <c r="B511" s="1234" t="s">
        <v>658</v>
      </c>
      <c r="C511" s="1235"/>
      <c r="D511" s="1235"/>
      <c r="E511" s="1235"/>
      <c r="F511" s="1236"/>
      <c r="G511" s="527"/>
      <c r="H511" s="527"/>
      <c r="I511" s="527"/>
      <c r="J511" s="527"/>
      <c r="K511" s="527"/>
      <c r="L511" s="527"/>
      <c r="M511" s="527"/>
      <c r="N511" s="527"/>
      <c r="O511" s="527"/>
      <c r="P511" s="527"/>
      <c r="Q511" s="527"/>
      <c r="R511" s="527"/>
    </row>
    <row r="512" spans="1:18">
      <c r="A512" s="531" t="s">
        <v>78</v>
      </c>
      <c r="B512" s="1234" t="s">
        <v>2260</v>
      </c>
      <c r="C512" s="1235"/>
      <c r="D512" s="1235"/>
      <c r="E512" s="1235"/>
      <c r="F512" s="1236"/>
      <c r="G512" s="527"/>
      <c r="H512" s="527"/>
      <c r="I512" s="527"/>
      <c r="J512" s="527"/>
      <c r="K512" s="527"/>
      <c r="L512" s="527"/>
      <c r="M512" s="527"/>
      <c r="N512" s="527"/>
      <c r="O512" s="527"/>
      <c r="P512" s="527"/>
      <c r="Q512" s="527"/>
      <c r="R512" s="527"/>
    </row>
    <row r="513" spans="1:18">
      <c r="A513" s="531" t="s">
        <v>80</v>
      </c>
      <c r="B513" s="525"/>
      <c r="C513" s="517"/>
      <c r="D513" s="1235" t="s">
        <v>2261</v>
      </c>
      <c r="E513" s="1235"/>
      <c r="F513" s="1236"/>
      <c r="G513" s="527"/>
      <c r="H513" s="527"/>
      <c r="I513" s="527"/>
      <c r="J513" s="527"/>
      <c r="K513" s="527"/>
      <c r="L513" s="527"/>
      <c r="M513" s="527"/>
      <c r="N513" s="527"/>
      <c r="O513" s="527"/>
      <c r="P513" s="527"/>
      <c r="Q513" s="527"/>
      <c r="R513" s="527"/>
    </row>
    <row r="514" spans="1:18">
      <c r="A514" s="531">
        <v>1.3</v>
      </c>
      <c r="B514" s="525" t="s">
        <v>2047</v>
      </c>
      <c r="C514" s="517"/>
      <c r="D514" s="517"/>
      <c r="E514" s="517"/>
      <c r="F514" s="528"/>
      <c r="G514" s="527"/>
      <c r="H514" s="527"/>
      <c r="I514" s="527"/>
      <c r="J514" s="527"/>
      <c r="K514" s="527"/>
      <c r="L514" s="527"/>
      <c r="M514" s="527"/>
      <c r="N514" s="527"/>
      <c r="O514" s="527"/>
      <c r="P514" s="527"/>
      <c r="Q514" s="527"/>
      <c r="R514" s="527"/>
    </row>
    <row r="515" spans="1:18">
      <c r="A515" s="531">
        <v>1.4</v>
      </c>
      <c r="B515" s="525" t="s">
        <v>2048</v>
      </c>
      <c r="C515" s="517"/>
      <c r="D515" s="517"/>
      <c r="E515" s="517"/>
      <c r="F515" s="528"/>
      <c r="G515" s="527"/>
      <c r="H515" s="527"/>
      <c r="I515" s="527"/>
      <c r="J515" s="527"/>
      <c r="K515" s="527"/>
      <c r="L515" s="527"/>
      <c r="M515" s="527"/>
      <c r="N515" s="527"/>
      <c r="O515" s="527"/>
      <c r="P515" s="527"/>
      <c r="Q515" s="527"/>
      <c r="R515" s="527"/>
    </row>
    <row r="516" spans="1:18">
      <c r="A516" s="531">
        <v>1.5</v>
      </c>
      <c r="B516" s="525" t="s">
        <v>2049</v>
      </c>
      <c r="C516" s="517"/>
      <c r="D516" s="517"/>
      <c r="E516" s="517"/>
      <c r="F516" s="528"/>
      <c r="G516" s="527"/>
      <c r="H516" s="527"/>
      <c r="I516" s="527"/>
      <c r="J516" s="527"/>
      <c r="K516" s="527"/>
      <c r="L516" s="527"/>
      <c r="M516" s="527"/>
      <c r="N516" s="527"/>
      <c r="O516" s="527"/>
      <c r="P516" s="527"/>
      <c r="Q516" s="527"/>
      <c r="R516" s="527"/>
    </row>
    <row r="517" spans="1:18">
      <c r="A517" s="531">
        <v>1.6</v>
      </c>
      <c r="B517" s="525" t="s">
        <v>2050</v>
      </c>
      <c r="C517" s="517"/>
      <c r="D517" s="517"/>
      <c r="E517" s="517"/>
      <c r="F517" s="528"/>
      <c r="G517" s="527"/>
      <c r="H517" s="527"/>
      <c r="I517" s="527"/>
      <c r="J517" s="527"/>
      <c r="K517" s="527"/>
      <c r="L517" s="527"/>
      <c r="M517" s="527"/>
      <c r="N517" s="527"/>
      <c r="O517" s="527"/>
      <c r="P517" s="527"/>
      <c r="Q517" s="527"/>
      <c r="R517" s="527"/>
    </row>
    <row r="518" spans="1:18">
      <c r="A518" s="531">
        <v>1.7</v>
      </c>
      <c r="B518" s="525" t="s">
        <v>2262</v>
      </c>
      <c r="C518" s="517"/>
      <c r="D518" s="517"/>
      <c r="E518" s="517"/>
      <c r="F518" s="528"/>
      <c r="G518" s="527"/>
      <c r="H518" s="527"/>
      <c r="I518" s="527"/>
      <c r="J518" s="527"/>
      <c r="K518" s="527"/>
      <c r="L518" s="527"/>
      <c r="M518" s="527"/>
      <c r="N518" s="527"/>
      <c r="O518" s="527"/>
      <c r="P518" s="527"/>
      <c r="Q518" s="527"/>
      <c r="R518" s="527"/>
    </row>
    <row r="519" spans="1:18">
      <c r="A519" s="531">
        <v>1.8</v>
      </c>
      <c r="B519" s="525" t="s">
        <v>2263</v>
      </c>
      <c r="C519" s="517"/>
      <c r="D519" s="517"/>
      <c r="E519" s="517"/>
      <c r="F519" s="528"/>
      <c r="G519" s="527"/>
      <c r="H519" s="527"/>
      <c r="I519" s="527"/>
      <c r="J519" s="527"/>
      <c r="K519" s="527"/>
      <c r="L519" s="527"/>
      <c r="M519" s="527"/>
      <c r="N519" s="527"/>
      <c r="O519" s="527"/>
      <c r="P519" s="527"/>
      <c r="Q519" s="527"/>
      <c r="R519" s="527"/>
    </row>
    <row r="520" spans="1:18">
      <c r="A520" s="531">
        <v>1.9</v>
      </c>
      <c r="B520" s="525" t="s">
        <v>2264</v>
      </c>
      <c r="C520" s="517"/>
      <c r="D520" s="517"/>
      <c r="E520" s="517"/>
      <c r="F520" s="528"/>
      <c r="G520" s="527"/>
      <c r="H520" s="527"/>
      <c r="I520" s="527"/>
      <c r="J520" s="527"/>
      <c r="K520" s="527"/>
      <c r="L520" s="527"/>
      <c r="M520" s="527"/>
      <c r="N520" s="527"/>
      <c r="O520" s="527"/>
      <c r="P520" s="527"/>
      <c r="Q520" s="527"/>
      <c r="R520" s="527"/>
    </row>
    <row r="521" spans="1:18">
      <c r="A521" s="551">
        <v>1.1000000000000001</v>
      </c>
      <c r="B521" s="552" t="s">
        <v>2265</v>
      </c>
      <c r="C521" s="517"/>
      <c r="D521" s="517"/>
      <c r="E521" s="517"/>
      <c r="F521" s="528"/>
      <c r="G521" s="527"/>
      <c r="H521" s="527"/>
      <c r="I521" s="527"/>
      <c r="J521" s="527"/>
      <c r="K521" s="527"/>
      <c r="L521" s="527"/>
      <c r="M521" s="527"/>
      <c r="N521" s="527"/>
      <c r="O521" s="527"/>
      <c r="P521" s="527"/>
      <c r="Q521" s="527"/>
      <c r="R521" s="527"/>
    </row>
    <row r="522" spans="1:18">
      <c r="A522" s="533">
        <v>2</v>
      </c>
      <c r="B522" s="1284" t="s">
        <v>2259</v>
      </c>
      <c r="C522" s="1285"/>
      <c r="D522" s="1285"/>
      <c r="E522" s="1285"/>
      <c r="F522" s="1286"/>
      <c r="G522" s="527"/>
      <c r="H522" s="527"/>
      <c r="I522" s="527"/>
      <c r="J522" s="527"/>
      <c r="K522" s="527"/>
      <c r="L522" s="527"/>
      <c r="M522" s="527"/>
      <c r="N522" s="527"/>
      <c r="O522" s="527"/>
      <c r="P522" s="527"/>
      <c r="Q522" s="527"/>
      <c r="R522" s="527"/>
    </row>
    <row r="523" spans="1:18">
      <c r="A523" s="531">
        <v>2.1</v>
      </c>
      <c r="B523" s="1234" t="s">
        <v>2266</v>
      </c>
      <c r="C523" s="1235"/>
      <c r="D523" s="1235"/>
      <c r="E523" s="1235"/>
      <c r="F523" s="1236"/>
      <c r="G523" s="527"/>
      <c r="H523" s="527"/>
      <c r="I523" s="527"/>
      <c r="J523" s="527"/>
      <c r="K523" s="527"/>
      <c r="L523" s="527"/>
      <c r="M523" s="527"/>
      <c r="N523" s="527"/>
      <c r="O523" s="527"/>
      <c r="P523" s="527"/>
      <c r="Q523" s="527"/>
      <c r="R523" s="527"/>
    </row>
    <row r="524" spans="1:18">
      <c r="A524" s="531">
        <v>2.2000000000000002</v>
      </c>
      <c r="B524" s="1234" t="s">
        <v>2267</v>
      </c>
      <c r="C524" s="1235"/>
      <c r="D524" s="1235"/>
      <c r="E524" s="1235"/>
      <c r="F524" s="1236"/>
      <c r="G524" s="527"/>
      <c r="H524" s="527"/>
      <c r="I524" s="527"/>
      <c r="J524" s="527"/>
      <c r="K524" s="527"/>
      <c r="L524" s="527"/>
      <c r="M524" s="527"/>
      <c r="N524" s="527"/>
      <c r="O524" s="527"/>
      <c r="P524" s="527"/>
      <c r="Q524" s="527"/>
      <c r="R524" s="527"/>
    </row>
    <row r="525" spans="1:18">
      <c r="A525" s="531" t="s">
        <v>224</v>
      </c>
      <c r="B525" s="1237" t="s">
        <v>2268</v>
      </c>
      <c r="C525" s="1260"/>
      <c r="D525" s="1260"/>
      <c r="E525" s="1260"/>
      <c r="F525" s="1238"/>
      <c r="G525" s="527"/>
      <c r="H525" s="527"/>
      <c r="I525" s="527"/>
      <c r="J525" s="527"/>
      <c r="K525" s="527"/>
      <c r="L525" s="527"/>
      <c r="M525" s="527"/>
      <c r="N525" s="527"/>
      <c r="O525" s="527"/>
      <c r="P525" s="527"/>
      <c r="Q525" s="527"/>
      <c r="R525" s="527"/>
    </row>
    <row r="526" spans="1:18" ht="15" customHeight="1">
      <c r="A526" s="531" t="s">
        <v>226</v>
      </c>
      <c r="B526" s="1237" t="s">
        <v>2269</v>
      </c>
      <c r="C526" s="1260"/>
      <c r="D526" s="1260"/>
      <c r="E526" s="1260"/>
      <c r="F526" s="1238"/>
      <c r="G526" s="527"/>
      <c r="H526" s="527"/>
      <c r="I526" s="527"/>
      <c r="J526" s="527"/>
      <c r="K526" s="527"/>
      <c r="L526" s="527"/>
      <c r="M526" s="527"/>
      <c r="N526" s="527"/>
      <c r="O526" s="527"/>
      <c r="P526" s="527"/>
      <c r="Q526" s="527"/>
      <c r="R526" s="527"/>
    </row>
    <row r="527" spans="1:18">
      <c r="A527" s="531">
        <v>2.2999999999999998</v>
      </c>
      <c r="B527" s="1234" t="s">
        <v>724</v>
      </c>
      <c r="C527" s="1235"/>
      <c r="D527" s="1235"/>
      <c r="E527" s="1235"/>
      <c r="F527" s="1236"/>
      <c r="G527" s="527"/>
      <c r="H527" s="527"/>
      <c r="I527" s="527"/>
      <c r="J527" s="527"/>
      <c r="K527" s="527"/>
      <c r="L527" s="527"/>
      <c r="M527" s="527"/>
      <c r="N527" s="527"/>
      <c r="O527" s="527"/>
      <c r="P527" s="527"/>
      <c r="Q527" s="527"/>
      <c r="R527" s="527"/>
    </row>
    <row r="528" spans="1:18">
      <c r="A528" s="531">
        <v>2.4</v>
      </c>
      <c r="B528" s="1234" t="s">
        <v>2270</v>
      </c>
      <c r="C528" s="1235"/>
      <c r="D528" s="1235"/>
      <c r="E528" s="1235"/>
      <c r="F528" s="1236"/>
      <c r="G528" s="527"/>
      <c r="H528" s="527"/>
      <c r="I528" s="527"/>
      <c r="J528" s="527"/>
      <c r="K528" s="527"/>
      <c r="L528" s="527"/>
      <c r="M528" s="527"/>
      <c r="N528" s="527"/>
      <c r="O528" s="527"/>
      <c r="P528" s="527"/>
      <c r="Q528" s="527"/>
      <c r="R528" s="527"/>
    </row>
    <row r="529" spans="1:18">
      <c r="A529" s="531">
        <v>2.5</v>
      </c>
      <c r="B529" s="1234" t="s">
        <v>2271</v>
      </c>
      <c r="C529" s="1235"/>
      <c r="D529" s="1235"/>
      <c r="E529" s="1235"/>
      <c r="F529" s="1236"/>
      <c r="G529" s="527"/>
      <c r="H529" s="527"/>
      <c r="I529" s="527"/>
      <c r="J529" s="527"/>
      <c r="K529" s="527"/>
      <c r="L529" s="527"/>
      <c r="M529" s="527"/>
      <c r="N529" s="527"/>
      <c r="O529" s="527"/>
      <c r="P529" s="527"/>
      <c r="Q529" s="527"/>
      <c r="R529" s="527"/>
    </row>
    <row r="530" spans="1:18">
      <c r="A530" s="531">
        <v>2.6</v>
      </c>
      <c r="B530" s="1234" t="s">
        <v>992</v>
      </c>
      <c r="C530" s="1235"/>
      <c r="D530" s="1235"/>
      <c r="E530" s="1235"/>
      <c r="F530" s="1236"/>
      <c r="G530" s="527"/>
      <c r="H530" s="527"/>
      <c r="I530" s="527"/>
      <c r="J530" s="527"/>
      <c r="K530" s="527"/>
      <c r="L530" s="527"/>
      <c r="M530" s="527"/>
      <c r="N530" s="527"/>
      <c r="O530" s="527"/>
      <c r="P530" s="527"/>
      <c r="Q530" s="527"/>
      <c r="R530" s="527"/>
    </row>
    <row r="531" spans="1:18">
      <c r="A531" s="531">
        <v>2.7</v>
      </c>
      <c r="B531" s="1234" t="s">
        <v>2077</v>
      </c>
      <c r="C531" s="1235"/>
      <c r="D531" s="1235"/>
      <c r="E531" s="1235"/>
      <c r="F531" s="1236"/>
      <c r="G531" s="527"/>
      <c r="H531" s="527"/>
      <c r="I531" s="527"/>
      <c r="J531" s="527"/>
      <c r="K531" s="527"/>
      <c r="L531" s="527"/>
      <c r="M531" s="527"/>
      <c r="N531" s="527"/>
      <c r="O531" s="527"/>
      <c r="P531" s="527"/>
      <c r="Q531" s="527"/>
      <c r="R531" s="527"/>
    </row>
    <row r="532" spans="1:18" ht="26.25" customHeight="1">
      <c r="A532" s="553" t="s">
        <v>2272</v>
      </c>
      <c r="B532" s="1245" t="s">
        <v>2273</v>
      </c>
      <c r="C532" s="1245"/>
      <c r="D532" s="1245"/>
      <c r="E532" s="1245"/>
      <c r="F532" s="1245"/>
      <c r="G532" s="527"/>
      <c r="H532" s="527"/>
      <c r="I532" s="527"/>
      <c r="J532" s="527"/>
      <c r="K532" s="527"/>
      <c r="L532" s="527"/>
      <c r="M532" s="527"/>
      <c r="N532" s="527"/>
      <c r="O532" s="527"/>
      <c r="P532" s="527"/>
      <c r="Q532" s="527"/>
      <c r="R532" s="527"/>
    </row>
    <row r="533" spans="1:18">
      <c r="A533" s="549">
        <v>2.8</v>
      </c>
      <c r="B533" s="1284" t="s">
        <v>2274</v>
      </c>
      <c r="C533" s="1285"/>
      <c r="D533" s="1285"/>
      <c r="E533" s="1285"/>
      <c r="F533" s="1286"/>
      <c r="G533" s="527"/>
      <c r="H533" s="527"/>
      <c r="I533" s="527"/>
      <c r="J533" s="527"/>
      <c r="K533" s="527"/>
      <c r="L533" s="527"/>
      <c r="M533" s="527"/>
      <c r="N533" s="527"/>
      <c r="O533" s="527"/>
      <c r="P533" s="527"/>
      <c r="Q533" s="527"/>
      <c r="R533" s="527"/>
    </row>
    <row r="534" spans="1:18">
      <c r="A534" s="533">
        <v>3</v>
      </c>
      <c r="B534" s="1284" t="s">
        <v>2275</v>
      </c>
      <c r="C534" s="1285"/>
      <c r="D534" s="1285"/>
      <c r="E534" s="1285"/>
      <c r="F534" s="1286"/>
      <c r="G534" s="527"/>
      <c r="H534" s="527"/>
      <c r="I534" s="527"/>
      <c r="J534" s="527"/>
      <c r="K534" s="527"/>
      <c r="L534" s="527"/>
      <c r="M534" s="527"/>
      <c r="N534" s="527"/>
      <c r="O534" s="527"/>
      <c r="P534" s="527"/>
      <c r="Q534" s="527"/>
      <c r="R534" s="527"/>
    </row>
    <row r="535" spans="1:18">
      <c r="A535" s="531">
        <v>3.1</v>
      </c>
      <c r="B535" s="1234" t="s">
        <v>2276</v>
      </c>
      <c r="C535" s="1235"/>
      <c r="D535" s="1235"/>
      <c r="E535" s="1235"/>
      <c r="F535" s="1236"/>
      <c r="G535" s="527"/>
      <c r="H535" s="527"/>
      <c r="I535" s="527"/>
      <c r="J535" s="527"/>
      <c r="K535" s="527"/>
      <c r="L535" s="527"/>
      <c r="M535" s="527"/>
      <c r="N535" s="527"/>
      <c r="O535" s="527"/>
      <c r="P535" s="527"/>
      <c r="Q535" s="527"/>
      <c r="R535" s="527"/>
    </row>
    <row r="536" spans="1:18">
      <c r="A536" s="531">
        <v>3.2</v>
      </c>
      <c r="B536" s="1234" t="s">
        <v>2259</v>
      </c>
      <c r="C536" s="1235"/>
      <c r="D536" s="1235"/>
      <c r="E536" s="1235"/>
      <c r="F536" s="1236"/>
      <c r="G536" s="527"/>
      <c r="H536" s="527"/>
      <c r="I536" s="527"/>
      <c r="J536" s="527"/>
      <c r="K536" s="527"/>
      <c r="L536" s="527"/>
      <c r="M536" s="527"/>
      <c r="N536" s="527"/>
      <c r="O536" s="527"/>
      <c r="P536" s="527"/>
      <c r="Q536" s="527"/>
      <c r="R536" s="527"/>
    </row>
    <row r="537" spans="1:18">
      <c r="A537" s="533">
        <v>4</v>
      </c>
      <c r="B537" s="1284" t="s">
        <v>1998</v>
      </c>
      <c r="C537" s="1285"/>
      <c r="D537" s="1285"/>
      <c r="E537" s="1285"/>
      <c r="F537" s="1286"/>
      <c r="G537" s="527"/>
      <c r="H537" s="527"/>
      <c r="I537" s="527"/>
      <c r="J537" s="527"/>
      <c r="K537" s="527"/>
      <c r="L537" s="527"/>
      <c r="M537" s="527"/>
      <c r="N537" s="527"/>
      <c r="O537" s="527"/>
      <c r="P537" s="527"/>
      <c r="Q537" s="527"/>
      <c r="R537" s="527"/>
    </row>
  </sheetData>
  <mergeCells count="574">
    <mergeCell ref="J270:K270"/>
    <mergeCell ref="J271:K271"/>
    <mergeCell ref="J272:K272"/>
    <mergeCell ref="J273:K273"/>
    <mergeCell ref="H364:I364"/>
    <mergeCell ref="A302:K302"/>
    <mergeCell ref="A307:A308"/>
    <mergeCell ref="B307:G308"/>
    <mergeCell ref="H307:I307"/>
    <mergeCell ref="J307:K307"/>
    <mergeCell ref="B309:G309"/>
    <mergeCell ref="B299:G299"/>
    <mergeCell ref="H299:I299"/>
    <mergeCell ref="J299:K299"/>
    <mergeCell ref="B300:G300"/>
    <mergeCell ref="H300:I300"/>
    <mergeCell ref="B349:G349"/>
    <mergeCell ref="A353:K353"/>
    <mergeCell ref="A359:K359"/>
    <mergeCell ref="B361:G361"/>
    <mergeCell ref="H361:I361"/>
    <mergeCell ref="J361:K361"/>
    <mergeCell ref="B342:F342"/>
    <mergeCell ref="H342:I342"/>
    <mergeCell ref="B534:F534"/>
    <mergeCell ref="B535:F535"/>
    <mergeCell ref="B536:F536"/>
    <mergeCell ref="B537:F537"/>
    <mergeCell ref="H273:I273"/>
    <mergeCell ref="H272:I272"/>
    <mergeCell ref="H271:I271"/>
    <mergeCell ref="H270:I270"/>
    <mergeCell ref="H365:I365"/>
    <mergeCell ref="B528:F528"/>
    <mergeCell ref="B529:F529"/>
    <mergeCell ref="B530:F530"/>
    <mergeCell ref="B531:F531"/>
    <mergeCell ref="B532:F532"/>
    <mergeCell ref="B533:F533"/>
    <mergeCell ref="B522:F522"/>
    <mergeCell ref="B523:F523"/>
    <mergeCell ref="B524:F524"/>
    <mergeCell ref="B525:F525"/>
    <mergeCell ref="B526:F526"/>
    <mergeCell ref="B527:F527"/>
    <mergeCell ref="B487:E487"/>
    <mergeCell ref="F487:G487"/>
    <mergeCell ref="H487:I487"/>
    <mergeCell ref="R507:R508"/>
    <mergeCell ref="B509:F509"/>
    <mergeCell ref="B510:F510"/>
    <mergeCell ref="B511:F511"/>
    <mergeCell ref="B512:F512"/>
    <mergeCell ref="D513:F513"/>
    <mergeCell ref="A490:K490"/>
    <mergeCell ref="A492:K492"/>
    <mergeCell ref="A497:K497"/>
    <mergeCell ref="A499:K499"/>
    <mergeCell ref="A505:K505"/>
    <mergeCell ref="A507:A508"/>
    <mergeCell ref="B507:F508"/>
    <mergeCell ref="G507:G508"/>
    <mergeCell ref="H507:Q507"/>
    <mergeCell ref="J487:K487"/>
    <mergeCell ref="B488:E488"/>
    <mergeCell ref="F488:G488"/>
    <mergeCell ref="H488:I488"/>
    <mergeCell ref="J488:K488"/>
    <mergeCell ref="B482:G482"/>
    <mergeCell ref="H482:I482"/>
    <mergeCell ref="J482:K482"/>
    <mergeCell ref="B486:E486"/>
    <mergeCell ref="F486:G486"/>
    <mergeCell ref="H486:I486"/>
    <mergeCell ref="J486:K486"/>
    <mergeCell ref="B478:G478"/>
    <mergeCell ref="H478:I478"/>
    <mergeCell ref="J478:K478"/>
    <mergeCell ref="B479:G479"/>
    <mergeCell ref="B480:G480"/>
    <mergeCell ref="B481:G481"/>
    <mergeCell ref="H481:I481"/>
    <mergeCell ref="J481:K481"/>
    <mergeCell ref="B470:G470"/>
    <mergeCell ref="B471:G471"/>
    <mergeCell ref="A474:K474"/>
    <mergeCell ref="A475:K475"/>
    <mergeCell ref="B477:G477"/>
    <mergeCell ref="H477:I477"/>
    <mergeCell ref="J477:K477"/>
    <mergeCell ref="B457:G457"/>
    <mergeCell ref="H457:I457"/>
    <mergeCell ref="J457:K457"/>
    <mergeCell ref="A459:K459"/>
    <mergeCell ref="A467:K467"/>
    <mergeCell ref="B469:G469"/>
    <mergeCell ref="B455:G455"/>
    <mergeCell ref="H455:I455"/>
    <mergeCell ref="J455:K455"/>
    <mergeCell ref="B456:G456"/>
    <mergeCell ref="H456:I456"/>
    <mergeCell ref="J456:K456"/>
    <mergeCell ref="B449:F449"/>
    <mergeCell ref="B450:F450"/>
    <mergeCell ref="A452:K452"/>
    <mergeCell ref="B454:G454"/>
    <mergeCell ref="H454:I454"/>
    <mergeCell ref="J454:K454"/>
    <mergeCell ref="B446:F446"/>
    <mergeCell ref="H446:I446"/>
    <mergeCell ref="J446:K446"/>
    <mergeCell ref="B447:F447"/>
    <mergeCell ref="H447:I447"/>
    <mergeCell ref="J447:K447"/>
    <mergeCell ref="B444:F444"/>
    <mergeCell ref="H444:I444"/>
    <mergeCell ref="J444:K444"/>
    <mergeCell ref="B445:F445"/>
    <mergeCell ref="H445:I445"/>
    <mergeCell ref="J445:K445"/>
    <mergeCell ref="B439:G439"/>
    <mergeCell ref="H439:I439"/>
    <mergeCell ref="J439:K439"/>
    <mergeCell ref="A442:A443"/>
    <mergeCell ref="B442:F443"/>
    <mergeCell ref="G442:G443"/>
    <mergeCell ref="H442:K442"/>
    <mergeCell ref="H443:I443"/>
    <mergeCell ref="J443:K443"/>
    <mergeCell ref="J434:K434"/>
    <mergeCell ref="B435:G435"/>
    <mergeCell ref="H435:I435"/>
    <mergeCell ref="J435:K435"/>
    <mergeCell ref="B438:G438"/>
    <mergeCell ref="H438:I438"/>
    <mergeCell ref="J438:K438"/>
    <mergeCell ref="B428:G428"/>
    <mergeCell ref="B429:G429"/>
    <mergeCell ref="B430:G430"/>
    <mergeCell ref="B431:G431"/>
    <mergeCell ref="B434:G434"/>
    <mergeCell ref="H434:I434"/>
    <mergeCell ref="B422:G422"/>
    <mergeCell ref="B423:G423"/>
    <mergeCell ref="B424:G424"/>
    <mergeCell ref="B425:G425"/>
    <mergeCell ref="B426:G426"/>
    <mergeCell ref="B427:G427"/>
    <mergeCell ref="B416:G416"/>
    <mergeCell ref="B417:G417"/>
    <mergeCell ref="B418:G418"/>
    <mergeCell ref="B419:G419"/>
    <mergeCell ref="B420:G420"/>
    <mergeCell ref="B421:G421"/>
    <mergeCell ref="B410:G410"/>
    <mergeCell ref="B411:G411"/>
    <mergeCell ref="B412:G412"/>
    <mergeCell ref="B413:G413"/>
    <mergeCell ref="B414:G414"/>
    <mergeCell ref="B415:G415"/>
    <mergeCell ref="A404:K404"/>
    <mergeCell ref="A407:A408"/>
    <mergeCell ref="B407:G408"/>
    <mergeCell ref="H407:I407"/>
    <mergeCell ref="J407:K407"/>
    <mergeCell ref="B409:G409"/>
    <mergeCell ref="B401:G401"/>
    <mergeCell ref="H401:I401"/>
    <mergeCell ref="J401:K401"/>
    <mergeCell ref="B402:G402"/>
    <mergeCell ref="H402:I402"/>
    <mergeCell ref="J402:K402"/>
    <mergeCell ref="B397:G397"/>
    <mergeCell ref="H397:I397"/>
    <mergeCell ref="J397:K397"/>
    <mergeCell ref="B398:G398"/>
    <mergeCell ref="B399:G399"/>
    <mergeCell ref="B400:G400"/>
    <mergeCell ref="H400:I400"/>
    <mergeCell ref="J400:K400"/>
    <mergeCell ref="B393:G393"/>
    <mergeCell ref="H393:I393"/>
    <mergeCell ref="J393:K393"/>
    <mergeCell ref="B394:G394"/>
    <mergeCell ref="H394:I394"/>
    <mergeCell ref="J394:K394"/>
    <mergeCell ref="B389:G389"/>
    <mergeCell ref="H389:I389"/>
    <mergeCell ref="J389:K389"/>
    <mergeCell ref="B390:G390"/>
    <mergeCell ref="B391:G391"/>
    <mergeCell ref="B392:G392"/>
    <mergeCell ref="H392:I392"/>
    <mergeCell ref="J392:K392"/>
    <mergeCell ref="B385:G385"/>
    <mergeCell ref="H385:I385"/>
    <mergeCell ref="J385:K385"/>
    <mergeCell ref="B386:G386"/>
    <mergeCell ref="H386:I386"/>
    <mergeCell ref="J386:K386"/>
    <mergeCell ref="B384:G384"/>
    <mergeCell ref="H384:I384"/>
    <mergeCell ref="J384:K384"/>
    <mergeCell ref="B375:G375"/>
    <mergeCell ref="H375:I375"/>
    <mergeCell ref="J375:K375"/>
    <mergeCell ref="A377:K377"/>
    <mergeCell ref="A378:K378"/>
    <mergeCell ref="A380:K380"/>
    <mergeCell ref="A373:A374"/>
    <mergeCell ref="B373:G373"/>
    <mergeCell ref="H373:I373"/>
    <mergeCell ref="J373:K373"/>
    <mergeCell ref="B374:G374"/>
    <mergeCell ref="H374:I374"/>
    <mergeCell ref="J374:K374"/>
    <mergeCell ref="B383:G383"/>
    <mergeCell ref="H383:I383"/>
    <mergeCell ref="J383:K383"/>
    <mergeCell ref="B370:G370"/>
    <mergeCell ref="H370:I370"/>
    <mergeCell ref="J370:K370"/>
    <mergeCell ref="A371:A372"/>
    <mergeCell ref="B371:G371"/>
    <mergeCell ref="H371:I371"/>
    <mergeCell ref="J371:K371"/>
    <mergeCell ref="B372:G372"/>
    <mergeCell ref="H372:I372"/>
    <mergeCell ref="J372:K372"/>
    <mergeCell ref="A365:A366"/>
    <mergeCell ref="B365:G365"/>
    <mergeCell ref="B366:G366"/>
    <mergeCell ref="B367:G367"/>
    <mergeCell ref="B368:G368"/>
    <mergeCell ref="B369:G369"/>
    <mergeCell ref="B362:G362"/>
    <mergeCell ref="H362:I362"/>
    <mergeCell ref="J362:K362"/>
    <mergeCell ref="A363:A364"/>
    <mergeCell ref="B363:G363"/>
    <mergeCell ref="H363:I363"/>
    <mergeCell ref="J363:K363"/>
    <mergeCell ref="B364:G364"/>
    <mergeCell ref="H369:I369"/>
    <mergeCell ref="J369:K369"/>
    <mergeCell ref="H366:I366"/>
    <mergeCell ref="H367:I367"/>
    <mergeCell ref="H368:I368"/>
    <mergeCell ref="J364:K364"/>
    <mergeCell ref="J365:K365"/>
    <mergeCell ref="J366:K366"/>
    <mergeCell ref="J367:K367"/>
    <mergeCell ref="J368:K368"/>
    <mergeCell ref="J342:K342"/>
    <mergeCell ref="B345:G345"/>
    <mergeCell ref="B346:G346"/>
    <mergeCell ref="B347:G347"/>
    <mergeCell ref="B340:F340"/>
    <mergeCell ref="H340:I340"/>
    <mergeCell ref="J340:K340"/>
    <mergeCell ref="B341:F341"/>
    <mergeCell ref="H341:I341"/>
    <mergeCell ref="J341:K341"/>
    <mergeCell ref="B338:F338"/>
    <mergeCell ref="H338:I338"/>
    <mergeCell ref="J338:K338"/>
    <mergeCell ref="B339:F339"/>
    <mergeCell ref="H339:I339"/>
    <mergeCell ref="J339:K339"/>
    <mergeCell ref="B336:F336"/>
    <mergeCell ref="H336:I336"/>
    <mergeCell ref="J336:K336"/>
    <mergeCell ref="B337:F337"/>
    <mergeCell ref="H337:I337"/>
    <mergeCell ref="J337:K337"/>
    <mergeCell ref="B334:F334"/>
    <mergeCell ref="H334:I334"/>
    <mergeCell ref="J334:K334"/>
    <mergeCell ref="B335:F335"/>
    <mergeCell ref="H335:I335"/>
    <mergeCell ref="J335:K335"/>
    <mergeCell ref="B326:F326"/>
    <mergeCell ref="B327:F327"/>
    <mergeCell ref="B330:F330"/>
    <mergeCell ref="B333:F333"/>
    <mergeCell ref="H333:I333"/>
    <mergeCell ref="J333:K333"/>
    <mergeCell ref="A310:A312"/>
    <mergeCell ref="B313:G313"/>
    <mergeCell ref="B314:G314"/>
    <mergeCell ref="A316:K316"/>
    <mergeCell ref="A322:K322"/>
    <mergeCell ref="B325:F325"/>
    <mergeCell ref="G325:H325"/>
    <mergeCell ref="I325:J325"/>
    <mergeCell ref="J300:K300"/>
    <mergeCell ref="A292:K292"/>
    <mergeCell ref="B297:G297"/>
    <mergeCell ref="H297:I297"/>
    <mergeCell ref="J297:K297"/>
    <mergeCell ref="B298:G298"/>
    <mergeCell ref="H298:I298"/>
    <mergeCell ref="J298:K298"/>
    <mergeCell ref="B283:G283"/>
    <mergeCell ref="B286:F286"/>
    <mergeCell ref="B287:F287"/>
    <mergeCell ref="B288:F288"/>
    <mergeCell ref="B289:F289"/>
    <mergeCell ref="B290:F290"/>
    <mergeCell ref="A278:A279"/>
    <mergeCell ref="B278:G279"/>
    <mergeCell ref="H278:I278"/>
    <mergeCell ref="J278:K278"/>
    <mergeCell ref="B280:G280"/>
    <mergeCell ref="B281:G281"/>
    <mergeCell ref="B274:G274"/>
    <mergeCell ref="H274:I274"/>
    <mergeCell ref="J274:K274"/>
    <mergeCell ref="B275:G275"/>
    <mergeCell ref="H275:I275"/>
    <mergeCell ref="J275:K275"/>
    <mergeCell ref="B268:G268"/>
    <mergeCell ref="H268:I268"/>
    <mergeCell ref="J268:K268"/>
    <mergeCell ref="B269:G269"/>
    <mergeCell ref="H269:I269"/>
    <mergeCell ref="J269:K269"/>
    <mergeCell ref="B263:G263"/>
    <mergeCell ref="H263:I263"/>
    <mergeCell ref="J263:K263"/>
    <mergeCell ref="B265:G265"/>
    <mergeCell ref="H265:I265"/>
    <mergeCell ref="J265:K265"/>
    <mergeCell ref="A253:K253"/>
    <mergeCell ref="A258:K258"/>
    <mergeCell ref="B261:G261"/>
    <mergeCell ref="H261:I261"/>
    <mergeCell ref="J261:K261"/>
    <mergeCell ref="B262:G262"/>
    <mergeCell ref="H262:I262"/>
    <mergeCell ref="J262:K262"/>
    <mergeCell ref="B250:G250"/>
    <mergeCell ref="H250:I250"/>
    <mergeCell ref="J250:K250"/>
    <mergeCell ref="B251:G251"/>
    <mergeCell ref="H251:I251"/>
    <mergeCell ref="J251:K251"/>
    <mergeCell ref="A246:K246"/>
    <mergeCell ref="B248:G248"/>
    <mergeCell ref="H248:I248"/>
    <mergeCell ref="J248:K248"/>
    <mergeCell ref="B249:G249"/>
    <mergeCell ref="H249:I249"/>
    <mergeCell ref="J249:K249"/>
    <mergeCell ref="B224:G224"/>
    <mergeCell ref="B225:G225"/>
    <mergeCell ref="B227:G227"/>
    <mergeCell ref="A229:K229"/>
    <mergeCell ref="A235:K235"/>
    <mergeCell ref="A237:K237"/>
    <mergeCell ref="B212:G212"/>
    <mergeCell ref="B213:G213"/>
    <mergeCell ref="B214:G214"/>
    <mergeCell ref="A216:K216"/>
    <mergeCell ref="A220:K220"/>
    <mergeCell ref="A222:A223"/>
    <mergeCell ref="B222:G223"/>
    <mergeCell ref="H222:I222"/>
    <mergeCell ref="J222:K222"/>
    <mergeCell ref="B206:G206"/>
    <mergeCell ref="A208:K208"/>
    <mergeCell ref="A210:A211"/>
    <mergeCell ref="B210:G211"/>
    <mergeCell ref="H210:I210"/>
    <mergeCell ref="J210:K210"/>
    <mergeCell ref="B197:F197"/>
    <mergeCell ref="A199:N199"/>
    <mergeCell ref="A201:K201"/>
    <mergeCell ref="B203:G203"/>
    <mergeCell ref="B204:G204"/>
    <mergeCell ref="B205:G205"/>
    <mergeCell ref="C191:F191"/>
    <mergeCell ref="C192:F192"/>
    <mergeCell ref="C193:F193"/>
    <mergeCell ref="B194:F194"/>
    <mergeCell ref="B195:F195"/>
    <mergeCell ref="B196:F196"/>
    <mergeCell ref="B185:F185"/>
    <mergeCell ref="B186:F186"/>
    <mergeCell ref="C187:F187"/>
    <mergeCell ref="C188:F188"/>
    <mergeCell ref="C189:F189"/>
    <mergeCell ref="B190:F190"/>
    <mergeCell ref="C179:F179"/>
    <mergeCell ref="C180:F180"/>
    <mergeCell ref="C181:F181"/>
    <mergeCell ref="C182:F182"/>
    <mergeCell ref="B183:F183"/>
    <mergeCell ref="B184:F184"/>
    <mergeCell ref="B173:F173"/>
    <mergeCell ref="C174:F174"/>
    <mergeCell ref="C175:F175"/>
    <mergeCell ref="C176:F176"/>
    <mergeCell ref="C177:F177"/>
    <mergeCell ref="B178:F178"/>
    <mergeCell ref="B164:F164"/>
    <mergeCell ref="A166:N166"/>
    <mergeCell ref="A168:K168"/>
    <mergeCell ref="B170:F170"/>
    <mergeCell ref="B171:F171"/>
    <mergeCell ref="B172:F172"/>
    <mergeCell ref="C158:F158"/>
    <mergeCell ref="C159:F159"/>
    <mergeCell ref="C160:F160"/>
    <mergeCell ref="B161:F161"/>
    <mergeCell ref="B162:F162"/>
    <mergeCell ref="B163:F163"/>
    <mergeCell ref="B152:F152"/>
    <mergeCell ref="B153:F153"/>
    <mergeCell ref="C154:F154"/>
    <mergeCell ref="C155:F155"/>
    <mergeCell ref="C156:F156"/>
    <mergeCell ref="B157:F157"/>
    <mergeCell ref="C146:F146"/>
    <mergeCell ref="C147:F147"/>
    <mergeCell ref="B148:F148"/>
    <mergeCell ref="B149:F149"/>
    <mergeCell ref="B150:F150"/>
    <mergeCell ref="B151:F151"/>
    <mergeCell ref="C140:F140"/>
    <mergeCell ref="C141:F141"/>
    <mergeCell ref="C142:F142"/>
    <mergeCell ref="B143:F143"/>
    <mergeCell ref="C144:F144"/>
    <mergeCell ref="C145:F145"/>
    <mergeCell ref="A133:K133"/>
    <mergeCell ref="B135:F135"/>
    <mergeCell ref="B136:F136"/>
    <mergeCell ref="B137:F137"/>
    <mergeCell ref="B138:F138"/>
    <mergeCell ref="C139:F139"/>
    <mergeCell ref="B129:G129"/>
    <mergeCell ref="H129:I129"/>
    <mergeCell ref="J129:K129"/>
    <mergeCell ref="H130:I130"/>
    <mergeCell ref="J130:K130"/>
    <mergeCell ref="B131:G131"/>
    <mergeCell ref="H131:I131"/>
    <mergeCell ref="J131:K131"/>
    <mergeCell ref="B127:G127"/>
    <mergeCell ref="H127:I127"/>
    <mergeCell ref="J127:K127"/>
    <mergeCell ref="B128:G128"/>
    <mergeCell ref="H128:I128"/>
    <mergeCell ref="J128:K128"/>
    <mergeCell ref="C113:D113"/>
    <mergeCell ref="E113:F113"/>
    <mergeCell ref="A115:K115"/>
    <mergeCell ref="A117:K117"/>
    <mergeCell ref="A124:K124"/>
    <mergeCell ref="B126:G126"/>
    <mergeCell ref="H126:I126"/>
    <mergeCell ref="J126:K126"/>
    <mergeCell ref="C110:D110"/>
    <mergeCell ref="E110:F110"/>
    <mergeCell ref="C111:D111"/>
    <mergeCell ref="E111:F111"/>
    <mergeCell ref="C112:D112"/>
    <mergeCell ref="C107:D107"/>
    <mergeCell ref="E107:F107"/>
    <mergeCell ref="C108:D108"/>
    <mergeCell ref="E108:F108"/>
    <mergeCell ref="C109:D109"/>
    <mergeCell ref="E109:F109"/>
    <mergeCell ref="A102:K102"/>
    <mergeCell ref="C104:D104"/>
    <mergeCell ref="E104:F104"/>
    <mergeCell ref="C105:D105"/>
    <mergeCell ref="E105:F105"/>
    <mergeCell ref="C106:D106"/>
    <mergeCell ref="E106:F106"/>
    <mergeCell ref="B99:G99"/>
    <mergeCell ref="H99:I99"/>
    <mergeCell ref="J99:K99"/>
    <mergeCell ref="B100:G100"/>
    <mergeCell ref="H100:I100"/>
    <mergeCell ref="J100:K100"/>
    <mergeCell ref="A95:K95"/>
    <mergeCell ref="B97:G97"/>
    <mergeCell ref="H97:I97"/>
    <mergeCell ref="J97:K97"/>
    <mergeCell ref="B98:G98"/>
    <mergeCell ref="H98:I98"/>
    <mergeCell ref="J98:K98"/>
    <mergeCell ref="H88:I88"/>
    <mergeCell ref="J88:K88"/>
    <mergeCell ref="B89:G89"/>
    <mergeCell ref="H89:I89"/>
    <mergeCell ref="J89:K89"/>
    <mergeCell ref="A91:K91"/>
    <mergeCell ref="H85:I85"/>
    <mergeCell ref="J85:K85"/>
    <mergeCell ref="H86:I86"/>
    <mergeCell ref="J86:K86"/>
    <mergeCell ref="H87:I87"/>
    <mergeCell ref="J87:K87"/>
    <mergeCell ref="B83:G83"/>
    <mergeCell ref="H83:I83"/>
    <mergeCell ref="J83:K83"/>
    <mergeCell ref="B84:G84"/>
    <mergeCell ref="H84:I84"/>
    <mergeCell ref="J84:K84"/>
    <mergeCell ref="B81:G81"/>
    <mergeCell ref="H81:I81"/>
    <mergeCell ref="J81:K81"/>
    <mergeCell ref="B82:G82"/>
    <mergeCell ref="H82:I82"/>
    <mergeCell ref="J82:K82"/>
    <mergeCell ref="B76:G76"/>
    <mergeCell ref="H76:I76"/>
    <mergeCell ref="J76:K76"/>
    <mergeCell ref="H77:I77"/>
    <mergeCell ref="J77:K77"/>
    <mergeCell ref="B78:G78"/>
    <mergeCell ref="H78:I78"/>
    <mergeCell ref="J78:K78"/>
    <mergeCell ref="B74:G74"/>
    <mergeCell ref="H74:I74"/>
    <mergeCell ref="J74:K74"/>
    <mergeCell ref="B75:G75"/>
    <mergeCell ref="H75:I75"/>
    <mergeCell ref="J75:K75"/>
    <mergeCell ref="B70:F70"/>
    <mergeCell ref="H70:I70"/>
    <mergeCell ref="J70:K70"/>
    <mergeCell ref="B73:G73"/>
    <mergeCell ref="H73:I73"/>
    <mergeCell ref="J73:K73"/>
    <mergeCell ref="C68:F68"/>
    <mergeCell ref="H68:I68"/>
    <mergeCell ref="J68:K68"/>
    <mergeCell ref="C69:F69"/>
    <mergeCell ref="H69:I69"/>
    <mergeCell ref="J69:K69"/>
    <mergeCell ref="B66:F66"/>
    <mergeCell ref="H66:I66"/>
    <mergeCell ref="J66:K66"/>
    <mergeCell ref="B67:F67"/>
    <mergeCell ref="H67:I67"/>
    <mergeCell ref="J67:K67"/>
    <mergeCell ref="A62:K62"/>
    <mergeCell ref="H64:I64"/>
    <mergeCell ref="J64:K64"/>
    <mergeCell ref="B65:F65"/>
    <mergeCell ref="H65:I65"/>
    <mergeCell ref="J65:K65"/>
    <mergeCell ref="B60:G60"/>
    <mergeCell ref="H60:I60"/>
    <mergeCell ref="J60:K60"/>
    <mergeCell ref="B57:G57"/>
    <mergeCell ref="H57:I57"/>
    <mergeCell ref="J57:K57"/>
    <mergeCell ref="B58:G58"/>
    <mergeCell ref="H58:I58"/>
    <mergeCell ref="J58:K58"/>
    <mergeCell ref="A25:K25"/>
    <mergeCell ref="A40:K40"/>
    <mergeCell ref="A54:K54"/>
    <mergeCell ref="B56:G56"/>
    <mergeCell ref="H56:I56"/>
    <mergeCell ref="J56:K56"/>
    <mergeCell ref="B59:G59"/>
    <mergeCell ref="H59:I59"/>
    <mergeCell ref="J59:K59"/>
  </mergeCells>
  <pageMargins left="0.7" right="0.7" top="0.75" bottom="0.75" header="0.3" footer="0.3"/>
  <pageSetup scale="10" orientation="portrait" horizontalDpi="0" verticalDpi="0" r:id="rId1"/>
  <ignoredErrors>
    <ignoredError sqref="H58 P152" formulaRange="1"/>
    <ignoredError sqref="N143" formula="1"/>
  </ignoredErrors>
</worksheet>
</file>

<file path=xl/worksheets/sheet3.xml><?xml version="1.0" encoding="utf-8"?>
<worksheet xmlns="http://schemas.openxmlformats.org/spreadsheetml/2006/main" xmlns:r="http://schemas.openxmlformats.org/officeDocument/2006/relationships">
  <dimension ref="A1:L2146"/>
  <sheetViews>
    <sheetView workbookViewId="0">
      <pane xSplit="3" ySplit="3" topLeftCell="D139" activePane="bottomRight" state="frozen"/>
      <selection pane="topRight" activeCell="D1" sqref="D1"/>
      <selection pane="bottomLeft" activeCell="A4" sqref="A4"/>
      <selection pane="bottomRight" activeCell="H166" sqref="H166"/>
    </sheetView>
  </sheetViews>
  <sheetFormatPr defaultRowHeight="12.75"/>
  <cols>
    <col min="1" max="1" width="6.140625" style="123" customWidth="1"/>
    <col min="2" max="2" width="34.85546875" style="130" customWidth="1"/>
    <col min="3" max="3" width="6.28515625" style="130" customWidth="1"/>
    <col min="4" max="4" width="43.28515625" style="125" customWidth="1"/>
    <col min="5" max="5" width="7.7109375" style="125" customWidth="1"/>
    <col min="6" max="6" width="37" style="125" customWidth="1"/>
    <col min="7" max="7" width="9.140625" style="135"/>
    <col min="8" max="8" width="28.42578125" style="125" customWidth="1"/>
    <col min="9" max="9" width="10.7109375" style="126" customWidth="1"/>
    <col min="10" max="10" width="10.85546875" style="126" customWidth="1"/>
    <col min="11" max="11" width="5.28515625" style="126" customWidth="1"/>
    <col min="12" max="12" width="55.85546875" style="126" customWidth="1"/>
    <col min="13" max="16384" width="9.140625" style="125"/>
  </cols>
  <sheetData>
    <row r="1" spans="1:12">
      <c r="B1" s="124" t="s">
        <v>498</v>
      </c>
      <c r="C1" s="124"/>
    </row>
    <row r="2" spans="1:12">
      <c r="A2" s="143" t="s">
        <v>0</v>
      </c>
      <c r="B2" s="143" t="s">
        <v>499</v>
      </c>
      <c r="C2" s="143" t="s">
        <v>0</v>
      </c>
      <c r="D2" s="143" t="s">
        <v>500</v>
      </c>
      <c r="E2" s="143" t="s">
        <v>0</v>
      </c>
      <c r="F2" s="143" t="s">
        <v>501</v>
      </c>
      <c r="G2" s="333" t="s">
        <v>0</v>
      </c>
      <c r="H2" s="143" t="s">
        <v>889</v>
      </c>
      <c r="I2" s="144" t="s">
        <v>502</v>
      </c>
      <c r="J2" s="145"/>
      <c r="K2" s="143" t="s">
        <v>0</v>
      </c>
      <c r="L2" s="144" t="s">
        <v>1587</v>
      </c>
    </row>
    <row r="3" spans="1:12">
      <c r="A3" s="146"/>
      <c r="B3" s="143"/>
      <c r="C3" s="143"/>
      <c r="D3" s="143"/>
      <c r="E3" s="78"/>
      <c r="F3" s="143"/>
      <c r="G3" s="339"/>
      <c r="H3" s="143" t="s">
        <v>1320</v>
      </c>
      <c r="I3" s="144"/>
      <c r="J3" s="145"/>
      <c r="K3" s="145"/>
      <c r="L3" s="145"/>
    </row>
    <row r="4" spans="1:12">
      <c r="A4" s="127">
        <v>1001</v>
      </c>
      <c r="B4" s="128" t="s">
        <v>503</v>
      </c>
      <c r="C4" s="129" t="s">
        <v>504</v>
      </c>
      <c r="D4" s="130" t="s">
        <v>505</v>
      </c>
      <c r="E4" s="129" t="s">
        <v>506</v>
      </c>
      <c r="F4" s="130" t="s">
        <v>507</v>
      </c>
      <c r="G4" s="129">
        <v>1001</v>
      </c>
      <c r="H4" s="130" t="s">
        <v>1470</v>
      </c>
      <c r="I4" s="131" t="s">
        <v>508</v>
      </c>
      <c r="J4" s="131" t="s">
        <v>32</v>
      </c>
      <c r="K4" s="125"/>
      <c r="L4" s="390" t="s">
        <v>1588</v>
      </c>
    </row>
    <row r="5" spans="1:12">
      <c r="A5" s="127">
        <v>1002</v>
      </c>
      <c r="B5" s="128" t="s">
        <v>509</v>
      </c>
      <c r="C5" s="127">
        <v>3117</v>
      </c>
      <c r="D5" s="128" t="s">
        <v>510</v>
      </c>
      <c r="E5" s="129" t="s">
        <v>511</v>
      </c>
      <c r="F5" s="130" t="s">
        <v>512</v>
      </c>
      <c r="G5" s="129">
        <f t="shared" ref="G5:G10" si="0">+G4+1</f>
        <v>1002</v>
      </c>
      <c r="H5" s="130" t="s">
        <v>1471</v>
      </c>
      <c r="I5" s="131" t="s">
        <v>513</v>
      </c>
      <c r="J5" s="131" t="s">
        <v>30</v>
      </c>
      <c r="K5" s="125"/>
      <c r="L5" s="390" t="s">
        <v>1589</v>
      </c>
    </row>
    <row r="6" spans="1:12">
      <c r="A6" s="127">
        <v>1101</v>
      </c>
      <c r="B6" s="128" t="s">
        <v>514</v>
      </c>
      <c r="C6" s="127">
        <v>3118</v>
      </c>
      <c r="D6" s="128" t="s">
        <v>515</v>
      </c>
      <c r="E6" s="129" t="s">
        <v>516</v>
      </c>
      <c r="F6" s="130" t="s">
        <v>517</v>
      </c>
      <c r="G6" s="129">
        <f t="shared" si="0"/>
        <v>1003</v>
      </c>
      <c r="H6" s="130" t="s">
        <v>1360</v>
      </c>
      <c r="I6" s="132" t="s">
        <v>518</v>
      </c>
      <c r="J6" s="132" t="s">
        <v>31</v>
      </c>
      <c r="K6" s="391">
        <v>41</v>
      </c>
      <c r="L6" s="126" t="s">
        <v>817</v>
      </c>
    </row>
    <row r="7" spans="1:12">
      <c r="A7" s="127">
        <v>1102</v>
      </c>
      <c r="B7" s="128" t="s">
        <v>519</v>
      </c>
      <c r="C7" s="127">
        <v>3119</v>
      </c>
      <c r="D7" s="128" t="s">
        <v>520</v>
      </c>
      <c r="E7" s="129" t="s">
        <v>521</v>
      </c>
      <c r="F7" s="130" t="s">
        <v>522</v>
      </c>
      <c r="G7" s="129">
        <f t="shared" si="0"/>
        <v>1004</v>
      </c>
      <c r="H7" s="130" t="s">
        <v>1338</v>
      </c>
      <c r="I7" s="132" t="s">
        <v>523</v>
      </c>
      <c r="J7" s="132" t="s">
        <v>33</v>
      </c>
      <c r="K7" s="391">
        <v>42</v>
      </c>
      <c r="L7" s="126" t="s">
        <v>820</v>
      </c>
    </row>
    <row r="8" spans="1:12">
      <c r="A8" s="127">
        <v>1201</v>
      </c>
      <c r="B8" s="128" t="s">
        <v>524</v>
      </c>
      <c r="C8" s="127" t="s">
        <v>525</v>
      </c>
      <c r="D8" s="128" t="s">
        <v>526</v>
      </c>
      <c r="E8" s="129" t="s">
        <v>527</v>
      </c>
      <c r="F8" s="130" t="s">
        <v>528</v>
      </c>
      <c r="G8" s="129">
        <f t="shared" si="0"/>
        <v>1005</v>
      </c>
      <c r="H8" s="130" t="s">
        <v>1472</v>
      </c>
      <c r="I8" s="126" t="s">
        <v>529</v>
      </c>
      <c r="J8" s="126" t="s">
        <v>530</v>
      </c>
      <c r="K8" s="391">
        <v>43</v>
      </c>
      <c r="L8" s="126" t="s">
        <v>823</v>
      </c>
    </row>
    <row r="9" spans="1:12">
      <c r="A9" s="127">
        <v>1202</v>
      </c>
      <c r="B9" s="128" t="s">
        <v>531</v>
      </c>
      <c r="C9" s="127" t="s">
        <v>532</v>
      </c>
      <c r="D9" s="128" t="s">
        <v>533</v>
      </c>
      <c r="E9" s="129" t="s">
        <v>534</v>
      </c>
      <c r="F9" s="130" t="s">
        <v>535</v>
      </c>
      <c r="G9" s="129">
        <f t="shared" si="0"/>
        <v>1006</v>
      </c>
      <c r="H9" s="130" t="s">
        <v>1473</v>
      </c>
      <c r="I9" s="126" t="s">
        <v>536</v>
      </c>
      <c r="J9" s="126" t="s">
        <v>537</v>
      </c>
      <c r="K9" s="391">
        <v>44</v>
      </c>
      <c r="L9" s="126" t="s">
        <v>826</v>
      </c>
    </row>
    <row r="10" spans="1:12">
      <c r="A10" s="127">
        <v>1203</v>
      </c>
      <c r="B10" s="128" t="s">
        <v>538</v>
      </c>
      <c r="C10" s="127" t="s">
        <v>539</v>
      </c>
      <c r="D10" s="128" t="s">
        <v>540</v>
      </c>
      <c r="E10" s="129" t="s">
        <v>541</v>
      </c>
      <c r="F10" s="130" t="s">
        <v>542</v>
      </c>
      <c r="G10" s="129">
        <f t="shared" si="0"/>
        <v>1007</v>
      </c>
      <c r="H10" s="130" t="s">
        <v>1474</v>
      </c>
      <c r="K10" s="391">
        <v>45</v>
      </c>
      <c r="L10" s="126" t="s">
        <v>829</v>
      </c>
    </row>
    <row r="11" spans="1:12">
      <c r="A11" s="127">
        <v>1204</v>
      </c>
      <c r="B11" s="128" t="s">
        <v>543</v>
      </c>
      <c r="C11" s="127" t="s">
        <v>544</v>
      </c>
      <c r="D11" s="128" t="s">
        <v>545</v>
      </c>
      <c r="E11" s="129" t="s">
        <v>546</v>
      </c>
      <c r="F11" s="130" t="s">
        <v>547</v>
      </c>
      <c r="G11" s="135">
        <v>1008</v>
      </c>
      <c r="H11" s="125" t="s">
        <v>1635</v>
      </c>
      <c r="K11" s="391">
        <v>46</v>
      </c>
      <c r="L11" s="126" t="s">
        <v>832</v>
      </c>
    </row>
    <row r="12" spans="1:12">
      <c r="A12" s="127">
        <v>1206</v>
      </c>
      <c r="B12" s="128" t="s">
        <v>548</v>
      </c>
      <c r="C12" s="127" t="s">
        <v>549</v>
      </c>
      <c r="D12" s="128" t="s">
        <v>550</v>
      </c>
      <c r="E12" s="129" t="s">
        <v>551</v>
      </c>
      <c r="F12" s="130" t="s">
        <v>552</v>
      </c>
      <c r="G12" s="129">
        <v>2001</v>
      </c>
      <c r="H12" s="130" t="s">
        <v>1362</v>
      </c>
      <c r="K12" s="391"/>
      <c r="L12" s="390" t="s">
        <v>1590</v>
      </c>
    </row>
    <row r="13" spans="1:12">
      <c r="A13" s="127">
        <v>1207</v>
      </c>
      <c r="B13" s="128" t="s">
        <v>553</v>
      </c>
      <c r="C13" s="127" t="s">
        <v>554</v>
      </c>
      <c r="D13" s="128" t="s">
        <v>555</v>
      </c>
      <c r="E13" s="129" t="s">
        <v>556</v>
      </c>
      <c r="F13" s="125" t="s">
        <v>557</v>
      </c>
      <c r="G13" s="129">
        <v>2002</v>
      </c>
      <c r="H13" s="130" t="s">
        <v>1363</v>
      </c>
      <c r="K13" s="391">
        <v>51</v>
      </c>
      <c r="L13" s="126" t="s">
        <v>837</v>
      </c>
    </row>
    <row r="14" spans="1:12">
      <c r="A14" s="127">
        <v>1208</v>
      </c>
      <c r="B14" s="128" t="s">
        <v>558</v>
      </c>
      <c r="C14" s="127" t="s">
        <v>559</v>
      </c>
      <c r="D14" s="128" t="s">
        <v>560</v>
      </c>
      <c r="E14" s="129" t="s">
        <v>561</v>
      </c>
      <c r="F14" s="130" t="s">
        <v>562</v>
      </c>
      <c r="G14" s="129">
        <v>2003</v>
      </c>
      <c r="H14" s="130" t="s">
        <v>1364</v>
      </c>
      <c r="K14" s="391">
        <v>52</v>
      </c>
      <c r="L14" s="126" t="s">
        <v>838</v>
      </c>
    </row>
    <row r="15" spans="1:12">
      <c r="A15" s="127">
        <v>1209</v>
      </c>
      <c r="B15" s="128" t="s">
        <v>563</v>
      </c>
      <c r="C15" s="127" t="s">
        <v>564</v>
      </c>
      <c r="D15" s="128" t="s">
        <v>565</v>
      </c>
      <c r="E15" s="129" t="s">
        <v>566</v>
      </c>
      <c r="F15" s="130" t="s">
        <v>567</v>
      </c>
      <c r="G15" s="129">
        <v>2004</v>
      </c>
      <c r="H15" s="130" t="s">
        <v>1365</v>
      </c>
      <c r="K15" s="391">
        <v>53</v>
      </c>
      <c r="L15" s="126" t="s">
        <v>841</v>
      </c>
    </row>
    <row r="16" spans="1:12">
      <c r="A16" s="127">
        <v>1210</v>
      </c>
      <c r="B16" s="128" t="s">
        <v>568</v>
      </c>
      <c r="C16" s="127" t="s">
        <v>569</v>
      </c>
      <c r="D16" s="128" t="s">
        <v>570</v>
      </c>
      <c r="E16" s="129" t="s">
        <v>571</v>
      </c>
      <c r="F16" s="130" t="s">
        <v>572</v>
      </c>
      <c r="G16" s="129">
        <v>2005</v>
      </c>
      <c r="H16" s="130" t="s">
        <v>1366</v>
      </c>
      <c r="K16" s="391">
        <v>54</v>
      </c>
      <c r="L16" s="126" t="s">
        <v>844</v>
      </c>
    </row>
    <row r="17" spans="1:12">
      <c r="A17" s="127">
        <v>1211</v>
      </c>
      <c r="B17" s="128" t="s">
        <v>573</v>
      </c>
      <c r="C17" s="127" t="s">
        <v>574</v>
      </c>
      <c r="D17" s="128" t="s">
        <v>575</v>
      </c>
      <c r="E17" s="129" t="s">
        <v>576</v>
      </c>
      <c r="F17" s="130" t="s">
        <v>577</v>
      </c>
      <c r="G17" s="129">
        <v>2006</v>
      </c>
      <c r="H17" s="130" t="s">
        <v>1367</v>
      </c>
      <c r="I17" s="125"/>
      <c r="K17" s="391">
        <v>55</v>
      </c>
      <c r="L17" s="126" t="s">
        <v>847</v>
      </c>
    </row>
    <row r="18" spans="1:12">
      <c r="A18" s="127">
        <v>1220</v>
      </c>
      <c r="B18" s="128" t="s">
        <v>578</v>
      </c>
      <c r="C18" s="127" t="s">
        <v>579</v>
      </c>
      <c r="D18" s="128" t="s">
        <v>580</v>
      </c>
      <c r="E18" s="129" t="s">
        <v>581</v>
      </c>
      <c r="F18" s="130"/>
      <c r="G18" s="129">
        <v>2007</v>
      </c>
      <c r="H18" s="130" t="s">
        <v>1368</v>
      </c>
      <c r="I18" s="130"/>
      <c r="K18" s="391">
        <v>56</v>
      </c>
      <c r="L18" s="126" t="s">
        <v>849</v>
      </c>
    </row>
    <row r="19" spans="1:12">
      <c r="A19" s="127">
        <v>1301</v>
      </c>
      <c r="B19" s="128" t="s">
        <v>582</v>
      </c>
      <c r="C19" s="127" t="s">
        <v>583</v>
      </c>
      <c r="D19" s="128" t="s">
        <v>584</v>
      </c>
      <c r="E19" s="129" t="s">
        <v>585</v>
      </c>
      <c r="F19" s="130" t="s">
        <v>270</v>
      </c>
      <c r="G19" s="129">
        <v>2008</v>
      </c>
      <c r="H19" s="130" t="s">
        <v>1369</v>
      </c>
      <c r="I19" s="125"/>
      <c r="K19" s="391">
        <v>57</v>
      </c>
      <c r="L19" s="126" t="s">
        <v>852</v>
      </c>
    </row>
    <row r="20" spans="1:12">
      <c r="A20" s="127">
        <v>1305</v>
      </c>
      <c r="B20" s="128" t="s">
        <v>586</v>
      </c>
      <c r="C20" s="127" t="s">
        <v>587</v>
      </c>
      <c r="D20" s="128" t="s">
        <v>588</v>
      </c>
      <c r="E20" s="129" t="s">
        <v>589</v>
      </c>
      <c r="F20" s="130" t="s">
        <v>590</v>
      </c>
      <c r="G20" s="129">
        <v>2009</v>
      </c>
      <c r="H20" s="130" t="s">
        <v>1370</v>
      </c>
      <c r="I20" s="125"/>
      <c r="K20" s="391">
        <v>58</v>
      </c>
      <c r="L20" s="126" t="s">
        <v>855</v>
      </c>
    </row>
    <row r="21" spans="1:12">
      <c r="A21" s="127">
        <v>1401</v>
      </c>
      <c r="B21" s="128" t="s">
        <v>591</v>
      </c>
      <c r="C21" s="133" t="s">
        <v>592</v>
      </c>
      <c r="D21" s="128" t="s">
        <v>593</v>
      </c>
      <c r="E21" s="129" t="s">
        <v>594</v>
      </c>
      <c r="F21" s="130" t="s">
        <v>595</v>
      </c>
      <c r="G21" s="129">
        <v>2010</v>
      </c>
      <c r="H21" s="130" t="s">
        <v>1336</v>
      </c>
      <c r="I21" s="125"/>
      <c r="K21" s="391">
        <v>59</v>
      </c>
      <c r="L21" s="126" t="s">
        <v>858</v>
      </c>
    </row>
    <row r="22" spans="1:12">
      <c r="A22" s="127">
        <v>1402</v>
      </c>
      <c r="B22" s="128" t="s">
        <v>596</v>
      </c>
      <c r="C22" s="127" t="s">
        <v>597</v>
      </c>
      <c r="D22" s="128" t="s">
        <v>598</v>
      </c>
      <c r="E22" s="129" t="s">
        <v>599</v>
      </c>
      <c r="F22" s="130" t="s">
        <v>600</v>
      </c>
      <c r="G22" s="129">
        <v>2011</v>
      </c>
      <c r="H22" s="130" t="s">
        <v>1863</v>
      </c>
      <c r="I22" s="125"/>
      <c r="K22" s="391"/>
      <c r="L22" s="390" t="s">
        <v>1591</v>
      </c>
    </row>
    <row r="23" spans="1:12">
      <c r="A23" s="127">
        <v>1403</v>
      </c>
      <c r="B23" s="128" t="s">
        <v>601</v>
      </c>
      <c r="C23" s="127" t="s">
        <v>602</v>
      </c>
      <c r="D23" s="128" t="s">
        <v>603</v>
      </c>
      <c r="E23" s="129" t="s">
        <v>604</v>
      </c>
      <c r="F23" s="130" t="s">
        <v>605</v>
      </c>
      <c r="G23" s="129">
        <v>2012</v>
      </c>
      <c r="H23" s="130" t="s">
        <v>1392</v>
      </c>
      <c r="I23" s="125"/>
      <c r="K23" s="391"/>
      <c r="L23" s="390" t="s">
        <v>1592</v>
      </c>
    </row>
    <row r="24" spans="1:12">
      <c r="A24" s="127">
        <v>1404</v>
      </c>
      <c r="B24" s="128" t="s">
        <v>606</v>
      </c>
      <c r="C24" s="129" t="s">
        <v>607</v>
      </c>
      <c r="D24" s="130" t="s">
        <v>608</v>
      </c>
      <c r="E24" s="129" t="s">
        <v>609</v>
      </c>
      <c r="F24" s="130" t="s">
        <v>610</v>
      </c>
      <c r="G24" s="129">
        <v>2013</v>
      </c>
      <c r="H24" s="130" t="s">
        <v>1393</v>
      </c>
      <c r="I24" s="125"/>
      <c r="K24" s="391"/>
      <c r="L24" s="390" t="s">
        <v>1589</v>
      </c>
    </row>
    <row r="25" spans="1:12">
      <c r="A25" s="127">
        <v>1405</v>
      </c>
      <c r="B25" s="128" t="s">
        <v>611</v>
      </c>
      <c r="C25" s="129" t="s">
        <v>612</v>
      </c>
      <c r="D25" s="130" t="s">
        <v>613</v>
      </c>
      <c r="E25" s="129" t="s">
        <v>614</v>
      </c>
      <c r="F25" s="130" t="s">
        <v>272</v>
      </c>
      <c r="G25" s="129">
        <v>3001</v>
      </c>
      <c r="H25" s="130" t="s">
        <v>1371</v>
      </c>
      <c r="I25" s="125"/>
      <c r="K25" s="391">
        <v>61</v>
      </c>
      <c r="L25" s="126" t="s">
        <v>863</v>
      </c>
    </row>
    <row r="26" spans="1:12">
      <c r="A26" s="129">
        <v>1501</v>
      </c>
      <c r="B26" s="130" t="s">
        <v>316</v>
      </c>
      <c r="C26" s="129" t="s">
        <v>615</v>
      </c>
      <c r="D26" s="130" t="s">
        <v>616</v>
      </c>
      <c r="E26" s="129" t="s">
        <v>617</v>
      </c>
      <c r="F26" s="130" t="s">
        <v>273</v>
      </c>
      <c r="G26" s="129">
        <v>3002</v>
      </c>
      <c r="H26" s="130" t="s">
        <v>1372</v>
      </c>
      <c r="I26" s="125"/>
      <c r="K26" s="391">
        <v>62</v>
      </c>
      <c r="L26" s="126" t="s">
        <v>866</v>
      </c>
    </row>
    <row r="27" spans="1:12">
      <c r="A27" s="129">
        <v>1503</v>
      </c>
      <c r="B27" s="130" t="s">
        <v>618</v>
      </c>
      <c r="C27" s="129" t="s">
        <v>619</v>
      </c>
      <c r="D27" s="130" t="s">
        <v>620</v>
      </c>
      <c r="E27" s="129" t="s">
        <v>621</v>
      </c>
      <c r="F27" s="130" t="s">
        <v>274</v>
      </c>
      <c r="G27" s="129">
        <v>3003</v>
      </c>
      <c r="H27" s="130" t="s">
        <v>1373</v>
      </c>
      <c r="I27" s="125"/>
      <c r="K27" s="391">
        <v>63</v>
      </c>
      <c r="L27" s="126" t="s">
        <v>869</v>
      </c>
    </row>
    <row r="28" spans="1:12">
      <c r="A28" s="129">
        <v>1504</v>
      </c>
      <c r="B28" s="130" t="s">
        <v>622</v>
      </c>
      <c r="C28" s="129" t="s">
        <v>623</v>
      </c>
      <c r="D28" s="130" t="s">
        <v>180</v>
      </c>
      <c r="E28" s="129" t="s">
        <v>624</v>
      </c>
      <c r="F28" s="130" t="s">
        <v>271</v>
      </c>
      <c r="G28" s="129">
        <v>3004</v>
      </c>
      <c r="H28" s="130" t="s">
        <v>1374</v>
      </c>
      <c r="I28" s="125"/>
      <c r="K28" s="391">
        <v>64</v>
      </c>
      <c r="L28" s="126" t="s">
        <v>870</v>
      </c>
    </row>
    <row r="29" spans="1:12">
      <c r="A29" s="129">
        <v>1505</v>
      </c>
      <c r="B29" s="130" t="s">
        <v>625</v>
      </c>
      <c r="C29" s="129" t="s">
        <v>626</v>
      </c>
      <c r="D29" s="130" t="s">
        <v>627</v>
      </c>
      <c r="E29" s="129" t="s">
        <v>628</v>
      </c>
      <c r="F29" s="130" t="s">
        <v>629</v>
      </c>
      <c r="G29" s="129">
        <v>3005</v>
      </c>
      <c r="H29" s="130" t="s">
        <v>1375</v>
      </c>
      <c r="I29" s="130"/>
      <c r="K29" s="391">
        <v>65</v>
      </c>
      <c r="L29" s="126" t="s">
        <v>872</v>
      </c>
    </row>
    <row r="30" spans="1:12">
      <c r="A30" s="129" t="s">
        <v>630</v>
      </c>
      <c r="B30" s="125" t="s">
        <v>631</v>
      </c>
      <c r="C30" s="129" t="s">
        <v>632</v>
      </c>
      <c r="D30" s="130" t="s">
        <v>633</v>
      </c>
      <c r="E30" s="129" t="s">
        <v>634</v>
      </c>
      <c r="F30" s="130" t="s">
        <v>635</v>
      </c>
      <c r="G30" s="129">
        <v>3006</v>
      </c>
      <c r="H30" s="130" t="s">
        <v>1376</v>
      </c>
      <c r="I30" s="125"/>
      <c r="K30" s="391">
        <v>66</v>
      </c>
      <c r="L30" s="126" t="s">
        <v>875</v>
      </c>
    </row>
    <row r="31" spans="1:12">
      <c r="A31" s="129" t="s">
        <v>636</v>
      </c>
      <c r="B31" s="128" t="s">
        <v>637</v>
      </c>
      <c r="C31" s="129" t="s">
        <v>638</v>
      </c>
      <c r="D31" s="130" t="s">
        <v>639</v>
      </c>
      <c r="E31" s="129" t="s">
        <v>640</v>
      </c>
      <c r="F31" s="130" t="s">
        <v>275</v>
      </c>
      <c r="G31" s="129">
        <v>3007</v>
      </c>
      <c r="H31" s="130" t="s">
        <v>1377</v>
      </c>
      <c r="I31" s="125"/>
      <c r="K31" s="391">
        <v>67</v>
      </c>
      <c r="L31" s="126" t="s">
        <v>876</v>
      </c>
    </row>
    <row r="32" spans="1:12">
      <c r="A32" s="129" t="s">
        <v>641</v>
      </c>
      <c r="B32" s="130" t="s">
        <v>642</v>
      </c>
      <c r="E32" s="129" t="s">
        <v>643</v>
      </c>
      <c r="F32" s="130" t="s">
        <v>644</v>
      </c>
      <c r="G32" s="129">
        <v>3008</v>
      </c>
      <c r="H32" s="130" t="s">
        <v>1378</v>
      </c>
      <c r="I32" s="125"/>
      <c r="K32" s="391"/>
      <c r="L32" s="390" t="s">
        <v>1590</v>
      </c>
    </row>
    <row r="33" spans="1:12">
      <c r="A33" s="129" t="s">
        <v>645</v>
      </c>
      <c r="B33" s="130" t="s">
        <v>646</v>
      </c>
      <c r="E33" s="129" t="s">
        <v>647</v>
      </c>
      <c r="F33" s="130" t="s">
        <v>648</v>
      </c>
      <c r="G33" s="129">
        <v>3009</v>
      </c>
      <c r="H33" s="130" t="s">
        <v>1379</v>
      </c>
      <c r="I33" s="125"/>
      <c r="K33" s="391">
        <v>71</v>
      </c>
      <c r="L33" s="126" t="s">
        <v>877</v>
      </c>
    </row>
    <row r="34" spans="1:12">
      <c r="A34" s="129" t="s">
        <v>649</v>
      </c>
      <c r="B34" s="130" t="s">
        <v>650</v>
      </c>
      <c r="E34" s="129" t="s">
        <v>651</v>
      </c>
      <c r="F34" s="130" t="s">
        <v>652</v>
      </c>
      <c r="G34" s="129">
        <v>3010</v>
      </c>
      <c r="H34" s="130" t="s">
        <v>1380</v>
      </c>
      <c r="I34" s="125"/>
      <c r="K34" s="391">
        <v>72</v>
      </c>
      <c r="L34" s="126" t="s">
        <v>878</v>
      </c>
    </row>
    <row r="35" spans="1:12">
      <c r="A35" s="129" t="s">
        <v>653</v>
      </c>
      <c r="B35" s="130" t="s">
        <v>654</v>
      </c>
      <c r="C35" s="125"/>
      <c r="E35" s="129" t="s">
        <v>655</v>
      </c>
      <c r="F35" s="130" t="s">
        <v>656</v>
      </c>
      <c r="G35" s="129">
        <v>3011</v>
      </c>
      <c r="H35" s="130" t="s">
        <v>1381</v>
      </c>
      <c r="I35" s="125"/>
      <c r="K35" s="391">
        <v>73</v>
      </c>
      <c r="L35" s="126" t="s">
        <v>879</v>
      </c>
    </row>
    <row r="36" spans="1:12">
      <c r="A36" s="129" t="s">
        <v>657</v>
      </c>
      <c r="B36" s="130" t="s">
        <v>658</v>
      </c>
      <c r="C36" s="125"/>
      <c r="E36" s="129" t="s">
        <v>659</v>
      </c>
      <c r="F36" s="130" t="s">
        <v>660</v>
      </c>
      <c r="G36" s="129">
        <v>3012</v>
      </c>
      <c r="H36" s="130" t="s">
        <v>1382</v>
      </c>
      <c r="I36" s="125"/>
      <c r="K36" s="391">
        <v>74</v>
      </c>
      <c r="L36" s="126" t="s">
        <v>880</v>
      </c>
    </row>
    <row r="37" spans="1:12">
      <c r="A37" s="129" t="s">
        <v>661</v>
      </c>
      <c r="B37" s="130" t="s">
        <v>318</v>
      </c>
      <c r="C37" s="125"/>
      <c r="E37" s="129" t="s">
        <v>662</v>
      </c>
      <c r="F37" s="130" t="s">
        <v>277</v>
      </c>
      <c r="G37" s="129">
        <v>3013</v>
      </c>
      <c r="H37" s="130" t="s">
        <v>1383</v>
      </c>
      <c r="I37" s="125"/>
      <c r="K37" s="391">
        <v>75</v>
      </c>
      <c r="L37" s="126" t="s">
        <v>881</v>
      </c>
    </row>
    <row r="38" spans="1:12">
      <c r="A38" s="129" t="s">
        <v>663</v>
      </c>
      <c r="B38" s="130" t="s">
        <v>664</v>
      </c>
      <c r="C38" s="125"/>
      <c r="E38" s="129" t="s">
        <v>665</v>
      </c>
      <c r="F38" s="130" t="s">
        <v>666</v>
      </c>
      <c r="G38" s="129">
        <v>3014</v>
      </c>
      <c r="H38" s="130" t="s">
        <v>1384</v>
      </c>
      <c r="I38" s="125"/>
      <c r="K38" s="391"/>
      <c r="L38" s="390" t="s">
        <v>1593</v>
      </c>
    </row>
    <row r="39" spans="1:12">
      <c r="A39" s="129" t="s">
        <v>667</v>
      </c>
      <c r="B39" s="130" t="s">
        <v>668</v>
      </c>
      <c r="C39" s="125"/>
      <c r="E39" s="129" t="s">
        <v>669</v>
      </c>
      <c r="F39" s="130" t="s">
        <v>670</v>
      </c>
      <c r="G39" s="129">
        <v>3015</v>
      </c>
      <c r="H39" s="130" t="s">
        <v>1385</v>
      </c>
      <c r="I39" s="125"/>
      <c r="K39" s="391"/>
      <c r="L39" s="390" t="s">
        <v>1594</v>
      </c>
    </row>
    <row r="40" spans="1:12">
      <c r="A40" s="129" t="s">
        <v>671</v>
      </c>
      <c r="B40" s="130" t="s">
        <v>672</v>
      </c>
      <c r="C40" s="125"/>
      <c r="E40" s="129" t="s">
        <v>673</v>
      </c>
      <c r="F40" s="130" t="s">
        <v>674</v>
      </c>
      <c r="G40" s="129">
        <v>3016</v>
      </c>
      <c r="H40" s="130" t="s">
        <v>1386</v>
      </c>
      <c r="I40" s="125"/>
      <c r="K40" s="391"/>
      <c r="L40" s="390" t="s">
        <v>1589</v>
      </c>
    </row>
    <row r="41" spans="1:12">
      <c r="A41" s="129" t="s">
        <v>675</v>
      </c>
      <c r="B41" s="130" t="s">
        <v>676</v>
      </c>
      <c r="E41" s="129" t="s">
        <v>677</v>
      </c>
      <c r="F41" s="130" t="s">
        <v>678</v>
      </c>
      <c r="G41" s="129">
        <v>3017</v>
      </c>
      <c r="H41" s="130" t="s">
        <v>1387</v>
      </c>
      <c r="I41" s="125"/>
      <c r="K41" s="391">
        <v>81</v>
      </c>
      <c r="L41" s="126" t="s">
        <v>1595</v>
      </c>
    </row>
    <row r="42" spans="1:12">
      <c r="A42" s="129" t="s">
        <v>679</v>
      </c>
      <c r="B42" s="130" t="s">
        <v>680</v>
      </c>
      <c r="E42" s="129" t="s">
        <v>681</v>
      </c>
      <c r="F42" s="130" t="s">
        <v>682</v>
      </c>
      <c r="G42" s="129">
        <v>3018</v>
      </c>
      <c r="H42" s="130" t="s">
        <v>1388</v>
      </c>
      <c r="I42" s="125"/>
      <c r="K42" s="391">
        <v>82</v>
      </c>
      <c r="L42" s="126" t="s">
        <v>1596</v>
      </c>
    </row>
    <row r="43" spans="1:12">
      <c r="A43" s="129" t="s">
        <v>683</v>
      </c>
      <c r="B43" s="134" t="s">
        <v>684</v>
      </c>
      <c r="E43" s="129" t="s">
        <v>685</v>
      </c>
      <c r="F43" s="130" t="s">
        <v>686</v>
      </c>
      <c r="G43" s="129">
        <v>3019</v>
      </c>
      <c r="H43" s="130" t="s">
        <v>1389</v>
      </c>
      <c r="I43" s="125"/>
      <c r="K43" s="391">
        <v>83</v>
      </c>
      <c r="L43" s="126" t="s">
        <v>1597</v>
      </c>
    </row>
    <row r="44" spans="1:12">
      <c r="A44" s="129" t="s">
        <v>687</v>
      </c>
      <c r="B44" s="130" t="s">
        <v>688</v>
      </c>
      <c r="E44" s="129" t="s">
        <v>689</v>
      </c>
      <c r="F44" s="130" t="s">
        <v>690</v>
      </c>
      <c r="G44" s="129">
        <v>3020</v>
      </c>
      <c r="H44" s="130" t="s">
        <v>1394</v>
      </c>
      <c r="I44" s="125"/>
      <c r="K44" s="391">
        <v>84</v>
      </c>
      <c r="L44" s="126" t="s">
        <v>1598</v>
      </c>
    </row>
    <row r="45" spans="1:12">
      <c r="A45" s="129" t="s">
        <v>691</v>
      </c>
      <c r="B45" s="130" t="s">
        <v>692</v>
      </c>
      <c r="E45" s="129" t="s">
        <v>693</v>
      </c>
      <c r="F45" s="130" t="s">
        <v>694</v>
      </c>
      <c r="G45" s="129">
        <v>3021</v>
      </c>
      <c r="H45" s="130" t="s">
        <v>1395</v>
      </c>
      <c r="I45" s="125"/>
      <c r="K45" s="391"/>
      <c r="L45" s="390" t="s">
        <v>1590</v>
      </c>
    </row>
    <row r="46" spans="1:12">
      <c r="A46" s="129" t="s">
        <v>695</v>
      </c>
      <c r="B46" s="130" t="s">
        <v>696</v>
      </c>
      <c r="E46" s="129" t="s">
        <v>697</v>
      </c>
      <c r="F46" s="130" t="s">
        <v>698</v>
      </c>
      <c r="G46" s="129">
        <v>3022</v>
      </c>
      <c r="H46" s="130" t="s">
        <v>1396</v>
      </c>
      <c r="I46" s="125"/>
      <c r="K46" s="391">
        <v>91</v>
      </c>
      <c r="L46" s="126" t="s">
        <v>1599</v>
      </c>
    </row>
    <row r="47" spans="1:12">
      <c r="A47" s="129" t="s">
        <v>699</v>
      </c>
      <c r="B47" s="130" t="s">
        <v>700</v>
      </c>
      <c r="E47" s="129" t="s">
        <v>701</v>
      </c>
      <c r="F47" s="130" t="s">
        <v>702</v>
      </c>
      <c r="G47" s="129">
        <v>3023</v>
      </c>
      <c r="H47" s="130" t="s">
        <v>1397</v>
      </c>
      <c r="I47" s="125"/>
      <c r="K47" s="391">
        <v>92</v>
      </c>
      <c r="L47" s="126" t="s">
        <v>1600</v>
      </c>
    </row>
    <row r="48" spans="1:12">
      <c r="A48" s="129" t="s">
        <v>703</v>
      </c>
      <c r="B48" s="130" t="s">
        <v>704</v>
      </c>
      <c r="E48" s="129" t="s">
        <v>705</v>
      </c>
      <c r="F48" s="130" t="s">
        <v>706</v>
      </c>
      <c r="G48" s="135">
        <v>3024</v>
      </c>
      <c r="H48" s="126" t="s">
        <v>1398</v>
      </c>
      <c r="I48" s="125"/>
      <c r="K48" s="391">
        <v>93</v>
      </c>
      <c r="L48" s="126" t="s">
        <v>1601</v>
      </c>
    </row>
    <row r="49" spans="1:12">
      <c r="A49" s="129" t="s">
        <v>707</v>
      </c>
      <c r="B49" s="130" t="s">
        <v>708</v>
      </c>
      <c r="C49" s="134"/>
      <c r="E49" s="129" t="s">
        <v>709</v>
      </c>
      <c r="F49" s="130" t="s">
        <v>710</v>
      </c>
      <c r="G49" s="129">
        <v>3025</v>
      </c>
      <c r="H49" s="130" t="s">
        <v>1399</v>
      </c>
      <c r="I49" s="125"/>
      <c r="K49" s="391">
        <v>94</v>
      </c>
      <c r="L49" s="126" t="s">
        <v>1602</v>
      </c>
    </row>
    <row r="50" spans="1:12">
      <c r="A50" s="129" t="s">
        <v>711</v>
      </c>
      <c r="B50" s="130" t="s">
        <v>712</v>
      </c>
      <c r="E50" s="129" t="s">
        <v>713</v>
      </c>
      <c r="F50" s="130" t="s">
        <v>714</v>
      </c>
      <c r="G50" s="129">
        <v>3026</v>
      </c>
      <c r="H50" s="130" t="s">
        <v>1400</v>
      </c>
      <c r="I50" s="125"/>
      <c r="K50" s="391">
        <v>95</v>
      </c>
      <c r="L50" s="126" t="s">
        <v>1603</v>
      </c>
    </row>
    <row r="51" spans="1:12">
      <c r="A51" s="129" t="s">
        <v>715</v>
      </c>
      <c r="B51" s="130" t="s">
        <v>716</v>
      </c>
      <c r="E51" s="129" t="s">
        <v>717</v>
      </c>
      <c r="F51" s="130" t="s">
        <v>718</v>
      </c>
      <c r="G51" s="129">
        <v>3027</v>
      </c>
      <c r="H51" s="130" t="s">
        <v>1401</v>
      </c>
      <c r="I51" s="125"/>
      <c r="K51" s="391"/>
      <c r="L51" s="390" t="s">
        <v>1604</v>
      </c>
    </row>
    <row r="52" spans="1:12">
      <c r="A52" s="129" t="s">
        <v>719</v>
      </c>
      <c r="B52" s="130" t="s">
        <v>720</v>
      </c>
      <c r="E52" s="129" t="s">
        <v>721</v>
      </c>
      <c r="F52" s="130" t="s">
        <v>722</v>
      </c>
      <c r="G52" s="129">
        <v>3028</v>
      </c>
      <c r="H52" s="130" t="s">
        <v>1402</v>
      </c>
      <c r="I52" s="125"/>
      <c r="K52" s="391"/>
    </row>
    <row r="53" spans="1:12">
      <c r="A53" s="129" t="s">
        <v>723</v>
      </c>
      <c r="B53" s="130" t="s">
        <v>724</v>
      </c>
      <c r="E53" s="129" t="s">
        <v>725</v>
      </c>
      <c r="F53" s="130" t="s">
        <v>726</v>
      </c>
      <c r="G53" s="129">
        <v>3029</v>
      </c>
      <c r="H53" s="130" t="s">
        <v>1403</v>
      </c>
      <c r="I53" s="125"/>
      <c r="K53" s="391"/>
    </row>
    <row r="54" spans="1:12">
      <c r="A54" s="129" t="s">
        <v>727</v>
      </c>
      <c r="B54" s="130" t="s">
        <v>728</v>
      </c>
      <c r="E54" s="129" t="s">
        <v>729</v>
      </c>
      <c r="F54" s="130" t="s">
        <v>730</v>
      </c>
      <c r="G54" s="129">
        <v>3030</v>
      </c>
      <c r="H54" s="130" t="s">
        <v>1404</v>
      </c>
      <c r="I54" s="125"/>
      <c r="K54" s="391"/>
    </row>
    <row r="55" spans="1:12">
      <c r="A55" s="129" t="s">
        <v>731</v>
      </c>
      <c r="B55" s="130" t="s">
        <v>732</v>
      </c>
      <c r="E55" s="129" t="s">
        <v>733</v>
      </c>
      <c r="F55" s="130" t="s">
        <v>734</v>
      </c>
      <c r="G55" s="129">
        <v>3031</v>
      </c>
      <c r="H55" s="130" t="s">
        <v>1864</v>
      </c>
      <c r="I55" s="125"/>
      <c r="K55" s="391"/>
    </row>
    <row r="56" spans="1:12">
      <c r="A56" s="129" t="s">
        <v>735</v>
      </c>
      <c r="B56" s="130" t="s">
        <v>736</v>
      </c>
      <c r="E56" s="129" t="s">
        <v>737</v>
      </c>
      <c r="F56" s="130" t="s">
        <v>738</v>
      </c>
      <c r="G56" s="129">
        <v>3032</v>
      </c>
      <c r="H56" s="130" t="s">
        <v>1405</v>
      </c>
      <c r="I56" s="125"/>
      <c r="K56" s="391"/>
    </row>
    <row r="57" spans="1:12">
      <c r="A57" s="129" t="s">
        <v>739</v>
      </c>
      <c r="B57" s="130" t="s">
        <v>740</v>
      </c>
      <c r="E57" s="129" t="s">
        <v>741</v>
      </c>
      <c r="F57" s="130" t="s">
        <v>742</v>
      </c>
      <c r="G57" s="129">
        <v>3033</v>
      </c>
      <c r="H57" s="130" t="s">
        <v>1406</v>
      </c>
      <c r="I57" s="125"/>
      <c r="K57" s="391"/>
    </row>
    <row r="58" spans="1:12">
      <c r="A58" s="129" t="s">
        <v>743</v>
      </c>
      <c r="B58" s="130" t="s">
        <v>744</v>
      </c>
      <c r="E58" s="129" t="s">
        <v>745</v>
      </c>
      <c r="F58" s="130" t="s">
        <v>746</v>
      </c>
      <c r="G58" s="129">
        <v>3034</v>
      </c>
      <c r="H58" s="130" t="s">
        <v>1407</v>
      </c>
      <c r="I58" s="125"/>
      <c r="K58" s="391"/>
    </row>
    <row r="59" spans="1:12">
      <c r="A59" s="129" t="s">
        <v>747</v>
      </c>
      <c r="B59" s="130" t="s">
        <v>748</v>
      </c>
      <c r="E59" s="129" t="s">
        <v>749</v>
      </c>
      <c r="F59" s="130" t="s">
        <v>750</v>
      </c>
      <c r="G59" s="129">
        <v>3035</v>
      </c>
      <c r="H59" s="189" t="s">
        <v>1408</v>
      </c>
      <c r="I59" s="125"/>
      <c r="K59" s="391"/>
    </row>
    <row r="60" spans="1:12">
      <c r="A60" s="129" t="s">
        <v>751</v>
      </c>
      <c r="B60" s="130" t="s">
        <v>752</v>
      </c>
      <c r="E60" s="129" t="s">
        <v>753</v>
      </c>
      <c r="F60" s="130" t="s">
        <v>754</v>
      </c>
      <c r="G60" s="129">
        <v>3036</v>
      </c>
      <c r="H60" s="189" t="s">
        <v>1409</v>
      </c>
      <c r="I60" s="125"/>
      <c r="K60" s="391"/>
    </row>
    <row r="61" spans="1:12">
      <c r="A61" s="129" t="s">
        <v>755</v>
      </c>
      <c r="B61" s="130" t="s">
        <v>756</v>
      </c>
      <c r="E61" s="129" t="s">
        <v>757</v>
      </c>
      <c r="F61" s="130" t="s">
        <v>758</v>
      </c>
      <c r="G61" s="129">
        <v>3037</v>
      </c>
      <c r="H61" s="130" t="s">
        <v>1410</v>
      </c>
      <c r="I61" s="125"/>
      <c r="K61" s="391"/>
    </row>
    <row r="62" spans="1:12">
      <c r="A62" s="129" t="s">
        <v>759</v>
      </c>
      <c r="B62" s="130" t="s">
        <v>760</v>
      </c>
      <c r="E62" s="129" t="s">
        <v>761</v>
      </c>
      <c r="F62" s="130" t="s">
        <v>762</v>
      </c>
      <c r="G62" s="129">
        <v>3038</v>
      </c>
      <c r="H62" s="130" t="s">
        <v>1411</v>
      </c>
      <c r="I62" s="125"/>
      <c r="K62" s="391"/>
    </row>
    <row r="63" spans="1:12">
      <c r="A63" s="129" t="s">
        <v>763</v>
      </c>
      <c r="B63" s="130" t="s">
        <v>764</v>
      </c>
      <c r="E63" s="129" t="s">
        <v>765</v>
      </c>
      <c r="F63" s="130" t="s">
        <v>766</v>
      </c>
      <c r="G63" s="129">
        <v>3039</v>
      </c>
      <c r="H63" s="130" t="s">
        <v>1412</v>
      </c>
      <c r="I63" s="125"/>
      <c r="K63" s="391"/>
    </row>
    <row r="64" spans="1:12">
      <c r="A64" s="129" t="s">
        <v>767</v>
      </c>
      <c r="B64" s="130" t="s">
        <v>768</v>
      </c>
      <c r="E64" s="129" t="s">
        <v>769</v>
      </c>
      <c r="F64" s="130" t="s">
        <v>770</v>
      </c>
      <c r="G64" s="129">
        <v>3040</v>
      </c>
      <c r="H64" s="130" t="s">
        <v>1413</v>
      </c>
      <c r="I64" s="125"/>
      <c r="K64" s="391"/>
    </row>
    <row r="65" spans="1:11">
      <c r="A65" s="129" t="s">
        <v>771</v>
      </c>
      <c r="B65" s="130" t="s">
        <v>772</v>
      </c>
      <c r="E65" s="129" t="s">
        <v>773</v>
      </c>
      <c r="F65" s="130" t="s">
        <v>774</v>
      </c>
      <c r="G65" s="129">
        <v>3041</v>
      </c>
      <c r="H65" s="130" t="s">
        <v>1414</v>
      </c>
      <c r="I65" s="125"/>
      <c r="K65" s="391"/>
    </row>
    <row r="66" spans="1:11">
      <c r="A66" s="129" t="s">
        <v>775</v>
      </c>
      <c r="B66" s="130" t="s">
        <v>776</v>
      </c>
      <c r="E66" s="129" t="s">
        <v>777</v>
      </c>
      <c r="F66" s="130" t="s">
        <v>778</v>
      </c>
      <c r="G66" s="129">
        <v>3042</v>
      </c>
      <c r="H66" s="130" t="s">
        <v>1415</v>
      </c>
      <c r="I66" s="125"/>
      <c r="K66" s="391"/>
    </row>
    <row r="67" spans="1:11">
      <c r="A67" s="129" t="s">
        <v>779</v>
      </c>
      <c r="B67" s="130" t="s">
        <v>780</v>
      </c>
      <c r="E67" s="129" t="s">
        <v>781</v>
      </c>
      <c r="F67" s="130" t="s">
        <v>782</v>
      </c>
      <c r="G67" s="129">
        <v>3043</v>
      </c>
      <c r="H67" s="130" t="s">
        <v>1416</v>
      </c>
      <c r="I67" s="125"/>
      <c r="K67" s="391"/>
    </row>
    <row r="68" spans="1:11">
      <c r="A68" s="129" t="s">
        <v>783</v>
      </c>
      <c r="B68" s="130" t="s">
        <v>784</v>
      </c>
      <c r="E68" s="129" t="s">
        <v>785</v>
      </c>
      <c r="F68" s="130" t="s">
        <v>786</v>
      </c>
      <c r="G68" s="129">
        <v>3044</v>
      </c>
      <c r="H68" s="130" t="s">
        <v>1417</v>
      </c>
      <c r="I68" s="125"/>
      <c r="K68" s="391"/>
    </row>
    <row r="69" spans="1:11">
      <c r="A69" s="129" t="s">
        <v>787</v>
      </c>
      <c r="B69" s="130" t="s">
        <v>788</v>
      </c>
      <c r="E69" s="129" t="s">
        <v>789</v>
      </c>
      <c r="F69" s="130" t="s">
        <v>790</v>
      </c>
      <c r="G69" s="129">
        <v>3045</v>
      </c>
      <c r="H69" s="130" t="s">
        <v>1418</v>
      </c>
      <c r="I69" s="125"/>
      <c r="K69" s="391"/>
    </row>
    <row r="70" spans="1:11">
      <c r="A70" s="129" t="s">
        <v>791</v>
      </c>
      <c r="B70" s="130" t="s">
        <v>792</v>
      </c>
      <c r="E70" s="129" t="s">
        <v>793</v>
      </c>
      <c r="F70" s="130" t="s">
        <v>794</v>
      </c>
      <c r="G70" s="129">
        <v>3046</v>
      </c>
      <c r="H70" s="130" t="s">
        <v>1419</v>
      </c>
      <c r="I70" s="125"/>
      <c r="K70" s="391"/>
    </row>
    <row r="71" spans="1:11">
      <c r="A71" s="129" t="s">
        <v>795</v>
      </c>
      <c r="B71" s="130" t="s">
        <v>796</v>
      </c>
      <c r="E71" s="129" t="s">
        <v>797</v>
      </c>
      <c r="F71" s="130" t="s">
        <v>798</v>
      </c>
      <c r="G71" s="129">
        <v>3047</v>
      </c>
      <c r="H71" s="130" t="s">
        <v>1420</v>
      </c>
      <c r="I71" s="125"/>
      <c r="K71" s="391"/>
    </row>
    <row r="72" spans="1:11">
      <c r="A72" s="129" t="s">
        <v>799</v>
      </c>
      <c r="B72" s="130" t="s">
        <v>800</v>
      </c>
      <c r="E72" s="129" t="s">
        <v>801</v>
      </c>
      <c r="F72" s="130" t="s">
        <v>802</v>
      </c>
      <c r="G72" s="129">
        <v>3048</v>
      </c>
      <c r="H72" s="130" t="s">
        <v>1421</v>
      </c>
      <c r="I72" s="125"/>
      <c r="K72" s="391"/>
    </row>
    <row r="73" spans="1:11">
      <c r="A73" s="129" t="s">
        <v>803</v>
      </c>
      <c r="B73" s="130" t="s">
        <v>804</v>
      </c>
      <c r="E73" s="129" t="s">
        <v>805</v>
      </c>
      <c r="F73" s="130" t="s">
        <v>806</v>
      </c>
      <c r="G73" s="129">
        <v>3049</v>
      </c>
      <c r="H73" s="130" t="s">
        <v>1422</v>
      </c>
      <c r="I73" s="125"/>
      <c r="K73" s="391"/>
    </row>
    <row r="74" spans="1:11">
      <c r="A74" s="129" t="s">
        <v>807</v>
      </c>
      <c r="B74" s="130" t="s">
        <v>808</v>
      </c>
      <c r="E74" s="129" t="s">
        <v>809</v>
      </c>
      <c r="F74" s="130" t="s">
        <v>810</v>
      </c>
      <c r="G74" s="129">
        <v>3050</v>
      </c>
      <c r="H74" s="130" t="s">
        <v>1423</v>
      </c>
      <c r="I74" s="125"/>
      <c r="K74" s="391"/>
    </row>
    <row r="75" spans="1:11">
      <c r="A75" s="129" t="s">
        <v>811</v>
      </c>
      <c r="B75" s="130" t="s">
        <v>812</v>
      </c>
      <c r="E75" s="129" t="s">
        <v>813</v>
      </c>
      <c r="F75" s="130" t="s">
        <v>814</v>
      </c>
      <c r="G75" s="129">
        <v>3051</v>
      </c>
      <c r="H75" s="130" t="s">
        <v>1424</v>
      </c>
      <c r="I75" s="125"/>
      <c r="K75" s="391"/>
    </row>
    <row r="76" spans="1:11">
      <c r="A76" s="125"/>
      <c r="B76" s="125"/>
      <c r="E76" s="129" t="s">
        <v>581</v>
      </c>
      <c r="F76" s="130"/>
      <c r="G76" s="129">
        <v>3052</v>
      </c>
      <c r="H76" s="130" t="s">
        <v>1425</v>
      </c>
      <c r="I76" s="125"/>
      <c r="K76" s="391"/>
    </row>
    <row r="77" spans="1:11">
      <c r="A77" s="125"/>
      <c r="B77" s="125"/>
      <c r="E77" s="129" t="s">
        <v>815</v>
      </c>
      <c r="F77" s="130" t="s">
        <v>816</v>
      </c>
      <c r="G77" s="129">
        <v>3053</v>
      </c>
      <c r="H77" s="130" t="s">
        <v>1426</v>
      </c>
      <c r="I77" s="125"/>
      <c r="K77" s="391"/>
    </row>
    <row r="78" spans="1:11">
      <c r="A78" s="129">
        <v>111</v>
      </c>
      <c r="B78" s="130" t="s">
        <v>817</v>
      </c>
      <c r="E78" s="129" t="s">
        <v>818</v>
      </c>
      <c r="F78" s="130" t="s">
        <v>819</v>
      </c>
      <c r="G78" s="129">
        <v>3054</v>
      </c>
      <c r="H78" s="130" t="s">
        <v>1427</v>
      </c>
      <c r="I78" s="125"/>
      <c r="K78" s="391"/>
    </row>
    <row r="79" spans="1:11">
      <c r="A79" s="129">
        <v>112</v>
      </c>
      <c r="B79" s="130" t="s">
        <v>820</v>
      </c>
      <c r="E79" s="129" t="s">
        <v>821</v>
      </c>
      <c r="F79" s="130" t="s">
        <v>822</v>
      </c>
      <c r="G79" s="129">
        <v>3055</v>
      </c>
      <c r="H79" s="130" t="s">
        <v>1428</v>
      </c>
      <c r="I79" s="125"/>
      <c r="K79" s="391"/>
    </row>
    <row r="80" spans="1:11">
      <c r="A80" s="129">
        <v>113</v>
      </c>
      <c r="B80" s="130" t="s">
        <v>823</v>
      </c>
      <c r="E80" s="129" t="s">
        <v>824</v>
      </c>
      <c r="F80" s="130" t="s">
        <v>825</v>
      </c>
      <c r="G80" s="129">
        <v>3056</v>
      </c>
      <c r="H80" s="130" t="s">
        <v>1429</v>
      </c>
      <c r="I80" s="125"/>
      <c r="K80" s="391"/>
    </row>
    <row r="81" spans="1:9">
      <c r="A81" s="129">
        <v>114</v>
      </c>
      <c r="B81" s="130" t="s">
        <v>826</v>
      </c>
      <c r="E81" s="135" t="s">
        <v>827</v>
      </c>
      <c r="F81" s="130" t="s">
        <v>828</v>
      </c>
      <c r="G81" s="129">
        <v>3057</v>
      </c>
      <c r="H81" s="130" t="s">
        <v>1430</v>
      </c>
      <c r="I81" s="125"/>
    </row>
    <row r="82" spans="1:9">
      <c r="A82" s="129">
        <v>115</v>
      </c>
      <c r="B82" s="130" t="s">
        <v>829</v>
      </c>
      <c r="E82" s="135" t="s">
        <v>830</v>
      </c>
      <c r="F82" s="125" t="s">
        <v>831</v>
      </c>
      <c r="G82" s="129">
        <v>3058</v>
      </c>
      <c r="H82" s="130" t="s">
        <v>1431</v>
      </c>
      <c r="I82" s="125"/>
    </row>
    <row r="83" spans="1:9">
      <c r="A83" s="129">
        <v>116</v>
      </c>
      <c r="B83" s="130" t="s">
        <v>832</v>
      </c>
      <c r="E83" s="135" t="s">
        <v>833</v>
      </c>
      <c r="F83" s="125" t="s">
        <v>834</v>
      </c>
      <c r="G83" s="129">
        <v>3059</v>
      </c>
      <c r="H83" s="130" t="s">
        <v>1432</v>
      </c>
      <c r="I83" s="125"/>
    </row>
    <row r="84" spans="1:9">
      <c r="A84" s="129"/>
      <c r="C84" s="128"/>
      <c r="E84" s="135" t="s">
        <v>835</v>
      </c>
      <c r="F84" s="125" t="s">
        <v>836</v>
      </c>
      <c r="G84" s="129">
        <v>3060</v>
      </c>
      <c r="H84" s="130" t="s">
        <v>1433</v>
      </c>
      <c r="I84" s="125"/>
    </row>
    <row r="85" spans="1:9">
      <c r="A85" s="129">
        <v>121</v>
      </c>
      <c r="B85" s="130" t="s">
        <v>837</v>
      </c>
      <c r="C85" s="128"/>
      <c r="E85" s="129" t="s">
        <v>581</v>
      </c>
      <c r="F85" s="130"/>
      <c r="G85" s="129">
        <v>3061</v>
      </c>
      <c r="H85" s="130" t="s">
        <v>1434</v>
      </c>
      <c r="I85" s="125"/>
    </row>
    <row r="86" spans="1:9">
      <c r="A86" s="129">
        <v>122</v>
      </c>
      <c r="B86" s="130" t="s">
        <v>838</v>
      </c>
      <c r="C86" s="128"/>
      <c r="E86" s="135" t="s">
        <v>839</v>
      </c>
      <c r="F86" s="125" t="s">
        <v>840</v>
      </c>
      <c r="G86" s="129">
        <v>3062</v>
      </c>
      <c r="H86" s="130" t="s">
        <v>1435</v>
      </c>
      <c r="I86" s="125"/>
    </row>
    <row r="87" spans="1:9">
      <c r="A87" s="129">
        <v>123</v>
      </c>
      <c r="B87" s="130" t="s">
        <v>841</v>
      </c>
      <c r="C87" s="128"/>
      <c r="E87" s="135" t="s">
        <v>842</v>
      </c>
      <c r="F87" s="125" t="s">
        <v>843</v>
      </c>
      <c r="G87" s="129">
        <v>3063</v>
      </c>
      <c r="H87" s="130" t="s">
        <v>1436</v>
      </c>
      <c r="I87" s="125"/>
    </row>
    <row r="88" spans="1:9">
      <c r="A88" s="129">
        <v>124</v>
      </c>
      <c r="B88" s="130" t="s">
        <v>844</v>
      </c>
      <c r="C88" s="128"/>
      <c r="E88" s="135" t="s">
        <v>845</v>
      </c>
      <c r="F88" s="125" t="s">
        <v>846</v>
      </c>
      <c r="G88" s="129">
        <v>3064</v>
      </c>
      <c r="H88" s="130" t="s">
        <v>1437</v>
      </c>
      <c r="I88" s="125"/>
    </row>
    <row r="89" spans="1:9">
      <c r="A89" s="129">
        <v>125</v>
      </c>
      <c r="B89" s="130" t="s">
        <v>847</v>
      </c>
      <c r="C89" s="128"/>
      <c r="E89" s="135" t="s">
        <v>848</v>
      </c>
      <c r="F89" s="125" t="s">
        <v>276</v>
      </c>
      <c r="G89" s="129">
        <v>3065</v>
      </c>
      <c r="H89" s="130" t="s">
        <v>1438</v>
      </c>
      <c r="I89" s="125"/>
    </row>
    <row r="90" spans="1:9">
      <c r="A90" s="129">
        <v>126</v>
      </c>
      <c r="B90" s="130" t="s">
        <v>849</v>
      </c>
      <c r="C90" s="128"/>
      <c r="E90" s="135" t="s">
        <v>850</v>
      </c>
      <c r="F90" s="125" t="s">
        <v>851</v>
      </c>
      <c r="G90" s="129">
        <v>3066</v>
      </c>
      <c r="H90" s="130" t="s">
        <v>1439</v>
      </c>
      <c r="I90" s="125"/>
    </row>
    <row r="91" spans="1:9">
      <c r="A91" s="129">
        <v>127</v>
      </c>
      <c r="B91" s="130" t="s">
        <v>852</v>
      </c>
      <c r="C91" s="128"/>
      <c r="E91" s="135" t="s">
        <v>853</v>
      </c>
      <c r="F91" s="125" t="s">
        <v>854</v>
      </c>
      <c r="G91" s="129">
        <v>3067</v>
      </c>
      <c r="H91" s="130" t="s">
        <v>1440</v>
      </c>
      <c r="I91" s="125"/>
    </row>
    <row r="92" spans="1:9">
      <c r="A92" s="129">
        <v>128</v>
      </c>
      <c r="B92" s="130" t="s">
        <v>855</v>
      </c>
      <c r="C92" s="128"/>
      <c r="E92" s="129" t="s">
        <v>856</v>
      </c>
      <c r="F92" s="130" t="s">
        <v>857</v>
      </c>
      <c r="G92" s="129">
        <v>3068</v>
      </c>
      <c r="H92" s="130" t="s">
        <v>1441</v>
      </c>
      <c r="I92" s="125"/>
    </row>
    <row r="93" spans="1:9">
      <c r="A93" s="129">
        <v>129</v>
      </c>
      <c r="B93" s="130" t="s">
        <v>858</v>
      </c>
      <c r="C93" s="128"/>
      <c r="E93" s="129" t="s">
        <v>859</v>
      </c>
      <c r="F93" s="130" t="s">
        <v>860</v>
      </c>
      <c r="G93" s="129">
        <v>3069</v>
      </c>
      <c r="H93" s="130" t="s">
        <v>1442</v>
      </c>
      <c r="I93" s="125"/>
    </row>
    <row r="94" spans="1:9">
      <c r="A94" s="129"/>
      <c r="C94" s="128"/>
      <c r="E94" s="129" t="s">
        <v>861</v>
      </c>
      <c r="F94" s="130" t="s">
        <v>862</v>
      </c>
      <c r="G94" s="129">
        <v>3070</v>
      </c>
      <c r="H94" s="130" t="s">
        <v>1443</v>
      </c>
      <c r="I94" s="125"/>
    </row>
    <row r="95" spans="1:9">
      <c r="A95" s="129">
        <v>211</v>
      </c>
      <c r="B95" s="130" t="s">
        <v>863</v>
      </c>
      <c r="C95" s="128"/>
      <c r="E95" s="129" t="s">
        <v>864</v>
      </c>
      <c r="F95" s="130" t="s">
        <v>865</v>
      </c>
      <c r="G95" s="129">
        <v>3071</v>
      </c>
      <c r="H95" s="130" t="s">
        <v>1444</v>
      </c>
      <c r="I95" s="125"/>
    </row>
    <row r="96" spans="1:9">
      <c r="A96" s="129">
        <v>212</v>
      </c>
      <c r="B96" s="130" t="s">
        <v>866</v>
      </c>
      <c r="C96" s="128"/>
      <c r="E96" s="129" t="s">
        <v>867</v>
      </c>
      <c r="F96" s="130" t="s">
        <v>868</v>
      </c>
      <c r="G96" s="129">
        <v>3072</v>
      </c>
      <c r="H96" s="130" t="s">
        <v>1445</v>
      </c>
      <c r="I96" s="125"/>
    </row>
    <row r="97" spans="1:9">
      <c r="A97" s="129">
        <v>213</v>
      </c>
      <c r="B97" s="130" t="s">
        <v>869</v>
      </c>
      <c r="C97" s="128"/>
      <c r="E97" s="129" t="s">
        <v>581</v>
      </c>
      <c r="F97" s="130"/>
      <c r="G97" s="129">
        <v>3073</v>
      </c>
      <c r="H97" s="130" t="s">
        <v>1446</v>
      </c>
      <c r="I97" s="125"/>
    </row>
    <row r="98" spans="1:9">
      <c r="A98" s="129">
        <v>214</v>
      </c>
      <c r="B98" s="130" t="s">
        <v>870</v>
      </c>
      <c r="C98" s="128"/>
      <c r="E98" s="129" t="s">
        <v>871</v>
      </c>
      <c r="F98" s="130" t="s">
        <v>278</v>
      </c>
      <c r="G98" s="129">
        <v>3074</v>
      </c>
      <c r="H98" s="130" t="s">
        <v>1447</v>
      </c>
      <c r="I98" s="125"/>
    </row>
    <row r="99" spans="1:9">
      <c r="A99" s="129">
        <v>215</v>
      </c>
      <c r="B99" s="130" t="s">
        <v>872</v>
      </c>
      <c r="C99" s="128"/>
      <c r="E99" s="129" t="s">
        <v>873</v>
      </c>
      <c r="F99" s="130" t="s">
        <v>874</v>
      </c>
      <c r="G99" s="129">
        <v>3075</v>
      </c>
      <c r="H99" s="130" t="s">
        <v>1448</v>
      </c>
      <c r="I99" s="125"/>
    </row>
    <row r="100" spans="1:9">
      <c r="A100" s="129">
        <v>216</v>
      </c>
      <c r="B100" s="130" t="s">
        <v>875</v>
      </c>
      <c r="C100" s="128"/>
      <c r="G100" s="129">
        <v>3076</v>
      </c>
      <c r="H100" s="130" t="s">
        <v>1449</v>
      </c>
      <c r="I100" s="125"/>
    </row>
    <row r="101" spans="1:9">
      <c r="A101" s="129">
        <v>217</v>
      </c>
      <c r="B101" s="130" t="s">
        <v>876</v>
      </c>
      <c r="C101" s="128"/>
      <c r="G101" s="129">
        <v>3077</v>
      </c>
      <c r="H101" s="130" t="s">
        <v>1450</v>
      </c>
      <c r="I101" s="125"/>
    </row>
    <row r="102" spans="1:9">
      <c r="A102" s="129"/>
      <c r="C102" s="128"/>
      <c r="G102" s="129">
        <v>3078</v>
      </c>
      <c r="H102" s="130" t="s">
        <v>1451</v>
      </c>
      <c r="I102" s="125"/>
    </row>
    <row r="103" spans="1:9">
      <c r="A103" s="129">
        <v>221</v>
      </c>
      <c r="B103" s="130" t="s">
        <v>877</v>
      </c>
      <c r="C103" s="128"/>
      <c r="G103" s="129">
        <v>3079</v>
      </c>
      <c r="H103" s="130" t="s">
        <v>1452</v>
      </c>
      <c r="I103" s="125"/>
    </row>
    <row r="104" spans="1:9">
      <c r="A104" s="129">
        <v>222</v>
      </c>
      <c r="B104" s="130" t="s">
        <v>878</v>
      </c>
      <c r="C104" s="128"/>
      <c r="G104" s="129">
        <v>3080</v>
      </c>
      <c r="H104" s="130" t="s">
        <v>1453</v>
      </c>
      <c r="I104" s="125"/>
    </row>
    <row r="105" spans="1:9">
      <c r="A105" s="129">
        <v>223</v>
      </c>
      <c r="B105" s="130" t="s">
        <v>879</v>
      </c>
      <c r="C105" s="128"/>
      <c r="G105" s="129">
        <v>3081</v>
      </c>
      <c r="H105" s="130" t="s">
        <v>1454</v>
      </c>
      <c r="I105" s="125"/>
    </row>
    <row r="106" spans="1:9">
      <c r="A106" s="129">
        <v>224</v>
      </c>
      <c r="B106" s="130" t="s">
        <v>880</v>
      </c>
      <c r="C106" s="128"/>
      <c r="G106" s="129">
        <v>3082</v>
      </c>
      <c r="H106" s="130" t="s">
        <v>1455</v>
      </c>
      <c r="I106" s="125"/>
    </row>
    <row r="107" spans="1:9">
      <c r="A107" s="129">
        <v>225</v>
      </c>
      <c r="B107" s="130" t="s">
        <v>881</v>
      </c>
      <c r="C107" s="128"/>
      <c r="G107" s="129">
        <v>3083</v>
      </c>
      <c r="H107" s="130" t="s">
        <v>1456</v>
      </c>
      <c r="I107" s="125"/>
    </row>
    <row r="108" spans="1:9">
      <c r="A108" s="129"/>
      <c r="C108" s="128"/>
      <c r="G108" s="135">
        <v>3084</v>
      </c>
      <c r="H108" s="126" t="s">
        <v>1457</v>
      </c>
      <c r="I108" s="125"/>
    </row>
    <row r="109" spans="1:9">
      <c r="A109" s="129"/>
      <c r="C109" s="128"/>
      <c r="G109" s="135">
        <v>3085</v>
      </c>
      <c r="H109" s="126" t="s">
        <v>1458</v>
      </c>
      <c r="I109" s="125"/>
    </row>
    <row r="110" spans="1:9">
      <c r="A110" s="129"/>
      <c r="G110" s="135">
        <v>3086</v>
      </c>
      <c r="H110" s="126" t="s">
        <v>1459</v>
      </c>
      <c r="I110" s="125"/>
    </row>
    <row r="111" spans="1:9">
      <c r="A111" s="129"/>
      <c r="G111" s="135">
        <v>3087</v>
      </c>
      <c r="H111" s="126" t="s">
        <v>1460</v>
      </c>
      <c r="I111" s="125"/>
    </row>
    <row r="112" spans="1:9">
      <c r="A112" s="129"/>
      <c r="G112" s="135">
        <v>3088</v>
      </c>
      <c r="H112" s="126" t="s">
        <v>1461</v>
      </c>
      <c r="I112" s="125"/>
    </row>
    <row r="113" spans="1:9">
      <c r="A113" s="129">
        <v>311</v>
      </c>
      <c r="B113" s="130" t="s">
        <v>238</v>
      </c>
      <c r="G113" s="135">
        <v>3089</v>
      </c>
      <c r="H113" s="126" t="s">
        <v>1462</v>
      </c>
      <c r="I113" s="125"/>
    </row>
    <row r="114" spans="1:9">
      <c r="A114" s="129">
        <v>312</v>
      </c>
      <c r="B114" s="130" t="s">
        <v>240</v>
      </c>
      <c r="G114" s="135">
        <v>3090</v>
      </c>
      <c r="H114" s="126" t="s">
        <v>1463</v>
      </c>
      <c r="I114" s="125"/>
    </row>
    <row r="115" spans="1:9">
      <c r="A115" s="129">
        <v>313</v>
      </c>
      <c r="B115" s="130" t="s">
        <v>242</v>
      </c>
      <c r="G115" s="135">
        <v>3091</v>
      </c>
      <c r="H115" s="126" t="s">
        <v>1464</v>
      </c>
      <c r="I115" s="125"/>
    </row>
    <row r="116" spans="1:9">
      <c r="A116" s="129">
        <v>314</v>
      </c>
      <c r="B116" s="130" t="s">
        <v>243</v>
      </c>
      <c r="G116" s="135">
        <v>3092</v>
      </c>
      <c r="H116" s="126" t="s">
        <v>1465</v>
      </c>
      <c r="I116" s="125"/>
    </row>
    <row r="117" spans="1:9">
      <c r="A117" s="129"/>
      <c r="G117" s="135">
        <v>3093</v>
      </c>
      <c r="H117" s="126" t="s">
        <v>1466</v>
      </c>
      <c r="I117" s="125"/>
    </row>
    <row r="118" spans="1:9">
      <c r="A118" s="129">
        <v>321</v>
      </c>
      <c r="B118" s="130" t="s">
        <v>246</v>
      </c>
      <c r="G118" s="135">
        <v>3094</v>
      </c>
      <c r="H118" s="126" t="s">
        <v>1467</v>
      </c>
      <c r="I118" s="125"/>
    </row>
    <row r="119" spans="1:9">
      <c r="A119" s="129">
        <v>322</v>
      </c>
      <c r="B119" s="130" t="s">
        <v>248</v>
      </c>
      <c r="G119" s="135">
        <v>3095</v>
      </c>
      <c r="H119" s="126" t="s">
        <v>1468</v>
      </c>
      <c r="I119" s="125"/>
    </row>
    <row r="120" spans="1:9">
      <c r="A120" s="129">
        <v>323</v>
      </c>
      <c r="B120" s="130" t="s">
        <v>250</v>
      </c>
      <c r="C120" s="125"/>
      <c r="G120" s="135">
        <v>3096</v>
      </c>
      <c r="H120" s="126" t="s">
        <v>1469</v>
      </c>
      <c r="I120" s="125"/>
    </row>
    <row r="121" spans="1:9">
      <c r="A121" s="129">
        <v>324</v>
      </c>
      <c r="B121" s="130" t="s">
        <v>252</v>
      </c>
      <c r="C121" s="125"/>
      <c r="G121" s="135">
        <v>3097</v>
      </c>
      <c r="H121" s="125" t="s">
        <v>1573</v>
      </c>
      <c r="I121" s="125"/>
    </row>
    <row r="122" spans="1:9">
      <c r="A122" s="129">
        <v>325</v>
      </c>
      <c r="B122" s="130" t="s">
        <v>254</v>
      </c>
      <c r="C122" s="125"/>
      <c r="G122" s="135">
        <v>3098</v>
      </c>
      <c r="H122" s="125" t="s">
        <v>1575</v>
      </c>
      <c r="I122" s="125"/>
    </row>
    <row r="123" spans="1:9">
      <c r="A123" s="129"/>
      <c r="B123" s="125"/>
      <c r="C123" s="125"/>
      <c r="G123" s="135">
        <v>3099</v>
      </c>
      <c r="H123" s="125" t="s">
        <v>2523</v>
      </c>
      <c r="I123" s="125"/>
    </row>
    <row r="124" spans="1:9">
      <c r="A124" s="129"/>
      <c r="B124" s="125"/>
      <c r="C124" s="125"/>
      <c r="G124" s="135">
        <v>3100</v>
      </c>
      <c r="H124" s="125" t="s">
        <v>1702</v>
      </c>
      <c r="I124" s="125"/>
    </row>
    <row r="125" spans="1:9">
      <c r="A125" s="129"/>
      <c r="B125" s="125"/>
      <c r="C125" s="125"/>
      <c r="G125" s="135">
        <v>3101</v>
      </c>
      <c r="H125" s="125" t="s">
        <v>1703</v>
      </c>
      <c r="I125" s="125"/>
    </row>
    <row r="126" spans="1:9">
      <c r="A126" s="129"/>
      <c r="B126" s="125"/>
      <c r="C126" s="125"/>
      <c r="G126" s="135">
        <v>3102</v>
      </c>
      <c r="H126" s="125" t="s">
        <v>1704</v>
      </c>
      <c r="I126" s="125"/>
    </row>
    <row r="127" spans="1:9">
      <c r="A127" s="129"/>
      <c r="B127" s="125"/>
      <c r="C127" s="125"/>
      <c r="G127" s="135">
        <v>3103</v>
      </c>
      <c r="H127" s="125" t="s">
        <v>1705</v>
      </c>
      <c r="I127" s="125"/>
    </row>
    <row r="128" spans="1:9">
      <c r="A128" s="129"/>
      <c r="B128" s="125"/>
      <c r="C128" s="125"/>
      <c r="G128" s="135">
        <v>3104</v>
      </c>
      <c r="H128" s="125" t="s">
        <v>1857</v>
      </c>
      <c r="I128" s="125"/>
    </row>
    <row r="129" spans="1:9">
      <c r="A129" s="129"/>
      <c r="B129" s="125"/>
      <c r="C129" s="125"/>
      <c r="G129" s="135">
        <v>3105</v>
      </c>
      <c r="H129" s="125" t="s">
        <v>2521</v>
      </c>
      <c r="I129" s="125"/>
    </row>
    <row r="130" spans="1:9">
      <c r="A130" s="129"/>
      <c r="B130" s="125"/>
      <c r="C130" s="125"/>
      <c r="G130" s="135">
        <v>3106</v>
      </c>
      <c r="H130" s="125" t="s">
        <v>1858</v>
      </c>
      <c r="I130" s="125"/>
    </row>
    <row r="131" spans="1:9">
      <c r="A131" s="129"/>
      <c r="B131" s="125"/>
      <c r="C131" s="125"/>
      <c r="G131" s="135">
        <v>3107</v>
      </c>
      <c r="H131" s="125" t="s">
        <v>1862</v>
      </c>
      <c r="I131" s="125"/>
    </row>
    <row r="132" spans="1:9">
      <c r="A132" s="129"/>
      <c r="B132" s="125"/>
      <c r="C132" s="125"/>
      <c r="G132" s="135">
        <v>3108</v>
      </c>
      <c r="H132" s="125" t="s">
        <v>1865</v>
      </c>
      <c r="I132" s="125"/>
    </row>
    <row r="133" spans="1:9">
      <c r="A133" s="129"/>
      <c r="B133" s="125"/>
      <c r="C133" s="125"/>
      <c r="G133" s="135">
        <v>3109</v>
      </c>
      <c r="H133" s="125" t="s">
        <v>1866</v>
      </c>
      <c r="I133" s="125"/>
    </row>
    <row r="134" spans="1:9">
      <c r="A134" s="129"/>
      <c r="B134" s="125"/>
      <c r="C134" s="125"/>
      <c r="G134" s="135">
        <v>3110</v>
      </c>
      <c r="H134" s="125" t="s">
        <v>2279</v>
      </c>
      <c r="I134" s="125"/>
    </row>
    <row r="135" spans="1:9">
      <c r="A135" s="129"/>
      <c r="B135" s="125"/>
      <c r="C135" s="125"/>
      <c r="G135" s="135">
        <v>3111</v>
      </c>
      <c r="H135" s="125" t="s">
        <v>2278</v>
      </c>
      <c r="I135" s="125"/>
    </row>
    <row r="136" spans="1:9">
      <c r="A136" s="129"/>
      <c r="B136" s="125"/>
      <c r="C136" s="125"/>
      <c r="G136" s="135">
        <v>3112</v>
      </c>
      <c r="H136" s="125" t="s">
        <v>2280</v>
      </c>
      <c r="I136" s="125"/>
    </row>
    <row r="137" spans="1:9">
      <c r="A137" s="129"/>
      <c r="B137" s="125"/>
      <c r="C137" s="125"/>
      <c r="G137" s="135">
        <v>3113</v>
      </c>
      <c r="H137" s="125" t="s">
        <v>2287</v>
      </c>
      <c r="I137" s="125"/>
    </row>
    <row r="138" spans="1:9">
      <c r="A138" s="129"/>
      <c r="B138" s="125"/>
      <c r="C138" s="125"/>
      <c r="G138" s="135">
        <v>3114</v>
      </c>
      <c r="H138" s="125" t="s">
        <v>2382</v>
      </c>
      <c r="I138" s="125"/>
    </row>
    <row r="139" spans="1:9">
      <c r="A139" s="129"/>
      <c r="B139" s="125"/>
      <c r="C139" s="125"/>
      <c r="G139" s="135">
        <v>3115</v>
      </c>
      <c r="H139" s="125" t="s">
        <v>2384</v>
      </c>
      <c r="I139" s="125"/>
    </row>
    <row r="140" spans="1:9">
      <c r="A140" s="129"/>
      <c r="B140" s="125"/>
      <c r="C140" s="125"/>
      <c r="G140" s="129">
        <v>4001</v>
      </c>
      <c r="H140" s="125" t="s">
        <v>1390</v>
      </c>
      <c r="I140" s="125"/>
    </row>
    <row r="141" spans="1:9">
      <c r="A141" s="129"/>
      <c r="B141" s="125"/>
      <c r="C141" s="125"/>
      <c r="G141" s="135">
        <v>4002</v>
      </c>
      <c r="H141" s="824" t="s">
        <v>1391</v>
      </c>
      <c r="I141" s="125"/>
    </row>
    <row r="142" spans="1:9">
      <c r="A142" s="125"/>
      <c r="B142" s="125"/>
      <c r="C142" s="125"/>
      <c r="G142" s="135">
        <v>3116</v>
      </c>
      <c r="H142" s="125" t="s">
        <v>2509</v>
      </c>
      <c r="I142" s="125"/>
    </row>
    <row r="143" spans="1:9">
      <c r="A143" s="125"/>
      <c r="B143" s="125"/>
      <c r="C143" s="125"/>
      <c r="G143" s="135">
        <v>3117</v>
      </c>
      <c r="H143" s="125" t="s">
        <v>2511</v>
      </c>
      <c r="I143" s="125"/>
    </row>
    <row r="144" spans="1:9">
      <c r="A144" s="125"/>
      <c r="B144" s="125"/>
      <c r="C144" s="125"/>
      <c r="G144" s="135">
        <v>3118</v>
      </c>
      <c r="H144" s="125" t="s">
        <v>2512</v>
      </c>
      <c r="I144" s="125"/>
    </row>
    <row r="145" spans="1:9">
      <c r="A145" s="125"/>
      <c r="B145" s="125"/>
      <c r="C145" s="125"/>
      <c r="G145" s="135">
        <v>3119</v>
      </c>
      <c r="H145" s="125" t="s">
        <v>2522</v>
      </c>
      <c r="I145" s="125"/>
    </row>
    <row r="146" spans="1:9">
      <c r="A146" s="125"/>
      <c r="B146" s="125"/>
      <c r="C146" s="125"/>
      <c r="G146" s="135">
        <v>3120</v>
      </c>
      <c r="H146" s="125" t="s">
        <v>2541</v>
      </c>
      <c r="I146" s="125"/>
    </row>
    <row r="147" spans="1:9">
      <c r="A147" s="125"/>
      <c r="B147" s="125"/>
      <c r="C147" s="125"/>
      <c r="G147" s="135">
        <v>3121</v>
      </c>
      <c r="H147" s="125" t="s">
        <v>2542</v>
      </c>
      <c r="I147" s="125"/>
    </row>
    <row r="148" spans="1:9">
      <c r="A148" s="125"/>
      <c r="B148" s="125"/>
      <c r="C148" s="125"/>
      <c r="G148" s="135">
        <v>3122</v>
      </c>
      <c r="H148" s="125" t="s">
        <v>2543</v>
      </c>
      <c r="I148" s="125"/>
    </row>
    <row r="149" spans="1:9">
      <c r="A149" s="125"/>
      <c r="B149" s="125"/>
      <c r="C149" s="125"/>
      <c r="G149" s="135">
        <v>3123</v>
      </c>
      <c r="H149" s="125" t="s">
        <v>2559</v>
      </c>
      <c r="I149" s="125"/>
    </row>
    <row r="150" spans="1:9">
      <c r="A150" s="125"/>
      <c r="B150" s="125"/>
      <c r="C150" s="125"/>
      <c r="G150" s="135">
        <v>3124</v>
      </c>
      <c r="H150" s="125" t="s">
        <v>2560</v>
      </c>
      <c r="I150" s="125"/>
    </row>
    <row r="151" spans="1:9">
      <c r="A151" s="125"/>
      <c r="B151" s="125"/>
      <c r="C151" s="125"/>
      <c r="G151" s="135">
        <v>3125</v>
      </c>
      <c r="H151" s="125" t="s">
        <v>2561</v>
      </c>
      <c r="I151" s="125"/>
    </row>
    <row r="152" spans="1:9">
      <c r="A152" s="125"/>
      <c r="B152" s="125"/>
      <c r="C152" s="125"/>
      <c r="G152" s="135">
        <v>3126</v>
      </c>
      <c r="H152" s="125" t="s">
        <v>2562</v>
      </c>
      <c r="I152" s="125"/>
    </row>
    <row r="153" spans="1:9">
      <c r="A153" s="125"/>
      <c r="B153" s="125"/>
      <c r="C153" s="125"/>
      <c r="G153" s="135">
        <v>3127</v>
      </c>
      <c r="H153" s="125" t="s">
        <v>2563</v>
      </c>
      <c r="I153" s="125"/>
    </row>
    <row r="154" spans="1:9">
      <c r="A154" s="125"/>
      <c r="B154" s="125"/>
      <c r="C154" s="125"/>
      <c r="G154" s="135">
        <v>3128</v>
      </c>
      <c r="H154" s="125" t="s">
        <v>2607</v>
      </c>
      <c r="I154" s="125"/>
    </row>
    <row r="155" spans="1:9">
      <c r="A155" s="125"/>
      <c r="B155" s="125"/>
      <c r="C155" s="125"/>
      <c r="G155" s="135">
        <v>3129</v>
      </c>
      <c r="H155" s="125" t="s">
        <v>2622</v>
      </c>
      <c r="I155" s="125"/>
    </row>
    <row r="156" spans="1:9">
      <c r="A156" s="125"/>
      <c r="B156" s="125"/>
      <c r="C156" s="125"/>
      <c r="G156" s="135">
        <v>3130</v>
      </c>
      <c r="H156" s="125" t="s">
        <v>2646</v>
      </c>
      <c r="I156" s="125"/>
    </row>
    <row r="157" spans="1:9">
      <c r="A157" s="125"/>
      <c r="B157" s="125"/>
      <c r="C157" s="125"/>
      <c r="G157" s="135">
        <v>3131</v>
      </c>
      <c r="H157" s="125" t="s">
        <v>2647</v>
      </c>
      <c r="I157" s="125"/>
    </row>
    <row r="158" spans="1:9">
      <c r="A158" s="125"/>
      <c r="B158" s="125"/>
      <c r="C158" s="125"/>
      <c r="G158" s="135">
        <v>3132</v>
      </c>
      <c r="H158" s="125" t="s">
        <v>2651</v>
      </c>
      <c r="I158" s="125"/>
    </row>
    <row r="159" spans="1:9">
      <c r="A159" s="125"/>
      <c r="B159" s="125"/>
      <c r="C159" s="125"/>
      <c r="G159" s="135">
        <v>3133</v>
      </c>
      <c r="H159" s="125" t="s">
        <v>2699</v>
      </c>
      <c r="I159" s="125"/>
    </row>
    <row r="160" spans="1:9">
      <c r="A160" s="125"/>
      <c r="B160" s="125"/>
      <c r="C160" s="125"/>
      <c r="G160" s="135">
        <v>3134</v>
      </c>
      <c r="H160" s="125" t="s">
        <v>2711</v>
      </c>
      <c r="I160" s="125"/>
    </row>
    <row r="161" spans="1:9">
      <c r="A161" s="125"/>
      <c r="B161" s="125"/>
      <c r="C161" s="125"/>
      <c r="G161" s="135">
        <v>3135</v>
      </c>
      <c r="H161" s="125" t="s">
        <v>2714</v>
      </c>
      <c r="I161" s="125"/>
    </row>
    <row r="162" spans="1:9">
      <c r="A162" s="125"/>
      <c r="B162" s="125"/>
      <c r="C162" s="125"/>
      <c r="G162" s="135">
        <v>3136</v>
      </c>
      <c r="H162" s="125" t="s">
        <v>2716</v>
      </c>
      <c r="I162" s="125"/>
    </row>
    <row r="163" spans="1:9">
      <c r="A163" s="125"/>
      <c r="B163" s="125"/>
      <c r="C163" s="125"/>
      <c r="G163" s="135">
        <v>3137</v>
      </c>
      <c r="H163" s="125" t="s">
        <v>2717</v>
      </c>
      <c r="I163" s="125"/>
    </row>
    <row r="164" spans="1:9">
      <c r="A164" s="125"/>
      <c r="B164" s="125"/>
      <c r="C164" s="125"/>
      <c r="G164" s="135">
        <v>3138</v>
      </c>
      <c r="H164" s="125" t="s">
        <v>2818</v>
      </c>
      <c r="I164" s="125"/>
    </row>
    <row r="165" spans="1:9">
      <c r="A165" s="125"/>
      <c r="B165" s="125"/>
      <c r="C165" s="125"/>
      <c r="G165" s="135">
        <v>3139</v>
      </c>
      <c r="H165" s="125" t="s">
        <v>2860</v>
      </c>
      <c r="I165" s="125"/>
    </row>
    <row r="166" spans="1:9">
      <c r="A166" s="125"/>
      <c r="B166" s="125"/>
      <c r="C166" s="125"/>
      <c r="I166" s="125"/>
    </row>
    <row r="167" spans="1:9">
      <c r="A167" s="125"/>
      <c r="B167" s="125"/>
      <c r="C167" s="125"/>
      <c r="I167" s="125"/>
    </row>
    <row r="168" spans="1:9">
      <c r="A168" s="125"/>
      <c r="B168" s="125"/>
      <c r="C168" s="125"/>
      <c r="I168" s="125"/>
    </row>
    <row r="169" spans="1:9">
      <c r="A169" s="125"/>
      <c r="B169" s="125"/>
      <c r="C169" s="125"/>
      <c r="I169" s="125"/>
    </row>
    <row r="170" spans="1:9">
      <c r="A170" s="125"/>
      <c r="B170" s="125"/>
      <c r="C170" s="125"/>
      <c r="I170" s="125"/>
    </row>
    <row r="171" spans="1:9">
      <c r="A171" s="125"/>
      <c r="B171" s="125"/>
      <c r="C171" s="125"/>
      <c r="I171" s="125"/>
    </row>
    <row r="172" spans="1:9">
      <c r="A172" s="125"/>
      <c r="B172" s="125"/>
      <c r="C172" s="125"/>
      <c r="I172" s="125"/>
    </row>
    <row r="173" spans="1:9">
      <c r="A173" s="125"/>
      <c r="B173" s="125"/>
      <c r="C173" s="125"/>
      <c r="I173" s="125"/>
    </row>
    <row r="174" spans="1:9">
      <c r="A174" s="125"/>
      <c r="B174" s="125"/>
      <c r="C174" s="125"/>
      <c r="I174" s="125"/>
    </row>
    <row r="175" spans="1:9">
      <c r="A175" s="125"/>
      <c r="B175" s="125"/>
      <c r="C175" s="125"/>
      <c r="I175" s="125"/>
    </row>
    <row r="176" spans="1:9">
      <c r="A176" s="125"/>
      <c r="B176" s="125"/>
      <c r="C176" s="125"/>
      <c r="I176" s="125"/>
    </row>
    <row r="177" spans="1:9">
      <c r="A177" s="125"/>
      <c r="B177" s="125"/>
      <c r="C177" s="125"/>
      <c r="I177" s="125"/>
    </row>
    <row r="178" spans="1:9">
      <c r="A178" s="125"/>
      <c r="B178" s="125"/>
      <c r="C178" s="125"/>
      <c r="I178" s="125"/>
    </row>
    <row r="179" spans="1:9">
      <c r="A179" s="125"/>
      <c r="B179" s="125"/>
      <c r="C179" s="125"/>
      <c r="I179" s="125"/>
    </row>
    <row r="180" spans="1:9">
      <c r="A180" s="125"/>
      <c r="B180" s="125"/>
      <c r="C180" s="125"/>
      <c r="I180" s="125"/>
    </row>
    <row r="181" spans="1:9">
      <c r="A181" s="125"/>
      <c r="B181" s="125"/>
      <c r="C181" s="125"/>
      <c r="I181" s="125"/>
    </row>
    <row r="182" spans="1:9">
      <c r="A182" s="125"/>
      <c r="B182" s="125"/>
      <c r="C182" s="125"/>
      <c r="I182" s="125"/>
    </row>
    <row r="183" spans="1:9">
      <c r="A183" s="125"/>
      <c r="B183" s="125"/>
      <c r="C183" s="125"/>
      <c r="I183" s="125"/>
    </row>
    <row r="184" spans="1:9">
      <c r="A184" s="125"/>
      <c r="B184" s="125"/>
      <c r="C184" s="125"/>
      <c r="I184" s="125"/>
    </row>
    <row r="185" spans="1:9">
      <c r="A185" s="125"/>
      <c r="B185" s="125"/>
      <c r="C185" s="125"/>
      <c r="G185" s="129"/>
      <c r="H185" s="130"/>
      <c r="I185" s="125"/>
    </row>
    <row r="186" spans="1:9">
      <c r="A186" s="125"/>
      <c r="B186" s="125"/>
      <c r="C186" s="125"/>
      <c r="G186" s="129"/>
      <c r="H186" s="130"/>
      <c r="I186" s="125"/>
    </row>
    <row r="187" spans="1:9">
      <c r="A187" s="125"/>
      <c r="B187" s="125"/>
      <c r="C187" s="125"/>
      <c r="G187" s="129"/>
      <c r="H187" s="130"/>
      <c r="I187" s="125"/>
    </row>
    <row r="188" spans="1:9">
      <c r="A188" s="125"/>
      <c r="B188" s="125"/>
      <c r="C188" s="125"/>
      <c r="G188" s="129"/>
      <c r="H188" s="130"/>
      <c r="I188" s="125"/>
    </row>
    <row r="189" spans="1:9">
      <c r="A189" s="125"/>
      <c r="B189" s="125"/>
      <c r="C189" s="125"/>
      <c r="G189" s="129"/>
      <c r="H189" s="130"/>
      <c r="I189" s="125"/>
    </row>
    <row r="190" spans="1:9">
      <c r="A190" s="125"/>
      <c r="B190" s="125"/>
      <c r="C190" s="125"/>
      <c r="G190" s="129"/>
      <c r="H190" s="130"/>
      <c r="I190" s="125"/>
    </row>
    <row r="191" spans="1:9">
      <c r="A191" s="125"/>
      <c r="B191" s="125"/>
      <c r="C191" s="125"/>
      <c r="G191" s="129"/>
      <c r="H191" s="130"/>
      <c r="I191" s="125"/>
    </row>
    <row r="192" spans="1:9">
      <c r="A192" s="125"/>
      <c r="B192" s="125"/>
      <c r="C192" s="125"/>
      <c r="G192" s="129"/>
      <c r="H192" s="130"/>
      <c r="I192" s="125"/>
    </row>
    <row r="193" spans="1:9">
      <c r="A193" s="125"/>
      <c r="B193" s="125"/>
      <c r="C193" s="125"/>
      <c r="G193" s="129"/>
      <c r="H193" s="130"/>
      <c r="I193" s="125"/>
    </row>
    <row r="194" spans="1:9">
      <c r="A194" s="125"/>
      <c r="B194" s="125"/>
      <c r="C194" s="125"/>
      <c r="G194" s="129"/>
      <c r="H194" s="130"/>
      <c r="I194" s="125"/>
    </row>
    <row r="195" spans="1:9">
      <c r="A195" s="125"/>
      <c r="B195" s="125"/>
      <c r="C195" s="125"/>
      <c r="G195" s="129"/>
      <c r="H195" s="130"/>
      <c r="I195" s="125"/>
    </row>
    <row r="196" spans="1:9">
      <c r="A196" s="125"/>
      <c r="B196" s="125"/>
      <c r="C196" s="125"/>
      <c r="G196" s="129"/>
      <c r="H196" s="130"/>
      <c r="I196" s="125"/>
    </row>
    <row r="197" spans="1:9">
      <c r="A197" s="125"/>
      <c r="B197" s="125"/>
      <c r="C197" s="125"/>
      <c r="G197" s="129"/>
      <c r="H197" s="130"/>
      <c r="I197" s="125"/>
    </row>
    <row r="198" spans="1:9">
      <c r="A198" s="125"/>
      <c r="B198" s="125"/>
      <c r="C198" s="125"/>
      <c r="G198" s="129"/>
      <c r="H198" s="130"/>
      <c r="I198" s="125"/>
    </row>
    <row r="199" spans="1:9">
      <c r="A199" s="125"/>
      <c r="B199" s="125"/>
      <c r="C199" s="125"/>
      <c r="G199" s="129"/>
      <c r="H199" s="130"/>
      <c r="I199" s="125"/>
    </row>
    <row r="200" spans="1:9">
      <c r="A200" s="125"/>
      <c r="B200" s="125"/>
      <c r="C200" s="125"/>
      <c r="G200" s="129"/>
      <c r="H200" s="130"/>
      <c r="I200" s="125"/>
    </row>
    <row r="201" spans="1:9">
      <c r="A201" s="125"/>
      <c r="B201" s="125"/>
      <c r="C201" s="125"/>
      <c r="G201" s="340"/>
      <c r="H201" s="139"/>
      <c r="I201" s="125"/>
    </row>
    <row r="202" spans="1:9">
      <c r="A202" s="125"/>
      <c r="B202" s="125"/>
      <c r="C202" s="125"/>
      <c r="I202" s="125"/>
    </row>
    <row r="203" spans="1:9">
      <c r="A203" s="125"/>
      <c r="B203" s="125"/>
      <c r="C203" s="125"/>
      <c r="I203" s="125"/>
    </row>
    <row r="204" spans="1:9">
      <c r="A204" s="125"/>
      <c r="B204" s="125"/>
      <c r="C204" s="125"/>
      <c r="I204" s="125"/>
    </row>
    <row r="205" spans="1:9">
      <c r="A205" s="125"/>
      <c r="B205" s="125"/>
      <c r="C205" s="125"/>
      <c r="I205" s="125"/>
    </row>
    <row r="206" spans="1:9">
      <c r="A206" s="125"/>
      <c r="B206" s="125"/>
      <c r="C206" s="125"/>
      <c r="I206" s="125"/>
    </row>
    <row r="207" spans="1:9">
      <c r="A207" s="125"/>
      <c r="B207" s="125"/>
      <c r="C207" s="125"/>
      <c r="I207" s="125"/>
    </row>
    <row r="208" spans="1:9">
      <c r="A208" s="125"/>
      <c r="B208" s="125"/>
      <c r="C208" s="125"/>
      <c r="I208" s="125"/>
    </row>
    <row r="209" spans="1:9">
      <c r="A209" s="125"/>
      <c r="B209" s="125"/>
      <c r="C209" s="125"/>
      <c r="I209" s="125"/>
    </row>
    <row r="210" spans="1:9">
      <c r="A210" s="125"/>
      <c r="B210" s="125"/>
      <c r="C210" s="125"/>
      <c r="I210" s="125"/>
    </row>
    <row r="211" spans="1:9">
      <c r="A211" s="125"/>
      <c r="B211" s="125"/>
      <c r="C211" s="125"/>
      <c r="I211" s="125"/>
    </row>
    <row r="212" spans="1:9">
      <c r="A212" s="125"/>
      <c r="B212" s="125"/>
      <c r="C212" s="125"/>
      <c r="I212" s="125"/>
    </row>
    <row r="213" spans="1:9">
      <c r="A213" s="125"/>
      <c r="B213" s="125"/>
      <c r="C213" s="125"/>
      <c r="I213" s="125"/>
    </row>
    <row r="214" spans="1:9">
      <c r="A214" s="125"/>
      <c r="B214" s="125"/>
      <c r="C214" s="125"/>
      <c r="I214" s="125"/>
    </row>
    <row r="215" spans="1:9">
      <c r="A215" s="125"/>
      <c r="B215" s="125"/>
      <c r="C215" s="125"/>
      <c r="I215" s="125"/>
    </row>
    <row r="216" spans="1:9">
      <c r="A216" s="125"/>
      <c r="B216" s="125"/>
      <c r="C216" s="125"/>
      <c r="I216" s="125"/>
    </row>
    <row r="217" spans="1:9">
      <c r="A217" s="125"/>
      <c r="B217" s="125"/>
      <c r="C217" s="125"/>
      <c r="I217" s="125"/>
    </row>
    <row r="218" spans="1:9">
      <c r="A218" s="125"/>
      <c r="B218" s="125"/>
      <c r="C218" s="125"/>
      <c r="I218" s="125"/>
    </row>
    <row r="219" spans="1:9">
      <c r="A219" s="125"/>
      <c r="B219" s="125"/>
      <c r="C219" s="125"/>
      <c r="I219" s="125"/>
    </row>
    <row r="220" spans="1:9">
      <c r="A220" s="125"/>
      <c r="B220" s="125"/>
      <c r="C220" s="125"/>
      <c r="I220" s="125"/>
    </row>
    <row r="221" spans="1:9">
      <c r="A221" s="125"/>
      <c r="B221" s="125"/>
      <c r="C221" s="125"/>
      <c r="I221" s="125"/>
    </row>
    <row r="222" spans="1:9">
      <c r="A222" s="125"/>
      <c r="B222" s="125"/>
      <c r="C222" s="125"/>
      <c r="I222" s="125"/>
    </row>
    <row r="223" spans="1:9">
      <c r="A223" s="125"/>
      <c r="B223" s="125"/>
      <c r="C223" s="125"/>
      <c r="I223" s="125"/>
    </row>
    <row r="224" spans="1:9">
      <c r="A224" s="125"/>
      <c r="B224" s="125"/>
      <c r="C224" s="125"/>
      <c r="I224" s="125"/>
    </row>
    <row r="225" spans="1:9">
      <c r="A225" s="125"/>
      <c r="B225" s="125"/>
      <c r="C225" s="125"/>
      <c r="I225" s="125"/>
    </row>
    <row r="226" spans="1:9">
      <c r="A226" s="125"/>
      <c r="B226" s="125"/>
      <c r="C226" s="125"/>
      <c r="I226" s="125"/>
    </row>
    <row r="227" spans="1:9">
      <c r="A227" s="125"/>
      <c r="B227" s="125"/>
      <c r="C227" s="125"/>
      <c r="I227" s="125"/>
    </row>
    <row r="228" spans="1:9">
      <c r="A228" s="125"/>
      <c r="B228" s="125"/>
      <c r="C228" s="125"/>
      <c r="I228" s="125"/>
    </row>
    <row r="229" spans="1:9">
      <c r="A229" s="125"/>
      <c r="B229" s="125"/>
      <c r="C229" s="125"/>
      <c r="I229" s="125"/>
    </row>
    <row r="230" spans="1:9">
      <c r="A230" s="125"/>
      <c r="B230" s="125"/>
      <c r="C230" s="125"/>
      <c r="I230" s="125"/>
    </row>
    <row r="231" spans="1:9">
      <c r="A231" s="125"/>
      <c r="B231" s="125"/>
      <c r="C231" s="125"/>
      <c r="I231" s="125"/>
    </row>
    <row r="232" spans="1:9">
      <c r="A232" s="125"/>
      <c r="B232" s="125"/>
      <c r="C232" s="125"/>
      <c r="I232" s="125"/>
    </row>
    <row r="233" spans="1:9">
      <c r="A233" s="125"/>
      <c r="B233" s="125"/>
      <c r="C233" s="125"/>
      <c r="I233" s="125"/>
    </row>
    <row r="234" spans="1:9">
      <c r="A234" s="125"/>
      <c r="B234" s="125"/>
      <c r="C234" s="125"/>
      <c r="I234" s="125"/>
    </row>
    <row r="235" spans="1:9">
      <c r="A235" s="125"/>
      <c r="B235" s="125"/>
      <c r="C235" s="125"/>
      <c r="I235" s="125"/>
    </row>
    <row r="236" spans="1:9">
      <c r="A236" s="125"/>
      <c r="B236" s="125"/>
      <c r="G236" s="129"/>
      <c r="H236" s="130"/>
      <c r="I236" s="125"/>
    </row>
    <row r="237" spans="1:9">
      <c r="A237" s="125"/>
      <c r="B237" s="125"/>
      <c r="G237" s="129"/>
      <c r="H237" s="130"/>
      <c r="I237" s="125"/>
    </row>
    <row r="238" spans="1:9">
      <c r="A238" s="125"/>
      <c r="B238" s="125"/>
      <c r="G238" s="129"/>
      <c r="H238" s="130"/>
      <c r="I238" s="125"/>
    </row>
    <row r="239" spans="1:9">
      <c r="A239" s="125"/>
      <c r="B239" s="125"/>
      <c r="C239" s="125"/>
      <c r="G239" s="129"/>
      <c r="H239" s="130"/>
      <c r="I239" s="125"/>
    </row>
    <row r="240" spans="1:9">
      <c r="A240" s="125"/>
      <c r="B240" s="125"/>
      <c r="C240" s="125"/>
      <c r="G240" s="129"/>
      <c r="H240" s="130"/>
      <c r="I240" s="125"/>
    </row>
    <row r="241" spans="1:9">
      <c r="A241" s="125"/>
      <c r="B241" s="125"/>
      <c r="C241" s="125"/>
      <c r="G241" s="129"/>
      <c r="H241" s="130"/>
      <c r="I241" s="125"/>
    </row>
    <row r="242" spans="1:9">
      <c r="A242" s="125"/>
      <c r="B242" s="125"/>
      <c r="C242" s="125"/>
      <c r="G242" s="129"/>
      <c r="H242" s="130"/>
      <c r="I242" s="125"/>
    </row>
    <row r="243" spans="1:9">
      <c r="A243" s="125"/>
      <c r="B243" s="125"/>
      <c r="C243" s="125"/>
      <c r="G243" s="129"/>
      <c r="H243" s="130"/>
      <c r="I243" s="125"/>
    </row>
    <row r="244" spans="1:9">
      <c r="A244" s="125"/>
      <c r="B244" s="125"/>
      <c r="C244" s="125"/>
      <c r="G244" s="129"/>
      <c r="H244" s="130"/>
      <c r="I244" s="125"/>
    </row>
    <row r="245" spans="1:9">
      <c r="A245" s="125"/>
      <c r="B245" s="125"/>
      <c r="C245" s="125"/>
      <c r="G245" s="129"/>
      <c r="H245" s="130"/>
      <c r="I245" s="125"/>
    </row>
    <row r="246" spans="1:9">
      <c r="A246" s="125"/>
      <c r="B246" s="125"/>
      <c r="C246" s="125"/>
      <c r="G246" s="129"/>
      <c r="H246" s="130"/>
      <c r="I246" s="125"/>
    </row>
    <row r="247" spans="1:9">
      <c r="A247" s="125"/>
      <c r="B247" s="125"/>
      <c r="C247" s="125"/>
      <c r="G247" s="129"/>
      <c r="I247" s="125"/>
    </row>
    <row r="248" spans="1:9">
      <c r="A248" s="125"/>
      <c r="B248" s="125"/>
      <c r="C248" s="125"/>
      <c r="G248" s="129"/>
      <c r="I248" s="125"/>
    </row>
    <row r="249" spans="1:9">
      <c r="A249" s="125"/>
      <c r="B249" s="125"/>
      <c r="C249" s="125"/>
      <c r="G249" s="129"/>
      <c r="I249" s="125"/>
    </row>
    <row r="250" spans="1:9">
      <c r="A250" s="125"/>
      <c r="B250" s="125"/>
      <c r="G250" s="129"/>
      <c r="I250" s="125"/>
    </row>
    <row r="251" spans="1:9">
      <c r="A251" s="125"/>
      <c r="B251" s="125"/>
      <c r="G251" s="129"/>
      <c r="I251" s="125"/>
    </row>
    <row r="252" spans="1:9">
      <c r="A252" s="125"/>
      <c r="B252" s="125"/>
      <c r="G252" s="129"/>
      <c r="I252" s="125"/>
    </row>
    <row r="253" spans="1:9">
      <c r="A253" s="125"/>
      <c r="B253" s="125"/>
      <c r="G253" s="129"/>
      <c r="I253" s="125"/>
    </row>
    <row r="254" spans="1:9">
      <c r="A254" s="125"/>
      <c r="B254" s="125"/>
      <c r="G254" s="129"/>
      <c r="I254" s="125"/>
    </row>
    <row r="255" spans="1:9">
      <c r="A255" s="125"/>
      <c r="B255" s="125"/>
      <c r="G255" s="129"/>
      <c r="I255" s="125"/>
    </row>
    <row r="256" spans="1:9">
      <c r="A256" s="125"/>
      <c r="B256" s="125"/>
      <c r="G256" s="129"/>
      <c r="I256" s="125"/>
    </row>
    <row r="257" spans="1:9">
      <c r="A257" s="125"/>
      <c r="B257" s="125"/>
      <c r="C257" s="125"/>
      <c r="G257" s="129"/>
      <c r="I257" s="125"/>
    </row>
    <row r="258" spans="1:9">
      <c r="A258" s="125"/>
      <c r="B258" s="125"/>
      <c r="C258" s="125"/>
      <c r="G258" s="129"/>
      <c r="I258" s="125"/>
    </row>
    <row r="259" spans="1:9">
      <c r="A259" s="125"/>
      <c r="B259" s="125"/>
      <c r="C259" s="125"/>
      <c r="G259" s="129"/>
      <c r="I259" s="125"/>
    </row>
    <row r="260" spans="1:9">
      <c r="A260" s="125"/>
      <c r="B260" s="125"/>
      <c r="C260" s="125"/>
      <c r="G260" s="129"/>
      <c r="I260" s="125"/>
    </row>
    <row r="261" spans="1:9">
      <c r="A261" s="125"/>
      <c r="B261" s="125"/>
      <c r="C261" s="125"/>
      <c r="G261" s="129"/>
      <c r="I261" s="125"/>
    </row>
    <row r="262" spans="1:9">
      <c r="A262" s="125"/>
      <c r="B262" s="125"/>
      <c r="C262" s="125"/>
      <c r="G262" s="129"/>
      <c r="I262" s="125"/>
    </row>
    <row r="263" spans="1:9">
      <c r="A263" s="125"/>
      <c r="B263" s="125"/>
      <c r="C263" s="125"/>
      <c r="G263" s="129"/>
      <c r="I263" s="125"/>
    </row>
    <row r="264" spans="1:9">
      <c r="A264" s="125"/>
      <c r="B264" s="125"/>
      <c r="C264" s="125"/>
      <c r="G264" s="129"/>
      <c r="I264" s="125"/>
    </row>
    <row r="265" spans="1:9">
      <c r="A265" s="125"/>
      <c r="B265" s="125"/>
      <c r="C265" s="125"/>
      <c r="G265" s="129"/>
      <c r="I265" s="125"/>
    </row>
    <row r="266" spans="1:9">
      <c r="A266" s="125"/>
      <c r="B266" s="125"/>
      <c r="C266" s="125"/>
      <c r="G266" s="129"/>
      <c r="I266" s="125"/>
    </row>
    <row r="267" spans="1:9">
      <c r="A267" s="125"/>
      <c r="B267" s="125"/>
      <c r="C267" s="125"/>
      <c r="G267" s="129"/>
      <c r="I267" s="125"/>
    </row>
    <row r="268" spans="1:9">
      <c r="A268" s="125"/>
      <c r="B268" s="125"/>
      <c r="C268" s="125"/>
      <c r="G268" s="129"/>
      <c r="I268" s="125"/>
    </row>
    <row r="269" spans="1:9">
      <c r="A269" s="125"/>
      <c r="B269" s="125"/>
      <c r="C269" s="125"/>
      <c r="G269" s="129"/>
      <c r="I269" s="125"/>
    </row>
    <row r="270" spans="1:9">
      <c r="A270" s="125"/>
      <c r="B270" s="125"/>
      <c r="C270" s="125"/>
      <c r="G270" s="129"/>
      <c r="I270" s="125"/>
    </row>
    <row r="271" spans="1:9">
      <c r="A271" s="125"/>
      <c r="B271" s="125"/>
      <c r="C271" s="125"/>
      <c r="G271" s="129"/>
      <c r="I271" s="125"/>
    </row>
    <row r="272" spans="1:9">
      <c r="A272" s="125"/>
      <c r="B272" s="125"/>
      <c r="C272" s="125"/>
      <c r="G272" s="129"/>
      <c r="I272" s="125"/>
    </row>
    <row r="273" spans="1:9">
      <c r="A273" s="125"/>
      <c r="B273" s="125"/>
      <c r="C273" s="125"/>
      <c r="G273" s="129"/>
      <c r="I273" s="125"/>
    </row>
    <row r="274" spans="1:9">
      <c r="A274" s="125"/>
      <c r="B274" s="125"/>
      <c r="C274" s="125"/>
      <c r="G274" s="129"/>
      <c r="I274" s="125"/>
    </row>
    <row r="275" spans="1:9">
      <c r="A275" s="125"/>
      <c r="B275" s="125"/>
      <c r="C275" s="125"/>
      <c r="G275" s="129"/>
      <c r="I275" s="125"/>
    </row>
    <row r="276" spans="1:9">
      <c r="A276" s="125"/>
      <c r="B276" s="125"/>
      <c r="C276" s="125"/>
      <c r="G276" s="129"/>
      <c r="I276" s="125"/>
    </row>
    <row r="277" spans="1:9">
      <c r="A277" s="125"/>
      <c r="B277" s="125"/>
      <c r="C277" s="125"/>
      <c r="G277" s="129"/>
      <c r="I277" s="125"/>
    </row>
    <row r="278" spans="1:9">
      <c r="A278" s="125"/>
      <c r="B278" s="125"/>
      <c r="C278" s="125"/>
      <c r="G278" s="129"/>
      <c r="I278" s="125"/>
    </row>
    <row r="279" spans="1:9">
      <c r="A279" s="125"/>
      <c r="B279" s="125"/>
      <c r="C279" s="125"/>
      <c r="G279" s="129"/>
      <c r="I279" s="125"/>
    </row>
    <row r="280" spans="1:9">
      <c r="A280" s="125"/>
      <c r="B280" s="125"/>
      <c r="C280" s="125"/>
      <c r="G280" s="129"/>
      <c r="I280" s="125"/>
    </row>
    <row r="281" spans="1:9">
      <c r="A281" s="125"/>
      <c r="B281" s="125"/>
      <c r="C281" s="125"/>
      <c r="G281" s="129"/>
      <c r="I281" s="125"/>
    </row>
    <row r="282" spans="1:9">
      <c r="A282" s="125"/>
      <c r="B282" s="125"/>
      <c r="C282" s="125"/>
      <c r="G282" s="129"/>
      <c r="I282" s="125"/>
    </row>
    <row r="283" spans="1:9">
      <c r="A283" s="125"/>
      <c r="B283" s="125"/>
      <c r="C283" s="125"/>
      <c r="G283" s="129"/>
      <c r="I283" s="125"/>
    </row>
    <row r="284" spans="1:9">
      <c r="A284" s="125"/>
      <c r="B284" s="125"/>
      <c r="C284" s="125"/>
      <c r="G284" s="129"/>
      <c r="I284" s="125"/>
    </row>
    <row r="285" spans="1:9">
      <c r="A285" s="125"/>
      <c r="B285" s="125"/>
      <c r="C285" s="125"/>
      <c r="G285" s="129"/>
      <c r="I285" s="125"/>
    </row>
    <row r="286" spans="1:9">
      <c r="A286" s="125"/>
      <c r="B286" s="125"/>
      <c r="C286" s="125"/>
      <c r="G286" s="129"/>
      <c r="I286" s="125"/>
    </row>
    <row r="287" spans="1:9">
      <c r="A287" s="125"/>
      <c r="B287" s="125"/>
      <c r="C287" s="125"/>
      <c r="G287" s="129"/>
      <c r="I287" s="125"/>
    </row>
    <row r="288" spans="1:9">
      <c r="A288" s="125"/>
      <c r="B288" s="125"/>
      <c r="C288" s="125"/>
      <c r="G288" s="129"/>
      <c r="I288" s="125"/>
    </row>
    <row r="289" spans="1:9">
      <c r="A289" s="125"/>
      <c r="B289" s="125"/>
      <c r="C289" s="125"/>
      <c r="G289" s="129"/>
      <c r="I289" s="125"/>
    </row>
    <row r="290" spans="1:9">
      <c r="A290" s="125"/>
      <c r="B290" s="125"/>
      <c r="C290" s="125"/>
      <c r="G290" s="129"/>
      <c r="I290" s="125"/>
    </row>
    <row r="291" spans="1:9">
      <c r="A291" s="125"/>
      <c r="B291" s="125"/>
      <c r="C291" s="125"/>
      <c r="G291" s="129"/>
      <c r="I291" s="125"/>
    </row>
    <row r="292" spans="1:9">
      <c r="A292" s="125"/>
      <c r="B292" s="125"/>
      <c r="C292" s="125"/>
      <c r="G292" s="129"/>
      <c r="I292" s="125"/>
    </row>
    <row r="293" spans="1:9">
      <c r="A293" s="125"/>
      <c r="B293" s="125"/>
      <c r="C293" s="125"/>
      <c r="G293" s="129"/>
      <c r="I293" s="125"/>
    </row>
    <row r="294" spans="1:9">
      <c r="A294" s="125"/>
      <c r="B294" s="125"/>
      <c r="C294" s="125"/>
      <c r="G294" s="129"/>
      <c r="I294" s="125"/>
    </row>
    <row r="295" spans="1:9">
      <c r="A295" s="125"/>
      <c r="B295" s="125"/>
      <c r="C295" s="125"/>
      <c r="G295" s="129"/>
      <c r="I295" s="125"/>
    </row>
    <row r="296" spans="1:9">
      <c r="A296" s="125"/>
      <c r="B296" s="125"/>
      <c r="C296" s="125"/>
      <c r="G296" s="129"/>
      <c r="I296" s="125"/>
    </row>
    <row r="297" spans="1:9">
      <c r="A297" s="125"/>
      <c r="B297" s="125"/>
      <c r="C297" s="125"/>
      <c r="G297" s="129"/>
      <c r="I297" s="125"/>
    </row>
    <row r="298" spans="1:9">
      <c r="A298" s="125"/>
      <c r="B298" s="125"/>
      <c r="C298" s="125"/>
      <c r="G298" s="129"/>
      <c r="I298" s="125"/>
    </row>
    <row r="299" spans="1:9">
      <c r="A299" s="125"/>
      <c r="B299" s="125"/>
      <c r="C299" s="125"/>
      <c r="G299" s="129"/>
      <c r="I299" s="125"/>
    </row>
    <row r="300" spans="1:9">
      <c r="A300" s="125"/>
      <c r="B300" s="125"/>
      <c r="C300" s="125"/>
      <c r="G300" s="129"/>
      <c r="I300" s="125"/>
    </row>
    <row r="301" spans="1:9">
      <c r="A301" s="125"/>
      <c r="B301" s="125"/>
      <c r="C301" s="125"/>
      <c r="G301" s="129"/>
      <c r="I301" s="125"/>
    </row>
    <row r="302" spans="1:9">
      <c r="A302" s="125"/>
      <c r="B302" s="125"/>
      <c r="C302" s="125"/>
      <c r="G302" s="129"/>
      <c r="I302" s="125"/>
    </row>
    <row r="303" spans="1:9">
      <c r="A303" s="125"/>
      <c r="B303" s="125"/>
      <c r="C303" s="125"/>
      <c r="G303" s="129"/>
      <c r="I303" s="125"/>
    </row>
    <row r="304" spans="1:9">
      <c r="A304" s="125"/>
      <c r="B304" s="125"/>
      <c r="C304" s="125"/>
      <c r="G304" s="129"/>
      <c r="I304" s="125"/>
    </row>
    <row r="305" spans="1:9">
      <c r="A305" s="125"/>
      <c r="B305" s="125"/>
      <c r="C305" s="125"/>
      <c r="G305" s="129"/>
      <c r="I305" s="125"/>
    </row>
    <row r="306" spans="1:9">
      <c r="A306" s="125"/>
      <c r="B306" s="125"/>
      <c r="C306" s="125"/>
      <c r="G306" s="129"/>
      <c r="I306" s="125"/>
    </row>
    <row r="307" spans="1:9">
      <c r="A307" s="125"/>
      <c r="B307" s="125"/>
      <c r="C307" s="125"/>
      <c r="G307" s="129"/>
      <c r="I307" s="125"/>
    </row>
    <row r="308" spans="1:9">
      <c r="A308" s="125"/>
      <c r="B308" s="125"/>
      <c r="C308" s="125"/>
      <c r="G308" s="129"/>
      <c r="I308" s="125"/>
    </row>
    <row r="309" spans="1:9">
      <c r="A309" s="125"/>
      <c r="B309" s="125"/>
      <c r="C309" s="125"/>
      <c r="G309" s="129"/>
      <c r="I309" s="125"/>
    </row>
    <row r="310" spans="1:9">
      <c r="A310" s="125"/>
      <c r="B310" s="125"/>
      <c r="C310" s="125"/>
      <c r="G310" s="129"/>
      <c r="I310" s="125"/>
    </row>
    <row r="311" spans="1:9">
      <c r="A311" s="125"/>
      <c r="B311" s="125"/>
      <c r="C311" s="125"/>
      <c r="G311" s="129"/>
      <c r="I311" s="125"/>
    </row>
    <row r="312" spans="1:9">
      <c r="A312" s="125"/>
      <c r="B312" s="125"/>
      <c r="C312" s="125"/>
      <c r="G312" s="129"/>
      <c r="I312" s="125"/>
    </row>
    <row r="313" spans="1:9">
      <c r="A313" s="125"/>
      <c r="B313" s="125"/>
      <c r="C313" s="125"/>
      <c r="G313" s="129"/>
      <c r="I313" s="125"/>
    </row>
    <row r="314" spans="1:9">
      <c r="A314" s="125"/>
      <c r="B314" s="125"/>
      <c r="C314" s="125"/>
      <c r="G314" s="129"/>
      <c r="I314" s="125"/>
    </row>
    <row r="315" spans="1:9">
      <c r="A315" s="125"/>
      <c r="B315" s="125"/>
      <c r="C315" s="125"/>
      <c r="G315" s="129"/>
      <c r="I315" s="125"/>
    </row>
    <row r="316" spans="1:9">
      <c r="A316" s="125"/>
      <c r="B316" s="125"/>
      <c r="C316" s="125"/>
      <c r="G316" s="129"/>
      <c r="I316" s="125"/>
    </row>
    <row r="317" spans="1:9">
      <c r="A317" s="125"/>
      <c r="B317" s="125"/>
      <c r="C317" s="125"/>
      <c r="G317" s="129"/>
      <c r="I317" s="125"/>
    </row>
    <row r="318" spans="1:9">
      <c r="A318" s="125"/>
      <c r="B318" s="125"/>
      <c r="C318" s="125"/>
      <c r="G318" s="129"/>
      <c r="I318" s="125"/>
    </row>
    <row r="319" spans="1:9">
      <c r="A319" s="125"/>
      <c r="B319" s="125"/>
      <c r="C319" s="125"/>
      <c r="G319" s="129"/>
      <c r="I319" s="125"/>
    </row>
    <row r="320" spans="1:9">
      <c r="A320" s="125"/>
      <c r="B320" s="125"/>
      <c r="C320" s="125"/>
      <c r="G320" s="129"/>
      <c r="I320" s="125"/>
    </row>
    <row r="321" spans="1:9">
      <c r="A321" s="125"/>
      <c r="B321" s="125"/>
      <c r="C321" s="125"/>
      <c r="G321" s="129"/>
      <c r="I321" s="125"/>
    </row>
    <row r="322" spans="1:9">
      <c r="A322" s="125"/>
      <c r="B322" s="125"/>
      <c r="C322" s="125"/>
      <c r="G322" s="129"/>
      <c r="I322" s="125"/>
    </row>
    <row r="323" spans="1:9">
      <c r="A323" s="125"/>
      <c r="B323" s="125"/>
      <c r="C323" s="125"/>
      <c r="G323" s="129"/>
      <c r="I323" s="125"/>
    </row>
    <row r="324" spans="1:9">
      <c r="A324" s="125"/>
      <c r="B324" s="125"/>
      <c r="C324" s="125"/>
      <c r="G324" s="129"/>
      <c r="I324" s="125"/>
    </row>
    <row r="325" spans="1:9">
      <c r="A325" s="125"/>
      <c r="B325" s="125"/>
      <c r="C325" s="125"/>
      <c r="G325" s="129"/>
      <c r="I325" s="125"/>
    </row>
    <row r="326" spans="1:9">
      <c r="A326" s="125"/>
      <c r="B326" s="125"/>
      <c r="C326" s="125"/>
      <c r="G326" s="129"/>
      <c r="I326" s="125"/>
    </row>
    <row r="327" spans="1:9">
      <c r="A327" s="125"/>
      <c r="B327" s="125"/>
      <c r="C327" s="125"/>
      <c r="G327" s="129"/>
      <c r="I327" s="125"/>
    </row>
    <row r="328" spans="1:9">
      <c r="A328" s="125"/>
      <c r="B328" s="125"/>
      <c r="C328" s="125"/>
      <c r="G328" s="129"/>
      <c r="I328" s="125"/>
    </row>
    <row r="329" spans="1:9">
      <c r="A329" s="125"/>
      <c r="B329" s="125"/>
      <c r="C329" s="125"/>
      <c r="G329" s="129"/>
      <c r="I329" s="125"/>
    </row>
    <row r="330" spans="1:9">
      <c r="A330" s="125"/>
      <c r="B330" s="125"/>
      <c r="C330" s="125"/>
      <c r="G330" s="129"/>
      <c r="I330" s="125"/>
    </row>
    <row r="331" spans="1:9">
      <c r="A331" s="125"/>
      <c r="B331" s="125"/>
      <c r="C331" s="125"/>
      <c r="G331" s="129"/>
      <c r="I331" s="125"/>
    </row>
    <row r="332" spans="1:9">
      <c r="A332" s="125"/>
      <c r="B332" s="125"/>
      <c r="C332" s="125"/>
      <c r="G332" s="129"/>
      <c r="I332" s="125"/>
    </row>
    <row r="333" spans="1:9">
      <c r="A333" s="125"/>
      <c r="B333" s="125"/>
      <c r="C333" s="125"/>
      <c r="G333" s="129"/>
      <c r="I333" s="125"/>
    </row>
    <row r="334" spans="1:9">
      <c r="A334" s="125"/>
      <c r="B334" s="125"/>
      <c r="C334" s="125"/>
      <c r="G334" s="129"/>
      <c r="I334" s="125"/>
    </row>
    <row r="335" spans="1:9">
      <c r="A335" s="125"/>
      <c r="B335" s="125"/>
      <c r="C335" s="125"/>
      <c r="G335" s="129"/>
      <c r="I335" s="125"/>
    </row>
    <row r="336" spans="1:9">
      <c r="A336" s="125"/>
      <c r="B336" s="125"/>
      <c r="C336" s="125"/>
      <c r="G336" s="129"/>
      <c r="I336" s="125"/>
    </row>
    <row r="337" spans="1:9">
      <c r="A337" s="125"/>
      <c r="B337" s="125"/>
      <c r="C337" s="125"/>
      <c r="G337" s="129"/>
      <c r="I337" s="125"/>
    </row>
    <row r="338" spans="1:9">
      <c r="A338" s="125"/>
      <c r="B338" s="125"/>
      <c r="C338" s="125"/>
      <c r="G338" s="129"/>
      <c r="I338" s="125"/>
    </row>
    <row r="339" spans="1:9">
      <c r="A339" s="125"/>
      <c r="B339" s="125"/>
      <c r="C339" s="125"/>
      <c r="G339" s="129"/>
      <c r="I339" s="125"/>
    </row>
    <row r="340" spans="1:9">
      <c r="A340" s="125"/>
      <c r="B340" s="125"/>
      <c r="C340" s="125"/>
      <c r="G340" s="129"/>
      <c r="I340" s="125"/>
    </row>
    <row r="341" spans="1:9">
      <c r="A341" s="125"/>
      <c r="B341" s="125"/>
      <c r="C341" s="125"/>
      <c r="G341" s="129"/>
      <c r="I341" s="125"/>
    </row>
    <row r="342" spans="1:9">
      <c r="A342" s="125"/>
      <c r="B342" s="125"/>
      <c r="C342" s="125"/>
      <c r="G342" s="129"/>
      <c r="I342" s="125"/>
    </row>
    <row r="343" spans="1:9">
      <c r="A343" s="125"/>
      <c r="B343" s="125"/>
      <c r="C343" s="125"/>
      <c r="G343" s="129"/>
      <c r="I343" s="125"/>
    </row>
    <row r="344" spans="1:9">
      <c r="A344" s="125"/>
      <c r="B344" s="125"/>
      <c r="C344" s="125"/>
      <c r="G344" s="129"/>
      <c r="I344" s="125"/>
    </row>
    <row r="345" spans="1:9">
      <c r="A345" s="125"/>
      <c r="B345" s="125"/>
      <c r="C345" s="125"/>
      <c r="G345" s="129"/>
      <c r="I345" s="125"/>
    </row>
    <row r="346" spans="1:9">
      <c r="A346" s="125"/>
      <c r="B346" s="125"/>
      <c r="C346" s="125"/>
      <c r="G346" s="129"/>
      <c r="I346" s="125"/>
    </row>
    <row r="347" spans="1:9">
      <c r="A347" s="125"/>
      <c r="B347" s="125"/>
      <c r="C347" s="125"/>
      <c r="G347" s="129"/>
      <c r="I347" s="125"/>
    </row>
    <row r="348" spans="1:9">
      <c r="A348" s="125"/>
      <c r="B348" s="125"/>
      <c r="C348" s="125"/>
      <c r="G348" s="129"/>
      <c r="I348" s="125"/>
    </row>
    <row r="349" spans="1:9">
      <c r="A349" s="125"/>
      <c r="B349" s="125"/>
      <c r="C349" s="125"/>
      <c r="G349" s="129"/>
      <c r="I349" s="125"/>
    </row>
    <row r="350" spans="1:9">
      <c r="A350" s="125"/>
      <c r="B350" s="125"/>
      <c r="C350" s="125"/>
      <c r="G350" s="129"/>
      <c r="I350" s="125"/>
    </row>
    <row r="351" spans="1:9">
      <c r="A351" s="125"/>
      <c r="B351" s="125"/>
      <c r="C351" s="125"/>
      <c r="G351" s="129"/>
      <c r="I351" s="125"/>
    </row>
    <row r="352" spans="1:9">
      <c r="A352" s="125"/>
      <c r="B352" s="125"/>
      <c r="C352" s="125"/>
      <c r="G352" s="129"/>
      <c r="I352" s="125"/>
    </row>
    <row r="353" spans="1:9">
      <c r="A353" s="125"/>
      <c r="B353" s="125"/>
      <c r="C353" s="125"/>
      <c r="G353" s="129"/>
      <c r="I353" s="125"/>
    </row>
    <row r="354" spans="1:9">
      <c r="A354" s="125"/>
      <c r="B354" s="125"/>
      <c r="C354" s="125"/>
      <c r="G354" s="129"/>
      <c r="I354" s="125"/>
    </row>
    <row r="355" spans="1:9">
      <c r="A355" s="125"/>
      <c r="B355" s="125"/>
      <c r="C355" s="125"/>
      <c r="G355" s="129"/>
      <c r="I355" s="125"/>
    </row>
    <row r="356" spans="1:9">
      <c r="A356" s="125"/>
      <c r="B356" s="125"/>
      <c r="C356" s="125"/>
      <c r="G356" s="129"/>
      <c r="I356" s="125"/>
    </row>
    <row r="357" spans="1:9">
      <c r="A357" s="125"/>
      <c r="B357" s="125"/>
      <c r="C357" s="125"/>
      <c r="G357" s="129"/>
      <c r="I357" s="125"/>
    </row>
    <row r="358" spans="1:9">
      <c r="A358" s="125"/>
      <c r="B358" s="125"/>
      <c r="C358" s="125"/>
      <c r="G358" s="129"/>
      <c r="I358" s="125"/>
    </row>
    <row r="359" spans="1:9">
      <c r="A359" s="125"/>
      <c r="B359" s="125"/>
      <c r="C359" s="125"/>
      <c r="G359" s="129"/>
      <c r="I359" s="125"/>
    </row>
    <row r="360" spans="1:9">
      <c r="A360" s="125"/>
      <c r="B360" s="125"/>
      <c r="C360" s="125"/>
      <c r="G360" s="129"/>
      <c r="I360" s="125"/>
    </row>
    <row r="361" spans="1:9">
      <c r="A361" s="125"/>
      <c r="B361" s="125"/>
      <c r="C361" s="125"/>
      <c r="G361" s="129"/>
      <c r="I361" s="125"/>
    </row>
    <row r="362" spans="1:9">
      <c r="A362" s="125"/>
      <c r="B362" s="125"/>
      <c r="C362" s="125"/>
      <c r="G362" s="129"/>
      <c r="I362" s="125"/>
    </row>
    <row r="363" spans="1:9">
      <c r="A363" s="125"/>
      <c r="B363" s="125"/>
      <c r="C363" s="125"/>
      <c r="G363" s="129"/>
      <c r="I363" s="125"/>
    </row>
    <row r="364" spans="1:9">
      <c r="A364" s="125"/>
      <c r="B364" s="125"/>
      <c r="C364" s="125"/>
      <c r="G364" s="129"/>
      <c r="I364" s="125"/>
    </row>
    <row r="365" spans="1:9">
      <c r="A365" s="125"/>
      <c r="B365" s="125"/>
      <c r="C365" s="125"/>
      <c r="G365" s="129"/>
      <c r="I365" s="125"/>
    </row>
    <row r="366" spans="1:9">
      <c r="A366" s="125"/>
      <c r="B366" s="125"/>
      <c r="C366" s="125"/>
      <c r="G366" s="129"/>
      <c r="I366" s="125"/>
    </row>
    <row r="367" spans="1:9">
      <c r="A367" s="125"/>
      <c r="B367" s="125"/>
      <c r="C367" s="125"/>
      <c r="G367" s="129"/>
      <c r="I367" s="125"/>
    </row>
    <row r="368" spans="1:9">
      <c r="A368" s="125"/>
      <c r="B368" s="125"/>
      <c r="C368" s="125"/>
      <c r="G368" s="129"/>
      <c r="I368" s="125"/>
    </row>
    <row r="369" spans="1:9">
      <c r="A369" s="125"/>
      <c r="B369" s="125"/>
      <c r="C369" s="125"/>
      <c r="G369" s="129"/>
      <c r="I369" s="125"/>
    </row>
    <row r="370" spans="1:9">
      <c r="A370" s="125"/>
      <c r="B370" s="125"/>
      <c r="C370" s="125"/>
      <c r="G370" s="129"/>
      <c r="I370" s="125"/>
    </row>
    <row r="371" spans="1:9">
      <c r="A371" s="125"/>
      <c r="B371" s="125"/>
      <c r="C371" s="125"/>
      <c r="G371" s="129"/>
      <c r="I371" s="125"/>
    </row>
    <row r="372" spans="1:9">
      <c r="A372" s="125"/>
      <c r="B372" s="125"/>
      <c r="C372" s="125"/>
      <c r="G372" s="129"/>
      <c r="I372" s="125"/>
    </row>
    <row r="373" spans="1:9">
      <c r="A373" s="125"/>
      <c r="B373" s="125"/>
      <c r="C373" s="125"/>
      <c r="G373" s="129"/>
      <c r="I373" s="125"/>
    </row>
    <row r="374" spans="1:9">
      <c r="A374" s="125"/>
      <c r="B374" s="125"/>
      <c r="C374" s="125"/>
      <c r="G374" s="129"/>
      <c r="I374" s="125"/>
    </row>
    <row r="375" spans="1:9">
      <c r="A375" s="125"/>
      <c r="B375" s="125"/>
      <c r="C375" s="125"/>
      <c r="G375" s="129"/>
      <c r="I375" s="125"/>
    </row>
    <row r="376" spans="1:9">
      <c r="A376" s="125"/>
      <c r="B376" s="125"/>
      <c r="C376" s="125"/>
      <c r="G376" s="129"/>
      <c r="I376" s="125"/>
    </row>
    <row r="377" spans="1:9">
      <c r="A377" s="125"/>
      <c r="B377" s="125"/>
      <c r="C377" s="125"/>
      <c r="G377" s="129"/>
      <c r="I377" s="125"/>
    </row>
    <row r="378" spans="1:9">
      <c r="A378" s="125"/>
      <c r="B378" s="125"/>
      <c r="C378" s="125"/>
      <c r="G378" s="129"/>
      <c r="I378" s="125"/>
    </row>
    <row r="379" spans="1:9">
      <c r="A379" s="125"/>
      <c r="B379" s="125"/>
      <c r="C379" s="125"/>
      <c r="G379" s="129"/>
      <c r="I379" s="125"/>
    </row>
    <row r="380" spans="1:9">
      <c r="A380" s="125"/>
      <c r="B380" s="125"/>
      <c r="C380" s="125"/>
      <c r="G380" s="129"/>
      <c r="I380" s="125"/>
    </row>
    <row r="381" spans="1:9">
      <c r="A381" s="125"/>
      <c r="B381" s="125"/>
      <c r="C381" s="125"/>
      <c r="G381" s="129"/>
      <c r="I381" s="125"/>
    </row>
    <row r="382" spans="1:9">
      <c r="A382" s="125"/>
      <c r="B382" s="125"/>
      <c r="C382" s="125"/>
      <c r="G382" s="129"/>
      <c r="I382" s="125"/>
    </row>
    <row r="383" spans="1:9">
      <c r="A383" s="125"/>
      <c r="B383" s="125"/>
      <c r="C383" s="125"/>
      <c r="G383" s="129"/>
      <c r="I383" s="125"/>
    </row>
    <row r="384" spans="1:9">
      <c r="A384" s="125"/>
      <c r="B384" s="125"/>
      <c r="C384" s="125"/>
      <c r="G384" s="129"/>
      <c r="I384" s="125"/>
    </row>
    <row r="385" spans="1:9">
      <c r="A385" s="125"/>
      <c r="B385" s="125"/>
      <c r="C385" s="125"/>
      <c r="G385" s="129"/>
      <c r="I385" s="125"/>
    </row>
    <row r="386" spans="1:9">
      <c r="A386" s="125"/>
      <c r="B386" s="125"/>
      <c r="C386" s="125"/>
      <c r="G386" s="129"/>
      <c r="I386" s="125"/>
    </row>
    <row r="387" spans="1:9">
      <c r="A387" s="125"/>
      <c r="B387" s="125"/>
      <c r="C387" s="125"/>
      <c r="G387" s="129"/>
      <c r="I387" s="125"/>
    </row>
    <row r="388" spans="1:9">
      <c r="A388" s="125"/>
      <c r="B388" s="125"/>
      <c r="C388" s="125"/>
      <c r="G388" s="129"/>
      <c r="I388" s="125"/>
    </row>
    <row r="389" spans="1:9">
      <c r="A389" s="125"/>
      <c r="B389" s="125"/>
      <c r="C389" s="125"/>
      <c r="G389" s="129"/>
      <c r="I389" s="125"/>
    </row>
    <row r="390" spans="1:9">
      <c r="A390" s="125"/>
      <c r="B390" s="125"/>
      <c r="C390" s="125"/>
      <c r="G390" s="129"/>
      <c r="I390" s="125"/>
    </row>
    <row r="391" spans="1:9">
      <c r="A391" s="125"/>
      <c r="B391" s="125"/>
      <c r="C391" s="125"/>
      <c r="G391" s="129"/>
      <c r="I391" s="125"/>
    </row>
    <row r="392" spans="1:9">
      <c r="A392" s="125"/>
      <c r="B392" s="125"/>
      <c r="C392" s="125"/>
      <c r="G392" s="129"/>
      <c r="I392" s="125"/>
    </row>
    <row r="393" spans="1:9">
      <c r="A393" s="125"/>
      <c r="B393" s="125"/>
      <c r="C393" s="125"/>
      <c r="G393" s="129"/>
      <c r="I393" s="125"/>
    </row>
    <row r="394" spans="1:9">
      <c r="A394" s="125"/>
      <c r="B394" s="125"/>
      <c r="C394" s="125"/>
      <c r="G394" s="129"/>
      <c r="I394" s="125"/>
    </row>
    <row r="395" spans="1:9">
      <c r="A395" s="125"/>
      <c r="B395" s="125"/>
      <c r="C395" s="125"/>
      <c r="G395" s="129"/>
      <c r="I395" s="125"/>
    </row>
    <row r="396" spans="1:9">
      <c r="A396" s="125"/>
      <c r="B396" s="125"/>
      <c r="C396" s="125"/>
      <c r="G396" s="129"/>
      <c r="I396" s="125"/>
    </row>
    <row r="397" spans="1:9">
      <c r="A397" s="125"/>
      <c r="B397" s="125"/>
      <c r="C397" s="125"/>
      <c r="G397" s="129"/>
      <c r="I397" s="125"/>
    </row>
    <row r="398" spans="1:9">
      <c r="A398" s="125"/>
      <c r="B398" s="125"/>
      <c r="C398" s="125"/>
      <c r="G398" s="129"/>
      <c r="I398" s="125"/>
    </row>
    <row r="399" spans="1:9">
      <c r="A399" s="125"/>
      <c r="B399" s="125"/>
      <c r="C399" s="125"/>
      <c r="G399" s="129"/>
      <c r="I399" s="125"/>
    </row>
    <row r="400" spans="1:9">
      <c r="A400" s="125"/>
      <c r="B400" s="125"/>
      <c r="C400" s="125"/>
      <c r="G400" s="129"/>
      <c r="I400" s="125"/>
    </row>
    <row r="401" spans="1:9">
      <c r="A401" s="125"/>
      <c r="B401" s="125"/>
      <c r="C401" s="125"/>
      <c r="G401" s="129"/>
      <c r="I401" s="125"/>
    </row>
    <row r="402" spans="1:9">
      <c r="A402" s="125"/>
      <c r="B402" s="125"/>
      <c r="C402" s="125"/>
      <c r="G402" s="129"/>
      <c r="I402" s="125"/>
    </row>
    <row r="403" spans="1:9">
      <c r="A403" s="125"/>
      <c r="B403" s="125"/>
      <c r="C403" s="125"/>
      <c r="G403" s="129"/>
      <c r="I403" s="125"/>
    </row>
    <row r="404" spans="1:9">
      <c r="A404" s="125"/>
      <c r="B404" s="125"/>
      <c r="C404" s="125"/>
      <c r="G404" s="129"/>
      <c r="I404" s="125"/>
    </row>
    <row r="405" spans="1:9">
      <c r="A405" s="125"/>
      <c r="B405" s="125"/>
      <c r="C405" s="125"/>
      <c r="G405" s="129"/>
      <c r="I405" s="125"/>
    </row>
    <row r="406" spans="1:9">
      <c r="A406" s="125"/>
      <c r="B406" s="125"/>
      <c r="C406" s="125"/>
      <c r="G406" s="129"/>
      <c r="I406" s="125"/>
    </row>
    <row r="407" spans="1:9">
      <c r="A407" s="125"/>
      <c r="B407" s="125"/>
      <c r="C407" s="125"/>
      <c r="G407" s="129"/>
      <c r="I407" s="125"/>
    </row>
    <row r="408" spans="1:9">
      <c r="A408" s="125"/>
      <c r="B408" s="125"/>
      <c r="C408" s="125"/>
      <c r="G408" s="129"/>
      <c r="I408" s="125"/>
    </row>
    <row r="409" spans="1:9">
      <c r="A409" s="125"/>
      <c r="B409" s="125"/>
      <c r="C409" s="125"/>
      <c r="G409" s="129"/>
      <c r="I409" s="125"/>
    </row>
    <row r="410" spans="1:9">
      <c r="A410" s="125"/>
      <c r="B410" s="125"/>
      <c r="C410" s="125"/>
      <c r="G410" s="129"/>
      <c r="I410" s="125"/>
    </row>
    <row r="411" spans="1:9">
      <c r="A411" s="125"/>
      <c r="B411" s="125"/>
      <c r="C411" s="125"/>
      <c r="G411" s="129"/>
      <c r="I411" s="125"/>
    </row>
    <row r="412" spans="1:9">
      <c r="A412" s="125"/>
      <c r="B412" s="125"/>
      <c r="C412" s="125"/>
      <c r="G412" s="129"/>
      <c r="I412" s="125"/>
    </row>
    <row r="413" spans="1:9">
      <c r="A413" s="125"/>
      <c r="B413" s="125"/>
      <c r="C413" s="125"/>
      <c r="G413" s="129"/>
      <c r="I413" s="125"/>
    </row>
    <row r="414" spans="1:9">
      <c r="A414" s="125"/>
      <c r="B414" s="125"/>
      <c r="C414" s="125"/>
      <c r="G414" s="129"/>
      <c r="I414" s="125"/>
    </row>
    <row r="415" spans="1:9">
      <c r="A415" s="125"/>
      <c r="B415" s="125"/>
      <c r="C415" s="125"/>
      <c r="G415" s="129"/>
      <c r="I415" s="125"/>
    </row>
    <row r="416" spans="1:9">
      <c r="A416" s="125"/>
      <c r="B416" s="125"/>
      <c r="C416" s="125"/>
      <c r="G416" s="129"/>
      <c r="I416" s="125"/>
    </row>
    <row r="417" spans="1:9">
      <c r="A417" s="125"/>
      <c r="B417" s="125"/>
      <c r="C417" s="125"/>
      <c r="G417" s="129"/>
      <c r="I417" s="125"/>
    </row>
    <row r="418" spans="1:9">
      <c r="A418" s="125"/>
      <c r="B418" s="125"/>
      <c r="C418" s="125"/>
      <c r="G418" s="129"/>
      <c r="I418" s="125"/>
    </row>
    <row r="419" spans="1:9">
      <c r="A419" s="125"/>
      <c r="B419" s="125"/>
      <c r="C419" s="125"/>
      <c r="G419" s="129"/>
      <c r="I419" s="125"/>
    </row>
    <row r="420" spans="1:9">
      <c r="A420" s="125"/>
      <c r="B420" s="125"/>
      <c r="C420" s="125"/>
      <c r="G420" s="129"/>
      <c r="I420" s="125"/>
    </row>
    <row r="421" spans="1:9">
      <c r="A421" s="125"/>
      <c r="B421" s="125"/>
      <c r="C421" s="125"/>
      <c r="G421" s="129"/>
      <c r="I421" s="125"/>
    </row>
    <row r="422" spans="1:9">
      <c r="A422" s="125"/>
      <c r="B422" s="125"/>
      <c r="C422" s="125"/>
      <c r="G422" s="129"/>
      <c r="I422" s="125"/>
    </row>
    <row r="423" spans="1:9">
      <c r="A423" s="125"/>
      <c r="B423" s="125"/>
      <c r="C423" s="125"/>
      <c r="G423" s="129"/>
      <c r="I423" s="125"/>
    </row>
    <row r="424" spans="1:9">
      <c r="A424" s="125"/>
      <c r="B424" s="125"/>
      <c r="C424" s="125"/>
      <c r="G424" s="129"/>
      <c r="I424" s="125"/>
    </row>
    <row r="425" spans="1:9">
      <c r="A425" s="125"/>
      <c r="B425" s="125"/>
      <c r="C425" s="125"/>
      <c r="G425" s="129"/>
      <c r="I425" s="125"/>
    </row>
    <row r="426" spans="1:9">
      <c r="A426" s="125"/>
      <c r="B426" s="125"/>
      <c r="C426" s="125"/>
      <c r="G426" s="129"/>
      <c r="I426" s="125"/>
    </row>
    <row r="427" spans="1:9">
      <c r="A427" s="125"/>
      <c r="B427" s="125"/>
      <c r="C427" s="125"/>
      <c r="G427" s="129"/>
      <c r="I427" s="125"/>
    </row>
    <row r="428" spans="1:9">
      <c r="A428" s="125"/>
      <c r="B428" s="125"/>
      <c r="C428" s="125"/>
      <c r="G428" s="129"/>
      <c r="I428" s="125"/>
    </row>
    <row r="429" spans="1:9">
      <c r="A429" s="125"/>
      <c r="B429" s="125"/>
      <c r="C429" s="125"/>
      <c r="G429" s="129"/>
      <c r="I429" s="125"/>
    </row>
    <row r="430" spans="1:9">
      <c r="A430" s="125"/>
      <c r="B430" s="125"/>
      <c r="C430" s="125"/>
      <c r="G430" s="129"/>
      <c r="I430" s="125"/>
    </row>
    <row r="431" spans="1:9">
      <c r="A431" s="125"/>
      <c r="B431" s="125"/>
      <c r="C431" s="125"/>
      <c r="G431" s="129"/>
      <c r="I431" s="125"/>
    </row>
    <row r="432" spans="1:9">
      <c r="A432" s="125"/>
      <c r="B432" s="125"/>
      <c r="C432" s="125"/>
      <c r="G432" s="129"/>
      <c r="I432" s="125"/>
    </row>
    <row r="433" spans="1:9">
      <c r="A433" s="125"/>
      <c r="B433" s="125"/>
      <c r="C433" s="125"/>
      <c r="G433" s="129"/>
      <c r="I433" s="125"/>
    </row>
    <row r="434" spans="1:9">
      <c r="A434" s="125"/>
      <c r="B434" s="125"/>
      <c r="C434" s="125"/>
      <c r="G434" s="129"/>
      <c r="I434" s="125"/>
    </row>
    <row r="435" spans="1:9">
      <c r="A435" s="125"/>
      <c r="B435" s="125"/>
      <c r="C435" s="125"/>
      <c r="G435" s="129"/>
      <c r="I435" s="125"/>
    </row>
    <row r="436" spans="1:9">
      <c r="A436" s="125"/>
      <c r="B436" s="125"/>
      <c r="C436" s="125"/>
      <c r="G436" s="129"/>
      <c r="I436" s="125"/>
    </row>
    <row r="437" spans="1:9">
      <c r="A437" s="125"/>
      <c r="B437" s="125"/>
      <c r="C437" s="125"/>
      <c r="G437" s="129"/>
      <c r="I437" s="125"/>
    </row>
    <row r="438" spans="1:9">
      <c r="A438" s="125"/>
      <c r="B438" s="125"/>
      <c r="C438" s="125"/>
      <c r="G438" s="129"/>
      <c r="I438" s="125"/>
    </row>
    <row r="439" spans="1:9">
      <c r="A439" s="125"/>
      <c r="B439" s="125"/>
      <c r="C439" s="125"/>
      <c r="G439" s="129"/>
      <c r="I439" s="125"/>
    </row>
    <row r="440" spans="1:9">
      <c r="A440" s="125"/>
      <c r="B440" s="125"/>
      <c r="C440" s="125"/>
      <c r="G440" s="129"/>
      <c r="I440" s="125"/>
    </row>
    <row r="441" spans="1:9">
      <c r="A441" s="125"/>
      <c r="B441" s="125"/>
      <c r="C441" s="125"/>
      <c r="G441" s="129"/>
      <c r="I441" s="125"/>
    </row>
    <row r="442" spans="1:9">
      <c r="A442" s="125"/>
      <c r="B442" s="125"/>
      <c r="C442" s="125"/>
      <c r="G442" s="129"/>
      <c r="I442" s="125"/>
    </row>
    <row r="443" spans="1:9">
      <c r="A443" s="125"/>
      <c r="B443" s="125"/>
      <c r="C443" s="125"/>
      <c r="G443" s="129"/>
      <c r="I443" s="125"/>
    </row>
    <row r="444" spans="1:9">
      <c r="A444" s="125"/>
      <c r="B444" s="125"/>
      <c r="C444" s="125"/>
      <c r="G444" s="129"/>
      <c r="I444" s="125"/>
    </row>
    <row r="445" spans="1:9">
      <c r="A445" s="125"/>
      <c r="B445" s="125"/>
      <c r="C445" s="125"/>
      <c r="G445" s="129"/>
      <c r="I445" s="125"/>
    </row>
    <row r="446" spans="1:9">
      <c r="A446" s="125"/>
      <c r="B446" s="125"/>
      <c r="C446" s="125"/>
      <c r="G446" s="129"/>
      <c r="I446" s="125"/>
    </row>
    <row r="447" spans="1:9">
      <c r="A447" s="125"/>
      <c r="B447" s="125"/>
      <c r="C447" s="125"/>
      <c r="G447" s="129"/>
      <c r="I447" s="125"/>
    </row>
    <row r="448" spans="1:9">
      <c r="A448" s="125"/>
      <c r="B448" s="125"/>
      <c r="C448" s="125"/>
      <c r="G448" s="129"/>
      <c r="I448" s="125"/>
    </row>
    <row r="449" spans="1:9">
      <c r="A449" s="125"/>
      <c r="B449" s="125"/>
      <c r="C449" s="125"/>
      <c r="G449" s="129"/>
      <c r="I449" s="125"/>
    </row>
    <row r="450" spans="1:9">
      <c r="A450" s="125"/>
      <c r="B450" s="125"/>
      <c r="C450" s="125"/>
      <c r="G450" s="129"/>
      <c r="I450" s="125"/>
    </row>
    <row r="451" spans="1:9">
      <c r="A451" s="125"/>
      <c r="B451" s="125"/>
      <c r="C451" s="125"/>
      <c r="G451" s="129"/>
      <c r="I451" s="125"/>
    </row>
    <row r="452" spans="1:9">
      <c r="A452" s="125"/>
      <c r="B452" s="125"/>
      <c r="C452" s="125"/>
      <c r="G452" s="129"/>
      <c r="I452" s="125"/>
    </row>
    <row r="453" spans="1:9">
      <c r="A453" s="125"/>
      <c r="B453" s="125"/>
      <c r="C453" s="125"/>
      <c r="G453" s="129"/>
      <c r="I453" s="125"/>
    </row>
    <row r="454" spans="1:9">
      <c r="A454" s="125"/>
      <c r="B454" s="125"/>
      <c r="C454" s="125"/>
      <c r="G454" s="129"/>
      <c r="I454" s="125"/>
    </row>
    <row r="455" spans="1:9">
      <c r="A455" s="125"/>
      <c r="B455" s="125"/>
      <c r="C455" s="125"/>
      <c r="G455" s="129"/>
      <c r="H455" s="130"/>
      <c r="I455" s="125"/>
    </row>
    <row r="456" spans="1:9">
      <c r="A456" s="125"/>
      <c r="B456" s="125"/>
      <c r="C456" s="125"/>
      <c r="G456" s="129"/>
      <c r="H456" s="130"/>
      <c r="I456" s="125"/>
    </row>
    <row r="457" spans="1:9">
      <c r="A457" s="125"/>
      <c r="B457" s="125"/>
      <c r="C457" s="125"/>
      <c r="G457" s="129"/>
      <c r="H457" s="130"/>
      <c r="I457" s="125"/>
    </row>
    <row r="458" spans="1:9">
      <c r="A458" s="125"/>
      <c r="B458" s="125"/>
      <c r="C458" s="125"/>
      <c r="G458" s="129"/>
      <c r="H458" s="130"/>
      <c r="I458" s="125"/>
    </row>
    <row r="459" spans="1:9">
      <c r="A459" s="125"/>
      <c r="B459" s="125"/>
      <c r="C459" s="125"/>
      <c r="G459" s="129"/>
      <c r="H459" s="130"/>
      <c r="I459" s="125"/>
    </row>
    <row r="460" spans="1:9">
      <c r="A460" s="125"/>
      <c r="B460" s="125"/>
      <c r="C460" s="125"/>
      <c r="G460" s="129"/>
      <c r="I460" s="125"/>
    </row>
    <row r="461" spans="1:9">
      <c r="A461" s="125"/>
      <c r="B461" s="125"/>
      <c r="C461" s="125"/>
      <c r="G461" s="129"/>
      <c r="I461" s="125"/>
    </row>
    <row r="462" spans="1:9">
      <c r="A462" s="125"/>
      <c r="B462" s="125"/>
      <c r="C462" s="125"/>
      <c r="G462" s="129"/>
      <c r="I462" s="125"/>
    </row>
    <row r="463" spans="1:9">
      <c r="A463" s="125"/>
      <c r="B463" s="125"/>
      <c r="C463" s="125"/>
      <c r="G463" s="129"/>
      <c r="H463" s="130"/>
      <c r="I463" s="125"/>
    </row>
    <row r="464" spans="1:9">
      <c r="A464" s="125"/>
      <c r="B464" s="125"/>
      <c r="C464" s="125"/>
      <c r="G464" s="129"/>
      <c r="H464" s="130"/>
      <c r="I464" s="125"/>
    </row>
    <row r="465" spans="1:9">
      <c r="A465" s="125"/>
      <c r="B465" s="125"/>
      <c r="C465" s="125"/>
      <c r="G465" s="129"/>
      <c r="H465" s="130"/>
      <c r="I465" s="125"/>
    </row>
    <row r="466" spans="1:9">
      <c r="A466" s="125"/>
      <c r="B466" s="125"/>
      <c r="C466" s="125"/>
      <c r="G466" s="129"/>
      <c r="H466" s="130"/>
      <c r="I466" s="125"/>
    </row>
    <row r="467" spans="1:9">
      <c r="A467" s="125"/>
      <c r="B467" s="125"/>
      <c r="C467" s="125"/>
      <c r="G467" s="129"/>
      <c r="H467" s="130"/>
      <c r="I467" s="125"/>
    </row>
    <row r="468" spans="1:9">
      <c r="A468" s="125"/>
      <c r="B468" s="125"/>
      <c r="C468" s="125"/>
      <c r="G468" s="129"/>
      <c r="H468" s="130"/>
      <c r="I468" s="125"/>
    </row>
    <row r="469" spans="1:9">
      <c r="A469" s="125"/>
      <c r="B469" s="125"/>
      <c r="C469" s="125"/>
      <c r="G469" s="129"/>
      <c r="H469" s="130"/>
      <c r="I469" s="125"/>
    </row>
    <row r="470" spans="1:9">
      <c r="A470" s="125"/>
      <c r="B470" s="125"/>
      <c r="C470" s="125"/>
      <c r="G470" s="129"/>
      <c r="H470" s="130"/>
      <c r="I470" s="125"/>
    </row>
    <row r="471" spans="1:9">
      <c r="A471" s="125"/>
      <c r="B471" s="125"/>
      <c r="C471" s="125"/>
      <c r="G471" s="129"/>
      <c r="H471" s="130"/>
      <c r="I471" s="125"/>
    </row>
    <row r="472" spans="1:9">
      <c r="A472" s="125"/>
      <c r="B472" s="125"/>
      <c r="C472" s="125"/>
      <c r="G472" s="129"/>
      <c r="H472" s="130"/>
      <c r="I472" s="125"/>
    </row>
    <row r="473" spans="1:9">
      <c r="A473" s="125"/>
      <c r="B473" s="125"/>
      <c r="C473" s="125"/>
      <c r="G473" s="129"/>
      <c r="H473" s="130"/>
      <c r="I473" s="125"/>
    </row>
    <row r="474" spans="1:9">
      <c r="A474" s="125"/>
      <c r="B474" s="125"/>
      <c r="C474" s="125"/>
      <c r="G474" s="129"/>
      <c r="H474" s="130"/>
      <c r="I474" s="125"/>
    </row>
    <row r="475" spans="1:9">
      <c r="A475" s="125"/>
      <c r="B475" s="125"/>
      <c r="C475" s="125"/>
      <c r="G475" s="129"/>
      <c r="H475" s="130"/>
      <c r="I475" s="125"/>
    </row>
    <row r="476" spans="1:9">
      <c r="A476" s="125"/>
      <c r="B476" s="125"/>
      <c r="C476" s="125"/>
      <c r="G476" s="129"/>
      <c r="H476" s="130"/>
      <c r="I476" s="125"/>
    </row>
    <row r="477" spans="1:9">
      <c r="A477" s="125"/>
      <c r="B477" s="125"/>
      <c r="C477" s="125"/>
      <c r="G477" s="129"/>
      <c r="H477" s="130"/>
      <c r="I477" s="125"/>
    </row>
    <row r="478" spans="1:9">
      <c r="A478" s="125"/>
      <c r="B478" s="125"/>
      <c r="C478" s="125"/>
      <c r="G478" s="129"/>
      <c r="H478" s="130"/>
      <c r="I478" s="125"/>
    </row>
    <row r="479" spans="1:9">
      <c r="A479" s="125"/>
      <c r="B479" s="125"/>
      <c r="C479" s="125"/>
      <c r="G479" s="129"/>
      <c r="H479" s="130"/>
      <c r="I479" s="125"/>
    </row>
    <row r="480" spans="1:9">
      <c r="A480" s="125"/>
      <c r="B480" s="125"/>
      <c r="C480" s="125"/>
      <c r="G480" s="129"/>
      <c r="H480" s="130"/>
      <c r="I480" s="125"/>
    </row>
    <row r="481" spans="1:9">
      <c r="A481" s="125"/>
      <c r="B481" s="125"/>
      <c r="C481" s="125"/>
      <c r="G481" s="129"/>
      <c r="H481" s="130"/>
      <c r="I481" s="125"/>
    </row>
    <row r="482" spans="1:9">
      <c r="A482" s="125"/>
      <c r="B482" s="125"/>
      <c r="C482" s="125"/>
      <c r="G482" s="129"/>
      <c r="H482" s="130"/>
      <c r="I482" s="125"/>
    </row>
    <row r="483" spans="1:9">
      <c r="A483" s="125"/>
      <c r="B483" s="125"/>
      <c r="C483" s="125"/>
      <c r="G483" s="129"/>
      <c r="H483" s="130"/>
      <c r="I483" s="125"/>
    </row>
    <row r="484" spans="1:9">
      <c r="A484" s="125"/>
      <c r="B484" s="125"/>
      <c r="C484" s="125"/>
      <c r="G484" s="129"/>
      <c r="H484" s="130"/>
      <c r="I484" s="125"/>
    </row>
    <row r="485" spans="1:9">
      <c r="A485" s="125"/>
      <c r="B485" s="125"/>
      <c r="C485" s="125"/>
      <c r="G485" s="129"/>
      <c r="H485" s="130"/>
      <c r="I485" s="125"/>
    </row>
    <row r="486" spans="1:9">
      <c r="A486" s="125"/>
      <c r="B486" s="125"/>
      <c r="C486" s="125"/>
      <c r="G486" s="129"/>
      <c r="H486" s="130"/>
      <c r="I486" s="125"/>
    </row>
    <row r="487" spans="1:9">
      <c r="A487" s="125"/>
      <c r="B487" s="125"/>
      <c r="C487" s="125"/>
      <c r="G487" s="129"/>
      <c r="H487" s="130"/>
      <c r="I487" s="125"/>
    </row>
    <row r="488" spans="1:9">
      <c r="A488" s="125"/>
      <c r="B488" s="125"/>
      <c r="C488" s="125"/>
      <c r="G488" s="129"/>
      <c r="H488" s="130"/>
      <c r="I488" s="125"/>
    </row>
    <row r="489" spans="1:9">
      <c r="A489" s="125"/>
      <c r="B489" s="125"/>
      <c r="C489" s="125"/>
      <c r="I489" s="125"/>
    </row>
    <row r="490" spans="1:9">
      <c r="A490" s="125"/>
      <c r="B490" s="125"/>
      <c r="C490" s="125"/>
      <c r="I490" s="125"/>
    </row>
    <row r="491" spans="1:9">
      <c r="A491" s="125"/>
      <c r="B491" s="125"/>
      <c r="C491" s="125"/>
      <c r="I491" s="125"/>
    </row>
    <row r="492" spans="1:9">
      <c r="A492" s="125"/>
      <c r="B492" s="125"/>
      <c r="C492" s="125"/>
      <c r="I492" s="125"/>
    </row>
    <row r="493" spans="1:9">
      <c r="A493" s="125"/>
      <c r="B493" s="125"/>
      <c r="C493" s="125"/>
      <c r="I493" s="125"/>
    </row>
    <row r="494" spans="1:9">
      <c r="A494" s="125"/>
      <c r="B494" s="125"/>
      <c r="C494" s="125"/>
      <c r="I494" s="125"/>
    </row>
    <row r="495" spans="1:9">
      <c r="A495" s="125"/>
      <c r="B495" s="125"/>
      <c r="C495" s="125"/>
      <c r="I495" s="125"/>
    </row>
    <row r="496" spans="1:9">
      <c r="A496" s="125"/>
      <c r="B496" s="125"/>
      <c r="C496" s="125"/>
      <c r="I496" s="125"/>
    </row>
    <row r="497" spans="7:12" s="125" customFormat="1">
      <c r="G497" s="135"/>
      <c r="I497" s="126"/>
      <c r="J497" s="126"/>
      <c r="K497" s="126"/>
      <c r="L497" s="126"/>
    </row>
    <row r="498" spans="7:12" s="125" customFormat="1">
      <c r="G498" s="135"/>
      <c r="I498" s="126"/>
      <c r="J498" s="126"/>
      <c r="K498" s="126"/>
      <c r="L498" s="126"/>
    </row>
    <row r="499" spans="7:12" s="125" customFormat="1">
      <c r="G499" s="135"/>
      <c r="I499" s="126"/>
      <c r="J499" s="126"/>
      <c r="K499" s="126"/>
      <c r="L499" s="126"/>
    </row>
    <row r="500" spans="7:12" s="125" customFormat="1">
      <c r="G500" s="135"/>
      <c r="I500" s="126"/>
      <c r="J500" s="126"/>
      <c r="K500" s="126"/>
      <c r="L500" s="126"/>
    </row>
    <row r="501" spans="7:12" s="125" customFormat="1">
      <c r="G501" s="135"/>
      <c r="I501" s="126"/>
      <c r="J501" s="126"/>
      <c r="K501" s="126"/>
      <c r="L501" s="126"/>
    </row>
    <row r="502" spans="7:12" s="125" customFormat="1">
      <c r="G502" s="135"/>
      <c r="I502" s="126"/>
      <c r="J502" s="126"/>
      <c r="K502" s="126"/>
      <c r="L502" s="126"/>
    </row>
    <row r="503" spans="7:12" s="125" customFormat="1">
      <c r="G503" s="135"/>
      <c r="I503" s="126"/>
      <c r="J503" s="126"/>
      <c r="K503" s="126"/>
      <c r="L503" s="126"/>
    </row>
    <row r="504" spans="7:12" s="125" customFormat="1">
      <c r="G504" s="135"/>
      <c r="I504" s="126"/>
      <c r="J504" s="126"/>
      <c r="K504" s="126"/>
      <c r="L504" s="126"/>
    </row>
    <row r="505" spans="7:12" s="125" customFormat="1">
      <c r="G505" s="135"/>
      <c r="I505" s="126"/>
      <c r="J505" s="126"/>
      <c r="K505" s="126"/>
      <c r="L505" s="126"/>
    </row>
    <row r="506" spans="7:12" s="125" customFormat="1">
      <c r="G506" s="135"/>
      <c r="I506" s="126"/>
      <c r="J506" s="126"/>
      <c r="K506" s="126"/>
      <c r="L506" s="126"/>
    </row>
    <row r="507" spans="7:12" s="125" customFormat="1">
      <c r="G507" s="135"/>
      <c r="I507" s="126"/>
      <c r="J507" s="126"/>
      <c r="K507" s="126"/>
      <c r="L507" s="126"/>
    </row>
    <row r="508" spans="7:12" s="125" customFormat="1">
      <c r="G508" s="135"/>
      <c r="I508" s="126"/>
      <c r="J508" s="126"/>
      <c r="K508" s="126"/>
      <c r="L508" s="126"/>
    </row>
    <row r="509" spans="7:12" s="125" customFormat="1">
      <c r="G509" s="135"/>
      <c r="I509" s="126"/>
      <c r="J509" s="126"/>
      <c r="K509" s="126"/>
      <c r="L509" s="126"/>
    </row>
    <row r="510" spans="7:12" s="125" customFormat="1">
      <c r="G510" s="135"/>
      <c r="I510" s="126"/>
      <c r="J510" s="126"/>
      <c r="K510" s="126"/>
      <c r="L510" s="126"/>
    </row>
    <row r="511" spans="7:12" s="125" customFormat="1">
      <c r="G511" s="135"/>
      <c r="I511" s="126"/>
      <c r="J511" s="126"/>
      <c r="K511" s="126"/>
      <c r="L511" s="126"/>
    </row>
    <row r="512" spans="7:12" s="125" customFormat="1">
      <c r="G512" s="135"/>
      <c r="I512" s="126"/>
      <c r="J512" s="126"/>
      <c r="K512" s="126"/>
      <c r="L512" s="126"/>
    </row>
    <row r="513" spans="7:12" s="125" customFormat="1">
      <c r="G513" s="135"/>
      <c r="I513" s="126"/>
      <c r="J513" s="126"/>
      <c r="K513" s="126"/>
      <c r="L513" s="126"/>
    </row>
    <row r="514" spans="7:12" s="125" customFormat="1">
      <c r="G514" s="135"/>
      <c r="I514" s="126"/>
      <c r="J514" s="126"/>
      <c r="K514" s="126"/>
      <c r="L514" s="126"/>
    </row>
    <row r="515" spans="7:12" s="125" customFormat="1">
      <c r="G515" s="135"/>
      <c r="I515" s="126"/>
      <c r="J515" s="126"/>
      <c r="K515" s="126"/>
      <c r="L515" s="126"/>
    </row>
    <row r="516" spans="7:12" s="125" customFormat="1">
      <c r="G516" s="135"/>
      <c r="I516" s="126"/>
      <c r="J516" s="126"/>
      <c r="K516" s="126"/>
      <c r="L516" s="126"/>
    </row>
    <row r="517" spans="7:12" s="125" customFormat="1">
      <c r="G517" s="135"/>
      <c r="I517" s="126"/>
      <c r="J517" s="126"/>
      <c r="K517" s="126"/>
      <c r="L517" s="126"/>
    </row>
    <row r="518" spans="7:12" s="125" customFormat="1">
      <c r="G518" s="135"/>
      <c r="I518" s="126"/>
      <c r="J518" s="126"/>
      <c r="K518" s="126"/>
      <c r="L518" s="126"/>
    </row>
    <row r="519" spans="7:12" s="125" customFormat="1">
      <c r="G519" s="135"/>
      <c r="I519" s="126"/>
      <c r="J519" s="126"/>
      <c r="K519" s="126"/>
      <c r="L519" s="126"/>
    </row>
    <row r="520" spans="7:12" s="125" customFormat="1">
      <c r="G520" s="135"/>
      <c r="I520" s="126"/>
      <c r="J520" s="126"/>
      <c r="K520" s="126"/>
      <c r="L520" s="126"/>
    </row>
    <row r="521" spans="7:12" s="125" customFormat="1">
      <c r="G521" s="135"/>
      <c r="I521" s="126"/>
      <c r="J521" s="126"/>
      <c r="K521" s="126"/>
      <c r="L521" s="126"/>
    </row>
    <row r="522" spans="7:12" s="125" customFormat="1">
      <c r="G522" s="135"/>
      <c r="I522" s="126"/>
      <c r="J522" s="126"/>
      <c r="K522" s="126"/>
      <c r="L522" s="126"/>
    </row>
    <row r="523" spans="7:12" s="125" customFormat="1">
      <c r="G523" s="135"/>
      <c r="I523" s="126"/>
      <c r="J523" s="126"/>
      <c r="K523" s="126"/>
      <c r="L523" s="126"/>
    </row>
    <row r="524" spans="7:12" s="125" customFormat="1">
      <c r="G524" s="135"/>
      <c r="I524" s="126"/>
      <c r="J524" s="126"/>
      <c r="K524" s="126"/>
      <c r="L524" s="126"/>
    </row>
    <row r="525" spans="7:12" s="125" customFormat="1">
      <c r="G525" s="135"/>
      <c r="I525" s="126"/>
      <c r="J525" s="126"/>
      <c r="K525" s="126"/>
      <c r="L525" s="126"/>
    </row>
    <row r="526" spans="7:12" s="125" customFormat="1">
      <c r="G526" s="135"/>
      <c r="I526" s="126"/>
      <c r="J526" s="126"/>
      <c r="K526" s="126"/>
      <c r="L526" s="126"/>
    </row>
    <row r="527" spans="7:12" s="125" customFormat="1">
      <c r="G527" s="135"/>
      <c r="I527" s="126"/>
      <c r="J527" s="126"/>
      <c r="K527" s="126"/>
      <c r="L527" s="126"/>
    </row>
    <row r="528" spans="7:12" s="125" customFormat="1">
      <c r="G528" s="135"/>
      <c r="I528" s="126"/>
      <c r="J528" s="126"/>
      <c r="K528" s="126"/>
      <c r="L528" s="126"/>
    </row>
    <row r="529" spans="7:12" s="125" customFormat="1">
      <c r="G529" s="135"/>
      <c r="I529" s="126"/>
      <c r="J529" s="126"/>
      <c r="K529" s="126"/>
      <c r="L529" s="126"/>
    </row>
    <row r="530" spans="7:12" s="125" customFormat="1">
      <c r="G530" s="135"/>
      <c r="I530" s="126"/>
      <c r="J530" s="126"/>
      <c r="K530" s="126"/>
      <c r="L530" s="126"/>
    </row>
    <row r="531" spans="7:12" s="125" customFormat="1">
      <c r="G531" s="135"/>
      <c r="I531" s="126"/>
      <c r="J531" s="126"/>
      <c r="K531" s="126"/>
      <c r="L531" s="126"/>
    </row>
    <row r="532" spans="7:12" s="125" customFormat="1">
      <c r="G532" s="135"/>
      <c r="I532" s="126"/>
      <c r="J532" s="126"/>
      <c r="K532" s="126"/>
      <c r="L532" s="126"/>
    </row>
    <row r="533" spans="7:12" s="125" customFormat="1">
      <c r="G533" s="135"/>
      <c r="I533" s="126"/>
      <c r="J533" s="126"/>
      <c r="K533" s="126"/>
      <c r="L533" s="126"/>
    </row>
    <row r="534" spans="7:12" s="125" customFormat="1">
      <c r="G534" s="135"/>
      <c r="I534" s="126"/>
      <c r="J534" s="126"/>
      <c r="K534" s="126"/>
      <c r="L534" s="126"/>
    </row>
    <row r="535" spans="7:12" s="125" customFormat="1">
      <c r="G535" s="135"/>
      <c r="I535" s="126"/>
      <c r="J535" s="126"/>
      <c r="K535" s="126"/>
      <c r="L535" s="126"/>
    </row>
    <row r="536" spans="7:12" s="125" customFormat="1">
      <c r="G536" s="135"/>
      <c r="I536" s="126"/>
      <c r="J536" s="126"/>
      <c r="K536" s="126"/>
      <c r="L536" s="126"/>
    </row>
    <row r="537" spans="7:12" s="125" customFormat="1">
      <c r="G537" s="135"/>
      <c r="I537" s="126"/>
      <c r="J537" s="126"/>
      <c r="K537" s="126"/>
      <c r="L537" s="126"/>
    </row>
    <row r="538" spans="7:12" s="125" customFormat="1">
      <c r="G538" s="135"/>
      <c r="I538" s="126"/>
      <c r="J538" s="126"/>
      <c r="K538" s="126"/>
      <c r="L538" s="126"/>
    </row>
    <row r="539" spans="7:12" s="125" customFormat="1">
      <c r="G539" s="135"/>
      <c r="I539" s="126"/>
      <c r="J539" s="126"/>
      <c r="K539" s="126"/>
      <c r="L539" s="126"/>
    </row>
    <row r="540" spans="7:12" s="125" customFormat="1">
      <c r="G540" s="135"/>
      <c r="I540" s="126"/>
      <c r="J540" s="126"/>
      <c r="K540" s="126"/>
      <c r="L540" s="126"/>
    </row>
    <row r="541" spans="7:12" s="125" customFormat="1">
      <c r="G541" s="135"/>
      <c r="I541" s="126"/>
      <c r="J541" s="126"/>
      <c r="K541" s="126"/>
      <c r="L541" s="126"/>
    </row>
    <row r="542" spans="7:12" s="125" customFormat="1">
      <c r="G542" s="135"/>
      <c r="I542" s="126"/>
      <c r="J542" s="126"/>
      <c r="K542" s="126"/>
      <c r="L542" s="126"/>
    </row>
    <row r="543" spans="7:12" s="125" customFormat="1">
      <c r="G543" s="135"/>
      <c r="I543" s="126"/>
      <c r="J543" s="126"/>
      <c r="K543" s="126"/>
      <c r="L543" s="126"/>
    </row>
    <row r="544" spans="7:12" s="125" customFormat="1">
      <c r="G544" s="135"/>
      <c r="I544" s="126"/>
      <c r="J544" s="126"/>
      <c r="K544" s="126"/>
      <c r="L544" s="126"/>
    </row>
    <row r="545" spans="7:12" s="125" customFormat="1">
      <c r="G545" s="135"/>
      <c r="I545" s="126"/>
      <c r="J545" s="126"/>
      <c r="K545" s="126"/>
      <c r="L545" s="126"/>
    </row>
    <row r="546" spans="7:12" s="125" customFormat="1">
      <c r="G546" s="135"/>
      <c r="I546" s="126"/>
      <c r="J546" s="126"/>
      <c r="K546" s="126"/>
      <c r="L546" s="126"/>
    </row>
    <row r="547" spans="7:12" s="125" customFormat="1">
      <c r="G547" s="135"/>
      <c r="I547" s="126"/>
      <c r="J547" s="126"/>
      <c r="K547" s="126"/>
      <c r="L547" s="126"/>
    </row>
    <row r="548" spans="7:12" s="125" customFormat="1">
      <c r="G548" s="135"/>
      <c r="I548" s="126"/>
      <c r="J548" s="126"/>
      <c r="K548" s="126"/>
      <c r="L548" s="126"/>
    </row>
    <row r="549" spans="7:12" s="125" customFormat="1">
      <c r="G549" s="135"/>
      <c r="I549" s="126"/>
      <c r="J549" s="126"/>
      <c r="K549" s="126"/>
      <c r="L549" s="126"/>
    </row>
    <row r="550" spans="7:12" s="125" customFormat="1">
      <c r="G550" s="135"/>
      <c r="I550" s="126"/>
      <c r="J550" s="126"/>
      <c r="K550" s="126"/>
      <c r="L550" s="126"/>
    </row>
    <row r="551" spans="7:12" s="125" customFormat="1">
      <c r="G551" s="135"/>
      <c r="I551" s="126"/>
      <c r="J551" s="126"/>
      <c r="K551" s="126"/>
      <c r="L551" s="126"/>
    </row>
    <row r="552" spans="7:12" s="125" customFormat="1">
      <c r="G552" s="135"/>
      <c r="I552" s="126"/>
      <c r="J552" s="126"/>
      <c r="K552" s="126"/>
      <c r="L552" s="126"/>
    </row>
    <row r="553" spans="7:12" s="125" customFormat="1">
      <c r="G553" s="135"/>
      <c r="I553" s="126"/>
      <c r="J553" s="126"/>
      <c r="K553" s="126"/>
      <c r="L553" s="126"/>
    </row>
    <row r="554" spans="7:12" s="125" customFormat="1">
      <c r="G554" s="135"/>
      <c r="I554" s="126"/>
      <c r="J554" s="126"/>
      <c r="K554" s="126"/>
      <c r="L554" s="126"/>
    </row>
    <row r="555" spans="7:12" s="125" customFormat="1">
      <c r="G555" s="135"/>
      <c r="I555" s="126"/>
      <c r="J555" s="126"/>
      <c r="K555" s="126"/>
      <c r="L555" s="126"/>
    </row>
    <row r="556" spans="7:12" s="125" customFormat="1">
      <c r="G556" s="135"/>
      <c r="I556" s="126"/>
      <c r="J556" s="126"/>
      <c r="K556" s="126"/>
      <c r="L556" s="126"/>
    </row>
    <row r="557" spans="7:12" s="125" customFormat="1">
      <c r="G557" s="135"/>
      <c r="I557" s="126"/>
      <c r="J557" s="126"/>
      <c r="K557" s="126"/>
      <c r="L557" s="126"/>
    </row>
    <row r="558" spans="7:12" s="125" customFormat="1">
      <c r="G558" s="135"/>
      <c r="I558" s="126"/>
      <c r="J558" s="126"/>
      <c r="K558" s="126"/>
      <c r="L558" s="126"/>
    </row>
    <row r="559" spans="7:12" s="125" customFormat="1">
      <c r="G559" s="135"/>
      <c r="I559" s="126"/>
      <c r="J559" s="126"/>
      <c r="K559" s="126"/>
      <c r="L559" s="126"/>
    </row>
    <row r="560" spans="7:12" s="125" customFormat="1">
      <c r="G560" s="135"/>
      <c r="I560" s="126"/>
      <c r="J560" s="126"/>
      <c r="K560" s="126"/>
      <c r="L560" s="126"/>
    </row>
    <row r="561" spans="7:12" s="125" customFormat="1">
      <c r="G561" s="135"/>
      <c r="I561" s="126"/>
      <c r="J561" s="126"/>
      <c r="K561" s="126"/>
      <c r="L561" s="126"/>
    </row>
    <row r="562" spans="7:12" s="125" customFormat="1">
      <c r="G562" s="135"/>
      <c r="I562" s="126"/>
      <c r="J562" s="126"/>
      <c r="K562" s="126"/>
      <c r="L562" s="126"/>
    </row>
    <row r="563" spans="7:12" s="125" customFormat="1">
      <c r="G563" s="135"/>
      <c r="I563" s="126"/>
      <c r="J563" s="126"/>
      <c r="K563" s="126"/>
      <c r="L563" s="126"/>
    </row>
    <row r="564" spans="7:12" s="125" customFormat="1">
      <c r="G564" s="135"/>
      <c r="I564" s="126"/>
      <c r="J564" s="126"/>
      <c r="K564" s="126"/>
      <c r="L564" s="126"/>
    </row>
    <row r="565" spans="7:12" s="125" customFormat="1">
      <c r="G565" s="135"/>
      <c r="I565" s="126"/>
      <c r="J565" s="126"/>
      <c r="K565" s="126"/>
      <c r="L565" s="126"/>
    </row>
    <row r="566" spans="7:12" s="125" customFormat="1">
      <c r="G566" s="135"/>
      <c r="I566" s="126"/>
      <c r="J566" s="126"/>
      <c r="K566" s="126"/>
      <c r="L566" s="126"/>
    </row>
    <row r="567" spans="7:12" s="125" customFormat="1">
      <c r="G567" s="135"/>
      <c r="I567" s="126"/>
      <c r="J567" s="126"/>
      <c r="K567" s="126"/>
      <c r="L567" s="126"/>
    </row>
    <row r="568" spans="7:12" s="125" customFormat="1">
      <c r="G568" s="135"/>
      <c r="I568" s="126"/>
      <c r="J568" s="126"/>
      <c r="K568" s="126"/>
      <c r="L568" s="126"/>
    </row>
    <row r="569" spans="7:12" s="125" customFormat="1">
      <c r="G569" s="135"/>
      <c r="I569" s="126"/>
      <c r="J569" s="126"/>
      <c r="K569" s="126"/>
      <c r="L569" s="126"/>
    </row>
    <row r="570" spans="7:12" s="125" customFormat="1">
      <c r="G570" s="135"/>
      <c r="I570" s="126"/>
      <c r="J570" s="126"/>
      <c r="K570" s="126"/>
      <c r="L570" s="126"/>
    </row>
    <row r="571" spans="7:12" s="125" customFormat="1">
      <c r="G571" s="135"/>
      <c r="I571" s="126"/>
      <c r="J571" s="126"/>
      <c r="K571" s="126"/>
      <c r="L571" s="126"/>
    </row>
    <row r="572" spans="7:12" s="125" customFormat="1">
      <c r="G572" s="135"/>
      <c r="I572" s="126"/>
      <c r="J572" s="126"/>
      <c r="K572" s="126"/>
      <c r="L572" s="126"/>
    </row>
    <row r="573" spans="7:12" s="125" customFormat="1">
      <c r="G573" s="135"/>
      <c r="I573" s="126"/>
      <c r="J573" s="126"/>
      <c r="K573" s="126"/>
      <c r="L573" s="126"/>
    </row>
    <row r="574" spans="7:12" s="125" customFormat="1">
      <c r="G574" s="135"/>
      <c r="I574" s="126"/>
      <c r="J574" s="126"/>
      <c r="K574" s="126"/>
      <c r="L574" s="126"/>
    </row>
    <row r="575" spans="7:12" s="125" customFormat="1">
      <c r="G575" s="135"/>
      <c r="I575" s="126"/>
      <c r="J575" s="126"/>
      <c r="K575" s="126"/>
      <c r="L575" s="126"/>
    </row>
    <row r="576" spans="7:12" s="125" customFormat="1">
      <c r="G576" s="135"/>
      <c r="I576" s="126"/>
      <c r="J576" s="126"/>
      <c r="K576" s="126"/>
      <c r="L576" s="126"/>
    </row>
    <row r="577" spans="7:12" s="125" customFormat="1">
      <c r="G577" s="135"/>
      <c r="I577" s="126"/>
      <c r="J577" s="126"/>
      <c r="K577" s="126"/>
      <c r="L577" s="126"/>
    </row>
    <row r="578" spans="7:12" s="125" customFormat="1">
      <c r="G578" s="135"/>
      <c r="I578" s="126"/>
      <c r="J578" s="126"/>
      <c r="K578" s="126"/>
      <c r="L578" s="126"/>
    </row>
    <row r="579" spans="7:12" s="125" customFormat="1">
      <c r="G579" s="135"/>
      <c r="I579" s="126"/>
      <c r="J579" s="126"/>
      <c r="K579" s="126"/>
      <c r="L579" s="126"/>
    </row>
    <row r="580" spans="7:12" s="125" customFormat="1">
      <c r="G580" s="135"/>
      <c r="I580" s="126"/>
      <c r="J580" s="126"/>
      <c r="K580" s="126"/>
      <c r="L580" s="126"/>
    </row>
    <row r="581" spans="7:12" s="125" customFormat="1">
      <c r="G581" s="135"/>
      <c r="I581" s="126"/>
      <c r="J581" s="126"/>
      <c r="K581" s="126"/>
      <c r="L581" s="126"/>
    </row>
    <row r="582" spans="7:12" s="125" customFormat="1">
      <c r="G582" s="135"/>
      <c r="I582" s="126"/>
      <c r="J582" s="126"/>
      <c r="K582" s="126"/>
      <c r="L582" s="126"/>
    </row>
    <row r="583" spans="7:12" s="125" customFormat="1">
      <c r="G583" s="135"/>
      <c r="I583" s="126"/>
      <c r="J583" s="126"/>
      <c r="K583" s="126"/>
      <c r="L583" s="126"/>
    </row>
    <row r="584" spans="7:12" s="125" customFormat="1">
      <c r="G584" s="135"/>
      <c r="I584" s="126"/>
      <c r="J584" s="126"/>
      <c r="K584" s="126"/>
      <c r="L584" s="126"/>
    </row>
    <row r="585" spans="7:12" s="125" customFormat="1">
      <c r="G585" s="135"/>
      <c r="I585" s="126"/>
      <c r="J585" s="126"/>
      <c r="K585" s="126"/>
      <c r="L585" s="126"/>
    </row>
    <row r="586" spans="7:12" s="125" customFormat="1">
      <c r="G586" s="135"/>
      <c r="I586" s="126"/>
      <c r="J586" s="126"/>
      <c r="K586" s="126"/>
      <c r="L586" s="126"/>
    </row>
    <row r="587" spans="7:12" s="125" customFormat="1">
      <c r="G587" s="135"/>
      <c r="I587" s="126"/>
      <c r="J587" s="126"/>
      <c r="K587" s="126"/>
      <c r="L587" s="126"/>
    </row>
    <row r="588" spans="7:12" s="125" customFormat="1">
      <c r="G588" s="135"/>
      <c r="I588" s="126"/>
      <c r="J588" s="126"/>
      <c r="K588" s="126"/>
      <c r="L588" s="126"/>
    </row>
    <row r="589" spans="7:12" s="125" customFormat="1">
      <c r="G589" s="135"/>
      <c r="I589" s="126"/>
      <c r="J589" s="126"/>
      <c r="K589" s="126"/>
      <c r="L589" s="126"/>
    </row>
    <row r="590" spans="7:12" s="125" customFormat="1">
      <c r="G590" s="135"/>
      <c r="I590" s="126"/>
      <c r="J590" s="126"/>
      <c r="K590" s="126"/>
      <c r="L590" s="126"/>
    </row>
    <row r="591" spans="7:12" s="125" customFormat="1">
      <c r="G591" s="135"/>
      <c r="I591" s="126"/>
      <c r="J591" s="126"/>
      <c r="K591" s="126"/>
      <c r="L591" s="126"/>
    </row>
    <row r="592" spans="7:12" s="125" customFormat="1">
      <c r="G592" s="135"/>
      <c r="I592" s="126"/>
      <c r="J592" s="126"/>
      <c r="K592" s="126"/>
      <c r="L592" s="126"/>
    </row>
    <row r="593" spans="7:12" s="125" customFormat="1">
      <c r="G593" s="135"/>
      <c r="I593" s="126"/>
      <c r="J593" s="126"/>
      <c r="K593" s="126"/>
      <c r="L593" s="126"/>
    </row>
    <row r="594" spans="7:12" s="125" customFormat="1">
      <c r="G594" s="135"/>
      <c r="I594" s="126"/>
      <c r="J594" s="126"/>
      <c r="K594" s="126"/>
      <c r="L594" s="126"/>
    </row>
    <row r="595" spans="7:12" s="125" customFormat="1">
      <c r="G595" s="135"/>
      <c r="I595" s="126"/>
      <c r="J595" s="126"/>
      <c r="K595" s="126"/>
      <c r="L595" s="126"/>
    </row>
    <row r="596" spans="7:12" s="125" customFormat="1">
      <c r="G596" s="135"/>
      <c r="I596" s="126"/>
      <c r="J596" s="126"/>
      <c r="K596" s="126"/>
      <c r="L596" s="126"/>
    </row>
    <row r="597" spans="7:12" s="125" customFormat="1">
      <c r="G597" s="135"/>
      <c r="I597" s="126"/>
      <c r="J597" s="126"/>
      <c r="K597" s="126"/>
      <c r="L597" s="126"/>
    </row>
    <row r="598" spans="7:12" s="125" customFormat="1">
      <c r="G598" s="135"/>
      <c r="I598" s="126"/>
      <c r="J598" s="126"/>
      <c r="K598" s="126"/>
      <c r="L598" s="126"/>
    </row>
    <row r="599" spans="7:12" s="125" customFormat="1">
      <c r="G599" s="135"/>
      <c r="I599" s="126"/>
      <c r="J599" s="126"/>
      <c r="K599" s="126"/>
      <c r="L599" s="126"/>
    </row>
    <row r="600" spans="7:12" s="125" customFormat="1">
      <c r="G600" s="135"/>
      <c r="I600" s="126"/>
      <c r="J600" s="126"/>
      <c r="K600" s="126"/>
      <c r="L600" s="126"/>
    </row>
    <row r="601" spans="7:12" s="125" customFormat="1">
      <c r="G601" s="135"/>
      <c r="I601" s="126"/>
      <c r="J601" s="126"/>
      <c r="K601" s="126"/>
      <c r="L601" s="126"/>
    </row>
    <row r="602" spans="7:12" s="125" customFormat="1">
      <c r="G602" s="135"/>
      <c r="I602" s="126"/>
      <c r="J602" s="126"/>
      <c r="K602" s="126"/>
      <c r="L602" s="126"/>
    </row>
    <row r="603" spans="7:12" s="125" customFormat="1">
      <c r="G603" s="135"/>
      <c r="I603" s="126"/>
      <c r="J603" s="126"/>
      <c r="K603" s="126"/>
      <c r="L603" s="126"/>
    </row>
    <row r="604" spans="7:12" s="125" customFormat="1">
      <c r="G604" s="135"/>
      <c r="I604" s="126"/>
      <c r="J604" s="126"/>
      <c r="K604" s="126"/>
      <c r="L604" s="126"/>
    </row>
    <row r="605" spans="7:12" s="125" customFormat="1">
      <c r="G605" s="135"/>
      <c r="I605" s="126"/>
      <c r="J605" s="126"/>
      <c r="K605" s="126"/>
      <c r="L605" s="126"/>
    </row>
    <row r="606" spans="7:12" s="125" customFormat="1">
      <c r="G606" s="135"/>
      <c r="I606" s="126"/>
      <c r="J606" s="126"/>
      <c r="K606" s="126"/>
      <c r="L606" s="126"/>
    </row>
    <row r="607" spans="7:12" s="125" customFormat="1">
      <c r="G607" s="135"/>
      <c r="I607" s="126"/>
      <c r="J607" s="126"/>
      <c r="K607" s="126"/>
      <c r="L607" s="126"/>
    </row>
    <row r="608" spans="7:12" s="125" customFormat="1">
      <c r="G608" s="135"/>
      <c r="I608" s="126"/>
      <c r="J608" s="126"/>
      <c r="K608" s="126"/>
      <c r="L608" s="126"/>
    </row>
    <row r="609" spans="7:12" s="125" customFormat="1">
      <c r="G609" s="135"/>
      <c r="J609" s="126"/>
      <c r="K609" s="126"/>
      <c r="L609" s="126"/>
    </row>
    <row r="610" spans="7:12" s="125" customFormat="1">
      <c r="G610" s="135"/>
      <c r="J610" s="126"/>
      <c r="K610" s="126"/>
      <c r="L610" s="126"/>
    </row>
    <row r="611" spans="7:12" s="125" customFormat="1">
      <c r="G611" s="135"/>
      <c r="J611" s="126"/>
      <c r="K611" s="126"/>
      <c r="L611" s="126"/>
    </row>
    <row r="612" spans="7:12" s="125" customFormat="1">
      <c r="G612" s="135"/>
      <c r="J612" s="126"/>
      <c r="K612" s="126"/>
      <c r="L612" s="126"/>
    </row>
    <row r="613" spans="7:12" s="125" customFormat="1">
      <c r="G613" s="135"/>
      <c r="J613" s="126"/>
      <c r="K613" s="126"/>
      <c r="L613" s="126"/>
    </row>
    <row r="614" spans="7:12" s="125" customFormat="1">
      <c r="G614" s="135"/>
      <c r="J614" s="126"/>
      <c r="K614" s="126"/>
      <c r="L614" s="126"/>
    </row>
    <row r="615" spans="7:12" s="125" customFormat="1">
      <c r="G615" s="135"/>
      <c r="J615" s="126"/>
      <c r="K615" s="126"/>
      <c r="L615" s="126"/>
    </row>
    <row r="616" spans="7:12" s="125" customFormat="1">
      <c r="G616" s="135"/>
      <c r="J616" s="126"/>
      <c r="K616" s="126"/>
      <c r="L616" s="126"/>
    </row>
    <row r="617" spans="7:12" s="125" customFormat="1">
      <c r="G617" s="135"/>
      <c r="J617" s="126"/>
      <c r="K617" s="126"/>
      <c r="L617" s="126"/>
    </row>
    <row r="618" spans="7:12" s="125" customFormat="1">
      <c r="G618" s="135"/>
      <c r="J618" s="126"/>
      <c r="K618" s="126"/>
      <c r="L618" s="126"/>
    </row>
    <row r="619" spans="7:12" s="125" customFormat="1">
      <c r="G619" s="135"/>
      <c r="J619" s="126"/>
      <c r="K619" s="126"/>
      <c r="L619" s="126"/>
    </row>
    <row r="620" spans="7:12" s="125" customFormat="1">
      <c r="G620" s="135"/>
      <c r="J620" s="126"/>
      <c r="K620" s="126"/>
      <c r="L620" s="126"/>
    </row>
    <row r="621" spans="7:12" s="125" customFormat="1">
      <c r="G621" s="135"/>
      <c r="J621" s="126"/>
      <c r="K621" s="126"/>
      <c r="L621" s="126"/>
    </row>
    <row r="622" spans="7:12" s="125" customFormat="1">
      <c r="G622" s="135"/>
      <c r="J622" s="126"/>
      <c r="K622" s="126"/>
      <c r="L622" s="126"/>
    </row>
    <row r="623" spans="7:12" s="125" customFormat="1">
      <c r="G623" s="135"/>
      <c r="J623" s="126"/>
      <c r="K623" s="126"/>
      <c r="L623" s="126"/>
    </row>
    <row r="624" spans="7:12" s="125" customFormat="1">
      <c r="G624" s="135"/>
      <c r="J624" s="126"/>
      <c r="K624" s="126"/>
      <c r="L624" s="126"/>
    </row>
    <row r="625" spans="7:12" s="125" customFormat="1">
      <c r="G625" s="135"/>
      <c r="J625" s="126"/>
      <c r="K625" s="126"/>
      <c r="L625" s="126"/>
    </row>
    <row r="626" spans="7:12" s="125" customFormat="1">
      <c r="G626" s="135"/>
      <c r="J626" s="126"/>
      <c r="K626" s="126"/>
      <c r="L626" s="126"/>
    </row>
    <row r="627" spans="7:12" s="125" customFormat="1">
      <c r="G627" s="135"/>
      <c r="J627" s="126"/>
      <c r="K627" s="126"/>
      <c r="L627" s="126"/>
    </row>
    <row r="628" spans="7:12" s="125" customFormat="1">
      <c r="G628" s="135"/>
      <c r="J628" s="126"/>
      <c r="K628" s="126"/>
      <c r="L628" s="126"/>
    </row>
    <row r="629" spans="7:12" s="125" customFormat="1">
      <c r="G629" s="135"/>
      <c r="J629" s="126"/>
      <c r="K629" s="126"/>
      <c r="L629" s="126"/>
    </row>
    <row r="630" spans="7:12" s="125" customFormat="1">
      <c r="G630" s="135"/>
      <c r="J630" s="126"/>
      <c r="K630" s="126"/>
      <c r="L630" s="126"/>
    </row>
    <row r="631" spans="7:12" s="125" customFormat="1">
      <c r="G631" s="135"/>
      <c r="J631" s="126"/>
      <c r="K631" s="126"/>
      <c r="L631" s="126"/>
    </row>
    <row r="632" spans="7:12" s="125" customFormat="1">
      <c r="G632" s="135"/>
      <c r="J632" s="126"/>
      <c r="K632" s="126"/>
      <c r="L632" s="126"/>
    </row>
    <row r="633" spans="7:12" s="125" customFormat="1">
      <c r="G633" s="135"/>
      <c r="J633" s="126"/>
      <c r="K633" s="126"/>
      <c r="L633" s="126"/>
    </row>
    <row r="634" spans="7:12" s="125" customFormat="1">
      <c r="G634" s="135"/>
      <c r="J634" s="126"/>
      <c r="K634" s="126"/>
      <c r="L634" s="126"/>
    </row>
    <row r="635" spans="7:12" s="125" customFormat="1">
      <c r="G635" s="135"/>
      <c r="J635" s="126"/>
      <c r="K635" s="126"/>
      <c r="L635" s="126"/>
    </row>
    <row r="636" spans="7:12" s="125" customFormat="1">
      <c r="G636" s="135"/>
      <c r="J636" s="126"/>
      <c r="K636" s="126"/>
      <c r="L636" s="126"/>
    </row>
    <row r="637" spans="7:12" s="125" customFormat="1">
      <c r="G637" s="135"/>
      <c r="J637" s="126"/>
      <c r="K637" s="126"/>
      <c r="L637" s="126"/>
    </row>
    <row r="638" spans="7:12" s="125" customFormat="1">
      <c r="G638" s="135"/>
      <c r="J638" s="126"/>
      <c r="K638" s="126"/>
      <c r="L638" s="126"/>
    </row>
    <row r="639" spans="7:12" s="125" customFormat="1">
      <c r="G639" s="135"/>
      <c r="J639" s="126"/>
      <c r="K639" s="126"/>
      <c r="L639" s="126"/>
    </row>
    <row r="640" spans="7:12" s="125" customFormat="1">
      <c r="G640" s="135"/>
      <c r="J640" s="126"/>
      <c r="K640" s="126"/>
      <c r="L640" s="126"/>
    </row>
    <row r="641" spans="7:12" s="125" customFormat="1">
      <c r="G641" s="135"/>
      <c r="J641" s="126"/>
      <c r="K641" s="126"/>
      <c r="L641" s="126"/>
    </row>
    <row r="642" spans="7:12" s="125" customFormat="1">
      <c r="G642" s="135"/>
      <c r="J642" s="126"/>
      <c r="K642" s="126"/>
      <c r="L642" s="126"/>
    </row>
    <row r="643" spans="7:12" s="125" customFormat="1">
      <c r="G643" s="135"/>
      <c r="J643" s="126"/>
      <c r="K643" s="126"/>
      <c r="L643" s="126"/>
    </row>
    <row r="644" spans="7:12" s="125" customFormat="1">
      <c r="G644" s="135"/>
      <c r="J644" s="126"/>
      <c r="K644" s="126"/>
      <c r="L644" s="126"/>
    </row>
    <row r="645" spans="7:12" s="125" customFormat="1">
      <c r="G645" s="135"/>
      <c r="J645" s="126"/>
      <c r="K645" s="126"/>
      <c r="L645" s="126"/>
    </row>
    <row r="646" spans="7:12" s="125" customFormat="1">
      <c r="G646" s="135"/>
      <c r="J646" s="126"/>
      <c r="K646" s="126"/>
      <c r="L646" s="126"/>
    </row>
    <row r="647" spans="7:12" s="125" customFormat="1">
      <c r="G647" s="135"/>
      <c r="J647" s="126"/>
      <c r="K647" s="126"/>
      <c r="L647" s="126"/>
    </row>
    <row r="648" spans="7:12" s="125" customFormat="1">
      <c r="G648" s="135"/>
      <c r="J648" s="126"/>
      <c r="K648" s="126"/>
      <c r="L648" s="126"/>
    </row>
    <row r="649" spans="7:12" s="125" customFormat="1">
      <c r="G649" s="135"/>
      <c r="J649" s="126"/>
      <c r="K649" s="126"/>
      <c r="L649" s="126"/>
    </row>
    <row r="650" spans="7:12" s="125" customFormat="1">
      <c r="G650" s="135"/>
      <c r="J650" s="126"/>
      <c r="K650" s="126"/>
      <c r="L650" s="126"/>
    </row>
    <row r="651" spans="7:12" s="125" customFormat="1">
      <c r="G651" s="135"/>
      <c r="J651" s="126"/>
      <c r="K651" s="126"/>
      <c r="L651" s="126"/>
    </row>
    <row r="652" spans="7:12" s="125" customFormat="1">
      <c r="G652" s="135"/>
      <c r="J652" s="126"/>
      <c r="K652" s="126"/>
      <c r="L652" s="126"/>
    </row>
    <row r="653" spans="7:12" s="125" customFormat="1">
      <c r="G653" s="135"/>
      <c r="J653" s="126"/>
      <c r="K653" s="126"/>
      <c r="L653" s="126"/>
    </row>
    <row r="654" spans="7:12" s="125" customFormat="1">
      <c r="G654" s="135"/>
      <c r="J654" s="126"/>
      <c r="K654" s="126"/>
      <c r="L654" s="126"/>
    </row>
    <row r="655" spans="7:12" s="125" customFormat="1">
      <c r="G655" s="135"/>
      <c r="J655" s="126"/>
      <c r="K655" s="126"/>
      <c r="L655" s="126"/>
    </row>
    <row r="656" spans="7:12" s="125" customFormat="1">
      <c r="G656" s="135"/>
      <c r="J656" s="126"/>
      <c r="K656" s="126"/>
      <c r="L656" s="126"/>
    </row>
    <row r="657" spans="7:12" s="125" customFormat="1">
      <c r="G657" s="135"/>
      <c r="J657" s="126"/>
      <c r="K657" s="126"/>
      <c r="L657" s="126"/>
    </row>
    <row r="658" spans="7:12" s="125" customFormat="1">
      <c r="G658" s="135"/>
      <c r="J658" s="126"/>
      <c r="K658" s="126"/>
      <c r="L658" s="126"/>
    </row>
    <row r="659" spans="7:12" s="125" customFormat="1">
      <c r="G659" s="135"/>
      <c r="J659" s="126"/>
      <c r="K659" s="126"/>
      <c r="L659" s="126"/>
    </row>
    <row r="660" spans="7:12" s="125" customFormat="1">
      <c r="G660" s="135"/>
      <c r="J660" s="126"/>
      <c r="K660" s="126"/>
      <c r="L660" s="126"/>
    </row>
    <row r="661" spans="7:12" s="125" customFormat="1">
      <c r="G661" s="135"/>
      <c r="J661" s="126"/>
      <c r="K661" s="126"/>
      <c r="L661" s="126"/>
    </row>
    <row r="662" spans="7:12" s="125" customFormat="1">
      <c r="G662" s="135"/>
      <c r="J662" s="126"/>
      <c r="K662" s="126"/>
      <c r="L662" s="126"/>
    </row>
    <row r="663" spans="7:12" s="125" customFormat="1">
      <c r="G663" s="135"/>
      <c r="J663" s="126"/>
      <c r="K663" s="126"/>
      <c r="L663" s="126"/>
    </row>
    <row r="664" spans="7:12" s="125" customFormat="1">
      <c r="G664" s="135"/>
      <c r="J664" s="126"/>
      <c r="K664" s="126"/>
      <c r="L664" s="126"/>
    </row>
    <row r="665" spans="7:12" s="125" customFormat="1">
      <c r="G665" s="135"/>
      <c r="J665" s="126"/>
      <c r="K665" s="126"/>
      <c r="L665" s="126"/>
    </row>
    <row r="666" spans="7:12" s="125" customFormat="1">
      <c r="G666" s="135"/>
      <c r="J666" s="126"/>
      <c r="K666" s="126"/>
      <c r="L666" s="126"/>
    </row>
    <row r="667" spans="7:12" s="125" customFormat="1">
      <c r="G667" s="135"/>
      <c r="J667" s="126"/>
      <c r="K667" s="126"/>
      <c r="L667" s="126"/>
    </row>
    <row r="668" spans="7:12" s="125" customFormat="1">
      <c r="G668" s="135"/>
      <c r="J668" s="126"/>
      <c r="K668" s="126"/>
      <c r="L668" s="126"/>
    </row>
    <row r="669" spans="7:12" s="125" customFormat="1">
      <c r="G669" s="135"/>
      <c r="J669" s="126"/>
      <c r="K669" s="126"/>
      <c r="L669" s="126"/>
    </row>
    <row r="670" spans="7:12" s="125" customFormat="1">
      <c r="G670" s="135"/>
      <c r="J670" s="126"/>
      <c r="K670" s="126"/>
      <c r="L670" s="126"/>
    </row>
    <row r="671" spans="7:12" s="125" customFormat="1">
      <c r="G671" s="135"/>
      <c r="J671" s="126"/>
      <c r="K671" s="126"/>
      <c r="L671" s="126"/>
    </row>
    <row r="672" spans="7:12" s="125" customFormat="1">
      <c r="G672" s="135"/>
      <c r="J672" s="126"/>
      <c r="K672" s="126"/>
      <c r="L672" s="126"/>
    </row>
    <row r="673" spans="7:12" s="125" customFormat="1">
      <c r="G673" s="135"/>
      <c r="J673" s="126"/>
      <c r="K673" s="126"/>
      <c r="L673" s="126"/>
    </row>
    <row r="674" spans="7:12" s="125" customFormat="1">
      <c r="G674" s="135"/>
      <c r="J674" s="126"/>
      <c r="K674" s="126"/>
      <c r="L674" s="126"/>
    </row>
    <row r="675" spans="7:12" s="125" customFormat="1">
      <c r="G675" s="135"/>
      <c r="J675" s="126"/>
      <c r="K675" s="126"/>
      <c r="L675" s="126"/>
    </row>
    <row r="676" spans="7:12" s="125" customFormat="1">
      <c r="G676" s="135"/>
      <c r="J676" s="126"/>
      <c r="K676" s="126"/>
      <c r="L676" s="126"/>
    </row>
    <row r="677" spans="7:12" s="125" customFormat="1">
      <c r="G677" s="135"/>
      <c r="J677" s="126"/>
      <c r="K677" s="126"/>
      <c r="L677" s="126"/>
    </row>
    <row r="678" spans="7:12" s="125" customFormat="1">
      <c r="G678" s="135"/>
      <c r="J678" s="126"/>
      <c r="K678" s="126"/>
      <c r="L678" s="126"/>
    </row>
    <row r="679" spans="7:12" s="125" customFormat="1">
      <c r="G679" s="135"/>
      <c r="J679" s="126"/>
      <c r="K679" s="126"/>
      <c r="L679" s="126"/>
    </row>
    <row r="680" spans="7:12" s="125" customFormat="1">
      <c r="G680" s="135"/>
      <c r="J680" s="126"/>
      <c r="K680" s="126"/>
      <c r="L680" s="126"/>
    </row>
    <row r="681" spans="7:12" s="125" customFormat="1">
      <c r="G681" s="135"/>
      <c r="J681" s="126"/>
      <c r="K681" s="126"/>
      <c r="L681" s="126"/>
    </row>
    <row r="682" spans="7:12" s="125" customFormat="1">
      <c r="G682" s="135"/>
      <c r="J682" s="126"/>
      <c r="K682" s="126"/>
      <c r="L682" s="126"/>
    </row>
    <row r="683" spans="7:12" s="125" customFormat="1">
      <c r="G683" s="135"/>
      <c r="J683" s="126"/>
      <c r="K683" s="126"/>
      <c r="L683" s="126"/>
    </row>
    <row r="684" spans="7:12" s="125" customFormat="1">
      <c r="G684" s="135"/>
      <c r="J684" s="126"/>
      <c r="K684" s="126"/>
      <c r="L684" s="126"/>
    </row>
    <row r="685" spans="7:12" s="125" customFormat="1">
      <c r="G685" s="135"/>
      <c r="J685" s="126"/>
      <c r="K685" s="126"/>
      <c r="L685" s="126"/>
    </row>
    <row r="686" spans="7:12" s="125" customFormat="1">
      <c r="G686" s="135"/>
      <c r="J686" s="126"/>
      <c r="K686" s="126"/>
      <c r="L686" s="126"/>
    </row>
    <row r="687" spans="7:12" s="125" customFormat="1">
      <c r="G687" s="135"/>
      <c r="J687" s="126"/>
      <c r="K687" s="126"/>
      <c r="L687" s="126"/>
    </row>
    <row r="688" spans="7:12" s="125" customFormat="1">
      <c r="G688" s="135"/>
      <c r="J688" s="126"/>
      <c r="K688" s="126"/>
      <c r="L688" s="126"/>
    </row>
    <row r="689" spans="7:12" s="125" customFormat="1">
      <c r="G689" s="135"/>
      <c r="J689" s="126"/>
      <c r="K689" s="126"/>
      <c r="L689" s="126"/>
    </row>
    <row r="690" spans="7:12" s="125" customFormat="1">
      <c r="G690" s="135"/>
      <c r="J690" s="126"/>
      <c r="K690" s="126"/>
      <c r="L690" s="126"/>
    </row>
    <row r="691" spans="7:12" s="125" customFormat="1">
      <c r="G691" s="135"/>
      <c r="J691" s="126"/>
      <c r="K691" s="126"/>
      <c r="L691" s="126"/>
    </row>
    <row r="692" spans="7:12" s="125" customFormat="1">
      <c r="G692" s="135"/>
      <c r="J692" s="126"/>
      <c r="K692" s="126"/>
      <c r="L692" s="126"/>
    </row>
    <row r="693" spans="7:12" s="125" customFormat="1">
      <c r="G693" s="135"/>
      <c r="J693" s="126"/>
      <c r="K693" s="126"/>
      <c r="L693" s="126"/>
    </row>
    <row r="694" spans="7:12" s="125" customFormat="1">
      <c r="G694" s="135"/>
      <c r="J694" s="126"/>
      <c r="K694" s="126"/>
      <c r="L694" s="126"/>
    </row>
    <row r="695" spans="7:12" s="125" customFormat="1">
      <c r="G695" s="135"/>
      <c r="J695" s="126"/>
      <c r="K695" s="126"/>
      <c r="L695" s="126"/>
    </row>
    <row r="696" spans="7:12" s="125" customFormat="1">
      <c r="G696" s="135"/>
      <c r="J696" s="126"/>
      <c r="K696" s="126"/>
      <c r="L696" s="126"/>
    </row>
    <row r="697" spans="7:12" s="125" customFormat="1">
      <c r="G697" s="135"/>
      <c r="J697" s="126"/>
      <c r="K697" s="126"/>
      <c r="L697" s="126"/>
    </row>
    <row r="698" spans="7:12" s="125" customFormat="1">
      <c r="G698" s="135"/>
      <c r="J698" s="126"/>
      <c r="K698" s="126"/>
      <c r="L698" s="126"/>
    </row>
    <row r="699" spans="7:12" s="125" customFormat="1">
      <c r="G699" s="135"/>
      <c r="J699" s="126"/>
      <c r="K699" s="126"/>
      <c r="L699" s="126"/>
    </row>
    <row r="700" spans="7:12" s="125" customFormat="1">
      <c r="G700" s="135"/>
      <c r="J700" s="126"/>
      <c r="K700" s="126"/>
      <c r="L700" s="126"/>
    </row>
    <row r="701" spans="7:12" s="125" customFormat="1">
      <c r="G701" s="135"/>
      <c r="J701" s="126"/>
      <c r="K701" s="126"/>
      <c r="L701" s="126"/>
    </row>
    <row r="702" spans="7:12" s="125" customFormat="1">
      <c r="G702" s="135"/>
      <c r="J702" s="126"/>
      <c r="K702" s="126"/>
      <c r="L702" s="126"/>
    </row>
    <row r="703" spans="7:12" s="125" customFormat="1">
      <c r="G703" s="135"/>
      <c r="J703" s="126"/>
      <c r="K703" s="126"/>
      <c r="L703" s="126"/>
    </row>
    <row r="704" spans="7:12" s="125" customFormat="1">
      <c r="G704" s="135"/>
      <c r="J704" s="126"/>
      <c r="K704" s="126"/>
      <c r="L704" s="126"/>
    </row>
    <row r="705" spans="7:12" s="125" customFormat="1">
      <c r="G705" s="135"/>
      <c r="J705" s="126"/>
      <c r="K705" s="126"/>
      <c r="L705" s="126"/>
    </row>
    <row r="706" spans="7:12" s="125" customFormat="1">
      <c r="G706" s="135"/>
      <c r="J706" s="126"/>
      <c r="K706" s="126"/>
      <c r="L706" s="126"/>
    </row>
    <row r="707" spans="7:12" s="125" customFormat="1">
      <c r="G707" s="135"/>
      <c r="J707" s="126"/>
      <c r="K707" s="126"/>
      <c r="L707" s="126"/>
    </row>
    <row r="708" spans="7:12" s="125" customFormat="1">
      <c r="G708" s="135"/>
      <c r="J708" s="126"/>
      <c r="K708" s="126"/>
      <c r="L708" s="126"/>
    </row>
    <row r="709" spans="7:12" s="125" customFormat="1">
      <c r="G709" s="135"/>
      <c r="J709" s="126"/>
      <c r="K709" s="126"/>
      <c r="L709" s="126"/>
    </row>
    <row r="710" spans="7:12" s="125" customFormat="1">
      <c r="G710" s="135"/>
      <c r="J710" s="126"/>
      <c r="K710" s="126"/>
      <c r="L710" s="126"/>
    </row>
    <row r="711" spans="7:12" s="125" customFormat="1">
      <c r="G711" s="135"/>
      <c r="J711" s="126"/>
      <c r="K711" s="126"/>
      <c r="L711" s="126"/>
    </row>
    <row r="712" spans="7:12" s="125" customFormat="1">
      <c r="G712" s="135"/>
      <c r="J712" s="126"/>
      <c r="K712" s="126"/>
      <c r="L712" s="126"/>
    </row>
    <row r="713" spans="7:12" s="125" customFormat="1">
      <c r="G713" s="135"/>
      <c r="J713" s="126"/>
      <c r="K713" s="126"/>
      <c r="L713" s="126"/>
    </row>
    <row r="714" spans="7:12" s="125" customFormat="1">
      <c r="G714" s="135"/>
      <c r="J714" s="126"/>
      <c r="K714" s="126"/>
      <c r="L714" s="126"/>
    </row>
    <row r="715" spans="7:12" s="125" customFormat="1">
      <c r="G715" s="135"/>
      <c r="J715" s="126"/>
      <c r="K715" s="126"/>
      <c r="L715" s="126"/>
    </row>
    <row r="716" spans="7:12" s="125" customFormat="1">
      <c r="G716" s="135"/>
      <c r="J716" s="126"/>
      <c r="K716" s="126"/>
      <c r="L716" s="126"/>
    </row>
    <row r="717" spans="7:12" s="125" customFormat="1">
      <c r="G717" s="135"/>
      <c r="J717" s="126"/>
      <c r="K717" s="126"/>
      <c r="L717" s="126"/>
    </row>
    <row r="718" spans="7:12" s="125" customFormat="1">
      <c r="G718" s="135"/>
      <c r="J718" s="126"/>
      <c r="K718" s="126"/>
      <c r="L718" s="126"/>
    </row>
    <row r="719" spans="7:12" s="125" customFormat="1">
      <c r="G719" s="135"/>
      <c r="J719" s="126"/>
      <c r="K719" s="126"/>
      <c r="L719" s="126"/>
    </row>
    <row r="720" spans="7:12" s="125" customFormat="1">
      <c r="G720" s="135"/>
      <c r="J720" s="126"/>
      <c r="K720" s="126"/>
      <c r="L720" s="126"/>
    </row>
    <row r="721" spans="7:12" s="125" customFormat="1">
      <c r="G721" s="135"/>
      <c r="J721" s="126"/>
      <c r="K721" s="126"/>
      <c r="L721" s="126"/>
    </row>
    <row r="722" spans="7:12" s="125" customFormat="1">
      <c r="G722" s="135"/>
      <c r="J722" s="126"/>
      <c r="K722" s="126"/>
      <c r="L722" s="126"/>
    </row>
    <row r="723" spans="7:12" s="125" customFormat="1">
      <c r="G723" s="135"/>
      <c r="J723" s="126"/>
      <c r="K723" s="126"/>
      <c r="L723" s="126"/>
    </row>
    <row r="724" spans="7:12" s="125" customFormat="1">
      <c r="G724" s="135"/>
      <c r="J724" s="126"/>
      <c r="K724" s="126"/>
      <c r="L724" s="126"/>
    </row>
    <row r="725" spans="7:12" s="125" customFormat="1">
      <c r="G725" s="135"/>
      <c r="J725" s="126"/>
      <c r="K725" s="126"/>
      <c r="L725" s="126"/>
    </row>
    <row r="726" spans="7:12" s="125" customFormat="1">
      <c r="G726" s="135"/>
      <c r="J726" s="126"/>
      <c r="K726" s="126"/>
      <c r="L726" s="126"/>
    </row>
    <row r="727" spans="7:12" s="125" customFormat="1">
      <c r="G727" s="135"/>
      <c r="J727" s="126"/>
      <c r="K727" s="126"/>
      <c r="L727" s="126"/>
    </row>
    <row r="728" spans="7:12" s="125" customFormat="1">
      <c r="G728" s="135"/>
      <c r="J728" s="126"/>
      <c r="K728" s="126"/>
      <c r="L728" s="126"/>
    </row>
    <row r="729" spans="7:12" s="125" customFormat="1">
      <c r="G729" s="135"/>
      <c r="J729" s="126"/>
      <c r="K729" s="126"/>
      <c r="L729" s="126"/>
    </row>
    <row r="730" spans="7:12" s="125" customFormat="1">
      <c r="G730" s="135"/>
      <c r="J730" s="126"/>
      <c r="K730" s="126"/>
      <c r="L730" s="126"/>
    </row>
    <row r="731" spans="7:12" s="125" customFormat="1">
      <c r="G731" s="135"/>
      <c r="J731" s="126"/>
      <c r="K731" s="126"/>
      <c r="L731" s="126"/>
    </row>
    <row r="732" spans="7:12" s="125" customFormat="1">
      <c r="G732" s="135"/>
      <c r="J732" s="126"/>
      <c r="K732" s="126"/>
      <c r="L732" s="126"/>
    </row>
    <row r="733" spans="7:12" s="125" customFormat="1">
      <c r="G733" s="135"/>
      <c r="J733" s="126"/>
      <c r="K733" s="126"/>
      <c r="L733" s="126"/>
    </row>
    <row r="734" spans="7:12" s="125" customFormat="1">
      <c r="G734" s="135"/>
      <c r="J734" s="126"/>
      <c r="K734" s="126"/>
      <c r="L734" s="126"/>
    </row>
    <row r="735" spans="7:12" s="125" customFormat="1">
      <c r="G735" s="135"/>
      <c r="J735" s="126"/>
      <c r="K735" s="126"/>
      <c r="L735" s="126"/>
    </row>
    <row r="736" spans="7:12" s="125" customFormat="1">
      <c r="G736" s="135"/>
      <c r="J736" s="126"/>
      <c r="K736" s="126"/>
      <c r="L736" s="126"/>
    </row>
    <row r="737" spans="7:12" s="125" customFormat="1">
      <c r="G737" s="135"/>
      <c r="J737" s="126"/>
      <c r="K737" s="126"/>
      <c r="L737" s="126"/>
    </row>
    <row r="738" spans="7:12" s="125" customFormat="1">
      <c r="G738" s="135"/>
      <c r="J738" s="126"/>
      <c r="K738" s="126"/>
      <c r="L738" s="126"/>
    </row>
    <row r="739" spans="7:12" s="125" customFormat="1">
      <c r="G739" s="135"/>
      <c r="J739" s="126"/>
      <c r="K739" s="126"/>
      <c r="L739" s="126"/>
    </row>
    <row r="740" spans="7:12" s="125" customFormat="1">
      <c r="G740" s="135"/>
      <c r="J740" s="126"/>
      <c r="K740" s="126"/>
      <c r="L740" s="126"/>
    </row>
    <row r="741" spans="7:12" s="125" customFormat="1">
      <c r="G741" s="135"/>
      <c r="J741" s="126"/>
      <c r="K741" s="126"/>
      <c r="L741" s="126"/>
    </row>
    <row r="742" spans="7:12" s="125" customFormat="1">
      <c r="G742" s="135"/>
      <c r="J742" s="126"/>
      <c r="K742" s="126"/>
      <c r="L742" s="126"/>
    </row>
    <row r="743" spans="7:12" s="125" customFormat="1">
      <c r="G743" s="135"/>
      <c r="J743" s="126"/>
      <c r="K743" s="126"/>
      <c r="L743" s="126"/>
    </row>
    <row r="744" spans="7:12" s="125" customFormat="1">
      <c r="G744" s="135"/>
      <c r="J744" s="126"/>
      <c r="K744" s="126"/>
      <c r="L744" s="126"/>
    </row>
    <row r="745" spans="7:12" s="125" customFormat="1">
      <c r="G745" s="135"/>
      <c r="J745" s="126"/>
      <c r="K745" s="126"/>
      <c r="L745" s="126"/>
    </row>
    <row r="746" spans="7:12" s="125" customFormat="1">
      <c r="G746" s="135"/>
      <c r="J746" s="126"/>
      <c r="K746" s="126"/>
      <c r="L746" s="126"/>
    </row>
    <row r="747" spans="7:12" s="125" customFormat="1">
      <c r="G747" s="135"/>
      <c r="J747" s="126"/>
      <c r="K747" s="126"/>
      <c r="L747" s="126"/>
    </row>
    <row r="748" spans="7:12" s="125" customFormat="1">
      <c r="G748" s="135"/>
      <c r="J748" s="126"/>
      <c r="K748" s="126"/>
      <c r="L748" s="126"/>
    </row>
    <row r="749" spans="7:12" s="125" customFormat="1">
      <c r="G749" s="135"/>
      <c r="J749" s="126"/>
      <c r="K749" s="126"/>
      <c r="L749" s="126"/>
    </row>
    <row r="750" spans="7:12" s="125" customFormat="1">
      <c r="G750" s="135"/>
      <c r="J750" s="126"/>
      <c r="K750" s="126"/>
      <c r="L750" s="126"/>
    </row>
    <row r="751" spans="7:12" s="125" customFormat="1">
      <c r="G751" s="135"/>
      <c r="J751" s="126"/>
      <c r="K751" s="126"/>
      <c r="L751" s="126"/>
    </row>
    <row r="752" spans="7:12" s="125" customFormat="1">
      <c r="G752" s="135"/>
      <c r="J752" s="126"/>
      <c r="K752" s="126"/>
      <c r="L752" s="126"/>
    </row>
    <row r="753" spans="7:12" s="125" customFormat="1">
      <c r="G753" s="135"/>
      <c r="J753" s="126"/>
      <c r="K753" s="126"/>
      <c r="L753" s="126"/>
    </row>
    <row r="754" spans="7:12" s="125" customFormat="1">
      <c r="G754" s="135"/>
      <c r="J754" s="126"/>
      <c r="K754" s="126"/>
      <c r="L754" s="126"/>
    </row>
    <row r="755" spans="7:12" s="125" customFormat="1">
      <c r="G755" s="135"/>
      <c r="J755" s="126"/>
      <c r="K755" s="126"/>
      <c r="L755" s="126"/>
    </row>
    <row r="756" spans="7:12" s="125" customFormat="1">
      <c r="G756" s="135"/>
      <c r="J756" s="126"/>
      <c r="K756" s="126"/>
      <c r="L756" s="126"/>
    </row>
    <row r="757" spans="7:12" s="125" customFormat="1">
      <c r="G757" s="135"/>
      <c r="J757" s="126"/>
      <c r="K757" s="126"/>
      <c r="L757" s="126"/>
    </row>
    <row r="758" spans="7:12" s="125" customFormat="1">
      <c r="G758" s="135"/>
      <c r="J758" s="126"/>
      <c r="K758" s="126"/>
      <c r="L758" s="126"/>
    </row>
    <row r="759" spans="7:12" s="125" customFormat="1">
      <c r="G759" s="135"/>
      <c r="J759" s="126"/>
      <c r="K759" s="126"/>
      <c r="L759" s="126"/>
    </row>
    <row r="760" spans="7:12" s="125" customFormat="1">
      <c r="G760" s="135"/>
      <c r="J760" s="126"/>
      <c r="K760" s="126"/>
      <c r="L760" s="126"/>
    </row>
    <row r="761" spans="7:12" s="125" customFormat="1">
      <c r="G761" s="135"/>
      <c r="J761" s="126"/>
      <c r="K761" s="126"/>
      <c r="L761" s="126"/>
    </row>
    <row r="762" spans="7:12" s="125" customFormat="1">
      <c r="G762" s="135"/>
      <c r="J762" s="126"/>
      <c r="K762" s="126"/>
      <c r="L762" s="126"/>
    </row>
    <row r="763" spans="7:12" s="125" customFormat="1">
      <c r="G763" s="135"/>
      <c r="J763" s="126"/>
      <c r="K763" s="126"/>
      <c r="L763" s="126"/>
    </row>
    <row r="764" spans="7:12" s="125" customFormat="1">
      <c r="G764" s="135"/>
      <c r="J764" s="126"/>
      <c r="K764" s="126"/>
      <c r="L764" s="126"/>
    </row>
    <row r="765" spans="7:12" s="125" customFormat="1">
      <c r="G765" s="135"/>
      <c r="J765" s="126"/>
      <c r="K765" s="126"/>
      <c r="L765" s="126"/>
    </row>
    <row r="766" spans="7:12" s="125" customFormat="1">
      <c r="G766" s="135"/>
      <c r="J766" s="126"/>
      <c r="K766" s="126"/>
      <c r="L766" s="126"/>
    </row>
    <row r="767" spans="7:12" s="125" customFormat="1">
      <c r="G767" s="135"/>
      <c r="J767" s="126"/>
      <c r="K767" s="126"/>
      <c r="L767" s="126"/>
    </row>
    <row r="768" spans="7:12" s="125" customFormat="1">
      <c r="G768" s="135"/>
      <c r="J768" s="126"/>
      <c r="K768" s="126"/>
      <c r="L768" s="126"/>
    </row>
    <row r="769" spans="7:12" s="125" customFormat="1">
      <c r="G769" s="135"/>
      <c r="J769" s="126"/>
      <c r="K769" s="126"/>
      <c r="L769" s="126"/>
    </row>
    <row r="770" spans="7:12" s="125" customFormat="1">
      <c r="G770" s="135"/>
      <c r="J770" s="126"/>
      <c r="K770" s="126"/>
      <c r="L770" s="126"/>
    </row>
    <row r="771" spans="7:12" s="125" customFormat="1">
      <c r="G771" s="135"/>
      <c r="J771" s="126"/>
      <c r="K771" s="126"/>
      <c r="L771" s="126"/>
    </row>
    <row r="772" spans="7:12" s="125" customFormat="1">
      <c r="G772" s="135"/>
      <c r="J772" s="126"/>
      <c r="K772" s="126"/>
      <c r="L772" s="126"/>
    </row>
    <row r="773" spans="7:12" s="125" customFormat="1">
      <c r="G773" s="135"/>
      <c r="J773" s="126"/>
      <c r="K773" s="126"/>
      <c r="L773" s="126"/>
    </row>
    <row r="774" spans="7:12" s="125" customFormat="1">
      <c r="G774" s="135"/>
      <c r="J774" s="126"/>
      <c r="K774" s="126"/>
      <c r="L774" s="126"/>
    </row>
    <row r="775" spans="7:12" s="125" customFormat="1">
      <c r="G775" s="135"/>
      <c r="J775" s="126"/>
      <c r="K775" s="126"/>
      <c r="L775" s="126"/>
    </row>
    <row r="776" spans="7:12" s="125" customFormat="1">
      <c r="G776" s="135"/>
      <c r="J776" s="126"/>
      <c r="K776" s="126"/>
      <c r="L776" s="126"/>
    </row>
    <row r="777" spans="7:12" s="125" customFormat="1">
      <c r="G777" s="135"/>
      <c r="J777" s="126"/>
      <c r="K777" s="126"/>
      <c r="L777" s="126"/>
    </row>
    <row r="778" spans="7:12" s="125" customFormat="1">
      <c r="G778" s="135"/>
      <c r="J778" s="126"/>
      <c r="K778" s="126"/>
      <c r="L778" s="126"/>
    </row>
    <row r="779" spans="7:12" s="125" customFormat="1">
      <c r="G779" s="135"/>
      <c r="J779" s="126"/>
      <c r="K779" s="126"/>
      <c r="L779" s="126"/>
    </row>
    <row r="780" spans="7:12" s="125" customFormat="1">
      <c r="G780" s="135"/>
      <c r="J780" s="126"/>
      <c r="K780" s="126"/>
      <c r="L780" s="126"/>
    </row>
    <row r="781" spans="7:12" s="125" customFormat="1">
      <c r="G781" s="135"/>
      <c r="J781" s="126"/>
      <c r="K781" s="126"/>
      <c r="L781" s="126"/>
    </row>
    <row r="782" spans="7:12" s="125" customFormat="1">
      <c r="G782" s="135"/>
      <c r="J782" s="126"/>
      <c r="K782" s="126"/>
      <c r="L782" s="126"/>
    </row>
    <row r="783" spans="7:12" s="125" customFormat="1">
      <c r="G783" s="135"/>
      <c r="J783" s="126"/>
      <c r="K783" s="126"/>
      <c r="L783" s="126"/>
    </row>
    <row r="784" spans="7:12" s="125" customFormat="1">
      <c r="G784" s="135"/>
      <c r="J784" s="126"/>
      <c r="K784" s="126"/>
      <c r="L784" s="126"/>
    </row>
    <row r="785" spans="7:12" s="125" customFormat="1">
      <c r="G785" s="135"/>
      <c r="J785" s="126"/>
      <c r="K785" s="126"/>
      <c r="L785" s="126"/>
    </row>
    <row r="786" spans="7:12" s="125" customFormat="1">
      <c r="G786" s="135"/>
      <c r="J786" s="126"/>
      <c r="K786" s="126"/>
      <c r="L786" s="126"/>
    </row>
    <row r="787" spans="7:12" s="125" customFormat="1">
      <c r="G787" s="135"/>
      <c r="J787" s="126"/>
      <c r="K787" s="126"/>
      <c r="L787" s="126"/>
    </row>
    <row r="788" spans="7:12" s="125" customFormat="1">
      <c r="G788" s="135"/>
      <c r="J788" s="126"/>
      <c r="K788" s="126"/>
      <c r="L788" s="126"/>
    </row>
    <row r="789" spans="7:12" s="125" customFormat="1">
      <c r="G789" s="135"/>
      <c r="J789" s="126"/>
      <c r="K789" s="126"/>
      <c r="L789" s="126"/>
    </row>
    <row r="790" spans="7:12" s="125" customFormat="1">
      <c r="G790" s="135"/>
      <c r="J790" s="126"/>
      <c r="K790" s="126"/>
      <c r="L790" s="126"/>
    </row>
    <row r="791" spans="7:12" s="125" customFormat="1">
      <c r="G791" s="135"/>
      <c r="J791" s="126"/>
      <c r="K791" s="126"/>
      <c r="L791" s="126"/>
    </row>
    <row r="792" spans="7:12" s="125" customFormat="1">
      <c r="G792" s="135"/>
      <c r="J792" s="126"/>
      <c r="K792" s="126"/>
      <c r="L792" s="126"/>
    </row>
    <row r="793" spans="7:12" s="125" customFormat="1">
      <c r="G793" s="135"/>
      <c r="J793" s="126"/>
      <c r="K793" s="126"/>
      <c r="L793" s="126"/>
    </row>
    <row r="794" spans="7:12" s="125" customFormat="1">
      <c r="G794" s="135"/>
      <c r="J794" s="126"/>
      <c r="K794" s="126"/>
      <c r="L794" s="126"/>
    </row>
    <row r="795" spans="7:12" s="125" customFormat="1">
      <c r="G795" s="135"/>
      <c r="J795" s="126"/>
      <c r="K795" s="126"/>
      <c r="L795" s="126"/>
    </row>
    <row r="796" spans="7:12" s="125" customFormat="1">
      <c r="G796" s="135"/>
      <c r="J796" s="126"/>
      <c r="K796" s="126"/>
      <c r="L796" s="126"/>
    </row>
    <row r="797" spans="7:12" s="125" customFormat="1">
      <c r="G797" s="135"/>
      <c r="J797" s="126"/>
      <c r="K797" s="126"/>
      <c r="L797" s="126"/>
    </row>
    <row r="798" spans="7:12" s="125" customFormat="1">
      <c r="G798" s="135"/>
      <c r="J798" s="126"/>
      <c r="K798" s="126"/>
      <c r="L798" s="126"/>
    </row>
    <row r="799" spans="7:12" s="125" customFormat="1">
      <c r="G799" s="135"/>
      <c r="J799" s="126"/>
      <c r="K799" s="126"/>
      <c r="L799" s="126"/>
    </row>
    <row r="800" spans="7:12" s="125" customFormat="1">
      <c r="G800" s="135"/>
      <c r="J800" s="126"/>
      <c r="K800" s="126"/>
      <c r="L800" s="126"/>
    </row>
    <row r="801" spans="7:12" s="125" customFormat="1">
      <c r="G801" s="135"/>
      <c r="J801" s="126"/>
      <c r="K801" s="126"/>
      <c r="L801" s="126"/>
    </row>
    <row r="802" spans="7:12" s="125" customFormat="1">
      <c r="G802" s="135"/>
      <c r="J802" s="126"/>
      <c r="K802" s="126"/>
      <c r="L802" s="126"/>
    </row>
    <row r="803" spans="7:12" s="125" customFormat="1">
      <c r="G803" s="135"/>
      <c r="J803" s="126"/>
      <c r="K803" s="126"/>
      <c r="L803" s="126"/>
    </row>
    <row r="804" spans="7:12" s="125" customFormat="1">
      <c r="G804" s="135"/>
      <c r="J804" s="126"/>
      <c r="K804" s="126"/>
      <c r="L804" s="126"/>
    </row>
    <row r="805" spans="7:12" s="125" customFormat="1">
      <c r="G805" s="135"/>
      <c r="J805" s="126"/>
      <c r="K805" s="126"/>
      <c r="L805" s="126"/>
    </row>
    <row r="806" spans="7:12" s="125" customFormat="1">
      <c r="G806" s="135"/>
      <c r="J806" s="126"/>
      <c r="K806" s="126"/>
      <c r="L806" s="126"/>
    </row>
    <row r="807" spans="7:12" s="125" customFormat="1">
      <c r="G807" s="135"/>
      <c r="J807" s="126"/>
      <c r="K807" s="126"/>
      <c r="L807" s="126"/>
    </row>
    <row r="808" spans="7:12" s="125" customFormat="1">
      <c r="G808" s="135"/>
      <c r="J808" s="126"/>
      <c r="K808" s="126"/>
      <c r="L808" s="126"/>
    </row>
    <row r="809" spans="7:12" s="125" customFormat="1">
      <c r="G809" s="135"/>
      <c r="J809" s="126"/>
      <c r="K809" s="126"/>
      <c r="L809" s="126"/>
    </row>
    <row r="810" spans="7:12" s="125" customFormat="1">
      <c r="G810" s="135"/>
      <c r="J810" s="126"/>
      <c r="K810" s="126"/>
      <c r="L810" s="126"/>
    </row>
    <row r="811" spans="7:12" s="125" customFormat="1">
      <c r="G811" s="135"/>
      <c r="J811" s="126"/>
      <c r="K811" s="126"/>
      <c r="L811" s="126"/>
    </row>
    <row r="812" spans="7:12" s="125" customFormat="1">
      <c r="G812" s="135"/>
      <c r="J812" s="126"/>
      <c r="K812" s="126"/>
      <c r="L812" s="126"/>
    </row>
    <row r="813" spans="7:12" s="125" customFormat="1">
      <c r="G813" s="135"/>
      <c r="J813" s="126"/>
      <c r="K813" s="126"/>
      <c r="L813" s="126"/>
    </row>
    <row r="814" spans="7:12" s="125" customFormat="1">
      <c r="G814" s="135"/>
      <c r="J814" s="126"/>
      <c r="K814" s="126"/>
      <c r="L814" s="126"/>
    </row>
    <row r="815" spans="7:12" s="125" customFormat="1">
      <c r="G815" s="135"/>
      <c r="J815" s="126"/>
      <c r="K815" s="126"/>
      <c r="L815" s="126"/>
    </row>
    <row r="816" spans="7:12" s="125" customFormat="1">
      <c r="G816" s="135"/>
      <c r="J816" s="126"/>
      <c r="K816" s="126"/>
      <c r="L816" s="126"/>
    </row>
    <row r="817" spans="7:12" s="125" customFormat="1">
      <c r="G817" s="135"/>
      <c r="J817" s="126"/>
      <c r="K817" s="126"/>
      <c r="L817" s="126"/>
    </row>
    <row r="818" spans="7:12" s="125" customFormat="1">
      <c r="G818" s="135"/>
      <c r="J818" s="126"/>
      <c r="K818" s="126"/>
      <c r="L818" s="126"/>
    </row>
    <row r="819" spans="7:12" s="125" customFormat="1">
      <c r="G819" s="135"/>
      <c r="J819" s="126"/>
      <c r="K819" s="126"/>
      <c r="L819" s="126"/>
    </row>
    <row r="820" spans="7:12" s="125" customFormat="1">
      <c r="G820" s="135"/>
      <c r="J820" s="126"/>
      <c r="K820" s="126"/>
      <c r="L820" s="126"/>
    </row>
    <row r="821" spans="7:12" s="125" customFormat="1">
      <c r="G821" s="135"/>
      <c r="J821" s="126"/>
      <c r="K821" s="126"/>
      <c r="L821" s="126"/>
    </row>
    <row r="822" spans="7:12" s="125" customFormat="1">
      <c r="G822" s="135"/>
      <c r="J822" s="126"/>
      <c r="K822" s="126"/>
      <c r="L822" s="126"/>
    </row>
    <row r="823" spans="7:12" s="125" customFormat="1">
      <c r="G823" s="135"/>
      <c r="J823" s="126"/>
      <c r="K823" s="126"/>
      <c r="L823" s="126"/>
    </row>
    <row r="824" spans="7:12" s="125" customFormat="1">
      <c r="G824" s="135"/>
      <c r="J824" s="126"/>
      <c r="K824" s="126"/>
      <c r="L824" s="126"/>
    </row>
    <row r="825" spans="7:12" s="125" customFormat="1">
      <c r="G825" s="135"/>
      <c r="J825" s="126"/>
      <c r="K825" s="126"/>
      <c r="L825" s="126"/>
    </row>
    <row r="826" spans="7:12" s="125" customFormat="1">
      <c r="G826" s="135"/>
      <c r="J826" s="126"/>
      <c r="K826" s="126"/>
      <c r="L826" s="126"/>
    </row>
    <row r="827" spans="7:12" s="125" customFormat="1">
      <c r="G827" s="135"/>
      <c r="J827" s="126"/>
      <c r="K827" s="126"/>
      <c r="L827" s="126"/>
    </row>
    <row r="828" spans="7:12" s="125" customFormat="1">
      <c r="G828" s="135"/>
      <c r="J828" s="126"/>
      <c r="K828" s="126"/>
      <c r="L828" s="126"/>
    </row>
    <row r="829" spans="7:12" s="125" customFormat="1">
      <c r="G829" s="135"/>
      <c r="J829" s="126"/>
      <c r="K829" s="126"/>
      <c r="L829" s="126"/>
    </row>
    <row r="830" spans="7:12" s="125" customFormat="1">
      <c r="G830" s="135"/>
      <c r="J830" s="126"/>
      <c r="K830" s="126"/>
      <c r="L830" s="126"/>
    </row>
    <row r="831" spans="7:12" s="125" customFormat="1">
      <c r="G831" s="135"/>
      <c r="J831" s="126"/>
      <c r="K831" s="126"/>
      <c r="L831" s="126"/>
    </row>
    <row r="832" spans="7:12" s="125" customFormat="1">
      <c r="G832" s="135"/>
      <c r="J832" s="126"/>
      <c r="K832" s="126"/>
      <c r="L832" s="126"/>
    </row>
    <row r="833" spans="7:12" s="125" customFormat="1">
      <c r="G833" s="135"/>
      <c r="J833" s="126"/>
      <c r="K833" s="126"/>
      <c r="L833" s="126"/>
    </row>
    <row r="834" spans="7:12" s="125" customFormat="1">
      <c r="G834" s="135"/>
      <c r="J834" s="126"/>
      <c r="K834" s="126"/>
      <c r="L834" s="126"/>
    </row>
    <row r="835" spans="7:12" s="125" customFormat="1">
      <c r="G835" s="135"/>
      <c r="J835" s="126"/>
      <c r="K835" s="126"/>
      <c r="L835" s="126"/>
    </row>
    <row r="836" spans="7:12" s="125" customFormat="1">
      <c r="G836" s="135"/>
      <c r="J836" s="126"/>
      <c r="K836" s="126"/>
      <c r="L836" s="126"/>
    </row>
    <row r="837" spans="7:12" s="125" customFormat="1">
      <c r="G837" s="135"/>
      <c r="J837" s="126"/>
      <c r="K837" s="126"/>
      <c r="L837" s="126"/>
    </row>
    <row r="838" spans="7:12" s="125" customFormat="1">
      <c r="G838" s="135"/>
      <c r="J838" s="126"/>
      <c r="K838" s="126"/>
      <c r="L838" s="126"/>
    </row>
    <row r="839" spans="7:12" s="125" customFormat="1">
      <c r="G839" s="135"/>
      <c r="J839" s="126"/>
      <c r="K839" s="126"/>
      <c r="L839" s="126"/>
    </row>
    <row r="840" spans="7:12" s="125" customFormat="1">
      <c r="G840" s="135"/>
      <c r="J840" s="126"/>
      <c r="K840" s="126"/>
      <c r="L840" s="126"/>
    </row>
    <row r="841" spans="7:12" s="125" customFormat="1">
      <c r="G841" s="135"/>
      <c r="J841" s="126"/>
      <c r="K841" s="126"/>
      <c r="L841" s="126"/>
    </row>
    <row r="842" spans="7:12" s="125" customFormat="1">
      <c r="G842" s="135"/>
      <c r="J842" s="126"/>
      <c r="K842" s="126"/>
      <c r="L842" s="126"/>
    </row>
    <row r="843" spans="7:12" s="125" customFormat="1">
      <c r="G843" s="135"/>
      <c r="J843" s="126"/>
      <c r="K843" s="126"/>
      <c r="L843" s="126"/>
    </row>
    <row r="844" spans="7:12" s="125" customFormat="1">
      <c r="G844" s="135"/>
      <c r="J844" s="126"/>
      <c r="K844" s="126"/>
      <c r="L844" s="126"/>
    </row>
    <row r="845" spans="7:12" s="125" customFormat="1">
      <c r="G845" s="135"/>
      <c r="J845" s="126"/>
      <c r="K845" s="126"/>
      <c r="L845" s="126"/>
    </row>
    <row r="846" spans="7:12" s="125" customFormat="1">
      <c r="G846" s="135"/>
      <c r="J846" s="126"/>
      <c r="K846" s="126"/>
      <c r="L846" s="126"/>
    </row>
    <row r="847" spans="7:12" s="125" customFormat="1">
      <c r="G847" s="135"/>
      <c r="J847" s="126"/>
      <c r="K847" s="126"/>
      <c r="L847" s="126"/>
    </row>
    <row r="848" spans="7:12" s="125" customFormat="1">
      <c r="G848" s="135"/>
      <c r="J848" s="126"/>
      <c r="K848" s="126"/>
      <c r="L848" s="126"/>
    </row>
    <row r="849" spans="7:12" s="125" customFormat="1">
      <c r="G849" s="135"/>
      <c r="J849" s="126"/>
      <c r="K849" s="126"/>
      <c r="L849" s="126"/>
    </row>
    <row r="850" spans="7:12" s="125" customFormat="1">
      <c r="G850" s="135"/>
      <c r="J850" s="126"/>
      <c r="K850" s="126"/>
      <c r="L850" s="126"/>
    </row>
    <row r="851" spans="7:12" s="125" customFormat="1">
      <c r="G851" s="135"/>
      <c r="J851" s="126"/>
      <c r="K851" s="126"/>
      <c r="L851" s="126"/>
    </row>
    <row r="852" spans="7:12" s="125" customFormat="1">
      <c r="G852" s="135"/>
      <c r="J852" s="126"/>
      <c r="K852" s="126"/>
      <c r="L852" s="126"/>
    </row>
    <row r="853" spans="7:12" s="125" customFormat="1">
      <c r="G853" s="135"/>
      <c r="J853" s="126"/>
      <c r="K853" s="126"/>
      <c r="L853" s="126"/>
    </row>
    <row r="854" spans="7:12" s="125" customFormat="1">
      <c r="G854" s="135"/>
      <c r="J854" s="126"/>
      <c r="K854" s="126"/>
      <c r="L854" s="126"/>
    </row>
    <row r="855" spans="7:12" s="125" customFormat="1">
      <c r="G855" s="135"/>
      <c r="J855" s="126"/>
      <c r="K855" s="126"/>
      <c r="L855" s="126"/>
    </row>
    <row r="856" spans="7:12" s="125" customFormat="1">
      <c r="G856" s="135"/>
      <c r="J856" s="126"/>
      <c r="K856" s="126"/>
      <c r="L856" s="126"/>
    </row>
    <row r="857" spans="7:12" s="125" customFormat="1">
      <c r="G857" s="135"/>
      <c r="J857" s="126"/>
      <c r="K857" s="126"/>
      <c r="L857" s="126"/>
    </row>
    <row r="858" spans="7:12" s="125" customFormat="1">
      <c r="G858" s="135"/>
      <c r="J858" s="126"/>
      <c r="K858" s="126"/>
      <c r="L858" s="126"/>
    </row>
    <row r="859" spans="7:12" s="125" customFormat="1">
      <c r="G859" s="135"/>
      <c r="J859" s="126"/>
      <c r="K859" s="126"/>
      <c r="L859" s="126"/>
    </row>
    <row r="860" spans="7:12" s="125" customFormat="1">
      <c r="G860" s="135"/>
      <c r="J860" s="126"/>
      <c r="K860" s="126"/>
      <c r="L860" s="126"/>
    </row>
    <row r="861" spans="7:12" s="125" customFormat="1">
      <c r="G861" s="135"/>
      <c r="J861" s="126"/>
      <c r="K861" s="126"/>
      <c r="L861" s="126"/>
    </row>
    <row r="862" spans="7:12" s="125" customFormat="1">
      <c r="G862" s="135"/>
      <c r="J862" s="126"/>
      <c r="K862" s="126"/>
      <c r="L862" s="126"/>
    </row>
    <row r="863" spans="7:12" s="125" customFormat="1">
      <c r="G863" s="135"/>
      <c r="J863" s="126"/>
      <c r="K863" s="126"/>
      <c r="L863" s="126"/>
    </row>
    <row r="864" spans="7:12" s="125" customFormat="1">
      <c r="G864" s="135"/>
      <c r="J864" s="126"/>
      <c r="K864" s="126"/>
      <c r="L864" s="126"/>
    </row>
    <row r="865" spans="7:12" s="125" customFormat="1">
      <c r="G865" s="135"/>
      <c r="J865" s="126"/>
      <c r="K865" s="126"/>
      <c r="L865" s="126"/>
    </row>
    <row r="866" spans="7:12" s="125" customFormat="1">
      <c r="G866" s="135"/>
      <c r="J866" s="126"/>
      <c r="K866" s="126"/>
      <c r="L866" s="126"/>
    </row>
    <row r="867" spans="7:12" s="125" customFormat="1">
      <c r="G867" s="135"/>
      <c r="J867" s="126"/>
      <c r="K867" s="126"/>
      <c r="L867" s="126"/>
    </row>
    <row r="868" spans="7:12" s="125" customFormat="1">
      <c r="G868" s="135"/>
      <c r="J868" s="126"/>
      <c r="K868" s="126"/>
      <c r="L868" s="126"/>
    </row>
    <row r="869" spans="7:12" s="125" customFormat="1">
      <c r="G869" s="135"/>
      <c r="J869" s="126"/>
      <c r="K869" s="126"/>
      <c r="L869" s="126"/>
    </row>
    <row r="870" spans="7:12" s="125" customFormat="1">
      <c r="G870" s="135"/>
      <c r="J870" s="126"/>
      <c r="K870" s="126"/>
      <c r="L870" s="126"/>
    </row>
    <row r="871" spans="7:12" s="125" customFormat="1">
      <c r="G871" s="135"/>
      <c r="J871" s="126"/>
      <c r="K871" s="126"/>
      <c r="L871" s="126"/>
    </row>
    <row r="872" spans="7:12" s="125" customFormat="1">
      <c r="G872" s="135"/>
      <c r="J872" s="126"/>
      <c r="K872" s="126"/>
      <c r="L872" s="126"/>
    </row>
    <row r="873" spans="7:12" s="125" customFormat="1">
      <c r="G873" s="135"/>
      <c r="J873" s="126"/>
      <c r="K873" s="126"/>
      <c r="L873" s="126"/>
    </row>
    <row r="874" spans="7:12" s="125" customFormat="1">
      <c r="G874" s="135"/>
      <c r="J874" s="126"/>
      <c r="K874" s="126"/>
      <c r="L874" s="126"/>
    </row>
    <row r="875" spans="7:12" s="125" customFormat="1">
      <c r="G875" s="135"/>
      <c r="J875" s="126"/>
      <c r="K875" s="126"/>
      <c r="L875" s="126"/>
    </row>
    <row r="876" spans="7:12" s="125" customFormat="1">
      <c r="G876" s="135"/>
      <c r="J876" s="126"/>
      <c r="K876" s="126"/>
      <c r="L876" s="126"/>
    </row>
    <row r="877" spans="7:12" s="125" customFormat="1">
      <c r="G877" s="135"/>
      <c r="J877" s="126"/>
      <c r="K877" s="126"/>
      <c r="L877" s="126"/>
    </row>
    <row r="878" spans="7:12" s="125" customFormat="1">
      <c r="G878" s="135"/>
      <c r="J878" s="126"/>
      <c r="K878" s="126"/>
      <c r="L878" s="126"/>
    </row>
    <row r="879" spans="7:12" s="125" customFormat="1">
      <c r="G879" s="135"/>
      <c r="J879" s="126"/>
      <c r="K879" s="126"/>
      <c r="L879" s="126"/>
    </row>
    <row r="880" spans="7:12" s="125" customFormat="1">
      <c r="G880" s="135"/>
      <c r="J880" s="126"/>
      <c r="K880" s="126"/>
      <c r="L880" s="126"/>
    </row>
    <row r="881" spans="7:12" s="125" customFormat="1">
      <c r="G881" s="135"/>
      <c r="J881" s="126"/>
      <c r="K881" s="126"/>
      <c r="L881" s="126"/>
    </row>
    <row r="882" spans="7:12" s="125" customFormat="1">
      <c r="G882" s="135"/>
      <c r="J882" s="126"/>
      <c r="K882" s="126"/>
      <c r="L882" s="126"/>
    </row>
    <row r="883" spans="7:12" s="125" customFormat="1">
      <c r="G883" s="135"/>
      <c r="J883" s="126"/>
      <c r="K883" s="126"/>
      <c r="L883" s="126"/>
    </row>
    <row r="884" spans="7:12" s="125" customFormat="1">
      <c r="G884" s="135"/>
      <c r="J884" s="126"/>
      <c r="K884" s="126"/>
      <c r="L884" s="126"/>
    </row>
    <row r="885" spans="7:12" s="125" customFormat="1">
      <c r="G885" s="135"/>
      <c r="J885" s="126"/>
      <c r="K885" s="126"/>
      <c r="L885" s="126"/>
    </row>
    <row r="886" spans="7:12" s="125" customFormat="1">
      <c r="G886" s="135"/>
      <c r="J886" s="126"/>
      <c r="K886" s="126"/>
      <c r="L886" s="126"/>
    </row>
    <row r="887" spans="7:12" s="125" customFormat="1">
      <c r="G887" s="135"/>
      <c r="J887" s="126"/>
      <c r="K887" s="126"/>
      <c r="L887" s="126"/>
    </row>
    <row r="888" spans="7:12" s="125" customFormat="1">
      <c r="G888" s="135"/>
      <c r="J888" s="126"/>
      <c r="K888" s="126"/>
      <c r="L888" s="126"/>
    </row>
    <row r="889" spans="7:12" s="125" customFormat="1">
      <c r="G889" s="135"/>
      <c r="J889" s="126"/>
      <c r="K889" s="126"/>
      <c r="L889" s="126"/>
    </row>
    <row r="890" spans="7:12" s="125" customFormat="1">
      <c r="G890" s="135"/>
      <c r="J890" s="126"/>
      <c r="K890" s="126"/>
      <c r="L890" s="126"/>
    </row>
    <row r="891" spans="7:12" s="125" customFormat="1">
      <c r="G891" s="135"/>
      <c r="J891" s="126"/>
      <c r="K891" s="126"/>
      <c r="L891" s="126"/>
    </row>
    <row r="892" spans="7:12" s="125" customFormat="1">
      <c r="G892" s="135"/>
      <c r="J892" s="126"/>
      <c r="K892" s="126"/>
      <c r="L892" s="126"/>
    </row>
    <row r="893" spans="7:12" s="125" customFormat="1">
      <c r="G893" s="135"/>
      <c r="J893" s="126"/>
      <c r="K893" s="126"/>
      <c r="L893" s="126"/>
    </row>
    <row r="894" spans="7:12" s="125" customFormat="1">
      <c r="G894" s="135"/>
      <c r="J894" s="126"/>
      <c r="K894" s="126"/>
      <c r="L894" s="126"/>
    </row>
    <row r="895" spans="7:12" s="125" customFormat="1">
      <c r="G895" s="135"/>
      <c r="J895" s="126"/>
      <c r="K895" s="126"/>
      <c r="L895" s="126"/>
    </row>
    <row r="896" spans="7:12" s="125" customFormat="1">
      <c r="G896" s="135"/>
      <c r="J896" s="126"/>
      <c r="K896" s="126"/>
      <c r="L896" s="126"/>
    </row>
    <row r="897" spans="7:12" s="125" customFormat="1">
      <c r="G897" s="135"/>
      <c r="J897" s="126"/>
      <c r="K897" s="126"/>
      <c r="L897" s="126"/>
    </row>
    <row r="898" spans="7:12" s="125" customFormat="1">
      <c r="G898" s="135"/>
      <c r="J898" s="126"/>
      <c r="K898" s="126"/>
      <c r="L898" s="126"/>
    </row>
    <row r="899" spans="7:12" s="125" customFormat="1">
      <c r="G899" s="135"/>
      <c r="J899" s="126"/>
      <c r="K899" s="126"/>
      <c r="L899" s="126"/>
    </row>
    <row r="900" spans="7:12" s="125" customFormat="1">
      <c r="G900" s="135"/>
      <c r="J900" s="126"/>
      <c r="K900" s="126"/>
      <c r="L900" s="126"/>
    </row>
    <row r="901" spans="7:12" s="125" customFormat="1">
      <c r="G901" s="135"/>
      <c r="J901" s="126"/>
      <c r="K901" s="126"/>
      <c r="L901" s="126"/>
    </row>
    <row r="902" spans="7:12" s="125" customFormat="1">
      <c r="G902" s="135"/>
      <c r="J902" s="126"/>
      <c r="K902" s="126"/>
      <c r="L902" s="126"/>
    </row>
    <row r="903" spans="7:12" s="125" customFormat="1">
      <c r="G903" s="135"/>
      <c r="J903" s="126"/>
      <c r="K903" s="126"/>
      <c r="L903" s="126"/>
    </row>
    <row r="904" spans="7:12" s="125" customFormat="1">
      <c r="G904" s="135"/>
      <c r="J904" s="126"/>
      <c r="K904" s="126"/>
      <c r="L904" s="126"/>
    </row>
    <row r="905" spans="7:12" s="125" customFormat="1">
      <c r="G905" s="135"/>
      <c r="J905" s="126"/>
      <c r="K905" s="126"/>
      <c r="L905" s="126"/>
    </row>
    <row r="906" spans="7:12" s="125" customFormat="1">
      <c r="G906" s="135"/>
      <c r="J906" s="126"/>
      <c r="K906" s="126"/>
      <c r="L906" s="126"/>
    </row>
    <row r="907" spans="7:12" s="125" customFormat="1">
      <c r="G907" s="135"/>
      <c r="J907" s="126"/>
      <c r="K907" s="126"/>
      <c r="L907" s="126"/>
    </row>
    <row r="908" spans="7:12" s="125" customFormat="1">
      <c r="G908" s="135"/>
      <c r="J908" s="126"/>
      <c r="K908" s="126"/>
      <c r="L908" s="126"/>
    </row>
    <row r="909" spans="7:12" s="125" customFormat="1">
      <c r="G909" s="135"/>
      <c r="J909" s="126"/>
      <c r="K909" s="126"/>
      <c r="L909" s="126"/>
    </row>
    <row r="910" spans="7:12" s="125" customFormat="1">
      <c r="G910" s="135"/>
      <c r="J910" s="126"/>
      <c r="K910" s="126"/>
      <c r="L910" s="126"/>
    </row>
    <row r="911" spans="7:12" s="125" customFormat="1">
      <c r="G911" s="135"/>
      <c r="J911" s="126"/>
      <c r="K911" s="126"/>
      <c r="L911" s="126"/>
    </row>
    <row r="912" spans="7:12" s="125" customFormat="1">
      <c r="G912" s="135"/>
      <c r="J912" s="126"/>
      <c r="K912" s="126"/>
      <c r="L912" s="126"/>
    </row>
    <row r="913" spans="7:12" s="125" customFormat="1">
      <c r="G913" s="135"/>
      <c r="J913" s="126"/>
      <c r="K913" s="126"/>
      <c r="L913" s="126"/>
    </row>
    <row r="914" spans="7:12" s="125" customFormat="1">
      <c r="G914" s="135"/>
      <c r="J914" s="126"/>
      <c r="K914" s="126"/>
      <c r="L914" s="126"/>
    </row>
    <row r="915" spans="7:12" s="125" customFormat="1">
      <c r="G915" s="135"/>
      <c r="J915" s="126"/>
      <c r="K915" s="126"/>
      <c r="L915" s="126"/>
    </row>
    <row r="916" spans="7:12" s="125" customFormat="1">
      <c r="G916" s="135"/>
      <c r="J916" s="126"/>
      <c r="K916" s="126"/>
      <c r="L916" s="126"/>
    </row>
    <row r="917" spans="7:12" s="125" customFormat="1">
      <c r="G917" s="135"/>
      <c r="J917" s="126"/>
      <c r="K917" s="126"/>
      <c r="L917" s="126"/>
    </row>
    <row r="918" spans="7:12" s="125" customFormat="1">
      <c r="G918" s="135"/>
      <c r="J918" s="126"/>
      <c r="K918" s="126"/>
      <c r="L918" s="126"/>
    </row>
    <row r="919" spans="7:12" s="125" customFormat="1">
      <c r="G919" s="135"/>
      <c r="J919" s="126"/>
      <c r="K919" s="126"/>
      <c r="L919" s="126"/>
    </row>
    <row r="920" spans="7:12" s="125" customFormat="1">
      <c r="G920" s="135"/>
      <c r="J920" s="126"/>
      <c r="K920" s="126"/>
      <c r="L920" s="126"/>
    </row>
    <row r="921" spans="7:12" s="125" customFormat="1">
      <c r="G921" s="135"/>
      <c r="J921" s="126"/>
      <c r="K921" s="126"/>
      <c r="L921" s="126"/>
    </row>
    <row r="922" spans="7:12" s="125" customFormat="1">
      <c r="G922" s="135"/>
      <c r="J922" s="126"/>
      <c r="K922" s="126"/>
      <c r="L922" s="126"/>
    </row>
    <row r="923" spans="7:12" s="125" customFormat="1">
      <c r="G923" s="135"/>
      <c r="J923" s="126"/>
      <c r="K923" s="126"/>
      <c r="L923" s="126"/>
    </row>
    <row r="924" spans="7:12" s="125" customFormat="1">
      <c r="G924" s="135"/>
      <c r="J924" s="126"/>
      <c r="K924" s="126"/>
      <c r="L924" s="126"/>
    </row>
    <row r="925" spans="7:12" s="125" customFormat="1">
      <c r="G925" s="135"/>
      <c r="J925" s="126"/>
      <c r="K925" s="126"/>
      <c r="L925" s="126"/>
    </row>
    <row r="926" spans="7:12" s="125" customFormat="1">
      <c r="G926" s="135"/>
      <c r="J926" s="126"/>
      <c r="K926" s="126"/>
      <c r="L926" s="126"/>
    </row>
    <row r="927" spans="7:12" s="125" customFormat="1">
      <c r="G927" s="135"/>
      <c r="J927" s="126"/>
      <c r="K927" s="126"/>
      <c r="L927" s="126"/>
    </row>
    <row r="928" spans="7:12" s="125" customFormat="1">
      <c r="G928" s="135"/>
      <c r="J928" s="126"/>
      <c r="K928" s="126"/>
      <c r="L928" s="126"/>
    </row>
    <row r="929" spans="7:12" s="125" customFormat="1">
      <c r="G929" s="135"/>
      <c r="J929" s="126"/>
      <c r="K929" s="126"/>
      <c r="L929" s="126"/>
    </row>
    <row r="930" spans="7:12" s="125" customFormat="1">
      <c r="G930" s="135"/>
      <c r="J930" s="126"/>
      <c r="K930" s="126"/>
      <c r="L930" s="126"/>
    </row>
    <row r="931" spans="7:12" s="125" customFormat="1">
      <c r="G931" s="135"/>
      <c r="J931" s="126"/>
      <c r="K931" s="126"/>
      <c r="L931" s="126"/>
    </row>
    <row r="932" spans="7:12" s="125" customFormat="1">
      <c r="G932" s="135"/>
      <c r="J932" s="126"/>
      <c r="K932" s="126"/>
      <c r="L932" s="126"/>
    </row>
    <row r="933" spans="7:12" s="125" customFormat="1">
      <c r="G933" s="135"/>
      <c r="J933" s="126"/>
      <c r="K933" s="126"/>
      <c r="L933" s="126"/>
    </row>
    <row r="934" spans="7:12" s="125" customFormat="1">
      <c r="G934" s="135"/>
      <c r="J934" s="126"/>
      <c r="K934" s="126"/>
      <c r="L934" s="126"/>
    </row>
    <row r="935" spans="7:12" s="125" customFormat="1">
      <c r="G935" s="135"/>
      <c r="J935" s="126"/>
      <c r="K935" s="126"/>
      <c r="L935" s="126"/>
    </row>
    <row r="936" spans="7:12" s="125" customFormat="1">
      <c r="G936" s="135"/>
      <c r="J936" s="126"/>
      <c r="K936" s="126"/>
      <c r="L936" s="126"/>
    </row>
    <row r="937" spans="7:12" s="125" customFormat="1">
      <c r="G937" s="135"/>
      <c r="J937" s="126"/>
      <c r="K937" s="126"/>
      <c r="L937" s="126"/>
    </row>
    <row r="938" spans="7:12" s="125" customFormat="1">
      <c r="G938" s="135"/>
      <c r="J938" s="126"/>
      <c r="K938" s="126"/>
      <c r="L938" s="126"/>
    </row>
    <row r="939" spans="7:12" s="125" customFormat="1">
      <c r="G939" s="135"/>
      <c r="J939" s="126"/>
      <c r="K939" s="126"/>
      <c r="L939" s="126"/>
    </row>
    <row r="940" spans="7:12" s="125" customFormat="1">
      <c r="G940" s="135"/>
      <c r="J940" s="126"/>
      <c r="K940" s="126"/>
      <c r="L940" s="126"/>
    </row>
    <row r="941" spans="7:12" s="125" customFormat="1">
      <c r="G941" s="135"/>
      <c r="J941" s="126"/>
      <c r="K941" s="126"/>
      <c r="L941" s="126"/>
    </row>
    <row r="942" spans="7:12" s="125" customFormat="1">
      <c r="G942" s="135"/>
      <c r="J942" s="126"/>
      <c r="K942" s="126"/>
      <c r="L942" s="126"/>
    </row>
    <row r="943" spans="7:12" s="125" customFormat="1">
      <c r="G943" s="135"/>
      <c r="J943" s="126"/>
      <c r="K943" s="126"/>
      <c r="L943" s="126"/>
    </row>
    <row r="944" spans="7:12" s="125" customFormat="1">
      <c r="G944" s="135"/>
      <c r="J944" s="126"/>
      <c r="K944" s="126"/>
      <c r="L944" s="126"/>
    </row>
    <row r="945" spans="7:12" s="125" customFormat="1">
      <c r="G945" s="135"/>
      <c r="J945" s="126"/>
      <c r="K945" s="126"/>
      <c r="L945" s="126"/>
    </row>
    <row r="946" spans="7:12" s="125" customFormat="1">
      <c r="G946" s="135"/>
      <c r="J946" s="126"/>
      <c r="K946" s="126"/>
      <c r="L946" s="126"/>
    </row>
    <row r="947" spans="7:12" s="125" customFormat="1">
      <c r="G947" s="135"/>
      <c r="J947" s="126"/>
      <c r="K947" s="126"/>
      <c r="L947" s="126"/>
    </row>
    <row r="948" spans="7:12" s="125" customFormat="1">
      <c r="G948" s="135"/>
      <c r="J948" s="126"/>
      <c r="K948" s="126"/>
      <c r="L948" s="126"/>
    </row>
    <row r="949" spans="7:12" s="125" customFormat="1">
      <c r="G949" s="135"/>
      <c r="J949" s="126"/>
      <c r="K949" s="126"/>
      <c r="L949" s="126"/>
    </row>
    <row r="950" spans="7:12" s="125" customFormat="1">
      <c r="G950" s="135"/>
      <c r="J950" s="126"/>
      <c r="K950" s="126"/>
      <c r="L950" s="126"/>
    </row>
    <row r="951" spans="7:12" s="125" customFormat="1">
      <c r="G951" s="135"/>
      <c r="J951" s="126"/>
      <c r="K951" s="126"/>
      <c r="L951" s="126"/>
    </row>
    <row r="952" spans="7:12" s="125" customFormat="1">
      <c r="G952" s="135"/>
      <c r="J952" s="126"/>
      <c r="K952" s="126"/>
      <c r="L952" s="126"/>
    </row>
    <row r="953" spans="7:12" s="125" customFormat="1">
      <c r="G953" s="135"/>
      <c r="J953" s="126"/>
      <c r="K953" s="126"/>
      <c r="L953" s="126"/>
    </row>
    <row r="954" spans="7:12" s="125" customFormat="1">
      <c r="G954" s="135"/>
      <c r="J954" s="126"/>
      <c r="K954" s="126"/>
      <c r="L954" s="126"/>
    </row>
    <row r="955" spans="7:12" s="125" customFormat="1">
      <c r="G955" s="135"/>
      <c r="J955" s="126"/>
      <c r="K955" s="126"/>
      <c r="L955" s="126"/>
    </row>
    <row r="956" spans="7:12" s="125" customFormat="1">
      <c r="G956" s="135"/>
      <c r="J956" s="126"/>
      <c r="K956" s="126"/>
      <c r="L956" s="126"/>
    </row>
    <row r="957" spans="7:12" s="125" customFormat="1">
      <c r="G957" s="135"/>
      <c r="J957" s="126"/>
      <c r="K957" s="126"/>
      <c r="L957" s="126"/>
    </row>
    <row r="958" spans="7:12" s="125" customFormat="1">
      <c r="G958" s="135"/>
      <c r="J958" s="126"/>
      <c r="K958" s="126"/>
      <c r="L958" s="126"/>
    </row>
    <row r="959" spans="7:12" s="125" customFormat="1">
      <c r="G959" s="135"/>
      <c r="J959" s="126"/>
      <c r="K959" s="126"/>
      <c r="L959" s="126"/>
    </row>
    <row r="960" spans="7:12" s="125" customFormat="1">
      <c r="G960" s="135"/>
      <c r="J960" s="126"/>
      <c r="K960" s="126"/>
      <c r="L960" s="126"/>
    </row>
    <row r="961" spans="7:12" s="125" customFormat="1">
      <c r="G961" s="135"/>
      <c r="J961" s="126"/>
      <c r="K961" s="126"/>
      <c r="L961" s="126"/>
    </row>
    <row r="962" spans="7:12" s="125" customFormat="1">
      <c r="G962" s="135"/>
      <c r="J962" s="126"/>
      <c r="K962" s="126"/>
      <c r="L962" s="126"/>
    </row>
    <row r="963" spans="7:12" s="125" customFormat="1">
      <c r="G963" s="135"/>
      <c r="J963" s="126"/>
      <c r="K963" s="126"/>
      <c r="L963" s="126"/>
    </row>
    <row r="964" spans="7:12" s="125" customFormat="1">
      <c r="G964" s="135"/>
      <c r="J964" s="126"/>
      <c r="K964" s="126"/>
      <c r="L964" s="126"/>
    </row>
    <row r="965" spans="7:12" s="125" customFormat="1">
      <c r="G965" s="135"/>
      <c r="J965" s="126"/>
      <c r="K965" s="126"/>
      <c r="L965" s="126"/>
    </row>
    <row r="966" spans="7:12" s="125" customFormat="1">
      <c r="G966" s="135"/>
      <c r="J966" s="126"/>
      <c r="K966" s="126"/>
      <c r="L966" s="126"/>
    </row>
    <row r="967" spans="7:12" s="125" customFormat="1">
      <c r="G967" s="135"/>
      <c r="J967" s="126"/>
      <c r="K967" s="126"/>
      <c r="L967" s="126"/>
    </row>
    <row r="968" spans="7:12" s="125" customFormat="1">
      <c r="G968" s="135"/>
      <c r="J968" s="126"/>
      <c r="K968" s="126"/>
      <c r="L968" s="126"/>
    </row>
    <row r="969" spans="7:12" s="125" customFormat="1">
      <c r="G969" s="135"/>
      <c r="J969" s="126"/>
      <c r="K969" s="126"/>
      <c r="L969" s="126"/>
    </row>
    <row r="970" spans="7:12" s="125" customFormat="1">
      <c r="G970" s="135"/>
      <c r="J970" s="126"/>
      <c r="K970" s="126"/>
      <c r="L970" s="126"/>
    </row>
    <row r="971" spans="7:12" s="125" customFormat="1">
      <c r="G971" s="135"/>
      <c r="J971" s="126"/>
      <c r="K971" s="126"/>
      <c r="L971" s="126"/>
    </row>
    <row r="972" spans="7:12" s="125" customFormat="1">
      <c r="G972" s="135"/>
      <c r="J972" s="126"/>
      <c r="K972" s="126"/>
      <c r="L972" s="126"/>
    </row>
    <row r="973" spans="7:12" s="125" customFormat="1">
      <c r="G973" s="135"/>
      <c r="J973" s="126"/>
      <c r="K973" s="126"/>
      <c r="L973" s="126"/>
    </row>
    <row r="974" spans="7:12" s="125" customFormat="1">
      <c r="G974" s="135"/>
      <c r="J974" s="126"/>
      <c r="K974" s="126"/>
      <c r="L974" s="126"/>
    </row>
    <row r="975" spans="7:12" s="125" customFormat="1">
      <c r="G975" s="135"/>
      <c r="J975" s="126"/>
      <c r="K975" s="126"/>
      <c r="L975" s="126"/>
    </row>
    <row r="976" spans="7:12" s="125" customFormat="1">
      <c r="G976" s="135"/>
      <c r="J976" s="126"/>
      <c r="K976" s="126"/>
      <c r="L976" s="126"/>
    </row>
    <row r="977" spans="7:12" s="125" customFormat="1">
      <c r="G977" s="135"/>
      <c r="J977" s="126"/>
      <c r="K977" s="126"/>
      <c r="L977" s="126"/>
    </row>
    <row r="978" spans="7:12" s="125" customFormat="1">
      <c r="G978" s="135"/>
      <c r="J978" s="126"/>
      <c r="K978" s="126"/>
      <c r="L978" s="126"/>
    </row>
    <row r="979" spans="7:12" s="125" customFormat="1">
      <c r="G979" s="135"/>
      <c r="J979" s="126"/>
      <c r="K979" s="126"/>
      <c r="L979" s="126"/>
    </row>
    <row r="980" spans="7:12" s="125" customFormat="1">
      <c r="G980" s="135"/>
      <c r="J980" s="126"/>
      <c r="K980" s="126"/>
      <c r="L980" s="126"/>
    </row>
    <row r="981" spans="7:12" s="125" customFormat="1">
      <c r="G981" s="135"/>
      <c r="J981" s="126"/>
      <c r="K981" s="126"/>
      <c r="L981" s="126"/>
    </row>
    <row r="982" spans="7:12" s="125" customFormat="1">
      <c r="G982" s="135"/>
      <c r="J982" s="126"/>
      <c r="K982" s="126"/>
      <c r="L982" s="126"/>
    </row>
    <row r="983" spans="7:12" s="125" customFormat="1">
      <c r="G983" s="135"/>
      <c r="J983" s="126"/>
      <c r="K983" s="126"/>
      <c r="L983" s="126"/>
    </row>
    <row r="984" spans="7:12" s="125" customFormat="1">
      <c r="G984" s="135"/>
      <c r="J984" s="126"/>
      <c r="K984" s="126"/>
      <c r="L984" s="126"/>
    </row>
    <row r="985" spans="7:12" s="125" customFormat="1">
      <c r="G985" s="135"/>
      <c r="J985" s="126"/>
      <c r="K985" s="126"/>
      <c r="L985" s="126"/>
    </row>
    <row r="986" spans="7:12" s="125" customFormat="1">
      <c r="G986" s="135"/>
      <c r="J986" s="126"/>
      <c r="K986" s="126"/>
      <c r="L986" s="126"/>
    </row>
    <row r="987" spans="7:12" s="125" customFormat="1">
      <c r="G987" s="135"/>
      <c r="J987" s="126"/>
      <c r="K987" s="126"/>
      <c r="L987" s="126"/>
    </row>
    <row r="988" spans="7:12" s="125" customFormat="1">
      <c r="G988" s="135"/>
      <c r="J988" s="126"/>
      <c r="K988" s="126"/>
      <c r="L988" s="126"/>
    </row>
    <row r="989" spans="7:12" s="125" customFormat="1">
      <c r="G989" s="135"/>
      <c r="J989" s="126"/>
      <c r="K989" s="126"/>
      <c r="L989" s="126"/>
    </row>
    <row r="990" spans="7:12" s="125" customFormat="1">
      <c r="G990" s="135"/>
      <c r="J990" s="126"/>
      <c r="K990" s="126"/>
      <c r="L990" s="126"/>
    </row>
    <row r="991" spans="7:12" s="125" customFormat="1">
      <c r="G991" s="135"/>
      <c r="J991" s="126"/>
      <c r="K991" s="126"/>
      <c r="L991" s="126"/>
    </row>
    <row r="992" spans="7:12" s="125" customFormat="1">
      <c r="G992" s="135"/>
      <c r="J992" s="126"/>
      <c r="K992" s="126"/>
      <c r="L992" s="126"/>
    </row>
    <row r="993" spans="7:12" s="125" customFormat="1">
      <c r="G993" s="135"/>
      <c r="J993" s="126"/>
      <c r="K993" s="126"/>
      <c r="L993" s="126"/>
    </row>
    <row r="994" spans="7:12" s="125" customFormat="1">
      <c r="G994" s="135"/>
      <c r="J994" s="126"/>
      <c r="K994" s="126"/>
      <c r="L994" s="126"/>
    </row>
    <row r="995" spans="7:12" s="125" customFormat="1">
      <c r="G995" s="135"/>
      <c r="J995" s="126"/>
      <c r="K995" s="126"/>
      <c r="L995" s="126"/>
    </row>
    <row r="996" spans="7:12" s="125" customFormat="1">
      <c r="G996" s="135"/>
      <c r="J996" s="126"/>
      <c r="K996" s="126"/>
      <c r="L996" s="126"/>
    </row>
    <row r="997" spans="7:12" s="125" customFormat="1">
      <c r="G997" s="135"/>
      <c r="J997" s="126"/>
      <c r="K997" s="126"/>
      <c r="L997" s="126"/>
    </row>
    <row r="998" spans="7:12" s="125" customFormat="1">
      <c r="G998" s="135"/>
      <c r="J998" s="126"/>
      <c r="K998" s="126"/>
      <c r="L998" s="126"/>
    </row>
    <row r="999" spans="7:12" s="125" customFormat="1">
      <c r="G999" s="135"/>
      <c r="J999" s="126"/>
      <c r="K999" s="126"/>
      <c r="L999" s="126"/>
    </row>
    <row r="1000" spans="7:12" s="125" customFormat="1">
      <c r="G1000" s="135"/>
      <c r="J1000" s="126"/>
      <c r="K1000" s="126"/>
      <c r="L1000" s="126"/>
    </row>
    <row r="1001" spans="7:12" s="125" customFormat="1">
      <c r="G1001" s="135"/>
      <c r="J1001" s="126"/>
      <c r="K1001" s="126"/>
      <c r="L1001" s="126"/>
    </row>
    <row r="1002" spans="7:12" s="125" customFormat="1">
      <c r="G1002" s="135"/>
      <c r="J1002" s="126"/>
      <c r="K1002" s="126"/>
      <c r="L1002" s="126"/>
    </row>
    <row r="1003" spans="7:12" s="125" customFormat="1">
      <c r="G1003" s="135"/>
      <c r="J1003" s="126"/>
      <c r="K1003" s="126"/>
      <c r="L1003" s="126"/>
    </row>
    <row r="1004" spans="7:12" s="125" customFormat="1">
      <c r="G1004" s="135"/>
      <c r="J1004" s="126"/>
      <c r="K1004" s="126"/>
      <c r="L1004" s="126"/>
    </row>
    <row r="1005" spans="7:12" s="125" customFormat="1">
      <c r="G1005" s="135"/>
      <c r="J1005" s="126"/>
      <c r="K1005" s="126"/>
      <c r="L1005" s="126"/>
    </row>
    <row r="1006" spans="7:12" s="125" customFormat="1">
      <c r="G1006" s="135"/>
      <c r="J1006" s="126"/>
      <c r="K1006" s="126"/>
      <c r="L1006" s="126"/>
    </row>
    <row r="1007" spans="7:12" s="125" customFormat="1">
      <c r="G1007" s="135"/>
      <c r="J1007" s="126"/>
      <c r="K1007" s="126"/>
      <c r="L1007" s="126"/>
    </row>
    <row r="1008" spans="7:12" s="125" customFormat="1">
      <c r="G1008" s="135"/>
      <c r="J1008" s="126"/>
      <c r="K1008" s="126"/>
      <c r="L1008" s="126"/>
    </row>
    <row r="1009" spans="7:12" s="125" customFormat="1">
      <c r="G1009" s="135"/>
      <c r="J1009" s="126"/>
      <c r="K1009" s="126"/>
      <c r="L1009" s="126"/>
    </row>
    <row r="1010" spans="7:12" s="125" customFormat="1">
      <c r="G1010" s="135"/>
      <c r="J1010" s="126"/>
      <c r="K1010" s="126"/>
      <c r="L1010" s="126"/>
    </row>
    <row r="1011" spans="7:12" s="125" customFormat="1">
      <c r="G1011" s="135"/>
      <c r="J1011" s="126"/>
      <c r="K1011" s="126"/>
      <c r="L1011" s="126"/>
    </row>
    <row r="1012" spans="7:12" s="125" customFormat="1">
      <c r="G1012" s="135"/>
      <c r="J1012" s="126"/>
      <c r="K1012" s="126"/>
      <c r="L1012" s="126"/>
    </row>
    <row r="1013" spans="7:12" s="125" customFormat="1">
      <c r="G1013" s="135"/>
      <c r="J1013" s="126"/>
      <c r="K1013" s="126"/>
      <c r="L1013" s="126"/>
    </row>
    <row r="1014" spans="7:12" s="125" customFormat="1">
      <c r="G1014" s="135"/>
      <c r="J1014" s="126"/>
      <c r="K1014" s="126"/>
      <c r="L1014" s="126"/>
    </row>
    <row r="1015" spans="7:12" s="125" customFormat="1">
      <c r="G1015" s="135"/>
      <c r="J1015" s="126"/>
      <c r="K1015" s="126"/>
      <c r="L1015" s="126"/>
    </row>
    <row r="1016" spans="7:12" s="125" customFormat="1">
      <c r="G1016" s="135"/>
      <c r="J1016" s="126"/>
      <c r="K1016" s="126"/>
      <c r="L1016" s="126"/>
    </row>
    <row r="1017" spans="7:12" s="125" customFormat="1">
      <c r="G1017" s="135"/>
      <c r="J1017" s="126"/>
      <c r="K1017" s="126"/>
      <c r="L1017" s="126"/>
    </row>
    <row r="1018" spans="7:12" s="125" customFormat="1">
      <c r="G1018" s="135"/>
      <c r="J1018" s="126"/>
      <c r="K1018" s="126"/>
      <c r="L1018" s="126"/>
    </row>
    <row r="1019" spans="7:12" s="125" customFormat="1">
      <c r="G1019" s="135"/>
      <c r="J1019" s="126"/>
      <c r="K1019" s="126"/>
      <c r="L1019" s="126"/>
    </row>
    <row r="1020" spans="7:12" s="125" customFormat="1">
      <c r="G1020" s="135"/>
      <c r="J1020" s="126"/>
      <c r="K1020" s="126"/>
      <c r="L1020" s="126"/>
    </row>
    <row r="1021" spans="7:12" s="125" customFormat="1">
      <c r="G1021" s="135"/>
      <c r="J1021" s="126"/>
      <c r="K1021" s="126"/>
      <c r="L1021" s="126"/>
    </row>
    <row r="1022" spans="7:12" s="125" customFormat="1">
      <c r="G1022" s="135"/>
      <c r="J1022" s="126"/>
      <c r="K1022" s="126"/>
      <c r="L1022" s="126"/>
    </row>
    <row r="1023" spans="7:12" s="125" customFormat="1">
      <c r="G1023" s="135"/>
      <c r="J1023" s="126"/>
      <c r="K1023" s="126"/>
      <c r="L1023" s="126"/>
    </row>
    <row r="1024" spans="7:12" s="125" customFormat="1">
      <c r="G1024" s="135"/>
      <c r="J1024" s="126"/>
      <c r="K1024" s="126"/>
      <c r="L1024" s="126"/>
    </row>
    <row r="1025" spans="7:12" s="125" customFormat="1">
      <c r="G1025" s="135"/>
      <c r="J1025" s="126"/>
      <c r="K1025" s="126"/>
      <c r="L1025" s="126"/>
    </row>
    <row r="1026" spans="7:12" s="125" customFormat="1">
      <c r="G1026" s="135"/>
      <c r="J1026" s="126"/>
      <c r="K1026" s="126"/>
      <c r="L1026" s="126"/>
    </row>
    <row r="1027" spans="7:12" s="125" customFormat="1">
      <c r="G1027" s="135"/>
      <c r="J1027" s="126"/>
      <c r="K1027" s="126"/>
      <c r="L1027" s="126"/>
    </row>
    <row r="1028" spans="7:12" s="125" customFormat="1">
      <c r="G1028" s="135"/>
      <c r="J1028" s="126"/>
      <c r="K1028" s="126"/>
      <c r="L1028" s="126"/>
    </row>
    <row r="1029" spans="7:12" s="125" customFormat="1">
      <c r="G1029" s="135"/>
      <c r="J1029" s="126"/>
      <c r="K1029" s="126"/>
      <c r="L1029" s="126"/>
    </row>
    <row r="1030" spans="7:12" s="125" customFormat="1">
      <c r="G1030" s="135"/>
      <c r="J1030" s="126"/>
      <c r="K1030" s="126"/>
      <c r="L1030" s="126"/>
    </row>
    <row r="1031" spans="7:12" s="125" customFormat="1">
      <c r="G1031" s="135"/>
      <c r="J1031" s="126"/>
      <c r="K1031" s="126"/>
      <c r="L1031" s="126"/>
    </row>
    <row r="1032" spans="7:12" s="125" customFormat="1">
      <c r="G1032" s="135"/>
      <c r="J1032" s="126"/>
      <c r="K1032" s="126"/>
      <c r="L1032" s="126"/>
    </row>
    <row r="1033" spans="7:12" s="125" customFormat="1">
      <c r="G1033" s="135"/>
      <c r="J1033" s="126"/>
      <c r="K1033" s="126"/>
      <c r="L1033" s="126"/>
    </row>
    <row r="1034" spans="7:12" s="125" customFormat="1">
      <c r="G1034" s="135"/>
      <c r="J1034" s="126"/>
      <c r="K1034" s="126"/>
      <c r="L1034" s="126"/>
    </row>
    <row r="1035" spans="7:12" s="125" customFormat="1">
      <c r="G1035" s="135"/>
      <c r="J1035" s="126"/>
      <c r="K1035" s="126"/>
      <c r="L1035" s="126"/>
    </row>
    <row r="1036" spans="7:12" s="125" customFormat="1">
      <c r="G1036" s="135"/>
      <c r="J1036" s="126"/>
      <c r="K1036" s="126"/>
      <c r="L1036" s="126"/>
    </row>
    <row r="1037" spans="7:12" s="125" customFormat="1">
      <c r="G1037" s="135"/>
      <c r="J1037" s="126"/>
      <c r="K1037" s="126"/>
      <c r="L1037" s="126"/>
    </row>
    <row r="1038" spans="7:12" s="125" customFormat="1">
      <c r="G1038" s="135"/>
      <c r="J1038" s="126"/>
      <c r="K1038" s="126"/>
      <c r="L1038" s="126"/>
    </row>
    <row r="1039" spans="7:12" s="125" customFormat="1">
      <c r="G1039" s="135"/>
      <c r="J1039" s="126"/>
      <c r="K1039" s="126"/>
      <c r="L1039" s="126"/>
    </row>
    <row r="1040" spans="7:12" s="125" customFormat="1">
      <c r="G1040" s="135"/>
      <c r="J1040" s="126"/>
      <c r="K1040" s="126"/>
      <c r="L1040" s="126"/>
    </row>
    <row r="1041" spans="7:12" s="125" customFormat="1">
      <c r="G1041" s="135"/>
      <c r="J1041" s="126"/>
      <c r="K1041" s="126"/>
      <c r="L1041" s="126"/>
    </row>
    <row r="1042" spans="7:12" s="125" customFormat="1">
      <c r="G1042" s="135"/>
      <c r="J1042" s="126"/>
      <c r="K1042" s="126"/>
      <c r="L1042" s="126"/>
    </row>
    <row r="1043" spans="7:12" s="125" customFormat="1">
      <c r="G1043" s="135"/>
      <c r="J1043" s="126"/>
      <c r="K1043" s="126"/>
      <c r="L1043" s="126"/>
    </row>
    <row r="1044" spans="7:12" s="125" customFormat="1">
      <c r="G1044" s="135"/>
      <c r="J1044" s="126"/>
      <c r="K1044" s="126"/>
      <c r="L1044" s="126"/>
    </row>
    <row r="1045" spans="7:12" s="125" customFormat="1">
      <c r="G1045" s="135"/>
      <c r="J1045" s="126"/>
      <c r="K1045" s="126"/>
      <c r="L1045" s="126"/>
    </row>
    <row r="1046" spans="7:12" s="125" customFormat="1">
      <c r="G1046" s="135"/>
      <c r="J1046" s="126"/>
      <c r="K1046" s="126"/>
      <c r="L1046" s="126"/>
    </row>
    <row r="1047" spans="7:12" s="125" customFormat="1">
      <c r="G1047" s="135"/>
      <c r="J1047" s="126"/>
      <c r="K1047" s="126"/>
      <c r="L1047" s="126"/>
    </row>
    <row r="1048" spans="7:12" s="125" customFormat="1">
      <c r="G1048" s="135"/>
      <c r="J1048" s="126"/>
      <c r="K1048" s="126"/>
      <c r="L1048" s="126"/>
    </row>
    <row r="1049" spans="7:12" s="125" customFormat="1">
      <c r="G1049" s="135"/>
      <c r="J1049" s="126"/>
      <c r="K1049" s="126"/>
      <c r="L1049" s="126"/>
    </row>
    <row r="1050" spans="7:12" s="125" customFormat="1">
      <c r="G1050" s="135"/>
      <c r="J1050" s="126"/>
      <c r="K1050" s="126"/>
      <c r="L1050" s="126"/>
    </row>
    <row r="1051" spans="7:12" s="125" customFormat="1">
      <c r="G1051" s="135"/>
      <c r="J1051" s="126"/>
      <c r="K1051" s="126"/>
      <c r="L1051" s="126"/>
    </row>
    <row r="1052" spans="7:12" s="125" customFormat="1">
      <c r="G1052" s="135"/>
      <c r="J1052" s="126"/>
      <c r="K1052" s="126"/>
      <c r="L1052" s="126"/>
    </row>
    <row r="1053" spans="7:12" s="125" customFormat="1">
      <c r="G1053" s="135"/>
      <c r="J1053" s="126"/>
      <c r="K1053" s="126"/>
      <c r="L1053" s="126"/>
    </row>
    <row r="1054" spans="7:12" s="125" customFormat="1">
      <c r="G1054" s="135"/>
      <c r="J1054" s="126"/>
      <c r="K1054" s="126"/>
      <c r="L1054" s="126"/>
    </row>
    <row r="1055" spans="7:12" s="125" customFormat="1">
      <c r="G1055" s="135"/>
      <c r="J1055" s="126"/>
      <c r="K1055" s="126"/>
      <c r="L1055" s="126"/>
    </row>
    <row r="1056" spans="7:12" s="125" customFormat="1">
      <c r="G1056" s="135"/>
      <c r="J1056" s="126"/>
      <c r="K1056" s="126"/>
      <c r="L1056" s="126"/>
    </row>
    <row r="1057" spans="7:12" s="125" customFormat="1">
      <c r="G1057" s="135"/>
      <c r="J1057" s="126"/>
      <c r="K1057" s="126"/>
      <c r="L1057" s="126"/>
    </row>
    <row r="1058" spans="7:12" s="125" customFormat="1">
      <c r="G1058" s="135"/>
      <c r="J1058" s="126"/>
      <c r="K1058" s="126"/>
      <c r="L1058" s="126"/>
    </row>
    <row r="1059" spans="7:12" s="125" customFormat="1">
      <c r="G1059" s="135"/>
      <c r="J1059" s="126"/>
      <c r="K1059" s="126"/>
      <c r="L1059" s="126"/>
    </row>
    <row r="1060" spans="7:12" s="125" customFormat="1">
      <c r="G1060" s="135"/>
      <c r="J1060" s="126"/>
      <c r="K1060" s="126"/>
      <c r="L1060" s="126"/>
    </row>
    <row r="1061" spans="7:12" s="125" customFormat="1">
      <c r="G1061" s="135"/>
      <c r="J1061" s="126"/>
      <c r="K1061" s="126"/>
      <c r="L1061" s="126"/>
    </row>
    <row r="1062" spans="7:12" s="125" customFormat="1">
      <c r="G1062" s="135"/>
      <c r="J1062" s="126"/>
      <c r="K1062" s="126"/>
      <c r="L1062" s="126"/>
    </row>
    <row r="1063" spans="7:12" s="125" customFormat="1">
      <c r="G1063" s="135"/>
      <c r="J1063" s="126"/>
      <c r="K1063" s="126"/>
      <c r="L1063" s="126"/>
    </row>
    <row r="1064" spans="7:12" s="125" customFormat="1">
      <c r="G1064" s="135"/>
      <c r="J1064" s="126"/>
      <c r="K1064" s="126"/>
      <c r="L1064" s="126"/>
    </row>
    <row r="1065" spans="7:12" s="125" customFormat="1">
      <c r="G1065" s="135"/>
      <c r="J1065" s="126"/>
      <c r="K1065" s="126"/>
      <c r="L1065" s="126"/>
    </row>
    <row r="1066" spans="7:12" s="125" customFormat="1">
      <c r="G1066" s="135"/>
      <c r="J1066" s="126"/>
      <c r="K1066" s="126"/>
      <c r="L1066" s="126"/>
    </row>
    <row r="1067" spans="7:12" s="125" customFormat="1">
      <c r="G1067" s="135"/>
      <c r="J1067" s="126"/>
      <c r="K1067" s="126"/>
      <c r="L1067" s="126"/>
    </row>
    <row r="1068" spans="7:12" s="125" customFormat="1">
      <c r="G1068" s="135"/>
      <c r="J1068" s="126"/>
      <c r="K1068" s="126"/>
      <c r="L1068" s="126"/>
    </row>
    <row r="1069" spans="7:12" s="125" customFormat="1">
      <c r="G1069" s="135"/>
      <c r="J1069" s="126"/>
      <c r="K1069" s="126"/>
      <c r="L1069" s="126"/>
    </row>
    <row r="1070" spans="7:12" s="125" customFormat="1">
      <c r="G1070" s="135"/>
      <c r="J1070" s="126"/>
      <c r="K1070" s="126"/>
      <c r="L1070" s="126"/>
    </row>
    <row r="1071" spans="7:12" s="125" customFormat="1">
      <c r="G1071" s="135"/>
      <c r="J1071" s="126"/>
      <c r="K1071" s="126"/>
      <c r="L1071" s="126"/>
    </row>
    <row r="1072" spans="7:12" s="125" customFormat="1">
      <c r="G1072" s="135"/>
      <c r="J1072" s="126"/>
      <c r="K1072" s="126"/>
      <c r="L1072" s="126"/>
    </row>
    <row r="1073" spans="7:12" s="125" customFormat="1">
      <c r="G1073" s="135"/>
      <c r="J1073" s="126"/>
      <c r="K1073" s="126"/>
      <c r="L1073" s="126"/>
    </row>
    <row r="1074" spans="7:12" s="125" customFormat="1">
      <c r="G1074" s="135"/>
      <c r="J1074" s="126"/>
      <c r="K1074" s="126"/>
      <c r="L1074" s="126"/>
    </row>
    <row r="1075" spans="7:12" s="125" customFormat="1">
      <c r="G1075" s="135"/>
      <c r="J1075" s="126"/>
      <c r="K1075" s="126"/>
      <c r="L1075" s="126"/>
    </row>
    <row r="1076" spans="7:12" s="125" customFormat="1">
      <c r="G1076" s="135"/>
      <c r="J1076" s="126"/>
      <c r="K1076" s="126"/>
      <c r="L1076" s="126"/>
    </row>
    <row r="1077" spans="7:12" s="125" customFormat="1">
      <c r="G1077" s="135"/>
      <c r="J1077" s="126"/>
      <c r="K1077" s="126"/>
      <c r="L1077" s="126"/>
    </row>
    <row r="1078" spans="7:12" s="125" customFormat="1">
      <c r="G1078" s="135"/>
      <c r="J1078" s="126"/>
      <c r="K1078" s="126"/>
      <c r="L1078" s="126"/>
    </row>
    <row r="1079" spans="7:12" s="125" customFormat="1">
      <c r="G1079" s="135"/>
      <c r="J1079" s="126"/>
      <c r="K1079" s="126"/>
      <c r="L1079" s="126"/>
    </row>
    <row r="1080" spans="7:12" s="125" customFormat="1">
      <c r="G1080" s="135"/>
      <c r="J1080" s="126"/>
      <c r="K1080" s="126"/>
      <c r="L1080" s="126"/>
    </row>
    <row r="1081" spans="7:12" s="125" customFormat="1">
      <c r="G1081" s="135"/>
      <c r="J1081" s="126"/>
      <c r="K1081" s="126"/>
      <c r="L1081" s="126"/>
    </row>
    <row r="1082" spans="7:12" s="125" customFormat="1">
      <c r="G1082" s="135"/>
      <c r="J1082" s="126"/>
      <c r="K1082" s="126"/>
      <c r="L1082" s="126"/>
    </row>
    <row r="1083" spans="7:12" s="125" customFormat="1">
      <c r="G1083" s="135"/>
      <c r="J1083" s="126"/>
      <c r="K1083" s="126"/>
      <c r="L1083" s="126"/>
    </row>
    <row r="1084" spans="7:12" s="125" customFormat="1">
      <c r="G1084" s="135"/>
      <c r="J1084" s="126"/>
      <c r="K1084" s="126"/>
      <c r="L1084" s="126"/>
    </row>
    <row r="1085" spans="7:12" s="125" customFormat="1">
      <c r="G1085" s="135"/>
      <c r="J1085" s="126"/>
      <c r="K1085" s="126"/>
      <c r="L1085" s="126"/>
    </row>
    <row r="1086" spans="7:12" s="125" customFormat="1">
      <c r="G1086" s="135"/>
      <c r="J1086" s="126"/>
      <c r="K1086" s="126"/>
      <c r="L1086" s="126"/>
    </row>
    <row r="1087" spans="7:12" s="125" customFormat="1">
      <c r="G1087" s="135"/>
      <c r="J1087" s="126"/>
      <c r="K1087" s="126"/>
      <c r="L1087" s="126"/>
    </row>
    <row r="1088" spans="7:12" s="125" customFormat="1">
      <c r="G1088" s="135"/>
      <c r="J1088" s="126"/>
      <c r="K1088" s="126"/>
      <c r="L1088" s="126"/>
    </row>
    <row r="1089" spans="7:12" s="125" customFormat="1">
      <c r="G1089" s="135"/>
      <c r="J1089" s="126"/>
      <c r="K1089" s="126"/>
      <c r="L1089" s="126"/>
    </row>
    <row r="1090" spans="7:12" s="125" customFormat="1">
      <c r="G1090" s="135"/>
      <c r="J1090" s="126"/>
      <c r="K1090" s="126"/>
      <c r="L1090" s="126"/>
    </row>
    <row r="1091" spans="7:12" s="125" customFormat="1">
      <c r="G1091" s="135"/>
      <c r="J1091" s="126"/>
      <c r="K1091" s="126"/>
      <c r="L1091" s="126"/>
    </row>
    <row r="1092" spans="7:12" s="125" customFormat="1">
      <c r="G1092" s="135"/>
      <c r="J1092" s="126"/>
      <c r="K1092" s="126"/>
      <c r="L1092" s="126"/>
    </row>
    <row r="1093" spans="7:12" s="125" customFormat="1">
      <c r="G1093" s="135"/>
      <c r="J1093" s="126"/>
      <c r="K1093" s="126"/>
      <c r="L1093" s="126"/>
    </row>
    <row r="1094" spans="7:12" s="125" customFormat="1">
      <c r="G1094" s="135"/>
      <c r="J1094" s="126"/>
      <c r="K1094" s="126"/>
      <c r="L1094" s="126"/>
    </row>
    <row r="1095" spans="7:12" s="125" customFormat="1">
      <c r="G1095" s="135"/>
      <c r="J1095" s="126"/>
      <c r="K1095" s="126"/>
      <c r="L1095" s="126"/>
    </row>
    <row r="1096" spans="7:12" s="125" customFormat="1">
      <c r="G1096" s="135"/>
      <c r="J1096" s="126"/>
      <c r="K1096" s="126"/>
      <c r="L1096" s="126"/>
    </row>
    <row r="1097" spans="7:12" s="125" customFormat="1">
      <c r="G1097" s="135"/>
      <c r="J1097" s="126"/>
      <c r="K1097" s="126"/>
      <c r="L1097" s="126"/>
    </row>
    <row r="1098" spans="7:12" s="125" customFormat="1">
      <c r="G1098" s="135"/>
      <c r="J1098" s="126"/>
      <c r="K1098" s="126"/>
      <c r="L1098" s="126"/>
    </row>
    <row r="1099" spans="7:12" s="125" customFormat="1">
      <c r="G1099" s="135"/>
      <c r="J1099" s="126"/>
      <c r="K1099" s="126"/>
      <c r="L1099" s="126"/>
    </row>
    <row r="1100" spans="7:12" s="125" customFormat="1">
      <c r="G1100" s="135"/>
      <c r="J1100" s="126"/>
      <c r="K1100" s="126"/>
      <c r="L1100" s="126"/>
    </row>
    <row r="1101" spans="7:12" s="125" customFormat="1">
      <c r="G1101" s="135"/>
      <c r="J1101" s="126"/>
      <c r="K1101" s="126"/>
      <c r="L1101" s="126"/>
    </row>
    <row r="1102" spans="7:12" s="125" customFormat="1">
      <c r="G1102" s="135"/>
      <c r="J1102" s="126"/>
      <c r="K1102" s="126"/>
      <c r="L1102" s="126"/>
    </row>
    <row r="1103" spans="7:12" s="125" customFormat="1">
      <c r="G1103" s="135"/>
      <c r="J1103" s="126"/>
      <c r="K1103" s="126"/>
      <c r="L1103" s="126"/>
    </row>
    <row r="1104" spans="7:12" s="125" customFormat="1">
      <c r="G1104" s="135"/>
      <c r="J1104" s="126"/>
      <c r="K1104" s="126"/>
      <c r="L1104" s="126"/>
    </row>
    <row r="1105" spans="7:12" s="125" customFormat="1">
      <c r="G1105" s="135"/>
      <c r="J1105" s="126"/>
      <c r="K1105" s="126"/>
      <c r="L1105" s="126"/>
    </row>
    <row r="1106" spans="7:12" s="125" customFormat="1">
      <c r="G1106" s="135"/>
      <c r="J1106" s="126"/>
      <c r="K1106" s="126"/>
      <c r="L1106" s="126"/>
    </row>
    <row r="1107" spans="7:12" s="125" customFormat="1">
      <c r="G1107" s="135"/>
      <c r="J1107" s="126"/>
      <c r="K1107" s="126"/>
      <c r="L1107" s="126"/>
    </row>
    <row r="1108" spans="7:12" s="125" customFormat="1">
      <c r="G1108" s="135"/>
      <c r="J1108" s="126"/>
      <c r="K1108" s="126"/>
      <c r="L1108" s="126"/>
    </row>
    <row r="1109" spans="7:12" s="125" customFormat="1">
      <c r="G1109" s="135"/>
      <c r="J1109" s="126"/>
      <c r="K1109" s="126"/>
      <c r="L1109" s="126"/>
    </row>
    <row r="1110" spans="7:12" s="125" customFormat="1">
      <c r="G1110" s="135"/>
      <c r="J1110" s="126"/>
      <c r="K1110" s="126"/>
      <c r="L1110" s="126"/>
    </row>
    <row r="1111" spans="7:12" s="125" customFormat="1">
      <c r="G1111" s="135"/>
      <c r="J1111" s="126"/>
      <c r="K1111" s="126"/>
      <c r="L1111" s="126"/>
    </row>
    <row r="1112" spans="7:12" s="125" customFormat="1">
      <c r="G1112" s="135"/>
      <c r="J1112" s="126"/>
      <c r="K1112" s="126"/>
      <c r="L1112" s="126"/>
    </row>
    <row r="1113" spans="7:12" s="125" customFormat="1">
      <c r="G1113" s="135"/>
      <c r="J1113" s="126"/>
      <c r="K1113" s="126"/>
      <c r="L1113" s="126"/>
    </row>
    <row r="1114" spans="7:12" s="125" customFormat="1">
      <c r="G1114" s="135"/>
      <c r="J1114" s="126"/>
      <c r="K1114" s="126"/>
      <c r="L1114" s="126"/>
    </row>
    <row r="1115" spans="7:12" s="125" customFormat="1">
      <c r="G1115" s="135"/>
      <c r="J1115" s="126"/>
      <c r="K1115" s="126"/>
      <c r="L1115" s="126"/>
    </row>
    <row r="1116" spans="7:12" s="125" customFormat="1">
      <c r="G1116" s="135"/>
      <c r="J1116" s="126"/>
      <c r="K1116" s="126"/>
      <c r="L1116" s="126"/>
    </row>
    <row r="1117" spans="7:12" s="125" customFormat="1">
      <c r="G1117" s="135"/>
      <c r="J1117" s="126"/>
      <c r="K1117" s="126"/>
      <c r="L1117" s="126"/>
    </row>
    <row r="1118" spans="7:12" s="125" customFormat="1">
      <c r="G1118" s="135"/>
      <c r="J1118" s="126"/>
      <c r="K1118" s="126"/>
      <c r="L1118" s="126"/>
    </row>
    <row r="1119" spans="7:12" s="125" customFormat="1">
      <c r="G1119" s="135"/>
      <c r="J1119" s="126"/>
      <c r="K1119" s="126"/>
      <c r="L1119" s="126"/>
    </row>
    <row r="1120" spans="7:12" s="125" customFormat="1">
      <c r="G1120" s="135"/>
      <c r="J1120" s="126"/>
      <c r="K1120" s="126"/>
      <c r="L1120" s="126"/>
    </row>
    <row r="1121" spans="7:12" s="125" customFormat="1">
      <c r="G1121" s="135"/>
      <c r="J1121" s="126"/>
      <c r="K1121" s="126"/>
      <c r="L1121" s="126"/>
    </row>
    <row r="1122" spans="7:12" s="125" customFormat="1">
      <c r="G1122" s="135"/>
      <c r="J1122" s="126"/>
      <c r="K1122" s="126"/>
      <c r="L1122" s="126"/>
    </row>
    <row r="1123" spans="7:12" s="125" customFormat="1">
      <c r="G1123" s="135"/>
      <c r="J1123" s="126"/>
      <c r="K1123" s="126"/>
      <c r="L1123" s="126"/>
    </row>
    <row r="1124" spans="7:12" s="125" customFormat="1">
      <c r="G1124" s="135"/>
      <c r="J1124" s="126"/>
      <c r="K1124" s="126"/>
      <c r="L1124" s="126"/>
    </row>
    <row r="1125" spans="7:12" s="125" customFormat="1">
      <c r="G1125" s="135"/>
      <c r="J1125" s="126"/>
      <c r="K1125" s="126"/>
      <c r="L1125" s="126"/>
    </row>
    <row r="1126" spans="7:12" s="125" customFormat="1">
      <c r="G1126" s="135"/>
      <c r="J1126" s="126"/>
      <c r="K1126" s="126"/>
      <c r="L1126" s="126"/>
    </row>
    <row r="1127" spans="7:12" s="125" customFormat="1">
      <c r="G1127" s="135"/>
      <c r="J1127" s="126"/>
      <c r="K1127" s="126"/>
      <c r="L1127" s="126"/>
    </row>
    <row r="1128" spans="7:12" s="125" customFormat="1">
      <c r="G1128" s="135"/>
      <c r="J1128" s="126"/>
      <c r="K1128" s="126"/>
      <c r="L1128" s="126"/>
    </row>
    <row r="1129" spans="7:12" s="125" customFormat="1">
      <c r="G1129" s="135"/>
      <c r="J1129" s="126"/>
      <c r="K1129" s="126"/>
      <c r="L1129" s="126"/>
    </row>
    <row r="1130" spans="7:12" s="125" customFormat="1">
      <c r="G1130" s="135"/>
      <c r="J1130" s="126"/>
      <c r="K1130" s="126"/>
      <c r="L1130" s="126"/>
    </row>
    <row r="1131" spans="7:12" s="125" customFormat="1">
      <c r="G1131" s="135"/>
      <c r="J1131" s="126"/>
      <c r="K1131" s="126"/>
      <c r="L1131" s="126"/>
    </row>
    <row r="1132" spans="7:12" s="125" customFormat="1">
      <c r="G1132" s="135"/>
      <c r="J1132" s="126"/>
      <c r="K1132" s="126"/>
      <c r="L1132" s="126"/>
    </row>
    <row r="1133" spans="7:12" s="125" customFormat="1">
      <c r="G1133" s="135"/>
      <c r="J1133" s="126"/>
      <c r="K1133" s="126"/>
      <c r="L1133" s="126"/>
    </row>
    <row r="1134" spans="7:12" s="125" customFormat="1">
      <c r="G1134" s="135"/>
      <c r="J1134" s="126"/>
      <c r="K1134" s="126"/>
      <c r="L1134" s="126"/>
    </row>
    <row r="1135" spans="7:12" s="125" customFormat="1">
      <c r="G1135" s="135"/>
      <c r="J1135" s="126"/>
      <c r="K1135" s="126"/>
      <c r="L1135" s="126"/>
    </row>
    <row r="1136" spans="7:12" s="125" customFormat="1">
      <c r="G1136" s="135"/>
      <c r="J1136" s="126"/>
      <c r="K1136" s="126"/>
      <c r="L1136" s="126"/>
    </row>
    <row r="1137" spans="7:12" s="125" customFormat="1">
      <c r="G1137" s="135"/>
      <c r="J1137" s="126"/>
      <c r="K1137" s="126"/>
      <c r="L1137" s="126"/>
    </row>
    <row r="1138" spans="7:12" s="125" customFormat="1">
      <c r="G1138" s="135"/>
      <c r="J1138" s="126"/>
      <c r="K1138" s="126"/>
      <c r="L1138" s="126"/>
    </row>
    <row r="1139" spans="7:12" s="125" customFormat="1">
      <c r="G1139" s="135"/>
      <c r="J1139" s="126"/>
      <c r="K1139" s="126"/>
      <c r="L1139" s="126"/>
    </row>
    <row r="1140" spans="7:12" s="125" customFormat="1">
      <c r="G1140" s="135"/>
      <c r="J1140" s="126"/>
      <c r="K1140" s="126"/>
      <c r="L1140" s="126"/>
    </row>
    <row r="1141" spans="7:12" s="125" customFormat="1">
      <c r="G1141" s="135"/>
      <c r="J1141" s="126"/>
      <c r="K1141" s="126"/>
      <c r="L1141" s="126"/>
    </row>
    <row r="1142" spans="7:12" s="125" customFormat="1">
      <c r="G1142" s="135"/>
      <c r="J1142" s="126"/>
      <c r="K1142" s="126"/>
      <c r="L1142" s="126"/>
    </row>
    <row r="1143" spans="7:12" s="125" customFormat="1">
      <c r="G1143" s="135"/>
      <c r="J1143" s="126"/>
      <c r="K1143" s="126"/>
      <c r="L1143" s="126"/>
    </row>
    <row r="1144" spans="7:12" s="125" customFormat="1">
      <c r="G1144" s="135"/>
      <c r="J1144" s="126"/>
      <c r="K1144" s="126"/>
      <c r="L1144" s="126"/>
    </row>
    <row r="1145" spans="7:12" s="125" customFormat="1">
      <c r="G1145" s="135"/>
      <c r="J1145" s="126"/>
      <c r="K1145" s="126"/>
      <c r="L1145" s="126"/>
    </row>
    <row r="1146" spans="7:12" s="125" customFormat="1">
      <c r="G1146" s="135"/>
      <c r="J1146" s="126"/>
      <c r="K1146" s="126"/>
      <c r="L1146" s="126"/>
    </row>
    <row r="1147" spans="7:12" s="125" customFormat="1">
      <c r="G1147" s="135"/>
      <c r="J1147" s="126"/>
      <c r="K1147" s="126"/>
      <c r="L1147" s="126"/>
    </row>
    <row r="1148" spans="7:12" s="125" customFormat="1">
      <c r="G1148" s="135"/>
      <c r="J1148" s="126"/>
      <c r="K1148" s="126"/>
      <c r="L1148" s="126"/>
    </row>
    <row r="1149" spans="7:12" s="125" customFormat="1">
      <c r="G1149" s="135"/>
      <c r="J1149" s="126"/>
      <c r="K1149" s="126"/>
      <c r="L1149" s="126"/>
    </row>
    <row r="1150" spans="7:12" s="125" customFormat="1">
      <c r="G1150" s="135"/>
      <c r="J1150" s="126"/>
      <c r="K1150" s="126"/>
      <c r="L1150" s="126"/>
    </row>
    <row r="1151" spans="7:12" s="125" customFormat="1">
      <c r="G1151" s="135"/>
      <c r="J1151" s="126"/>
      <c r="K1151" s="126"/>
      <c r="L1151" s="126"/>
    </row>
    <row r="1152" spans="7:12" s="125" customFormat="1">
      <c r="G1152" s="135"/>
      <c r="J1152" s="126"/>
      <c r="K1152" s="126"/>
      <c r="L1152" s="126"/>
    </row>
    <row r="1153" spans="7:12" s="125" customFormat="1">
      <c r="G1153" s="135"/>
      <c r="J1153" s="126"/>
      <c r="K1153" s="126"/>
      <c r="L1153" s="126"/>
    </row>
    <row r="1154" spans="7:12" s="125" customFormat="1">
      <c r="G1154" s="135"/>
      <c r="J1154" s="126"/>
      <c r="K1154" s="126"/>
      <c r="L1154" s="126"/>
    </row>
    <row r="1155" spans="7:12" s="125" customFormat="1">
      <c r="G1155" s="135"/>
      <c r="J1155" s="126"/>
      <c r="K1155" s="126"/>
      <c r="L1155" s="126"/>
    </row>
    <row r="1156" spans="7:12" s="125" customFormat="1">
      <c r="G1156" s="135"/>
      <c r="J1156" s="126"/>
      <c r="K1156" s="126"/>
      <c r="L1156" s="126"/>
    </row>
    <row r="1157" spans="7:12" s="125" customFormat="1">
      <c r="G1157" s="135"/>
      <c r="J1157" s="126"/>
      <c r="K1157" s="126"/>
      <c r="L1157" s="126"/>
    </row>
    <row r="1158" spans="7:12" s="125" customFormat="1">
      <c r="G1158" s="135"/>
      <c r="J1158" s="126"/>
      <c r="K1158" s="126"/>
      <c r="L1158" s="126"/>
    </row>
    <row r="1159" spans="7:12" s="125" customFormat="1">
      <c r="G1159" s="135"/>
      <c r="J1159" s="126"/>
      <c r="K1159" s="126"/>
      <c r="L1159" s="126"/>
    </row>
    <row r="1160" spans="7:12" s="125" customFormat="1">
      <c r="G1160" s="135"/>
      <c r="J1160" s="126"/>
      <c r="K1160" s="126"/>
      <c r="L1160" s="126"/>
    </row>
    <row r="1161" spans="7:12" s="125" customFormat="1">
      <c r="G1161" s="135"/>
      <c r="J1161" s="126"/>
      <c r="K1161" s="126"/>
      <c r="L1161" s="126"/>
    </row>
    <row r="1162" spans="7:12" s="125" customFormat="1">
      <c r="G1162" s="135"/>
      <c r="J1162" s="126"/>
      <c r="K1162" s="126"/>
      <c r="L1162" s="126"/>
    </row>
    <row r="1163" spans="7:12" s="125" customFormat="1">
      <c r="G1163" s="135"/>
      <c r="J1163" s="126"/>
      <c r="K1163" s="126"/>
      <c r="L1163" s="126"/>
    </row>
    <row r="1164" spans="7:12" s="125" customFormat="1">
      <c r="G1164" s="135"/>
      <c r="J1164" s="126"/>
      <c r="K1164" s="126"/>
      <c r="L1164" s="126"/>
    </row>
    <row r="1165" spans="7:12" s="125" customFormat="1">
      <c r="G1165" s="135"/>
      <c r="J1165" s="126"/>
      <c r="K1165" s="126"/>
      <c r="L1165" s="126"/>
    </row>
    <row r="1166" spans="7:12" s="125" customFormat="1">
      <c r="G1166" s="135"/>
      <c r="J1166" s="126"/>
      <c r="K1166" s="126"/>
      <c r="L1166" s="126"/>
    </row>
    <row r="1167" spans="7:12" s="125" customFormat="1">
      <c r="G1167" s="135"/>
      <c r="J1167" s="126"/>
      <c r="K1167" s="126"/>
      <c r="L1167" s="126"/>
    </row>
    <row r="1168" spans="7:12" s="125" customFormat="1">
      <c r="G1168" s="135"/>
      <c r="J1168" s="126"/>
      <c r="K1168" s="126"/>
      <c r="L1168" s="126"/>
    </row>
    <row r="1169" spans="7:12" s="125" customFormat="1">
      <c r="G1169" s="135"/>
      <c r="J1169" s="126"/>
      <c r="K1169" s="126"/>
      <c r="L1169" s="126"/>
    </row>
    <row r="1170" spans="7:12" s="125" customFormat="1">
      <c r="G1170" s="135"/>
      <c r="J1170" s="126"/>
      <c r="K1170" s="126"/>
      <c r="L1170" s="126"/>
    </row>
    <row r="1171" spans="7:12" s="125" customFormat="1">
      <c r="G1171" s="135"/>
      <c r="J1171" s="126"/>
      <c r="K1171" s="126"/>
      <c r="L1171" s="126"/>
    </row>
    <row r="1172" spans="7:12" s="125" customFormat="1">
      <c r="G1172" s="135"/>
      <c r="J1172" s="126"/>
      <c r="K1172" s="126"/>
      <c r="L1172" s="126"/>
    </row>
    <row r="1173" spans="7:12" s="125" customFormat="1">
      <c r="G1173" s="135"/>
      <c r="J1173" s="126"/>
      <c r="K1173" s="126"/>
      <c r="L1173" s="126"/>
    </row>
    <row r="1174" spans="7:12" s="125" customFormat="1">
      <c r="G1174" s="135"/>
      <c r="J1174" s="126"/>
      <c r="K1174" s="126"/>
      <c r="L1174" s="126"/>
    </row>
    <row r="1175" spans="7:12" s="125" customFormat="1">
      <c r="G1175" s="135"/>
      <c r="J1175" s="126"/>
      <c r="K1175" s="126"/>
      <c r="L1175" s="126"/>
    </row>
    <row r="1176" spans="7:12" s="125" customFormat="1">
      <c r="G1176" s="135"/>
      <c r="J1176" s="126"/>
      <c r="K1176" s="126"/>
      <c r="L1176" s="126"/>
    </row>
    <row r="1177" spans="7:12" s="125" customFormat="1">
      <c r="G1177" s="135"/>
      <c r="J1177" s="126"/>
      <c r="K1177" s="126"/>
      <c r="L1177" s="126"/>
    </row>
    <row r="1178" spans="7:12" s="125" customFormat="1">
      <c r="G1178" s="135"/>
      <c r="J1178" s="126"/>
      <c r="K1178" s="126"/>
      <c r="L1178" s="126"/>
    </row>
    <row r="1179" spans="7:12" s="125" customFormat="1">
      <c r="G1179" s="135"/>
      <c r="J1179" s="126"/>
      <c r="K1179" s="126"/>
      <c r="L1179" s="126"/>
    </row>
    <row r="1180" spans="7:12" s="125" customFormat="1">
      <c r="G1180" s="135"/>
      <c r="J1180" s="126"/>
      <c r="K1180" s="126"/>
      <c r="L1180" s="126"/>
    </row>
    <row r="1181" spans="7:12" s="125" customFormat="1">
      <c r="G1181" s="135"/>
      <c r="J1181" s="126"/>
      <c r="K1181" s="126"/>
      <c r="L1181" s="126"/>
    </row>
    <row r="1182" spans="7:12" s="125" customFormat="1">
      <c r="G1182" s="135"/>
      <c r="J1182" s="126"/>
      <c r="K1182" s="126"/>
      <c r="L1182" s="126"/>
    </row>
    <row r="1183" spans="7:12" s="125" customFormat="1">
      <c r="G1183" s="135"/>
      <c r="J1183" s="126"/>
      <c r="K1183" s="126"/>
      <c r="L1183" s="126"/>
    </row>
    <row r="1184" spans="7:12" s="125" customFormat="1">
      <c r="G1184" s="135"/>
      <c r="J1184" s="126"/>
      <c r="K1184" s="126"/>
      <c r="L1184" s="126"/>
    </row>
    <row r="1185" spans="7:12" s="125" customFormat="1">
      <c r="G1185" s="135"/>
      <c r="J1185" s="126"/>
      <c r="K1185" s="126"/>
      <c r="L1185" s="126"/>
    </row>
    <row r="1186" spans="7:12" s="125" customFormat="1">
      <c r="G1186" s="135"/>
      <c r="J1186" s="126"/>
      <c r="K1186" s="126"/>
      <c r="L1186" s="126"/>
    </row>
    <row r="1187" spans="7:12" s="125" customFormat="1">
      <c r="G1187" s="135"/>
      <c r="J1187" s="126"/>
      <c r="K1187" s="126"/>
      <c r="L1187" s="126"/>
    </row>
    <row r="1188" spans="7:12" s="125" customFormat="1">
      <c r="G1188" s="135"/>
      <c r="J1188" s="126"/>
      <c r="K1188" s="126"/>
      <c r="L1188" s="126"/>
    </row>
    <row r="1189" spans="7:12" s="125" customFormat="1">
      <c r="G1189" s="135"/>
      <c r="J1189" s="126"/>
      <c r="K1189" s="126"/>
      <c r="L1189" s="126"/>
    </row>
    <row r="1190" spans="7:12" s="125" customFormat="1">
      <c r="G1190" s="135"/>
      <c r="J1190" s="126"/>
      <c r="K1190" s="126"/>
      <c r="L1190" s="126"/>
    </row>
    <row r="1191" spans="7:12" s="125" customFormat="1">
      <c r="G1191" s="135"/>
      <c r="J1191" s="126"/>
      <c r="K1191" s="126"/>
      <c r="L1191" s="126"/>
    </row>
    <row r="1192" spans="7:12" s="125" customFormat="1">
      <c r="G1192" s="135"/>
      <c r="J1192" s="126"/>
      <c r="K1192" s="126"/>
      <c r="L1192" s="126"/>
    </row>
    <row r="1193" spans="7:12" s="125" customFormat="1">
      <c r="G1193" s="135"/>
      <c r="J1193" s="126"/>
      <c r="K1193" s="126"/>
      <c r="L1193" s="126"/>
    </row>
    <row r="1194" spans="7:12" s="125" customFormat="1">
      <c r="G1194" s="135"/>
      <c r="J1194" s="126"/>
      <c r="K1194" s="126"/>
      <c r="L1194" s="126"/>
    </row>
    <row r="1195" spans="7:12" s="125" customFormat="1">
      <c r="G1195" s="135"/>
      <c r="J1195" s="126"/>
      <c r="K1195" s="126"/>
      <c r="L1195" s="126"/>
    </row>
    <row r="1196" spans="7:12" s="125" customFormat="1">
      <c r="G1196" s="135"/>
      <c r="J1196" s="126"/>
      <c r="K1196" s="126"/>
      <c r="L1196" s="126"/>
    </row>
    <row r="1197" spans="7:12" s="125" customFormat="1">
      <c r="G1197" s="135"/>
      <c r="J1197" s="126"/>
      <c r="K1197" s="126"/>
      <c r="L1197" s="126"/>
    </row>
    <row r="1198" spans="7:12" s="125" customFormat="1">
      <c r="G1198" s="135"/>
      <c r="J1198" s="126"/>
      <c r="K1198" s="126"/>
      <c r="L1198" s="126"/>
    </row>
    <row r="1199" spans="7:12" s="125" customFormat="1">
      <c r="G1199" s="135"/>
      <c r="J1199" s="126"/>
      <c r="K1199" s="126"/>
      <c r="L1199" s="126"/>
    </row>
    <row r="1200" spans="7:12" s="125" customFormat="1">
      <c r="G1200" s="135"/>
      <c r="J1200" s="126"/>
      <c r="K1200" s="126"/>
      <c r="L1200" s="126"/>
    </row>
    <row r="1201" spans="7:12" s="125" customFormat="1">
      <c r="G1201" s="135"/>
      <c r="J1201" s="126"/>
      <c r="K1201" s="126"/>
      <c r="L1201" s="126"/>
    </row>
    <row r="1202" spans="7:12" s="125" customFormat="1">
      <c r="G1202" s="135"/>
      <c r="J1202" s="126"/>
      <c r="K1202" s="126"/>
      <c r="L1202" s="126"/>
    </row>
    <row r="1203" spans="7:12" s="125" customFormat="1">
      <c r="G1203" s="135"/>
      <c r="J1203" s="126"/>
      <c r="K1203" s="126"/>
      <c r="L1203" s="126"/>
    </row>
    <row r="1204" spans="7:12" s="125" customFormat="1">
      <c r="G1204" s="135"/>
      <c r="J1204" s="126"/>
      <c r="K1204" s="126"/>
      <c r="L1204" s="126"/>
    </row>
    <row r="1205" spans="7:12" s="125" customFormat="1">
      <c r="G1205" s="135"/>
      <c r="J1205" s="126"/>
      <c r="K1205" s="126"/>
      <c r="L1205" s="126"/>
    </row>
    <row r="1206" spans="7:12" s="125" customFormat="1">
      <c r="G1206" s="135"/>
      <c r="J1206" s="126"/>
      <c r="K1206" s="126"/>
      <c r="L1206" s="126"/>
    </row>
    <row r="1207" spans="7:12" s="125" customFormat="1">
      <c r="G1207" s="135"/>
      <c r="J1207" s="126"/>
      <c r="K1207" s="126"/>
      <c r="L1207" s="126"/>
    </row>
    <row r="1208" spans="7:12" s="125" customFormat="1">
      <c r="G1208" s="135"/>
      <c r="J1208" s="126"/>
      <c r="K1208" s="126"/>
      <c r="L1208" s="126"/>
    </row>
    <row r="1209" spans="7:12" s="125" customFormat="1">
      <c r="G1209" s="135"/>
      <c r="J1209" s="126"/>
      <c r="K1209" s="126"/>
      <c r="L1209" s="126"/>
    </row>
    <row r="1210" spans="7:12" s="125" customFormat="1">
      <c r="G1210" s="135"/>
      <c r="J1210" s="126"/>
      <c r="K1210" s="126"/>
      <c r="L1210" s="126"/>
    </row>
    <row r="1211" spans="7:12" s="125" customFormat="1">
      <c r="G1211" s="135"/>
      <c r="J1211" s="126"/>
      <c r="K1211" s="126"/>
      <c r="L1211" s="126"/>
    </row>
    <row r="1212" spans="7:12" s="125" customFormat="1">
      <c r="G1212" s="135"/>
      <c r="J1212" s="126"/>
      <c r="K1212" s="126"/>
      <c r="L1212" s="126"/>
    </row>
    <row r="1213" spans="7:12" s="125" customFormat="1">
      <c r="G1213" s="135"/>
      <c r="J1213" s="126"/>
      <c r="K1213" s="126"/>
      <c r="L1213" s="126"/>
    </row>
    <row r="1214" spans="7:12" s="125" customFormat="1">
      <c r="G1214" s="135"/>
      <c r="J1214" s="126"/>
      <c r="K1214" s="126"/>
      <c r="L1214" s="126"/>
    </row>
    <row r="1215" spans="7:12" s="125" customFormat="1">
      <c r="G1215" s="135"/>
      <c r="J1215" s="126"/>
      <c r="K1215" s="126"/>
      <c r="L1215" s="126"/>
    </row>
    <row r="1216" spans="7:12" s="125" customFormat="1">
      <c r="G1216" s="135"/>
      <c r="J1216" s="126"/>
      <c r="K1216" s="126"/>
      <c r="L1216" s="126"/>
    </row>
    <row r="1217" spans="7:12" s="125" customFormat="1">
      <c r="G1217" s="135"/>
      <c r="J1217" s="126"/>
      <c r="K1217" s="126"/>
      <c r="L1217" s="126"/>
    </row>
    <row r="1218" spans="7:12" s="125" customFormat="1">
      <c r="G1218" s="135"/>
      <c r="J1218" s="126"/>
      <c r="K1218" s="126"/>
      <c r="L1218" s="126"/>
    </row>
    <row r="1219" spans="7:12" s="125" customFormat="1">
      <c r="G1219" s="135"/>
      <c r="J1219" s="126"/>
      <c r="K1219" s="126"/>
      <c r="L1219" s="126"/>
    </row>
    <row r="1220" spans="7:12" s="125" customFormat="1">
      <c r="G1220" s="135"/>
      <c r="J1220" s="126"/>
      <c r="K1220" s="126"/>
      <c r="L1220" s="126"/>
    </row>
    <row r="1221" spans="7:12" s="125" customFormat="1">
      <c r="G1221" s="135"/>
      <c r="J1221" s="126"/>
      <c r="K1221" s="126"/>
      <c r="L1221" s="126"/>
    </row>
    <row r="1222" spans="7:12" s="125" customFormat="1">
      <c r="G1222" s="135"/>
      <c r="J1222" s="126"/>
      <c r="K1222" s="126"/>
      <c r="L1222" s="126"/>
    </row>
    <row r="1223" spans="7:12" s="125" customFormat="1">
      <c r="G1223" s="135"/>
      <c r="J1223" s="126"/>
      <c r="K1223" s="126"/>
      <c r="L1223" s="126"/>
    </row>
    <row r="1224" spans="7:12" s="125" customFormat="1">
      <c r="G1224" s="135"/>
      <c r="J1224" s="126"/>
      <c r="K1224" s="126"/>
      <c r="L1224" s="126"/>
    </row>
    <row r="1225" spans="7:12" s="125" customFormat="1">
      <c r="G1225" s="135"/>
      <c r="J1225" s="126"/>
      <c r="K1225" s="126"/>
      <c r="L1225" s="126"/>
    </row>
    <row r="1226" spans="7:12" s="125" customFormat="1">
      <c r="G1226" s="135"/>
      <c r="J1226" s="126"/>
      <c r="K1226" s="126"/>
      <c r="L1226" s="126"/>
    </row>
    <row r="1227" spans="7:12" s="125" customFormat="1">
      <c r="G1227" s="135"/>
      <c r="J1227" s="126"/>
      <c r="K1227" s="126"/>
      <c r="L1227" s="126"/>
    </row>
    <row r="1228" spans="7:12" s="125" customFormat="1">
      <c r="G1228" s="135"/>
      <c r="J1228" s="126"/>
      <c r="K1228" s="126"/>
      <c r="L1228" s="126"/>
    </row>
    <row r="1229" spans="7:12" s="125" customFormat="1">
      <c r="G1229" s="135"/>
      <c r="J1229" s="126"/>
      <c r="K1229" s="126"/>
      <c r="L1229" s="126"/>
    </row>
    <row r="1230" spans="7:12" s="125" customFormat="1">
      <c r="G1230" s="135"/>
      <c r="J1230" s="126"/>
      <c r="K1230" s="126"/>
      <c r="L1230" s="126"/>
    </row>
    <row r="1231" spans="7:12" s="125" customFormat="1">
      <c r="G1231" s="135"/>
      <c r="J1231" s="126"/>
      <c r="K1231" s="126"/>
      <c r="L1231" s="126"/>
    </row>
    <row r="1232" spans="7:12" s="125" customFormat="1">
      <c r="G1232" s="135"/>
      <c r="J1232" s="126"/>
      <c r="K1232" s="126"/>
      <c r="L1232" s="126"/>
    </row>
    <row r="1233" spans="7:12" s="125" customFormat="1">
      <c r="G1233" s="135"/>
      <c r="J1233" s="126"/>
      <c r="K1233" s="126"/>
      <c r="L1233" s="126"/>
    </row>
    <row r="1234" spans="7:12" s="125" customFormat="1">
      <c r="G1234" s="135"/>
      <c r="J1234" s="126"/>
      <c r="K1234" s="126"/>
      <c r="L1234" s="126"/>
    </row>
    <row r="1235" spans="7:12" s="125" customFormat="1">
      <c r="G1235" s="135"/>
      <c r="J1235" s="126"/>
      <c r="K1235" s="126"/>
      <c r="L1235" s="126"/>
    </row>
    <row r="1236" spans="7:12" s="125" customFormat="1">
      <c r="G1236" s="135"/>
      <c r="J1236" s="126"/>
      <c r="K1236" s="126"/>
      <c r="L1236" s="126"/>
    </row>
    <row r="1237" spans="7:12" s="125" customFormat="1">
      <c r="G1237" s="135"/>
      <c r="J1237" s="126"/>
      <c r="K1237" s="126"/>
      <c r="L1237" s="126"/>
    </row>
    <row r="1238" spans="7:12" s="125" customFormat="1">
      <c r="G1238" s="135"/>
      <c r="J1238" s="126"/>
      <c r="K1238" s="126"/>
      <c r="L1238" s="126"/>
    </row>
    <row r="1239" spans="7:12" s="125" customFormat="1">
      <c r="G1239" s="135"/>
      <c r="J1239" s="126"/>
      <c r="K1239" s="126"/>
      <c r="L1239" s="126"/>
    </row>
    <row r="1240" spans="7:12" s="125" customFormat="1">
      <c r="G1240" s="135"/>
      <c r="J1240" s="126"/>
      <c r="K1240" s="126"/>
      <c r="L1240" s="126"/>
    </row>
    <row r="1241" spans="7:12" s="125" customFormat="1">
      <c r="G1241" s="135"/>
      <c r="J1241" s="126"/>
      <c r="K1241" s="126"/>
      <c r="L1241" s="126"/>
    </row>
    <row r="1242" spans="7:12" s="125" customFormat="1">
      <c r="G1242" s="135"/>
      <c r="J1242" s="126"/>
      <c r="K1242" s="126"/>
      <c r="L1242" s="126"/>
    </row>
    <row r="1243" spans="7:12" s="125" customFormat="1">
      <c r="G1243" s="135"/>
      <c r="J1243" s="126"/>
      <c r="K1243" s="126"/>
      <c r="L1243" s="126"/>
    </row>
    <row r="1244" spans="7:12" s="125" customFormat="1">
      <c r="G1244" s="135"/>
      <c r="J1244" s="126"/>
      <c r="K1244" s="126"/>
      <c r="L1244" s="126"/>
    </row>
    <row r="1245" spans="7:12" s="125" customFormat="1">
      <c r="G1245" s="135"/>
      <c r="J1245" s="126"/>
      <c r="K1245" s="126"/>
      <c r="L1245" s="126"/>
    </row>
    <row r="1246" spans="7:12" s="125" customFormat="1">
      <c r="G1246" s="135"/>
      <c r="J1246" s="126"/>
      <c r="K1246" s="126"/>
      <c r="L1246" s="126"/>
    </row>
    <row r="1247" spans="7:12" s="125" customFormat="1">
      <c r="G1247" s="135"/>
      <c r="J1247" s="126"/>
      <c r="K1247" s="126"/>
      <c r="L1247" s="126"/>
    </row>
    <row r="1248" spans="7:12" s="125" customFormat="1">
      <c r="G1248" s="135"/>
      <c r="J1248" s="126"/>
      <c r="K1248" s="126"/>
      <c r="L1248" s="126"/>
    </row>
    <row r="1249" spans="7:12" s="125" customFormat="1">
      <c r="G1249" s="135"/>
      <c r="J1249" s="126"/>
      <c r="K1249" s="126"/>
      <c r="L1249" s="126"/>
    </row>
    <row r="1250" spans="7:12" s="125" customFormat="1">
      <c r="G1250" s="135"/>
      <c r="J1250" s="126"/>
      <c r="K1250" s="126"/>
      <c r="L1250" s="126"/>
    </row>
    <row r="1251" spans="7:12" s="125" customFormat="1">
      <c r="G1251" s="135"/>
      <c r="J1251" s="126"/>
      <c r="K1251" s="126"/>
      <c r="L1251" s="126"/>
    </row>
    <row r="1252" spans="7:12" s="125" customFormat="1">
      <c r="G1252" s="135"/>
      <c r="J1252" s="126"/>
      <c r="K1252" s="126"/>
      <c r="L1252" s="126"/>
    </row>
    <row r="1253" spans="7:12" s="125" customFormat="1">
      <c r="G1253" s="135"/>
      <c r="J1253" s="126"/>
      <c r="K1253" s="126"/>
      <c r="L1253" s="126"/>
    </row>
    <row r="1254" spans="7:12" s="125" customFormat="1">
      <c r="G1254" s="135"/>
      <c r="J1254" s="126"/>
      <c r="K1254" s="126"/>
      <c r="L1254" s="126"/>
    </row>
    <row r="1255" spans="7:12" s="125" customFormat="1">
      <c r="G1255" s="135"/>
      <c r="J1255" s="126"/>
      <c r="K1255" s="126"/>
      <c r="L1255" s="126"/>
    </row>
    <row r="1256" spans="7:12" s="125" customFormat="1">
      <c r="G1256" s="135"/>
      <c r="J1256" s="126"/>
      <c r="K1256" s="126"/>
      <c r="L1256" s="126"/>
    </row>
    <row r="1257" spans="7:12" s="125" customFormat="1">
      <c r="G1257" s="135"/>
      <c r="J1257" s="126"/>
      <c r="K1257" s="126"/>
      <c r="L1257" s="126"/>
    </row>
    <row r="1258" spans="7:12" s="125" customFormat="1">
      <c r="G1258" s="135"/>
      <c r="J1258" s="126"/>
      <c r="K1258" s="126"/>
      <c r="L1258" s="126"/>
    </row>
    <row r="1259" spans="7:12" s="125" customFormat="1">
      <c r="G1259" s="135"/>
      <c r="J1259" s="126"/>
      <c r="K1259" s="126"/>
      <c r="L1259" s="126"/>
    </row>
    <row r="1260" spans="7:12" s="125" customFormat="1">
      <c r="G1260" s="135"/>
      <c r="J1260" s="126"/>
      <c r="K1260" s="126"/>
      <c r="L1260" s="126"/>
    </row>
    <row r="1261" spans="7:12" s="125" customFormat="1">
      <c r="G1261" s="135"/>
      <c r="J1261" s="126"/>
      <c r="K1261" s="126"/>
      <c r="L1261" s="126"/>
    </row>
    <row r="1262" spans="7:12" s="125" customFormat="1">
      <c r="G1262" s="135"/>
      <c r="J1262" s="126"/>
      <c r="K1262" s="126"/>
      <c r="L1262" s="126"/>
    </row>
    <row r="1263" spans="7:12" s="125" customFormat="1">
      <c r="G1263" s="135"/>
      <c r="J1263" s="126"/>
      <c r="K1263" s="126"/>
      <c r="L1263" s="126"/>
    </row>
    <row r="1264" spans="7:12" s="125" customFormat="1">
      <c r="G1264" s="135"/>
      <c r="J1264" s="126"/>
      <c r="K1264" s="126"/>
      <c r="L1264" s="126"/>
    </row>
    <row r="1265" spans="7:12" s="125" customFormat="1">
      <c r="G1265" s="135"/>
      <c r="J1265" s="126"/>
      <c r="K1265" s="126"/>
      <c r="L1265" s="126"/>
    </row>
    <row r="1266" spans="7:12" s="125" customFormat="1">
      <c r="G1266" s="135"/>
      <c r="J1266" s="126"/>
      <c r="K1266" s="126"/>
      <c r="L1266" s="126"/>
    </row>
    <row r="1267" spans="7:12" s="125" customFormat="1">
      <c r="G1267" s="135"/>
      <c r="J1267" s="126"/>
      <c r="K1267" s="126"/>
      <c r="L1267" s="126"/>
    </row>
    <row r="1268" spans="7:12" s="125" customFormat="1">
      <c r="G1268" s="135"/>
      <c r="J1268" s="126"/>
      <c r="K1268" s="126"/>
      <c r="L1268" s="126"/>
    </row>
    <row r="1269" spans="7:12" s="125" customFormat="1">
      <c r="G1269" s="135"/>
      <c r="J1269" s="126"/>
      <c r="K1269" s="126"/>
      <c r="L1269" s="126"/>
    </row>
    <row r="1270" spans="7:12" s="125" customFormat="1">
      <c r="G1270" s="135"/>
      <c r="J1270" s="126"/>
      <c r="K1270" s="126"/>
      <c r="L1270" s="126"/>
    </row>
    <row r="1271" spans="7:12" s="125" customFormat="1">
      <c r="G1271" s="135"/>
      <c r="J1271" s="126"/>
      <c r="K1271" s="126"/>
      <c r="L1271" s="126"/>
    </row>
    <row r="1272" spans="7:12" s="125" customFormat="1">
      <c r="G1272" s="135"/>
      <c r="J1272" s="126"/>
      <c r="K1272" s="126"/>
      <c r="L1272" s="126"/>
    </row>
    <row r="1273" spans="7:12" s="125" customFormat="1">
      <c r="G1273" s="135"/>
      <c r="J1273" s="126"/>
      <c r="K1273" s="126"/>
      <c r="L1273" s="126"/>
    </row>
    <row r="1274" spans="7:12" s="125" customFormat="1">
      <c r="G1274" s="135"/>
      <c r="J1274" s="126"/>
      <c r="K1274" s="126"/>
      <c r="L1274" s="126"/>
    </row>
    <row r="1275" spans="7:12" s="125" customFormat="1">
      <c r="G1275" s="135"/>
      <c r="J1275" s="126"/>
      <c r="K1275" s="126"/>
      <c r="L1275" s="126"/>
    </row>
    <row r="1276" spans="7:12" s="125" customFormat="1">
      <c r="G1276" s="135"/>
      <c r="J1276" s="126"/>
      <c r="K1276" s="126"/>
      <c r="L1276" s="126"/>
    </row>
    <row r="1277" spans="7:12" s="125" customFormat="1">
      <c r="G1277" s="135"/>
      <c r="J1277" s="126"/>
      <c r="K1277" s="126"/>
      <c r="L1277" s="126"/>
    </row>
    <row r="1278" spans="7:12" s="125" customFormat="1">
      <c r="G1278" s="135"/>
      <c r="J1278" s="126"/>
      <c r="K1278" s="126"/>
      <c r="L1278" s="126"/>
    </row>
    <row r="1279" spans="7:12" s="125" customFormat="1">
      <c r="G1279" s="135"/>
      <c r="J1279" s="126"/>
      <c r="K1279" s="126"/>
      <c r="L1279" s="126"/>
    </row>
    <row r="1280" spans="7:12" s="125" customFormat="1">
      <c r="G1280" s="135"/>
      <c r="J1280" s="126"/>
      <c r="K1280" s="126"/>
      <c r="L1280" s="126"/>
    </row>
    <row r="1281" spans="7:12" s="125" customFormat="1">
      <c r="G1281" s="135"/>
      <c r="J1281" s="126"/>
      <c r="K1281" s="126"/>
      <c r="L1281" s="126"/>
    </row>
    <row r="1282" spans="7:12" s="125" customFormat="1">
      <c r="G1282" s="135"/>
      <c r="J1282" s="126"/>
      <c r="K1282" s="126"/>
      <c r="L1282" s="126"/>
    </row>
    <row r="1283" spans="7:12" s="125" customFormat="1">
      <c r="G1283" s="135"/>
      <c r="J1283" s="126"/>
      <c r="K1283" s="126"/>
      <c r="L1283" s="126"/>
    </row>
    <row r="1284" spans="7:12" s="125" customFormat="1">
      <c r="G1284" s="135"/>
      <c r="J1284" s="126"/>
      <c r="K1284" s="126"/>
      <c r="L1284" s="126"/>
    </row>
    <row r="1285" spans="7:12" s="125" customFormat="1">
      <c r="G1285" s="135"/>
      <c r="J1285" s="126"/>
      <c r="K1285" s="126"/>
      <c r="L1285" s="126"/>
    </row>
    <row r="1286" spans="7:12" s="125" customFormat="1">
      <c r="G1286" s="135"/>
      <c r="J1286" s="126"/>
      <c r="K1286" s="126"/>
      <c r="L1286" s="126"/>
    </row>
    <row r="1287" spans="7:12" s="125" customFormat="1">
      <c r="G1287" s="135"/>
      <c r="J1287" s="126"/>
      <c r="K1287" s="126"/>
      <c r="L1287" s="126"/>
    </row>
    <row r="1288" spans="7:12" s="125" customFormat="1">
      <c r="G1288" s="135"/>
      <c r="J1288" s="126"/>
      <c r="K1288" s="126"/>
      <c r="L1288" s="126"/>
    </row>
    <row r="1289" spans="7:12" s="125" customFormat="1">
      <c r="G1289" s="135"/>
      <c r="J1289" s="126"/>
      <c r="K1289" s="126"/>
      <c r="L1289" s="126"/>
    </row>
    <row r="1290" spans="7:12" s="125" customFormat="1">
      <c r="G1290" s="135"/>
      <c r="J1290" s="126"/>
      <c r="K1290" s="126"/>
      <c r="L1290" s="126"/>
    </row>
    <row r="1291" spans="7:12" s="125" customFormat="1">
      <c r="G1291" s="135"/>
      <c r="J1291" s="126"/>
      <c r="K1291" s="126"/>
      <c r="L1291" s="126"/>
    </row>
    <row r="1292" spans="7:12" s="125" customFormat="1">
      <c r="G1292" s="135"/>
      <c r="J1292" s="126"/>
      <c r="K1292" s="126"/>
      <c r="L1292" s="126"/>
    </row>
    <row r="1293" spans="7:12" s="125" customFormat="1">
      <c r="G1293" s="135"/>
      <c r="J1293" s="126"/>
      <c r="K1293" s="126"/>
      <c r="L1293" s="126"/>
    </row>
    <row r="1294" spans="7:12" s="125" customFormat="1">
      <c r="G1294" s="135"/>
      <c r="J1294" s="126"/>
      <c r="K1294" s="126"/>
      <c r="L1294" s="126"/>
    </row>
    <row r="1295" spans="7:12" s="125" customFormat="1">
      <c r="G1295" s="135"/>
      <c r="J1295" s="126"/>
      <c r="K1295" s="126"/>
      <c r="L1295" s="126"/>
    </row>
    <row r="1296" spans="7:12" s="125" customFormat="1">
      <c r="G1296" s="135"/>
      <c r="J1296" s="126"/>
      <c r="K1296" s="126"/>
      <c r="L1296" s="126"/>
    </row>
    <row r="1297" spans="7:12" s="125" customFormat="1">
      <c r="G1297" s="135"/>
      <c r="J1297" s="126"/>
      <c r="K1297" s="126"/>
      <c r="L1297" s="126"/>
    </row>
    <row r="1298" spans="7:12" s="125" customFormat="1">
      <c r="G1298" s="135"/>
      <c r="J1298" s="126"/>
      <c r="K1298" s="126"/>
      <c r="L1298" s="126"/>
    </row>
    <row r="1299" spans="7:12" s="125" customFormat="1">
      <c r="G1299" s="135"/>
      <c r="J1299" s="126"/>
      <c r="K1299" s="126"/>
      <c r="L1299" s="126"/>
    </row>
    <row r="1300" spans="7:12" s="125" customFormat="1">
      <c r="G1300" s="135"/>
      <c r="J1300" s="126"/>
      <c r="K1300" s="126"/>
      <c r="L1300" s="126"/>
    </row>
    <row r="1301" spans="7:12" s="125" customFormat="1">
      <c r="G1301" s="135"/>
      <c r="J1301" s="126"/>
      <c r="K1301" s="126"/>
      <c r="L1301" s="126"/>
    </row>
    <row r="1302" spans="7:12" s="125" customFormat="1">
      <c r="G1302" s="135"/>
      <c r="J1302" s="126"/>
      <c r="K1302" s="126"/>
      <c r="L1302" s="126"/>
    </row>
    <row r="1303" spans="7:12" s="125" customFormat="1">
      <c r="G1303" s="135"/>
      <c r="J1303" s="126"/>
      <c r="K1303" s="126"/>
      <c r="L1303" s="126"/>
    </row>
    <row r="1304" spans="7:12" s="125" customFormat="1">
      <c r="G1304" s="135"/>
      <c r="J1304" s="126"/>
      <c r="K1304" s="126"/>
      <c r="L1304" s="126"/>
    </row>
    <row r="1305" spans="7:12" s="125" customFormat="1">
      <c r="G1305" s="135"/>
      <c r="J1305" s="126"/>
      <c r="K1305" s="126"/>
      <c r="L1305" s="126"/>
    </row>
    <row r="1306" spans="7:12" s="125" customFormat="1">
      <c r="G1306" s="135"/>
      <c r="J1306" s="126"/>
      <c r="K1306" s="126"/>
      <c r="L1306" s="126"/>
    </row>
    <row r="1307" spans="7:12" s="125" customFormat="1">
      <c r="G1307" s="135"/>
      <c r="J1307" s="126"/>
      <c r="K1307" s="126"/>
      <c r="L1307" s="126"/>
    </row>
    <row r="1308" spans="7:12" s="125" customFormat="1">
      <c r="G1308" s="135"/>
      <c r="J1308" s="126"/>
      <c r="K1308" s="126"/>
      <c r="L1308" s="126"/>
    </row>
    <row r="1309" spans="7:12" s="125" customFormat="1">
      <c r="G1309" s="135"/>
      <c r="J1309" s="126"/>
      <c r="K1309" s="126"/>
      <c r="L1309" s="126"/>
    </row>
    <row r="1310" spans="7:12" s="125" customFormat="1">
      <c r="G1310" s="135"/>
      <c r="J1310" s="126"/>
      <c r="K1310" s="126"/>
      <c r="L1310" s="126"/>
    </row>
    <row r="1311" spans="7:12" s="125" customFormat="1">
      <c r="G1311" s="135"/>
      <c r="J1311" s="126"/>
      <c r="K1311" s="126"/>
      <c r="L1311" s="126"/>
    </row>
    <row r="1312" spans="7:12" s="125" customFormat="1">
      <c r="G1312" s="135"/>
      <c r="J1312" s="126"/>
      <c r="K1312" s="126"/>
      <c r="L1312" s="126"/>
    </row>
    <row r="1313" spans="7:12" s="125" customFormat="1">
      <c r="G1313" s="135"/>
      <c r="J1313" s="126"/>
      <c r="K1313" s="126"/>
      <c r="L1313" s="126"/>
    </row>
    <row r="1314" spans="7:12" s="125" customFormat="1">
      <c r="G1314" s="135"/>
      <c r="J1314" s="126"/>
      <c r="K1314" s="126"/>
      <c r="L1314" s="126"/>
    </row>
    <row r="1315" spans="7:12" s="125" customFormat="1">
      <c r="G1315" s="135"/>
      <c r="J1315" s="126"/>
      <c r="K1315" s="126"/>
      <c r="L1315" s="126"/>
    </row>
    <row r="1316" spans="7:12" s="125" customFormat="1">
      <c r="G1316" s="135"/>
      <c r="J1316" s="126"/>
      <c r="K1316" s="126"/>
      <c r="L1316" s="126"/>
    </row>
    <row r="1317" spans="7:12" s="125" customFormat="1">
      <c r="G1317" s="135"/>
      <c r="J1317" s="126"/>
      <c r="K1317" s="126"/>
      <c r="L1317" s="126"/>
    </row>
    <row r="1318" spans="7:12" s="125" customFormat="1">
      <c r="G1318" s="135"/>
      <c r="J1318" s="126"/>
      <c r="K1318" s="126"/>
      <c r="L1318" s="126"/>
    </row>
    <row r="1319" spans="7:12" s="125" customFormat="1">
      <c r="G1319" s="135"/>
      <c r="J1319" s="126"/>
      <c r="K1319" s="126"/>
      <c r="L1319" s="126"/>
    </row>
    <row r="1320" spans="7:12" s="125" customFormat="1">
      <c r="G1320" s="135"/>
      <c r="J1320" s="126"/>
      <c r="K1320" s="126"/>
      <c r="L1320" s="126"/>
    </row>
    <row r="1321" spans="7:12" s="125" customFormat="1">
      <c r="G1321" s="135"/>
      <c r="J1321" s="126"/>
      <c r="K1321" s="126"/>
      <c r="L1321" s="126"/>
    </row>
    <row r="1322" spans="7:12" s="125" customFormat="1">
      <c r="G1322" s="135"/>
      <c r="J1322" s="126"/>
      <c r="K1322" s="126"/>
      <c r="L1322" s="126"/>
    </row>
    <row r="1323" spans="7:12" s="125" customFormat="1">
      <c r="G1323" s="135"/>
      <c r="J1323" s="126"/>
      <c r="K1323" s="126"/>
      <c r="L1323" s="126"/>
    </row>
    <row r="1324" spans="7:12" s="125" customFormat="1">
      <c r="G1324" s="135"/>
      <c r="J1324" s="126"/>
      <c r="K1324" s="126"/>
      <c r="L1324" s="126"/>
    </row>
    <row r="1325" spans="7:12" s="125" customFormat="1">
      <c r="G1325" s="135"/>
      <c r="J1325" s="126"/>
      <c r="K1325" s="126"/>
      <c r="L1325" s="126"/>
    </row>
    <row r="1326" spans="7:12" s="125" customFormat="1">
      <c r="G1326" s="135"/>
      <c r="J1326" s="126"/>
      <c r="K1326" s="126"/>
      <c r="L1326" s="126"/>
    </row>
    <row r="1327" spans="7:12" s="125" customFormat="1">
      <c r="G1327" s="135"/>
      <c r="J1327" s="126"/>
      <c r="K1327" s="126"/>
      <c r="L1327" s="126"/>
    </row>
    <row r="1328" spans="7:12" s="125" customFormat="1">
      <c r="G1328" s="135"/>
      <c r="J1328" s="126"/>
      <c r="K1328" s="126"/>
      <c r="L1328" s="126"/>
    </row>
    <row r="1329" spans="7:12" s="125" customFormat="1">
      <c r="G1329" s="135"/>
      <c r="J1329" s="126"/>
      <c r="K1329" s="126"/>
      <c r="L1329" s="126"/>
    </row>
    <row r="1330" spans="7:12" s="125" customFormat="1">
      <c r="G1330" s="135"/>
      <c r="J1330" s="126"/>
      <c r="K1330" s="126"/>
      <c r="L1330" s="126"/>
    </row>
    <row r="1331" spans="7:12" s="125" customFormat="1">
      <c r="G1331" s="135"/>
      <c r="J1331" s="126"/>
      <c r="K1331" s="126"/>
      <c r="L1331" s="126"/>
    </row>
    <row r="1332" spans="7:12" s="125" customFormat="1">
      <c r="G1332" s="135"/>
      <c r="J1332" s="126"/>
      <c r="K1332" s="126"/>
      <c r="L1332" s="126"/>
    </row>
    <row r="1333" spans="7:12" s="125" customFormat="1">
      <c r="G1333" s="135"/>
      <c r="J1333" s="126"/>
      <c r="K1333" s="126"/>
      <c r="L1333" s="126"/>
    </row>
    <row r="1334" spans="7:12" s="125" customFormat="1">
      <c r="G1334" s="135"/>
      <c r="J1334" s="126"/>
      <c r="K1334" s="126"/>
      <c r="L1334" s="126"/>
    </row>
    <row r="1335" spans="7:12" s="125" customFormat="1">
      <c r="G1335" s="135"/>
      <c r="J1335" s="126"/>
      <c r="K1335" s="126"/>
      <c r="L1335" s="126"/>
    </row>
    <row r="1336" spans="7:12" s="125" customFormat="1">
      <c r="G1336" s="135"/>
      <c r="J1336" s="126"/>
      <c r="K1336" s="126"/>
      <c r="L1336" s="126"/>
    </row>
    <row r="1337" spans="7:12" s="125" customFormat="1">
      <c r="G1337" s="135"/>
      <c r="J1337" s="126"/>
      <c r="K1337" s="126"/>
      <c r="L1337" s="126"/>
    </row>
    <row r="1338" spans="7:12" s="125" customFormat="1">
      <c r="G1338" s="135"/>
      <c r="J1338" s="126"/>
      <c r="K1338" s="126"/>
      <c r="L1338" s="126"/>
    </row>
    <row r="1339" spans="7:12" s="125" customFormat="1">
      <c r="G1339" s="135"/>
      <c r="J1339" s="126"/>
      <c r="K1339" s="126"/>
      <c r="L1339" s="126"/>
    </row>
    <row r="1340" spans="7:12" s="125" customFormat="1">
      <c r="G1340" s="135"/>
      <c r="J1340" s="126"/>
      <c r="K1340" s="126"/>
      <c r="L1340" s="126"/>
    </row>
    <row r="1341" spans="7:12" s="125" customFormat="1">
      <c r="G1341" s="135"/>
      <c r="J1341" s="126"/>
      <c r="K1341" s="126"/>
      <c r="L1341" s="126"/>
    </row>
    <row r="1342" spans="7:12" s="125" customFormat="1">
      <c r="G1342" s="135"/>
      <c r="J1342" s="126"/>
      <c r="K1342" s="126"/>
      <c r="L1342" s="126"/>
    </row>
    <row r="1343" spans="7:12" s="125" customFormat="1">
      <c r="G1343" s="135"/>
      <c r="J1343" s="126"/>
      <c r="K1343" s="126"/>
      <c r="L1343" s="126"/>
    </row>
    <row r="1344" spans="7:12" s="125" customFormat="1">
      <c r="G1344" s="135"/>
      <c r="J1344" s="126"/>
      <c r="K1344" s="126"/>
      <c r="L1344" s="126"/>
    </row>
    <row r="1345" spans="7:12" s="125" customFormat="1">
      <c r="G1345" s="135"/>
      <c r="J1345" s="126"/>
      <c r="K1345" s="126"/>
      <c r="L1345" s="126"/>
    </row>
    <row r="1346" spans="7:12" s="125" customFormat="1">
      <c r="G1346" s="135"/>
      <c r="J1346" s="126"/>
      <c r="K1346" s="126"/>
      <c r="L1346" s="126"/>
    </row>
    <row r="1347" spans="7:12" s="125" customFormat="1">
      <c r="G1347" s="135"/>
      <c r="J1347" s="126"/>
      <c r="K1347" s="126"/>
      <c r="L1347" s="126"/>
    </row>
    <row r="1348" spans="7:12" s="125" customFormat="1">
      <c r="G1348" s="135"/>
      <c r="J1348" s="126"/>
      <c r="K1348" s="126"/>
      <c r="L1348" s="126"/>
    </row>
    <row r="1349" spans="7:12" s="125" customFormat="1">
      <c r="G1349" s="135"/>
      <c r="J1349" s="126"/>
      <c r="K1349" s="126"/>
      <c r="L1349" s="126"/>
    </row>
    <row r="1350" spans="7:12" s="125" customFormat="1">
      <c r="G1350" s="135"/>
      <c r="J1350" s="126"/>
      <c r="K1350" s="126"/>
      <c r="L1350" s="126"/>
    </row>
    <row r="1351" spans="7:12" s="125" customFormat="1">
      <c r="G1351" s="135"/>
      <c r="J1351" s="126"/>
      <c r="K1351" s="126"/>
      <c r="L1351" s="126"/>
    </row>
    <row r="1352" spans="7:12" s="125" customFormat="1">
      <c r="G1352" s="135"/>
      <c r="J1352" s="126"/>
      <c r="K1352" s="126"/>
      <c r="L1352" s="126"/>
    </row>
    <row r="1353" spans="7:12" s="125" customFormat="1">
      <c r="G1353" s="135"/>
      <c r="J1353" s="126"/>
      <c r="K1353" s="126"/>
      <c r="L1353" s="126"/>
    </row>
    <row r="1354" spans="7:12" s="125" customFormat="1">
      <c r="G1354" s="135"/>
      <c r="J1354" s="126"/>
      <c r="K1354" s="126"/>
      <c r="L1354" s="126"/>
    </row>
    <row r="1355" spans="7:12" s="125" customFormat="1">
      <c r="G1355" s="135"/>
      <c r="J1355" s="126"/>
      <c r="K1355" s="126"/>
      <c r="L1355" s="126"/>
    </row>
    <row r="1356" spans="7:12" s="125" customFormat="1">
      <c r="G1356" s="135"/>
      <c r="J1356" s="126"/>
      <c r="K1356" s="126"/>
      <c r="L1356" s="126"/>
    </row>
    <row r="1357" spans="7:12" s="125" customFormat="1">
      <c r="G1357" s="135"/>
      <c r="J1357" s="126"/>
      <c r="K1357" s="126"/>
      <c r="L1357" s="126"/>
    </row>
    <row r="1358" spans="7:12" s="125" customFormat="1">
      <c r="G1358" s="135"/>
      <c r="J1358" s="126"/>
      <c r="K1358" s="126"/>
      <c r="L1358" s="126"/>
    </row>
    <row r="1359" spans="7:12" s="125" customFormat="1">
      <c r="G1359" s="135"/>
      <c r="J1359" s="126"/>
      <c r="K1359" s="126"/>
      <c r="L1359" s="126"/>
    </row>
    <row r="1360" spans="7:12" s="125" customFormat="1">
      <c r="G1360" s="135"/>
      <c r="J1360" s="126"/>
      <c r="K1360" s="126"/>
      <c r="L1360" s="126"/>
    </row>
    <row r="1361" spans="7:12" s="125" customFormat="1">
      <c r="G1361" s="135"/>
      <c r="J1361" s="126"/>
      <c r="K1361" s="126"/>
      <c r="L1361" s="126"/>
    </row>
    <row r="1362" spans="7:12" s="125" customFormat="1">
      <c r="G1362" s="135"/>
      <c r="J1362" s="126"/>
      <c r="K1362" s="126"/>
      <c r="L1362" s="126"/>
    </row>
    <row r="1363" spans="7:12" s="125" customFormat="1">
      <c r="G1363" s="135"/>
      <c r="J1363" s="126"/>
      <c r="K1363" s="126"/>
      <c r="L1363" s="126"/>
    </row>
    <row r="1364" spans="7:12" s="125" customFormat="1">
      <c r="G1364" s="135"/>
      <c r="J1364" s="126"/>
      <c r="K1364" s="126"/>
      <c r="L1364" s="126"/>
    </row>
    <row r="1365" spans="7:12" s="125" customFormat="1">
      <c r="G1365" s="135"/>
      <c r="J1365" s="126"/>
      <c r="K1365" s="126"/>
      <c r="L1365" s="126"/>
    </row>
    <row r="1366" spans="7:12" s="125" customFormat="1">
      <c r="G1366" s="135"/>
      <c r="J1366" s="126"/>
      <c r="K1366" s="126"/>
      <c r="L1366" s="126"/>
    </row>
    <row r="1367" spans="7:12" s="125" customFormat="1">
      <c r="G1367" s="135"/>
      <c r="J1367" s="126"/>
      <c r="K1367" s="126"/>
      <c r="L1367" s="126"/>
    </row>
    <row r="1368" spans="7:12" s="125" customFormat="1">
      <c r="G1368" s="135"/>
      <c r="J1368" s="126"/>
      <c r="K1368" s="126"/>
      <c r="L1368" s="126"/>
    </row>
    <row r="1369" spans="7:12" s="125" customFormat="1">
      <c r="G1369" s="135"/>
      <c r="J1369" s="126"/>
      <c r="K1369" s="126"/>
      <c r="L1369" s="126"/>
    </row>
    <row r="1370" spans="7:12" s="125" customFormat="1">
      <c r="G1370" s="135"/>
      <c r="J1370" s="126"/>
      <c r="K1370" s="126"/>
      <c r="L1370" s="126"/>
    </row>
    <row r="1371" spans="7:12" s="125" customFormat="1">
      <c r="G1371" s="135"/>
      <c r="J1371" s="126"/>
      <c r="K1371" s="126"/>
      <c r="L1371" s="126"/>
    </row>
    <row r="1372" spans="7:12" s="125" customFormat="1">
      <c r="G1372" s="135"/>
      <c r="J1372" s="126"/>
      <c r="K1372" s="126"/>
      <c r="L1372" s="126"/>
    </row>
    <row r="1373" spans="7:12" s="125" customFormat="1">
      <c r="G1373" s="135"/>
      <c r="J1373" s="126"/>
      <c r="K1373" s="126"/>
      <c r="L1373" s="126"/>
    </row>
    <row r="1374" spans="7:12" s="125" customFormat="1">
      <c r="G1374" s="135"/>
      <c r="J1374" s="126"/>
      <c r="K1374" s="126"/>
      <c r="L1374" s="126"/>
    </row>
    <row r="1375" spans="7:12" s="125" customFormat="1">
      <c r="G1375" s="135"/>
      <c r="J1375" s="126"/>
      <c r="K1375" s="126"/>
      <c r="L1375" s="126"/>
    </row>
    <row r="1376" spans="7:12" s="125" customFormat="1">
      <c r="G1376" s="135"/>
      <c r="J1376" s="126"/>
      <c r="K1376" s="126"/>
      <c r="L1376" s="126"/>
    </row>
    <row r="1377" spans="7:12" s="125" customFormat="1">
      <c r="G1377" s="135"/>
      <c r="J1377" s="126"/>
      <c r="K1377" s="126"/>
      <c r="L1377" s="126"/>
    </row>
    <row r="1378" spans="7:12" s="125" customFormat="1">
      <c r="G1378" s="135"/>
      <c r="J1378" s="126"/>
      <c r="K1378" s="126"/>
      <c r="L1378" s="126"/>
    </row>
    <row r="1379" spans="7:12" s="125" customFormat="1">
      <c r="G1379" s="135"/>
      <c r="J1379" s="126"/>
      <c r="K1379" s="126"/>
      <c r="L1379" s="126"/>
    </row>
    <row r="1380" spans="7:12" s="125" customFormat="1">
      <c r="G1380" s="135"/>
      <c r="J1380" s="126"/>
      <c r="K1380" s="126"/>
      <c r="L1380" s="126"/>
    </row>
    <row r="1381" spans="7:12" s="125" customFormat="1">
      <c r="G1381" s="135"/>
      <c r="J1381" s="126"/>
      <c r="K1381" s="126"/>
      <c r="L1381" s="126"/>
    </row>
    <row r="1382" spans="7:12" s="125" customFormat="1">
      <c r="G1382" s="135"/>
      <c r="J1382" s="126"/>
      <c r="K1382" s="126"/>
      <c r="L1382" s="126"/>
    </row>
    <row r="1383" spans="7:12" s="125" customFormat="1">
      <c r="G1383" s="135"/>
      <c r="J1383" s="126"/>
      <c r="K1383" s="126"/>
      <c r="L1383" s="126"/>
    </row>
    <row r="1384" spans="7:12" s="125" customFormat="1">
      <c r="G1384" s="135"/>
      <c r="J1384" s="126"/>
      <c r="K1384" s="126"/>
      <c r="L1384" s="126"/>
    </row>
    <row r="1385" spans="7:12" s="125" customFormat="1">
      <c r="G1385" s="135"/>
      <c r="J1385" s="126"/>
      <c r="K1385" s="126"/>
      <c r="L1385" s="126"/>
    </row>
    <row r="1386" spans="7:12" s="125" customFormat="1">
      <c r="G1386" s="135"/>
      <c r="J1386" s="126"/>
      <c r="K1386" s="126"/>
      <c r="L1386" s="126"/>
    </row>
    <row r="1387" spans="7:12" s="125" customFormat="1">
      <c r="G1387" s="135"/>
      <c r="J1387" s="126"/>
      <c r="K1387" s="126"/>
      <c r="L1387" s="126"/>
    </row>
    <row r="1388" spans="7:12" s="125" customFormat="1">
      <c r="G1388" s="135"/>
      <c r="J1388" s="126"/>
      <c r="K1388" s="126"/>
      <c r="L1388" s="126"/>
    </row>
    <row r="1389" spans="7:12" s="125" customFormat="1">
      <c r="G1389" s="135"/>
      <c r="J1389" s="126"/>
      <c r="K1389" s="126"/>
      <c r="L1389" s="126"/>
    </row>
    <row r="1390" spans="7:12" s="125" customFormat="1">
      <c r="G1390" s="135"/>
      <c r="J1390" s="126"/>
      <c r="K1390" s="126"/>
      <c r="L1390" s="126"/>
    </row>
    <row r="1391" spans="7:12" s="125" customFormat="1">
      <c r="G1391" s="135"/>
      <c r="J1391" s="126"/>
      <c r="K1391" s="126"/>
      <c r="L1391" s="126"/>
    </row>
    <row r="1392" spans="7:12" s="125" customFormat="1">
      <c r="G1392" s="135"/>
      <c r="J1392" s="126"/>
      <c r="K1392" s="126"/>
      <c r="L1392" s="126"/>
    </row>
    <row r="1393" spans="7:12" s="125" customFormat="1">
      <c r="G1393" s="135"/>
      <c r="J1393" s="126"/>
      <c r="K1393" s="126"/>
      <c r="L1393" s="126"/>
    </row>
    <row r="1394" spans="7:12" s="125" customFormat="1">
      <c r="G1394" s="135"/>
      <c r="J1394" s="126"/>
      <c r="K1394" s="126"/>
      <c r="L1394" s="126"/>
    </row>
    <row r="1395" spans="7:12" s="125" customFormat="1">
      <c r="G1395" s="135"/>
      <c r="J1395" s="126"/>
      <c r="K1395" s="126"/>
      <c r="L1395" s="126"/>
    </row>
    <row r="1396" spans="7:12" s="125" customFormat="1">
      <c r="G1396" s="135"/>
      <c r="J1396" s="126"/>
      <c r="K1396" s="126"/>
      <c r="L1396" s="126"/>
    </row>
    <row r="1397" spans="7:12" s="125" customFormat="1">
      <c r="G1397" s="135"/>
      <c r="J1397" s="126"/>
      <c r="K1397" s="126"/>
      <c r="L1397" s="126"/>
    </row>
    <row r="1398" spans="7:12" s="125" customFormat="1">
      <c r="G1398" s="135"/>
      <c r="J1398" s="126"/>
      <c r="K1398" s="126"/>
      <c r="L1398" s="126"/>
    </row>
    <row r="1399" spans="7:12" s="125" customFormat="1">
      <c r="G1399" s="135"/>
      <c r="J1399" s="126"/>
      <c r="K1399" s="126"/>
      <c r="L1399" s="126"/>
    </row>
    <row r="1400" spans="7:12" s="125" customFormat="1">
      <c r="G1400" s="135"/>
      <c r="J1400" s="126"/>
      <c r="K1400" s="126"/>
      <c r="L1400" s="126"/>
    </row>
    <row r="1401" spans="7:12" s="125" customFormat="1">
      <c r="G1401" s="135"/>
      <c r="J1401" s="126"/>
      <c r="K1401" s="126"/>
      <c r="L1401" s="126"/>
    </row>
    <row r="1402" spans="7:12" s="125" customFormat="1">
      <c r="G1402" s="135"/>
      <c r="J1402" s="126"/>
      <c r="K1402" s="126"/>
      <c r="L1402" s="126"/>
    </row>
    <row r="1403" spans="7:12" s="125" customFormat="1">
      <c r="G1403" s="135"/>
      <c r="J1403" s="126"/>
      <c r="K1403" s="126"/>
      <c r="L1403" s="126"/>
    </row>
    <row r="1404" spans="7:12" s="125" customFormat="1">
      <c r="G1404" s="135"/>
      <c r="J1404" s="126"/>
      <c r="K1404" s="126"/>
      <c r="L1404" s="126"/>
    </row>
    <row r="1405" spans="7:12" s="125" customFormat="1">
      <c r="G1405" s="135"/>
      <c r="J1405" s="126"/>
      <c r="K1405" s="126"/>
      <c r="L1405" s="126"/>
    </row>
    <row r="1406" spans="7:12" s="125" customFormat="1">
      <c r="G1406" s="135"/>
      <c r="J1406" s="126"/>
      <c r="K1406" s="126"/>
      <c r="L1406" s="126"/>
    </row>
    <row r="1407" spans="7:12" s="125" customFormat="1">
      <c r="G1407" s="135"/>
      <c r="J1407" s="126"/>
      <c r="K1407" s="126"/>
      <c r="L1407" s="126"/>
    </row>
    <row r="1408" spans="7:12" s="125" customFormat="1">
      <c r="G1408" s="135"/>
      <c r="J1408" s="126"/>
      <c r="K1408" s="126"/>
      <c r="L1408" s="126"/>
    </row>
    <row r="1409" spans="7:12" s="125" customFormat="1">
      <c r="G1409" s="135"/>
      <c r="J1409" s="126"/>
      <c r="K1409" s="126"/>
      <c r="L1409" s="126"/>
    </row>
    <row r="1410" spans="7:12" s="125" customFormat="1">
      <c r="G1410" s="135"/>
      <c r="J1410" s="126"/>
      <c r="K1410" s="126"/>
      <c r="L1410" s="126"/>
    </row>
    <row r="1411" spans="7:12" s="125" customFormat="1">
      <c r="G1411" s="135"/>
      <c r="J1411" s="126"/>
      <c r="K1411" s="126"/>
      <c r="L1411" s="126"/>
    </row>
    <row r="1412" spans="7:12" s="125" customFormat="1">
      <c r="G1412" s="135"/>
      <c r="J1412" s="126"/>
      <c r="K1412" s="126"/>
      <c r="L1412" s="126"/>
    </row>
    <row r="1413" spans="7:12" s="125" customFormat="1">
      <c r="G1413" s="135"/>
      <c r="J1413" s="126"/>
      <c r="K1413" s="126"/>
      <c r="L1413" s="126"/>
    </row>
    <row r="1414" spans="7:12" s="125" customFormat="1">
      <c r="G1414" s="135"/>
      <c r="J1414" s="126"/>
      <c r="K1414" s="126"/>
      <c r="L1414" s="126"/>
    </row>
    <row r="1415" spans="7:12" s="125" customFormat="1">
      <c r="G1415" s="135"/>
      <c r="J1415" s="126"/>
      <c r="K1415" s="126"/>
      <c r="L1415" s="126"/>
    </row>
    <row r="1416" spans="7:12" s="125" customFormat="1">
      <c r="G1416" s="135"/>
      <c r="J1416" s="126"/>
      <c r="K1416" s="126"/>
      <c r="L1416" s="126"/>
    </row>
    <row r="1417" spans="7:12" s="125" customFormat="1">
      <c r="G1417" s="135"/>
      <c r="J1417" s="126"/>
      <c r="K1417" s="126"/>
      <c r="L1417" s="126"/>
    </row>
    <row r="1418" spans="7:12" s="125" customFormat="1">
      <c r="G1418" s="135"/>
      <c r="J1418" s="126"/>
      <c r="K1418" s="126"/>
      <c r="L1418" s="126"/>
    </row>
    <row r="1419" spans="7:12" s="125" customFormat="1">
      <c r="G1419" s="135"/>
      <c r="J1419" s="126"/>
      <c r="K1419" s="126"/>
      <c r="L1419" s="126"/>
    </row>
    <row r="1420" spans="7:12" s="125" customFormat="1">
      <c r="G1420" s="135"/>
      <c r="J1420" s="126"/>
      <c r="K1420" s="126"/>
      <c r="L1420" s="126"/>
    </row>
    <row r="1421" spans="7:12" s="125" customFormat="1">
      <c r="G1421" s="135"/>
      <c r="J1421" s="126"/>
      <c r="K1421" s="126"/>
      <c r="L1421" s="126"/>
    </row>
    <row r="1422" spans="7:12" s="125" customFormat="1">
      <c r="G1422" s="135"/>
      <c r="J1422" s="126"/>
      <c r="K1422" s="126"/>
      <c r="L1422" s="126"/>
    </row>
    <row r="1423" spans="7:12" s="125" customFormat="1">
      <c r="G1423" s="135"/>
      <c r="J1423" s="126"/>
      <c r="K1423" s="126"/>
      <c r="L1423" s="126"/>
    </row>
    <row r="1424" spans="7:12" s="125" customFormat="1">
      <c r="G1424" s="135"/>
      <c r="J1424" s="126"/>
      <c r="K1424" s="126"/>
      <c r="L1424" s="126"/>
    </row>
    <row r="1425" spans="7:12" s="125" customFormat="1">
      <c r="G1425" s="135"/>
      <c r="J1425" s="126"/>
      <c r="K1425" s="126"/>
      <c r="L1425" s="126"/>
    </row>
    <row r="1426" spans="7:12" s="125" customFormat="1">
      <c r="G1426" s="135"/>
      <c r="J1426" s="126"/>
      <c r="K1426" s="126"/>
      <c r="L1426" s="126"/>
    </row>
    <row r="1427" spans="7:12" s="125" customFormat="1">
      <c r="G1427" s="135"/>
      <c r="J1427" s="126"/>
      <c r="K1427" s="126"/>
      <c r="L1427" s="126"/>
    </row>
    <row r="1428" spans="7:12" s="125" customFormat="1">
      <c r="G1428" s="135"/>
      <c r="J1428" s="126"/>
      <c r="K1428" s="126"/>
      <c r="L1428" s="126"/>
    </row>
    <row r="1429" spans="7:12" s="125" customFormat="1">
      <c r="G1429" s="135"/>
      <c r="J1429" s="126"/>
      <c r="K1429" s="126"/>
      <c r="L1429" s="126"/>
    </row>
    <row r="1430" spans="7:12" s="125" customFormat="1">
      <c r="G1430" s="135"/>
      <c r="J1430" s="126"/>
      <c r="K1430" s="126"/>
      <c r="L1430" s="126"/>
    </row>
    <row r="1431" spans="7:12" s="125" customFormat="1">
      <c r="G1431" s="135"/>
      <c r="J1431" s="126"/>
      <c r="K1431" s="126"/>
      <c r="L1431" s="126"/>
    </row>
    <row r="1432" spans="7:12" s="125" customFormat="1">
      <c r="G1432" s="135"/>
      <c r="J1432" s="126"/>
      <c r="K1432" s="126"/>
      <c r="L1432" s="126"/>
    </row>
    <row r="1433" spans="7:12" s="125" customFormat="1">
      <c r="G1433" s="135"/>
      <c r="J1433" s="126"/>
      <c r="K1433" s="126"/>
      <c r="L1433" s="126"/>
    </row>
    <row r="1434" spans="7:12" s="125" customFormat="1">
      <c r="G1434" s="135"/>
      <c r="J1434" s="126"/>
      <c r="K1434" s="126"/>
      <c r="L1434" s="126"/>
    </row>
    <row r="1435" spans="7:12" s="125" customFormat="1">
      <c r="G1435" s="135"/>
      <c r="J1435" s="126"/>
      <c r="K1435" s="126"/>
      <c r="L1435" s="126"/>
    </row>
    <row r="1436" spans="7:12" s="125" customFormat="1">
      <c r="G1436" s="135"/>
      <c r="J1436" s="126"/>
      <c r="K1436" s="126"/>
      <c r="L1436" s="126"/>
    </row>
    <row r="1437" spans="7:12" s="125" customFormat="1">
      <c r="G1437" s="135"/>
      <c r="J1437" s="126"/>
      <c r="K1437" s="126"/>
      <c r="L1437" s="126"/>
    </row>
    <row r="1438" spans="7:12" s="125" customFormat="1">
      <c r="G1438" s="135"/>
      <c r="J1438" s="126"/>
      <c r="K1438" s="126"/>
      <c r="L1438" s="126"/>
    </row>
    <row r="1439" spans="7:12" s="125" customFormat="1">
      <c r="G1439" s="135"/>
      <c r="J1439" s="126"/>
      <c r="K1439" s="126"/>
      <c r="L1439" s="126"/>
    </row>
    <row r="1440" spans="7:12" s="125" customFormat="1">
      <c r="G1440" s="135"/>
      <c r="J1440" s="126"/>
      <c r="K1440" s="126"/>
      <c r="L1440" s="126"/>
    </row>
    <row r="1441" spans="7:12" s="125" customFormat="1">
      <c r="G1441" s="135"/>
      <c r="J1441" s="126"/>
      <c r="K1441" s="126"/>
      <c r="L1441" s="126"/>
    </row>
    <row r="1442" spans="7:12" s="125" customFormat="1">
      <c r="G1442" s="135"/>
      <c r="J1442" s="126"/>
      <c r="K1442" s="126"/>
      <c r="L1442" s="126"/>
    </row>
    <row r="1443" spans="7:12" s="125" customFormat="1">
      <c r="G1443" s="135"/>
      <c r="J1443" s="126"/>
      <c r="K1443" s="126"/>
      <c r="L1443" s="126"/>
    </row>
    <row r="1444" spans="7:12" s="125" customFormat="1">
      <c r="G1444" s="135"/>
      <c r="J1444" s="126"/>
      <c r="K1444" s="126"/>
      <c r="L1444" s="126"/>
    </row>
    <row r="1445" spans="7:12" s="125" customFormat="1">
      <c r="G1445" s="135"/>
      <c r="J1445" s="126"/>
      <c r="K1445" s="126"/>
      <c r="L1445" s="126"/>
    </row>
    <row r="1446" spans="7:12" s="125" customFormat="1">
      <c r="G1446" s="135"/>
      <c r="J1446" s="126"/>
      <c r="K1446" s="126"/>
      <c r="L1446" s="126"/>
    </row>
    <row r="1447" spans="7:12" s="125" customFormat="1">
      <c r="G1447" s="135"/>
      <c r="J1447" s="126"/>
      <c r="K1447" s="126"/>
      <c r="L1447" s="126"/>
    </row>
    <row r="1448" spans="7:12" s="125" customFormat="1">
      <c r="G1448" s="135"/>
      <c r="J1448" s="126"/>
      <c r="K1448" s="126"/>
      <c r="L1448" s="126"/>
    </row>
    <row r="1449" spans="7:12" s="125" customFormat="1">
      <c r="G1449" s="135"/>
      <c r="J1449" s="126"/>
      <c r="K1449" s="126"/>
      <c r="L1449" s="126"/>
    </row>
    <row r="1450" spans="7:12" s="125" customFormat="1">
      <c r="G1450" s="135"/>
      <c r="J1450" s="126"/>
      <c r="K1450" s="126"/>
      <c r="L1450" s="126"/>
    </row>
    <row r="1451" spans="7:12" s="125" customFormat="1">
      <c r="G1451" s="135"/>
      <c r="J1451" s="126"/>
      <c r="K1451" s="126"/>
      <c r="L1451" s="126"/>
    </row>
    <row r="1452" spans="7:12" s="125" customFormat="1">
      <c r="G1452" s="135"/>
      <c r="J1452" s="126"/>
      <c r="K1452" s="126"/>
      <c r="L1452" s="126"/>
    </row>
    <row r="1453" spans="7:12" s="125" customFormat="1">
      <c r="G1453" s="135"/>
      <c r="J1453" s="126"/>
      <c r="K1453" s="126"/>
      <c r="L1453" s="126"/>
    </row>
    <row r="1454" spans="7:12" s="125" customFormat="1">
      <c r="G1454" s="135"/>
      <c r="J1454" s="126"/>
      <c r="K1454" s="126"/>
      <c r="L1454" s="126"/>
    </row>
    <row r="1455" spans="7:12" s="125" customFormat="1">
      <c r="G1455" s="135"/>
      <c r="J1455" s="126"/>
      <c r="K1455" s="126"/>
      <c r="L1455" s="126"/>
    </row>
    <row r="1456" spans="7:12" s="125" customFormat="1">
      <c r="G1456" s="135"/>
      <c r="J1456" s="126"/>
      <c r="K1456" s="126"/>
      <c r="L1456" s="126"/>
    </row>
    <row r="1457" spans="7:12" s="125" customFormat="1">
      <c r="G1457" s="135"/>
      <c r="J1457" s="126"/>
      <c r="K1457" s="126"/>
      <c r="L1457" s="126"/>
    </row>
    <row r="1458" spans="7:12" s="125" customFormat="1">
      <c r="G1458" s="135"/>
      <c r="J1458" s="126"/>
      <c r="K1458" s="126"/>
      <c r="L1458" s="126"/>
    </row>
    <row r="1459" spans="7:12" s="125" customFormat="1">
      <c r="G1459" s="135"/>
      <c r="J1459" s="126"/>
      <c r="K1459" s="126"/>
      <c r="L1459" s="126"/>
    </row>
    <row r="1460" spans="7:12" s="125" customFormat="1">
      <c r="G1460" s="135"/>
      <c r="J1460" s="126"/>
      <c r="K1460" s="126"/>
      <c r="L1460" s="126"/>
    </row>
    <row r="1461" spans="7:12" s="125" customFormat="1">
      <c r="G1461" s="135"/>
      <c r="J1461" s="126"/>
      <c r="K1461" s="126"/>
      <c r="L1461" s="126"/>
    </row>
    <row r="1462" spans="7:12" s="125" customFormat="1">
      <c r="G1462" s="135"/>
      <c r="J1462" s="126"/>
      <c r="K1462" s="126"/>
      <c r="L1462" s="126"/>
    </row>
    <row r="1463" spans="7:12" s="125" customFormat="1">
      <c r="G1463" s="135"/>
      <c r="J1463" s="126"/>
      <c r="K1463" s="126"/>
      <c r="L1463" s="126"/>
    </row>
    <row r="1464" spans="7:12" s="125" customFormat="1">
      <c r="G1464" s="135"/>
      <c r="J1464" s="126"/>
      <c r="K1464" s="126"/>
      <c r="L1464" s="126"/>
    </row>
    <row r="1465" spans="7:12" s="125" customFormat="1">
      <c r="G1465" s="135"/>
      <c r="J1465" s="126"/>
      <c r="K1465" s="126"/>
      <c r="L1465" s="126"/>
    </row>
    <row r="1466" spans="7:12" s="125" customFormat="1">
      <c r="G1466" s="135"/>
      <c r="J1466" s="126"/>
      <c r="K1466" s="126"/>
      <c r="L1466" s="126"/>
    </row>
    <row r="1467" spans="7:12" s="125" customFormat="1">
      <c r="G1467" s="135"/>
      <c r="J1467" s="126"/>
      <c r="K1467" s="126"/>
      <c r="L1467" s="126"/>
    </row>
    <row r="1468" spans="7:12" s="125" customFormat="1">
      <c r="G1468" s="135"/>
      <c r="J1468" s="126"/>
      <c r="K1468" s="126"/>
      <c r="L1468" s="126"/>
    </row>
    <row r="1469" spans="7:12" s="125" customFormat="1">
      <c r="G1469" s="135"/>
      <c r="J1469" s="126"/>
      <c r="K1469" s="126"/>
      <c r="L1469" s="126"/>
    </row>
    <row r="1470" spans="7:12" s="125" customFormat="1">
      <c r="G1470" s="135"/>
      <c r="J1470" s="126"/>
      <c r="K1470" s="126"/>
      <c r="L1470" s="126"/>
    </row>
    <row r="1471" spans="7:12" s="125" customFormat="1">
      <c r="G1471" s="135"/>
      <c r="J1471" s="126"/>
      <c r="K1471" s="126"/>
      <c r="L1471" s="126"/>
    </row>
    <row r="1472" spans="7:12" s="125" customFormat="1">
      <c r="G1472" s="135"/>
      <c r="J1472" s="126"/>
      <c r="K1472" s="126"/>
      <c r="L1472" s="126"/>
    </row>
    <row r="1473" spans="7:12" s="125" customFormat="1">
      <c r="G1473" s="135"/>
      <c r="J1473" s="126"/>
      <c r="K1473" s="126"/>
      <c r="L1473" s="126"/>
    </row>
    <row r="1474" spans="7:12" s="125" customFormat="1">
      <c r="G1474" s="135"/>
      <c r="J1474" s="126"/>
      <c r="K1474" s="126"/>
      <c r="L1474" s="126"/>
    </row>
    <row r="1475" spans="7:12" s="125" customFormat="1">
      <c r="G1475" s="135"/>
      <c r="J1475" s="126"/>
      <c r="K1475" s="126"/>
      <c r="L1475" s="126"/>
    </row>
    <row r="1476" spans="7:12" s="125" customFormat="1">
      <c r="G1476" s="135"/>
      <c r="J1476" s="126"/>
      <c r="K1476" s="126"/>
      <c r="L1476" s="126"/>
    </row>
    <row r="1477" spans="7:12" s="125" customFormat="1">
      <c r="G1477" s="135"/>
      <c r="J1477" s="126"/>
      <c r="K1477" s="126"/>
      <c r="L1477" s="126"/>
    </row>
    <row r="1478" spans="7:12" s="125" customFormat="1">
      <c r="G1478" s="135"/>
      <c r="J1478" s="126"/>
      <c r="K1478" s="126"/>
      <c r="L1478" s="126"/>
    </row>
    <row r="1479" spans="7:12" s="125" customFormat="1">
      <c r="G1479" s="135"/>
      <c r="J1479" s="126"/>
      <c r="K1479" s="126"/>
      <c r="L1479" s="126"/>
    </row>
    <row r="1480" spans="7:12" s="125" customFormat="1">
      <c r="G1480" s="135"/>
      <c r="J1480" s="126"/>
      <c r="K1480" s="126"/>
      <c r="L1480" s="126"/>
    </row>
    <row r="1481" spans="7:12" s="125" customFormat="1">
      <c r="G1481" s="135"/>
      <c r="J1481" s="126"/>
      <c r="K1481" s="126"/>
      <c r="L1481" s="126"/>
    </row>
    <row r="1482" spans="7:12" s="125" customFormat="1">
      <c r="G1482" s="135"/>
      <c r="J1482" s="126"/>
      <c r="K1482" s="126"/>
      <c r="L1482" s="126"/>
    </row>
    <row r="1483" spans="7:12" s="125" customFormat="1">
      <c r="G1483" s="135"/>
      <c r="J1483" s="126"/>
      <c r="K1483" s="126"/>
      <c r="L1483" s="126"/>
    </row>
    <row r="1484" spans="7:12" s="125" customFormat="1">
      <c r="G1484" s="135"/>
      <c r="J1484" s="126"/>
      <c r="K1484" s="126"/>
      <c r="L1484" s="126"/>
    </row>
    <row r="1485" spans="7:12" s="125" customFormat="1">
      <c r="G1485" s="135"/>
      <c r="J1485" s="126"/>
      <c r="K1485" s="126"/>
      <c r="L1485" s="126"/>
    </row>
    <row r="1486" spans="7:12" s="125" customFormat="1">
      <c r="G1486" s="135"/>
      <c r="J1486" s="126"/>
      <c r="K1486" s="126"/>
      <c r="L1486" s="126"/>
    </row>
    <row r="1487" spans="7:12" s="125" customFormat="1">
      <c r="G1487" s="135"/>
      <c r="J1487" s="126"/>
      <c r="K1487" s="126"/>
      <c r="L1487" s="126"/>
    </row>
    <row r="1488" spans="7:12" s="125" customFormat="1">
      <c r="G1488" s="135"/>
      <c r="J1488" s="126"/>
      <c r="K1488" s="126"/>
      <c r="L1488" s="126"/>
    </row>
    <row r="1489" spans="7:12" s="125" customFormat="1">
      <c r="G1489" s="135"/>
      <c r="J1489" s="126"/>
      <c r="K1489" s="126"/>
      <c r="L1489" s="126"/>
    </row>
    <row r="1490" spans="7:12" s="125" customFormat="1">
      <c r="G1490" s="135"/>
      <c r="J1490" s="126"/>
      <c r="K1490" s="126"/>
      <c r="L1490" s="126"/>
    </row>
    <row r="1491" spans="7:12" s="125" customFormat="1">
      <c r="G1491" s="135"/>
      <c r="J1491" s="126"/>
      <c r="K1491" s="126"/>
      <c r="L1491" s="126"/>
    </row>
    <row r="1492" spans="7:12" s="125" customFormat="1">
      <c r="G1492" s="135"/>
      <c r="J1492" s="126"/>
      <c r="K1492" s="126"/>
      <c r="L1492" s="126"/>
    </row>
    <row r="1493" spans="7:12" s="125" customFormat="1">
      <c r="G1493" s="135"/>
      <c r="J1493" s="126"/>
      <c r="K1493" s="126"/>
      <c r="L1493" s="126"/>
    </row>
    <row r="1494" spans="7:12" s="125" customFormat="1">
      <c r="G1494" s="135"/>
      <c r="J1494" s="126"/>
      <c r="K1494" s="126"/>
      <c r="L1494" s="126"/>
    </row>
    <row r="1495" spans="7:12" s="125" customFormat="1">
      <c r="G1495" s="135"/>
      <c r="J1495" s="126"/>
      <c r="K1495" s="126"/>
      <c r="L1495" s="126"/>
    </row>
    <row r="1496" spans="7:12" s="125" customFormat="1">
      <c r="G1496" s="135"/>
      <c r="J1496" s="126"/>
      <c r="K1496" s="126"/>
      <c r="L1496" s="126"/>
    </row>
    <row r="1497" spans="7:12" s="125" customFormat="1">
      <c r="G1497" s="135"/>
      <c r="J1497" s="126"/>
      <c r="K1497" s="126"/>
      <c r="L1497" s="126"/>
    </row>
    <row r="1498" spans="7:12" s="125" customFormat="1">
      <c r="G1498" s="135"/>
      <c r="J1498" s="126"/>
      <c r="K1498" s="126"/>
      <c r="L1498" s="126"/>
    </row>
    <row r="1499" spans="7:12" s="125" customFormat="1">
      <c r="G1499" s="135"/>
      <c r="J1499" s="126"/>
      <c r="K1499" s="126"/>
      <c r="L1499" s="126"/>
    </row>
    <row r="1500" spans="7:12" s="125" customFormat="1">
      <c r="G1500" s="135"/>
      <c r="J1500" s="126"/>
      <c r="K1500" s="126"/>
      <c r="L1500" s="126"/>
    </row>
    <row r="1501" spans="7:12" s="125" customFormat="1">
      <c r="G1501" s="135"/>
      <c r="J1501" s="126"/>
      <c r="K1501" s="126"/>
      <c r="L1501" s="126"/>
    </row>
    <row r="1502" spans="7:12" s="125" customFormat="1">
      <c r="G1502" s="135"/>
      <c r="J1502" s="126"/>
      <c r="K1502" s="126"/>
      <c r="L1502" s="126"/>
    </row>
    <row r="1503" spans="7:12" s="125" customFormat="1">
      <c r="G1503" s="135"/>
      <c r="J1503" s="126"/>
      <c r="K1503" s="126"/>
      <c r="L1503" s="126"/>
    </row>
    <row r="1504" spans="7:12" s="125" customFormat="1">
      <c r="G1504" s="135"/>
      <c r="J1504" s="126"/>
      <c r="K1504" s="126"/>
      <c r="L1504" s="126"/>
    </row>
    <row r="1505" spans="7:12" s="125" customFormat="1">
      <c r="G1505" s="135"/>
      <c r="J1505" s="126"/>
      <c r="K1505" s="126"/>
      <c r="L1505" s="126"/>
    </row>
    <row r="1506" spans="7:12" s="125" customFormat="1">
      <c r="G1506" s="135"/>
      <c r="J1506" s="126"/>
      <c r="K1506" s="126"/>
      <c r="L1506" s="126"/>
    </row>
    <row r="1507" spans="7:12" s="125" customFormat="1">
      <c r="G1507" s="135"/>
      <c r="J1507" s="126"/>
      <c r="K1507" s="126"/>
      <c r="L1507" s="126"/>
    </row>
    <row r="1508" spans="7:12" s="125" customFormat="1">
      <c r="G1508" s="135"/>
      <c r="J1508" s="126"/>
      <c r="K1508" s="126"/>
      <c r="L1508" s="126"/>
    </row>
    <row r="1509" spans="7:12" s="125" customFormat="1">
      <c r="G1509" s="135"/>
      <c r="J1509" s="126"/>
      <c r="K1509" s="126"/>
      <c r="L1509" s="126"/>
    </row>
    <row r="1510" spans="7:12" s="125" customFormat="1">
      <c r="G1510" s="135"/>
      <c r="J1510" s="126"/>
      <c r="K1510" s="126"/>
      <c r="L1510" s="126"/>
    </row>
    <row r="1511" spans="7:12" s="125" customFormat="1">
      <c r="G1511" s="135"/>
      <c r="J1511" s="126"/>
      <c r="K1511" s="126"/>
      <c r="L1511" s="126"/>
    </row>
    <row r="1512" spans="7:12" s="125" customFormat="1">
      <c r="G1512" s="135"/>
      <c r="J1512" s="126"/>
      <c r="K1512" s="126"/>
      <c r="L1512" s="126"/>
    </row>
    <row r="1513" spans="7:12" s="125" customFormat="1">
      <c r="G1513" s="135"/>
      <c r="J1513" s="126"/>
      <c r="K1513" s="126"/>
      <c r="L1513" s="126"/>
    </row>
    <row r="1514" spans="7:12" s="125" customFormat="1">
      <c r="G1514" s="135"/>
      <c r="J1514" s="126"/>
      <c r="K1514" s="126"/>
      <c r="L1514" s="126"/>
    </row>
    <row r="1515" spans="7:12" s="125" customFormat="1">
      <c r="G1515" s="135"/>
      <c r="J1515" s="126"/>
      <c r="K1515" s="126"/>
      <c r="L1515" s="126"/>
    </row>
    <row r="1516" spans="7:12" s="125" customFormat="1">
      <c r="G1516" s="135"/>
      <c r="J1516" s="126"/>
      <c r="K1516" s="126"/>
      <c r="L1516" s="126"/>
    </row>
    <row r="1517" spans="7:12" s="125" customFormat="1">
      <c r="G1517" s="135"/>
      <c r="J1517" s="126"/>
      <c r="K1517" s="126"/>
      <c r="L1517" s="126"/>
    </row>
    <row r="1518" spans="7:12" s="125" customFormat="1">
      <c r="G1518" s="135"/>
      <c r="J1518" s="126"/>
      <c r="K1518" s="126"/>
      <c r="L1518" s="126"/>
    </row>
    <row r="1519" spans="7:12" s="125" customFormat="1">
      <c r="G1519" s="135"/>
      <c r="J1519" s="126"/>
      <c r="K1519" s="126"/>
      <c r="L1519" s="126"/>
    </row>
    <row r="1520" spans="7:12" s="125" customFormat="1">
      <c r="G1520" s="135"/>
      <c r="J1520" s="126"/>
      <c r="K1520" s="126"/>
      <c r="L1520" s="126"/>
    </row>
    <row r="1521" spans="7:12" s="125" customFormat="1">
      <c r="G1521" s="135"/>
      <c r="J1521" s="126"/>
      <c r="K1521" s="126"/>
      <c r="L1521" s="126"/>
    </row>
    <row r="1522" spans="7:12" s="125" customFormat="1">
      <c r="G1522" s="135"/>
      <c r="J1522" s="126"/>
      <c r="K1522" s="126"/>
      <c r="L1522" s="126"/>
    </row>
    <row r="1523" spans="7:12" s="125" customFormat="1">
      <c r="G1523" s="135"/>
      <c r="J1523" s="126"/>
      <c r="K1523" s="126"/>
      <c r="L1523" s="126"/>
    </row>
    <row r="1524" spans="7:12" s="125" customFormat="1">
      <c r="G1524" s="135"/>
      <c r="J1524" s="126"/>
      <c r="K1524" s="126"/>
      <c r="L1524" s="126"/>
    </row>
    <row r="1525" spans="7:12" s="125" customFormat="1">
      <c r="G1525" s="135"/>
      <c r="J1525" s="126"/>
      <c r="K1525" s="126"/>
      <c r="L1525" s="126"/>
    </row>
    <row r="1526" spans="7:12" s="125" customFormat="1">
      <c r="G1526" s="135"/>
      <c r="J1526" s="126"/>
      <c r="K1526" s="126"/>
      <c r="L1526" s="126"/>
    </row>
    <row r="1527" spans="7:12" s="125" customFormat="1">
      <c r="G1527" s="135"/>
      <c r="J1527" s="126"/>
      <c r="K1527" s="126"/>
      <c r="L1527" s="126"/>
    </row>
    <row r="1528" spans="7:12" s="125" customFormat="1">
      <c r="G1528" s="135"/>
      <c r="J1528" s="126"/>
      <c r="K1528" s="126"/>
      <c r="L1528" s="126"/>
    </row>
    <row r="1529" spans="7:12" s="125" customFormat="1">
      <c r="G1529" s="135"/>
      <c r="J1529" s="126"/>
      <c r="K1529" s="126"/>
      <c r="L1529" s="126"/>
    </row>
    <row r="1530" spans="7:12" s="125" customFormat="1">
      <c r="G1530" s="135"/>
      <c r="J1530" s="126"/>
      <c r="K1530" s="126"/>
      <c r="L1530" s="126"/>
    </row>
    <row r="1531" spans="7:12" s="125" customFormat="1">
      <c r="G1531" s="135"/>
      <c r="J1531" s="126"/>
      <c r="K1531" s="126"/>
      <c r="L1531" s="126"/>
    </row>
    <row r="1532" spans="7:12" s="125" customFormat="1">
      <c r="G1532" s="135"/>
      <c r="J1532" s="126"/>
      <c r="K1532" s="126"/>
      <c r="L1532" s="126"/>
    </row>
    <row r="1533" spans="7:12" s="125" customFormat="1">
      <c r="G1533" s="135"/>
      <c r="J1533" s="126"/>
      <c r="K1533" s="126"/>
      <c r="L1533" s="126"/>
    </row>
    <row r="1534" spans="7:12" s="125" customFormat="1">
      <c r="G1534" s="135"/>
      <c r="J1534" s="126"/>
      <c r="K1534" s="126"/>
      <c r="L1534" s="126"/>
    </row>
    <row r="1535" spans="7:12" s="125" customFormat="1">
      <c r="G1535" s="135"/>
      <c r="J1535" s="126"/>
      <c r="K1535" s="126"/>
      <c r="L1535" s="126"/>
    </row>
    <row r="1536" spans="7:12" s="125" customFormat="1">
      <c r="G1536" s="135"/>
      <c r="J1536" s="126"/>
      <c r="K1536" s="126"/>
      <c r="L1536" s="126"/>
    </row>
    <row r="1537" spans="7:12" s="125" customFormat="1">
      <c r="G1537" s="135"/>
      <c r="J1537" s="126"/>
      <c r="K1537" s="126"/>
      <c r="L1537" s="126"/>
    </row>
    <row r="1538" spans="7:12" s="125" customFormat="1">
      <c r="G1538" s="135"/>
      <c r="J1538" s="126"/>
      <c r="K1538" s="126"/>
      <c r="L1538" s="126"/>
    </row>
    <row r="1539" spans="7:12" s="125" customFormat="1">
      <c r="G1539" s="135"/>
      <c r="J1539" s="126"/>
      <c r="K1539" s="126"/>
      <c r="L1539" s="126"/>
    </row>
    <row r="1540" spans="7:12" s="125" customFormat="1">
      <c r="G1540" s="135"/>
      <c r="J1540" s="126"/>
      <c r="K1540" s="126"/>
      <c r="L1540" s="126"/>
    </row>
    <row r="1541" spans="7:12" s="125" customFormat="1">
      <c r="G1541" s="135"/>
      <c r="J1541" s="126"/>
      <c r="K1541" s="126"/>
      <c r="L1541" s="126"/>
    </row>
    <row r="1542" spans="7:12" s="125" customFormat="1">
      <c r="G1542" s="135"/>
      <c r="J1542" s="126"/>
      <c r="K1542" s="126"/>
      <c r="L1542" s="126"/>
    </row>
    <row r="1543" spans="7:12" s="125" customFormat="1">
      <c r="G1543" s="135"/>
      <c r="J1543" s="126"/>
      <c r="K1543" s="126"/>
      <c r="L1543" s="126"/>
    </row>
    <row r="1544" spans="7:12" s="125" customFormat="1">
      <c r="G1544" s="135"/>
      <c r="J1544" s="126"/>
      <c r="K1544" s="126"/>
      <c r="L1544" s="126"/>
    </row>
    <row r="1545" spans="7:12" s="125" customFormat="1">
      <c r="G1545" s="135"/>
      <c r="J1545" s="126"/>
      <c r="K1545" s="126"/>
      <c r="L1545" s="126"/>
    </row>
    <row r="1546" spans="7:12" s="125" customFormat="1">
      <c r="G1546" s="135"/>
      <c r="J1546" s="126"/>
      <c r="K1546" s="126"/>
      <c r="L1546" s="126"/>
    </row>
    <row r="1547" spans="7:12" s="125" customFormat="1">
      <c r="G1547" s="135"/>
      <c r="J1547" s="126"/>
      <c r="K1547" s="126"/>
      <c r="L1547" s="126"/>
    </row>
    <row r="1548" spans="7:12" s="125" customFormat="1">
      <c r="G1548" s="135"/>
      <c r="J1548" s="126"/>
      <c r="K1548" s="126"/>
      <c r="L1548" s="126"/>
    </row>
    <row r="1549" spans="7:12" s="125" customFormat="1">
      <c r="G1549" s="135"/>
      <c r="J1549" s="126"/>
      <c r="K1549" s="126"/>
      <c r="L1549" s="126"/>
    </row>
    <row r="1550" spans="7:12" s="125" customFormat="1">
      <c r="G1550" s="135"/>
      <c r="J1550" s="126"/>
      <c r="K1550" s="126"/>
      <c r="L1550" s="126"/>
    </row>
    <row r="1551" spans="7:12" s="125" customFormat="1">
      <c r="G1551" s="135"/>
      <c r="J1551" s="126"/>
      <c r="K1551" s="126"/>
      <c r="L1551" s="126"/>
    </row>
    <row r="1552" spans="7:12" s="125" customFormat="1">
      <c r="G1552" s="135"/>
      <c r="J1552" s="126"/>
      <c r="K1552" s="126"/>
      <c r="L1552" s="126"/>
    </row>
    <row r="1553" spans="7:12" s="125" customFormat="1">
      <c r="G1553" s="135"/>
      <c r="J1553" s="126"/>
      <c r="K1553" s="126"/>
      <c r="L1553" s="126"/>
    </row>
    <row r="1554" spans="7:12" s="125" customFormat="1">
      <c r="G1554" s="135"/>
      <c r="J1554" s="126"/>
      <c r="K1554" s="126"/>
      <c r="L1554" s="126"/>
    </row>
    <row r="1555" spans="7:12" s="125" customFormat="1">
      <c r="G1555" s="135"/>
      <c r="J1555" s="126"/>
      <c r="K1555" s="126"/>
      <c r="L1555" s="126"/>
    </row>
    <row r="1556" spans="7:12" s="125" customFormat="1">
      <c r="G1556" s="135"/>
      <c r="J1556" s="126"/>
      <c r="K1556" s="126"/>
      <c r="L1556" s="126"/>
    </row>
    <row r="1557" spans="7:12" s="125" customFormat="1">
      <c r="G1557" s="135"/>
      <c r="J1557" s="126"/>
      <c r="K1557" s="126"/>
      <c r="L1557" s="126"/>
    </row>
    <row r="1558" spans="7:12" s="125" customFormat="1">
      <c r="G1558" s="135"/>
      <c r="J1558" s="126"/>
      <c r="K1558" s="126"/>
      <c r="L1558" s="126"/>
    </row>
    <row r="1559" spans="7:12" s="125" customFormat="1">
      <c r="G1559" s="135"/>
      <c r="J1559" s="126"/>
      <c r="K1559" s="126"/>
      <c r="L1559" s="126"/>
    </row>
    <row r="1560" spans="7:12" s="125" customFormat="1">
      <c r="G1560" s="135"/>
      <c r="J1560" s="126"/>
      <c r="K1560" s="126"/>
      <c r="L1560" s="126"/>
    </row>
    <row r="1561" spans="7:12" s="125" customFormat="1">
      <c r="G1561" s="135"/>
      <c r="J1561" s="126"/>
      <c r="K1561" s="126"/>
      <c r="L1561" s="126"/>
    </row>
    <row r="1562" spans="7:12" s="125" customFormat="1">
      <c r="G1562" s="135"/>
      <c r="J1562" s="126"/>
      <c r="K1562" s="126"/>
      <c r="L1562" s="126"/>
    </row>
    <row r="1563" spans="7:12" s="125" customFormat="1">
      <c r="G1563" s="135"/>
      <c r="J1563" s="126"/>
      <c r="K1563" s="126"/>
      <c r="L1563" s="126"/>
    </row>
    <row r="1564" spans="7:12" s="125" customFormat="1">
      <c r="G1564" s="135"/>
      <c r="J1564" s="126"/>
      <c r="K1564" s="126"/>
      <c r="L1564" s="126"/>
    </row>
    <row r="1565" spans="7:12" s="125" customFormat="1">
      <c r="G1565" s="135"/>
      <c r="J1565" s="126"/>
      <c r="K1565" s="126"/>
      <c r="L1565" s="126"/>
    </row>
    <row r="1566" spans="7:12" s="125" customFormat="1">
      <c r="G1566" s="135"/>
      <c r="J1566" s="126"/>
      <c r="K1566" s="126"/>
      <c r="L1566" s="126"/>
    </row>
    <row r="1567" spans="7:12" s="125" customFormat="1">
      <c r="G1567" s="135"/>
      <c r="J1567" s="126"/>
      <c r="K1567" s="126"/>
      <c r="L1567" s="126"/>
    </row>
    <row r="1568" spans="7:12" s="125" customFormat="1">
      <c r="G1568" s="135"/>
      <c r="J1568" s="126"/>
      <c r="K1568" s="126"/>
      <c r="L1568" s="126"/>
    </row>
    <row r="1569" spans="7:12" s="125" customFormat="1">
      <c r="G1569" s="135"/>
      <c r="J1569" s="126"/>
      <c r="K1569" s="126"/>
      <c r="L1569" s="126"/>
    </row>
    <row r="1570" spans="7:12" s="125" customFormat="1">
      <c r="G1570" s="135"/>
      <c r="J1570" s="126"/>
      <c r="K1570" s="126"/>
      <c r="L1570" s="126"/>
    </row>
    <row r="1571" spans="7:12" s="125" customFormat="1">
      <c r="G1571" s="135"/>
      <c r="J1571" s="126"/>
      <c r="K1571" s="126"/>
      <c r="L1571" s="126"/>
    </row>
    <row r="1572" spans="7:12" s="125" customFormat="1">
      <c r="G1572" s="135"/>
      <c r="J1572" s="126"/>
      <c r="K1572" s="126"/>
      <c r="L1572" s="126"/>
    </row>
    <row r="1573" spans="7:12" s="125" customFormat="1">
      <c r="G1573" s="135"/>
      <c r="J1573" s="126"/>
      <c r="K1573" s="126"/>
      <c r="L1573" s="126"/>
    </row>
    <row r="1574" spans="7:12" s="125" customFormat="1">
      <c r="G1574" s="135"/>
      <c r="J1574" s="126"/>
      <c r="K1574" s="126"/>
      <c r="L1574" s="126"/>
    </row>
    <row r="1575" spans="7:12" s="125" customFormat="1">
      <c r="G1575" s="135"/>
      <c r="J1575" s="126"/>
      <c r="K1575" s="126"/>
      <c r="L1575" s="126"/>
    </row>
    <row r="1576" spans="7:12" s="125" customFormat="1">
      <c r="G1576" s="135"/>
      <c r="J1576" s="126"/>
      <c r="K1576" s="126"/>
      <c r="L1576" s="126"/>
    </row>
    <row r="1577" spans="7:12" s="125" customFormat="1">
      <c r="G1577" s="135"/>
      <c r="J1577" s="126"/>
      <c r="K1577" s="126"/>
      <c r="L1577" s="126"/>
    </row>
    <row r="1578" spans="7:12" s="125" customFormat="1">
      <c r="G1578" s="135"/>
      <c r="J1578" s="126"/>
      <c r="K1578" s="126"/>
      <c r="L1578" s="126"/>
    </row>
    <row r="1579" spans="7:12" s="125" customFormat="1">
      <c r="G1579" s="135"/>
      <c r="J1579" s="126"/>
      <c r="K1579" s="126"/>
      <c r="L1579" s="126"/>
    </row>
    <row r="1580" spans="7:12" s="125" customFormat="1">
      <c r="G1580" s="135"/>
      <c r="J1580" s="126"/>
      <c r="K1580" s="126"/>
      <c r="L1580" s="126"/>
    </row>
    <row r="1581" spans="7:12" s="125" customFormat="1">
      <c r="G1581" s="135"/>
      <c r="J1581" s="126"/>
      <c r="K1581" s="126"/>
      <c r="L1581" s="126"/>
    </row>
    <row r="1582" spans="7:12" s="125" customFormat="1">
      <c r="G1582" s="135"/>
      <c r="J1582" s="126"/>
      <c r="K1582" s="126"/>
      <c r="L1582" s="126"/>
    </row>
    <row r="1583" spans="7:12" s="125" customFormat="1">
      <c r="G1583" s="135"/>
      <c r="J1583" s="126"/>
      <c r="K1583" s="126"/>
      <c r="L1583" s="126"/>
    </row>
    <row r="1584" spans="7:12" s="125" customFormat="1">
      <c r="G1584" s="135"/>
      <c r="J1584" s="126"/>
      <c r="K1584" s="126"/>
      <c r="L1584" s="126"/>
    </row>
    <row r="1585" spans="7:12" s="125" customFormat="1">
      <c r="G1585" s="135"/>
      <c r="J1585" s="126"/>
      <c r="K1585" s="126"/>
      <c r="L1585" s="126"/>
    </row>
    <row r="1586" spans="7:12" s="125" customFormat="1">
      <c r="G1586" s="135"/>
      <c r="J1586" s="126"/>
      <c r="K1586" s="126"/>
      <c r="L1586" s="126"/>
    </row>
    <row r="1587" spans="7:12" s="125" customFormat="1">
      <c r="G1587" s="135"/>
      <c r="J1587" s="126"/>
      <c r="K1587" s="126"/>
      <c r="L1587" s="126"/>
    </row>
    <row r="1588" spans="7:12" s="125" customFormat="1">
      <c r="G1588" s="135"/>
      <c r="J1588" s="126"/>
      <c r="K1588" s="126"/>
      <c r="L1588" s="126"/>
    </row>
    <row r="1589" spans="7:12" s="125" customFormat="1">
      <c r="G1589" s="135"/>
      <c r="J1589" s="126"/>
      <c r="K1589" s="126"/>
      <c r="L1589" s="126"/>
    </row>
    <row r="1590" spans="7:12" s="125" customFormat="1">
      <c r="G1590" s="135"/>
      <c r="J1590" s="126"/>
      <c r="K1590" s="126"/>
      <c r="L1590" s="126"/>
    </row>
    <row r="1591" spans="7:12" s="125" customFormat="1">
      <c r="G1591" s="135"/>
      <c r="J1591" s="126"/>
      <c r="K1591" s="126"/>
      <c r="L1591" s="126"/>
    </row>
    <row r="1592" spans="7:12" s="125" customFormat="1">
      <c r="G1592" s="135"/>
      <c r="J1592" s="126"/>
      <c r="K1592" s="126"/>
      <c r="L1592" s="126"/>
    </row>
    <row r="1593" spans="7:12" s="125" customFormat="1">
      <c r="G1593" s="135"/>
      <c r="J1593" s="126"/>
      <c r="K1593" s="126"/>
      <c r="L1593" s="126"/>
    </row>
    <row r="1594" spans="7:12" s="125" customFormat="1">
      <c r="G1594" s="135"/>
      <c r="J1594" s="126"/>
      <c r="K1594" s="126"/>
      <c r="L1594" s="126"/>
    </row>
    <row r="1595" spans="7:12" s="125" customFormat="1">
      <c r="G1595" s="135"/>
      <c r="J1595" s="126"/>
      <c r="K1595" s="126"/>
      <c r="L1595" s="126"/>
    </row>
    <row r="1596" spans="7:12" s="125" customFormat="1">
      <c r="G1596" s="135"/>
      <c r="J1596" s="126"/>
      <c r="K1596" s="126"/>
      <c r="L1596" s="126"/>
    </row>
    <row r="1597" spans="7:12" s="125" customFormat="1">
      <c r="G1597" s="135"/>
      <c r="J1597" s="126"/>
      <c r="K1597" s="126"/>
      <c r="L1597" s="126"/>
    </row>
    <row r="1598" spans="7:12" s="125" customFormat="1">
      <c r="G1598" s="135"/>
      <c r="J1598" s="126"/>
      <c r="K1598" s="126"/>
      <c r="L1598" s="126"/>
    </row>
    <row r="1599" spans="7:12" s="125" customFormat="1">
      <c r="G1599" s="135"/>
      <c r="J1599" s="126"/>
      <c r="K1599" s="126"/>
      <c r="L1599" s="126"/>
    </row>
    <row r="1600" spans="7:12" s="125" customFormat="1">
      <c r="G1600" s="135"/>
      <c r="J1600" s="126"/>
      <c r="K1600" s="126"/>
      <c r="L1600" s="126"/>
    </row>
    <row r="1601" spans="7:12" s="125" customFormat="1">
      <c r="G1601" s="135"/>
      <c r="J1601" s="126"/>
      <c r="K1601" s="126"/>
      <c r="L1601" s="126"/>
    </row>
    <row r="1602" spans="7:12" s="125" customFormat="1">
      <c r="G1602" s="135"/>
      <c r="J1602" s="126"/>
      <c r="K1602" s="126"/>
      <c r="L1602" s="126"/>
    </row>
    <row r="1603" spans="7:12" s="125" customFormat="1">
      <c r="G1603" s="135"/>
      <c r="J1603" s="126"/>
      <c r="K1603" s="126"/>
      <c r="L1603" s="126"/>
    </row>
    <row r="1604" spans="7:12" s="125" customFormat="1">
      <c r="G1604" s="135"/>
      <c r="J1604" s="126"/>
      <c r="K1604" s="126"/>
      <c r="L1604" s="126"/>
    </row>
    <row r="1605" spans="7:12" s="125" customFormat="1">
      <c r="G1605" s="135"/>
      <c r="J1605" s="126"/>
      <c r="K1605" s="126"/>
      <c r="L1605" s="126"/>
    </row>
    <row r="1606" spans="7:12" s="125" customFormat="1">
      <c r="G1606" s="135"/>
      <c r="J1606" s="126"/>
      <c r="K1606" s="126"/>
      <c r="L1606" s="126"/>
    </row>
    <row r="1607" spans="7:12" s="125" customFormat="1">
      <c r="G1607" s="135"/>
      <c r="J1607" s="126"/>
      <c r="K1607" s="126"/>
      <c r="L1607" s="126"/>
    </row>
    <row r="1608" spans="7:12" s="125" customFormat="1">
      <c r="G1608" s="135"/>
      <c r="J1608" s="126"/>
      <c r="K1608" s="126"/>
      <c r="L1608" s="126"/>
    </row>
    <row r="1609" spans="7:12" s="125" customFormat="1">
      <c r="G1609" s="135"/>
      <c r="J1609" s="126"/>
      <c r="K1609" s="126"/>
      <c r="L1609" s="126"/>
    </row>
    <row r="1610" spans="7:12" s="125" customFormat="1">
      <c r="G1610" s="135"/>
      <c r="J1610" s="126"/>
      <c r="K1610" s="126"/>
      <c r="L1610" s="126"/>
    </row>
    <row r="1611" spans="7:12" s="125" customFormat="1">
      <c r="G1611" s="135"/>
      <c r="J1611" s="126"/>
      <c r="K1611" s="126"/>
      <c r="L1611" s="126"/>
    </row>
    <row r="1612" spans="7:12" s="125" customFormat="1">
      <c r="G1612" s="135"/>
      <c r="J1612" s="126"/>
      <c r="K1612" s="126"/>
      <c r="L1612" s="126"/>
    </row>
    <row r="1613" spans="7:12" s="125" customFormat="1">
      <c r="G1613" s="135"/>
      <c r="J1613" s="126"/>
      <c r="K1613" s="126"/>
      <c r="L1613" s="126"/>
    </row>
    <row r="1614" spans="7:12" s="125" customFormat="1">
      <c r="G1614" s="135"/>
      <c r="J1614" s="126"/>
      <c r="K1614" s="126"/>
      <c r="L1614" s="126"/>
    </row>
    <row r="1615" spans="7:12" s="125" customFormat="1">
      <c r="G1615" s="135"/>
      <c r="J1615" s="126"/>
      <c r="K1615" s="126"/>
      <c r="L1615" s="126"/>
    </row>
    <row r="1616" spans="7:12" s="125" customFormat="1">
      <c r="G1616" s="135"/>
      <c r="J1616" s="126"/>
      <c r="K1616" s="126"/>
      <c r="L1616" s="126"/>
    </row>
    <row r="1617" spans="7:12" s="125" customFormat="1">
      <c r="G1617" s="135"/>
      <c r="J1617" s="126"/>
      <c r="K1617" s="126"/>
      <c r="L1617" s="126"/>
    </row>
    <row r="1618" spans="7:12" s="125" customFormat="1">
      <c r="G1618" s="135"/>
      <c r="J1618" s="126"/>
      <c r="K1618" s="126"/>
      <c r="L1618" s="126"/>
    </row>
    <row r="1619" spans="7:12" s="125" customFormat="1">
      <c r="G1619" s="135"/>
      <c r="J1619" s="126"/>
      <c r="K1619" s="126"/>
      <c r="L1619" s="126"/>
    </row>
    <row r="1620" spans="7:12" s="125" customFormat="1">
      <c r="G1620" s="135"/>
      <c r="J1620" s="126"/>
      <c r="K1620" s="126"/>
      <c r="L1620" s="126"/>
    </row>
    <row r="1621" spans="7:12" s="125" customFormat="1">
      <c r="G1621" s="135"/>
      <c r="J1621" s="126"/>
      <c r="K1621" s="126"/>
      <c r="L1621" s="126"/>
    </row>
    <row r="1622" spans="7:12" s="125" customFormat="1">
      <c r="G1622" s="135"/>
      <c r="J1622" s="126"/>
      <c r="K1622" s="126"/>
      <c r="L1622" s="126"/>
    </row>
    <row r="1623" spans="7:12" s="125" customFormat="1">
      <c r="G1623" s="135"/>
      <c r="J1623" s="126"/>
      <c r="K1623" s="126"/>
      <c r="L1623" s="126"/>
    </row>
    <row r="1624" spans="7:12" s="125" customFormat="1">
      <c r="G1624" s="135"/>
      <c r="J1624" s="126"/>
      <c r="K1624" s="126"/>
      <c r="L1624" s="126"/>
    </row>
    <row r="1625" spans="7:12" s="125" customFormat="1">
      <c r="G1625" s="135"/>
      <c r="J1625" s="126"/>
      <c r="K1625" s="126"/>
      <c r="L1625" s="126"/>
    </row>
    <row r="1626" spans="7:12" s="125" customFormat="1">
      <c r="G1626" s="135"/>
      <c r="J1626" s="126"/>
      <c r="K1626" s="126"/>
      <c r="L1626" s="126"/>
    </row>
    <row r="1627" spans="7:12" s="125" customFormat="1">
      <c r="G1627" s="135"/>
      <c r="J1627" s="126"/>
      <c r="K1627" s="126"/>
      <c r="L1627" s="126"/>
    </row>
    <row r="1628" spans="7:12" s="125" customFormat="1">
      <c r="G1628" s="135"/>
      <c r="J1628" s="126"/>
      <c r="K1628" s="126"/>
      <c r="L1628" s="126"/>
    </row>
    <row r="1629" spans="7:12" s="125" customFormat="1">
      <c r="G1629" s="135"/>
      <c r="J1629" s="126"/>
      <c r="K1629" s="126"/>
      <c r="L1629" s="126"/>
    </row>
    <row r="1630" spans="7:12" s="125" customFormat="1">
      <c r="G1630" s="135"/>
      <c r="J1630" s="126"/>
      <c r="K1630" s="126"/>
      <c r="L1630" s="126"/>
    </row>
    <row r="1631" spans="7:12" s="125" customFormat="1">
      <c r="G1631" s="135"/>
      <c r="J1631" s="126"/>
      <c r="K1631" s="126"/>
      <c r="L1631" s="126"/>
    </row>
    <row r="1632" spans="7:12" s="125" customFormat="1">
      <c r="G1632" s="135"/>
      <c r="J1632" s="126"/>
      <c r="K1632" s="126"/>
      <c r="L1632" s="126"/>
    </row>
    <row r="1633" spans="7:12" s="125" customFormat="1">
      <c r="G1633" s="135"/>
      <c r="J1633" s="126"/>
      <c r="K1633" s="126"/>
      <c r="L1633" s="126"/>
    </row>
    <row r="1634" spans="7:12" s="125" customFormat="1">
      <c r="G1634" s="135"/>
      <c r="J1634" s="126"/>
      <c r="K1634" s="126"/>
      <c r="L1634" s="126"/>
    </row>
    <row r="1635" spans="7:12" s="125" customFormat="1">
      <c r="G1635" s="135"/>
      <c r="J1635" s="126"/>
      <c r="K1635" s="126"/>
      <c r="L1635" s="126"/>
    </row>
    <row r="1636" spans="7:12" s="125" customFormat="1">
      <c r="G1636" s="135"/>
      <c r="J1636" s="126"/>
      <c r="K1636" s="126"/>
      <c r="L1636" s="126"/>
    </row>
    <row r="1637" spans="7:12" s="125" customFormat="1">
      <c r="G1637" s="135"/>
      <c r="J1637" s="126"/>
      <c r="K1637" s="126"/>
      <c r="L1637" s="126"/>
    </row>
    <row r="1638" spans="7:12" s="125" customFormat="1">
      <c r="G1638" s="135"/>
      <c r="J1638" s="126"/>
      <c r="K1638" s="126"/>
      <c r="L1638" s="126"/>
    </row>
    <row r="1639" spans="7:12" s="125" customFormat="1">
      <c r="G1639" s="135"/>
      <c r="J1639" s="126"/>
      <c r="K1639" s="126"/>
      <c r="L1639" s="126"/>
    </row>
    <row r="1640" spans="7:12" s="125" customFormat="1">
      <c r="G1640" s="135"/>
      <c r="J1640" s="126"/>
      <c r="K1640" s="126"/>
      <c r="L1640" s="126"/>
    </row>
    <row r="1641" spans="7:12" s="125" customFormat="1">
      <c r="G1641" s="135"/>
      <c r="J1641" s="126"/>
      <c r="K1641" s="126"/>
      <c r="L1641" s="126"/>
    </row>
    <row r="1642" spans="7:12" s="125" customFormat="1">
      <c r="G1642" s="135"/>
      <c r="J1642" s="126"/>
      <c r="K1642" s="126"/>
      <c r="L1642" s="126"/>
    </row>
    <row r="1643" spans="7:12" s="125" customFormat="1">
      <c r="G1643" s="135"/>
      <c r="J1643" s="126"/>
      <c r="K1643" s="126"/>
      <c r="L1643" s="126"/>
    </row>
    <row r="1644" spans="7:12" s="125" customFormat="1">
      <c r="G1644" s="135"/>
      <c r="J1644" s="126"/>
      <c r="K1644" s="126"/>
      <c r="L1644" s="126"/>
    </row>
    <row r="1645" spans="7:12" s="125" customFormat="1">
      <c r="G1645" s="135"/>
      <c r="J1645" s="126"/>
      <c r="K1645" s="126"/>
      <c r="L1645" s="126"/>
    </row>
    <row r="1646" spans="7:12" s="125" customFormat="1">
      <c r="G1646" s="135"/>
      <c r="J1646" s="126"/>
      <c r="K1646" s="126"/>
      <c r="L1646" s="126"/>
    </row>
    <row r="1647" spans="7:12" s="125" customFormat="1">
      <c r="G1647" s="135"/>
      <c r="J1647" s="126"/>
      <c r="K1647" s="126"/>
      <c r="L1647" s="126"/>
    </row>
    <row r="1648" spans="7:12" s="125" customFormat="1">
      <c r="G1648" s="135"/>
      <c r="J1648" s="126"/>
      <c r="K1648" s="126"/>
      <c r="L1648" s="126"/>
    </row>
    <row r="1649" spans="7:12" s="125" customFormat="1">
      <c r="G1649" s="135"/>
      <c r="J1649" s="126"/>
      <c r="K1649" s="126"/>
      <c r="L1649" s="126"/>
    </row>
    <row r="1650" spans="7:12" s="125" customFormat="1">
      <c r="G1650" s="135"/>
      <c r="J1650" s="126"/>
      <c r="K1650" s="126"/>
      <c r="L1650" s="126"/>
    </row>
    <row r="1651" spans="7:12" s="125" customFormat="1">
      <c r="G1651" s="135"/>
      <c r="J1651" s="126"/>
      <c r="K1651" s="126"/>
      <c r="L1651" s="126"/>
    </row>
    <row r="1652" spans="7:12" s="125" customFormat="1">
      <c r="G1652" s="135"/>
      <c r="J1652" s="126"/>
      <c r="K1652" s="126"/>
      <c r="L1652" s="126"/>
    </row>
    <row r="1653" spans="7:12" s="125" customFormat="1">
      <c r="G1653" s="135"/>
      <c r="J1653" s="126"/>
      <c r="K1653" s="126"/>
      <c r="L1653" s="126"/>
    </row>
    <row r="1654" spans="7:12" s="125" customFormat="1">
      <c r="G1654" s="135"/>
      <c r="J1654" s="126"/>
      <c r="K1654" s="126"/>
      <c r="L1654" s="126"/>
    </row>
    <row r="1655" spans="7:12" s="125" customFormat="1">
      <c r="G1655" s="135"/>
      <c r="J1655" s="126"/>
      <c r="K1655" s="126"/>
      <c r="L1655" s="126"/>
    </row>
    <row r="1656" spans="7:12" s="125" customFormat="1">
      <c r="G1656" s="135"/>
      <c r="J1656" s="126"/>
      <c r="K1656" s="126"/>
      <c r="L1656" s="126"/>
    </row>
    <row r="1657" spans="7:12" s="125" customFormat="1">
      <c r="G1657" s="135"/>
      <c r="J1657" s="126"/>
      <c r="K1657" s="126"/>
      <c r="L1657" s="126"/>
    </row>
    <row r="1658" spans="7:12" s="125" customFormat="1">
      <c r="G1658" s="135"/>
      <c r="J1658" s="126"/>
      <c r="K1658" s="126"/>
      <c r="L1658" s="126"/>
    </row>
    <row r="1659" spans="7:12" s="125" customFormat="1">
      <c r="G1659" s="135"/>
      <c r="J1659" s="126"/>
      <c r="K1659" s="126"/>
      <c r="L1659" s="126"/>
    </row>
    <row r="1660" spans="7:12" s="125" customFormat="1">
      <c r="G1660" s="135"/>
      <c r="J1660" s="126"/>
      <c r="K1660" s="126"/>
      <c r="L1660" s="126"/>
    </row>
    <row r="1661" spans="7:12" s="125" customFormat="1">
      <c r="G1661" s="135"/>
      <c r="J1661" s="126"/>
      <c r="K1661" s="126"/>
      <c r="L1661" s="126"/>
    </row>
    <row r="1662" spans="7:12" s="125" customFormat="1">
      <c r="G1662" s="135"/>
      <c r="J1662" s="126"/>
      <c r="K1662" s="126"/>
      <c r="L1662" s="126"/>
    </row>
    <row r="1663" spans="7:12" s="125" customFormat="1">
      <c r="G1663" s="135"/>
      <c r="J1663" s="126"/>
      <c r="K1663" s="126"/>
      <c r="L1663" s="126"/>
    </row>
    <row r="1664" spans="7:12" s="125" customFormat="1">
      <c r="G1664" s="135"/>
      <c r="J1664" s="126"/>
      <c r="K1664" s="126"/>
      <c r="L1664" s="126"/>
    </row>
    <row r="1665" spans="7:12" s="125" customFormat="1">
      <c r="G1665" s="135"/>
      <c r="J1665" s="126"/>
      <c r="K1665" s="126"/>
      <c r="L1665" s="126"/>
    </row>
    <row r="1666" spans="7:12" s="125" customFormat="1">
      <c r="G1666" s="135"/>
      <c r="J1666" s="126"/>
      <c r="K1666" s="126"/>
      <c r="L1666" s="126"/>
    </row>
    <row r="1667" spans="7:12" s="125" customFormat="1">
      <c r="G1667" s="135"/>
      <c r="J1667" s="126"/>
      <c r="K1667" s="126"/>
      <c r="L1667" s="126"/>
    </row>
    <row r="1668" spans="7:12" s="125" customFormat="1">
      <c r="G1668" s="135"/>
      <c r="J1668" s="126"/>
      <c r="K1668" s="126"/>
      <c r="L1668" s="126"/>
    </row>
    <row r="1669" spans="7:12" s="125" customFormat="1">
      <c r="G1669" s="135"/>
      <c r="J1669" s="126"/>
      <c r="K1669" s="126"/>
      <c r="L1669" s="126"/>
    </row>
    <row r="1670" spans="7:12" s="125" customFormat="1">
      <c r="G1670" s="135"/>
      <c r="J1670" s="126"/>
      <c r="K1670" s="126"/>
      <c r="L1670" s="126"/>
    </row>
    <row r="1671" spans="7:12" s="125" customFormat="1">
      <c r="G1671" s="135"/>
      <c r="J1671" s="126"/>
      <c r="K1671" s="126"/>
      <c r="L1671" s="126"/>
    </row>
    <row r="1672" spans="7:12" s="125" customFormat="1">
      <c r="G1672" s="135"/>
      <c r="J1672" s="126"/>
      <c r="K1672" s="126"/>
      <c r="L1672" s="126"/>
    </row>
    <row r="1673" spans="7:12" s="125" customFormat="1">
      <c r="G1673" s="135"/>
      <c r="J1673" s="126"/>
      <c r="K1673" s="126"/>
      <c r="L1673" s="126"/>
    </row>
    <row r="1674" spans="7:12" s="125" customFormat="1">
      <c r="G1674" s="135"/>
      <c r="J1674" s="126"/>
      <c r="K1674" s="126"/>
      <c r="L1674" s="126"/>
    </row>
    <row r="1675" spans="7:12" s="125" customFormat="1">
      <c r="G1675" s="135"/>
      <c r="J1675" s="126"/>
      <c r="K1675" s="126"/>
      <c r="L1675" s="126"/>
    </row>
    <row r="1676" spans="7:12" s="125" customFormat="1">
      <c r="G1676" s="135"/>
      <c r="J1676" s="126"/>
      <c r="K1676" s="126"/>
      <c r="L1676" s="126"/>
    </row>
    <row r="1677" spans="7:12" s="125" customFormat="1">
      <c r="G1677" s="135"/>
      <c r="J1677" s="126"/>
      <c r="K1677" s="126"/>
      <c r="L1677" s="126"/>
    </row>
    <row r="1678" spans="7:12" s="125" customFormat="1">
      <c r="G1678" s="135"/>
      <c r="J1678" s="126"/>
      <c r="K1678" s="126"/>
      <c r="L1678" s="126"/>
    </row>
    <row r="1679" spans="7:12" s="125" customFormat="1">
      <c r="G1679" s="135"/>
      <c r="J1679" s="126"/>
      <c r="K1679" s="126"/>
      <c r="L1679" s="126"/>
    </row>
    <row r="1680" spans="7:12" s="125" customFormat="1">
      <c r="G1680" s="135"/>
      <c r="J1680" s="126"/>
      <c r="K1680" s="126"/>
      <c r="L1680" s="126"/>
    </row>
    <row r="1681" spans="7:12" s="125" customFormat="1">
      <c r="G1681" s="135"/>
      <c r="J1681" s="126"/>
      <c r="K1681" s="126"/>
      <c r="L1681" s="126"/>
    </row>
    <row r="1682" spans="7:12" s="125" customFormat="1">
      <c r="G1682" s="135"/>
      <c r="J1682" s="126"/>
      <c r="K1682" s="126"/>
      <c r="L1682" s="126"/>
    </row>
    <row r="1683" spans="7:12" s="125" customFormat="1">
      <c r="G1683" s="135"/>
      <c r="J1683" s="126"/>
      <c r="K1683" s="126"/>
      <c r="L1683" s="126"/>
    </row>
    <row r="1684" spans="7:12" s="125" customFormat="1">
      <c r="G1684" s="135"/>
      <c r="J1684" s="126"/>
      <c r="K1684" s="126"/>
      <c r="L1684" s="126"/>
    </row>
    <row r="1685" spans="7:12" s="125" customFormat="1">
      <c r="G1685" s="135"/>
      <c r="J1685" s="126"/>
      <c r="K1685" s="126"/>
      <c r="L1685" s="126"/>
    </row>
    <row r="1686" spans="7:12" s="125" customFormat="1">
      <c r="G1686" s="135"/>
      <c r="J1686" s="126"/>
      <c r="K1686" s="126"/>
      <c r="L1686" s="126"/>
    </row>
    <row r="1687" spans="7:12" s="125" customFormat="1">
      <c r="G1687" s="135"/>
      <c r="J1687" s="126"/>
      <c r="K1687" s="126"/>
      <c r="L1687" s="126"/>
    </row>
    <row r="1688" spans="7:12" s="125" customFormat="1">
      <c r="G1688" s="135"/>
      <c r="J1688" s="126"/>
      <c r="K1688" s="126"/>
      <c r="L1688" s="126"/>
    </row>
    <row r="1689" spans="7:12" s="125" customFormat="1">
      <c r="G1689" s="135"/>
      <c r="J1689" s="126"/>
      <c r="K1689" s="126"/>
      <c r="L1689" s="126"/>
    </row>
    <row r="1690" spans="7:12" s="125" customFormat="1">
      <c r="G1690" s="135"/>
      <c r="J1690" s="126"/>
      <c r="K1690" s="126"/>
      <c r="L1690" s="126"/>
    </row>
    <row r="1691" spans="7:12" s="125" customFormat="1">
      <c r="G1691" s="135"/>
      <c r="J1691" s="126"/>
      <c r="K1691" s="126"/>
      <c r="L1691" s="126"/>
    </row>
    <row r="1692" spans="7:12" s="125" customFormat="1">
      <c r="G1692" s="135"/>
      <c r="J1692" s="126"/>
      <c r="K1692" s="126"/>
      <c r="L1692" s="126"/>
    </row>
    <row r="1693" spans="7:12" s="125" customFormat="1">
      <c r="G1693" s="135"/>
      <c r="J1693" s="126"/>
      <c r="K1693" s="126"/>
      <c r="L1693" s="126"/>
    </row>
    <row r="1694" spans="7:12" s="125" customFormat="1">
      <c r="G1694" s="135"/>
      <c r="J1694" s="126"/>
      <c r="K1694" s="126"/>
      <c r="L1694" s="126"/>
    </row>
    <row r="1695" spans="7:12" s="125" customFormat="1">
      <c r="G1695" s="135"/>
      <c r="J1695" s="126"/>
      <c r="K1695" s="126"/>
      <c r="L1695" s="126"/>
    </row>
    <row r="1696" spans="7:12" s="125" customFormat="1">
      <c r="G1696" s="135"/>
      <c r="J1696" s="126"/>
      <c r="K1696" s="126"/>
      <c r="L1696" s="126"/>
    </row>
    <row r="1697" spans="7:12" s="125" customFormat="1">
      <c r="G1697" s="135"/>
      <c r="J1697" s="126"/>
      <c r="K1697" s="126"/>
      <c r="L1697" s="126"/>
    </row>
    <row r="1698" spans="7:12" s="125" customFormat="1">
      <c r="G1698" s="135"/>
      <c r="J1698" s="126"/>
      <c r="K1698" s="126"/>
      <c r="L1698" s="126"/>
    </row>
    <row r="1699" spans="7:12" s="125" customFormat="1">
      <c r="G1699" s="135"/>
      <c r="J1699" s="126"/>
      <c r="K1699" s="126"/>
      <c r="L1699" s="126"/>
    </row>
    <row r="1700" spans="7:12" s="125" customFormat="1">
      <c r="G1700" s="135"/>
      <c r="J1700" s="126"/>
      <c r="K1700" s="126"/>
      <c r="L1700" s="126"/>
    </row>
    <row r="1701" spans="7:12" s="125" customFormat="1">
      <c r="G1701" s="135"/>
      <c r="J1701" s="126"/>
      <c r="K1701" s="126"/>
      <c r="L1701" s="126"/>
    </row>
    <row r="1702" spans="7:12" s="125" customFormat="1">
      <c r="G1702" s="135"/>
      <c r="J1702" s="126"/>
      <c r="K1702" s="126"/>
      <c r="L1702" s="126"/>
    </row>
    <row r="1703" spans="7:12" s="125" customFormat="1">
      <c r="G1703" s="135"/>
      <c r="J1703" s="126"/>
      <c r="K1703" s="126"/>
      <c r="L1703" s="126"/>
    </row>
    <row r="1704" spans="7:12" s="125" customFormat="1">
      <c r="G1704" s="135"/>
      <c r="J1704" s="126"/>
      <c r="K1704" s="126"/>
      <c r="L1704" s="126"/>
    </row>
    <row r="1705" spans="7:12" s="125" customFormat="1">
      <c r="G1705" s="135"/>
      <c r="J1705" s="126"/>
      <c r="K1705" s="126"/>
      <c r="L1705" s="126"/>
    </row>
    <row r="1706" spans="7:12" s="125" customFormat="1">
      <c r="G1706" s="135"/>
      <c r="J1706" s="126"/>
      <c r="K1706" s="126"/>
      <c r="L1706" s="126"/>
    </row>
    <row r="1707" spans="7:12" s="125" customFormat="1">
      <c r="G1707" s="135"/>
      <c r="J1707" s="126"/>
      <c r="K1707" s="126"/>
      <c r="L1707" s="126"/>
    </row>
    <row r="1708" spans="7:12" s="125" customFormat="1">
      <c r="G1708" s="135"/>
      <c r="J1708" s="126"/>
      <c r="K1708" s="126"/>
      <c r="L1708" s="126"/>
    </row>
    <row r="1709" spans="7:12" s="125" customFormat="1">
      <c r="G1709" s="135"/>
      <c r="J1709" s="126"/>
      <c r="K1709" s="126"/>
      <c r="L1709" s="126"/>
    </row>
    <row r="1710" spans="7:12" s="125" customFormat="1">
      <c r="G1710" s="135"/>
      <c r="J1710" s="126"/>
      <c r="K1710" s="126"/>
      <c r="L1710" s="126"/>
    </row>
    <row r="1711" spans="7:12" s="125" customFormat="1">
      <c r="G1711" s="135"/>
      <c r="J1711" s="126"/>
      <c r="K1711" s="126"/>
      <c r="L1711" s="126"/>
    </row>
    <row r="1712" spans="7:12" s="125" customFormat="1">
      <c r="G1712" s="135"/>
      <c r="J1712" s="126"/>
      <c r="K1712" s="126"/>
      <c r="L1712" s="126"/>
    </row>
    <row r="1713" spans="7:12" s="125" customFormat="1">
      <c r="G1713" s="135"/>
      <c r="J1713" s="126"/>
      <c r="K1713" s="126"/>
      <c r="L1713" s="126"/>
    </row>
    <row r="1714" spans="7:12" s="125" customFormat="1">
      <c r="G1714" s="135"/>
      <c r="J1714" s="126"/>
      <c r="K1714" s="126"/>
      <c r="L1714" s="126"/>
    </row>
    <row r="1715" spans="7:12" s="125" customFormat="1">
      <c r="G1715" s="135"/>
      <c r="J1715" s="126"/>
      <c r="K1715" s="126"/>
      <c r="L1715" s="126"/>
    </row>
    <row r="1716" spans="7:12" s="125" customFormat="1">
      <c r="G1716" s="135"/>
      <c r="J1716" s="126"/>
      <c r="K1716" s="126"/>
      <c r="L1716" s="126"/>
    </row>
    <row r="1717" spans="7:12" s="125" customFormat="1">
      <c r="G1717" s="135"/>
      <c r="J1717" s="126"/>
      <c r="K1717" s="126"/>
      <c r="L1717" s="126"/>
    </row>
    <row r="1718" spans="7:12" s="125" customFormat="1">
      <c r="G1718" s="135"/>
      <c r="J1718" s="126"/>
      <c r="K1718" s="126"/>
      <c r="L1718" s="126"/>
    </row>
    <row r="1719" spans="7:12" s="125" customFormat="1">
      <c r="G1719" s="135"/>
      <c r="J1719" s="126"/>
      <c r="K1719" s="126"/>
      <c r="L1719" s="126"/>
    </row>
    <row r="1720" spans="7:12" s="125" customFormat="1">
      <c r="G1720" s="135"/>
      <c r="J1720" s="126"/>
      <c r="K1720" s="126"/>
      <c r="L1720" s="126"/>
    </row>
    <row r="1721" spans="7:12" s="125" customFormat="1">
      <c r="G1721" s="135"/>
      <c r="J1721" s="126"/>
      <c r="K1721" s="126"/>
      <c r="L1721" s="126"/>
    </row>
    <row r="1722" spans="7:12" s="125" customFormat="1">
      <c r="G1722" s="135"/>
      <c r="J1722" s="126"/>
      <c r="K1722" s="126"/>
      <c r="L1722" s="126"/>
    </row>
    <row r="1723" spans="7:12" s="125" customFormat="1">
      <c r="G1723" s="135"/>
      <c r="J1723" s="126"/>
      <c r="K1723" s="126"/>
      <c r="L1723" s="126"/>
    </row>
    <row r="1724" spans="7:12" s="125" customFormat="1">
      <c r="G1724" s="135"/>
      <c r="J1724" s="126"/>
      <c r="K1724" s="126"/>
      <c r="L1724" s="126"/>
    </row>
    <row r="1725" spans="7:12" s="125" customFormat="1">
      <c r="G1725" s="135"/>
      <c r="J1725" s="126"/>
      <c r="K1725" s="126"/>
      <c r="L1725" s="126"/>
    </row>
    <row r="1726" spans="7:12" s="125" customFormat="1">
      <c r="G1726" s="135"/>
      <c r="J1726" s="126"/>
      <c r="K1726" s="126"/>
      <c r="L1726" s="126"/>
    </row>
    <row r="1727" spans="7:12" s="125" customFormat="1">
      <c r="G1727" s="135"/>
      <c r="J1727" s="126"/>
      <c r="K1727" s="126"/>
      <c r="L1727" s="126"/>
    </row>
    <row r="1728" spans="7:12" s="125" customFormat="1">
      <c r="G1728" s="135"/>
      <c r="J1728" s="126"/>
      <c r="K1728" s="126"/>
      <c r="L1728" s="126"/>
    </row>
    <row r="1729" spans="7:12" s="125" customFormat="1">
      <c r="G1729" s="135"/>
      <c r="J1729" s="126"/>
      <c r="K1729" s="126"/>
      <c r="L1729" s="126"/>
    </row>
    <row r="1730" spans="7:12" s="125" customFormat="1">
      <c r="G1730" s="135"/>
      <c r="J1730" s="126"/>
      <c r="K1730" s="126"/>
      <c r="L1730" s="126"/>
    </row>
    <row r="1731" spans="7:12" s="125" customFormat="1">
      <c r="G1731" s="135"/>
      <c r="J1731" s="126"/>
      <c r="K1731" s="126"/>
      <c r="L1731" s="126"/>
    </row>
    <row r="1732" spans="7:12" s="125" customFormat="1">
      <c r="G1732" s="135"/>
      <c r="J1732" s="126"/>
      <c r="K1732" s="126"/>
      <c r="L1732" s="126"/>
    </row>
    <row r="1733" spans="7:12" s="125" customFormat="1">
      <c r="G1733" s="135"/>
      <c r="J1733" s="126"/>
      <c r="K1733" s="126"/>
      <c r="L1733" s="126"/>
    </row>
    <row r="1734" spans="7:12" s="125" customFormat="1">
      <c r="G1734" s="135"/>
      <c r="J1734" s="126"/>
      <c r="K1734" s="126"/>
      <c r="L1734" s="126"/>
    </row>
    <row r="1735" spans="7:12" s="125" customFormat="1">
      <c r="G1735" s="135"/>
      <c r="J1735" s="126"/>
      <c r="K1735" s="126"/>
      <c r="L1735" s="126"/>
    </row>
    <row r="1736" spans="7:12" s="125" customFormat="1">
      <c r="G1736" s="135"/>
      <c r="J1736" s="126"/>
      <c r="K1736" s="126"/>
      <c r="L1736" s="126"/>
    </row>
    <row r="1737" spans="7:12" s="125" customFormat="1">
      <c r="G1737" s="135"/>
      <c r="J1737" s="126"/>
      <c r="K1737" s="126"/>
      <c r="L1737" s="126"/>
    </row>
    <row r="1738" spans="7:12" s="125" customFormat="1">
      <c r="G1738" s="135"/>
      <c r="J1738" s="126"/>
      <c r="K1738" s="126"/>
      <c r="L1738" s="126"/>
    </row>
    <row r="1739" spans="7:12" s="125" customFormat="1">
      <c r="G1739" s="135"/>
      <c r="J1739" s="126"/>
      <c r="K1739" s="126"/>
      <c r="L1739" s="126"/>
    </row>
    <row r="1740" spans="7:12" s="125" customFormat="1">
      <c r="G1740" s="135"/>
      <c r="J1740" s="126"/>
      <c r="K1740" s="126"/>
      <c r="L1740" s="126"/>
    </row>
    <row r="1741" spans="7:12" s="125" customFormat="1">
      <c r="G1741" s="135"/>
      <c r="J1741" s="126"/>
      <c r="K1741" s="126"/>
      <c r="L1741" s="126"/>
    </row>
    <row r="1742" spans="7:12" s="125" customFormat="1">
      <c r="G1742" s="135"/>
      <c r="J1742" s="126"/>
      <c r="K1742" s="126"/>
      <c r="L1742" s="126"/>
    </row>
    <row r="1743" spans="7:12" s="125" customFormat="1">
      <c r="G1743" s="135"/>
      <c r="J1743" s="126"/>
      <c r="K1743" s="126"/>
      <c r="L1743" s="126"/>
    </row>
    <row r="1744" spans="7:12" s="125" customFormat="1">
      <c r="G1744" s="135"/>
      <c r="J1744" s="126"/>
      <c r="K1744" s="126"/>
      <c r="L1744" s="126"/>
    </row>
    <row r="1745" spans="7:12" s="125" customFormat="1">
      <c r="G1745" s="135"/>
      <c r="J1745" s="126"/>
      <c r="K1745" s="126"/>
      <c r="L1745" s="126"/>
    </row>
    <row r="1746" spans="7:12" s="125" customFormat="1">
      <c r="G1746" s="135"/>
      <c r="J1746" s="126"/>
      <c r="K1746" s="126"/>
      <c r="L1746" s="126"/>
    </row>
    <row r="1747" spans="7:12" s="125" customFormat="1">
      <c r="G1747" s="135"/>
      <c r="J1747" s="126"/>
      <c r="K1747" s="126"/>
      <c r="L1747" s="126"/>
    </row>
    <row r="1748" spans="7:12" s="125" customFormat="1">
      <c r="G1748" s="135"/>
      <c r="J1748" s="126"/>
      <c r="K1748" s="126"/>
      <c r="L1748" s="126"/>
    </row>
    <row r="1749" spans="7:12" s="125" customFormat="1">
      <c r="G1749" s="135"/>
      <c r="J1749" s="126"/>
      <c r="K1749" s="126"/>
      <c r="L1749" s="126"/>
    </row>
    <row r="1750" spans="7:12" s="125" customFormat="1">
      <c r="G1750" s="135"/>
      <c r="J1750" s="126"/>
      <c r="K1750" s="126"/>
      <c r="L1750" s="126"/>
    </row>
    <row r="1751" spans="7:12" s="125" customFormat="1">
      <c r="G1751" s="135"/>
      <c r="J1751" s="126"/>
      <c r="K1751" s="126"/>
      <c r="L1751" s="126"/>
    </row>
    <row r="1752" spans="7:12" s="125" customFormat="1">
      <c r="G1752" s="135"/>
      <c r="J1752" s="126"/>
      <c r="K1752" s="126"/>
      <c r="L1752" s="126"/>
    </row>
    <row r="1753" spans="7:12" s="125" customFormat="1">
      <c r="G1753" s="135"/>
      <c r="J1753" s="126"/>
      <c r="K1753" s="126"/>
      <c r="L1753" s="126"/>
    </row>
    <row r="1754" spans="7:12" s="125" customFormat="1">
      <c r="G1754" s="135"/>
      <c r="J1754" s="126"/>
      <c r="K1754" s="126"/>
      <c r="L1754" s="126"/>
    </row>
    <row r="1755" spans="7:12" s="125" customFormat="1">
      <c r="G1755" s="135"/>
      <c r="J1755" s="126"/>
      <c r="K1755" s="126"/>
      <c r="L1755" s="126"/>
    </row>
    <row r="1756" spans="7:12" s="125" customFormat="1">
      <c r="G1756" s="135"/>
      <c r="J1756" s="126"/>
      <c r="K1756" s="126"/>
      <c r="L1756" s="126"/>
    </row>
    <row r="1757" spans="7:12" s="125" customFormat="1">
      <c r="G1757" s="135"/>
      <c r="J1757" s="126"/>
      <c r="K1757" s="126"/>
      <c r="L1757" s="126"/>
    </row>
    <row r="1758" spans="7:12" s="125" customFormat="1">
      <c r="G1758" s="135"/>
      <c r="J1758" s="126"/>
      <c r="K1758" s="126"/>
      <c r="L1758" s="126"/>
    </row>
    <row r="1759" spans="7:12" s="125" customFormat="1">
      <c r="G1759" s="135"/>
      <c r="J1759" s="126"/>
      <c r="K1759" s="126"/>
      <c r="L1759" s="126"/>
    </row>
    <row r="1760" spans="7:12" s="125" customFormat="1">
      <c r="G1760" s="135"/>
      <c r="J1760" s="126"/>
      <c r="K1760" s="126"/>
      <c r="L1760" s="126"/>
    </row>
    <row r="1761" spans="7:12" s="125" customFormat="1">
      <c r="G1761" s="135"/>
      <c r="J1761" s="126"/>
      <c r="K1761" s="126"/>
      <c r="L1761" s="126"/>
    </row>
    <row r="1762" spans="7:12" s="125" customFormat="1">
      <c r="G1762" s="135"/>
      <c r="J1762" s="126"/>
      <c r="K1762" s="126"/>
      <c r="L1762" s="126"/>
    </row>
    <row r="1763" spans="7:12" s="125" customFormat="1">
      <c r="G1763" s="135"/>
      <c r="J1763" s="126"/>
      <c r="K1763" s="126"/>
      <c r="L1763" s="126"/>
    </row>
    <row r="1764" spans="7:12" s="125" customFormat="1">
      <c r="G1764" s="135"/>
      <c r="J1764" s="126"/>
      <c r="K1764" s="126"/>
      <c r="L1764" s="126"/>
    </row>
    <row r="1765" spans="7:12" s="125" customFormat="1">
      <c r="G1765" s="135"/>
      <c r="J1765" s="126"/>
      <c r="K1765" s="126"/>
      <c r="L1765" s="126"/>
    </row>
    <row r="1766" spans="7:12" s="125" customFormat="1">
      <c r="G1766" s="135"/>
      <c r="J1766" s="126"/>
      <c r="K1766" s="126"/>
      <c r="L1766" s="126"/>
    </row>
    <row r="1767" spans="7:12" s="125" customFormat="1">
      <c r="G1767" s="135"/>
      <c r="J1767" s="126"/>
      <c r="K1767" s="126"/>
      <c r="L1767" s="126"/>
    </row>
    <row r="1768" spans="7:12" s="125" customFormat="1">
      <c r="G1768" s="135"/>
      <c r="J1768" s="126"/>
      <c r="K1768" s="126"/>
      <c r="L1768" s="126"/>
    </row>
    <row r="1769" spans="7:12" s="125" customFormat="1">
      <c r="G1769" s="135"/>
      <c r="J1769" s="126"/>
      <c r="K1769" s="126"/>
      <c r="L1769" s="126"/>
    </row>
    <row r="1770" spans="7:12" s="125" customFormat="1">
      <c r="G1770" s="135"/>
      <c r="J1770" s="126"/>
      <c r="K1770" s="126"/>
      <c r="L1770" s="126"/>
    </row>
    <row r="1771" spans="7:12" s="125" customFormat="1">
      <c r="G1771" s="135"/>
      <c r="J1771" s="126"/>
      <c r="K1771" s="126"/>
      <c r="L1771" s="126"/>
    </row>
    <row r="1772" spans="7:12" s="125" customFormat="1">
      <c r="G1772" s="135"/>
      <c r="J1772" s="126"/>
      <c r="K1772" s="126"/>
      <c r="L1772" s="126"/>
    </row>
    <row r="1773" spans="7:12" s="125" customFormat="1">
      <c r="G1773" s="135"/>
      <c r="J1773" s="126"/>
      <c r="K1773" s="126"/>
      <c r="L1773" s="126"/>
    </row>
    <row r="1774" spans="7:12" s="125" customFormat="1">
      <c r="G1774" s="135"/>
      <c r="J1774" s="126"/>
      <c r="K1774" s="126"/>
      <c r="L1774" s="126"/>
    </row>
    <row r="1775" spans="7:12" s="125" customFormat="1">
      <c r="G1775" s="135"/>
      <c r="J1775" s="126"/>
      <c r="K1775" s="126"/>
      <c r="L1775" s="126"/>
    </row>
    <row r="1776" spans="7:12" s="125" customFormat="1">
      <c r="G1776" s="135"/>
      <c r="J1776" s="126"/>
      <c r="K1776" s="126"/>
      <c r="L1776" s="126"/>
    </row>
    <row r="1777" spans="7:12" s="125" customFormat="1">
      <c r="G1777" s="135"/>
      <c r="J1777" s="126"/>
      <c r="K1777" s="126"/>
      <c r="L1777" s="126"/>
    </row>
    <row r="1778" spans="7:12" s="125" customFormat="1">
      <c r="G1778" s="135"/>
      <c r="J1778" s="126"/>
      <c r="K1778" s="126"/>
      <c r="L1778" s="126"/>
    </row>
    <row r="1779" spans="7:12" s="125" customFormat="1">
      <c r="G1779" s="135"/>
      <c r="J1779" s="126"/>
      <c r="K1779" s="126"/>
      <c r="L1779" s="126"/>
    </row>
    <row r="1780" spans="7:12" s="125" customFormat="1">
      <c r="G1780" s="135"/>
      <c r="J1780" s="126"/>
      <c r="K1780" s="126"/>
      <c r="L1780" s="126"/>
    </row>
    <row r="1781" spans="7:12" s="125" customFormat="1">
      <c r="G1781" s="135"/>
      <c r="J1781" s="126"/>
      <c r="K1781" s="126"/>
      <c r="L1781" s="126"/>
    </row>
    <row r="1782" spans="7:12" s="125" customFormat="1">
      <c r="G1782" s="135"/>
      <c r="J1782" s="126"/>
      <c r="K1782" s="126"/>
      <c r="L1782" s="126"/>
    </row>
    <row r="1783" spans="7:12" s="125" customFormat="1">
      <c r="G1783" s="135"/>
      <c r="J1783" s="126"/>
      <c r="K1783" s="126"/>
      <c r="L1783" s="126"/>
    </row>
    <row r="1784" spans="7:12" s="125" customFormat="1">
      <c r="G1784" s="135"/>
      <c r="J1784" s="126"/>
      <c r="K1784" s="126"/>
      <c r="L1784" s="126"/>
    </row>
    <row r="1785" spans="7:12" s="125" customFormat="1">
      <c r="G1785" s="135"/>
      <c r="J1785" s="126"/>
      <c r="K1785" s="126"/>
      <c r="L1785" s="126"/>
    </row>
    <row r="1786" spans="7:12" s="125" customFormat="1">
      <c r="G1786" s="135"/>
      <c r="J1786" s="126"/>
      <c r="K1786" s="126"/>
      <c r="L1786" s="126"/>
    </row>
    <row r="1787" spans="7:12" s="125" customFormat="1">
      <c r="G1787" s="135"/>
      <c r="J1787" s="126"/>
      <c r="K1787" s="126"/>
      <c r="L1787" s="126"/>
    </row>
    <row r="1788" spans="7:12" s="125" customFormat="1">
      <c r="G1788" s="135"/>
      <c r="J1788" s="126"/>
      <c r="K1788" s="126"/>
      <c r="L1788" s="126"/>
    </row>
    <row r="1789" spans="7:12" s="125" customFormat="1">
      <c r="G1789" s="135"/>
      <c r="J1789" s="126"/>
      <c r="K1789" s="126"/>
      <c r="L1789" s="126"/>
    </row>
    <row r="1790" spans="7:12" s="125" customFormat="1">
      <c r="G1790" s="135"/>
      <c r="J1790" s="126"/>
      <c r="K1790" s="126"/>
      <c r="L1790" s="126"/>
    </row>
    <row r="1791" spans="7:12" s="125" customFormat="1">
      <c r="G1791" s="135"/>
      <c r="J1791" s="126"/>
      <c r="K1791" s="126"/>
      <c r="L1791" s="126"/>
    </row>
    <row r="1792" spans="7:12" s="125" customFormat="1">
      <c r="G1792" s="135"/>
      <c r="J1792" s="126"/>
      <c r="K1792" s="126"/>
      <c r="L1792" s="126"/>
    </row>
    <row r="1793" spans="7:12" s="125" customFormat="1">
      <c r="G1793" s="135"/>
      <c r="J1793" s="126"/>
      <c r="K1793" s="126"/>
      <c r="L1793" s="126"/>
    </row>
    <row r="1794" spans="7:12" s="125" customFormat="1">
      <c r="G1794" s="135"/>
      <c r="J1794" s="126"/>
      <c r="K1794" s="126"/>
      <c r="L1794" s="126"/>
    </row>
    <row r="1795" spans="7:12" s="125" customFormat="1">
      <c r="G1795" s="135"/>
      <c r="J1795" s="126"/>
      <c r="K1795" s="126"/>
      <c r="L1795" s="126"/>
    </row>
    <row r="1796" spans="7:12" s="125" customFormat="1">
      <c r="G1796" s="135"/>
      <c r="J1796" s="126"/>
      <c r="K1796" s="126"/>
      <c r="L1796" s="126"/>
    </row>
    <row r="1797" spans="7:12" s="125" customFormat="1">
      <c r="G1797" s="135"/>
      <c r="J1797" s="126"/>
      <c r="K1797" s="126"/>
      <c r="L1797" s="126"/>
    </row>
    <row r="1798" spans="7:12" s="125" customFormat="1">
      <c r="G1798" s="135"/>
      <c r="J1798" s="126"/>
      <c r="K1798" s="126"/>
      <c r="L1798" s="126"/>
    </row>
    <row r="1799" spans="7:12" s="125" customFormat="1">
      <c r="G1799" s="135"/>
      <c r="J1799" s="126"/>
      <c r="K1799" s="126"/>
      <c r="L1799" s="126"/>
    </row>
    <row r="1800" spans="7:12" s="125" customFormat="1">
      <c r="G1800" s="135"/>
      <c r="J1800" s="126"/>
      <c r="K1800" s="126"/>
      <c r="L1800" s="126"/>
    </row>
    <row r="1801" spans="7:12" s="125" customFormat="1">
      <c r="G1801" s="135"/>
      <c r="J1801" s="126"/>
      <c r="K1801" s="126"/>
      <c r="L1801" s="126"/>
    </row>
    <row r="1802" spans="7:12" s="125" customFormat="1">
      <c r="G1802" s="135"/>
      <c r="J1802" s="126"/>
      <c r="K1802" s="126"/>
      <c r="L1802" s="126"/>
    </row>
    <row r="1803" spans="7:12" s="125" customFormat="1">
      <c r="G1803" s="135"/>
      <c r="J1803" s="126"/>
      <c r="K1803" s="126"/>
      <c r="L1803" s="126"/>
    </row>
    <row r="1804" spans="7:12" s="125" customFormat="1">
      <c r="G1804" s="135"/>
      <c r="J1804" s="126"/>
      <c r="K1804" s="126"/>
      <c r="L1804" s="126"/>
    </row>
    <row r="1805" spans="7:12" s="125" customFormat="1">
      <c r="G1805" s="135"/>
      <c r="J1805" s="126"/>
      <c r="K1805" s="126"/>
      <c r="L1805" s="126"/>
    </row>
    <row r="1806" spans="7:12" s="125" customFormat="1">
      <c r="G1806" s="135"/>
      <c r="J1806" s="126"/>
      <c r="K1806" s="126"/>
      <c r="L1806" s="126"/>
    </row>
    <row r="1807" spans="7:12" s="125" customFormat="1">
      <c r="G1807" s="135"/>
      <c r="J1807" s="126"/>
      <c r="K1807" s="126"/>
      <c r="L1807" s="126"/>
    </row>
    <row r="1808" spans="7:12" s="125" customFormat="1">
      <c r="G1808" s="135"/>
      <c r="J1808" s="126"/>
      <c r="K1808" s="126"/>
      <c r="L1808" s="126"/>
    </row>
    <row r="1809" spans="7:12" s="125" customFormat="1">
      <c r="G1809" s="135"/>
      <c r="J1809" s="126"/>
      <c r="K1809" s="126"/>
      <c r="L1809" s="126"/>
    </row>
    <row r="1810" spans="7:12" s="125" customFormat="1">
      <c r="G1810" s="135"/>
      <c r="J1810" s="126"/>
      <c r="K1810" s="126"/>
      <c r="L1810" s="126"/>
    </row>
    <row r="1811" spans="7:12" s="125" customFormat="1">
      <c r="G1811" s="135"/>
      <c r="J1811" s="126"/>
      <c r="K1811" s="126"/>
      <c r="L1811" s="126"/>
    </row>
    <row r="1812" spans="7:12" s="125" customFormat="1">
      <c r="G1812" s="135"/>
      <c r="J1812" s="126"/>
      <c r="K1812" s="126"/>
      <c r="L1812" s="126"/>
    </row>
    <row r="1813" spans="7:12" s="125" customFormat="1">
      <c r="G1813" s="135"/>
      <c r="J1813" s="126"/>
      <c r="K1813" s="126"/>
      <c r="L1813" s="126"/>
    </row>
    <row r="1814" spans="7:12" s="125" customFormat="1">
      <c r="G1814" s="135"/>
      <c r="J1814" s="126"/>
      <c r="K1814" s="126"/>
      <c r="L1814" s="126"/>
    </row>
    <row r="1815" spans="7:12" s="125" customFormat="1">
      <c r="G1815" s="135"/>
      <c r="J1815" s="126"/>
      <c r="K1815" s="126"/>
      <c r="L1815" s="126"/>
    </row>
    <row r="1816" spans="7:12" s="125" customFormat="1">
      <c r="G1816" s="135"/>
      <c r="J1816" s="126"/>
      <c r="K1816" s="126"/>
      <c r="L1816" s="126"/>
    </row>
    <row r="1817" spans="7:12" s="125" customFormat="1">
      <c r="G1817" s="135"/>
      <c r="J1817" s="126"/>
      <c r="K1817" s="126"/>
      <c r="L1817" s="126"/>
    </row>
    <row r="1818" spans="7:12" s="125" customFormat="1">
      <c r="G1818" s="135"/>
      <c r="J1818" s="126"/>
      <c r="K1818" s="126"/>
      <c r="L1818" s="126"/>
    </row>
    <row r="1819" spans="7:12" s="125" customFormat="1">
      <c r="G1819" s="135"/>
      <c r="J1819" s="126"/>
      <c r="K1819" s="126"/>
      <c r="L1819" s="126"/>
    </row>
    <row r="1820" spans="7:12" s="125" customFormat="1">
      <c r="G1820" s="135"/>
      <c r="J1820" s="126"/>
      <c r="K1820" s="126"/>
      <c r="L1820" s="126"/>
    </row>
    <row r="1821" spans="7:12" s="125" customFormat="1">
      <c r="G1821" s="135"/>
      <c r="J1821" s="126"/>
      <c r="K1821" s="126"/>
      <c r="L1821" s="126"/>
    </row>
    <row r="1822" spans="7:12" s="125" customFormat="1">
      <c r="G1822" s="135"/>
      <c r="J1822" s="126"/>
      <c r="K1822" s="126"/>
      <c r="L1822" s="126"/>
    </row>
    <row r="1823" spans="7:12" s="125" customFormat="1">
      <c r="G1823" s="135"/>
      <c r="J1823" s="126"/>
      <c r="K1823" s="126"/>
      <c r="L1823" s="126"/>
    </row>
    <row r="1824" spans="7:12" s="125" customFormat="1">
      <c r="G1824" s="135"/>
      <c r="J1824" s="126"/>
      <c r="K1824" s="126"/>
      <c r="L1824" s="126"/>
    </row>
    <row r="1825" spans="7:12" s="125" customFormat="1">
      <c r="G1825" s="135"/>
      <c r="J1825" s="126"/>
      <c r="K1825" s="126"/>
      <c r="L1825" s="126"/>
    </row>
    <row r="1826" spans="7:12" s="125" customFormat="1">
      <c r="G1826" s="135"/>
      <c r="J1826" s="126"/>
      <c r="K1826" s="126"/>
      <c r="L1826" s="126"/>
    </row>
    <row r="1827" spans="7:12" s="125" customFormat="1">
      <c r="G1827" s="135"/>
      <c r="J1827" s="126"/>
      <c r="K1827" s="126"/>
      <c r="L1827" s="126"/>
    </row>
    <row r="1828" spans="7:12" s="125" customFormat="1">
      <c r="G1828" s="135"/>
      <c r="J1828" s="126"/>
      <c r="K1828" s="126"/>
      <c r="L1828" s="126"/>
    </row>
    <row r="1829" spans="7:12" s="125" customFormat="1">
      <c r="G1829" s="135"/>
      <c r="J1829" s="126"/>
      <c r="K1829" s="126"/>
      <c r="L1829" s="126"/>
    </row>
    <row r="1830" spans="7:12" s="125" customFormat="1">
      <c r="G1830" s="135"/>
      <c r="J1830" s="126"/>
      <c r="K1830" s="126"/>
      <c r="L1830" s="126"/>
    </row>
    <row r="1831" spans="7:12" s="125" customFormat="1">
      <c r="G1831" s="135"/>
      <c r="J1831" s="126"/>
      <c r="K1831" s="126"/>
      <c r="L1831" s="126"/>
    </row>
    <row r="1832" spans="7:12" s="125" customFormat="1">
      <c r="G1832" s="135"/>
      <c r="J1832" s="126"/>
      <c r="K1832" s="126"/>
      <c r="L1832" s="126"/>
    </row>
    <row r="1833" spans="7:12" s="125" customFormat="1">
      <c r="G1833" s="135"/>
      <c r="J1833" s="126"/>
      <c r="K1833" s="126"/>
      <c r="L1833" s="126"/>
    </row>
    <row r="1834" spans="7:12" s="125" customFormat="1">
      <c r="G1834" s="135"/>
      <c r="J1834" s="126"/>
      <c r="K1834" s="126"/>
      <c r="L1834" s="126"/>
    </row>
    <row r="1835" spans="7:12" s="125" customFormat="1">
      <c r="G1835" s="135"/>
      <c r="J1835" s="126"/>
      <c r="K1835" s="126"/>
      <c r="L1835" s="126"/>
    </row>
    <row r="1836" spans="7:12" s="125" customFormat="1">
      <c r="G1836" s="135"/>
      <c r="J1836" s="126"/>
      <c r="K1836" s="126"/>
      <c r="L1836" s="126"/>
    </row>
    <row r="1837" spans="7:12" s="125" customFormat="1">
      <c r="G1837" s="135"/>
      <c r="J1837" s="126"/>
      <c r="K1837" s="126"/>
      <c r="L1837" s="126"/>
    </row>
    <row r="1838" spans="7:12" s="125" customFormat="1">
      <c r="G1838" s="135"/>
      <c r="J1838" s="126"/>
      <c r="K1838" s="126"/>
      <c r="L1838" s="126"/>
    </row>
    <row r="1839" spans="7:12" s="125" customFormat="1">
      <c r="G1839" s="135"/>
      <c r="J1839" s="126"/>
      <c r="K1839" s="126"/>
      <c r="L1839" s="126"/>
    </row>
    <row r="1840" spans="7:12" s="125" customFormat="1">
      <c r="G1840" s="135"/>
      <c r="J1840" s="126"/>
      <c r="K1840" s="126"/>
      <c r="L1840" s="126"/>
    </row>
    <row r="1841" spans="7:12" s="125" customFormat="1">
      <c r="G1841" s="135"/>
      <c r="J1841" s="126"/>
      <c r="K1841" s="126"/>
      <c r="L1841" s="126"/>
    </row>
    <row r="1842" spans="7:12" s="125" customFormat="1">
      <c r="G1842" s="135"/>
      <c r="J1842" s="126"/>
      <c r="K1842" s="126"/>
      <c r="L1842" s="126"/>
    </row>
    <row r="1843" spans="7:12" s="125" customFormat="1">
      <c r="G1843" s="135"/>
      <c r="J1843" s="126"/>
      <c r="K1843" s="126"/>
      <c r="L1843" s="126"/>
    </row>
    <row r="1844" spans="7:12" s="125" customFormat="1">
      <c r="G1844" s="135"/>
      <c r="J1844" s="126"/>
      <c r="K1844" s="126"/>
      <c r="L1844" s="126"/>
    </row>
    <row r="1845" spans="7:12" s="125" customFormat="1">
      <c r="G1845" s="135"/>
      <c r="J1845" s="126"/>
      <c r="K1845" s="126"/>
      <c r="L1845" s="126"/>
    </row>
    <row r="1846" spans="7:12" s="125" customFormat="1">
      <c r="G1846" s="135"/>
      <c r="J1846" s="126"/>
      <c r="K1846" s="126"/>
      <c r="L1846" s="126"/>
    </row>
    <row r="1847" spans="7:12" s="125" customFormat="1">
      <c r="G1847" s="135"/>
      <c r="J1847" s="126"/>
      <c r="K1847" s="126"/>
      <c r="L1847" s="126"/>
    </row>
    <row r="1848" spans="7:12" s="125" customFormat="1">
      <c r="G1848" s="135"/>
      <c r="J1848" s="126"/>
      <c r="K1848" s="126"/>
      <c r="L1848" s="126"/>
    </row>
    <row r="1849" spans="7:12" s="125" customFormat="1">
      <c r="G1849" s="135"/>
      <c r="J1849" s="126"/>
      <c r="K1849" s="126"/>
      <c r="L1849" s="126"/>
    </row>
    <row r="1850" spans="7:12" s="125" customFormat="1">
      <c r="G1850" s="135"/>
      <c r="J1850" s="126"/>
      <c r="K1850" s="126"/>
      <c r="L1850" s="126"/>
    </row>
    <row r="1851" spans="7:12" s="125" customFormat="1">
      <c r="G1851" s="135"/>
      <c r="J1851" s="126"/>
      <c r="K1851" s="126"/>
      <c r="L1851" s="126"/>
    </row>
    <row r="1852" spans="7:12" s="125" customFormat="1">
      <c r="G1852" s="135"/>
      <c r="J1852" s="126"/>
      <c r="K1852" s="126"/>
      <c r="L1852" s="126"/>
    </row>
    <row r="1853" spans="7:12" s="125" customFormat="1">
      <c r="G1853" s="135"/>
      <c r="J1853" s="126"/>
      <c r="K1853" s="126"/>
      <c r="L1853" s="126"/>
    </row>
    <row r="1854" spans="7:12" s="125" customFormat="1">
      <c r="G1854" s="135"/>
      <c r="J1854" s="126"/>
      <c r="K1854" s="126"/>
      <c r="L1854" s="126"/>
    </row>
    <row r="1855" spans="7:12" s="125" customFormat="1">
      <c r="G1855" s="135"/>
      <c r="J1855" s="126"/>
      <c r="K1855" s="126"/>
      <c r="L1855" s="126"/>
    </row>
    <row r="1856" spans="7:12" s="125" customFormat="1">
      <c r="G1856" s="135"/>
      <c r="J1856" s="126"/>
      <c r="K1856" s="126"/>
      <c r="L1856" s="126"/>
    </row>
    <row r="1857" spans="7:12" s="125" customFormat="1">
      <c r="G1857" s="135"/>
      <c r="J1857" s="126"/>
      <c r="K1857" s="126"/>
      <c r="L1857" s="126"/>
    </row>
    <row r="1858" spans="7:12" s="125" customFormat="1">
      <c r="G1858" s="135"/>
      <c r="J1858" s="126"/>
      <c r="K1858" s="126"/>
      <c r="L1858" s="126"/>
    </row>
    <row r="1859" spans="7:12" s="125" customFormat="1">
      <c r="G1859" s="135"/>
      <c r="J1859" s="126"/>
      <c r="K1859" s="126"/>
      <c r="L1859" s="126"/>
    </row>
    <row r="1860" spans="7:12" s="125" customFormat="1">
      <c r="G1860" s="135"/>
      <c r="J1860" s="126"/>
      <c r="K1860" s="126"/>
      <c r="L1860" s="126"/>
    </row>
    <row r="1861" spans="7:12" s="125" customFormat="1">
      <c r="G1861" s="135"/>
      <c r="J1861" s="126"/>
      <c r="K1861" s="126"/>
      <c r="L1861" s="126"/>
    </row>
    <row r="1862" spans="7:12" s="125" customFormat="1">
      <c r="G1862" s="135"/>
      <c r="J1862" s="126"/>
      <c r="K1862" s="126"/>
      <c r="L1862" s="126"/>
    </row>
    <row r="1863" spans="7:12" s="125" customFormat="1">
      <c r="G1863" s="135"/>
      <c r="J1863" s="126"/>
      <c r="K1863" s="126"/>
      <c r="L1863" s="126"/>
    </row>
    <row r="1864" spans="7:12" s="125" customFormat="1">
      <c r="G1864" s="135"/>
      <c r="J1864" s="126"/>
      <c r="K1864" s="126"/>
      <c r="L1864" s="126"/>
    </row>
    <row r="1865" spans="7:12" s="125" customFormat="1">
      <c r="G1865" s="135"/>
      <c r="J1865" s="126"/>
      <c r="K1865" s="126"/>
      <c r="L1865" s="126"/>
    </row>
    <row r="1866" spans="7:12" s="125" customFormat="1">
      <c r="G1866" s="135"/>
      <c r="J1866" s="126"/>
      <c r="K1866" s="126"/>
      <c r="L1866" s="126"/>
    </row>
    <row r="1867" spans="7:12" s="125" customFormat="1">
      <c r="G1867" s="135"/>
      <c r="J1867" s="126"/>
      <c r="K1867" s="126"/>
      <c r="L1867" s="126"/>
    </row>
    <row r="1868" spans="7:12" s="125" customFormat="1">
      <c r="G1868" s="135"/>
      <c r="J1868" s="126"/>
      <c r="K1868" s="126"/>
      <c r="L1868" s="126"/>
    </row>
    <row r="1869" spans="7:12" s="125" customFormat="1">
      <c r="G1869" s="135"/>
      <c r="J1869" s="126"/>
      <c r="K1869" s="126"/>
      <c r="L1869" s="126"/>
    </row>
    <row r="1870" spans="7:12" s="125" customFormat="1">
      <c r="G1870" s="135"/>
      <c r="J1870" s="126"/>
      <c r="K1870" s="126"/>
      <c r="L1870" s="126"/>
    </row>
    <row r="1871" spans="7:12" s="125" customFormat="1">
      <c r="G1871" s="135"/>
      <c r="J1871" s="126"/>
      <c r="K1871" s="126"/>
      <c r="L1871" s="126"/>
    </row>
    <row r="1872" spans="7:12" s="125" customFormat="1">
      <c r="G1872" s="135"/>
      <c r="J1872" s="126"/>
      <c r="K1872" s="126"/>
      <c r="L1872" s="126"/>
    </row>
    <row r="1873" spans="7:12" s="125" customFormat="1">
      <c r="G1873" s="135"/>
      <c r="J1873" s="126"/>
      <c r="K1873" s="126"/>
      <c r="L1873" s="126"/>
    </row>
    <row r="1874" spans="7:12" s="125" customFormat="1">
      <c r="G1874" s="135"/>
      <c r="J1874" s="126"/>
      <c r="K1874" s="126"/>
      <c r="L1874" s="126"/>
    </row>
    <row r="1875" spans="7:12" s="125" customFormat="1">
      <c r="G1875" s="135"/>
      <c r="J1875" s="126"/>
      <c r="K1875" s="126"/>
      <c r="L1875" s="126"/>
    </row>
    <row r="1876" spans="7:12" s="125" customFormat="1">
      <c r="G1876" s="135"/>
      <c r="J1876" s="126"/>
      <c r="K1876" s="126"/>
      <c r="L1876" s="126"/>
    </row>
    <row r="1877" spans="7:12" s="125" customFormat="1">
      <c r="G1877" s="135"/>
      <c r="J1877" s="126"/>
      <c r="K1877" s="126"/>
      <c r="L1877" s="126"/>
    </row>
    <row r="1878" spans="7:12" s="125" customFormat="1">
      <c r="G1878" s="135"/>
      <c r="J1878" s="126"/>
      <c r="K1878" s="126"/>
      <c r="L1878" s="126"/>
    </row>
    <row r="1879" spans="7:12" s="125" customFormat="1">
      <c r="G1879" s="135"/>
      <c r="J1879" s="126"/>
      <c r="K1879" s="126"/>
      <c r="L1879" s="126"/>
    </row>
    <row r="1880" spans="7:12" s="125" customFormat="1">
      <c r="G1880" s="135"/>
      <c r="J1880" s="126"/>
      <c r="K1880" s="126"/>
      <c r="L1880" s="126"/>
    </row>
    <row r="1881" spans="7:12" s="125" customFormat="1">
      <c r="G1881" s="135"/>
      <c r="J1881" s="126"/>
      <c r="K1881" s="126"/>
      <c r="L1881" s="126"/>
    </row>
    <row r="1882" spans="7:12" s="125" customFormat="1">
      <c r="G1882" s="135"/>
      <c r="J1882" s="126"/>
      <c r="K1882" s="126"/>
      <c r="L1882" s="126"/>
    </row>
    <row r="1883" spans="7:12" s="125" customFormat="1">
      <c r="G1883" s="135"/>
      <c r="J1883" s="126"/>
      <c r="K1883" s="126"/>
      <c r="L1883" s="126"/>
    </row>
    <row r="1884" spans="7:12" s="125" customFormat="1">
      <c r="G1884" s="135"/>
      <c r="J1884" s="126"/>
      <c r="K1884" s="126"/>
      <c r="L1884" s="126"/>
    </row>
    <row r="1885" spans="7:12" s="125" customFormat="1">
      <c r="G1885" s="135"/>
      <c r="J1885" s="126"/>
      <c r="K1885" s="126"/>
      <c r="L1885" s="126"/>
    </row>
    <row r="1886" spans="7:12" s="125" customFormat="1">
      <c r="G1886" s="135"/>
      <c r="J1886" s="126"/>
      <c r="K1886" s="126"/>
      <c r="L1886" s="126"/>
    </row>
    <row r="1887" spans="7:12" s="125" customFormat="1">
      <c r="G1887" s="135"/>
      <c r="J1887" s="126"/>
      <c r="K1887" s="126"/>
      <c r="L1887" s="126"/>
    </row>
    <row r="1888" spans="7:12" s="125" customFormat="1">
      <c r="G1888" s="135"/>
      <c r="J1888" s="126"/>
      <c r="K1888" s="126"/>
      <c r="L1888" s="126"/>
    </row>
    <row r="1889" spans="7:12" s="125" customFormat="1">
      <c r="G1889" s="135"/>
      <c r="J1889" s="126"/>
      <c r="K1889" s="126"/>
      <c r="L1889" s="126"/>
    </row>
    <row r="1890" spans="7:12" s="125" customFormat="1">
      <c r="G1890" s="135"/>
      <c r="J1890" s="126"/>
      <c r="K1890" s="126"/>
      <c r="L1890" s="126"/>
    </row>
    <row r="1891" spans="7:12" s="125" customFormat="1">
      <c r="G1891" s="135"/>
      <c r="J1891" s="126"/>
      <c r="K1891" s="126"/>
      <c r="L1891" s="126"/>
    </row>
    <row r="1892" spans="7:12" s="125" customFormat="1">
      <c r="G1892" s="135"/>
      <c r="J1892" s="126"/>
      <c r="K1892" s="126"/>
      <c r="L1892" s="126"/>
    </row>
    <row r="1893" spans="7:12" s="125" customFormat="1">
      <c r="G1893" s="135"/>
      <c r="J1893" s="126"/>
      <c r="K1893" s="126"/>
      <c r="L1893" s="126"/>
    </row>
    <row r="1894" spans="7:12" s="125" customFormat="1">
      <c r="G1894" s="135"/>
      <c r="J1894" s="126"/>
      <c r="K1894" s="126"/>
      <c r="L1894" s="126"/>
    </row>
    <row r="1895" spans="7:12" s="125" customFormat="1">
      <c r="G1895" s="135"/>
      <c r="J1895" s="126"/>
      <c r="K1895" s="126"/>
      <c r="L1895" s="126"/>
    </row>
    <row r="1896" spans="7:12" s="125" customFormat="1">
      <c r="G1896" s="135"/>
      <c r="J1896" s="126"/>
      <c r="K1896" s="126"/>
      <c r="L1896" s="126"/>
    </row>
    <row r="1897" spans="7:12" s="125" customFormat="1">
      <c r="G1897" s="135"/>
      <c r="J1897" s="126"/>
      <c r="K1897" s="126"/>
      <c r="L1897" s="126"/>
    </row>
    <row r="1898" spans="7:12" s="125" customFormat="1">
      <c r="G1898" s="135"/>
      <c r="J1898" s="126"/>
      <c r="K1898" s="126"/>
      <c r="L1898" s="126"/>
    </row>
    <row r="1899" spans="7:12" s="125" customFormat="1">
      <c r="G1899" s="135"/>
      <c r="J1899" s="126"/>
      <c r="K1899" s="126"/>
      <c r="L1899" s="126"/>
    </row>
    <row r="1900" spans="7:12" s="125" customFormat="1">
      <c r="G1900" s="135"/>
      <c r="J1900" s="126"/>
      <c r="K1900" s="126"/>
      <c r="L1900" s="126"/>
    </row>
    <row r="1901" spans="7:12" s="125" customFormat="1">
      <c r="G1901" s="135"/>
      <c r="J1901" s="126"/>
      <c r="K1901" s="126"/>
      <c r="L1901" s="126"/>
    </row>
    <row r="1902" spans="7:12" s="125" customFormat="1">
      <c r="G1902" s="135"/>
      <c r="J1902" s="126"/>
      <c r="K1902" s="126"/>
      <c r="L1902" s="126"/>
    </row>
    <row r="1903" spans="7:12" s="125" customFormat="1">
      <c r="G1903" s="135"/>
      <c r="J1903" s="126"/>
      <c r="K1903" s="126"/>
      <c r="L1903" s="126"/>
    </row>
    <row r="1904" spans="7:12" s="125" customFormat="1">
      <c r="G1904" s="135"/>
      <c r="J1904" s="126"/>
      <c r="K1904" s="126"/>
      <c r="L1904" s="126"/>
    </row>
    <row r="1905" spans="7:12" s="125" customFormat="1">
      <c r="G1905" s="135"/>
      <c r="J1905" s="126"/>
      <c r="K1905" s="126"/>
      <c r="L1905" s="126"/>
    </row>
    <row r="1906" spans="7:12" s="125" customFormat="1">
      <c r="G1906" s="135"/>
      <c r="J1906" s="126"/>
      <c r="K1906" s="126"/>
      <c r="L1906" s="126"/>
    </row>
    <row r="1907" spans="7:12" s="125" customFormat="1">
      <c r="G1907" s="135"/>
      <c r="J1907" s="126"/>
      <c r="K1907" s="126"/>
      <c r="L1907" s="126"/>
    </row>
    <row r="1908" spans="7:12" s="125" customFormat="1">
      <c r="G1908" s="135"/>
      <c r="J1908" s="126"/>
      <c r="K1908" s="126"/>
      <c r="L1908" s="126"/>
    </row>
    <row r="1909" spans="7:12" s="125" customFormat="1">
      <c r="G1909" s="135"/>
      <c r="J1909" s="126"/>
      <c r="K1909" s="126"/>
      <c r="L1909" s="126"/>
    </row>
    <row r="1910" spans="7:12" s="125" customFormat="1">
      <c r="G1910" s="135"/>
      <c r="J1910" s="126"/>
      <c r="K1910" s="126"/>
      <c r="L1910" s="126"/>
    </row>
    <row r="1911" spans="7:12" s="125" customFormat="1">
      <c r="G1911" s="135"/>
      <c r="J1911" s="126"/>
      <c r="K1911" s="126"/>
      <c r="L1911" s="126"/>
    </row>
    <row r="1912" spans="7:12" s="125" customFormat="1">
      <c r="G1912" s="135"/>
      <c r="J1912" s="126"/>
      <c r="K1912" s="126"/>
      <c r="L1912" s="126"/>
    </row>
    <row r="1913" spans="7:12" s="125" customFormat="1">
      <c r="G1913" s="135"/>
      <c r="J1913" s="126"/>
      <c r="K1913" s="126"/>
      <c r="L1913" s="126"/>
    </row>
    <row r="1914" spans="7:12" s="125" customFormat="1">
      <c r="G1914" s="135"/>
      <c r="J1914" s="126"/>
      <c r="K1914" s="126"/>
      <c r="L1914" s="126"/>
    </row>
    <row r="1915" spans="7:12" s="125" customFormat="1">
      <c r="G1915" s="135"/>
      <c r="J1915" s="126"/>
      <c r="K1915" s="126"/>
      <c r="L1915" s="126"/>
    </row>
    <row r="1916" spans="7:12" s="125" customFormat="1">
      <c r="G1916" s="135"/>
      <c r="J1916" s="126"/>
      <c r="K1916" s="126"/>
      <c r="L1916" s="126"/>
    </row>
    <row r="1917" spans="7:12" s="125" customFormat="1">
      <c r="G1917" s="135"/>
      <c r="J1917" s="126"/>
      <c r="K1917" s="126"/>
      <c r="L1917" s="126"/>
    </row>
    <row r="1918" spans="7:12" s="125" customFormat="1">
      <c r="G1918" s="135"/>
      <c r="J1918" s="126"/>
      <c r="K1918" s="126"/>
      <c r="L1918" s="126"/>
    </row>
    <row r="1919" spans="7:12" s="125" customFormat="1">
      <c r="G1919" s="135"/>
      <c r="J1919" s="126"/>
      <c r="K1919" s="126"/>
      <c r="L1919" s="126"/>
    </row>
    <row r="1920" spans="7:12" s="125" customFormat="1">
      <c r="G1920" s="135"/>
      <c r="J1920" s="126"/>
      <c r="K1920" s="126"/>
      <c r="L1920" s="126"/>
    </row>
    <row r="1921" spans="7:12" s="125" customFormat="1">
      <c r="G1921" s="135"/>
      <c r="J1921" s="126"/>
      <c r="K1921" s="126"/>
      <c r="L1921" s="126"/>
    </row>
    <row r="1922" spans="7:12" s="125" customFormat="1">
      <c r="G1922" s="135"/>
      <c r="J1922" s="126"/>
      <c r="K1922" s="126"/>
      <c r="L1922" s="126"/>
    </row>
    <row r="1923" spans="7:12" s="125" customFormat="1">
      <c r="G1923" s="135"/>
      <c r="J1923" s="126"/>
      <c r="K1923" s="126"/>
      <c r="L1923" s="126"/>
    </row>
    <row r="1924" spans="7:12" s="125" customFormat="1">
      <c r="G1924" s="135"/>
      <c r="J1924" s="126"/>
      <c r="K1924" s="126"/>
      <c r="L1924" s="126"/>
    </row>
    <row r="1925" spans="7:12" s="125" customFormat="1">
      <c r="G1925" s="135"/>
      <c r="J1925" s="126"/>
      <c r="K1925" s="126"/>
      <c r="L1925" s="126"/>
    </row>
    <row r="1926" spans="7:12" s="125" customFormat="1">
      <c r="G1926" s="135"/>
      <c r="J1926" s="126"/>
      <c r="K1926" s="126"/>
      <c r="L1926" s="126"/>
    </row>
    <row r="1927" spans="7:12" s="125" customFormat="1">
      <c r="G1927" s="135"/>
      <c r="J1927" s="126"/>
      <c r="K1927" s="126"/>
      <c r="L1927" s="126"/>
    </row>
    <row r="1928" spans="7:12" s="125" customFormat="1">
      <c r="G1928" s="135"/>
      <c r="J1928" s="126"/>
      <c r="K1928" s="126"/>
      <c r="L1928" s="126"/>
    </row>
    <row r="1929" spans="7:12" s="125" customFormat="1">
      <c r="G1929" s="135"/>
      <c r="J1929" s="126"/>
      <c r="K1929" s="126"/>
      <c r="L1929" s="126"/>
    </row>
    <row r="1930" spans="7:12" s="125" customFormat="1">
      <c r="G1930" s="135"/>
      <c r="J1930" s="126"/>
      <c r="K1930" s="126"/>
      <c r="L1930" s="126"/>
    </row>
    <row r="1931" spans="7:12" s="125" customFormat="1">
      <c r="G1931" s="135"/>
      <c r="J1931" s="126"/>
      <c r="K1931" s="126"/>
      <c r="L1931" s="126"/>
    </row>
    <row r="1932" spans="7:12" s="125" customFormat="1">
      <c r="G1932" s="135"/>
      <c r="J1932" s="126"/>
      <c r="K1932" s="126"/>
      <c r="L1932" s="126"/>
    </row>
    <row r="1933" spans="7:12" s="125" customFormat="1">
      <c r="G1933" s="135"/>
      <c r="J1933" s="126"/>
      <c r="K1933" s="126"/>
      <c r="L1933" s="126"/>
    </row>
    <row r="1934" spans="7:12" s="125" customFormat="1">
      <c r="G1934" s="135"/>
      <c r="J1934" s="126"/>
      <c r="K1934" s="126"/>
      <c r="L1934" s="126"/>
    </row>
    <row r="1935" spans="7:12" s="125" customFormat="1">
      <c r="G1935" s="135"/>
      <c r="J1935" s="126"/>
      <c r="K1935" s="126"/>
      <c r="L1935" s="126"/>
    </row>
    <row r="1936" spans="7:12" s="125" customFormat="1">
      <c r="G1936" s="135"/>
      <c r="J1936" s="126"/>
      <c r="K1936" s="126"/>
      <c r="L1936" s="126"/>
    </row>
    <row r="1937" spans="7:12" s="125" customFormat="1">
      <c r="G1937" s="135"/>
      <c r="J1937" s="126"/>
      <c r="K1937" s="126"/>
      <c r="L1937" s="126"/>
    </row>
    <row r="1938" spans="7:12" s="125" customFormat="1">
      <c r="G1938" s="135"/>
      <c r="J1938" s="126"/>
      <c r="K1938" s="126"/>
      <c r="L1938" s="126"/>
    </row>
    <row r="1939" spans="7:12" s="125" customFormat="1">
      <c r="G1939" s="135"/>
      <c r="J1939" s="126"/>
      <c r="K1939" s="126"/>
      <c r="L1939" s="126"/>
    </row>
    <row r="1940" spans="7:12" s="125" customFormat="1">
      <c r="G1940" s="135"/>
      <c r="J1940" s="126"/>
      <c r="K1940" s="126"/>
      <c r="L1940" s="126"/>
    </row>
    <row r="1941" spans="7:12" s="125" customFormat="1">
      <c r="G1941" s="135"/>
      <c r="J1941" s="126"/>
      <c r="K1941" s="126"/>
      <c r="L1941" s="126"/>
    </row>
    <row r="1942" spans="7:12" s="125" customFormat="1">
      <c r="G1942" s="135"/>
      <c r="J1942" s="126"/>
      <c r="K1942" s="126"/>
      <c r="L1942" s="126"/>
    </row>
    <row r="1943" spans="7:12" s="125" customFormat="1">
      <c r="G1943" s="135"/>
      <c r="J1943" s="126"/>
      <c r="K1943" s="126"/>
      <c r="L1943" s="126"/>
    </row>
    <row r="1944" spans="7:12" s="125" customFormat="1">
      <c r="G1944" s="135"/>
      <c r="J1944" s="126"/>
      <c r="K1944" s="126"/>
      <c r="L1944" s="126"/>
    </row>
    <row r="1945" spans="7:12" s="125" customFormat="1">
      <c r="G1945" s="135"/>
      <c r="J1945" s="126"/>
      <c r="K1945" s="126"/>
      <c r="L1945" s="126"/>
    </row>
    <row r="1946" spans="7:12" s="125" customFormat="1">
      <c r="G1946" s="135"/>
      <c r="J1946" s="126"/>
      <c r="K1946" s="126"/>
      <c r="L1946" s="126"/>
    </row>
    <row r="1947" spans="7:12" s="125" customFormat="1">
      <c r="G1947" s="135"/>
      <c r="J1947" s="126"/>
      <c r="K1947" s="126"/>
      <c r="L1947" s="126"/>
    </row>
    <row r="1948" spans="7:12" s="125" customFormat="1">
      <c r="G1948" s="135"/>
      <c r="J1948" s="126"/>
      <c r="K1948" s="126"/>
      <c r="L1948" s="126"/>
    </row>
    <row r="1949" spans="7:12" s="125" customFormat="1">
      <c r="G1949" s="135"/>
      <c r="J1949" s="126"/>
      <c r="K1949" s="126"/>
      <c r="L1949" s="126"/>
    </row>
    <row r="1950" spans="7:12" s="125" customFormat="1">
      <c r="G1950" s="135"/>
      <c r="J1950" s="126"/>
      <c r="K1950" s="126"/>
      <c r="L1950" s="126"/>
    </row>
    <row r="1951" spans="7:12" s="125" customFormat="1">
      <c r="G1951" s="135"/>
      <c r="J1951" s="126"/>
      <c r="K1951" s="126"/>
      <c r="L1951" s="126"/>
    </row>
    <row r="1952" spans="7:12" s="125" customFormat="1">
      <c r="G1952" s="135"/>
      <c r="J1952" s="126"/>
      <c r="K1952" s="126"/>
      <c r="L1952" s="126"/>
    </row>
    <row r="1953" spans="7:12" s="125" customFormat="1">
      <c r="G1953" s="135"/>
      <c r="J1953" s="126"/>
      <c r="K1953" s="126"/>
      <c r="L1953" s="126"/>
    </row>
    <row r="1954" spans="7:12" s="125" customFormat="1">
      <c r="G1954" s="135"/>
      <c r="J1954" s="126"/>
      <c r="K1954" s="126"/>
      <c r="L1954" s="126"/>
    </row>
    <row r="1955" spans="7:12" s="125" customFormat="1">
      <c r="G1955" s="135"/>
      <c r="J1955" s="126"/>
      <c r="K1955" s="126"/>
      <c r="L1955" s="126"/>
    </row>
    <row r="1956" spans="7:12" s="125" customFormat="1">
      <c r="G1956" s="135"/>
      <c r="J1956" s="126"/>
      <c r="K1956" s="126"/>
      <c r="L1956" s="126"/>
    </row>
    <row r="1957" spans="7:12" s="125" customFormat="1">
      <c r="G1957" s="135"/>
      <c r="J1957" s="126"/>
      <c r="K1957" s="126"/>
      <c r="L1957" s="126"/>
    </row>
    <row r="1958" spans="7:12" s="125" customFormat="1">
      <c r="G1958" s="135"/>
      <c r="J1958" s="126"/>
      <c r="K1958" s="126"/>
      <c r="L1958" s="126"/>
    </row>
    <row r="1959" spans="7:12" s="125" customFormat="1">
      <c r="G1959" s="135"/>
      <c r="J1959" s="126"/>
      <c r="K1959" s="126"/>
      <c r="L1959" s="126"/>
    </row>
    <row r="1960" spans="7:12" s="125" customFormat="1">
      <c r="G1960" s="135"/>
      <c r="J1960" s="126"/>
      <c r="K1960" s="126"/>
      <c r="L1960" s="126"/>
    </row>
    <row r="1961" spans="7:12" s="125" customFormat="1">
      <c r="G1961" s="135"/>
      <c r="J1961" s="126"/>
      <c r="K1961" s="126"/>
      <c r="L1961" s="126"/>
    </row>
    <row r="1962" spans="7:12" s="125" customFormat="1">
      <c r="G1962" s="135"/>
      <c r="J1962" s="126"/>
      <c r="K1962" s="126"/>
      <c r="L1962" s="126"/>
    </row>
    <row r="1963" spans="7:12" s="125" customFormat="1">
      <c r="G1963" s="135"/>
      <c r="J1963" s="126"/>
      <c r="K1963" s="126"/>
      <c r="L1963" s="126"/>
    </row>
    <row r="1964" spans="7:12" s="125" customFormat="1">
      <c r="G1964" s="135"/>
      <c r="J1964" s="126"/>
      <c r="K1964" s="126"/>
      <c r="L1964" s="126"/>
    </row>
    <row r="1965" spans="7:12" s="125" customFormat="1">
      <c r="G1965" s="135"/>
      <c r="J1965" s="126"/>
      <c r="K1965" s="126"/>
      <c r="L1965" s="126"/>
    </row>
    <row r="1966" spans="7:12" s="125" customFormat="1">
      <c r="G1966" s="135"/>
      <c r="J1966" s="126"/>
      <c r="K1966" s="126"/>
      <c r="L1966" s="126"/>
    </row>
    <row r="1967" spans="7:12" s="125" customFormat="1">
      <c r="G1967" s="135"/>
      <c r="J1967" s="126"/>
      <c r="K1967" s="126"/>
      <c r="L1967" s="126"/>
    </row>
    <row r="1968" spans="7:12" s="125" customFormat="1">
      <c r="G1968" s="135"/>
      <c r="J1968" s="126"/>
      <c r="K1968" s="126"/>
      <c r="L1968" s="126"/>
    </row>
    <row r="1969" spans="7:12" s="125" customFormat="1">
      <c r="G1969" s="135"/>
      <c r="J1969" s="126"/>
      <c r="K1969" s="126"/>
      <c r="L1969" s="126"/>
    </row>
    <row r="1970" spans="7:12" s="125" customFormat="1">
      <c r="G1970" s="135"/>
      <c r="J1970" s="126"/>
      <c r="K1970" s="126"/>
      <c r="L1970" s="126"/>
    </row>
    <row r="1971" spans="7:12" s="125" customFormat="1">
      <c r="G1971" s="135"/>
      <c r="J1971" s="126"/>
      <c r="K1971" s="126"/>
      <c r="L1971" s="126"/>
    </row>
    <row r="1972" spans="7:12" s="125" customFormat="1">
      <c r="G1972" s="135"/>
      <c r="J1972" s="126"/>
      <c r="K1972" s="126"/>
      <c r="L1972" s="126"/>
    </row>
    <row r="1973" spans="7:12" s="125" customFormat="1">
      <c r="G1973" s="135"/>
      <c r="J1973" s="126"/>
      <c r="K1973" s="126"/>
      <c r="L1973" s="126"/>
    </row>
    <row r="1974" spans="7:12" s="125" customFormat="1">
      <c r="G1974" s="135"/>
      <c r="J1974" s="126"/>
      <c r="K1974" s="126"/>
      <c r="L1974" s="126"/>
    </row>
    <row r="1975" spans="7:12" s="125" customFormat="1">
      <c r="G1975" s="135"/>
      <c r="J1975" s="126"/>
      <c r="K1975" s="126"/>
      <c r="L1975" s="126"/>
    </row>
    <row r="1976" spans="7:12" s="125" customFormat="1">
      <c r="G1976" s="135"/>
      <c r="J1976" s="126"/>
      <c r="K1976" s="126"/>
      <c r="L1976" s="126"/>
    </row>
    <row r="1977" spans="7:12" s="125" customFormat="1">
      <c r="G1977" s="135"/>
      <c r="J1977" s="126"/>
      <c r="K1977" s="126"/>
      <c r="L1977" s="126"/>
    </row>
    <row r="1978" spans="7:12" s="125" customFormat="1">
      <c r="G1978" s="135"/>
      <c r="J1978" s="126"/>
      <c r="K1978" s="126"/>
      <c r="L1978" s="126"/>
    </row>
    <row r="1979" spans="7:12" s="125" customFormat="1">
      <c r="G1979" s="135"/>
      <c r="J1979" s="126"/>
      <c r="K1979" s="126"/>
      <c r="L1979" s="126"/>
    </row>
    <row r="1980" spans="7:12" s="125" customFormat="1">
      <c r="G1980" s="135"/>
      <c r="J1980" s="126"/>
      <c r="K1980" s="126"/>
      <c r="L1980" s="126"/>
    </row>
    <row r="1981" spans="7:12" s="125" customFormat="1">
      <c r="G1981" s="135"/>
      <c r="J1981" s="126"/>
      <c r="K1981" s="126"/>
      <c r="L1981" s="126"/>
    </row>
    <row r="1982" spans="7:12" s="125" customFormat="1">
      <c r="G1982" s="135"/>
      <c r="J1982" s="126"/>
      <c r="K1982" s="126"/>
      <c r="L1982" s="126"/>
    </row>
    <row r="1983" spans="7:12" s="125" customFormat="1">
      <c r="G1983" s="135"/>
      <c r="J1983" s="126"/>
      <c r="K1983" s="126"/>
      <c r="L1983" s="126"/>
    </row>
    <row r="1984" spans="7:12" s="125" customFormat="1">
      <c r="G1984" s="135"/>
      <c r="J1984" s="126"/>
      <c r="K1984" s="126"/>
      <c r="L1984" s="126"/>
    </row>
    <row r="1985" spans="7:12" s="125" customFormat="1">
      <c r="G1985" s="135"/>
      <c r="J1985" s="126"/>
      <c r="K1985" s="126"/>
      <c r="L1985" s="126"/>
    </row>
    <row r="1986" spans="7:12" s="125" customFormat="1">
      <c r="G1986" s="135"/>
      <c r="J1986" s="126"/>
      <c r="K1986" s="126"/>
      <c r="L1986" s="126"/>
    </row>
    <row r="1987" spans="7:12" s="125" customFormat="1">
      <c r="G1987" s="135"/>
      <c r="J1987" s="126"/>
      <c r="K1987" s="126"/>
      <c r="L1987" s="126"/>
    </row>
    <row r="1988" spans="7:12" s="125" customFormat="1">
      <c r="G1988" s="135"/>
      <c r="J1988" s="126"/>
      <c r="K1988" s="126"/>
      <c r="L1988" s="126"/>
    </row>
    <row r="1989" spans="7:12" s="125" customFormat="1">
      <c r="G1989" s="135"/>
      <c r="J1989" s="126"/>
      <c r="K1989" s="126"/>
      <c r="L1989" s="126"/>
    </row>
    <row r="1990" spans="7:12" s="125" customFormat="1">
      <c r="G1990" s="135"/>
      <c r="J1990" s="126"/>
      <c r="K1990" s="126"/>
      <c r="L1990" s="126"/>
    </row>
    <row r="1991" spans="7:12" s="125" customFormat="1">
      <c r="G1991" s="135"/>
      <c r="J1991" s="126"/>
      <c r="K1991" s="126"/>
      <c r="L1991" s="126"/>
    </row>
    <row r="1992" spans="7:12" s="125" customFormat="1">
      <c r="G1992" s="135"/>
      <c r="J1992" s="126"/>
      <c r="K1992" s="126"/>
      <c r="L1992" s="126"/>
    </row>
    <row r="1993" spans="7:12" s="125" customFormat="1">
      <c r="G1993" s="135"/>
      <c r="J1993" s="126"/>
      <c r="K1993" s="126"/>
      <c r="L1993" s="126"/>
    </row>
    <row r="1994" spans="7:12" s="125" customFormat="1">
      <c r="G1994" s="135"/>
      <c r="J1994" s="126"/>
      <c r="K1994" s="126"/>
      <c r="L1994" s="126"/>
    </row>
    <row r="1995" spans="7:12" s="125" customFormat="1">
      <c r="G1995" s="135"/>
      <c r="J1995" s="126"/>
      <c r="K1995" s="126"/>
      <c r="L1995" s="126"/>
    </row>
    <row r="1996" spans="7:12" s="125" customFormat="1">
      <c r="G1996" s="135"/>
      <c r="J1996" s="126"/>
      <c r="K1996" s="126"/>
      <c r="L1996" s="126"/>
    </row>
    <row r="1997" spans="7:12" s="125" customFormat="1">
      <c r="G1997" s="135"/>
      <c r="J1997" s="126"/>
      <c r="K1997" s="126"/>
      <c r="L1997" s="126"/>
    </row>
    <row r="1998" spans="7:12" s="125" customFormat="1">
      <c r="G1998" s="135"/>
      <c r="J1998" s="126"/>
      <c r="K1998" s="126"/>
      <c r="L1998" s="126"/>
    </row>
    <row r="1999" spans="7:12" s="125" customFormat="1">
      <c r="G1999" s="135"/>
      <c r="J1999" s="126"/>
      <c r="K1999" s="126"/>
      <c r="L1999" s="126"/>
    </row>
    <row r="2000" spans="7:12" s="125" customFormat="1">
      <c r="G2000" s="135"/>
      <c r="J2000" s="126"/>
      <c r="K2000" s="126"/>
      <c r="L2000" s="126"/>
    </row>
    <row r="2001" spans="7:12" s="125" customFormat="1">
      <c r="G2001" s="135"/>
      <c r="J2001" s="126"/>
      <c r="K2001" s="126"/>
      <c r="L2001" s="126"/>
    </row>
    <row r="2002" spans="7:12" s="125" customFormat="1">
      <c r="G2002" s="135"/>
      <c r="J2002" s="126"/>
      <c r="K2002" s="126"/>
      <c r="L2002" s="126"/>
    </row>
    <row r="2003" spans="7:12" s="125" customFormat="1">
      <c r="G2003" s="135"/>
      <c r="J2003" s="126"/>
      <c r="K2003" s="126"/>
      <c r="L2003" s="126"/>
    </row>
    <row r="2004" spans="7:12" s="125" customFormat="1">
      <c r="G2004" s="135"/>
      <c r="J2004" s="126"/>
      <c r="K2004" s="126"/>
      <c r="L2004" s="126"/>
    </row>
    <row r="2005" spans="7:12" s="125" customFormat="1">
      <c r="G2005" s="135"/>
      <c r="J2005" s="126"/>
      <c r="K2005" s="126"/>
      <c r="L2005" s="126"/>
    </row>
    <row r="2006" spans="7:12" s="125" customFormat="1">
      <c r="G2006" s="135"/>
      <c r="J2006" s="126"/>
      <c r="K2006" s="126"/>
      <c r="L2006" s="126"/>
    </row>
    <row r="2007" spans="7:12" s="125" customFormat="1">
      <c r="G2007" s="135"/>
      <c r="J2007" s="126"/>
      <c r="K2007" s="126"/>
      <c r="L2007" s="126"/>
    </row>
    <row r="2008" spans="7:12" s="125" customFormat="1">
      <c r="G2008" s="135"/>
      <c r="J2008" s="126"/>
      <c r="K2008" s="126"/>
      <c r="L2008" s="126"/>
    </row>
    <row r="2009" spans="7:12" s="125" customFormat="1">
      <c r="G2009" s="135"/>
      <c r="J2009" s="126"/>
      <c r="K2009" s="126"/>
      <c r="L2009" s="126"/>
    </row>
    <row r="2010" spans="7:12" s="125" customFormat="1">
      <c r="G2010" s="135"/>
      <c r="J2010" s="126"/>
      <c r="K2010" s="126"/>
      <c r="L2010" s="126"/>
    </row>
    <row r="2011" spans="7:12" s="125" customFormat="1">
      <c r="G2011" s="135"/>
      <c r="J2011" s="126"/>
      <c r="K2011" s="126"/>
      <c r="L2011" s="126"/>
    </row>
    <row r="2012" spans="7:12" s="125" customFormat="1">
      <c r="G2012" s="135"/>
      <c r="J2012" s="126"/>
      <c r="K2012" s="126"/>
      <c r="L2012" s="126"/>
    </row>
    <row r="2013" spans="7:12" s="125" customFormat="1">
      <c r="G2013" s="135"/>
      <c r="J2013" s="126"/>
      <c r="K2013" s="126"/>
      <c r="L2013" s="126"/>
    </row>
    <row r="2014" spans="7:12" s="125" customFormat="1">
      <c r="G2014" s="135"/>
      <c r="J2014" s="126"/>
      <c r="K2014" s="126"/>
      <c r="L2014" s="126"/>
    </row>
    <row r="2015" spans="7:12" s="125" customFormat="1">
      <c r="G2015" s="135"/>
      <c r="J2015" s="126"/>
      <c r="K2015" s="126"/>
      <c r="L2015" s="126"/>
    </row>
    <row r="2016" spans="7:12" s="125" customFormat="1">
      <c r="G2016" s="135"/>
      <c r="J2016" s="126"/>
      <c r="K2016" s="126"/>
      <c r="L2016" s="126"/>
    </row>
    <row r="2017" spans="7:12" s="125" customFormat="1">
      <c r="G2017" s="135"/>
      <c r="J2017" s="126"/>
      <c r="K2017" s="126"/>
      <c r="L2017" s="126"/>
    </row>
    <row r="2018" spans="7:12" s="125" customFormat="1">
      <c r="G2018" s="135"/>
      <c r="J2018" s="126"/>
      <c r="K2018" s="126"/>
      <c r="L2018" s="126"/>
    </row>
    <row r="2019" spans="7:12" s="125" customFormat="1">
      <c r="G2019" s="135"/>
      <c r="J2019" s="126"/>
      <c r="K2019" s="126"/>
      <c r="L2019" s="126"/>
    </row>
    <row r="2020" spans="7:12" s="125" customFormat="1">
      <c r="G2020" s="135"/>
      <c r="J2020" s="126"/>
      <c r="K2020" s="126"/>
      <c r="L2020" s="126"/>
    </row>
    <row r="2021" spans="7:12" s="125" customFormat="1">
      <c r="G2021" s="135"/>
      <c r="J2021" s="126"/>
      <c r="K2021" s="126"/>
      <c r="L2021" s="126"/>
    </row>
    <row r="2022" spans="7:12" s="125" customFormat="1">
      <c r="G2022" s="135"/>
      <c r="J2022" s="126"/>
      <c r="K2022" s="126"/>
      <c r="L2022" s="126"/>
    </row>
    <row r="2023" spans="7:12" s="125" customFormat="1">
      <c r="G2023" s="135"/>
      <c r="J2023" s="126"/>
      <c r="K2023" s="126"/>
      <c r="L2023" s="126"/>
    </row>
    <row r="2024" spans="7:12" s="125" customFormat="1">
      <c r="G2024" s="135"/>
      <c r="J2024" s="126"/>
      <c r="K2024" s="126"/>
      <c r="L2024" s="126"/>
    </row>
    <row r="2025" spans="7:12" s="125" customFormat="1">
      <c r="G2025" s="135"/>
      <c r="J2025" s="126"/>
      <c r="K2025" s="126"/>
      <c r="L2025" s="126"/>
    </row>
    <row r="2026" spans="7:12" s="125" customFormat="1">
      <c r="G2026" s="135"/>
      <c r="J2026" s="126"/>
      <c r="K2026" s="126"/>
      <c r="L2026" s="126"/>
    </row>
    <row r="2027" spans="7:12" s="125" customFormat="1">
      <c r="G2027" s="135"/>
      <c r="J2027" s="126"/>
      <c r="K2027" s="126"/>
      <c r="L2027" s="126"/>
    </row>
    <row r="2028" spans="7:12" s="125" customFormat="1">
      <c r="G2028" s="135"/>
      <c r="J2028" s="126"/>
      <c r="K2028" s="126"/>
      <c r="L2028" s="126"/>
    </row>
    <row r="2029" spans="7:12" s="125" customFormat="1">
      <c r="G2029" s="135"/>
      <c r="J2029" s="126"/>
      <c r="K2029" s="126"/>
      <c r="L2029" s="126"/>
    </row>
    <row r="2030" spans="7:12" s="125" customFormat="1">
      <c r="G2030" s="135"/>
      <c r="J2030" s="126"/>
      <c r="K2030" s="126"/>
      <c r="L2030" s="126"/>
    </row>
    <row r="2031" spans="7:12" s="125" customFormat="1">
      <c r="G2031" s="135"/>
      <c r="J2031" s="126"/>
      <c r="K2031" s="126"/>
      <c r="L2031" s="126"/>
    </row>
    <row r="2032" spans="7:12" s="125" customFormat="1">
      <c r="G2032" s="135"/>
      <c r="J2032" s="126"/>
      <c r="K2032" s="126"/>
      <c r="L2032" s="126"/>
    </row>
    <row r="2033" spans="7:12" s="125" customFormat="1">
      <c r="G2033" s="135"/>
      <c r="J2033" s="126"/>
      <c r="K2033" s="126"/>
      <c r="L2033" s="126"/>
    </row>
    <row r="2034" spans="7:12" s="125" customFormat="1">
      <c r="G2034" s="135"/>
      <c r="J2034" s="126"/>
      <c r="K2034" s="126"/>
      <c r="L2034" s="126"/>
    </row>
    <row r="2035" spans="7:12" s="125" customFormat="1">
      <c r="G2035" s="135"/>
      <c r="J2035" s="126"/>
      <c r="K2035" s="126"/>
      <c r="L2035" s="126"/>
    </row>
    <row r="2036" spans="7:12" s="125" customFormat="1">
      <c r="G2036" s="135"/>
      <c r="J2036" s="126"/>
      <c r="K2036" s="126"/>
      <c r="L2036" s="126"/>
    </row>
    <row r="2037" spans="7:12" s="125" customFormat="1">
      <c r="G2037" s="135"/>
      <c r="J2037" s="126"/>
      <c r="K2037" s="126"/>
      <c r="L2037" s="126"/>
    </row>
    <row r="2038" spans="7:12" s="125" customFormat="1">
      <c r="G2038" s="135"/>
      <c r="J2038" s="126"/>
      <c r="K2038" s="126"/>
      <c r="L2038" s="126"/>
    </row>
    <row r="2039" spans="7:12" s="125" customFormat="1">
      <c r="G2039" s="135"/>
      <c r="J2039" s="126"/>
      <c r="K2039" s="126"/>
      <c r="L2039" s="126"/>
    </row>
    <row r="2040" spans="7:12" s="125" customFormat="1">
      <c r="G2040" s="135"/>
      <c r="J2040" s="126"/>
      <c r="K2040" s="126"/>
      <c r="L2040" s="126"/>
    </row>
    <row r="2041" spans="7:12" s="125" customFormat="1">
      <c r="G2041" s="135"/>
      <c r="J2041" s="126"/>
      <c r="K2041" s="126"/>
      <c r="L2041" s="126"/>
    </row>
    <row r="2042" spans="7:12" s="125" customFormat="1">
      <c r="G2042" s="135"/>
      <c r="J2042" s="126"/>
      <c r="K2042" s="126"/>
      <c r="L2042" s="126"/>
    </row>
    <row r="2043" spans="7:12" s="125" customFormat="1">
      <c r="G2043" s="135"/>
      <c r="J2043" s="126"/>
      <c r="K2043" s="126"/>
      <c r="L2043" s="126"/>
    </row>
    <row r="2044" spans="7:12" s="125" customFormat="1">
      <c r="G2044" s="135"/>
      <c r="J2044" s="126"/>
      <c r="K2044" s="126"/>
      <c r="L2044" s="126"/>
    </row>
    <row r="2045" spans="7:12" s="125" customFormat="1">
      <c r="G2045" s="135"/>
      <c r="J2045" s="126"/>
      <c r="K2045" s="126"/>
      <c r="L2045" s="126"/>
    </row>
    <row r="2046" spans="7:12" s="125" customFormat="1">
      <c r="G2046" s="135"/>
      <c r="J2046" s="126"/>
      <c r="K2046" s="126"/>
      <c r="L2046" s="126"/>
    </row>
    <row r="2047" spans="7:12" s="125" customFormat="1">
      <c r="G2047" s="135"/>
      <c r="J2047" s="126"/>
      <c r="K2047" s="126"/>
      <c r="L2047" s="126"/>
    </row>
    <row r="2048" spans="7:12" s="125" customFormat="1">
      <c r="G2048" s="135"/>
      <c r="J2048" s="126"/>
      <c r="K2048" s="126"/>
      <c r="L2048" s="126"/>
    </row>
    <row r="2049" spans="7:12" s="125" customFormat="1">
      <c r="G2049" s="135"/>
      <c r="J2049" s="126"/>
      <c r="K2049" s="126"/>
      <c r="L2049" s="126"/>
    </row>
    <row r="2050" spans="7:12" s="125" customFormat="1">
      <c r="G2050" s="135"/>
      <c r="J2050" s="126"/>
      <c r="K2050" s="126"/>
      <c r="L2050" s="126"/>
    </row>
    <row r="2051" spans="7:12" s="125" customFormat="1">
      <c r="G2051" s="135"/>
      <c r="J2051" s="126"/>
      <c r="K2051" s="126"/>
      <c r="L2051" s="126"/>
    </row>
    <row r="2052" spans="7:12" s="125" customFormat="1">
      <c r="G2052" s="135"/>
      <c r="J2052" s="126"/>
      <c r="K2052" s="126"/>
      <c r="L2052" s="126"/>
    </row>
    <row r="2053" spans="7:12" s="125" customFormat="1">
      <c r="G2053" s="135"/>
      <c r="J2053" s="126"/>
      <c r="K2053" s="126"/>
      <c r="L2053" s="126"/>
    </row>
    <row r="2054" spans="7:12" s="125" customFormat="1">
      <c r="G2054" s="135"/>
      <c r="J2054" s="126"/>
      <c r="K2054" s="126"/>
      <c r="L2054" s="126"/>
    </row>
    <row r="2055" spans="7:12" s="125" customFormat="1">
      <c r="G2055" s="135"/>
      <c r="J2055" s="126"/>
      <c r="K2055" s="126"/>
      <c r="L2055" s="126"/>
    </row>
    <row r="2056" spans="7:12" s="125" customFormat="1">
      <c r="G2056" s="135"/>
      <c r="J2056" s="126"/>
      <c r="K2056" s="126"/>
      <c r="L2056" s="126"/>
    </row>
    <row r="2057" spans="7:12" s="125" customFormat="1">
      <c r="G2057" s="135"/>
      <c r="J2057" s="126"/>
      <c r="K2057" s="126"/>
      <c r="L2057" s="126"/>
    </row>
    <row r="2058" spans="7:12" s="125" customFormat="1">
      <c r="G2058" s="135"/>
      <c r="J2058" s="126"/>
      <c r="K2058" s="126"/>
      <c r="L2058" s="126"/>
    </row>
    <row r="2059" spans="7:12" s="125" customFormat="1">
      <c r="G2059" s="135"/>
      <c r="J2059" s="126"/>
      <c r="K2059" s="126"/>
      <c r="L2059" s="126"/>
    </row>
    <row r="2060" spans="7:12" s="125" customFormat="1">
      <c r="G2060" s="135"/>
      <c r="J2060" s="126"/>
      <c r="K2060" s="126"/>
      <c r="L2060" s="126"/>
    </row>
    <row r="2061" spans="7:12" s="125" customFormat="1">
      <c r="G2061" s="135"/>
      <c r="J2061" s="126"/>
      <c r="K2061" s="126"/>
      <c r="L2061" s="126"/>
    </row>
    <row r="2062" spans="7:12" s="125" customFormat="1">
      <c r="G2062" s="135"/>
      <c r="J2062" s="126"/>
      <c r="K2062" s="126"/>
      <c r="L2062" s="126"/>
    </row>
    <row r="2063" spans="7:12" s="125" customFormat="1">
      <c r="G2063" s="135"/>
      <c r="J2063" s="126"/>
      <c r="K2063" s="126"/>
      <c r="L2063" s="126"/>
    </row>
    <row r="2064" spans="7:12" s="125" customFormat="1">
      <c r="G2064" s="135"/>
      <c r="J2064" s="126"/>
      <c r="K2064" s="126"/>
      <c r="L2064" s="126"/>
    </row>
    <row r="2065" spans="7:12" s="125" customFormat="1">
      <c r="G2065" s="135"/>
      <c r="J2065" s="126"/>
      <c r="K2065" s="126"/>
      <c r="L2065" s="126"/>
    </row>
    <row r="2066" spans="7:12" s="125" customFormat="1">
      <c r="G2066" s="135"/>
      <c r="J2066" s="126"/>
      <c r="K2066" s="126"/>
      <c r="L2066" s="126"/>
    </row>
    <row r="2067" spans="7:12" s="125" customFormat="1">
      <c r="G2067" s="135"/>
      <c r="J2067" s="126"/>
      <c r="K2067" s="126"/>
      <c r="L2067" s="126"/>
    </row>
    <row r="2068" spans="7:12" s="125" customFormat="1">
      <c r="G2068" s="135"/>
      <c r="J2068" s="126"/>
      <c r="K2068" s="126"/>
      <c r="L2068" s="126"/>
    </row>
    <row r="2069" spans="7:12" s="125" customFormat="1">
      <c r="G2069" s="135"/>
      <c r="J2069" s="126"/>
      <c r="K2069" s="126"/>
      <c r="L2069" s="126"/>
    </row>
    <row r="2070" spans="7:12" s="125" customFormat="1">
      <c r="G2070" s="135"/>
      <c r="J2070" s="126"/>
      <c r="K2070" s="126"/>
      <c r="L2070" s="126"/>
    </row>
    <row r="2071" spans="7:12" s="125" customFormat="1">
      <c r="G2071" s="135"/>
      <c r="J2071" s="126"/>
      <c r="K2071" s="126"/>
      <c r="L2071" s="126"/>
    </row>
    <row r="2072" spans="7:12" s="125" customFormat="1">
      <c r="G2072" s="135"/>
      <c r="J2072" s="126"/>
      <c r="K2072" s="126"/>
      <c r="L2072" s="126"/>
    </row>
    <row r="2073" spans="7:12" s="125" customFormat="1">
      <c r="G2073" s="135"/>
      <c r="J2073" s="126"/>
      <c r="K2073" s="126"/>
      <c r="L2073" s="126"/>
    </row>
    <row r="2074" spans="7:12" s="125" customFormat="1">
      <c r="G2074" s="135"/>
      <c r="J2074" s="126"/>
      <c r="K2074" s="126"/>
      <c r="L2074" s="126"/>
    </row>
    <row r="2075" spans="7:12" s="125" customFormat="1">
      <c r="G2075" s="135"/>
      <c r="J2075" s="126"/>
      <c r="K2075" s="126"/>
      <c r="L2075" s="126"/>
    </row>
    <row r="2076" spans="7:12" s="125" customFormat="1">
      <c r="G2076" s="135"/>
      <c r="J2076" s="126"/>
      <c r="K2076" s="126"/>
      <c r="L2076" s="126"/>
    </row>
    <row r="2077" spans="7:12" s="125" customFormat="1">
      <c r="G2077" s="135"/>
      <c r="J2077" s="126"/>
      <c r="K2077" s="126"/>
      <c r="L2077" s="126"/>
    </row>
    <row r="2078" spans="7:12" s="125" customFormat="1">
      <c r="G2078" s="135"/>
      <c r="J2078" s="126"/>
      <c r="K2078" s="126"/>
      <c r="L2078" s="126"/>
    </row>
    <row r="2079" spans="7:12" s="125" customFormat="1">
      <c r="G2079" s="135"/>
      <c r="J2079" s="126"/>
      <c r="K2079" s="126"/>
      <c r="L2079" s="126"/>
    </row>
    <row r="2080" spans="7:12" s="125" customFormat="1">
      <c r="G2080" s="135"/>
      <c r="J2080" s="126"/>
      <c r="K2080" s="126"/>
      <c r="L2080" s="126"/>
    </row>
    <row r="2081" spans="7:12" s="125" customFormat="1">
      <c r="G2081" s="135"/>
      <c r="J2081" s="126"/>
      <c r="K2081" s="126"/>
      <c r="L2081" s="126"/>
    </row>
    <row r="2082" spans="7:12" s="125" customFormat="1">
      <c r="G2082" s="135"/>
      <c r="J2082" s="126"/>
      <c r="K2082" s="126"/>
      <c r="L2082" s="126"/>
    </row>
    <row r="2083" spans="7:12" s="125" customFormat="1">
      <c r="G2083" s="135"/>
      <c r="J2083" s="126"/>
      <c r="K2083" s="126"/>
      <c r="L2083" s="126"/>
    </row>
    <row r="2084" spans="7:12" s="125" customFormat="1">
      <c r="G2084" s="135"/>
      <c r="J2084" s="126"/>
      <c r="K2084" s="126"/>
      <c r="L2084" s="126"/>
    </row>
    <row r="2085" spans="7:12" s="125" customFormat="1">
      <c r="G2085" s="135"/>
      <c r="J2085" s="126"/>
      <c r="K2085" s="126"/>
      <c r="L2085" s="126"/>
    </row>
    <row r="2086" spans="7:12" s="125" customFormat="1">
      <c r="G2086" s="135"/>
      <c r="J2086" s="126"/>
      <c r="K2086" s="126"/>
      <c r="L2086" s="126"/>
    </row>
    <row r="2087" spans="7:12" s="125" customFormat="1">
      <c r="G2087" s="135"/>
      <c r="J2087" s="126"/>
      <c r="K2087" s="126"/>
      <c r="L2087" s="126"/>
    </row>
    <row r="2088" spans="7:12" s="125" customFormat="1">
      <c r="G2088" s="135"/>
      <c r="J2088" s="126"/>
      <c r="K2088" s="126"/>
      <c r="L2088" s="126"/>
    </row>
    <row r="2089" spans="7:12" s="125" customFormat="1">
      <c r="G2089" s="135"/>
      <c r="J2089" s="126"/>
      <c r="K2089" s="126"/>
      <c r="L2089" s="126"/>
    </row>
    <row r="2090" spans="7:12" s="125" customFormat="1">
      <c r="G2090" s="135"/>
      <c r="J2090" s="126"/>
      <c r="K2090" s="126"/>
      <c r="L2090" s="126"/>
    </row>
    <row r="2091" spans="7:12" s="125" customFormat="1">
      <c r="G2091" s="135"/>
      <c r="J2091" s="126"/>
      <c r="K2091" s="126"/>
      <c r="L2091" s="126"/>
    </row>
    <row r="2092" spans="7:12" s="125" customFormat="1">
      <c r="G2092" s="135"/>
      <c r="J2092" s="126"/>
      <c r="K2092" s="126"/>
      <c r="L2092" s="126"/>
    </row>
    <row r="2093" spans="7:12" s="125" customFormat="1">
      <c r="G2093" s="135"/>
      <c r="J2093" s="126"/>
      <c r="K2093" s="126"/>
      <c r="L2093" s="126"/>
    </row>
    <row r="2094" spans="7:12" s="125" customFormat="1">
      <c r="G2094" s="135"/>
      <c r="J2094" s="126"/>
      <c r="K2094" s="126"/>
      <c r="L2094" s="126"/>
    </row>
    <row r="2095" spans="7:12" s="125" customFormat="1">
      <c r="G2095" s="135"/>
      <c r="J2095" s="126"/>
      <c r="K2095" s="126"/>
      <c r="L2095" s="126"/>
    </row>
    <row r="2096" spans="7:12" s="125" customFormat="1">
      <c r="G2096" s="135"/>
      <c r="J2096" s="126"/>
      <c r="K2096" s="126"/>
      <c r="L2096" s="126"/>
    </row>
    <row r="2097" spans="7:12" s="125" customFormat="1">
      <c r="G2097" s="135"/>
      <c r="J2097" s="126"/>
      <c r="K2097" s="126"/>
      <c r="L2097" s="126"/>
    </row>
    <row r="2098" spans="7:12" s="125" customFormat="1">
      <c r="G2098" s="135"/>
      <c r="J2098" s="126"/>
      <c r="K2098" s="126"/>
      <c r="L2098" s="126"/>
    </row>
    <row r="2099" spans="7:12" s="125" customFormat="1">
      <c r="G2099" s="135"/>
      <c r="J2099" s="126"/>
      <c r="K2099" s="126"/>
      <c r="L2099" s="126"/>
    </row>
    <row r="2100" spans="7:12" s="125" customFormat="1">
      <c r="G2100" s="135"/>
      <c r="J2100" s="126"/>
      <c r="K2100" s="126"/>
      <c r="L2100" s="126"/>
    </row>
    <row r="2101" spans="7:12" s="125" customFormat="1">
      <c r="G2101" s="135"/>
      <c r="J2101" s="126"/>
      <c r="K2101" s="126"/>
      <c r="L2101" s="126"/>
    </row>
    <row r="2102" spans="7:12" s="125" customFormat="1">
      <c r="G2102" s="135"/>
      <c r="J2102" s="126"/>
      <c r="K2102" s="126"/>
      <c r="L2102" s="126"/>
    </row>
    <row r="2103" spans="7:12" s="125" customFormat="1">
      <c r="G2103" s="135"/>
      <c r="J2103" s="126"/>
      <c r="K2103" s="126"/>
      <c r="L2103" s="126"/>
    </row>
    <row r="2104" spans="7:12" s="125" customFormat="1">
      <c r="G2104" s="135"/>
      <c r="J2104" s="126"/>
      <c r="K2104" s="126"/>
      <c r="L2104" s="126"/>
    </row>
    <row r="2105" spans="7:12" s="125" customFormat="1">
      <c r="G2105" s="135"/>
      <c r="J2105" s="126"/>
      <c r="K2105" s="126"/>
      <c r="L2105" s="126"/>
    </row>
    <row r="2106" spans="7:12" s="125" customFormat="1">
      <c r="G2106" s="135"/>
      <c r="J2106" s="126"/>
      <c r="K2106" s="126"/>
      <c r="L2106" s="126"/>
    </row>
    <row r="2107" spans="7:12" s="125" customFormat="1">
      <c r="G2107" s="135"/>
      <c r="J2107" s="126"/>
      <c r="K2107" s="126"/>
      <c r="L2107" s="126"/>
    </row>
    <row r="2108" spans="7:12" s="125" customFormat="1">
      <c r="G2108" s="135"/>
      <c r="J2108" s="126"/>
      <c r="K2108" s="126"/>
      <c r="L2108" s="126"/>
    </row>
    <row r="2109" spans="7:12" s="125" customFormat="1">
      <c r="G2109" s="135"/>
      <c r="J2109" s="126"/>
      <c r="K2109" s="126"/>
      <c r="L2109" s="126"/>
    </row>
    <row r="2110" spans="7:12" s="125" customFormat="1">
      <c r="G2110" s="135"/>
      <c r="J2110" s="126"/>
      <c r="K2110" s="126"/>
      <c r="L2110" s="126"/>
    </row>
    <row r="2111" spans="7:12" s="125" customFormat="1">
      <c r="G2111" s="135"/>
      <c r="J2111" s="126"/>
      <c r="K2111" s="126"/>
      <c r="L2111" s="126"/>
    </row>
    <row r="2112" spans="7:12" s="125" customFormat="1">
      <c r="G2112" s="135"/>
      <c r="J2112" s="126"/>
      <c r="K2112" s="126"/>
      <c r="L2112" s="126"/>
    </row>
    <row r="2113" spans="7:12" s="125" customFormat="1">
      <c r="G2113" s="135"/>
      <c r="J2113" s="126"/>
      <c r="K2113" s="126"/>
      <c r="L2113" s="126"/>
    </row>
    <row r="2114" spans="7:12" s="125" customFormat="1">
      <c r="G2114" s="135"/>
      <c r="J2114" s="126"/>
      <c r="K2114" s="126"/>
      <c r="L2114" s="126"/>
    </row>
    <row r="2115" spans="7:12" s="125" customFormat="1">
      <c r="G2115" s="135"/>
      <c r="J2115" s="126"/>
      <c r="K2115" s="126"/>
      <c r="L2115" s="126"/>
    </row>
    <row r="2116" spans="7:12" s="125" customFormat="1">
      <c r="G2116" s="135"/>
      <c r="J2116" s="126"/>
      <c r="K2116" s="126"/>
      <c r="L2116" s="126"/>
    </row>
    <row r="2117" spans="7:12" s="125" customFormat="1">
      <c r="G2117" s="135"/>
      <c r="J2117" s="126"/>
      <c r="K2117" s="126"/>
      <c r="L2117" s="126"/>
    </row>
    <row r="2118" spans="7:12" s="125" customFormat="1">
      <c r="G2118" s="135"/>
      <c r="J2118" s="126"/>
      <c r="K2118" s="126"/>
      <c r="L2118" s="126"/>
    </row>
    <row r="2119" spans="7:12" s="125" customFormat="1">
      <c r="G2119" s="135"/>
      <c r="J2119" s="126"/>
      <c r="K2119" s="126"/>
      <c r="L2119" s="126"/>
    </row>
    <row r="2120" spans="7:12" s="125" customFormat="1">
      <c r="G2120" s="135"/>
      <c r="J2120" s="126"/>
      <c r="K2120" s="126"/>
      <c r="L2120" s="126"/>
    </row>
    <row r="2121" spans="7:12" s="125" customFormat="1">
      <c r="G2121" s="135"/>
      <c r="J2121" s="126"/>
      <c r="K2121" s="126"/>
      <c r="L2121" s="126"/>
    </row>
    <row r="2122" spans="7:12" s="125" customFormat="1">
      <c r="G2122" s="135"/>
      <c r="J2122" s="126"/>
      <c r="K2122" s="126"/>
      <c r="L2122" s="126"/>
    </row>
    <row r="2123" spans="7:12" s="125" customFormat="1">
      <c r="G2123" s="135"/>
      <c r="J2123" s="126"/>
      <c r="K2123" s="126"/>
      <c r="L2123" s="126"/>
    </row>
    <row r="2124" spans="7:12" s="125" customFormat="1">
      <c r="G2124" s="135"/>
      <c r="J2124" s="126"/>
      <c r="K2124" s="126"/>
      <c r="L2124" s="126"/>
    </row>
    <row r="2125" spans="7:12" s="125" customFormat="1">
      <c r="G2125" s="135"/>
      <c r="J2125" s="126"/>
      <c r="K2125" s="126"/>
      <c r="L2125" s="126"/>
    </row>
    <row r="2126" spans="7:12" s="125" customFormat="1">
      <c r="G2126" s="135"/>
      <c r="J2126" s="126"/>
      <c r="K2126" s="126"/>
      <c r="L2126" s="126"/>
    </row>
    <row r="2127" spans="7:12" s="125" customFormat="1">
      <c r="G2127" s="135"/>
      <c r="J2127" s="126"/>
      <c r="K2127" s="126"/>
      <c r="L2127" s="126"/>
    </row>
    <row r="2128" spans="7:12" s="125" customFormat="1">
      <c r="G2128" s="135"/>
      <c r="J2128" s="126"/>
      <c r="K2128" s="126"/>
      <c r="L2128" s="126"/>
    </row>
    <row r="2129" spans="7:12" s="125" customFormat="1">
      <c r="G2129" s="135"/>
      <c r="J2129" s="126"/>
      <c r="K2129" s="126"/>
      <c r="L2129" s="126"/>
    </row>
    <row r="2130" spans="7:12" s="125" customFormat="1">
      <c r="G2130" s="135"/>
      <c r="J2130" s="126"/>
      <c r="K2130" s="126"/>
      <c r="L2130" s="126"/>
    </row>
    <row r="2131" spans="7:12" s="125" customFormat="1">
      <c r="G2131" s="135"/>
      <c r="J2131" s="126"/>
      <c r="K2131" s="126"/>
      <c r="L2131" s="126"/>
    </row>
    <row r="2132" spans="7:12" s="125" customFormat="1">
      <c r="G2132" s="135"/>
      <c r="J2132" s="126"/>
      <c r="K2132" s="126"/>
      <c r="L2132" s="126"/>
    </row>
    <row r="2133" spans="7:12" s="125" customFormat="1">
      <c r="G2133" s="135"/>
      <c r="J2133" s="126"/>
      <c r="K2133" s="126"/>
      <c r="L2133" s="126"/>
    </row>
    <row r="2134" spans="7:12" s="125" customFormat="1">
      <c r="G2134" s="135"/>
      <c r="J2134" s="126"/>
      <c r="K2134" s="126"/>
      <c r="L2134" s="126"/>
    </row>
    <row r="2135" spans="7:12" s="125" customFormat="1">
      <c r="G2135" s="135"/>
      <c r="J2135" s="126"/>
      <c r="K2135" s="126"/>
      <c r="L2135" s="126"/>
    </row>
    <row r="2136" spans="7:12" s="125" customFormat="1">
      <c r="G2136" s="135"/>
      <c r="J2136" s="126"/>
      <c r="K2136" s="126"/>
      <c r="L2136" s="126"/>
    </row>
    <row r="2137" spans="7:12" s="125" customFormat="1">
      <c r="G2137" s="135"/>
      <c r="J2137" s="126"/>
      <c r="K2137" s="126"/>
      <c r="L2137" s="126"/>
    </row>
    <row r="2138" spans="7:12" s="125" customFormat="1">
      <c r="G2138" s="135"/>
      <c r="J2138" s="126"/>
      <c r="K2138" s="126"/>
      <c r="L2138" s="126"/>
    </row>
    <row r="2139" spans="7:12" s="125" customFormat="1">
      <c r="G2139" s="135"/>
      <c r="J2139" s="126"/>
      <c r="K2139" s="126"/>
      <c r="L2139" s="126"/>
    </row>
    <row r="2140" spans="7:12" s="125" customFormat="1">
      <c r="G2140" s="135"/>
      <c r="J2140" s="126"/>
      <c r="K2140" s="126"/>
      <c r="L2140" s="126"/>
    </row>
    <row r="2141" spans="7:12" s="125" customFormat="1">
      <c r="G2141" s="135"/>
      <c r="J2141" s="126"/>
      <c r="K2141" s="126"/>
      <c r="L2141" s="126"/>
    </row>
    <row r="2142" spans="7:12" s="125" customFormat="1">
      <c r="G2142" s="135"/>
      <c r="J2142" s="126"/>
      <c r="K2142" s="126"/>
      <c r="L2142" s="126"/>
    </row>
    <row r="2143" spans="7:12" s="125" customFormat="1">
      <c r="G2143" s="135"/>
      <c r="J2143" s="126"/>
      <c r="K2143" s="126"/>
      <c r="L2143" s="126"/>
    </row>
    <row r="2144" spans="7:12" s="125" customFormat="1">
      <c r="G2144" s="135"/>
      <c r="J2144" s="126"/>
      <c r="K2144" s="126"/>
      <c r="L2144" s="126"/>
    </row>
    <row r="2145" spans="7:12" s="125" customFormat="1">
      <c r="G2145" s="135"/>
      <c r="J2145" s="126"/>
      <c r="K2145" s="126"/>
      <c r="L2145" s="126"/>
    </row>
    <row r="2146" spans="7:12" s="125" customFormat="1">
      <c r="G2146" s="135"/>
      <c r="J2146" s="126"/>
      <c r="K2146" s="126"/>
      <c r="L2146" s="126"/>
    </row>
  </sheetData>
  <autoFilter ref="A3:J148">
    <filterColumn colId="7"/>
  </autoFilter>
  <sortState ref="G4:H141">
    <sortCondition ref="G4:G141"/>
  </sortState>
  <dataValidations count="1">
    <dataValidation type="list" allowBlank="1" showInputMessage="1" showErrorMessage="1" sqref="I14">
      <formula1>$J$4:$J$9</formula1>
    </dataValidation>
  </dataValidations>
  <pageMargins left="0.7" right="0.7" top="0.75" bottom="0.75" header="0.3" footer="0.3"/>
  <pageSetup orientation="portrait" horizontalDpi="0" verticalDpi="0" r:id="rId1"/>
  <ignoredErrors>
    <ignoredError sqref="E4:E117 C4:C69 A30:A123" numberStoredAsText="1"/>
  </ignoredErrors>
  <legacyDrawing r:id="rId2"/>
</worksheet>
</file>

<file path=xl/worksheets/sheet4.xml><?xml version="1.0" encoding="utf-8"?>
<worksheet xmlns="http://schemas.openxmlformats.org/spreadsheetml/2006/main" xmlns:r="http://schemas.openxmlformats.org/officeDocument/2006/relationships">
  <sheetPr>
    <pageSetUpPr fitToPage="1"/>
  </sheetPr>
  <dimension ref="B1:R5681"/>
  <sheetViews>
    <sheetView workbookViewId="0">
      <pane xSplit="4" ySplit="5" topLeftCell="H6" activePane="bottomRight" state="frozen"/>
      <selection pane="topRight" activeCell="F1" sqref="F1"/>
      <selection pane="bottomLeft" activeCell="A5" sqref="A5"/>
      <selection pane="bottomRight" activeCell="F62" sqref="F62"/>
    </sheetView>
  </sheetViews>
  <sheetFormatPr defaultRowHeight="12.75"/>
  <cols>
    <col min="1" max="1" width="9.85546875" style="17" bestFit="1" customWidth="1"/>
    <col min="2" max="2" width="5.28515625" style="15" customWidth="1"/>
    <col min="3" max="3" width="5.5703125" style="16" customWidth="1"/>
    <col min="4" max="4" width="29.7109375" style="17" customWidth="1"/>
    <col min="5" max="5" width="11" style="289" customWidth="1"/>
    <col min="6" max="7" width="12.7109375" style="17" customWidth="1"/>
    <col min="8" max="8" width="14" style="17" bestFit="1" customWidth="1"/>
    <col min="9" max="9" width="14.28515625" style="18" customWidth="1"/>
    <col min="10" max="10" width="10.5703125" style="16" customWidth="1"/>
    <col min="11" max="11" width="14.140625" style="17" customWidth="1"/>
    <col min="12" max="12" width="12.85546875" style="17" bestFit="1" customWidth="1"/>
    <col min="13" max="14" width="14" style="17" bestFit="1" customWidth="1"/>
    <col min="15" max="15" width="12.5703125" style="17" bestFit="1" customWidth="1"/>
    <col min="16" max="17" width="9.28515625" style="16" customWidth="1"/>
    <col min="18" max="18" width="7.28515625" style="17" customWidth="1"/>
    <col min="19" max="16384" width="9.140625" style="17"/>
  </cols>
  <sheetData>
    <row r="1" spans="2:18">
      <c r="B1" s="76" t="s">
        <v>1475</v>
      </c>
      <c r="C1" s="76"/>
      <c r="D1" s="76"/>
      <c r="E1" s="315" t="s">
        <v>260</v>
      </c>
      <c r="F1" s="77">
        <f>SUM(F6:F13)</f>
        <v>980000</v>
      </c>
      <c r="G1" s="77">
        <f>SUM(G6:G13)</f>
        <v>0</v>
      </c>
      <c r="H1" s="77">
        <f>SUM(H6:H13)</f>
        <v>980000</v>
      </c>
      <c r="I1" s="77">
        <f>SUM(I6:I13)</f>
        <v>0</v>
      </c>
      <c r="J1" s="76" t="s">
        <v>260</v>
      </c>
      <c r="K1" s="77">
        <f>SUM(K6:K13)</f>
        <v>0</v>
      </c>
      <c r="L1" s="77">
        <f>SUM(L6:L13)</f>
        <v>0</v>
      </c>
      <c r="M1" s="77">
        <f>SUM(M6:M13)</f>
        <v>0</v>
      </c>
      <c r="N1" s="77">
        <f>SUM(N6:N13)</f>
        <v>0</v>
      </c>
      <c r="O1" s="77">
        <f>SUM(O6:O729)</f>
        <v>0</v>
      </c>
      <c r="P1" s="183"/>
    </row>
    <row r="2" spans="2:18">
      <c r="E2" s="316" t="s">
        <v>1333</v>
      </c>
      <c r="F2" s="17">
        <f>+STAT1!H31</f>
        <v>980000</v>
      </c>
      <c r="I2" s="18">
        <f>+STAT3!V31</f>
        <v>0</v>
      </c>
      <c r="J2" s="16" t="s">
        <v>1333</v>
      </c>
      <c r="K2" s="17">
        <f>+STAT1!I78+STAT1!I79</f>
        <v>0</v>
      </c>
      <c r="L2" s="237">
        <f>+STAT1!J78+STAT1!J79</f>
        <v>0</v>
      </c>
      <c r="M2" s="237">
        <f>+STAT1!K78+STAT1!K79</f>
        <v>0</v>
      </c>
    </row>
    <row r="3" spans="2:18">
      <c r="B3" s="15">
        <f>+COUNT(B6:B14)</f>
        <v>7</v>
      </c>
      <c r="E3" s="289" t="s">
        <v>1340</v>
      </c>
      <c r="F3" s="17">
        <f>+F2-F1</f>
        <v>0</v>
      </c>
      <c r="G3" s="237"/>
      <c r="H3" s="237"/>
      <c r="I3" s="17">
        <f>+I2-I1</f>
        <v>0</v>
      </c>
      <c r="K3" s="17">
        <f>+K2-K1</f>
        <v>0</v>
      </c>
      <c r="L3" s="111" t="s">
        <v>323</v>
      </c>
      <c r="M3" s="112">
        <v>43101</v>
      </c>
      <c r="N3" s="112">
        <v>43190</v>
      </c>
    </row>
    <row r="4" spans="2:18" ht="15" customHeight="1">
      <c r="B4" s="56" t="s">
        <v>1</v>
      </c>
      <c r="C4" s="57" t="s">
        <v>0</v>
      </c>
      <c r="D4" s="58" t="s">
        <v>296</v>
      </c>
      <c r="E4" s="317" t="s">
        <v>293</v>
      </c>
      <c r="F4" s="992" t="s">
        <v>41</v>
      </c>
      <c r="G4" s="992"/>
      <c r="H4" s="992"/>
      <c r="I4" s="992"/>
      <c r="J4" s="57" t="s">
        <v>293</v>
      </c>
      <c r="K4" s="992" t="s">
        <v>42</v>
      </c>
      <c r="L4" s="992"/>
      <c r="M4" s="992"/>
      <c r="N4" s="992"/>
      <c r="O4" s="84" t="s">
        <v>321</v>
      </c>
      <c r="P4" s="184"/>
    </row>
    <row r="5" spans="2:18">
      <c r="B5" s="56"/>
      <c r="C5" s="57"/>
      <c r="D5" s="58"/>
      <c r="E5" s="318" t="s">
        <v>294</v>
      </c>
      <c r="F5" s="59" t="s">
        <v>40</v>
      </c>
      <c r="G5" s="59" t="s">
        <v>3</v>
      </c>
      <c r="H5" s="59" t="s">
        <v>4</v>
      </c>
      <c r="I5" s="75" t="s">
        <v>295</v>
      </c>
      <c r="J5" s="74" t="s">
        <v>294</v>
      </c>
      <c r="K5" s="59" t="s">
        <v>40</v>
      </c>
      <c r="L5" s="59" t="s">
        <v>3</v>
      </c>
      <c r="M5" s="59" t="s">
        <v>4</v>
      </c>
      <c r="N5" s="75" t="s">
        <v>295</v>
      </c>
      <c r="O5" s="82" t="s">
        <v>322</v>
      </c>
      <c r="P5" s="140" t="s">
        <v>261</v>
      </c>
      <c r="Q5" s="16" t="s">
        <v>262</v>
      </c>
    </row>
    <row r="6" spans="2:18">
      <c r="B6" s="15">
        <f>+IF(C6="","",ROW()-5)</f>
        <v>1</v>
      </c>
      <c r="C6" s="16">
        <v>1001</v>
      </c>
      <c r="D6" s="16" t="str">
        <f>+IFERROR(VLOOKUP(C6,DATA!$G$4:$H$2000,2,FALSE),"")</f>
        <v xml:space="preserve">Энхбат </v>
      </c>
      <c r="E6" s="319">
        <v>121200</v>
      </c>
      <c r="F6" s="237"/>
      <c r="G6" s="17">
        <f>+SUMIFS(JURNAL!G:G,JURNAL!E:E,E6,JURNAL!L:L,$C6,JURNAL!C:C,"&gt;="&amp;$M$3,JURNAL!C:C,"&lt;="&amp;$N$3)</f>
        <v>0</v>
      </c>
      <c r="H6" s="19">
        <f>+SUMIFS(JURNAL!H:H,JURNAL!E:E,E6,JURNAL!L:L,$C6,JURNAL!C:C,"&gt;="&amp;$M$3,JURNAL!C:C,"&lt;="&amp;$N$3)</f>
        <v>0</v>
      </c>
      <c r="I6" s="237">
        <f t="shared" ref="I6:I12" si="0">+F6+G6-H6</f>
        <v>0</v>
      </c>
      <c r="J6" s="16">
        <v>320100</v>
      </c>
      <c r="L6" s="237">
        <f>+SUMIFS(JURNAL!G:G,JURNAL!E:E,J6,JURNAL!L:L,$C6,JURNAL!C:C,"&gt;="&amp;$M$3,JURNAL!C:C,"&lt;="&amp;$N$3)</f>
        <v>0</v>
      </c>
      <c r="M6" s="19">
        <f>+SUMIFS(JURNAL!H:H,JURNAL!E:E,J6,JURNAL!L:L,$C6,JURNAL!C:C,"&gt;="&amp;$M$3,JURNAL!C:C,"&lt;="&amp;$N$3)</f>
        <v>0</v>
      </c>
      <c r="N6" s="72">
        <f t="shared" ref="N6:N12" si="1">+K6+M6-L6</f>
        <v>0</v>
      </c>
      <c r="O6" s="17">
        <f t="shared" ref="O6:O12" si="2">+IF(I6&lt;N6,I6,N6)</f>
        <v>0</v>
      </c>
      <c r="P6" s="16">
        <f t="shared" ref="P6:P12" si="3">+J6</f>
        <v>320100</v>
      </c>
      <c r="Q6" s="16">
        <f t="shared" ref="Q6:Q12" si="4">+E6</f>
        <v>121200</v>
      </c>
      <c r="R6" s="17">
        <f t="shared" ref="R6:R12" si="5">+IF(O6,1,0)</f>
        <v>0</v>
      </c>
    </row>
    <row r="7" spans="2:18" s="237" customFormat="1">
      <c r="B7" s="15">
        <f t="shared" ref="B7:B13" si="6">+IF(C7="","",ROW()-5)</f>
        <v>2</v>
      </c>
      <c r="C7" s="16">
        <v>1002</v>
      </c>
      <c r="D7" s="16" t="str">
        <f>+IFERROR(VLOOKUP(C7,DATA!$G$4:$H$2000,2,FALSE),"")</f>
        <v>Бурмаа</v>
      </c>
      <c r="E7" s="319">
        <v>121200</v>
      </c>
      <c r="G7" s="237">
        <f>+SUMIFS(JURNAL!G:G,JURNAL!E:E,E7,JURNAL!L:L,$C7,JURNAL!C:C,"&gt;="&amp;$M$3,JURNAL!C:C,"&lt;="&amp;$N$3)</f>
        <v>0</v>
      </c>
      <c r="H7" s="19">
        <f>+SUMIFS(JURNAL!H:H,JURNAL!E:E,E7,JURNAL!L:L,$C7,JURNAL!C:C,"&gt;="&amp;$M$3,JURNAL!C:C,"&lt;="&amp;$N$3)</f>
        <v>0</v>
      </c>
      <c r="I7" s="237">
        <f t="shared" si="0"/>
        <v>0</v>
      </c>
      <c r="J7" s="16">
        <v>320100</v>
      </c>
      <c r="L7" s="237">
        <f>+SUMIFS(JURNAL!G:G,JURNAL!E:E,J7,JURNAL!L:L,$C7,JURNAL!C:C,"&gt;="&amp;$M$3,JURNAL!C:C,"&lt;="&amp;$N$3)</f>
        <v>0</v>
      </c>
      <c r="M7" s="19">
        <f>+SUMIFS(JURNAL!H:H,JURNAL!E:E,J7,JURNAL!L:L,$C7,JURNAL!C:C,"&gt;="&amp;$M$3,JURNAL!C:C,"&lt;="&amp;$N$3)</f>
        <v>0</v>
      </c>
      <c r="N7" s="72">
        <f t="shared" si="1"/>
        <v>0</v>
      </c>
      <c r="O7" s="237">
        <f t="shared" si="2"/>
        <v>0</v>
      </c>
      <c r="P7" s="16">
        <f t="shared" si="3"/>
        <v>320100</v>
      </c>
      <c r="Q7" s="16">
        <f t="shared" si="4"/>
        <v>121200</v>
      </c>
      <c r="R7" s="237">
        <f t="shared" si="5"/>
        <v>0</v>
      </c>
    </row>
    <row r="8" spans="2:18" s="237" customFormat="1">
      <c r="B8" s="15">
        <f t="shared" si="6"/>
        <v>3</v>
      </c>
      <c r="C8" s="16">
        <v>1003</v>
      </c>
      <c r="D8" s="16" t="str">
        <f>+IFERROR(VLOOKUP(C8,DATA!$G$4:$H$2000,2,FALSE),"")</f>
        <v>Бахдамдэмбэрэл</v>
      </c>
      <c r="E8" s="319">
        <v>121200</v>
      </c>
      <c r="G8" s="237">
        <f>+SUMIFS(JURNAL!G:G,JURNAL!E:E,E8,JURNAL!L:L,$C8,JURNAL!C:C,"&gt;="&amp;$M$3,JURNAL!C:C,"&lt;="&amp;$N$3)</f>
        <v>0</v>
      </c>
      <c r="H8" s="19">
        <f>+SUMIFS(JURNAL!H:H,JURNAL!E:E,E8,JURNAL!L:L,$C8,JURNAL!C:C,"&gt;="&amp;$M$3,JURNAL!C:C,"&lt;="&amp;$N$3)</f>
        <v>0</v>
      </c>
      <c r="I8" s="237">
        <f t="shared" si="0"/>
        <v>0</v>
      </c>
      <c r="J8" s="16">
        <v>320100</v>
      </c>
      <c r="L8" s="237">
        <f>+SUMIFS(JURNAL!G:G,JURNAL!E:E,J8,JURNAL!L:L,$C8,JURNAL!C:C,"&gt;="&amp;$M$3,JURNAL!C:C,"&lt;="&amp;$N$3)</f>
        <v>0</v>
      </c>
      <c r="M8" s="19">
        <f>+SUMIFS(JURNAL!H:H,JURNAL!E:E,J8,JURNAL!L:L,$C8,JURNAL!C:C,"&gt;="&amp;$M$3,JURNAL!C:C,"&lt;="&amp;$N$3)</f>
        <v>0</v>
      </c>
      <c r="N8" s="72">
        <f t="shared" si="1"/>
        <v>0</v>
      </c>
      <c r="O8" s="237">
        <f t="shared" si="2"/>
        <v>0</v>
      </c>
      <c r="P8" s="16">
        <f t="shared" si="3"/>
        <v>320100</v>
      </c>
      <c r="Q8" s="16">
        <f t="shared" si="4"/>
        <v>121200</v>
      </c>
      <c r="R8" s="237">
        <f t="shared" si="5"/>
        <v>0</v>
      </c>
    </row>
    <row r="9" spans="2:18" s="237" customFormat="1">
      <c r="B9" s="15">
        <f t="shared" si="6"/>
        <v>4</v>
      </c>
      <c r="C9" s="16">
        <v>1004</v>
      </c>
      <c r="D9" s="16" t="str">
        <f>+IFERROR(VLOOKUP(C9,DATA!$G$4:$H$2000,2,FALSE),"")</f>
        <v xml:space="preserve">Түмэндэлгэр </v>
      </c>
      <c r="E9" s="319">
        <v>121200</v>
      </c>
      <c r="G9" s="237">
        <f>+SUMIFS(JURNAL!G:G,JURNAL!E:E,E9,JURNAL!L:L,$C9,JURNAL!C:C,"&gt;="&amp;$M$3,JURNAL!C:C,"&lt;="&amp;$N$3)</f>
        <v>0</v>
      </c>
      <c r="H9" s="19">
        <f>+SUMIFS(JURNAL!H:H,JURNAL!E:E,E9,JURNAL!L:L,$C9,JURNAL!C:C,"&gt;="&amp;$M$3,JURNAL!C:C,"&lt;="&amp;$N$3)</f>
        <v>0</v>
      </c>
      <c r="I9" s="237">
        <f t="shared" si="0"/>
        <v>0</v>
      </c>
      <c r="J9" s="16">
        <v>320100</v>
      </c>
      <c r="L9" s="237">
        <f>+SUMIFS(JURNAL!G:G,JURNAL!E:E,J9,JURNAL!L:L,$C9,JURNAL!C:C,"&gt;="&amp;$M$3,JURNAL!C:C,"&lt;="&amp;$N$3)</f>
        <v>0</v>
      </c>
      <c r="M9" s="19">
        <f>+SUMIFS(JURNAL!H:H,JURNAL!E:E,J9,JURNAL!L:L,$C9,JURNAL!C:C,"&gt;="&amp;$M$3,JURNAL!C:C,"&lt;="&amp;$N$3)</f>
        <v>0</v>
      </c>
      <c r="N9" s="72">
        <f t="shared" si="1"/>
        <v>0</v>
      </c>
      <c r="O9" s="237">
        <f t="shared" si="2"/>
        <v>0</v>
      </c>
      <c r="P9" s="16">
        <f t="shared" si="3"/>
        <v>320100</v>
      </c>
      <c r="Q9" s="16">
        <f t="shared" si="4"/>
        <v>121200</v>
      </c>
      <c r="R9" s="237">
        <f t="shared" si="5"/>
        <v>0</v>
      </c>
    </row>
    <row r="10" spans="2:18" s="237" customFormat="1">
      <c r="B10" s="15">
        <f t="shared" si="6"/>
        <v>5</v>
      </c>
      <c r="C10" s="16">
        <v>1005</v>
      </c>
      <c r="D10" s="16" t="str">
        <f>+IFERROR(VLOOKUP(C10,DATA!$G$4:$H$2000,2,FALSE),"")</f>
        <v>Золжаргал</v>
      </c>
      <c r="E10" s="319">
        <v>121200</v>
      </c>
      <c r="F10" s="237">
        <v>980000</v>
      </c>
      <c r="G10" s="237">
        <f>+SUMIFS(JURNAL!G:G,JURNAL!E:E,E10,JURNAL!L:L,$C10,JURNAL!C:C,"&gt;="&amp;$M$3,JURNAL!C:C,"&lt;="&amp;$N$3)</f>
        <v>0</v>
      </c>
      <c r="H10" s="19">
        <f>+SUMIFS(JURNAL!H:H,JURNAL!E:E,E10,JURNAL!L:L,$C10,JURNAL!C:C,"&gt;="&amp;$M$3,JURNAL!C:C,"&lt;="&amp;$N$3)</f>
        <v>980000</v>
      </c>
      <c r="I10" s="237">
        <f t="shared" si="0"/>
        <v>0</v>
      </c>
      <c r="J10" s="16">
        <v>320100</v>
      </c>
      <c r="L10" s="237">
        <f>+SUMIFS(JURNAL!G:G,JURNAL!E:E,J10,JURNAL!L:L,$C10,JURNAL!C:C,"&gt;="&amp;$M$3,JURNAL!C:C,"&lt;="&amp;$N$3)</f>
        <v>0</v>
      </c>
      <c r="M10" s="19">
        <f>+SUMIFS(JURNAL!H:H,JURNAL!E:E,J10,JURNAL!L:L,$C10,JURNAL!C:C,"&gt;="&amp;$M$3,JURNAL!C:C,"&lt;="&amp;$N$3)</f>
        <v>0</v>
      </c>
      <c r="N10" s="72">
        <f t="shared" si="1"/>
        <v>0</v>
      </c>
      <c r="O10" s="237">
        <f t="shared" si="2"/>
        <v>0</v>
      </c>
      <c r="P10" s="16">
        <f t="shared" si="3"/>
        <v>320100</v>
      </c>
      <c r="Q10" s="16">
        <f t="shared" si="4"/>
        <v>121200</v>
      </c>
      <c r="R10" s="237">
        <f t="shared" si="5"/>
        <v>0</v>
      </c>
    </row>
    <row r="11" spans="2:18" s="237" customFormat="1">
      <c r="B11" s="15">
        <f t="shared" si="6"/>
        <v>6</v>
      </c>
      <c r="C11" s="16">
        <v>1006</v>
      </c>
      <c r="D11" s="16" t="str">
        <f>+IFERROR(VLOOKUP(C11,DATA!$G$4:$H$2000,2,FALSE),"")</f>
        <v>Оюундэлгэр /нярав/</v>
      </c>
      <c r="E11" s="777">
        <v>121200</v>
      </c>
      <c r="G11" s="237">
        <f>+SUMIFS(JURNAL!G:G,JURNAL!E:E,E11,JURNAL!L:L,$C11,JURNAL!C:C,"&gt;="&amp;$M$3,JURNAL!C:C,"&lt;="&amp;$N$3)</f>
        <v>0</v>
      </c>
      <c r="H11" s="19">
        <f>+SUMIFS(JURNAL!H:H,JURNAL!E:E,E11,JURNAL!L:L,$C11,JURNAL!C:C,"&gt;="&amp;$M$3,JURNAL!C:C,"&lt;="&amp;$N$3)</f>
        <v>0</v>
      </c>
      <c r="I11" s="237">
        <f t="shared" si="0"/>
        <v>0</v>
      </c>
      <c r="J11" s="16">
        <v>320100</v>
      </c>
      <c r="L11" s="237">
        <f>+SUMIFS(JURNAL!G:G,JURNAL!E:E,J11,JURNAL!L:L,$C11,JURNAL!C:C,"&gt;="&amp;$M$3,JURNAL!C:C,"&lt;="&amp;$N$3)</f>
        <v>0</v>
      </c>
      <c r="M11" s="19">
        <f>+SUMIFS(JURNAL!H:H,JURNAL!E:E,J11,JURNAL!L:L,$C11,JURNAL!C:C,"&gt;="&amp;$M$3,JURNAL!C:C,"&lt;="&amp;$N$3)</f>
        <v>0</v>
      </c>
      <c r="N11" s="72">
        <f t="shared" si="1"/>
        <v>0</v>
      </c>
      <c r="O11" s="237">
        <f t="shared" si="2"/>
        <v>0</v>
      </c>
      <c r="P11" s="16">
        <f t="shared" si="3"/>
        <v>320100</v>
      </c>
      <c r="Q11" s="16">
        <f t="shared" si="4"/>
        <v>121200</v>
      </c>
      <c r="R11" s="237">
        <f t="shared" si="5"/>
        <v>0</v>
      </c>
    </row>
    <row r="12" spans="2:18" s="237" customFormat="1">
      <c r="B12" s="15">
        <f t="shared" si="6"/>
        <v>7</v>
      </c>
      <c r="C12" s="16">
        <v>1007</v>
      </c>
      <c r="D12" s="779" t="str">
        <f>+IFERROR(VLOOKUP(C12,DATA!$G$4:$H$2000,2,FALSE),"")</f>
        <v xml:space="preserve">Нэргүй </v>
      </c>
      <c r="E12" s="319">
        <v>121200</v>
      </c>
      <c r="G12" s="237">
        <f>+SUMIFS(JURNAL!G:G,JURNAL!E:E,E12,JURNAL!L:L,$C12,JURNAL!C:C,"&gt;="&amp;$M$3,JURNAL!C:C,"&lt;="&amp;$N$3)</f>
        <v>0</v>
      </c>
      <c r="H12" s="19">
        <f>+SUMIFS(JURNAL!H:H,JURNAL!E:E,E12,JURNAL!L:L,$C12,JURNAL!C:C,"&gt;="&amp;$M$3,JURNAL!C:C,"&lt;="&amp;$N$3)</f>
        <v>0</v>
      </c>
      <c r="I12" s="237">
        <f t="shared" si="0"/>
        <v>0</v>
      </c>
      <c r="J12" s="16">
        <v>320100</v>
      </c>
      <c r="L12" s="237">
        <f>+SUMIFS(JURNAL!G:G,JURNAL!E:E,J12,JURNAL!L:L,$C12,JURNAL!C:C,"&gt;="&amp;$M$3,JURNAL!C:C,"&lt;="&amp;$N$3)</f>
        <v>0</v>
      </c>
      <c r="M12" s="19">
        <f>+SUMIFS(JURNAL!H:H,JURNAL!E:E,J12,JURNAL!L:L,$C12,JURNAL!C:C,"&gt;="&amp;$M$3,JURNAL!C:C,"&lt;="&amp;$N$3)</f>
        <v>0</v>
      </c>
      <c r="N12" s="72">
        <f t="shared" si="1"/>
        <v>0</v>
      </c>
      <c r="O12" s="237">
        <f t="shared" si="2"/>
        <v>0</v>
      </c>
      <c r="P12" s="16">
        <f t="shared" si="3"/>
        <v>320100</v>
      </c>
      <c r="Q12" s="16">
        <f t="shared" si="4"/>
        <v>121200</v>
      </c>
      <c r="R12" s="237">
        <f t="shared" si="5"/>
        <v>0</v>
      </c>
    </row>
    <row r="13" spans="2:18" s="237" customFormat="1">
      <c r="B13" s="15" t="str">
        <f t="shared" si="6"/>
        <v/>
      </c>
      <c r="C13" s="16"/>
      <c r="D13" s="16" t="str">
        <f>+IFERROR(VLOOKUP(C13,DATA!$G$4:$H$2000,2,FALSE),"")</f>
        <v/>
      </c>
      <c r="E13" s="778"/>
      <c r="H13" s="19"/>
      <c r="I13" s="18"/>
      <c r="J13" s="16"/>
      <c r="M13" s="19"/>
      <c r="N13" s="72"/>
      <c r="P13" s="16"/>
      <c r="Q13" s="16"/>
    </row>
    <row r="14" spans="2:18">
      <c r="B14" s="15" t="str">
        <f>+IF(C14="","",ROW()-5)</f>
        <v/>
      </c>
      <c r="D14" s="16"/>
      <c r="E14" s="320"/>
    </row>
    <row r="15" spans="2:18">
      <c r="B15" s="76" t="s">
        <v>1349</v>
      </c>
      <c r="C15" s="76"/>
      <c r="D15" s="76"/>
      <c r="E15" s="315" t="s">
        <v>260</v>
      </c>
      <c r="F15" s="77">
        <f>SUM(F20:F26)</f>
        <v>980000</v>
      </c>
      <c r="G15" s="77">
        <f t="shared" ref="G15:O15" si="7">SUM(G20:G26)</f>
        <v>0</v>
      </c>
      <c r="H15" s="77">
        <f t="shared" si="7"/>
        <v>980000</v>
      </c>
      <c r="I15" s="77">
        <f t="shared" si="7"/>
        <v>0</v>
      </c>
      <c r="J15" s="76" t="s">
        <v>260</v>
      </c>
      <c r="K15" s="77">
        <f t="shared" si="7"/>
        <v>0</v>
      </c>
      <c r="L15" s="77">
        <f t="shared" si="7"/>
        <v>0</v>
      </c>
      <c r="M15" s="77">
        <f t="shared" si="7"/>
        <v>0</v>
      </c>
      <c r="N15" s="77">
        <f t="shared" si="7"/>
        <v>0</v>
      </c>
      <c r="O15" s="77">
        <f t="shared" si="7"/>
        <v>0</v>
      </c>
      <c r="P15" s="183"/>
    </row>
    <row r="16" spans="2:18">
      <c r="D16" s="237"/>
      <c r="E16" s="316" t="s">
        <v>1333</v>
      </c>
      <c r="F16" s="237">
        <f>+F2</f>
        <v>980000</v>
      </c>
      <c r="G16" s="237">
        <f>+STAT1!J11+STAT1!J12+STAT2!J11+STAT2!J12</f>
        <v>0</v>
      </c>
      <c r="H16" s="237">
        <f>+STAT1!K11+STAT1!K12+STAT2!K11+STAT2!K12</f>
        <v>0</v>
      </c>
      <c r="I16" s="18">
        <f>+STAT2!V31</f>
        <v>0</v>
      </c>
      <c r="J16" s="16" t="s">
        <v>1333</v>
      </c>
      <c r="K16" s="237">
        <f>+STAT1!I93</f>
        <v>0</v>
      </c>
      <c r="L16" s="237"/>
      <c r="M16" s="237"/>
      <c r="N16" s="237"/>
      <c r="O16" s="237"/>
    </row>
    <row r="17" spans="2:18">
      <c r="B17" s="15">
        <f>+COUNT(B20:B28)</f>
        <v>7</v>
      </c>
      <c r="D17" s="237"/>
      <c r="E17" s="289" t="s">
        <v>1340</v>
      </c>
      <c r="F17" s="237">
        <f>+F16-F15</f>
        <v>0</v>
      </c>
      <c r="G17" s="237"/>
      <c r="H17" s="237"/>
      <c r="I17" s="237">
        <f>+I16-I15</f>
        <v>0</v>
      </c>
      <c r="K17" s="237">
        <f>+K16-K15</f>
        <v>0</v>
      </c>
      <c r="L17" s="111" t="s">
        <v>323</v>
      </c>
      <c r="M17" s="112">
        <v>43101</v>
      </c>
      <c r="N17" s="112">
        <v>43281</v>
      </c>
      <c r="O17" s="237"/>
    </row>
    <row r="18" spans="2:18">
      <c r="B18" s="56" t="s">
        <v>1</v>
      </c>
      <c r="C18" s="57" t="s">
        <v>0</v>
      </c>
      <c r="D18" s="58" t="s">
        <v>296</v>
      </c>
      <c r="E18" s="317" t="s">
        <v>293</v>
      </c>
      <c r="F18" s="992" t="s">
        <v>41</v>
      </c>
      <c r="G18" s="992"/>
      <c r="H18" s="992"/>
      <c r="I18" s="992"/>
      <c r="J18" s="57" t="s">
        <v>293</v>
      </c>
      <c r="K18" s="992" t="s">
        <v>42</v>
      </c>
      <c r="L18" s="992"/>
      <c r="M18" s="992"/>
      <c r="N18" s="992"/>
      <c r="O18" s="84" t="s">
        <v>321</v>
      </c>
      <c r="P18" s="184"/>
    </row>
    <row r="19" spans="2:18">
      <c r="B19" s="56"/>
      <c r="C19" s="57"/>
      <c r="D19" s="58"/>
      <c r="E19" s="318" t="s">
        <v>294</v>
      </c>
      <c r="F19" s="59" t="s">
        <v>40</v>
      </c>
      <c r="G19" s="59" t="s">
        <v>3</v>
      </c>
      <c r="H19" s="59" t="s">
        <v>4</v>
      </c>
      <c r="I19" s="75" t="s">
        <v>295</v>
      </c>
      <c r="J19" s="74" t="s">
        <v>294</v>
      </c>
      <c r="K19" s="59" t="s">
        <v>40</v>
      </c>
      <c r="L19" s="59" t="s">
        <v>3</v>
      </c>
      <c r="M19" s="59" t="s">
        <v>4</v>
      </c>
      <c r="N19" s="75" t="s">
        <v>295</v>
      </c>
      <c r="O19" s="82" t="s">
        <v>322</v>
      </c>
      <c r="P19" s="140" t="s">
        <v>261</v>
      </c>
      <c r="Q19" s="16" t="s">
        <v>262</v>
      </c>
    </row>
    <row r="20" spans="2:18">
      <c r="B20" s="15">
        <f>+IF(C6="","",ROW()-19)</f>
        <v>1</v>
      </c>
      <c r="C20" s="16">
        <v>1001</v>
      </c>
      <c r="D20" s="16" t="str">
        <f>+IFERROR(VLOOKUP(C20,DATA!$G$4:$H$2000,2,FALSE),"")</f>
        <v xml:space="preserve">Энхбат </v>
      </c>
      <c r="E20" s="319">
        <v>121200</v>
      </c>
      <c r="F20" s="237">
        <f>+F6</f>
        <v>0</v>
      </c>
      <c r="G20" s="237">
        <f>+SUMIFS(JURNAL!G:G,JURNAL!E:E,E20,JURNAL!L:L,$C20,JURNAL!C:C,"&gt;="&amp;$M$17,JURNAL!C:C,"&lt;="&amp;$N$17)</f>
        <v>0</v>
      </c>
      <c r="H20" s="19">
        <f>+SUMIFS(JURNAL!H:H,JURNAL!E:E,E20,JURNAL!L:L,$C20,JURNAL!C:C,"&gt;="&amp;$M$17,JURNAL!C:C,"&lt;="&amp;$N$17)</f>
        <v>0</v>
      </c>
      <c r="I20" s="237">
        <f>+F20+G20-H20</f>
        <v>0</v>
      </c>
      <c r="J20" s="16">
        <v>320100</v>
      </c>
      <c r="K20" s="237">
        <f>+N6</f>
        <v>0</v>
      </c>
      <c r="L20" s="237">
        <f>+SUMIFS(JURNAL!G:G,JURNAL!E:E,J20,JURNAL!L:L,$C20,JURNAL!C:C,"&gt;="&amp;$M$17,JURNAL!C:C,"&lt;="&amp;$N$17)</f>
        <v>0</v>
      </c>
      <c r="M20" s="19">
        <f>+SUMIFS(JURNAL!H:H,JURNAL!E:E,J20,JURNAL!L:L,$C20,JURNAL!C:C,"&gt;="&amp;$M$17,JURNAL!C:C,"&lt;="&amp;$N$17)</f>
        <v>0</v>
      </c>
      <c r="N20" s="72">
        <f>+K20+M20-L20</f>
        <v>0</v>
      </c>
      <c r="O20" s="237">
        <f>+IF(I20&lt;N20,I20,N20)</f>
        <v>0</v>
      </c>
      <c r="P20" s="16">
        <f>+J20</f>
        <v>320100</v>
      </c>
      <c r="Q20" s="16">
        <f>+E20</f>
        <v>121200</v>
      </c>
    </row>
    <row r="21" spans="2:18">
      <c r="B21" s="15">
        <f t="shared" ref="B21:B26" si="8">+IF(C7="","",ROW()-19)</f>
        <v>2</v>
      </c>
      <c r="C21" s="16">
        <v>1002</v>
      </c>
      <c r="D21" s="16" t="str">
        <f>+IFERROR(VLOOKUP(C21,DATA!$G$4:$H$2000,2,FALSE),"")</f>
        <v>Бурмаа</v>
      </c>
      <c r="E21" s="319">
        <v>121200</v>
      </c>
      <c r="F21" s="237">
        <f t="shared" ref="F21:F26" si="9">+F7</f>
        <v>0</v>
      </c>
      <c r="G21" s="237">
        <f>+SUMIFS(JURNAL!G:G,JURNAL!E:E,E21,JURNAL!L:L,$C21,JURNAL!C:C,"&gt;="&amp;$M$17,JURNAL!C:C,"&lt;="&amp;$N$17)</f>
        <v>0</v>
      </c>
      <c r="H21" s="19">
        <f>+SUMIFS(JURNAL!H:H,JURNAL!E:E,E21,JURNAL!L:L,$C21,JURNAL!C:C,"&gt;="&amp;$M$17,JURNAL!C:C,"&lt;="&amp;$N$17)</f>
        <v>0</v>
      </c>
      <c r="I21" s="237">
        <f t="shared" ref="I21:I26" si="10">+F21+G21-H21</f>
        <v>0</v>
      </c>
      <c r="J21" s="16">
        <v>320100</v>
      </c>
      <c r="K21" s="237">
        <f t="shared" ref="K21:K26" si="11">+N7</f>
        <v>0</v>
      </c>
      <c r="L21" s="237">
        <f>+SUMIFS(JURNAL!G:G,JURNAL!E:E,J21,JURNAL!L:L,$C21,JURNAL!C:C,"&gt;="&amp;$M$17,JURNAL!C:C,"&lt;="&amp;$N$17)</f>
        <v>0</v>
      </c>
      <c r="M21" s="19">
        <f>+SUMIFS(JURNAL!H:H,JURNAL!E:E,J21,JURNAL!L:L,$C21,JURNAL!C:C,"&gt;="&amp;$M$17,JURNAL!C:C,"&lt;="&amp;$N$17)</f>
        <v>0</v>
      </c>
      <c r="N21" s="72">
        <f t="shared" ref="N21:N26" si="12">+K21+M21-L21</f>
        <v>0</v>
      </c>
      <c r="O21" s="237">
        <f t="shared" ref="O21:O26" si="13">+IF(I21&lt;N21,I21,N21)</f>
        <v>0</v>
      </c>
      <c r="P21" s="16">
        <f t="shared" ref="P21:P26" si="14">+J21</f>
        <v>320100</v>
      </c>
      <c r="Q21" s="16">
        <f t="shared" ref="Q21:Q26" si="15">+E21</f>
        <v>121200</v>
      </c>
    </row>
    <row r="22" spans="2:18" s="237" customFormat="1">
      <c r="B22" s="15">
        <f t="shared" si="8"/>
        <v>3</v>
      </c>
      <c r="C22" s="16">
        <v>1003</v>
      </c>
      <c r="D22" s="16" t="str">
        <f>+IFERROR(VLOOKUP(C22,DATA!$G$4:$H$2000,2,FALSE),"")</f>
        <v>Бахдамдэмбэрэл</v>
      </c>
      <c r="E22" s="319">
        <v>121200</v>
      </c>
      <c r="F22" s="237">
        <f t="shared" si="9"/>
        <v>0</v>
      </c>
      <c r="G22" s="237">
        <f>+SUMIFS(JURNAL!G:G,JURNAL!E:E,E22,JURNAL!L:L,$C22,JURNAL!C:C,"&gt;="&amp;$M$17,JURNAL!C:C,"&lt;="&amp;$N$17)</f>
        <v>0</v>
      </c>
      <c r="H22" s="19">
        <f>+SUMIFS(JURNAL!H:H,JURNAL!E:E,E22,JURNAL!L:L,$C22,JURNAL!C:C,"&gt;="&amp;$M$17,JURNAL!C:C,"&lt;="&amp;$N$17)</f>
        <v>0</v>
      </c>
      <c r="I22" s="237">
        <f t="shared" si="10"/>
        <v>0</v>
      </c>
      <c r="J22" s="16">
        <v>320100</v>
      </c>
      <c r="K22" s="237">
        <f t="shared" si="11"/>
        <v>0</v>
      </c>
      <c r="L22" s="237">
        <f>+SUMIFS(JURNAL!G:G,JURNAL!E:E,J22,JURNAL!L:L,$C22,JURNAL!C:C,"&gt;="&amp;$M$17,JURNAL!C:C,"&lt;="&amp;$N$17)</f>
        <v>0</v>
      </c>
      <c r="M22" s="19">
        <f>+SUMIFS(JURNAL!H:H,JURNAL!E:E,J22,JURNAL!L:L,$C22,JURNAL!C:C,"&gt;="&amp;$M$17,JURNAL!C:C,"&lt;="&amp;$N$17)</f>
        <v>0</v>
      </c>
      <c r="N22" s="72">
        <f t="shared" si="12"/>
        <v>0</v>
      </c>
      <c r="O22" s="237">
        <f t="shared" si="13"/>
        <v>0</v>
      </c>
      <c r="P22" s="16">
        <f t="shared" si="14"/>
        <v>320100</v>
      </c>
      <c r="Q22" s="16">
        <f t="shared" si="15"/>
        <v>121200</v>
      </c>
    </row>
    <row r="23" spans="2:18" s="237" customFormat="1">
      <c r="B23" s="15">
        <f t="shared" si="8"/>
        <v>4</v>
      </c>
      <c r="C23" s="16">
        <v>1004</v>
      </c>
      <c r="D23" s="16" t="str">
        <f>+IFERROR(VLOOKUP(C23,DATA!$G$4:$H$2000,2,FALSE),"")</f>
        <v xml:space="preserve">Түмэндэлгэр </v>
      </c>
      <c r="E23" s="319">
        <v>121200</v>
      </c>
      <c r="F23" s="237">
        <f t="shared" si="9"/>
        <v>0</v>
      </c>
      <c r="G23" s="237">
        <f>+SUMIFS(JURNAL!G:G,JURNAL!E:E,E23,JURNAL!L:L,$C23,JURNAL!C:C,"&gt;="&amp;$M$17,JURNAL!C:C,"&lt;="&amp;$N$17)</f>
        <v>0</v>
      </c>
      <c r="H23" s="19">
        <f>+SUMIFS(JURNAL!H:H,JURNAL!E:E,E23,JURNAL!L:L,$C23,JURNAL!C:C,"&gt;="&amp;$M$17,JURNAL!C:C,"&lt;="&amp;$N$17)</f>
        <v>0</v>
      </c>
      <c r="I23" s="237">
        <f t="shared" si="10"/>
        <v>0</v>
      </c>
      <c r="J23" s="16">
        <v>320100</v>
      </c>
      <c r="K23" s="237">
        <f t="shared" si="11"/>
        <v>0</v>
      </c>
      <c r="L23" s="237">
        <f>+SUMIFS(JURNAL!G:G,JURNAL!E:E,J23,JURNAL!L:L,$C23,JURNAL!C:C,"&gt;="&amp;$M$17,JURNAL!C:C,"&lt;="&amp;$N$17)</f>
        <v>0</v>
      </c>
      <c r="M23" s="19">
        <f>+SUMIFS(JURNAL!H:H,JURNAL!E:E,J23,JURNAL!L:L,$C23,JURNAL!C:C,"&gt;="&amp;$M$17,JURNAL!C:C,"&lt;="&amp;$N$17)</f>
        <v>0</v>
      </c>
      <c r="N23" s="72">
        <f t="shared" si="12"/>
        <v>0</v>
      </c>
      <c r="O23" s="237">
        <f t="shared" si="13"/>
        <v>0</v>
      </c>
      <c r="P23" s="16">
        <f t="shared" si="14"/>
        <v>320100</v>
      </c>
      <c r="Q23" s="16">
        <f t="shared" si="15"/>
        <v>121200</v>
      </c>
    </row>
    <row r="24" spans="2:18" s="237" customFormat="1">
      <c r="B24" s="15">
        <f t="shared" si="8"/>
        <v>5</v>
      </c>
      <c r="C24" s="16">
        <v>1005</v>
      </c>
      <c r="D24" s="16" t="str">
        <f>+IFERROR(VLOOKUP(C24,DATA!$G$4:$H$2000,2,FALSE),"")</f>
        <v>Золжаргал</v>
      </c>
      <c r="E24" s="319">
        <v>121200</v>
      </c>
      <c r="F24" s="237">
        <f t="shared" si="9"/>
        <v>980000</v>
      </c>
      <c r="G24" s="237">
        <f>+SUMIFS(JURNAL!G:G,JURNAL!E:E,E24,JURNAL!L:L,$C24,JURNAL!C:C,"&gt;="&amp;$M$17,JURNAL!C:C,"&lt;="&amp;$N$17)</f>
        <v>0</v>
      </c>
      <c r="H24" s="19">
        <f>+SUMIFS(JURNAL!H:H,JURNAL!E:E,E24,JURNAL!L:L,$C24,JURNAL!C:C,"&gt;="&amp;$M$17,JURNAL!C:C,"&lt;="&amp;$N$17)</f>
        <v>980000</v>
      </c>
      <c r="I24" s="237">
        <f t="shared" si="10"/>
        <v>0</v>
      </c>
      <c r="J24" s="16">
        <v>320100</v>
      </c>
      <c r="K24" s="237">
        <f t="shared" si="11"/>
        <v>0</v>
      </c>
      <c r="L24" s="237">
        <f>+SUMIFS(JURNAL!G:G,JURNAL!E:E,J24,JURNAL!L:L,$C24,JURNAL!C:C,"&gt;="&amp;$M$17,JURNAL!C:C,"&lt;="&amp;$N$17)</f>
        <v>0</v>
      </c>
      <c r="M24" s="19">
        <f>+SUMIFS(JURNAL!H:H,JURNAL!E:E,J24,JURNAL!L:L,$C24,JURNAL!C:C,"&gt;="&amp;$M$17,JURNAL!C:C,"&lt;="&amp;$N$17)</f>
        <v>0</v>
      </c>
      <c r="N24" s="72">
        <f t="shared" si="12"/>
        <v>0</v>
      </c>
      <c r="O24" s="237">
        <f t="shared" si="13"/>
        <v>0</v>
      </c>
      <c r="P24" s="16">
        <f t="shared" si="14"/>
        <v>320100</v>
      </c>
      <c r="Q24" s="16">
        <f t="shared" si="15"/>
        <v>121200</v>
      </c>
    </row>
    <row r="25" spans="2:18" s="237" customFormat="1">
      <c r="B25" s="15">
        <f t="shared" si="8"/>
        <v>6</v>
      </c>
      <c r="C25" s="16">
        <v>1006</v>
      </c>
      <c r="D25" s="16" t="str">
        <f>+IFERROR(VLOOKUP(C25,DATA!$G$4:$H$2000,2,FALSE),"")</f>
        <v>Оюундэлгэр /нярав/</v>
      </c>
      <c r="E25" s="777">
        <v>121200</v>
      </c>
      <c r="F25" s="237">
        <f t="shared" si="9"/>
        <v>0</v>
      </c>
      <c r="G25" s="237">
        <f>+SUMIFS(JURNAL!G:G,JURNAL!E:E,E25,JURNAL!L:L,$C25,JURNAL!C:C,"&gt;="&amp;$M$17,JURNAL!C:C,"&lt;="&amp;$N$17)</f>
        <v>0</v>
      </c>
      <c r="H25" s="19">
        <f>+SUMIFS(JURNAL!H:H,JURNAL!E:E,E25,JURNAL!L:L,$C25,JURNAL!C:C,"&gt;="&amp;$M$17,JURNAL!C:C,"&lt;="&amp;$N$17)</f>
        <v>0</v>
      </c>
      <c r="I25" s="237">
        <f t="shared" si="10"/>
        <v>0</v>
      </c>
      <c r="J25" s="16">
        <v>320100</v>
      </c>
      <c r="K25" s="237">
        <f t="shared" si="11"/>
        <v>0</v>
      </c>
      <c r="L25" s="237">
        <f>+SUMIFS(JURNAL!G:G,JURNAL!E:E,J25,JURNAL!L:L,$C25,JURNAL!C:C,"&gt;="&amp;$M$17,JURNAL!C:C,"&lt;="&amp;$N$17)</f>
        <v>0</v>
      </c>
      <c r="M25" s="19">
        <f>+SUMIFS(JURNAL!H:H,JURNAL!E:E,J25,JURNAL!L:L,$C25,JURNAL!C:C,"&gt;="&amp;$M$17,JURNAL!C:C,"&lt;="&amp;$N$17)</f>
        <v>0</v>
      </c>
      <c r="N25" s="72">
        <f t="shared" si="12"/>
        <v>0</v>
      </c>
      <c r="O25" s="237">
        <f t="shared" si="13"/>
        <v>0</v>
      </c>
      <c r="P25" s="16">
        <f t="shared" si="14"/>
        <v>320100</v>
      </c>
      <c r="Q25" s="16">
        <f t="shared" si="15"/>
        <v>121200</v>
      </c>
    </row>
    <row r="26" spans="2:18" s="237" customFormat="1">
      <c r="B26" s="15">
        <f t="shared" si="8"/>
        <v>7</v>
      </c>
      <c r="C26" s="16">
        <v>1007</v>
      </c>
      <c r="D26" s="779" t="str">
        <f>+IFERROR(VLOOKUP(C26,DATA!$G$4:$H$2000,2,FALSE),"")</f>
        <v xml:space="preserve">Нэргүй </v>
      </c>
      <c r="E26" s="319">
        <v>121200</v>
      </c>
      <c r="F26" s="237">
        <f t="shared" si="9"/>
        <v>0</v>
      </c>
      <c r="G26" s="237">
        <f>+SUMIFS(JURNAL!G:G,JURNAL!E:E,E26,JURNAL!L:L,$C26,JURNAL!C:C,"&gt;="&amp;$M$17,JURNAL!C:C,"&lt;="&amp;$N$17)</f>
        <v>0</v>
      </c>
      <c r="H26" s="19">
        <f>+SUMIFS(JURNAL!H:H,JURNAL!E:E,E26,JURNAL!L:L,$C26,JURNAL!C:C,"&gt;="&amp;$M$17,JURNAL!C:C,"&lt;="&amp;$N$17)</f>
        <v>0</v>
      </c>
      <c r="I26" s="237">
        <f t="shared" si="10"/>
        <v>0</v>
      </c>
      <c r="J26" s="16">
        <v>320100</v>
      </c>
      <c r="K26" s="237">
        <f t="shared" si="11"/>
        <v>0</v>
      </c>
      <c r="L26" s="237">
        <f>+SUMIFS(JURNAL!G:G,JURNAL!E:E,J26,JURNAL!L:L,$C26,JURNAL!C:C,"&gt;="&amp;$M$17,JURNAL!C:C,"&lt;="&amp;$N$17)</f>
        <v>0</v>
      </c>
      <c r="M26" s="19">
        <f>+SUMIFS(JURNAL!H:H,JURNAL!E:E,J26,JURNAL!L:L,$C26,JURNAL!C:C,"&gt;="&amp;$M$17,JURNAL!C:C,"&lt;="&amp;$N$17)</f>
        <v>0</v>
      </c>
      <c r="N26" s="72">
        <f t="shared" si="12"/>
        <v>0</v>
      </c>
      <c r="O26" s="237">
        <f t="shared" si="13"/>
        <v>0</v>
      </c>
      <c r="P26" s="16">
        <f t="shared" si="14"/>
        <v>320100</v>
      </c>
      <c r="Q26" s="16">
        <f t="shared" si="15"/>
        <v>121200</v>
      </c>
    </row>
    <row r="27" spans="2:18">
      <c r="B27" s="15" t="str">
        <f>+IF(C27="","",ROW()-5)</f>
        <v/>
      </c>
      <c r="C27" s="16" t="str">
        <f>IFERROR(VLOOKUP(DATA!#REF!,DATA!#REF!,1,FALSE),"")</f>
        <v/>
      </c>
      <c r="D27" s="16" t="str">
        <f>IFERROR(VLOOKUP(C27,DATA!#REF!,2,FALSE),"")</f>
        <v/>
      </c>
      <c r="I27" s="17"/>
      <c r="J27" s="17"/>
      <c r="P27" s="17"/>
      <c r="Q27" s="17"/>
    </row>
    <row r="28" spans="2:18">
      <c r="B28" s="15" t="str">
        <f>+IF(C28="","",ROW()-5)</f>
        <v/>
      </c>
      <c r="C28" s="16" t="str">
        <f>IFERROR(VLOOKUP(DATA!#REF!,DATA!#REF!,1,FALSE),"")</f>
        <v/>
      </c>
      <c r="D28" s="16" t="str">
        <f>IFERROR(VLOOKUP(C28,DATA!#REF!,2,FALSE),"")</f>
        <v/>
      </c>
      <c r="I28" s="17"/>
      <c r="J28" s="17"/>
      <c r="P28" s="17"/>
      <c r="Q28" s="17"/>
    </row>
    <row r="29" spans="2:18">
      <c r="B29" s="76" t="s">
        <v>1348</v>
      </c>
      <c r="C29" s="76"/>
      <c r="D29" s="76"/>
      <c r="E29" s="315" t="s">
        <v>260</v>
      </c>
      <c r="F29" s="77">
        <f>SUM(F34:F39)</f>
        <v>980000</v>
      </c>
      <c r="G29" s="77">
        <f>SUM(G34:G39)</f>
        <v>713700</v>
      </c>
      <c r="H29" s="77">
        <f>SUM(H34:H39)</f>
        <v>1693700</v>
      </c>
      <c r="I29" s="77">
        <f>SUM(I34:I39)</f>
        <v>0</v>
      </c>
      <c r="J29" s="76" t="s">
        <v>260</v>
      </c>
      <c r="K29" s="77">
        <f>SUM(K34:K37)</f>
        <v>0</v>
      </c>
      <c r="L29" s="77">
        <f>SUM(L34:L37)</f>
        <v>0</v>
      </c>
      <c r="M29" s="77">
        <f>SUM(M34:M37)</f>
        <v>0</v>
      </c>
      <c r="N29" s="77">
        <f>SUM(N34:N37)</f>
        <v>0</v>
      </c>
      <c r="O29" s="77">
        <f>SUM(O34:O759)</f>
        <v>0</v>
      </c>
      <c r="P29" s="183"/>
      <c r="R29" s="237"/>
    </row>
    <row r="30" spans="2:18">
      <c r="D30" s="237"/>
      <c r="E30" s="316" t="s">
        <v>1333</v>
      </c>
      <c r="F30" s="237">
        <f>+F2</f>
        <v>980000</v>
      </c>
      <c r="G30" s="237">
        <f>+STAT1!J11+STAT1!J12+STAT2!J11+STAT2!J12+STAT3!J11+STAT3!J12</f>
        <v>0</v>
      </c>
      <c r="H30" s="237">
        <f>+STAT1!K11+STAT1!K12+STAT2!K11+STAT2!K12+STAT3!K11+STAT3!K12</f>
        <v>0</v>
      </c>
      <c r="I30" s="18">
        <f>+STAT3!V31</f>
        <v>0</v>
      </c>
      <c r="J30" s="16" t="s">
        <v>1333</v>
      </c>
      <c r="K30" s="237">
        <f>+STAT1!I108</f>
        <v>0</v>
      </c>
      <c r="L30" s="237"/>
      <c r="M30" s="237"/>
      <c r="N30" s="237"/>
      <c r="O30" s="237"/>
      <c r="R30" s="237"/>
    </row>
    <row r="31" spans="2:18">
      <c r="B31" s="15">
        <f>+COUNT(B34:B43)</f>
        <v>8</v>
      </c>
      <c r="D31" s="237"/>
      <c r="E31" s="289" t="s">
        <v>1340</v>
      </c>
      <c r="F31" s="237">
        <f>+F30-F29</f>
        <v>0</v>
      </c>
      <c r="G31" s="237"/>
      <c r="H31" s="237"/>
      <c r="I31" s="237">
        <f>+I30-I29</f>
        <v>0</v>
      </c>
      <c r="K31" s="237">
        <f>+K30-K29</f>
        <v>0</v>
      </c>
      <c r="L31" s="111" t="s">
        <v>323</v>
      </c>
      <c r="M31" s="112">
        <v>43101</v>
      </c>
      <c r="N31" s="112">
        <v>43373</v>
      </c>
      <c r="O31" s="237"/>
      <c r="R31" s="237"/>
    </row>
    <row r="32" spans="2:18">
      <c r="B32" s="56" t="s">
        <v>1</v>
      </c>
      <c r="C32" s="57" t="s">
        <v>0</v>
      </c>
      <c r="D32" s="58" t="s">
        <v>296</v>
      </c>
      <c r="E32" s="317" t="s">
        <v>293</v>
      </c>
      <c r="F32" s="992" t="s">
        <v>41</v>
      </c>
      <c r="G32" s="992"/>
      <c r="H32" s="992"/>
      <c r="I32" s="992"/>
      <c r="J32" s="57" t="s">
        <v>293</v>
      </c>
      <c r="K32" s="992" t="s">
        <v>42</v>
      </c>
      <c r="L32" s="992"/>
      <c r="M32" s="992"/>
      <c r="N32" s="992"/>
      <c r="O32" s="84" t="s">
        <v>321</v>
      </c>
      <c r="P32" s="184"/>
      <c r="R32" s="237"/>
    </row>
    <row r="33" spans="2:18">
      <c r="B33" s="56"/>
      <c r="C33" s="57"/>
      <c r="D33" s="58"/>
      <c r="E33" s="318" t="s">
        <v>294</v>
      </c>
      <c r="F33" s="59" t="s">
        <v>40</v>
      </c>
      <c r="G33" s="59" t="s">
        <v>3</v>
      </c>
      <c r="H33" s="59" t="s">
        <v>4</v>
      </c>
      <c r="I33" s="75" t="s">
        <v>295</v>
      </c>
      <c r="J33" s="74" t="s">
        <v>294</v>
      </c>
      <c r="K33" s="59" t="s">
        <v>40</v>
      </c>
      <c r="L33" s="59" t="s">
        <v>3</v>
      </c>
      <c r="M33" s="59" t="s">
        <v>4</v>
      </c>
      <c r="N33" s="75" t="s">
        <v>295</v>
      </c>
      <c r="O33" s="82" t="s">
        <v>322</v>
      </c>
      <c r="P33" s="140" t="s">
        <v>261</v>
      </c>
      <c r="Q33" s="16" t="s">
        <v>262</v>
      </c>
      <c r="R33" s="237"/>
    </row>
    <row r="34" spans="2:18">
      <c r="B34" s="15">
        <f>+IF(C34="","",ROW()-33)</f>
        <v>1</v>
      </c>
      <c r="C34" s="16">
        <v>1001</v>
      </c>
      <c r="D34" s="16" t="str">
        <f>+IFERROR(VLOOKUP(C34,DATA!$G$4:$H$2000,2,FALSE),"")</f>
        <v xml:space="preserve">Энхбат </v>
      </c>
      <c r="E34" s="319">
        <v>121200</v>
      </c>
      <c r="F34" s="237">
        <f>+F6</f>
        <v>0</v>
      </c>
      <c r="G34" s="237">
        <f>SUMIFS(JURNAL!G:G,JURNAL!E:E,E34,JURNAL!L:L,$C34,JURNAL!C:C,"&gt;="&amp;$M$31,JURNAL!C:C,"&lt;="&amp;$N$31)</f>
        <v>0</v>
      </c>
      <c r="H34" s="19">
        <f>+SUMIFS(JURNAL!H:H,JURNAL!E:E,E34,JURNAL!L:L,$C34,JURNAL!C:C,"&gt;="&amp;$M$31,JURNAL!C:C,"&lt;="&amp;$N$31)</f>
        <v>0</v>
      </c>
      <c r="I34" s="237">
        <f t="shared" ref="I34:I40" si="16">+F34+G34-H34</f>
        <v>0</v>
      </c>
      <c r="J34" s="16">
        <v>320100</v>
      </c>
      <c r="K34" s="237">
        <f>+K6</f>
        <v>0</v>
      </c>
      <c r="L34" s="237">
        <f>SUMIFS(JURNAL!G:G,JURNAL!E:E,J34,JURNAL!L:L,$C34,JURNAL!C:C,"&gt;="&amp;$M$31,JURNAL!C:C,"&lt;="&amp;$N$31)</f>
        <v>0</v>
      </c>
      <c r="M34" s="322">
        <f>SUMIFS(JURNAL!H:H,JURNAL!E:E,J34,JURNAL!L:L,$C34,JURNAL!C:C,"&gt;="&amp;$M$31,JURNAL!C:C,"&lt;="&amp;$N$31)</f>
        <v>0</v>
      </c>
      <c r="N34" s="72">
        <f t="shared" ref="N34:N40" si="17">+K34+M34-L34</f>
        <v>0</v>
      </c>
      <c r="O34" s="237">
        <f t="shared" ref="O34:O40" si="18">+IF(I34&lt;N34,I34,N34)</f>
        <v>0</v>
      </c>
      <c r="P34" s="16">
        <f t="shared" ref="P34:P40" si="19">+J34</f>
        <v>320100</v>
      </c>
      <c r="Q34" s="16">
        <f t="shared" ref="Q34:Q40" si="20">+E34</f>
        <v>121200</v>
      </c>
      <c r="R34" s="237"/>
    </row>
    <row r="35" spans="2:18">
      <c r="B35" s="15">
        <f t="shared" ref="B35:B41" si="21">+IF(C35="","",ROW()-33)</f>
        <v>2</v>
      </c>
      <c r="C35" s="16">
        <v>1002</v>
      </c>
      <c r="D35" s="16" t="str">
        <f>+IFERROR(VLOOKUP(C35,DATA!$G$4:$H$2000,2,FALSE),"")</f>
        <v>Бурмаа</v>
      </c>
      <c r="E35" s="319">
        <v>121200</v>
      </c>
      <c r="F35" s="237">
        <f t="shared" ref="F35:F41" si="22">+F7</f>
        <v>0</v>
      </c>
      <c r="G35" s="237">
        <f>SUMIFS(JURNAL!G:G,JURNAL!E:E,E35,JURNAL!L:L,$C35,JURNAL!C:C,"&gt;="&amp;$M$31,JURNAL!C:C,"&lt;="&amp;$N$31)</f>
        <v>0</v>
      </c>
      <c r="H35" s="19">
        <f>+SUMIFS(JURNAL!H:H,JURNAL!E:E,E35,JURNAL!L:L,$C35,JURNAL!C:C,"&gt;="&amp;$M$31,JURNAL!C:C,"&lt;="&amp;$N$31)</f>
        <v>0</v>
      </c>
      <c r="I35" s="237">
        <f t="shared" si="16"/>
        <v>0</v>
      </c>
      <c r="J35" s="16">
        <v>320100</v>
      </c>
      <c r="K35" s="237">
        <f t="shared" ref="K35:K41" si="23">+K7</f>
        <v>0</v>
      </c>
      <c r="L35" s="237">
        <f>SUMIFS(JURNAL!G:G,JURNAL!E:E,J35,JURNAL!L:L,$C35,JURNAL!C:C,"&gt;="&amp;$M$31,JURNAL!C:C,"&lt;="&amp;$N$31)</f>
        <v>0</v>
      </c>
      <c r="M35" s="322">
        <f>SUMIFS(JURNAL!H:H,JURNAL!E:E,J35,JURNAL!L:L,$C35,JURNAL!C:C,"&gt;="&amp;$M$31,JURNAL!C:C,"&lt;="&amp;$N$31)</f>
        <v>0</v>
      </c>
      <c r="N35" s="72">
        <f t="shared" si="17"/>
        <v>0</v>
      </c>
      <c r="O35" s="237">
        <f t="shared" si="18"/>
        <v>0</v>
      </c>
      <c r="P35" s="16">
        <f t="shared" si="19"/>
        <v>320100</v>
      </c>
      <c r="Q35" s="16">
        <f t="shared" si="20"/>
        <v>121200</v>
      </c>
      <c r="R35" s="237"/>
    </row>
    <row r="36" spans="2:18">
      <c r="B36" s="15">
        <f t="shared" si="21"/>
        <v>3</v>
      </c>
      <c r="C36" s="16">
        <v>1003</v>
      </c>
      <c r="D36" s="16" t="str">
        <f>+IFERROR(VLOOKUP(C36,DATA!$G$4:$H$2000,2,FALSE),"")</f>
        <v>Бахдамдэмбэрэл</v>
      </c>
      <c r="E36" s="319">
        <v>121200</v>
      </c>
      <c r="F36" s="237">
        <f t="shared" si="22"/>
        <v>0</v>
      </c>
      <c r="G36" s="237">
        <f>SUMIFS(JURNAL!G:G,JURNAL!E:E,E36,JURNAL!L:L,$C36,JURNAL!C:C,"&gt;="&amp;$M$31,JURNAL!C:C,"&lt;="&amp;$N$31)</f>
        <v>0</v>
      </c>
      <c r="H36" s="19">
        <f>+SUMIFS(JURNAL!H:H,JURNAL!E:E,E36,JURNAL!L:L,$C36,JURNAL!C:C,"&gt;="&amp;$M$31,JURNAL!C:C,"&lt;="&amp;$N$31)</f>
        <v>0</v>
      </c>
      <c r="I36" s="237">
        <f t="shared" si="16"/>
        <v>0</v>
      </c>
      <c r="J36" s="16">
        <v>320100</v>
      </c>
      <c r="K36" s="237">
        <f t="shared" si="23"/>
        <v>0</v>
      </c>
      <c r="L36" s="237">
        <f>SUMIFS(JURNAL!G:G,JURNAL!E:E,J36,JURNAL!L:L,$C36,JURNAL!C:C,"&gt;="&amp;$M$31,JURNAL!C:C,"&lt;="&amp;$N$31)</f>
        <v>0</v>
      </c>
      <c r="M36" s="322">
        <f>SUMIFS(JURNAL!H:H,JURNAL!E:E,J36,JURNAL!L:L,$C36,JURNAL!C:C,"&gt;="&amp;$M$31,JURNAL!C:C,"&lt;="&amp;$N$31)</f>
        <v>0</v>
      </c>
      <c r="N36" s="72">
        <f t="shared" si="17"/>
        <v>0</v>
      </c>
      <c r="O36" s="237">
        <f t="shared" si="18"/>
        <v>0</v>
      </c>
      <c r="P36" s="16">
        <f t="shared" si="19"/>
        <v>320100</v>
      </c>
      <c r="Q36" s="16">
        <f t="shared" si="20"/>
        <v>121200</v>
      </c>
      <c r="R36" s="237"/>
    </row>
    <row r="37" spans="2:18">
      <c r="B37" s="15">
        <f t="shared" si="21"/>
        <v>4</v>
      </c>
      <c r="C37" s="16">
        <v>1004</v>
      </c>
      <c r="D37" s="16" t="str">
        <f>+IFERROR(VLOOKUP(C37,DATA!$G$4:$H$2000,2,FALSE),"")</f>
        <v xml:space="preserve">Түмэндэлгэр </v>
      </c>
      <c r="E37" s="319">
        <v>121200</v>
      </c>
      <c r="F37" s="237">
        <f t="shared" si="22"/>
        <v>0</v>
      </c>
      <c r="G37" s="237">
        <f>SUMIFS(JURNAL!G:G,JURNAL!E:E,E37,JURNAL!L:L,$C37,JURNAL!C:C,"&gt;="&amp;$M$31,JURNAL!C:C,"&lt;="&amp;$N$31)</f>
        <v>713700</v>
      </c>
      <c r="H37" s="19">
        <f>+SUMIFS(JURNAL!H:H,JURNAL!E:E,E37,JURNAL!L:L,$C37,JURNAL!C:C,"&gt;="&amp;$M$31,JURNAL!C:C,"&lt;="&amp;$N$31)</f>
        <v>713700</v>
      </c>
      <c r="I37" s="237">
        <f t="shared" si="16"/>
        <v>0</v>
      </c>
      <c r="J37" s="16">
        <v>320100</v>
      </c>
      <c r="K37" s="237">
        <f t="shared" si="23"/>
        <v>0</v>
      </c>
      <c r="L37" s="237">
        <f>SUMIFS(JURNAL!G:G,JURNAL!E:E,J37,JURNAL!L:L,$C37,JURNAL!C:C,"&gt;="&amp;$M$31,JURNAL!C:C,"&lt;="&amp;$N$31)</f>
        <v>0</v>
      </c>
      <c r="M37" s="322">
        <f>SUMIFS(JURNAL!H:H,JURNAL!E:E,J37,JURNAL!L:L,$C37,JURNAL!C:C,"&gt;="&amp;$M$31,JURNAL!C:C,"&lt;="&amp;$N$31)</f>
        <v>0</v>
      </c>
      <c r="N37" s="72">
        <f t="shared" si="17"/>
        <v>0</v>
      </c>
      <c r="O37" s="237">
        <f t="shared" si="18"/>
        <v>0</v>
      </c>
      <c r="P37" s="16">
        <f t="shared" si="19"/>
        <v>320100</v>
      </c>
      <c r="Q37" s="16">
        <f t="shared" si="20"/>
        <v>121200</v>
      </c>
      <c r="R37" s="237"/>
    </row>
    <row r="38" spans="2:18">
      <c r="B38" s="15">
        <f t="shared" si="21"/>
        <v>5</v>
      </c>
      <c r="C38" s="16">
        <v>1005</v>
      </c>
      <c r="D38" s="16" t="str">
        <f>+IFERROR(VLOOKUP(C38,DATA!$G$4:$H$2000,2,FALSE),"")</f>
        <v>Золжаргал</v>
      </c>
      <c r="E38" s="319">
        <v>121200</v>
      </c>
      <c r="F38" s="237">
        <f t="shared" si="22"/>
        <v>980000</v>
      </c>
      <c r="G38" s="237">
        <f>SUMIFS(JURNAL!G:G,JURNAL!E:E,E38,JURNAL!L:L,$C38,JURNAL!C:C,"&gt;="&amp;$M$31,JURNAL!C:C,"&lt;="&amp;$N$31)</f>
        <v>0</v>
      </c>
      <c r="H38" s="19">
        <f>+SUMIFS(JURNAL!H:H,JURNAL!E:E,E38,JURNAL!L:L,$C38,JURNAL!C:C,"&gt;="&amp;$M$31,JURNAL!C:C,"&lt;="&amp;$N$31)</f>
        <v>980000</v>
      </c>
      <c r="I38" s="237">
        <f t="shared" si="16"/>
        <v>0</v>
      </c>
      <c r="J38" s="16">
        <v>320100</v>
      </c>
      <c r="K38" s="237">
        <f t="shared" si="23"/>
        <v>0</v>
      </c>
      <c r="L38" s="237">
        <f>SUMIFS(JURNAL!G:G,JURNAL!E:E,J38,JURNAL!L:L,$C38,JURNAL!C:C,"&gt;="&amp;$M$31,JURNAL!C:C,"&lt;="&amp;$N$31)</f>
        <v>0</v>
      </c>
      <c r="M38" s="322">
        <f>SUMIFS(JURNAL!H:H,JURNAL!E:E,J38,JURNAL!L:L,$C38,JURNAL!C:C,"&gt;="&amp;$M$31,JURNAL!C:C,"&lt;="&amp;$N$31)</f>
        <v>0</v>
      </c>
      <c r="N38" s="72">
        <f t="shared" si="17"/>
        <v>0</v>
      </c>
      <c r="O38" s="237">
        <f t="shared" si="18"/>
        <v>0</v>
      </c>
      <c r="P38" s="16">
        <f t="shared" si="19"/>
        <v>320100</v>
      </c>
      <c r="Q38" s="16">
        <f t="shared" si="20"/>
        <v>121200</v>
      </c>
      <c r="R38" s="237"/>
    </row>
    <row r="39" spans="2:18">
      <c r="B39" s="15">
        <f t="shared" si="21"/>
        <v>6</v>
      </c>
      <c r="C39" s="16">
        <v>1006</v>
      </c>
      <c r="D39" s="16" t="str">
        <f>+IFERROR(VLOOKUP(C39,DATA!$G$4:$H$2000,2,FALSE),"")</f>
        <v>Оюундэлгэр /нярав/</v>
      </c>
      <c r="E39" s="319">
        <v>121200</v>
      </c>
      <c r="F39" s="237">
        <f t="shared" si="22"/>
        <v>0</v>
      </c>
      <c r="G39" s="237">
        <f>SUMIFS(JURNAL!G:G,JURNAL!E:E,E39,JURNAL!L:L,$C39,JURNAL!C:C,"&gt;="&amp;$M$31,JURNAL!C:C,"&lt;="&amp;$N$31)</f>
        <v>0</v>
      </c>
      <c r="H39" s="19">
        <f>+SUMIFS(JURNAL!H:H,JURNAL!E:E,E39,JURNAL!L:L,$C39,JURNAL!C:C,"&gt;="&amp;$M$31,JURNAL!C:C,"&lt;="&amp;$N$31)</f>
        <v>0</v>
      </c>
      <c r="I39" s="237">
        <f t="shared" si="16"/>
        <v>0</v>
      </c>
      <c r="J39" s="16">
        <v>320100</v>
      </c>
      <c r="K39" s="237">
        <f t="shared" si="23"/>
        <v>0</v>
      </c>
      <c r="L39" s="237">
        <f>SUMIFS(JURNAL!G:G,JURNAL!E:E,J39,JURNAL!L:L,$C39,JURNAL!C:C,"&gt;="&amp;$M$31,JURNAL!C:C,"&lt;="&amp;$N$31)</f>
        <v>0</v>
      </c>
      <c r="M39" s="322">
        <f>SUMIFS(JURNAL!H:H,JURNAL!E:E,J39,JURNAL!L:L,$C39,JURNAL!C:C,"&gt;="&amp;$M$31,JURNAL!C:C,"&lt;="&amp;$N$31)</f>
        <v>0</v>
      </c>
      <c r="N39" s="72">
        <f t="shared" si="17"/>
        <v>0</v>
      </c>
      <c r="O39" s="237">
        <f t="shared" si="18"/>
        <v>0</v>
      </c>
      <c r="P39" s="16">
        <f t="shared" si="19"/>
        <v>320100</v>
      </c>
      <c r="Q39" s="16">
        <f t="shared" si="20"/>
        <v>121200</v>
      </c>
      <c r="R39" s="237"/>
    </row>
    <row r="40" spans="2:18">
      <c r="B40" s="15">
        <f t="shared" si="21"/>
        <v>7</v>
      </c>
      <c r="C40" s="16">
        <v>1007</v>
      </c>
      <c r="D40" s="779" t="str">
        <f>+IFERROR(VLOOKUP(C40,DATA!$G$4:$H$2000,2,FALSE),"")</f>
        <v xml:space="preserve">Нэргүй </v>
      </c>
      <c r="E40" s="319">
        <v>121200</v>
      </c>
      <c r="F40" s="237">
        <f t="shared" si="22"/>
        <v>0</v>
      </c>
      <c r="G40" s="237">
        <f>SUMIFS(JURNAL!G:G,JURNAL!E:E,E40,JURNAL!L:L,$C40,JURNAL!C:C,"&gt;="&amp;$M$31,JURNAL!C:C,"&lt;="&amp;$N$31)</f>
        <v>0</v>
      </c>
      <c r="H40" s="19">
        <f>+SUMIFS(JURNAL!H:H,JURNAL!E:E,E40,JURNAL!L:L,$C40,JURNAL!C:C,"&gt;="&amp;$M$31,JURNAL!C:C,"&lt;="&amp;$N$31)</f>
        <v>0</v>
      </c>
      <c r="I40" s="237">
        <f t="shared" si="16"/>
        <v>0</v>
      </c>
      <c r="J40" s="16">
        <v>320100</v>
      </c>
      <c r="K40" s="237">
        <f t="shared" si="23"/>
        <v>0</v>
      </c>
      <c r="L40" s="237">
        <f>SUMIFS(JURNAL!G:G,JURNAL!E:E,J40,JURNAL!L:L,$C40,JURNAL!C:C,"&gt;="&amp;$M$31,JURNAL!C:C,"&lt;="&amp;$N$31)</f>
        <v>0</v>
      </c>
      <c r="M40" s="322">
        <f>SUMIFS(JURNAL!H:H,JURNAL!E:E,J40,JURNAL!L:L,$C40,JURNAL!C:C,"&gt;="&amp;$M$31,JURNAL!C:C,"&lt;="&amp;$N$31)</f>
        <v>0</v>
      </c>
      <c r="N40" s="72">
        <f t="shared" si="17"/>
        <v>0</v>
      </c>
      <c r="O40" s="237">
        <f t="shared" si="18"/>
        <v>0</v>
      </c>
      <c r="P40" s="16">
        <f t="shared" si="19"/>
        <v>320100</v>
      </c>
      <c r="Q40" s="16">
        <f t="shared" si="20"/>
        <v>121200</v>
      </c>
      <c r="R40" s="237"/>
    </row>
    <row r="41" spans="2:18">
      <c r="B41" s="15">
        <f t="shared" si="21"/>
        <v>8</v>
      </c>
      <c r="C41" s="16">
        <v>1008</v>
      </c>
      <c r="D41" s="779" t="str">
        <f>+IFERROR(VLOOKUP(C41,DATA!$G$4:$H$2000,2,FALSE),"")</f>
        <v xml:space="preserve">Оюунтүлхүүр </v>
      </c>
      <c r="E41" s="319">
        <v>121200</v>
      </c>
      <c r="F41" s="237">
        <f t="shared" si="22"/>
        <v>0</v>
      </c>
      <c r="G41" s="237">
        <f>SUMIFS(JURNAL!G:G,JURNAL!E:E,E41,JURNAL!L:L,$C41,JURNAL!C:C,"&gt;="&amp;$M$31,JURNAL!C:C,"&lt;="&amp;$N$31)</f>
        <v>7605900</v>
      </c>
      <c r="H41" s="19">
        <f>+SUMIFS(JURNAL!H:H,JURNAL!E:E,E41,JURNAL!L:L,$C41,JURNAL!C:C,"&gt;="&amp;$M$31,JURNAL!C:C,"&lt;="&amp;$N$31)</f>
        <v>7605900</v>
      </c>
      <c r="I41" s="237">
        <f t="shared" ref="I41" si="24">+F41+G41-H41</f>
        <v>0</v>
      </c>
      <c r="J41" s="16">
        <v>320100</v>
      </c>
      <c r="K41" s="237">
        <f t="shared" si="23"/>
        <v>0</v>
      </c>
      <c r="L41" s="237">
        <f>SUMIFS(JURNAL!G:G,JURNAL!E:E,J41,JURNAL!L:L,$C41,JURNAL!C:C,"&gt;="&amp;$M$31,JURNAL!C:C,"&lt;="&amp;$N$31)</f>
        <v>0</v>
      </c>
      <c r="M41" s="322">
        <f>SUMIFS(JURNAL!H:H,JURNAL!E:E,J41,JURNAL!L:L,$C41,JURNAL!C:C,"&gt;="&amp;$M$31,JURNAL!C:C,"&lt;="&amp;$N$31)</f>
        <v>0</v>
      </c>
      <c r="N41" s="72">
        <f t="shared" ref="N41" si="25">+K41+M41-L41</f>
        <v>0</v>
      </c>
      <c r="O41" s="237">
        <f t="shared" ref="O41" si="26">+IF(I41&lt;N41,I41,N41)</f>
        <v>0</v>
      </c>
      <c r="P41" s="16">
        <f t="shared" ref="P41" si="27">+J41</f>
        <v>320100</v>
      </c>
      <c r="Q41" s="16">
        <f t="shared" ref="Q41" si="28">+E41</f>
        <v>121200</v>
      </c>
    </row>
    <row r="42" spans="2:18">
      <c r="B42" s="15" t="str">
        <f>+IF(C42="","",ROW()-5)</f>
        <v/>
      </c>
      <c r="C42" s="16" t="str">
        <f>IFERROR(VLOOKUP(DATA!#REF!,DATA!#REF!,1,FALSE),"")</f>
        <v/>
      </c>
      <c r="D42" s="16" t="str">
        <f>IFERROR(VLOOKUP(C42,DATA!#REF!,2,FALSE),"")</f>
        <v/>
      </c>
      <c r="I42" s="17"/>
      <c r="J42" s="17"/>
      <c r="P42" s="17"/>
      <c r="Q42" s="17"/>
    </row>
    <row r="43" spans="2:18">
      <c r="B43" s="15" t="str">
        <f>+IF(C43="","",ROW()-5)</f>
        <v/>
      </c>
      <c r="C43" s="16" t="str">
        <f>IFERROR(VLOOKUP(DATA!#REF!,DATA!#REF!,1,FALSE),"")</f>
        <v/>
      </c>
      <c r="D43" s="16" t="str">
        <f>IFERROR(VLOOKUP(C43,DATA!#REF!,2,FALSE),"")</f>
        <v/>
      </c>
      <c r="I43" s="17"/>
      <c r="J43" s="17"/>
      <c r="P43" s="17"/>
      <c r="Q43" s="17"/>
    </row>
    <row r="44" spans="2:18">
      <c r="B44" s="76" t="s">
        <v>2367</v>
      </c>
      <c r="C44" s="76"/>
      <c r="D44" s="76"/>
      <c r="E44" s="315" t="s">
        <v>260</v>
      </c>
      <c r="F44" s="77">
        <f>SUM(F49:F54)</f>
        <v>980000</v>
      </c>
      <c r="G44" s="77">
        <f>SUM(G49:G54)</f>
        <v>5387700</v>
      </c>
      <c r="H44" s="77">
        <f>SUM(H49:H54)</f>
        <v>6367700</v>
      </c>
      <c r="I44" s="77">
        <f>SUM(I49:I54)</f>
        <v>0</v>
      </c>
      <c r="J44" s="76" t="s">
        <v>260</v>
      </c>
      <c r="K44" s="77">
        <f>SUM(K49:K52)</f>
        <v>0</v>
      </c>
      <c r="L44" s="77">
        <f>SUM(L49:L52)</f>
        <v>0</v>
      </c>
      <c r="M44" s="77">
        <f>SUM(M49:M52)</f>
        <v>0</v>
      </c>
      <c r="N44" s="77">
        <f>SUM(N49:N52)</f>
        <v>0</v>
      </c>
      <c r="O44" s="77">
        <f>SUM(O49:O774)</f>
        <v>0</v>
      </c>
      <c r="P44" s="183"/>
    </row>
    <row r="45" spans="2:18">
      <c r="D45" s="237"/>
      <c r="E45" s="316" t="s">
        <v>1333</v>
      </c>
      <c r="F45" s="237">
        <f>+F17</f>
        <v>0</v>
      </c>
      <c r="G45" s="237">
        <f>+STAT1!J26+STAT1!J27+STAT2!J26+STAT2!J27+STAT3!J26+STAT3!J27</f>
        <v>600000</v>
      </c>
      <c r="H45" s="237">
        <f>+STAT1!K26+STAT1!K27+STAT2!K26+STAT2!K27+STAT3!K26+STAT3!K27</f>
        <v>0</v>
      </c>
      <c r="I45" s="18">
        <f>+STAT3!V46</f>
        <v>0</v>
      </c>
      <c r="J45" s="16" t="s">
        <v>1333</v>
      </c>
      <c r="K45" s="237">
        <f>+STAT1!I123</f>
        <v>0</v>
      </c>
      <c r="L45" s="237"/>
      <c r="M45" s="237"/>
      <c r="N45" s="237"/>
      <c r="O45" s="237"/>
    </row>
    <row r="46" spans="2:18">
      <c r="B46" s="15">
        <f>+COUNT(B49:B58)</f>
        <v>8</v>
      </c>
      <c r="D46" s="237"/>
      <c r="E46" s="289" t="s">
        <v>1340</v>
      </c>
      <c r="F46" s="237">
        <f>+F45-F44</f>
        <v>-980000</v>
      </c>
      <c r="G46" s="237"/>
      <c r="H46" s="237"/>
      <c r="I46" s="237">
        <f>+I45-I44</f>
        <v>0</v>
      </c>
      <c r="K46" s="237">
        <f>+K45-K44</f>
        <v>0</v>
      </c>
      <c r="L46" s="111" t="s">
        <v>323</v>
      </c>
      <c r="M46" s="112">
        <v>43101</v>
      </c>
      <c r="N46" s="112">
        <v>43465</v>
      </c>
      <c r="O46" s="237"/>
    </row>
    <row r="47" spans="2:18">
      <c r="B47" s="56" t="s">
        <v>1</v>
      </c>
      <c r="C47" s="57" t="s">
        <v>0</v>
      </c>
      <c r="D47" s="58" t="s">
        <v>296</v>
      </c>
      <c r="E47" s="317" t="s">
        <v>293</v>
      </c>
      <c r="F47" s="992" t="s">
        <v>41</v>
      </c>
      <c r="G47" s="992"/>
      <c r="H47" s="992"/>
      <c r="I47" s="992"/>
      <c r="J47" s="57" t="s">
        <v>293</v>
      </c>
      <c r="K47" s="992" t="s">
        <v>42</v>
      </c>
      <c r="L47" s="992"/>
      <c r="M47" s="992"/>
      <c r="N47" s="992"/>
      <c r="O47" s="84" t="s">
        <v>321</v>
      </c>
      <c r="P47" s="184"/>
    </row>
    <row r="48" spans="2:18">
      <c r="B48" s="56"/>
      <c r="C48" s="57"/>
      <c r="D48" s="58"/>
      <c r="E48" s="318" t="s">
        <v>294</v>
      </c>
      <c r="F48" s="59" t="s">
        <v>40</v>
      </c>
      <c r="G48" s="59" t="s">
        <v>3</v>
      </c>
      <c r="H48" s="59" t="s">
        <v>4</v>
      </c>
      <c r="I48" s="75" t="s">
        <v>295</v>
      </c>
      <c r="J48" s="74" t="s">
        <v>294</v>
      </c>
      <c r="K48" s="59" t="s">
        <v>40</v>
      </c>
      <c r="L48" s="59" t="s">
        <v>3</v>
      </c>
      <c r="M48" s="59" t="s">
        <v>4</v>
      </c>
      <c r="N48" s="75" t="s">
        <v>295</v>
      </c>
      <c r="O48" s="677" t="s">
        <v>322</v>
      </c>
      <c r="P48" s="140" t="s">
        <v>261</v>
      </c>
      <c r="Q48" s="16" t="s">
        <v>262</v>
      </c>
    </row>
    <row r="49" spans="2:17">
      <c r="B49" s="15">
        <f>+IF(C49="","",ROW()-48)</f>
        <v>1</v>
      </c>
      <c r="C49" s="16">
        <v>1001</v>
      </c>
      <c r="D49" s="16" t="str">
        <f>+IFERROR(VLOOKUP(C49,DATA!$G$4:$H$2000,2,FALSE),"")</f>
        <v xml:space="preserve">Энхбат </v>
      </c>
      <c r="E49" s="319">
        <v>121200</v>
      </c>
      <c r="F49" s="237">
        <f>+F21</f>
        <v>0</v>
      </c>
      <c r="G49" s="237">
        <f>SUMIFS(JURNAL!G:G,JURNAL!E:E,E49,JURNAL!L:L,$C49,JURNAL!C:C,"&gt;="&amp;$M$46,JURNAL!C:C,"&lt;="&amp;$N$46)</f>
        <v>0</v>
      </c>
      <c r="H49" s="19">
        <f>+SUMIFS(JURNAL!H:H,JURNAL!E:E,E49,JURNAL!L:L,$C49,JURNAL!C:C,"&gt;="&amp;$M$46,JURNAL!C:C,"&lt;="&amp;$N$46)</f>
        <v>0</v>
      </c>
      <c r="I49" s="237">
        <f>+F49+G49-H49</f>
        <v>0</v>
      </c>
      <c r="J49" s="16">
        <v>320100</v>
      </c>
      <c r="K49" s="237">
        <f>+K21</f>
        <v>0</v>
      </c>
      <c r="L49" s="237">
        <f>SUMIFS(JURNAL!G:G,JURNAL!E:E,$M$46,JURNAL!L:L,$N$46,JURNAL!C:C,"&gt;="&amp;$M$31,JURNAL!C:C,"&lt;="&amp;$N$31)</f>
        <v>0</v>
      </c>
      <c r="M49" s="322">
        <f>SUMIFS(JURNAL!H:H,JURNAL!E:E,$M$46,JURNAL!L:L,$N$46,JURNAL!C:C,"&gt;="&amp;$M$31,JURNAL!C:C,"&lt;="&amp;$N$31)</f>
        <v>0</v>
      </c>
      <c r="N49" s="72">
        <f t="shared" ref="N49:N55" si="29">+K49+M49-L49</f>
        <v>0</v>
      </c>
      <c r="O49" s="237">
        <f t="shared" ref="O49:O55" si="30">+IF(I49&lt;N49,I49,N49)</f>
        <v>0</v>
      </c>
      <c r="P49" s="16">
        <f>+J49</f>
        <v>320100</v>
      </c>
      <c r="Q49" s="16">
        <f>+E49</f>
        <v>121200</v>
      </c>
    </row>
    <row r="50" spans="2:17">
      <c r="B50" s="15">
        <f t="shared" ref="B50:B55" si="31">+IF(C50="","",ROW()-48)</f>
        <v>2</v>
      </c>
      <c r="C50" s="16">
        <v>1002</v>
      </c>
      <c r="D50" s="16" t="str">
        <f>+IFERROR(VLOOKUP(C50,DATA!$G$4:$H$2000,2,FALSE),"")</f>
        <v>Бурмаа</v>
      </c>
      <c r="E50" s="319">
        <v>121200</v>
      </c>
      <c r="F50" s="237">
        <f t="shared" ref="F50:F56" si="32">+F22</f>
        <v>0</v>
      </c>
      <c r="G50" s="237">
        <f>SUMIFS(JURNAL!G:G,JURNAL!E:E,E50,JURNAL!L:L,$C50,JURNAL!C:C,"&gt;="&amp;$M$46,JURNAL!C:C,"&lt;="&amp;$N$46)</f>
        <v>0</v>
      </c>
      <c r="H50" s="19">
        <f>+SUMIFS(JURNAL!H:H,JURNAL!E:E,E50,JURNAL!L:L,$C50,JURNAL!C:C,"&gt;="&amp;$M$46,JURNAL!C:C,"&lt;="&amp;$N$46)</f>
        <v>0</v>
      </c>
      <c r="I50" s="237">
        <f t="shared" ref="I50:I55" si="33">+F50+G50-H50</f>
        <v>0</v>
      </c>
      <c r="J50" s="16">
        <v>320100</v>
      </c>
      <c r="K50" s="237">
        <f t="shared" ref="K50:K56" si="34">+K22</f>
        <v>0</v>
      </c>
      <c r="L50" s="237">
        <f>SUMIFS(JURNAL!G:G,JURNAL!E:E,$M$46,JURNAL!L:L,$N$46,JURNAL!C:C,"&gt;="&amp;$M$31,JURNAL!C:C,"&lt;="&amp;$N$31)</f>
        <v>0</v>
      </c>
      <c r="M50" s="322">
        <f>SUMIFS(JURNAL!H:H,JURNAL!E:E,$M$46,JURNAL!L:L,$N$46,JURNAL!C:C,"&gt;="&amp;$M$31,JURNAL!C:C,"&lt;="&amp;$N$31)</f>
        <v>0</v>
      </c>
      <c r="N50" s="72">
        <f t="shared" si="29"/>
        <v>0</v>
      </c>
      <c r="O50" s="237">
        <f t="shared" si="30"/>
        <v>0</v>
      </c>
      <c r="P50" s="16">
        <f t="shared" ref="P50:P55" si="35">+J50</f>
        <v>320100</v>
      </c>
      <c r="Q50" s="16">
        <f t="shared" ref="Q50:Q55" si="36">+E50</f>
        <v>121200</v>
      </c>
    </row>
    <row r="51" spans="2:17">
      <c r="B51" s="15">
        <f t="shared" si="31"/>
        <v>3</v>
      </c>
      <c r="C51" s="16">
        <v>1003</v>
      </c>
      <c r="D51" s="16" t="str">
        <f>+IFERROR(VLOOKUP(C51,DATA!$G$4:$H$2000,2,FALSE),"")</f>
        <v>Бахдамдэмбэрэл</v>
      </c>
      <c r="E51" s="319">
        <v>121200</v>
      </c>
      <c r="F51" s="237">
        <f t="shared" si="32"/>
        <v>0</v>
      </c>
      <c r="G51" s="237">
        <f>SUMIFS(JURNAL!G:G,JURNAL!E:E,E51,JURNAL!L:L,$C51,JURNAL!C:C,"&gt;="&amp;$M$46,JURNAL!C:C,"&lt;="&amp;$N$46)</f>
        <v>0</v>
      </c>
      <c r="H51" s="19">
        <f>+SUMIFS(JURNAL!H:H,JURNAL!E:E,E51,JURNAL!L:L,$C51,JURNAL!C:C,"&gt;="&amp;$M$46,JURNAL!C:C,"&lt;="&amp;$N$46)</f>
        <v>0</v>
      </c>
      <c r="I51" s="237">
        <f t="shared" si="33"/>
        <v>0</v>
      </c>
      <c r="J51" s="16">
        <v>320100</v>
      </c>
      <c r="K51" s="237">
        <f t="shared" si="34"/>
        <v>0</v>
      </c>
      <c r="L51" s="237">
        <f>SUMIFS(JURNAL!G:G,JURNAL!E:E,$M$46,JURNAL!L:L,$N$46,JURNAL!C:C,"&gt;="&amp;$M$31,JURNAL!C:C,"&lt;="&amp;$N$31)</f>
        <v>0</v>
      </c>
      <c r="M51" s="322">
        <f>SUMIFS(JURNAL!H:H,JURNAL!E:E,$M$46,JURNAL!L:L,$N$46,JURNAL!C:C,"&gt;="&amp;$M$31,JURNAL!C:C,"&lt;="&amp;$N$31)</f>
        <v>0</v>
      </c>
      <c r="N51" s="72">
        <f t="shared" si="29"/>
        <v>0</v>
      </c>
      <c r="O51" s="237">
        <f t="shared" si="30"/>
        <v>0</v>
      </c>
      <c r="P51" s="16">
        <f t="shared" si="35"/>
        <v>320100</v>
      </c>
      <c r="Q51" s="16">
        <f t="shared" si="36"/>
        <v>121200</v>
      </c>
    </row>
    <row r="52" spans="2:17">
      <c r="B52" s="15">
        <f t="shared" si="31"/>
        <v>4</v>
      </c>
      <c r="C52" s="16">
        <v>1004</v>
      </c>
      <c r="D52" s="16" t="str">
        <f>+IFERROR(VLOOKUP(C52,DATA!$G$4:$H$2000,2,FALSE),"")</f>
        <v xml:space="preserve">Түмэндэлгэр </v>
      </c>
      <c r="E52" s="319">
        <v>121200</v>
      </c>
      <c r="F52" s="237"/>
      <c r="G52" s="237">
        <f>SUMIFS(JURNAL!G:G,JURNAL!E:E,E52,JURNAL!L:L,$C52,JURNAL!C:C,"&gt;="&amp;$M$46,JURNAL!C:C,"&lt;="&amp;$N$46)</f>
        <v>713700</v>
      </c>
      <c r="H52" s="19">
        <f>+SUMIFS(JURNAL!H:H,JURNAL!E:E,E52,JURNAL!L:L,$C52,JURNAL!C:C,"&gt;="&amp;$M$46,JURNAL!C:C,"&lt;="&amp;$N$46)</f>
        <v>713700</v>
      </c>
      <c r="I52" s="237">
        <f>+F52+G52-H52</f>
        <v>0</v>
      </c>
      <c r="J52" s="16">
        <v>320100</v>
      </c>
      <c r="K52" s="237">
        <f t="shared" si="34"/>
        <v>0</v>
      </c>
      <c r="L52" s="237">
        <f>SUMIFS(JURNAL!G:G,JURNAL!E:E,$M$46,JURNAL!L:L,$N$46,JURNAL!C:C,"&gt;="&amp;$M$31,JURNAL!C:C,"&lt;="&amp;$N$31)</f>
        <v>0</v>
      </c>
      <c r="M52" s="322">
        <f>SUMIFS(JURNAL!H:H,JURNAL!E:E,$M$46,JURNAL!L:L,$N$46,JURNAL!C:C,"&gt;="&amp;$M$31,JURNAL!C:C,"&lt;="&amp;$N$31)</f>
        <v>0</v>
      </c>
      <c r="N52" s="72">
        <f t="shared" si="29"/>
        <v>0</v>
      </c>
      <c r="O52" s="237">
        <f t="shared" si="30"/>
        <v>0</v>
      </c>
      <c r="P52" s="16">
        <f t="shared" si="35"/>
        <v>320100</v>
      </c>
      <c r="Q52" s="16">
        <f t="shared" si="36"/>
        <v>121200</v>
      </c>
    </row>
    <row r="53" spans="2:17">
      <c r="B53" s="15">
        <f t="shared" si="31"/>
        <v>5</v>
      </c>
      <c r="C53" s="16">
        <v>1005</v>
      </c>
      <c r="D53" s="16" t="str">
        <f>+IFERROR(VLOOKUP(C53,DATA!$G$4:$H$2000,2,FALSE),"")</f>
        <v>Золжаргал</v>
      </c>
      <c r="E53" s="319">
        <v>121200</v>
      </c>
      <c r="F53" s="237">
        <v>980000</v>
      </c>
      <c r="G53" s="237">
        <f>SUMIFS(JURNAL!G:G,JURNAL!E:E,E53,JURNAL!L:L,$C53,JURNAL!C:C,"&gt;="&amp;$M$46,JURNAL!C:C,"&lt;="&amp;$N$46)</f>
        <v>4674000</v>
      </c>
      <c r="H53" s="19">
        <f>+SUMIFS(JURNAL!H:H,JURNAL!E:E,E53,JURNAL!L:L,$C53,JURNAL!C:C,"&gt;="&amp;$M$46,JURNAL!C:C,"&lt;="&amp;$N$46)</f>
        <v>5654000</v>
      </c>
      <c r="I53" s="237">
        <f t="shared" si="33"/>
        <v>0</v>
      </c>
      <c r="J53" s="16">
        <v>320100</v>
      </c>
      <c r="K53" s="237">
        <f t="shared" si="34"/>
        <v>0</v>
      </c>
      <c r="L53" s="237">
        <f>SUMIFS(JURNAL!G:G,JURNAL!E:E,$M$46,JURNAL!L:L,$N$46,JURNAL!C:C,"&gt;="&amp;$M$31,JURNAL!C:C,"&lt;="&amp;$N$31)</f>
        <v>0</v>
      </c>
      <c r="M53" s="322">
        <f>SUMIFS(JURNAL!H:H,JURNAL!E:E,$M$46,JURNAL!L:L,$N$46,JURNAL!C:C,"&gt;="&amp;$M$31,JURNAL!C:C,"&lt;="&amp;$N$31)</f>
        <v>0</v>
      </c>
      <c r="N53" s="72">
        <f t="shared" si="29"/>
        <v>0</v>
      </c>
      <c r="O53" s="237">
        <f t="shared" si="30"/>
        <v>0</v>
      </c>
      <c r="P53" s="16">
        <f t="shared" si="35"/>
        <v>320100</v>
      </c>
      <c r="Q53" s="16">
        <f t="shared" si="36"/>
        <v>121200</v>
      </c>
    </row>
    <row r="54" spans="2:17">
      <c r="B54" s="15">
        <f t="shared" si="31"/>
        <v>6</v>
      </c>
      <c r="C54" s="16">
        <v>1006</v>
      </c>
      <c r="D54" s="16" t="str">
        <f>+IFERROR(VLOOKUP(C54,DATA!$G$4:$H$2000,2,FALSE),"")</f>
        <v>Оюундэлгэр /нярав/</v>
      </c>
      <c r="E54" s="319">
        <v>121200</v>
      </c>
      <c r="F54" s="237">
        <f t="shared" si="32"/>
        <v>0</v>
      </c>
      <c r="G54" s="237">
        <f>SUMIFS(JURNAL!G:G,JURNAL!E:E,E54,JURNAL!L:L,$C54,JURNAL!C:C,"&gt;="&amp;$M$46,JURNAL!C:C,"&lt;="&amp;$N$46)</f>
        <v>0</v>
      </c>
      <c r="H54" s="19">
        <f>+SUMIFS(JURNAL!H:H,JURNAL!E:E,E54,JURNAL!L:L,$C54,JURNAL!C:C,"&gt;="&amp;$M$46,JURNAL!C:C,"&lt;="&amp;$N$46)</f>
        <v>0</v>
      </c>
      <c r="I54" s="237">
        <f t="shared" si="33"/>
        <v>0</v>
      </c>
      <c r="J54" s="16">
        <v>320100</v>
      </c>
      <c r="K54" s="237">
        <f t="shared" si="34"/>
        <v>0</v>
      </c>
      <c r="L54" s="237">
        <f>SUMIFS(JURNAL!G:G,JURNAL!E:E,$M$46,JURNAL!L:L,$N$46,JURNAL!C:C,"&gt;="&amp;$M$31,JURNAL!C:C,"&lt;="&amp;$N$31)</f>
        <v>0</v>
      </c>
      <c r="M54" s="322">
        <f>SUMIFS(JURNAL!H:H,JURNAL!E:E,$M$46,JURNAL!L:L,$N$46,JURNAL!C:C,"&gt;="&amp;$M$31,JURNAL!C:C,"&lt;="&amp;$N$31)</f>
        <v>0</v>
      </c>
      <c r="N54" s="72">
        <f t="shared" si="29"/>
        <v>0</v>
      </c>
      <c r="O54" s="237">
        <f t="shared" si="30"/>
        <v>0</v>
      </c>
      <c r="P54" s="16">
        <f t="shared" si="35"/>
        <v>320100</v>
      </c>
      <c r="Q54" s="16">
        <f t="shared" si="36"/>
        <v>121200</v>
      </c>
    </row>
    <row r="55" spans="2:17">
      <c r="B55" s="15">
        <f t="shared" si="31"/>
        <v>7</v>
      </c>
      <c r="C55" s="16">
        <v>1007</v>
      </c>
      <c r="D55" s="779" t="str">
        <f>+IFERROR(VLOOKUP(C55,DATA!$G$4:$H$2000,2,FALSE),"")</f>
        <v xml:space="preserve">Нэргүй </v>
      </c>
      <c r="E55" s="319">
        <v>121200</v>
      </c>
      <c r="F55" s="237">
        <f t="shared" si="32"/>
        <v>0</v>
      </c>
      <c r="G55" s="237">
        <f>SUMIFS(JURNAL!G:G,JURNAL!E:E,E55,JURNAL!L:L,$C55,JURNAL!C:C,"&gt;="&amp;$M$46,JURNAL!C:C,"&lt;="&amp;$N$46)</f>
        <v>0</v>
      </c>
      <c r="H55" s="19">
        <f>+SUMIFS(JURNAL!H:H,JURNAL!E:E,E55,JURNAL!L:L,$C55,JURNAL!C:C,"&gt;="&amp;$M$46,JURNAL!C:C,"&lt;="&amp;$N$46)</f>
        <v>0</v>
      </c>
      <c r="I55" s="237">
        <f t="shared" si="33"/>
        <v>0</v>
      </c>
      <c r="J55" s="16">
        <v>320100</v>
      </c>
      <c r="K55" s="237">
        <f t="shared" si="34"/>
        <v>0</v>
      </c>
      <c r="L55" s="237">
        <f>SUMIFS(JURNAL!G:G,JURNAL!E:E,$M$46,JURNAL!L:L,$N$46,JURNAL!C:C,"&gt;="&amp;$M$31,JURNAL!C:C,"&lt;="&amp;$N$31)</f>
        <v>0</v>
      </c>
      <c r="M55" s="322">
        <f>SUMIFS(JURNAL!H:H,JURNAL!E:E,$M$46,JURNAL!L:L,$N$46,JURNAL!C:C,"&gt;="&amp;$M$31,JURNAL!C:C,"&lt;="&amp;$N$31)</f>
        <v>0</v>
      </c>
      <c r="N55" s="72">
        <f t="shared" si="29"/>
        <v>0</v>
      </c>
      <c r="O55" s="237">
        <f t="shared" si="30"/>
        <v>0</v>
      </c>
      <c r="P55" s="16">
        <f t="shared" si="35"/>
        <v>320100</v>
      </c>
      <c r="Q55" s="16">
        <f t="shared" si="36"/>
        <v>121200</v>
      </c>
    </row>
    <row r="56" spans="2:17">
      <c r="B56" s="15">
        <f t="shared" ref="B56:B118" si="37">+IF(C56="","",ROW()-5)</f>
        <v>51</v>
      </c>
      <c r="C56" s="16">
        <v>1008</v>
      </c>
      <c r="D56" s="779" t="str">
        <f>+IFERROR(VLOOKUP(C56,DATA!$G$4:$H$2000,2,FALSE),"")</f>
        <v xml:space="preserve">Оюунтүлхүүр </v>
      </c>
      <c r="E56" s="319">
        <v>121200</v>
      </c>
      <c r="F56" s="237">
        <f t="shared" si="32"/>
        <v>0</v>
      </c>
      <c r="G56" s="237">
        <f>SUMIFS(JURNAL!G:G,JURNAL!E:E,E56,JURNAL!L:L,$C56,JURNAL!C:C,"&gt;="&amp;$M$46,JURNAL!C:C,"&lt;="&amp;$N$46)</f>
        <v>7698400</v>
      </c>
      <c r="H56" s="19">
        <f>+SUMIFS(JURNAL!H:H,JURNAL!E:E,E56,JURNAL!L:L,$C56,JURNAL!C:C,"&gt;="&amp;$M$46,JURNAL!C:C,"&lt;="&amp;$N$46)</f>
        <v>7698400</v>
      </c>
      <c r="I56" s="237">
        <f t="shared" ref="I56" si="38">+F56+G56-H56</f>
        <v>0</v>
      </c>
      <c r="J56" s="16">
        <v>320100</v>
      </c>
      <c r="K56" s="237">
        <f t="shared" si="34"/>
        <v>0</v>
      </c>
      <c r="L56" s="237">
        <f>SUMIFS(JURNAL!G:G,JURNAL!E:E,$M$46,JURNAL!L:L,$N$46,JURNAL!C:C,"&gt;="&amp;$M$31,JURNAL!C:C,"&lt;="&amp;$N$31)</f>
        <v>0</v>
      </c>
      <c r="M56" s="322">
        <f>SUMIFS(JURNAL!H:H,JURNAL!E:E,$M$46,JURNAL!L:L,$N$46,JURNAL!C:C,"&gt;="&amp;$M$31,JURNAL!C:C,"&lt;="&amp;$N$31)</f>
        <v>0</v>
      </c>
      <c r="N56" s="72">
        <f t="shared" ref="N56" si="39">+K56+M56-L56</f>
        <v>0</v>
      </c>
      <c r="O56" s="237">
        <f t="shared" ref="O56" si="40">+IF(I56&lt;N56,I56,N56)</f>
        <v>0</v>
      </c>
      <c r="P56" s="16">
        <f t="shared" ref="P56" si="41">+J56</f>
        <v>320100</v>
      </c>
      <c r="Q56" s="16">
        <f t="shared" ref="Q56" si="42">+E56</f>
        <v>121200</v>
      </c>
    </row>
    <row r="57" spans="2:17">
      <c r="B57" s="15" t="str">
        <f t="shared" si="37"/>
        <v/>
      </c>
      <c r="C57" s="16" t="str">
        <f>IFERROR(VLOOKUP(DATA!#REF!,DATA!#REF!,1,FALSE),"")</f>
        <v/>
      </c>
      <c r="D57" s="16" t="str">
        <f>IFERROR(VLOOKUP(C57,DATA!#REF!,2,FALSE),"")</f>
        <v/>
      </c>
      <c r="I57" s="17"/>
      <c r="J57" s="17"/>
      <c r="P57" s="17"/>
      <c r="Q57" s="17"/>
    </row>
    <row r="58" spans="2:17">
      <c r="B58" s="15" t="str">
        <f t="shared" si="37"/>
        <v/>
      </c>
      <c r="C58" s="16" t="str">
        <f>IFERROR(VLOOKUP(DATA!#REF!,DATA!#REF!,1,FALSE),"")</f>
        <v/>
      </c>
      <c r="D58" s="16" t="str">
        <f>IFERROR(VLOOKUP(C58,DATA!#REF!,2,FALSE),"")</f>
        <v/>
      </c>
      <c r="I58" s="17"/>
      <c r="J58" s="17"/>
      <c r="P58" s="17"/>
      <c r="Q58" s="17"/>
    </row>
    <row r="59" spans="2:17">
      <c r="B59" s="15" t="str">
        <f t="shared" si="37"/>
        <v/>
      </c>
      <c r="C59" s="16" t="str">
        <f>IFERROR(VLOOKUP(DATA!#REF!,DATA!#REF!,1,FALSE),"")</f>
        <v/>
      </c>
      <c r="D59" s="16" t="str">
        <f>IFERROR(VLOOKUP(C59,DATA!#REF!,2,FALSE),"")</f>
        <v/>
      </c>
      <c r="I59" s="17"/>
      <c r="J59" s="17"/>
      <c r="P59" s="17"/>
      <c r="Q59" s="17"/>
    </row>
    <row r="60" spans="2:17">
      <c r="B60" s="15" t="str">
        <f t="shared" si="37"/>
        <v/>
      </c>
      <c r="C60" s="16" t="str">
        <f>IFERROR(VLOOKUP(DATA!#REF!,DATA!#REF!,1,FALSE),"")</f>
        <v/>
      </c>
      <c r="D60" s="16" t="str">
        <f>IFERROR(VLOOKUP(C60,DATA!#REF!,2,FALSE),"")</f>
        <v/>
      </c>
      <c r="I60" s="17"/>
      <c r="J60" s="17"/>
      <c r="P60" s="17"/>
      <c r="Q60" s="17"/>
    </row>
    <row r="61" spans="2:17">
      <c r="B61" s="15" t="str">
        <f t="shared" si="37"/>
        <v/>
      </c>
      <c r="C61" s="16" t="str">
        <f>IFERROR(VLOOKUP(DATA!#REF!,DATA!#REF!,1,FALSE),"")</f>
        <v/>
      </c>
      <c r="D61" s="16" t="str">
        <f>IFERROR(VLOOKUP(C61,DATA!#REF!,2,FALSE),"")</f>
        <v/>
      </c>
      <c r="I61" s="17"/>
      <c r="J61" s="17"/>
      <c r="P61" s="17"/>
      <c r="Q61" s="17"/>
    </row>
    <row r="62" spans="2:17">
      <c r="B62" s="15" t="str">
        <f t="shared" si="37"/>
        <v/>
      </c>
      <c r="C62" s="16" t="str">
        <f>IFERROR(VLOOKUP(DATA!#REF!,DATA!#REF!,1,FALSE),"")</f>
        <v/>
      </c>
      <c r="D62" s="16" t="str">
        <f>IFERROR(VLOOKUP(C62,DATA!#REF!,2,FALSE),"")</f>
        <v/>
      </c>
      <c r="I62" s="17"/>
      <c r="J62" s="17"/>
      <c r="P62" s="17"/>
      <c r="Q62" s="17"/>
    </row>
    <row r="63" spans="2:17">
      <c r="B63" s="15" t="str">
        <f t="shared" si="37"/>
        <v/>
      </c>
      <c r="C63" s="16" t="str">
        <f>IFERROR(VLOOKUP(DATA!#REF!,DATA!#REF!,1,FALSE),"")</f>
        <v/>
      </c>
      <c r="D63" s="16" t="str">
        <f>IFERROR(VLOOKUP(C63,DATA!#REF!,2,FALSE),"")</f>
        <v/>
      </c>
      <c r="I63" s="17"/>
      <c r="J63" s="17"/>
      <c r="P63" s="17"/>
      <c r="Q63" s="17"/>
    </row>
    <row r="64" spans="2:17">
      <c r="B64" s="15" t="str">
        <f t="shared" si="37"/>
        <v/>
      </c>
      <c r="C64" s="16" t="str">
        <f>IFERROR(VLOOKUP(DATA!#REF!,DATA!#REF!,1,FALSE),"")</f>
        <v/>
      </c>
      <c r="D64" s="16" t="str">
        <f>IFERROR(VLOOKUP(C64,DATA!#REF!,2,FALSE),"")</f>
        <v/>
      </c>
      <c r="I64" s="17"/>
      <c r="J64" s="17"/>
      <c r="P64" s="17"/>
      <c r="Q64" s="17"/>
    </row>
    <row r="65" spans="2:17">
      <c r="B65" s="15" t="str">
        <f t="shared" si="37"/>
        <v/>
      </c>
      <c r="C65" s="16" t="str">
        <f>IFERROR(VLOOKUP(DATA!#REF!,DATA!#REF!,1,FALSE),"")</f>
        <v/>
      </c>
      <c r="D65" s="16" t="str">
        <f>IFERROR(VLOOKUP(C65,DATA!#REF!,2,FALSE),"")</f>
        <v/>
      </c>
      <c r="I65" s="17"/>
      <c r="J65" s="17"/>
      <c r="P65" s="17"/>
      <c r="Q65" s="17"/>
    </row>
    <row r="66" spans="2:17">
      <c r="B66" s="15" t="str">
        <f t="shared" si="37"/>
        <v/>
      </c>
      <c r="C66" s="16" t="str">
        <f>IFERROR(VLOOKUP(DATA!#REF!,DATA!#REF!,1,FALSE),"")</f>
        <v/>
      </c>
      <c r="D66" s="16" t="str">
        <f>IFERROR(VLOOKUP(C66,DATA!#REF!,2,FALSE),"")</f>
        <v/>
      </c>
      <c r="I66" s="17"/>
      <c r="J66" s="17"/>
      <c r="P66" s="17"/>
      <c r="Q66" s="17"/>
    </row>
    <row r="67" spans="2:17">
      <c r="B67" s="15" t="str">
        <f t="shared" si="37"/>
        <v/>
      </c>
      <c r="C67" s="16" t="str">
        <f>IFERROR(VLOOKUP(DATA!#REF!,DATA!#REF!,1,FALSE),"")</f>
        <v/>
      </c>
      <c r="D67" s="16" t="str">
        <f>IFERROR(VLOOKUP(C67,DATA!#REF!,2,FALSE),"")</f>
        <v/>
      </c>
      <c r="I67" s="17"/>
      <c r="J67" s="17"/>
      <c r="P67" s="17"/>
      <c r="Q67" s="17"/>
    </row>
    <row r="68" spans="2:17">
      <c r="B68" s="15" t="str">
        <f t="shared" si="37"/>
        <v/>
      </c>
      <c r="C68" s="16" t="str">
        <f>IFERROR(VLOOKUP(DATA!#REF!,DATA!#REF!,1,FALSE),"")</f>
        <v/>
      </c>
      <c r="D68" s="16" t="str">
        <f>IFERROR(VLOOKUP(C68,DATA!#REF!,2,FALSE),"")</f>
        <v/>
      </c>
      <c r="I68" s="17"/>
      <c r="J68" s="17"/>
      <c r="P68" s="17"/>
      <c r="Q68" s="17"/>
    </row>
    <row r="69" spans="2:17">
      <c r="B69" s="15" t="str">
        <f t="shared" si="37"/>
        <v/>
      </c>
      <c r="C69" s="16" t="str">
        <f>IFERROR(VLOOKUP(DATA!#REF!,DATA!#REF!,1,FALSE),"")</f>
        <v/>
      </c>
      <c r="D69" s="16" t="str">
        <f>IFERROR(VLOOKUP(C69,DATA!#REF!,2,FALSE),"")</f>
        <v/>
      </c>
      <c r="I69" s="17"/>
      <c r="J69" s="17"/>
      <c r="P69" s="17"/>
      <c r="Q69" s="17"/>
    </row>
    <row r="70" spans="2:17">
      <c r="B70" s="15" t="str">
        <f t="shared" si="37"/>
        <v/>
      </c>
      <c r="C70" s="16" t="str">
        <f>IFERROR(VLOOKUP(DATA!#REF!,DATA!#REF!,1,FALSE),"")</f>
        <v/>
      </c>
      <c r="D70" s="16" t="str">
        <f>IFERROR(VLOOKUP(C70,DATA!#REF!,2,FALSE),"")</f>
        <v/>
      </c>
      <c r="I70" s="17"/>
      <c r="J70" s="17"/>
      <c r="P70" s="17"/>
      <c r="Q70" s="17"/>
    </row>
    <row r="71" spans="2:17">
      <c r="B71" s="15" t="str">
        <f t="shared" si="37"/>
        <v/>
      </c>
      <c r="C71" s="16" t="str">
        <f>IFERROR(VLOOKUP(DATA!#REF!,DATA!#REF!,1,FALSE),"")</f>
        <v/>
      </c>
      <c r="D71" s="16" t="str">
        <f>IFERROR(VLOOKUP(C71,DATA!#REF!,2,FALSE),"")</f>
        <v/>
      </c>
      <c r="I71" s="17"/>
      <c r="J71" s="17"/>
      <c r="P71" s="17"/>
      <c r="Q71" s="17"/>
    </row>
    <row r="72" spans="2:17">
      <c r="B72" s="15" t="str">
        <f t="shared" si="37"/>
        <v/>
      </c>
      <c r="C72" s="16" t="str">
        <f>IFERROR(VLOOKUP(DATA!#REF!,DATA!#REF!,1,FALSE),"")</f>
        <v/>
      </c>
      <c r="D72" s="16" t="str">
        <f>IFERROR(VLOOKUP(C72,DATA!#REF!,2,FALSE),"")</f>
        <v/>
      </c>
      <c r="I72" s="17"/>
      <c r="J72" s="17"/>
      <c r="P72" s="17"/>
      <c r="Q72" s="17"/>
    </row>
    <row r="73" spans="2:17">
      <c r="B73" s="15" t="str">
        <f t="shared" si="37"/>
        <v/>
      </c>
      <c r="C73" s="16" t="str">
        <f>IFERROR(VLOOKUP(DATA!#REF!,DATA!#REF!,1,FALSE),"")</f>
        <v/>
      </c>
      <c r="D73" s="16" t="str">
        <f>IFERROR(VLOOKUP(C73,DATA!#REF!,2,FALSE),"")</f>
        <v/>
      </c>
      <c r="I73" s="17"/>
      <c r="J73" s="17"/>
      <c r="P73" s="17"/>
      <c r="Q73" s="17"/>
    </row>
    <row r="74" spans="2:17">
      <c r="B74" s="15" t="str">
        <f t="shared" si="37"/>
        <v/>
      </c>
      <c r="C74" s="16" t="str">
        <f>IFERROR(VLOOKUP(DATA!#REF!,DATA!#REF!,1,FALSE),"")</f>
        <v/>
      </c>
      <c r="D74" s="16" t="str">
        <f>IFERROR(VLOOKUP(C74,DATA!#REF!,2,FALSE),"")</f>
        <v/>
      </c>
      <c r="I74" s="17"/>
      <c r="J74" s="17"/>
      <c r="P74" s="17"/>
      <c r="Q74" s="17"/>
    </row>
    <row r="75" spans="2:17">
      <c r="B75" s="15" t="str">
        <f t="shared" si="37"/>
        <v/>
      </c>
      <c r="C75" s="16" t="str">
        <f>IFERROR(VLOOKUP(DATA!#REF!,DATA!#REF!,1,FALSE),"")</f>
        <v/>
      </c>
      <c r="D75" s="16" t="str">
        <f>IFERROR(VLOOKUP(C75,DATA!#REF!,2,FALSE),"")</f>
        <v/>
      </c>
      <c r="I75" s="17"/>
      <c r="J75" s="17"/>
      <c r="P75" s="17"/>
      <c r="Q75" s="17"/>
    </row>
    <row r="76" spans="2:17">
      <c r="B76" s="15" t="str">
        <f t="shared" si="37"/>
        <v/>
      </c>
      <c r="C76" s="16" t="str">
        <f>IFERROR(VLOOKUP(DATA!#REF!,DATA!#REF!,1,FALSE),"")</f>
        <v/>
      </c>
      <c r="D76" s="16" t="str">
        <f>IFERROR(VLOOKUP(C76,DATA!#REF!,2,FALSE),"")</f>
        <v/>
      </c>
      <c r="I76" s="17"/>
      <c r="J76" s="17"/>
      <c r="P76" s="17"/>
      <c r="Q76" s="17"/>
    </row>
    <row r="77" spans="2:17">
      <c r="B77" s="15" t="str">
        <f t="shared" si="37"/>
        <v/>
      </c>
      <c r="C77" s="16" t="str">
        <f>IFERROR(VLOOKUP(DATA!#REF!,DATA!#REF!,1,FALSE),"")</f>
        <v/>
      </c>
      <c r="D77" s="16" t="str">
        <f>IFERROR(VLOOKUP(C77,DATA!#REF!,2,FALSE),"")</f>
        <v/>
      </c>
      <c r="I77" s="17"/>
      <c r="J77" s="17"/>
      <c r="P77" s="17"/>
      <c r="Q77" s="17"/>
    </row>
    <row r="78" spans="2:17">
      <c r="B78" s="15" t="str">
        <f t="shared" si="37"/>
        <v/>
      </c>
      <c r="C78" s="16" t="str">
        <f>IFERROR(VLOOKUP(DATA!#REF!,DATA!#REF!,1,FALSE),"")</f>
        <v/>
      </c>
      <c r="D78" s="16" t="str">
        <f>IFERROR(VLOOKUP(C78,DATA!#REF!,2,FALSE),"")</f>
        <v/>
      </c>
      <c r="I78" s="17"/>
      <c r="J78" s="17"/>
      <c r="P78" s="17"/>
      <c r="Q78" s="17"/>
    </row>
    <row r="79" spans="2:17">
      <c r="B79" s="15" t="str">
        <f t="shared" si="37"/>
        <v/>
      </c>
      <c r="C79" s="16" t="str">
        <f>IFERROR(VLOOKUP(DATA!#REF!,DATA!#REF!,1,FALSE),"")</f>
        <v/>
      </c>
      <c r="D79" s="16" t="str">
        <f>IFERROR(VLOOKUP(C79,DATA!#REF!,2,FALSE),"")</f>
        <v/>
      </c>
      <c r="I79" s="17"/>
      <c r="J79" s="17"/>
      <c r="P79" s="17"/>
      <c r="Q79" s="17"/>
    </row>
    <row r="80" spans="2:17">
      <c r="B80" s="15" t="str">
        <f t="shared" si="37"/>
        <v/>
      </c>
      <c r="C80" s="16" t="str">
        <f>IFERROR(VLOOKUP(DATA!#REF!,DATA!#REF!,1,FALSE),"")</f>
        <v/>
      </c>
      <c r="D80" s="16" t="str">
        <f>IFERROR(VLOOKUP(C80,DATA!#REF!,2,FALSE),"")</f>
        <v/>
      </c>
      <c r="I80" s="17"/>
      <c r="J80" s="17"/>
      <c r="P80" s="17"/>
      <c r="Q80" s="17"/>
    </row>
    <row r="81" spans="2:17">
      <c r="B81" s="15" t="str">
        <f t="shared" si="37"/>
        <v/>
      </c>
      <c r="C81" s="16" t="str">
        <f>IFERROR(VLOOKUP(DATA!#REF!,DATA!#REF!,1,FALSE),"")</f>
        <v/>
      </c>
      <c r="D81" s="16" t="str">
        <f>IFERROR(VLOOKUP(C81,DATA!#REF!,2,FALSE),"")</f>
        <v/>
      </c>
      <c r="I81" s="17"/>
      <c r="J81" s="17"/>
      <c r="P81" s="17"/>
      <c r="Q81" s="17"/>
    </row>
    <row r="82" spans="2:17">
      <c r="B82" s="15" t="str">
        <f t="shared" si="37"/>
        <v/>
      </c>
      <c r="C82" s="16" t="str">
        <f>IFERROR(VLOOKUP(DATA!#REF!,DATA!#REF!,1,FALSE),"")</f>
        <v/>
      </c>
      <c r="D82" s="16" t="str">
        <f>IFERROR(VLOOKUP(C82,DATA!#REF!,2,FALSE),"")</f>
        <v/>
      </c>
      <c r="I82" s="17"/>
      <c r="J82" s="17"/>
      <c r="P82" s="17"/>
      <c r="Q82" s="17"/>
    </row>
    <row r="83" spans="2:17">
      <c r="B83" s="15" t="str">
        <f t="shared" si="37"/>
        <v/>
      </c>
      <c r="C83" s="16" t="str">
        <f>IFERROR(VLOOKUP(DATA!#REF!,DATA!#REF!,1,FALSE),"")</f>
        <v/>
      </c>
      <c r="D83" s="16" t="str">
        <f>IFERROR(VLOOKUP(C83,DATA!#REF!,2,FALSE),"")</f>
        <v/>
      </c>
      <c r="I83" s="17"/>
      <c r="J83" s="17"/>
      <c r="P83" s="17"/>
      <c r="Q83" s="17"/>
    </row>
    <row r="84" spans="2:17">
      <c r="B84" s="15" t="str">
        <f t="shared" si="37"/>
        <v/>
      </c>
      <c r="C84" s="16" t="str">
        <f>IFERROR(VLOOKUP(DATA!#REF!,DATA!#REF!,1,FALSE),"")</f>
        <v/>
      </c>
      <c r="D84" s="16" t="str">
        <f>IFERROR(VLOOKUP(C84,DATA!#REF!,2,FALSE),"")</f>
        <v/>
      </c>
      <c r="I84" s="17"/>
      <c r="J84" s="17"/>
      <c r="P84" s="17"/>
      <c r="Q84" s="17"/>
    </row>
    <row r="85" spans="2:17">
      <c r="B85" s="15" t="str">
        <f t="shared" si="37"/>
        <v/>
      </c>
      <c r="C85" s="16" t="str">
        <f>IFERROR(VLOOKUP(DATA!#REF!,DATA!#REF!,1,FALSE),"")</f>
        <v/>
      </c>
      <c r="D85" s="16" t="str">
        <f>IFERROR(VLOOKUP(C85,DATA!#REF!,2,FALSE),"")</f>
        <v/>
      </c>
      <c r="I85" s="17"/>
      <c r="J85" s="17"/>
      <c r="P85" s="17"/>
      <c r="Q85" s="17"/>
    </row>
    <row r="86" spans="2:17">
      <c r="B86" s="15" t="str">
        <f t="shared" si="37"/>
        <v/>
      </c>
      <c r="C86" s="16" t="str">
        <f>IFERROR(VLOOKUP(DATA!#REF!,DATA!#REF!,1,FALSE),"")</f>
        <v/>
      </c>
      <c r="D86" s="16" t="str">
        <f>IFERROR(VLOOKUP(C86,DATA!#REF!,2,FALSE),"")</f>
        <v/>
      </c>
      <c r="I86" s="17"/>
      <c r="J86" s="17"/>
      <c r="P86" s="17"/>
      <c r="Q86" s="17"/>
    </row>
    <row r="87" spans="2:17">
      <c r="B87" s="15" t="str">
        <f t="shared" si="37"/>
        <v/>
      </c>
      <c r="C87" s="16" t="str">
        <f>IFERROR(VLOOKUP(DATA!#REF!,DATA!#REF!,1,FALSE),"")</f>
        <v/>
      </c>
      <c r="D87" s="16" t="str">
        <f>IFERROR(VLOOKUP(C87,DATA!#REF!,2,FALSE),"")</f>
        <v/>
      </c>
      <c r="I87" s="17"/>
      <c r="J87" s="17"/>
      <c r="P87" s="17"/>
      <c r="Q87" s="17"/>
    </row>
    <row r="88" spans="2:17">
      <c r="B88" s="15" t="str">
        <f t="shared" si="37"/>
        <v/>
      </c>
      <c r="C88" s="16" t="str">
        <f>IFERROR(VLOOKUP(DATA!#REF!,DATA!#REF!,1,FALSE),"")</f>
        <v/>
      </c>
      <c r="D88" s="16" t="str">
        <f>IFERROR(VLOOKUP(C88,DATA!#REF!,2,FALSE),"")</f>
        <v/>
      </c>
      <c r="I88" s="17"/>
      <c r="J88" s="17"/>
      <c r="P88" s="17"/>
      <c r="Q88" s="17"/>
    </row>
    <row r="89" spans="2:17">
      <c r="B89" s="15" t="str">
        <f t="shared" si="37"/>
        <v/>
      </c>
      <c r="C89" s="16" t="str">
        <f>IFERROR(VLOOKUP(DATA!#REF!,DATA!#REF!,1,FALSE),"")</f>
        <v/>
      </c>
      <c r="D89" s="16" t="str">
        <f>IFERROR(VLOOKUP(C89,DATA!#REF!,2,FALSE),"")</f>
        <v/>
      </c>
      <c r="I89" s="17"/>
      <c r="J89" s="17"/>
      <c r="P89" s="17"/>
      <c r="Q89" s="17"/>
    </row>
    <row r="90" spans="2:17">
      <c r="B90" s="15" t="str">
        <f t="shared" si="37"/>
        <v/>
      </c>
      <c r="C90" s="16" t="str">
        <f>IFERROR(VLOOKUP(DATA!#REF!,DATA!#REF!,1,FALSE),"")</f>
        <v/>
      </c>
      <c r="D90" s="16" t="str">
        <f>IFERROR(VLOOKUP(C90,DATA!#REF!,2,FALSE),"")</f>
        <v/>
      </c>
      <c r="I90" s="17"/>
      <c r="J90" s="17"/>
      <c r="P90" s="17"/>
      <c r="Q90" s="17"/>
    </row>
    <row r="91" spans="2:17">
      <c r="B91" s="15" t="str">
        <f t="shared" si="37"/>
        <v/>
      </c>
      <c r="C91" s="16" t="str">
        <f>IFERROR(VLOOKUP(DATA!#REF!,DATA!#REF!,1,FALSE),"")</f>
        <v/>
      </c>
      <c r="D91" s="16" t="str">
        <f>IFERROR(VLOOKUP(C91,DATA!#REF!,2,FALSE),"")</f>
        <v/>
      </c>
      <c r="I91" s="17"/>
      <c r="J91" s="17"/>
      <c r="P91" s="17"/>
      <c r="Q91" s="17"/>
    </row>
    <row r="92" spans="2:17">
      <c r="B92" s="15" t="str">
        <f t="shared" si="37"/>
        <v/>
      </c>
      <c r="C92" s="16" t="str">
        <f>IFERROR(VLOOKUP(DATA!#REF!,DATA!#REF!,1,FALSE),"")</f>
        <v/>
      </c>
      <c r="D92" s="16" t="str">
        <f>IFERROR(VLOOKUP(C92,DATA!#REF!,2,FALSE),"")</f>
        <v/>
      </c>
      <c r="I92" s="17"/>
      <c r="J92" s="17"/>
      <c r="P92" s="17"/>
      <c r="Q92" s="17"/>
    </row>
    <row r="93" spans="2:17">
      <c r="B93" s="15" t="str">
        <f t="shared" si="37"/>
        <v/>
      </c>
      <c r="C93" s="16" t="str">
        <f>IFERROR(VLOOKUP(DATA!#REF!,DATA!#REF!,1,FALSE),"")</f>
        <v/>
      </c>
      <c r="D93" s="16" t="str">
        <f>IFERROR(VLOOKUP(C93,DATA!#REF!,2,FALSE),"")</f>
        <v/>
      </c>
      <c r="I93" s="17"/>
      <c r="J93" s="17"/>
      <c r="P93" s="17"/>
      <c r="Q93" s="17"/>
    </row>
    <row r="94" spans="2:17">
      <c r="B94" s="15" t="str">
        <f t="shared" si="37"/>
        <v/>
      </c>
      <c r="C94" s="16" t="str">
        <f>IFERROR(VLOOKUP(DATA!#REF!,DATA!#REF!,1,FALSE),"")</f>
        <v/>
      </c>
      <c r="D94" s="16" t="str">
        <f>IFERROR(VLOOKUP(C94,DATA!#REF!,2,FALSE),"")</f>
        <v/>
      </c>
      <c r="I94" s="17"/>
      <c r="J94" s="17"/>
      <c r="P94" s="17"/>
      <c r="Q94" s="17"/>
    </row>
    <row r="95" spans="2:17">
      <c r="B95" s="15" t="str">
        <f t="shared" si="37"/>
        <v/>
      </c>
      <c r="C95" s="16" t="str">
        <f>IFERROR(VLOOKUP(DATA!#REF!,DATA!#REF!,1,FALSE),"")</f>
        <v/>
      </c>
      <c r="D95" s="16" t="str">
        <f>IFERROR(VLOOKUP(C95,DATA!#REF!,2,FALSE),"")</f>
        <v/>
      </c>
      <c r="I95" s="17"/>
      <c r="J95" s="17"/>
      <c r="P95" s="17"/>
      <c r="Q95" s="17"/>
    </row>
    <row r="96" spans="2:17">
      <c r="B96" s="15" t="str">
        <f t="shared" si="37"/>
        <v/>
      </c>
      <c r="C96" s="16" t="str">
        <f>IFERROR(VLOOKUP(DATA!#REF!,DATA!#REF!,1,FALSE),"")</f>
        <v/>
      </c>
      <c r="D96" s="16" t="str">
        <f>IFERROR(VLOOKUP(C96,DATA!#REF!,2,FALSE),"")</f>
        <v/>
      </c>
      <c r="I96" s="17"/>
      <c r="J96" s="17"/>
      <c r="P96" s="17"/>
      <c r="Q96" s="17"/>
    </row>
    <row r="97" spans="2:17">
      <c r="B97" s="15" t="str">
        <f t="shared" si="37"/>
        <v/>
      </c>
      <c r="C97" s="16" t="str">
        <f>IFERROR(VLOOKUP(DATA!#REF!,DATA!#REF!,1,FALSE),"")</f>
        <v/>
      </c>
      <c r="D97" s="16" t="str">
        <f>IFERROR(VLOOKUP(C97,DATA!#REF!,2,FALSE),"")</f>
        <v/>
      </c>
      <c r="I97" s="17"/>
      <c r="J97" s="17"/>
      <c r="P97" s="17"/>
      <c r="Q97" s="17"/>
    </row>
    <row r="98" spans="2:17">
      <c r="B98" s="15" t="str">
        <f t="shared" si="37"/>
        <v/>
      </c>
      <c r="C98" s="16" t="str">
        <f>IFERROR(VLOOKUP(DATA!#REF!,DATA!#REF!,1,FALSE),"")</f>
        <v/>
      </c>
      <c r="D98" s="16" t="str">
        <f>IFERROR(VLOOKUP(C98,DATA!#REF!,2,FALSE),"")</f>
        <v/>
      </c>
      <c r="I98" s="17"/>
      <c r="J98" s="17"/>
      <c r="P98" s="17"/>
      <c r="Q98" s="17"/>
    </row>
    <row r="99" spans="2:17">
      <c r="B99" s="15" t="str">
        <f t="shared" si="37"/>
        <v/>
      </c>
      <c r="C99" s="16" t="str">
        <f>IFERROR(VLOOKUP(DATA!#REF!,DATA!#REF!,1,FALSE),"")</f>
        <v/>
      </c>
      <c r="D99" s="16" t="str">
        <f>IFERROR(VLOOKUP(C99,DATA!#REF!,2,FALSE),"")</f>
        <v/>
      </c>
      <c r="I99" s="17"/>
      <c r="J99" s="17"/>
      <c r="P99" s="17"/>
      <c r="Q99" s="17"/>
    </row>
    <row r="100" spans="2:17">
      <c r="B100" s="15" t="str">
        <f t="shared" si="37"/>
        <v/>
      </c>
      <c r="C100" s="16" t="str">
        <f>IFERROR(VLOOKUP(DATA!#REF!,DATA!#REF!,1,FALSE),"")</f>
        <v/>
      </c>
      <c r="D100" s="16" t="str">
        <f>IFERROR(VLOOKUP(C100,DATA!#REF!,2,FALSE),"")</f>
        <v/>
      </c>
      <c r="I100" s="17"/>
      <c r="J100" s="17"/>
      <c r="P100" s="17"/>
      <c r="Q100" s="17"/>
    </row>
    <row r="101" spans="2:17">
      <c r="B101" s="15" t="str">
        <f t="shared" si="37"/>
        <v/>
      </c>
      <c r="C101" s="16" t="str">
        <f>IFERROR(VLOOKUP(DATA!#REF!,DATA!#REF!,1,FALSE),"")</f>
        <v/>
      </c>
      <c r="D101" s="16" t="str">
        <f>IFERROR(VLOOKUP(C101,DATA!#REF!,2,FALSE),"")</f>
        <v/>
      </c>
      <c r="I101" s="17"/>
      <c r="J101" s="17"/>
      <c r="P101" s="17"/>
      <c r="Q101" s="17"/>
    </row>
    <row r="102" spans="2:17">
      <c r="B102" s="15" t="str">
        <f t="shared" si="37"/>
        <v/>
      </c>
      <c r="C102" s="16" t="str">
        <f>IFERROR(VLOOKUP(DATA!#REF!,DATA!#REF!,1,FALSE),"")</f>
        <v/>
      </c>
      <c r="D102" s="16" t="str">
        <f>IFERROR(VLOOKUP(C102,DATA!#REF!,2,FALSE),"")</f>
        <v/>
      </c>
      <c r="I102" s="17"/>
      <c r="J102" s="17"/>
      <c r="P102" s="17"/>
      <c r="Q102" s="17"/>
    </row>
    <row r="103" spans="2:17">
      <c r="B103" s="15" t="str">
        <f t="shared" si="37"/>
        <v/>
      </c>
      <c r="C103" s="16" t="str">
        <f>IFERROR(VLOOKUP(DATA!#REF!,DATA!#REF!,1,FALSE),"")</f>
        <v/>
      </c>
      <c r="D103" s="16" t="str">
        <f>IFERROR(VLOOKUP(C103,DATA!#REF!,2,FALSE),"")</f>
        <v/>
      </c>
      <c r="I103" s="17"/>
      <c r="J103" s="17"/>
      <c r="P103" s="17"/>
      <c r="Q103" s="17"/>
    </row>
    <row r="104" spans="2:17">
      <c r="B104" s="15" t="str">
        <f t="shared" si="37"/>
        <v/>
      </c>
      <c r="C104" s="16" t="str">
        <f>IFERROR(VLOOKUP(DATA!#REF!,DATA!#REF!,1,FALSE),"")</f>
        <v/>
      </c>
      <c r="D104" s="16" t="str">
        <f>IFERROR(VLOOKUP(C104,DATA!#REF!,2,FALSE),"")</f>
        <v/>
      </c>
      <c r="I104" s="17"/>
      <c r="J104" s="17"/>
      <c r="P104" s="17"/>
      <c r="Q104" s="17"/>
    </row>
    <row r="105" spans="2:17">
      <c r="B105" s="15" t="str">
        <f t="shared" si="37"/>
        <v/>
      </c>
      <c r="C105" s="16" t="str">
        <f>IFERROR(VLOOKUP(DATA!#REF!,DATA!#REF!,1,FALSE),"")</f>
        <v/>
      </c>
      <c r="D105" s="16" t="str">
        <f>IFERROR(VLOOKUP(C105,DATA!#REF!,2,FALSE),"")</f>
        <v/>
      </c>
      <c r="I105" s="17"/>
      <c r="J105" s="17"/>
      <c r="P105" s="17"/>
      <c r="Q105" s="17"/>
    </row>
    <row r="106" spans="2:17">
      <c r="B106" s="15" t="str">
        <f t="shared" si="37"/>
        <v/>
      </c>
      <c r="C106" s="16" t="str">
        <f>IFERROR(VLOOKUP(DATA!#REF!,DATA!#REF!,1,FALSE),"")</f>
        <v/>
      </c>
      <c r="D106" s="16" t="str">
        <f>IFERROR(VLOOKUP(C106,DATA!#REF!,2,FALSE),"")</f>
        <v/>
      </c>
      <c r="I106" s="17"/>
      <c r="J106" s="17"/>
      <c r="P106" s="17"/>
      <c r="Q106" s="17"/>
    </row>
    <row r="107" spans="2:17">
      <c r="B107" s="15" t="str">
        <f t="shared" si="37"/>
        <v/>
      </c>
      <c r="C107" s="16" t="str">
        <f>IFERROR(VLOOKUP(DATA!#REF!,DATA!#REF!,1,FALSE),"")</f>
        <v/>
      </c>
      <c r="D107" s="16" t="str">
        <f>IFERROR(VLOOKUP(C107,DATA!#REF!,2,FALSE),"")</f>
        <v/>
      </c>
      <c r="I107" s="17"/>
      <c r="J107" s="17"/>
      <c r="P107" s="17"/>
      <c r="Q107" s="17"/>
    </row>
    <row r="108" spans="2:17">
      <c r="B108" s="15" t="str">
        <f t="shared" si="37"/>
        <v/>
      </c>
      <c r="C108" s="16" t="str">
        <f>IFERROR(VLOOKUP(DATA!#REF!,DATA!#REF!,1,FALSE),"")</f>
        <v/>
      </c>
      <c r="D108" s="16" t="str">
        <f>IFERROR(VLOOKUP(C108,DATA!#REF!,2,FALSE),"")</f>
        <v/>
      </c>
      <c r="I108" s="17"/>
      <c r="J108" s="17"/>
      <c r="P108" s="17"/>
      <c r="Q108" s="17"/>
    </row>
    <row r="109" spans="2:17">
      <c r="B109" s="15" t="str">
        <f t="shared" si="37"/>
        <v/>
      </c>
      <c r="C109" s="16" t="str">
        <f>IFERROR(VLOOKUP(DATA!#REF!,DATA!#REF!,1,FALSE),"")</f>
        <v/>
      </c>
      <c r="D109" s="16" t="str">
        <f>IFERROR(VLOOKUP(C109,DATA!#REF!,2,FALSE),"")</f>
        <v/>
      </c>
      <c r="I109" s="17"/>
      <c r="J109" s="17"/>
      <c r="P109" s="17"/>
      <c r="Q109" s="17"/>
    </row>
    <row r="110" spans="2:17">
      <c r="B110" s="15" t="str">
        <f t="shared" si="37"/>
        <v/>
      </c>
      <c r="C110" s="16" t="str">
        <f>IFERROR(VLOOKUP(DATA!#REF!,DATA!#REF!,1,FALSE),"")</f>
        <v/>
      </c>
      <c r="D110" s="16" t="str">
        <f>IFERROR(VLOOKUP(C110,DATA!#REF!,2,FALSE),"")</f>
        <v/>
      </c>
      <c r="I110" s="17"/>
      <c r="J110" s="17"/>
      <c r="P110" s="17"/>
      <c r="Q110" s="17"/>
    </row>
    <row r="111" spans="2:17">
      <c r="B111" s="15" t="str">
        <f t="shared" si="37"/>
        <v/>
      </c>
      <c r="C111" s="16" t="str">
        <f>IFERROR(VLOOKUP(DATA!#REF!,DATA!#REF!,1,FALSE),"")</f>
        <v/>
      </c>
      <c r="D111" s="16" t="str">
        <f>IFERROR(VLOOKUP(C111,DATA!#REF!,2,FALSE),"")</f>
        <v/>
      </c>
      <c r="I111" s="17"/>
      <c r="J111" s="17"/>
      <c r="P111" s="17"/>
      <c r="Q111" s="17"/>
    </row>
    <row r="112" spans="2:17">
      <c r="B112" s="15" t="str">
        <f t="shared" si="37"/>
        <v/>
      </c>
      <c r="C112" s="16" t="str">
        <f>IFERROR(VLOOKUP(DATA!#REF!,DATA!#REF!,1,FALSE),"")</f>
        <v/>
      </c>
      <c r="D112" s="16" t="str">
        <f>IFERROR(VLOOKUP(C112,DATA!#REF!,2,FALSE),"")</f>
        <v/>
      </c>
      <c r="I112" s="17"/>
      <c r="J112" s="17"/>
      <c r="P112" s="17"/>
      <c r="Q112" s="17"/>
    </row>
    <row r="113" spans="2:17">
      <c r="B113" s="15" t="str">
        <f t="shared" si="37"/>
        <v/>
      </c>
      <c r="C113" s="16" t="str">
        <f>IFERROR(VLOOKUP(DATA!#REF!,DATA!#REF!,1,FALSE),"")</f>
        <v/>
      </c>
      <c r="D113" s="16" t="str">
        <f>IFERROR(VLOOKUP(C113,DATA!#REF!,2,FALSE),"")</f>
        <v/>
      </c>
      <c r="I113" s="17"/>
      <c r="J113" s="17"/>
      <c r="P113" s="17"/>
      <c r="Q113" s="17"/>
    </row>
    <row r="114" spans="2:17">
      <c r="B114" s="15" t="str">
        <f t="shared" si="37"/>
        <v/>
      </c>
      <c r="C114" s="16" t="str">
        <f>IFERROR(VLOOKUP(DATA!#REF!,DATA!#REF!,1,FALSE),"")</f>
        <v/>
      </c>
      <c r="D114" s="16" t="str">
        <f>IFERROR(VLOOKUP(C114,DATA!#REF!,2,FALSE),"")</f>
        <v/>
      </c>
      <c r="I114" s="17"/>
      <c r="J114" s="17"/>
      <c r="P114" s="17"/>
      <c r="Q114" s="17"/>
    </row>
    <row r="115" spans="2:17">
      <c r="B115" s="15" t="str">
        <f t="shared" si="37"/>
        <v/>
      </c>
      <c r="C115" s="16" t="str">
        <f>IFERROR(VLOOKUP(DATA!#REF!,DATA!#REF!,1,FALSE),"")</f>
        <v/>
      </c>
      <c r="D115" s="16" t="str">
        <f>IFERROR(VLOOKUP(C115,DATA!#REF!,2,FALSE),"")</f>
        <v/>
      </c>
      <c r="I115" s="17"/>
      <c r="J115" s="17"/>
      <c r="P115" s="17"/>
      <c r="Q115" s="17"/>
    </row>
    <row r="116" spans="2:17">
      <c r="B116" s="15" t="str">
        <f t="shared" si="37"/>
        <v/>
      </c>
      <c r="C116" s="16" t="str">
        <f>IFERROR(VLOOKUP(DATA!#REF!,DATA!#REF!,1,FALSE),"")</f>
        <v/>
      </c>
      <c r="D116" s="16" t="str">
        <f>IFERROR(VLOOKUP(C116,DATA!#REF!,2,FALSE),"")</f>
        <v/>
      </c>
      <c r="I116" s="17"/>
      <c r="J116" s="17"/>
      <c r="P116" s="17"/>
      <c r="Q116" s="17"/>
    </row>
    <row r="117" spans="2:17">
      <c r="B117" s="15" t="str">
        <f t="shared" si="37"/>
        <v/>
      </c>
      <c r="C117" s="16" t="str">
        <f>IFERROR(VLOOKUP(DATA!#REF!,DATA!#REF!,1,FALSE),"")</f>
        <v/>
      </c>
      <c r="D117" s="16" t="str">
        <f>IFERROR(VLOOKUP(C117,DATA!#REF!,2,FALSE),"")</f>
        <v/>
      </c>
      <c r="I117" s="17"/>
      <c r="J117" s="17"/>
      <c r="P117" s="17"/>
      <c r="Q117" s="17"/>
    </row>
    <row r="118" spans="2:17">
      <c r="B118" s="15" t="str">
        <f t="shared" si="37"/>
        <v/>
      </c>
      <c r="C118" s="16" t="str">
        <f>IFERROR(VLOOKUP(DATA!#REF!,DATA!#REF!,1,FALSE),"")</f>
        <v/>
      </c>
      <c r="D118" s="16" t="str">
        <f>IFERROR(VLOOKUP(C118,DATA!#REF!,2,FALSE),"")</f>
        <v/>
      </c>
      <c r="I118" s="17"/>
      <c r="J118" s="17"/>
      <c r="P118" s="17"/>
      <c r="Q118" s="17"/>
    </row>
    <row r="119" spans="2:17">
      <c r="B119" s="15" t="str">
        <f t="shared" ref="B119:B182" si="43">+IF(C119="","",ROW()-5)</f>
        <v/>
      </c>
      <c r="C119" s="16" t="str">
        <f>IFERROR(VLOOKUP(DATA!#REF!,DATA!#REF!,1,FALSE),"")</f>
        <v/>
      </c>
      <c r="D119" s="16" t="str">
        <f>IFERROR(VLOOKUP(C119,DATA!#REF!,2,FALSE),"")</f>
        <v/>
      </c>
      <c r="I119" s="17"/>
      <c r="J119" s="17"/>
      <c r="P119" s="17"/>
      <c r="Q119" s="17"/>
    </row>
    <row r="120" spans="2:17">
      <c r="B120" s="15" t="str">
        <f t="shared" si="43"/>
        <v/>
      </c>
      <c r="C120" s="16" t="str">
        <f>IFERROR(VLOOKUP(DATA!#REF!,DATA!#REF!,1,FALSE),"")</f>
        <v/>
      </c>
      <c r="D120" s="16" t="str">
        <f>IFERROR(VLOOKUP(C120,DATA!#REF!,2,FALSE),"")</f>
        <v/>
      </c>
      <c r="I120" s="17"/>
      <c r="J120" s="17"/>
      <c r="P120" s="17"/>
      <c r="Q120" s="17"/>
    </row>
    <row r="121" spans="2:17">
      <c r="B121" s="15" t="str">
        <f t="shared" si="43"/>
        <v/>
      </c>
      <c r="C121" s="16" t="str">
        <f>IFERROR(VLOOKUP(DATA!#REF!,DATA!#REF!,1,FALSE),"")</f>
        <v/>
      </c>
      <c r="D121" s="16" t="str">
        <f>IFERROR(VLOOKUP(C121,DATA!#REF!,2,FALSE),"")</f>
        <v/>
      </c>
      <c r="I121" s="17"/>
      <c r="J121" s="17"/>
      <c r="P121" s="17"/>
      <c r="Q121" s="17"/>
    </row>
    <row r="122" spans="2:17">
      <c r="B122" s="15" t="str">
        <f t="shared" si="43"/>
        <v/>
      </c>
      <c r="C122" s="16" t="str">
        <f>IFERROR(VLOOKUP(DATA!#REF!,DATA!#REF!,1,FALSE),"")</f>
        <v/>
      </c>
      <c r="D122" s="16" t="str">
        <f>IFERROR(VLOOKUP(C122,DATA!#REF!,2,FALSE),"")</f>
        <v/>
      </c>
      <c r="I122" s="17"/>
      <c r="J122" s="17"/>
      <c r="P122" s="17"/>
      <c r="Q122" s="17"/>
    </row>
    <row r="123" spans="2:17">
      <c r="B123" s="15" t="str">
        <f t="shared" si="43"/>
        <v/>
      </c>
      <c r="C123" s="16" t="str">
        <f>IFERROR(VLOOKUP(DATA!#REF!,DATA!#REF!,1,FALSE),"")</f>
        <v/>
      </c>
      <c r="D123" s="16" t="str">
        <f>IFERROR(VLOOKUP(C123,DATA!#REF!,2,FALSE),"")</f>
        <v/>
      </c>
      <c r="I123" s="17"/>
      <c r="J123" s="17"/>
      <c r="P123" s="17"/>
      <c r="Q123" s="17"/>
    </row>
    <row r="124" spans="2:17">
      <c r="B124" s="15" t="str">
        <f t="shared" si="43"/>
        <v/>
      </c>
      <c r="C124" s="16" t="str">
        <f>IFERROR(VLOOKUP(DATA!#REF!,DATA!#REF!,1,FALSE),"")</f>
        <v/>
      </c>
      <c r="D124" s="16" t="str">
        <f>IFERROR(VLOOKUP(C124,DATA!#REF!,2,FALSE),"")</f>
        <v/>
      </c>
      <c r="I124" s="17"/>
      <c r="J124" s="17"/>
      <c r="P124" s="17"/>
      <c r="Q124" s="17"/>
    </row>
    <row r="125" spans="2:17">
      <c r="B125" s="15" t="str">
        <f t="shared" si="43"/>
        <v/>
      </c>
      <c r="C125" s="16" t="str">
        <f>IFERROR(VLOOKUP(DATA!#REF!,DATA!#REF!,1,FALSE),"")</f>
        <v/>
      </c>
      <c r="D125" s="16" t="str">
        <f>IFERROR(VLOOKUP(C125,DATA!#REF!,2,FALSE),"")</f>
        <v/>
      </c>
      <c r="I125" s="17"/>
      <c r="J125" s="17"/>
      <c r="P125" s="17"/>
      <c r="Q125" s="17"/>
    </row>
    <row r="126" spans="2:17">
      <c r="B126" s="15" t="str">
        <f t="shared" si="43"/>
        <v/>
      </c>
      <c r="C126" s="16" t="str">
        <f>IFERROR(VLOOKUP(DATA!#REF!,DATA!#REF!,1,FALSE),"")</f>
        <v/>
      </c>
      <c r="D126" s="16" t="str">
        <f>IFERROR(VLOOKUP(C126,DATA!#REF!,2,FALSE),"")</f>
        <v/>
      </c>
      <c r="I126" s="17"/>
      <c r="J126" s="17"/>
      <c r="P126" s="17"/>
      <c r="Q126" s="17"/>
    </row>
    <row r="127" spans="2:17">
      <c r="B127" s="15" t="str">
        <f t="shared" si="43"/>
        <v/>
      </c>
      <c r="C127" s="16" t="str">
        <f>IFERROR(VLOOKUP(DATA!#REF!,DATA!#REF!,1,FALSE),"")</f>
        <v/>
      </c>
      <c r="D127" s="16" t="str">
        <f>IFERROR(VLOOKUP(C127,DATA!#REF!,2,FALSE),"")</f>
        <v/>
      </c>
      <c r="I127" s="17"/>
      <c r="J127" s="17"/>
      <c r="P127" s="17"/>
      <c r="Q127" s="17"/>
    </row>
    <row r="128" spans="2:17">
      <c r="B128" s="15" t="str">
        <f t="shared" si="43"/>
        <v/>
      </c>
      <c r="C128" s="16" t="str">
        <f>IFERROR(VLOOKUP(DATA!#REF!,DATA!#REF!,1,FALSE),"")</f>
        <v/>
      </c>
      <c r="D128" s="16" t="str">
        <f>IFERROR(VLOOKUP(C128,DATA!#REF!,2,FALSE),"")</f>
        <v/>
      </c>
      <c r="I128" s="17"/>
      <c r="J128" s="17"/>
      <c r="P128" s="17"/>
      <c r="Q128" s="17"/>
    </row>
    <row r="129" spans="2:17">
      <c r="B129" s="15" t="str">
        <f t="shared" si="43"/>
        <v/>
      </c>
      <c r="C129" s="16" t="str">
        <f>IFERROR(VLOOKUP(DATA!#REF!,DATA!#REF!,1,FALSE),"")</f>
        <v/>
      </c>
      <c r="D129" s="16" t="str">
        <f>IFERROR(VLOOKUP(C129,DATA!#REF!,2,FALSE),"")</f>
        <v/>
      </c>
      <c r="I129" s="17"/>
      <c r="J129" s="17"/>
      <c r="P129" s="17"/>
      <c r="Q129" s="17"/>
    </row>
    <row r="130" spans="2:17">
      <c r="B130" s="15" t="str">
        <f t="shared" si="43"/>
        <v/>
      </c>
      <c r="C130" s="16" t="str">
        <f>IFERROR(VLOOKUP(DATA!#REF!,DATA!#REF!,1,FALSE),"")</f>
        <v/>
      </c>
      <c r="D130" s="16" t="str">
        <f>IFERROR(VLOOKUP(C130,DATA!#REF!,2,FALSE),"")</f>
        <v/>
      </c>
      <c r="I130" s="17"/>
      <c r="J130" s="17"/>
      <c r="P130" s="17"/>
      <c r="Q130" s="17"/>
    </row>
    <row r="131" spans="2:17">
      <c r="B131" s="15" t="str">
        <f t="shared" si="43"/>
        <v/>
      </c>
      <c r="C131" s="16" t="str">
        <f>IFERROR(VLOOKUP(DATA!#REF!,DATA!#REF!,1,FALSE),"")</f>
        <v/>
      </c>
      <c r="D131" s="16" t="str">
        <f>IFERROR(VLOOKUP(C131,DATA!#REF!,2,FALSE),"")</f>
        <v/>
      </c>
      <c r="I131" s="17"/>
      <c r="J131" s="17"/>
      <c r="P131" s="17"/>
      <c r="Q131" s="17"/>
    </row>
    <row r="132" spans="2:17">
      <c r="B132" s="15" t="str">
        <f t="shared" si="43"/>
        <v/>
      </c>
      <c r="C132" s="16" t="str">
        <f>IFERROR(VLOOKUP(DATA!#REF!,DATA!#REF!,1,FALSE),"")</f>
        <v/>
      </c>
      <c r="D132" s="16" t="str">
        <f>IFERROR(VLOOKUP(C132,DATA!#REF!,2,FALSE),"")</f>
        <v/>
      </c>
      <c r="I132" s="17"/>
      <c r="J132" s="17"/>
      <c r="P132" s="17"/>
      <c r="Q132" s="17"/>
    </row>
    <row r="133" spans="2:17">
      <c r="B133" s="15" t="str">
        <f t="shared" si="43"/>
        <v/>
      </c>
      <c r="C133" s="16" t="str">
        <f>IFERROR(VLOOKUP(DATA!#REF!,DATA!#REF!,1,FALSE),"")</f>
        <v/>
      </c>
      <c r="D133" s="16" t="str">
        <f>IFERROR(VLOOKUP(C133,DATA!#REF!,2,FALSE),"")</f>
        <v/>
      </c>
      <c r="I133" s="17"/>
      <c r="J133" s="17"/>
      <c r="P133" s="17"/>
      <c r="Q133" s="17"/>
    </row>
    <row r="134" spans="2:17">
      <c r="B134" s="15" t="str">
        <f t="shared" si="43"/>
        <v/>
      </c>
      <c r="C134" s="16" t="str">
        <f>IFERROR(VLOOKUP(DATA!#REF!,DATA!#REF!,1,FALSE),"")</f>
        <v/>
      </c>
      <c r="D134" s="16" t="str">
        <f>IFERROR(VLOOKUP(C134,DATA!#REF!,2,FALSE),"")</f>
        <v/>
      </c>
      <c r="I134" s="17"/>
      <c r="J134" s="17"/>
      <c r="P134" s="17"/>
      <c r="Q134" s="17"/>
    </row>
    <row r="135" spans="2:17">
      <c r="B135" s="15" t="str">
        <f t="shared" si="43"/>
        <v/>
      </c>
      <c r="C135" s="16" t="str">
        <f>IFERROR(VLOOKUP(DATA!#REF!,DATA!#REF!,1,FALSE),"")</f>
        <v/>
      </c>
      <c r="D135" s="16" t="str">
        <f>IFERROR(VLOOKUP(C135,DATA!#REF!,2,FALSE),"")</f>
        <v/>
      </c>
      <c r="I135" s="17"/>
      <c r="J135" s="17"/>
      <c r="P135" s="17"/>
      <c r="Q135" s="17"/>
    </row>
    <row r="136" spans="2:17">
      <c r="B136" s="15" t="str">
        <f t="shared" si="43"/>
        <v/>
      </c>
      <c r="C136" s="16" t="str">
        <f>IFERROR(VLOOKUP(DATA!#REF!,DATA!#REF!,1,FALSE),"")</f>
        <v/>
      </c>
      <c r="D136" s="16" t="str">
        <f>IFERROR(VLOOKUP(C136,DATA!#REF!,2,FALSE),"")</f>
        <v/>
      </c>
      <c r="I136" s="17"/>
      <c r="J136" s="17"/>
      <c r="P136" s="17"/>
      <c r="Q136" s="17"/>
    </row>
    <row r="137" spans="2:17">
      <c r="B137" s="15" t="str">
        <f t="shared" si="43"/>
        <v/>
      </c>
      <c r="C137" s="16" t="str">
        <f>IFERROR(VLOOKUP(DATA!#REF!,DATA!#REF!,1,FALSE),"")</f>
        <v/>
      </c>
      <c r="D137" s="16" t="str">
        <f>IFERROR(VLOOKUP(C137,DATA!#REF!,2,FALSE),"")</f>
        <v/>
      </c>
      <c r="I137" s="17"/>
      <c r="J137" s="17"/>
      <c r="P137" s="17"/>
      <c r="Q137" s="17"/>
    </row>
    <row r="138" spans="2:17">
      <c r="B138" s="15" t="str">
        <f t="shared" si="43"/>
        <v/>
      </c>
      <c r="C138" s="16" t="str">
        <f>IFERROR(VLOOKUP(DATA!#REF!,DATA!#REF!,1,FALSE),"")</f>
        <v/>
      </c>
      <c r="D138" s="16" t="str">
        <f>IFERROR(VLOOKUP(C138,DATA!#REF!,2,FALSE),"")</f>
        <v/>
      </c>
      <c r="I138" s="17"/>
      <c r="J138" s="17"/>
      <c r="P138" s="17"/>
      <c r="Q138" s="17"/>
    </row>
    <row r="139" spans="2:17">
      <c r="B139" s="15" t="str">
        <f t="shared" si="43"/>
        <v/>
      </c>
      <c r="C139" s="16" t="str">
        <f>IFERROR(VLOOKUP(DATA!#REF!,DATA!#REF!,1,FALSE),"")</f>
        <v/>
      </c>
      <c r="D139" s="16" t="str">
        <f>IFERROR(VLOOKUP(C139,DATA!#REF!,2,FALSE),"")</f>
        <v/>
      </c>
      <c r="I139" s="17"/>
      <c r="J139" s="17"/>
      <c r="P139" s="17"/>
      <c r="Q139" s="17"/>
    </row>
    <row r="140" spans="2:17">
      <c r="B140" s="15" t="str">
        <f t="shared" si="43"/>
        <v/>
      </c>
      <c r="C140" s="16" t="str">
        <f>IFERROR(VLOOKUP(DATA!#REF!,DATA!#REF!,1,FALSE),"")</f>
        <v/>
      </c>
      <c r="D140" s="16" t="str">
        <f>IFERROR(VLOOKUP(C140,DATA!#REF!,2,FALSE),"")</f>
        <v/>
      </c>
      <c r="I140" s="17"/>
      <c r="J140" s="17"/>
      <c r="P140" s="17"/>
      <c r="Q140" s="17"/>
    </row>
    <row r="141" spans="2:17">
      <c r="B141" s="15" t="str">
        <f t="shared" si="43"/>
        <v/>
      </c>
      <c r="C141" s="16" t="str">
        <f>IFERROR(VLOOKUP(DATA!#REF!,DATA!#REF!,1,FALSE),"")</f>
        <v/>
      </c>
      <c r="D141" s="16" t="str">
        <f>IFERROR(VLOOKUP(C141,DATA!#REF!,2,FALSE),"")</f>
        <v/>
      </c>
      <c r="I141" s="17"/>
      <c r="J141" s="17"/>
      <c r="P141" s="17"/>
      <c r="Q141" s="17"/>
    </row>
    <row r="142" spans="2:17">
      <c r="B142" s="15" t="str">
        <f t="shared" si="43"/>
        <v/>
      </c>
      <c r="C142" s="16" t="str">
        <f>IFERROR(VLOOKUP(DATA!#REF!,DATA!#REF!,1,FALSE),"")</f>
        <v/>
      </c>
      <c r="D142" s="16" t="str">
        <f>IFERROR(VLOOKUP(C142,DATA!#REF!,2,FALSE),"")</f>
        <v/>
      </c>
      <c r="I142" s="17"/>
      <c r="J142" s="17"/>
      <c r="P142" s="17"/>
      <c r="Q142" s="17"/>
    </row>
    <row r="143" spans="2:17">
      <c r="B143" s="15" t="str">
        <f t="shared" si="43"/>
        <v/>
      </c>
      <c r="C143" s="16" t="str">
        <f>IFERROR(VLOOKUP(DATA!#REF!,DATA!#REF!,1,FALSE),"")</f>
        <v/>
      </c>
      <c r="D143" s="16" t="str">
        <f>IFERROR(VLOOKUP(C143,DATA!#REF!,2,FALSE),"")</f>
        <v/>
      </c>
      <c r="I143" s="17"/>
      <c r="J143" s="17"/>
      <c r="P143" s="17"/>
      <c r="Q143" s="17"/>
    </row>
    <row r="144" spans="2:17">
      <c r="B144" s="15" t="str">
        <f t="shared" si="43"/>
        <v/>
      </c>
      <c r="C144" s="16" t="str">
        <f>IFERROR(VLOOKUP(DATA!#REF!,DATA!#REF!,1,FALSE),"")</f>
        <v/>
      </c>
      <c r="D144" s="16" t="str">
        <f>IFERROR(VLOOKUP(C144,DATA!#REF!,2,FALSE),"")</f>
        <v/>
      </c>
      <c r="I144" s="17"/>
      <c r="J144" s="17"/>
      <c r="P144" s="17"/>
      <c r="Q144" s="17"/>
    </row>
    <row r="145" spans="2:17">
      <c r="B145" s="15" t="str">
        <f t="shared" si="43"/>
        <v/>
      </c>
      <c r="C145" s="16" t="str">
        <f>IFERROR(VLOOKUP(DATA!#REF!,DATA!#REF!,1,FALSE),"")</f>
        <v/>
      </c>
      <c r="D145" s="16" t="str">
        <f>IFERROR(VLOOKUP(C145,DATA!#REF!,2,FALSE),"")</f>
        <v/>
      </c>
      <c r="I145" s="17"/>
      <c r="J145" s="17"/>
      <c r="P145" s="17"/>
      <c r="Q145" s="17"/>
    </row>
    <row r="146" spans="2:17">
      <c r="B146" s="15" t="str">
        <f t="shared" si="43"/>
        <v/>
      </c>
      <c r="C146" s="16" t="str">
        <f>IFERROR(VLOOKUP(DATA!#REF!,DATA!#REF!,1,FALSE),"")</f>
        <v/>
      </c>
      <c r="D146" s="16" t="str">
        <f>IFERROR(VLOOKUP(C146,DATA!#REF!,2,FALSE),"")</f>
        <v/>
      </c>
      <c r="I146" s="17"/>
      <c r="J146" s="17"/>
      <c r="P146" s="17"/>
      <c r="Q146" s="17"/>
    </row>
    <row r="147" spans="2:17">
      <c r="B147" s="15" t="str">
        <f t="shared" si="43"/>
        <v/>
      </c>
      <c r="C147" s="16" t="str">
        <f>IFERROR(VLOOKUP(DATA!#REF!,DATA!#REF!,1,FALSE),"")</f>
        <v/>
      </c>
      <c r="D147" s="16" t="str">
        <f>IFERROR(VLOOKUP(C147,DATA!#REF!,2,FALSE),"")</f>
        <v/>
      </c>
      <c r="I147" s="17"/>
      <c r="J147" s="17"/>
      <c r="P147" s="17"/>
      <c r="Q147" s="17"/>
    </row>
    <row r="148" spans="2:17">
      <c r="B148" s="15" t="str">
        <f t="shared" si="43"/>
        <v/>
      </c>
      <c r="C148" s="16" t="str">
        <f>IFERROR(VLOOKUP(DATA!#REF!,DATA!#REF!,1,FALSE),"")</f>
        <v/>
      </c>
      <c r="D148" s="16" t="str">
        <f>IFERROR(VLOOKUP(C148,DATA!#REF!,2,FALSE),"")</f>
        <v/>
      </c>
      <c r="I148" s="17"/>
      <c r="J148" s="17"/>
      <c r="P148" s="17"/>
      <c r="Q148" s="17"/>
    </row>
    <row r="149" spans="2:17">
      <c r="B149" s="15" t="str">
        <f t="shared" si="43"/>
        <v/>
      </c>
      <c r="C149" s="16" t="str">
        <f>IFERROR(VLOOKUP(DATA!#REF!,DATA!#REF!,1,FALSE),"")</f>
        <v/>
      </c>
      <c r="D149" s="16" t="str">
        <f>IFERROR(VLOOKUP(C149,DATA!#REF!,2,FALSE),"")</f>
        <v/>
      </c>
      <c r="I149" s="17"/>
      <c r="J149" s="17"/>
      <c r="P149" s="17"/>
      <c r="Q149" s="17"/>
    </row>
    <row r="150" spans="2:17">
      <c r="B150" s="15" t="str">
        <f t="shared" si="43"/>
        <v/>
      </c>
      <c r="C150" s="16" t="str">
        <f>IFERROR(VLOOKUP(DATA!#REF!,DATA!#REF!,1,FALSE),"")</f>
        <v/>
      </c>
      <c r="D150" s="16" t="str">
        <f>IFERROR(VLOOKUP(C150,DATA!#REF!,2,FALSE),"")</f>
        <v/>
      </c>
      <c r="I150" s="17"/>
      <c r="J150" s="17"/>
      <c r="P150" s="17"/>
      <c r="Q150" s="17"/>
    </row>
    <row r="151" spans="2:17">
      <c r="B151" s="15" t="str">
        <f t="shared" si="43"/>
        <v/>
      </c>
      <c r="C151" s="16" t="str">
        <f>IFERROR(VLOOKUP(DATA!#REF!,DATA!#REF!,1,FALSE),"")</f>
        <v/>
      </c>
      <c r="D151" s="16" t="str">
        <f>IFERROR(VLOOKUP(C151,DATA!#REF!,2,FALSE),"")</f>
        <v/>
      </c>
      <c r="I151" s="17"/>
      <c r="J151" s="17"/>
      <c r="P151" s="17"/>
      <c r="Q151" s="17"/>
    </row>
    <row r="152" spans="2:17">
      <c r="B152" s="15" t="str">
        <f t="shared" si="43"/>
        <v/>
      </c>
      <c r="C152" s="16" t="str">
        <f>IFERROR(VLOOKUP(DATA!#REF!,DATA!#REF!,1,FALSE),"")</f>
        <v/>
      </c>
      <c r="D152" s="16" t="str">
        <f>IFERROR(VLOOKUP(C152,DATA!#REF!,2,FALSE),"")</f>
        <v/>
      </c>
      <c r="I152" s="17"/>
      <c r="J152" s="17"/>
      <c r="P152" s="17"/>
      <c r="Q152" s="17"/>
    </row>
    <row r="153" spans="2:17">
      <c r="B153" s="15" t="str">
        <f t="shared" si="43"/>
        <v/>
      </c>
      <c r="C153" s="16" t="str">
        <f>IFERROR(VLOOKUP(DATA!#REF!,DATA!#REF!,1,FALSE),"")</f>
        <v/>
      </c>
      <c r="D153" s="16" t="str">
        <f>IFERROR(VLOOKUP(C153,DATA!#REF!,2,FALSE),"")</f>
        <v/>
      </c>
      <c r="I153" s="17"/>
      <c r="J153" s="17"/>
      <c r="P153" s="17"/>
      <c r="Q153" s="17"/>
    </row>
    <row r="154" spans="2:17">
      <c r="B154" s="15" t="str">
        <f t="shared" si="43"/>
        <v/>
      </c>
      <c r="C154" s="16" t="str">
        <f>IFERROR(VLOOKUP(DATA!#REF!,DATA!#REF!,1,FALSE),"")</f>
        <v/>
      </c>
      <c r="D154" s="16" t="str">
        <f>IFERROR(VLOOKUP(C154,DATA!#REF!,2,FALSE),"")</f>
        <v/>
      </c>
      <c r="I154" s="17"/>
      <c r="J154" s="17"/>
      <c r="P154" s="17"/>
      <c r="Q154" s="17"/>
    </row>
    <row r="155" spans="2:17">
      <c r="B155" s="15" t="str">
        <f t="shared" si="43"/>
        <v/>
      </c>
      <c r="C155" s="16" t="str">
        <f>IFERROR(VLOOKUP(DATA!#REF!,DATA!#REF!,1,FALSE),"")</f>
        <v/>
      </c>
      <c r="D155" s="16" t="str">
        <f>IFERROR(VLOOKUP(C155,DATA!#REF!,2,FALSE),"")</f>
        <v/>
      </c>
      <c r="I155" s="17"/>
      <c r="J155" s="17"/>
      <c r="P155" s="17"/>
      <c r="Q155" s="17"/>
    </row>
    <row r="156" spans="2:17">
      <c r="B156" s="15" t="str">
        <f t="shared" si="43"/>
        <v/>
      </c>
      <c r="C156" s="16" t="str">
        <f>IFERROR(VLOOKUP(DATA!#REF!,DATA!#REF!,1,FALSE),"")</f>
        <v/>
      </c>
      <c r="D156" s="16" t="str">
        <f>IFERROR(VLOOKUP(C156,DATA!#REF!,2,FALSE),"")</f>
        <v/>
      </c>
      <c r="I156" s="17"/>
      <c r="J156" s="17"/>
      <c r="P156" s="17"/>
      <c r="Q156" s="17"/>
    </row>
    <row r="157" spans="2:17">
      <c r="B157" s="15" t="str">
        <f t="shared" si="43"/>
        <v/>
      </c>
      <c r="C157" s="16" t="str">
        <f>IFERROR(VLOOKUP(DATA!#REF!,DATA!#REF!,1,FALSE),"")</f>
        <v/>
      </c>
      <c r="D157" s="16" t="str">
        <f>IFERROR(VLOOKUP(C157,DATA!#REF!,2,FALSE),"")</f>
        <v/>
      </c>
      <c r="I157" s="17"/>
      <c r="J157" s="17"/>
      <c r="P157" s="17"/>
      <c r="Q157" s="17"/>
    </row>
    <row r="158" spans="2:17">
      <c r="B158" s="15" t="str">
        <f t="shared" si="43"/>
        <v/>
      </c>
      <c r="C158" s="16" t="str">
        <f>IFERROR(VLOOKUP(DATA!#REF!,DATA!#REF!,1,FALSE),"")</f>
        <v/>
      </c>
      <c r="D158" s="16" t="str">
        <f>IFERROR(VLOOKUP(C158,DATA!#REF!,2,FALSE),"")</f>
        <v/>
      </c>
      <c r="I158" s="17"/>
      <c r="J158" s="17"/>
      <c r="P158" s="17"/>
      <c r="Q158" s="17"/>
    </row>
    <row r="159" spans="2:17">
      <c r="B159" s="15" t="str">
        <f t="shared" si="43"/>
        <v/>
      </c>
      <c r="C159" s="16" t="str">
        <f>IFERROR(VLOOKUP(DATA!#REF!,DATA!#REF!,1,FALSE),"")</f>
        <v/>
      </c>
      <c r="D159" s="16" t="str">
        <f>IFERROR(VLOOKUP(C159,DATA!#REF!,2,FALSE),"")</f>
        <v/>
      </c>
      <c r="I159" s="17"/>
      <c r="J159" s="17"/>
      <c r="P159" s="17"/>
      <c r="Q159" s="17"/>
    </row>
    <row r="160" spans="2:17">
      <c r="B160" s="15" t="str">
        <f t="shared" si="43"/>
        <v/>
      </c>
      <c r="C160" s="16" t="str">
        <f>IFERROR(VLOOKUP(DATA!#REF!,DATA!#REF!,1,FALSE),"")</f>
        <v/>
      </c>
      <c r="D160" s="16" t="str">
        <f>IFERROR(VLOOKUP(C160,DATA!#REF!,2,FALSE),"")</f>
        <v/>
      </c>
      <c r="I160" s="17"/>
      <c r="J160" s="17"/>
      <c r="P160" s="17"/>
      <c r="Q160" s="17"/>
    </row>
    <row r="161" spans="2:17">
      <c r="B161" s="15" t="str">
        <f t="shared" si="43"/>
        <v/>
      </c>
      <c r="C161" s="16" t="str">
        <f>IFERROR(VLOOKUP(DATA!#REF!,DATA!#REF!,1,FALSE),"")</f>
        <v/>
      </c>
      <c r="D161" s="16" t="str">
        <f>IFERROR(VLOOKUP(C161,DATA!#REF!,2,FALSE),"")</f>
        <v/>
      </c>
      <c r="I161" s="17"/>
      <c r="J161" s="17"/>
      <c r="P161" s="17"/>
      <c r="Q161" s="17"/>
    </row>
    <row r="162" spans="2:17">
      <c r="B162" s="15" t="str">
        <f t="shared" si="43"/>
        <v/>
      </c>
      <c r="C162" s="16" t="str">
        <f>IFERROR(VLOOKUP(DATA!#REF!,DATA!#REF!,1,FALSE),"")</f>
        <v/>
      </c>
      <c r="D162" s="16" t="str">
        <f>IFERROR(VLOOKUP(C162,DATA!#REF!,2,FALSE),"")</f>
        <v/>
      </c>
      <c r="I162" s="17"/>
      <c r="J162" s="17"/>
      <c r="P162" s="17"/>
      <c r="Q162" s="17"/>
    </row>
    <row r="163" spans="2:17">
      <c r="B163" s="15" t="str">
        <f t="shared" si="43"/>
        <v/>
      </c>
      <c r="C163" s="16" t="str">
        <f>IFERROR(VLOOKUP(DATA!#REF!,DATA!#REF!,1,FALSE),"")</f>
        <v/>
      </c>
      <c r="D163" s="16" t="str">
        <f>IFERROR(VLOOKUP(C163,DATA!#REF!,2,FALSE),"")</f>
        <v/>
      </c>
      <c r="I163" s="17"/>
      <c r="J163" s="17"/>
      <c r="P163" s="17"/>
      <c r="Q163" s="17"/>
    </row>
    <row r="164" spans="2:17">
      <c r="B164" s="15" t="str">
        <f t="shared" si="43"/>
        <v/>
      </c>
      <c r="C164" s="16" t="str">
        <f>IFERROR(VLOOKUP(DATA!#REF!,DATA!#REF!,1,FALSE),"")</f>
        <v/>
      </c>
      <c r="D164" s="16" t="str">
        <f>IFERROR(VLOOKUP(C164,DATA!#REF!,2,FALSE),"")</f>
        <v/>
      </c>
      <c r="I164" s="17"/>
      <c r="J164" s="17"/>
      <c r="P164" s="17"/>
      <c r="Q164" s="17"/>
    </row>
    <row r="165" spans="2:17">
      <c r="B165" s="15" t="str">
        <f t="shared" si="43"/>
        <v/>
      </c>
      <c r="C165" s="16" t="str">
        <f>IFERROR(VLOOKUP(DATA!#REF!,DATA!#REF!,1,FALSE),"")</f>
        <v/>
      </c>
      <c r="D165" s="16" t="str">
        <f>IFERROR(VLOOKUP(C165,DATA!#REF!,2,FALSE),"")</f>
        <v/>
      </c>
      <c r="I165" s="17"/>
      <c r="J165" s="17"/>
      <c r="P165" s="17"/>
      <c r="Q165" s="17"/>
    </row>
    <row r="166" spans="2:17">
      <c r="B166" s="15" t="str">
        <f t="shared" si="43"/>
        <v/>
      </c>
      <c r="C166" s="16" t="str">
        <f>IFERROR(VLOOKUP(DATA!#REF!,DATA!#REF!,1,FALSE),"")</f>
        <v/>
      </c>
      <c r="D166" s="16" t="str">
        <f>IFERROR(VLOOKUP(C166,DATA!#REF!,2,FALSE),"")</f>
        <v/>
      </c>
      <c r="I166" s="17"/>
      <c r="J166" s="17"/>
      <c r="P166" s="17"/>
      <c r="Q166" s="17"/>
    </row>
    <row r="167" spans="2:17">
      <c r="B167" s="15" t="str">
        <f t="shared" si="43"/>
        <v/>
      </c>
      <c r="C167" s="16" t="str">
        <f>IFERROR(VLOOKUP(DATA!#REF!,DATA!#REF!,1,FALSE),"")</f>
        <v/>
      </c>
      <c r="D167" s="16" t="str">
        <f>IFERROR(VLOOKUP(C167,DATA!#REF!,2,FALSE),"")</f>
        <v/>
      </c>
      <c r="I167" s="17"/>
      <c r="J167" s="17"/>
      <c r="P167" s="17"/>
      <c r="Q167" s="17"/>
    </row>
    <row r="168" spans="2:17">
      <c r="B168" s="15" t="str">
        <f t="shared" si="43"/>
        <v/>
      </c>
      <c r="C168" s="16" t="str">
        <f>IFERROR(VLOOKUP(DATA!#REF!,DATA!#REF!,1,FALSE),"")</f>
        <v/>
      </c>
      <c r="D168" s="16" t="str">
        <f>IFERROR(VLOOKUP(C168,DATA!#REF!,2,FALSE),"")</f>
        <v/>
      </c>
      <c r="I168" s="17"/>
      <c r="J168" s="17"/>
      <c r="P168" s="17"/>
      <c r="Q168" s="17"/>
    </row>
    <row r="169" spans="2:17">
      <c r="B169" s="15" t="str">
        <f t="shared" si="43"/>
        <v/>
      </c>
      <c r="C169" s="16" t="str">
        <f>IFERROR(VLOOKUP(DATA!#REF!,DATA!#REF!,1,FALSE),"")</f>
        <v/>
      </c>
      <c r="D169" s="16" t="str">
        <f>IFERROR(VLOOKUP(C169,DATA!#REF!,2,FALSE),"")</f>
        <v/>
      </c>
      <c r="I169" s="17"/>
      <c r="J169" s="17"/>
      <c r="P169" s="17"/>
      <c r="Q169" s="17"/>
    </row>
    <row r="170" spans="2:17">
      <c r="B170" s="15" t="str">
        <f t="shared" si="43"/>
        <v/>
      </c>
      <c r="C170" s="16" t="str">
        <f>IFERROR(VLOOKUP(DATA!#REF!,DATA!#REF!,1,FALSE),"")</f>
        <v/>
      </c>
      <c r="D170" s="16" t="str">
        <f>IFERROR(VLOOKUP(C170,DATA!#REF!,2,FALSE),"")</f>
        <v/>
      </c>
      <c r="I170" s="17"/>
      <c r="J170" s="17"/>
      <c r="P170" s="17"/>
      <c r="Q170" s="17"/>
    </row>
    <row r="171" spans="2:17">
      <c r="B171" s="15" t="str">
        <f t="shared" si="43"/>
        <v/>
      </c>
      <c r="C171" s="16" t="str">
        <f>IFERROR(VLOOKUP(DATA!#REF!,DATA!#REF!,1,FALSE),"")</f>
        <v/>
      </c>
      <c r="D171" s="16" t="str">
        <f>IFERROR(VLOOKUP(C171,DATA!#REF!,2,FALSE),"")</f>
        <v/>
      </c>
      <c r="I171" s="17"/>
      <c r="J171" s="17"/>
      <c r="P171" s="17"/>
      <c r="Q171" s="17"/>
    </row>
    <row r="172" spans="2:17">
      <c r="B172" s="15" t="str">
        <f t="shared" si="43"/>
        <v/>
      </c>
      <c r="C172" s="16" t="str">
        <f>IFERROR(VLOOKUP(DATA!#REF!,DATA!#REF!,1,FALSE),"")</f>
        <v/>
      </c>
      <c r="D172" s="16" t="str">
        <f>IFERROR(VLOOKUP(C172,DATA!#REF!,2,FALSE),"")</f>
        <v/>
      </c>
      <c r="I172" s="17"/>
      <c r="J172" s="17"/>
      <c r="P172" s="17"/>
      <c r="Q172" s="17"/>
    </row>
    <row r="173" spans="2:17">
      <c r="B173" s="15" t="str">
        <f t="shared" si="43"/>
        <v/>
      </c>
      <c r="C173" s="16" t="str">
        <f>IFERROR(VLOOKUP(DATA!#REF!,DATA!#REF!,1,FALSE),"")</f>
        <v/>
      </c>
      <c r="D173" s="16" t="str">
        <f>IFERROR(VLOOKUP(C173,DATA!#REF!,2,FALSE),"")</f>
        <v/>
      </c>
      <c r="I173" s="17"/>
      <c r="J173" s="17"/>
      <c r="P173" s="17"/>
      <c r="Q173" s="17"/>
    </row>
    <row r="174" spans="2:17">
      <c r="B174" s="15" t="str">
        <f t="shared" si="43"/>
        <v/>
      </c>
      <c r="C174" s="16" t="str">
        <f>IFERROR(VLOOKUP(DATA!#REF!,DATA!#REF!,1,FALSE),"")</f>
        <v/>
      </c>
      <c r="D174" s="16" t="str">
        <f>IFERROR(VLOOKUP(C174,DATA!#REF!,2,FALSE),"")</f>
        <v/>
      </c>
      <c r="I174" s="17"/>
      <c r="J174" s="17"/>
      <c r="P174" s="17"/>
      <c r="Q174" s="17"/>
    </row>
    <row r="175" spans="2:17">
      <c r="B175" s="15" t="str">
        <f t="shared" si="43"/>
        <v/>
      </c>
      <c r="C175" s="16" t="str">
        <f>IFERROR(VLOOKUP(DATA!#REF!,DATA!#REF!,1,FALSE),"")</f>
        <v/>
      </c>
      <c r="D175" s="16" t="str">
        <f>IFERROR(VLOOKUP(C175,DATA!#REF!,2,FALSE),"")</f>
        <v/>
      </c>
      <c r="I175" s="17"/>
      <c r="J175" s="17"/>
      <c r="P175" s="17"/>
      <c r="Q175" s="17"/>
    </row>
    <row r="176" spans="2:17">
      <c r="B176" s="15" t="str">
        <f t="shared" si="43"/>
        <v/>
      </c>
      <c r="C176" s="16" t="str">
        <f>IFERROR(VLOOKUP(DATA!#REF!,DATA!#REF!,1,FALSE),"")</f>
        <v/>
      </c>
      <c r="D176" s="16" t="str">
        <f>IFERROR(VLOOKUP(C176,DATA!#REF!,2,FALSE),"")</f>
        <v/>
      </c>
      <c r="I176" s="17"/>
      <c r="J176" s="17"/>
      <c r="P176" s="17"/>
      <c r="Q176" s="17"/>
    </row>
    <row r="177" spans="2:17">
      <c r="B177" s="15" t="str">
        <f t="shared" si="43"/>
        <v/>
      </c>
      <c r="C177" s="16" t="str">
        <f>IFERROR(VLOOKUP(DATA!#REF!,DATA!#REF!,1,FALSE),"")</f>
        <v/>
      </c>
      <c r="D177" s="16" t="str">
        <f>IFERROR(VLOOKUP(C177,DATA!#REF!,2,FALSE),"")</f>
        <v/>
      </c>
      <c r="I177" s="17"/>
      <c r="J177" s="17"/>
      <c r="P177" s="17"/>
      <c r="Q177" s="17"/>
    </row>
    <row r="178" spans="2:17">
      <c r="B178" s="15" t="str">
        <f t="shared" si="43"/>
        <v/>
      </c>
      <c r="C178" s="16" t="str">
        <f>IFERROR(VLOOKUP(DATA!#REF!,DATA!#REF!,1,FALSE),"")</f>
        <v/>
      </c>
      <c r="D178" s="16" t="str">
        <f>IFERROR(VLOOKUP(C178,DATA!#REF!,2,FALSE),"")</f>
        <v/>
      </c>
      <c r="I178" s="17"/>
      <c r="J178" s="17"/>
      <c r="P178" s="17"/>
      <c r="Q178" s="17"/>
    </row>
    <row r="179" spans="2:17">
      <c r="B179" s="15" t="str">
        <f t="shared" si="43"/>
        <v/>
      </c>
      <c r="C179" s="16" t="str">
        <f>IFERROR(VLOOKUP(DATA!#REF!,DATA!#REF!,1,FALSE),"")</f>
        <v/>
      </c>
      <c r="D179" s="16" t="str">
        <f>IFERROR(VLOOKUP(C179,DATA!#REF!,2,FALSE),"")</f>
        <v/>
      </c>
      <c r="I179" s="17"/>
      <c r="J179" s="17"/>
      <c r="P179" s="17"/>
      <c r="Q179" s="17"/>
    </row>
    <row r="180" spans="2:17">
      <c r="B180" s="15" t="str">
        <f t="shared" si="43"/>
        <v/>
      </c>
      <c r="C180" s="16" t="str">
        <f>IFERROR(VLOOKUP(DATA!#REF!,DATA!#REF!,1,FALSE),"")</f>
        <v/>
      </c>
      <c r="D180" s="16" t="str">
        <f>IFERROR(VLOOKUP(C180,DATA!#REF!,2,FALSE),"")</f>
        <v/>
      </c>
      <c r="I180" s="17"/>
      <c r="J180" s="17"/>
      <c r="P180" s="17"/>
      <c r="Q180" s="17"/>
    </row>
    <row r="181" spans="2:17">
      <c r="B181" s="15" t="str">
        <f t="shared" si="43"/>
        <v/>
      </c>
      <c r="C181" s="16" t="str">
        <f>IFERROR(VLOOKUP(DATA!#REF!,DATA!#REF!,1,FALSE),"")</f>
        <v/>
      </c>
      <c r="D181" s="16" t="str">
        <f>IFERROR(VLOOKUP(C181,DATA!#REF!,2,FALSE),"")</f>
        <v/>
      </c>
      <c r="I181" s="17"/>
      <c r="J181" s="17"/>
      <c r="P181" s="17"/>
      <c r="Q181" s="17"/>
    </row>
    <row r="182" spans="2:17">
      <c r="B182" s="15" t="str">
        <f t="shared" si="43"/>
        <v/>
      </c>
      <c r="C182" s="16" t="str">
        <f>IFERROR(VLOOKUP(DATA!#REF!,DATA!#REF!,1,FALSE),"")</f>
        <v/>
      </c>
      <c r="D182" s="16" t="str">
        <f>IFERROR(VLOOKUP(C182,DATA!#REF!,2,FALSE),"")</f>
        <v/>
      </c>
      <c r="I182" s="17"/>
      <c r="J182" s="17"/>
      <c r="P182" s="17"/>
      <c r="Q182" s="17"/>
    </row>
    <row r="183" spans="2:17">
      <c r="B183" s="15" t="str">
        <f t="shared" ref="B183:B246" si="44">+IF(C183="","",ROW()-5)</f>
        <v/>
      </c>
      <c r="C183" s="16" t="str">
        <f>IFERROR(VLOOKUP(DATA!#REF!,DATA!#REF!,1,FALSE),"")</f>
        <v/>
      </c>
      <c r="D183" s="16" t="str">
        <f>IFERROR(VLOOKUP(C183,DATA!#REF!,2,FALSE),"")</f>
        <v/>
      </c>
      <c r="I183" s="17"/>
      <c r="J183" s="17"/>
      <c r="P183" s="17"/>
      <c r="Q183" s="17"/>
    </row>
    <row r="184" spans="2:17">
      <c r="B184" s="15" t="str">
        <f t="shared" si="44"/>
        <v/>
      </c>
      <c r="C184" s="16" t="str">
        <f>IFERROR(VLOOKUP(DATA!#REF!,DATA!#REF!,1,FALSE),"")</f>
        <v/>
      </c>
      <c r="D184" s="16" t="str">
        <f>IFERROR(VLOOKUP(C184,DATA!#REF!,2,FALSE),"")</f>
        <v/>
      </c>
      <c r="I184" s="17"/>
      <c r="J184" s="17"/>
      <c r="P184" s="17"/>
      <c r="Q184" s="17"/>
    </row>
    <row r="185" spans="2:17">
      <c r="B185" s="15" t="str">
        <f t="shared" si="44"/>
        <v/>
      </c>
      <c r="C185" s="16" t="str">
        <f>IFERROR(VLOOKUP(DATA!#REF!,DATA!#REF!,1,FALSE),"")</f>
        <v/>
      </c>
      <c r="D185" s="16" t="str">
        <f>IFERROR(VLOOKUP(C185,DATA!#REF!,2,FALSE),"")</f>
        <v/>
      </c>
      <c r="I185" s="17"/>
      <c r="J185" s="17"/>
      <c r="P185" s="17"/>
      <c r="Q185" s="17"/>
    </row>
    <row r="186" spans="2:17">
      <c r="B186" s="15" t="str">
        <f t="shared" si="44"/>
        <v/>
      </c>
      <c r="C186" s="16" t="str">
        <f>IFERROR(VLOOKUP(DATA!#REF!,DATA!#REF!,1,FALSE),"")</f>
        <v/>
      </c>
      <c r="D186" s="16" t="str">
        <f>IFERROR(VLOOKUP(C186,DATA!#REF!,2,FALSE),"")</f>
        <v/>
      </c>
      <c r="I186" s="17"/>
      <c r="J186" s="17"/>
      <c r="P186" s="17"/>
      <c r="Q186" s="17"/>
    </row>
    <row r="187" spans="2:17">
      <c r="B187" s="15" t="str">
        <f t="shared" si="44"/>
        <v/>
      </c>
      <c r="C187" s="16" t="str">
        <f>IFERROR(VLOOKUP(DATA!#REF!,DATA!#REF!,1,FALSE),"")</f>
        <v/>
      </c>
      <c r="D187" s="16" t="str">
        <f>IFERROR(VLOOKUP(C187,DATA!#REF!,2,FALSE),"")</f>
        <v/>
      </c>
      <c r="I187" s="17"/>
      <c r="J187" s="17"/>
      <c r="P187" s="17"/>
      <c r="Q187" s="17"/>
    </row>
    <row r="188" spans="2:17">
      <c r="B188" s="15" t="str">
        <f t="shared" si="44"/>
        <v/>
      </c>
      <c r="C188" s="16" t="str">
        <f>IFERROR(VLOOKUP(DATA!#REF!,DATA!#REF!,1,FALSE),"")</f>
        <v/>
      </c>
      <c r="D188" s="16" t="str">
        <f>IFERROR(VLOOKUP(C188,DATA!#REF!,2,FALSE),"")</f>
        <v/>
      </c>
      <c r="I188" s="17"/>
      <c r="J188" s="17"/>
      <c r="P188" s="17"/>
      <c r="Q188" s="17"/>
    </row>
    <row r="189" spans="2:17">
      <c r="B189" s="15" t="str">
        <f t="shared" si="44"/>
        <v/>
      </c>
      <c r="C189" s="16" t="str">
        <f>IFERROR(VLOOKUP(DATA!#REF!,DATA!#REF!,1,FALSE),"")</f>
        <v/>
      </c>
      <c r="D189" s="16" t="str">
        <f>IFERROR(VLOOKUP(C189,DATA!#REF!,2,FALSE),"")</f>
        <v/>
      </c>
      <c r="I189" s="17"/>
      <c r="J189" s="17"/>
      <c r="P189" s="17"/>
      <c r="Q189" s="17"/>
    </row>
    <row r="190" spans="2:17">
      <c r="B190" s="15" t="str">
        <f t="shared" si="44"/>
        <v/>
      </c>
      <c r="C190" s="16" t="str">
        <f>IFERROR(VLOOKUP(DATA!#REF!,DATA!#REF!,1,FALSE),"")</f>
        <v/>
      </c>
      <c r="D190" s="16" t="str">
        <f>IFERROR(VLOOKUP(C190,DATA!#REF!,2,FALSE),"")</f>
        <v/>
      </c>
      <c r="I190" s="17"/>
      <c r="J190" s="17"/>
      <c r="P190" s="17"/>
      <c r="Q190" s="17"/>
    </row>
    <row r="191" spans="2:17">
      <c r="B191" s="15" t="str">
        <f t="shared" si="44"/>
        <v/>
      </c>
      <c r="C191" s="16" t="str">
        <f>IFERROR(VLOOKUP(DATA!#REF!,DATA!#REF!,1,FALSE),"")</f>
        <v/>
      </c>
      <c r="D191" s="16" t="str">
        <f>IFERROR(VLOOKUP(C191,DATA!#REF!,2,FALSE),"")</f>
        <v/>
      </c>
      <c r="I191" s="17"/>
      <c r="J191" s="17"/>
      <c r="P191" s="17"/>
      <c r="Q191" s="17"/>
    </row>
    <row r="192" spans="2:17">
      <c r="B192" s="15" t="str">
        <f t="shared" si="44"/>
        <v/>
      </c>
      <c r="C192" s="16" t="str">
        <f>IFERROR(VLOOKUP(DATA!#REF!,DATA!#REF!,1,FALSE),"")</f>
        <v/>
      </c>
      <c r="D192" s="16" t="str">
        <f>IFERROR(VLOOKUP(C192,DATA!#REF!,2,FALSE),"")</f>
        <v/>
      </c>
      <c r="I192" s="17"/>
      <c r="J192" s="17"/>
      <c r="P192" s="17"/>
      <c r="Q192" s="17"/>
    </row>
    <row r="193" spans="2:17">
      <c r="B193" s="15" t="str">
        <f t="shared" si="44"/>
        <v/>
      </c>
      <c r="C193" s="16" t="str">
        <f>IFERROR(VLOOKUP(DATA!#REF!,DATA!#REF!,1,FALSE),"")</f>
        <v/>
      </c>
      <c r="D193" s="16" t="str">
        <f>IFERROR(VLOOKUP(C193,DATA!#REF!,2,FALSE),"")</f>
        <v/>
      </c>
      <c r="I193" s="17"/>
      <c r="J193" s="17"/>
      <c r="P193" s="17"/>
      <c r="Q193" s="17"/>
    </row>
    <row r="194" spans="2:17">
      <c r="B194" s="15" t="str">
        <f t="shared" si="44"/>
        <v/>
      </c>
      <c r="C194" s="16" t="str">
        <f>IFERROR(VLOOKUP(DATA!#REF!,DATA!#REF!,1,FALSE),"")</f>
        <v/>
      </c>
      <c r="D194" s="16" t="str">
        <f>IFERROR(VLOOKUP(C194,DATA!#REF!,2,FALSE),"")</f>
        <v/>
      </c>
      <c r="I194" s="17"/>
      <c r="J194" s="17"/>
      <c r="P194" s="17"/>
      <c r="Q194" s="17"/>
    </row>
    <row r="195" spans="2:17">
      <c r="B195" s="15" t="str">
        <f t="shared" si="44"/>
        <v/>
      </c>
      <c r="C195" s="16" t="str">
        <f>IFERROR(VLOOKUP(DATA!#REF!,DATA!#REF!,1,FALSE),"")</f>
        <v/>
      </c>
      <c r="D195" s="16" t="str">
        <f>IFERROR(VLOOKUP(C195,DATA!#REF!,2,FALSE),"")</f>
        <v/>
      </c>
      <c r="I195" s="17"/>
      <c r="J195" s="17"/>
      <c r="P195" s="17"/>
      <c r="Q195" s="17"/>
    </row>
    <row r="196" spans="2:17">
      <c r="B196" s="15" t="str">
        <f t="shared" si="44"/>
        <v/>
      </c>
      <c r="C196" s="16" t="str">
        <f>IFERROR(VLOOKUP(DATA!#REF!,DATA!#REF!,1,FALSE),"")</f>
        <v/>
      </c>
      <c r="D196" s="16" t="str">
        <f>IFERROR(VLOOKUP(C196,DATA!#REF!,2,FALSE),"")</f>
        <v/>
      </c>
      <c r="I196" s="17"/>
      <c r="J196" s="17"/>
      <c r="P196" s="17"/>
      <c r="Q196" s="17"/>
    </row>
    <row r="197" spans="2:17">
      <c r="B197" s="15" t="str">
        <f t="shared" si="44"/>
        <v/>
      </c>
      <c r="C197" s="16" t="str">
        <f>IFERROR(VLOOKUP(DATA!#REF!,DATA!#REF!,1,FALSE),"")</f>
        <v/>
      </c>
      <c r="D197" s="16" t="str">
        <f>IFERROR(VLOOKUP(C197,DATA!#REF!,2,FALSE),"")</f>
        <v/>
      </c>
      <c r="I197" s="17"/>
      <c r="J197" s="17"/>
      <c r="P197" s="17"/>
      <c r="Q197" s="17"/>
    </row>
    <row r="198" spans="2:17">
      <c r="B198" s="15" t="str">
        <f t="shared" si="44"/>
        <v/>
      </c>
      <c r="C198" s="16" t="str">
        <f>IFERROR(VLOOKUP(DATA!#REF!,DATA!#REF!,1,FALSE),"")</f>
        <v/>
      </c>
      <c r="D198" s="16" t="str">
        <f>IFERROR(VLOOKUP(C198,DATA!#REF!,2,FALSE),"")</f>
        <v/>
      </c>
      <c r="I198" s="17"/>
      <c r="J198" s="17"/>
      <c r="P198" s="17"/>
      <c r="Q198" s="17"/>
    </row>
    <row r="199" spans="2:17">
      <c r="B199" s="15" t="str">
        <f t="shared" si="44"/>
        <v/>
      </c>
      <c r="C199" s="16" t="str">
        <f>IFERROR(VLOOKUP(DATA!#REF!,DATA!#REF!,1,FALSE),"")</f>
        <v/>
      </c>
      <c r="D199" s="16" t="str">
        <f>IFERROR(VLOOKUP(C199,DATA!#REF!,2,FALSE),"")</f>
        <v/>
      </c>
      <c r="I199" s="17"/>
      <c r="J199" s="17"/>
      <c r="P199" s="17"/>
      <c r="Q199" s="17"/>
    </row>
    <row r="200" spans="2:17">
      <c r="B200" s="15" t="str">
        <f t="shared" si="44"/>
        <v/>
      </c>
      <c r="C200" s="16" t="str">
        <f>IFERROR(VLOOKUP(DATA!#REF!,DATA!#REF!,1,FALSE),"")</f>
        <v/>
      </c>
      <c r="D200" s="16" t="str">
        <f>IFERROR(VLOOKUP(C200,DATA!#REF!,2,FALSE),"")</f>
        <v/>
      </c>
      <c r="I200" s="17"/>
      <c r="J200" s="17"/>
      <c r="P200" s="17"/>
      <c r="Q200" s="17"/>
    </row>
    <row r="201" spans="2:17">
      <c r="B201" s="15" t="str">
        <f t="shared" si="44"/>
        <v/>
      </c>
      <c r="C201" s="16" t="str">
        <f>IFERROR(VLOOKUP(DATA!#REF!,DATA!#REF!,1,FALSE),"")</f>
        <v/>
      </c>
      <c r="D201" s="16" t="str">
        <f>IFERROR(VLOOKUP(C201,DATA!#REF!,2,FALSE),"")</f>
        <v/>
      </c>
      <c r="I201" s="17"/>
      <c r="J201" s="17"/>
      <c r="P201" s="17"/>
      <c r="Q201" s="17"/>
    </row>
    <row r="202" spans="2:17">
      <c r="B202" s="15" t="str">
        <f t="shared" si="44"/>
        <v/>
      </c>
      <c r="C202" s="16" t="str">
        <f>IFERROR(VLOOKUP(DATA!#REF!,DATA!#REF!,1,FALSE),"")</f>
        <v/>
      </c>
      <c r="D202" s="16" t="str">
        <f>IFERROR(VLOOKUP(C202,DATA!#REF!,2,FALSE),"")</f>
        <v/>
      </c>
      <c r="I202" s="17"/>
      <c r="J202" s="17"/>
      <c r="P202" s="17"/>
      <c r="Q202" s="17"/>
    </row>
    <row r="203" spans="2:17">
      <c r="B203" s="15" t="str">
        <f t="shared" si="44"/>
        <v/>
      </c>
      <c r="C203" s="16" t="str">
        <f>IFERROR(VLOOKUP(DATA!#REF!,DATA!#REF!,1,FALSE),"")</f>
        <v/>
      </c>
      <c r="D203" s="16" t="str">
        <f>IFERROR(VLOOKUP(C203,DATA!#REF!,2,FALSE),"")</f>
        <v/>
      </c>
      <c r="I203" s="17"/>
      <c r="J203" s="17"/>
      <c r="P203" s="17"/>
      <c r="Q203" s="17"/>
    </row>
    <row r="204" spans="2:17">
      <c r="B204" s="15" t="str">
        <f t="shared" si="44"/>
        <v/>
      </c>
      <c r="C204" s="16" t="str">
        <f>IFERROR(VLOOKUP(DATA!#REF!,DATA!#REF!,1,FALSE),"")</f>
        <v/>
      </c>
      <c r="D204" s="16" t="str">
        <f>IFERROR(VLOOKUP(C204,DATA!#REF!,2,FALSE),"")</f>
        <v/>
      </c>
      <c r="I204" s="17"/>
      <c r="J204" s="17"/>
      <c r="P204" s="17"/>
      <c r="Q204" s="17"/>
    </row>
    <row r="205" spans="2:17">
      <c r="B205" s="15" t="str">
        <f t="shared" si="44"/>
        <v/>
      </c>
      <c r="C205" s="16" t="str">
        <f>IFERROR(VLOOKUP(DATA!#REF!,DATA!#REF!,1,FALSE),"")</f>
        <v/>
      </c>
      <c r="D205" s="16" t="str">
        <f>IFERROR(VLOOKUP(C205,DATA!#REF!,2,FALSE),"")</f>
        <v/>
      </c>
      <c r="I205" s="17"/>
      <c r="J205" s="17"/>
      <c r="P205" s="17"/>
      <c r="Q205" s="17"/>
    </row>
    <row r="206" spans="2:17">
      <c r="B206" s="15" t="str">
        <f t="shared" si="44"/>
        <v/>
      </c>
      <c r="C206" s="16" t="str">
        <f>IFERROR(VLOOKUP(DATA!#REF!,DATA!#REF!,1,FALSE),"")</f>
        <v/>
      </c>
      <c r="D206" s="16" t="str">
        <f>IFERROR(VLOOKUP(C206,DATA!#REF!,2,FALSE),"")</f>
        <v/>
      </c>
      <c r="I206" s="17"/>
      <c r="J206" s="17"/>
      <c r="P206" s="17"/>
      <c r="Q206" s="17"/>
    </row>
    <row r="207" spans="2:17">
      <c r="B207" s="15" t="str">
        <f t="shared" si="44"/>
        <v/>
      </c>
      <c r="C207" s="16" t="str">
        <f>IFERROR(VLOOKUP(DATA!#REF!,DATA!#REF!,1,FALSE),"")</f>
        <v/>
      </c>
      <c r="D207" s="16" t="str">
        <f>IFERROR(VLOOKUP(C207,DATA!#REF!,2,FALSE),"")</f>
        <v/>
      </c>
      <c r="I207" s="17"/>
      <c r="J207" s="17"/>
      <c r="P207" s="17"/>
      <c r="Q207" s="17"/>
    </row>
    <row r="208" spans="2:17">
      <c r="B208" s="15" t="str">
        <f t="shared" si="44"/>
        <v/>
      </c>
      <c r="C208" s="16" t="str">
        <f>IFERROR(VLOOKUP(DATA!#REF!,DATA!#REF!,1,FALSE),"")</f>
        <v/>
      </c>
      <c r="D208" s="16" t="str">
        <f>IFERROR(VLOOKUP(C208,DATA!#REF!,2,FALSE),"")</f>
        <v/>
      </c>
      <c r="I208" s="17"/>
      <c r="J208" s="17"/>
      <c r="P208" s="17"/>
      <c r="Q208" s="17"/>
    </row>
    <row r="209" spans="2:17">
      <c r="B209" s="15" t="str">
        <f t="shared" si="44"/>
        <v/>
      </c>
      <c r="C209" s="16" t="str">
        <f>IFERROR(VLOOKUP(DATA!#REF!,DATA!#REF!,1,FALSE),"")</f>
        <v/>
      </c>
      <c r="D209" s="16" t="str">
        <f>IFERROR(VLOOKUP(C209,DATA!#REF!,2,FALSE),"")</f>
        <v/>
      </c>
      <c r="I209" s="17"/>
      <c r="J209" s="17"/>
      <c r="P209" s="17"/>
      <c r="Q209" s="17"/>
    </row>
    <row r="210" spans="2:17">
      <c r="B210" s="15" t="str">
        <f t="shared" si="44"/>
        <v/>
      </c>
      <c r="C210" s="16" t="str">
        <f>IFERROR(VLOOKUP(DATA!#REF!,DATA!#REF!,1,FALSE),"")</f>
        <v/>
      </c>
      <c r="D210" s="16" t="str">
        <f>IFERROR(VLOOKUP(C210,DATA!#REF!,2,FALSE),"")</f>
        <v/>
      </c>
      <c r="I210" s="17"/>
      <c r="J210" s="17"/>
      <c r="P210" s="17"/>
      <c r="Q210" s="17"/>
    </row>
    <row r="211" spans="2:17">
      <c r="B211" s="15" t="str">
        <f t="shared" si="44"/>
        <v/>
      </c>
      <c r="C211" s="16" t="str">
        <f>IFERROR(VLOOKUP(DATA!#REF!,DATA!#REF!,1,FALSE),"")</f>
        <v/>
      </c>
      <c r="D211" s="16" t="str">
        <f>IFERROR(VLOOKUP(C211,DATA!#REF!,2,FALSE),"")</f>
        <v/>
      </c>
      <c r="I211" s="17"/>
      <c r="J211" s="17"/>
      <c r="P211" s="17"/>
      <c r="Q211" s="17"/>
    </row>
    <row r="212" spans="2:17">
      <c r="B212" s="15" t="str">
        <f t="shared" si="44"/>
        <v/>
      </c>
      <c r="C212" s="16" t="str">
        <f>IFERROR(VLOOKUP(DATA!#REF!,DATA!#REF!,1,FALSE),"")</f>
        <v/>
      </c>
      <c r="D212" s="16" t="str">
        <f>IFERROR(VLOOKUP(C212,DATA!#REF!,2,FALSE),"")</f>
        <v/>
      </c>
      <c r="I212" s="17"/>
      <c r="J212" s="17"/>
      <c r="P212" s="17"/>
      <c r="Q212" s="17"/>
    </row>
    <row r="213" spans="2:17">
      <c r="B213" s="15" t="str">
        <f t="shared" si="44"/>
        <v/>
      </c>
      <c r="C213" s="16" t="str">
        <f>IFERROR(VLOOKUP(DATA!#REF!,DATA!#REF!,1,FALSE),"")</f>
        <v/>
      </c>
      <c r="D213" s="16" t="str">
        <f>IFERROR(VLOOKUP(C213,DATA!#REF!,2,FALSE),"")</f>
        <v/>
      </c>
      <c r="I213" s="17"/>
      <c r="J213" s="17"/>
      <c r="P213" s="17"/>
      <c r="Q213" s="17"/>
    </row>
    <row r="214" spans="2:17">
      <c r="B214" s="15" t="str">
        <f t="shared" si="44"/>
        <v/>
      </c>
      <c r="C214" s="16" t="str">
        <f>IFERROR(VLOOKUP(DATA!#REF!,DATA!#REF!,1,FALSE),"")</f>
        <v/>
      </c>
      <c r="D214" s="16" t="str">
        <f>IFERROR(VLOOKUP(C214,DATA!#REF!,2,FALSE),"")</f>
        <v/>
      </c>
      <c r="I214" s="17"/>
      <c r="J214" s="17"/>
      <c r="P214" s="17"/>
      <c r="Q214" s="17"/>
    </row>
    <row r="215" spans="2:17">
      <c r="B215" s="15" t="str">
        <f t="shared" si="44"/>
        <v/>
      </c>
      <c r="C215" s="16" t="str">
        <f>IFERROR(VLOOKUP(DATA!#REF!,DATA!#REF!,1,FALSE),"")</f>
        <v/>
      </c>
      <c r="D215" s="16" t="str">
        <f>IFERROR(VLOOKUP(C215,DATA!#REF!,2,FALSE),"")</f>
        <v/>
      </c>
      <c r="I215" s="17"/>
      <c r="J215" s="17"/>
      <c r="P215" s="17"/>
      <c r="Q215" s="17"/>
    </row>
    <row r="216" spans="2:17">
      <c r="B216" s="15" t="str">
        <f t="shared" si="44"/>
        <v/>
      </c>
      <c r="C216" s="16" t="str">
        <f>IFERROR(VLOOKUP(DATA!#REF!,DATA!#REF!,1,FALSE),"")</f>
        <v/>
      </c>
      <c r="D216" s="16" t="str">
        <f>IFERROR(VLOOKUP(C216,DATA!#REF!,2,FALSE),"")</f>
        <v/>
      </c>
      <c r="I216" s="17"/>
      <c r="J216" s="17"/>
      <c r="P216" s="17"/>
      <c r="Q216" s="17"/>
    </row>
    <row r="217" spans="2:17">
      <c r="B217" s="15" t="str">
        <f t="shared" si="44"/>
        <v/>
      </c>
      <c r="C217" s="16" t="str">
        <f>IFERROR(VLOOKUP(DATA!#REF!,DATA!#REF!,1,FALSE),"")</f>
        <v/>
      </c>
      <c r="D217" s="16" t="str">
        <f>IFERROR(VLOOKUP(C217,DATA!#REF!,2,FALSE),"")</f>
        <v/>
      </c>
      <c r="I217" s="17"/>
      <c r="J217" s="17"/>
      <c r="P217" s="17"/>
      <c r="Q217" s="17"/>
    </row>
    <row r="218" spans="2:17">
      <c r="B218" s="15" t="str">
        <f t="shared" si="44"/>
        <v/>
      </c>
      <c r="C218" s="16" t="str">
        <f>IFERROR(VLOOKUP(DATA!#REF!,DATA!#REF!,1,FALSE),"")</f>
        <v/>
      </c>
      <c r="D218" s="16" t="str">
        <f>IFERROR(VLOOKUP(C218,DATA!#REF!,2,FALSE),"")</f>
        <v/>
      </c>
      <c r="I218" s="17"/>
      <c r="J218" s="17"/>
      <c r="P218" s="17"/>
      <c r="Q218" s="17"/>
    </row>
    <row r="219" spans="2:17">
      <c r="B219" s="15" t="str">
        <f t="shared" si="44"/>
        <v/>
      </c>
      <c r="C219" s="16" t="str">
        <f>IFERROR(VLOOKUP(DATA!#REF!,DATA!#REF!,1,FALSE),"")</f>
        <v/>
      </c>
      <c r="D219" s="16" t="str">
        <f>IFERROR(VLOOKUP(C219,DATA!#REF!,2,FALSE),"")</f>
        <v/>
      </c>
      <c r="I219" s="17"/>
      <c r="J219" s="17"/>
      <c r="P219" s="17"/>
      <c r="Q219" s="17"/>
    </row>
    <row r="220" spans="2:17">
      <c r="B220" s="15" t="str">
        <f t="shared" si="44"/>
        <v/>
      </c>
      <c r="C220" s="16" t="str">
        <f>IFERROR(VLOOKUP(DATA!#REF!,DATA!#REF!,1,FALSE),"")</f>
        <v/>
      </c>
      <c r="D220" s="16" t="str">
        <f>IFERROR(VLOOKUP(C220,DATA!#REF!,2,FALSE),"")</f>
        <v/>
      </c>
      <c r="I220" s="17"/>
      <c r="J220" s="17"/>
      <c r="P220" s="17"/>
      <c r="Q220" s="17"/>
    </row>
    <row r="221" spans="2:17">
      <c r="B221" s="15" t="str">
        <f t="shared" si="44"/>
        <v/>
      </c>
      <c r="C221" s="16" t="str">
        <f>IFERROR(VLOOKUP(DATA!#REF!,DATA!#REF!,1,FALSE),"")</f>
        <v/>
      </c>
      <c r="D221" s="16" t="str">
        <f>IFERROR(VLOOKUP(C221,DATA!#REF!,2,FALSE),"")</f>
        <v/>
      </c>
      <c r="I221" s="17"/>
      <c r="J221" s="17"/>
      <c r="P221" s="17"/>
      <c r="Q221" s="17"/>
    </row>
    <row r="222" spans="2:17">
      <c r="B222" s="15" t="str">
        <f t="shared" si="44"/>
        <v/>
      </c>
      <c r="C222" s="16" t="str">
        <f>IFERROR(VLOOKUP(DATA!#REF!,DATA!#REF!,1,FALSE),"")</f>
        <v/>
      </c>
      <c r="D222" s="16" t="str">
        <f>IFERROR(VLOOKUP(C222,DATA!#REF!,2,FALSE),"")</f>
        <v/>
      </c>
      <c r="I222" s="17"/>
      <c r="J222" s="17"/>
      <c r="P222" s="17"/>
      <c r="Q222" s="17"/>
    </row>
    <row r="223" spans="2:17">
      <c r="B223" s="15" t="str">
        <f t="shared" si="44"/>
        <v/>
      </c>
      <c r="C223" s="16" t="str">
        <f>IFERROR(VLOOKUP(DATA!#REF!,DATA!#REF!,1,FALSE),"")</f>
        <v/>
      </c>
      <c r="D223" s="16" t="str">
        <f>IFERROR(VLOOKUP(C223,DATA!#REF!,2,FALSE),"")</f>
        <v/>
      </c>
      <c r="I223" s="17"/>
      <c r="J223" s="17"/>
      <c r="P223" s="17"/>
      <c r="Q223" s="17"/>
    </row>
    <row r="224" spans="2:17">
      <c r="B224" s="15" t="str">
        <f t="shared" si="44"/>
        <v/>
      </c>
      <c r="C224" s="16" t="str">
        <f>IFERROR(VLOOKUP(DATA!#REF!,DATA!#REF!,1,FALSE),"")</f>
        <v/>
      </c>
      <c r="D224" s="16" t="str">
        <f>IFERROR(VLOOKUP(C224,DATA!#REF!,2,FALSE),"")</f>
        <v/>
      </c>
      <c r="I224" s="17"/>
      <c r="J224" s="17"/>
      <c r="P224" s="17"/>
      <c r="Q224" s="17"/>
    </row>
    <row r="225" spans="2:17">
      <c r="B225" s="15" t="str">
        <f t="shared" si="44"/>
        <v/>
      </c>
      <c r="C225" s="16" t="str">
        <f>IFERROR(VLOOKUP(DATA!#REF!,DATA!#REF!,1,FALSE),"")</f>
        <v/>
      </c>
      <c r="D225" s="16" t="str">
        <f>IFERROR(VLOOKUP(C225,DATA!#REF!,2,FALSE),"")</f>
        <v/>
      </c>
      <c r="I225" s="17"/>
      <c r="J225" s="17"/>
      <c r="P225" s="17"/>
      <c r="Q225" s="17"/>
    </row>
    <row r="226" spans="2:17">
      <c r="B226" s="15" t="str">
        <f t="shared" si="44"/>
        <v/>
      </c>
      <c r="C226" s="16" t="str">
        <f>IFERROR(VLOOKUP(DATA!#REF!,DATA!#REF!,1,FALSE),"")</f>
        <v/>
      </c>
      <c r="D226" s="16" t="str">
        <f>IFERROR(VLOOKUP(C226,DATA!#REF!,2,FALSE),"")</f>
        <v/>
      </c>
      <c r="I226" s="17"/>
      <c r="J226" s="17"/>
      <c r="P226" s="17"/>
      <c r="Q226" s="17"/>
    </row>
    <row r="227" spans="2:17">
      <c r="B227" s="15" t="str">
        <f t="shared" si="44"/>
        <v/>
      </c>
      <c r="C227" s="16" t="str">
        <f>IFERROR(VLOOKUP(DATA!#REF!,DATA!#REF!,1,FALSE),"")</f>
        <v/>
      </c>
      <c r="D227" s="16" t="str">
        <f>IFERROR(VLOOKUP(C227,DATA!#REF!,2,FALSE),"")</f>
        <v/>
      </c>
      <c r="I227" s="17"/>
      <c r="J227" s="17"/>
      <c r="P227" s="17"/>
      <c r="Q227" s="17"/>
    </row>
    <row r="228" spans="2:17">
      <c r="B228" s="15" t="str">
        <f t="shared" si="44"/>
        <v/>
      </c>
      <c r="C228" s="16" t="str">
        <f>IFERROR(VLOOKUP(DATA!#REF!,DATA!#REF!,1,FALSE),"")</f>
        <v/>
      </c>
      <c r="D228" s="16" t="str">
        <f>IFERROR(VLOOKUP(C228,DATA!#REF!,2,FALSE),"")</f>
        <v/>
      </c>
      <c r="I228" s="17"/>
      <c r="J228" s="17"/>
      <c r="P228" s="17"/>
      <c r="Q228" s="17"/>
    </row>
    <row r="229" spans="2:17">
      <c r="B229" s="15" t="str">
        <f t="shared" si="44"/>
        <v/>
      </c>
      <c r="C229" s="16" t="str">
        <f>IFERROR(VLOOKUP(DATA!#REF!,DATA!#REF!,1,FALSE),"")</f>
        <v/>
      </c>
      <c r="D229" s="16" t="str">
        <f>IFERROR(VLOOKUP(C229,DATA!#REF!,2,FALSE),"")</f>
        <v/>
      </c>
      <c r="I229" s="17"/>
      <c r="J229" s="17"/>
      <c r="P229" s="17"/>
      <c r="Q229" s="17"/>
    </row>
    <row r="230" spans="2:17">
      <c r="B230" s="15" t="str">
        <f t="shared" si="44"/>
        <v/>
      </c>
      <c r="C230" s="16" t="str">
        <f>IFERROR(VLOOKUP(DATA!#REF!,DATA!#REF!,1,FALSE),"")</f>
        <v/>
      </c>
      <c r="D230" s="16" t="str">
        <f>IFERROR(VLOOKUP(C230,DATA!#REF!,2,FALSE),"")</f>
        <v/>
      </c>
      <c r="I230" s="17"/>
      <c r="J230" s="17"/>
      <c r="P230" s="17"/>
      <c r="Q230" s="17"/>
    </row>
    <row r="231" spans="2:17">
      <c r="B231" s="15" t="str">
        <f t="shared" si="44"/>
        <v/>
      </c>
      <c r="C231" s="16" t="str">
        <f>IFERROR(VLOOKUP(DATA!#REF!,DATA!#REF!,1,FALSE),"")</f>
        <v/>
      </c>
      <c r="D231" s="16" t="str">
        <f>IFERROR(VLOOKUP(C231,DATA!#REF!,2,FALSE),"")</f>
        <v/>
      </c>
      <c r="I231" s="17"/>
      <c r="J231" s="17"/>
      <c r="P231" s="17"/>
      <c r="Q231" s="17"/>
    </row>
    <row r="232" spans="2:17">
      <c r="B232" s="15" t="str">
        <f t="shared" si="44"/>
        <v/>
      </c>
      <c r="C232" s="16" t="str">
        <f>IFERROR(VLOOKUP(DATA!#REF!,DATA!#REF!,1,FALSE),"")</f>
        <v/>
      </c>
      <c r="D232" s="16" t="str">
        <f>IFERROR(VLOOKUP(C232,DATA!#REF!,2,FALSE),"")</f>
        <v/>
      </c>
      <c r="I232" s="17"/>
      <c r="J232" s="17"/>
      <c r="P232" s="17"/>
      <c r="Q232" s="17"/>
    </row>
    <row r="233" spans="2:17">
      <c r="B233" s="15" t="str">
        <f t="shared" si="44"/>
        <v/>
      </c>
      <c r="C233" s="16" t="str">
        <f>IFERROR(VLOOKUP(DATA!#REF!,DATA!#REF!,1,FALSE),"")</f>
        <v/>
      </c>
      <c r="D233" s="16" t="str">
        <f>IFERROR(VLOOKUP(C233,DATA!#REF!,2,FALSE),"")</f>
        <v/>
      </c>
      <c r="I233" s="17"/>
      <c r="J233" s="17"/>
      <c r="P233" s="17"/>
      <c r="Q233" s="17"/>
    </row>
    <row r="234" spans="2:17">
      <c r="B234" s="15" t="str">
        <f t="shared" si="44"/>
        <v/>
      </c>
      <c r="C234" s="16" t="str">
        <f>IFERROR(VLOOKUP(DATA!#REF!,DATA!#REF!,1,FALSE),"")</f>
        <v/>
      </c>
      <c r="D234" s="16" t="str">
        <f>IFERROR(VLOOKUP(C234,DATA!#REF!,2,FALSE),"")</f>
        <v/>
      </c>
      <c r="I234" s="17"/>
      <c r="J234" s="17"/>
      <c r="P234" s="17"/>
      <c r="Q234" s="17"/>
    </row>
    <row r="235" spans="2:17">
      <c r="B235" s="15" t="str">
        <f t="shared" si="44"/>
        <v/>
      </c>
      <c r="C235" s="16" t="str">
        <f>IFERROR(VLOOKUP(DATA!#REF!,DATA!#REF!,1,FALSE),"")</f>
        <v/>
      </c>
      <c r="D235" s="16" t="str">
        <f>IFERROR(VLOOKUP(C235,DATA!#REF!,2,FALSE),"")</f>
        <v/>
      </c>
      <c r="I235" s="17"/>
      <c r="J235" s="17"/>
      <c r="P235" s="17"/>
      <c r="Q235" s="17"/>
    </row>
    <row r="236" spans="2:17">
      <c r="B236" s="15" t="str">
        <f t="shared" si="44"/>
        <v/>
      </c>
      <c r="C236" s="16" t="str">
        <f>IFERROR(VLOOKUP(DATA!#REF!,DATA!#REF!,1,FALSE),"")</f>
        <v/>
      </c>
      <c r="D236" s="16" t="str">
        <f>IFERROR(VLOOKUP(C236,DATA!#REF!,2,FALSE),"")</f>
        <v/>
      </c>
      <c r="I236" s="17"/>
      <c r="J236" s="17"/>
      <c r="P236" s="17"/>
      <c r="Q236" s="17"/>
    </row>
    <row r="237" spans="2:17">
      <c r="B237" s="15" t="str">
        <f t="shared" si="44"/>
        <v/>
      </c>
      <c r="C237" s="16" t="str">
        <f>IFERROR(VLOOKUP(DATA!#REF!,DATA!#REF!,1,FALSE),"")</f>
        <v/>
      </c>
      <c r="D237" s="16" t="str">
        <f>IFERROR(VLOOKUP(C237,DATA!#REF!,2,FALSE),"")</f>
        <v/>
      </c>
      <c r="I237" s="17"/>
      <c r="J237" s="17"/>
      <c r="P237" s="17"/>
      <c r="Q237" s="17"/>
    </row>
    <row r="238" spans="2:17">
      <c r="B238" s="15" t="str">
        <f t="shared" si="44"/>
        <v/>
      </c>
      <c r="C238" s="16" t="str">
        <f>IFERROR(VLOOKUP(DATA!#REF!,DATA!#REF!,1,FALSE),"")</f>
        <v/>
      </c>
      <c r="D238" s="16" t="str">
        <f>IFERROR(VLOOKUP(C238,DATA!#REF!,2,FALSE),"")</f>
        <v/>
      </c>
      <c r="I238" s="17"/>
      <c r="J238" s="17"/>
      <c r="P238" s="17"/>
      <c r="Q238" s="17"/>
    </row>
    <row r="239" spans="2:17">
      <c r="B239" s="15" t="str">
        <f t="shared" si="44"/>
        <v/>
      </c>
      <c r="C239" s="16" t="str">
        <f>IFERROR(VLOOKUP(DATA!#REF!,DATA!#REF!,1,FALSE),"")</f>
        <v/>
      </c>
      <c r="D239" s="16" t="str">
        <f>IFERROR(VLOOKUP(C239,DATA!#REF!,2,FALSE),"")</f>
        <v/>
      </c>
      <c r="I239" s="17"/>
      <c r="J239" s="17"/>
      <c r="P239" s="17"/>
      <c r="Q239" s="17"/>
    </row>
    <row r="240" spans="2:17">
      <c r="B240" s="15" t="str">
        <f t="shared" si="44"/>
        <v/>
      </c>
      <c r="C240" s="16" t="str">
        <f>IFERROR(VLOOKUP(DATA!#REF!,DATA!#REF!,1,FALSE),"")</f>
        <v/>
      </c>
      <c r="D240" s="16" t="str">
        <f>IFERROR(VLOOKUP(C240,DATA!#REF!,2,FALSE),"")</f>
        <v/>
      </c>
      <c r="I240" s="17"/>
      <c r="J240" s="17"/>
      <c r="P240" s="17"/>
      <c r="Q240" s="17"/>
    </row>
    <row r="241" spans="2:17">
      <c r="B241" s="15" t="str">
        <f t="shared" si="44"/>
        <v/>
      </c>
      <c r="C241" s="16" t="str">
        <f>IFERROR(VLOOKUP(DATA!#REF!,DATA!#REF!,1,FALSE),"")</f>
        <v/>
      </c>
      <c r="D241" s="16" t="str">
        <f>IFERROR(VLOOKUP(C241,DATA!#REF!,2,FALSE),"")</f>
        <v/>
      </c>
      <c r="I241" s="17"/>
      <c r="J241" s="17"/>
      <c r="P241" s="17"/>
      <c r="Q241" s="17"/>
    </row>
    <row r="242" spans="2:17">
      <c r="B242" s="15" t="str">
        <f t="shared" si="44"/>
        <v/>
      </c>
      <c r="C242" s="16" t="str">
        <f>IFERROR(VLOOKUP(DATA!#REF!,DATA!#REF!,1,FALSE),"")</f>
        <v/>
      </c>
      <c r="D242" s="16" t="str">
        <f>IFERROR(VLOOKUP(C242,DATA!#REF!,2,FALSE),"")</f>
        <v/>
      </c>
      <c r="I242" s="17"/>
      <c r="J242" s="17"/>
      <c r="P242" s="17"/>
      <c r="Q242" s="17"/>
    </row>
    <row r="243" spans="2:17">
      <c r="B243" s="15" t="str">
        <f t="shared" si="44"/>
        <v/>
      </c>
      <c r="C243" s="16" t="str">
        <f>IFERROR(VLOOKUP(DATA!#REF!,DATA!#REF!,1,FALSE),"")</f>
        <v/>
      </c>
      <c r="D243" s="16" t="str">
        <f>IFERROR(VLOOKUP(C243,DATA!#REF!,2,FALSE),"")</f>
        <v/>
      </c>
      <c r="I243" s="17"/>
      <c r="J243" s="17"/>
      <c r="P243" s="17"/>
      <c r="Q243" s="17"/>
    </row>
    <row r="244" spans="2:17">
      <c r="B244" s="15" t="str">
        <f t="shared" si="44"/>
        <v/>
      </c>
      <c r="C244" s="16" t="str">
        <f>IFERROR(VLOOKUP(DATA!#REF!,DATA!#REF!,1,FALSE),"")</f>
        <v/>
      </c>
      <c r="D244" s="16" t="str">
        <f>IFERROR(VLOOKUP(C244,DATA!#REF!,2,FALSE),"")</f>
        <v/>
      </c>
      <c r="I244" s="17"/>
      <c r="J244" s="17"/>
      <c r="P244" s="17"/>
      <c r="Q244" s="17"/>
    </row>
    <row r="245" spans="2:17">
      <c r="B245" s="15" t="str">
        <f t="shared" si="44"/>
        <v/>
      </c>
      <c r="C245" s="16" t="str">
        <f>IFERROR(VLOOKUP(DATA!#REF!,DATA!#REF!,1,FALSE),"")</f>
        <v/>
      </c>
      <c r="D245" s="16" t="str">
        <f>IFERROR(VLOOKUP(C245,DATA!#REF!,2,FALSE),"")</f>
        <v/>
      </c>
      <c r="I245" s="17"/>
      <c r="J245" s="17"/>
      <c r="P245" s="17"/>
      <c r="Q245" s="17"/>
    </row>
    <row r="246" spans="2:17">
      <c r="B246" s="15" t="str">
        <f t="shared" si="44"/>
        <v/>
      </c>
      <c r="C246" s="16" t="str">
        <f>IFERROR(VLOOKUP(DATA!#REF!,DATA!#REF!,1,FALSE),"")</f>
        <v/>
      </c>
      <c r="D246" s="16" t="str">
        <f>IFERROR(VLOOKUP(C246,DATA!#REF!,2,FALSE),"")</f>
        <v/>
      </c>
      <c r="I246" s="17"/>
      <c r="J246" s="17"/>
      <c r="P246" s="17"/>
      <c r="Q246" s="17"/>
    </row>
    <row r="247" spans="2:17">
      <c r="B247" s="15" t="str">
        <f t="shared" ref="B247:B310" si="45">+IF(C247="","",ROW()-5)</f>
        <v/>
      </c>
      <c r="C247" s="16" t="str">
        <f>IFERROR(VLOOKUP(DATA!#REF!,DATA!#REF!,1,FALSE),"")</f>
        <v/>
      </c>
      <c r="D247" s="16" t="str">
        <f>IFERROR(VLOOKUP(C247,DATA!#REF!,2,FALSE),"")</f>
        <v/>
      </c>
      <c r="I247" s="17"/>
      <c r="J247" s="17"/>
      <c r="P247" s="17"/>
      <c r="Q247" s="17"/>
    </row>
    <row r="248" spans="2:17">
      <c r="B248" s="15" t="str">
        <f t="shared" si="45"/>
        <v/>
      </c>
      <c r="C248" s="16" t="str">
        <f>IFERROR(VLOOKUP(DATA!#REF!,DATA!#REF!,1,FALSE),"")</f>
        <v/>
      </c>
      <c r="D248" s="16" t="str">
        <f>IFERROR(VLOOKUP(C248,DATA!#REF!,2,FALSE),"")</f>
        <v/>
      </c>
      <c r="I248" s="17"/>
      <c r="J248" s="17"/>
      <c r="P248" s="17"/>
      <c r="Q248" s="17"/>
    </row>
    <row r="249" spans="2:17">
      <c r="B249" s="15" t="str">
        <f t="shared" si="45"/>
        <v/>
      </c>
      <c r="C249" s="16" t="str">
        <f>IFERROR(VLOOKUP(DATA!#REF!,DATA!#REF!,1,FALSE),"")</f>
        <v/>
      </c>
      <c r="D249" s="16" t="str">
        <f>IFERROR(VLOOKUP(C249,DATA!#REF!,2,FALSE),"")</f>
        <v/>
      </c>
      <c r="I249" s="17"/>
      <c r="J249" s="17"/>
      <c r="P249" s="17"/>
      <c r="Q249" s="17"/>
    </row>
    <row r="250" spans="2:17">
      <c r="B250" s="15" t="str">
        <f t="shared" si="45"/>
        <v/>
      </c>
      <c r="C250" s="16" t="str">
        <f>IFERROR(VLOOKUP(DATA!#REF!,DATA!#REF!,1,FALSE),"")</f>
        <v/>
      </c>
      <c r="D250" s="16" t="str">
        <f>IFERROR(VLOOKUP(C250,DATA!#REF!,2,FALSE),"")</f>
        <v/>
      </c>
      <c r="I250" s="17"/>
      <c r="J250" s="17"/>
      <c r="P250" s="17"/>
      <c r="Q250" s="17"/>
    </row>
    <row r="251" spans="2:17">
      <c r="B251" s="15" t="str">
        <f t="shared" si="45"/>
        <v/>
      </c>
      <c r="C251" s="16" t="str">
        <f>IFERROR(VLOOKUP(DATA!#REF!,DATA!#REF!,1,FALSE),"")</f>
        <v/>
      </c>
      <c r="D251" s="16" t="str">
        <f>IFERROR(VLOOKUP(C251,DATA!#REF!,2,FALSE),"")</f>
        <v/>
      </c>
      <c r="I251" s="17"/>
      <c r="J251" s="17"/>
      <c r="P251" s="17"/>
      <c r="Q251" s="17"/>
    </row>
    <row r="252" spans="2:17">
      <c r="B252" s="15" t="str">
        <f t="shared" si="45"/>
        <v/>
      </c>
      <c r="C252" s="16" t="str">
        <f>IFERROR(VLOOKUP(DATA!#REF!,DATA!#REF!,1,FALSE),"")</f>
        <v/>
      </c>
      <c r="D252" s="16" t="str">
        <f>IFERROR(VLOOKUP(C252,DATA!#REF!,2,FALSE),"")</f>
        <v/>
      </c>
      <c r="I252" s="17"/>
      <c r="J252" s="17"/>
      <c r="P252" s="17"/>
      <c r="Q252" s="17"/>
    </row>
    <row r="253" spans="2:17">
      <c r="B253" s="15" t="str">
        <f t="shared" si="45"/>
        <v/>
      </c>
      <c r="C253" s="16" t="str">
        <f>IFERROR(VLOOKUP(DATA!#REF!,DATA!#REF!,1,FALSE),"")</f>
        <v/>
      </c>
      <c r="D253" s="16" t="str">
        <f>IFERROR(VLOOKUP(C253,DATA!#REF!,2,FALSE),"")</f>
        <v/>
      </c>
      <c r="I253" s="17"/>
      <c r="J253" s="17"/>
      <c r="P253" s="17"/>
      <c r="Q253" s="17"/>
    </row>
    <row r="254" spans="2:17">
      <c r="B254" s="15" t="str">
        <f t="shared" si="45"/>
        <v/>
      </c>
      <c r="C254" s="16" t="str">
        <f>IFERROR(VLOOKUP(DATA!#REF!,DATA!#REF!,1,FALSE),"")</f>
        <v/>
      </c>
      <c r="D254" s="16" t="str">
        <f>IFERROR(VLOOKUP(C254,DATA!#REF!,2,FALSE),"")</f>
        <v/>
      </c>
      <c r="I254" s="17"/>
      <c r="J254" s="17"/>
      <c r="P254" s="17"/>
      <c r="Q254" s="17"/>
    </row>
    <row r="255" spans="2:17">
      <c r="B255" s="15" t="str">
        <f t="shared" si="45"/>
        <v/>
      </c>
      <c r="C255" s="16" t="str">
        <f>IFERROR(VLOOKUP(DATA!#REF!,DATA!#REF!,1,FALSE),"")</f>
        <v/>
      </c>
      <c r="D255" s="16" t="str">
        <f>IFERROR(VLOOKUP(C255,DATA!#REF!,2,FALSE),"")</f>
        <v/>
      </c>
      <c r="I255" s="17"/>
      <c r="J255" s="17"/>
      <c r="P255" s="17"/>
      <c r="Q255" s="17"/>
    </row>
    <row r="256" spans="2:17">
      <c r="B256" s="15" t="str">
        <f t="shared" si="45"/>
        <v/>
      </c>
      <c r="C256" s="16" t="str">
        <f>IFERROR(VLOOKUP(DATA!#REF!,DATA!#REF!,1,FALSE),"")</f>
        <v/>
      </c>
      <c r="D256" s="16" t="str">
        <f>IFERROR(VLOOKUP(C256,DATA!#REF!,2,FALSE),"")</f>
        <v/>
      </c>
      <c r="I256" s="17"/>
      <c r="J256" s="17"/>
      <c r="P256" s="17"/>
      <c r="Q256" s="17"/>
    </row>
    <row r="257" spans="2:17">
      <c r="B257" s="15" t="str">
        <f t="shared" si="45"/>
        <v/>
      </c>
      <c r="C257" s="16" t="str">
        <f>IFERROR(VLOOKUP(DATA!#REF!,DATA!#REF!,1,FALSE),"")</f>
        <v/>
      </c>
      <c r="D257" s="16" t="str">
        <f>IFERROR(VLOOKUP(C257,DATA!#REF!,2,FALSE),"")</f>
        <v/>
      </c>
      <c r="I257" s="17"/>
      <c r="J257" s="17"/>
      <c r="P257" s="17"/>
      <c r="Q257" s="17"/>
    </row>
    <row r="258" spans="2:17">
      <c r="B258" s="15" t="str">
        <f t="shared" si="45"/>
        <v/>
      </c>
      <c r="C258" s="16" t="str">
        <f>IFERROR(VLOOKUP(DATA!#REF!,DATA!#REF!,1,FALSE),"")</f>
        <v/>
      </c>
      <c r="D258" s="16" t="str">
        <f>IFERROR(VLOOKUP(C258,DATA!#REF!,2,FALSE),"")</f>
        <v/>
      </c>
      <c r="I258" s="17"/>
      <c r="J258" s="17"/>
      <c r="P258" s="17"/>
      <c r="Q258" s="17"/>
    </row>
    <row r="259" spans="2:17">
      <c r="B259" s="15" t="str">
        <f t="shared" si="45"/>
        <v/>
      </c>
      <c r="C259" s="16" t="str">
        <f>IFERROR(VLOOKUP(DATA!#REF!,DATA!#REF!,1,FALSE),"")</f>
        <v/>
      </c>
      <c r="D259" s="16" t="str">
        <f>IFERROR(VLOOKUP(C259,DATA!#REF!,2,FALSE),"")</f>
        <v/>
      </c>
      <c r="I259" s="17"/>
      <c r="J259" s="17"/>
      <c r="P259" s="17"/>
      <c r="Q259" s="17"/>
    </row>
    <row r="260" spans="2:17">
      <c r="B260" s="15" t="str">
        <f t="shared" si="45"/>
        <v/>
      </c>
      <c r="C260" s="16" t="str">
        <f>IFERROR(VLOOKUP(DATA!#REF!,DATA!#REF!,1,FALSE),"")</f>
        <v/>
      </c>
      <c r="D260" s="16" t="str">
        <f>IFERROR(VLOOKUP(C260,DATA!#REF!,2,FALSE),"")</f>
        <v/>
      </c>
      <c r="I260" s="17"/>
      <c r="J260" s="17"/>
      <c r="P260" s="17"/>
      <c r="Q260" s="17"/>
    </row>
    <row r="261" spans="2:17">
      <c r="B261" s="15" t="str">
        <f t="shared" si="45"/>
        <v/>
      </c>
      <c r="C261" s="16" t="str">
        <f>IFERROR(VLOOKUP(DATA!#REF!,DATA!#REF!,1,FALSE),"")</f>
        <v/>
      </c>
      <c r="D261" s="16" t="str">
        <f>IFERROR(VLOOKUP(C261,DATA!#REF!,2,FALSE),"")</f>
        <v/>
      </c>
      <c r="I261" s="17"/>
      <c r="J261" s="17"/>
      <c r="P261" s="17"/>
      <c r="Q261" s="17"/>
    </row>
    <row r="262" spans="2:17">
      <c r="B262" s="15" t="str">
        <f t="shared" si="45"/>
        <v/>
      </c>
      <c r="C262" s="16" t="str">
        <f>IFERROR(VLOOKUP(DATA!#REF!,DATA!#REF!,1,FALSE),"")</f>
        <v/>
      </c>
      <c r="D262" s="16" t="str">
        <f>IFERROR(VLOOKUP(C262,DATA!#REF!,2,FALSE),"")</f>
        <v/>
      </c>
      <c r="I262" s="17"/>
      <c r="J262" s="17"/>
      <c r="P262" s="17"/>
      <c r="Q262" s="17"/>
    </row>
    <row r="263" spans="2:17">
      <c r="B263" s="15" t="str">
        <f t="shared" si="45"/>
        <v/>
      </c>
      <c r="C263" s="16" t="str">
        <f>IFERROR(VLOOKUP(DATA!#REF!,DATA!#REF!,1,FALSE),"")</f>
        <v/>
      </c>
      <c r="D263" s="16" t="str">
        <f>IFERROR(VLOOKUP(C263,DATA!#REF!,2,FALSE),"")</f>
        <v/>
      </c>
      <c r="I263" s="17"/>
      <c r="J263" s="17"/>
      <c r="P263" s="17"/>
      <c r="Q263" s="17"/>
    </row>
    <row r="264" spans="2:17">
      <c r="B264" s="15" t="str">
        <f t="shared" si="45"/>
        <v/>
      </c>
      <c r="C264" s="16" t="str">
        <f>IFERROR(VLOOKUP(DATA!#REF!,DATA!#REF!,1,FALSE),"")</f>
        <v/>
      </c>
      <c r="D264" s="16" t="str">
        <f>IFERROR(VLOOKUP(C264,DATA!#REF!,2,FALSE),"")</f>
        <v/>
      </c>
      <c r="I264" s="17"/>
      <c r="J264" s="17"/>
      <c r="P264" s="17"/>
      <c r="Q264" s="17"/>
    </row>
    <row r="265" spans="2:17">
      <c r="B265" s="15" t="str">
        <f t="shared" si="45"/>
        <v/>
      </c>
      <c r="C265" s="16" t="str">
        <f>IFERROR(VLOOKUP(DATA!#REF!,DATA!#REF!,1,FALSE),"")</f>
        <v/>
      </c>
      <c r="D265" s="16" t="str">
        <f>IFERROR(VLOOKUP(C265,DATA!#REF!,2,FALSE),"")</f>
        <v/>
      </c>
      <c r="I265" s="17"/>
      <c r="J265" s="17"/>
      <c r="P265" s="17"/>
      <c r="Q265" s="17"/>
    </row>
    <row r="266" spans="2:17">
      <c r="B266" s="15" t="str">
        <f t="shared" si="45"/>
        <v/>
      </c>
      <c r="C266" s="16" t="str">
        <f>IFERROR(VLOOKUP(DATA!#REF!,DATA!#REF!,1,FALSE),"")</f>
        <v/>
      </c>
      <c r="D266" s="16" t="str">
        <f>IFERROR(VLOOKUP(C266,DATA!#REF!,2,FALSE),"")</f>
        <v/>
      </c>
      <c r="I266" s="17"/>
      <c r="J266" s="17"/>
      <c r="P266" s="17"/>
      <c r="Q266" s="17"/>
    </row>
    <row r="267" spans="2:17">
      <c r="B267" s="15" t="str">
        <f t="shared" si="45"/>
        <v/>
      </c>
      <c r="C267" s="16" t="str">
        <f>IFERROR(VLOOKUP(DATA!#REF!,DATA!#REF!,1,FALSE),"")</f>
        <v/>
      </c>
      <c r="D267" s="16" t="str">
        <f>IFERROR(VLOOKUP(C267,DATA!#REF!,2,FALSE),"")</f>
        <v/>
      </c>
      <c r="I267" s="17"/>
      <c r="J267" s="17"/>
      <c r="P267" s="17"/>
      <c r="Q267" s="17"/>
    </row>
    <row r="268" spans="2:17">
      <c r="B268" s="15" t="str">
        <f t="shared" si="45"/>
        <v/>
      </c>
      <c r="C268" s="16" t="str">
        <f>IFERROR(VLOOKUP(DATA!#REF!,DATA!#REF!,1,FALSE),"")</f>
        <v/>
      </c>
      <c r="D268" s="16" t="str">
        <f>IFERROR(VLOOKUP(C268,DATA!#REF!,2,FALSE),"")</f>
        <v/>
      </c>
      <c r="I268" s="17"/>
      <c r="J268" s="17"/>
      <c r="P268" s="17"/>
      <c r="Q268" s="17"/>
    </row>
    <row r="269" spans="2:17">
      <c r="B269" s="15" t="str">
        <f t="shared" si="45"/>
        <v/>
      </c>
      <c r="C269" s="16" t="str">
        <f>IFERROR(VLOOKUP(DATA!#REF!,DATA!#REF!,1,FALSE),"")</f>
        <v/>
      </c>
      <c r="D269" s="16" t="str">
        <f>IFERROR(VLOOKUP(C269,DATA!#REF!,2,FALSE),"")</f>
        <v/>
      </c>
      <c r="I269" s="17"/>
      <c r="J269" s="17"/>
      <c r="P269" s="17"/>
      <c r="Q269" s="17"/>
    </row>
    <row r="270" spans="2:17">
      <c r="B270" s="15" t="str">
        <f t="shared" si="45"/>
        <v/>
      </c>
      <c r="C270" s="16" t="str">
        <f>IFERROR(VLOOKUP(DATA!#REF!,DATA!#REF!,1,FALSE),"")</f>
        <v/>
      </c>
      <c r="D270" s="16" t="str">
        <f>IFERROR(VLOOKUP(C270,DATA!#REF!,2,FALSE),"")</f>
        <v/>
      </c>
      <c r="I270" s="17"/>
      <c r="J270" s="17"/>
      <c r="P270" s="17"/>
      <c r="Q270" s="17"/>
    </row>
    <row r="271" spans="2:17">
      <c r="B271" s="15" t="str">
        <f t="shared" si="45"/>
        <v/>
      </c>
      <c r="C271" s="16" t="str">
        <f>IFERROR(VLOOKUP(DATA!#REF!,DATA!#REF!,1,FALSE),"")</f>
        <v/>
      </c>
      <c r="D271" s="16" t="str">
        <f>IFERROR(VLOOKUP(C271,DATA!#REF!,2,FALSE),"")</f>
        <v/>
      </c>
      <c r="I271" s="17"/>
      <c r="J271" s="17"/>
      <c r="P271" s="17"/>
      <c r="Q271" s="17"/>
    </row>
    <row r="272" spans="2:17">
      <c r="B272" s="15" t="str">
        <f t="shared" si="45"/>
        <v/>
      </c>
      <c r="C272" s="16" t="str">
        <f>IFERROR(VLOOKUP(DATA!#REF!,DATA!#REF!,1,FALSE),"")</f>
        <v/>
      </c>
      <c r="D272" s="16" t="str">
        <f>IFERROR(VLOOKUP(C272,DATA!#REF!,2,FALSE),"")</f>
        <v/>
      </c>
      <c r="I272" s="17"/>
      <c r="J272" s="17"/>
      <c r="P272" s="17"/>
      <c r="Q272" s="17"/>
    </row>
    <row r="273" spans="2:17">
      <c r="B273" s="15" t="str">
        <f t="shared" si="45"/>
        <v/>
      </c>
      <c r="C273" s="16" t="str">
        <f>IFERROR(VLOOKUP(DATA!#REF!,DATA!#REF!,1,FALSE),"")</f>
        <v/>
      </c>
      <c r="D273" s="16" t="str">
        <f>IFERROR(VLOOKUP(C273,DATA!#REF!,2,FALSE),"")</f>
        <v/>
      </c>
      <c r="I273" s="17"/>
      <c r="J273" s="17"/>
      <c r="P273" s="17"/>
      <c r="Q273" s="17"/>
    </row>
    <row r="274" spans="2:17">
      <c r="B274" s="15" t="str">
        <f t="shared" si="45"/>
        <v/>
      </c>
      <c r="C274" s="16" t="str">
        <f>IFERROR(VLOOKUP(DATA!#REF!,DATA!#REF!,1,FALSE),"")</f>
        <v/>
      </c>
      <c r="D274" s="16" t="str">
        <f>IFERROR(VLOOKUP(C274,DATA!#REF!,2,FALSE),"")</f>
        <v/>
      </c>
      <c r="I274" s="17"/>
      <c r="J274" s="17"/>
      <c r="P274" s="17"/>
      <c r="Q274" s="17"/>
    </row>
    <row r="275" spans="2:17">
      <c r="B275" s="15" t="str">
        <f t="shared" si="45"/>
        <v/>
      </c>
      <c r="C275" s="16" t="str">
        <f>IFERROR(VLOOKUP(DATA!#REF!,DATA!#REF!,1,FALSE),"")</f>
        <v/>
      </c>
      <c r="D275" s="16" t="str">
        <f>IFERROR(VLOOKUP(C275,DATA!#REF!,2,FALSE),"")</f>
        <v/>
      </c>
      <c r="I275" s="17"/>
      <c r="J275" s="17"/>
      <c r="P275" s="17"/>
      <c r="Q275" s="17"/>
    </row>
    <row r="276" spans="2:17">
      <c r="B276" s="15" t="str">
        <f t="shared" si="45"/>
        <v/>
      </c>
      <c r="C276" s="16" t="str">
        <f>IFERROR(VLOOKUP(DATA!#REF!,DATA!#REF!,1,FALSE),"")</f>
        <v/>
      </c>
      <c r="D276" s="16" t="str">
        <f>IFERROR(VLOOKUP(C276,DATA!#REF!,2,FALSE),"")</f>
        <v/>
      </c>
      <c r="I276" s="17"/>
      <c r="J276" s="17"/>
      <c r="P276" s="17"/>
      <c r="Q276" s="17"/>
    </row>
    <row r="277" spans="2:17">
      <c r="B277" s="15" t="str">
        <f t="shared" si="45"/>
        <v/>
      </c>
      <c r="C277" s="16" t="str">
        <f>IFERROR(VLOOKUP(DATA!#REF!,DATA!#REF!,1,FALSE),"")</f>
        <v/>
      </c>
      <c r="D277" s="16" t="str">
        <f>IFERROR(VLOOKUP(C277,DATA!#REF!,2,FALSE),"")</f>
        <v/>
      </c>
      <c r="I277" s="17"/>
      <c r="J277" s="17"/>
      <c r="P277" s="17"/>
      <c r="Q277" s="17"/>
    </row>
    <row r="278" spans="2:17">
      <c r="B278" s="15" t="str">
        <f t="shared" si="45"/>
        <v/>
      </c>
      <c r="C278" s="16" t="str">
        <f>IFERROR(VLOOKUP(DATA!#REF!,DATA!#REF!,1,FALSE),"")</f>
        <v/>
      </c>
      <c r="D278" s="16" t="str">
        <f>IFERROR(VLOOKUP(C278,DATA!#REF!,2,FALSE),"")</f>
        <v/>
      </c>
      <c r="I278" s="17"/>
      <c r="J278" s="17"/>
      <c r="P278" s="17"/>
      <c r="Q278" s="17"/>
    </row>
    <row r="279" spans="2:17">
      <c r="B279" s="15" t="str">
        <f t="shared" si="45"/>
        <v/>
      </c>
      <c r="C279" s="16" t="str">
        <f>IFERROR(VLOOKUP(DATA!#REF!,DATA!#REF!,1,FALSE),"")</f>
        <v/>
      </c>
      <c r="D279" s="16" t="str">
        <f>IFERROR(VLOOKUP(C279,DATA!#REF!,2,FALSE),"")</f>
        <v/>
      </c>
      <c r="I279" s="17"/>
      <c r="J279" s="17"/>
      <c r="P279" s="17"/>
      <c r="Q279" s="17"/>
    </row>
    <row r="280" spans="2:17">
      <c r="B280" s="15" t="str">
        <f t="shared" si="45"/>
        <v/>
      </c>
      <c r="C280" s="16" t="str">
        <f>IFERROR(VLOOKUP(DATA!#REF!,DATA!#REF!,1,FALSE),"")</f>
        <v/>
      </c>
      <c r="D280" s="16" t="str">
        <f>IFERROR(VLOOKUP(C280,DATA!#REF!,2,FALSE),"")</f>
        <v/>
      </c>
      <c r="I280" s="17"/>
      <c r="J280" s="17"/>
      <c r="P280" s="17"/>
      <c r="Q280" s="17"/>
    </row>
    <row r="281" spans="2:17">
      <c r="B281" s="15" t="str">
        <f t="shared" si="45"/>
        <v/>
      </c>
      <c r="C281" s="16" t="str">
        <f>IFERROR(VLOOKUP(DATA!#REF!,DATA!#REF!,1,FALSE),"")</f>
        <v/>
      </c>
      <c r="D281" s="16" t="str">
        <f>IFERROR(VLOOKUP(C281,DATA!#REF!,2,FALSE),"")</f>
        <v/>
      </c>
      <c r="I281" s="17"/>
      <c r="J281" s="17"/>
      <c r="P281" s="17"/>
      <c r="Q281" s="17"/>
    </row>
    <row r="282" spans="2:17">
      <c r="B282" s="15" t="str">
        <f t="shared" si="45"/>
        <v/>
      </c>
      <c r="C282" s="16" t="str">
        <f>IFERROR(VLOOKUP(DATA!#REF!,DATA!#REF!,1,FALSE),"")</f>
        <v/>
      </c>
      <c r="D282" s="16" t="str">
        <f>IFERROR(VLOOKUP(C282,DATA!#REF!,2,FALSE),"")</f>
        <v/>
      </c>
      <c r="I282" s="17"/>
      <c r="J282" s="17"/>
      <c r="P282" s="17"/>
      <c r="Q282" s="17"/>
    </row>
    <row r="283" spans="2:17">
      <c r="B283" s="15" t="str">
        <f t="shared" si="45"/>
        <v/>
      </c>
      <c r="C283" s="16" t="str">
        <f>IFERROR(VLOOKUP(DATA!#REF!,DATA!#REF!,1,FALSE),"")</f>
        <v/>
      </c>
      <c r="D283" s="16" t="str">
        <f>IFERROR(VLOOKUP(C283,DATA!#REF!,2,FALSE),"")</f>
        <v/>
      </c>
      <c r="I283" s="17"/>
      <c r="J283" s="17"/>
      <c r="P283" s="17"/>
      <c r="Q283" s="17"/>
    </row>
    <row r="284" spans="2:17">
      <c r="B284" s="15" t="str">
        <f t="shared" si="45"/>
        <v/>
      </c>
      <c r="C284" s="16" t="str">
        <f>IFERROR(VLOOKUP(DATA!#REF!,DATA!#REF!,1,FALSE),"")</f>
        <v/>
      </c>
      <c r="D284" s="16" t="str">
        <f>IFERROR(VLOOKUP(C284,DATA!#REF!,2,FALSE),"")</f>
        <v/>
      </c>
      <c r="I284" s="17"/>
      <c r="J284" s="17"/>
      <c r="P284" s="17"/>
      <c r="Q284" s="17"/>
    </row>
    <row r="285" spans="2:17">
      <c r="B285" s="15" t="str">
        <f t="shared" si="45"/>
        <v/>
      </c>
      <c r="C285" s="16" t="str">
        <f>IFERROR(VLOOKUP(DATA!#REF!,DATA!#REF!,1,FALSE),"")</f>
        <v/>
      </c>
      <c r="D285" s="16" t="str">
        <f>IFERROR(VLOOKUP(C285,DATA!#REF!,2,FALSE),"")</f>
        <v/>
      </c>
      <c r="I285" s="17"/>
      <c r="J285" s="17"/>
      <c r="P285" s="17"/>
      <c r="Q285" s="17"/>
    </row>
    <row r="286" spans="2:17">
      <c r="B286" s="15" t="str">
        <f t="shared" si="45"/>
        <v/>
      </c>
      <c r="C286" s="16" t="str">
        <f>IFERROR(VLOOKUP(DATA!#REF!,DATA!#REF!,1,FALSE),"")</f>
        <v/>
      </c>
      <c r="D286" s="16" t="str">
        <f>IFERROR(VLOOKUP(C286,DATA!#REF!,2,FALSE),"")</f>
        <v/>
      </c>
      <c r="I286" s="17"/>
      <c r="J286" s="17"/>
      <c r="P286" s="17"/>
      <c r="Q286" s="17"/>
    </row>
    <row r="287" spans="2:17">
      <c r="B287" s="15" t="str">
        <f t="shared" si="45"/>
        <v/>
      </c>
      <c r="C287" s="16" t="str">
        <f>IFERROR(VLOOKUP(DATA!#REF!,DATA!#REF!,1,FALSE),"")</f>
        <v/>
      </c>
      <c r="D287" s="16" t="str">
        <f>IFERROR(VLOOKUP(C287,DATA!#REF!,2,FALSE),"")</f>
        <v/>
      </c>
      <c r="I287" s="17"/>
      <c r="J287" s="17"/>
      <c r="P287" s="17"/>
      <c r="Q287" s="17"/>
    </row>
    <row r="288" spans="2:17">
      <c r="B288" s="15" t="str">
        <f t="shared" si="45"/>
        <v/>
      </c>
      <c r="C288" s="16" t="str">
        <f>IFERROR(VLOOKUP(DATA!#REF!,DATA!#REF!,1,FALSE),"")</f>
        <v/>
      </c>
      <c r="D288" s="16" t="str">
        <f>IFERROR(VLOOKUP(C288,DATA!#REF!,2,FALSE),"")</f>
        <v/>
      </c>
      <c r="I288" s="17"/>
      <c r="J288" s="17"/>
      <c r="P288" s="17"/>
      <c r="Q288" s="17"/>
    </row>
    <row r="289" spans="2:17">
      <c r="B289" s="15" t="str">
        <f t="shared" si="45"/>
        <v/>
      </c>
      <c r="C289" s="16" t="str">
        <f>IFERROR(VLOOKUP(DATA!#REF!,DATA!#REF!,1,FALSE),"")</f>
        <v/>
      </c>
      <c r="D289" s="16" t="str">
        <f>IFERROR(VLOOKUP(C289,DATA!#REF!,2,FALSE),"")</f>
        <v/>
      </c>
      <c r="I289" s="17"/>
      <c r="J289" s="17"/>
      <c r="P289" s="17"/>
      <c r="Q289" s="17"/>
    </row>
    <row r="290" spans="2:17">
      <c r="B290" s="15" t="str">
        <f t="shared" si="45"/>
        <v/>
      </c>
      <c r="C290" s="16" t="str">
        <f>IFERROR(VLOOKUP(DATA!#REF!,DATA!#REF!,1,FALSE),"")</f>
        <v/>
      </c>
      <c r="D290" s="16" t="str">
        <f>IFERROR(VLOOKUP(C290,DATA!#REF!,2,FALSE),"")</f>
        <v/>
      </c>
      <c r="I290" s="17"/>
      <c r="J290" s="17"/>
      <c r="P290" s="17"/>
      <c r="Q290" s="17"/>
    </row>
    <row r="291" spans="2:17">
      <c r="B291" s="15" t="str">
        <f t="shared" si="45"/>
        <v/>
      </c>
      <c r="C291" s="16" t="str">
        <f>IFERROR(VLOOKUP(DATA!#REF!,DATA!#REF!,1,FALSE),"")</f>
        <v/>
      </c>
      <c r="D291" s="16" t="str">
        <f>IFERROR(VLOOKUP(C291,DATA!#REF!,2,FALSE),"")</f>
        <v/>
      </c>
      <c r="I291" s="17"/>
      <c r="J291" s="17"/>
      <c r="P291" s="17"/>
      <c r="Q291" s="17"/>
    </row>
    <row r="292" spans="2:17">
      <c r="B292" s="15" t="str">
        <f t="shared" si="45"/>
        <v/>
      </c>
      <c r="C292" s="16" t="str">
        <f>IFERROR(VLOOKUP(DATA!#REF!,DATA!#REF!,1,FALSE),"")</f>
        <v/>
      </c>
      <c r="D292" s="16" t="str">
        <f>IFERROR(VLOOKUP(C292,DATA!#REF!,2,FALSE),"")</f>
        <v/>
      </c>
      <c r="I292" s="17"/>
      <c r="J292" s="17"/>
      <c r="P292" s="17"/>
      <c r="Q292" s="17"/>
    </row>
    <row r="293" spans="2:17">
      <c r="B293" s="15" t="str">
        <f t="shared" si="45"/>
        <v/>
      </c>
      <c r="C293" s="16" t="str">
        <f>IFERROR(VLOOKUP(DATA!#REF!,DATA!#REF!,1,FALSE),"")</f>
        <v/>
      </c>
      <c r="D293" s="16" t="str">
        <f>IFERROR(VLOOKUP(C293,DATA!#REF!,2,FALSE),"")</f>
        <v/>
      </c>
      <c r="I293" s="17"/>
      <c r="J293" s="17"/>
      <c r="P293" s="17"/>
      <c r="Q293" s="17"/>
    </row>
    <row r="294" spans="2:17">
      <c r="B294" s="15" t="str">
        <f t="shared" si="45"/>
        <v/>
      </c>
      <c r="C294" s="16" t="str">
        <f>IFERROR(VLOOKUP(DATA!#REF!,DATA!#REF!,1,FALSE),"")</f>
        <v/>
      </c>
      <c r="D294" s="16" t="str">
        <f>IFERROR(VLOOKUP(C294,DATA!#REF!,2,FALSE),"")</f>
        <v/>
      </c>
      <c r="I294" s="17"/>
      <c r="J294" s="17"/>
      <c r="P294" s="17"/>
      <c r="Q294" s="17"/>
    </row>
    <row r="295" spans="2:17">
      <c r="B295" s="15" t="str">
        <f t="shared" si="45"/>
        <v/>
      </c>
      <c r="C295" s="16" t="str">
        <f>IFERROR(VLOOKUP(DATA!#REF!,DATA!#REF!,1,FALSE),"")</f>
        <v/>
      </c>
      <c r="D295" s="16" t="str">
        <f>IFERROR(VLOOKUP(C295,DATA!#REF!,2,FALSE),"")</f>
        <v/>
      </c>
      <c r="I295" s="17"/>
      <c r="J295" s="17"/>
      <c r="P295" s="17"/>
      <c r="Q295" s="17"/>
    </row>
    <row r="296" spans="2:17">
      <c r="B296" s="15" t="str">
        <f t="shared" si="45"/>
        <v/>
      </c>
      <c r="C296" s="16" t="str">
        <f>IFERROR(VLOOKUP(DATA!#REF!,DATA!#REF!,1,FALSE),"")</f>
        <v/>
      </c>
      <c r="D296" s="16" t="str">
        <f>IFERROR(VLOOKUP(C296,DATA!#REF!,2,FALSE),"")</f>
        <v/>
      </c>
      <c r="I296" s="17"/>
      <c r="J296" s="17"/>
      <c r="P296" s="17"/>
      <c r="Q296" s="17"/>
    </row>
    <row r="297" spans="2:17">
      <c r="B297" s="15" t="str">
        <f t="shared" si="45"/>
        <v/>
      </c>
      <c r="C297" s="16" t="str">
        <f>IFERROR(VLOOKUP(DATA!#REF!,DATA!#REF!,1,FALSE),"")</f>
        <v/>
      </c>
      <c r="D297" s="16" t="str">
        <f>IFERROR(VLOOKUP(C297,DATA!#REF!,2,FALSE),"")</f>
        <v/>
      </c>
      <c r="I297" s="17"/>
      <c r="J297" s="17"/>
      <c r="P297" s="17"/>
      <c r="Q297" s="17"/>
    </row>
    <row r="298" spans="2:17">
      <c r="B298" s="15" t="str">
        <f t="shared" si="45"/>
        <v/>
      </c>
      <c r="C298" s="16" t="str">
        <f>IFERROR(VLOOKUP(DATA!#REF!,DATA!#REF!,1,FALSE),"")</f>
        <v/>
      </c>
      <c r="D298" s="16" t="str">
        <f>IFERROR(VLOOKUP(C298,DATA!#REF!,2,FALSE),"")</f>
        <v/>
      </c>
      <c r="I298" s="17"/>
      <c r="J298" s="17"/>
      <c r="P298" s="17"/>
      <c r="Q298" s="17"/>
    </row>
    <row r="299" spans="2:17">
      <c r="B299" s="15" t="str">
        <f t="shared" si="45"/>
        <v/>
      </c>
      <c r="C299" s="16" t="str">
        <f>IFERROR(VLOOKUP(DATA!#REF!,DATA!#REF!,1,FALSE),"")</f>
        <v/>
      </c>
      <c r="D299" s="16" t="str">
        <f>IFERROR(VLOOKUP(C299,DATA!#REF!,2,FALSE),"")</f>
        <v/>
      </c>
      <c r="I299" s="17"/>
      <c r="J299" s="17"/>
      <c r="P299" s="17"/>
      <c r="Q299" s="17"/>
    </row>
    <row r="300" spans="2:17">
      <c r="B300" s="15" t="str">
        <f t="shared" si="45"/>
        <v/>
      </c>
      <c r="C300" s="16" t="str">
        <f>IFERROR(VLOOKUP(DATA!#REF!,DATA!#REF!,1,FALSE),"")</f>
        <v/>
      </c>
      <c r="D300" s="16" t="str">
        <f>IFERROR(VLOOKUP(C300,DATA!#REF!,2,FALSE),"")</f>
        <v/>
      </c>
      <c r="I300" s="17"/>
      <c r="J300" s="17"/>
      <c r="P300" s="17"/>
      <c r="Q300" s="17"/>
    </row>
    <row r="301" spans="2:17">
      <c r="B301" s="15" t="str">
        <f t="shared" si="45"/>
        <v/>
      </c>
      <c r="C301" s="16" t="str">
        <f>IFERROR(VLOOKUP(DATA!#REF!,DATA!#REF!,1,FALSE),"")</f>
        <v/>
      </c>
      <c r="D301" s="16" t="str">
        <f>IFERROR(VLOOKUP(C301,DATA!#REF!,2,FALSE),"")</f>
        <v/>
      </c>
      <c r="I301" s="17"/>
      <c r="J301" s="17"/>
      <c r="P301" s="17"/>
      <c r="Q301" s="17"/>
    </row>
    <row r="302" spans="2:17">
      <c r="B302" s="15" t="str">
        <f t="shared" si="45"/>
        <v/>
      </c>
      <c r="C302" s="16" t="str">
        <f>IFERROR(VLOOKUP(DATA!#REF!,DATA!#REF!,1,FALSE),"")</f>
        <v/>
      </c>
      <c r="D302" s="16" t="str">
        <f>IFERROR(VLOOKUP(C302,DATA!#REF!,2,FALSE),"")</f>
        <v/>
      </c>
      <c r="I302" s="17"/>
      <c r="J302" s="17"/>
      <c r="P302" s="17"/>
      <c r="Q302" s="17"/>
    </row>
    <row r="303" spans="2:17">
      <c r="B303" s="15" t="str">
        <f t="shared" si="45"/>
        <v/>
      </c>
      <c r="C303" s="16" t="str">
        <f>IFERROR(VLOOKUP(DATA!#REF!,DATA!#REF!,1,FALSE),"")</f>
        <v/>
      </c>
      <c r="D303" s="16" t="str">
        <f>IFERROR(VLOOKUP(C303,DATA!#REF!,2,FALSE),"")</f>
        <v/>
      </c>
      <c r="I303" s="17"/>
      <c r="J303" s="17"/>
      <c r="P303" s="17"/>
      <c r="Q303" s="17"/>
    </row>
    <row r="304" spans="2:17">
      <c r="B304" s="15" t="str">
        <f t="shared" si="45"/>
        <v/>
      </c>
      <c r="C304" s="16" t="str">
        <f>IFERROR(VLOOKUP(DATA!#REF!,DATA!#REF!,1,FALSE),"")</f>
        <v/>
      </c>
      <c r="D304" s="16" t="str">
        <f>IFERROR(VLOOKUP(C304,DATA!#REF!,2,FALSE),"")</f>
        <v/>
      </c>
      <c r="I304" s="17"/>
      <c r="J304" s="17"/>
      <c r="P304" s="17"/>
      <c r="Q304" s="17"/>
    </row>
    <row r="305" spans="2:17">
      <c r="B305" s="15" t="str">
        <f t="shared" si="45"/>
        <v/>
      </c>
      <c r="C305" s="16" t="str">
        <f>IFERROR(VLOOKUP(DATA!#REF!,DATA!#REF!,1,FALSE),"")</f>
        <v/>
      </c>
      <c r="D305" s="16" t="str">
        <f>IFERROR(VLOOKUP(C305,DATA!#REF!,2,FALSE),"")</f>
        <v/>
      </c>
      <c r="I305" s="17"/>
      <c r="J305" s="17"/>
      <c r="P305" s="17"/>
      <c r="Q305" s="17"/>
    </row>
    <row r="306" spans="2:17">
      <c r="B306" s="15" t="str">
        <f t="shared" si="45"/>
        <v/>
      </c>
      <c r="C306" s="16" t="str">
        <f>IFERROR(VLOOKUP(DATA!#REF!,DATA!#REF!,1,FALSE),"")</f>
        <v/>
      </c>
      <c r="D306" s="16" t="str">
        <f>IFERROR(VLOOKUP(C306,DATA!#REF!,2,FALSE),"")</f>
        <v/>
      </c>
      <c r="I306" s="17"/>
      <c r="J306" s="17"/>
      <c r="P306" s="17"/>
      <c r="Q306" s="17"/>
    </row>
    <row r="307" spans="2:17">
      <c r="B307" s="15" t="str">
        <f t="shared" si="45"/>
        <v/>
      </c>
      <c r="C307" s="16" t="str">
        <f>IFERROR(VLOOKUP(DATA!#REF!,DATA!#REF!,1,FALSE),"")</f>
        <v/>
      </c>
      <c r="D307" s="16" t="str">
        <f>IFERROR(VLOOKUP(C307,DATA!#REF!,2,FALSE),"")</f>
        <v/>
      </c>
      <c r="I307" s="17"/>
      <c r="J307" s="17"/>
      <c r="P307" s="17"/>
      <c r="Q307" s="17"/>
    </row>
    <row r="308" spans="2:17">
      <c r="B308" s="15" t="str">
        <f t="shared" si="45"/>
        <v/>
      </c>
      <c r="C308" s="16" t="str">
        <f>IFERROR(VLOOKUP(DATA!#REF!,DATA!#REF!,1,FALSE),"")</f>
        <v/>
      </c>
      <c r="D308" s="16" t="str">
        <f>IFERROR(VLOOKUP(C308,DATA!#REF!,2,FALSE),"")</f>
        <v/>
      </c>
      <c r="I308" s="17"/>
      <c r="J308" s="17"/>
      <c r="P308" s="17"/>
      <c r="Q308" s="17"/>
    </row>
    <row r="309" spans="2:17">
      <c r="B309" s="15" t="str">
        <f t="shared" si="45"/>
        <v/>
      </c>
      <c r="C309" s="16" t="str">
        <f>IFERROR(VLOOKUP(DATA!#REF!,DATA!#REF!,1,FALSE),"")</f>
        <v/>
      </c>
      <c r="D309" s="16" t="str">
        <f>IFERROR(VLOOKUP(C309,DATA!#REF!,2,FALSE),"")</f>
        <v/>
      </c>
      <c r="I309" s="17"/>
      <c r="J309" s="17"/>
      <c r="P309" s="17"/>
      <c r="Q309" s="17"/>
    </row>
    <row r="310" spans="2:17">
      <c r="B310" s="15" t="str">
        <f t="shared" si="45"/>
        <v/>
      </c>
      <c r="C310" s="16" t="str">
        <f>IFERROR(VLOOKUP(DATA!#REF!,DATA!#REF!,1,FALSE),"")</f>
        <v/>
      </c>
      <c r="D310" s="16" t="str">
        <f>IFERROR(VLOOKUP(C310,DATA!#REF!,2,FALSE),"")</f>
        <v/>
      </c>
      <c r="I310" s="17"/>
      <c r="J310" s="17"/>
      <c r="P310" s="17"/>
      <c r="Q310" s="17"/>
    </row>
    <row r="311" spans="2:17">
      <c r="B311" s="15" t="str">
        <f t="shared" ref="B311:B374" si="46">+IF(C311="","",ROW()-5)</f>
        <v/>
      </c>
      <c r="C311" s="16" t="str">
        <f>IFERROR(VLOOKUP(DATA!#REF!,DATA!#REF!,1,FALSE),"")</f>
        <v/>
      </c>
      <c r="D311" s="16" t="str">
        <f>IFERROR(VLOOKUP(C311,DATA!#REF!,2,FALSE),"")</f>
        <v/>
      </c>
      <c r="I311" s="17"/>
      <c r="J311" s="17"/>
      <c r="P311" s="17"/>
      <c r="Q311" s="17"/>
    </row>
    <row r="312" spans="2:17">
      <c r="B312" s="15" t="str">
        <f t="shared" si="46"/>
        <v/>
      </c>
      <c r="C312" s="16" t="str">
        <f>IFERROR(VLOOKUP(DATA!#REF!,DATA!#REF!,1,FALSE),"")</f>
        <v/>
      </c>
      <c r="D312" s="16" t="str">
        <f>IFERROR(VLOOKUP(C312,DATA!#REF!,2,FALSE),"")</f>
        <v/>
      </c>
      <c r="I312" s="17"/>
      <c r="J312" s="17"/>
      <c r="P312" s="17"/>
      <c r="Q312" s="17"/>
    </row>
    <row r="313" spans="2:17">
      <c r="B313" s="15" t="str">
        <f t="shared" si="46"/>
        <v/>
      </c>
      <c r="C313" s="16" t="str">
        <f>IFERROR(VLOOKUP(DATA!#REF!,DATA!#REF!,1,FALSE),"")</f>
        <v/>
      </c>
      <c r="D313" s="16" t="str">
        <f>IFERROR(VLOOKUP(C313,DATA!#REF!,2,FALSE),"")</f>
        <v/>
      </c>
      <c r="I313" s="17"/>
      <c r="J313" s="17"/>
      <c r="P313" s="17"/>
      <c r="Q313" s="17"/>
    </row>
    <row r="314" spans="2:17">
      <c r="B314" s="15" t="str">
        <f t="shared" si="46"/>
        <v/>
      </c>
      <c r="C314" s="16" t="str">
        <f>IFERROR(VLOOKUP(DATA!#REF!,DATA!#REF!,1,FALSE),"")</f>
        <v/>
      </c>
      <c r="D314" s="16" t="str">
        <f>IFERROR(VLOOKUP(C314,DATA!#REF!,2,FALSE),"")</f>
        <v/>
      </c>
      <c r="I314" s="17"/>
      <c r="J314" s="17"/>
      <c r="P314" s="17"/>
      <c r="Q314" s="17"/>
    </row>
    <row r="315" spans="2:17">
      <c r="B315" s="15" t="str">
        <f t="shared" si="46"/>
        <v/>
      </c>
      <c r="C315" s="16" t="str">
        <f>IFERROR(VLOOKUP(DATA!#REF!,DATA!#REF!,1,FALSE),"")</f>
        <v/>
      </c>
      <c r="D315" s="16" t="str">
        <f>IFERROR(VLOOKUP(C315,DATA!#REF!,2,FALSE),"")</f>
        <v/>
      </c>
      <c r="I315" s="17"/>
      <c r="J315" s="17"/>
      <c r="P315" s="17"/>
      <c r="Q315" s="17"/>
    </row>
    <row r="316" spans="2:17">
      <c r="B316" s="15" t="str">
        <f t="shared" si="46"/>
        <v/>
      </c>
      <c r="C316" s="16" t="str">
        <f>IFERROR(VLOOKUP(DATA!#REF!,DATA!#REF!,1,FALSE),"")</f>
        <v/>
      </c>
      <c r="D316" s="16" t="str">
        <f>IFERROR(VLOOKUP(C316,DATA!#REF!,2,FALSE),"")</f>
        <v/>
      </c>
      <c r="I316" s="17"/>
      <c r="J316" s="17"/>
      <c r="P316" s="17"/>
      <c r="Q316" s="17"/>
    </row>
    <row r="317" spans="2:17">
      <c r="B317" s="15" t="str">
        <f t="shared" si="46"/>
        <v/>
      </c>
      <c r="C317" s="16" t="str">
        <f>IFERROR(VLOOKUP(DATA!#REF!,DATA!#REF!,1,FALSE),"")</f>
        <v/>
      </c>
      <c r="D317" s="16" t="str">
        <f>IFERROR(VLOOKUP(C317,DATA!#REF!,2,FALSE),"")</f>
        <v/>
      </c>
      <c r="I317" s="17"/>
      <c r="J317" s="17"/>
      <c r="P317" s="17"/>
      <c r="Q317" s="17"/>
    </row>
    <row r="318" spans="2:17">
      <c r="B318" s="15" t="str">
        <f t="shared" si="46"/>
        <v/>
      </c>
      <c r="C318" s="16" t="str">
        <f>IFERROR(VLOOKUP(DATA!#REF!,DATA!#REF!,1,FALSE),"")</f>
        <v/>
      </c>
      <c r="D318" s="16" t="str">
        <f>IFERROR(VLOOKUP(C318,DATA!#REF!,2,FALSE),"")</f>
        <v/>
      </c>
      <c r="I318" s="17"/>
      <c r="J318" s="17"/>
      <c r="P318" s="17"/>
      <c r="Q318" s="17"/>
    </row>
    <row r="319" spans="2:17">
      <c r="B319" s="15" t="str">
        <f t="shared" si="46"/>
        <v/>
      </c>
      <c r="C319" s="16" t="str">
        <f>IFERROR(VLOOKUP(DATA!#REF!,DATA!#REF!,1,FALSE),"")</f>
        <v/>
      </c>
      <c r="D319" s="16" t="str">
        <f>IFERROR(VLOOKUP(C319,DATA!#REF!,2,FALSE),"")</f>
        <v/>
      </c>
      <c r="I319" s="17"/>
      <c r="J319" s="17"/>
      <c r="P319" s="17"/>
      <c r="Q319" s="17"/>
    </row>
    <row r="320" spans="2:17">
      <c r="B320" s="15" t="str">
        <f t="shared" si="46"/>
        <v/>
      </c>
      <c r="C320" s="16" t="str">
        <f>IFERROR(VLOOKUP(DATA!#REF!,DATA!#REF!,1,FALSE),"")</f>
        <v/>
      </c>
      <c r="D320" s="16" t="str">
        <f>IFERROR(VLOOKUP(C320,DATA!#REF!,2,FALSE),"")</f>
        <v/>
      </c>
      <c r="I320" s="17"/>
      <c r="J320" s="17"/>
      <c r="P320" s="17"/>
      <c r="Q320" s="17"/>
    </row>
    <row r="321" spans="2:17">
      <c r="B321" s="15" t="str">
        <f t="shared" si="46"/>
        <v/>
      </c>
      <c r="C321" s="16" t="str">
        <f>IFERROR(VLOOKUP(DATA!#REF!,DATA!#REF!,1,FALSE),"")</f>
        <v/>
      </c>
      <c r="D321" s="16" t="str">
        <f>IFERROR(VLOOKUP(C321,DATA!#REF!,2,FALSE),"")</f>
        <v/>
      </c>
      <c r="I321" s="17"/>
      <c r="J321" s="17"/>
      <c r="P321" s="17"/>
      <c r="Q321" s="17"/>
    </row>
    <row r="322" spans="2:17">
      <c r="B322" s="15" t="str">
        <f t="shared" si="46"/>
        <v/>
      </c>
      <c r="C322" s="16" t="str">
        <f>IFERROR(VLOOKUP(DATA!#REF!,DATA!#REF!,1,FALSE),"")</f>
        <v/>
      </c>
      <c r="D322" s="16" t="str">
        <f>IFERROR(VLOOKUP(C322,DATA!#REF!,2,FALSE),"")</f>
        <v/>
      </c>
      <c r="I322" s="17"/>
      <c r="J322" s="17"/>
      <c r="P322" s="17"/>
      <c r="Q322" s="17"/>
    </row>
    <row r="323" spans="2:17">
      <c r="B323" s="15" t="str">
        <f t="shared" si="46"/>
        <v/>
      </c>
      <c r="C323" s="16" t="str">
        <f>IFERROR(VLOOKUP(DATA!#REF!,DATA!#REF!,1,FALSE),"")</f>
        <v/>
      </c>
      <c r="D323" s="16" t="str">
        <f>IFERROR(VLOOKUP(C323,DATA!#REF!,2,FALSE),"")</f>
        <v/>
      </c>
      <c r="I323" s="17"/>
      <c r="J323" s="17"/>
      <c r="P323" s="17"/>
      <c r="Q323" s="17"/>
    </row>
    <row r="324" spans="2:17">
      <c r="B324" s="15" t="str">
        <f t="shared" si="46"/>
        <v/>
      </c>
      <c r="C324" s="16" t="str">
        <f>IFERROR(VLOOKUP(DATA!#REF!,DATA!#REF!,1,FALSE),"")</f>
        <v/>
      </c>
      <c r="D324" s="16" t="str">
        <f>IFERROR(VLOOKUP(C324,DATA!#REF!,2,FALSE),"")</f>
        <v/>
      </c>
      <c r="I324" s="17"/>
      <c r="J324" s="17"/>
      <c r="P324" s="17"/>
      <c r="Q324" s="17"/>
    </row>
    <row r="325" spans="2:17">
      <c r="B325" s="15" t="str">
        <f t="shared" si="46"/>
        <v/>
      </c>
      <c r="C325" s="16" t="str">
        <f>IFERROR(VLOOKUP(DATA!#REF!,DATA!#REF!,1,FALSE),"")</f>
        <v/>
      </c>
      <c r="D325" s="16" t="str">
        <f>IFERROR(VLOOKUP(C325,DATA!#REF!,2,FALSE),"")</f>
        <v/>
      </c>
      <c r="I325" s="17"/>
      <c r="J325" s="17"/>
      <c r="P325" s="17"/>
      <c r="Q325" s="17"/>
    </row>
    <row r="326" spans="2:17">
      <c r="B326" s="15" t="str">
        <f t="shared" si="46"/>
        <v/>
      </c>
      <c r="C326" s="16" t="str">
        <f>IFERROR(VLOOKUP(DATA!#REF!,DATA!#REF!,1,FALSE),"")</f>
        <v/>
      </c>
      <c r="D326" s="16" t="str">
        <f>IFERROR(VLOOKUP(C326,DATA!#REF!,2,FALSE),"")</f>
        <v/>
      </c>
      <c r="I326" s="17"/>
      <c r="J326" s="17"/>
      <c r="P326" s="17"/>
      <c r="Q326" s="17"/>
    </row>
    <row r="327" spans="2:17">
      <c r="B327" s="15" t="str">
        <f t="shared" si="46"/>
        <v/>
      </c>
      <c r="C327" s="16" t="str">
        <f>IFERROR(VLOOKUP(DATA!#REF!,DATA!#REF!,1,FALSE),"")</f>
        <v/>
      </c>
      <c r="D327" s="16" t="str">
        <f>IFERROR(VLOOKUP(C327,DATA!#REF!,2,FALSE),"")</f>
        <v/>
      </c>
      <c r="I327" s="17"/>
      <c r="J327" s="17"/>
      <c r="P327" s="17"/>
      <c r="Q327" s="17"/>
    </row>
    <row r="328" spans="2:17">
      <c r="B328" s="15" t="str">
        <f t="shared" si="46"/>
        <v/>
      </c>
      <c r="C328" s="16" t="str">
        <f>IFERROR(VLOOKUP(DATA!#REF!,DATA!#REF!,1,FALSE),"")</f>
        <v/>
      </c>
      <c r="D328" s="16" t="str">
        <f>IFERROR(VLOOKUP(C328,DATA!#REF!,2,FALSE),"")</f>
        <v/>
      </c>
      <c r="I328" s="17"/>
      <c r="J328" s="17"/>
      <c r="P328" s="17"/>
      <c r="Q328" s="17"/>
    </row>
    <row r="329" spans="2:17">
      <c r="B329" s="15" t="str">
        <f t="shared" si="46"/>
        <v/>
      </c>
      <c r="C329" s="16" t="str">
        <f>IFERROR(VLOOKUP(DATA!#REF!,DATA!#REF!,1,FALSE),"")</f>
        <v/>
      </c>
      <c r="D329" s="16" t="str">
        <f>IFERROR(VLOOKUP(C329,DATA!#REF!,2,FALSE),"")</f>
        <v/>
      </c>
      <c r="I329" s="17"/>
      <c r="J329" s="17"/>
      <c r="P329" s="17"/>
      <c r="Q329" s="17"/>
    </row>
    <row r="330" spans="2:17">
      <c r="B330" s="15" t="str">
        <f t="shared" si="46"/>
        <v/>
      </c>
      <c r="C330" s="16" t="str">
        <f>IFERROR(VLOOKUP(DATA!#REF!,DATA!#REF!,1,FALSE),"")</f>
        <v/>
      </c>
      <c r="D330" s="16" t="str">
        <f>IFERROR(VLOOKUP(C330,DATA!#REF!,2,FALSE),"")</f>
        <v/>
      </c>
      <c r="I330" s="17"/>
      <c r="J330" s="17"/>
      <c r="P330" s="17"/>
      <c r="Q330" s="17"/>
    </row>
    <row r="331" spans="2:17">
      <c r="B331" s="15" t="str">
        <f t="shared" si="46"/>
        <v/>
      </c>
      <c r="C331" s="16" t="str">
        <f>IFERROR(VLOOKUP(DATA!#REF!,DATA!#REF!,1,FALSE),"")</f>
        <v/>
      </c>
      <c r="D331" s="16" t="str">
        <f>IFERROR(VLOOKUP(C331,DATA!#REF!,2,FALSE),"")</f>
        <v/>
      </c>
      <c r="I331" s="17"/>
      <c r="J331" s="17"/>
      <c r="P331" s="17"/>
      <c r="Q331" s="17"/>
    </row>
    <row r="332" spans="2:17">
      <c r="B332" s="15" t="str">
        <f t="shared" si="46"/>
        <v/>
      </c>
      <c r="C332" s="16" t="str">
        <f>IFERROR(VLOOKUP(DATA!#REF!,DATA!#REF!,1,FALSE),"")</f>
        <v/>
      </c>
      <c r="D332" s="16" t="str">
        <f>IFERROR(VLOOKUP(C332,DATA!#REF!,2,FALSE),"")</f>
        <v/>
      </c>
      <c r="I332" s="17"/>
      <c r="J332" s="17"/>
      <c r="P332" s="17"/>
      <c r="Q332" s="17"/>
    </row>
    <row r="333" spans="2:17">
      <c r="B333" s="15" t="str">
        <f t="shared" si="46"/>
        <v/>
      </c>
      <c r="C333" s="16" t="str">
        <f>IFERROR(VLOOKUP(DATA!#REF!,DATA!#REF!,1,FALSE),"")</f>
        <v/>
      </c>
      <c r="D333" s="16" t="str">
        <f>IFERROR(VLOOKUP(C333,DATA!#REF!,2,FALSE),"")</f>
        <v/>
      </c>
      <c r="I333" s="17"/>
      <c r="J333" s="17"/>
      <c r="P333" s="17"/>
      <c r="Q333" s="17"/>
    </row>
    <row r="334" spans="2:17">
      <c r="B334" s="15" t="str">
        <f t="shared" si="46"/>
        <v/>
      </c>
      <c r="C334" s="16" t="str">
        <f>IFERROR(VLOOKUP(DATA!#REF!,DATA!#REF!,1,FALSE),"")</f>
        <v/>
      </c>
      <c r="D334" s="16" t="str">
        <f>IFERROR(VLOOKUP(C334,DATA!#REF!,2,FALSE),"")</f>
        <v/>
      </c>
      <c r="I334" s="17"/>
      <c r="J334" s="17"/>
      <c r="P334" s="17"/>
      <c r="Q334" s="17"/>
    </row>
    <row r="335" spans="2:17">
      <c r="B335" s="15" t="str">
        <f t="shared" si="46"/>
        <v/>
      </c>
      <c r="C335" s="16" t="str">
        <f>IFERROR(VLOOKUP(DATA!#REF!,DATA!#REF!,1,FALSE),"")</f>
        <v/>
      </c>
      <c r="D335" s="16" t="str">
        <f>IFERROR(VLOOKUP(C335,DATA!#REF!,2,FALSE),"")</f>
        <v/>
      </c>
      <c r="I335" s="17"/>
      <c r="J335" s="17"/>
      <c r="P335" s="17"/>
      <c r="Q335" s="17"/>
    </row>
    <row r="336" spans="2:17">
      <c r="B336" s="15" t="str">
        <f t="shared" si="46"/>
        <v/>
      </c>
      <c r="C336" s="16" t="str">
        <f>IFERROR(VLOOKUP(DATA!#REF!,DATA!#REF!,1,FALSE),"")</f>
        <v/>
      </c>
      <c r="D336" s="16" t="str">
        <f>IFERROR(VLOOKUP(C336,DATA!#REF!,2,FALSE),"")</f>
        <v/>
      </c>
      <c r="I336" s="17"/>
      <c r="J336" s="17"/>
      <c r="P336" s="17"/>
      <c r="Q336" s="17"/>
    </row>
    <row r="337" spans="2:17">
      <c r="B337" s="15" t="str">
        <f t="shared" si="46"/>
        <v/>
      </c>
      <c r="C337" s="16" t="str">
        <f>IFERROR(VLOOKUP(DATA!#REF!,DATA!#REF!,1,FALSE),"")</f>
        <v/>
      </c>
      <c r="D337" s="16" t="str">
        <f>IFERROR(VLOOKUP(C337,DATA!#REF!,2,FALSE),"")</f>
        <v/>
      </c>
      <c r="I337" s="17"/>
      <c r="J337" s="17"/>
      <c r="P337" s="17"/>
      <c r="Q337" s="17"/>
    </row>
    <row r="338" spans="2:17">
      <c r="B338" s="15" t="str">
        <f t="shared" si="46"/>
        <v/>
      </c>
      <c r="C338" s="16" t="str">
        <f>IFERROR(VLOOKUP(DATA!#REF!,DATA!#REF!,1,FALSE),"")</f>
        <v/>
      </c>
      <c r="D338" s="16" t="str">
        <f>IFERROR(VLOOKUP(C338,DATA!#REF!,2,FALSE),"")</f>
        <v/>
      </c>
      <c r="I338" s="17"/>
      <c r="J338" s="17"/>
      <c r="P338" s="17"/>
      <c r="Q338" s="17"/>
    </row>
    <row r="339" spans="2:17">
      <c r="B339" s="15" t="str">
        <f t="shared" si="46"/>
        <v/>
      </c>
      <c r="C339" s="16" t="str">
        <f>IFERROR(VLOOKUP(DATA!#REF!,DATA!#REF!,1,FALSE),"")</f>
        <v/>
      </c>
      <c r="D339" s="16" t="str">
        <f>IFERROR(VLOOKUP(C339,DATA!#REF!,2,FALSE),"")</f>
        <v/>
      </c>
      <c r="I339" s="17"/>
      <c r="J339" s="17"/>
      <c r="P339" s="17"/>
      <c r="Q339" s="17"/>
    </row>
    <row r="340" spans="2:17">
      <c r="B340" s="15" t="str">
        <f t="shared" si="46"/>
        <v/>
      </c>
      <c r="C340" s="16" t="str">
        <f>IFERROR(VLOOKUP(DATA!#REF!,DATA!#REF!,1,FALSE),"")</f>
        <v/>
      </c>
      <c r="D340" s="16" t="str">
        <f>IFERROR(VLOOKUP(C340,DATA!#REF!,2,FALSE),"")</f>
        <v/>
      </c>
      <c r="I340" s="17"/>
      <c r="J340" s="17"/>
      <c r="P340" s="17"/>
      <c r="Q340" s="17"/>
    </row>
    <row r="341" spans="2:17">
      <c r="B341" s="15" t="str">
        <f t="shared" si="46"/>
        <v/>
      </c>
      <c r="C341" s="16" t="str">
        <f>IFERROR(VLOOKUP(DATA!#REF!,DATA!#REF!,1,FALSE),"")</f>
        <v/>
      </c>
      <c r="D341" s="16" t="str">
        <f>IFERROR(VLOOKUP(C341,DATA!#REF!,2,FALSE),"")</f>
        <v/>
      </c>
      <c r="I341" s="17"/>
      <c r="J341" s="17"/>
      <c r="P341" s="17"/>
      <c r="Q341" s="17"/>
    </row>
    <row r="342" spans="2:17">
      <c r="B342" s="15" t="str">
        <f t="shared" si="46"/>
        <v/>
      </c>
      <c r="C342" s="16" t="str">
        <f>IFERROR(VLOOKUP(DATA!#REF!,DATA!#REF!,1,FALSE),"")</f>
        <v/>
      </c>
      <c r="D342" s="16" t="str">
        <f>IFERROR(VLOOKUP(C342,DATA!#REF!,2,FALSE),"")</f>
        <v/>
      </c>
      <c r="I342" s="17"/>
      <c r="J342" s="17"/>
      <c r="P342" s="17"/>
      <c r="Q342" s="17"/>
    </row>
    <row r="343" spans="2:17">
      <c r="B343" s="15" t="str">
        <f t="shared" si="46"/>
        <v/>
      </c>
      <c r="C343" s="16" t="str">
        <f>IFERROR(VLOOKUP(DATA!#REF!,DATA!#REF!,1,FALSE),"")</f>
        <v/>
      </c>
      <c r="D343" s="16" t="str">
        <f>IFERROR(VLOOKUP(C343,DATA!#REF!,2,FALSE),"")</f>
        <v/>
      </c>
      <c r="I343" s="17"/>
      <c r="J343" s="17"/>
      <c r="P343" s="17"/>
      <c r="Q343" s="17"/>
    </row>
    <row r="344" spans="2:17">
      <c r="B344" s="15" t="str">
        <f t="shared" si="46"/>
        <v/>
      </c>
      <c r="C344" s="16" t="str">
        <f>IFERROR(VLOOKUP(DATA!#REF!,DATA!#REF!,1,FALSE),"")</f>
        <v/>
      </c>
      <c r="D344" s="16" t="str">
        <f>IFERROR(VLOOKUP(C344,DATA!#REF!,2,FALSE),"")</f>
        <v/>
      </c>
      <c r="I344" s="17"/>
      <c r="J344" s="17"/>
      <c r="P344" s="17"/>
      <c r="Q344" s="17"/>
    </row>
    <row r="345" spans="2:17">
      <c r="B345" s="15" t="str">
        <f t="shared" si="46"/>
        <v/>
      </c>
      <c r="C345" s="16" t="str">
        <f>IFERROR(VLOOKUP(DATA!#REF!,DATA!#REF!,1,FALSE),"")</f>
        <v/>
      </c>
      <c r="D345" s="16" t="str">
        <f>IFERROR(VLOOKUP(C345,DATA!#REF!,2,FALSE),"")</f>
        <v/>
      </c>
      <c r="I345" s="17"/>
      <c r="J345" s="17"/>
      <c r="P345" s="17"/>
      <c r="Q345" s="17"/>
    </row>
    <row r="346" spans="2:17">
      <c r="B346" s="15" t="str">
        <f t="shared" si="46"/>
        <v/>
      </c>
      <c r="C346" s="16" t="str">
        <f>IFERROR(VLOOKUP(DATA!#REF!,DATA!#REF!,1,FALSE),"")</f>
        <v/>
      </c>
      <c r="D346" s="16" t="str">
        <f>IFERROR(VLOOKUP(C346,DATA!#REF!,2,FALSE),"")</f>
        <v/>
      </c>
      <c r="I346" s="17"/>
      <c r="J346" s="17"/>
      <c r="P346" s="17"/>
      <c r="Q346" s="17"/>
    </row>
    <row r="347" spans="2:17">
      <c r="B347" s="15" t="str">
        <f t="shared" si="46"/>
        <v/>
      </c>
      <c r="C347" s="16" t="str">
        <f>IFERROR(VLOOKUP(DATA!#REF!,DATA!#REF!,1,FALSE),"")</f>
        <v/>
      </c>
      <c r="D347" s="16" t="str">
        <f>IFERROR(VLOOKUP(C347,DATA!#REF!,2,FALSE),"")</f>
        <v/>
      </c>
      <c r="I347" s="17"/>
      <c r="J347" s="17"/>
      <c r="P347" s="17"/>
      <c r="Q347" s="17"/>
    </row>
    <row r="348" spans="2:17">
      <c r="B348" s="15" t="str">
        <f t="shared" si="46"/>
        <v/>
      </c>
      <c r="C348" s="16" t="str">
        <f>IFERROR(VLOOKUP(DATA!#REF!,DATA!#REF!,1,FALSE),"")</f>
        <v/>
      </c>
      <c r="D348" s="16" t="str">
        <f>IFERROR(VLOOKUP(C348,DATA!#REF!,2,FALSE),"")</f>
        <v/>
      </c>
      <c r="I348" s="17"/>
      <c r="J348" s="17"/>
      <c r="P348" s="17"/>
      <c r="Q348" s="17"/>
    </row>
    <row r="349" spans="2:17">
      <c r="B349" s="15" t="str">
        <f t="shared" si="46"/>
        <v/>
      </c>
      <c r="C349" s="16" t="str">
        <f>IFERROR(VLOOKUP(DATA!#REF!,DATA!#REF!,1,FALSE),"")</f>
        <v/>
      </c>
      <c r="D349" s="16" t="str">
        <f>IFERROR(VLOOKUP(C349,DATA!#REF!,2,FALSE),"")</f>
        <v/>
      </c>
      <c r="I349" s="17"/>
      <c r="J349" s="17"/>
      <c r="P349" s="17"/>
      <c r="Q349" s="17"/>
    </row>
    <row r="350" spans="2:17">
      <c r="B350" s="15" t="str">
        <f t="shared" si="46"/>
        <v/>
      </c>
      <c r="C350" s="16" t="str">
        <f>IFERROR(VLOOKUP(DATA!#REF!,DATA!#REF!,1,FALSE),"")</f>
        <v/>
      </c>
      <c r="D350" s="16" t="str">
        <f>IFERROR(VLOOKUP(C350,DATA!#REF!,2,FALSE),"")</f>
        <v/>
      </c>
      <c r="I350" s="17"/>
      <c r="J350" s="17"/>
      <c r="P350" s="17"/>
      <c r="Q350" s="17"/>
    </row>
    <row r="351" spans="2:17">
      <c r="B351" s="15" t="str">
        <f t="shared" si="46"/>
        <v/>
      </c>
      <c r="C351" s="16" t="str">
        <f>IFERROR(VLOOKUP(DATA!#REF!,DATA!#REF!,1,FALSE),"")</f>
        <v/>
      </c>
      <c r="D351" s="16" t="str">
        <f>IFERROR(VLOOKUP(C351,DATA!#REF!,2,FALSE),"")</f>
        <v/>
      </c>
      <c r="I351" s="17"/>
      <c r="J351" s="17"/>
      <c r="P351" s="17"/>
      <c r="Q351" s="17"/>
    </row>
    <row r="352" spans="2:17">
      <c r="B352" s="15" t="str">
        <f t="shared" si="46"/>
        <v/>
      </c>
      <c r="C352" s="16" t="str">
        <f>IFERROR(VLOOKUP(DATA!#REF!,DATA!#REF!,1,FALSE),"")</f>
        <v/>
      </c>
      <c r="D352" s="16" t="str">
        <f>IFERROR(VLOOKUP(C352,DATA!#REF!,2,FALSE),"")</f>
        <v/>
      </c>
      <c r="I352" s="17"/>
      <c r="J352" s="17"/>
      <c r="P352" s="17"/>
      <c r="Q352" s="17"/>
    </row>
    <row r="353" spans="2:17">
      <c r="B353" s="15" t="str">
        <f t="shared" si="46"/>
        <v/>
      </c>
      <c r="C353" s="16" t="str">
        <f>IFERROR(VLOOKUP(DATA!#REF!,DATA!#REF!,1,FALSE),"")</f>
        <v/>
      </c>
      <c r="D353" s="16" t="str">
        <f>IFERROR(VLOOKUP(C353,DATA!#REF!,2,FALSE),"")</f>
        <v/>
      </c>
      <c r="I353" s="17"/>
      <c r="J353" s="17"/>
      <c r="P353" s="17"/>
      <c r="Q353" s="17"/>
    </row>
    <row r="354" spans="2:17">
      <c r="B354" s="15" t="str">
        <f t="shared" si="46"/>
        <v/>
      </c>
      <c r="C354" s="16" t="str">
        <f>IFERROR(VLOOKUP(DATA!#REF!,DATA!#REF!,1,FALSE),"")</f>
        <v/>
      </c>
      <c r="D354" s="16" t="str">
        <f>IFERROR(VLOOKUP(C354,DATA!#REF!,2,FALSE),"")</f>
        <v/>
      </c>
      <c r="I354" s="17"/>
      <c r="J354" s="17"/>
      <c r="P354" s="17"/>
      <c r="Q354" s="17"/>
    </row>
    <row r="355" spans="2:17">
      <c r="B355" s="15" t="str">
        <f t="shared" si="46"/>
        <v/>
      </c>
      <c r="C355" s="16" t="str">
        <f>IFERROR(VLOOKUP(DATA!#REF!,DATA!#REF!,1,FALSE),"")</f>
        <v/>
      </c>
      <c r="D355" s="16" t="str">
        <f>IFERROR(VLOOKUP(C355,DATA!#REF!,2,FALSE),"")</f>
        <v/>
      </c>
      <c r="I355" s="17"/>
      <c r="J355" s="17"/>
      <c r="P355" s="17"/>
      <c r="Q355" s="17"/>
    </row>
    <row r="356" spans="2:17">
      <c r="B356" s="15" t="str">
        <f t="shared" si="46"/>
        <v/>
      </c>
      <c r="C356" s="16" t="str">
        <f>IFERROR(VLOOKUP(DATA!#REF!,DATA!#REF!,1,FALSE),"")</f>
        <v/>
      </c>
      <c r="D356" s="16" t="str">
        <f>IFERROR(VLOOKUP(C356,DATA!#REF!,2,FALSE),"")</f>
        <v/>
      </c>
      <c r="I356" s="17"/>
      <c r="J356" s="17"/>
      <c r="P356" s="17"/>
      <c r="Q356" s="17"/>
    </row>
    <row r="357" spans="2:17">
      <c r="B357" s="15" t="str">
        <f t="shared" si="46"/>
        <v/>
      </c>
      <c r="C357" s="16" t="str">
        <f>IFERROR(VLOOKUP(DATA!#REF!,DATA!#REF!,1,FALSE),"")</f>
        <v/>
      </c>
      <c r="D357" s="16" t="str">
        <f>IFERROR(VLOOKUP(C357,DATA!#REF!,2,FALSE),"")</f>
        <v/>
      </c>
      <c r="I357" s="17"/>
      <c r="J357" s="17"/>
      <c r="P357" s="17"/>
      <c r="Q357" s="17"/>
    </row>
    <row r="358" spans="2:17">
      <c r="B358" s="15" t="str">
        <f t="shared" si="46"/>
        <v/>
      </c>
      <c r="C358" s="16" t="str">
        <f>IFERROR(VLOOKUP(DATA!#REF!,DATA!#REF!,1,FALSE),"")</f>
        <v/>
      </c>
      <c r="D358" s="16" t="str">
        <f>IFERROR(VLOOKUP(C358,DATA!#REF!,2,FALSE),"")</f>
        <v/>
      </c>
      <c r="I358" s="17"/>
      <c r="J358" s="17"/>
      <c r="P358" s="17"/>
      <c r="Q358" s="17"/>
    </row>
    <row r="359" spans="2:17">
      <c r="B359" s="15" t="str">
        <f t="shared" si="46"/>
        <v/>
      </c>
      <c r="C359" s="16" t="str">
        <f>IFERROR(VLOOKUP(DATA!#REF!,DATA!#REF!,1,FALSE),"")</f>
        <v/>
      </c>
      <c r="D359" s="16" t="str">
        <f>IFERROR(VLOOKUP(C359,DATA!#REF!,2,FALSE),"")</f>
        <v/>
      </c>
      <c r="I359" s="17"/>
      <c r="J359" s="17"/>
      <c r="P359" s="17"/>
      <c r="Q359" s="17"/>
    </row>
    <row r="360" spans="2:17">
      <c r="B360" s="15" t="str">
        <f t="shared" si="46"/>
        <v/>
      </c>
      <c r="C360" s="16" t="str">
        <f>IFERROR(VLOOKUP(DATA!#REF!,DATA!#REF!,1,FALSE),"")</f>
        <v/>
      </c>
      <c r="D360" s="16" t="str">
        <f>IFERROR(VLOOKUP(C360,DATA!#REF!,2,FALSE),"")</f>
        <v/>
      </c>
      <c r="I360" s="17"/>
      <c r="J360" s="17"/>
      <c r="P360" s="17"/>
      <c r="Q360" s="17"/>
    </row>
    <row r="361" spans="2:17">
      <c r="B361" s="15" t="str">
        <f t="shared" si="46"/>
        <v/>
      </c>
      <c r="C361" s="16" t="str">
        <f>IFERROR(VLOOKUP(DATA!#REF!,DATA!#REF!,1,FALSE),"")</f>
        <v/>
      </c>
      <c r="D361" s="16" t="str">
        <f>IFERROR(VLOOKUP(C361,DATA!#REF!,2,FALSE),"")</f>
        <v/>
      </c>
      <c r="I361" s="17"/>
      <c r="J361" s="17"/>
      <c r="P361" s="17"/>
      <c r="Q361" s="17"/>
    </row>
    <row r="362" spans="2:17">
      <c r="B362" s="15" t="str">
        <f t="shared" si="46"/>
        <v/>
      </c>
      <c r="C362" s="16" t="str">
        <f>IFERROR(VLOOKUP(DATA!#REF!,DATA!#REF!,1,FALSE),"")</f>
        <v/>
      </c>
      <c r="D362" s="16" t="str">
        <f>IFERROR(VLOOKUP(C362,DATA!#REF!,2,FALSE),"")</f>
        <v/>
      </c>
      <c r="I362" s="17"/>
      <c r="J362" s="17"/>
      <c r="P362" s="17"/>
      <c r="Q362" s="17"/>
    </row>
    <row r="363" spans="2:17">
      <c r="B363" s="15" t="str">
        <f t="shared" si="46"/>
        <v/>
      </c>
      <c r="C363" s="16" t="str">
        <f>IFERROR(VLOOKUP(DATA!#REF!,DATA!#REF!,1,FALSE),"")</f>
        <v/>
      </c>
      <c r="D363" s="16" t="str">
        <f>IFERROR(VLOOKUP(C363,DATA!#REF!,2,FALSE),"")</f>
        <v/>
      </c>
      <c r="I363" s="17"/>
      <c r="J363" s="17"/>
      <c r="P363" s="17"/>
      <c r="Q363" s="17"/>
    </row>
    <row r="364" spans="2:17">
      <c r="B364" s="15" t="str">
        <f t="shared" si="46"/>
        <v/>
      </c>
      <c r="C364" s="16" t="str">
        <f>IFERROR(VLOOKUP(DATA!#REF!,DATA!#REF!,1,FALSE),"")</f>
        <v/>
      </c>
      <c r="D364" s="16" t="str">
        <f>IFERROR(VLOOKUP(C364,DATA!#REF!,2,FALSE),"")</f>
        <v/>
      </c>
      <c r="I364" s="17"/>
      <c r="J364" s="17"/>
      <c r="P364" s="17"/>
      <c r="Q364" s="17"/>
    </row>
    <row r="365" spans="2:17">
      <c r="B365" s="15" t="str">
        <f t="shared" si="46"/>
        <v/>
      </c>
      <c r="C365" s="16" t="str">
        <f>IFERROR(VLOOKUP(DATA!#REF!,DATA!#REF!,1,FALSE),"")</f>
        <v/>
      </c>
      <c r="D365" s="16" t="str">
        <f>IFERROR(VLOOKUP(C365,DATA!#REF!,2,FALSE),"")</f>
        <v/>
      </c>
      <c r="I365" s="17"/>
      <c r="J365" s="17"/>
      <c r="P365" s="17"/>
      <c r="Q365" s="17"/>
    </row>
    <row r="366" spans="2:17">
      <c r="B366" s="15" t="str">
        <f t="shared" si="46"/>
        <v/>
      </c>
      <c r="C366" s="16" t="str">
        <f>IFERROR(VLOOKUP(DATA!#REF!,DATA!#REF!,1,FALSE),"")</f>
        <v/>
      </c>
      <c r="D366" s="16" t="str">
        <f>IFERROR(VLOOKUP(C366,DATA!#REF!,2,FALSE),"")</f>
        <v/>
      </c>
      <c r="I366" s="17"/>
      <c r="J366" s="17"/>
      <c r="P366" s="17"/>
      <c r="Q366" s="17"/>
    </row>
    <row r="367" spans="2:17">
      <c r="B367" s="15" t="str">
        <f t="shared" si="46"/>
        <v/>
      </c>
      <c r="C367" s="16" t="str">
        <f>IFERROR(VLOOKUP(DATA!#REF!,DATA!#REF!,1,FALSE),"")</f>
        <v/>
      </c>
      <c r="D367" s="16" t="str">
        <f>IFERROR(VLOOKUP(C367,DATA!#REF!,2,FALSE),"")</f>
        <v/>
      </c>
      <c r="I367" s="17"/>
      <c r="J367" s="17"/>
      <c r="P367" s="17"/>
      <c r="Q367" s="17"/>
    </row>
    <row r="368" spans="2:17">
      <c r="B368" s="15" t="str">
        <f t="shared" si="46"/>
        <v/>
      </c>
      <c r="C368" s="16" t="str">
        <f>IFERROR(VLOOKUP(DATA!#REF!,DATA!#REF!,1,FALSE),"")</f>
        <v/>
      </c>
      <c r="D368" s="16" t="str">
        <f>IFERROR(VLOOKUP(C368,DATA!#REF!,2,FALSE),"")</f>
        <v/>
      </c>
      <c r="I368" s="17"/>
      <c r="J368" s="17"/>
      <c r="P368" s="17"/>
      <c r="Q368" s="17"/>
    </row>
    <row r="369" spans="2:17">
      <c r="B369" s="15" t="str">
        <f t="shared" si="46"/>
        <v/>
      </c>
      <c r="C369" s="16" t="str">
        <f>IFERROR(VLOOKUP(DATA!#REF!,DATA!#REF!,1,FALSE),"")</f>
        <v/>
      </c>
      <c r="D369" s="16" t="str">
        <f>IFERROR(VLOOKUP(C369,DATA!#REF!,2,FALSE),"")</f>
        <v/>
      </c>
      <c r="I369" s="17"/>
      <c r="J369" s="17"/>
      <c r="P369" s="17"/>
      <c r="Q369" s="17"/>
    </row>
    <row r="370" spans="2:17">
      <c r="B370" s="15" t="str">
        <f t="shared" si="46"/>
        <v/>
      </c>
      <c r="C370" s="16" t="str">
        <f>IFERROR(VLOOKUP(DATA!#REF!,DATA!#REF!,1,FALSE),"")</f>
        <v/>
      </c>
      <c r="D370" s="16" t="str">
        <f>IFERROR(VLOOKUP(C370,DATA!#REF!,2,FALSE),"")</f>
        <v/>
      </c>
      <c r="I370" s="17"/>
      <c r="J370" s="17"/>
      <c r="P370" s="17"/>
      <c r="Q370" s="17"/>
    </row>
    <row r="371" spans="2:17">
      <c r="B371" s="15" t="str">
        <f t="shared" si="46"/>
        <v/>
      </c>
      <c r="C371" s="16" t="str">
        <f>IFERROR(VLOOKUP(DATA!#REF!,DATA!#REF!,1,FALSE),"")</f>
        <v/>
      </c>
      <c r="D371" s="16" t="str">
        <f>IFERROR(VLOOKUP(C371,DATA!#REF!,2,FALSE),"")</f>
        <v/>
      </c>
      <c r="I371" s="17"/>
      <c r="J371" s="17"/>
      <c r="P371" s="17"/>
      <c r="Q371" s="17"/>
    </row>
    <row r="372" spans="2:17">
      <c r="B372" s="15" t="str">
        <f t="shared" si="46"/>
        <v/>
      </c>
      <c r="C372" s="16" t="str">
        <f>IFERROR(VLOOKUP(DATA!#REF!,DATA!#REF!,1,FALSE),"")</f>
        <v/>
      </c>
      <c r="D372" s="16" t="str">
        <f>IFERROR(VLOOKUP(C372,DATA!#REF!,2,FALSE),"")</f>
        <v/>
      </c>
      <c r="I372" s="17"/>
      <c r="J372" s="17"/>
      <c r="P372" s="17"/>
      <c r="Q372" s="17"/>
    </row>
    <row r="373" spans="2:17">
      <c r="B373" s="15" t="str">
        <f t="shared" si="46"/>
        <v/>
      </c>
      <c r="C373" s="16" t="str">
        <f>IFERROR(VLOOKUP(DATA!#REF!,DATA!#REF!,1,FALSE),"")</f>
        <v/>
      </c>
      <c r="D373" s="16" t="str">
        <f>IFERROR(VLOOKUP(C373,DATA!#REF!,2,FALSE),"")</f>
        <v/>
      </c>
      <c r="I373" s="17"/>
      <c r="J373" s="17"/>
      <c r="P373" s="17"/>
      <c r="Q373" s="17"/>
    </row>
    <row r="374" spans="2:17">
      <c r="B374" s="15" t="str">
        <f t="shared" si="46"/>
        <v/>
      </c>
      <c r="C374" s="16" t="str">
        <f>IFERROR(VLOOKUP(DATA!#REF!,DATA!#REF!,1,FALSE),"")</f>
        <v/>
      </c>
      <c r="D374" s="16" t="str">
        <f>IFERROR(VLOOKUP(C374,DATA!#REF!,2,FALSE),"")</f>
        <v/>
      </c>
      <c r="I374" s="17"/>
      <c r="J374" s="17"/>
      <c r="P374" s="17"/>
      <c r="Q374" s="17"/>
    </row>
    <row r="375" spans="2:17">
      <c r="B375" s="15" t="str">
        <f t="shared" ref="B375:B438" si="47">+IF(C375="","",ROW()-5)</f>
        <v/>
      </c>
      <c r="C375" s="16" t="str">
        <f>IFERROR(VLOOKUP(DATA!#REF!,DATA!#REF!,1,FALSE),"")</f>
        <v/>
      </c>
      <c r="D375" s="16" t="str">
        <f>IFERROR(VLOOKUP(C375,DATA!#REF!,2,FALSE),"")</f>
        <v/>
      </c>
      <c r="I375" s="17"/>
      <c r="J375" s="17"/>
      <c r="P375" s="17"/>
      <c r="Q375" s="17"/>
    </row>
    <row r="376" spans="2:17">
      <c r="B376" s="15" t="str">
        <f t="shared" si="47"/>
        <v/>
      </c>
      <c r="C376" s="16" t="str">
        <f>IFERROR(VLOOKUP(DATA!#REF!,DATA!#REF!,1,FALSE),"")</f>
        <v/>
      </c>
      <c r="D376" s="16" t="str">
        <f>IFERROR(VLOOKUP(C376,DATA!#REF!,2,FALSE),"")</f>
        <v/>
      </c>
      <c r="I376" s="17"/>
      <c r="J376" s="17"/>
      <c r="P376" s="17"/>
      <c r="Q376" s="17"/>
    </row>
    <row r="377" spans="2:17">
      <c r="B377" s="15" t="str">
        <f t="shared" si="47"/>
        <v/>
      </c>
      <c r="C377" s="16" t="str">
        <f>IFERROR(VLOOKUP(DATA!#REF!,DATA!#REF!,1,FALSE),"")</f>
        <v/>
      </c>
      <c r="D377" s="16" t="str">
        <f>IFERROR(VLOOKUP(C377,DATA!#REF!,2,FALSE),"")</f>
        <v/>
      </c>
      <c r="I377" s="17"/>
      <c r="J377" s="17"/>
      <c r="P377" s="17"/>
      <c r="Q377" s="17"/>
    </row>
    <row r="378" spans="2:17">
      <c r="B378" s="15" t="str">
        <f t="shared" si="47"/>
        <v/>
      </c>
      <c r="C378" s="16" t="str">
        <f>IFERROR(VLOOKUP(DATA!#REF!,DATA!#REF!,1,FALSE),"")</f>
        <v/>
      </c>
      <c r="D378" s="16" t="str">
        <f>IFERROR(VLOOKUP(C378,DATA!#REF!,2,FALSE),"")</f>
        <v/>
      </c>
      <c r="I378" s="17"/>
      <c r="J378" s="17"/>
      <c r="P378" s="17"/>
      <c r="Q378" s="17"/>
    </row>
    <row r="379" spans="2:17">
      <c r="B379" s="15" t="str">
        <f t="shared" si="47"/>
        <v/>
      </c>
      <c r="C379" s="16" t="str">
        <f>IFERROR(VLOOKUP(DATA!#REF!,DATA!#REF!,1,FALSE),"")</f>
        <v/>
      </c>
      <c r="D379" s="16" t="str">
        <f>IFERROR(VLOOKUP(C379,DATA!#REF!,2,FALSE),"")</f>
        <v/>
      </c>
      <c r="I379" s="17"/>
      <c r="J379" s="17"/>
      <c r="P379" s="17"/>
      <c r="Q379" s="17"/>
    </row>
    <row r="380" spans="2:17">
      <c r="B380" s="15" t="str">
        <f t="shared" si="47"/>
        <v/>
      </c>
      <c r="C380" s="16" t="str">
        <f>IFERROR(VLOOKUP(DATA!#REF!,DATA!#REF!,1,FALSE),"")</f>
        <v/>
      </c>
      <c r="D380" s="16" t="str">
        <f>IFERROR(VLOOKUP(C380,DATA!#REF!,2,FALSE),"")</f>
        <v/>
      </c>
      <c r="I380" s="17"/>
      <c r="J380" s="17"/>
      <c r="P380" s="17"/>
      <c r="Q380" s="17"/>
    </row>
    <row r="381" spans="2:17">
      <c r="B381" s="15" t="str">
        <f t="shared" si="47"/>
        <v/>
      </c>
      <c r="C381" s="16" t="str">
        <f>IFERROR(VLOOKUP(DATA!#REF!,DATA!#REF!,1,FALSE),"")</f>
        <v/>
      </c>
      <c r="D381" s="16" t="str">
        <f>IFERROR(VLOOKUP(C381,DATA!#REF!,2,FALSE),"")</f>
        <v/>
      </c>
      <c r="I381" s="17"/>
      <c r="J381" s="17"/>
      <c r="P381" s="17"/>
      <c r="Q381" s="17"/>
    </row>
    <row r="382" spans="2:17">
      <c r="B382" s="15" t="str">
        <f t="shared" si="47"/>
        <v/>
      </c>
      <c r="C382" s="16" t="str">
        <f>IFERROR(VLOOKUP(DATA!#REF!,DATA!#REF!,1,FALSE),"")</f>
        <v/>
      </c>
      <c r="D382" s="16" t="str">
        <f>IFERROR(VLOOKUP(C382,DATA!#REF!,2,FALSE),"")</f>
        <v/>
      </c>
      <c r="I382" s="17"/>
      <c r="J382" s="17"/>
      <c r="P382" s="17"/>
      <c r="Q382" s="17"/>
    </row>
    <row r="383" spans="2:17">
      <c r="B383" s="15" t="str">
        <f t="shared" si="47"/>
        <v/>
      </c>
      <c r="C383" s="16" t="str">
        <f>IFERROR(VLOOKUP(DATA!#REF!,DATA!#REF!,1,FALSE),"")</f>
        <v/>
      </c>
      <c r="D383" s="16" t="str">
        <f>IFERROR(VLOOKUP(C383,DATA!#REF!,2,FALSE),"")</f>
        <v/>
      </c>
      <c r="I383" s="17"/>
      <c r="J383" s="17"/>
      <c r="P383" s="17"/>
      <c r="Q383" s="17"/>
    </row>
    <row r="384" spans="2:17">
      <c r="B384" s="15" t="str">
        <f t="shared" si="47"/>
        <v/>
      </c>
      <c r="C384" s="16" t="str">
        <f>IFERROR(VLOOKUP(DATA!#REF!,DATA!#REF!,1,FALSE),"")</f>
        <v/>
      </c>
      <c r="D384" s="16" t="str">
        <f>IFERROR(VLOOKUP(C384,DATA!#REF!,2,FALSE),"")</f>
        <v/>
      </c>
      <c r="I384" s="17"/>
      <c r="J384" s="17"/>
      <c r="P384" s="17"/>
      <c r="Q384" s="17"/>
    </row>
    <row r="385" spans="2:17">
      <c r="B385" s="15" t="str">
        <f t="shared" si="47"/>
        <v/>
      </c>
      <c r="C385" s="16" t="str">
        <f>IFERROR(VLOOKUP(DATA!#REF!,DATA!#REF!,1,FALSE),"")</f>
        <v/>
      </c>
      <c r="D385" s="16" t="str">
        <f>IFERROR(VLOOKUP(C385,DATA!#REF!,2,FALSE),"")</f>
        <v/>
      </c>
      <c r="I385" s="17"/>
      <c r="J385" s="17"/>
      <c r="P385" s="17"/>
      <c r="Q385" s="17"/>
    </row>
    <row r="386" spans="2:17">
      <c r="B386" s="15" t="str">
        <f t="shared" si="47"/>
        <v/>
      </c>
      <c r="C386" s="16" t="str">
        <f>IFERROR(VLOOKUP(DATA!#REF!,DATA!#REF!,1,FALSE),"")</f>
        <v/>
      </c>
      <c r="D386" s="16" t="str">
        <f>IFERROR(VLOOKUP(C386,DATA!#REF!,2,FALSE),"")</f>
        <v/>
      </c>
      <c r="I386" s="17"/>
      <c r="J386" s="17"/>
      <c r="P386" s="17"/>
      <c r="Q386" s="17"/>
    </row>
    <row r="387" spans="2:17">
      <c r="B387" s="15" t="str">
        <f t="shared" si="47"/>
        <v/>
      </c>
      <c r="C387" s="16" t="str">
        <f>IFERROR(VLOOKUP(DATA!#REF!,DATA!#REF!,1,FALSE),"")</f>
        <v/>
      </c>
      <c r="D387" s="16" t="str">
        <f>IFERROR(VLOOKUP(C387,DATA!#REF!,2,FALSE),"")</f>
        <v/>
      </c>
      <c r="I387" s="17"/>
      <c r="J387" s="17"/>
      <c r="P387" s="17"/>
      <c r="Q387" s="17"/>
    </row>
    <row r="388" spans="2:17">
      <c r="B388" s="15" t="str">
        <f t="shared" si="47"/>
        <v/>
      </c>
      <c r="C388" s="16" t="str">
        <f>IFERROR(VLOOKUP(DATA!#REF!,DATA!#REF!,1,FALSE),"")</f>
        <v/>
      </c>
      <c r="D388" s="16" t="str">
        <f>IFERROR(VLOOKUP(C388,DATA!#REF!,2,FALSE),"")</f>
        <v/>
      </c>
      <c r="I388" s="17"/>
      <c r="J388" s="17"/>
      <c r="P388" s="17"/>
      <c r="Q388" s="17"/>
    </row>
    <row r="389" spans="2:17">
      <c r="B389" s="15" t="str">
        <f t="shared" si="47"/>
        <v/>
      </c>
      <c r="C389" s="16" t="str">
        <f>IFERROR(VLOOKUP(DATA!#REF!,DATA!#REF!,1,FALSE),"")</f>
        <v/>
      </c>
      <c r="D389" s="16" t="str">
        <f>IFERROR(VLOOKUP(C389,DATA!#REF!,2,FALSE),"")</f>
        <v/>
      </c>
      <c r="I389" s="17"/>
      <c r="J389" s="17"/>
      <c r="P389" s="17"/>
      <c r="Q389" s="17"/>
    </row>
    <row r="390" spans="2:17">
      <c r="B390" s="15" t="str">
        <f t="shared" si="47"/>
        <v/>
      </c>
      <c r="C390" s="16" t="str">
        <f>IFERROR(VLOOKUP(DATA!#REF!,DATA!#REF!,1,FALSE),"")</f>
        <v/>
      </c>
      <c r="D390" s="16" t="str">
        <f>IFERROR(VLOOKUP(C390,DATA!#REF!,2,FALSE),"")</f>
        <v/>
      </c>
      <c r="I390" s="17"/>
      <c r="J390" s="17"/>
      <c r="P390" s="17"/>
      <c r="Q390" s="17"/>
    </row>
    <row r="391" spans="2:17">
      <c r="B391" s="15" t="str">
        <f t="shared" si="47"/>
        <v/>
      </c>
      <c r="C391" s="16" t="str">
        <f>IFERROR(VLOOKUP(DATA!#REF!,DATA!#REF!,1,FALSE),"")</f>
        <v/>
      </c>
      <c r="D391" s="16" t="str">
        <f>IFERROR(VLOOKUP(C391,DATA!#REF!,2,FALSE),"")</f>
        <v/>
      </c>
      <c r="I391" s="17"/>
      <c r="J391" s="17"/>
      <c r="P391" s="17"/>
      <c r="Q391" s="17"/>
    </row>
    <row r="392" spans="2:17">
      <c r="B392" s="15" t="str">
        <f t="shared" si="47"/>
        <v/>
      </c>
      <c r="C392" s="16" t="str">
        <f>IFERROR(VLOOKUP(DATA!#REF!,DATA!#REF!,1,FALSE),"")</f>
        <v/>
      </c>
      <c r="D392" s="16" t="str">
        <f>IFERROR(VLOOKUP(C392,DATA!#REF!,2,FALSE),"")</f>
        <v/>
      </c>
      <c r="I392" s="17"/>
      <c r="J392" s="17"/>
      <c r="P392" s="17"/>
      <c r="Q392" s="17"/>
    </row>
    <row r="393" spans="2:17">
      <c r="B393" s="15" t="str">
        <f t="shared" si="47"/>
        <v/>
      </c>
      <c r="C393" s="16" t="str">
        <f>IFERROR(VLOOKUP(DATA!#REF!,DATA!#REF!,1,FALSE),"")</f>
        <v/>
      </c>
      <c r="D393" s="16" t="str">
        <f>IFERROR(VLOOKUP(C393,DATA!#REF!,2,FALSE),"")</f>
        <v/>
      </c>
      <c r="I393" s="17"/>
      <c r="J393" s="17"/>
      <c r="P393" s="17"/>
      <c r="Q393" s="17"/>
    </row>
    <row r="394" spans="2:17">
      <c r="B394" s="15" t="str">
        <f t="shared" si="47"/>
        <v/>
      </c>
      <c r="C394" s="16" t="str">
        <f>IFERROR(VLOOKUP(DATA!#REF!,DATA!#REF!,1,FALSE),"")</f>
        <v/>
      </c>
      <c r="D394" s="16" t="str">
        <f>IFERROR(VLOOKUP(C394,DATA!#REF!,2,FALSE),"")</f>
        <v/>
      </c>
      <c r="I394" s="17"/>
      <c r="J394" s="17"/>
      <c r="P394" s="17"/>
      <c r="Q394" s="17"/>
    </row>
    <row r="395" spans="2:17">
      <c r="B395" s="15" t="str">
        <f t="shared" si="47"/>
        <v/>
      </c>
      <c r="C395" s="16" t="str">
        <f>IFERROR(VLOOKUP(DATA!#REF!,DATA!#REF!,1,FALSE),"")</f>
        <v/>
      </c>
      <c r="D395" s="16" t="str">
        <f>IFERROR(VLOOKUP(C395,DATA!#REF!,2,FALSE),"")</f>
        <v/>
      </c>
      <c r="I395" s="17"/>
      <c r="J395" s="17"/>
      <c r="P395" s="17"/>
      <c r="Q395" s="17"/>
    </row>
    <row r="396" spans="2:17">
      <c r="B396" s="15" t="str">
        <f t="shared" si="47"/>
        <v/>
      </c>
      <c r="C396" s="16" t="str">
        <f>IFERROR(VLOOKUP(DATA!#REF!,DATA!#REF!,1,FALSE),"")</f>
        <v/>
      </c>
      <c r="D396" s="16" t="str">
        <f>IFERROR(VLOOKUP(C396,DATA!#REF!,2,FALSE),"")</f>
        <v/>
      </c>
      <c r="I396" s="17"/>
      <c r="J396" s="17"/>
      <c r="P396" s="17"/>
      <c r="Q396" s="17"/>
    </row>
    <row r="397" spans="2:17">
      <c r="B397" s="15" t="str">
        <f t="shared" si="47"/>
        <v/>
      </c>
      <c r="C397" s="16" t="str">
        <f>IFERROR(VLOOKUP(DATA!#REF!,DATA!#REF!,1,FALSE),"")</f>
        <v/>
      </c>
      <c r="D397" s="16" t="str">
        <f>IFERROR(VLOOKUP(C397,DATA!#REF!,2,FALSE),"")</f>
        <v/>
      </c>
      <c r="I397" s="17"/>
      <c r="J397" s="17"/>
      <c r="P397" s="17"/>
      <c r="Q397" s="17"/>
    </row>
    <row r="398" spans="2:17">
      <c r="B398" s="15" t="str">
        <f t="shared" si="47"/>
        <v/>
      </c>
      <c r="C398" s="16" t="str">
        <f>IFERROR(VLOOKUP(DATA!#REF!,DATA!#REF!,1,FALSE),"")</f>
        <v/>
      </c>
      <c r="D398" s="16" t="str">
        <f>IFERROR(VLOOKUP(C398,DATA!#REF!,2,FALSE),"")</f>
        <v/>
      </c>
      <c r="I398" s="17"/>
      <c r="J398" s="17"/>
      <c r="P398" s="17"/>
      <c r="Q398" s="17"/>
    </row>
    <row r="399" spans="2:17">
      <c r="B399" s="15" t="str">
        <f t="shared" si="47"/>
        <v/>
      </c>
      <c r="C399" s="16" t="str">
        <f>IFERROR(VLOOKUP(DATA!#REF!,DATA!#REF!,1,FALSE),"")</f>
        <v/>
      </c>
      <c r="D399" s="16" t="str">
        <f>IFERROR(VLOOKUP(C399,DATA!#REF!,2,FALSE),"")</f>
        <v/>
      </c>
      <c r="I399" s="17"/>
      <c r="J399" s="17"/>
      <c r="P399" s="17"/>
      <c r="Q399" s="17"/>
    </row>
    <row r="400" spans="2:17">
      <c r="B400" s="15" t="str">
        <f t="shared" si="47"/>
        <v/>
      </c>
      <c r="C400" s="16" t="str">
        <f>IFERROR(VLOOKUP(DATA!#REF!,DATA!#REF!,1,FALSE),"")</f>
        <v/>
      </c>
      <c r="D400" s="16" t="str">
        <f>IFERROR(VLOOKUP(C400,DATA!#REF!,2,FALSE),"")</f>
        <v/>
      </c>
      <c r="I400" s="17"/>
      <c r="J400" s="17"/>
      <c r="P400" s="17"/>
      <c r="Q400" s="17"/>
    </row>
    <row r="401" spans="2:17">
      <c r="B401" s="15" t="str">
        <f t="shared" si="47"/>
        <v/>
      </c>
      <c r="C401" s="16" t="str">
        <f>IFERROR(VLOOKUP(DATA!#REF!,DATA!#REF!,1,FALSE),"")</f>
        <v/>
      </c>
      <c r="D401" s="16" t="str">
        <f>IFERROR(VLOOKUP(C401,DATA!#REF!,2,FALSE),"")</f>
        <v/>
      </c>
      <c r="I401" s="17"/>
      <c r="J401" s="17"/>
      <c r="P401" s="17"/>
      <c r="Q401" s="17"/>
    </row>
    <row r="402" spans="2:17">
      <c r="B402" s="15" t="str">
        <f t="shared" si="47"/>
        <v/>
      </c>
      <c r="C402" s="16" t="str">
        <f>IFERROR(VLOOKUP(DATA!#REF!,DATA!#REF!,1,FALSE),"")</f>
        <v/>
      </c>
      <c r="D402" s="16" t="str">
        <f>IFERROR(VLOOKUP(C402,DATA!#REF!,2,FALSE),"")</f>
        <v/>
      </c>
      <c r="I402" s="17"/>
      <c r="J402" s="17"/>
      <c r="P402" s="17"/>
      <c r="Q402" s="17"/>
    </row>
    <row r="403" spans="2:17">
      <c r="B403" s="15" t="str">
        <f t="shared" si="47"/>
        <v/>
      </c>
      <c r="C403" s="16" t="str">
        <f>IFERROR(VLOOKUP(DATA!#REF!,DATA!#REF!,1,FALSE),"")</f>
        <v/>
      </c>
      <c r="D403" s="16" t="str">
        <f>IFERROR(VLOOKUP(C403,DATA!#REF!,2,FALSE),"")</f>
        <v/>
      </c>
      <c r="I403" s="17"/>
      <c r="J403" s="17"/>
      <c r="P403" s="17"/>
      <c r="Q403" s="17"/>
    </row>
    <row r="404" spans="2:17">
      <c r="B404" s="15" t="str">
        <f t="shared" si="47"/>
        <v/>
      </c>
      <c r="C404" s="16" t="str">
        <f>IFERROR(VLOOKUP(DATA!#REF!,DATA!#REF!,1,FALSE),"")</f>
        <v/>
      </c>
      <c r="D404" s="16" t="str">
        <f>IFERROR(VLOOKUP(C404,DATA!#REF!,2,FALSE),"")</f>
        <v/>
      </c>
      <c r="I404" s="17"/>
      <c r="J404" s="17"/>
      <c r="P404" s="17"/>
      <c r="Q404" s="17"/>
    </row>
    <row r="405" spans="2:17">
      <c r="B405" s="15" t="str">
        <f t="shared" si="47"/>
        <v/>
      </c>
      <c r="C405" s="16" t="str">
        <f>IFERROR(VLOOKUP(DATA!#REF!,DATA!#REF!,1,FALSE),"")</f>
        <v/>
      </c>
      <c r="D405" s="16" t="str">
        <f>IFERROR(VLOOKUP(C405,DATA!#REF!,2,FALSE),"")</f>
        <v/>
      </c>
      <c r="I405" s="17"/>
      <c r="J405" s="17"/>
      <c r="P405" s="17"/>
      <c r="Q405" s="17"/>
    </row>
    <row r="406" spans="2:17">
      <c r="B406" s="15" t="str">
        <f t="shared" si="47"/>
        <v/>
      </c>
      <c r="C406" s="16" t="str">
        <f>IFERROR(VLOOKUP(DATA!#REF!,DATA!#REF!,1,FALSE),"")</f>
        <v/>
      </c>
      <c r="D406" s="16" t="str">
        <f>IFERROR(VLOOKUP(C406,DATA!#REF!,2,FALSE),"")</f>
        <v/>
      </c>
      <c r="I406" s="17"/>
      <c r="J406" s="17"/>
      <c r="P406" s="17"/>
      <c r="Q406" s="17"/>
    </row>
    <row r="407" spans="2:17">
      <c r="B407" s="15" t="str">
        <f t="shared" si="47"/>
        <v/>
      </c>
      <c r="C407" s="16" t="str">
        <f>IFERROR(VLOOKUP(DATA!#REF!,DATA!#REF!,1,FALSE),"")</f>
        <v/>
      </c>
      <c r="D407" s="16" t="str">
        <f>IFERROR(VLOOKUP(C407,DATA!#REF!,2,FALSE),"")</f>
        <v/>
      </c>
      <c r="I407" s="17"/>
      <c r="J407" s="17"/>
      <c r="P407" s="17"/>
      <c r="Q407" s="17"/>
    </row>
    <row r="408" spans="2:17">
      <c r="B408" s="15" t="str">
        <f t="shared" si="47"/>
        <v/>
      </c>
      <c r="C408" s="16" t="str">
        <f>IFERROR(VLOOKUP(DATA!#REF!,DATA!#REF!,1,FALSE),"")</f>
        <v/>
      </c>
      <c r="D408" s="16" t="str">
        <f>IFERROR(VLOOKUP(C408,DATA!#REF!,2,FALSE),"")</f>
        <v/>
      </c>
      <c r="I408" s="17"/>
      <c r="J408" s="17"/>
      <c r="P408" s="17"/>
      <c r="Q408" s="17"/>
    </row>
    <row r="409" spans="2:17">
      <c r="B409" s="15" t="str">
        <f t="shared" si="47"/>
        <v/>
      </c>
      <c r="C409" s="16" t="str">
        <f>IFERROR(VLOOKUP(DATA!#REF!,DATA!#REF!,1,FALSE),"")</f>
        <v/>
      </c>
      <c r="D409" s="16" t="str">
        <f>IFERROR(VLOOKUP(C409,DATA!#REF!,2,FALSE),"")</f>
        <v/>
      </c>
      <c r="I409" s="17"/>
      <c r="J409" s="17"/>
      <c r="P409" s="17"/>
      <c r="Q409" s="17"/>
    </row>
    <row r="410" spans="2:17">
      <c r="B410" s="15" t="str">
        <f t="shared" si="47"/>
        <v/>
      </c>
      <c r="C410" s="16" t="str">
        <f>IFERROR(VLOOKUP(DATA!#REF!,DATA!#REF!,1,FALSE),"")</f>
        <v/>
      </c>
      <c r="D410" s="16" t="str">
        <f>IFERROR(VLOOKUP(C410,DATA!#REF!,2,FALSE),"")</f>
        <v/>
      </c>
      <c r="I410" s="17"/>
      <c r="J410" s="17"/>
      <c r="P410" s="17"/>
      <c r="Q410" s="17"/>
    </row>
    <row r="411" spans="2:17">
      <c r="B411" s="15" t="str">
        <f t="shared" si="47"/>
        <v/>
      </c>
      <c r="C411" s="16" t="str">
        <f>IFERROR(VLOOKUP(DATA!#REF!,DATA!#REF!,1,FALSE),"")</f>
        <v/>
      </c>
      <c r="D411" s="16" t="str">
        <f>IFERROR(VLOOKUP(C411,DATA!#REF!,2,FALSE),"")</f>
        <v/>
      </c>
      <c r="I411" s="17"/>
      <c r="J411" s="17"/>
      <c r="P411" s="17"/>
      <c r="Q411" s="17"/>
    </row>
    <row r="412" spans="2:17">
      <c r="B412" s="15" t="str">
        <f t="shared" si="47"/>
        <v/>
      </c>
      <c r="C412" s="16" t="str">
        <f>IFERROR(VLOOKUP(DATA!#REF!,DATA!#REF!,1,FALSE),"")</f>
        <v/>
      </c>
      <c r="D412" s="16" t="str">
        <f>IFERROR(VLOOKUP(C412,DATA!#REF!,2,FALSE),"")</f>
        <v/>
      </c>
      <c r="I412" s="17"/>
      <c r="J412" s="17"/>
      <c r="P412" s="17"/>
      <c r="Q412" s="17"/>
    </row>
    <row r="413" spans="2:17">
      <c r="B413" s="15" t="str">
        <f t="shared" si="47"/>
        <v/>
      </c>
      <c r="C413" s="16" t="str">
        <f>IFERROR(VLOOKUP(DATA!#REF!,DATA!#REF!,1,FALSE),"")</f>
        <v/>
      </c>
      <c r="D413" s="16" t="str">
        <f>IFERROR(VLOOKUP(C413,DATA!#REF!,2,FALSE),"")</f>
        <v/>
      </c>
      <c r="I413" s="17"/>
      <c r="J413" s="17"/>
      <c r="P413" s="17"/>
      <c r="Q413" s="17"/>
    </row>
    <row r="414" spans="2:17">
      <c r="B414" s="15" t="str">
        <f t="shared" si="47"/>
        <v/>
      </c>
      <c r="C414" s="16" t="str">
        <f>IFERROR(VLOOKUP(DATA!#REF!,DATA!#REF!,1,FALSE),"")</f>
        <v/>
      </c>
      <c r="D414" s="16" t="str">
        <f>IFERROR(VLOOKUP(C414,DATA!#REF!,2,FALSE),"")</f>
        <v/>
      </c>
      <c r="I414" s="17"/>
      <c r="J414" s="17"/>
      <c r="P414" s="17"/>
      <c r="Q414" s="17"/>
    </row>
    <row r="415" spans="2:17">
      <c r="B415" s="15" t="str">
        <f t="shared" si="47"/>
        <v/>
      </c>
      <c r="C415" s="16" t="str">
        <f>IFERROR(VLOOKUP(DATA!#REF!,DATA!#REF!,1,FALSE),"")</f>
        <v/>
      </c>
      <c r="D415" s="16" t="str">
        <f>IFERROR(VLOOKUP(C415,DATA!#REF!,2,FALSE),"")</f>
        <v/>
      </c>
      <c r="I415" s="17"/>
      <c r="J415" s="17"/>
      <c r="P415" s="17"/>
      <c r="Q415" s="17"/>
    </row>
    <row r="416" spans="2:17">
      <c r="B416" s="15" t="str">
        <f t="shared" si="47"/>
        <v/>
      </c>
      <c r="C416" s="16" t="str">
        <f>IFERROR(VLOOKUP(DATA!#REF!,DATA!#REF!,1,FALSE),"")</f>
        <v/>
      </c>
      <c r="D416" s="16" t="str">
        <f>IFERROR(VLOOKUP(C416,DATA!#REF!,2,FALSE),"")</f>
        <v/>
      </c>
      <c r="I416" s="17"/>
      <c r="J416" s="17"/>
      <c r="P416" s="17"/>
      <c r="Q416" s="17"/>
    </row>
    <row r="417" spans="2:17">
      <c r="B417" s="15" t="str">
        <f t="shared" si="47"/>
        <v/>
      </c>
      <c r="C417" s="16" t="str">
        <f>IFERROR(VLOOKUP(DATA!#REF!,DATA!#REF!,1,FALSE),"")</f>
        <v/>
      </c>
      <c r="D417" s="16" t="str">
        <f>IFERROR(VLOOKUP(C417,DATA!#REF!,2,FALSE),"")</f>
        <v/>
      </c>
      <c r="I417" s="17"/>
      <c r="J417" s="17"/>
      <c r="P417" s="17"/>
      <c r="Q417" s="17"/>
    </row>
    <row r="418" spans="2:17">
      <c r="B418" s="15" t="str">
        <f t="shared" si="47"/>
        <v/>
      </c>
      <c r="C418" s="16" t="str">
        <f>IFERROR(VLOOKUP(DATA!#REF!,DATA!#REF!,1,FALSE),"")</f>
        <v/>
      </c>
      <c r="D418" s="16" t="str">
        <f>IFERROR(VLOOKUP(C418,DATA!#REF!,2,FALSE),"")</f>
        <v/>
      </c>
      <c r="I418" s="17"/>
      <c r="J418" s="17"/>
      <c r="P418" s="17"/>
      <c r="Q418" s="17"/>
    </row>
    <row r="419" spans="2:17">
      <c r="B419" s="15" t="str">
        <f t="shared" si="47"/>
        <v/>
      </c>
      <c r="C419" s="16" t="str">
        <f>IFERROR(VLOOKUP(DATA!#REF!,DATA!#REF!,1,FALSE),"")</f>
        <v/>
      </c>
      <c r="D419" s="16" t="str">
        <f>IFERROR(VLOOKUP(C419,DATA!#REF!,2,FALSE),"")</f>
        <v/>
      </c>
      <c r="I419" s="17"/>
      <c r="J419" s="17"/>
      <c r="P419" s="17"/>
      <c r="Q419" s="17"/>
    </row>
    <row r="420" spans="2:17">
      <c r="B420" s="15" t="str">
        <f t="shared" si="47"/>
        <v/>
      </c>
      <c r="C420" s="16" t="str">
        <f>IFERROR(VLOOKUP(DATA!#REF!,DATA!#REF!,1,FALSE),"")</f>
        <v/>
      </c>
      <c r="D420" s="16" t="str">
        <f>IFERROR(VLOOKUP(C420,DATA!#REF!,2,FALSE),"")</f>
        <v/>
      </c>
      <c r="I420" s="17"/>
      <c r="J420" s="17"/>
      <c r="P420" s="17"/>
      <c r="Q420" s="17"/>
    </row>
    <row r="421" spans="2:17">
      <c r="B421" s="15" t="str">
        <f t="shared" si="47"/>
        <v/>
      </c>
      <c r="C421" s="16" t="str">
        <f>IFERROR(VLOOKUP(DATA!#REF!,DATA!#REF!,1,FALSE),"")</f>
        <v/>
      </c>
      <c r="D421" s="16" t="str">
        <f>IFERROR(VLOOKUP(C421,DATA!#REF!,2,FALSE),"")</f>
        <v/>
      </c>
      <c r="I421" s="17"/>
      <c r="J421" s="17"/>
      <c r="P421" s="17"/>
      <c r="Q421" s="17"/>
    </row>
    <row r="422" spans="2:17">
      <c r="B422" s="15" t="str">
        <f t="shared" si="47"/>
        <v/>
      </c>
      <c r="C422" s="16" t="str">
        <f>IFERROR(VLOOKUP(DATA!#REF!,DATA!#REF!,1,FALSE),"")</f>
        <v/>
      </c>
      <c r="D422" s="16" t="str">
        <f>IFERROR(VLOOKUP(C422,DATA!#REF!,2,FALSE),"")</f>
        <v/>
      </c>
      <c r="I422" s="17"/>
      <c r="J422" s="17"/>
      <c r="P422" s="17"/>
      <c r="Q422" s="17"/>
    </row>
    <row r="423" spans="2:17">
      <c r="B423" s="15" t="str">
        <f t="shared" si="47"/>
        <v/>
      </c>
      <c r="C423" s="16" t="str">
        <f>IFERROR(VLOOKUP(DATA!#REF!,DATA!#REF!,1,FALSE),"")</f>
        <v/>
      </c>
      <c r="D423" s="16" t="str">
        <f>IFERROR(VLOOKUP(C423,DATA!#REF!,2,FALSE),"")</f>
        <v/>
      </c>
      <c r="I423" s="17"/>
      <c r="J423" s="17"/>
      <c r="P423" s="17"/>
      <c r="Q423" s="17"/>
    </row>
    <row r="424" spans="2:17">
      <c r="B424" s="15" t="str">
        <f t="shared" si="47"/>
        <v/>
      </c>
      <c r="C424" s="16" t="str">
        <f>IFERROR(VLOOKUP(DATA!#REF!,DATA!#REF!,1,FALSE),"")</f>
        <v/>
      </c>
      <c r="D424" s="16" t="str">
        <f>IFERROR(VLOOKUP(C424,DATA!#REF!,2,FALSE),"")</f>
        <v/>
      </c>
      <c r="I424" s="17"/>
      <c r="J424" s="17"/>
      <c r="P424" s="17"/>
      <c r="Q424" s="17"/>
    </row>
    <row r="425" spans="2:17">
      <c r="B425" s="15" t="str">
        <f t="shared" si="47"/>
        <v/>
      </c>
      <c r="C425" s="16" t="str">
        <f>IFERROR(VLOOKUP(DATA!#REF!,DATA!#REF!,1,FALSE),"")</f>
        <v/>
      </c>
      <c r="D425" s="16" t="str">
        <f>IFERROR(VLOOKUP(C425,DATA!#REF!,2,FALSE),"")</f>
        <v/>
      </c>
      <c r="I425" s="17"/>
      <c r="J425" s="17"/>
      <c r="P425" s="17"/>
      <c r="Q425" s="17"/>
    </row>
    <row r="426" spans="2:17">
      <c r="B426" s="15" t="str">
        <f t="shared" si="47"/>
        <v/>
      </c>
      <c r="C426" s="16" t="str">
        <f>IFERROR(VLOOKUP(DATA!#REF!,DATA!#REF!,1,FALSE),"")</f>
        <v/>
      </c>
      <c r="D426" s="16" t="str">
        <f>IFERROR(VLOOKUP(C426,DATA!#REF!,2,FALSE),"")</f>
        <v/>
      </c>
      <c r="I426" s="17"/>
      <c r="J426" s="17"/>
      <c r="P426" s="17"/>
      <c r="Q426" s="17"/>
    </row>
    <row r="427" spans="2:17">
      <c r="B427" s="15" t="str">
        <f t="shared" si="47"/>
        <v/>
      </c>
      <c r="C427" s="16" t="str">
        <f>IFERROR(VLOOKUP(DATA!#REF!,DATA!#REF!,1,FALSE),"")</f>
        <v/>
      </c>
      <c r="D427" s="16" t="str">
        <f>IFERROR(VLOOKUP(C427,DATA!#REF!,2,FALSE),"")</f>
        <v/>
      </c>
      <c r="I427" s="17"/>
      <c r="J427" s="17"/>
      <c r="P427" s="17"/>
      <c r="Q427" s="17"/>
    </row>
    <row r="428" spans="2:17">
      <c r="B428" s="15" t="str">
        <f t="shared" si="47"/>
        <v/>
      </c>
      <c r="C428" s="16" t="str">
        <f>IFERROR(VLOOKUP(DATA!#REF!,DATA!#REF!,1,FALSE),"")</f>
        <v/>
      </c>
      <c r="D428" s="16" t="str">
        <f>IFERROR(VLOOKUP(C428,DATA!#REF!,2,FALSE),"")</f>
        <v/>
      </c>
      <c r="I428" s="17"/>
      <c r="J428" s="17"/>
      <c r="P428" s="17"/>
      <c r="Q428" s="17"/>
    </row>
    <row r="429" spans="2:17">
      <c r="B429" s="15" t="str">
        <f t="shared" si="47"/>
        <v/>
      </c>
      <c r="C429" s="16" t="str">
        <f>IFERROR(VLOOKUP(DATA!#REF!,DATA!#REF!,1,FALSE),"")</f>
        <v/>
      </c>
      <c r="D429" s="16" t="str">
        <f>IFERROR(VLOOKUP(C429,DATA!#REF!,2,FALSE),"")</f>
        <v/>
      </c>
      <c r="I429" s="17"/>
      <c r="J429" s="17"/>
      <c r="P429" s="17"/>
      <c r="Q429" s="17"/>
    </row>
    <row r="430" spans="2:17">
      <c r="B430" s="15" t="str">
        <f t="shared" si="47"/>
        <v/>
      </c>
      <c r="C430" s="16" t="str">
        <f>IFERROR(VLOOKUP(DATA!#REF!,DATA!#REF!,1,FALSE),"")</f>
        <v/>
      </c>
      <c r="D430" s="16" t="str">
        <f>IFERROR(VLOOKUP(C430,DATA!#REF!,2,FALSE),"")</f>
        <v/>
      </c>
      <c r="I430" s="17"/>
      <c r="J430" s="17"/>
      <c r="P430" s="17"/>
      <c r="Q430" s="17"/>
    </row>
    <row r="431" spans="2:17">
      <c r="B431" s="15" t="str">
        <f t="shared" si="47"/>
        <v/>
      </c>
      <c r="C431" s="16" t="str">
        <f>IFERROR(VLOOKUP(DATA!#REF!,DATA!#REF!,1,FALSE),"")</f>
        <v/>
      </c>
      <c r="D431" s="16" t="str">
        <f>IFERROR(VLOOKUP(C431,DATA!#REF!,2,FALSE),"")</f>
        <v/>
      </c>
      <c r="I431" s="17"/>
      <c r="J431" s="17"/>
      <c r="P431" s="17"/>
      <c r="Q431" s="17"/>
    </row>
    <row r="432" spans="2:17">
      <c r="B432" s="15" t="str">
        <f t="shared" si="47"/>
        <v/>
      </c>
      <c r="C432" s="16" t="str">
        <f>IFERROR(VLOOKUP(DATA!#REF!,DATA!#REF!,1,FALSE),"")</f>
        <v/>
      </c>
      <c r="D432" s="16" t="str">
        <f>IFERROR(VLOOKUP(C432,DATA!#REF!,2,FALSE),"")</f>
        <v/>
      </c>
      <c r="I432" s="17"/>
      <c r="J432" s="17"/>
      <c r="P432" s="17"/>
      <c r="Q432" s="17"/>
    </row>
    <row r="433" spans="2:17">
      <c r="B433" s="15" t="str">
        <f t="shared" si="47"/>
        <v/>
      </c>
      <c r="C433" s="16" t="str">
        <f>IFERROR(VLOOKUP(DATA!#REF!,DATA!#REF!,1,FALSE),"")</f>
        <v/>
      </c>
      <c r="D433" s="16" t="str">
        <f>IFERROR(VLOOKUP(C433,DATA!#REF!,2,FALSE),"")</f>
        <v/>
      </c>
      <c r="I433" s="17"/>
      <c r="J433" s="17"/>
      <c r="P433" s="17"/>
      <c r="Q433" s="17"/>
    </row>
    <row r="434" spans="2:17">
      <c r="B434" s="15" t="str">
        <f t="shared" si="47"/>
        <v/>
      </c>
      <c r="C434" s="16" t="str">
        <f>IFERROR(VLOOKUP(DATA!#REF!,DATA!#REF!,1,FALSE),"")</f>
        <v/>
      </c>
      <c r="D434" s="16" t="str">
        <f>IFERROR(VLOOKUP(C434,DATA!#REF!,2,FALSE),"")</f>
        <v/>
      </c>
      <c r="I434" s="17"/>
      <c r="J434" s="17"/>
      <c r="P434" s="17"/>
      <c r="Q434" s="17"/>
    </row>
    <row r="435" spans="2:17">
      <c r="B435" s="15" t="str">
        <f t="shared" si="47"/>
        <v/>
      </c>
      <c r="C435" s="16" t="str">
        <f>IFERROR(VLOOKUP(DATA!#REF!,DATA!#REF!,1,FALSE),"")</f>
        <v/>
      </c>
      <c r="D435" s="16" t="str">
        <f>IFERROR(VLOOKUP(C435,DATA!#REF!,2,FALSE),"")</f>
        <v/>
      </c>
      <c r="I435" s="17"/>
      <c r="J435" s="17"/>
      <c r="P435" s="17"/>
      <c r="Q435" s="17"/>
    </row>
    <row r="436" spans="2:17">
      <c r="B436" s="15" t="str">
        <f t="shared" si="47"/>
        <v/>
      </c>
      <c r="C436" s="16" t="str">
        <f>IFERROR(VLOOKUP(DATA!#REF!,DATA!#REF!,1,FALSE),"")</f>
        <v/>
      </c>
      <c r="D436" s="16" t="str">
        <f>IFERROR(VLOOKUP(C436,DATA!#REF!,2,FALSE),"")</f>
        <v/>
      </c>
      <c r="I436" s="17"/>
      <c r="J436" s="17"/>
      <c r="P436" s="17"/>
      <c r="Q436" s="17"/>
    </row>
    <row r="437" spans="2:17">
      <c r="B437" s="15" t="str">
        <f t="shared" si="47"/>
        <v/>
      </c>
      <c r="C437" s="16" t="str">
        <f>IFERROR(VLOOKUP(DATA!#REF!,DATA!#REF!,1,FALSE),"")</f>
        <v/>
      </c>
      <c r="D437" s="16" t="str">
        <f>IFERROR(VLOOKUP(C437,DATA!#REF!,2,FALSE),"")</f>
        <v/>
      </c>
      <c r="I437" s="17"/>
      <c r="J437" s="17"/>
      <c r="P437" s="17"/>
      <c r="Q437" s="17"/>
    </row>
    <row r="438" spans="2:17">
      <c r="B438" s="15" t="str">
        <f t="shared" si="47"/>
        <v/>
      </c>
      <c r="C438" s="16" t="str">
        <f>IFERROR(VLOOKUP(DATA!#REF!,DATA!#REF!,1,FALSE),"")</f>
        <v/>
      </c>
      <c r="D438" s="16" t="str">
        <f>IFERROR(VLOOKUP(C438,DATA!#REF!,2,FALSE),"")</f>
        <v/>
      </c>
      <c r="I438" s="17"/>
      <c r="J438" s="17"/>
      <c r="P438" s="17"/>
      <c r="Q438" s="17"/>
    </row>
    <row r="439" spans="2:17">
      <c r="B439" s="15" t="str">
        <f t="shared" ref="B439:B502" si="48">+IF(C439="","",ROW()-5)</f>
        <v/>
      </c>
      <c r="C439" s="16" t="str">
        <f>IFERROR(VLOOKUP(DATA!#REF!,DATA!#REF!,1,FALSE),"")</f>
        <v/>
      </c>
      <c r="D439" s="16" t="str">
        <f>IFERROR(VLOOKUP(C439,DATA!#REF!,2,FALSE),"")</f>
        <v/>
      </c>
      <c r="I439" s="17"/>
      <c r="J439" s="17"/>
      <c r="P439" s="17"/>
      <c r="Q439" s="17"/>
    </row>
    <row r="440" spans="2:17">
      <c r="B440" s="15" t="str">
        <f t="shared" si="48"/>
        <v/>
      </c>
      <c r="C440" s="16" t="str">
        <f>IFERROR(VLOOKUP(DATA!#REF!,DATA!#REF!,1,FALSE),"")</f>
        <v/>
      </c>
      <c r="D440" s="16" t="str">
        <f>IFERROR(VLOOKUP(C440,DATA!#REF!,2,FALSE),"")</f>
        <v/>
      </c>
      <c r="I440" s="17"/>
      <c r="J440" s="17"/>
      <c r="P440" s="17"/>
      <c r="Q440" s="17"/>
    </row>
    <row r="441" spans="2:17">
      <c r="B441" s="15" t="str">
        <f t="shared" si="48"/>
        <v/>
      </c>
      <c r="C441" s="16" t="str">
        <f>IFERROR(VLOOKUP(DATA!#REF!,DATA!#REF!,1,FALSE),"")</f>
        <v/>
      </c>
      <c r="D441" s="16" t="str">
        <f>IFERROR(VLOOKUP(C441,DATA!#REF!,2,FALSE),"")</f>
        <v/>
      </c>
      <c r="I441" s="17"/>
      <c r="J441" s="17"/>
      <c r="P441" s="17"/>
      <c r="Q441" s="17"/>
    </row>
    <row r="442" spans="2:17">
      <c r="B442" s="15" t="str">
        <f t="shared" si="48"/>
        <v/>
      </c>
      <c r="C442" s="16" t="str">
        <f>IFERROR(VLOOKUP(DATA!#REF!,DATA!#REF!,1,FALSE),"")</f>
        <v/>
      </c>
      <c r="D442" s="16" t="str">
        <f>IFERROR(VLOOKUP(C442,DATA!#REF!,2,FALSE),"")</f>
        <v/>
      </c>
      <c r="I442" s="17"/>
      <c r="J442" s="17"/>
      <c r="P442" s="17"/>
      <c r="Q442" s="17"/>
    </row>
    <row r="443" spans="2:17">
      <c r="B443" s="15" t="str">
        <f t="shared" si="48"/>
        <v/>
      </c>
      <c r="C443" s="16" t="str">
        <f>IFERROR(VLOOKUP(DATA!#REF!,DATA!#REF!,1,FALSE),"")</f>
        <v/>
      </c>
      <c r="D443" s="16" t="str">
        <f>IFERROR(VLOOKUP(C443,DATA!#REF!,2,FALSE),"")</f>
        <v/>
      </c>
      <c r="I443" s="17"/>
      <c r="J443" s="17"/>
      <c r="P443" s="17"/>
      <c r="Q443" s="17"/>
    </row>
    <row r="444" spans="2:17">
      <c r="B444" s="15" t="str">
        <f t="shared" si="48"/>
        <v/>
      </c>
      <c r="C444" s="16" t="str">
        <f>IFERROR(VLOOKUP(DATA!#REF!,DATA!#REF!,1,FALSE),"")</f>
        <v/>
      </c>
      <c r="D444" s="16" t="str">
        <f>IFERROR(VLOOKUP(C444,DATA!#REF!,2,FALSE),"")</f>
        <v/>
      </c>
      <c r="I444" s="17"/>
      <c r="J444" s="17"/>
      <c r="P444" s="17"/>
      <c r="Q444" s="17"/>
    </row>
    <row r="445" spans="2:17">
      <c r="B445" s="15" t="str">
        <f t="shared" si="48"/>
        <v/>
      </c>
      <c r="C445" s="16" t="str">
        <f>IFERROR(VLOOKUP(DATA!#REF!,DATA!#REF!,1,FALSE),"")</f>
        <v/>
      </c>
      <c r="D445" s="16" t="str">
        <f>IFERROR(VLOOKUP(C445,DATA!#REF!,2,FALSE),"")</f>
        <v/>
      </c>
      <c r="I445" s="17"/>
      <c r="J445" s="17"/>
      <c r="P445" s="17"/>
      <c r="Q445" s="17"/>
    </row>
    <row r="446" spans="2:17">
      <c r="B446" s="15" t="str">
        <f t="shared" si="48"/>
        <v/>
      </c>
      <c r="C446" s="16" t="str">
        <f>IFERROR(VLOOKUP(DATA!#REF!,DATA!#REF!,1,FALSE),"")</f>
        <v/>
      </c>
      <c r="D446" s="16" t="str">
        <f>IFERROR(VLOOKUP(C446,DATA!#REF!,2,FALSE),"")</f>
        <v/>
      </c>
      <c r="I446" s="17"/>
      <c r="J446" s="17"/>
      <c r="P446" s="17"/>
      <c r="Q446" s="17"/>
    </row>
    <row r="447" spans="2:17">
      <c r="B447" s="15" t="str">
        <f t="shared" si="48"/>
        <v/>
      </c>
      <c r="C447" s="16" t="str">
        <f>IFERROR(VLOOKUP(DATA!#REF!,DATA!#REF!,1,FALSE),"")</f>
        <v/>
      </c>
      <c r="D447" s="16" t="str">
        <f>IFERROR(VLOOKUP(C447,DATA!#REF!,2,FALSE),"")</f>
        <v/>
      </c>
      <c r="I447" s="17"/>
      <c r="J447" s="17"/>
      <c r="P447" s="17"/>
      <c r="Q447" s="17"/>
    </row>
    <row r="448" spans="2:17">
      <c r="B448" s="15" t="str">
        <f t="shared" si="48"/>
        <v/>
      </c>
      <c r="C448" s="16" t="str">
        <f>IFERROR(VLOOKUP(DATA!#REF!,DATA!#REF!,1,FALSE),"")</f>
        <v/>
      </c>
      <c r="D448" s="16" t="str">
        <f>IFERROR(VLOOKUP(C448,DATA!#REF!,2,FALSE),"")</f>
        <v/>
      </c>
      <c r="I448" s="17"/>
      <c r="J448" s="17"/>
      <c r="P448" s="17"/>
      <c r="Q448" s="17"/>
    </row>
    <row r="449" spans="2:17">
      <c r="B449" s="15" t="str">
        <f t="shared" si="48"/>
        <v/>
      </c>
      <c r="C449" s="16" t="str">
        <f>IFERROR(VLOOKUP(DATA!#REF!,DATA!#REF!,1,FALSE),"")</f>
        <v/>
      </c>
      <c r="D449" s="16" t="str">
        <f>IFERROR(VLOOKUP(C449,DATA!#REF!,2,FALSE),"")</f>
        <v/>
      </c>
      <c r="I449" s="17"/>
      <c r="J449" s="17"/>
      <c r="P449" s="17"/>
      <c r="Q449" s="17"/>
    </row>
    <row r="450" spans="2:17">
      <c r="B450" s="15" t="str">
        <f t="shared" si="48"/>
        <v/>
      </c>
      <c r="C450" s="16" t="str">
        <f>IFERROR(VLOOKUP(DATA!#REF!,DATA!#REF!,1,FALSE),"")</f>
        <v/>
      </c>
      <c r="D450" s="16" t="str">
        <f>IFERROR(VLOOKUP(C450,DATA!#REF!,2,FALSE),"")</f>
        <v/>
      </c>
      <c r="I450" s="17"/>
      <c r="J450" s="17"/>
      <c r="P450" s="17"/>
      <c r="Q450" s="17"/>
    </row>
    <row r="451" spans="2:17">
      <c r="B451" s="15" t="str">
        <f t="shared" si="48"/>
        <v/>
      </c>
      <c r="C451" s="16" t="str">
        <f>IFERROR(VLOOKUP(DATA!#REF!,DATA!#REF!,1,FALSE),"")</f>
        <v/>
      </c>
      <c r="D451" s="16" t="str">
        <f>IFERROR(VLOOKUP(C451,DATA!#REF!,2,FALSE),"")</f>
        <v/>
      </c>
      <c r="I451" s="17"/>
      <c r="J451" s="17"/>
      <c r="P451" s="17"/>
      <c r="Q451" s="17"/>
    </row>
    <row r="452" spans="2:17">
      <c r="B452" s="15" t="str">
        <f t="shared" si="48"/>
        <v/>
      </c>
      <c r="C452" s="16" t="str">
        <f>IFERROR(VLOOKUP(DATA!#REF!,DATA!#REF!,1,FALSE),"")</f>
        <v/>
      </c>
      <c r="D452" s="16" t="str">
        <f>IFERROR(VLOOKUP(C452,DATA!#REF!,2,FALSE),"")</f>
        <v/>
      </c>
      <c r="I452" s="17"/>
      <c r="J452" s="17"/>
      <c r="P452" s="17"/>
      <c r="Q452" s="17"/>
    </row>
    <row r="453" spans="2:17">
      <c r="B453" s="15" t="str">
        <f t="shared" si="48"/>
        <v/>
      </c>
      <c r="C453" s="16" t="str">
        <f>IFERROR(VLOOKUP(DATA!#REF!,DATA!#REF!,1,FALSE),"")</f>
        <v/>
      </c>
      <c r="D453" s="16" t="str">
        <f>IFERROR(VLOOKUP(C453,DATA!#REF!,2,FALSE),"")</f>
        <v/>
      </c>
      <c r="I453" s="17"/>
      <c r="J453" s="17"/>
      <c r="P453" s="17"/>
      <c r="Q453" s="17"/>
    </row>
    <row r="454" spans="2:17">
      <c r="B454" s="15" t="str">
        <f t="shared" si="48"/>
        <v/>
      </c>
      <c r="C454" s="16" t="str">
        <f>IFERROR(VLOOKUP(DATA!#REF!,DATA!#REF!,1,FALSE),"")</f>
        <v/>
      </c>
      <c r="D454" s="16" t="str">
        <f>IFERROR(VLOOKUP(C454,DATA!#REF!,2,FALSE),"")</f>
        <v/>
      </c>
      <c r="I454" s="17"/>
      <c r="J454" s="17"/>
      <c r="P454" s="17"/>
      <c r="Q454" s="17"/>
    </row>
    <row r="455" spans="2:17">
      <c r="B455" s="15" t="str">
        <f t="shared" si="48"/>
        <v/>
      </c>
      <c r="C455" s="16" t="str">
        <f>IFERROR(VLOOKUP(DATA!#REF!,DATA!#REF!,1,FALSE),"")</f>
        <v/>
      </c>
      <c r="D455" s="16" t="str">
        <f>IFERROR(VLOOKUP(C455,DATA!#REF!,2,FALSE),"")</f>
        <v/>
      </c>
      <c r="I455" s="17"/>
      <c r="J455" s="17"/>
      <c r="P455" s="17"/>
      <c r="Q455" s="17"/>
    </row>
    <row r="456" spans="2:17">
      <c r="B456" s="15" t="str">
        <f t="shared" si="48"/>
        <v/>
      </c>
      <c r="C456" s="16" t="str">
        <f>IFERROR(VLOOKUP(DATA!#REF!,DATA!#REF!,1,FALSE),"")</f>
        <v/>
      </c>
      <c r="D456" s="16" t="str">
        <f>IFERROR(VLOOKUP(C456,DATA!#REF!,2,FALSE),"")</f>
        <v/>
      </c>
      <c r="I456" s="17"/>
      <c r="J456" s="17"/>
      <c r="P456" s="17"/>
      <c r="Q456" s="17"/>
    </row>
    <row r="457" spans="2:17">
      <c r="B457" s="15" t="str">
        <f t="shared" si="48"/>
        <v/>
      </c>
      <c r="C457" s="16" t="str">
        <f>IFERROR(VLOOKUP(DATA!#REF!,DATA!#REF!,1,FALSE),"")</f>
        <v/>
      </c>
      <c r="D457" s="16" t="str">
        <f>IFERROR(VLOOKUP(C457,DATA!#REF!,2,FALSE),"")</f>
        <v/>
      </c>
      <c r="I457" s="17"/>
      <c r="J457" s="17"/>
      <c r="P457" s="17"/>
      <c r="Q457" s="17"/>
    </row>
    <row r="458" spans="2:17">
      <c r="B458" s="15" t="str">
        <f t="shared" si="48"/>
        <v/>
      </c>
      <c r="C458" s="16" t="str">
        <f>IFERROR(VLOOKUP(DATA!#REF!,DATA!#REF!,1,FALSE),"")</f>
        <v/>
      </c>
      <c r="D458" s="16" t="str">
        <f>IFERROR(VLOOKUP(C458,DATA!#REF!,2,FALSE),"")</f>
        <v/>
      </c>
      <c r="I458" s="17"/>
      <c r="J458" s="17"/>
      <c r="P458" s="17"/>
      <c r="Q458" s="17"/>
    </row>
    <row r="459" spans="2:17">
      <c r="B459" s="15" t="str">
        <f t="shared" si="48"/>
        <v/>
      </c>
      <c r="C459" s="16" t="str">
        <f>IFERROR(VLOOKUP(DATA!#REF!,DATA!#REF!,1,FALSE),"")</f>
        <v/>
      </c>
      <c r="D459" s="16" t="str">
        <f>IFERROR(VLOOKUP(C459,DATA!#REF!,2,FALSE),"")</f>
        <v/>
      </c>
      <c r="I459" s="17"/>
      <c r="J459" s="17"/>
      <c r="P459" s="17"/>
      <c r="Q459" s="17"/>
    </row>
    <row r="460" spans="2:17">
      <c r="B460" s="15" t="str">
        <f t="shared" si="48"/>
        <v/>
      </c>
      <c r="C460" s="16" t="str">
        <f>IFERROR(VLOOKUP(DATA!#REF!,DATA!#REF!,1,FALSE),"")</f>
        <v/>
      </c>
      <c r="D460" s="16" t="str">
        <f>IFERROR(VLOOKUP(C460,DATA!#REF!,2,FALSE),"")</f>
        <v/>
      </c>
      <c r="I460" s="17"/>
      <c r="J460" s="17"/>
      <c r="P460" s="17"/>
      <c r="Q460" s="17"/>
    </row>
    <row r="461" spans="2:17">
      <c r="B461" s="15" t="str">
        <f t="shared" si="48"/>
        <v/>
      </c>
      <c r="C461" s="16" t="str">
        <f>IFERROR(VLOOKUP(DATA!#REF!,DATA!#REF!,1,FALSE),"")</f>
        <v/>
      </c>
      <c r="D461" s="16" t="str">
        <f>IFERROR(VLOOKUP(C461,DATA!#REF!,2,FALSE),"")</f>
        <v/>
      </c>
      <c r="I461" s="17"/>
      <c r="J461" s="17"/>
      <c r="P461" s="17"/>
      <c r="Q461" s="17"/>
    </row>
    <row r="462" spans="2:17">
      <c r="B462" s="15" t="str">
        <f t="shared" si="48"/>
        <v/>
      </c>
      <c r="C462" s="16" t="str">
        <f>IFERROR(VLOOKUP(DATA!#REF!,DATA!#REF!,1,FALSE),"")</f>
        <v/>
      </c>
      <c r="D462" s="16" t="str">
        <f>IFERROR(VLOOKUP(C462,DATA!#REF!,2,FALSE),"")</f>
        <v/>
      </c>
      <c r="I462" s="17"/>
      <c r="J462" s="17"/>
      <c r="P462" s="17"/>
      <c r="Q462" s="17"/>
    </row>
    <row r="463" spans="2:17">
      <c r="B463" s="15" t="str">
        <f t="shared" si="48"/>
        <v/>
      </c>
      <c r="C463" s="16" t="str">
        <f>IFERROR(VLOOKUP(DATA!#REF!,DATA!#REF!,1,FALSE),"")</f>
        <v/>
      </c>
      <c r="D463" s="16" t="str">
        <f>IFERROR(VLOOKUP(C463,DATA!#REF!,2,FALSE),"")</f>
        <v/>
      </c>
      <c r="I463" s="17"/>
      <c r="J463" s="17"/>
      <c r="P463" s="17"/>
      <c r="Q463" s="17"/>
    </row>
    <row r="464" spans="2:17">
      <c r="B464" s="15" t="str">
        <f t="shared" si="48"/>
        <v/>
      </c>
      <c r="C464" s="16" t="str">
        <f>IFERROR(VLOOKUP(DATA!#REF!,DATA!#REF!,1,FALSE),"")</f>
        <v/>
      </c>
      <c r="D464" s="16" t="str">
        <f>IFERROR(VLOOKUP(C464,DATA!#REF!,2,FALSE),"")</f>
        <v/>
      </c>
      <c r="I464" s="17"/>
      <c r="J464" s="17"/>
      <c r="P464" s="17"/>
      <c r="Q464" s="17"/>
    </row>
    <row r="465" spans="2:17">
      <c r="B465" s="15" t="str">
        <f t="shared" si="48"/>
        <v/>
      </c>
      <c r="C465" s="16" t="str">
        <f>IFERROR(VLOOKUP(DATA!#REF!,DATA!#REF!,1,FALSE),"")</f>
        <v/>
      </c>
      <c r="D465" s="16" t="str">
        <f>IFERROR(VLOOKUP(C465,DATA!#REF!,2,FALSE),"")</f>
        <v/>
      </c>
      <c r="I465" s="17"/>
      <c r="J465" s="17"/>
      <c r="P465" s="17"/>
      <c r="Q465" s="17"/>
    </row>
    <row r="466" spans="2:17">
      <c r="B466" s="15" t="str">
        <f t="shared" si="48"/>
        <v/>
      </c>
      <c r="C466" s="16" t="str">
        <f>IFERROR(VLOOKUP(DATA!#REF!,DATA!#REF!,1,FALSE),"")</f>
        <v/>
      </c>
      <c r="D466" s="16" t="str">
        <f>IFERROR(VLOOKUP(C466,DATA!#REF!,2,FALSE),"")</f>
        <v/>
      </c>
      <c r="I466" s="17"/>
      <c r="J466" s="17"/>
      <c r="P466" s="17"/>
      <c r="Q466" s="17"/>
    </row>
    <row r="467" spans="2:17">
      <c r="B467" s="15" t="str">
        <f t="shared" si="48"/>
        <v/>
      </c>
      <c r="C467" s="16" t="str">
        <f>IFERROR(VLOOKUP(DATA!#REF!,DATA!#REF!,1,FALSE),"")</f>
        <v/>
      </c>
      <c r="D467" s="16" t="str">
        <f>IFERROR(VLOOKUP(C467,DATA!#REF!,2,FALSE),"")</f>
        <v/>
      </c>
      <c r="I467" s="17"/>
      <c r="J467" s="17"/>
      <c r="P467" s="17"/>
      <c r="Q467" s="17"/>
    </row>
    <row r="468" spans="2:17">
      <c r="B468" s="15" t="str">
        <f t="shared" si="48"/>
        <v/>
      </c>
      <c r="C468" s="16" t="str">
        <f>IFERROR(VLOOKUP(DATA!#REF!,DATA!#REF!,1,FALSE),"")</f>
        <v/>
      </c>
      <c r="D468" s="16" t="str">
        <f>IFERROR(VLOOKUP(C468,DATA!#REF!,2,FALSE),"")</f>
        <v/>
      </c>
      <c r="I468" s="17"/>
      <c r="J468" s="17"/>
      <c r="P468" s="17"/>
      <c r="Q468" s="17"/>
    </row>
    <row r="469" spans="2:17">
      <c r="B469" s="15" t="str">
        <f t="shared" si="48"/>
        <v/>
      </c>
      <c r="C469" s="16" t="str">
        <f>IFERROR(VLOOKUP(DATA!#REF!,DATA!#REF!,1,FALSE),"")</f>
        <v/>
      </c>
      <c r="D469" s="16" t="str">
        <f>IFERROR(VLOOKUP(C469,DATA!#REF!,2,FALSE),"")</f>
        <v/>
      </c>
      <c r="I469" s="17"/>
      <c r="J469" s="17"/>
      <c r="P469" s="17"/>
      <c r="Q469" s="17"/>
    </row>
    <row r="470" spans="2:17">
      <c r="B470" s="15" t="str">
        <f t="shared" si="48"/>
        <v/>
      </c>
      <c r="C470" s="16" t="str">
        <f>IFERROR(VLOOKUP(DATA!#REF!,DATA!#REF!,1,FALSE),"")</f>
        <v/>
      </c>
      <c r="D470" s="16" t="str">
        <f>IFERROR(VLOOKUP(C470,DATA!#REF!,2,FALSE),"")</f>
        <v/>
      </c>
      <c r="I470" s="17"/>
      <c r="J470" s="17"/>
      <c r="P470" s="17"/>
      <c r="Q470" s="17"/>
    </row>
    <row r="471" spans="2:17">
      <c r="B471" s="15" t="str">
        <f t="shared" si="48"/>
        <v/>
      </c>
      <c r="C471" s="16" t="str">
        <f>IFERROR(VLOOKUP(DATA!#REF!,DATA!#REF!,1,FALSE),"")</f>
        <v/>
      </c>
      <c r="D471" s="16" t="str">
        <f>IFERROR(VLOOKUP(C471,DATA!#REF!,2,FALSE),"")</f>
        <v/>
      </c>
      <c r="I471" s="17"/>
      <c r="J471" s="17"/>
      <c r="P471" s="17"/>
      <c r="Q471" s="17"/>
    </row>
    <row r="472" spans="2:17">
      <c r="B472" s="15" t="str">
        <f t="shared" si="48"/>
        <v/>
      </c>
      <c r="C472" s="16" t="str">
        <f>IFERROR(VLOOKUP(DATA!#REF!,DATA!#REF!,1,FALSE),"")</f>
        <v/>
      </c>
      <c r="D472" s="16" t="str">
        <f>IFERROR(VLOOKUP(C472,DATA!#REF!,2,FALSE),"")</f>
        <v/>
      </c>
      <c r="I472" s="17"/>
      <c r="J472" s="17"/>
      <c r="P472" s="17"/>
      <c r="Q472" s="17"/>
    </row>
    <row r="473" spans="2:17">
      <c r="B473" s="15" t="str">
        <f t="shared" si="48"/>
        <v/>
      </c>
      <c r="C473" s="16" t="str">
        <f>IFERROR(VLOOKUP(DATA!#REF!,DATA!#REF!,1,FALSE),"")</f>
        <v/>
      </c>
      <c r="D473" s="16" t="str">
        <f>IFERROR(VLOOKUP(C473,DATA!#REF!,2,FALSE),"")</f>
        <v/>
      </c>
      <c r="I473" s="17"/>
      <c r="J473" s="17"/>
      <c r="P473" s="17"/>
      <c r="Q473" s="17"/>
    </row>
    <row r="474" spans="2:17">
      <c r="B474" s="15" t="str">
        <f t="shared" si="48"/>
        <v/>
      </c>
      <c r="C474" s="16" t="str">
        <f>IFERROR(VLOOKUP(DATA!#REF!,DATA!#REF!,1,FALSE),"")</f>
        <v/>
      </c>
      <c r="D474" s="16" t="str">
        <f>IFERROR(VLOOKUP(C474,DATA!#REF!,2,FALSE),"")</f>
        <v/>
      </c>
      <c r="I474" s="17"/>
      <c r="J474" s="17"/>
      <c r="P474" s="17"/>
      <c r="Q474" s="17"/>
    </row>
    <row r="475" spans="2:17">
      <c r="B475" s="15" t="str">
        <f t="shared" si="48"/>
        <v/>
      </c>
      <c r="C475" s="16" t="str">
        <f>IFERROR(VLOOKUP(DATA!#REF!,DATA!#REF!,1,FALSE),"")</f>
        <v/>
      </c>
      <c r="D475" s="16" t="str">
        <f>IFERROR(VLOOKUP(C475,DATA!#REF!,2,FALSE),"")</f>
        <v/>
      </c>
      <c r="I475" s="17"/>
      <c r="J475" s="17"/>
      <c r="P475" s="17"/>
      <c r="Q475" s="17"/>
    </row>
    <row r="476" spans="2:17">
      <c r="B476" s="15" t="str">
        <f t="shared" si="48"/>
        <v/>
      </c>
      <c r="C476" s="16" t="str">
        <f>IFERROR(VLOOKUP(DATA!#REF!,DATA!#REF!,1,FALSE),"")</f>
        <v/>
      </c>
      <c r="D476" s="16" t="str">
        <f>IFERROR(VLOOKUP(C476,DATA!#REF!,2,FALSE),"")</f>
        <v/>
      </c>
      <c r="I476" s="17"/>
      <c r="J476" s="17"/>
      <c r="P476" s="17"/>
      <c r="Q476" s="17"/>
    </row>
    <row r="477" spans="2:17">
      <c r="B477" s="15" t="str">
        <f t="shared" si="48"/>
        <v/>
      </c>
      <c r="C477" s="16" t="str">
        <f>IFERROR(VLOOKUP(DATA!#REF!,DATA!#REF!,1,FALSE),"")</f>
        <v/>
      </c>
      <c r="D477" s="16" t="str">
        <f>IFERROR(VLOOKUP(C477,DATA!#REF!,2,FALSE),"")</f>
        <v/>
      </c>
      <c r="I477" s="17"/>
      <c r="J477" s="17"/>
      <c r="P477" s="17"/>
      <c r="Q477" s="17"/>
    </row>
    <row r="478" spans="2:17">
      <c r="B478" s="15" t="str">
        <f t="shared" si="48"/>
        <v/>
      </c>
      <c r="C478" s="16" t="str">
        <f>IFERROR(VLOOKUP(DATA!#REF!,DATA!#REF!,1,FALSE),"")</f>
        <v/>
      </c>
      <c r="D478" s="16" t="str">
        <f>IFERROR(VLOOKUP(C478,DATA!#REF!,2,FALSE),"")</f>
        <v/>
      </c>
      <c r="I478" s="17"/>
      <c r="J478" s="17"/>
      <c r="P478" s="17"/>
      <c r="Q478" s="17"/>
    </row>
    <row r="479" spans="2:17">
      <c r="B479" s="15" t="str">
        <f t="shared" si="48"/>
        <v/>
      </c>
      <c r="C479" s="16" t="str">
        <f>IFERROR(VLOOKUP(DATA!#REF!,DATA!#REF!,1,FALSE),"")</f>
        <v/>
      </c>
      <c r="D479" s="16" t="str">
        <f>IFERROR(VLOOKUP(C479,DATA!#REF!,2,FALSE),"")</f>
        <v/>
      </c>
      <c r="I479" s="17"/>
      <c r="J479" s="17"/>
      <c r="P479" s="17"/>
      <c r="Q479" s="17"/>
    </row>
    <row r="480" spans="2:17">
      <c r="B480" s="15" t="str">
        <f t="shared" si="48"/>
        <v/>
      </c>
      <c r="C480" s="16" t="str">
        <f>IFERROR(VLOOKUP(DATA!#REF!,DATA!#REF!,1,FALSE),"")</f>
        <v/>
      </c>
      <c r="D480" s="16" t="str">
        <f>IFERROR(VLOOKUP(C480,DATA!#REF!,2,FALSE),"")</f>
        <v/>
      </c>
      <c r="I480" s="17"/>
      <c r="J480" s="17"/>
      <c r="P480" s="17"/>
      <c r="Q480" s="17"/>
    </row>
    <row r="481" spans="2:17">
      <c r="B481" s="15" t="str">
        <f t="shared" si="48"/>
        <v/>
      </c>
      <c r="C481" s="16" t="str">
        <f>IFERROR(VLOOKUP(DATA!#REF!,DATA!#REF!,1,FALSE),"")</f>
        <v/>
      </c>
      <c r="D481" s="16" t="str">
        <f>IFERROR(VLOOKUP(C481,DATA!#REF!,2,FALSE),"")</f>
        <v/>
      </c>
      <c r="I481" s="17"/>
      <c r="J481" s="17"/>
      <c r="P481" s="17"/>
      <c r="Q481" s="17"/>
    </row>
    <row r="482" spans="2:17">
      <c r="B482" s="15" t="str">
        <f t="shared" si="48"/>
        <v/>
      </c>
      <c r="C482" s="16" t="str">
        <f>IFERROR(VLOOKUP(DATA!#REF!,DATA!#REF!,1,FALSE),"")</f>
        <v/>
      </c>
      <c r="D482" s="16" t="str">
        <f>IFERROR(VLOOKUP(C482,DATA!#REF!,2,FALSE),"")</f>
        <v/>
      </c>
      <c r="I482" s="17"/>
      <c r="J482" s="17"/>
      <c r="P482" s="17"/>
      <c r="Q482" s="17"/>
    </row>
    <row r="483" spans="2:17">
      <c r="B483" s="15" t="str">
        <f t="shared" si="48"/>
        <v/>
      </c>
      <c r="C483" s="16" t="str">
        <f>IFERROR(VLOOKUP(DATA!#REF!,DATA!#REF!,1,FALSE),"")</f>
        <v/>
      </c>
      <c r="D483" s="16" t="str">
        <f>IFERROR(VLOOKUP(C483,DATA!#REF!,2,FALSE),"")</f>
        <v/>
      </c>
      <c r="I483" s="17"/>
      <c r="J483" s="17"/>
      <c r="P483" s="17"/>
      <c r="Q483" s="17"/>
    </row>
    <row r="484" spans="2:17">
      <c r="B484" s="15" t="str">
        <f t="shared" si="48"/>
        <v/>
      </c>
      <c r="C484" s="16" t="str">
        <f>IFERROR(VLOOKUP(DATA!#REF!,DATA!#REF!,1,FALSE),"")</f>
        <v/>
      </c>
      <c r="D484" s="16" t="str">
        <f>IFERROR(VLOOKUP(C484,DATA!#REF!,2,FALSE),"")</f>
        <v/>
      </c>
      <c r="I484" s="17"/>
      <c r="J484" s="17"/>
      <c r="P484" s="17"/>
      <c r="Q484" s="17"/>
    </row>
    <row r="485" spans="2:17">
      <c r="B485" s="15" t="str">
        <f t="shared" si="48"/>
        <v/>
      </c>
      <c r="C485" s="16" t="str">
        <f>IFERROR(VLOOKUP(DATA!#REF!,DATA!#REF!,1,FALSE),"")</f>
        <v/>
      </c>
      <c r="D485" s="16" t="str">
        <f>IFERROR(VLOOKUP(C485,DATA!#REF!,2,FALSE),"")</f>
        <v/>
      </c>
      <c r="I485" s="17"/>
      <c r="J485" s="17"/>
      <c r="P485" s="17"/>
      <c r="Q485" s="17"/>
    </row>
    <row r="486" spans="2:17">
      <c r="B486" s="15" t="str">
        <f t="shared" si="48"/>
        <v/>
      </c>
      <c r="C486" s="16" t="str">
        <f>IFERROR(VLOOKUP(DATA!#REF!,DATA!#REF!,1,FALSE),"")</f>
        <v/>
      </c>
      <c r="D486" s="16" t="str">
        <f>IFERROR(VLOOKUP(C486,DATA!#REF!,2,FALSE),"")</f>
        <v/>
      </c>
      <c r="I486" s="17"/>
      <c r="J486" s="17"/>
      <c r="P486" s="17"/>
      <c r="Q486" s="17"/>
    </row>
    <row r="487" spans="2:17">
      <c r="B487" s="15" t="str">
        <f t="shared" si="48"/>
        <v/>
      </c>
      <c r="C487" s="16" t="str">
        <f>IFERROR(VLOOKUP(DATA!#REF!,DATA!#REF!,1,FALSE),"")</f>
        <v/>
      </c>
      <c r="D487" s="16" t="str">
        <f>IFERROR(VLOOKUP(C487,DATA!#REF!,2,FALSE),"")</f>
        <v/>
      </c>
      <c r="I487" s="17"/>
      <c r="J487" s="17"/>
      <c r="P487" s="17"/>
      <c r="Q487" s="17"/>
    </row>
    <row r="488" spans="2:17">
      <c r="B488" s="15" t="str">
        <f t="shared" si="48"/>
        <v/>
      </c>
      <c r="C488" s="16" t="str">
        <f>IFERROR(VLOOKUP(DATA!#REF!,DATA!#REF!,1,FALSE),"")</f>
        <v/>
      </c>
      <c r="D488" s="16" t="str">
        <f>IFERROR(VLOOKUP(C488,DATA!#REF!,2,FALSE),"")</f>
        <v/>
      </c>
      <c r="I488" s="17"/>
      <c r="J488" s="17"/>
      <c r="P488" s="17"/>
      <c r="Q488" s="17"/>
    </row>
    <row r="489" spans="2:17">
      <c r="B489" s="15" t="str">
        <f t="shared" si="48"/>
        <v/>
      </c>
      <c r="C489" s="16" t="str">
        <f>IFERROR(VLOOKUP(DATA!#REF!,DATA!#REF!,1,FALSE),"")</f>
        <v/>
      </c>
      <c r="D489" s="16" t="str">
        <f>IFERROR(VLOOKUP(C489,DATA!#REF!,2,FALSE),"")</f>
        <v/>
      </c>
      <c r="I489" s="17"/>
      <c r="J489" s="17"/>
      <c r="P489" s="17"/>
      <c r="Q489" s="17"/>
    </row>
    <row r="490" spans="2:17">
      <c r="B490" s="15" t="str">
        <f t="shared" si="48"/>
        <v/>
      </c>
      <c r="C490" s="16" t="str">
        <f>IFERROR(VLOOKUP(DATA!#REF!,DATA!#REF!,1,FALSE),"")</f>
        <v/>
      </c>
      <c r="D490" s="16" t="str">
        <f>IFERROR(VLOOKUP(C490,DATA!#REF!,2,FALSE),"")</f>
        <v/>
      </c>
      <c r="I490" s="17"/>
      <c r="J490" s="17"/>
      <c r="P490" s="17"/>
      <c r="Q490" s="17"/>
    </row>
    <row r="491" spans="2:17">
      <c r="B491" s="15" t="str">
        <f t="shared" si="48"/>
        <v/>
      </c>
      <c r="C491" s="16" t="str">
        <f>IFERROR(VLOOKUP(DATA!#REF!,DATA!#REF!,1,FALSE),"")</f>
        <v/>
      </c>
      <c r="D491" s="16" t="str">
        <f>IFERROR(VLOOKUP(C491,DATA!#REF!,2,FALSE),"")</f>
        <v/>
      </c>
      <c r="I491" s="17"/>
      <c r="J491" s="17"/>
      <c r="P491" s="17"/>
      <c r="Q491" s="17"/>
    </row>
    <row r="492" spans="2:17">
      <c r="B492" s="15" t="str">
        <f t="shared" si="48"/>
        <v/>
      </c>
      <c r="C492" s="16" t="str">
        <f>IFERROR(VLOOKUP(DATA!#REF!,DATA!#REF!,1,FALSE),"")</f>
        <v/>
      </c>
      <c r="D492" s="16" t="str">
        <f>IFERROR(VLOOKUP(C492,DATA!#REF!,2,FALSE),"")</f>
        <v/>
      </c>
      <c r="I492" s="17"/>
      <c r="J492" s="17"/>
      <c r="P492" s="17"/>
      <c r="Q492" s="17"/>
    </row>
    <row r="493" spans="2:17">
      <c r="B493" s="15" t="str">
        <f t="shared" si="48"/>
        <v/>
      </c>
      <c r="C493" s="16" t="str">
        <f>IFERROR(VLOOKUP(DATA!#REF!,DATA!#REF!,1,FALSE),"")</f>
        <v/>
      </c>
      <c r="D493" s="16" t="str">
        <f>IFERROR(VLOOKUP(C493,DATA!#REF!,2,FALSE),"")</f>
        <v/>
      </c>
      <c r="I493" s="17"/>
      <c r="J493" s="17"/>
      <c r="P493" s="17"/>
      <c r="Q493" s="17"/>
    </row>
    <row r="494" spans="2:17">
      <c r="B494" s="15" t="str">
        <f t="shared" si="48"/>
        <v/>
      </c>
      <c r="C494" s="16" t="str">
        <f>IFERROR(VLOOKUP(DATA!#REF!,DATA!#REF!,1,FALSE),"")</f>
        <v/>
      </c>
      <c r="D494" s="16" t="str">
        <f>IFERROR(VLOOKUP(C494,DATA!#REF!,2,FALSE),"")</f>
        <v/>
      </c>
      <c r="I494" s="17"/>
      <c r="J494" s="17"/>
      <c r="P494" s="17"/>
      <c r="Q494" s="17"/>
    </row>
    <row r="495" spans="2:17">
      <c r="B495" s="15" t="str">
        <f t="shared" si="48"/>
        <v/>
      </c>
      <c r="C495" s="16" t="str">
        <f>IFERROR(VLOOKUP(DATA!#REF!,DATA!#REF!,1,FALSE),"")</f>
        <v/>
      </c>
      <c r="D495" s="16" t="str">
        <f>IFERROR(VLOOKUP(C495,DATA!#REF!,2,FALSE),"")</f>
        <v/>
      </c>
      <c r="I495" s="17"/>
      <c r="J495" s="17"/>
      <c r="P495" s="17"/>
      <c r="Q495" s="17"/>
    </row>
    <row r="496" spans="2:17">
      <c r="B496" s="15" t="str">
        <f t="shared" si="48"/>
        <v/>
      </c>
      <c r="C496" s="16" t="str">
        <f>IFERROR(VLOOKUP(DATA!#REF!,DATA!#REF!,1,FALSE),"")</f>
        <v/>
      </c>
      <c r="D496" s="16" t="str">
        <f>IFERROR(VLOOKUP(C496,DATA!#REF!,2,FALSE),"")</f>
        <v/>
      </c>
      <c r="I496" s="17"/>
      <c r="J496" s="17"/>
      <c r="P496" s="17"/>
      <c r="Q496" s="17"/>
    </row>
    <row r="497" spans="2:17">
      <c r="B497" s="15" t="str">
        <f t="shared" si="48"/>
        <v/>
      </c>
      <c r="C497" s="16" t="str">
        <f>IFERROR(VLOOKUP(DATA!#REF!,DATA!#REF!,1,FALSE),"")</f>
        <v/>
      </c>
      <c r="D497" s="16" t="str">
        <f>IFERROR(VLOOKUP(C497,DATA!#REF!,2,FALSE),"")</f>
        <v/>
      </c>
      <c r="I497" s="17"/>
      <c r="J497" s="17"/>
      <c r="P497" s="17"/>
      <c r="Q497" s="17"/>
    </row>
    <row r="498" spans="2:17">
      <c r="B498" s="15" t="str">
        <f t="shared" si="48"/>
        <v/>
      </c>
      <c r="C498" s="16" t="str">
        <f>IFERROR(VLOOKUP(DATA!#REF!,DATA!#REF!,1,FALSE),"")</f>
        <v/>
      </c>
      <c r="D498" s="16" t="str">
        <f>IFERROR(VLOOKUP(C498,DATA!#REF!,2,FALSE),"")</f>
        <v/>
      </c>
      <c r="I498" s="17"/>
      <c r="J498" s="17"/>
      <c r="P498" s="17"/>
      <c r="Q498" s="17"/>
    </row>
    <row r="499" spans="2:17">
      <c r="B499" s="15" t="str">
        <f t="shared" si="48"/>
        <v/>
      </c>
      <c r="C499" s="16" t="str">
        <f>IFERROR(VLOOKUP(DATA!#REF!,DATA!#REF!,1,FALSE),"")</f>
        <v/>
      </c>
      <c r="D499" s="16" t="str">
        <f>IFERROR(VLOOKUP(C499,DATA!#REF!,2,FALSE),"")</f>
        <v/>
      </c>
      <c r="I499" s="17"/>
      <c r="J499" s="17"/>
      <c r="P499" s="17"/>
      <c r="Q499" s="17"/>
    </row>
    <row r="500" spans="2:17">
      <c r="B500" s="15" t="str">
        <f t="shared" si="48"/>
        <v/>
      </c>
      <c r="C500" s="16" t="str">
        <f>IFERROR(VLOOKUP(DATA!#REF!,DATA!#REF!,1,FALSE),"")</f>
        <v/>
      </c>
      <c r="D500" s="16" t="str">
        <f>IFERROR(VLOOKUP(C500,DATA!#REF!,2,FALSE),"")</f>
        <v/>
      </c>
      <c r="I500" s="17"/>
      <c r="J500" s="17"/>
      <c r="P500" s="17"/>
      <c r="Q500" s="17"/>
    </row>
    <row r="501" spans="2:17">
      <c r="B501" s="15" t="str">
        <f t="shared" si="48"/>
        <v/>
      </c>
      <c r="C501" s="16" t="str">
        <f>IFERROR(VLOOKUP(DATA!#REF!,DATA!#REF!,1,FALSE),"")</f>
        <v/>
      </c>
      <c r="D501" s="16" t="str">
        <f>IFERROR(VLOOKUP(C501,DATA!#REF!,2,FALSE),"")</f>
        <v/>
      </c>
      <c r="I501" s="17"/>
      <c r="J501" s="17"/>
      <c r="P501" s="17"/>
      <c r="Q501" s="17"/>
    </row>
    <row r="502" spans="2:17">
      <c r="B502" s="15" t="str">
        <f t="shared" si="48"/>
        <v/>
      </c>
      <c r="C502" s="16" t="str">
        <f>IFERROR(VLOOKUP(DATA!#REF!,DATA!#REF!,1,FALSE),"")</f>
        <v/>
      </c>
      <c r="D502" s="16" t="str">
        <f>IFERROR(VLOOKUP(C502,DATA!#REF!,2,FALSE),"")</f>
        <v/>
      </c>
      <c r="I502" s="17"/>
      <c r="J502" s="17"/>
      <c r="P502" s="17"/>
      <c r="Q502" s="17"/>
    </row>
    <row r="503" spans="2:17">
      <c r="B503" s="15" t="str">
        <f t="shared" ref="B503:B566" si="49">+IF(C503="","",ROW()-5)</f>
        <v/>
      </c>
      <c r="C503" s="16" t="str">
        <f>IFERROR(VLOOKUP(DATA!#REF!,DATA!#REF!,1,FALSE),"")</f>
        <v/>
      </c>
      <c r="D503" s="16" t="str">
        <f>IFERROR(VLOOKUP(C503,DATA!#REF!,2,FALSE),"")</f>
        <v/>
      </c>
      <c r="I503" s="17"/>
      <c r="J503" s="17"/>
      <c r="P503" s="17"/>
      <c r="Q503" s="17"/>
    </row>
    <row r="504" spans="2:17">
      <c r="B504" s="15" t="str">
        <f t="shared" si="49"/>
        <v/>
      </c>
      <c r="C504" s="16" t="str">
        <f>IFERROR(VLOOKUP(DATA!#REF!,DATA!#REF!,1,FALSE),"")</f>
        <v/>
      </c>
      <c r="D504" s="16" t="str">
        <f>IFERROR(VLOOKUP(C504,DATA!#REF!,2,FALSE),"")</f>
        <v/>
      </c>
      <c r="I504" s="17"/>
      <c r="J504" s="17"/>
      <c r="P504" s="17"/>
      <c r="Q504" s="17"/>
    </row>
    <row r="505" spans="2:17">
      <c r="B505" s="15" t="str">
        <f t="shared" si="49"/>
        <v/>
      </c>
      <c r="C505" s="16" t="str">
        <f>IFERROR(VLOOKUP(DATA!#REF!,DATA!#REF!,1,FALSE),"")</f>
        <v/>
      </c>
      <c r="D505" s="16" t="str">
        <f>IFERROR(VLOOKUP(C505,DATA!#REF!,2,FALSE),"")</f>
        <v/>
      </c>
      <c r="I505" s="17"/>
      <c r="J505" s="17"/>
      <c r="P505" s="17"/>
      <c r="Q505" s="17"/>
    </row>
    <row r="506" spans="2:17">
      <c r="B506" s="15" t="str">
        <f t="shared" si="49"/>
        <v/>
      </c>
      <c r="C506" s="16" t="str">
        <f>IFERROR(VLOOKUP(DATA!#REF!,DATA!#REF!,1,FALSE),"")</f>
        <v/>
      </c>
      <c r="D506" s="16" t="str">
        <f>IFERROR(VLOOKUP(C506,DATA!#REF!,2,FALSE),"")</f>
        <v/>
      </c>
      <c r="I506" s="17"/>
      <c r="J506" s="17"/>
      <c r="P506" s="17"/>
      <c r="Q506" s="17"/>
    </row>
    <row r="507" spans="2:17">
      <c r="B507" s="15" t="str">
        <f t="shared" si="49"/>
        <v/>
      </c>
      <c r="C507" s="16" t="str">
        <f>IFERROR(VLOOKUP(DATA!#REF!,DATA!#REF!,1,FALSE),"")</f>
        <v/>
      </c>
      <c r="D507" s="16" t="str">
        <f>IFERROR(VLOOKUP(C507,DATA!#REF!,2,FALSE),"")</f>
        <v/>
      </c>
      <c r="I507" s="17"/>
      <c r="J507" s="17"/>
      <c r="P507" s="17"/>
      <c r="Q507" s="17"/>
    </row>
    <row r="508" spans="2:17">
      <c r="B508" s="15" t="str">
        <f t="shared" si="49"/>
        <v/>
      </c>
      <c r="C508" s="16" t="str">
        <f>IFERROR(VLOOKUP(DATA!#REF!,DATA!#REF!,1,FALSE),"")</f>
        <v/>
      </c>
      <c r="D508" s="16" t="str">
        <f>IFERROR(VLOOKUP(C508,DATA!#REF!,2,FALSE),"")</f>
        <v/>
      </c>
      <c r="I508" s="17"/>
      <c r="J508" s="17"/>
      <c r="P508" s="17"/>
      <c r="Q508" s="17"/>
    </row>
    <row r="509" spans="2:17">
      <c r="B509" s="15" t="str">
        <f t="shared" si="49"/>
        <v/>
      </c>
      <c r="C509" s="16" t="str">
        <f>IFERROR(VLOOKUP(DATA!#REF!,DATA!#REF!,1,FALSE),"")</f>
        <v/>
      </c>
      <c r="D509" s="16" t="str">
        <f>IFERROR(VLOOKUP(C509,DATA!#REF!,2,FALSE),"")</f>
        <v/>
      </c>
      <c r="I509" s="17"/>
      <c r="J509" s="17"/>
      <c r="P509" s="17"/>
      <c r="Q509" s="17"/>
    </row>
    <row r="510" spans="2:17">
      <c r="B510" s="15" t="str">
        <f t="shared" si="49"/>
        <v/>
      </c>
      <c r="C510" s="16" t="str">
        <f>IFERROR(VLOOKUP(DATA!#REF!,DATA!#REF!,1,FALSE),"")</f>
        <v/>
      </c>
      <c r="D510" s="16" t="str">
        <f>IFERROR(VLOOKUP(C510,DATA!#REF!,2,FALSE),"")</f>
        <v/>
      </c>
      <c r="I510" s="17"/>
      <c r="J510" s="17"/>
      <c r="P510" s="17"/>
      <c r="Q510" s="17"/>
    </row>
    <row r="511" spans="2:17">
      <c r="B511" s="15" t="str">
        <f t="shared" si="49"/>
        <v/>
      </c>
      <c r="C511" s="16" t="str">
        <f>IFERROR(VLOOKUP(DATA!#REF!,DATA!#REF!,1,FALSE),"")</f>
        <v/>
      </c>
      <c r="D511" s="16" t="str">
        <f>IFERROR(VLOOKUP(C511,DATA!#REF!,2,FALSE),"")</f>
        <v/>
      </c>
      <c r="I511" s="17"/>
      <c r="J511" s="17"/>
      <c r="P511" s="17"/>
      <c r="Q511" s="17"/>
    </row>
    <row r="512" spans="2:17">
      <c r="B512" s="15" t="str">
        <f t="shared" si="49"/>
        <v/>
      </c>
      <c r="C512" s="16" t="str">
        <f>IFERROR(VLOOKUP(DATA!#REF!,DATA!#REF!,1,FALSE),"")</f>
        <v/>
      </c>
      <c r="D512" s="16" t="str">
        <f>IFERROR(VLOOKUP(C512,DATA!#REF!,2,FALSE),"")</f>
        <v/>
      </c>
      <c r="I512" s="17"/>
      <c r="J512" s="17"/>
      <c r="P512" s="17"/>
      <c r="Q512" s="17"/>
    </row>
    <row r="513" spans="2:17">
      <c r="B513" s="15" t="str">
        <f t="shared" si="49"/>
        <v/>
      </c>
      <c r="C513" s="16" t="str">
        <f>IFERROR(VLOOKUP(DATA!#REF!,DATA!#REF!,1,FALSE),"")</f>
        <v/>
      </c>
      <c r="D513" s="16" t="str">
        <f>IFERROR(VLOOKUP(C513,DATA!#REF!,2,FALSE),"")</f>
        <v/>
      </c>
      <c r="I513" s="17"/>
      <c r="J513" s="17"/>
      <c r="P513" s="17"/>
      <c r="Q513" s="17"/>
    </row>
    <row r="514" spans="2:17">
      <c r="B514" s="15" t="str">
        <f t="shared" si="49"/>
        <v/>
      </c>
      <c r="C514" s="16" t="str">
        <f>IFERROR(VLOOKUP(DATA!#REF!,DATA!#REF!,1,FALSE),"")</f>
        <v/>
      </c>
      <c r="D514" s="16" t="str">
        <f>IFERROR(VLOOKUP(C514,DATA!#REF!,2,FALSE),"")</f>
        <v/>
      </c>
      <c r="I514" s="17"/>
      <c r="J514" s="17"/>
      <c r="P514" s="17"/>
      <c r="Q514" s="17"/>
    </row>
    <row r="515" spans="2:17">
      <c r="B515" s="15" t="str">
        <f t="shared" si="49"/>
        <v/>
      </c>
      <c r="C515" s="16" t="str">
        <f>IFERROR(VLOOKUP(DATA!#REF!,DATA!#REF!,1,FALSE),"")</f>
        <v/>
      </c>
      <c r="D515" s="16" t="str">
        <f>IFERROR(VLOOKUP(C515,DATA!#REF!,2,FALSE),"")</f>
        <v/>
      </c>
      <c r="I515" s="17"/>
      <c r="J515" s="17"/>
      <c r="P515" s="17"/>
      <c r="Q515" s="17"/>
    </row>
    <row r="516" spans="2:17">
      <c r="B516" s="15" t="str">
        <f t="shared" si="49"/>
        <v/>
      </c>
      <c r="C516" s="16" t="str">
        <f>IFERROR(VLOOKUP(DATA!#REF!,DATA!#REF!,1,FALSE),"")</f>
        <v/>
      </c>
      <c r="D516" s="16" t="str">
        <f>IFERROR(VLOOKUP(C516,DATA!#REF!,2,FALSE),"")</f>
        <v/>
      </c>
      <c r="I516" s="17"/>
      <c r="J516" s="17"/>
      <c r="P516" s="17"/>
      <c r="Q516" s="17"/>
    </row>
    <row r="517" spans="2:17">
      <c r="B517" s="15" t="str">
        <f t="shared" si="49"/>
        <v/>
      </c>
      <c r="C517" s="16" t="str">
        <f>IFERROR(VLOOKUP(DATA!#REF!,DATA!#REF!,1,FALSE),"")</f>
        <v/>
      </c>
      <c r="D517" s="16" t="str">
        <f>IFERROR(VLOOKUP(C517,DATA!#REF!,2,FALSE),"")</f>
        <v/>
      </c>
      <c r="I517" s="17"/>
      <c r="J517" s="17"/>
      <c r="P517" s="17"/>
      <c r="Q517" s="17"/>
    </row>
    <row r="518" spans="2:17">
      <c r="B518" s="15" t="str">
        <f t="shared" si="49"/>
        <v/>
      </c>
      <c r="C518" s="16" t="str">
        <f>IFERROR(VLOOKUP(DATA!#REF!,DATA!#REF!,1,FALSE),"")</f>
        <v/>
      </c>
      <c r="D518" s="16" t="str">
        <f>IFERROR(VLOOKUP(C518,DATA!#REF!,2,FALSE),"")</f>
        <v/>
      </c>
      <c r="I518" s="17"/>
      <c r="J518" s="17"/>
      <c r="P518" s="17"/>
      <c r="Q518" s="17"/>
    </row>
    <row r="519" spans="2:17">
      <c r="B519" s="15" t="str">
        <f t="shared" si="49"/>
        <v/>
      </c>
      <c r="C519" s="16" t="str">
        <f>IFERROR(VLOOKUP(DATA!#REF!,DATA!#REF!,1,FALSE),"")</f>
        <v/>
      </c>
      <c r="D519" s="16" t="str">
        <f>IFERROR(VLOOKUP(C519,DATA!#REF!,2,FALSE),"")</f>
        <v/>
      </c>
      <c r="I519" s="17"/>
      <c r="J519" s="17"/>
      <c r="P519" s="17"/>
      <c r="Q519" s="17"/>
    </row>
    <row r="520" spans="2:17">
      <c r="B520" s="15" t="str">
        <f t="shared" si="49"/>
        <v/>
      </c>
      <c r="C520" s="16" t="str">
        <f>IFERROR(VLOOKUP(DATA!#REF!,DATA!#REF!,1,FALSE),"")</f>
        <v/>
      </c>
      <c r="D520" s="16" t="str">
        <f>IFERROR(VLOOKUP(C520,DATA!#REF!,2,FALSE),"")</f>
        <v/>
      </c>
      <c r="I520" s="17"/>
      <c r="J520" s="17"/>
      <c r="P520" s="17"/>
      <c r="Q520" s="17"/>
    </row>
    <row r="521" spans="2:17">
      <c r="B521" s="15" t="str">
        <f t="shared" si="49"/>
        <v/>
      </c>
      <c r="C521" s="16" t="str">
        <f>IFERROR(VLOOKUP(DATA!#REF!,DATA!#REF!,1,FALSE),"")</f>
        <v/>
      </c>
      <c r="D521" s="16" t="str">
        <f>IFERROR(VLOOKUP(C521,DATA!#REF!,2,FALSE),"")</f>
        <v/>
      </c>
      <c r="I521" s="17"/>
      <c r="J521" s="17"/>
      <c r="P521" s="17"/>
      <c r="Q521" s="17"/>
    </row>
    <row r="522" spans="2:17">
      <c r="B522" s="15" t="str">
        <f t="shared" si="49"/>
        <v/>
      </c>
      <c r="C522" s="16" t="str">
        <f>IFERROR(VLOOKUP(DATA!#REF!,DATA!#REF!,1,FALSE),"")</f>
        <v/>
      </c>
      <c r="D522" s="16" t="str">
        <f>IFERROR(VLOOKUP(C522,DATA!#REF!,2,FALSE),"")</f>
        <v/>
      </c>
      <c r="I522" s="17"/>
      <c r="J522" s="17"/>
      <c r="P522" s="17"/>
      <c r="Q522" s="17"/>
    </row>
    <row r="523" spans="2:17">
      <c r="B523" s="15" t="str">
        <f t="shared" si="49"/>
        <v/>
      </c>
      <c r="C523" s="16" t="str">
        <f>IFERROR(VLOOKUP(DATA!#REF!,DATA!#REF!,1,FALSE),"")</f>
        <v/>
      </c>
      <c r="D523" s="16" t="str">
        <f>IFERROR(VLOOKUP(C523,DATA!#REF!,2,FALSE),"")</f>
        <v/>
      </c>
      <c r="I523" s="17"/>
      <c r="J523" s="17"/>
      <c r="P523" s="17"/>
      <c r="Q523" s="17"/>
    </row>
    <row r="524" spans="2:17">
      <c r="B524" s="15" t="str">
        <f t="shared" si="49"/>
        <v/>
      </c>
      <c r="C524" s="16" t="str">
        <f>IFERROR(VLOOKUP(DATA!#REF!,DATA!#REF!,1,FALSE),"")</f>
        <v/>
      </c>
      <c r="D524" s="16" t="str">
        <f>IFERROR(VLOOKUP(C524,DATA!#REF!,2,FALSE),"")</f>
        <v/>
      </c>
      <c r="I524" s="17"/>
      <c r="J524" s="17"/>
      <c r="P524" s="17"/>
      <c r="Q524" s="17"/>
    </row>
    <row r="525" spans="2:17">
      <c r="B525" s="15" t="str">
        <f t="shared" si="49"/>
        <v/>
      </c>
      <c r="C525" s="16" t="str">
        <f>IFERROR(VLOOKUP(DATA!#REF!,DATA!#REF!,1,FALSE),"")</f>
        <v/>
      </c>
      <c r="D525" s="16" t="str">
        <f>IFERROR(VLOOKUP(C525,DATA!#REF!,2,FALSE),"")</f>
        <v/>
      </c>
      <c r="I525" s="17"/>
      <c r="J525" s="17"/>
      <c r="P525" s="17"/>
      <c r="Q525" s="17"/>
    </row>
    <row r="526" spans="2:17">
      <c r="B526" s="15" t="str">
        <f t="shared" si="49"/>
        <v/>
      </c>
      <c r="C526" s="16" t="str">
        <f>IFERROR(VLOOKUP(DATA!#REF!,DATA!#REF!,1,FALSE),"")</f>
        <v/>
      </c>
      <c r="D526" s="16" t="str">
        <f>IFERROR(VLOOKUP(C526,DATA!#REF!,2,FALSE),"")</f>
        <v/>
      </c>
      <c r="I526" s="17"/>
      <c r="J526" s="17"/>
      <c r="P526" s="17"/>
      <c r="Q526" s="17"/>
    </row>
    <row r="527" spans="2:17">
      <c r="B527" s="15" t="str">
        <f t="shared" si="49"/>
        <v/>
      </c>
      <c r="C527" s="16" t="str">
        <f>IFERROR(VLOOKUP(DATA!#REF!,DATA!#REF!,1,FALSE),"")</f>
        <v/>
      </c>
      <c r="D527" s="16" t="str">
        <f>IFERROR(VLOOKUP(C527,DATA!#REF!,2,FALSE),"")</f>
        <v/>
      </c>
      <c r="I527" s="17"/>
      <c r="J527" s="17"/>
      <c r="P527" s="17"/>
      <c r="Q527" s="17"/>
    </row>
    <row r="528" spans="2:17">
      <c r="B528" s="15" t="str">
        <f t="shared" si="49"/>
        <v/>
      </c>
      <c r="C528" s="16" t="str">
        <f>IFERROR(VLOOKUP(DATA!#REF!,DATA!#REF!,1,FALSE),"")</f>
        <v/>
      </c>
      <c r="D528" s="16" t="str">
        <f>IFERROR(VLOOKUP(C528,DATA!#REF!,2,FALSE),"")</f>
        <v/>
      </c>
      <c r="I528" s="17"/>
      <c r="J528" s="17"/>
      <c r="P528" s="17"/>
      <c r="Q528" s="17"/>
    </row>
    <row r="529" spans="2:17">
      <c r="B529" s="15" t="str">
        <f t="shared" si="49"/>
        <v/>
      </c>
      <c r="C529" s="16" t="str">
        <f>IFERROR(VLOOKUP(DATA!#REF!,DATA!#REF!,1,FALSE),"")</f>
        <v/>
      </c>
      <c r="D529" s="16" t="str">
        <f>IFERROR(VLOOKUP(C529,DATA!#REF!,2,FALSE),"")</f>
        <v/>
      </c>
      <c r="I529" s="17"/>
      <c r="J529" s="17"/>
      <c r="P529" s="17"/>
      <c r="Q529" s="17"/>
    </row>
    <row r="530" spans="2:17">
      <c r="B530" s="15" t="str">
        <f t="shared" si="49"/>
        <v/>
      </c>
      <c r="C530" s="16" t="str">
        <f>IFERROR(VLOOKUP(DATA!#REF!,DATA!#REF!,1,FALSE),"")</f>
        <v/>
      </c>
      <c r="D530" s="16" t="str">
        <f>IFERROR(VLOOKUP(C530,DATA!#REF!,2,FALSE),"")</f>
        <v/>
      </c>
      <c r="I530" s="17"/>
      <c r="J530" s="17"/>
      <c r="P530" s="17"/>
      <c r="Q530" s="17"/>
    </row>
    <row r="531" spans="2:17">
      <c r="B531" s="15" t="str">
        <f t="shared" si="49"/>
        <v/>
      </c>
      <c r="C531" s="16" t="str">
        <f>IFERROR(VLOOKUP(DATA!#REF!,DATA!#REF!,1,FALSE),"")</f>
        <v/>
      </c>
      <c r="D531" s="16" t="str">
        <f>IFERROR(VLOOKUP(C531,DATA!#REF!,2,FALSE),"")</f>
        <v/>
      </c>
      <c r="I531" s="17"/>
      <c r="J531" s="17"/>
      <c r="P531" s="17"/>
      <c r="Q531" s="17"/>
    </row>
    <row r="532" spans="2:17">
      <c r="B532" s="15" t="str">
        <f t="shared" si="49"/>
        <v/>
      </c>
      <c r="C532" s="16" t="str">
        <f>IFERROR(VLOOKUP(DATA!#REF!,DATA!#REF!,1,FALSE),"")</f>
        <v/>
      </c>
      <c r="D532" s="16" t="str">
        <f>IFERROR(VLOOKUP(C532,DATA!#REF!,2,FALSE),"")</f>
        <v/>
      </c>
      <c r="I532" s="17"/>
      <c r="J532" s="17"/>
      <c r="P532" s="17"/>
      <c r="Q532" s="17"/>
    </row>
    <row r="533" spans="2:17">
      <c r="B533" s="15" t="str">
        <f t="shared" si="49"/>
        <v/>
      </c>
      <c r="C533" s="16" t="str">
        <f>IFERROR(VLOOKUP(DATA!#REF!,DATA!#REF!,1,FALSE),"")</f>
        <v/>
      </c>
      <c r="D533" s="16" t="str">
        <f>IFERROR(VLOOKUP(C533,DATA!#REF!,2,FALSE),"")</f>
        <v/>
      </c>
      <c r="I533" s="17"/>
      <c r="J533" s="17"/>
      <c r="P533" s="17"/>
      <c r="Q533" s="17"/>
    </row>
    <row r="534" spans="2:17">
      <c r="B534" s="15" t="str">
        <f t="shared" si="49"/>
        <v/>
      </c>
      <c r="C534" s="16" t="str">
        <f>IFERROR(VLOOKUP(DATA!#REF!,DATA!#REF!,1,FALSE),"")</f>
        <v/>
      </c>
      <c r="D534" s="16" t="str">
        <f>IFERROR(VLOOKUP(C534,DATA!#REF!,2,FALSE),"")</f>
        <v/>
      </c>
      <c r="I534" s="17"/>
      <c r="J534" s="17"/>
      <c r="P534" s="17"/>
      <c r="Q534" s="17"/>
    </row>
    <row r="535" spans="2:17">
      <c r="B535" s="15" t="str">
        <f t="shared" si="49"/>
        <v/>
      </c>
      <c r="C535" s="16" t="str">
        <f>IFERROR(VLOOKUP(DATA!#REF!,DATA!#REF!,1,FALSE),"")</f>
        <v/>
      </c>
      <c r="D535" s="16" t="str">
        <f>IFERROR(VLOOKUP(C535,DATA!#REF!,2,FALSE),"")</f>
        <v/>
      </c>
      <c r="I535" s="17"/>
      <c r="J535" s="17"/>
      <c r="P535" s="17"/>
      <c r="Q535" s="17"/>
    </row>
    <row r="536" spans="2:17">
      <c r="B536" s="15" t="str">
        <f t="shared" si="49"/>
        <v/>
      </c>
      <c r="C536" s="16" t="str">
        <f>IFERROR(VLOOKUP(DATA!#REF!,DATA!#REF!,1,FALSE),"")</f>
        <v/>
      </c>
      <c r="D536" s="16" t="str">
        <f>IFERROR(VLOOKUP(C536,DATA!#REF!,2,FALSE),"")</f>
        <v/>
      </c>
      <c r="I536" s="17"/>
      <c r="J536" s="17"/>
      <c r="P536" s="17"/>
      <c r="Q536" s="17"/>
    </row>
    <row r="537" spans="2:17">
      <c r="B537" s="15" t="str">
        <f t="shared" si="49"/>
        <v/>
      </c>
      <c r="C537" s="16" t="str">
        <f>IFERROR(VLOOKUP(DATA!#REF!,DATA!#REF!,1,FALSE),"")</f>
        <v/>
      </c>
      <c r="D537" s="16" t="str">
        <f>IFERROR(VLOOKUP(C537,DATA!#REF!,2,FALSE),"")</f>
        <v/>
      </c>
      <c r="I537" s="17"/>
      <c r="J537" s="17"/>
      <c r="P537" s="17"/>
      <c r="Q537" s="17"/>
    </row>
    <row r="538" spans="2:17">
      <c r="B538" s="15" t="str">
        <f t="shared" si="49"/>
        <v/>
      </c>
      <c r="C538" s="16" t="str">
        <f>IFERROR(VLOOKUP(DATA!#REF!,DATA!#REF!,1,FALSE),"")</f>
        <v/>
      </c>
      <c r="D538" s="16" t="str">
        <f>IFERROR(VLOOKUP(C538,DATA!#REF!,2,FALSE),"")</f>
        <v/>
      </c>
      <c r="I538" s="17"/>
      <c r="J538" s="17"/>
      <c r="P538" s="17"/>
      <c r="Q538" s="17"/>
    </row>
    <row r="539" spans="2:17">
      <c r="B539" s="15" t="str">
        <f t="shared" si="49"/>
        <v/>
      </c>
      <c r="C539" s="16" t="str">
        <f>IFERROR(VLOOKUP(DATA!#REF!,DATA!#REF!,1,FALSE),"")</f>
        <v/>
      </c>
      <c r="D539" s="16" t="str">
        <f>IFERROR(VLOOKUP(C539,DATA!#REF!,2,FALSE),"")</f>
        <v/>
      </c>
      <c r="I539" s="17"/>
      <c r="J539" s="17"/>
      <c r="P539" s="17"/>
      <c r="Q539" s="17"/>
    </row>
    <row r="540" spans="2:17">
      <c r="B540" s="15" t="str">
        <f t="shared" si="49"/>
        <v/>
      </c>
      <c r="C540" s="16" t="str">
        <f>IFERROR(VLOOKUP(DATA!#REF!,DATA!#REF!,1,FALSE),"")</f>
        <v/>
      </c>
      <c r="D540" s="16" t="str">
        <f>IFERROR(VLOOKUP(C540,DATA!#REF!,2,FALSE),"")</f>
        <v/>
      </c>
      <c r="I540" s="17"/>
      <c r="J540" s="17"/>
      <c r="P540" s="17"/>
      <c r="Q540" s="17"/>
    </row>
    <row r="541" spans="2:17">
      <c r="B541" s="15" t="str">
        <f t="shared" si="49"/>
        <v/>
      </c>
      <c r="C541" s="16" t="str">
        <f>IFERROR(VLOOKUP(DATA!#REF!,DATA!#REF!,1,FALSE),"")</f>
        <v/>
      </c>
      <c r="D541" s="16" t="str">
        <f>IFERROR(VLOOKUP(C541,DATA!#REF!,2,FALSE),"")</f>
        <v/>
      </c>
      <c r="I541" s="17"/>
      <c r="J541" s="17"/>
      <c r="P541" s="17"/>
      <c r="Q541" s="17"/>
    </row>
    <row r="542" spans="2:17">
      <c r="B542" s="15" t="str">
        <f t="shared" si="49"/>
        <v/>
      </c>
      <c r="C542" s="16" t="str">
        <f>IFERROR(VLOOKUP(DATA!#REF!,DATA!#REF!,1,FALSE),"")</f>
        <v/>
      </c>
      <c r="D542" s="16" t="str">
        <f>IFERROR(VLOOKUP(C542,DATA!#REF!,2,FALSE),"")</f>
        <v/>
      </c>
      <c r="I542" s="17"/>
      <c r="J542" s="17"/>
      <c r="P542" s="17"/>
      <c r="Q542" s="17"/>
    </row>
    <row r="543" spans="2:17">
      <c r="B543" s="15" t="str">
        <f t="shared" si="49"/>
        <v/>
      </c>
      <c r="C543" s="16" t="str">
        <f>IFERROR(VLOOKUP(DATA!#REF!,DATA!#REF!,1,FALSE),"")</f>
        <v/>
      </c>
      <c r="D543" s="16" t="str">
        <f>IFERROR(VLOOKUP(C543,DATA!#REF!,2,FALSE),"")</f>
        <v/>
      </c>
      <c r="I543" s="17"/>
      <c r="J543" s="17"/>
      <c r="P543" s="17"/>
      <c r="Q543" s="17"/>
    </row>
    <row r="544" spans="2:17">
      <c r="B544" s="15" t="str">
        <f t="shared" si="49"/>
        <v/>
      </c>
      <c r="C544" s="16" t="str">
        <f>IFERROR(VLOOKUP(DATA!#REF!,DATA!#REF!,1,FALSE),"")</f>
        <v/>
      </c>
      <c r="D544" s="16" t="str">
        <f>IFERROR(VLOOKUP(C544,DATA!#REF!,2,FALSE),"")</f>
        <v/>
      </c>
      <c r="I544" s="17"/>
      <c r="J544" s="17"/>
      <c r="P544" s="17"/>
      <c r="Q544" s="17"/>
    </row>
    <row r="545" spans="2:17">
      <c r="B545" s="15" t="str">
        <f t="shared" si="49"/>
        <v/>
      </c>
      <c r="C545" s="16" t="str">
        <f>IFERROR(VLOOKUP(DATA!#REF!,DATA!#REF!,1,FALSE),"")</f>
        <v/>
      </c>
      <c r="D545" s="16" t="str">
        <f>IFERROR(VLOOKUP(C545,DATA!#REF!,2,FALSE),"")</f>
        <v/>
      </c>
      <c r="I545" s="17"/>
      <c r="J545" s="17"/>
      <c r="P545" s="17"/>
      <c r="Q545" s="17"/>
    </row>
    <row r="546" spans="2:17">
      <c r="B546" s="15" t="str">
        <f t="shared" si="49"/>
        <v/>
      </c>
      <c r="C546" s="16" t="str">
        <f>IFERROR(VLOOKUP(DATA!#REF!,DATA!#REF!,1,FALSE),"")</f>
        <v/>
      </c>
      <c r="D546" s="16" t="str">
        <f>IFERROR(VLOOKUP(C546,DATA!#REF!,2,FALSE),"")</f>
        <v/>
      </c>
      <c r="I546" s="17"/>
      <c r="J546" s="17"/>
      <c r="P546" s="17"/>
      <c r="Q546" s="17"/>
    </row>
    <row r="547" spans="2:17">
      <c r="B547" s="15" t="str">
        <f t="shared" si="49"/>
        <v/>
      </c>
      <c r="C547" s="16" t="str">
        <f>IFERROR(VLOOKUP(DATA!#REF!,DATA!#REF!,1,FALSE),"")</f>
        <v/>
      </c>
      <c r="D547" s="16" t="str">
        <f>IFERROR(VLOOKUP(C547,DATA!#REF!,2,FALSE),"")</f>
        <v/>
      </c>
      <c r="I547" s="17"/>
      <c r="J547" s="17"/>
      <c r="P547" s="17"/>
      <c r="Q547" s="17"/>
    </row>
    <row r="548" spans="2:17">
      <c r="B548" s="15" t="str">
        <f t="shared" si="49"/>
        <v/>
      </c>
      <c r="C548" s="16" t="str">
        <f>IFERROR(VLOOKUP(DATA!#REF!,DATA!#REF!,1,FALSE),"")</f>
        <v/>
      </c>
      <c r="D548" s="16" t="str">
        <f>IFERROR(VLOOKUP(C548,DATA!#REF!,2,FALSE),"")</f>
        <v/>
      </c>
      <c r="I548" s="17"/>
      <c r="J548" s="17"/>
      <c r="P548" s="17"/>
      <c r="Q548" s="17"/>
    </row>
    <row r="549" spans="2:17">
      <c r="B549" s="15" t="str">
        <f t="shared" si="49"/>
        <v/>
      </c>
      <c r="C549" s="16" t="str">
        <f>IFERROR(VLOOKUP(DATA!#REF!,DATA!#REF!,1,FALSE),"")</f>
        <v/>
      </c>
      <c r="D549" s="16" t="str">
        <f>IFERROR(VLOOKUP(C549,DATA!#REF!,2,FALSE),"")</f>
        <v/>
      </c>
      <c r="I549" s="17"/>
      <c r="J549" s="17"/>
      <c r="P549" s="17"/>
      <c r="Q549" s="17"/>
    </row>
    <row r="550" spans="2:17">
      <c r="B550" s="15" t="str">
        <f t="shared" si="49"/>
        <v/>
      </c>
      <c r="C550" s="16" t="str">
        <f>IFERROR(VLOOKUP(DATA!#REF!,DATA!#REF!,1,FALSE),"")</f>
        <v/>
      </c>
      <c r="D550" s="16" t="str">
        <f>IFERROR(VLOOKUP(C550,DATA!#REF!,2,FALSE),"")</f>
        <v/>
      </c>
      <c r="I550" s="17"/>
      <c r="J550" s="17"/>
      <c r="P550" s="17"/>
      <c r="Q550" s="17"/>
    </row>
    <row r="551" spans="2:17">
      <c r="B551" s="15" t="str">
        <f t="shared" si="49"/>
        <v/>
      </c>
      <c r="C551" s="16" t="str">
        <f>IFERROR(VLOOKUP(DATA!#REF!,DATA!#REF!,1,FALSE),"")</f>
        <v/>
      </c>
      <c r="D551" s="16" t="str">
        <f>IFERROR(VLOOKUP(C551,DATA!#REF!,2,FALSE),"")</f>
        <v/>
      </c>
      <c r="I551" s="17"/>
      <c r="J551" s="17"/>
      <c r="P551" s="17"/>
      <c r="Q551" s="17"/>
    </row>
    <row r="552" spans="2:17">
      <c r="B552" s="15" t="str">
        <f t="shared" si="49"/>
        <v/>
      </c>
      <c r="C552" s="16" t="str">
        <f>IFERROR(VLOOKUP(DATA!#REF!,DATA!#REF!,1,FALSE),"")</f>
        <v/>
      </c>
      <c r="D552" s="16" t="str">
        <f>IFERROR(VLOOKUP(C552,DATA!#REF!,2,FALSE),"")</f>
        <v/>
      </c>
      <c r="I552" s="17"/>
      <c r="J552" s="17"/>
      <c r="P552" s="17"/>
      <c r="Q552" s="17"/>
    </row>
    <row r="553" spans="2:17">
      <c r="B553" s="15" t="str">
        <f t="shared" si="49"/>
        <v/>
      </c>
      <c r="C553" s="16" t="str">
        <f>IFERROR(VLOOKUP(DATA!#REF!,DATA!#REF!,1,FALSE),"")</f>
        <v/>
      </c>
      <c r="D553" s="16" t="str">
        <f>IFERROR(VLOOKUP(C553,DATA!#REF!,2,FALSE),"")</f>
        <v/>
      </c>
      <c r="I553" s="17"/>
      <c r="J553" s="17"/>
      <c r="P553" s="17"/>
      <c r="Q553" s="17"/>
    </row>
    <row r="554" spans="2:17">
      <c r="B554" s="15" t="str">
        <f t="shared" si="49"/>
        <v/>
      </c>
      <c r="C554" s="16" t="str">
        <f>IFERROR(VLOOKUP(DATA!#REF!,DATA!#REF!,1,FALSE),"")</f>
        <v/>
      </c>
      <c r="D554" s="16" t="str">
        <f>IFERROR(VLOOKUP(C554,DATA!#REF!,2,FALSE),"")</f>
        <v/>
      </c>
      <c r="I554" s="17"/>
      <c r="J554" s="17"/>
      <c r="P554" s="17"/>
      <c r="Q554" s="17"/>
    </row>
    <row r="555" spans="2:17">
      <c r="B555" s="15" t="str">
        <f t="shared" si="49"/>
        <v/>
      </c>
      <c r="C555" s="16" t="str">
        <f>IFERROR(VLOOKUP(DATA!#REF!,DATA!#REF!,1,FALSE),"")</f>
        <v/>
      </c>
      <c r="D555" s="16" t="str">
        <f>IFERROR(VLOOKUP(C555,DATA!#REF!,2,FALSE),"")</f>
        <v/>
      </c>
      <c r="I555" s="17"/>
      <c r="J555" s="17"/>
      <c r="P555" s="17"/>
      <c r="Q555" s="17"/>
    </row>
    <row r="556" spans="2:17">
      <c r="B556" s="15" t="str">
        <f t="shared" si="49"/>
        <v/>
      </c>
      <c r="C556" s="16" t="str">
        <f>IFERROR(VLOOKUP(DATA!#REF!,DATA!#REF!,1,FALSE),"")</f>
        <v/>
      </c>
      <c r="D556" s="16" t="str">
        <f>IFERROR(VLOOKUP(C556,DATA!#REF!,2,FALSE),"")</f>
        <v/>
      </c>
      <c r="I556" s="17"/>
      <c r="J556" s="17"/>
      <c r="P556" s="17"/>
      <c r="Q556" s="17"/>
    </row>
    <row r="557" spans="2:17">
      <c r="B557" s="15" t="str">
        <f t="shared" si="49"/>
        <v/>
      </c>
      <c r="C557" s="16" t="str">
        <f>IFERROR(VLOOKUP(DATA!#REF!,DATA!#REF!,1,FALSE),"")</f>
        <v/>
      </c>
      <c r="D557" s="16" t="str">
        <f>IFERROR(VLOOKUP(C557,DATA!#REF!,2,FALSE),"")</f>
        <v/>
      </c>
      <c r="I557" s="17"/>
      <c r="J557" s="17"/>
      <c r="P557" s="17"/>
      <c r="Q557" s="17"/>
    </row>
    <row r="558" spans="2:17">
      <c r="B558" s="15" t="str">
        <f t="shared" si="49"/>
        <v/>
      </c>
      <c r="C558" s="16" t="str">
        <f>IFERROR(VLOOKUP(DATA!#REF!,DATA!#REF!,1,FALSE),"")</f>
        <v/>
      </c>
      <c r="D558" s="16" t="str">
        <f>IFERROR(VLOOKUP(C558,DATA!#REF!,2,FALSE),"")</f>
        <v/>
      </c>
      <c r="I558" s="17"/>
      <c r="J558" s="17"/>
      <c r="P558" s="17"/>
      <c r="Q558" s="17"/>
    </row>
    <row r="559" spans="2:17">
      <c r="B559" s="15" t="str">
        <f t="shared" si="49"/>
        <v/>
      </c>
      <c r="C559" s="16" t="str">
        <f>IFERROR(VLOOKUP(DATA!#REF!,DATA!#REF!,1,FALSE),"")</f>
        <v/>
      </c>
      <c r="D559" s="16" t="str">
        <f>IFERROR(VLOOKUP(C559,DATA!#REF!,2,FALSE),"")</f>
        <v/>
      </c>
      <c r="I559" s="17"/>
      <c r="J559" s="17"/>
      <c r="P559" s="17"/>
      <c r="Q559" s="17"/>
    </row>
    <row r="560" spans="2:17">
      <c r="B560" s="15" t="str">
        <f t="shared" si="49"/>
        <v/>
      </c>
      <c r="C560" s="16" t="str">
        <f>IFERROR(VLOOKUP(DATA!#REF!,DATA!#REF!,1,FALSE),"")</f>
        <v/>
      </c>
      <c r="D560" s="16" t="str">
        <f>IFERROR(VLOOKUP(C560,DATA!#REF!,2,FALSE),"")</f>
        <v/>
      </c>
      <c r="I560" s="17"/>
      <c r="J560" s="17"/>
      <c r="P560" s="17"/>
      <c r="Q560" s="17"/>
    </row>
    <row r="561" spans="2:17">
      <c r="B561" s="15" t="str">
        <f t="shared" si="49"/>
        <v/>
      </c>
      <c r="C561" s="16" t="str">
        <f>IFERROR(VLOOKUP(DATA!#REF!,DATA!#REF!,1,FALSE),"")</f>
        <v/>
      </c>
      <c r="D561" s="16" t="str">
        <f>IFERROR(VLOOKUP(C561,DATA!#REF!,2,FALSE),"")</f>
        <v/>
      </c>
      <c r="I561" s="17"/>
      <c r="J561" s="17"/>
      <c r="P561" s="17"/>
      <c r="Q561" s="17"/>
    </row>
    <row r="562" spans="2:17">
      <c r="B562" s="15" t="str">
        <f t="shared" si="49"/>
        <v/>
      </c>
      <c r="C562" s="16" t="str">
        <f>IFERROR(VLOOKUP(DATA!#REF!,DATA!#REF!,1,FALSE),"")</f>
        <v/>
      </c>
      <c r="D562" s="16" t="str">
        <f>IFERROR(VLOOKUP(C562,DATA!#REF!,2,FALSE),"")</f>
        <v/>
      </c>
      <c r="I562" s="17"/>
      <c r="J562" s="17"/>
      <c r="P562" s="17"/>
      <c r="Q562" s="17"/>
    </row>
    <row r="563" spans="2:17">
      <c r="B563" s="15" t="str">
        <f t="shared" si="49"/>
        <v/>
      </c>
      <c r="C563" s="16" t="str">
        <f>IFERROR(VLOOKUP(DATA!#REF!,DATA!#REF!,1,FALSE),"")</f>
        <v/>
      </c>
      <c r="D563" s="16" t="str">
        <f>IFERROR(VLOOKUP(C563,DATA!#REF!,2,FALSE),"")</f>
        <v/>
      </c>
      <c r="I563" s="17"/>
      <c r="J563" s="17"/>
      <c r="P563" s="17"/>
      <c r="Q563" s="17"/>
    </row>
    <row r="564" spans="2:17">
      <c r="B564" s="15" t="str">
        <f t="shared" si="49"/>
        <v/>
      </c>
      <c r="C564" s="16" t="str">
        <f>IFERROR(VLOOKUP(DATA!#REF!,DATA!#REF!,1,FALSE),"")</f>
        <v/>
      </c>
      <c r="D564" s="16" t="str">
        <f>IFERROR(VLOOKUP(C564,DATA!#REF!,2,FALSE),"")</f>
        <v/>
      </c>
      <c r="I564" s="17"/>
      <c r="J564" s="17"/>
      <c r="P564" s="17"/>
      <c r="Q564" s="17"/>
    </row>
    <row r="565" spans="2:17">
      <c r="B565" s="15" t="str">
        <f t="shared" si="49"/>
        <v/>
      </c>
      <c r="C565" s="16" t="str">
        <f>IFERROR(VLOOKUP(DATA!#REF!,DATA!#REF!,1,FALSE),"")</f>
        <v/>
      </c>
      <c r="D565" s="16" t="str">
        <f>IFERROR(VLOOKUP(C565,DATA!#REF!,2,FALSE),"")</f>
        <v/>
      </c>
      <c r="I565" s="17"/>
      <c r="J565" s="17"/>
      <c r="P565" s="17"/>
      <c r="Q565" s="17"/>
    </row>
    <row r="566" spans="2:17">
      <c r="B566" s="15" t="str">
        <f t="shared" si="49"/>
        <v/>
      </c>
      <c r="C566" s="16" t="str">
        <f>IFERROR(VLOOKUP(DATA!#REF!,DATA!#REF!,1,FALSE),"")</f>
        <v/>
      </c>
      <c r="D566" s="16" t="str">
        <f>IFERROR(VLOOKUP(C566,DATA!#REF!,2,FALSE),"")</f>
        <v/>
      </c>
      <c r="I566" s="17"/>
      <c r="J566" s="17"/>
      <c r="P566" s="17"/>
      <c r="Q566" s="17"/>
    </row>
    <row r="567" spans="2:17">
      <c r="B567" s="15" t="str">
        <f t="shared" ref="B567:B630" si="50">+IF(C567="","",ROW()-5)</f>
        <v/>
      </c>
      <c r="C567" s="16" t="str">
        <f>IFERROR(VLOOKUP(DATA!#REF!,DATA!#REF!,1,FALSE),"")</f>
        <v/>
      </c>
      <c r="D567" s="16" t="str">
        <f>IFERROR(VLOOKUP(C567,DATA!#REF!,2,FALSE),"")</f>
        <v/>
      </c>
      <c r="I567" s="17"/>
      <c r="J567" s="17"/>
      <c r="P567" s="17"/>
      <c r="Q567" s="17"/>
    </row>
    <row r="568" spans="2:17">
      <c r="B568" s="15" t="str">
        <f t="shared" si="50"/>
        <v/>
      </c>
      <c r="C568" s="16" t="str">
        <f>IFERROR(VLOOKUP(DATA!#REF!,DATA!#REF!,1,FALSE),"")</f>
        <v/>
      </c>
      <c r="D568" s="16" t="str">
        <f>IFERROR(VLOOKUP(C568,DATA!#REF!,2,FALSE),"")</f>
        <v/>
      </c>
      <c r="I568" s="17"/>
      <c r="J568" s="17"/>
      <c r="P568" s="17"/>
      <c r="Q568" s="17"/>
    </row>
    <row r="569" spans="2:17">
      <c r="B569" s="15" t="str">
        <f t="shared" si="50"/>
        <v/>
      </c>
      <c r="C569" s="16" t="str">
        <f>IFERROR(VLOOKUP(DATA!#REF!,DATA!#REF!,1,FALSE),"")</f>
        <v/>
      </c>
      <c r="D569" s="16" t="str">
        <f>IFERROR(VLOOKUP(C569,DATA!#REF!,2,FALSE),"")</f>
        <v/>
      </c>
      <c r="I569" s="17"/>
      <c r="J569" s="17"/>
      <c r="P569" s="17"/>
      <c r="Q569" s="17"/>
    </row>
    <row r="570" spans="2:17">
      <c r="B570" s="15" t="str">
        <f t="shared" si="50"/>
        <v/>
      </c>
      <c r="C570" s="16" t="str">
        <f>IFERROR(VLOOKUP(DATA!#REF!,DATA!#REF!,1,FALSE),"")</f>
        <v/>
      </c>
      <c r="D570" s="16" t="str">
        <f>IFERROR(VLOOKUP(C570,DATA!#REF!,2,FALSE),"")</f>
        <v/>
      </c>
      <c r="I570" s="17"/>
      <c r="J570" s="17"/>
      <c r="P570" s="17"/>
      <c r="Q570" s="17"/>
    </row>
    <row r="571" spans="2:17">
      <c r="B571" s="15" t="str">
        <f t="shared" si="50"/>
        <v/>
      </c>
      <c r="C571" s="16" t="str">
        <f>IFERROR(VLOOKUP(DATA!#REF!,DATA!#REF!,1,FALSE),"")</f>
        <v/>
      </c>
      <c r="D571" s="16" t="str">
        <f>IFERROR(VLOOKUP(C571,DATA!#REF!,2,FALSE),"")</f>
        <v/>
      </c>
      <c r="I571" s="17"/>
      <c r="J571" s="17"/>
      <c r="P571" s="17"/>
      <c r="Q571" s="17"/>
    </row>
    <row r="572" spans="2:17">
      <c r="B572" s="15" t="str">
        <f t="shared" si="50"/>
        <v/>
      </c>
      <c r="C572" s="16" t="str">
        <f>IFERROR(VLOOKUP(DATA!#REF!,DATA!#REF!,1,FALSE),"")</f>
        <v/>
      </c>
      <c r="D572" s="16" t="str">
        <f>IFERROR(VLOOKUP(C572,DATA!#REF!,2,FALSE),"")</f>
        <v/>
      </c>
      <c r="I572" s="17"/>
      <c r="J572" s="17"/>
      <c r="P572" s="17"/>
      <c r="Q572" s="17"/>
    </row>
    <row r="573" spans="2:17">
      <c r="B573" s="15" t="str">
        <f t="shared" si="50"/>
        <v/>
      </c>
      <c r="C573" s="16" t="str">
        <f>IFERROR(VLOOKUP(DATA!#REF!,DATA!#REF!,1,FALSE),"")</f>
        <v/>
      </c>
      <c r="D573" s="16" t="str">
        <f>IFERROR(VLOOKUP(C573,DATA!#REF!,2,FALSE),"")</f>
        <v/>
      </c>
      <c r="I573" s="17"/>
      <c r="J573" s="17"/>
      <c r="P573" s="17"/>
      <c r="Q573" s="17"/>
    </row>
    <row r="574" spans="2:17">
      <c r="B574" s="15" t="str">
        <f t="shared" si="50"/>
        <v/>
      </c>
      <c r="C574" s="16" t="str">
        <f>IFERROR(VLOOKUP(DATA!#REF!,DATA!#REF!,1,FALSE),"")</f>
        <v/>
      </c>
      <c r="D574" s="16" t="str">
        <f>IFERROR(VLOOKUP(C574,DATA!#REF!,2,FALSE),"")</f>
        <v/>
      </c>
      <c r="I574" s="17"/>
      <c r="J574" s="17"/>
      <c r="P574" s="17"/>
      <c r="Q574" s="17"/>
    </row>
    <row r="575" spans="2:17">
      <c r="B575" s="15" t="str">
        <f t="shared" si="50"/>
        <v/>
      </c>
      <c r="C575" s="16" t="str">
        <f>IFERROR(VLOOKUP(DATA!#REF!,DATA!#REF!,1,FALSE),"")</f>
        <v/>
      </c>
      <c r="D575" s="16" t="str">
        <f>IFERROR(VLOOKUP(C575,DATA!#REF!,2,FALSE),"")</f>
        <v/>
      </c>
      <c r="I575" s="17"/>
      <c r="J575" s="17"/>
      <c r="P575" s="17"/>
      <c r="Q575" s="17"/>
    </row>
    <row r="576" spans="2:17">
      <c r="B576" s="15" t="str">
        <f t="shared" si="50"/>
        <v/>
      </c>
      <c r="C576" s="16" t="str">
        <f>IFERROR(VLOOKUP(DATA!#REF!,DATA!#REF!,1,FALSE),"")</f>
        <v/>
      </c>
      <c r="D576" s="16" t="str">
        <f>IFERROR(VLOOKUP(C576,DATA!#REF!,2,FALSE),"")</f>
        <v/>
      </c>
      <c r="I576" s="17"/>
      <c r="J576" s="17"/>
      <c r="P576" s="17"/>
      <c r="Q576" s="17"/>
    </row>
    <row r="577" spans="2:17">
      <c r="B577" s="15" t="str">
        <f t="shared" si="50"/>
        <v/>
      </c>
      <c r="C577" s="16" t="str">
        <f>IFERROR(VLOOKUP(DATA!#REF!,DATA!#REF!,1,FALSE),"")</f>
        <v/>
      </c>
      <c r="D577" s="16" t="str">
        <f>IFERROR(VLOOKUP(C577,DATA!#REF!,2,FALSE),"")</f>
        <v/>
      </c>
      <c r="I577" s="17"/>
      <c r="J577" s="17"/>
      <c r="P577" s="17"/>
      <c r="Q577" s="17"/>
    </row>
    <row r="578" spans="2:17">
      <c r="B578" s="15" t="str">
        <f t="shared" si="50"/>
        <v/>
      </c>
      <c r="C578" s="16" t="str">
        <f>IFERROR(VLOOKUP(DATA!#REF!,DATA!#REF!,1,FALSE),"")</f>
        <v/>
      </c>
      <c r="D578" s="16" t="str">
        <f>IFERROR(VLOOKUP(C578,DATA!#REF!,2,FALSE),"")</f>
        <v/>
      </c>
      <c r="I578" s="17"/>
      <c r="J578" s="17"/>
      <c r="P578" s="17"/>
      <c r="Q578" s="17"/>
    </row>
    <row r="579" spans="2:17">
      <c r="B579" s="15" t="str">
        <f t="shared" si="50"/>
        <v/>
      </c>
      <c r="C579" s="16" t="str">
        <f>IFERROR(VLOOKUP(DATA!#REF!,DATA!#REF!,1,FALSE),"")</f>
        <v/>
      </c>
      <c r="D579" s="16" t="str">
        <f>IFERROR(VLOOKUP(C579,DATA!#REF!,2,FALSE),"")</f>
        <v/>
      </c>
      <c r="I579" s="17"/>
      <c r="J579" s="17"/>
      <c r="P579" s="17"/>
      <c r="Q579" s="17"/>
    </row>
    <row r="580" spans="2:17">
      <c r="B580" s="15" t="str">
        <f t="shared" si="50"/>
        <v/>
      </c>
      <c r="C580" s="16" t="str">
        <f>IFERROR(VLOOKUP(DATA!#REF!,DATA!#REF!,1,FALSE),"")</f>
        <v/>
      </c>
      <c r="D580" s="16" t="str">
        <f>IFERROR(VLOOKUP(C580,DATA!#REF!,2,FALSE),"")</f>
        <v/>
      </c>
      <c r="I580" s="17"/>
      <c r="J580" s="17"/>
      <c r="P580" s="17"/>
      <c r="Q580" s="17"/>
    </row>
    <row r="581" spans="2:17">
      <c r="B581" s="15" t="str">
        <f t="shared" si="50"/>
        <v/>
      </c>
      <c r="C581" s="16" t="str">
        <f>IFERROR(VLOOKUP(DATA!#REF!,DATA!#REF!,1,FALSE),"")</f>
        <v/>
      </c>
      <c r="D581" s="16" t="str">
        <f>IFERROR(VLOOKUP(C581,DATA!#REF!,2,FALSE),"")</f>
        <v/>
      </c>
      <c r="I581" s="17"/>
      <c r="J581" s="17"/>
      <c r="P581" s="17"/>
      <c r="Q581" s="17"/>
    </row>
    <row r="582" spans="2:17">
      <c r="B582" s="15" t="str">
        <f t="shared" si="50"/>
        <v/>
      </c>
      <c r="C582" s="16" t="str">
        <f>IFERROR(VLOOKUP(DATA!#REF!,DATA!#REF!,1,FALSE),"")</f>
        <v/>
      </c>
      <c r="D582" s="16" t="str">
        <f>IFERROR(VLOOKUP(C582,DATA!#REF!,2,FALSE),"")</f>
        <v/>
      </c>
      <c r="I582" s="17"/>
      <c r="J582" s="17"/>
      <c r="P582" s="17"/>
      <c r="Q582" s="17"/>
    </row>
    <row r="583" spans="2:17">
      <c r="B583" s="15" t="str">
        <f t="shared" si="50"/>
        <v/>
      </c>
      <c r="C583" s="16" t="str">
        <f>IFERROR(VLOOKUP(DATA!#REF!,DATA!#REF!,1,FALSE),"")</f>
        <v/>
      </c>
      <c r="D583" s="16" t="str">
        <f>IFERROR(VLOOKUP(C583,DATA!#REF!,2,FALSE),"")</f>
        <v/>
      </c>
      <c r="I583" s="17"/>
      <c r="J583" s="17"/>
      <c r="P583" s="17"/>
      <c r="Q583" s="17"/>
    </row>
    <row r="584" spans="2:17">
      <c r="B584" s="15" t="str">
        <f t="shared" si="50"/>
        <v/>
      </c>
      <c r="C584" s="16" t="str">
        <f>IFERROR(VLOOKUP(DATA!#REF!,DATA!#REF!,1,FALSE),"")</f>
        <v/>
      </c>
      <c r="D584" s="16" t="str">
        <f>IFERROR(VLOOKUP(C584,DATA!#REF!,2,FALSE),"")</f>
        <v/>
      </c>
      <c r="I584" s="17"/>
      <c r="J584" s="17"/>
      <c r="P584" s="17"/>
      <c r="Q584" s="17"/>
    </row>
    <row r="585" spans="2:17">
      <c r="B585" s="15" t="str">
        <f t="shared" si="50"/>
        <v/>
      </c>
      <c r="C585" s="16" t="str">
        <f>IFERROR(VLOOKUP(DATA!#REF!,DATA!#REF!,1,FALSE),"")</f>
        <v/>
      </c>
      <c r="D585" s="16" t="str">
        <f>IFERROR(VLOOKUP(C585,DATA!#REF!,2,FALSE),"")</f>
        <v/>
      </c>
      <c r="I585" s="17"/>
      <c r="J585" s="17"/>
      <c r="P585" s="17"/>
      <c r="Q585" s="17"/>
    </row>
    <row r="586" spans="2:17">
      <c r="B586" s="15" t="str">
        <f t="shared" si="50"/>
        <v/>
      </c>
      <c r="C586" s="16" t="str">
        <f>IFERROR(VLOOKUP(DATA!#REF!,DATA!#REF!,1,FALSE),"")</f>
        <v/>
      </c>
      <c r="D586" s="16" t="str">
        <f>IFERROR(VLOOKUP(C586,DATA!#REF!,2,FALSE),"")</f>
        <v/>
      </c>
      <c r="I586" s="17"/>
      <c r="J586" s="17"/>
      <c r="P586" s="17"/>
      <c r="Q586" s="17"/>
    </row>
    <row r="587" spans="2:17">
      <c r="B587" s="15" t="str">
        <f t="shared" si="50"/>
        <v/>
      </c>
      <c r="C587" s="16" t="str">
        <f>IFERROR(VLOOKUP(DATA!#REF!,DATA!#REF!,1,FALSE),"")</f>
        <v/>
      </c>
      <c r="D587" s="16" t="str">
        <f>IFERROR(VLOOKUP(C587,DATA!#REF!,2,FALSE),"")</f>
        <v/>
      </c>
      <c r="I587" s="17"/>
      <c r="J587" s="17"/>
      <c r="P587" s="17"/>
      <c r="Q587" s="17"/>
    </row>
    <row r="588" spans="2:17">
      <c r="B588" s="15" t="str">
        <f t="shared" si="50"/>
        <v/>
      </c>
      <c r="C588" s="16" t="str">
        <f>IFERROR(VLOOKUP(DATA!#REF!,DATA!#REF!,1,FALSE),"")</f>
        <v/>
      </c>
      <c r="D588" s="16" t="str">
        <f>IFERROR(VLOOKUP(C588,DATA!#REF!,2,FALSE),"")</f>
        <v/>
      </c>
      <c r="I588" s="17"/>
      <c r="J588" s="17"/>
      <c r="P588" s="17"/>
      <c r="Q588" s="17"/>
    </row>
    <row r="589" spans="2:17">
      <c r="B589" s="15" t="str">
        <f t="shared" si="50"/>
        <v/>
      </c>
      <c r="C589" s="16" t="str">
        <f>IFERROR(VLOOKUP(DATA!#REF!,DATA!#REF!,1,FALSE),"")</f>
        <v/>
      </c>
      <c r="D589" s="16" t="str">
        <f>IFERROR(VLOOKUP(C589,DATA!#REF!,2,FALSE),"")</f>
        <v/>
      </c>
      <c r="I589" s="17"/>
      <c r="J589" s="17"/>
      <c r="P589" s="17"/>
      <c r="Q589" s="17"/>
    </row>
    <row r="590" spans="2:17">
      <c r="B590" s="15" t="str">
        <f t="shared" si="50"/>
        <v/>
      </c>
      <c r="C590" s="16" t="str">
        <f>IFERROR(VLOOKUP(DATA!#REF!,DATA!#REF!,1,FALSE),"")</f>
        <v/>
      </c>
      <c r="D590" s="16" t="str">
        <f>IFERROR(VLOOKUP(C590,DATA!#REF!,2,FALSE),"")</f>
        <v/>
      </c>
      <c r="I590" s="17"/>
      <c r="J590" s="17"/>
      <c r="P590" s="17"/>
      <c r="Q590" s="17"/>
    </row>
    <row r="591" spans="2:17">
      <c r="B591" s="15" t="str">
        <f t="shared" si="50"/>
        <v/>
      </c>
      <c r="C591" s="16" t="str">
        <f>IFERROR(VLOOKUP(DATA!#REF!,DATA!#REF!,1,FALSE),"")</f>
        <v/>
      </c>
      <c r="D591" s="16" t="str">
        <f>IFERROR(VLOOKUP(C591,DATA!#REF!,2,FALSE),"")</f>
        <v/>
      </c>
      <c r="I591" s="17"/>
      <c r="J591" s="17"/>
      <c r="P591" s="17"/>
      <c r="Q591" s="17"/>
    </row>
    <row r="592" spans="2:17">
      <c r="B592" s="15" t="str">
        <f t="shared" si="50"/>
        <v/>
      </c>
      <c r="C592" s="16" t="str">
        <f>IFERROR(VLOOKUP(DATA!#REF!,DATA!#REF!,1,FALSE),"")</f>
        <v/>
      </c>
      <c r="D592" s="16" t="str">
        <f>IFERROR(VLOOKUP(C592,DATA!#REF!,2,FALSE),"")</f>
        <v/>
      </c>
      <c r="I592" s="17"/>
      <c r="J592" s="17"/>
      <c r="P592" s="17"/>
      <c r="Q592" s="17"/>
    </row>
    <row r="593" spans="2:17">
      <c r="B593" s="15" t="str">
        <f t="shared" si="50"/>
        <v/>
      </c>
      <c r="C593" s="16" t="str">
        <f>IFERROR(VLOOKUP(DATA!#REF!,DATA!#REF!,1,FALSE),"")</f>
        <v/>
      </c>
      <c r="D593" s="16" t="str">
        <f>IFERROR(VLOOKUP(C593,DATA!#REF!,2,FALSE),"")</f>
        <v/>
      </c>
      <c r="I593" s="17"/>
      <c r="J593" s="17"/>
      <c r="P593" s="17"/>
      <c r="Q593" s="17"/>
    </row>
    <row r="594" spans="2:17">
      <c r="B594" s="15" t="str">
        <f t="shared" si="50"/>
        <v/>
      </c>
      <c r="C594" s="16" t="str">
        <f>IFERROR(VLOOKUP(DATA!#REF!,DATA!#REF!,1,FALSE),"")</f>
        <v/>
      </c>
      <c r="D594" s="16" t="str">
        <f>IFERROR(VLOOKUP(C594,DATA!#REF!,2,FALSE),"")</f>
        <v/>
      </c>
      <c r="I594" s="17"/>
      <c r="J594" s="17"/>
      <c r="P594" s="17"/>
      <c r="Q594" s="17"/>
    </row>
    <row r="595" spans="2:17">
      <c r="B595" s="15" t="str">
        <f t="shared" si="50"/>
        <v/>
      </c>
      <c r="C595" s="16" t="str">
        <f>IFERROR(VLOOKUP(DATA!#REF!,DATA!#REF!,1,FALSE),"")</f>
        <v/>
      </c>
      <c r="D595" s="16" t="str">
        <f>IFERROR(VLOOKUP(C595,DATA!#REF!,2,FALSE),"")</f>
        <v/>
      </c>
      <c r="I595" s="17"/>
      <c r="J595" s="17"/>
      <c r="P595" s="17"/>
      <c r="Q595" s="17"/>
    </row>
    <row r="596" spans="2:17">
      <c r="B596" s="15" t="str">
        <f t="shared" si="50"/>
        <v/>
      </c>
      <c r="C596" s="16" t="str">
        <f>IFERROR(VLOOKUP(DATA!#REF!,DATA!#REF!,1,FALSE),"")</f>
        <v/>
      </c>
      <c r="D596" s="16" t="str">
        <f>IFERROR(VLOOKUP(C596,DATA!#REF!,2,FALSE),"")</f>
        <v/>
      </c>
      <c r="I596" s="17"/>
      <c r="J596" s="17"/>
      <c r="P596" s="17"/>
      <c r="Q596" s="17"/>
    </row>
    <row r="597" spans="2:17">
      <c r="B597" s="15" t="str">
        <f t="shared" si="50"/>
        <v/>
      </c>
      <c r="C597" s="16" t="str">
        <f>IFERROR(VLOOKUP(DATA!#REF!,DATA!#REF!,1,FALSE),"")</f>
        <v/>
      </c>
      <c r="D597" s="16" t="str">
        <f>IFERROR(VLOOKUP(C597,DATA!#REF!,2,FALSE),"")</f>
        <v/>
      </c>
      <c r="I597" s="17"/>
      <c r="J597" s="17"/>
      <c r="P597" s="17"/>
      <c r="Q597" s="17"/>
    </row>
    <row r="598" spans="2:17">
      <c r="B598" s="15" t="str">
        <f t="shared" si="50"/>
        <v/>
      </c>
      <c r="C598" s="16" t="str">
        <f>IFERROR(VLOOKUP(DATA!#REF!,DATA!#REF!,1,FALSE),"")</f>
        <v/>
      </c>
      <c r="D598" s="16" t="str">
        <f>IFERROR(VLOOKUP(C598,DATA!#REF!,2,FALSE),"")</f>
        <v/>
      </c>
      <c r="I598" s="17"/>
      <c r="J598" s="17"/>
      <c r="P598" s="17"/>
      <c r="Q598" s="17"/>
    </row>
    <row r="599" spans="2:17">
      <c r="B599" s="15" t="str">
        <f t="shared" si="50"/>
        <v/>
      </c>
      <c r="C599" s="16" t="str">
        <f>IFERROR(VLOOKUP(DATA!#REF!,DATA!#REF!,1,FALSE),"")</f>
        <v/>
      </c>
      <c r="D599" s="16" t="str">
        <f>IFERROR(VLOOKUP(C599,DATA!#REF!,2,FALSE),"")</f>
        <v/>
      </c>
      <c r="I599" s="17"/>
      <c r="J599" s="17"/>
      <c r="P599" s="17"/>
      <c r="Q599" s="17"/>
    </row>
    <row r="600" spans="2:17">
      <c r="B600" s="15" t="str">
        <f t="shared" si="50"/>
        <v/>
      </c>
      <c r="C600" s="16" t="str">
        <f>IFERROR(VLOOKUP(DATA!#REF!,DATA!#REF!,1,FALSE),"")</f>
        <v/>
      </c>
      <c r="D600" s="16" t="str">
        <f>IFERROR(VLOOKUP(C600,DATA!#REF!,2,FALSE),"")</f>
        <v/>
      </c>
      <c r="I600" s="17"/>
      <c r="J600" s="17"/>
      <c r="P600" s="17"/>
      <c r="Q600" s="17"/>
    </row>
    <row r="601" spans="2:17">
      <c r="B601" s="15" t="str">
        <f t="shared" si="50"/>
        <v/>
      </c>
      <c r="C601" s="16" t="str">
        <f>IFERROR(VLOOKUP(DATA!#REF!,DATA!#REF!,1,FALSE),"")</f>
        <v/>
      </c>
      <c r="D601" s="16" t="str">
        <f>IFERROR(VLOOKUP(C601,DATA!#REF!,2,FALSE),"")</f>
        <v/>
      </c>
      <c r="I601" s="17"/>
      <c r="J601" s="17"/>
      <c r="P601" s="17"/>
      <c r="Q601" s="17"/>
    </row>
    <row r="602" spans="2:17">
      <c r="B602" s="15" t="str">
        <f t="shared" si="50"/>
        <v/>
      </c>
      <c r="C602" s="16" t="str">
        <f>IFERROR(VLOOKUP(DATA!#REF!,DATA!#REF!,1,FALSE),"")</f>
        <v/>
      </c>
      <c r="D602" s="16" t="str">
        <f>IFERROR(VLOOKUP(C602,DATA!#REF!,2,FALSE),"")</f>
        <v/>
      </c>
      <c r="I602" s="17"/>
      <c r="J602" s="17"/>
      <c r="P602" s="17"/>
      <c r="Q602" s="17"/>
    </row>
    <row r="603" spans="2:17">
      <c r="B603" s="15" t="str">
        <f t="shared" si="50"/>
        <v/>
      </c>
      <c r="C603" s="16" t="str">
        <f>IFERROR(VLOOKUP(DATA!#REF!,DATA!#REF!,1,FALSE),"")</f>
        <v/>
      </c>
      <c r="D603" s="16" t="str">
        <f>IFERROR(VLOOKUP(C603,DATA!#REF!,2,FALSE),"")</f>
        <v/>
      </c>
      <c r="I603" s="17"/>
      <c r="J603" s="17"/>
      <c r="P603" s="17"/>
      <c r="Q603" s="17"/>
    </row>
    <row r="604" spans="2:17">
      <c r="B604" s="15" t="str">
        <f t="shared" si="50"/>
        <v/>
      </c>
      <c r="C604" s="16" t="str">
        <f>IFERROR(VLOOKUP(DATA!#REF!,DATA!#REF!,1,FALSE),"")</f>
        <v/>
      </c>
      <c r="D604" s="16" t="str">
        <f>IFERROR(VLOOKUP(C604,DATA!#REF!,2,FALSE),"")</f>
        <v/>
      </c>
      <c r="I604" s="17"/>
      <c r="J604" s="17"/>
      <c r="P604" s="17"/>
      <c r="Q604" s="17"/>
    </row>
    <row r="605" spans="2:17">
      <c r="B605" s="15" t="str">
        <f t="shared" si="50"/>
        <v/>
      </c>
      <c r="C605" s="16" t="str">
        <f>IFERROR(VLOOKUP(DATA!#REF!,DATA!#REF!,1,FALSE),"")</f>
        <v/>
      </c>
      <c r="D605" s="16" t="str">
        <f>IFERROR(VLOOKUP(C605,DATA!#REF!,2,FALSE),"")</f>
        <v/>
      </c>
      <c r="I605" s="17"/>
      <c r="J605" s="17"/>
      <c r="P605" s="17"/>
      <c r="Q605" s="17"/>
    </row>
    <row r="606" spans="2:17">
      <c r="B606" s="15" t="str">
        <f t="shared" si="50"/>
        <v/>
      </c>
      <c r="C606" s="16" t="str">
        <f>IFERROR(VLOOKUP(DATA!#REF!,DATA!#REF!,1,FALSE),"")</f>
        <v/>
      </c>
      <c r="D606" s="16" t="str">
        <f>IFERROR(VLOOKUP(C606,DATA!#REF!,2,FALSE),"")</f>
        <v/>
      </c>
      <c r="I606" s="17"/>
      <c r="J606" s="17"/>
      <c r="P606" s="17"/>
      <c r="Q606" s="17"/>
    </row>
    <row r="607" spans="2:17">
      <c r="B607" s="15" t="str">
        <f t="shared" si="50"/>
        <v/>
      </c>
      <c r="C607" s="16" t="str">
        <f>IFERROR(VLOOKUP(DATA!#REF!,DATA!#REF!,1,FALSE),"")</f>
        <v/>
      </c>
      <c r="D607" s="16" t="str">
        <f>IFERROR(VLOOKUP(C607,DATA!#REF!,2,FALSE),"")</f>
        <v/>
      </c>
      <c r="I607" s="17"/>
      <c r="J607" s="17"/>
      <c r="P607" s="17"/>
      <c r="Q607" s="17"/>
    </row>
    <row r="608" spans="2:17">
      <c r="B608" s="15" t="str">
        <f t="shared" si="50"/>
        <v/>
      </c>
      <c r="C608" s="16" t="str">
        <f>IFERROR(VLOOKUP(DATA!#REF!,DATA!#REF!,1,FALSE),"")</f>
        <v/>
      </c>
      <c r="D608" s="16" t="str">
        <f>IFERROR(VLOOKUP(C608,DATA!#REF!,2,FALSE),"")</f>
        <v/>
      </c>
      <c r="I608" s="17"/>
      <c r="J608" s="17"/>
      <c r="P608" s="17"/>
      <c r="Q608" s="17"/>
    </row>
    <row r="609" spans="2:17">
      <c r="B609" s="15" t="str">
        <f t="shared" si="50"/>
        <v/>
      </c>
      <c r="C609" s="16" t="str">
        <f>IFERROR(VLOOKUP(DATA!#REF!,DATA!#REF!,1,FALSE),"")</f>
        <v/>
      </c>
      <c r="D609" s="16" t="str">
        <f>IFERROR(VLOOKUP(C609,DATA!#REF!,2,FALSE),"")</f>
        <v/>
      </c>
      <c r="I609" s="17"/>
      <c r="J609" s="17"/>
      <c r="P609" s="17"/>
      <c r="Q609" s="17"/>
    </row>
    <row r="610" spans="2:17">
      <c r="B610" s="15" t="str">
        <f t="shared" si="50"/>
        <v/>
      </c>
      <c r="C610" s="16" t="str">
        <f>IFERROR(VLOOKUP(DATA!#REF!,DATA!#REF!,1,FALSE),"")</f>
        <v/>
      </c>
      <c r="D610" s="16" t="str">
        <f>IFERROR(VLOOKUP(C610,DATA!#REF!,2,FALSE),"")</f>
        <v/>
      </c>
      <c r="I610" s="17"/>
      <c r="J610" s="17"/>
      <c r="P610" s="17"/>
      <c r="Q610" s="17"/>
    </row>
    <row r="611" spans="2:17">
      <c r="B611" s="15" t="str">
        <f t="shared" si="50"/>
        <v/>
      </c>
      <c r="C611" s="16" t="str">
        <f>IFERROR(VLOOKUP(DATA!#REF!,DATA!#REF!,1,FALSE),"")</f>
        <v/>
      </c>
      <c r="D611" s="16" t="str">
        <f>IFERROR(VLOOKUP(C611,DATA!#REF!,2,FALSE),"")</f>
        <v/>
      </c>
      <c r="I611" s="17"/>
      <c r="J611" s="17"/>
      <c r="P611" s="17"/>
      <c r="Q611" s="17"/>
    </row>
    <row r="612" spans="2:17">
      <c r="B612" s="15" t="str">
        <f t="shared" si="50"/>
        <v/>
      </c>
      <c r="C612" s="16" t="str">
        <f>IFERROR(VLOOKUP(DATA!#REF!,DATA!#REF!,1,FALSE),"")</f>
        <v/>
      </c>
      <c r="D612" s="16" t="str">
        <f>IFERROR(VLOOKUP(C612,DATA!#REF!,2,FALSE),"")</f>
        <v/>
      </c>
      <c r="I612" s="17"/>
      <c r="J612" s="17"/>
      <c r="P612" s="17"/>
      <c r="Q612" s="17"/>
    </row>
    <row r="613" spans="2:17">
      <c r="B613" s="15" t="str">
        <f t="shared" si="50"/>
        <v/>
      </c>
      <c r="C613" s="16" t="str">
        <f>IFERROR(VLOOKUP(DATA!#REF!,DATA!#REF!,1,FALSE),"")</f>
        <v/>
      </c>
      <c r="D613" s="16" t="str">
        <f>IFERROR(VLOOKUP(C613,DATA!#REF!,2,FALSE),"")</f>
        <v/>
      </c>
      <c r="I613" s="17"/>
      <c r="J613" s="17"/>
      <c r="P613" s="17"/>
      <c r="Q613" s="17"/>
    </row>
    <row r="614" spans="2:17">
      <c r="B614" s="15" t="str">
        <f t="shared" si="50"/>
        <v/>
      </c>
      <c r="C614" s="16" t="str">
        <f>IFERROR(VLOOKUP(DATA!#REF!,DATA!#REF!,1,FALSE),"")</f>
        <v/>
      </c>
      <c r="D614" s="16" t="str">
        <f>IFERROR(VLOOKUP(C614,DATA!#REF!,2,FALSE),"")</f>
        <v/>
      </c>
      <c r="I614" s="17"/>
      <c r="J614" s="17"/>
      <c r="P614" s="17"/>
      <c r="Q614" s="17"/>
    </row>
    <row r="615" spans="2:17">
      <c r="B615" s="15" t="str">
        <f t="shared" si="50"/>
        <v/>
      </c>
      <c r="C615" s="16" t="str">
        <f>IFERROR(VLOOKUP(DATA!#REF!,DATA!#REF!,1,FALSE),"")</f>
        <v/>
      </c>
      <c r="D615" s="16" t="str">
        <f>IFERROR(VLOOKUP(C615,DATA!#REF!,2,FALSE),"")</f>
        <v/>
      </c>
      <c r="I615" s="17"/>
      <c r="J615" s="17"/>
      <c r="P615" s="17"/>
      <c r="Q615" s="17"/>
    </row>
    <row r="616" spans="2:17">
      <c r="B616" s="15" t="str">
        <f t="shared" si="50"/>
        <v/>
      </c>
      <c r="C616" s="16" t="str">
        <f>IFERROR(VLOOKUP(DATA!#REF!,DATA!#REF!,1,FALSE),"")</f>
        <v/>
      </c>
      <c r="D616" s="16" t="str">
        <f>IFERROR(VLOOKUP(C616,DATA!#REF!,2,FALSE),"")</f>
        <v/>
      </c>
      <c r="I616" s="17"/>
      <c r="J616" s="17"/>
      <c r="P616" s="17"/>
      <c r="Q616" s="17"/>
    </row>
    <row r="617" spans="2:17">
      <c r="B617" s="15" t="str">
        <f t="shared" si="50"/>
        <v/>
      </c>
      <c r="C617" s="16" t="str">
        <f>IFERROR(VLOOKUP(DATA!#REF!,DATA!#REF!,1,FALSE),"")</f>
        <v/>
      </c>
      <c r="D617" s="16" t="str">
        <f>IFERROR(VLOOKUP(C617,DATA!#REF!,2,FALSE),"")</f>
        <v/>
      </c>
      <c r="I617" s="17"/>
      <c r="J617" s="17"/>
      <c r="P617" s="17"/>
      <c r="Q617" s="17"/>
    </row>
    <row r="618" spans="2:17">
      <c r="B618" s="15" t="str">
        <f t="shared" si="50"/>
        <v/>
      </c>
      <c r="C618" s="16" t="str">
        <f>IFERROR(VLOOKUP(DATA!#REF!,DATA!#REF!,1,FALSE),"")</f>
        <v/>
      </c>
      <c r="D618" s="16" t="str">
        <f>IFERROR(VLOOKUP(C618,DATA!#REF!,2,FALSE),"")</f>
        <v/>
      </c>
      <c r="I618" s="17"/>
      <c r="J618" s="17"/>
      <c r="P618" s="17"/>
      <c r="Q618" s="17"/>
    </row>
    <row r="619" spans="2:17">
      <c r="B619" s="15" t="str">
        <f t="shared" si="50"/>
        <v/>
      </c>
      <c r="C619" s="16" t="str">
        <f>IFERROR(VLOOKUP(DATA!#REF!,DATA!#REF!,1,FALSE),"")</f>
        <v/>
      </c>
      <c r="D619" s="16" t="str">
        <f>IFERROR(VLOOKUP(C619,DATA!#REF!,2,FALSE),"")</f>
        <v/>
      </c>
      <c r="I619" s="17"/>
      <c r="J619" s="17"/>
      <c r="P619" s="17"/>
      <c r="Q619" s="17"/>
    </row>
    <row r="620" spans="2:17">
      <c r="B620" s="15" t="str">
        <f t="shared" si="50"/>
        <v/>
      </c>
      <c r="C620" s="16" t="str">
        <f>IFERROR(VLOOKUP(DATA!#REF!,DATA!#REF!,1,FALSE),"")</f>
        <v/>
      </c>
      <c r="D620" s="16" t="str">
        <f>IFERROR(VLOOKUP(C620,DATA!#REF!,2,FALSE),"")</f>
        <v/>
      </c>
      <c r="I620" s="17"/>
      <c r="J620" s="17"/>
      <c r="P620" s="17"/>
      <c r="Q620" s="17"/>
    </row>
    <row r="621" spans="2:17">
      <c r="B621" s="15" t="str">
        <f t="shared" si="50"/>
        <v/>
      </c>
      <c r="C621" s="16" t="str">
        <f>IFERROR(VLOOKUP(DATA!#REF!,DATA!#REF!,1,FALSE),"")</f>
        <v/>
      </c>
      <c r="D621" s="16" t="str">
        <f>IFERROR(VLOOKUP(C621,DATA!#REF!,2,FALSE),"")</f>
        <v/>
      </c>
      <c r="I621" s="17"/>
      <c r="J621" s="17"/>
      <c r="P621" s="17"/>
      <c r="Q621" s="17"/>
    </row>
    <row r="622" spans="2:17">
      <c r="B622" s="15" t="str">
        <f t="shared" si="50"/>
        <v/>
      </c>
      <c r="C622" s="16" t="str">
        <f>IFERROR(VLOOKUP(DATA!#REF!,DATA!#REF!,1,FALSE),"")</f>
        <v/>
      </c>
      <c r="D622" s="16" t="str">
        <f>IFERROR(VLOOKUP(C622,DATA!#REF!,2,FALSE),"")</f>
        <v/>
      </c>
      <c r="I622" s="17"/>
      <c r="J622" s="17"/>
      <c r="P622" s="17"/>
      <c r="Q622" s="17"/>
    </row>
    <row r="623" spans="2:17">
      <c r="B623" s="15" t="str">
        <f t="shared" si="50"/>
        <v/>
      </c>
      <c r="C623" s="16" t="str">
        <f>IFERROR(VLOOKUP(DATA!#REF!,DATA!#REF!,1,FALSE),"")</f>
        <v/>
      </c>
      <c r="D623" s="16" t="str">
        <f>IFERROR(VLOOKUP(C623,DATA!#REF!,2,FALSE),"")</f>
        <v/>
      </c>
      <c r="I623" s="17"/>
      <c r="J623" s="17"/>
      <c r="P623" s="17"/>
      <c r="Q623" s="17"/>
    </row>
    <row r="624" spans="2:17">
      <c r="B624" s="15" t="str">
        <f t="shared" si="50"/>
        <v/>
      </c>
      <c r="C624" s="16" t="str">
        <f>IFERROR(VLOOKUP(DATA!#REF!,DATA!#REF!,1,FALSE),"")</f>
        <v/>
      </c>
      <c r="D624" s="16" t="str">
        <f>IFERROR(VLOOKUP(C624,DATA!#REF!,2,FALSE),"")</f>
        <v/>
      </c>
      <c r="I624" s="17"/>
      <c r="J624" s="17"/>
      <c r="P624" s="17"/>
      <c r="Q624" s="17"/>
    </row>
    <row r="625" spans="2:17">
      <c r="B625" s="15" t="str">
        <f t="shared" si="50"/>
        <v/>
      </c>
      <c r="C625" s="16" t="str">
        <f>IFERROR(VLOOKUP(DATA!#REF!,DATA!#REF!,1,FALSE),"")</f>
        <v/>
      </c>
      <c r="D625" s="16" t="str">
        <f>IFERROR(VLOOKUP(C625,DATA!#REF!,2,FALSE),"")</f>
        <v/>
      </c>
      <c r="I625" s="17"/>
      <c r="J625" s="17"/>
      <c r="P625" s="17"/>
      <c r="Q625" s="17"/>
    </row>
    <row r="626" spans="2:17">
      <c r="B626" s="15" t="str">
        <f t="shared" si="50"/>
        <v/>
      </c>
      <c r="C626" s="16" t="str">
        <f>IFERROR(VLOOKUP(DATA!#REF!,DATA!#REF!,1,FALSE),"")</f>
        <v/>
      </c>
      <c r="D626" s="16" t="str">
        <f>IFERROR(VLOOKUP(C626,DATA!#REF!,2,FALSE),"")</f>
        <v/>
      </c>
      <c r="I626" s="17"/>
      <c r="J626" s="17"/>
      <c r="P626" s="17"/>
      <c r="Q626" s="17"/>
    </row>
    <row r="627" spans="2:17">
      <c r="B627" s="15" t="str">
        <f t="shared" si="50"/>
        <v/>
      </c>
      <c r="C627" s="16" t="str">
        <f>IFERROR(VLOOKUP(DATA!#REF!,DATA!#REF!,1,FALSE),"")</f>
        <v/>
      </c>
      <c r="D627" s="16" t="str">
        <f>IFERROR(VLOOKUP(C627,DATA!#REF!,2,FALSE),"")</f>
        <v/>
      </c>
      <c r="I627" s="17"/>
      <c r="J627" s="17"/>
      <c r="P627" s="17"/>
      <c r="Q627" s="17"/>
    </row>
    <row r="628" spans="2:17">
      <c r="B628" s="15" t="str">
        <f t="shared" si="50"/>
        <v/>
      </c>
      <c r="C628" s="16" t="str">
        <f>IFERROR(VLOOKUP(DATA!#REF!,DATA!#REF!,1,FALSE),"")</f>
        <v/>
      </c>
      <c r="D628" s="16" t="str">
        <f>IFERROR(VLOOKUP(C628,DATA!#REF!,2,FALSE),"")</f>
        <v/>
      </c>
      <c r="I628" s="17"/>
      <c r="J628" s="17"/>
      <c r="P628" s="17"/>
      <c r="Q628" s="17"/>
    </row>
    <row r="629" spans="2:17">
      <c r="B629" s="15" t="str">
        <f t="shared" si="50"/>
        <v/>
      </c>
      <c r="C629" s="16" t="str">
        <f>IFERROR(VLOOKUP(DATA!#REF!,DATA!#REF!,1,FALSE),"")</f>
        <v/>
      </c>
      <c r="D629" s="16" t="str">
        <f>IFERROR(VLOOKUP(C629,DATA!#REF!,2,FALSE),"")</f>
        <v/>
      </c>
      <c r="I629" s="17"/>
      <c r="J629" s="17"/>
      <c r="P629" s="17"/>
      <c r="Q629" s="17"/>
    </row>
    <row r="630" spans="2:17">
      <c r="B630" s="15" t="str">
        <f t="shared" si="50"/>
        <v/>
      </c>
      <c r="C630" s="16" t="str">
        <f>IFERROR(VLOOKUP(DATA!#REF!,DATA!#REF!,1,FALSE),"")</f>
        <v/>
      </c>
      <c r="D630" s="16" t="str">
        <f>IFERROR(VLOOKUP(C630,DATA!#REF!,2,FALSE),"")</f>
        <v/>
      </c>
      <c r="I630" s="17"/>
      <c r="J630" s="17"/>
      <c r="P630" s="17"/>
      <c r="Q630" s="17"/>
    </row>
    <row r="631" spans="2:17">
      <c r="B631" s="15" t="str">
        <f t="shared" ref="B631:B694" si="51">+IF(C631="","",ROW()-5)</f>
        <v/>
      </c>
      <c r="C631" s="16" t="str">
        <f>IFERROR(VLOOKUP(DATA!#REF!,DATA!#REF!,1,FALSE),"")</f>
        <v/>
      </c>
      <c r="D631" s="16" t="str">
        <f>IFERROR(VLOOKUP(C631,DATA!#REF!,2,FALSE),"")</f>
        <v/>
      </c>
      <c r="I631" s="17"/>
      <c r="J631" s="17"/>
      <c r="P631" s="17"/>
      <c r="Q631" s="17"/>
    </row>
    <row r="632" spans="2:17">
      <c r="B632" s="15" t="str">
        <f t="shared" si="51"/>
        <v/>
      </c>
      <c r="C632" s="16" t="str">
        <f>IFERROR(VLOOKUP(DATA!#REF!,DATA!#REF!,1,FALSE),"")</f>
        <v/>
      </c>
      <c r="D632" s="16" t="str">
        <f>IFERROR(VLOOKUP(C632,DATA!#REF!,2,FALSE),"")</f>
        <v/>
      </c>
      <c r="I632" s="17"/>
      <c r="J632" s="17"/>
      <c r="P632" s="17"/>
      <c r="Q632" s="17"/>
    </row>
    <row r="633" spans="2:17">
      <c r="B633" s="15" t="str">
        <f t="shared" si="51"/>
        <v/>
      </c>
      <c r="C633" s="16" t="str">
        <f>IFERROR(VLOOKUP(DATA!#REF!,DATA!#REF!,1,FALSE),"")</f>
        <v/>
      </c>
      <c r="D633" s="16" t="str">
        <f>IFERROR(VLOOKUP(C633,DATA!#REF!,2,FALSE),"")</f>
        <v/>
      </c>
      <c r="I633" s="17"/>
      <c r="J633" s="17"/>
      <c r="P633" s="17"/>
      <c r="Q633" s="17"/>
    </row>
    <row r="634" spans="2:17">
      <c r="B634" s="15" t="str">
        <f t="shared" si="51"/>
        <v/>
      </c>
      <c r="C634" s="16" t="str">
        <f>IFERROR(VLOOKUP(DATA!#REF!,DATA!#REF!,1,FALSE),"")</f>
        <v/>
      </c>
      <c r="D634" s="16" t="str">
        <f>IFERROR(VLOOKUP(C634,DATA!#REF!,2,FALSE),"")</f>
        <v/>
      </c>
      <c r="I634" s="17"/>
      <c r="J634" s="17"/>
      <c r="P634" s="17"/>
      <c r="Q634" s="17"/>
    </row>
    <row r="635" spans="2:17">
      <c r="B635" s="15" t="str">
        <f t="shared" si="51"/>
        <v/>
      </c>
      <c r="C635" s="16" t="str">
        <f>IFERROR(VLOOKUP(DATA!#REF!,DATA!#REF!,1,FALSE),"")</f>
        <v/>
      </c>
      <c r="D635" s="16" t="str">
        <f>IFERROR(VLOOKUP(C635,DATA!#REF!,2,FALSE),"")</f>
        <v/>
      </c>
      <c r="I635" s="17"/>
      <c r="J635" s="17"/>
      <c r="P635" s="17"/>
      <c r="Q635" s="17"/>
    </row>
    <row r="636" spans="2:17">
      <c r="B636" s="15" t="str">
        <f t="shared" si="51"/>
        <v/>
      </c>
      <c r="C636" s="16" t="str">
        <f>IFERROR(VLOOKUP(DATA!#REF!,DATA!#REF!,1,FALSE),"")</f>
        <v/>
      </c>
      <c r="D636" s="16" t="str">
        <f>IFERROR(VLOOKUP(C636,DATA!#REF!,2,FALSE),"")</f>
        <v/>
      </c>
      <c r="I636" s="17"/>
      <c r="J636" s="17"/>
      <c r="P636" s="17"/>
      <c r="Q636" s="17"/>
    </row>
    <row r="637" spans="2:17">
      <c r="B637" s="15" t="str">
        <f t="shared" si="51"/>
        <v/>
      </c>
      <c r="C637" s="16" t="str">
        <f>IFERROR(VLOOKUP(DATA!#REF!,DATA!#REF!,1,FALSE),"")</f>
        <v/>
      </c>
      <c r="D637" s="16" t="str">
        <f>IFERROR(VLOOKUP(C637,DATA!#REF!,2,FALSE),"")</f>
        <v/>
      </c>
      <c r="I637" s="17"/>
      <c r="J637" s="17"/>
      <c r="P637" s="17"/>
      <c r="Q637" s="17"/>
    </row>
    <row r="638" spans="2:17">
      <c r="B638" s="15" t="str">
        <f t="shared" si="51"/>
        <v/>
      </c>
      <c r="C638" s="16" t="str">
        <f>IFERROR(VLOOKUP(DATA!#REF!,DATA!#REF!,1,FALSE),"")</f>
        <v/>
      </c>
      <c r="D638" s="16" t="str">
        <f>IFERROR(VLOOKUP(C638,DATA!#REF!,2,FALSE),"")</f>
        <v/>
      </c>
      <c r="I638" s="17"/>
      <c r="J638" s="17"/>
      <c r="P638" s="17"/>
      <c r="Q638" s="17"/>
    </row>
    <row r="639" spans="2:17">
      <c r="B639" s="15" t="str">
        <f t="shared" si="51"/>
        <v/>
      </c>
      <c r="C639" s="16" t="str">
        <f>IFERROR(VLOOKUP(DATA!#REF!,DATA!#REF!,1,FALSE),"")</f>
        <v/>
      </c>
      <c r="D639" s="16" t="str">
        <f>IFERROR(VLOOKUP(C639,DATA!#REF!,2,FALSE),"")</f>
        <v/>
      </c>
      <c r="I639" s="17"/>
      <c r="J639" s="17"/>
      <c r="P639" s="17"/>
      <c r="Q639" s="17"/>
    </row>
    <row r="640" spans="2:17">
      <c r="B640" s="15" t="str">
        <f t="shared" si="51"/>
        <v/>
      </c>
      <c r="C640" s="16" t="str">
        <f>IFERROR(VLOOKUP(DATA!#REF!,DATA!#REF!,1,FALSE),"")</f>
        <v/>
      </c>
      <c r="D640" s="16" t="str">
        <f>IFERROR(VLOOKUP(C640,DATA!#REF!,2,FALSE),"")</f>
        <v/>
      </c>
      <c r="I640" s="17"/>
      <c r="J640" s="17"/>
      <c r="P640" s="17"/>
      <c r="Q640" s="17"/>
    </row>
    <row r="641" spans="2:17">
      <c r="B641" s="15" t="str">
        <f t="shared" si="51"/>
        <v/>
      </c>
      <c r="C641" s="16" t="str">
        <f>IFERROR(VLOOKUP(DATA!#REF!,DATA!#REF!,1,FALSE),"")</f>
        <v/>
      </c>
      <c r="D641" s="16" t="str">
        <f>IFERROR(VLOOKUP(C641,DATA!#REF!,2,FALSE),"")</f>
        <v/>
      </c>
      <c r="I641" s="17"/>
      <c r="J641" s="17"/>
      <c r="P641" s="17"/>
      <c r="Q641" s="17"/>
    </row>
    <row r="642" spans="2:17">
      <c r="B642" s="15" t="str">
        <f t="shared" si="51"/>
        <v/>
      </c>
      <c r="C642" s="16" t="str">
        <f>IFERROR(VLOOKUP(DATA!#REF!,DATA!#REF!,1,FALSE),"")</f>
        <v/>
      </c>
      <c r="D642" s="16" t="str">
        <f>IFERROR(VLOOKUP(C642,DATA!#REF!,2,FALSE),"")</f>
        <v/>
      </c>
      <c r="I642" s="17"/>
      <c r="J642" s="17"/>
      <c r="P642" s="17"/>
      <c r="Q642" s="17"/>
    </row>
    <row r="643" spans="2:17">
      <c r="B643" s="15" t="str">
        <f t="shared" si="51"/>
        <v/>
      </c>
      <c r="C643" s="16" t="str">
        <f>IFERROR(VLOOKUP(DATA!#REF!,DATA!#REF!,1,FALSE),"")</f>
        <v/>
      </c>
      <c r="D643" s="16" t="str">
        <f>IFERROR(VLOOKUP(C643,DATA!#REF!,2,FALSE),"")</f>
        <v/>
      </c>
      <c r="I643" s="17"/>
      <c r="J643" s="17"/>
      <c r="P643" s="17"/>
      <c r="Q643" s="17"/>
    </row>
    <row r="644" spans="2:17">
      <c r="B644" s="15" t="str">
        <f t="shared" si="51"/>
        <v/>
      </c>
      <c r="C644" s="16" t="str">
        <f>IFERROR(VLOOKUP(DATA!#REF!,DATA!#REF!,1,FALSE),"")</f>
        <v/>
      </c>
      <c r="D644" s="16" t="str">
        <f>IFERROR(VLOOKUP(C644,DATA!#REF!,2,FALSE),"")</f>
        <v/>
      </c>
      <c r="I644" s="17"/>
      <c r="J644" s="17"/>
      <c r="P644" s="17"/>
      <c r="Q644" s="17"/>
    </row>
    <row r="645" spans="2:17">
      <c r="B645" s="15" t="str">
        <f t="shared" si="51"/>
        <v/>
      </c>
      <c r="C645" s="16" t="str">
        <f>IFERROR(VLOOKUP(DATA!#REF!,DATA!#REF!,1,FALSE),"")</f>
        <v/>
      </c>
      <c r="D645" s="16" t="str">
        <f>IFERROR(VLOOKUP(C645,DATA!#REF!,2,FALSE),"")</f>
        <v/>
      </c>
      <c r="I645" s="17"/>
      <c r="J645" s="17"/>
      <c r="P645" s="17"/>
      <c r="Q645" s="17"/>
    </row>
    <row r="646" spans="2:17">
      <c r="B646" s="15" t="str">
        <f t="shared" si="51"/>
        <v/>
      </c>
      <c r="C646" s="16" t="str">
        <f>IFERROR(VLOOKUP(DATA!#REF!,DATA!#REF!,1,FALSE),"")</f>
        <v/>
      </c>
      <c r="D646" s="16" t="str">
        <f>IFERROR(VLOOKUP(C646,DATA!#REF!,2,FALSE),"")</f>
        <v/>
      </c>
      <c r="I646" s="17"/>
      <c r="J646" s="17"/>
      <c r="P646" s="17"/>
      <c r="Q646" s="17"/>
    </row>
    <row r="647" spans="2:17">
      <c r="B647" s="15" t="str">
        <f t="shared" si="51"/>
        <v/>
      </c>
      <c r="C647" s="16" t="str">
        <f>IFERROR(VLOOKUP(DATA!#REF!,DATA!#REF!,1,FALSE),"")</f>
        <v/>
      </c>
      <c r="D647" s="16" t="str">
        <f>IFERROR(VLOOKUP(C647,DATA!#REF!,2,FALSE),"")</f>
        <v/>
      </c>
      <c r="I647" s="17"/>
      <c r="J647" s="17"/>
      <c r="P647" s="17"/>
      <c r="Q647" s="17"/>
    </row>
    <row r="648" spans="2:17">
      <c r="B648" s="15" t="str">
        <f t="shared" si="51"/>
        <v/>
      </c>
      <c r="C648" s="16" t="str">
        <f>IFERROR(VLOOKUP(DATA!#REF!,DATA!#REF!,1,FALSE),"")</f>
        <v/>
      </c>
      <c r="D648" s="16" t="str">
        <f>IFERROR(VLOOKUP(C648,DATA!#REF!,2,FALSE),"")</f>
        <v/>
      </c>
      <c r="I648" s="17"/>
      <c r="J648" s="17"/>
      <c r="P648" s="17"/>
      <c r="Q648" s="17"/>
    </row>
    <row r="649" spans="2:17">
      <c r="B649" s="15" t="str">
        <f t="shared" si="51"/>
        <v/>
      </c>
      <c r="C649" s="16" t="str">
        <f>IFERROR(VLOOKUP(DATA!#REF!,DATA!#REF!,1,FALSE),"")</f>
        <v/>
      </c>
      <c r="D649" s="16" t="str">
        <f>IFERROR(VLOOKUP(C649,DATA!#REF!,2,FALSE),"")</f>
        <v/>
      </c>
      <c r="I649" s="17"/>
      <c r="J649" s="17"/>
      <c r="P649" s="17"/>
      <c r="Q649" s="17"/>
    </row>
    <row r="650" spans="2:17">
      <c r="B650" s="15" t="str">
        <f t="shared" si="51"/>
        <v/>
      </c>
      <c r="C650" s="16" t="str">
        <f>IFERROR(VLOOKUP(DATA!#REF!,DATA!#REF!,1,FALSE),"")</f>
        <v/>
      </c>
      <c r="D650" s="16" t="str">
        <f>IFERROR(VLOOKUP(C650,DATA!#REF!,2,FALSE),"")</f>
        <v/>
      </c>
      <c r="I650" s="17"/>
      <c r="J650" s="17"/>
      <c r="P650" s="17"/>
      <c r="Q650" s="17"/>
    </row>
    <row r="651" spans="2:17">
      <c r="B651" s="15" t="str">
        <f t="shared" si="51"/>
        <v/>
      </c>
      <c r="C651" s="16" t="str">
        <f>IFERROR(VLOOKUP(DATA!#REF!,DATA!#REF!,1,FALSE),"")</f>
        <v/>
      </c>
      <c r="D651" s="16" t="str">
        <f>IFERROR(VLOOKUP(C651,DATA!#REF!,2,FALSE),"")</f>
        <v/>
      </c>
      <c r="I651" s="17"/>
      <c r="J651" s="17"/>
      <c r="P651" s="17"/>
      <c r="Q651" s="17"/>
    </row>
    <row r="652" spans="2:17">
      <c r="B652" s="15" t="str">
        <f t="shared" si="51"/>
        <v/>
      </c>
      <c r="C652" s="16" t="str">
        <f>IFERROR(VLOOKUP(DATA!#REF!,DATA!#REF!,1,FALSE),"")</f>
        <v/>
      </c>
      <c r="D652" s="16" t="str">
        <f>IFERROR(VLOOKUP(C652,DATA!#REF!,2,FALSE),"")</f>
        <v/>
      </c>
      <c r="I652" s="17"/>
      <c r="J652" s="17"/>
      <c r="P652" s="17"/>
      <c r="Q652" s="17"/>
    </row>
    <row r="653" spans="2:17">
      <c r="B653" s="15" t="str">
        <f t="shared" si="51"/>
        <v/>
      </c>
      <c r="C653" s="16" t="str">
        <f>IFERROR(VLOOKUP(DATA!#REF!,DATA!#REF!,1,FALSE),"")</f>
        <v/>
      </c>
      <c r="D653" s="16" t="str">
        <f>IFERROR(VLOOKUP(C653,DATA!#REF!,2,FALSE),"")</f>
        <v/>
      </c>
      <c r="I653" s="17"/>
      <c r="J653" s="17"/>
      <c r="P653" s="17"/>
      <c r="Q653" s="17"/>
    </row>
    <row r="654" spans="2:17">
      <c r="B654" s="15" t="str">
        <f t="shared" si="51"/>
        <v/>
      </c>
      <c r="C654" s="16" t="str">
        <f>IFERROR(VLOOKUP(DATA!#REF!,DATA!#REF!,1,FALSE),"")</f>
        <v/>
      </c>
      <c r="D654" s="16" t="str">
        <f>IFERROR(VLOOKUP(C654,DATA!#REF!,2,FALSE),"")</f>
        <v/>
      </c>
      <c r="I654" s="17"/>
      <c r="J654" s="17"/>
      <c r="P654" s="17"/>
      <c r="Q654" s="17"/>
    </row>
    <row r="655" spans="2:17">
      <c r="B655" s="15" t="str">
        <f t="shared" si="51"/>
        <v/>
      </c>
      <c r="C655" s="16" t="str">
        <f>IFERROR(VLOOKUP(DATA!#REF!,DATA!#REF!,1,FALSE),"")</f>
        <v/>
      </c>
      <c r="D655" s="16" t="str">
        <f>IFERROR(VLOOKUP(C655,DATA!#REF!,2,FALSE),"")</f>
        <v/>
      </c>
      <c r="I655" s="17"/>
      <c r="J655" s="17"/>
      <c r="P655" s="17"/>
      <c r="Q655" s="17"/>
    </row>
    <row r="656" spans="2:17">
      <c r="B656" s="15" t="str">
        <f t="shared" si="51"/>
        <v/>
      </c>
      <c r="C656" s="16" t="str">
        <f>IFERROR(VLOOKUP(DATA!#REF!,DATA!#REF!,1,FALSE),"")</f>
        <v/>
      </c>
      <c r="D656" s="16" t="str">
        <f>IFERROR(VLOOKUP(C656,DATA!#REF!,2,FALSE),"")</f>
        <v/>
      </c>
      <c r="I656" s="17"/>
      <c r="J656" s="17"/>
      <c r="P656" s="17"/>
      <c r="Q656" s="17"/>
    </row>
    <row r="657" spans="2:17">
      <c r="B657" s="15" t="str">
        <f t="shared" si="51"/>
        <v/>
      </c>
      <c r="C657" s="16" t="str">
        <f>IFERROR(VLOOKUP(DATA!#REF!,DATA!#REF!,1,FALSE),"")</f>
        <v/>
      </c>
      <c r="D657" s="16" t="str">
        <f>IFERROR(VLOOKUP(C657,DATA!#REF!,2,FALSE),"")</f>
        <v/>
      </c>
      <c r="I657" s="17"/>
      <c r="J657" s="17"/>
      <c r="P657" s="17"/>
      <c r="Q657" s="17"/>
    </row>
    <row r="658" spans="2:17">
      <c r="B658" s="15" t="str">
        <f t="shared" si="51"/>
        <v/>
      </c>
      <c r="C658" s="16" t="str">
        <f>IFERROR(VLOOKUP(DATA!#REF!,DATA!#REF!,1,FALSE),"")</f>
        <v/>
      </c>
      <c r="D658" s="16" t="str">
        <f>IFERROR(VLOOKUP(C658,DATA!#REF!,2,FALSE),"")</f>
        <v/>
      </c>
      <c r="I658" s="17"/>
      <c r="J658" s="17"/>
      <c r="P658" s="17"/>
      <c r="Q658" s="17"/>
    </row>
    <row r="659" spans="2:17">
      <c r="B659" s="15" t="str">
        <f t="shared" si="51"/>
        <v/>
      </c>
      <c r="C659" s="16" t="str">
        <f>IFERROR(VLOOKUP(DATA!#REF!,DATA!#REF!,1,FALSE),"")</f>
        <v/>
      </c>
      <c r="D659" s="16" t="str">
        <f>IFERROR(VLOOKUP(C659,DATA!#REF!,2,FALSE),"")</f>
        <v/>
      </c>
      <c r="I659" s="17"/>
      <c r="J659" s="17"/>
      <c r="P659" s="17"/>
      <c r="Q659" s="17"/>
    </row>
    <row r="660" spans="2:17">
      <c r="B660" s="15" t="str">
        <f t="shared" si="51"/>
        <v/>
      </c>
      <c r="C660" s="16" t="str">
        <f>IFERROR(VLOOKUP(DATA!#REF!,DATA!#REF!,1,FALSE),"")</f>
        <v/>
      </c>
      <c r="D660" s="16" t="str">
        <f>IFERROR(VLOOKUP(C660,DATA!#REF!,2,FALSE),"")</f>
        <v/>
      </c>
      <c r="I660" s="17"/>
      <c r="J660" s="17"/>
      <c r="P660" s="17"/>
      <c r="Q660" s="17"/>
    </row>
    <row r="661" spans="2:17">
      <c r="B661" s="15" t="str">
        <f t="shared" si="51"/>
        <v/>
      </c>
      <c r="C661" s="16" t="str">
        <f>IFERROR(VLOOKUP(DATA!#REF!,DATA!#REF!,1,FALSE),"")</f>
        <v/>
      </c>
      <c r="D661" s="16" t="str">
        <f>IFERROR(VLOOKUP(C661,DATA!#REF!,2,FALSE),"")</f>
        <v/>
      </c>
      <c r="I661" s="17"/>
      <c r="J661" s="17"/>
      <c r="P661" s="17"/>
      <c r="Q661" s="17"/>
    </row>
    <row r="662" spans="2:17">
      <c r="B662" s="15" t="str">
        <f t="shared" si="51"/>
        <v/>
      </c>
      <c r="C662" s="16" t="str">
        <f>IFERROR(VLOOKUP(DATA!#REF!,DATA!#REF!,1,FALSE),"")</f>
        <v/>
      </c>
      <c r="D662" s="16" t="str">
        <f>IFERROR(VLOOKUP(C662,DATA!#REF!,2,FALSE),"")</f>
        <v/>
      </c>
      <c r="I662" s="17"/>
      <c r="J662" s="17"/>
      <c r="P662" s="17"/>
      <c r="Q662" s="17"/>
    </row>
    <row r="663" spans="2:17">
      <c r="B663" s="15" t="str">
        <f t="shared" si="51"/>
        <v/>
      </c>
      <c r="C663" s="16" t="str">
        <f>IFERROR(VLOOKUP(DATA!#REF!,DATA!#REF!,1,FALSE),"")</f>
        <v/>
      </c>
      <c r="D663" s="16" t="str">
        <f>IFERROR(VLOOKUP(C663,DATA!#REF!,2,FALSE),"")</f>
        <v/>
      </c>
      <c r="I663" s="17"/>
      <c r="J663" s="17"/>
      <c r="P663" s="17"/>
      <c r="Q663" s="17"/>
    </row>
    <row r="664" spans="2:17">
      <c r="B664" s="15" t="str">
        <f t="shared" si="51"/>
        <v/>
      </c>
      <c r="C664" s="16" t="str">
        <f>IFERROR(VLOOKUP(DATA!#REF!,DATA!#REF!,1,FALSE),"")</f>
        <v/>
      </c>
      <c r="D664" s="16" t="str">
        <f>IFERROR(VLOOKUP(C664,DATA!#REF!,2,FALSE),"")</f>
        <v/>
      </c>
      <c r="I664" s="17"/>
      <c r="J664" s="17"/>
      <c r="P664" s="17"/>
      <c r="Q664" s="17"/>
    </row>
    <row r="665" spans="2:17">
      <c r="B665" s="15" t="str">
        <f t="shared" si="51"/>
        <v/>
      </c>
      <c r="C665" s="16" t="str">
        <f>IFERROR(VLOOKUP(DATA!#REF!,DATA!#REF!,1,FALSE),"")</f>
        <v/>
      </c>
      <c r="D665" s="16" t="str">
        <f>IFERROR(VLOOKUP(C665,DATA!#REF!,2,FALSE),"")</f>
        <v/>
      </c>
      <c r="I665" s="17"/>
      <c r="J665" s="17"/>
      <c r="P665" s="17"/>
      <c r="Q665" s="17"/>
    </row>
    <row r="666" spans="2:17">
      <c r="B666" s="15" t="str">
        <f t="shared" si="51"/>
        <v/>
      </c>
      <c r="C666" s="16" t="str">
        <f>IFERROR(VLOOKUP(DATA!#REF!,DATA!#REF!,1,FALSE),"")</f>
        <v/>
      </c>
      <c r="D666" s="16" t="str">
        <f>IFERROR(VLOOKUP(C666,DATA!#REF!,2,FALSE),"")</f>
        <v/>
      </c>
      <c r="I666" s="17"/>
      <c r="J666" s="17"/>
      <c r="P666" s="17"/>
      <c r="Q666" s="17"/>
    </row>
    <row r="667" spans="2:17">
      <c r="B667" s="15" t="str">
        <f t="shared" si="51"/>
        <v/>
      </c>
      <c r="C667" s="16" t="str">
        <f>IFERROR(VLOOKUP(DATA!#REF!,DATA!#REF!,1,FALSE),"")</f>
        <v/>
      </c>
      <c r="D667" s="16" t="str">
        <f>IFERROR(VLOOKUP(C667,DATA!#REF!,2,FALSE),"")</f>
        <v/>
      </c>
      <c r="I667" s="17"/>
      <c r="J667" s="17"/>
      <c r="P667" s="17"/>
      <c r="Q667" s="17"/>
    </row>
    <row r="668" spans="2:17">
      <c r="B668" s="15" t="str">
        <f t="shared" si="51"/>
        <v/>
      </c>
      <c r="C668" s="16" t="str">
        <f>IFERROR(VLOOKUP(DATA!#REF!,DATA!#REF!,1,FALSE),"")</f>
        <v/>
      </c>
      <c r="D668" s="16" t="str">
        <f>IFERROR(VLOOKUP(C668,DATA!#REF!,2,FALSE),"")</f>
        <v/>
      </c>
      <c r="I668" s="17"/>
      <c r="J668" s="17"/>
      <c r="P668" s="17"/>
      <c r="Q668" s="17"/>
    </row>
    <row r="669" spans="2:17">
      <c r="B669" s="15" t="str">
        <f t="shared" si="51"/>
        <v/>
      </c>
      <c r="C669" s="16" t="str">
        <f>IFERROR(VLOOKUP(DATA!#REF!,DATA!#REF!,1,FALSE),"")</f>
        <v/>
      </c>
      <c r="D669" s="16" t="str">
        <f>IFERROR(VLOOKUP(C669,DATA!#REF!,2,FALSE),"")</f>
        <v/>
      </c>
      <c r="I669" s="17"/>
      <c r="J669" s="17"/>
      <c r="P669" s="17"/>
      <c r="Q669" s="17"/>
    </row>
    <row r="670" spans="2:17">
      <c r="B670" s="15" t="str">
        <f t="shared" si="51"/>
        <v/>
      </c>
      <c r="C670" s="16" t="str">
        <f>IFERROR(VLOOKUP(DATA!#REF!,DATA!#REF!,1,FALSE),"")</f>
        <v/>
      </c>
      <c r="D670" s="16" t="str">
        <f>IFERROR(VLOOKUP(C670,DATA!#REF!,2,FALSE),"")</f>
        <v/>
      </c>
      <c r="I670" s="17"/>
      <c r="J670" s="17"/>
      <c r="P670" s="17"/>
      <c r="Q670" s="17"/>
    </row>
    <row r="671" spans="2:17">
      <c r="B671" s="15" t="str">
        <f t="shared" si="51"/>
        <v/>
      </c>
      <c r="C671" s="16" t="str">
        <f>IFERROR(VLOOKUP(DATA!#REF!,DATA!#REF!,1,FALSE),"")</f>
        <v/>
      </c>
      <c r="D671" s="16" t="str">
        <f>IFERROR(VLOOKUP(C671,DATA!#REF!,2,FALSE),"")</f>
        <v/>
      </c>
      <c r="I671" s="17"/>
      <c r="J671" s="17"/>
      <c r="P671" s="17"/>
      <c r="Q671" s="17"/>
    </row>
    <row r="672" spans="2:17">
      <c r="B672" s="15" t="str">
        <f t="shared" si="51"/>
        <v/>
      </c>
      <c r="C672" s="16" t="str">
        <f>IFERROR(VLOOKUP(DATA!#REF!,DATA!#REF!,1,FALSE),"")</f>
        <v/>
      </c>
      <c r="D672" s="16" t="str">
        <f>IFERROR(VLOOKUP(C672,DATA!#REF!,2,FALSE),"")</f>
        <v/>
      </c>
      <c r="I672" s="17"/>
      <c r="J672" s="17"/>
      <c r="P672" s="17"/>
      <c r="Q672" s="17"/>
    </row>
    <row r="673" spans="2:17">
      <c r="B673" s="15" t="str">
        <f t="shared" si="51"/>
        <v/>
      </c>
      <c r="C673" s="16" t="str">
        <f>IFERROR(VLOOKUP(DATA!#REF!,DATA!#REF!,1,FALSE),"")</f>
        <v/>
      </c>
      <c r="D673" s="16" t="str">
        <f>IFERROR(VLOOKUP(C673,DATA!#REF!,2,FALSE),"")</f>
        <v/>
      </c>
      <c r="I673" s="17"/>
      <c r="J673" s="17"/>
      <c r="P673" s="17"/>
      <c r="Q673" s="17"/>
    </row>
    <row r="674" spans="2:17">
      <c r="B674" s="15" t="str">
        <f t="shared" si="51"/>
        <v/>
      </c>
      <c r="C674" s="16" t="str">
        <f>IFERROR(VLOOKUP(DATA!#REF!,DATA!#REF!,1,FALSE),"")</f>
        <v/>
      </c>
      <c r="D674" s="16" t="str">
        <f>IFERROR(VLOOKUP(C674,DATA!#REF!,2,FALSE),"")</f>
        <v/>
      </c>
      <c r="I674" s="17"/>
      <c r="J674" s="17"/>
      <c r="P674" s="17"/>
      <c r="Q674" s="17"/>
    </row>
    <row r="675" spans="2:17">
      <c r="B675" s="15" t="str">
        <f t="shared" si="51"/>
        <v/>
      </c>
      <c r="C675" s="16" t="str">
        <f>IFERROR(VLOOKUP(DATA!#REF!,DATA!#REF!,1,FALSE),"")</f>
        <v/>
      </c>
      <c r="D675" s="16" t="str">
        <f>IFERROR(VLOOKUP(C675,DATA!#REF!,2,FALSE),"")</f>
        <v/>
      </c>
      <c r="I675" s="17"/>
      <c r="J675" s="17"/>
      <c r="P675" s="17"/>
      <c r="Q675" s="17"/>
    </row>
    <row r="676" spans="2:17">
      <c r="B676" s="15" t="str">
        <f t="shared" si="51"/>
        <v/>
      </c>
      <c r="C676" s="16" t="str">
        <f>IFERROR(VLOOKUP(DATA!#REF!,DATA!#REF!,1,FALSE),"")</f>
        <v/>
      </c>
      <c r="D676" s="16" t="str">
        <f>IFERROR(VLOOKUP(C676,DATA!#REF!,2,FALSE),"")</f>
        <v/>
      </c>
      <c r="I676" s="17"/>
      <c r="J676" s="17"/>
      <c r="P676" s="17"/>
      <c r="Q676" s="17"/>
    </row>
    <row r="677" spans="2:17">
      <c r="B677" s="15" t="str">
        <f t="shared" si="51"/>
        <v/>
      </c>
      <c r="C677" s="16" t="str">
        <f>IFERROR(VLOOKUP(DATA!#REF!,DATA!#REF!,1,FALSE),"")</f>
        <v/>
      </c>
      <c r="D677" s="16" t="str">
        <f>IFERROR(VLOOKUP(C677,DATA!#REF!,2,FALSE),"")</f>
        <v/>
      </c>
      <c r="I677" s="17"/>
      <c r="J677" s="17"/>
      <c r="P677" s="17"/>
      <c r="Q677" s="17"/>
    </row>
    <row r="678" spans="2:17">
      <c r="B678" s="15" t="str">
        <f t="shared" si="51"/>
        <v/>
      </c>
      <c r="C678" s="16" t="str">
        <f>IFERROR(VLOOKUP(DATA!#REF!,DATA!#REF!,1,FALSE),"")</f>
        <v/>
      </c>
      <c r="D678" s="16" t="str">
        <f>IFERROR(VLOOKUP(C678,DATA!#REF!,2,FALSE),"")</f>
        <v/>
      </c>
      <c r="I678" s="17"/>
      <c r="J678" s="17"/>
      <c r="P678" s="17"/>
      <c r="Q678" s="17"/>
    </row>
    <row r="679" spans="2:17">
      <c r="B679" s="15" t="str">
        <f t="shared" si="51"/>
        <v/>
      </c>
      <c r="C679" s="16" t="str">
        <f>IFERROR(VLOOKUP(DATA!#REF!,DATA!#REF!,1,FALSE),"")</f>
        <v/>
      </c>
      <c r="D679" s="16" t="str">
        <f>IFERROR(VLOOKUP(C679,DATA!#REF!,2,FALSE),"")</f>
        <v/>
      </c>
      <c r="I679" s="17"/>
      <c r="J679" s="17"/>
      <c r="P679" s="17"/>
      <c r="Q679" s="17"/>
    </row>
    <row r="680" spans="2:17">
      <c r="B680" s="15" t="str">
        <f t="shared" si="51"/>
        <v/>
      </c>
      <c r="C680" s="16" t="str">
        <f>IFERROR(VLOOKUP(DATA!#REF!,DATA!#REF!,1,FALSE),"")</f>
        <v/>
      </c>
      <c r="D680" s="16" t="str">
        <f>IFERROR(VLOOKUP(C680,DATA!#REF!,2,FALSE),"")</f>
        <v/>
      </c>
      <c r="I680" s="17"/>
      <c r="J680" s="17"/>
      <c r="P680" s="17"/>
      <c r="Q680" s="17"/>
    </row>
    <row r="681" spans="2:17">
      <c r="B681" s="15" t="str">
        <f t="shared" si="51"/>
        <v/>
      </c>
      <c r="C681" s="16" t="str">
        <f>IFERROR(VLOOKUP(DATA!#REF!,DATA!#REF!,1,FALSE),"")</f>
        <v/>
      </c>
      <c r="D681" s="16" t="str">
        <f>IFERROR(VLOOKUP(C681,DATA!#REF!,2,FALSE),"")</f>
        <v/>
      </c>
      <c r="I681" s="17"/>
      <c r="J681" s="17"/>
      <c r="P681" s="17"/>
      <c r="Q681" s="17"/>
    </row>
    <row r="682" spans="2:17">
      <c r="B682" s="15" t="str">
        <f t="shared" si="51"/>
        <v/>
      </c>
      <c r="C682" s="16" t="str">
        <f>IFERROR(VLOOKUP(DATA!#REF!,DATA!#REF!,1,FALSE),"")</f>
        <v/>
      </c>
      <c r="D682" s="16" t="str">
        <f>IFERROR(VLOOKUP(C682,DATA!#REF!,2,FALSE),"")</f>
        <v/>
      </c>
      <c r="I682" s="17"/>
      <c r="J682" s="17"/>
      <c r="P682" s="17"/>
      <c r="Q682" s="17"/>
    </row>
    <row r="683" spans="2:17">
      <c r="B683" s="15" t="str">
        <f t="shared" si="51"/>
        <v/>
      </c>
      <c r="C683" s="16" t="str">
        <f>IFERROR(VLOOKUP(DATA!#REF!,DATA!#REF!,1,FALSE),"")</f>
        <v/>
      </c>
      <c r="D683" s="16" t="str">
        <f>IFERROR(VLOOKUP(C683,DATA!#REF!,2,FALSE),"")</f>
        <v/>
      </c>
      <c r="I683" s="17"/>
      <c r="J683" s="17"/>
      <c r="P683" s="17"/>
      <c r="Q683" s="17"/>
    </row>
    <row r="684" spans="2:17">
      <c r="B684" s="15" t="str">
        <f t="shared" si="51"/>
        <v/>
      </c>
      <c r="C684" s="16" t="str">
        <f>IFERROR(VLOOKUP(DATA!#REF!,DATA!#REF!,1,FALSE),"")</f>
        <v/>
      </c>
      <c r="D684" s="16" t="str">
        <f>IFERROR(VLOOKUP(C684,DATA!#REF!,2,FALSE),"")</f>
        <v/>
      </c>
      <c r="I684" s="17"/>
      <c r="J684" s="17"/>
      <c r="P684" s="17"/>
      <c r="Q684" s="17"/>
    </row>
    <row r="685" spans="2:17">
      <c r="B685" s="15" t="str">
        <f t="shared" si="51"/>
        <v/>
      </c>
      <c r="C685" s="16" t="str">
        <f>IFERROR(VLOOKUP(DATA!#REF!,DATA!#REF!,1,FALSE),"")</f>
        <v/>
      </c>
      <c r="D685" s="16" t="str">
        <f>IFERROR(VLOOKUP(C685,DATA!#REF!,2,FALSE),"")</f>
        <v/>
      </c>
      <c r="I685" s="17"/>
      <c r="J685" s="17"/>
      <c r="P685" s="17"/>
      <c r="Q685" s="17"/>
    </row>
    <row r="686" spans="2:17">
      <c r="B686" s="15" t="str">
        <f t="shared" si="51"/>
        <v/>
      </c>
      <c r="C686" s="16" t="str">
        <f>IFERROR(VLOOKUP(DATA!#REF!,DATA!#REF!,1,FALSE),"")</f>
        <v/>
      </c>
      <c r="D686" s="16" t="str">
        <f>IFERROR(VLOOKUP(C686,DATA!#REF!,2,FALSE),"")</f>
        <v/>
      </c>
      <c r="I686" s="17"/>
      <c r="J686" s="17"/>
      <c r="P686" s="17"/>
      <c r="Q686" s="17"/>
    </row>
    <row r="687" spans="2:17">
      <c r="B687" s="15" t="str">
        <f t="shared" si="51"/>
        <v/>
      </c>
      <c r="C687" s="16" t="str">
        <f>IFERROR(VLOOKUP(DATA!#REF!,DATA!#REF!,1,FALSE),"")</f>
        <v/>
      </c>
      <c r="D687" s="16" t="str">
        <f>IFERROR(VLOOKUP(C687,DATA!#REF!,2,FALSE),"")</f>
        <v/>
      </c>
      <c r="I687" s="17"/>
      <c r="J687" s="17"/>
      <c r="P687" s="17"/>
      <c r="Q687" s="17"/>
    </row>
    <row r="688" spans="2:17">
      <c r="B688" s="15" t="str">
        <f t="shared" si="51"/>
        <v/>
      </c>
      <c r="C688" s="16" t="str">
        <f>IFERROR(VLOOKUP(DATA!#REF!,DATA!#REF!,1,FALSE),"")</f>
        <v/>
      </c>
      <c r="D688" s="16" t="str">
        <f>IFERROR(VLOOKUP(C688,DATA!#REF!,2,FALSE),"")</f>
        <v/>
      </c>
      <c r="I688" s="17"/>
      <c r="J688" s="17"/>
      <c r="P688" s="17"/>
      <c r="Q688" s="17"/>
    </row>
    <row r="689" spans="2:17">
      <c r="B689" s="15" t="str">
        <f t="shared" si="51"/>
        <v/>
      </c>
      <c r="C689" s="16" t="str">
        <f>IFERROR(VLOOKUP(DATA!#REF!,DATA!#REF!,1,FALSE),"")</f>
        <v/>
      </c>
      <c r="D689" s="16" t="str">
        <f>IFERROR(VLOOKUP(C689,DATA!#REF!,2,FALSE),"")</f>
        <v/>
      </c>
      <c r="I689" s="17"/>
      <c r="J689" s="17"/>
      <c r="P689" s="17"/>
      <c r="Q689" s="17"/>
    </row>
    <row r="690" spans="2:17">
      <c r="B690" s="15" t="str">
        <f t="shared" si="51"/>
        <v/>
      </c>
      <c r="C690" s="16" t="str">
        <f>IFERROR(VLOOKUP(DATA!#REF!,DATA!#REF!,1,FALSE),"")</f>
        <v/>
      </c>
      <c r="D690" s="16" t="str">
        <f>IFERROR(VLOOKUP(C690,DATA!#REF!,2,FALSE),"")</f>
        <v/>
      </c>
      <c r="I690" s="17"/>
      <c r="J690" s="17"/>
      <c r="P690" s="17"/>
      <c r="Q690" s="17"/>
    </row>
    <row r="691" spans="2:17">
      <c r="B691" s="15" t="str">
        <f t="shared" si="51"/>
        <v/>
      </c>
      <c r="C691" s="16" t="str">
        <f>IFERROR(VLOOKUP(DATA!#REF!,DATA!#REF!,1,FALSE),"")</f>
        <v/>
      </c>
      <c r="D691" s="16" t="str">
        <f>IFERROR(VLOOKUP(C691,DATA!#REF!,2,FALSE),"")</f>
        <v/>
      </c>
      <c r="I691" s="17"/>
      <c r="J691" s="17"/>
      <c r="P691" s="17"/>
      <c r="Q691" s="17"/>
    </row>
    <row r="692" spans="2:17">
      <c r="B692" s="15" t="str">
        <f t="shared" si="51"/>
        <v/>
      </c>
      <c r="C692" s="16" t="str">
        <f>IFERROR(VLOOKUP(DATA!#REF!,DATA!#REF!,1,FALSE),"")</f>
        <v/>
      </c>
      <c r="D692" s="16" t="str">
        <f>IFERROR(VLOOKUP(C692,DATA!#REF!,2,FALSE),"")</f>
        <v/>
      </c>
      <c r="I692" s="17"/>
      <c r="J692" s="17"/>
      <c r="P692" s="17"/>
      <c r="Q692" s="17"/>
    </row>
    <row r="693" spans="2:17">
      <c r="B693" s="15" t="str">
        <f t="shared" si="51"/>
        <v/>
      </c>
      <c r="C693" s="16" t="str">
        <f>IFERROR(VLOOKUP(DATA!#REF!,DATA!#REF!,1,FALSE),"")</f>
        <v/>
      </c>
      <c r="D693" s="16" t="str">
        <f>IFERROR(VLOOKUP(C693,DATA!#REF!,2,FALSE),"")</f>
        <v/>
      </c>
      <c r="I693" s="17"/>
      <c r="J693" s="17"/>
      <c r="P693" s="17"/>
      <c r="Q693" s="17"/>
    </row>
    <row r="694" spans="2:17">
      <c r="B694" s="15" t="str">
        <f t="shared" si="51"/>
        <v/>
      </c>
      <c r="C694" s="16" t="str">
        <f>IFERROR(VLOOKUP(DATA!#REF!,DATA!#REF!,1,FALSE),"")</f>
        <v/>
      </c>
      <c r="D694" s="16" t="str">
        <f>IFERROR(VLOOKUP(C694,DATA!#REF!,2,FALSE),"")</f>
        <v/>
      </c>
      <c r="I694" s="17"/>
      <c r="J694" s="17"/>
      <c r="P694" s="17"/>
      <c r="Q694" s="17"/>
    </row>
    <row r="695" spans="2:17">
      <c r="B695" s="15" t="str">
        <f t="shared" ref="B695:B758" si="52">+IF(C695="","",ROW()-5)</f>
        <v/>
      </c>
      <c r="C695" s="16" t="str">
        <f>IFERROR(VLOOKUP(DATA!#REF!,DATA!#REF!,1,FALSE),"")</f>
        <v/>
      </c>
      <c r="D695" s="16" t="str">
        <f>IFERROR(VLOOKUP(C695,DATA!#REF!,2,FALSE),"")</f>
        <v/>
      </c>
      <c r="I695" s="17"/>
      <c r="J695" s="17"/>
      <c r="P695" s="17"/>
      <c r="Q695" s="17"/>
    </row>
    <row r="696" spans="2:17">
      <c r="B696" s="15" t="str">
        <f t="shared" si="52"/>
        <v/>
      </c>
      <c r="C696" s="16" t="str">
        <f>IFERROR(VLOOKUP(DATA!#REF!,DATA!#REF!,1,FALSE),"")</f>
        <v/>
      </c>
      <c r="D696" s="16" t="str">
        <f>IFERROR(VLOOKUP(C696,DATA!#REF!,2,FALSE),"")</f>
        <v/>
      </c>
      <c r="I696" s="17"/>
      <c r="J696" s="17"/>
      <c r="P696" s="17"/>
      <c r="Q696" s="17"/>
    </row>
    <row r="697" spans="2:17">
      <c r="B697" s="15" t="str">
        <f t="shared" si="52"/>
        <v/>
      </c>
      <c r="C697" s="16" t="str">
        <f>IFERROR(VLOOKUP(DATA!#REF!,DATA!#REF!,1,FALSE),"")</f>
        <v/>
      </c>
      <c r="D697" s="16" t="str">
        <f>IFERROR(VLOOKUP(C697,DATA!#REF!,2,FALSE),"")</f>
        <v/>
      </c>
      <c r="I697" s="17"/>
      <c r="J697" s="17"/>
      <c r="P697" s="17"/>
      <c r="Q697" s="17"/>
    </row>
    <row r="698" spans="2:17">
      <c r="B698" s="15" t="str">
        <f t="shared" si="52"/>
        <v/>
      </c>
      <c r="C698" s="16" t="str">
        <f>IFERROR(VLOOKUP(DATA!#REF!,DATA!#REF!,1,FALSE),"")</f>
        <v/>
      </c>
      <c r="D698" s="16" t="str">
        <f>IFERROR(VLOOKUP(C698,DATA!#REF!,2,FALSE),"")</f>
        <v/>
      </c>
      <c r="I698" s="17"/>
      <c r="J698" s="17"/>
      <c r="P698" s="17"/>
      <c r="Q698" s="17"/>
    </row>
    <row r="699" spans="2:17">
      <c r="B699" s="15" t="str">
        <f t="shared" si="52"/>
        <v/>
      </c>
      <c r="C699" s="16" t="str">
        <f>IFERROR(VLOOKUP(DATA!#REF!,DATA!#REF!,1,FALSE),"")</f>
        <v/>
      </c>
      <c r="D699" s="16" t="str">
        <f>IFERROR(VLOOKUP(C699,DATA!#REF!,2,FALSE),"")</f>
        <v/>
      </c>
      <c r="I699" s="17"/>
      <c r="J699" s="17"/>
      <c r="P699" s="17"/>
      <c r="Q699" s="17"/>
    </row>
    <row r="700" spans="2:17">
      <c r="B700" s="15" t="str">
        <f t="shared" si="52"/>
        <v/>
      </c>
      <c r="C700" s="16" t="str">
        <f>IFERROR(VLOOKUP(DATA!#REF!,DATA!#REF!,1,FALSE),"")</f>
        <v/>
      </c>
      <c r="D700" s="16" t="str">
        <f>IFERROR(VLOOKUP(C700,DATA!#REF!,2,FALSE),"")</f>
        <v/>
      </c>
      <c r="I700" s="17"/>
      <c r="J700" s="17"/>
      <c r="P700" s="17"/>
      <c r="Q700" s="17"/>
    </row>
    <row r="701" spans="2:17">
      <c r="B701" s="15" t="str">
        <f t="shared" si="52"/>
        <v/>
      </c>
      <c r="C701" s="16" t="str">
        <f>IFERROR(VLOOKUP(DATA!#REF!,DATA!#REF!,1,FALSE),"")</f>
        <v/>
      </c>
      <c r="D701" s="16" t="str">
        <f>IFERROR(VLOOKUP(C701,DATA!#REF!,2,FALSE),"")</f>
        <v/>
      </c>
      <c r="I701" s="17"/>
      <c r="J701" s="17"/>
      <c r="P701" s="17"/>
      <c r="Q701" s="17"/>
    </row>
    <row r="702" spans="2:17">
      <c r="B702" s="15" t="str">
        <f t="shared" si="52"/>
        <v/>
      </c>
      <c r="C702" s="16" t="str">
        <f>IFERROR(VLOOKUP(DATA!#REF!,DATA!#REF!,1,FALSE),"")</f>
        <v/>
      </c>
      <c r="D702" s="16" t="str">
        <f>IFERROR(VLOOKUP(C702,DATA!#REF!,2,FALSE),"")</f>
        <v/>
      </c>
      <c r="I702" s="17"/>
      <c r="J702" s="17"/>
      <c r="P702" s="17"/>
      <c r="Q702" s="17"/>
    </row>
    <row r="703" spans="2:17">
      <c r="B703" s="15" t="str">
        <f t="shared" si="52"/>
        <v/>
      </c>
      <c r="C703" s="16" t="str">
        <f>IFERROR(VLOOKUP(DATA!#REF!,DATA!#REF!,1,FALSE),"")</f>
        <v/>
      </c>
      <c r="D703" s="16" t="str">
        <f>IFERROR(VLOOKUP(C703,DATA!#REF!,2,FALSE),"")</f>
        <v/>
      </c>
      <c r="I703" s="17"/>
      <c r="J703" s="17"/>
      <c r="P703" s="17"/>
      <c r="Q703" s="17"/>
    </row>
    <row r="704" spans="2:17">
      <c r="B704" s="15" t="str">
        <f t="shared" si="52"/>
        <v/>
      </c>
      <c r="C704" s="16" t="str">
        <f>IFERROR(VLOOKUP(DATA!#REF!,DATA!#REF!,1,FALSE),"")</f>
        <v/>
      </c>
      <c r="D704" s="16" t="str">
        <f>IFERROR(VLOOKUP(C704,DATA!#REF!,2,FALSE),"")</f>
        <v/>
      </c>
      <c r="I704" s="17"/>
      <c r="J704" s="17"/>
      <c r="P704" s="17"/>
      <c r="Q704" s="17"/>
    </row>
    <row r="705" spans="2:17">
      <c r="B705" s="15" t="str">
        <f t="shared" si="52"/>
        <v/>
      </c>
      <c r="C705" s="16" t="str">
        <f>IFERROR(VLOOKUP(DATA!#REF!,DATA!#REF!,1,FALSE),"")</f>
        <v/>
      </c>
      <c r="D705" s="16" t="str">
        <f>IFERROR(VLOOKUP(C705,DATA!#REF!,2,FALSE),"")</f>
        <v/>
      </c>
      <c r="I705" s="17"/>
      <c r="J705" s="17"/>
      <c r="P705" s="17"/>
      <c r="Q705" s="17"/>
    </row>
    <row r="706" spans="2:17">
      <c r="B706" s="15" t="str">
        <f t="shared" si="52"/>
        <v/>
      </c>
      <c r="C706" s="16" t="str">
        <f>IFERROR(VLOOKUP(DATA!#REF!,DATA!#REF!,1,FALSE),"")</f>
        <v/>
      </c>
      <c r="D706" s="16" t="str">
        <f>IFERROR(VLOOKUP(C706,DATA!#REF!,2,FALSE),"")</f>
        <v/>
      </c>
      <c r="I706" s="17"/>
      <c r="J706" s="17"/>
      <c r="P706" s="17"/>
      <c r="Q706" s="17"/>
    </row>
    <row r="707" spans="2:17">
      <c r="B707" s="15" t="str">
        <f t="shared" si="52"/>
        <v/>
      </c>
      <c r="C707" s="16" t="str">
        <f>IFERROR(VLOOKUP(DATA!#REF!,DATA!#REF!,1,FALSE),"")</f>
        <v/>
      </c>
      <c r="D707" s="16" t="str">
        <f>IFERROR(VLOOKUP(C707,DATA!#REF!,2,FALSE),"")</f>
        <v/>
      </c>
      <c r="I707" s="17"/>
      <c r="J707" s="17"/>
      <c r="P707" s="17"/>
      <c r="Q707" s="17"/>
    </row>
    <row r="708" spans="2:17">
      <c r="B708" s="15" t="str">
        <f t="shared" si="52"/>
        <v/>
      </c>
      <c r="C708" s="16" t="str">
        <f>IFERROR(VLOOKUP(DATA!#REF!,DATA!#REF!,1,FALSE),"")</f>
        <v/>
      </c>
      <c r="D708" s="16" t="str">
        <f>IFERROR(VLOOKUP(C708,DATA!#REF!,2,FALSE),"")</f>
        <v/>
      </c>
      <c r="I708" s="17"/>
      <c r="J708" s="17"/>
      <c r="P708" s="17"/>
      <c r="Q708" s="17"/>
    </row>
    <row r="709" spans="2:17">
      <c r="B709" s="15" t="str">
        <f t="shared" si="52"/>
        <v/>
      </c>
      <c r="C709" s="16" t="str">
        <f>IFERROR(VLOOKUP(DATA!#REF!,DATA!#REF!,1,FALSE),"")</f>
        <v/>
      </c>
      <c r="D709" s="16" t="str">
        <f>IFERROR(VLOOKUP(C709,DATA!#REF!,2,FALSE),"")</f>
        <v/>
      </c>
      <c r="I709" s="17"/>
      <c r="J709" s="17"/>
      <c r="P709" s="17"/>
      <c r="Q709" s="17"/>
    </row>
    <row r="710" spans="2:17">
      <c r="B710" s="15" t="str">
        <f t="shared" si="52"/>
        <v/>
      </c>
      <c r="C710" s="16" t="str">
        <f>IFERROR(VLOOKUP(DATA!#REF!,DATA!#REF!,1,FALSE),"")</f>
        <v/>
      </c>
      <c r="D710" s="16" t="str">
        <f>IFERROR(VLOOKUP(C710,DATA!#REF!,2,FALSE),"")</f>
        <v/>
      </c>
      <c r="I710" s="17"/>
      <c r="J710" s="17"/>
      <c r="P710" s="17"/>
      <c r="Q710" s="17"/>
    </row>
    <row r="711" spans="2:17">
      <c r="B711" s="15" t="str">
        <f t="shared" si="52"/>
        <v/>
      </c>
      <c r="C711" s="16" t="str">
        <f>IFERROR(VLOOKUP(DATA!#REF!,DATA!#REF!,1,FALSE),"")</f>
        <v/>
      </c>
      <c r="D711" s="16" t="str">
        <f>IFERROR(VLOOKUP(C711,DATA!#REF!,2,FALSE),"")</f>
        <v/>
      </c>
      <c r="I711" s="17"/>
      <c r="J711" s="17"/>
      <c r="P711" s="17"/>
      <c r="Q711" s="17"/>
    </row>
    <row r="712" spans="2:17">
      <c r="B712" s="15" t="str">
        <f t="shared" si="52"/>
        <v/>
      </c>
      <c r="C712" s="16" t="str">
        <f>IFERROR(VLOOKUP(DATA!#REF!,DATA!#REF!,1,FALSE),"")</f>
        <v/>
      </c>
      <c r="D712" s="16" t="str">
        <f>IFERROR(VLOOKUP(C712,DATA!#REF!,2,FALSE),"")</f>
        <v/>
      </c>
      <c r="I712" s="17"/>
      <c r="J712" s="17"/>
      <c r="P712" s="17"/>
      <c r="Q712" s="17"/>
    </row>
    <row r="713" spans="2:17">
      <c r="B713" s="15" t="str">
        <f t="shared" si="52"/>
        <v/>
      </c>
      <c r="C713" s="16" t="str">
        <f>IFERROR(VLOOKUP(DATA!#REF!,DATA!#REF!,1,FALSE),"")</f>
        <v/>
      </c>
      <c r="D713" s="16" t="str">
        <f>IFERROR(VLOOKUP(C713,DATA!#REF!,2,FALSE),"")</f>
        <v/>
      </c>
      <c r="I713" s="17"/>
      <c r="J713" s="17"/>
      <c r="P713" s="17"/>
      <c r="Q713" s="17"/>
    </row>
    <row r="714" spans="2:17">
      <c r="B714" s="15" t="str">
        <f t="shared" si="52"/>
        <v/>
      </c>
      <c r="C714" s="16" t="str">
        <f>IFERROR(VLOOKUP(DATA!#REF!,DATA!#REF!,1,FALSE),"")</f>
        <v/>
      </c>
      <c r="D714" s="16" t="str">
        <f>IFERROR(VLOOKUP(C714,DATA!#REF!,2,FALSE),"")</f>
        <v/>
      </c>
      <c r="I714" s="17"/>
      <c r="J714" s="17"/>
      <c r="P714" s="17"/>
      <c r="Q714" s="17"/>
    </row>
    <row r="715" spans="2:17">
      <c r="B715" s="15" t="str">
        <f t="shared" si="52"/>
        <v/>
      </c>
      <c r="C715" s="16" t="str">
        <f>IFERROR(VLOOKUP(DATA!#REF!,DATA!#REF!,1,FALSE),"")</f>
        <v/>
      </c>
      <c r="D715" s="16" t="str">
        <f>IFERROR(VLOOKUP(C715,DATA!#REF!,2,FALSE),"")</f>
        <v/>
      </c>
      <c r="I715" s="17"/>
      <c r="J715" s="17"/>
      <c r="P715" s="17"/>
      <c r="Q715" s="17"/>
    </row>
    <row r="716" spans="2:17">
      <c r="B716" s="15" t="str">
        <f t="shared" si="52"/>
        <v/>
      </c>
      <c r="C716" s="16" t="str">
        <f>IFERROR(VLOOKUP(DATA!#REF!,DATA!#REF!,1,FALSE),"")</f>
        <v/>
      </c>
      <c r="D716" s="16" t="str">
        <f>IFERROR(VLOOKUP(C716,DATA!#REF!,2,FALSE),"")</f>
        <v/>
      </c>
      <c r="I716" s="17"/>
      <c r="J716" s="17"/>
      <c r="P716" s="17"/>
      <c r="Q716" s="17"/>
    </row>
    <row r="717" spans="2:17">
      <c r="B717" s="15" t="str">
        <f t="shared" si="52"/>
        <v/>
      </c>
      <c r="C717" s="16" t="str">
        <f>IFERROR(VLOOKUP(DATA!#REF!,DATA!#REF!,1,FALSE),"")</f>
        <v/>
      </c>
      <c r="D717" s="16" t="str">
        <f>IFERROR(VLOOKUP(C717,DATA!#REF!,2,FALSE),"")</f>
        <v/>
      </c>
      <c r="I717" s="17"/>
      <c r="J717" s="17"/>
      <c r="P717" s="17"/>
      <c r="Q717" s="17"/>
    </row>
    <row r="718" spans="2:17">
      <c r="B718" s="15" t="str">
        <f t="shared" si="52"/>
        <v/>
      </c>
      <c r="C718" s="16" t="str">
        <f>IFERROR(VLOOKUP(DATA!#REF!,DATA!#REF!,1,FALSE),"")</f>
        <v/>
      </c>
      <c r="D718" s="16" t="str">
        <f>IFERROR(VLOOKUP(C718,DATA!#REF!,2,FALSE),"")</f>
        <v/>
      </c>
      <c r="I718" s="17"/>
      <c r="J718" s="17"/>
      <c r="P718" s="17"/>
      <c r="Q718" s="17"/>
    </row>
    <row r="719" spans="2:17">
      <c r="B719" s="15" t="str">
        <f t="shared" si="52"/>
        <v/>
      </c>
      <c r="C719" s="16" t="str">
        <f>IFERROR(VLOOKUP(DATA!#REF!,DATA!#REF!,1,FALSE),"")</f>
        <v/>
      </c>
      <c r="D719" s="16" t="str">
        <f>IFERROR(VLOOKUP(C719,DATA!#REF!,2,FALSE),"")</f>
        <v/>
      </c>
      <c r="I719" s="17"/>
      <c r="J719" s="17"/>
      <c r="P719" s="17"/>
      <c r="Q719" s="17"/>
    </row>
    <row r="720" spans="2:17">
      <c r="B720" s="15" t="str">
        <f t="shared" si="52"/>
        <v/>
      </c>
      <c r="C720" s="16" t="str">
        <f>IFERROR(VLOOKUP(DATA!#REF!,DATA!#REF!,1,FALSE),"")</f>
        <v/>
      </c>
      <c r="D720" s="16" t="str">
        <f>IFERROR(VLOOKUP(C720,DATA!#REF!,2,FALSE),"")</f>
        <v/>
      </c>
      <c r="I720" s="17"/>
      <c r="J720" s="17"/>
      <c r="P720" s="17"/>
      <c r="Q720" s="17"/>
    </row>
    <row r="721" spans="2:17">
      <c r="B721" s="15" t="str">
        <f t="shared" si="52"/>
        <v/>
      </c>
      <c r="C721" s="16" t="str">
        <f>IFERROR(VLOOKUP(DATA!#REF!,DATA!#REF!,1,FALSE),"")</f>
        <v/>
      </c>
      <c r="D721" s="16" t="str">
        <f>IFERROR(VLOOKUP(C721,DATA!#REF!,2,FALSE),"")</f>
        <v/>
      </c>
      <c r="I721" s="17"/>
      <c r="J721" s="17"/>
      <c r="P721" s="17"/>
      <c r="Q721" s="17"/>
    </row>
    <row r="722" spans="2:17">
      <c r="B722" s="15" t="str">
        <f t="shared" si="52"/>
        <v/>
      </c>
      <c r="C722" s="16" t="str">
        <f>IFERROR(VLOOKUP(DATA!#REF!,DATA!#REF!,1,FALSE),"")</f>
        <v/>
      </c>
      <c r="D722" s="16" t="str">
        <f>IFERROR(VLOOKUP(C722,DATA!#REF!,2,FALSE),"")</f>
        <v/>
      </c>
      <c r="I722" s="17"/>
      <c r="J722" s="17"/>
      <c r="P722" s="17"/>
      <c r="Q722" s="17"/>
    </row>
    <row r="723" spans="2:17">
      <c r="B723" s="15" t="str">
        <f t="shared" si="52"/>
        <v/>
      </c>
      <c r="C723" s="16" t="str">
        <f>IFERROR(VLOOKUP(DATA!#REF!,DATA!#REF!,1,FALSE),"")</f>
        <v/>
      </c>
      <c r="D723" s="16" t="str">
        <f>IFERROR(VLOOKUP(C723,DATA!#REF!,2,FALSE),"")</f>
        <v/>
      </c>
      <c r="I723" s="17"/>
      <c r="J723" s="17"/>
      <c r="P723" s="17"/>
      <c r="Q723" s="17"/>
    </row>
    <row r="724" spans="2:17">
      <c r="B724" s="15" t="str">
        <f t="shared" si="52"/>
        <v/>
      </c>
      <c r="C724" s="16" t="str">
        <f>IFERROR(VLOOKUP(DATA!#REF!,DATA!#REF!,1,FALSE),"")</f>
        <v/>
      </c>
      <c r="D724" s="16" t="str">
        <f>IFERROR(VLOOKUP(C724,DATA!#REF!,2,FALSE),"")</f>
        <v/>
      </c>
      <c r="I724" s="17"/>
      <c r="J724" s="17"/>
      <c r="P724" s="17"/>
      <c r="Q724" s="17"/>
    </row>
    <row r="725" spans="2:17">
      <c r="B725" s="15" t="str">
        <f t="shared" si="52"/>
        <v/>
      </c>
      <c r="C725" s="16" t="str">
        <f>IFERROR(VLOOKUP(DATA!#REF!,DATA!#REF!,1,FALSE),"")</f>
        <v/>
      </c>
      <c r="D725" s="16" t="str">
        <f>IFERROR(VLOOKUP(C725,DATA!#REF!,2,FALSE),"")</f>
        <v/>
      </c>
      <c r="I725" s="17"/>
      <c r="J725" s="17"/>
      <c r="P725" s="17"/>
      <c r="Q725" s="17"/>
    </row>
    <row r="726" spans="2:17">
      <c r="B726" s="15" t="str">
        <f t="shared" si="52"/>
        <v/>
      </c>
      <c r="C726" s="16" t="str">
        <f>IFERROR(VLOOKUP(DATA!#REF!,DATA!#REF!,1,FALSE),"")</f>
        <v/>
      </c>
      <c r="D726" s="16" t="str">
        <f>IFERROR(VLOOKUP(C726,DATA!#REF!,2,FALSE),"")</f>
        <v/>
      </c>
      <c r="I726" s="17"/>
      <c r="J726" s="17"/>
      <c r="P726" s="17"/>
      <c r="Q726" s="17"/>
    </row>
    <row r="727" spans="2:17">
      <c r="B727" s="15" t="str">
        <f t="shared" si="52"/>
        <v/>
      </c>
      <c r="C727" s="16" t="str">
        <f>IFERROR(VLOOKUP(DATA!#REF!,DATA!#REF!,1,FALSE),"")</f>
        <v/>
      </c>
      <c r="D727" s="16" t="str">
        <f>IFERROR(VLOOKUP(C727,DATA!#REF!,2,FALSE),"")</f>
        <v/>
      </c>
      <c r="I727" s="17"/>
      <c r="J727" s="17"/>
      <c r="P727" s="17"/>
      <c r="Q727" s="17"/>
    </row>
    <row r="728" spans="2:17">
      <c r="B728" s="15" t="str">
        <f t="shared" si="52"/>
        <v/>
      </c>
      <c r="C728" s="16" t="str">
        <f>IFERROR(VLOOKUP(DATA!#REF!,DATA!#REF!,1,FALSE),"")</f>
        <v/>
      </c>
      <c r="D728" s="16" t="str">
        <f>IFERROR(VLOOKUP(C728,DATA!#REF!,2,FALSE),"")</f>
        <v/>
      </c>
      <c r="I728" s="17"/>
      <c r="J728" s="17"/>
      <c r="P728" s="17"/>
      <c r="Q728" s="17"/>
    </row>
    <row r="729" spans="2:17">
      <c r="B729" s="15" t="str">
        <f t="shared" si="52"/>
        <v/>
      </c>
      <c r="C729" s="16" t="str">
        <f>IFERROR(VLOOKUP(DATA!#REF!,DATA!#REF!,1,FALSE),"")</f>
        <v/>
      </c>
      <c r="D729" s="16" t="str">
        <f>IFERROR(VLOOKUP(C729,DATA!#REF!,2,FALSE),"")</f>
        <v/>
      </c>
      <c r="I729" s="17"/>
      <c r="J729" s="17"/>
      <c r="P729" s="17"/>
      <c r="Q729" s="17"/>
    </row>
    <row r="730" spans="2:17">
      <c r="B730" s="15" t="str">
        <f t="shared" si="52"/>
        <v/>
      </c>
      <c r="C730" s="16" t="str">
        <f>IFERROR(VLOOKUP(DATA!#REF!,DATA!#REF!,1,FALSE),"")</f>
        <v/>
      </c>
      <c r="D730" s="16" t="str">
        <f>IFERROR(VLOOKUP(C730,DATA!#REF!,2,FALSE),"")</f>
        <v/>
      </c>
      <c r="I730" s="17"/>
      <c r="J730" s="17"/>
      <c r="P730" s="17"/>
      <c r="Q730" s="17"/>
    </row>
    <row r="731" spans="2:17">
      <c r="B731" s="15" t="str">
        <f t="shared" si="52"/>
        <v/>
      </c>
      <c r="C731" s="16" t="str">
        <f>IFERROR(VLOOKUP(DATA!#REF!,DATA!#REF!,1,FALSE),"")</f>
        <v/>
      </c>
      <c r="D731" s="16" t="str">
        <f>IFERROR(VLOOKUP(C731,DATA!#REF!,2,FALSE),"")</f>
        <v/>
      </c>
      <c r="I731" s="17"/>
      <c r="J731" s="17"/>
      <c r="P731" s="17"/>
      <c r="Q731" s="17"/>
    </row>
    <row r="732" spans="2:17">
      <c r="B732" s="15" t="str">
        <f t="shared" si="52"/>
        <v/>
      </c>
      <c r="C732" s="16" t="str">
        <f>IFERROR(VLOOKUP(DATA!#REF!,DATA!#REF!,1,FALSE),"")</f>
        <v/>
      </c>
      <c r="D732" s="16" t="str">
        <f>IFERROR(VLOOKUP(C732,DATA!#REF!,2,FALSE),"")</f>
        <v/>
      </c>
      <c r="I732" s="17"/>
      <c r="J732" s="17"/>
      <c r="P732" s="17"/>
      <c r="Q732" s="17"/>
    </row>
    <row r="733" spans="2:17">
      <c r="B733" s="15" t="str">
        <f t="shared" si="52"/>
        <v/>
      </c>
      <c r="C733" s="16" t="str">
        <f>IFERROR(VLOOKUP(DATA!#REF!,DATA!#REF!,1,FALSE),"")</f>
        <v/>
      </c>
      <c r="D733" s="16" t="str">
        <f>IFERROR(VLOOKUP(C733,DATA!#REF!,2,FALSE),"")</f>
        <v/>
      </c>
      <c r="I733" s="17"/>
      <c r="J733" s="17"/>
      <c r="P733" s="17"/>
      <c r="Q733" s="17"/>
    </row>
    <row r="734" spans="2:17">
      <c r="B734" s="15" t="str">
        <f t="shared" si="52"/>
        <v/>
      </c>
      <c r="C734" s="16" t="str">
        <f>IFERROR(VLOOKUP(DATA!#REF!,DATA!#REF!,1,FALSE),"")</f>
        <v/>
      </c>
      <c r="D734" s="16" t="str">
        <f>IFERROR(VLOOKUP(C734,DATA!#REF!,2,FALSE),"")</f>
        <v/>
      </c>
      <c r="I734" s="17"/>
      <c r="J734" s="17"/>
      <c r="P734" s="17"/>
      <c r="Q734" s="17"/>
    </row>
    <row r="735" spans="2:17">
      <c r="B735" s="15" t="str">
        <f t="shared" si="52"/>
        <v/>
      </c>
      <c r="C735" s="16" t="str">
        <f>IFERROR(VLOOKUP(DATA!#REF!,DATA!#REF!,1,FALSE),"")</f>
        <v/>
      </c>
      <c r="D735" s="16" t="str">
        <f>IFERROR(VLOOKUP(C735,DATA!#REF!,2,FALSE),"")</f>
        <v/>
      </c>
      <c r="I735" s="17"/>
      <c r="J735" s="17"/>
      <c r="P735" s="17"/>
      <c r="Q735" s="17"/>
    </row>
    <row r="736" spans="2:17">
      <c r="B736" s="15" t="str">
        <f t="shared" si="52"/>
        <v/>
      </c>
      <c r="C736" s="16" t="str">
        <f>IFERROR(VLOOKUP(DATA!#REF!,DATA!#REF!,1,FALSE),"")</f>
        <v/>
      </c>
      <c r="D736" s="16" t="str">
        <f>IFERROR(VLOOKUP(C736,DATA!#REF!,2,FALSE),"")</f>
        <v/>
      </c>
      <c r="I736" s="17"/>
      <c r="J736" s="17"/>
      <c r="P736" s="17"/>
      <c r="Q736" s="17"/>
    </row>
    <row r="737" spans="2:17">
      <c r="B737" s="15" t="str">
        <f t="shared" si="52"/>
        <v/>
      </c>
      <c r="C737" s="16" t="str">
        <f>IFERROR(VLOOKUP(DATA!#REF!,DATA!#REF!,1,FALSE),"")</f>
        <v/>
      </c>
      <c r="D737" s="16" t="str">
        <f>IFERROR(VLOOKUP(C737,DATA!#REF!,2,FALSE),"")</f>
        <v/>
      </c>
      <c r="I737" s="17"/>
      <c r="J737" s="17"/>
      <c r="P737" s="17"/>
      <c r="Q737" s="17"/>
    </row>
    <row r="738" spans="2:17">
      <c r="B738" s="15" t="str">
        <f t="shared" si="52"/>
        <v/>
      </c>
      <c r="C738" s="16" t="str">
        <f>IFERROR(VLOOKUP(DATA!#REF!,DATA!#REF!,1,FALSE),"")</f>
        <v/>
      </c>
      <c r="D738" s="16" t="str">
        <f>IFERROR(VLOOKUP(C738,DATA!#REF!,2,FALSE),"")</f>
        <v/>
      </c>
      <c r="I738" s="17"/>
      <c r="J738" s="17"/>
      <c r="P738" s="17"/>
      <c r="Q738" s="17"/>
    </row>
    <row r="739" spans="2:17">
      <c r="B739" s="15" t="str">
        <f t="shared" si="52"/>
        <v/>
      </c>
      <c r="C739" s="16" t="str">
        <f>IFERROR(VLOOKUP(DATA!#REF!,DATA!#REF!,1,FALSE),"")</f>
        <v/>
      </c>
      <c r="D739" s="16" t="str">
        <f>IFERROR(VLOOKUP(C739,DATA!#REF!,2,FALSE),"")</f>
        <v/>
      </c>
      <c r="I739" s="17"/>
      <c r="J739" s="17"/>
      <c r="P739" s="17"/>
      <c r="Q739" s="17"/>
    </row>
    <row r="740" spans="2:17">
      <c r="B740" s="15" t="str">
        <f t="shared" si="52"/>
        <v/>
      </c>
      <c r="C740" s="16" t="str">
        <f>IFERROR(VLOOKUP(DATA!#REF!,DATA!#REF!,1,FALSE),"")</f>
        <v/>
      </c>
      <c r="D740" s="16" t="str">
        <f>IFERROR(VLOOKUP(C740,DATA!#REF!,2,FALSE),"")</f>
        <v/>
      </c>
      <c r="I740" s="17"/>
      <c r="J740" s="17"/>
      <c r="P740" s="17"/>
      <c r="Q740" s="17"/>
    </row>
    <row r="741" spans="2:17">
      <c r="B741" s="15" t="str">
        <f t="shared" si="52"/>
        <v/>
      </c>
      <c r="C741" s="16" t="str">
        <f>IFERROR(VLOOKUP(DATA!#REF!,DATA!#REF!,1,FALSE),"")</f>
        <v/>
      </c>
      <c r="D741" s="16" t="str">
        <f>IFERROR(VLOOKUP(C741,DATA!#REF!,2,FALSE),"")</f>
        <v/>
      </c>
      <c r="I741" s="17"/>
      <c r="J741" s="17"/>
      <c r="P741" s="17"/>
      <c r="Q741" s="17"/>
    </row>
    <row r="742" spans="2:17">
      <c r="B742" s="15" t="str">
        <f t="shared" si="52"/>
        <v/>
      </c>
      <c r="C742" s="16" t="str">
        <f>IFERROR(VLOOKUP(DATA!#REF!,DATA!#REF!,1,FALSE),"")</f>
        <v/>
      </c>
      <c r="D742" s="16" t="str">
        <f>IFERROR(VLOOKUP(C742,DATA!#REF!,2,FALSE),"")</f>
        <v/>
      </c>
      <c r="I742" s="17"/>
      <c r="J742" s="17"/>
      <c r="P742" s="17"/>
      <c r="Q742" s="17"/>
    </row>
    <row r="743" spans="2:17">
      <c r="B743" s="15" t="str">
        <f t="shared" si="52"/>
        <v/>
      </c>
      <c r="C743" s="16" t="str">
        <f>IFERROR(VLOOKUP(DATA!#REF!,DATA!#REF!,1,FALSE),"")</f>
        <v/>
      </c>
      <c r="D743" s="16" t="str">
        <f>IFERROR(VLOOKUP(C743,DATA!#REF!,2,FALSE),"")</f>
        <v/>
      </c>
      <c r="I743" s="17"/>
      <c r="J743" s="17"/>
      <c r="P743" s="17"/>
      <c r="Q743" s="17"/>
    </row>
    <row r="744" spans="2:17">
      <c r="B744" s="15" t="str">
        <f t="shared" si="52"/>
        <v/>
      </c>
      <c r="C744" s="16" t="str">
        <f>IFERROR(VLOOKUP(DATA!#REF!,DATA!#REF!,1,FALSE),"")</f>
        <v/>
      </c>
      <c r="D744" s="16" t="str">
        <f>IFERROR(VLOOKUP(C744,DATA!#REF!,2,FALSE),"")</f>
        <v/>
      </c>
      <c r="I744" s="17"/>
      <c r="J744" s="17"/>
      <c r="P744" s="17"/>
      <c r="Q744" s="17"/>
    </row>
    <row r="745" spans="2:17">
      <c r="B745" s="15" t="str">
        <f t="shared" si="52"/>
        <v/>
      </c>
      <c r="C745" s="16" t="str">
        <f>IFERROR(VLOOKUP(DATA!#REF!,DATA!#REF!,1,FALSE),"")</f>
        <v/>
      </c>
      <c r="D745" s="16" t="str">
        <f>IFERROR(VLOOKUP(C745,DATA!#REF!,2,FALSE),"")</f>
        <v/>
      </c>
      <c r="I745" s="17"/>
      <c r="J745" s="17"/>
      <c r="P745" s="17"/>
      <c r="Q745" s="17"/>
    </row>
    <row r="746" spans="2:17">
      <c r="B746" s="15" t="str">
        <f t="shared" si="52"/>
        <v/>
      </c>
      <c r="C746" s="16" t="str">
        <f>IFERROR(VLOOKUP(DATA!#REF!,DATA!#REF!,1,FALSE),"")</f>
        <v/>
      </c>
      <c r="D746" s="16" t="str">
        <f>IFERROR(VLOOKUP(C746,DATA!#REF!,2,FALSE),"")</f>
        <v/>
      </c>
      <c r="I746" s="17"/>
      <c r="J746" s="17"/>
      <c r="P746" s="17"/>
      <c r="Q746" s="17"/>
    </row>
    <row r="747" spans="2:17">
      <c r="B747" s="15" t="str">
        <f t="shared" si="52"/>
        <v/>
      </c>
      <c r="C747" s="16" t="str">
        <f>IFERROR(VLOOKUP(DATA!#REF!,DATA!#REF!,1,FALSE),"")</f>
        <v/>
      </c>
      <c r="D747" s="16" t="str">
        <f>IFERROR(VLOOKUP(C747,DATA!#REF!,2,FALSE),"")</f>
        <v/>
      </c>
      <c r="I747" s="17"/>
      <c r="J747" s="17"/>
      <c r="P747" s="17"/>
      <c r="Q747" s="17"/>
    </row>
    <row r="748" spans="2:17">
      <c r="B748" s="15" t="str">
        <f t="shared" si="52"/>
        <v/>
      </c>
      <c r="C748" s="16" t="str">
        <f>IFERROR(VLOOKUP(DATA!#REF!,DATA!#REF!,1,FALSE),"")</f>
        <v/>
      </c>
      <c r="D748" s="16" t="str">
        <f>IFERROR(VLOOKUP(C748,DATA!#REF!,2,FALSE),"")</f>
        <v/>
      </c>
      <c r="I748" s="17"/>
      <c r="J748" s="17"/>
      <c r="P748" s="17"/>
      <c r="Q748" s="17"/>
    </row>
    <row r="749" spans="2:17">
      <c r="B749" s="15" t="str">
        <f t="shared" si="52"/>
        <v/>
      </c>
      <c r="C749" s="16" t="str">
        <f>IFERROR(VLOOKUP(DATA!#REF!,DATA!#REF!,1,FALSE),"")</f>
        <v/>
      </c>
      <c r="D749" s="16" t="str">
        <f>IFERROR(VLOOKUP(C749,DATA!#REF!,2,FALSE),"")</f>
        <v/>
      </c>
      <c r="I749" s="17"/>
      <c r="J749" s="17"/>
      <c r="P749" s="17"/>
      <c r="Q749" s="17"/>
    </row>
    <row r="750" spans="2:17">
      <c r="B750" s="15" t="str">
        <f t="shared" si="52"/>
        <v/>
      </c>
      <c r="C750" s="16" t="str">
        <f>IFERROR(VLOOKUP(DATA!#REF!,DATA!#REF!,1,FALSE),"")</f>
        <v/>
      </c>
      <c r="D750" s="16" t="str">
        <f>IFERROR(VLOOKUP(C750,DATA!#REF!,2,FALSE),"")</f>
        <v/>
      </c>
      <c r="I750" s="17"/>
      <c r="J750" s="17"/>
      <c r="P750" s="17"/>
      <c r="Q750" s="17"/>
    </row>
    <row r="751" spans="2:17">
      <c r="B751" s="15" t="str">
        <f t="shared" si="52"/>
        <v/>
      </c>
      <c r="C751" s="16" t="str">
        <f>IFERROR(VLOOKUP(DATA!#REF!,DATA!#REF!,1,FALSE),"")</f>
        <v/>
      </c>
      <c r="D751" s="16" t="str">
        <f>IFERROR(VLOOKUP(C751,DATA!#REF!,2,FALSE),"")</f>
        <v/>
      </c>
      <c r="I751" s="17"/>
      <c r="J751" s="17"/>
      <c r="P751" s="17"/>
      <c r="Q751" s="17"/>
    </row>
    <row r="752" spans="2:17">
      <c r="B752" s="15" t="str">
        <f t="shared" si="52"/>
        <v/>
      </c>
      <c r="C752" s="16" t="str">
        <f>IFERROR(VLOOKUP(DATA!#REF!,DATA!#REF!,1,FALSE),"")</f>
        <v/>
      </c>
      <c r="D752" s="16" t="str">
        <f>IFERROR(VLOOKUP(C752,DATA!#REF!,2,FALSE),"")</f>
        <v/>
      </c>
      <c r="I752" s="17"/>
      <c r="J752" s="17"/>
      <c r="P752" s="17"/>
      <c r="Q752" s="17"/>
    </row>
    <row r="753" spans="2:17">
      <c r="B753" s="15" t="str">
        <f t="shared" si="52"/>
        <v/>
      </c>
      <c r="C753" s="16" t="str">
        <f>IFERROR(VLOOKUP(DATA!#REF!,DATA!#REF!,1,FALSE),"")</f>
        <v/>
      </c>
      <c r="D753" s="16" t="str">
        <f>IFERROR(VLOOKUP(C753,DATA!#REF!,2,FALSE),"")</f>
        <v/>
      </c>
      <c r="I753" s="17"/>
      <c r="J753" s="17"/>
      <c r="P753" s="17"/>
      <c r="Q753" s="17"/>
    </row>
    <row r="754" spans="2:17">
      <c r="B754" s="15" t="str">
        <f t="shared" si="52"/>
        <v/>
      </c>
      <c r="C754" s="16" t="str">
        <f>IFERROR(VLOOKUP(DATA!#REF!,DATA!#REF!,1,FALSE),"")</f>
        <v/>
      </c>
      <c r="D754" s="16" t="str">
        <f>IFERROR(VLOOKUP(C754,DATA!#REF!,2,FALSE),"")</f>
        <v/>
      </c>
      <c r="I754" s="17"/>
      <c r="J754" s="17"/>
      <c r="P754" s="17"/>
      <c r="Q754" s="17"/>
    </row>
    <row r="755" spans="2:17">
      <c r="B755" s="15" t="str">
        <f t="shared" si="52"/>
        <v/>
      </c>
      <c r="C755" s="16" t="str">
        <f>IFERROR(VLOOKUP(DATA!#REF!,DATA!#REF!,1,FALSE),"")</f>
        <v/>
      </c>
      <c r="D755" s="16" t="str">
        <f>IFERROR(VLOOKUP(C755,DATA!#REF!,2,FALSE),"")</f>
        <v/>
      </c>
      <c r="I755" s="17"/>
      <c r="J755" s="17"/>
      <c r="P755" s="17"/>
      <c r="Q755" s="17"/>
    </row>
    <row r="756" spans="2:17">
      <c r="B756" s="15" t="str">
        <f t="shared" si="52"/>
        <v/>
      </c>
      <c r="C756" s="16" t="str">
        <f>IFERROR(VLOOKUP(DATA!#REF!,DATA!#REF!,1,FALSE),"")</f>
        <v/>
      </c>
      <c r="D756" s="16" t="str">
        <f>IFERROR(VLOOKUP(C756,DATA!#REF!,2,FALSE),"")</f>
        <v/>
      </c>
      <c r="I756" s="17"/>
      <c r="J756" s="17"/>
      <c r="P756" s="17"/>
      <c r="Q756" s="17"/>
    </row>
    <row r="757" spans="2:17">
      <c r="B757" s="15" t="str">
        <f t="shared" si="52"/>
        <v/>
      </c>
      <c r="C757" s="16" t="str">
        <f>IFERROR(VLOOKUP(DATA!#REF!,DATA!#REF!,1,FALSE),"")</f>
        <v/>
      </c>
      <c r="D757" s="16" t="str">
        <f>IFERROR(VLOOKUP(C757,DATA!#REF!,2,FALSE),"")</f>
        <v/>
      </c>
      <c r="I757" s="17"/>
      <c r="J757" s="17"/>
      <c r="P757" s="17"/>
      <c r="Q757" s="17"/>
    </row>
    <row r="758" spans="2:17">
      <c r="B758" s="15" t="str">
        <f t="shared" si="52"/>
        <v/>
      </c>
      <c r="C758" s="16" t="str">
        <f>IFERROR(VLOOKUP(DATA!#REF!,DATA!#REF!,1,FALSE),"")</f>
        <v/>
      </c>
      <c r="D758" s="16" t="str">
        <f>IFERROR(VLOOKUP(C758,DATA!#REF!,2,FALSE),"")</f>
        <v/>
      </c>
      <c r="I758" s="17"/>
      <c r="J758" s="17"/>
      <c r="P758" s="17"/>
      <c r="Q758" s="17"/>
    </row>
    <row r="759" spans="2:17">
      <c r="B759" s="15" t="str">
        <f t="shared" ref="B759:B822" si="53">+IF(C759="","",ROW()-5)</f>
        <v/>
      </c>
      <c r="C759" s="16" t="str">
        <f>IFERROR(VLOOKUP(DATA!#REF!,DATA!#REF!,1,FALSE),"")</f>
        <v/>
      </c>
      <c r="D759" s="16" t="str">
        <f>IFERROR(VLOOKUP(C759,DATA!#REF!,2,FALSE),"")</f>
        <v/>
      </c>
      <c r="I759" s="17"/>
      <c r="J759" s="17"/>
      <c r="P759" s="17"/>
      <c r="Q759" s="17"/>
    </row>
    <row r="760" spans="2:17">
      <c r="B760" s="15" t="str">
        <f t="shared" si="53"/>
        <v/>
      </c>
      <c r="C760" s="16" t="str">
        <f>IFERROR(VLOOKUP(DATA!#REF!,DATA!#REF!,1,FALSE),"")</f>
        <v/>
      </c>
      <c r="D760" s="16" t="str">
        <f>IFERROR(VLOOKUP(C760,DATA!#REF!,2,FALSE),"")</f>
        <v/>
      </c>
      <c r="I760" s="17"/>
      <c r="J760" s="17"/>
      <c r="P760" s="17"/>
      <c r="Q760" s="17"/>
    </row>
    <row r="761" spans="2:17">
      <c r="B761" s="15" t="str">
        <f t="shared" si="53"/>
        <v/>
      </c>
      <c r="C761" s="16" t="str">
        <f>IFERROR(VLOOKUP(DATA!#REF!,DATA!#REF!,1,FALSE),"")</f>
        <v/>
      </c>
      <c r="D761" s="16" t="str">
        <f>IFERROR(VLOOKUP(C761,DATA!#REF!,2,FALSE),"")</f>
        <v/>
      </c>
      <c r="I761" s="17"/>
      <c r="J761" s="17"/>
      <c r="P761" s="17"/>
      <c r="Q761" s="17"/>
    </row>
    <row r="762" spans="2:17">
      <c r="B762" s="15" t="str">
        <f t="shared" si="53"/>
        <v/>
      </c>
      <c r="C762" s="16" t="str">
        <f>IFERROR(VLOOKUP(DATA!#REF!,DATA!#REF!,1,FALSE),"")</f>
        <v/>
      </c>
      <c r="D762" s="16" t="str">
        <f>IFERROR(VLOOKUP(C762,DATA!#REF!,2,FALSE),"")</f>
        <v/>
      </c>
      <c r="I762" s="17"/>
      <c r="J762" s="17"/>
      <c r="P762" s="17"/>
      <c r="Q762" s="17"/>
    </row>
    <row r="763" spans="2:17">
      <c r="B763" s="15" t="str">
        <f t="shared" si="53"/>
        <v/>
      </c>
      <c r="C763" s="16" t="str">
        <f>IFERROR(VLOOKUP(DATA!#REF!,DATA!#REF!,1,FALSE),"")</f>
        <v/>
      </c>
      <c r="D763" s="16" t="str">
        <f>IFERROR(VLOOKUP(C763,DATA!#REF!,2,FALSE),"")</f>
        <v/>
      </c>
      <c r="I763" s="17"/>
      <c r="J763" s="17"/>
      <c r="P763" s="17"/>
      <c r="Q763" s="17"/>
    </row>
    <row r="764" spans="2:17">
      <c r="B764" s="15" t="str">
        <f t="shared" si="53"/>
        <v/>
      </c>
      <c r="C764" s="16" t="str">
        <f>IFERROR(VLOOKUP(DATA!#REF!,DATA!#REF!,1,FALSE),"")</f>
        <v/>
      </c>
      <c r="D764" s="16" t="str">
        <f>IFERROR(VLOOKUP(C764,DATA!#REF!,2,FALSE),"")</f>
        <v/>
      </c>
      <c r="I764" s="17"/>
      <c r="J764" s="17"/>
      <c r="P764" s="17"/>
      <c r="Q764" s="17"/>
    </row>
    <row r="765" spans="2:17">
      <c r="B765" s="15" t="str">
        <f t="shared" si="53"/>
        <v/>
      </c>
      <c r="C765" s="16" t="str">
        <f>IFERROR(VLOOKUP(DATA!#REF!,DATA!#REF!,1,FALSE),"")</f>
        <v/>
      </c>
      <c r="D765" s="16" t="str">
        <f>IFERROR(VLOOKUP(C765,DATA!#REF!,2,FALSE),"")</f>
        <v/>
      </c>
      <c r="I765" s="17"/>
      <c r="J765" s="17"/>
      <c r="P765" s="17"/>
      <c r="Q765" s="17"/>
    </row>
    <row r="766" spans="2:17">
      <c r="B766" s="15" t="str">
        <f t="shared" si="53"/>
        <v/>
      </c>
      <c r="C766" s="16" t="str">
        <f>IFERROR(VLOOKUP(DATA!#REF!,DATA!#REF!,1,FALSE),"")</f>
        <v/>
      </c>
      <c r="D766" s="16" t="str">
        <f>IFERROR(VLOOKUP(C766,DATA!#REF!,2,FALSE),"")</f>
        <v/>
      </c>
      <c r="I766" s="17"/>
      <c r="J766" s="17"/>
      <c r="P766" s="17"/>
      <c r="Q766" s="17"/>
    </row>
    <row r="767" spans="2:17">
      <c r="B767" s="15" t="str">
        <f t="shared" si="53"/>
        <v/>
      </c>
      <c r="C767" s="16" t="str">
        <f>IFERROR(VLOOKUP(DATA!#REF!,DATA!#REF!,1,FALSE),"")</f>
        <v/>
      </c>
      <c r="D767" s="16" t="str">
        <f>IFERROR(VLOOKUP(C767,DATA!#REF!,2,FALSE),"")</f>
        <v/>
      </c>
      <c r="I767" s="17"/>
      <c r="J767" s="17"/>
      <c r="P767" s="17"/>
      <c r="Q767" s="17"/>
    </row>
    <row r="768" spans="2:17">
      <c r="B768" s="15" t="str">
        <f t="shared" si="53"/>
        <v/>
      </c>
      <c r="C768" s="16" t="str">
        <f>IFERROR(VLOOKUP(DATA!#REF!,DATA!#REF!,1,FALSE),"")</f>
        <v/>
      </c>
      <c r="D768" s="16" t="str">
        <f>IFERROR(VLOOKUP(C768,DATA!#REF!,2,FALSE),"")</f>
        <v/>
      </c>
      <c r="I768" s="17"/>
      <c r="J768" s="17"/>
      <c r="P768" s="17"/>
      <c r="Q768" s="17"/>
    </row>
    <row r="769" spans="2:17">
      <c r="B769" s="15" t="str">
        <f t="shared" si="53"/>
        <v/>
      </c>
      <c r="C769" s="16" t="str">
        <f>IFERROR(VLOOKUP(DATA!#REF!,DATA!#REF!,1,FALSE),"")</f>
        <v/>
      </c>
      <c r="D769" s="16" t="str">
        <f>IFERROR(VLOOKUP(C769,DATA!#REF!,2,FALSE),"")</f>
        <v/>
      </c>
      <c r="I769" s="17"/>
      <c r="J769" s="17"/>
      <c r="P769" s="17"/>
      <c r="Q769" s="17"/>
    </row>
    <row r="770" spans="2:17">
      <c r="B770" s="15" t="str">
        <f t="shared" si="53"/>
        <v/>
      </c>
      <c r="C770" s="16" t="str">
        <f>IFERROR(VLOOKUP(DATA!#REF!,DATA!#REF!,1,FALSE),"")</f>
        <v/>
      </c>
      <c r="D770" s="16" t="str">
        <f>IFERROR(VLOOKUP(C770,DATA!#REF!,2,FALSE),"")</f>
        <v/>
      </c>
      <c r="I770" s="17"/>
      <c r="J770" s="17"/>
      <c r="P770" s="17"/>
      <c r="Q770" s="17"/>
    </row>
    <row r="771" spans="2:17">
      <c r="B771" s="15" t="str">
        <f t="shared" si="53"/>
        <v/>
      </c>
      <c r="C771" s="16" t="str">
        <f>IFERROR(VLOOKUP(DATA!#REF!,DATA!#REF!,1,FALSE),"")</f>
        <v/>
      </c>
      <c r="D771" s="16" t="str">
        <f>IFERROR(VLOOKUP(C771,DATA!#REF!,2,FALSE),"")</f>
        <v/>
      </c>
      <c r="I771" s="17"/>
      <c r="J771" s="17"/>
      <c r="P771" s="17"/>
      <c r="Q771" s="17"/>
    </row>
    <row r="772" spans="2:17">
      <c r="B772" s="15" t="str">
        <f t="shared" si="53"/>
        <v/>
      </c>
      <c r="C772" s="16" t="str">
        <f>IFERROR(VLOOKUP(DATA!#REF!,DATA!#REF!,1,FALSE),"")</f>
        <v/>
      </c>
      <c r="D772" s="16" t="str">
        <f>IFERROR(VLOOKUP(C772,DATA!#REF!,2,FALSE),"")</f>
        <v/>
      </c>
      <c r="I772" s="17"/>
      <c r="J772" s="17"/>
      <c r="P772" s="17"/>
      <c r="Q772" s="17"/>
    </row>
    <row r="773" spans="2:17">
      <c r="B773" s="15" t="str">
        <f t="shared" si="53"/>
        <v/>
      </c>
      <c r="C773" s="16" t="str">
        <f>IFERROR(VLOOKUP(DATA!#REF!,DATA!#REF!,1,FALSE),"")</f>
        <v/>
      </c>
      <c r="D773" s="16" t="str">
        <f>IFERROR(VLOOKUP(C773,DATA!#REF!,2,FALSE),"")</f>
        <v/>
      </c>
      <c r="I773" s="17"/>
      <c r="J773" s="17"/>
      <c r="P773" s="17"/>
      <c r="Q773" s="17"/>
    </row>
    <row r="774" spans="2:17">
      <c r="B774" s="15" t="str">
        <f t="shared" si="53"/>
        <v/>
      </c>
      <c r="C774" s="16" t="str">
        <f>IFERROR(VLOOKUP(DATA!#REF!,DATA!#REF!,1,FALSE),"")</f>
        <v/>
      </c>
      <c r="D774" s="16" t="str">
        <f>IFERROR(VLOOKUP(C774,DATA!#REF!,2,FALSE),"")</f>
        <v/>
      </c>
      <c r="I774" s="17"/>
      <c r="J774" s="17"/>
      <c r="P774" s="17"/>
      <c r="Q774" s="17"/>
    </row>
    <row r="775" spans="2:17">
      <c r="B775" s="15" t="str">
        <f t="shared" si="53"/>
        <v/>
      </c>
      <c r="C775" s="16" t="str">
        <f>IFERROR(VLOOKUP(DATA!#REF!,DATA!#REF!,1,FALSE),"")</f>
        <v/>
      </c>
      <c r="D775" s="16" t="str">
        <f>IFERROR(VLOOKUP(C775,DATA!#REF!,2,FALSE),"")</f>
        <v/>
      </c>
      <c r="I775" s="17"/>
      <c r="J775" s="17"/>
      <c r="P775" s="17"/>
      <c r="Q775" s="17"/>
    </row>
    <row r="776" spans="2:17">
      <c r="B776" s="15" t="str">
        <f t="shared" si="53"/>
        <v/>
      </c>
      <c r="C776" s="16" t="str">
        <f>IFERROR(VLOOKUP(DATA!#REF!,DATA!#REF!,1,FALSE),"")</f>
        <v/>
      </c>
      <c r="D776" s="16" t="str">
        <f>IFERROR(VLOOKUP(C776,DATA!#REF!,2,FALSE),"")</f>
        <v/>
      </c>
      <c r="I776" s="17"/>
      <c r="J776" s="17"/>
      <c r="P776" s="17"/>
      <c r="Q776" s="17"/>
    </row>
    <row r="777" spans="2:17">
      <c r="B777" s="15" t="str">
        <f t="shared" si="53"/>
        <v/>
      </c>
      <c r="C777" s="16" t="str">
        <f>IFERROR(VLOOKUP(DATA!#REF!,DATA!#REF!,1,FALSE),"")</f>
        <v/>
      </c>
      <c r="D777" s="16" t="str">
        <f>IFERROR(VLOOKUP(C777,DATA!#REF!,2,FALSE),"")</f>
        <v/>
      </c>
      <c r="I777" s="17"/>
      <c r="J777" s="17"/>
      <c r="P777" s="17"/>
      <c r="Q777" s="17"/>
    </row>
    <row r="778" spans="2:17">
      <c r="B778" s="15" t="str">
        <f t="shared" si="53"/>
        <v/>
      </c>
      <c r="C778" s="16" t="str">
        <f>IFERROR(VLOOKUP(DATA!#REF!,DATA!#REF!,1,FALSE),"")</f>
        <v/>
      </c>
      <c r="D778" s="16" t="str">
        <f>IFERROR(VLOOKUP(C778,DATA!#REF!,2,FALSE),"")</f>
        <v/>
      </c>
      <c r="I778" s="17"/>
      <c r="J778" s="17"/>
      <c r="P778" s="17"/>
      <c r="Q778" s="17"/>
    </row>
    <row r="779" spans="2:17">
      <c r="B779" s="15" t="str">
        <f t="shared" si="53"/>
        <v/>
      </c>
      <c r="C779" s="16" t="str">
        <f>IFERROR(VLOOKUP(DATA!#REF!,DATA!#REF!,1,FALSE),"")</f>
        <v/>
      </c>
      <c r="D779" s="16" t="str">
        <f>IFERROR(VLOOKUP(C779,DATA!#REF!,2,FALSE),"")</f>
        <v/>
      </c>
      <c r="I779" s="17"/>
      <c r="J779" s="17"/>
      <c r="P779" s="17"/>
      <c r="Q779" s="17"/>
    </row>
    <row r="780" spans="2:17">
      <c r="B780" s="15" t="str">
        <f t="shared" si="53"/>
        <v/>
      </c>
      <c r="C780" s="16" t="str">
        <f>IFERROR(VLOOKUP(DATA!#REF!,DATA!#REF!,1,FALSE),"")</f>
        <v/>
      </c>
      <c r="D780" s="16" t="str">
        <f>IFERROR(VLOOKUP(C780,DATA!#REF!,2,FALSE),"")</f>
        <v/>
      </c>
      <c r="I780" s="17"/>
      <c r="J780" s="17"/>
      <c r="P780" s="17"/>
      <c r="Q780" s="17"/>
    </row>
    <row r="781" spans="2:17">
      <c r="B781" s="15" t="str">
        <f t="shared" si="53"/>
        <v/>
      </c>
      <c r="C781" s="16" t="str">
        <f>IFERROR(VLOOKUP(DATA!#REF!,DATA!#REF!,1,FALSE),"")</f>
        <v/>
      </c>
      <c r="D781" s="16" t="str">
        <f>IFERROR(VLOOKUP(C781,DATA!#REF!,2,FALSE),"")</f>
        <v/>
      </c>
      <c r="I781" s="17"/>
      <c r="J781" s="17"/>
      <c r="P781" s="17"/>
      <c r="Q781" s="17"/>
    </row>
    <row r="782" spans="2:17">
      <c r="B782" s="15" t="str">
        <f t="shared" si="53"/>
        <v/>
      </c>
      <c r="C782" s="16" t="str">
        <f>IFERROR(VLOOKUP(DATA!#REF!,DATA!#REF!,1,FALSE),"")</f>
        <v/>
      </c>
      <c r="D782" s="16" t="str">
        <f>IFERROR(VLOOKUP(C782,DATA!#REF!,2,FALSE),"")</f>
        <v/>
      </c>
      <c r="I782" s="17"/>
      <c r="J782" s="17"/>
      <c r="P782" s="17"/>
      <c r="Q782" s="17"/>
    </row>
    <row r="783" spans="2:17">
      <c r="B783" s="15" t="str">
        <f t="shared" si="53"/>
        <v/>
      </c>
      <c r="C783" s="16" t="str">
        <f>IFERROR(VLOOKUP(DATA!#REF!,DATA!#REF!,1,FALSE),"")</f>
        <v/>
      </c>
      <c r="D783" s="16" t="str">
        <f>IFERROR(VLOOKUP(C783,DATA!#REF!,2,FALSE),"")</f>
        <v/>
      </c>
      <c r="I783" s="17"/>
      <c r="J783" s="17"/>
      <c r="P783" s="17"/>
      <c r="Q783" s="17"/>
    </row>
    <row r="784" spans="2:17">
      <c r="B784" s="15" t="str">
        <f t="shared" si="53"/>
        <v/>
      </c>
      <c r="C784" s="16" t="str">
        <f>IFERROR(VLOOKUP(DATA!#REF!,DATA!#REF!,1,FALSE),"")</f>
        <v/>
      </c>
      <c r="D784" s="16" t="str">
        <f>IFERROR(VLOOKUP(C784,DATA!#REF!,2,FALSE),"")</f>
        <v/>
      </c>
      <c r="I784" s="17"/>
      <c r="J784" s="17"/>
      <c r="P784" s="17"/>
      <c r="Q784" s="17"/>
    </row>
    <row r="785" spans="2:17">
      <c r="B785" s="15" t="str">
        <f t="shared" si="53"/>
        <v/>
      </c>
      <c r="C785" s="16" t="str">
        <f>IFERROR(VLOOKUP(DATA!#REF!,DATA!#REF!,1,FALSE),"")</f>
        <v/>
      </c>
      <c r="D785" s="16" t="str">
        <f>IFERROR(VLOOKUP(C785,DATA!#REF!,2,FALSE),"")</f>
        <v/>
      </c>
      <c r="I785" s="17"/>
      <c r="J785" s="17"/>
      <c r="P785" s="17"/>
      <c r="Q785" s="17"/>
    </row>
    <row r="786" spans="2:17">
      <c r="B786" s="15" t="str">
        <f t="shared" si="53"/>
        <v/>
      </c>
      <c r="C786" s="16" t="str">
        <f>IFERROR(VLOOKUP(DATA!#REF!,DATA!#REF!,1,FALSE),"")</f>
        <v/>
      </c>
      <c r="D786" s="16" t="str">
        <f>IFERROR(VLOOKUP(C786,DATA!#REF!,2,FALSE),"")</f>
        <v/>
      </c>
      <c r="I786" s="17"/>
      <c r="J786" s="17"/>
      <c r="P786" s="17"/>
      <c r="Q786" s="17"/>
    </row>
    <row r="787" spans="2:17">
      <c r="B787" s="15" t="str">
        <f t="shared" si="53"/>
        <v/>
      </c>
      <c r="C787" s="16" t="str">
        <f>IFERROR(VLOOKUP(DATA!#REF!,DATA!#REF!,1,FALSE),"")</f>
        <v/>
      </c>
      <c r="D787" s="16" t="str">
        <f>IFERROR(VLOOKUP(C787,DATA!#REF!,2,FALSE),"")</f>
        <v/>
      </c>
      <c r="I787" s="17"/>
      <c r="J787" s="17"/>
      <c r="P787" s="17"/>
      <c r="Q787" s="17"/>
    </row>
    <row r="788" spans="2:17">
      <c r="B788" s="15" t="str">
        <f t="shared" si="53"/>
        <v/>
      </c>
      <c r="C788" s="16" t="str">
        <f>IFERROR(VLOOKUP(DATA!#REF!,DATA!#REF!,1,FALSE),"")</f>
        <v/>
      </c>
      <c r="D788" s="16" t="str">
        <f>IFERROR(VLOOKUP(C788,DATA!#REF!,2,FALSE),"")</f>
        <v/>
      </c>
      <c r="I788" s="17"/>
      <c r="J788" s="17"/>
      <c r="P788" s="17"/>
      <c r="Q788" s="17"/>
    </row>
    <row r="789" spans="2:17">
      <c r="B789" s="15" t="str">
        <f t="shared" si="53"/>
        <v/>
      </c>
      <c r="C789" s="16" t="str">
        <f>IFERROR(VLOOKUP(DATA!#REF!,DATA!#REF!,1,FALSE),"")</f>
        <v/>
      </c>
      <c r="D789" s="16" t="str">
        <f>IFERROR(VLOOKUP(C789,DATA!#REF!,2,FALSE),"")</f>
        <v/>
      </c>
      <c r="I789" s="17"/>
      <c r="J789" s="17"/>
      <c r="P789" s="17"/>
      <c r="Q789" s="17"/>
    </row>
    <row r="790" spans="2:17">
      <c r="B790" s="15" t="str">
        <f t="shared" si="53"/>
        <v/>
      </c>
      <c r="C790" s="16" t="str">
        <f>IFERROR(VLOOKUP(DATA!#REF!,DATA!#REF!,1,FALSE),"")</f>
        <v/>
      </c>
      <c r="D790" s="16" t="str">
        <f>IFERROR(VLOOKUP(C790,DATA!#REF!,2,FALSE),"")</f>
        <v/>
      </c>
      <c r="I790" s="17"/>
      <c r="J790" s="17"/>
      <c r="P790" s="17"/>
      <c r="Q790" s="17"/>
    </row>
    <row r="791" spans="2:17">
      <c r="B791" s="15" t="str">
        <f t="shared" si="53"/>
        <v/>
      </c>
      <c r="C791" s="16" t="str">
        <f>IFERROR(VLOOKUP(DATA!#REF!,DATA!#REF!,1,FALSE),"")</f>
        <v/>
      </c>
      <c r="D791" s="16" t="str">
        <f>IFERROR(VLOOKUP(C791,DATA!#REF!,2,FALSE),"")</f>
        <v/>
      </c>
      <c r="I791" s="17"/>
      <c r="J791" s="17"/>
      <c r="P791" s="17"/>
      <c r="Q791" s="17"/>
    </row>
    <row r="792" spans="2:17">
      <c r="B792" s="15" t="str">
        <f t="shared" si="53"/>
        <v/>
      </c>
      <c r="C792" s="16" t="str">
        <f>IFERROR(VLOOKUP(DATA!#REF!,DATA!#REF!,1,FALSE),"")</f>
        <v/>
      </c>
      <c r="D792" s="16" t="str">
        <f>IFERROR(VLOOKUP(C792,DATA!#REF!,2,FALSE),"")</f>
        <v/>
      </c>
      <c r="I792" s="17"/>
      <c r="J792" s="17"/>
      <c r="P792" s="17"/>
      <c r="Q792" s="17"/>
    </row>
    <row r="793" spans="2:17">
      <c r="B793" s="15" t="str">
        <f t="shared" si="53"/>
        <v/>
      </c>
      <c r="C793" s="16" t="str">
        <f>IFERROR(VLOOKUP(DATA!#REF!,DATA!#REF!,1,FALSE),"")</f>
        <v/>
      </c>
      <c r="D793" s="16" t="str">
        <f>IFERROR(VLOOKUP(C793,DATA!#REF!,2,FALSE),"")</f>
        <v/>
      </c>
      <c r="I793" s="17"/>
      <c r="J793" s="17"/>
      <c r="P793" s="17"/>
      <c r="Q793" s="17"/>
    </row>
    <row r="794" spans="2:17">
      <c r="B794" s="15" t="str">
        <f t="shared" si="53"/>
        <v/>
      </c>
      <c r="C794" s="16" t="str">
        <f>IFERROR(VLOOKUP(DATA!#REF!,DATA!#REF!,1,FALSE),"")</f>
        <v/>
      </c>
      <c r="D794" s="16" t="str">
        <f>IFERROR(VLOOKUP(C794,DATA!#REF!,2,FALSE),"")</f>
        <v/>
      </c>
      <c r="I794" s="17"/>
      <c r="J794" s="17"/>
      <c r="P794" s="17"/>
      <c r="Q794" s="17"/>
    </row>
    <row r="795" spans="2:17">
      <c r="B795" s="15" t="str">
        <f t="shared" si="53"/>
        <v/>
      </c>
      <c r="C795" s="16" t="str">
        <f>IFERROR(VLOOKUP(DATA!#REF!,DATA!#REF!,1,FALSE),"")</f>
        <v/>
      </c>
      <c r="D795" s="16" t="str">
        <f>IFERROR(VLOOKUP(C795,DATA!#REF!,2,FALSE),"")</f>
        <v/>
      </c>
      <c r="I795" s="17"/>
      <c r="J795" s="17"/>
      <c r="P795" s="17"/>
      <c r="Q795" s="17"/>
    </row>
    <row r="796" spans="2:17">
      <c r="B796" s="15" t="str">
        <f t="shared" si="53"/>
        <v/>
      </c>
      <c r="C796" s="16" t="str">
        <f>IFERROR(VLOOKUP(DATA!#REF!,DATA!#REF!,1,FALSE),"")</f>
        <v/>
      </c>
      <c r="D796" s="16" t="str">
        <f>IFERROR(VLOOKUP(C796,DATA!#REF!,2,FALSE),"")</f>
        <v/>
      </c>
      <c r="I796" s="17"/>
      <c r="J796" s="17"/>
      <c r="P796" s="17"/>
      <c r="Q796" s="17"/>
    </row>
    <row r="797" spans="2:17">
      <c r="B797" s="15" t="str">
        <f t="shared" si="53"/>
        <v/>
      </c>
      <c r="C797" s="16" t="str">
        <f>IFERROR(VLOOKUP(DATA!#REF!,DATA!#REF!,1,FALSE),"")</f>
        <v/>
      </c>
      <c r="D797" s="16" t="str">
        <f>IFERROR(VLOOKUP(C797,DATA!#REF!,2,FALSE),"")</f>
        <v/>
      </c>
      <c r="I797" s="17"/>
      <c r="J797" s="17"/>
      <c r="P797" s="17"/>
      <c r="Q797" s="17"/>
    </row>
    <row r="798" spans="2:17">
      <c r="B798" s="15" t="str">
        <f t="shared" si="53"/>
        <v/>
      </c>
      <c r="C798" s="16" t="str">
        <f>IFERROR(VLOOKUP(DATA!#REF!,DATA!#REF!,1,FALSE),"")</f>
        <v/>
      </c>
      <c r="D798" s="16" t="str">
        <f>IFERROR(VLOOKUP(C798,DATA!#REF!,2,FALSE),"")</f>
        <v/>
      </c>
      <c r="I798" s="17"/>
      <c r="J798" s="17"/>
      <c r="P798" s="17"/>
      <c r="Q798" s="17"/>
    </row>
    <row r="799" spans="2:17">
      <c r="B799" s="15" t="str">
        <f t="shared" si="53"/>
        <v/>
      </c>
      <c r="C799" s="16" t="str">
        <f>IFERROR(VLOOKUP(DATA!#REF!,DATA!#REF!,1,FALSE),"")</f>
        <v/>
      </c>
      <c r="D799" s="16" t="str">
        <f>IFERROR(VLOOKUP(C799,DATA!#REF!,2,FALSE),"")</f>
        <v/>
      </c>
      <c r="I799" s="17"/>
      <c r="J799" s="17"/>
      <c r="P799" s="17"/>
      <c r="Q799" s="17"/>
    </row>
    <row r="800" spans="2:17">
      <c r="B800" s="15" t="str">
        <f t="shared" si="53"/>
        <v/>
      </c>
      <c r="C800" s="16" t="str">
        <f>IFERROR(VLOOKUP(DATA!#REF!,DATA!#REF!,1,FALSE),"")</f>
        <v/>
      </c>
      <c r="D800" s="16" t="str">
        <f>IFERROR(VLOOKUP(C800,DATA!#REF!,2,FALSE),"")</f>
        <v/>
      </c>
      <c r="I800" s="17"/>
      <c r="J800" s="17"/>
      <c r="P800" s="17"/>
      <c r="Q800" s="17"/>
    </row>
    <row r="801" spans="2:17">
      <c r="B801" s="15" t="str">
        <f t="shared" si="53"/>
        <v/>
      </c>
      <c r="C801" s="16" t="str">
        <f>IFERROR(VLOOKUP(DATA!#REF!,DATA!#REF!,1,FALSE),"")</f>
        <v/>
      </c>
      <c r="D801" s="16" t="str">
        <f>IFERROR(VLOOKUP(C801,DATA!#REF!,2,FALSE),"")</f>
        <v/>
      </c>
      <c r="I801" s="17"/>
      <c r="J801" s="17"/>
      <c r="P801" s="17"/>
      <c r="Q801" s="17"/>
    </row>
    <row r="802" spans="2:17">
      <c r="B802" s="15" t="str">
        <f t="shared" si="53"/>
        <v/>
      </c>
      <c r="C802" s="16" t="str">
        <f>IFERROR(VLOOKUP(DATA!#REF!,DATA!#REF!,1,FALSE),"")</f>
        <v/>
      </c>
      <c r="D802" s="16" t="str">
        <f>IFERROR(VLOOKUP(C802,DATA!#REF!,2,FALSE),"")</f>
        <v/>
      </c>
      <c r="I802" s="17"/>
      <c r="J802" s="17"/>
      <c r="P802" s="17"/>
      <c r="Q802" s="17"/>
    </row>
    <row r="803" spans="2:17">
      <c r="B803" s="15" t="str">
        <f t="shared" si="53"/>
        <v/>
      </c>
      <c r="C803" s="16" t="str">
        <f>IFERROR(VLOOKUP(DATA!#REF!,DATA!#REF!,1,FALSE),"")</f>
        <v/>
      </c>
      <c r="D803" s="16" t="str">
        <f>IFERROR(VLOOKUP(C803,DATA!#REF!,2,FALSE),"")</f>
        <v/>
      </c>
      <c r="I803" s="17"/>
      <c r="J803" s="17"/>
      <c r="P803" s="17"/>
      <c r="Q803" s="17"/>
    </row>
    <row r="804" spans="2:17">
      <c r="B804" s="15" t="str">
        <f t="shared" si="53"/>
        <v/>
      </c>
      <c r="C804" s="16" t="str">
        <f>IFERROR(VLOOKUP(DATA!#REF!,DATA!#REF!,1,FALSE),"")</f>
        <v/>
      </c>
      <c r="D804" s="16" t="str">
        <f>IFERROR(VLOOKUP(C804,DATA!#REF!,2,FALSE),"")</f>
        <v/>
      </c>
      <c r="I804" s="17"/>
      <c r="J804" s="17"/>
      <c r="P804" s="17"/>
      <c r="Q804" s="17"/>
    </row>
    <row r="805" spans="2:17">
      <c r="B805" s="15" t="str">
        <f t="shared" si="53"/>
        <v/>
      </c>
      <c r="C805" s="16" t="str">
        <f>IFERROR(VLOOKUP(DATA!#REF!,DATA!#REF!,1,FALSE),"")</f>
        <v/>
      </c>
      <c r="D805" s="16" t="str">
        <f>IFERROR(VLOOKUP(C805,DATA!#REF!,2,FALSE),"")</f>
        <v/>
      </c>
      <c r="I805" s="17"/>
      <c r="J805" s="17"/>
      <c r="P805" s="17"/>
      <c r="Q805" s="17"/>
    </row>
    <row r="806" spans="2:17">
      <c r="B806" s="15" t="str">
        <f t="shared" si="53"/>
        <v/>
      </c>
      <c r="C806" s="16" t="str">
        <f>IFERROR(VLOOKUP(DATA!#REF!,DATA!#REF!,1,FALSE),"")</f>
        <v/>
      </c>
      <c r="D806" s="16" t="str">
        <f>IFERROR(VLOOKUP(C806,DATA!#REF!,2,FALSE),"")</f>
        <v/>
      </c>
      <c r="I806" s="17"/>
      <c r="J806" s="17"/>
      <c r="P806" s="17"/>
      <c r="Q806" s="17"/>
    </row>
    <row r="807" spans="2:17">
      <c r="B807" s="15" t="str">
        <f t="shared" si="53"/>
        <v/>
      </c>
      <c r="C807" s="16" t="str">
        <f>IFERROR(VLOOKUP(DATA!#REF!,DATA!#REF!,1,FALSE),"")</f>
        <v/>
      </c>
      <c r="D807" s="16" t="str">
        <f>IFERROR(VLOOKUP(C807,DATA!#REF!,2,FALSE),"")</f>
        <v/>
      </c>
      <c r="I807" s="17"/>
      <c r="J807" s="17"/>
      <c r="P807" s="17"/>
      <c r="Q807" s="17"/>
    </row>
    <row r="808" spans="2:17">
      <c r="B808" s="15" t="str">
        <f t="shared" si="53"/>
        <v/>
      </c>
      <c r="C808" s="16" t="str">
        <f>IFERROR(VLOOKUP(DATA!#REF!,DATA!#REF!,1,FALSE),"")</f>
        <v/>
      </c>
      <c r="D808" s="16" t="str">
        <f>IFERROR(VLOOKUP(C808,DATA!#REF!,2,FALSE),"")</f>
        <v/>
      </c>
      <c r="I808" s="17"/>
      <c r="J808" s="17"/>
      <c r="P808" s="17"/>
      <c r="Q808" s="17"/>
    </row>
    <row r="809" spans="2:17">
      <c r="B809" s="15" t="str">
        <f t="shared" si="53"/>
        <v/>
      </c>
      <c r="C809" s="16" t="str">
        <f>IFERROR(VLOOKUP(DATA!#REF!,DATA!#REF!,1,FALSE),"")</f>
        <v/>
      </c>
      <c r="D809" s="16" t="str">
        <f>IFERROR(VLOOKUP(C809,DATA!#REF!,2,FALSE),"")</f>
        <v/>
      </c>
      <c r="I809" s="17"/>
      <c r="J809" s="17"/>
      <c r="P809" s="17"/>
      <c r="Q809" s="17"/>
    </row>
    <row r="810" spans="2:17">
      <c r="B810" s="15" t="str">
        <f t="shared" si="53"/>
        <v/>
      </c>
      <c r="C810" s="16" t="str">
        <f>IFERROR(VLOOKUP(DATA!#REF!,DATA!#REF!,1,FALSE),"")</f>
        <v/>
      </c>
      <c r="D810" s="16" t="str">
        <f>IFERROR(VLOOKUP(C810,DATA!#REF!,2,FALSE),"")</f>
        <v/>
      </c>
      <c r="I810" s="17"/>
      <c r="J810" s="17"/>
      <c r="P810" s="17"/>
      <c r="Q810" s="17"/>
    </row>
    <row r="811" spans="2:17">
      <c r="B811" s="15" t="str">
        <f t="shared" si="53"/>
        <v/>
      </c>
      <c r="C811" s="16" t="str">
        <f>IFERROR(VLOOKUP(DATA!#REF!,DATA!#REF!,1,FALSE),"")</f>
        <v/>
      </c>
      <c r="D811" s="16" t="str">
        <f>IFERROR(VLOOKUP(C811,DATA!#REF!,2,FALSE),"")</f>
        <v/>
      </c>
      <c r="I811" s="17"/>
      <c r="J811" s="17"/>
      <c r="P811" s="17"/>
      <c r="Q811" s="17"/>
    </row>
    <row r="812" spans="2:17">
      <c r="B812" s="15" t="str">
        <f t="shared" si="53"/>
        <v/>
      </c>
      <c r="C812" s="16" t="str">
        <f>IFERROR(VLOOKUP(DATA!#REF!,DATA!#REF!,1,FALSE),"")</f>
        <v/>
      </c>
      <c r="D812" s="16" t="str">
        <f>IFERROR(VLOOKUP(C812,DATA!#REF!,2,FALSE),"")</f>
        <v/>
      </c>
      <c r="I812" s="17"/>
      <c r="J812" s="17"/>
      <c r="P812" s="17"/>
      <c r="Q812" s="17"/>
    </row>
    <row r="813" spans="2:17">
      <c r="B813" s="15" t="str">
        <f t="shared" si="53"/>
        <v/>
      </c>
      <c r="C813" s="16" t="str">
        <f>IFERROR(VLOOKUP(DATA!#REF!,DATA!#REF!,1,FALSE),"")</f>
        <v/>
      </c>
      <c r="D813" s="16" t="str">
        <f>IFERROR(VLOOKUP(C813,DATA!#REF!,2,FALSE),"")</f>
        <v/>
      </c>
      <c r="I813" s="17"/>
      <c r="J813" s="17"/>
      <c r="P813" s="17"/>
      <c r="Q813" s="17"/>
    </row>
    <row r="814" spans="2:17">
      <c r="B814" s="15" t="str">
        <f t="shared" si="53"/>
        <v/>
      </c>
      <c r="C814" s="16" t="str">
        <f>IFERROR(VLOOKUP(DATA!#REF!,DATA!#REF!,1,FALSE),"")</f>
        <v/>
      </c>
      <c r="D814" s="16" t="str">
        <f>IFERROR(VLOOKUP(C814,DATA!#REF!,2,FALSE),"")</f>
        <v/>
      </c>
      <c r="I814" s="17"/>
      <c r="J814" s="17"/>
      <c r="P814" s="17"/>
      <c r="Q814" s="17"/>
    </row>
    <row r="815" spans="2:17">
      <c r="B815" s="15" t="str">
        <f t="shared" si="53"/>
        <v/>
      </c>
      <c r="C815" s="16" t="str">
        <f>IFERROR(VLOOKUP(DATA!#REF!,DATA!#REF!,1,FALSE),"")</f>
        <v/>
      </c>
      <c r="D815" s="16" t="str">
        <f>IFERROR(VLOOKUP(C815,DATA!#REF!,2,FALSE),"")</f>
        <v/>
      </c>
      <c r="I815" s="17"/>
      <c r="J815" s="17"/>
      <c r="P815" s="17"/>
      <c r="Q815" s="17"/>
    </row>
    <row r="816" spans="2:17">
      <c r="B816" s="15" t="str">
        <f t="shared" si="53"/>
        <v/>
      </c>
      <c r="C816" s="16" t="str">
        <f>IFERROR(VLOOKUP(DATA!#REF!,DATA!#REF!,1,FALSE),"")</f>
        <v/>
      </c>
      <c r="D816" s="16" t="str">
        <f>IFERROR(VLOOKUP(C816,DATA!#REF!,2,FALSE),"")</f>
        <v/>
      </c>
      <c r="I816" s="17"/>
      <c r="J816" s="17"/>
      <c r="P816" s="17"/>
      <c r="Q816" s="17"/>
    </row>
    <row r="817" spans="2:17">
      <c r="B817" s="15" t="str">
        <f t="shared" si="53"/>
        <v/>
      </c>
      <c r="C817" s="16" t="str">
        <f>IFERROR(VLOOKUP(DATA!#REF!,DATA!#REF!,1,FALSE),"")</f>
        <v/>
      </c>
      <c r="D817" s="16" t="str">
        <f>IFERROR(VLOOKUP(C817,DATA!#REF!,2,FALSE),"")</f>
        <v/>
      </c>
      <c r="I817" s="17"/>
      <c r="J817" s="17"/>
      <c r="P817" s="17"/>
      <c r="Q817" s="17"/>
    </row>
    <row r="818" spans="2:17">
      <c r="B818" s="15" t="str">
        <f t="shared" si="53"/>
        <v/>
      </c>
      <c r="C818" s="16" t="str">
        <f>IFERROR(VLOOKUP(DATA!#REF!,DATA!#REF!,1,FALSE),"")</f>
        <v/>
      </c>
      <c r="D818" s="16" t="str">
        <f>IFERROR(VLOOKUP(C818,DATA!#REF!,2,FALSE),"")</f>
        <v/>
      </c>
      <c r="I818" s="17"/>
      <c r="J818" s="17"/>
      <c r="P818" s="17"/>
      <c r="Q818" s="17"/>
    </row>
    <row r="819" spans="2:17">
      <c r="B819" s="15" t="str">
        <f t="shared" si="53"/>
        <v/>
      </c>
      <c r="C819" s="16" t="str">
        <f>IFERROR(VLOOKUP(DATA!#REF!,DATA!#REF!,1,FALSE),"")</f>
        <v/>
      </c>
      <c r="D819" s="16" t="str">
        <f>IFERROR(VLOOKUP(C819,DATA!#REF!,2,FALSE),"")</f>
        <v/>
      </c>
      <c r="I819" s="17"/>
      <c r="J819" s="17"/>
      <c r="P819" s="17"/>
      <c r="Q819" s="17"/>
    </row>
    <row r="820" spans="2:17">
      <c r="B820" s="15" t="str">
        <f t="shared" si="53"/>
        <v/>
      </c>
      <c r="C820" s="16" t="str">
        <f>IFERROR(VLOOKUP(DATA!#REF!,DATA!#REF!,1,FALSE),"")</f>
        <v/>
      </c>
      <c r="D820" s="16" t="str">
        <f>IFERROR(VLOOKUP(C820,DATA!#REF!,2,FALSE),"")</f>
        <v/>
      </c>
      <c r="I820" s="17"/>
      <c r="J820" s="17"/>
      <c r="P820" s="17"/>
      <c r="Q820" s="17"/>
    </row>
    <row r="821" spans="2:17">
      <c r="B821" s="15" t="str">
        <f t="shared" si="53"/>
        <v/>
      </c>
      <c r="C821" s="16" t="str">
        <f>IFERROR(VLOOKUP(DATA!#REF!,DATA!#REF!,1,FALSE),"")</f>
        <v/>
      </c>
      <c r="D821" s="16" t="str">
        <f>IFERROR(VLOOKUP(C821,DATA!#REF!,2,FALSE),"")</f>
        <v/>
      </c>
      <c r="I821" s="17"/>
      <c r="J821" s="17"/>
      <c r="P821" s="17"/>
      <c r="Q821" s="17"/>
    </row>
    <row r="822" spans="2:17">
      <c r="B822" s="15" t="str">
        <f t="shared" si="53"/>
        <v/>
      </c>
      <c r="C822" s="16" t="str">
        <f>IFERROR(VLOOKUP(DATA!#REF!,DATA!#REF!,1,FALSE),"")</f>
        <v/>
      </c>
      <c r="D822" s="16" t="str">
        <f>IFERROR(VLOOKUP(C822,DATA!#REF!,2,FALSE),"")</f>
        <v/>
      </c>
      <c r="I822" s="17"/>
      <c r="J822" s="17"/>
      <c r="P822" s="17"/>
      <c r="Q822" s="17"/>
    </row>
    <row r="823" spans="2:17">
      <c r="B823" s="15" t="str">
        <f t="shared" ref="B823:B886" si="54">+IF(C823="","",ROW()-5)</f>
        <v/>
      </c>
      <c r="C823" s="16" t="str">
        <f>IFERROR(VLOOKUP(DATA!#REF!,DATA!#REF!,1,FALSE),"")</f>
        <v/>
      </c>
      <c r="D823" s="16" t="str">
        <f>IFERROR(VLOOKUP(C823,DATA!#REF!,2,FALSE),"")</f>
        <v/>
      </c>
      <c r="I823" s="17"/>
      <c r="J823" s="17"/>
      <c r="P823" s="17"/>
      <c r="Q823" s="17"/>
    </row>
    <row r="824" spans="2:17">
      <c r="B824" s="15" t="str">
        <f t="shared" si="54"/>
        <v/>
      </c>
      <c r="C824" s="16" t="str">
        <f>IFERROR(VLOOKUP(DATA!#REF!,DATA!#REF!,1,FALSE),"")</f>
        <v/>
      </c>
      <c r="D824" s="16" t="str">
        <f>IFERROR(VLOOKUP(C824,DATA!#REF!,2,FALSE),"")</f>
        <v/>
      </c>
      <c r="I824" s="17"/>
      <c r="J824" s="17"/>
      <c r="P824" s="17"/>
      <c r="Q824" s="17"/>
    </row>
    <row r="825" spans="2:17">
      <c r="B825" s="15" t="str">
        <f t="shared" si="54"/>
        <v/>
      </c>
      <c r="C825" s="16" t="str">
        <f>IFERROR(VLOOKUP(DATA!#REF!,DATA!#REF!,1,FALSE),"")</f>
        <v/>
      </c>
      <c r="D825" s="16" t="str">
        <f>IFERROR(VLOOKUP(C825,DATA!#REF!,2,FALSE),"")</f>
        <v/>
      </c>
      <c r="I825" s="17"/>
      <c r="J825" s="17"/>
      <c r="P825" s="17"/>
      <c r="Q825" s="17"/>
    </row>
    <row r="826" spans="2:17">
      <c r="B826" s="15" t="str">
        <f t="shared" si="54"/>
        <v/>
      </c>
      <c r="C826" s="16" t="str">
        <f>IFERROR(VLOOKUP(DATA!#REF!,DATA!#REF!,1,FALSE),"")</f>
        <v/>
      </c>
      <c r="D826" s="16" t="str">
        <f>IFERROR(VLOOKUP(C826,DATA!#REF!,2,FALSE),"")</f>
        <v/>
      </c>
      <c r="I826" s="17"/>
      <c r="J826" s="17"/>
      <c r="P826" s="17"/>
      <c r="Q826" s="17"/>
    </row>
    <row r="827" spans="2:17">
      <c r="B827" s="15" t="str">
        <f t="shared" si="54"/>
        <v/>
      </c>
      <c r="C827" s="16" t="str">
        <f>IFERROR(VLOOKUP(DATA!#REF!,DATA!#REF!,1,FALSE),"")</f>
        <v/>
      </c>
      <c r="D827" s="16" t="str">
        <f>IFERROR(VLOOKUP(C827,DATA!#REF!,2,FALSE),"")</f>
        <v/>
      </c>
      <c r="I827" s="17"/>
      <c r="J827" s="17"/>
      <c r="P827" s="17"/>
      <c r="Q827" s="17"/>
    </row>
    <row r="828" spans="2:17">
      <c r="B828" s="15" t="str">
        <f t="shared" si="54"/>
        <v/>
      </c>
      <c r="C828" s="16" t="str">
        <f>IFERROR(VLOOKUP(DATA!#REF!,DATA!#REF!,1,FALSE),"")</f>
        <v/>
      </c>
      <c r="D828" s="16" t="str">
        <f>IFERROR(VLOOKUP(C828,DATA!#REF!,2,FALSE),"")</f>
        <v/>
      </c>
      <c r="I828" s="17"/>
      <c r="J828" s="17"/>
      <c r="P828" s="17"/>
      <c r="Q828" s="17"/>
    </row>
    <row r="829" spans="2:17">
      <c r="B829" s="15" t="str">
        <f t="shared" si="54"/>
        <v/>
      </c>
      <c r="C829" s="16" t="str">
        <f>IFERROR(VLOOKUP(DATA!#REF!,DATA!#REF!,1,FALSE),"")</f>
        <v/>
      </c>
      <c r="D829" s="16" t="str">
        <f>IFERROR(VLOOKUP(C829,DATA!#REF!,2,FALSE),"")</f>
        <v/>
      </c>
      <c r="I829" s="17"/>
      <c r="J829" s="17"/>
      <c r="P829" s="17"/>
      <c r="Q829" s="17"/>
    </row>
    <row r="830" spans="2:17">
      <c r="B830" s="15" t="str">
        <f t="shared" si="54"/>
        <v/>
      </c>
      <c r="C830" s="16" t="str">
        <f>IFERROR(VLOOKUP(DATA!#REF!,DATA!#REF!,1,FALSE),"")</f>
        <v/>
      </c>
      <c r="D830" s="16" t="str">
        <f>IFERROR(VLOOKUP(C830,DATA!#REF!,2,FALSE),"")</f>
        <v/>
      </c>
      <c r="I830" s="17"/>
      <c r="J830" s="17"/>
      <c r="P830" s="17"/>
      <c r="Q830" s="17"/>
    </row>
    <row r="831" spans="2:17">
      <c r="B831" s="15" t="str">
        <f t="shared" si="54"/>
        <v/>
      </c>
      <c r="C831" s="16" t="str">
        <f>IFERROR(VLOOKUP(DATA!#REF!,DATA!#REF!,1,FALSE),"")</f>
        <v/>
      </c>
      <c r="D831" s="16" t="str">
        <f>IFERROR(VLOOKUP(C831,DATA!#REF!,2,FALSE),"")</f>
        <v/>
      </c>
      <c r="I831" s="17"/>
      <c r="J831" s="17"/>
      <c r="P831" s="17"/>
      <c r="Q831" s="17"/>
    </row>
    <row r="832" spans="2:17">
      <c r="B832" s="15" t="str">
        <f t="shared" si="54"/>
        <v/>
      </c>
      <c r="C832" s="16" t="str">
        <f>IFERROR(VLOOKUP(DATA!#REF!,DATA!#REF!,1,FALSE),"")</f>
        <v/>
      </c>
      <c r="D832" s="16" t="str">
        <f>IFERROR(VLOOKUP(C832,DATA!#REF!,2,FALSE),"")</f>
        <v/>
      </c>
      <c r="I832" s="17"/>
      <c r="J832" s="17"/>
      <c r="P832" s="17"/>
      <c r="Q832" s="17"/>
    </row>
    <row r="833" spans="2:17">
      <c r="B833" s="15" t="str">
        <f t="shared" si="54"/>
        <v/>
      </c>
      <c r="C833" s="16" t="str">
        <f>IFERROR(VLOOKUP(DATA!#REF!,DATA!#REF!,1,FALSE),"")</f>
        <v/>
      </c>
      <c r="D833" s="16" t="str">
        <f>IFERROR(VLOOKUP(C833,DATA!#REF!,2,FALSE),"")</f>
        <v/>
      </c>
      <c r="I833" s="17"/>
      <c r="J833" s="17"/>
      <c r="P833" s="17"/>
      <c r="Q833" s="17"/>
    </row>
    <row r="834" spans="2:17">
      <c r="B834" s="15" t="str">
        <f t="shared" si="54"/>
        <v/>
      </c>
      <c r="C834" s="16" t="str">
        <f>IFERROR(VLOOKUP(DATA!#REF!,DATA!#REF!,1,FALSE),"")</f>
        <v/>
      </c>
      <c r="D834" s="16" t="str">
        <f>IFERROR(VLOOKUP(C834,DATA!#REF!,2,FALSE),"")</f>
        <v/>
      </c>
      <c r="I834" s="17"/>
      <c r="J834" s="17"/>
      <c r="P834" s="17"/>
      <c r="Q834" s="17"/>
    </row>
    <row r="835" spans="2:17">
      <c r="B835" s="15" t="str">
        <f t="shared" si="54"/>
        <v/>
      </c>
      <c r="C835" s="16" t="str">
        <f>IFERROR(VLOOKUP(DATA!#REF!,DATA!#REF!,1,FALSE),"")</f>
        <v/>
      </c>
      <c r="D835" s="16" t="str">
        <f>IFERROR(VLOOKUP(C835,DATA!#REF!,2,FALSE),"")</f>
        <v/>
      </c>
      <c r="I835" s="17"/>
      <c r="J835" s="17"/>
      <c r="P835" s="17"/>
      <c r="Q835" s="17"/>
    </row>
    <row r="836" spans="2:17">
      <c r="B836" s="15" t="str">
        <f t="shared" si="54"/>
        <v/>
      </c>
      <c r="C836" s="16" t="str">
        <f>IFERROR(VLOOKUP(DATA!#REF!,DATA!#REF!,1,FALSE),"")</f>
        <v/>
      </c>
      <c r="D836" s="16" t="str">
        <f>IFERROR(VLOOKUP(C836,DATA!#REF!,2,FALSE),"")</f>
        <v/>
      </c>
      <c r="I836" s="17"/>
      <c r="J836" s="17"/>
      <c r="P836" s="17"/>
      <c r="Q836" s="17"/>
    </row>
    <row r="837" spans="2:17">
      <c r="B837" s="15" t="str">
        <f t="shared" si="54"/>
        <v/>
      </c>
      <c r="C837" s="16" t="str">
        <f>IFERROR(VLOOKUP(DATA!#REF!,DATA!#REF!,1,FALSE),"")</f>
        <v/>
      </c>
      <c r="D837" s="16" t="str">
        <f>IFERROR(VLOOKUP(C837,DATA!#REF!,2,FALSE),"")</f>
        <v/>
      </c>
      <c r="I837" s="17"/>
      <c r="J837" s="17"/>
      <c r="P837" s="17"/>
      <c r="Q837" s="17"/>
    </row>
    <row r="838" spans="2:17">
      <c r="B838" s="15" t="str">
        <f t="shared" si="54"/>
        <v/>
      </c>
      <c r="C838" s="16" t="str">
        <f>IFERROR(VLOOKUP(DATA!#REF!,DATA!#REF!,1,FALSE),"")</f>
        <v/>
      </c>
      <c r="D838" s="16" t="str">
        <f>IFERROR(VLOOKUP(C838,DATA!#REF!,2,FALSE),"")</f>
        <v/>
      </c>
      <c r="I838" s="17"/>
      <c r="J838" s="17"/>
      <c r="P838" s="17"/>
      <c r="Q838" s="17"/>
    </row>
    <row r="839" spans="2:17">
      <c r="B839" s="15" t="str">
        <f t="shared" si="54"/>
        <v/>
      </c>
      <c r="C839" s="16" t="str">
        <f>IFERROR(VLOOKUP(DATA!#REF!,DATA!#REF!,1,FALSE),"")</f>
        <v/>
      </c>
      <c r="D839" s="16" t="str">
        <f>IFERROR(VLOOKUP(C839,DATA!#REF!,2,FALSE),"")</f>
        <v/>
      </c>
      <c r="I839" s="17"/>
      <c r="J839" s="17"/>
      <c r="P839" s="17"/>
      <c r="Q839" s="17"/>
    </row>
    <row r="840" spans="2:17">
      <c r="B840" s="15" t="str">
        <f t="shared" si="54"/>
        <v/>
      </c>
      <c r="C840" s="16" t="str">
        <f>IFERROR(VLOOKUP(DATA!#REF!,DATA!#REF!,1,FALSE),"")</f>
        <v/>
      </c>
      <c r="D840" s="16" t="str">
        <f>IFERROR(VLOOKUP(C840,DATA!#REF!,2,FALSE),"")</f>
        <v/>
      </c>
      <c r="I840" s="17"/>
      <c r="J840" s="17"/>
      <c r="P840" s="17"/>
      <c r="Q840" s="17"/>
    </row>
    <row r="841" spans="2:17">
      <c r="B841" s="15" t="str">
        <f t="shared" si="54"/>
        <v/>
      </c>
      <c r="C841" s="16" t="str">
        <f>IFERROR(VLOOKUP(DATA!#REF!,DATA!#REF!,1,FALSE),"")</f>
        <v/>
      </c>
      <c r="D841" s="16" t="str">
        <f>IFERROR(VLOOKUP(C841,DATA!#REF!,2,FALSE),"")</f>
        <v/>
      </c>
      <c r="I841" s="17"/>
      <c r="J841" s="17"/>
      <c r="P841" s="17"/>
      <c r="Q841" s="17"/>
    </row>
    <row r="842" spans="2:17">
      <c r="B842" s="15" t="str">
        <f t="shared" si="54"/>
        <v/>
      </c>
      <c r="C842" s="16" t="str">
        <f>IFERROR(VLOOKUP(DATA!#REF!,DATA!#REF!,1,FALSE),"")</f>
        <v/>
      </c>
      <c r="D842" s="16" t="str">
        <f>IFERROR(VLOOKUP(C842,DATA!#REF!,2,FALSE),"")</f>
        <v/>
      </c>
      <c r="I842" s="17"/>
      <c r="J842" s="17"/>
      <c r="P842" s="17"/>
      <c r="Q842" s="17"/>
    </row>
    <row r="843" spans="2:17">
      <c r="B843" s="15" t="str">
        <f t="shared" si="54"/>
        <v/>
      </c>
      <c r="C843" s="16" t="str">
        <f>IFERROR(VLOOKUP(DATA!#REF!,DATA!#REF!,1,FALSE),"")</f>
        <v/>
      </c>
      <c r="D843" s="16" t="str">
        <f>IFERROR(VLOOKUP(C843,DATA!#REF!,2,FALSE),"")</f>
        <v/>
      </c>
      <c r="I843" s="17"/>
      <c r="J843" s="17"/>
      <c r="P843" s="17"/>
      <c r="Q843" s="17"/>
    </row>
    <row r="844" spans="2:17">
      <c r="B844" s="15" t="str">
        <f t="shared" si="54"/>
        <v/>
      </c>
      <c r="C844" s="16" t="str">
        <f>IFERROR(VLOOKUP(DATA!#REF!,DATA!#REF!,1,FALSE),"")</f>
        <v/>
      </c>
      <c r="D844" s="16" t="str">
        <f>IFERROR(VLOOKUP(C844,DATA!#REF!,2,FALSE),"")</f>
        <v/>
      </c>
      <c r="I844" s="17"/>
      <c r="J844" s="17"/>
      <c r="P844" s="17"/>
      <c r="Q844" s="17"/>
    </row>
    <row r="845" spans="2:17">
      <c r="B845" s="15" t="str">
        <f t="shared" si="54"/>
        <v/>
      </c>
      <c r="C845" s="16" t="str">
        <f>IFERROR(VLOOKUP(DATA!#REF!,DATA!#REF!,1,FALSE),"")</f>
        <v/>
      </c>
      <c r="D845" s="16" t="str">
        <f>IFERROR(VLOOKUP(C845,DATA!#REF!,2,FALSE),"")</f>
        <v/>
      </c>
      <c r="I845" s="17"/>
      <c r="J845" s="17"/>
      <c r="P845" s="17"/>
      <c r="Q845" s="17"/>
    </row>
    <row r="846" spans="2:17">
      <c r="B846" s="15" t="str">
        <f t="shared" si="54"/>
        <v/>
      </c>
      <c r="C846" s="16" t="str">
        <f>IFERROR(VLOOKUP(DATA!#REF!,DATA!#REF!,1,FALSE),"")</f>
        <v/>
      </c>
      <c r="D846" s="16" t="str">
        <f>IFERROR(VLOOKUP(C846,DATA!#REF!,2,FALSE),"")</f>
        <v/>
      </c>
      <c r="I846" s="17"/>
      <c r="J846" s="17"/>
      <c r="P846" s="17"/>
      <c r="Q846" s="17"/>
    </row>
    <row r="847" spans="2:17">
      <c r="B847" s="15" t="str">
        <f t="shared" si="54"/>
        <v/>
      </c>
      <c r="C847" s="16" t="str">
        <f>IFERROR(VLOOKUP(DATA!#REF!,DATA!#REF!,1,FALSE),"")</f>
        <v/>
      </c>
      <c r="D847" s="16" t="str">
        <f>IFERROR(VLOOKUP(C847,DATA!#REF!,2,FALSE),"")</f>
        <v/>
      </c>
      <c r="I847" s="17"/>
      <c r="J847" s="17"/>
      <c r="P847" s="17"/>
      <c r="Q847" s="17"/>
    </row>
    <row r="848" spans="2:17">
      <c r="B848" s="15" t="str">
        <f t="shared" si="54"/>
        <v/>
      </c>
      <c r="C848" s="16" t="str">
        <f>IFERROR(VLOOKUP(DATA!#REF!,DATA!#REF!,1,FALSE),"")</f>
        <v/>
      </c>
      <c r="D848" s="16" t="str">
        <f>IFERROR(VLOOKUP(C848,DATA!#REF!,2,FALSE),"")</f>
        <v/>
      </c>
      <c r="I848" s="17"/>
      <c r="J848" s="17"/>
      <c r="P848" s="17"/>
      <c r="Q848" s="17"/>
    </row>
    <row r="849" spans="2:17">
      <c r="B849" s="15" t="str">
        <f t="shared" si="54"/>
        <v/>
      </c>
      <c r="C849" s="16" t="str">
        <f>IFERROR(VLOOKUP(DATA!#REF!,DATA!#REF!,1,FALSE),"")</f>
        <v/>
      </c>
      <c r="D849" s="16" t="str">
        <f>IFERROR(VLOOKUP(C849,DATA!#REF!,2,FALSE),"")</f>
        <v/>
      </c>
      <c r="I849" s="17"/>
      <c r="J849" s="17"/>
      <c r="P849" s="17"/>
      <c r="Q849" s="17"/>
    </row>
    <row r="850" spans="2:17">
      <c r="B850" s="15" t="str">
        <f t="shared" si="54"/>
        <v/>
      </c>
      <c r="C850" s="16" t="str">
        <f>IFERROR(VLOOKUP(DATA!#REF!,DATA!#REF!,1,FALSE),"")</f>
        <v/>
      </c>
      <c r="D850" s="16" t="str">
        <f>IFERROR(VLOOKUP(C850,DATA!#REF!,2,FALSE),"")</f>
        <v/>
      </c>
      <c r="I850" s="17"/>
      <c r="J850" s="17"/>
      <c r="P850" s="17"/>
      <c r="Q850" s="17"/>
    </row>
    <row r="851" spans="2:17">
      <c r="B851" s="15" t="str">
        <f t="shared" si="54"/>
        <v/>
      </c>
      <c r="C851" s="16" t="str">
        <f>IFERROR(VLOOKUP(DATA!#REF!,DATA!#REF!,1,FALSE),"")</f>
        <v/>
      </c>
      <c r="D851" s="16" t="str">
        <f>IFERROR(VLOOKUP(C851,DATA!#REF!,2,FALSE),"")</f>
        <v/>
      </c>
      <c r="I851" s="17"/>
      <c r="J851" s="17"/>
      <c r="P851" s="17"/>
      <c r="Q851" s="17"/>
    </row>
    <row r="852" spans="2:17">
      <c r="B852" s="15" t="str">
        <f t="shared" si="54"/>
        <v/>
      </c>
      <c r="C852" s="16" t="str">
        <f>IFERROR(VLOOKUP(DATA!#REF!,DATA!#REF!,1,FALSE),"")</f>
        <v/>
      </c>
      <c r="D852" s="16" t="str">
        <f>IFERROR(VLOOKUP(C852,DATA!#REF!,2,FALSE),"")</f>
        <v/>
      </c>
      <c r="I852" s="17"/>
      <c r="J852" s="17"/>
      <c r="P852" s="17"/>
      <c r="Q852" s="17"/>
    </row>
    <row r="853" spans="2:17">
      <c r="B853" s="15" t="str">
        <f t="shared" si="54"/>
        <v/>
      </c>
      <c r="C853" s="16" t="str">
        <f>IFERROR(VLOOKUP(DATA!#REF!,DATA!#REF!,1,FALSE),"")</f>
        <v/>
      </c>
      <c r="D853" s="16" t="str">
        <f>IFERROR(VLOOKUP(C853,DATA!#REF!,2,FALSE),"")</f>
        <v/>
      </c>
      <c r="I853" s="17"/>
      <c r="J853" s="17"/>
      <c r="P853" s="17"/>
      <c r="Q853" s="17"/>
    </row>
    <row r="854" spans="2:17">
      <c r="B854" s="15" t="str">
        <f t="shared" si="54"/>
        <v/>
      </c>
      <c r="C854" s="16" t="str">
        <f>IFERROR(VLOOKUP(DATA!#REF!,DATA!#REF!,1,FALSE),"")</f>
        <v/>
      </c>
      <c r="D854" s="16" t="str">
        <f>IFERROR(VLOOKUP(C854,DATA!#REF!,2,FALSE),"")</f>
        <v/>
      </c>
      <c r="I854" s="17"/>
      <c r="J854" s="17"/>
      <c r="P854" s="17"/>
      <c r="Q854" s="17"/>
    </row>
    <row r="855" spans="2:17">
      <c r="B855" s="15" t="str">
        <f t="shared" si="54"/>
        <v/>
      </c>
      <c r="C855" s="16" t="str">
        <f>IFERROR(VLOOKUP(DATA!#REF!,DATA!#REF!,1,FALSE),"")</f>
        <v/>
      </c>
      <c r="D855" s="16" t="str">
        <f>IFERROR(VLOOKUP(C855,DATA!#REF!,2,FALSE),"")</f>
        <v/>
      </c>
      <c r="I855" s="17"/>
      <c r="J855" s="17"/>
      <c r="P855" s="17"/>
      <c r="Q855" s="17"/>
    </row>
    <row r="856" spans="2:17">
      <c r="B856" s="15" t="str">
        <f t="shared" si="54"/>
        <v/>
      </c>
      <c r="C856" s="16" t="str">
        <f>IFERROR(VLOOKUP(DATA!#REF!,DATA!#REF!,1,FALSE),"")</f>
        <v/>
      </c>
      <c r="D856" s="16" t="str">
        <f>IFERROR(VLOOKUP(C856,DATA!#REF!,2,FALSE),"")</f>
        <v/>
      </c>
      <c r="I856" s="17"/>
      <c r="J856" s="17"/>
      <c r="P856" s="17"/>
      <c r="Q856" s="17"/>
    </row>
    <row r="857" spans="2:17">
      <c r="B857" s="15" t="str">
        <f t="shared" si="54"/>
        <v/>
      </c>
      <c r="C857" s="16" t="str">
        <f>IFERROR(VLOOKUP(DATA!#REF!,DATA!#REF!,1,FALSE),"")</f>
        <v/>
      </c>
      <c r="D857" s="16" t="str">
        <f>IFERROR(VLOOKUP(C857,DATA!#REF!,2,FALSE),"")</f>
        <v/>
      </c>
      <c r="I857" s="17"/>
      <c r="J857" s="17"/>
      <c r="P857" s="17"/>
      <c r="Q857" s="17"/>
    </row>
    <row r="858" spans="2:17">
      <c r="B858" s="15" t="str">
        <f t="shared" si="54"/>
        <v/>
      </c>
      <c r="C858" s="16" t="str">
        <f>IFERROR(VLOOKUP(DATA!#REF!,DATA!#REF!,1,FALSE),"")</f>
        <v/>
      </c>
      <c r="D858" s="16" t="str">
        <f>IFERROR(VLOOKUP(C858,DATA!#REF!,2,FALSE),"")</f>
        <v/>
      </c>
      <c r="I858" s="17"/>
      <c r="J858" s="17"/>
      <c r="P858" s="17"/>
      <c r="Q858" s="17"/>
    </row>
    <row r="859" spans="2:17">
      <c r="B859" s="15" t="str">
        <f t="shared" si="54"/>
        <v/>
      </c>
      <c r="C859" s="16" t="str">
        <f>IFERROR(VLOOKUP(DATA!#REF!,DATA!#REF!,1,FALSE),"")</f>
        <v/>
      </c>
      <c r="D859" s="16" t="str">
        <f>IFERROR(VLOOKUP(C859,DATA!#REF!,2,FALSE),"")</f>
        <v/>
      </c>
      <c r="I859" s="17"/>
      <c r="J859" s="17"/>
      <c r="P859" s="17"/>
      <c r="Q859" s="17"/>
    </row>
    <row r="860" spans="2:17">
      <c r="B860" s="15" t="str">
        <f t="shared" si="54"/>
        <v/>
      </c>
      <c r="C860" s="16" t="str">
        <f>IFERROR(VLOOKUP(DATA!#REF!,DATA!#REF!,1,FALSE),"")</f>
        <v/>
      </c>
      <c r="D860" s="16" t="str">
        <f>IFERROR(VLOOKUP(C860,DATA!#REF!,2,FALSE),"")</f>
        <v/>
      </c>
      <c r="I860" s="17"/>
      <c r="J860" s="17"/>
      <c r="P860" s="17"/>
      <c r="Q860" s="17"/>
    </row>
    <row r="861" spans="2:17">
      <c r="B861" s="15" t="str">
        <f t="shared" si="54"/>
        <v/>
      </c>
      <c r="C861" s="16" t="str">
        <f>IFERROR(VLOOKUP(DATA!#REF!,DATA!#REF!,1,FALSE),"")</f>
        <v/>
      </c>
      <c r="D861" s="16" t="str">
        <f>IFERROR(VLOOKUP(C861,DATA!#REF!,2,FALSE),"")</f>
        <v/>
      </c>
      <c r="I861" s="17"/>
      <c r="J861" s="17"/>
      <c r="P861" s="17"/>
      <c r="Q861" s="17"/>
    </row>
    <row r="862" spans="2:17">
      <c r="B862" s="15" t="str">
        <f t="shared" si="54"/>
        <v/>
      </c>
      <c r="C862" s="16" t="str">
        <f>IFERROR(VLOOKUP(DATA!#REF!,DATA!#REF!,1,FALSE),"")</f>
        <v/>
      </c>
      <c r="D862" s="16" t="str">
        <f>IFERROR(VLOOKUP(C862,DATA!#REF!,2,FALSE),"")</f>
        <v/>
      </c>
      <c r="I862" s="17"/>
      <c r="J862" s="17"/>
      <c r="P862" s="17"/>
      <c r="Q862" s="17"/>
    </row>
    <row r="863" spans="2:17">
      <c r="B863" s="15" t="str">
        <f t="shared" si="54"/>
        <v/>
      </c>
      <c r="C863" s="16" t="str">
        <f>IFERROR(VLOOKUP(DATA!#REF!,DATA!#REF!,1,FALSE),"")</f>
        <v/>
      </c>
      <c r="D863" s="16" t="str">
        <f>IFERROR(VLOOKUP(C863,DATA!#REF!,2,FALSE),"")</f>
        <v/>
      </c>
      <c r="I863" s="17"/>
      <c r="J863" s="17"/>
      <c r="P863" s="17"/>
      <c r="Q863" s="17"/>
    </row>
    <row r="864" spans="2:17">
      <c r="B864" s="15" t="str">
        <f t="shared" si="54"/>
        <v/>
      </c>
      <c r="C864" s="16" t="str">
        <f>IFERROR(VLOOKUP(DATA!#REF!,DATA!#REF!,1,FALSE),"")</f>
        <v/>
      </c>
      <c r="D864" s="16" t="str">
        <f>IFERROR(VLOOKUP(C864,DATA!#REF!,2,FALSE),"")</f>
        <v/>
      </c>
      <c r="I864" s="17"/>
      <c r="J864" s="17"/>
      <c r="P864" s="17"/>
      <c r="Q864" s="17"/>
    </row>
    <row r="865" spans="2:17">
      <c r="B865" s="15" t="str">
        <f t="shared" si="54"/>
        <v/>
      </c>
      <c r="C865" s="16" t="str">
        <f>IFERROR(VLOOKUP(DATA!#REF!,DATA!#REF!,1,FALSE),"")</f>
        <v/>
      </c>
      <c r="D865" s="16" t="str">
        <f>IFERROR(VLOOKUP(C865,DATA!#REF!,2,FALSE),"")</f>
        <v/>
      </c>
      <c r="I865" s="17"/>
      <c r="J865" s="17"/>
      <c r="P865" s="17"/>
      <c r="Q865" s="17"/>
    </row>
    <row r="866" spans="2:17">
      <c r="B866" s="15" t="str">
        <f t="shared" si="54"/>
        <v/>
      </c>
      <c r="C866" s="16" t="str">
        <f>IFERROR(VLOOKUP(DATA!#REF!,DATA!#REF!,1,FALSE),"")</f>
        <v/>
      </c>
      <c r="D866" s="16" t="str">
        <f>IFERROR(VLOOKUP(C866,DATA!#REF!,2,FALSE),"")</f>
        <v/>
      </c>
      <c r="I866" s="17"/>
      <c r="J866" s="17"/>
      <c r="P866" s="17"/>
      <c r="Q866" s="17"/>
    </row>
    <row r="867" spans="2:17">
      <c r="B867" s="15" t="str">
        <f t="shared" si="54"/>
        <v/>
      </c>
      <c r="C867" s="16" t="str">
        <f>IFERROR(VLOOKUP(DATA!#REF!,DATA!#REF!,1,FALSE),"")</f>
        <v/>
      </c>
      <c r="D867" s="16" t="str">
        <f>IFERROR(VLOOKUP(C867,DATA!#REF!,2,FALSE),"")</f>
        <v/>
      </c>
      <c r="I867" s="17"/>
      <c r="J867" s="17"/>
      <c r="P867" s="17"/>
      <c r="Q867" s="17"/>
    </row>
    <row r="868" spans="2:17">
      <c r="B868" s="15" t="str">
        <f t="shared" si="54"/>
        <v/>
      </c>
      <c r="C868" s="16" t="str">
        <f>IFERROR(VLOOKUP(DATA!#REF!,DATA!#REF!,1,FALSE),"")</f>
        <v/>
      </c>
      <c r="D868" s="16" t="str">
        <f>IFERROR(VLOOKUP(C868,DATA!#REF!,2,FALSE),"")</f>
        <v/>
      </c>
      <c r="I868" s="17"/>
      <c r="J868" s="17"/>
      <c r="P868" s="17"/>
      <c r="Q868" s="17"/>
    </row>
    <row r="869" spans="2:17">
      <c r="B869" s="15" t="str">
        <f t="shared" si="54"/>
        <v/>
      </c>
      <c r="C869" s="16" t="str">
        <f>IFERROR(VLOOKUP(DATA!#REF!,DATA!#REF!,1,FALSE),"")</f>
        <v/>
      </c>
      <c r="D869" s="16" t="str">
        <f>IFERROR(VLOOKUP(C869,DATA!#REF!,2,FALSE),"")</f>
        <v/>
      </c>
      <c r="I869" s="17"/>
      <c r="J869" s="17"/>
      <c r="P869" s="17"/>
      <c r="Q869" s="17"/>
    </row>
    <row r="870" spans="2:17">
      <c r="B870" s="15" t="str">
        <f t="shared" si="54"/>
        <v/>
      </c>
      <c r="C870" s="16" t="str">
        <f>IFERROR(VLOOKUP(DATA!#REF!,DATA!#REF!,1,FALSE),"")</f>
        <v/>
      </c>
      <c r="D870" s="16" t="str">
        <f>IFERROR(VLOOKUP(C870,DATA!#REF!,2,FALSE),"")</f>
        <v/>
      </c>
      <c r="I870" s="17"/>
      <c r="J870" s="17"/>
      <c r="P870" s="17"/>
      <c r="Q870" s="17"/>
    </row>
    <row r="871" spans="2:17">
      <c r="B871" s="15" t="str">
        <f t="shared" si="54"/>
        <v/>
      </c>
      <c r="C871" s="16" t="str">
        <f>IFERROR(VLOOKUP(DATA!#REF!,DATA!#REF!,1,FALSE),"")</f>
        <v/>
      </c>
      <c r="D871" s="16" t="str">
        <f>IFERROR(VLOOKUP(C871,DATA!#REF!,2,FALSE),"")</f>
        <v/>
      </c>
      <c r="I871" s="17"/>
      <c r="J871" s="17"/>
      <c r="P871" s="17"/>
      <c r="Q871" s="17"/>
    </row>
    <row r="872" spans="2:17">
      <c r="B872" s="15" t="str">
        <f t="shared" si="54"/>
        <v/>
      </c>
      <c r="C872" s="16" t="str">
        <f>IFERROR(VLOOKUP(DATA!#REF!,DATA!#REF!,1,FALSE),"")</f>
        <v/>
      </c>
      <c r="D872" s="16" t="str">
        <f>IFERROR(VLOOKUP(C872,DATA!#REF!,2,FALSE),"")</f>
        <v/>
      </c>
      <c r="I872" s="17"/>
      <c r="J872" s="17"/>
      <c r="P872" s="17"/>
      <c r="Q872" s="17"/>
    </row>
    <row r="873" spans="2:17">
      <c r="B873" s="15" t="str">
        <f t="shared" si="54"/>
        <v/>
      </c>
      <c r="C873" s="16" t="str">
        <f>IFERROR(VLOOKUP(DATA!#REF!,DATA!#REF!,1,FALSE),"")</f>
        <v/>
      </c>
      <c r="D873" s="16" t="str">
        <f>IFERROR(VLOOKUP(C873,DATA!#REF!,2,FALSE),"")</f>
        <v/>
      </c>
      <c r="I873" s="17"/>
      <c r="J873" s="17"/>
      <c r="P873" s="17"/>
      <c r="Q873" s="17"/>
    </row>
    <row r="874" spans="2:17">
      <c r="B874" s="15" t="str">
        <f t="shared" si="54"/>
        <v/>
      </c>
      <c r="C874" s="16" t="str">
        <f>IFERROR(VLOOKUP(DATA!#REF!,DATA!#REF!,1,FALSE),"")</f>
        <v/>
      </c>
      <c r="D874" s="16" t="str">
        <f>IFERROR(VLOOKUP(C874,DATA!#REF!,2,FALSE),"")</f>
        <v/>
      </c>
      <c r="I874" s="17"/>
      <c r="J874" s="17"/>
      <c r="P874" s="17"/>
      <c r="Q874" s="17"/>
    </row>
    <row r="875" spans="2:17">
      <c r="B875" s="15" t="str">
        <f t="shared" si="54"/>
        <v/>
      </c>
      <c r="C875" s="16" t="str">
        <f>IFERROR(VLOOKUP(DATA!#REF!,DATA!#REF!,1,FALSE),"")</f>
        <v/>
      </c>
      <c r="D875" s="16" t="str">
        <f>IFERROR(VLOOKUP(C875,DATA!#REF!,2,FALSE),"")</f>
        <v/>
      </c>
      <c r="I875" s="17"/>
      <c r="J875" s="17"/>
      <c r="P875" s="17"/>
      <c r="Q875" s="17"/>
    </row>
    <row r="876" spans="2:17">
      <c r="B876" s="15" t="str">
        <f t="shared" si="54"/>
        <v/>
      </c>
      <c r="C876" s="16" t="str">
        <f>IFERROR(VLOOKUP(DATA!#REF!,DATA!#REF!,1,FALSE),"")</f>
        <v/>
      </c>
      <c r="D876" s="16" t="str">
        <f>IFERROR(VLOOKUP(C876,DATA!#REF!,2,FALSE),"")</f>
        <v/>
      </c>
      <c r="I876" s="17"/>
      <c r="J876" s="17"/>
      <c r="P876" s="17"/>
      <c r="Q876" s="17"/>
    </row>
    <row r="877" spans="2:17">
      <c r="B877" s="15" t="str">
        <f t="shared" si="54"/>
        <v/>
      </c>
      <c r="C877" s="16" t="str">
        <f>IFERROR(VLOOKUP(DATA!#REF!,DATA!#REF!,1,FALSE),"")</f>
        <v/>
      </c>
      <c r="D877" s="16" t="str">
        <f>IFERROR(VLOOKUP(C877,DATA!#REF!,2,FALSE),"")</f>
        <v/>
      </c>
      <c r="I877" s="17"/>
      <c r="J877" s="17"/>
      <c r="P877" s="17"/>
      <c r="Q877" s="17"/>
    </row>
    <row r="878" spans="2:17">
      <c r="B878" s="15" t="str">
        <f t="shared" si="54"/>
        <v/>
      </c>
      <c r="C878" s="16" t="str">
        <f>IFERROR(VLOOKUP(DATA!#REF!,DATA!#REF!,1,FALSE),"")</f>
        <v/>
      </c>
      <c r="D878" s="16" t="str">
        <f>IFERROR(VLOOKUP(C878,DATA!#REF!,2,FALSE),"")</f>
        <v/>
      </c>
      <c r="I878" s="17"/>
      <c r="J878" s="17"/>
      <c r="P878" s="17"/>
      <c r="Q878" s="17"/>
    </row>
    <row r="879" spans="2:17">
      <c r="B879" s="15" t="str">
        <f t="shared" si="54"/>
        <v/>
      </c>
      <c r="C879" s="16" t="str">
        <f>IFERROR(VLOOKUP(DATA!#REF!,DATA!#REF!,1,FALSE),"")</f>
        <v/>
      </c>
      <c r="D879" s="16" t="str">
        <f>IFERROR(VLOOKUP(C879,DATA!#REF!,2,FALSE),"")</f>
        <v/>
      </c>
      <c r="I879" s="17"/>
      <c r="J879" s="17"/>
      <c r="P879" s="17"/>
      <c r="Q879" s="17"/>
    </row>
    <row r="880" spans="2:17">
      <c r="B880" s="15" t="str">
        <f t="shared" si="54"/>
        <v/>
      </c>
      <c r="C880" s="16" t="str">
        <f>IFERROR(VLOOKUP(DATA!#REF!,DATA!#REF!,1,FALSE),"")</f>
        <v/>
      </c>
      <c r="D880" s="16" t="str">
        <f>IFERROR(VLOOKUP(C880,DATA!#REF!,2,FALSE),"")</f>
        <v/>
      </c>
      <c r="I880" s="17"/>
      <c r="J880" s="17"/>
      <c r="P880" s="17"/>
      <c r="Q880" s="17"/>
    </row>
    <row r="881" spans="2:17">
      <c r="B881" s="15" t="str">
        <f t="shared" si="54"/>
        <v/>
      </c>
      <c r="C881" s="16" t="str">
        <f>IFERROR(VLOOKUP(DATA!#REF!,DATA!#REF!,1,FALSE),"")</f>
        <v/>
      </c>
      <c r="D881" s="16" t="str">
        <f>IFERROR(VLOOKUP(C881,DATA!#REF!,2,FALSE),"")</f>
        <v/>
      </c>
      <c r="I881" s="17"/>
      <c r="J881" s="17"/>
      <c r="P881" s="17"/>
      <c r="Q881" s="17"/>
    </row>
    <row r="882" spans="2:17">
      <c r="B882" s="15" t="str">
        <f t="shared" si="54"/>
        <v/>
      </c>
      <c r="C882" s="16" t="str">
        <f>IFERROR(VLOOKUP(DATA!#REF!,DATA!#REF!,1,FALSE),"")</f>
        <v/>
      </c>
      <c r="D882" s="16" t="str">
        <f>IFERROR(VLOOKUP(C882,DATA!#REF!,2,FALSE),"")</f>
        <v/>
      </c>
      <c r="I882" s="17"/>
      <c r="J882" s="17"/>
      <c r="P882" s="17"/>
      <c r="Q882" s="17"/>
    </row>
    <row r="883" spans="2:17">
      <c r="B883" s="15" t="str">
        <f t="shared" si="54"/>
        <v/>
      </c>
      <c r="C883" s="16" t="str">
        <f>IFERROR(VLOOKUP(DATA!#REF!,DATA!#REF!,1,FALSE),"")</f>
        <v/>
      </c>
      <c r="D883" s="16" t="str">
        <f>IFERROR(VLOOKUP(C883,DATA!#REF!,2,FALSE),"")</f>
        <v/>
      </c>
      <c r="I883" s="17"/>
      <c r="J883" s="17"/>
      <c r="P883" s="17"/>
      <c r="Q883" s="17"/>
    </row>
    <row r="884" spans="2:17">
      <c r="B884" s="15" t="str">
        <f t="shared" si="54"/>
        <v/>
      </c>
      <c r="C884" s="16" t="str">
        <f>IFERROR(VLOOKUP(DATA!#REF!,DATA!#REF!,1,FALSE),"")</f>
        <v/>
      </c>
      <c r="D884" s="16" t="str">
        <f>IFERROR(VLOOKUP(C884,DATA!#REF!,2,FALSE),"")</f>
        <v/>
      </c>
      <c r="I884" s="17"/>
      <c r="J884" s="17"/>
      <c r="P884" s="17"/>
      <c r="Q884" s="17"/>
    </row>
    <row r="885" spans="2:17">
      <c r="B885" s="15" t="str">
        <f t="shared" si="54"/>
        <v/>
      </c>
      <c r="C885" s="16" t="str">
        <f>IFERROR(VLOOKUP(DATA!#REF!,DATA!#REF!,1,FALSE),"")</f>
        <v/>
      </c>
      <c r="D885" s="16" t="str">
        <f>IFERROR(VLOOKUP(C885,DATA!#REF!,2,FALSE),"")</f>
        <v/>
      </c>
      <c r="I885" s="17"/>
      <c r="J885" s="17"/>
      <c r="P885" s="17"/>
      <c r="Q885" s="17"/>
    </row>
    <row r="886" spans="2:17">
      <c r="B886" s="15" t="str">
        <f t="shared" si="54"/>
        <v/>
      </c>
      <c r="C886" s="16" t="str">
        <f>IFERROR(VLOOKUP(DATA!#REF!,DATA!#REF!,1,FALSE),"")</f>
        <v/>
      </c>
      <c r="D886" s="16" t="str">
        <f>IFERROR(VLOOKUP(C886,DATA!#REF!,2,FALSE),"")</f>
        <v/>
      </c>
      <c r="I886" s="17"/>
      <c r="J886" s="17"/>
      <c r="P886" s="17"/>
      <c r="Q886" s="17"/>
    </row>
    <row r="887" spans="2:17">
      <c r="B887" s="15" t="str">
        <f t="shared" ref="B887:B950" si="55">+IF(C887="","",ROW()-5)</f>
        <v/>
      </c>
      <c r="C887" s="16" t="str">
        <f>IFERROR(VLOOKUP(DATA!#REF!,DATA!#REF!,1,FALSE),"")</f>
        <v/>
      </c>
      <c r="D887" s="16" t="str">
        <f>IFERROR(VLOOKUP(C887,DATA!#REF!,2,FALSE),"")</f>
        <v/>
      </c>
      <c r="I887" s="17"/>
      <c r="J887" s="17"/>
      <c r="P887" s="17"/>
      <c r="Q887" s="17"/>
    </row>
    <row r="888" spans="2:17">
      <c r="B888" s="15" t="str">
        <f t="shared" si="55"/>
        <v/>
      </c>
      <c r="C888" s="16" t="str">
        <f>IFERROR(VLOOKUP(DATA!#REF!,DATA!#REF!,1,FALSE),"")</f>
        <v/>
      </c>
      <c r="D888" s="16" t="str">
        <f>IFERROR(VLOOKUP(C888,DATA!#REF!,2,FALSE),"")</f>
        <v/>
      </c>
      <c r="I888" s="17"/>
      <c r="J888" s="17"/>
      <c r="P888" s="17"/>
      <c r="Q888" s="17"/>
    </row>
    <row r="889" spans="2:17">
      <c r="B889" s="15" t="str">
        <f t="shared" si="55"/>
        <v/>
      </c>
      <c r="C889" s="16" t="str">
        <f>IFERROR(VLOOKUP(DATA!#REF!,DATA!#REF!,1,FALSE),"")</f>
        <v/>
      </c>
      <c r="D889" s="16" t="str">
        <f>IFERROR(VLOOKUP(C889,DATA!#REF!,2,FALSE),"")</f>
        <v/>
      </c>
      <c r="I889" s="17"/>
      <c r="J889" s="17"/>
      <c r="P889" s="17"/>
      <c r="Q889" s="17"/>
    </row>
    <row r="890" spans="2:17">
      <c r="B890" s="15" t="str">
        <f t="shared" si="55"/>
        <v/>
      </c>
      <c r="C890" s="16" t="str">
        <f>IFERROR(VLOOKUP(DATA!#REF!,DATA!#REF!,1,FALSE),"")</f>
        <v/>
      </c>
      <c r="D890" s="16" t="str">
        <f>IFERROR(VLOOKUP(C890,DATA!#REF!,2,FALSE),"")</f>
        <v/>
      </c>
      <c r="I890" s="17"/>
      <c r="J890" s="17"/>
      <c r="P890" s="17"/>
      <c r="Q890" s="17"/>
    </row>
    <row r="891" spans="2:17">
      <c r="B891" s="15" t="str">
        <f t="shared" si="55"/>
        <v/>
      </c>
      <c r="C891" s="16" t="str">
        <f>IFERROR(VLOOKUP(DATA!#REF!,DATA!#REF!,1,FALSE),"")</f>
        <v/>
      </c>
      <c r="D891" s="16" t="str">
        <f>IFERROR(VLOOKUP(C891,DATA!#REF!,2,FALSE),"")</f>
        <v/>
      </c>
      <c r="I891" s="17"/>
      <c r="J891" s="17"/>
      <c r="P891" s="17"/>
      <c r="Q891" s="17"/>
    </row>
    <row r="892" spans="2:17">
      <c r="B892" s="15" t="str">
        <f t="shared" si="55"/>
        <v/>
      </c>
      <c r="C892" s="16" t="str">
        <f>IFERROR(VLOOKUP(DATA!#REF!,DATA!#REF!,1,FALSE),"")</f>
        <v/>
      </c>
      <c r="D892" s="16" t="str">
        <f>IFERROR(VLOOKUP(C892,DATA!#REF!,2,FALSE),"")</f>
        <v/>
      </c>
      <c r="I892" s="17"/>
      <c r="J892" s="17"/>
      <c r="P892" s="17"/>
      <c r="Q892" s="17"/>
    </row>
    <row r="893" spans="2:17">
      <c r="B893" s="15" t="str">
        <f t="shared" si="55"/>
        <v/>
      </c>
      <c r="C893" s="16" t="str">
        <f>IFERROR(VLOOKUP(DATA!#REF!,DATA!#REF!,1,FALSE),"")</f>
        <v/>
      </c>
      <c r="D893" s="16" t="str">
        <f>IFERROR(VLOOKUP(C893,DATA!#REF!,2,FALSE),"")</f>
        <v/>
      </c>
      <c r="I893" s="17"/>
      <c r="J893" s="17"/>
      <c r="P893" s="17"/>
      <c r="Q893" s="17"/>
    </row>
    <row r="894" spans="2:17">
      <c r="B894" s="15" t="str">
        <f t="shared" si="55"/>
        <v/>
      </c>
      <c r="C894" s="16" t="str">
        <f>IFERROR(VLOOKUP(DATA!#REF!,DATA!#REF!,1,FALSE),"")</f>
        <v/>
      </c>
      <c r="D894" s="16" t="str">
        <f>IFERROR(VLOOKUP(C894,DATA!#REF!,2,FALSE),"")</f>
        <v/>
      </c>
      <c r="I894" s="17"/>
      <c r="J894" s="17"/>
      <c r="P894" s="17"/>
      <c r="Q894" s="17"/>
    </row>
    <row r="895" spans="2:17">
      <c r="B895" s="15" t="str">
        <f t="shared" si="55"/>
        <v/>
      </c>
      <c r="C895" s="16" t="str">
        <f>IFERROR(VLOOKUP(DATA!#REF!,DATA!#REF!,1,FALSE),"")</f>
        <v/>
      </c>
      <c r="D895" s="16" t="str">
        <f>IFERROR(VLOOKUP(C895,DATA!#REF!,2,FALSE),"")</f>
        <v/>
      </c>
      <c r="I895" s="17"/>
      <c r="J895" s="17"/>
      <c r="P895" s="17"/>
      <c r="Q895" s="17"/>
    </row>
    <row r="896" spans="2:17">
      <c r="B896" s="15" t="str">
        <f t="shared" si="55"/>
        <v/>
      </c>
      <c r="C896" s="16" t="str">
        <f>IFERROR(VLOOKUP(DATA!#REF!,DATA!#REF!,1,FALSE),"")</f>
        <v/>
      </c>
      <c r="D896" s="16" t="str">
        <f>IFERROR(VLOOKUP(C896,DATA!#REF!,2,FALSE),"")</f>
        <v/>
      </c>
      <c r="I896" s="17"/>
      <c r="J896" s="17"/>
      <c r="P896" s="17"/>
      <c r="Q896" s="17"/>
    </row>
    <row r="897" spans="2:17">
      <c r="B897" s="15" t="str">
        <f t="shared" si="55"/>
        <v/>
      </c>
      <c r="C897" s="16" t="str">
        <f>IFERROR(VLOOKUP(DATA!#REF!,DATA!#REF!,1,FALSE),"")</f>
        <v/>
      </c>
      <c r="D897" s="16" t="str">
        <f>IFERROR(VLOOKUP(C897,DATA!#REF!,2,FALSE),"")</f>
        <v/>
      </c>
      <c r="I897" s="17"/>
      <c r="J897" s="17"/>
      <c r="P897" s="17"/>
      <c r="Q897" s="17"/>
    </row>
    <row r="898" spans="2:17">
      <c r="B898" s="15" t="str">
        <f t="shared" si="55"/>
        <v/>
      </c>
      <c r="C898" s="16" t="str">
        <f>IFERROR(VLOOKUP(DATA!#REF!,DATA!#REF!,1,FALSE),"")</f>
        <v/>
      </c>
      <c r="D898" s="16" t="str">
        <f>IFERROR(VLOOKUP(C898,DATA!#REF!,2,FALSE),"")</f>
        <v/>
      </c>
      <c r="I898" s="17"/>
      <c r="J898" s="17"/>
      <c r="P898" s="17"/>
      <c r="Q898" s="17"/>
    </row>
    <row r="899" spans="2:17">
      <c r="B899" s="15" t="str">
        <f t="shared" si="55"/>
        <v/>
      </c>
      <c r="C899" s="16" t="str">
        <f>IFERROR(VLOOKUP(DATA!#REF!,DATA!#REF!,1,FALSE),"")</f>
        <v/>
      </c>
      <c r="D899" s="16" t="str">
        <f>IFERROR(VLOOKUP(C899,DATA!#REF!,2,FALSE),"")</f>
        <v/>
      </c>
      <c r="I899" s="17"/>
      <c r="J899" s="17"/>
      <c r="P899" s="17"/>
      <c r="Q899" s="17"/>
    </row>
    <row r="900" spans="2:17">
      <c r="B900" s="15" t="str">
        <f t="shared" si="55"/>
        <v/>
      </c>
      <c r="C900" s="16" t="str">
        <f>IFERROR(VLOOKUP(DATA!#REF!,DATA!#REF!,1,FALSE),"")</f>
        <v/>
      </c>
      <c r="D900" s="16" t="str">
        <f>IFERROR(VLOOKUP(C900,DATA!#REF!,2,FALSE),"")</f>
        <v/>
      </c>
      <c r="I900" s="17"/>
      <c r="J900" s="17"/>
      <c r="P900" s="17"/>
      <c r="Q900" s="17"/>
    </row>
    <row r="901" spans="2:17">
      <c r="B901" s="15" t="str">
        <f t="shared" si="55"/>
        <v/>
      </c>
      <c r="C901" s="16" t="str">
        <f>IFERROR(VLOOKUP(DATA!#REF!,DATA!#REF!,1,FALSE),"")</f>
        <v/>
      </c>
      <c r="D901" s="16" t="str">
        <f>IFERROR(VLOOKUP(C901,DATA!#REF!,2,FALSE),"")</f>
        <v/>
      </c>
      <c r="I901" s="17"/>
      <c r="J901" s="17"/>
      <c r="P901" s="17"/>
      <c r="Q901" s="17"/>
    </row>
    <row r="902" spans="2:17">
      <c r="B902" s="15" t="str">
        <f t="shared" si="55"/>
        <v/>
      </c>
      <c r="C902" s="16" t="str">
        <f>IFERROR(VLOOKUP(DATA!#REF!,DATA!#REF!,1,FALSE),"")</f>
        <v/>
      </c>
      <c r="D902" s="16" t="str">
        <f>IFERROR(VLOOKUP(C902,DATA!#REF!,2,FALSE),"")</f>
        <v/>
      </c>
      <c r="I902" s="17"/>
      <c r="J902" s="17"/>
      <c r="P902" s="17"/>
      <c r="Q902" s="17"/>
    </row>
    <row r="903" spans="2:17">
      <c r="B903" s="15" t="str">
        <f t="shared" si="55"/>
        <v/>
      </c>
      <c r="C903" s="16" t="str">
        <f>IFERROR(VLOOKUP(DATA!#REF!,DATA!#REF!,1,FALSE),"")</f>
        <v/>
      </c>
      <c r="D903" s="16" t="str">
        <f>IFERROR(VLOOKUP(C903,DATA!#REF!,2,FALSE),"")</f>
        <v/>
      </c>
      <c r="I903" s="17"/>
      <c r="J903" s="17"/>
      <c r="P903" s="17"/>
      <c r="Q903" s="17"/>
    </row>
    <row r="904" spans="2:17">
      <c r="B904" s="15" t="str">
        <f t="shared" si="55"/>
        <v/>
      </c>
      <c r="C904" s="16" t="str">
        <f>IFERROR(VLOOKUP(DATA!#REF!,DATA!#REF!,1,FALSE),"")</f>
        <v/>
      </c>
      <c r="D904" s="16" t="str">
        <f>IFERROR(VLOOKUP(C904,DATA!#REF!,2,FALSE),"")</f>
        <v/>
      </c>
      <c r="I904" s="17"/>
      <c r="J904" s="17"/>
      <c r="P904" s="17"/>
      <c r="Q904" s="17"/>
    </row>
    <row r="905" spans="2:17">
      <c r="B905" s="15" t="str">
        <f t="shared" si="55"/>
        <v/>
      </c>
      <c r="C905" s="16" t="str">
        <f>IFERROR(VLOOKUP(DATA!#REF!,DATA!#REF!,1,FALSE),"")</f>
        <v/>
      </c>
      <c r="D905" s="16" t="str">
        <f>IFERROR(VLOOKUP(C905,DATA!#REF!,2,FALSE),"")</f>
        <v/>
      </c>
      <c r="I905" s="17"/>
      <c r="J905" s="17"/>
      <c r="P905" s="17"/>
      <c r="Q905" s="17"/>
    </row>
    <row r="906" spans="2:17">
      <c r="B906" s="15" t="str">
        <f t="shared" si="55"/>
        <v/>
      </c>
      <c r="C906" s="16" t="str">
        <f>IFERROR(VLOOKUP(DATA!#REF!,DATA!#REF!,1,FALSE),"")</f>
        <v/>
      </c>
      <c r="D906" s="16" t="str">
        <f>IFERROR(VLOOKUP(C906,DATA!#REF!,2,FALSE),"")</f>
        <v/>
      </c>
      <c r="I906" s="17"/>
      <c r="J906" s="17"/>
      <c r="P906" s="17"/>
      <c r="Q906" s="17"/>
    </row>
    <row r="907" spans="2:17">
      <c r="B907" s="15" t="str">
        <f t="shared" si="55"/>
        <v/>
      </c>
      <c r="C907" s="16" t="str">
        <f>IFERROR(VLOOKUP(DATA!#REF!,DATA!#REF!,1,FALSE),"")</f>
        <v/>
      </c>
      <c r="D907" s="16" t="str">
        <f>IFERROR(VLOOKUP(C907,DATA!#REF!,2,FALSE),"")</f>
        <v/>
      </c>
      <c r="I907" s="17"/>
      <c r="J907" s="17"/>
      <c r="P907" s="17"/>
      <c r="Q907" s="17"/>
    </row>
    <row r="908" spans="2:17">
      <c r="B908" s="15" t="str">
        <f t="shared" si="55"/>
        <v/>
      </c>
      <c r="C908" s="16" t="str">
        <f>IFERROR(VLOOKUP(DATA!#REF!,DATA!#REF!,1,FALSE),"")</f>
        <v/>
      </c>
      <c r="D908" s="16" t="str">
        <f>IFERROR(VLOOKUP(C908,DATA!#REF!,2,FALSE),"")</f>
        <v/>
      </c>
      <c r="I908" s="17"/>
      <c r="J908" s="17"/>
      <c r="P908" s="17"/>
      <c r="Q908" s="17"/>
    </row>
    <row r="909" spans="2:17">
      <c r="B909" s="15" t="str">
        <f t="shared" si="55"/>
        <v/>
      </c>
      <c r="C909" s="16" t="str">
        <f>IFERROR(VLOOKUP(DATA!#REF!,DATA!#REF!,1,FALSE),"")</f>
        <v/>
      </c>
      <c r="D909" s="16" t="str">
        <f>IFERROR(VLOOKUP(C909,DATA!#REF!,2,FALSE),"")</f>
        <v/>
      </c>
      <c r="I909" s="17"/>
      <c r="J909" s="17"/>
      <c r="P909" s="17"/>
      <c r="Q909" s="17"/>
    </row>
    <row r="910" spans="2:17">
      <c r="B910" s="15" t="str">
        <f t="shared" si="55"/>
        <v/>
      </c>
      <c r="C910" s="16" t="str">
        <f>IFERROR(VLOOKUP(DATA!#REF!,DATA!#REF!,1,FALSE),"")</f>
        <v/>
      </c>
      <c r="D910" s="16" t="str">
        <f>IFERROR(VLOOKUP(C910,DATA!#REF!,2,FALSE),"")</f>
        <v/>
      </c>
      <c r="I910" s="17"/>
      <c r="J910" s="17"/>
      <c r="P910" s="17"/>
      <c r="Q910" s="17"/>
    </row>
    <row r="911" spans="2:17">
      <c r="B911" s="15" t="str">
        <f t="shared" si="55"/>
        <v/>
      </c>
      <c r="C911" s="16" t="str">
        <f>IFERROR(VLOOKUP(DATA!#REF!,DATA!#REF!,1,FALSE),"")</f>
        <v/>
      </c>
      <c r="D911" s="16" t="str">
        <f>IFERROR(VLOOKUP(C911,DATA!#REF!,2,FALSE),"")</f>
        <v/>
      </c>
      <c r="I911" s="17"/>
      <c r="J911" s="17"/>
      <c r="P911" s="17"/>
      <c r="Q911" s="17"/>
    </row>
    <row r="912" spans="2:17">
      <c r="B912" s="15" t="str">
        <f t="shared" si="55"/>
        <v/>
      </c>
      <c r="C912" s="16" t="str">
        <f>IFERROR(VLOOKUP(DATA!#REF!,DATA!#REF!,1,FALSE),"")</f>
        <v/>
      </c>
      <c r="D912" s="16" t="str">
        <f>IFERROR(VLOOKUP(C912,DATA!#REF!,2,FALSE),"")</f>
        <v/>
      </c>
      <c r="I912" s="17"/>
      <c r="J912" s="17"/>
      <c r="P912" s="17"/>
      <c r="Q912" s="17"/>
    </row>
    <row r="913" spans="2:17">
      <c r="B913" s="15" t="str">
        <f t="shared" si="55"/>
        <v/>
      </c>
      <c r="C913" s="16" t="str">
        <f>IFERROR(VLOOKUP(DATA!#REF!,DATA!#REF!,1,FALSE),"")</f>
        <v/>
      </c>
      <c r="D913" s="16" t="str">
        <f>IFERROR(VLOOKUP(C913,DATA!#REF!,2,FALSE),"")</f>
        <v/>
      </c>
      <c r="I913" s="17"/>
      <c r="J913" s="17"/>
      <c r="P913" s="17"/>
      <c r="Q913" s="17"/>
    </row>
    <row r="914" spans="2:17">
      <c r="B914" s="15" t="str">
        <f t="shared" si="55"/>
        <v/>
      </c>
      <c r="C914" s="16" t="str">
        <f>IFERROR(VLOOKUP(DATA!#REF!,DATA!#REF!,1,FALSE),"")</f>
        <v/>
      </c>
      <c r="D914" s="16" t="str">
        <f>IFERROR(VLOOKUP(C914,DATA!#REF!,2,FALSE),"")</f>
        <v/>
      </c>
      <c r="I914" s="17"/>
      <c r="J914" s="17"/>
      <c r="P914" s="17"/>
      <c r="Q914" s="17"/>
    </row>
    <row r="915" spans="2:17">
      <c r="B915" s="15" t="str">
        <f t="shared" si="55"/>
        <v/>
      </c>
      <c r="C915" s="16" t="str">
        <f>IFERROR(VLOOKUP(DATA!#REF!,DATA!#REF!,1,FALSE),"")</f>
        <v/>
      </c>
      <c r="D915" s="16" t="str">
        <f>IFERROR(VLOOKUP(C915,DATA!#REF!,2,FALSE),"")</f>
        <v/>
      </c>
      <c r="I915" s="17"/>
      <c r="J915" s="17"/>
      <c r="P915" s="17"/>
      <c r="Q915" s="17"/>
    </row>
    <row r="916" spans="2:17">
      <c r="B916" s="15" t="str">
        <f t="shared" si="55"/>
        <v/>
      </c>
      <c r="C916" s="16" t="str">
        <f>IFERROR(VLOOKUP(DATA!#REF!,DATA!#REF!,1,FALSE),"")</f>
        <v/>
      </c>
      <c r="D916" s="16" t="str">
        <f>IFERROR(VLOOKUP(C916,DATA!#REF!,2,FALSE),"")</f>
        <v/>
      </c>
      <c r="I916" s="17"/>
      <c r="J916" s="17"/>
      <c r="P916" s="17"/>
      <c r="Q916" s="17"/>
    </row>
    <row r="917" spans="2:17">
      <c r="B917" s="15" t="str">
        <f t="shared" si="55"/>
        <v/>
      </c>
      <c r="C917" s="16" t="str">
        <f>IFERROR(VLOOKUP(DATA!#REF!,DATA!#REF!,1,FALSE),"")</f>
        <v/>
      </c>
      <c r="D917" s="16" t="str">
        <f>IFERROR(VLOOKUP(C917,DATA!#REF!,2,FALSE),"")</f>
        <v/>
      </c>
      <c r="I917" s="17"/>
      <c r="J917" s="17"/>
      <c r="P917" s="17"/>
      <c r="Q917" s="17"/>
    </row>
    <row r="918" spans="2:17">
      <c r="B918" s="15" t="str">
        <f t="shared" si="55"/>
        <v/>
      </c>
      <c r="C918" s="16" t="str">
        <f>IFERROR(VLOOKUP(DATA!#REF!,DATA!#REF!,1,FALSE),"")</f>
        <v/>
      </c>
      <c r="D918" s="16" t="str">
        <f>IFERROR(VLOOKUP(C918,DATA!#REF!,2,FALSE),"")</f>
        <v/>
      </c>
      <c r="I918" s="17"/>
      <c r="J918" s="17"/>
      <c r="P918" s="17"/>
      <c r="Q918" s="17"/>
    </row>
    <row r="919" spans="2:17">
      <c r="B919" s="15" t="str">
        <f t="shared" si="55"/>
        <v/>
      </c>
      <c r="C919" s="16" t="str">
        <f>IFERROR(VLOOKUP(DATA!#REF!,DATA!#REF!,1,FALSE),"")</f>
        <v/>
      </c>
      <c r="D919" s="16" t="str">
        <f>IFERROR(VLOOKUP(C919,DATA!#REF!,2,FALSE),"")</f>
        <v/>
      </c>
      <c r="I919" s="17"/>
      <c r="J919" s="17"/>
      <c r="P919" s="17"/>
      <c r="Q919" s="17"/>
    </row>
    <row r="920" spans="2:17">
      <c r="B920" s="15" t="str">
        <f t="shared" si="55"/>
        <v/>
      </c>
      <c r="C920" s="16" t="str">
        <f>IFERROR(VLOOKUP(DATA!#REF!,DATA!#REF!,1,FALSE),"")</f>
        <v/>
      </c>
      <c r="D920" s="16" t="str">
        <f>IFERROR(VLOOKUP(C920,DATA!#REF!,2,FALSE),"")</f>
        <v/>
      </c>
      <c r="I920" s="17"/>
      <c r="J920" s="17"/>
      <c r="P920" s="17"/>
      <c r="Q920" s="17"/>
    </row>
    <row r="921" spans="2:17">
      <c r="B921" s="15" t="str">
        <f t="shared" si="55"/>
        <v/>
      </c>
      <c r="C921" s="16" t="str">
        <f>IFERROR(VLOOKUP(DATA!#REF!,DATA!#REF!,1,FALSE),"")</f>
        <v/>
      </c>
      <c r="D921" s="16" t="str">
        <f>IFERROR(VLOOKUP(C921,DATA!#REF!,2,FALSE),"")</f>
        <v/>
      </c>
      <c r="I921" s="17"/>
      <c r="J921" s="17"/>
      <c r="P921" s="17"/>
      <c r="Q921" s="17"/>
    </row>
    <row r="922" spans="2:17">
      <c r="B922" s="15" t="str">
        <f t="shared" si="55"/>
        <v/>
      </c>
      <c r="C922" s="16" t="str">
        <f>IFERROR(VLOOKUP(DATA!#REF!,DATA!#REF!,1,FALSE),"")</f>
        <v/>
      </c>
      <c r="D922" s="16" t="str">
        <f>IFERROR(VLOOKUP(C922,DATA!#REF!,2,FALSE),"")</f>
        <v/>
      </c>
      <c r="I922" s="17"/>
      <c r="J922" s="17"/>
      <c r="P922" s="17"/>
      <c r="Q922" s="17"/>
    </row>
    <row r="923" spans="2:17">
      <c r="B923" s="15" t="str">
        <f t="shared" si="55"/>
        <v/>
      </c>
      <c r="C923" s="16" t="str">
        <f>IFERROR(VLOOKUP(DATA!#REF!,DATA!#REF!,1,FALSE),"")</f>
        <v/>
      </c>
      <c r="D923" s="16" t="str">
        <f>IFERROR(VLOOKUP(C923,DATA!#REF!,2,FALSE),"")</f>
        <v/>
      </c>
      <c r="I923" s="17"/>
      <c r="J923" s="17"/>
      <c r="P923" s="17"/>
      <c r="Q923" s="17"/>
    </row>
    <row r="924" spans="2:17">
      <c r="B924" s="15" t="str">
        <f t="shared" si="55"/>
        <v/>
      </c>
      <c r="C924" s="16" t="str">
        <f>IFERROR(VLOOKUP(DATA!#REF!,DATA!#REF!,1,FALSE),"")</f>
        <v/>
      </c>
      <c r="D924" s="16" t="str">
        <f>IFERROR(VLOOKUP(C924,DATA!#REF!,2,FALSE),"")</f>
        <v/>
      </c>
      <c r="I924" s="17"/>
      <c r="J924" s="17"/>
      <c r="P924" s="17"/>
      <c r="Q924" s="17"/>
    </row>
    <row r="925" spans="2:17">
      <c r="B925" s="15" t="str">
        <f t="shared" si="55"/>
        <v/>
      </c>
      <c r="C925" s="16" t="str">
        <f>IFERROR(VLOOKUP(DATA!#REF!,DATA!#REF!,1,FALSE),"")</f>
        <v/>
      </c>
      <c r="D925" s="16" t="str">
        <f>IFERROR(VLOOKUP(C925,DATA!#REF!,2,FALSE),"")</f>
        <v/>
      </c>
      <c r="I925" s="17"/>
      <c r="J925" s="17"/>
      <c r="P925" s="17"/>
      <c r="Q925" s="17"/>
    </row>
    <row r="926" spans="2:17">
      <c r="B926" s="15" t="str">
        <f t="shared" si="55"/>
        <v/>
      </c>
      <c r="C926" s="16" t="str">
        <f>IFERROR(VLOOKUP(DATA!#REF!,DATA!#REF!,1,FALSE),"")</f>
        <v/>
      </c>
      <c r="D926" s="16" t="str">
        <f>IFERROR(VLOOKUP(C926,DATA!#REF!,2,FALSE),"")</f>
        <v/>
      </c>
      <c r="I926" s="17"/>
      <c r="J926" s="17"/>
      <c r="P926" s="17"/>
      <c r="Q926" s="17"/>
    </row>
    <row r="927" spans="2:17">
      <c r="B927" s="15" t="str">
        <f t="shared" si="55"/>
        <v/>
      </c>
      <c r="C927" s="16" t="str">
        <f>IFERROR(VLOOKUP(DATA!#REF!,DATA!#REF!,1,FALSE),"")</f>
        <v/>
      </c>
      <c r="D927" s="16" t="str">
        <f>IFERROR(VLOOKUP(C927,DATA!#REF!,2,FALSE),"")</f>
        <v/>
      </c>
      <c r="I927" s="17"/>
      <c r="J927" s="17"/>
      <c r="P927" s="17"/>
      <c r="Q927" s="17"/>
    </row>
    <row r="928" spans="2:17">
      <c r="B928" s="15" t="str">
        <f t="shared" si="55"/>
        <v/>
      </c>
      <c r="C928" s="16" t="str">
        <f>IFERROR(VLOOKUP(DATA!#REF!,DATA!#REF!,1,FALSE),"")</f>
        <v/>
      </c>
      <c r="D928" s="16" t="str">
        <f>IFERROR(VLOOKUP(C928,DATA!#REF!,2,FALSE),"")</f>
        <v/>
      </c>
      <c r="I928" s="17"/>
      <c r="J928" s="17"/>
      <c r="P928" s="17"/>
      <c r="Q928" s="17"/>
    </row>
    <row r="929" spans="2:17">
      <c r="B929" s="15" t="str">
        <f t="shared" si="55"/>
        <v/>
      </c>
      <c r="C929" s="16" t="str">
        <f>IFERROR(VLOOKUP(DATA!#REF!,DATA!#REF!,1,FALSE),"")</f>
        <v/>
      </c>
      <c r="D929" s="16" t="str">
        <f>IFERROR(VLOOKUP(C929,DATA!#REF!,2,FALSE),"")</f>
        <v/>
      </c>
      <c r="I929" s="17"/>
      <c r="J929" s="17"/>
      <c r="P929" s="17"/>
      <c r="Q929" s="17"/>
    </row>
    <row r="930" spans="2:17">
      <c r="B930" s="15" t="str">
        <f t="shared" si="55"/>
        <v/>
      </c>
      <c r="C930" s="16" t="str">
        <f>IFERROR(VLOOKUP(DATA!#REF!,DATA!#REF!,1,FALSE),"")</f>
        <v/>
      </c>
      <c r="D930" s="16" t="str">
        <f>IFERROR(VLOOKUP(C930,DATA!#REF!,2,FALSE),"")</f>
        <v/>
      </c>
      <c r="I930" s="17"/>
      <c r="J930" s="17"/>
      <c r="P930" s="17"/>
      <c r="Q930" s="17"/>
    </row>
    <row r="931" spans="2:17">
      <c r="B931" s="15" t="str">
        <f t="shared" si="55"/>
        <v/>
      </c>
      <c r="C931" s="16" t="str">
        <f>IFERROR(VLOOKUP(DATA!#REF!,DATA!#REF!,1,FALSE),"")</f>
        <v/>
      </c>
      <c r="D931" s="16" t="str">
        <f>IFERROR(VLOOKUP(C931,DATA!#REF!,2,FALSE),"")</f>
        <v/>
      </c>
      <c r="I931" s="17"/>
      <c r="J931" s="17"/>
      <c r="P931" s="17"/>
      <c r="Q931" s="17"/>
    </row>
    <row r="932" spans="2:17">
      <c r="B932" s="15" t="str">
        <f t="shared" si="55"/>
        <v/>
      </c>
      <c r="C932" s="16" t="str">
        <f>IFERROR(VLOOKUP(DATA!#REF!,DATA!#REF!,1,FALSE),"")</f>
        <v/>
      </c>
      <c r="D932" s="16" t="str">
        <f>IFERROR(VLOOKUP(C932,DATA!#REF!,2,FALSE),"")</f>
        <v/>
      </c>
      <c r="I932" s="17"/>
      <c r="J932" s="17"/>
      <c r="P932" s="17"/>
      <c r="Q932" s="17"/>
    </row>
    <row r="933" spans="2:17">
      <c r="B933" s="15" t="str">
        <f t="shared" si="55"/>
        <v/>
      </c>
      <c r="C933" s="16" t="str">
        <f>IFERROR(VLOOKUP(DATA!#REF!,DATA!#REF!,1,FALSE),"")</f>
        <v/>
      </c>
      <c r="D933" s="16" t="str">
        <f>IFERROR(VLOOKUP(C933,DATA!#REF!,2,FALSE),"")</f>
        <v/>
      </c>
      <c r="I933" s="17"/>
      <c r="J933" s="17"/>
      <c r="P933" s="17"/>
      <c r="Q933" s="17"/>
    </row>
    <row r="934" spans="2:17">
      <c r="B934" s="15" t="str">
        <f t="shared" si="55"/>
        <v/>
      </c>
      <c r="C934" s="16" t="str">
        <f>IFERROR(VLOOKUP(DATA!#REF!,DATA!#REF!,1,FALSE),"")</f>
        <v/>
      </c>
      <c r="D934" s="16" t="str">
        <f>IFERROR(VLOOKUP(C934,DATA!#REF!,2,FALSE),"")</f>
        <v/>
      </c>
      <c r="I934" s="17"/>
      <c r="J934" s="17"/>
      <c r="P934" s="17"/>
      <c r="Q934" s="17"/>
    </row>
    <row r="935" spans="2:17">
      <c r="B935" s="15" t="str">
        <f t="shared" si="55"/>
        <v/>
      </c>
      <c r="C935" s="16" t="str">
        <f>IFERROR(VLOOKUP(DATA!#REF!,DATA!#REF!,1,FALSE),"")</f>
        <v/>
      </c>
      <c r="D935" s="16" t="str">
        <f>IFERROR(VLOOKUP(C935,DATA!#REF!,2,FALSE),"")</f>
        <v/>
      </c>
      <c r="I935" s="17"/>
      <c r="J935" s="17"/>
      <c r="P935" s="17"/>
      <c r="Q935" s="17"/>
    </row>
    <row r="936" spans="2:17">
      <c r="B936" s="15" t="str">
        <f t="shared" si="55"/>
        <v/>
      </c>
      <c r="C936" s="16" t="str">
        <f>IFERROR(VLOOKUP(DATA!#REF!,DATA!#REF!,1,FALSE),"")</f>
        <v/>
      </c>
      <c r="D936" s="16" t="str">
        <f>IFERROR(VLOOKUP(C936,DATA!#REF!,2,FALSE),"")</f>
        <v/>
      </c>
      <c r="I936" s="17"/>
      <c r="J936" s="17"/>
      <c r="P936" s="17"/>
      <c r="Q936" s="17"/>
    </row>
    <row r="937" spans="2:17">
      <c r="B937" s="15" t="str">
        <f t="shared" si="55"/>
        <v/>
      </c>
      <c r="C937" s="16" t="str">
        <f>IFERROR(VLOOKUP(DATA!#REF!,DATA!#REF!,1,FALSE),"")</f>
        <v/>
      </c>
      <c r="D937" s="16" t="str">
        <f>IFERROR(VLOOKUP(C937,DATA!#REF!,2,FALSE),"")</f>
        <v/>
      </c>
      <c r="I937" s="17"/>
      <c r="J937" s="17"/>
      <c r="P937" s="17"/>
      <c r="Q937" s="17"/>
    </row>
    <row r="938" spans="2:17">
      <c r="B938" s="15" t="str">
        <f t="shared" si="55"/>
        <v/>
      </c>
      <c r="C938" s="16" t="str">
        <f>IFERROR(VLOOKUP(DATA!#REF!,DATA!#REF!,1,FALSE),"")</f>
        <v/>
      </c>
      <c r="D938" s="16" t="str">
        <f>IFERROR(VLOOKUP(C938,DATA!#REF!,2,FALSE),"")</f>
        <v/>
      </c>
      <c r="I938" s="17"/>
      <c r="J938" s="17"/>
      <c r="P938" s="17"/>
      <c r="Q938" s="17"/>
    </row>
    <row r="939" spans="2:17">
      <c r="B939" s="15" t="str">
        <f t="shared" si="55"/>
        <v/>
      </c>
      <c r="C939" s="16" t="str">
        <f>IFERROR(VLOOKUP(DATA!#REF!,DATA!#REF!,1,FALSE),"")</f>
        <v/>
      </c>
      <c r="D939" s="16" t="str">
        <f>IFERROR(VLOOKUP(C939,DATA!#REF!,2,FALSE),"")</f>
        <v/>
      </c>
      <c r="I939" s="17"/>
      <c r="J939" s="17"/>
      <c r="P939" s="17"/>
      <c r="Q939" s="17"/>
    </row>
    <row r="940" spans="2:17">
      <c r="B940" s="15" t="str">
        <f t="shared" si="55"/>
        <v/>
      </c>
      <c r="C940" s="16" t="str">
        <f>IFERROR(VLOOKUP(DATA!#REF!,DATA!#REF!,1,FALSE),"")</f>
        <v/>
      </c>
      <c r="D940" s="16" t="str">
        <f>IFERROR(VLOOKUP(C940,DATA!#REF!,2,FALSE),"")</f>
        <v/>
      </c>
      <c r="I940" s="17"/>
      <c r="J940" s="17"/>
      <c r="P940" s="17"/>
      <c r="Q940" s="17"/>
    </row>
    <row r="941" spans="2:17">
      <c r="B941" s="15" t="str">
        <f t="shared" si="55"/>
        <v/>
      </c>
      <c r="C941" s="16" t="str">
        <f>IFERROR(VLOOKUP(DATA!#REF!,DATA!#REF!,1,FALSE),"")</f>
        <v/>
      </c>
      <c r="D941" s="16" t="str">
        <f>IFERROR(VLOOKUP(C941,DATA!#REF!,2,FALSE),"")</f>
        <v/>
      </c>
      <c r="I941" s="17"/>
      <c r="J941" s="17"/>
      <c r="P941" s="17"/>
      <c r="Q941" s="17"/>
    </row>
    <row r="942" spans="2:17">
      <c r="B942" s="15" t="str">
        <f t="shared" si="55"/>
        <v/>
      </c>
      <c r="C942" s="16" t="str">
        <f>IFERROR(VLOOKUP(DATA!#REF!,DATA!#REF!,1,FALSE),"")</f>
        <v/>
      </c>
      <c r="D942" s="16" t="str">
        <f>IFERROR(VLOOKUP(C942,DATA!#REF!,2,FALSE),"")</f>
        <v/>
      </c>
      <c r="I942" s="17"/>
      <c r="J942" s="17"/>
      <c r="P942" s="17"/>
      <c r="Q942" s="17"/>
    </row>
    <row r="943" spans="2:17">
      <c r="B943" s="15" t="str">
        <f t="shared" si="55"/>
        <v/>
      </c>
      <c r="C943" s="16" t="str">
        <f>IFERROR(VLOOKUP(DATA!#REF!,DATA!#REF!,1,FALSE),"")</f>
        <v/>
      </c>
      <c r="D943" s="16" t="str">
        <f>IFERROR(VLOOKUP(C943,DATA!#REF!,2,FALSE),"")</f>
        <v/>
      </c>
      <c r="I943" s="17"/>
      <c r="J943" s="17"/>
      <c r="P943" s="17"/>
      <c r="Q943" s="17"/>
    </row>
    <row r="944" spans="2:17">
      <c r="B944" s="15" t="str">
        <f t="shared" si="55"/>
        <v/>
      </c>
      <c r="C944" s="16" t="str">
        <f>IFERROR(VLOOKUP(DATA!#REF!,DATA!#REF!,1,FALSE),"")</f>
        <v/>
      </c>
      <c r="D944" s="16" t="str">
        <f>IFERROR(VLOOKUP(C944,DATA!#REF!,2,FALSE),"")</f>
        <v/>
      </c>
      <c r="I944" s="17"/>
      <c r="J944" s="17"/>
      <c r="P944" s="17"/>
      <c r="Q944" s="17"/>
    </row>
    <row r="945" spans="2:17">
      <c r="B945" s="15" t="str">
        <f t="shared" si="55"/>
        <v/>
      </c>
      <c r="C945" s="16" t="str">
        <f>IFERROR(VLOOKUP(DATA!#REF!,DATA!#REF!,1,FALSE),"")</f>
        <v/>
      </c>
      <c r="D945" s="16" t="str">
        <f>IFERROR(VLOOKUP(C945,DATA!#REF!,2,FALSE),"")</f>
        <v/>
      </c>
      <c r="I945" s="17"/>
      <c r="J945" s="17"/>
      <c r="P945" s="17"/>
      <c r="Q945" s="17"/>
    </row>
    <row r="946" spans="2:17">
      <c r="B946" s="15" t="str">
        <f t="shared" si="55"/>
        <v/>
      </c>
      <c r="C946" s="16" t="str">
        <f>IFERROR(VLOOKUP(DATA!#REF!,DATA!#REF!,1,FALSE),"")</f>
        <v/>
      </c>
      <c r="D946" s="16" t="str">
        <f>IFERROR(VLOOKUP(C946,DATA!#REF!,2,FALSE),"")</f>
        <v/>
      </c>
      <c r="I946" s="17"/>
      <c r="J946" s="17"/>
      <c r="P946" s="17"/>
      <c r="Q946" s="17"/>
    </row>
    <row r="947" spans="2:17">
      <c r="B947" s="15" t="str">
        <f t="shared" si="55"/>
        <v/>
      </c>
      <c r="C947" s="16" t="str">
        <f>IFERROR(VLOOKUP(DATA!#REF!,DATA!#REF!,1,FALSE),"")</f>
        <v/>
      </c>
      <c r="D947" s="16" t="str">
        <f>IFERROR(VLOOKUP(C947,DATA!#REF!,2,FALSE),"")</f>
        <v/>
      </c>
      <c r="I947" s="17"/>
      <c r="J947" s="17"/>
      <c r="P947" s="17"/>
      <c r="Q947" s="17"/>
    </row>
    <row r="948" spans="2:17">
      <c r="B948" s="15" t="str">
        <f t="shared" si="55"/>
        <v/>
      </c>
      <c r="C948" s="16" t="str">
        <f>IFERROR(VLOOKUP(DATA!#REF!,DATA!#REF!,1,FALSE),"")</f>
        <v/>
      </c>
      <c r="D948" s="16" t="str">
        <f>IFERROR(VLOOKUP(C948,DATA!#REF!,2,FALSE),"")</f>
        <v/>
      </c>
      <c r="I948" s="17"/>
      <c r="J948" s="17"/>
      <c r="P948" s="17"/>
      <c r="Q948" s="17"/>
    </row>
    <row r="949" spans="2:17">
      <c r="B949" s="15" t="str">
        <f t="shared" si="55"/>
        <v/>
      </c>
      <c r="C949" s="16" t="str">
        <f>IFERROR(VLOOKUP(DATA!#REF!,DATA!#REF!,1,FALSE),"")</f>
        <v/>
      </c>
      <c r="D949" s="16" t="str">
        <f>IFERROR(VLOOKUP(C949,DATA!#REF!,2,FALSE),"")</f>
        <v/>
      </c>
      <c r="I949" s="17"/>
      <c r="J949" s="17"/>
      <c r="P949" s="17"/>
      <c r="Q949" s="17"/>
    </row>
    <row r="950" spans="2:17">
      <c r="B950" s="15" t="str">
        <f t="shared" si="55"/>
        <v/>
      </c>
      <c r="C950" s="16" t="str">
        <f>IFERROR(VLOOKUP(DATA!#REF!,DATA!#REF!,1,FALSE),"")</f>
        <v/>
      </c>
      <c r="D950" s="16" t="str">
        <f>IFERROR(VLOOKUP(C950,DATA!#REF!,2,FALSE),"")</f>
        <v/>
      </c>
      <c r="I950" s="17"/>
      <c r="J950" s="17"/>
      <c r="P950" s="17"/>
      <c r="Q950" s="17"/>
    </row>
    <row r="951" spans="2:17">
      <c r="B951" s="15" t="str">
        <f t="shared" ref="B951:B1014" si="56">+IF(C951="","",ROW()-5)</f>
        <v/>
      </c>
      <c r="C951" s="16" t="str">
        <f>IFERROR(VLOOKUP(DATA!#REF!,DATA!#REF!,1,FALSE),"")</f>
        <v/>
      </c>
      <c r="D951" s="16" t="str">
        <f>IFERROR(VLOOKUP(C951,DATA!#REF!,2,FALSE),"")</f>
        <v/>
      </c>
      <c r="I951" s="17"/>
      <c r="J951" s="17"/>
      <c r="P951" s="17"/>
      <c r="Q951" s="17"/>
    </row>
    <row r="952" spans="2:17">
      <c r="B952" s="15" t="str">
        <f t="shared" si="56"/>
        <v/>
      </c>
      <c r="C952" s="16" t="str">
        <f>IFERROR(VLOOKUP(DATA!#REF!,DATA!#REF!,1,FALSE),"")</f>
        <v/>
      </c>
      <c r="D952" s="16" t="str">
        <f>IFERROR(VLOOKUP(C952,DATA!#REF!,2,FALSE),"")</f>
        <v/>
      </c>
      <c r="I952" s="17"/>
      <c r="J952" s="17"/>
      <c r="P952" s="17"/>
      <c r="Q952" s="17"/>
    </row>
    <row r="953" spans="2:17">
      <c r="B953" s="15" t="str">
        <f t="shared" si="56"/>
        <v/>
      </c>
      <c r="C953" s="16" t="str">
        <f>IFERROR(VLOOKUP(DATA!#REF!,DATA!#REF!,1,FALSE),"")</f>
        <v/>
      </c>
      <c r="D953" s="16" t="str">
        <f>IFERROR(VLOOKUP(C953,DATA!#REF!,2,FALSE),"")</f>
        <v/>
      </c>
      <c r="I953" s="17"/>
      <c r="J953" s="17"/>
      <c r="P953" s="17"/>
      <c r="Q953" s="17"/>
    </row>
    <row r="954" spans="2:17">
      <c r="B954" s="15" t="str">
        <f t="shared" si="56"/>
        <v/>
      </c>
      <c r="C954" s="16" t="str">
        <f>IFERROR(VLOOKUP(DATA!#REF!,DATA!#REF!,1,FALSE),"")</f>
        <v/>
      </c>
      <c r="D954" s="16" t="str">
        <f>IFERROR(VLOOKUP(C954,DATA!#REF!,2,FALSE),"")</f>
        <v/>
      </c>
      <c r="I954" s="17"/>
      <c r="J954" s="17"/>
      <c r="P954" s="17"/>
      <c r="Q954" s="17"/>
    </row>
    <row r="955" spans="2:17">
      <c r="B955" s="15" t="str">
        <f t="shared" si="56"/>
        <v/>
      </c>
      <c r="C955" s="16" t="str">
        <f>IFERROR(VLOOKUP(DATA!#REF!,DATA!#REF!,1,FALSE),"")</f>
        <v/>
      </c>
      <c r="D955" s="16" t="str">
        <f>IFERROR(VLOOKUP(C955,DATA!#REF!,2,FALSE),"")</f>
        <v/>
      </c>
      <c r="I955" s="17"/>
      <c r="J955" s="17"/>
      <c r="P955" s="17"/>
      <c r="Q955" s="17"/>
    </row>
    <row r="956" spans="2:17">
      <c r="B956" s="15" t="str">
        <f t="shared" si="56"/>
        <v/>
      </c>
      <c r="C956" s="16" t="str">
        <f>IFERROR(VLOOKUP(DATA!#REF!,DATA!#REF!,1,FALSE),"")</f>
        <v/>
      </c>
      <c r="D956" s="16" t="str">
        <f>IFERROR(VLOOKUP(C956,DATA!#REF!,2,FALSE),"")</f>
        <v/>
      </c>
      <c r="I956" s="17"/>
      <c r="J956" s="17"/>
      <c r="P956" s="17"/>
      <c r="Q956" s="17"/>
    </row>
    <row r="957" spans="2:17">
      <c r="B957" s="15" t="str">
        <f t="shared" si="56"/>
        <v/>
      </c>
      <c r="C957" s="16" t="str">
        <f>IFERROR(VLOOKUP(DATA!#REF!,DATA!#REF!,1,FALSE),"")</f>
        <v/>
      </c>
      <c r="D957" s="16" t="str">
        <f>IFERROR(VLOOKUP(C957,DATA!#REF!,2,FALSE),"")</f>
        <v/>
      </c>
      <c r="I957" s="17"/>
      <c r="J957" s="17"/>
      <c r="P957" s="17"/>
      <c r="Q957" s="17"/>
    </row>
    <row r="958" spans="2:17">
      <c r="B958" s="15" t="str">
        <f t="shared" si="56"/>
        <v/>
      </c>
      <c r="C958" s="16" t="str">
        <f>IFERROR(VLOOKUP(DATA!#REF!,DATA!#REF!,1,FALSE),"")</f>
        <v/>
      </c>
      <c r="D958" s="16" t="str">
        <f>IFERROR(VLOOKUP(C958,DATA!#REF!,2,FALSE),"")</f>
        <v/>
      </c>
      <c r="I958" s="17"/>
      <c r="J958" s="17"/>
      <c r="P958" s="17"/>
      <c r="Q958" s="17"/>
    </row>
    <row r="959" spans="2:17">
      <c r="B959" s="15" t="str">
        <f t="shared" si="56"/>
        <v/>
      </c>
      <c r="C959" s="16" t="str">
        <f>IFERROR(VLOOKUP(DATA!#REF!,DATA!#REF!,1,FALSE),"")</f>
        <v/>
      </c>
      <c r="D959" s="16" t="str">
        <f>IFERROR(VLOOKUP(C959,DATA!#REF!,2,FALSE),"")</f>
        <v/>
      </c>
      <c r="I959" s="17"/>
      <c r="J959" s="17"/>
      <c r="P959" s="17"/>
      <c r="Q959" s="17"/>
    </row>
    <row r="960" spans="2:17">
      <c r="B960" s="15" t="str">
        <f t="shared" si="56"/>
        <v/>
      </c>
      <c r="C960" s="16" t="str">
        <f>IFERROR(VLOOKUP(DATA!#REF!,DATA!#REF!,1,FALSE),"")</f>
        <v/>
      </c>
      <c r="D960" s="16" t="str">
        <f>IFERROR(VLOOKUP(C960,DATA!#REF!,2,FALSE),"")</f>
        <v/>
      </c>
      <c r="I960" s="17"/>
      <c r="J960" s="17"/>
      <c r="P960" s="17"/>
      <c r="Q960" s="17"/>
    </row>
    <row r="961" spans="2:17">
      <c r="B961" s="15" t="str">
        <f t="shared" si="56"/>
        <v/>
      </c>
      <c r="C961" s="16" t="str">
        <f>IFERROR(VLOOKUP(DATA!#REF!,DATA!#REF!,1,FALSE),"")</f>
        <v/>
      </c>
      <c r="D961" s="16" t="str">
        <f>IFERROR(VLOOKUP(C961,DATA!#REF!,2,FALSE),"")</f>
        <v/>
      </c>
      <c r="I961" s="17"/>
      <c r="J961" s="17"/>
      <c r="P961" s="17"/>
      <c r="Q961" s="17"/>
    </row>
    <row r="962" spans="2:17">
      <c r="B962" s="15" t="str">
        <f t="shared" si="56"/>
        <v/>
      </c>
      <c r="C962" s="16" t="str">
        <f>IFERROR(VLOOKUP(DATA!#REF!,DATA!#REF!,1,FALSE),"")</f>
        <v/>
      </c>
      <c r="D962" s="16" t="str">
        <f>IFERROR(VLOOKUP(C962,DATA!#REF!,2,FALSE),"")</f>
        <v/>
      </c>
      <c r="I962" s="17"/>
      <c r="J962" s="17"/>
      <c r="P962" s="17"/>
      <c r="Q962" s="17"/>
    </row>
    <row r="963" spans="2:17">
      <c r="B963" s="15" t="str">
        <f t="shared" si="56"/>
        <v/>
      </c>
      <c r="C963" s="16" t="str">
        <f>IFERROR(VLOOKUP(DATA!#REF!,DATA!#REF!,1,FALSE),"")</f>
        <v/>
      </c>
      <c r="D963" s="16" t="str">
        <f>IFERROR(VLOOKUP(C963,DATA!#REF!,2,FALSE),"")</f>
        <v/>
      </c>
      <c r="I963" s="17"/>
      <c r="J963" s="17"/>
      <c r="P963" s="17"/>
      <c r="Q963" s="17"/>
    </row>
    <row r="964" spans="2:17">
      <c r="B964" s="15" t="str">
        <f t="shared" si="56"/>
        <v/>
      </c>
      <c r="C964" s="16" t="str">
        <f>IFERROR(VLOOKUP(DATA!#REF!,DATA!#REF!,1,FALSE),"")</f>
        <v/>
      </c>
      <c r="D964" s="16" t="str">
        <f>IFERROR(VLOOKUP(C964,DATA!#REF!,2,FALSE),"")</f>
        <v/>
      </c>
      <c r="I964" s="17"/>
      <c r="J964" s="17"/>
      <c r="P964" s="17"/>
      <c r="Q964" s="17"/>
    </row>
    <row r="965" spans="2:17">
      <c r="B965" s="15" t="str">
        <f t="shared" si="56"/>
        <v/>
      </c>
      <c r="C965" s="16" t="str">
        <f>IFERROR(VLOOKUP(DATA!#REF!,DATA!#REF!,1,FALSE),"")</f>
        <v/>
      </c>
      <c r="D965" s="16" t="str">
        <f>IFERROR(VLOOKUP(C965,DATA!#REF!,2,FALSE),"")</f>
        <v/>
      </c>
      <c r="I965" s="17"/>
      <c r="J965" s="17"/>
      <c r="P965" s="17"/>
      <c r="Q965" s="17"/>
    </row>
    <row r="966" spans="2:17">
      <c r="B966" s="15" t="str">
        <f t="shared" si="56"/>
        <v/>
      </c>
      <c r="C966" s="16" t="str">
        <f>IFERROR(VLOOKUP(DATA!#REF!,DATA!#REF!,1,FALSE),"")</f>
        <v/>
      </c>
      <c r="D966" s="16" t="str">
        <f>IFERROR(VLOOKUP(C966,DATA!#REF!,2,FALSE),"")</f>
        <v/>
      </c>
      <c r="I966" s="17"/>
      <c r="J966" s="17"/>
      <c r="P966" s="17"/>
      <c r="Q966" s="17"/>
    </row>
    <row r="967" spans="2:17">
      <c r="B967" s="15" t="str">
        <f t="shared" si="56"/>
        <v/>
      </c>
      <c r="C967" s="16" t="str">
        <f>IFERROR(VLOOKUP(DATA!#REF!,DATA!#REF!,1,FALSE),"")</f>
        <v/>
      </c>
      <c r="D967" s="16" t="str">
        <f>IFERROR(VLOOKUP(C967,DATA!#REF!,2,FALSE),"")</f>
        <v/>
      </c>
      <c r="I967" s="17"/>
      <c r="J967" s="17"/>
      <c r="P967" s="17"/>
      <c r="Q967" s="17"/>
    </row>
    <row r="968" spans="2:17">
      <c r="B968" s="15" t="str">
        <f t="shared" si="56"/>
        <v/>
      </c>
      <c r="C968" s="16" t="str">
        <f>IFERROR(VLOOKUP(DATA!#REF!,DATA!#REF!,1,FALSE),"")</f>
        <v/>
      </c>
      <c r="D968" s="16" t="str">
        <f>IFERROR(VLOOKUP(C968,DATA!#REF!,2,FALSE),"")</f>
        <v/>
      </c>
      <c r="I968" s="17"/>
      <c r="J968" s="17"/>
      <c r="P968" s="17"/>
      <c r="Q968" s="17"/>
    </row>
    <row r="969" spans="2:17">
      <c r="B969" s="15" t="str">
        <f t="shared" si="56"/>
        <v/>
      </c>
      <c r="C969" s="16" t="str">
        <f>IFERROR(VLOOKUP(DATA!#REF!,DATA!#REF!,1,FALSE),"")</f>
        <v/>
      </c>
      <c r="D969" s="16" t="str">
        <f>IFERROR(VLOOKUP(C969,DATA!#REF!,2,FALSE),"")</f>
        <v/>
      </c>
      <c r="I969" s="17"/>
      <c r="J969" s="17"/>
      <c r="P969" s="17"/>
      <c r="Q969" s="17"/>
    </row>
    <row r="970" spans="2:17">
      <c r="B970" s="15" t="str">
        <f t="shared" si="56"/>
        <v/>
      </c>
      <c r="C970" s="16" t="str">
        <f>IFERROR(VLOOKUP(DATA!#REF!,DATA!#REF!,1,FALSE),"")</f>
        <v/>
      </c>
      <c r="D970" s="16" t="str">
        <f>IFERROR(VLOOKUP(C970,DATA!#REF!,2,FALSE),"")</f>
        <v/>
      </c>
      <c r="I970" s="17"/>
      <c r="J970" s="17"/>
      <c r="P970" s="17"/>
      <c r="Q970" s="17"/>
    </row>
    <row r="971" spans="2:17">
      <c r="B971" s="15" t="str">
        <f t="shared" si="56"/>
        <v/>
      </c>
      <c r="C971" s="16" t="str">
        <f>IFERROR(VLOOKUP(DATA!#REF!,DATA!#REF!,1,FALSE),"")</f>
        <v/>
      </c>
      <c r="D971" s="16" t="str">
        <f>IFERROR(VLOOKUP(C971,DATA!#REF!,2,FALSE),"")</f>
        <v/>
      </c>
      <c r="I971" s="17"/>
      <c r="J971" s="17"/>
      <c r="P971" s="17"/>
      <c r="Q971" s="17"/>
    </row>
    <row r="972" spans="2:17">
      <c r="B972" s="15" t="str">
        <f t="shared" si="56"/>
        <v/>
      </c>
      <c r="C972" s="16" t="str">
        <f>IFERROR(VLOOKUP(DATA!#REF!,DATA!#REF!,1,FALSE),"")</f>
        <v/>
      </c>
      <c r="D972" s="16" t="str">
        <f>IFERROR(VLOOKUP(C972,DATA!#REF!,2,FALSE),"")</f>
        <v/>
      </c>
      <c r="I972" s="17"/>
      <c r="J972" s="17"/>
      <c r="P972" s="17"/>
      <c r="Q972" s="17"/>
    </row>
    <row r="973" spans="2:17">
      <c r="B973" s="15" t="str">
        <f t="shared" si="56"/>
        <v/>
      </c>
      <c r="C973" s="16" t="str">
        <f>IFERROR(VLOOKUP(DATA!#REF!,DATA!#REF!,1,FALSE),"")</f>
        <v/>
      </c>
      <c r="D973" s="16" t="str">
        <f>IFERROR(VLOOKUP(C973,DATA!#REF!,2,FALSE),"")</f>
        <v/>
      </c>
      <c r="I973" s="17"/>
      <c r="J973" s="17"/>
      <c r="P973" s="17"/>
      <c r="Q973" s="17"/>
    </row>
    <row r="974" spans="2:17">
      <c r="B974" s="15" t="str">
        <f t="shared" si="56"/>
        <v/>
      </c>
      <c r="C974" s="16" t="str">
        <f>IFERROR(VLOOKUP(DATA!#REF!,DATA!#REF!,1,FALSE),"")</f>
        <v/>
      </c>
      <c r="D974" s="16" t="str">
        <f>IFERROR(VLOOKUP(C974,DATA!#REF!,2,FALSE),"")</f>
        <v/>
      </c>
      <c r="I974" s="17"/>
      <c r="J974" s="17"/>
      <c r="P974" s="17"/>
      <c r="Q974" s="17"/>
    </row>
    <row r="975" spans="2:17">
      <c r="B975" s="15" t="str">
        <f t="shared" si="56"/>
        <v/>
      </c>
      <c r="C975" s="16" t="str">
        <f>IFERROR(VLOOKUP(DATA!#REF!,DATA!#REF!,1,FALSE),"")</f>
        <v/>
      </c>
      <c r="D975" s="16" t="str">
        <f>IFERROR(VLOOKUP(C975,DATA!#REF!,2,FALSE),"")</f>
        <v/>
      </c>
      <c r="I975" s="17"/>
      <c r="J975" s="17"/>
      <c r="P975" s="17"/>
      <c r="Q975" s="17"/>
    </row>
    <row r="976" spans="2:17">
      <c r="B976" s="15" t="str">
        <f t="shared" si="56"/>
        <v/>
      </c>
      <c r="C976" s="16" t="str">
        <f>IFERROR(VLOOKUP(DATA!#REF!,DATA!#REF!,1,FALSE),"")</f>
        <v/>
      </c>
      <c r="D976" s="16" t="str">
        <f>IFERROR(VLOOKUP(C976,DATA!#REF!,2,FALSE),"")</f>
        <v/>
      </c>
      <c r="I976" s="17"/>
      <c r="J976" s="17"/>
      <c r="P976" s="17"/>
      <c r="Q976" s="17"/>
    </row>
    <row r="977" spans="2:17">
      <c r="B977" s="15" t="str">
        <f t="shared" si="56"/>
        <v/>
      </c>
      <c r="C977" s="16" t="str">
        <f>IFERROR(VLOOKUP(DATA!#REF!,DATA!#REF!,1,FALSE),"")</f>
        <v/>
      </c>
      <c r="D977" s="16" t="str">
        <f>IFERROR(VLOOKUP(C977,DATA!#REF!,2,FALSE),"")</f>
        <v/>
      </c>
      <c r="I977" s="17"/>
      <c r="J977" s="17"/>
      <c r="P977" s="17"/>
      <c r="Q977" s="17"/>
    </row>
    <row r="978" spans="2:17">
      <c r="B978" s="15" t="str">
        <f t="shared" si="56"/>
        <v/>
      </c>
      <c r="C978" s="16" t="str">
        <f>IFERROR(VLOOKUP(DATA!#REF!,DATA!#REF!,1,FALSE),"")</f>
        <v/>
      </c>
      <c r="D978" s="16" t="str">
        <f>IFERROR(VLOOKUP(C978,DATA!#REF!,2,FALSE),"")</f>
        <v/>
      </c>
      <c r="I978" s="17"/>
      <c r="J978" s="17"/>
      <c r="P978" s="17"/>
      <c r="Q978" s="17"/>
    </row>
    <row r="979" spans="2:17">
      <c r="B979" s="15" t="str">
        <f t="shared" si="56"/>
        <v/>
      </c>
      <c r="C979" s="16" t="str">
        <f>IFERROR(VLOOKUP(DATA!#REF!,DATA!#REF!,1,FALSE),"")</f>
        <v/>
      </c>
      <c r="D979" s="16" t="str">
        <f>IFERROR(VLOOKUP(C979,DATA!#REF!,2,FALSE),"")</f>
        <v/>
      </c>
      <c r="I979" s="17"/>
      <c r="J979" s="17"/>
      <c r="P979" s="17"/>
      <c r="Q979" s="17"/>
    </row>
    <row r="980" spans="2:17">
      <c r="B980" s="15" t="str">
        <f t="shared" si="56"/>
        <v/>
      </c>
      <c r="C980" s="16" t="str">
        <f>IFERROR(VLOOKUP(DATA!#REF!,DATA!#REF!,1,FALSE),"")</f>
        <v/>
      </c>
      <c r="D980" s="16" t="str">
        <f>IFERROR(VLOOKUP(C980,DATA!#REF!,2,FALSE),"")</f>
        <v/>
      </c>
      <c r="I980" s="17"/>
      <c r="J980" s="17"/>
      <c r="P980" s="17"/>
      <c r="Q980" s="17"/>
    </row>
    <row r="981" spans="2:17">
      <c r="B981" s="15" t="str">
        <f t="shared" si="56"/>
        <v/>
      </c>
      <c r="C981" s="16" t="str">
        <f>IFERROR(VLOOKUP(DATA!#REF!,DATA!#REF!,1,FALSE),"")</f>
        <v/>
      </c>
      <c r="D981" s="16" t="str">
        <f>IFERROR(VLOOKUP(C981,DATA!#REF!,2,FALSE),"")</f>
        <v/>
      </c>
      <c r="I981" s="17"/>
      <c r="J981" s="17"/>
      <c r="P981" s="17"/>
      <c r="Q981" s="17"/>
    </row>
    <row r="982" spans="2:17">
      <c r="B982" s="15" t="str">
        <f t="shared" si="56"/>
        <v/>
      </c>
      <c r="C982" s="16" t="str">
        <f>IFERROR(VLOOKUP(DATA!#REF!,DATA!#REF!,1,FALSE),"")</f>
        <v/>
      </c>
      <c r="D982" s="16" t="str">
        <f>IFERROR(VLOOKUP(C982,DATA!#REF!,2,FALSE),"")</f>
        <v/>
      </c>
      <c r="I982" s="17"/>
      <c r="J982" s="17"/>
      <c r="P982" s="17"/>
      <c r="Q982" s="17"/>
    </row>
    <row r="983" spans="2:17">
      <c r="B983" s="15" t="str">
        <f t="shared" si="56"/>
        <v/>
      </c>
      <c r="C983" s="16" t="str">
        <f>IFERROR(VLOOKUP(DATA!#REF!,DATA!#REF!,1,FALSE),"")</f>
        <v/>
      </c>
      <c r="D983" s="16" t="str">
        <f>IFERROR(VLOOKUP(C983,DATA!#REF!,2,FALSE),"")</f>
        <v/>
      </c>
      <c r="I983" s="17"/>
      <c r="J983" s="17"/>
      <c r="P983" s="17"/>
      <c r="Q983" s="17"/>
    </row>
    <row r="984" spans="2:17">
      <c r="B984" s="15" t="str">
        <f t="shared" si="56"/>
        <v/>
      </c>
      <c r="C984" s="16" t="str">
        <f>IFERROR(VLOOKUP(DATA!#REF!,DATA!#REF!,1,FALSE),"")</f>
        <v/>
      </c>
      <c r="D984" s="16" t="str">
        <f>IFERROR(VLOOKUP(C984,DATA!#REF!,2,FALSE),"")</f>
        <v/>
      </c>
      <c r="I984" s="17"/>
      <c r="J984" s="17"/>
      <c r="P984" s="17"/>
      <c r="Q984" s="17"/>
    </row>
    <row r="985" spans="2:17">
      <c r="B985" s="15" t="str">
        <f t="shared" si="56"/>
        <v/>
      </c>
      <c r="C985" s="16" t="str">
        <f>IFERROR(VLOOKUP(DATA!#REF!,DATA!#REF!,1,FALSE),"")</f>
        <v/>
      </c>
      <c r="D985" s="16" t="str">
        <f>IFERROR(VLOOKUP(C985,DATA!#REF!,2,FALSE),"")</f>
        <v/>
      </c>
      <c r="I985" s="17"/>
      <c r="J985" s="17"/>
      <c r="P985" s="17"/>
      <c r="Q985" s="17"/>
    </row>
    <row r="986" spans="2:17">
      <c r="B986" s="15" t="str">
        <f t="shared" si="56"/>
        <v/>
      </c>
      <c r="C986" s="16" t="str">
        <f>IFERROR(VLOOKUP(DATA!#REF!,DATA!#REF!,1,FALSE),"")</f>
        <v/>
      </c>
      <c r="D986" s="16" t="str">
        <f>IFERROR(VLOOKUP(C986,DATA!#REF!,2,FALSE),"")</f>
        <v/>
      </c>
      <c r="I986" s="17"/>
      <c r="J986" s="17"/>
      <c r="P986" s="17"/>
      <c r="Q986" s="17"/>
    </row>
    <row r="987" spans="2:17">
      <c r="B987" s="15" t="str">
        <f t="shared" si="56"/>
        <v/>
      </c>
      <c r="C987" s="16" t="str">
        <f>IFERROR(VLOOKUP(DATA!#REF!,DATA!#REF!,1,FALSE),"")</f>
        <v/>
      </c>
      <c r="D987" s="16" t="str">
        <f>IFERROR(VLOOKUP(C987,DATA!#REF!,2,FALSE),"")</f>
        <v/>
      </c>
      <c r="I987" s="17"/>
      <c r="J987" s="17"/>
      <c r="P987" s="17"/>
      <c r="Q987" s="17"/>
    </row>
    <row r="988" spans="2:17">
      <c r="B988" s="15" t="str">
        <f t="shared" si="56"/>
        <v/>
      </c>
      <c r="C988" s="16" t="str">
        <f>IFERROR(VLOOKUP(DATA!#REF!,DATA!#REF!,1,FALSE),"")</f>
        <v/>
      </c>
      <c r="D988" s="16" t="str">
        <f>IFERROR(VLOOKUP(C988,DATA!#REF!,2,FALSE),"")</f>
        <v/>
      </c>
      <c r="I988" s="17"/>
      <c r="J988" s="17"/>
      <c r="P988" s="17"/>
      <c r="Q988" s="17"/>
    </row>
    <row r="989" spans="2:17">
      <c r="B989" s="15" t="str">
        <f t="shared" si="56"/>
        <v/>
      </c>
      <c r="C989" s="16" t="str">
        <f>IFERROR(VLOOKUP(DATA!#REF!,DATA!#REF!,1,FALSE),"")</f>
        <v/>
      </c>
      <c r="D989" s="16" t="str">
        <f>IFERROR(VLOOKUP(C989,DATA!#REF!,2,FALSE),"")</f>
        <v/>
      </c>
      <c r="I989" s="17"/>
      <c r="J989" s="17"/>
      <c r="P989" s="17"/>
      <c r="Q989" s="17"/>
    </row>
    <row r="990" spans="2:17">
      <c r="B990" s="15" t="str">
        <f t="shared" si="56"/>
        <v/>
      </c>
      <c r="C990" s="16" t="str">
        <f>IFERROR(VLOOKUP(DATA!#REF!,DATA!#REF!,1,FALSE),"")</f>
        <v/>
      </c>
      <c r="D990" s="16" t="str">
        <f>IFERROR(VLOOKUP(C990,DATA!#REF!,2,FALSE),"")</f>
        <v/>
      </c>
      <c r="I990" s="17"/>
      <c r="J990" s="17"/>
      <c r="P990" s="17"/>
      <c r="Q990" s="17"/>
    </row>
    <row r="991" spans="2:17">
      <c r="B991" s="15" t="str">
        <f t="shared" si="56"/>
        <v/>
      </c>
      <c r="C991" s="16" t="str">
        <f>IFERROR(VLOOKUP(DATA!#REF!,DATA!#REF!,1,FALSE),"")</f>
        <v/>
      </c>
      <c r="D991" s="16" t="str">
        <f>IFERROR(VLOOKUP(C991,DATA!#REF!,2,FALSE),"")</f>
        <v/>
      </c>
      <c r="I991" s="17"/>
      <c r="J991" s="17"/>
      <c r="P991" s="17"/>
      <c r="Q991" s="17"/>
    </row>
    <row r="992" spans="2:17">
      <c r="B992" s="15" t="str">
        <f t="shared" si="56"/>
        <v/>
      </c>
      <c r="C992" s="16" t="str">
        <f>IFERROR(VLOOKUP(DATA!#REF!,DATA!#REF!,1,FALSE),"")</f>
        <v/>
      </c>
      <c r="D992" s="16" t="str">
        <f>IFERROR(VLOOKUP(C992,DATA!#REF!,2,FALSE),"")</f>
        <v/>
      </c>
      <c r="I992" s="17"/>
      <c r="J992" s="17"/>
      <c r="P992" s="17"/>
      <c r="Q992" s="17"/>
    </row>
    <row r="993" spans="2:17">
      <c r="B993" s="15" t="str">
        <f t="shared" si="56"/>
        <v/>
      </c>
      <c r="C993" s="16" t="str">
        <f>IFERROR(VLOOKUP(DATA!#REF!,DATA!#REF!,1,FALSE),"")</f>
        <v/>
      </c>
      <c r="D993" s="16" t="str">
        <f>IFERROR(VLOOKUP(C993,DATA!#REF!,2,FALSE),"")</f>
        <v/>
      </c>
      <c r="I993" s="17"/>
      <c r="J993" s="17"/>
      <c r="P993" s="17"/>
      <c r="Q993" s="17"/>
    </row>
    <row r="994" spans="2:17">
      <c r="B994" s="15" t="str">
        <f t="shared" si="56"/>
        <v/>
      </c>
      <c r="C994" s="16" t="str">
        <f>IFERROR(VLOOKUP(DATA!#REF!,DATA!#REF!,1,FALSE),"")</f>
        <v/>
      </c>
      <c r="D994" s="16" t="str">
        <f>IFERROR(VLOOKUP(C994,DATA!#REF!,2,FALSE),"")</f>
        <v/>
      </c>
      <c r="I994" s="17"/>
      <c r="J994" s="17"/>
      <c r="P994" s="17"/>
      <c r="Q994" s="17"/>
    </row>
    <row r="995" spans="2:17">
      <c r="B995" s="15" t="str">
        <f t="shared" si="56"/>
        <v/>
      </c>
      <c r="C995" s="16" t="str">
        <f>IFERROR(VLOOKUP(DATA!#REF!,DATA!#REF!,1,FALSE),"")</f>
        <v/>
      </c>
      <c r="D995" s="16" t="str">
        <f>IFERROR(VLOOKUP(C995,DATA!#REF!,2,FALSE),"")</f>
        <v/>
      </c>
      <c r="I995" s="17"/>
      <c r="J995" s="17"/>
      <c r="P995" s="17"/>
      <c r="Q995" s="17"/>
    </row>
    <row r="996" spans="2:17">
      <c r="B996" s="15" t="str">
        <f t="shared" si="56"/>
        <v/>
      </c>
      <c r="C996" s="16" t="str">
        <f>IFERROR(VLOOKUP(DATA!#REF!,DATA!#REF!,1,FALSE),"")</f>
        <v/>
      </c>
      <c r="D996" s="16" t="str">
        <f>IFERROR(VLOOKUP(C996,DATA!#REF!,2,FALSE),"")</f>
        <v/>
      </c>
      <c r="I996" s="17"/>
      <c r="J996" s="17"/>
      <c r="P996" s="17"/>
      <c r="Q996" s="17"/>
    </row>
    <row r="997" spans="2:17">
      <c r="B997" s="15" t="str">
        <f t="shared" si="56"/>
        <v/>
      </c>
      <c r="C997" s="16" t="str">
        <f>IFERROR(VLOOKUP(DATA!#REF!,DATA!#REF!,1,FALSE),"")</f>
        <v/>
      </c>
      <c r="D997" s="16" t="str">
        <f>IFERROR(VLOOKUP(C997,DATA!#REF!,2,FALSE),"")</f>
        <v/>
      </c>
      <c r="I997" s="17"/>
      <c r="J997" s="17"/>
      <c r="P997" s="17"/>
      <c r="Q997" s="17"/>
    </row>
    <row r="998" spans="2:17">
      <c r="B998" s="15" t="str">
        <f t="shared" si="56"/>
        <v/>
      </c>
      <c r="C998" s="16" t="str">
        <f>IFERROR(VLOOKUP(DATA!#REF!,DATA!#REF!,1,FALSE),"")</f>
        <v/>
      </c>
      <c r="D998" s="16" t="str">
        <f>IFERROR(VLOOKUP(C998,DATA!#REF!,2,FALSE),"")</f>
        <v/>
      </c>
      <c r="I998" s="17"/>
      <c r="J998" s="17"/>
      <c r="P998" s="17"/>
      <c r="Q998" s="17"/>
    </row>
    <row r="999" spans="2:17">
      <c r="B999" s="15" t="str">
        <f t="shared" si="56"/>
        <v/>
      </c>
      <c r="C999" s="16" t="str">
        <f>IFERROR(VLOOKUP(DATA!#REF!,DATA!#REF!,1,FALSE),"")</f>
        <v/>
      </c>
      <c r="D999" s="16" t="str">
        <f>IFERROR(VLOOKUP(C999,DATA!#REF!,2,FALSE),"")</f>
        <v/>
      </c>
      <c r="I999" s="17"/>
      <c r="J999" s="17"/>
      <c r="P999" s="17"/>
      <c r="Q999" s="17"/>
    </row>
    <row r="1000" spans="2:17">
      <c r="B1000" s="15" t="str">
        <f t="shared" si="56"/>
        <v/>
      </c>
      <c r="C1000" s="16" t="str">
        <f>IFERROR(VLOOKUP(DATA!#REF!,DATA!#REF!,1,FALSE),"")</f>
        <v/>
      </c>
      <c r="D1000" s="16" t="str">
        <f>IFERROR(VLOOKUP(C1000,DATA!#REF!,2,FALSE),"")</f>
        <v/>
      </c>
      <c r="I1000" s="17"/>
      <c r="J1000" s="17"/>
      <c r="P1000" s="17"/>
      <c r="Q1000" s="17"/>
    </row>
    <row r="1001" spans="2:17">
      <c r="B1001" s="15" t="str">
        <f t="shared" si="56"/>
        <v/>
      </c>
      <c r="C1001" s="16" t="str">
        <f>IFERROR(VLOOKUP(DATA!#REF!,DATA!#REF!,1,FALSE),"")</f>
        <v/>
      </c>
      <c r="D1001" s="16" t="str">
        <f>IFERROR(VLOOKUP(C1001,DATA!#REF!,2,FALSE),"")</f>
        <v/>
      </c>
      <c r="I1001" s="17"/>
      <c r="J1001" s="17"/>
      <c r="P1001" s="17"/>
      <c r="Q1001" s="17"/>
    </row>
    <row r="1002" spans="2:17">
      <c r="B1002" s="15" t="str">
        <f t="shared" si="56"/>
        <v/>
      </c>
      <c r="C1002" s="16" t="str">
        <f>IFERROR(VLOOKUP(DATA!#REF!,DATA!#REF!,1,FALSE),"")</f>
        <v/>
      </c>
      <c r="D1002" s="16" t="str">
        <f>IFERROR(VLOOKUP(C1002,DATA!#REF!,2,FALSE),"")</f>
        <v/>
      </c>
      <c r="I1002" s="17"/>
      <c r="J1002" s="17"/>
      <c r="P1002" s="17"/>
      <c r="Q1002" s="17"/>
    </row>
    <row r="1003" spans="2:17">
      <c r="B1003" s="15" t="str">
        <f t="shared" si="56"/>
        <v/>
      </c>
      <c r="C1003" s="16" t="str">
        <f>IFERROR(VLOOKUP(DATA!#REF!,DATA!#REF!,1,FALSE),"")</f>
        <v/>
      </c>
      <c r="D1003" s="16" t="str">
        <f>IFERROR(VLOOKUP(C1003,DATA!#REF!,2,FALSE),"")</f>
        <v/>
      </c>
      <c r="I1003" s="17"/>
      <c r="J1003" s="17"/>
      <c r="P1003" s="17"/>
      <c r="Q1003" s="17"/>
    </row>
    <row r="1004" spans="2:17">
      <c r="B1004" s="15" t="str">
        <f t="shared" si="56"/>
        <v/>
      </c>
      <c r="C1004" s="16" t="str">
        <f>IFERROR(VLOOKUP(DATA!#REF!,DATA!#REF!,1,FALSE),"")</f>
        <v/>
      </c>
      <c r="D1004" s="16" t="str">
        <f>IFERROR(VLOOKUP(C1004,DATA!#REF!,2,FALSE),"")</f>
        <v/>
      </c>
      <c r="I1004" s="17"/>
      <c r="J1004" s="17"/>
      <c r="P1004" s="17"/>
      <c r="Q1004" s="17"/>
    </row>
    <row r="1005" spans="2:17">
      <c r="B1005" s="15" t="str">
        <f t="shared" si="56"/>
        <v/>
      </c>
      <c r="C1005" s="16" t="str">
        <f>IFERROR(VLOOKUP(DATA!#REF!,DATA!#REF!,1,FALSE),"")</f>
        <v/>
      </c>
      <c r="D1005" s="16" t="str">
        <f>IFERROR(VLOOKUP(C1005,DATA!#REF!,2,FALSE),"")</f>
        <v/>
      </c>
      <c r="I1005" s="17"/>
      <c r="J1005" s="17"/>
      <c r="P1005" s="17"/>
      <c r="Q1005" s="17"/>
    </row>
    <row r="1006" spans="2:17">
      <c r="B1006" s="15" t="str">
        <f t="shared" si="56"/>
        <v/>
      </c>
      <c r="C1006" s="16" t="str">
        <f>IFERROR(VLOOKUP(DATA!#REF!,DATA!#REF!,1,FALSE),"")</f>
        <v/>
      </c>
      <c r="D1006" s="16" t="str">
        <f>IFERROR(VLOOKUP(C1006,DATA!#REF!,2,FALSE),"")</f>
        <v/>
      </c>
      <c r="I1006" s="17"/>
      <c r="J1006" s="17"/>
      <c r="P1006" s="17"/>
      <c r="Q1006" s="17"/>
    </row>
    <row r="1007" spans="2:17">
      <c r="B1007" s="15" t="str">
        <f t="shared" si="56"/>
        <v/>
      </c>
      <c r="C1007" s="16" t="str">
        <f>IFERROR(VLOOKUP(DATA!#REF!,DATA!#REF!,1,FALSE),"")</f>
        <v/>
      </c>
      <c r="D1007" s="16" t="str">
        <f>IFERROR(VLOOKUP(C1007,DATA!#REF!,2,FALSE),"")</f>
        <v/>
      </c>
      <c r="I1007" s="17"/>
      <c r="J1007" s="17"/>
      <c r="P1007" s="17"/>
      <c r="Q1007" s="17"/>
    </row>
    <row r="1008" spans="2:17">
      <c r="B1008" s="15" t="str">
        <f t="shared" si="56"/>
        <v/>
      </c>
      <c r="C1008" s="16" t="str">
        <f>IFERROR(VLOOKUP(DATA!#REF!,DATA!#REF!,1,FALSE),"")</f>
        <v/>
      </c>
      <c r="D1008" s="16" t="str">
        <f>IFERROR(VLOOKUP(C1008,DATA!#REF!,2,FALSE),"")</f>
        <v/>
      </c>
      <c r="I1008" s="17"/>
      <c r="J1008" s="17"/>
      <c r="P1008" s="17"/>
      <c r="Q1008" s="17"/>
    </row>
    <row r="1009" spans="2:17">
      <c r="B1009" s="15" t="str">
        <f t="shared" si="56"/>
        <v/>
      </c>
      <c r="C1009" s="16" t="str">
        <f>IFERROR(VLOOKUP(DATA!#REF!,DATA!#REF!,1,FALSE),"")</f>
        <v/>
      </c>
      <c r="D1009" s="16" t="str">
        <f>IFERROR(VLOOKUP(C1009,DATA!#REF!,2,FALSE),"")</f>
        <v/>
      </c>
      <c r="I1009" s="17"/>
      <c r="J1009" s="17"/>
      <c r="P1009" s="17"/>
      <c r="Q1009" s="17"/>
    </row>
    <row r="1010" spans="2:17">
      <c r="B1010" s="15" t="str">
        <f t="shared" si="56"/>
        <v/>
      </c>
      <c r="C1010" s="16" t="str">
        <f>IFERROR(VLOOKUP(DATA!#REF!,DATA!#REF!,1,FALSE),"")</f>
        <v/>
      </c>
      <c r="D1010" s="16" t="str">
        <f>IFERROR(VLOOKUP(C1010,DATA!#REF!,2,FALSE),"")</f>
        <v/>
      </c>
      <c r="I1010" s="17"/>
      <c r="J1010" s="17"/>
      <c r="P1010" s="17"/>
      <c r="Q1010" s="17"/>
    </row>
    <row r="1011" spans="2:17">
      <c r="B1011" s="15" t="str">
        <f t="shared" si="56"/>
        <v/>
      </c>
      <c r="C1011" s="16" t="str">
        <f>IFERROR(VLOOKUP(DATA!#REF!,DATA!#REF!,1,FALSE),"")</f>
        <v/>
      </c>
      <c r="D1011" s="16" t="str">
        <f>IFERROR(VLOOKUP(C1011,DATA!#REF!,2,FALSE),"")</f>
        <v/>
      </c>
      <c r="I1011" s="17"/>
      <c r="J1011" s="17"/>
      <c r="P1011" s="17"/>
      <c r="Q1011" s="17"/>
    </row>
    <row r="1012" spans="2:17">
      <c r="B1012" s="15" t="str">
        <f t="shared" si="56"/>
        <v/>
      </c>
      <c r="C1012" s="16" t="str">
        <f>IFERROR(VLOOKUP(DATA!#REF!,DATA!#REF!,1,FALSE),"")</f>
        <v/>
      </c>
      <c r="D1012" s="16" t="str">
        <f>IFERROR(VLOOKUP(C1012,DATA!#REF!,2,FALSE),"")</f>
        <v/>
      </c>
      <c r="I1012" s="17"/>
      <c r="J1012" s="17"/>
      <c r="P1012" s="17"/>
      <c r="Q1012" s="17"/>
    </row>
    <row r="1013" spans="2:17">
      <c r="B1013" s="15" t="str">
        <f t="shared" si="56"/>
        <v/>
      </c>
      <c r="C1013" s="16" t="str">
        <f>IFERROR(VLOOKUP(DATA!#REF!,DATA!#REF!,1,FALSE),"")</f>
        <v/>
      </c>
      <c r="D1013" s="16" t="str">
        <f>IFERROR(VLOOKUP(C1013,DATA!#REF!,2,FALSE),"")</f>
        <v/>
      </c>
      <c r="I1013" s="17"/>
      <c r="J1013" s="17"/>
      <c r="P1013" s="17"/>
      <c r="Q1013" s="17"/>
    </row>
    <row r="1014" spans="2:17">
      <c r="B1014" s="15" t="str">
        <f t="shared" si="56"/>
        <v/>
      </c>
      <c r="C1014" s="16" t="str">
        <f>IFERROR(VLOOKUP(DATA!#REF!,DATA!#REF!,1,FALSE),"")</f>
        <v/>
      </c>
      <c r="D1014" s="16" t="str">
        <f>IFERROR(VLOOKUP(C1014,DATA!#REF!,2,FALSE),"")</f>
        <v/>
      </c>
      <c r="I1014" s="17"/>
      <c r="J1014" s="17"/>
      <c r="P1014" s="17"/>
      <c r="Q1014" s="17"/>
    </row>
    <row r="1015" spans="2:17">
      <c r="B1015" s="15" t="str">
        <f t="shared" ref="B1015:B1078" si="57">+IF(C1015="","",ROW()-5)</f>
        <v/>
      </c>
      <c r="C1015" s="16" t="str">
        <f>IFERROR(VLOOKUP(DATA!#REF!,DATA!#REF!,1,FALSE),"")</f>
        <v/>
      </c>
      <c r="D1015" s="16" t="str">
        <f>IFERROR(VLOOKUP(C1015,DATA!#REF!,2,FALSE),"")</f>
        <v/>
      </c>
      <c r="I1015" s="17"/>
      <c r="J1015" s="17"/>
      <c r="P1015" s="17"/>
      <c r="Q1015" s="17"/>
    </row>
    <row r="1016" spans="2:17">
      <c r="B1016" s="15" t="str">
        <f t="shared" si="57"/>
        <v/>
      </c>
      <c r="C1016" s="16" t="str">
        <f>IFERROR(VLOOKUP(DATA!#REF!,DATA!#REF!,1,FALSE),"")</f>
        <v/>
      </c>
      <c r="D1016" s="16" t="str">
        <f>IFERROR(VLOOKUP(C1016,DATA!#REF!,2,FALSE),"")</f>
        <v/>
      </c>
      <c r="I1016" s="17"/>
      <c r="J1016" s="17"/>
      <c r="P1016" s="17"/>
      <c r="Q1016" s="17"/>
    </row>
    <row r="1017" spans="2:17">
      <c r="B1017" s="15" t="str">
        <f t="shared" si="57"/>
        <v/>
      </c>
      <c r="C1017" s="16" t="str">
        <f>IFERROR(VLOOKUP(DATA!#REF!,DATA!#REF!,1,FALSE),"")</f>
        <v/>
      </c>
      <c r="D1017" s="16" t="str">
        <f>IFERROR(VLOOKUP(C1017,DATA!#REF!,2,FALSE),"")</f>
        <v/>
      </c>
      <c r="I1017" s="17"/>
      <c r="J1017" s="17"/>
      <c r="P1017" s="17"/>
      <c r="Q1017" s="17"/>
    </row>
    <row r="1018" spans="2:17">
      <c r="B1018" s="15" t="str">
        <f t="shared" si="57"/>
        <v/>
      </c>
      <c r="C1018" s="16" t="str">
        <f>IFERROR(VLOOKUP(DATA!#REF!,DATA!#REF!,1,FALSE),"")</f>
        <v/>
      </c>
      <c r="D1018" s="16" t="str">
        <f>IFERROR(VLOOKUP(C1018,DATA!#REF!,2,FALSE),"")</f>
        <v/>
      </c>
      <c r="I1018" s="17"/>
      <c r="J1018" s="17"/>
      <c r="P1018" s="17"/>
      <c r="Q1018" s="17"/>
    </row>
    <row r="1019" spans="2:17">
      <c r="B1019" s="15" t="str">
        <f t="shared" si="57"/>
        <v/>
      </c>
      <c r="C1019" s="16" t="str">
        <f>IFERROR(VLOOKUP(DATA!#REF!,DATA!#REF!,1,FALSE),"")</f>
        <v/>
      </c>
      <c r="D1019" s="16" t="str">
        <f>IFERROR(VLOOKUP(C1019,DATA!#REF!,2,FALSE),"")</f>
        <v/>
      </c>
      <c r="I1019" s="17"/>
      <c r="J1019" s="17"/>
      <c r="P1019" s="17"/>
      <c r="Q1019" s="17"/>
    </row>
    <row r="1020" spans="2:17">
      <c r="B1020" s="15" t="str">
        <f t="shared" si="57"/>
        <v/>
      </c>
      <c r="C1020" s="16" t="str">
        <f>IFERROR(VLOOKUP(DATA!#REF!,DATA!#REF!,1,FALSE),"")</f>
        <v/>
      </c>
      <c r="D1020" s="16" t="str">
        <f>IFERROR(VLOOKUP(C1020,DATA!#REF!,2,FALSE),"")</f>
        <v/>
      </c>
      <c r="I1020" s="17"/>
      <c r="J1020" s="17"/>
      <c r="P1020" s="17"/>
      <c r="Q1020" s="17"/>
    </row>
    <row r="1021" spans="2:17">
      <c r="B1021" s="15" t="str">
        <f t="shared" si="57"/>
        <v/>
      </c>
      <c r="C1021" s="16" t="str">
        <f>IFERROR(VLOOKUP(DATA!#REF!,DATA!#REF!,1,FALSE),"")</f>
        <v/>
      </c>
      <c r="D1021" s="16" t="str">
        <f>IFERROR(VLOOKUP(C1021,DATA!#REF!,2,FALSE),"")</f>
        <v/>
      </c>
      <c r="I1021" s="17"/>
      <c r="J1021" s="17"/>
      <c r="P1021" s="17"/>
      <c r="Q1021" s="17"/>
    </row>
    <row r="1022" spans="2:17">
      <c r="B1022" s="15" t="str">
        <f t="shared" si="57"/>
        <v/>
      </c>
      <c r="C1022" s="16" t="str">
        <f>IFERROR(VLOOKUP(DATA!#REF!,DATA!#REF!,1,FALSE),"")</f>
        <v/>
      </c>
      <c r="D1022" s="16" t="str">
        <f>IFERROR(VLOOKUP(C1022,DATA!#REF!,2,FALSE),"")</f>
        <v/>
      </c>
      <c r="I1022" s="17"/>
      <c r="J1022" s="17"/>
      <c r="P1022" s="17"/>
      <c r="Q1022" s="17"/>
    </row>
    <row r="1023" spans="2:17">
      <c r="B1023" s="15" t="str">
        <f t="shared" si="57"/>
        <v/>
      </c>
      <c r="C1023" s="16" t="str">
        <f>IFERROR(VLOOKUP(DATA!#REF!,DATA!#REF!,1,FALSE),"")</f>
        <v/>
      </c>
      <c r="D1023" s="16" t="str">
        <f>IFERROR(VLOOKUP(C1023,DATA!#REF!,2,FALSE),"")</f>
        <v/>
      </c>
      <c r="I1023" s="17"/>
      <c r="J1023" s="17"/>
      <c r="P1023" s="17"/>
      <c r="Q1023" s="17"/>
    </row>
    <row r="1024" spans="2:17">
      <c r="B1024" s="15" t="str">
        <f t="shared" si="57"/>
        <v/>
      </c>
      <c r="C1024" s="16" t="str">
        <f>IFERROR(VLOOKUP(DATA!#REF!,DATA!#REF!,1,FALSE),"")</f>
        <v/>
      </c>
      <c r="D1024" s="16" t="str">
        <f>IFERROR(VLOOKUP(C1024,DATA!#REF!,2,FALSE),"")</f>
        <v/>
      </c>
      <c r="I1024" s="17"/>
      <c r="J1024" s="17"/>
      <c r="P1024" s="17"/>
      <c r="Q1024" s="17"/>
    </row>
    <row r="1025" spans="2:17">
      <c r="B1025" s="15" t="str">
        <f t="shared" si="57"/>
        <v/>
      </c>
      <c r="C1025" s="16" t="str">
        <f>IFERROR(VLOOKUP(DATA!#REF!,DATA!#REF!,1,FALSE),"")</f>
        <v/>
      </c>
      <c r="D1025" s="16" t="str">
        <f>IFERROR(VLOOKUP(C1025,DATA!#REF!,2,FALSE),"")</f>
        <v/>
      </c>
      <c r="I1025" s="17"/>
      <c r="J1025" s="17"/>
      <c r="P1025" s="17"/>
      <c r="Q1025" s="17"/>
    </row>
    <row r="1026" spans="2:17">
      <c r="B1026" s="15" t="str">
        <f t="shared" si="57"/>
        <v/>
      </c>
      <c r="C1026" s="16" t="str">
        <f>IFERROR(VLOOKUP(DATA!#REF!,DATA!#REF!,1,FALSE),"")</f>
        <v/>
      </c>
      <c r="D1026" s="16" t="str">
        <f>IFERROR(VLOOKUP(C1026,DATA!#REF!,2,FALSE),"")</f>
        <v/>
      </c>
      <c r="I1026" s="17"/>
      <c r="J1026" s="17"/>
      <c r="P1026" s="17"/>
      <c r="Q1026" s="17"/>
    </row>
    <row r="1027" spans="2:17">
      <c r="B1027" s="15" t="str">
        <f t="shared" si="57"/>
        <v/>
      </c>
      <c r="C1027" s="16" t="str">
        <f>IFERROR(VLOOKUP(DATA!#REF!,DATA!#REF!,1,FALSE),"")</f>
        <v/>
      </c>
      <c r="D1027" s="16" t="str">
        <f>IFERROR(VLOOKUP(C1027,DATA!#REF!,2,FALSE),"")</f>
        <v/>
      </c>
      <c r="I1027" s="17"/>
      <c r="J1027" s="17"/>
      <c r="P1027" s="17"/>
      <c r="Q1027" s="17"/>
    </row>
    <row r="1028" spans="2:17">
      <c r="B1028" s="15" t="str">
        <f t="shared" si="57"/>
        <v/>
      </c>
      <c r="C1028" s="16" t="str">
        <f>IFERROR(VLOOKUP(DATA!#REF!,DATA!#REF!,1,FALSE),"")</f>
        <v/>
      </c>
      <c r="D1028" s="16" t="str">
        <f>IFERROR(VLOOKUP(C1028,DATA!#REF!,2,FALSE),"")</f>
        <v/>
      </c>
      <c r="I1028" s="17"/>
      <c r="J1028" s="17"/>
      <c r="P1028" s="17"/>
      <c r="Q1028" s="17"/>
    </row>
    <row r="1029" spans="2:17">
      <c r="B1029" s="15" t="str">
        <f t="shared" si="57"/>
        <v/>
      </c>
      <c r="C1029" s="16" t="str">
        <f>IFERROR(VLOOKUP(DATA!#REF!,DATA!#REF!,1,FALSE),"")</f>
        <v/>
      </c>
      <c r="D1029" s="16" t="str">
        <f>IFERROR(VLOOKUP(C1029,DATA!#REF!,2,FALSE),"")</f>
        <v/>
      </c>
      <c r="I1029" s="17"/>
      <c r="J1029" s="17"/>
      <c r="P1029" s="17"/>
      <c r="Q1029" s="17"/>
    </row>
    <row r="1030" spans="2:17">
      <c r="B1030" s="15" t="str">
        <f t="shared" si="57"/>
        <v/>
      </c>
      <c r="C1030" s="16" t="str">
        <f>IFERROR(VLOOKUP(DATA!#REF!,DATA!#REF!,1,FALSE),"")</f>
        <v/>
      </c>
      <c r="D1030" s="16" t="str">
        <f>IFERROR(VLOOKUP(C1030,DATA!#REF!,2,FALSE),"")</f>
        <v/>
      </c>
      <c r="I1030" s="17"/>
      <c r="J1030" s="17"/>
      <c r="P1030" s="17"/>
      <c r="Q1030" s="17"/>
    </row>
    <row r="1031" spans="2:17">
      <c r="B1031" s="15" t="str">
        <f t="shared" si="57"/>
        <v/>
      </c>
      <c r="C1031" s="16" t="str">
        <f>IFERROR(VLOOKUP(DATA!#REF!,DATA!#REF!,1,FALSE),"")</f>
        <v/>
      </c>
      <c r="D1031" s="16" t="str">
        <f>IFERROR(VLOOKUP(C1031,DATA!#REF!,2,FALSE),"")</f>
        <v/>
      </c>
      <c r="I1031" s="17"/>
      <c r="J1031" s="17"/>
      <c r="P1031" s="17"/>
      <c r="Q1031" s="17"/>
    </row>
    <row r="1032" spans="2:17">
      <c r="B1032" s="15" t="str">
        <f t="shared" si="57"/>
        <v/>
      </c>
      <c r="C1032" s="16" t="str">
        <f>IFERROR(VLOOKUP(DATA!#REF!,DATA!#REF!,1,FALSE),"")</f>
        <v/>
      </c>
      <c r="D1032" s="16" t="str">
        <f>IFERROR(VLOOKUP(C1032,DATA!#REF!,2,FALSE),"")</f>
        <v/>
      </c>
      <c r="I1032" s="17"/>
      <c r="J1032" s="17"/>
      <c r="P1032" s="17"/>
      <c r="Q1032" s="17"/>
    </row>
    <row r="1033" spans="2:17">
      <c r="B1033" s="15" t="str">
        <f t="shared" si="57"/>
        <v/>
      </c>
      <c r="C1033" s="16" t="str">
        <f>IFERROR(VLOOKUP(DATA!#REF!,DATA!#REF!,1,FALSE),"")</f>
        <v/>
      </c>
      <c r="D1033" s="16" t="str">
        <f>IFERROR(VLOOKUP(C1033,DATA!#REF!,2,FALSE),"")</f>
        <v/>
      </c>
      <c r="I1033" s="17"/>
      <c r="J1033" s="17"/>
      <c r="P1033" s="17"/>
      <c r="Q1033" s="17"/>
    </row>
    <row r="1034" spans="2:17">
      <c r="B1034" s="15" t="str">
        <f t="shared" si="57"/>
        <v/>
      </c>
      <c r="C1034" s="16" t="str">
        <f>IFERROR(VLOOKUP(DATA!#REF!,DATA!#REF!,1,FALSE),"")</f>
        <v/>
      </c>
      <c r="D1034" s="16" t="str">
        <f>IFERROR(VLOOKUP(C1034,DATA!#REF!,2,FALSE),"")</f>
        <v/>
      </c>
      <c r="I1034" s="17"/>
      <c r="J1034" s="17"/>
      <c r="P1034" s="17"/>
      <c r="Q1034" s="17"/>
    </row>
    <row r="1035" spans="2:17">
      <c r="B1035" s="15" t="str">
        <f t="shared" si="57"/>
        <v/>
      </c>
      <c r="C1035" s="16" t="str">
        <f>IFERROR(VLOOKUP(DATA!#REF!,DATA!#REF!,1,FALSE),"")</f>
        <v/>
      </c>
      <c r="D1035" s="16" t="str">
        <f>IFERROR(VLOOKUP(C1035,DATA!#REF!,2,FALSE),"")</f>
        <v/>
      </c>
      <c r="I1035" s="17"/>
      <c r="J1035" s="17"/>
      <c r="P1035" s="17"/>
      <c r="Q1035" s="17"/>
    </row>
    <row r="1036" spans="2:17">
      <c r="B1036" s="15" t="str">
        <f t="shared" si="57"/>
        <v/>
      </c>
      <c r="C1036" s="16" t="str">
        <f>IFERROR(VLOOKUP(DATA!#REF!,DATA!#REF!,1,FALSE),"")</f>
        <v/>
      </c>
      <c r="D1036" s="16" t="str">
        <f>IFERROR(VLOOKUP(C1036,DATA!#REF!,2,FALSE),"")</f>
        <v/>
      </c>
      <c r="I1036" s="17"/>
      <c r="J1036" s="17"/>
      <c r="P1036" s="17"/>
      <c r="Q1036" s="17"/>
    </row>
    <row r="1037" spans="2:17">
      <c r="B1037" s="15" t="str">
        <f t="shared" si="57"/>
        <v/>
      </c>
      <c r="C1037" s="16" t="str">
        <f>IFERROR(VLOOKUP(DATA!#REF!,DATA!#REF!,1,FALSE),"")</f>
        <v/>
      </c>
      <c r="D1037" s="16" t="str">
        <f>IFERROR(VLOOKUP(C1037,DATA!#REF!,2,FALSE),"")</f>
        <v/>
      </c>
      <c r="I1037" s="17"/>
      <c r="J1037" s="17"/>
      <c r="P1037" s="17"/>
      <c r="Q1037" s="17"/>
    </row>
    <row r="1038" spans="2:17">
      <c r="B1038" s="15" t="str">
        <f t="shared" si="57"/>
        <v/>
      </c>
      <c r="C1038" s="16" t="str">
        <f>IFERROR(VLOOKUP(DATA!#REF!,DATA!#REF!,1,FALSE),"")</f>
        <v/>
      </c>
      <c r="D1038" s="16" t="str">
        <f>IFERROR(VLOOKUP(C1038,DATA!#REF!,2,FALSE),"")</f>
        <v/>
      </c>
      <c r="I1038" s="17"/>
      <c r="J1038" s="17"/>
      <c r="P1038" s="17"/>
      <c r="Q1038" s="17"/>
    </row>
    <row r="1039" spans="2:17">
      <c r="B1039" s="15" t="str">
        <f t="shared" si="57"/>
        <v/>
      </c>
      <c r="C1039" s="16" t="str">
        <f>IFERROR(VLOOKUP(DATA!#REF!,DATA!#REF!,1,FALSE),"")</f>
        <v/>
      </c>
      <c r="D1039" s="16" t="str">
        <f>IFERROR(VLOOKUP(C1039,DATA!#REF!,2,FALSE),"")</f>
        <v/>
      </c>
      <c r="I1039" s="17"/>
      <c r="J1039" s="17"/>
      <c r="P1039" s="17"/>
      <c r="Q1039" s="17"/>
    </row>
    <row r="1040" spans="2:17">
      <c r="B1040" s="15" t="str">
        <f t="shared" si="57"/>
        <v/>
      </c>
      <c r="C1040" s="16" t="str">
        <f>IFERROR(VLOOKUP(DATA!#REF!,DATA!#REF!,1,FALSE),"")</f>
        <v/>
      </c>
      <c r="D1040" s="16" t="str">
        <f>IFERROR(VLOOKUP(C1040,DATA!#REF!,2,FALSE),"")</f>
        <v/>
      </c>
      <c r="I1040" s="17"/>
      <c r="J1040" s="17"/>
      <c r="P1040" s="17"/>
      <c r="Q1040" s="17"/>
    </row>
    <row r="1041" spans="2:17">
      <c r="B1041" s="15" t="str">
        <f t="shared" si="57"/>
        <v/>
      </c>
      <c r="C1041" s="16" t="str">
        <f>IFERROR(VLOOKUP(DATA!#REF!,DATA!#REF!,1,FALSE),"")</f>
        <v/>
      </c>
      <c r="D1041" s="16" t="str">
        <f>IFERROR(VLOOKUP(C1041,DATA!#REF!,2,FALSE),"")</f>
        <v/>
      </c>
      <c r="I1041" s="17"/>
      <c r="J1041" s="17"/>
      <c r="P1041" s="17"/>
      <c r="Q1041" s="17"/>
    </row>
    <row r="1042" spans="2:17">
      <c r="B1042" s="15" t="str">
        <f t="shared" si="57"/>
        <v/>
      </c>
      <c r="C1042" s="16" t="str">
        <f>IFERROR(VLOOKUP(DATA!#REF!,DATA!#REF!,1,FALSE),"")</f>
        <v/>
      </c>
      <c r="D1042" s="16" t="str">
        <f>IFERROR(VLOOKUP(C1042,DATA!#REF!,2,FALSE),"")</f>
        <v/>
      </c>
      <c r="I1042" s="17"/>
      <c r="J1042" s="17"/>
      <c r="P1042" s="17"/>
      <c r="Q1042" s="17"/>
    </row>
    <row r="1043" spans="2:17">
      <c r="B1043" s="15" t="str">
        <f t="shared" si="57"/>
        <v/>
      </c>
      <c r="C1043" s="16" t="str">
        <f>IFERROR(VLOOKUP(DATA!#REF!,DATA!#REF!,1,FALSE),"")</f>
        <v/>
      </c>
      <c r="D1043" s="16" t="str">
        <f>IFERROR(VLOOKUP(C1043,DATA!#REF!,2,FALSE),"")</f>
        <v/>
      </c>
      <c r="I1043" s="17"/>
      <c r="J1043" s="17"/>
      <c r="P1043" s="17"/>
      <c r="Q1043" s="17"/>
    </row>
    <row r="1044" spans="2:17">
      <c r="B1044" s="15" t="str">
        <f t="shared" si="57"/>
        <v/>
      </c>
      <c r="C1044" s="16" t="str">
        <f>IFERROR(VLOOKUP(DATA!#REF!,DATA!#REF!,1,FALSE),"")</f>
        <v/>
      </c>
      <c r="D1044" s="16" t="str">
        <f>IFERROR(VLOOKUP(C1044,DATA!#REF!,2,FALSE),"")</f>
        <v/>
      </c>
      <c r="I1044" s="17"/>
      <c r="J1044" s="17"/>
      <c r="P1044" s="17"/>
      <c r="Q1044" s="17"/>
    </row>
    <row r="1045" spans="2:17">
      <c r="B1045" s="15" t="str">
        <f t="shared" si="57"/>
        <v/>
      </c>
      <c r="C1045" s="16" t="str">
        <f>IFERROR(VLOOKUP(DATA!#REF!,DATA!#REF!,1,FALSE),"")</f>
        <v/>
      </c>
      <c r="D1045" s="16" t="str">
        <f>IFERROR(VLOOKUP(C1045,DATA!#REF!,2,FALSE),"")</f>
        <v/>
      </c>
      <c r="I1045" s="17"/>
      <c r="J1045" s="17"/>
      <c r="P1045" s="17"/>
      <c r="Q1045" s="17"/>
    </row>
    <row r="1046" spans="2:17">
      <c r="B1046" s="15" t="str">
        <f t="shared" si="57"/>
        <v/>
      </c>
      <c r="C1046" s="16" t="str">
        <f>IFERROR(VLOOKUP(DATA!#REF!,DATA!#REF!,1,FALSE),"")</f>
        <v/>
      </c>
      <c r="D1046" s="16" t="str">
        <f>IFERROR(VLOOKUP(C1046,DATA!#REF!,2,FALSE),"")</f>
        <v/>
      </c>
      <c r="I1046" s="17"/>
      <c r="J1046" s="17"/>
      <c r="P1046" s="17"/>
      <c r="Q1046" s="17"/>
    </row>
    <row r="1047" spans="2:17">
      <c r="B1047" s="15" t="str">
        <f t="shared" si="57"/>
        <v/>
      </c>
      <c r="C1047" s="16" t="str">
        <f>IFERROR(VLOOKUP(DATA!#REF!,DATA!#REF!,1,FALSE),"")</f>
        <v/>
      </c>
      <c r="D1047" s="16" t="str">
        <f>IFERROR(VLOOKUP(C1047,DATA!#REF!,2,FALSE),"")</f>
        <v/>
      </c>
      <c r="I1047" s="17"/>
      <c r="J1047" s="17"/>
      <c r="P1047" s="17"/>
      <c r="Q1047" s="17"/>
    </row>
    <row r="1048" spans="2:17">
      <c r="B1048" s="15" t="str">
        <f t="shared" si="57"/>
        <v/>
      </c>
      <c r="C1048" s="16" t="str">
        <f>IFERROR(VLOOKUP(DATA!#REF!,DATA!#REF!,1,FALSE),"")</f>
        <v/>
      </c>
      <c r="D1048" s="16" t="str">
        <f>IFERROR(VLOOKUP(C1048,DATA!#REF!,2,FALSE),"")</f>
        <v/>
      </c>
      <c r="I1048" s="17"/>
      <c r="J1048" s="17"/>
      <c r="P1048" s="17"/>
      <c r="Q1048" s="17"/>
    </row>
    <row r="1049" spans="2:17">
      <c r="B1049" s="15" t="str">
        <f t="shared" si="57"/>
        <v/>
      </c>
      <c r="C1049" s="16" t="str">
        <f>IFERROR(VLOOKUP(DATA!#REF!,DATA!#REF!,1,FALSE),"")</f>
        <v/>
      </c>
      <c r="D1049" s="16" t="str">
        <f>IFERROR(VLOOKUP(C1049,DATA!#REF!,2,FALSE),"")</f>
        <v/>
      </c>
      <c r="I1049" s="17"/>
      <c r="J1049" s="17"/>
      <c r="P1049" s="17"/>
      <c r="Q1049" s="17"/>
    </row>
    <row r="1050" spans="2:17">
      <c r="B1050" s="15" t="str">
        <f t="shared" si="57"/>
        <v/>
      </c>
      <c r="C1050" s="16" t="str">
        <f>IFERROR(VLOOKUP(DATA!#REF!,DATA!#REF!,1,FALSE),"")</f>
        <v/>
      </c>
      <c r="D1050" s="16" t="str">
        <f>IFERROR(VLOOKUP(C1050,DATA!#REF!,2,FALSE),"")</f>
        <v/>
      </c>
      <c r="I1050" s="17"/>
      <c r="J1050" s="17"/>
      <c r="P1050" s="17"/>
      <c r="Q1050" s="17"/>
    </row>
    <row r="1051" spans="2:17">
      <c r="B1051" s="15" t="str">
        <f t="shared" si="57"/>
        <v/>
      </c>
      <c r="C1051" s="16" t="str">
        <f>IFERROR(VLOOKUP(DATA!#REF!,DATA!#REF!,1,FALSE),"")</f>
        <v/>
      </c>
      <c r="D1051" s="16" t="str">
        <f>IFERROR(VLOOKUP(C1051,DATA!#REF!,2,FALSE),"")</f>
        <v/>
      </c>
      <c r="I1051" s="17"/>
      <c r="J1051" s="17"/>
      <c r="P1051" s="17"/>
      <c r="Q1051" s="17"/>
    </row>
    <row r="1052" spans="2:17">
      <c r="B1052" s="15" t="str">
        <f t="shared" si="57"/>
        <v/>
      </c>
      <c r="C1052" s="16" t="str">
        <f>IFERROR(VLOOKUP(DATA!#REF!,DATA!#REF!,1,FALSE),"")</f>
        <v/>
      </c>
      <c r="D1052" s="16" t="str">
        <f>IFERROR(VLOOKUP(C1052,DATA!#REF!,2,FALSE),"")</f>
        <v/>
      </c>
      <c r="I1052" s="17"/>
      <c r="J1052" s="17"/>
      <c r="P1052" s="17"/>
      <c r="Q1052" s="17"/>
    </row>
    <row r="1053" spans="2:17">
      <c r="B1053" s="15" t="str">
        <f t="shared" si="57"/>
        <v/>
      </c>
      <c r="C1053" s="16" t="str">
        <f>IFERROR(VLOOKUP(DATA!#REF!,DATA!#REF!,1,FALSE),"")</f>
        <v/>
      </c>
      <c r="D1053" s="16" t="str">
        <f>IFERROR(VLOOKUP(C1053,DATA!#REF!,2,FALSE),"")</f>
        <v/>
      </c>
      <c r="I1053" s="17"/>
      <c r="J1053" s="17"/>
      <c r="P1053" s="17"/>
      <c r="Q1053" s="17"/>
    </row>
    <row r="1054" spans="2:17">
      <c r="B1054" s="15" t="str">
        <f t="shared" si="57"/>
        <v/>
      </c>
      <c r="C1054" s="16" t="str">
        <f>IFERROR(VLOOKUP(DATA!#REF!,DATA!#REF!,1,FALSE),"")</f>
        <v/>
      </c>
      <c r="D1054" s="16" t="str">
        <f>IFERROR(VLOOKUP(C1054,DATA!#REF!,2,FALSE),"")</f>
        <v/>
      </c>
      <c r="I1054" s="17"/>
      <c r="J1054" s="17"/>
      <c r="P1054" s="17"/>
      <c r="Q1054" s="17"/>
    </row>
    <row r="1055" spans="2:17">
      <c r="B1055" s="15" t="str">
        <f t="shared" si="57"/>
        <v/>
      </c>
      <c r="C1055" s="16" t="str">
        <f>IFERROR(VLOOKUP(DATA!#REF!,DATA!#REF!,1,FALSE),"")</f>
        <v/>
      </c>
      <c r="D1055" s="16" t="str">
        <f>IFERROR(VLOOKUP(C1055,DATA!#REF!,2,FALSE),"")</f>
        <v/>
      </c>
      <c r="I1055" s="17"/>
      <c r="J1055" s="17"/>
      <c r="P1055" s="17"/>
      <c r="Q1055" s="17"/>
    </row>
    <row r="1056" spans="2:17">
      <c r="B1056" s="15" t="str">
        <f t="shared" si="57"/>
        <v/>
      </c>
      <c r="C1056" s="16" t="str">
        <f>IFERROR(VLOOKUP(DATA!#REF!,DATA!#REF!,1,FALSE),"")</f>
        <v/>
      </c>
      <c r="D1056" s="16" t="str">
        <f>IFERROR(VLOOKUP(C1056,DATA!#REF!,2,FALSE),"")</f>
        <v/>
      </c>
      <c r="I1056" s="17"/>
      <c r="J1056" s="17"/>
      <c r="P1056" s="17"/>
      <c r="Q1056" s="17"/>
    </row>
    <row r="1057" spans="2:17">
      <c r="B1057" s="15" t="str">
        <f t="shared" si="57"/>
        <v/>
      </c>
      <c r="C1057" s="16" t="str">
        <f>IFERROR(VLOOKUP(DATA!#REF!,DATA!#REF!,1,FALSE),"")</f>
        <v/>
      </c>
      <c r="D1057" s="16" t="str">
        <f>IFERROR(VLOOKUP(C1057,DATA!#REF!,2,FALSE),"")</f>
        <v/>
      </c>
      <c r="I1057" s="17"/>
      <c r="J1057" s="17"/>
      <c r="P1057" s="17"/>
      <c r="Q1057" s="17"/>
    </row>
    <row r="1058" spans="2:17">
      <c r="B1058" s="15" t="str">
        <f t="shared" si="57"/>
        <v/>
      </c>
      <c r="C1058" s="16" t="str">
        <f>IFERROR(VLOOKUP(DATA!#REF!,DATA!#REF!,1,FALSE),"")</f>
        <v/>
      </c>
      <c r="D1058" s="16" t="str">
        <f>IFERROR(VLOOKUP(C1058,DATA!#REF!,2,FALSE),"")</f>
        <v/>
      </c>
      <c r="I1058" s="17"/>
      <c r="J1058" s="17"/>
      <c r="P1058" s="17"/>
      <c r="Q1058" s="17"/>
    </row>
    <row r="1059" spans="2:17">
      <c r="B1059" s="15" t="str">
        <f t="shared" si="57"/>
        <v/>
      </c>
      <c r="C1059" s="16" t="str">
        <f>IFERROR(VLOOKUP(DATA!#REF!,DATA!#REF!,1,FALSE),"")</f>
        <v/>
      </c>
      <c r="D1059" s="16" t="str">
        <f>IFERROR(VLOOKUP(C1059,DATA!#REF!,2,FALSE),"")</f>
        <v/>
      </c>
      <c r="I1059" s="17"/>
      <c r="J1059" s="17"/>
      <c r="P1059" s="17"/>
      <c r="Q1059" s="17"/>
    </row>
    <row r="1060" spans="2:17">
      <c r="B1060" s="15" t="str">
        <f t="shared" si="57"/>
        <v/>
      </c>
      <c r="C1060" s="16" t="str">
        <f>IFERROR(VLOOKUP(DATA!#REF!,DATA!#REF!,1,FALSE),"")</f>
        <v/>
      </c>
      <c r="D1060" s="16" t="str">
        <f>IFERROR(VLOOKUP(C1060,DATA!#REF!,2,FALSE),"")</f>
        <v/>
      </c>
      <c r="I1060" s="17"/>
      <c r="J1060" s="17"/>
      <c r="P1060" s="17"/>
      <c r="Q1060" s="17"/>
    </row>
    <row r="1061" spans="2:17">
      <c r="B1061" s="15" t="str">
        <f t="shared" si="57"/>
        <v/>
      </c>
      <c r="C1061" s="16" t="str">
        <f>IFERROR(VLOOKUP(DATA!#REF!,DATA!#REF!,1,FALSE),"")</f>
        <v/>
      </c>
      <c r="D1061" s="16" t="str">
        <f>IFERROR(VLOOKUP(C1061,DATA!#REF!,2,FALSE),"")</f>
        <v/>
      </c>
      <c r="I1061" s="17"/>
      <c r="J1061" s="17"/>
      <c r="P1061" s="17"/>
      <c r="Q1061" s="17"/>
    </row>
    <row r="1062" spans="2:17">
      <c r="B1062" s="15" t="str">
        <f t="shared" si="57"/>
        <v/>
      </c>
      <c r="C1062" s="16" t="str">
        <f>IFERROR(VLOOKUP(DATA!#REF!,DATA!#REF!,1,FALSE),"")</f>
        <v/>
      </c>
      <c r="D1062" s="16" t="str">
        <f>IFERROR(VLOOKUP(C1062,DATA!#REF!,2,FALSE),"")</f>
        <v/>
      </c>
      <c r="I1062" s="17"/>
      <c r="J1062" s="17"/>
      <c r="P1062" s="17"/>
      <c r="Q1062" s="17"/>
    </row>
    <row r="1063" spans="2:17">
      <c r="B1063" s="15" t="str">
        <f t="shared" si="57"/>
        <v/>
      </c>
      <c r="C1063" s="16" t="str">
        <f>IFERROR(VLOOKUP(DATA!#REF!,DATA!#REF!,1,FALSE),"")</f>
        <v/>
      </c>
      <c r="D1063" s="16" t="str">
        <f>IFERROR(VLOOKUP(C1063,DATA!#REF!,2,FALSE),"")</f>
        <v/>
      </c>
      <c r="I1063" s="17"/>
      <c r="J1063" s="17"/>
      <c r="P1063" s="17"/>
      <c r="Q1063" s="17"/>
    </row>
    <row r="1064" spans="2:17">
      <c r="B1064" s="15" t="str">
        <f t="shared" si="57"/>
        <v/>
      </c>
      <c r="C1064" s="16" t="str">
        <f>IFERROR(VLOOKUP(DATA!#REF!,DATA!#REF!,1,FALSE),"")</f>
        <v/>
      </c>
      <c r="D1064" s="16" t="str">
        <f>IFERROR(VLOOKUP(C1064,DATA!#REF!,2,FALSE),"")</f>
        <v/>
      </c>
      <c r="I1064" s="17"/>
      <c r="J1064" s="17"/>
      <c r="P1064" s="17"/>
      <c r="Q1064" s="17"/>
    </row>
    <row r="1065" spans="2:17">
      <c r="B1065" s="15" t="str">
        <f t="shared" si="57"/>
        <v/>
      </c>
      <c r="C1065" s="16" t="str">
        <f>IFERROR(VLOOKUP(DATA!#REF!,DATA!#REF!,1,FALSE),"")</f>
        <v/>
      </c>
      <c r="D1065" s="16" t="str">
        <f>IFERROR(VLOOKUP(C1065,DATA!#REF!,2,FALSE),"")</f>
        <v/>
      </c>
      <c r="I1065" s="17"/>
      <c r="J1065" s="17"/>
      <c r="P1065" s="17"/>
      <c r="Q1065" s="17"/>
    </row>
    <row r="1066" spans="2:17">
      <c r="B1066" s="15" t="str">
        <f t="shared" si="57"/>
        <v/>
      </c>
      <c r="C1066" s="16" t="str">
        <f>IFERROR(VLOOKUP(DATA!#REF!,DATA!#REF!,1,FALSE),"")</f>
        <v/>
      </c>
      <c r="D1066" s="16" t="str">
        <f>IFERROR(VLOOKUP(C1066,DATA!#REF!,2,FALSE),"")</f>
        <v/>
      </c>
      <c r="I1066" s="17"/>
      <c r="J1066" s="17"/>
      <c r="P1066" s="17"/>
      <c r="Q1066" s="17"/>
    </row>
    <row r="1067" spans="2:17">
      <c r="B1067" s="15" t="str">
        <f t="shared" si="57"/>
        <v/>
      </c>
      <c r="C1067" s="16" t="str">
        <f>IFERROR(VLOOKUP(DATA!#REF!,DATA!#REF!,1,FALSE),"")</f>
        <v/>
      </c>
      <c r="D1067" s="16" t="str">
        <f>IFERROR(VLOOKUP(C1067,DATA!#REF!,2,FALSE),"")</f>
        <v/>
      </c>
      <c r="I1067" s="17"/>
      <c r="J1067" s="17"/>
      <c r="P1067" s="17"/>
      <c r="Q1067" s="17"/>
    </row>
    <row r="1068" spans="2:17">
      <c r="B1068" s="15" t="str">
        <f t="shared" si="57"/>
        <v/>
      </c>
      <c r="C1068" s="16" t="str">
        <f>IFERROR(VLOOKUP(DATA!#REF!,DATA!#REF!,1,FALSE),"")</f>
        <v/>
      </c>
      <c r="D1068" s="16" t="str">
        <f>IFERROR(VLOOKUP(C1068,DATA!#REF!,2,FALSE),"")</f>
        <v/>
      </c>
      <c r="I1068" s="17"/>
      <c r="J1068" s="17"/>
      <c r="P1068" s="17"/>
      <c r="Q1068" s="17"/>
    </row>
    <row r="1069" spans="2:17">
      <c r="B1069" s="15" t="str">
        <f t="shared" si="57"/>
        <v/>
      </c>
      <c r="C1069" s="16" t="str">
        <f>IFERROR(VLOOKUP(DATA!#REF!,DATA!#REF!,1,FALSE),"")</f>
        <v/>
      </c>
      <c r="D1069" s="16" t="str">
        <f>IFERROR(VLOOKUP(C1069,DATA!#REF!,2,FALSE),"")</f>
        <v/>
      </c>
      <c r="I1069" s="17"/>
      <c r="J1069" s="17"/>
      <c r="P1069" s="17"/>
      <c r="Q1069" s="17"/>
    </row>
    <row r="1070" spans="2:17">
      <c r="B1070" s="15" t="str">
        <f t="shared" si="57"/>
        <v/>
      </c>
      <c r="C1070" s="16" t="str">
        <f>IFERROR(VLOOKUP(DATA!#REF!,DATA!#REF!,1,FALSE),"")</f>
        <v/>
      </c>
      <c r="D1070" s="16" t="str">
        <f>IFERROR(VLOOKUP(C1070,DATA!#REF!,2,FALSE),"")</f>
        <v/>
      </c>
      <c r="I1070" s="17"/>
      <c r="J1070" s="17"/>
      <c r="P1070" s="17"/>
      <c r="Q1070" s="17"/>
    </row>
    <row r="1071" spans="2:17">
      <c r="B1071" s="15" t="str">
        <f t="shared" si="57"/>
        <v/>
      </c>
      <c r="C1071" s="16" t="str">
        <f>IFERROR(VLOOKUP(DATA!#REF!,DATA!#REF!,1,FALSE),"")</f>
        <v/>
      </c>
      <c r="D1071" s="16" t="str">
        <f>IFERROR(VLOOKUP(C1071,DATA!#REF!,2,FALSE),"")</f>
        <v/>
      </c>
      <c r="I1071" s="17"/>
      <c r="J1071" s="17"/>
      <c r="P1071" s="17"/>
      <c r="Q1071" s="17"/>
    </row>
    <row r="1072" spans="2:17">
      <c r="B1072" s="15" t="str">
        <f t="shared" si="57"/>
        <v/>
      </c>
      <c r="C1072" s="16" t="str">
        <f>IFERROR(VLOOKUP(DATA!#REF!,DATA!#REF!,1,FALSE),"")</f>
        <v/>
      </c>
      <c r="D1072" s="16" t="str">
        <f>IFERROR(VLOOKUP(C1072,DATA!#REF!,2,FALSE),"")</f>
        <v/>
      </c>
      <c r="I1072" s="17"/>
      <c r="J1072" s="17"/>
      <c r="P1072" s="17"/>
      <c r="Q1072" s="17"/>
    </row>
    <row r="1073" spans="2:17">
      <c r="B1073" s="15" t="str">
        <f t="shared" si="57"/>
        <v/>
      </c>
      <c r="C1073" s="16" t="str">
        <f>IFERROR(VLOOKUP(DATA!#REF!,DATA!#REF!,1,FALSE),"")</f>
        <v/>
      </c>
      <c r="D1073" s="16" t="str">
        <f>IFERROR(VLOOKUP(C1073,DATA!#REF!,2,FALSE),"")</f>
        <v/>
      </c>
      <c r="I1073" s="17"/>
      <c r="J1073" s="17"/>
      <c r="P1073" s="17"/>
      <c r="Q1073" s="17"/>
    </row>
    <row r="1074" spans="2:17">
      <c r="B1074" s="15" t="str">
        <f t="shared" si="57"/>
        <v/>
      </c>
      <c r="C1074" s="16" t="str">
        <f>IFERROR(VLOOKUP(DATA!#REF!,DATA!#REF!,1,FALSE),"")</f>
        <v/>
      </c>
      <c r="D1074" s="16" t="str">
        <f>IFERROR(VLOOKUP(C1074,DATA!#REF!,2,FALSE),"")</f>
        <v/>
      </c>
      <c r="I1074" s="17"/>
      <c r="J1074" s="17"/>
      <c r="P1074" s="17"/>
      <c r="Q1074" s="17"/>
    </row>
    <row r="1075" spans="2:17">
      <c r="B1075" s="15" t="str">
        <f t="shared" si="57"/>
        <v/>
      </c>
      <c r="C1075" s="16" t="str">
        <f>IFERROR(VLOOKUP(DATA!#REF!,DATA!#REF!,1,FALSE),"")</f>
        <v/>
      </c>
      <c r="D1075" s="16" t="str">
        <f>IFERROR(VLOOKUP(C1075,DATA!#REF!,2,FALSE),"")</f>
        <v/>
      </c>
      <c r="I1075" s="17"/>
      <c r="J1075" s="17"/>
      <c r="P1075" s="17"/>
      <c r="Q1075" s="17"/>
    </row>
    <row r="1076" spans="2:17">
      <c r="B1076" s="15" t="str">
        <f t="shared" si="57"/>
        <v/>
      </c>
      <c r="C1076" s="16" t="str">
        <f>IFERROR(VLOOKUP(DATA!#REF!,DATA!#REF!,1,FALSE),"")</f>
        <v/>
      </c>
      <c r="D1076" s="16" t="str">
        <f>IFERROR(VLOOKUP(C1076,DATA!#REF!,2,FALSE),"")</f>
        <v/>
      </c>
      <c r="I1076" s="17"/>
      <c r="J1076" s="17"/>
      <c r="P1076" s="17"/>
      <c r="Q1076" s="17"/>
    </row>
    <row r="1077" spans="2:17">
      <c r="B1077" s="15" t="str">
        <f t="shared" si="57"/>
        <v/>
      </c>
      <c r="C1077" s="16" t="str">
        <f>IFERROR(VLOOKUP(DATA!#REF!,DATA!#REF!,1,FALSE),"")</f>
        <v/>
      </c>
      <c r="D1077" s="16" t="str">
        <f>IFERROR(VLOOKUP(C1077,DATA!#REF!,2,FALSE),"")</f>
        <v/>
      </c>
      <c r="I1077" s="17"/>
      <c r="J1077" s="17"/>
      <c r="P1077" s="17"/>
      <c r="Q1077" s="17"/>
    </row>
    <row r="1078" spans="2:17">
      <c r="B1078" s="15" t="str">
        <f t="shared" si="57"/>
        <v/>
      </c>
      <c r="C1078" s="16" t="str">
        <f>IFERROR(VLOOKUP(DATA!#REF!,DATA!#REF!,1,FALSE),"")</f>
        <v/>
      </c>
      <c r="D1078" s="16" t="str">
        <f>IFERROR(VLOOKUP(C1078,DATA!#REF!,2,FALSE),"")</f>
        <v/>
      </c>
      <c r="I1078" s="17"/>
      <c r="J1078" s="17"/>
      <c r="P1078" s="17"/>
      <c r="Q1078" s="17"/>
    </row>
    <row r="1079" spans="2:17">
      <c r="B1079" s="15" t="str">
        <f t="shared" ref="B1079:B1142" si="58">+IF(C1079="","",ROW()-5)</f>
        <v/>
      </c>
      <c r="C1079" s="16" t="str">
        <f>IFERROR(VLOOKUP(DATA!#REF!,DATA!#REF!,1,FALSE),"")</f>
        <v/>
      </c>
      <c r="D1079" s="16" t="str">
        <f>IFERROR(VLOOKUP(C1079,DATA!#REF!,2,FALSE),"")</f>
        <v/>
      </c>
      <c r="I1079" s="17"/>
      <c r="J1079" s="17"/>
      <c r="P1079" s="17"/>
      <c r="Q1079" s="17"/>
    </row>
    <row r="1080" spans="2:17">
      <c r="B1080" s="15" t="str">
        <f t="shared" si="58"/>
        <v/>
      </c>
      <c r="C1080" s="16" t="str">
        <f>IFERROR(VLOOKUP(DATA!#REF!,DATA!#REF!,1,FALSE),"")</f>
        <v/>
      </c>
      <c r="D1080" s="16" t="str">
        <f>IFERROR(VLOOKUP(C1080,DATA!#REF!,2,FALSE),"")</f>
        <v/>
      </c>
      <c r="I1080" s="17"/>
      <c r="J1080" s="17"/>
      <c r="P1080" s="17"/>
      <c r="Q1080" s="17"/>
    </row>
    <row r="1081" spans="2:17">
      <c r="B1081" s="15" t="str">
        <f t="shared" si="58"/>
        <v/>
      </c>
      <c r="C1081" s="16" t="str">
        <f>IFERROR(VLOOKUP(DATA!#REF!,DATA!#REF!,1,FALSE),"")</f>
        <v/>
      </c>
      <c r="D1081" s="16" t="str">
        <f>IFERROR(VLOOKUP(C1081,DATA!#REF!,2,FALSE),"")</f>
        <v/>
      </c>
      <c r="I1081" s="17"/>
      <c r="J1081" s="17"/>
      <c r="P1081" s="17"/>
      <c r="Q1081" s="17"/>
    </row>
    <row r="1082" spans="2:17">
      <c r="B1082" s="15" t="str">
        <f t="shared" si="58"/>
        <v/>
      </c>
      <c r="C1082" s="16" t="str">
        <f>IFERROR(VLOOKUP(DATA!#REF!,DATA!#REF!,1,FALSE),"")</f>
        <v/>
      </c>
      <c r="D1082" s="16" t="str">
        <f>IFERROR(VLOOKUP(C1082,DATA!#REF!,2,FALSE),"")</f>
        <v/>
      </c>
      <c r="I1082" s="17"/>
      <c r="J1082" s="17"/>
      <c r="P1082" s="17"/>
      <c r="Q1082" s="17"/>
    </row>
    <row r="1083" spans="2:17">
      <c r="B1083" s="15" t="str">
        <f t="shared" si="58"/>
        <v/>
      </c>
      <c r="C1083" s="16" t="str">
        <f>IFERROR(VLOOKUP(DATA!#REF!,DATA!#REF!,1,FALSE),"")</f>
        <v/>
      </c>
      <c r="D1083" s="16" t="str">
        <f>IFERROR(VLOOKUP(C1083,DATA!#REF!,2,FALSE),"")</f>
        <v/>
      </c>
      <c r="I1083" s="17"/>
      <c r="J1083" s="17"/>
      <c r="P1083" s="17"/>
      <c r="Q1083" s="17"/>
    </row>
    <row r="1084" spans="2:17">
      <c r="B1084" s="15" t="str">
        <f t="shared" si="58"/>
        <v/>
      </c>
      <c r="C1084" s="16" t="str">
        <f>IFERROR(VLOOKUP(DATA!#REF!,DATA!#REF!,1,FALSE),"")</f>
        <v/>
      </c>
      <c r="D1084" s="16" t="str">
        <f>IFERROR(VLOOKUP(C1084,DATA!#REF!,2,FALSE),"")</f>
        <v/>
      </c>
      <c r="I1084" s="17"/>
      <c r="J1084" s="17"/>
      <c r="P1084" s="17"/>
      <c r="Q1084" s="17"/>
    </row>
    <row r="1085" spans="2:17">
      <c r="B1085" s="15" t="str">
        <f t="shared" si="58"/>
        <v/>
      </c>
      <c r="C1085" s="16" t="str">
        <f>IFERROR(VLOOKUP(DATA!#REF!,DATA!#REF!,1,FALSE),"")</f>
        <v/>
      </c>
      <c r="D1085" s="16" t="str">
        <f>IFERROR(VLOOKUP(C1085,DATA!#REF!,2,FALSE),"")</f>
        <v/>
      </c>
      <c r="I1085" s="17"/>
      <c r="J1085" s="17"/>
      <c r="P1085" s="17"/>
      <c r="Q1085" s="17"/>
    </row>
    <row r="1086" spans="2:17">
      <c r="B1086" s="15" t="str">
        <f t="shared" si="58"/>
        <v/>
      </c>
      <c r="C1086" s="16" t="str">
        <f>IFERROR(VLOOKUP(DATA!#REF!,DATA!#REF!,1,FALSE),"")</f>
        <v/>
      </c>
      <c r="D1086" s="16" t="str">
        <f>IFERROR(VLOOKUP(C1086,DATA!#REF!,2,FALSE),"")</f>
        <v/>
      </c>
      <c r="I1086" s="17"/>
      <c r="J1086" s="17"/>
      <c r="P1086" s="17"/>
      <c r="Q1086" s="17"/>
    </row>
    <row r="1087" spans="2:17">
      <c r="B1087" s="15" t="str">
        <f t="shared" si="58"/>
        <v/>
      </c>
      <c r="C1087" s="16" t="str">
        <f>IFERROR(VLOOKUP(DATA!#REF!,DATA!#REF!,1,FALSE),"")</f>
        <v/>
      </c>
      <c r="D1087" s="16" t="str">
        <f>IFERROR(VLOOKUP(C1087,DATA!#REF!,2,FALSE),"")</f>
        <v/>
      </c>
      <c r="I1087" s="17"/>
      <c r="J1087" s="17"/>
      <c r="P1087" s="17"/>
      <c r="Q1087" s="17"/>
    </row>
    <row r="1088" spans="2:17">
      <c r="B1088" s="15" t="str">
        <f t="shared" si="58"/>
        <v/>
      </c>
      <c r="C1088" s="16" t="str">
        <f>IFERROR(VLOOKUP(DATA!#REF!,DATA!#REF!,1,FALSE),"")</f>
        <v/>
      </c>
      <c r="D1088" s="16" t="str">
        <f>IFERROR(VLOOKUP(C1088,DATA!#REF!,2,FALSE),"")</f>
        <v/>
      </c>
      <c r="I1088" s="17"/>
      <c r="J1088" s="17"/>
      <c r="P1088" s="17"/>
      <c r="Q1088" s="17"/>
    </row>
    <row r="1089" spans="2:17">
      <c r="B1089" s="15" t="str">
        <f t="shared" si="58"/>
        <v/>
      </c>
      <c r="C1089" s="16" t="str">
        <f>IFERROR(VLOOKUP(DATA!#REF!,DATA!#REF!,1,FALSE),"")</f>
        <v/>
      </c>
      <c r="D1089" s="16" t="str">
        <f>IFERROR(VLOOKUP(C1089,DATA!#REF!,2,FALSE),"")</f>
        <v/>
      </c>
      <c r="I1089" s="17"/>
      <c r="J1089" s="17"/>
      <c r="P1089" s="17"/>
      <c r="Q1089" s="17"/>
    </row>
    <row r="1090" spans="2:17">
      <c r="B1090" s="15" t="str">
        <f t="shared" si="58"/>
        <v/>
      </c>
      <c r="C1090" s="16" t="str">
        <f>IFERROR(VLOOKUP(DATA!#REF!,DATA!#REF!,1,FALSE),"")</f>
        <v/>
      </c>
      <c r="D1090" s="16" t="str">
        <f>IFERROR(VLOOKUP(C1090,DATA!#REF!,2,FALSE),"")</f>
        <v/>
      </c>
      <c r="I1090" s="17"/>
      <c r="J1090" s="17"/>
      <c r="P1090" s="17"/>
      <c r="Q1090" s="17"/>
    </row>
    <row r="1091" spans="2:17">
      <c r="B1091" s="15" t="str">
        <f t="shared" si="58"/>
        <v/>
      </c>
      <c r="C1091" s="16" t="str">
        <f>IFERROR(VLOOKUP(DATA!#REF!,DATA!#REF!,1,FALSE),"")</f>
        <v/>
      </c>
      <c r="D1091" s="16" t="str">
        <f>IFERROR(VLOOKUP(C1091,DATA!#REF!,2,FALSE),"")</f>
        <v/>
      </c>
      <c r="I1091" s="17"/>
      <c r="J1091" s="17"/>
      <c r="P1091" s="17"/>
      <c r="Q1091" s="17"/>
    </row>
    <row r="1092" spans="2:17">
      <c r="B1092" s="15" t="str">
        <f t="shared" si="58"/>
        <v/>
      </c>
      <c r="C1092" s="16" t="str">
        <f>IFERROR(VLOOKUP(DATA!#REF!,DATA!#REF!,1,FALSE),"")</f>
        <v/>
      </c>
      <c r="D1092" s="16" t="str">
        <f>IFERROR(VLOOKUP(C1092,DATA!#REF!,2,FALSE),"")</f>
        <v/>
      </c>
      <c r="I1092" s="17"/>
      <c r="J1092" s="17"/>
      <c r="P1092" s="17"/>
      <c r="Q1092" s="17"/>
    </row>
    <row r="1093" spans="2:17">
      <c r="B1093" s="15" t="str">
        <f t="shared" si="58"/>
        <v/>
      </c>
      <c r="C1093" s="16" t="str">
        <f>IFERROR(VLOOKUP(DATA!#REF!,DATA!#REF!,1,FALSE),"")</f>
        <v/>
      </c>
      <c r="D1093" s="16" t="str">
        <f>IFERROR(VLOOKUP(C1093,DATA!#REF!,2,FALSE),"")</f>
        <v/>
      </c>
      <c r="I1093" s="17"/>
      <c r="J1093" s="17"/>
      <c r="P1093" s="17"/>
      <c r="Q1093" s="17"/>
    </row>
    <row r="1094" spans="2:17">
      <c r="B1094" s="15" t="str">
        <f t="shared" si="58"/>
        <v/>
      </c>
      <c r="C1094" s="16" t="str">
        <f>IFERROR(VLOOKUP(DATA!#REF!,DATA!#REF!,1,FALSE),"")</f>
        <v/>
      </c>
      <c r="D1094" s="16" t="str">
        <f>IFERROR(VLOOKUP(C1094,DATA!#REF!,2,FALSE),"")</f>
        <v/>
      </c>
      <c r="I1094" s="17"/>
      <c r="J1094" s="17"/>
      <c r="P1094" s="17"/>
      <c r="Q1094" s="17"/>
    </row>
    <row r="1095" spans="2:17">
      <c r="B1095" s="15" t="str">
        <f t="shared" si="58"/>
        <v/>
      </c>
      <c r="C1095" s="16" t="str">
        <f>IFERROR(VLOOKUP(DATA!#REF!,DATA!#REF!,1,FALSE),"")</f>
        <v/>
      </c>
      <c r="D1095" s="16" t="str">
        <f>IFERROR(VLOOKUP(C1095,DATA!#REF!,2,FALSE),"")</f>
        <v/>
      </c>
      <c r="I1095" s="17"/>
      <c r="J1095" s="17"/>
      <c r="P1095" s="17"/>
      <c r="Q1095" s="17"/>
    </row>
    <row r="1096" spans="2:17">
      <c r="B1096" s="15" t="str">
        <f t="shared" si="58"/>
        <v/>
      </c>
      <c r="C1096" s="16" t="str">
        <f>IFERROR(VLOOKUP(DATA!#REF!,DATA!#REF!,1,FALSE),"")</f>
        <v/>
      </c>
      <c r="D1096" s="16" t="str">
        <f>IFERROR(VLOOKUP(C1096,DATA!#REF!,2,FALSE),"")</f>
        <v/>
      </c>
      <c r="I1096" s="17"/>
      <c r="J1096" s="17"/>
      <c r="P1096" s="17"/>
      <c r="Q1096" s="17"/>
    </row>
    <row r="1097" spans="2:17">
      <c r="B1097" s="15" t="str">
        <f t="shared" si="58"/>
        <v/>
      </c>
      <c r="C1097" s="16" t="str">
        <f>IFERROR(VLOOKUP(DATA!#REF!,DATA!#REF!,1,FALSE),"")</f>
        <v/>
      </c>
      <c r="D1097" s="16" t="str">
        <f>IFERROR(VLOOKUP(C1097,DATA!#REF!,2,FALSE),"")</f>
        <v/>
      </c>
      <c r="I1097" s="17"/>
      <c r="J1097" s="17"/>
      <c r="P1097" s="17"/>
      <c r="Q1097" s="17"/>
    </row>
    <row r="1098" spans="2:17">
      <c r="B1098" s="15" t="str">
        <f t="shared" si="58"/>
        <v/>
      </c>
      <c r="C1098" s="16" t="str">
        <f>IFERROR(VLOOKUP(DATA!#REF!,DATA!#REF!,1,FALSE),"")</f>
        <v/>
      </c>
      <c r="D1098" s="16" t="str">
        <f>IFERROR(VLOOKUP(C1098,DATA!#REF!,2,FALSE),"")</f>
        <v/>
      </c>
      <c r="I1098" s="17"/>
      <c r="J1098" s="17"/>
      <c r="P1098" s="17"/>
      <c r="Q1098" s="17"/>
    </row>
    <row r="1099" spans="2:17">
      <c r="B1099" s="15" t="str">
        <f t="shared" si="58"/>
        <v/>
      </c>
      <c r="C1099" s="16" t="str">
        <f>IFERROR(VLOOKUP(DATA!#REF!,DATA!#REF!,1,FALSE),"")</f>
        <v/>
      </c>
      <c r="D1099" s="16" t="str">
        <f>IFERROR(VLOOKUP(C1099,DATA!#REF!,2,FALSE),"")</f>
        <v/>
      </c>
      <c r="I1099" s="17"/>
      <c r="J1099" s="17"/>
      <c r="P1099" s="17"/>
      <c r="Q1099" s="17"/>
    </row>
    <row r="1100" spans="2:17">
      <c r="B1100" s="15" t="str">
        <f t="shared" si="58"/>
        <v/>
      </c>
      <c r="C1100" s="16" t="str">
        <f>IFERROR(VLOOKUP(DATA!#REF!,DATA!#REF!,1,FALSE),"")</f>
        <v/>
      </c>
      <c r="D1100" s="16" t="str">
        <f>IFERROR(VLOOKUP(C1100,DATA!#REF!,2,FALSE),"")</f>
        <v/>
      </c>
      <c r="I1100" s="17"/>
      <c r="J1100" s="17"/>
      <c r="P1100" s="17"/>
      <c r="Q1100" s="17"/>
    </row>
    <row r="1101" spans="2:17">
      <c r="B1101" s="15" t="str">
        <f t="shared" si="58"/>
        <v/>
      </c>
      <c r="C1101" s="16" t="str">
        <f>IFERROR(VLOOKUP(DATA!#REF!,DATA!#REF!,1,FALSE),"")</f>
        <v/>
      </c>
      <c r="D1101" s="16" t="str">
        <f>IFERROR(VLOOKUP(C1101,DATA!#REF!,2,FALSE),"")</f>
        <v/>
      </c>
      <c r="I1101" s="17"/>
      <c r="J1101" s="17"/>
      <c r="P1101" s="17"/>
      <c r="Q1101" s="17"/>
    </row>
    <row r="1102" spans="2:17">
      <c r="B1102" s="15" t="str">
        <f t="shared" si="58"/>
        <v/>
      </c>
      <c r="C1102" s="16" t="str">
        <f>IFERROR(VLOOKUP(DATA!#REF!,DATA!#REF!,1,FALSE),"")</f>
        <v/>
      </c>
      <c r="D1102" s="16" t="str">
        <f>IFERROR(VLOOKUP(C1102,DATA!#REF!,2,FALSE),"")</f>
        <v/>
      </c>
      <c r="I1102" s="17"/>
      <c r="J1102" s="17"/>
      <c r="P1102" s="17"/>
      <c r="Q1102" s="17"/>
    </row>
    <row r="1103" spans="2:17">
      <c r="B1103" s="15" t="str">
        <f t="shared" si="58"/>
        <v/>
      </c>
      <c r="C1103" s="16" t="str">
        <f>IFERROR(VLOOKUP(DATA!#REF!,DATA!#REF!,1,FALSE),"")</f>
        <v/>
      </c>
      <c r="D1103" s="16" t="str">
        <f>IFERROR(VLOOKUP(C1103,DATA!#REF!,2,FALSE),"")</f>
        <v/>
      </c>
      <c r="I1103" s="17"/>
      <c r="J1103" s="17"/>
      <c r="P1103" s="17"/>
      <c r="Q1103" s="17"/>
    </row>
    <row r="1104" spans="2:17">
      <c r="B1104" s="15" t="str">
        <f t="shared" si="58"/>
        <v/>
      </c>
      <c r="C1104" s="16" t="str">
        <f>IFERROR(VLOOKUP(DATA!#REF!,DATA!#REF!,1,FALSE),"")</f>
        <v/>
      </c>
      <c r="D1104" s="16" t="str">
        <f>IFERROR(VLOOKUP(C1104,DATA!#REF!,2,FALSE),"")</f>
        <v/>
      </c>
      <c r="I1104" s="17"/>
      <c r="J1104" s="17"/>
      <c r="P1104" s="17"/>
      <c r="Q1104" s="17"/>
    </row>
    <row r="1105" spans="2:17">
      <c r="B1105" s="15" t="str">
        <f t="shared" si="58"/>
        <v/>
      </c>
      <c r="C1105" s="16" t="str">
        <f>IFERROR(VLOOKUP(DATA!#REF!,DATA!#REF!,1,FALSE),"")</f>
        <v/>
      </c>
      <c r="D1105" s="16" t="str">
        <f>IFERROR(VLOOKUP(C1105,DATA!#REF!,2,FALSE),"")</f>
        <v/>
      </c>
      <c r="I1105" s="17"/>
      <c r="J1105" s="17"/>
      <c r="P1105" s="17"/>
      <c r="Q1105" s="17"/>
    </row>
    <row r="1106" spans="2:17">
      <c r="B1106" s="15" t="str">
        <f t="shared" si="58"/>
        <v/>
      </c>
      <c r="C1106" s="16" t="str">
        <f>IFERROR(VLOOKUP(DATA!#REF!,DATA!#REF!,1,FALSE),"")</f>
        <v/>
      </c>
      <c r="D1106" s="16" t="str">
        <f>IFERROR(VLOOKUP(C1106,DATA!#REF!,2,FALSE),"")</f>
        <v/>
      </c>
      <c r="I1106" s="17"/>
      <c r="J1106" s="17"/>
      <c r="P1106" s="17"/>
      <c r="Q1106" s="17"/>
    </row>
    <row r="1107" spans="2:17">
      <c r="B1107" s="15" t="str">
        <f t="shared" si="58"/>
        <v/>
      </c>
      <c r="C1107" s="16" t="str">
        <f>IFERROR(VLOOKUP(DATA!#REF!,DATA!#REF!,1,FALSE),"")</f>
        <v/>
      </c>
      <c r="D1107" s="16" t="str">
        <f>IFERROR(VLOOKUP(C1107,DATA!#REF!,2,FALSE),"")</f>
        <v/>
      </c>
      <c r="I1107" s="17"/>
      <c r="J1107" s="17"/>
      <c r="P1107" s="17"/>
      <c r="Q1107" s="17"/>
    </row>
    <row r="1108" spans="2:17">
      <c r="B1108" s="15" t="str">
        <f t="shared" si="58"/>
        <v/>
      </c>
      <c r="C1108" s="16" t="str">
        <f>IFERROR(VLOOKUP(DATA!#REF!,DATA!#REF!,1,FALSE),"")</f>
        <v/>
      </c>
      <c r="D1108" s="16" t="str">
        <f>IFERROR(VLOOKUP(C1108,DATA!#REF!,2,FALSE),"")</f>
        <v/>
      </c>
      <c r="I1108" s="17"/>
      <c r="J1108" s="17"/>
      <c r="P1108" s="17"/>
      <c r="Q1108" s="17"/>
    </row>
    <row r="1109" spans="2:17">
      <c r="B1109" s="15" t="str">
        <f t="shared" si="58"/>
        <v/>
      </c>
      <c r="C1109" s="16" t="str">
        <f>IFERROR(VLOOKUP(DATA!#REF!,DATA!#REF!,1,FALSE),"")</f>
        <v/>
      </c>
      <c r="D1109" s="16" t="str">
        <f>IFERROR(VLOOKUP(C1109,DATA!#REF!,2,FALSE),"")</f>
        <v/>
      </c>
      <c r="I1109" s="17"/>
      <c r="J1109" s="17"/>
      <c r="P1109" s="17"/>
      <c r="Q1109" s="17"/>
    </row>
    <row r="1110" spans="2:17">
      <c r="B1110" s="15" t="str">
        <f t="shared" si="58"/>
        <v/>
      </c>
      <c r="C1110" s="16" t="str">
        <f>IFERROR(VLOOKUP(DATA!#REF!,DATA!#REF!,1,FALSE),"")</f>
        <v/>
      </c>
      <c r="D1110" s="16" t="str">
        <f>IFERROR(VLOOKUP(C1110,DATA!#REF!,2,FALSE),"")</f>
        <v/>
      </c>
      <c r="I1110" s="17"/>
      <c r="J1110" s="17"/>
      <c r="P1110" s="17"/>
      <c r="Q1110" s="17"/>
    </row>
    <row r="1111" spans="2:17">
      <c r="B1111" s="15" t="str">
        <f t="shared" si="58"/>
        <v/>
      </c>
      <c r="C1111" s="16" t="str">
        <f>IFERROR(VLOOKUP(DATA!#REF!,DATA!#REF!,1,FALSE),"")</f>
        <v/>
      </c>
      <c r="D1111" s="16" t="str">
        <f>IFERROR(VLOOKUP(C1111,DATA!#REF!,2,FALSE),"")</f>
        <v/>
      </c>
      <c r="I1111" s="17"/>
      <c r="J1111" s="17"/>
      <c r="P1111" s="17"/>
      <c r="Q1111" s="17"/>
    </row>
    <row r="1112" spans="2:17">
      <c r="B1112" s="15" t="str">
        <f t="shared" si="58"/>
        <v/>
      </c>
      <c r="C1112" s="16" t="str">
        <f>IFERROR(VLOOKUP(DATA!#REF!,DATA!#REF!,1,FALSE),"")</f>
        <v/>
      </c>
      <c r="D1112" s="16" t="str">
        <f>IFERROR(VLOOKUP(C1112,DATA!#REF!,2,FALSE),"")</f>
        <v/>
      </c>
      <c r="I1112" s="17"/>
      <c r="J1112" s="17"/>
      <c r="P1112" s="17"/>
      <c r="Q1112" s="17"/>
    </row>
    <row r="1113" spans="2:17">
      <c r="B1113" s="15" t="str">
        <f t="shared" si="58"/>
        <v/>
      </c>
      <c r="C1113" s="16" t="str">
        <f>IFERROR(VLOOKUP(DATA!#REF!,DATA!#REF!,1,FALSE),"")</f>
        <v/>
      </c>
      <c r="D1113" s="16" t="str">
        <f>IFERROR(VLOOKUP(C1113,DATA!#REF!,2,FALSE),"")</f>
        <v/>
      </c>
      <c r="I1113" s="17"/>
      <c r="J1113" s="17"/>
      <c r="P1113" s="17"/>
      <c r="Q1113" s="17"/>
    </row>
    <row r="1114" spans="2:17">
      <c r="B1114" s="15" t="str">
        <f t="shared" si="58"/>
        <v/>
      </c>
      <c r="C1114" s="16" t="str">
        <f>IFERROR(VLOOKUP(DATA!#REF!,DATA!#REF!,1,FALSE),"")</f>
        <v/>
      </c>
      <c r="D1114" s="16" t="str">
        <f>IFERROR(VLOOKUP(C1114,DATA!#REF!,2,FALSE),"")</f>
        <v/>
      </c>
      <c r="I1114" s="17"/>
      <c r="J1114" s="17"/>
      <c r="P1114" s="17"/>
      <c r="Q1114" s="17"/>
    </row>
    <row r="1115" spans="2:17">
      <c r="B1115" s="15" t="str">
        <f t="shared" si="58"/>
        <v/>
      </c>
      <c r="C1115" s="16" t="str">
        <f>IFERROR(VLOOKUP(DATA!#REF!,DATA!#REF!,1,FALSE),"")</f>
        <v/>
      </c>
      <c r="D1115" s="16" t="str">
        <f>IFERROR(VLOOKUP(C1115,DATA!#REF!,2,FALSE),"")</f>
        <v/>
      </c>
      <c r="I1115" s="17"/>
      <c r="J1115" s="17"/>
      <c r="P1115" s="17"/>
      <c r="Q1115" s="17"/>
    </row>
    <row r="1116" spans="2:17">
      <c r="B1116" s="15" t="str">
        <f t="shared" si="58"/>
        <v/>
      </c>
      <c r="C1116" s="16" t="str">
        <f>IFERROR(VLOOKUP(DATA!#REF!,DATA!#REF!,1,FALSE),"")</f>
        <v/>
      </c>
      <c r="D1116" s="16" t="str">
        <f>IFERROR(VLOOKUP(C1116,DATA!#REF!,2,FALSE),"")</f>
        <v/>
      </c>
      <c r="I1116" s="17"/>
      <c r="J1116" s="17"/>
      <c r="P1116" s="17"/>
      <c r="Q1116" s="17"/>
    </row>
    <row r="1117" spans="2:17">
      <c r="B1117" s="15" t="str">
        <f t="shared" si="58"/>
        <v/>
      </c>
      <c r="C1117" s="16" t="str">
        <f>IFERROR(VLOOKUP(DATA!#REF!,DATA!#REF!,1,FALSE),"")</f>
        <v/>
      </c>
      <c r="D1117" s="16" t="str">
        <f>IFERROR(VLOOKUP(C1117,DATA!#REF!,2,FALSE),"")</f>
        <v/>
      </c>
      <c r="I1117" s="17"/>
      <c r="J1117" s="17"/>
      <c r="P1117" s="17"/>
      <c r="Q1117" s="17"/>
    </row>
    <row r="1118" spans="2:17">
      <c r="B1118" s="15" t="str">
        <f t="shared" si="58"/>
        <v/>
      </c>
      <c r="C1118" s="16" t="str">
        <f>IFERROR(VLOOKUP(DATA!#REF!,DATA!#REF!,1,FALSE),"")</f>
        <v/>
      </c>
      <c r="D1118" s="16" t="str">
        <f>IFERROR(VLOOKUP(C1118,DATA!#REF!,2,FALSE),"")</f>
        <v/>
      </c>
      <c r="I1118" s="17"/>
      <c r="J1118" s="17"/>
      <c r="P1118" s="17"/>
      <c r="Q1118" s="17"/>
    </row>
    <row r="1119" spans="2:17">
      <c r="B1119" s="15" t="str">
        <f t="shared" si="58"/>
        <v/>
      </c>
      <c r="C1119" s="16" t="str">
        <f>IFERROR(VLOOKUP(DATA!#REF!,DATA!#REF!,1,FALSE),"")</f>
        <v/>
      </c>
      <c r="D1119" s="16" t="str">
        <f>IFERROR(VLOOKUP(C1119,DATA!#REF!,2,FALSE),"")</f>
        <v/>
      </c>
      <c r="I1119" s="17"/>
      <c r="J1119" s="17"/>
      <c r="P1119" s="17"/>
      <c r="Q1119" s="17"/>
    </row>
    <row r="1120" spans="2:17">
      <c r="B1120" s="15" t="str">
        <f t="shared" si="58"/>
        <v/>
      </c>
      <c r="C1120" s="16" t="str">
        <f>IFERROR(VLOOKUP(DATA!#REF!,DATA!#REF!,1,FALSE),"")</f>
        <v/>
      </c>
      <c r="D1120" s="16" t="str">
        <f>IFERROR(VLOOKUP(C1120,DATA!#REF!,2,FALSE),"")</f>
        <v/>
      </c>
      <c r="I1120" s="17"/>
      <c r="J1120" s="17"/>
      <c r="P1120" s="17"/>
      <c r="Q1120" s="17"/>
    </row>
    <row r="1121" spans="2:17">
      <c r="B1121" s="15" t="str">
        <f t="shared" si="58"/>
        <v/>
      </c>
      <c r="C1121" s="16" t="str">
        <f>IFERROR(VLOOKUP(DATA!#REF!,DATA!#REF!,1,FALSE),"")</f>
        <v/>
      </c>
      <c r="D1121" s="16" t="str">
        <f>IFERROR(VLOOKUP(C1121,DATA!#REF!,2,FALSE),"")</f>
        <v/>
      </c>
      <c r="I1121" s="17"/>
      <c r="J1121" s="17"/>
      <c r="P1121" s="17"/>
      <c r="Q1121" s="17"/>
    </row>
    <row r="1122" spans="2:17">
      <c r="B1122" s="15" t="str">
        <f t="shared" si="58"/>
        <v/>
      </c>
      <c r="C1122" s="16" t="str">
        <f>IFERROR(VLOOKUP(DATA!#REF!,DATA!#REF!,1,FALSE),"")</f>
        <v/>
      </c>
      <c r="D1122" s="16" t="str">
        <f>IFERROR(VLOOKUP(C1122,DATA!#REF!,2,FALSE),"")</f>
        <v/>
      </c>
      <c r="I1122" s="17"/>
      <c r="J1122" s="17"/>
      <c r="P1122" s="17"/>
      <c r="Q1122" s="17"/>
    </row>
    <row r="1123" spans="2:17">
      <c r="B1123" s="15" t="str">
        <f t="shared" si="58"/>
        <v/>
      </c>
      <c r="C1123" s="16" t="str">
        <f>IFERROR(VLOOKUP(DATA!#REF!,DATA!#REF!,1,FALSE),"")</f>
        <v/>
      </c>
      <c r="D1123" s="16" t="str">
        <f>IFERROR(VLOOKUP(C1123,DATA!#REF!,2,FALSE),"")</f>
        <v/>
      </c>
      <c r="I1123" s="17"/>
      <c r="J1123" s="17"/>
      <c r="P1123" s="17"/>
      <c r="Q1123" s="17"/>
    </row>
    <row r="1124" spans="2:17">
      <c r="B1124" s="15" t="str">
        <f t="shared" si="58"/>
        <v/>
      </c>
      <c r="C1124" s="16" t="str">
        <f>IFERROR(VLOOKUP(DATA!#REF!,DATA!#REF!,1,FALSE),"")</f>
        <v/>
      </c>
      <c r="D1124" s="16" t="str">
        <f>IFERROR(VLOOKUP(C1124,DATA!#REF!,2,FALSE),"")</f>
        <v/>
      </c>
      <c r="I1124" s="17"/>
      <c r="J1124" s="17"/>
      <c r="P1124" s="17"/>
      <c r="Q1124" s="17"/>
    </row>
    <row r="1125" spans="2:17">
      <c r="B1125" s="15" t="str">
        <f t="shared" si="58"/>
        <v/>
      </c>
      <c r="C1125" s="16" t="str">
        <f>IFERROR(VLOOKUP(DATA!#REF!,DATA!#REF!,1,FALSE),"")</f>
        <v/>
      </c>
      <c r="D1125" s="16" t="str">
        <f>IFERROR(VLOOKUP(C1125,DATA!#REF!,2,FALSE),"")</f>
        <v/>
      </c>
      <c r="I1125" s="17"/>
      <c r="J1125" s="17"/>
      <c r="P1125" s="17"/>
      <c r="Q1125" s="17"/>
    </row>
    <row r="1126" spans="2:17">
      <c r="B1126" s="15" t="str">
        <f t="shared" si="58"/>
        <v/>
      </c>
      <c r="C1126" s="16" t="str">
        <f>IFERROR(VLOOKUP(DATA!#REF!,DATA!#REF!,1,FALSE),"")</f>
        <v/>
      </c>
      <c r="D1126" s="16" t="str">
        <f>IFERROR(VLOOKUP(C1126,DATA!#REF!,2,FALSE),"")</f>
        <v/>
      </c>
      <c r="I1126" s="17"/>
      <c r="J1126" s="17"/>
      <c r="P1126" s="17"/>
      <c r="Q1126" s="17"/>
    </row>
    <row r="1127" spans="2:17">
      <c r="B1127" s="15" t="str">
        <f t="shared" si="58"/>
        <v/>
      </c>
      <c r="C1127" s="16" t="str">
        <f>IFERROR(VLOOKUP(DATA!#REF!,DATA!#REF!,1,FALSE),"")</f>
        <v/>
      </c>
      <c r="D1127" s="16" t="str">
        <f>IFERROR(VLOOKUP(C1127,DATA!#REF!,2,FALSE),"")</f>
        <v/>
      </c>
      <c r="I1127" s="17"/>
      <c r="J1127" s="17"/>
      <c r="P1127" s="17"/>
      <c r="Q1127" s="17"/>
    </row>
    <row r="1128" spans="2:17">
      <c r="B1128" s="15" t="str">
        <f t="shared" si="58"/>
        <v/>
      </c>
      <c r="C1128" s="16" t="str">
        <f>IFERROR(VLOOKUP(DATA!#REF!,DATA!#REF!,1,FALSE),"")</f>
        <v/>
      </c>
      <c r="D1128" s="16" t="str">
        <f>IFERROR(VLOOKUP(C1128,DATA!#REF!,2,FALSE),"")</f>
        <v/>
      </c>
      <c r="I1128" s="17"/>
      <c r="J1128" s="17"/>
      <c r="P1128" s="17"/>
      <c r="Q1128" s="17"/>
    </row>
    <row r="1129" spans="2:17">
      <c r="B1129" s="15" t="str">
        <f t="shared" si="58"/>
        <v/>
      </c>
      <c r="C1129" s="16" t="str">
        <f>IFERROR(VLOOKUP(DATA!#REF!,DATA!#REF!,1,FALSE),"")</f>
        <v/>
      </c>
      <c r="D1129" s="16" t="str">
        <f>IFERROR(VLOOKUP(C1129,DATA!#REF!,2,FALSE),"")</f>
        <v/>
      </c>
      <c r="I1129" s="17"/>
      <c r="J1129" s="17"/>
      <c r="P1129" s="17"/>
      <c r="Q1129" s="17"/>
    </row>
    <row r="1130" spans="2:17">
      <c r="B1130" s="15" t="str">
        <f t="shared" si="58"/>
        <v/>
      </c>
      <c r="C1130" s="16" t="str">
        <f>IFERROR(VLOOKUP(DATA!#REF!,DATA!#REF!,1,FALSE),"")</f>
        <v/>
      </c>
      <c r="D1130" s="16" t="str">
        <f>IFERROR(VLOOKUP(C1130,DATA!#REF!,2,FALSE),"")</f>
        <v/>
      </c>
      <c r="I1130" s="17"/>
      <c r="J1130" s="17"/>
      <c r="P1130" s="17"/>
      <c r="Q1130" s="17"/>
    </row>
    <row r="1131" spans="2:17">
      <c r="B1131" s="15" t="str">
        <f t="shared" si="58"/>
        <v/>
      </c>
      <c r="C1131" s="16" t="str">
        <f>IFERROR(VLOOKUP(DATA!#REF!,DATA!#REF!,1,FALSE),"")</f>
        <v/>
      </c>
      <c r="D1131" s="16" t="str">
        <f>IFERROR(VLOOKUP(C1131,DATA!#REF!,2,FALSE),"")</f>
        <v/>
      </c>
      <c r="I1131" s="17"/>
      <c r="J1131" s="17"/>
      <c r="P1131" s="17"/>
      <c r="Q1131" s="17"/>
    </row>
    <row r="1132" spans="2:17">
      <c r="B1132" s="15" t="str">
        <f t="shared" si="58"/>
        <v/>
      </c>
      <c r="C1132" s="16" t="str">
        <f>IFERROR(VLOOKUP(DATA!#REF!,DATA!#REF!,1,FALSE),"")</f>
        <v/>
      </c>
      <c r="D1132" s="16" t="str">
        <f>IFERROR(VLOOKUP(C1132,DATA!#REF!,2,FALSE),"")</f>
        <v/>
      </c>
      <c r="I1132" s="17"/>
      <c r="J1132" s="17"/>
      <c r="P1132" s="17"/>
      <c r="Q1132" s="17"/>
    </row>
    <row r="1133" spans="2:17">
      <c r="B1133" s="15" t="str">
        <f t="shared" si="58"/>
        <v/>
      </c>
      <c r="C1133" s="16" t="str">
        <f>IFERROR(VLOOKUP(DATA!#REF!,DATA!#REF!,1,FALSE),"")</f>
        <v/>
      </c>
      <c r="D1133" s="16" t="str">
        <f>IFERROR(VLOOKUP(C1133,DATA!#REF!,2,FALSE),"")</f>
        <v/>
      </c>
      <c r="I1133" s="17"/>
      <c r="J1133" s="17"/>
      <c r="P1133" s="17"/>
      <c r="Q1133" s="17"/>
    </row>
    <row r="1134" spans="2:17">
      <c r="B1134" s="15" t="str">
        <f t="shared" si="58"/>
        <v/>
      </c>
      <c r="C1134" s="16" t="str">
        <f>IFERROR(VLOOKUP(DATA!#REF!,DATA!#REF!,1,FALSE),"")</f>
        <v/>
      </c>
      <c r="D1134" s="16" t="str">
        <f>IFERROR(VLOOKUP(C1134,DATA!#REF!,2,FALSE),"")</f>
        <v/>
      </c>
      <c r="I1134" s="17"/>
      <c r="J1134" s="17"/>
      <c r="P1134" s="17"/>
      <c r="Q1134" s="17"/>
    </row>
    <row r="1135" spans="2:17">
      <c r="B1135" s="15" t="str">
        <f t="shared" si="58"/>
        <v/>
      </c>
      <c r="C1135" s="16" t="str">
        <f>IFERROR(VLOOKUP(DATA!#REF!,DATA!#REF!,1,FALSE),"")</f>
        <v/>
      </c>
      <c r="D1135" s="16" t="str">
        <f>IFERROR(VLOOKUP(C1135,DATA!#REF!,2,FALSE),"")</f>
        <v/>
      </c>
      <c r="I1135" s="17"/>
      <c r="J1135" s="17"/>
      <c r="P1135" s="17"/>
      <c r="Q1135" s="17"/>
    </row>
    <row r="1136" spans="2:17">
      <c r="B1136" s="15" t="str">
        <f t="shared" si="58"/>
        <v/>
      </c>
      <c r="C1136" s="16" t="str">
        <f>IFERROR(VLOOKUP(DATA!#REF!,DATA!#REF!,1,FALSE),"")</f>
        <v/>
      </c>
      <c r="D1136" s="16" t="str">
        <f>IFERROR(VLOOKUP(C1136,DATA!#REF!,2,FALSE),"")</f>
        <v/>
      </c>
      <c r="I1136" s="17"/>
      <c r="J1136" s="17"/>
      <c r="P1136" s="17"/>
      <c r="Q1136" s="17"/>
    </row>
    <row r="1137" spans="2:17">
      <c r="B1137" s="15" t="str">
        <f t="shared" si="58"/>
        <v/>
      </c>
      <c r="C1137" s="16" t="str">
        <f>IFERROR(VLOOKUP(DATA!#REF!,DATA!#REF!,1,FALSE),"")</f>
        <v/>
      </c>
      <c r="D1137" s="16" t="str">
        <f>IFERROR(VLOOKUP(C1137,DATA!#REF!,2,FALSE),"")</f>
        <v/>
      </c>
      <c r="I1137" s="17"/>
      <c r="J1137" s="17"/>
      <c r="P1137" s="17"/>
      <c r="Q1137" s="17"/>
    </row>
    <row r="1138" spans="2:17">
      <c r="B1138" s="15" t="str">
        <f t="shared" si="58"/>
        <v/>
      </c>
      <c r="C1138" s="16" t="str">
        <f>IFERROR(VLOOKUP(DATA!#REF!,DATA!#REF!,1,FALSE),"")</f>
        <v/>
      </c>
      <c r="D1138" s="16" t="str">
        <f>IFERROR(VLOOKUP(C1138,DATA!#REF!,2,FALSE),"")</f>
        <v/>
      </c>
      <c r="I1138" s="17"/>
      <c r="J1138" s="17"/>
      <c r="P1138" s="17"/>
      <c r="Q1138" s="17"/>
    </row>
    <row r="1139" spans="2:17">
      <c r="B1139" s="15" t="str">
        <f t="shared" si="58"/>
        <v/>
      </c>
      <c r="C1139" s="16" t="str">
        <f>IFERROR(VLOOKUP(DATA!#REF!,DATA!#REF!,1,FALSE),"")</f>
        <v/>
      </c>
      <c r="D1139" s="16" t="str">
        <f>IFERROR(VLOOKUP(C1139,DATA!#REF!,2,FALSE),"")</f>
        <v/>
      </c>
      <c r="I1139" s="17"/>
      <c r="J1139" s="17"/>
      <c r="P1139" s="17"/>
      <c r="Q1139" s="17"/>
    </row>
    <row r="1140" spans="2:17">
      <c r="B1140" s="15" t="str">
        <f t="shared" si="58"/>
        <v/>
      </c>
      <c r="C1140" s="16" t="str">
        <f>IFERROR(VLOOKUP(DATA!#REF!,DATA!#REF!,1,FALSE),"")</f>
        <v/>
      </c>
      <c r="D1140" s="16" t="str">
        <f>IFERROR(VLOOKUP(C1140,DATA!#REF!,2,FALSE),"")</f>
        <v/>
      </c>
      <c r="I1140" s="17"/>
      <c r="J1140" s="17"/>
      <c r="P1140" s="17"/>
      <c r="Q1140" s="17"/>
    </row>
    <row r="1141" spans="2:17">
      <c r="B1141" s="15" t="str">
        <f t="shared" si="58"/>
        <v/>
      </c>
      <c r="C1141" s="16" t="str">
        <f>IFERROR(VLOOKUP(DATA!#REF!,DATA!#REF!,1,FALSE),"")</f>
        <v/>
      </c>
      <c r="D1141" s="16" t="str">
        <f>IFERROR(VLOOKUP(C1141,DATA!#REF!,2,FALSE),"")</f>
        <v/>
      </c>
      <c r="I1141" s="17"/>
      <c r="J1141" s="17"/>
      <c r="P1141" s="17"/>
      <c r="Q1141" s="17"/>
    </row>
    <row r="1142" spans="2:17">
      <c r="B1142" s="15" t="str">
        <f t="shared" si="58"/>
        <v/>
      </c>
      <c r="C1142" s="16" t="str">
        <f>IFERROR(VLOOKUP(DATA!#REF!,DATA!#REF!,1,FALSE),"")</f>
        <v/>
      </c>
      <c r="D1142" s="16" t="str">
        <f>IFERROR(VLOOKUP(C1142,DATA!#REF!,2,FALSE),"")</f>
        <v/>
      </c>
      <c r="I1142" s="17"/>
      <c r="J1142" s="17"/>
      <c r="P1142" s="17"/>
      <c r="Q1142" s="17"/>
    </row>
    <row r="1143" spans="2:17">
      <c r="B1143" s="15" t="str">
        <f t="shared" ref="B1143:B1206" si="59">+IF(C1143="","",ROW()-5)</f>
        <v/>
      </c>
      <c r="C1143" s="16" t="str">
        <f>IFERROR(VLOOKUP(DATA!#REF!,DATA!#REF!,1,FALSE),"")</f>
        <v/>
      </c>
      <c r="D1143" s="16" t="str">
        <f>IFERROR(VLOOKUP(C1143,DATA!#REF!,2,FALSE),"")</f>
        <v/>
      </c>
      <c r="I1143" s="17"/>
      <c r="J1143" s="17"/>
      <c r="P1143" s="17"/>
      <c r="Q1143" s="17"/>
    </row>
    <row r="1144" spans="2:17">
      <c r="B1144" s="15" t="str">
        <f t="shared" si="59"/>
        <v/>
      </c>
      <c r="C1144" s="16" t="str">
        <f>IFERROR(VLOOKUP(DATA!#REF!,DATA!#REF!,1,FALSE),"")</f>
        <v/>
      </c>
      <c r="D1144" s="16" t="str">
        <f>IFERROR(VLOOKUP(C1144,DATA!#REF!,2,FALSE),"")</f>
        <v/>
      </c>
      <c r="I1144" s="17"/>
      <c r="J1144" s="17"/>
      <c r="P1144" s="17"/>
      <c r="Q1144" s="17"/>
    </row>
    <row r="1145" spans="2:17">
      <c r="B1145" s="15" t="str">
        <f t="shared" si="59"/>
        <v/>
      </c>
      <c r="C1145" s="16" t="str">
        <f>IFERROR(VLOOKUP(DATA!#REF!,DATA!#REF!,1,FALSE),"")</f>
        <v/>
      </c>
      <c r="D1145" s="16" t="str">
        <f>IFERROR(VLOOKUP(C1145,DATA!#REF!,2,FALSE),"")</f>
        <v/>
      </c>
      <c r="I1145" s="17"/>
      <c r="J1145" s="17"/>
      <c r="P1145" s="17"/>
      <c r="Q1145" s="17"/>
    </row>
    <row r="1146" spans="2:17">
      <c r="B1146" s="15" t="str">
        <f t="shared" si="59"/>
        <v/>
      </c>
      <c r="C1146" s="16" t="str">
        <f>IFERROR(VLOOKUP(DATA!#REF!,DATA!#REF!,1,FALSE),"")</f>
        <v/>
      </c>
      <c r="D1146" s="16" t="str">
        <f>IFERROR(VLOOKUP(C1146,DATA!#REF!,2,FALSE),"")</f>
        <v/>
      </c>
      <c r="I1146" s="17"/>
      <c r="J1146" s="17"/>
      <c r="P1146" s="17"/>
      <c r="Q1146" s="17"/>
    </row>
    <row r="1147" spans="2:17">
      <c r="B1147" s="15" t="str">
        <f t="shared" si="59"/>
        <v/>
      </c>
      <c r="C1147" s="16" t="str">
        <f>IFERROR(VLOOKUP(DATA!#REF!,DATA!#REF!,1,FALSE),"")</f>
        <v/>
      </c>
      <c r="D1147" s="16" t="str">
        <f>IFERROR(VLOOKUP(C1147,DATA!#REF!,2,FALSE),"")</f>
        <v/>
      </c>
      <c r="I1147" s="17"/>
      <c r="J1147" s="17"/>
      <c r="P1147" s="17"/>
      <c r="Q1147" s="17"/>
    </row>
    <row r="1148" spans="2:17">
      <c r="B1148" s="15" t="str">
        <f t="shared" si="59"/>
        <v/>
      </c>
      <c r="C1148" s="16" t="str">
        <f>IFERROR(VLOOKUP(DATA!#REF!,DATA!#REF!,1,FALSE),"")</f>
        <v/>
      </c>
      <c r="D1148" s="16" t="str">
        <f>IFERROR(VLOOKUP(C1148,DATA!#REF!,2,FALSE),"")</f>
        <v/>
      </c>
      <c r="I1148" s="17"/>
      <c r="J1148" s="17"/>
      <c r="P1148" s="17"/>
      <c r="Q1148" s="17"/>
    </row>
    <row r="1149" spans="2:17">
      <c r="B1149" s="15" t="str">
        <f t="shared" si="59"/>
        <v/>
      </c>
      <c r="C1149" s="16" t="str">
        <f>IFERROR(VLOOKUP(DATA!#REF!,DATA!#REF!,1,FALSE),"")</f>
        <v/>
      </c>
      <c r="D1149" s="16" t="str">
        <f>IFERROR(VLOOKUP(C1149,DATA!#REF!,2,FALSE),"")</f>
        <v/>
      </c>
      <c r="I1149" s="17"/>
      <c r="J1149" s="17"/>
      <c r="P1149" s="17"/>
      <c r="Q1149" s="17"/>
    </row>
    <row r="1150" spans="2:17">
      <c r="B1150" s="15" t="str">
        <f t="shared" si="59"/>
        <v/>
      </c>
      <c r="C1150" s="16" t="str">
        <f>IFERROR(VLOOKUP(DATA!#REF!,DATA!#REF!,1,FALSE),"")</f>
        <v/>
      </c>
      <c r="D1150" s="16" t="str">
        <f>IFERROR(VLOOKUP(C1150,DATA!#REF!,2,FALSE),"")</f>
        <v/>
      </c>
      <c r="I1150" s="17"/>
      <c r="J1150" s="17"/>
      <c r="P1150" s="17"/>
      <c r="Q1150" s="17"/>
    </row>
    <row r="1151" spans="2:17">
      <c r="B1151" s="15" t="str">
        <f t="shared" si="59"/>
        <v/>
      </c>
      <c r="C1151" s="16" t="str">
        <f>IFERROR(VLOOKUP(DATA!#REF!,DATA!#REF!,1,FALSE),"")</f>
        <v/>
      </c>
      <c r="D1151" s="16" t="str">
        <f>IFERROR(VLOOKUP(C1151,DATA!#REF!,2,FALSE),"")</f>
        <v/>
      </c>
      <c r="I1151" s="17"/>
      <c r="J1151" s="17"/>
      <c r="P1151" s="17"/>
      <c r="Q1151" s="17"/>
    </row>
    <row r="1152" spans="2:17">
      <c r="B1152" s="15" t="str">
        <f t="shared" si="59"/>
        <v/>
      </c>
      <c r="C1152" s="16" t="str">
        <f>IFERROR(VLOOKUP(DATA!#REF!,DATA!#REF!,1,FALSE),"")</f>
        <v/>
      </c>
      <c r="D1152" s="16" t="str">
        <f>IFERROR(VLOOKUP(C1152,DATA!#REF!,2,FALSE),"")</f>
        <v/>
      </c>
      <c r="I1152" s="17"/>
      <c r="J1152" s="17"/>
      <c r="P1152" s="17"/>
      <c r="Q1152" s="17"/>
    </row>
    <row r="1153" spans="2:17">
      <c r="B1153" s="15" t="str">
        <f t="shared" si="59"/>
        <v/>
      </c>
      <c r="C1153" s="16" t="str">
        <f>IFERROR(VLOOKUP(DATA!#REF!,DATA!#REF!,1,FALSE),"")</f>
        <v/>
      </c>
      <c r="D1153" s="16" t="str">
        <f>IFERROR(VLOOKUP(C1153,DATA!#REF!,2,FALSE),"")</f>
        <v/>
      </c>
      <c r="I1153" s="17"/>
      <c r="J1153" s="17"/>
      <c r="P1153" s="17"/>
      <c r="Q1153" s="17"/>
    </row>
    <row r="1154" spans="2:17">
      <c r="B1154" s="15" t="str">
        <f t="shared" si="59"/>
        <v/>
      </c>
      <c r="C1154" s="16" t="str">
        <f>IFERROR(VLOOKUP(DATA!#REF!,DATA!#REF!,1,FALSE),"")</f>
        <v/>
      </c>
      <c r="D1154" s="16" t="str">
        <f>IFERROR(VLOOKUP(C1154,DATA!#REF!,2,FALSE),"")</f>
        <v/>
      </c>
      <c r="I1154" s="17"/>
      <c r="J1154" s="17"/>
      <c r="P1154" s="17"/>
      <c r="Q1154" s="17"/>
    </row>
    <row r="1155" spans="2:17">
      <c r="B1155" s="15" t="str">
        <f t="shared" si="59"/>
        <v/>
      </c>
      <c r="C1155" s="16" t="str">
        <f>IFERROR(VLOOKUP(DATA!#REF!,DATA!#REF!,1,FALSE),"")</f>
        <v/>
      </c>
      <c r="D1155" s="16" t="str">
        <f>IFERROR(VLOOKUP(C1155,DATA!#REF!,2,FALSE),"")</f>
        <v/>
      </c>
      <c r="I1155" s="17"/>
      <c r="J1155" s="17"/>
      <c r="P1155" s="17"/>
      <c r="Q1155" s="17"/>
    </row>
    <row r="1156" spans="2:17">
      <c r="B1156" s="15" t="str">
        <f t="shared" si="59"/>
        <v/>
      </c>
      <c r="C1156" s="16" t="str">
        <f>IFERROR(VLOOKUP(DATA!#REF!,DATA!#REF!,1,FALSE),"")</f>
        <v/>
      </c>
      <c r="D1156" s="16" t="str">
        <f>IFERROR(VLOOKUP(C1156,DATA!#REF!,2,FALSE),"")</f>
        <v/>
      </c>
      <c r="I1156" s="17"/>
      <c r="J1156" s="17"/>
      <c r="P1156" s="17"/>
      <c r="Q1156" s="17"/>
    </row>
    <row r="1157" spans="2:17">
      <c r="B1157" s="15" t="str">
        <f t="shared" si="59"/>
        <v/>
      </c>
      <c r="C1157" s="16" t="str">
        <f>IFERROR(VLOOKUP(DATA!#REF!,DATA!#REF!,1,FALSE),"")</f>
        <v/>
      </c>
      <c r="D1157" s="16" t="str">
        <f>IFERROR(VLOOKUP(C1157,DATA!#REF!,2,FALSE),"")</f>
        <v/>
      </c>
      <c r="I1157" s="17"/>
      <c r="J1157" s="17"/>
      <c r="P1157" s="17"/>
      <c r="Q1157" s="17"/>
    </row>
    <row r="1158" spans="2:17">
      <c r="B1158" s="15" t="str">
        <f t="shared" si="59"/>
        <v/>
      </c>
      <c r="C1158" s="16" t="str">
        <f>IFERROR(VLOOKUP(DATA!#REF!,DATA!#REF!,1,FALSE),"")</f>
        <v/>
      </c>
      <c r="D1158" s="16" t="str">
        <f>IFERROR(VLOOKUP(C1158,DATA!#REF!,2,FALSE),"")</f>
        <v/>
      </c>
      <c r="I1158" s="17"/>
      <c r="J1158" s="17"/>
      <c r="P1158" s="17"/>
      <c r="Q1158" s="17"/>
    </row>
    <row r="1159" spans="2:17">
      <c r="B1159" s="15" t="str">
        <f t="shared" si="59"/>
        <v/>
      </c>
      <c r="C1159" s="16" t="str">
        <f>IFERROR(VLOOKUP(DATA!#REF!,DATA!#REF!,1,FALSE),"")</f>
        <v/>
      </c>
      <c r="D1159" s="16" t="str">
        <f>IFERROR(VLOOKUP(C1159,DATA!#REF!,2,FALSE),"")</f>
        <v/>
      </c>
      <c r="I1159" s="17"/>
      <c r="J1159" s="17"/>
      <c r="P1159" s="17"/>
      <c r="Q1159" s="17"/>
    </row>
    <row r="1160" spans="2:17">
      <c r="B1160" s="15" t="str">
        <f t="shared" si="59"/>
        <v/>
      </c>
      <c r="C1160" s="16" t="str">
        <f>IFERROR(VLOOKUP(DATA!#REF!,DATA!#REF!,1,FALSE),"")</f>
        <v/>
      </c>
      <c r="D1160" s="16" t="str">
        <f>IFERROR(VLOOKUP(C1160,DATA!#REF!,2,FALSE),"")</f>
        <v/>
      </c>
      <c r="I1160" s="17"/>
      <c r="J1160" s="17"/>
      <c r="P1160" s="17"/>
      <c r="Q1160" s="17"/>
    </row>
    <row r="1161" spans="2:17">
      <c r="B1161" s="15" t="str">
        <f t="shared" si="59"/>
        <v/>
      </c>
      <c r="C1161" s="16" t="str">
        <f>IFERROR(VLOOKUP(DATA!#REF!,DATA!#REF!,1,FALSE),"")</f>
        <v/>
      </c>
      <c r="D1161" s="16" t="str">
        <f>IFERROR(VLOOKUP(C1161,DATA!#REF!,2,FALSE),"")</f>
        <v/>
      </c>
      <c r="I1161" s="17"/>
      <c r="J1161" s="17"/>
      <c r="P1161" s="17"/>
      <c r="Q1161" s="17"/>
    </row>
    <row r="1162" spans="2:17">
      <c r="B1162" s="15" t="str">
        <f t="shared" si="59"/>
        <v/>
      </c>
      <c r="C1162" s="16" t="str">
        <f>IFERROR(VLOOKUP(DATA!#REF!,DATA!#REF!,1,FALSE),"")</f>
        <v/>
      </c>
      <c r="D1162" s="16" t="str">
        <f>IFERROR(VLOOKUP(C1162,DATA!#REF!,2,FALSE),"")</f>
        <v/>
      </c>
      <c r="I1162" s="17"/>
      <c r="J1162" s="17"/>
      <c r="P1162" s="17"/>
      <c r="Q1162" s="17"/>
    </row>
    <row r="1163" spans="2:17">
      <c r="B1163" s="15" t="str">
        <f t="shared" si="59"/>
        <v/>
      </c>
      <c r="C1163" s="16" t="str">
        <f>IFERROR(VLOOKUP(DATA!#REF!,DATA!#REF!,1,FALSE),"")</f>
        <v/>
      </c>
      <c r="D1163" s="16" t="str">
        <f>IFERROR(VLOOKUP(C1163,DATA!#REF!,2,FALSE),"")</f>
        <v/>
      </c>
      <c r="I1163" s="17"/>
      <c r="J1163" s="17"/>
      <c r="P1163" s="17"/>
      <c r="Q1163" s="17"/>
    </row>
    <row r="1164" spans="2:17">
      <c r="B1164" s="15" t="str">
        <f t="shared" si="59"/>
        <v/>
      </c>
      <c r="C1164" s="16" t="str">
        <f>IFERROR(VLOOKUP(DATA!#REF!,DATA!#REF!,1,FALSE),"")</f>
        <v/>
      </c>
      <c r="D1164" s="16" t="str">
        <f>IFERROR(VLOOKUP(C1164,DATA!#REF!,2,FALSE),"")</f>
        <v/>
      </c>
      <c r="I1164" s="17"/>
      <c r="J1164" s="17"/>
      <c r="P1164" s="17"/>
      <c r="Q1164" s="17"/>
    </row>
    <row r="1165" spans="2:17">
      <c r="B1165" s="15" t="str">
        <f t="shared" si="59"/>
        <v/>
      </c>
      <c r="C1165" s="16" t="str">
        <f>IFERROR(VLOOKUP(DATA!#REF!,DATA!#REF!,1,FALSE),"")</f>
        <v/>
      </c>
      <c r="D1165" s="16" t="str">
        <f>IFERROR(VLOOKUP(C1165,DATA!#REF!,2,FALSE),"")</f>
        <v/>
      </c>
      <c r="I1165" s="17"/>
      <c r="J1165" s="17"/>
      <c r="P1165" s="17"/>
      <c r="Q1165" s="17"/>
    </row>
    <row r="1166" spans="2:17">
      <c r="B1166" s="15" t="str">
        <f t="shared" si="59"/>
        <v/>
      </c>
      <c r="C1166" s="16" t="str">
        <f>IFERROR(VLOOKUP(DATA!#REF!,DATA!#REF!,1,FALSE),"")</f>
        <v/>
      </c>
      <c r="D1166" s="16" t="str">
        <f>IFERROR(VLOOKUP(C1166,DATA!#REF!,2,FALSE),"")</f>
        <v/>
      </c>
      <c r="I1166" s="17"/>
      <c r="J1166" s="17"/>
      <c r="P1166" s="17"/>
      <c r="Q1166" s="17"/>
    </row>
    <row r="1167" spans="2:17">
      <c r="B1167" s="15" t="str">
        <f t="shared" si="59"/>
        <v/>
      </c>
      <c r="C1167" s="16" t="str">
        <f>IFERROR(VLOOKUP(DATA!#REF!,DATA!#REF!,1,FALSE),"")</f>
        <v/>
      </c>
      <c r="D1167" s="16" t="str">
        <f>IFERROR(VLOOKUP(C1167,DATA!#REF!,2,FALSE),"")</f>
        <v/>
      </c>
      <c r="I1167" s="17"/>
      <c r="J1167" s="17"/>
      <c r="P1167" s="17"/>
      <c r="Q1167" s="17"/>
    </row>
    <row r="1168" spans="2:17">
      <c r="B1168" s="15" t="str">
        <f t="shared" si="59"/>
        <v/>
      </c>
      <c r="C1168" s="16" t="str">
        <f>IFERROR(VLOOKUP(DATA!#REF!,DATA!#REF!,1,FALSE),"")</f>
        <v/>
      </c>
      <c r="D1168" s="16" t="str">
        <f>IFERROR(VLOOKUP(C1168,DATA!#REF!,2,FALSE),"")</f>
        <v/>
      </c>
      <c r="I1168" s="17"/>
      <c r="J1168" s="17"/>
      <c r="P1168" s="17"/>
      <c r="Q1168" s="17"/>
    </row>
    <row r="1169" spans="2:17">
      <c r="B1169" s="15" t="str">
        <f t="shared" si="59"/>
        <v/>
      </c>
      <c r="C1169" s="16" t="str">
        <f>IFERROR(VLOOKUP(DATA!#REF!,DATA!#REF!,1,FALSE),"")</f>
        <v/>
      </c>
      <c r="D1169" s="16" t="str">
        <f>IFERROR(VLOOKUP(C1169,DATA!#REF!,2,FALSE),"")</f>
        <v/>
      </c>
      <c r="I1169" s="17"/>
      <c r="J1169" s="17"/>
      <c r="P1169" s="17"/>
      <c r="Q1169" s="17"/>
    </row>
    <row r="1170" spans="2:17">
      <c r="B1170" s="15" t="str">
        <f t="shared" si="59"/>
        <v/>
      </c>
      <c r="C1170" s="16" t="str">
        <f>IFERROR(VLOOKUP(DATA!#REF!,DATA!#REF!,1,FALSE),"")</f>
        <v/>
      </c>
      <c r="D1170" s="16" t="str">
        <f>IFERROR(VLOOKUP(C1170,DATA!#REF!,2,FALSE),"")</f>
        <v/>
      </c>
      <c r="I1170" s="17"/>
      <c r="J1170" s="17"/>
      <c r="P1170" s="17"/>
      <c r="Q1170" s="17"/>
    </row>
    <row r="1171" spans="2:17">
      <c r="B1171" s="15" t="str">
        <f t="shared" si="59"/>
        <v/>
      </c>
      <c r="C1171" s="16" t="str">
        <f>IFERROR(VLOOKUP(DATA!#REF!,DATA!#REF!,1,FALSE),"")</f>
        <v/>
      </c>
      <c r="D1171" s="16" t="str">
        <f>IFERROR(VLOOKUP(C1171,DATA!#REF!,2,FALSE),"")</f>
        <v/>
      </c>
      <c r="I1171" s="17"/>
      <c r="J1171" s="17"/>
      <c r="P1171" s="17"/>
      <c r="Q1171" s="17"/>
    </row>
    <row r="1172" spans="2:17">
      <c r="B1172" s="15" t="str">
        <f t="shared" si="59"/>
        <v/>
      </c>
      <c r="C1172" s="16" t="str">
        <f>IFERROR(VLOOKUP(DATA!#REF!,DATA!#REF!,1,FALSE),"")</f>
        <v/>
      </c>
      <c r="D1172" s="16" t="str">
        <f>IFERROR(VLOOKUP(C1172,DATA!#REF!,2,FALSE),"")</f>
        <v/>
      </c>
      <c r="I1172" s="17"/>
      <c r="J1172" s="17"/>
      <c r="P1172" s="17"/>
      <c r="Q1172" s="17"/>
    </row>
    <row r="1173" spans="2:17">
      <c r="B1173" s="15" t="str">
        <f t="shared" si="59"/>
        <v/>
      </c>
      <c r="C1173" s="16" t="str">
        <f>IFERROR(VLOOKUP(DATA!#REF!,DATA!#REF!,1,FALSE),"")</f>
        <v/>
      </c>
      <c r="D1173" s="16" t="str">
        <f>IFERROR(VLOOKUP(C1173,DATA!#REF!,2,FALSE),"")</f>
        <v/>
      </c>
      <c r="I1173" s="17"/>
      <c r="J1173" s="17"/>
      <c r="P1173" s="17"/>
      <c r="Q1173" s="17"/>
    </row>
    <row r="1174" spans="2:17">
      <c r="B1174" s="15" t="str">
        <f t="shared" si="59"/>
        <v/>
      </c>
      <c r="C1174" s="16" t="str">
        <f>IFERROR(VLOOKUP(DATA!#REF!,DATA!#REF!,1,FALSE),"")</f>
        <v/>
      </c>
      <c r="D1174" s="16" t="str">
        <f>IFERROR(VLOOKUP(C1174,DATA!#REF!,2,FALSE),"")</f>
        <v/>
      </c>
      <c r="I1174" s="17"/>
      <c r="J1174" s="17"/>
      <c r="P1174" s="17"/>
      <c r="Q1174" s="17"/>
    </row>
    <row r="1175" spans="2:17">
      <c r="B1175" s="15" t="str">
        <f t="shared" si="59"/>
        <v/>
      </c>
      <c r="C1175" s="16" t="str">
        <f>IFERROR(VLOOKUP(DATA!#REF!,DATA!#REF!,1,FALSE),"")</f>
        <v/>
      </c>
      <c r="D1175" s="16" t="str">
        <f>IFERROR(VLOOKUP(C1175,DATA!#REF!,2,FALSE),"")</f>
        <v/>
      </c>
      <c r="I1175" s="17"/>
      <c r="J1175" s="17"/>
      <c r="P1175" s="17"/>
      <c r="Q1175" s="17"/>
    </row>
    <row r="1176" spans="2:17">
      <c r="B1176" s="15" t="str">
        <f t="shared" si="59"/>
        <v/>
      </c>
      <c r="C1176" s="16" t="str">
        <f>IFERROR(VLOOKUP(DATA!#REF!,DATA!#REF!,1,FALSE),"")</f>
        <v/>
      </c>
      <c r="D1176" s="16" t="str">
        <f>IFERROR(VLOOKUP(C1176,DATA!#REF!,2,FALSE),"")</f>
        <v/>
      </c>
      <c r="I1176" s="17"/>
      <c r="J1176" s="17"/>
      <c r="P1176" s="17"/>
      <c r="Q1176" s="17"/>
    </row>
    <row r="1177" spans="2:17">
      <c r="B1177" s="15" t="str">
        <f t="shared" si="59"/>
        <v/>
      </c>
      <c r="C1177" s="16" t="str">
        <f>IFERROR(VLOOKUP(DATA!#REF!,DATA!#REF!,1,FALSE),"")</f>
        <v/>
      </c>
      <c r="D1177" s="16" t="str">
        <f>IFERROR(VLOOKUP(C1177,DATA!#REF!,2,FALSE),"")</f>
        <v/>
      </c>
      <c r="I1177" s="17"/>
      <c r="J1177" s="17"/>
      <c r="P1177" s="17"/>
      <c r="Q1177" s="17"/>
    </row>
    <row r="1178" spans="2:17">
      <c r="B1178" s="15" t="str">
        <f t="shared" si="59"/>
        <v/>
      </c>
      <c r="C1178" s="16" t="str">
        <f>IFERROR(VLOOKUP(DATA!#REF!,DATA!#REF!,1,FALSE),"")</f>
        <v/>
      </c>
      <c r="D1178" s="16" t="str">
        <f>IFERROR(VLOOKUP(C1178,DATA!#REF!,2,FALSE),"")</f>
        <v/>
      </c>
      <c r="I1178" s="17"/>
      <c r="J1178" s="17"/>
      <c r="P1178" s="17"/>
      <c r="Q1178" s="17"/>
    </row>
    <row r="1179" spans="2:17">
      <c r="B1179" s="15" t="str">
        <f t="shared" si="59"/>
        <v/>
      </c>
      <c r="C1179" s="16" t="str">
        <f>IFERROR(VLOOKUP(DATA!#REF!,DATA!#REF!,1,FALSE),"")</f>
        <v/>
      </c>
      <c r="D1179" s="16" t="str">
        <f>IFERROR(VLOOKUP(C1179,DATA!#REF!,2,FALSE),"")</f>
        <v/>
      </c>
      <c r="I1179" s="17"/>
      <c r="J1179" s="17"/>
      <c r="P1179" s="17"/>
      <c r="Q1179" s="17"/>
    </row>
    <row r="1180" spans="2:17">
      <c r="B1180" s="15" t="str">
        <f t="shared" si="59"/>
        <v/>
      </c>
      <c r="C1180" s="16" t="str">
        <f>IFERROR(VLOOKUP(DATA!#REF!,DATA!#REF!,1,FALSE),"")</f>
        <v/>
      </c>
      <c r="D1180" s="16" t="str">
        <f>IFERROR(VLOOKUP(C1180,DATA!#REF!,2,FALSE),"")</f>
        <v/>
      </c>
      <c r="I1180" s="17"/>
      <c r="J1180" s="17"/>
      <c r="P1180" s="17"/>
      <c r="Q1180" s="17"/>
    </row>
    <row r="1181" spans="2:17">
      <c r="B1181" s="15" t="str">
        <f t="shared" si="59"/>
        <v/>
      </c>
      <c r="C1181" s="16" t="str">
        <f>IFERROR(VLOOKUP(DATA!#REF!,DATA!#REF!,1,FALSE),"")</f>
        <v/>
      </c>
      <c r="D1181" s="16" t="str">
        <f>IFERROR(VLOOKUP(C1181,DATA!#REF!,2,FALSE),"")</f>
        <v/>
      </c>
      <c r="I1181" s="17"/>
      <c r="J1181" s="17"/>
      <c r="P1181" s="17"/>
      <c r="Q1181" s="17"/>
    </row>
    <row r="1182" spans="2:17">
      <c r="B1182" s="15" t="str">
        <f t="shared" si="59"/>
        <v/>
      </c>
      <c r="C1182" s="16" t="str">
        <f>IFERROR(VLOOKUP(DATA!#REF!,DATA!#REF!,1,FALSE),"")</f>
        <v/>
      </c>
      <c r="D1182" s="16" t="str">
        <f>IFERROR(VLOOKUP(C1182,DATA!#REF!,2,FALSE),"")</f>
        <v/>
      </c>
      <c r="I1182" s="17"/>
      <c r="J1182" s="17"/>
      <c r="P1182" s="17"/>
      <c r="Q1182" s="17"/>
    </row>
    <row r="1183" spans="2:17">
      <c r="B1183" s="15" t="str">
        <f t="shared" si="59"/>
        <v/>
      </c>
      <c r="C1183" s="16" t="str">
        <f>IFERROR(VLOOKUP(DATA!#REF!,DATA!#REF!,1,FALSE),"")</f>
        <v/>
      </c>
      <c r="D1183" s="16" t="str">
        <f>IFERROR(VLOOKUP(C1183,DATA!#REF!,2,FALSE),"")</f>
        <v/>
      </c>
      <c r="I1183" s="17"/>
      <c r="J1183" s="17"/>
      <c r="P1183" s="17"/>
      <c r="Q1183" s="17"/>
    </row>
    <row r="1184" spans="2:17">
      <c r="B1184" s="15" t="str">
        <f t="shared" si="59"/>
        <v/>
      </c>
      <c r="C1184" s="16" t="str">
        <f>IFERROR(VLOOKUP(DATA!#REF!,DATA!#REF!,1,FALSE),"")</f>
        <v/>
      </c>
      <c r="D1184" s="16" t="str">
        <f>IFERROR(VLOOKUP(C1184,DATA!#REF!,2,FALSE),"")</f>
        <v/>
      </c>
      <c r="I1184" s="17"/>
      <c r="J1184" s="17"/>
      <c r="P1184" s="17"/>
      <c r="Q1184" s="17"/>
    </row>
    <row r="1185" spans="2:17">
      <c r="B1185" s="15" t="str">
        <f t="shared" si="59"/>
        <v/>
      </c>
      <c r="C1185" s="16" t="str">
        <f>IFERROR(VLOOKUP(DATA!#REF!,DATA!#REF!,1,FALSE),"")</f>
        <v/>
      </c>
      <c r="D1185" s="16" t="str">
        <f>IFERROR(VLOOKUP(C1185,DATA!#REF!,2,FALSE),"")</f>
        <v/>
      </c>
      <c r="I1185" s="17"/>
      <c r="J1185" s="17"/>
      <c r="P1185" s="17"/>
      <c r="Q1185" s="17"/>
    </row>
    <row r="1186" spans="2:17">
      <c r="B1186" s="15" t="str">
        <f t="shared" si="59"/>
        <v/>
      </c>
      <c r="C1186" s="16" t="str">
        <f>IFERROR(VLOOKUP(DATA!#REF!,DATA!#REF!,1,FALSE),"")</f>
        <v/>
      </c>
      <c r="D1186" s="16" t="str">
        <f>IFERROR(VLOOKUP(C1186,DATA!#REF!,2,FALSE),"")</f>
        <v/>
      </c>
      <c r="I1186" s="17"/>
      <c r="J1186" s="17"/>
      <c r="P1186" s="17"/>
      <c r="Q1186" s="17"/>
    </row>
    <row r="1187" spans="2:17">
      <c r="B1187" s="15" t="str">
        <f t="shared" si="59"/>
        <v/>
      </c>
      <c r="C1187" s="16" t="str">
        <f>IFERROR(VLOOKUP(DATA!#REF!,DATA!#REF!,1,FALSE),"")</f>
        <v/>
      </c>
      <c r="D1187" s="16" t="str">
        <f>IFERROR(VLOOKUP(C1187,DATA!#REF!,2,FALSE),"")</f>
        <v/>
      </c>
      <c r="I1187" s="17"/>
      <c r="J1187" s="17"/>
      <c r="P1187" s="17"/>
      <c r="Q1187" s="17"/>
    </row>
    <row r="1188" spans="2:17">
      <c r="B1188" s="15" t="str">
        <f t="shared" si="59"/>
        <v/>
      </c>
      <c r="C1188" s="16" t="str">
        <f>IFERROR(VLOOKUP(DATA!#REF!,DATA!#REF!,1,FALSE),"")</f>
        <v/>
      </c>
      <c r="D1188" s="16" t="str">
        <f>IFERROR(VLOOKUP(C1188,DATA!#REF!,2,FALSE),"")</f>
        <v/>
      </c>
      <c r="I1188" s="17"/>
      <c r="J1188" s="17"/>
      <c r="P1188" s="17"/>
      <c r="Q1188" s="17"/>
    </row>
    <row r="1189" spans="2:17">
      <c r="B1189" s="15" t="str">
        <f t="shared" si="59"/>
        <v/>
      </c>
      <c r="C1189" s="16" t="str">
        <f>IFERROR(VLOOKUP(DATA!#REF!,DATA!#REF!,1,FALSE),"")</f>
        <v/>
      </c>
      <c r="D1189" s="16" t="str">
        <f>IFERROR(VLOOKUP(C1189,DATA!#REF!,2,FALSE),"")</f>
        <v/>
      </c>
      <c r="I1189" s="17"/>
      <c r="J1189" s="17"/>
      <c r="P1189" s="17"/>
      <c r="Q1189" s="17"/>
    </row>
    <row r="1190" spans="2:17">
      <c r="B1190" s="15" t="str">
        <f t="shared" si="59"/>
        <v/>
      </c>
      <c r="C1190" s="16" t="str">
        <f>IFERROR(VLOOKUP(DATA!#REF!,DATA!#REF!,1,FALSE),"")</f>
        <v/>
      </c>
      <c r="D1190" s="16" t="str">
        <f>IFERROR(VLOOKUP(C1190,DATA!#REF!,2,FALSE),"")</f>
        <v/>
      </c>
      <c r="I1190" s="17"/>
      <c r="J1190" s="17"/>
      <c r="P1190" s="17"/>
      <c r="Q1190" s="17"/>
    </row>
    <row r="1191" spans="2:17">
      <c r="B1191" s="15" t="str">
        <f t="shared" si="59"/>
        <v/>
      </c>
      <c r="C1191" s="16" t="str">
        <f>IFERROR(VLOOKUP(DATA!#REF!,DATA!#REF!,1,FALSE),"")</f>
        <v/>
      </c>
      <c r="D1191" s="16" t="str">
        <f>IFERROR(VLOOKUP(C1191,DATA!#REF!,2,FALSE),"")</f>
        <v/>
      </c>
      <c r="I1191" s="17"/>
      <c r="J1191" s="17"/>
      <c r="P1191" s="17"/>
      <c r="Q1191" s="17"/>
    </row>
    <row r="1192" spans="2:17">
      <c r="B1192" s="15" t="str">
        <f t="shared" si="59"/>
        <v/>
      </c>
      <c r="C1192" s="16" t="str">
        <f>IFERROR(VLOOKUP(DATA!#REF!,DATA!#REF!,1,FALSE),"")</f>
        <v/>
      </c>
      <c r="D1192" s="16" t="str">
        <f>IFERROR(VLOOKUP(C1192,DATA!#REF!,2,FALSE),"")</f>
        <v/>
      </c>
      <c r="I1192" s="17"/>
      <c r="J1192" s="17"/>
      <c r="P1192" s="17"/>
      <c r="Q1192" s="17"/>
    </row>
    <row r="1193" spans="2:17">
      <c r="B1193" s="15" t="str">
        <f t="shared" si="59"/>
        <v/>
      </c>
      <c r="C1193" s="16" t="str">
        <f>IFERROR(VLOOKUP(DATA!#REF!,DATA!#REF!,1,FALSE),"")</f>
        <v/>
      </c>
      <c r="D1193" s="16" t="str">
        <f>IFERROR(VLOOKUP(C1193,DATA!#REF!,2,FALSE),"")</f>
        <v/>
      </c>
      <c r="I1193" s="17"/>
      <c r="J1193" s="17"/>
      <c r="P1193" s="17"/>
      <c r="Q1193" s="17"/>
    </row>
    <row r="1194" spans="2:17">
      <c r="B1194" s="15" t="str">
        <f t="shared" si="59"/>
        <v/>
      </c>
      <c r="C1194" s="16" t="str">
        <f>IFERROR(VLOOKUP(DATA!#REF!,DATA!#REF!,1,FALSE),"")</f>
        <v/>
      </c>
      <c r="D1194" s="16" t="str">
        <f>IFERROR(VLOOKUP(C1194,DATA!#REF!,2,FALSE),"")</f>
        <v/>
      </c>
      <c r="I1194" s="17"/>
      <c r="J1194" s="17"/>
      <c r="P1194" s="17"/>
      <c r="Q1194" s="17"/>
    </row>
    <row r="1195" spans="2:17">
      <c r="B1195" s="15" t="str">
        <f t="shared" si="59"/>
        <v/>
      </c>
      <c r="C1195" s="16" t="str">
        <f>IFERROR(VLOOKUP(DATA!#REF!,DATA!#REF!,1,FALSE),"")</f>
        <v/>
      </c>
      <c r="D1195" s="16" t="str">
        <f>IFERROR(VLOOKUP(C1195,DATA!#REF!,2,FALSE),"")</f>
        <v/>
      </c>
      <c r="I1195" s="17"/>
      <c r="J1195" s="17"/>
      <c r="P1195" s="17"/>
      <c r="Q1195" s="17"/>
    </row>
    <row r="1196" spans="2:17">
      <c r="B1196" s="15" t="str">
        <f t="shared" si="59"/>
        <v/>
      </c>
      <c r="C1196" s="16" t="str">
        <f>IFERROR(VLOOKUP(DATA!#REF!,DATA!#REF!,1,FALSE),"")</f>
        <v/>
      </c>
      <c r="D1196" s="16" t="str">
        <f>IFERROR(VLOOKUP(C1196,DATA!#REF!,2,FALSE),"")</f>
        <v/>
      </c>
      <c r="I1196" s="17"/>
      <c r="J1196" s="17"/>
      <c r="P1196" s="17"/>
      <c r="Q1196" s="17"/>
    </row>
    <row r="1197" spans="2:17">
      <c r="B1197" s="15" t="str">
        <f t="shared" si="59"/>
        <v/>
      </c>
      <c r="C1197" s="16" t="str">
        <f>IFERROR(VLOOKUP(DATA!#REF!,DATA!#REF!,1,FALSE),"")</f>
        <v/>
      </c>
      <c r="D1197" s="16" t="str">
        <f>IFERROR(VLOOKUP(C1197,DATA!#REF!,2,FALSE),"")</f>
        <v/>
      </c>
      <c r="I1197" s="17"/>
      <c r="J1197" s="17"/>
      <c r="P1197" s="17"/>
      <c r="Q1197" s="17"/>
    </row>
    <row r="1198" spans="2:17">
      <c r="B1198" s="15" t="str">
        <f t="shared" si="59"/>
        <v/>
      </c>
      <c r="C1198" s="16" t="str">
        <f>IFERROR(VLOOKUP(DATA!#REF!,DATA!#REF!,1,FALSE),"")</f>
        <v/>
      </c>
      <c r="D1198" s="16" t="str">
        <f>IFERROR(VLOOKUP(C1198,DATA!#REF!,2,FALSE),"")</f>
        <v/>
      </c>
      <c r="I1198" s="17"/>
      <c r="J1198" s="17"/>
      <c r="P1198" s="17"/>
      <c r="Q1198" s="17"/>
    </row>
    <row r="1199" spans="2:17">
      <c r="B1199" s="15" t="str">
        <f t="shared" si="59"/>
        <v/>
      </c>
      <c r="C1199" s="16" t="str">
        <f>IFERROR(VLOOKUP(DATA!#REF!,DATA!#REF!,1,FALSE),"")</f>
        <v/>
      </c>
      <c r="D1199" s="16" t="str">
        <f>IFERROR(VLOOKUP(C1199,DATA!#REF!,2,FALSE),"")</f>
        <v/>
      </c>
      <c r="I1199" s="17"/>
      <c r="J1199" s="17"/>
      <c r="P1199" s="17"/>
      <c r="Q1199" s="17"/>
    </row>
    <row r="1200" spans="2:17">
      <c r="B1200" s="15" t="str">
        <f t="shared" si="59"/>
        <v/>
      </c>
      <c r="C1200" s="16" t="str">
        <f>IFERROR(VLOOKUP(DATA!#REF!,DATA!#REF!,1,FALSE),"")</f>
        <v/>
      </c>
      <c r="D1200" s="16" t="str">
        <f>IFERROR(VLOOKUP(C1200,DATA!#REF!,2,FALSE),"")</f>
        <v/>
      </c>
      <c r="I1200" s="17"/>
      <c r="J1200" s="17"/>
      <c r="P1200" s="17"/>
      <c r="Q1200" s="17"/>
    </row>
    <row r="1201" spans="2:17">
      <c r="B1201" s="15" t="str">
        <f t="shared" si="59"/>
        <v/>
      </c>
      <c r="C1201" s="16" t="str">
        <f>IFERROR(VLOOKUP(DATA!#REF!,DATA!#REF!,1,FALSE),"")</f>
        <v/>
      </c>
      <c r="D1201" s="16" t="str">
        <f>IFERROR(VLOOKUP(C1201,DATA!#REF!,2,FALSE),"")</f>
        <v/>
      </c>
      <c r="I1201" s="17"/>
      <c r="J1201" s="17"/>
      <c r="P1201" s="17"/>
      <c r="Q1201" s="17"/>
    </row>
    <row r="1202" spans="2:17">
      <c r="B1202" s="15" t="str">
        <f t="shared" si="59"/>
        <v/>
      </c>
      <c r="C1202" s="16" t="str">
        <f>IFERROR(VLOOKUP(DATA!#REF!,DATA!#REF!,1,FALSE),"")</f>
        <v/>
      </c>
      <c r="D1202" s="16" t="str">
        <f>IFERROR(VLOOKUP(C1202,DATA!#REF!,2,FALSE),"")</f>
        <v/>
      </c>
      <c r="I1202" s="17"/>
      <c r="J1202" s="17"/>
      <c r="P1202" s="17"/>
      <c r="Q1202" s="17"/>
    </row>
    <row r="1203" spans="2:17">
      <c r="B1203" s="15" t="str">
        <f t="shared" si="59"/>
        <v/>
      </c>
      <c r="C1203" s="16" t="str">
        <f>IFERROR(VLOOKUP(DATA!#REF!,DATA!#REF!,1,FALSE),"")</f>
        <v/>
      </c>
      <c r="D1203" s="16" t="str">
        <f>IFERROR(VLOOKUP(C1203,DATA!#REF!,2,FALSE),"")</f>
        <v/>
      </c>
      <c r="I1203" s="17"/>
      <c r="J1203" s="17"/>
      <c r="P1203" s="17"/>
      <c r="Q1203" s="17"/>
    </row>
    <row r="1204" spans="2:17">
      <c r="B1204" s="15" t="str">
        <f t="shared" si="59"/>
        <v/>
      </c>
      <c r="C1204" s="16" t="str">
        <f>IFERROR(VLOOKUP(DATA!#REF!,DATA!#REF!,1,FALSE),"")</f>
        <v/>
      </c>
      <c r="D1204" s="16" t="str">
        <f>IFERROR(VLOOKUP(C1204,DATA!#REF!,2,FALSE),"")</f>
        <v/>
      </c>
      <c r="I1204" s="17"/>
      <c r="J1204" s="17"/>
      <c r="P1204" s="17"/>
      <c r="Q1204" s="17"/>
    </row>
    <row r="1205" spans="2:17">
      <c r="B1205" s="15" t="str">
        <f t="shared" si="59"/>
        <v/>
      </c>
      <c r="C1205" s="16" t="str">
        <f>IFERROR(VLOOKUP(DATA!#REF!,DATA!#REF!,1,FALSE),"")</f>
        <v/>
      </c>
      <c r="D1205" s="16" t="str">
        <f>IFERROR(VLOOKUP(C1205,DATA!#REF!,2,FALSE),"")</f>
        <v/>
      </c>
      <c r="I1205" s="17"/>
      <c r="J1205" s="17"/>
      <c r="P1205" s="17"/>
      <c r="Q1205" s="17"/>
    </row>
    <row r="1206" spans="2:17">
      <c r="B1206" s="15" t="str">
        <f t="shared" si="59"/>
        <v/>
      </c>
      <c r="C1206" s="16" t="str">
        <f>IFERROR(VLOOKUP(DATA!#REF!,DATA!#REF!,1,FALSE),"")</f>
        <v/>
      </c>
      <c r="D1206" s="16" t="str">
        <f>IFERROR(VLOOKUP(C1206,DATA!#REF!,2,FALSE),"")</f>
        <v/>
      </c>
      <c r="I1206" s="17"/>
      <c r="J1206" s="17"/>
      <c r="P1206" s="17"/>
      <c r="Q1206" s="17"/>
    </row>
    <row r="1207" spans="2:17">
      <c r="B1207" s="15" t="str">
        <f t="shared" ref="B1207:B1270" si="60">+IF(C1207="","",ROW()-5)</f>
        <v/>
      </c>
      <c r="C1207" s="16" t="str">
        <f>IFERROR(VLOOKUP(DATA!#REF!,DATA!#REF!,1,FALSE),"")</f>
        <v/>
      </c>
      <c r="D1207" s="16" t="str">
        <f>IFERROR(VLOOKUP(C1207,DATA!#REF!,2,FALSE),"")</f>
        <v/>
      </c>
      <c r="I1207" s="17"/>
      <c r="J1207" s="17"/>
      <c r="P1207" s="17"/>
      <c r="Q1207" s="17"/>
    </row>
    <row r="1208" spans="2:17">
      <c r="B1208" s="15" t="str">
        <f t="shared" si="60"/>
        <v/>
      </c>
      <c r="C1208" s="16" t="str">
        <f>IFERROR(VLOOKUP(DATA!#REF!,DATA!#REF!,1,FALSE),"")</f>
        <v/>
      </c>
      <c r="D1208" s="16" t="str">
        <f>IFERROR(VLOOKUP(C1208,DATA!#REF!,2,FALSE),"")</f>
        <v/>
      </c>
      <c r="I1208" s="17"/>
      <c r="J1208" s="17"/>
      <c r="P1208" s="17"/>
      <c r="Q1208" s="17"/>
    </row>
    <row r="1209" spans="2:17">
      <c r="B1209" s="15" t="str">
        <f t="shared" si="60"/>
        <v/>
      </c>
      <c r="C1209" s="16" t="str">
        <f>IFERROR(VLOOKUP(DATA!#REF!,DATA!#REF!,1,FALSE),"")</f>
        <v/>
      </c>
      <c r="D1209" s="16" t="str">
        <f>IFERROR(VLOOKUP(C1209,DATA!#REF!,2,FALSE),"")</f>
        <v/>
      </c>
      <c r="I1209" s="17"/>
      <c r="J1209" s="17"/>
      <c r="P1209" s="17"/>
      <c r="Q1209" s="17"/>
    </row>
    <row r="1210" spans="2:17">
      <c r="B1210" s="15" t="str">
        <f t="shared" si="60"/>
        <v/>
      </c>
      <c r="C1210" s="16" t="str">
        <f>IFERROR(VLOOKUP(DATA!#REF!,DATA!#REF!,1,FALSE),"")</f>
        <v/>
      </c>
      <c r="D1210" s="16" t="str">
        <f>IFERROR(VLOOKUP(C1210,DATA!#REF!,2,FALSE),"")</f>
        <v/>
      </c>
      <c r="I1210" s="17"/>
      <c r="J1210" s="17"/>
      <c r="P1210" s="17"/>
      <c r="Q1210" s="17"/>
    </row>
    <row r="1211" spans="2:17">
      <c r="B1211" s="15" t="str">
        <f t="shared" si="60"/>
        <v/>
      </c>
      <c r="C1211" s="16" t="str">
        <f>IFERROR(VLOOKUP(DATA!#REF!,DATA!#REF!,1,FALSE),"")</f>
        <v/>
      </c>
      <c r="D1211" s="16" t="str">
        <f>IFERROR(VLOOKUP(C1211,DATA!#REF!,2,FALSE),"")</f>
        <v/>
      </c>
      <c r="I1211" s="17"/>
      <c r="J1211" s="17"/>
      <c r="P1211" s="17"/>
      <c r="Q1211" s="17"/>
    </row>
    <row r="1212" spans="2:17">
      <c r="B1212" s="15" t="str">
        <f t="shared" si="60"/>
        <v/>
      </c>
      <c r="C1212" s="16" t="str">
        <f>IFERROR(VLOOKUP(DATA!#REF!,DATA!#REF!,1,FALSE),"")</f>
        <v/>
      </c>
      <c r="D1212" s="16" t="str">
        <f>IFERROR(VLOOKUP(C1212,DATA!#REF!,2,FALSE),"")</f>
        <v/>
      </c>
      <c r="I1212" s="17"/>
      <c r="J1212" s="17"/>
      <c r="P1212" s="17"/>
      <c r="Q1212" s="17"/>
    </row>
    <row r="1213" spans="2:17">
      <c r="B1213" s="15" t="str">
        <f t="shared" si="60"/>
        <v/>
      </c>
      <c r="C1213" s="16" t="str">
        <f>IFERROR(VLOOKUP(DATA!#REF!,DATA!#REF!,1,FALSE),"")</f>
        <v/>
      </c>
      <c r="D1213" s="16" t="str">
        <f>IFERROR(VLOOKUP(C1213,DATA!#REF!,2,FALSE),"")</f>
        <v/>
      </c>
      <c r="I1213" s="17"/>
      <c r="J1213" s="17"/>
      <c r="P1213" s="17"/>
      <c r="Q1213" s="17"/>
    </row>
    <row r="1214" spans="2:17">
      <c r="B1214" s="15" t="str">
        <f t="shared" si="60"/>
        <v/>
      </c>
      <c r="C1214" s="16" t="str">
        <f>IFERROR(VLOOKUP(DATA!#REF!,DATA!#REF!,1,FALSE),"")</f>
        <v/>
      </c>
      <c r="D1214" s="16" t="str">
        <f>IFERROR(VLOOKUP(C1214,DATA!#REF!,2,FALSE),"")</f>
        <v/>
      </c>
      <c r="I1214" s="17"/>
      <c r="J1214" s="17"/>
      <c r="P1214" s="17"/>
      <c r="Q1214" s="17"/>
    </row>
    <row r="1215" spans="2:17">
      <c r="B1215" s="15" t="str">
        <f t="shared" si="60"/>
        <v/>
      </c>
      <c r="C1215" s="16" t="str">
        <f>IFERROR(VLOOKUP(DATA!#REF!,DATA!#REF!,1,FALSE),"")</f>
        <v/>
      </c>
      <c r="D1215" s="16" t="str">
        <f>IFERROR(VLOOKUP(C1215,DATA!#REF!,2,FALSE),"")</f>
        <v/>
      </c>
      <c r="I1215" s="17"/>
      <c r="J1215" s="17"/>
      <c r="P1215" s="17"/>
      <c r="Q1215" s="17"/>
    </row>
    <row r="1216" spans="2:17">
      <c r="B1216" s="15" t="str">
        <f t="shared" si="60"/>
        <v/>
      </c>
      <c r="C1216" s="16" t="str">
        <f>IFERROR(VLOOKUP(DATA!#REF!,DATA!#REF!,1,FALSE),"")</f>
        <v/>
      </c>
      <c r="D1216" s="16" t="str">
        <f>IFERROR(VLOOKUP(C1216,DATA!#REF!,2,FALSE),"")</f>
        <v/>
      </c>
      <c r="I1216" s="17"/>
      <c r="J1216" s="17"/>
      <c r="P1216" s="17"/>
      <c r="Q1216" s="17"/>
    </row>
    <row r="1217" spans="2:17">
      <c r="B1217" s="15" t="str">
        <f t="shared" si="60"/>
        <v/>
      </c>
      <c r="C1217" s="16" t="str">
        <f>IFERROR(VLOOKUP(DATA!#REF!,DATA!#REF!,1,FALSE),"")</f>
        <v/>
      </c>
      <c r="D1217" s="16" t="str">
        <f>IFERROR(VLOOKUP(C1217,DATA!#REF!,2,FALSE),"")</f>
        <v/>
      </c>
      <c r="I1217" s="17"/>
      <c r="J1217" s="17"/>
      <c r="P1217" s="17"/>
      <c r="Q1217" s="17"/>
    </row>
    <row r="1218" spans="2:17">
      <c r="B1218" s="15" t="str">
        <f t="shared" si="60"/>
        <v/>
      </c>
      <c r="C1218" s="16" t="str">
        <f>IFERROR(VLOOKUP(DATA!#REF!,DATA!#REF!,1,FALSE),"")</f>
        <v/>
      </c>
      <c r="D1218" s="16" t="str">
        <f>IFERROR(VLOOKUP(C1218,DATA!#REF!,2,FALSE),"")</f>
        <v/>
      </c>
      <c r="I1218" s="17"/>
      <c r="J1218" s="17"/>
      <c r="P1218" s="17"/>
      <c r="Q1218" s="17"/>
    </row>
    <row r="1219" spans="2:17">
      <c r="B1219" s="15" t="str">
        <f t="shared" si="60"/>
        <v/>
      </c>
      <c r="C1219" s="16" t="str">
        <f>IFERROR(VLOOKUP(DATA!#REF!,DATA!#REF!,1,FALSE),"")</f>
        <v/>
      </c>
      <c r="D1219" s="16" t="str">
        <f>IFERROR(VLOOKUP(C1219,DATA!#REF!,2,FALSE),"")</f>
        <v/>
      </c>
      <c r="I1219" s="17"/>
      <c r="J1219" s="17"/>
      <c r="P1219" s="17"/>
      <c r="Q1219" s="17"/>
    </row>
    <row r="1220" spans="2:17">
      <c r="B1220" s="15" t="str">
        <f t="shared" si="60"/>
        <v/>
      </c>
      <c r="C1220" s="16" t="str">
        <f>IFERROR(VLOOKUP(DATA!#REF!,DATA!#REF!,1,FALSE),"")</f>
        <v/>
      </c>
      <c r="D1220" s="16" t="str">
        <f>IFERROR(VLOOKUP(C1220,DATA!#REF!,2,FALSE),"")</f>
        <v/>
      </c>
      <c r="I1220" s="17"/>
      <c r="J1220" s="17"/>
      <c r="P1220" s="17"/>
      <c r="Q1220" s="17"/>
    </row>
    <row r="1221" spans="2:17">
      <c r="B1221" s="15" t="str">
        <f t="shared" si="60"/>
        <v/>
      </c>
      <c r="C1221" s="16" t="str">
        <f>IFERROR(VLOOKUP(DATA!#REF!,DATA!#REF!,1,FALSE),"")</f>
        <v/>
      </c>
      <c r="D1221" s="16" t="str">
        <f>IFERROR(VLOOKUP(C1221,DATA!#REF!,2,FALSE),"")</f>
        <v/>
      </c>
      <c r="I1221" s="17"/>
      <c r="J1221" s="17"/>
      <c r="P1221" s="17"/>
      <c r="Q1221" s="17"/>
    </row>
    <row r="1222" spans="2:17">
      <c r="B1222" s="15" t="str">
        <f t="shared" si="60"/>
        <v/>
      </c>
      <c r="C1222" s="16" t="str">
        <f>IFERROR(VLOOKUP(DATA!#REF!,DATA!#REF!,1,FALSE),"")</f>
        <v/>
      </c>
      <c r="D1222" s="16" t="str">
        <f>IFERROR(VLOOKUP(C1222,DATA!#REF!,2,FALSE),"")</f>
        <v/>
      </c>
      <c r="I1222" s="17"/>
      <c r="J1222" s="17"/>
      <c r="P1222" s="17"/>
      <c r="Q1222" s="17"/>
    </row>
    <row r="1223" spans="2:17">
      <c r="B1223" s="15" t="str">
        <f t="shared" si="60"/>
        <v/>
      </c>
      <c r="C1223" s="16" t="str">
        <f>IFERROR(VLOOKUP(DATA!#REF!,DATA!#REF!,1,FALSE),"")</f>
        <v/>
      </c>
      <c r="D1223" s="16" t="str">
        <f>IFERROR(VLOOKUP(C1223,DATA!#REF!,2,FALSE),"")</f>
        <v/>
      </c>
      <c r="I1223" s="17"/>
      <c r="J1223" s="17"/>
      <c r="P1223" s="17"/>
      <c r="Q1223" s="17"/>
    </row>
    <row r="1224" spans="2:17">
      <c r="B1224" s="15" t="str">
        <f t="shared" si="60"/>
        <v/>
      </c>
      <c r="C1224" s="16" t="str">
        <f>IFERROR(VLOOKUP(DATA!#REF!,DATA!#REF!,1,FALSE),"")</f>
        <v/>
      </c>
      <c r="D1224" s="16" t="str">
        <f>IFERROR(VLOOKUP(C1224,DATA!#REF!,2,FALSE),"")</f>
        <v/>
      </c>
      <c r="I1224" s="17"/>
      <c r="J1224" s="17"/>
      <c r="P1224" s="17"/>
      <c r="Q1224" s="17"/>
    </row>
    <row r="1225" spans="2:17">
      <c r="B1225" s="15" t="str">
        <f t="shared" si="60"/>
        <v/>
      </c>
      <c r="C1225" s="16" t="str">
        <f>IFERROR(VLOOKUP(DATA!#REF!,DATA!#REF!,1,FALSE),"")</f>
        <v/>
      </c>
      <c r="D1225" s="16" t="str">
        <f>IFERROR(VLOOKUP(C1225,DATA!#REF!,2,FALSE),"")</f>
        <v/>
      </c>
      <c r="I1225" s="17"/>
      <c r="J1225" s="17"/>
      <c r="P1225" s="17"/>
      <c r="Q1225" s="17"/>
    </row>
    <row r="1226" spans="2:17">
      <c r="B1226" s="15" t="str">
        <f t="shared" si="60"/>
        <v/>
      </c>
      <c r="C1226" s="16" t="str">
        <f>IFERROR(VLOOKUP(DATA!#REF!,DATA!#REF!,1,FALSE),"")</f>
        <v/>
      </c>
      <c r="D1226" s="16" t="str">
        <f>IFERROR(VLOOKUP(C1226,DATA!#REF!,2,FALSE),"")</f>
        <v/>
      </c>
      <c r="I1226" s="17"/>
      <c r="J1226" s="17"/>
      <c r="P1226" s="17"/>
      <c r="Q1226" s="17"/>
    </row>
    <row r="1227" spans="2:17">
      <c r="B1227" s="15" t="str">
        <f t="shared" si="60"/>
        <v/>
      </c>
      <c r="C1227" s="16" t="str">
        <f>IFERROR(VLOOKUP(DATA!#REF!,DATA!#REF!,1,FALSE),"")</f>
        <v/>
      </c>
      <c r="D1227" s="16" t="str">
        <f>IFERROR(VLOOKUP(C1227,DATA!#REF!,2,FALSE),"")</f>
        <v/>
      </c>
      <c r="I1227" s="17"/>
      <c r="J1227" s="17"/>
      <c r="P1227" s="17"/>
      <c r="Q1227" s="17"/>
    </row>
    <row r="1228" spans="2:17">
      <c r="B1228" s="15" t="str">
        <f t="shared" si="60"/>
        <v/>
      </c>
      <c r="C1228" s="16" t="str">
        <f>IFERROR(VLOOKUP(DATA!#REF!,DATA!#REF!,1,FALSE),"")</f>
        <v/>
      </c>
      <c r="D1228" s="16" t="str">
        <f>IFERROR(VLOOKUP(C1228,DATA!#REF!,2,FALSE),"")</f>
        <v/>
      </c>
      <c r="I1228" s="17"/>
      <c r="J1228" s="17"/>
      <c r="P1228" s="17"/>
      <c r="Q1228" s="17"/>
    </row>
    <row r="1229" spans="2:17">
      <c r="B1229" s="15" t="str">
        <f t="shared" si="60"/>
        <v/>
      </c>
      <c r="C1229" s="16" t="str">
        <f>IFERROR(VLOOKUP(DATA!#REF!,DATA!#REF!,1,FALSE),"")</f>
        <v/>
      </c>
      <c r="D1229" s="16" t="str">
        <f>IFERROR(VLOOKUP(C1229,DATA!#REF!,2,FALSE),"")</f>
        <v/>
      </c>
      <c r="I1229" s="17"/>
      <c r="J1229" s="17"/>
      <c r="P1229" s="17"/>
      <c r="Q1229" s="17"/>
    </row>
    <row r="1230" spans="2:17">
      <c r="B1230" s="15" t="str">
        <f t="shared" si="60"/>
        <v/>
      </c>
      <c r="C1230" s="16" t="str">
        <f>IFERROR(VLOOKUP(DATA!#REF!,DATA!#REF!,1,FALSE),"")</f>
        <v/>
      </c>
      <c r="D1230" s="16" t="str">
        <f>IFERROR(VLOOKUP(C1230,DATA!#REF!,2,FALSE),"")</f>
        <v/>
      </c>
      <c r="I1230" s="17"/>
      <c r="J1230" s="17"/>
      <c r="P1230" s="17"/>
      <c r="Q1230" s="17"/>
    </row>
    <row r="1231" spans="2:17">
      <c r="B1231" s="15" t="str">
        <f t="shared" si="60"/>
        <v/>
      </c>
      <c r="C1231" s="16" t="str">
        <f>IFERROR(VLOOKUP(DATA!#REF!,DATA!#REF!,1,FALSE),"")</f>
        <v/>
      </c>
      <c r="D1231" s="16" t="str">
        <f>IFERROR(VLOOKUP(C1231,DATA!#REF!,2,FALSE),"")</f>
        <v/>
      </c>
      <c r="I1231" s="17"/>
      <c r="J1231" s="17"/>
      <c r="P1231" s="17"/>
      <c r="Q1231" s="17"/>
    </row>
    <row r="1232" spans="2:17">
      <c r="B1232" s="15" t="str">
        <f t="shared" si="60"/>
        <v/>
      </c>
      <c r="C1232" s="16" t="str">
        <f>IFERROR(VLOOKUP(DATA!#REF!,DATA!#REF!,1,FALSE),"")</f>
        <v/>
      </c>
      <c r="D1232" s="16" t="str">
        <f>IFERROR(VLOOKUP(C1232,DATA!#REF!,2,FALSE),"")</f>
        <v/>
      </c>
      <c r="I1232" s="17"/>
      <c r="J1232" s="17"/>
      <c r="P1232" s="17"/>
      <c r="Q1232" s="17"/>
    </row>
    <row r="1233" spans="2:17">
      <c r="B1233" s="15" t="str">
        <f t="shared" si="60"/>
        <v/>
      </c>
      <c r="C1233" s="16" t="str">
        <f>IFERROR(VLOOKUP(DATA!#REF!,DATA!#REF!,1,FALSE),"")</f>
        <v/>
      </c>
      <c r="D1233" s="16" t="str">
        <f>IFERROR(VLOOKUP(C1233,DATA!#REF!,2,FALSE),"")</f>
        <v/>
      </c>
      <c r="I1233" s="17"/>
      <c r="J1233" s="17"/>
      <c r="P1233" s="17"/>
      <c r="Q1233" s="17"/>
    </row>
    <row r="1234" spans="2:17">
      <c r="B1234" s="15" t="str">
        <f t="shared" si="60"/>
        <v/>
      </c>
      <c r="C1234" s="16" t="str">
        <f>IFERROR(VLOOKUP(DATA!#REF!,DATA!#REF!,1,FALSE),"")</f>
        <v/>
      </c>
      <c r="D1234" s="16" t="str">
        <f>IFERROR(VLOOKUP(C1234,DATA!#REF!,2,FALSE),"")</f>
        <v/>
      </c>
      <c r="I1234" s="17"/>
      <c r="J1234" s="17"/>
      <c r="P1234" s="17"/>
      <c r="Q1234" s="17"/>
    </row>
    <row r="1235" spans="2:17">
      <c r="B1235" s="15" t="str">
        <f t="shared" si="60"/>
        <v/>
      </c>
      <c r="C1235" s="16" t="str">
        <f>IFERROR(VLOOKUP(DATA!#REF!,DATA!#REF!,1,FALSE),"")</f>
        <v/>
      </c>
      <c r="D1235" s="16" t="str">
        <f>IFERROR(VLOOKUP(C1235,DATA!#REF!,2,FALSE),"")</f>
        <v/>
      </c>
      <c r="I1235" s="17"/>
      <c r="J1235" s="17"/>
      <c r="P1235" s="17"/>
      <c r="Q1235" s="17"/>
    </row>
    <row r="1236" spans="2:17">
      <c r="B1236" s="15" t="str">
        <f t="shared" si="60"/>
        <v/>
      </c>
      <c r="C1236" s="16" t="str">
        <f>IFERROR(VLOOKUP(DATA!#REF!,DATA!#REF!,1,FALSE),"")</f>
        <v/>
      </c>
      <c r="D1236" s="16" t="str">
        <f>IFERROR(VLOOKUP(C1236,DATA!#REF!,2,FALSE),"")</f>
        <v/>
      </c>
      <c r="I1236" s="17"/>
      <c r="J1236" s="17"/>
      <c r="P1236" s="17"/>
      <c r="Q1236" s="17"/>
    </row>
    <row r="1237" spans="2:17">
      <c r="B1237" s="15" t="str">
        <f t="shared" si="60"/>
        <v/>
      </c>
      <c r="C1237" s="16" t="str">
        <f>IFERROR(VLOOKUP(DATA!#REF!,DATA!#REF!,1,FALSE),"")</f>
        <v/>
      </c>
      <c r="D1237" s="16" t="str">
        <f>IFERROR(VLOOKUP(C1237,DATA!#REF!,2,FALSE),"")</f>
        <v/>
      </c>
      <c r="I1237" s="17"/>
      <c r="J1237" s="17"/>
      <c r="P1237" s="17"/>
      <c r="Q1237" s="17"/>
    </row>
    <row r="1238" spans="2:17">
      <c r="B1238" s="15" t="str">
        <f t="shared" si="60"/>
        <v/>
      </c>
      <c r="C1238" s="16" t="str">
        <f>IFERROR(VLOOKUP(DATA!#REF!,DATA!#REF!,1,FALSE),"")</f>
        <v/>
      </c>
      <c r="D1238" s="16" t="str">
        <f>IFERROR(VLOOKUP(C1238,DATA!#REF!,2,FALSE),"")</f>
        <v/>
      </c>
      <c r="I1238" s="17"/>
      <c r="J1238" s="17"/>
      <c r="P1238" s="17"/>
      <c r="Q1238" s="17"/>
    </row>
    <row r="1239" spans="2:17">
      <c r="B1239" s="15" t="str">
        <f t="shared" si="60"/>
        <v/>
      </c>
      <c r="C1239" s="16" t="str">
        <f>IFERROR(VLOOKUP(DATA!#REF!,DATA!#REF!,1,FALSE),"")</f>
        <v/>
      </c>
      <c r="D1239" s="16" t="str">
        <f>IFERROR(VLOOKUP(C1239,DATA!#REF!,2,FALSE),"")</f>
        <v/>
      </c>
      <c r="I1239" s="17"/>
      <c r="J1239" s="17"/>
      <c r="P1239" s="17"/>
      <c r="Q1239" s="17"/>
    </row>
    <row r="1240" spans="2:17">
      <c r="B1240" s="15" t="str">
        <f t="shared" si="60"/>
        <v/>
      </c>
      <c r="C1240" s="16" t="str">
        <f>IFERROR(VLOOKUP(DATA!#REF!,DATA!#REF!,1,FALSE),"")</f>
        <v/>
      </c>
      <c r="D1240" s="16" t="str">
        <f>IFERROR(VLOOKUP(C1240,DATA!#REF!,2,FALSE),"")</f>
        <v/>
      </c>
      <c r="I1240" s="17"/>
      <c r="J1240" s="17"/>
      <c r="P1240" s="17"/>
      <c r="Q1240" s="17"/>
    </row>
    <row r="1241" spans="2:17">
      <c r="B1241" s="15" t="str">
        <f t="shared" si="60"/>
        <v/>
      </c>
      <c r="C1241" s="16" t="str">
        <f>IFERROR(VLOOKUP(DATA!#REF!,DATA!#REF!,1,FALSE),"")</f>
        <v/>
      </c>
      <c r="D1241" s="16" t="str">
        <f>IFERROR(VLOOKUP(C1241,DATA!#REF!,2,FALSE),"")</f>
        <v/>
      </c>
      <c r="I1241" s="17"/>
      <c r="J1241" s="17"/>
      <c r="P1241" s="17"/>
      <c r="Q1241" s="17"/>
    </row>
    <row r="1242" spans="2:17">
      <c r="B1242" s="15" t="str">
        <f t="shared" si="60"/>
        <v/>
      </c>
      <c r="C1242" s="16" t="str">
        <f>IFERROR(VLOOKUP(DATA!#REF!,DATA!#REF!,1,FALSE),"")</f>
        <v/>
      </c>
      <c r="D1242" s="16" t="str">
        <f>IFERROR(VLOOKUP(C1242,DATA!#REF!,2,FALSE),"")</f>
        <v/>
      </c>
      <c r="I1242" s="17"/>
      <c r="J1242" s="17"/>
      <c r="P1242" s="17"/>
      <c r="Q1242" s="17"/>
    </row>
    <row r="1243" spans="2:17">
      <c r="B1243" s="15" t="str">
        <f t="shared" si="60"/>
        <v/>
      </c>
      <c r="C1243" s="16" t="str">
        <f>IFERROR(VLOOKUP(DATA!#REF!,DATA!#REF!,1,FALSE),"")</f>
        <v/>
      </c>
      <c r="D1243" s="16" t="str">
        <f>IFERROR(VLOOKUP(C1243,DATA!#REF!,2,FALSE),"")</f>
        <v/>
      </c>
      <c r="I1243" s="17"/>
      <c r="J1243" s="17"/>
      <c r="P1243" s="17"/>
      <c r="Q1243" s="17"/>
    </row>
    <row r="1244" spans="2:17">
      <c r="B1244" s="15" t="str">
        <f t="shared" si="60"/>
        <v/>
      </c>
      <c r="C1244" s="16" t="str">
        <f>IFERROR(VLOOKUP(DATA!#REF!,DATA!#REF!,1,FALSE),"")</f>
        <v/>
      </c>
      <c r="D1244" s="16" t="str">
        <f>IFERROR(VLOOKUP(C1244,DATA!#REF!,2,FALSE),"")</f>
        <v/>
      </c>
      <c r="I1244" s="17"/>
      <c r="J1244" s="17"/>
      <c r="P1244" s="17"/>
      <c r="Q1244" s="17"/>
    </row>
    <row r="1245" spans="2:17">
      <c r="B1245" s="15" t="str">
        <f t="shared" si="60"/>
        <v/>
      </c>
      <c r="C1245" s="16" t="str">
        <f>IFERROR(VLOOKUP(DATA!#REF!,DATA!#REF!,1,FALSE),"")</f>
        <v/>
      </c>
      <c r="D1245" s="16" t="str">
        <f>IFERROR(VLOOKUP(C1245,DATA!#REF!,2,FALSE),"")</f>
        <v/>
      </c>
      <c r="I1245" s="17"/>
      <c r="J1245" s="17"/>
      <c r="P1245" s="17"/>
      <c r="Q1245" s="17"/>
    </row>
    <row r="1246" spans="2:17">
      <c r="B1246" s="15" t="str">
        <f t="shared" si="60"/>
        <v/>
      </c>
      <c r="C1246" s="16" t="str">
        <f>IFERROR(VLOOKUP(DATA!#REF!,DATA!#REF!,1,FALSE),"")</f>
        <v/>
      </c>
      <c r="D1246" s="16" t="str">
        <f>IFERROR(VLOOKUP(C1246,DATA!#REF!,2,FALSE),"")</f>
        <v/>
      </c>
      <c r="I1246" s="17"/>
      <c r="J1246" s="17"/>
      <c r="P1246" s="17"/>
      <c r="Q1246" s="17"/>
    </row>
    <row r="1247" spans="2:17">
      <c r="B1247" s="15" t="str">
        <f t="shared" si="60"/>
        <v/>
      </c>
      <c r="C1247" s="16" t="str">
        <f>IFERROR(VLOOKUP(DATA!#REF!,DATA!#REF!,1,FALSE),"")</f>
        <v/>
      </c>
      <c r="D1247" s="16" t="str">
        <f>IFERROR(VLOOKUP(C1247,DATA!#REF!,2,FALSE),"")</f>
        <v/>
      </c>
      <c r="I1247" s="17"/>
      <c r="J1247" s="17"/>
      <c r="P1247" s="17"/>
      <c r="Q1247" s="17"/>
    </row>
    <row r="1248" spans="2:17">
      <c r="B1248" s="15" t="str">
        <f t="shared" si="60"/>
        <v/>
      </c>
      <c r="C1248" s="16" t="str">
        <f>IFERROR(VLOOKUP(DATA!#REF!,DATA!#REF!,1,FALSE),"")</f>
        <v/>
      </c>
      <c r="D1248" s="16" t="str">
        <f>IFERROR(VLOOKUP(C1248,DATA!#REF!,2,FALSE),"")</f>
        <v/>
      </c>
      <c r="I1248" s="17"/>
      <c r="J1248" s="17"/>
      <c r="P1248" s="17"/>
      <c r="Q1248" s="17"/>
    </row>
    <row r="1249" spans="2:17">
      <c r="B1249" s="15" t="str">
        <f t="shared" si="60"/>
        <v/>
      </c>
      <c r="C1249" s="16" t="str">
        <f>IFERROR(VLOOKUP(DATA!#REF!,DATA!#REF!,1,FALSE),"")</f>
        <v/>
      </c>
      <c r="D1249" s="16" t="str">
        <f>IFERROR(VLOOKUP(C1249,DATA!#REF!,2,FALSE),"")</f>
        <v/>
      </c>
      <c r="I1249" s="17"/>
      <c r="J1249" s="17"/>
      <c r="P1249" s="17"/>
      <c r="Q1249" s="17"/>
    </row>
    <row r="1250" spans="2:17">
      <c r="B1250" s="15" t="str">
        <f t="shared" si="60"/>
        <v/>
      </c>
      <c r="C1250" s="16" t="str">
        <f>IFERROR(VLOOKUP(DATA!#REF!,DATA!#REF!,1,FALSE),"")</f>
        <v/>
      </c>
      <c r="D1250" s="16" t="str">
        <f>IFERROR(VLOOKUP(C1250,DATA!#REF!,2,FALSE),"")</f>
        <v/>
      </c>
      <c r="I1250" s="17"/>
      <c r="J1250" s="17"/>
      <c r="P1250" s="17"/>
      <c r="Q1250" s="17"/>
    </row>
    <row r="1251" spans="2:17">
      <c r="B1251" s="15" t="str">
        <f t="shared" si="60"/>
        <v/>
      </c>
      <c r="C1251" s="16" t="str">
        <f>IFERROR(VLOOKUP(DATA!#REF!,DATA!#REF!,1,FALSE),"")</f>
        <v/>
      </c>
      <c r="D1251" s="16" t="str">
        <f>IFERROR(VLOOKUP(C1251,DATA!#REF!,2,FALSE),"")</f>
        <v/>
      </c>
      <c r="I1251" s="17"/>
      <c r="J1251" s="17"/>
      <c r="P1251" s="17"/>
      <c r="Q1251" s="17"/>
    </row>
    <row r="1252" spans="2:17">
      <c r="B1252" s="15" t="str">
        <f t="shared" si="60"/>
        <v/>
      </c>
      <c r="C1252" s="16" t="str">
        <f>IFERROR(VLOOKUP(DATA!#REF!,DATA!#REF!,1,FALSE),"")</f>
        <v/>
      </c>
      <c r="D1252" s="16" t="str">
        <f>IFERROR(VLOOKUP(C1252,DATA!#REF!,2,FALSE),"")</f>
        <v/>
      </c>
      <c r="I1252" s="17"/>
      <c r="J1252" s="17"/>
      <c r="P1252" s="17"/>
      <c r="Q1252" s="17"/>
    </row>
    <row r="1253" spans="2:17">
      <c r="B1253" s="15" t="str">
        <f t="shared" si="60"/>
        <v/>
      </c>
      <c r="C1253" s="16" t="str">
        <f>IFERROR(VLOOKUP(DATA!#REF!,DATA!#REF!,1,FALSE),"")</f>
        <v/>
      </c>
      <c r="D1253" s="16" t="str">
        <f>IFERROR(VLOOKUP(C1253,DATA!#REF!,2,FALSE),"")</f>
        <v/>
      </c>
      <c r="I1253" s="17"/>
      <c r="J1253" s="17"/>
      <c r="P1253" s="17"/>
      <c r="Q1253" s="17"/>
    </row>
    <row r="1254" spans="2:17">
      <c r="B1254" s="15" t="str">
        <f t="shared" si="60"/>
        <v/>
      </c>
      <c r="C1254" s="16" t="str">
        <f>IFERROR(VLOOKUP(DATA!#REF!,DATA!#REF!,1,FALSE),"")</f>
        <v/>
      </c>
      <c r="D1254" s="16" t="str">
        <f>IFERROR(VLOOKUP(C1254,DATA!#REF!,2,FALSE),"")</f>
        <v/>
      </c>
      <c r="I1254" s="17"/>
      <c r="J1254" s="17"/>
      <c r="P1254" s="17"/>
      <c r="Q1254" s="17"/>
    </row>
    <row r="1255" spans="2:17">
      <c r="B1255" s="15" t="str">
        <f t="shared" si="60"/>
        <v/>
      </c>
      <c r="C1255" s="16" t="str">
        <f>IFERROR(VLOOKUP(DATA!#REF!,DATA!#REF!,1,FALSE),"")</f>
        <v/>
      </c>
      <c r="D1255" s="16" t="str">
        <f>IFERROR(VLOOKUP(C1255,DATA!#REF!,2,FALSE),"")</f>
        <v/>
      </c>
      <c r="I1255" s="17"/>
      <c r="J1255" s="17"/>
      <c r="P1255" s="17"/>
      <c r="Q1255" s="17"/>
    </row>
    <row r="1256" spans="2:17">
      <c r="B1256" s="15" t="str">
        <f t="shared" si="60"/>
        <v/>
      </c>
      <c r="C1256" s="16" t="str">
        <f>IFERROR(VLOOKUP(DATA!#REF!,DATA!#REF!,1,FALSE),"")</f>
        <v/>
      </c>
      <c r="D1256" s="16" t="str">
        <f>IFERROR(VLOOKUP(C1256,DATA!#REF!,2,FALSE),"")</f>
        <v/>
      </c>
      <c r="I1256" s="17"/>
      <c r="J1256" s="17"/>
      <c r="P1256" s="17"/>
      <c r="Q1256" s="17"/>
    </row>
    <row r="1257" spans="2:17">
      <c r="B1257" s="15" t="str">
        <f t="shared" si="60"/>
        <v/>
      </c>
      <c r="C1257" s="16" t="str">
        <f>IFERROR(VLOOKUP(DATA!#REF!,DATA!#REF!,1,FALSE),"")</f>
        <v/>
      </c>
      <c r="D1257" s="16" t="str">
        <f>IFERROR(VLOOKUP(C1257,DATA!#REF!,2,FALSE),"")</f>
        <v/>
      </c>
      <c r="I1257" s="17"/>
      <c r="J1257" s="17"/>
      <c r="P1257" s="17"/>
      <c r="Q1257" s="17"/>
    </row>
    <row r="1258" spans="2:17">
      <c r="B1258" s="15" t="str">
        <f t="shared" si="60"/>
        <v/>
      </c>
      <c r="C1258" s="16" t="str">
        <f>IFERROR(VLOOKUP(DATA!#REF!,DATA!#REF!,1,FALSE),"")</f>
        <v/>
      </c>
      <c r="D1258" s="16" t="str">
        <f>IFERROR(VLOOKUP(C1258,DATA!#REF!,2,FALSE),"")</f>
        <v/>
      </c>
      <c r="I1258" s="17"/>
      <c r="J1258" s="17"/>
      <c r="P1258" s="17"/>
      <c r="Q1258" s="17"/>
    </row>
    <row r="1259" spans="2:17">
      <c r="B1259" s="15" t="str">
        <f t="shared" si="60"/>
        <v/>
      </c>
      <c r="C1259" s="16" t="str">
        <f>IFERROR(VLOOKUP(DATA!#REF!,DATA!#REF!,1,FALSE),"")</f>
        <v/>
      </c>
      <c r="D1259" s="16" t="str">
        <f>IFERROR(VLOOKUP(C1259,DATA!#REF!,2,FALSE),"")</f>
        <v/>
      </c>
      <c r="I1259" s="17"/>
      <c r="J1259" s="17"/>
      <c r="P1259" s="17"/>
      <c r="Q1259" s="17"/>
    </row>
    <row r="1260" spans="2:17">
      <c r="B1260" s="15" t="str">
        <f t="shared" si="60"/>
        <v/>
      </c>
      <c r="C1260" s="16" t="str">
        <f>IFERROR(VLOOKUP(DATA!#REF!,DATA!#REF!,1,FALSE),"")</f>
        <v/>
      </c>
      <c r="D1260" s="16" t="str">
        <f>IFERROR(VLOOKUP(C1260,DATA!#REF!,2,FALSE),"")</f>
        <v/>
      </c>
      <c r="I1260" s="17"/>
      <c r="J1260" s="17"/>
      <c r="P1260" s="17"/>
      <c r="Q1260" s="17"/>
    </row>
    <row r="1261" spans="2:17">
      <c r="B1261" s="15" t="str">
        <f t="shared" si="60"/>
        <v/>
      </c>
      <c r="C1261" s="16" t="str">
        <f>IFERROR(VLOOKUP(DATA!#REF!,DATA!#REF!,1,FALSE),"")</f>
        <v/>
      </c>
      <c r="D1261" s="16" t="str">
        <f>IFERROR(VLOOKUP(C1261,DATA!#REF!,2,FALSE),"")</f>
        <v/>
      </c>
      <c r="I1261" s="17"/>
      <c r="J1261" s="17"/>
      <c r="P1261" s="17"/>
      <c r="Q1261" s="17"/>
    </row>
    <row r="1262" spans="2:17">
      <c r="B1262" s="15" t="str">
        <f t="shared" si="60"/>
        <v/>
      </c>
      <c r="C1262" s="16" t="str">
        <f>IFERROR(VLOOKUP(DATA!#REF!,DATA!#REF!,1,FALSE),"")</f>
        <v/>
      </c>
      <c r="D1262" s="16" t="str">
        <f>IFERROR(VLOOKUP(C1262,DATA!#REF!,2,FALSE),"")</f>
        <v/>
      </c>
      <c r="I1262" s="17"/>
      <c r="J1262" s="17"/>
      <c r="P1262" s="17"/>
      <c r="Q1262" s="17"/>
    </row>
    <row r="1263" spans="2:17">
      <c r="B1263" s="15" t="str">
        <f t="shared" si="60"/>
        <v/>
      </c>
      <c r="C1263" s="16" t="str">
        <f>IFERROR(VLOOKUP(DATA!#REF!,DATA!#REF!,1,FALSE),"")</f>
        <v/>
      </c>
      <c r="D1263" s="16" t="str">
        <f>IFERROR(VLOOKUP(C1263,DATA!#REF!,2,FALSE),"")</f>
        <v/>
      </c>
      <c r="I1263" s="17"/>
      <c r="J1263" s="17"/>
      <c r="P1263" s="17"/>
      <c r="Q1263" s="17"/>
    </row>
    <row r="1264" spans="2:17">
      <c r="B1264" s="15" t="str">
        <f t="shared" si="60"/>
        <v/>
      </c>
      <c r="C1264" s="16" t="str">
        <f>IFERROR(VLOOKUP(DATA!#REF!,DATA!#REF!,1,FALSE),"")</f>
        <v/>
      </c>
      <c r="D1264" s="16" t="str">
        <f>IFERROR(VLOOKUP(C1264,DATA!#REF!,2,FALSE),"")</f>
        <v/>
      </c>
      <c r="I1264" s="17"/>
      <c r="J1264" s="17"/>
      <c r="P1264" s="17"/>
      <c r="Q1264" s="17"/>
    </row>
    <row r="1265" spans="2:17">
      <c r="B1265" s="15" t="str">
        <f t="shared" si="60"/>
        <v/>
      </c>
      <c r="C1265" s="16" t="str">
        <f>IFERROR(VLOOKUP(DATA!#REF!,DATA!#REF!,1,FALSE),"")</f>
        <v/>
      </c>
      <c r="D1265" s="16" t="str">
        <f>IFERROR(VLOOKUP(C1265,DATA!#REF!,2,FALSE),"")</f>
        <v/>
      </c>
      <c r="I1265" s="17"/>
      <c r="J1265" s="17"/>
      <c r="P1265" s="17"/>
      <c r="Q1265" s="17"/>
    </row>
    <row r="1266" spans="2:17">
      <c r="B1266" s="15" t="str">
        <f t="shared" si="60"/>
        <v/>
      </c>
      <c r="C1266" s="16" t="str">
        <f>IFERROR(VLOOKUP(DATA!#REF!,DATA!#REF!,1,FALSE),"")</f>
        <v/>
      </c>
      <c r="D1266" s="16" t="str">
        <f>IFERROR(VLOOKUP(C1266,DATA!#REF!,2,FALSE),"")</f>
        <v/>
      </c>
      <c r="I1266" s="17"/>
      <c r="J1266" s="17"/>
      <c r="P1266" s="17"/>
      <c r="Q1266" s="17"/>
    </row>
    <row r="1267" spans="2:17">
      <c r="B1267" s="15" t="str">
        <f t="shared" si="60"/>
        <v/>
      </c>
      <c r="C1267" s="16" t="str">
        <f>IFERROR(VLOOKUP(DATA!#REF!,DATA!#REF!,1,FALSE),"")</f>
        <v/>
      </c>
      <c r="D1267" s="16" t="str">
        <f>IFERROR(VLOOKUP(C1267,DATA!#REF!,2,FALSE),"")</f>
        <v/>
      </c>
      <c r="I1267" s="17"/>
      <c r="J1267" s="17"/>
      <c r="P1267" s="17"/>
      <c r="Q1267" s="17"/>
    </row>
    <row r="1268" spans="2:17">
      <c r="B1268" s="15" t="str">
        <f t="shared" si="60"/>
        <v/>
      </c>
      <c r="C1268" s="16" t="str">
        <f>IFERROR(VLOOKUP(DATA!#REF!,DATA!#REF!,1,FALSE),"")</f>
        <v/>
      </c>
      <c r="D1268" s="16" t="str">
        <f>IFERROR(VLOOKUP(C1268,DATA!#REF!,2,FALSE),"")</f>
        <v/>
      </c>
      <c r="I1268" s="17"/>
      <c r="J1268" s="17"/>
      <c r="P1268" s="17"/>
      <c r="Q1268" s="17"/>
    </row>
    <row r="1269" spans="2:17">
      <c r="B1269" s="15" t="str">
        <f t="shared" si="60"/>
        <v/>
      </c>
      <c r="C1269" s="16" t="str">
        <f>IFERROR(VLOOKUP(DATA!#REF!,DATA!#REF!,1,FALSE),"")</f>
        <v/>
      </c>
      <c r="D1269" s="16" t="str">
        <f>IFERROR(VLOOKUP(C1269,DATA!#REF!,2,FALSE),"")</f>
        <v/>
      </c>
      <c r="I1269" s="17"/>
      <c r="J1269" s="17"/>
      <c r="P1269" s="17"/>
      <c r="Q1269" s="17"/>
    </row>
    <row r="1270" spans="2:17">
      <c r="B1270" s="15" t="str">
        <f t="shared" si="60"/>
        <v/>
      </c>
      <c r="C1270" s="16" t="str">
        <f>IFERROR(VLOOKUP(DATA!#REF!,DATA!#REF!,1,FALSE),"")</f>
        <v/>
      </c>
      <c r="D1270" s="16" t="str">
        <f>IFERROR(VLOOKUP(C1270,DATA!#REF!,2,FALSE),"")</f>
        <v/>
      </c>
      <c r="I1270" s="17"/>
      <c r="J1270" s="17"/>
      <c r="P1270" s="17"/>
      <c r="Q1270" s="17"/>
    </row>
    <row r="1271" spans="2:17">
      <c r="B1271" s="15" t="str">
        <f t="shared" ref="B1271:B1334" si="61">+IF(C1271="","",ROW()-5)</f>
        <v/>
      </c>
      <c r="C1271" s="16" t="str">
        <f>IFERROR(VLOOKUP(DATA!#REF!,DATA!#REF!,1,FALSE),"")</f>
        <v/>
      </c>
      <c r="D1271" s="16" t="str">
        <f>IFERROR(VLOOKUP(C1271,DATA!#REF!,2,FALSE),"")</f>
        <v/>
      </c>
      <c r="I1271" s="17"/>
      <c r="J1271" s="17"/>
      <c r="P1271" s="17"/>
      <c r="Q1271" s="17"/>
    </row>
    <row r="1272" spans="2:17">
      <c r="B1272" s="15" t="str">
        <f t="shared" si="61"/>
        <v/>
      </c>
      <c r="C1272" s="16" t="str">
        <f>IFERROR(VLOOKUP(DATA!#REF!,DATA!#REF!,1,FALSE),"")</f>
        <v/>
      </c>
      <c r="D1272" s="16" t="str">
        <f>IFERROR(VLOOKUP(C1272,DATA!#REF!,2,FALSE),"")</f>
        <v/>
      </c>
      <c r="I1272" s="17"/>
      <c r="J1272" s="17"/>
      <c r="P1272" s="17"/>
      <c r="Q1272" s="17"/>
    </row>
    <row r="1273" spans="2:17">
      <c r="B1273" s="15" t="str">
        <f t="shared" si="61"/>
        <v/>
      </c>
      <c r="C1273" s="16" t="str">
        <f>IFERROR(VLOOKUP(DATA!#REF!,DATA!#REF!,1,FALSE),"")</f>
        <v/>
      </c>
      <c r="D1273" s="16" t="str">
        <f>IFERROR(VLOOKUP(C1273,DATA!#REF!,2,FALSE),"")</f>
        <v/>
      </c>
      <c r="I1273" s="17"/>
      <c r="J1273" s="17"/>
      <c r="P1273" s="17"/>
      <c r="Q1273" s="17"/>
    </row>
    <row r="1274" spans="2:17">
      <c r="B1274" s="15" t="str">
        <f t="shared" si="61"/>
        <v/>
      </c>
      <c r="C1274" s="16" t="str">
        <f>IFERROR(VLOOKUP(DATA!#REF!,DATA!#REF!,1,FALSE),"")</f>
        <v/>
      </c>
      <c r="D1274" s="16" t="str">
        <f>IFERROR(VLOOKUP(C1274,DATA!#REF!,2,FALSE),"")</f>
        <v/>
      </c>
      <c r="I1274" s="17"/>
      <c r="J1274" s="17"/>
      <c r="P1274" s="17"/>
      <c r="Q1274" s="17"/>
    </row>
    <row r="1275" spans="2:17">
      <c r="B1275" s="15" t="str">
        <f t="shared" si="61"/>
        <v/>
      </c>
      <c r="C1275" s="16" t="str">
        <f>IFERROR(VLOOKUP(DATA!#REF!,DATA!#REF!,1,FALSE),"")</f>
        <v/>
      </c>
      <c r="D1275" s="16" t="str">
        <f>IFERROR(VLOOKUP(C1275,DATA!#REF!,2,FALSE),"")</f>
        <v/>
      </c>
      <c r="I1275" s="17"/>
      <c r="J1275" s="17"/>
      <c r="P1275" s="17"/>
      <c r="Q1275" s="17"/>
    </row>
    <row r="1276" spans="2:17">
      <c r="B1276" s="15" t="str">
        <f t="shared" si="61"/>
        <v/>
      </c>
      <c r="C1276" s="16" t="str">
        <f>IFERROR(VLOOKUP(DATA!#REF!,DATA!#REF!,1,FALSE),"")</f>
        <v/>
      </c>
      <c r="D1276" s="16" t="str">
        <f>IFERROR(VLOOKUP(C1276,DATA!#REF!,2,FALSE),"")</f>
        <v/>
      </c>
      <c r="I1276" s="17"/>
      <c r="J1276" s="17"/>
      <c r="P1276" s="17"/>
      <c r="Q1276" s="17"/>
    </row>
    <row r="1277" spans="2:17">
      <c r="B1277" s="15" t="str">
        <f t="shared" si="61"/>
        <v/>
      </c>
      <c r="C1277" s="16" t="str">
        <f>IFERROR(VLOOKUP(DATA!#REF!,DATA!#REF!,1,FALSE),"")</f>
        <v/>
      </c>
      <c r="D1277" s="16" t="str">
        <f>IFERROR(VLOOKUP(C1277,DATA!#REF!,2,FALSE),"")</f>
        <v/>
      </c>
      <c r="I1277" s="17"/>
      <c r="J1277" s="17"/>
      <c r="P1277" s="17"/>
      <c r="Q1277" s="17"/>
    </row>
    <row r="1278" spans="2:17">
      <c r="B1278" s="15" t="str">
        <f t="shared" si="61"/>
        <v/>
      </c>
      <c r="C1278" s="16" t="str">
        <f>IFERROR(VLOOKUP(DATA!#REF!,DATA!#REF!,1,FALSE),"")</f>
        <v/>
      </c>
      <c r="D1278" s="16" t="str">
        <f>IFERROR(VLOOKUP(C1278,DATA!#REF!,2,FALSE),"")</f>
        <v/>
      </c>
      <c r="I1278" s="17"/>
      <c r="J1278" s="17"/>
      <c r="P1278" s="17"/>
      <c r="Q1278" s="17"/>
    </row>
    <row r="1279" spans="2:17">
      <c r="B1279" s="15" t="str">
        <f t="shared" si="61"/>
        <v/>
      </c>
      <c r="C1279" s="16" t="str">
        <f>IFERROR(VLOOKUP(DATA!#REF!,DATA!#REF!,1,FALSE),"")</f>
        <v/>
      </c>
      <c r="D1279" s="16" t="str">
        <f>IFERROR(VLOOKUP(C1279,DATA!#REF!,2,FALSE),"")</f>
        <v/>
      </c>
      <c r="I1279" s="17"/>
      <c r="J1279" s="17"/>
      <c r="P1279" s="17"/>
      <c r="Q1279" s="17"/>
    </row>
    <row r="1280" spans="2:17">
      <c r="B1280" s="15" t="str">
        <f t="shared" si="61"/>
        <v/>
      </c>
      <c r="C1280" s="16" t="str">
        <f>IFERROR(VLOOKUP(DATA!#REF!,DATA!#REF!,1,FALSE),"")</f>
        <v/>
      </c>
      <c r="D1280" s="16" t="str">
        <f>IFERROR(VLOOKUP(C1280,DATA!#REF!,2,FALSE),"")</f>
        <v/>
      </c>
      <c r="I1280" s="17"/>
      <c r="J1280" s="17"/>
      <c r="P1280" s="17"/>
      <c r="Q1280" s="17"/>
    </row>
    <row r="1281" spans="2:17">
      <c r="B1281" s="15" t="str">
        <f t="shared" si="61"/>
        <v/>
      </c>
      <c r="C1281" s="16" t="str">
        <f>IFERROR(VLOOKUP(DATA!#REF!,DATA!#REF!,1,FALSE),"")</f>
        <v/>
      </c>
      <c r="D1281" s="16" t="str">
        <f>IFERROR(VLOOKUP(C1281,DATA!#REF!,2,FALSE),"")</f>
        <v/>
      </c>
      <c r="I1281" s="17"/>
      <c r="J1281" s="17"/>
      <c r="P1281" s="17"/>
      <c r="Q1281" s="17"/>
    </row>
    <row r="1282" spans="2:17">
      <c r="B1282" s="15" t="str">
        <f t="shared" si="61"/>
        <v/>
      </c>
      <c r="C1282" s="16" t="str">
        <f>IFERROR(VLOOKUP(DATA!#REF!,DATA!#REF!,1,FALSE),"")</f>
        <v/>
      </c>
      <c r="D1282" s="16" t="str">
        <f>IFERROR(VLOOKUP(C1282,DATA!#REF!,2,FALSE),"")</f>
        <v/>
      </c>
      <c r="I1282" s="17"/>
      <c r="J1282" s="17"/>
      <c r="P1282" s="17"/>
      <c r="Q1282" s="17"/>
    </row>
    <row r="1283" spans="2:17">
      <c r="B1283" s="15" t="str">
        <f t="shared" si="61"/>
        <v/>
      </c>
      <c r="C1283" s="16" t="str">
        <f>IFERROR(VLOOKUP(DATA!#REF!,DATA!#REF!,1,FALSE),"")</f>
        <v/>
      </c>
      <c r="D1283" s="16" t="str">
        <f>IFERROR(VLOOKUP(C1283,DATA!#REF!,2,FALSE),"")</f>
        <v/>
      </c>
      <c r="I1283" s="17"/>
      <c r="J1283" s="17"/>
      <c r="P1283" s="17"/>
      <c r="Q1283" s="17"/>
    </row>
    <row r="1284" spans="2:17">
      <c r="B1284" s="15" t="str">
        <f t="shared" si="61"/>
        <v/>
      </c>
      <c r="C1284" s="16" t="str">
        <f>IFERROR(VLOOKUP(DATA!#REF!,DATA!#REF!,1,FALSE),"")</f>
        <v/>
      </c>
      <c r="D1284" s="16" t="str">
        <f>IFERROR(VLOOKUP(C1284,DATA!#REF!,2,FALSE),"")</f>
        <v/>
      </c>
      <c r="I1284" s="17"/>
      <c r="J1284" s="17"/>
      <c r="P1284" s="17"/>
      <c r="Q1284" s="17"/>
    </row>
    <row r="1285" spans="2:17">
      <c r="B1285" s="15" t="str">
        <f t="shared" si="61"/>
        <v/>
      </c>
      <c r="C1285" s="16" t="str">
        <f>IFERROR(VLOOKUP(DATA!#REF!,DATA!#REF!,1,FALSE),"")</f>
        <v/>
      </c>
      <c r="D1285" s="16" t="str">
        <f>IFERROR(VLOOKUP(C1285,DATA!#REF!,2,FALSE),"")</f>
        <v/>
      </c>
      <c r="I1285" s="17"/>
      <c r="J1285" s="17"/>
      <c r="P1285" s="17"/>
      <c r="Q1285" s="17"/>
    </row>
    <row r="1286" spans="2:17">
      <c r="B1286" s="15" t="str">
        <f t="shared" si="61"/>
        <v/>
      </c>
      <c r="C1286" s="16" t="str">
        <f>IFERROR(VLOOKUP(DATA!#REF!,DATA!#REF!,1,FALSE),"")</f>
        <v/>
      </c>
      <c r="D1286" s="16" t="str">
        <f>IFERROR(VLOOKUP(C1286,DATA!#REF!,2,FALSE),"")</f>
        <v/>
      </c>
      <c r="I1286" s="17"/>
      <c r="J1286" s="17"/>
      <c r="P1286" s="17"/>
      <c r="Q1286" s="17"/>
    </row>
    <row r="1287" spans="2:17">
      <c r="B1287" s="15" t="str">
        <f t="shared" si="61"/>
        <v/>
      </c>
      <c r="C1287" s="16" t="str">
        <f>IFERROR(VLOOKUP(DATA!#REF!,DATA!#REF!,1,FALSE),"")</f>
        <v/>
      </c>
      <c r="D1287" s="16" t="str">
        <f>IFERROR(VLOOKUP(C1287,DATA!#REF!,2,FALSE),"")</f>
        <v/>
      </c>
      <c r="I1287" s="17"/>
      <c r="J1287" s="17"/>
      <c r="P1287" s="17"/>
      <c r="Q1287" s="17"/>
    </row>
    <row r="1288" spans="2:17">
      <c r="B1288" s="15" t="str">
        <f t="shared" si="61"/>
        <v/>
      </c>
      <c r="C1288" s="16" t="str">
        <f>IFERROR(VLOOKUP(DATA!#REF!,DATA!#REF!,1,FALSE),"")</f>
        <v/>
      </c>
      <c r="D1288" s="16" t="str">
        <f>IFERROR(VLOOKUP(C1288,DATA!#REF!,2,FALSE),"")</f>
        <v/>
      </c>
      <c r="I1288" s="17"/>
      <c r="J1288" s="17"/>
      <c r="P1288" s="17"/>
      <c r="Q1288" s="17"/>
    </row>
    <row r="1289" spans="2:17">
      <c r="B1289" s="15" t="str">
        <f t="shared" si="61"/>
        <v/>
      </c>
      <c r="C1289" s="16" t="str">
        <f>IFERROR(VLOOKUP(DATA!#REF!,DATA!#REF!,1,FALSE),"")</f>
        <v/>
      </c>
      <c r="D1289" s="16" t="str">
        <f>IFERROR(VLOOKUP(C1289,DATA!#REF!,2,FALSE),"")</f>
        <v/>
      </c>
      <c r="I1289" s="17"/>
      <c r="J1289" s="17"/>
      <c r="P1289" s="17"/>
      <c r="Q1289" s="17"/>
    </row>
    <row r="1290" spans="2:17">
      <c r="B1290" s="15" t="str">
        <f t="shared" si="61"/>
        <v/>
      </c>
      <c r="C1290" s="16" t="str">
        <f>IFERROR(VLOOKUP(DATA!#REF!,DATA!#REF!,1,FALSE),"")</f>
        <v/>
      </c>
      <c r="D1290" s="16" t="str">
        <f>IFERROR(VLOOKUP(C1290,DATA!#REF!,2,FALSE),"")</f>
        <v/>
      </c>
      <c r="I1290" s="17"/>
      <c r="J1290" s="17"/>
      <c r="P1290" s="17"/>
      <c r="Q1290" s="17"/>
    </row>
    <row r="1291" spans="2:17">
      <c r="B1291" s="15" t="str">
        <f t="shared" si="61"/>
        <v/>
      </c>
      <c r="C1291" s="16" t="str">
        <f>IFERROR(VLOOKUP(DATA!#REF!,DATA!#REF!,1,FALSE),"")</f>
        <v/>
      </c>
      <c r="D1291" s="16" t="str">
        <f>IFERROR(VLOOKUP(C1291,DATA!#REF!,2,FALSE),"")</f>
        <v/>
      </c>
      <c r="I1291" s="17"/>
      <c r="J1291" s="17"/>
      <c r="P1291" s="17"/>
      <c r="Q1291" s="17"/>
    </row>
    <row r="1292" spans="2:17">
      <c r="B1292" s="15" t="str">
        <f t="shared" si="61"/>
        <v/>
      </c>
      <c r="C1292" s="16" t="str">
        <f>IFERROR(VLOOKUP(DATA!#REF!,DATA!#REF!,1,FALSE),"")</f>
        <v/>
      </c>
      <c r="D1292" s="16" t="str">
        <f>IFERROR(VLOOKUP(C1292,DATA!#REF!,2,FALSE),"")</f>
        <v/>
      </c>
      <c r="I1292" s="17"/>
      <c r="J1292" s="17"/>
      <c r="P1292" s="17"/>
      <c r="Q1292" s="17"/>
    </row>
    <row r="1293" spans="2:17">
      <c r="B1293" s="15" t="str">
        <f t="shared" si="61"/>
        <v/>
      </c>
      <c r="C1293" s="16" t="str">
        <f>IFERROR(VLOOKUP(DATA!#REF!,DATA!#REF!,1,FALSE),"")</f>
        <v/>
      </c>
      <c r="D1293" s="16" t="str">
        <f>IFERROR(VLOOKUP(C1293,DATA!#REF!,2,FALSE),"")</f>
        <v/>
      </c>
      <c r="I1293" s="17"/>
      <c r="J1293" s="17"/>
      <c r="P1293" s="17"/>
      <c r="Q1293" s="17"/>
    </row>
    <row r="1294" spans="2:17">
      <c r="B1294" s="15" t="str">
        <f t="shared" si="61"/>
        <v/>
      </c>
      <c r="C1294" s="16" t="str">
        <f>IFERROR(VLOOKUP(DATA!#REF!,DATA!#REF!,1,FALSE),"")</f>
        <v/>
      </c>
      <c r="D1294" s="16" t="str">
        <f>IFERROR(VLOOKUP(C1294,DATA!#REF!,2,FALSE),"")</f>
        <v/>
      </c>
      <c r="I1294" s="17"/>
      <c r="J1294" s="17"/>
      <c r="P1294" s="17"/>
      <c r="Q1294" s="17"/>
    </row>
    <row r="1295" spans="2:17">
      <c r="B1295" s="15" t="str">
        <f t="shared" si="61"/>
        <v/>
      </c>
      <c r="C1295" s="16" t="str">
        <f>IFERROR(VLOOKUP(DATA!#REF!,DATA!#REF!,1,FALSE),"")</f>
        <v/>
      </c>
      <c r="D1295" s="16" t="str">
        <f>IFERROR(VLOOKUP(C1295,DATA!#REF!,2,FALSE),"")</f>
        <v/>
      </c>
      <c r="I1295" s="17"/>
      <c r="J1295" s="17"/>
      <c r="P1295" s="17"/>
      <c r="Q1295" s="17"/>
    </row>
    <row r="1296" spans="2:17">
      <c r="B1296" s="15" t="str">
        <f t="shared" si="61"/>
        <v/>
      </c>
      <c r="C1296" s="16" t="str">
        <f>IFERROR(VLOOKUP(DATA!#REF!,DATA!#REF!,1,FALSE),"")</f>
        <v/>
      </c>
      <c r="D1296" s="16" t="str">
        <f>IFERROR(VLOOKUP(C1296,DATA!#REF!,2,FALSE),"")</f>
        <v/>
      </c>
      <c r="I1296" s="17"/>
      <c r="J1296" s="17"/>
      <c r="P1296" s="17"/>
      <c r="Q1296" s="17"/>
    </row>
    <row r="1297" spans="2:17">
      <c r="B1297" s="15" t="str">
        <f t="shared" si="61"/>
        <v/>
      </c>
      <c r="C1297" s="16" t="str">
        <f>IFERROR(VLOOKUP(DATA!#REF!,DATA!#REF!,1,FALSE),"")</f>
        <v/>
      </c>
      <c r="D1297" s="16" t="str">
        <f>IFERROR(VLOOKUP(C1297,DATA!#REF!,2,FALSE),"")</f>
        <v/>
      </c>
      <c r="I1297" s="17"/>
      <c r="J1297" s="17"/>
      <c r="P1297" s="17"/>
      <c r="Q1297" s="17"/>
    </row>
    <row r="1298" spans="2:17">
      <c r="B1298" s="15" t="str">
        <f t="shared" si="61"/>
        <v/>
      </c>
      <c r="C1298" s="16" t="str">
        <f>IFERROR(VLOOKUP(DATA!#REF!,DATA!#REF!,1,FALSE),"")</f>
        <v/>
      </c>
      <c r="D1298" s="16" t="str">
        <f>IFERROR(VLOOKUP(C1298,DATA!#REF!,2,FALSE),"")</f>
        <v/>
      </c>
      <c r="I1298" s="17"/>
      <c r="J1298" s="17"/>
      <c r="P1298" s="17"/>
      <c r="Q1298" s="17"/>
    </row>
    <row r="1299" spans="2:17">
      <c r="B1299" s="15" t="str">
        <f t="shared" si="61"/>
        <v/>
      </c>
      <c r="C1299" s="16" t="str">
        <f>IFERROR(VLOOKUP(DATA!#REF!,DATA!#REF!,1,FALSE),"")</f>
        <v/>
      </c>
      <c r="D1299" s="16" t="str">
        <f>IFERROR(VLOOKUP(C1299,DATA!#REF!,2,FALSE),"")</f>
        <v/>
      </c>
      <c r="I1299" s="17"/>
      <c r="J1299" s="17"/>
      <c r="P1299" s="17"/>
      <c r="Q1299" s="17"/>
    </row>
    <row r="1300" spans="2:17">
      <c r="B1300" s="15" t="str">
        <f t="shared" si="61"/>
        <v/>
      </c>
      <c r="C1300" s="16" t="str">
        <f>IFERROR(VLOOKUP(DATA!#REF!,DATA!#REF!,1,FALSE),"")</f>
        <v/>
      </c>
      <c r="D1300" s="16" t="str">
        <f>IFERROR(VLOOKUP(C1300,DATA!#REF!,2,FALSE),"")</f>
        <v/>
      </c>
      <c r="I1300" s="17"/>
      <c r="J1300" s="17"/>
      <c r="P1300" s="17"/>
      <c r="Q1300" s="17"/>
    </row>
    <row r="1301" spans="2:17">
      <c r="B1301" s="15" t="str">
        <f t="shared" si="61"/>
        <v/>
      </c>
      <c r="C1301" s="16" t="str">
        <f>IFERROR(VLOOKUP(DATA!#REF!,DATA!#REF!,1,FALSE),"")</f>
        <v/>
      </c>
      <c r="D1301" s="16" t="str">
        <f>IFERROR(VLOOKUP(C1301,DATA!#REF!,2,FALSE),"")</f>
        <v/>
      </c>
      <c r="I1301" s="17"/>
      <c r="J1301" s="17"/>
      <c r="P1301" s="17"/>
      <c r="Q1301" s="17"/>
    </row>
    <row r="1302" spans="2:17">
      <c r="B1302" s="15" t="str">
        <f t="shared" si="61"/>
        <v/>
      </c>
      <c r="C1302" s="16" t="str">
        <f>IFERROR(VLOOKUP(DATA!#REF!,DATA!#REF!,1,FALSE),"")</f>
        <v/>
      </c>
      <c r="D1302" s="16" t="str">
        <f>IFERROR(VLOOKUP(C1302,DATA!#REF!,2,FALSE),"")</f>
        <v/>
      </c>
      <c r="I1302" s="17"/>
      <c r="J1302" s="17"/>
      <c r="P1302" s="17"/>
      <c r="Q1302" s="17"/>
    </row>
    <row r="1303" spans="2:17">
      <c r="B1303" s="15" t="str">
        <f t="shared" si="61"/>
        <v/>
      </c>
      <c r="C1303" s="16" t="str">
        <f>IFERROR(VLOOKUP(DATA!#REF!,DATA!#REF!,1,FALSE),"")</f>
        <v/>
      </c>
      <c r="D1303" s="16" t="str">
        <f>IFERROR(VLOOKUP(C1303,DATA!#REF!,2,FALSE),"")</f>
        <v/>
      </c>
      <c r="I1303" s="17"/>
      <c r="J1303" s="17"/>
      <c r="P1303" s="17"/>
      <c r="Q1303" s="17"/>
    </row>
    <row r="1304" spans="2:17">
      <c r="B1304" s="15" t="str">
        <f t="shared" si="61"/>
        <v/>
      </c>
      <c r="C1304" s="16" t="str">
        <f>IFERROR(VLOOKUP(DATA!#REF!,DATA!#REF!,1,FALSE),"")</f>
        <v/>
      </c>
      <c r="D1304" s="16" t="str">
        <f>IFERROR(VLOOKUP(C1304,DATA!#REF!,2,FALSE),"")</f>
        <v/>
      </c>
      <c r="I1304" s="17"/>
      <c r="J1304" s="17"/>
      <c r="P1304" s="17"/>
      <c r="Q1304" s="17"/>
    </row>
    <row r="1305" spans="2:17">
      <c r="B1305" s="15" t="str">
        <f t="shared" si="61"/>
        <v/>
      </c>
      <c r="C1305" s="16" t="str">
        <f>IFERROR(VLOOKUP(DATA!#REF!,DATA!#REF!,1,FALSE),"")</f>
        <v/>
      </c>
      <c r="D1305" s="16" t="str">
        <f>IFERROR(VLOOKUP(C1305,DATA!#REF!,2,FALSE),"")</f>
        <v/>
      </c>
      <c r="I1305" s="17"/>
      <c r="J1305" s="17"/>
      <c r="P1305" s="17"/>
      <c r="Q1305" s="17"/>
    </row>
    <row r="1306" spans="2:17">
      <c r="B1306" s="15" t="str">
        <f t="shared" si="61"/>
        <v/>
      </c>
      <c r="C1306" s="16" t="str">
        <f>IFERROR(VLOOKUP(DATA!#REF!,DATA!#REF!,1,FALSE),"")</f>
        <v/>
      </c>
      <c r="D1306" s="16" t="str">
        <f>IFERROR(VLOOKUP(C1306,DATA!#REF!,2,FALSE),"")</f>
        <v/>
      </c>
      <c r="I1306" s="17"/>
      <c r="J1306" s="17"/>
      <c r="P1306" s="17"/>
      <c r="Q1306" s="17"/>
    </row>
    <row r="1307" spans="2:17">
      <c r="B1307" s="15" t="str">
        <f t="shared" si="61"/>
        <v/>
      </c>
      <c r="C1307" s="16" t="str">
        <f>IFERROR(VLOOKUP(DATA!#REF!,DATA!#REF!,1,FALSE),"")</f>
        <v/>
      </c>
      <c r="D1307" s="16" t="str">
        <f>IFERROR(VLOOKUP(C1307,DATA!#REF!,2,FALSE),"")</f>
        <v/>
      </c>
      <c r="I1307" s="17"/>
      <c r="J1307" s="17"/>
      <c r="P1307" s="17"/>
      <c r="Q1307" s="17"/>
    </row>
    <row r="1308" spans="2:17">
      <c r="B1308" s="15" t="str">
        <f t="shared" si="61"/>
        <v/>
      </c>
      <c r="C1308" s="16" t="str">
        <f>IFERROR(VLOOKUP(DATA!#REF!,DATA!#REF!,1,FALSE),"")</f>
        <v/>
      </c>
      <c r="D1308" s="16" t="str">
        <f>IFERROR(VLOOKUP(C1308,DATA!#REF!,2,FALSE),"")</f>
        <v/>
      </c>
      <c r="I1308" s="17"/>
      <c r="J1308" s="17"/>
      <c r="P1308" s="17"/>
      <c r="Q1308" s="17"/>
    </row>
    <row r="1309" spans="2:17">
      <c r="B1309" s="15" t="str">
        <f t="shared" si="61"/>
        <v/>
      </c>
      <c r="C1309" s="16" t="str">
        <f>IFERROR(VLOOKUP(DATA!#REF!,DATA!#REF!,1,FALSE),"")</f>
        <v/>
      </c>
      <c r="D1309" s="16" t="str">
        <f>IFERROR(VLOOKUP(C1309,DATA!#REF!,2,FALSE),"")</f>
        <v/>
      </c>
      <c r="I1309" s="17"/>
      <c r="J1309" s="17"/>
      <c r="P1309" s="17"/>
      <c r="Q1309" s="17"/>
    </row>
    <row r="1310" spans="2:17">
      <c r="B1310" s="15" t="str">
        <f t="shared" si="61"/>
        <v/>
      </c>
      <c r="C1310" s="16" t="str">
        <f>IFERROR(VLOOKUP(DATA!#REF!,DATA!#REF!,1,FALSE),"")</f>
        <v/>
      </c>
      <c r="D1310" s="16" t="str">
        <f>IFERROR(VLOOKUP(C1310,DATA!#REF!,2,FALSE),"")</f>
        <v/>
      </c>
      <c r="I1310" s="17"/>
      <c r="J1310" s="17"/>
      <c r="P1310" s="17"/>
      <c r="Q1310" s="17"/>
    </row>
    <row r="1311" spans="2:17">
      <c r="B1311" s="15" t="str">
        <f t="shared" si="61"/>
        <v/>
      </c>
      <c r="C1311" s="16" t="str">
        <f>IFERROR(VLOOKUP(DATA!#REF!,DATA!#REF!,1,FALSE),"")</f>
        <v/>
      </c>
      <c r="D1311" s="16" t="str">
        <f>IFERROR(VLOOKUP(C1311,DATA!#REF!,2,FALSE),"")</f>
        <v/>
      </c>
      <c r="I1311" s="17"/>
      <c r="J1311" s="17"/>
      <c r="P1311" s="17"/>
      <c r="Q1311" s="17"/>
    </row>
    <row r="1312" spans="2:17">
      <c r="B1312" s="15" t="str">
        <f t="shared" si="61"/>
        <v/>
      </c>
      <c r="C1312" s="16" t="str">
        <f>IFERROR(VLOOKUP(DATA!#REF!,DATA!#REF!,1,FALSE),"")</f>
        <v/>
      </c>
      <c r="D1312" s="16" t="str">
        <f>IFERROR(VLOOKUP(C1312,DATA!#REF!,2,FALSE),"")</f>
        <v/>
      </c>
      <c r="I1312" s="17"/>
      <c r="J1312" s="17"/>
      <c r="P1312" s="17"/>
      <c r="Q1312" s="17"/>
    </row>
    <row r="1313" spans="2:17">
      <c r="B1313" s="15" t="str">
        <f t="shared" si="61"/>
        <v/>
      </c>
      <c r="C1313" s="16" t="str">
        <f>IFERROR(VLOOKUP(DATA!#REF!,DATA!#REF!,1,FALSE),"")</f>
        <v/>
      </c>
      <c r="D1313" s="16" t="str">
        <f>IFERROR(VLOOKUP(C1313,DATA!#REF!,2,FALSE),"")</f>
        <v/>
      </c>
      <c r="I1313" s="17"/>
      <c r="J1313" s="17"/>
      <c r="P1313" s="17"/>
      <c r="Q1313" s="17"/>
    </row>
    <row r="1314" spans="2:17">
      <c r="B1314" s="15" t="str">
        <f t="shared" si="61"/>
        <v/>
      </c>
      <c r="C1314" s="16" t="str">
        <f>IFERROR(VLOOKUP(DATA!#REF!,DATA!#REF!,1,FALSE),"")</f>
        <v/>
      </c>
      <c r="D1314" s="16" t="str">
        <f>IFERROR(VLOOKUP(C1314,DATA!#REF!,2,FALSE),"")</f>
        <v/>
      </c>
      <c r="I1314" s="17"/>
      <c r="J1314" s="17"/>
      <c r="P1314" s="17"/>
      <c r="Q1314" s="17"/>
    </row>
    <row r="1315" spans="2:17">
      <c r="B1315" s="15" t="str">
        <f t="shared" si="61"/>
        <v/>
      </c>
      <c r="C1315" s="16" t="str">
        <f>IFERROR(VLOOKUP(DATA!#REF!,DATA!#REF!,1,FALSE),"")</f>
        <v/>
      </c>
      <c r="D1315" s="16" t="str">
        <f>IFERROR(VLOOKUP(C1315,DATA!#REF!,2,FALSE),"")</f>
        <v/>
      </c>
      <c r="I1315" s="17"/>
      <c r="J1315" s="17"/>
      <c r="P1315" s="17"/>
      <c r="Q1315" s="17"/>
    </row>
    <row r="1316" spans="2:17">
      <c r="B1316" s="15" t="str">
        <f t="shared" si="61"/>
        <v/>
      </c>
      <c r="C1316" s="16" t="str">
        <f>IFERROR(VLOOKUP(DATA!#REF!,DATA!#REF!,1,FALSE),"")</f>
        <v/>
      </c>
      <c r="D1316" s="16" t="str">
        <f>IFERROR(VLOOKUP(C1316,DATA!#REF!,2,FALSE),"")</f>
        <v/>
      </c>
      <c r="I1316" s="17"/>
      <c r="J1316" s="17"/>
      <c r="P1316" s="17"/>
      <c r="Q1316" s="17"/>
    </row>
    <row r="1317" spans="2:17">
      <c r="B1317" s="15" t="str">
        <f t="shared" si="61"/>
        <v/>
      </c>
      <c r="C1317" s="16" t="str">
        <f>IFERROR(VLOOKUP(DATA!#REF!,DATA!#REF!,1,FALSE),"")</f>
        <v/>
      </c>
      <c r="D1317" s="16" t="str">
        <f>IFERROR(VLOOKUP(C1317,DATA!#REF!,2,FALSE),"")</f>
        <v/>
      </c>
      <c r="I1317" s="17"/>
      <c r="J1317" s="17"/>
      <c r="P1317" s="17"/>
      <c r="Q1317" s="17"/>
    </row>
    <row r="1318" spans="2:17">
      <c r="B1318" s="15" t="str">
        <f t="shared" si="61"/>
        <v/>
      </c>
      <c r="C1318" s="16" t="str">
        <f>IFERROR(VLOOKUP(DATA!#REF!,DATA!#REF!,1,FALSE),"")</f>
        <v/>
      </c>
      <c r="D1318" s="16" t="str">
        <f>IFERROR(VLOOKUP(C1318,DATA!#REF!,2,FALSE),"")</f>
        <v/>
      </c>
      <c r="I1318" s="17"/>
      <c r="J1318" s="17"/>
      <c r="P1318" s="17"/>
      <c r="Q1318" s="17"/>
    </row>
    <row r="1319" spans="2:17">
      <c r="B1319" s="15" t="str">
        <f t="shared" si="61"/>
        <v/>
      </c>
      <c r="C1319" s="16" t="str">
        <f>IFERROR(VLOOKUP(DATA!#REF!,DATA!#REF!,1,FALSE),"")</f>
        <v/>
      </c>
      <c r="D1319" s="16" t="str">
        <f>IFERROR(VLOOKUP(C1319,DATA!#REF!,2,FALSE),"")</f>
        <v/>
      </c>
      <c r="I1319" s="17"/>
      <c r="J1319" s="17"/>
      <c r="P1319" s="17"/>
      <c r="Q1319" s="17"/>
    </row>
    <row r="1320" spans="2:17">
      <c r="B1320" s="15" t="str">
        <f t="shared" si="61"/>
        <v/>
      </c>
      <c r="C1320" s="16" t="str">
        <f>IFERROR(VLOOKUP(DATA!#REF!,DATA!#REF!,1,FALSE),"")</f>
        <v/>
      </c>
      <c r="D1320" s="16" t="str">
        <f>IFERROR(VLOOKUP(C1320,DATA!#REF!,2,FALSE),"")</f>
        <v/>
      </c>
      <c r="I1320" s="17"/>
      <c r="J1320" s="17"/>
      <c r="P1320" s="17"/>
      <c r="Q1320" s="17"/>
    </row>
    <row r="1321" spans="2:17">
      <c r="B1321" s="15" t="str">
        <f t="shared" si="61"/>
        <v/>
      </c>
      <c r="C1321" s="16" t="str">
        <f>IFERROR(VLOOKUP(DATA!#REF!,DATA!#REF!,1,FALSE),"")</f>
        <v/>
      </c>
      <c r="D1321" s="16" t="str">
        <f>IFERROR(VLOOKUP(C1321,DATA!#REF!,2,FALSE),"")</f>
        <v/>
      </c>
      <c r="I1321" s="17"/>
      <c r="J1321" s="17"/>
      <c r="P1321" s="17"/>
      <c r="Q1321" s="17"/>
    </row>
    <row r="1322" spans="2:17">
      <c r="B1322" s="15" t="str">
        <f t="shared" si="61"/>
        <v/>
      </c>
      <c r="C1322" s="16" t="str">
        <f>IFERROR(VLOOKUP(DATA!#REF!,DATA!#REF!,1,FALSE),"")</f>
        <v/>
      </c>
      <c r="D1322" s="16" t="str">
        <f>IFERROR(VLOOKUP(C1322,DATA!#REF!,2,FALSE),"")</f>
        <v/>
      </c>
      <c r="I1322" s="17"/>
      <c r="J1322" s="17"/>
      <c r="P1322" s="17"/>
      <c r="Q1322" s="17"/>
    </row>
    <row r="1323" spans="2:17">
      <c r="B1323" s="15" t="str">
        <f t="shared" si="61"/>
        <v/>
      </c>
      <c r="C1323" s="16" t="str">
        <f>IFERROR(VLOOKUP(DATA!#REF!,DATA!#REF!,1,FALSE),"")</f>
        <v/>
      </c>
      <c r="D1323" s="16" t="str">
        <f>IFERROR(VLOOKUP(C1323,DATA!#REF!,2,FALSE),"")</f>
        <v/>
      </c>
      <c r="I1323" s="17"/>
      <c r="J1323" s="17"/>
      <c r="P1323" s="17"/>
      <c r="Q1323" s="17"/>
    </row>
    <row r="1324" spans="2:17">
      <c r="B1324" s="15" t="str">
        <f t="shared" si="61"/>
        <v/>
      </c>
      <c r="C1324" s="16" t="str">
        <f>IFERROR(VLOOKUP(DATA!#REF!,DATA!#REF!,1,FALSE),"")</f>
        <v/>
      </c>
      <c r="D1324" s="16" t="str">
        <f>IFERROR(VLOOKUP(C1324,DATA!#REF!,2,FALSE),"")</f>
        <v/>
      </c>
      <c r="I1324" s="17"/>
      <c r="J1324" s="17"/>
      <c r="P1324" s="17"/>
      <c r="Q1324" s="17"/>
    </row>
    <row r="1325" spans="2:17">
      <c r="B1325" s="15" t="str">
        <f t="shared" si="61"/>
        <v/>
      </c>
      <c r="C1325" s="16" t="str">
        <f>IFERROR(VLOOKUP(DATA!#REF!,DATA!#REF!,1,FALSE),"")</f>
        <v/>
      </c>
      <c r="D1325" s="16" t="str">
        <f>IFERROR(VLOOKUP(C1325,DATA!#REF!,2,FALSE),"")</f>
        <v/>
      </c>
      <c r="I1325" s="17"/>
      <c r="J1325" s="17"/>
      <c r="P1325" s="17"/>
      <c r="Q1325" s="17"/>
    </row>
    <row r="1326" spans="2:17">
      <c r="B1326" s="15" t="str">
        <f t="shared" si="61"/>
        <v/>
      </c>
      <c r="C1326" s="16" t="str">
        <f>IFERROR(VLOOKUP(DATA!#REF!,DATA!#REF!,1,FALSE),"")</f>
        <v/>
      </c>
      <c r="D1326" s="16" t="str">
        <f>IFERROR(VLOOKUP(C1326,DATA!#REF!,2,FALSE),"")</f>
        <v/>
      </c>
      <c r="I1326" s="17"/>
      <c r="J1326" s="17"/>
      <c r="P1326" s="17"/>
      <c r="Q1326" s="17"/>
    </row>
    <row r="1327" spans="2:17">
      <c r="B1327" s="15" t="str">
        <f t="shared" si="61"/>
        <v/>
      </c>
      <c r="C1327" s="16" t="str">
        <f>IFERROR(VLOOKUP(DATA!#REF!,DATA!#REF!,1,FALSE),"")</f>
        <v/>
      </c>
      <c r="D1327" s="16" t="str">
        <f>IFERROR(VLOOKUP(C1327,DATA!#REF!,2,FALSE),"")</f>
        <v/>
      </c>
      <c r="I1327" s="17"/>
      <c r="J1327" s="17"/>
      <c r="P1327" s="17"/>
      <c r="Q1327" s="17"/>
    </row>
    <row r="1328" spans="2:17">
      <c r="B1328" s="15" t="str">
        <f t="shared" si="61"/>
        <v/>
      </c>
      <c r="C1328" s="16" t="str">
        <f>IFERROR(VLOOKUP(DATA!#REF!,DATA!#REF!,1,FALSE),"")</f>
        <v/>
      </c>
      <c r="D1328" s="16" t="str">
        <f>IFERROR(VLOOKUP(C1328,DATA!#REF!,2,FALSE),"")</f>
        <v/>
      </c>
      <c r="I1328" s="17"/>
      <c r="J1328" s="17"/>
      <c r="P1328" s="17"/>
      <c r="Q1328" s="17"/>
    </row>
    <row r="1329" spans="2:17">
      <c r="B1329" s="15" t="str">
        <f t="shared" si="61"/>
        <v/>
      </c>
      <c r="C1329" s="16" t="str">
        <f>IFERROR(VLOOKUP(DATA!#REF!,DATA!#REF!,1,FALSE),"")</f>
        <v/>
      </c>
      <c r="D1329" s="16" t="str">
        <f>IFERROR(VLOOKUP(C1329,DATA!#REF!,2,FALSE),"")</f>
        <v/>
      </c>
      <c r="I1329" s="17"/>
      <c r="J1329" s="17"/>
      <c r="P1329" s="17"/>
      <c r="Q1329" s="17"/>
    </row>
    <row r="1330" spans="2:17">
      <c r="B1330" s="15" t="str">
        <f t="shared" si="61"/>
        <v/>
      </c>
      <c r="C1330" s="16" t="str">
        <f>IFERROR(VLOOKUP(DATA!#REF!,DATA!#REF!,1,FALSE),"")</f>
        <v/>
      </c>
      <c r="D1330" s="16" t="str">
        <f>IFERROR(VLOOKUP(C1330,DATA!#REF!,2,FALSE),"")</f>
        <v/>
      </c>
      <c r="I1330" s="17"/>
      <c r="J1330" s="17"/>
      <c r="P1330" s="17"/>
      <c r="Q1330" s="17"/>
    </row>
    <row r="1331" spans="2:17">
      <c r="B1331" s="15" t="str">
        <f t="shared" si="61"/>
        <v/>
      </c>
      <c r="C1331" s="16" t="str">
        <f>IFERROR(VLOOKUP(DATA!#REF!,DATA!#REF!,1,FALSE),"")</f>
        <v/>
      </c>
      <c r="D1331" s="16" t="str">
        <f>IFERROR(VLOOKUP(C1331,DATA!#REF!,2,FALSE),"")</f>
        <v/>
      </c>
      <c r="I1331" s="17"/>
      <c r="J1331" s="17"/>
      <c r="P1331" s="17"/>
      <c r="Q1331" s="17"/>
    </row>
    <row r="1332" spans="2:17">
      <c r="B1332" s="15" t="str">
        <f t="shared" si="61"/>
        <v/>
      </c>
      <c r="C1332" s="16" t="str">
        <f>IFERROR(VLOOKUP(DATA!#REF!,DATA!#REF!,1,FALSE),"")</f>
        <v/>
      </c>
      <c r="D1332" s="16" t="str">
        <f>IFERROR(VLOOKUP(C1332,DATA!#REF!,2,FALSE),"")</f>
        <v/>
      </c>
      <c r="I1332" s="17"/>
      <c r="J1332" s="17"/>
      <c r="P1332" s="17"/>
      <c r="Q1332" s="17"/>
    </row>
    <row r="1333" spans="2:17">
      <c r="B1333" s="15" t="str">
        <f t="shared" si="61"/>
        <v/>
      </c>
      <c r="C1333" s="16" t="str">
        <f>IFERROR(VLOOKUP(DATA!#REF!,DATA!#REF!,1,FALSE),"")</f>
        <v/>
      </c>
      <c r="D1333" s="16" t="str">
        <f>IFERROR(VLOOKUP(C1333,DATA!#REF!,2,FALSE),"")</f>
        <v/>
      </c>
      <c r="I1333" s="17"/>
      <c r="J1333" s="17"/>
      <c r="P1333" s="17"/>
      <c r="Q1333" s="17"/>
    </row>
    <row r="1334" spans="2:17">
      <c r="B1334" s="15" t="str">
        <f t="shared" si="61"/>
        <v/>
      </c>
      <c r="C1334" s="16" t="str">
        <f>IFERROR(VLOOKUP(DATA!#REF!,DATA!#REF!,1,FALSE),"")</f>
        <v/>
      </c>
      <c r="D1334" s="16" t="str">
        <f>IFERROR(VLOOKUP(C1334,DATA!#REF!,2,FALSE),"")</f>
        <v/>
      </c>
      <c r="I1334" s="17"/>
      <c r="J1334" s="17"/>
      <c r="P1334" s="17"/>
      <c r="Q1334" s="17"/>
    </row>
    <row r="1335" spans="2:17">
      <c r="B1335" s="15" t="str">
        <f t="shared" ref="B1335:B1398" si="62">+IF(C1335="","",ROW()-5)</f>
        <v/>
      </c>
      <c r="C1335" s="16" t="str">
        <f>IFERROR(VLOOKUP(DATA!#REF!,DATA!#REF!,1,FALSE),"")</f>
        <v/>
      </c>
      <c r="D1335" s="16" t="str">
        <f>IFERROR(VLOOKUP(C1335,DATA!#REF!,2,FALSE),"")</f>
        <v/>
      </c>
      <c r="I1335" s="17"/>
      <c r="J1335" s="17"/>
      <c r="P1335" s="17"/>
      <c r="Q1335" s="17"/>
    </row>
    <row r="1336" spans="2:17">
      <c r="B1336" s="15" t="str">
        <f t="shared" si="62"/>
        <v/>
      </c>
      <c r="C1336" s="16" t="str">
        <f>IFERROR(VLOOKUP(DATA!#REF!,DATA!#REF!,1,FALSE),"")</f>
        <v/>
      </c>
      <c r="D1336" s="16" t="str">
        <f>IFERROR(VLOOKUP(C1336,DATA!#REF!,2,FALSE),"")</f>
        <v/>
      </c>
      <c r="I1336" s="17"/>
      <c r="J1336" s="17"/>
      <c r="P1336" s="17"/>
      <c r="Q1336" s="17"/>
    </row>
    <row r="1337" spans="2:17">
      <c r="B1337" s="15" t="str">
        <f t="shared" si="62"/>
        <v/>
      </c>
      <c r="C1337" s="16" t="str">
        <f>IFERROR(VLOOKUP(DATA!#REF!,DATA!#REF!,1,FALSE),"")</f>
        <v/>
      </c>
      <c r="D1337" s="16" t="str">
        <f>IFERROR(VLOOKUP(C1337,DATA!#REF!,2,FALSE),"")</f>
        <v/>
      </c>
      <c r="I1337" s="17"/>
      <c r="J1337" s="17"/>
      <c r="P1337" s="17"/>
      <c r="Q1337" s="17"/>
    </row>
    <row r="1338" spans="2:17">
      <c r="B1338" s="15" t="str">
        <f t="shared" si="62"/>
        <v/>
      </c>
      <c r="C1338" s="16" t="str">
        <f>IFERROR(VLOOKUP(DATA!#REF!,DATA!#REF!,1,FALSE),"")</f>
        <v/>
      </c>
      <c r="D1338" s="16" t="str">
        <f>IFERROR(VLOOKUP(C1338,DATA!#REF!,2,FALSE),"")</f>
        <v/>
      </c>
      <c r="I1338" s="17"/>
      <c r="J1338" s="17"/>
      <c r="P1338" s="17"/>
      <c r="Q1338" s="17"/>
    </row>
    <row r="1339" spans="2:17">
      <c r="B1339" s="15" t="str">
        <f t="shared" si="62"/>
        <v/>
      </c>
      <c r="C1339" s="16" t="str">
        <f>IFERROR(VLOOKUP(DATA!#REF!,DATA!#REF!,1,FALSE),"")</f>
        <v/>
      </c>
      <c r="D1339" s="16" t="str">
        <f>IFERROR(VLOOKUP(C1339,DATA!#REF!,2,FALSE),"")</f>
        <v/>
      </c>
      <c r="I1339" s="17"/>
      <c r="J1339" s="17"/>
      <c r="P1339" s="17"/>
      <c r="Q1339" s="17"/>
    </row>
    <row r="1340" spans="2:17">
      <c r="B1340" s="15" t="str">
        <f t="shared" si="62"/>
        <v/>
      </c>
      <c r="C1340" s="16" t="str">
        <f>IFERROR(VLOOKUP(DATA!#REF!,DATA!#REF!,1,FALSE),"")</f>
        <v/>
      </c>
      <c r="D1340" s="16" t="str">
        <f>IFERROR(VLOOKUP(C1340,DATA!#REF!,2,FALSE),"")</f>
        <v/>
      </c>
      <c r="I1340" s="17"/>
      <c r="J1340" s="17"/>
      <c r="P1340" s="17"/>
      <c r="Q1340" s="17"/>
    </row>
    <row r="1341" spans="2:17">
      <c r="B1341" s="15" t="str">
        <f t="shared" si="62"/>
        <v/>
      </c>
      <c r="C1341" s="16" t="str">
        <f>IFERROR(VLOOKUP(DATA!#REF!,DATA!#REF!,1,FALSE),"")</f>
        <v/>
      </c>
      <c r="D1341" s="16" t="str">
        <f>IFERROR(VLOOKUP(C1341,DATA!#REF!,2,FALSE),"")</f>
        <v/>
      </c>
      <c r="I1341" s="17"/>
      <c r="J1341" s="17"/>
      <c r="P1341" s="17"/>
      <c r="Q1341" s="17"/>
    </row>
    <row r="1342" spans="2:17">
      <c r="B1342" s="15" t="str">
        <f t="shared" si="62"/>
        <v/>
      </c>
      <c r="C1342" s="16" t="str">
        <f>IFERROR(VLOOKUP(DATA!#REF!,DATA!#REF!,1,FALSE),"")</f>
        <v/>
      </c>
      <c r="D1342" s="16" t="str">
        <f>IFERROR(VLOOKUP(C1342,DATA!#REF!,2,FALSE),"")</f>
        <v/>
      </c>
      <c r="I1342" s="17"/>
      <c r="J1342" s="17"/>
      <c r="P1342" s="17"/>
      <c r="Q1342" s="17"/>
    </row>
    <row r="1343" spans="2:17">
      <c r="B1343" s="15" t="str">
        <f t="shared" si="62"/>
        <v/>
      </c>
      <c r="C1343" s="16" t="str">
        <f>IFERROR(VLOOKUP(DATA!#REF!,DATA!#REF!,1,FALSE),"")</f>
        <v/>
      </c>
      <c r="D1343" s="16" t="str">
        <f>IFERROR(VLOOKUP(C1343,DATA!#REF!,2,FALSE),"")</f>
        <v/>
      </c>
      <c r="I1343" s="17"/>
      <c r="J1343" s="17"/>
      <c r="P1343" s="17"/>
      <c r="Q1343" s="17"/>
    </row>
    <row r="1344" spans="2:17">
      <c r="B1344" s="15" t="str">
        <f t="shared" si="62"/>
        <v/>
      </c>
      <c r="C1344" s="16" t="str">
        <f>IFERROR(VLOOKUP(DATA!#REF!,DATA!#REF!,1,FALSE),"")</f>
        <v/>
      </c>
      <c r="D1344" s="16" t="str">
        <f>IFERROR(VLOOKUP(C1344,DATA!#REF!,2,FALSE),"")</f>
        <v/>
      </c>
      <c r="I1344" s="17"/>
      <c r="J1344" s="17"/>
      <c r="P1344" s="17"/>
      <c r="Q1344" s="17"/>
    </row>
    <row r="1345" spans="2:17">
      <c r="B1345" s="15" t="str">
        <f t="shared" si="62"/>
        <v/>
      </c>
      <c r="C1345" s="16" t="str">
        <f>IFERROR(VLOOKUP(DATA!#REF!,DATA!#REF!,1,FALSE),"")</f>
        <v/>
      </c>
      <c r="D1345" s="16" t="str">
        <f>IFERROR(VLOOKUP(C1345,DATA!#REF!,2,FALSE),"")</f>
        <v/>
      </c>
      <c r="I1345" s="17"/>
      <c r="J1345" s="17"/>
      <c r="P1345" s="17"/>
      <c r="Q1345" s="17"/>
    </row>
    <row r="1346" spans="2:17">
      <c r="B1346" s="15" t="str">
        <f t="shared" si="62"/>
        <v/>
      </c>
      <c r="C1346" s="16" t="str">
        <f>IFERROR(VLOOKUP(DATA!#REF!,DATA!#REF!,1,FALSE),"")</f>
        <v/>
      </c>
      <c r="D1346" s="16" t="str">
        <f>IFERROR(VLOOKUP(C1346,DATA!#REF!,2,FALSE),"")</f>
        <v/>
      </c>
      <c r="I1346" s="17"/>
      <c r="J1346" s="17"/>
      <c r="P1346" s="17"/>
      <c r="Q1346" s="17"/>
    </row>
    <row r="1347" spans="2:17">
      <c r="B1347" s="15" t="str">
        <f t="shared" si="62"/>
        <v/>
      </c>
      <c r="C1347" s="16" t="str">
        <f>IFERROR(VLOOKUP(DATA!#REF!,DATA!#REF!,1,FALSE),"")</f>
        <v/>
      </c>
      <c r="D1347" s="16" t="str">
        <f>IFERROR(VLOOKUP(C1347,DATA!#REF!,2,FALSE),"")</f>
        <v/>
      </c>
      <c r="I1347" s="17"/>
      <c r="J1347" s="17"/>
      <c r="P1347" s="17"/>
      <c r="Q1347" s="17"/>
    </row>
    <row r="1348" spans="2:17">
      <c r="B1348" s="15" t="str">
        <f t="shared" si="62"/>
        <v/>
      </c>
      <c r="C1348" s="16" t="str">
        <f>IFERROR(VLOOKUP(DATA!#REF!,DATA!#REF!,1,FALSE),"")</f>
        <v/>
      </c>
      <c r="D1348" s="16" t="str">
        <f>IFERROR(VLOOKUP(C1348,DATA!#REF!,2,FALSE),"")</f>
        <v/>
      </c>
      <c r="I1348" s="17"/>
      <c r="J1348" s="17"/>
      <c r="P1348" s="17"/>
      <c r="Q1348" s="17"/>
    </row>
    <row r="1349" spans="2:17">
      <c r="B1349" s="15" t="str">
        <f t="shared" si="62"/>
        <v/>
      </c>
      <c r="C1349" s="16" t="str">
        <f>IFERROR(VLOOKUP(DATA!#REF!,DATA!#REF!,1,FALSE),"")</f>
        <v/>
      </c>
      <c r="D1349" s="16" t="str">
        <f>IFERROR(VLOOKUP(C1349,DATA!#REF!,2,FALSE),"")</f>
        <v/>
      </c>
      <c r="I1349" s="17"/>
      <c r="J1349" s="17"/>
      <c r="P1349" s="17"/>
      <c r="Q1349" s="17"/>
    </row>
    <row r="1350" spans="2:17">
      <c r="B1350" s="15" t="str">
        <f t="shared" si="62"/>
        <v/>
      </c>
      <c r="C1350" s="16" t="str">
        <f>IFERROR(VLOOKUP(DATA!#REF!,DATA!#REF!,1,FALSE),"")</f>
        <v/>
      </c>
      <c r="D1350" s="16" t="str">
        <f>IFERROR(VLOOKUP(C1350,DATA!#REF!,2,FALSE),"")</f>
        <v/>
      </c>
      <c r="I1350" s="17"/>
      <c r="J1350" s="17"/>
      <c r="P1350" s="17"/>
      <c r="Q1350" s="17"/>
    </row>
    <row r="1351" spans="2:17">
      <c r="B1351" s="15" t="str">
        <f t="shared" si="62"/>
        <v/>
      </c>
      <c r="C1351" s="16" t="str">
        <f>IFERROR(VLOOKUP(DATA!#REF!,DATA!#REF!,1,FALSE),"")</f>
        <v/>
      </c>
      <c r="D1351" s="16" t="str">
        <f>IFERROR(VLOOKUP(C1351,DATA!#REF!,2,FALSE),"")</f>
        <v/>
      </c>
      <c r="I1351" s="17"/>
      <c r="J1351" s="17"/>
      <c r="P1351" s="17"/>
      <c r="Q1351" s="17"/>
    </row>
    <row r="1352" spans="2:17">
      <c r="B1352" s="15" t="str">
        <f t="shared" si="62"/>
        <v/>
      </c>
      <c r="C1352" s="16" t="str">
        <f>IFERROR(VLOOKUP(DATA!#REF!,DATA!#REF!,1,FALSE),"")</f>
        <v/>
      </c>
      <c r="D1352" s="16" t="str">
        <f>IFERROR(VLOOKUP(C1352,DATA!#REF!,2,FALSE),"")</f>
        <v/>
      </c>
      <c r="I1352" s="17"/>
      <c r="J1352" s="17"/>
      <c r="P1352" s="17"/>
      <c r="Q1352" s="17"/>
    </row>
    <row r="1353" spans="2:17">
      <c r="B1353" s="15" t="str">
        <f t="shared" si="62"/>
        <v/>
      </c>
      <c r="C1353" s="16" t="str">
        <f>IFERROR(VLOOKUP(DATA!#REF!,DATA!#REF!,1,FALSE),"")</f>
        <v/>
      </c>
      <c r="D1353" s="16" t="str">
        <f>IFERROR(VLOOKUP(C1353,DATA!#REF!,2,FALSE),"")</f>
        <v/>
      </c>
      <c r="I1353" s="17"/>
      <c r="J1353" s="17"/>
      <c r="P1353" s="17"/>
      <c r="Q1353" s="17"/>
    </row>
    <row r="1354" spans="2:17">
      <c r="B1354" s="15" t="str">
        <f t="shared" si="62"/>
        <v/>
      </c>
      <c r="C1354" s="16" t="str">
        <f>IFERROR(VLOOKUP(DATA!#REF!,DATA!#REF!,1,FALSE),"")</f>
        <v/>
      </c>
      <c r="D1354" s="16" t="str">
        <f>IFERROR(VLOOKUP(C1354,DATA!#REF!,2,FALSE),"")</f>
        <v/>
      </c>
      <c r="I1354" s="17"/>
      <c r="J1354" s="17"/>
      <c r="P1354" s="17"/>
      <c r="Q1354" s="17"/>
    </row>
    <row r="1355" spans="2:17">
      <c r="B1355" s="15" t="str">
        <f t="shared" si="62"/>
        <v/>
      </c>
      <c r="C1355" s="16" t="str">
        <f>IFERROR(VLOOKUP(DATA!#REF!,DATA!#REF!,1,FALSE),"")</f>
        <v/>
      </c>
      <c r="D1355" s="16" t="str">
        <f>IFERROR(VLOOKUP(C1355,DATA!#REF!,2,FALSE),"")</f>
        <v/>
      </c>
      <c r="I1355" s="17"/>
      <c r="J1355" s="17"/>
      <c r="P1355" s="17"/>
      <c r="Q1355" s="17"/>
    </row>
    <row r="1356" spans="2:17">
      <c r="B1356" s="15" t="str">
        <f t="shared" si="62"/>
        <v/>
      </c>
      <c r="C1356" s="16" t="str">
        <f>IFERROR(VLOOKUP(DATA!#REF!,DATA!#REF!,1,FALSE),"")</f>
        <v/>
      </c>
      <c r="D1356" s="16" t="str">
        <f>IFERROR(VLOOKUP(C1356,DATA!#REF!,2,FALSE),"")</f>
        <v/>
      </c>
      <c r="I1356" s="17"/>
      <c r="J1356" s="17"/>
      <c r="P1356" s="17"/>
      <c r="Q1356" s="17"/>
    </row>
    <row r="1357" spans="2:17">
      <c r="B1357" s="15" t="str">
        <f t="shared" si="62"/>
        <v/>
      </c>
      <c r="C1357" s="16" t="str">
        <f>IFERROR(VLOOKUP(DATA!#REF!,DATA!#REF!,1,FALSE),"")</f>
        <v/>
      </c>
      <c r="D1357" s="16" t="str">
        <f>IFERROR(VLOOKUP(C1357,DATA!#REF!,2,FALSE),"")</f>
        <v/>
      </c>
      <c r="I1357" s="17"/>
      <c r="J1357" s="17"/>
      <c r="P1357" s="17"/>
      <c r="Q1357" s="17"/>
    </row>
    <row r="1358" spans="2:17">
      <c r="B1358" s="15" t="str">
        <f t="shared" si="62"/>
        <v/>
      </c>
      <c r="C1358" s="16" t="str">
        <f>IFERROR(VLOOKUP(DATA!#REF!,DATA!#REF!,1,FALSE),"")</f>
        <v/>
      </c>
      <c r="D1358" s="16" t="str">
        <f>IFERROR(VLOOKUP(C1358,DATA!#REF!,2,FALSE),"")</f>
        <v/>
      </c>
      <c r="I1358" s="17"/>
      <c r="J1358" s="17"/>
      <c r="P1358" s="17"/>
      <c r="Q1358" s="17"/>
    </row>
    <row r="1359" spans="2:17">
      <c r="B1359" s="15" t="str">
        <f t="shared" si="62"/>
        <v/>
      </c>
      <c r="C1359" s="16" t="str">
        <f>IFERROR(VLOOKUP(DATA!#REF!,DATA!#REF!,1,FALSE),"")</f>
        <v/>
      </c>
      <c r="D1359" s="16" t="str">
        <f>IFERROR(VLOOKUP(C1359,DATA!#REF!,2,FALSE),"")</f>
        <v/>
      </c>
      <c r="I1359" s="17"/>
      <c r="J1359" s="17"/>
      <c r="P1359" s="17"/>
      <c r="Q1359" s="17"/>
    </row>
    <row r="1360" spans="2:17">
      <c r="B1360" s="15" t="str">
        <f t="shared" si="62"/>
        <v/>
      </c>
      <c r="C1360" s="16" t="str">
        <f>IFERROR(VLOOKUP(DATA!#REF!,DATA!#REF!,1,FALSE),"")</f>
        <v/>
      </c>
      <c r="D1360" s="16" t="str">
        <f>IFERROR(VLOOKUP(C1360,DATA!#REF!,2,FALSE),"")</f>
        <v/>
      </c>
      <c r="I1360" s="17"/>
      <c r="J1360" s="17"/>
      <c r="P1360" s="17"/>
      <c r="Q1360" s="17"/>
    </row>
    <row r="1361" spans="2:17">
      <c r="B1361" s="15" t="str">
        <f t="shared" si="62"/>
        <v/>
      </c>
      <c r="C1361" s="16" t="str">
        <f>IFERROR(VLOOKUP(DATA!#REF!,DATA!#REF!,1,FALSE),"")</f>
        <v/>
      </c>
      <c r="D1361" s="16" t="str">
        <f>IFERROR(VLOOKUP(C1361,DATA!#REF!,2,FALSE),"")</f>
        <v/>
      </c>
      <c r="I1361" s="17"/>
      <c r="J1361" s="17"/>
      <c r="P1361" s="17"/>
      <c r="Q1361" s="17"/>
    </row>
    <row r="1362" spans="2:17">
      <c r="B1362" s="15" t="str">
        <f t="shared" si="62"/>
        <v/>
      </c>
      <c r="C1362" s="16" t="str">
        <f>IFERROR(VLOOKUP(DATA!#REF!,DATA!#REF!,1,FALSE),"")</f>
        <v/>
      </c>
      <c r="D1362" s="16" t="str">
        <f>IFERROR(VLOOKUP(C1362,DATA!#REF!,2,FALSE),"")</f>
        <v/>
      </c>
      <c r="I1362" s="17"/>
      <c r="J1362" s="17"/>
      <c r="P1362" s="17"/>
      <c r="Q1362" s="17"/>
    </row>
    <row r="1363" spans="2:17">
      <c r="B1363" s="15" t="str">
        <f t="shared" si="62"/>
        <v/>
      </c>
      <c r="C1363" s="16" t="str">
        <f>IFERROR(VLOOKUP(DATA!#REF!,DATA!#REF!,1,FALSE),"")</f>
        <v/>
      </c>
      <c r="D1363" s="16" t="str">
        <f>IFERROR(VLOOKUP(C1363,DATA!#REF!,2,FALSE),"")</f>
        <v/>
      </c>
      <c r="I1363" s="17"/>
      <c r="J1363" s="17"/>
      <c r="P1363" s="17"/>
      <c r="Q1363" s="17"/>
    </row>
    <row r="1364" spans="2:17">
      <c r="B1364" s="15" t="str">
        <f t="shared" si="62"/>
        <v/>
      </c>
      <c r="C1364" s="16" t="str">
        <f>IFERROR(VLOOKUP(DATA!#REF!,DATA!#REF!,1,FALSE),"")</f>
        <v/>
      </c>
      <c r="D1364" s="16" t="str">
        <f>IFERROR(VLOOKUP(C1364,DATA!#REF!,2,FALSE),"")</f>
        <v/>
      </c>
      <c r="I1364" s="17"/>
      <c r="J1364" s="17"/>
      <c r="P1364" s="17"/>
      <c r="Q1364" s="17"/>
    </row>
    <row r="1365" spans="2:17">
      <c r="B1365" s="15" t="str">
        <f t="shared" si="62"/>
        <v/>
      </c>
      <c r="C1365" s="16" t="str">
        <f>IFERROR(VLOOKUP(DATA!#REF!,DATA!#REF!,1,FALSE),"")</f>
        <v/>
      </c>
      <c r="D1365" s="16" t="str">
        <f>IFERROR(VLOOKUP(C1365,DATA!#REF!,2,FALSE),"")</f>
        <v/>
      </c>
      <c r="I1365" s="17"/>
      <c r="J1365" s="17"/>
      <c r="P1365" s="17"/>
      <c r="Q1365" s="17"/>
    </row>
    <row r="1366" spans="2:17">
      <c r="B1366" s="15" t="str">
        <f t="shared" si="62"/>
        <v/>
      </c>
      <c r="C1366" s="16" t="str">
        <f>IFERROR(VLOOKUP(DATA!#REF!,DATA!#REF!,1,FALSE),"")</f>
        <v/>
      </c>
      <c r="D1366" s="16" t="str">
        <f>IFERROR(VLOOKUP(C1366,DATA!#REF!,2,FALSE),"")</f>
        <v/>
      </c>
      <c r="I1366" s="17"/>
      <c r="J1366" s="17"/>
      <c r="P1366" s="17"/>
      <c r="Q1366" s="17"/>
    </row>
    <row r="1367" spans="2:17">
      <c r="B1367" s="15" t="str">
        <f t="shared" si="62"/>
        <v/>
      </c>
      <c r="C1367" s="16" t="str">
        <f>IFERROR(VLOOKUP(DATA!#REF!,DATA!#REF!,1,FALSE),"")</f>
        <v/>
      </c>
      <c r="D1367" s="16" t="str">
        <f>IFERROR(VLOOKUP(C1367,DATA!#REF!,2,FALSE),"")</f>
        <v/>
      </c>
      <c r="I1367" s="17"/>
      <c r="J1367" s="17"/>
      <c r="P1367" s="17"/>
      <c r="Q1367" s="17"/>
    </row>
    <row r="1368" spans="2:17">
      <c r="B1368" s="15" t="str">
        <f t="shared" si="62"/>
        <v/>
      </c>
      <c r="C1368" s="16" t="str">
        <f>IFERROR(VLOOKUP(DATA!#REF!,DATA!#REF!,1,FALSE),"")</f>
        <v/>
      </c>
      <c r="D1368" s="16" t="str">
        <f>IFERROR(VLOOKUP(C1368,DATA!#REF!,2,FALSE),"")</f>
        <v/>
      </c>
      <c r="I1368" s="17"/>
      <c r="J1368" s="17"/>
      <c r="P1368" s="17"/>
      <c r="Q1368" s="17"/>
    </row>
    <row r="1369" spans="2:17">
      <c r="B1369" s="15" t="str">
        <f t="shared" si="62"/>
        <v/>
      </c>
      <c r="C1369" s="16" t="str">
        <f>IFERROR(VLOOKUP(DATA!#REF!,DATA!#REF!,1,FALSE),"")</f>
        <v/>
      </c>
      <c r="D1369" s="16" t="str">
        <f>IFERROR(VLOOKUP(C1369,DATA!#REF!,2,FALSE),"")</f>
        <v/>
      </c>
      <c r="I1369" s="17"/>
      <c r="J1369" s="17"/>
      <c r="P1369" s="17"/>
      <c r="Q1369" s="17"/>
    </row>
    <row r="1370" spans="2:17">
      <c r="B1370" s="15" t="str">
        <f t="shared" si="62"/>
        <v/>
      </c>
      <c r="C1370" s="16" t="str">
        <f>IFERROR(VLOOKUP(DATA!#REF!,DATA!#REF!,1,FALSE),"")</f>
        <v/>
      </c>
      <c r="D1370" s="16" t="str">
        <f>IFERROR(VLOOKUP(C1370,DATA!#REF!,2,FALSE),"")</f>
        <v/>
      </c>
      <c r="I1370" s="17"/>
      <c r="J1370" s="17"/>
      <c r="P1370" s="17"/>
      <c r="Q1370" s="17"/>
    </row>
    <row r="1371" spans="2:17">
      <c r="B1371" s="15" t="str">
        <f t="shared" si="62"/>
        <v/>
      </c>
      <c r="C1371" s="16" t="str">
        <f>IFERROR(VLOOKUP(DATA!#REF!,DATA!#REF!,1,FALSE),"")</f>
        <v/>
      </c>
      <c r="D1371" s="16" t="str">
        <f>IFERROR(VLOOKUP(C1371,DATA!#REF!,2,FALSE),"")</f>
        <v/>
      </c>
      <c r="I1371" s="17"/>
      <c r="J1371" s="17"/>
      <c r="P1371" s="17"/>
      <c r="Q1371" s="17"/>
    </row>
    <row r="1372" spans="2:17">
      <c r="B1372" s="15" t="str">
        <f t="shared" si="62"/>
        <v/>
      </c>
      <c r="C1372" s="16" t="str">
        <f>IFERROR(VLOOKUP(DATA!#REF!,DATA!#REF!,1,FALSE),"")</f>
        <v/>
      </c>
      <c r="D1372" s="16" t="str">
        <f>IFERROR(VLOOKUP(C1372,DATA!#REF!,2,FALSE),"")</f>
        <v/>
      </c>
      <c r="I1372" s="17"/>
      <c r="J1372" s="17"/>
      <c r="P1372" s="17"/>
      <c r="Q1372" s="17"/>
    </row>
    <row r="1373" spans="2:17">
      <c r="B1373" s="15" t="str">
        <f t="shared" si="62"/>
        <v/>
      </c>
      <c r="C1373" s="16" t="str">
        <f>IFERROR(VLOOKUP(DATA!#REF!,DATA!#REF!,1,FALSE),"")</f>
        <v/>
      </c>
      <c r="D1373" s="16" t="str">
        <f>IFERROR(VLOOKUP(C1373,DATA!#REF!,2,FALSE),"")</f>
        <v/>
      </c>
      <c r="I1373" s="17"/>
      <c r="J1373" s="17"/>
      <c r="P1373" s="17"/>
      <c r="Q1373" s="17"/>
    </row>
    <row r="1374" spans="2:17">
      <c r="B1374" s="15" t="str">
        <f t="shared" si="62"/>
        <v/>
      </c>
      <c r="C1374" s="16" t="str">
        <f>IFERROR(VLOOKUP(DATA!#REF!,DATA!#REF!,1,FALSE),"")</f>
        <v/>
      </c>
      <c r="D1374" s="16" t="str">
        <f>IFERROR(VLOOKUP(C1374,DATA!#REF!,2,FALSE),"")</f>
        <v/>
      </c>
      <c r="I1374" s="17"/>
      <c r="J1374" s="17"/>
      <c r="P1374" s="17"/>
      <c r="Q1374" s="17"/>
    </row>
    <row r="1375" spans="2:17">
      <c r="B1375" s="15" t="str">
        <f t="shared" si="62"/>
        <v/>
      </c>
      <c r="C1375" s="16" t="str">
        <f>IFERROR(VLOOKUP(DATA!#REF!,DATA!#REF!,1,FALSE),"")</f>
        <v/>
      </c>
      <c r="D1375" s="16" t="str">
        <f>IFERROR(VLOOKUP(C1375,DATA!#REF!,2,FALSE),"")</f>
        <v/>
      </c>
      <c r="I1375" s="17"/>
      <c r="J1375" s="17"/>
      <c r="P1375" s="17"/>
      <c r="Q1375" s="17"/>
    </row>
    <row r="1376" spans="2:17">
      <c r="B1376" s="15" t="str">
        <f t="shared" si="62"/>
        <v/>
      </c>
      <c r="C1376" s="16" t="str">
        <f>IFERROR(VLOOKUP(DATA!#REF!,DATA!#REF!,1,FALSE),"")</f>
        <v/>
      </c>
      <c r="D1376" s="16" t="str">
        <f>IFERROR(VLOOKUP(C1376,DATA!#REF!,2,FALSE),"")</f>
        <v/>
      </c>
      <c r="I1376" s="17"/>
      <c r="J1376" s="17"/>
      <c r="P1376" s="17"/>
      <c r="Q1376" s="17"/>
    </row>
    <row r="1377" spans="2:17">
      <c r="B1377" s="15" t="str">
        <f t="shared" si="62"/>
        <v/>
      </c>
      <c r="C1377" s="16" t="str">
        <f>IFERROR(VLOOKUP(DATA!#REF!,DATA!#REF!,1,FALSE),"")</f>
        <v/>
      </c>
      <c r="D1377" s="16" t="str">
        <f>IFERROR(VLOOKUP(C1377,DATA!#REF!,2,FALSE),"")</f>
        <v/>
      </c>
      <c r="I1377" s="17"/>
      <c r="J1377" s="17"/>
      <c r="P1377" s="17"/>
      <c r="Q1377" s="17"/>
    </row>
    <row r="1378" spans="2:17">
      <c r="B1378" s="15" t="str">
        <f t="shared" si="62"/>
        <v/>
      </c>
      <c r="C1378" s="16" t="str">
        <f>IFERROR(VLOOKUP(DATA!#REF!,DATA!#REF!,1,FALSE),"")</f>
        <v/>
      </c>
      <c r="D1378" s="16" t="str">
        <f>IFERROR(VLOOKUP(C1378,DATA!#REF!,2,FALSE),"")</f>
        <v/>
      </c>
      <c r="I1378" s="17"/>
      <c r="J1378" s="17"/>
      <c r="P1378" s="17"/>
      <c r="Q1378" s="17"/>
    </row>
    <row r="1379" spans="2:17">
      <c r="B1379" s="15" t="str">
        <f t="shared" si="62"/>
        <v/>
      </c>
      <c r="C1379" s="16" t="str">
        <f>IFERROR(VLOOKUP(DATA!#REF!,DATA!#REF!,1,FALSE),"")</f>
        <v/>
      </c>
      <c r="D1379" s="16" t="str">
        <f>IFERROR(VLOOKUP(C1379,DATA!#REF!,2,FALSE),"")</f>
        <v/>
      </c>
      <c r="I1379" s="17"/>
      <c r="J1379" s="17"/>
      <c r="P1379" s="17"/>
      <c r="Q1379" s="17"/>
    </row>
    <row r="1380" spans="2:17">
      <c r="B1380" s="15" t="str">
        <f t="shared" si="62"/>
        <v/>
      </c>
      <c r="C1380" s="16" t="str">
        <f>IFERROR(VLOOKUP(DATA!#REF!,DATA!#REF!,1,FALSE),"")</f>
        <v/>
      </c>
      <c r="D1380" s="16" t="str">
        <f>IFERROR(VLOOKUP(C1380,DATA!#REF!,2,FALSE),"")</f>
        <v/>
      </c>
      <c r="I1380" s="17"/>
      <c r="J1380" s="17"/>
      <c r="P1380" s="17"/>
      <c r="Q1380" s="17"/>
    </row>
    <row r="1381" spans="2:17">
      <c r="B1381" s="15" t="str">
        <f t="shared" si="62"/>
        <v/>
      </c>
      <c r="C1381" s="16" t="str">
        <f>IFERROR(VLOOKUP(DATA!#REF!,DATA!#REF!,1,FALSE),"")</f>
        <v/>
      </c>
      <c r="D1381" s="16" t="str">
        <f>IFERROR(VLOOKUP(C1381,DATA!#REF!,2,FALSE),"")</f>
        <v/>
      </c>
      <c r="I1381" s="17"/>
      <c r="J1381" s="17"/>
      <c r="P1381" s="17"/>
      <c r="Q1381" s="17"/>
    </row>
    <row r="1382" spans="2:17">
      <c r="B1382" s="15" t="str">
        <f t="shared" si="62"/>
        <v/>
      </c>
      <c r="C1382" s="16" t="str">
        <f>IFERROR(VLOOKUP(DATA!#REF!,DATA!#REF!,1,FALSE),"")</f>
        <v/>
      </c>
      <c r="D1382" s="16" t="str">
        <f>IFERROR(VLOOKUP(C1382,DATA!#REF!,2,FALSE),"")</f>
        <v/>
      </c>
      <c r="I1382" s="17"/>
      <c r="J1382" s="17"/>
      <c r="P1382" s="17"/>
      <c r="Q1382" s="17"/>
    </row>
    <row r="1383" spans="2:17">
      <c r="B1383" s="15" t="str">
        <f t="shared" si="62"/>
        <v/>
      </c>
      <c r="C1383" s="16" t="str">
        <f>IFERROR(VLOOKUP(DATA!#REF!,DATA!#REF!,1,FALSE),"")</f>
        <v/>
      </c>
      <c r="D1383" s="16" t="str">
        <f>IFERROR(VLOOKUP(C1383,DATA!#REF!,2,FALSE),"")</f>
        <v/>
      </c>
      <c r="I1383" s="17"/>
      <c r="J1383" s="17"/>
      <c r="P1383" s="17"/>
      <c r="Q1383" s="17"/>
    </row>
    <row r="1384" spans="2:17">
      <c r="B1384" s="15" t="str">
        <f t="shared" si="62"/>
        <v/>
      </c>
      <c r="C1384" s="16" t="str">
        <f>IFERROR(VLOOKUP(DATA!#REF!,DATA!#REF!,1,FALSE),"")</f>
        <v/>
      </c>
      <c r="D1384" s="16" t="str">
        <f>IFERROR(VLOOKUP(C1384,DATA!#REF!,2,FALSE),"")</f>
        <v/>
      </c>
      <c r="I1384" s="17"/>
      <c r="J1384" s="17"/>
      <c r="P1384" s="17"/>
      <c r="Q1384" s="17"/>
    </row>
    <row r="1385" spans="2:17">
      <c r="B1385" s="15" t="str">
        <f t="shared" si="62"/>
        <v/>
      </c>
      <c r="C1385" s="16" t="str">
        <f>IFERROR(VLOOKUP(DATA!#REF!,DATA!#REF!,1,FALSE),"")</f>
        <v/>
      </c>
      <c r="D1385" s="16" t="str">
        <f>IFERROR(VLOOKUP(C1385,DATA!#REF!,2,FALSE),"")</f>
        <v/>
      </c>
      <c r="I1385" s="17"/>
      <c r="J1385" s="17"/>
      <c r="P1385" s="17"/>
      <c r="Q1385" s="17"/>
    </row>
    <row r="1386" spans="2:17">
      <c r="B1386" s="15" t="str">
        <f t="shared" si="62"/>
        <v/>
      </c>
      <c r="C1386" s="16" t="str">
        <f>IFERROR(VLOOKUP(DATA!#REF!,DATA!#REF!,1,FALSE),"")</f>
        <v/>
      </c>
      <c r="D1386" s="16" t="str">
        <f>IFERROR(VLOOKUP(C1386,DATA!#REF!,2,FALSE),"")</f>
        <v/>
      </c>
      <c r="I1386" s="17"/>
      <c r="J1386" s="17"/>
      <c r="P1386" s="17"/>
      <c r="Q1386" s="17"/>
    </row>
    <row r="1387" spans="2:17">
      <c r="B1387" s="15" t="str">
        <f t="shared" si="62"/>
        <v/>
      </c>
      <c r="C1387" s="16" t="str">
        <f>IFERROR(VLOOKUP(DATA!#REF!,DATA!#REF!,1,FALSE),"")</f>
        <v/>
      </c>
      <c r="D1387" s="16" t="str">
        <f>IFERROR(VLOOKUP(C1387,DATA!#REF!,2,FALSE),"")</f>
        <v/>
      </c>
      <c r="I1387" s="17"/>
      <c r="J1387" s="17"/>
      <c r="P1387" s="17"/>
      <c r="Q1387" s="17"/>
    </row>
    <row r="1388" spans="2:17">
      <c r="B1388" s="15" t="str">
        <f t="shared" si="62"/>
        <v/>
      </c>
      <c r="C1388" s="16" t="str">
        <f>IFERROR(VLOOKUP(DATA!#REF!,DATA!#REF!,1,FALSE),"")</f>
        <v/>
      </c>
      <c r="D1388" s="16" t="str">
        <f>IFERROR(VLOOKUP(C1388,DATA!#REF!,2,FALSE),"")</f>
        <v/>
      </c>
      <c r="I1388" s="17"/>
      <c r="J1388" s="17"/>
      <c r="P1388" s="17"/>
      <c r="Q1388" s="17"/>
    </row>
    <row r="1389" spans="2:17">
      <c r="B1389" s="15" t="str">
        <f t="shared" si="62"/>
        <v/>
      </c>
      <c r="C1389" s="16" t="str">
        <f>IFERROR(VLOOKUP(DATA!#REF!,DATA!#REF!,1,FALSE),"")</f>
        <v/>
      </c>
      <c r="D1389" s="16" t="str">
        <f>IFERROR(VLOOKUP(C1389,DATA!#REF!,2,FALSE),"")</f>
        <v/>
      </c>
      <c r="I1389" s="17"/>
      <c r="J1389" s="17"/>
      <c r="P1389" s="17"/>
      <c r="Q1389" s="17"/>
    </row>
    <row r="1390" spans="2:17">
      <c r="B1390" s="15" t="str">
        <f t="shared" si="62"/>
        <v/>
      </c>
      <c r="C1390" s="16" t="str">
        <f>IFERROR(VLOOKUP(DATA!#REF!,DATA!#REF!,1,FALSE),"")</f>
        <v/>
      </c>
      <c r="D1390" s="16" t="str">
        <f>IFERROR(VLOOKUP(C1390,DATA!#REF!,2,FALSE),"")</f>
        <v/>
      </c>
      <c r="I1390" s="17"/>
      <c r="J1390" s="17"/>
      <c r="P1390" s="17"/>
      <c r="Q1390" s="17"/>
    </row>
    <row r="1391" spans="2:17">
      <c r="B1391" s="15" t="str">
        <f t="shared" si="62"/>
        <v/>
      </c>
      <c r="C1391" s="16" t="str">
        <f>IFERROR(VLOOKUP(DATA!#REF!,DATA!#REF!,1,FALSE),"")</f>
        <v/>
      </c>
      <c r="D1391" s="16" t="str">
        <f>IFERROR(VLOOKUP(C1391,DATA!#REF!,2,FALSE),"")</f>
        <v/>
      </c>
      <c r="I1391" s="17"/>
      <c r="J1391" s="17"/>
      <c r="P1391" s="17"/>
      <c r="Q1391" s="17"/>
    </row>
    <row r="1392" spans="2:17">
      <c r="B1392" s="15" t="str">
        <f t="shared" si="62"/>
        <v/>
      </c>
      <c r="C1392" s="16" t="str">
        <f>IFERROR(VLOOKUP(DATA!#REF!,DATA!#REF!,1,FALSE),"")</f>
        <v/>
      </c>
      <c r="D1392" s="16" t="str">
        <f>IFERROR(VLOOKUP(C1392,DATA!#REF!,2,FALSE),"")</f>
        <v/>
      </c>
      <c r="I1392" s="17"/>
      <c r="J1392" s="17"/>
      <c r="P1392" s="17"/>
      <c r="Q1392" s="17"/>
    </row>
    <row r="1393" spans="2:17">
      <c r="B1393" s="15" t="str">
        <f t="shared" si="62"/>
        <v/>
      </c>
      <c r="C1393" s="16" t="str">
        <f>IFERROR(VLOOKUP(DATA!#REF!,DATA!#REF!,1,FALSE),"")</f>
        <v/>
      </c>
      <c r="D1393" s="16" t="str">
        <f>IFERROR(VLOOKUP(C1393,DATA!#REF!,2,FALSE),"")</f>
        <v/>
      </c>
      <c r="I1393" s="17"/>
      <c r="J1393" s="17"/>
      <c r="P1393" s="17"/>
      <c r="Q1393" s="17"/>
    </row>
    <row r="1394" spans="2:17">
      <c r="B1394" s="15" t="str">
        <f t="shared" si="62"/>
        <v/>
      </c>
      <c r="C1394" s="16" t="str">
        <f>IFERROR(VLOOKUP(DATA!#REF!,DATA!#REF!,1,FALSE),"")</f>
        <v/>
      </c>
      <c r="D1394" s="16" t="str">
        <f>IFERROR(VLOOKUP(C1394,DATA!#REF!,2,FALSE),"")</f>
        <v/>
      </c>
      <c r="I1394" s="17"/>
      <c r="J1394" s="17"/>
      <c r="P1394" s="17"/>
      <c r="Q1394" s="17"/>
    </row>
    <row r="1395" spans="2:17">
      <c r="B1395" s="15" t="str">
        <f t="shared" si="62"/>
        <v/>
      </c>
      <c r="C1395" s="16" t="str">
        <f>IFERROR(VLOOKUP(DATA!#REF!,DATA!#REF!,1,FALSE),"")</f>
        <v/>
      </c>
      <c r="D1395" s="16" t="str">
        <f>IFERROR(VLOOKUP(C1395,DATA!#REF!,2,FALSE),"")</f>
        <v/>
      </c>
      <c r="I1395" s="17"/>
      <c r="J1395" s="17"/>
      <c r="P1395" s="17"/>
      <c r="Q1395" s="17"/>
    </row>
    <row r="1396" spans="2:17">
      <c r="B1396" s="15" t="str">
        <f t="shared" si="62"/>
        <v/>
      </c>
      <c r="C1396" s="16" t="str">
        <f>IFERROR(VLOOKUP(DATA!#REF!,DATA!#REF!,1,FALSE),"")</f>
        <v/>
      </c>
      <c r="D1396" s="16" t="str">
        <f>IFERROR(VLOOKUP(C1396,DATA!#REF!,2,FALSE),"")</f>
        <v/>
      </c>
      <c r="I1396" s="17"/>
      <c r="J1396" s="17"/>
      <c r="P1396" s="17"/>
      <c r="Q1396" s="17"/>
    </row>
    <row r="1397" spans="2:17">
      <c r="B1397" s="15" t="str">
        <f t="shared" si="62"/>
        <v/>
      </c>
      <c r="C1397" s="16" t="str">
        <f>IFERROR(VLOOKUP(DATA!#REF!,DATA!#REF!,1,FALSE),"")</f>
        <v/>
      </c>
      <c r="D1397" s="16" t="str">
        <f>IFERROR(VLOOKUP(C1397,DATA!#REF!,2,FALSE),"")</f>
        <v/>
      </c>
      <c r="I1397" s="17"/>
      <c r="J1397" s="17"/>
      <c r="P1397" s="17"/>
      <c r="Q1397" s="17"/>
    </row>
    <row r="1398" spans="2:17">
      <c r="B1398" s="15" t="str">
        <f t="shared" si="62"/>
        <v/>
      </c>
      <c r="C1398" s="16" t="str">
        <f>IFERROR(VLOOKUP(DATA!#REF!,DATA!#REF!,1,FALSE),"")</f>
        <v/>
      </c>
      <c r="D1398" s="16" t="str">
        <f>IFERROR(VLOOKUP(C1398,DATA!#REF!,2,FALSE),"")</f>
        <v/>
      </c>
      <c r="I1398" s="17"/>
      <c r="J1398" s="17"/>
      <c r="P1398" s="17"/>
      <c r="Q1398" s="17"/>
    </row>
    <row r="1399" spans="2:17">
      <c r="B1399" s="15" t="str">
        <f t="shared" ref="B1399:B1462" si="63">+IF(C1399="","",ROW()-5)</f>
        <v/>
      </c>
      <c r="C1399" s="16" t="str">
        <f>IFERROR(VLOOKUP(DATA!#REF!,DATA!#REF!,1,FALSE),"")</f>
        <v/>
      </c>
      <c r="D1399" s="16" t="str">
        <f>IFERROR(VLOOKUP(C1399,DATA!#REF!,2,FALSE),"")</f>
        <v/>
      </c>
      <c r="I1399" s="17"/>
      <c r="J1399" s="17"/>
      <c r="P1399" s="17"/>
      <c r="Q1399" s="17"/>
    </row>
    <row r="1400" spans="2:17">
      <c r="B1400" s="15" t="str">
        <f t="shared" si="63"/>
        <v/>
      </c>
      <c r="C1400" s="16" t="str">
        <f>IFERROR(VLOOKUP(DATA!#REF!,DATA!#REF!,1,FALSE),"")</f>
        <v/>
      </c>
      <c r="D1400" s="16" t="str">
        <f>IFERROR(VLOOKUP(C1400,DATA!#REF!,2,FALSE),"")</f>
        <v/>
      </c>
      <c r="I1400" s="17"/>
      <c r="J1400" s="17"/>
      <c r="P1400" s="17"/>
      <c r="Q1400" s="17"/>
    </row>
    <row r="1401" spans="2:17">
      <c r="B1401" s="15" t="str">
        <f t="shared" si="63"/>
        <v/>
      </c>
      <c r="C1401" s="16" t="str">
        <f>IFERROR(VLOOKUP(DATA!#REF!,DATA!#REF!,1,FALSE),"")</f>
        <v/>
      </c>
      <c r="D1401" s="16" t="str">
        <f>IFERROR(VLOOKUP(C1401,DATA!#REF!,2,FALSE),"")</f>
        <v/>
      </c>
      <c r="I1401" s="17"/>
      <c r="J1401" s="17"/>
      <c r="P1401" s="17"/>
      <c r="Q1401" s="17"/>
    </row>
    <row r="1402" spans="2:17">
      <c r="B1402" s="15" t="str">
        <f t="shared" si="63"/>
        <v/>
      </c>
      <c r="C1402" s="16" t="str">
        <f>IFERROR(VLOOKUP(DATA!#REF!,DATA!#REF!,1,FALSE),"")</f>
        <v/>
      </c>
      <c r="D1402" s="16" t="str">
        <f>IFERROR(VLOOKUP(C1402,DATA!#REF!,2,FALSE),"")</f>
        <v/>
      </c>
      <c r="I1402" s="17"/>
      <c r="J1402" s="17"/>
      <c r="P1402" s="17"/>
      <c r="Q1402" s="17"/>
    </row>
    <row r="1403" spans="2:17">
      <c r="B1403" s="15" t="str">
        <f t="shared" si="63"/>
        <v/>
      </c>
      <c r="C1403" s="16" t="str">
        <f>IFERROR(VLOOKUP(DATA!#REF!,DATA!#REF!,1,FALSE),"")</f>
        <v/>
      </c>
      <c r="D1403" s="16" t="str">
        <f>IFERROR(VLOOKUP(C1403,DATA!#REF!,2,FALSE),"")</f>
        <v/>
      </c>
      <c r="I1403" s="17"/>
      <c r="J1403" s="17"/>
      <c r="P1403" s="17"/>
      <c r="Q1403" s="17"/>
    </row>
    <row r="1404" spans="2:17">
      <c r="B1404" s="15" t="str">
        <f t="shared" si="63"/>
        <v/>
      </c>
      <c r="C1404" s="16" t="str">
        <f>IFERROR(VLOOKUP(DATA!#REF!,DATA!#REF!,1,FALSE),"")</f>
        <v/>
      </c>
      <c r="D1404" s="16" t="str">
        <f>IFERROR(VLOOKUP(C1404,DATA!#REF!,2,FALSE),"")</f>
        <v/>
      </c>
      <c r="I1404" s="17"/>
      <c r="J1404" s="17"/>
      <c r="P1404" s="17"/>
      <c r="Q1404" s="17"/>
    </row>
    <row r="1405" spans="2:17">
      <c r="B1405" s="15" t="str">
        <f t="shared" si="63"/>
        <v/>
      </c>
      <c r="C1405" s="16" t="str">
        <f>IFERROR(VLOOKUP(DATA!#REF!,DATA!#REF!,1,FALSE),"")</f>
        <v/>
      </c>
      <c r="D1405" s="16" t="str">
        <f>IFERROR(VLOOKUP(C1405,DATA!#REF!,2,FALSE),"")</f>
        <v/>
      </c>
      <c r="I1405" s="17"/>
      <c r="J1405" s="17"/>
      <c r="P1405" s="17"/>
      <c r="Q1405" s="17"/>
    </row>
    <row r="1406" spans="2:17">
      <c r="B1406" s="15" t="str">
        <f t="shared" si="63"/>
        <v/>
      </c>
      <c r="C1406" s="16" t="str">
        <f>IFERROR(VLOOKUP(DATA!#REF!,DATA!#REF!,1,FALSE),"")</f>
        <v/>
      </c>
      <c r="D1406" s="16" t="str">
        <f>IFERROR(VLOOKUP(C1406,DATA!#REF!,2,FALSE),"")</f>
        <v/>
      </c>
      <c r="I1406" s="17"/>
      <c r="J1406" s="17"/>
      <c r="P1406" s="17"/>
      <c r="Q1406" s="17"/>
    </row>
    <row r="1407" spans="2:17">
      <c r="B1407" s="15" t="str">
        <f t="shared" si="63"/>
        <v/>
      </c>
      <c r="C1407" s="16" t="str">
        <f>IFERROR(VLOOKUP(DATA!#REF!,DATA!#REF!,1,FALSE),"")</f>
        <v/>
      </c>
      <c r="D1407" s="16" t="str">
        <f>IFERROR(VLOOKUP(C1407,DATA!#REF!,2,FALSE),"")</f>
        <v/>
      </c>
      <c r="I1407" s="17"/>
      <c r="J1407" s="17"/>
      <c r="P1407" s="17"/>
      <c r="Q1407" s="17"/>
    </row>
    <row r="1408" spans="2:17">
      <c r="B1408" s="15" t="str">
        <f t="shared" si="63"/>
        <v/>
      </c>
      <c r="C1408" s="16" t="str">
        <f>IFERROR(VLOOKUP(DATA!#REF!,DATA!#REF!,1,FALSE),"")</f>
        <v/>
      </c>
      <c r="D1408" s="16" t="str">
        <f>IFERROR(VLOOKUP(C1408,DATA!#REF!,2,FALSE),"")</f>
        <v/>
      </c>
      <c r="I1408" s="17"/>
      <c r="J1408" s="17"/>
      <c r="P1408" s="17"/>
      <c r="Q1408" s="17"/>
    </row>
    <row r="1409" spans="2:17">
      <c r="B1409" s="15" t="str">
        <f t="shared" si="63"/>
        <v/>
      </c>
      <c r="C1409" s="16" t="str">
        <f>IFERROR(VLOOKUP(DATA!#REF!,DATA!#REF!,1,FALSE),"")</f>
        <v/>
      </c>
      <c r="D1409" s="16" t="str">
        <f>IFERROR(VLOOKUP(C1409,DATA!#REF!,2,FALSE),"")</f>
        <v/>
      </c>
      <c r="I1409" s="17"/>
      <c r="J1409" s="17"/>
      <c r="P1409" s="17"/>
      <c r="Q1409" s="17"/>
    </row>
    <row r="1410" spans="2:17">
      <c r="B1410" s="15" t="str">
        <f t="shared" si="63"/>
        <v/>
      </c>
      <c r="C1410" s="16" t="str">
        <f>IFERROR(VLOOKUP(DATA!#REF!,DATA!#REF!,1,FALSE),"")</f>
        <v/>
      </c>
      <c r="D1410" s="16" t="str">
        <f>IFERROR(VLOOKUP(C1410,DATA!#REF!,2,FALSE),"")</f>
        <v/>
      </c>
      <c r="I1410" s="17"/>
      <c r="J1410" s="17"/>
      <c r="P1410" s="17"/>
      <c r="Q1410" s="17"/>
    </row>
    <row r="1411" spans="2:17">
      <c r="B1411" s="15" t="str">
        <f t="shared" si="63"/>
        <v/>
      </c>
      <c r="C1411" s="16" t="str">
        <f>IFERROR(VLOOKUP(DATA!#REF!,DATA!#REF!,1,FALSE),"")</f>
        <v/>
      </c>
      <c r="D1411" s="16" t="str">
        <f>IFERROR(VLOOKUP(C1411,DATA!#REF!,2,FALSE),"")</f>
        <v/>
      </c>
      <c r="I1411" s="17"/>
      <c r="J1411" s="17"/>
      <c r="P1411" s="17"/>
      <c r="Q1411" s="17"/>
    </row>
    <row r="1412" spans="2:17">
      <c r="B1412" s="15" t="str">
        <f t="shared" si="63"/>
        <v/>
      </c>
      <c r="C1412" s="16" t="str">
        <f>IFERROR(VLOOKUP(DATA!#REF!,DATA!#REF!,1,FALSE),"")</f>
        <v/>
      </c>
      <c r="D1412" s="16" t="str">
        <f>IFERROR(VLOOKUP(C1412,DATA!#REF!,2,FALSE),"")</f>
        <v/>
      </c>
      <c r="I1412" s="17"/>
      <c r="J1412" s="17"/>
      <c r="P1412" s="17"/>
      <c r="Q1412" s="17"/>
    </row>
    <row r="1413" spans="2:17">
      <c r="B1413" s="15" t="str">
        <f t="shared" si="63"/>
        <v/>
      </c>
      <c r="C1413" s="16" t="str">
        <f>IFERROR(VLOOKUP(DATA!#REF!,DATA!#REF!,1,FALSE),"")</f>
        <v/>
      </c>
      <c r="D1413" s="16" t="str">
        <f>IFERROR(VLOOKUP(C1413,DATA!#REF!,2,FALSE),"")</f>
        <v/>
      </c>
      <c r="I1413" s="17"/>
      <c r="J1413" s="17"/>
      <c r="P1413" s="17"/>
      <c r="Q1413" s="17"/>
    </row>
    <row r="1414" spans="2:17">
      <c r="B1414" s="15" t="str">
        <f t="shared" si="63"/>
        <v/>
      </c>
      <c r="C1414" s="16" t="str">
        <f>IFERROR(VLOOKUP(DATA!#REF!,DATA!#REF!,1,FALSE),"")</f>
        <v/>
      </c>
      <c r="D1414" s="16" t="str">
        <f>IFERROR(VLOOKUP(C1414,DATA!#REF!,2,FALSE),"")</f>
        <v/>
      </c>
      <c r="I1414" s="17"/>
      <c r="J1414" s="17"/>
      <c r="P1414" s="17"/>
      <c r="Q1414" s="17"/>
    </row>
    <row r="1415" spans="2:17">
      <c r="B1415" s="15" t="str">
        <f t="shared" si="63"/>
        <v/>
      </c>
      <c r="C1415" s="16" t="str">
        <f>IFERROR(VLOOKUP(DATA!#REF!,DATA!#REF!,1,FALSE),"")</f>
        <v/>
      </c>
      <c r="D1415" s="16" t="str">
        <f>IFERROR(VLOOKUP(C1415,DATA!#REF!,2,FALSE),"")</f>
        <v/>
      </c>
      <c r="I1415" s="17"/>
      <c r="J1415" s="17"/>
      <c r="P1415" s="17"/>
      <c r="Q1415" s="17"/>
    </row>
    <row r="1416" spans="2:17">
      <c r="B1416" s="15" t="str">
        <f t="shared" si="63"/>
        <v/>
      </c>
      <c r="C1416" s="16" t="str">
        <f>IFERROR(VLOOKUP(DATA!#REF!,DATA!#REF!,1,FALSE),"")</f>
        <v/>
      </c>
      <c r="D1416" s="16" t="str">
        <f>IFERROR(VLOOKUP(C1416,DATA!#REF!,2,FALSE),"")</f>
        <v/>
      </c>
      <c r="I1416" s="17"/>
      <c r="J1416" s="17"/>
      <c r="P1416" s="17"/>
      <c r="Q1416" s="17"/>
    </row>
    <row r="1417" spans="2:17">
      <c r="B1417" s="15" t="str">
        <f t="shared" si="63"/>
        <v/>
      </c>
      <c r="C1417" s="16" t="str">
        <f>IFERROR(VLOOKUP(DATA!#REF!,DATA!#REF!,1,FALSE),"")</f>
        <v/>
      </c>
      <c r="D1417" s="16" t="str">
        <f>IFERROR(VLOOKUP(C1417,DATA!#REF!,2,FALSE),"")</f>
        <v/>
      </c>
      <c r="I1417" s="17"/>
      <c r="J1417" s="17"/>
      <c r="P1417" s="17"/>
      <c r="Q1417" s="17"/>
    </row>
    <row r="1418" spans="2:17">
      <c r="B1418" s="15" t="str">
        <f t="shared" si="63"/>
        <v/>
      </c>
      <c r="C1418" s="16" t="str">
        <f>IFERROR(VLOOKUP(DATA!#REF!,DATA!#REF!,1,FALSE),"")</f>
        <v/>
      </c>
      <c r="D1418" s="16" t="str">
        <f>IFERROR(VLOOKUP(C1418,DATA!#REF!,2,FALSE),"")</f>
        <v/>
      </c>
      <c r="I1418" s="17"/>
      <c r="J1418" s="17"/>
      <c r="P1418" s="17"/>
      <c r="Q1418" s="17"/>
    </row>
    <row r="1419" spans="2:17">
      <c r="B1419" s="15" t="str">
        <f t="shared" si="63"/>
        <v/>
      </c>
      <c r="C1419" s="16" t="str">
        <f>IFERROR(VLOOKUP(DATA!#REF!,DATA!#REF!,1,FALSE),"")</f>
        <v/>
      </c>
      <c r="D1419" s="16" t="str">
        <f>IFERROR(VLOOKUP(C1419,DATA!#REF!,2,FALSE),"")</f>
        <v/>
      </c>
      <c r="I1419" s="17"/>
      <c r="J1419" s="17"/>
      <c r="P1419" s="17"/>
      <c r="Q1419" s="17"/>
    </row>
    <row r="1420" spans="2:17">
      <c r="B1420" s="15" t="str">
        <f t="shared" si="63"/>
        <v/>
      </c>
      <c r="C1420" s="16" t="str">
        <f>IFERROR(VLOOKUP(DATA!#REF!,DATA!#REF!,1,FALSE),"")</f>
        <v/>
      </c>
      <c r="D1420" s="16" t="str">
        <f>IFERROR(VLOOKUP(C1420,DATA!#REF!,2,FALSE),"")</f>
        <v/>
      </c>
      <c r="I1420" s="17"/>
      <c r="J1420" s="17"/>
      <c r="P1420" s="17"/>
      <c r="Q1420" s="17"/>
    </row>
    <row r="1421" spans="2:17">
      <c r="B1421" s="15" t="str">
        <f t="shared" si="63"/>
        <v/>
      </c>
      <c r="C1421" s="16" t="str">
        <f>IFERROR(VLOOKUP(DATA!#REF!,DATA!#REF!,1,FALSE),"")</f>
        <v/>
      </c>
      <c r="D1421" s="16" t="str">
        <f>IFERROR(VLOOKUP(C1421,DATA!#REF!,2,FALSE),"")</f>
        <v/>
      </c>
      <c r="I1421" s="17"/>
      <c r="J1421" s="17"/>
      <c r="P1421" s="17"/>
      <c r="Q1421" s="17"/>
    </row>
    <row r="1422" spans="2:17">
      <c r="B1422" s="15" t="str">
        <f t="shared" si="63"/>
        <v/>
      </c>
      <c r="C1422" s="16" t="str">
        <f>IFERROR(VLOOKUP(DATA!#REF!,DATA!#REF!,1,FALSE),"")</f>
        <v/>
      </c>
      <c r="D1422" s="16" t="str">
        <f>IFERROR(VLOOKUP(C1422,DATA!#REF!,2,FALSE),"")</f>
        <v/>
      </c>
      <c r="I1422" s="17"/>
      <c r="J1422" s="17"/>
      <c r="P1422" s="17"/>
      <c r="Q1422" s="17"/>
    </row>
    <row r="1423" spans="2:17">
      <c r="B1423" s="15" t="str">
        <f t="shared" si="63"/>
        <v/>
      </c>
      <c r="C1423" s="16" t="str">
        <f>IFERROR(VLOOKUP(DATA!#REF!,DATA!#REF!,1,FALSE),"")</f>
        <v/>
      </c>
      <c r="D1423" s="16" t="str">
        <f>IFERROR(VLOOKUP(C1423,DATA!#REF!,2,FALSE),"")</f>
        <v/>
      </c>
      <c r="I1423" s="17"/>
      <c r="J1423" s="17"/>
      <c r="P1423" s="17"/>
      <c r="Q1423" s="17"/>
    </row>
    <row r="1424" spans="2:17">
      <c r="B1424" s="15" t="str">
        <f t="shared" si="63"/>
        <v/>
      </c>
      <c r="C1424" s="16" t="str">
        <f>IFERROR(VLOOKUP(DATA!#REF!,DATA!#REF!,1,FALSE),"")</f>
        <v/>
      </c>
      <c r="D1424" s="16" t="str">
        <f>IFERROR(VLOOKUP(C1424,DATA!#REF!,2,FALSE),"")</f>
        <v/>
      </c>
      <c r="I1424" s="17"/>
      <c r="J1424" s="17"/>
      <c r="P1424" s="17"/>
      <c r="Q1424" s="17"/>
    </row>
    <row r="1425" spans="2:17">
      <c r="B1425" s="15" t="str">
        <f t="shared" si="63"/>
        <v/>
      </c>
      <c r="C1425" s="16" t="str">
        <f>IFERROR(VLOOKUP(DATA!#REF!,DATA!#REF!,1,FALSE),"")</f>
        <v/>
      </c>
      <c r="D1425" s="16" t="str">
        <f>IFERROR(VLOOKUP(C1425,DATA!#REF!,2,FALSE),"")</f>
        <v/>
      </c>
      <c r="I1425" s="17"/>
      <c r="J1425" s="17"/>
      <c r="P1425" s="17"/>
      <c r="Q1425" s="17"/>
    </row>
    <row r="1426" spans="2:17">
      <c r="B1426" s="15" t="str">
        <f t="shared" si="63"/>
        <v/>
      </c>
      <c r="C1426" s="16" t="str">
        <f>IFERROR(VLOOKUP(DATA!#REF!,DATA!#REF!,1,FALSE),"")</f>
        <v/>
      </c>
      <c r="D1426" s="16" t="str">
        <f>IFERROR(VLOOKUP(C1426,DATA!#REF!,2,FALSE),"")</f>
        <v/>
      </c>
      <c r="I1426" s="17"/>
      <c r="J1426" s="17"/>
      <c r="P1426" s="17"/>
      <c r="Q1426" s="17"/>
    </row>
    <row r="1427" spans="2:17">
      <c r="B1427" s="15" t="str">
        <f t="shared" si="63"/>
        <v/>
      </c>
      <c r="C1427" s="16" t="str">
        <f>IFERROR(VLOOKUP(DATA!#REF!,DATA!#REF!,1,FALSE),"")</f>
        <v/>
      </c>
      <c r="D1427" s="16" t="str">
        <f>IFERROR(VLOOKUP(C1427,DATA!#REF!,2,FALSE),"")</f>
        <v/>
      </c>
      <c r="I1427" s="17"/>
      <c r="J1427" s="17"/>
      <c r="P1427" s="17"/>
      <c r="Q1427" s="17"/>
    </row>
    <row r="1428" spans="2:17">
      <c r="B1428" s="15" t="str">
        <f t="shared" si="63"/>
        <v/>
      </c>
      <c r="C1428" s="16" t="str">
        <f>IFERROR(VLOOKUP(DATA!#REF!,DATA!#REF!,1,FALSE),"")</f>
        <v/>
      </c>
      <c r="D1428" s="16" t="str">
        <f>IFERROR(VLOOKUP(C1428,DATA!#REF!,2,FALSE),"")</f>
        <v/>
      </c>
      <c r="I1428" s="17"/>
      <c r="J1428" s="17"/>
      <c r="P1428" s="17"/>
      <c r="Q1428" s="17"/>
    </row>
    <row r="1429" spans="2:17">
      <c r="B1429" s="15" t="str">
        <f t="shared" si="63"/>
        <v/>
      </c>
      <c r="C1429" s="16" t="str">
        <f>IFERROR(VLOOKUP(DATA!#REF!,DATA!#REF!,1,FALSE),"")</f>
        <v/>
      </c>
      <c r="D1429" s="16" t="str">
        <f>IFERROR(VLOOKUP(C1429,DATA!#REF!,2,FALSE),"")</f>
        <v/>
      </c>
      <c r="I1429" s="17"/>
      <c r="J1429" s="17"/>
      <c r="P1429" s="17"/>
      <c r="Q1429" s="17"/>
    </row>
    <row r="1430" spans="2:17">
      <c r="B1430" s="15" t="str">
        <f t="shared" si="63"/>
        <v/>
      </c>
      <c r="C1430" s="16" t="str">
        <f>IFERROR(VLOOKUP(DATA!#REF!,DATA!#REF!,1,FALSE),"")</f>
        <v/>
      </c>
      <c r="D1430" s="16" t="str">
        <f>IFERROR(VLOOKUP(C1430,DATA!#REF!,2,FALSE),"")</f>
        <v/>
      </c>
      <c r="I1430" s="17"/>
      <c r="J1430" s="17"/>
      <c r="P1430" s="17"/>
      <c r="Q1430" s="17"/>
    </row>
    <row r="1431" spans="2:17">
      <c r="B1431" s="15" t="str">
        <f t="shared" si="63"/>
        <v/>
      </c>
      <c r="C1431" s="16" t="str">
        <f>IFERROR(VLOOKUP(DATA!#REF!,DATA!#REF!,1,FALSE),"")</f>
        <v/>
      </c>
      <c r="D1431" s="16" t="str">
        <f>IFERROR(VLOOKUP(C1431,DATA!#REF!,2,FALSE),"")</f>
        <v/>
      </c>
      <c r="I1431" s="17"/>
      <c r="J1431" s="17"/>
      <c r="P1431" s="17"/>
      <c r="Q1431" s="17"/>
    </row>
    <row r="1432" spans="2:17">
      <c r="B1432" s="15" t="str">
        <f t="shared" si="63"/>
        <v/>
      </c>
      <c r="C1432" s="16" t="str">
        <f>IFERROR(VLOOKUP(DATA!#REF!,DATA!#REF!,1,FALSE),"")</f>
        <v/>
      </c>
      <c r="D1432" s="16" t="str">
        <f>IFERROR(VLOOKUP(C1432,DATA!#REF!,2,FALSE),"")</f>
        <v/>
      </c>
      <c r="I1432" s="17"/>
      <c r="J1432" s="17"/>
      <c r="P1432" s="17"/>
      <c r="Q1432" s="17"/>
    </row>
    <row r="1433" spans="2:17">
      <c r="B1433" s="15" t="str">
        <f t="shared" si="63"/>
        <v/>
      </c>
      <c r="C1433" s="16" t="str">
        <f>IFERROR(VLOOKUP(DATA!#REF!,DATA!#REF!,1,FALSE),"")</f>
        <v/>
      </c>
      <c r="D1433" s="16" t="str">
        <f>IFERROR(VLOOKUP(C1433,DATA!#REF!,2,FALSE),"")</f>
        <v/>
      </c>
      <c r="I1433" s="17"/>
      <c r="J1433" s="17"/>
      <c r="P1433" s="17"/>
      <c r="Q1433" s="17"/>
    </row>
    <row r="1434" spans="2:17">
      <c r="B1434" s="15" t="str">
        <f t="shared" si="63"/>
        <v/>
      </c>
      <c r="C1434" s="16" t="str">
        <f>IFERROR(VLOOKUP(DATA!#REF!,DATA!#REF!,1,FALSE),"")</f>
        <v/>
      </c>
      <c r="D1434" s="16" t="str">
        <f>IFERROR(VLOOKUP(C1434,DATA!#REF!,2,FALSE),"")</f>
        <v/>
      </c>
      <c r="I1434" s="17"/>
      <c r="J1434" s="17"/>
      <c r="P1434" s="17"/>
      <c r="Q1434" s="17"/>
    </row>
    <row r="1435" spans="2:17">
      <c r="B1435" s="15" t="str">
        <f t="shared" si="63"/>
        <v/>
      </c>
      <c r="C1435" s="16" t="str">
        <f>IFERROR(VLOOKUP(DATA!#REF!,DATA!#REF!,1,FALSE),"")</f>
        <v/>
      </c>
      <c r="D1435" s="16" t="str">
        <f>IFERROR(VLOOKUP(C1435,DATA!#REF!,2,FALSE),"")</f>
        <v/>
      </c>
      <c r="I1435" s="17"/>
      <c r="J1435" s="17"/>
      <c r="P1435" s="17"/>
      <c r="Q1435" s="17"/>
    </row>
    <row r="1436" spans="2:17">
      <c r="B1436" s="15" t="str">
        <f t="shared" si="63"/>
        <v/>
      </c>
      <c r="C1436" s="16" t="str">
        <f>IFERROR(VLOOKUP(DATA!#REF!,DATA!#REF!,1,FALSE),"")</f>
        <v/>
      </c>
      <c r="D1436" s="16" t="str">
        <f>IFERROR(VLOOKUP(C1436,DATA!#REF!,2,FALSE),"")</f>
        <v/>
      </c>
      <c r="I1436" s="17"/>
      <c r="J1436" s="17"/>
      <c r="P1436" s="17"/>
      <c r="Q1436" s="17"/>
    </row>
    <row r="1437" spans="2:17">
      <c r="B1437" s="15" t="str">
        <f t="shared" si="63"/>
        <v/>
      </c>
      <c r="C1437" s="16" t="str">
        <f>IFERROR(VLOOKUP(DATA!#REF!,DATA!#REF!,1,FALSE),"")</f>
        <v/>
      </c>
      <c r="D1437" s="16" t="str">
        <f>IFERROR(VLOOKUP(C1437,DATA!#REF!,2,FALSE),"")</f>
        <v/>
      </c>
      <c r="I1437" s="17"/>
      <c r="J1437" s="17"/>
      <c r="P1437" s="17"/>
      <c r="Q1437" s="17"/>
    </row>
    <row r="1438" spans="2:17">
      <c r="B1438" s="15" t="str">
        <f t="shared" si="63"/>
        <v/>
      </c>
      <c r="C1438" s="16" t="str">
        <f>IFERROR(VLOOKUP(DATA!#REF!,DATA!#REF!,1,FALSE),"")</f>
        <v/>
      </c>
      <c r="D1438" s="16" t="str">
        <f>IFERROR(VLOOKUP(C1438,DATA!#REF!,2,FALSE),"")</f>
        <v/>
      </c>
      <c r="I1438" s="17"/>
      <c r="J1438" s="17"/>
      <c r="P1438" s="17"/>
      <c r="Q1438" s="17"/>
    </row>
    <row r="1439" spans="2:17">
      <c r="B1439" s="15" t="str">
        <f t="shared" si="63"/>
        <v/>
      </c>
      <c r="C1439" s="16" t="str">
        <f>IFERROR(VLOOKUP(DATA!#REF!,DATA!#REF!,1,FALSE),"")</f>
        <v/>
      </c>
      <c r="D1439" s="16" t="str">
        <f>IFERROR(VLOOKUP(C1439,DATA!#REF!,2,FALSE),"")</f>
        <v/>
      </c>
      <c r="I1439" s="17"/>
      <c r="J1439" s="17"/>
      <c r="P1439" s="17"/>
      <c r="Q1439" s="17"/>
    </row>
    <row r="1440" spans="2:17">
      <c r="B1440" s="15" t="str">
        <f t="shared" si="63"/>
        <v/>
      </c>
      <c r="C1440" s="16" t="str">
        <f>IFERROR(VLOOKUP(DATA!#REF!,DATA!#REF!,1,FALSE),"")</f>
        <v/>
      </c>
      <c r="D1440" s="16" t="str">
        <f>IFERROR(VLOOKUP(C1440,DATA!#REF!,2,FALSE),"")</f>
        <v/>
      </c>
      <c r="I1440" s="17"/>
      <c r="J1440" s="17"/>
      <c r="P1440" s="17"/>
      <c r="Q1440" s="17"/>
    </row>
    <row r="1441" spans="2:17">
      <c r="B1441" s="15" t="str">
        <f t="shared" si="63"/>
        <v/>
      </c>
      <c r="C1441" s="16" t="str">
        <f>IFERROR(VLOOKUP(DATA!#REF!,DATA!#REF!,1,FALSE),"")</f>
        <v/>
      </c>
      <c r="D1441" s="16" t="str">
        <f>IFERROR(VLOOKUP(C1441,DATA!#REF!,2,FALSE),"")</f>
        <v/>
      </c>
      <c r="I1441" s="17"/>
      <c r="J1441" s="17"/>
      <c r="P1441" s="17"/>
      <c r="Q1441" s="17"/>
    </row>
    <row r="1442" spans="2:17">
      <c r="B1442" s="15" t="str">
        <f t="shared" si="63"/>
        <v/>
      </c>
      <c r="C1442" s="16" t="str">
        <f>IFERROR(VLOOKUP(DATA!#REF!,DATA!#REF!,1,FALSE),"")</f>
        <v/>
      </c>
      <c r="D1442" s="16" t="str">
        <f>IFERROR(VLOOKUP(C1442,DATA!#REF!,2,FALSE),"")</f>
        <v/>
      </c>
      <c r="I1442" s="17"/>
      <c r="J1442" s="17"/>
      <c r="P1442" s="17"/>
      <c r="Q1442" s="17"/>
    </row>
    <row r="1443" spans="2:17">
      <c r="B1443" s="15" t="str">
        <f t="shared" si="63"/>
        <v/>
      </c>
      <c r="C1443" s="16" t="str">
        <f>IFERROR(VLOOKUP(DATA!#REF!,DATA!#REF!,1,FALSE),"")</f>
        <v/>
      </c>
      <c r="D1443" s="16" t="str">
        <f>IFERROR(VLOOKUP(C1443,DATA!#REF!,2,FALSE),"")</f>
        <v/>
      </c>
      <c r="I1443" s="17"/>
      <c r="J1443" s="17"/>
      <c r="P1443" s="17"/>
      <c r="Q1443" s="17"/>
    </row>
    <row r="1444" spans="2:17">
      <c r="B1444" s="15" t="str">
        <f t="shared" si="63"/>
        <v/>
      </c>
      <c r="C1444" s="16" t="str">
        <f>IFERROR(VLOOKUP(DATA!#REF!,DATA!#REF!,1,FALSE),"")</f>
        <v/>
      </c>
      <c r="D1444" s="16" t="str">
        <f>IFERROR(VLOOKUP(C1444,DATA!#REF!,2,FALSE),"")</f>
        <v/>
      </c>
      <c r="I1444" s="17"/>
      <c r="J1444" s="17"/>
      <c r="P1444" s="17"/>
      <c r="Q1444" s="17"/>
    </row>
    <row r="1445" spans="2:17">
      <c r="B1445" s="15" t="str">
        <f t="shared" si="63"/>
        <v/>
      </c>
      <c r="C1445" s="16" t="str">
        <f>IFERROR(VLOOKUP(DATA!#REF!,DATA!#REF!,1,FALSE),"")</f>
        <v/>
      </c>
      <c r="D1445" s="16" t="str">
        <f>IFERROR(VLOOKUP(C1445,DATA!#REF!,2,FALSE),"")</f>
        <v/>
      </c>
      <c r="I1445" s="17"/>
      <c r="J1445" s="17"/>
      <c r="P1445" s="17"/>
      <c r="Q1445" s="17"/>
    </row>
    <row r="1446" spans="2:17">
      <c r="B1446" s="15" t="str">
        <f t="shared" si="63"/>
        <v/>
      </c>
      <c r="C1446" s="16" t="str">
        <f>IFERROR(VLOOKUP(DATA!#REF!,DATA!#REF!,1,FALSE),"")</f>
        <v/>
      </c>
      <c r="D1446" s="16" t="str">
        <f>IFERROR(VLOOKUP(C1446,DATA!#REF!,2,FALSE),"")</f>
        <v/>
      </c>
      <c r="I1446" s="17"/>
      <c r="J1446" s="17"/>
      <c r="P1446" s="17"/>
      <c r="Q1446" s="17"/>
    </row>
    <row r="1447" spans="2:17">
      <c r="B1447" s="15" t="str">
        <f t="shared" si="63"/>
        <v/>
      </c>
      <c r="C1447" s="16" t="str">
        <f>IFERROR(VLOOKUP(DATA!#REF!,DATA!#REF!,1,FALSE),"")</f>
        <v/>
      </c>
      <c r="D1447" s="16" t="str">
        <f>IFERROR(VLOOKUP(C1447,DATA!#REF!,2,FALSE),"")</f>
        <v/>
      </c>
      <c r="I1447" s="17"/>
      <c r="J1447" s="17"/>
      <c r="P1447" s="17"/>
      <c r="Q1447" s="17"/>
    </row>
    <row r="1448" spans="2:17">
      <c r="B1448" s="15" t="str">
        <f t="shared" si="63"/>
        <v/>
      </c>
      <c r="C1448" s="16" t="str">
        <f>IFERROR(VLOOKUP(DATA!#REF!,DATA!#REF!,1,FALSE),"")</f>
        <v/>
      </c>
      <c r="D1448" s="16" t="str">
        <f>IFERROR(VLOOKUP(C1448,DATA!#REF!,2,FALSE),"")</f>
        <v/>
      </c>
      <c r="I1448" s="17"/>
      <c r="J1448" s="17"/>
      <c r="P1448" s="17"/>
      <c r="Q1448" s="17"/>
    </row>
    <row r="1449" spans="2:17">
      <c r="B1449" s="15" t="str">
        <f t="shared" si="63"/>
        <v/>
      </c>
      <c r="C1449" s="16" t="str">
        <f>IFERROR(VLOOKUP(DATA!#REF!,DATA!#REF!,1,FALSE),"")</f>
        <v/>
      </c>
      <c r="D1449" s="16" t="str">
        <f>IFERROR(VLOOKUP(C1449,DATA!#REF!,2,FALSE),"")</f>
        <v/>
      </c>
      <c r="I1449" s="17"/>
      <c r="J1449" s="17"/>
      <c r="P1449" s="17"/>
      <c r="Q1449" s="17"/>
    </row>
    <row r="1450" spans="2:17">
      <c r="B1450" s="15" t="str">
        <f t="shared" si="63"/>
        <v/>
      </c>
      <c r="C1450" s="16" t="str">
        <f>IFERROR(VLOOKUP(DATA!#REF!,DATA!#REF!,1,FALSE),"")</f>
        <v/>
      </c>
      <c r="D1450" s="16" t="str">
        <f>IFERROR(VLOOKUP(C1450,DATA!#REF!,2,FALSE),"")</f>
        <v/>
      </c>
      <c r="I1450" s="17"/>
      <c r="J1450" s="17"/>
      <c r="P1450" s="17"/>
      <c r="Q1450" s="17"/>
    </row>
    <row r="1451" spans="2:17">
      <c r="B1451" s="15" t="str">
        <f t="shared" si="63"/>
        <v/>
      </c>
      <c r="C1451" s="16" t="str">
        <f>IFERROR(VLOOKUP(DATA!#REF!,DATA!#REF!,1,FALSE),"")</f>
        <v/>
      </c>
      <c r="D1451" s="16" t="str">
        <f>IFERROR(VLOOKUP(C1451,DATA!#REF!,2,FALSE),"")</f>
        <v/>
      </c>
      <c r="I1451" s="17"/>
      <c r="J1451" s="17"/>
      <c r="P1451" s="17"/>
      <c r="Q1451" s="17"/>
    </row>
    <row r="1452" spans="2:17">
      <c r="B1452" s="15" t="str">
        <f t="shared" si="63"/>
        <v/>
      </c>
      <c r="C1452" s="16" t="str">
        <f>IFERROR(VLOOKUP(DATA!#REF!,DATA!#REF!,1,FALSE),"")</f>
        <v/>
      </c>
      <c r="D1452" s="16" t="str">
        <f>IFERROR(VLOOKUP(C1452,DATA!#REF!,2,FALSE),"")</f>
        <v/>
      </c>
      <c r="I1452" s="17"/>
      <c r="J1452" s="17"/>
      <c r="P1452" s="17"/>
      <c r="Q1452" s="17"/>
    </row>
    <row r="1453" spans="2:17">
      <c r="B1453" s="15" t="str">
        <f t="shared" si="63"/>
        <v/>
      </c>
      <c r="C1453" s="16" t="str">
        <f>IFERROR(VLOOKUP(DATA!#REF!,DATA!#REF!,1,FALSE),"")</f>
        <v/>
      </c>
      <c r="D1453" s="16" t="str">
        <f>IFERROR(VLOOKUP(C1453,DATA!#REF!,2,FALSE),"")</f>
        <v/>
      </c>
      <c r="I1453" s="17"/>
      <c r="J1453" s="17"/>
      <c r="P1453" s="17"/>
      <c r="Q1453" s="17"/>
    </row>
    <row r="1454" spans="2:17">
      <c r="B1454" s="15" t="str">
        <f t="shared" si="63"/>
        <v/>
      </c>
      <c r="C1454" s="16" t="str">
        <f>IFERROR(VLOOKUP(DATA!#REF!,DATA!#REF!,1,FALSE),"")</f>
        <v/>
      </c>
      <c r="D1454" s="16" t="str">
        <f>IFERROR(VLOOKUP(C1454,DATA!#REF!,2,FALSE),"")</f>
        <v/>
      </c>
      <c r="I1454" s="17"/>
      <c r="J1454" s="17"/>
      <c r="P1454" s="17"/>
      <c r="Q1454" s="17"/>
    </row>
    <row r="1455" spans="2:17">
      <c r="B1455" s="15" t="str">
        <f t="shared" si="63"/>
        <v/>
      </c>
      <c r="C1455" s="16" t="str">
        <f>IFERROR(VLOOKUP(DATA!#REF!,DATA!#REF!,1,FALSE),"")</f>
        <v/>
      </c>
      <c r="D1455" s="16" t="str">
        <f>IFERROR(VLOOKUP(C1455,DATA!#REF!,2,FALSE),"")</f>
        <v/>
      </c>
      <c r="I1455" s="17"/>
      <c r="J1455" s="17"/>
      <c r="P1455" s="17"/>
      <c r="Q1455" s="17"/>
    </row>
    <row r="1456" spans="2:17">
      <c r="B1456" s="15" t="str">
        <f t="shared" si="63"/>
        <v/>
      </c>
      <c r="C1456" s="16" t="str">
        <f>IFERROR(VLOOKUP(DATA!#REF!,DATA!#REF!,1,FALSE),"")</f>
        <v/>
      </c>
      <c r="D1456" s="16" t="str">
        <f>IFERROR(VLOOKUP(C1456,DATA!#REF!,2,FALSE),"")</f>
        <v/>
      </c>
      <c r="I1456" s="17"/>
      <c r="J1456" s="17"/>
      <c r="P1456" s="17"/>
      <c r="Q1456" s="17"/>
    </row>
    <row r="1457" spans="2:17">
      <c r="B1457" s="15" t="str">
        <f t="shared" si="63"/>
        <v/>
      </c>
      <c r="C1457" s="16" t="str">
        <f>IFERROR(VLOOKUP(DATA!#REF!,DATA!#REF!,1,FALSE),"")</f>
        <v/>
      </c>
      <c r="D1457" s="16" t="str">
        <f>IFERROR(VLOOKUP(C1457,DATA!#REF!,2,FALSE),"")</f>
        <v/>
      </c>
      <c r="I1457" s="17"/>
      <c r="J1457" s="17"/>
      <c r="P1457" s="17"/>
      <c r="Q1457" s="17"/>
    </row>
    <row r="1458" spans="2:17">
      <c r="B1458" s="15" t="str">
        <f t="shared" si="63"/>
        <v/>
      </c>
      <c r="C1458" s="16" t="str">
        <f>IFERROR(VLOOKUP(DATA!#REF!,DATA!#REF!,1,FALSE),"")</f>
        <v/>
      </c>
      <c r="D1458" s="16" t="str">
        <f>IFERROR(VLOOKUP(C1458,DATA!#REF!,2,FALSE),"")</f>
        <v/>
      </c>
      <c r="I1458" s="17"/>
      <c r="J1458" s="17"/>
      <c r="P1458" s="17"/>
      <c r="Q1458" s="17"/>
    </row>
    <row r="1459" spans="2:17">
      <c r="B1459" s="15" t="str">
        <f t="shared" si="63"/>
        <v/>
      </c>
      <c r="C1459" s="16" t="str">
        <f>IFERROR(VLOOKUP(DATA!#REF!,DATA!#REF!,1,FALSE),"")</f>
        <v/>
      </c>
      <c r="D1459" s="16" t="str">
        <f>IFERROR(VLOOKUP(C1459,DATA!#REF!,2,FALSE),"")</f>
        <v/>
      </c>
      <c r="I1459" s="17"/>
      <c r="J1459" s="17"/>
      <c r="P1459" s="17"/>
      <c r="Q1459" s="17"/>
    </row>
    <row r="1460" spans="2:17">
      <c r="B1460" s="15" t="str">
        <f t="shared" si="63"/>
        <v/>
      </c>
      <c r="C1460" s="16" t="str">
        <f>IFERROR(VLOOKUP(DATA!#REF!,DATA!#REF!,1,FALSE),"")</f>
        <v/>
      </c>
      <c r="D1460" s="16" t="str">
        <f>IFERROR(VLOOKUP(C1460,DATA!#REF!,2,FALSE),"")</f>
        <v/>
      </c>
      <c r="I1460" s="17"/>
      <c r="J1460" s="17"/>
      <c r="P1460" s="17"/>
      <c r="Q1460" s="17"/>
    </row>
    <row r="1461" spans="2:17">
      <c r="B1461" s="15" t="str">
        <f t="shared" si="63"/>
        <v/>
      </c>
      <c r="C1461" s="16" t="str">
        <f>IFERROR(VLOOKUP(DATA!#REF!,DATA!#REF!,1,FALSE),"")</f>
        <v/>
      </c>
      <c r="D1461" s="16" t="str">
        <f>IFERROR(VLOOKUP(C1461,DATA!#REF!,2,FALSE),"")</f>
        <v/>
      </c>
      <c r="I1461" s="17"/>
      <c r="J1461" s="17"/>
      <c r="P1461" s="17"/>
      <c r="Q1461" s="17"/>
    </row>
    <row r="1462" spans="2:17">
      <c r="B1462" s="15" t="str">
        <f t="shared" si="63"/>
        <v/>
      </c>
      <c r="C1462" s="16" t="str">
        <f>IFERROR(VLOOKUP(DATA!#REF!,DATA!#REF!,1,FALSE),"")</f>
        <v/>
      </c>
      <c r="D1462" s="16" t="str">
        <f>IFERROR(VLOOKUP(C1462,DATA!#REF!,2,FALSE),"")</f>
        <v/>
      </c>
      <c r="I1462" s="17"/>
      <c r="J1462" s="17"/>
      <c r="P1462" s="17"/>
      <c r="Q1462" s="17"/>
    </row>
    <row r="1463" spans="2:17">
      <c r="B1463" s="15" t="str">
        <f t="shared" ref="B1463:B1526" si="64">+IF(C1463="","",ROW()-5)</f>
        <v/>
      </c>
      <c r="C1463" s="16" t="str">
        <f>IFERROR(VLOOKUP(DATA!#REF!,DATA!#REF!,1,FALSE),"")</f>
        <v/>
      </c>
      <c r="D1463" s="16" t="str">
        <f>IFERROR(VLOOKUP(C1463,DATA!#REF!,2,FALSE),"")</f>
        <v/>
      </c>
      <c r="I1463" s="17"/>
      <c r="J1463" s="17"/>
      <c r="P1463" s="17"/>
      <c r="Q1463" s="17"/>
    </row>
    <row r="1464" spans="2:17">
      <c r="B1464" s="15" t="str">
        <f t="shared" si="64"/>
        <v/>
      </c>
      <c r="C1464" s="16" t="str">
        <f>IFERROR(VLOOKUP(DATA!#REF!,DATA!#REF!,1,FALSE),"")</f>
        <v/>
      </c>
      <c r="D1464" s="16" t="str">
        <f>IFERROR(VLOOKUP(C1464,DATA!#REF!,2,FALSE),"")</f>
        <v/>
      </c>
      <c r="I1464" s="17"/>
      <c r="J1464" s="17"/>
      <c r="P1464" s="17"/>
      <c r="Q1464" s="17"/>
    </row>
    <row r="1465" spans="2:17">
      <c r="B1465" s="15" t="str">
        <f t="shared" si="64"/>
        <v/>
      </c>
      <c r="C1465" s="16" t="str">
        <f>IFERROR(VLOOKUP(DATA!#REF!,DATA!#REF!,1,FALSE),"")</f>
        <v/>
      </c>
      <c r="D1465" s="16" t="str">
        <f>IFERROR(VLOOKUP(C1465,DATA!#REF!,2,FALSE),"")</f>
        <v/>
      </c>
      <c r="I1465" s="17"/>
      <c r="J1465" s="17"/>
      <c r="P1465" s="17"/>
      <c r="Q1465" s="17"/>
    </row>
    <row r="1466" spans="2:17">
      <c r="B1466" s="15" t="str">
        <f t="shared" si="64"/>
        <v/>
      </c>
      <c r="C1466" s="16" t="str">
        <f>IFERROR(VLOOKUP(DATA!#REF!,DATA!#REF!,1,FALSE),"")</f>
        <v/>
      </c>
      <c r="D1466" s="16" t="str">
        <f>IFERROR(VLOOKUP(C1466,DATA!#REF!,2,FALSE),"")</f>
        <v/>
      </c>
      <c r="I1466" s="17"/>
      <c r="J1466" s="17"/>
      <c r="P1466" s="17"/>
      <c r="Q1466" s="17"/>
    </row>
    <row r="1467" spans="2:17">
      <c r="B1467" s="15" t="str">
        <f t="shared" si="64"/>
        <v/>
      </c>
      <c r="C1467" s="16" t="str">
        <f>IFERROR(VLOOKUP(DATA!#REF!,DATA!#REF!,1,FALSE),"")</f>
        <v/>
      </c>
      <c r="D1467" s="16" t="str">
        <f>IFERROR(VLOOKUP(C1467,DATA!#REF!,2,FALSE),"")</f>
        <v/>
      </c>
      <c r="I1467" s="17"/>
      <c r="J1467" s="17"/>
      <c r="P1467" s="17"/>
      <c r="Q1467" s="17"/>
    </row>
    <row r="1468" spans="2:17">
      <c r="B1468" s="15" t="str">
        <f t="shared" si="64"/>
        <v/>
      </c>
      <c r="C1468" s="16" t="str">
        <f>IFERROR(VLOOKUP(DATA!#REF!,DATA!#REF!,1,FALSE),"")</f>
        <v/>
      </c>
      <c r="D1468" s="16" t="str">
        <f>IFERROR(VLOOKUP(C1468,DATA!#REF!,2,FALSE),"")</f>
        <v/>
      </c>
      <c r="I1468" s="17"/>
      <c r="J1468" s="17"/>
      <c r="P1468" s="17"/>
      <c r="Q1468" s="17"/>
    </row>
    <row r="1469" spans="2:17">
      <c r="B1469" s="15" t="str">
        <f t="shared" si="64"/>
        <v/>
      </c>
      <c r="C1469" s="16" t="str">
        <f>IFERROR(VLOOKUP(DATA!#REF!,DATA!#REF!,1,FALSE),"")</f>
        <v/>
      </c>
      <c r="D1469" s="16" t="str">
        <f>IFERROR(VLOOKUP(C1469,DATA!#REF!,2,FALSE),"")</f>
        <v/>
      </c>
      <c r="I1469" s="17"/>
      <c r="J1469" s="17"/>
      <c r="P1469" s="17"/>
      <c r="Q1469" s="17"/>
    </row>
    <row r="1470" spans="2:17">
      <c r="B1470" s="15" t="str">
        <f t="shared" si="64"/>
        <v/>
      </c>
      <c r="C1470" s="16" t="str">
        <f>IFERROR(VLOOKUP(DATA!#REF!,DATA!#REF!,1,FALSE),"")</f>
        <v/>
      </c>
      <c r="D1470" s="16" t="str">
        <f>IFERROR(VLOOKUP(C1470,DATA!#REF!,2,FALSE),"")</f>
        <v/>
      </c>
      <c r="I1470" s="17"/>
      <c r="J1470" s="17"/>
      <c r="P1470" s="17"/>
      <c r="Q1470" s="17"/>
    </row>
    <row r="1471" spans="2:17">
      <c r="B1471" s="15" t="str">
        <f t="shared" si="64"/>
        <v/>
      </c>
      <c r="C1471" s="16" t="str">
        <f>IFERROR(VLOOKUP(DATA!#REF!,DATA!#REF!,1,FALSE),"")</f>
        <v/>
      </c>
      <c r="D1471" s="16" t="str">
        <f>IFERROR(VLOOKUP(C1471,DATA!#REF!,2,FALSE),"")</f>
        <v/>
      </c>
      <c r="I1471" s="17"/>
      <c r="J1471" s="17"/>
      <c r="P1471" s="17"/>
      <c r="Q1471" s="17"/>
    </row>
    <row r="1472" spans="2:17">
      <c r="B1472" s="15" t="str">
        <f t="shared" si="64"/>
        <v/>
      </c>
      <c r="C1472" s="16" t="str">
        <f>IFERROR(VLOOKUP(DATA!#REF!,DATA!#REF!,1,FALSE),"")</f>
        <v/>
      </c>
      <c r="D1472" s="16" t="str">
        <f>IFERROR(VLOOKUP(C1472,DATA!#REF!,2,FALSE),"")</f>
        <v/>
      </c>
      <c r="I1472" s="17"/>
      <c r="J1472" s="17"/>
      <c r="P1472" s="17"/>
      <c r="Q1472" s="17"/>
    </row>
    <row r="1473" spans="2:17">
      <c r="B1473" s="15" t="str">
        <f t="shared" si="64"/>
        <v/>
      </c>
      <c r="C1473" s="16" t="str">
        <f>IFERROR(VLOOKUP(DATA!#REF!,DATA!#REF!,1,FALSE),"")</f>
        <v/>
      </c>
      <c r="D1473" s="16" t="str">
        <f>IFERROR(VLOOKUP(C1473,DATA!#REF!,2,FALSE),"")</f>
        <v/>
      </c>
      <c r="I1473" s="17"/>
      <c r="J1473" s="17"/>
      <c r="P1473" s="17"/>
      <c r="Q1473" s="17"/>
    </row>
    <row r="1474" spans="2:17">
      <c r="B1474" s="15" t="str">
        <f t="shared" si="64"/>
        <v/>
      </c>
      <c r="C1474" s="16" t="str">
        <f>IFERROR(VLOOKUP(DATA!#REF!,DATA!#REF!,1,FALSE),"")</f>
        <v/>
      </c>
      <c r="D1474" s="16" t="str">
        <f>IFERROR(VLOOKUP(C1474,DATA!#REF!,2,FALSE),"")</f>
        <v/>
      </c>
      <c r="I1474" s="17"/>
      <c r="J1474" s="17"/>
      <c r="P1474" s="17"/>
      <c r="Q1474" s="17"/>
    </row>
    <row r="1475" spans="2:17">
      <c r="B1475" s="15" t="str">
        <f t="shared" si="64"/>
        <v/>
      </c>
      <c r="C1475" s="16" t="str">
        <f>IFERROR(VLOOKUP(DATA!#REF!,DATA!#REF!,1,FALSE),"")</f>
        <v/>
      </c>
      <c r="D1475" s="16" t="str">
        <f>IFERROR(VLOOKUP(C1475,DATA!#REF!,2,FALSE),"")</f>
        <v/>
      </c>
      <c r="I1475" s="17"/>
      <c r="J1475" s="17"/>
      <c r="P1475" s="17"/>
      <c r="Q1475" s="17"/>
    </row>
    <row r="1476" spans="2:17">
      <c r="B1476" s="15" t="str">
        <f t="shared" si="64"/>
        <v/>
      </c>
      <c r="C1476" s="16" t="str">
        <f>IFERROR(VLOOKUP(DATA!#REF!,DATA!#REF!,1,FALSE),"")</f>
        <v/>
      </c>
      <c r="D1476" s="16" t="str">
        <f>IFERROR(VLOOKUP(C1476,DATA!#REF!,2,FALSE),"")</f>
        <v/>
      </c>
      <c r="I1476" s="17"/>
      <c r="J1476" s="17"/>
      <c r="P1476" s="17"/>
      <c r="Q1476" s="17"/>
    </row>
    <row r="1477" spans="2:17">
      <c r="B1477" s="15" t="str">
        <f t="shared" si="64"/>
        <v/>
      </c>
      <c r="C1477" s="16" t="str">
        <f>IFERROR(VLOOKUP(DATA!#REF!,DATA!#REF!,1,FALSE),"")</f>
        <v/>
      </c>
      <c r="D1477" s="16" t="str">
        <f>IFERROR(VLOOKUP(C1477,DATA!#REF!,2,FALSE),"")</f>
        <v/>
      </c>
      <c r="I1477" s="17"/>
      <c r="J1477" s="17"/>
      <c r="P1477" s="17"/>
      <c r="Q1477" s="17"/>
    </row>
    <row r="1478" spans="2:17">
      <c r="B1478" s="15" t="str">
        <f t="shared" si="64"/>
        <v/>
      </c>
      <c r="C1478" s="16" t="str">
        <f>IFERROR(VLOOKUP(DATA!#REF!,DATA!#REF!,1,FALSE),"")</f>
        <v/>
      </c>
      <c r="D1478" s="16" t="str">
        <f>IFERROR(VLOOKUP(C1478,DATA!#REF!,2,FALSE),"")</f>
        <v/>
      </c>
      <c r="I1478" s="17"/>
      <c r="J1478" s="17"/>
      <c r="P1478" s="17"/>
      <c r="Q1478" s="17"/>
    </row>
    <row r="1479" spans="2:17">
      <c r="B1479" s="15" t="str">
        <f t="shared" si="64"/>
        <v/>
      </c>
      <c r="C1479" s="16" t="str">
        <f>IFERROR(VLOOKUP(DATA!#REF!,DATA!#REF!,1,FALSE),"")</f>
        <v/>
      </c>
      <c r="D1479" s="16" t="str">
        <f>IFERROR(VLOOKUP(C1479,DATA!#REF!,2,FALSE),"")</f>
        <v/>
      </c>
      <c r="I1479" s="17"/>
      <c r="J1479" s="17"/>
      <c r="P1479" s="17"/>
      <c r="Q1479" s="17"/>
    </row>
    <row r="1480" spans="2:17">
      <c r="B1480" s="15" t="str">
        <f t="shared" si="64"/>
        <v/>
      </c>
      <c r="C1480" s="16" t="str">
        <f>IFERROR(VLOOKUP(DATA!#REF!,DATA!#REF!,1,FALSE),"")</f>
        <v/>
      </c>
      <c r="D1480" s="16" t="str">
        <f>IFERROR(VLOOKUP(C1480,DATA!#REF!,2,FALSE),"")</f>
        <v/>
      </c>
      <c r="I1480" s="17"/>
      <c r="J1480" s="17"/>
      <c r="P1480" s="17"/>
      <c r="Q1480" s="17"/>
    </row>
    <row r="1481" spans="2:17">
      <c r="B1481" s="15" t="str">
        <f t="shared" si="64"/>
        <v/>
      </c>
      <c r="C1481" s="16" t="str">
        <f>IFERROR(VLOOKUP(DATA!#REF!,DATA!#REF!,1,FALSE),"")</f>
        <v/>
      </c>
      <c r="D1481" s="16" t="str">
        <f>IFERROR(VLOOKUP(C1481,DATA!#REF!,2,FALSE),"")</f>
        <v/>
      </c>
      <c r="I1481" s="17"/>
      <c r="J1481" s="17"/>
      <c r="P1481" s="17"/>
      <c r="Q1481" s="17"/>
    </row>
    <row r="1482" spans="2:17">
      <c r="B1482" s="15" t="str">
        <f t="shared" si="64"/>
        <v/>
      </c>
      <c r="C1482" s="16" t="str">
        <f>IFERROR(VLOOKUP(DATA!#REF!,DATA!#REF!,1,FALSE),"")</f>
        <v/>
      </c>
      <c r="D1482" s="16" t="str">
        <f>IFERROR(VLOOKUP(C1482,DATA!#REF!,2,FALSE),"")</f>
        <v/>
      </c>
      <c r="I1482" s="17"/>
      <c r="J1482" s="17"/>
      <c r="P1482" s="17"/>
      <c r="Q1482" s="17"/>
    </row>
    <row r="1483" spans="2:17">
      <c r="B1483" s="15" t="str">
        <f t="shared" si="64"/>
        <v/>
      </c>
      <c r="C1483" s="16" t="str">
        <f>IFERROR(VLOOKUP(DATA!#REF!,DATA!#REF!,1,FALSE),"")</f>
        <v/>
      </c>
      <c r="D1483" s="16" t="str">
        <f>IFERROR(VLOOKUP(C1483,DATA!#REF!,2,FALSE),"")</f>
        <v/>
      </c>
      <c r="I1483" s="17"/>
      <c r="J1483" s="17"/>
      <c r="P1483" s="17"/>
      <c r="Q1483" s="17"/>
    </row>
    <row r="1484" spans="2:17">
      <c r="B1484" s="15" t="str">
        <f t="shared" si="64"/>
        <v/>
      </c>
      <c r="C1484" s="16" t="str">
        <f>IFERROR(VLOOKUP(DATA!#REF!,DATA!#REF!,1,FALSE),"")</f>
        <v/>
      </c>
      <c r="D1484" s="16" t="str">
        <f>IFERROR(VLOOKUP(C1484,DATA!#REF!,2,FALSE),"")</f>
        <v/>
      </c>
      <c r="I1484" s="17"/>
      <c r="J1484" s="17"/>
      <c r="P1484" s="17"/>
      <c r="Q1484" s="17"/>
    </row>
    <row r="1485" spans="2:17">
      <c r="B1485" s="15" t="str">
        <f t="shared" si="64"/>
        <v/>
      </c>
      <c r="C1485" s="16" t="str">
        <f>IFERROR(VLOOKUP(DATA!#REF!,DATA!#REF!,1,FALSE),"")</f>
        <v/>
      </c>
      <c r="D1485" s="16" t="str">
        <f>IFERROR(VLOOKUP(C1485,DATA!#REF!,2,FALSE),"")</f>
        <v/>
      </c>
      <c r="I1485" s="17"/>
      <c r="J1485" s="17"/>
      <c r="P1485" s="17"/>
      <c r="Q1485" s="17"/>
    </row>
    <row r="1486" spans="2:17">
      <c r="B1486" s="15" t="str">
        <f t="shared" si="64"/>
        <v/>
      </c>
      <c r="C1486" s="16" t="str">
        <f>IFERROR(VLOOKUP(DATA!#REF!,DATA!#REF!,1,FALSE),"")</f>
        <v/>
      </c>
      <c r="D1486" s="16" t="str">
        <f>IFERROR(VLOOKUP(C1486,DATA!#REF!,2,FALSE),"")</f>
        <v/>
      </c>
      <c r="I1486" s="17"/>
      <c r="J1486" s="17"/>
      <c r="P1486" s="17"/>
      <c r="Q1486" s="17"/>
    </row>
    <row r="1487" spans="2:17">
      <c r="B1487" s="15" t="str">
        <f t="shared" si="64"/>
        <v/>
      </c>
      <c r="C1487" s="16" t="str">
        <f>IFERROR(VLOOKUP(DATA!#REF!,DATA!#REF!,1,FALSE),"")</f>
        <v/>
      </c>
      <c r="D1487" s="16" t="str">
        <f>IFERROR(VLOOKUP(C1487,DATA!#REF!,2,FALSE),"")</f>
        <v/>
      </c>
      <c r="I1487" s="17"/>
      <c r="J1487" s="17"/>
      <c r="P1487" s="17"/>
      <c r="Q1487" s="17"/>
    </row>
    <row r="1488" spans="2:17">
      <c r="B1488" s="15" t="str">
        <f t="shared" si="64"/>
        <v/>
      </c>
      <c r="C1488" s="16" t="str">
        <f>IFERROR(VLOOKUP(DATA!#REF!,DATA!#REF!,1,FALSE),"")</f>
        <v/>
      </c>
      <c r="D1488" s="16" t="str">
        <f>IFERROR(VLOOKUP(C1488,DATA!#REF!,2,FALSE),"")</f>
        <v/>
      </c>
      <c r="I1488" s="17"/>
      <c r="J1488" s="17"/>
      <c r="P1488" s="17"/>
      <c r="Q1488" s="17"/>
    </row>
    <row r="1489" spans="2:17">
      <c r="B1489" s="15" t="str">
        <f t="shared" si="64"/>
        <v/>
      </c>
      <c r="C1489" s="16" t="str">
        <f>IFERROR(VLOOKUP(DATA!#REF!,DATA!#REF!,1,FALSE),"")</f>
        <v/>
      </c>
      <c r="D1489" s="16" t="str">
        <f>IFERROR(VLOOKUP(C1489,DATA!#REF!,2,FALSE),"")</f>
        <v/>
      </c>
      <c r="I1489" s="17"/>
      <c r="J1489" s="17"/>
      <c r="P1489" s="17"/>
      <c r="Q1489" s="17"/>
    </row>
    <row r="1490" spans="2:17">
      <c r="B1490" s="15" t="str">
        <f t="shared" si="64"/>
        <v/>
      </c>
      <c r="C1490" s="16" t="str">
        <f>IFERROR(VLOOKUP(DATA!#REF!,DATA!#REF!,1,FALSE),"")</f>
        <v/>
      </c>
      <c r="D1490" s="16" t="str">
        <f>IFERROR(VLOOKUP(C1490,DATA!#REF!,2,FALSE),"")</f>
        <v/>
      </c>
      <c r="I1490" s="17"/>
      <c r="J1490" s="17"/>
      <c r="P1490" s="17"/>
      <c r="Q1490" s="17"/>
    </row>
    <row r="1491" spans="2:17">
      <c r="B1491" s="15" t="str">
        <f t="shared" si="64"/>
        <v/>
      </c>
      <c r="C1491" s="16" t="str">
        <f>IFERROR(VLOOKUP(DATA!#REF!,DATA!#REF!,1,FALSE),"")</f>
        <v/>
      </c>
      <c r="D1491" s="16" t="str">
        <f>IFERROR(VLOOKUP(C1491,DATA!#REF!,2,FALSE),"")</f>
        <v/>
      </c>
      <c r="I1491" s="17"/>
      <c r="J1491" s="17"/>
      <c r="P1491" s="17"/>
      <c r="Q1491" s="17"/>
    </row>
    <row r="1492" spans="2:17">
      <c r="B1492" s="15" t="str">
        <f t="shared" si="64"/>
        <v/>
      </c>
      <c r="C1492" s="16" t="str">
        <f>IFERROR(VLOOKUP(DATA!#REF!,DATA!#REF!,1,FALSE),"")</f>
        <v/>
      </c>
      <c r="D1492" s="16" t="str">
        <f>IFERROR(VLOOKUP(C1492,DATA!#REF!,2,FALSE),"")</f>
        <v/>
      </c>
      <c r="I1492" s="17"/>
      <c r="J1492" s="17"/>
      <c r="P1492" s="17"/>
      <c r="Q1492" s="17"/>
    </row>
    <row r="1493" spans="2:17">
      <c r="B1493" s="15" t="str">
        <f t="shared" si="64"/>
        <v/>
      </c>
      <c r="C1493" s="16" t="str">
        <f>IFERROR(VLOOKUP(DATA!#REF!,DATA!#REF!,1,FALSE),"")</f>
        <v/>
      </c>
      <c r="D1493" s="16" t="str">
        <f>IFERROR(VLOOKUP(C1493,DATA!#REF!,2,FALSE),"")</f>
        <v/>
      </c>
      <c r="I1493" s="17"/>
      <c r="J1493" s="17"/>
      <c r="P1493" s="17"/>
      <c r="Q1493" s="17"/>
    </row>
    <row r="1494" spans="2:17">
      <c r="B1494" s="15" t="str">
        <f t="shared" si="64"/>
        <v/>
      </c>
      <c r="C1494" s="16" t="str">
        <f>IFERROR(VLOOKUP(DATA!#REF!,DATA!#REF!,1,FALSE),"")</f>
        <v/>
      </c>
      <c r="D1494" s="16" t="str">
        <f>IFERROR(VLOOKUP(C1494,DATA!#REF!,2,FALSE),"")</f>
        <v/>
      </c>
      <c r="I1494" s="17"/>
      <c r="J1494" s="17"/>
      <c r="P1494" s="17"/>
      <c r="Q1494" s="17"/>
    </row>
    <row r="1495" spans="2:17">
      <c r="B1495" s="15" t="str">
        <f t="shared" si="64"/>
        <v/>
      </c>
      <c r="C1495" s="16" t="str">
        <f>IFERROR(VLOOKUP(DATA!#REF!,DATA!#REF!,1,FALSE),"")</f>
        <v/>
      </c>
      <c r="D1495" s="16" t="str">
        <f>IFERROR(VLOOKUP(C1495,DATA!#REF!,2,FALSE),"")</f>
        <v/>
      </c>
      <c r="I1495" s="17"/>
      <c r="J1495" s="17"/>
      <c r="P1495" s="17"/>
      <c r="Q1495" s="17"/>
    </row>
    <row r="1496" spans="2:17">
      <c r="B1496" s="15" t="str">
        <f t="shared" si="64"/>
        <v/>
      </c>
      <c r="C1496" s="16" t="str">
        <f>IFERROR(VLOOKUP(DATA!#REF!,DATA!#REF!,1,FALSE),"")</f>
        <v/>
      </c>
      <c r="D1496" s="16" t="str">
        <f>IFERROR(VLOOKUP(C1496,DATA!#REF!,2,FALSE),"")</f>
        <v/>
      </c>
      <c r="I1496" s="17"/>
      <c r="J1496" s="17"/>
      <c r="P1496" s="17"/>
      <c r="Q1496" s="17"/>
    </row>
    <row r="1497" spans="2:17">
      <c r="B1497" s="15" t="str">
        <f t="shared" si="64"/>
        <v/>
      </c>
      <c r="C1497" s="16" t="str">
        <f>IFERROR(VLOOKUP(DATA!#REF!,DATA!#REF!,1,FALSE),"")</f>
        <v/>
      </c>
      <c r="D1497" s="16" t="str">
        <f>IFERROR(VLOOKUP(C1497,DATA!#REF!,2,FALSE),"")</f>
        <v/>
      </c>
      <c r="I1497" s="17"/>
      <c r="J1497" s="17"/>
      <c r="P1497" s="17"/>
      <c r="Q1497" s="17"/>
    </row>
    <row r="1498" spans="2:17">
      <c r="B1498" s="15" t="str">
        <f t="shared" si="64"/>
        <v/>
      </c>
      <c r="C1498" s="16" t="str">
        <f>IFERROR(VLOOKUP(DATA!#REF!,DATA!#REF!,1,FALSE),"")</f>
        <v/>
      </c>
      <c r="D1498" s="16" t="str">
        <f>IFERROR(VLOOKUP(C1498,DATA!#REF!,2,FALSE),"")</f>
        <v/>
      </c>
      <c r="I1498" s="17"/>
      <c r="J1498" s="17"/>
      <c r="P1498" s="17"/>
      <c r="Q1498" s="17"/>
    </row>
    <row r="1499" spans="2:17">
      <c r="B1499" s="15" t="str">
        <f t="shared" si="64"/>
        <v/>
      </c>
      <c r="C1499" s="16" t="str">
        <f>IFERROR(VLOOKUP(DATA!#REF!,DATA!#REF!,1,FALSE),"")</f>
        <v/>
      </c>
      <c r="D1499" s="16" t="str">
        <f>IFERROR(VLOOKUP(C1499,DATA!#REF!,2,FALSE),"")</f>
        <v/>
      </c>
      <c r="I1499" s="17"/>
      <c r="J1499" s="17"/>
      <c r="P1499" s="17"/>
      <c r="Q1499" s="17"/>
    </row>
    <row r="1500" spans="2:17">
      <c r="B1500" s="15" t="str">
        <f t="shared" si="64"/>
        <v/>
      </c>
      <c r="C1500" s="16" t="str">
        <f>IFERROR(VLOOKUP(DATA!#REF!,DATA!#REF!,1,FALSE),"")</f>
        <v/>
      </c>
      <c r="D1500" s="16" t="str">
        <f>IFERROR(VLOOKUP(C1500,DATA!#REF!,2,FALSE),"")</f>
        <v/>
      </c>
      <c r="I1500" s="17"/>
      <c r="J1500" s="17"/>
      <c r="P1500" s="17"/>
      <c r="Q1500" s="17"/>
    </row>
    <row r="1501" spans="2:17">
      <c r="B1501" s="15" t="str">
        <f t="shared" si="64"/>
        <v/>
      </c>
      <c r="C1501" s="16" t="str">
        <f>IFERROR(VLOOKUP(DATA!#REF!,DATA!#REF!,1,FALSE),"")</f>
        <v/>
      </c>
      <c r="D1501" s="16" t="str">
        <f>IFERROR(VLOOKUP(C1501,DATA!#REF!,2,FALSE),"")</f>
        <v/>
      </c>
      <c r="I1501" s="17"/>
      <c r="J1501" s="17"/>
      <c r="P1501" s="17"/>
      <c r="Q1501" s="17"/>
    </row>
    <row r="1502" spans="2:17">
      <c r="B1502" s="15" t="str">
        <f t="shared" si="64"/>
        <v/>
      </c>
      <c r="C1502" s="16" t="str">
        <f>IFERROR(VLOOKUP(DATA!#REF!,DATA!#REF!,1,FALSE),"")</f>
        <v/>
      </c>
      <c r="D1502" s="16" t="str">
        <f>IFERROR(VLOOKUP(C1502,DATA!#REF!,2,FALSE),"")</f>
        <v/>
      </c>
      <c r="I1502" s="17"/>
      <c r="J1502" s="17"/>
      <c r="P1502" s="17"/>
      <c r="Q1502" s="17"/>
    </row>
    <row r="1503" spans="2:17">
      <c r="B1503" s="15" t="str">
        <f t="shared" si="64"/>
        <v/>
      </c>
      <c r="C1503" s="16" t="str">
        <f>IFERROR(VLOOKUP(DATA!#REF!,DATA!#REF!,1,FALSE),"")</f>
        <v/>
      </c>
      <c r="D1503" s="16" t="str">
        <f>IFERROR(VLOOKUP(C1503,DATA!#REF!,2,FALSE),"")</f>
        <v/>
      </c>
      <c r="I1503" s="17"/>
      <c r="J1503" s="17"/>
      <c r="P1503" s="17"/>
      <c r="Q1503" s="17"/>
    </row>
    <row r="1504" spans="2:17">
      <c r="B1504" s="15" t="str">
        <f t="shared" si="64"/>
        <v/>
      </c>
      <c r="C1504" s="16" t="str">
        <f>IFERROR(VLOOKUP(DATA!#REF!,DATA!#REF!,1,FALSE),"")</f>
        <v/>
      </c>
      <c r="D1504" s="16" t="str">
        <f>IFERROR(VLOOKUP(C1504,DATA!#REF!,2,FALSE),"")</f>
        <v/>
      </c>
      <c r="I1504" s="17"/>
      <c r="J1504" s="17"/>
      <c r="P1504" s="17"/>
      <c r="Q1504" s="17"/>
    </row>
    <row r="1505" spans="2:17">
      <c r="B1505" s="15" t="str">
        <f t="shared" si="64"/>
        <v/>
      </c>
      <c r="C1505" s="16" t="str">
        <f>IFERROR(VLOOKUP(DATA!#REF!,DATA!#REF!,1,FALSE),"")</f>
        <v/>
      </c>
      <c r="D1505" s="16" t="str">
        <f>IFERROR(VLOOKUP(C1505,DATA!#REF!,2,FALSE),"")</f>
        <v/>
      </c>
      <c r="I1505" s="17"/>
      <c r="J1505" s="17"/>
      <c r="P1505" s="17"/>
      <c r="Q1505" s="17"/>
    </row>
    <row r="1506" spans="2:17">
      <c r="B1506" s="15" t="str">
        <f t="shared" si="64"/>
        <v/>
      </c>
      <c r="C1506" s="16" t="str">
        <f>IFERROR(VLOOKUP(DATA!#REF!,DATA!#REF!,1,FALSE),"")</f>
        <v/>
      </c>
      <c r="D1506" s="16" t="str">
        <f>IFERROR(VLOOKUP(C1506,DATA!#REF!,2,FALSE),"")</f>
        <v/>
      </c>
      <c r="I1506" s="17"/>
      <c r="J1506" s="17"/>
      <c r="P1506" s="17"/>
      <c r="Q1506" s="17"/>
    </row>
    <row r="1507" spans="2:17">
      <c r="B1507" s="15" t="str">
        <f t="shared" si="64"/>
        <v/>
      </c>
      <c r="C1507" s="16" t="str">
        <f>IFERROR(VLOOKUP(DATA!#REF!,DATA!#REF!,1,FALSE),"")</f>
        <v/>
      </c>
      <c r="D1507" s="16" t="str">
        <f>IFERROR(VLOOKUP(C1507,DATA!#REF!,2,FALSE),"")</f>
        <v/>
      </c>
      <c r="I1507" s="17"/>
      <c r="J1507" s="17"/>
      <c r="P1507" s="17"/>
      <c r="Q1507" s="17"/>
    </row>
    <row r="1508" spans="2:17">
      <c r="B1508" s="15" t="str">
        <f t="shared" si="64"/>
        <v/>
      </c>
      <c r="C1508" s="16" t="str">
        <f>IFERROR(VLOOKUP(DATA!#REF!,DATA!#REF!,1,FALSE),"")</f>
        <v/>
      </c>
      <c r="D1508" s="16" t="str">
        <f>IFERROR(VLOOKUP(C1508,DATA!#REF!,2,FALSE),"")</f>
        <v/>
      </c>
      <c r="I1508" s="17"/>
      <c r="J1508" s="17"/>
      <c r="P1508" s="17"/>
      <c r="Q1508" s="17"/>
    </row>
    <row r="1509" spans="2:17">
      <c r="B1509" s="15" t="str">
        <f t="shared" si="64"/>
        <v/>
      </c>
      <c r="C1509" s="16" t="str">
        <f>IFERROR(VLOOKUP(DATA!#REF!,DATA!#REF!,1,FALSE),"")</f>
        <v/>
      </c>
      <c r="D1509" s="16" t="str">
        <f>IFERROR(VLOOKUP(C1509,DATA!#REF!,2,FALSE),"")</f>
        <v/>
      </c>
      <c r="I1509" s="17"/>
      <c r="J1509" s="17"/>
      <c r="P1509" s="17"/>
      <c r="Q1509" s="17"/>
    </row>
    <row r="1510" spans="2:17">
      <c r="B1510" s="15" t="str">
        <f t="shared" si="64"/>
        <v/>
      </c>
      <c r="C1510" s="16" t="str">
        <f>IFERROR(VLOOKUP(DATA!#REF!,DATA!#REF!,1,FALSE),"")</f>
        <v/>
      </c>
      <c r="D1510" s="16" t="str">
        <f>IFERROR(VLOOKUP(C1510,DATA!#REF!,2,FALSE),"")</f>
        <v/>
      </c>
      <c r="I1510" s="17"/>
      <c r="J1510" s="17"/>
      <c r="P1510" s="17"/>
      <c r="Q1510" s="17"/>
    </row>
    <row r="1511" spans="2:17">
      <c r="B1511" s="15" t="str">
        <f t="shared" si="64"/>
        <v/>
      </c>
      <c r="C1511" s="16" t="str">
        <f>IFERROR(VLOOKUP(DATA!#REF!,DATA!#REF!,1,FALSE),"")</f>
        <v/>
      </c>
      <c r="D1511" s="16" t="str">
        <f>IFERROR(VLOOKUP(C1511,DATA!#REF!,2,FALSE),"")</f>
        <v/>
      </c>
      <c r="I1511" s="17"/>
      <c r="J1511" s="17"/>
      <c r="P1511" s="17"/>
      <c r="Q1511" s="17"/>
    </row>
    <row r="1512" spans="2:17">
      <c r="B1512" s="15" t="str">
        <f t="shared" si="64"/>
        <v/>
      </c>
      <c r="C1512" s="16" t="str">
        <f>IFERROR(VLOOKUP(DATA!#REF!,DATA!#REF!,1,FALSE),"")</f>
        <v/>
      </c>
      <c r="D1512" s="16" t="str">
        <f>IFERROR(VLOOKUP(C1512,DATA!#REF!,2,FALSE),"")</f>
        <v/>
      </c>
      <c r="I1512" s="17"/>
      <c r="J1512" s="17"/>
      <c r="P1512" s="17"/>
      <c r="Q1512" s="17"/>
    </row>
    <row r="1513" spans="2:17">
      <c r="B1513" s="15" t="str">
        <f t="shared" si="64"/>
        <v/>
      </c>
      <c r="C1513" s="16" t="str">
        <f>IFERROR(VLOOKUP(DATA!#REF!,DATA!#REF!,1,FALSE),"")</f>
        <v/>
      </c>
      <c r="D1513" s="16" t="str">
        <f>IFERROR(VLOOKUP(C1513,DATA!#REF!,2,FALSE),"")</f>
        <v/>
      </c>
      <c r="I1513" s="17"/>
      <c r="J1513" s="17"/>
      <c r="P1513" s="17"/>
      <c r="Q1513" s="17"/>
    </row>
    <row r="1514" spans="2:17">
      <c r="B1514" s="15" t="str">
        <f t="shared" si="64"/>
        <v/>
      </c>
      <c r="C1514" s="16" t="str">
        <f>IFERROR(VLOOKUP(DATA!#REF!,DATA!#REF!,1,FALSE),"")</f>
        <v/>
      </c>
      <c r="D1514" s="16" t="str">
        <f>IFERROR(VLOOKUP(C1514,DATA!#REF!,2,FALSE),"")</f>
        <v/>
      </c>
      <c r="I1514" s="17"/>
      <c r="J1514" s="17"/>
      <c r="P1514" s="17"/>
      <c r="Q1514" s="17"/>
    </row>
    <row r="1515" spans="2:17">
      <c r="B1515" s="15" t="str">
        <f t="shared" si="64"/>
        <v/>
      </c>
      <c r="C1515" s="16" t="str">
        <f>IFERROR(VLOOKUP(DATA!#REF!,DATA!#REF!,1,FALSE),"")</f>
        <v/>
      </c>
      <c r="D1515" s="16" t="str">
        <f>IFERROR(VLOOKUP(C1515,DATA!#REF!,2,FALSE),"")</f>
        <v/>
      </c>
      <c r="I1515" s="17"/>
      <c r="J1515" s="17"/>
      <c r="P1515" s="17"/>
      <c r="Q1515" s="17"/>
    </row>
    <row r="1516" spans="2:17">
      <c r="B1516" s="15" t="str">
        <f t="shared" si="64"/>
        <v/>
      </c>
      <c r="C1516" s="16" t="str">
        <f>IFERROR(VLOOKUP(DATA!#REF!,DATA!#REF!,1,FALSE),"")</f>
        <v/>
      </c>
      <c r="D1516" s="16" t="str">
        <f>IFERROR(VLOOKUP(C1516,DATA!#REF!,2,FALSE),"")</f>
        <v/>
      </c>
      <c r="I1516" s="17"/>
      <c r="J1516" s="17"/>
      <c r="P1516" s="17"/>
      <c r="Q1516" s="17"/>
    </row>
    <row r="1517" spans="2:17">
      <c r="B1517" s="15" t="str">
        <f t="shared" si="64"/>
        <v/>
      </c>
      <c r="C1517" s="16" t="str">
        <f>IFERROR(VLOOKUP(DATA!#REF!,DATA!#REF!,1,FALSE),"")</f>
        <v/>
      </c>
      <c r="D1517" s="16" t="str">
        <f>IFERROR(VLOOKUP(C1517,DATA!#REF!,2,FALSE),"")</f>
        <v/>
      </c>
      <c r="I1517" s="17"/>
      <c r="J1517" s="17"/>
      <c r="P1517" s="17"/>
      <c r="Q1517" s="17"/>
    </row>
    <row r="1518" spans="2:17">
      <c r="B1518" s="15" t="str">
        <f t="shared" si="64"/>
        <v/>
      </c>
      <c r="C1518" s="16" t="str">
        <f>IFERROR(VLOOKUP(DATA!#REF!,DATA!#REF!,1,FALSE),"")</f>
        <v/>
      </c>
      <c r="D1518" s="16" t="str">
        <f>IFERROR(VLOOKUP(C1518,DATA!#REF!,2,FALSE),"")</f>
        <v/>
      </c>
      <c r="I1518" s="17"/>
      <c r="J1518" s="17"/>
      <c r="P1518" s="17"/>
      <c r="Q1518" s="17"/>
    </row>
    <row r="1519" spans="2:17">
      <c r="B1519" s="15" t="str">
        <f t="shared" si="64"/>
        <v/>
      </c>
      <c r="C1519" s="16" t="str">
        <f>IFERROR(VLOOKUP(DATA!#REF!,DATA!#REF!,1,FALSE),"")</f>
        <v/>
      </c>
      <c r="D1519" s="16" t="str">
        <f>IFERROR(VLOOKUP(C1519,DATA!#REF!,2,FALSE),"")</f>
        <v/>
      </c>
      <c r="I1519" s="17"/>
      <c r="J1519" s="17"/>
      <c r="P1519" s="17"/>
      <c r="Q1519" s="17"/>
    </row>
    <row r="1520" spans="2:17">
      <c r="B1520" s="15" t="str">
        <f t="shared" si="64"/>
        <v/>
      </c>
      <c r="C1520" s="16" t="str">
        <f>IFERROR(VLOOKUP(DATA!#REF!,DATA!#REF!,1,FALSE),"")</f>
        <v/>
      </c>
      <c r="D1520" s="16" t="str">
        <f>IFERROR(VLOOKUP(C1520,DATA!#REF!,2,FALSE),"")</f>
        <v/>
      </c>
      <c r="I1520" s="17"/>
      <c r="J1520" s="17"/>
      <c r="P1520" s="17"/>
      <c r="Q1520" s="17"/>
    </row>
    <row r="1521" spans="2:17">
      <c r="B1521" s="15" t="str">
        <f t="shared" si="64"/>
        <v/>
      </c>
      <c r="C1521" s="16" t="str">
        <f>IFERROR(VLOOKUP(DATA!#REF!,DATA!#REF!,1,FALSE),"")</f>
        <v/>
      </c>
      <c r="D1521" s="16" t="str">
        <f>IFERROR(VLOOKUP(C1521,DATA!#REF!,2,FALSE),"")</f>
        <v/>
      </c>
      <c r="I1521" s="17"/>
      <c r="J1521" s="17"/>
      <c r="P1521" s="17"/>
      <c r="Q1521" s="17"/>
    </row>
    <row r="1522" spans="2:17">
      <c r="B1522" s="15" t="str">
        <f t="shared" si="64"/>
        <v/>
      </c>
      <c r="C1522" s="16" t="str">
        <f>IFERROR(VLOOKUP(DATA!#REF!,DATA!#REF!,1,FALSE),"")</f>
        <v/>
      </c>
      <c r="D1522" s="16" t="str">
        <f>IFERROR(VLOOKUP(C1522,DATA!#REF!,2,FALSE),"")</f>
        <v/>
      </c>
      <c r="I1522" s="17"/>
      <c r="J1522" s="17"/>
      <c r="P1522" s="17"/>
      <c r="Q1522" s="17"/>
    </row>
    <row r="1523" spans="2:17">
      <c r="B1523" s="15" t="str">
        <f t="shared" si="64"/>
        <v/>
      </c>
      <c r="C1523" s="16" t="str">
        <f>IFERROR(VLOOKUP(DATA!#REF!,DATA!#REF!,1,FALSE),"")</f>
        <v/>
      </c>
      <c r="D1523" s="16" t="str">
        <f>IFERROR(VLOOKUP(C1523,DATA!#REF!,2,FALSE),"")</f>
        <v/>
      </c>
      <c r="I1523" s="17"/>
      <c r="J1523" s="17"/>
      <c r="P1523" s="17"/>
      <c r="Q1523" s="17"/>
    </row>
    <row r="1524" spans="2:17">
      <c r="B1524" s="15" t="str">
        <f t="shared" si="64"/>
        <v/>
      </c>
      <c r="C1524" s="16" t="str">
        <f>IFERROR(VLOOKUP(DATA!#REF!,DATA!#REF!,1,FALSE),"")</f>
        <v/>
      </c>
      <c r="D1524" s="16" t="str">
        <f>IFERROR(VLOOKUP(C1524,DATA!#REF!,2,FALSE),"")</f>
        <v/>
      </c>
      <c r="I1524" s="17"/>
      <c r="J1524" s="17"/>
      <c r="P1524" s="17"/>
      <c r="Q1524" s="17"/>
    </row>
    <row r="1525" spans="2:17">
      <c r="B1525" s="15" t="str">
        <f t="shared" si="64"/>
        <v/>
      </c>
      <c r="C1525" s="16" t="str">
        <f>IFERROR(VLOOKUP(DATA!#REF!,DATA!#REF!,1,FALSE),"")</f>
        <v/>
      </c>
      <c r="D1525" s="16" t="str">
        <f>IFERROR(VLOOKUP(C1525,DATA!#REF!,2,FALSE),"")</f>
        <v/>
      </c>
      <c r="I1525" s="17"/>
      <c r="J1525" s="17"/>
      <c r="P1525" s="17"/>
      <c r="Q1525" s="17"/>
    </row>
    <row r="1526" spans="2:17">
      <c r="B1526" s="15" t="str">
        <f t="shared" si="64"/>
        <v/>
      </c>
      <c r="C1526" s="16" t="str">
        <f>IFERROR(VLOOKUP(DATA!#REF!,DATA!#REF!,1,FALSE),"")</f>
        <v/>
      </c>
      <c r="D1526" s="16" t="str">
        <f>IFERROR(VLOOKUP(C1526,DATA!#REF!,2,FALSE),"")</f>
        <v/>
      </c>
      <c r="I1526" s="17"/>
      <c r="J1526" s="17"/>
      <c r="P1526" s="17"/>
      <c r="Q1526" s="17"/>
    </row>
    <row r="1527" spans="2:17">
      <c r="B1527" s="15" t="str">
        <f t="shared" ref="B1527:B1590" si="65">+IF(C1527="","",ROW()-5)</f>
        <v/>
      </c>
      <c r="C1527" s="16" t="str">
        <f>IFERROR(VLOOKUP(DATA!#REF!,DATA!#REF!,1,FALSE),"")</f>
        <v/>
      </c>
      <c r="D1527" s="16" t="str">
        <f>IFERROR(VLOOKUP(C1527,DATA!#REF!,2,FALSE),"")</f>
        <v/>
      </c>
      <c r="I1527" s="17"/>
      <c r="J1527" s="17"/>
      <c r="P1527" s="17"/>
      <c r="Q1527" s="17"/>
    </row>
    <row r="1528" spans="2:17">
      <c r="B1528" s="15" t="str">
        <f t="shared" si="65"/>
        <v/>
      </c>
      <c r="C1528" s="16" t="str">
        <f>IFERROR(VLOOKUP(DATA!#REF!,DATA!#REF!,1,FALSE),"")</f>
        <v/>
      </c>
      <c r="D1528" s="16" t="str">
        <f>IFERROR(VLOOKUP(C1528,DATA!#REF!,2,FALSE),"")</f>
        <v/>
      </c>
      <c r="I1528" s="17"/>
      <c r="J1528" s="17"/>
      <c r="P1528" s="17"/>
      <c r="Q1528" s="17"/>
    </row>
    <row r="1529" spans="2:17">
      <c r="B1529" s="15" t="str">
        <f t="shared" si="65"/>
        <v/>
      </c>
      <c r="C1529" s="16" t="str">
        <f>IFERROR(VLOOKUP(DATA!#REF!,DATA!#REF!,1,FALSE),"")</f>
        <v/>
      </c>
      <c r="D1529" s="16" t="str">
        <f>IFERROR(VLOOKUP(C1529,DATA!#REF!,2,FALSE),"")</f>
        <v/>
      </c>
      <c r="I1529" s="17"/>
      <c r="J1529" s="17"/>
      <c r="P1529" s="17"/>
      <c r="Q1529" s="17"/>
    </row>
    <row r="1530" spans="2:17">
      <c r="B1530" s="15" t="str">
        <f t="shared" si="65"/>
        <v/>
      </c>
      <c r="C1530" s="16" t="str">
        <f>IFERROR(VLOOKUP(DATA!#REF!,DATA!#REF!,1,FALSE),"")</f>
        <v/>
      </c>
      <c r="D1530" s="16" t="str">
        <f>IFERROR(VLOOKUP(C1530,DATA!#REF!,2,FALSE),"")</f>
        <v/>
      </c>
      <c r="I1530" s="17"/>
      <c r="J1530" s="17"/>
      <c r="P1530" s="17"/>
      <c r="Q1530" s="17"/>
    </row>
    <row r="1531" spans="2:17">
      <c r="B1531" s="15" t="str">
        <f t="shared" si="65"/>
        <v/>
      </c>
      <c r="C1531" s="16" t="str">
        <f>IFERROR(VLOOKUP(DATA!#REF!,DATA!#REF!,1,FALSE),"")</f>
        <v/>
      </c>
      <c r="D1531" s="16" t="str">
        <f>IFERROR(VLOOKUP(C1531,DATA!#REF!,2,FALSE),"")</f>
        <v/>
      </c>
      <c r="I1531" s="17"/>
      <c r="J1531" s="17"/>
      <c r="P1531" s="17"/>
      <c r="Q1531" s="17"/>
    </row>
    <row r="1532" spans="2:17">
      <c r="B1532" s="15" t="str">
        <f t="shared" si="65"/>
        <v/>
      </c>
      <c r="C1532" s="16" t="str">
        <f>IFERROR(VLOOKUP(DATA!#REF!,DATA!#REF!,1,FALSE),"")</f>
        <v/>
      </c>
      <c r="D1532" s="16" t="str">
        <f>IFERROR(VLOOKUP(C1532,DATA!#REF!,2,FALSE),"")</f>
        <v/>
      </c>
      <c r="I1532" s="17"/>
      <c r="J1532" s="17"/>
      <c r="P1532" s="17"/>
      <c r="Q1532" s="17"/>
    </row>
    <row r="1533" spans="2:17">
      <c r="B1533" s="15" t="str">
        <f t="shared" si="65"/>
        <v/>
      </c>
      <c r="C1533" s="16" t="str">
        <f>IFERROR(VLOOKUP(DATA!#REF!,DATA!#REF!,1,FALSE),"")</f>
        <v/>
      </c>
      <c r="D1533" s="16" t="str">
        <f>IFERROR(VLOOKUP(C1533,DATA!#REF!,2,FALSE),"")</f>
        <v/>
      </c>
      <c r="I1533" s="17"/>
      <c r="J1533" s="17"/>
      <c r="P1533" s="17"/>
      <c r="Q1533" s="17"/>
    </row>
    <row r="1534" spans="2:17">
      <c r="B1534" s="15" t="str">
        <f t="shared" si="65"/>
        <v/>
      </c>
      <c r="C1534" s="16" t="str">
        <f>IFERROR(VLOOKUP(DATA!#REF!,DATA!#REF!,1,FALSE),"")</f>
        <v/>
      </c>
      <c r="D1534" s="16" t="str">
        <f>IFERROR(VLOOKUP(C1534,DATA!#REF!,2,FALSE),"")</f>
        <v/>
      </c>
      <c r="I1534" s="17"/>
      <c r="J1534" s="17"/>
      <c r="P1534" s="17"/>
      <c r="Q1534" s="17"/>
    </row>
    <row r="1535" spans="2:17">
      <c r="B1535" s="15" t="str">
        <f t="shared" si="65"/>
        <v/>
      </c>
      <c r="C1535" s="16" t="str">
        <f>IFERROR(VLOOKUP(DATA!#REF!,DATA!#REF!,1,FALSE),"")</f>
        <v/>
      </c>
      <c r="D1535" s="16" t="str">
        <f>IFERROR(VLOOKUP(C1535,DATA!#REF!,2,FALSE),"")</f>
        <v/>
      </c>
      <c r="I1535" s="17"/>
      <c r="J1535" s="17"/>
      <c r="P1535" s="17"/>
      <c r="Q1535" s="17"/>
    </row>
    <row r="1536" spans="2:17">
      <c r="B1536" s="15" t="str">
        <f t="shared" si="65"/>
        <v/>
      </c>
      <c r="C1536" s="16" t="str">
        <f>IFERROR(VLOOKUP(DATA!#REF!,DATA!#REF!,1,FALSE),"")</f>
        <v/>
      </c>
      <c r="D1536" s="16" t="str">
        <f>IFERROR(VLOOKUP(C1536,DATA!#REF!,2,FALSE),"")</f>
        <v/>
      </c>
      <c r="I1536" s="17"/>
      <c r="J1536" s="17"/>
      <c r="P1536" s="17"/>
      <c r="Q1536" s="17"/>
    </row>
    <row r="1537" spans="2:17">
      <c r="B1537" s="15" t="str">
        <f t="shared" si="65"/>
        <v/>
      </c>
      <c r="C1537" s="16" t="str">
        <f>IFERROR(VLOOKUP(DATA!#REF!,DATA!#REF!,1,FALSE),"")</f>
        <v/>
      </c>
      <c r="D1537" s="16" t="str">
        <f>IFERROR(VLOOKUP(C1537,DATA!#REF!,2,FALSE),"")</f>
        <v/>
      </c>
      <c r="I1537" s="17"/>
      <c r="J1537" s="17"/>
      <c r="P1537" s="17"/>
      <c r="Q1537" s="17"/>
    </row>
    <row r="1538" spans="2:17">
      <c r="B1538" s="15" t="str">
        <f t="shared" si="65"/>
        <v/>
      </c>
      <c r="C1538" s="16" t="str">
        <f>IFERROR(VLOOKUP(DATA!#REF!,DATA!#REF!,1,FALSE),"")</f>
        <v/>
      </c>
      <c r="D1538" s="16" t="str">
        <f>IFERROR(VLOOKUP(C1538,DATA!#REF!,2,FALSE),"")</f>
        <v/>
      </c>
      <c r="I1538" s="17"/>
      <c r="J1538" s="17"/>
      <c r="P1538" s="17"/>
      <c r="Q1538" s="17"/>
    </row>
    <row r="1539" spans="2:17">
      <c r="B1539" s="15" t="str">
        <f t="shared" si="65"/>
        <v/>
      </c>
      <c r="C1539" s="16" t="str">
        <f>IFERROR(VLOOKUP(DATA!#REF!,DATA!#REF!,1,FALSE),"")</f>
        <v/>
      </c>
      <c r="D1539" s="16" t="str">
        <f>IFERROR(VLOOKUP(C1539,DATA!#REF!,2,FALSE),"")</f>
        <v/>
      </c>
      <c r="I1539" s="17"/>
      <c r="J1539" s="17"/>
      <c r="P1539" s="17"/>
      <c r="Q1539" s="17"/>
    </row>
    <row r="1540" spans="2:17">
      <c r="B1540" s="15" t="str">
        <f t="shared" si="65"/>
        <v/>
      </c>
      <c r="C1540" s="16" t="str">
        <f>IFERROR(VLOOKUP(DATA!#REF!,DATA!#REF!,1,FALSE),"")</f>
        <v/>
      </c>
      <c r="D1540" s="16" t="str">
        <f>IFERROR(VLOOKUP(C1540,DATA!#REF!,2,FALSE),"")</f>
        <v/>
      </c>
      <c r="I1540" s="17"/>
      <c r="J1540" s="17"/>
      <c r="P1540" s="17"/>
      <c r="Q1540" s="17"/>
    </row>
    <row r="1541" spans="2:17">
      <c r="B1541" s="15" t="str">
        <f t="shared" si="65"/>
        <v/>
      </c>
      <c r="C1541" s="16" t="str">
        <f>IFERROR(VLOOKUP(DATA!#REF!,DATA!#REF!,1,FALSE),"")</f>
        <v/>
      </c>
      <c r="D1541" s="16" t="str">
        <f>IFERROR(VLOOKUP(C1541,DATA!#REF!,2,FALSE),"")</f>
        <v/>
      </c>
      <c r="I1541" s="17"/>
      <c r="J1541" s="17"/>
      <c r="P1541" s="17"/>
      <c r="Q1541" s="17"/>
    </row>
    <row r="1542" spans="2:17">
      <c r="B1542" s="15" t="str">
        <f t="shared" si="65"/>
        <v/>
      </c>
      <c r="C1542" s="16" t="str">
        <f>IFERROR(VLOOKUP(DATA!#REF!,DATA!#REF!,1,FALSE),"")</f>
        <v/>
      </c>
      <c r="D1542" s="16" t="str">
        <f>IFERROR(VLOOKUP(C1542,DATA!#REF!,2,FALSE),"")</f>
        <v/>
      </c>
      <c r="I1542" s="17"/>
      <c r="J1542" s="17"/>
      <c r="P1542" s="17"/>
      <c r="Q1542" s="17"/>
    </row>
    <row r="1543" spans="2:17">
      <c r="B1543" s="15" t="str">
        <f t="shared" si="65"/>
        <v/>
      </c>
      <c r="C1543" s="16" t="str">
        <f>IFERROR(VLOOKUP(DATA!#REF!,DATA!#REF!,1,FALSE),"")</f>
        <v/>
      </c>
      <c r="D1543" s="16" t="str">
        <f>IFERROR(VLOOKUP(C1543,DATA!#REF!,2,FALSE),"")</f>
        <v/>
      </c>
      <c r="I1543" s="17"/>
      <c r="J1543" s="17"/>
      <c r="P1543" s="17"/>
      <c r="Q1543" s="17"/>
    </row>
    <row r="1544" spans="2:17">
      <c r="B1544" s="15" t="str">
        <f t="shared" si="65"/>
        <v/>
      </c>
      <c r="C1544" s="16" t="str">
        <f>IFERROR(VLOOKUP(DATA!#REF!,DATA!#REF!,1,FALSE),"")</f>
        <v/>
      </c>
      <c r="D1544" s="16" t="str">
        <f>IFERROR(VLOOKUP(C1544,DATA!#REF!,2,FALSE),"")</f>
        <v/>
      </c>
      <c r="I1544" s="17"/>
      <c r="J1544" s="17"/>
      <c r="P1544" s="17"/>
      <c r="Q1544" s="17"/>
    </row>
    <row r="1545" spans="2:17">
      <c r="B1545" s="15" t="str">
        <f t="shared" si="65"/>
        <v/>
      </c>
      <c r="C1545" s="16" t="str">
        <f>IFERROR(VLOOKUP(DATA!#REF!,DATA!#REF!,1,FALSE),"")</f>
        <v/>
      </c>
      <c r="D1545" s="16" t="str">
        <f>IFERROR(VLOOKUP(C1545,DATA!#REF!,2,FALSE),"")</f>
        <v/>
      </c>
      <c r="I1545" s="17"/>
      <c r="J1545" s="17"/>
      <c r="P1545" s="17"/>
      <c r="Q1545" s="17"/>
    </row>
    <row r="1546" spans="2:17">
      <c r="B1546" s="15" t="str">
        <f t="shared" si="65"/>
        <v/>
      </c>
      <c r="C1546" s="16" t="str">
        <f>IFERROR(VLOOKUP(DATA!#REF!,DATA!#REF!,1,FALSE),"")</f>
        <v/>
      </c>
      <c r="D1546" s="16" t="str">
        <f>IFERROR(VLOOKUP(C1546,DATA!#REF!,2,FALSE),"")</f>
        <v/>
      </c>
      <c r="I1546" s="17"/>
      <c r="J1546" s="17"/>
      <c r="P1546" s="17"/>
      <c r="Q1546" s="17"/>
    </row>
    <row r="1547" spans="2:17">
      <c r="B1547" s="15" t="str">
        <f t="shared" si="65"/>
        <v/>
      </c>
      <c r="C1547" s="16" t="str">
        <f>IFERROR(VLOOKUP(DATA!#REF!,DATA!#REF!,1,FALSE),"")</f>
        <v/>
      </c>
      <c r="D1547" s="16" t="str">
        <f>IFERROR(VLOOKUP(C1547,DATA!#REF!,2,FALSE),"")</f>
        <v/>
      </c>
      <c r="I1547" s="17"/>
      <c r="J1547" s="17"/>
      <c r="P1547" s="17"/>
      <c r="Q1547" s="17"/>
    </row>
    <row r="1548" spans="2:17">
      <c r="B1548" s="15" t="str">
        <f t="shared" si="65"/>
        <v/>
      </c>
      <c r="C1548" s="16" t="str">
        <f>IFERROR(VLOOKUP(DATA!#REF!,DATA!#REF!,1,FALSE),"")</f>
        <v/>
      </c>
      <c r="D1548" s="16" t="str">
        <f>IFERROR(VLOOKUP(C1548,DATA!#REF!,2,FALSE),"")</f>
        <v/>
      </c>
      <c r="I1548" s="17"/>
      <c r="J1548" s="17"/>
      <c r="P1548" s="17"/>
      <c r="Q1548" s="17"/>
    </row>
    <row r="1549" spans="2:17">
      <c r="B1549" s="15" t="str">
        <f t="shared" si="65"/>
        <v/>
      </c>
      <c r="C1549" s="16" t="str">
        <f>IFERROR(VLOOKUP(DATA!#REF!,DATA!#REF!,1,FALSE),"")</f>
        <v/>
      </c>
      <c r="D1549" s="16" t="str">
        <f>IFERROR(VLOOKUP(C1549,DATA!#REF!,2,FALSE),"")</f>
        <v/>
      </c>
      <c r="I1549" s="17"/>
      <c r="J1549" s="17"/>
      <c r="P1549" s="17"/>
      <c r="Q1549" s="17"/>
    </row>
    <row r="1550" spans="2:17">
      <c r="B1550" s="15" t="str">
        <f t="shared" si="65"/>
        <v/>
      </c>
      <c r="C1550" s="16" t="str">
        <f>IFERROR(VLOOKUP(DATA!#REF!,DATA!#REF!,1,FALSE),"")</f>
        <v/>
      </c>
      <c r="D1550" s="16" t="str">
        <f>IFERROR(VLOOKUP(C1550,DATA!#REF!,2,FALSE),"")</f>
        <v/>
      </c>
      <c r="I1550" s="17"/>
      <c r="J1550" s="17"/>
      <c r="P1550" s="17"/>
      <c r="Q1550" s="17"/>
    </row>
    <row r="1551" spans="2:17">
      <c r="B1551" s="15" t="str">
        <f t="shared" si="65"/>
        <v/>
      </c>
      <c r="C1551" s="16" t="str">
        <f>IFERROR(VLOOKUP(DATA!#REF!,DATA!#REF!,1,FALSE),"")</f>
        <v/>
      </c>
      <c r="D1551" s="16" t="str">
        <f>IFERROR(VLOOKUP(C1551,DATA!#REF!,2,FALSE),"")</f>
        <v/>
      </c>
      <c r="I1551" s="17"/>
      <c r="J1551" s="17"/>
      <c r="P1551" s="17"/>
      <c r="Q1551" s="17"/>
    </row>
    <row r="1552" spans="2:17">
      <c r="B1552" s="15" t="str">
        <f t="shared" si="65"/>
        <v/>
      </c>
      <c r="C1552" s="16" t="str">
        <f>IFERROR(VLOOKUP(DATA!#REF!,DATA!#REF!,1,FALSE),"")</f>
        <v/>
      </c>
      <c r="D1552" s="16" t="str">
        <f>IFERROR(VLOOKUP(C1552,DATA!#REF!,2,FALSE),"")</f>
        <v/>
      </c>
      <c r="I1552" s="17"/>
      <c r="J1552" s="17"/>
      <c r="P1552" s="17"/>
      <c r="Q1552" s="17"/>
    </row>
    <row r="1553" spans="2:17">
      <c r="B1553" s="15" t="str">
        <f t="shared" si="65"/>
        <v/>
      </c>
      <c r="C1553" s="16" t="str">
        <f>IFERROR(VLOOKUP(DATA!#REF!,DATA!#REF!,1,FALSE),"")</f>
        <v/>
      </c>
      <c r="D1553" s="16" t="str">
        <f>IFERROR(VLOOKUP(C1553,DATA!#REF!,2,FALSE),"")</f>
        <v/>
      </c>
      <c r="I1553" s="17"/>
      <c r="J1553" s="17"/>
      <c r="P1553" s="17"/>
      <c r="Q1553" s="17"/>
    </row>
    <row r="1554" spans="2:17">
      <c r="B1554" s="15" t="str">
        <f t="shared" si="65"/>
        <v/>
      </c>
      <c r="C1554" s="16" t="str">
        <f>IFERROR(VLOOKUP(DATA!#REF!,DATA!#REF!,1,FALSE),"")</f>
        <v/>
      </c>
      <c r="D1554" s="16" t="str">
        <f>IFERROR(VLOOKUP(C1554,DATA!#REF!,2,FALSE),"")</f>
        <v/>
      </c>
      <c r="I1554" s="17"/>
      <c r="J1554" s="17"/>
      <c r="P1554" s="17"/>
      <c r="Q1554" s="17"/>
    </row>
    <row r="1555" spans="2:17">
      <c r="B1555" s="15" t="str">
        <f t="shared" si="65"/>
        <v/>
      </c>
      <c r="C1555" s="16" t="str">
        <f>IFERROR(VLOOKUP(DATA!#REF!,DATA!#REF!,1,FALSE),"")</f>
        <v/>
      </c>
      <c r="D1555" s="16" t="str">
        <f>IFERROR(VLOOKUP(C1555,DATA!#REF!,2,FALSE),"")</f>
        <v/>
      </c>
      <c r="I1555" s="17"/>
      <c r="J1555" s="17"/>
      <c r="P1555" s="17"/>
      <c r="Q1555" s="17"/>
    </row>
    <row r="1556" spans="2:17">
      <c r="B1556" s="15" t="str">
        <f t="shared" si="65"/>
        <v/>
      </c>
      <c r="C1556" s="16" t="str">
        <f>IFERROR(VLOOKUP(DATA!#REF!,DATA!#REF!,1,FALSE),"")</f>
        <v/>
      </c>
      <c r="D1556" s="16" t="str">
        <f>IFERROR(VLOOKUP(C1556,DATA!#REF!,2,FALSE),"")</f>
        <v/>
      </c>
      <c r="I1556" s="17"/>
      <c r="J1556" s="17"/>
      <c r="P1556" s="17"/>
      <c r="Q1556" s="17"/>
    </row>
    <row r="1557" spans="2:17">
      <c r="B1557" s="15" t="str">
        <f t="shared" si="65"/>
        <v/>
      </c>
      <c r="C1557" s="16" t="str">
        <f>IFERROR(VLOOKUP(DATA!#REF!,DATA!#REF!,1,FALSE),"")</f>
        <v/>
      </c>
      <c r="D1557" s="16" t="str">
        <f>IFERROR(VLOOKUP(C1557,DATA!#REF!,2,FALSE),"")</f>
        <v/>
      </c>
      <c r="I1557" s="17"/>
      <c r="J1557" s="17"/>
      <c r="P1557" s="17"/>
      <c r="Q1557" s="17"/>
    </row>
    <row r="1558" spans="2:17">
      <c r="B1558" s="15" t="str">
        <f t="shared" si="65"/>
        <v/>
      </c>
      <c r="C1558" s="16" t="str">
        <f>IFERROR(VLOOKUP(DATA!#REF!,DATA!#REF!,1,FALSE),"")</f>
        <v/>
      </c>
      <c r="D1558" s="16" t="str">
        <f>IFERROR(VLOOKUP(C1558,DATA!#REF!,2,FALSE),"")</f>
        <v/>
      </c>
      <c r="I1558" s="17"/>
      <c r="J1558" s="17"/>
      <c r="P1558" s="17"/>
      <c r="Q1558" s="17"/>
    </row>
    <row r="1559" spans="2:17">
      <c r="B1559" s="15" t="str">
        <f t="shared" si="65"/>
        <v/>
      </c>
      <c r="C1559" s="16" t="str">
        <f>IFERROR(VLOOKUP(DATA!#REF!,DATA!#REF!,1,FALSE),"")</f>
        <v/>
      </c>
      <c r="D1559" s="16" t="str">
        <f>IFERROR(VLOOKUP(C1559,DATA!#REF!,2,FALSE),"")</f>
        <v/>
      </c>
      <c r="I1559" s="17"/>
      <c r="J1559" s="17"/>
      <c r="P1559" s="17"/>
      <c r="Q1559" s="17"/>
    </row>
    <row r="1560" spans="2:17">
      <c r="B1560" s="15" t="str">
        <f t="shared" si="65"/>
        <v/>
      </c>
      <c r="C1560" s="16" t="str">
        <f>IFERROR(VLOOKUP(DATA!#REF!,DATA!#REF!,1,FALSE),"")</f>
        <v/>
      </c>
      <c r="D1560" s="16" t="str">
        <f>IFERROR(VLOOKUP(C1560,DATA!#REF!,2,FALSE),"")</f>
        <v/>
      </c>
      <c r="I1560" s="17"/>
      <c r="J1560" s="17"/>
      <c r="P1560" s="17"/>
      <c r="Q1560" s="17"/>
    </row>
    <row r="1561" spans="2:17">
      <c r="B1561" s="15" t="str">
        <f t="shared" si="65"/>
        <v/>
      </c>
      <c r="C1561" s="16" t="str">
        <f>IFERROR(VLOOKUP(DATA!#REF!,DATA!#REF!,1,FALSE),"")</f>
        <v/>
      </c>
      <c r="D1561" s="16" t="str">
        <f>IFERROR(VLOOKUP(C1561,DATA!#REF!,2,FALSE),"")</f>
        <v/>
      </c>
      <c r="I1561" s="17"/>
      <c r="J1561" s="17"/>
      <c r="P1561" s="17"/>
      <c r="Q1561" s="17"/>
    </row>
    <row r="1562" spans="2:17">
      <c r="B1562" s="15" t="str">
        <f t="shared" si="65"/>
        <v/>
      </c>
      <c r="C1562" s="16" t="str">
        <f>IFERROR(VLOOKUP(DATA!#REF!,DATA!#REF!,1,FALSE),"")</f>
        <v/>
      </c>
      <c r="D1562" s="16" t="str">
        <f>IFERROR(VLOOKUP(C1562,DATA!#REF!,2,FALSE),"")</f>
        <v/>
      </c>
      <c r="I1562" s="17"/>
      <c r="J1562" s="17"/>
      <c r="P1562" s="17"/>
      <c r="Q1562" s="17"/>
    </row>
    <row r="1563" spans="2:17">
      <c r="B1563" s="15" t="str">
        <f t="shared" si="65"/>
        <v/>
      </c>
      <c r="C1563" s="16" t="str">
        <f>IFERROR(VLOOKUP(DATA!#REF!,DATA!#REF!,1,FALSE),"")</f>
        <v/>
      </c>
      <c r="D1563" s="16" t="str">
        <f>IFERROR(VLOOKUP(C1563,DATA!#REF!,2,FALSE),"")</f>
        <v/>
      </c>
      <c r="I1563" s="17"/>
      <c r="J1563" s="17"/>
      <c r="P1563" s="17"/>
      <c r="Q1563" s="17"/>
    </row>
    <row r="1564" spans="2:17">
      <c r="B1564" s="15" t="str">
        <f t="shared" si="65"/>
        <v/>
      </c>
      <c r="C1564" s="16" t="str">
        <f>IFERROR(VLOOKUP(DATA!#REF!,DATA!#REF!,1,FALSE),"")</f>
        <v/>
      </c>
      <c r="D1564" s="16" t="str">
        <f>IFERROR(VLOOKUP(C1564,DATA!#REF!,2,FALSE),"")</f>
        <v/>
      </c>
      <c r="I1564" s="17"/>
      <c r="J1564" s="17"/>
      <c r="P1564" s="17"/>
      <c r="Q1564" s="17"/>
    </row>
    <row r="1565" spans="2:17">
      <c r="B1565" s="15" t="str">
        <f t="shared" si="65"/>
        <v/>
      </c>
      <c r="C1565" s="16" t="str">
        <f>IFERROR(VLOOKUP(DATA!#REF!,DATA!#REF!,1,FALSE),"")</f>
        <v/>
      </c>
      <c r="D1565" s="16" t="str">
        <f>IFERROR(VLOOKUP(C1565,DATA!#REF!,2,FALSE),"")</f>
        <v/>
      </c>
      <c r="I1565" s="17"/>
      <c r="J1565" s="17"/>
      <c r="P1565" s="17"/>
      <c r="Q1565" s="17"/>
    </row>
    <row r="1566" spans="2:17">
      <c r="B1566" s="15" t="str">
        <f t="shared" si="65"/>
        <v/>
      </c>
      <c r="C1566" s="16" t="str">
        <f>IFERROR(VLOOKUP(DATA!#REF!,DATA!#REF!,1,FALSE),"")</f>
        <v/>
      </c>
      <c r="D1566" s="16" t="str">
        <f>IFERROR(VLOOKUP(C1566,DATA!#REF!,2,FALSE),"")</f>
        <v/>
      </c>
      <c r="I1566" s="17"/>
      <c r="J1566" s="17"/>
      <c r="P1566" s="17"/>
      <c r="Q1566" s="17"/>
    </row>
    <row r="1567" spans="2:17">
      <c r="B1567" s="15" t="str">
        <f t="shared" si="65"/>
        <v/>
      </c>
      <c r="C1567" s="16" t="str">
        <f>IFERROR(VLOOKUP(DATA!#REF!,DATA!#REF!,1,FALSE),"")</f>
        <v/>
      </c>
      <c r="D1567" s="16" t="str">
        <f>IFERROR(VLOOKUP(C1567,DATA!#REF!,2,FALSE),"")</f>
        <v/>
      </c>
      <c r="I1567" s="17"/>
      <c r="J1567" s="17"/>
      <c r="P1567" s="17"/>
      <c r="Q1567" s="17"/>
    </row>
    <row r="1568" spans="2:17">
      <c r="B1568" s="15" t="str">
        <f t="shared" si="65"/>
        <v/>
      </c>
      <c r="C1568" s="16" t="str">
        <f>IFERROR(VLOOKUP(DATA!#REF!,DATA!#REF!,1,FALSE),"")</f>
        <v/>
      </c>
      <c r="D1568" s="16" t="str">
        <f>IFERROR(VLOOKUP(C1568,DATA!#REF!,2,FALSE),"")</f>
        <v/>
      </c>
      <c r="I1568" s="17"/>
      <c r="J1568" s="17"/>
      <c r="P1568" s="17"/>
      <c r="Q1568" s="17"/>
    </row>
    <row r="1569" spans="2:17">
      <c r="B1569" s="15" t="str">
        <f t="shared" si="65"/>
        <v/>
      </c>
      <c r="C1569" s="16" t="str">
        <f>IFERROR(VLOOKUP(DATA!#REF!,DATA!#REF!,1,FALSE),"")</f>
        <v/>
      </c>
      <c r="D1569" s="16" t="str">
        <f>IFERROR(VLOOKUP(C1569,DATA!#REF!,2,FALSE),"")</f>
        <v/>
      </c>
      <c r="I1569" s="17"/>
      <c r="J1569" s="17"/>
      <c r="P1569" s="17"/>
      <c r="Q1569" s="17"/>
    </row>
    <row r="1570" spans="2:17">
      <c r="B1570" s="15" t="str">
        <f t="shared" si="65"/>
        <v/>
      </c>
      <c r="C1570" s="16" t="str">
        <f>IFERROR(VLOOKUP(DATA!#REF!,DATA!#REF!,1,FALSE),"")</f>
        <v/>
      </c>
      <c r="D1570" s="16" t="str">
        <f>IFERROR(VLOOKUP(C1570,DATA!#REF!,2,FALSE),"")</f>
        <v/>
      </c>
      <c r="I1570" s="17"/>
      <c r="J1570" s="17"/>
      <c r="P1570" s="17"/>
      <c r="Q1570" s="17"/>
    </row>
    <row r="1571" spans="2:17">
      <c r="B1571" s="15" t="str">
        <f t="shared" si="65"/>
        <v/>
      </c>
      <c r="C1571" s="16" t="str">
        <f>IFERROR(VLOOKUP(DATA!#REF!,DATA!#REF!,1,FALSE),"")</f>
        <v/>
      </c>
      <c r="D1571" s="16" t="str">
        <f>IFERROR(VLOOKUP(C1571,DATA!#REF!,2,FALSE),"")</f>
        <v/>
      </c>
      <c r="I1571" s="17"/>
      <c r="J1571" s="17"/>
      <c r="P1571" s="17"/>
      <c r="Q1571" s="17"/>
    </row>
    <row r="1572" spans="2:17">
      <c r="B1572" s="15" t="str">
        <f t="shared" si="65"/>
        <v/>
      </c>
      <c r="C1572" s="16" t="str">
        <f>IFERROR(VLOOKUP(DATA!#REF!,DATA!#REF!,1,FALSE),"")</f>
        <v/>
      </c>
      <c r="D1572" s="16" t="str">
        <f>IFERROR(VLOOKUP(C1572,DATA!#REF!,2,FALSE),"")</f>
        <v/>
      </c>
      <c r="I1572" s="17"/>
      <c r="J1572" s="17"/>
      <c r="P1572" s="17"/>
      <c r="Q1572" s="17"/>
    </row>
    <row r="1573" spans="2:17">
      <c r="B1573" s="15" t="str">
        <f t="shared" si="65"/>
        <v/>
      </c>
      <c r="C1573" s="16" t="str">
        <f>IFERROR(VLOOKUP(DATA!#REF!,DATA!#REF!,1,FALSE),"")</f>
        <v/>
      </c>
      <c r="D1573" s="16" t="str">
        <f>IFERROR(VLOOKUP(C1573,DATA!#REF!,2,FALSE),"")</f>
        <v/>
      </c>
      <c r="I1573" s="17"/>
      <c r="J1573" s="17"/>
      <c r="P1573" s="17"/>
      <c r="Q1573" s="17"/>
    </row>
    <row r="1574" spans="2:17">
      <c r="B1574" s="15" t="str">
        <f t="shared" si="65"/>
        <v/>
      </c>
      <c r="C1574" s="16" t="str">
        <f>IFERROR(VLOOKUP(DATA!#REF!,DATA!#REF!,1,FALSE),"")</f>
        <v/>
      </c>
      <c r="D1574" s="16" t="str">
        <f>IFERROR(VLOOKUP(C1574,DATA!#REF!,2,FALSE),"")</f>
        <v/>
      </c>
      <c r="I1574" s="17"/>
      <c r="J1574" s="17"/>
      <c r="P1574" s="17"/>
      <c r="Q1574" s="17"/>
    </row>
    <row r="1575" spans="2:17">
      <c r="B1575" s="15" t="str">
        <f t="shared" si="65"/>
        <v/>
      </c>
      <c r="C1575" s="16" t="str">
        <f>IFERROR(VLOOKUP(DATA!#REF!,DATA!#REF!,1,FALSE),"")</f>
        <v/>
      </c>
      <c r="D1575" s="16" t="str">
        <f>IFERROR(VLOOKUP(C1575,DATA!#REF!,2,FALSE),"")</f>
        <v/>
      </c>
      <c r="I1575" s="17"/>
      <c r="J1575" s="17"/>
      <c r="P1575" s="17"/>
      <c r="Q1575" s="17"/>
    </row>
    <row r="1576" spans="2:17">
      <c r="B1576" s="15" t="str">
        <f t="shared" si="65"/>
        <v/>
      </c>
      <c r="C1576" s="16" t="str">
        <f>IFERROR(VLOOKUP(DATA!#REF!,DATA!#REF!,1,FALSE),"")</f>
        <v/>
      </c>
      <c r="D1576" s="16" t="str">
        <f>IFERROR(VLOOKUP(C1576,DATA!#REF!,2,FALSE),"")</f>
        <v/>
      </c>
      <c r="I1576" s="17"/>
      <c r="J1576" s="17"/>
      <c r="P1576" s="17"/>
      <c r="Q1576" s="17"/>
    </row>
    <row r="1577" spans="2:17">
      <c r="B1577" s="15" t="str">
        <f t="shared" si="65"/>
        <v/>
      </c>
      <c r="C1577" s="16" t="str">
        <f>IFERROR(VLOOKUP(DATA!#REF!,DATA!#REF!,1,FALSE),"")</f>
        <v/>
      </c>
      <c r="D1577" s="16" t="str">
        <f>IFERROR(VLOOKUP(C1577,DATA!#REF!,2,FALSE),"")</f>
        <v/>
      </c>
      <c r="I1577" s="17"/>
      <c r="J1577" s="17"/>
      <c r="P1577" s="17"/>
      <c r="Q1577" s="17"/>
    </row>
    <row r="1578" spans="2:17">
      <c r="B1578" s="15" t="str">
        <f t="shared" si="65"/>
        <v/>
      </c>
      <c r="C1578" s="16" t="str">
        <f>IFERROR(VLOOKUP(DATA!#REF!,DATA!#REF!,1,FALSE),"")</f>
        <v/>
      </c>
      <c r="D1578" s="16" t="str">
        <f>IFERROR(VLOOKUP(C1578,DATA!#REF!,2,FALSE),"")</f>
        <v/>
      </c>
      <c r="I1578" s="17"/>
      <c r="J1578" s="17"/>
      <c r="P1578" s="17"/>
      <c r="Q1578" s="17"/>
    </row>
    <row r="1579" spans="2:17">
      <c r="B1579" s="15" t="str">
        <f t="shared" si="65"/>
        <v/>
      </c>
      <c r="C1579" s="16" t="str">
        <f>IFERROR(VLOOKUP(DATA!#REF!,DATA!#REF!,1,FALSE),"")</f>
        <v/>
      </c>
      <c r="D1579" s="16" t="str">
        <f>IFERROR(VLOOKUP(C1579,DATA!#REF!,2,FALSE),"")</f>
        <v/>
      </c>
      <c r="I1579" s="17"/>
      <c r="J1579" s="17"/>
      <c r="P1579" s="17"/>
      <c r="Q1579" s="17"/>
    </row>
    <row r="1580" spans="2:17">
      <c r="B1580" s="15" t="str">
        <f t="shared" si="65"/>
        <v/>
      </c>
      <c r="C1580" s="16" t="str">
        <f>IFERROR(VLOOKUP(DATA!#REF!,DATA!#REF!,1,FALSE),"")</f>
        <v/>
      </c>
      <c r="D1580" s="16" t="str">
        <f>IFERROR(VLOOKUP(C1580,DATA!#REF!,2,FALSE),"")</f>
        <v/>
      </c>
      <c r="I1580" s="17"/>
      <c r="J1580" s="17"/>
      <c r="P1580" s="17"/>
      <c r="Q1580" s="17"/>
    </row>
    <row r="1581" spans="2:17">
      <c r="B1581" s="15" t="str">
        <f t="shared" si="65"/>
        <v/>
      </c>
      <c r="C1581" s="16" t="str">
        <f>IFERROR(VLOOKUP(DATA!#REF!,DATA!#REF!,1,FALSE),"")</f>
        <v/>
      </c>
      <c r="D1581" s="16" t="str">
        <f>IFERROR(VLOOKUP(C1581,DATA!#REF!,2,FALSE),"")</f>
        <v/>
      </c>
      <c r="I1581" s="17"/>
      <c r="J1581" s="17"/>
      <c r="P1581" s="17"/>
      <c r="Q1581" s="17"/>
    </row>
    <row r="1582" spans="2:17">
      <c r="B1582" s="15" t="str">
        <f t="shared" si="65"/>
        <v/>
      </c>
      <c r="C1582" s="16" t="str">
        <f>IFERROR(VLOOKUP(DATA!#REF!,DATA!#REF!,1,FALSE),"")</f>
        <v/>
      </c>
      <c r="D1582" s="16" t="str">
        <f>IFERROR(VLOOKUP(C1582,DATA!#REF!,2,FALSE),"")</f>
        <v/>
      </c>
      <c r="I1582" s="17"/>
      <c r="J1582" s="17"/>
      <c r="P1582" s="17"/>
      <c r="Q1582" s="17"/>
    </row>
    <row r="1583" spans="2:17">
      <c r="B1583" s="15" t="str">
        <f t="shared" si="65"/>
        <v/>
      </c>
      <c r="C1583" s="16" t="str">
        <f>IFERROR(VLOOKUP(DATA!#REF!,DATA!#REF!,1,FALSE),"")</f>
        <v/>
      </c>
      <c r="D1583" s="16" t="str">
        <f>IFERROR(VLOOKUP(C1583,DATA!#REF!,2,FALSE),"")</f>
        <v/>
      </c>
      <c r="I1583" s="17"/>
      <c r="J1583" s="17"/>
      <c r="P1583" s="17"/>
      <c r="Q1583" s="17"/>
    </row>
    <row r="1584" spans="2:17">
      <c r="B1584" s="15" t="str">
        <f t="shared" si="65"/>
        <v/>
      </c>
      <c r="C1584" s="16" t="str">
        <f>IFERROR(VLOOKUP(DATA!#REF!,DATA!#REF!,1,FALSE),"")</f>
        <v/>
      </c>
      <c r="D1584" s="16" t="str">
        <f>IFERROR(VLOOKUP(C1584,DATA!#REF!,2,FALSE),"")</f>
        <v/>
      </c>
      <c r="I1584" s="17"/>
      <c r="J1584" s="17"/>
      <c r="P1584" s="17"/>
      <c r="Q1584" s="17"/>
    </row>
    <row r="1585" spans="2:17">
      <c r="B1585" s="15" t="str">
        <f t="shared" si="65"/>
        <v/>
      </c>
      <c r="C1585" s="16" t="str">
        <f>IFERROR(VLOOKUP(DATA!#REF!,DATA!#REF!,1,FALSE),"")</f>
        <v/>
      </c>
      <c r="D1585" s="16" t="str">
        <f>IFERROR(VLOOKUP(C1585,DATA!#REF!,2,FALSE),"")</f>
        <v/>
      </c>
      <c r="I1585" s="17"/>
      <c r="J1585" s="17"/>
      <c r="P1585" s="17"/>
      <c r="Q1585" s="17"/>
    </row>
    <row r="1586" spans="2:17">
      <c r="B1586" s="15" t="str">
        <f t="shared" si="65"/>
        <v/>
      </c>
      <c r="C1586" s="16" t="str">
        <f>IFERROR(VLOOKUP(DATA!#REF!,DATA!#REF!,1,FALSE),"")</f>
        <v/>
      </c>
      <c r="D1586" s="16" t="str">
        <f>IFERROR(VLOOKUP(C1586,DATA!#REF!,2,FALSE),"")</f>
        <v/>
      </c>
      <c r="I1586" s="17"/>
      <c r="J1586" s="17"/>
      <c r="P1586" s="17"/>
      <c r="Q1586" s="17"/>
    </row>
    <row r="1587" spans="2:17">
      <c r="B1587" s="15" t="str">
        <f t="shared" si="65"/>
        <v/>
      </c>
      <c r="C1587" s="16" t="str">
        <f>IFERROR(VLOOKUP(DATA!#REF!,DATA!#REF!,1,FALSE),"")</f>
        <v/>
      </c>
      <c r="D1587" s="16" t="str">
        <f>IFERROR(VLOOKUP(C1587,DATA!#REF!,2,FALSE),"")</f>
        <v/>
      </c>
      <c r="I1587" s="17"/>
      <c r="J1587" s="17"/>
      <c r="P1587" s="17"/>
      <c r="Q1587" s="17"/>
    </row>
    <row r="1588" spans="2:17">
      <c r="B1588" s="15" t="str">
        <f t="shared" si="65"/>
        <v/>
      </c>
      <c r="C1588" s="16" t="str">
        <f>IFERROR(VLOOKUP(DATA!#REF!,DATA!#REF!,1,FALSE),"")</f>
        <v/>
      </c>
      <c r="D1588" s="16" t="str">
        <f>IFERROR(VLOOKUP(C1588,DATA!#REF!,2,FALSE),"")</f>
        <v/>
      </c>
      <c r="I1588" s="17"/>
      <c r="J1588" s="17"/>
      <c r="P1588" s="17"/>
      <c r="Q1588" s="17"/>
    </row>
    <row r="1589" spans="2:17">
      <c r="B1589" s="15" t="str">
        <f t="shared" si="65"/>
        <v/>
      </c>
      <c r="C1589" s="16" t="str">
        <f>IFERROR(VLOOKUP(DATA!#REF!,DATA!#REF!,1,FALSE),"")</f>
        <v/>
      </c>
      <c r="D1589" s="16" t="str">
        <f>IFERROR(VLOOKUP(C1589,DATA!#REF!,2,FALSE),"")</f>
        <v/>
      </c>
      <c r="I1589" s="17"/>
      <c r="J1589" s="17"/>
      <c r="P1589" s="17"/>
      <c r="Q1589" s="17"/>
    </row>
    <row r="1590" spans="2:17">
      <c r="B1590" s="15" t="str">
        <f t="shared" si="65"/>
        <v/>
      </c>
      <c r="C1590" s="16" t="str">
        <f>IFERROR(VLOOKUP(DATA!#REF!,DATA!#REF!,1,FALSE),"")</f>
        <v/>
      </c>
      <c r="D1590" s="16" t="str">
        <f>IFERROR(VLOOKUP(C1590,DATA!#REF!,2,FALSE),"")</f>
        <v/>
      </c>
      <c r="I1590" s="17"/>
      <c r="J1590" s="17"/>
      <c r="P1590" s="17"/>
      <c r="Q1590" s="17"/>
    </row>
    <row r="1591" spans="2:17">
      <c r="B1591" s="15" t="str">
        <f t="shared" ref="B1591:B1654" si="66">+IF(C1591="","",ROW()-5)</f>
        <v/>
      </c>
      <c r="C1591" s="16" t="str">
        <f>IFERROR(VLOOKUP(DATA!#REF!,DATA!#REF!,1,FALSE),"")</f>
        <v/>
      </c>
      <c r="D1591" s="16" t="str">
        <f>IFERROR(VLOOKUP(C1591,DATA!#REF!,2,FALSE),"")</f>
        <v/>
      </c>
      <c r="I1591" s="17"/>
      <c r="J1591" s="17"/>
      <c r="P1591" s="17"/>
      <c r="Q1591" s="17"/>
    </row>
    <row r="1592" spans="2:17">
      <c r="B1592" s="15" t="str">
        <f t="shared" si="66"/>
        <v/>
      </c>
      <c r="C1592" s="16" t="str">
        <f>IFERROR(VLOOKUP(DATA!#REF!,DATA!#REF!,1,FALSE),"")</f>
        <v/>
      </c>
      <c r="D1592" s="16" t="str">
        <f>IFERROR(VLOOKUP(C1592,DATA!#REF!,2,FALSE),"")</f>
        <v/>
      </c>
      <c r="I1592" s="17"/>
      <c r="J1592" s="17"/>
      <c r="P1592" s="17"/>
      <c r="Q1592" s="17"/>
    </row>
    <row r="1593" spans="2:17">
      <c r="B1593" s="15" t="str">
        <f t="shared" si="66"/>
        <v/>
      </c>
      <c r="C1593" s="16" t="str">
        <f>IFERROR(VLOOKUP(DATA!#REF!,DATA!#REF!,1,FALSE),"")</f>
        <v/>
      </c>
      <c r="D1593" s="16" t="str">
        <f>IFERROR(VLOOKUP(C1593,DATA!#REF!,2,FALSE),"")</f>
        <v/>
      </c>
      <c r="I1593" s="17"/>
      <c r="J1593" s="17"/>
      <c r="P1593" s="17"/>
      <c r="Q1593" s="17"/>
    </row>
    <row r="1594" spans="2:17">
      <c r="B1594" s="15" t="str">
        <f t="shared" si="66"/>
        <v/>
      </c>
      <c r="C1594" s="16" t="str">
        <f>IFERROR(VLOOKUP(DATA!#REF!,DATA!#REF!,1,FALSE),"")</f>
        <v/>
      </c>
      <c r="D1594" s="16" t="str">
        <f>IFERROR(VLOOKUP(C1594,DATA!#REF!,2,FALSE),"")</f>
        <v/>
      </c>
      <c r="I1594" s="17"/>
      <c r="J1594" s="17"/>
      <c r="P1594" s="17"/>
      <c r="Q1594" s="17"/>
    </row>
    <row r="1595" spans="2:17">
      <c r="B1595" s="15" t="str">
        <f t="shared" si="66"/>
        <v/>
      </c>
      <c r="C1595" s="16" t="str">
        <f>IFERROR(VLOOKUP(DATA!#REF!,DATA!#REF!,1,FALSE),"")</f>
        <v/>
      </c>
      <c r="D1595" s="16" t="str">
        <f>IFERROR(VLOOKUP(C1595,DATA!#REF!,2,FALSE),"")</f>
        <v/>
      </c>
      <c r="I1595" s="17"/>
      <c r="J1595" s="17"/>
      <c r="P1595" s="17"/>
      <c r="Q1595" s="17"/>
    </row>
    <row r="1596" spans="2:17">
      <c r="B1596" s="15" t="str">
        <f t="shared" si="66"/>
        <v/>
      </c>
      <c r="C1596" s="16" t="str">
        <f>IFERROR(VLOOKUP(DATA!#REF!,DATA!#REF!,1,FALSE),"")</f>
        <v/>
      </c>
      <c r="D1596" s="16" t="str">
        <f>IFERROR(VLOOKUP(C1596,DATA!#REF!,2,FALSE),"")</f>
        <v/>
      </c>
      <c r="I1596" s="17"/>
      <c r="J1596" s="17"/>
      <c r="P1596" s="17"/>
      <c r="Q1596" s="17"/>
    </row>
    <row r="1597" spans="2:17">
      <c r="B1597" s="15" t="str">
        <f t="shared" si="66"/>
        <v/>
      </c>
      <c r="C1597" s="16" t="str">
        <f>IFERROR(VLOOKUP(DATA!#REF!,DATA!#REF!,1,FALSE),"")</f>
        <v/>
      </c>
      <c r="D1597" s="16" t="str">
        <f>IFERROR(VLOOKUP(C1597,DATA!#REF!,2,FALSE),"")</f>
        <v/>
      </c>
      <c r="I1597" s="17"/>
      <c r="J1597" s="17"/>
      <c r="P1597" s="17"/>
      <c r="Q1597" s="17"/>
    </row>
    <row r="1598" spans="2:17">
      <c r="B1598" s="15" t="str">
        <f t="shared" si="66"/>
        <v/>
      </c>
      <c r="C1598" s="16" t="str">
        <f>IFERROR(VLOOKUP(DATA!#REF!,DATA!#REF!,1,FALSE),"")</f>
        <v/>
      </c>
      <c r="D1598" s="16" t="str">
        <f>IFERROR(VLOOKUP(C1598,DATA!#REF!,2,FALSE),"")</f>
        <v/>
      </c>
      <c r="I1598" s="17"/>
      <c r="J1598" s="17"/>
      <c r="P1598" s="17"/>
      <c r="Q1598" s="17"/>
    </row>
    <row r="1599" spans="2:17">
      <c r="B1599" s="15" t="str">
        <f t="shared" si="66"/>
        <v/>
      </c>
      <c r="C1599" s="16" t="str">
        <f>IFERROR(VLOOKUP(DATA!#REF!,DATA!#REF!,1,FALSE),"")</f>
        <v/>
      </c>
      <c r="D1599" s="16" t="str">
        <f>IFERROR(VLOOKUP(C1599,DATA!#REF!,2,FALSE),"")</f>
        <v/>
      </c>
      <c r="I1599" s="17"/>
      <c r="J1599" s="17"/>
      <c r="P1599" s="17"/>
      <c r="Q1599" s="17"/>
    </row>
    <row r="1600" spans="2:17">
      <c r="B1600" s="15" t="str">
        <f t="shared" si="66"/>
        <v/>
      </c>
      <c r="C1600" s="16" t="str">
        <f>IFERROR(VLOOKUP(DATA!#REF!,DATA!#REF!,1,FALSE),"")</f>
        <v/>
      </c>
      <c r="D1600" s="16" t="str">
        <f>IFERROR(VLOOKUP(C1600,DATA!#REF!,2,FALSE),"")</f>
        <v/>
      </c>
      <c r="I1600" s="17"/>
      <c r="J1600" s="17"/>
      <c r="P1600" s="17"/>
      <c r="Q1600" s="17"/>
    </row>
    <row r="1601" spans="2:17">
      <c r="B1601" s="15" t="str">
        <f t="shared" si="66"/>
        <v/>
      </c>
      <c r="C1601" s="16" t="str">
        <f>IFERROR(VLOOKUP(DATA!#REF!,DATA!#REF!,1,FALSE),"")</f>
        <v/>
      </c>
      <c r="D1601" s="16" t="str">
        <f>IFERROR(VLOOKUP(C1601,DATA!#REF!,2,FALSE),"")</f>
        <v/>
      </c>
      <c r="I1601" s="17"/>
      <c r="J1601" s="17"/>
      <c r="P1601" s="17"/>
      <c r="Q1601" s="17"/>
    </row>
    <row r="1602" spans="2:17">
      <c r="B1602" s="15" t="str">
        <f t="shared" si="66"/>
        <v/>
      </c>
      <c r="C1602" s="16" t="str">
        <f>IFERROR(VLOOKUP(DATA!#REF!,DATA!#REF!,1,FALSE),"")</f>
        <v/>
      </c>
      <c r="D1602" s="16" t="str">
        <f>IFERROR(VLOOKUP(C1602,DATA!#REF!,2,FALSE),"")</f>
        <v/>
      </c>
      <c r="I1602" s="17"/>
      <c r="J1602" s="17"/>
      <c r="P1602" s="17"/>
      <c r="Q1602" s="17"/>
    </row>
    <row r="1603" spans="2:17">
      <c r="B1603" s="15" t="str">
        <f t="shared" si="66"/>
        <v/>
      </c>
      <c r="C1603" s="16" t="str">
        <f>IFERROR(VLOOKUP(DATA!#REF!,DATA!#REF!,1,FALSE),"")</f>
        <v/>
      </c>
      <c r="D1603" s="16" t="str">
        <f>IFERROR(VLOOKUP(C1603,DATA!#REF!,2,FALSE),"")</f>
        <v/>
      </c>
      <c r="I1603" s="17"/>
      <c r="J1603" s="17"/>
      <c r="P1603" s="17"/>
      <c r="Q1603" s="17"/>
    </row>
    <row r="1604" spans="2:17">
      <c r="B1604" s="15" t="str">
        <f t="shared" si="66"/>
        <v/>
      </c>
      <c r="C1604" s="16" t="str">
        <f>IFERROR(VLOOKUP(DATA!#REF!,DATA!#REF!,1,FALSE),"")</f>
        <v/>
      </c>
      <c r="D1604" s="16" t="str">
        <f>IFERROR(VLOOKUP(C1604,DATA!#REF!,2,FALSE),"")</f>
        <v/>
      </c>
      <c r="I1604" s="17"/>
      <c r="J1604" s="17"/>
      <c r="P1604" s="17"/>
      <c r="Q1604" s="17"/>
    </row>
    <row r="1605" spans="2:17">
      <c r="B1605" s="15" t="str">
        <f t="shared" si="66"/>
        <v/>
      </c>
      <c r="C1605" s="16" t="str">
        <f>IFERROR(VLOOKUP(DATA!#REF!,DATA!#REF!,1,FALSE),"")</f>
        <v/>
      </c>
      <c r="D1605" s="16" t="str">
        <f>IFERROR(VLOOKUP(C1605,DATA!#REF!,2,FALSE),"")</f>
        <v/>
      </c>
      <c r="I1605" s="17"/>
      <c r="J1605" s="17"/>
      <c r="P1605" s="17"/>
      <c r="Q1605" s="17"/>
    </row>
    <row r="1606" spans="2:17">
      <c r="B1606" s="15" t="str">
        <f t="shared" si="66"/>
        <v/>
      </c>
      <c r="C1606" s="16" t="str">
        <f>IFERROR(VLOOKUP(DATA!#REF!,DATA!#REF!,1,FALSE),"")</f>
        <v/>
      </c>
      <c r="D1606" s="16" t="str">
        <f>IFERROR(VLOOKUP(C1606,DATA!#REF!,2,FALSE),"")</f>
        <v/>
      </c>
      <c r="I1606" s="17"/>
      <c r="J1606" s="17"/>
      <c r="P1606" s="17"/>
      <c r="Q1606" s="17"/>
    </row>
    <row r="1607" spans="2:17">
      <c r="B1607" s="15" t="str">
        <f t="shared" si="66"/>
        <v/>
      </c>
      <c r="C1607" s="16" t="str">
        <f>IFERROR(VLOOKUP(DATA!#REF!,DATA!#REF!,1,FALSE),"")</f>
        <v/>
      </c>
      <c r="D1607" s="16" t="str">
        <f>IFERROR(VLOOKUP(C1607,DATA!#REF!,2,FALSE),"")</f>
        <v/>
      </c>
      <c r="I1607" s="17"/>
      <c r="J1607" s="17"/>
      <c r="P1607" s="17"/>
      <c r="Q1607" s="17"/>
    </row>
    <row r="1608" spans="2:17">
      <c r="B1608" s="15" t="str">
        <f t="shared" si="66"/>
        <v/>
      </c>
      <c r="C1608" s="16" t="str">
        <f>IFERROR(VLOOKUP(DATA!#REF!,DATA!#REF!,1,FALSE),"")</f>
        <v/>
      </c>
      <c r="D1608" s="16" t="str">
        <f>IFERROR(VLOOKUP(C1608,DATA!#REF!,2,FALSE),"")</f>
        <v/>
      </c>
      <c r="I1608" s="17"/>
      <c r="J1608" s="17"/>
      <c r="P1608" s="17"/>
      <c r="Q1608" s="17"/>
    </row>
    <row r="1609" spans="2:17">
      <c r="B1609" s="15" t="str">
        <f t="shared" si="66"/>
        <v/>
      </c>
      <c r="C1609" s="16" t="str">
        <f>IFERROR(VLOOKUP(DATA!#REF!,DATA!#REF!,1,FALSE),"")</f>
        <v/>
      </c>
      <c r="D1609" s="16" t="str">
        <f>IFERROR(VLOOKUP(C1609,DATA!#REF!,2,FALSE),"")</f>
        <v/>
      </c>
      <c r="I1609" s="17"/>
      <c r="J1609" s="17"/>
      <c r="P1609" s="17"/>
      <c r="Q1609" s="17"/>
    </row>
    <row r="1610" spans="2:17">
      <c r="B1610" s="15" t="str">
        <f t="shared" si="66"/>
        <v/>
      </c>
      <c r="C1610" s="16" t="str">
        <f>IFERROR(VLOOKUP(DATA!#REF!,DATA!#REF!,1,FALSE),"")</f>
        <v/>
      </c>
      <c r="D1610" s="16" t="str">
        <f>IFERROR(VLOOKUP(C1610,DATA!#REF!,2,FALSE),"")</f>
        <v/>
      </c>
      <c r="I1610" s="17"/>
      <c r="J1610" s="17"/>
      <c r="P1610" s="17"/>
      <c r="Q1610" s="17"/>
    </row>
    <row r="1611" spans="2:17">
      <c r="B1611" s="15" t="str">
        <f t="shared" si="66"/>
        <v/>
      </c>
      <c r="C1611" s="16" t="str">
        <f>IFERROR(VLOOKUP(DATA!#REF!,DATA!#REF!,1,FALSE),"")</f>
        <v/>
      </c>
      <c r="D1611" s="16" t="str">
        <f>IFERROR(VLOOKUP(C1611,DATA!#REF!,2,FALSE),"")</f>
        <v/>
      </c>
      <c r="I1611" s="17"/>
      <c r="J1611" s="17"/>
      <c r="P1611" s="17"/>
      <c r="Q1611" s="17"/>
    </row>
    <row r="1612" spans="2:17">
      <c r="B1612" s="15" t="str">
        <f t="shared" si="66"/>
        <v/>
      </c>
      <c r="C1612" s="16" t="str">
        <f>IFERROR(VLOOKUP(DATA!#REF!,DATA!#REF!,1,FALSE),"")</f>
        <v/>
      </c>
      <c r="D1612" s="16" t="str">
        <f>IFERROR(VLOOKUP(C1612,DATA!#REF!,2,FALSE),"")</f>
        <v/>
      </c>
      <c r="I1612" s="17"/>
      <c r="J1612" s="17"/>
      <c r="P1612" s="17"/>
      <c r="Q1612" s="17"/>
    </row>
    <row r="1613" spans="2:17">
      <c r="B1613" s="15" t="str">
        <f t="shared" si="66"/>
        <v/>
      </c>
      <c r="C1613" s="16" t="str">
        <f>IFERROR(VLOOKUP(DATA!#REF!,DATA!#REF!,1,FALSE),"")</f>
        <v/>
      </c>
      <c r="D1613" s="16" t="str">
        <f>IFERROR(VLOOKUP(C1613,DATA!#REF!,2,FALSE),"")</f>
        <v/>
      </c>
      <c r="I1613" s="17"/>
      <c r="J1613" s="17"/>
      <c r="P1613" s="17"/>
      <c r="Q1613" s="17"/>
    </row>
    <row r="1614" spans="2:17">
      <c r="B1614" s="15" t="str">
        <f t="shared" si="66"/>
        <v/>
      </c>
      <c r="C1614" s="16" t="str">
        <f>IFERROR(VLOOKUP(DATA!#REF!,DATA!#REF!,1,FALSE),"")</f>
        <v/>
      </c>
      <c r="D1614" s="16" t="str">
        <f>IFERROR(VLOOKUP(C1614,DATA!#REF!,2,FALSE),"")</f>
        <v/>
      </c>
      <c r="I1614" s="17"/>
      <c r="J1614" s="17"/>
      <c r="P1614" s="17"/>
      <c r="Q1614" s="17"/>
    </row>
    <row r="1615" spans="2:17">
      <c r="B1615" s="15" t="str">
        <f t="shared" si="66"/>
        <v/>
      </c>
      <c r="C1615" s="16" t="str">
        <f>IFERROR(VLOOKUP(DATA!#REF!,DATA!#REF!,1,FALSE),"")</f>
        <v/>
      </c>
      <c r="D1615" s="16" t="str">
        <f>IFERROR(VLOOKUP(C1615,DATA!#REF!,2,FALSE),"")</f>
        <v/>
      </c>
      <c r="I1615" s="17"/>
      <c r="J1615" s="17"/>
      <c r="P1615" s="17"/>
      <c r="Q1615" s="17"/>
    </row>
    <row r="1616" spans="2:17">
      <c r="B1616" s="15" t="str">
        <f t="shared" si="66"/>
        <v/>
      </c>
      <c r="C1616" s="16" t="str">
        <f>IFERROR(VLOOKUP(DATA!#REF!,DATA!#REF!,1,FALSE),"")</f>
        <v/>
      </c>
      <c r="D1616" s="16" t="str">
        <f>IFERROR(VLOOKUP(C1616,DATA!#REF!,2,FALSE),"")</f>
        <v/>
      </c>
      <c r="I1616" s="17"/>
      <c r="J1616" s="17"/>
      <c r="P1616" s="17"/>
      <c r="Q1616" s="17"/>
    </row>
    <row r="1617" spans="2:17">
      <c r="B1617" s="15" t="str">
        <f t="shared" si="66"/>
        <v/>
      </c>
      <c r="C1617" s="16" t="str">
        <f>IFERROR(VLOOKUP(DATA!#REF!,DATA!#REF!,1,FALSE),"")</f>
        <v/>
      </c>
      <c r="D1617" s="16" t="str">
        <f>IFERROR(VLOOKUP(C1617,DATA!#REF!,2,FALSE),"")</f>
        <v/>
      </c>
      <c r="I1617" s="17"/>
      <c r="J1617" s="17"/>
      <c r="P1617" s="17"/>
      <c r="Q1617" s="17"/>
    </row>
    <row r="1618" spans="2:17">
      <c r="B1618" s="15" t="str">
        <f t="shared" si="66"/>
        <v/>
      </c>
      <c r="C1618" s="16" t="str">
        <f>IFERROR(VLOOKUP(DATA!#REF!,DATA!#REF!,1,FALSE),"")</f>
        <v/>
      </c>
      <c r="D1618" s="16" t="str">
        <f>IFERROR(VLOOKUP(C1618,DATA!#REF!,2,FALSE),"")</f>
        <v/>
      </c>
      <c r="I1618" s="17"/>
      <c r="J1618" s="17"/>
      <c r="P1618" s="17"/>
      <c r="Q1618" s="17"/>
    </row>
    <row r="1619" spans="2:17">
      <c r="B1619" s="15" t="str">
        <f t="shared" si="66"/>
        <v/>
      </c>
      <c r="C1619" s="16" t="str">
        <f>IFERROR(VLOOKUP(DATA!#REF!,DATA!#REF!,1,FALSE),"")</f>
        <v/>
      </c>
      <c r="D1619" s="16" t="str">
        <f>IFERROR(VLOOKUP(C1619,DATA!#REF!,2,FALSE),"")</f>
        <v/>
      </c>
      <c r="I1619" s="17"/>
      <c r="J1619" s="17"/>
      <c r="P1619" s="17"/>
      <c r="Q1619" s="17"/>
    </row>
    <row r="1620" spans="2:17">
      <c r="B1620" s="15" t="str">
        <f t="shared" si="66"/>
        <v/>
      </c>
      <c r="C1620" s="16" t="str">
        <f>IFERROR(VLOOKUP(DATA!#REF!,DATA!#REF!,1,FALSE),"")</f>
        <v/>
      </c>
      <c r="D1620" s="16" t="str">
        <f>IFERROR(VLOOKUP(C1620,DATA!#REF!,2,FALSE),"")</f>
        <v/>
      </c>
      <c r="I1620" s="17"/>
      <c r="J1620" s="17"/>
      <c r="P1620" s="17"/>
      <c r="Q1620" s="17"/>
    </row>
    <row r="1621" spans="2:17">
      <c r="B1621" s="15" t="str">
        <f t="shared" si="66"/>
        <v/>
      </c>
      <c r="C1621" s="16" t="str">
        <f>IFERROR(VLOOKUP(DATA!#REF!,DATA!#REF!,1,FALSE),"")</f>
        <v/>
      </c>
      <c r="D1621" s="16" t="str">
        <f>IFERROR(VLOOKUP(C1621,DATA!#REF!,2,FALSE),"")</f>
        <v/>
      </c>
      <c r="I1621" s="17"/>
      <c r="J1621" s="17"/>
      <c r="P1621" s="17"/>
      <c r="Q1621" s="17"/>
    </row>
    <row r="1622" spans="2:17">
      <c r="B1622" s="15" t="str">
        <f t="shared" si="66"/>
        <v/>
      </c>
      <c r="C1622" s="16" t="str">
        <f>IFERROR(VLOOKUP(DATA!#REF!,DATA!#REF!,1,FALSE),"")</f>
        <v/>
      </c>
      <c r="D1622" s="16" t="str">
        <f>IFERROR(VLOOKUP(C1622,DATA!#REF!,2,FALSE),"")</f>
        <v/>
      </c>
      <c r="I1622" s="17"/>
      <c r="J1622" s="17"/>
      <c r="P1622" s="17"/>
      <c r="Q1622" s="17"/>
    </row>
    <row r="1623" spans="2:17">
      <c r="B1623" s="15" t="str">
        <f t="shared" si="66"/>
        <v/>
      </c>
      <c r="C1623" s="16" t="str">
        <f>IFERROR(VLOOKUP(DATA!#REF!,DATA!#REF!,1,FALSE),"")</f>
        <v/>
      </c>
      <c r="D1623" s="16" t="str">
        <f>IFERROR(VLOOKUP(C1623,DATA!#REF!,2,FALSE),"")</f>
        <v/>
      </c>
      <c r="I1623" s="17"/>
      <c r="J1623" s="17"/>
      <c r="P1623" s="17"/>
      <c r="Q1623" s="17"/>
    </row>
    <row r="1624" spans="2:17">
      <c r="B1624" s="15" t="str">
        <f t="shared" si="66"/>
        <v/>
      </c>
      <c r="C1624" s="16" t="str">
        <f>IFERROR(VLOOKUP(DATA!#REF!,DATA!#REF!,1,FALSE),"")</f>
        <v/>
      </c>
      <c r="D1624" s="16" t="str">
        <f>IFERROR(VLOOKUP(C1624,DATA!#REF!,2,FALSE),"")</f>
        <v/>
      </c>
      <c r="I1624" s="17"/>
      <c r="J1624" s="17"/>
      <c r="P1624" s="17"/>
      <c r="Q1624" s="17"/>
    </row>
    <row r="1625" spans="2:17">
      <c r="B1625" s="15" t="str">
        <f t="shared" si="66"/>
        <v/>
      </c>
      <c r="C1625" s="16" t="str">
        <f>IFERROR(VLOOKUP(DATA!#REF!,DATA!#REF!,1,FALSE),"")</f>
        <v/>
      </c>
      <c r="D1625" s="16" t="str">
        <f>IFERROR(VLOOKUP(C1625,DATA!#REF!,2,FALSE),"")</f>
        <v/>
      </c>
      <c r="I1625" s="17"/>
      <c r="J1625" s="17"/>
      <c r="P1625" s="17"/>
      <c r="Q1625" s="17"/>
    </row>
    <row r="1626" spans="2:17">
      <c r="B1626" s="15" t="str">
        <f t="shared" si="66"/>
        <v/>
      </c>
      <c r="C1626" s="16" t="str">
        <f>IFERROR(VLOOKUP(DATA!#REF!,DATA!#REF!,1,FALSE),"")</f>
        <v/>
      </c>
      <c r="D1626" s="16" t="str">
        <f>IFERROR(VLOOKUP(C1626,DATA!#REF!,2,FALSE),"")</f>
        <v/>
      </c>
      <c r="I1626" s="17"/>
      <c r="J1626" s="17"/>
      <c r="P1626" s="17"/>
      <c r="Q1626" s="17"/>
    </row>
    <row r="1627" spans="2:17">
      <c r="B1627" s="15" t="str">
        <f t="shared" si="66"/>
        <v/>
      </c>
      <c r="C1627" s="16" t="str">
        <f>IFERROR(VLOOKUP(DATA!#REF!,DATA!#REF!,1,FALSE),"")</f>
        <v/>
      </c>
      <c r="D1627" s="16" t="str">
        <f>IFERROR(VLOOKUP(C1627,DATA!#REF!,2,FALSE),"")</f>
        <v/>
      </c>
      <c r="I1627" s="17"/>
      <c r="J1627" s="17"/>
      <c r="P1627" s="17"/>
      <c r="Q1627" s="17"/>
    </row>
    <row r="1628" spans="2:17">
      <c r="B1628" s="15" t="str">
        <f t="shared" si="66"/>
        <v/>
      </c>
      <c r="C1628" s="16" t="str">
        <f>IFERROR(VLOOKUP(DATA!#REF!,DATA!#REF!,1,FALSE),"")</f>
        <v/>
      </c>
      <c r="D1628" s="16" t="str">
        <f>IFERROR(VLOOKUP(C1628,DATA!#REF!,2,FALSE),"")</f>
        <v/>
      </c>
      <c r="I1628" s="17"/>
      <c r="J1628" s="17"/>
      <c r="P1628" s="17"/>
      <c r="Q1628" s="17"/>
    </row>
    <row r="1629" spans="2:17">
      <c r="B1629" s="15" t="str">
        <f t="shared" si="66"/>
        <v/>
      </c>
      <c r="C1629" s="16" t="str">
        <f>IFERROR(VLOOKUP(DATA!#REF!,DATA!#REF!,1,FALSE),"")</f>
        <v/>
      </c>
      <c r="D1629" s="16" t="str">
        <f>IFERROR(VLOOKUP(C1629,DATA!#REF!,2,FALSE),"")</f>
        <v/>
      </c>
      <c r="I1629" s="17"/>
      <c r="J1629" s="17"/>
      <c r="P1629" s="17"/>
      <c r="Q1629" s="17"/>
    </row>
    <row r="1630" spans="2:17">
      <c r="B1630" s="15" t="str">
        <f t="shared" si="66"/>
        <v/>
      </c>
      <c r="C1630" s="16" t="str">
        <f>IFERROR(VLOOKUP(DATA!#REF!,DATA!#REF!,1,FALSE),"")</f>
        <v/>
      </c>
      <c r="D1630" s="16" t="str">
        <f>IFERROR(VLOOKUP(C1630,DATA!#REF!,2,FALSE),"")</f>
        <v/>
      </c>
      <c r="I1630" s="17"/>
      <c r="J1630" s="17"/>
      <c r="P1630" s="17"/>
      <c r="Q1630" s="17"/>
    </row>
    <row r="1631" spans="2:17">
      <c r="B1631" s="15" t="str">
        <f t="shared" si="66"/>
        <v/>
      </c>
      <c r="C1631" s="16" t="str">
        <f>IFERROR(VLOOKUP(DATA!#REF!,DATA!#REF!,1,FALSE),"")</f>
        <v/>
      </c>
      <c r="D1631" s="16" t="str">
        <f>IFERROR(VLOOKUP(C1631,DATA!#REF!,2,FALSE),"")</f>
        <v/>
      </c>
      <c r="I1631" s="17"/>
      <c r="J1631" s="17"/>
      <c r="P1631" s="17"/>
      <c r="Q1631" s="17"/>
    </row>
    <row r="1632" spans="2:17">
      <c r="B1632" s="15" t="str">
        <f t="shared" si="66"/>
        <v/>
      </c>
      <c r="C1632" s="16" t="str">
        <f>IFERROR(VLOOKUP(DATA!#REF!,DATA!#REF!,1,FALSE),"")</f>
        <v/>
      </c>
      <c r="D1632" s="16" t="str">
        <f>IFERROR(VLOOKUP(C1632,DATA!#REF!,2,FALSE),"")</f>
        <v/>
      </c>
      <c r="I1632" s="17"/>
      <c r="J1632" s="17"/>
      <c r="P1632" s="17"/>
      <c r="Q1632" s="17"/>
    </row>
    <row r="1633" spans="2:17">
      <c r="B1633" s="15" t="str">
        <f t="shared" si="66"/>
        <v/>
      </c>
      <c r="C1633" s="16" t="str">
        <f>IFERROR(VLOOKUP(DATA!#REF!,DATA!#REF!,1,FALSE),"")</f>
        <v/>
      </c>
      <c r="D1633" s="16" t="str">
        <f>IFERROR(VLOOKUP(C1633,DATA!#REF!,2,FALSE),"")</f>
        <v/>
      </c>
      <c r="I1633" s="17"/>
      <c r="J1633" s="17"/>
      <c r="P1633" s="17"/>
      <c r="Q1633" s="17"/>
    </row>
    <row r="1634" spans="2:17">
      <c r="B1634" s="15" t="str">
        <f t="shared" si="66"/>
        <v/>
      </c>
      <c r="C1634" s="16" t="str">
        <f>IFERROR(VLOOKUP(DATA!#REF!,DATA!#REF!,1,FALSE),"")</f>
        <v/>
      </c>
      <c r="D1634" s="16" t="str">
        <f>IFERROR(VLOOKUP(C1634,DATA!#REF!,2,FALSE),"")</f>
        <v/>
      </c>
      <c r="I1634" s="17"/>
      <c r="J1634" s="17"/>
      <c r="P1634" s="17"/>
      <c r="Q1634" s="17"/>
    </row>
    <row r="1635" spans="2:17">
      <c r="B1635" s="15" t="str">
        <f t="shared" si="66"/>
        <v/>
      </c>
      <c r="C1635" s="16" t="str">
        <f>IFERROR(VLOOKUP(DATA!#REF!,DATA!#REF!,1,FALSE),"")</f>
        <v/>
      </c>
      <c r="D1635" s="16" t="str">
        <f>IFERROR(VLOOKUP(C1635,DATA!#REF!,2,FALSE),"")</f>
        <v/>
      </c>
      <c r="I1635" s="17"/>
      <c r="J1635" s="17"/>
      <c r="P1635" s="17"/>
      <c r="Q1635" s="17"/>
    </row>
    <row r="1636" spans="2:17">
      <c r="B1636" s="15" t="str">
        <f t="shared" si="66"/>
        <v/>
      </c>
      <c r="C1636" s="16" t="str">
        <f>IFERROR(VLOOKUP(DATA!#REF!,DATA!#REF!,1,FALSE),"")</f>
        <v/>
      </c>
      <c r="D1636" s="16" t="str">
        <f>IFERROR(VLOOKUP(C1636,DATA!#REF!,2,FALSE),"")</f>
        <v/>
      </c>
      <c r="I1636" s="17"/>
      <c r="J1636" s="17"/>
      <c r="P1636" s="17"/>
      <c r="Q1636" s="17"/>
    </row>
    <row r="1637" spans="2:17">
      <c r="B1637" s="15" t="str">
        <f t="shared" si="66"/>
        <v/>
      </c>
      <c r="C1637" s="16" t="str">
        <f>IFERROR(VLOOKUP(DATA!#REF!,DATA!#REF!,1,FALSE),"")</f>
        <v/>
      </c>
      <c r="D1637" s="16" t="str">
        <f>IFERROR(VLOOKUP(C1637,DATA!#REF!,2,FALSE),"")</f>
        <v/>
      </c>
      <c r="I1637" s="17"/>
      <c r="J1637" s="17"/>
      <c r="P1637" s="17"/>
      <c r="Q1637" s="17"/>
    </row>
    <row r="1638" spans="2:17">
      <c r="B1638" s="15" t="str">
        <f t="shared" si="66"/>
        <v/>
      </c>
      <c r="C1638" s="16" t="str">
        <f>IFERROR(VLOOKUP(DATA!#REF!,DATA!#REF!,1,FALSE),"")</f>
        <v/>
      </c>
      <c r="D1638" s="16" t="str">
        <f>IFERROR(VLOOKUP(C1638,DATA!#REF!,2,FALSE),"")</f>
        <v/>
      </c>
      <c r="I1638" s="17"/>
      <c r="J1638" s="17"/>
      <c r="P1638" s="17"/>
      <c r="Q1638" s="17"/>
    </row>
    <row r="1639" spans="2:17">
      <c r="B1639" s="15" t="str">
        <f t="shared" si="66"/>
        <v/>
      </c>
      <c r="C1639" s="16" t="str">
        <f>IFERROR(VLOOKUP(DATA!#REF!,DATA!#REF!,1,FALSE),"")</f>
        <v/>
      </c>
      <c r="D1639" s="16" t="str">
        <f>IFERROR(VLOOKUP(C1639,DATA!#REF!,2,FALSE),"")</f>
        <v/>
      </c>
      <c r="I1639" s="17"/>
      <c r="J1639" s="17"/>
      <c r="P1639" s="17"/>
      <c r="Q1639" s="17"/>
    </row>
    <row r="1640" spans="2:17">
      <c r="B1640" s="15" t="str">
        <f t="shared" si="66"/>
        <v/>
      </c>
      <c r="C1640" s="16" t="str">
        <f>IFERROR(VLOOKUP(DATA!#REF!,DATA!#REF!,1,FALSE),"")</f>
        <v/>
      </c>
      <c r="D1640" s="16" t="str">
        <f>IFERROR(VLOOKUP(C1640,DATA!#REF!,2,FALSE),"")</f>
        <v/>
      </c>
      <c r="I1640" s="17"/>
      <c r="J1640" s="17"/>
      <c r="P1640" s="17"/>
      <c r="Q1640" s="17"/>
    </row>
    <row r="1641" spans="2:17">
      <c r="B1641" s="15" t="str">
        <f t="shared" si="66"/>
        <v/>
      </c>
      <c r="C1641" s="16" t="str">
        <f>IFERROR(VLOOKUP(DATA!#REF!,DATA!#REF!,1,FALSE),"")</f>
        <v/>
      </c>
      <c r="D1641" s="16" t="str">
        <f>IFERROR(VLOOKUP(C1641,DATA!#REF!,2,FALSE),"")</f>
        <v/>
      </c>
      <c r="I1641" s="17"/>
      <c r="J1641" s="17"/>
      <c r="P1641" s="17"/>
      <c r="Q1641" s="17"/>
    </row>
    <row r="1642" spans="2:17">
      <c r="B1642" s="15" t="str">
        <f t="shared" si="66"/>
        <v/>
      </c>
      <c r="C1642" s="16" t="str">
        <f>IFERROR(VLOOKUP(DATA!#REF!,DATA!#REF!,1,FALSE),"")</f>
        <v/>
      </c>
      <c r="D1642" s="16" t="str">
        <f>IFERROR(VLOOKUP(C1642,DATA!#REF!,2,FALSE),"")</f>
        <v/>
      </c>
      <c r="I1642" s="17"/>
      <c r="J1642" s="17"/>
      <c r="P1642" s="17"/>
      <c r="Q1642" s="17"/>
    </row>
    <row r="1643" spans="2:17">
      <c r="B1643" s="15" t="str">
        <f t="shared" si="66"/>
        <v/>
      </c>
      <c r="C1643" s="16" t="str">
        <f>IFERROR(VLOOKUP(DATA!#REF!,DATA!#REF!,1,FALSE),"")</f>
        <v/>
      </c>
      <c r="D1643" s="16" t="str">
        <f>IFERROR(VLOOKUP(C1643,DATA!#REF!,2,FALSE),"")</f>
        <v/>
      </c>
      <c r="I1643" s="17"/>
      <c r="J1643" s="17"/>
      <c r="P1643" s="17"/>
      <c r="Q1643" s="17"/>
    </row>
    <row r="1644" spans="2:17">
      <c r="B1644" s="15" t="str">
        <f t="shared" si="66"/>
        <v/>
      </c>
      <c r="C1644" s="16" t="str">
        <f>IFERROR(VLOOKUP(DATA!#REF!,DATA!#REF!,1,FALSE),"")</f>
        <v/>
      </c>
      <c r="D1644" s="16" t="str">
        <f>IFERROR(VLOOKUP(C1644,DATA!#REF!,2,FALSE),"")</f>
        <v/>
      </c>
      <c r="I1644" s="17"/>
      <c r="J1644" s="17"/>
      <c r="P1644" s="17"/>
      <c r="Q1644" s="17"/>
    </row>
    <row r="1645" spans="2:17">
      <c r="B1645" s="15" t="str">
        <f t="shared" si="66"/>
        <v/>
      </c>
      <c r="C1645" s="16" t="str">
        <f>IFERROR(VLOOKUP(DATA!#REF!,DATA!#REF!,1,FALSE),"")</f>
        <v/>
      </c>
      <c r="D1645" s="16" t="str">
        <f>IFERROR(VLOOKUP(C1645,DATA!#REF!,2,FALSE),"")</f>
        <v/>
      </c>
      <c r="I1645" s="17"/>
      <c r="J1645" s="17"/>
      <c r="P1645" s="17"/>
      <c r="Q1645" s="17"/>
    </row>
    <row r="1646" spans="2:17">
      <c r="B1646" s="15" t="str">
        <f t="shared" si="66"/>
        <v/>
      </c>
      <c r="C1646" s="16" t="str">
        <f>IFERROR(VLOOKUP(DATA!#REF!,DATA!#REF!,1,FALSE),"")</f>
        <v/>
      </c>
      <c r="D1646" s="16" t="str">
        <f>IFERROR(VLOOKUP(C1646,DATA!#REF!,2,FALSE),"")</f>
        <v/>
      </c>
      <c r="I1646" s="17"/>
      <c r="J1646" s="17"/>
      <c r="P1646" s="17"/>
      <c r="Q1646" s="17"/>
    </row>
    <row r="1647" spans="2:17">
      <c r="B1647" s="15" t="str">
        <f t="shared" si="66"/>
        <v/>
      </c>
      <c r="C1647" s="16" t="str">
        <f>IFERROR(VLOOKUP(DATA!#REF!,DATA!#REF!,1,FALSE),"")</f>
        <v/>
      </c>
      <c r="D1647" s="16" t="str">
        <f>IFERROR(VLOOKUP(C1647,DATA!#REF!,2,FALSE),"")</f>
        <v/>
      </c>
      <c r="I1647" s="17"/>
      <c r="J1647" s="17"/>
      <c r="P1647" s="17"/>
      <c r="Q1647" s="17"/>
    </row>
    <row r="1648" spans="2:17">
      <c r="B1648" s="15" t="str">
        <f t="shared" si="66"/>
        <v/>
      </c>
      <c r="C1648" s="16" t="str">
        <f>IFERROR(VLOOKUP(DATA!#REF!,DATA!#REF!,1,FALSE),"")</f>
        <v/>
      </c>
      <c r="D1648" s="16" t="str">
        <f>IFERROR(VLOOKUP(C1648,DATA!#REF!,2,FALSE),"")</f>
        <v/>
      </c>
      <c r="I1648" s="17"/>
      <c r="J1648" s="17"/>
      <c r="P1648" s="17"/>
      <c r="Q1648" s="17"/>
    </row>
    <row r="1649" spans="2:17">
      <c r="B1649" s="15" t="str">
        <f t="shared" si="66"/>
        <v/>
      </c>
      <c r="C1649" s="16" t="str">
        <f>IFERROR(VLOOKUP(DATA!#REF!,DATA!#REF!,1,FALSE),"")</f>
        <v/>
      </c>
      <c r="D1649" s="16" t="str">
        <f>IFERROR(VLOOKUP(C1649,DATA!#REF!,2,FALSE),"")</f>
        <v/>
      </c>
      <c r="I1649" s="17"/>
      <c r="J1649" s="17"/>
      <c r="P1649" s="17"/>
      <c r="Q1649" s="17"/>
    </row>
    <row r="1650" spans="2:17">
      <c r="B1650" s="15" t="str">
        <f t="shared" si="66"/>
        <v/>
      </c>
      <c r="C1650" s="16" t="str">
        <f>IFERROR(VLOOKUP(DATA!#REF!,DATA!#REF!,1,FALSE),"")</f>
        <v/>
      </c>
      <c r="D1650" s="16" t="str">
        <f>IFERROR(VLOOKUP(C1650,DATA!#REF!,2,FALSE),"")</f>
        <v/>
      </c>
      <c r="I1650" s="17"/>
      <c r="J1650" s="17"/>
      <c r="P1650" s="17"/>
      <c r="Q1650" s="17"/>
    </row>
    <row r="1651" spans="2:17">
      <c r="B1651" s="15" t="str">
        <f t="shared" si="66"/>
        <v/>
      </c>
      <c r="C1651" s="16" t="str">
        <f>IFERROR(VLOOKUP(DATA!#REF!,DATA!#REF!,1,FALSE),"")</f>
        <v/>
      </c>
      <c r="D1651" s="16" t="str">
        <f>IFERROR(VLOOKUP(C1651,DATA!#REF!,2,FALSE),"")</f>
        <v/>
      </c>
      <c r="I1651" s="17"/>
      <c r="J1651" s="17"/>
      <c r="P1651" s="17"/>
      <c r="Q1651" s="17"/>
    </row>
    <row r="1652" spans="2:17">
      <c r="B1652" s="15" t="str">
        <f t="shared" si="66"/>
        <v/>
      </c>
      <c r="C1652" s="16" t="str">
        <f>IFERROR(VLOOKUP(DATA!#REF!,DATA!#REF!,1,FALSE),"")</f>
        <v/>
      </c>
      <c r="D1652" s="16" t="str">
        <f>IFERROR(VLOOKUP(C1652,DATA!#REF!,2,FALSE),"")</f>
        <v/>
      </c>
      <c r="I1652" s="17"/>
      <c r="J1652" s="17"/>
      <c r="P1652" s="17"/>
      <c r="Q1652" s="17"/>
    </row>
    <row r="1653" spans="2:17">
      <c r="B1653" s="15" t="str">
        <f t="shared" si="66"/>
        <v/>
      </c>
      <c r="C1653" s="16" t="str">
        <f>IFERROR(VLOOKUP(DATA!#REF!,DATA!#REF!,1,FALSE),"")</f>
        <v/>
      </c>
      <c r="D1653" s="16" t="str">
        <f>IFERROR(VLOOKUP(C1653,DATA!#REF!,2,FALSE),"")</f>
        <v/>
      </c>
      <c r="I1653" s="17"/>
      <c r="J1653" s="17"/>
      <c r="P1653" s="17"/>
      <c r="Q1653" s="17"/>
    </row>
    <row r="1654" spans="2:17">
      <c r="B1654" s="15" t="str">
        <f t="shared" si="66"/>
        <v/>
      </c>
      <c r="C1654" s="16" t="str">
        <f>IFERROR(VLOOKUP(DATA!#REF!,DATA!#REF!,1,FALSE),"")</f>
        <v/>
      </c>
      <c r="D1654" s="16" t="str">
        <f>IFERROR(VLOOKUP(C1654,DATA!#REF!,2,FALSE),"")</f>
        <v/>
      </c>
      <c r="I1654" s="17"/>
      <c r="J1654" s="17"/>
      <c r="P1654" s="17"/>
      <c r="Q1654" s="17"/>
    </row>
    <row r="1655" spans="2:17">
      <c r="B1655" s="15" t="str">
        <f t="shared" ref="B1655:B1718" si="67">+IF(C1655="","",ROW()-5)</f>
        <v/>
      </c>
      <c r="C1655" s="16" t="str">
        <f>IFERROR(VLOOKUP(DATA!#REF!,DATA!#REF!,1,FALSE),"")</f>
        <v/>
      </c>
      <c r="D1655" s="16" t="str">
        <f>IFERROR(VLOOKUP(C1655,DATA!#REF!,2,FALSE),"")</f>
        <v/>
      </c>
      <c r="I1655" s="17"/>
      <c r="J1655" s="17"/>
      <c r="P1655" s="17"/>
      <c r="Q1655" s="17"/>
    </row>
    <row r="1656" spans="2:17">
      <c r="B1656" s="15" t="str">
        <f t="shared" si="67"/>
        <v/>
      </c>
      <c r="C1656" s="16" t="str">
        <f>IFERROR(VLOOKUP(DATA!#REF!,DATA!#REF!,1,FALSE),"")</f>
        <v/>
      </c>
      <c r="D1656" s="16" t="str">
        <f>IFERROR(VLOOKUP(C1656,DATA!#REF!,2,FALSE),"")</f>
        <v/>
      </c>
      <c r="I1656" s="17"/>
      <c r="J1656" s="17"/>
      <c r="P1656" s="17"/>
      <c r="Q1656" s="17"/>
    </row>
    <row r="1657" spans="2:17">
      <c r="B1657" s="15" t="str">
        <f t="shared" si="67"/>
        <v/>
      </c>
      <c r="C1657" s="16" t="str">
        <f>IFERROR(VLOOKUP(DATA!#REF!,DATA!#REF!,1,FALSE),"")</f>
        <v/>
      </c>
      <c r="D1657" s="16" t="str">
        <f>IFERROR(VLOOKUP(C1657,DATA!#REF!,2,FALSE),"")</f>
        <v/>
      </c>
      <c r="I1657" s="17"/>
      <c r="J1657" s="17"/>
      <c r="P1657" s="17"/>
      <c r="Q1657" s="17"/>
    </row>
    <row r="1658" spans="2:17">
      <c r="B1658" s="15" t="str">
        <f t="shared" si="67"/>
        <v/>
      </c>
      <c r="C1658" s="16" t="str">
        <f>IFERROR(VLOOKUP(DATA!#REF!,DATA!#REF!,1,FALSE),"")</f>
        <v/>
      </c>
      <c r="D1658" s="16" t="str">
        <f>IFERROR(VLOOKUP(C1658,DATA!#REF!,2,FALSE),"")</f>
        <v/>
      </c>
      <c r="I1658" s="17"/>
      <c r="J1658" s="17"/>
      <c r="P1658" s="17"/>
      <c r="Q1658" s="17"/>
    </row>
    <row r="1659" spans="2:17">
      <c r="B1659" s="15" t="str">
        <f t="shared" si="67"/>
        <v/>
      </c>
      <c r="C1659" s="16" t="str">
        <f>IFERROR(VLOOKUP(DATA!#REF!,DATA!#REF!,1,FALSE),"")</f>
        <v/>
      </c>
      <c r="D1659" s="16" t="str">
        <f>IFERROR(VLOOKUP(C1659,DATA!#REF!,2,FALSE),"")</f>
        <v/>
      </c>
      <c r="I1659" s="17"/>
      <c r="J1659" s="17"/>
      <c r="P1659" s="17"/>
      <c r="Q1659" s="17"/>
    </row>
    <row r="1660" spans="2:17">
      <c r="B1660" s="15" t="str">
        <f t="shared" si="67"/>
        <v/>
      </c>
      <c r="C1660" s="16" t="str">
        <f>IFERROR(VLOOKUP(DATA!#REF!,DATA!#REF!,1,FALSE),"")</f>
        <v/>
      </c>
      <c r="D1660" s="16" t="str">
        <f>IFERROR(VLOOKUP(C1660,DATA!#REF!,2,FALSE),"")</f>
        <v/>
      </c>
      <c r="I1660" s="17"/>
      <c r="J1660" s="17"/>
      <c r="P1660" s="17"/>
      <c r="Q1660" s="17"/>
    </row>
    <row r="1661" spans="2:17">
      <c r="B1661" s="15" t="str">
        <f t="shared" si="67"/>
        <v/>
      </c>
      <c r="C1661" s="16" t="str">
        <f>IFERROR(VLOOKUP(DATA!#REF!,DATA!#REF!,1,FALSE),"")</f>
        <v/>
      </c>
      <c r="D1661" s="16" t="str">
        <f>IFERROR(VLOOKUP(C1661,DATA!#REF!,2,FALSE),"")</f>
        <v/>
      </c>
      <c r="I1661" s="17"/>
      <c r="J1661" s="17"/>
      <c r="P1661" s="17"/>
      <c r="Q1661" s="17"/>
    </row>
    <row r="1662" spans="2:17">
      <c r="B1662" s="15" t="str">
        <f t="shared" si="67"/>
        <v/>
      </c>
      <c r="C1662" s="16" t="str">
        <f>IFERROR(VLOOKUP(DATA!#REF!,DATA!#REF!,1,FALSE),"")</f>
        <v/>
      </c>
      <c r="D1662" s="16" t="str">
        <f>IFERROR(VLOOKUP(C1662,DATA!#REF!,2,FALSE),"")</f>
        <v/>
      </c>
      <c r="I1662" s="17"/>
      <c r="J1662" s="17"/>
      <c r="P1662" s="17"/>
      <c r="Q1662" s="17"/>
    </row>
    <row r="1663" spans="2:17">
      <c r="B1663" s="15" t="str">
        <f t="shared" si="67"/>
        <v/>
      </c>
      <c r="C1663" s="16" t="str">
        <f>IFERROR(VLOOKUP(DATA!#REF!,DATA!#REF!,1,FALSE),"")</f>
        <v/>
      </c>
      <c r="D1663" s="16" t="str">
        <f>IFERROR(VLOOKUP(C1663,DATA!#REF!,2,FALSE),"")</f>
        <v/>
      </c>
      <c r="I1663" s="17"/>
      <c r="J1663" s="17"/>
      <c r="P1663" s="17"/>
      <c r="Q1663" s="17"/>
    </row>
    <row r="1664" spans="2:17">
      <c r="B1664" s="15" t="str">
        <f t="shared" si="67"/>
        <v/>
      </c>
      <c r="C1664" s="16" t="str">
        <f>IFERROR(VLOOKUP(DATA!#REF!,DATA!#REF!,1,FALSE),"")</f>
        <v/>
      </c>
      <c r="D1664" s="16" t="str">
        <f>IFERROR(VLOOKUP(C1664,DATA!#REF!,2,FALSE),"")</f>
        <v/>
      </c>
      <c r="I1664" s="17"/>
      <c r="J1664" s="17"/>
      <c r="P1664" s="17"/>
      <c r="Q1664" s="17"/>
    </row>
    <row r="1665" spans="2:17">
      <c r="B1665" s="15" t="str">
        <f t="shared" si="67"/>
        <v/>
      </c>
      <c r="C1665" s="16" t="str">
        <f>IFERROR(VLOOKUP(DATA!#REF!,DATA!#REF!,1,FALSE),"")</f>
        <v/>
      </c>
      <c r="D1665" s="16" t="str">
        <f>IFERROR(VLOOKUP(C1665,DATA!#REF!,2,FALSE),"")</f>
        <v/>
      </c>
      <c r="I1665" s="17"/>
      <c r="J1665" s="17"/>
      <c r="P1665" s="17"/>
      <c r="Q1665" s="17"/>
    </row>
    <row r="1666" spans="2:17">
      <c r="B1666" s="15" t="str">
        <f t="shared" si="67"/>
        <v/>
      </c>
      <c r="C1666" s="16" t="str">
        <f>IFERROR(VLOOKUP(DATA!#REF!,DATA!#REF!,1,FALSE),"")</f>
        <v/>
      </c>
      <c r="D1666" s="16" t="str">
        <f>IFERROR(VLOOKUP(C1666,DATA!#REF!,2,FALSE),"")</f>
        <v/>
      </c>
      <c r="I1666" s="17"/>
      <c r="J1666" s="17"/>
      <c r="P1666" s="17"/>
      <c r="Q1666" s="17"/>
    </row>
    <row r="1667" spans="2:17">
      <c r="B1667" s="15" t="str">
        <f t="shared" si="67"/>
        <v/>
      </c>
      <c r="C1667" s="16" t="str">
        <f>IFERROR(VLOOKUP(DATA!#REF!,DATA!#REF!,1,FALSE),"")</f>
        <v/>
      </c>
      <c r="D1667" s="16" t="str">
        <f>IFERROR(VLOOKUP(C1667,DATA!#REF!,2,FALSE),"")</f>
        <v/>
      </c>
      <c r="I1667" s="17"/>
      <c r="J1667" s="17"/>
      <c r="P1667" s="17"/>
      <c r="Q1667" s="17"/>
    </row>
    <row r="1668" spans="2:17">
      <c r="B1668" s="15" t="str">
        <f t="shared" si="67"/>
        <v/>
      </c>
      <c r="C1668" s="16" t="str">
        <f>IFERROR(VLOOKUP(DATA!#REF!,DATA!#REF!,1,FALSE),"")</f>
        <v/>
      </c>
      <c r="D1668" s="16" t="str">
        <f>IFERROR(VLOOKUP(C1668,DATA!#REF!,2,FALSE),"")</f>
        <v/>
      </c>
      <c r="I1668" s="17"/>
      <c r="J1668" s="17"/>
      <c r="P1668" s="17"/>
      <c r="Q1668" s="17"/>
    </row>
    <row r="1669" spans="2:17">
      <c r="B1669" s="15" t="str">
        <f t="shared" si="67"/>
        <v/>
      </c>
      <c r="C1669" s="16" t="str">
        <f>IFERROR(VLOOKUP(DATA!#REF!,DATA!#REF!,1,FALSE),"")</f>
        <v/>
      </c>
      <c r="D1669" s="16" t="str">
        <f>IFERROR(VLOOKUP(C1669,DATA!#REF!,2,FALSE),"")</f>
        <v/>
      </c>
      <c r="I1669" s="17"/>
      <c r="J1669" s="17"/>
      <c r="P1669" s="17"/>
      <c r="Q1669" s="17"/>
    </row>
    <row r="1670" spans="2:17">
      <c r="B1670" s="15" t="str">
        <f t="shared" si="67"/>
        <v/>
      </c>
      <c r="C1670" s="16" t="str">
        <f>IFERROR(VLOOKUP(DATA!#REF!,DATA!#REF!,1,FALSE),"")</f>
        <v/>
      </c>
      <c r="D1670" s="16" t="str">
        <f>IFERROR(VLOOKUP(C1670,DATA!#REF!,2,FALSE),"")</f>
        <v/>
      </c>
      <c r="I1670" s="17"/>
      <c r="J1670" s="17"/>
      <c r="P1670" s="17"/>
      <c r="Q1670" s="17"/>
    </row>
    <row r="1671" spans="2:17">
      <c r="B1671" s="15" t="str">
        <f t="shared" si="67"/>
        <v/>
      </c>
      <c r="C1671" s="16" t="str">
        <f>IFERROR(VLOOKUP(DATA!#REF!,DATA!#REF!,1,FALSE),"")</f>
        <v/>
      </c>
      <c r="D1671" s="16" t="str">
        <f>IFERROR(VLOOKUP(C1671,DATA!#REF!,2,FALSE),"")</f>
        <v/>
      </c>
      <c r="I1671" s="17"/>
      <c r="J1671" s="17"/>
      <c r="P1671" s="17"/>
      <c r="Q1671" s="17"/>
    </row>
    <row r="1672" spans="2:17">
      <c r="B1672" s="15" t="str">
        <f t="shared" si="67"/>
        <v/>
      </c>
      <c r="C1672" s="16" t="str">
        <f>IFERROR(VLOOKUP(DATA!#REF!,DATA!#REF!,1,FALSE),"")</f>
        <v/>
      </c>
      <c r="D1672" s="16" t="str">
        <f>IFERROR(VLOOKUP(C1672,DATA!#REF!,2,FALSE),"")</f>
        <v/>
      </c>
      <c r="I1672" s="17"/>
      <c r="J1672" s="17"/>
      <c r="P1672" s="17"/>
      <c r="Q1672" s="17"/>
    </row>
    <row r="1673" spans="2:17">
      <c r="B1673" s="15" t="str">
        <f t="shared" si="67"/>
        <v/>
      </c>
      <c r="C1673" s="16" t="str">
        <f>IFERROR(VLOOKUP(DATA!#REF!,DATA!#REF!,1,FALSE),"")</f>
        <v/>
      </c>
      <c r="D1673" s="16" t="str">
        <f>IFERROR(VLOOKUP(C1673,DATA!#REF!,2,FALSE),"")</f>
        <v/>
      </c>
      <c r="I1673" s="17"/>
      <c r="J1673" s="17"/>
      <c r="P1673" s="17"/>
      <c r="Q1673" s="17"/>
    </row>
    <row r="1674" spans="2:17">
      <c r="B1674" s="15" t="str">
        <f t="shared" si="67"/>
        <v/>
      </c>
      <c r="C1674" s="16" t="str">
        <f>IFERROR(VLOOKUP(DATA!#REF!,DATA!#REF!,1,FALSE),"")</f>
        <v/>
      </c>
      <c r="D1674" s="16" t="str">
        <f>IFERROR(VLOOKUP(C1674,DATA!#REF!,2,FALSE),"")</f>
        <v/>
      </c>
      <c r="I1674" s="17"/>
      <c r="J1674" s="17"/>
      <c r="P1674" s="17"/>
      <c r="Q1674" s="17"/>
    </row>
    <row r="1675" spans="2:17">
      <c r="B1675" s="15" t="str">
        <f t="shared" si="67"/>
        <v/>
      </c>
      <c r="C1675" s="16" t="str">
        <f>IFERROR(VLOOKUP(DATA!#REF!,DATA!#REF!,1,FALSE),"")</f>
        <v/>
      </c>
      <c r="D1675" s="16" t="str">
        <f>IFERROR(VLOOKUP(C1675,DATA!#REF!,2,FALSE),"")</f>
        <v/>
      </c>
      <c r="I1675" s="17"/>
      <c r="J1675" s="17"/>
      <c r="P1675" s="17"/>
      <c r="Q1675" s="17"/>
    </row>
    <row r="1676" spans="2:17">
      <c r="B1676" s="15" t="str">
        <f t="shared" si="67"/>
        <v/>
      </c>
      <c r="C1676" s="16" t="str">
        <f>IFERROR(VLOOKUP(DATA!#REF!,DATA!#REF!,1,FALSE),"")</f>
        <v/>
      </c>
      <c r="D1676" s="16" t="str">
        <f>IFERROR(VLOOKUP(C1676,DATA!#REF!,2,FALSE),"")</f>
        <v/>
      </c>
      <c r="I1676" s="17"/>
      <c r="J1676" s="17"/>
      <c r="P1676" s="17"/>
      <c r="Q1676" s="17"/>
    </row>
    <row r="1677" spans="2:17">
      <c r="B1677" s="15" t="str">
        <f t="shared" si="67"/>
        <v/>
      </c>
      <c r="C1677" s="16" t="str">
        <f>IFERROR(VLOOKUP(DATA!#REF!,DATA!#REF!,1,FALSE),"")</f>
        <v/>
      </c>
      <c r="D1677" s="16" t="str">
        <f>IFERROR(VLOOKUP(C1677,DATA!#REF!,2,FALSE),"")</f>
        <v/>
      </c>
      <c r="I1677" s="17"/>
      <c r="J1677" s="17"/>
      <c r="P1677" s="17"/>
      <c r="Q1677" s="17"/>
    </row>
    <row r="1678" spans="2:17">
      <c r="B1678" s="15" t="str">
        <f t="shared" si="67"/>
        <v/>
      </c>
      <c r="C1678" s="16" t="str">
        <f>IFERROR(VLOOKUP(DATA!#REF!,DATA!#REF!,1,FALSE),"")</f>
        <v/>
      </c>
      <c r="D1678" s="16" t="str">
        <f>IFERROR(VLOOKUP(C1678,DATA!#REF!,2,FALSE),"")</f>
        <v/>
      </c>
      <c r="I1678" s="17"/>
      <c r="J1678" s="17"/>
      <c r="P1678" s="17"/>
      <c r="Q1678" s="17"/>
    </row>
    <row r="1679" spans="2:17">
      <c r="B1679" s="15" t="str">
        <f t="shared" si="67"/>
        <v/>
      </c>
      <c r="C1679" s="16" t="str">
        <f>IFERROR(VLOOKUP(DATA!#REF!,DATA!#REF!,1,FALSE),"")</f>
        <v/>
      </c>
      <c r="D1679" s="16" t="str">
        <f>IFERROR(VLOOKUP(C1679,DATA!#REF!,2,FALSE),"")</f>
        <v/>
      </c>
      <c r="I1679" s="17"/>
      <c r="J1679" s="17"/>
      <c r="P1679" s="17"/>
      <c r="Q1679" s="17"/>
    </row>
    <row r="1680" spans="2:17">
      <c r="B1680" s="15" t="str">
        <f t="shared" si="67"/>
        <v/>
      </c>
      <c r="C1680" s="16" t="str">
        <f>IFERROR(VLOOKUP(DATA!#REF!,DATA!#REF!,1,FALSE),"")</f>
        <v/>
      </c>
      <c r="D1680" s="16" t="str">
        <f>IFERROR(VLOOKUP(C1680,DATA!#REF!,2,FALSE),"")</f>
        <v/>
      </c>
      <c r="I1680" s="17"/>
      <c r="J1680" s="17"/>
      <c r="P1680" s="17"/>
      <c r="Q1680" s="17"/>
    </row>
    <row r="1681" spans="2:17">
      <c r="B1681" s="15" t="str">
        <f t="shared" si="67"/>
        <v/>
      </c>
      <c r="C1681" s="16" t="str">
        <f>IFERROR(VLOOKUP(DATA!#REF!,DATA!#REF!,1,FALSE),"")</f>
        <v/>
      </c>
      <c r="D1681" s="16" t="str">
        <f>IFERROR(VLOOKUP(C1681,DATA!#REF!,2,FALSE),"")</f>
        <v/>
      </c>
      <c r="I1681" s="17"/>
      <c r="J1681" s="17"/>
      <c r="P1681" s="17"/>
      <c r="Q1681" s="17"/>
    </row>
    <row r="1682" spans="2:17">
      <c r="B1682" s="15" t="str">
        <f t="shared" si="67"/>
        <v/>
      </c>
      <c r="C1682" s="16" t="str">
        <f>IFERROR(VLOOKUP(DATA!#REF!,DATA!#REF!,1,FALSE),"")</f>
        <v/>
      </c>
      <c r="D1682" s="16" t="str">
        <f>IFERROR(VLOOKUP(C1682,DATA!#REF!,2,FALSE),"")</f>
        <v/>
      </c>
      <c r="I1682" s="17"/>
      <c r="J1682" s="17"/>
      <c r="P1682" s="17"/>
      <c r="Q1682" s="17"/>
    </row>
    <row r="1683" spans="2:17">
      <c r="B1683" s="15" t="str">
        <f t="shared" si="67"/>
        <v/>
      </c>
      <c r="C1683" s="16" t="str">
        <f>IFERROR(VLOOKUP(DATA!#REF!,DATA!#REF!,1,FALSE),"")</f>
        <v/>
      </c>
      <c r="D1683" s="16" t="str">
        <f>IFERROR(VLOOKUP(C1683,DATA!#REF!,2,FALSE),"")</f>
        <v/>
      </c>
      <c r="I1683" s="17"/>
      <c r="J1683" s="17"/>
      <c r="P1683" s="17"/>
      <c r="Q1683" s="17"/>
    </row>
    <row r="1684" spans="2:17">
      <c r="B1684" s="15" t="str">
        <f t="shared" si="67"/>
        <v/>
      </c>
      <c r="C1684" s="16" t="str">
        <f>IFERROR(VLOOKUP(DATA!#REF!,DATA!#REF!,1,FALSE),"")</f>
        <v/>
      </c>
      <c r="D1684" s="16" t="str">
        <f>IFERROR(VLOOKUP(C1684,DATA!#REF!,2,FALSE),"")</f>
        <v/>
      </c>
      <c r="I1684" s="17"/>
      <c r="J1684" s="17"/>
      <c r="P1684" s="17"/>
      <c r="Q1684" s="17"/>
    </row>
    <row r="1685" spans="2:17">
      <c r="B1685" s="15" t="str">
        <f t="shared" si="67"/>
        <v/>
      </c>
      <c r="C1685" s="16" t="str">
        <f>IFERROR(VLOOKUP(DATA!#REF!,DATA!#REF!,1,FALSE),"")</f>
        <v/>
      </c>
      <c r="D1685" s="16" t="str">
        <f>IFERROR(VLOOKUP(C1685,DATA!#REF!,2,FALSE),"")</f>
        <v/>
      </c>
      <c r="I1685" s="17"/>
      <c r="J1685" s="17"/>
      <c r="P1685" s="17"/>
      <c r="Q1685" s="17"/>
    </row>
    <row r="1686" spans="2:17">
      <c r="B1686" s="15" t="str">
        <f t="shared" si="67"/>
        <v/>
      </c>
      <c r="C1686" s="16" t="str">
        <f>IFERROR(VLOOKUP(DATA!#REF!,DATA!#REF!,1,FALSE),"")</f>
        <v/>
      </c>
      <c r="D1686" s="16" t="str">
        <f>IFERROR(VLOOKUP(C1686,DATA!#REF!,2,FALSE),"")</f>
        <v/>
      </c>
      <c r="I1686" s="17"/>
      <c r="J1686" s="17"/>
      <c r="P1686" s="17"/>
      <c r="Q1686" s="17"/>
    </row>
    <row r="1687" spans="2:17">
      <c r="B1687" s="15" t="str">
        <f t="shared" si="67"/>
        <v/>
      </c>
      <c r="C1687" s="16" t="str">
        <f>IFERROR(VLOOKUP(DATA!#REF!,DATA!#REF!,1,FALSE),"")</f>
        <v/>
      </c>
      <c r="D1687" s="16" t="str">
        <f>IFERROR(VLOOKUP(C1687,DATA!#REF!,2,FALSE),"")</f>
        <v/>
      </c>
      <c r="I1687" s="17"/>
      <c r="J1687" s="17"/>
      <c r="P1687" s="17"/>
      <c r="Q1687" s="17"/>
    </row>
    <row r="1688" spans="2:17">
      <c r="B1688" s="15" t="str">
        <f t="shared" si="67"/>
        <v/>
      </c>
      <c r="C1688" s="16" t="str">
        <f>IFERROR(VLOOKUP(DATA!#REF!,DATA!#REF!,1,FALSE),"")</f>
        <v/>
      </c>
      <c r="D1688" s="16" t="str">
        <f>IFERROR(VLOOKUP(C1688,DATA!#REF!,2,FALSE),"")</f>
        <v/>
      </c>
      <c r="I1688" s="17"/>
      <c r="J1688" s="17"/>
      <c r="P1688" s="17"/>
      <c r="Q1688" s="17"/>
    </row>
    <row r="1689" spans="2:17">
      <c r="B1689" s="15" t="str">
        <f t="shared" si="67"/>
        <v/>
      </c>
      <c r="C1689" s="16" t="str">
        <f>IFERROR(VLOOKUP(DATA!#REF!,DATA!#REF!,1,FALSE),"")</f>
        <v/>
      </c>
      <c r="D1689" s="16" t="str">
        <f>IFERROR(VLOOKUP(C1689,DATA!#REF!,2,FALSE),"")</f>
        <v/>
      </c>
      <c r="I1689" s="17"/>
      <c r="J1689" s="17"/>
      <c r="P1689" s="17"/>
      <c r="Q1689" s="17"/>
    </row>
    <row r="1690" spans="2:17">
      <c r="B1690" s="15" t="str">
        <f t="shared" si="67"/>
        <v/>
      </c>
      <c r="C1690" s="16" t="str">
        <f>IFERROR(VLOOKUP(DATA!#REF!,DATA!#REF!,1,FALSE),"")</f>
        <v/>
      </c>
      <c r="D1690" s="16" t="str">
        <f>IFERROR(VLOOKUP(C1690,DATA!#REF!,2,FALSE),"")</f>
        <v/>
      </c>
      <c r="I1690" s="17"/>
      <c r="J1690" s="17"/>
      <c r="P1690" s="17"/>
      <c r="Q1690" s="17"/>
    </row>
    <row r="1691" spans="2:17">
      <c r="B1691" s="15" t="str">
        <f t="shared" si="67"/>
        <v/>
      </c>
      <c r="C1691" s="16" t="str">
        <f>IFERROR(VLOOKUP(DATA!#REF!,DATA!#REF!,1,FALSE),"")</f>
        <v/>
      </c>
      <c r="D1691" s="16" t="str">
        <f>IFERROR(VLOOKUP(C1691,DATA!#REF!,2,FALSE),"")</f>
        <v/>
      </c>
      <c r="I1691" s="17"/>
      <c r="J1691" s="17"/>
      <c r="P1691" s="17"/>
      <c r="Q1691" s="17"/>
    </row>
    <row r="1692" spans="2:17">
      <c r="B1692" s="15" t="str">
        <f t="shared" si="67"/>
        <v/>
      </c>
      <c r="C1692" s="16" t="str">
        <f>IFERROR(VLOOKUP(DATA!#REF!,DATA!#REF!,1,FALSE),"")</f>
        <v/>
      </c>
      <c r="D1692" s="16" t="str">
        <f>IFERROR(VLOOKUP(C1692,DATA!#REF!,2,FALSE),"")</f>
        <v/>
      </c>
      <c r="I1692" s="17"/>
      <c r="J1692" s="17"/>
      <c r="P1692" s="17"/>
      <c r="Q1692" s="17"/>
    </row>
    <row r="1693" spans="2:17">
      <c r="B1693" s="15" t="str">
        <f t="shared" si="67"/>
        <v/>
      </c>
      <c r="C1693" s="16" t="str">
        <f>IFERROR(VLOOKUP(DATA!#REF!,DATA!#REF!,1,FALSE),"")</f>
        <v/>
      </c>
      <c r="D1693" s="16" t="str">
        <f>IFERROR(VLOOKUP(C1693,DATA!#REF!,2,FALSE),"")</f>
        <v/>
      </c>
      <c r="I1693" s="17"/>
      <c r="J1693" s="17"/>
      <c r="P1693" s="17"/>
      <c r="Q1693" s="17"/>
    </row>
    <row r="1694" spans="2:17">
      <c r="B1694" s="15" t="str">
        <f t="shared" si="67"/>
        <v/>
      </c>
      <c r="C1694" s="16" t="str">
        <f>IFERROR(VLOOKUP(DATA!#REF!,DATA!#REF!,1,FALSE),"")</f>
        <v/>
      </c>
      <c r="D1694" s="16" t="str">
        <f>IFERROR(VLOOKUP(C1694,DATA!#REF!,2,FALSE),"")</f>
        <v/>
      </c>
      <c r="I1694" s="17"/>
      <c r="J1694" s="17"/>
      <c r="P1694" s="17"/>
      <c r="Q1694" s="17"/>
    </row>
    <row r="1695" spans="2:17">
      <c r="B1695" s="15" t="str">
        <f t="shared" si="67"/>
        <v/>
      </c>
      <c r="C1695" s="16" t="str">
        <f>IFERROR(VLOOKUP(DATA!#REF!,DATA!#REF!,1,FALSE),"")</f>
        <v/>
      </c>
      <c r="D1695" s="16" t="str">
        <f>IFERROR(VLOOKUP(C1695,DATA!#REF!,2,FALSE),"")</f>
        <v/>
      </c>
      <c r="I1695" s="17"/>
      <c r="J1695" s="17"/>
      <c r="P1695" s="17"/>
      <c r="Q1695" s="17"/>
    </row>
    <row r="1696" spans="2:17">
      <c r="B1696" s="15" t="str">
        <f t="shared" si="67"/>
        <v/>
      </c>
      <c r="C1696" s="16" t="str">
        <f>IFERROR(VLOOKUP(DATA!#REF!,DATA!#REF!,1,FALSE),"")</f>
        <v/>
      </c>
      <c r="D1696" s="16" t="str">
        <f>IFERROR(VLOOKUP(C1696,DATA!#REF!,2,FALSE),"")</f>
        <v/>
      </c>
      <c r="I1696" s="17"/>
      <c r="J1696" s="17"/>
      <c r="P1696" s="17"/>
      <c r="Q1696" s="17"/>
    </row>
    <row r="1697" spans="2:17">
      <c r="B1697" s="15" t="str">
        <f t="shared" si="67"/>
        <v/>
      </c>
      <c r="C1697" s="16" t="str">
        <f>IFERROR(VLOOKUP(DATA!#REF!,DATA!#REF!,1,FALSE),"")</f>
        <v/>
      </c>
      <c r="D1697" s="16" t="str">
        <f>IFERROR(VLOOKUP(C1697,DATA!#REF!,2,FALSE),"")</f>
        <v/>
      </c>
      <c r="I1697" s="17"/>
      <c r="J1697" s="17"/>
      <c r="P1697" s="17"/>
      <c r="Q1697" s="17"/>
    </row>
    <row r="1698" spans="2:17">
      <c r="B1698" s="15" t="str">
        <f t="shared" si="67"/>
        <v/>
      </c>
      <c r="C1698" s="16" t="str">
        <f>IFERROR(VLOOKUP(DATA!#REF!,DATA!#REF!,1,FALSE),"")</f>
        <v/>
      </c>
      <c r="D1698" s="16" t="str">
        <f>IFERROR(VLOOKUP(C1698,DATA!#REF!,2,FALSE),"")</f>
        <v/>
      </c>
      <c r="I1698" s="17"/>
      <c r="J1698" s="17"/>
      <c r="P1698" s="17"/>
      <c r="Q1698" s="17"/>
    </row>
    <row r="1699" spans="2:17">
      <c r="B1699" s="15" t="str">
        <f t="shared" si="67"/>
        <v/>
      </c>
      <c r="C1699" s="16" t="str">
        <f>IFERROR(VLOOKUP(DATA!#REF!,DATA!#REF!,1,FALSE),"")</f>
        <v/>
      </c>
      <c r="D1699" s="16" t="str">
        <f>IFERROR(VLOOKUP(C1699,DATA!#REF!,2,FALSE),"")</f>
        <v/>
      </c>
      <c r="I1699" s="17"/>
      <c r="J1699" s="17"/>
      <c r="P1699" s="17"/>
      <c r="Q1699" s="17"/>
    </row>
    <row r="1700" spans="2:17">
      <c r="B1700" s="15" t="str">
        <f t="shared" si="67"/>
        <v/>
      </c>
      <c r="C1700" s="16" t="str">
        <f>IFERROR(VLOOKUP(DATA!#REF!,DATA!#REF!,1,FALSE),"")</f>
        <v/>
      </c>
      <c r="D1700" s="16" t="str">
        <f>IFERROR(VLOOKUP(C1700,DATA!#REF!,2,FALSE),"")</f>
        <v/>
      </c>
      <c r="I1700" s="17"/>
      <c r="J1700" s="17"/>
      <c r="P1700" s="17"/>
      <c r="Q1700" s="17"/>
    </row>
    <row r="1701" spans="2:17">
      <c r="B1701" s="15" t="str">
        <f t="shared" si="67"/>
        <v/>
      </c>
      <c r="C1701" s="16" t="str">
        <f>IFERROR(VLOOKUP(DATA!#REF!,DATA!#REF!,1,FALSE),"")</f>
        <v/>
      </c>
      <c r="D1701" s="16" t="str">
        <f>IFERROR(VLOOKUP(C1701,DATA!#REF!,2,FALSE),"")</f>
        <v/>
      </c>
      <c r="I1701" s="17"/>
      <c r="J1701" s="17"/>
      <c r="P1701" s="17"/>
      <c r="Q1701" s="17"/>
    </row>
    <row r="1702" spans="2:17">
      <c r="B1702" s="15" t="str">
        <f t="shared" si="67"/>
        <v/>
      </c>
      <c r="C1702" s="16" t="str">
        <f>IFERROR(VLOOKUP(DATA!#REF!,DATA!#REF!,1,FALSE),"")</f>
        <v/>
      </c>
      <c r="D1702" s="16" t="str">
        <f>IFERROR(VLOOKUP(C1702,DATA!#REF!,2,FALSE),"")</f>
        <v/>
      </c>
      <c r="I1702" s="17"/>
      <c r="J1702" s="17"/>
      <c r="P1702" s="17"/>
      <c r="Q1702" s="17"/>
    </row>
    <row r="1703" spans="2:17">
      <c r="B1703" s="15" t="str">
        <f t="shared" si="67"/>
        <v/>
      </c>
      <c r="C1703" s="16" t="str">
        <f>IFERROR(VLOOKUP(DATA!#REF!,DATA!#REF!,1,FALSE),"")</f>
        <v/>
      </c>
      <c r="D1703" s="16" t="str">
        <f>IFERROR(VLOOKUP(C1703,DATA!#REF!,2,FALSE),"")</f>
        <v/>
      </c>
      <c r="I1703" s="17"/>
      <c r="J1703" s="17"/>
      <c r="P1703" s="17"/>
      <c r="Q1703" s="17"/>
    </row>
    <row r="1704" spans="2:17">
      <c r="B1704" s="15" t="str">
        <f t="shared" si="67"/>
        <v/>
      </c>
      <c r="C1704" s="16" t="str">
        <f>IFERROR(VLOOKUP(DATA!#REF!,DATA!#REF!,1,FALSE),"")</f>
        <v/>
      </c>
      <c r="D1704" s="16" t="str">
        <f>IFERROR(VLOOKUP(C1704,DATA!#REF!,2,FALSE),"")</f>
        <v/>
      </c>
      <c r="I1704" s="17"/>
      <c r="J1704" s="17"/>
      <c r="P1704" s="17"/>
      <c r="Q1704" s="17"/>
    </row>
    <row r="1705" spans="2:17">
      <c r="B1705" s="15" t="str">
        <f t="shared" si="67"/>
        <v/>
      </c>
      <c r="C1705" s="16" t="str">
        <f>IFERROR(VLOOKUP(DATA!#REF!,DATA!#REF!,1,FALSE),"")</f>
        <v/>
      </c>
      <c r="D1705" s="16" t="str">
        <f>IFERROR(VLOOKUP(C1705,DATA!#REF!,2,FALSE),"")</f>
        <v/>
      </c>
      <c r="I1705" s="17"/>
      <c r="J1705" s="17"/>
      <c r="P1705" s="17"/>
      <c r="Q1705" s="17"/>
    </row>
    <row r="1706" spans="2:17">
      <c r="B1706" s="15" t="str">
        <f t="shared" si="67"/>
        <v/>
      </c>
      <c r="C1706" s="16" t="str">
        <f>IFERROR(VLOOKUP(DATA!#REF!,DATA!#REF!,1,FALSE),"")</f>
        <v/>
      </c>
      <c r="D1706" s="16" t="str">
        <f>IFERROR(VLOOKUP(C1706,DATA!#REF!,2,FALSE),"")</f>
        <v/>
      </c>
      <c r="I1706" s="17"/>
      <c r="J1706" s="17"/>
      <c r="P1706" s="17"/>
      <c r="Q1706" s="17"/>
    </row>
    <row r="1707" spans="2:17">
      <c r="B1707" s="15" t="str">
        <f t="shared" si="67"/>
        <v/>
      </c>
      <c r="C1707" s="16" t="str">
        <f>IFERROR(VLOOKUP(DATA!#REF!,DATA!#REF!,1,FALSE),"")</f>
        <v/>
      </c>
      <c r="D1707" s="16" t="str">
        <f>IFERROR(VLOOKUP(C1707,DATA!#REF!,2,FALSE),"")</f>
        <v/>
      </c>
      <c r="I1707" s="17"/>
      <c r="J1707" s="17"/>
      <c r="P1707" s="17"/>
      <c r="Q1707" s="17"/>
    </row>
    <row r="1708" spans="2:17">
      <c r="B1708" s="15" t="str">
        <f t="shared" si="67"/>
        <v/>
      </c>
      <c r="C1708" s="16" t="str">
        <f>IFERROR(VLOOKUP(DATA!#REF!,DATA!#REF!,1,FALSE),"")</f>
        <v/>
      </c>
      <c r="D1708" s="16" t="str">
        <f>IFERROR(VLOOKUP(C1708,DATA!#REF!,2,FALSE),"")</f>
        <v/>
      </c>
      <c r="I1708" s="17"/>
      <c r="J1708" s="17"/>
      <c r="P1708" s="17"/>
      <c r="Q1708" s="17"/>
    </row>
    <row r="1709" spans="2:17">
      <c r="B1709" s="15" t="str">
        <f t="shared" si="67"/>
        <v/>
      </c>
      <c r="C1709" s="16" t="str">
        <f>IFERROR(VLOOKUP(DATA!#REF!,DATA!#REF!,1,FALSE),"")</f>
        <v/>
      </c>
      <c r="D1709" s="16" t="str">
        <f>IFERROR(VLOOKUP(C1709,DATA!#REF!,2,FALSE),"")</f>
        <v/>
      </c>
      <c r="I1709" s="17"/>
      <c r="J1709" s="17"/>
      <c r="P1709" s="17"/>
      <c r="Q1709" s="17"/>
    </row>
    <row r="1710" spans="2:17">
      <c r="B1710" s="15" t="str">
        <f t="shared" si="67"/>
        <v/>
      </c>
      <c r="C1710" s="16" t="str">
        <f>IFERROR(VLOOKUP(DATA!#REF!,DATA!#REF!,1,FALSE),"")</f>
        <v/>
      </c>
      <c r="D1710" s="16" t="str">
        <f>IFERROR(VLOOKUP(C1710,DATA!#REF!,2,FALSE),"")</f>
        <v/>
      </c>
      <c r="I1710" s="17"/>
      <c r="J1710" s="17"/>
      <c r="P1710" s="17"/>
      <c r="Q1710" s="17"/>
    </row>
    <row r="1711" spans="2:17">
      <c r="B1711" s="15" t="str">
        <f t="shared" si="67"/>
        <v/>
      </c>
      <c r="C1711" s="16" t="str">
        <f>IFERROR(VLOOKUP(DATA!#REF!,DATA!#REF!,1,FALSE),"")</f>
        <v/>
      </c>
      <c r="D1711" s="16" t="str">
        <f>IFERROR(VLOOKUP(C1711,DATA!#REF!,2,FALSE),"")</f>
        <v/>
      </c>
      <c r="I1711" s="17"/>
      <c r="J1711" s="17"/>
      <c r="P1711" s="17"/>
      <c r="Q1711" s="17"/>
    </row>
    <row r="1712" spans="2:17">
      <c r="B1712" s="15" t="str">
        <f t="shared" si="67"/>
        <v/>
      </c>
      <c r="C1712" s="16" t="str">
        <f>IFERROR(VLOOKUP(DATA!#REF!,DATA!#REF!,1,FALSE),"")</f>
        <v/>
      </c>
      <c r="D1712" s="16" t="str">
        <f>IFERROR(VLOOKUP(C1712,DATA!#REF!,2,FALSE),"")</f>
        <v/>
      </c>
      <c r="I1712" s="17"/>
      <c r="J1712" s="17"/>
      <c r="P1712" s="17"/>
      <c r="Q1712" s="17"/>
    </row>
    <row r="1713" spans="2:17">
      <c r="B1713" s="15" t="str">
        <f t="shared" si="67"/>
        <v/>
      </c>
      <c r="C1713" s="16" t="str">
        <f>IFERROR(VLOOKUP(DATA!#REF!,DATA!#REF!,1,FALSE),"")</f>
        <v/>
      </c>
      <c r="D1713" s="16" t="str">
        <f>IFERROR(VLOOKUP(C1713,DATA!#REF!,2,FALSE),"")</f>
        <v/>
      </c>
      <c r="I1713" s="17"/>
      <c r="J1713" s="17"/>
      <c r="P1713" s="17"/>
      <c r="Q1713" s="17"/>
    </row>
    <row r="1714" spans="2:17">
      <c r="B1714" s="15" t="str">
        <f t="shared" si="67"/>
        <v/>
      </c>
      <c r="C1714" s="16" t="str">
        <f>IFERROR(VLOOKUP(DATA!#REF!,DATA!#REF!,1,FALSE),"")</f>
        <v/>
      </c>
      <c r="D1714" s="16" t="str">
        <f>IFERROR(VLOOKUP(C1714,DATA!#REF!,2,FALSE),"")</f>
        <v/>
      </c>
      <c r="I1714" s="17"/>
      <c r="J1714" s="17"/>
      <c r="P1714" s="17"/>
      <c r="Q1714" s="17"/>
    </row>
    <row r="1715" spans="2:17">
      <c r="B1715" s="15" t="str">
        <f t="shared" si="67"/>
        <v/>
      </c>
      <c r="C1715" s="16" t="str">
        <f>IFERROR(VLOOKUP(DATA!#REF!,DATA!#REF!,1,FALSE),"")</f>
        <v/>
      </c>
      <c r="D1715" s="16" t="str">
        <f>IFERROR(VLOOKUP(C1715,DATA!#REF!,2,FALSE),"")</f>
        <v/>
      </c>
      <c r="I1715" s="17"/>
      <c r="J1715" s="17"/>
      <c r="P1715" s="17"/>
      <c r="Q1715" s="17"/>
    </row>
    <row r="1716" spans="2:17">
      <c r="B1716" s="15" t="str">
        <f t="shared" si="67"/>
        <v/>
      </c>
      <c r="C1716" s="16" t="str">
        <f>IFERROR(VLOOKUP(DATA!#REF!,DATA!#REF!,1,FALSE),"")</f>
        <v/>
      </c>
      <c r="D1716" s="16" t="str">
        <f>IFERROR(VLOOKUP(C1716,DATA!#REF!,2,FALSE),"")</f>
        <v/>
      </c>
      <c r="I1716" s="17"/>
      <c r="J1716" s="17"/>
      <c r="P1716" s="17"/>
      <c r="Q1716" s="17"/>
    </row>
    <row r="1717" spans="2:17">
      <c r="B1717" s="15" t="str">
        <f t="shared" si="67"/>
        <v/>
      </c>
      <c r="C1717" s="16" t="str">
        <f>IFERROR(VLOOKUP(DATA!#REF!,DATA!#REF!,1,FALSE),"")</f>
        <v/>
      </c>
      <c r="D1717" s="16" t="str">
        <f>IFERROR(VLOOKUP(C1717,DATA!#REF!,2,FALSE),"")</f>
        <v/>
      </c>
      <c r="I1717" s="17"/>
      <c r="J1717" s="17"/>
      <c r="P1717" s="17"/>
      <c r="Q1717" s="17"/>
    </row>
    <row r="1718" spans="2:17">
      <c r="B1718" s="15" t="str">
        <f t="shared" si="67"/>
        <v/>
      </c>
      <c r="C1718" s="16" t="str">
        <f>IFERROR(VLOOKUP(DATA!#REF!,DATA!#REF!,1,FALSE),"")</f>
        <v/>
      </c>
      <c r="D1718" s="16" t="str">
        <f>IFERROR(VLOOKUP(C1718,DATA!#REF!,2,FALSE),"")</f>
        <v/>
      </c>
      <c r="I1718" s="17"/>
      <c r="J1718" s="17"/>
      <c r="P1718" s="17"/>
      <c r="Q1718" s="17"/>
    </row>
    <row r="1719" spans="2:17">
      <c r="B1719" s="15" t="str">
        <f t="shared" ref="B1719:B1782" si="68">+IF(C1719="","",ROW()-5)</f>
        <v/>
      </c>
      <c r="C1719" s="16" t="str">
        <f>IFERROR(VLOOKUP(DATA!#REF!,DATA!#REF!,1,FALSE),"")</f>
        <v/>
      </c>
      <c r="D1719" s="16" t="str">
        <f>IFERROR(VLOOKUP(C1719,DATA!#REF!,2,FALSE),"")</f>
        <v/>
      </c>
      <c r="I1719" s="17"/>
      <c r="J1719" s="17"/>
      <c r="P1719" s="17"/>
      <c r="Q1719" s="17"/>
    </row>
    <row r="1720" spans="2:17">
      <c r="B1720" s="15" t="str">
        <f t="shared" si="68"/>
        <v/>
      </c>
      <c r="C1720" s="16" t="str">
        <f>IFERROR(VLOOKUP(DATA!#REF!,DATA!#REF!,1,FALSE),"")</f>
        <v/>
      </c>
      <c r="D1720" s="16" t="str">
        <f>IFERROR(VLOOKUP(C1720,DATA!#REF!,2,FALSE),"")</f>
        <v/>
      </c>
      <c r="I1720" s="17"/>
      <c r="J1720" s="17"/>
      <c r="P1720" s="17"/>
      <c r="Q1720" s="17"/>
    </row>
    <row r="1721" spans="2:17">
      <c r="B1721" s="15" t="str">
        <f t="shared" si="68"/>
        <v/>
      </c>
      <c r="C1721" s="16" t="str">
        <f>IFERROR(VLOOKUP(DATA!#REF!,DATA!#REF!,1,FALSE),"")</f>
        <v/>
      </c>
      <c r="D1721" s="16" t="str">
        <f>IFERROR(VLOOKUP(C1721,DATA!#REF!,2,FALSE),"")</f>
        <v/>
      </c>
      <c r="I1721" s="17"/>
      <c r="J1721" s="17"/>
      <c r="P1721" s="17"/>
      <c r="Q1721" s="17"/>
    </row>
    <row r="1722" spans="2:17">
      <c r="B1722" s="15" t="str">
        <f t="shared" si="68"/>
        <v/>
      </c>
      <c r="C1722" s="16" t="str">
        <f>IFERROR(VLOOKUP(DATA!#REF!,DATA!#REF!,1,FALSE),"")</f>
        <v/>
      </c>
      <c r="D1722" s="16" t="str">
        <f>IFERROR(VLOOKUP(C1722,DATA!#REF!,2,FALSE),"")</f>
        <v/>
      </c>
      <c r="I1722" s="17"/>
      <c r="J1722" s="17"/>
      <c r="P1722" s="17"/>
      <c r="Q1722" s="17"/>
    </row>
    <row r="1723" spans="2:17">
      <c r="B1723" s="15" t="str">
        <f t="shared" si="68"/>
        <v/>
      </c>
      <c r="C1723" s="16" t="str">
        <f>IFERROR(VLOOKUP(DATA!#REF!,DATA!#REF!,1,FALSE),"")</f>
        <v/>
      </c>
      <c r="D1723" s="16" t="str">
        <f>IFERROR(VLOOKUP(C1723,DATA!#REF!,2,FALSE),"")</f>
        <v/>
      </c>
      <c r="I1723" s="17"/>
      <c r="J1723" s="17"/>
      <c r="P1723" s="17"/>
      <c r="Q1723" s="17"/>
    </row>
    <row r="1724" spans="2:17">
      <c r="B1724" s="15" t="str">
        <f t="shared" si="68"/>
        <v/>
      </c>
      <c r="C1724" s="16" t="str">
        <f>IFERROR(VLOOKUP(DATA!#REF!,DATA!#REF!,1,FALSE),"")</f>
        <v/>
      </c>
      <c r="D1724" s="16" t="str">
        <f>IFERROR(VLOOKUP(C1724,DATA!#REF!,2,FALSE),"")</f>
        <v/>
      </c>
      <c r="I1724" s="17"/>
      <c r="J1724" s="17"/>
      <c r="P1724" s="17"/>
      <c r="Q1724" s="17"/>
    </row>
    <row r="1725" spans="2:17">
      <c r="B1725" s="15" t="str">
        <f t="shared" si="68"/>
        <v/>
      </c>
      <c r="C1725" s="16" t="str">
        <f>IFERROR(VLOOKUP(DATA!#REF!,DATA!#REF!,1,FALSE),"")</f>
        <v/>
      </c>
      <c r="D1725" s="16" t="str">
        <f>IFERROR(VLOOKUP(C1725,DATA!#REF!,2,FALSE),"")</f>
        <v/>
      </c>
      <c r="I1725" s="17"/>
      <c r="J1725" s="17"/>
      <c r="P1725" s="17"/>
      <c r="Q1725" s="17"/>
    </row>
    <row r="1726" spans="2:17">
      <c r="B1726" s="15" t="str">
        <f t="shared" si="68"/>
        <v/>
      </c>
      <c r="C1726" s="16" t="str">
        <f>IFERROR(VLOOKUP(DATA!#REF!,DATA!#REF!,1,FALSE),"")</f>
        <v/>
      </c>
      <c r="D1726" s="16" t="str">
        <f>IFERROR(VLOOKUP(C1726,DATA!#REF!,2,FALSE),"")</f>
        <v/>
      </c>
      <c r="I1726" s="17"/>
      <c r="J1726" s="17"/>
      <c r="P1726" s="17"/>
      <c r="Q1726" s="17"/>
    </row>
    <row r="1727" spans="2:17">
      <c r="B1727" s="15" t="str">
        <f t="shared" si="68"/>
        <v/>
      </c>
      <c r="C1727" s="16" t="str">
        <f>IFERROR(VLOOKUP(DATA!#REF!,DATA!#REF!,1,FALSE),"")</f>
        <v/>
      </c>
      <c r="D1727" s="16" t="str">
        <f>IFERROR(VLOOKUP(C1727,DATA!#REF!,2,FALSE),"")</f>
        <v/>
      </c>
      <c r="I1727" s="17"/>
      <c r="J1727" s="17"/>
      <c r="P1727" s="17"/>
      <c r="Q1727" s="17"/>
    </row>
    <row r="1728" spans="2:17">
      <c r="B1728" s="15" t="str">
        <f t="shared" si="68"/>
        <v/>
      </c>
      <c r="C1728" s="16" t="str">
        <f>IFERROR(VLOOKUP(DATA!#REF!,DATA!#REF!,1,FALSE),"")</f>
        <v/>
      </c>
      <c r="D1728" s="16" t="str">
        <f>IFERROR(VLOOKUP(C1728,DATA!#REF!,2,FALSE),"")</f>
        <v/>
      </c>
      <c r="I1728" s="17"/>
      <c r="J1728" s="17"/>
      <c r="P1728" s="17"/>
      <c r="Q1728" s="17"/>
    </row>
    <row r="1729" spans="2:17">
      <c r="B1729" s="15" t="str">
        <f t="shared" si="68"/>
        <v/>
      </c>
      <c r="C1729" s="16" t="str">
        <f>IFERROR(VLOOKUP(DATA!#REF!,DATA!#REF!,1,FALSE),"")</f>
        <v/>
      </c>
      <c r="D1729" s="16" t="str">
        <f>IFERROR(VLOOKUP(C1729,DATA!#REF!,2,FALSE),"")</f>
        <v/>
      </c>
      <c r="I1729" s="17"/>
      <c r="J1729" s="17"/>
      <c r="P1729" s="17"/>
      <c r="Q1729" s="17"/>
    </row>
    <row r="1730" spans="2:17">
      <c r="B1730" s="15" t="str">
        <f t="shared" si="68"/>
        <v/>
      </c>
      <c r="C1730" s="16" t="str">
        <f>IFERROR(VLOOKUP(DATA!#REF!,DATA!#REF!,1,FALSE),"")</f>
        <v/>
      </c>
      <c r="D1730" s="16" t="str">
        <f>IFERROR(VLOOKUP(C1730,DATA!#REF!,2,FALSE),"")</f>
        <v/>
      </c>
      <c r="I1730" s="17"/>
      <c r="J1730" s="17"/>
      <c r="P1730" s="17"/>
      <c r="Q1730" s="17"/>
    </row>
    <row r="1731" spans="2:17">
      <c r="B1731" s="15" t="str">
        <f t="shared" si="68"/>
        <v/>
      </c>
      <c r="C1731" s="16" t="str">
        <f>IFERROR(VLOOKUP(DATA!#REF!,DATA!#REF!,1,FALSE),"")</f>
        <v/>
      </c>
      <c r="D1731" s="16" t="str">
        <f>IFERROR(VLOOKUP(C1731,DATA!#REF!,2,FALSE),"")</f>
        <v/>
      </c>
      <c r="I1731" s="17"/>
      <c r="J1731" s="17"/>
      <c r="P1731" s="17"/>
      <c r="Q1731" s="17"/>
    </row>
    <row r="1732" spans="2:17">
      <c r="B1732" s="15" t="str">
        <f t="shared" si="68"/>
        <v/>
      </c>
      <c r="C1732" s="16" t="str">
        <f>IFERROR(VLOOKUP(DATA!#REF!,DATA!#REF!,1,FALSE),"")</f>
        <v/>
      </c>
      <c r="D1732" s="16" t="str">
        <f>IFERROR(VLOOKUP(C1732,DATA!#REF!,2,FALSE),"")</f>
        <v/>
      </c>
      <c r="I1732" s="17"/>
      <c r="J1732" s="17"/>
      <c r="P1732" s="17"/>
      <c r="Q1732" s="17"/>
    </row>
    <row r="1733" spans="2:17">
      <c r="B1733" s="15" t="str">
        <f t="shared" si="68"/>
        <v/>
      </c>
      <c r="C1733" s="16" t="str">
        <f>IFERROR(VLOOKUP(DATA!#REF!,DATA!#REF!,1,FALSE),"")</f>
        <v/>
      </c>
      <c r="D1733" s="16" t="str">
        <f>IFERROR(VLOOKUP(C1733,DATA!#REF!,2,FALSE),"")</f>
        <v/>
      </c>
      <c r="I1733" s="17"/>
      <c r="J1733" s="17"/>
      <c r="P1733" s="17"/>
      <c r="Q1733" s="17"/>
    </row>
    <row r="1734" spans="2:17">
      <c r="B1734" s="15" t="str">
        <f t="shared" si="68"/>
        <v/>
      </c>
      <c r="C1734" s="16" t="str">
        <f>IFERROR(VLOOKUP(DATA!#REF!,DATA!#REF!,1,FALSE),"")</f>
        <v/>
      </c>
      <c r="D1734" s="16" t="str">
        <f>IFERROR(VLOOKUP(C1734,DATA!#REF!,2,FALSE),"")</f>
        <v/>
      </c>
      <c r="I1734" s="17"/>
      <c r="J1734" s="17"/>
      <c r="P1734" s="17"/>
      <c r="Q1734" s="17"/>
    </row>
    <row r="1735" spans="2:17">
      <c r="B1735" s="15" t="str">
        <f t="shared" si="68"/>
        <v/>
      </c>
      <c r="C1735" s="16" t="str">
        <f>IFERROR(VLOOKUP(DATA!#REF!,DATA!#REF!,1,FALSE),"")</f>
        <v/>
      </c>
      <c r="D1735" s="16" t="str">
        <f>IFERROR(VLOOKUP(C1735,DATA!#REF!,2,FALSE),"")</f>
        <v/>
      </c>
      <c r="I1735" s="17"/>
      <c r="J1735" s="17"/>
      <c r="P1735" s="17"/>
      <c r="Q1735" s="17"/>
    </row>
    <row r="1736" spans="2:17">
      <c r="B1736" s="15" t="str">
        <f t="shared" si="68"/>
        <v/>
      </c>
      <c r="C1736" s="16" t="str">
        <f>IFERROR(VLOOKUP(DATA!#REF!,DATA!#REF!,1,FALSE),"")</f>
        <v/>
      </c>
      <c r="D1736" s="16" t="str">
        <f>IFERROR(VLOOKUP(C1736,DATA!#REF!,2,FALSE),"")</f>
        <v/>
      </c>
      <c r="I1736" s="17"/>
      <c r="J1736" s="17"/>
      <c r="P1736" s="17"/>
      <c r="Q1736" s="17"/>
    </row>
    <row r="1737" spans="2:17">
      <c r="B1737" s="15" t="str">
        <f t="shared" si="68"/>
        <v/>
      </c>
      <c r="C1737" s="16" t="str">
        <f>IFERROR(VLOOKUP(DATA!#REF!,DATA!#REF!,1,FALSE),"")</f>
        <v/>
      </c>
      <c r="D1737" s="16" t="str">
        <f>IFERROR(VLOOKUP(C1737,DATA!#REF!,2,FALSE),"")</f>
        <v/>
      </c>
      <c r="I1737" s="17"/>
      <c r="J1737" s="17"/>
      <c r="P1737" s="17"/>
      <c r="Q1737" s="17"/>
    </row>
    <row r="1738" spans="2:17">
      <c r="B1738" s="15" t="str">
        <f t="shared" si="68"/>
        <v/>
      </c>
      <c r="C1738" s="16" t="str">
        <f>IFERROR(VLOOKUP(DATA!#REF!,DATA!#REF!,1,FALSE),"")</f>
        <v/>
      </c>
      <c r="D1738" s="16" t="str">
        <f>IFERROR(VLOOKUP(C1738,DATA!#REF!,2,FALSE),"")</f>
        <v/>
      </c>
      <c r="I1738" s="17"/>
      <c r="J1738" s="17"/>
      <c r="P1738" s="17"/>
      <c r="Q1738" s="17"/>
    </row>
    <row r="1739" spans="2:17">
      <c r="B1739" s="15" t="str">
        <f t="shared" si="68"/>
        <v/>
      </c>
      <c r="C1739" s="16" t="str">
        <f>IFERROR(VLOOKUP(DATA!#REF!,DATA!#REF!,1,FALSE),"")</f>
        <v/>
      </c>
      <c r="D1739" s="16" t="str">
        <f>IFERROR(VLOOKUP(C1739,DATA!#REF!,2,FALSE),"")</f>
        <v/>
      </c>
      <c r="I1739" s="17"/>
      <c r="J1739" s="17"/>
      <c r="P1739" s="17"/>
      <c r="Q1739" s="17"/>
    </row>
    <row r="1740" spans="2:17">
      <c r="B1740" s="15" t="str">
        <f t="shared" si="68"/>
        <v/>
      </c>
      <c r="C1740" s="16" t="str">
        <f>IFERROR(VLOOKUP(DATA!#REF!,DATA!#REF!,1,FALSE),"")</f>
        <v/>
      </c>
      <c r="D1740" s="16" t="str">
        <f>IFERROR(VLOOKUP(C1740,DATA!#REF!,2,FALSE),"")</f>
        <v/>
      </c>
      <c r="I1740" s="17"/>
      <c r="J1740" s="17"/>
      <c r="P1740" s="17"/>
      <c r="Q1740" s="17"/>
    </row>
    <row r="1741" spans="2:17">
      <c r="B1741" s="15" t="str">
        <f t="shared" si="68"/>
        <v/>
      </c>
      <c r="C1741" s="16" t="str">
        <f>IFERROR(VLOOKUP(DATA!#REF!,DATA!#REF!,1,FALSE),"")</f>
        <v/>
      </c>
      <c r="D1741" s="16" t="str">
        <f>IFERROR(VLOOKUP(C1741,DATA!#REF!,2,FALSE),"")</f>
        <v/>
      </c>
      <c r="I1741" s="17"/>
      <c r="J1741" s="17"/>
      <c r="P1741" s="17"/>
      <c r="Q1741" s="17"/>
    </row>
    <row r="1742" spans="2:17">
      <c r="B1742" s="15" t="str">
        <f t="shared" si="68"/>
        <v/>
      </c>
      <c r="C1742" s="16" t="str">
        <f>IFERROR(VLOOKUP(DATA!#REF!,DATA!#REF!,1,FALSE),"")</f>
        <v/>
      </c>
      <c r="D1742" s="16" t="str">
        <f>IFERROR(VLOOKUP(C1742,DATA!#REF!,2,FALSE),"")</f>
        <v/>
      </c>
      <c r="I1742" s="17"/>
      <c r="J1742" s="17"/>
      <c r="P1742" s="17"/>
      <c r="Q1742" s="17"/>
    </row>
    <row r="1743" spans="2:17">
      <c r="B1743" s="15" t="str">
        <f t="shared" si="68"/>
        <v/>
      </c>
      <c r="C1743" s="16" t="str">
        <f>IFERROR(VLOOKUP(DATA!#REF!,DATA!#REF!,1,FALSE),"")</f>
        <v/>
      </c>
      <c r="D1743" s="16" t="str">
        <f>IFERROR(VLOOKUP(C1743,DATA!#REF!,2,FALSE),"")</f>
        <v/>
      </c>
      <c r="I1743" s="17"/>
      <c r="J1743" s="17"/>
      <c r="P1743" s="17"/>
      <c r="Q1743" s="17"/>
    </row>
    <row r="1744" spans="2:17">
      <c r="B1744" s="15" t="str">
        <f t="shared" si="68"/>
        <v/>
      </c>
      <c r="C1744" s="16" t="str">
        <f>IFERROR(VLOOKUP(DATA!#REF!,DATA!#REF!,1,FALSE),"")</f>
        <v/>
      </c>
      <c r="D1744" s="16" t="str">
        <f>IFERROR(VLOOKUP(C1744,DATA!#REF!,2,FALSE),"")</f>
        <v/>
      </c>
      <c r="I1744" s="17"/>
      <c r="J1744" s="17"/>
      <c r="P1744" s="17"/>
      <c r="Q1744" s="17"/>
    </row>
    <row r="1745" spans="2:17">
      <c r="B1745" s="15" t="str">
        <f t="shared" si="68"/>
        <v/>
      </c>
      <c r="C1745" s="16" t="str">
        <f>IFERROR(VLOOKUP(DATA!#REF!,DATA!#REF!,1,FALSE),"")</f>
        <v/>
      </c>
      <c r="D1745" s="16" t="str">
        <f>IFERROR(VLOOKUP(C1745,DATA!#REF!,2,FALSE),"")</f>
        <v/>
      </c>
      <c r="I1745" s="17"/>
      <c r="J1745" s="17"/>
      <c r="P1745" s="17"/>
      <c r="Q1745" s="17"/>
    </row>
    <row r="1746" spans="2:17">
      <c r="B1746" s="15" t="str">
        <f t="shared" si="68"/>
        <v/>
      </c>
      <c r="C1746" s="16" t="str">
        <f>IFERROR(VLOOKUP(DATA!#REF!,DATA!#REF!,1,FALSE),"")</f>
        <v/>
      </c>
      <c r="D1746" s="16" t="str">
        <f>IFERROR(VLOOKUP(C1746,DATA!#REF!,2,FALSE),"")</f>
        <v/>
      </c>
      <c r="I1746" s="17"/>
      <c r="J1746" s="17"/>
      <c r="P1746" s="17"/>
      <c r="Q1746" s="17"/>
    </row>
    <row r="1747" spans="2:17">
      <c r="B1747" s="15" t="str">
        <f t="shared" si="68"/>
        <v/>
      </c>
      <c r="C1747" s="16" t="str">
        <f>IFERROR(VLOOKUP(DATA!#REF!,DATA!#REF!,1,FALSE),"")</f>
        <v/>
      </c>
      <c r="D1747" s="16" t="str">
        <f>IFERROR(VLOOKUP(C1747,DATA!#REF!,2,FALSE),"")</f>
        <v/>
      </c>
      <c r="I1747" s="17"/>
      <c r="J1747" s="17"/>
      <c r="P1747" s="17"/>
      <c r="Q1747" s="17"/>
    </row>
    <row r="1748" spans="2:17">
      <c r="B1748" s="15" t="str">
        <f t="shared" si="68"/>
        <v/>
      </c>
      <c r="C1748" s="16" t="str">
        <f>IFERROR(VLOOKUP(DATA!#REF!,DATA!#REF!,1,FALSE),"")</f>
        <v/>
      </c>
      <c r="D1748" s="16" t="str">
        <f>IFERROR(VLOOKUP(C1748,DATA!#REF!,2,FALSE),"")</f>
        <v/>
      </c>
      <c r="I1748" s="17"/>
      <c r="J1748" s="17"/>
      <c r="P1748" s="17"/>
      <c r="Q1748" s="17"/>
    </row>
    <row r="1749" spans="2:17">
      <c r="B1749" s="15" t="str">
        <f t="shared" si="68"/>
        <v/>
      </c>
      <c r="C1749" s="16" t="str">
        <f>IFERROR(VLOOKUP(DATA!#REF!,DATA!#REF!,1,FALSE),"")</f>
        <v/>
      </c>
      <c r="D1749" s="16" t="str">
        <f>IFERROR(VLOOKUP(C1749,DATA!#REF!,2,FALSE),"")</f>
        <v/>
      </c>
      <c r="I1749" s="17"/>
      <c r="J1749" s="17"/>
      <c r="P1749" s="17"/>
      <c r="Q1749" s="17"/>
    </row>
    <row r="1750" spans="2:17">
      <c r="B1750" s="15" t="str">
        <f t="shared" si="68"/>
        <v/>
      </c>
      <c r="C1750" s="16" t="str">
        <f>IFERROR(VLOOKUP(DATA!#REF!,DATA!#REF!,1,FALSE),"")</f>
        <v/>
      </c>
      <c r="D1750" s="16" t="str">
        <f>IFERROR(VLOOKUP(C1750,DATA!#REF!,2,FALSE),"")</f>
        <v/>
      </c>
      <c r="I1750" s="17"/>
      <c r="J1750" s="17"/>
      <c r="P1750" s="17"/>
      <c r="Q1750" s="17"/>
    </row>
    <row r="1751" spans="2:17">
      <c r="B1751" s="15" t="str">
        <f t="shared" si="68"/>
        <v/>
      </c>
      <c r="C1751" s="16" t="str">
        <f>IFERROR(VLOOKUP(DATA!#REF!,DATA!#REF!,1,FALSE),"")</f>
        <v/>
      </c>
      <c r="D1751" s="16" t="str">
        <f>IFERROR(VLOOKUP(C1751,DATA!#REF!,2,FALSE),"")</f>
        <v/>
      </c>
      <c r="I1751" s="17"/>
      <c r="J1751" s="17"/>
      <c r="P1751" s="17"/>
      <c r="Q1751" s="17"/>
    </row>
    <row r="1752" spans="2:17">
      <c r="B1752" s="15" t="str">
        <f t="shared" si="68"/>
        <v/>
      </c>
      <c r="C1752" s="16" t="str">
        <f>IFERROR(VLOOKUP(DATA!#REF!,DATA!#REF!,1,FALSE),"")</f>
        <v/>
      </c>
      <c r="D1752" s="16" t="str">
        <f>IFERROR(VLOOKUP(C1752,DATA!#REF!,2,FALSE),"")</f>
        <v/>
      </c>
      <c r="I1752" s="17"/>
      <c r="J1752" s="17"/>
      <c r="P1752" s="17"/>
      <c r="Q1752" s="17"/>
    </row>
    <row r="1753" spans="2:17">
      <c r="B1753" s="15" t="str">
        <f t="shared" si="68"/>
        <v/>
      </c>
      <c r="C1753" s="16" t="str">
        <f>IFERROR(VLOOKUP(DATA!#REF!,DATA!#REF!,1,FALSE),"")</f>
        <v/>
      </c>
      <c r="D1753" s="16" t="str">
        <f>IFERROR(VLOOKUP(C1753,DATA!#REF!,2,FALSE),"")</f>
        <v/>
      </c>
      <c r="I1753" s="17"/>
      <c r="J1753" s="17"/>
      <c r="P1753" s="17"/>
      <c r="Q1753" s="17"/>
    </row>
    <row r="1754" spans="2:17">
      <c r="B1754" s="15" t="str">
        <f t="shared" si="68"/>
        <v/>
      </c>
      <c r="C1754" s="16" t="str">
        <f>IFERROR(VLOOKUP(DATA!#REF!,DATA!#REF!,1,FALSE),"")</f>
        <v/>
      </c>
      <c r="D1754" s="16" t="str">
        <f>IFERROR(VLOOKUP(C1754,DATA!#REF!,2,FALSE),"")</f>
        <v/>
      </c>
      <c r="I1754" s="17"/>
      <c r="J1754" s="17"/>
      <c r="P1754" s="17"/>
      <c r="Q1754" s="17"/>
    </row>
    <row r="1755" spans="2:17">
      <c r="B1755" s="15" t="str">
        <f t="shared" si="68"/>
        <v/>
      </c>
      <c r="C1755" s="16" t="str">
        <f>IFERROR(VLOOKUP(DATA!#REF!,DATA!#REF!,1,FALSE),"")</f>
        <v/>
      </c>
      <c r="D1755" s="16" t="str">
        <f>IFERROR(VLOOKUP(C1755,DATA!#REF!,2,FALSE),"")</f>
        <v/>
      </c>
      <c r="I1755" s="17"/>
      <c r="J1755" s="17"/>
      <c r="P1755" s="17"/>
      <c r="Q1755" s="17"/>
    </row>
    <row r="1756" spans="2:17">
      <c r="B1756" s="15" t="str">
        <f t="shared" si="68"/>
        <v/>
      </c>
      <c r="C1756" s="16" t="str">
        <f>IFERROR(VLOOKUP(DATA!#REF!,DATA!#REF!,1,FALSE),"")</f>
        <v/>
      </c>
      <c r="D1756" s="16" t="str">
        <f>IFERROR(VLOOKUP(C1756,DATA!#REF!,2,FALSE),"")</f>
        <v/>
      </c>
      <c r="I1756" s="17"/>
      <c r="J1756" s="17"/>
      <c r="P1756" s="17"/>
      <c r="Q1756" s="17"/>
    </row>
    <row r="1757" spans="2:17">
      <c r="B1757" s="15" t="str">
        <f t="shared" si="68"/>
        <v/>
      </c>
      <c r="C1757" s="16" t="str">
        <f>IFERROR(VLOOKUP(DATA!#REF!,DATA!#REF!,1,FALSE),"")</f>
        <v/>
      </c>
      <c r="D1757" s="16" t="str">
        <f>IFERROR(VLOOKUP(C1757,DATA!#REF!,2,FALSE),"")</f>
        <v/>
      </c>
      <c r="I1757" s="17"/>
      <c r="J1757" s="17"/>
      <c r="P1757" s="17"/>
      <c r="Q1757" s="17"/>
    </row>
    <row r="1758" spans="2:17">
      <c r="B1758" s="15" t="str">
        <f t="shared" si="68"/>
        <v/>
      </c>
      <c r="C1758" s="16" t="str">
        <f>IFERROR(VLOOKUP(DATA!#REF!,DATA!#REF!,1,FALSE),"")</f>
        <v/>
      </c>
      <c r="D1758" s="16" t="str">
        <f>IFERROR(VLOOKUP(C1758,DATA!#REF!,2,FALSE),"")</f>
        <v/>
      </c>
      <c r="I1758" s="17"/>
      <c r="J1758" s="17"/>
      <c r="P1758" s="17"/>
      <c r="Q1758" s="17"/>
    </row>
    <row r="1759" spans="2:17">
      <c r="B1759" s="15" t="str">
        <f t="shared" si="68"/>
        <v/>
      </c>
      <c r="C1759" s="16" t="str">
        <f>IFERROR(VLOOKUP(DATA!#REF!,DATA!#REF!,1,FALSE),"")</f>
        <v/>
      </c>
      <c r="D1759" s="16" t="str">
        <f>IFERROR(VLOOKUP(C1759,DATA!#REF!,2,FALSE),"")</f>
        <v/>
      </c>
      <c r="I1759" s="17"/>
      <c r="J1759" s="17"/>
      <c r="P1759" s="17"/>
      <c r="Q1759" s="17"/>
    </row>
    <row r="1760" spans="2:17">
      <c r="B1760" s="15" t="str">
        <f t="shared" si="68"/>
        <v/>
      </c>
      <c r="C1760" s="16" t="str">
        <f>IFERROR(VLOOKUP(DATA!#REF!,DATA!#REF!,1,FALSE),"")</f>
        <v/>
      </c>
      <c r="D1760" s="16" t="str">
        <f>IFERROR(VLOOKUP(C1760,DATA!#REF!,2,FALSE),"")</f>
        <v/>
      </c>
      <c r="I1760" s="17"/>
      <c r="J1760" s="17"/>
      <c r="P1760" s="17"/>
      <c r="Q1760" s="17"/>
    </row>
    <row r="1761" spans="2:17">
      <c r="B1761" s="15" t="str">
        <f t="shared" si="68"/>
        <v/>
      </c>
      <c r="C1761" s="16" t="str">
        <f>IFERROR(VLOOKUP(DATA!#REF!,DATA!#REF!,1,FALSE),"")</f>
        <v/>
      </c>
      <c r="D1761" s="16" t="str">
        <f>IFERROR(VLOOKUP(C1761,DATA!#REF!,2,FALSE),"")</f>
        <v/>
      </c>
      <c r="I1761" s="17"/>
      <c r="J1761" s="17"/>
      <c r="P1761" s="17"/>
      <c r="Q1761" s="17"/>
    </row>
    <row r="1762" spans="2:17">
      <c r="B1762" s="15" t="str">
        <f t="shared" si="68"/>
        <v/>
      </c>
      <c r="C1762" s="16" t="str">
        <f>IFERROR(VLOOKUP(DATA!#REF!,DATA!#REF!,1,FALSE),"")</f>
        <v/>
      </c>
      <c r="D1762" s="16" t="str">
        <f>IFERROR(VLOOKUP(C1762,DATA!#REF!,2,FALSE),"")</f>
        <v/>
      </c>
      <c r="I1762" s="17"/>
      <c r="J1762" s="17"/>
      <c r="P1762" s="17"/>
      <c r="Q1762" s="17"/>
    </row>
    <row r="1763" spans="2:17">
      <c r="B1763" s="15" t="str">
        <f t="shared" si="68"/>
        <v/>
      </c>
      <c r="C1763" s="16" t="str">
        <f>IFERROR(VLOOKUP(DATA!#REF!,DATA!#REF!,1,FALSE),"")</f>
        <v/>
      </c>
      <c r="D1763" s="16" t="str">
        <f>IFERROR(VLOOKUP(C1763,DATA!#REF!,2,FALSE),"")</f>
        <v/>
      </c>
      <c r="I1763" s="17"/>
      <c r="J1763" s="17"/>
      <c r="P1763" s="17"/>
      <c r="Q1763" s="17"/>
    </row>
    <row r="1764" spans="2:17">
      <c r="B1764" s="15" t="str">
        <f t="shared" si="68"/>
        <v/>
      </c>
      <c r="C1764" s="16" t="str">
        <f>IFERROR(VLOOKUP(DATA!#REF!,DATA!#REF!,1,FALSE),"")</f>
        <v/>
      </c>
      <c r="D1764" s="16" t="str">
        <f>IFERROR(VLOOKUP(C1764,DATA!#REF!,2,FALSE),"")</f>
        <v/>
      </c>
      <c r="I1764" s="17"/>
      <c r="J1764" s="17"/>
      <c r="P1764" s="17"/>
      <c r="Q1764" s="17"/>
    </row>
    <row r="1765" spans="2:17">
      <c r="B1765" s="15" t="str">
        <f t="shared" si="68"/>
        <v/>
      </c>
      <c r="C1765" s="16" t="str">
        <f>IFERROR(VLOOKUP(DATA!#REF!,DATA!#REF!,1,FALSE),"")</f>
        <v/>
      </c>
      <c r="D1765" s="16" t="str">
        <f>IFERROR(VLOOKUP(C1765,DATA!#REF!,2,FALSE),"")</f>
        <v/>
      </c>
      <c r="I1765" s="17"/>
      <c r="J1765" s="17"/>
      <c r="P1765" s="17"/>
      <c r="Q1765" s="17"/>
    </row>
    <row r="1766" spans="2:17">
      <c r="B1766" s="15" t="str">
        <f t="shared" si="68"/>
        <v/>
      </c>
      <c r="C1766" s="16" t="str">
        <f>IFERROR(VLOOKUP(DATA!#REF!,DATA!#REF!,1,FALSE),"")</f>
        <v/>
      </c>
      <c r="D1766" s="16" t="str">
        <f>IFERROR(VLOOKUP(C1766,DATA!#REF!,2,FALSE),"")</f>
        <v/>
      </c>
      <c r="I1766" s="17"/>
      <c r="J1766" s="17"/>
      <c r="P1766" s="17"/>
      <c r="Q1766" s="17"/>
    </row>
    <row r="1767" spans="2:17">
      <c r="B1767" s="15" t="str">
        <f t="shared" si="68"/>
        <v/>
      </c>
      <c r="C1767" s="16" t="str">
        <f>IFERROR(VLOOKUP(DATA!#REF!,DATA!#REF!,1,FALSE),"")</f>
        <v/>
      </c>
      <c r="D1767" s="16" t="str">
        <f>IFERROR(VLOOKUP(C1767,DATA!#REF!,2,FALSE),"")</f>
        <v/>
      </c>
      <c r="I1767" s="17"/>
      <c r="J1767" s="17"/>
      <c r="P1767" s="17"/>
      <c r="Q1767" s="17"/>
    </row>
    <row r="1768" spans="2:17">
      <c r="B1768" s="15" t="str">
        <f t="shared" si="68"/>
        <v/>
      </c>
      <c r="C1768" s="16" t="str">
        <f>IFERROR(VLOOKUP(DATA!#REF!,DATA!#REF!,1,FALSE),"")</f>
        <v/>
      </c>
      <c r="D1768" s="16" t="str">
        <f>IFERROR(VLOOKUP(C1768,DATA!#REF!,2,FALSE),"")</f>
        <v/>
      </c>
      <c r="I1768" s="17"/>
      <c r="J1768" s="17"/>
      <c r="P1768" s="17"/>
      <c r="Q1768" s="17"/>
    </row>
    <row r="1769" spans="2:17">
      <c r="B1769" s="15" t="str">
        <f t="shared" si="68"/>
        <v/>
      </c>
      <c r="C1769" s="16" t="str">
        <f>IFERROR(VLOOKUP(DATA!#REF!,DATA!#REF!,1,FALSE),"")</f>
        <v/>
      </c>
      <c r="D1769" s="16" t="str">
        <f>IFERROR(VLOOKUP(C1769,DATA!#REF!,2,FALSE),"")</f>
        <v/>
      </c>
      <c r="I1769" s="17"/>
      <c r="J1769" s="17"/>
      <c r="P1769" s="17"/>
      <c r="Q1769" s="17"/>
    </row>
    <row r="1770" spans="2:17">
      <c r="B1770" s="15" t="str">
        <f t="shared" si="68"/>
        <v/>
      </c>
      <c r="C1770" s="16" t="str">
        <f>IFERROR(VLOOKUP(DATA!#REF!,DATA!#REF!,1,FALSE),"")</f>
        <v/>
      </c>
      <c r="D1770" s="16" t="str">
        <f>IFERROR(VLOOKUP(C1770,DATA!#REF!,2,FALSE),"")</f>
        <v/>
      </c>
      <c r="I1770" s="17"/>
      <c r="J1770" s="17"/>
      <c r="P1770" s="17"/>
      <c r="Q1770" s="17"/>
    </row>
    <row r="1771" spans="2:17">
      <c r="B1771" s="15" t="str">
        <f t="shared" si="68"/>
        <v/>
      </c>
      <c r="C1771" s="16" t="str">
        <f>IFERROR(VLOOKUP(DATA!#REF!,DATA!#REF!,1,FALSE),"")</f>
        <v/>
      </c>
      <c r="D1771" s="16" t="str">
        <f>IFERROR(VLOOKUP(C1771,DATA!#REF!,2,FALSE),"")</f>
        <v/>
      </c>
      <c r="I1771" s="17"/>
      <c r="J1771" s="17"/>
      <c r="P1771" s="17"/>
      <c r="Q1771" s="17"/>
    </row>
    <row r="1772" spans="2:17">
      <c r="B1772" s="15" t="str">
        <f t="shared" si="68"/>
        <v/>
      </c>
      <c r="C1772" s="16" t="str">
        <f>IFERROR(VLOOKUP(DATA!#REF!,DATA!#REF!,1,FALSE),"")</f>
        <v/>
      </c>
      <c r="D1772" s="16" t="str">
        <f>IFERROR(VLOOKUP(C1772,DATA!#REF!,2,FALSE),"")</f>
        <v/>
      </c>
      <c r="I1772" s="17"/>
      <c r="J1772" s="17"/>
      <c r="P1772" s="17"/>
      <c r="Q1772" s="17"/>
    </row>
    <row r="1773" spans="2:17">
      <c r="B1773" s="15" t="str">
        <f t="shared" si="68"/>
        <v/>
      </c>
      <c r="C1773" s="16" t="str">
        <f>IFERROR(VLOOKUP(DATA!#REF!,DATA!#REF!,1,FALSE),"")</f>
        <v/>
      </c>
      <c r="D1773" s="16" t="str">
        <f>IFERROR(VLOOKUP(C1773,DATA!#REF!,2,FALSE),"")</f>
        <v/>
      </c>
      <c r="I1773" s="17"/>
      <c r="J1773" s="17"/>
      <c r="P1773" s="17"/>
      <c r="Q1773" s="17"/>
    </row>
    <row r="1774" spans="2:17">
      <c r="B1774" s="15" t="str">
        <f t="shared" si="68"/>
        <v/>
      </c>
      <c r="C1774" s="16" t="str">
        <f>IFERROR(VLOOKUP(DATA!#REF!,DATA!#REF!,1,FALSE),"")</f>
        <v/>
      </c>
      <c r="D1774" s="16" t="str">
        <f>IFERROR(VLOOKUP(C1774,DATA!#REF!,2,FALSE),"")</f>
        <v/>
      </c>
      <c r="I1774" s="17"/>
      <c r="J1774" s="17"/>
      <c r="P1774" s="17"/>
      <c r="Q1774" s="17"/>
    </row>
    <row r="1775" spans="2:17">
      <c r="B1775" s="15" t="str">
        <f t="shared" si="68"/>
        <v/>
      </c>
      <c r="C1775" s="16" t="str">
        <f>IFERROR(VLOOKUP(DATA!#REF!,DATA!#REF!,1,FALSE),"")</f>
        <v/>
      </c>
      <c r="D1775" s="16" t="str">
        <f>IFERROR(VLOOKUP(C1775,DATA!#REF!,2,FALSE),"")</f>
        <v/>
      </c>
      <c r="I1775" s="17"/>
      <c r="J1775" s="17"/>
      <c r="P1775" s="17"/>
      <c r="Q1775" s="17"/>
    </row>
    <row r="1776" spans="2:17">
      <c r="B1776" s="15" t="str">
        <f t="shared" si="68"/>
        <v/>
      </c>
      <c r="C1776" s="16" t="str">
        <f>IFERROR(VLOOKUP(DATA!#REF!,DATA!#REF!,1,FALSE),"")</f>
        <v/>
      </c>
      <c r="D1776" s="16" t="str">
        <f>IFERROR(VLOOKUP(C1776,DATA!#REF!,2,FALSE),"")</f>
        <v/>
      </c>
      <c r="I1776" s="17"/>
      <c r="J1776" s="17"/>
      <c r="P1776" s="17"/>
      <c r="Q1776" s="17"/>
    </row>
    <row r="1777" spans="2:17">
      <c r="B1777" s="15" t="str">
        <f t="shared" si="68"/>
        <v/>
      </c>
      <c r="C1777" s="16" t="str">
        <f>IFERROR(VLOOKUP(DATA!#REF!,DATA!#REF!,1,FALSE),"")</f>
        <v/>
      </c>
      <c r="D1777" s="16" t="str">
        <f>IFERROR(VLOOKUP(C1777,DATA!#REF!,2,FALSE),"")</f>
        <v/>
      </c>
      <c r="I1777" s="17"/>
      <c r="J1777" s="17"/>
      <c r="P1777" s="17"/>
      <c r="Q1777" s="17"/>
    </row>
    <row r="1778" spans="2:17">
      <c r="B1778" s="15" t="str">
        <f t="shared" si="68"/>
        <v/>
      </c>
      <c r="C1778" s="16" t="str">
        <f>IFERROR(VLOOKUP(DATA!#REF!,DATA!#REF!,1,FALSE),"")</f>
        <v/>
      </c>
      <c r="D1778" s="16" t="str">
        <f>IFERROR(VLOOKUP(C1778,DATA!#REF!,2,FALSE),"")</f>
        <v/>
      </c>
      <c r="I1778" s="17"/>
      <c r="J1778" s="17"/>
      <c r="P1778" s="17"/>
      <c r="Q1778" s="17"/>
    </row>
    <row r="1779" spans="2:17">
      <c r="B1779" s="15" t="str">
        <f t="shared" si="68"/>
        <v/>
      </c>
      <c r="C1779" s="16" t="str">
        <f>IFERROR(VLOOKUP(DATA!#REF!,DATA!#REF!,1,FALSE),"")</f>
        <v/>
      </c>
      <c r="D1779" s="16" t="str">
        <f>IFERROR(VLOOKUP(C1779,DATA!#REF!,2,FALSE),"")</f>
        <v/>
      </c>
      <c r="I1779" s="17"/>
      <c r="J1779" s="17"/>
      <c r="P1779" s="17"/>
      <c r="Q1779" s="17"/>
    </row>
    <row r="1780" spans="2:17">
      <c r="B1780" s="15" t="str">
        <f t="shared" si="68"/>
        <v/>
      </c>
      <c r="C1780" s="16" t="str">
        <f>IFERROR(VLOOKUP(DATA!#REF!,DATA!#REF!,1,FALSE),"")</f>
        <v/>
      </c>
      <c r="D1780" s="16" t="str">
        <f>IFERROR(VLOOKUP(C1780,DATA!#REF!,2,FALSE),"")</f>
        <v/>
      </c>
      <c r="I1780" s="17"/>
      <c r="J1780" s="17"/>
      <c r="P1780" s="17"/>
      <c r="Q1780" s="17"/>
    </row>
    <row r="1781" spans="2:17">
      <c r="B1781" s="15" t="str">
        <f t="shared" si="68"/>
        <v/>
      </c>
      <c r="C1781" s="16" t="str">
        <f>IFERROR(VLOOKUP(DATA!#REF!,DATA!#REF!,1,FALSE),"")</f>
        <v/>
      </c>
      <c r="D1781" s="16" t="str">
        <f>IFERROR(VLOOKUP(C1781,DATA!#REF!,2,FALSE),"")</f>
        <v/>
      </c>
      <c r="I1781" s="17"/>
      <c r="J1781" s="17"/>
      <c r="P1781" s="17"/>
      <c r="Q1781" s="17"/>
    </row>
    <row r="1782" spans="2:17">
      <c r="B1782" s="15" t="str">
        <f t="shared" si="68"/>
        <v/>
      </c>
      <c r="C1782" s="16" t="str">
        <f>IFERROR(VLOOKUP(DATA!#REF!,DATA!#REF!,1,FALSE),"")</f>
        <v/>
      </c>
      <c r="D1782" s="16" t="str">
        <f>IFERROR(VLOOKUP(C1782,DATA!#REF!,2,FALSE),"")</f>
        <v/>
      </c>
      <c r="I1782" s="17"/>
      <c r="J1782" s="17"/>
      <c r="P1782" s="17"/>
      <c r="Q1782" s="17"/>
    </row>
    <row r="1783" spans="2:17">
      <c r="B1783" s="15" t="str">
        <f t="shared" ref="B1783:B1846" si="69">+IF(C1783="","",ROW()-5)</f>
        <v/>
      </c>
      <c r="C1783" s="16" t="str">
        <f>IFERROR(VLOOKUP(DATA!#REF!,DATA!#REF!,1,FALSE),"")</f>
        <v/>
      </c>
      <c r="D1783" s="16" t="str">
        <f>IFERROR(VLOOKUP(C1783,DATA!#REF!,2,FALSE),"")</f>
        <v/>
      </c>
      <c r="I1783" s="17"/>
      <c r="J1783" s="17"/>
      <c r="P1783" s="17"/>
      <c r="Q1783" s="17"/>
    </row>
    <row r="1784" spans="2:17">
      <c r="B1784" s="15" t="str">
        <f t="shared" si="69"/>
        <v/>
      </c>
      <c r="C1784" s="16" t="str">
        <f>IFERROR(VLOOKUP(DATA!#REF!,DATA!#REF!,1,FALSE),"")</f>
        <v/>
      </c>
      <c r="D1784" s="16" t="str">
        <f>IFERROR(VLOOKUP(C1784,DATA!#REF!,2,FALSE),"")</f>
        <v/>
      </c>
      <c r="I1784" s="17"/>
      <c r="J1784" s="17"/>
      <c r="P1784" s="17"/>
      <c r="Q1784" s="17"/>
    </row>
    <row r="1785" spans="2:17">
      <c r="B1785" s="15" t="str">
        <f t="shared" si="69"/>
        <v/>
      </c>
      <c r="C1785" s="16" t="str">
        <f>IFERROR(VLOOKUP(DATA!#REF!,DATA!#REF!,1,FALSE),"")</f>
        <v/>
      </c>
      <c r="D1785" s="16" t="str">
        <f>IFERROR(VLOOKUP(C1785,DATA!#REF!,2,FALSE),"")</f>
        <v/>
      </c>
      <c r="I1785" s="17"/>
      <c r="J1785" s="17"/>
      <c r="P1785" s="17"/>
      <c r="Q1785" s="17"/>
    </row>
    <row r="1786" spans="2:17">
      <c r="B1786" s="15" t="str">
        <f t="shared" si="69"/>
        <v/>
      </c>
      <c r="C1786" s="16" t="str">
        <f>IFERROR(VLOOKUP(DATA!#REF!,DATA!#REF!,1,FALSE),"")</f>
        <v/>
      </c>
      <c r="D1786" s="16" t="str">
        <f>IFERROR(VLOOKUP(C1786,DATA!#REF!,2,FALSE),"")</f>
        <v/>
      </c>
      <c r="I1786" s="17"/>
      <c r="J1786" s="17"/>
      <c r="P1786" s="17"/>
      <c r="Q1786" s="17"/>
    </row>
    <row r="1787" spans="2:17">
      <c r="B1787" s="15" t="str">
        <f t="shared" si="69"/>
        <v/>
      </c>
      <c r="C1787" s="16" t="str">
        <f>IFERROR(VLOOKUP(DATA!#REF!,DATA!#REF!,1,FALSE),"")</f>
        <v/>
      </c>
      <c r="D1787" s="16" t="str">
        <f>IFERROR(VLOOKUP(C1787,DATA!#REF!,2,FALSE),"")</f>
        <v/>
      </c>
      <c r="I1787" s="17"/>
      <c r="J1787" s="17"/>
      <c r="P1787" s="17"/>
      <c r="Q1787" s="17"/>
    </row>
    <row r="1788" spans="2:17">
      <c r="B1788" s="15" t="str">
        <f t="shared" si="69"/>
        <v/>
      </c>
      <c r="C1788" s="16" t="str">
        <f>IFERROR(VLOOKUP(DATA!#REF!,DATA!#REF!,1,FALSE),"")</f>
        <v/>
      </c>
      <c r="D1788" s="16" t="str">
        <f>IFERROR(VLOOKUP(C1788,DATA!#REF!,2,FALSE),"")</f>
        <v/>
      </c>
      <c r="I1788" s="17"/>
      <c r="J1788" s="17"/>
      <c r="P1788" s="17"/>
      <c r="Q1788" s="17"/>
    </row>
    <row r="1789" spans="2:17">
      <c r="B1789" s="15" t="str">
        <f t="shared" si="69"/>
        <v/>
      </c>
      <c r="C1789" s="16" t="str">
        <f>IFERROR(VLOOKUP(DATA!#REF!,DATA!#REF!,1,FALSE),"")</f>
        <v/>
      </c>
      <c r="D1789" s="16" t="str">
        <f>IFERROR(VLOOKUP(C1789,DATA!#REF!,2,FALSE),"")</f>
        <v/>
      </c>
      <c r="I1789" s="17"/>
      <c r="J1789" s="17"/>
      <c r="P1789" s="17"/>
      <c r="Q1789" s="17"/>
    </row>
    <row r="1790" spans="2:17">
      <c r="B1790" s="15" t="str">
        <f t="shared" si="69"/>
        <v/>
      </c>
      <c r="C1790" s="16" t="str">
        <f>IFERROR(VLOOKUP(DATA!#REF!,DATA!#REF!,1,FALSE),"")</f>
        <v/>
      </c>
      <c r="D1790" s="16" t="str">
        <f>IFERROR(VLOOKUP(C1790,DATA!#REF!,2,FALSE),"")</f>
        <v/>
      </c>
      <c r="I1790" s="17"/>
      <c r="J1790" s="17"/>
      <c r="P1790" s="17"/>
      <c r="Q1790" s="17"/>
    </row>
    <row r="1791" spans="2:17">
      <c r="B1791" s="15" t="str">
        <f t="shared" si="69"/>
        <v/>
      </c>
      <c r="C1791" s="16" t="str">
        <f>IFERROR(VLOOKUP(DATA!#REF!,DATA!#REF!,1,FALSE),"")</f>
        <v/>
      </c>
      <c r="D1791" s="16" t="str">
        <f>IFERROR(VLOOKUP(C1791,DATA!#REF!,2,FALSE),"")</f>
        <v/>
      </c>
      <c r="I1791" s="17"/>
      <c r="J1791" s="17"/>
      <c r="P1791" s="17"/>
      <c r="Q1791" s="17"/>
    </row>
    <row r="1792" spans="2:17">
      <c r="B1792" s="15" t="str">
        <f t="shared" si="69"/>
        <v/>
      </c>
      <c r="C1792" s="16" t="str">
        <f>IFERROR(VLOOKUP(DATA!#REF!,DATA!#REF!,1,FALSE),"")</f>
        <v/>
      </c>
      <c r="D1792" s="16" t="str">
        <f>IFERROR(VLOOKUP(C1792,DATA!#REF!,2,FALSE),"")</f>
        <v/>
      </c>
      <c r="I1792" s="17"/>
      <c r="J1792" s="17"/>
      <c r="P1792" s="17"/>
      <c r="Q1792" s="17"/>
    </row>
    <row r="1793" spans="2:17">
      <c r="B1793" s="15" t="str">
        <f t="shared" si="69"/>
        <v/>
      </c>
      <c r="C1793" s="16" t="str">
        <f>IFERROR(VLOOKUP(DATA!#REF!,DATA!#REF!,1,FALSE),"")</f>
        <v/>
      </c>
      <c r="D1793" s="16" t="str">
        <f>IFERROR(VLOOKUP(C1793,DATA!#REF!,2,FALSE),"")</f>
        <v/>
      </c>
      <c r="I1793" s="17"/>
      <c r="J1793" s="17"/>
      <c r="P1793" s="17"/>
      <c r="Q1793" s="17"/>
    </row>
    <row r="1794" spans="2:17">
      <c r="B1794" s="15" t="str">
        <f t="shared" si="69"/>
        <v/>
      </c>
      <c r="C1794" s="16" t="str">
        <f>IFERROR(VLOOKUP(DATA!#REF!,DATA!#REF!,1,FALSE),"")</f>
        <v/>
      </c>
      <c r="D1794" s="16" t="str">
        <f>IFERROR(VLOOKUP(C1794,DATA!#REF!,2,FALSE),"")</f>
        <v/>
      </c>
      <c r="I1794" s="17"/>
      <c r="J1794" s="17"/>
      <c r="P1794" s="17"/>
      <c r="Q1794" s="17"/>
    </row>
    <row r="1795" spans="2:17">
      <c r="B1795" s="15" t="str">
        <f t="shared" si="69"/>
        <v/>
      </c>
      <c r="C1795" s="16" t="str">
        <f>IFERROR(VLOOKUP(DATA!#REF!,DATA!#REF!,1,FALSE),"")</f>
        <v/>
      </c>
      <c r="D1795" s="16" t="str">
        <f>IFERROR(VLOOKUP(C1795,DATA!#REF!,2,FALSE),"")</f>
        <v/>
      </c>
      <c r="I1795" s="17"/>
      <c r="J1795" s="17"/>
      <c r="P1795" s="17"/>
      <c r="Q1795" s="17"/>
    </row>
    <row r="1796" spans="2:17">
      <c r="B1796" s="15" t="str">
        <f t="shared" si="69"/>
        <v/>
      </c>
      <c r="C1796" s="16" t="str">
        <f>IFERROR(VLOOKUP(DATA!#REF!,DATA!#REF!,1,FALSE),"")</f>
        <v/>
      </c>
      <c r="D1796" s="16" t="str">
        <f>IFERROR(VLOOKUP(C1796,DATA!#REF!,2,FALSE),"")</f>
        <v/>
      </c>
      <c r="I1796" s="17"/>
      <c r="J1796" s="17"/>
      <c r="P1796" s="17"/>
      <c r="Q1796" s="17"/>
    </row>
    <row r="1797" spans="2:17">
      <c r="B1797" s="15" t="str">
        <f t="shared" si="69"/>
        <v/>
      </c>
      <c r="C1797" s="16" t="str">
        <f>IFERROR(VLOOKUP(DATA!#REF!,DATA!#REF!,1,FALSE),"")</f>
        <v/>
      </c>
      <c r="D1797" s="16" t="str">
        <f>IFERROR(VLOOKUP(C1797,DATA!#REF!,2,FALSE),"")</f>
        <v/>
      </c>
      <c r="I1797" s="17"/>
      <c r="J1797" s="17"/>
      <c r="P1797" s="17"/>
      <c r="Q1797" s="17"/>
    </row>
    <row r="1798" spans="2:17">
      <c r="B1798" s="15" t="str">
        <f t="shared" si="69"/>
        <v/>
      </c>
      <c r="C1798" s="16" t="str">
        <f>IFERROR(VLOOKUP(DATA!#REF!,DATA!#REF!,1,FALSE),"")</f>
        <v/>
      </c>
      <c r="D1798" s="16" t="str">
        <f>IFERROR(VLOOKUP(C1798,DATA!#REF!,2,FALSE),"")</f>
        <v/>
      </c>
      <c r="I1798" s="17"/>
      <c r="J1798" s="17"/>
      <c r="P1798" s="17"/>
      <c r="Q1798" s="17"/>
    </row>
    <row r="1799" spans="2:17">
      <c r="B1799" s="15" t="str">
        <f t="shared" si="69"/>
        <v/>
      </c>
      <c r="C1799" s="16" t="str">
        <f>IFERROR(VLOOKUP(DATA!#REF!,DATA!#REF!,1,FALSE),"")</f>
        <v/>
      </c>
      <c r="D1799" s="16" t="str">
        <f>IFERROR(VLOOKUP(C1799,DATA!#REF!,2,FALSE),"")</f>
        <v/>
      </c>
      <c r="I1799" s="17"/>
      <c r="J1799" s="17"/>
      <c r="P1799" s="17"/>
      <c r="Q1799" s="17"/>
    </row>
    <row r="1800" spans="2:17">
      <c r="B1800" s="15" t="str">
        <f t="shared" si="69"/>
        <v/>
      </c>
      <c r="C1800" s="16" t="str">
        <f>IFERROR(VLOOKUP(DATA!#REF!,DATA!#REF!,1,FALSE),"")</f>
        <v/>
      </c>
      <c r="D1800" s="16" t="str">
        <f>IFERROR(VLOOKUP(C1800,DATA!#REF!,2,FALSE),"")</f>
        <v/>
      </c>
      <c r="I1800" s="17"/>
      <c r="J1800" s="17"/>
      <c r="P1800" s="17"/>
      <c r="Q1800" s="17"/>
    </row>
    <row r="1801" spans="2:17">
      <c r="B1801" s="15" t="str">
        <f t="shared" si="69"/>
        <v/>
      </c>
      <c r="C1801" s="16" t="str">
        <f>IFERROR(VLOOKUP(DATA!#REF!,DATA!#REF!,1,FALSE),"")</f>
        <v/>
      </c>
      <c r="D1801" s="16" t="str">
        <f>IFERROR(VLOOKUP(C1801,DATA!#REF!,2,FALSE),"")</f>
        <v/>
      </c>
      <c r="I1801" s="17"/>
      <c r="J1801" s="17"/>
      <c r="P1801" s="17"/>
      <c r="Q1801" s="17"/>
    </row>
    <row r="1802" spans="2:17">
      <c r="B1802" s="15" t="str">
        <f t="shared" si="69"/>
        <v/>
      </c>
      <c r="C1802" s="16" t="str">
        <f>IFERROR(VLOOKUP(DATA!#REF!,DATA!#REF!,1,FALSE),"")</f>
        <v/>
      </c>
      <c r="D1802" s="16" t="str">
        <f>IFERROR(VLOOKUP(C1802,DATA!#REF!,2,FALSE),"")</f>
        <v/>
      </c>
      <c r="I1802" s="17"/>
      <c r="J1802" s="17"/>
      <c r="P1802" s="17"/>
      <c r="Q1802" s="17"/>
    </row>
    <row r="1803" spans="2:17">
      <c r="B1803" s="15" t="str">
        <f t="shared" si="69"/>
        <v/>
      </c>
      <c r="C1803" s="16" t="str">
        <f>IFERROR(VLOOKUP(DATA!#REF!,DATA!#REF!,1,FALSE),"")</f>
        <v/>
      </c>
      <c r="D1803" s="16" t="str">
        <f>IFERROR(VLOOKUP(C1803,DATA!#REF!,2,FALSE),"")</f>
        <v/>
      </c>
      <c r="I1803" s="17"/>
      <c r="J1803" s="17"/>
      <c r="P1803" s="17"/>
      <c r="Q1803" s="17"/>
    </row>
    <row r="1804" spans="2:17">
      <c r="B1804" s="15" t="str">
        <f t="shared" si="69"/>
        <v/>
      </c>
      <c r="C1804" s="16" t="str">
        <f>IFERROR(VLOOKUP(DATA!#REF!,DATA!#REF!,1,FALSE),"")</f>
        <v/>
      </c>
      <c r="D1804" s="16" t="str">
        <f>IFERROR(VLOOKUP(C1804,DATA!#REF!,2,FALSE),"")</f>
        <v/>
      </c>
      <c r="I1804" s="17"/>
      <c r="J1804" s="17"/>
      <c r="P1804" s="17"/>
      <c r="Q1804" s="17"/>
    </row>
    <row r="1805" spans="2:17">
      <c r="B1805" s="15" t="str">
        <f t="shared" si="69"/>
        <v/>
      </c>
      <c r="C1805" s="16" t="str">
        <f>IFERROR(VLOOKUP(DATA!#REF!,DATA!#REF!,1,FALSE),"")</f>
        <v/>
      </c>
      <c r="D1805" s="16" t="str">
        <f>IFERROR(VLOOKUP(C1805,DATA!#REF!,2,FALSE),"")</f>
        <v/>
      </c>
      <c r="I1805" s="17"/>
      <c r="J1805" s="17"/>
      <c r="P1805" s="17"/>
      <c r="Q1805" s="17"/>
    </row>
    <row r="1806" spans="2:17">
      <c r="B1806" s="15" t="str">
        <f t="shared" si="69"/>
        <v/>
      </c>
      <c r="C1806" s="16" t="str">
        <f>IFERROR(VLOOKUP(DATA!#REF!,DATA!#REF!,1,FALSE),"")</f>
        <v/>
      </c>
      <c r="D1806" s="16" t="str">
        <f>IFERROR(VLOOKUP(C1806,DATA!#REF!,2,FALSE),"")</f>
        <v/>
      </c>
      <c r="I1806" s="17"/>
      <c r="J1806" s="17"/>
      <c r="P1806" s="17"/>
      <c r="Q1806" s="17"/>
    </row>
    <row r="1807" spans="2:17">
      <c r="B1807" s="15" t="str">
        <f t="shared" si="69"/>
        <v/>
      </c>
      <c r="C1807" s="16" t="str">
        <f>IFERROR(VLOOKUP(DATA!#REF!,DATA!#REF!,1,FALSE),"")</f>
        <v/>
      </c>
      <c r="D1807" s="16" t="str">
        <f>IFERROR(VLOOKUP(C1807,DATA!#REF!,2,FALSE),"")</f>
        <v/>
      </c>
      <c r="I1807" s="17"/>
      <c r="J1807" s="17"/>
      <c r="P1807" s="17"/>
      <c r="Q1807" s="17"/>
    </row>
    <row r="1808" spans="2:17">
      <c r="B1808" s="15" t="str">
        <f t="shared" si="69"/>
        <v/>
      </c>
      <c r="C1808" s="16" t="str">
        <f>IFERROR(VLOOKUP(DATA!#REF!,DATA!#REF!,1,FALSE),"")</f>
        <v/>
      </c>
      <c r="D1808" s="16" t="str">
        <f>IFERROR(VLOOKUP(C1808,DATA!#REF!,2,FALSE),"")</f>
        <v/>
      </c>
      <c r="I1808" s="17"/>
      <c r="J1808" s="17"/>
      <c r="P1808" s="17"/>
      <c r="Q1808" s="17"/>
    </row>
    <row r="1809" spans="2:17">
      <c r="B1809" s="15" t="str">
        <f t="shared" si="69"/>
        <v/>
      </c>
      <c r="C1809" s="16" t="str">
        <f>IFERROR(VLOOKUP(DATA!#REF!,DATA!#REF!,1,FALSE),"")</f>
        <v/>
      </c>
      <c r="D1809" s="16" t="str">
        <f>IFERROR(VLOOKUP(C1809,DATA!#REF!,2,FALSE),"")</f>
        <v/>
      </c>
      <c r="I1809" s="17"/>
      <c r="J1809" s="17"/>
      <c r="P1809" s="17"/>
      <c r="Q1809" s="17"/>
    </row>
    <row r="1810" spans="2:17">
      <c r="B1810" s="15" t="str">
        <f t="shared" si="69"/>
        <v/>
      </c>
      <c r="C1810" s="16" t="str">
        <f>IFERROR(VLOOKUP(DATA!#REF!,DATA!#REF!,1,FALSE),"")</f>
        <v/>
      </c>
      <c r="D1810" s="16" t="str">
        <f>IFERROR(VLOOKUP(C1810,DATA!#REF!,2,FALSE),"")</f>
        <v/>
      </c>
      <c r="I1810" s="17"/>
      <c r="J1810" s="17"/>
      <c r="P1810" s="17"/>
      <c r="Q1810" s="17"/>
    </row>
    <row r="1811" spans="2:17">
      <c r="B1811" s="15" t="str">
        <f t="shared" si="69"/>
        <v/>
      </c>
      <c r="C1811" s="16" t="str">
        <f>IFERROR(VLOOKUP(DATA!#REF!,DATA!#REF!,1,FALSE),"")</f>
        <v/>
      </c>
      <c r="D1811" s="16" t="str">
        <f>IFERROR(VLOOKUP(C1811,DATA!#REF!,2,FALSE),"")</f>
        <v/>
      </c>
      <c r="I1811" s="17"/>
      <c r="J1811" s="17"/>
      <c r="P1811" s="17"/>
      <c r="Q1811" s="17"/>
    </row>
    <row r="1812" spans="2:17">
      <c r="B1812" s="15" t="str">
        <f t="shared" si="69"/>
        <v/>
      </c>
      <c r="C1812" s="16" t="str">
        <f>IFERROR(VLOOKUP(DATA!#REF!,DATA!#REF!,1,FALSE),"")</f>
        <v/>
      </c>
      <c r="D1812" s="16" t="str">
        <f>IFERROR(VLOOKUP(C1812,DATA!#REF!,2,FALSE),"")</f>
        <v/>
      </c>
      <c r="I1812" s="17"/>
      <c r="J1812" s="17"/>
      <c r="P1812" s="17"/>
      <c r="Q1812" s="17"/>
    </row>
    <row r="1813" spans="2:17">
      <c r="B1813" s="15" t="str">
        <f t="shared" si="69"/>
        <v/>
      </c>
      <c r="C1813" s="16" t="str">
        <f>IFERROR(VLOOKUP(DATA!#REF!,DATA!#REF!,1,FALSE),"")</f>
        <v/>
      </c>
      <c r="D1813" s="16" t="str">
        <f>IFERROR(VLOOKUP(C1813,DATA!#REF!,2,FALSE),"")</f>
        <v/>
      </c>
      <c r="I1813" s="17"/>
      <c r="J1813" s="17"/>
      <c r="P1813" s="17"/>
      <c r="Q1813" s="17"/>
    </row>
    <row r="1814" spans="2:17">
      <c r="B1814" s="15" t="str">
        <f t="shared" si="69"/>
        <v/>
      </c>
      <c r="C1814" s="16" t="str">
        <f>IFERROR(VLOOKUP(DATA!#REF!,DATA!#REF!,1,FALSE),"")</f>
        <v/>
      </c>
      <c r="D1814" s="16" t="str">
        <f>IFERROR(VLOOKUP(C1814,DATA!#REF!,2,FALSE),"")</f>
        <v/>
      </c>
      <c r="I1814" s="17"/>
      <c r="J1814" s="17"/>
      <c r="P1814" s="17"/>
      <c r="Q1814" s="17"/>
    </row>
    <row r="1815" spans="2:17">
      <c r="B1815" s="15" t="str">
        <f t="shared" si="69"/>
        <v/>
      </c>
      <c r="C1815" s="16" t="str">
        <f>IFERROR(VLOOKUP(DATA!#REF!,DATA!#REF!,1,FALSE),"")</f>
        <v/>
      </c>
      <c r="D1815" s="16" t="str">
        <f>IFERROR(VLOOKUP(C1815,DATA!#REF!,2,FALSE),"")</f>
        <v/>
      </c>
      <c r="I1815" s="17"/>
      <c r="J1815" s="17"/>
      <c r="P1815" s="17"/>
      <c r="Q1815" s="17"/>
    </row>
    <row r="1816" spans="2:17">
      <c r="B1816" s="15" t="str">
        <f t="shared" si="69"/>
        <v/>
      </c>
      <c r="C1816" s="16" t="str">
        <f>IFERROR(VLOOKUP(DATA!#REF!,DATA!#REF!,1,FALSE),"")</f>
        <v/>
      </c>
      <c r="D1816" s="16" t="str">
        <f>IFERROR(VLOOKUP(C1816,DATA!#REF!,2,FALSE),"")</f>
        <v/>
      </c>
      <c r="I1816" s="17"/>
      <c r="J1816" s="17"/>
      <c r="P1816" s="17"/>
      <c r="Q1816" s="17"/>
    </row>
    <row r="1817" spans="2:17">
      <c r="B1817" s="15" t="str">
        <f t="shared" si="69"/>
        <v/>
      </c>
      <c r="C1817" s="16" t="str">
        <f>IFERROR(VLOOKUP(DATA!#REF!,DATA!#REF!,1,FALSE),"")</f>
        <v/>
      </c>
      <c r="D1817" s="16" t="str">
        <f>IFERROR(VLOOKUP(C1817,DATA!#REF!,2,FALSE),"")</f>
        <v/>
      </c>
      <c r="I1817" s="17"/>
      <c r="J1817" s="17"/>
      <c r="P1817" s="17"/>
      <c r="Q1817" s="17"/>
    </row>
    <row r="1818" spans="2:17">
      <c r="B1818" s="15" t="str">
        <f t="shared" si="69"/>
        <v/>
      </c>
      <c r="C1818" s="16" t="str">
        <f>IFERROR(VLOOKUP(DATA!#REF!,DATA!#REF!,1,FALSE),"")</f>
        <v/>
      </c>
      <c r="D1818" s="16" t="str">
        <f>IFERROR(VLOOKUP(C1818,DATA!#REF!,2,FALSE),"")</f>
        <v/>
      </c>
      <c r="I1818" s="17"/>
      <c r="J1818" s="17"/>
      <c r="P1818" s="17"/>
      <c r="Q1818" s="17"/>
    </row>
    <row r="1819" spans="2:17">
      <c r="B1819" s="15" t="str">
        <f t="shared" si="69"/>
        <v/>
      </c>
      <c r="C1819" s="16" t="str">
        <f>IFERROR(VLOOKUP(DATA!#REF!,DATA!#REF!,1,FALSE),"")</f>
        <v/>
      </c>
      <c r="D1819" s="16" t="str">
        <f>IFERROR(VLOOKUP(C1819,DATA!#REF!,2,FALSE),"")</f>
        <v/>
      </c>
      <c r="I1819" s="17"/>
      <c r="J1819" s="17"/>
      <c r="P1819" s="17"/>
      <c r="Q1819" s="17"/>
    </row>
    <row r="1820" spans="2:17">
      <c r="B1820" s="15" t="str">
        <f t="shared" si="69"/>
        <v/>
      </c>
      <c r="C1820" s="16" t="str">
        <f>IFERROR(VLOOKUP(DATA!#REF!,DATA!#REF!,1,FALSE),"")</f>
        <v/>
      </c>
      <c r="D1820" s="16" t="str">
        <f>IFERROR(VLOOKUP(C1820,DATA!#REF!,2,FALSE),"")</f>
        <v/>
      </c>
      <c r="I1820" s="17"/>
      <c r="J1820" s="17"/>
      <c r="P1820" s="17"/>
      <c r="Q1820" s="17"/>
    </row>
    <row r="1821" spans="2:17">
      <c r="B1821" s="15" t="str">
        <f t="shared" si="69"/>
        <v/>
      </c>
      <c r="C1821" s="16" t="str">
        <f>IFERROR(VLOOKUP(DATA!#REF!,DATA!#REF!,1,FALSE),"")</f>
        <v/>
      </c>
      <c r="D1821" s="16" t="str">
        <f>IFERROR(VLOOKUP(C1821,DATA!#REF!,2,FALSE),"")</f>
        <v/>
      </c>
      <c r="I1821" s="17"/>
      <c r="J1821" s="17"/>
      <c r="P1821" s="17"/>
      <c r="Q1821" s="17"/>
    </row>
    <row r="1822" spans="2:17">
      <c r="B1822" s="15" t="str">
        <f t="shared" si="69"/>
        <v/>
      </c>
      <c r="C1822" s="16" t="str">
        <f>IFERROR(VLOOKUP(DATA!#REF!,DATA!#REF!,1,FALSE),"")</f>
        <v/>
      </c>
      <c r="D1822" s="16" t="str">
        <f>IFERROR(VLOOKUP(C1822,DATA!#REF!,2,FALSE),"")</f>
        <v/>
      </c>
      <c r="I1822" s="17"/>
      <c r="J1822" s="17"/>
      <c r="P1822" s="17"/>
      <c r="Q1822" s="17"/>
    </row>
    <row r="1823" spans="2:17">
      <c r="B1823" s="15" t="str">
        <f t="shared" si="69"/>
        <v/>
      </c>
      <c r="C1823" s="16" t="str">
        <f>IFERROR(VLOOKUP(DATA!#REF!,DATA!#REF!,1,FALSE),"")</f>
        <v/>
      </c>
      <c r="D1823" s="16" t="str">
        <f>IFERROR(VLOOKUP(C1823,DATA!#REF!,2,FALSE),"")</f>
        <v/>
      </c>
      <c r="I1823" s="17"/>
      <c r="J1823" s="17"/>
      <c r="P1823" s="17"/>
      <c r="Q1823" s="17"/>
    </row>
    <row r="1824" spans="2:17">
      <c r="B1824" s="15" t="str">
        <f t="shared" si="69"/>
        <v/>
      </c>
      <c r="C1824" s="16" t="str">
        <f>IFERROR(VLOOKUP(DATA!#REF!,DATA!#REF!,1,FALSE),"")</f>
        <v/>
      </c>
      <c r="D1824" s="16" t="str">
        <f>IFERROR(VLOOKUP(C1824,DATA!#REF!,2,FALSE),"")</f>
        <v/>
      </c>
      <c r="I1824" s="17"/>
      <c r="J1824" s="17"/>
      <c r="P1824" s="17"/>
      <c r="Q1824" s="17"/>
    </row>
    <row r="1825" spans="2:17">
      <c r="B1825" s="15" t="str">
        <f t="shared" si="69"/>
        <v/>
      </c>
      <c r="C1825" s="16" t="str">
        <f>IFERROR(VLOOKUP(DATA!#REF!,DATA!#REF!,1,FALSE),"")</f>
        <v/>
      </c>
      <c r="D1825" s="16" t="str">
        <f>IFERROR(VLOOKUP(C1825,DATA!#REF!,2,FALSE),"")</f>
        <v/>
      </c>
      <c r="I1825" s="17"/>
      <c r="J1825" s="17"/>
      <c r="P1825" s="17"/>
      <c r="Q1825" s="17"/>
    </row>
    <row r="1826" spans="2:17">
      <c r="B1826" s="15" t="str">
        <f t="shared" si="69"/>
        <v/>
      </c>
      <c r="C1826" s="16" t="str">
        <f>IFERROR(VLOOKUP(DATA!#REF!,DATA!#REF!,1,FALSE),"")</f>
        <v/>
      </c>
      <c r="D1826" s="16" t="str">
        <f>IFERROR(VLOOKUP(C1826,DATA!#REF!,2,FALSE),"")</f>
        <v/>
      </c>
      <c r="I1826" s="17"/>
      <c r="J1826" s="17"/>
      <c r="P1826" s="17"/>
      <c r="Q1826" s="17"/>
    </row>
    <row r="1827" spans="2:17">
      <c r="B1827" s="15" t="str">
        <f t="shared" si="69"/>
        <v/>
      </c>
      <c r="C1827" s="16" t="str">
        <f>IFERROR(VLOOKUP(DATA!#REF!,DATA!#REF!,1,FALSE),"")</f>
        <v/>
      </c>
      <c r="D1827" s="16" t="str">
        <f>IFERROR(VLOOKUP(C1827,DATA!#REF!,2,FALSE),"")</f>
        <v/>
      </c>
      <c r="I1827" s="17"/>
      <c r="J1827" s="17"/>
      <c r="P1827" s="17"/>
      <c r="Q1827" s="17"/>
    </row>
    <row r="1828" spans="2:17">
      <c r="B1828" s="15" t="str">
        <f t="shared" si="69"/>
        <v/>
      </c>
      <c r="C1828" s="16" t="str">
        <f>IFERROR(VLOOKUP(DATA!#REF!,DATA!#REF!,1,FALSE),"")</f>
        <v/>
      </c>
      <c r="D1828" s="16" t="str">
        <f>IFERROR(VLOOKUP(C1828,DATA!#REF!,2,FALSE),"")</f>
        <v/>
      </c>
      <c r="I1828" s="17"/>
      <c r="J1828" s="17"/>
      <c r="P1828" s="17"/>
      <c r="Q1828" s="17"/>
    </row>
    <row r="1829" spans="2:17">
      <c r="B1829" s="15" t="str">
        <f t="shared" si="69"/>
        <v/>
      </c>
      <c r="C1829" s="16" t="str">
        <f>IFERROR(VLOOKUP(DATA!#REF!,DATA!#REF!,1,FALSE),"")</f>
        <v/>
      </c>
      <c r="D1829" s="16" t="str">
        <f>IFERROR(VLOOKUP(C1829,DATA!#REF!,2,FALSE),"")</f>
        <v/>
      </c>
      <c r="I1829" s="17"/>
      <c r="J1829" s="17"/>
      <c r="P1829" s="17"/>
      <c r="Q1829" s="17"/>
    </row>
    <row r="1830" spans="2:17">
      <c r="B1830" s="15" t="str">
        <f t="shared" si="69"/>
        <v/>
      </c>
      <c r="C1830" s="16" t="str">
        <f>IFERROR(VLOOKUP(DATA!#REF!,DATA!#REF!,1,FALSE),"")</f>
        <v/>
      </c>
      <c r="D1830" s="16" t="str">
        <f>IFERROR(VLOOKUP(C1830,DATA!#REF!,2,FALSE),"")</f>
        <v/>
      </c>
      <c r="I1830" s="17"/>
      <c r="J1830" s="17"/>
      <c r="P1830" s="17"/>
      <c r="Q1830" s="17"/>
    </row>
    <row r="1831" spans="2:17">
      <c r="B1831" s="15" t="str">
        <f t="shared" si="69"/>
        <v/>
      </c>
      <c r="C1831" s="16" t="str">
        <f>IFERROR(VLOOKUP(DATA!#REF!,DATA!#REF!,1,FALSE),"")</f>
        <v/>
      </c>
      <c r="D1831" s="16" t="str">
        <f>IFERROR(VLOOKUP(C1831,DATA!#REF!,2,FALSE),"")</f>
        <v/>
      </c>
      <c r="I1831" s="17"/>
      <c r="J1831" s="17"/>
      <c r="P1831" s="17"/>
      <c r="Q1831" s="17"/>
    </row>
    <row r="1832" spans="2:17">
      <c r="B1832" s="15" t="str">
        <f t="shared" si="69"/>
        <v/>
      </c>
      <c r="C1832" s="16" t="str">
        <f>IFERROR(VLOOKUP(DATA!#REF!,DATA!#REF!,1,FALSE),"")</f>
        <v/>
      </c>
      <c r="D1832" s="16" t="str">
        <f>IFERROR(VLOOKUP(C1832,DATA!#REF!,2,FALSE),"")</f>
        <v/>
      </c>
      <c r="I1832" s="17"/>
      <c r="J1832" s="17"/>
      <c r="P1832" s="17"/>
      <c r="Q1832" s="17"/>
    </row>
    <row r="1833" spans="2:17">
      <c r="B1833" s="15" t="str">
        <f t="shared" si="69"/>
        <v/>
      </c>
      <c r="C1833" s="16" t="str">
        <f>IFERROR(VLOOKUP(DATA!#REF!,DATA!#REF!,1,FALSE),"")</f>
        <v/>
      </c>
      <c r="D1833" s="16" t="str">
        <f>IFERROR(VLOOKUP(C1833,DATA!#REF!,2,FALSE),"")</f>
        <v/>
      </c>
      <c r="I1833" s="17"/>
      <c r="J1833" s="17"/>
      <c r="P1833" s="17"/>
      <c r="Q1833" s="17"/>
    </row>
    <row r="1834" spans="2:17">
      <c r="B1834" s="15" t="str">
        <f t="shared" si="69"/>
        <v/>
      </c>
      <c r="C1834" s="16" t="str">
        <f>IFERROR(VLOOKUP(DATA!#REF!,DATA!#REF!,1,FALSE),"")</f>
        <v/>
      </c>
      <c r="D1834" s="16" t="str">
        <f>IFERROR(VLOOKUP(C1834,DATA!#REF!,2,FALSE),"")</f>
        <v/>
      </c>
      <c r="I1834" s="17"/>
      <c r="J1834" s="17"/>
      <c r="P1834" s="17"/>
      <c r="Q1834" s="17"/>
    </row>
    <row r="1835" spans="2:17">
      <c r="B1835" s="15" t="str">
        <f t="shared" si="69"/>
        <v/>
      </c>
      <c r="C1835" s="16" t="str">
        <f>IFERROR(VLOOKUP(DATA!#REF!,DATA!#REF!,1,FALSE),"")</f>
        <v/>
      </c>
      <c r="D1835" s="16" t="str">
        <f>IFERROR(VLOOKUP(C1835,DATA!#REF!,2,FALSE),"")</f>
        <v/>
      </c>
      <c r="I1835" s="17"/>
      <c r="J1835" s="17"/>
      <c r="P1835" s="17"/>
      <c r="Q1835" s="17"/>
    </row>
    <row r="1836" spans="2:17">
      <c r="B1836" s="15" t="str">
        <f t="shared" si="69"/>
        <v/>
      </c>
      <c r="C1836" s="16" t="str">
        <f>IFERROR(VLOOKUP(DATA!#REF!,DATA!#REF!,1,FALSE),"")</f>
        <v/>
      </c>
      <c r="D1836" s="16" t="str">
        <f>IFERROR(VLOOKUP(C1836,DATA!#REF!,2,FALSE),"")</f>
        <v/>
      </c>
      <c r="I1836" s="17"/>
      <c r="J1836" s="17"/>
      <c r="P1836" s="17"/>
      <c r="Q1836" s="17"/>
    </row>
    <row r="1837" spans="2:17">
      <c r="B1837" s="15" t="str">
        <f t="shared" si="69"/>
        <v/>
      </c>
      <c r="C1837" s="16" t="str">
        <f>IFERROR(VLOOKUP(DATA!#REF!,DATA!#REF!,1,FALSE),"")</f>
        <v/>
      </c>
      <c r="D1837" s="16" t="str">
        <f>IFERROR(VLOOKUP(C1837,DATA!#REF!,2,FALSE),"")</f>
        <v/>
      </c>
      <c r="I1837" s="17"/>
      <c r="J1837" s="17"/>
      <c r="P1837" s="17"/>
      <c r="Q1837" s="17"/>
    </row>
    <row r="1838" spans="2:17">
      <c r="B1838" s="15" t="str">
        <f t="shared" si="69"/>
        <v/>
      </c>
      <c r="C1838" s="16" t="str">
        <f>IFERROR(VLOOKUP(DATA!#REF!,DATA!#REF!,1,FALSE),"")</f>
        <v/>
      </c>
      <c r="D1838" s="16" t="str">
        <f>IFERROR(VLOOKUP(C1838,DATA!#REF!,2,FALSE),"")</f>
        <v/>
      </c>
      <c r="I1838" s="17"/>
      <c r="J1838" s="17"/>
      <c r="P1838" s="17"/>
      <c r="Q1838" s="17"/>
    </row>
    <row r="1839" spans="2:17">
      <c r="B1839" s="15" t="str">
        <f t="shared" si="69"/>
        <v/>
      </c>
      <c r="C1839" s="16" t="str">
        <f>IFERROR(VLOOKUP(DATA!#REF!,DATA!#REF!,1,FALSE),"")</f>
        <v/>
      </c>
      <c r="D1839" s="16" t="str">
        <f>IFERROR(VLOOKUP(C1839,DATA!#REF!,2,FALSE),"")</f>
        <v/>
      </c>
      <c r="I1839" s="17"/>
      <c r="J1839" s="17"/>
      <c r="P1839" s="17"/>
      <c r="Q1839" s="17"/>
    </row>
    <row r="1840" spans="2:17">
      <c r="B1840" s="15" t="str">
        <f t="shared" si="69"/>
        <v/>
      </c>
      <c r="C1840" s="16" t="str">
        <f>IFERROR(VLOOKUP(DATA!#REF!,DATA!#REF!,1,FALSE),"")</f>
        <v/>
      </c>
      <c r="D1840" s="16" t="str">
        <f>IFERROR(VLOOKUP(C1840,DATA!#REF!,2,FALSE),"")</f>
        <v/>
      </c>
      <c r="I1840" s="17"/>
      <c r="J1840" s="17"/>
      <c r="P1840" s="17"/>
      <c r="Q1840" s="17"/>
    </row>
    <row r="1841" spans="2:17">
      <c r="B1841" s="15" t="str">
        <f t="shared" si="69"/>
        <v/>
      </c>
      <c r="C1841" s="16" t="str">
        <f>IFERROR(VLOOKUP(DATA!#REF!,DATA!#REF!,1,FALSE),"")</f>
        <v/>
      </c>
      <c r="D1841" s="16" t="str">
        <f>IFERROR(VLOOKUP(C1841,DATA!#REF!,2,FALSE),"")</f>
        <v/>
      </c>
      <c r="I1841" s="17"/>
      <c r="J1841" s="17"/>
      <c r="P1841" s="17"/>
      <c r="Q1841" s="17"/>
    </row>
    <row r="1842" spans="2:17">
      <c r="B1842" s="15" t="str">
        <f t="shared" si="69"/>
        <v/>
      </c>
      <c r="C1842" s="16" t="str">
        <f>IFERROR(VLOOKUP(DATA!#REF!,DATA!#REF!,1,FALSE),"")</f>
        <v/>
      </c>
      <c r="D1842" s="16" t="str">
        <f>IFERROR(VLOOKUP(C1842,DATA!#REF!,2,FALSE),"")</f>
        <v/>
      </c>
      <c r="I1842" s="17"/>
      <c r="J1842" s="17"/>
      <c r="P1842" s="17"/>
      <c r="Q1842" s="17"/>
    </row>
    <row r="1843" spans="2:17">
      <c r="B1843" s="15" t="str">
        <f t="shared" si="69"/>
        <v/>
      </c>
      <c r="C1843" s="16" t="str">
        <f>IFERROR(VLOOKUP(DATA!#REF!,DATA!#REF!,1,FALSE),"")</f>
        <v/>
      </c>
      <c r="D1843" s="16" t="str">
        <f>IFERROR(VLOOKUP(C1843,DATA!#REF!,2,FALSE),"")</f>
        <v/>
      </c>
      <c r="I1843" s="17"/>
      <c r="J1843" s="17"/>
      <c r="P1843" s="17"/>
      <c r="Q1843" s="17"/>
    </row>
    <row r="1844" spans="2:17">
      <c r="B1844" s="15" t="str">
        <f t="shared" si="69"/>
        <v/>
      </c>
      <c r="C1844" s="16" t="str">
        <f>IFERROR(VLOOKUP(DATA!#REF!,DATA!#REF!,1,FALSE),"")</f>
        <v/>
      </c>
      <c r="D1844" s="16" t="str">
        <f>IFERROR(VLOOKUP(C1844,DATA!#REF!,2,FALSE),"")</f>
        <v/>
      </c>
      <c r="I1844" s="17"/>
      <c r="J1844" s="17"/>
      <c r="P1844" s="17"/>
      <c r="Q1844" s="17"/>
    </row>
    <row r="1845" spans="2:17">
      <c r="B1845" s="15" t="str">
        <f t="shared" si="69"/>
        <v/>
      </c>
      <c r="C1845" s="16" t="str">
        <f>IFERROR(VLOOKUP(DATA!#REF!,DATA!#REF!,1,FALSE),"")</f>
        <v/>
      </c>
      <c r="D1845" s="16" t="str">
        <f>IFERROR(VLOOKUP(C1845,DATA!#REF!,2,FALSE),"")</f>
        <v/>
      </c>
      <c r="I1845" s="17"/>
      <c r="J1845" s="17"/>
      <c r="P1845" s="17"/>
      <c r="Q1845" s="17"/>
    </row>
    <row r="1846" spans="2:17">
      <c r="B1846" s="15" t="str">
        <f t="shared" si="69"/>
        <v/>
      </c>
      <c r="C1846" s="16" t="str">
        <f>IFERROR(VLOOKUP(DATA!#REF!,DATA!#REF!,1,FALSE),"")</f>
        <v/>
      </c>
      <c r="D1846" s="16" t="str">
        <f>IFERROR(VLOOKUP(C1846,DATA!#REF!,2,FALSE),"")</f>
        <v/>
      </c>
      <c r="I1846" s="17"/>
      <c r="J1846" s="17"/>
      <c r="P1846" s="17"/>
      <c r="Q1846" s="17"/>
    </row>
    <row r="1847" spans="2:17">
      <c r="B1847" s="15" t="str">
        <f t="shared" ref="B1847:B1910" si="70">+IF(C1847="","",ROW()-5)</f>
        <v/>
      </c>
      <c r="C1847" s="16" t="str">
        <f>IFERROR(VLOOKUP(DATA!#REF!,DATA!#REF!,1,FALSE),"")</f>
        <v/>
      </c>
      <c r="D1847" s="16" t="str">
        <f>IFERROR(VLOOKUP(C1847,DATA!#REF!,2,FALSE),"")</f>
        <v/>
      </c>
      <c r="I1847" s="17"/>
      <c r="J1847" s="17"/>
      <c r="P1847" s="17"/>
      <c r="Q1847" s="17"/>
    </row>
    <row r="1848" spans="2:17">
      <c r="B1848" s="15" t="str">
        <f t="shared" si="70"/>
        <v/>
      </c>
      <c r="C1848" s="16" t="str">
        <f>IFERROR(VLOOKUP(DATA!#REF!,DATA!#REF!,1,FALSE),"")</f>
        <v/>
      </c>
      <c r="D1848" s="16" t="str">
        <f>IFERROR(VLOOKUP(C1848,DATA!#REF!,2,FALSE),"")</f>
        <v/>
      </c>
      <c r="I1848" s="17"/>
      <c r="J1848" s="17"/>
      <c r="P1848" s="17"/>
      <c r="Q1848" s="17"/>
    </row>
    <row r="1849" spans="2:17">
      <c r="B1849" s="15" t="str">
        <f t="shared" si="70"/>
        <v/>
      </c>
      <c r="C1849" s="16" t="str">
        <f>IFERROR(VLOOKUP(DATA!#REF!,DATA!#REF!,1,FALSE),"")</f>
        <v/>
      </c>
      <c r="D1849" s="16" t="str">
        <f>IFERROR(VLOOKUP(C1849,DATA!#REF!,2,FALSE),"")</f>
        <v/>
      </c>
      <c r="I1849" s="17"/>
      <c r="J1849" s="17"/>
      <c r="P1849" s="17"/>
      <c r="Q1849" s="17"/>
    </row>
    <row r="1850" spans="2:17">
      <c r="B1850" s="15" t="str">
        <f t="shared" si="70"/>
        <v/>
      </c>
      <c r="C1850" s="16" t="str">
        <f>IFERROR(VLOOKUP(DATA!#REF!,DATA!#REF!,1,FALSE),"")</f>
        <v/>
      </c>
      <c r="D1850" s="16" t="str">
        <f>IFERROR(VLOOKUP(C1850,DATA!#REF!,2,FALSE),"")</f>
        <v/>
      </c>
      <c r="I1850" s="17"/>
      <c r="J1850" s="17"/>
      <c r="P1850" s="17"/>
      <c r="Q1850" s="17"/>
    </row>
    <row r="1851" spans="2:17">
      <c r="B1851" s="15" t="str">
        <f t="shared" si="70"/>
        <v/>
      </c>
      <c r="C1851" s="16" t="str">
        <f>IFERROR(VLOOKUP(DATA!#REF!,DATA!#REF!,1,FALSE),"")</f>
        <v/>
      </c>
      <c r="D1851" s="16" t="str">
        <f>IFERROR(VLOOKUP(C1851,DATA!#REF!,2,FALSE),"")</f>
        <v/>
      </c>
      <c r="I1851" s="17"/>
      <c r="J1851" s="17"/>
      <c r="P1851" s="17"/>
      <c r="Q1851" s="17"/>
    </row>
    <row r="1852" spans="2:17">
      <c r="B1852" s="15" t="str">
        <f t="shared" si="70"/>
        <v/>
      </c>
      <c r="C1852" s="16" t="str">
        <f>IFERROR(VLOOKUP(DATA!#REF!,DATA!#REF!,1,FALSE),"")</f>
        <v/>
      </c>
      <c r="D1852" s="16" t="str">
        <f>IFERROR(VLOOKUP(C1852,DATA!#REF!,2,FALSE),"")</f>
        <v/>
      </c>
      <c r="I1852" s="17"/>
      <c r="J1852" s="17"/>
      <c r="P1852" s="17"/>
      <c r="Q1852" s="17"/>
    </row>
    <row r="1853" spans="2:17">
      <c r="B1853" s="15" t="str">
        <f t="shared" si="70"/>
        <v/>
      </c>
      <c r="C1853" s="16" t="str">
        <f>IFERROR(VLOOKUP(DATA!#REF!,DATA!#REF!,1,FALSE),"")</f>
        <v/>
      </c>
      <c r="D1853" s="16" t="str">
        <f>IFERROR(VLOOKUP(C1853,DATA!#REF!,2,FALSE),"")</f>
        <v/>
      </c>
      <c r="I1853" s="17"/>
      <c r="J1853" s="17"/>
      <c r="P1853" s="17"/>
      <c r="Q1853" s="17"/>
    </row>
    <row r="1854" spans="2:17">
      <c r="B1854" s="15" t="str">
        <f t="shared" si="70"/>
        <v/>
      </c>
      <c r="C1854" s="16" t="str">
        <f>IFERROR(VLOOKUP(DATA!#REF!,DATA!#REF!,1,FALSE),"")</f>
        <v/>
      </c>
      <c r="D1854" s="16" t="str">
        <f>IFERROR(VLOOKUP(C1854,DATA!#REF!,2,FALSE),"")</f>
        <v/>
      </c>
      <c r="I1854" s="17"/>
      <c r="J1854" s="17"/>
      <c r="P1854" s="17"/>
      <c r="Q1854" s="17"/>
    </row>
    <row r="1855" spans="2:17">
      <c r="B1855" s="15" t="str">
        <f t="shared" si="70"/>
        <v/>
      </c>
      <c r="C1855" s="16" t="str">
        <f>IFERROR(VLOOKUP(DATA!#REF!,DATA!#REF!,1,FALSE),"")</f>
        <v/>
      </c>
      <c r="D1855" s="16" t="str">
        <f>IFERROR(VLOOKUP(C1855,DATA!#REF!,2,FALSE),"")</f>
        <v/>
      </c>
      <c r="I1855" s="17"/>
      <c r="J1855" s="17"/>
      <c r="P1855" s="17"/>
      <c r="Q1855" s="17"/>
    </row>
    <row r="1856" spans="2:17">
      <c r="B1856" s="15" t="str">
        <f t="shared" si="70"/>
        <v/>
      </c>
      <c r="C1856" s="16" t="str">
        <f>IFERROR(VLOOKUP(DATA!#REF!,DATA!#REF!,1,FALSE),"")</f>
        <v/>
      </c>
      <c r="D1856" s="16" t="str">
        <f>IFERROR(VLOOKUP(C1856,DATA!#REF!,2,FALSE),"")</f>
        <v/>
      </c>
      <c r="I1856" s="17"/>
      <c r="J1856" s="17"/>
      <c r="P1856" s="17"/>
      <c r="Q1856" s="17"/>
    </row>
    <row r="1857" spans="2:17">
      <c r="B1857" s="15" t="str">
        <f t="shared" si="70"/>
        <v/>
      </c>
      <c r="C1857" s="16" t="str">
        <f>IFERROR(VLOOKUP(DATA!#REF!,DATA!#REF!,1,FALSE),"")</f>
        <v/>
      </c>
      <c r="D1857" s="16" t="str">
        <f>IFERROR(VLOOKUP(C1857,DATA!#REF!,2,FALSE),"")</f>
        <v/>
      </c>
      <c r="I1857" s="17"/>
      <c r="J1857" s="17"/>
      <c r="P1857" s="17"/>
      <c r="Q1857" s="17"/>
    </row>
    <row r="1858" spans="2:17">
      <c r="B1858" s="15" t="str">
        <f t="shared" si="70"/>
        <v/>
      </c>
      <c r="C1858" s="16" t="str">
        <f>IFERROR(VLOOKUP(DATA!#REF!,DATA!#REF!,1,FALSE),"")</f>
        <v/>
      </c>
      <c r="D1858" s="16" t="str">
        <f>IFERROR(VLOOKUP(C1858,DATA!#REF!,2,FALSE),"")</f>
        <v/>
      </c>
      <c r="I1858" s="17"/>
      <c r="J1858" s="17"/>
      <c r="P1858" s="17"/>
      <c r="Q1858" s="17"/>
    </row>
    <row r="1859" spans="2:17">
      <c r="B1859" s="15" t="str">
        <f t="shared" si="70"/>
        <v/>
      </c>
      <c r="C1859" s="16" t="str">
        <f>IFERROR(VLOOKUP(DATA!#REF!,DATA!#REF!,1,FALSE),"")</f>
        <v/>
      </c>
      <c r="D1859" s="16" t="str">
        <f>IFERROR(VLOOKUP(C1859,DATA!#REF!,2,FALSE),"")</f>
        <v/>
      </c>
      <c r="I1859" s="17"/>
      <c r="J1859" s="17"/>
      <c r="P1859" s="17"/>
      <c r="Q1859" s="17"/>
    </row>
    <row r="1860" spans="2:17">
      <c r="B1860" s="15" t="str">
        <f t="shared" si="70"/>
        <v/>
      </c>
      <c r="C1860" s="16" t="str">
        <f>IFERROR(VLOOKUP(DATA!#REF!,DATA!#REF!,1,FALSE),"")</f>
        <v/>
      </c>
      <c r="D1860" s="16" t="str">
        <f>IFERROR(VLOOKUP(C1860,DATA!#REF!,2,FALSE),"")</f>
        <v/>
      </c>
      <c r="I1860" s="17"/>
      <c r="J1860" s="17"/>
      <c r="P1860" s="17"/>
      <c r="Q1860" s="17"/>
    </row>
    <row r="1861" spans="2:17">
      <c r="B1861" s="15" t="str">
        <f t="shared" si="70"/>
        <v/>
      </c>
      <c r="C1861" s="16" t="str">
        <f>IFERROR(VLOOKUP(DATA!#REF!,DATA!#REF!,1,FALSE),"")</f>
        <v/>
      </c>
      <c r="D1861" s="16" t="str">
        <f>IFERROR(VLOOKUP(C1861,DATA!#REF!,2,FALSE),"")</f>
        <v/>
      </c>
      <c r="I1861" s="17"/>
      <c r="J1861" s="17"/>
      <c r="P1861" s="17"/>
      <c r="Q1861" s="17"/>
    </row>
    <row r="1862" spans="2:17">
      <c r="B1862" s="15" t="str">
        <f t="shared" si="70"/>
        <v/>
      </c>
      <c r="C1862" s="16" t="str">
        <f>IFERROR(VLOOKUP(DATA!#REF!,DATA!#REF!,1,FALSE),"")</f>
        <v/>
      </c>
      <c r="D1862" s="16" t="str">
        <f>IFERROR(VLOOKUP(C1862,DATA!#REF!,2,FALSE),"")</f>
        <v/>
      </c>
      <c r="I1862" s="17"/>
      <c r="J1862" s="17"/>
      <c r="P1862" s="17"/>
      <c r="Q1862" s="17"/>
    </row>
    <row r="1863" spans="2:17">
      <c r="B1863" s="15" t="str">
        <f t="shared" si="70"/>
        <v/>
      </c>
      <c r="C1863" s="16" t="str">
        <f>IFERROR(VLOOKUP(DATA!#REF!,DATA!#REF!,1,FALSE),"")</f>
        <v/>
      </c>
      <c r="D1863" s="16" t="str">
        <f>IFERROR(VLOOKUP(C1863,DATA!#REF!,2,FALSE),"")</f>
        <v/>
      </c>
      <c r="I1863" s="17"/>
      <c r="J1863" s="17"/>
      <c r="P1863" s="17"/>
      <c r="Q1863" s="17"/>
    </row>
    <row r="1864" spans="2:17">
      <c r="B1864" s="15" t="str">
        <f t="shared" si="70"/>
        <v/>
      </c>
      <c r="C1864" s="16" t="str">
        <f>IFERROR(VLOOKUP(DATA!#REF!,DATA!#REF!,1,FALSE),"")</f>
        <v/>
      </c>
      <c r="D1864" s="16" t="str">
        <f>IFERROR(VLOOKUP(C1864,DATA!#REF!,2,FALSE),"")</f>
        <v/>
      </c>
      <c r="I1864" s="17"/>
      <c r="J1864" s="17"/>
      <c r="P1864" s="17"/>
      <c r="Q1864" s="17"/>
    </row>
    <row r="1865" spans="2:17">
      <c r="B1865" s="15" t="str">
        <f t="shared" si="70"/>
        <v/>
      </c>
      <c r="C1865" s="16" t="str">
        <f>IFERROR(VLOOKUP(DATA!#REF!,DATA!#REF!,1,FALSE),"")</f>
        <v/>
      </c>
      <c r="D1865" s="16" t="str">
        <f>IFERROR(VLOOKUP(C1865,DATA!#REF!,2,FALSE),"")</f>
        <v/>
      </c>
      <c r="I1865" s="17"/>
      <c r="J1865" s="17"/>
      <c r="P1865" s="17"/>
      <c r="Q1865" s="17"/>
    </row>
    <row r="1866" spans="2:17">
      <c r="B1866" s="15" t="str">
        <f t="shared" si="70"/>
        <v/>
      </c>
      <c r="C1866" s="16" t="str">
        <f>IFERROR(VLOOKUP(DATA!#REF!,DATA!#REF!,1,FALSE),"")</f>
        <v/>
      </c>
      <c r="D1866" s="16" t="str">
        <f>IFERROR(VLOOKUP(C1866,DATA!#REF!,2,FALSE),"")</f>
        <v/>
      </c>
      <c r="I1866" s="17"/>
      <c r="J1866" s="17"/>
      <c r="P1866" s="17"/>
      <c r="Q1866" s="17"/>
    </row>
    <row r="1867" spans="2:17">
      <c r="B1867" s="15" t="str">
        <f t="shared" si="70"/>
        <v/>
      </c>
      <c r="C1867" s="16" t="str">
        <f>IFERROR(VLOOKUP(DATA!#REF!,DATA!#REF!,1,FALSE),"")</f>
        <v/>
      </c>
      <c r="D1867" s="16" t="str">
        <f>IFERROR(VLOOKUP(C1867,DATA!#REF!,2,FALSE),"")</f>
        <v/>
      </c>
      <c r="I1867" s="17"/>
      <c r="J1867" s="17"/>
      <c r="P1867" s="17"/>
      <c r="Q1867" s="17"/>
    </row>
    <row r="1868" spans="2:17">
      <c r="B1868" s="15" t="str">
        <f t="shared" si="70"/>
        <v/>
      </c>
      <c r="C1868" s="16" t="str">
        <f>IFERROR(VLOOKUP(DATA!#REF!,DATA!#REF!,1,FALSE),"")</f>
        <v/>
      </c>
      <c r="D1868" s="16" t="str">
        <f>IFERROR(VLOOKUP(C1868,DATA!#REF!,2,FALSE),"")</f>
        <v/>
      </c>
      <c r="I1868" s="17"/>
      <c r="J1868" s="17"/>
      <c r="P1868" s="17"/>
      <c r="Q1868" s="17"/>
    </row>
    <row r="1869" spans="2:17">
      <c r="B1869" s="15" t="str">
        <f t="shared" si="70"/>
        <v/>
      </c>
      <c r="C1869" s="16" t="str">
        <f>IFERROR(VLOOKUP(DATA!#REF!,DATA!#REF!,1,FALSE),"")</f>
        <v/>
      </c>
      <c r="D1869" s="16" t="str">
        <f>IFERROR(VLOOKUP(C1869,DATA!#REF!,2,FALSE),"")</f>
        <v/>
      </c>
      <c r="I1869" s="17"/>
      <c r="J1869" s="17"/>
      <c r="P1869" s="17"/>
      <c r="Q1869" s="17"/>
    </row>
    <row r="1870" spans="2:17">
      <c r="B1870" s="15" t="str">
        <f t="shared" si="70"/>
        <v/>
      </c>
      <c r="C1870" s="16" t="str">
        <f>IFERROR(VLOOKUP(DATA!#REF!,DATA!#REF!,1,FALSE),"")</f>
        <v/>
      </c>
      <c r="D1870" s="16" t="str">
        <f>IFERROR(VLOOKUP(C1870,DATA!#REF!,2,FALSE),"")</f>
        <v/>
      </c>
      <c r="I1870" s="17"/>
      <c r="J1870" s="17"/>
      <c r="P1870" s="17"/>
      <c r="Q1870" s="17"/>
    </row>
    <row r="1871" spans="2:17">
      <c r="B1871" s="15" t="str">
        <f t="shared" si="70"/>
        <v/>
      </c>
      <c r="C1871" s="16" t="str">
        <f>IFERROR(VLOOKUP(DATA!#REF!,DATA!#REF!,1,FALSE),"")</f>
        <v/>
      </c>
      <c r="D1871" s="16" t="str">
        <f>IFERROR(VLOOKUP(C1871,DATA!#REF!,2,FALSE),"")</f>
        <v/>
      </c>
      <c r="I1871" s="17"/>
      <c r="J1871" s="17"/>
      <c r="P1871" s="17"/>
      <c r="Q1871" s="17"/>
    </row>
    <row r="1872" spans="2:17">
      <c r="B1872" s="15" t="str">
        <f t="shared" si="70"/>
        <v/>
      </c>
      <c r="C1872" s="16" t="str">
        <f>IFERROR(VLOOKUP(DATA!#REF!,DATA!#REF!,1,FALSE),"")</f>
        <v/>
      </c>
      <c r="D1872" s="16" t="str">
        <f>IFERROR(VLOOKUP(C1872,DATA!#REF!,2,FALSE),"")</f>
        <v/>
      </c>
      <c r="I1872" s="17"/>
      <c r="J1872" s="17"/>
      <c r="P1872" s="17"/>
      <c r="Q1872" s="17"/>
    </row>
    <row r="1873" spans="2:17">
      <c r="B1873" s="15" t="str">
        <f t="shared" si="70"/>
        <v/>
      </c>
      <c r="C1873" s="16" t="str">
        <f>IFERROR(VLOOKUP(DATA!#REF!,DATA!#REF!,1,FALSE),"")</f>
        <v/>
      </c>
      <c r="D1873" s="16" t="str">
        <f>IFERROR(VLOOKUP(C1873,DATA!#REF!,2,FALSE),"")</f>
        <v/>
      </c>
      <c r="I1873" s="17"/>
      <c r="J1873" s="17"/>
      <c r="P1873" s="17"/>
      <c r="Q1873" s="17"/>
    </row>
    <row r="1874" spans="2:17">
      <c r="B1874" s="15" t="str">
        <f t="shared" si="70"/>
        <v/>
      </c>
      <c r="C1874" s="16" t="str">
        <f>IFERROR(VLOOKUP(DATA!#REF!,DATA!#REF!,1,FALSE),"")</f>
        <v/>
      </c>
      <c r="D1874" s="16" t="str">
        <f>IFERROR(VLOOKUP(C1874,DATA!#REF!,2,FALSE),"")</f>
        <v/>
      </c>
      <c r="I1874" s="17"/>
      <c r="J1874" s="17"/>
      <c r="P1874" s="17"/>
      <c r="Q1874" s="17"/>
    </row>
    <row r="1875" spans="2:17">
      <c r="B1875" s="15" t="str">
        <f t="shared" si="70"/>
        <v/>
      </c>
      <c r="C1875" s="16" t="str">
        <f>IFERROR(VLOOKUP(DATA!#REF!,DATA!#REF!,1,FALSE),"")</f>
        <v/>
      </c>
      <c r="D1875" s="16" t="str">
        <f>IFERROR(VLOOKUP(C1875,DATA!#REF!,2,FALSE),"")</f>
        <v/>
      </c>
      <c r="I1875" s="17"/>
      <c r="J1875" s="17"/>
      <c r="P1875" s="17"/>
      <c r="Q1875" s="17"/>
    </row>
    <row r="1876" spans="2:17">
      <c r="B1876" s="15" t="str">
        <f t="shared" si="70"/>
        <v/>
      </c>
      <c r="C1876" s="16" t="str">
        <f>IFERROR(VLOOKUP(DATA!#REF!,DATA!#REF!,1,FALSE),"")</f>
        <v/>
      </c>
      <c r="D1876" s="16" t="str">
        <f>IFERROR(VLOOKUP(C1876,DATA!#REF!,2,FALSE),"")</f>
        <v/>
      </c>
      <c r="I1876" s="17"/>
      <c r="J1876" s="17"/>
      <c r="P1876" s="17"/>
      <c r="Q1876" s="17"/>
    </row>
    <row r="1877" spans="2:17">
      <c r="B1877" s="15" t="str">
        <f t="shared" si="70"/>
        <v/>
      </c>
      <c r="C1877" s="16" t="str">
        <f>IFERROR(VLOOKUP(DATA!#REF!,DATA!#REF!,1,FALSE),"")</f>
        <v/>
      </c>
      <c r="D1877" s="16" t="str">
        <f>IFERROR(VLOOKUP(C1877,DATA!#REF!,2,FALSE),"")</f>
        <v/>
      </c>
      <c r="I1877" s="17"/>
      <c r="J1877" s="17"/>
      <c r="P1877" s="17"/>
      <c r="Q1877" s="17"/>
    </row>
    <row r="1878" spans="2:17">
      <c r="B1878" s="15" t="str">
        <f t="shared" si="70"/>
        <v/>
      </c>
      <c r="C1878" s="16" t="str">
        <f>IFERROR(VLOOKUP(DATA!#REF!,DATA!#REF!,1,FALSE),"")</f>
        <v/>
      </c>
      <c r="D1878" s="16" t="str">
        <f>IFERROR(VLOOKUP(C1878,DATA!#REF!,2,FALSE),"")</f>
        <v/>
      </c>
      <c r="I1878" s="17"/>
      <c r="J1878" s="17"/>
      <c r="P1878" s="17"/>
      <c r="Q1878" s="17"/>
    </row>
    <row r="1879" spans="2:17">
      <c r="B1879" s="15" t="str">
        <f t="shared" si="70"/>
        <v/>
      </c>
      <c r="C1879" s="16" t="str">
        <f>IFERROR(VLOOKUP(DATA!#REF!,DATA!#REF!,1,FALSE),"")</f>
        <v/>
      </c>
      <c r="D1879" s="16" t="str">
        <f>IFERROR(VLOOKUP(C1879,DATA!#REF!,2,FALSE),"")</f>
        <v/>
      </c>
      <c r="I1879" s="17"/>
      <c r="J1879" s="17"/>
      <c r="P1879" s="17"/>
      <c r="Q1879" s="17"/>
    </row>
    <row r="1880" spans="2:17">
      <c r="B1880" s="15" t="str">
        <f t="shared" si="70"/>
        <v/>
      </c>
      <c r="C1880" s="16" t="str">
        <f>IFERROR(VLOOKUP(DATA!#REF!,DATA!#REF!,1,FALSE),"")</f>
        <v/>
      </c>
      <c r="D1880" s="16" t="str">
        <f>IFERROR(VLOOKUP(C1880,DATA!#REF!,2,FALSE),"")</f>
        <v/>
      </c>
      <c r="I1880" s="17"/>
      <c r="J1880" s="17"/>
      <c r="P1880" s="17"/>
      <c r="Q1880" s="17"/>
    </row>
    <row r="1881" spans="2:17">
      <c r="B1881" s="15" t="str">
        <f t="shared" si="70"/>
        <v/>
      </c>
      <c r="C1881" s="16" t="str">
        <f>IFERROR(VLOOKUP(DATA!#REF!,DATA!#REF!,1,FALSE),"")</f>
        <v/>
      </c>
      <c r="D1881" s="16" t="str">
        <f>IFERROR(VLOOKUP(C1881,DATA!#REF!,2,FALSE),"")</f>
        <v/>
      </c>
      <c r="I1881" s="17"/>
      <c r="J1881" s="17"/>
      <c r="P1881" s="17"/>
      <c r="Q1881" s="17"/>
    </row>
    <row r="1882" spans="2:17">
      <c r="B1882" s="15" t="str">
        <f t="shared" si="70"/>
        <v/>
      </c>
      <c r="C1882" s="16" t="str">
        <f>IFERROR(VLOOKUP(DATA!#REF!,DATA!#REF!,1,FALSE),"")</f>
        <v/>
      </c>
      <c r="D1882" s="16" t="str">
        <f>IFERROR(VLOOKUP(C1882,DATA!#REF!,2,FALSE),"")</f>
        <v/>
      </c>
      <c r="I1882" s="17"/>
      <c r="J1882" s="17"/>
      <c r="P1882" s="17"/>
      <c r="Q1882" s="17"/>
    </row>
    <row r="1883" spans="2:17">
      <c r="B1883" s="15" t="str">
        <f t="shared" si="70"/>
        <v/>
      </c>
      <c r="C1883" s="16" t="str">
        <f>IFERROR(VLOOKUP(DATA!#REF!,DATA!#REF!,1,FALSE),"")</f>
        <v/>
      </c>
      <c r="D1883" s="16" t="str">
        <f>IFERROR(VLOOKUP(C1883,DATA!#REF!,2,FALSE),"")</f>
        <v/>
      </c>
      <c r="I1883" s="17"/>
      <c r="J1883" s="17"/>
      <c r="P1883" s="17"/>
      <c r="Q1883" s="17"/>
    </row>
    <row r="1884" spans="2:17">
      <c r="B1884" s="15" t="str">
        <f t="shared" si="70"/>
        <v/>
      </c>
      <c r="C1884" s="16" t="str">
        <f>IFERROR(VLOOKUP(DATA!#REF!,DATA!#REF!,1,FALSE),"")</f>
        <v/>
      </c>
      <c r="D1884" s="16" t="str">
        <f>IFERROR(VLOOKUP(C1884,DATA!#REF!,2,FALSE),"")</f>
        <v/>
      </c>
      <c r="I1884" s="17"/>
      <c r="J1884" s="17"/>
      <c r="P1884" s="17"/>
      <c r="Q1884" s="17"/>
    </row>
    <row r="1885" spans="2:17">
      <c r="B1885" s="15" t="str">
        <f t="shared" si="70"/>
        <v/>
      </c>
      <c r="C1885" s="16" t="str">
        <f>IFERROR(VLOOKUP(DATA!#REF!,DATA!#REF!,1,FALSE),"")</f>
        <v/>
      </c>
      <c r="D1885" s="16" t="str">
        <f>IFERROR(VLOOKUP(C1885,DATA!#REF!,2,FALSE),"")</f>
        <v/>
      </c>
      <c r="I1885" s="17"/>
      <c r="J1885" s="17"/>
      <c r="P1885" s="17"/>
      <c r="Q1885" s="17"/>
    </row>
    <row r="1886" spans="2:17">
      <c r="B1886" s="15" t="str">
        <f t="shared" si="70"/>
        <v/>
      </c>
      <c r="C1886" s="16" t="str">
        <f>IFERROR(VLOOKUP(DATA!#REF!,DATA!#REF!,1,FALSE),"")</f>
        <v/>
      </c>
      <c r="D1886" s="16" t="str">
        <f>IFERROR(VLOOKUP(C1886,DATA!#REF!,2,FALSE),"")</f>
        <v/>
      </c>
      <c r="I1886" s="17"/>
      <c r="J1886" s="17"/>
      <c r="P1886" s="17"/>
      <c r="Q1886" s="17"/>
    </row>
    <row r="1887" spans="2:17">
      <c r="B1887" s="15" t="str">
        <f t="shared" si="70"/>
        <v/>
      </c>
      <c r="C1887" s="16" t="str">
        <f>IFERROR(VLOOKUP(DATA!#REF!,DATA!#REF!,1,FALSE),"")</f>
        <v/>
      </c>
      <c r="D1887" s="16" t="str">
        <f>IFERROR(VLOOKUP(C1887,DATA!#REF!,2,FALSE),"")</f>
        <v/>
      </c>
      <c r="I1887" s="17"/>
      <c r="J1887" s="17"/>
      <c r="P1887" s="17"/>
      <c r="Q1887" s="17"/>
    </row>
    <row r="1888" spans="2:17">
      <c r="B1888" s="15" t="str">
        <f t="shared" si="70"/>
        <v/>
      </c>
      <c r="C1888" s="16" t="str">
        <f>IFERROR(VLOOKUP(DATA!#REF!,DATA!#REF!,1,FALSE),"")</f>
        <v/>
      </c>
      <c r="D1888" s="16" t="str">
        <f>IFERROR(VLOOKUP(C1888,DATA!#REF!,2,FALSE),"")</f>
        <v/>
      </c>
      <c r="I1888" s="17"/>
      <c r="J1888" s="17"/>
      <c r="P1888" s="17"/>
      <c r="Q1888" s="17"/>
    </row>
    <row r="1889" spans="2:17">
      <c r="B1889" s="15" t="str">
        <f t="shared" si="70"/>
        <v/>
      </c>
      <c r="C1889" s="16" t="str">
        <f>IFERROR(VLOOKUP(DATA!#REF!,DATA!#REF!,1,FALSE),"")</f>
        <v/>
      </c>
      <c r="D1889" s="16" t="str">
        <f>IFERROR(VLOOKUP(C1889,DATA!#REF!,2,FALSE),"")</f>
        <v/>
      </c>
      <c r="I1889" s="17"/>
      <c r="J1889" s="17"/>
      <c r="P1889" s="17"/>
      <c r="Q1889" s="17"/>
    </row>
    <row r="1890" spans="2:17">
      <c r="B1890" s="15" t="str">
        <f t="shared" si="70"/>
        <v/>
      </c>
      <c r="C1890" s="16" t="str">
        <f>IFERROR(VLOOKUP(DATA!#REF!,DATA!#REF!,1,FALSE),"")</f>
        <v/>
      </c>
      <c r="D1890" s="16" t="str">
        <f>IFERROR(VLOOKUP(C1890,DATA!#REF!,2,FALSE),"")</f>
        <v/>
      </c>
      <c r="I1890" s="17"/>
      <c r="J1890" s="17"/>
      <c r="P1890" s="17"/>
      <c r="Q1890" s="17"/>
    </row>
    <row r="1891" spans="2:17">
      <c r="B1891" s="15" t="str">
        <f t="shared" si="70"/>
        <v/>
      </c>
      <c r="C1891" s="16" t="str">
        <f>IFERROR(VLOOKUP(DATA!#REF!,DATA!#REF!,1,FALSE),"")</f>
        <v/>
      </c>
      <c r="D1891" s="16" t="str">
        <f>IFERROR(VLOOKUP(C1891,DATA!#REF!,2,FALSE),"")</f>
        <v/>
      </c>
      <c r="I1891" s="17"/>
      <c r="J1891" s="17"/>
      <c r="P1891" s="17"/>
      <c r="Q1891" s="17"/>
    </row>
    <row r="1892" spans="2:17">
      <c r="B1892" s="15" t="str">
        <f t="shared" si="70"/>
        <v/>
      </c>
      <c r="C1892" s="16" t="str">
        <f>IFERROR(VLOOKUP(DATA!#REF!,DATA!#REF!,1,FALSE),"")</f>
        <v/>
      </c>
      <c r="D1892" s="16" t="str">
        <f>IFERROR(VLOOKUP(C1892,DATA!#REF!,2,FALSE),"")</f>
        <v/>
      </c>
      <c r="I1892" s="17"/>
      <c r="J1892" s="17"/>
      <c r="P1892" s="17"/>
      <c r="Q1892" s="17"/>
    </row>
    <row r="1893" spans="2:17">
      <c r="B1893" s="15" t="str">
        <f t="shared" si="70"/>
        <v/>
      </c>
      <c r="C1893" s="16" t="str">
        <f>IFERROR(VLOOKUP(DATA!#REF!,DATA!#REF!,1,FALSE),"")</f>
        <v/>
      </c>
      <c r="D1893" s="16" t="str">
        <f>IFERROR(VLOOKUP(C1893,DATA!#REF!,2,FALSE),"")</f>
        <v/>
      </c>
      <c r="I1893" s="17"/>
      <c r="J1893" s="17"/>
      <c r="P1893" s="17"/>
      <c r="Q1893" s="17"/>
    </row>
    <row r="1894" spans="2:17">
      <c r="B1894" s="15" t="str">
        <f t="shared" si="70"/>
        <v/>
      </c>
      <c r="C1894" s="16" t="str">
        <f>IFERROR(VLOOKUP(DATA!#REF!,DATA!#REF!,1,FALSE),"")</f>
        <v/>
      </c>
      <c r="D1894" s="16" t="str">
        <f>IFERROR(VLOOKUP(C1894,DATA!#REF!,2,FALSE),"")</f>
        <v/>
      </c>
      <c r="I1894" s="17"/>
      <c r="J1894" s="17"/>
      <c r="P1894" s="17"/>
      <c r="Q1894" s="17"/>
    </row>
    <row r="1895" spans="2:17">
      <c r="B1895" s="15" t="str">
        <f t="shared" si="70"/>
        <v/>
      </c>
      <c r="C1895" s="16" t="str">
        <f>IFERROR(VLOOKUP(DATA!#REF!,DATA!#REF!,1,FALSE),"")</f>
        <v/>
      </c>
      <c r="D1895" s="16" t="str">
        <f>IFERROR(VLOOKUP(C1895,DATA!#REF!,2,FALSE),"")</f>
        <v/>
      </c>
      <c r="I1895" s="17"/>
      <c r="J1895" s="17"/>
      <c r="P1895" s="17"/>
      <c r="Q1895" s="17"/>
    </row>
    <row r="1896" spans="2:17">
      <c r="B1896" s="15" t="str">
        <f t="shared" si="70"/>
        <v/>
      </c>
      <c r="C1896" s="16" t="str">
        <f>IFERROR(VLOOKUP(DATA!#REF!,DATA!#REF!,1,FALSE),"")</f>
        <v/>
      </c>
      <c r="D1896" s="16" t="str">
        <f>IFERROR(VLOOKUP(C1896,DATA!#REF!,2,FALSE),"")</f>
        <v/>
      </c>
      <c r="I1896" s="17"/>
      <c r="J1896" s="17"/>
      <c r="P1896" s="17"/>
      <c r="Q1896" s="17"/>
    </row>
    <row r="1897" spans="2:17">
      <c r="B1897" s="15" t="str">
        <f t="shared" si="70"/>
        <v/>
      </c>
      <c r="C1897" s="16" t="str">
        <f>IFERROR(VLOOKUP(DATA!#REF!,DATA!#REF!,1,FALSE),"")</f>
        <v/>
      </c>
      <c r="D1897" s="16" t="str">
        <f>IFERROR(VLOOKUP(C1897,DATA!#REF!,2,FALSE),"")</f>
        <v/>
      </c>
      <c r="I1897" s="17"/>
      <c r="J1897" s="17"/>
      <c r="P1897" s="17"/>
      <c r="Q1897" s="17"/>
    </row>
    <row r="1898" spans="2:17">
      <c r="B1898" s="15" t="str">
        <f t="shared" si="70"/>
        <v/>
      </c>
      <c r="C1898" s="16" t="str">
        <f>IFERROR(VLOOKUP(DATA!#REF!,DATA!#REF!,1,FALSE),"")</f>
        <v/>
      </c>
      <c r="D1898" s="16" t="str">
        <f>IFERROR(VLOOKUP(C1898,DATA!#REF!,2,FALSE),"")</f>
        <v/>
      </c>
      <c r="I1898" s="17"/>
      <c r="J1898" s="17"/>
      <c r="P1898" s="17"/>
      <c r="Q1898" s="17"/>
    </row>
    <row r="1899" spans="2:17">
      <c r="B1899" s="15" t="str">
        <f t="shared" si="70"/>
        <v/>
      </c>
      <c r="C1899" s="16" t="str">
        <f>IFERROR(VLOOKUP(DATA!#REF!,DATA!#REF!,1,FALSE),"")</f>
        <v/>
      </c>
      <c r="D1899" s="16" t="str">
        <f>IFERROR(VLOOKUP(C1899,DATA!#REF!,2,FALSE),"")</f>
        <v/>
      </c>
      <c r="I1899" s="17"/>
      <c r="J1899" s="17"/>
      <c r="P1899" s="17"/>
      <c r="Q1899" s="17"/>
    </row>
    <row r="1900" spans="2:17">
      <c r="B1900" s="15" t="str">
        <f t="shared" si="70"/>
        <v/>
      </c>
      <c r="C1900" s="16" t="str">
        <f>IFERROR(VLOOKUP(DATA!#REF!,DATA!#REF!,1,FALSE),"")</f>
        <v/>
      </c>
      <c r="D1900" s="16" t="str">
        <f>IFERROR(VLOOKUP(C1900,DATA!#REF!,2,FALSE),"")</f>
        <v/>
      </c>
      <c r="I1900" s="17"/>
      <c r="J1900" s="17"/>
      <c r="P1900" s="17"/>
      <c r="Q1900" s="17"/>
    </row>
    <row r="1901" spans="2:17">
      <c r="B1901" s="15" t="str">
        <f t="shared" si="70"/>
        <v/>
      </c>
      <c r="C1901" s="16" t="str">
        <f>IFERROR(VLOOKUP(DATA!#REF!,DATA!#REF!,1,FALSE),"")</f>
        <v/>
      </c>
      <c r="D1901" s="16" t="str">
        <f>IFERROR(VLOOKUP(C1901,DATA!#REF!,2,FALSE),"")</f>
        <v/>
      </c>
      <c r="I1901" s="17"/>
      <c r="J1901" s="17"/>
      <c r="P1901" s="17"/>
      <c r="Q1901" s="17"/>
    </row>
    <row r="1902" spans="2:17">
      <c r="B1902" s="15" t="str">
        <f t="shared" si="70"/>
        <v/>
      </c>
      <c r="C1902" s="16" t="str">
        <f>IFERROR(VLOOKUP(DATA!#REF!,DATA!#REF!,1,FALSE),"")</f>
        <v/>
      </c>
      <c r="D1902" s="16" t="str">
        <f>IFERROR(VLOOKUP(C1902,DATA!#REF!,2,FALSE),"")</f>
        <v/>
      </c>
      <c r="I1902" s="17"/>
      <c r="J1902" s="17"/>
      <c r="P1902" s="17"/>
      <c r="Q1902" s="17"/>
    </row>
    <row r="1903" spans="2:17">
      <c r="B1903" s="15" t="str">
        <f t="shared" si="70"/>
        <v/>
      </c>
      <c r="C1903" s="16" t="str">
        <f>IFERROR(VLOOKUP(DATA!#REF!,DATA!#REF!,1,FALSE),"")</f>
        <v/>
      </c>
      <c r="D1903" s="16" t="str">
        <f>IFERROR(VLOOKUP(C1903,DATA!#REF!,2,FALSE),"")</f>
        <v/>
      </c>
      <c r="I1903" s="17"/>
      <c r="J1903" s="17"/>
      <c r="P1903" s="17"/>
      <c r="Q1903" s="17"/>
    </row>
    <row r="1904" spans="2:17">
      <c r="B1904" s="15" t="str">
        <f t="shared" si="70"/>
        <v/>
      </c>
      <c r="C1904" s="16" t="str">
        <f>IFERROR(VLOOKUP(DATA!#REF!,DATA!#REF!,1,FALSE),"")</f>
        <v/>
      </c>
      <c r="D1904" s="16" t="str">
        <f>IFERROR(VLOOKUP(C1904,DATA!#REF!,2,FALSE),"")</f>
        <v/>
      </c>
      <c r="I1904" s="17"/>
      <c r="J1904" s="17"/>
      <c r="P1904" s="17"/>
      <c r="Q1904" s="17"/>
    </row>
    <row r="1905" spans="2:17">
      <c r="B1905" s="15" t="str">
        <f t="shared" si="70"/>
        <v/>
      </c>
      <c r="C1905" s="16" t="str">
        <f>IFERROR(VLOOKUP(DATA!#REF!,DATA!#REF!,1,FALSE),"")</f>
        <v/>
      </c>
      <c r="D1905" s="16" t="str">
        <f>IFERROR(VLOOKUP(C1905,DATA!#REF!,2,FALSE),"")</f>
        <v/>
      </c>
      <c r="I1905" s="17"/>
      <c r="J1905" s="17"/>
      <c r="P1905" s="17"/>
      <c r="Q1905" s="17"/>
    </row>
    <row r="1906" spans="2:17">
      <c r="B1906" s="15" t="str">
        <f t="shared" si="70"/>
        <v/>
      </c>
      <c r="C1906" s="16" t="str">
        <f>IFERROR(VLOOKUP(DATA!#REF!,DATA!#REF!,1,FALSE),"")</f>
        <v/>
      </c>
      <c r="D1906" s="16" t="str">
        <f>IFERROR(VLOOKUP(C1906,DATA!#REF!,2,FALSE),"")</f>
        <v/>
      </c>
      <c r="I1906" s="17"/>
      <c r="J1906" s="17"/>
      <c r="P1906" s="17"/>
      <c r="Q1906" s="17"/>
    </row>
    <row r="1907" spans="2:17">
      <c r="B1907" s="15" t="str">
        <f t="shared" si="70"/>
        <v/>
      </c>
      <c r="C1907" s="16" t="str">
        <f>IFERROR(VLOOKUP(DATA!#REF!,DATA!#REF!,1,FALSE),"")</f>
        <v/>
      </c>
      <c r="D1907" s="16" t="str">
        <f>IFERROR(VLOOKUP(C1907,DATA!#REF!,2,FALSE),"")</f>
        <v/>
      </c>
      <c r="I1907" s="17"/>
      <c r="J1907" s="17"/>
      <c r="P1907" s="17"/>
      <c r="Q1907" s="17"/>
    </row>
    <row r="1908" spans="2:17">
      <c r="B1908" s="15" t="str">
        <f t="shared" si="70"/>
        <v/>
      </c>
      <c r="C1908" s="16" t="str">
        <f>IFERROR(VLOOKUP(DATA!#REF!,DATA!#REF!,1,FALSE),"")</f>
        <v/>
      </c>
      <c r="D1908" s="16" t="str">
        <f>IFERROR(VLOOKUP(C1908,DATA!#REF!,2,FALSE),"")</f>
        <v/>
      </c>
      <c r="I1908" s="17"/>
      <c r="J1908" s="17"/>
      <c r="P1908" s="17"/>
      <c r="Q1908" s="17"/>
    </row>
    <row r="1909" spans="2:17">
      <c r="B1909" s="15" t="str">
        <f t="shared" si="70"/>
        <v/>
      </c>
      <c r="C1909" s="16" t="str">
        <f>IFERROR(VLOOKUP(DATA!#REF!,DATA!#REF!,1,FALSE),"")</f>
        <v/>
      </c>
      <c r="D1909" s="16" t="str">
        <f>IFERROR(VLOOKUP(C1909,DATA!#REF!,2,FALSE),"")</f>
        <v/>
      </c>
      <c r="I1909" s="17"/>
      <c r="J1909" s="17"/>
      <c r="P1909" s="17"/>
      <c r="Q1909" s="17"/>
    </row>
    <row r="1910" spans="2:17">
      <c r="B1910" s="15" t="str">
        <f t="shared" si="70"/>
        <v/>
      </c>
      <c r="C1910" s="16" t="str">
        <f>IFERROR(VLOOKUP(DATA!#REF!,DATA!#REF!,1,FALSE),"")</f>
        <v/>
      </c>
      <c r="D1910" s="16" t="str">
        <f>IFERROR(VLOOKUP(C1910,DATA!#REF!,2,FALSE),"")</f>
        <v/>
      </c>
      <c r="I1910" s="17"/>
      <c r="J1910" s="17"/>
      <c r="P1910" s="17"/>
      <c r="Q1910" s="17"/>
    </row>
    <row r="1911" spans="2:17">
      <c r="B1911" s="15" t="str">
        <f t="shared" ref="B1911:B1974" si="71">+IF(C1911="","",ROW()-5)</f>
        <v/>
      </c>
      <c r="C1911" s="16" t="str">
        <f>IFERROR(VLOOKUP(DATA!#REF!,DATA!#REF!,1,FALSE),"")</f>
        <v/>
      </c>
      <c r="D1911" s="16" t="str">
        <f>IFERROR(VLOOKUP(C1911,DATA!#REF!,2,FALSE),"")</f>
        <v/>
      </c>
      <c r="I1911" s="17"/>
      <c r="J1911" s="17"/>
      <c r="P1911" s="17"/>
      <c r="Q1911" s="17"/>
    </row>
    <row r="1912" spans="2:17">
      <c r="B1912" s="15" t="str">
        <f t="shared" si="71"/>
        <v/>
      </c>
      <c r="C1912" s="16" t="str">
        <f>IFERROR(VLOOKUP(DATA!#REF!,DATA!#REF!,1,FALSE),"")</f>
        <v/>
      </c>
      <c r="D1912" s="16" t="str">
        <f>IFERROR(VLOOKUP(C1912,DATA!#REF!,2,FALSE),"")</f>
        <v/>
      </c>
      <c r="I1912" s="17"/>
      <c r="J1912" s="17"/>
      <c r="P1912" s="17"/>
      <c r="Q1912" s="17"/>
    </row>
    <row r="1913" spans="2:17">
      <c r="B1913" s="15" t="str">
        <f t="shared" si="71"/>
        <v/>
      </c>
      <c r="C1913" s="16" t="str">
        <f>IFERROR(VLOOKUP(DATA!#REF!,DATA!#REF!,1,FALSE),"")</f>
        <v/>
      </c>
      <c r="D1913" s="16" t="str">
        <f>IFERROR(VLOOKUP(C1913,DATA!#REF!,2,FALSE),"")</f>
        <v/>
      </c>
      <c r="I1913" s="17"/>
      <c r="J1913" s="17"/>
      <c r="P1913" s="17"/>
      <c r="Q1913" s="17"/>
    </row>
    <row r="1914" spans="2:17">
      <c r="B1914" s="15" t="str">
        <f t="shared" si="71"/>
        <v/>
      </c>
      <c r="C1914" s="16" t="str">
        <f>IFERROR(VLOOKUP(DATA!#REF!,DATA!#REF!,1,FALSE),"")</f>
        <v/>
      </c>
      <c r="D1914" s="16" t="str">
        <f>IFERROR(VLOOKUP(C1914,DATA!#REF!,2,FALSE),"")</f>
        <v/>
      </c>
      <c r="I1914" s="17"/>
      <c r="J1914" s="17"/>
      <c r="P1914" s="17"/>
      <c r="Q1914" s="17"/>
    </row>
    <row r="1915" spans="2:17">
      <c r="B1915" s="15" t="str">
        <f t="shared" si="71"/>
        <v/>
      </c>
      <c r="C1915" s="16" t="str">
        <f>IFERROR(VLOOKUP(DATA!#REF!,DATA!#REF!,1,FALSE),"")</f>
        <v/>
      </c>
      <c r="D1915" s="16" t="str">
        <f>IFERROR(VLOOKUP(C1915,DATA!#REF!,2,FALSE),"")</f>
        <v/>
      </c>
      <c r="I1915" s="17"/>
      <c r="J1915" s="17"/>
      <c r="P1915" s="17"/>
      <c r="Q1915" s="17"/>
    </row>
    <row r="1916" spans="2:17">
      <c r="B1916" s="15" t="str">
        <f t="shared" si="71"/>
        <v/>
      </c>
      <c r="C1916" s="16" t="str">
        <f>IFERROR(VLOOKUP(DATA!#REF!,DATA!#REF!,1,FALSE),"")</f>
        <v/>
      </c>
      <c r="D1916" s="16" t="str">
        <f>IFERROR(VLOOKUP(C1916,DATA!#REF!,2,FALSE),"")</f>
        <v/>
      </c>
      <c r="I1916" s="17"/>
      <c r="J1916" s="17"/>
      <c r="P1916" s="17"/>
      <c r="Q1916" s="17"/>
    </row>
    <row r="1917" spans="2:17">
      <c r="B1917" s="15" t="str">
        <f t="shared" si="71"/>
        <v/>
      </c>
      <c r="C1917" s="16" t="str">
        <f>IFERROR(VLOOKUP(DATA!#REF!,DATA!#REF!,1,FALSE),"")</f>
        <v/>
      </c>
      <c r="D1917" s="16" t="str">
        <f>IFERROR(VLOOKUP(C1917,DATA!#REF!,2,FALSE),"")</f>
        <v/>
      </c>
      <c r="I1917" s="17"/>
      <c r="J1917" s="17"/>
      <c r="P1917" s="17"/>
      <c r="Q1917" s="17"/>
    </row>
    <row r="1918" spans="2:17">
      <c r="B1918" s="15" t="str">
        <f t="shared" si="71"/>
        <v/>
      </c>
      <c r="C1918" s="16" t="str">
        <f>IFERROR(VLOOKUP(DATA!#REF!,DATA!#REF!,1,FALSE),"")</f>
        <v/>
      </c>
      <c r="D1918" s="16" t="str">
        <f>IFERROR(VLOOKUP(C1918,DATA!#REF!,2,FALSE),"")</f>
        <v/>
      </c>
      <c r="I1918" s="17"/>
      <c r="J1918" s="17"/>
      <c r="P1918" s="17"/>
      <c r="Q1918" s="17"/>
    </row>
    <row r="1919" spans="2:17">
      <c r="B1919" s="15" t="str">
        <f t="shared" si="71"/>
        <v/>
      </c>
      <c r="C1919" s="16" t="str">
        <f>IFERROR(VLOOKUP(DATA!#REF!,DATA!#REF!,1,FALSE),"")</f>
        <v/>
      </c>
      <c r="D1919" s="16" t="str">
        <f>IFERROR(VLOOKUP(C1919,DATA!#REF!,2,FALSE),"")</f>
        <v/>
      </c>
      <c r="I1919" s="17"/>
      <c r="J1919" s="17"/>
      <c r="P1919" s="17"/>
      <c r="Q1919" s="17"/>
    </row>
    <row r="1920" spans="2:17">
      <c r="B1920" s="15" t="str">
        <f t="shared" si="71"/>
        <v/>
      </c>
      <c r="C1920" s="16" t="str">
        <f>IFERROR(VLOOKUP(DATA!#REF!,DATA!#REF!,1,FALSE),"")</f>
        <v/>
      </c>
      <c r="D1920" s="16" t="str">
        <f>IFERROR(VLOOKUP(C1920,DATA!#REF!,2,FALSE),"")</f>
        <v/>
      </c>
      <c r="I1920" s="17"/>
      <c r="J1920" s="17"/>
      <c r="P1920" s="17"/>
      <c r="Q1920" s="17"/>
    </row>
    <row r="1921" spans="2:17">
      <c r="B1921" s="15" t="str">
        <f t="shared" si="71"/>
        <v/>
      </c>
      <c r="C1921" s="16" t="str">
        <f>IFERROR(VLOOKUP(DATA!#REF!,DATA!#REF!,1,FALSE),"")</f>
        <v/>
      </c>
      <c r="D1921" s="16" t="str">
        <f>IFERROR(VLOOKUP(C1921,DATA!#REF!,2,FALSE),"")</f>
        <v/>
      </c>
      <c r="I1921" s="17"/>
      <c r="J1921" s="17"/>
      <c r="P1921" s="17"/>
      <c r="Q1921" s="17"/>
    </row>
    <row r="1922" spans="2:17">
      <c r="B1922" s="15" t="str">
        <f t="shared" si="71"/>
        <v/>
      </c>
      <c r="C1922" s="16" t="str">
        <f>IFERROR(VLOOKUP(DATA!#REF!,DATA!#REF!,1,FALSE),"")</f>
        <v/>
      </c>
      <c r="D1922" s="16" t="str">
        <f>IFERROR(VLOOKUP(C1922,DATA!#REF!,2,FALSE),"")</f>
        <v/>
      </c>
      <c r="I1922" s="17"/>
      <c r="J1922" s="17"/>
      <c r="P1922" s="17"/>
      <c r="Q1922" s="17"/>
    </row>
    <row r="1923" spans="2:17">
      <c r="B1923" s="15" t="str">
        <f t="shared" si="71"/>
        <v/>
      </c>
      <c r="C1923" s="16" t="str">
        <f>IFERROR(VLOOKUP(DATA!#REF!,DATA!#REF!,1,FALSE),"")</f>
        <v/>
      </c>
      <c r="D1923" s="16" t="str">
        <f>IFERROR(VLOOKUP(C1923,DATA!#REF!,2,FALSE),"")</f>
        <v/>
      </c>
      <c r="I1923" s="17"/>
      <c r="J1923" s="17"/>
      <c r="P1923" s="17"/>
      <c r="Q1923" s="17"/>
    </row>
    <row r="1924" spans="2:17">
      <c r="B1924" s="15" t="str">
        <f t="shared" si="71"/>
        <v/>
      </c>
      <c r="C1924" s="16" t="str">
        <f>IFERROR(VLOOKUP(DATA!#REF!,DATA!#REF!,1,FALSE),"")</f>
        <v/>
      </c>
      <c r="D1924" s="16" t="str">
        <f>IFERROR(VLOOKUP(C1924,DATA!#REF!,2,FALSE),"")</f>
        <v/>
      </c>
      <c r="I1924" s="17"/>
      <c r="J1924" s="17"/>
      <c r="P1924" s="17"/>
      <c r="Q1924" s="17"/>
    </row>
    <row r="1925" spans="2:17">
      <c r="B1925" s="15" t="str">
        <f t="shared" si="71"/>
        <v/>
      </c>
      <c r="C1925" s="16" t="str">
        <f>IFERROR(VLOOKUP(DATA!#REF!,DATA!#REF!,1,FALSE),"")</f>
        <v/>
      </c>
      <c r="D1925" s="16" t="str">
        <f>IFERROR(VLOOKUP(C1925,DATA!#REF!,2,FALSE),"")</f>
        <v/>
      </c>
      <c r="I1925" s="17"/>
      <c r="J1925" s="17"/>
      <c r="P1925" s="17"/>
      <c r="Q1925" s="17"/>
    </row>
    <row r="1926" spans="2:17">
      <c r="B1926" s="15" t="str">
        <f t="shared" si="71"/>
        <v/>
      </c>
      <c r="C1926" s="16" t="str">
        <f>IFERROR(VLOOKUP(DATA!#REF!,DATA!#REF!,1,FALSE),"")</f>
        <v/>
      </c>
      <c r="D1926" s="16" t="str">
        <f>IFERROR(VLOOKUP(C1926,DATA!#REF!,2,FALSE),"")</f>
        <v/>
      </c>
      <c r="I1926" s="17"/>
      <c r="J1926" s="17"/>
      <c r="P1926" s="17"/>
      <c r="Q1926" s="17"/>
    </row>
    <row r="1927" spans="2:17">
      <c r="B1927" s="15" t="str">
        <f t="shared" si="71"/>
        <v/>
      </c>
      <c r="C1927" s="16" t="str">
        <f>IFERROR(VLOOKUP(DATA!#REF!,DATA!#REF!,1,FALSE),"")</f>
        <v/>
      </c>
      <c r="D1927" s="16" t="str">
        <f>IFERROR(VLOOKUP(C1927,DATA!#REF!,2,FALSE),"")</f>
        <v/>
      </c>
      <c r="I1927" s="17"/>
      <c r="J1927" s="17"/>
      <c r="P1927" s="17"/>
      <c r="Q1927" s="17"/>
    </row>
    <row r="1928" spans="2:17">
      <c r="B1928" s="15" t="str">
        <f t="shared" si="71"/>
        <v/>
      </c>
      <c r="C1928" s="16" t="str">
        <f>IFERROR(VLOOKUP(DATA!#REF!,DATA!#REF!,1,FALSE),"")</f>
        <v/>
      </c>
      <c r="D1928" s="16" t="str">
        <f>IFERROR(VLOOKUP(C1928,DATA!#REF!,2,FALSE),"")</f>
        <v/>
      </c>
      <c r="I1928" s="17"/>
      <c r="J1928" s="17"/>
      <c r="P1928" s="17"/>
      <c r="Q1928" s="17"/>
    </row>
    <row r="1929" spans="2:17">
      <c r="B1929" s="15" t="str">
        <f t="shared" si="71"/>
        <v/>
      </c>
      <c r="C1929" s="16" t="str">
        <f>IFERROR(VLOOKUP(DATA!#REF!,DATA!#REF!,1,FALSE),"")</f>
        <v/>
      </c>
      <c r="D1929" s="16" t="str">
        <f>IFERROR(VLOOKUP(C1929,DATA!#REF!,2,FALSE),"")</f>
        <v/>
      </c>
      <c r="I1929" s="17"/>
      <c r="J1929" s="17"/>
      <c r="P1929" s="17"/>
      <c r="Q1929" s="17"/>
    </row>
    <row r="1930" spans="2:17">
      <c r="B1930" s="15" t="str">
        <f t="shared" si="71"/>
        <v/>
      </c>
      <c r="C1930" s="16" t="str">
        <f>IFERROR(VLOOKUP(DATA!#REF!,DATA!#REF!,1,FALSE),"")</f>
        <v/>
      </c>
      <c r="D1930" s="16" t="str">
        <f>IFERROR(VLOOKUP(C1930,DATA!#REF!,2,FALSE),"")</f>
        <v/>
      </c>
      <c r="I1930" s="17"/>
      <c r="J1930" s="17"/>
      <c r="P1930" s="17"/>
      <c r="Q1930" s="17"/>
    </row>
    <row r="1931" spans="2:17">
      <c r="B1931" s="15" t="str">
        <f t="shared" si="71"/>
        <v/>
      </c>
      <c r="C1931" s="16" t="str">
        <f>IFERROR(VLOOKUP(DATA!#REF!,DATA!#REF!,1,FALSE),"")</f>
        <v/>
      </c>
      <c r="D1931" s="16" t="str">
        <f>IFERROR(VLOOKUP(C1931,DATA!#REF!,2,FALSE),"")</f>
        <v/>
      </c>
      <c r="I1931" s="17"/>
      <c r="J1931" s="17"/>
      <c r="P1931" s="17"/>
      <c r="Q1931" s="17"/>
    </row>
    <row r="1932" spans="2:17">
      <c r="B1932" s="15" t="str">
        <f t="shared" si="71"/>
        <v/>
      </c>
      <c r="C1932" s="16" t="str">
        <f>IFERROR(VLOOKUP(DATA!#REF!,DATA!#REF!,1,FALSE),"")</f>
        <v/>
      </c>
      <c r="D1932" s="16" t="str">
        <f>IFERROR(VLOOKUP(C1932,DATA!#REF!,2,FALSE),"")</f>
        <v/>
      </c>
      <c r="I1932" s="17"/>
      <c r="J1932" s="17"/>
      <c r="P1932" s="17"/>
      <c r="Q1932" s="17"/>
    </row>
    <row r="1933" spans="2:17">
      <c r="B1933" s="15" t="str">
        <f t="shared" si="71"/>
        <v/>
      </c>
      <c r="C1933" s="16" t="str">
        <f>IFERROR(VLOOKUP(DATA!#REF!,DATA!#REF!,1,FALSE),"")</f>
        <v/>
      </c>
      <c r="D1933" s="16" t="str">
        <f>IFERROR(VLOOKUP(C1933,DATA!#REF!,2,FALSE),"")</f>
        <v/>
      </c>
      <c r="I1933" s="17"/>
      <c r="J1933" s="17"/>
      <c r="P1933" s="17"/>
      <c r="Q1933" s="17"/>
    </row>
    <row r="1934" spans="2:17">
      <c r="B1934" s="15" t="str">
        <f t="shared" si="71"/>
        <v/>
      </c>
      <c r="C1934" s="16" t="str">
        <f>IFERROR(VLOOKUP(DATA!#REF!,DATA!#REF!,1,FALSE),"")</f>
        <v/>
      </c>
      <c r="D1934" s="16" t="str">
        <f>IFERROR(VLOOKUP(C1934,DATA!#REF!,2,FALSE),"")</f>
        <v/>
      </c>
      <c r="I1934" s="17"/>
      <c r="J1934" s="17"/>
      <c r="P1934" s="17"/>
      <c r="Q1934" s="17"/>
    </row>
    <row r="1935" spans="2:17">
      <c r="B1935" s="15" t="str">
        <f t="shared" si="71"/>
        <v/>
      </c>
      <c r="C1935" s="16" t="str">
        <f>IFERROR(VLOOKUP(DATA!#REF!,DATA!#REF!,1,FALSE),"")</f>
        <v/>
      </c>
      <c r="D1935" s="16" t="str">
        <f>IFERROR(VLOOKUP(C1935,DATA!#REF!,2,FALSE),"")</f>
        <v/>
      </c>
      <c r="I1935" s="17"/>
      <c r="J1935" s="17"/>
      <c r="P1935" s="17"/>
      <c r="Q1935" s="17"/>
    </row>
    <row r="1936" spans="2:17">
      <c r="B1936" s="15" t="str">
        <f t="shared" si="71"/>
        <v/>
      </c>
      <c r="C1936" s="16" t="str">
        <f>IFERROR(VLOOKUP(DATA!#REF!,DATA!#REF!,1,FALSE),"")</f>
        <v/>
      </c>
      <c r="D1936" s="16" t="str">
        <f>IFERROR(VLOOKUP(C1936,DATA!#REF!,2,FALSE),"")</f>
        <v/>
      </c>
      <c r="I1936" s="17"/>
      <c r="J1936" s="17"/>
      <c r="P1936" s="17"/>
      <c r="Q1936" s="17"/>
    </row>
    <row r="1937" spans="2:17">
      <c r="B1937" s="15" t="str">
        <f t="shared" si="71"/>
        <v/>
      </c>
      <c r="C1937" s="16" t="str">
        <f>IFERROR(VLOOKUP(DATA!#REF!,DATA!#REF!,1,FALSE),"")</f>
        <v/>
      </c>
      <c r="D1937" s="16" t="str">
        <f>IFERROR(VLOOKUP(C1937,DATA!#REF!,2,FALSE),"")</f>
        <v/>
      </c>
      <c r="I1937" s="17"/>
      <c r="J1937" s="17"/>
      <c r="P1937" s="17"/>
      <c r="Q1937" s="17"/>
    </row>
    <row r="1938" spans="2:17">
      <c r="B1938" s="15" t="str">
        <f t="shared" si="71"/>
        <v/>
      </c>
      <c r="C1938" s="16" t="str">
        <f>IFERROR(VLOOKUP(DATA!#REF!,DATA!#REF!,1,FALSE),"")</f>
        <v/>
      </c>
      <c r="D1938" s="16" t="str">
        <f>IFERROR(VLOOKUP(C1938,DATA!#REF!,2,FALSE),"")</f>
        <v/>
      </c>
      <c r="I1938" s="17"/>
      <c r="J1938" s="17"/>
      <c r="P1938" s="17"/>
      <c r="Q1938" s="17"/>
    </row>
    <row r="1939" spans="2:17">
      <c r="B1939" s="15" t="str">
        <f t="shared" si="71"/>
        <v/>
      </c>
      <c r="C1939" s="16" t="str">
        <f>IFERROR(VLOOKUP(DATA!#REF!,DATA!#REF!,1,FALSE),"")</f>
        <v/>
      </c>
      <c r="D1939" s="16" t="str">
        <f>IFERROR(VLOOKUP(C1939,DATA!#REF!,2,FALSE),"")</f>
        <v/>
      </c>
      <c r="I1939" s="17"/>
      <c r="J1939" s="17"/>
      <c r="P1939" s="17"/>
      <c r="Q1939" s="17"/>
    </row>
    <row r="1940" spans="2:17">
      <c r="B1940" s="15" t="str">
        <f t="shared" si="71"/>
        <v/>
      </c>
      <c r="C1940" s="16" t="str">
        <f>IFERROR(VLOOKUP(DATA!#REF!,DATA!#REF!,1,FALSE),"")</f>
        <v/>
      </c>
      <c r="D1940" s="16" t="str">
        <f>IFERROR(VLOOKUP(C1940,DATA!#REF!,2,FALSE),"")</f>
        <v/>
      </c>
      <c r="I1940" s="17"/>
      <c r="J1940" s="17"/>
      <c r="P1940" s="17"/>
      <c r="Q1940" s="17"/>
    </row>
    <row r="1941" spans="2:17">
      <c r="B1941" s="15" t="str">
        <f t="shared" si="71"/>
        <v/>
      </c>
      <c r="C1941" s="16" t="str">
        <f>IFERROR(VLOOKUP(DATA!#REF!,DATA!#REF!,1,FALSE),"")</f>
        <v/>
      </c>
      <c r="D1941" s="16" t="str">
        <f>IFERROR(VLOOKUP(C1941,DATA!#REF!,2,FALSE),"")</f>
        <v/>
      </c>
      <c r="I1941" s="17"/>
      <c r="J1941" s="17"/>
      <c r="P1941" s="17"/>
      <c r="Q1941" s="17"/>
    </row>
    <row r="1942" spans="2:17">
      <c r="B1942" s="15" t="str">
        <f t="shared" si="71"/>
        <v/>
      </c>
      <c r="C1942" s="16" t="str">
        <f>IFERROR(VLOOKUP(DATA!#REF!,DATA!#REF!,1,FALSE),"")</f>
        <v/>
      </c>
      <c r="D1942" s="16" t="str">
        <f>IFERROR(VLOOKUP(C1942,DATA!#REF!,2,FALSE),"")</f>
        <v/>
      </c>
      <c r="I1942" s="17"/>
      <c r="J1942" s="17"/>
      <c r="P1942" s="17"/>
      <c r="Q1942" s="17"/>
    </row>
    <row r="1943" spans="2:17">
      <c r="B1943" s="15" t="str">
        <f t="shared" si="71"/>
        <v/>
      </c>
      <c r="C1943" s="16" t="str">
        <f>IFERROR(VLOOKUP(DATA!#REF!,DATA!#REF!,1,FALSE),"")</f>
        <v/>
      </c>
      <c r="D1943" s="16" t="str">
        <f>IFERROR(VLOOKUP(C1943,DATA!#REF!,2,FALSE),"")</f>
        <v/>
      </c>
      <c r="I1943" s="17"/>
      <c r="J1943" s="17"/>
      <c r="P1943" s="17"/>
      <c r="Q1943" s="17"/>
    </row>
    <row r="1944" spans="2:17">
      <c r="B1944" s="15" t="str">
        <f t="shared" si="71"/>
        <v/>
      </c>
      <c r="C1944" s="16" t="str">
        <f>IFERROR(VLOOKUP(DATA!#REF!,DATA!#REF!,1,FALSE),"")</f>
        <v/>
      </c>
      <c r="D1944" s="16" t="str">
        <f>IFERROR(VLOOKUP(C1944,DATA!#REF!,2,FALSE),"")</f>
        <v/>
      </c>
      <c r="I1944" s="17"/>
      <c r="J1944" s="17"/>
      <c r="P1944" s="17"/>
      <c r="Q1944" s="17"/>
    </row>
    <row r="1945" spans="2:17">
      <c r="B1945" s="15" t="str">
        <f t="shared" si="71"/>
        <v/>
      </c>
      <c r="C1945" s="16" t="str">
        <f>IFERROR(VLOOKUP(DATA!#REF!,DATA!#REF!,1,FALSE),"")</f>
        <v/>
      </c>
      <c r="D1945" s="16" t="str">
        <f>IFERROR(VLOOKUP(C1945,DATA!#REF!,2,FALSE),"")</f>
        <v/>
      </c>
      <c r="I1945" s="17"/>
      <c r="J1945" s="17"/>
      <c r="P1945" s="17"/>
      <c r="Q1945" s="17"/>
    </row>
    <row r="1946" spans="2:17">
      <c r="B1946" s="15" t="str">
        <f t="shared" si="71"/>
        <v/>
      </c>
      <c r="C1946" s="16" t="str">
        <f>IFERROR(VLOOKUP(DATA!#REF!,DATA!#REF!,1,FALSE),"")</f>
        <v/>
      </c>
      <c r="D1946" s="16" t="str">
        <f>IFERROR(VLOOKUP(C1946,DATA!#REF!,2,FALSE),"")</f>
        <v/>
      </c>
      <c r="I1946" s="17"/>
      <c r="J1946" s="17"/>
      <c r="P1946" s="17"/>
      <c r="Q1946" s="17"/>
    </row>
    <row r="1947" spans="2:17">
      <c r="B1947" s="15" t="str">
        <f t="shared" si="71"/>
        <v/>
      </c>
      <c r="C1947" s="16" t="str">
        <f>IFERROR(VLOOKUP(DATA!#REF!,DATA!#REF!,1,FALSE),"")</f>
        <v/>
      </c>
      <c r="D1947" s="16" t="str">
        <f>IFERROR(VLOOKUP(C1947,DATA!#REF!,2,FALSE),"")</f>
        <v/>
      </c>
      <c r="I1947" s="17"/>
      <c r="J1947" s="17"/>
      <c r="P1947" s="17"/>
      <c r="Q1947" s="17"/>
    </row>
    <row r="1948" spans="2:17">
      <c r="B1948" s="15" t="str">
        <f t="shared" si="71"/>
        <v/>
      </c>
      <c r="C1948" s="16" t="str">
        <f>IFERROR(VLOOKUP(DATA!#REF!,DATA!#REF!,1,FALSE),"")</f>
        <v/>
      </c>
      <c r="D1948" s="16" t="str">
        <f>IFERROR(VLOOKUP(C1948,DATA!#REF!,2,FALSE),"")</f>
        <v/>
      </c>
      <c r="I1948" s="17"/>
      <c r="J1948" s="17"/>
      <c r="P1948" s="17"/>
      <c r="Q1948" s="17"/>
    </row>
    <row r="1949" spans="2:17">
      <c r="B1949" s="15" t="str">
        <f t="shared" si="71"/>
        <v/>
      </c>
      <c r="C1949" s="16" t="str">
        <f>IFERROR(VLOOKUP(DATA!#REF!,DATA!#REF!,1,FALSE),"")</f>
        <v/>
      </c>
      <c r="D1949" s="16" t="str">
        <f>IFERROR(VLOOKUP(C1949,DATA!#REF!,2,FALSE),"")</f>
        <v/>
      </c>
      <c r="I1949" s="17"/>
      <c r="J1949" s="17"/>
      <c r="P1949" s="17"/>
      <c r="Q1949" s="17"/>
    </row>
    <row r="1950" spans="2:17">
      <c r="B1950" s="15" t="str">
        <f t="shared" si="71"/>
        <v/>
      </c>
      <c r="C1950" s="16" t="str">
        <f>IFERROR(VLOOKUP(DATA!#REF!,DATA!#REF!,1,FALSE),"")</f>
        <v/>
      </c>
      <c r="D1950" s="16" t="str">
        <f>IFERROR(VLOOKUP(C1950,DATA!#REF!,2,FALSE),"")</f>
        <v/>
      </c>
      <c r="I1950" s="17"/>
      <c r="J1950" s="17"/>
      <c r="P1950" s="17"/>
      <c r="Q1950" s="17"/>
    </row>
    <row r="1951" spans="2:17">
      <c r="B1951" s="15" t="str">
        <f t="shared" si="71"/>
        <v/>
      </c>
      <c r="C1951" s="16" t="str">
        <f>IFERROR(VLOOKUP(DATA!#REF!,DATA!#REF!,1,FALSE),"")</f>
        <v/>
      </c>
      <c r="D1951" s="16" t="str">
        <f>IFERROR(VLOOKUP(C1951,DATA!#REF!,2,FALSE),"")</f>
        <v/>
      </c>
      <c r="I1951" s="17"/>
      <c r="J1951" s="17"/>
      <c r="P1951" s="17"/>
      <c r="Q1951" s="17"/>
    </row>
    <row r="1952" spans="2:17">
      <c r="B1952" s="15" t="str">
        <f t="shared" si="71"/>
        <v/>
      </c>
      <c r="C1952" s="16" t="str">
        <f>IFERROR(VLOOKUP(DATA!#REF!,DATA!#REF!,1,FALSE),"")</f>
        <v/>
      </c>
      <c r="D1952" s="16" t="str">
        <f>IFERROR(VLOOKUP(C1952,DATA!#REF!,2,FALSE),"")</f>
        <v/>
      </c>
      <c r="I1952" s="17"/>
      <c r="J1952" s="17"/>
      <c r="P1952" s="17"/>
      <c r="Q1952" s="17"/>
    </row>
    <row r="1953" spans="2:17">
      <c r="B1953" s="15" t="str">
        <f t="shared" si="71"/>
        <v/>
      </c>
      <c r="C1953" s="16" t="str">
        <f>IFERROR(VLOOKUP(DATA!#REF!,DATA!#REF!,1,FALSE),"")</f>
        <v/>
      </c>
      <c r="D1953" s="16" t="str">
        <f>IFERROR(VLOOKUP(C1953,DATA!#REF!,2,FALSE),"")</f>
        <v/>
      </c>
      <c r="I1953" s="17"/>
      <c r="J1953" s="17"/>
      <c r="P1953" s="17"/>
      <c r="Q1953" s="17"/>
    </row>
    <row r="1954" spans="2:17">
      <c r="B1954" s="15" t="str">
        <f t="shared" si="71"/>
        <v/>
      </c>
      <c r="C1954" s="16" t="str">
        <f>IFERROR(VLOOKUP(DATA!#REF!,DATA!#REF!,1,FALSE),"")</f>
        <v/>
      </c>
      <c r="D1954" s="16" t="str">
        <f>IFERROR(VLOOKUP(C1954,DATA!#REF!,2,FALSE),"")</f>
        <v/>
      </c>
      <c r="I1954" s="17"/>
      <c r="J1954" s="17"/>
      <c r="P1954" s="17"/>
      <c r="Q1954" s="17"/>
    </row>
    <row r="1955" spans="2:17">
      <c r="B1955" s="15" t="str">
        <f t="shared" si="71"/>
        <v/>
      </c>
      <c r="C1955" s="16" t="str">
        <f>IFERROR(VLOOKUP(DATA!#REF!,DATA!#REF!,1,FALSE),"")</f>
        <v/>
      </c>
      <c r="D1955" s="16" t="str">
        <f>IFERROR(VLOOKUP(C1955,DATA!#REF!,2,FALSE),"")</f>
        <v/>
      </c>
      <c r="I1955" s="17"/>
      <c r="J1955" s="17"/>
      <c r="P1955" s="17"/>
      <c r="Q1955" s="17"/>
    </row>
    <row r="1956" spans="2:17">
      <c r="B1956" s="15" t="str">
        <f t="shared" si="71"/>
        <v/>
      </c>
      <c r="C1956" s="16" t="str">
        <f>IFERROR(VLOOKUP(DATA!#REF!,DATA!#REF!,1,FALSE),"")</f>
        <v/>
      </c>
      <c r="D1956" s="16" t="str">
        <f>IFERROR(VLOOKUP(C1956,DATA!#REF!,2,FALSE),"")</f>
        <v/>
      </c>
      <c r="I1956" s="17"/>
      <c r="J1956" s="17"/>
      <c r="P1956" s="17"/>
      <c r="Q1956" s="17"/>
    </row>
    <row r="1957" spans="2:17">
      <c r="B1957" s="15" t="str">
        <f t="shared" si="71"/>
        <v/>
      </c>
      <c r="C1957" s="16" t="str">
        <f>IFERROR(VLOOKUP(DATA!#REF!,DATA!#REF!,1,FALSE),"")</f>
        <v/>
      </c>
      <c r="D1957" s="16" t="str">
        <f>IFERROR(VLOOKUP(C1957,DATA!#REF!,2,FALSE),"")</f>
        <v/>
      </c>
      <c r="I1957" s="17"/>
      <c r="J1957" s="17"/>
      <c r="P1957" s="17"/>
      <c r="Q1957" s="17"/>
    </row>
    <row r="1958" spans="2:17">
      <c r="B1958" s="15" t="str">
        <f t="shared" si="71"/>
        <v/>
      </c>
      <c r="C1958" s="16" t="str">
        <f>IFERROR(VLOOKUP(DATA!#REF!,DATA!#REF!,1,FALSE),"")</f>
        <v/>
      </c>
      <c r="D1958" s="16" t="str">
        <f>IFERROR(VLOOKUP(C1958,DATA!#REF!,2,FALSE),"")</f>
        <v/>
      </c>
      <c r="I1958" s="17"/>
      <c r="J1958" s="17"/>
      <c r="P1958" s="17"/>
      <c r="Q1958" s="17"/>
    </row>
    <row r="1959" spans="2:17">
      <c r="B1959" s="15" t="str">
        <f t="shared" si="71"/>
        <v/>
      </c>
      <c r="C1959" s="16" t="str">
        <f>IFERROR(VLOOKUP(DATA!#REF!,DATA!#REF!,1,FALSE),"")</f>
        <v/>
      </c>
      <c r="D1959" s="16" t="str">
        <f>IFERROR(VLOOKUP(C1959,DATA!#REF!,2,FALSE),"")</f>
        <v/>
      </c>
      <c r="I1959" s="17"/>
      <c r="J1959" s="17"/>
      <c r="P1959" s="17"/>
      <c r="Q1959" s="17"/>
    </row>
    <row r="1960" spans="2:17">
      <c r="B1960" s="15" t="str">
        <f t="shared" si="71"/>
        <v/>
      </c>
      <c r="C1960" s="16" t="str">
        <f>IFERROR(VLOOKUP(DATA!#REF!,DATA!#REF!,1,FALSE),"")</f>
        <v/>
      </c>
      <c r="D1960" s="16" t="str">
        <f>IFERROR(VLOOKUP(C1960,DATA!#REF!,2,FALSE),"")</f>
        <v/>
      </c>
      <c r="I1960" s="17"/>
      <c r="J1960" s="17"/>
      <c r="P1960" s="17"/>
      <c r="Q1960" s="17"/>
    </row>
    <row r="1961" spans="2:17">
      <c r="B1961" s="15" t="str">
        <f t="shared" si="71"/>
        <v/>
      </c>
      <c r="C1961" s="16" t="str">
        <f>IFERROR(VLOOKUP(DATA!#REF!,DATA!#REF!,1,FALSE),"")</f>
        <v/>
      </c>
      <c r="D1961" s="16" t="str">
        <f>IFERROR(VLOOKUP(C1961,DATA!#REF!,2,FALSE),"")</f>
        <v/>
      </c>
      <c r="I1961" s="17"/>
      <c r="J1961" s="17"/>
      <c r="P1961" s="17"/>
      <c r="Q1961" s="17"/>
    </row>
    <row r="1962" spans="2:17">
      <c r="B1962" s="15" t="str">
        <f t="shared" si="71"/>
        <v/>
      </c>
      <c r="C1962" s="16" t="str">
        <f>IFERROR(VLOOKUP(DATA!#REF!,DATA!#REF!,1,FALSE),"")</f>
        <v/>
      </c>
      <c r="D1962" s="16" t="str">
        <f>IFERROR(VLOOKUP(C1962,DATA!#REF!,2,FALSE),"")</f>
        <v/>
      </c>
      <c r="I1962" s="17"/>
      <c r="J1962" s="17"/>
      <c r="P1962" s="17"/>
      <c r="Q1962" s="17"/>
    </row>
    <row r="1963" spans="2:17">
      <c r="B1963" s="15" t="str">
        <f t="shared" si="71"/>
        <v/>
      </c>
      <c r="C1963" s="16" t="str">
        <f>IFERROR(VLOOKUP(DATA!#REF!,DATA!#REF!,1,FALSE),"")</f>
        <v/>
      </c>
      <c r="D1963" s="16" t="str">
        <f>IFERROR(VLOOKUP(C1963,DATA!#REF!,2,FALSE),"")</f>
        <v/>
      </c>
      <c r="I1963" s="17"/>
      <c r="J1963" s="17"/>
      <c r="P1963" s="17"/>
      <c r="Q1963" s="17"/>
    </row>
    <row r="1964" spans="2:17">
      <c r="B1964" s="15" t="str">
        <f t="shared" si="71"/>
        <v/>
      </c>
      <c r="C1964" s="16" t="str">
        <f>IFERROR(VLOOKUP(DATA!#REF!,DATA!#REF!,1,FALSE),"")</f>
        <v/>
      </c>
      <c r="D1964" s="16" t="str">
        <f>IFERROR(VLOOKUP(C1964,DATA!#REF!,2,FALSE),"")</f>
        <v/>
      </c>
      <c r="I1964" s="17"/>
      <c r="J1964" s="17"/>
      <c r="P1964" s="17"/>
      <c r="Q1964" s="17"/>
    </row>
    <row r="1965" spans="2:17">
      <c r="B1965" s="15" t="str">
        <f t="shared" si="71"/>
        <v/>
      </c>
      <c r="C1965" s="16" t="str">
        <f>IFERROR(VLOOKUP(DATA!#REF!,DATA!#REF!,1,FALSE),"")</f>
        <v/>
      </c>
      <c r="D1965" s="16" t="str">
        <f>IFERROR(VLOOKUP(C1965,DATA!#REF!,2,FALSE),"")</f>
        <v/>
      </c>
      <c r="I1965" s="17"/>
      <c r="J1965" s="17"/>
      <c r="P1965" s="17"/>
      <c r="Q1965" s="17"/>
    </row>
    <row r="1966" spans="2:17">
      <c r="B1966" s="15" t="str">
        <f t="shared" si="71"/>
        <v/>
      </c>
      <c r="C1966" s="16" t="str">
        <f>IFERROR(VLOOKUP(DATA!#REF!,DATA!#REF!,1,FALSE),"")</f>
        <v/>
      </c>
      <c r="D1966" s="16" t="str">
        <f>IFERROR(VLOOKUP(C1966,DATA!#REF!,2,FALSE),"")</f>
        <v/>
      </c>
      <c r="I1966" s="17"/>
      <c r="J1966" s="17"/>
      <c r="P1966" s="17"/>
      <c r="Q1966" s="17"/>
    </row>
    <row r="1967" spans="2:17">
      <c r="B1967" s="15" t="str">
        <f t="shared" si="71"/>
        <v/>
      </c>
      <c r="C1967" s="16" t="str">
        <f>IFERROR(VLOOKUP(DATA!#REF!,DATA!#REF!,1,FALSE),"")</f>
        <v/>
      </c>
      <c r="D1967" s="16" t="str">
        <f>IFERROR(VLOOKUP(C1967,DATA!#REF!,2,FALSE),"")</f>
        <v/>
      </c>
      <c r="I1967" s="17"/>
      <c r="J1967" s="17"/>
      <c r="P1967" s="17"/>
      <c r="Q1967" s="17"/>
    </row>
    <row r="1968" spans="2:17">
      <c r="B1968" s="15" t="str">
        <f t="shared" si="71"/>
        <v/>
      </c>
      <c r="C1968" s="16" t="str">
        <f>IFERROR(VLOOKUP(DATA!#REF!,DATA!#REF!,1,FALSE),"")</f>
        <v/>
      </c>
      <c r="D1968" s="16" t="str">
        <f>IFERROR(VLOOKUP(C1968,DATA!#REF!,2,FALSE),"")</f>
        <v/>
      </c>
      <c r="I1968" s="17"/>
      <c r="J1968" s="17"/>
      <c r="P1968" s="17"/>
      <c r="Q1968" s="17"/>
    </row>
    <row r="1969" spans="2:17">
      <c r="B1969" s="15" t="str">
        <f t="shared" si="71"/>
        <v/>
      </c>
      <c r="C1969" s="16" t="str">
        <f>IFERROR(VLOOKUP(DATA!#REF!,DATA!#REF!,1,FALSE),"")</f>
        <v/>
      </c>
      <c r="D1969" s="16" t="str">
        <f>IFERROR(VLOOKUP(C1969,DATA!#REF!,2,FALSE),"")</f>
        <v/>
      </c>
      <c r="I1969" s="17"/>
      <c r="J1969" s="17"/>
      <c r="P1969" s="17"/>
      <c r="Q1969" s="17"/>
    </row>
    <row r="1970" spans="2:17">
      <c r="B1970" s="15" t="str">
        <f t="shared" si="71"/>
        <v/>
      </c>
      <c r="C1970" s="16" t="str">
        <f>IFERROR(VLOOKUP(DATA!#REF!,DATA!#REF!,1,FALSE),"")</f>
        <v/>
      </c>
      <c r="D1970" s="16" t="str">
        <f>IFERROR(VLOOKUP(C1970,DATA!#REF!,2,FALSE),"")</f>
        <v/>
      </c>
      <c r="I1970" s="17"/>
      <c r="J1970" s="17"/>
      <c r="P1970" s="17"/>
      <c r="Q1970" s="17"/>
    </row>
    <row r="1971" spans="2:17">
      <c r="B1971" s="15" t="str">
        <f t="shared" si="71"/>
        <v/>
      </c>
      <c r="C1971" s="16" t="str">
        <f>IFERROR(VLOOKUP(DATA!#REF!,DATA!#REF!,1,FALSE),"")</f>
        <v/>
      </c>
      <c r="D1971" s="16" t="str">
        <f>IFERROR(VLOOKUP(C1971,DATA!#REF!,2,FALSE),"")</f>
        <v/>
      </c>
      <c r="I1971" s="17"/>
      <c r="J1971" s="17"/>
      <c r="P1971" s="17"/>
      <c r="Q1971" s="17"/>
    </row>
    <row r="1972" spans="2:17">
      <c r="B1972" s="15" t="str">
        <f t="shared" si="71"/>
        <v/>
      </c>
      <c r="C1972" s="16" t="str">
        <f>IFERROR(VLOOKUP(DATA!#REF!,DATA!#REF!,1,FALSE),"")</f>
        <v/>
      </c>
      <c r="D1972" s="16" t="str">
        <f>IFERROR(VLOOKUP(C1972,DATA!#REF!,2,FALSE),"")</f>
        <v/>
      </c>
      <c r="I1972" s="17"/>
      <c r="J1972" s="17"/>
      <c r="P1972" s="17"/>
      <c r="Q1972" s="17"/>
    </row>
    <row r="1973" spans="2:17">
      <c r="B1973" s="15" t="str">
        <f t="shared" si="71"/>
        <v/>
      </c>
      <c r="C1973" s="16" t="str">
        <f>IFERROR(VLOOKUP(DATA!#REF!,DATA!#REF!,1,FALSE),"")</f>
        <v/>
      </c>
      <c r="D1973" s="16" t="str">
        <f>IFERROR(VLOOKUP(C1973,DATA!#REF!,2,FALSE),"")</f>
        <v/>
      </c>
      <c r="I1973" s="17"/>
      <c r="J1973" s="17"/>
      <c r="P1973" s="17"/>
      <c r="Q1973" s="17"/>
    </row>
    <row r="1974" spans="2:17">
      <c r="B1974" s="15" t="str">
        <f t="shared" si="71"/>
        <v/>
      </c>
      <c r="C1974" s="16" t="str">
        <f>IFERROR(VLOOKUP(DATA!#REF!,DATA!#REF!,1,FALSE),"")</f>
        <v/>
      </c>
      <c r="D1974" s="16" t="str">
        <f>IFERROR(VLOOKUP(C1974,DATA!#REF!,2,FALSE),"")</f>
        <v/>
      </c>
      <c r="I1974" s="17"/>
      <c r="J1974" s="17"/>
      <c r="P1974" s="17"/>
      <c r="Q1974" s="17"/>
    </row>
    <row r="1975" spans="2:17">
      <c r="B1975" s="15" t="str">
        <f t="shared" ref="B1975:B2038" si="72">+IF(C1975="","",ROW()-5)</f>
        <v/>
      </c>
      <c r="C1975" s="16" t="str">
        <f>IFERROR(VLOOKUP(DATA!#REF!,DATA!#REF!,1,FALSE),"")</f>
        <v/>
      </c>
      <c r="D1975" s="16" t="str">
        <f>IFERROR(VLOOKUP(C1975,DATA!#REF!,2,FALSE),"")</f>
        <v/>
      </c>
      <c r="I1975" s="17"/>
      <c r="J1975" s="17"/>
      <c r="P1975" s="17"/>
      <c r="Q1975" s="17"/>
    </row>
    <row r="1976" spans="2:17">
      <c r="B1976" s="15" t="str">
        <f t="shared" si="72"/>
        <v/>
      </c>
      <c r="C1976" s="16" t="str">
        <f>IFERROR(VLOOKUP(DATA!#REF!,DATA!#REF!,1,FALSE),"")</f>
        <v/>
      </c>
      <c r="D1976" s="16" t="str">
        <f>IFERROR(VLOOKUP(C1976,DATA!#REF!,2,FALSE),"")</f>
        <v/>
      </c>
      <c r="I1976" s="17"/>
      <c r="J1976" s="17"/>
      <c r="P1976" s="17"/>
      <c r="Q1976" s="17"/>
    </row>
    <row r="1977" spans="2:17">
      <c r="B1977" s="15" t="str">
        <f t="shared" si="72"/>
        <v/>
      </c>
      <c r="C1977" s="16" t="str">
        <f>IFERROR(VLOOKUP(DATA!#REF!,DATA!#REF!,1,FALSE),"")</f>
        <v/>
      </c>
      <c r="D1977" s="16" t="str">
        <f>IFERROR(VLOOKUP(C1977,DATA!#REF!,2,FALSE),"")</f>
        <v/>
      </c>
      <c r="I1977" s="17"/>
      <c r="J1977" s="17"/>
      <c r="P1977" s="17"/>
      <c r="Q1977" s="17"/>
    </row>
    <row r="1978" spans="2:17">
      <c r="B1978" s="15" t="str">
        <f t="shared" si="72"/>
        <v/>
      </c>
      <c r="C1978" s="16" t="str">
        <f>IFERROR(VLOOKUP(DATA!#REF!,DATA!#REF!,1,FALSE),"")</f>
        <v/>
      </c>
      <c r="D1978" s="16" t="str">
        <f>IFERROR(VLOOKUP(C1978,DATA!#REF!,2,FALSE),"")</f>
        <v/>
      </c>
      <c r="I1978" s="17"/>
      <c r="J1978" s="17"/>
      <c r="P1978" s="17"/>
      <c r="Q1978" s="17"/>
    </row>
    <row r="1979" spans="2:17">
      <c r="B1979" s="15" t="str">
        <f t="shared" si="72"/>
        <v/>
      </c>
      <c r="C1979" s="16" t="str">
        <f>IFERROR(VLOOKUP(DATA!#REF!,DATA!#REF!,1,FALSE),"")</f>
        <v/>
      </c>
      <c r="D1979" s="16" t="str">
        <f>IFERROR(VLOOKUP(C1979,DATA!#REF!,2,FALSE),"")</f>
        <v/>
      </c>
      <c r="I1979" s="17"/>
      <c r="J1979" s="17"/>
      <c r="P1979" s="17"/>
      <c r="Q1979" s="17"/>
    </row>
    <row r="1980" spans="2:17">
      <c r="B1980" s="15" t="str">
        <f t="shared" si="72"/>
        <v/>
      </c>
      <c r="C1980" s="16" t="str">
        <f>IFERROR(VLOOKUP(DATA!#REF!,DATA!#REF!,1,FALSE),"")</f>
        <v/>
      </c>
      <c r="D1980" s="16" t="str">
        <f>IFERROR(VLOOKUP(C1980,DATA!#REF!,2,FALSE),"")</f>
        <v/>
      </c>
      <c r="I1980" s="17"/>
      <c r="J1980" s="17"/>
      <c r="P1980" s="17"/>
      <c r="Q1980" s="17"/>
    </row>
    <row r="1981" spans="2:17">
      <c r="B1981" s="15" t="str">
        <f t="shared" si="72"/>
        <v/>
      </c>
      <c r="C1981" s="16" t="str">
        <f>IFERROR(VLOOKUP(DATA!#REF!,DATA!#REF!,1,FALSE),"")</f>
        <v/>
      </c>
      <c r="D1981" s="16" t="str">
        <f>IFERROR(VLOOKUP(C1981,DATA!#REF!,2,FALSE),"")</f>
        <v/>
      </c>
      <c r="I1981" s="17"/>
      <c r="J1981" s="17"/>
      <c r="P1981" s="17"/>
      <c r="Q1981" s="17"/>
    </row>
    <row r="1982" spans="2:17">
      <c r="B1982" s="15" t="str">
        <f t="shared" si="72"/>
        <v/>
      </c>
      <c r="C1982" s="16" t="str">
        <f>IFERROR(VLOOKUP(DATA!#REF!,DATA!#REF!,1,FALSE),"")</f>
        <v/>
      </c>
      <c r="D1982" s="16" t="str">
        <f>IFERROR(VLOOKUP(C1982,DATA!#REF!,2,FALSE),"")</f>
        <v/>
      </c>
      <c r="I1982" s="17"/>
      <c r="J1982" s="17"/>
      <c r="P1982" s="17"/>
      <c r="Q1982" s="17"/>
    </row>
    <row r="1983" spans="2:17">
      <c r="B1983" s="15" t="str">
        <f t="shared" si="72"/>
        <v/>
      </c>
      <c r="C1983" s="16" t="str">
        <f>IFERROR(VLOOKUP(DATA!#REF!,DATA!#REF!,1,FALSE),"")</f>
        <v/>
      </c>
      <c r="D1983" s="16" t="str">
        <f>IFERROR(VLOOKUP(C1983,DATA!#REF!,2,FALSE),"")</f>
        <v/>
      </c>
      <c r="I1983" s="17"/>
      <c r="J1983" s="17"/>
      <c r="P1983" s="17"/>
      <c r="Q1983" s="17"/>
    </row>
    <row r="1984" spans="2:17">
      <c r="B1984" s="15" t="str">
        <f t="shared" si="72"/>
        <v/>
      </c>
      <c r="C1984" s="16" t="str">
        <f>IFERROR(VLOOKUP(DATA!#REF!,DATA!#REF!,1,FALSE),"")</f>
        <v/>
      </c>
      <c r="D1984" s="16" t="str">
        <f>IFERROR(VLOOKUP(C1984,DATA!#REF!,2,FALSE),"")</f>
        <v/>
      </c>
      <c r="I1984" s="17"/>
      <c r="J1984" s="17"/>
      <c r="P1984" s="17"/>
      <c r="Q1984" s="17"/>
    </row>
    <row r="1985" spans="2:17">
      <c r="B1985" s="15" t="str">
        <f t="shared" si="72"/>
        <v/>
      </c>
      <c r="C1985" s="16" t="str">
        <f>IFERROR(VLOOKUP(DATA!#REF!,DATA!#REF!,1,FALSE),"")</f>
        <v/>
      </c>
      <c r="D1985" s="16" t="str">
        <f>IFERROR(VLOOKUP(C1985,DATA!#REF!,2,FALSE),"")</f>
        <v/>
      </c>
      <c r="I1985" s="17"/>
      <c r="J1985" s="17"/>
      <c r="P1985" s="17"/>
      <c r="Q1985" s="17"/>
    </row>
    <row r="1986" spans="2:17">
      <c r="B1986" s="15" t="str">
        <f t="shared" si="72"/>
        <v/>
      </c>
      <c r="C1986" s="16" t="str">
        <f>IFERROR(VLOOKUP(DATA!#REF!,DATA!#REF!,1,FALSE),"")</f>
        <v/>
      </c>
      <c r="D1986" s="16" t="str">
        <f>IFERROR(VLOOKUP(C1986,DATA!#REF!,2,FALSE),"")</f>
        <v/>
      </c>
      <c r="I1986" s="17"/>
      <c r="J1986" s="17"/>
      <c r="P1986" s="17"/>
      <c r="Q1986" s="17"/>
    </row>
    <row r="1987" spans="2:17">
      <c r="B1987" s="15" t="str">
        <f t="shared" si="72"/>
        <v/>
      </c>
      <c r="C1987" s="16" t="str">
        <f>IFERROR(VLOOKUP(DATA!#REF!,DATA!#REF!,1,FALSE),"")</f>
        <v/>
      </c>
      <c r="D1987" s="16" t="str">
        <f>IFERROR(VLOOKUP(C1987,DATA!#REF!,2,FALSE),"")</f>
        <v/>
      </c>
      <c r="I1987" s="17"/>
      <c r="J1987" s="17"/>
      <c r="P1987" s="17"/>
      <c r="Q1987" s="17"/>
    </row>
    <row r="1988" spans="2:17">
      <c r="B1988" s="15" t="str">
        <f t="shared" si="72"/>
        <v/>
      </c>
      <c r="C1988" s="16" t="str">
        <f>IFERROR(VLOOKUP(DATA!#REF!,DATA!#REF!,1,FALSE),"")</f>
        <v/>
      </c>
      <c r="D1988" s="16" t="str">
        <f>IFERROR(VLOOKUP(C1988,DATA!#REF!,2,FALSE),"")</f>
        <v/>
      </c>
      <c r="I1988" s="17"/>
      <c r="J1988" s="17"/>
      <c r="P1988" s="17"/>
      <c r="Q1988" s="17"/>
    </row>
    <row r="1989" spans="2:17">
      <c r="B1989" s="15" t="str">
        <f t="shared" si="72"/>
        <v/>
      </c>
      <c r="C1989" s="16" t="str">
        <f>IFERROR(VLOOKUP(DATA!#REF!,DATA!#REF!,1,FALSE),"")</f>
        <v/>
      </c>
      <c r="D1989" s="16" t="str">
        <f>IFERROR(VLOOKUP(C1989,DATA!#REF!,2,FALSE),"")</f>
        <v/>
      </c>
      <c r="I1989" s="17"/>
      <c r="J1989" s="17"/>
      <c r="P1989" s="17"/>
      <c r="Q1989" s="17"/>
    </row>
    <row r="1990" spans="2:17">
      <c r="B1990" s="15" t="str">
        <f t="shared" si="72"/>
        <v/>
      </c>
      <c r="C1990" s="16" t="str">
        <f>IFERROR(VLOOKUP(DATA!#REF!,DATA!#REF!,1,FALSE),"")</f>
        <v/>
      </c>
      <c r="D1990" s="16" t="str">
        <f>IFERROR(VLOOKUP(C1990,DATA!#REF!,2,FALSE),"")</f>
        <v/>
      </c>
      <c r="I1990" s="17"/>
      <c r="J1990" s="17"/>
      <c r="P1990" s="17"/>
      <c r="Q1990" s="17"/>
    </row>
    <row r="1991" spans="2:17">
      <c r="B1991" s="15" t="str">
        <f t="shared" si="72"/>
        <v/>
      </c>
      <c r="C1991" s="16" t="str">
        <f>IFERROR(VLOOKUP(DATA!#REF!,DATA!#REF!,1,FALSE),"")</f>
        <v/>
      </c>
      <c r="D1991" s="16" t="str">
        <f>IFERROR(VLOOKUP(C1991,DATA!#REF!,2,FALSE),"")</f>
        <v/>
      </c>
      <c r="I1991" s="17"/>
      <c r="J1991" s="17"/>
      <c r="P1991" s="17"/>
      <c r="Q1991" s="17"/>
    </row>
    <row r="1992" spans="2:17">
      <c r="B1992" s="15" t="str">
        <f t="shared" si="72"/>
        <v/>
      </c>
      <c r="C1992" s="16" t="str">
        <f>IFERROR(VLOOKUP(DATA!#REF!,DATA!#REF!,1,FALSE),"")</f>
        <v/>
      </c>
      <c r="D1992" s="16" t="str">
        <f>IFERROR(VLOOKUP(C1992,DATA!#REF!,2,FALSE),"")</f>
        <v/>
      </c>
      <c r="I1992" s="17"/>
      <c r="J1992" s="17"/>
      <c r="P1992" s="17"/>
      <c r="Q1992" s="17"/>
    </row>
    <row r="1993" spans="2:17">
      <c r="B1993" s="15" t="str">
        <f t="shared" si="72"/>
        <v/>
      </c>
      <c r="C1993" s="16" t="str">
        <f>IFERROR(VLOOKUP(DATA!#REF!,DATA!#REF!,1,FALSE),"")</f>
        <v/>
      </c>
      <c r="D1993" s="16" t="str">
        <f>IFERROR(VLOOKUP(C1993,DATA!#REF!,2,FALSE),"")</f>
        <v/>
      </c>
      <c r="I1993" s="17"/>
      <c r="J1993" s="17"/>
      <c r="P1993" s="17"/>
      <c r="Q1993" s="17"/>
    </row>
    <row r="1994" spans="2:17">
      <c r="B1994" s="15" t="str">
        <f t="shared" si="72"/>
        <v/>
      </c>
      <c r="C1994" s="16" t="str">
        <f>IFERROR(VLOOKUP(DATA!#REF!,DATA!#REF!,1,FALSE),"")</f>
        <v/>
      </c>
      <c r="D1994" s="16" t="str">
        <f>IFERROR(VLOOKUP(C1994,DATA!#REF!,2,FALSE),"")</f>
        <v/>
      </c>
      <c r="I1994" s="17"/>
      <c r="J1994" s="17"/>
      <c r="P1994" s="17"/>
      <c r="Q1994" s="17"/>
    </row>
    <row r="1995" spans="2:17">
      <c r="B1995" s="15" t="str">
        <f t="shared" si="72"/>
        <v/>
      </c>
      <c r="C1995" s="16" t="str">
        <f>IFERROR(VLOOKUP(DATA!#REF!,DATA!#REF!,1,FALSE),"")</f>
        <v/>
      </c>
      <c r="D1995" s="16" t="str">
        <f>IFERROR(VLOOKUP(C1995,DATA!#REF!,2,FALSE),"")</f>
        <v/>
      </c>
      <c r="I1995" s="17"/>
      <c r="J1995" s="17"/>
      <c r="P1995" s="17"/>
      <c r="Q1995" s="17"/>
    </row>
    <row r="1996" spans="2:17">
      <c r="B1996" s="15" t="str">
        <f t="shared" si="72"/>
        <v/>
      </c>
      <c r="C1996" s="16" t="str">
        <f>IFERROR(VLOOKUP(DATA!#REF!,DATA!#REF!,1,FALSE),"")</f>
        <v/>
      </c>
      <c r="D1996" s="16" t="str">
        <f>IFERROR(VLOOKUP(C1996,DATA!#REF!,2,FALSE),"")</f>
        <v/>
      </c>
      <c r="I1996" s="17"/>
      <c r="J1996" s="17"/>
      <c r="P1996" s="17"/>
      <c r="Q1996" s="17"/>
    </row>
    <row r="1997" spans="2:17">
      <c r="B1997" s="15" t="str">
        <f t="shared" si="72"/>
        <v/>
      </c>
      <c r="C1997" s="16" t="str">
        <f>IFERROR(VLOOKUP(DATA!#REF!,DATA!#REF!,1,FALSE),"")</f>
        <v/>
      </c>
      <c r="D1997" s="16" t="str">
        <f>IFERROR(VLOOKUP(C1997,DATA!#REF!,2,FALSE),"")</f>
        <v/>
      </c>
      <c r="I1997" s="17"/>
      <c r="J1997" s="17"/>
      <c r="P1997" s="17"/>
      <c r="Q1997" s="17"/>
    </row>
    <row r="1998" spans="2:17">
      <c r="B1998" s="15" t="str">
        <f t="shared" si="72"/>
        <v/>
      </c>
      <c r="C1998" s="16" t="str">
        <f>IFERROR(VLOOKUP(DATA!#REF!,DATA!#REF!,1,FALSE),"")</f>
        <v/>
      </c>
      <c r="D1998" s="16" t="str">
        <f>IFERROR(VLOOKUP(C1998,DATA!#REF!,2,FALSE),"")</f>
        <v/>
      </c>
      <c r="I1998" s="17"/>
      <c r="J1998" s="17"/>
      <c r="P1998" s="17"/>
      <c r="Q1998" s="17"/>
    </row>
    <row r="1999" spans="2:17">
      <c r="B1999" s="15" t="str">
        <f t="shared" si="72"/>
        <v/>
      </c>
      <c r="C1999" s="16" t="str">
        <f>IFERROR(VLOOKUP(DATA!#REF!,DATA!#REF!,1,FALSE),"")</f>
        <v/>
      </c>
      <c r="D1999" s="16" t="str">
        <f>IFERROR(VLOOKUP(C1999,DATA!#REF!,2,FALSE),"")</f>
        <v/>
      </c>
      <c r="I1999" s="17"/>
      <c r="J1999" s="17"/>
      <c r="P1999" s="17"/>
      <c r="Q1999" s="17"/>
    </row>
    <row r="2000" spans="2:17">
      <c r="B2000" s="15" t="str">
        <f t="shared" si="72"/>
        <v/>
      </c>
      <c r="C2000" s="16" t="str">
        <f>IFERROR(VLOOKUP(DATA!#REF!,DATA!#REF!,1,FALSE),"")</f>
        <v/>
      </c>
      <c r="D2000" s="16" t="str">
        <f>IFERROR(VLOOKUP(C2000,DATA!#REF!,2,FALSE),"")</f>
        <v/>
      </c>
      <c r="I2000" s="17"/>
      <c r="J2000" s="17"/>
      <c r="P2000" s="17"/>
      <c r="Q2000" s="17"/>
    </row>
    <row r="2001" spans="2:17">
      <c r="B2001" s="15" t="str">
        <f t="shared" si="72"/>
        <v/>
      </c>
      <c r="C2001" s="16" t="str">
        <f>IFERROR(VLOOKUP(DATA!#REF!,DATA!#REF!,1,FALSE),"")</f>
        <v/>
      </c>
      <c r="D2001" s="16" t="str">
        <f>IFERROR(VLOOKUP(C2001,DATA!#REF!,2,FALSE),"")</f>
        <v/>
      </c>
      <c r="I2001" s="17"/>
      <c r="J2001" s="17"/>
      <c r="P2001" s="17"/>
      <c r="Q2001" s="17"/>
    </row>
    <row r="2002" spans="2:17">
      <c r="B2002" s="15" t="str">
        <f t="shared" si="72"/>
        <v/>
      </c>
      <c r="C2002" s="16" t="str">
        <f>IFERROR(VLOOKUP(DATA!#REF!,DATA!#REF!,1,FALSE),"")</f>
        <v/>
      </c>
      <c r="D2002" s="16" t="str">
        <f>IFERROR(VLOOKUP(C2002,DATA!#REF!,2,FALSE),"")</f>
        <v/>
      </c>
      <c r="I2002" s="17"/>
      <c r="J2002" s="17"/>
      <c r="P2002" s="17"/>
      <c r="Q2002" s="17"/>
    </row>
    <row r="2003" spans="2:17">
      <c r="B2003" s="15" t="str">
        <f t="shared" si="72"/>
        <v/>
      </c>
      <c r="C2003" s="16" t="str">
        <f>IFERROR(VLOOKUP(DATA!#REF!,DATA!#REF!,1,FALSE),"")</f>
        <v/>
      </c>
      <c r="D2003" s="16" t="str">
        <f>IFERROR(VLOOKUP(C2003,DATA!#REF!,2,FALSE),"")</f>
        <v/>
      </c>
      <c r="I2003" s="17"/>
      <c r="J2003" s="17"/>
      <c r="P2003" s="17"/>
      <c r="Q2003" s="17"/>
    </row>
    <row r="2004" spans="2:17">
      <c r="B2004" s="15" t="str">
        <f t="shared" si="72"/>
        <v/>
      </c>
      <c r="C2004" s="16" t="str">
        <f>IFERROR(VLOOKUP(DATA!#REF!,DATA!#REF!,1,FALSE),"")</f>
        <v/>
      </c>
      <c r="D2004" s="16" t="str">
        <f>IFERROR(VLOOKUP(C2004,DATA!#REF!,2,FALSE),"")</f>
        <v/>
      </c>
      <c r="I2004" s="17"/>
      <c r="J2004" s="17"/>
      <c r="P2004" s="17"/>
      <c r="Q2004" s="17"/>
    </row>
    <row r="2005" spans="2:17">
      <c r="B2005" s="15" t="str">
        <f t="shared" si="72"/>
        <v/>
      </c>
      <c r="C2005" s="16" t="str">
        <f>IFERROR(VLOOKUP(DATA!#REF!,DATA!#REF!,1,FALSE),"")</f>
        <v/>
      </c>
      <c r="D2005" s="16" t="str">
        <f>IFERROR(VLOOKUP(C2005,DATA!#REF!,2,FALSE),"")</f>
        <v/>
      </c>
      <c r="I2005" s="17"/>
      <c r="J2005" s="17"/>
      <c r="P2005" s="17"/>
      <c r="Q2005" s="17"/>
    </row>
    <row r="2006" spans="2:17">
      <c r="B2006" s="15" t="str">
        <f t="shared" si="72"/>
        <v/>
      </c>
      <c r="C2006" s="16" t="str">
        <f>IFERROR(VLOOKUP(DATA!#REF!,DATA!#REF!,1,FALSE),"")</f>
        <v/>
      </c>
      <c r="D2006" s="16" t="str">
        <f>IFERROR(VLOOKUP(C2006,DATA!#REF!,2,FALSE),"")</f>
        <v/>
      </c>
      <c r="I2006" s="17"/>
      <c r="J2006" s="17"/>
      <c r="P2006" s="17"/>
      <c r="Q2006" s="17"/>
    </row>
    <row r="2007" spans="2:17">
      <c r="B2007" s="15" t="str">
        <f t="shared" si="72"/>
        <v/>
      </c>
      <c r="C2007" s="16" t="str">
        <f>IFERROR(VLOOKUP(DATA!#REF!,DATA!#REF!,1,FALSE),"")</f>
        <v/>
      </c>
      <c r="D2007" s="16" t="str">
        <f>IFERROR(VLOOKUP(C2007,DATA!#REF!,2,FALSE),"")</f>
        <v/>
      </c>
      <c r="I2007" s="17"/>
      <c r="J2007" s="17"/>
      <c r="P2007" s="17"/>
      <c r="Q2007" s="17"/>
    </row>
    <row r="2008" spans="2:17">
      <c r="B2008" s="15" t="str">
        <f t="shared" si="72"/>
        <v/>
      </c>
      <c r="C2008" s="16" t="str">
        <f>IFERROR(VLOOKUP(DATA!#REF!,DATA!#REF!,1,FALSE),"")</f>
        <v/>
      </c>
      <c r="D2008" s="16" t="str">
        <f>IFERROR(VLOOKUP(C2008,DATA!#REF!,2,FALSE),"")</f>
        <v/>
      </c>
      <c r="I2008" s="17"/>
      <c r="J2008" s="17"/>
      <c r="P2008" s="17"/>
      <c r="Q2008" s="17"/>
    </row>
    <row r="2009" spans="2:17">
      <c r="B2009" s="15" t="str">
        <f t="shared" si="72"/>
        <v/>
      </c>
      <c r="C2009" s="16" t="str">
        <f>IFERROR(VLOOKUP(DATA!#REF!,DATA!#REF!,1,FALSE),"")</f>
        <v/>
      </c>
      <c r="D2009" s="16" t="str">
        <f>IFERROR(VLOOKUP(C2009,DATA!#REF!,2,FALSE),"")</f>
        <v/>
      </c>
      <c r="I2009" s="17"/>
      <c r="J2009" s="17"/>
      <c r="P2009" s="17"/>
      <c r="Q2009" s="17"/>
    </row>
    <row r="2010" spans="2:17">
      <c r="B2010" s="15" t="str">
        <f t="shared" si="72"/>
        <v/>
      </c>
      <c r="C2010" s="16" t="str">
        <f>IFERROR(VLOOKUP(DATA!#REF!,DATA!#REF!,1,FALSE),"")</f>
        <v/>
      </c>
      <c r="D2010" s="16" t="str">
        <f>IFERROR(VLOOKUP(C2010,DATA!#REF!,2,FALSE),"")</f>
        <v/>
      </c>
      <c r="I2010" s="17"/>
      <c r="J2010" s="17"/>
      <c r="P2010" s="17"/>
      <c r="Q2010" s="17"/>
    </row>
    <row r="2011" spans="2:17">
      <c r="B2011" s="15" t="str">
        <f t="shared" si="72"/>
        <v/>
      </c>
      <c r="C2011" s="16" t="str">
        <f>IFERROR(VLOOKUP(DATA!#REF!,DATA!#REF!,1,FALSE),"")</f>
        <v/>
      </c>
      <c r="D2011" s="16" t="str">
        <f>IFERROR(VLOOKUP(C2011,DATA!#REF!,2,FALSE),"")</f>
        <v/>
      </c>
      <c r="I2011" s="17"/>
      <c r="J2011" s="17"/>
      <c r="P2011" s="17"/>
      <c r="Q2011" s="17"/>
    </row>
    <row r="2012" spans="2:17">
      <c r="B2012" s="15" t="str">
        <f t="shared" si="72"/>
        <v/>
      </c>
      <c r="C2012" s="16" t="str">
        <f>IFERROR(VLOOKUP(DATA!#REF!,DATA!#REF!,1,FALSE),"")</f>
        <v/>
      </c>
      <c r="D2012" s="16" t="str">
        <f>IFERROR(VLOOKUP(C2012,DATA!#REF!,2,FALSE),"")</f>
        <v/>
      </c>
      <c r="I2012" s="17"/>
      <c r="J2012" s="17"/>
      <c r="P2012" s="17"/>
      <c r="Q2012" s="17"/>
    </row>
    <row r="2013" spans="2:17">
      <c r="B2013" s="15" t="str">
        <f t="shared" si="72"/>
        <v/>
      </c>
      <c r="C2013" s="16" t="str">
        <f>IFERROR(VLOOKUP(DATA!#REF!,DATA!#REF!,1,FALSE),"")</f>
        <v/>
      </c>
      <c r="D2013" s="16" t="str">
        <f>IFERROR(VLOOKUP(C2013,DATA!#REF!,2,FALSE),"")</f>
        <v/>
      </c>
      <c r="I2013" s="17"/>
      <c r="J2013" s="17"/>
      <c r="P2013" s="17"/>
      <c r="Q2013" s="17"/>
    </row>
    <row r="2014" spans="2:17">
      <c r="B2014" s="15" t="str">
        <f t="shared" si="72"/>
        <v/>
      </c>
      <c r="C2014" s="16" t="str">
        <f>IFERROR(VLOOKUP(DATA!#REF!,DATA!#REF!,1,FALSE),"")</f>
        <v/>
      </c>
      <c r="D2014" s="16" t="str">
        <f>IFERROR(VLOOKUP(C2014,DATA!#REF!,2,FALSE),"")</f>
        <v/>
      </c>
      <c r="I2014" s="17"/>
      <c r="J2014" s="17"/>
      <c r="P2014" s="17"/>
      <c r="Q2014" s="17"/>
    </row>
    <row r="2015" spans="2:17">
      <c r="B2015" s="15" t="str">
        <f t="shared" si="72"/>
        <v/>
      </c>
      <c r="C2015" s="16" t="str">
        <f>IFERROR(VLOOKUP(DATA!#REF!,DATA!#REF!,1,FALSE),"")</f>
        <v/>
      </c>
      <c r="D2015" s="16" t="str">
        <f>IFERROR(VLOOKUP(C2015,DATA!#REF!,2,FALSE),"")</f>
        <v/>
      </c>
      <c r="I2015" s="17"/>
      <c r="J2015" s="17"/>
      <c r="P2015" s="17"/>
      <c r="Q2015" s="17"/>
    </row>
    <row r="2016" spans="2:17">
      <c r="B2016" s="15" t="str">
        <f t="shared" si="72"/>
        <v/>
      </c>
      <c r="C2016" s="16" t="str">
        <f>IFERROR(VLOOKUP(DATA!#REF!,DATA!#REF!,1,FALSE),"")</f>
        <v/>
      </c>
      <c r="D2016" s="16" t="str">
        <f>IFERROR(VLOOKUP(C2016,DATA!#REF!,2,FALSE),"")</f>
        <v/>
      </c>
      <c r="I2016" s="17"/>
      <c r="J2016" s="17"/>
      <c r="P2016" s="17"/>
      <c r="Q2016" s="17"/>
    </row>
    <row r="2017" spans="2:17">
      <c r="B2017" s="15" t="str">
        <f t="shared" si="72"/>
        <v/>
      </c>
      <c r="C2017" s="16" t="str">
        <f>IFERROR(VLOOKUP(DATA!#REF!,DATA!#REF!,1,FALSE),"")</f>
        <v/>
      </c>
      <c r="D2017" s="16" t="str">
        <f>IFERROR(VLOOKUP(C2017,DATA!#REF!,2,FALSE),"")</f>
        <v/>
      </c>
      <c r="I2017" s="17"/>
      <c r="J2017" s="17"/>
      <c r="P2017" s="17"/>
      <c r="Q2017" s="17"/>
    </row>
    <row r="2018" spans="2:17">
      <c r="B2018" s="15" t="str">
        <f t="shared" si="72"/>
        <v/>
      </c>
      <c r="C2018" s="16" t="str">
        <f>IFERROR(VLOOKUP(DATA!#REF!,DATA!#REF!,1,FALSE),"")</f>
        <v/>
      </c>
      <c r="D2018" s="16" t="str">
        <f>IFERROR(VLOOKUP(C2018,DATA!#REF!,2,FALSE),"")</f>
        <v/>
      </c>
      <c r="I2018" s="17"/>
      <c r="J2018" s="17"/>
      <c r="P2018" s="17"/>
      <c r="Q2018" s="17"/>
    </row>
    <row r="2019" spans="2:17">
      <c r="B2019" s="15" t="str">
        <f t="shared" si="72"/>
        <v/>
      </c>
      <c r="C2019" s="16" t="str">
        <f>IFERROR(VLOOKUP(DATA!#REF!,DATA!#REF!,1,FALSE),"")</f>
        <v/>
      </c>
      <c r="D2019" s="16" t="str">
        <f>IFERROR(VLOOKUP(C2019,DATA!#REF!,2,FALSE),"")</f>
        <v/>
      </c>
      <c r="I2019" s="17"/>
      <c r="J2019" s="17"/>
      <c r="P2019" s="17"/>
      <c r="Q2019" s="17"/>
    </row>
    <row r="2020" spans="2:17">
      <c r="B2020" s="15" t="str">
        <f t="shared" si="72"/>
        <v/>
      </c>
      <c r="C2020" s="16" t="str">
        <f>IFERROR(VLOOKUP(DATA!#REF!,DATA!#REF!,1,FALSE),"")</f>
        <v/>
      </c>
      <c r="D2020" s="16" t="str">
        <f>IFERROR(VLOOKUP(C2020,DATA!#REF!,2,FALSE),"")</f>
        <v/>
      </c>
      <c r="I2020" s="17"/>
      <c r="J2020" s="17"/>
      <c r="P2020" s="17"/>
      <c r="Q2020" s="17"/>
    </row>
    <row r="2021" spans="2:17">
      <c r="B2021" s="15" t="str">
        <f t="shared" si="72"/>
        <v/>
      </c>
      <c r="C2021" s="16" t="str">
        <f>IFERROR(VLOOKUP(DATA!#REF!,DATA!#REF!,1,FALSE),"")</f>
        <v/>
      </c>
      <c r="D2021" s="16" t="str">
        <f>IFERROR(VLOOKUP(C2021,DATA!#REF!,2,FALSE),"")</f>
        <v/>
      </c>
      <c r="I2021" s="17"/>
      <c r="J2021" s="17"/>
      <c r="P2021" s="17"/>
      <c r="Q2021" s="17"/>
    </row>
    <row r="2022" spans="2:17">
      <c r="B2022" s="15" t="str">
        <f t="shared" si="72"/>
        <v/>
      </c>
      <c r="C2022" s="16" t="str">
        <f>IFERROR(VLOOKUP(DATA!#REF!,DATA!#REF!,1,FALSE),"")</f>
        <v/>
      </c>
      <c r="D2022" s="16" t="str">
        <f>IFERROR(VLOOKUP(C2022,DATA!#REF!,2,FALSE),"")</f>
        <v/>
      </c>
      <c r="I2022" s="17"/>
      <c r="J2022" s="17"/>
      <c r="P2022" s="17"/>
      <c r="Q2022" s="17"/>
    </row>
    <row r="2023" spans="2:17">
      <c r="B2023" s="15" t="str">
        <f t="shared" si="72"/>
        <v/>
      </c>
      <c r="C2023" s="16" t="str">
        <f>IFERROR(VLOOKUP(DATA!#REF!,DATA!#REF!,1,FALSE),"")</f>
        <v/>
      </c>
      <c r="D2023" s="16" t="str">
        <f>IFERROR(VLOOKUP(C2023,DATA!#REF!,2,FALSE),"")</f>
        <v/>
      </c>
      <c r="I2023" s="17"/>
      <c r="J2023" s="17"/>
      <c r="P2023" s="17"/>
      <c r="Q2023" s="17"/>
    </row>
    <row r="2024" spans="2:17">
      <c r="B2024" s="15" t="str">
        <f t="shared" si="72"/>
        <v/>
      </c>
      <c r="C2024" s="16" t="str">
        <f>IFERROR(VLOOKUP(DATA!#REF!,DATA!#REF!,1,FALSE),"")</f>
        <v/>
      </c>
      <c r="D2024" s="16" t="str">
        <f>IFERROR(VLOOKUP(C2024,DATA!#REF!,2,FALSE),"")</f>
        <v/>
      </c>
      <c r="I2024" s="17"/>
      <c r="J2024" s="17"/>
      <c r="P2024" s="17"/>
      <c r="Q2024" s="17"/>
    </row>
    <row r="2025" spans="2:17">
      <c r="B2025" s="15" t="str">
        <f t="shared" si="72"/>
        <v/>
      </c>
      <c r="C2025" s="16" t="str">
        <f>IFERROR(VLOOKUP(DATA!#REF!,DATA!#REF!,1,FALSE),"")</f>
        <v/>
      </c>
      <c r="D2025" s="16" t="str">
        <f>IFERROR(VLOOKUP(C2025,DATA!#REF!,2,FALSE),"")</f>
        <v/>
      </c>
      <c r="I2025" s="17"/>
      <c r="J2025" s="17"/>
      <c r="P2025" s="17"/>
      <c r="Q2025" s="17"/>
    </row>
    <row r="2026" spans="2:17">
      <c r="B2026" s="15" t="str">
        <f t="shared" si="72"/>
        <v/>
      </c>
      <c r="C2026" s="16" t="str">
        <f>IFERROR(VLOOKUP(DATA!#REF!,DATA!#REF!,1,FALSE),"")</f>
        <v/>
      </c>
      <c r="D2026" s="16" t="str">
        <f>IFERROR(VLOOKUP(C2026,DATA!#REF!,2,FALSE),"")</f>
        <v/>
      </c>
      <c r="I2026" s="17"/>
      <c r="J2026" s="17"/>
      <c r="P2026" s="17"/>
      <c r="Q2026" s="17"/>
    </row>
    <row r="2027" spans="2:17">
      <c r="B2027" s="15" t="str">
        <f t="shared" si="72"/>
        <v/>
      </c>
      <c r="C2027" s="16" t="str">
        <f>IFERROR(VLOOKUP(DATA!#REF!,DATA!#REF!,1,FALSE),"")</f>
        <v/>
      </c>
      <c r="D2027" s="16" t="str">
        <f>IFERROR(VLOOKUP(C2027,DATA!#REF!,2,FALSE),"")</f>
        <v/>
      </c>
      <c r="I2027" s="17"/>
      <c r="J2027" s="17"/>
      <c r="P2027" s="17"/>
      <c r="Q2027" s="17"/>
    </row>
    <row r="2028" spans="2:17">
      <c r="B2028" s="15" t="str">
        <f t="shared" si="72"/>
        <v/>
      </c>
      <c r="C2028" s="16" t="str">
        <f>IFERROR(VLOOKUP(DATA!#REF!,DATA!#REF!,1,FALSE),"")</f>
        <v/>
      </c>
      <c r="D2028" s="16" t="str">
        <f>IFERROR(VLOOKUP(C2028,DATA!#REF!,2,FALSE),"")</f>
        <v/>
      </c>
      <c r="I2028" s="17"/>
      <c r="J2028" s="17"/>
      <c r="P2028" s="17"/>
      <c r="Q2028" s="17"/>
    </row>
    <row r="2029" spans="2:17">
      <c r="B2029" s="15" t="str">
        <f t="shared" si="72"/>
        <v/>
      </c>
      <c r="C2029" s="16" t="str">
        <f>IFERROR(VLOOKUP(DATA!#REF!,DATA!#REF!,1,FALSE),"")</f>
        <v/>
      </c>
      <c r="D2029" s="16" t="str">
        <f>IFERROR(VLOOKUP(C2029,DATA!#REF!,2,FALSE),"")</f>
        <v/>
      </c>
      <c r="I2029" s="17"/>
      <c r="J2029" s="17"/>
      <c r="P2029" s="17"/>
      <c r="Q2029" s="17"/>
    </row>
    <row r="2030" spans="2:17">
      <c r="B2030" s="15" t="str">
        <f t="shared" si="72"/>
        <v/>
      </c>
      <c r="C2030" s="16" t="str">
        <f>IFERROR(VLOOKUP(DATA!#REF!,DATA!#REF!,1,FALSE),"")</f>
        <v/>
      </c>
      <c r="D2030" s="16" t="str">
        <f>IFERROR(VLOOKUP(C2030,DATA!#REF!,2,FALSE),"")</f>
        <v/>
      </c>
      <c r="I2030" s="17"/>
      <c r="J2030" s="17"/>
      <c r="P2030" s="17"/>
      <c r="Q2030" s="17"/>
    </row>
    <row r="2031" spans="2:17">
      <c r="B2031" s="15" t="str">
        <f t="shared" si="72"/>
        <v/>
      </c>
      <c r="C2031" s="16" t="str">
        <f>IFERROR(VLOOKUP(DATA!#REF!,DATA!#REF!,1,FALSE),"")</f>
        <v/>
      </c>
      <c r="D2031" s="16" t="str">
        <f>IFERROR(VLOOKUP(C2031,DATA!#REF!,2,FALSE),"")</f>
        <v/>
      </c>
      <c r="I2031" s="17"/>
      <c r="J2031" s="17"/>
      <c r="P2031" s="17"/>
      <c r="Q2031" s="17"/>
    </row>
    <row r="2032" spans="2:17">
      <c r="B2032" s="15" t="str">
        <f t="shared" si="72"/>
        <v/>
      </c>
      <c r="C2032" s="16" t="str">
        <f>IFERROR(VLOOKUP(DATA!#REF!,DATA!#REF!,1,FALSE),"")</f>
        <v/>
      </c>
      <c r="D2032" s="16" t="str">
        <f>IFERROR(VLOOKUP(C2032,DATA!#REF!,2,FALSE),"")</f>
        <v/>
      </c>
      <c r="I2032" s="17"/>
      <c r="J2032" s="17"/>
      <c r="P2032" s="17"/>
      <c r="Q2032" s="17"/>
    </row>
    <row r="2033" spans="2:17">
      <c r="B2033" s="15" t="str">
        <f t="shared" si="72"/>
        <v/>
      </c>
      <c r="C2033" s="16" t="str">
        <f>IFERROR(VLOOKUP(DATA!#REF!,DATA!#REF!,1,FALSE),"")</f>
        <v/>
      </c>
      <c r="D2033" s="16" t="str">
        <f>IFERROR(VLOOKUP(C2033,DATA!#REF!,2,FALSE),"")</f>
        <v/>
      </c>
      <c r="I2033" s="17"/>
      <c r="J2033" s="17"/>
      <c r="P2033" s="17"/>
      <c r="Q2033" s="17"/>
    </row>
    <row r="2034" spans="2:17">
      <c r="B2034" s="15" t="str">
        <f t="shared" si="72"/>
        <v/>
      </c>
      <c r="C2034" s="16" t="str">
        <f>IFERROR(VLOOKUP(DATA!#REF!,DATA!#REF!,1,FALSE),"")</f>
        <v/>
      </c>
      <c r="D2034" s="16" t="str">
        <f>IFERROR(VLOOKUP(C2034,DATA!#REF!,2,FALSE),"")</f>
        <v/>
      </c>
      <c r="I2034" s="17"/>
      <c r="J2034" s="17"/>
      <c r="P2034" s="17"/>
      <c r="Q2034" s="17"/>
    </row>
    <row r="2035" spans="2:17">
      <c r="B2035" s="15" t="str">
        <f t="shared" si="72"/>
        <v/>
      </c>
      <c r="C2035" s="16" t="str">
        <f>IFERROR(VLOOKUP(DATA!#REF!,DATA!#REF!,1,FALSE),"")</f>
        <v/>
      </c>
      <c r="D2035" s="16" t="str">
        <f>IFERROR(VLOOKUP(C2035,DATA!#REF!,2,FALSE),"")</f>
        <v/>
      </c>
      <c r="I2035" s="17"/>
      <c r="J2035" s="17"/>
      <c r="P2035" s="17"/>
      <c r="Q2035" s="17"/>
    </row>
    <row r="2036" spans="2:17">
      <c r="B2036" s="15" t="str">
        <f t="shared" si="72"/>
        <v/>
      </c>
      <c r="C2036" s="16" t="str">
        <f>IFERROR(VLOOKUP(DATA!#REF!,DATA!#REF!,1,FALSE),"")</f>
        <v/>
      </c>
      <c r="D2036" s="16" t="str">
        <f>IFERROR(VLOOKUP(C2036,DATA!#REF!,2,FALSE),"")</f>
        <v/>
      </c>
      <c r="I2036" s="17"/>
      <c r="J2036" s="17"/>
      <c r="P2036" s="17"/>
      <c r="Q2036" s="17"/>
    </row>
    <row r="2037" spans="2:17">
      <c r="B2037" s="15" t="str">
        <f t="shared" si="72"/>
        <v/>
      </c>
      <c r="C2037" s="16" t="str">
        <f>IFERROR(VLOOKUP(DATA!#REF!,DATA!#REF!,1,FALSE),"")</f>
        <v/>
      </c>
      <c r="D2037" s="16" t="str">
        <f>IFERROR(VLOOKUP(C2037,DATA!#REF!,2,FALSE),"")</f>
        <v/>
      </c>
      <c r="I2037" s="17"/>
      <c r="J2037" s="17"/>
      <c r="P2037" s="17"/>
      <c r="Q2037" s="17"/>
    </row>
    <row r="2038" spans="2:17">
      <c r="B2038" s="15" t="str">
        <f t="shared" si="72"/>
        <v/>
      </c>
      <c r="C2038" s="16" t="str">
        <f>IFERROR(VLOOKUP(DATA!#REF!,DATA!#REF!,1,FALSE),"")</f>
        <v/>
      </c>
      <c r="D2038" s="16" t="str">
        <f>IFERROR(VLOOKUP(C2038,DATA!#REF!,2,FALSE),"")</f>
        <v/>
      </c>
      <c r="I2038" s="17"/>
      <c r="J2038" s="17"/>
      <c r="P2038" s="17"/>
      <c r="Q2038" s="17"/>
    </row>
    <row r="2039" spans="2:17">
      <c r="B2039" s="15" t="str">
        <f t="shared" ref="B2039:B2102" si="73">+IF(C2039="","",ROW()-5)</f>
        <v/>
      </c>
      <c r="C2039" s="16" t="str">
        <f>IFERROR(VLOOKUP(DATA!#REF!,DATA!#REF!,1,FALSE),"")</f>
        <v/>
      </c>
      <c r="D2039" s="16" t="str">
        <f>IFERROR(VLOOKUP(C2039,DATA!#REF!,2,FALSE),"")</f>
        <v/>
      </c>
      <c r="I2039" s="17"/>
      <c r="J2039" s="17"/>
      <c r="P2039" s="17"/>
      <c r="Q2039" s="17"/>
    </row>
    <row r="2040" spans="2:17">
      <c r="B2040" s="15" t="str">
        <f t="shared" si="73"/>
        <v/>
      </c>
      <c r="C2040" s="16" t="str">
        <f>IFERROR(VLOOKUP(DATA!#REF!,DATA!#REF!,1,FALSE),"")</f>
        <v/>
      </c>
      <c r="D2040" s="16" t="str">
        <f>IFERROR(VLOOKUP(C2040,DATA!#REF!,2,FALSE),"")</f>
        <v/>
      </c>
      <c r="I2040" s="17"/>
      <c r="J2040" s="17"/>
      <c r="P2040" s="17"/>
      <c r="Q2040" s="17"/>
    </row>
    <row r="2041" spans="2:17">
      <c r="B2041" s="15" t="str">
        <f t="shared" si="73"/>
        <v/>
      </c>
      <c r="C2041" s="16" t="str">
        <f>IFERROR(VLOOKUP(DATA!#REF!,DATA!#REF!,1,FALSE),"")</f>
        <v/>
      </c>
      <c r="D2041" s="16" t="str">
        <f>IFERROR(VLOOKUP(C2041,DATA!#REF!,2,FALSE),"")</f>
        <v/>
      </c>
      <c r="I2041" s="17"/>
      <c r="J2041" s="17"/>
      <c r="P2041" s="17"/>
      <c r="Q2041" s="17"/>
    </row>
    <row r="2042" spans="2:17">
      <c r="B2042" s="15" t="str">
        <f t="shared" si="73"/>
        <v/>
      </c>
      <c r="C2042" s="16" t="str">
        <f>IFERROR(VLOOKUP(DATA!#REF!,DATA!#REF!,1,FALSE),"")</f>
        <v/>
      </c>
      <c r="D2042" s="16" t="str">
        <f>IFERROR(VLOOKUP(C2042,DATA!#REF!,2,FALSE),"")</f>
        <v/>
      </c>
      <c r="I2042" s="17"/>
      <c r="J2042" s="17"/>
      <c r="P2042" s="17"/>
      <c r="Q2042" s="17"/>
    </row>
    <row r="2043" spans="2:17">
      <c r="B2043" s="15" t="str">
        <f t="shared" si="73"/>
        <v/>
      </c>
      <c r="C2043" s="16" t="str">
        <f>IFERROR(VLOOKUP(DATA!#REF!,DATA!#REF!,1,FALSE),"")</f>
        <v/>
      </c>
      <c r="D2043" s="16" t="str">
        <f>IFERROR(VLOOKUP(C2043,DATA!#REF!,2,FALSE),"")</f>
        <v/>
      </c>
      <c r="I2043" s="17"/>
      <c r="J2043" s="17"/>
      <c r="P2043" s="17"/>
      <c r="Q2043" s="17"/>
    </row>
    <row r="2044" spans="2:17">
      <c r="B2044" s="15" t="str">
        <f t="shared" si="73"/>
        <v/>
      </c>
      <c r="C2044" s="16" t="str">
        <f>IFERROR(VLOOKUP(DATA!#REF!,DATA!#REF!,1,FALSE),"")</f>
        <v/>
      </c>
      <c r="D2044" s="16" t="str">
        <f>IFERROR(VLOOKUP(C2044,DATA!#REF!,2,FALSE),"")</f>
        <v/>
      </c>
      <c r="I2044" s="17"/>
      <c r="J2044" s="17"/>
      <c r="P2044" s="17"/>
      <c r="Q2044" s="17"/>
    </row>
    <row r="2045" spans="2:17">
      <c r="B2045" s="15" t="str">
        <f t="shared" si="73"/>
        <v/>
      </c>
      <c r="C2045" s="16" t="str">
        <f>IFERROR(VLOOKUP(DATA!#REF!,DATA!#REF!,1,FALSE),"")</f>
        <v/>
      </c>
      <c r="D2045" s="16" t="str">
        <f>IFERROR(VLOOKUP(C2045,DATA!#REF!,2,FALSE),"")</f>
        <v/>
      </c>
      <c r="I2045" s="17"/>
      <c r="J2045" s="17"/>
      <c r="P2045" s="17"/>
      <c r="Q2045" s="17"/>
    </row>
    <row r="2046" spans="2:17">
      <c r="B2046" s="15" t="str">
        <f t="shared" si="73"/>
        <v/>
      </c>
      <c r="C2046" s="16" t="str">
        <f>IFERROR(VLOOKUP(DATA!#REF!,DATA!#REF!,1,FALSE),"")</f>
        <v/>
      </c>
      <c r="D2046" s="16" t="str">
        <f>IFERROR(VLOOKUP(C2046,DATA!#REF!,2,FALSE),"")</f>
        <v/>
      </c>
      <c r="I2046" s="17"/>
      <c r="J2046" s="17"/>
      <c r="P2046" s="17"/>
      <c r="Q2046" s="17"/>
    </row>
    <row r="2047" spans="2:17">
      <c r="B2047" s="15" t="str">
        <f t="shared" si="73"/>
        <v/>
      </c>
      <c r="C2047" s="16" t="str">
        <f>IFERROR(VLOOKUP(DATA!#REF!,DATA!#REF!,1,FALSE),"")</f>
        <v/>
      </c>
      <c r="D2047" s="16" t="str">
        <f>IFERROR(VLOOKUP(C2047,DATA!#REF!,2,FALSE),"")</f>
        <v/>
      </c>
      <c r="I2047" s="17"/>
      <c r="J2047" s="17"/>
      <c r="P2047" s="17"/>
      <c r="Q2047" s="17"/>
    </row>
    <row r="2048" spans="2:17">
      <c r="B2048" s="15" t="str">
        <f t="shared" si="73"/>
        <v/>
      </c>
      <c r="C2048" s="16" t="str">
        <f>IFERROR(VLOOKUP(DATA!#REF!,DATA!#REF!,1,FALSE),"")</f>
        <v/>
      </c>
      <c r="D2048" s="16" t="str">
        <f>IFERROR(VLOOKUP(C2048,DATA!#REF!,2,FALSE),"")</f>
        <v/>
      </c>
      <c r="I2048" s="17"/>
      <c r="J2048" s="17"/>
      <c r="P2048" s="17"/>
      <c r="Q2048" s="17"/>
    </row>
    <row r="2049" spans="2:17">
      <c r="B2049" s="15" t="str">
        <f t="shared" si="73"/>
        <v/>
      </c>
      <c r="C2049" s="16" t="str">
        <f>IFERROR(VLOOKUP(DATA!#REF!,DATA!#REF!,1,FALSE),"")</f>
        <v/>
      </c>
      <c r="D2049" s="16" t="str">
        <f>IFERROR(VLOOKUP(C2049,DATA!#REF!,2,FALSE),"")</f>
        <v/>
      </c>
      <c r="I2049" s="17"/>
      <c r="J2049" s="17"/>
      <c r="P2049" s="17"/>
      <c r="Q2049" s="17"/>
    </row>
    <row r="2050" spans="2:17">
      <c r="B2050" s="15" t="str">
        <f t="shared" si="73"/>
        <v/>
      </c>
      <c r="C2050" s="16" t="str">
        <f>IFERROR(VLOOKUP(DATA!#REF!,DATA!#REF!,1,FALSE),"")</f>
        <v/>
      </c>
      <c r="D2050" s="16" t="str">
        <f>IFERROR(VLOOKUP(C2050,DATA!#REF!,2,FALSE),"")</f>
        <v/>
      </c>
      <c r="I2050" s="17"/>
      <c r="J2050" s="17"/>
      <c r="P2050" s="17"/>
      <c r="Q2050" s="17"/>
    </row>
    <row r="2051" spans="2:17">
      <c r="B2051" s="15" t="str">
        <f t="shared" si="73"/>
        <v/>
      </c>
      <c r="C2051" s="16" t="str">
        <f>IFERROR(VLOOKUP(DATA!#REF!,DATA!#REF!,1,FALSE),"")</f>
        <v/>
      </c>
      <c r="D2051" s="16" t="str">
        <f>IFERROR(VLOOKUP(C2051,DATA!#REF!,2,FALSE),"")</f>
        <v/>
      </c>
      <c r="I2051" s="17"/>
      <c r="J2051" s="17"/>
      <c r="P2051" s="17"/>
      <c r="Q2051" s="17"/>
    </row>
    <row r="2052" spans="2:17">
      <c r="B2052" s="15" t="str">
        <f t="shared" si="73"/>
        <v/>
      </c>
      <c r="C2052" s="16" t="str">
        <f>IFERROR(VLOOKUP(DATA!#REF!,DATA!#REF!,1,FALSE),"")</f>
        <v/>
      </c>
      <c r="D2052" s="16" t="str">
        <f>IFERROR(VLOOKUP(C2052,DATA!#REF!,2,FALSE),"")</f>
        <v/>
      </c>
      <c r="I2052" s="17"/>
      <c r="J2052" s="17"/>
      <c r="P2052" s="17"/>
      <c r="Q2052" s="17"/>
    </row>
    <row r="2053" spans="2:17">
      <c r="B2053" s="15" t="str">
        <f t="shared" si="73"/>
        <v/>
      </c>
      <c r="C2053" s="16" t="str">
        <f>IFERROR(VLOOKUP(DATA!#REF!,DATA!#REF!,1,FALSE),"")</f>
        <v/>
      </c>
      <c r="D2053" s="16" t="str">
        <f>IFERROR(VLOOKUP(C2053,DATA!#REF!,2,FALSE),"")</f>
        <v/>
      </c>
      <c r="I2053" s="17"/>
      <c r="J2053" s="17"/>
      <c r="P2053" s="17"/>
      <c r="Q2053" s="17"/>
    </row>
    <row r="2054" spans="2:17">
      <c r="B2054" s="15" t="str">
        <f t="shared" si="73"/>
        <v/>
      </c>
      <c r="C2054" s="16" t="str">
        <f>IFERROR(VLOOKUP(DATA!#REF!,DATA!#REF!,1,FALSE),"")</f>
        <v/>
      </c>
      <c r="D2054" s="16" t="str">
        <f>IFERROR(VLOOKUP(C2054,DATA!#REF!,2,FALSE),"")</f>
        <v/>
      </c>
      <c r="I2054" s="17"/>
      <c r="J2054" s="17"/>
      <c r="P2054" s="17"/>
      <c r="Q2054" s="17"/>
    </row>
    <row r="2055" spans="2:17">
      <c r="B2055" s="15" t="str">
        <f t="shared" si="73"/>
        <v/>
      </c>
      <c r="C2055" s="16" t="str">
        <f>IFERROR(VLOOKUP(DATA!#REF!,DATA!#REF!,1,FALSE),"")</f>
        <v/>
      </c>
      <c r="D2055" s="16" t="str">
        <f>IFERROR(VLOOKUP(C2055,DATA!#REF!,2,FALSE),"")</f>
        <v/>
      </c>
      <c r="I2055" s="17"/>
      <c r="J2055" s="17"/>
      <c r="P2055" s="17"/>
      <c r="Q2055" s="17"/>
    </row>
    <row r="2056" spans="2:17">
      <c r="B2056" s="15" t="str">
        <f t="shared" si="73"/>
        <v/>
      </c>
      <c r="C2056" s="16" t="str">
        <f>IFERROR(VLOOKUP(DATA!#REF!,DATA!#REF!,1,FALSE),"")</f>
        <v/>
      </c>
      <c r="D2056" s="16" t="str">
        <f>IFERROR(VLOOKUP(C2056,DATA!#REF!,2,FALSE),"")</f>
        <v/>
      </c>
      <c r="I2056" s="17"/>
      <c r="J2056" s="17"/>
      <c r="P2056" s="17"/>
      <c r="Q2056" s="17"/>
    </row>
    <row r="2057" spans="2:17">
      <c r="B2057" s="15" t="str">
        <f t="shared" si="73"/>
        <v/>
      </c>
      <c r="C2057" s="16" t="str">
        <f>IFERROR(VLOOKUP(DATA!#REF!,DATA!#REF!,1,FALSE),"")</f>
        <v/>
      </c>
      <c r="D2057" s="16" t="str">
        <f>IFERROR(VLOOKUP(C2057,DATA!#REF!,2,FALSE),"")</f>
        <v/>
      </c>
      <c r="I2057" s="17"/>
      <c r="J2057" s="17"/>
      <c r="P2057" s="17"/>
      <c r="Q2057" s="17"/>
    </row>
    <row r="2058" spans="2:17">
      <c r="B2058" s="15" t="str">
        <f t="shared" si="73"/>
        <v/>
      </c>
      <c r="C2058" s="16" t="str">
        <f>IFERROR(VLOOKUP(DATA!#REF!,DATA!#REF!,1,FALSE),"")</f>
        <v/>
      </c>
      <c r="D2058" s="16" t="str">
        <f>IFERROR(VLOOKUP(C2058,DATA!#REF!,2,FALSE),"")</f>
        <v/>
      </c>
      <c r="I2058" s="17"/>
      <c r="J2058" s="17"/>
      <c r="P2058" s="17"/>
      <c r="Q2058" s="17"/>
    </row>
    <row r="2059" spans="2:17">
      <c r="B2059" s="15" t="str">
        <f t="shared" si="73"/>
        <v/>
      </c>
      <c r="C2059" s="16" t="str">
        <f>IFERROR(VLOOKUP(DATA!#REF!,DATA!#REF!,1,FALSE),"")</f>
        <v/>
      </c>
      <c r="D2059" s="16" t="str">
        <f>IFERROR(VLOOKUP(C2059,DATA!#REF!,2,FALSE),"")</f>
        <v/>
      </c>
      <c r="I2059" s="17"/>
      <c r="J2059" s="17"/>
      <c r="P2059" s="17"/>
      <c r="Q2059" s="17"/>
    </row>
    <row r="2060" spans="2:17">
      <c r="B2060" s="15" t="str">
        <f t="shared" si="73"/>
        <v/>
      </c>
      <c r="C2060" s="16" t="str">
        <f>IFERROR(VLOOKUP(DATA!#REF!,DATA!#REF!,1,FALSE),"")</f>
        <v/>
      </c>
      <c r="D2060" s="16" t="str">
        <f>IFERROR(VLOOKUP(C2060,DATA!#REF!,2,FALSE),"")</f>
        <v/>
      </c>
      <c r="I2060" s="17"/>
      <c r="J2060" s="17"/>
      <c r="P2060" s="17"/>
      <c r="Q2060" s="17"/>
    </row>
    <row r="2061" spans="2:17">
      <c r="B2061" s="15" t="str">
        <f t="shared" si="73"/>
        <v/>
      </c>
      <c r="C2061" s="16" t="str">
        <f>IFERROR(VLOOKUP(DATA!#REF!,DATA!#REF!,1,FALSE),"")</f>
        <v/>
      </c>
      <c r="D2061" s="16" t="str">
        <f>IFERROR(VLOOKUP(C2061,DATA!#REF!,2,FALSE),"")</f>
        <v/>
      </c>
      <c r="I2061" s="17"/>
      <c r="J2061" s="17"/>
      <c r="P2061" s="17"/>
      <c r="Q2061" s="17"/>
    </row>
    <row r="2062" spans="2:17">
      <c r="B2062" s="15" t="str">
        <f t="shared" si="73"/>
        <v/>
      </c>
      <c r="C2062" s="16" t="str">
        <f>IFERROR(VLOOKUP(DATA!#REF!,DATA!#REF!,1,FALSE),"")</f>
        <v/>
      </c>
      <c r="D2062" s="16" t="str">
        <f>IFERROR(VLOOKUP(C2062,DATA!#REF!,2,FALSE),"")</f>
        <v/>
      </c>
      <c r="I2062" s="17"/>
      <c r="J2062" s="17"/>
      <c r="P2062" s="17"/>
      <c r="Q2062" s="17"/>
    </row>
    <row r="2063" spans="2:17">
      <c r="B2063" s="15" t="str">
        <f t="shared" si="73"/>
        <v/>
      </c>
      <c r="C2063" s="16" t="str">
        <f>IFERROR(VLOOKUP(DATA!#REF!,DATA!#REF!,1,FALSE),"")</f>
        <v/>
      </c>
      <c r="D2063" s="16" t="str">
        <f>IFERROR(VLOOKUP(C2063,DATA!#REF!,2,FALSE),"")</f>
        <v/>
      </c>
      <c r="I2063" s="17"/>
      <c r="J2063" s="17"/>
      <c r="P2063" s="17"/>
      <c r="Q2063" s="17"/>
    </row>
    <row r="2064" spans="2:17">
      <c r="B2064" s="15" t="str">
        <f t="shared" si="73"/>
        <v/>
      </c>
      <c r="C2064" s="16" t="str">
        <f>IFERROR(VLOOKUP(DATA!#REF!,DATA!#REF!,1,FALSE),"")</f>
        <v/>
      </c>
      <c r="D2064" s="16" t="str">
        <f>IFERROR(VLOOKUP(C2064,DATA!#REF!,2,FALSE),"")</f>
        <v/>
      </c>
      <c r="I2064" s="17"/>
      <c r="J2064" s="17"/>
      <c r="P2064" s="17"/>
      <c r="Q2064" s="17"/>
    </row>
    <row r="2065" spans="2:17">
      <c r="B2065" s="15" t="str">
        <f t="shared" si="73"/>
        <v/>
      </c>
      <c r="C2065" s="16" t="str">
        <f>IFERROR(VLOOKUP(DATA!#REF!,DATA!#REF!,1,FALSE),"")</f>
        <v/>
      </c>
      <c r="D2065" s="16" t="str">
        <f>IFERROR(VLOOKUP(C2065,DATA!#REF!,2,FALSE),"")</f>
        <v/>
      </c>
      <c r="I2065" s="17"/>
      <c r="J2065" s="17"/>
      <c r="P2065" s="17"/>
      <c r="Q2065" s="17"/>
    </row>
    <row r="2066" spans="2:17">
      <c r="B2066" s="15" t="str">
        <f t="shared" si="73"/>
        <v/>
      </c>
      <c r="C2066" s="16" t="str">
        <f>IFERROR(VLOOKUP(DATA!#REF!,DATA!#REF!,1,FALSE),"")</f>
        <v/>
      </c>
      <c r="D2066" s="16" t="str">
        <f>IFERROR(VLOOKUP(C2066,DATA!#REF!,2,FALSE),"")</f>
        <v/>
      </c>
      <c r="I2066" s="17"/>
      <c r="J2066" s="17"/>
      <c r="P2066" s="17"/>
      <c r="Q2066" s="17"/>
    </row>
    <row r="2067" spans="2:17">
      <c r="B2067" s="15" t="str">
        <f t="shared" si="73"/>
        <v/>
      </c>
      <c r="C2067" s="16" t="str">
        <f>IFERROR(VLOOKUP(DATA!#REF!,DATA!#REF!,1,FALSE),"")</f>
        <v/>
      </c>
      <c r="D2067" s="16" t="str">
        <f>IFERROR(VLOOKUP(C2067,DATA!#REF!,2,FALSE),"")</f>
        <v/>
      </c>
      <c r="I2067" s="17"/>
      <c r="J2067" s="17"/>
      <c r="P2067" s="17"/>
      <c r="Q2067" s="17"/>
    </row>
    <row r="2068" spans="2:17">
      <c r="B2068" s="15" t="str">
        <f t="shared" si="73"/>
        <v/>
      </c>
      <c r="C2068" s="16" t="str">
        <f>IFERROR(VLOOKUP(DATA!#REF!,DATA!#REF!,1,FALSE),"")</f>
        <v/>
      </c>
      <c r="D2068" s="16" t="str">
        <f>IFERROR(VLOOKUP(C2068,DATA!#REF!,2,FALSE),"")</f>
        <v/>
      </c>
      <c r="I2068" s="17"/>
      <c r="J2068" s="17"/>
      <c r="P2068" s="17"/>
      <c r="Q2068" s="17"/>
    </row>
    <row r="2069" spans="2:17">
      <c r="B2069" s="15" t="str">
        <f t="shared" si="73"/>
        <v/>
      </c>
      <c r="C2069" s="16" t="str">
        <f>IFERROR(VLOOKUP(DATA!#REF!,DATA!#REF!,1,FALSE),"")</f>
        <v/>
      </c>
      <c r="D2069" s="16" t="str">
        <f>IFERROR(VLOOKUP(C2069,DATA!#REF!,2,FALSE),"")</f>
        <v/>
      </c>
      <c r="I2069" s="17"/>
      <c r="J2069" s="17"/>
      <c r="P2069" s="17"/>
      <c r="Q2069" s="17"/>
    </row>
    <row r="2070" spans="2:17">
      <c r="B2070" s="15" t="str">
        <f t="shared" si="73"/>
        <v/>
      </c>
      <c r="C2070" s="16" t="str">
        <f>IFERROR(VLOOKUP(DATA!#REF!,DATA!#REF!,1,FALSE),"")</f>
        <v/>
      </c>
      <c r="D2070" s="16" t="str">
        <f>IFERROR(VLOOKUP(C2070,DATA!#REF!,2,FALSE),"")</f>
        <v/>
      </c>
      <c r="I2070" s="17"/>
      <c r="J2070" s="17"/>
      <c r="P2070" s="17"/>
      <c r="Q2070" s="17"/>
    </row>
    <row r="2071" spans="2:17">
      <c r="B2071" s="15" t="str">
        <f t="shared" si="73"/>
        <v/>
      </c>
      <c r="C2071" s="16" t="str">
        <f>IFERROR(VLOOKUP(DATA!#REF!,DATA!#REF!,1,FALSE),"")</f>
        <v/>
      </c>
      <c r="D2071" s="16" t="str">
        <f>IFERROR(VLOOKUP(C2071,DATA!#REF!,2,FALSE),"")</f>
        <v/>
      </c>
      <c r="I2071" s="17"/>
      <c r="J2071" s="17"/>
      <c r="P2071" s="17"/>
      <c r="Q2071" s="17"/>
    </row>
    <row r="2072" spans="2:17">
      <c r="B2072" s="15" t="str">
        <f t="shared" si="73"/>
        <v/>
      </c>
      <c r="C2072" s="16" t="str">
        <f>IFERROR(VLOOKUP(DATA!#REF!,DATA!#REF!,1,FALSE),"")</f>
        <v/>
      </c>
      <c r="D2072" s="16" t="str">
        <f>IFERROR(VLOOKUP(C2072,DATA!#REF!,2,FALSE),"")</f>
        <v/>
      </c>
      <c r="I2072" s="17"/>
      <c r="J2072" s="17"/>
      <c r="P2072" s="17"/>
      <c r="Q2072" s="17"/>
    </row>
    <row r="2073" spans="2:17">
      <c r="B2073" s="15" t="str">
        <f t="shared" si="73"/>
        <v/>
      </c>
      <c r="C2073" s="16" t="str">
        <f>IFERROR(VLOOKUP(DATA!#REF!,DATA!#REF!,1,FALSE),"")</f>
        <v/>
      </c>
      <c r="D2073" s="16" t="str">
        <f>IFERROR(VLOOKUP(C2073,DATA!#REF!,2,FALSE),"")</f>
        <v/>
      </c>
      <c r="I2073" s="17"/>
      <c r="J2073" s="17"/>
      <c r="P2073" s="17"/>
      <c r="Q2073" s="17"/>
    </row>
    <row r="2074" spans="2:17">
      <c r="B2074" s="15" t="str">
        <f t="shared" si="73"/>
        <v/>
      </c>
      <c r="C2074" s="16" t="str">
        <f>IFERROR(VLOOKUP(DATA!#REF!,DATA!#REF!,1,FALSE),"")</f>
        <v/>
      </c>
      <c r="D2074" s="16" t="str">
        <f>IFERROR(VLOOKUP(C2074,DATA!#REF!,2,FALSE),"")</f>
        <v/>
      </c>
      <c r="I2074" s="17"/>
      <c r="J2074" s="17"/>
      <c r="P2074" s="17"/>
      <c r="Q2074" s="17"/>
    </row>
    <row r="2075" spans="2:17">
      <c r="B2075" s="15" t="str">
        <f t="shared" si="73"/>
        <v/>
      </c>
      <c r="C2075" s="16" t="str">
        <f>IFERROR(VLOOKUP(DATA!#REF!,DATA!#REF!,1,FALSE),"")</f>
        <v/>
      </c>
      <c r="D2075" s="16" t="str">
        <f>IFERROR(VLOOKUP(C2075,DATA!#REF!,2,FALSE),"")</f>
        <v/>
      </c>
      <c r="I2075" s="17"/>
      <c r="J2075" s="17"/>
      <c r="P2075" s="17"/>
      <c r="Q2075" s="17"/>
    </row>
    <row r="2076" spans="2:17">
      <c r="B2076" s="15" t="str">
        <f t="shared" si="73"/>
        <v/>
      </c>
      <c r="C2076" s="16" t="str">
        <f>IFERROR(VLOOKUP(DATA!#REF!,DATA!#REF!,1,FALSE),"")</f>
        <v/>
      </c>
      <c r="D2076" s="16" t="str">
        <f>IFERROR(VLOOKUP(C2076,DATA!#REF!,2,FALSE),"")</f>
        <v/>
      </c>
      <c r="I2076" s="17"/>
      <c r="J2076" s="17"/>
      <c r="P2076" s="17"/>
      <c r="Q2076" s="17"/>
    </row>
    <row r="2077" spans="2:17">
      <c r="B2077" s="15" t="str">
        <f t="shared" si="73"/>
        <v/>
      </c>
      <c r="C2077" s="16" t="str">
        <f>IFERROR(VLOOKUP(DATA!#REF!,DATA!#REF!,1,FALSE),"")</f>
        <v/>
      </c>
      <c r="D2077" s="16" t="str">
        <f>IFERROR(VLOOKUP(C2077,DATA!#REF!,2,FALSE),"")</f>
        <v/>
      </c>
      <c r="I2077" s="17"/>
      <c r="J2077" s="17"/>
      <c r="P2077" s="17"/>
      <c r="Q2077" s="17"/>
    </row>
    <row r="2078" spans="2:17">
      <c r="B2078" s="15" t="str">
        <f t="shared" si="73"/>
        <v/>
      </c>
      <c r="C2078" s="16" t="str">
        <f>IFERROR(VLOOKUP(DATA!#REF!,DATA!#REF!,1,FALSE),"")</f>
        <v/>
      </c>
      <c r="D2078" s="16" t="str">
        <f>IFERROR(VLOOKUP(C2078,DATA!#REF!,2,FALSE),"")</f>
        <v/>
      </c>
      <c r="I2078" s="17"/>
      <c r="J2078" s="17"/>
      <c r="P2078" s="17"/>
      <c r="Q2078" s="17"/>
    </row>
    <row r="2079" spans="2:17">
      <c r="B2079" s="15" t="str">
        <f t="shared" si="73"/>
        <v/>
      </c>
      <c r="C2079" s="16" t="str">
        <f>IFERROR(VLOOKUP(DATA!#REF!,DATA!#REF!,1,FALSE),"")</f>
        <v/>
      </c>
      <c r="D2079" s="16" t="str">
        <f>IFERROR(VLOOKUP(C2079,DATA!#REF!,2,FALSE),"")</f>
        <v/>
      </c>
      <c r="I2079" s="17"/>
      <c r="J2079" s="17"/>
      <c r="P2079" s="17"/>
      <c r="Q2079" s="17"/>
    </row>
    <row r="2080" spans="2:17">
      <c r="B2080" s="15" t="str">
        <f t="shared" si="73"/>
        <v/>
      </c>
      <c r="C2080" s="16" t="str">
        <f>IFERROR(VLOOKUP(DATA!#REF!,DATA!#REF!,1,FALSE),"")</f>
        <v/>
      </c>
      <c r="D2080" s="16" t="str">
        <f>IFERROR(VLOOKUP(C2080,DATA!#REF!,2,FALSE),"")</f>
        <v/>
      </c>
      <c r="I2080" s="17"/>
      <c r="J2080" s="17"/>
      <c r="P2080" s="17"/>
      <c r="Q2080" s="17"/>
    </row>
    <row r="2081" spans="2:17">
      <c r="B2081" s="15" t="str">
        <f t="shared" si="73"/>
        <v/>
      </c>
      <c r="C2081" s="16" t="str">
        <f>IFERROR(VLOOKUP(DATA!#REF!,DATA!#REF!,1,FALSE),"")</f>
        <v/>
      </c>
      <c r="D2081" s="16" t="str">
        <f>IFERROR(VLOOKUP(C2081,DATA!#REF!,2,FALSE),"")</f>
        <v/>
      </c>
      <c r="I2081" s="17"/>
      <c r="J2081" s="17"/>
      <c r="P2081" s="17"/>
      <c r="Q2081" s="17"/>
    </row>
    <row r="2082" spans="2:17">
      <c r="B2082" s="15" t="str">
        <f t="shared" si="73"/>
        <v/>
      </c>
      <c r="C2082" s="16" t="str">
        <f>IFERROR(VLOOKUP(DATA!#REF!,DATA!#REF!,1,FALSE),"")</f>
        <v/>
      </c>
      <c r="D2082" s="16" t="str">
        <f>IFERROR(VLOOKUP(C2082,DATA!#REF!,2,FALSE),"")</f>
        <v/>
      </c>
      <c r="I2082" s="17"/>
      <c r="J2082" s="17"/>
      <c r="P2082" s="17"/>
      <c r="Q2082" s="17"/>
    </row>
    <row r="2083" spans="2:17">
      <c r="B2083" s="15" t="str">
        <f t="shared" si="73"/>
        <v/>
      </c>
      <c r="C2083" s="16" t="str">
        <f>IFERROR(VLOOKUP(DATA!#REF!,DATA!#REF!,1,FALSE),"")</f>
        <v/>
      </c>
      <c r="D2083" s="16" t="str">
        <f>IFERROR(VLOOKUP(C2083,DATA!#REF!,2,FALSE),"")</f>
        <v/>
      </c>
      <c r="I2083" s="17"/>
      <c r="J2083" s="17"/>
      <c r="P2083" s="17"/>
      <c r="Q2083" s="17"/>
    </row>
    <row r="2084" spans="2:17">
      <c r="B2084" s="15" t="str">
        <f t="shared" si="73"/>
        <v/>
      </c>
      <c r="C2084" s="16" t="str">
        <f>IFERROR(VLOOKUP(DATA!#REF!,DATA!#REF!,1,FALSE),"")</f>
        <v/>
      </c>
      <c r="D2084" s="16" t="str">
        <f>IFERROR(VLOOKUP(C2084,DATA!#REF!,2,FALSE),"")</f>
        <v/>
      </c>
      <c r="I2084" s="17"/>
      <c r="J2084" s="17"/>
      <c r="P2084" s="17"/>
      <c r="Q2084" s="17"/>
    </row>
    <row r="2085" spans="2:17">
      <c r="B2085" s="15" t="str">
        <f t="shared" si="73"/>
        <v/>
      </c>
      <c r="C2085" s="16" t="str">
        <f>IFERROR(VLOOKUP(DATA!#REF!,DATA!#REF!,1,FALSE),"")</f>
        <v/>
      </c>
      <c r="D2085" s="16" t="str">
        <f>IFERROR(VLOOKUP(C2085,DATA!#REF!,2,FALSE),"")</f>
        <v/>
      </c>
      <c r="I2085" s="17"/>
      <c r="J2085" s="17"/>
      <c r="P2085" s="17"/>
      <c r="Q2085" s="17"/>
    </row>
    <row r="2086" spans="2:17">
      <c r="B2086" s="15" t="str">
        <f t="shared" si="73"/>
        <v/>
      </c>
      <c r="C2086" s="16" t="str">
        <f>IFERROR(VLOOKUP(DATA!#REF!,DATA!#REF!,1,FALSE),"")</f>
        <v/>
      </c>
      <c r="D2086" s="16" t="str">
        <f>IFERROR(VLOOKUP(C2086,DATA!#REF!,2,FALSE),"")</f>
        <v/>
      </c>
      <c r="I2086" s="17"/>
      <c r="J2086" s="17"/>
      <c r="P2086" s="17"/>
      <c r="Q2086" s="17"/>
    </row>
    <row r="2087" spans="2:17">
      <c r="B2087" s="15" t="str">
        <f t="shared" si="73"/>
        <v/>
      </c>
      <c r="C2087" s="16" t="str">
        <f>IFERROR(VLOOKUP(DATA!#REF!,DATA!#REF!,1,FALSE),"")</f>
        <v/>
      </c>
      <c r="D2087" s="16" t="str">
        <f>IFERROR(VLOOKUP(C2087,DATA!#REF!,2,FALSE),"")</f>
        <v/>
      </c>
      <c r="I2087" s="17"/>
      <c r="J2087" s="17"/>
      <c r="P2087" s="17"/>
      <c r="Q2087" s="17"/>
    </row>
    <row r="2088" spans="2:17">
      <c r="B2088" s="15" t="str">
        <f t="shared" si="73"/>
        <v/>
      </c>
      <c r="C2088" s="16" t="str">
        <f>IFERROR(VLOOKUP(DATA!#REF!,DATA!#REF!,1,FALSE),"")</f>
        <v/>
      </c>
      <c r="D2088" s="16" t="str">
        <f>IFERROR(VLOOKUP(C2088,DATA!#REF!,2,FALSE),"")</f>
        <v/>
      </c>
      <c r="I2088" s="17"/>
      <c r="J2088" s="17"/>
      <c r="P2088" s="17"/>
      <c r="Q2088" s="17"/>
    </row>
    <row r="2089" spans="2:17">
      <c r="B2089" s="15" t="str">
        <f t="shared" si="73"/>
        <v/>
      </c>
      <c r="C2089" s="16" t="str">
        <f>IFERROR(VLOOKUP(DATA!#REF!,DATA!#REF!,1,FALSE),"")</f>
        <v/>
      </c>
      <c r="D2089" s="16" t="str">
        <f>IFERROR(VLOOKUP(C2089,DATA!#REF!,2,FALSE),"")</f>
        <v/>
      </c>
      <c r="I2089" s="17"/>
      <c r="J2089" s="17"/>
      <c r="P2089" s="17"/>
      <c r="Q2089" s="17"/>
    </row>
    <row r="2090" spans="2:17">
      <c r="B2090" s="15" t="str">
        <f t="shared" si="73"/>
        <v/>
      </c>
      <c r="C2090" s="16" t="str">
        <f>IFERROR(VLOOKUP(DATA!#REF!,DATA!#REF!,1,FALSE),"")</f>
        <v/>
      </c>
      <c r="D2090" s="16" t="str">
        <f>IFERROR(VLOOKUP(C2090,DATA!#REF!,2,FALSE),"")</f>
        <v/>
      </c>
      <c r="I2090" s="17"/>
      <c r="J2090" s="17"/>
      <c r="P2090" s="17"/>
      <c r="Q2090" s="17"/>
    </row>
    <row r="2091" spans="2:17">
      <c r="B2091" s="15" t="str">
        <f t="shared" si="73"/>
        <v/>
      </c>
      <c r="C2091" s="16" t="str">
        <f>IFERROR(VLOOKUP(DATA!#REF!,DATA!#REF!,1,FALSE),"")</f>
        <v/>
      </c>
      <c r="D2091" s="16" t="str">
        <f>IFERROR(VLOOKUP(C2091,DATA!#REF!,2,FALSE),"")</f>
        <v/>
      </c>
      <c r="I2091" s="17"/>
      <c r="J2091" s="17"/>
      <c r="P2091" s="17"/>
      <c r="Q2091" s="17"/>
    </row>
    <row r="2092" spans="2:17">
      <c r="B2092" s="15" t="str">
        <f t="shared" si="73"/>
        <v/>
      </c>
      <c r="C2092" s="16" t="str">
        <f>IFERROR(VLOOKUP(DATA!#REF!,DATA!#REF!,1,FALSE),"")</f>
        <v/>
      </c>
      <c r="D2092" s="16" t="str">
        <f>IFERROR(VLOOKUP(C2092,DATA!#REF!,2,FALSE),"")</f>
        <v/>
      </c>
      <c r="I2092" s="17"/>
      <c r="J2092" s="17"/>
      <c r="P2092" s="17"/>
      <c r="Q2092" s="17"/>
    </row>
    <row r="2093" spans="2:17">
      <c r="B2093" s="15" t="str">
        <f t="shared" si="73"/>
        <v/>
      </c>
      <c r="C2093" s="16" t="str">
        <f>IFERROR(VLOOKUP(DATA!#REF!,DATA!#REF!,1,FALSE),"")</f>
        <v/>
      </c>
      <c r="D2093" s="16" t="str">
        <f>IFERROR(VLOOKUP(C2093,DATA!#REF!,2,FALSE),"")</f>
        <v/>
      </c>
      <c r="I2093" s="17"/>
      <c r="J2093" s="17"/>
      <c r="P2093" s="17"/>
      <c r="Q2093" s="17"/>
    </row>
    <row r="2094" spans="2:17">
      <c r="B2094" s="15" t="str">
        <f t="shared" si="73"/>
        <v/>
      </c>
      <c r="C2094" s="16" t="str">
        <f>IFERROR(VLOOKUP(DATA!#REF!,DATA!#REF!,1,FALSE),"")</f>
        <v/>
      </c>
      <c r="D2094" s="16" t="str">
        <f>IFERROR(VLOOKUP(C2094,DATA!#REF!,2,FALSE),"")</f>
        <v/>
      </c>
      <c r="I2094" s="17"/>
      <c r="J2094" s="17"/>
      <c r="P2094" s="17"/>
      <c r="Q2094" s="17"/>
    </row>
    <row r="2095" spans="2:17">
      <c r="B2095" s="15" t="str">
        <f t="shared" si="73"/>
        <v/>
      </c>
      <c r="C2095" s="16" t="str">
        <f>IFERROR(VLOOKUP(DATA!#REF!,DATA!#REF!,1,FALSE),"")</f>
        <v/>
      </c>
      <c r="D2095" s="16" t="str">
        <f>IFERROR(VLOOKUP(C2095,DATA!#REF!,2,FALSE),"")</f>
        <v/>
      </c>
      <c r="I2095" s="17"/>
      <c r="J2095" s="17"/>
      <c r="P2095" s="17"/>
      <c r="Q2095" s="17"/>
    </row>
    <row r="2096" spans="2:17">
      <c r="B2096" s="15" t="str">
        <f t="shared" si="73"/>
        <v/>
      </c>
      <c r="C2096" s="16" t="str">
        <f>IFERROR(VLOOKUP(DATA!#REF!,DATA!#REF!,1,FALSE),"")</f>
        <v/>
      </c>
      <c r="D2096" s="16" t="str">
        <f>IFERROR(VLOOKUP(C2096,DATA!#REF!,2,FALSE),"")</f>
        <v/>
      </c>
      <c r="I2096" s="17"/>
      <c r="J2096" s="17"/>
      <c r="P2096" s="17"/>
      <c r="Q2096" s="17"/>
    </row>
    <row r="2097" spans="2:17">
      <c r="B2097" s="15" t="str">
        <f t="shared" si="73"/>
        <v/>
      </c>
      <c r="C2097" s="16" t="str">
        <f>IFERROR(VLOOKUP(DATA!#REF!,DATA!#REF!,1,FALSE),"")</f>
        <v/>
      </c>
      <c r="D2097" s="16" t="str">
        <f>IFERROR(VLOOKUP(C2097,DATA!#REF!,2,FALSE),"")</f>
        <v/>
      </c>
      <c r="I2097" s="17"/>
      <c r="J2097" s="17"/>
      <c r="P2097" s="17"/>
      <c r="Q2097" s="17"/>
    </row>
    <row r="2098" spans="2:17">
      <c r="B2098" s="15" t="str">
        <f t="shared" si="73"/>
        <v/>
      </c>
      <c r="C2098" s="16" t="str">
        <f>IFERROR(VLOOKUP(DATA!#REF!,DATA!#REF!,1,FALSE),"")</f>
        <v/>
      </c>
      <c r="D2098" s="16" t="str">
        <f>IFERROR(VLOOKUP(C2098,DATA!#REF!,2,FALSE),"")</f>
        <v/>
      </c>
      <c r="I2098" s="17"/>
      <c r="J2098" s="17"/>
      <c r="P2098" s="17"/>
      <c r="Q2098" s="17"/>
    </row>
    <row r="2099" spans="2:17">
      <c r="B2099" s="15" t="str">
        <f t="shared" si="73"/>
        <v/>
      </c>
      <c r="C2099" s="16" t="str">
        <f>IFERROR(VLOOKUP(DATA!#REF!,DATA!#REF!,1,FALSE),"")</f>
        <v/>
      </c>
      <c r="D2099" s="16" t="str">
        <f>IFERROR(VLOOKUP(C2099,DATA!#REF!,2,FALSE),"")</f>
        <v/>
      </c>
      <c r="I2099" s="17"/>
      <c r="J2099" s="17"/>
      <c r="P2099" s="17"/>
      <c r="Q2099" s="17"/>
    </row>
    <row r="2100" spans="2:17">
      <c r="B2100" s="15" t="str">
        <f t="shared" si="73"/>
        <v/>
      </c>
      <c r="C2100" s="16" t="str">
        <f>IFERROR(VLOOKUP(DATA!#REF!,DATA!#REF!,1,FALSE),"")</f>
        <v/>
      </c>
      <c r="D2100" s="16" t="str">
        <f>IFERROR(VLOOKUP(C2100,DATA!#REF!,2,FALSE),"")</f>
        <v/>
      </c>
      <c r="I2100" s="17"/>
      <c r="J2100" s="17"/>
      <c r="P2100" s="17"/>
      <c r="Q2100" s="17"/>
    </row>
    <row r="2101" spans="2:17">
      <c r="B2101" s="15" t="str">
        <f t="shared" si="73"/>
        <v/>
      </c>
      <c r="C2101" s="16" t="str">
        <f>IFERROR(VLOOKUP(DATA!#REF!,DATA!#REF!,1,FALSE),"")</f>
        <v/>
      </c>
      <c r="D2101" s="16" t="str">
        <f>IFERROR(VLOOKUP(C2101,DATA!#REF!,2,FALSE),"")</f>
        <v/>
      </c>
      <c r="I2101" s="17"/>
      <c r="J2101" s="17"/>
      <c r="P2101" s="17"/>
      <c r="Q2101" s="17"/>
    </row>
    <row r="2102" spans="2:17">
      <c r="B2102" s="15" t="str">
        <f t="shared" si="73"/>
        <v/>
      </c>
      <c r="C2102" s="16" t="str">
        <f>IFERROR(VLOOKUP(DATA!#REF!,DATA!#REF!,1,FALSE),"")</f>
        <v/>
      </c>
      <c r="D2102" s="16" t="str">
        <f>IFERROR(VLOOKUP(C2102,DATA!#REF!,2,FALSE),"")</f>
        <v/>
      </c>
      <c r="I2102" s="17"/>
      <c r="J2102" s="17"/>
      <c r="P2102" s="17"/>
      <c r="Q2102" s="17"/>
    </row>
    <row r="2103" spans="2:17">
      <c r="B2103" s="15" t="str">
        <f t="shared" ref="B2103:B2166" si="74">+IF(C2103="","",ROW()-5)</f>
        <v/>
      </c>
      <c r="C2103" s="16" t="str">
        <f>IFERROR(VLOOKUP(DATA!#REF!,DATA!#REF!,1,FALSE),"")</f>
        <v/>
      </c>
      <c r="D2103" s="16" t="str">
        <f>IFERROR(VLOOKUP(C2103,DATA!#REF!,2,FALSE),"")</f>
        <v/>
      </c>
      <c r="I2103" s="17"/>
      <c r="J2103" s="17"/>
      <c r="P2103" s="17"/>
      <c r="Q2103" s="17"/>
    </row>
    <row r="2104" spans="2:17">
      <c r="B2104" s="15" t="str">
        <f t="shared" si="74"/>
        <v/>
      </c>
      <c r="C2104" s="16" t="str">
        <f>IFERROR(VLOOKUP(DATA!#REF!,DATA!#REF!,1,FALSE),"")</f>
        <v/>
      </c>
      <c r="D2104" s="16" t="str">
        <f>IFERROR(VLOOKUP(C2104,DATA!#REF!,2,FALSE),"")</f>
        <v/>
      </c>
      <c r="I2104" s="17"/>
      <c r="J2104" s="17"/>
      <c r="P2104" s="17"/>
      <c r="Q2104" s="17"/>
    </row>
    <row r="2105" spans="2:17">
      <c r="B2105" s="15" t="str">
        <f t="shared" si="74"/>
        <v/>
      </c>
      <c r="C2105" s="16" t="str">
        <f>IFERROR(VLOOKUP(DATA!#REF!,DATA!#REF!,1,FALSE),"")</f>
        <v/>
      </c>
      <c r="D2105" s="16" t="str">
        <f>IFERROR(VLOOKUP(C2105,DATA!#REF!,2,FALSE),"")</f>
        <v/>
      </c>
      <c r="I2105" s="17"/>
      <c r="J2105" s="17"/>
      <c r="P2105" s="17"/>
      <c r="Q2105" s="17"/>
    </row>
    <row r="2106" spans="2:17">
      <c r="B2106" s="15" t="str">
        <f t="shared" si="74"/>
        <v/>
      </c>
      <c r="C2106" s="16" t="str">
        <f>IFERROR(VLOOKUP(DATA!#REF!,DATA!#REF!,1,FALSE),"")</f>
        <v/>
      </c>
      <c r="D2106" s="16" t="str">
        <f>IFERROR(VLOOKUP(C2106,DATA!#REF!,2,FALSE),"")</f>
        <v/>
      </c>
      <c r="I2106" s="17"/>
      <c r="J2106" s="17"/>
      <c r="P2106" s="17"/>
      <c r="Q2106" s="17"/>
    </row>
    <row r="2107" spans="2:17">
      <c r="B2107" s="15" t="str">
        <f t="shared" si="74"/>
        <v/>
      </c>
      <c r="C2107" s="16" t="str">
        <f>IFERROR(VLOOKUP(DATA!#REF!,DATA!#REF!,1,FALSE),"")</f>
        <v/>
      </c>
      <c r="D2107" s="16" t="str">
        <f>IFERROR(VLOOKUP(C2107,DATA!#REF!,2,FALSE),"")</f>
        <v/>
      </c>
      <c r="I2107" s="17"/>
      <c r="J2107" s="17"/>
      <c r="P2107" s="17"/>
      <c r="Q2107" s="17"/>
    </row>
    <row r="2108" spans="2:17">
      <c r="B2108" s="15" t="str">
        <f t="shared" si="74"/>
        <v/>
      </c>
      <c r="C2108" s="16" t="str">
        <f>IFERROR(VLOOKUP(DATA!#REF!,DATA!#REF!,1,FALSE),"")</f>
        <v/>
      </c>
      <c r="D2108" s="16" t="str">
        <f>IFERROR(VLOOKUP(C2108,DATA!#REF!,2,FALSE),"")</f>
        <v/>
      </c>
      <c r="I2108" s="17"/>
      <c r="J2108" s="17"/>
      <c r="P2108" s="17"/>
      <c r="Q2108" s="17"/>
    </row>
    <row r="2109" spans="2:17">
      <c r="B2109" s="15" t="str">
        <f t="shared" si="74"/>
        <v/>
      </c>
      <c r="C2109" s="16" t="str">
        <f>IFERROR(VLOOKUP(DATA!#REF!,DATA!#REF!,1,FALSE),"")</f>
        <v/>
      </c>
      <c r="D2109" s="16" t="str">
        <f>IFERROR(VLOOKUP(C2109,DATA!#REF!,2,FALSE),"")</f>
        <v/>
      </c>
      <c r="I2109" s="17"/>
      <c r="J2109" s="17"/>
      <c r="P2109" s="17"/>
      <c r="Q2109" s="17"/>
    </row>
    <row r="2110" spans="2:17">
      <c r="B2110" s="15" t="str">
        <f t="shared" si="74"/>
        <v/>
      </c>
      <c r="C2110" s="16" t="str">
        <f>IFERROR(VLOOKUP(DATA!#REF!,DATA!#REF!,1,FALSE),"")</f>
        <v/>
      </c>
      <c r="D2110" s="16" t="str">
        <f>IFERROR(VLOOKUP(C2110,DATA!#REF!,2,FALSE),"")</f>
        <v/>
      </c>
      <c r="I2110" s="17"/>
      <c r="J2110" s="17"/>
      <c r="P2110" s="17"/>
      <c r="Q2110" s="17"/>
    </row>
    <row r="2111" spans="2:17">
      <c r="B2111" s="15" t="str">
        <f t="shared" si="74"/>
        <v/>
      </c>
      <c r="C2111" s="16" t="str">
        <f>IFERROR(VLOOKUP(DATA!#REF!,DATA!#REF!,1,FALSE),"")</f>
        <v/>
      </c>
      <c r="D2111" s="16" t="str">
        <f>IFERROR(VLOOKUP(C2111,DATA!#REF!,2,FALSE),"")</f>
        <v/>
      </c>
      <c r="I2111" s="17"/>
      <c r="J2111" s="17"/>
      <c r="P2111" s="17"/>
      <c r="Q2111" s="17"/>
    </row>
    <row r="2112" spans="2:17">
      <c r="B2112" s="15" t="str">
        <f t="shared" si="74"/>
        <v/>
      </c>
      <c r="C2112" s="16" t="str">
        <f>IFERROR(VLOOKUP(DATA!#REF!,DATA!#REF!,1,FALSE),"")</f>
        <v/>
      </c>
      <c r="D2112" s="16" t="str">
        <f>IFERROR(VLOOKUP(C2112,DATA!#REF!,2,FALSE),"")</f>
        <v/>
      </c>
      <c r="I2112" s="17"/>
      <c r="J2112" s="17"/>
      <c r="P2112" s="17"/>
      <c r="Q2112" s="17"/>
    </row>
    <row r="2113" spans="2:17">
      <c r="B2113" s="15" t="str">
        <f t="shared" si="74"/>
        <v/>
      </c>
      <c r="C2113" s="16" t="str">
        <f>IFERROR(VLOOKUP(DATA!#REF!,DATA!#REF!,1,FALSE),"")</f>
        <v/>
      </c>
      <c r="D2113" s="16" t="str">
        <f>IFERROR(VLOOKUP(C2113,DATA!#REF!,2,FALSE),"")</f>
        <v/>
      </c>
      <c r="I2113" s="17"/>
      <c r="J2113" s="17"/>
      <c r="P2113" s="17"/>
      <c r="Q2113" s="17"/>
    </row>
    <row r="2114" spans="2:17">
      <c r="B2114" s="15" t="str">
        <f t="shared" si="74"/>
        <v/>
      </c>
      <c r="C2114" s="16" t="str">
        <f>IFERROR(VLOOKUP(DATA!#REF!,DATA!#REF!,1,FALSE),"")</f>
        <v/>
      </c>
      <c r="D2114" s="16" t="str">
        <f>IFERROR(VLOOKUP(C2114,DATA!#REF!,2,FALSE),"")</f>
        <v/>
      </c>
      <c r="I2114" s="17"/>
      <c r="J2114" s="17"/>
      <c r="P2114" s="17"/>
      <c r="Q2114" s="17"/>
    </row>
    <row r="2115" spans="2:17">
      <c r="B2115" s="15" t="str">
        <f t="shared" si="74"/>
        <v/>
      </c>
      <c r="C2115" s="16" t="str">
        <f>IFERROR(VLOOKUP(DATA!#REF!,DATA!#REF!,1,FALSE),"")</f>
        <v/>
      </c>
      <c r="D2115" s="16" t="str">
        <f>IFERROR(VLOOKUP(C2115,DATA!#REF!,2,FALSE),"")</f>
        <v/>
      </c>
      <c r="I2115" s="17"/>
      <c r="J2115" s="17"/>
      <c r="P2115" s="17"/>
      <c r="Q2115" s="17"/>
    </row>
    <row r="2116" spans="2:17">
      <c r="B2116" s="15" t="str">
        <f t="shared" si="74"/>
        <v/>
      </c>
      <c r="C2116" s="16" t="str">
        <f>IFERROR(VLOOKUP(DATA!#REF!,DATA!#REF!,1,FALSE),"")</f>
        <v/>
      </c>
      <c r="D2116" s="16" t="str">
        <f>IFERROR(VLOOKUP(C2116,DATA!#REF!,2,FALSE),"")</f>
        <v/>
      </c>
      <c r="I2116" s="17"/>
      <c r="J2116" s="17"/>
      <c r="P2116" s="17"/>
      <c r="Q2116" s="17"/>
    </row>
    <row r="2117" spans="2:17">
      <c r="B2117" s="15" t="str">
        <f t="shared" si="74"/>
        <v/>
      </c>
      <c r="C2117" s="16" t="str">
        <f>IFERROR(VLOOKUP(DATA!#REF!,DATA!#REF!,1,FALSE),"")</f>
        <v/>
      </c>
      <c r="D2117" s="16" t="str">
        <f>IFERROR(VLOOKUP(C2117,DATA!#REF!,2,FALSE),"")</f>
        <v/>
      </c>
      <c r="I2117" s="17"/>
      <c r="J2117" s="17"/>
      <c r="P2117" s="17"/>
      <c r="Q2117" s="17"/>
    </row>
    <row r="2118" spans="2:17">
      <c r="B2118" s="15" t="str">
        <f t="shared" si="74"/>
        <v/>
      </c>
      <c r="C2118" s="16" t="str">
        <f>IFERROR(VLOOKUP(DATA!#REF!,DATA!#REF!,1,FALSE),"")</f>
        <v/>
      </c>
      <c r="D2118" s="16" t="str">
        <f>IFERROR(VLOOKUP(C2118,DATA!#REF!,2,FALSE),"")</f>
        <v/>
      </c>
      <c r="I2118" s="17"/>
      <c r="J2118" s="17"/>
      <c r="P2118" s="17"/>
      <c r="Q2118" s="17"/>
    </row>
    <row r="2119" spans="2:17">
      <c r="B2119" s="15" t="str">
        <f t="shared" si="74"/>
        <v/>
      </c>
      <c r="C2119" s="16" t="str">
        <f>IFERROR(VLOOKUP(DATA!#REF!,DATA!#REF!,1,FALSE),"")</f>
        <v/>
      </c>
      <c r="D2119" s="16" t="str">
        <f>IFERROR(VLOOKUP(C2119,DATA!#REF!,2,FALSE),"")</f>
        <v/>
      </c>
      <c r="I2119" s="17"/>
      <c r="J2119" s="17"/>
      <c r="P2119" s="17"/>
      <c r="Q2119" s="17"/>
    </row>
    <row r="2120" spans="2:17">
      <c r="B2120" s="15" t="str">
        <f t="shared" si="74"/>
        <v/>
      </c>
      <c r="C2120" s="16" t="str">
        <f>IFERROR(VLOOKUP(DATA!#REF!,DATA!#REF!,1,FALSE),"")</f>
        <v/>
      </c>
      <c r="D2120" s="16" t="str">
        <f>IFERROR(VLOOKUP(C2120,DATA!#REF!,2,FALSE),"")</f>
        <v/>
      </c>
      <c r="I2120" s="17"/>
      <c r="J2120" s="17"/>
      <c r="P2120" s="17"/>
      <c r="Q2120" s="17"/>
    </row>
    <row r="2121" spans="2:17">
      <c r="B2121" s="15" t="str">
        <f t="shared" si="74"/>
        <v/>
      </c>
      <c r="C2121" s="16" t="str">
        <f>IFERROR(VLOOKUP(DATA!#REF!,DATA!#REF!,1,FALSE),"")</f>
        <v/>
      </c>
      <c r="D2121" s="16" t="str">
        <f>IFERROR(VLOOKUP(C2121,DATA!#REF!,2,FALSE),"")</f>
        <v/>
      </c>
      <c r="I2121" s="17"/>
      <c r="J2121" s="17"/>
      <c r="P2121" s="17"/>
      <c r="Q2121" s="17"/>
    </row>
    <row r="2122" spans="2:17">
      <c r="B2122" s="15" t="str">
        <f t="shared" si="74"/>
        <v/>
      </c>
      <c r="C2122" s="16" t="str">
        <f>IFERROR(VLOOKUP(DATA!#REF!,DATA!#REF!,1,FALSE),"")</f>
        <v/>
      </c>
      <c r="D2122" s="16" t="str">
        <f>IFERROR(VLOOKUP(C2122,DATA!#REF!,2,FALSE),"")</f>
        <v/>
      </c>
      <c r="I2122" s="17"/>
      <c r="J2122" s="17"/>
      <c r="P2122" s="17"/>
      <c r="Q2122" s="17"/>
    </row>
    <row r="2123" spans="2:17">
      <c r="B2123" s="15" t="str">
        <f t="shared" si="74"/>
        <v/>
      </c>
      <c r="C2123" s="16" t="str">
        <f>IFERROR(VLOOKUP(DATA!#REF!,DATA!#REF!,1,FALSE),"")</f>
        <v/>
      </c>
      <c r="D2123" s="16" t="str">
        <f>IFERROR(VLOOKUP(C2123,DATA!#REF!,2,FALSE),"")</f>
        <v/>
      </c>
      <c r="I2123" s="17"/>
      <c r="J2123" s="17"/>
      <c r="P2123" s="17"/>
      <c r="Q2123" s="17"/>
    </row>
    <row r="2124" spans="2:17">
      <c r="B2124" s="15" t="str">
        <f t="shared" si="74"/>
        <v/>
      </c>
      <c r="C2124" s="16" t="str">
        <f>IFERROR(VLOOKUP(DATA!#REF!,DATA!#REF!,1,FALSE),"")</f>
        <v/>
      </c>
      <c r="D2124" s="16" t="str">
        <f>IFERROR(VLOOKUP(C2124,DATA!#REF!,2,FALSE),"")</f>
        <v/>
      </c>
      <c r="I2124" s="17"/>
      <c r="J2124" s="17"/>
      <c r="P2124" s="17"/>
      <c r="Q2124" s="17"/>
    </row>
    <row r="2125" spans="2:17">
      <c r="B2125" s="15" t="str">
        <f t="shared" si="74"/>
        <v/>
      </c>
      <c r="C2125" s="16" t="str">
        <f>IFERROR(VLOOKUP(DATA!#REF!,DATA!#REF!,1,FALSE),"")</f>
        <v/>
      </c>
      <c r="D2125" s="16" t="str">
        <f>IFERROR(VLOOKUP(C2125,DATA!#REF!,2,FALSE),"")</f>
        <v/>
      </c>
      <c r="I2125" s="17"/>
      <c r="J2125" s="17"/>
      <c r="P2125" s="17"/>
      <c r="Q2125" s="17"/>
    </row>
    <row r="2126" spans="2:17">
      <c r="B2126" s="15" t="str">
        <f t="shared" si="74"/>
        <v/>
      </c>
      <c r="C2126" s="16" t="str">
        <f>IFERROR(VLOOKUP(DATA!#REF!,DATA!#REF!,1,FALSE),"")</f>
        <v/>
      </c>
      <c r="D2126" s="16" t="str">
        <f>IFERROR(VLOOKUP(C2126,DATA!#REF!,2,FALSE),"")</f>
        <v/>
      </c>
      <c r="I2126" s="17"/>
      <c r="J2126" s="17"/>
      <c r="P2126" s="17"/>
      <c r="Q2126" s="17"/>
    </row>
    <row r="2127" spans="2:17">
      <c r="B2127" s="15" t="str">
        <f t="shared" si="74"/>
        <v/>
      </c>
      <c r="C2127" s="16" t="str">
        <f>IFERROR(VLOOKUP(DATA!#REF!,DATA!#REF!,1,FALSE),"")</f>
        <v/>
      </c>
      <c r="D2127" s="16" t="str">
        <f>IFERROR(VLOOKUP(C2127,DATA!#REF!,2,FALSE),"")</f>
        <v/>
      </c>
      <c r="I2127" s="17"/>
      <c r="J2127" s="17"/>
      <c r="P2127" s="17"/>
      <c r="Q2127" s="17"/>
    </row>
    <row r="2128" spans="2:17">
      <c r="B2128" s="15" t="str">
        <f t="shared" si="74"/>
        <v/>
      </c>
      <c r="C2128" s="16" t="str">
        <f>IFERROR(VLOOKUP(DATA!#REF!,DATA!#REF!,1,FALSE),"")</f>
        <v/>
      </c>
      <c r="D2128" s="16" t="str">
        <f>IFERROR(VLOOKUP(C2128,DATA!#REF!,2,FALSE),"")</f>
        <v/>
      </c>
      <c r="I2128" s="17"/>
      <c r="J2128" s="17"/>
      <c r="P2128" s="17"/>
      <c r="Q2128" s="17"/>
    </row>
    <row r="2129" spans="2:17">
      <c r="B2129" s="15" t="str">
        <f t="shared" si="74"/>
        <v/>
      </c>
      <c r="C2129" s="16" t="str">
        <f>IFERROR(VLOOKUP(DATA!#REF!,DATA!#REF!,1,FALSE),"")</f>
        <v/>
      </c>
      <c r="D2129" s="16" t="str">
        <f>IFERROR(VLOOKUP(C2129,DATA!#REF!,2,FALSE),"")</f>
        <v/>
      </c>
      <c r="I2129" s="17"/>
      <c r="J2129" s="17"/>
      <c r="P2129" s="17"/>
      <c r="Q2129" s="17"/>
    </row>
    <row r="2130" spans="2:17">
      <c r="B2130" s="15" t="str">
        <f t="shared" si="74"/>
        <v/>
      </c>
      <c r="C2130" s="16" t="str">
        <f>IFERROR(VLOOKUP(DATA!#REF!,DATA!#REF!,1,FALSE),"")</f>
        <v/>
      </c>
      <c r="D2130" s="16" t="str">
        <f>IFERROR(VLOOKUP(C2130,DATA!#REF!,2,FALSE),"")</f>
        <v/>
      </c>
      <c r="I2130" s="17"/>
      <c r="J2130" s="17"/>
      <c r="P2130" s="17"/>
      <c r="Q2130" s="17"/>
    </row>
    <row r="2131" spans="2:17">
      <c r="B2131" s="15" t="str">
        <f t="shared" si="74"/>
        <v/>
      </c>
      <c r="C2131" s="16" t="str">
        <f>IFERROR(VLOOKUP(DATA!#REF!,DATA!#REF!,1,FALSE),"")</f>
        <v/>
      </c>
      <c r="D2131" s="16" t="str">
        <f>IFERROR(VLOOKUP(C2131,DATA!#REF!,2,FALSE),"")</f>
        <v/>
      </c>
      <c r="I2131" s="17"/>
      <c r="J2131" s="17"/>
      <c r="P2131" s="17"/>
      <c r="Q2131" s="17"/>
    </row>
    <row r="2132" spans="2:17">
      <c r="B2132" s="15" t="str">
        <f t="shared" si="74"/>
        <v/>
      </c>
      <c r="C2132" s="16" t="str">
        <f>IFERROR(VLOOKUP(DATA!#REF!,DATA!#REF!,1,FALSE),"")</f>
        <v/>
      </c>
      <c r="D2132" s="16" t="str">
        <f>IFERROR(VLOOKUP(C2132,DATA!#REF!,2,FALSE),"")</f>
        <v/>
      </c>
      <c r="I2132" s="17"/>
      <c r="J2132" s="17"/>
      <c r="P2132" s="17"/>
      <c r="Q2132" s="17"/>
    </row>
    <row r="2133" spans="2:17">
      <c r="B2133" s="15" t="str">
        <f t="shared" si="74"/>
        <v/>
      </c>
      <c r="C2133" s="16" t="str">
        <f>IFERROR(VLOOKUP(DATA!#REF!,DATA!#REF!,1,FALSE),"")</f>
        <v/>
      </c>
      <c r="D2133" s="16" t="str">
        <f>IFERROR(VLOOKUP(C2133,DATA!#REF!,2,FALSE),"")</f>
        <v/>
      </c>
      <c r="I2133" s="17"/>
      <c r="J2133" s="17"/>
      <c r="P2133" s="17"/>
      <c r="Q2133" s="17"/>
    </row>
    <row r="2134" spans="2:17">
      <c r="B2134" s="15" t="str">
        <f t="shared" si="74"/>
        <v/>
      </c>
      <c r="C2134" s="16" t="str">
        <f>IFERROR(VLOOKUP(DATA!#REF!,DATA!#REF!,1,FALSE),"")</f>
        <v/>
      </c>
      <c r="D2134" s="16" t="str">
        <f>IFERROR(VLOOKUP(C2134,DATA!#REF!,2,FALSE),"")</f>
        <v/>
      </c>
      <c r="I2134" s="17"/>
      <c r="J2134" s="17"/>
      <c r="P2134" s="17"/>
      <c r="Q2134" s="17"/>
    </row>
    <row r="2135" spans="2:17">
      <c r="B2135" s="15" t="str">
        <f t="shared" si="74"/>
        <v/>
      </c>
      <c r="C2135" s="16" t="str">
        <f>IFERROR(VLOOKUP(DATA!#REF!,DATA!#REF!,1,FALSE),"")</f>
        <v/>
      </c>
      <c r="D2135" s="16" t="str">
        <f>IFERROR(VLOOKUP(C2135,DATA!#REF!,2,FALSE),"")</f>
        <v/>
      </c>
      <c r="I2135" s="17"/>
      <c r="J2135" s="17"/>
      <c r="P2135" s="17"/>
      <c r="Q2135" s="17"/>
    </row>
    <row r="2136" spans="2:17">
      <c r="B2136" s="15" t="str">
        <f t="shared" si="74"/>
        <v/>
      </c>
      <c r="C2136" s="16" t="str">
        <f>IFERROR(VLOOKUP(DATA!#REF!,DATA!#REF!,1,FALSE),"")</f>
        <v/>
      </c>
      <c r="D2136" s="16" t="str">
        <f>IFERROR(VLOOKUP(C2136,DATA!#REF!,2,FALSE),"")</f>
        <v/>
      </c>
      <c r="I2136" s="17"/>
      <c r="J2136" s="17"/>
      <c r="P2136" s="17"/>
      <c r="Q2136" s="17"/>
    </row>
    <row r="2137" spans="2:17">
      <c r="B2137" s="15" t="str">
        <f t="shared" si="74"/>
        <v/>
      </c>
      <c r="C2137" s="16" t="str">
        <f>IFERROR(VLOOKUP(DATA!#REF!,DATA!#REF!,1,FALSE),"")</f>
        <v/>
      </c>
      <c r="D2137" s="16" t="str">
        <f>IFERROR(VLOOKUP(C2137,DATA!#REF!,2,FALSE),"")</f>
        <v/>
      </c>
      <c r="I2137" s="17"/>
      <c r="J2137" s="17"/>
      <c r="P2137" s="17"/>
      <c r="Q2137" s="17"/>
    </row>
    <row r="2138" spans="2:17">
      <c r="B2138" s="15" t="str">
        <f t="shared" si="74"/>
        <v/>
      </c>
      <c r="C2138" s="16" t="str">
        <f>IFERROR(VLOOKUP(DATA!#REF!,DATA!#REF!,1,FALSE),"")</f>
        <v/>
      </c>
      <c r="D2138" s="16" t="str">
        <f>IFERROR(VLOOKUP(C2138,DATA!#REF!,2,FALSE),"")</f>
        <v/>
      </c>
      <c r="I2138" s="17"/>
      <c r="J2138" s="17"/>
      <c r="P2138" s="17"/>
      <c r="Q2138" s="17"/>
    </row>
    <row r="2139" spans="2:17">
      <c r="B2139" s="15" t="str">
        <f t="shared" si="74"/>
        <v/>
      </c>
      <c r="C2139" s="16" t="str">
        <f>IFERROR(VLOOKUP(DATA!#REF!,DATA!#REF!,1,FALSE),"")</f>
        <v/>
      </c>
      <c r="D2139" s="16" t="str">
        <f>IFERROR(VLOOKUP(C2139,DATA!#REF!,2,FALSE),"")</f>
        <v/>
      </c>
      <c r="I2139" s="17"/>
      <c r="J2139" s="17"/>
      <c r="P2139" s="17"/>
      <c r="Q2139" s="17"/>
    </row>
    <row r="2140" spans="2:17">
      <c r="B2140" s="15" t="str">
        <f t="shared" si="74"/>
        <v/>
      </c>
      <c r="C2140" s="16" t="str">
        <f>IFERROR(VLOOKUP(DATA!#REF!,DATA!#REF!,1,FALSE),"")</f>
        <v/>
      </c>
      <c r="D2140" s="16" t="str">
        <f>IFERROR(VLOOKUP(C2140,DATA!#REF!,2,FALSE),"")</f>
        <v/>
      </c>
      <c r="I2140" s="17"/>
      <c r="J2140" s="17"/>
      <c r="P2140" s="17"/>
      <c r="Q2140" s="17"/>
    </row>
    <row r="2141" spans="2:17">
      <c r="B2141" s="15" t="str">
        <f t="shared" si="74"/>
        <v/>
      </c>
      <c r="C2141" s="16" t="str">
        <f>IFERROR(VLOOKUP(DATA!#REF!,DATA!#REF!,1,FALSE),"")</f>
        <v/>
      </c>
      <c r="D2141" s="16" t="str">
        <f>IFERROR(VLOOKUP(C2141,DATA!#REF!,2,FALSE),"")</f>
        <v/>
      </c>
      <c r="I2141" s="17"/>
      <c r="J2141" s="17"/>
      <c r="P2141" s="17"/>
      <c r="Q2141" s="17"/>
    </row>
    <row r="2142" spans="2:17">
      <c r="B2142" s="15" t="str">
        <f t="shared" si="74"/>
        <v/>
      </c>
      <c r="C2142" s="16" t="str">
        <f>IFERROR(VLOOKUP(DATA!#REF!,DATA!#REF!,1,FALSE),"")</f>
        <v/>
      </c>
      <c r="D2142" s="16" t="str">
        <f>IFERROR(VLOOKUP(C2142,DATA!#REF!,2,FALSE),"")</f>
        <v/>
      </c>
      <c r="I2142" s="17"/>
      <c r="J2142" s="17"/>
      <c r="P2142" s="17"/>
      <c r="Q2142" s="17"/>
    </row>
    <row r="2143" spans="2:17">
      <c r="B2143" s="15" t="str">
        <f t="shared" si="74"/>
        <v/>
      </c>
      <c r="C2143" s="16" t="str">
        <f>IFERROR(VLOOKUP(DATA!#REF!,DATA!#REF!,1,FALSE),"")</f>
        <v/>
      </c>
      <c r="D2143" s="16" t="str">
        <f>IFERROR(VLOOKUP(C2143,DATA!#REF!,2,FALSE),"")</f>
        <v/>
      </c>
      <c r="I2143" s="17"/>
      <c r="J2143" s="17"/>
      <c r="P2143" s="17"/>
      <c r="Q2143" s="17"/>
    </row>
    <row r="2144" spans="2:17">
      <c r="B2144" s="15" t="str">
        <f t="shared" si="74"/>
        <v/>
      </c>
      <c r="C2144" s="16" t="str">
        <f>IFERROR(VLOOKUP(DATA!#REF!,DATA!#REF!,1,FALSE),"")</f>
        <v/>
      </c>
      <c r="D2144" s="16" t="str">
        <f>IFERROR(VLOOKUP(C2144,DATA!#REF!,2,FALSE),"")</f>
        <v/>
      </c>
      <c r="I2144" s="17"/>
      <c r="J2144" s="17"/>
      <c r="P2144" s="17"/>
      <c r="Q2144" s="17"/>
    </row>
    <row r="2145" spans="2:17">
      <c r="B2145" s="15" t="str">
        <f t="shared" si="74"/>
        <v/>
      </c>
      <c r="C2145" s="16" t="str">
        <f>IFERROR(VLOOKUP(DATA!#REF!,DATA!#REF!,1,FALSE),"")</f>
        <v/>
      </c>
      <c r="D2145" s="16" t="str">
        <f>IFERROR(VLOOKUP(C2145,DATA!#REF!,2,FALSE),"")</f>
        <v/>
      </c>
      <c r="I2145" s="17"/>
      <c r="J2145" s="17"/>
      <c r="P2145" s="17"/>
      <c r="Q2145" s="17"/>
    </row>
    <row r="2146" spans="2:17">
      <c r="B2146" s="15" t="str">
        <f t="shared" si="74"/>
        <v/>
      </c>
      <c r="C2146" s="16" t="str">
        <f>IFERROR(VLOOKUP(DATA!#REF!,DATA!#REF!,1,FALSE),"")</f>
        <v/>
      </c>
      <c r="D2146" s="16" t="str">
        <f>IFERROR(VLOOKUP(C2146,DATA!#REF!,2,FALSE),"")</f>
        <v/>
      </c>
      <c r="I2146" s="17"/>
      <c r="J2146" s="17"/>
      <c r="P2146" s="17"/>
      <c r="Q2146" s="17"/>
    </row>
    <row r="2147" spans="2:17">
      <c r="B2147" s="15" t="str">
        <f t="shared" si="74"/>
        <v/>
      </c>
      <c r="C2147" s="16" t="str">
        <f>IFERROR(VLOOKUP(DATA!#REF!,DATA!#REF!,1,FALSE),"")</f>
        <v/>
      </c>
      <c r="D2147" s="16" t="str">
        <f>IFERROR(VLOOKUP(C2147,DATA!#REF!,2,FALSE),"")</f>
        <v/>
      </c>
      <c r="I2147" s="17"/>
      <c r="J2147" s="17"/>
      <c r="P2147" s="17"/>
      <c r="Q2147" s="17"/>
    </row>
    <row r="2148" spans="2:17">
      <c r="B2148" s="15" t="str">
        <f t="shared" si="74"/>
        <v/>
      </c>
      <c r="C2148" s="16" t="str">
        <f>IFERROR(VLOOKUP(DATA!#REF!,DATA!#REF!,1,FALSE),"")</f>
        <v/>
      </c>
      <c r="D2148" s="16" t="str">
        <f>IFERROR(VLOOKUP(C2148,DATA!#REF!,2,FALSE),"")</f>
        <v/>
      </c>
      <c r="I2148" s="17"/>
      <c r="J2148" s="17"/>
      <c r="P2148" s="17"/>
      <c r="Q2148" s="17"/>
    </row>
    <row r="2149" spans="2:17">
      <c r="B2149" s="15" t="str">
        <f t="shared" si="74"/>
        <v/>
      </c>
      <c r="C2149" s="16" t="str">
        <f>IFERROR(VLOOKUP(DATA!#REF!,DATA!#REF!,1,FALSE),"")</f>
        <v/>
      </c>
      <c r="D2149" s="16" t="str">
        <f>IFERROR(VLOOKUP(C2149,DATA!#REF!,2,FALSE),"")</f>
        <v/>
      </c>
      <c r="I2149" s="17"/>
      <c r="J2149" s="17"/>
      <c r="P2149" s="17"/>
      <c r="Q2149" s="17"/>
    </row>
    <row r="2150" spans="2:17">
      <c r="B2150" s="15" t="str">
        <f t="shared" si="74"/>
        <v/>
      </c>
      <c r="C2150" s="16" t="str">
        <f>IFERROR(VLOOKUP(DATA!#REF!,DATA!#REF!,1,FALSE),"")</f>
        <v/>
      </c>
      <c r="D2150" s="16" t="str">
        <f>IFERROR(VLOOKUP(C2150,DATA!#REF!,2,FALSE),"")</f>
        <v/>
      </c>
      <c r="I2150" s="17"/>
      <c r="J2150" s="17"/>
      <c r="P2150" s="17"/>
      <c r="Q2150" s="17"/>
    </row>
    <row r="2151" spans="2:17">
      <c r="B2151" s="15" t="str">
        <f t="shared" si="74"/>
        <v/>
      </c>
      <c r="C2151" s="16" t="str">
        <f>IFERROR(VLOOKUP(DATA!#REF!,DATA!#REF!,1,FALSE),"")</f>
        <v/>
      </c>
      <c r="D2151" s="16" t="str">
        <f>IFERROR(VLOOKUP(C2151,DATA!#REF!,2,FALSE),"")</f>
        <v/>
      </c>
      <c r="I2151" s="17"/>
      <c r="J2151" s="17"/>
      <c r="P2151" s="17"/>
      <c r="Q2151" s="17"/>
    </row>
    <row r="2152" spans="2:17">
      <c r="B2152" s="15" t="str">
        <f t="shared" si="74"/>
        <v/>
      </c>
      <c r="C2152" s="16" t="str">
        <f>IFERROR(VLOOKUP(DATA!#REF!,DATA!#REF!,1,FALSE),"")</f>
        <v/>
      </c>
      <c r="D2152" s="16" t="str">
        <f>IFERROR(VLOOKUP(C2152,DATA!#REF!,2,FALSE),"")</f>
        <v/>
      </c>
      <c r="I2152" s="17"/>
      <c r="J2152" s="17"/>
      <c r="P2152" s="17"/>
      <c r="Q2152" s="17"/>
    </row>
    <row r="2153" spans="2:17">
      <c r="B2153" s="15" t="str">
        <f t="shared" si="74"/>
        <v/>
      </c>
      <c r="C2153" s="16" t="str">
        <f>IFERROR(VLOOKUP(DATA!#REF!,DATA!#REF!,1,FALSE),"")</f>
        <v/>
      </c>
      <c r="D2153" s="16" t="str">
        <f>IFERROR(VLOOKUP(C2153,DATA!#REF!,2,FALSE),"")</f>
        <v/>
      </c>
      <c r="I2153" s="17"/>
      <c r="J2153" s="17"/>
      <c r="P2153" s="17"/>
      <c r="Q2153" s="17"/>
    </row>
    <row r="2154" spans="2:17">
      <c r="B2154" s="15" t="str">
        <f t="shared" si="74"/>
        <v/>
      </c>
      <c r="C2154" s="16" t="str">
        <f>IFERROR(VLOOKUP(DATA!#REF!,DATA!#REF!,1,FALSE),"")</f>
        <v/>
      </c>
      <c r="D2154" s="16" t="str">
        <f>IFERROR(VLOOKUP(C2154,DATA!#REF!,2,FALSE),"")</f>
        <v/>
      </c>
      <c r="I2154" s="17"/>
      <c r="J2154" s="17"/>
      <c r="P2154" s="17"/>
      <c r="Q2154" s="17"/>
    </row>
    <row r="2155" spans="2:17">
      <c r="B2155" s="15" t="str">
        <f t="shared" si="74"/>
        <v/>
      </c>
      <c r="C2155" s="16" t="str">
        <f>IFERROR(VLOOKUP(DATA!#REF!,DATA!#REF!,1,FALSE),"")</f>
        <v/>
      </c>
      <c r="D2155" s="16" t="str">
        <f>IFERROR(VLOOKUP(C2155,DATA!#REF!,2,FALSE),"")</f>
        <v/>
      </c>
      <c r="I2155" s="17"/>
      <c r="J2155" s="17"/>
      <c r="P2155" s="17"/>
      <c r="Q2155" s="17"/>
    </row>
    <row r="2156" spans="2:17">
      <c r="B2156" s="15" t="str">
        <f t="shared" si="74"/>
        <v/>
      </c>
      <c r="C2156" s="16" t="str">
        <f>IFERROR(VLOOKUP(DATA!#REF!,DATA!#REF!,1,FALSE),"")</f>
        <v/>
      </c>
      <c r="D2156" s="16" t="str">
        <f>IFERROR(VLOOKUP(C2156,DATA!#REF!,2,FALSE),"")</f>
        <v/>
      </c>
      <c r="I2156" s="17"/>
      <c r="J2156" s="17"/>
      <c r="P2156" s="17"/>
      <c r="Q2156" s="17"/>
    </row>
    <row r="2157" spans="2:17">
      <c r="B2157" s="15" t="str">
        <f t="shared" si="74"/>
        <v/>
      </c>
      <c r="C2157" s="16" t="str">
        <f>IFERROR(VLOOKUP(DATA!#REF!,DATA!#REF!,1,FALSE),"")</f>
        <v/>
      </c>
      <c r="D2157" s="16" t="str">
        <f>IFERROR(VLOOKUP(C2157,DATA!#REF!,2,FALSE),"")</f>
        <v/>
      </c>
      <c r="I2157" s="17"/>
      <c r="J2157" s="17"/>
      <c r="P2157" s="17"/>
      <c r="Q2157" s="17"/>
    </row>
    <row r="2158" spans="2:17">
      <c r="B2158" s="15" t="str">
        <f t="shared" si="74"/>
        <v/>
      </c>
      <c r="C2158" s="16" t="str">
        <f>IFERROR(VLOOKUP(DATA!#REF!,DATA!#REF!,1,FALSE),"")</f>
        <v/>
      </c>
      <c r="D2158" s="16" t="str">
        <f>IFERROR(VLOOKUP(C2158,DATA!#REF!,2,FALSE),"")</f>
        <v/>
      </c>
      <c r="I2158" s="17"/>
      <c r="J2158" s="17"/>
      <c r="P2158" s="17"/>
      <c r="Q2158" s="17"/>
    </row>
    <row r="2159" spans="2:17">
      <c r="B2159" s="15" t="str">
        <f t="shared" si="74"/>
        <v/>
      </c>
      <c r="C2159" s="16" t="str">
        <f>IFERROR(VLOOKUP(DATA!#REF!,DATA!#REF!,1,FALSE),"")</f>
        <v/>
      </c>
      <c r="D2159" s="16" t="str">
        <f>IFERROR(VLOOKUP(C2159,DATA!#REF!,2,FALSE),"")</f>
        <v/>
      </c>
      <c r="I2159" s="17"/>
      <c r="J2159" s="17"/>
      <c r="P2159" s="17"/>
      <c r="Q2159" s="17"/>
    </row>
    <row r="2160" spans="2:17">
      <c r="B2160" s="15" t="str">
        <f t="shared" si="74"/>
        <v/>
      </c>
      <c r="C2160" s="16" t="str">
        <f>IFERROR(VLOOKUP(DATA!#REF!,DATA!#REF!,1,FALSE),"")</f>
        <v/>
      </c>
      <c r="D2160" s="16" t="str">
        <f>IFERROR(VLOOKUP(C2160,DATA!#REF!,2,FALSE),"")</f>
        <v/>
      </c>
      <c r="I2160" s="17"/>
      <c r="J2160" s="17"/>
      <c r="P2160" s="17"/>
      <c r="Q2160" s="17"/>
    </row>
    <row r="2161" spans="2:17">
      <c r="B2161" s="15" t="str">
        <f t="shared" si="74"/>
        <v/>
      </c>
      <c r="C2161" s="16" t="str">
        <f>IFERROR(VLOOKUP(DATA!#REF!,DATA!#REF!,1,FALSE),"")</f>
        <v/>
      </c>
      <c r="D2161" s="16" t="str">
        <f>IFERROR(VLOOKUP(C2161,DATA!#REF!,2,FALSE),"")</f>
        <v/>
      </c>
      <c r="I2161" s="17"/>
      <c r="J2161" s="17"/>
      <c r="P2161" s="17"/>
      <c r="Q2161" s="17"/>
    </row>
    <row r="2162" spans="2:17">
      <c r="B2162" s="15" t="str">
        <f t="shared" si="74"/>
        <v/>
      </c>
      <c r="C2162" s="16" t="str">
        <f>IFERROR(VLOOKUP(DATA!#REF!,DATA!#REF!,1,FALSE),"")</f>
        <v/>
      </c>
      <c r="D2162" s="16" t="str">
        <f>IFERROR(VLOOKUP(C2162,DATA!#REF!,2,FALSE),"")</f>
        <v/>
      </c>
      <c r="I2162" s="17"/>
      <c r="J2162" s="17"/>
      <c r="P2162" s="17"/>
      <c r="Q2162" s="17"/>
    </row>
    <row r="2163" spans="2:17">
      <c r="B2163" s="15" t="str">
        <f t="shared" si="74"/>
        <v/>
      </c>
      <c r="C2163" s="16" t="str">
        <f>IFERROR(VLOOKUP(DATA!#REF!,DATA!#REF!,1,FALSE),"")</f>
        <v/>
      </c>
      <c r="D2163" s="16" t="str">
        <f>IFERROR(VLOOKUP(C2163,DATA!#REF!,2,FALSE),"")</f>
        <v/>
      </c>
      <c r="I2163" s="17"/>
      <c r="J2163" s="17"/>
      <c r="P2163" s="17"/>
      <c r="Q2163" s="17"/>
    </row>
    <row r="2164" spans="2:17">
      <c r="B2164" s="15" t="str">
        <f t="shared" si="74"/>
        <v/>
      </c>
      <c r="C2164" s="16" t="str">
        <f>IFERROR(VLOOKUP(DATA!#REF!,DATA!#REF!,1,FALSE),"")</f>
        <v/>
      </c>
      <c r="D2164" s="16" t="str">
        <f>IFERROR(VLOOKUP(C2164,DATA!#REF!,2,FALSE),"")</f>
        <v/>
      </c>
      <c r="I2164" s="17"/>
      <c r="J2164" s="17"/>
      <c r="P2164" s="17"/>
      <c r="Q2164" s="17"/>
    </row>
    <row r="2165" spans="2:17">
      <c r="B2165" s="15" t="str">
        <f t="shared" si="74"/>
        <v/>
      </c>
      <c r="C2165" s="16" t="str">
        <f>IFERROR(VLOOKUP(DATA!#REF!,DATA!#REF!,1,FALSE),"")</f>
        <v/>
      </c>
      <c r="D2165" s="16" t="str">
        <f>IFERROR(VLOOKUP(C2165,DATA!#REF!,2,FALSE),"")</f>
        <v/>
      </c>
      <c r="I2165" s="17"/>
      <c r="J2165" s="17"/>
      <c r="P2165" s="17"/>
      <c r="Q2165" s="17"/>
    </row>
    <row r="2166" spans="2:17">
      <c r="B2166" s="15" t="str">
        <f t="shared" si="74"/>
        <v/>
      </c>
      <c r="C2166" s="16" t="str">
        <f>IFERROR(VLOOKUP(DATA!#REF!,DATA!#REF!,1,FALSE),"")</f>
        <v/>
      </c>
      <c r="D2166" s="16" t="str">
        <f>IFERROR(VLOOKUP(C2166,DATA!#REF!,2,FALSE),"")</f>
        <v/>
      </c>
      <c r="I2166" s="17"/>
      <c r="J2166" s="17"/>
      <c r="P2166" s="17"/>
      <c r="Q2166" s="17"/>
    </row>
    <row r="2167" spans="2:17">
      <c r="B2167" s="15" t="str">
        <f t="shared" ref="B2167:B2195" si="75">+IF(C2167="","",ROW()-5)</f>
        <v/>
      </c>
      <c r="C2167" s="16" t="str">
        <f>IFERROR(VLOOKUP(DATA!#REF!,DATA!#REF!,1,FALSE),"")</f>
        <v/>
      </c>
      <c r="D2167" s="16" t="str">
        <f>IFERROR(VLOOKUP(C2167,DATA!#REF!,2,FALSE),"")</f>
        <v/>
      </c>
      <c r="I2167" s="17"/>
      <c r="J2167" s="17"/>
      <c r="P2167" s="17"/>
      <c r="Q2167" s="17"/>
    </row>
    <row r="2168" spans="2:17">
      <c r="B2168" s="15" t="str">
        <f t="shared" si="75"/>
        <v/>
      </c>
      <c r="C2168" s="16" t="str">
        <f>IFERROR(VLOOKUP(DATA!#REF!,DATA!#REF!,1,FALSE),"")</f>
        <v/>
      </c>
      <c r="D2168" s="16" t="str">
        <f>IFERROR(VLOOKUP(C2168,DATA!#REF!,2,FALSE),"")</f>
        <v/>
      </c>
      <c r="I2168" s="17"/>
      <c r="J2168" s="17"/>
      <c r="P2168" s="17"/>
      <c r="Q2168" s="17"/>
    </row>
    <row r="2169" spans="2:17">
      <c r="B2169" s="15" t="str">
        <f t="shared" si="75"/>
        <v/>
      </c>
      <c r="C2169" s="16" t="str">
        <f>IFERROR(VLOOKUP(DATA!#REF!,DATA!#REF!,1,FALSE),"")</f>
        <v/>
      </c>
      <c r="D2169" s="16" t="str">
        <f>IFERROR(VLOOKUP(C2169,DATA!#REF!,2,FALSE),"")</f>
        <v/>
      </c>
      <c r="I2169" s="17"/>
      <c r="J2169" s="17"/>
      <c r="P2169" s="17"/>
      <c r="Q2169" s="17"/>
    </row>
    <row r="2170" spans="2:17">
      <c r="B2170" s="15" t="str">
        <f t="shared" si="75"/>
        <v/>
      </c>
      <c r="C2170" s="16" t="str">
        <f>IFERROR(VLOOKUP(DATA!#REF!,DATA!#REF!,1,FALSE),"")</f>
        <v/>
      </c>
      <c r="D2170" s="16" t="str">
        <f>IFERROR(VLOOKUP(C2170,DATA!#REF!,2,FALSE),"")</f>
        <v/>
      </c>
      <c r="I2170" s="17"/>
      <c r="J2170" s="17"/>
      <c r="P2170" s="17"/>
      <c r="Q2170" s="17"/>
    </row>
    <row r="2171" spans="2:17">
      <c r="B2171" s="15" t="str">
        <f t="shared" si="75"/>
        <v/>
      </c>
      <c r="C2171" s="16" t="str">
        <f>IFERROR(VLOOKUP(DATA!#REF!,DATA!#REF!,1,FALSE),"")</f>
        <v/>
      </c>
      <c r="D2171" s="16" t="str">
        <f>IFERROR(VLOOKUP(C2171,DATA!#REF!,2,FALSE),"")</f>
        <v/>
      </c>
      <c r="I2171" s="17"/>
      <c r="J2171" s="17"/>
      <c r="P2171" s="17"/>
      <c r="Q2171" s="17"/>
    </row>
    <row r="2172" spans="2:17">
      <c r="B2172" s="15" t="str">
        <f t="shared" si="75"/>
        <v/>
      </c>
      <c r="C2172" s="16" t="str">
        <f>IFERROR(VLOOKUP(DATA!#REF!,DATA!#REF!,1,FALSE),"")</f>
        <v/>
      </c>
      <c r="D2172" s="16" t="str">
        <f>IFERROR(VLOOKUP(C2172,DATA!#REF!,2,FALSE),"")</f>
        <v/>
      </c>
      <c r="I2172" s="17"/>
      <c r="J2172" s="17"/>
      <c r="P2172" s="17"/>
      <c r="Q2172" s="17"/>
    </row>
    <row r="2173" spans="2:17">
      <c r="B2173" s="15" t="str">
        <f t="shared" si="75"/>
        <v/>
      </c>
      <c r="C2173" s="16" t="str">
        <f>IFERROR(VLOOKUP(DATA!#REF!,DATA!#REF!,1,FALSE),"")</f>
        <v/>
      </c>
      <c r="D2173" s="16" t="str">
        <f>IFERROR(VLOOKUP(C2173,DATA!#REF!,2,FALSE),"")</f>
        <v/>
      </c>
      <c r="I2173" s="17"/>
      <c r="J2173" s="17"/>
      <c r="P2173" s="17"/>
      <c r="Q2173" s="17"/>
    </row>
    <row r="2174" spans="2:17">
      <c r="B2174" s="15" t="str">
        <f t="shared" si="75"/>
        <v/>
      </c>
      <c r="C2174" s="16" t="str">
        <f>IFERROR(VLOOKUP(DATA!#REF!,DATA!#REF!,1,FALSE),"")</f>
        <v/>
      </c>
      <c r="D2174" s="16" t="str">
        <f>IFERROR(VLOOKUP(C2174,DATA!#REF!,2,FALSE),"")</f>
        <v/>
      </c>
      <c r="I2174" s="17"/>
      <c r="J2174" s="17"/>
      <c r="P2174" s="17"/>
      <c r="Q2174" s="17"/>
    </row>
    <row r="2175" spans="2:17">
      <c r="B2175" s="15" t="str">
        <f t="shared" si="75"/>
        <v/>
      </c>
      <c r="C2175" s="16" t="str">
        <f>IFERROR(VLOOKUP(DATA!#REF!,DATA!#REF!,1,FALSE),"")</f>
        <v/>
      </c>
      <c r="D2175" s="16" t="str">
        <f>IFERROR(VLOOKUP(C2175,DATA!#REF!,2,FALSE),"")</f>
        <v/>
      </c>
      <c r="I2175" s="17"/>
      <c r="J2175" s="17"/>
      <c r="P2175" s="17"/>
      <c r="Q2175" s="17"/>
    </row>
    <row r="2176" spans="2:17">
      <c r="B2176" s="15" t="str">
        <f t="shared" si="75"/>
        <v/>
      </c>
      <c r="C2176" s="16" t="str">
        <f>IFERROR(VLOOKUP(DATA!#REF!,DATA!#REF!,1,FALSE),"")</f>
        <v/>
      </c>
      <c r="D2176" s="16" t="str">
        <f>IFERROR(VLOOKUP(C2176,DATA!#REF!,2,FALSE),"")</f>
        <v/>
      </c>
      <c r="I2176" s="17"/>
      <c r="J2176" s="17"/>
      <c r="P2176" s="17"/>
      <c r="Q2176" s="17"/>
    </row>
    <row r="2177" spans="2:17">
      <c r="B2177" s="15" t="str">
        <f t="shared" si="75"/>
        <v/>
      </c>
      <c r="C2177" s="16" t="str">
        <f>IFERROR(VLOOKUP(DATA!#REF!,DATA!#REF!,1,FALSE),"")</f>
        <v/>
      </c>
      <c r="D2177" s="16" t="str">
        <f>IFERROR(VLOOKUP(C2177,DATA!#REF!,2,FALSE),"")</f>
        <v/>
      </c>
      <c r="I2177" s="17"/>
      <c r="J2177" s="17"/>
      <c r="P2177" s="17"/>
      <c r="Q2177" s="17"/>
    </row>
    <row r="2178" spans="2:17">
      <c r="B2178" s="15" t="str">
        <f t="shared" si="75"/>
        <v/>
      </c>
      <c r="C2178" s="16" t="str">
        <f>IFERROR(VLOOKUP(DATA!#REF!,DATA!#REF!,1,FALSE),"")</f>
        <v/>
      </c>
      <c r="D2178" s="16" t="str">
        <f>IFERROR(VLOOKUP(C2178,DATA!#REF!,2,FALSE),"")</f>
        <v/>
      </c>
      <c r="I2178" s="17"/>
      <c r="J2178" s="17"/>
      <c r="P2178" s="17"/>
      <c r="Q2178" s="17"/>
    </row>
    <row r="2179" spans="2:17">
      <c r="B2179" s="15" t="str">
        <f t="shared" si="75"/>
        <v/>
      </c>
      <c r="C2179" s="16" t="str">
        <f>IFERROR(VLOOKUP(DATA!#REF!,DATA!#REF!,1,FALSE),"")</f>
        <v/>
      </c>
      <c r="D2179" s="16" t="str">
        <f>IFERROR(VLOOKUP(C2179,DATA!#REF!,2,FALSE),"")</f>
        <v/>
      </c>
      <c r="I2179" s="17"/>
      <c r="J2179" s="17"/>
      <c r="P2179" s="17"/>
      <c r="Q2179" s="17"/>
    </row>
    <row r="2180" spans="2:17">
      <c r="B2180" s="15" t="str">
        <f t="shared" si="75"/>
        <v/>
      </c>
      <c r="C2180" s="16" t="str">
        <f>IFERROR(VLOOKUP(DATA!#REF!,DATA!#REF!,1,FALSE),"")</f>
        <v/>
      </c>
      <c r="D2180" s="16" t="str">
        <f>IFERROR(VLOOKUP(C2180,DATA!#REF!,2,FALSE),"")</f>
        <v/>
      </c>
      <c r="I2180" s="17"/>
      <c r="J2180" s="17"/>
      <c r="P2180" s="17"/>
      <c r="Q2180" s="17"/>
    </row>
    <row r="2181" spans="2:17">
      <c r="B2181" s="15" t="str">
        <f t="shared" si="75"/>
        <v/>
      </c>
      <c r="C2181" s="16" t="str">
        <f>IFERROR(VLOOKUP(DATA!#REF!,DATA!#REF!,1,FALSE),"")</f>
        <v/>
      </c>
      <c r="D2181" s="16" t="str">
        <f>IFERROR(VLOOKUP(C2181,DATA!#REF!,2,FALSE),"")</f>
        <v/>
      </c>
      <c r="I2181" s="17"/>
      <c r="J2181" s="17"/>
      <c r="P2181" s="17"/>
      <c r="Q2181" s="17"/>
    </row>
    <row r="2182" spans="2:17">
      <c r="B2182" s="15" t="str">
        <f t="shared" si="75"/>
        <v/>
      </c>
      <c r="C2182" s="16" t="str">
        <f>IFERROR(VLOOKUP(DATA!#REF!,DATA!#REF!,1,FALSE),"")</f>
        <v/>
      </c>
      <c r="D2182" s="16" t="str">
        <f>IFERROR(VLOOKUP(C2182,DATA!#REF!,2,FALSE),"")</f>
        <v/>
      </c>
      <c r="I2182" s="17"/>
      <c r="J2182" s="17"/>
      <c r="P2182" s="17"/>
      <c r="Q2182" s="17"/>
    </row>
    <row r="2183" spans="2:17">
      <c r="B2183" s="15" t="str">
        <f t="shared" si="75"/>
        <v/>
      </c>
      <c r="C2183" s="16" t="str">
        <f>IFERROR(VLOOKUP(DATA!#REF!,DATA!#REF!,1,FALSE),"")</f>
        <v/>
      </c>
      <c r="D2183" s="16" t="str">
        <f>IFERROR(VLOOKUP(C2183,DATA!#REF!,2,FALSE),"")</f>
        <v/>
      </c>
      <c r="I2183" s="17"/>
      <c r="J2183" s="17"/>
      <c r="P2183" s="17"/>
      <c r="Q2183" s="17"/>
    </row>
    <row r="2184" spans="2:17">
      <c r="B2184" s="15" t="str">
        <f t="shared" si="75"/>
        <v/>
      </c>
      <c r="C2184" s="16" t="str">
        <f>IFERROR(VLOOKUP(DATA!#REF!,DATA!#REF!,1,FALSE),"")</f>
        <v/>
      </c>
      <c r="D2184" s="16" t="str">
        <f>IFERROR(VLOOKUP(C2184,DATA!#REF!,2,FALSE),"")</f>
        <v/>
      </c>
      <c r="I2184" s="17"/>
      <c r="J2184" s="17"/>
      <c r="P2184" s="17"/>
      <c r="Q2184" s="17"/>
    </row>
    <row r="2185" spans="2:17">
      <c r="B2185" s="15" t="str">
        <f t="shared" si="75"/>
        <v/>
      </c>
      <c r="C2185" s="16" t="str">
        <f>IFERROR(VLOOKUP(DATA!#REF!,DATA!#REF!,1,FALSE),"")</f>
        <v/>
      </c>
      <c r="D2185" s="16" t="str">
        <f>IFERROR(VLOOKUP(C2185,DATA!#REF!,2,FALSE),"")</f>
        <v/>
      </c>
      <c r="I2185" s="17"/>
      <c r="J2185" s="17"/>
      <c r="P2185" s="17"/>
      <c r="Q2185" s="17"/>
    </row>
    <row r="2186" spans="2:17">
      <c r="B2186" s="15" t="str">
        <f t="shared" si="75"/>
        <v/>
      </c>
      <c r="C2186" s="16" t="str">
        <f>IFERROR(VLOOKUP(DATA!#REF!,DATA!#REF!,1,FALSE),"")</f>
        <v/>
      </c>
      <c r="D2186" s="16" t="str">
        <f>IFERROR(VLOOKUP(C2186,DATA!#REF!,2,FALSE),"")</f>
        <v/>
      </c>
      <c r="I2186" s="17"/>
      <c r="J2186" s="17"/>
      <c r="P2186" s="17"/>
      <c r="Q2186" s="17"/>
    </row>
    <row r="2187" spans="2:17">
      <c r="B2187" s="15" t="str">
        <f t="shared" si="75"/>
        <v/>
      </c>
      <c r="C2187" s="16" t="str">
        <f>IFERROR(VLOOKUP(DATA!#REF!,DATA!#REF!,1,FALSE),"")</f>
        <v/>
      </c>
      <c r="D2187" s="16" t="str">
        <f>IFERROR(VLOOKUP(C2187,DATA!#REF!,2,FALSE),"")</f>
        <v/>
      </c>
      <c r="I2187" s="17"/>
      <c r="J2187" s="17"/>
      <c r="P2187" s="17"/>
      <c r="Q2187" s="17"/>
    </row>
    <row r="2188" spans="2:17">
      <c r="B2188" s="15" t="str">
        <f t="shared" si="75"/>
        <v/>
      </c>
      <c r="C2188" s="16" t="str">
        <f>IFERROR(VLOOKUP(DATA!#REF!,DATA!#REF!,1,FALSE),"")</f>
        <v/>
      </c>
      <c r="D2188" s="16" t="str">
        <f>IFERROR(VLOOKUP(C2188,DATA!#REF!,2,FALSE),"")</f>
        <v/>
      </c>
      <c r="I2188" s="17"/>
      <c r="J2188" s="17"/>
      <c r="P2188" s="17"/>
      <c r="Q2188" s="17"/>
    </row>
    <row r="2189" spans="2:17">
      <c r="B2189" s="15" t="str">
        <f t="shared" si="75"/>
        <v/>
      </c>
      <c r="C2189" s="16" t="str">
        <f>IFERROR(VLOOKUP(DATA!#REF!,DATA!#REF!,1,FALSE),"")</f>
        <v/>
      </c>
      <c r="D2189" s="16" t="str">
        <f>IFERROR(VLOOKUP(C2189,DATA!#REF!,2,FALSE),"")</f>
        <v/>
      </c>
      <c r="I2189" s="17"/>
      <c r="J2189" s="17"/>
      <c r="P2189" s="17"/>
      <c r="Q2189" s="17"/>
    </row>
    <row r="2190" spans="2:17">
      <c r="B2190" s="15" t="str">
        <f t="shared" si="75"/>
        <v/>
      </c>
      <c r="C2190" s="16" t="str">
        <f>IFERROR(VLOOKUP(DATA!#REF!,DATA!#REF!,1,FALSE),"")</f>
        <v/>
      </c>
      <c r="D2190" s="16" t="str">
        <f>IFERROR(VLOOKUP(C2190,DATA!#REF!,2,FALSE),"")</f>
        <v/>
      </c>
      <c r="I2190" s="17"/>
      <c r="J2190" s="17"/>
      <c r="P2190" s="17"/>
      <c r="Q2190" s="17"/>
    </row>
    <row r="2191" spans="2:17">
      <c r="B2191" s="15" t="str">
        <f t="shared" si="75"/>
        <v/>
      </c>
      <c r="C2191" s="16" t="str">
        <f>IFERROR(VLOOKUP(DATA!#REF!,DATA!#REF!,1,FALSE),"")</f>
        <v/>
      </c>
      <c r="D2191" s="16" t="str">
        <f>IFERROR(VLOOKUP(C2191,DATA!#REF!,2,FALSE),"")</f>
        <v/>
      </c>
      <c r="I2191" s="17"/>
      <c r="J2191" s="17"/>
      <c r="P2191" s="17"/>
      <c r="Q2191" s="17"/>
    </row>
    <row r="2192" spans="2:17">
      <c r="B2192" s="15" t="str">
        <f t="shared" si="75"/>
        <v/>
      </c>
      <c r="C2192" s="16" t="str">
        <f>IFERROR(VLOOKUP(DATA!#REF!,DATA!#REF!,1,FALSE),"")</f>
        <v/>
      </c>
      <c r="D2192" s="16" t="str">
        <f>IFERROR(VLOOKUP(C2192,DATA!#REF!,2,FALSE),"")</f>
        <v/>
      </c>
      <c r="I2192" s="17"/>
      <c r="J2192" s="17"/>
      <c r="P2192" s="17"/>
      <c r="Q2192" s="17"/>
    </row>
    <row r="2193" spans="2:17">
      <c r="B2193" s="15" t="str">
        <f t="shared" si="75"/>
        <v/>
      </c>
      <c r="C2193" s="16" t="str">
        <f>IFERROR(VLOOKUP(DATA!#REF!,DATA!#REF!,1,FALSE),"")</f>
        <v/>
      </c>
      <c r="D2193" s="16" t="str">
        <f>IFERROR(VLOOKUP(C2193,DATA!#REF!,2,FALSE),"")</f>
        <v/>
      </c>
      <c r="I2193" s="17"/>
      <c r="J2193" s="17"/>
      <c r="P2193" s="17"/>
      <c r="Q2193" s="17"/>
    </row>
    <row r="2194" spans="2:17">
      <c r="B2194" s="15" t="str">
        <f t="shared" si="75"/>
        <v/>
      </c>
      <c r="C2194" s="16" t="str">
        <f>IFERROR(VLOOKUP(DATA!#REF!,DATA!#REF!,1,FALSE),"")</f>
        <v/>
      </c>
      <c r="D2194" s="16" t="str">
        <f>IFERROR(VLOOKUP(C2194,DATA!#REF!,2,FALSE),"")</f>
        <v/>
      </c>
      <c r="I2194" s="17"/>
      <c r="J2194" s="17"/>
      <c r="P2194" s="17"/>
      <c r="Q2194" s="17"/>
    </row>
    <row r="2195" spans="2:17">
      <c r="B2195" s="15" t="str">
        <f t="shared" si="75"/>
        <v/>
      </c>
      <c r="C2195" s="16" t="str">
        <f>IFERROR(VLOOKUP(DATA!#REF!,DATA!#REF!,1,FALSE),"")</f>
        <v/>
      </c>
      <c r="D2195" s="16" t="str">
        <f>IFERROR(VLOOKUP(C2195,DATA!#REF!,2,FALSE),"")</f>
        <v/>
      </c>
      <c r="I2195" s="17"/>
      <c r="J2195" s="17"/>
      <c r="P2195" s="17"/>
      <c r="Q2195" s="17"/>
    </row>
    <row r="2196" spans="2:17">
      <c r="C2196" s="16" t="str">
        <f>IFERROR(VLOOKUP(DATA!#REF!,DATA!#REF!,1,FALSE),"")</f>
        <v/>
      </c>
      <c r="D2196" s="16" t="str">
        <f>IFERROR(VLOOKUP(C2196,DATA!#REF!,2,FALSE),"")</f>
        <v/>
      </c>
      <c r="I2196" s="17"/>
      <c r="J2196" s="17"/>
      <c r="P2196" s="17"/>
      <c r="Q2196" s="17"/>
    </row>
    <row r="2197" spans="2:17">
      <c r="C2197" s="16" t="str">
        <f>IFERROR(VLOOKUP(DATA!#REF!,DATA!#REF!,1,FALSE),"")</f>
        <v/>
      </c>
      <c r="D2197" s="16" t="str">
        <f>IFERROR(VLOOKUP(C2197,DATA!#REF!,2,FALSE),"")</f>
        <v/>
      </c>
      <c r="I2197" s="17"/>
      <c r="J2197" s="17"/>
      <c r="P2197" s="17"/>
      <c r="Q2197" s="17"/>
    </row>
    <row r="2198" spans="2:17">
      <c r="C2198" s="16" t="str">
        <f>IFERROR(VLOOKUP(DATA!#REF!,DATA!#REF!,1,FALSE),"")</f>
        <v/>
      </c>
      <c r="D2198" s="16" t="str">
        <f>IFERROR(VLOOKUP(C2198,DATA!#REF!,2,FALSE),"")</f>
        <v/>
      </c>
      <c r="I2198" s="17"/>
      <c r="J2198" s="17"/>
      <c r="P2198" s="17"/>
      <c r="Q2198" s="17"/>
    </row>
    <row r="2199" spans="2:17">
      <c r="C2199" s="16" t="str">
        <f>IFERROR(VLOOKUP(DATA!#REF!,DATA!#REF!,1,FALSE),"")</f>
        <v/>
      </c>
      <c r="D2199" s="16" t="str">
        <f>IFERROR(VLOOKUP(C2199,DATA!#REF!,2,FALSE),"")</f>
        <v/>
      </c>
      <c r="I2199" s="17"/>
      <c r="J2199" s="17"/>
      <c r="P2199" s="17"/>
      <c r="Q2199" s="17"/>
    </row>
    <row r="2200" spans="2:17">
      <c r="C2200" s="16" t="str">
        <f>IFERROR(VLOOKUP(DATA!#REF!,DATA!#REF!,1,FALSE),"")</f>
        <v/>
      </c>
      <c r="D2200" s="16" t="str">
        <f>IFERROR(VLOOKUP(C2200,DATA!#REF!,2,FALSE),"")</f>
        <v/>
      </c>
      <c r="I2200" s="17"/>
      <c r="J2200" s="17"/>
      <c r="P2200" s="17"/>
      <c r="Q2200" s="17"/>
    </row>
    <row r="2201" spans="2:17">
      <c r="C2201" s="16" t="str">
        <f>IFERROR(VLOOKUP(DATA!#REF!,DATA!#REF!,1,FALSE),"")</f>
        <v/>
      </c>
      <c r="D2201" s="16" t="str">
        <f>IFERROR(VLOOKUP(C2201,DATA!#REF!,2,FALSE),"")</f>
        <v/>
      </c>
      <c r="I2201" s="17"/>
      <c r="J2201" s="17"/>
      <c r="P2201" s="17"/>
      <c r="Q2201" s="17"/>
    </row>
    <row r="2202" spans="2:17">
      <c r="C2202" s="16" t="str">
        <f>IFERROR(VLOOKUP(DATA!#REF!,DATA!#REF!,1,FALSE),"")</f>
        <v/>
      </c>
      <c r="D2202" s="16" t="str">
        <f>IFERROR(VLOOKUP(C2202,DATA!#REF!,2,FALSE),"")</f>
        <v/>
      </c>
      <c r="I2202" s="17"/>
      <c r="J2202" s="17"/>
      <c r="P2202" s="17"/>
      <c r="Q2202" s="17"/>
    </row>
    <row r="2203" spans="2:17">
      <c r="C2203" s="16" t="str">
        <f>IFERROR(VLOOKUP(DATA!#REF!,DATA!#REF!,1,FALSE),"")</f>
        <v/>
      </c>
      <c r="D2203" s="16" t="str">
        <f>IFERROR(VLOOKUP(C2203,DATA!#REF!,2,FALSE),"")</f>
        <v/>
      </c>
      <c r="I2203" s="17"/>
      <c r="J2203" s="17"/>
      <c r="P2203" s="17"/>
      <c r="Q2203" s="17"/>
    </row>
    <row r="2204" spans="2:17">
      <c r="C2204" s="16" t="str">
        <f>IFERROR(VLOOKUP(DATA!#REF!,DATA!#REF!,1,FALSE),"")</f>
        <v/>
      </c>
      <c r="D2204" s="16" t="str">
        <f>IFERROR(VLOOKUP(C2204,DATA!#REF!,2,FALSE),"")</f>
        <v/>
      </c>
      <c r="I2204" s="17"/>
      <c r="J2204" s="17"/>
      <c r="P2204" s="17"/>
      <c r="Q2204" s="17"/>
    </row>
    <row r="2205" spans="2:17">
      <c r="C2205" s="16" t="str">
        <f>IFERROR(VLOOKUP(DATA!#REF!,DATA!#REF!,1,FALSE),"")</f>
        <v/>
      </c>
      <c r="D2205" s="16" t="str">
        <f>IFERROR(VLOOKUP(C2205,DATA!#REF!,2,FALSE),"")</f>
        <v/>
      </c>
      <c r="I2205" s="17"/>
      <c r="J2205" s="17"/>
      <c r="P2205" s="17"/>
      <c r="Q2205" s="17"/>
    </row>
    <row r="2206" spans="2:17">
      <c r="C2206" s="16" t="str">
        <f>IFERROR(VLOOKUP(DATA!#REF!,DATA!#REF!,1,FALSE),"")</f>
        <v/>
      </c>
      <c r="D2206" s="16" t="str">
        <f>IFERROR(VLOOKUP(C2206,DATA!#REF!,2,FALSE),"")</f>
        <v/>
      </c>
      <c r="I2206" s="17"/>
      <c r="J2206" s="17"/>
      <c r="P2206" s="17"/>
      <c r="Q2206" s="17"/>
    </row>
    <row r="2207" spans="2:17">
      <c r="B2207" s="17"/>
      <c r="C2207" s="16" t="str">
        <f>IFERROR(VLOOKUP(DATA!#REF!,DATA!#REF!,1,FALSE),"")</f>
        <v/>
      </c>
      <c r="D2207" s="16" t="str">
        <f>IFERROR(VLOOKUP(C2207,DATA!#REF!,2,FALSE),"")</f>
        <v/>
      </c>
      <c r="I2207" s="17"/>
      <c r="J2207" s="17"/>
      <c r="P2207" s="17"/>
      <c r="Q2207" s="17"/>
    </row>
    <row r="2208" spans="2:17">
      <c r="B2208" s="17"/>
      <c r="C2208" s="16" t="str">
        <f>IFERROR(VLOOKUP(DATA!#REF!,DATA!#REF!,1,FALSE),"")</f>
        <v/>
      </c>
      <c r="D2208" s="16" t="str">
        <f>IFERROR(VLOOKUP(C2208,DATA!#REF!,2,FALSE),"")</f>
        <v/>
      </c>
      <c r="I2208" s="17"/>
      <c r="J2208" s="17"/>
      <c r="P2208" s="17"/>
      <c r="Q2208" s="17"/>
    </row>
    <row r="2209" spans="2:17">
      <c r="B2209" s="17"/>
      <c r="C2209" s="16" t="str">
        <f>IFERROR(VLOOKUP(DATA!#REF!,DATA!#REF!,1,FALSE),"")</f>
        <v/>
      </c>
      <c r="D2209" s="16" t="str">
        <f>IFERROR(VLOOKUP(C2209,DATA!#REF!,2,FALSE),"")</f>
        <v/>
      </c>
      <c r="I2209" s="17"/>
      <c r="J2209" s="17"/>
      <c r="P2209" s="17"/>
      <c r="Q2209" s="17"/>
    </row>
    <row r="2210" spans="2:17">
      <c r="B2210" s="17"/>
      <c r="C2210" s="16" t="str">
        <f>IFERROR(VLOOKUP(DATA!#REF!,DATA!#REF!,1,FALSE),"")</f>
        <v/>
      </c>
      <c r="D2210" s="16" t="str">
        <f>IFERROR(VLOOKUP(C2210,DATA!#REF!,2,FALSE),"")</f>
        <v/>
      </c>
      <c r="I2210" s="17"/>
      <c r="J2210" s="17"/>
      <c r="P2210" s="17"/>
      <c r="Q2210" s="17"/>
    </row>
    <row r="2211" spans="2:17">
      <c r="B2211" s="17"/>
      <c r="C2211" s="16" t="str">
        <f>IFERROR(VLOOKUP(DATA!#REF!,DATA!#REF!,1,FALSE),"")</f>
        <v/>
      </c>
      <c r="D2211" s="16" t="str">
        <f>IFERROR(VLOOKUP(C2211,DATA!#REF!,2,FALSE),"")</f>
        <v/>
      </c>
      <c r="I2211" s="17"/>
      <c r="J2211" s="17"/>
      <c r="P2211" s="17"/>
      <c r="Q2211" s="17"/>
    </row>
    <row r="2212" spans="2:17">
      <c r="B2212" s="17"/>
      <c r="C2212" s="16" t="str">
        <f>IFERROR(VLOOKUP(DATA!#REF!,DATA!#REF!,1,FALSE),"")</f>
        <v/>
      </c>
      <c r="D2212" s="16" t="str">
        <f>IFERROR(VLOOKUP(C2212,DATA!#REF!,2,FALSE),"")</f>
        <v/>
      </c>
      <c r="I2212" s="17"/>
      <c r="J2212" s="17"/>
      <c r="P2212" s="17"/>
      <c r="Q2212" s="17"/>
    </row>
    <row r="2213" spans="2:17">
      <c r="B2213" s="17"/>
      <c r="C2213" s="16" t="str">
        <f>IFERROR(VLOOKUP(DATA!#REF!,DATA!#REF!,1,FALSE),"")</f>
        <v/>
      </c>
      <c r="D2213" s="16" t="str">
        <f>IFERROR(VLOOKUP(C2213,DATA!#REF!,2,FALSE),"")</f>
        <v/>
      </c>
      <c r="I2213" s="17"/>
      <c r="J2213" s="17"/>
      <c r="P2213" s="17"/>
      <c r="Q2213" s="17"/>
    </row>
    <row r="2214" spans="2:17">
      <c r="B2214" s="17"/>
      <c r="C2214" s="16" t="str">
        <f>IFERROR(VLOOKUP(DATA!#REF!,DATA!#REF!,1,FALSE),"")</f>
        <v/>
      </c>
      <c r="D2214" s="16" t="str">
        <f>IFERROR(VLOOKUP(C2214,DATA!#REF!,2,FALSE),"")</f>
        <v/>
      </c>
      <c r="I2214" s="17"/>
      <c r="J2214" s="17"/>
      <c r="P2214" s="17"/>
      <c r="Q2214" s="17"/>
    </row>
    <row r="2215" spans="2:17">
      <c r="B2215" s="17"/>
      <c r="C2215" s="16" t="str">
        <f>IFERROR(VLOOKUP(DATA!#REF!,DATA!#REF!,1,FALSE),"")</f>
        <v/>
      </c>
      <c r="D2215" s="16" t="str">
        <f>IFERROR(VLOOKUP(C2215,DATA!#REF!,2,FALSE),"")</f>
        <v/>
      </c>
      <c r="I2215" s="17"/>
      <c r="J2215" s="17"/>
      <c r="P2215" s="17"/>
      <c r="Q2215" s="17"/>
    </row>
    <row r="2216" spans="2:17">
      <c r="B2216" s="17"/>
      <c r="C2216" s="16" t="str">
        <f>IFERROR(VLOOKUP(DATA!#REF!,DATA!#REF!,1,FALSE),"")</f>
        <v/>
      </c>
      <c r="D2216" s="16" t="str">
        <f>IFERROR(VLOOKUP(C2216,DATA!#REF!,2,FALSE),"")</f>
        <v/>
      </c>
      <c r="I2216" s="17"/>
      <c r="J2216" s="17"/>
      <c r="P2216" s="17"/>
      <c r="Q2216" s="17"/>
    </row>
    <row r="2217" spans="2:17">
      <c r="B2217" s="17"/>
      <c r="C2217" s="16" t="str">
        <f>IFERROR(VLOOKUP(DATA!#REF!,DATA!#REF!,1,FALSE),"")</f>
        <v/>
      </c>
      <c r="D2217" s="16" t="str">
        <f>IFERROR(VLOOKUP(C2217,DATA!#REF!,2,FALSE),"")</f>
        <v/>
      </c>
      <c r="I2217" s="17"/>
      <c r="J2217" s="17"/>
      <c r="P2217" s="17"/>
      <c r="Q2217" s="17"/>
    </row>
    <row r="2218" spans="2:17">
      <c r="B2218" s="17"/>
      <c r="C2218" s="16" t="str">
        <f>IFERROR(VLOOKUP(DATA!#REF!,DATA!#REF!,1,FALSE),"")</f>
        <v/>
      </c>
      <c r="D2218" s="16" t="str">
        <f>IFERROR(VLOOKUP(C2218,DATA!#REF!,2,FALSE),"")</f>
        <v/>
      </c>
      <c r="I2218" s="17"/>
      <c r="J2218" s="17"/>
      <c r="P2218" s="17"/>
      <c r="Q2218" s="17"/>
    </row>
    <row r="2219" spans="2:17">
      <c r="B2219" s="17"/>
      <c r="C2219" s="16" t="str">
        <f>IFERROR(VLOOKUP(DATA!#REF!,DATA!#REF!,1,FALSE),"")</f>
        <v/>
      </c>
      <c r="D2219" s="16" t="str">
        <f>IFERROR(VLOOKUP(C2219,DATA!#REF!,2,FALSE),"")</f>
        <v/>
      </c>
      <c r="I2219" s="17"/>
      <c r="J2219" s="17"/>
      <c r="P2219" s="17"/>
      <c r="Q2219" s="17"/>
    </row>
    <row r="2220" spans="2:17">
      <c r="B2220" s="17"/>
      <c r="C2220" s="16" t="str">
        <f>IFERROR(VLOOKUP(DATA!#REF!,DATA!#REF!,1,FALSE),"")</f>
        <v/>
      </c>
      <c r="D2220" s="16" t="str">
        <f>IFERROR(VLOOKUP(C2220,DATA!#REF!,2,FALSE),"")</f>
        <v/>
      </c>
      <c r="I2220" s="17"/>
      <c r="J2220" s="17"/>
      <c r="P2220" s="17"/>
      <c r="Q2220" s="17"/>
    </row>
    <row r="2221" spans="2:17">
      <c r="B2221" s="17"/>
      <c r="C2221" s="16" t="str">
        <f>IFERROR(VLOOKUP(DATA!#REF!,DATA!#REF!,1,FALSE),"")</f>
        <v/>
      </c>
      <c r="D2221" s="16" t="str">
        <f>IFERROR(VLOOKUP(C2221,DATA!#REF!,2,FALSE),"")</f>
        <v/>
      </c>
      <c r="I2221" s="17"/>
      <c r="J2221" s="17"/>
      <c r="P2221" s="17"/>
      <c r="Q2221" s="17"/>
    </row>
    <row r="2222" spans="2:17">
      <c r="B2222" s="17"/>
      <c r="C2222" s="16" t="str">
        <f>IFERROR(VLOOKUP(DATA!#REF!,DATA!#REF!,1,FALSE),"")</f>
        <v/>
      </c>
      <c r="D2222" s="16" t="str">
        <f>IFERROR(VLOOKUP(C2222,DATA!#REF!,2,FALSE),"")</f>
        <v/>
      </c>
      <c r="I2222" s="17"/>
      <c r="J2222" s="17"/>
      <c r="P2222" s="17"/>
      <c r="Q2222" s="17"/>
    </row>
    <row r="2223" spans="2:17">
      <c r="B2223" s="17"/>
      <c r="C2223" s="16" t="str">
        <f>IFERROR(VLOOKUP(DATA!#REF!,DATA!#REF!,1,FALSE),"")</f>
        <v/>
      </c>
      <c r="D2223" s="16" t="str">
        <f>IFERROR(VLOOKUP(C2223,DATA!#REF!,2,FALSE),"")</f>
        <v/>
      </c>
      <c r="I2223" s="17"/>
      <c r="J2223" s="17"/>
      <c r="P2223" s="17"/>
      <c r="Q2223" s="17"/>
    </row>
    <row r="2224" spans="2:17">
      <c r="B2224" s="17"/>
      <c r="C2224" s="16" t="str">
        <f>IFERROR(VLOOKUP(DATA!#REF!,DATA!#REF!,1,FALSE),"")</f>
        <v/>
      </c>
      <c r="D2224" s="16" t="str">
        <f>IFERROR(VLOOKUP(C2224,DATA!#REF!,2,FALSE),"")</f>
        <v/>
      </c>
      <c r="I2224" s="17"/>
      <c r="J2224" s="17"/>
      <c r="P2224" s="17"/>
      <c r="Q2224" s="17"/>
    </row>
    <row r="2225" spans="2:17">
      <c r="B2225" s="17"/>
      <c r="C2225" s="16" t="str">
        <f>IFERROR(VLOOKUP(DATA!#REF!,DATA!#REF!,1,FALSE),"")</f>
        <v/>
      </c>
      <c r="D2225" s="16" t="str">
        <f>IFERROR(VLOOKUP(C2225,DATA!#REF!,2,FALSE),"")</f>
        <v/>
      </c>
      <c r="I2225" s="17"/>
      <c r="J2225" s="17"/>
      <c r="P2225" s="17"/>
      <c r="Q2225" s="17"/>
    </row>
    <row r="2226" spans="2:17">
      <c r="B2226" s="17"/>
      <c r="C2226" s="16" t="str">
        <f>IFERROR(VLOOKUP(DATA!#REF!,DATA!#REF!,1,FALSE),"")</f>
        <v/>
      </c>
      <c r="D2226" s="16" t="str">
        <f>IFERROR(VLOOKUP(C2226,DATA!#REF!,2,FALSE),"")</f>
        <v/>
      </c>
      <c r="I2226" s="17"/>
      <c r="J2226" s="17"/>
      <c r="P2226" s="17"/>
      <c r="Q2226" s="17"/>
    </row>
    <row r="2227" spans="2:17">
      <c r="B2227" s="17"/>
      <c r="C2227" s="16" t="str">
        <f>IFERROR(VLOOKUP(DATA!#REF!,DATA!#REF!,1,FALSE),"")</f>
        <v/>
      </c>
      <c r="D2227" s="16" t="str">
        <f>IFERROR(VLOOKUP(C2227,DATA!#REF!,2,FALSE),"")</f>
        <v/>
      </c>
      <c r="I2227" s="17"/>
      <c r="J2227" s="17"/>
      <c r="P2227" s="17"/>
      <c r="Q2227" s="17"/>
    </row>
    <row r="2228" spans="2:17">
      <c r="B2228" s="17"/>
      <c r="C2228" s="16" t="str">
        <f>IFERROR(VLOOKUP(DATA!#REF!,DATA!#REF!,1,FALSE),"")</f>
        <v/>
      </c>
      <c r="D2228" s="16" t="str">
        <f>IFERROR(VLOOKUP(C2228,DATA!#REF!,2,FALSE),"")</f>
        <v/>
      </c>
      <c r="I2228" s="17"/>
      <c r="J2228" s="17"/>
      <c r="P2228" s="17"/>
      <c r="Q2228" s="17"/>
    </row>
    <row r="2229" spans="2:17">
      <c r="B2229" s="17"/>
      <c r="C2229" s="16" t="str">
        <f>IFERROR(VLOOKUP(DATA!#REF!,DATA!#REF!,1,FALSE),"")</f>
        <v/>
      </c>
      <c r="D2229" s="16" t="str">
        <f>IFERROR(VLOOKUP(C2229,DATA!#REF!,2,FALSE),"")</f>
        <v/>
      </c>
      <c r="I2229" s="17"/>
      <c r="J2229" s="17"/>
      <c r="P2229" s="17"/>
      <c r="Q2229" s="17"/>
    </row>
    <row r="2230" spans="2:17">
      <c r="B2230" s="17"/>
      <c r="C2230" s="16" t="str">
        <f>IFERROR(VLOOKUP(DATA!#REF!,DATA!#REF!,1,FALSE),"")</f>
        <v/>
      </c>
      <c r="D2230" s="16" t="str">
        <f>IFERROR(VLOOKUP(C2230,DATA!#REF!,2,FALSE),"")</f>
        <v/>
      </c>
      <c r="I2230" s="17"/>
      <c r="J2230" s="17"/>
      <c r="P2230" s="17"/>
      <c r="Q2230" s="17"/>
    </row>
    <row r="2231" spans="2:17">
      <c r="B2231" s="17"/>
      <c r="C2231" s="16" t="str">
        <f>IFERROR(VLOOKUP(DATA!#REF!,DATA!#REF!,1,FALSE),"")</f>
        <v/>
      </c>
      <c r="D2231" s="16" t="str">
        <f>IFERROR(VLOOKUP(C2231,DATA!#REF!,2,FALSE),"")</f>
        <v/>
      </c>
      <c r="I2231" s="17"/>
      <c r="J2231" s="17"/>
      <c r="P2231" s="17"/>
      <c r="Q2231" s="17"/>
    </row>
    <row r="2232" spans="2:17">
      <c r="B2232" s="17"/>
      <c r="C2232" s="16" t="str">
        <f>IFERROR(VLOOKUP(DATA!#REF!,DATA!#REF!,1,FALSE),"")</f>
        <v/>
      </c>
      <c r="D2232" s="16" t="str">
        <f>IFERROR(VLOOKUP(C2232,DATA!#REF!,2,FALSE),"")</f>
        <v/>
      </c>
      <c r="I2232" s="17"/>
      <c r="J2232" s="17"/>
      <c r="P2232" s="17"/>
      <c r="Q2232" s="17"/>
    </row>
    <row r="2233" spans="2:17">
      <c r="B2233" s="17"/>
      <c r="C2233" s="16" t="str">
        <f>IFERROR(VLOOKUP(DATA!#REF!,DATA!#REF!,1,FALSE),"")</f>
        <v/>
      </c>
      <c r="D2233" s="16" t="str">
        <f>IFERROR(VLOOKUP(C2233,DATA!#REF!,2,FALSE),"")</f>
        <v/>
      </c>
      <c r="I2233" s="17"/>
      <c r="J2233" s="17"/>
      <c r="P2233" s="17"/>
      <c r="Q2233" s="17"/>
    </row>
    <row r="2234" spans="2:17">
      <c r="B2234" s="17"/>
      <c r="C2234" s="16" t="str">
        <f>IFERROR(VLOOKUP(DATA!#REF!,DATA!#REF!,1,FALSE),"")</f>
        <v/>
      </c>
      <c r="D2234" s="16" t="str">
        <f>IFERROR(VLOOKUP(C2234,DATA!#REF!,2,FALSE),"")</f>
        <v/>
      </c>
      <c r="I2234" s="17"/>
      <c r="J2234" s="17"/>
      <c r="P2234" s="17"/>
      <c r="Q2234" s="17"/>
    </row>
    <row r="2235" spans="2:17">
      <c r="B2235" s="17"/>
      <c r="C2235" s="16" t="str">
        <f>IFERROR(VLOOKUP(DATA!#REF!,DATA!#REF!,1,FALSE),"")</f>
        <v/>
      </c>
      <c r="D2235" s="16" t="str">
        <f>IFERROR(VLOOKUP(C2235,DATA!#REF!,2,FALSE),"")</f>
        <v/>
      </c>
      <c r="I2235" s="17"/>
      <c r="J2235" s="17"/>
      <c r="P2235" s="17"/>
      <c r="Q2235" s="17"/>
    </row>
    <row r="2236" spans="2:17">
      <c r="B2236" s="17"/>
      <c r="C2236" s="16" t="str">
        <f>IFERROR(VLOOKUP(DATA!#REF!,DATA!#REF!,1,FALSE),"")</f>
        <v/>
      </c>
      <c r="D2236" s="16" t="str">
        <f>IFERROR(VLOOKUP(C2236,DATA!#REF!,2,FALSE),"")</f>
        <v/>
      </c>
      <c r="I2236" s="17"/>
      <c r="J2236" s="17"/>
      <c r="P2236" s="17"/>
      <c r="Q2236" s="17"/>
    </row>
    <row r="2237" spans="2:17">
      <c r="B2237" s="17"/>
      <c r="C2237" s="16" t="str">
        <f>IFERROR(VLOOKUP(DATA!#REF!,DATA!#REF!,1,FALSE),"")</f>
        <v/>
      </c>
      <c r="D2237" s="16" t="str">
        <f>IFERROR(VLOOKUP(C2237,DATA!#REF!,2,FALSE),"")</f>
        <v/>
      </c>
      <c r="I2237" s="17"/>
      <c r="J2237" s="17"/>
      <c r="P2237" s="17"/>
      <c r="Q2237" s="17"/>
    </row>
    <row r="2238" spans="2:17">
      <c r="B2238" s="17"/>
      <c r="C2238" s="16" t="str">
        <f>IFERROR(VLOOKUP(DATA!#REF!,DATA!#REF!,1,FALSE),"")</f>
        <v/>
      </c>
      <c r="D2238" s="16" t="str">
        <f>IFERROR(VLOOKUP(C2238,DATA!#REF!,2,FALSE),"")</f>
        <v/>
      </c>
      <c r="I2238" s="17"/>
      <c r="J2238" s="17"/>
      <c r="P2238" s="17"/>
      <c r="Q2238" s="17"/>
    </row>
    <row r="2239" spans="2:17">
      <c r="B2239" s="17"/>
      <c r="C2239" s="16" t="str">
        <f>IFERROR(VLOOKUP(DATA!#REF!,DATA!#REF!,1,FALSE),"")</f>
        <v/>
      </c>
      <c r="D2239" s="16" t="str">
        <f>IFERROR(VLOOKUP(C2239,DATA!#REF!,2,FALSE),"")</f>
        <v/>
      </c>
      <c r="I2239" s="17"/>
      <c r="J2239" s="17"/>
      <c r="P2239" s="17"/>
      <c r="Q2239" s="17"/>
    </row>
    <row r="2240" spans="2:17">
      <c r="B2240" s="17"/>
      <c r="C2240" s="16" t="str">
        <f>IFERROR(VLOOKUP(DATA!#REF!,DATA!#REF!,1,FALSE),"")</f>
        <v/>
      </c>
      <c r="D2240" s="16" t="str">
        <f>IFERROR(VLOOKUP(C2240,DATA!#REF!,2,FALSE),"")</f>
        <v/>
      </c>
      <c r="I2240" s="17"/>
      <c r="J2240" s="17"/>
      <c r="P2240" s="17"/>
      <c r="Q2240" s="17"/>
    </row>
    <row r="2241" spans="2:17">
      <c r="B2241" s="17"/>
      <c r="C2241" s="16" t="str">
        <f>IFERROR(VLOOKUP(DATA!#REF!,DATA!#REF!,1,FALSE),"")</f>
        <v/>
      </c>
      <c r="D2241" s="16" t="str">
        <f>IFERROR(VLOOKUP(C2241,DATA!#REF!,2,FALSE),"")</f>
        <v/>
      </c>
      <c r="I2241" s="17"/>
      <c r="J2241" s="17"/>
      <c r="P2241" s="17"/>
      <c r="Q2241" s="17"/>
    </row>
    <row r="2242" spans="2:17">
      <c r="B2242" s="17"/>
      <c r="C2242" s="16" t="str">
        <f>IFERROR(VLOOKUP(DATA!#REF!,DATA!#REF!,1,FALSE),"")</f>
        <v/>
      </c>
      <c r="D2242" s="16" t="str">
        <f>IFERROR(VLOOKUP(C2242,DATA!#REF!,2,FALSE),"")</f>
        <v/>
      </c>
      <c r="I2242" s="17"/>
      <c r="J2242" s="17"/>
      <c r="P2242" s="17"/>
      <c r="Q2242" s="17"/>
    </row>
    <row r="2243" spans="2:17">
      <c r="B2243" s="17"/>
      <c r="C2243" s="16" t="str">
        <f>IFERROR(VLOOKUP(DATA!#REF!,DATA!#REF!,1,FALSE),"")</f>
        <v/>
      </c>
      <c r="D2243" s="16" t="str">
        <f>IFERROR(VLOOKUP(C2243,DATA!#REF!,2,FALSE),"")</f>
        <v/>
      </c>
      <c r="I2243" s="17"/>
      <c r="J2243" s="17"/>
      <c r="P2243" s="17"/>
      <c r="Q2243" s="17"/>
    </row>
    <row r="2244" spans="2:17">
      <c r="B2244" s="17"/>
      <c r="C2244" s="16" t="str">
        <f>IFERROR(VLOOKUP(DATA!#REF!,DATA!#REF!,1,FALSE),"")</f>
        <v/>
      </c>
      <c r="D2244" s="16" t="str">
        <f>IFERROR(VLOOKUP(C2244,DATA!#REF!,2,FALSE),"")</f>
        <v/>
      </c>
      <c r="I2244" s="17"/>
      <c r="J2244" s="17"/>
      <c r="P2244" s="17"/>
      <c r="Q2244" s="17"/>
    </row>
    <row r="2245" spans="2:17">
      <c r="B2245" s="17"/>
      <c r="C2245" s="16" t="str">
        <f>IFERROR(VLOOKUP(DATA!#REF!,DATA!#REF!,1,FALSE),"")</f>
        <v/>
      </c>
      <c r="D2245" s="16" t="str">
        <f>IFERROR(VLOOKUP(C2245,DATA!#REF!,2,FALSE),"")</f>
        <v/>
      </c>
      <c r="I2245" s="17"/>
      <c r="J2245" s="17"/>
      <c r="P2245" s="17"/>
      <c r="Q2245" s="17"/>
    </row>
    <row r="2246" spans="2:17">
      <c r="B2246" s="17"/>
      <c r="C2246" s="16" t="str">
        <f>IFERROR(VLOOKUP(DATA!#REF!,DATA!#REF!,1,FALSE),"")</f>
        <v/>
      </c>
      <c r="D2246" s="16" t="str">
        <f>IFERROR(VLOOKUP(C2246,DATA!#REF!,2,FALSE),"")</f>
        <v/>
      </c>
      <c r="I2246" s="17"/>
      <c r="J2246" s="17"/>
      <c r="P2246" s="17"/>
      <c r="Q2246" s="17"/>
    </row>
    <row r="2247" spans="2:17">
      <c r="B2247" s="17"/>
      <c r="C2247" s="16" t="str">
        <f>IFERROR(VLOOKUP(DATA!#REF!,DATA!#REF!,1,FALSE),"")</f>
        <v/>
      </c>
      <c r="D2247" s="16" t="str">
        <f>IFERROR(VLOOKUP(C2247,DATA!#REF!,2,FALSE),"")</f>
        <v/>
      </c>
      <c r="I2247" s="17"/>
      <c r="J2247" s="17"/>
      <c r="P2247" s="17"/>
      <c r="Q2247" s="17"/>
    </row>
    <row r="2248" spans="2:17">
      <c r="B2248" s="17"/>
      <c r="C2248" s="16" t="str">
        <f>IFERROR(VLOOKUP(DATA!#REF!,DATA!#REF!,1,FALSE),"")</f>
        <v/>
      </c>
      <c r="D2248" s="16" t="str">
        <f>IFERROR(VLOOKUP(C2248,DATA!#REF!,2,FALSE),"")</f>
        <v/>
      </c>
      <c r="I2248" s="17"/>
      <c r="J2248" s="17"/>
      <c r="P2248" s="17"/>
      <c r="Q2248" s="17"/>
    </row>
    <row r="2249" spans="2:17">
      <c r="B2249" s="17"/>
      <c r="C2249" s="16" t="str">
        <f>IFERROR(VLOOKUP(DATA!#REF!,DATA!#REF!,1,FALSE),"")</f>
        <v/>
      </c>
      <c r="D2249" s="16" t="str">
        <f>IFERROR(VLOOKUP(C2249,DATA!#REF!,2,FALSE),"")</f>
        <v/>
      </c>
      <c r="I2249" s="17"/>
      <c r="J2249" s="17"/>
      <c r="P2249" s="17"/>
      <c r="Q2249" s="17"/>
    </row>
    <row r="2250" spans="2:17">
      <c r="B2250" s="17"/>
      <c r="C2250" s="16" t="str">
        <f>IFERROR(VLOOKUP(DATA!#REF!,DATA!#REF!,1,FALSE),"")</f>
        <v/>
      </c>
      <c r="D2250" s="16" t="str">
        <f>IFERROR(VLOOKUP(C2250,DATA!#REF!,2,FALSE),"")</f>
        <v/>
      </c>
      <c r="I2250" s="17"/>
      <c r="J2250" s="17"/>
      <c r="P2250" s="17"/>
      <c r="Q2250" s="17"/>
    </row>
    <row r="2251" spans="2:17">
      <c r="B2251" s="17"/>
      <c r="C2251" s="16" t="str">
        <f>IFERROR(VLOOKUP(DATA!#REF!,DATA!#REF!,1,FALSE),"")</f>
        <v/>
      </c>
      <c r="D2251" s="16" t="str">
        <f>IFERROR(VLOOKUP(C2251,DATA!#REF!,2,FALSE),"")</f>
        <v/>
      </c>
      <c r="I2251" s="17"/>
      <c r="J2251" s="17"/>
      <c r="P2251" s="17"/>
      <c r="Q2251" s="17"/>
    </row>
    <row r="2252" spans="2:17">
      <c r="B2252" s="17"/>
      <c r="C2252" s="16" t="str">
        <f>IFERROR(VLOOKUP(DATA!#REF!,DATA!#REF!,1,FALSE),"")</f>
        <v/>
      </c>
      <c r="D2252" s="16" t="str">
        <f>IFERROR(VLOOKUP(C2252,DATA!#REF!,2,FALSE),"")</f>
        <v/>
      </c>
      <c r="I2252" s="17"/>
      <c r="J2252" s="17"/>
      <c r="P2252" s="17"/>
      <c r="Q2252" s="17"/>
    </row>
    <row r="2253" spans="2:17">
      <c r="B2253" s="17"/>
      <c r="C2253" s="16" t="str">
        <f>IFERROR(VLOOKUP(DATA!#REF!,DATA!#REF!,1,FALSE),"")</f>
        <v/>
      </c>
      <c r="D2253" s="16" t="str">
        <f>IFERROR(VLOOKUP(C2253,DATA!#REF!,2,FALSE),"")</f>
        <v/>
      </c>
      <c r="I2253" s="17"/>
      <c r="J2253" s="17"/>
      <c r="P2253" s="17"/>
      <c r="Q2253" s="17"/>
    </row>
    <row r="2254" spans="2:17">
      <c r="B2254" s="17"/>
      <c r="C2254" s="16" t="str">
        <f>IFERROR(VLOOKUP(DATA!#REF!,DATA!#REF!,1,FALSE),"")</f>
        <v/>
      </c>
      <c r="D2254" s="16" t="str">
        <f>IFERROR(VLOOKUP(C2254,DATA!#REF!,2,FALSE),"")</f>
        <v/>
      </c>
      <c r="I2254" s="17"/>
      <c r="J2254" s="17"/>
      <c r="P2254" s="17"/>
      <c r="Q2254" s="17"/>
    </row>
    <row r="2255" spans="2:17">
      <c r="B2255" s="17"/>
      <c r="C2255" s="16" t="str">
        <f>IFERROR(VLOOKUP(DATA!#REF!,DATA!#REF!,1,FALSE),"")</f>
        <v/>
      </c>
      <c r="D2255" s="16" t="str">
        <f>IFERROR(VLOOKUP(C2255,DATA!#REF!,2,FALSE),"")</f>
        <v/>
      </c>
      <c r="I2255" s="17"/>
      <c r="J2255" s="17"/>
      <c r="P2255" s="17"/>
      <c r="Q2255" s="17"/>
    </row>
    <row r="2256" spans="2:17">
      <c r="B2256" s="17"/>
      <c r="C2256" s="16" t="str">
        <f>IFERROR(VLOOKUP(DATA!#REF!,DATA!#REF!,1,FALSE),"")</f>
        <v/>
      </c>
      <c r="D2256" s="16" t="str">
        <f>IFERROR(VLOOKUP(C2256,DATA!#REF!,2,FALSE),"")</f>
        <v/>
      </c>
      <c r="I2256" s="17"/>
      <c r="J2256" s="17"/>
      <c r="P2256" s="17"/>
      <c r="Q2256" s="17"/>
    </row>
    <row r="2257" spans="2:17">
      <c r="B2257" s="17"/>
      <c r="C2257" s="16" t="str">
        <f>IFERROR(VLOOKUP(DATA!#REF!,DATA!#REF!,1,FALSE),"")</f>
        <v/>
      </c>
      <c r="D2257" s="16" t="str">
        <f>IFERROR(VLOOKUP(C2257,DATA!#REF!,2,FALSE),"")</f>
        <v/>
      </c>
      <c r="I2257" s="17"/>
      <c r="J2257" s="17"/>
      <c r="P2257" s="17"/>
      <c r="Q2257" s="17"/>
    </row>
    <row r="2258" spans="2:17">
      <c r="B2258" s="17"/>
      <c r="C2258" s="16" t="str">
        <f>IFERROR(VLOOKUP(DATA!#REF!,DATA!#REF!,1,FALSE),"")</f>
        <v/>
      </c>
      <c r="D2258" s="16" t="str">
        <f>IFERROR(VLOOKUP(C2258,DATA!#REF!,2,FALSE),"")</f>
        <v/>
      </c>
      <c r="I2258" s="17"/>
      <c r="J2258" s="17"/>
      <c r="P2258" s="17"/>
      <c r="Q2258" s="17"/>
    </row>
    <row r="2259" spans="2:17">
      <c r="B2259" s="17"/>
      <c r="C2259" s="16" t="str">
        <f>IFERROR(VLOOKUP(DATA!#REF!,DATA!#REF!,1,FALSE),"")</f>
        <v/>
      </c>
      <c r="D2259" s="16" t="str">
        <f>IFERROR(VLOOKUP(C2259,DATA!#REF!,2,FALSE),"")</f>
        <v/>
      </c>
      <c r="I2259" s="17"/>
      <c r="J2259" s="17"/>
      <c r="P2259" s="17"/>
      <c r="Q2259" s="17"/>
    </row>
    <row r="2260" spans="2:17">
      <c r="B2260" s="17"/>
      <c r="C2260" s="16" t="str">
        <f>IFERROR(VLOOKUP(DATA!#REF!,DATA!#REF!,1,FALSE),"")</f>
        <v/>
      </c>
      <c r="D2260" s="16" t="str">
        <f>IFERROR(VLOOKUP(C2260,DATA!#REF!,2,FALSE),"")</f>
        <v/>
      </c>
      <c r="I2260" s="17"/>
      <c r="J2260" s="17"/>
      <c r="P2260" s="17"/>
      <c r="Q2260" s="17"/>
    </row>
    <row r="2261" spans="2:17">
      <c r="B2261" s="17"/>
      <c r="C2261" s="16" t="str">
        <f>IFERROR(VLOOKUP(DATA!#REF!,DATA!#REF!,1,FALSE),"")</f>
        <v/>
      </c>
      <c r="D2261" s="16" t="str">
        <f>IFERROR(VLOOKUP(C2261,DATA!#REF!,2,FALSE),"")</f>
        <v/>
      </c>
      <c r="I2261" s="17"/>
      <c r="J2261" s="17"/>
      <c r="P2261" s="17"/>
      <c r="Q2261" s="17"/>
    </row>
    <row r="2262" spans="2:17">
      <c r="B2262" s="17"/>
      <c r="C2262" s="16" t="str">
        <f>IFERROR(VLOOKUP(DATA!#REF!,DATA!#REF!,1,FALSE),"")</f>
        <v/>
      </c>
      <c r="D2262" s="16" t="str">
        <f>IFERROR(VLOOKUP(C2262,DATA!#REF!,2,FALSE),"")</f>
        <v/>
      </c>
      <c r="I2262" s="17"/>
      <c r="J2262" s="17"/>
      <c r="P2262" s="17"/>
      <c r="Q2262" s="17"/>
    </row>
    <row r="2263" spans="2:17">
      <c r="B2263" s="17"/>
      <c r="C2263" s="16" t="str">
        <f>IFERROR(VLOOKUP(DATA!#REF!,DATA!#REF!,1,FALSE),"")</f>
        <v/>
      </c>
      <c r="D2263" s="16" t="str">
        <f>IFERROR(VLOOKUP(C2263,DATA!#REF!,2,FALSE),"")</f>
        <v/>
      </c>
      <c r="I2263" s="17"/>
      <c r="J2263" s="17"/>
      <c r="P2263" s="17"/>
      <c r="Q2263" s="17"/>
    </row>
    <row r="2264" spans="2:17">
      <c r="B2264" s="17"/>
      <c r="C2264" s="16" t="str">
        <f>IFERROR(VLOOKUP(DATA!#REF!,DATA!#REF!,1,FALSE),"")</f>
        <v/>
      </c>
      <c r="D2264" s="16" t="str">
        <f>IFERROR(VLOOKUP(C2264,DATA!#REF!,2,FALSE),"")</f>
        <v/>
      </c>
      <c r="I2264" s="17"/>
      <c r="J2264" s="17"/>
      <c r="P2264" s="17"/>
      <c r="Q2264" s="17"/>
    </row>
    <row r="2265" spans="2:17">
      <c r="B2265" s="17"/>
      <c r="C2265" s="16" t="str">
        <f>IFERROR(VLOOKUP(DATA!#REF!,DATA!#REF!,1,FALSE),"")</f>
        <v/>
      </c>
      <c r="D2265" s="16" t="str">
        <f>IFERROR(VLOOKUP(C2265,DATA!#REF!,2,FALSE),"")</f>
        <v/>
      </c>
      <c r="I2265" s="17"/>
      <c r="J2265" s="17"/>
      <c r="P2265" s="17"/>
      <c r="Q2265" s="17"/>
    </row>
    <row r="2266" spans="2:17">
      <c r="B2266" s="17"/>
      <c r="C2266" s="16" t="str">
        <f>IFERROR(VLOOKUP(DATA!#REF!,DATA!#REF!,1,FALSE),"")</f>
        <v/>
      </c>
      <c r="D2266" s="16" t="str">
        <f>IFERROR(VLOOKUP(C2266,DATA!#REF!,2,FALSE),"")</f>
        <v/>
      </c>
      <c r="I2266" s="17"/>
      <c r="J2266" s="17"/>
      <c r="P2266" s="17"/>
      <c r="Q2266" s="17"/>
    </row>
    <row r="2267" spans="2:17">
      <c r="B2267" s="17"/>
      <c r="C2267" s="16" t="str">
        <f>IFERROR(VLOOKUP(DATA!#REF!,DATA!#REF!,1,FALSE),"")</f>
        <v/>
      </c>
      <c r="D2267" s="16" t="str">
        <f>IFERROR(VLOOKUP(C2267,DATA!#REF!,2,FALSE),"")</f>
        <v/>
      </c>
      <c r="I2267" s="17"/>
      <c r="J2267" s="17"/>
      <c r="P2267" s="17"/>
      <c r="Q2267" s="17"/>
    </row>
    <row r="2268" spans="2:17">
      <c r="B2268" s="17"/>
      <c r="C2268" s="16" t="str">
        <f>IFERROR(VLOOKUP(DATA!#REF!,DATA!#REF!,1,FALSE),"")</f>
        <v/>
      </c>
      <c r="D2268" s="16" t="str">
        <f>IFERROR(VLOOKUP(C2268,DATA!#REF!,2,FALSE),"")</f>
        <v/>
      </c>
      <c r="I2268" s="17"/>
      <c r="J2268" s="17"/>
      <c r="P2268" s="17"/>
      <c r="Q2268" s="17"/>
    </row>
    <row r="2269" spans="2:17">
      <c r="B2269" s="17"/>
      <c r="C2269" s="16" t="str">
        <f>IFERROR(VLOOKUP(DATA!#REF!,DATA!#REF!,1,FALSE),"")</f>
        <v/>
      </c>
      <c r="D2269" s="16" t="str">
        <f>IFERROR(VLOOKUP(C2269,DATA!#REF!,2,FALSE),"")</f>
        <v/>
      </c>
      <c r="I2269" s="17"/>
      <c r="J2269" s="17"/>
      <c r="P2269" s="17"/>
      <c r="Q2269" s="17"/>
    </row>
    <row r="2270" spans="2:17">
      <c r="B2270" s="17"/>
      <c r="C2270" s="16" t="str">
        <f>IFERROR(VLOOKUP(DATA!#REF!,DATA!#REF!,1,FALSE),"")</f>
        <v/>
      </c>
      <c r="D2270" s="16" t="str">
        <f>IFERROR(VLOOKUP(C2270,DATA!#REF!,2,FALSE),"")</f>
        <v/>
      </c>
      <c r="I2270" s="17"/>
      <c r="J2270" s="17"/>
      <c r="P2270" s="17"/>
      <c r="Q2270" s="17"/>
    </row>
    <row r="2271" spans="2:17">
      <c r="B2271" s="17"/>
      <c r="C2271" s="16" t="str">
        <f>IFERROR(VLOOKUP(DATA!#REF!,DATA!#REF!,1,FALSE),"")</f>
        <v/>
      </c>
      <c r="D2271" s="16" t="str">
        <f>IFERROR(VLOOKUP(C2271,DATA!#REF!,2,FALSE),"")</f>
        <v/>
      </c>
      <c r="I2271" s="17"/>
      <c r="J2271" s="17"/>
      <c r="P2271" s="17"/>
      <c r="Q2271" s="17"/>
    </row>
    <row r="2272" spans="2:17">
      <c r="B2272" s="17"/>
      <c r="C2272" s="16" t="str">
        <f>IFERROR(VLOOKUP(DATA!#REF!,DATA!#REF!,1,FALSE),"")</f>
        <v/>
      </c>
      <c r="D2272" s="16" t="str">
        <f>IFERROR(VLOOKUP(C2272,DATA!#REF!,2,FALSE),"")</f>
        <v/>
      </c>
      <c r="I2272" s="17"/>
      <c r="J2272" s="17"/>
      <c r="P2272" s="17"/>
      <c r="Q2272" s="17"/>
    </row>
    <row r="2273" spans="2:17">
      <c r="B2273" s="17"/>
      <c r="C2273" s="16" t="str">
        <f>IFERROR(VLOOKUP(DATA!#REF!,DATA!#REF!,1,FALSE),"")</f>
        <v/>
      </c>
      <c r="D2273" s="16" t="str">
        <f>IFERROR(VLOOKUP(C2273,DATA!#REF!,2,FALSE),"")</f>
        <v/>
      </c>
      <c r="I2273" s="17"/>
      <c r="J2273" s="17"/>
      <c r="P2273" s="17"/>
      <c r="Q2273" s="17"/>
    </row>
    <row r="2274" spans="2:17">
      <c r="B2274" s="17"/>
      <c r="C2274" s="16" t="str">
        <f>IFERROR(VLOOKUP(DATA!#REF!,DATA!#REF!,1,FALSE),"")</f>
        <v/>
      </c>
      <c r="D2274" s="16" t="str">
        <f>IFERROR(VLOOKUP(C2274,DATA!#REF!,2,FALSE),"")</f>
        <v/>
      </c>
      <c r="I2274" s="17"/>
      <c r="J2274" s="17"/>
      <c r="P2274" s="17"/>
      <c r="Q2274" s="17"/>
    </row>
    <row r="2275" spans="2:17">
      <c r="B2275" s="17"/>
      <c r="C2275" s="16" t="str">
        <f>IFERROR(VLOOKUP(DATA!#REF!,DATA!#REF!,1,FALSE),"")</f>
        <v/>
      </c>
      <c r="D2275" s="16" t="str">
        <f>IFERROR(VLOOKUP(C2275,DATA!#REF!,2,FALSE),"")</f>
        <v/>
      </c>
      <c r="I2275" s="17"/>
      <c r="J2275" s="17"/>
      <c r="P2275" s="17"/>
      <c r="Q2275" s="17"/>
    </row>
    <row r="2276" spans="2:17">
      <c r="B2276" s="17"/>
      <c r="C2276" s="16" t="str">
        <f>IFERROR(VLOOKUP(DATA!#REF!,DATA!#REF!,1,FALSE),"")</f>
        <v/>
      </c>
      <c r="D2276" s="16" t="str">
        <f>IFERROR(VLOOKUP(C2276,DATA!#REF!,2,FALSE),"")</f>
        <v/>
      </c>
      <c r="I2276" s="17"/>
      <c r="J2276" s="17"/>
      <c r="P2276" s="17"/>
      <c r="Q2276" s="17"/>
    </row>
    <row r="2277" spans="2:17">
      <c r="B2277" s="17"/>
      <c r="C2277" s="16" t="str">
        <f>IFERROR(VLOOKUP(DATA!#REF!,DATA!#REF!,1,FALSE),"")</f>
        <v/>
      </c>
      <c r="D2277" s="16" t="str">
        <f>IFERROR(VLOOKUP(C2277,DATA!#REF!,2,FALSE),"")</f>
        <v/>
      </c>
      <c r="I2277" s="17"/>
      <c r="J2277" s="17"/>
      <c r="P2277" s="17"/>
      <c r="Q2277" s="17"/>
    </row>
    <row r="2278" spans="2:17">
      <c r="B2278" s="17"/>
      <c r="C2278" s="16" t="str">
        <f>IFERROR(VLOOKUP(DATA!#REF!,DATA!#REF!,1,FALSE),"")</f>
        <v/>
      </c>
      <c r="D2278" s="16" t="str">
        <f>IFERROR(VLOOKUP(C2278,DATA!#REF!,2,FALSE),"")</f>
        <v/>
      </c>
      <c r="I2278" s="17"/>
      <c r="J2278" s="17"/>
      <c r="P2278" s="17"/>
      <c r="Q2278" s="17"/>
    </row>
    <row r="2279" spans="2:17">
      <c r="B2279" s="17"/>
      <c r="C2279" s="16" t="str">
        <f>IFERROR(VLOOKUP(DATA!#REF!,DATA!#REF!,1,FALSE),"")</f>
        <v/>
      </c>
      <c r="D2279" s="16" t="str">
        <f>IFERROR(VLOOKUP(C2279,DATA!#REF!,2,FALSE),"")</f>
        <v/>
      </c>
      <c r="I2279" s="17"/>
      <c r="J2279" s="17"/>
      <c r="P2279" s="17"/>
      <c r="Q2279" s="17"/>
    </row>
    <row r="2280" spans="2:17">
      <c r="B2280" s="17"/>
      <c r="C2280" s="16" t="str">
        <f>IFERROR(VLOOKUP(DATA!#REF!,DATA!#REF!,1,FALSE),"")</f>
        <v/>
      </c>
      <c r="D2280" s="16" t="str">
        <f>IFERROR(VLOOKUP(C2280,DATA!#REF!,2,FALSE),"")</f>
        <v/>
      </c>
      <c r="I2280" s="17"/>
      <c r="J2280" s="17"/>
      <c r="P2280" s="17"/>
      <c r="Q2280" s="17"/>
    </row>
    <row r="2281" spans="2:17">
      <c r="B2281" s="17"/>
      <c r="C2281" s="16" t="str">
        <f>IFERROR(VLOOKUP(DATA!#REF!,DATA!#REF!,1,FALSE),"")</f>
        <v/>
      </c>
      <c r="D2281" s="16" t="str">
        <f>IFERROR(VLOOKUP(C2281,DATA!#REF!,2,FALSE),"")</f>
        <v/>
      </c>
      <c r="I2281" s="17"/>
      <c r="J2281" s="17"/>
      <c r="P2281" s="17"/>
      <c r="Q2281" s="17"/>
    </row>
    <row r="2282" spans="2:17">
      <c r="B2282" s="17"/>
      <c r="C2282" s="16" t="str">
        <f>IFERROR(VLOOKUP(DATA!#REF!,DATA!#REF!,1,FALSE),"")</f>
        <v/>
      </c>
      <c r="D2282" s="16" t="str">
        <f>IFERROR(VLOOKUP(C2282,DATA!#REF!,2,FALSE),"")</f>
        <v/>
      </c>
      <c r="I2282" s="17"/>
      <c r="J2282" s="17"/>
      <c r="P2282" s="17"/>
      <c r="Q2282" s="17"/>
    </row>
    <row r="2283" spans="2:17">
      <c r="B2283" s="17"/>
      <c r="C2283" s="16" t="str">
        <f>IFERROR(VLOOKUP(DATA!#REF!,DATA!#REF!,1,FALSE),"")</f>
        <v/>
      </c>
      <c r="D2283" s="16" t="str">
        <f>IFERROR(VLOOKUP(C2283,DATA!#REF!,2,FALSE),"")</f>
        <v/>
      </c>
      <c r="I2283" s="17"/>
      <c r="J2283" s="17"/>
      <c r="P2283" s="17"/>
      <c r="Q2283" s="17"/>
    </row>
    <row r="2284" spans="2:17">
      <c r="B2284" s="17"/>
      <c r="C2284" s="16" t="str">
        <f>IFERROR(VLOOKUP(DATA!#REF!,DATA!#REF!,1,FALSE),"")</f>
        <v/>
      </c>
      <c r="D2284" s="16" t="str">
        <f>IFERROR(VLOOKUP(C2284,DATA!#REF!,2,FALSE),"")</f>
        <v/>
      </c>
      <c r="I2284" s="17"/>
      <c r="J2284" s="17"/>
      <c r="P2284" s="17"/>
      <c r="Q2284" s="17"/>
    </row>
    <row r="2285" spans="2:17">
      <c r="B2285" s="17"/>
      <c r="C2285" s="16" t="str">
        <f>IFERROR(VLOOKUP(DATA!#REF!,DATA!#REF!,1,FALSE),"")</f>
        <v/>
      </c>
      <c r="D2285" s="16" t="str">
        <f>IFERROR(VLOOKUP(C2285,DATA!#REF!,2,FALSE),"")</f>
        <v/>
      </c>
      <c r="I2285" s="17"/>
      <c r="J2285" s="17"/>
      <c r="P2285" s="17"/>
      <c r="Q2285" s="17"/>
    </row>
    <row r="2286" spans="2:17">
      <c r="B2286" s="17"/>
      <c r="C2286" s="16" t="str">
        <f>IFERROR(VLOOKUP(DATA!#REF!,DATA!#REF!,1,FALSE),"")</f>
        <v/>
      </c>
      <c r="D2286" s="16" t="str">
        <f>IFERROR(VLOOKUP(C2286,DATA!#REF!,2,FALSE),"")</f>
        <v/>
      </c>
      <c r="I2286" s="17"/>
      <c r="J2286" s="17"/>
      <c r="P2286" s="17"/>
      <c r="Q2286" s="17"/>
    </row>
    <row r="2287" spans="2:17">
      <c r="B2287" s="17"/>
      <c r="C2287" s="16" t="str">
        <f>IFERROR(VLOOKUP(DATA!#REF!,DATA!#REF!,1,FALSE),"")</f>
        <v/>
      </c>
      <c r="D2287" s="16" t="str">
        <f>IFERROR(VLOOKUP(C2287,DATA!#REF!,2,FALSE),"")</f>
        <v/>
      </c>
      <c r="I2287" s="17"/>
      <c r="J2287" s="17"/>
      <c r="P2287" s="17"/>
      <c r="Q2287" s="17"/>
    </row>
    <row r="2288" spans="2:17">
      <c r="B2288" s="17"/>
      <c r="C2288" s="16" t="str">
        <f>IFERROR(VLOOKUP(DATA!#REF!,DATA!#REF!,1,FALSE),"")</f>
        <v/>
      </c>
      <c r="D2288" s="16" t="str">
        <f>IFERROR(VLOOKUP(C2288,DATA!#REF!,2,FALSE),"")</f>
        <v/>
      </c>
      <c r="I2288" s="17"/>
      <c r="J2288" s="17"/>
      <c r="P2288" s="17"/>
      <c r="Q2288" s="17"/>
    </row>
    <row r="2289" spans="2:17">
      <c r="B2289" s="17"/>
      <c r="C2289" s="16" t="str">
        <f>IFERROR(VLOOKUP(DATA!#REF!,DATA!#REF!,1,FALSE),"")</f>
        <v/>
      </c>
      <c r="D2289" s="16" t="str">
        <f>IFERROR(VLOOKUP(C2289,DATA!#REF!,2,FALSE),"")</f>
        <v/>
      </c>
      <c r="I2289" s="17"/>
      <c r="J2289" s="17"/>
      <c r="P2289" s="17"/>
      <c r="Q2289" s="17"/>
    </row>
    <row r="2290" spans="2:17">
      <c r="B2290" s="17"/>
      <c r="C2290" s="16" t="str">
        <f>IFERROR(VLOOKUP(DATA!#REF!,DATA!#REF!,1,FALSE),"")</f>
        <v/>
      </c>
      <c r="D2290" s="16" t="str">
        <f>IFERROR(VLOOKUP(C2290,DATA!#REF!,2,FALSE),"")</f>
        <v/>
      </c>
      <c r="I2290" s="17"/>
      <c r="J2290" s="17"/>
      <c r="P2290" s="17"/>
      <c r="Q2290" s="17"/>
    </row>
    <row r="2291" spans="2:17">
      <c r="B2291" s="17"/>
      <c r="C2291" s="16" t="str">
        <f>IFERROR(VLOOKUP(DATA!#REF!,DATA!#REF!,1,FALSE),"")</f>
        <v/>
      </c>
      <c r="D2291" s="16" t="str">
        <f>IFERROR(VLOOKUP(C2291,DATA!#REF!,2,FALSE),"")</f>
        <v/>
      </c>
      <c r="I2291" s="17"/>
      <c r="J2291" s="17"/>
      <c r="P2291" s="17"/>
      <c r="Q2291" s="17"/>
    </row>
    <row r="2292" spans="2:17">
      <c r="B2292" s="17"/>
      <c r="C2292" s="16" t="str">
        <f>IFERROR(VLOOKUP(DATA!#REF!,DATA!#REF!,1,FALSE),"")</f>
        <v/>
      </c>
      <c r="D2292" s="16" t="str">
        <f>IFERROR(VLOOKUP(C2292,DATA!#REF!,2,FALSE),"")</f>
        <v/>
      </c>
      <c r="I2292" s="17"/>
      <c r="J2292" s="17"/>
      <c r="P2292" s="17"/>
      <c r="Q2292" s="17"/>
    </row>
    <row r="2293" spans="2:17">
      <c r="B2293" s="17"/>
      <c r="C2293" s="16" t="str">
        <f>IFERROR(VLOOKUP(DATA!#REF!,DATA!#REF!,1,FALSE),"")</f>
        <v/>
      </c>
      <c r="D2293" s="16" t="str">
        <f>IFERROR(VLOOKUP(C2293,DATA!#REF!,2,FALSE),"")</f>
        <v/>
      </c>
      <c r="I2293" s="17"/>
      <c r="J2293" s="17"/>
      <c r="P2293" s="17"/>
      <c r="Q2293" s="17"/>
    </row>
    <row r="2294" spans="2:17">
      <c r="B2294" s="17"/>
      <c r="C2294" s="16" t="str">
        <f>IFERROR(VLOOKUP(DATA!#REF!,DATA!#REF!,1,FALSE),"")</f>
        <v/>
      </c>
      <c r="D2294" s="16" t="str">
        <f>IFERROR(VLOOKUP(C2294,DATA!#REF!,2,FALSE),"")</f>
        <v/>
      </c>
      <c r="I2294" s="17"/>
      <c r="J2294" s="17"/>
      <c r="P2294" s="17"/>
      <c r="Q2294" s="17"/>
    </row>
    <row r="2295" spans="2:17">
      <c r="B2295" s="17"/>
      <c r="C2295" s="16" t="str">
        <f>IFERROR(VLOOKUP(DATA!#REF!,DATA!#REF!,1,FALSE),"")</f>
        <v/>
      </c>
      <c r="D2295" s="16" t="str">
        <f>IFERROR(VLOOKUP(C2295,DATA!#REF!,2,FALSE),"")</f>
        <v/>
      </c>
      <c r="I2295" s="17"/>
      <c r="J2295" s="17"/>
      <c r="P2295" s="17"/>
      <c r="Q2295" s="17"/>
    </row>
    <row r="2296" spans="2:17">
      <c r="B2296" s="17"/>
      <c r="C2296" s="16" t="str">
        <f>IFERROR(VLOOKUP(DATA!#REF!,DATA!#REF!,1,FALSE),"")</f>
        <v/>
      </c>
      <c r="D2296" s="16" t="str">
        <f>IFERROR(VLOOKUP(C2296,DATA!#REF!,2,FALSE),"")</f>
        <v/>
      </c>
      <c r="I2296" s="17"/>
      <c r="J2296" s="17"/>
      <c r="P2296" s="17"/>
      <c r="Q2296" s="17"/>
    </row>
    <row r="2297" spans="2:17">
      <c r="B2297" s="17"/>
      <c r="C2297" s="16" t="str">
        <f>IFERROR(VLOOKUP(DATA!#REF!,DATA!#REF!,1,FALSE),"")</f>
        <v/>
      </c>
      <c r="D2297" s="16" t="str">
        <f>IFERROR(VLOOKUP(C2297,DATA!#REF!,2,FALSE),"")</f>
        <v/>
      </c>
      <c r="I2297" s="17"/>
      <c r="J2297" s="17"/>
      <c r="P2297" s="17"/>
      <c r="Q2297" s="17"/>
    </row>
    <row r="2298" spans="2:17">
      <c r="B2298" s="17"/>
      <c r="C2298" s="16" t="str">
        <f>IFERROR(VLOOKUP(DATA!#REF!,DATA!#REF!,1,FALSE),"")</f>
        <v/>
      </c>
      <c r="D2298" s="16" t="str">
        <f>IFERROR(VLOOKUP(C2298,DATA!#REF!,2,FALSE),"")</f>
        <v/>
      </c>
      <c r="I2298" s="17"/>
      <c r="J2298" s="17"/>
      <c r="P2298" s="17"/>
      <c r="Q2298" s="17"/>
    </row>
    <row r="2299" spans="2:17">
      <c r="B2299" s="17"/>
      <c r="C2299" s="16" t="str">
        <f>IFERROR(VLOOKUP(DATA!#REF!,DATA!#REF!,1,FALSE),"")</f>
        <v/>
      </c>
      <c r="D2299" s="16" t="str">
        <f>IFERROR(VLOOKUP(C2299,DATA!#REF!,2,FALSE),"")</f>
        <v/>
      </c>
      <c r="I2299" s="17"/>
      <c r="J2299" s="17"/>
      <c r="P2299" s="17"/>
      <c r="Q2299" s="17"/>
    </row>
    <row r="2300" spans="2:17">
      <c r="B2300" s="17"/>
      <c r="C2300" s="16" t="str">
        <f>IFERROR(VLOOKUP(DATA!#REF!,DATA!#REF!,1,FALSE),"")</f>
        <v/>
      </c>
      <c r="D2300" s="16" t="str">
        <f>IFERROR(VLOOKUP(C2300,DATA!#REF!,2,FALSE),"")</f>
        <v/>
      </c>
      <c r="I2300" s="17"/>
      <c r="J2300" s="17"/>
      <c r="P2300" s="17"/>
      <c r="Q2300" s="17"/>
    </row>
    <row r="2301" spans="2:17">
      <c r="B2301" s="17"/>
      <c r="C2301" s="16" t="str">
        <f>IFERROR(VLOOKUP(DATA!#REF!,DATA!#REF!,1,FALSE),"")</f>
        <v/>
      </c>
      <c r="D2301" s="16" t="str">
        <f>IFERROR(VLOOKUP(C2301,DATA!#REF!,2,FALSE),"")</f>
        <v/>
      </c>
      <c r="I2301" s="17"/>
      <c r="J2301" s="17"/>
      <c r="P2301" s="17"/>
      <c r="Q2301" s="17"/>
    </row>
    <row r="2302" spans="2:17">
      <c r="B2302" s="17"/>
      <c r="C2302" s="16" t="str">
        <f>IFERROR(VLOOKUP(DATA!#REF!,DATA!#REF!,1,FALSE),"")</f>
        <v/>
      </c>
      <c r="D2302" s="16" t="str">
        <f>IFERROR(VLOOKUP(C2302,DATA!#REF!,2,FALSE),"")</f>
        <v/>
      </c>
      <c r="I2302" s="17"/>
      <c r="J2302" s="17"/>
      <c r="P2302" s="17"/>
      <c r="Q2302" s="17"/>
    </row>
    <row r="2303" spans="2:17">
      <c r="B2303" s="17"/>
      <c r="C2303" s="16" t="str">
        <f>IFERROR(VLOOKUP(DATA!#REF!,DATA!#REF!,1,FALSE),"")</f>
        <v/>
      </c>
      <c r="D2303" s="16" t="str">
        <f>IFERROR(VLOOKUP(C2303,DATA!#REF!,2,FALSE),"")</f>
        <v/>
      </c>
      <c r="I2303" s="17"/>
      <c r="J2303" s="17"/>
      <c r="P2303" s="17"/>
      <c r="Q2303" s="17"/>
    </row>
    <row r="2304" spans="2:17">
      <c r="B2304" s="17"/>
      <c r="C2304" s="16" t="str">
        <f>IFERROR(VLOOKUP(DATA!#REF!,DATA!#REF!,1,FALSE),"")</f>
        <v/>
      </c>
      <c r="D2304" s="16" t="str">
        <f>IFERROR(VLOOKUP(C2304,DATA!#REF!,2,FALSE),"")</f>
        <v/>
      </c>
      <c r="I2304" s="17"/>
      <c r="J2304" s="17"/>
      <c r="P2304" s="17"/>
      <c r="Q2304" s="17"/>
    </row>
    <row r="2305" spans="2:17">
      <c r="B2305" s="17"/>
      <c r="C2305" s="16" t="str">
        <f>IFERROR(VLOOKUP(DATA!#REF!,DATA!#REF!,1,FALSE),"")</f>
        <v/>
      </c>
      <c r="D2305" s="16" t="str">
        <f>IFERROR(VLOOKUP(C2305,DATA!#REF!,2,FALSE),"")</f>
        <v/>
      </c>
      <c r="I2305" s="17"/>
      <c r="J2305" s="17"/>
      <c r="P2305" s="17"/>
      <c r="Q2305" s="17"/>
    </row>
    <row r="2306" spans="2:17">
      <c r="B2306" s="17"/>
      <c r="C2306" s="16" t="str">
        <f>IFERROR(VLOOKUP(DATA!#REF!,DATA!#REF!,1,FALSE),"")</f>
        <v/>
      </c>
      <c r="D2306" s="16" t="str">
        <f>IFERROR(VLOOKUP(C2306,DATA!#REF!,2,FALSE),"")</f>
        <v/>
      </c>
      <c r="I2306" s="17"/>
      <c r="J2306" s="17"/>
      <c r="P2306" s="17"/>
      <c r="Q2306" s="17"/>
    </row>
    <row r="2307" spans="2:17">
      <c r="B2307" s="17"/>
      <c r="C2307" s="16" t="str">
        <f>IFERROR(VLOOKUP(DATA!#REF!,DATA!#REF!,1,FALSE),"")</f>
        <v/>
      </c>
      <c r="D2307" s="16" t="str">
        <f>IFERROR(VLOOKUP(C2307,DATA!#REF!,2,FALSE),"")</f>
        <v/>
      </c>
      <c r="I2307" s="17"/>
      <c r="J2307" s="17"/>
      <c r="P2307" s="17"/>
      <c r="Q2307" s="17"/>
    </row>
    <row r="2308" spans="2:17">
      <c r="B2308" s="17"/>
      <c r="C2308" s="16" t="str">
        <f>IFERROR(VLOOKUP(DATA!#REF!,DATA!#REF!,1,FALSE),"")</f>
        <v/>
      </c>
      <c r="D2308" s="16" t="str">
        <f>IFERROR(VLOOKUP(C2308,DATA!#REF!,2,FALSE),"")</f>
        <v/>
      </c>
      <c r="I2308" s="17"/>
      <c r="J2308" s="17"/>
      <c r="P2308" s="17"/>
      <c r="Q2308" s="17"/>
    </row>
    <row r="2309" spans="2:17">
      <c r="B2309" s="17"/>
      <c r="C2309" s="16" t="str">
        <f>IFERROR(VLOOKUP(DATA!#REF!,DATA!#REF!,1,FALSE),"")</f>
        <v/>
      </c>
      <c r="D2309" s="16" t="str">
        <f>IFERROR(VLOOKUP(C2309,DATA!#REF!,2,FALSE),"")</f>
        <v/>
      </c>
      <c r="I2309" s="17"/>
      <c r="J2309" s="17"/>
      <c r="P2309" s="17"/>
      <c r="Q2309" s="17"/>
    </row>
    <row r="2310" spans="2:17">
      <c r="B2310" s="17"/>
      <c r="C2310" s="16" t="str">
        <f>IFERROR(VLOOKUP(DATA!#REF!,DATA!#REF!,1,FALSE),"")</f>
        <v/>
      </c>
      <c r="D2310" s="16" t="str">
        <f>IFERROR(VLOOKUP(C2310,DATA!#REF!,2,FALSE),"")</f>
        <v/>
      </c>
      <c r="I2310" s="17"/>
      <c r="J2310" s="17"/>
      <c r="P2310" s="17"/>
      <c r="Q2310" s="17"/>
    </row>
    <row r="2311" spans="2:17">
      <c r="B2311" s="17"/>
      <c r="C2311" s="16" t="str">
        <f>IFERROR(VLOOKUP(DATA!#REF!,DATA!#REF!,1,FALSE),"")</f>
        <v/>
      </c>
      <c r="D2311" s="16" t="str">
        <f>IFERROR(VLOOKUP(C2311,DATA!#REF!,2,FALSE),"")</f>
        <v/>
      </c>
      <c r="I2311" s="17"/>
      <c r="J2311" s="17"/>
      <c r="P2311" s="17"/>
      <c r="Q2311" s="17"/>
    </row>
    <row r="2312" spans="2:17">
      <c r="B2312" s="17"/>
      <c r="C2312" s="16" t="str">
        <f>IFERROR(VLOOKUP(DATA!#REF!,DATA!#REF!,1,FALSE),"")</f>
        <v/>
      </c>
      <c r="D2312" s="16" t="str">
        <f>IFERROR(VLOOKUP(C2312,DATA!#REF!,2,FALSE),"")</f>
        <v/>
      </c>
      <c r="I2312" s="17"/>
      <c r="J2312" s="17"/>
      <c r="P2312" s="17"/>
      <c r="Q2312" s="17"/>
    </row>
    <row r="2313" spans="2:17">
      <c r="B2313" s="17"/>
      <c r="C2313" s="16" t="str">
        <f>IFERROR(VLOOKUP(DATA!#REF!,DATA!#REF!,1,FALSE),"")</f>
        <v/>
      </c>
      <c r="D2313" s="16" t="str">
        <f>IFERROR(VLOOKUP(C2313,DATA!#REF!,2,FALSE),"")</f>
        <v/>
      </c>
      <c r="I2313" s="17"/>
      <c r="J2313" s="17"/>
      <c r="P2313" s="17"/>
      <c r="Q2313" s="17"/>
    </row>
    <row r="2314" spans="2:17">
      <c r="B2314" s="17"/>
      <c r="C2314" s="16" t="str">
        <f>IFERROR(VLOOKUP(DATA!#REF!,DATA!#REF!,1,FALSE),"")</f>
        <v/>
      </c>
      <c r="D2314" s="16" t="str">
        <f>IFERROR(VLOOKUP(C2314,DATA!#REF!,2,FALSE),"")</f>
        <v/>
      </c>
      <c r="I2314" s="17"/>
      <c r="J2314" s="17"/>
      <c r="P2314" s="17"/>
      <c r="Q2314" s="17"/>
    </row>
    <row r="2315" spans="2:17">
      <c r="B2315" s="17"/>
      <c r="C2315" s="16" t="str">
        <f>IFERROR(VLOOKUP(DATA!#REF!,DATA!#REF!,1,FALSE),"")</f>
        <v/>
      </c>
      <c r="D2315" s="16" t="str">
        <f>IFERROR(VLOOKUP(C2315,DATA!#REF!,2,FALSE),"")</f>
        <v/>
      </c>
      <c r="I2315" s="17"/>
      <c r="J2315" s="17"/>
      <c r="P2315" s="17"/>
      <c r="Q2315" s="17"/>
    </row>
    <row r="2316" spans="2:17">
      <c r="B2316" s="17"/>
      <c r="C2316" s="16" t="str">
        <f>IFERROR(VLOOKUP(DATA!#REF!,DATA!#REF!,1,FALSE),"")</f>
        <v/>
      </c>
      <c r="D2316" s="16" t="str">
        <f>IFERROR(VLOOKUP(C2316,DATA!#REF!,2,FALSE),"")</f>
        <v/>
      </c>
      <c r="I2316" s="17"/>
      <c r="J2316" s="17"/>
      <c r="P2316" s="17"/>
      <c r="Q2316" s="17"/>
    </row>
    <row r="2317" spans="2:17">
      <c r="B2317" s="17"/>
      <c r="C2317" s="16" t="str">
        <f>IFERROR(VLOOKUP(DATA!#REF!,DATA!#REF!,1,FALSE),"")</f>
        <v/>
      </c>
      <c r="D2317" s="16" t="str">
        <f>IFERROR(VLOOKUP(C2317,DATA!#REF!,2,FALSE),"")</f>
        <v/>
      </c>
      <c r="I2317" s="17"/>
      <c r="J2317" s="17"/>
      <c r="P2317" s="17"/>
      <c r="Q2317" s="17"/>
    </row>
    <row r="2318" spans="2:17">
      <c r="B2318" s="17"/>
      <c r="C2318" s="16" t="str">
        <f>IFERROR(VLOOKUP(DATA!#REF!,DATA!#REF!,1,FALSE),"")</f>
        <v/>
      </c>
      <c r="D2318" s="16" t="str">
        <f>IFERROR(VLOOKUP(C2318,DATA!#REF!,2,FALSE),"")</f>
        <v/>
      </c>
      <c r="I2318" s="17"/>
      <c r="J2318" s="17"/>
      <c r="P2318" s="17"/>
      <c r="Q2318" s="17"/>
    </row>
    <row r="2319" spans="2:17">
      <c r="B2319" s="17"/>
      <c r="C2319" s="16" t="str">
        <f>IFERROR(VLOOKUP(DATA!#REF!,DATA!#REF!,1,FALSE),"")</f>
        <v/>
      </c>
      <c r="D2319" s="16" t="str">
        <f>IFERROR(VLOOKUP(C2319,DATA!#REF!,2,FALSE),"")</f>
        <v/>
      </c>
      <c r="I2319" s="17"/>
      <c r="J2319" s="17"/>
      <c r="P2319" s="17"/>
      <c r="Q2319" s="17"/>
    </row>
    <row r="2320" spans="2:17">
      <c r="B2320" s="17"/>
      <c r="C2320" s="16" t="str">
        <f>IFERROR(VLOOKUP(DATA!#REF!,DATA!#REF!,1,FALSE),"")</f>
        <v/>
      </c>
      <c r="D2320" s="16" t="str">
        <f>IFERROR(VLOOKUP(C2320,DATA!#REF!,2,FALSE),"")</f>
        <v/>
      </c>
      <c r="I2320" s="17"/>
      <c r="J2320" s="17"/>
      <c r="P2320" s="17"/>
      <c r="Q2320" s="17"/>
    </row>
    <row r="2321" spans="2:17">
      <c r="B2321" s="17"/>
      <c r="C2321" s="16" t="str">
        <f>IFERROR(VLOOKUP(DATA!#REF!,DATA!#REF!,1,FALSE),"")</f>
        <v/>
      </c>
      <c r="D2321" s="16" t="str">
        <f>IFERROR(VLOOKUP(C2321,DATA!#REF!,2,FALSE),"")</f>
        <v/>
      </c>
      <c r="I2321" s="17"/>
      <c r="J2321" s="17"/>
      <c r="P2321" s="17"/>
      <c r="Q2321" s="17"/>
    </row>
    <row r="2322" spans="2:17">
      <c r="B2322" s="17"/>
      <c r="C2322" s="16" t="str">
        <f>IFERROR(VLOOKUP(DATA!#REF!,DATA!#REF!,1,FALSE),"")</f>
        <v/>
      </c>
      <c r="D2322" s="16" t="str">
        <f>IFERROR(VLOOKUP(C2322,DATA!#REF!,2,FALSE),"")</f>
        <v/>
      </c>
      <c r="I2322" s="17"/>
      <c r="J2322" s="17"/>
      <c r="P2322" s="17"/>
      <c r="Q2322" s="17"/>
    </row>
    <row r="2323" spans="2:17">
      <c r="B2323" s="17"/>
      <c r="C2323" s="16" t="str">
        <f>IFERROR(VLOOKUP(DATA!#REF!,DATA!#REF!,1,FALSE),"")</f>
        <v/>
      </c>
      <c r="D2323" s="16" t="str">
        <f>IFERROR(VLOOKUP(C2323,DATA!#REF!,2,FALSE),"")</f>
        <v/>
      </c>
      <c r="I2323" s="17"/>
      <c r="J2323" s="17"/>
      <c r="P2323" s="17"/>
      <c r="Q2323" s="17"/>
    </row>
    <row r="2324" spans="2:17">
      <c r="B2324" s="17"/>
      <c r="C2324" s="16" t="str">
        <f>IFERROR(VLOOKUP(DATA!#REF!,DATA!#REF!,1,FALSE),"")</f>
        <v/>
      </c>
      <c r="D2324" s="16" t="str">
        <f>IFERROR(VLOOKUP(C2324,DATA!#REF!,2,FALSE),"")</f>
        <v/>
      </c>
      <c r="I2324" s="17"/>
      <c r="J2324" s="17"/>
      <c r="P2324" s="17"/>
      <c r="Q2324" s="17"/>
    </row>
    <row r="2325" spans="2:17">
      <c r="B2325" s="17"/>
      <c r="C2325" s="16" t="str">
        <f>IFERROR(VLOOKUP(DATA!#REF!,DATA!#REF!,1,FALSE),"")</f>
        <v/>
      </c>
      <c r="D2325" s="16" t="str">
        <f>IFERROR(VLOOKUP(C2325,DATA!#REF!,2,FALSE),"")</f>
        <v/>
      </c>
      <c r="I2325" s="17"/>
      <c r="J2325" s="17"/>
      <c r="P2325" s="17"/>
      <c r="Q2325" s="17"/>
    </row>
    <row r="2326" spans="2:17">
      <c r="B2326" s="17"/>
      <c r="C2326" s="16" t="str">
        <f>IFERROR(VLOOKUP(DATA!#REF!,DATA!#REF!,1,FALSE),"")</f>
        <v/>
      </c>
      <c r="D2326" s="16" t="str">
        <f>IFERROR(VLOOKUP(C2326,DATA!#REF!,2,FALSE),"")</f>
        <v/>
      </c>
      <c r="I2326" s="17"/>
      <c r="J2326" s="17"/>
      <c r="P2326" s="17"/>
      <c r="Q2326" s="17"/>
    </row>
    <row r="2327" spans="2:17">
      <c r="B2327" s="17"/>
      <c r="C2327" s="16" t="str">
        <f>IFERROR(VLOOKUP(DATA!#REF!,DATA!#REF!,1,FALSE),"")</f>
        <v/>
      </c>
      <c r="D2327" s="16" t="str">
        <f>IFERROR(VLOOKUP(C2327,DATA!#REF!,2,FALSE),"")</f>
        <v/>
      </c>
      <c r="I2327" s="17"/>
      <c r="J2327" s="17"/>
      <c r="P2327" s="17"/>
      <c r="Q2327" s="17"/>
    </row>
    <row r="2328" spans="2:17">
      <c r="B2328" s="17"/>
      <c r="C2328" s="16" t="str">
        <f>IFERROR(VLOOKUP(DATA!#REF!,DATA!#REF!,1,FALSE),"")</f>
        <v/>
      </c>
      <c r="D2328" s="16" t="str">
        <f>IFERROR(VLOOKUP(C2328,DATA!#REF!,2,FALSE),"")</f>
        <v/>
      </c>
      <c r="I2328" s="17"/>
      <c r="J2328" s="17"/>
      <c r="P2328" s="17"/>
      <c r="Q2328" s="17"/>
    </row>
    <row r="2329" spans="2:17">
      <c r="B2329" s="17"/>
      <c r="C2329" s="16" t="str">
        <f>IFERROR(VLOOKUP(DATA!#REF!,DATA!#REF!,1,FALSE),"")</f>
        <v/>
      </c>
      <c r="D2329" s="16" t="str">
        <f>IFERROR(VLOOKUP(C2329,DATA!#REF!,2,FALSE),"")</f>
        <v/>
      </c>
      <c r="I2329" s="17"/>
      <c r="J2329" s="17"/>
      <c r="P2329" s="17"/>
      <c r="Q2329" s="17"/>
    </row>
    <row r="2330" spans="2:17">
      <c r="B2330" s="17"/>
      <c r="C2330" s="16" t="str">
        <f>IFERROR(VLOOKUP(DATA!#REF!,DATA!#REF!,1,FALSE),"")</f>
        <v/>
      </c>
      <c r="D2330" s="16" t="str">
        <f>IFERROR(VLOOKUP(C2330,DATA!#REF!,2,FALSE),"")</f>
        <v/>
      </c>
      <c r="I2330" s="17"/>
      <c r="J2330" s="17"/>
      <c r="P2330" s="17"/>
      <c r="Q2330" s="17"/>
    </row>
    <row r="2331" spans="2:17">
      <c r="B2331" s="17"/>
      <c r="C2331" s="16" t="str">
        <f>IFERROR(VLOOKUP(DATA!#REF!,DATA!#REF!,1,FALSE),"")</f>
        <v/>
      </c>
      <c r="D2331" s="16" t="str">
        <f>IFERROR(VLOOKUP(C2331,DATA!#REF!,2,FALSE),"")</f>
        <v/>
      </c>
      <c r="I2331" s="17"/>
      <c r="J2331" s="17"/>
      <c r="P2331" s="17"/>
      <c r="Q2331" s="17"/>
    </row>
    <row r="2332" spans="2:17">
      <c r="B2332" s="17"/>
      <c r="C2332" s="16" t="str">
        <f>IFERROR(VLOOKUP(DATA!#REF!,DATA!#REF!,1,FALSE),"")</f>
        <v/>
      </c>
      <c r="D2332" s="16" t="str">
        <f>IFERROR(VLOOKUP(C2332,DATA!#REF!,2,FALSE),"")</f>
        <v/>
      </c>
      <c r="I2332" s="17"/>
      <c r="J2332" s="17"/>
      <c r="P2332" s="17"/>
      <c r="Q2332" s="17"/>
    </row>
    <row r="2333" spans="2:17">
      <c r="B2333" s="17"/>
      <c r="C2333" s="16" t="str">
        <f>IFERROR(VLOOKUP(DATA!#REF!,DATA!#REF!,1,FALSE),"")</f>
        <v/>
      </c>
      <c r="D2333" s="16" t="str">
        <f>IFERROR(VLOOKUP(C2333,DATA!#REF!,2,FALSE),"")</f>
        <v/>
      </c>
      <c r="I2333" s="17"/>
      <c r="J2333" s="17"/>
      <c r="P2333" s="17"/>
      <c r="Q2333" s="17"/>
    </row>
    <row r="2334" spans="2:17">
      <c r="B2334" s="17"/>
      <c r="C2334" s="16" t="str">
        <f>IFERROR(VLOOKUP(DATA!#REF!,DATA!#REF!,1,FALSE),"")</f>
        <v/>
      </c>
      <c r="D2334" s="16" t="str">
        <f>IFERROR(VLOOKUP(C2334,DATA!#REF!,2,FALSE),"")</f>
        <v/>
      </c>
      <c r="I2334" s="17"/>
      <c r="J2334" s="17"/>
      <c r="P2334" s="17"/>
      <c r="Q2334" s="17"/>
    </row>
    <row r="2335" spans="2:17">
      <c r="B2335" s="17"/>
      <c r="C2335" s="16" t="str">
        <f>IFERROR(VLOOKUP(DATA!#REF!,DATA!#REF!,1,FALSE),"")</f>
        <v/>
      </c>
      <c r="D2335" s="16" t="str">
        <f>IFERROR(VLOOKUP(C2335,DATA!#REF!,2,FALSE),"")</f>
        <v/>
      </c>
      <c r="I2335" s="17"/>
      <c r="J2335" s="17"/>
      <c r="P2335" s="17"/>
      <c r="Q2335" s="17"/>
    </row>
    <row r="2336" spans="2:17">
      <c r="B2336" s="17"/>
      <c r="C2336" s="16" t="str">
        <f>IFERROR(VLOOKUP(DATA!#REF!,DATA!#REF!,1,FALSE),"")</f>
        <v/>
      </c>
      <c r="D2336" s="16" t="str">
        <f>IFERROR(VLOOKUP(C2336,DATA!#REF!,2,FALSE),"")</f>
        <v/>
      </c>
      <c r="I2336" s="17"/>
      <c r="J2336" s="17"/>
      <c r="P2336" s="17"/>
      <c r="Q2336" s="17"/>
    </row>
    <row r="2337" spans="2:17">
      <c r="B2337" s="17"/>
      <c r="C2337" s="16" t="str">
        <f>IFERROR(VLOOKUP(DATA!#REF!,DATA!#REF!,1,FALSE),"")</f>
        <v/>
      </c>
      <c r="D2337" s="16" t="str">
        <f>IFERROR(VLOOKUP(C2337,DATA!#REF!,2,FALSE),"")</f>
        <v/>
      </c>
      <c r="I2337" s="17"/>
      <c r="J2337" s="17"/>
      <c r="P2337" s="17"/>
      <c r="Q2337" s="17"/>
    </row>
    <row r="2338" spans="2:17">
      <c r="B2338" s="17"/>
      <c r="C2338" s="16" t="str">
        <f>IFERROR(VLOOKUP(DATA!#REF!,DATA!#REF!,1,FALSE),"")</f>
        <v/>
      </c>
      <c r="D2338" s="16" t="str">
        <f>IFERROR(VLOOKUP(C2338,DATA!#REF!,2,FALSE),"")</f>
        <v/>
      </c>
      <c r="I2338" s="17"/>
      <c r="J2338" s="17"/>
      <c r="P2338" s="17"/>
      <c r="Q2338" s="17"/>
    </row>
    <row r="2339" spans="2:17">
      <c r="B2339" s="17"/>
      <c r="C2339" s="16" t="str">
        <f>IFERROR(VLOOKUP(DATA!#REF!,DATA!#REF!,1,FALSE),"")</f>
        <v/>
      </c>
      <c r="D2339" s="16" t="str">
        <f>IFERROR(VLOOKUP(C2339,DATA!#REF!,2,FALSE),"")</f>
        <v/>
      </c>
      <c r="I2339" s="17"/>
      <c r="J2339" s="17"/>
      <c r="P2339" s="17"/>
      <c r="Q2339" s="17"/>
    </row>
    <row r="2340" spans="2:17">
      <c r="B2340" s="17"/>
      <c r="C2340" s="16" t="str">
        <f>IFERROR(VLOOKUP(DATA!#REF!,DATA!#REF!,1,FALSE),"")</f>
        <v/>
      </c>
      <c r="D2340" s="16" t="str">
        <f>IFERROR(VLOOKUP(C2340,DATA!#REF!,2,FALSE),"")</f>
        <v/>
      </c>
      <c r="I2340" s="17"/>
      <c r="J2340" s="17"/>
      <c r="P2340" s="17"/>
      <c r="Q2340" s="17"/>
    </row>
    <row r="2341" spans="2:17">
      <c r="B2341" s="17"/>
      <c r="C2341" s="16" t="str">
        <f>IFERROR(VLOOKUP(DATA!#REF!,DATA!#REF!,1,FALSE),"")</f>
        <v/>
      </c>
      <c r="D2341" s="16" t="str">
        <f>IFERROR(VLOOKUP(C2341,DATA!#REF!,2,FALSE),"")</f>
        <v/>
      </c>
      <c r="I2341" s="17"/>
      <c r="J2341" s="17"/>
      <c r="P2341" s="17"/>
      <c r="Q2341" s="17"/>
    </row>
    <row r="2342" spans="2:17">
      <c r="B2342" s="17"/>
      <c r="C2342" s="16" t="str">
        <f>IFERROR(VLOOKUP(DATA!#REF!,DATA!#REF!,1,FALSE),"")</f>
        <v/>
      </c>
      <c r="D2342" s="16" t="str">
        <f>IFERROR(VLOOKUP(C2342,DATA!#REF!,2,FALSE),"")</f>
        <v/>
      </c>
      <c r="I2342" s="17"/>
      <c r="J2342" s="17"/>
      <c r="P2342" s="17"/>
      <c r="Q2342" s="17"/>
    </row>
    <row r="2343" spans="2:17">
      <c r="B2343" s="17"/>
      <c r="C2343" s="16" t="str">
        <f>IFERROR(VLOOKUP(DATA!#REF!,DATA!#REF!,1,FALSE),"")</f>
        <v/>
      </c>
      <c r="D2343" s="16" t="str">
        <f>IFERROR(VLOOKUP(C2343,DATA!#REF!,2,FALSE),"")</f>
        <v/>
      </c>
      <c r="I2343" s="17"/>
      <c r="J2343" s="17"/>
      <c r="P2343" s="17"/>
      <c r="Q2343" s="17"/>
    </row>
    <row r="2344" spans="2:17">
      <c r="B2344" s="17"/>
      <c r="C2344" s="16" t="str">
        <f>IFERROR(VLOOKUP(DATA!#REF!,DATA!#REF!,1,FALSE),"")</f>
        <v/>
      </c>
      <c r="D2344" s="16" t="str">
        <f>IFERROR(VLOOKUP(C2344,DATA!#REF!,2,FALSE),"")</f>
        <v/>
      </c>
      <c r="I2344" s="17"/>
      <c r="J2344" s="17"/>
      <c r="P2344" s="17"/>
      <c r="Q2344" s="17"/>
    </row>
    <row r="2345" spans="2:17">
      <c r="B2345" s="17"/>
      <c r="C2345" s="16" t="str">
        <f>IFERROR(VLOOKUP(DATA!#REF!,DATA!#REF!,1,FALSE),"")</f>
        <v/>
      </c>
      <c r="D2345" s="16" t="str">
        <f>IFERROR(VLOOKUP(C2345,DATA!#REF!,2,FALSE),"")</f>
        <v/>
      </c>
      <c r="I2345" s="17"/>
      <c r="J2345" s="17"/>
      <c r="P2345" s="17"/>
      <c r="Q2345" s="17"/>
    </row>
    <row r="2346" spans="2:17">
      <c r="B2346" s="17"/>
      <c r="C2346" s="16" t="str">
        <f>IFERROR(VLOOKUP(DATA!#REF!,DATA!#REF!,1,FALSE),"")</f>
        <v/>
      </c>
      <c r="D2346" s="16" t="str">
        <f>IFERROR(VLOOKUP(C2346,DATA!#REF!,2,FALSE),"")</f>
        <v/>
      </c>
      <c r="I2346" s="17"/>
      <c r="J2346" s="17"/>
      <c r="P2346" s="17"/>
      <c r="Q2346" s="17"/>
    </row>
    <row r="2347" spans="2:17">
      <c r="B2347" s="17"/>
      <c r="C2347" s="16" t="str">
        <f>IFERROR(VLOOKUP(DATA!#REF!,DATA!#REF!,1,FALSE),"")</f>
        <v/>
      </c>
      <c r="D2347" s="16" t="str">
        <f>IFERROR(VLOOKUP(C2347,DATA!#REF!,2,FALSE),"")</f>
        <v/>
      </c>
      <c r="I2347" s="17"/>
      <c r="J2347" s="17"/>
      <c r="P2347" s="17"/>
      <c r="Q2347" s="17"/>
    </row>
    <row r="2348" spans="2:17">
      <c r="B2348" s="17"/>
      <c r="C2348" s="16" t="str">
        <f>IFERROR(VLOOKUP(DATA!#REF!,DATA!#REF!,1,FALSE),"")</f>
        <v/>
      </c>
      <c r="D2348" s="16" t="str">
        <f>IFERROR(VLOOKUP(C2348,DATA!#REF!,2,FALSE),"")</f>
        <v/>
      </c>
      <c r="I2348" s="17"/>
      <c r="J2348" s="17"/>
      <c r="P2348" s="17"/>
      <c r="Q2348" s="17"/>
    </row>
    <row r="2349" spans="2:17">
      <c r="B2349" s="17"/>
      <c r="C2349" s="16" t="str">
        <f>IFERROR(VLOOKUP(DATA!#REF!,DATA!#REF!,1,FALSE),"")</f>
        <v/>
      </c>
      <c r="D2349" s="16" t="str">
        <f>IFERROR(VLOOKUP(C2349,DATA!#REF!,2,FALSE),"")</f>
        <v/>
      </c>
      <c r="I2349" s="17"/>
      <c r="J2349" s="17"/>
      <c r="P2349" s="17"/>
      <c r="Q2349" s="17"/>
    </row>
    <row r="2350" spans="2:17">
      <c r="B2350" s="17"/>
      <c r="C2350" s="16" t="str">
        <f>IFERROR(VLOOKUP(DATA!#REF!,DATA!#REF!,1,FALSE),"")</f>
        <v/>
      </c>
      <c r="D2350" s="16" t="str">
        <f>IFERROR(VLOOKUP(C2350,DATA!#REF!,2,FALSE),"")</f>
        <v/>
      </c>
      <c r="I2350" s="17"/>
      <c r="J2350" s="17"/>
      <c r="P2350" s="17"/>
      <c r="Q2350" s="17"/>
    </row>
    <row r="2351" spans="2:17">
      <c r="B2351" s="17"/>
      <c r="C2351" s="16" t="str">
        <f>IFERROR(VLOOKUP(DATA!#REF!,DATA!#REF!,1,FALSE),"")</f>
        <v/>
      </c>
      <c r="D2351" s="16" t="str">
        <f>IFERROR(VLOOKUP(C2351,DATA!#REF!,2,FALSE),"")</f>
        <v/>
      </c>
      <c r="I2351" s="17"/>
      <c r="J2351" s="17"/>
      <c r="P2351" s="17"/>
      <c r="Q2351" s="17"/>
    </row>
    <row r="2352" spans="2:17">
      <c r="B2352" s="17"/>
      <c r="C2352" s="16" t="str">
        <f>IFERROR(VLOOKUP(DATA!#REF!,DATA!#REF!,1,FALSE),"")</f>
        <v/>
      </c>
      <c r="D2352" s="16" t="str">
        <f>IFERROR(VLOOKUP(C2352,DATA!#REF!,2,FALSE),"")</f>
        <v/>
      </c>
      <c r="I2352" s="17"/>
      <c r="J2352" s="17"/>
      <c r="P2352" s="17"/>
      <c r="Q2352" s="17"/>
    </row>
    <row r="2353" spans="2:17">
      <c r="B2353" s="17"/>
      <c r="C2353" s="16" t="str">
        <f>IFERROR(VLOOKUP(DATA!#REF!,DATA!#REF!,1,FALSE),"")</f>
        <v/>
      </c>
      <c r="D2353" s="16" t="str">
        <f>IFERROR(VLOOKUP(C2353,DATA!#REF!,2,FALSE),"")</f>
        <v/>
      </c>
      <c r="I2353" s="17"/>
      <c r="J2353" s="17"/>
      <c r="P2353" s="17"/>
      <c r="Q2353" s="17"/>
    </row>
    <row r="2354" spans="2:17">
      <c r="B2354" s="17"/>
      <c r="C2354" s="16" t="str">
        <f>IFERROR(VLOOKUP(DATA!#REF!,DATA!#REF!,1,FALSE),"")</f>
        <v/>
      </c>
      <c r="D2354" s="16" t="str">
        <f>IFERROR(VLOOKUP(C2354,DATA!#REF!,2,FALSE),"")</f>
        <v/>
      </c>
      <c r="I2354" s="17"/>
      <c r="J2354" s="17"/>
      <c r="P2354" s="17"/>
      <c r="Q2354" s="17"/>
    </row>
    <row r="2355" spans="2:17">
      <c r="B2355" s="17"/>
      <c r="C2355" s="16" t="str">
        <f>IFERROR(VLOOKUP(DATA!#REF!,DATA!#REF!,1,FALSE),"")</f>
        <v/>
      </c>
      <c r="D2355" s="16" t="str">
        <f>IFERROR(VLOOKUP(C2355,DATA!#REF!,2,FALSE),"")</f>
        <v/>
      </c>
      <c r="I2355" s="17"/>
      <c r="J2355" s="17"/>
      <c r="P2355" s="17"/>
      <c r="Q2355" s="17"/>
    </row>
    <row r="2356" spans="2:17">
      <c r="B2356" s="17"/>
      <c r="C2356" s="16" t="str">
        <f>IFERROR(VLOOKUP(DATA!#REF!,DATA!#REF!,1,FALSE),"")</f>
        <v/>
      </c>
      <c r="D2356" s="16" t="str">
        <f>IFERROR(VLOOKUP(C2356,DATA!#REF!,2,FALSE),"")</f>
        <v/>
      </c>
      <c r="I2356" s="17"/>
      <c r="J2356" s="17"/>
      <c r="P2356" s="17"/>
      <c r="Q2356" s="17"/>
    </row>
    <row r="2357" spans="2:17">
      <c r="B2357" s="17"/>
      <c r="C2357" s="16" t="str">
        <f>IFERROR(VLOOKUP(DATA!#REF!,DATA!#REF!,1,FALSE),"")</f>
        <v/>
      </c>
      <c r="D2357" s="16" t="str">
        <f>IFERROR(VLOOKUP(C2357,DATA!#REF!,2,FALSE),"")</f>
        <v/>
      </c>
      <c r="I2357" s="17"/>
      <c r="J2357" s="17"/>
      <c r="P2357" s="17"/>
      <c r="Q2357" s="17"/>
    </row>
    <row r="2358" spans="2:17">
      <c r="B2358" s="17"/>
      <c r="C2358" s="16" t="str">
        <f>IFERROR(VLOOKUP(DATA!#REF!,DATA!#REF!,1,FALSE),"")</f>
        <v/>
      </c>
      <c r="D2358" s="16" t="str">
        <f>IFERROR(VLOOKUP(C2358,DATA!#REF!,2,FALSE),"")</f>
        <v/>
      </c>
      <c r="I2358" s="17"/>
      <c r="J2358" s="17"/>
      <c r="P2358" s="17"/>
      <c r="Q2358" s="17"/>
    </row>
    <row r="2359" spans="2:17">
      <c r="B2359" s="17"/>
      <c r="C2359" s="16" t="str">
        <f>IFERROR(VLOOKUP(DATA!#REF!,DATA!#REF!,1,FALSE),"")</f>
        <v/>
      </c>
      <c r="D2359" s="16" t="str">
        <f>IFERROR(VLOOKUP(C2359,DATA!#REF!,2,FALSE),"")</f>
        <v/>
      </c>
      <c r="I2359" s="17"/>
      <c r="J2359" s="17"/>
      <c r="P2359" s="17"/>
      <c r="Q2359" s="17"/>
    </row>
    <row r="2360" spans="2:17">
      <c r="B2360" s="17"/>
      <c r="C2360" s="16" t="str">
        <f>IFERROR(VLOOKUP(DATA!#REF!,DATA!#REF!,1,FALSE),"")</f>
        <v/>
      </c>
      <c r="D2360" s="16" t="str">
        <f>IFERROR(VLOOKUP(C2360,DATA!#REF!,2,FALSE),"")</f>
        <v/>
      </c>
      <c r="I2360" s="17"/>
      <c r="J2360" s="17"/>
      <c r="P2360" s="17"/>
      <c r="Q2360" s="17"/>
    </row>
    <row r="2361" spans="2:17">
      <c r="B2361" s="17"/>
      <c r="C2361" s="16" t="str">
        <f>IFERROR(VLOOKUP(DATA!#REF!,DATA!#REF!,1,FALSE),"")</f>
        <v/>
      </c>
      <c r="D2361" s="16" t="str">
        <f>IFERROR(VLOOKUP(C2361,DATA!#REF!,2,FALSE),"")</f>
        <v/>
      </c>
      <c r="I2361" s="17"/>
      <c r="J2361" s="17"/>
      <c r="P2361" s="17"/>
      <c r="Q2361" s="17"/>
    </row>
    <row r="2362" spans="2:17">
      <c r="B2362" s="17"/>
      <c r="C2362" s="16" t="str">
        <f>IFERROR(VLOOKUP(DATA!#REF!,DATA!#REF!,1,FALSE),"")</f>
        <v/>
      </c>
      <c r="D2362" s="16" t="str">
        <f>IFERROR(VLOOKUP(C2362,DATA!#REF!,2,FALSE),"")</f>
        <v/>
      </c>
      <c r="I2362" s="17"/>
      <c r="J2362" s="17"/>
      <c r="P2362" s="17"/>
      <c r="Q2362" s="17"/>
    </row>
    <row r="2363" spans="2:17">
      <c r="B2363" s="17"/>
      <c r="C2363" s="16" t="str">
        <f>IFERROR(VLOOKUP(DATA!#REF!,DATA!#REF!,1,FALSE),"")</f>
        <v/>
      </c>
      <c r="D2363" s="16" t="str">
        <f>IFERROR(VLOOKUP(C2363,DATA!#REF!,2,FALSE),"")</f>
        <v/>
      </c>
      <c r="I2363" s="17"/>
      <c r="J2363" s="17"/>
      <c r="P2363" s="17"/>
      <c r="Q2363" s="17"/>
    </row>
    <row r="2364" spans="2:17">
      <c r="B2364" s="17"/>
      <c r="C2364" s="16" t="str">
        <f>IFERROR(VLOOKUP(DATA!#REF!,DATA!#REF!,1,FALSE),"")</f>
        <v/>
      </c>
      <c r="D2364" s="16" t="str">
        <f>IFERROR(VLOOKUP(C2364,DATA!#REF!,2,FALSE),"")</f>
        <v/>
      </c>
      <c r="I2364" s="17"/>
      <c r="J2364" s="17"/>
      <c r="P2364" s="17"/>
      <c r="Q2364" s="17"/>
    </row>
    <row r="2365" spans="2:17">
      <c r="B2365" s="17"/>
      <c r="C2365" s="16" t="str">
        <f>IFERROR(VLOOKUP(DATA!#REF!,DATA!#REF!,1,FALSE),"")</f>
        <v/>
      </c>
      <c r="D2365" s="16" t="str">
        <f>IFERROR(VLOOKUP(C2365,DATA!#REF!,2,FALSE),"")</f>
        <v/>
      </c>
      <c r="I2365" s="17"/>
      <c r="J2365" s="17"/>
      <c r="P2365" s="17"/>
      <c r="Q2365" s="17"/>
    </row>
    <row r="2366" spans="2:17">
      <c r="B2366" s="17"/>
      <c r="C2366" s="16" t="str">
        <f>IFERROR(VLOOKUP(DATA!#REF!,DATA!#REF!,1,FALSE),"")</f>
        <v/>
      </c>
      <c r="D2366" s="16" t="str">
        <f>IFERROR(VLOOKUP(C2366,DATA!#REF!,2,FALSE),"")</f>
        <v/>
      </c>
      <c r="I2366" s="17"/>
      <c r="J2366" s="17"/>
      <c r="P2366" s="17"/>
      <c r="Q2366" s="17"/>
    </row>
    <row r="2367" spans="2:17">
      <c r="B2367" s="17"/>
      <c r="C2367" s="16" t="str">
        <f>IFERROR(VLOOKUP(DATA!#REF!,DATA!#REF!,1,FALSE),"")</f>
        <v/>
      </c>
      <c r="D2367" s="16" t="str">
        <f>IFERROR(VLOOKUP(C2367,DATA!#REF!,2,FALSE),"")</f>
        <v/>
      </c>
      <c r="I2367" s="17"/>
      <c r="J2367" s="17"/>
      <c r="P2367" s="17"/>
      <c r="Q2367" s="17"/>
    </row>
    <row r="2368" spans="2:17">
      <c r="B2368" s="17"/>
      <c r="C2368" s="16" t="str">
        <f>IFERROR(VLOOKUP(DATA!#REF!,DATA!#REF!,1,FALSE),"")</f>
        <v/>
      </c>
      <c r="D2368" s="16" t="str">
        <f>IFERROR(VLOOKUP(C2368,DATA!#REF!,2,FALSE),"")</f>
        <v/>
      </c>
      <c r="I2368" s="17"/>
      <c r="J2368" s="17"/>
      <c r="P2368" s="17"/>
      <c r="Q2368" s="17"/>
    </row>
    <row r="2369" spans="2:17">
      <c r="B2369" s="17"/>
      <c r="C2369" s="16" t="str">
        <f>IFERROR(VLOOKUP(DATA!#REF!,DATA!#REF!,1,FALSE),"")</f>
        <v/>
      </c>
      <c r="D2369" s="16" t="str">
        <f>IFERROR(VLOOKUP(C2369,DATA!#REF!,2,FALSE),"")</f>
        <v/>
      </c>
      <c r="I2369" s="17"/>
      <c r="J2369" s="17"/>
      <c r="P2369" s="17"/>
      <c r="Q2369" s="17"/>
    </row>
    <row r="2370" spans="2:17">
      <c r="B2370" s="17"/>
      <c r="C2370" s="16" t="str">
        <f>IFERROR(VLOOKUP(DATA!#REF!,DATA!#REF!,1,FALSE),"")</f>
        <v/>
      </c>
      <c r="D2370" s="16" t="str">
        <f>IFERROR(VLOOKUP(C2370,DATA!#REF!,2,FALSE),"")</f>
        <v/>
      </c>
      <c r="I2370" s="17"/>
      <c r="J2370" s="17"/>
      <c r="P2370" s="17"/>
      <c r="Q2370" s="17"/>
    </row>
    <row r="2371" spans="2:17">
      <c r="B2371" s="17"/>
      <c r="C2371" s="16" t="str">
        <f>IFERROR(VLOOKUP(DATA!#REF!,DATA!#REF!,1,FALSE),"")</f>
        <v/>
      </c>
      <c r="D2371" s="16" t="str">
        <f>IFERROR(VLOOKUP(C2371,DATA!#REF!,2,FALSE),"")</f>
        <v/>
      </c>
      <c r="I2371" s="17"/>
      <c r="J2371" s="17"/>
      <c r="P2371" s="17"/>
      <c r="Q2371" s="17"/>
    </row>
    <row r="2372" spans="2:17">
      <c r="B2372" s="17"/>
      <c r="C2372" s="16" t="str">
        <f>IFERROR(VLOOKUP(DATA!#REF!,DATA!#REF!,1,FALSE),"")</f>
        <v/>
      </c>
      <c r="D2372" s="16" t="str">
        <f>IFERROR(VLOOKUP(C2372,DATA!#REF!,2,FALSE),"")</f>
        <v/>
      </c>
      <c r="I2372" s="17"/>
      <c r="J2372" s="17"/>
      <c r="P2372" s="17"/>
      <c r="Q2372" s="17"/>
    </row>
    <row r="2373" spans="2:17">
      <c r="B2373" s="17"/>
      <c r="C2373" s="16" t="str">
        <f>IFERROR(VLOOKUP(DATA!#REF!,DATA!#REF!,1,FALSE),"")</f>
        <v/>
      </c>
      <c r="D2373" s="16" t="str">
        <f>IFERROR(VLOOKUP(C2373,DATA!#REF!,2,FALSE),"")</f>
        <v/>
      </c>
      <c r="I2373" s="17"/>
      <c r="J2373" s="17"/>
      <c r="P2373" s="17"/>
      <c r="Q2373" s="17"/>
    </row>
    <row r="2374" spans="2:17">
      <c r="B2374" s="17"/>
      <c r="C2374" s="16" t="str">
        <f>IFERROR(VLOOKUP(DATA!#REF!,DATA!#REF!,1,FALSE),"")</f>
        <v/>
      </c>
      <c r="D2374" s="16" t="str">
        <f>IFERROR(VLOOKUP(C2374,DATA!#REF!,2,FALSE),"")</f>
        <v/>
      </c>
      <c r="I2374" s="17"/>
      <c r="J2374" s="17"/>
      <c r="P2374" s="17"/>
      <c r="Q2374" s="17"/>
    </row>
    <row r="2375" spans="2:17">
      <c r="B2375" s="17"/>
      <c r="C2375" s="16" t="str">
        <f>IFERROR(VLOOKUP(DATA!#REF!,DATA!#REF!,1,FALSE),"")</f>
        <v/>
      </c>
      <c r="D2375" s="16" t="str">
        <f>IFERROR(VLOOKUP(C2375,DATA!#REF!,2,FALSE),"")</f>
        <v/>
      </c>
      <c r="I2375" s="17"/>
      <c r="J2375" s="17"/>
      <c r="P2375" s="17"/>
      <c r="Q2375" s="17"/>
    </row>
    <row r="2376" spans="2:17">
      <c r="B2376" s="17"/>
      <c r="C2376" s="16" t="str">
        <f>IFERROR(VLOOKUP(DATA!#REF!,DATA!#REF!,1,FALSE),"")</f>
        <v/>
      </c>
      <c r="D2376" s="16" t="str">
        <f>IFERROR(VLOOKUP(C2376,DATA!#REF!,2,FALSE),"")</f>
        <v/>
      </c>
      <c r="I2376" s="17"/>
      <c r="J2376" s="17"/>
      <c r="P2376" s="17"/>
      <c r="Q2376" s="17"/>
    </row>
    <row r="2377" spans="2:17">
      <c r="B2377" s="17"/>
      <c r="C2377" s="16" t="str">
        <f>IFERROR(VLOOKUP(DATA!#REF!,DATA!#REF!,1,FALSE),"")</f>
        <v/>
      </c>
      <c r="D2377" s="16" t="str">
        <f>IFERROR(VLOOKUP(C2377,DATA!#REF!,2,FALSE),"")</f>
        <v/>
      </c>
      <c r="I2377" s="17"/>
      <c r="J2377" s="17"/>
      <c r="P2377" s="17"/>
      <c r="Q2377" s="17"/>
    </row>
    <row r="2378" spans="2:17">
      <c r="B2378" s="17"/>
      <c r="C2378" s="16" t="str">
        <f>IFERROR(VLOOKUP(DATA!#REF!,DATA!#REF!,1,FALSE),"")</f>
        <v/>
      </c>
      <c r="D2378" s="16" t="str">
        <f>IFERROR(VLOOKUP(C2378,DATA!#REF!,2,FALSE),"")</f>
        <v/>
      </c>
      <c r="I2378" s="17"/>
      <c r="J2378" s="17"/>
      <c r="P2378" s="17"/>
      <c r="Q2378" s="17"/>
    </row>
    <row r="2379" spans="2:17">
      <c r="B2379" s="17"/>
      <c r="C2379" s="16" t="str">
        <f>IFERROR(VLOOKUP(DATA!#REF!,DATA!#REF!,1,FALSE),"")</f>
        <v/>
      </c>
      <c r="D2379" s="16" t="str">
        <f>IFERROR(VLOOKUP(C2379,DATA!#REF!,2,FALSE),"")</f>
        <v/>
      </c>
      <c r="I2379" s="17"/>
      <c r="J2379" s="17"/>
      <c r="P2379" s="17"/>
      <c r="Q2379" s="17"/>
    </row>
    <row r="2380" spans="2:17">
      <c r="B2380" s="17"/>
      <c r="C2380" s="16" t="str">
        <f>IFERROR(VLOOKUP(DATA!#REF!,DATA!#REF!,1,FALSE),"")</f>
        <v/>
      </c>
      <c r="D2380" s="16" t="str">
        <f>IFERROR(VLOOKUP(C2380,DATA!#REF!,2,FALSE),"")</f>
        <v/>
      </c>
      <c r="I2380" s="17"/>
      <c r="J2380" s="17"/>
      <c r="P2380" s="17"/>
      <c r="Q2380" s="17"/>
    </row>
    <row r="2381" spans="2:17">
      <c r="B2381" s="17"/>
      <c r="C2381" s="16" t="str">
        <f>IFERROR(VLOOKUP(DATA!#REF!,DATA!#REF!,1,FALSE),"")</f>
        <v/>
      </c>
      <c r="D2381" s="16" t="str">
        <f>IFERROR(VLOOKUP(C2381,DATA!#REF!,2,FALSE),"")</f>
        <v/>
      </c>
      <c r="I2381" s="17"/>
      <c r="J2381" s="17"/>
      <c r="P2381" s="17"/>
      <c r="Q2381" s="17"/>
    </row>
    <row r="2382" spans="2:17">
      <c r="B2382" s="17"/>
      <c r="C2382" s="16" t="str">
        <f>IFERROR(VLOOKUP(DATA!#REF!,DATA!#REF!,1,FALSE),"")</f>
        <v/>
      </c>
      <c r="D2382" s="16" t="str">
        <f>IFERROR(VLOOKUP(C2382,DATA!#REF!,2,FALSE),"")</f>
        <v/>
      </c>
      <c r="I2382" s="17"/>
      <c r="J2382" s="17"/>
      <c r="P2382" s="17"/>
      <c r="Q2382" s="17"/>
    </row>
    <row r="2383" spans="2:17">
      <c r="B2383" s="17"/>
      <c r="C2383" s="16" t="str">
        <f>IFERROR(VLOOKUP(DATA!#REF!,DATA!#REF!,1,FALSE),"")</f>
        <v/>
      </c>
      <c r="D2383" s="16" t="str">
        <f>IFERROR(VLOOKUP(C2383,DATA!#REF!,2,FALSE),"")</f>
        <v/>
      </c>
      <c r="I2383" s="17"/>
      <c r="J2383" s="17"/>
      <c r="P2383" s="17"/>
      <c r="Q2383" s="17"/>
    </row>
    <row r="2384" spans="2:17">
      <c r="B2384" s="17"/>
      <c r="C2384" s="16" t="str">
        <f>IFERROR(VLOOKUP(DATA!#REF!,DATA!#REF!,1,FALSE),"")</f>
        <v/>
      </c>
      <c r="D2384" s="16" t="str">
        <f>IFERROR(VLOOKUP(C2384,DATA!#REF!,2,FALSE),"")</f>
        <v/>
      </c>
      <c r="I2384" s="17"/>
      <c r="J2384" s="17"/>
      <c r="P2384" s="17"/>
      <c r="Q2384" s="17"/>
    </row>
    <row r="2385" spans="2:17">
      <c r="B2385" s="17"/>
      <c r="C2385" s="16" t="str">
        <f>IFERROR(VLOOKUP(DATA!#REF!,DATA!#REF!,1,FALSE),"")</f>
        <v/>
      </c>
      <c r="D2385" s="16" t="str">
        <f>IFERROR(VLOOKUP(C2385,DATA!#REF!,2,FALSE),"")</f>
        <v/>
      </c>
      <c r="I2385" s="17"/>
      <c r="J2385" s="17"/>
      <c r="P2385" s="17"/>
      <c r="Q2385" s="17"/>
    </row>
    <row r="2386" spans="2:17">
      <c r="B2386" s="17"/>
      <c r="C2386" s="16" t="str">
        <f>IFERROR(VLOOKUP(DATA!#REF!,DATA!#REF!,1,FALSE),"")</f>
        <v/>
      </c>
      <c r="D2386" s="16" t="str">
        <f>IFERROR(VLOOKUP(C2386,DATA!#REF!,2,FALSE),"")</f>
        <v/>
      </c>
      <c r="I2386" s="17"/>
      <c r="J2386" s="17"/>
      <c r="P2386" s="17"/>
      <c r="Q2386" s="17"/>
    </row>
    <row r="2387" spans="2:17">
      <c r="B2387" s="17"/>
      <c r="C2387" s="16" t="str">
        <f>IFERROR(VLOOKUP(DATA!#REF!,DATA!#REF!,1,FALSE),"")</f>
        <v/>
      </c>
      <c r="D2387" s="16" t="str">
        <f>IFERROR(VLOOKUP(C2387,DATA!#REF!,2,FALSE),"")</f>
        <v/>
      </c>
      <c r="I2387" s="17"/>
      <c r="J2387" s="17"/>
      <c r="P2387" s="17"/>
      <c r="Q2387" s="17"/>
    </row>
    <row r="2388" spans="2:17">
      <c r="B2388" s="17"/>
      <c r="C2388" s="16" t="str">
        <f>IFERROR(VLOOKUP(DATA!#REF!,DATA!#REF!,1,FALSE),"")</f>
        <v/>
      </c>
      <c r="D2388" s="16" t="str">
        <f>IFERROR(VLOOKUP(C2388,DATA!#REF!,2,FALSE),"")</f>
        <v/>
      </c>
      <c r="I2388" s="17"/>
      <c r="J2388" s="17"/>
      <c r="P2388" s="17"/>
      <c r="Q2388" s="17"/>
    </row>
    <row r="2389" spans="2:17">
      <c r="B2389" s="17"/>
      <c r="C2389" s="16" t="str">
        <f>IFERROR(VLOOKUP(DATA!#REF!,DATA!#REF!,1,FALSE),"")</f>
        <v/>
      </c>
      <c r="D2389" s="16" t="str">
        <f>IFERROR(VLOOKUP(C2389,DATA!#REF!,2,FALSE),"")</f>
        <v/>
      </c>
      <c r="I2389" s="17"/>
      <c r="J2389" s="17"/>
      <c r="P2389" s="17"/>
      <c r="Q2389" s="17"/>
    </row>
    <row r="2390" spans="2:17">
      <c r="B2390" s="17"/>
      <c r="C2390" s="16" t="str">
        <f>IFERROR(VLOOKUP(DATA!#REF!,DATA!#REF!,1,FALSE),"")</f>
        <v/>
      </c>
      <c r="D2390" s="16" t="str">
        <f>IFERROR(VLOOKUP(C2390,DATA!#REF!,2,FALSE),"")</f>
        <v/>
      </c>
      <c r="I2390" s="17"/>
      <c r="J2390" s="17"/>
      <c r="P2390" s="17"/>
      <c r="Q2390" s="17"/>
    </row>
    <row r="2391" spans="2:17">
      <c r="B2391" s="17"/>
      <c r="C2391" s="16" t="str">
        <f>IFERROR(VLOOKUP(DATA!#REF!,DATA!#REF!,1,FALSE),"")</f>
        <v/>
      </c>
      <c r="D2391" s="16" t="str">
        <f>IFERROR(VLOOKUP(C2391,DATA!#REF!,2,FALSE),"")</f>
        <v/>
      </c>
      <c r="I2391" s="17"/>
      <c r="J2391" s="17"/>
      <c r="P2391" s="17"/>
      <c r="Q2391" s="17"/>
    </row>
    <row r="2392" spans="2:17">
      <c r="B2392" s="17"/>
      <c r="C2392" s="16" t="str">
        <f>IFERROR(VLOOKUP(DATA!#REF!,DATA!#REF!,1,FALSE),"")</f>
        <v/>
      </c>
      <c r="D2392" s="16" t="str">
        <f>IFERROR(VLOOKUP(C2392,DATA!#REF!,2,FALSE),"")</f>
        <v/>
      </c>
      <c r="I2392" s="17"/>
      <c r="J2392" s="17"/>
      <c r="P2392" s="17"/>
      <c r="Q2392" s="17"/>
    </row>
    <row r="2393" spans="2:17">
      <c r="B2393" s="17"/>
      <c r="C2393" s="16" t="str">
        <f>IFERROR(VLOOKUP(DATA!#REF!,DATA!#REF!,1,FALSE),"")</f>
        <v/>
      </c>
      <c r="D2393" s="16" t="str">
        <f>IFERROR(VLOOKUP(C2393,DATA!#REF!,2,FALSE),"")</f>
        <v/>
      </c>
      <c r="I2393" s="17"/>
      <c r="J2393" s="17"/>
      <c r="P2393" s="17"/>
      <c r="Q2393" s="17"/>
    </row>
    <row r="2394" spans="2:17">
      <c r="B2394" s="17"/>
      <c r="C2394" s="16" t="str">
        <f>IFERROR(VLOOKUP(DATA!#REF!,DATA!#REF!,1,FALSE),"")</f>
        <v/>
      </c>
      <c r="D2394" s="16" t="str">
        <f>IFERROR(VLOOKUP(C2394,DATA!#REF!,2,FALSE),"")</f>
        <v/>
      </c>
      <c r="I2394" s="17"/>
      <c r="J2394" s="17"/>
      <c r="P2394" s="17"/>
      <c r="Q2394" s="17"/>
    </row>
    <row r="2395" spans="2:17">
      <c r="B2395" s="17"/>
      <c r="C2395" s="16" t="str">
        <f>IFERROR(VLOOKUP(DATA!#REF!,DATA!#REF!,1,FALSE),"")</f>
        <v/>
      </c>
      <c r="D2395" s="16" t="str">
        <f>IFERROR(VLOOKUP(C2395,DATA!#REF!,2,FALSE),"")</f>
        <v/>
      </c>
      <c r="I2395" s="17"/>
      <c r="J2395" s="17"/>
      <c r="P2395" s="17"/>
      <c r="Q2395" s="17"/>
    </row>
    <row r="2396" spans="2:17">
      <c r="B2396" s="17"/>
      <c r="C2396" s="16" t="str">
        <f>IFERROR(VLOOKUP(DATA!#REF!,DATA!#REF!,1,FALSE),"")</f>
        <v/>
      </c>
      <c r="D2396" s="16" t="str">
        <f>IFERROR(VLOOKUP(C2396,DATA!#REF!,2,FALSE),"")</f>
        <v/>
      </c>
      <c r="I2396" s="17"/>
      <c r="J2396" s="17"/>
      <c r="P2396" s="17"/>
      <c r="Q2396" s="17"/>
    </row>
    <row r="2397" spans="2:17">
      <c r="B2397" s="17"/>
      <c r="C2397" s="16" t="str">
        <f>IFERROR(VLOOKUP(DATA!#REF!,DATA!#REF!,1,FALSE),"")</f>
        <v/>
      </c>
      <c r="D2397" s="16" t="str">
        <f>IFERROR(VLOOKUP(C2397,DATA!#REF!,2,FALSE),"")</f>
        <v/>
      </c>
      <c r="I2397" s="17"/>
      <c r="J2397" s="17"/>
      <c r="P2397" s="17"/>
      <c r="Q2397" s="17"/>
    </row>
    <row r="2398" spans="2:17">
      <c r="B2398" s="17"/>
      <c r="C2398" s="16" t="str">
        <f>IFERROR(VLOOKUP(DATA!#REF!,DATA!#REF!,1,FALSE),"")</f>
        <v/>
      </c>
      <c r="D2398" s="16" t="str">
        <f>IFERROR(VLOOKUP(C2398,DATA!#REF!,2,FALSE),"")</f>
        <v/>
      </c>
      <c r="I2398" s="17"/>
      <c r="J2398" s="17"/>
      <c r="P2398" s="17"/>
      <c r="Q2398" s="17"/>
    </row>
    <row r="2399" spans="2:17">
      <c r="B2399" s="17"/>
      <c r="C2399" s="16" t="str">
        <f>IFERROR(VLOOKUP(DATA!#REF!,DATA!#REF!,1,FALSE),"")</f>
        <v/>
      </c>
      <c r="D2399" s="16" t="str">
        <f>IFERROR(VLOOKUP(C2399,DATA!#REF!,2,FALSE),"")</f>
        <v/>
      </c>
      <c r="I2399" s="17"/>
      <c r="J2399" s="17"/>
      <c r="P2399" s="17"/>
      <c r="Q2399" s="17"/>
    </row>
    <row r="2400" spans="2:17">
      <c r="B2400" s="17"/>
      <c r="C2400" s="16" t="str">
        <f>IFERROR(VLOOKUP(DATA!#REF!,DATA!#REF!,1,FALSE),"")</f>
        <v/>
      </c>
      <c r="D2400" s="16" t="str">
        <f>IFERROR(VLOOKUP(C2400,DATA!#REF!,2,FALSE),"")</f>
        <v/>
      </c>
      <c r="I2400" s="17"/>
      <c r="J2400" s="17"/>
      <c r="P2400" s="17"/>
      <c r="Q2400" s="17"/>
    </row>
    <row r="2401" spans="2:17">
      <c r="B2401" s="17"/>
      <c r="C2401" s="16" t="str">
        <f>IFERROR(VLOOKUP(DATA!#REF!,DATA!#REF!,1,FALSE),"")</f>
        <v/>
      </c>
      <c r="D2401" s="16" t="str">
        <f>IFERROR(VLOOKUP(C2401,DATA!#REF!,2,FALSE),"")</f>
        <v/>
      </c>
      <c r="I2401" s="17"/>
      <c r="J2401" s="17"/>
      <c r="P2401" s="17"/>
      <c r="Q2401" s="17"/>
    </row>
    <row r="2402" spans="2:17">
      <c r="B2402" s="17"/>
      <c r="C2402" s="16" t="str">
        <f>IFERROR(VLOOKUP(DATA!#REF!,DATA!#REF!,1,FALSE),"")</f>
        <v/>
      </c>
      <c r="D2402" s="16" t="str">
        <f>IFERROR(VLOOKUP(C2402,DATA!#REF!,2,FALSE),"")</f>
        <v/>
      </c>
      <c r="I2402" s="17"/>
      <c r="J2402" s="17"/>
      <c r="P2402" s="17"/>
      <c r="Q2402" s="17"/>
    </row>
    <row r="2403" spans="2:17">
      <c r="B2403" s="17"/>
      <c r="C2403" s="16" t="str">
        <f>IFERROR(VLOOKUP(DATA!#REF!,DATA!#REF!,1,FALSE),"")</f>
        <v/>
      </c>
      <c r="D2403" s="16" t="str">
        <f>IFERROR(VLOOKUP(C2403,DATA!#REF!,2,FALSE),"")</f>
        <v/>
      </c>
      <c r="I2403" s="17"/>
      <c r="J2403" s="17"/>
      <c r="P2403" s="17"/>
      <c r="Q2403" s="17"/>
    </row>
    <row r="2404" spans="2:17">
      <c r="B2404" s="17"/>
      <c r="C2404" s="16" t="str">
        <f>IFERROR(VLOOKUP(DATA!#REF!,DATA!#REF!,1,FALSE),"")</f>
        <v/>
      </c>
      <c r="D2404" s="16" t="str">
        <f>IFERROR(VLOOKUP(C2404,DATA!#REF!,2,FALSE),"")</f>
        <v/>
      </c>
      <c r="I2404" s="17"/>
      <c r="J2404" s="17"/>
      <c r="P2404" s="17"/>
      <c r="Q2404" s="17"/>
    </row>
    <row r="2405" spans="2:17">
      <c r="B2405" s="17"/>
      <c r="C2405" s="16" t="str">
        <f>IFERROR(VLOOKUP(DATA!#REF!,DATA!#REF!,1,FALSE),"")</f>
        <v/>
      </c>
      <c r="D2405" s="16" t="str">
        <f>IFERROR(VLOOKUP(C2405,DATA!#REF!,2,FALSE),"")</f>
        <v/>
      </c>
      <c r="I2405" s="17"/>
      <c r="J2405" s="17"/>
      <c r="P2405" s="17"/>
      <c r="Q2405" s="17"/>
    </row>
    <row r="2406" spans="2:17">
      <c r="B2406" s="17"/>
      <c r="C2406" s="16" t="str">
        <f>IFERROR(VLOOKUP(DATA!#REF!,DATA!#REF!,1,FALSE),"")</f>
        <v/>
      </c>
      <c r="D2406" s="16" t="str">
        <f>IFERROR(VLOOKUP(C2406,DATA!#REF!,2,FALSE),"")</f>
        <v/>
      </c>
      <c r="I2406" s="17"/>
      <c r="J2406" s="17"/>
      <c r="P2406" s="17"/>
      <c r="Q2406" s="17"/>
    </row>
    <row r="2407" spans="2:17">
      <c r="B2407" s="17"/>
      <c r="C2407" s="16" t="str">
        <f>IFERROR(VLOOKUP(DATA!#REF!,DATA!#REF!,1,FALSE),"")</f>
        <v/>
      </c>
      <c r="D2407" s="16" t="str">
        <f>IFERROR(VLOOKUP(C2407,DATA!#REF!,2,FALSE),"")</f>
        <v/>
      </c>
      <c r="I2407" s="17"/>
      <c r="J2407" s="17"/>
      <c r="P2407" s="17"/>
      <c r="Q2407" s="17"/>
    </row>
    <row r="2408" spans="2:17">
      <c r="B2408" s="17"/>
      <c r="C2408" s="16" t="str">
        <f>IFERROR(VLOOKUP(DATA!#REF!,DATA!#REF!,1,FALSE),"")</f>
        <v/>
      </c>
      <c r="D2408" s="16" t="str">
        <f>IFERROR(VLOOKUP(C2408,DATA!#REF!,2,FALSE),"")</f>
        <v/>
      </c>
      <c r="I2408" s="17"/>
      <c r="J2408" s="17"/>
      <c r="P2408" s="17"/>
      <c r="Q2408" s="17"/>
    </row>
    <row r="2409" spans="2:17">
      <c r="B2409" s="17"/>
      <c r="C2409" s="16" t="str">
        <f>IFERROR(VLOOKUP(DATA!#REF!,DATA!#REF!,1,FALSE),"")</f>
        <v/>
      </c>
      <c r="D2409" s="16" t="str">
        <f>IFERROR(VLOOKUP(C2409,DATA!#REF!,2,FALSE),"")</f>
        <v/>
      </c>
      <c r="I2409" s="17"/>
      <c r="J2409" s="17"/>
      <c r="P2409" s="17"/>
      <c r="Q2409" s="17"/>
    </row>
    <row r="2410" spans="2:17">
      <c r="B2410" s="17"/>
      <c r="C2410" s="16" t="str">
        <f>IFERROR(VLOOKUP(DATA!#REF!,DATA!#REF!,1,FALSE),"")</f>
        <v/>
      </c>
      <c r="D2410" s="16" t="str">
        <f>IFERROR(VLOOKUP(C2410,DATA!#REF!,2,FALSE),"")</f>
        <v/>
      </c>
      <c r="I2410" s="17"/>
      <c r="J2410" s="17"/>
      <c r="P2410" s="17"/>
      <c r="Q2410" s="17"/>
    </row>
    <row r="2411" spans="2:17">
      <c r="B2411" s="17"/>
      <c r="C2411" s="16" t="str">
        <f>IFERROR(VLOOKUP(DATA!#REF!,DATA!#REF!,1,FALSE),"")</f>
        <v/>
      </c>
      <c r="D2411" s="16" t="str">
        <f>IFERROR(VLOOKUP(C2411,DATA!#REF!,2,FALSE),"")</f>
        <v/>
      </c>
      <c r="I2411" s="17"/>
      <c r="J2411" s="17"/>
      <c r="P2411" s="17"/>
      <c r="Q2411" s="17"/>
    </row>
    <row r="2412" spans="2:17">
      <c r="B2412" s="17"/>
      <c r="C2412" s="16" t="str">
        <f>IFERROR(VLOOKUP(DATA!#REF!,DATA!#REF!,1,FALSE),"")</f>
        <v/>
      </c>
      <c r="D2412" s="16" t="str">
        <f>IFERROR(VLOOKUP(C2412,DATA!#REF!,2,FALSE),"")</f>
        <v/>
      </c>
      <c r="I2412" s="17"/>
      <c r="J2412" s="17"/>
      <c r="P2412" s="17"/>
      <c r="Q2412" s="17"/>
    </row>
    <row r="2413" spans="2:17">
      <c r="B2413" s="17"/>
      <c r="C2413" s="16" t="str">
        <f>IFERROR(VLOOKUP(DATA!#REF!,DATA!#REF!,1,FALSE),"")</f>
        <v/>
      </c>
      <c r="D2413" s="16" t="str">
        <f>IFERROR(VLOOKUP(C2413,DATA!#REF!,2,FALSE),"")</f>
        <v/>
      </c>
      <c r="I2413" s="17"/>
      <c r="J2413" s="17"/>
      <c r="P2413" s="17"/>
      <c r="Q2413" s="17"/>
    </row>
    <row r="2414" spans="2:17">
      <c r="B2414" s="17"/>
      <c r="C2414" s="16" t="str">
        <f>IFERROR(VLOOKUP(DATA!#REF!,DATA!#REF!,1,FALSE),"")</f>
        <v/>
      </c>
      <c r="D2414" s="16" t="str">
        <f>IFERROR(VLOOKUP(C2414,DATA!#REF!,2,FALSE),"")</f>
        <v/>
      </c>
      <c r="I2414" s="17"/>
      <c r="J2414" s="17"/>
      <c r="P2414" s="17"/>
      <c r="Q2414" s="17"/>
    </row>
    <row r="2415" spans="2:17">
      <c r="B2415" s="17"/>
      <c r="C2415" s="16" t="str">
        <f>IFERROR(VLOOKUP(DATA!#REF!,DATA!#REF!,1,FALSE),"")</f>
        <v/>
      </c>
      <c r="D2415" s="16" t="str">
        <f>IFERROR(VLOOKUP(C2415,DATA!#REF!,2,FALSE),"")</f>
        <v/>
      </c>
      <c r="I2415" s="17"/>
      <c r="J2415" s="17"/>
      <c r="P2415" s="17"/>
      <c r="Q2415" s="17"/>
    </row>
    <row r="2416" spans="2:17">
      <c r="B2416" s="17"/>
      <c r="C2416" s="16" t="str">
        <f>IFERROR(VLOOKUP(DATA!#REF!,DATA!#REF!,1,FALSE),"")</f>
        <v/>
      </c>
      <c r="D2416" s="16" t="str">
        <f>IFERROR(VLOOKUP(C2416,DATA!#REF!,2,FALSE),"")</f>
        <v/>
      </c>
      <c r="I2416" s="17"/>
      <c r="J2416" s="17"/>
      <c r="P2416" s="17"/>
      <c r="Q2416" s="17"/>
    </row>
    <row r="2417" spans="2:17">
      <c r="B2417" s="17"/>
      <c r="C2417" s="16" t="str">
        <f>IFERROR(VLOOKUP(DATA!#REF!,DATA!#REF!,1,FALSE),"")</f>
        <v/>
      </c>
      <c r="D2417" s="16" t="str">
        <f>IFERROR(VLOOKUP(C2417,DATA!#REF!,2,FALSE),"")</f>
        <v/>
      </c>
      <c r="I2417" s="17"/>
      <c r="J2417" s="17"/>
      <c r="P2417" s="17"/>
      <c r="Q2417" s="17"/>
    </row>
    <row r="2418" spans="2:17">
      <c r="B2418" s="17"/>
      <c r="C2418" s="16" t="str">
        <f>IFERROR(VLOOKUP(DATA!#REF!,DATA!#REF!,1,FALSE),"")</f>
        <v/>
      </c>
      <c r="D2418" s="16" t="str">
        <f>IFERROR(VLOOKUP(C2418,DATA!#REF!,2,FALSE),"")</f>
        <v/>
      </c>
      <c r="I2418" s="17"/>
      <c r="J2418" s="17"/>
      <c r="P2418" s="17"/>
      <c r="Q2418" s="17"/>
    </row>
    <row r="2419" spans="2:17">
      <c r="B2419" s="17"/>
      <c r="C2419" s="16" t="str">
        <f>IFERROR(VLOOKUP(DATA!#REF!,DATA!#REF!,1,FALSE),"")</f>
        <v/>
      </c>
      <c r="D2419" s="16" t="str">
        <f>IFERROR(VLOOKUP(C2419,DATA!#REF!,2,FALSE),"")</f>
        <v/>
      </c>
      <c r="I2419" s="17"/>
      <c r="J2419" s="17"/>
      <c r="P2419" s="17"/>
      <c r="Q2419" s="17"/>
    </row>
    <row r="2420" spans="2:17">
      <c r="B2420" s="17"/>
      <c r="C2420" s="16" t="str">
        <f>IFERROR(VLOOKUP(DATA!#REF!,DATA!#REF!,1,FALSE),"")</f>
        <v/>
      </c>
      <c r="D2420" s="16" t="str">
        <f>IFERROR(VLOOKUP(C2420,DATA!#REF!,2,FALSE),"")</f>
        <v/>
      </c>
      <c r="I2420" s="17"/>
      <c r="J2420" s="17"/>
      <c r="P2420" s="17"/>
      <c r="Q2420" s="17"/>
    </row>
    <row r="2421" spans="2:17">
      <c r="B2421" s="17"/>
      <c r="C2421" s="16" t="str">
        <f>IFERROR(VLOOKUP(DATA!#REF!,DATA!#REF!,1,FALSE),"")</f>
        <v/>
      </c>
      <c r="D2421" s="16" t="str">
        <f>IFERROR(VLOOKUP(C2421,DATA!#REF!,2,FALSE),"")</f>
        <v/>
      </c>
      <c r="I2421" s="17"/>
      <c r="J2421" s="17"/>
      <c r="P2421" s="17"/>
      <c r="Q2421" s="17"/>
    </row>
    <row r="2422" spans="2:17">
      <c r="B2422" s="17"/>
      <c r="C2422" s="16" t="str">
        <f>IFERROR(VLOOKUP(DATA!#REF!,DATA!#REF!,1,FALSE),"")</f>
        <v/>
      </c>
      <c r="D2422" s="16" t="str">
        <f>IFERROR(VLOOKUP(C2422,DATA!#REF!,2,FALSE),"")</f>
        <v/>
      </c>
      <c r="I2422" s="17"/>
      <c r="J2422" s="17"/>
      <c r="P2422" s="17"/>
      <c r="Q2422" s="17"/>
    </row>
    <row r="2423" spans="2:17">
      <c r="B2423" s="17"/>
      <c r="C2423" s="16" t="str">
        <f>IFERROR(VLOOKUP(DATA!#REF!,DATA!#REF!,1,FALSE),"")</f>
        <v/>
      </c>
      <c r="D2423" s="16" t="str">
        <f>IFERROR(VLOOKUP(C2423,DATA!#REF!,2,FALSE),"")</f>
        <v/>
      </c>
      <c r="I2423" s="17"/>
      <c r="J2423" s="17"/>
      <c r="P2423" s="17"/>
      <c r="Q2423" s="17"/>
    </row>
    <row r="2424" spans="2:17">
      <c r="B2424" s="17"/>
      <c r="C2424" s="16" t="str">
        <f>IFERROR(VLOOKUP(DATA!#REF!,DATA!#REF!,1,FALSE),"")</f>
        <v/>
      </c>
      <c r="D2424" s="16" t="str">
        <f>IFERROR(VLOOKUP(C2424,DATA!#REF!,2,FALSE),"")</f>
        <v/>
      </c>
      <c r="I2424" s="17"/>
      <c r="J2424" s="17"/>
      <c r="P2424" s="17"/>
      <c r="Q2424" s="17"/>
    </row>
    <row r="2425" spans="2:17">
      <c r="B2425" s="17"/>
      <c r="C2425" s="16" t="str">
        <f>IFERROR(VLOOKUP(DATA!#REF!,DATA!#REF!,1,FALSE),"")</f>
        <v/>
      </c>
      <c r="D2425" s="16" t="str">
        <f>IFERROR(VLOOKUP(C2425,DATA!#REF!,2,FALSE),"")</f>
        <v/>
      </c>
      <c r="I2425" s="17"/>
      <c r="J2425" s="17"/>
      <c r="P2425" s="17"/>
      <c r="Q2425" s="17"/>
    </row>
    <row r="2426" spans="2:17">
      <c r="B2426" s="17"/>
      <c r="C2426" s="16" t="str">
        <f>IFERROR(VLOOKUP(DATA!#REF!,DATA!#REF!,1,FALSE),"")</f>
        <v/>
      </c>
      <c r="D2426" s="16" t="str">
        <f>IFERROR(VLOOKUP(C2426,DATA!#REF!,2,FALSE),"")</f>
        <v/>
      </c>
      <c r="I2426" s="17"/>
      <c r="J2426" s="17"/>
      <c r="P2426" s="17"/>
      <c r="Q2426" s="17"/>
    </row>
    <row r="2427" spans="2:17">
      <c r="B2427" s="17"/>
      <c r="C2427" s="16" t="str">
        <f>IFERROR(VLOOKUP(DATA!#REF!,DATA!#REF!,1,FALSE),"")</f>
        <v/>
      </c>
      <c r="D2427" s="16" t="str">
        <f>IFERROR(VLOOKUP(C2427,DATA!#REF!,2,FALSE),"")</f>
        <v/>
      </c>
      <c r="I2427" s="17"/>
      <c r="J2427" s="17"/>
      <c r="P2427" s="17"/>
      <c r="Q2427" s="17"/>
    </row>
    <row r="2428" spans="2:17">
      <c r="B2428" s="17"/>
      <c r="C2428" s="16" t="str">
        <f>IFERROR(VLOOKUP(DATA!#REF!,DATA!#REF!,1,FALSE),"")</f>
        <v/>
      </c>
      <c r="D2428" s="16" t="str">
        <f>IFERROR(VLOOKUP(C2428,DATA!#REF!,2,FALSE),"")</f>
        <v/>
      </c>
      <c r="I2428" s="17"/>
      <c r="J2428" s="17"/>
      <c r="P2428" s="17"/>
      <c r="Q2428" s="17"/>
    </row>
    <row r="2429" spans="2:17">
      <c r="B2429" s="17"/>
      <c r="C2429" s="16" t="str">
        <f>IFERROR(VLOOKUP(DATA!#REF!,DATA!#REF!,1,FALSE),"")</f>
        <v/>
      </c>
      <c r="D2429" s="16" t="str">
        <f>IFERROR(VLOOKUP(C2429,DATA!#REF!,2,FALSE),"")</f>
        <v/>
      </c>
      <c r="I2429" s="17"/>
      <c r="J2429" s="17"/>
      <c r="P2429" s="17"/>
      <c r="Q2429" s="17"/>
    </row>
    <row r="2430" spans="2:17">
      <c r="B2430" s="17"/>
      <c r="C2430" s="16" t="str">
        <f>IFERROR(VLOOKUP(DATA!#REF!,DATA!#REF!,1,FALSE),"")</f>
        <v/>
      </c>
      <c r="D2430" s="16" t="str">
        <f>IFERROR(VLOOKUP(C2430,DATA!#REF!,2,FALSE),"")</f>
        <v/>
      </c>
      <c r="I2430" s="17"/>
      <c r="J2430" s="17"/>
      <c r="P2430" s="17"/>
      <c r="Q2430" s="17"/>
    </row>
    <row r="2431" spans="2:17">
      <c r="B2431" s="17"/>
      <c r="C2431" s="16" t="str">
        <f>IFERROR(VLOOKUP(DATA!#REF!,DATA!#REF!,1,FALSE),"")</f>
        <v/>
      </c>
      <c r="D2431" s="16" t="str">
        <f>IFERROR(VLOOKUP(C2431,DATA!#REF!,2,FALSE),"")</f>
        <v/>
      </c>
      <c r="I2431" s="17"/>
      <c r="J2431" s="17"/>
      <c r="P2431" s="17"/>
      <c r="Q2431" s="17"/>
    </row>
    <row r="2432" spans="2:17">
      <c r="B2432" s="17"/>
      <c r="C2432" s="16" t="str">
        <f>IFERROR(VLOOKUP(DATA!#REF!,DATA!#REF!,1,FALSE),"")</f>
        <v/>
      </c>
      <c r="D2432" s="16" t="str">
        <f>IFERROR(VLOOKUP(C2432,DATA!#REF!,2,FALSE),"")</f>
        <v/>
      </c>
      <c r="I2432" s="17"/>
      <c r="J2432" s="17"/>
      <c r="P2432" s="17"/>
      <c r="Q2432" s="17"/>
    </row>
    <row r="2433" spans="2:17">
      <c r="B2433" s="17"/>
      <c r="C2433" s="16" t="str">
        <f>IFERROR(VLOOKUP(DATA!#REF!,DATA!#REF!,1,FALSE),"")</f>
        <v/>
      </c>
      <c r="D2433" s="16" t="str">
        <f>IFERROR(VLOOKUP(C2433,DATA!#REF!,2,FALSE),"")</f>
        <v/>
      </c>
      <c r="I2433" s="17"/>
      <c r="J2433" s="17"/>
      <c r="P2433" s="17"/>
      <c r="Q2433" s="17"/>
    </row>
    <row r="2434" spans="2:17">
      <c r="B2434" s="17"/>
      <c r="C2434" s="16" t="str">
        <f>IFERROR(VLOOKUP(DATA!#REF!,DATA!#REF!,1,FALSE),"")</f>
        <v/>
      </c>
      <c r="D2434" s="16" t="str">
        <f>IFERROR(VLOOKUP(C2434,DATA!#REF!,2,FALSE),"")</f>
        <v/>
      </c>
      <c r="I2434" s="17"/>
      <c r="J2434" s="17"/>
      <c r="P2434" s="17"/>
      <c r="Q2434" s="17"/>
    </row>
    <row r="2435" spans="2:17">
      <c r="B2435" s="17"/>
      <c r="C2435" s="16" t="str">
        <f>IFERROR(VLOOKUP(DATA!#REF!,DATA!#REF!,1,FALSE),"")</f>
        <v/>
      </c>
      <c r="D2435" s="16" t="str">
        <f>IFERROR(VLOOKUP(C2435,DATA!#REF!,2,FALSE),"")</f>
        <v/>
      </c>
      <c r="I2435" s="17"/>
      <c r="J2435" s="17"/>
      <c r="P2435" s="17"/>
      <c r="Q2435" s="17"/>
    </row>
    <row r="2436" spans="2:17">
      <c r="B2436" s="17"/>
      <c r="C2436" s="16" t="str">
        <f>IFERROR(VLOOKUP(DATA!#REF!,DATA!#REF!,1,FALSE),"")</f>
        <v/>
      </c>
      <c r="D2436" s="16" t="str">
        <f>IFERROR(VLOOKUP(C2436,DATA!#REF!,2,FALSE),"")</f>
        <v/>
      </c>
      <c r="I2436" s="17"/>
      <c r="J2436" s="17"/>
      <c r="P2436" s="17"/>
      <c r="Q2436" s="17"/>
    </row>
    <row r="2437" spans="2:17">
      <c r="B2437" s="17"/>
      <c r="C2437" s="16" t="str">
        <f>IFERROR(VLOOKUP(DATA!#REF!,DATA!#REF!,1,FALSE),"")</f>
        <v/>
      </c>
      <c r="D2437" s="16" t="str">
        <f>IFERROR(VLOOKUP(C2437,DATA!#REF!,2,FALSE),"")</f>
        <v/>
      </c>
      <c r="I2437" s="17"/>
      <c r="J2437" s="17"/>
      <c r="P2437" s="17"/>
      <c r="Q2437" s="17"/>
    </row>
    <row r="2438" spans="2:17">
      <c r="B2438" s="17"/>
      <c r="C2438" s="16" t="str">
        <f>IFERROR(VLOOKUP(DATA!#REF!,DATA!#REF!,1,FALSE),"")</f>
        <v/>
      </c>
      <c r="D2438" s="16" t="str">
        <f>IFERROR(VLOOKUP(C2438,DATA!#REF!,2,FALSE),"")</f>
        <v/>
      </c>
      <c r="I2438" s="17"/>
      <c r="J2438" s="17"/>
      <c r="P2438" s="17"/>
      <c r="Q2438" s="17"/>
    </row>
    <row r="2439" spans="2:17">
      <c r="B2439" s="17"/>
      <c r="C2439" s="16" t="str">
        <f>IFERROR(VLOOKUP(DATA!#REF!,DATA!#REF!,1,FALSE),"")</f>
        <v/>
      </c>
      <c r="D2439" s="16" t="str">
        <f>IFERROR(VLOOKUP(C2439,DATA!#REF!,2,FALSE),"")</f>
        <v/>
      </c>
      <c r="I2439" s="17"/>
      <c r="J2439" s="17"/>
      <c r="P2439" s="17"/>
      <c r="Q2439" s="17"/>
    </row>
    <row r="2440" spans="2:17">
      <c r="B2440" s="17"/>
      <c r="C2440" s="16" t="str">
        <f>IFERROR(VLOOKUP(DATA!#REF!,DATA!#REF!,1,FALSE),"")</f>
        <v/>
      </c>
      <c r="D2440" s="16" t="str">
        <f>IFERROR(VLOOKUP(C2440,DATA!#REF!,2,FALSE),"")</f>
        <v/>
      </c>
      <c r="I2440" s="17"/>
      <c r="J2440" s="17"/>
      <c r="P2440" s="17"/>
      <c r="Q2440" s="17"/>
    </row>
    <row r="2441" spans="2:17">
      <c r="B2441" s="17"/>
      <c r="C2441" s="16" t="str">
        <f>IFERROR(VLOOKUP(DATA!#REF!,DATA!#REF!,1,FALSE),"")</f>
        <v/>
      </c>
      <c r="D2441" s="16" t="str">
        <f>IFERROR(VLOOKUP(C2441,DATA!#REF!,2,FALSE),"")</f>
        <v/>
      </c>
      <c r="I2441" s="17"/>
      <c r="J2441" s="17"/>
      <c r="P2441" s="17"/>
      <c r="Q2441" s="17"/>
    </row>
    <row r="2442" spans="2:17">
      <c r="B2442" s="17"/>
      <c r="C2442" s="16" t="str">
        <f>IFERROR(VLOOKUP(DATA!#REF!,DATA!#REF!,1,FALSE),"")</f>
        <v/>
      </c>
      <c r="D2442" s="16" t="str">
        <f>IFERROR(VLOOKUP(C2442,DATA!#REF!,2,FALSE),"")</f>
        <v/>
      </c>
      <c r="I2442" s="17"/>
      <c r="J2442" s="17"/>
      <c r="P2442" s="17"/>
      <c r="Q2442" s="17"/>
    </row>
    <row r="2443" spans="2:17">
      <c r="B2443" s="17"/>
      <c r="C2443" s="16" t="str">
        <f>IFERROR(VLOOKUP(DATA!#REF!,DATA!#REF!,1,FALSE),"")</f>
        <v/>
      </c>
      <c r="D2443" s="16" t="str">
        <f>IFERROR(VLOOKUP(C2443,DATA!#REF!,2,FALSE),"")</f>
        <v/>
      </c>
      <c r="I2443" s="17"/>
      <c r="J2443" s="17"/>
      <c r="P2443" s="17"/>
      <c r="Q2443" s="17"/>
    </row>
    <row r="2444" spans="2:17">
      <c r="B2444" s="17"/>
      <c r="C2444" s="16" t="str">
        <f>IFERROR(VLOOKUP(DATA!#REF!,DATA!#REF!,1,FALSE),"")</f>
        <v/>
      </c>
      <c r="D2444" s="16" t="str">
        <f>IFERROR(VLOOKUP(C2444,DATA!#REF!,2,FALSE),"")</f>
        <v/>
      </c>
      <c r="I2444" s="17"/>
      <c r="J2444" s="17"/>
      <c r="P2444" s="17"/>
      <c r="Q2444" s="17"/>
    </row>
    <row r="2445" spans="2:17">
      <c r="B2445" s="17"/>
      <c r="C2445" s="16" t="str">
        <f>IFERROR(VLOOKUP(DATA!#REF!,DATA!#REF!,1,FALSE),"")</f>
        <v/>
      </c>
      <c r="D2445" s="16" t="str">
        <f>IFERROR(VLOOKUP(C2445,DATA!#REF!,2,FALSE),"")</f>
        <v/>
      </c>
      <c r="I2445" s="17"/>
      <c r="J2445" s="17"/>
      <c r="P2445" s="17"/>
      <c r="Q2445" s="17"/>
    </row>
    <row r="2446" spans="2:17">
      <c r="B2446" s="17"/>
      <c r="C2446" s="16" t="str">
        <f>IFERROR(VLOOKUP(DATA!#REF!,DATA!#REF!,1,FALSE),"")</f>
        <v/>
      </c>
      <c r="D2446" s="16" t="str">
        <f>IFERROR(VLOOKUP(C2446,DATA!#REF!,2,FALSE),"")</f>
        <v/>
      </c>
      <c r="I2446" s="17"/>
      <c r="J2446" s="17"/>
      <c r="P2446" s="17"/>
      <c r="Q2446" s="17"/>
    </row>
    <row r="2447" spans="2:17">
      <c r="B2447" s="17"/>
      <c r="C2447" s="16" t="str">
        <f>IFERROR(VLOOKUP(DATA!#REF!,DATA!#REF!,1,FALSE),"")</f>
        <v/>
      </c>
      <c r="D2447" s="16" t="str">
        <f>IFERROR(VLOOKUP(C2447,DATA!#REF!,2,FALSE),"")</f>
        <v/>
      </c>
      <c r="I2447" s="17"/>
      <c r="J2447" s="17"/>
      <c r="P2447" s="17"/>
      <c r="Q2447" s="17"/>
    </row>
    <row r="2448" spans="2:17">
      <c r="B2448" s="17"/>
      <c r="C2448" s="16" t="str">
        <f>IFERROR(VLOOKUP(DATA!#REF!,DATA!#REF!,1,FALSE),"")</f>
        <v/>
      </c>
      <c r="D2448" s="16" t="str">
        <f>IFERROR(VLOOKUP(C2448,DATA!#REF!,2,FALSE),"")</f>
        <v/>
      </c>
      <c r="I2448" s="17"/>
      <c r="J2448" s="17"/>
      <c r="P2448" s="17"/>
      <c r="Q2448" s="17"/>
    </row>
    <row r="2449" spans="2:17">
      <c r="B2449" s="17"/>
      <c r="C2449" s="16" t="str">
        <f>IFERROR(VLOOKUP(DATA!#REF!,DATA!#REF!,1,FALSE),"")</f>
        <v/>
      </c>
      <c r="D2449" s="16" t="str">
        <f>IFERROR(VLOOKUP(C2449,DATA!#REF!,2,FALSE),"")</f>
        <v/>
      </c>
      <c r="I2449" s="17"/>
      <c r="J2449" s="17"/>
      <c r="P2449" s="17"/>
      <c r="Q2449" s="17"/>
    </row>
    <row r="2450" spans="2:17">
      <c r="B2450" s="17"/>
      <c r="C2450" s="16" t="str">
        <f>IFERROR(VLOOKUP(DATA!#REF!,DATA!#REF!,1,FALSE),"")</f>
        <v/>
      </c>
      <c r="D2450" s="16" t="str">
        <f>IFERROR(VLOOKUP(C2450,DATA!#REF!,2,FALSE),"")</f>
        <v/>
      </c>
      <c r="I2450" s="17"/>
      <c r="J2450" s="17"/>
      <c r="P2450" s="17"/>
      <c r="Q2450" s="17"/>
    </row>
    <row r="2451" spans="2:17">
      <c r="B2451" s="17"/>
      <c r="C2451" s="16" t="str">
        <f>IFERROR(VLOOKUP(DATA!#REF!,DATA!#REF!,1,FALSE),"")</f>
        <v/>
      </c>
      <c r="D2451" s="16" t="str">
        <f>IFERROR(VLOOKUP(C2451,DATA!#REF!,2,FALSE),"")</f>
        <v/>
      </c>
      <c r="I2451" s="17"/>
      <c r="J2451" s="17"/>
      <c r="P2451" s="17"/>
      <c r="Q2451" s="17"/>
    </row>
    <row r="2452" spans="2:17">
      <c r="B2452" s="17"/>
      <c r="C2452" s="16" t="str">
        <f>IFERROR(VLOOKUP(DATA!#REF!,DATA!#REF!,1,FALSE),"")</f>
        <v/>
      </c>
      <c r="D2452" s="16" t="str">
        <f>IFERROR(VLOOKUP(C2452,DATA!#REF!,2,FALSE),"")</f>
        <v/>
      </c>
      <c r="I2452" s="17"/>
      <c r="J2452" s="17"/>
      <c r="P2452" s="17"/>
      <c r="Q2452" s="17"/>
    </row>
    <row r="2453" spans="2:17">
      <c r="B2453" s="17"/>
      <c r="C2453" s="16" t="str">
        <f>IFERROR(VLOOKUP(DATA!#REF!,DATA!#REF!,1,FALSE),"")</f>
        <v/>
      </c>
      <c r="D2453" s="16" t="str">
        <f>IFERROR(VLOOKUP(C2453,DATA!#REF!,2,FALSE),"")</f>
        <v/>
      </c>
      <c r="I2453" s="17"/>
      <c r="J2453" s="17"/>
      <c r="P2453" s="17"/>
      <c r="Q2453" s="17"/>
    </row>
    <row r="2454" spans="2:17">
      <c r="B2454" s="17"/>
      <c r="C2454" s="16" t="str">
        <f>IFERROR(VLOOKUP(DATA!#REF!,DATA!#REF!,1,FALSE),"")</f>
        <v/>
      </c>
      <c r="D2454" s="16" t="str">
        <f>IFERROR(VLOOKUP(C2454,DATA!#REF!,2,FALSE),"")</f>
        <v/>
      </c>
      <c r="I2454" s="17"/>
      <c r="J2454" s="17"/>
      <c r="P2454" s="17"/>
      <c r="Q2454" s="17"/>
    </row>
    <row r="2455" spans="2:17">
      <c r="B2455" s="17"/>
      <c r="C2455" s="16" t="str">
        <f>IFERROR(VLOOKUP(DATA!#REF!,DATA!#REF!,1,FALSE),"")</f>
        <v/>
      </c>
      <c r="D2455" s="16" t="str">
        <f>IFERROR(VLOOKUP(C2455,DATA!#REF!,2,FALSE),"")</f>
        <v/>
      </c>
      <c r="I2455" s="17"/>
      <c r="J2455" s="17"/>
      <c r="P2455" s="17"/>
      <c r="Q2455" s="17"/>
    </row>
    <row r="2456" spans="2:17">
      <c r="B2456" s="17"/>
      <c r="C2456" s="16" t="str">
        <f>IFERROR(VLOOKUP(DATA!#REF!,DATA!#REF!,1,FALSE),"")</f>
        <v/>
      </c>
      <c r="D2456" s="16" t="str">
        <f>IFERROR(VLOOKUP(C2456,DATA!#REF!,2,FALSE),"")</f>
        <v/>
      </c>
      <c r="I2456" s="17"/>
      <c r="J2456" s="17"/>
      <c r="P2456" s="17"/>
      <c r="Q2456" s="17"/>
    </row>
    <row r="2457" spans="2:17">
      <c r="B2457" s="17"/>
      <c r="C2457" s="16" t="str">
        <f>IFERROR(VLOOKUP(DATA!#REF!,DATA!#REF!,1,FALSE),"")</f>
        <v/>
      </c>
      <c r="D2457" s="16" t="str">
        <f>IFERROR(VLOOKUP(C2457,DATA!#REF!,2,FALSE),"")</f>
        <v/>
      </c>
      <c r="I2457" s="17"/>
      <c r="J2457" s="17"/>
      <c r="P2457" s="17"/>
      <c r="Q2457" s="17"/>
    </row>
    <row r="2458" spans="2:17">
      <c r="B2458" s="17"/>
      <c r="C2458" s="16" t="str">
        <f>IFERROR(VLOOKUP(DATA!#REF!,DATA!#REF!,1,FALSE),"")</f>
        <v/>
      </c>
      <c r="D2458" s="16" t="str">
        <f>IFERROR(VLOOKUP(C2458,DATA!#REF!,2,FALSE),"")</f>
        <v/>
      </c>
      <c r="I2458" s="17"/>
      <c r="J2458" s="17"/>
      <c r="P2458" s="17"/>
      <c r="Q2458" s="17"/>
    </row>
    <row r="2459" spans="2:17">
      <c r="B2459" s="17"/>
      <c r="C2459" s="16" t="str">
        <f>IFERROR(VLOOKUP(DATA!#REF!,DATA!#REF!,1,FALSE),"")</f>
        <v/>
      </c>
      <c r="D2459" s="16" t="str">
        <f>IFERROR(VLOOKUP(C2459,DATA!#REF!,2,FALSE),"")</f>
        <v/>
      </c>
      <c r="I2459" s="17"/>
      <c r="J2459" s="17"/>
      <c r="P2459" s="17"/>
      <c r="Q2459" s="17"/>
    </row>
    <row r="2460" spans="2:17">
      <c r="B2460" s="17"/>
      <c r="C2460" s="16" t="str">
        <f>IFERROR(VLOOKUP(DATA!#REF!,DATA!#REF!,1,FALSE),"")</f>
        <v/>
      </c>
      <c r="D2460" s="16" t="str">
        <f>IFERROR(VLOOKUP(C2460,DATA!#REF!,2,FALSE),"")</f>
        <v/>
      </c>
      <c r="I2460" s="17"/>
      <c r="J2460" s="17"/>
      <c r="P2460" s="17"/>
      <c r="Q2460" s="17"/>
    </row>
    <row r="2461" spans="2:17">
      <c r="B2461" s="17"/>
      <c r="C2461" s="16" t="str">
        <f>IFERROR(VLOOKUP(DATA!#REF!,DATA!#REF!,1,FALSE),"")</f>
        <v/>
      </c>
      <c r="D2461" s="16" t="str">
        <f>IFERROR(VLOOKUP(C2461,DATA!#REF!,2,FALSE),"")</f>
        <v/>
      </c>
      <c r="I2461" s="17"/>
      <c r="J2461" s="17"/>
      <c r="P2461" s="17"/>
      <c r="Q2461" s="17"/>
    </row>
    <row r="2462" spans="2:17">
      <c r="B2462" s="17"/>
      <c r="C2462" s="16" t="str">
        <f>IFERROR(VLOOKUP(DATA!#REF!,DATA!#REF!,1,FALSE),"")</f>
        <v/>
      </c>
      <c r="D2462" s="16" t="str">
        <f>IFERROR(VLOOKUP(C2462,DATA!#REF!,2,FALSE),"")</f>
        <v/>
      </c>
      <c r="I2462" s="17"/>
      <c r="J2462" s="17"/>
      <c r="P2462" s="17"/>
      <c r="Q2462" s="17"/>
    </row>
    <row r="2463" spans="2:17">
      <c r="B2463" s="17"/>
      <c r="C2463" s="16" t="str">
        <f>IFERROR(VLOOKUP(DATA!#REF!,DATA!#REF!,1,FALSE),"")</f>
        <v/>
      </c>
      <c r="D2463" s="16" t="str">
        <f>IFERROR(VLOOKUP(C2463,DATA!#REF!,2,FALSE),"")</f>
        <v/>
      </c>
      <c r="I2463" s="17"/>
      <c r="J2463" s="17"/>
      <c r="P2463" s="17"/>
      <c r="Q2463" s="17"/>
    </row>
    <row r="2464" spans="2:17">
      <c r="B2464" s="17"/>
      <c r="C2464" s="16" t="str">
        <f>IFERROR(VLOOKUP(DATA!#REF!,DATA!#REF!,1,FALSE),"")</f>
        <v/>
      </c>
      <c r="D2464" s="16" t="str">
        <f>IFERROR(VLOOKUP(C2464,DATA!#REF!,2,FALSE),"")</f>
        <v/>
      </c>
      <c r="I2464" s="17"/>
      <c r="J2464" s="17"/>
      <c r="P2464" s="17"/>
      <c r="Q2464" s="17"/>
    </row>
    <row r="2465" spans="2:17">
      <c r="B2465" s="17"/>
      <c r="C2465" s="16" t="str">
        <f>IFERROR(VLOOKUP(DATA!#REF!,DATA!#REF!,1,FALSE),"")</f>
        <v/>
      </c>
      <c r="D2465" s="16" t="str">
        <f>IFERROR(VLOOKUP(C2465,DATA!#REF!,2,FALSE),"")</f>
        <v/>
      </c>
      <c r="I2465" s="17"/>
      <c r="J2465" s="17"/>
      <c r="P2465" s="17"/>
      <c r="Q2465" s="17"/>
    </row>
    <row r="2466" spans="2:17">
      <c r="B2466" s="17"/>
      <c r="C2466" s="16" t="str">
        <f>IFERROR(VLOOKUP(DATA!#REF!,DATA!#REF!,1,FALSE),"")</f>
        <v/>
      </c>
      <c r="D2466" s="16" t="str">
        <f>IFERROR(VLOOKUP(C2466,DATA!#REF!,2,FALSE),"")</f>
        <v/>
      </c>
      <c r="I2466" s="17"/>
      <c r="J2466" s="17"/>
      <c r="P2466" s="17"/>
      <c r="Q2466" s="17"/>
    </row>
    <row r="2467" spans="2:17">
      <c r="B2467" s="17"/>
      <c r="C2467" s="16" t="str">
        <f>IFERROR(VLOOKUP(DATA!#REF!,DATA!#REF!,1,FALSE),"")</f>
        <v/>
      </c>
      <c r="D2467" s="16" t="str">
        <f>IFERROR(VLOOKUP(C2467,DATA!#REF!,2,FALSE),"")</f>
        <v/>
      </c>
      <c r="I2467" s="17"/>
      <c r="J2467" s="17"/>
      <c r="P2467" s="17"/>
      <c r="Q2467" s="17"/>
    </row>
    <row r="2468" spans="2:17">
      <c r="B2468" s="17"/>
      <c r="C2468" s="16" t="str">
        <f>IFERROR(VLOOKUP(DATA!#REF!,DATA!#REF!,1,FALSE),"")</f>
        <v/>
      </c>
      <c r="D2468" s="16" t="str">
        <f>IFERROR(VLOOKUP(C2468,DATA!#REF!,2,FALSE),"")</f>
        <v/>
      </c>
      <c r="I2468" s="17"/>
      <c r="J2468" s="17"/>
      <c r="P2468" s="17"/>
      <c r="Q2468" s="17"/>
    </row>
    <row r="2469" spans="2:17">
      <c r="B2469" s="17"/>
      <c r="C2469" s="16" t="str">
        <f>IFERROR(VLOOKUP(DATA!#REF!,DATA!#REF!,1,FALSE),"")</f>
        <v/>
      </c>
      <c r="D2469" s="16" t="str">
        <f>IFERROR(VLOOKUP(C2469,DATA!#REF!,2,FALSE),"")</f>
        <v/>
      </c>
      <c r="I2469" s="17"/>
      <c r="J2469" s="17"/>
      <c r="P2469" s="17"/>
      <c r="Q2469" s="17"/>
    </row>
    <row r="2470" spans="2:17">
      <c r="B2470" s="17"/>
      <c r="C2470" s="16" t="str">
        <f>IFERROR(VLOOKUP(DATA!#REF!,DATA!#REF!,1,FALSE),"")</f>
        <v/>
      </c>
      <c r="D2470" s="16" t="str">
        <f>IFERROR(VLOOKUP(C2470,DATA!#REF!,2,FALSE),"")</f>
        <v/>
      </c>
      <c r="I2470" s="17"/>
      <c r="J2470" s="17"/>
      <c r="P2470" s="17"/>
      <c r="Q2470" s="17"/>
    </row>
    <row r="2471" spans="2:17">
      <c r="B2471" s="17"/>
      <c r="C2471" s="16" t="str">
        <f>IFERROR(VLOOKUP(DATA!#REF!,DATA!#REF!,1,FALSE),"")</f>
        <v/>
      </c>
      <c r="D2471" s="16" t="str">
        <f>IFERROR(VLOOKUP(C2471,DATA!#REF!,2,FALSE),"")</f>
        <v/>
      </c>
      <c r="I2471" s="17"/>
      <c r="J2471" s="17"/>
      <c r="P2471" s="17"/>
      <c r="Q2471" s="17"/>
    </row>
    <row r="2472" spans="2:17">
      <c r="B2472" s="17"/>
      <c r="C2472" s="16" t="str">
        <f>IFERROR(VLOOKUP(DATA!#REF!,DATA!#REF!,1,FALSE),"")</f>
        <v/>
      </c>
      <c r="D2472" s="16" t="str">
        <f>IFERROR(VLOOKUP(C2472,DATA!#REF!,2,FALSE),"")</f>
        <v/>
      </c>
      <c r="I2472" s="17"/>
      <c r="J2472" s="17"/>
      <c r="P2472" s="17"/>
      <c r="Q2472" s="17"/>
    </row>
    <row r="2473" spans="2:17">
      <c r="B2473" s="17"/>
      <c r="C2473" s="16" t="str">
        <f>IFERROR(VLOOKUP(DATA!#REF!,DATA!#REF!,1,FALSE),"")</f>
        <v/>
      </c>
      <c r="D2473" s="16" t="str">
        <f>IFERROR(VLOOKUP(C2473,DATA!#REF!,2,FALSE),"")</f>
        <v/>
      </c>
      <c r="I2473" s="17"/>
      <c r="J2473" s="17"/>
      <c r="P2473" s="17"/>
      <c r="Q2473" s="17"/>
    </row>
    <row r="2474" spans="2:17">
      <c r="B2474" s="17"/>
      <c r="C2474" s="16" t="str">
        <f>IFERROR(VLOOKUP(DATA!#REF!,DATA!#REF!,1,FALSE),"")</f>
        <v/>
      </c>
      <c r="D2474" s="16" t="str">
        <f>IFERROR(VLOOKUP(C2474,DATA!#REF!,2,FALSE),"")</f>
        <v/>
      </c>
      <c r="I2474" s="17"/>
      <c r="J2474" s="17"/>
      <c r="P2474" s="17"/>
      <c r="Q2474" s="17"/>
    </row>
    <row r="2475" spans="2:17">
      <c r="B2475" s="17"/>
      <c r="C2475" s="16" t="str">
        <f>IFERROR(VLOOKUP(DATA!#REF!,DATA!#REF!,1,FALSE),"")</f>
        <v/>
      </c>
      <c r="D2475" s="16" t="str">
        <f>IFERROR(VLOOKUP(C2475,DATA!#REF!,2,FALSE),"")</f>
        <v/>
      </c>
      <c r="I2475" s="17"/>
      <c r="J2475" s="17"/>
      <c r="P2475" s="17"/>
      <c r="Q2475" s="17"/>
    </row>
    <row r="2476" spans="2:17">
      <c r="B2476" s="17"/>
      <c r="C2476" s="16" t="str">
        <f>IFERROR(VLOOKUP(DATA!#REF!,DATA!#REF!,1,FALSE),"")</f>
        <v/>
      </c>
      <c r="D2476" s="16" t="str">
        <f>IFERROR(VLOOKUP(C2476,DATA!#REF!,2,FALSE),"")</f>
        <v/>
      </c>
      <c r="I2476" s="17"/>
      <c r="J2476" s="17"/>
      <c r="P2476" s="17"/>
      <c r="Q2476" s="17"/>
    </row>
    <row r="2477" spans="2:17">
      <c r="B2477" s="17"/>
      <c r="C2477" s="16" t="str">
        <f>IFERROR(VLOOKUP(DATA!#REF!,DATA!#REF!,1,FALSE),"")</f>
        <v/>
      </c>
      <c r="D2477" s="16" t="str">
        <f>IFERROR(VLOOKUP(C2477,DATA!#REF!,2,FALSE),"")</f>
        <v/>
      </c>
      <c r="I2477" s="17"/>
      <c r="J2477" s="17"/>
      <c r="P2477" s="17"/>
      <c r="Q2477" s="17"/>
    </row>
    <row r="2478" spans="2:17">
      <c r="B2478" s="17"/>
      <c r="C2478" s="16" t="str">
        <f>IFERROR(VLOOKUP(DATA!#REF!,DATA!#REF!,1,FALSE),"")</f>
        <v/>
      </c>
      <c r="D2478" s="16" t="str">
        <f>IFERROR(VLOOKUP(C2478,DATA!#REF!,2,FALSE),"")</f>
        <v/>
      </c>
      <c r="I2478" s="17"/>
      <c r="J2478" s="17"/>
      <c r="P2478" s="17"/>
      <c r="Q2478" s="17"/>
    </row>
    <row r="2479" spans="2:17">
      <c r="B2479" s="17"/>
      <c r="C2479" s="16" t="str">
        <f>IFERROR(VLOOKUP(DATA!#REF!,DATA!#REF!,1,FALSE),"")</f>
        <v/>
      </c>
      <c r="D2479" s="16" t="str">
        <f>IFERROR(VLOOKUP(C2479,DATA!#REF!,2,FALSE),"")</f>
        <v/>
      </c>
      <c r="I2479" s="17"/>
      <c r="J2479" s="17"/>
      <c r="P2479" s="17"/>
      <c r="Q2479" s="17"/>
    </row>
    <row r="2480" spans="2:17">
      <c r="B2480" s="17"/>
      <c r="C2480" s="16" t="str">
        <f>IFERROR(VLOOKUP(DATA!#REF!,DATA!#REF!,1,FALSE),"")</f>
        <v/>
      </c>
      <c r="D2480" s="16" t="str">
        <f>IFERROR(VLOOKUP(C2480,DATA!#REF!,2,FALSE),"")</f>
        <v/>
      </c>
      <c r="I2480" s="17"/>
      <c r="J2480" s="17"/>
      <c r="P2480" s="17"/>
      <c r="Q2480" s="17"/>
    </row>
    <row r="2481" spans="2:17">
      <c r="B2481" s="17"/>
      <c r="C2481" s="16" t="str">
        <f>IFERROR(VLOOKUP(DATA!#REF!,DATA!#REF!,1,FALSE),"")</f>
        <v/>
      </c>
      <c r="D2481" s="16" t="str">
        <f>IFERROR(VLOOKUP(C2481,DATA!#REF!,2,FALSE),"")</f>
        <v/>
      </c>
      <c r="I2481" s="17"/>
      <c r="J2481" s="17"/>
      <c r="P2481" s="17"/>
      <c r="Q2481" s="17"/>
    </row>
    <row r="2482" spans="2:17">
      <c r="B2482" s="17"/>
      <c r="C2482" s="16" t="str">
        <f>IFERROR(VLOOKUP(DATA!#REF!,DATA!#REF!,1,FALSE),"")</f>
        <v/>
      </c>
      <c r="D2482" s="16" t="str">
        <f>IFERROR(VLOOKUP(C2482,DATA!#REF!,2,FALSE),"")</f>
        <v/>
      </c>
      <c r="I2482" s="17"/>
      <c r="J2482" s="17"/>
      <c r="P2482" s="17"/>
      <c r="Q2482" s="17"/>
    </row>
    <row r="2483" spans="2:17">
      <c r="B2483" s="17"/>
      <c r="C2483" s="16" t="str">
        <f>IFERROR(VLOOKUP(DATA!#REF!,DATA!#REF!,1,FALSE),"")</f>
        <v/>
      </c>
      <c r="D2483" s="16" t="str">
        <f>IFERROR(VLOOKUP(C2483,DATA!#REF!,2,FALSE),"")</f>
        <v/>
      </c>
      <c r="I2483" s="17"/>
      <c r="J2483" s="17"/>
      <c r="P2483" s="17"/>
      <c r="Q2483" s="17"/>
    </row>
    <row r="2484" spans="2:17">
      <c r="B2484" s="17"/>
      <c r="C2484" s="16" t="str">
        <f>IFERROR(VLOOKUP(DATA!#REF!,DATA!#REF!,1,FALSE),"")</f>
        <v/>
      </c>
      <c r="D2484" s="16" t="str">
        <f>IFERROR(VLOOKUP(C2484,DATA!#REF!,2,FALSE),"")</f>
        <v/>
      </c>
      <c r="I2484" s="17"/>
      <c r="J2484" s="17"/>
      <c r="P2484" s="17"/>
      <c r="Q2484" s="17"/>
    </row>
    <row r="2485" spans="2:17">
      <c r="B2485" s="17"/>
      <c r="C2485" s="16" t="str">
        <f>IFERROR(VLOOKUP(DATA!#REF!,DATA!#REF!,1,FALSE),"")</f>
        <v/>
      </c>
      <c r="D2485" s="16" t="str">
        <f>IFERROR(VLOOKUP(C2485,DATA!#REF!,2,FALSE),"")</f>
        <v/>
      </c>
      <c r="I2485" s="17"/>
      <c r="J2485" s="17"/>
      <c r="P2485" s="17"/>
      <c r="Q2485" s="17"/>
    </row>
    <row r="2486" spans="2:17">
      <c r="B2486" s="17"/>
      <c r="C2486" s="16" t="str">
        <f>IFERROR(VLOOKUP(DATA!#REF!,DATA!#REF!,1,FALSE),"")</f>
        <v/>
      </c>
      <c r="D2486" s="16" t="str">
        <f>IFERROR(VLOOKUP(C2486,DATA!#REF!,2,FALSE),"")</f>
        <v/>
      </c>
      <c r="I2486" s="17"/>
      <c r="J2486" s="17"/>
      <c r="P2486" s="17"/>
      <c r="Q2486" s="17"/>
    </row>
    <row r="2487" spans="2:17">
      <c r="B2487" s="17"/>
      <c r="C2487" s="16" t="str">
        <f>IFERROR(VLOOKUP(DATA!#REF!,DATA!#REF!,1,FALSE),"")</f>
        <v/>
      </c>
      <c r="D2487" s="16" t="str">
        <f>IFERROR(VLOOKUP(C2487,DATA!#REF!,2,FALSE),"")</f>
        <v/>
      </c>
      <c r="I2487" s="17"/>
      <c r="J2487" s="17"/>
      <c r="P2487" s="17"/>
      <c r="Q2487" s="17"/>
    </row>
    <row r="2488" spans="2:17">
      <c r="B2488" s="17"/>
      <c r="C2488" s="16" t="str">
        <f>IFERROR(VLOOKUP(DATA!#REF!,DATA!#REF!,1,FALSE),"")</f>
        <v/>
      </c>
      <c r="D2488" s="16" t="str">
        <f>IFERROR(VLOOKUP(C2488,DATA!#REF!,2,FALSE),"")</f>
        <v/>
      </c>
      <c r="I2488" s="17"/>
      <c r="J2488" s="17"/>
      <c r="P2488" s="17"/>
      <c r="Q2488" s="17"/>
    </row>
    <row r="2489" spans="2:17">
      <c r="B2489" s="17"/>
      <c r="C2489" s="16" t="str">
        <f>IFERROR(VLOOKUP(DATA!#REF!,DATA!#REF!,1,FALSE),"")</f>
        <v/>
      </c>
      <c r="D2489" s="16" t="str">
        <f>IFERROR(VLOOKUP(C2489,DATA!#REF!,2,FALSE),"")</f>
        <v/>
      </c>
      <c r="I2489" s="17"/>
      <c r="J2489" s="17"/>
      <c r="P2489" s="17"/>
      <c r="Q2489" s="17"/>
    </row>
    <row r="2490" spans="2:17">
      <c r="B2490" s="17"/>
      <c r="C2490" s="16" t="str">
        <f>IFERROR(VLOOKUP(DATA!#REF!,DATA!#REF!,1,FALSE),"")</f>
        <v/>
      </c>
      <c r="D2490" s="16" t="str">
        <f>IFERROR(VLOOKUP(C2490,DATA!#REF!,2,FALSE),"")</f>
        <v/>
      </c>
      <c r="I2490" s="17"/>
      <c r="J2490" s="17"/>
      <c r="P2490" s="17"/>
      <c r="Q2490" s="17"/>
    </row>
    <row r="2491" spans="2:17">
      <c r="B2491" s="17"/>
      <c r="C2491" s="16" t="str">
        <f>IFERROR(VLOOKUP(DATA!#REF!,DATA!#REF!,1,FALSE),"")</f>
        <v/>
      </c>
      <c r="D2491" s="16" t="str">
        <f>IFERROR(VLOOKUP(C2491,DATA!#REF!,2,FALSE),"")</f>
        <v/>
      </c>
      <c r="I2491" s="17"/>
      <c r="J2491" s="17"/>
      <c r="P2491" s="17"/>
      <c r="Q2491" s="17"/>
    </row>
    <row r="2492" spans="2:17">
      <c r="B2492" s="17"/>
      <c r="C2492" s="16" t="str">
        <f>IFERROR(VLOOKUP(DATA!#REF!,DATA!#REF!,1,FALSE),"")</f>
        <v/>
      </c>
      <c r="D2492" s="16" t="str">
        <f>IFERROR(VLOOKUP(C2492,DATA!#REF!,2,FALSE),"")</f>
        <v/>
      </c>
      <c r="I2492" s="17"/>
      <c r="J2492" s="17"/>
      <c r="P2492" s="17"/>
      <c r="Q2492" s="17"/>
    </row>
    <row r="2493" spans="2:17">
      <c r="B2493" s="17"/>
      <c r="C2493" s="16" t="str">
        <f>IFERROR(VLOOKUP(DATA!#REF!,DATA!#REF!,1,FALSE),"")</f>
        <v/>
      </c>
      <c r="D2493" s="16" t="str">
        <f>IFERROR(VLOOKUP(C2493,DATA!#REF!,2,FALSE),"")</f>
        <v/>
      </c>
      <c r="I2493" s="17"/>
      <c r="J2493" s="17"/>
      <c r="P2493" s="17"/>
      <c r="Q2493" s="17"/>
    </row>
    <row r="2494" spans="2:17">
      <c r="B2494" s="17"/>
      <c r="C2494" s="16" t="str">
        <f>IFERROR(VLOOKUP(DATA!#REF!,DATA!#REF!,1,FALSE),"")</f>
        <v/>
      </c>
      <c r="D2494" s="16" t="str">
        <f>IFERROR(VLOOKUP(C2494,DATA!#REF!,2,FALSE),"")</f>
        <v/>
      </c>
      <c r="I2494" s="17"/>
      <c r="J2494" s="17"/>
      <c r="P2494" s="17"/>
      <c r="Q2494" s="17"/>
    </row>
    <row r="2495" spans="2:17">
      <c r="B2495" s="17"/>
      <c r="C2495" s="16" t="str">
        <f>IFERROR(VLOOKUP(DATA!#REF!,DATA!#REF!,1,FALSE),"")</f>
        <v/>
      </c>
      <c r="D2495" s="16" t="str">
        <f>IFERROR(VLOOKUP(C2495,DATA!#REF!,2,FALSE),"")</f>
        <v/>
      </c>
      <c r="I2495" s="17"/>
      <c r="J2495" s="17"/>
      <c r="P2495" s="17"/>
      <c r="Q2495" s="17"/>
    </row>
    <row r="2496" spans="2:17">
      <c r="B2496" s="17"/>
      <c r="C2496" s="16" t="str">
        <f>IFERROR(VLOOKUP(DATA!#REF!,DATA!#REF!,1,FALSE),"")</f>
        <v/>
      </c>
      <c r="D2496" s="16" t="str">
        <f>IFERROR(VLOOKUP(C2496,DATA!#REF!,2,FALSE),"")</f>
        <v/>
      </c>
      <c r="I2496" s="17"/>
      <c r="J2496" s="17"/>
      <c r="P2496" s="17"/>
      <c r="Q2496" s="17"/>
    </row>
    <row r="2497" spans="2:17">
      <c r="B2497" s="17"/>
      <c r="C2497" s="16" t="str">
        <f>IFERROR(VLOOKUP(DATA!#REF!,DATA!#REF!,1,FALSE),"")</f>
        <v/>
      </c>
      <c r="D2497" s="16" t="str">
        <f>IFERROR(VLOOKUP(C2497,DATA!#REF!,2,FALSE),"")</f>
        <v/>
      </c>
      <c r="I2497" s="17"/>
      <c r="J2497" s="17"/>
      <c r="P2497" s="17"/>
      <c r="Q2497" s="17"/>
    </row>
    <row r="2498" spans="2:17">
      <c r="B2498" s="17"/>
      <c r="C2498" s="16" t="str">
        <f>IFERROR(VLOOKUP(DATA!#REF!,DATA!#REF!,1,FALSE),"")</f>
        <v/>
      </c>
      <c r="D2498" s="16" t="str">
        <f>IFERROR(VLOOKUP(C2498,DATA!#REF!,2,FALSE),"")</f>
        <v/>
      </c>
      <c r="I2498" s="17"/>
      <c r="J2498" s="17"/>
      <c r="P2498" s="17"/>
      <c r="Q2498" s="17"/>
    </row>
    <row r="2499" spans="2:17">
      <c r="B2499" s="17"/>
      <c r="C2499" s="16" t="str">
        <f>IFERROR(VLOOKUP(DATA!#REF!,DATA!#REF!,1,FALSE),"")</f>
        <v/>
      </c>
      <c r="D2499" s="16" t="str">
        <f>IFERROR(VLOOKUP(C2499,DATA!#REF!,2,FALSE),"")</f>
        <v/>
      </c>
      <c r="I2499" s="17"/>
      <c r="J2499" s="17"/>
      <c r="P2499" s="17"/>
      <c r="Q2499" s="17"/>
    </row>
    <row r="2500" spans="2:17">
      <c r="B2500" s="17"/>
      <c r="C2500" s="16" t="str">
        <f>IFERROR(VLOOKUP(DATA!#REF!,DATA!#REF!,1,FALSE),"")</f>
        <v/>
      </c>
      <c r="D2500" s="16" t="str">
        <f>IFERROR(VLOOKUP(C2500,DATA!#REF!,2,FALSE),"")</f>
        <v/>
      </c>
      <c r="I2500" s="17"/>
      <c r="J2500" s="17"/>
      <c r="P2500" s="17"/>
      <c r="Q2500" s="17"/>
    </row>
    <row r="2501" spans="2:17">
      <c r="B2501" s="17"/>
      <c r="C2501" s="16" t="str">
        <f>IFERROR(VLOOKUP(DATA!#REF!,DATA!#REF!,1,FALSE),"")</f>
        <v/>
      </c>
      <c r="D2501" s="16" t="str">
        <f>IFERROR(VLOOKUP(C2501,DATA!#REF!,2,FALSE),"")</f>
        <v/>
      </c>
      <c r="I2501" s="17"/>
      <c r="J2501" s="17"/>
      <c r="P2501" s="17"/>
      <c r="Q2501" s="17"/>
    </row>
    <row r="2502" spans="2:17">
      <c r="B2502" s="17"/>
      <c r="C2502" s="16" t="str">
        <f>IFERROR(VLOOKUP(DATA!#REF!,DATA!#REF!,1,FALSE),"")</f>
        <v/>
      </c>
      <c r="D2502" s="16" t="str">
        <f>IFERROR(VLOOKUP(C2502,DATA!#REF!,2,FALSE),"")</f>
        <v/>
      </c>
      <c r="I2502" s="17"/>
      <c r="J2502" s="17"/>
      <c r="P2502" s="17"/>
      <c r="Q2502" s="17"/>
    </row>
    <row r="2503" spans="2:17">
      <c r="B2503" s="17"/>
      <c r="C2503" s="16" t="str">
        <f>IFERROR(VLOOKUP(DATA!#REF!,DATA!#REF!,1,FALSE),"")</f>
        <v/>
      </c>
      <c r="D2503" s="16" t="str">
        <f>IFERROR(VLOOKUP(C2503,DATA!#REF!,2,FALSE),"")</f>
        <v/>
      </c>
      <c r="I2503" s="17"/>
      <c r="J2503" s="17"/>
      <c r="P2503" s="17"/>
      <c r="Q2503" s="17"/>
    </row>
    <row r="2504" spans="2:17">
      <c r="B2504" s="17"/>
      <c r="C2504" s="16" t="str">
        <f>IFERROR(VLOOKUP(DATA!#REF!,DATA!#REF!,1,FALSE),"")</f>
        <v/>
      </c>
      <c r="D2504" s="16" t="str">
        <f>IFERROR(VLOOKUP(C2504,DATA!#REF!,2,FALSE),"")</f>
        <v/>
      </c>
      <c r="I2504" s="17"/>
      <c r="J2504" s="17"/>
      <c r="P2504" s="17"/>
      <c r="Q2504" s="17"/>
    </row>
    <row r="2505" spans="2:17">
      <c r="B2505" s="17"/>
      <c r="C2505" s="16" t="str">
        <f>IFERROR(VLOOKUP(DATA!#REF!,DATA!#REF!,1,FALSE),"")</f>
        <v/>
      </c>
      <c r="D2505" s="16" t="str">
        <f>IFERROR(VLOOKUP(C2505,DATA!#REF!,2,FALSE),"")</f>
        <v/>
      </c>
      <c r="I2505" s="17"/>
      <c r="J2505" s="17"/>
      <c r="P2505" s="17"/>
      <c r="Q2505" s="17"/>
    </row>
    <row r="2506" spans="2:17">
      <c r="B2506" s="17"/>
      <c r="C2506" s="16" t="str">
        <f>IFERROR(VLOOKUP(DATA!#REF!,DATA!#REF!,1,FALSE),"")</f>
        <v/>
      </c>
      <c r="D2506" s="16" t="str">
        <f>IFERROR(VLOOKUP(C2506,DATA!#REF!,2,FALSE),"")</f>
        <v/>
      </c>
      <c r="I2506" s="17"/>
      <c r="J2506" s="17"/>
      <c r="P2506" s="17"/>
      <c r="Q2506" s="17"/>
    </row>
    <row r="2507" spans="2:17">
      <c r="B2507" s="17"/>
      <c r="C2507" s="16" t="str">
        <f>IFERROR(VLOOKUP(DATA!#REF!,DATA!#REF!,1,FALSE),"")</f>
        <v/>
      </c>
      <c r="D2507" s="16" t="str">
        <f>IFERROR(VLOOKUP(C2507,DATA!#REF!,2,FALSE),"")</f>
        <v/>
      </c>
      <c r="I2507" s="17"/>
      <c r="J2507" s="17"/>
      <c r="P2507" s="17"/>
      <c r="Q2507" s="17"/>
    </row>
    <row r="2508" spans="2:17">
      <c r="B2508" s="17"/>
      <c r="C2508" s="16" t="str">
        <f>IFERROR(VLOOKUP(DATA!#REF!,DATA!#REF!,1,FALSE),"")</f>
        <v/>
      </c>
      <c r="D2508" s="16" t="str">
        <f>IFERROR(VLOOKUP(C2508,DATA!#REF!,2,FALSE),"")</f>
        <v/>
      </c>
      <c r="I2508" s="17"/>
      <c r="J2508" s="17"/>
      <c r="P2508" s="17"/>
      <c r="Q2508" s="17"/>
    </row>
    <row r="2509" spans="2:17">
      <c r="B2509" s="17"/>
      <c r="C2509" s="16" t="str">
        <f>IFERROR(VLOOKUP(DATA!#REF!,DATA!#REF!,1,FALSE),"")</f>
        <v/>
      </c>
      <c r="D2509" s="16" t="str">
        <f>IFERROR(VLOOKUP(C2509,DATA!#REF!,2,FALSE),"")</f>
        <v/>
      </c>
      <c r="I2509" s="17"/>
      <c r="J2509" s="17"/>
      <c r="P2509" s="17"/>
      <c r="Q2509" s="17"/>
    </row>
    <row r="2510" spans="2:17">
      <c r="B2510" s="17"/>
      <c r="C2510" s="16" t="str">
        <f>IFERROR(VLOOKUP(DATA!#REF!,DATA!#REF!,1,FALSE),"")</f>
        <v/>
      </c>
      <c r="D2510" s="16" t="str">
        <f>IFERROR(VLOOKUP(C2510,DATA!#REF!,2,FALSE),"")</f>
        <v/>
      </c>
      <c r="I2510" s="17"/>
      <c r="J2510" s="17"/>
      <c r="P2510" s="17"/>
      <c r="Q2510" s="17"/>
    </row>
    <row r="2511" spans="2:17">
      <c r="B2511" s="17"/>
      <c r="C2511" s="16" t="str">
        <f>IFERROR(VLOOKUP(DATA!#REF!,DATA!#REF!,1,FALSE),"")</f>
        <v/>
      </c>
      <c r="D2511" s="16" t="str">
        <f>IFERROR(VLOOKUP(C2511,DATA!#REF!,2,FALSE),"")</f>
        <v/>
      </c>
      <c r="I2511" s="17"/>
      <c r="J2511" s="17"/>
      <c r="P2511" s="17"/>
      <c r="Q2511" s="17"/>
    </row>
    <row r="2512" spans="2:17">
      <c r="B2512" s="17"/>
      <c r="C2512" s="16" t="str">
        <f>IFERROR(VLOOKUP(DATA!#REF!,DATA!#REF!,1,FALSE),"")</f>
        <v/>
      </c>
      <c r="D2512" s="16" t="str">
        <f>IFERROR(VLOOKUP(C2512,DATA!#REF!,2,FALSE),"")</f>
        <v/>
      </c>
      <c r="I2512" s="17"/>
      <c r="J2512" s="17"/>
      <c r="P2512" s="17"/>
      <c r="Q2512" s="17"/>
    </row>
    <row r="2513" spans="2:17">
      <c r="B2513" s="17"/>
      <c r="C2513" s="16" t="str">
        <f>IFERROR(VLOOKUP(DATA!#REF!,DATA!#REF!,1,FALSE),"")</f>
        <v/>
      </c>
      <c r="D2513" s="16" t="str">
        <f>IFERROR(VLOOKUP(C2513,DATA!#REF!,2,FALSE),"")</f>
        <v/>
      </c>
      <c r="I2513" s="17"/>
      <c r="J2513" s="17"/>
      <c r="P2513" s="17"/>
      <c r="Q2513" s="17"/>
    </row>
    <row r="2514" spans="2:17">
      <c r="B2514" s="17"/>
      <c r="C2514" s="16" t="str">
        <f>IFERROR(VLOOKUP(DATA!#REF!,DATA!#REF!,1,FALSE),"")</f>
        <v/>
      </c>
      <c r="D2514" s="16" t="str">
        <f>IFERROR(VLOOKUP(C2514,DATA!#REF!,2,FALSE),"")</f>
        <v/>
      </c>
      <c r="I2514" s="17"/>
      <c r="J2514" s="17"/>
      <c r="P2514" s="17"/>
      <c r="Q2514" s="17"/>
    </row>
    <row r="2515" spans="2:17">
      <c r="B2515" s="17"/>
      <c r="C2515" s="16" t="str">
        <f>IFERROR(VLOOKUP(DATA!#REF!,DATA!#REF!,1,FALSE),"")</f>
        <v/>
      </c>
      <c r="D2515" s="16" t="str">
        <f>IFERROR(VLOOKUP(C2515,DATA!#REF!,2,FALSE),"")</f>
        <v/>
      </c>
      <c r="I2515" s="17"/>
      <c r="J2515" s="17"/>
      <c r="P2515" s="17"/>
      <c r="Q2515" s="17"/>
    </row>
    <row r="2516" spans="2:17">
      <c r="B2516" s="17"/>
      <c r="C2516" s="16" t="str">
        <f>IFERROR(VLOOKUP(DATA!#REF!,DATA!#REF!,1,FALSE),"")</f>
        <v/>
      </c>
      <c r="D2516" s="16" t="str">
        <f>IFERROR(VLOOKUP(C2516,DATA!#REF!,2,FALSE),"")</f>
        <v/>
      </c>
      <c r="I2516" s="17"/>
      <c r="J2516" s="17"/>
      <c r="P2516" s="17"/>
      <c r="Q2516" s="17"/>
    </row>
    <row r="2517" spans="2:17">
      <c r="B2517" s="17"/>
      <c r="C2517" s="16" t="str">
        <f>IFERROR(VLOOKUP(DATA!#REF!,DATA!#REF!,1,FALSE),"")</f>
        <v/>
      </c>
      <c r="D2517" s="16" t="str">
        <f>IFERROR(VLOOKUP(C2517,DATA!#REF!,2,FALSE),"")</f>
        <v/>
      </c>
      <c r="I2517" s="17"/>
      <c r="J2517" s="17"/>
      <c r="P2517" s="17"/>
      <c r="Q2517" s="17"/>
    </row>
    <row r="2518" spans="2:17">
      <c r="B2518" s="17"/>
      <c r="C2518" s="16" t="str">
        <f>IFERROR(VLOOKUP(DATA!#REF!,DATA!#REF!,1,FALSE),"")</f>
        <v/>
      </c>
      <c r="D2518" s="16" t="str">
        <f>IFERROR(VLOOKUP(C2518,DATA!#REF!,2,FALSE),"")</f>
        <v/>
      </c>
      <c r="I2518" s="17"/>
      <c r="J2518" s="17"/>
      <c r="P2518" s="17"/>
      <c r="Q2518" s="17"/>
    </row>
    <row r="2519" spans="2:17">
      <c r="B2519" s="17"/>
      <c r="C2519" s="16" t="str">
        <f>IFERROR(VLOOKUP(DATA!#REF!,DATA!#REF!,1,FALSE),"")</f>
        <v/>
      </c>
      <c r="D2519" s="16" t="str">
        <f>IFERROR(VLOOKUP(C2519,DATA!#REF!,2,FALSE),"")</f>
        <v/>
      </c>
      <c r="I2519" s="17"/>
      <c r="J2519" s="17"/>
      <c r="P2519" s="17"/>
      <c r="Q2519" s="17"/>
    </row>
    <row r="2520" spans="2:17">
      <c r="B2520" s="17"/>
      <c r="C2520" s="16" t="str">
        <f>IFERROR(VLOOKUP(DATA!#REF!,DATA!#REF!,1,FALSE),"")</f>
        <v/>
      </c>
      <c r="D2520" s="16" t="str">
        <f>IFERROR(VLOOKUP(C2520,DATA!#REF!,2,FALSE),"")</f>
        <v/>
      </c>
      <c r="I2520" s="17"/>
      <c r="J2520" s="17"/>
      <c r="P2520" s="17"/>
      <c r="Q2520" s="17"/>
    </row>
    <row r="2521" spans="2:17">
      <c r="B2521" s="17"/>
      <c r="C2521" s="16" t="str">
        <f>IFERROR(VLOOKUP(DATA!#REF!,DATA!#REF!,1,FALSE),"")</f>
        <v/>
      </c>
      <c r="D2521" s="16" t="str">
        <f>IFERROR(VLOOKUP(C2521,DATA!#REF!,2,FALSE),"")</f>
        <v/>
      </c>
      <c r="I2521" s="17"/>
      <c r="J2521" s="17"/>
      <c r="P2521" s="17"/>
      <c r="Q2521" s="17"/>
    </row>
    <row r="2522" spans="2:17">
      <c r="B2522" s="17"/>
      <c r="C2522" s="16" t="str">
        <f>IFERROR(VLOOKUP(DATA!#REF!,DATA!#REF!,1,FALSE),"")</f>
        <v/>
      </c>
      <c r="D2522" s="16" t="str">
        <f>IFERROR(VLOOKUP(C2522,DATA!#REF!,2,FALSE),"")</f>
        <v/>
      </c>
      <c r="I2522" s="17"/>
      <c r="J2522" s="17"/>
      <c r="P2522" s="17"/>
      <c r="Q2522" s="17"/>
    </row>
    <row r="2523" spans="2:17">
      <c r="B2523" s="17"/>
      <c r="C2523" s="16" t="str">
        <f>IFERROR(VLOOKUP(DATA!#REF!,DATA!#REF!,1,FALSE),"")</f>
        <v/>
      </c>
      <c r="D2523" s="16" t="str">
        <f>IFERROR(VLOOKUP(C2523,DATA!#REF!,2,FALSE),"")</f>
        <v/>
      </c>
      <c r="I2523" s="17"/>
      <c r="J2523" s="17"/>
      <c r="P2523" s="17"/>
      <c r="Q2523" s="17"/>
    </row>
    <row r="2524" spans="2:17">
      <c r="B2524" s="17"/>
      <c r="C2524" s="16" t="str">
        <f>IFERROR(VLOOKUP(DATA!#REF!,DATA!#REF!,1,FALSE),"")</f>
        <v/>
      </c>
      <c r="D2524" s="16" t="str">
        <f>IFERROR(VLOOKUP(C2524,DATA!#REF!,2,FALSE),"")</f>
        <v/>
      </c>
      <c r="I2524" s="17"/>
      <c r="J2524" s="17"/>
      <c r="P2524" s="17"/>
      <c r="Q2524" s="17"/>
    </row>
    <row r="2525" spans="2:17">
      <c r="B2525" s="17"/>
      <c r="C2525" s="16" t="str">
        <f>IFERROR(VLOOKUP(DATA!#REF!,DATA!#REF!,1,FALSE),"")</f>
        <v/>
      </c>
      <c r="D2525" s="16" t="str">
        <f>IFERROR(VLOOKUP(C2525,DATA!#REF!,2,FALSE),"")</f>
        <v/>
      </c>
      <c r="I2525" s="17"/>
      <c r="J2525" s="17"/>
      <c r="P2525" s="17"/>
      <c r="Q2525" s="17"/>
    </row>
    <row r="2526" spans="2:17">
      <c r="B2526" s="17"/>
      <c r="C2526" s="16" t="str">
        <f>IFERROR(VLOOKUP(DATA!#REF!,DATA!#REF!,1,FALSE),"")</f>
        <v/>
      </c>
      <c r="D2526" s="16" t="str">
        <f>IFERROR(VLOOKUP(C2526,DATA!#REF!,2,FALSE),"")</f>
        <v/>
      </c>
      <c r="I2526" s="17"/>
      <c r="J2526" s="17"/>
      <c r="P2526" s="17"/>
      <c r="Q2526" s="17"/>
    </row>
    <row r="2527" spans="2:17">
      <c r="B2527" s="17"/>
      <c r="C2527" s="16" t="str">
        <f>IFERROR(VLOOKUP(DATA!#REF!,DATA!#REF!,1,FALSE),"")</f>
        <v/>
      </c>
      <c r="D2527" s="16" t="str">
        <f>IFERROR(VLOOKUP(C2527,DATA!#REF!,2,FALSE),"")</f>
        <v/>
      </c>
      <c r="I2527" s="17"/>
      <c r="J2527" s="17"/>
      <c r="P2527" s="17"/>
      <c r="Q2527" s="17"/>
    </row>
    <row r="2528" spans="2:17">
      <c r="B2528" s="17"/>
      <c r="C2528" s="16" t="str">
        <f>IFERROR(VLOOKUP(DATA!#REF!,DATA!#REF!,1,FALSE),"")</f>
        <v/>
      </c>
      <c r="D2528" s="16" t="str">
        <f>IFERROR(VLOOKUP(C2528,DATA!#REF!,2,FALSE),"")</f>
        <v/>
      </c>
      <c r="I2528" s="17"/>
      <c r="J2528" s="17"/>
      <c r="P2528" s="17"/>
      <c r="Q2528" s="17"/>
    </row>
    <row r="2529" spans="2:17">
      <c r="B2529" s="17"/>
      <c r="C2529" s="16" t="str">
        <f>IFERROR(VLOOKUP(DATA!#REF!,DATA!#REF!,1,FALSE),"")</f>
        <v/>
      </c>
      <c r="D2529" s="16" t="str">
        <f>IFERROR(VLOOKUP(C2529,DATA!#REF!,2,FALSE),"")</f>
        <v/>
      </c>
      <c r="I2529" s="17"/>
      <c r="J2529" s="17"/>
      <c r="P2529" s="17"/>
      <c r="Q2529" s="17"/>
    </row>
    <row r="2530" spans="2:17">
      <c r="B2530" s="17"/>
      <c r="C2530" s="16" t="str">
        <f>IFERROR(VLOOKUP(DATA!#REF!,DATA!#REF!,1,FALSE),"")</f>
        <v/>
      </c>
      <c r="D2530" s="16" t="str">
        <f>IFERROR(VLOOKUP(C2530,DATA!#REF!,2,FALSE),"")</f>
        <v/>
      </c>
      <c r="I2530" s="17"/>
      <c r="J2530" s="17"/>
      <c r="P2530" s="17"/>
      <c r="Q2530" s="17"/>
    </row>
    <row r="2531" spans="2:17">
      <c r="B2531" s="17"/>
      <c r="C2531" s="16" t="str">
        <f>IFERROR(VLOOKUP(DATA!#REF!,DATA!#REF!,1,FALSE),"")</f>
        <v/>
      </c>
      <c r="D2531" s="16" t="str">
        <f>IFERROR(VLOOKUP(C2531,DATA!#REF!,2,FALSE),"")</f>
        <v/>
      </c>
      <c r="I2531" s="17"/>
      <c r="J2531" s="17"/>
      <c r="P2531" s="17"/>
      <c r="Q2531" s="17"/>
    </row>
    <row r="2532" spans="2:17">
      <c r="B2532" s="17"/>
      <c r="C2532" s="16" t="str">
        <f>IFERROR(VLOOKUP(DATA!#REF!,DATA!#REF!,1,FALSE),"")</f>
        <v/>
      </c>
      <c r="D2532" s="16" t="str">
        <f>IFERROR(VLOOKUP(C2532,DATA!#REF!,2,FALSE),"")</f>
        <v/>
      </c>
      <c r="I2532" s="17"/>
      <c r="J2532" s="17"/>
      <c r="P2532" s="17"/>
      <c r="Q2532" s="17"/>
    </row>
    <row r="2533" spans="2:17">
      <c r="B2533" s="17"/>
      <c r="C2533" s="16" t="str">
        <f>IFERROR(VLOOKUP(DATA!#REF!,DATA!#REF!,1,FALSE),"")</f>
        <v/>
      </c>
      <c r="D2533" s="16" t="str">
        <f>IFERROR(VLOOKUP(C2533,DATA!#REF!,2,FALSE),"")</f>
        <v/>
      </c>
      <c r="I2533" s="17"/>
      <c r="J2533" s="17"/>
      <c r="P2533" s="17"/>
      <c r="Q2533" s="17"/>
    </row>
    <row r="2534" spans="2:17">
      <c r="B2534" s="17"/>
      <c r="C2534" s="16" t="str">
        <f>IFERROR(VLOOKUP(DATA!#REF!,DATA!#REF!,1,FALSE),"")</f>
        <v/>
      </c>
      <c r="D2534" s="16" t="str">
        <f>IFERROR(VLOOKUP(C2534,DATA!#REF!,2,FALSE),"")</f>
        <v/>
      </c>
      <c r="I2534" s="17"/>
      <c r="J2534" s="17"/>
      <c r="P2534" s="17"/>
      <c r="Q2534" s="17"/>
    </row>
    <row r="2535" spans="2:17">
      <c r="B2535" s="17"/>
      <c r="C2535" s="16" t="str">
        <f>IFERROR(VLOOKUP(DATA!#REF!,DATA!#REF!,1,FALSE),"")</f>
        <v/>
      </c>
      <c r="D2535" s="16" t="str">
        <f>IFERROR(VLOOKUP(C2535,DATA!#REF!,2,FALSE),"")</f>
        <v/>
      </c>
      <c r="I2535" s="17"/>
      <c r="J2535" s="17"/>
      <c r="P2535" s="17"/>
      <c r="Q2535" s="17"/>
    </row>
    <row r="2536" spans="2:17">
      <c r="B2536" s="17"/>
      <c r="C2536" s="16" t="str">
        <f>IFERROR(VLOOKUP(DATA!#REF!,DATA!#REF!,1,FALSE),"")</f>
        <v/>
      </c>
      <c r="D2536" s="16" t="str">
        <f>IFERROR(VLOOKUP(C2536,DATA!#REF!,2,FALSE),"")</f>
        <v/>
      </c>
      <c r="I2536" s="17"/>
      <c r="J2536" s="17"/>
      <c r="P2536" s="17"/>
      <c r="Q2536" s="17"/>
    </row>
    <row r="2537" spans="2:17">
      <c r="B2537" s="17"/>
      <c r="C2537" s="16" t="str">
        <f>IFERROR(VLOOKUP(DATA!#REF!,DATA!#REF!,1,FALSE),"")</f>
        <v/>
      </c>
      <c r="D2537" s="16" t="str">
        <f>IFERROR(VLOOKUP(C2537,DATA!#REF!,2,FALSE),"")</f>
        <v/>
      </c>
      <c r="I2537" s="17"/>
      <c r="J2537" s="17"/>
      <c r="P2537" s="17"/>
      <c r="Q2537" s="17"/>
    </row>
    <row r="2538" spans="2:17">
      <c r="B2538" s="17"/>
      <c r="C2538" s="16" t="str">
        <f>IFERROR(VLOOKUP(DATA!#REF!,DATA!#REF!,1,FALSE),"")</f>
        <v/>
      </c>
      <c r="D2538" s="16" t="str">
        <f>IFERROR(VLOOKUP(C2538,DATA!#REF!,2,FALSE),"")</f>
        <v/>
      </c>
      <c r="I2538" s="17"/>
      <c r="J2538" s="17"/>
      <c r="P2538" s="17"/>
      <c r="Q2538" s="17"/>
    </row>
    <row r="2539" spans="2:17">
      <c r="B2539" s="17"/>
      <c r="C2539" s="16" t="str">
        <f>IFERROR(VLOOKUP(DATA!#REF!,DATA!#REF!,1,FALSE),"")</f>
        <v/>
      </c>
      <c r="D2539" s="16" t="str">
        <f>IFERROR(VLOOKUP(C2539,DATA!#REF!,2,FALSE),"")</f>
        <v/>
      </c>
      <c r="I2539" s="17"/>
      <c r="J2539" s="17"/>
      <c r="P2539" s="17"/>
      <c r="Q2539" s="17"/>
    </row>
    <row r="2540" spans="2:17">
      <c r="B2540" s="17"/>
      <c r="C2540" s="16" t="str">
        <f>IFERROR(VLOOKUP(DATA!#REF!,DATA!#REF!,1,FALSE),"")</f>
        <v/>
      </c>
      <c r="D2540" s="16" t="str">
        <f>IFERROR(VLOOKUP(C2540,DATA!#REF!,2,FALSE),"")</f>
        <v/>
      </c>
      <c r="I2540" s="17"/>
      <c r="J2540" s="17"/>
      <c r="P2540" s="17"/>
      <c r="Q2540" s="17"/>
    </row>
    <row r="2541" spans="2:17">
      <c r="B2541" s="17"/>
      <c r="C2541" s="16" t="str">
        <f>IFERROR(VLOOKUP(DATA!#REF!,DATA!#REF!,1,FALSE),"")</f>
        <v/>
      </c>
      <c r="D2541" s="16" t="str">
        <f>IFERROR(VLOOKUP(C2541,DATA!#REF!,2,FALSE),"")</f>
        <v/>
      </c>
      <c r="I2541" s="17"/>
      <c r="J2541" s="17"/>
      <c r="P2541" s="17"/>
      <c r="Q2541" s="17"/>
    </row>
    <row r="2542" spans="2:17">
      <c r="B2542" s="17"/>
      <c r="C2542" s="16" t="str">
        <f>IFERROR(VLOOKUP(DATA!#REF!,DATA!#REF!,1,FALSE),"")</f>
        <v/>
      </c>
      <c r="D2542" s="16" t="str">
        <f>IFERROR(VLOOKUP(C2542,DATA!#REF!,2,FALSE),"")</f>
        <v/>
      </c>
      <c r="I2542" s="17"/>
      <c r="J2542" s="17"/>
      <c r="P2542" s="17"/>
      <c r="Q2542" s="17"/>
    </row>
    <row r="2543" spans="2:17">
      <c r="B2543" s="17"/>
      <c r="C2543" s="16" t="str">
        <f>IFERROR(VLOOKUP(DATA!#REF!,DATA!#REF!,1,FALSE),"")</f>
        <v/>
      </c>
      <c r="D2543" s="16" t="str">
        <f>IFERROR(VLOOKUP(C2543,DATA!#REF!,2,FALSE),"")</f>
        <v/>
      </c>
      <c r="I2543" s="17"/>
      <c r="J2543" s="17"/>
      <c r="P2543" s="17"/>
      <c r="Q2543" s="17"/>
    </row>
    <row r="2544" spans="2:17">
      <c r="B2544" s="17"/>
      <c r="C2544" s="16" t="str">
        <f>IFERROR(VLOOKUP(DATA!#REF!,DATA!#REF!,1,FALSE),"")</f>
        <v/>
      </c>
      <c r="D2544" s="16" t="str">
        <f>IFERROR(VLOOKUP(C2544,DATA!#REF!,2,FALSE),"")</f>
        <v/>
      </c>
      <c r="I2544" s="17"/>
      <c r="J2544" s="17"/>
      <c r="P2544" s="17"/>
      <c r="Q2544" s="17"/>
    </row>
    <row r="2545" spans="2:17">
      <c r="B2545" s="17"/>
      <c r="C2545" s="16" t="str">
        <f>IFERROR(VLOOKUP(DATA!#REF!,DATA!#REF!,1,FALSE),"")</f>
        <v/>
      </c>
      <c r="D2545" s="16" t="str">
        <f>IFERROR(VLOOKUP(C2545,DATA!#REF!,2,FALSE),"")</f>
        <v/>
      </c>
      <c r="I2545" s="17"/>
      <c r="J2545" s="17"/>
      <c r="P2545" s="17"/>
      <c r="Q2545" s="17"/>
    </row>
    <row r="2546" spans="2:17">
      <c r="B2546" s="17"/>
      <c r="C2546" s="16" t="str">
        <f>IFERROR(VLOOKUP(DATA!#REF!,DATA!#REF!,1,FALSE),"")</f>
        <v/>
      </c>
      <c r="D2546" s="16" t="str">
        <f>IFERROR(VLOOKUP(C2546,DATA!#REF!,2,FALSE),"")</f>
        <v/>
      </c>
      <c r="I2546" s="17"/>
      <c r="J2546" s="17"/>
      <c r="P2546" s="17"/>
      <c r="Q2546" s="17"/>
    </row>
    <row r="2547" spans="2:17">
      <c r="B2547" s="17"/>
      <c r="C2547" s="16" t="str">
        <f>IFERROR(VLOOKUP(DATA!#REF!,DATA!#REF!,1,FALSE),"")</f>
        <v/>
      </c>
      <c r="D2547" s="16" t="str">
        <f>IFERROR(VLOOKUP(C2547,DATA!#REF!,2,FALSE),"")</f>
        <v/>
      </c>
      <c r="I2547" s="17"/>
      <c r="J2547" s="17"/>
      <c r="P2547" s="17"/>
      <c r="Q2547" s="17"/>
    </row>
    <row r="2548" spans="2:17">
      <c r="B2548" s="17"/>
      <c r="C2548" s="16" t="str">
        <f>IFERROR(VLOOKUP(DATA!#REF!,DATA!#REF!,1,FALSE),"")</f>
        <v/>
      </c>
      <c r="D2548" s="16" t="str">
        <f>IFERROR(VLOOKUP(C2548,DATA!#REF!,2,FALSE),"")</f>
        <v/>
      </c>
      <c r="I2548" s="17"/>
      <c r="J2548" s="17"/>
      <c r="P2548" s="17"/>
      <c r="Q2548" s="17"/>
    </row>
    <row r="2549" spans="2:17">
      <c r="B2549" s="17"/>
      <c r="C2549" s="16" t="str">
        <f>IFERROR(VLOOKUP(DATA!#REF!,DATA!#REF!,1,FALSE),"")</f>
        <v/>
      </c>
      <c r="D2549" s="16" t="str">
        <f>IFERROR(VLOOKUP(C2549,DATA!#REF!,2,FALSE),"")</f>
        <v/>
      </c>
      <c r="I2549" s="17"/>
      <c r="J2549" s="17"/>
      <c r="P2549" s="17"/>
      <c r="Q2549" s="17"/>
    </row>
    <row r="2550" spans="2:17">
      <c r="B2550" s="17"/>
      <c r="C2550" s="16" t="str">
        <f>IFERROR(VLOOKUP(DATA!#REF!,DATA!#REF!,1,FALSE),"")</f>
        <v/>
      </c>
      <c r="D2550" s="16" t="str">
        <f>IFERROR(VLOOKUP(C2550,DATA!#REF!,2,FALSE),"")</f>
        <v/>
      </c>
      <c r="I2550" s="17"/>
      <c r="J2550" s="17"/>
      <c r="P2550" s="17"/>
      <c r="Q2550" s="17"/>
    </row>
    <row r="2551" spans="2:17">
      <c r="B2551" s="17"/>
      <c r="C2551" s="16" t="str">
        <f>IFERROR(VLOOKUP(DATA!#REF!,DATA!#REF!,1,FALSE),"")</f>
        <v/>
      </c>
      <c r="D2551" s="16" t="str">
        <f>IFERROR(VLOOKUP(C2551,DATA!#REF!,2,FALSE),"")</f>
        <v/>
      </c>
      <c r="I2551" s="17"/>
      <c r="J2551" s="17"/>
      <c r="P2551" s="17"/>
      <c r="Q2551" s="17"/>
    </row>
    <row r="2552" spans="2:17">
      <c r="B2552" s="17"/>
      <c r="C2552" s="16" t="str">
        <f>IFERROR(VLOOKUP(DATA!#REF!,DATA!#REF!,1,FALSE),"")</f>
        <v/>
      </c>
      <c r="D2552" s="16" t="str">
        <f>IFERROR(VLOOKUP(C2552,DATA!#REF!,2,FALSE),"")</f>
        <v/>
      </c>
      <c r="I2552" s="17"/>
      <c r="J2552" s="17"/>
      <c r="P2552" s="17"/>
      <c r="Q2552" s="17"/>
    </row>
    <row r="2553" spans="2:17">
      <c r="B2553" s="17"/>
      <c r="C2553" s="16" t="str">
        <f>IFERROR(VLOOKUP(DATA!#REF!,DATA!#REF!,1,FALSE),"")</f>
        <v/>
      </c>
      <c r="D2553" s="16" t="str">
        <f>IFERROR(VLOOKUP(C2553,DATA!#REF!,2,FALSE),"")</f>
        <v/>
      </c>
      <c r="I2553" s="17"/>
      <c r="J2553" s="17"/>
      <c r="P2553" s="17"/>
      <c r="Q2553" s="17"/>
    </row>
    <row r="2554" spans="2:17">
      <c r="B2554" s="17"/>
      <c r="C2554" s="16" t="str">
        <f>IFERROR(VLOOKUP(DATA!#REF!,DATA!#REF!,1,FALSE),"")</f>
        <v/>
      </c>
      <c r="D2554" s="16" t="str">
        <f>IFERROR(VLOOKUP(C2554,DATA!#REF!,2,FALSE),"")</f>
        <v/>
      </c>
      <c r="I2554" s="17"/>
      <c r="J2554" s="17"/>
      <c r="P2554" s="17"/>
      <c r="Q2554" s="17"/>
    </row>
    <row r="2555" spans="2:17">
      <c r="B2555" s="17"/>
      <c r="C2555" s="16" t="str">
        <f>IFERROR(VLOOKUP(DATA!#REF!,DATA!#REF!,1,FALSE),"")</f>
        <v/>
      </c>
      <c r="D2555" s="16" t="str">
        <f>IFERROR(VLOOKUP(C2555,DATA!#REF!,2,FALSE),"")</f>
        <v/>
      </c>
      <c r="I2555" s="17"/>
      <c r="J2555" s="17"/>
      <c r="P2555" s="17"/>
      <c r="Q2555" s="17"/>
    </row>
    <row r="2556" spans="2:17">
      <c r="B2556" s="17"/>
      <c r="C2556" s="16" t="str">
        <f>IFERROR(VLOOKUP(DATA!#REF!,DATA!#REF!,1,FALSE),"")</f>
        <v/>
      </c>
      <c r="D2556" s="16" t="str">
        <f>IFERROR(VLOOKUP(C2556,DATA!#REF!,2,FALSE),"")</f>
        <v/>
      </c>
      <c r="I2556" s="17"/>
      <c r="J2556" s="17"/>
      <c r="P2556" s="17"/>
      <c r="Q2556" s="17"/>
    </row>
    <row r="2557" spans="2:17">
      <c r="B2557" s="17"/>
      <c r="C2557" s="16" t="str">
        <f>IFERROR(VLOOKUP(DATA!#REF!,DATA!#REF!,1,FALSE),"")</f>
        <v/>
      </c>
      <c r="D2557" s="16" t="str">
        <f>IFERROR(VLOOKUP(C2557,DATA!#REF!,2,FALSE),"")</f>
        <v/>
      </c>
      <c r="I2557" s="17"/>
      <c r="J2557" s="17"/>
      <c r="P2557" s="17"/>
      <c r="Q2557" s="17"/>
    </row>
    <row r="2558" spans="2:17">
      <c r="B2558" s="17"/>
      <c r="C2558" s="16" t="str">
        <f>IFERROR(VLOOKUP(DATA!#REF!,DATA!#REF!,1,FALSE),"")</f>
        <v/>
      </c>
      <c r="D2558" s="16" t="str">
        <f>IFERROR(VLOOKUP(C2558,DATA!#REF!,2,FALSE),"")</f>
        <v/>
      </c>
      <c r="I2558" s="17"/>
      <c r="J2558" s="17"/>
      <c r="P2558" s="17"/>
      <c r="Q2558" s="17"/>
    </row>
    <row r="2559" spans="2:17">
      <c r="B2559" s="17"/>
      <c r="C2559" s="16" t="str">
        <f>IFERROR(VLOOKUP(DATA!#REF!,DATA!#REF!,1,FALSE),"")</f>
        <v/>
      </c>
      <c r="D2559" s="16" t="str">
        <f>IFERROR(VLOOKUP(C2559,DATA!#REF!,2,FALSE),"")</f>
        <v/>
      </c>
      <c r="I2559" s="17"/>
      <c r="J2559" s="17"/>
      <c r="P2559" s="17"/>
      <c r="Q2559" s="17"/>
    </row>
    <row r="2560" spans="2:17">
      <c r="B2560" s="17"/>
      <c r="C2560" s="16" t="str">
        <f>IFERROR(VLOOKUP(DATA!#REF!,DATA!#REF!,1,FALSE),"")</f>
        <v/>
      </c>
      <c r="D2560" s="16" t="str">
        <f>IFERROR(VLOOKUP(C2560,DATA!#REF!,2,FALSE),"")</f>
        <v/>
      </c>
      <c r="I2560" s="17"/>
      <c r="J2560" s="17"/>
      <c r="P2560" s="17"/>
      <c r="Q2560" s="17"/>
    </row>
    <row r="2561" spans="2:17">
      <c r="B2561" s="17"/>
      <c r="C2561" s="16" t="str">
        <f>IFERROR(VLOOKUP(DATA!#REF!,DATA!#REF!,1,FALSE),"")</f>
        <v/>
      </c>
      <c r="D2561" s="16" t="str">
        <f>IFERROR(VLOOKUP(C2561,DATA!#REF!,2,FALSE),"")</f>
        <v/>
      </c>
      <c r="I2561" s="17"/>
      <c r="J2561" s="17"/>
      <c r="P2561" s="17"/>
      <c r="Q2561" s="17"/>
    </row>
    <row r="2562" spans="2:17">
      <c r="B2562" s="17"/>
      <c r="C2562" s="16" t="str">
        <f>IFERROR(VLOOKUP(DATA!#REF!,DATA!#REF!,1,FALSE),"")</f>
        <v/>
      </c>
      <c r="D2562" s="16" t="str">
        <f>IFERROR(VLOOKUP(C2562,DATA!#REF!,2,FALSE),"")</f>
        <v/>
      </c>
      <c r="I2562" s="17"/>
      <c r="J2562" s="17"/>
      <c r="P2562" s="17"/>
      <c r="Q2562" s="17"/>
    </row>
    <row r="2563" spans="2:17">
      <c r="B2563" s="17"/>
      <c r="C2563" s="16" t="str">
        <f>IFERROR(VLOOKUP(DATA!#REF!,DATA!#REF!,1,FALSE),"")</f>
        <v/>
      </c>
      <c r="D2563" s="16" t="str">
        <f>IFERROR(VLOOKUP(C2563,DATA!#REF!,2,FALSE),"")</f>
        <v/>
      </c>
      <c r="I2563" s="17"/>
      <c r="J2563" s="17"/>
      <c r="P2563" s="17"/>
      <c r="Q2563" s="17"/>
    </row>
    <row r="2564" spans="2:17">
      <c r="B2564" s="17"/>
      <c r="C2564" s="16" t="str">
        <f>IFERROR(VLOOKUP(DATA!#REF!,DATA!#REF!,1,FALSE),"")</f>
        <v/>
      </c>
      <c r="D2564" s="16" t="str">
        <f>IFERROR(VLOOKUP(C2564,DATA!#REF!,2,FALSE),"")</f>
        <v/>
      </c>
      <c r="I2564" s="17"/>
      <c r="J2564" s="17"/>
      <c r="P2564" s="17"/>
      <c r="Q2564" s="17"/>
    </row>
    <row r="2565" spans="2:17">
      <c r="B2565" s="17"/>
      <c r="C2565" s="16" t="str">
        <f>IFERROR(VLOOKUP(DATA!#REF!,DATA!#REF!,1,FALSE),"")</f>
        <v/>
      </c>
      <c r="D2565" s="16" t="str">
        <f>IFERROR(VLOOKUP(C2565,DATA!#REF!,2,FALSE),"")</f>
        <v/>
      </c>
      <c r="I2565" s="17"/>
      <c r="J2565" s="17"/>
      <c r="P2565" s="17"/>
      <c r="Q2565" s="17"/>
    </row>
    <row r="2566" spans="2:17">
      <c r="B2566" s="17"/>
      <c r="C2566" s="16" t="str">
        <f>IFERROR(VLOOKUP(DATA!#REF!,DATA!#REF!,1,FALSE),"")</f>
        <v/>
      </c>
      <c r="D2566" s="16" t="str">
        <f>IFERROR(VLOOKUP(C2566,DATA!#REF!,2,FALSE),"")</f>
        <v/>
      </c>
      <c r="I2566" s="17"/>
      <c r="J2566" s="17"/>
      <c r="P2566" s="17"/>
      <c r="Q2566" s="17"/>
    </row>
    <row r="2567" spans="2:17">
      <c r="B2567" s="17"/>
      <c r="C2567" s="16" t="str">
        <f>IFERROR(VLOOKUP(DATA!#REF!,DATA!#REF!,1,FALSE),"")</f>
        <v/>
      </c>
      <c r="D2567" s="16" t="str">
        <f>IFERROR(VLOOKUP(C2567,DATA!#REF!,2,FALSE),"")</f>
        <v/>
      </c>
      <c r="I2567" s="17"/>
      <c r="J2567" s="17"/>
      <c r="P2567" s="17"/>
      <c r="Q2567" s="17"/>
    </row>
    <row r="2568" spans="2:17">
      <c r="B2568" s="17"/>
      <c r="C2568" s="16" t="str">
        <f>IFERROR(VLOOKUP(DATA!#REF!,DATA!#REF!,1,FALSE),"")</f>
        <v/>
      </c>
      <c r="D2568" s="16" t="str">
        <f>IFERROR(VLOOKUP(C2568,DATA!#REF!,2,FALSE),"")</f>
        <v/>
      </c>
      <c r="I2568" s="17"/>
      <c r="J2568" s="17"/>
      <c r="P2568" s="17"/>
      <c r="Q2568" s="17"/>
    </row>
    <row r="2569" spans="2:17">
      <c r="B2569" s="17"/>
      <c r="C2569" s="16" t="str">
        <f>IFERROR(VLOOKUP(DATA!#REF!,DATA!#REF!,1,FALSE),"")</f>
        <v/>
      </c>
      <c r="D2569" s="16" t="str">
        <f>IFERROR(VLOOKUP(C2569,DATA!#REF!,2,FALSE),"")</f>
        <v/>
      </c>
      <c r="I2569" s="17"/>
      <c r="J2569" s="17"/>
      <c r="P2569" s="17"/>
      <c r="Q2569" s="17"/>
    </row>
    <row r="2570" spans="2:17">
      <c r="B2570" s="17"/>
      <c r="C2570" s="16" t="str">
        <f>IFERROR(VLOOKUP(DATA!#REF!,DATA!#REF!,1,FALSE),"")</f>
        <v/>
      </c>
      <c r="D2570" s="16" t="str">
        <f>IFERROR(VLOOKUP(C2570,DATA!#REF!,2,FALSE),"")</f>
        <v/>
      </c>
      <c r="I2570" s="17"/>
      <c r="J2570" s="17"/>
      <c r="P2570" s="17"/>
      <c r="Q2570" s="17"/>
    </row>
    <row r="2571" spans="2:17">
      <c r="B2571" s="17"/>
      <c r="C2571" s="16" t="str">
        <f>IFERROR(VLOOKUP(DATA!#REF!,DATA!#REF!,1,FALSE),"")</f>
        <v/>
      </c>
      <c r="D2571" s="16" t="str">
        <f>IFERROR(VLOOKUP(C2571,DATA!#REF!,2,FALSE),"")</f>
        <v/>
      </c>
      <c r="I2571" s="17"/>
      <c r="J2571" s="17"/>
      <c r="P2571" s="17"/>
      <c r="Q2571" s="17"/>
    </row>
    <row r="2572" spans="2:17">
      <c r="B2572" s="17"/>
      <c r="C2572" s="16" t="str">
        <f>IFERROR(VLOOKUP(DATA!#REF!,DATA!#REF!,1,FALSE),"")</f>
        <v/>
      </c>
      <c r="D2572" s="16" t="str">
        <f>IFERROR(VLOOKUP(C2572,DATA!#REF!,2,FALSE),"")</f>
        <v/>
      </c>
      <c r="I2572" s="17"/>
      <c r="J2572" s="17"/>
      <c r="P2572" s="17"/>
      <c r="Q2572" s="17"/>
    </row>
    <row r="2573" spans="2:17">
      <c r="B2573" s="17"/>
      <c r="C2573" s="16" t="str">
        <f>IFERROR(VLOOKUP(DATA!#REF!,DATA!#REF!,1,FALSE),"")</f>
        <v/>
      </c>
      <c r="D2573" s="16" t="str">
        <f>IFERROR(VLOOKUP(C2573,DATA!#REF!,2,FALSE),"")</f>
        <v/>
      </c>
      <c r="I2573" s="17"/>
      <c r="J2573" s="17"/>
      <c r="P2573" s="17"/>
      <c r="Q2573" s="17"/>
    </row>
    <row r="2574" spans="2:17">
      <c r="B2574" s="17"/>
      <c r="C2574" s="16" t="str">
        <f>IFERROR(VLOOKUP(DATA!#REF!,DATA!#REF!,1,FALSE),"")</f>
        <v/>
      </c>
      <c r="D2574" s="16" t="str">
        <f>IFERROR(VLOOKUP(C2574,DATA!#REF!,2,FALSE),"")</f>
        <v/>
      </c>
      <c r="I2574" s="17"/>
      <c r="J2574" s="17"/>
      <c r="P2574" s="17"/>
      <c r="Q2574" s="17"/>
    </row>
    <row r="2575" spans="2:17">
      <c r="B2575" s="17"/>
      <c r="C2575" s="16" t="str">
        <f>IFERROR(VLOOKUP(DATA!#REF!,DATA!#REF!,1,FALSE),"")</f>
        <v/>
      </c>
      <c r="D2575" s="16" t="str">
        <f>IFERROR(VLOOKUP(C2575,DATA!#REF!,2,FALSE),"")</f>
        <v/>
      </c>
      <c r="I2575" s="17"/>
      <c r="J2575" s="17"/>
      <c r="P2575" s="17"/>
      <c r="Q2575" s="17"/>
    </row>
    <row r="2576" spans="2:17">
      <c r="B2576" s="17"/>
      <c r="C2576" s="16" t="str">
        <f>IFERROR(VLOOKUP(DATA!#REF!,DATA!#REF!,1,FALSE),"")</f>
        <v/>
      </c>
      <c r="D2576" s="16" t="str">
        <f>IFERROR(VLOOKUP(C2576,DATA!#REF!,2,FALSE),"")</f>
        <v/>
      </c>
      <c r="I2576" s="17"/>
      <c r="J2576" s="17"/>
      <c r="P2576" s="17"/>
      <c r="Q2576" s="17"/>
    </row>
    <row r="2577" spans="2:17">
      <c r="B2577" s="17"/>
      <c r="C2577" s="16" t="str">
        <f>IFERROR(VLOOKUP(DATA!#REF!,DATA!#REF!,1,FALSE),"")</f>
        <v/>
      </c>
      <c r="D2577" s="16" t="str">
        <f>IFERROR(VLOOKUP(C2577,DATA!#REF!,2,FALSE),"")</f>
        <v/>
      </c>
      <c r="I2577" s="17"/>
      <c r="J2577" s="17"/>
      <c r="P2577" s="17"/>
      <c r="Q2577" s="17"/>
    </row>
    <row r="2578" spans="2:17">
      <c r="B2578" s="17"/>
      <c r="C2578" s="16" t="str">
        <f>IFERROR(VLOOKUP(DATA!#REF!,DATA!#REF!,1,FALSE),"")</f>
        <v/>
      </c>
      <c r="D2578" s="16" t="str">
        <f>IFERROR(VLOOKUP(C2578,DATA!#REF!,2,FALSE),"")</f>
        <v/>
      </c>
      <c r="I2578" s="17"/>
      <c r="J2578" s="17"/>
      <c r="P2578" s="17"/>
      <c r="Q2578" s="17"/>
    </row>
    <row r="2579" spans="2:17">
      <c r="B2579" s="17"/>
      <c r="C2579" s="16" t="str">
        <f>IFERROR(VLOOKUP(DATA!#REF!,DATA!#REF!,1,FALSE),"")</f>
        <v/>
      </c>
      <c r="D2579" s="16" t="str">
        <f>IFERROR(VLOOKUP(C2579,DATA!#REF!,2,FALSE),"")</f>
        <v/>
      </c>
      <c r="I2579" s="17"/>
      <c r="J2579" s="17"/>
      <c r="P2579" s="17"/>
      <c r="Q2579" s="17"/>
    </row>
    <row r="2580" spans="2:17">
      <c r="B2580" s="17"/>
      <c r="C2580" s="16" t="str">
        <f>IFERROR(VLOOKUP(DATA!#REF!,DATA!#REF!,1,FALSE),"")</f>
        <v/>
      </c>
      <c r="D2580" s="16" t="str">
        <f>IFERROR(VLOOKUP(C2580,DATA!#REF!,2,FALSE),"")</f>
        <v/>
      </c>
      <c r="I2580" s="17"/>
      <c r="J2580" s="17"/>
      <c r="P2580" s="17"/>
      <c r="Q2580" s="17"/>
    </row>
    <row r="2581" spans="2:17">
      <c r="B2581" s="17"/>
      <c r="C2581" s="16" t="str">
        <f>IFERROR(VLOOKUP(DATA!#REF!,DATA!#REF!,1,FALSE),"")</f>
        <v/>
      </c>
      <c r="D2581" s="16" t="str">
        <f>IFERROR(VLOOKUP(C2581,DATA!#REF!,2,FALSE),"")</f>
        <v/>
      </c>
      <c r="I2581" s="17"/>
      <c r="J2581" s="17"/>
      <c r="P2581" s="17"/>
      <c r="Q2581" s="17"/>
    </row>
    <row r="2582" spans="2:17">
      <c r="B2582" s="17"/>
      <c r="C2582" s="16" t="str">
        <f>IFERROR(VLOOKUP(DATA!#REF!,DATA!#REF!,1,FALSE),"")</f>
        <v/>
      </c>
      <c r="D2582" s="16" t="str">
        <f>IFERROR(VLOOKUP(C2582,DATA!#REF!,2,FALSE),"")</f>
        <v/>
      </c>
      <c r="I2582" s="17"/>
      <c r="J2582" s="17"/>
      <c r="P2582" s="17"/>
      <c r="Q2582" s="17"/>
    </row>
    <row r="2583" spans="2:17">
      <c r="B2583" s="17"/>
      <c r="C2583" s="16" t="str">
        <f>IFERROR(VLOOKUP(DATA!#REF!,DATA!#REF!,1,FALSE),"")</f>
        <v/>
      </c>
      <c r="D2583" s="16" t="str">
        <f>IFERROR(VLOOKUP(C2583,DATA!#REF!,2,FALSE),"")</f>
        <v/>
      </c>
      <c r="I2583" s="17"/>
      <c r="J2583" s="17"/>
      <c r="P2583" s="17"/>
      <c r="Q2583" s="17"/>
    </row>
    <row r="2584" spans="2:17">
      <c r="B2584" s="17"/>
      <c r="C2584" s="16" t="str">
        <f>IFERROR(VLOOKUP(DATA!#REF!,DATA!#REF!,1,FALSE),"")</f>
        <v/>
      </c>
      <c r="D2584" s="16" t="str">
        <f>IFERROR(VLOOKUP(C2584,DATA!#REF!,2,FALSE),"")</f>
        <v/>
      </c>
      <c r="I2584" s="17"/>
      <c r="J2584" s="17"/>
      <c r="P2584" s="17"/>
      <c r="Q2584" s="17"/>
    </row>
    <row r="2585" spans="2:17">
      <c r="B2585" s="17"/>
      <c r="C2585" s="16" t="str">
        <f>IFERROR(VLOOKUP(DATA!#REF!,DATA!#REF!,1,FALSE),"")</f>
        <v/>
      </c>
      <c r="D2585" s="16" t="str">
        <f>IFERROR(VLOOKUP(C2585,DATA!#REF!,2,FALSE),"")</f>
        <v/>
      </c>
      <c r="I2585" s="17"/>
      <c r="J2585" s="17"/>
      <c r="P2585" s="17"/>
      <c r="Q2585" s="17"/>
    </row>
    <row r="2586" spans="2:17">
      <c r="B2586" s="17"/>
      <c r="C2586" s="16" t="str">
        <f>IFERROR(VLOOKUP(DATA!#REF!,DATA!#REF!,1,FALSE),"")</f>
        <v/>
      </c>
      <c r="D2586" s="16" t="str">
        <f>IFERROR(VLOOKUP(C2586,DATA!#REF!,2,FALSE),"")</f>
        <v/>
      </c>
      <c r="I2586" s="17"/>
      <c r="J2586" s="17"/>
      <c r="P2586" s="17"/>
      <c r="Q2586" s="17"/>
    </row>
    <row r="2587" spans="2:17">
      <c r="B2587" s="17"/>
      <c r="C2587" s="16" t="str">
        <f>IFERROR(VLOOKUP(DATA!#REF!,DATA!#REF!,1,FALSE),"")</f>
        <v/>
      </c>
      <c r="D2587" s="16" t="str">
        <f>IFERROR(VLOOKUP(C2587,DATA!#REF!,2,FALSE),"")</f>
        <v/>
      </c>
      <c r="I2587" s="17"/>
      <c r="J2587" s="17"/>
      <c r="P2587" s="17"/>
      <c r="Q2587" s="17"/>
    </row>
    <row r="2588" spans="2:17">
      <c r="B2588" s="17"/>
      <c r="C2588" s="16" t="str">
        <f>IFERROR(VLOOKUP(DATA!#REF!,DATA!#REF!,1,FALSE),"")</f>
        <v/>
      </c>
      <c r="D2588" s="16" t="str">
        <f>IFERROR(VLOOKUP(C2588,DATA!#REF!,2,FALSE),"")</f>
        <v/>
      </c>
      <c r="I2588" s="17"/>
      <c r="J2588" s="17"/>
      <c r="P2588" s="17"/>
      <c r="Q2588" s="17"/>
    </row>
    <row r="2589" spans="2:17">
      <c r="B2589" s="17"/>
      <c r="C2589" s="16" t="str">
        <f>IFERROR(VLOOKUP(DATA!#REF!,DATA!#REF!,1,FALSE),"")</f>
        <v/>
      </c>
      <c r="D2589" s="16" t="str">
        <f>IFERROR(VLOOKUP(C2589,DATA!#REF!,2,FALSE),"")</f>
        <v/>
      </c>
      <c r="I2589" s="17"/>
      <c r="J2589" s="17"/>
      <c r="P2589" s="17"/>
      <c r="Q2589" s="17"/>
    </row>
    <row r="2590" spans="2:17">
      <c r="B2590" s="17"/>
      <c r="C2590" s="16" t="str">
        <f>IFERROR(VLOOKUP(DATA!#REF!,DATA!#REF!,1,FALSE),"")</f>
        <v/>
      </c>
      <c r="D2590" s="16" t="str">
        <f>IFERROR(VLOOKUP(C2590,DATA!#REF!,2,FALSE),"")</f>
        <v/>
      </c>
      <c r="I2590" s="17"/>
      <c r="J2590" s="17"/>
      <c r="P2590" s="17"/>
      <c r="Q2590" s="17"/>
    </row>
    <row r="2591" spans="2:17">
      <c r="B2591" s="17"/>
      <c r="C2591" s="16" t="str">
        <f>IFERROR(VLOOKUP(DATA!#REF!,DATA!#REF!,1,FALSE),"")</f>
        <v/>
      </c>
      <c r="D2591" s="16" t="str">
        <f>IFERROR(VLOOKUP(C2591,DATA!#REF!,2,FALSE),"")</f>
        <v/>
      </c>
      <c r="I2591" s="17"/>
      <c r="J2591" s="17"/>
      <c r="P2591" s="17"/>
      <c r="Q2591" s="17"/>
    </row>
    <row r="2592" spans="2:17">
      <c r="B2592" s="17"/>
      <c r="C2592" s="16" t="str">
        <f>IFERROR(VLOOKUP(DATA!#REF!,DATA!#REF!,1,FALSE),"")</f>
        <v/>
      </c>
      <c r="D2592" s="16" t="str">
        <f>IFERROR(VLOOKUP(C2592,DATA!#REF!,2,FALSE),"")</f>
        <v/>
      </c>
      <c r="I2592" s="17"/>
      <c r="J2592" s="17"/>
      <c r="P2592" s="17"/>
      <c r="Q2592" s="17"/>
    </row>
    <row r="2593" spans="2:17">
      <c r="B2593" s="17"/>
      <c r="C2593" s="16" t="str">
        <f>IFERROR(VLOOKUP(DATA!#REF!,DATA!#REF!,1,FALSE),"")</f>
        <v/>
      </c>
      <c r="D2593" s="16" t="str">
        <f>IFERROR(VLOOKUP(C2593,DATA!#REF!,2,FALSE),"")</f>
        <v/>
      </c>
      <c r="I2593" s="17"/>
      <c r="J2593" s="17"/>
      <c r="P2593" s="17"/>
      <c r="Q2593" s="17"/>
    </row>
    <row r="2594" spans="2:17">
      <c r="B2594" s="17"/>
      <c r="C2594" s="16" t="str">
        <f>IFERROR(VLOOKUP(DATA!#REF!,DATA!#REF!,1,FALSE),"")</f>
        <v/>
      </c>
      <c r="D2594" s="16" t="str">
        <f>IFERROR(VLOOKUP(C2594,DATA!#REF!,2,FALSE),"")</f>
        <v/>
      </c>
      <c r="I2594" s="17"/>
      <c r="J2594" s="17"/>
      <c r="P2594" s="17"/>
      <c r="Q2594" s="17"/>
    </row>
    <row r="2595" spans="2:17">
      <c r="B2595" s="17"/>
      <c r="C2595" s="16" t="str">
        <f>IFERROR(VLOOKUP(DATA!#REF!,DATA!#REF!,1,FALSE),"")</f>
        <v/>
      </c>
      <c r="D2595" s="16" t="str">
        <f>IFERROR(VLOOKUP(C2595,DATA!#REF!,2,FALSE),"")</f>
        <v/>
      </c>
      <c r="I2595" s="17"/>
      <c r="J2595" s="17"/>
      <c r="P2595" s="17"/>
      <c r="Q2595" s="17"/>
    </row>
    <row r="2596" spans="2:17">
      <c r="B2596" s="17"/>
      <c r="C2596" s="16" t="str">
        <f>IFERROR(VLOOKUP(DATA!#REF!,DATA!#REF!,1,FALSE),"")</f>
        <v/>
      </c>
      <c r="D2596" s="16" t="str">
        <f>IFERROR(VLOOKUP(C2596,DATA!#REF!,2,FALSE),"")</f>
        <v/>
      </c>
      <c r="I2596" s="17"/>
      <c r="J2596" s="17"/>
      <c r="P2596" s="17"/>
      <c r="Q2596" s="17"/>
    </row>
    <row r="2597" spans="2:17">
      <c r="B2597" s="17"/>
      <c r="C2597" s="16" t="str">
        <f>IFERROR(VLOOKUP(DATA!#REF!,DATA!#REF!,1,FALSE),"")</f>
        <v/>
      </c>
      <c r="D2597" s="16" t="str">
        <f>IFERROR(VLOOKUP(C2597,DATA!#REF!,2,FALSE),"")</f>
        <v/>
      </c>
      <c r="I2597" s="17"/>
      <c r="J2597" s="17"/>
      <c r="P2597" s="17"/>
      <c r="Q2597" s="17"/>
    </row>
    <row r="2598" spans="2:17">
      <c r="B2598" s="17"/>
      <c r="C2598" s="16" t="str">
        <f>IFERROR(VLOOKUP(DATA!#REF!,DATA!#REF!,1,FALSE),"")</f>
        <v/>
      </c>
      <c r="D2598" s="16" t="str">
        <f>IFERROR(VLOOKUP(C2598,DATA!#REF!,2,FALSE),"")</f>
        <v/>
      </c>
      <c r="I2598" s="17"/>
      <c r="J2598" s="17"/>
      <c r="P2598" s="17"/>
      <c r="Q2598" s="17"/>
    </row>
    <row r="2599" spans="2:17">
      <c r="B2599" s="17"/>
      <c r="C2599" s="16" t="str">
        <f>IFERROR(VLOOKUP(DATA!#REF!,DATA!#REF!,1,FALSE),"")</f>
        <v/>
      </c>
      <c r="D2599" s="16" t="str">
        <f>IFERROR(VLOOKUP(C2599,DATA!#REF!,2,FALSE),"")</f>
        <v/>
      </c>
      <c r="I2599" s="17"/>
      <c r="J2599" s="17"/>
      <c r="P2599" s="17"/>
      <c r="Q2599" s="17"/>
    </row>
    <row r="2600" spans="2:17">
      <c r="B2600" s="17"/>
      <c r="C2600" s="16" t="str">
        <f>IFERROR(VLOOKUP(DATA!#REF!,DATA!#REF!,1,FALSE),"")</f>
        <v/>
      </c>
      <c r="D2600" s="16" t="str">
        <f>IFERROR(VLOOKUP(C2600,DATA!#REF!,2,FALSE),"")</f>
        <v/>
      </c>
      <c r="I2600" s="17"/>
      <c r="J2600" s="17"/>
      <c r="P2600" s="17"/>
      <c r="Q2600" s="17"/>
    </row>
    <row r="2601" spans="2:17">
      <c r="B2601" s="17"/>
      <c r="C2601" s="16" t="str">
        <f>IFERROR(VLOOKUP(DATA!#REF!,DATA!#REF!,1,FALSE),"")</f>
        <v/>
      </c>
      <c r="D2601" s="16" t="str">
        <f>IFERROR(VLOOKUP(C2601,DATA!#REF!,2,FALSE),"")</f>
        <v/>
      </c>
      <c r="I2601" s="17"/>
      <c r="J2601" s="17"/>
      <c r="P2601" s="17"/>
      <c r="Q2601" s="17"/>
    </row>
    <row r="2602" spans="2:17">
      <c r="B2602" s="17"/>
      <c r="C2602" s="16" t="str">
        <f>IFERROR(VLOOKUP(DATA!#REF!,DATA!#REF!,1,FALSE),"")</f>
        <v/>
      </c>
      <c r="D2602" s="16" t="str">
        <f>IFERROR(VLOOKUP(C2602,DATA!#REF!,2,FALSE),"")</f>
        <v/>
      </c>
      <c r="I2602" s="17"/>
      <c r="J2602" s="17"/>
      <c r="P2602" s="17"/>
      <c r="Q2602" s="17"/>
    </row>
    <row r="2603" spans="2:17">
      <c r="B2603" s="17"/>
      <c r="C2603" s="16" t="str">
        <f>IFERROR(VLOOKUP(DATA!#REF!,DATA!#REF!,1,FALSE),"")</f>
        <v/>
      </c>
      <c r="D2603" s="16" t="str">
        <f>IFERROR(VLOOKUP(C2603,DATA!#REF!,2,FALSE),"")</f>
        <v/>
      </c>
      <c r="I2603" s="17"/>
      <c r="J2603" s="17"/>
      <c r="P2603" s="17"/>
      <c r="Q2603" s="17"/>
    </row>
    <row r="2604" spans="2:17">
      <c r="B2604" s="17"/>
      <c r="C2604" s="16" t="str">
        <f>IFERROR(VLOOKUP(DATA!#REF!,DATA!#REF!,1,FALSE),"")</f>
        <v/>
      </c>
      <c r="D2604" s="16" t="str">
        <f>IFERROR(VLOOKUP(C2604,DATA!#REF!,2,FALSE),"")</f>
        <v/>
      </c>
      <c r="I2604" s="17"/>
      <c r="J2604" s="17"/>
      <c r="P2604" s="17"/>
      <c r="Q2604" s="17"/>
    </row>
    <row r="2605" spans="2:17">
      <c r="B2605" s="17"/>
      <c r="C2605" s="16" t="str">
        <f>IFERROR(VLOOKUP(DATA!#REF!,DATA!#REF!,1,FALSE),"")</f>
        <v/>
      </c>
      <c r="D2605" s="16" t="str">
        <f>IFERROR(VLOOKUP(C2605,DATA!#REF!,2,FALSE),"")</f>
        <v/>
      </c>
      <c r="I2605" s="17"/>
      <c r="J2605" s="17"/>
      <c r="P2605" s="17"/>
      <c r="Q2605" s="17"/>
    </row>
    <row r="2606" spans="2:17">
      <c r="B2606" s="17"/>
      <c r="C2606" s="16" t="str">
        <f>IFERROR(VLOOKUP(DATA!#REF!,DATA!#REF!,1,FALSE),"")</f>
        <v/>
      </c>
      <c r="D2606" s="16" t="str">
        <f>IFERROR(VLOOKUP(C2606,DATA!#REF!,2,FALSE),"")</f>
        <v/>
      </c>
      <c r="I2606" s="17"/>
      <c r="J2606" s="17"/>
      <c r="P2606" s="17"/>
      <c r="Q2606" s="17"/>
    </row>
    <row r="2607" spans="2:17">
      <c r="B2607" s="17"/>
      <c r="C2607" s="16" t="str">
        <f>IFERROR(VLOOKUP(DATA!#REF!,DATA!#REF!,1,FALSE),"")</f>
        <v/>
      </c>
      <c r="D2607" s="16" t="str">
        <f>IFERROR(VLOOKUP(C2607,DATA!#REF!,2,FALSE),"")</f>
        <v/>
      </c>
      <c r="I2607" s="17"/>
      <c r="J2607" s="17"/>
      <c r="P2607" s="17"/>
      <c r="Q2607" s="17"/>
    </row>
    <row r="2608" spans="2:17">
      <c r="B2608" s="17"/>
      <c r="C2608" s="16" t="str">
        <f>IFERROR(VLOOKUP(DATA!#REF!,DATA!#REF!,1,FALSE),"")</f>
        <v/>
      </c>
      <c r="D2608" s="16" t="str">
        <f>IFERROR(VLOOKUP(C2608,DATA!#REF!,2,FALSE),"")</f>
        <v/>
      </c>
      <c r="I2608" s="17"/>
      <c r="J2608" s="17"/>
      <c r="P2608" s="17"/>
      <c r="Q2608" s="17"/>
    </row>
    <row r="2609" spans="2:17">
      <c r="B2609" s="17"/>
      <c r="C2609" s="16" t="str">
        <f>IFERROR(VLOOKUP(DATA!#REF!,DATA!#REF!,1,FALSE),"")</f>
        <v/>
      </c>
      <c r="D2609" s="16" t="str">
        <f>IFERROR(VLOOKUP(C2609,DATA!#REF!,2,FALSE),"")</f>
        <v/>
      </c>
      <c r="I2609" s="17"/>
      <c r="J2609" s="17"/>
      <c r="P2609" s="17"/>
      <c r="Q2609" s="17"/>
    </row>
    <row r="2610" spans="2:17">
      <c r="B2610" s="17"/>
      <c r="C2610" s="16" t="str">
        <f>IFERROR(VLOOKUP(DATA!#REF!,DATA!#REF!,1,FALSE),"")</f>
        <v/>
      </c>
      <c r="D2610" s="16" t="str">
        <f>IFERROR(VLOOKUP(C2610,DATA!#REF!,2,FALSE),"")</f>
        <v/>
      </c>
      <c r="I2610" s="17"/>
      <c r="J2610" s="17"/>
      <c r="P2610" s="17"/>
      <c r="Q2610" s="17"/>
    </row>
    <row r="2611" spans="2:17">
      <c r="B2611" s="17"/>
      <c r="C2611" s="16" t="str">
        <f>IFERROR(VLOOKUP(DATA!#REF!,DATA!#REF!,1,FALSE),"")</f>
        <v/>
      </c>
      <c r="D2611" s="16" t="str">
        <f>IFERROR(VLOOKUP(C2611,DATA!#REF!,2,FALSE),"")</f>
        <v/>
      </c>
      <c r="I2611" s="17"/>
      <c r="J2611" s="17"/>
      <c r="P2611" s="17"/>
      <c r="Q2611" s="17"/>
    </row>
    <row r="2612" spans="2:17">
      <c r="B2612" s="17"/>
      <c r="C2612" s="16" t="str">
        <f>IFERROR(VLOOKUP(DATA!#REF!,DATA!#REF!,1,FALSE),"")</f>
        <v/>
      </c>
      <c r="D2612" s="16" t="str">
        <f>IFERROR(VLOOKUP(C2612,DATA!#REF!,2,FALSE),"")</f>
        <v/>
      </c>
      <c r="I2612" s="17"/>
      <c r="J2612" s="17"/>
      <c r="P2612" s="17"/>
      <c r="Q2612" s="17"/>
    </row>
    <row r="2613" spans="2:17">
      <c r="B2613" s="17"/>
      <c r="C2613" s="16" t="str">
        <f>IFERROR(VLOOKUP(DATA!#REF!,DATA!#REF!,1,FALSE),"")</f>
        <v/>
      </c>
      <c r="D2613" s="16" t="str">
        <f>IFERROR(VLOOKUP(C2613,DATA!#REF!,2,FALSE),"")</f>
        <v/>
      </c>
      <c r="I2613" s="17"/>
      <c r="J2613" s="17"/>
      <c r="P2613" s="17"/>
      <c r="Q2613" s="17"/>
    </row>
    <row r="2614" spans="2:17">
      <c r="B2614" s="17"/>
      <c r="C2614" s="16" t="str">
        <f>IFERROR(VLOOKUP(DATA!#REF!,DATA!#REF!,1,FALSE),"")</f>
        <v/>
      </c>
      <c r="D2614" s="16" t="str">
        <f>IFERROR(VLOOKUP(C2614,DATA!#REF!,2,FALSE),"")</f>
        <v/>
      </c>
      <c r="I2614" s="17"/>
      <c r="J2614" s="17"/>
      <c r="P2614" s="17"/>
      <c r="Q2614" s="17"/>
    </row>
    <row r="2615" spans="2:17">
      <c r="B2615" s="17"/>
      <c r="C2615" s="16" t="str">
        <f>IFERROR(VLOOKUP(DATA!#REF!,DATA!#REF!,1,FALSE),"")</f>
        <v/>
      </c>
      <c r="D2615" s="16" t="str">
        <f>IFERROR(VLOOKUP(C2615,DATA!#REF!,2,FALSE),"")</f>
        <v/>
      </c>
      <c r="I2615" s="17"/>
      <c r="J2615" s="17"/>
      <c r="P2615" s="17"/>
      <c r="Q2615" s="17"/>
    </row>
    <row r="2616" spans="2:17">
      <c r="B2616" s="17"/>
      <c r="C2616" s="16" t="str">
        <f>IFERROR(VLOOKUP(DATA!#REF!,DATA!#REF!,1,FALSE),"")</f>
        <v/>
      </c>
      <c r="D2616" s="16" t="str">
        <f>IFERROR(VLOOKUP(C2616,DATA!#REF!,2,FALSE),"")</f>
        <v/>
      </c>
      <c r="I2616" s="17"/>
      <c r="J2616" s="17"/>
      <c r="P2616" s="17"/>
      <c r="Q2616" s="17"/>
    </row>
    <row r="2617" spans="2:17">
      <c r="B2617" s="17"/>
      <c r="C2617" s="16" t="str">
        <f>IFERROR(VLOOKUP(DATA!#REF!,DATA!#REF!,1,FALSE),"")</f>
        <v/>
      </c>
      <c r="D2617" s="16" t="str">
        <f>IFERROR(VLOOKUP(C2617,DATA!#REF!,2,FALSE),"")</f>
        <v/>
      </c>
      <c r="I2617" s="17"/>
      <c r="J2617" s="17"/>
      <c r="P2617" s="17"/>
      <c r="Q2617" s="17"/>
    </row>
    <row r="2618" spans="2:17">
      <c r="B2618" s="17"/>
      <c r="C2618" s="16" t="str">
        <f>IFERROR(VLOOKUP(DATA!#REF!,DATA!#REF!,1,FALSE),"")</f>
        <v/>
      </c>
      <c r="D2618" s="16" t="str">
        <f>IFERROR(VLOOKUP(C2618,DATA!#REF!,2,FALSE),"")</f>
        <v/>
      </c>
      <c r="I2618" s="17"/>
      <c r="J2618" s="17"/>
      <c r="P2618" s="17"/>
      <c r="Q2618" s="17"/>
    </row>
    <row r="2619" spans="2:17">
      <c r="B2619" s="17"/>
      <c r="C2619" s="16" t="str">
        <f>IFERROR(VLOOKUP(DATA!#REF!,DATA!#REF!,1,FALSE),"")</f>
        <v/>
      </c>
      <c r="D2619" s="16" t="str">
        <f>IFERROR(VLOOKUP(C2619,DATA!#REF!,2,FALSE),"")</f>
        <v/>
      </c>
      <c r="I2619" s="17"/>
      <c r="J2619" s="17"/>
      <c r="P2619" s="17"/>
      <c r="Q2619" s="17"/>
    </row>
    <row r="2620" spans="2:17">
      <c r="B2620" s="17"/>
      <c r="C2620" s="16" t="str">
        <f>IFERROR(VLOOKUP(DATA!#REF!,DATA!#REF!,1,FALSE),"")</f>
        <v/>
      </c>
      <c r="D2620" s="16" t="str">
        <f>IFERROR(VLOOKUP(C2620,DATA!#REF!,2,FALSE),"")</f>
        <v/>
      </c>
      <c r="I2620" s="17"/>
      <c r="J2620" s="17"/>
      <c r="P2620" s="17"/>
      <c r="Q2620" s="17"/>
    </row>
    <row r="2621" spans="2:17">
      <c r="B2621" s="17"/>
      <c r="C2621" s="16" t="str">
        <f>IFERROR(VLOOKUP(DATA!#REF!,DATA!#REF!,1,FALSE),"")</f>
        <v/>
      </c>
      <c r="D2621" s="16" t="str">
        <f>IFERROR(VLOOKUP(C2621,DATA!#REF!,2,FALSE),"")</f>
        <v/>
      </c>
      <c r="I2621" s="17"/>
      <c r="J2621" s="17"/>
      <c r="P2621" s="17"/>
      <c r="Q2621" s="17"/>
    </row>
    <row r="2622" spans="2:17">
      <c r="B2622" s="17"/>
      <c r="C2622" s="16" t="str">
        <f>IFERROR(VLOOKUP(DATA!#REF!,DATA!#REF!,1,FALSE),"")</f>
        <v/>
      </c>
      <c r="D2622" s="16" t="str">
        <f>IFERROR(VLOOKUP(C2622,DATA!#REF!,2,FALSE),"")</f>
        <v/>
      </c>
      <c r="I2622" s="17"/>
      <c r="J2622" s="17"/>
      <c r="P2622" s="17"/>
      <c r="Q2622" s="17"/>
    </row>
    <row r="2623" spans="2:17">
      <c r="B2623" s="17"/>
      <c r="C2623" s="16" t="str">
        <f>IFERROR(VLOOKUP(DATA!#REF!,DATA!#REF!,1,FALSE),"")</f>
        <v/>
      </c>
      <c r="D2623" s="16" t="str">
        <f>IFERROR(VLOOKUP(C2623,DATA!#REF!,2,FALSE),"")</f>
        <v/>
      </c>
      <c r="I2623" s="17"/>
      <c r="J2623" s="17"/>
      <c r="P2623" s="17"/>
      <c r="Q2623" s="17"/>
    </row>
    <row r="2624" spans="2:17">
      <c r="B2624" s="17"/>
      <c r="C2624" s="16" t="str">
        <f>IFERROR(VLOOKUP(DATA!#REF!,DATA!#REF!,1,FALSE),"")</f>
        <v/>
      </c>
      <c r="D2624" s="16" t="str">
        <f>IFERROR(VLOOKUP(C2624,DATA!#REF!,2,FALSE),"")</f>
        <v/>
      </c>
      <c r="I2624" s="17"/>
      <c r="J2624" s="17"/>
      <c r="P2624" s="17"/>
      <c r="Q2624" s="17"/>
    </row>
    <row r="2625" spans="2:17">
      <c r="B2625" s="17"/>
      <c r="C2625" s="16" t="str">
        <f>IFERROR(VLOOKUP(DATA!#REF!,DATA!#REF!,1,FALSE),"")</f>
        <v/>
      </c>
      <c r="D2625" s="16" t="str">
        <f>IFERROR(VLOOKUP(C2625,DATA!#REF!,2,FALSE),"")</f>
        <v/>
      </c>
      <c r="I2625" s="17"/>
      <c r="J2625" s="17"/>
      <c r="P2625" s="17"/>
      <c r="Q2625" s="17"/>
    </row>
    <row r="2626" spans="2:17">
      <c r="B2626" s="17"/>
      <c r="C2626" s="16" t="str">
        <f>IFERROR(VLOOKUP(DATA!#REF!,DATA!#REF!,1,FALSE),"")</f>
        <v/>
      </c>
      <c r="D2626" s="16" t="str">
        <f>IFERROR(VLOOKUP(C2626,DATA!#REF!,2,FALSE),"")</f>
        <v/>
      </c>
      <c r="I2626" s="17"/>
      <c r="J2626" s="17"/>
      <c r="P2626" s="17"/>
      <c r="Q2626" s="17"/>
    </row>
    <row r="2627" spans="2:17">
      <c r="B2627" s="17"/>
      <c r="C2627" s="16" t="str">
        <f>IFERROR(VLOOKUP(DATA!#REF!,DATA!#REF!,1,FALSE),"")</f>
        <v/>
      </c>
      <c r="D2627" s="16" t="str">
        <f>IFERROR(VLOOKUP(C2627,DATA!#REF!,2,FALSE),"")</f>
        <v/>
      </c>
      <c r="I2627" s="17"/>
      <c r="J2627" s="17"/>
      <c r="P2627" s="17"/>
      <c r="Q2627" s="17"/>
    </row>
    <row r="2628" spans="2:17">
      <c r="B2628" s="17"/>
      <c r="C2628" s="16" t="str">
        <f>IFERROR(VLOOKUP(DATA!#REF!,DATA!#REF!,1,FALSE),"")</f>
        <v/>
      </c>
      <c r="D2628" s="16" t="str">
        <f>IFERROR(VLOOKUP(C2628,DATA!#REF!,2,FALSE),"")</f>
        <v/>
      </c>
      <c r="I2628" s="17"/>
      <c r="J2628" s="17"/>
      <c r="P2628" s="17"/>
      <c r="Q2628" s="17"/>
    </row>
    <row r="2629" spans="2:17">
      <c r="B2629" s="17"/>
      <c r="C2629" s="16" t="str">
        <f>IFERROR(VLOOKUP(DATA!#REF!,DATA!#REF!,1,FALSE),"")</f>
        <v/>
      </c>
      <c r="D2629" s="16" t="str">
        <f>IFERROR(VLOOKUP(C2629,DATA!#REF!,2,FALSE),"")</f>
        <v/>
      </c>
      <c r="I2629" s="17"/>
      <c r="J2629" s="17"/>
      <c r="P2629" s="17"/>
      <c r="Q2629" s="17"/>
    </row>
    <row r="2630" spans="2:17">
      <c r="B2630" s="17"/>
      <c r="C2630" s="16" t="str">
        <f>IFERROR(VLOOKUP(DATA!#REF!,DATA!#REF!,1,FALSE),"")</f>
        <v/>
      </c>
      <c r="D2630" s="16" t="str">
        <f>IFERROR(VLOOKUP(C2630,DATA!#REF!,2,FALSE),"")</f>
        <v/>
      </c>
      <c r="I2630" s="17"/>
      <c r="J2630" s="17"/>
      <c r="P2630" s="17"/>
      <c r="Q2630" s="17"/>
    </row>
    <row r="2631" spans="2:17">
      <c r="B2631" s="17"/>
      <c r="C2631" s="16" t="str">
        <f>IFERROR(VLOOKUP(DATA!#REF!,DATA!#REF!,1,FALSE),"")</f>
        <v/>
      </c>
      <c r="D2631" s="16" t="str">
        <f>IFERROR(VLOOKUP(C2631,DATA!#REF!,2,FALSE),"")</f>
        <v/>
      </c>
      <c r="I2631" s="17"/>
      <c r="J2631" s="17"/>
      <c r="P2631" s="17"/>
      <c r="Q2631" s="17"/>
    </row>
    <row r="2632" spans="2:17">
      <c r="B2632" s="17"/>
      <c r="C2632" s="16" t="str">
        <f>IFERROR(VLOOKUP(DATA!#REF!,DATA!#REF!,1,FALSE),"")</f>
        <v/>
      </c>
      <c r="D2632" s="16" t="str">
        <f>IFERROR(VLOOKUP(C2632,DATA!#REF!,2,FALSE),"")</f>
        <v/>
      </c>
      <c r="I2632" s="17"/>
      <c r="J2632" s="17"/>
      <c r="P2632" s="17"/>
      <c r="Q2632" s="17"/>
    </row>
    <row r="2633" spans="2:17">
      <c r="B2633" s="17"/>
      <c r="C2633" s="16" t="str">
        <f>IFERROR(VLOOKUP(DATA!#REF!,DATA!#REF!,1,FALSE),"")</f>
        <v/>
      </c>
      <c r="D2633" s="16" t="str">
        <f>IFERROR(VLOOKUP(C2633,DATA!#REF!,2,FALSE),"")</f>
        <v/>
      </c>
      <c r="I2633" s="17"/>
      <c r="J2633" s="17"/>
      <c r="P2633" s="17"/>
      <c r="Q2633" s="17"/>
    </row>
    <row r="2634" spans="2:17">
      <c r="B2634" s="17"/>
      <c r="C2634" s="16" t="str">
        <f>IFERROR(VLOOKUP(DATA!#REF!,DATA!#REF!,1,FALSE),"")</f>
        <v/>
      </c>
      <c r="D2634" s="16" t="str">
        <f>IFERROR(VLOOKUP(C2634,DATA!#REF!,2,FALSE),"")</f>
        <v/>
      </c>
      <c r="I2634" s="17"/>
      <c r="J2634" s="17"/>
      <c r="P2634" s="17"/>
      <c r="Q2634" s="17"/>
    </row>
    <row r="2635" spans="2:17">
      <c r="B2635" s="17"/>
      <c r="C2635" s="16" t="str">
        <f>IFERROR(VLOOKUP(DATA!#REF!,DATA!#REF!,1,FALSE),"")</f>
        <v/>
      </c>
      <c r="D2635" s="16" t="str">
        <f>IFERROR(VLOOKUP(C2635,DATA!#REF!,2,FALSE),"")</f>
        <v/>
      </c>
      <c r="I2635" s="17"/>
      <c r="J2635" s="17"/>
      <c r="P2635" s="17"/>
      <c r="Q2635" s="17"/>
    </row>
    <row r="2636" spans="2:17">
      <c r="B2636" s="17"/>
      <c r="C2636" s="16" t="str">
        <f>IFERROR(VLOOKUP(DATA!#REF!,DATA!#REF!,1,FALSE),"")</f>
        <v/>
      </c>
      <c r="D2636" s="16" t="str">
        <f>IFERROR(VLOOKUP(C2636,DATA!#REF!,2,FALSE),"")</f>
        <v/>
      </c>
      <c r="I2636" s="17"/>
      <c r="J2636" s="17"/>
      <c r="P2636" s="17"/>
      <c r="Q2636" s="17"/>
    </row>
    <row r="2637" spans="2:17">
      <c r="B2637" s="17"/>
      <c r="C2637" s="16" t="str">
        <f>IFERROR(VLOOKUP(DATA!#REF!,DATA!#REF!,1,FALSE),"")</f>
        <v/>
      </c>
      <c r="D2637" s="16" t="str">
        <f>IFERROR(VLOOKUP(C2637,DATA!#REF!,2,FALSE),"")</f>
        <v/>
      </c>
      <c r="I2637" s="17"/>
      <c r="J2637" s="17"/>
      <c r="P2637" s="17"/>
      <c r="Q2637" s="17"/>
    </row>
    <row r="2638" spans="2:17">
      <c r="B2638" s="17"/>
      <c r="C2638" s="16" t="str">
        <f>IFERROR(VLOOKUP(DATA!#REF!,DATA!#REF!,1,FALSE),"")</f>
        <v/>
      </c>
      <c r="D2638" s="16" t="str">
        <f>IFERROR(VLOOKUP(C2638,DATA!#REF!,2,FALSE),"")</f>
        <v/>
      </c>
      <c r="I2638" s="17"/>
      <c r="J2638" s="17"/>
      <c r="P2638" s="17"/>
      <c r="Q2638" s="17"/>
    </row>
    <row r="2639" spans="2:17">
      <c r="B2639" s="17"/>
      <c r="C2639" s="16" t="str">
        <f>IFERROR(VLOOKUP(DATA!#REF!,DATA!#REF!,1,FALSE),"")</f>
        <v/>
      </c>
      <c r="D2639" s="16" t="str">
        <f>IFERROR(VLOOKUP(C2639,DATA!#REF!,2,FALSE),"")</f>
        <v/>
      </c>
      <c r="I2639" s="17"/>
      <c r="J2639" s="17"/>
      <c r="P2639" s="17"/>
      <c r="Q2639" s="17"/>
    </row>
    <row r="2640" spans="2:17">
      <c r="B2640" s="17"/>
      <c r="C2640" s="16" t="str">
        <f>IFERROR(VLOOKUP(DATA!#REF!,DATA!#REF!,1,FALSE),"")</f>
        <v/>
      </c>
      <c r="D2640" s="16" t="str">
        <f>IFERROR(VLOOKUP(C2640,DATA!#REF!,2,FALSE),"")</f>
        <v/>
      </c>
      <c r="I2640" s="17"/>
      <c r="J2640" s="17"/>
      <c r="P2640" s="17"/>
      <c r="Q2640" s="17"/>
    </row>
    <row r="2641" spans="2:17">
      <c r="B2641" s="17"/>
      <c r="C2641" s="16" t="str">
        <f>IFERROR(VLOOKUP(DATA!#REF!,DATA!#REF!,1,FALSE),"")</f>
        <v/>
      </c>
      <c r="D2641" s="16" t="str">
        <f>IFERROR(VLOOKUP(C2641,DATA!#REF!,2,FALSE),"")</f>
        <v/>
      </c>
      <c r="I2641" s="17"/>
      <c r="J2641" s="17"/>
      <c r="P2641" s="17"/>
      <c r="Q2641" s="17"/>
    </row>
    <row r="2642" spans="2:17">
      <c r="B2642" s="17"/>
      <c r="C2642" s="16" t="str">
        <f>IFERROR(VLOOKUP(DATA!#REF!,DATA!#REF!,1,FALSE),"")</f>
        <v/>
      </c>
      <c r="D2642" s="16" t="str">
        <f>IFERROR(VLOOKUP(C2642,DATA!#REF!,2,FALSE),"")</f>
        <v/>
      </c>
      <c r="I2642" s="17"/>
      <c r="J2642" s="17"/>
      <c r="P2642" s="17"/>
      <c r="Q2642" s="17"/>
    </row>
    <row r="2643" spans="2:17">
      <c r="B2643" s="17"/>
      <c r="C2643" s="16" t="str">
        <f>IFERROR(VLOOKUP(DATA!#REF!,DATA!#REF!,1,FALSE),"")</f>
        <v/>
      </c>
      <c r="D2643" s="16" t="str">
        <f>IFERROR(VLOOKUP(C2643,DATA!#REF!,2,FALSE),"")</f>
        <v/>
      </c>
      <c r="I2643" s="17"/>
      <c r="J2643" s="17"/>
      <c r="P2643" s="17"/>
      <c r="Q2643" s="17"/>
    </row>
    <row r="2644" spans="2:17">
      <c r="B2644" s="17"/>
      <c r="C2644" s="16" t="str">
        <f>IFERROR(VLOOKUP(DATA!#REF!,DATA!#REF!,1,FALSE),"")</f>
        <v/>
      </c>
      <c r="D2644" s="16" t="str">
        <f>IFERROR(VLOOKUP(C2644,DATA!#REF!,2,FALSE),"")</f>
        <v/>
      </c>
      <c r="I2644" s="17"/>
      <c r="J2644" s="17"/>
      <c r="P2644" s="17"/>
      <c r="Q2644" s="17"/>
    </row>
    <row r="2645" spans="2:17">
      <c r="B2645" s="17"/>
      <c r="C2645" s="16" t="str">
        <f>IFERROR(VLOOKUP(DATA!#REF!,DATA!#REF!,1,FALSE),"")</f>
        <v/>
      </c>
      <c r="D2645" s="16" t="str">
        <f>IFERROR(VLOOKUP(C2645,DATA!#REF!,2,FALSE),"")</f>
        <v/>
      </c>
      <c r="I2645" s="17"/>
      <c r="J2645" s="17"/>
      <c r="P2645" s="17"/>
      <c r="Q2645" s="17"/>
    </row>
    <row r="2646" spans="2:17">
      <c r="B2646" s="17"/>
      <c r="C2646" s="16" t="str">
        <f>IFERROR(VLOOKUP(DATA!#REF!,DATA!#REF!,1,FALSE),"")</f>
        <v/>
      </c>
      <c r="D2646" s="16" t="str">
        <f>IFERROR(VLOOKUP(C2646,DATA!#REF!,2,FALSE),"")</f>
        <v/>
      </c>
      <c r="I2646" s="17"/>
      <c r="J2646" s="17"/>
      <c r="P2646" s="17"/>
      <c r="Q2646" s="17"/>
    </row>
    <row r="2647" spans="2:17">
      <c r="B2647" s="17"/>
      <c r="C2647" s="16" t="str">
        <f>IFERROR(VLOOKUP(DATA!#REF!,DATA!#REF!,1,FALSE),"")</f>
        <v/>
      </c>
      <c r="D2647" s="16" t="str">
        <f>IFERROR(VLOOKUP(C2647,DATA!#REF!,2,FALSE),"")</f>
        <v/>
      </c>
      <c r="I2647" s="17"/>
      <c r="J2647" s="17"/>
      <c r="P2647" s="17"/>
      <c r="Q2647" s="17"/>
    </row>
    <row r="2648" spans="2:17">
      <c r="B2648" s="17"/>
      <c r="C2648" s="16" t="str">
        <f>IFERROR(VLOOKUP(DATA!#REF!,DATA!#REF!,1,FALSE),"")</f>
        <v/>
      </c>
      <c r="D2648" s="16" t="str">
        <f>IFERROR(VLOOKUP(C2648,DATA!#REF!,2,FALSE),"")</f>
        <v/>
      </c>
      <c r="I2648" s="17"/>
      <c r="J2648" s="17"/>
      <c r="P2648" s="17"/>
      <c r="Q2648" s="17"/>
    </row>
    <row r="2649" spans="2:17">
      <c r="B2649" s="17"/>
      <c r="C2649" s="16" t="str">
        <f>IFERROR(VLOOKUP(DATA!#REF!,DATA!#REF!,1,FALSE),"")</f>
        <v/>
      </c>
      <c r="D2649" s="16" t="str">
        <f>IFERROR(VLOOKUP(C2649,DATA!#REF!,2,FALSE),"")</f>
        <v/>
      </c>
      <c r="I2649" s="17"/>
      <c r="J2649" s="17"/>
      <c r="P2649" s="17"/>
      <c r="Q2649" s="17"/>
    </row>
    <row r="2650" spans="2:17">
      <c r="B2650" s="17"/>
      <c r="C2650" s="16" t="str">
        <f>IFERROR(VLOOKUP(DATA!#REF!,DATA!#REF!,1,FALSE),"")</f>
        <v/>
      </c>
      <c r="D2650" s="16" t="str">
        <f>IFERROR(VLOOKUP(C2650,DATA!#REF!,2,FALSE),"")</f>
        <v/>
      </c>
      <c r="I2650" s="17"/>
      <c r="J2650" s="17"/>
      <c r="P2650" s="17"/>
      <c r="Q2650" s="17"/>
    </row>
    <row r="2651" spans="2:17">
      <c r="B2651" s="17"/>
      <c r="C2651" s="16" t="str">
        <f>IFERROR(VLOOKUP(DATA!#REF!,DATA!#REF!,1,FALSE),"")</f>
        <v/>
      </c>
      <c r="D2651" s="16" t="str">
        <f>IFERROR(VLOOKUP(C2651,DATA!#REF!,2,FALSE),"")</f>
        <v/>
      </c>
      <c r="I2651" s="17"/>
      <c r="J2651" s="17"/>
      <c r="P2651" s="17"/>
      <c r="Q2651" s="17"/>
    </row>
    <row r="2652" spans="2:17">
      <c r="B2652" s="17"/>
      <c r="C2652" s="16" t="str">
        <f>IFERROR(VLOOKUP(DATA!#REF!,DATA!#REF!,1,FALSE),"")</f>
        <v/>
      </c>
      <c r="D2652" s="16" t="str">
        <f>IFERROR(VLOOKUP(C2652,DATA!#REF!,2,FALSE),"")</f>
        <v/>
      </c>
      <c r="I2652" s="17"/>
      <c r="J2652" s="17"/>
      <c r="P2652" s="17"/>
      <c r="Q2652" s="17"/>
    </row>
    <row r="2653" spans="2:17">
      <c r="B2653" s="17"/>
      <c r="C2653" s="16" t="str">
        <f>IFERROR(VLOOKUP(DATA!#REF!,DATA!#REF!,1,FALSE),"")</f>
        <v/>
      </c>
      <c r="D2653" s="16" t="str">
        <f>IFERROR(VLOOKUP(C2653,DATA!#REF!,2,FALSE),"")</f>
        <v/>
      </c>
      <c r="I2653" s="17"/>
      <c r="J2653" s="17"/>
      <c r="P2653" s="17"/>
      <c r="Q2653" s="17"/>
    </row>
    <row r="2654" spans="2:17">
      <c r="B2654" s="17"/>
      <c r="C2654" s="16" t="str">
        <f>IFERROR(VLOOKUP(DATA!#REF!,DATA!#REF!,1,FALSE),"")</f>
        <v/>
      </c>
      <c r="D2654" s="16" t="str">
        <f>IFERROR(VLOOKUP(C2654,DATA!#REF!,2,FALSE),"")</f>
        <v/>
      </c>
      <c r="I2654" s="17"/>
      <c r="J2654" s="17"/>
      <c r="P2654" s="17"/>
      <c r="Q2654" s="17"/>
    </row>
    <row r="2655" spans="2:17">
      <c r="B2655" s="17"/>
      <c r="C2655" s="16" t="str">
        <f>IFERROR(VLOOKUP(DATA!#REF!,DATA!#REF!,1,FALSE),"")</f>
        <v/>
      </c>
      <c r="D2655" s="16" t="str">
        <f>IFERROR(VLOOKUP(C2655,DATA!#REF!,2,FALSE),"")</f>
        <v/>
      </c>
      <c r="I2655" s="17"/>
      <c r="J2655" s="17"/>
      <c r="P2655" s="17"/>
      <c r="Q2655" s="17"/>
    </row>
    <row r="2656" spans="2:17">
      <c r="B2656" s="17"/>
      <c r="C2656" s="16" t="str">
        <f>IFERROR(VLOOKUP(DATA!#REF!,DATA!#REF!,1,FALSE),"")</f>
        <v/>
      </c>
      <c r="D2656" s="16" t="str">
        <f>IFERROR(VLOOKUP(C2656,DATA!#REF!,2,FALSE),"")</f>
        <v/>
      </c>
      <c r="I2656" s="17"/>
      <c r="J2656" s="17"/>
      <c r="P2656" s="17"/>
      <c r="Q2656" s="17"/>
    </row>
    <row r="2657" spans="2:17">
      <c r="B2657" s="17"/>
      <c r="C2657" s="16" t="str">
        <f>IFERROR(VLOOKUP(DATA!#REF!,DATA!#REF!,1,FALSE),"")</f>
        <v/>
      </c>
      <c r="D2657" s="16" t="str">
        <f>IFERROR(VLOOKUP(C2657,DATA!#REF!,2,FALSE),"")</f>
        <v/>
      </c>
      <c r="I2657" s="17"/>
      <c r="J2657" s="17"/>
      <c r="P2657" s="17"/>
      <c r="Q2657" s="17"/>
    </row>
    <row r="2658" spans="2:17">
      <c r="B2658" s="17"/>
      <c r="C2658" s="16" t="str">
        <f>IFERROR(VLOOKUP(DATA!#REF!,DATA!#REF!,1,FALSE),"")</f>
        <v/>
      </c>
      <c r="D2658" s="16" t="str">
        <f>IFERROR(VLOOKUP(C2658,DATA!#REF!,2,FALSE),"")</f>
        <v/>
      </c>
      <c r="I2658" s="17"/>
      <c r="J2658" s="17"/>
      <c r="P2658" s="17"/>
      <c r="Q2658" s="17"/>
    </row>
    <row r="2659" spans="2:17">
      <c r="B2659" s="17"/>
      <c r="C2659" s="16" t="str">
        <f>IFERROR(VLOOKUP(DATA!#REF!,DATA!#REF!,1,FALSE),"")</f>
        <v/>
      </c>
      <c r="D2659" s="16" t="str">
        <f>IFERROR(VLOOKUP(C2659,DATA!#REF!,2,FALSE),"")</f>
        <v/>
      </c>
      <c r="I2659" s="17"/>
      <c r="J2659" s="17"/>
      <c r="P2659" s="17"/>
      <c r="Q2659" s="17"/>
    </row>
    <row r="2660" spans="2:17">
      <c r="B2660" s="17"/>
      <c r="C2660" s="16" t="str">
        <f>IFERROR(VLOOKUP(DATA!#REF!,DATA!#REF!,1,FALSE),"")</f>
        <v/>
      </c>
      <c r="D2660" s="16" t="str">
        <f>IFERROR(VLOOKUP(C2660,DATA!#REF!,2,FALSE),"")</f>
        <v/>
      </c>
      <c r="I2660" s="17"/>
      <c r="J2660" s="17"/>
      <c r="P2660" s="17"/>
      <c r="Q2660" s="17"/>
    </row>
    <row r="2661" spans="2:17">
      <c r="B2661" s="17"/>
      <c r="C2661" s="16" t="str">
        <f>IFERROR(VLOOKUP(DATA!#REF!,DATA!#REF!,1,FALSE),"")</f>
        <v/>
      </c>
      <c r="D2661" s="16" t="str">
        <f>IFERROR(VLOOKUP(C2661,DATA!#REF!,2,FALSE),"")</f>
        <v/>
      </c>
      <c r="I2661" s="17"/>
      <c r="J2661" s="17"/>
      <c r="P2661" s="17"/>
      <c r="Q2661" s="17"/>
    </row>
    <row r="2662" spans="2:17">
      <c r="B2662" s="17"/>
      <c r="C2662" s="16" t="str">
        <f>IFERROR(VLOOKUP(DATA!#REF!,DATA!#REF!,1,FALSE),"")</f>
        <v/>
      </c>
      <c r="D2662" s="16" t="str">
        <f>IFERROR(VLOOKUP(C2662,DATA!#REF!,2,FALSE),"")</f>
        <v/>
      </c>
      <c r="I2662" s="17"/>
      <c r="J2662" s="17"/>
      <c r="P2662" s="17"/>
      <c r="Q2662" s="17"/>
    </row>
    <row r="2663" spans="2:17">
      <c r="B2663" s="17"/>
      <c r="C2663" s="16" t="str">
        <f>IFERROR(VLOOKUP(DATA!#REF!,DATA!#REF!,1,FALSE),"")</f>
        <v/>
      </c>
      <c r="D2663" s="16" t="str">
        <f>IFERROR(VLOOKUP(C2663,DATA!#REF!,2,FALSE),"")</f>
        <v/>
      </c>
      <c r="I2663" s="17"/>
      <c r="J2663" s="17"/>
      <c r="P2663" s="17"/>
      <c r="Q2663" s="17"/>
    </row>
    <row r="2664" spans="2:17">
      <c r="B2664" s="17"/>
      <c r="C2664" s="16" t="str">
        <f>IFERROR(VLOOKUP(DATA!#REF!,DATA!#REF!,1,FALSE),"")</f>
        <v/>
      </c>
      <c r="D2664" s="16" t="str">
        <f>IFERROR(VLOOKUP(C2664,DATA!#REF!,2,FALSE),"")</f>
        <v/>
      </c>
      <c r="I2664" s="17"/>
      <c r="J2664" s="17"/>
      <c r="P2664" s="17"/>
      <c r="Q2664" s="17"/>
    </row>
    <row r="2665" spans="2:17">
      <c r="B2665" s="17"/>
      <c r="C2665" s="16" t="str">
        <f>IFERROR(VLOOKUP(DATA!#REF!,DATA!#REF!,1,FALSE),"")</f>
        <v/>
      </c>
      <c r="D2665" s="16" t="str">
        <f>IFERROR(VLOOKUP(C2665,DATA!#REF!,2,FALSE),"")</f>
        <v/>
      </c>
      <c r="I2665" s="17"/>
      <c r="J2665" s="17"/>
      <c r="P2665" s="17"/>
      <c r="Q2665" s="17"/>
    </row>
    <row r="2666" spans="2:17">
      <c r="B2666" s="17"/>
      <c r="C2666" s="16" t="str">
        <f>IFERROR(VLOOKUP(DATA!#REF!,DATA!#REF!,1,FALSE),"")</f>
        <v/>
      </c>
      <c r="D2666" s="16" t="str">
        <f>IFERROR(VLOOKUP(C2666,DATA!#REF!,2,FALSE),"")</f>
        <v/>
      </c>
      <c r="I2666" s="17"/>
      <c r="J2666" s="17"/>
      <c r="P2666" s="17"/>
      <c r="Q2666" s="17"/>
    </row>
    <row r="2667" spans="2:17">
      <c r="B2667" s="17"/>
      <c r="C2667" s="16" t="str">
        <f>IFERROR(VLOOKUP(DATA!#REF!,DATA!#REF!,1,FALSE),"")</f>
        <v/>
      </c>
      <c r="D2667" s="16" t="str">
        <f>IFERROR(VLOOKUP(C2667,DATA!#REF!,2,FALSE),"")</f>
        <v/>
      </c>
      <c r="I2667" s="17"/>
      <c r="J2667" s="17"/>
      <c r="P2667" s="17"/>
      <c r="Q2667" s="17"/>
    </row>
    <row r="2668" spans="2:17">
      <c r="B2668" s="17"/>
      <c r="C2668" s="16" t="str">
        <f>IFERROR(VLOOKUP(DATA!#REF!,DATA!#REF!,1,FALSE),"")</f>
        <v/>
      </c>
      <c r="D2668" s="16" t="str">
        <f>IFERROR(VLOOKUP(C2668,DATA!#REF!,2,FALSE),"")</f>
        <v/>
      </c>
      <c r="I2668" s="17"/>
      <c r="J2668" s="17"/>
      <c r="P2668" s="17"/>
      <c r="Q2668" s="17"/>
    </row>
    <row r="2669" spans="2:17">
      <c r="B2669" s="17"/>
      <c r="C2669" s="16" t="str">
        <f>IFERROR(VLOOKUP(DATA!#REF!,DATA!#REF!,1,FALSE),"")</f>
        <v/>
      </c>
      <c r="D2669" s="16" t="str">
        <f>IFERROR(VLOOKUP(C2669,DATA!#REF!,2,FALSE),"")</f>
        <v/>
      </c>
      <c r="I2669" s="17"/>
      <c r="J2669" s="17"/>
      <c r="P2669" s="17"/>
      <c r="Q2669" s="17"/>
    </row>
    <row r="2670" spans="2:17">
      <c r="B2670" s="17"/>
      <c r="C2670" s="16" t="str">
        <f>IFERROR(VLOOKUP(DATA!#REF!,DATA!#REF!,1,FALSE),"")</f>
        <v/>
      </c>
      <c r="D2670" s="16" t="str">
        <f>IFERROR(VLOOKUP(C2670,DATA!#REF!,2,FALSE),"")</f>
        <v/>
      </c>
      <c r="I2670" s="17"/>
      <c r="J2670" s="17"/>
      <c r="P2670" s="17"/>
      <c r="Q2670" s="17"/>
    </row>
    <row r="2671" spans="2:17">
      <c r="B2671" s="17"/>
      <c r="C2671" s="16" t="str">
        <f>IFERROR(VLOOKUP(DATA!#REF!,DATA!#REF!,1,FALSE),"")</f>
        <v/>
      </c>
      <c r="D2671" s="16" t="str">
        <f>IFERROR(VLOOKUP(C2671,DATA!#REF!,2,FALSE),"")</f>
        <v/>
      </c>
      <c r="I2671" s="17"/>
      <c r="J2671" s="17"/>
      <c r="P2671" s="17"/>
      <c r="Q2671" s="17"/>
    </row>
    <row r="2672" spans="2:17">
      <c r="B2672" s="17"/>
      <c r="C2672" s="16" t="str">
        <f>IFERROR(VLOOKUP(DATA!#REF!,DATA!#REF!,1,FALSE),"")</f>
        <v/>
      </c>
      <c r="D2672" s="16" t="str">
        <f>IFERROR(VLOOKUP(C2672,DATA!#REF!,2,FALSE),"")</f>
        <v/>
      </c>
      <c r="I2672" s="17"/>
      <c r="J2672" s="17"/>
      <c r="P2672" s="17"/>
      <c r="Q2672" s="17"/>
    </row>
    <row r="2673" spans="2:17">
      <c r="B2673" s="17"/>
      <c r="C2673" s="16" t="str">
        <f>IFERROR(VLOOKUP(DATA!#REF!,DATA!#REF!,1,FALSE),"")</f>
        <v/>
      </c>
      <c r="D2673" s="16" t="str">
        <f>IFERROR(VLOOKUP(C2673,DATA!#REF!,2,FALSE),"")</f>
        <v/>
      </c>
      <c r="I2673" s="17"/>
      <c r="J2673" s="17"/>
      <c r="P2673" s="17"/>
      <c r="Q2673" s="17"/>
    </row>
    <row r="2674" spans="2:17">
      <c r="B2674" s="17"/>
      <c r="C2674" s="16" t="str">
        <f>IFERROR(VLOOKUP(DATA!#REF!,DATA!#REF!,1,FALSE),"")</f>
        <v/>
      </c>
      <c r="D2674" s="16" t="str">
        <f>IFERROR(VLOOKUP(C2674,DATA!#REF!,2,FALSE),"")</f>
        <v/>
      </c>
      <c r="I2674" s="17"/>
      <c r="J2674" s="17"/>
      <c r="P2674" s="17"/>
      <c r="Q2674" s="17"/>
    </row>
    <row r="2675" spans="2:17">
      <c r="B2675" s="17"/>
      <c r="C2675" s="16" t="str">
        <f>IFERROR(VLOOKUP(DATA!#REF!,DATA!#REF!,1,FALSE),"")</f>
        <v/>
      </c>
      <c r="D2675" s="16" t="str">
        <f>IFERROR(VLOOKUP(C2675,DATA!#REF!,2,FALSE),"")</f>
        <v/>
      </c>
      <c r="I2675" s="17"/>
      <c r="J2675" s="17"/>
      <c r="P2675" s="17"/>
      <c r="Q2675" s="17"/>
    </row>
    <row r="2676" spans="2:17">
      <c r="B2676" s="17"/>
      <c r="C2676" s="16" t="str">
        <f>IFERROR(VLOOKUP(DATA!#REF!,DATA!#REF!,1,FALSE),"")</f>
        <v/>
      </c>
      <c r="D2676" s="16" t="str">
        <f>IFERROR(VLOOKUP(C2676,DATA!#REF!,2,FALSE),"")</f>
        <v/>
      </c>
      <c r="I2676" s="17"/>
      <c r="J2676" s="17"/>
      <c r="P2676" s="17"/>
      <c r="Q2676" s="17"/>
    </row>
    <row r="2677" spans="2:17">
      <c r="B2677" s="17"/>
      <c r="C2677" s="16" t="str">
        <f>IFERROR(VLOOKUP(DATA!#REF!,DATA!#REF!,1,FALSE),"")</f>
        <v/>
      </c>
      <c r="D2677" s="16" t="str">
        <f>IFERROR(VLOOKUP(C2677,DATA!#REF!,2,FALSE),"")</f>
        <v/>
      </c>
      <c r="I2677" s="17"/>
      <c r="J2677" s="17"/>
      <c r="P2677" s="17"/>
      <c r="Q2677" s="17"/>
    </row>
    <row r="2678" spans="2:17">
      <c r="B2678" s="17"/>
      <c r="C2678" s="16" t="str">
        <f>IFERROR(VLOOKUP(DATA!#REF!,DATA!#REF!,1,FALSE),"")</f>
        <v/>
      </c>
      <c r="D2678" s="16" t="str">
        <f>IFERROR(VLOOKUP(C2678,DATA!#REF!,2,FALSE),"")</f>
        <v/>
      </c>
      <c r="I2678" s="17"/>
      <c r="J2678" s="17"/>
      <c r="P2678" s="17"/>
      <c r="Q2678" s="17"/>
    </row>
    <row r="2679" spans="2:17">
      <c r="B2679" s="17"/>
      <c r="C2679" s="16" t="str">
        <f>IFERROR(VLOOKUP(DATA!#REF!,DATA!#REF!,1,FALSE),"")</f>
        <v/>
      </c>
      <c r="D2679" s="16" t="str">
        <f>IFERROR(VLOOKUP(C2679,DATA!#REF!,2,FALSE),"")</f>
        <v/>
      </c>
      <c r="I2679" s="17"/>
      <c r="J2679" s="17"/>
      <c r="P2679" s="17"/>
      <c r="Q2679" s="17"/>
    </row>
    <row r="2680" spans="2:17">
      <c r="B2680" s="17"/>
      <c r="C2680" s="16" t="str">
        <f>IFERROR(VLOOKUP(DATA!#REF!,DATA!#REF!,1,FALSE),"")</f>
        <v/>
      </c>
      <c r="D2680" s="16" t="str">
        <f>IFERROR(VLOOKUP(C2680,DATA!#REF!,2,FALSE),"")</f>
        <v/>
      </c>
      <c r="I2680" s="17"/>
      <c r="J2680" s="17"/>
      <c r="P2680" s="17"/>
      <c r="Q2680" s="17"/>
    </row>
    <row r="2681" spans="2:17">
      <c r="B2681" s="17"/>
      <c r="C2681" s="16" t="str">
        <f>IFERROR(VLOOKUP(DATA!#REF!,DATA!#REF!,1,FALSE),"")</f>
        <v/>
      </c>
      <c r="D2681" s="16" t="str">
        <f>IFERROR(VLOOKUP(C2681,DATA!#REF!,2,FALSE),"")</f>
        <v/>
      </c>
      <c r="I2681" s="17"/>
      <c r="J2681" s="17"/>
      <c r="P2681" s="17"/>
      <c r="Q2681" s="17"/>
    </row>
    <row r="2682" spans="2:17">
      <c r="B2682" s="17"/>
      <c r="C2682" s="16" t="str">
        <f>IFERROR(VLOOKUP(DATA!#REF!,DATA!#REF!,1,FALSE),"")</f>
        <v/>
      </c>
      <c r="D2682" s="16" t="str">
        <f>IFERROR(VLOOKUP(C2682,DATA!#REF!,2,FALSE),"")</f>
        <v/>
      </c>
      <c r="I2682" s="17"/>
      <c r="J2682" s="17"/>
      <c r="P2682" s="17"/>
      <c r="Q2682" s="17"/>
    </row>
    <row r="2683" spans="2:17">
      <c r="B2683" s="17"/>
      <c r="C2683" s="16" t="str">
        <f>IFERROR(VLOOKUP(DATA!#REF!,DATA!#REF!,1,FALSE),"")</f>
        <v/>
      </c>
      <c r="D2683" s="16" t="str">
        <f>IFERROR(VLOOKUP(C2683,DATA!#REF!,2,FALSE),"")</f>
        <v/>
      </c>
      <c r="I2683" s="17"/>
      <c r="J2683" s="17"/>
      <c r="P2683" s="17"/>
      <c r="Q2683" s="17"/>
    </row>
    <row r="2684" spans="2:17">
      <c r="B2684" s="17"/>
      <c r="C2684" s="16" t="str">
        <f>IFERROR(VLOOKUP(DATA!#REF!,DATA!#REF!,1,FALSE),"")</f>
        <v/>
      </c>
      <c r="D2684" s="16" t="str">
        <f>IFERROR(VLOOKUP(C2684,DATA!#REF!,2,FALSE),"")</f>
        <v/>
      </c>
      <c r="I2684" s="17"/>
      <c r="J2684" s="17"/>
      <c r="P2684" s="17"/>
      <c r="Q2684" s="17"/>
    </row>
    <row r="2685" spans="2:17">
      <c r="B2685" s="17"/>
      <c r="C2685" s="16" t="str">
        <f>IFERROR(VLOOKUP(DATA!#REF!,DATA!#REF!,1,FALSE),"")</f>
        <v/>
      </c>
      <c r="D2685" s="16" t="str">
        <f>IFERROR(VLOOKUP(C2685,DATA!#REF!,2,FALSE),"")</f>
        <v/>
      </c>
      <c r="I2685" s="17"/>
      <c r="J2685" s="17"/>
      <c r="P2685" s="17"/>
      <c r="Q2685" s="17"/>
    </row>
    <row r="2686" spans="2:17">
      <c r="B2686" s="17"/>
      <c r="C2686" s="16" t="str">
        <f>IFERROR(VLOOKUP(DATA!#REF!,DATA!#REF!,1,FALSE),"")</f>
        <v/>
      </c>
      <c r="D2686" s="16" t="str">
        <f>IFERROR(VLOOKUP(C2686,DATA!#REF!,2,FALSE),"")</f>
        <v/>
      </c>
      <c r="I2686" s="17"/>
      <c r="J2686" s="17"/>
      <c r="P2686" s="17"/>
      <c r="Q2686" s="17"/>
    </row>
    <row r="2687" spans="2:17">
      <c r="B2687" s="17"/>
      <c r="C2687" s="16" t="str">
        <f>IFERROR(VLOOKUP(DATA!#REF!,DATA!#REF!,1,FALSE),"")</f>
        <v/>
      </c>
      <c r="D2687" s="16" t="str">
        <f>IFERROR(VLOOKUP(C2687,DATA!#REF!,2,FALSE),"")</f>
        <v/>
      </c>
      <c r="I2687" s="17"/>
      <c r="J2687" s="17"/>
      <c r="P2687" s="17"/>
      <c r="Q2687" s="17"/>
    </row>
    <row r="2688" spans="2:17">
      <c r="B2688" s="17"/>
      <c r="C2688" s="16" t="str">
        <f>IFERROR(VLOOKUP(DATA!#REF!,DATA!#REF!,1,FALSE),"")</f>
        <v/>
      </c>
      <c r="D2688" s="16" t="str">
        <f>IFERROR(VLOOKUP(C2688,DATA!#REF!,2,FALSE),"")</f>
        <v/>
      </c>
      <c r="I2688" s="17"/>
      <c r="J2688" s="17"/>
      <c r="P2688" s="17"/>
      <c r="Q2688" s="17"/>
    </row>
    <row r="2689" spans="2:17">
      <c r="B2689" s="17"/>
      <c r="C2689" s="16" t="str">
        <f>IFERROR(VLOOKUP(DATA!#REF!,DATA!#REF!,1,FALSE),"")</f>
        <v/>
      </c>
      <c r="D2689" s="16" t="str">
        <f>IFERROR(VLOOKUP(C2689,DATA!#REF!,2,FALSE),"")</f>
        <v/>
      </c>
      <c r="I2689" s="17"/>
      <c r="J2689" s="17"/>
      <c r="P2689" s="17"/>
      <c r="Q2689" s="17"/>
    </row>
    <row r="2690" spans="2:17">
      <c r="B2690" s="17"/>
      <c r="C2690" s="16" t="str">
        <f>IFERROR(VLOOKUP(DATA!#REF!,DATA!#REF!,1,FALSE),"")</f>
        <v/>
      </c>
      <c r="D2690" s="16" t="str">
        <f>IFERROR(VLOOKUP(C2690,DATA!#REF!,2,FALSE),"")</f>
        <v/>
      </c>
      <c r="I2690" s="17"/>
      <c r="J2690" s="17"/>
      <c r="P2690" s="17"/>
      <c r="Q2690" s="17"/>
    </row>
    <row r="2691" spans="2:17">
      <c r="B2691" s="17"/>
      <c r="C2691" s="16" t="str">
        <f>IFERROR(VLOOKUP(DATA!#REF!,DATA!#REF!,1,FALSE),"")</f>
        <v/>
      </c>
      <c r="D2691" s="16" t="str">
        <f>IFERROR(VLOOKUP(C2691,DATA!#REF!,2,FALSE),"")</f>
        <v/>
      </c>
      <c r="I2691" s="17"/>
      <c r="J2691" s="17"/>
      <c r="P2691" s="17"/>
      <c r="Q2691" s="17"/>
    </row>
    <row r="2692" spans="2:17">
      <c r="B2692" s="17"/>
      <c r="C2692" s="16" t="str">
        <f>IFERROR(VLOOKUP(DATA!#REF!,DATA!#REF!,1,FALSE),"")</f>
        <v/>
      </c>
      <c r="D2692" s="16" t="str">
        <f>IFERROR(VLOOKUP(C2692,DATA!#REF!,2,FALSE),"")</f>
        <v/>
      </c>
      <c r="I2692" s="17"/>
      <c r="J2692" s="17"/>
      <c r="P2692" s="17"/>
      <c r="Q2692" s="17"/>
    </row>
    <row r="2693" spans="2:17">
      <c r="B2693" s="17"/>
      <c r="C2693" s="16" t="str">
        <f>IFERROR(VLOOKUP(DATA!#REF!,DATA!#REF!,1,FALSE),"")</f>
        <v/>
      </c>
      <c r="D2693" s="16" t="str">
        <f>IFERROR(VLOOKUP(C2693,DATA!#REF!,2,FALSE),"")</f>
        <v/>
      </c>
      <c r="I2693" s="17"/>
      <c r="J2693" s="17"/>
      <c r="P2693" s="17"/>
      <c r="Q2693" s="17"/>
    </row>
    <row r="2694" spans="2:17">
      <c r="B2694" s="17"/>
      <c r="C2694" s="16" t="str">
        <f>IFERROR(VLOOKUP(DATA!#REF!,DATA!#REF!,1,FALSE),"")</f>
        <v/>
      </c>
      <c r="D2694" s="16" t="str">
        <f>IFERROR(VLOOKUP(C2694,DATA!#REF!,2,FALSE),"")</f>
        <v/>
      </c>
      <c r="I2694" s="17"/>
      <c r="J2694" s="17"/>
      <c r="P2694" s="17"/>
      <c r="Q2694" s="17"/>
    </row>
    <row r="2695" spans="2:17">
      <c r="B2695" s="17"/>
      <c r="C2695" s="16" t="str">
        <f>IFERROR(VLOOKUP(DATA!#REF!,DATA!#REF!,1,FALSE),"")</f>
        <v/>
      </c>
      <c r="D2695" s="16" t="str">
        <f>IFERROR(VLOOKUP(C2695,DATA!#REF!,2,FALSE),"")</f>
        <v/>
      </c>
      <c r="I2695" s="17"/>
      <c r="J2695" s="17"/>
      <c r="P2695" s="17"/>
      <c r="Q2695" s="17"/>
    </row>
    <row r="2696" spans="2:17">
      <c r="B2696" s="17"/>
      <c r="C2696" s="16" t="str">
        <f>IFERROR(VLOOKUP(DATA!#REF!,DATA!#REF!,1,FALSE),"")</f>
        <v/>
      </c>
      <c r="D2696" s="16" t="str">
        <f>IFERROR(VLOOKUP(C2696,DATA!#REF!,2,FALSE),"")</f>
        <v/>
      </c>
      <c r="I2696" s="17"/>
      <c r="J2696" s="17"/>
      <c r="P2696" s="17"/>
      <c r="Q2696" s="17"/>
    </row>
    <row r="2697" spans="2:17">
      <c r="B2697" s="17"/>
      <c r="C2697" s="16" t="str">
        <f>IFERROR(VLOOKUP(DATA!#REF!,DATA!#REF!,1,FALSE),"")</f>
        <v/>
      </c>
      <c r="D2697" s="16" t="str">
        <f>IFERROR(VLOOKUP(C2697,DATA!#REF!,2,FALSE),"")</f>
        <v/>
      </c>
      <c r="I2697" s="17"/>
      <c r="J2697" s="17"/>
      <c r="P2697" s="17"/>
      <c r="Q2697" s="17"/>
    </row>
    <row r="2698" spans="2:17">
      <c r="B2698" s="17"/>
      <c r="C2698" s="16" t="str">
        <f>IFERROR(VLOOKUP(DATA!#REF!,DATA!#REF!,1,FALSE),"")</f>
        <v/>
      </c>
      <c r="D2698" s="16" t="str">
        <f>IFERROR(VLOOKUP(C2698,DATA!#REF!,2,FALSE),"")</f>
        <v/>
      </c>
      <c r="I2698" s="17"/>
      <c r="J2698" s="17"/>
      <c r="P2698" s="17"/>
      <c r="Q2698" s="17"/>
    </row>
    <row r="2699" spans="2:17">
      <c r="B2699" s="17"/>
      <c r="C2699" s="16" t="str">
        <f>IFERROR(VLOOKUP(DATA!#REF!,DATA!#REF!,1,FALSE),"")</f>
        <v/>
      </c>
      <c r="D2699" s="16" t="str">
        <f>IFERROR(VLOOKUP(C2699,DATA!#REF!,2,FALSE),"")</f>
        <v/>
      </c>
      <c r="I2699" s="17"/>
      <c r="J2699" s="17"/>
      <c r="P2699" s="17"/>
      <c r="Q2699" s="17"/>
    </row>
    <row r="2700" spans="2:17">
      <c r="B2700" s="17"/>
      <c r="C2700" s="16" t="str">
        <f>IFERROR(VLOOKUP(DATA!#REF!,DATA!#REF!,1,FALSE),"")</f>
        <v/>
      </c>
      <c r="D2700" s="16" t="str">
        <f>IFERROR(VLOOKUP(C2700,DATA!#REF!,2,FALSE),"")</f>
        <v/>
      </c>
      <c r="I2700" s="17"/>
      <c r="J2700" s="17"/>
      <c r="P2700" s="17"/>
      <c r="Q2700" s="17"/>
    </row>
    <row r="2701" spans="2:17">
      <c r="B2701" s="17"/>
      <c r="C2701" s="16" t="str">
        <f>IFERROR(VLOOKUP(DATA!#REF!,DATA!#REF!,1,FALSE),"")</f>
        <v/>
      </c>
      <c r="D2701" s="16" t="str">
        <f>IFERROR(VLOOKUP(C2701,DATA!#REF!,2,FALSE),"")</f>
        <v/>
      </c>
      <c r="I2701" s="17"/>
      <c r="J2701" s="17"/>
      <c r="P2701" s="17"/>
      <c r="Q2701" s="17"/>
    </row>
    <row r="2702" spans="2:17">
      <c r="B2702" s="17"/>
      <c r="C2702" s="16" t="str">
        <f>IFERROR(VLOOKUP(DATA!#REF!,DATA!#REF!,1,FALSE),"")</f>
        <v/>
      </c>
      <c r="D2702" s="16" t="str">
        <f>IFERROR(VLOOKUP(C2702,DATA!#REF!,2,FALSE),"")</f>
        <v/>
      </c>
      <c r="I2702" s="17"/>
      <c r="J2702" s="17"/>
      <c r="P2702" s="17"/>
      <c r="Q2702" s="17"/>
    </row>
    <row r="2703" spans="2:17">
      <c r="B2703" s="17"/>
      <c r="C2703" s="16" t="str">
        <f>IFERROR(VLOOKUP(DATA!#REF!,DATA!#REF!,1,FALSE),"")</f>
        <v/>
      </c>
      <c r="D2703" s="16" t="str">
        <f>IFERROR(VLOOKUP(C2703,DATA!#REF!,2,FALSE),"")</f>
        <v/>
      </c>
      <c r="I2703" s="17"/>
      <c r="J2703" s="17"/>
      <c r="P2703" s="17"/>
      <c r="Q2703" s="17"/>
    </row>
    <row r="2704" spans="2:17">
      <c r="B2704" s="17"/>
      <c r="C2704" s="16" t="str">
        <f>IFERROR(VLOOKUP(DATA!#REF!,DATA!#REF!,1,FALSE),"")</f>
        <v/>
      </c>
      <c r="D2704" s="16" t="str">
        <f>IFERROR(VLOOKUP(C2704,DATA!#REF!,2,FALSE),"")</f>
        <v/>
      </c>
      <c r="I2704" s="17"/>
      <c r="J2704" s="17"/>
      <c r="P2704" s="17"/>
      <c r="Q2704" s="17"/>
    </row>
    <row r="2705" spans="2:17">
      <c r="B2705" s="17"/>
      <c r="C2705" s="16" t="str">
        <f>IFERROR(VLOOKUP(DATA!#REF!,DATA!#REF!,1,FALSE),"")</f>
        <v/>
      </c>
      <c r="D2705" s="16" t="str">
        <f>IFERROR(VLOOKUP(C2705,DATA!#REF!,2,FALSE),"")</f>
        <v/>
      </c>
      <c r="I2705" s="17"/>
      <c r="J2705" s="17"/>
      <c r="P2705" s="17"/>
      <c r="Q2705" s="17"/>
    </row>
    <row r="2706" spans="2:17">
      <c r="B2706" s="17"/>
      <c r="C2706" s="16" t="str">
        <f>IFERROR(VLOOKUP(DATA!#REF!,DATA!#REF!,1,FALSE),"")</f>
        <v/>
      </c>
      <c r="D2706" s="16" t="str">
        <f>IFERROR(VLOOKUP(C2706,DATA!#REF!,2,FALSE),"")</f>
        <v/>
      </c>
      <c r="I2706" s="17"/>
      <c r="J2706" s="17"/>
      <c r="P2706" s="17"/>
      <c r="Q2706" s="17"/>
    </row>
    <row r="2707" spans="2:17">
      <c r="B2707" s="17"/>
      <c r="C2707" s="16" t="str">
        <f>IFERROR(VLOOKUP(DATA!#REF!,DATA!#REF!,1,FALSE),"")</f>
        <v/>
      </c>
      <c r="D2707" s="16" t="str">
        <f>IFERROR(VLOOKUP(C2707,DATA!#REF!,2,FALSE),"")</f>
        <v/>
      </c>
      <c r="I2707" s="17"/>
      <c r="J2707" s="17"/>
      <c r="P2707" s="17"/>
      <c r="Q2707" s="17"/>
    </row>
    <row r="2708" spans="2:17">
      <c r="B2708" s="17"/>
      <c r="C2708" s="16" t="str">
        <f>IFERROR(VLOOKUP(DATA!#REF!,DATA!#REF!,1,FALSE),"")</f>
        <v/>
      </c>
      <c r="D2708" s="16" t="str">
        <f>IFERROR(VLOOKUP(C2708,DATA!#REF!,2,FALSE),"")</f>
        <v/>
      </c>
      <c r="I2708" s="17"/>
      <c r="J2708" s="17"/>
      <c r="P2708" s="17"/>
      <c r="Q2708" s="17"/>
    </row>
    <row r="2709" spans="2:17">
      <c r="B2709" s="17"/>
      <c r="C2709" s="16" t="str">
        <f>IFERROR(VLOOKUP(DATA!#REF!,DATA!#REF!,1,FALSE),"")</f>
        <v/>
      </c>
      <c r="D2709" s="16" t="str">
        <f>IFERROR(VLOOKUP(C2709,DATA!#REF!,2,FALSE),"")</f>
        <v/>
      </c>
      <c r="I2709" s="17"/>
      <c r="J2709" s="17"/>
      <c r="P2709" s="17"/>
      <c r="Q2709" s="17"/>
    </row>
    <row r="2710" spans="2:17">
      <c r="B2710" s="17"/>
      <c r="C2710" s="16" t="str">
        <f>IFERROR(VLOOKUP(DATA!#REF!,DATA!#REF!,1,FALSE),"")</f>
        <v/>
      </c>
      <c r="D2710" s="16" t="str">
        <f>IFERROR(VLOOKUP(C2710,DATA!#REF!,2,FALSE),"")</f>
        <v/>
      </c>
      <c r="I2710" s="17"/>
      <c r="J2710" s="17"/>
      <c r="P2710" s="17"/>
      <c r="Q2710" s="17"/>
    </row>
    <row r="2711" spans="2:17">
      <c r="B2711" s="17"/>
      <c r="C2711" s="16" t="str">
        <f>IFERROR(VLOOKUP(DATA!#REF!,DATA!#REF!,1,FALSE),"")</f>
        <v/>
      </c>
      <c r="D2711" s="16" t="str">
        <f>IFERROR(VLOOKUP(C2711,DATA!#REF!,2,FALSE),"")</f>
        <v/>
      </c>
      <c r="I2711" s="17"/>
      <c r="J2711" s="17"/>
      <c r="P2711" s="17"/>
      <c r="Q2711" s="17"/>
    </row>
    <row r="2712" spans="2:17">
      <c r="B2712" s="17"/>
      <c r="C2712" s="16" t="str">
        <f>IFERROR(VLOOKUP(DATA!#REF!,DATA!#REF!,1,FALSE),"")</f>
        <v/>
      </c>
      <c r="D2712" s="16" t="str">
        <f>IFERROR(VLOOKUP(C2712,DATA!#REF!,2,FALSE),"")</f>
        <v/>
      </c>
      <c r="I2712" s="17"/>
      <c r="J2712" s="17"/>
      <c r="P2712" s="17"/>
      <c r="Q2712" s="17"/>
    </row>
    <row r="2713" spans="2:17">
      <c r="B2713" s="17"/>
      <c r="C2713" s="16" t="str">
        <f>IFERROR(VLOOKUP(DATA!#REF!,DATA!#REF!,1,FALSE),"")</f>
        <v/>
      </c>
      <c r="D2713" s="16" t="str">
        <f>IFERROR(VLOOKUP(C2713,DATA!#REF!,2,FALSE),"")</f>
        <v/>
      </c>
      <c r="I2713" s="17"/>
      <c r="J2713" s="17"/>
      <c r="P2713" s="17"/>
      <c r="Q2713" s="17"/>
    </row>
    <row r="2714" spans="2:17">
      <c r="B2714" s="17"/>
      <c r="C2714" s="16" t="str">
        <f>IFERROR(VLOOKUP(DATA!#REF!,DATA!#REF!,1,FALSE),"")</f>
        <v/>
      </c>
      <c r="D2714" s="16" t="str">
        <f>IFERROR(VLOOKUP(C2714,DATA!#REF!,2,FALSE),"")</f>
        <v/>
      </c>
      <c r="I2714" s="17"/>
      <c r="J2714" s="17"/>
      <c r="P2714" s="17"/>
      <c r="Q2714" s="17"/>
    </row>
    <row r="2715" spans="2:17">
      <c r="B2715" s="17"/>
      <c r="C2715" s="16" t="str">
        <f>IFERROR(VLOOKUP(DATA!#REF!,DATA!#REF!,1,FALSE),"")</f>
        <v/>
      </c>
      <c r="D2715" s="16" t="str">
        <f>IFERROR(VLOOKUP(C2715,DATA!#REF!,2,FALSE),"")</f>
        <v/>
      </c>
      <c r="I2715" s="17"/>
      <c r="J2715" s="17"/>
      <c r="P2715" s="17"/>
      <c r="Q2715" s="17"/>
    </row>
    <row r="2716" spans="2:17">
      <c r="B2716" s="17"/>
      <c r="C2716" s="16" t="str">
        <f>IFERROR(VLOOKUP(DATA!#REF!,DATA!#REF!,1,FALSE),"")</f>
        <v/>
      </c>
      <c r="D2716" s="16" t="str">
        <f>IFERROR(VLOOKUP(C2716,DATA!#REF!,2,FALSE),"")</f>
        <v/>
      </c>
      <c r="I2716" s="17"/>
      <c r="J2716" s="17"/>
      <c r="P2716" s="17"/>
      <c r="Q2716" s="17"/>
    </row>
    <row r="2717" spans="2:17">
      <c r="B2717" s="17"/>
      <c r="C2717" s="16" t="str">
        <f>IFERROR(VLOOKUP(DATA!#REF!,DATA!#REF!,1,FALSE),"")</f>
        <v/>
      </c>
      <c r="D2717" s="16" t="str">
        <f>IFERROR(VLOOKUP(C2717,DATA!#REF!,2,FALSE),"")</f>
        <v/>
      </c>
      <c r="I2717" s="17"/>
      <c r="J2717" s="17"/>
      <c r="P2717" s="17"/>
      <c r="Q2717" s="17"/>
    </row>
    <row r="2718" spans="2:17">
      <c r="B2718" s="17"/>
      <c r="C2718" s="16" t="str">
        <f>IFERROR(VLOOKUP(DATA!#REF!,DATA!#REF!,1,FALSE),"")</f>
        <v/>
      </c>
      <c r="D2718" s="16" t="str">
        <f>IFERROR(VLOOKUP(C2718,DATA!#REF!,2,FALSE),"")</f>
        <v/>
      </c>
      <c r="I2718" s="17"/>
      <c r="J2718" s="17"/>
      <c r="P2718" s="17"/>
      <c r="Q2718" s="17"/>
    </row>
    <row r="2719" spans="2:17">
      <c r="B2719" s="17"/>
      <c r="C2719" s="16" t="str">
        <f>IFERROR(VLOOKUP(DATA!#REF!,DATA!#REF!,1,FALSE),"")</f>
        <v/>
      </c>
      <c r="D2719" s="16" t="str">
        <f>IFERROR(VLOOKUP(C2719,DATA!#REF!,2,FALSE),"")</f>
        <v/>
      </c>
      <c r="I2719" s="17"/>
      <c r="J2719" s="17"/>
      <c r="P2719" s="17"/>
      <c r="Q2719" s="17"/>
    </row>
    <row r="2720" spans="2:17">
      <c r="B2720" s="17"/>
      <c r="C2720" s="16" t="str">
        <f>IFERROR(VLOOKUP(DATA!#REF!,DATA!#REF!,1,FALSE),"")</f>
        <v/>
      </c>
      <c r="D2720" s="16" t="str">
        <f>IFERROR(VLOOKUP(C2720,DATA!#REF!,2,FALSE),"")</f>
        <v/>
      </c>
      <c r="I2720" s="17"/>
      <c r="J2720" s="17"/>
      <c r="P2720" s="17"/>
      <c r="Q2720" s="17"/>
    </row>
    <row r="2721" spans="2:17">
      <c r="B2721" s="17"/>
      <c r="C2721" s="16" t="str">
        <f>IFERROR(VLOOKUP(DATA!#REF!,DATA!#REF!,1,FALSE),"")</f>
        <v/>
      </c>
      <c r="D2721" s="16" t="str">
        <f>IFERROR(VLOOKUP(C2721,DATA!#REF!,2,FALSE),"")</f>
        <v/>
      </c>
      <c r="I2721" s="17"/>
      <c r="J2721" s="17"/>
      <c r="P2721" s="17"/>
      <c r="Q2721" s="17"/>
    </row>
    <row r="2722" spans="2:17">
      <c r="B2722" s="17"/>
      <c r="C2722" s="16" t="str">
        <f>IFERROR(VLOOKUP(DATA!#REF!,DATA!#REF!,1,FALSE),"")</f>
        <v/>
      </c>
      <c r="D2722" s="16" t="str">
        <f>IFERROR(VLOOKUP(C2722,DATA!#REF!,2,FALSE),"")</f>
        <v/>
      </c>
      <c r="I2722" s="17"/>
      <c r="J2722" s="17"/>
      <c r="P2722" s="17"/>
      <c r="Q2722" s="17"/>
    </row>
    <row r="2723" spans="2:17">
      <c r="B2723" s="17"/>
      <c r="C2723" s="16" t="str">
        <f>IFERROR(VLOOKUP(DATA!#REF!,DATA!#REF!,1,FALSE),"")</f>
        <v/>
      </c>
      <c r="D2723" s="16" t="str">
        <f>IFERROR(VLOOKUP(C2723,DATA!#REF!,2,FALSE),"")</f>
        <v/>
      </c>
      <c r="I2723" s="17"/>
      <c r="J2723" s="17"/>
      <c r="P2723" s="17"/>
      <c r="Q2723" s="17"/>
    </row>
    <row r="2724" spans="2:17">
      <c r="B2724" s="17"/>
      <c r="C2724" s="16" t="str">
        <f>IFERROR(VLOOKUP(DATA!#REF!,DATA!#REF!,1,FALSE),"")</f>
        <v/>
      </c>
      <c r="D2724" s="16" t="str">
        <f>IFERROR(VLOOKUP(C2724,DATA!#REF!,2,FALSE),"")</f>
        <v/>
      </c>
      <c r="I2724" s="17"/>
      <c r="J2724" s="17"/>
      <c r="P2724" s="17"/>
      <c r="Q2724" s="17"/>
    </row>
    <row r="2725" spans="2:17">
      <c r="B2725" s="17"/>
      <c r="C2725" s="16" t="str">
        <f>IFERROR(VLOOKUP(DATA!#REF!,DATA!#REF!,1,FALSE),"")</f>
        <v/>
      </c>
      <c r="D2725" s="16" t="str">
        <f>IFERROR(VLOOKUP(C2725,DATA!#REF!,2,FALSE),"")</f>
        <v/>
      </c>
      <c r="I2725" s="17"/>
      <c r="J2725" s="17"/>
      <c r="P2725" s="17"/>
      <c r="Q2725" s="17"/>
    </row>
    <row r="2726" spans="2:17">
      <c r="B2726" s="17"/>
      <c r="C2726" s="16" t="str">
        <f>IFERROR(VLOOKUP(DATA!#REF!,DATA!#REF!,1,FALSE),"")</f>
        <v/>
      </c>
      <c r="D2726" s="16" t="str">
        <f>IFERROR(VLOOKUP(C2726,DATA!#REF!,2,FALSE),"")</f>
        <v/>
      </c>
      <c r="I2726" s="17"/>
      <c r="J2726" s="17"/>
      <c r="P2726" s="17"/>
      <c r="Q2726" s="17"/>
    </row>
    <row r="2727" spans="2:17">
      <c r="B2727" s="17"/>
      <c r="C2727" s="16" t="str">
        <f>IFERROR(VLOOKUP(DATA!#REF!,DATA!#REF!,1,FALSE),"")</f>
        <v/>
      </c>
      <c r="D2727" s="16" t="str">
        <f>IFERROR(VLOOKUP(C2727,DATA!#REF!,2,FALSE),"")</f>
        <v/>
      </c>
      <c r="I2727" s="17"/>
      <c r="J2727" s="17"/>
      <c r="P2727" s="17"/>
      <c r="Q2727" s="17"/>
    </row>
    <row r="2728" spans="2:17">
      <c r="B2728" s="17"/>
      <c r="C2728" s="16" t="str">
        <f>IFERROR(VLOOKUP(DATA!#REF!,DATA!#REF!,1,FALSE),"")</f>
        <v/>
      </c>
      <c r="D2728" s="16" t="str">
        <f>IFERROR(VLOOKUP(C2728,DATA!#REF!,2,FALSE),"")</f>
        <v/>
      </c>
      <c r="I2728" s="17"/>
      <c r="J2728" s="17"/>
      <c r="P2728" s="17"/>
      <c r="Q2728" s="17"/>
    </row>
    <row r="2729" spans="2:17">
      <c r="B2729" s="17"/>
      <c r="C2729" s="16" t="str">
        <f>IFERROR(VLOOKUP(DATA!#REF!,DATA!#REF!,1,FALSE),"")</f>
        <v/>
      </c>
      <c r="D2729" s="16" t="str">
        <f>IFERROR(VLOOKUP(C2729,DATA!#REF!,2,FALSE),"")</f>
        <v/>
      </c>
      <c r="I2729" s="17"/>
      <c r="J2729" s="17"/>
      <c r="P2729" s="17"/>
      <c r="Q2729" s="17"/>
    </row>
    <row r="2730" spans="2:17">
      <c r="B2730" s="17"/>
      <c r="C2730" s="16" t="str">
        <f>IFERROR(VLOOKUP(DATA!#REF!,DATA!#REF!,1,FALSE),"")</f>
        <v/>
      </c>
      <c r="D2730" s="16" t="str">
        <f>IFERROR(VLOOKUP(C2730,DATA!#REF!,2,FALSE),"")</f>
        <v/>
      </c>
      <c r="I2730" s="17"/>
      <c r="J2730" s="17"/>
      <c r="P2730" s="17"/>
      <c r="Q2730" s="17"/>
    </row>
    <row r="2731" spans="2:17">
      <c r="B2731" s="17"/>
      <c r="C2731" s="16" t="str">
        <f>IFERROR(VLOOKUP(DATA!#REF!,DATA!#REF!,1,FALSE),"")</f>
        <v/>
      </c>
      <c r="D2731" s="16" t="str">
        <f>IFERROR(VLOOKUP(C2731,DATA!#REF!,2,FALSE),"")</f>
        <v/>
      </c>
      <c r="I2731" s="17"/>
      <c r="J2731" s="17"/>
      <c r="P2731" s="17"/>
      <c r="Q2731" s="17"/>
    </row>
    <row r="2732" spans="2:17">
      <c r="B2732" s="17"/>
      <c r="C2732" s="16" t="str">
        <f>IFERROR(VLOOKUP(DATA!#REF!,DATA!#REF!,1,FALSE),"")</f>
        <v/>
      </c>
      <c r="D2732" s="16" t="str">
        <f>IFERROR(VLOOKUP(C2732,DATA!#REF!,2,FALSE),"")</f>
        <v/>
      </c>
      <c r="I2732" s="17"/>
      <c r="J2732" s="17"/>
      <c r="P2732" s="17"/>
      <c r="Q2732" s="17"/>
    </row>
    <row r="2733" spans="2:17">
      <c r="B2733" s="17"/>
      <c r="C2733" s="16" t="str">
        <f>IFERROR(VLOOKUP(DATA!#REF!,DATA!#REF!,1,FALSE),"")</f>
        <v/>
      </c>
      <c r="D2733" s="16" t="str">
        <f>IFERROR(VLOOKUP(C2733,DATA!#REF!,2,FALSE),"")</f>
        <v/>
      </c>
      <c r="I2733" s="17"/>
      <c r="J2733" s="17"/>
      <c r="P2733" s="17"/>
      <c r="Q2733" s="17"/>
    </row>
    <row r="2734" spans="2:17">
      <c r="B2734" s="17"/>
      <c r="C2734" s="16" t="str">
        <f>IFERROR(VLOOKUP(DATA!#REF!,DATA!#REF!,1,FALSE),"")</f>
        <v/>
      </c>
      <c r="D2734" s="16" t="str">
        <f>IFERROR(VLOOKUP(C2734,DATA!#REF!,2,FALSE),"")</f>
        <v/>
      </c>
      <c r="I2734" s="17"/>
      <c r="J2734" s="17"/>
      <c r="P2734" s="17"/>
      <c r="Q2734" s="17"/>
    </row>
    <row r="2735" spans="2:17">
      <c r="B2735" s="17"/>
      <c r="C2735" s="16" t="str">
        <f>IFERROR(VLOOKUP(DATA!#REF!,DATA!#REF!,1,FALSE),"")</f>
        <v/>
      </c>
      <c r="D2735" s="16" t="str">
        <f>IFERROR(VLOOKUP(C2735,DATA!#REF!,2,FALSE),"")</f>
        <v/>
      </c>
      <c r="I2735" s="17"/>
      <c r="J2735" s="17"/>
      <c r="P2735" s="17"/>
      <c r="Q2735" s="17"/>
    </row>
    <row r="2736" spans="2:17">
      <c r="B2736" s="17"/>
      <c r="C2736" s="16" t="str">
        <f>IFERROR(VLOOKUP(DATA!#REF!,DATA!#REF!,1,FALSE),"")</f>
        <v/>
      </c>
      <c r="D2736" s="16" t="str">
        <f>IFERROR(VLOOKUP(C2736,DATA!#REF!,2,FALSE),"")</f>
        <v/>
      </c>
      <c r="I2736" s="17"/>
      <c r="J2736" s="17"/>
      <c r="P2736" s="17"/>
      <c r="Q2736" s="17"/>
    </row>
    <row r="2737" spans="2:17">
      <c r="B2737" s="17"/>
      <c r="C2737" s="16" t="str">
        <f>IFERROR(VLOOKUP(DATA!#REF!,DATA!#REF!,1,FALSE),"")</f>
        <v/>
      </c>
      <c r="D2737" s="16" t="str">
        <f>IFERROR(VLOOKUP(C2737,DATA!#REF!,2,FALSE),"")</f>
        <v/>
      </c>
      <c r="I2737" s="17"/>
      <c r="J2737" s="17"/>
      <c r="P2737" s="17"/>
      <c r="Q2737" s="17"/>
    </row>
    <row r="2738" spans="2:17">
      <c r="B2738" s="17"/>
      <c r="C2738" s="16" t="str">
        <f>IFERROR(VLOOKUP(DATA!#REF!,DATA!#REF!,1,FALSE),"")</f>
        <v/>
      </c>
      <c r="D2738" s="16" t="str">
        <f>IFERROR(VLOOKUP(C2738,DATA!#REF!,2,FALSE),"")</f>
        <v/>
      </c>
      <c r="I2738" s="17"/>
      <c r="J2738" s="17"/>
      <c r="P2738" s="17"/>
      <c r="Q2738" s="17"/>
    </row>
    <row r="2739" spans="2:17">
      <c r="B2739" s="17"/>
      <c r="C2739" s="16" t="str">
        <f>IFERROR(VLOOKUP(DATA!#REF!,DATA!#REF!,1,FALSE),"")</f>
        <v/>
      </c>
      <c r="D2739" s="16" t="str">
        <f>IFERROR(VLOOKUP(C2739,DATA!#REF!,2,FALSE),"")</f>
        <v/>
      </c>
      <c r="I2739" s="17"/>
      <c r="J2739" s="17"/>
      <c r="P2739" s="17"/>
      <c r="Q2739" s="17"/>
    </row>
    <row r="2740" spans="2:17">
      <c r="B2740" s="17"/>
      <c r="C2740" s="16" t="str">
        <f>IFERROR(VLOOKUP(DATA!#REF!,DATA!#REF!,1,FALSE),"")</f>
        <v/>
      </c>
      <c r="D2740" s="16" t="str">
        <f>IFERROR(VLOOKUP(C2740,DATA!#REF!,2,FALSE),"")</f>
        <v/>
      </c>
      <c r="I2740" s="17"/>
      <c r="J2740" s="17"/>
      <c r="P2740" s="17"/>
      <c r="Q2740" s="17"/>
    </row>
    <row r="2741" spans="2:17">
      <c r="B2741" s="17"/>
      <c r="C2741" s="16" t="str">
        <f>IFERROR(VLOOKUP(DATA!#REF!,DATA!#REF!,1,FALSE),"")</f>
        <v/>
      </c>
      <c r="D2741" s="16" t="str">
        <f>IFERROR(VLOOKUP(C2741,DATA!#REF!,2,FALSE),"")</f>
        <v/>
      </c>
      <c r="I2741" s="17"/>
      <c r="J2741" s="17"/>
      <c r="P2741" s="17"/>
      <c r="Q2741" s="17"/>
    </row>
    <row r="2742" spans="2:17">
      <c r="B2742" s="17"/>
      <c r="C2742" s="16" t="str">
        <f>IFERROR(VLOOKUP(DATA!#REF!,DATA!#REF!,1,FALSE),"")</f>
        <v/>
      </c>
      <c r="D2742" s="16" t="str">
        <f>IFERROR(VLOOKUP(C2742,DATA!#REF!,2,FALSE),"")</f>
        <v/>
      </c>
      <c r="I2742" s="17"/>
      <c r="J2742" s="17"/>
      <c r="P2742" s="17"/>
      <c r="Q2742" s="17"/>
    </row>
    <row r="2743" spans="2:17">
      <c r="B2743" s="17"/>
      <c r="C2743" s="16" t="str">
        <f>IFERROR(VLOOKUP(DATA!#REF!,DATA!#REF!,1,FALSE),"")</f>
        <v/>
      </c>
      <c r="D2743" s="16" t="str">
        <f>IFERROR(VLOOKUP(C2743,DATA!#REF!,2,FALSE),"")</f>
        <v/>
      </c>
      <c r="I2743" s="17"/>
      <c r="J2743" s="17"/>
      <c r="P2743" s="17"/>
      <c r="Q2743" s="17"/>
    </row>
    <row r="2744" spans="2:17">
      <c r="B2744" s="17"/>
      <c r="C2744" s="16" t="str">
        <f>IFERROR(VLOOKUP(DATA!#REF!,DATA!#REF!,1,FALSE),"")</f>
        <v/>
      </c>
      <c r="D2744" s="16" t="str">
        <f>IFERROR(VLOOKUP(C2744,DATA!#REF!,2,FALSE),"")</f>
        <v/>
      </c>
      <c r="I2744" s="17"/>
      <c r="J2744" s="17"/>
      <c r="P2744" s="17"/>
      <c r="Q2744" s="17"/>
    </row>
    <row r="2745" spans="2:17">
      <c r="B2745" s="17"/>
      <c r="C2745" s="16" t="str">
        <f>IFERROR(VLOOKUP(DATA!#REF!,DATA!#REF!,1,FALSE),"")</f>
        <v/>
      </c>
      <c r="D2745" s="16" t="str">
        <f>IFERROR(VLOOKUP(C2745,DATA!#REF!,2,FALSE),"")</f>
        <v/>
      </c>
      <c r="I2745" s="17"/>
      <c r="J2745" s="17"/>
      <c r="P2745" s="17"/>
      <c r="Q2745" s="17"/>
    </row>
    <row r="2746" spans="2:17">
      <c r="B2746" s="17"/>
      <c r="C2746" s="16" t="str">
        <f>IFERROR(VLOOKUP(DATA!#REF!,DATA!#REF!,1,FALSE),"")</f>
        <v/>
      </c>
      <c r="D2746" s="16" t="str">
        <f>IFERROR(VLOOKUP(C2746,DATA!#REF!,2,FALSE),"")</f>
        <v/>
      </c>
      <c r="I2746" s="17"/>
      <c r="J2746" s="17"/>
      <c r="P2746" s="17"/>
      <c r="Q2746" s="17"/>
    </row>
    <row r="2747" spans="2:17">
      <c r="B2747" s="17"/>
      <c r="C2747" s="16" t="str">
        <f>IFERROR(VLOOKUP(DATA!#REF!,DATA!#REF!,1,FALSE),"")</f>
        <v/>
      </c>
      <c r="D2747" s="16" t="str">
        <f>IFERROR(VLOOKUP(C2747,DATA!#REF!,2,FALSE),"")</f>
        <v/>
      </c>
      <c r="I2747" s="17"/>
      <c r="J2747" s="17"/>
      <c r="P2747" s="17"/>
      <c r="Q2747" s="17"/>
    </row>
    <row r="2748" spans="2:17">
      <c r="B2748" s="17"/>
      <c r="C2748" s="16" t="str">
        <f>IFERROR(VLOOKUP(DATA!#REF!,DATA!#REF!,1,FALSE),"")</f>
        <v/>
      </c>
      <c r="D2748" s="16" t="str">
        <f>IFERROR(VLOOKUP(C2748,DATA!#REF!,2,FALSE),"")</f>
        <v/>
      </c>
      <c r="I2748" s="17"/>
      <c r="J2748" s="17"/>
      <c r="P2748" s="17"/>
      <c r="Q2748" s="17"/>
    </row>
    <row r="2749" spans="2:17">
      <c r="B2749" s="17"/>
      <c r="C2749" s="16" t="str">
        <f>IFERROR(VLOOKUP(DATA!#REF!,DATA!#REF!,1,FALSE),"")</f>
        <v/>
      </c>
      <c r="D2749" s="16" t="str">
        <f>IFERROR(VLOOKUP(C2749,DATA!#REF!,2,FALSE),"")</f>
        <v/>
      </c>
      <c r="I2749" s="17"/>
      <c r="J2749" s="17"/>
      <c r="P2749" s="17"/>
      <c r="Q2749" s="17"/>
    </row>
    <row r="2750" spans="2:17">
      <c r="B2750" s="17"/>
      <c r="C2750" s="16" t="str">
        <f>IFERROR(VLOOKUP(DATA!#REF!,DATA!#REF!,1,FALSE),"")</f>
        <v/>
      </c>
      <c r="D2750" s="16" t="str">
        <f>IFERROR(VLOOKUP(C2750,DATA!#REF!,2,FALSE),"")</f>
        <v/>
      </c>
      <c r="I2750" s="17"/>
      <c r="J2750" s="17"/>
      <c r="P2750" s="17"/>
      <c r="Q2750" s="17"/>
    </row>
    <row r="2751" spans="2:17">
      <c r="B2751" s="17"/>
      <c r="C2751" s="16" t="str">
        <f>IFERROR(VLOOKUP(DATA!#REF!,DATA!#REF!,1,FALSE),"")</f>
        <v/>
      </c>
      <c r="D2751" s="16" t="str">
        <f>IFERROR(VLOOKUP(C2751,DATA!#REF!,2,FALSE),"")</f>
        <v/>
      </c>
      <c r="I2751" s="17"/>
      <c r="J2751" s="17"/>
      <c r="P2751" s="17"/>
      <c r="Q2751" s="17"/>
    </row>
    <row r="2752" spans="2:17">
      <c r="B2752" s="17"/>
      <c r="C2752" s="16" t="str">
        <f>IFERROR(VLOOKUP(DATA!#REF!,DATA!#REF!,1,FALSE),"")</f>
        <v/>
      </c>
      <c r="D2752" s="16" t="str">
        <f>IFERROR(VLOOKUP(C2752,DATA!#REF!,2,FALSE),"")</f>
        <v/>
      </c>
      <c r="I2752" s="17"/>
      <c r="J2752" s="17"/>
      <c r="P2752" s="17"/>
      <c r="Q2752" s="17"/>
    </row>
    <row r="2753" spans="2:17">
      <c r="B2753" s="17"/>
      <c r="C2753" s="16" t="str">
        <f>IFERROR(VLOOKUP(DATA!#REF!,DATA!#REF!,1,FALSE),"")</f>
        <v/>
      </c>
      <c r="D2753" s="16" t="str">
        <f>IFERROR(VLOOKUP(C2753,DATA!#REF!,2,FALSE),"")</f>
        <v/>
      </c>
      <c r="I2753" s="17"/>
      <c r="J2753" s="17"/>
      <c r="P2753" s="17"/>
      <c r="Q2753" s="17"/>
    </row>
    <row r="2754" spans="2:17">
      <c r="B2754" s="17"/>
      <c r="C2754" s="16" t="str">
        <f>IFERROR(VLOOKUP(DATA!#REF!,DATA!#REF!,1,FALSE),"")</f>
        <v/>
      </c>
      <c r="D2754" s="16" t="str">
        <f>IFERROR(VLOOKUP(C2754,DATA!#REF!,2,FALSE),"")</f>
        <v/>
      </c>
      <c r="I2754" s="17"/>
      <c r="J2754" s="17"/>
      <c r="P2754" s="17"/>
      <c r="Q2754" s="17"/>
    </row>
    <row r="2755" spans="2:17">
      <c r="B2755" s="17"/>
      <c r="C2755" s="16" t="str">
        <f>IFERROR(VLOOKUP(DATA!#REF!,DATA!#REF!,1,FALSE),"")</f>
        <v/>
      </c>
      <c r="D2755" s="16" t="str">
        <f>IFERROR(VLOOKUP(C2755,DATA!#REF!,2,FALSE),"")</f>
        <v/>
      </c>
      <c r="I2755" s="17"/>
      <c r="J2755" s="17"/>
      <c r="P2755" s="17"/>
      <c r="Q2755" s="17"/>
    </row>
    <row r="2756" spans="2:17">
      <c r="B2756" s="17"/>
      <c r="C2756" s="16" t="str">
        <f>IFERROR(VLOOKUP(DATA!#REF!,DATA!#REF!,1,FALSE),"")</f>
        <v/>
      </c>
      <c r="D2756" s="16" t="str">
        <f>IFERROR(VLOOKUP(C2756,DATA!#REF!,2,FALSE),"")</f>
        <v/>
      </c>
      <c r="I2756" s="17"/>
      <c r="J2756" s="17"/>
      <c r="P2756" s="17"/>
      <c r="Q2756" s="17"/>
    </row>
    <row r="2757" spans="2:17">
      <c r="B2757" s="17"/>
      <c r="C2757" s="16" t="str">
        <f>IFERROR(VLOOKUP(DATA!#REF!,DATA!#REF!,1,FALSE),"")</f>
        <v/>
      </c>
      <c r="D2757" s="16" t="str">
        <f>IFERROR(VLOOKUP(C2757,DATA!#REF!,2,FALSE),"")</f>
        <v/>
      </c>
      <c r="I2757" s="17"/>
      <c r="J2757" s="17"/>
      <c r="P2757" s="17"/>
      <c r="Q2757" s="17"/>
    </row>
    <row r="2758" spans="2:17">
      <c r="B2758" s="17"/>
      <c r="C2758" s="16" t="str">
        <f>IFERROR(VLOOKUP(DATA!#REF!,DATA!#REF!,1,FALSE),"")</f>
        <v/>
      </c>
      <c r="D2758" s="16" t="str">
        <f>IFERROR(VLOOKUP(C2758,DATA!#REF!,2,FALSE),"")</f>
        <v/>
      </c>
      <c r="I2758" s="17"/>
      <c r="J2758" s="17"/>
      <c r="P2758" s="17"/>
      <c r="Q2758" s="17"/>
    </row>
    <row r="2759" spans="2:17">
      <c r="B2759" s="17"/>
      <c r="C2759" s="16" t="str">
        <f>IFERROR(VLOOKUP(DATA!#REF!,DATA!#REF!,1,FALSE),"")</f>
        <v/>
      </c>
      <c r="D2759" s="16" t="str">
        <f>IFERROR(VLOOKUP(C2759,DATA!#REF!,2,FALSE),"")</f>
        <v/>
      </c>
      <c r="I2759" s="17"/>
      <c r="J2759" s="17"/>
      <c r="P2759" s="17"/>
      <c r="Q2759" s="17"/>
    </row>
    <row r="2760" spans="2:17">
      <c r="B2760" s="17"/>
      <c r="C2760" s="16" t="str">
        <f>IFERROR(VLOOKUP(DATA!#REF!,DATA!#REF!,1,FALSE),"")</f>
        <v/>
      </c>
      <c r="D2760" s="16" t="str">
        <f>IFERROR(VLOOKUP(C2760,DATA!#REF!,2,FALSE),"")</f>
        <v/>
      </c>
      <c r="I2760" s="17"/>
      <c r="J2760" s="17"/>
      <c r="P2760" s="17"/>
      <c r="Q2760" s="17"/>
    </row>
    <row r="2761" spans="2:17">
      <c r="B2761" s="17"/>
      <c r="C2761" s="16" t="str">
        <f>IFERROR(VLOOKUP(DATA!#REF!,DATA!#REF!,1,FALSE),"")</f>
        <v/>
      </c>
      <c r="D2761" s="16" t="str">
        <f>IFERROR(VLOOKUP(C2761,DATA!#REF!,2,FALSE),"")</f>
        <v/>
      </c>
      <c r="I2761" s="17"/>
      <c r="J2761" s="17"/>
      <c r="P2761" s="17"/>
      <c r="Q2761" s="17"/>
    </row>
    <row r="2762" spans="2:17">
      <c r="B2762" s="17"/>
      <c r="C2762" s="16" t="str">
        <f>IFERROR(VLOOKUP(DATA!#REF!,DATA!#REF!,1,FALSE),"")</f>
        <v/>
      </c>
      <c r="D2762" s="16" t="str">
        <f>IFERROR(VLOOKUP(C2762,DATA!#REF!,2,FALSE),"")</f>
        <v/>
      </c>
      <c r="I2762" s="17"/>
      <c r="J2762" s="17"/>
      <c r="P2762" s="17"/>
      <c r="Q2762" s="17"/>
    </row>
    <row r="2763" spans="2:17">
      <c r="B2763" s="17"/>
      <c r="C2763" s="16" t="str">
        <f>IFERROR(VLOOKUP(DATA!#REF!,DATA!#REF!,1,FALSE),"")</f>
        <v/>
      </c>
      <c r="D2763" s="16" t="str">
        <f>IFERROR(VLOOKUP(C2763,DATA!#REF!,2,FALSE),"")</f>
        <v/>
      </c>
      <c r="I2763" s="17"/>
      <c r="J2763" s="17"/>
      <c r="P2763" s="17"/>
      <c r="Q2763" s="17"/>
    </row>
    <row r="2764" spans="2:17">
      <c r="B2764" s="17"/>
      <c r="C2764" s="16" t="str">
        <f>IFERROR(VLOOKUP(DATA!#REF!,DATA!#REF!,1,FALSE),"")</f>
        <v/>
      </c>
      <c r="D2764" s="16" t="str">
        <f>IFERROR(VLOOKUP(C2764,DATA!#REF!,2,FALSE),"")</f>
        <v/>
      </c>
      <c r="I2764" s="17"/>
      <c r="J2764" s="17"/>
      <c r="P2764" s="17"/>
      <c r="Q2764" s="17"/>
    </row>
    <row r="2765" spans="2:17">
      <c r="B2765" s="17"/>
      <c r="C2765" s="16" t="str">
        <f>IFERROR(VLOOKUP(DATA!#REF!,DATA!#REF!,1,FALSE),"")</f>
        <v/>
      </c>
      <c r="D2765" s="16" t="str">
        <f>IFERROR(VLOOKUP(C2765,DATA!#REF!,2,FALSE),"")</f>
        <v/>
      </c>
      <c r="I2765" s="17"/>
      <c r="J2765" s="17"/>
      <c r="P2765" s="17"/>
      <c r="Q2765" s="17"/>
    </row>
    <row r="2766" spans="2:17">
      <c r="B2766" s="17"/>
      <c r="C2766" s="16" t="str">
        <f>IFERROR(VLOOKUP(DATA!#REF!,DATA!#REF!,1,FALSE),"")</f>
        <v/>
      </c>
      <c r="D2766" s="16" t="str">
        <f>IFERROR(VLOOKUP(C2766,DATA!#REF!,2,FALSE),"")</f>
        <v/>
      </c>
      <c r="I2766" s="17"/>
      <c r="J2766" s="17"/>
      <c r="P2766" s="17"/>
      <c r="Q2766" s="17"/>
    </row>
    <row r="2767" spans="2:17">
      <c r="B2767" s="17"/>
      <c r="C2767" s="16" t="str">
        <f>IFERROR(VLOOKUP(DATA!#REF!,DATA!#REF!,1,FALSE),"")</f>
        <v/>
      </c>
      <c r="D2767" s="16" t="str">
        <f>IFERROR(VLOOKUP(C2767,DATA!#REF!,2,FALSE),"")</f>
        <v/>
      </c>
      <c r="I2767" s="17"/>
      <c r="J2767" s="17"/>
      <c r="P2767" s="17"/>
      <c r="Q2767" s="17"/>
    </row>
    <row r="2768" spans="2:17">
      <c r="B2768" s="17"/>
      <c r="C2768" s="16" t="str">
        <f>IFERROR(VLOOKUP(DATA!#REF!,DATA!#REF!,1,FALSE),"")</f>
        <v/>
      </c>
      <c r="D2768" s="16" t="str">
        <f>IFERROR(VLOOKUP(C2768,DATA!#REF!,2,FALSE),"")</f>
        <v/>
      </c>
      <c r="I2768" s="17"/>
      <c r="J2768" s="17"/>
      <c r="P2768" s="17"/>
      <c r="Q2768" s="17"/>
    </row>
    <row r="2769" spans="2:17">
      <c r="B2769" s="17"/>
      <c r="C2769" s="16" t="str">
        <f>IFERROR(VLOOKUP(DATA!#REF!,DATA!#REF!,1,FALSE),"")</f>
        <v/>
      </c>
      <c r="D2769" s="16" t="str">
        <f>IFERROR(VLOOKUP(C2769,DATA!#REF!,2,FALSE),"")</f>
        <v/>
      </c>
      <c r="I2769" s="17"/>
      <c r="J2769" s="17"/>
      <c r="P2769" s="17"/>
      <c r="Q2769" s="17"/>
    </row>
    <row r="2770" spans="2:17">
      <c r="B2770" s="17"/>
      <c r="C2770" s="16" t="str">
        <f>IFERROR(VLOOKUP(DATA!#REF!,DATA!#REF!,1,FALSE),"")</f>
        <v/>
      </c>
      <c r="D2770" s="16" t="str">
        <f>IFERROR(VLOOKUP(C2770,DATA!#REF!,2,FALSE),"")</f>
        <v/>
      </c>
      <c r="I2770" s="17"/>
      <c r="J2770" s="17"/>
      <c r="P2770" s="17"/>
      <c r="Q2770" s="17"/>
    </row>
    <row r="2771" spans="2:17">
      <c r="B2771" s="17"/>
      <c r="C2771" s="16" t="str">
        <f>IFERROR(VLOOKUP(DATA!#REF!,DATA!#REF!,1,FALSE),"")</f>
        <v/>
      </c>
      <c r="D2771" s="16" t="str">
        <f>IFERROR(VLOOKUP(C2771,DATA!#REF!,2,FALSE),"")</f>
        <v/>
      </c>
      <c r="I2771" s="17"/>
      <c r="J2771" s="17"/>
      <c r="P2771" s="17"/>
      <c r="Q2771" s="17"/>
    </row>
    <row r="2772" spans="2:17">
      <c r="B2772" s="17"/>
      <c r="C2772" s="16" t="str">
        <f>IFERROR(VLOOKUP(DATA!#REF!,DATA!#REF!,1,FALSE),"")</f>
        <v/>
      </c>
      <c r="D2772" s="16" t="str">
        <f>IFERROR(VLOOKUP(C2772,DATA!#REF!,2,FALSE),"")</f>
        <v/>
      </c>
      <c r="I2772" s="17"/>
      <c r="J2772" s="17"/>
      <c r="P2772" s="17"/>
      <c r="Q2772" s="17"/>
    </row>
    <row r="2773" spans="2:17">
      <c r="B2773" s="17"/>
      <c r="C2773" s="16" t="str">
        <f>IFERROR(VLOOKUP(DATA!#REF!,DATA!#REF!,1,FALSE),"")</f>
        <v/>
      </c>
      <c r="D2773" s="16" t="str">
        <f>IFERROR(VLOOKUP(C2773,DATA!#REF!,2,FALSE),"")</f>
        <v/>
      </c>
      <c r="I2773" s="17"/>
      <c r="J2773" s="17"/>
      <c r="P2773" s="17"/>
      <c r="Q2773" s="17"/>
    </row>
    <row r="2774" spans="2:17">
      <c r="B2774" s="17"/>
      <c r="C2774" s="16" t="str">
        <f>IFERROR(VLOOKUP(DATA!#REF!,DATA!#REF!,1,FALSE),"")</f>
        <v/>
      </c>
      <c r="D2774" s="16" t="str">
        <f>IFERROR(VLOOKUP(C2774,DATA!#REF!,2,FALSE),"")</f>
        <v/>
      </c>
      <c r="I2774" s="17"/>
      <c r="J2774" s="17"/>
      <c r="P2774" s="17"/>
      <c r="Q2774" s="17"/>
    </row>
    <row r="2775" spans="2:17">
      <c r="B2775" s="17"/>
      <c r="C2775" s="16" t="str">
        <f>IFERROR(VLOOKUP(DATA!#REF!,DATA!#REF!,1,FALSE),"")</f>
        <v/>
      </c>
      <c r="D2775" s="16" t="str">
        <f>IFERROR(VLOOKUP(C2775,DATA!#REF!,2,FALSE),"")</f>
        <v/>
      </c>
      <c r="I2775" s="17"/>
      <c r="J2775" s="17"/>
      <c r="P2775" s="17"/>
      <c r="Q2775" s="17"/>
    </row>
    <row r="2776" spans="2:17">
      <c r="B2776" s="17"/>
      <c r="C2776" s="16" t="str">
        <f>IFERROR(VLOOKUP(DATA!#REF!,DATA!#REF!,1,FALSE),"")</f>
        <v/>
      </c>
      <c r="D2776" s="16" t="str">
        <f>IFERROR(VLOOKUP(C2776,DATA!#REF!,2,FALSE),"")</f>
        <v/>
      </c>
      <c r="I2776" s="17"/>
      <c r="J2776" s="17"/>
      <c r="P2776" s="17"/>
      <c r="Q2776" s="17"/>
    </row>
    <row r="2777" spans="2:17">
      <c r="B2777" s="17"/>
      <c r="C2777" s="16" t="str">
        <f>IFERROR(VLOOKUP(DATA!#REF!,DATA!#REF!,1,FALSE),"")</f>
        <v/>
      </c>
      <c r="D2777" s="16" t="str">
        <f>IFERROR(VLOOKUP(C2777,DATA!#REF!,2,FALSE),"")</f>
        <v/>
      </c>
      <c r="I2777" s="17"/>
      <c r="J2777" s="17"/>
      <c r="P2777" s="17"/>
      <c r="Q2777" s="17"/>
    </row>
    <row r="2778" spans="2:17">
      <c r="B2778" s="17"/>
      <c r="C2778" s="16" t="str">
        <f>IFERROR(VLOOKUP(DATA!#REF!,DATA!#REF!,1,FALSE),"")</f>
        <v/>
      </c>
      <c r="D2778" s="16" t="str">
        <f>IFERROR(VLOOKUP(C2778,DATA!#REF!,2,FALSE),"")</f>
        <v/>
      </c>
      <c r="I2778" s="17"/>
      <c r="J2778" s="17"/>
      <c r="P2778" s="17"/>
      <c r="Q2778" s="17"/>
    </row>
    <row r="2779" spans="2:17">
      <c r="B2779" s="17"/>
      <c r="C2779" s="16" t="str">
        <f>IFERROR(VLOOKUP(DATA!#REF!,DATA!#REF!,1,FALSE),"")</f>
        <v/>
      </c>
      <c r="D2779" s="16" t="str">
        <f>IFERROR(VLOOKUP(C2779,DATA!#REF!,2,FALSE),"")</f>
        <v/>
      </c>
      <c r="I2779" s="17"/>
      <c r="J2779" s="17"/>
      <c r="P2779" s="17"/>
      <c r="Q2779" s="17"/>
    </row>
    <row r="2780" spans="2:17">
      <c r="B2780" s="17"/>
      <c r="C2780" s="16" t="str">
        <f>IFERROR(VLOOKUP(DATA!#REF!,DATA!#REF!,1,FALSE),"")</f>
        <v/>
      </c>
      <c r="D2780" s="16" t="str">
        <f>IFERROR(VLOOKUP(C2780,DATA!#REF!,2,FALSE),"")</f>
        <v/>
      </c>
      <c r="I2780" s="17"/>
      <c r="J2780" s="17"/>
      <c r="P2780" s="17"/>
      <c r="Q2780" s="17"/>
    </row>
    <row r="2781" spans="2:17">
      <c r="B2781" s="17"/>
      <c r="C2781" s="16" t="str">
        <f>IFERROR(VLOOKUP(DATA!#REF!,DATA!#REF!,1,FALSE),"")</f>
        <v/>
      </c>
      <c r="D2781" s="16" t="str">
        <f>IFERROR(VLOOKUP(C2781,DATA!#REF!,2,FALSE),"")</f>
        <v/>
      </c>
      <c r="I2781" s="17"/>
      <c r="J2781" s="17"/>
      <c r="P2781" s="17"/>
      <c r="Q2781" s="17"/>
    </row>
    <row r="2782" spans="2:17">
      <c r="B2782" s="17"/>
      <c r="C2782" s="16" t="str">
        <f>IFERROR(VLOOKUP(DATA!#REF!,DATA!#REF!,1,FALSE),"")</f>
        <v/>
      </c>
      <c r="D2782" s="16" t="str">
        <f>IFERROR(VLOOKUP(C2782,DATA!#REF!,2,FALSE),"")</f>
        <v/>
      </c>
      <c r="I2782" s="17"/>
      <c r="J2782" s="17"/>
      <c r="P2782" s="17"/>
      <c r="Q2782" s="17"/>
    </row>
    <row r="2783" spans="2:17">
      <c r="B2783" s="17"/>
      <c r="C2783" s="16" t="str">
        <f>IFERROR(VLOOKUP(DATA!#REF!,DATA!#REF!,1,FALSE),"")</f>
        <v/>
      </c>
      <c r="D2783" s="16" t="str">
        <f>IFERROR(VLOOKUP(C2783,DATA!#REF!,2,FALSE),"")</f>
        <v/>
      </c>
      <c r="I2783" s="17"/>
      <c r="J2783" s="17"/>
      <c r="P2783" s="17"/>
      <c r="Q2783" s="17"/>
    </row>
    <row r="2784" spans="2:17">
      <c r="B2784" s="17"/>
      <c r="C2784" s="16" t="str">
        <f>IFERROR(VLOOKUP(DATA!#REF!,DATA!#REF!,1,FALSE),"")</f>
        <v/>
      </c>
      <c r="D2784" s="16" t="str">
        <f>IFERROR(VLOOKUP(C2784,DATA!#REF!,2,FALSE),"")</f>
        <v/>
      </c>
      <c r="I2784" s="17"/>
      <c r="J2784" s="17"/>
      <c r="P2784" s="17"/>
      <c r="Q2784" s="17"/>
    </row>
    <row r="2785" spans="2:17">
      <c r="B2785" s="17"/>
      <c r="C2785" s="16" t="str">
        <f>IFERROR(VLOOKUP(DATA!#REF!,DATA!#REF!,1,FALSE),"")</f>
        <v/>
      </c>
      <c r="D2785" s="16" t="str">
        <f>IFERROR(VLOOKUP(C2785,DATA!#REF!,2,FALSE),"")</f>
        <v/>
      </c>
      <c r="I2785" s="17"/>
      <c r="J2785" s="17"/>
      <c r="P2785" s="17"/>
      <c r="Q2785" s="17"/>
    </row>
    <row r="2786" spans="2:17">
      <c r="B2786" s="17"/>
      <c r="C2786" s="16" t="str">
        <f>IFERROR(VLOOKUP(DATA!#REF!,DATA!#REF!,1,FALSE),"")</f>
        <v/>
      </c>
      <c r="D2786" s="16" t="str">
        <f>IFERROR(VLOOKUP(C2786,DATA!#REF!,2,FALSE),"")</f>
        <v/>
      </c>
      <c r="I2786" s="17"/>
      <c r="J2786" s="17"/>
      <c r="P2786" s="17"/>
      <c r="Q2786" s="17"/>
    </row>
    <row r="2787" spans="2:17">
      <c r="B2787" s="17"/>
      <c r="C2787" s="16" t="str">
        <f>IFERROR(VLOOKUP(DATA!#REF!,DATA!#REF!,1,FALSE),"")</f>
        <v/>
      </c>
      <c r="D2787" s="16" t="str">
        <f>IFERROR(VLOOKUP(C2787,DATA!#REF!,2,FALSE),"")</f>
        <v/>
      </c>
      <c r="I2787" s="17"/>
      <c r="J2787" s="17"/>
      <c r="P2787" s="17"/>
      <c r="Q2787" s="17"/>
    </row>
    <row r="2788" spans="2:17">
      <c r="B2788" s="17"/>
      <c r="C2788" s="16" t="str">
        <f>IFERROR(VLOOKUP(DATA!#REF!,DATA!#REF!,1,FALSE),"")</f>
        <v/>
      </c>
      <c r="D2788" s="16" t="str">
        <f>IFERROR(VLOOKUP(C2788,DATA!#REF!,2,FALSE),"")</f>
        <v/>
      </c>
      <c r="I2788" s="17"/>
      <c r="J2788" s="17"/>
      <c r="P2788" s="17"/>
      <c r="Q2788" s="17"/>
    </row>
    <row r="2789" spans="2:17">
      <c r="B2789" s="17"/>
      <c r="C2789" s="16" t="str">
        <f>IFERROR(VLOOKUP(DATA!#REF!,DATA!#REF!,1,FALSE),"")</f>
        <v/>
      </c>
      <c r="D2789" s="16" t="str">
        <f>IFERROR(VLOOKUP(C2789,DATA!#REF!,2,FALSE),"")</f>
        <v/>
      </c>
      <c r="I2789" s="17"/>
      <c r="J2789" s="17"/>
      <c r="P2789" s="17"/>
      <c r="Q2789" s="17"/>
    </row>
    <row r="2790" spans="2:17">
      <c r="B2790" s="17"/>
      <c r="C2790" s="16" t="str">
        <f>IFERROR(VLOOKUP(DATA!#REF!,DATA!#REF!,1,FALSE),"")</f>
        <v/>
      </c>
      <c r="D2790" s="16" t="str">
        <f>IFERROR(VLOOKUP(C2790,DATA!#REF!,2,FALSE),"")</f>
        <v/>
      </c>
      <c r="I2790" s="17"/>
      <c r="J2790" s="17"/>
      <c r="P2790" s="17"/>
      <c r="Q2790" s="17"/>
    </row>
    <row r="2791" spans="2:17">
      <c r="B2791" s="17"/>
      <c r="C2791" s="16" t="str">
        <f>IFERROR(VLOOKUP(DATA!#REF!,DATA!#REF!,1,FALSE),"")</f>
        <v/>
      </c>
      <c r="D2791" s="16" t="str">
        <f>IFERROR(VLOOKUP(C2791,DATA!#REF!,2,FALSE),"")</f>
        <v/>
      </c>
      <c r="I2791" s="17"/>
      <c r="J2791" s="17"/>
      <c r="P2791" s="17"/>
      <c r="Q2791" s="17"/>
    </row>
    <row r="2792" spans="2:17">
      <c r="B2792" s="17"/>
      <c r="C2792" s="16" t="str">
        <f>IFERROR(VLOOKUP(DATA!#REF!,DATA!#REF!,1,FALSE),"")</f>
        <v/>
      </c>
      <c r="D2792" s="16" t="str">
        <f>IFERROR(VLOOKUP(C2792,DATA!#REF!,2,FALSE),"")</f>
        <v/>
      </c>
      <c r="I2792" s="17"/>
      <c r="J2792" s="17"/>
      <c r="P2792" s="17"/>
      <c r="Q2792" s="17"/>
    </row>
    <row r="2793" spans="2:17">
      <c r="B2793" s="17"/>
      <c r="C2793" s="16" t="str">
        <f>IFERROR(VLOOKUP(DATA!#REF!,DATA!#REF!,1,FALSE),"")</f>
        <v/>
      </c>
      <c r="D2793" s="16" t="str">
        <f>IFERROR(VLOOKUP(C2793,DATA!#REF!,2,FALSE),"")</f>
        <v/>
      </c>
      <c r="I2793" s="17"/>
      <c r="J2793" s="17"/>
      <c r="P2793" s="17"/>
      <c r="Q2793" s="17"/>
    </row>
    <row r="2794" spans="2:17">
      <c r="B2794" s="17"/>
      <c r="C2794" s="16" t="str">
        <f>IFERROR(VLOOKUP(DATA!#REF!,DATA!#REF!,1,FALSE),"")</f>
        <v/>
      </c>
      <c r="D2794" s="16" t="str">
        <f>IFERROR(VLOOKUP(C2794,DATA!#REF!,2,FALSE),"")</f>
        <v/>
      </c>
      <c r="I2794" s="17"/>
      <c r="J2794" s="17"/>
      <c r="P2794" s="17"/>
      <c r="Q2794" s="17"/>
    </row>
    <row r="2795" spans="2:17">
      <c r="B2795" s="17"/>
      <c r="C2795" s="16" t="str">
        <f>IFERROR(VLOOKUP(DATA!#REF!,DATA!#REF!,1,FALSE),"")</f>
        <v/>
      </c>
      <c r="D2795" s="16" t="str">
        <f>IFERROR(VLOOKUP(C2795,DATA!#REF!,2,FALSE),"")</f>
        <v/>
      </c>
      <c r="I2795" s="17"/>
      <c r="J2795" s="17"/>
      <c r="P2795" s="17"/>
      <c r="Q2795" s="17"/>
    </row>
    <row r="2796" spans="2:17">
      <c r="B2796" s="17"/>
      <c r="C2796" s="16" t="str">
        <f>IFERROR(VLOOKUP(DATA!#REF!,DATA!#REF!,1,FALSE),"")</f>
        <v/>
      </c>
      <c r="D2796" s="16" t="str">
        <f>IFERROR(VLOOKUP(C2796,DATA!#REF!,2,FALSE),"")</f>
        <v/>
      </c>
      <c r="I2796" s="17"/>
      <c r="J2796" s="17"/>
      <c r="P2796" s="17"/>
      <c r="Q2796" s="17"/>
    </row>
    <row r="2797" spans="2:17">
      <c r="B2797" s="17"/>
      <c r="C2797" s="16" t="str">
        <f>IFERROR(VLOOKUP(DATA!#REF!,DATA!#REF!,1,FALSE),"")</f>
        <v/>
      </c>
      <c r="D2797" s="16" t="str">
        <f>IFERROR(VLOOKUP(C2797,DATA!#REF!,2,FALSE),"")</f>
        <v/>
      </c>
      <c r="I2797" s="17"/>
      <c r="J2797" s="17"/>
      <c r="P2797" s="17"/>
      <c r="Q2797" s="17"/>
    </row>
    <row r="2798" spans="2:17">
      <c r="B2798" s="17"/>
      <c r="C2798" s="16" t="str">
        <f>IFERROR(VLOOKUP(DATA!#REF!,DATA!#REF!,1,FALSE),"")</f>
        <v/>
      </c>
      <c r="D2798" s="16" t="str">
        <f>IFERROR(VLOOKUP(C2798,DATA!#REF!,2,FALSE),"")</f>
        <v/>
      </c>
      <c r="I2798" s="17"/>
      <c r="J2798" s="17"/>
      <c r="P2798" s="17"/>
      <c r="Q2798" s="17"/>
    </row>
    <row r="2799" spans="2:17">
      <c r="B2799" s="17"/>
      <c r="C2799" s="16" t="str">
        <f>IFERROR(VLOOKUP(DATA!#REF!,DATA!#REF!,1,FALSE),"")</f>
        <v/>
      </c>
      <c r="D2799" s="16" t="str">
        <f>IFERROR(VLOOKUP(C2799,DATA!#REF!,2,FALSE),"")</f>
        <v/>
      </c>
      <c r="I2799" s="17"/>
      <c r="J2799" s="17"/>
      <c r="P2799" s="17"/>
      <c r="Q2799" s="17"/>
    </row>
    <row r="2800" spans="2:17">
      <c r="B2800" s="17"/>
      <c r="C2800" s="16" t="str">
        <f>IFERROR(VLOOKUP(DATA!#REF!,DATA!#REF!,1,FALSE),"")</f>
        <v/>
      </c>
      <c r="D2800" s="16" t="str">
        <f>IFERROR(VLOOKUP(C2800,DATA!#REF!,2,FALSE),"")</f>
        <v/>
      </c>
      <c r="I2800" s="17"/>
      <c r="J2800" s="17"/>
      <c r="P2800" s="17"/>
      <c r="Q2800" s="17"/>
    </row>
    <row r="2801" spans="2:17">
      <c r="B2801" s="17"/>
      <c r="C2801" s="16" t="str">
        <f>IFERROR(VLOOKUP(DATA!#REF!,DATA!#REF!,1,FALSE),"")</f>
        <v/>
      </c>
      <c r="D2801" s="16" t="str">
        <f>IFERROR(VLOOKUP(C2801,DATA!#REF!,2,FALSE),"")</f>
        <v/>
      </c>
      <c r="I2801" s="17"/>
      <c r="J2801" s="17"/>
      <c r="P2801" s="17"/>
      <c r="Q2801" s="17"/>
    </row>
    <row r="2802" spans="2:17">
      <c r="B2802" s="17"/>
      <c r="C2802" s="16" t="str">
        <f>IFERROR(VLOOKUP(DATA!#REF!,DATA!#REF!,1,FALSE),"")</f>
        <v/>
      </c>
      <c r="D2802" s="16" t="str">
        <f>IFERROR(VLOOKUP(C2802,DATA!#REF!,2,FALSE),"")</f>
        <v/>
      </c>
      <c r="I2802" s="17"/>
      <c r="J2802" s="17"/>
      <c r="P2802" s="17"/>
      <c r="Q2802" s="17"/>
    </row>
    <row r="2803" spans="2:17">
      <c r="B2803" s="17"/>
      <c r="C2803" s="16" t="str">
        <f>IFERROR(VLOOKUP(DATA!#REF!,DATA!#REF!,1,FALSE),"")</f>
        <v/>
      </c>
      <c r="D2803" s="16" t="str">
        <f>IFERROR(VLOOKUP(C2803,DATA!#REF!,2,FALSE),"")</f>
        <v/>
      </c>
      <c r="I2803" s="17"/>
      <c r="J2803" s="17"/>
      <c r="P2803" s="17"/>
      <c r="Q2803" s="17"/>
    </row>
    <row r="2804" spans="2:17">
      <c r="B2804" s="17"/>
      <c r="C2804" s="16" t="str">
        <f>IFERROR(VLOOKUP(DATA!#REF!,DATA!#REF!,1,FALSE),"")</f>
        <v/>
      </c>
      <c r="D2804" s="16" t="str">
        <f>IFERROR(VLOOKUP(C2804,DATA!#REF!,2,FALSE),"")</f>
        <v/>
      </c>
      <c r="I2804" s="17"/>
      <c r="J2804" s="17"/>
      <c r="P2804" s="17"/>
      <c r="Q2804" s="17"/>
    </row>
    <row r="2805" spans="2:17">
      <c r="B2805" s="17"/>
      <c r="C2805" s="16" t="str">
        <f>IFERROR(VLOOKUP(DATA!#REF!,DATA!#REF!,1,FALSE),"")</f>
        <v/>
      </c>
      <c r="D2805" s="16" t="str">
        <f>IFERROR(VLOOKUP(C2805,DATA!#REF!,2,FALSE),"")</f>
        <v/>
      </c>
      <c r="I2805" s="17"/>
      <c r="J2805" s="17"/>
      <c r="P2805" s="17"/>
      <c r="Q2805" s="17"/>
    </row>
    <row r="2806" spans="2:17">
      <c r="B2806" s="17"/>
      <c r="C2806" s="16" t="str">
        <f>IFERROR(VLOOKUP(DATA!#REF!,DATA!#REF!,1,FALSE),"")</f>
        <v/>
      </c>
      <c r="D2806" s="16" t="str">
        <f>IFERROR(VLOOKUP(C2806,DATA!#REF!,2,FALSE),"")</f>
        <v/>
      </c>
      <c r="I2806" s="17"/>
      <c r="J2806" s="17"/>
      <c r="P2806" s="17"/>
      <c r="Q2806" s="17"/>
    </row>
    <row r="2807" spans="2:17">
      <c r="B2807" s="17"/>
      <c r="C2807" s="16" t="str">
        <f>IFERROR(VLOOKUP(DATA!#REF!,DATA!#REF!,1,FALSE),"")</f>
        <v/>
      </c>
      <c r="D2807" s="16" t="str">
        <f>IFERROR(VLOOKUP(C2807,DATA!#REF!,2,FALSE),"")</f>
        <v/>
      </c>
      <c r="I2807" s="17"/>
      <c r="J2807" s="17"/>
      <c r="P2807" s="17"/>
      <c r="Q2807" s="17"/>
    </row>
    <row r="2808" spans="2:17">
      <c r="B2808" s="17"/>
      <c r="C2808" s="16" t="str">
        <f>IFERROR(VLOOKUP(DATA!#REF!,DATA!#REF!,1,FALSE),"")</f>
        <v/>
      </c>
      <c r="D2808" s="16" t="str">
        <f>IFERROR(VLOOKUP(C2808,DATA!#REF!,2,FALSE),"")</f>
        <v/>
      </c>
      <c r="I2808" s="17"/>
      <c r="J2808" s="17"/>
      <c r="P2808" s="17"/>
      <c r="Q2808" s="17"/>
    </row>
    <row r="2809" spans="2:17">
      <c r="B2809" s="17"/>
      <c r="C2809" s="16" t="str">
        <f>IFERROR(VLOOKUP(DATA!#REF!,DATA!#REF!,1,FALSE),"")</f>
        <v/>
      </c>
      <c r="D2809" s="16" t="str">
        <f>IFERROR(VLOOKUP(C2809,DATA!#REF!,2,FALSE),"")</f>
        <v/>
      </c>
      <c r="I2809" s="17"/>
      <c r="J2809" s="17"/>
      <c r="P2809" s="17"/>
      <c r="Q2809" s="17"/>
    </row>
    <row r="2810" spans="2:17">
      <c r="B2810" s="17"/>
      <c r="C2810" s="16" t="str">
        <f>IFERROR(VLOOKUP(DATA!#REF!,DATA!#REF!,1,FALSE),"")</f>
        <v/>
      </c>
      <c r="D2810" s="16" t="str">
        <f>IFERROR(VLOOKUP(C2810,DATA!#REF!,2,FALSE),"")</f>
        <v/>
      </c>
      <c r="I2810" s="17"/>
      <c r="J2810" s="17"/>
      <c r="P2810" s="17"/>
      <c r="Q2810" s="17"/>
    </row>
    <row r="2811" spans="2:17">
      <c r="B2811" s="17"/>
      <c r="C2811" s="16" t="str">
        <f>IFERROR(VLOOKUP(DATA!#REF!,DATA!#REF!,1,FALSE),"")</f>
        <v/>
      </c>
      <c r="D2811" s="16" t="str">
        <f>IFERROR(VLOOKUP(C2811,DATA!#REF!,2,FALSE),"")</f>
        <v/>
      </c>
      <c r="I2811" s="17"/>
      <c r="J2811" s="17"/>
      <c r="P2811" s="17"/>
      <c r="Q2811" s="17"/>
    </row>
    <row r="2812" spans="2:17">
      <c r="B2812" s="17"/>
      <c r="C2812" s="16" t="str">
        <f>IFERROR(VLOOKUP(DATA!#REF!,DATA!#REF!,1,FALSE),"")</f>
        <v/>
      </c>
      <c r="D2812" s="16" t="str">
        <f>IFERROR(VLOOKUP(C2812,DATA!#REF!,2,FALSE),"")</f>
        <v/>
      </c>
      <c r="I2812" s="17"/>
      <c r="J2812" s="17"/>
      <c r="P2812" s="17"/>
      <c r="Q2812" s="17"/>
    </row>
    <row r="2813" spans="2:17">
      <c r="B2813" s="17"/>
      <c r="C2813" s="16" t="str">
        <f>IFERROR(VLOOKUP(DATA!#REF!,DATA!#REF!,1,FALSE),"")</f>
        <v/>
      </c>
      <c r="D2813" s="16" t="str">
        <f>IFERROR(VLOOKUP(C2813,DATA!#REF!,2,FALSE),"")</f>
        <v/>
      </c>
      <c r="I2813" s="17"/>
      <c r="J2813" s="17"/>
      <c r="P2813" s="17"/>
      <c r="Q2813" s="17"/>
    </row>
    <row r="2814" spans="2:17">
      <c r="B2814" s="17"/>
      <c r="C2814" s="16" t="str">
        <f>IFERROR(VLOOKUP(DATA!#REF!,DATA!#REF!,1,FALSE),"")</f>
        <v/>
      </c>
      <c r="D2814" s="16" t="str">
        <f>IFERROR(VLOOKUP(C2814,DATA!#REF!,2,FALSE),"")</f>
        <v/>
      </c>
      <c r="I2814" s="17"/>
      <c r="J2814" s="17"/>
      <c r="P2814" s="17"/>
      <c r="Q2814" s="17"/>
    </row>
    <row r="2815" spans="2:17">
      <c r="B2815" s="17"/>
      <c r="C2815" s="16" t="str">
        <f>IFERROR(VLOOKUP(DATA!#REF!,DATA!#REF!,1,FALSE),"")</f>
        <v/>
      </c>
      <c r="D2815" s="16" t="str">
        <f>IFERROR(VLOOKUP(C2815,DATA!#REF!,2,FALSE),"")</f>
        <v/>
      </c>
      <c r="I2815" s="17"/>
      <c r="J2815" s="17"/>
      <c r="P2815" s="17"/>
      <c r="Q2815" s="17"/>
    </row>
    <row r="2816" spans="2:17">
      <c r="B2816" s="17"/>
      <c r="C2816" s="16" t="str">
        <f>IFERROR(VLOOKUP(DATA!#REF!,DATA!#REF!,1,FALSE),"")</f>
        <v/>
      </c>
      <c r="D2816" s="16" t="str">
        <f>IFERROR(VLOOKUP(C2816,DATA!#REF!,2,FALSE),"")</f>
        <v/>
      </c>
      <c r="I2816" s="17"/>
      <c r="J2816" s="17"/>
      <c r="P2816" s="17"/>
      <c r="Q2816" s="17"/>
    </row>
    <row r="2817" spans="2:17">
      <c r="B2817" s="17"/>
      <c r="C2817" s="16" t="str">
        <f>IFERROR(VLOOKUP(DATA!#REF!,DATA!#REF!,1,FALSE),"")</f>
        <v/>
      </c>
      <c r="D2817" s="16" t="str">
        <f>IFERROR(VLOOKUP(C2817,DATA!#REF!,2,FALSE),"")</f>
        <v/>
      </c>
      <c r="I2817" s="17"/>
      <c r="J2817" s="17"/>
      <c r="P2817" s="17"/>
      <c r="Q2817" s="17"/>
    </row>
    <row r="2818" spans="2:17">
      <c r="B2818" s="17"/>
      <c r="C2818" s="16" t="str">
        <f>IFERROR(VLOOKUP(DATA!#REF!,DATA!#REF!,1,FALSE),"")</f>
        <v/>
      </c>
      <c r="D2818" s="16" t="str">
        <f>IFERROR(VLOOKUP(C2818,DATA!#REF!,2,FALSE),"")</f>
        <v/>
      </c>
      <c r="I2818" s="17"/>
      <c r="J2818" s="17"/>
      <c r="P2818" s="17"/>
      <c r="Q2818" s="17"/>
    </row>
    <row r="2819" spans="2:17">
      <c r="B2819" s="17"/>
      <c r="C2819" s="16" t="str">
        <f>IFERROR(VLOOKUP(DATA!#REF!,DATA!#REF!,1,FALSE),"")</f>
        <v/>
      </c>
      <c r="D2819" s="16" t="str">
        <f>IFERROR(VLOOKUP(C2819,DATA!#REF!,2,FALSE),"")</f>
        <v/>
      </c>
      <c r="I2819" s="17"/>
      <c r="J2819" s="17"/>
      <c r="P2819" s="17"/>
      <c r="Q2819" s="17"/>
    </row>
    <row r="2820" spans="2:17">
      <c r="B2820" s="17"/>
      <c r="C2820" s="16" t="str">
        <f>IFERROR(VLOOKUP(DATA!#REF!,DATA!#REF!,1,FALSE),"")</f>
        <v/>
      </c>
      <c r="D2820" s="16" t="str">
        <f>IFERROR(VLOOKUP(C2820,DATA!#REF!,2,FALSE),"")</f>
        <v/>
      </c>
      <c r="I2820" s="17"/>
      <c r="J2820" s="17"/>
      <c r="P2820" s="17"/>
      <c r="Q2820" s="17"/>
    </row>
    <row r="2821" spans="2:17">
      <c r="B2821" s="17"/>
      <c r="C2821" s="16" t="str">
        <f>IFERROR(VLOOKUP(DATA!#REF!,DATA!#REF!,1,FALSE),"")</f>
        <v/>
      </c>
      <c r="D2821" s="16" t="str">
        <f>IFERROR(VLOOKUP(C2821,DATA!#REF!,2,FALSE),"")</f>
        <v/>
      </c>
      <c r="I2821" s="17"/>
      <c r="J2821" s="17"/>
      <c r="P2821" s="17"/>
      <c r="Q2821" s="17"/>
    </row>
    <row r="2822" spans="2:17">
      <c r="B2822" s="17"/>
      <c r="C2822" s="16" t="str">
        <f>IFERROR(VLOOKUP(DATA!#REF!,DATA!#REF!,1,FALSE),"")</f>
        <v/>
      </c>
      <c r="D2822" s="16" t="str">
        <f>IFERROR(VLOOKUP(C2822,DATA!#REF!,2,FALSE),"")</f>
        <v/>
      </c>
      <c r="I2822" s="17"/>
      <c r="J2822" s="17"/>
      <c r="P2822" s="17"/>
      <c r="Q2822" s="17"/>
    </row>
    <row r="2823" spans="2:17">
      <c r="B2823" s="17"/>
      <c r="C2823" s="16" t="str">
        <f>IFERROR(VLOOKUP(DATA!#REF!,DATA!#REF!,1,FALSE),"")</f>
        <v/>
      </c>
      <c r="D2823" s="16" t="str">
        <f>IFERROR(VLOOKUP(C2823,DATA!#REF!,2,FALSE),"")</f>
        <v/>
      </c>
      <c r="I2823" s="17"/>
      <c r="J2823" s="17"/>
      <c r="P2823" s="17"/>
      <c r="Q2823" s="17"/>
    </row>
    <row r="2824" spans="2:17">
      <c r="B2824" s="17"/>
      <c r="C2824" s="16" t="str">
        <f>IFERROR(VLOOKUP(DATA!#REF!,DATA!#REF!,1,FALSE),"")</f>
        <v/>
      </c>
      <c r="D2824" s="16" t="str">
        <f>IFERROR(VLOOKUP(C2824,DATA!#REF!,2,FALSE),"")</f>
        <v/>
      </c>
      <c r="I2824" s="17"/>
      <c r="J2824" s="17"/>
      <c r="P2824" s="17"/>
      <c r="Q2824" s="17"/>
    </row>
    <row r="2825" spans="2:17">
      <c r="B2825" s="17"/>
      <c r="C2825" s="16" t="str">
        <f>IFERROR(VLOOKUP(DATA!#REF!,DATA!#REF!,1,FALSE),"")</f>
        <v/>
      </c>
      <c r="D2825" s="16" t="str">
        <f>IFERROR(VLOOKUP(C2825,DATA!#REF!,2,FALSE),"")</f>
        <v/>
      </c>
      <c r="I2825" s="17"/>
      <c r="J2825" s="17"/>
      <c r="P2825" s="17"/>
      <c r="Q2825" s="17"/>
    </row>
    <row r="2826" spans="2:17">
      <c r="B2826" s="17"/>
      <c r="C2826" s="16" t="str">
        <f>IFERROR(VLOOKUP(DATA!#REF!,DATA!#REF!,1,FALSE),"")</f>
        <v/>
      </c>
      <c r="D2826" s="16" t="str">
        <f>IFERROR(VLOOKUP(C2826,DATA!#REF!,2,FALSE),"")</f>
        <v/>
      </c>
      <c r="I2826" s="17"/>
      <c r="J2826" s="17"/>
      <c r="P2826" s="17"/>
      <c r="Q2826" s="17"/>
    </row>
    <row r="2827" spans="2:17">
      <c r="B2827" s="17"/>
      <c r="C2827" s="16" t="str">
        <f>IFERROR(VLOOKUP(DATA!#REF!,DATA!#REF!,1,FALSE),"")</f>
        <v/>
      </c>
      <c r="D2827" s="16" t="str">
        <f>IFERROR(VLOOKUP(C2827,DATA!#REF!,2,FALSE),"")</f>
        <v/>
      </c>
      <c r="I2827" s="17"/>
      <c r="J2827" s="17"/>
      <c r="P2827" s="17"/>
      <c r="Q2827" s="17"/>
    </row>
    <row r="2828" spans="2:17">
      <c r="B2828" s="17"/>
      <c r="C2828" s="16" t="str">
        <f>IFERROR(VLOOKUP(DATA!#REF!,DATA!#REF!,1,FALSE),"")</f>
        <v/>
      </c>
      <c r="D2828" s="16" t="str">
        <f>IFERROR(VLOOKUP(C2828,DATA!#REF!,2,FALSE),"")</f>
        <v/>
      </c>
      <c r="I2828" s="17"/>
      <c r="J2828" s="17"/>
      <c r="P2828" s="17"/>
      <c r="Q2828" s="17"/>
    </row>
    <row r="2829" spans="2:17">
      <c r="B2829" s="17"/>
      <c r="C2829" s="16" t="str">
        <f>IFERROR(VLOOKUP(DATA!#REF!,DATA!#REF!,1,FALSE),"")</f>
        <v/>
      </c>
      <c r="D2829" s="16" t="str">
        <f>IFERROR(VLOOKUP(C2829,DATA!#REF!,2,FALSE),"")</f>
        <v/>
      </c>
      <c r="I2829" s="17"/>
      <c r="J2829" s="17"/>
      <c r="P2829" s="17"/>
      <c r="Q2829" s="17"/>
    </row>
    <row r="2830" spans="2:17">
      <c r="B2830" s="17"/>
      <c r="C2830" s="16" t="str">
        <f>IFERROR(VLOOKUP(DATA!#REF!,DATA!#REF!,1,FALSE),"")</f>
        <v/>
      </c>
      <c r="D2830" s="16" t="str">
        <f>IFERROR(VLOOKUP(C2830,DATA!#REF!,2,FALSE),"")</f>
        <v/>
      </c>
      <c r="I2830" s="17"/>
      <c r="J2830" s="17"/>
      <c r="P2830" s="17"/>
      <c r="Q2830" s="17"/>
    </row>
    <row r="2831" spans="2:17">
      <c r="B2831" s="17"/>
      <c r="C2831" s="16" t="str">
        <f>IFERROR(VLOOKUP(DATA!#REF!,DATA!#REF!,1,FALSE),"")</f>
        <v/>
      </c>
      <c r="D2831" s="16" t="str">
        <f>IFERROR(VLOOKUP(C2831,DATA!#REF!,2,FALSE),"")</f>
        <v/>
      </c>
      <c r="I2831" s="17"/>
      <c r="J2831" s="17"/>
      <c r="P2831" s="17"/>
      <c r="Q2831" s="17"/>
    </row>
    <row r="2832" spans="2:17">
      <c r="B2832" s="17"/>
      <c r="C2832" s="16" t="str">
        <f>IFERROR(VLOOKUP(DATA!#REF!,DATA!#REF!,1,FALSE),"")</f>
        <v/>
      </c>
      <c r="D2832" s="16" t="str">
        <f>IFERROR(VLOOKUP(C2832,DATA!#REF!,2,FALSE),"")</f>
        <v/>
      </c>
      <c r="I2832" s="17"/>
      <c r="J2832" s="17"/>
      <c r="P2832" s="17"/>
      <c r="Q2832" s="17"/>
    </row>
    <row r="2833" spans="2:17">
      <c r="B2833" s="17"/>
      <c r="C2833" s="16" t="str">
        <f>IFERROR(VLOOKUP(DATA!#REF!,DATA!#REF!,1,FALSE),"")</f>
        <v/>
      </c>
      <c r="D2833" s="16" t="str">
        <f>IFERROR(VLOOKUP(C2833,DATA!#REF!,2,FALSE),"")</f>
        <v/>
      </c>
      <c r="I2833" s="17"/>
      <c r="J2833" s="17"/>
      <c r="P2833" s="17"/>
      <c r="Q2833" s="17"/>
    </row>
    <row r="2834" spans="2:17">
      <c r="B2834" s="17"/>
      <c r="C2834" s="16" t="str">
        <f>IFERROR(VLOOKUP(DATA!#REF!,DATA!#REF!,1,FALSE),"")</f>
        <v/>
      </c>
      <c r="D2834" s="16" t="str">
        <f>IFERROR(VLOOKUP(C2834,DATA!#REF!,2,FALSE),"")</f>
        <v/>
      </c>
      <c r="I2834" s="17"/>
      <c r="J2834" s="17"/>
      <c r="P2834" s="17"/>
      <c r="Q2834" s="17"/>
    </row>
    <row r="2835" spans="2:17">
      <c r="B2835" s="17"/>
      <c r="C2835" s="16" t="str">
        <f>IFERROR(VLOOKUP(DATA!#REF!,DATA!#REF!,1,FALSE),"")</f>
        <v/>
      </c>
      <c r="D2835" s="16" t="str">
        <f>IFERROR(VLOOKUP(C2835,DATA!#REF!,2,FALSE),"")</f>
        <v/>
      </c>
      <c r="I2835" s="17"/>
      <c r="J2835" s="17"/>
      <c r="P2835" s="17"/>
      <c r="Q2835" s="17"/>
    </row>
    <row r="2836" spans="2:17">
      <c r="B2836" s="17"/>
      <c r="C2836" s="16" t="str">
        <f>IFERROR(VLOOKUP(DATA!#REF!,DATA!#REF!,1,FALSE),"")</f>
        <v/>
      </c>
      <c r="D2836" s="16" t="str">
        <f>IFERROR(VLOOKUP(C2836,DATA!#REF!,2,FALSE),"")</f>
        <v/>
      </c>
      <c r="I2836" s="17"/>
      <c r="J2836" s="17"/>
      <c r="P2836" s="17"/>
      <c r="Q2836" s="17"/>
    </row>
    <row r="2837" spans="2:17">
      <c r="B2837" s="17"/>
      <c r="C2837" s="16" t="str">
        <f>IFERROR(VLOOKUP(DATA!#REF!,DATA!#REF!,1,FALSE),"")</f>
        <v/>
      </c>
      <c r="D2837" s="16" t="str">
        <f>IFERROR(VLOOKUP(C2837,DATA!#REF!,2,FALSE),"")</f>
        <v/>
      </c>
      <c r="I2837" s="17"/>
      <c r="J2837" s="17"/>
      <c r="P2837" s="17"/>
      <c r="Q2837" s="17"/>
    </row>
    <row r="2838" spans="2:17">
      <c r="B2838" s="17"/>
      <c r="C2838" s="16" t="str">
        <f>IFERROR(VLOOKUP(DATA!#REF!,DATA!#REF!,1,FALSE),"")</f>
        <v/>
      </c>
      <c r="D2838" s="16" t="str">
        <f>IFERROR(VLOOKUP(C2838,DATA!#REF!,2,FALSE),"")</f>
        <v/>
      </c>
      <c r="I2838" s="17"/>
      <c r="J2838" s="17"/>
      <c r="P2838" s="17"/>
      <c r="Q2838" s="17"/>
    </row>
    <row r="2839" spans="2:17">
      <c r="B2839" s="17"/>
      <c r="C2839" s="16" t="str">
        <f>IFERROR(VLOOKUP(DATA!#REF!,DATA!#REF!,1,FALSE),"")</f>
        <v/>
      </c>
      <c r="D2839" s="16" t="str">
        <f>IFERROR(VLOOKUP(C2839,DATA!#REF!,2,FALSE),"")</f>
        <v/>
      </c>
      <c r="I2839" s="17"/>
      <c r="J2839" s="17"/>
      <c r="P2839" s="17"/>
      <c r="Q2839" s="17"/>
    </row>
    <row r="2840" spans="2:17">
      <c r="B2840" s="17"/>
      <c r="C2840" s="16" t="str">
        <f>IFERROR(VLOOKUP(DATA!#REF!,DATA!#REF!,1,FALSE),"")</f>
        <v/>
      </c>
      <c r="D2840" s="16" t="str">
        <f>IFERROR(VLOOKUP(C2840,DATA!#REF!,2,FALSE),"")</f>
        <v/>
      </c>
      <c r="I2840" s="17"/>
      <c r="J2840" s="17"/>
      <c r="P2840" s="17"/>
      <c r="Q2840" s="17"/>
    </row>
    <row r="2841" spans="2:17">
      <c r="B2841" s="17"/>
      <c r="C2841" s="16" t="str">
        <f>IFERROR(VLOOKUP(DATA!#REF!,DATA!#REF!,1,FALSE),"")</f>
        <v/>
      </c>
      <c r="D2841" s="16" t="str">
        <f>IFERROR(VLOOKUP(C2841,DATA!#REF!,2,FALSE),"")</f>
        <v/>
      </c>
      <c r="I2841" s="17"/>
      <c r="J2841" s="17"/>
      <c r="P2841" s="17"/>
      <c r="Q2841" s="17"/>
    </row>
    <row r="2842" spans="2:17">
      <c r="B2842" s="17"/>
      <c r="C2842" s="16" t="str">
        <f>IFERROR(VLOOKUP(DATA!#REF!,DATA!#REF!,1,FALSE),"")</f>
        <v/>
      </c>
      <c r="D2842" s="16" t="str">
        <f>IFERROR(VLOOKUP(C2842,DATA!#REF!,2,FALSE),"")</f>
        <v/>
      </c>
      <c r="I2842" s="17"/>
      <c r="J2842" s="17"/>
      <c r="P2842" s="17"/>
      <c r="Q2842" s="17"/>
    </row>
    <row r="2843" spans="2:17">
      <c r="B2843" s="17"/>
      <c r="C2843" s="16" t="str">
        <f>IFERROR(VLOOKUP(DATA!#REF!,DATA!#REF!,1,FALSE),"")</f>
        <v/>
      </c>
      <c r="D2843" s="16" t="str">
        <f>IFERROR(VLOOKUP(C2843,DATA!#REF!,2,FALSE),"")</f>
        <v/>
      </c>
      <c r="I2843" s="17"/>
      <c r="J2843" s="17"/>
      <c r="P2843" s="17"/>
      <c r="Q2843" s="17"/>
    </row>
    <row r="2844" spans="2:17">
      <c r="B2844" s="17"/>
      <c r="C2844" s="16" t="str">
        <f>IFERROR(VLOOKUP(DATA!#REF!,DATA!#REF!,1,FALSE),"")</f>
        <v/>
      </c>
      <c r="D2844" s="16" t="str">
        <f>IFERROR(VLOOKUP(C2844,DATA!#REF!,2,FALSE),"")</f>
        <v/>
      </c>
      <c r="I2844" s="17"/>
      <c r="J2844" s="17"/>
      <c r="P2844" s="17"/>
      <c r="Q2844" s="17"/>
    </row>
    <row r="2845" spans="2:17">
      <c r="B2845" s="17"/>
      <c r="C2845" s="16" t="str">
        <f>IFERROR(VLOOKUP(DATA!#REF!,DATA!#REF!,1,FALSE),"")</f>
        <v/>
      </c>
      <c r="D2845" s="16" t="str">
        <f>IFERROR(VLOOKUP(C2845,DATA!#REF!,2,FALSE),"")</f>
        <v/>
      </c>
      <c r="I2845" s="17"/>
      <c r="J2845" s="17"/>
      <c r="P2845" s="17"/>
      <c r="Q2845" s="17"/>
    </row>
    <row r="2846" spans="2:17">
      <c r="B2846" s="17"/>
      <c r="C2846" s="16" t="str">
        <f>IFERROR(VLOOKUP(DATA!#REF!,DATA!#REF!,1,FALSE),"")</f>
        <v/>
      </c>
      <c r="D2846" s="16" t="str">
        <f>IFERROR(VLOOKUP(C2846,DATA!#REF!,2,FALSE),"")</f>
        <v/>
      </c>
      <c r="I2846" s="17"/>
      <c r="J2846" s="17"/>
      <c r="P2846" s="17"/>
      <c r="Q2846" s="17"/>
    </row>
    <row r="2847" spans="2:17">
      <c r="B2847" s="17"/>
      <c r="C2847" s="16" t="str">
        <f>IFERROR(VLOOKUP(DATA!#REF!,DATA!#REF!,1,FALSE),"")</f>
        <v/>
      </c>
      <c r="D2847" s="16" t="str">
        <f>IFERROR(VLOOKUP(C2847,DATA!#REF!,2,FALSE),"")</f>
        <v/>
      </c>
      <c r="I2847" s="17"/>
      <c r="J2847" s="17"/>
      <c r="P2847" s="17"/>
      <c r="Q2847" s="17"/>
    </row>
    <row r="2848" spans="2:17">
      <c r="B2848" s="17"/>
      <c r="C2848" s="16" t="str">
        <f>IFERROR(VLOOKUP(DATA!#REF!,DATA!#REF!,1,FALSE),"")</f>
        <v/>
      </c>
      <c r="D2848" s="16" t="str">
        <f>IFERROR(VLOOKUP(C2848,DATA!#REF!,2,FALSE),"")</f>
        <v/>
      </c>
      <c r="I2848" s="17"/>
      <c r="J2848" s="17"/>
      <c r="P2848" s="17"/>
      <c r="Q2848" s="17"/>
    </row>
    <row r="2849" spans="2:17">
      <c r="B2849" s="17"/>
      <c r="C2849" s="16" t="str">
        <f>IFERROR(VLOOKUP(DATA!#REF!,DATA!#REF!,1,FALSE),"")</f>
        <v/>
      </c>
      <c r="D2849" s="16" t="str">
        <f>IFERROR(VLOOKUP(C2849,DATA!#REF!,2,FALSE),"")</f>
        <v/>
      </c>
      <c r="I2849" s="17"/>
      <c r="J2849" s="17"/>
      <c r="P2849" s="17"/>
      <c r="Q2849" s="17"/>
    </row>
    <row r="2850" spans="2:17">
      <c r="B2850" s="17"/>
      <c r="C2850" s="16" t="str">
        <f>IFERROR(VLOOKUP(DATA!#REF!,DATA!#REF!,1,FALSE),"")</f>
        <v/>
      </c>
      <c r="D2850" s="16" t="str">
        <f>IFERROR(VLOOKUP(C2850,DATA!#REF!,2,FALSE),"")</f>
        <v/>
      </c>
      <c r="I2850" s="17"/>
      <c r="J2850" s="17"/>
      <c r="P2850" s="17"/>
      <c r="Q2850" s="17"/>
    </row>
    <row r="2851" spans="2:17">
      <c r="B2851" s="17"/>
      <c r="C2851" s="16" t="str">
        <f>IFERROR(VLOOKUP(DATA!#REF!,DATA!#REF!,1,FALSE),"")</f>
        <v/>
      </c>
      <c r="D2851" s="16" t="str">
        <f>IFERROR(VLOOKUP(C2851,DATA!#REF!,2,FALSE),"")</f>
        <v/>
      </c>
      <c r="I2851" s="17"/>
      <c r="J2851" s="17"/>
      <c r="P2851" s="17"/>
      <c r="Q2851" s="17"/>
    </row>
    <row r="2852" spans="2:17">
      <c r="B2852" s="17"/>
      <c r="C2852" s="16" t="str">
        <f>IFERROR(VLOOKUP(DATA!#REF!,DATA!#REF!,1,FALSE),"")</f>
        <v/>
      </c>
      <c r="D2852" s="16" t="str">
        <f>IFERROR(VLOOKUP(C2852,DATA!#REF!,2,FALSE),"")</f>
        <v/>
      </c>
      <c r="I2852" s="17"/>
      <c r="J2852" s="17"/>
      <c r="P2852" s="17"/>
      <c r="Q2852" s="17"/>
    </row>
    <row r="2853" spans="2:17">
      <c r="B2853" s="17"/>
      <c r="C2853" s="16" t="str">
        <f>IFERROR(VLOOKUP(DATA!#REF!,DATA!#REF!,1,FALSE),"")</f>
        <v/>
      </c>
      <c r="D2853" s="16" t="str">
        <f>IFERROR(VLOOKUP(C2853,DATA!#REF!,2,FALSE),"")</f>
        <v/>
      </c>
      <c r="I2853" s="17"/>
      <c r="J2853" s="17"/>
      <c r="P2853" s="17"/>
      <c r="Q2853" s="17"/>
    </row>
    <row r="2854" spans="2:17">
      <c r="B2854" s="17"/>
      <c r="C2854" s="16" t="str">
        <f>IFERROR(VLOOKUP(DATA!#REF!,DATA!#REF!,1,FALSE),"")</f>
        <v/>
      </c>
      <c r="D2854" s="16" t="str">
        <f>IFERROR(VLOOKUP(C2854,DATA!#REF!,2,FALSE),"")</f>
        <v/>
      </c>
      <c r="I2854" s="17"/>
      <c r="J2854" s="17"/>
      <c r="P2854" s="17"/>
      <c r="Q2854" s="17"/>
    </row>
    <row r="2855" spans="2:17">
      <c r="B2855" s="17"/>
      <c r="C2855" s="16" t="str">
        <f>IFERROR(VLOOKUP(DATA!#REF!,DATA!#REF!,1,FALSE),"")</f>
        <v/>
      </c>
      <c r="D2855" s="16" t="str">
        <f>IFERROR(VLOOKUP(C2855,DATA!#REF!,2,FALSE),"")</f>
        <v/>
      </c>
      <c r="I2855" s="17"/>
      <c r="J2855" s="17"/>
      <c r="P2855" s="17"/>
      <c r="Q2855" s="17"/>
    </row>
    <row r="2856" spans="2:17">
      <c r="B2856" s="17"/>
      <c r="C2856" s="16" t="str">
        <f>IFERROR(VLOOKUP(DATA!#REF!,DATA!#REF!,1,FALSE),"")</f>
        <v/>
      </c>
      <c r="D2856" s="16" t="str">
        <f>IFERROR(VLOOKUP(C2856,DATA!#REF!,2,FALSE),"")</f>
        <v/>
      </c>
      <c r="I2856" s="17"/>
      <c r="J2856" s="17"/>
      <c r="P2856" s="17"/>
      <c r="Q2856" s="17"/>
    </row>
    <row r="2857" spans="2:17">
      <c r="B2857" s="17"/>
      <c r="C2857" s="16" t="str">
        <f>IFERROR(VLOOKUP(DATA!#REF!,DATA!#REF!,1,FALSE),"")</f>
        <v/>
      </c>
      <c r="D2857" s="16" t="str">
        <f>IFERROR(VLOOKUP(C2857,DATA!#REF!,2,FALSE),"")</f>
        <v/>
      </c>
      <c r="I2857" s="17"/>
      <c r="J2857" s="17"/>
      <c r="P2857" s="17"/>
      <c r="Q2857" s="17"/>
    </row>
    <row r="2858" spans="2:17">
      <c r="B2858" s="17"/>
      <c r="C2858" s="16" t="str">
        <f>IFERROR(VLOOKUP(DATA!#REF!,DATA!#REF!,1,FALSE),"")</f>
        <v/>
      </c>
      <c r="D2858" s="16" t="str">
        <f>IFERROR(VLOOKUP(C2858,DATA!#REF!,2,FALSE),"")</f>
        <v/>
      </c>
      <c r="I2858" s="17"/>
      <c r="J2858" s="17"/>
      <c r="P2858" s="17"/>
      <c r="Q2858" s="17"/>
    </row>
    <row r="2859" spans="2:17">
      <c r="B2859" s="17"/>
      <c r="C2859" s="16" t="str">
        <f>IFERROR(VLOOKUP(DATA!#REF!,DATA!#REF!,1,FALSE),"")</f>
        <v/>
      </c>
      <c r="D2859" s="16" t="str">
        <f>IFERROR(VLOOKUP(C2859,DATA!#REF!,2,FALSE),"")</f>
        <v/>
      </c>
      <c r="I2859" s="17"/>
      <c r="J2859" s="17"/>
      <c r="P2859" s="17"/>
      <c r="Q2859" s="17"/>
    </row>
    <row r="2860" spans="2:17">
      <c r="B2860" s="17"/>
      <c r="C2860" s="16" t="str">
        <f>IFERROR(VLOOKUP(DATA!#REF!,DATA!#REF!,1,FALSE),"")</f>
        <v/>
      </c>
      <c r="D2860" s="16" t="str">
        <f>IFERROR(VLOOKUP(C2860,DATA!#REF!,2,FALSE),"")</f>
        <v/>
      </c>
      <c r="I2860" s="17"/>
      <c r="J2860" s="17"/>
      <c r="P2860" s="17"/>
      <c r="Q2860" s="17"/>
    </row>
    <row r="2861" spans="2:17">
      <c r="B2861" s="17"/>
      <c r="C2861" s="16" t="str">
        <f>IFERROR(VLOOKUP(DATA!#REF!,DATA!#REF!,1,FALSE),"")</f>
        <v/>
      </c>
      <c r="D2861" s="16" t="str">
        <f>IFERROR(VLOOKUP(C2861,DATA!#REF!,2,FALSE),"")</f>
        <v/>
      </c>
      <c r="I2861" s="17"/>
      <c r="J2861" s="17"/>
      <c r="P2861" s="17"/>
      <c r="Q2861" s="17"/>
    </row>
    <row r="2862" spans="2:17">
      <c r="B2862" s="17"/>
      <c r="C2862" s="16" t="str">
        <f>IFERROR(VLOOKUP(DATA!#REF!,DATA!#REF!,1,FALSE),"")</f>
        <v/>
      </c>
      <c r="D2862" s="16" t="str">
        <f>IFERROR(VLOOKUP(C2862,DATA!#REF!,2,FALSE),"")</f>
        <v/>
      </c>
      <c r="I2862" s="17"/>
      <c r="J2862" s="17"/>
      <c r="P2862" s="17"/>
      <c r="Q2862" s="17"/>
    </row>
    <row r="2863" spans="2:17">
      <c r="B2863" s="17"/>
      <c r="C2863" s="16" t="str">
        <f>IFERROR(VLOOKUP(DATA!#REF!,DATA!#REF!,1,FALSE),"")</f>
        <v/>
      </c>
      <c r="D2863" s="16" t="str">
        <f>IFERROR(VLOOKUP(C2863,DATA!#REF!,2,FALSE),"")</f>
        <v/>
      </c>
      <c r="I2863" s="17"/>
      <c r="J2863" s="17"/>
      <c r="P2863" s="17"/>
      <c r="Q2863" s="17"/>
    </row>
    <row r="2864" spans="2:17">
      <c r="B2864" s="17"/>
      <c r="C2864" s="16" t="str">
        <f>IFERROR(VLOOKUP(DATA!#REF!,DATA!#REF!,1,FALSE),"")</f>
        <v/>
      </c>
      <c r="D2864" s="16" t="str">
        <f>IFERROR(VLOOKUP(C2864,DATA!#REF!,2,FALSE),"")</f>
        <v/>
      </c>
      <c r="I2864" s="17"/>
      <c r="J2864" s="17"/>
      <c r="P2864" s="17"/>
      <c r="Q2864" s="17"/>
    </row>
    <row r="2865" spans="2:17">
      <c r="B2865" s="17"/>
      <c r="C2865" s="16" t="str">
        <f>IFERROR(VLOOKUP(DATA!#REF!,DATA!#REF!,1,FALSE),"")</f>
        <v/>
      </c>
      <c r="D2865" s="16" t="str">
        <f>IFERROR(VLOOKUP(C2865,DATA!#REF!,2,FALSE),"")</f>
        <v/>
      </c>
      <c r="I2865" s="17"/>
      <c r="J2865" s="17"/>
      <c r="P2865" s="17"/>
      <c r="Q2865" s="17"/>
    </row>
    <row r="2866" spans="2:17">
      <c r="B2866" s="17"/>
      <c r="C2866" s="16" t="str">
        <f>IFERROR(VLOOKUP(DATA!#REF!,DATA!#REF!,1,FALSE),"")</f>
        <v/>
      </c>
      <c r="D2866" s="16" t="str">
        <f>IFERROR(VLOOKUP(C2866,DATA!#REF!,2,FALSE),"")</f>
        <v/>
      </c>
      <c r="I2866" s="17"/>
      <c r="J2866" s="17"/>
      <c r="P2866" s="17"/>
      <c r="Q2866" s="17"/>
    </row>
    <row r="2867" spans="2:17">
      <c r="B2867" s="17"/>
      <c r="C2867" s="16" t="str">
        <f>IFERROR(VLOOKUP(DATA!#REF!,DATA!#REF!,1,FALSE),"")</f>
        <v/>
      </c>
      <c r="D2867" s="16" t="str">
        <f>IFERROR(VLOOKUP(C2867,DATA!#REF!,2,FALSE),"")</f>
        <v/>
      </c>
      <c r="I2867" s="17"/>
      <c r="J2867" s="17"/>
      <c r="P2867" s="17"/>
      <c r="Q2867" s="17"/>
    </row>
    <row r="2868" spans="2:17">
      <c r="B2868" s="17"/>
      <c r="C2868" s="16" t="str">
        <f>IFERROR(VLOOKUP(DATA!#REF!,DATA!#REF!,1,FALSE),"")</f>
        <v/>
      </c>
      <c r="D2868" s="16" t="str">
        <f>IFERROR(VLOOKUP(C2868,DATA!#REF!,2,FALSE),"")</f>
        <v/>
      </c>
      <c r="I2868" s="17"/>
      <c r="J2868" s="17"/>
      <c r="P2868" s="17"/>
      <c r="Q2868" s="17"/>
    </row>
    <row r="2869" spans="2:17">
      <c r="B2869" s="17"/>
      <c r="C2869" s="16" t="str">
        <f>IFERROR(VLOOKUP(DATA!#REF!,DATA!#REF!,1,FALSE),"")</f>
        <v/>
      </c>
      <c r="D2869" s="16" t="str">
        <f>IFERROR(VLOOKUP(C2869,DATA!#REF!,2,FALSE),"")</f>
        <v/>
      </c>
      <c r="I2869" s="17"/>
      <c r="J2869" s="17"/>
      <c r="P2869" s="17"/>
      <c r="Q2869" s="17"/>
    </row>
    <row r="2870" spans="2:17">
      <c r="B2870" s="17"/>
      <c r="C2870" s="16" t="str">
        <f>IFERROR(VLOOKUP(DATA!#REF!,DATA!#REF!,1,FALSE),"")</f>
        <v/>
      </c>
      <c r="D2870" s="16" t="str">
        <f>IFERROR(VLOOKUP(C2870,DATA!#REF!,2,FALSE),"")</f>
        <v/>
      </c>
      <c r="I2870" s="17"/>
      <c r="J2870" s="17"/>
      <c r="P2870" s="17"/>
      <c r="Q2870" s="17"/>
    </row>
    <row r="2871" spans="2:17">
      <c r="B2871" s="17"/>
      <c r="C2871" s="16" t="str">
        <f>IFERROR(VLOOKUP(DATA!#REF!,DATA!#REF!,1,FALSE),"")</f>
        <v/>
      </c>
      <c r="D2871" s="16" t="str">
        <f>IFERROR(VLOOKUP(C2871,DATA!#REF!,2,FALSE),"")</f>
        <v/>
      </c>
      <c r="I2871" s="17"/>
      <c r="J2871" s="17"/>
      <c r="P2871" s="17"/>
      <c r="Q2871" s="17"/>
    </row>
    <row r="2872" spans="2:17">
      <c r="B2872" s="17"/>
      <c r="C2872" s="16" t="str">
        <f>IFERROR(VLOOKUP(DATA!#REF!,DATA!#REF!,1,FALSE),"")</f>
        <v/>
      </c>
      <c r="D2872" s="16" t="str">
        <f>IFERROR(VLOOKUP(C2872,DATA!#REF!,2,FALSE),"")</f>
        <v/>
      </c>
      <c r="I2872" s="17"/>
      <c r="J2872" s="17"/>
      <c r="P2872" s="17"/>
      <c r="Q2872" s="17"/>
    </row>
    <row r="2873" spans="2:17">
      <c r="B2873" s="17"/>
      <c r="C2873" s="16" t="str">
        <f>IFERROR(VLOOKUP(DATA!#REF!,DATA!#REF!,1,FALSE),"")</f>
        <v/>
      </c>
      <c r="D2873" s="16" t="str">
        <f>IFERROR(VLOOKUP(C2873,DATA!#REF!,2,FALSE),"")</f>
        <v/>
      </c>
      <c r="I2873" s="17"/>
      <c r="J2873" s="17"/>
      <c r="P2873" s="17"/>
      <c r="Q2873" s="17"/>
    </row>
    <row r="2874" spans="2:17">
      <c r="B2874" s="17"/>
      <c r="C2874" s="16" t="str">
        <f>IFERROR(VLOOKUP(DATA!#REF!,DATA!#REF!,1,FALSE),"")</f>
        <v/>
      </c>
      <c r="D2874" s="16" t="str">
        <f>IFERROR(VLOOKUP(C2874,DATA!#REF!,2,FALSE),"")</f>
        <v/>
      </c>
      <c r="I2874" s="17"/>
      <c r="J2874" s="17"/>
      <c r="P2874" s="17"/>
      <c r="Q2874" s="17"/>
    </row>
    <row r="2875" spans="2:17">
      <c r="B2875" s="17"/>
      <c r="C2875" s="16" t="str">
        <f>IFERROR(VLOOKUP(DATA!#REF!,DATA!#REF!,1,FALSE),"")</f>
        <v/>
      </c>
      <c r="D2875" s="16" t="str">
        <f>IFERROR(VLOOKUP(C2875,DATA!#REF!,2,FALSE),"")</f>
        <v/>
      </c>
      <c r="I2875" s="17"/>
      <c r="J2875" s="17"/>
      <c r="P2875" s="17"/>
      <c r="Q2875" s="17"/>
    </row>
    <row r="2876" spans="2:17">
      <c r="B2876" s="17"/>
      <c r="C2876" s="16" t="str">
        <f>IFERROR(VLOOKUP(DATA!#REF!,DATA!#REF!,1,FALSE),"")</f>
        <v/>
      </c>
      <c r="D2876" s="16" t="str">
        <f>IFERROR(VLOOKUP(C2876,DATA!#REF!,2,FALSE),"")</f>
        <v/>
      </c>
      <c r="I2876" s="17"/>
      <c r="J2876" s="17"/>
      <c r="P2876" s="17"/>
      <c r="Q2876" s="17"/>
    </row>
    <row r="2877" spans="2:17">
      <c r="B2877" s="17"/>
      <c r="C2877" s="16" t="str">
        <f>IFERROR(VLOOKUP(DATA!#REF!,DATA!#REF!,1,FALSE),"")</f>
        <v/>
      </c>
      <c r="D2877" s="16" t="str">
        <f>IFERROR(VLOOKUP(C2877,DATA!#REF!,2,FALSE),"")</f>
        <v/>
      </c>
      <c r="I2877" s="17"/>
      <c r="J2877" s="17"/>
      <c r="P2877" s="17"/>
      <c r="Q2877" s="17"/>
    </row>
    <row r="2878" spans="2:17">
      <c r="B2878" s="17"/>
      <c r="C2878" s="16" t="str">
        <f>IFERROR(VLOOKUP(DATA!#REF!,DATA!#REF!,1,FALSE),"")</f>
        <v/>
      </c>
      <c r="D2878" s="16" t="str">
        <f>IFERROR(VLOOKUP(C2878,DATA!#REF!,2,FALSE),"")</f>
        <v/>
      </c>
      <c r="I2878" s="17"/>
      <c r="J2878" s="17"/>
      <c r="P2878" s="17"/>
      <c r="Q2878" s="17"/>
    </row>
    <row r="2879" spans="2:17">
      <c r="B2879" s="17"/>
      <c r="C2879" s="16" t="str">
        <f>IFERROR(VLOOKUP(DATA!#REF!,DATA!#REF!,1,FALSE),"")</f>
        <v/>
      </c>
      <c r="D2879" s="16" t="str">
        <f>IFERROR(VLOOKUP(C2879,DATA!#REF!,2,FALSE),"")</f>
        <v/>
      </c>
      <c r="I2879" s="17"/>
      <c r="J2879" s="17"/>
      <c r="P2879" s="17"/>
      <c r="Q2879" s="17"/>
    </row>
    <row r="2880" spans="2:17">
      <c r="B2880" s="17"/>
      <c r="C2880" s="16" t="str">
        <f>IFERROR(VLOOKUP(DATA!#REF!,DATA!#REF!,1,FALSE),"")</f>
        <v/>
      </c>
      <c r="D2880" s="16" t="str">
        <f>IFERROR(VLOOKUP(C2880,DATA!#REF!,2,FALSE),"")</f>
        <v/>
      </c>
      <c r="I2880" s="17"/>
      <c r="J2880" s="17"/>
      <c r="P2880" s="17"/>
      <c r="Q2880" s="17"/>
    </row>
    <row r="2881" spans="2:17">
      <c r="B2881" s="17"/>
      <c r="C2881" s="16" t="str">
        <f>IFERROR(VLOOKUP(DATA!#REF!,DATA!#REF!,1,FALSE),"")</f>
        <v/>
      </c>
      <c r="D2881" s="16" t="str">
        <f>IFERROR(VLOOKUP(C2881,DATA!#REF!,2,FALSE),"")</f>
        <v/>
      </c>
      <c r="I2881" s="17"/>
      <c r="J2881" s="17"/>
      <c r="P2881" s="17"/>
      <c r="Q2881" s="17"/>
    </row>
    <row r="2882" spans="2:17">
      <c r="B2882" s="17"/>
      <c r="C2882" s="16" t="str">
        <f>IFERROR(VLOOKUP(DATA!#REF!,DATA!#REF!,1,FALSE),"")</f>
        <v/>
      </c>
      <c r="D2882" s="16" t="str">
        <f>IFERROR(VLOOKUP(C2882,DATA!#REF!,2,FALSE),"")</f>
        <v/>
      </c>
      <c r="I2882" s="17"/>
      <c r="J2882" s="17"/>
      <c r="P2882" s="17"/>
      <c r="Q2882" s="17"/>
    </row>
    <row r="2883" spans="2:17">
      <c r="B2883" s="17"/>
      <c r="C2883" s="16" t="str">
        <f>IFERROR(VLOOKUP(DATA!#REF!,DATA!#REF!,1,FALSE),"")</f>
        <v/>
      </c>
      <c r="D2883" s="16" t="str">
        <f>IFERROR(VLOOKUP(C2883,DATA!#REF!,2,FALSE),"")</f>
        <v/>
      </c>
      <c r="I2883" s="17"/>
      <c r="J2883" s="17"/>
      <c r="P2883" s="17"/>
      <c r="Q2883" s="17"/>
    </row>
    <row r="2884" spans="2:17">
      <c r="B2884" s="17"/>
      <c r="C2884" s="16" t="str">
        <f>IFERROR(VLOOKUP(DATA!#REF!,DATA!#REF!,1,FALSE),"")</f>
        <v/>
      </c>
      <c r="D2884" s="16" t="str">
        <f>IFERROR(VLOOKUP(C2884,DATA!#REF!,2,FALSE),"")</f>
        <v/>
      </c>
      <c r="I2884" s="17"/>
      <c r="J2884" s="17"/>
      <c r="P2884" s="17"/>
      <c r="Q2884" s="17"/>
    </row>
    <row r="2885" spans="2:17">
      <c r="B2885" s="17"/>
      <c r="C2885" s="16" t="str">
        <f>IFERROR(VLOOKUP(DATA!#REF!,DATA!#REF!,1,FALSE),"")</f>
        <v/>
      </c>
      <c r="D2885" s="16" t="str">
        <f>IFERROR(VLOOKUP(C2885,DATA!#REF!,2,FALSE),"")</f>
        <v/>
      </c>
      <c r="I2885" s="17"/>
      <c r="J2885" s="17"/>
      <c r="P2885" s="17"/>
      <c r="Q2885" s="17"/>
    </row>
    <row r="2886" spans="2:17">
      <c r="B2886" s="17"/>
      <c r="C2886" s="16" t="str">
        <f>IFERROR(VLOOKUP(DATA!#REF!,DATA!#REF!,1,FALSE),"")</f>
        <v/>
      </c>
      <c r="D2886" s="16" t="str">
        <f>IFERROR(VLOOKUP(C2886,DATA!#REF!,2,FALSE),"")</f>
        <v/>
      </c>
      <c r="I2886" s="17"/>
      <c r="J2886" s="17"/>
      <c r="P2886" s="17"/>
      <c r="Q2886" s="17"/>
    </row>
    <row r="2887" spans="2:17">
      <c r="B2887" s="17"/>
      <c r="C2887" s="16" t="str">
        <f>IFERROR(VLOOKUP(DATA!#REF!,DATA!#REF!,1,FALSE),"")</f>
        <v/>
      </c>
      <c r="D2887" s="16" t="str">
        <f>IFERROR(VLOOKUP(C2887,DATA!#REF!,2,FALSE),"")</f>
        <v/>
      </c>
      <c r="I2887" s="17"/>
      <c r="J2887" s="17"/>
      <c r="P2887" s="17"/>
      <c r="Q2887" s="17"/>
    </row>
    <row r="2888" spans="2:17">
      <c r="B2888" s="17"/>
      <c r="C2888" s="16" t="str">
        <f>IFERROR(VLOOKUP(DATA!#REF!,DATA!#REF!,1,FALSE),"")</f>
        <v/>
      </c>
      <c r="D2888" s="16" t="str">
        <f>IFERROR(VLOOKUP(C2888,DATA!#REF!,2,FALSE),"")</f>
        <v/>
      </c>
      <c r="I2888" s="17"/>
      <c r="J2888" s="17"/>
      <c r="P2888" s="17"/>
      <c r="Q2888" s="17"/>
    </row>
    <row r="2889" spans="2:17">
      <c r="B2889" s="17"/>
      <c r="C2889" s="16" t="str">
        <f>IFERROR(VLOOKUP(DATA!#REF!,DATA!#REF!,1,FALSE),"")</f>
        <v/>
      </c>
      <c r="D2889" s="16" t="str">
        <f>IFERROR(VLOOKUP(C2889,DATA!#REF!,2,FALSE),"")</f>
        <v/>
      </c>
      <c r="I2889" s="17"/>
      <c r="J2889" s="17"/>
      <c r="P2889" s="17"/>
      <c r="Q2889" s="17"/>
    </row>
    <row r="2890" spans="2:17">
      <c r="B2890" s="17"/>
      <c r="C2890" s="16" t="str">
        <f>IFERROR(VLOOKUP(DATA!#REF!,DATA!#REF!,1,FALSE),"")</f>
        <v/>
      </c>
      <c r="D2890" s="16" t="str">
        <f>IFERROR(VLOOKUP(C2890,DATA!#REF!,2,FALSE),"")</f>
        <v/>
      </c>
      <c r="I2890" s="17"/>
      <c r="J2890" s="17"/>
      <c r="P2890" s="17"/>
      <c r="Q2890" s="17"/>
    </row>
    <row r="2891" spans="2:17">
      <c r="B2891" s="17"/>
      <c r="C2891" s="16" t="str">
        <f>IFERROR(VLOOKUP(DATA!#REF!,DATA!#REF!,1,FALSE),"")</f>
        <v/>
      </c>
      <c r="D2891" s="16" t="str">
        <f>IFERROR(VLOOKUP(C2891,DATA!#REF!,2,FALSE),"")</f>
        <v/>
      </c>
      <c r="I2891" s="17"/>
      <c r="J2891" s="17"/>
      <c r="P2891" s="17"/>
      <c r="Q2891" s="17"/>
    </row>
    <row r="2892" spans="2:17">
      <c r="B2892" s="17"/>
      <c r="C2892" s="16" t="str">
        <f>IFERROR(VLOOKUP(DATA!#REF!,DATA!#REF!,1,FALSE),"")</f>
        <v/>
      </c>
      <c r="D2892" s="16" t="str">
        <f>IFERROR(VLOOKUP(C2892,DATA!#REF!,2,FALSE),"")</f>
        <v/>
      </c>
      <c r="I2892" s="17"/>
      <c r="J2892" s="17"/>
      <c r="P2892" s="17"/>
      <c r="Q2892" s="17"/>
    </row>
    <row r="2893" spans="2:17">
      <c r="B2893" s="17"/>
      <c r="C2893" s="16" t="str">
        <f>IFERROR(VLOOKUP(DATA!#REF!,DATA!#REF!,1,FALSE),"")</f>
        <v/>
      </c>
      <c r="D2893" s="16" t="str">
        <f>IFERROR(VLOOKUP(C2893,DATA!#REF!,2,FALSE),"")</f>
        <v/>
      </c>
      <c r="I2893" s="17"/>
      <c r="J2893" s="17"/>
      <c r="P2893" s="17"/>
      <c r="Q2893" s="17"/>
    </row>
    <row r="2894" spans="2:17">
      <c r="B2894" s="17"/>
      <c r="C2894" s="16" t="str">
        <f>IFERROR(VLOOKUP(DATA!#REF!,DATA!#REF!,1,FALSE),"")</f>
        <v/>
      </c>
      <c r="D2894" s="16" t="str">
        <f>IFERROR(VLOOKUP(C2894,DATA!#REF!,2,FALSE),"")</f>
        <v/>
      </c>
      <c r="I2894" s="17"/>
      <c r="J2894" s="17"/>
      <c r="P2894" s="17"/>
      <c r="Q2894" s="17"/>
    </row>
    <row r="2895" spans="2:17">
      <c r="B2895" s="17"/>
      <c r="C2895" s="16" t="str">
        <f>IFERROR(VLOOKUP(DATA!#REF!,DATA!#REF!,1,FALSE),"")</f>
        <v/>
      </c>
      <c r="D2895" s="16" t="str">
        <f>IFERROR(VLOOKUP(C2895,DATA!#REF!,2,FALSE),"")</f>
        <v/>
      </c>
      <c r="I2895" s="17"/>
      <c r="J2895" s="17"/>
      <c r="P2895" s="17"/>
      <c r="Q2895" s="17"/>
    </row>
    <row r="2896" spans="2:17">
      <c r="B2896" s="17"/>
      <c r="C2896" s="16" t="str">
        <f>IFERROR(VLOOKUP(DATA!#REF!,DATA!#REF!,1,FALSE),"")</f>
        <v/>
      </c>
      <c r="D2896" s="16" t="str">
        <f>IFERROR(VLOOKUP(C2896,DATA!#REF!,2,FALSE),"")</f>
        <v/>
      </c>
      <c r="I2896" s="17"/>
      <c r="J2896" s="17"/>
      <c r="P2896" s="17"/>
      <c r="Q2896" s="17"/>
    </row>
    <row r="2897" spans="2:17">
      <c r="B2897" s="17"/>
      <c r="C2897" s="16" t="str">
        <f>IFERROR(VLOOKUP(DATA!#REF!,DATA!#REF!,1,FALSE),"")</f>
        <v/>
      </c>
      <c r="D2897" s="16" t="str">
        <f>IFERROR(VLOOKUP(C2897,DATA!#REF!,2,FALSE),"")</f>
        <v/>
      </c>
      <c r="I2897" s="17"/>
      <c r="J2897" s="17"/>
      <c r="P2897" s="17"/>
      <c r="Q2897" s="17"/>
    </row>
    <row r="2898" spans="2:17">
      <c r="B2898" s="17"/>
      <c r="C2898" s="16" t="str">
        <f>IFERROR(VLOOKUP(DATA!#REF!,DATA!#REF!,1,FALSE),"")</f>
        <v/>
      </c>
      <c r="D2898" s="16" t="str">
        <f>IFERROR(VLOOKUP(C2898,DATA!#REF!,2,FALSE),"")</f>
        <v/>
      </c>
      <c r="I2898" s="17"/>
      <c r="J2898" s="17"/>
      <c r="P2898" s="17"/>
      <c r="Q2898" s="17"/>
    </row>
    <row r="2899" spans="2:17">
      <c r="B2899" s="17"/>
      <c r="C2899" s="16" t="str">
        <f>IFERROR(VLOOKUP(DATA!#REF!,DATA!#REF!,1,FALSE),"")</f>
        <v/>
      </c>
      <c r="D2899" s="16" t="str">
        <f>IFERROR(VLOOKUP(C2899,DATA!#REF!,2,FALSE),"")</f>
        <v/>
      </c>
      <c r="I2899" s="17"/>
      <c r="J2899" s="17"/>
      <c r="P2899" s="17"/>
      <c r="Q2899" s="17"/>
    </row>
    <row r="2900" spans="2:17">
      <c r="B2900" s="17"/>
      <c r="C2900" s="16" t="str">
        <f>IFERROR(VLOOKUP(DATA!#REF!,DATA!#REF!,1,FALSE),"")</f>
        <v/>
      </c>
      <c r="D2900" s="16" t="str">
        <f>IFERROR(VLOOKUP(C2900,DATA!#REF!,2,FALSE),"")</f>
        <v/>
      </c>
      <c r="I2900" s="17"/>
      <c r="J2900" s="17"/>
      <c r="P2900" s="17"/>
      <c r="Q2900" s="17"/>
    </row>
    <row r="2901" spans="2:17">
      <c r="B2901" s="17"/>
      <c r="C2901" s="16" t="str">
        <f>IFERROR(VLOOKUP(DATA!#REF!,DATA!#REF!,1,FALSE),"")</f>
        <v/>
      </c>
      <c r="D2901" s="16" t="str">
        <f>IFERROR(VLOOKUP(C2901,DATA!#REF!,2,FALSE),"")</f>
        <v/>
      </c>
      <c r="I2901" s="17"/>
      <c r="J2901" s="17"/>
      <c r="P2901" s="17"/>
      <c r="Q2901" s="17"/>
    </row>
    <row r="2902" spans="2:17">
      <c r="B2902" s="17"/>
      <c r="C2902" s="16" t="str">
        <f>IFERROR(VLOOKUP(DATA!#REF!,DATA!#REF!,1,FALSE),"")</f>
        <v/>
      </c>
      <c r="D2902" s="16" t="str">
        <f>IFERROR(VLOOKUP(C2902,DATA!#REF!,2,FALSE),"")</f>
        <v/>
      </c>
      <c r="I2902" s="17"/>
      <c r="J2902" s="17"/>
      <c r="P2902" s="17"/>
      <c r="Q2902" s="17"/>
    </row>
    <row r="2903" spans="2:17">
      <c r="B2903" s="17"/>
      <c r="C2903" s="16" t="str">
        <f>IFERROR(VLOOKUP(DATA!#REF!,DATA!#REF!,1,FALSE),"")</f>
        <v/>
      </c>
      <c r="D2903" s="16" t="str">
        <f>IFERROR(VLOOKUP(C2903,DATA!#REF!,2,FALSE),"")</f>
        <v/>
      </c>
      <c r="I2903" s="17"/>
      <c r="J2903" s="17"/>
      <c r="P2903" s="17"/>
      <c r="Q2903" s="17"/>
    </row>
    <row r="2904" spans="2:17">
      <c r="B2904" s="17"/>
      <c r="C2904" s="16" t="str">
        <f>IFERROR(VLOOKUP(DATA!#REF!,DATA!#REF!,1,FALSE),"")</f>
        <v/>
      </c>
      <c r="D2904" s="16" t="str">
        <f>IFERROR(VLOOKUP(C2904,DATA!#REF!,2,FALSE),"")</f>
        <v/>
      </c>
      <c r="I2904" s="17"/>
      <c r="J2904" s="17"/>
      <c r="P2904" s="17"/>
      <c r="Q2904" s="17"/>
    </row>
    <row r="2905" spans="2:17">
      <c r="B2905" s="17"/>
      <c r="C2905" s="16" t="str">
        <f>IFERROR(VLOOKUP(DATA!#REF!,DATA!#REF!,1,FALSE),"")</f>
        <v/>
      </c>
      <c r="D2905" s="16" t="str">
        <f>IFERROR(VLOOKUP(C2905,DATA!#REF!,2,FALSE),"")</f>
        <v/>
      </c>
      <c r="I2905" s="17"/>
      <c r="J2905" s="17"/>
      <c r="P2905" s="17"/>
      <c r="Q2905" s="17"/>
    </row>
    <row r="2906" spans="2:17">
      <c r="B2906" s="17"/>
      <c r="C2906" s="16" t="str">
        <f>IFERROR(VLOOKUP(DATA!#REF!,DATA!#REF!,1,FALSE),"")</f>
        <v/>
      </c>
      <c r="D2906" s="16" t="str">
        <f>IFERROR(VLOOKUP(C2906,DATA!#REF!,2,FALSE),"")</f>
        <v/>
      </c>
      <c r="I2906" s="17"/>
      <c r="J2906" s="17"/>
      <c r="P2906" s="17"/>
      <c r="Q2906" s="17"/>
    </row>
    <row r="2907" spans="2:17">
      <c r="B2907" s="17"/>
      <c r="C2907" s="16" t="str">
        <f>IFERROR(VLOOKUP(DATA!#REF!,DATA!#REF!,1,FALSE),"")</f>
        <v/>
      </c>
      <c r="D2907" s="16" t="str">
        <f>IFERROR(VLOOKUP(C2907,DATA!#REF!,2,FALSE),"")</f>
        <v/>
      </c>
      <c r="I2907" s="17"/>
      <c r="J2907" s="17"/>
      <c r="P2907" s="17"/>
      <c r="Q2907" s="17"/>
    </row>
    <row r="2908" spans="2:17">
      <c r="B2908" s="17"/>
      <c r="C2908" s="16" t="str">
        <f>IFERROR(VLOOKUP(DATA!#REF!,DATA!#REF!,1,FALSE),"")</f>
        <v/>
      </c>
      <c r="D2908" s="16" t="str">
        <f>IFERROR(VLOOKUP(C2908,DATA!#REF!,2,FALSE),"")</f>
        <v/>
      </c>
      <c r="I2908" s="17"/>
      <c r="J2908" s="17"/>
      <c r="P2908" s="17"/>
      <c r="Q2908" s="17"/>
    </row>
    <row r="2909" spans="2:17">
      <c r="B2909" s="17"/>
      <c r="C2909" s="16" t="str">
        <f>IFERROR(VLOOKUP(DATA!#REF!,DATA!#REF!,1,FALSE),"")</f>
        <v/>
      </c>
      <c r="D2909" s="16" t="str">
        <f>IFERROR(VLOOKUP(C2909,DATA!#REF!,2,FALSE),"")</f>
        <v/>
      </c>
      <c r="I2909" s="17"/>
      <c r="J2909" s="17"/>
      <c r="P2909" s="17"/>
      <c r="Q2909" s="17"/>
    </row>
    <row r="2910" spans="2:17">
      <c r="B2910" s="17"/>
      <c r="C2910" s="16" t="str">
        <f>IFERROR(VLOOKUP(DATA!#REF!,DATA!#REF!,1,FALSE),"")</f>
        <v/>
      </c>
      <c r="D2910" s="16" t="str">
        <f>IFERROR(VLOOKUP(C2910,DATA!#REF!,2,FALSE),"")</f>
        <v/>
      </c>
      <c r="I2910" s="17"/>
      <c r="J2910" s="17"/>
      <c r="P2910" s="17"/>
      <c r="Q2910" s="17"/>
    </row>
    <row r="2911" spans="2:17">
      <c r="B2911" s="17"/>
      <c r="C2911" s="16" t="str">
        <f>IFERROR(VLOOKUP(DATA!#REF!,DATA!#REF!,1,FALSE),"")</f>
        <v/>
      </c>
      <c r="D2911" s="16" t="str">
        <f>IFERROR(VLOOKUP(C2911,DATA!#REF!,2,FALSE),"")</f>
        <v/>
      </c>
      <c r="I2911" s="17"/>
      <c r="J2911" s="17"/>
      <c r="P2911" s="17"/>
      <c r="Q2911" s="17"/>
    </row>
    <row r="2912" spans="2:17">
      <c r="B2912" s="17"/>
      <c r="C2912" s="16" t="str">
        <f>IFERROR(VLOOKUP(DATA!#REF!,DATA!#REF!,1,FALSE),"")</f>
        <v/>
      </c>
      <c r="D2912" s="16" t="str">
        <f>IFERROR(VLOOKUP(C2912,DATA!#REF!,2,FALSE),"")</f>
        <v/>
      </c>
      <c r="I2912" s="17"/>
      <c r="J2912" s="17"/>
      <c r="P2912" s="17"/>
      <c r="Q2912" s="17"/>
    </row>
    <row r="2913" spans="2:17">
      <c r="B2913" s="17"/>
      <c r="C2913" s="16" t="str">
        <f>IFERROR(VLOOKUP(DATA!#REF!,DATA!#REF!,1,FALSE),"")</f>
        <v/>
      </c>
      <c r="D2913" s="16" t="str">
        <f>IFERROR(VLOOKUP(C2913,DATA!#REF!,2,FALSE),"")</f>
        <v/>
      </c>
      <c r="I2913" s="17"/>
      <c r="J2913" s="17"/>
      <c r="P2913" s="17"/>
      <c r="Q2913" s="17"/>
    </row>
    <row r="2914" spans="2:17">
      <c r="B2914" s="17"/>
      <c r="C2914" s="16" t="str">
        <f>IFERROR(VLOOKUP(DATA!#REF!,DATA!#REF!,1,FALSE),"")</f>
        <v/>
      </c>
      <c r="D2914" s="16" t="str">
        <f>IFERROR(VLOOKUP(C2914,DATA!#REF!,2,FALSE),"")</f>
        <v/>
      </c>
      <c r="I2914" s="17"/>
      <c r="J2914" s="17"/>
      <c r="P2914" s="17"/>
      <c r="Q2914" s="17"/>
    </row>
    <row r="2915" spans="2:17">
      <c r="B2915" s="17"/>
      <c r="C2915" s="16" t="str">
        <f>IFERROR(VLOOKUP(DATA!#REF!,DATA!#REF!,1,FALSE),"")</f>
        <v/>
      </c>
      <c r="D2915" s="16" t="str">
        <f>IFERROR(VLOOKUP(C2915,DATA!#REF!,2,FALSE),"")</f>
        <v/>
      </c>
      <c r="I2915" s="17"/>
      <c r="J2915" s="17"/>
      <c r="P2915" s="17"/>
      <c r="Q2915" s="17"/>
    </row>
    <row r="2916" spans="2:17">
      <c r="B2916" s="17"/>
      <c r="C2916" s="16" t="str">
        <f>IFERROR(VLOOKUP(DATA!#REF!,DATA!#REF!,1,FALSE),"")</f>
        <v/>
      </c>
      <c r="D2916" s="16" t="str">
        <f>IFERROR(VLOOKUP(C2916,DATA!#REF!,2,FALSE),"")</f>
        <v/>
      </c>
      <c r="I2916" s="17"/>
      <c r="J2916" s="17"/>
      <c r="P2916" s="17"/>
      <c r="Q2916" s="17"/>
    </row>
    <row r="2917" spans="2:17">
      <c r="B2917" s="17"/>
      <c r="C2917" s="16" t="str">
        <f>IFERROR(VLOOKUP(DATA!#REF!,DATA!#REF!,1,FALSE),"")</f>
        <v/>
      </c>
      <c r="D2917" s="16" t="str">
        <f>IFERROR(VLOOKUP(C2917,DATA!#REF!,2,FALSE),"")</f>
        <v/>
      </c>
      <c r="I2917" s="17"/>
      <c r="J2917" s="17"/>
      <c r="P2917" s="17"/>
      <c r="Q2917" s="17"/>
    </row>
    <row r="2918" spans="2:17">
      <c r="B2918" s="17"/>
      <c r="C2918" s="16" t="str">
        <f>IFERROR(VLOOKUP(DATA!#REF!,DATA!#REF!,1,FALSE),"")</f>
        <v/>
      </c>
      <c r="D2918" s="16" t="str">
        <f>IFERROR(VLOOKUP(C2918,DATA!#REF!,2,FALSE),"")</f>
        <v/>
      </c>
      <c r="I2918" s="17"/>
      <c r="J2918" s="17"/>
      <c r="P2918" s="17"/>
      <c r="Q2918" s="17"/>
    </row>
    <row r="2919" spans="2:17">
      <c r="B2919" s="17"/>
      <c r="C2919" s="16" t="str">
        <f>IFERROR(VLOOKUP(DATA!#REF!,DATA!#REF!,1,FALSE),"")</f>
        <v/>
      </c>
      <c r="D2919" s="16" t="str">
        <f>IFERROR(VLOOKUP(C2919,DATA!#REF!,2,FALSE),"")</f>
        <v/>
      </c>
      <c r="I2919" s="17"/>
      <c r="J2919" s="17"/>
      <c r="P2919" s="17"/>
      <c r="Q2919" s="17"/>
    </row>
    <row r="2920" spans="2:17">
      <c r="B2920" s="17"/>
      <c r="C2920" s="16" t="str">
        <f>IFERROR(VLOOKUP(DATA!#REF!,DATA!#REF!,1,FALSE),"")</f>
        <v/>
      </c>
      <c r="D2920" s="16" t="str">
        <f>IFERROR(VLOOKUP(C2920,DATA!#REF!,2,FALSE),"")</f>
        <v/>
      </c>
      <c r="I2920" s="17"/>
      <c r="J2920" s="17"/>
      <c r="P2920" s="17"/>
      <c r="Q2920" s="17"/>
    </row>
    <row r="2921" spans="2:17">
      <c r="B2921" s="17"/>
      <c r="C2921" s="16" t="str">
        <f>IFERROR(VLOOKUP(DATA!#REF!,DATA!#REF!,1,FALSE),"")</f>
        <v/>
      </c>
      <c r="D2921" s="16" t="str">
        <f>IFERROR(VLOOKUP(C2921,DATA!#REF!,2,FALSE),"")</f>
        <v/>
      </c>
      <c r="I2921" s="17"/>
      <c r="J2921" s="17"/>
      <c r="P2921" s="17"/>
      <c r="Q2921" s="17"/>
    </row>
    <row r="2922" spans="2:17">
      <c r="B2922" s="17"/>
      <c r="C2922" s="16" t="str">
        <f>IFERROR(VLOOKUP(DATA!#REF!,DATA!#REF!,1,FALSE),"")</f>
        <v/>
      </c>
      <c r="D2922" s="16" t="str">
        <f>IFERROR(VLOOKUP(C2922,DATA!#REF!,2,FALSE),"")</f>
        <v/>
      </c>
      <c r="I2922" s="17"/>
      <c r="J2922" s="17"/>
      <c r="P2922" s="17"/>
      <c r="Q2922" s="17"/>
    </row>
    <row r="2923" spans="2:17">
      <c r="B2923" s="17"/>
      <c r="C2923" s="16" t="str">
        <f>IFERROR(VLOOKUP(DATA!#REF!,DATA!#REF!,1,FALSE),"")</f>
        <v/>
      </c>
      <c r="D2923" s="16" t="str">
        <f>IFERROR(VLOOKUP(C2923,DATA!#REF!,2,FALSE),"")</f>
        <v/>
      </c>
      <c r="I2923" s="17"/>
      <c r="J2923" s="17"/>
      <c r="P2923" s="17"/>
      <c r="Q2923" s="17"/>
    </row>
    <row r="2924" spans="2:17">
      <c r="B2924" s="17"/>
      <c r="C2924" s="16" t="str">
        <f>IFERROR(VLOOKUP(DATA!#REF!,DATA!#REF!,1,FALSE),"")</f>
        <v/>
      </c>
      <c r="D2924" s="16" t="str">
        <f>IFERROR(VLOOKUP(C2924,DATA!#REF!,2,FALSE),"")</f>
        <v/>
      </c>
      <c r="I2924" s="17"/>
      <c r="J2924" s="17"/>
      <c r="P2924" s="17"/>
      <c r="Q2924" s="17"/>
    </row>
    <row r="2925" spans="2:17">
      <c r="B2925" s="17"/>
      <c r="C2925" s="16" t="str">
        <f>IFERROR(VLOOKUP(DATA!#REF!,DATA!#REF!,1,FALSE),"")</f>
        <v/>
      </c>
      <c r="D2925" s="16" t="str">
        <f>IFERROR(VLOOKUP(C2925,DATA!#REF!,2,FALSE),"")</f>
        <v/>
      </c>
      <c r="I2925" s="17"/>
      <c r="J2925" s="17"/>
      <c r="P2925" s="17"/>
      <c r="Q2925" s="17"/>
    </row>
    <row r="2926" spans="2:17">
      <c r="B2926" s="17"/>
      <c r="C2926" s="16" t="str">
        <f>IFERROR(VLOOKUP(DATA!#REF!,DATA!#REF!,1,FALSE),"")</f>
        <v/>
      </c>
      <c r="D2926" s="16" t="str">
        <f>IFERROR(VLOOKUP(C2926,DATA!#REF!,2,FALSE),"")</f>
        <v/>
      </c>
      <c r="I2926" s="17"/>
      <c r="J2926" s="17"/>
      <c r="P2926" s="17"/>
      <c r="Q2926" s="17"/>
    </row>
    <row r="2927" spans="2:17">
      <c r="B2927" s="17"/>
      <c r="C2927" s="16" t="str">
        <f>IFERROR(VLOOKUP(DATA!#REF!,DATA!#REF!,1,FALSE),"")</f>
        <v/>
      </c>
      <c r="D2927" s="16" t="str">
        <f>IFERROR(VLOOKUP(C2927,DATA!#REF!,2,FALSE),"")</f>
        <v/>
      </c>
      <c r="I2927" s="17"/>
      <c r="J2927" s="17"/>
      <c r="P2927" s="17"/>
      <c r="Q2927" s="17"/>
    </row>
    <row r="2928" spans="2:17">
      <c r="B2928" s="17"/>
      <c r="C2928" s="16" t="str">
        <f>IFERROR(VLOOKUP(DATA!#REF!,DATA!#REF!,1,FALSE),"")</f>
        <v/>
      </c>
      <c r="D2928" s="16" t="str">
        <f>IFERROR(VLOOKUP(C2928,DATA!#REF!,2,FALSE),"")</f>
        <v/>
      </c>
      <c r="I2928" s="17"/>
      <c r="J2928" s="17"/>
      <c r="P2928" s="17"/>
      <c r="Q2928" s="17"/>
    </row>
    <row r="2929" spans="2:17">
      <c r="B2929" s="17"/>
      <c r="C2929" s="16" t="str">
        <f>IFERROR(VLOOKUP(DATA!#REF!,DATA!#REF!,1,FALSE),"")</f>
        <v/>
      </c>
      <c r="D2929" s="16" t="str">
        <f>IFERROR(VLOOKUP(C2929,DATA!#REF!,2,FALSE),"")</f>
        <v/>
      </c>
      <c r="I2929" s="17"/>
      <c r="J2929" s="17"/>
      <c r="P2929" s="17"/>
      <c r="Q2929" s="17"/>
    </row>
    <row r="2930" spans="2:17">
      <c r="B2930" s="17"/>
      <c r="C2930" s="16" t="str">
        <f>IFERROR(VLOOKUP(DATA!#REF!,DATA!#REF!,1,FALSE),"")</f>
        <v/>
      </c>
      <c r="D2930" s="16" t="str">
        <f>IFERROR(VLOOKUP(C2930,DATA!#REF!,2,FALSE),"")</f>
        <v/>
      </c>
      <c r="I2930" s="17"/>
      <c r="J2930" s="17"/>
      <c r="P2930" s="17"/>
      <c r="Q2930" s="17"/>
    </row>
    <row r="2931" spans="2:17">
      <c r="B2931" s="17"/>
      <c r="C2931" s="16" t="str">
        <f>IFERROR(VLOOKUP(DATA!#REF!,DATA!#REF!,1,FALSE),"")</f>
        <v/>
      </c>
      <c r="D2931" s="16" t="str">
        <f>IFERROR(VLOOKUP(C2931,DATA!#REF!,2,FALSE),"")</f>
        <v/>
      </c>
      <c r="I2931" s="17"/>
      <c r="J2931" s="17"/>
      <c r="P2931" s="17"/>
      <c r="Q2931" s="17"/>
    </row>
    <row r="2932" spans="2:17">
      <c r="B2932" s="17"/>
      <c r="C2932" s="16" t="str">
        <f>IFERROR(VLOOKUP(DATA!#REF!,DATA!#REF!,1,FALSE),"")</f>
        <v/>
      </c>
      <c r="D2932" s="16" t="str">
        <f>IFERROR(VLOOKUP(C2932,DATA!#REF!,2,FALSE),"")</f>
        <v/>
      </c>
      <c r="I2932" s="17"/>
      <c r="J2932" s="17"/>
      <c r="P2932" s="17"/>
      <c r="Q2932" s="17"/>
    </row>
    <row r="2933" spans="2:17">
      <c r="B2933" s="17"/>
      <c r="C2933" s="16" t="str">
        <f>IFERROR(VLOOKUP(DATA!#REF!,DATA!#REF!,1,FALSE),"")</f>
        <v/>
      </c>
      <c r="D2933" s="16" t="str">
        <f>IFERROR(VLOOKUP(C2933,DATA!#REF!,2,FALSE),"")</f>
        <v/>
      </c>
      <c r="I2933" s="17"/>
      <c r="J2933" s="17"/>
      <c r="P2933" s="17"/>
      <c r="Q2933" s="17"/>
    </row>
    <row r="2934" spans="2:17">
      <c r="B2934" s="17"/>
      <c r="C2934" s="16" t="str">
        <f>IFERROR(VLOOKUP(DATA!#REF!,DATA!#REF!,1,FALSE),"")</f>
        <v/>
      </c>
      <c r="D2934" s="16" t="str">
        <f>IFERROR(VLOOKUP(C2934,DATA!#REF!,2,FALSE),"")</f>
        <v/>
      </c>
      <c r="I2934" s="17"/>
      <c r="J2934" s="17"/>
      <c r="P2934" s="17"/>
      <c r="Q2934" s="17"/>
    </row>
    <row r="2935" spans="2:17">
      <c r="B2935" s="17"/>
      <c r="C2935" s="16" t="str">
        <f>IFERROR(VLOOKUP(DATA!#REF!,DATA!#REF!,1,FALSE),"")</f>
        <v/>
      </c>
      <c r="D2935" s="16" t="str">
        <f>IFERROR(VLOOKUP(C2935,DATA!#REF!,2,FALSE),"")</f>
        <v/>
      </c>
      <c r="I2935" s="17"/>
      <c r="J2935" s="17"/>
      <c r="P2935" s="17"/>
      <c r="Q2935" s="17"/>
    </row>
    <row r="2936" spans="2:17">
      <c r="B2936" s="17"/>
      <c r="C2936" s="16" t="str">
        <f>IFERROR(VLOOKUP(DATA!#REF!,DATA!#REF!,1,FALSE),"")</f>
        <v/>
      </c>
      <c r="D2936" s="16" t="str">
        <f>IFERROR(VLOOKUP(C2936,DATA!#REF!,2,FALSE),"")</f>
        <v/>
      </c>
      <c r="I2936" s="17"/>
      <c r="J2936" s="17"/>
      <c r="P2936" s="17"/>
      <c r="Q2936" s="17"/>
    </row>
    <row r="2937" spans="2:17">
      <c r="B2937" s="17"/>
      <c r="C2937" s="16" t="str">
        <f>IFERROR(VLOOKUP(DATA!#REF!,DATA!#REF!,1,FALSE),"")</f>
        <v/>
      </c>
      <c r="D2937" s="16" t="str">
        <f>IFERROR(VLOOKUP(C2937,DATA!#REF!,2,FALSE),"")</f>
        <v/>
      </c>
      <c r="I2937" s="17"/>
      <c r="J2937" s="17"/>
      <c r="P2937" s="17"/>
      <c r="Q2937" s="17"/>
    </row>
    <row r="2938" spans="2:17">
      <c r="B2938" s="17"/>
      <c r="C2938" s="16" t="str">
        <f>IFERROR(VLOOKUP(DATA!#REF!,DATA!#REF!,1,FALSE),"")</f>
        <v/>
      </c>
      <c r="D2938" s="16" t="str">
        <f>IFERROR(VLOOKUP(C2938,DATA!#REF!,2,FALSE),"")</f>
        <v/>
      </c>
      <c r="I2938" s="17"/>
      <c r="J2938" s="17"/>
      <c r="P2938" s="17"/>
      <c r="Q2938" s="17"/>
    </row>
    <row r="2939" spans="2:17">
      <c r="B2939" s="17"/>
      <c r="C2939" s="16" t="str">
        <f>IFERROR(VLOOKUP(DATA!#REF!,DATA!#REF!,1,FALSE),"")</f>
        <v/>
      </c>
      <c r="D2939" s="16" t="str">
        <f>IFERROR(VLOOKUP(C2939,DATA!#REF!,2,FALSE),"")</f>
        <v/>
      </c>
      <c r="I2939" s="17"/>
      <c r="J2939" s="17"/>
      <c r="P2939" s="17"/>
      <c r="Q2939" s="17"/>
    </row>
    <row r="2940" spans="2:17">
      <c r="B2940" s="17"/>
      <c r="C2940" s="16" t="str">
        <f>IFERROR(VLOOKUP(DATA!#REF!,DATA!#REF!,1,FALSE),"")</f>
        <v/>
      </c>
      <c r="D2940" s="16" t="str">
        <f>IFERROR(VLOOKUP(C2940,DATA!#REF!,2,FALSE),"")</f>
        <v/>
      </c>
      <c r="I2940" s="17"/>
      <c r="J2940" s="17"/>
      <c r="P2940" s="17"/>
      <c r="Q2940" s="17"/>
    </row>
    <row r="2941" spans="2:17">
      <c r="B2941" s="17"/>
      <c r="C2941" s="16" t="str">
        <f>IFERROR(VLOOKUP(DATA!#REF!,DATA!#REF!,1,FALSE),"")</f>
        <v/>
      </c>
      <c r="D2941" s="16" t="str">
        <f>IFERROR(VLOOKUP(C2941,DATA!#REF!,2,FALSE),"")</f>
        <v/>
      </c>
      <c r="I2941" s="17"/>
      <c r="J2941" s="17"/>
      <c r="P2941" s="17"/>
      <c r="Q2941" s="17"/>
    </row>
    <row r="2942" spans="2:17">
      <c r="B2942" s="17"/>
      <c r="C2942" s="16" t="str">
        <f>IFERROR(VLOOKUP(DATA!#REF!,DATA!#REF!,1,FALSE),"")</f>
        <v/>
      </c>
      <c r="D2942" s="16" t="str">
        <f>IFERROR(VLOOKUP(C2942,DATA!#REF!,2,FALSE),"")</f>
        <v/>
      </c>
      <c r="I2942" s="17"/>
      <c r="J2942" s="17"/>
      <c r="P2942" s="17"/>
      <c r="Q2942" s="17"/>
    </row>
    <row r="2943" spans="2:17">
      <c r="B2943" s="17"/>
      <c r="C2943" s="16" t="str">
        <f>IFERROR(VLOOKUP(DATA!#REF!,DATA!#REF!,1,FALSE),"")</f>
        <v/>
      </c>
      <c r="D2943" s="16" t="str">
        <f>IFERROR(VLOOKUP(C2943,DATA!#REF!,2,FALSE),"")</f>
        <v/>
      </c>
      <c r="I2943" s="17"/>
      <c r="J2943" s="17"/>
      <c r="P2943" s="17"/>
      <c r="Q2943" s="17"/>
    </row>
    <row r="2944" spans="2:17">
      <c r="B2944" s="17"/>
      <c r="C2944" s="16" t="str">
        <f>IFERROR(VLOOKUP(DATA!#REF!,DATA!#REF!,1,FALSE),"")</f>
        <v/>
      </c>
      <c r="D2944" s="16" t="str">
        <f>IFERROR(VLOOKUP(C2944,DATA!#REF!,2,FALSE),"")</f>
        <v/>
      </c>
      <c r="I2944" s="17"/>
      <c r="J2944" s="17"/>
      <c r="P2944" s="17"/>
      <c r="Q2944" s="17"/>
    </row>
    <row r="2945" spans="2:17">
      <c r="B2945" s="17"/>
      <c r="C2945" s="16" t="str">
        <f>IFERROR(VLOOKUP(DATA!#REF!,DATA!#REF!,1,FALSE),"")</f>
        <v/>
      </c>
      <c r="D2945" s="16" t="str">
        <f>IFERROR(VLOOKUP(C2945,DATA!#REF!,2,FALSE),"")</f>
        <v/>
      </c>
      <c r="I2945" s="17"/>
      <c r="J2945" s="17"/>
      <c r="P2945" s="17"/>
      <c r="Q2945" s="17"/>
    </row>
    <row r="2946" spans="2:17">
      <c r="B2946" s="17"/>
      <c r="C2946" s="16" t="str">
        <f>IFERROR(VLOOKUP(DATA!#REF!,DATA!#REF!,1,FALSE),"")</f>
        <v/>
      </c>
      <c r="D2946" s="16" t="str">
        <f>IFERROR(VLOOKUP(C2946,DATA!#REF!,2,FALSE),"")</f>
        <v/>
      </c>
      <c r="I2946" s="17"/>
      <c r="J2946" s="17"/>
      <c r="P2946" s="17"/>
      <c r="Q2946" s="17"/>
    </row>
    <row r="2947" spans="2:17">
      <c r="B2947" s="17"/>
      <c r="C2947" s="16" t="str">
        <f>IFERROR(VLOOKUP(DATA!#REF!,DATA!#REF!,1,FALSE),"")</f>
        <v/>
      </c>
      <c r="D2947" s="16" t="str">
        <f>IFERROR(VLOOKUP(C2947,DATA!#REF!,2,FALSE),"")</f>
        <v/>
      </c>
      <c r="I2947" s="17"/>
      <c r="J2947" s="17"/>
      <c r="P2947" s="17"/>
      <c r="Q2947" s="17"/>
    </row>
    <row r="2948" spans="2:17">
      <c r="B2948" s="17"/>
      <c r="C2948" s="16" t="str">
        <f>IFERROR(VLOOKUP(DATA!#REF!,DATA!#REF!,1,FALSE),"")</f>
        <v/>
      </c>
      <c r="D2948" s="16" t="str">
        <f>IFERROR(VLOOKUP(C2948,DATA!#REF!,2,FALSE),"")</f>
        <v/>
      </c>
      <c r="I2948" s="17"/>
      <c r="J2948" s="17"/>
      <c r="P2948" s="17"/>
      <c r="Q2948" s="17"/>
    </row>
    <row r="2949" spans="2:17">
      <c r="B2949" s="17"/>
      <c r="C2949" s="16" t="str">
        <f>IFERROR(VLOOKUP(DATA!#REF!,DATA!#REF!,1,FALSE),"")</f>
        <v/>
      </c>
      <c r="D2949" s="16" t="str">
        <f>IFERROR(VLOOKUP(C2949,DATA!#REF!,2,FALSE),"")</f>
        <v/>
      </c>
      <c r="I2949" s="17"/>
      <c r="J2949" s="17"/>
      <c r="P2949" s="17"/>
      <c r="Q2949" s="17"/>
    </row>
    <row r="2950" spans="2:17">
      <c r="B2950" s="17"/>
      <c r="C2950" s="16" t="str">
        <f>IFERROR(VLOOKUP(DATA!#REF!,DATA!#REF!,1,FALSE),"")</f>
        <v/>
      </c>
      <c r="D2950" s="16" t="str">
        <f>IFERROR(VLOOKUP(C2950,DATA!#REF!,2,FALSE),"")</f>
        <v/>
      </c>
      <c r="I2950" s="17"/>
      <c r="J2950" s="17"/>
      <c r="P2950" s="17"/>
      <c r="Q2950" s="17"/>
    </row>
    <row r="2951" spans="2:17">
      <c r="B2951" s="17"/>
      <c r="C2951" s="16" t="str">
        <f>IFERROR(VLOOKUP(DATA!#REF!,DATA!#REF!,1,FALSE),"")</f>
        <v/>
      </c>
      <c r="D2951" s="16" t="str">
        <f>IFERROR(VLOOKUP(C2951,DATA!#REF!,2,FALSE),"")</f>
        <v/>
      </c>
      <c r="I2951" s="17"/>
      <c r="J2951" s="17"/>
      <c r="P2951" s="17"/>
      <c r="Q2951" s="17"/>
    </row>
    <row r="2952" spans="2:17">
      <c r="B2952" s="17"/>
      <c r="C2952" s="16" t="str">
        <f>IFERROR(VLOOKUP(DATA!#REF!,DATA!#REF!,1,FALSE),"")</f>
        <v/>
      </c>
      <c r="D2952" s="16" t="str">
        <f>IFERROR(VLOOKUP(C2952,DATA!#REF!,2,FALSE),"")</f>
        <v/>
      </c>
      <c r="I2952" s="17"/>
      <c r="J2952" s="17"/>
      <c r="P2952" s="17"/>
      <c r="Q2952" s="17"/>
    </row>
    <row r="2953" spans="2:17">
      <c r="B2953" s="17"/>
      <c r="C2953" s="16" t="str">
        <f>IFERROR(VLOOKUP(DATA!#REF!,DATA!#REF!,1,FALSE),"")</f>
        <v/>
      </c>
      <c r="D2953" s="16" t="str">
        <f>IFERROR(VLOOKUP(C2953,DATA!#REF!,2,FALSE),"")</f>
        <v/>
      </c>
      <c r="I2953" s="17"/>
      <c r="J2953" s="17"/>
      <c r="P2953" s="17"/>
      <c r="Q2953" s="17"/>
    </row>
    <row r="2954" spans="2:17">
      <c r="B2954" s="17"/>
      <c r="C2954" s="16" t="str">
        <f>IFERROR(VLOOKUP(DATA!#REF!,DATA!#REF!,1,FALSE),"")</f>
        <v/>
      </c>
      <c r="D2954" s="16" t="str">
        <f>IFERROR(VLOOKUP(C2954,DATA!#REF!,2,FALSE),"")</f>
        <v/>
      </c>
      <c r="I2954" s="17"/>
      <c r="J2954" s="17"/>
      <c r="P2954" s="17"/>
      <c r="Q2954" s="17"/>
    </row>
    <row r="2955" spans="2:17">
      <c r="B2955" s="17"/>
      <c r="C2955" s="16" t="str">
        <f>IFERROR(VLOOKUP(DATA!#REF!,DATA!#REF!,1,FALSE),"")</f>
        <v/>
      </c>
      <c r="D2955" s="16" t="str">
        <f>IFERROR(VLOOKUP(C2955,DATA!#REF!,2,FALSE),"")</f>
        <v/>
      </c>
      <c r="I2955" s="17"/>
      <c r="J2955" s="17"/>
      <c r="P2955" s="17"/>
      <c r="Q2955" s="17"/>
    </row>
    <row r="2956" spans="2:17">
      <c r="B2956" s="17"/>
      <c r="C2956" s="16" t="str">
        <f>IFERROR(VLOOKUP(DATA!#REF!,DATA!#REF!,1,FALSE),"")</f>
        <v/>
      </c>
      <c r="D2956" s="16" t="str">
        <f>IFERROR(VLOOKUP(C2956,DATA!#REF!,2,FALSE),"")</f>
        <v/>
      </c>
      <c r="I2956" s="17"/>
      <c r="J2956" s="17"/>
      <c r="P2956" s="17"/>
      <c r="Q2956" s="17"/>
    </row>
    <row r="2957" spans="2:17">
      <c r="B2957" s="17"/>
      <c r="C2957" s="16" t="str">
        <f>IFERROR(VLOOKUP(DATA!#REF!,DATA!#REF!,1,FALSE),"")</f>
        <v/>
      </c>
      <c r="D2957" s="16" t="str">
        <f>IFERROR(VLOOKUP(C2957,DATA!#REF!,2,FALSE),"")</f>
        <v/>
      </c>
      <c r="I2957" s="17"/>
      <c r="J2957" s="17"/>
      <c r="P2957" s="17"/>
      <c r="Q2957" s="17"/>
    </row>
    <row r="2958" spans="2:17">
      <c r="B2958" s="17"/>
      <c r="C2958" s="16" t="str">
        <f>IFERROR(VLOOKUP(DATA!#REF!,DATA!#REF!,1,FALSE),"")</f>
        <v/>
      </c>
      <c r="D2958" s="16" t="str">
        <f>IFERROR(VLOOKUP(C2958,DATA!#REF!,2,FALSE),"")</f>
        <v/>
      </c>
      <c r="I2958" s="17"/>
      <c r="J2958" s="17"/>
      <c r="P2958" s="17"/>
      <c r="Q2958" s="17"/>
    </row>
    <row r="2959" spans="2:17">
      <c r="B2959" s="17"/>
      <c r="C2959" s="16" t="str">
        <f>IFERROR(VLOOKUP(DATA!#REF!,DATA!#REF!,1,FALSE),"")</f>
        <v/>
      </c>
      <c r="D2959" s="16" t="str">
        <f>IFERROR(VLOOKUP(C2959,DATA!#REF!,2,FALSE),"")</f>
        <v/>
      </c>
      <c r="I2959" s="17"/>
      <c r="J2959" s="17"/>
      <c r="P2959" s="17"/>
      <c r="Q2959" s="17"/>
    </row>
    <row r="2960" spans="2:17">
      <c r="B2960" s="17"/>
      <c r="C2960" s="16" t="str">
        <f>IFERROR(VLOOKUP(DATA!#REF!,DATA!#REF!,1,FALSE),"")</f>
        <v/>
      </c>
      <c r="D2960" s="16" t="str">
        <f>IFERROR(VLOOKUP(C2960,DATA!#REF!,2,FALSE),"")</f>
        <v/>
      </c>
      <c r="I2960" s="17"/>
      <c r="J2960" s="17"/>
      <c r="P2960" s="17"/>
      <c r="Q2960" s="17"/>
    </row>
    <row r="2961" spans="2:17">
      <c r="B2961" s="17"/>
      <c r="C2961" s="16" t="str">
        <f>IFERROR(VLOOKUP(DATA!#REF!,DATA!#REF!,1,FALSE),"")</f>
        <v/>
      </c>
      <c r="D2961" s="16" t="str">
        <f>IFERROR(VLOOKUP(C2961,DATA!#REF!,2,FALSE),"")</f>
        <v/>
      </c>
      <c r="I2961" s="17"/>
      <c r="J2961" s="17"/>
      <c r="P2961" s="17"/>
      <c r="Q2961" s="17"/>
    </row>
    <row r="2962" spans="2:17">
      <c r="B2962" s="17"/>
      <c r="C2962" s="16" t="str">
        <f>IFERROR(VLOOKUP(DATA!#REF!,DATA!#REF!,1,FALSE),"")</f>
        <v/>
      </c>
      <c r="D2962" s="16" t="str">
        <f>IFERROR(VLOOKUP(C2962,DATA!#REF!,2,FALSE),"")</f>
        <v/>
      </c>
      <c r="I2962" s="17"/>
      <c r="J2962" s="17"/>
      <c r="P2962" s="17"/>
      <c r="Q2962" s="17"/>
    </row>
    <row r="2963" spans="2:17">
      <c r="B2963" s="17"/>
      <c r="C2963" s="16" t="str">
        <f>IFERROR(VLOOKUP(DATA!#REF!,DATA!#REF!,1,FALSE),"")</f>
        <v/>
      </c>
      <c r="D2963" s="16" t="str">
        <f>IFERROR(VLOOKUP(C2963,DATA!#REF!,2,FALSE),"")</f>
        <v/>
      </c>
      <c r="I2963" s="17"/>
      <c r="J2963" s="17"/>
      <c r="P2963" s="17"/>
      <c r="Q2963" s="17"/>
    </row>
    <row r="2964" spans="2:17">
      <c r="B2964" s="17"/>
      <c r="C2964" s="16" t="str">
        <f>IFERROR(VLOOKUP(DATA!#REF!,DATA!#REF!,1,FALSE),"")</f>
        <v/>
      </c>
      <c r="D2964" s="16" t="str">
        <f>IFERROR(VLOOKUP(C2964,DATA!#REF!,2,FALSE),"")</f>
        <v/>
      </c>
      <c r="I2964" s="17"/>
      <c r="J2964" s="17"/>
      <c r="P2964" s="17"/>
      <c r="Q2964" s="17"/>
    </row>
    <row r="2965" spans="2:17">
      <c r="B2965" s="17"/>
      <c r="C2965" s="16" t="str">
        <f>IFERROR(VLOOKUP(DATA!#REF!,DATA!#REF!,1,FALSE),"")</f>
        <v/>
      </c>
      <c r="D2965" s="16" t="str">
        <f>IFERROR(VLOOKUP(C2965,DATA!#REF!,2,FALSE),"")</f>
        <v/>
      </c>
      <c r="I2965" s="17"/>
      <c r="J2965" s="17"/>
      <c r="P2965" s="17"/>
      <c r="Q2965" s="17"/>
    </row>
    <row r="2966" spans="2:17">
      <c r="B2966" s="17"/>
      <c r="C2966" s="16" t="str">
        <f>IFERROR(VLOOKUP(DATA!#REF!,DATA!#REF!,1,FALSE),"")</f>
        <v/>
      </c>
      <c r="D2966" s="16" t="str">
        <f>IFERROR(VLOOKUP(C2966,DATA!#REF!,2,FALSE),"")</f>
        <v/>
      </c>
      <c r="I2966" s="17"/>
      <c r="J2966" s="17"/>
      <c r="P2966" s="17"/>
      <c r="Q2966" s="17"/>
    </row>
    <row r="2967" spans="2:17">
      <c r="B2967" s="17"/>
      <c r="C2967" s="16" t="str">
        <f>IFERROR(VLOOKUP(DATA!#REF!,DATA!#REF!,1,FALSE),"")</f>
        <v/>
      </c>
      <c r="D2967" s="16" t="str">
        <f>IFERROR(VLOOKUP(C2967,DATA!#REF!,2,FALSE),"")</f>
        <v/>
      </c>
      <c r="I2967" s="17"/>
      <c r="J2967" s="17"/>
      <c r="P2967" s="17"/>
      <c r="Q2967" s="17"/>
    </row>
    <row r="2968" spans="2:17">
      <c r="B2968" s="17"/>
      <c r="C2968" s="16" t="str">
        <f>IFERROR(VLOOKUP(DATA!#REF!,DATA!#REF!,1,FALSE),"")</f>
        <v/>
      </c>
      <c r="D2968" s="16" t="str">
        <f>IFERROR(VLOOKUP(C2968,DATA!#REF!,2,FALSE),"")</f>
        <v/>
      </c>
      <c r="I2968" s="17"/>
      <c r="J2968" s="17"/>
      <c r="P2968" s="17"/>
      <c r="Q2968" s="17"/>
    </row>
    <row r="2969" spans="2:17">
      <c r="B2969" s="17"/>
      <c r="C2969" s="16" t="str">
        <f>IFERROR(VLOOKUP(DATA!#REF!,DATA!#REF!,1,FALSE),"")</f>
        <v/>
      </c>
      <c r="D2969" s="16" t="str">
        <f>IFERROR(VLOOKUP(C2969,DATA!#REF!,2,FALSE),"")</f>
        <v/>
      </c>
      <c r="I2969" s="17"/>
      <c r="J2969" s="17"/>
      <c r="P2969" s="17"/>
      <c r="Q2969" s="17"/>
    </row>
    <row r="2970" spans="2:17">
      <c r="B2970" s="17"/>
      <c r="C2970" s="16" t="str">
        <f>IFERROR(VLOOKUP(DATA!#REF!,DATA!#REF!,1,FALSE),"")</f>
        <v/>
      </c>
      <c r="D2970" s="16" t="str">
        <f>IFERROR(VLOOKUP(C2970,DATA!#REF!,2,FALSE),"")</f>
        <v/>
      </c>
      <c r="I2970" s="17"/>
      <c r="J2970" s="17"/>
      <c r="P2970" s="17"/>
      <c r="Q2970" s="17"/>
    </row>
    <row r="2971" spans="2:17">
      <c r="B2971" s="17"/>
      <c r="C2971" s="16" t="str">
        <f>IFERROR(VLOOKUP(DATA!#REF!,DATA!#REF!,1,FALSE),"")</f>
        <v/>
      </c>
      <c r="D2971" s="16" t="str">
        <f>IFERROR(VLOOKUP(C2971,DATA!#REF!,2,FALSE),"")</f>
        <v/>
      </c>
      <c r="I2971" s="17"/>
      <c r="J2971" s="17"/>
      <c r="P2971" s="17"/>
      <c r="Q2971" s="17"/>
    </row>
    <row r="2972" spans="2:17">
      <c r="B2972" s="17"/>
      <c r="C2972" s="16" t="str">
        <f>IFERROR(VLOOKUP(DATA!#REF!,DATA!#REF!,1,FALSE),"")</f>
        <v/>
      </c>
      <c r="D2972" s="16" t="str">
        <f>IFERROR(VLOOKUP(C2972,DATA!#REF!,2,FALSE),"")</f>
        <v/>
      </c>
      <c r="I2972" s="17"/>
      <c r="J2972" s="17"/>
      <c r="P2972" s="17"/>
      <c r="Q2972" s="17"/>
    </row>
    <row r="2973" spans="2:17">
      <c r="B2973" s="17"/>
      <c r="C2973" s="16" t="str">
        <f>IFERROR(VLOOKUP(DATA!#REF!,DATA!#REF!,1,FALSE),"")</f>
        <v/>
      </c>
      <c r="D2973" s="16" t="str">
        <f>IFERROR(VLOOKUP(C2973,DATA!#REF!,2,FALSE),"")</f>
        <v/>
      </c>
      <c r="I2973" s="17"/>
      <c r="J2973" s="17"/>
      <c r="P2973" s="17"/>
      <c r="Q2973" s="17"/>
    </row>
    <row r="2974" spans="2:17">
      <c r="B2974" s="17"/>
      <c r="C2974" s="16" t="str">
        <f>IFERROR(VLOOKUP(DATA!#REF!,DATA!#REF!,1,FALSE),"")</f>
        <v/>
      </c>
      <c r="D2974" s="16" t="str">
        <f>IFERROR(VLOOKUP(C2974,DATA!#REF!,2,FALSE),"")</f>
        <v/>
      </c>
      <c r="I2974" s="17"/>
      <c r="J2974" s="17"/>
      <c r="P2974" s="17"/>
      <c r="Q2974" s="17"/>
    </row>
    <row r="2975" spans="2:17">
      <c r="B2975" s="17"/>
      <c r="C2975" s="16" t="str">
        <f>IFERROR(VLOOKUP(DATA!#REF!,DATA!#REF!,1,FALSE),"")</f>
        <v/>
      </c>
      <c r="D2975" s="16" t="str">
        <f>IFERROR(VLOOKUP(C2975,DATA!#REF!,2,FALSE),"")</f>
        <v/>
      </c>
      <c r="I2975" s="17"/>
      <c r="J2975" s="17"/>
      <c r="P2975" s="17"/>
      <c r="Q2975" s="17"/>
    </row>
    <row r="2976" spans="2:17">
      <c r="B2976" s="17"/>
      <c r="C2976" s="16" t="str">
        <f>IFERROR(VLOOKUP(DATA!#REF!,DATA!#REF!,1,FALSE),"")</f>
        <v/>
      </c>
      <c r="D2976" s="16" t="str">
        <f>IFERROR(VLOOKUP(C2976,DATA!#REF!,2,FALSE),"")</f>
        <v/>
      </c>
      <c r="I2976" s="17"/>
      <c r="J2976" s="17"/>
      <c r="P2976" s="17"/>
      <c r="Q2976" s="17"/>
    </row>
    <row r="2977" spans="2:17">
      <c r="B2977" s="17"/>
      <c r="C2977" s="16" t="str">
        <f>IFERROR(VLOOKUP(DATA!#REF!,DATA!#REF!,1,FALSE),"")</f>
        <v/>
      </c>
      <c r="D2977" s="16" t="str">
        <f>IFERROR(VLOOKUP(C2977,DATA!#REF!,2,FALSE),"")</f>
        <v/>
      </c>
      <c r="I2977" s="17"/>
      <c r="J2977" s="17"/>
      <c r="P2977" s="17"/>
      <c r="Q2977" s="17"/>
    </row>
    <row r="2978" spans="2:17">
      <c r="B2978" s="17"/>
      <c r="C2978" s="16" t="str">
        <f>IFERROR(VLOOKUP(DATA!#REF!,DATA!#REF!,1,FALSE),"")</f>
        <v/>
      </c>
      <c r="D2978" s="16" t="str">
        <f>IFERROR(VLOOKUP(C2978,DATA!#REF!,2,FALSE),"")</f>
        <v/>
      </c>
      <c r="I2978" s="17"/>
      <c r="J2978" s="17"/>
      <c r="P2978" s="17"/>
      <c r="Q2978" s="17"/>
    </row>
    <row r="2979" spans="2:17">
      <c r="B2979" s="17"/>
      <c r="C2979" s="16" t="str">
        <f>IFERROR(VLOOKUP(DATA!#REF!,DATA!#REF!,1,FALSE),"")</f>
        <v/>
      </c>
      <c r="D2979" s="16" t="str">
        <f>IFERROR(VLOOKUP(C2979,DATA!#REF!,2,FALSE),"")</f>
        <v/>
      </c>
      <c r="I2979" s="17"/>
      <c r="J2979" s="17"/>
      <c r="P2979" s="17"/>
      <c r="Q2979" s="17"/>
    </row>
    <row r="2980" spans="2:17">
      <c r="B2980" s="17"/>
      <c r="C2980" s="16" t="str">
        <f>IFERROR(VLOOKUP(DATA!#REF!,DATA!#REF!,1,FALSE),"")</f>
        <v/>
      </c>
      <c r="D2980" s="16" t="str">
        <f>IFERROR(VLOOKUP(C2980,DATA!#REF!,2,FALSE),"")</f>
        <v/>
      </c>
      <c r="I2980" s="17"/>
      <c r="J2980" s="17"/>
      <c r="P2980" s="17"/>
      <c r="Q2980" s="17"/>
    </row>
    <row r="2981" spans="2:17">
      <c r="B2981" s="17"/>
      <c r="C2981" s="16" t="str">
        <f>IFERROR(VLOOKUP(DATA!#REF!,DATA!#REF!,1,FALSE),"")</f>
        <v/>
      </c>
      <c r="D2981" s="16" t="str">
        <f>IFERROR(VLOOKUP(C2981,DATA!#REF!,2,FALSE),"")</f>
        <v/>
      </c>
      <c r="I2981" s="17"/>
      <c r="J2981" s="17"/>
      <c r="P2981" s="17"/>
      <c r="Q2981" s="17"/>
    </row>
    <row r="2982" spans="2:17">
      <c r="B2982" s="17"/>
      <c r="C2982" s="16" t="str">
        <f>IFERROR(VLOOKUP(DATA!#REF!,DATA!#REF!,1,FALSE),"")</f>
        <v/>
      </c>
      <c r="D2982" s="16" t="str">
        <f>IFERROR(VLOOKUP(C2982,DATA!#REF!,2,FALSE),"")</f>
        <v/>
      </c>
      <c r="I2982" s="17"/>
      <c r="J2982" s="17"/>
      <c r="P2982" s="17"/>
      <c r="Q2982" s="17"/>
    </row>
    <row r="2983" spans="2:17">
      <c r="B2983" s="17"/>
      <c r="C2983" s="16" t="str">
        <f>IFERROR(VLOOKUP(DATA!#REF!,DATA!#REF!,1,FALSE),"")</f>
        <v/>
      </c>
      <c r="D2983" s="16" t="str">
        <f>IFERROR(VLOOKUP(C2983,DATA!#REF!,2,FALSE),"")</f>
        <v/>
      </c>
      <c r="I2983" s="17"/>
      <c r="J2983" s="17"/>
      <c r="P2983" s="17"/>
      <c r="Q2983" s="17"/>
    </row>
    <row r="2984" spans="2:17">
      <c r="B2984" s="17"/>
      <c r="C2984" s="16" t="str">
        <f>IFERROR(VLOOKUP(DATA!#REF!,DATA!#REF!,1,FALSE),"")</f>
        <v/>
      </c>
      <c r="D2984" s="16" t="str">
        <f>IFERROR(VLOOKUP(C2984,DATA!#REF!,2,FALSE),"")</f>
        <v/>
      </c>
      <c r="I2984" s="17"/>
      <c r="J2984" s="17"/>
      <c r="P2984" s="17"/>
      <c r="Q2984" s="17"/>
    </row>
    <row r="2985" spans="2:17">
      <c r="B2985" s="17"/>
      <c r="C2985" s="16" t="str">
        <f>IFERROR(VLOOKUP(DATA!#REF!,DATA!#REF!,1,FALSE),"")</f>
        <v/>
      </c>
      <c r="D2985" s="16" t="str">
        <f>IFERROR(VLOOKUP(C2985,DATA!#REF!,2,FALSE),"")</f>
        <v/>
      </c>
      <c r="I2985" s="17"/>
      <c r="J2985" s="17"/>
      <c r="P2985" s="17"/>
      <c r="Q2985" s="17"/>
    </row>
    <row r="2986" spans="2:17">
      <c r="B2986" s="17"/>
      <c r="C2986" s="16" t="str">
        <f>IFERROR(VLOOKUP(DATA!#REF!,DATA!#REF!,1,FALSE),"")</f>
        <v/>
      </c>
      <c r="D2986" s="16" t="str">
        <f>IFERROR(VLOOKUP(C2986,DATA!#REF!,2,FALSE),"")</f>
        <v/>
      </c>
      <c r="I2986" s="17"/>
      <c r="J2986" s="17"/>
      <c r="P2986" s="17"/>
      <c r="Q2986" s="17"/>
    </row>
    <row r="2987" spans="2:17">
      <c r="B2987" s="17"/>
      <c r="C2987" s="16" t="str">
        <f>IFERROR(VLOOKUP(DATA!#REF!,DATA!#REF!,1,FALSE),"")</f>
        <v/>
      </c>
      <c r="D2987" s="16" t="str">
        <f>IFERROR(VLOOKUP(C2987,DATA!#REF!,2,FALSE),"")</f>
        <v/>
      </c>
      <c r="I2987" s="17"/>
      <c r="J2987" s="17"/>
      <c r="P2987" s="17"/>
      <c r="Q2987" s="17"/>
    </row>
    <row r="2988" spans="2:17">
      <c r="B2988" s="17"/>
      <c r="C2988" s="16" t="str">
        <f>IFERROR(VLOOKUP(DATA!#REF!,DATA!#REF!,1,FALSE),"")</f>
        <v/>
      </c>
      <c r="D2988" s="16" t="str">
        <f>IFERROR(VLOOKUP(C2988,DATA!#REF!,2,FALSE),"")</f>
        <v/>
      </c>
      <c r="I2988" s="17"/>
      <c r="J2988" s="17"/>
      <c r="P2988" s="17"/>
      <c r="Q2988" s="17"/>
    </row>
    <row r="2989" spans="2:17">
      <c r="B2989" s="17"/>
      <c r="C2989" s="16" t="str">
        <f>IFERROR(VLOOKUP(DATA!#REF!,DATA!#REF!,1,FALSE),"")</f>
        <v/>
      </c>
      <c r="D2989" s="16" t="str">
        <f>IFERROR(VLOOKUP(C2989,DATA!#REF!,2,FALSE),"")</f>
        <v/>
      </c>
      <c r="I2989" s="17"/>
      <c r="J2989" s="17"/>
      <c r="P2989" s="17"/>
      <c r="Q2989" s="17"/>
    </row>
    <row r="2990" spans="2:17">
      <c r="B2990" s="17"/>
      <c r="C2990" s="16" t="str">
        <f>IFERROR(VLOOKUP(DATA!#REF!,DATA!#REF!,1,FALSE),"")</f>
        <v/>
      </c>
      <c r="D2990" s="16" t="str">
        <f>IFERROR(VLOOKUP(C2990,DATA!#REF!,2,FALSE),"")</f>
        <v/>
      </c>
      <c r="I2990" s="17"/>
      <c r="J2990" s="17"/>
      <c r="P2990" s="17"/>
      <c r="Q2990" s="17"/>
    </row>
    <row r="2991" spans="2:17">
      <c r="B2991" s="17"/>
      <c r="C2991" s="16" t="str">
        <f>IFERROR(VLOOKUP(DATA!#REF!,DATA!#REF!,1,FALSE),"")</f>
        <v/>
      </c>
      <c r="D2991" s="16" t="str">
        <f>IFERROR(VLOOKUP(C2991,DATA!#REF!,2,FALSE),"")</f>
        <v/>
      </c>
      <c r="I2991" s="17"/>
      <c r="J2991" s="17"/>
      <c r="P2991" s="17"/>
      <c r="Q2991" s="17"/>
    </row>
    <row r="2992" spans="2:17">
      <c r="B2992" s="17"/>
      <c r="C2992" s="16" t="str">
        <f>IFERROR(VLOOKUP(DATA!#REF!,DATA!#REF!,1,FALSE),"")</f>
        <v/>
      </c>
      <c r="D2992" s="16" t="str">
        <f>IFERROR(VLOOKUP(C2992,DATA!#REF!,2,FALSE),"")</f>
        <v/>
      </c>
      <c r="I2992" s="17"/>
      <c r="J2992" s="17"/>
      <c r="P2992" s="17"/>
      <c r="Q2992" s="17"/>
    </row>
    <row r="2993" spans="2:17">
      <c r="B2993" s="17"/>
      <c r="C2993" s="16" t="str">
        <f>IFERROR(VLOOKUP(DATA!#REF!,DATA!#REF!,1,FALSE),"")</f>
        <v/>
      </c>
      <c r="D2993" s="16" t="str">
        <f>IFERROR(VLOOKUP(C2993,DATA!#REF!,2,FALSE),"")</f>
        <v/>
      </c>
      <c r="I2993" s="17"/>
      <c r="J2993" s="17"/>
      <c r="P2993" s="17"/>
      <c r="Q2993" s="17"/>
    </row>
    <row r="2994" spans="2:17">
      <c r="B2994" s="17"/>
      <c r="C2994" s="16" t="str">
        <f>IFERROR(VLOOKUP(DATA!#REF!,DATA!#REF!,1,FALSE),"")</f>
        <v/>
      </c>
      <c r="D2994" s="16" t="str">
        <f>IFERROR(VLOOKUP(C2994,DATA!#REF!,2,FALSE),"")</f>
        <v/>
      </c>
      <c r="I2994" s="17"/>
      <c r="J2994" s="17"/>
      <c r="P2994" s="17"/>
      <c r="Q2994" s="17"/>
    </row>
    <row r="2995" spans="2:17">
      <c r="B2995" s="17"/>
      <c r="C2995" s="16" t="str">
        <f>IFERROR(VLOOKUP(DATA!#REF!,DATA!#REF!,1,FALSE),"")</f>
        <v/>
      </c>
      <c r="D2995" s="16" t="str">
        <f>IFERROR(VLOOKUP(C2995,DATA!#REF!,2,FALSE),"")</f>
        <v/>
      </c>
      <c r="I2995" s="17"/>
      <c r="J2995" s="17"/>
      <c r="P2995" s="17"/>
      <c r="Q2995" s="17"/>
    </row>
    <row r="2996" spans="2:17">
      <c r="B2996" s="17"/>
      <c r="C2996" s="16" t="str">
        <f>IFERROR(VLOOKUP(DATA!#REF!,DATA!#REF!,1,FALSE),"")</f>
        <v/>
      </c>
      <c r="D2996" s="16" t="str">
        <f>IFERROR(VLOOKUP(C2996,DATA!#REF!,2,FALSE),"")</f>
        <v/>
      </c>
      <c r="I2996" s="17"/>
      <c r="J2996" s="17"/>
      <c r="P2996" s="17"/>
      <c r="Q2996" s="17"/>
    </row>
    <row r="2997" spans="2:17">
      <c r="B2997" s="17"/>
      <c r="C2997" s="16" t="str">
        <f>IFERROR(VLOOKUP(DATA!#REF!,DATA!#REF!,1,FALSE),"")</f>
        <v/>
      </c>
      <c r="D2997" s="16" t="str">
        <f>IFERROR(VLOOKUP(C2997,DATA!#REF!,2,FALSE),"")</f>
        <v/>
      </c>
      <c r="I2997" s="17"/>
      <c r="J2997" s="17"/>
      <c r="P2997" s="17"/>
      <c r="Q2997" s="17"/>
    </row>
    <row r="2998" spans="2:17">
      <c r="B2998" s="17"/>
      <c r="C2998" s="16" t="str">
        <f>IFERROR(VLOOKUP(DATA!#REF!,DATA!#REF!,1,FALSE),"")</f>
        <v/>
      </c>
      <c r="D2998" s="16" t="str">
        <f>IFERROR(VLOOKUP(C2998,DATA!#REF!,2,FALSE),"")</f>
        <v/>
      </c>
      <c r="I2998" s="17"/>
      <c r="J2998" s="17"/>
      <c r="P2998" s="17"/>
      <c r="Q2998" s="17"/>
    </row>
    <row r="2999" spans="2:17">
      <c r="B2999" s="17"/>
      <c r="C2999" s="16" t="str">
        <f>IFERROR(VLOOKUP(DATA!#REF!,DATA!#REF!,1,FALSE),"")</f>
        <v/>
      </c>
      <c r="D2999" s="16" t="str">
        <f>IFERROR(VLOOKUP(C2999,DATA!#REF!,2,FALSE),"")</f>
        <v/>
      </c>
      <c r="I2999" s="17"/>
      <c r="J2999" s="17"/>
      <c r="P2999" s="17"/>
      <c r="Q2999" s="17"/>
    </row>
    <row r="3000" spans="2:17">
      <c r="B3000" s="17"/>
      <c r="C3000" s="16" t="str">
        <f>IFERROR(VLOOKUP(DATA!#REF!,DATA!#REF!,1,FALSE),"")</f>
        <v/>
      </c>
      <c r="D3000" s="16" t="str">
        <f>IFERROR(VLOOKUP(C3000,DATA!#REF!,2,FALSE),"")</f>
        <v/>
      </c>
      <c r="I3000" s="17"/>
      <c r="J3000" s="17"/>
      <c r="P3000" s="17"/>
      <c r="Q3000" s="17"/>
    </row>
    <row r="3001" spans="2:17">
      <c r="B3001" s="17"/>
      <c r="C3001" s="16" t="str">
        <f>IFERROR(VLOOKUP(DATA!#REF!,DATA!#REF!,1,FALSE),"")</f>
        <v/>
      </c>
      <c r="D3001" s="16" t="str">
        <f>IFERROR(VLOOKUP(C3001,DATA!#REF!,2,FALSE),"")</f>
        <v/>
      </c>
      <c r="I3001" s="17"/>
      <c r="J3001" s="17"/>
      <c r="P3001" s="17"/>
      <c r="Q3001" s="17"/>
    </row>
    <row r="3002" spans="2:17">
      <c r="B3002" s="17"/>
      <c r="C3002" s="16" t="str">
        <f>IFERROR(VLOOKUP(DATA!#REF!,DATA!#REF!,1,FALSE),"")</f>
        <v/>
      </c>
      <c r="D3002" s="16" t="str">
        <f>IFERROR(VLOOKUP(C3002,DATA!#REF!,2,FALSE),"")</f>
        <v/>
      </c>
      <c r="I3002" s="17"/>
      <c r="J3002" s="17"/>
      <c r="P3002" s="17"/>
      <c r="Q3002" s="17"/>
    </row>
    <row r="3003" spans="2:17">
      <c r="B3003" s="17"/>
      <c r="C3003" s="16" t="str">
        <f>IFERROR(VLOOKUP(DATA!#REF!,DATA!#REF!,1,FALSE),"")</f>
        <v/>
      </c>
      <c r="D3003" s="16" t="str">
        <f>IFERROR(VLOOKUP(C3003,DATA!#REF!,2,FALSE),"")</f>
        <v/>
      </c>
      <c r="I3003" s="17"/>
      <c r="J3003" s="17"/>
      <c r="P3003" s="17"/>
      <c r="Q3003" s="17"/>
    </row>
    <row r="3004" spans="2:17">
      <c r="B3004" s="17"/>
      <c r="C3004" s="16" t="str">
        <f>IFERROR(VLOOKUP(DATA!#REF!,DATA!#REF!,1,FALSE),"")</f>
        <v/>
      </c>
      <c r="D3004" s="16" t="str">
        <f>IFERROR(VLOOKUP(C3004,DATA!#REF!,2,FALSE),"")</f>
        <v/>
      </c>
      <c r="I3004" s="17"/>
      <c r="J3004" s="17"/>
      <c r="P3004" s="17"/>
      <c r="Q3004" s="17"/>
    </row>
    <row r="3005" spans="2:17">
      <c r="B3005" s="17"/>
      <c r="C3005" s="16" t="str">
        <f>IFERROR(VLOOKUP(DATA!#REF!,DATA!#REF!,1,FALSE),"")</f>
        <v/>
      </c>
      <c r="D3005" s="16" t="str">
        <f>IFERROR(VLOOKUP(C3005,DATA!#REF!,2,FALSE),"")</f>
        <v/>
      </c>
      <c r="I3005" s="17"/>
      <c r="J3005" s="17"/>
      <c r="P3005" s="17"/>
      <c r="Q3005" s="17"/>
    </row>
    <row r="3006" spans="2:17">
      <c r="B3006" s="17"/>
      <c r="C3006" s="16" t="str">
        <f>IFERROR(VLOOKUP(DATA!#REF!,DATA!#REF!,1,FALSE),"")</f>
        <v/>
      </c>
      <c r="D3006" s="16" t="str">
        <f>IFERROR(VLOOKUP(C3006,DATA!#REF!,2,FALSE),"")</f>
        <v/>
      </c>
      <c r="I3006" s="17"/>
      <c r="J3006" s="17"/>
      <c r="P3006" s="17"/>
      <c r="Q3006" s="17"/>
    </row>
    <row r="3007" spans="2:17">
      <c r="B3007" s="17"/>
      <c r="C3007" s="16" t="str">
        <f>IFERROR(VLOOKUP(DATA!#REF!,DATA!#REF!,1,FALSE),"")</f>
        <v/>
      </c>
      <c r="D3007" s="16" t="str">
        <f>IFERROR(VLOOKUP(C3007,DATA!#REF!,2,FALSE),"")</f>
        <v/>
      </c>
      <c r="I3007" s="17"/>
      <c r="J3007" s="17"/>
      <c r="P3007" s="17"/>
      <c r="Q3007" s="17"/>
    </row>
    <row r="3008" spans="2:17">
      <c r="B3008" s="17"/>
      <c r="C3008" s="16" t="str">
        <f>IFERROR(VLOOKUP(DATA!#REF!,DATA!#REF!,1,FALSE),"")</f>
        <v/>
      </c>
      <c r="D3008" s="16" t="str">
        <f>IFERROR(VLOOKUP(C3008,DATA!#REF!,2,FALSE),"")</f>
        <v/>
      </c>
      <c r="I3008" s="17"/>
      <c r="J3008" s="17"/>
      <c r="P3008" s="17"/>
      <c r="Q3008" s="17"/>
    </row>
    <row r="3009" spans="2:17">
      <c r="B3009" s="17"/>
      <c r="C3009" s="16" t="str">
        <f>IFERROR(VLOOKUP(DATA!#REF!,DATA!#REF!,1,FALSE),"")</f>
        <v/>
      </c>
      <c r="D3009" s="16" t="str">
        <f>IFERROR(VLOOKUP(C3009,DATA!#REF!,2,FALSE),"")</f>
        <v/>
      </c>
      <c r="I3009" s="17"/>
      <c r="J3009" s="17"/>
      <c r="P3009" s="17"/>
      <c r="Q3009" s="17"/>
    </row>
    <row r="3010" spans="2:17">
      <c r="B3010" s="17"/>
      <c r="C3010" s="16" t="str">
        <f>IFERROR(VLOOKUP(DATA!#REF!,DATA!#REF!,1,FALSE),"")</f>
        <v/>
      </c>
      <c r="D3010" s="16" t="str">
        <f>IFERROR(VLOOKUP(C3010,DATA!#REF!,2,FALSE),"")</f>
        <v/>
      </c>
      <c r="I3010" s="17"/>
      <c r="J3010" s="17"/>
      <c r="P3010" s="17"/>
      <c r="Q3010" s="17"/>
    </row>
    <row r="3011" spans="2:17">
      <c r="B3011" s="17"/>
      <c r="C3011" s="16" t="str">
        <f>IFERROR(VLOOKUP(DATA!#REF!,DATA!#REF!,1,FALSE),"")</f>
        <v/>
      </c>
      <c r="D3011" s="16" t="str">
        <f>IFERROR(VLOOKUP(C3011,DATA!#REF!,2,FALSE),"")</f>
        <v/>
      </c>
      <c r="I3011" s="17"/>
      <c r="J3011" s="17"/>
      <c r="P3011" s="17"/>
      <c r="Q3011" s="17"/>
    </row>
    <row r="3012" spans="2:17">
      <c r="B3012" s="17"/>
      <c r="C3012" s="16" t="str">
        <f>IFERROR(VLOOKUP(DATA!#REF!,DATA!#REF!,1,FALSE),"")</f>
        <v/>
      </c>
      <c r="D3012" s="16" t="str">
        <f>IFERROR(VLOOKUP(C3012,DATA!#REF!,2,FALSE),"")</f>
        <v/>
      </c>
      <c r="I3012" s="17"/>
      <c r="J3012" s="17"/>
      <c r="P3012" s="17"/>
      <c r="Q3012" s="17"/>
    </row>
    <row r="3013" spans="2:17">
      <c r="B3013" s="17"/>
      <c r="C3013" s="16" t="str">
        <f>IFERROR(VLOOKUP(DATA!#REF!,DATA!#REF!,1,FALSE),"")</f>
        <v/>
      </c>
      <c r="D3013" s="16" t="str">
        <f>IFERROR(VLOOKUP(C3013,DATA!#REF!,2,FALSE),"")</f>
        <v/>
      </c>
      <c r="I3013" s="17"/>
      <c r="J3013" s="17"/>
      <c r="P3013" s="17"/>
      <c r="Q3013" s="17"/>
    </row>
    <row r="3014" spans="2:17">
      <c r="B3014" s="17"/>
      <c r="C3014" s="16" t="str">
        <f>IFERROR(VLOOKUP(DATA!#REF!,DATA!#REF!,1,FALSE),"")</f>
        <v/>
      </c>
      <c r="D3014" s="16" t="str">
        <f>IFERROR(VLOOKUP(C3014,DATA!#REF!,2,FALSE),"")</f>
        <v/>
      </c>
      <c r="I3014" s="17"/>
      <c r="J3014" s="17"/>
      <c r="P3014" s="17"/>
      <c r="Q3014" s="17"/>
    </row>
    <row r="3015" spans="2:17">
      <c r="B3015" s="17"/>
      <c r="C3015" s="16" t="str">
        <f>IFERROR(VLOOKUP(DATA!#REF!,DATA!#REF!,1,FALSE),"")</f>
        <v/>
      </c>
      <c r="D3015" s="16" t="str">
        <f>IFERROR(VLOOKUP(C3015,DATA!#REF!,2,FALSE),"")</f>
        <v/>
      </c>
      <c r="I3015" s="17"/>
      <c r="J3015" s="17"/>
      <c r="P3015" s="17"/>
      <c r="Q3015" s="17"/>
    </row>
    <row r="3016" spans="2:17">
      <c r="B3016" s="17"/>
      <c r="C3016" s="16" t="str">
        <f>IFERROR(VLOOKUP(DATA!#REF!,DATA!#REF!,1,FALSE),"")</f>
        <v/>
      </c>
      <c r="D3016" s="16" t="str">
        <f>IFERROR(VLOOKUP(C3016,DATA!#REF!,2,FALSE),"")</f>
        <v/>
      </c>
      <c r="I3016" s="17"/>
      <c r="J3016" s="17"/>
      <c r="P3016" s="17"/>
      <c r="Q3016" s="17"/>
    </row>
    <row r="3017" spans="2:17">
      <c r="B3017" s="17"/>
      <c r="C3017" s="16" t="str">
        <f>IFERROR(VLOOKUP(DATA!#REF!,DATA!#REF!,1,FALSE),"")</f>
        <v/>
      </c>
      <c r="D3017" s="16" t="str">
        <f>IFERROR(VLOOKUP(C3017,DATA!#REF!,2,FALSE),"")</f>
        <v/>
      </c>
      <c r="I3017" s="17"/>
      <c r="J3017" s="17"/>
      <c r="P3017" s="17"/>
      <c r="Q3017" s="17"/>
    </row>
    <row r="3018" spans="2:17">
      <c r="B3018" s="17"/>
      <c r="C3018" s="16" t="str">
        <f>IFERROR(VLOOKUP(DATA!#REF!,DATA!#REF!,1,FALSE),"")</f>
        <v/>
      </c>
      <c r="D3018" s="16" t="str">
        <f>IFERROR(VLOOKUP(C3018,DATA!#REF!,2,FALSE),"")</f>
        <v/>
      </c>
      <c r="I3018" s="17"/>
      <c r="J3018" s="17"/>
      <c r="P3018" s="17"/>
      <c r="Q3018" s="17"/>
    </row>
    <row r="3019" spans="2:17">
      <c r="B3019" s="17"/>
      <c r="C3019" s="16" t="str">
        <f>IFERROR(VLOOKUP(DATA!#REF!,DATA!#REF!,1,FALSE),"")</f>
        <v/>
      </c>
      <c r="D3019" s="16" t="str">
        <f>IFERROR(VLOOKUP(C3019,DATA!#REF!,2,FALSE),"")</f>
        <v/>
      </c>
      <c r="I3019" s="17"/>
      <c r="J3019" s="17"/>
      <c r="P3019" s="17"/>
      <c r="Q3019" s="17"/>
    </row>
    <row r="3020" spans="2:17">
      <c r="B3020" s="17"/>
      <c r="C3020" s="16" t="str">
        <f>IFERROR(VLOOKUP(DATA!#REF!,DATA!#REF!,1,FALSE),"")</f>
        <v/>
      </c>
      <c r="D3020" s="16" t="str">
        <f>IFERROR(VLOOKUP(C3020,DATA!#REF!,2,FALSE),"")</f>
        <v/>
      </c>
      <c r="I3020" s="17"/>
      <c r="J3020" s="17"/>
      <c r="P3020" s="17"/>
      <c r="Q3020" s="17"/>
    </row>
    <row r="3021" spans="2:17">
      <c r="B3021" s="17"/>
      <c r="C3021" s="16" t="str">
        <f>IFERROR(VLOOKUP(DATA!#REF!,DATA!#REF!,1,FALSE),"")</f>
        <v/>
      </c>
      <c r="D3021" s="16" t="str">
        <f>IFERROR(VLOOKUP(C3021,DATA!#REF!,2,FALSE),"")</f>
        <v/>
      </c>
      <c r="I3021" s="17"/>
      <c r="J3021" s="17"/>
      <c r="P3021" s="17"/>
      <c r="Q3021" s="17"/>
    </row>
    <row r="3022" spans="2:17">
      <c r="B3022" s="17"/>
      <c r="C3022" s="16" t="str">
        <f>IFERROR(VLOOKUP(DATA!#REF!,DATA!#REF!,1,FALSE),"")</f>
        <v/>
      </c>
      <c r="D3022" s="16" t="str">
        <f>IFERROR(VLOOKUP(C3022,DATA!#REF!,2,FALSE),"")</f>
        <v/>
      </c>
      <c r="I3022" s="17"/>
      <c r="J3022" s="17"/>
      <c r="P3022" s="17"/>
      <c r="Q3022" s="17"/>
    </row>
    <row r="3023" spans="2:17">
      <c r="B3023" s="17"/>
      <c r="C3023" s="16" t="str">
        <f>IFERROR(VLOOKUP(DATA!#REF!,DATA!#REF!,1,FALSE),"")</f>
        <v/>
      </c>
      <c r="D3023" s="16" t="str">
        <f>IFERROR(VLOOKUP(C3023,DATA!#REF!,2,FALSE),"")</f>
        <v/>
      </c>
      <c r="I3023" s="17"/>
      <c r="J3023" s="17"/>
      <c r="P3023" s="17"/>
      <c r="Q3023" s="17"/>
    </row>
    <row r="3024" spans="2:17">
      <c r="B3024" s="17"/>
      <c r="C3024" s="16" t="str">
        <f>IFERROR(VLOOKUP(DATA!#REF!,DATA!#REF!,1,FALSE),"")</f>
        <v/>
      </c>
      <c r="D3024" s="16" t="str">
        <f>IFERROR(VLOOKUP(C3024,DATA!#REF!,2,FALSE),"")</f>
        <v/>
      </c>
      <c r="I3024" s="17"/>
      <c r="J3024" s="17"/>
      <c r="P3024" s="17"/>
      <c r="Q3024" s="17"/>
    </row>
    <row r="3025" spans="2:17">
      <c r="B3025" s="17"/>
      <c r="C3025" s="16" t="str">
        <f>IFERROR(VLOOKUP(DATA!#REF!,DATA!#REF!,1,FALSE),"")</f>
        <v/>
      </c>
      <c r="D3025" s="16" t="str">
        <f>IFERROR(VLOOKUP(C3025,DATA!#REF!,2,FALSE),"")</f>
        <v/>
      </c>
      <c r="I3025" s="17"/>
      <c r="J3025" s="17"/>
      <c r="P3025" s="17"/>
      <c r="Q3025" s="17"/>
    </row>
    <row r="3026" spans="2:17">
      <c r="B3026" s="17"/>
      <c r="C3026" s="16" t="str">
        <f>IFERROR(VLOOKUP(DATA!#REF!,DATA!#REF!,1,FALSE),"")</f>
        <v/>
      </c>
      <c r="D3026" s="16" t="str">
        <f>IFERROR(VLOOKUP(C3026,DATA!#REF!,2,FALSE),"")</f>
        <v/>
      </c>
      <c r="I3026" s="17"/>
      <c r="J3026" s="17"/>
      <c r="P3026" s="17"/>
      <c r="Q3026" s="17"/>
    </row>
    <row r="3027" spans="2:17">
      <c r="B3027" s="17"/>
      <c r="C3027" s="16" t="str">
        <f>IFERROR(VLOOKUP(DATA!#REF!,DATA!#REF!,1,FALSE),"")</f>
        <v/>
      </c>
      <c r="D3027" s="16" t="str">
        <f>IFERROR(VLOOKUP(C3027,DATA!#REF!,2,FALSE),"")</f>
        <v/>
      </c>
      <c r="I3027" s="17"/>
      <c r="J3027" s="17"/>
      <c r="P3027" s="17"/>
      <c r="Q3027" s="17"/>
    </row>
    <row r="3028" spans="2:17">
      <c r="B3028" s="17"/>
      <c r="C3028" s="16" t="str">
        <f>IFERROR(VLOOKUP(DATA!#REF!,DATA!#REF!,1,FALSE),"")</f>
        <v/>
      </c>
      <c r="D3028" s="16" t="str">
        <f>IFERROR(VLOOKUP(C3028,DATA!#REF!,2,FALSE),"")</f>
        <v/>
      </c>
      <c r="I3028" s="17"/>
      <c r="J3028" s="17"/>
      <c r="P3028" s="17"/>
      <c r="Q3028" s="17"/>
    </row>
    <row r="3029" spans="2:17">
      <c r="B3029" s="17"/>
      <c r="C3029" s="16" t="str">
        <f>IFERROR(VLOOKUP(DATA!#REF!,DATA!#REF!,1,FALSE),"")</f>
        <v/>
      </c>
      <c r="D3029" s="16" t="str">
        <f>IFERROR(VLOOKUP(C3029,DATA!#REF!,2,FALSE),"")</f>
        <v/>
      </c>
      <c r="I3029" s="17"/>
      <c r="J3029" s="17"/>
      <c r="P3029" s="17"/>
      <c r="Q3029" s="17"/>
    </row>
    <row r="3030" spans="2:17">
      <c r="B3030" s="17"/>
      <c r="C3030" s="16" t="str">
        <f>IFERROR(VLOOKUP(DATA!#REF!,DATA!#REF!,1,FALSE),"")</f>
        <v/>
      </c>
      <c r="D3030" s="16" t="str">
        <f>IFERROR(VLOOKUP(C3030,DATA!#REF!,2,FALSE),"")</f>
        <v/>
      </c>
      <c r="I3030" s="17"/>
      <c r="J3030" s="17"/>
      <c r="P3030" s="17"/>
      <c r="Q3030" s="17"/>
    </row>
    <row r="3031" spans="2:17">
      <c r="B3031" s="17"/>
      <c r="C3031" s="16" t="str">
        <f>IFERROR(VLOOKUP(DATA!#REF!,DATA!#REF!,1,FALSE),"")</f>
        <v/>
      </c>
      <c r="D3031" s="16" t="str">
        <f>IFERROR(VLOOKUP(C3031,DATA!#REF!,2,FALSE),"")</f>
        <v/>
      </c>
      <c r="I3031" s="17"/>
      <c r="J3031" s="17"/>
      <c r="P3031" s="17"/>
      <c r="Q3031" s="17"/>
    </row>
    <row r="3032" spans="2:17">
      <c r="B3032" s="17"/>
      <c r="C3032" s="16" t="str">
        <f>IFERROR(VLOOKUP(DATA!#REF!,DATA!#REF!,1,FALSE),"")</f>
        <v/>
      </c>
      <c r="D3032" s="16" t="str">
        <f>IFERROR(VLOOKUP(C3032,DATA!#REF!,2,FALSE),"")</f>
        <v/>
      </c>
      <c r="I3032" s="17"/>
      <c r="J3032" s="17"/>
      <c r="P3032" s="17"/>
      <c r="Q3032" s="17"/>
    </row>
    <row r="3033" spans="2:17">
      <c r="B3033" s="17"/>
      <c r="C3033" s="16" t="str">
        <f>IFERROR(VLOOKUP(DATA!#REF!,DATA!#REF!,1,FALSE),"")</f>
        <v/>
      </c>
      <c r="D3033" s="16" t="str">
        <f>IFERROR(VLOOKUP(C3033,DATA!#REF!,2,FALSE),"")</f>
        <v/>
      </c>
      <c r="I3033" s="17"/>
      <c r="J3033" s="17"/>
      <c r="P3033" s="17"/>
      <c r="Q3033" s="17"/>
    </row>
    <row r="3034" spans="2:17">
      <c r="B3034" s="17"/>
      <c r="C3034" s="16" t="str">
        <f>IFERROR(VLOOKUP(DATA!#REF!,DATA!#REF!,1,FALSE),"")</f>
        <v/>
      </c>
      <c r="D3034" s="16" t="str">
        <f>IFERROR(VLOOKUP(C3034,DATA!#REF!,2,FALSE),"")</f>
        <v/>
      </c>
      <c r="I3034" s="17"/>
      <c r="J3034" s="17"/>
      <c r="P3034" s="17"/>
      <c r="Q3034" s="17"/>
    </row>
    <row r="3035" spans="2:17">
      <c r="B3035" s="17"/>
      <c r="C3035" s="16" t="str">
        <f>IFERROR(VLOOKUP(DATA!#REF!,DATA!#REF!,1,FALSE),"")</f>
        <v/>
      </c>
      <c r="D3035" s="16" t="str">
        <f>IFERROR(VLOOKUP(C3035,DATA!#REF!,2,FALSE),"")</f>
        <v/>
      </c>
      <c r="I3035" s="17"/>
      <c r="J3035" s="17"/>
      <c r="P3035" s="17"/>
      <c r="Q3035" s="17"/>
    </row>
    <row r="3036" spans="2:17">
      <c r="B3036" s="17"/>
      <c r="C3036" s="16" t="str">
        <f>IFERROR(VLOOKUP(DATA!#REF!,DATA!#REF!,1,FALSE),"")</f>
        <v/>
      </c>
      <c r="D3036" s="16" t="str">
        <f>IFERROR(VLOOKUP(C3036,DATA!#REF!,2,FALSE),"")</f>
        <v/>
      </c>
      <c r="I3036" s="17"/>
      <c r="J3036" s="17"/>
      <c r="P3036" s="17"/>
      <c r="Q3036" s="17"/>
    </row>
    <row r="3037" spans="2:17">
      <c r="B3037" s="17"/>
      <c r="C3037" s="16" t="str">
        <f>IFERROR(VLOOKUP(DATA!#REF!,DATA!#REF!,1,FALSE),"")</f>
        <v/>
      </c>
      <c r="D3037" s="16" t="str">
        <f>IFERROR(VLOOKUP(C3037,DATA!#REF!,2,FALSE),"")</f>
        <v/>
      </c>
      <c r="I3037" s="17"/>
      <c r="J3037" s="17"/>
      <c r="P3037" s="17"/>
      <c r="Q3037" s="17"/>
    </row>
    <row r="3038" spans="2:17">
      <c r="B3038" s="17"/>
      <c r="C3038" s="16" t="str">
        <f>IFERROR(VLOOKUP(DATA!#REF!,DATA!#REF!,1,FALSE),"")</f>
        <v/>
      </c>
      <c r="D3038" s="16" t="str">
        <f>IFERROR(VLOOKUP(C3038,DATA!#REF!,2,FALSE),"")</f>
        <v/>
      </c>
      <c r="I3038" s="17"/>
      <c r="J3038" s="17"/>
      <c r="P3038" s="17"/>
      <c r="Q3038" s="17"/>
    </row>
    <row r="3039" spans="2:17">
      <c r="B3039" s="17"/>
      <c r="C3039" s="16" t="str">
        <f>IFERROR(VLOOKUP(DATA!#REF!,DATA!#REF!,1,FALSE),"")</f>
        <v/>
      </c>
      <c r="D3039" s="16" t="str">
        <f>IFERROR(VLOOKUP(C3039,DATA!#REF!,2,FALSE),"")</f>
        <v/>
      </c>
      <c r="I3039" s="17"/>
      <c r="J3039" s="17"/>
      <c r="P3039" s="17"/>
      <c r="Q3039" s="17"/>
    </row>
    <row r="3040" spans="2:17">
      <c r="B3040" s="17"/>
      <c r="C3040" s="16" t="str">
        <f>IFERROR(VLOOKUP(DATA!#REF!,DATA!#REF!,1,FALSE),"")</f>
        <v/>
      </c>
      <c r="D3040" s="16" t="str">
        <f>IFERROR(VLOOKUP(C3040,DATA!#REF!,2,FALSE),"")</f>
        <v/>
      </c>
      <c r="I3040" s="17"/>
      <c r="J3040" s="17"/>
      <c r="P3040" s="17"/>
      <c r="Q3040" s="17"/>
    </row>
    <row r="3041" spans="2:17">
      <c r="B3041" s="17"/>
      <c r="C3041" s="16" t="str">
        <f>IFERROR(VLOOKUP(DATA!#REF!,DATA!#REF!,1,FALSE),"")</f>
        <v/>
      </c>
      <c r="D3041" s="16" t="str">
        <f>IFERROR(VLOOKUP(C3041,DATA!#REF!,2,FALSE),"")</f>
        <v/>
      </c>
      <c r="I3041" s="17"/>
      <c r="J3041" s="17"/>
      <c r="P3041" s="17"/>
      <c r="Q3041" s="17"/>
    </row>
    <row r="3042" spans="2:17">
      <c r="B3042" s="17"/>
      <c r="C3042" s="16" t="str">
        <f>IFERROR(VLOOKUP(DATA!#REF!,DATA!#REF!,1,FALSE),"")</f>
        <v/>
      </c>
      <c r="D3042" s="16" t="str">
        <f>IFERROR(VLOOKUP(C3042,DATA!#REF!,2,FALSE),"")</f>
        <v/>
      </c>
      <c r="I3042" s="17"/>
      <c r="J3042" s="17"/>
      <c r="P3042" s="17"/>
      <c r="Q3042" s="17"/>
    </row>
    <row r="3043" spans="2:17">
      <c r="B3043" s="17"/>
      <c r="C3043" s="16" t="str">
        <f>IFERROR(VLOOKUP(DATA!#REF!,DATA!#REF!,1,FALSE),"")</f>
        <v/>
      </c>
      <c r="D3043" s="16" t="str">
        <f>IFERROR(VLOOKUP(C3043,DATA!#REF!,2,FALSE),"")</f>
        <v/>
      </c>
      <c r="I3043" s="17"/>
      <c r="J3043" s="17"/>
      <c r="P3043" s="17"/>
      <c r="Q3043" s="17"/>
    </row>
    <row r="3044" spans="2:17">
      <c r="B3044" s="17"/>
      <c r="C3044" s="16" t="str">
        <f>IFERROR(VLOOKUP(DATA!#REF!,DATA!#REF!,1,FALSE),"")</f>
        <v/>
      </c>
      <c r="D3044" s="16" t="str">
        <f>IFERROR(VLOOKUP(C3044,DATA!#REF!,2,FALSE),"")</f>
        <v/>
      </c>
      <c r="I3044" s="17"/>
      <c r="J3044" s="17"/>
      <c r="P3044" s="17"/>
      <c r="Q3044" s="17"/>
    </row>
    <row r="3045" spans="2:17">
      <c r="B3045" s="17"/>
      <c r="C3045" s="16" t="str">
        <f>IFERROR(VLOOKUP(DATA!#REF!,DATA!#REF!,1,FALSE),"")</f>
        <v/>
      </c>
      <c r="D3045" s="16" t="str">
        <f>IFERROR(VLOOKUP(C3045,DATA!#REF!,2,FALSE),"")</f>
        <v/>
      </c>
      <c r="I3045" s="17"/>
      <c r="J3045" s="17"/>
      <c r="P3045" s="17"/>
      <c r="Q3045" s="17"/>
    </row>
    <row r="3046" spans="2:17">
      <c r="B3046" s="17"/>
      <c r="C3046" s="16" t="str">
        <f>IFERROR(VLOOKUP(DATA!#REF!,DATA!#REF!,1,FALSE),"")</f>
        <v/>
      </c>
      <c r="D3046" s="16" t="str">
        <f>IFERROR(VLOOKUP(C3046,DATA!#REF!,2,FALSE),"")</f>
        <v/>
      </c>
      <c r="I3046" s="17"/>
      <c r="J3046" s="17"/>
      <c r="P3046" s="17"/>
      <c r="Q3046" s="17"/>
    </row>
    <row r="3047" spans="2:17">
      <c r="B3047" s="17"/>
      <c r="C3047" s="16" t="str">
        <f>IFERROR(VLOOKUP(DATA!#REF!,DATA!#REF!,1,FALSE),"")</f>
        <v/>
      </c>
      <c r="D3047" s="16" t="str">
        <f>IFERROR(VLOOKUP(C3047,DATA!#REF!,2,FALSE),"")</f>
        <v/>
      </c>
      <c r="I3047" s="17"/>
      <c r="J3047" s="17"/>
      <c r="P3047" s="17"/>
      <c r="Q3047" s="17"/>
    </row>
    <row r="3048" spans="2:17">
      <c r="B3048" s="17"/>
      <c r="C3048" s="16" t="str">
        <f>IFERROR(VLOOKUP(DATA!#REF!,DATA!#REF!,1,FALSE),"")</f>
        <v/>
      </c>
      <c r="D3048" s="16" t="str">
        <f>IFERROR(VLOOKUP(C3048,DATA!#REF!,2,FALSE),"")</f>
        <v/>
      </c>
      <c r="I3048" s="17"/>
      <c r="J3048" s="17"/>
      <c r="P3048" s="17"/>
      <c r="Q3048" s="17"/>
    </row>
    <row r="3049" spans="2:17">
      <c r="B3049" s="17"/>
      <c r="C3049" s="16" t="str">
        <f>IFERROR(VLOOKUP(DATA!#REF!,DATA!#REF!,1,FALSE),"")</f>
        <v/>
      </c>
      <c r="D3049" s="16" t="str">
        <f>IFERROR(VLOOKUP(C3049,DATA!#REF!,2,FALSE),"")</f>
        <v/>
      </c>
      <c r="I3049" s="17"/>
      <c r="J3049" s="17"/>
      <c r="P3049" s="17"/>
      <c r="Q3049" s="17"/>
    </row>
    <row r="3050" spans="2:17">
      <c r="B3050" s="17"/>
      <c r="C3050" s="16" t="str">
        <f>IFERROR(VLOOKUP(DATA!#REF!,DATA!#REF!,1,FALSE),"")</f>
        <v/>
      </c>
      <c r="D3050" s="16" t="str">
        <f>IFERROR(VLOOKUP(C3050,DATA!#REF!,2,FALSE),"")</f>
        <v/>
      </c>
      <c r="I3050" s="17"/>
      <c r="J3050" s="17"/>
      <c r="P3050" s="17"/>
      <c r="Q3050" s="17"/>
    </row>
    <row r="3051" spans="2:17">
      <c r="B3051" s="17"/>
      <c r="C3051" s="16" t="str">
        <f>IFERROR(VLOOKUP(DATA!#REF!,DATA!#REF!,1,FALSE),"")</f>
        <v/>
      </c>
      <c r="D3051" s="16" t="str">
        <f>IFERROR(VLOOKUP(C3051,DATA!#REF!,2,FALSE),"")</f>
        <v/>
      </c>
      <c r="I3051" s="17"/>
      <c r="J3051" s="17"/>
      <c r="P3051" s="17"/>
      <c r="Q3051" s="17"/>
    </row>
    <row r="3052" spans="2:17">
      <c r="B3052" s="17"/>
      <c r="C3052" s="16" t="str">
        <f>IFERROR(VLOOKUP(DATA!#REF!,DATA!#REF!,1,FALSE),"")</f>
        <v/>
      </c>
      <c r="D3052" s="16" t="str">
        <f>IFERROR(VLOOKUP(C3052,DATA!#REF!,2,FALSE),"")</f>
        <v/>
      </c>
      <c r="I3052" s="17"/>
      <c r="J3052" s="17"/>
      <c r="P3052" s="17"/>
      <c r="Q3052" s="17"/>
    </row>
    <row r="3053" spans="2:17">
      <c r="B3053" s="17"/>
      <c r="C3053" s="16" t="str">
        <f>IFERROR(VLOOKUP(DATA!#REF!,DATA!#REF!,1,FALSE),"")</f>
        <v/>
      </c>
      <c r="D3053" s="16" t="str">
        <f>IFERROR(VLOOKUP(C3053,DATA!#REF!,2,FALSE),"")</f>
        <v/>
      </c>
      <c r="I3053" s="17"/>
      <c r="J3053" s="17"/>
      <c r="P3053" s="17"/>
      <c r="Q3053" s="17"/>
    </row>
    <row r="3054" spans="2:17">
      <c r="B3054" s="17"/>
      <c r="C3054" s="16" t="str">
        <f>IFERROR(VLOOKUP(DATA!#REF!,DATA!#REF!,1,FALSE),"")</f>
        <v/>
      </c>
      <c r="D3054" s="16" t="str">
        <f>IFERROR(VLOOKUP(C3054,DATA!#REF!,2,FALSE),"")</f>
        <v/>
      </c>
      <c r="I3054" s="17"/>
      <c r="J3054" s="17"/>
      <c r="P3054" s="17"/>
      <c r="Q3054" s="17"/>
    </row>
    <row r="3055" spans="2:17">
      <c r="B3055" s="17"/>
      <c r="C3055" s="16" t="str">
        <f>IFERROR(VLOOKUP(DATA!#REF!,DATA!#REF!,1,FALSE),"")</f>
        <v/>
      </c>
      <c r="D3055" s="16" t="str">
        <f>IFERROR(VLOOKUP(C3055,DATA!#REF!,2,FALSE),"")</f>
        <v/>
      </c>
      <c r="I3055" s="17"/>
      <c r="J3055" s="17"/>
      <c r="P3055" s="17"/>
      <c r="Q3055" s="17"/>
    </row>
    <row r="3056" spans="2:17">
      <c r="B3056" s="17"/>
      <c r="C3056" s="16" t="str">
        <f>IFERROR(VLOOKUP(DATA!#REF!,DATA!#REF!,1,FALSE),"")</f>
        <v/>
      </c>
      <c r="D3056" s="16" t="str">
        <f>IFERROR(VLOOKUP(C3056,DATA!#REF!,2,FALSE),"")</f>
        <v/>
      </c>
      <c r="I3056" s="17"/>
      <c r="J3056" s="17"/>
      <c r="P3056" s="17"/>
      <c r="Q3056" s="17"/>
    </row>
    <row r="3057" spans="2:17">
      <c r="B3057" s="17"/>
      <c r="C3057" s="16" t="str">
        <f>IFERROR(VLOOKUP(DATA!#REF!,DATA!#REF!,1,FALSE),"")</f>
        <v/>
      </c>
      <c r="D3057" s="16" t="str">
        <f>IFERROR(VLOOKUP(C3057,DATA!#REF!,2,FALSE),"")</f>
        <v/>
      </c>
      <c r="I3057" s="17"/>
      <c r="J3057" s="17"/>
      <c r="P3057" s="17"/>
      <c r="Q3057" s="17"/>
    </row>
    <row r="3058" spans="2:17">
      <c r="B3058" s="17"/>
      <c r="C3058" s="16" t="str">
        <f>IFERROR(VLOOKUP(DATA!#REF!,DATA!#REF!,1,FALSE),"")</f>
        <v/>
      </c>
      <c r="D3058" s="16" t="str">
        <f>IFERROR(VLOOKUP(C3058,DATA!#REF!,2,FALSE),"")</f>
        <v/>
      </c>
      <c r="I3058" s="17"/>
      <c r="J3058" s="17"/>
      <c r="P3058" s="17"/>
      <c r="Q3058" s="17"/>
    </row>
    <row r="3059" spans="2:17">
      <c r="B3059" s="17"/>
      <c r="C3059" s="16" t="str">
        <f>IFERROR(VLOOKUP(DATA!#REF!,DATA!#REF!,1,FALSE),"")</f>
        <v/>
      </c>
      <c r="D3059" s="16" t="str">
        <f>IFERROR(VLOOKUP(C3059,DATA!#REF!,2,FALSE),"")</f>
        <v/>
      </c>
      <c r="I3059" s="17"/>
      <c r="J3059" s="17"/>
      <c r="P3059" s="17"/>
      <c r="Q3059" s="17"/>
    </row>
    <row r="3060" spans="2:17">
      <c r="B3060" s="17"/>
      <c r="C3060" s="16" t="str">
        <f>IFERROR(VLOOKUP(DATA!#REF!,DATA!#REF!,1,FALSE),"")</f>
        <v/>
      </c>
      <c r="D3060" s="16" t="str">
        <f>IFERROR(VLOOKUP(C3060,DATA!#REF!,2,FALSE),"")</f>
        <v/>
      </c>
      <c r="I3060" s="17"/>
      <c r="J3060" s="17"/>
      <c r="P3060" s="17"/>
      <c r="Q3060" s="17"/>
    </row>
    <row r="3061" spans="2:17">
      <c r="B3061" s="17"/>
      <c r="C3061" s="16" t="str">
        <f>IFERROR(VLOOKUP(DATA!#REF!,DATA!#REF!,1,FALSE),"")</f>
        <v/>
      </c>
      <c r="D3061" s="16" t="str">
        <f>IFERROR(VLOOKUP(C3061,DATA!#REF!,2,FALSE),"")</f>
        <v/>
      </c>
      <c r="I3061" s="17"/>
      <c r="J3061" s="17"/>
      <c r="P3061" s="17"/>
      <c r="Q3061" s="17"/>
    </row>
    <row r="3062" spans="2:17">
      <c r="B3062" s="17"/>
      <c r="C3062" s="16" t="str">
        <f>IFERROR(VLOOKUP(DATA!#REF!,DATA!#REF!,1,FALSE),"")</f>
        <v/>
      </c>
      <c r="D3062" s="16" t="str">
        <f>IFERROR(VLOOKUP(C3062,DATA!#REF!,2,FALSE),"")</f>
        <v/>
      </c>
      <c r="I3062" s="17"/>
      <c r="J3062" s="17"/>
      <c r="P3062" s="17"/>
      <c r="Q3062" s="17"/>
    </row>
    <row r="3063" spans="2:17">
      <c r="B3063" s="17"/>
      <c r="C3063" s="16" t="str">
        <f>IFERROR(VLOOKUP(DATA!#REF!,DATA!#REF!,1,FALSE),"")</f>
        <v/>
      </c>
      <c r="D3063" s="16" t="str">
        <f>IFERROR(VLOOKUP(C3063,DATA!#REF!,2,FALSE),"")</f>
        <v/>
      </c>
      <c r="I3063" s="17"/>
      <c r="J3063" s="17"/>
      <c r="P3063" s="17"/>
      <c r="Q3063" s="17"/>
    </row>
    <row r="3064" spans="2:17">
      <c r="B3064" s="17"/>
      <c r="C3064" s="16" t="str">
        <f>IFERROR(VLOOKUP(DATA!#REF!,DATA!#REF!,1,FALSE),"")</f>
        <v/>
      </c>
      <c r="D3064" s="16" t="str">
        <f>IFERROR(VLOOKUP(C3064,DATA!#REF!,2,FALSE),"")</f>
        <v/>
      </c>
      <c r="I3064" s="17"/>
      <c r="J3064" s="17"/>
      <c r="P3064" s="17"/>
      <c r="Q3064" s="17"/>
    </row>
    <row r="3065" spans="2:17">
      <c r="B3065" s="17"/>
      <c r="C3065" s="16" t="str">
        <f>IFERROR(VLOOKUP(DATA!#REF!,DATA!#REF!,1,FALSE),"")</f>
        <v/>
      </c>
      <c r="D3065" s="16" t="str">
        <f>IFERROR(VLOOKUP(C3065,DATA!#REF!,2,FALSE),"")</f>
        <v/>
      </c>
      <c r="I3065" s="17"/>
      <c r="J3065" s="17"/>
      <c r="P3065" s="17"/>
      <c r="Q3065" s="17"/>
    </row>
    <row r="3066" spans="2:17">
      <c r="B3066" s="17"/>
      <c r="C3066" s="16" t="str">
        <f>IFERROR(VLOOKUP(DATA!#REF!,DATA!#REF!,1,FALSE),"")</f>
        <v/>
      </c>
      <c r="D3066" s="16" t="str">
        <f>IFERROR(VLOOKUP(C3066,DATA!#REF!,2,FALSE),"")</f>
        <v/>
      </c>
      <c r="I3066" s="17"/>
      <c r="J3066" s="17"/>
      <c r="P3066" s="17"/>
      <c r="Q3066" s="17"/>
    </row>
    <row r="3067" spans="2:17">
      <c r="B3067" s="17"/>
      <c r="C3067" s="16" t="str">
        <f>IFERROR(VLOOKUP(DATA!#REF!,DATA!#REF!,1,FALSE),"")</f>
        <v/>
      </c>
      <c r="D3067" s="16" t="str">
        <f>IFERROR(VLOOKUP(C3067,DATA!#REF!,2,FALSE),"")</f>
        <v/>
      </c>
      <c r="I3067" s="17"/>
      <c r="J3067" s="17"/>
      <c r="P3067" s="17"/>
      <c r="Q3067" s="17"/>
    </row>
    <row r="3068" spans="2:17">
      <c r="B3068" s="17"/>
      <c r="C3068" s="16" t="str">
        <f>IFERROR(VLOOKUP(DATA!#REF!,DATA!#REF!,1,FALSE),"")</f>
        <v/>
      </c>
      <c r="D3068" s="16" t="str">
        <f>IFERROR(VLOOKUP(C3068,DATA!#REF!,2,FALSE),"")</f>
        <v/>
      </c>
      <c r="I3068" s="17"/>
      <c r="J3068" s="17"/>
      <c r="P3068" s="17"/>
      <c r="Q3068" s="17"/>
    </row>
    <row r="3069" spans="2:17">
      <c r="B3069" s="17"/>
      <c r="C3069" s="16" t="str">
        <f>IFERROR(VLOOKUP(DATA!#REF!,DATA!#REF!,1,FALSE),"")</f>
        <v/>
      </c>
      <c r="D3069" s="16" t="str">
        <f>IFERROR(VLOOKUP(C3069,DATA!#REF!,2,FALSE),"")</f>
        <v/>
      </c>
      <c r="I3069" s="17"/>
      <c r="J3069" s="17"/>
      <c r="P3069" s="17"/>
      <c r="Q3069" s="17"/>
    </row>
    <row r="3070" spans="2:17">
      <c r="B3070" s="17"/>
      <c r="C3070" s="16" t="str">
        <f>IFERROR(VLOOKUP(DATA!#REF!,DATA!#REF!,1,FALSE),"")</f>
        <v/>
      </c>
      <c r="D3070" s="16" t="str">
        <f>IFERROR(VLOOKUP(C3070,DATA!#REF!,2,FALSE),"")</f>
        <v/>
      </c>
      <c r="I3070" s="17"/>
      <c r="J3070" s="17"/>
      <c r="P3070" s="17"/>
      <c r="Q3070" s="17"/>
    </row>
    <row r="3071" spans="2:17">
      <c r="B3071" s="17"/>
      <c r="C3071" s="16" t="str">
        <f>IFERROR(VLOOKUP(DATA!#REF!,DATA!#REF!,1,FALSE),"")</f>
        <v/>
      </c>
      <c r="D3071" s="16" t="str">
        <f>IFERROR(VLOOKUP(C3071,DATA!#REF!,2,FALSE),"")</f>
        <v/>
      </c>
      <c r="I3071" s="17"/>
      <c r="J3071" s="17"/>
      <c r="P3071" s="17"/>
      <c r="Q3071" s="17"/>
    </row>
    <row r="3072" spans="2:17">
      <c r="B3072" s="17"/>
      <c r="C3072" s="16" t="str">
        <f>IFERROR(VLOOKUP(DATA!#REF!,DATA!#REF!,1,FALSE),"")</f>
        <v/>
      </c>
      <c r="D3072" s="16" t="str">
        <f>IFERROR(VLOOKUP(C3072,DATA!#REF!,2,FALSE),"")</f>
        <v/>
      </c>
      <c r="I3072" s="17"/>
      <c r="J3072" s="17"/>
      <c r="P3072" s="17"/>
      <c r="Q3072" s="17"/>
    </row>
    <row r="3073" spans="2:17">
      <c r="B3073" s="17"/>
      <c r="C3073" s="16" t="str">
        <f>IFERROR(VLOOKUP(DATA!#REF!,DATA!#REF!,1,FALSE),"")</f>
        <v/>
      </c>
      <c r="D3073" s="16" t="str">
        <f>IFERROR(VLOOKUP(C3073,DATA!#REF!,2,FALSE),"")</f>
        <v/>
      </c>
      <c r="I3073" s="17"/>
      <c r="J3073" s="17"/>
      <c r="P3073" s="17"/>
      <c r="Q3073" s="17"/>
    </row>
    <row r="3074" spans="2:17">
      <c r="B3074" s="17"/>
      <c r="C3074" s="16" t="str">
        <f>IFERROR(VLOOKUP(DATA!#REF!,DATA!#REF!,1,FALSE),"")</f>
        <v/>
      </c>
      <c r="D3074" s="16" t="str">
        <f>IFERROR(VLOOKUP(C3074,DATA!#REF!,2,FALSE),"")</f>
        <v/>
      </c>
      <c r="I3074" s="17"/>
      <c r="J3074" s="17"/>
      <c r="P3074" s="17"/>
      <c r="Q3074" s="17"/>
    </row>
    <row r="3075" spans="2:17">
      <c r="B3075" s="17"/>
      <c r="C3075" s="16" t="str">
        <f>IFERROR(VLOOKUP(DATA!#REF!,DATA!#REF!,1,FALSE),"")</f>
        <v/>
      </c>
      <c r="D3075" s="16" t="str">
        <f>IFERROR(VLOOKUP(C3075,DATA!#REF!,2,FALSE),"")</f>
        <v/>
      </c>
      <c r="I3075" s="17"/>
      <c r="J3075" s="17"/>
      <c r="P3075" s="17"/>
      <c r="Q3075" s="17"/>
    </row>
    <row r="3076" spans="2:17">
      <c r="B3076" s="17"/>
      <c r="C3076" s="16" t="str">
        <f>IFERROR(VLOOKUP(DATA!#REF!,DATA!#REF!,1,FALSE),"")</f>
        <v/>
      </c>
      <c r="D3076" s="16" t="str">
        <f>IFERROR(VLOOKUP(C3076,DATA!#REF!,2,FALSE),"")</f>
        <v/>
      </c>
      <c r="I3076" s="17"/>
      <c r="J3076" s="17"/>
      <c r="P3076" s="17"/>
      <c r="Q3076" s="17"/>
    </row>
    <row r="3077" spans="2:17">
      <c r="B3077" s="17"/>
      <c r="C3077" s="16" t="str">
        <f>IFERROR(VLOOKUP(DATA!#REF!,DATA!#REF!,1,FALSE),"")</f>
        <v/>
      </c>
      <c r="D3077" s="16" t="str">
        <f>IFERROR(VLOOKUP(C3077,DATA!#REF!,2,FALSE),"")</f>
        <v/>
      </c>
      <c r="I3077" s="17"/>
      <c r="J3077" s="17"/>
      <c r="P3077" s="17"/>
      <c r="Q3077" s="17"/>
    </row>
    <row r="3078" spans="2:17">
      <c r="B3078" s="17"/>
      <c r="C3078" s="16" t="str">
        <f>IFERROR(VLOOKUP(DATA!#REF!,DATA!#REF!,1,FALSE),"")</f>
        <v/>
      </c>
      <c r="D3078" s="16" t="str">
        <f>IFERROR(VLOOKUP(C3078,DATA!#REF!,2,FALSE),"")</f>
        <v/>
      </c>
      <c r="I3078" s="17"/>
      <c r="J3078" s="17"/>
      <c r="P3078" s="17"/>
      <c r="Q3078" s="17"/>
    </row>
    <row r="3079" spans="2:17">
      <c r="B3079" s="17"/>
      <c r="C3079" s="16" t="str">
        <f>IFERROR(VLOOKUP(DATA!#REF!,DATA!#REF!,1,FALSE),"")</f>
        <v/>
      </c>
      <c r="D3079" s="16" t="str">
        <f>IFERROR(VLOOKUP(C3079,DATA!#REF!,2,FALSE),"")</f>
        <v/>
      </c>
      <c r="I3079" s="17"/>
      <c r="J3079" s="17"/>
      <c r="P3079" s="17"/>
      <c r="Q3079" s="17"/>
    </row>
    <row r="3080" spans="2:17">
      <c r="B3080" s="17"/>
      <c r="C3080" s="16" t="str">
        <f>IFERROR(VLOOKUP(DATA!#REF!,DATA!#REF!,1,FALSE),"")</f>
        <v/>
      </c>
      <c r="D3080" s="16" t="str">
        <f>IFERROR(VLOOKUP(C3080,DATA!#REF!,2,FALSE),"")</f>
        <v/>
      </c>
      <c r="I3080" s="17"/>
      <c r="J3080" s="17"/>
      <c r="P3080" s="17"/>
      <c r="Q3080" s="17"/>
    </row>
    <row r="3081" spans="2:17">
      <c r="B3081" s="17"/>
      <c r="C3081" s="16" t="str">
        <f>IFERROR(VLOOKUP(DATA!#REF!,DATA!#REF!,1,FALSE),"")</f>
        <v/>
      </c>
      <c r="D3081" s="16" t="str">
        <f>IFERROR(VLOOKUP(C3081,DATA!#REF!,2,FALSE),"")</f>
        <v/>
      </c>
      <c r="I3081" s="17"/>
      <c r="J3081" s="17"/>
      <c r="P3081" s="17"/>
      <c r="Q3081" s="17"/>
    </row>
    <row r="3082" spans="2:17">
      <c r="B3082" s="17"/>
      <c r="C3082" s="16" t="str">
        <f>IFERROR(VLOOKUP(DATA!#REF!,DATA!#REF!,1,FALSE),"")</f>
        <v/>
      </c>
      <c r="D3082" s="16" t="str">
        <f>IFERROR(VLOOKUP(C3082,DATA!#REF!,2,FALSE),"")</f>
        <v/>
      </c>
      <c r="I3082" s="17"/>
      <c r="J3082" s="17"/>
      <c r="P3082" s="17"/>
      <c r="Q3082" s="17"/>
    </row>
    <row r="3083" spans="2:17">
      <c r="B3083" s="17"/>
      <c r="C3083" s="16" t="str">
        <f>IFERROR(VLOOKUP(DATA!#REF!,DATA!#REF!,1,FALSE),"")</f>
        <v/>
      </c>
      <c r="D3083" s="16" t="str">
        <f>IFERROR(VLOOKUP(C3083,DATA!#REF!,2,FALSE),"")</f>
        <v/>
      </c>
      <c r="I3083" s="17"/>
      <c r="J3083" s="17"/>
      <c r="P3083" s="17"/>
      <c r="Q3083" s="17"/>
    </row>
    <row r="3084" spans="2:17">
      <c r="B3084" s="17"/>
      <c r="C3084" s="16" t="str">
        <f>IFERROR(VLOOKUP(DATA!#REF!,DATA!#REF!,1,FALSE),"")</f>
        <v/>
      </c>
      <c r="D3084" s="16" t="str">
        <f>IFERROR(VLOOKUP(C3084,DATA!#REF!,2,FALSE),"")</f>
        <v/>
      </c>
      <c r="I3084" s="17"/>
      <c r="J3084" s="17"/>
      <c r="P3084" s="17"/>
      <c r="Q3084" s="17"/>
    </row>
    <row r="3085" spans="2:17">
      <c r="B3085" s="17"/>
      <c r="C3085" s="16" t="str">
        <f>IFERROR(VLOOKUP(DATA!#REF!,DATA!#REF!,1,FALSE),"")</f>
        <v/>
      </c>
      <c r="D3085" s="16" t="str">
        <f>IFERROR(VLOOKUP(C3085,DATA!#REF!,2,FALSE),"")</f>
        <v/>
      </c>
      <c r="I3085" s="17"/>
      <c r="J3085" s="17"/>
      <c r="P3085" s="17"/>
      <c r="Q3085" s="17"/>
    </row>
    <row r="3086" spans="2:17">
      <c r="B3086" s="17"/>
      <c r="C3086" s="16" t="str">
        <f>IFERROR(VLOOKUP(DATA!#REF!,DATA!#REF!,1,FALSE),"")</f>
        <v/>
      </c>
      <c r="D3086" s="16" t="str">
        <f>IFERROR(VLOOKUP(C3086,DATA!#REF!,2,FALSE),"")</f>
        <v/>
      </c>
      <c r="I3086" s="17"/>
      <c r="J3086" s="17"/>
      <c r="P3086" s="17"/>
      <c r="Q3086" s="17"/>
    </row>
    <row r="3087" spans="2:17">
      <c r="B3087" s="17"/>
      <c r="C3087" s="16" t="str">
        <f>IFERROR(VLOOKUP(DATA!#REF!,DATA!#REF!,1,FALSE),"")</f>
        <v/>
      </c>
      <c r="D3087" s="16" t="str">
        <f>IFERROR(VLOOKUP(C3087,DATA!#REF!,2,FALSE),"")</f>
        <v/>
      </c>
      <c r="I3087" s="17"/>
      <c r="J3087" s="17"/>
      <c r="P3087" s="17"/>
      <c r="Q3087" s="17"/>
    </row>
    <row r="3088" spans="2:17">
      <c r="B3088" s="17"/>
      <c r="C3088" s="16" t="str">
        <f>IFERROR(VLOOKUP(DATA!#REF!,DATA!#REF!,1,FALSE),"")</f>
        <v/>
      </c>
      <c r="D3088" s="16" t="str">
        <f>IFERROR(VLOOKUP(C3088,DATA!#REF!,2,FALSE),"")</f>
        <v/>
      </c>
      <c r="I3088" s="17"/>
      <c r="J3088" s="17"/>
      <c r="P3088" s="17"/>
      <c r="Q3088" s="17"/>
    </row>
    <row r="3089" spans="2:17">
      <c r="B3089" s="17"/>
      <c r="C3089" s="16" t="str">
        <f>IFERROR(VLOOKUP(DATA!#REF!,DATA!#REF!,1,FALSE),"")</f>
        <v/>
      </c>
      <c r="D3089" s="16" t="str">
        <f>IFERROR(VLOOKUP(C3089,DATA!#REF!,2,FALSE),"")</f>
        <v/>
      </c>
      <c r="I3089" s="17"/>
      <c r="J3089" s="17"/>
      <c r="P3089" s="17"/>
      <c r="Q3089" s="17"/>
    </row>
    <row r="3090" spans="2:17">
      <c r="B3090" s="17"/>
      <c r="C3090" s="16" t="str">
        <f>IFERROR(VLOOKUP(DATA!#REF!,DATA!#REF!,1,FALSE),"")</f>
        <v/>
      </c>
      <c r="D3090" s="16" t="str">
        <f>IFERROR(VLOOKUP(C3090,DATA!#REF!,2,FALSE),"")</f>
        <v/>
      </c>
      <c r="I3090" s="17"/>
      <c r="J3090" s="17"/>
      <c r="P3090" s="17"/>
      <c r="Q3090" s="17"/>
    </row>
    <row r="3091" spans="2:17">
      <c r="B3091" s="17"/>
      <c r="C3091" s="16" t="str">
        <f>IFERROR(VLOOKUP(DATA!#REF!,DATA!#REF!,1,FALSE),"")</f>
        <v/>
      </c>
      <c r="D3091" s="16" t="str">
        <f>IFERROR(VLOOKUP(C3091,DATA!#REF!,2,FALSE),"")</f>
        <v/>
      </c>
      <c r="I3091" s="17"/>
      <c r="J3091" s="17"/>
      <c r="P3091" s="17"/>
      <c r="Q3091" s="17"/>
    </row>
    <row r="3092" spans="2:17">
      <c r="B3092" s="17"/>
      <c r="C3092" s="16" t="str">
        <f>IFERROR(VLOOKUP(DATA!#REF!,DATA!#REF!,1,FALSE),"")</f>
        <v/>
      </c>
      <c r="D3092" s="16" t="str">
        <f>IFERROR(VLOOKUP(C3092,DATA!#REF!,2,FALSE),"")</f>
        <v/>
      </c>
      <c r="I3092" s="17"/>
      <c r="J3092" s="17"/>
      <c r="P3092" s="17"/>
      <c r="Q3092" s="17"/>
    </row>
    <row r="3093" spans="2:17">
      <c r="B3093" s="17"/>
      <c r="C3093" s="16" t="str">
        <f>IFERROR(VLOOKUP(DATA!#REF!,DATA!#REF!,1,FALSE),"")</f>
        <v/>
      </c>
      <c r="D3093" s="16" t="str">
        <f>IFERROR(VLOOKUP(C3093,DATA!#REF!,2,FALSE),"")</f>
        <v/>
      </c>
      <c r="I3093" s="17"/>
      <c r="J3093" s="17"/>
      <c r="P3093" s="17"/>
      <c r="Q3093" s="17"/>
    </row>
    <row r="3094" spans="2:17">
      <c r="B3094" s="17"/>
      <c r="C3094" s="16" t="str">
        <f>IFERROR(VLOOKUP(DATA!#REF!,DATA!#REF!,1,FALSE),"")</f>
        <v/>
      </c>
      <c r="D3094" s="16" t="str">
        <f>IFERROR(VLOOKUP(C3094,DATA!#REF!,2,FALSE),"")</f>
        <v/>
      </c>
      <c r="I3094" s="17"/>
      <c r="J3094" s="17"/>
      <c r="P3094" s="17"/>
      <c r="Q3094" s="17"/>
    </row>
    <row r="3095" spans="2:17">
      <c r="B3095" s="17"/>
      <c r="C3095" s="16" t="str">
        <f>IFERROR(VLOOKUP(DATA!#REF!,DATA!#REF!,1,FALSE),"")</f>
        <v/>
      </c>
      <c r="D3095" s="16" t="str">
        <f>IFERROR(VLOOKUP(C3095,DATA!#REF!,2,FALSE),"")</f>
        <v/>
      </c>
      <c r="I3095" s="17"/>
      <c r="J3095" s="17"/>
      <c r="P3095" s="17"/>
      <c r="Q3095" s="17"/>
    </row>
    <row r="3096" spans="2:17">
      <c r="B3096" s="17"/>
      <c r="C3096" s="16" t="str">
        <f>IFERROR(VLOOKUP(DATA!#REF!,DATA!#REF!,1,FALSE),"")</f>
        <v/>
      </c>
      <c r="D3096" s="16" t="str">
        <f>IFERROR(VLOOKUP(C3096,DATA!#REF!,2,FALSE),"")</f>
        <v/>
      </c>
      <c r="I3096" s="17"/>
      <c r="J3096" s="17"/>
      <c r="P3096" s="17"/>
      <c r="Q3096" s="17"/>
    </row>
    <row r="3097" spans="2:17">
      <c r="B3097" s="17"/>
      <c r="C3097" s="16" t="str">
        <f>IFERROR(VLOOKUP(DATA!#REF!,DATA!#REF!,1,FALSE),"")</f>
        <v/>
      </c>
      <c r="D3097" s="16" t="str">
        <f>IFERROR(VLOOKUP(C3097,DATA!#REF!,2,FALSE),"")</f>
        <v/>
      </c>
      <c r="I3097" s="17"/>
      <c r="J3097" s="17"/>
      <c r="P3097" s="17"/>
      <c r="Q3097" s="17"/>
    </row>
    <row r="3098" spans="2:17">
      <c r="B3098" s="17"/>
      <c r="C3098" s="16" t="str">
        <f>IFERROR(VLOOKUP(DATA!#REF!,DATA!#REF!,1,FALSE),"")</f>
        <v/>
      </c>
      <c r="D3098" s="16" t="str">
        <f>IFERROR(VLOOKUP(C3098,DATA!#REF!,2,FALSE),"")</f>
        <v/>
      </c>
      <c r="I3098" s="17"/>
      <c r="J3098" s="17"/>
      <c r="P3098" s="17"/>
      <c r="Q3098" s="17"/>
    </row>
    <row r="3099" spans="2:17">
      <c r="B3099" s="17"/>
      <c r="C3099" s="16" t="str">
        <f>IFERROR(VLOOKUP(DATA!#REF!,DATA!#REF!,1,FALSE),"")</f>
        <v/>
      </c>
      <c r="D3099" s="16" t="str">
        <f>IFERROR(VLOOKUP(C3099,DATA!#REF!,2,FALSE),"")</f>
        <v/>
      </c>
      <c r="I3099" s="17"/>
      <c r="J3099" s="17"/>
      <c r="P3099" s="17"/>
      <c r="Q3099" s="17"/>
    </row>
    <row r="3100" spans="2:17">
      <c r="B3100" s="17"/>
      <c r="C3100" s="16" t="str">
        <f>IFERROR(VLOOKUP(DATA!#REF!,DATA!#REF!,1,FALSE),"")</f>
        <v/>
      </c>
      <c r="D3100" s="16" t="str">
        <f>IFERROR(VLOOKUP(C3100,DATA!#REF!,2,FALSE),"")</f>
        <v/>
      </c>
      <c r="I3100" s="17"/>
      <c r="J3100" s="17"/>
      <c r="P3100" s="17"/>
      <c r="Q3100" s="17"/>
    </row>
    <row r="3101" spans="2:17">
      <c r="B3101" s="17"/>
      <c r="C3101" s="16" t="str">
        <f>IFERROR(VLOOKUP(DATA!#REF!,DATA!#REF!,1,FALSE),"")</f>
        <v/>
      </c>
      <c r="D3101" s="16" t="str">
        <f>IFERROR(VLOOKUP(C3101,DATA!#REF!,2,FALSE),"")</f>
        <v/>
      </c>
      <c r="I3101" s="17"/>
      <c r="J3101" s="17"/>
      <c r="P3101" s="17"/>
      <c r="Q3101" s="17"/>
    </row>
    <row r="3102" spans="2:17">
      <c r="B3102" s="17"/>
      <c r="C3102" s="16" t="str">
        <f>IFERROR(VLOOKUP(DATA!#REF!,DATA!#REF!,1,FALSE),"")</f>
        <v/>
      </c>
      <c r="D3102" s="16" t="str">
        <f>IFERROR(VLOOKUP(C3102,DATA!#REF!,2,FALSE),"")</f>
        <v/>
      </c>
      <c r="I3102" s="17"/>
      <c r="J3102" s="17"/>
      <c r="P3102" s="17"/>
      <c r="Q3102" s="17"/>
    </row>
    <row r="3103" spans="2:17">
      <c r="B3103" s="17"/>
      <c r="C3103" s="16" t="str">
        <f>IFERROR(VLOOKUP(DATA!#REF!,DATA!#REF!,1,FALSE),"")</f>
        <v/>
      </c>
      <c r="D3103" s="16" t="str">
        <f>IFERROR(VLOOKUP(C3103,DATA!#REF!,2,FALSE),"")</f>
        <v/>
      </c>
      <c r="I3103" s="17"/>
      <c r="J3103" s="17"/>
      <c r="P3103" s="17"/>
      <c r="Q3103" s="17"/>
    </row>
    <row r="3104" spans="2:17">
      <c r="B3104" s="17"/>
      <c r="C3104" s="16" t="str">
        <f>IFERROR(VLOOKUP(DATA!#REF!,DATA!#REF!,1,FALSE),"")</f>
        <v/>
      </c>
      <c r="D3104" s="16" t="str">
        <f>IFERROR(VLOOKUP(C3104,DATA!#REF!,2,FALSE),"")</f>
        <v/>
      </c>
      <c r="I3104" s="17"/>
      <c r="J3104" s="17"/>
      <c r="P3104" s="17"/>
      <c r="Q3104" s="17"/>
    </row>
    <row r="3105" spans="2:17">
      <c r="B3105" s="17"/>
      <c r="C3105" s="16" t="str">
        <f>IFERROR(VLOOKUP(DATA!#REF!,DATA!#REF!,1,FALSE),"")</f>
        <v/>
      </c>
      <c r="D3105" s="16" t="str">
        <f>IFERROR(VLOOKUP(C3105,DATA!#REF!,2,FALSE),"")</f>
        <v/>
      </c>
      <c r="I3105" s="17"/>
      <c r="J3105" s="17"/>
      <c r="P3105" s="17"/>
      <c r="Q3105" s="17"/>
    </row>
    <row r="3106" spans="2:17">
      <c r="B3106" s="17"/>
      <c r="C3106" s="16" t="str">
        <f>IFERROR(VLOOKUP(DATA!#REF!,DATA!#REF!,1,FALSE),"")</f>
        <v/>
      </c>
      <c r="D3106" s="16" t="str">
        <f>IFERROR(VLOOKUP(C3106,DATA!#REF!,2,FALSE),"")</f>
        <v/>
      </c>
      <c r="I3106" s="17"/>
      <c r="J3106" s="17"/>
      <c r="P3106" s="17"/>
      <c r="Q3106" s="17"/>
    </row>
    <row r="3107" spans="2:17">
      <c r="B3107" s="17"/>
      <c r="C3107" s="16" t="str">
        <f>IFERROR(VLOOKUP(DATA!#REF!,DATA!#REF!,1,FALSE),"")</f>
        <v/>
      </c>
      <c r="D3107" s="16" t="str">
        <f>IFERROR(VLOOKUP(C3107,DATA!#REF!,2,FALSE),"")</f>
        <v/>
      </c>
      <c r="I3107" s="17"/>
      <c r="J3107" s="17"/>
      <c r="P3107" s="17"/>
      <c r="Q3107" s="17"/>
    </row>
    <row r="3108" spans="2:17">
      <c r="B3108" s="17"/>
      <c r="C3108" s="16" t="str">
        <f>IFERROR(VLOOKUP(DATA!#REF!,DATA!#REF!,1,FALSE),"")</f>
        <v/>
      </c>
      <c r="D3108" s="16" t="str">
        <f>IFERROR(VLOOKUP(C3108,DATA!#REF!,2,FALSE),"")</f>
        <v/>
      </c>
      <c r="I3108" s="17"/>
      <c r="J3108" s="17"/>
      <c r="P3108" s="17"/>
      <c r="Q3108" s="17"/>
    </row>
    <row r="3109" spans="2:17">
      <c r="B3109" s="17"/>
      <c r="C3109" s="16" t="str">
        <f>IFERROR(VLOOKUP(DATA!#REF!,DATA!#REF!,1,FALSE),"")</f>
        <v/>
      </c>
      <c r="D3109" s="16" t="str">
        <f>IFERROR(VLOOKUP(C3109,DATA!#REF!,2,FALSE),"")</f>
        <v/>
      </c>
      <c r="I3109" s="17"/>
      <c r="J3109" s="17"/>
      <c r="P3109" s="17"/>
      <c r="Q3109" s="17"/>
    </row>
    <row r="3110" spans="2:17">
      <c r="B3110" s="17"/>
      <c r="C3110" s="16" t="str">
        <f>IFERROR(VLOOKUP(DATA!#REF!,DATA!#REF!,1,FALSE),"")</f>
        <v/>
      </c>
      <c r="D3110" s="16" t="str">
        <f>IFERROR(VLOOKUP(C3110,DATA!#REF!,2,FALSE),"")</f>
        <v/>
      </c>
      <c r="I3110" s="17"/>
      <c r="J3110" s="17"/>
      <c r="P3110" s="17"/>
      <c r="Q3110" s="17"/>
    </row>
    <row r="3111" spans="2:17">
      <c r="B3111" s="17"/>
      <c r="C3111" s="16" t="str">
        <f>IFERROR(VLOOKUP(DATA!#REF!,DATA!#REF!,1,FALSE),"")</f>
        <v/>
      </c>
      <c r="D3111" s="16" t="str">
        <f>IFERROR(VLOOKUP(C3111,DATA!#REF!,2,FALSE),"")</f>
        <v/>
      </c>
      <c r="I3111" s="17"/>
      <c r="J3111" s="17"/>
      <c r="P3111" s="17"/>
      <c r="Q3111" s="17"/>
    </row>
    <row r="3112" spans="2:17">
      <c r="B3112" s="17"/>
      <c r="C3112" s="16" t="str">
        <f>IFERROR(VLOOKUP(DATA!#REF!,DATA!#REF!,1,FALSE),"")</f>
        <v/>
      </c>
      <c r="D3112" s="16" t="str">
        <f>IFERROR(VLOOKUP(C3112,DATA!#REF!,2,FALSE),"")</f>
        <v/>
      </c>
      <c r="I3112" s="17"/>
      <c r="J3112" s="17"/>
      <c r="P3112" s="17"/>
      <c r="Q3112" s="17"/>
    </row>
    <row r="3113" spans="2:17">
      <c r="B3113" s="17"/>
      <c r="C3113" s="16" t="str">
        <f>IFERROR(VLOOKUP(DATA!#REF!,DATA!#REF!,1,FALSE),"")</f>
        <v/>
      </c>
      <c r="D3113" s="16" t="str">
        <f>IFERROR(VLOOKUP(C3113,DATA!#REF!,2,FALSE),"")</f>
        <v/>
      </c>
      <c r="I3113" s="17"/>
      <c r="J3113" s="17"/>
      <c r="P3113" s="17"/>
      <c r="Q3113" s="17"/>
    </row>
    <row r="3114" spans="2:17">
      <c r="B3114" s="17"/>
      <c r="C3114" s="16" t="str">
        <f>IFERROR(VLOOKUP(DATA!#REF!,DATA!#REF!,1,FALSE),"")</f>
        <v/>
      </c>
      <c r="D3114" s="16" t="str">
        <f>IFERROR(VLOOKUP(C3114,DATA!#REF!,2,FALSE),"")</f>
        <v/>
      </c>
      <c r="I3114" s="17"/>
      <c r="J3114" s="17"/>
      <c r="P3114" s="17"/>
      <c r="Q3114" s="17"/>
    </row>
    <row r="3115" spans="2:17">
      <c r="B3115" s="17"/>
      <c r="C3115" s="16" t="str">
        <f>IFERROR(VLOOKUP(DATA!#REF!,DATA!#REF!,1,FALSE),"")</f>
        <v/>
      </c>
      <c r="D3115" s="16" t="str">
        <f>IFERROR(VLOOKUP(C3115,DATA!#REF!,2,FALSE),"")</f>
        <v/>
      </c>
      <c r="I3115" s="17"/>
      <c r="J3115" s="17"/>
      <c r="P3115" s="17"/>
      <c r="Q3115" s="17"/>
    </row>
    <row r="3116" spans="2:17">
      <c r="B3116" s="17"/>
      <c r="C3116" s="16" t="str">
        <f>IFERROR(VLOOKUP(DATA!#REF!,DATA!#REF!,1,FALSE),"")</f>
        <v/>
      </c>
      <c r="D3116" s="16" t="str">
        <f>IFERROR(VLOOKUP(C3116,DATA!#REF!,2,FALSE),"")</f>
        <v/>
      </c>
      <c r="I3116" s="17"/>
      <c r="J3116" s="17"/>
      <c r="P3116" s="17"/>
      <c r="Q3116" s="17"/>
    </row>
    <row r="3117" spans="2:17">
      <c r="B3117" s="17"/>
      <c r="C3117" s="16" t="str">
        <f>IFERROR(VLOOKUP(DATA!#REF!,DATA!#REF!,1,FALSE),"")</f>
        <v/>
      </c>
      <c r="D3117" s="16" t="str">
        <f>IFERROR(VLOOKUP(C3117,DATA!#REF!,2,FALSE),"")</f>
        <v/>
      </c>
      <c r="I3117" s="17"/>
      <c r="J3117" s="17"/>
      <c r="P3117" s="17"/>
      <c r="Q3117" s="17"/>
    </row>
    <row r="3118" spans="2:17">
      <c r="B3118" s="17"/>
      <c r="C3118" s="16" t="str">
        <f>IFERROR(VLOOKUP(DATA!#REF!,DATA!#REF!,1,FALSE),"")</f>
        <v/>
      </c>
      <c r="D3118" s="16" t="str">
        <f>IFERROR(VLOOKUP(C3118,DATA!#REF!,2,FALSE),"")</f>
        <v/>
      </c>
      <c r="I3118" s="17"/>
      <c r="J3118" s="17"/>
      <c r="P3118" s="17"/>
      <c r="Q3118" s="17"/>
    </row>
    <row r="3119" spans="2:17">
      <c r="B3119" s="17"/>
      <c r="C3119" s="16" t="str">
        <f>IFERROR(VLOOKUP(DATA!#REF!,DATA!#REF!,1,FALSE),"")</f>
        <v/>
      </c>
      <c r="D3119" s="16" t="str">
        <f>IFERROR(VLOOKUP(C3119,DATA!#REF!,2,FALSE),"")</f>
        <v/>
      </c>
      <c r="I3119" s="17"/>
      <c r="J3119" s="17"/>
      <c r="P3119" s="17"/>
      <c r="Q3119" s="17"/>
    </row>
    <row r="3120" spans="2:17">
      <c r="B3120" s="17"/>
      <c r="C3120" s="16" t="str">
        <f>IFERROR(VLOOKUP(DATA!#REF!,DATA!#REF!,1,FALSE),"")</f>
        <v/>
      </c>
      <c r="D3120" s="16" t="str">
        <f>IFERROR(VLOOKUP(C3120,DATA!#REF!,2,FALSE),"")</f>
        <v/>
      </c>
      <c r="I3120" s="17"/>
      <c r="J3120" s="17"/>
      <c r="P3120" s="17"/>
      <c r="Q3120" s="17"/>
    </row>
    <row r="3121" spans="2:17">
      <c r="B3121" s="17"/>
      <c r="C3121" s="16" t="str">
        <f>IFERROR(VLOOKUP(DATA!#REF!,DATA!#REF!,1,FALSE),"")</f>
        <v/>
      </c>
      <c r="D3121" s="16" t="str">
        <f>IFERROR(VLOOKUP(C3121,DATA!#REF!,2,FALSE),"")</f>
        <v/>
      </c>
      <c r="I3121" s="17"/>
      <c r="J3121" s="17"/>
      <c r="P3121" s="17"/>
      <c r="Q3121" s="17"/>
    </row>
    <row r="3122" spans="2:17">
      <c r="B3122" s="17"/>
      <c r="C3122" s="16" t="str">
        <f>IFERROR(VLOOKUP(DATA!#REF!,DATA!#REF!,1,FALSE),"")</f>
        <v/>
      </c>
      <c r="D3122" s="16" t="str">
        <f>IFERROR(VLOOKUP(C3122,DATA!#REF!,2,FALSE),"")</f>
        <v/>
      </c>
      <c r="I3122" s="17"/>
      <c r="J3122" s="17"/>
      <c r="P3122" s="17"/>
      <c r="Q3122" s="17"/>
    </row>
    <row r="3123" spans="2:17">
      <c r="B3123" s="17"/>
      <c r="C3123" s="16" t="str">
        <f>IFERROR(VLOOKUP(DATA!#REF!,DATA!#REF!,1,FALSE),"")</f>
        <v/>
      </c>
      <c r="D3123" s="16" t="str">
        <f>IFERROR(VLOOKUP(C3123,DATA!#REF!,2,FALSE),"")</f>
        <v/>
      </c>
      <c r="I3123" s="17"/>
      <c r="J3123" s="17"/>
      <c r="P3123" s="17"/>
      <c r="Q3123" s="17"/>
    </row>
    <row r="3124" spans="2:17">
      <c r="B3124" s="17"/>
      <c r="C3124" s="16" t="str">
        <f>IFERROR(VLOOKUP(DATA!#REF!,DATA!#REF!,1,FALSE),"")</f>
        <v/>
      </c>
      <c r="D3124" s="16" t="str">
        <f>IFERROR(VLOOKUP(C3124,DATA!#REF!,2,FALSE),"")</f>
        <v/>
      </c>
      <c r="I3124" s="17"/>
      <c r="J3124" s="17"/>
      <c r="P3124" s="17"/>
      <c r="Q3124" s="17"/>
    </row>
    <row r="3125" spans="2:17">
      <c r="B3125" s="17"/>
      <c r="C3125" s="16" t="str">
        <f>IFERROR(VLOOKUP(DATA!#REF!,DATA!#REF!,1,FALSE),"")</f>
        <v/>
      </c>
      <c r="D3125" s="16" t="str">
        <f>IFERROR(VLOOKUP(C3125,DATA!#REF!,2,FALSE),"")</f>
        <v/>
      </c>
      <c r="I3125" s="17"/>
      <c r="J3125" s="17"/>
      <c r="P3125" s="17"/>
      <c r="Q3125" s="17"/>
    </row>
    <row r="3126" spans="2:17">
      <c r="B3126" s="17"/>
      <c r="C3126" s="16" t="str">
        <f>IFERROR(VLOOKUP(DATA!#REF!,DATA!#REF!,1,FALSE),"")</f>
        <v/>
      </c>
      <c r="D3126" s="16" t="str">
        <f>IFERROR(VLOOKUP(C3126,DATA!#REF!,2,FALSE),"")</f>
        <v/>
      </c>
      <c r="I3126" s="17"/>
      <c r="J3126" s="17"/>
      <c r="P3126" s="17"/>
      <c r="Q3126" s="17"/>
    </row>
    <row r="3127" spans="2:17">
      <c r="B3127" s="17"/>
      <c r="C3127" s="16" t="str">
        <f>IFERROR(VLOOKUP(DATA!#REF!,DATA!#REF!,1,FALSE),"")</f>
        <v/>
      </c>
      <c r="D3127" s="16" t="str">
        <f>IFERROR(VLOOKUP(C3127,DATA!#REF!,2,FALSE),"")</f>
        <v/>
      </c>
      <c r="I3127" s="17"/>
      <c r="J3127" s="17"/>
      <c r="P3127" s="17"/>
      <c r="Q3127" s="17"/>
    </row>
    <row r="3128" spans="2:17">
      <c r="B3128" s="17"/>
      <c r="C3128" s="16" t="str">
        <f>IFERROR(VLOOKUP(DATA!#REF!,DATA!#REF!,1,FALSE),"")</f>
        <v/>
      </c>
      <c r="D3128" s="16" t="str">
        <f>IFERROR(VLOOKUP(C3128,DATA!#REF!,2,FALSE),"")</f>
        <v/>
      </c>
      <c r="I3128" s="17"/>
      <c r="J3128" s="17"/>
      <c r="P3128" s="17"/>
      <c r="Q3128" s="17"/>
    </row>
    <row r="3129" spans="2:17">
      <c r="B3129" s="17"/>
      <c r="C3129" s="16" t="str">
        <f>IFERROR(VLOOKUP(DATA!#REF!,DATA!#REF!,1,FALSE),"")</f>
        <v/>
      </c>
      <c r="D3129" s="16" t="str">
        <f>IFERROR(VLOOKUP(C3129,DATA!#REF!,2,FALSE),"")</f>
        <v/>
      </c>
      <c r="I3129" s="17"/>
      <c r="J3129" s="17"/>
      <c r="P3129" s="17"/>
      <c r="Q3129" s="17"/>
    </row>
    <row r="3130" spans="2:17">
      <c r="B3130" s="17"/>
      <c r="C3130" s="16" t="str">
        <f>IFERROR(VLOOKUP(DATA!#REF!,DATA!#REF!,1,FALSE),"")</f>
        <v/>
      </c>
      <c r="D3130" s="16" t="str">
        <f>IFERROR(VLOOKUP(C3130,DATA!#REF!,2,FALSE),"")</f>
        <v/>
      </c>
      <c r="I3130" s="17"/>
      <c r="J3130" s="17"/>
      <c r="P3130" s="17"/>
      <c r="Q3130" s="17"/>
    </row>
    <row r="3131" spans="2:17">
      <c r="B3131" s="17"/>
      <c r="C3131" s="16" t="str">
        <f>IFERROR(VLOOKUP(DATA!#REF!,DATA!#REF!,1,FALSE),"")</f>
        <v/>
      </c>
      <c r="D3131" s="16" t="str">
        <f>IFERROR(VLOOKUP(C3131,DATA!#REF!,2,FALSE),"")</f>
        <v/>
      </c>
      <c r="I3131" s="17"/>
      <c r="J3131" s="17"/>
      <c r="P3131" s="17"/>
      <c r="Q3131" s="17"/>
    </row>
    <row r="3132" spans="2:17">
      <c r="B3132" s="17"/>
      <c r="C3132" s="16" t="str">
        <f>IFERROR(VLOOKUP(DATA!#REF!,DATA!#REF!,1,FALSE),"")</f>
        <v/>
      </c>
      <c r="D3132" s="16" t="str">
        <f>IFERROR(VLOOKUP(C3132,DATA!#REF!,2,FALSE),"")</f>
        <v/>
      </c>
      <c r="I3132" s="17"/>
      <c r="J3132" s="17"/>
      <c r="P3132" s="17"/>
      <c r="Q3132" s="17"/>
    </row>
    <row r="3133" spans="2:17">
      <c r="B3133" s="17"/>
      <c r="C3133" s="16" t="str">
        <f>IFERROR(VLOOKUP(DATA!#REF!,DATA!#REF!,1,FALSE),"")</f>
        <v/>
      </c>
      <c r="D3133" s="16" t="str">
        <f>IFERROR(VLOOKUP(C3133,DATA!#REF!,2,FALSE),"")</f>
        <v/>
      </c>
      <c r="I3133" s="17"/>
      <c r="J3133" s="17"/>
      <c r="P3133" s="17"/>
      <c r="Q3133" s="17"/>
    </row>
    <row r="3134" spans="2:17">
      <c r="B3134" s="17"/>
      <c r="C3134" s="16" t="str">
        <f>IFERROR(VLOOKUP(DATA!#REF!,DATA!#REF!,1,FALSE),"")</f>
        <v/>
      </c>
      <c r="D3134" s="16" t="str">
        <f>IFERROR(VLOOKUP(C3134,DATA!#REF!,2,FALSE),"")</f>
        <v/>
      </c>
      <c r="I3134" s="17"/>
      <c r="J3134" s="17"/>
      <c r="P3134" s="17"/>
      <c r="Q3134" s="17"/>
    </row>
    <row r="3135" spans="2:17">
      <c r="B3135" s="17"/>
      <c r="C3135" s="16" t="str">
        <f>IFERROR(VLOOKUP(DATA!#REF!,DATA!#REF!,1,FALSE),"")</f>
        <v/>
      </c>
      <c r="D3135" s="16" t="str">
        <f>IFERROR(VLOOKUP(C3135,DATA!#REF!,2,FALSE),"")</f>
        <v/>
      </c>
      <c r="I3135" s="17"/>
      <c r="J3135" s="17"/>
      <c r="P3135" s="17"/>
      <c r="Q3135" s="17"/>
    </row>
    <row r="3136" spans="2:17">
      <c r="B3136" s="17"/>
      <c r="C3136" s="16" t="str">
        <f>IFERROR(VLOOKUP(DATA!#REF!,DATA!#REF!,1,FALSE),"")</f>
        <v/>
      </c>
      <c r="D3136" s="16" t="str">
        <f>IFERROR(VLOOKUP(C3136,DATA!#REF!,2,FALSE),"")</f>
        <v/>
      </c>
      <c r="I3136" s="17"/>
      <c r="J3136" s="17"/>
      <c r="P3136" s="17"/>
      <c r="Q3136" s="17"/>
    </row>
    <row r="3137" spans="2:17">
      <c r="B3137" s="17"/>
      <c r="C3137" s="16" t="str">
        <f>IFERROR(VLOOKUP(DATA!#REF!,DATA!#REF!,1,FALSE),"")</f>
        <v/>
      </c>
      <c r="D3137" s="16" t="str">
        <f>IFERROR(VLOOKUP(C3137,DATA!#REF!,2,FALSE),"")</f>
        <v/>
      </c>
      <c r="I3137" s="17"/>
      <c r="J3137" s="17"/>
      <c r="P3137" s="17"/>
      <c r="Q3137" s="17"/>
    </row>
    <row r="3138" spans="2:17">
      <c r="B3138" s="17"/>
      <c r="C3138" s="16" t="str">
        <f>IFERROR(VLOOKUP(DATA!#REF!,DATA!#REF!,1,FALSE),"")</f>
        <v/>
      </c>
      <c r="D3138" s="16" t="str">
        <f>IFERROR(VLOOKUP(C3138,DATA!#REF!,2,FALSE),"")</f>
        <v/>
      </c>
      <c r="I3138" s="17"/>
      <c r="J3138" s="17"/>
      <c r="P3138" s="17"/>
      <c r="Q3138" s="17"/>
    </row>
    <row r="3139" spans="2:17">
      <c r="B3139" s="17"/>
      <c r="C3139" s="16" t="str">
        <f>IFERROR(VLOOKUP(DATA!#REF!,DATA!#REF!,1,FALSE),"")</f>
        <v/>
      </c>
      <c r="D3139" s="16" t="str">
        <f>IFERROR(VLOOKUP(C3139,DATA!#REF!,2,FALSE),"")</f>
        <v/>
      </c>
      <c r="I3139" s="17"/>
      <c r="J3139" s="17"/>
      <c r="P3139" s="17"/>
      <c r="Q3139" s="17"/>
    </row>
    <row r="3140" spans="2:17">
      <c r="B3140" s="17"/>
      <c r="C3140" s="16" t="str">
        <f>IFERROR(VLOOKUP(DATA!#REF!,DATA!#REF!,1,FALSE),"")</f>
        <v/>
      </c>
      <c r="D3140" s="16" t="str">
        <f>IFERROR(VLOOKUP(C3140,DATA!#REF!,2,FALSE),"")</f>
        <v/>
      </c>
      <c r="I3140" s="17"/>
      <c r="J3140" s="17"/>
      <c r="P3140" s="17"/>
      <c r="Q3140" s="17"/>
    </row>
    <row r="3141" spans="2:17">
      <c r="B3141" s="17"/>
      <c r="C3141" s="16" t="str">
        <f>IFERROR(VLOOKUP(DATA!#REF!,DATA!#REF!,1,FALSE),"")</f>
        <v/>
      </c>
      <c r="D3141" s="16" t="str">
        <f>IFERROR(VLOOKUP(C3141,DATA!#REF!,2,FALSE),"")</f>
        <v/>
      </c>
      <c r="I3141" s="17"/>
      <c r="J3141" s="17"/>
      <c r="P3141" s="17"/>
      <c r="Q3141" s="17"/>
    </row>
    <row r="3142" spans="2:17">
      <c r="B3142" s="17"/>
      <c r="C3142" s="16" t="str">
        <f>IFERROR(VLOOKUP(DATA!#REF!,DATA!#REF!,1,FALSE),"")</f>
        <v/>
      </c>
      <c r="D3142" s="16" t="str">
        <f>IFERROR(VLOOKUP(C3142,DATA!#REF!,2,FALSE),"")</f>
        <v/>
      </c>
      <c r="I3142" s="17"/>
      <c r="J3142" s="17"/>
      <c r="P3142" s="17"/>
      <c r="Q3142" s="17"/>
    </row>
    <row r="3143" spans="2:17">
      <c r="B3143" s="17"/>
      <c r="C3143" s="16" t="str">
        <f>IFERROR(VLOOKUP(DATA!#REF!,DATA!#REF!,1,FALSE),"")</f>
        <v/>
      </c>
      <c r="D3143" s="16" t="str">
        <f>IFERROR(VLOOKUP(C3143,DATA!#REF!,2,FALSE),"")</f>
        <v/>
      </c>
      <c r="I3143" s="17"/>
      <c r="J3143" s="17"/>
      <c r="P3143" s="17"/>
      <c r="Q3143" s="17"/>
    </row>
    <row r="3144" spans="2:17">
      <c r="B3144" s="17"/>
      <c r="C3144" s="16" t="str">
        <f>IFERROR(VLOOKUP(DATA!#REF!,DATA!#REF!,1,FALSE),"")</f>
        <v/>
      </c>
      <c r="D3144" s="16" t="str">
        <f>IFERROR(VLOOKUP(C3144,DATA!#REF!,2,FALSE),"")</f>
        <v/>
      </c>
      <c r="I3144" s="17"/>
      <c r="J3144" s="17"/>
      <c r="P3144" s="17"/>
      <c r="Q3144" s="17"/>
    </row>
    <row r="3145" spans="2:17">
      <c r="B3145" s="17"/>
      <c r="C3145" s="16" t="str">
        <f>IFERROR(VLOOKUP(DATA!#REF!,DATA!#REF!,1,FALSE),"")</f>
        <v/>
      </c>
      <c r="D3145" s="16" t="str">
        <f>IFERROR(VLOOKUP(C3145,DATA!#REF!,2,FALSE),"")</f>
        <v/>
      </c>
      <c r="I3145" s="17"/>
      <c r="J3145" s="17"/>
      <c r="P3145" s="17"/>
      <c r="Q3145" s="17"/>
    </row>
    <row r="3146" spans="2:17">
      <c r="B3146" s="17"/>
      <c r="C3146" s="16" t="str">
        <f>IFERROR(VLOOKUP(DATA!#REF!,DATA!#REF!,1,FALSE),"")</f>
        <v/>
      </c>
      <c r="D3146" s="16" t="str">
        <f>IFERROR(VLOOKUP(C3146,DATA!#REF!,2,FALSE),"")</f>
        <v/>
      </c>
      <c r="I3146" s="17"/>
      <c r="J3146" s="17"/>
      <c r="P3146" s="17"/>
      <c r="Q3146" s="17"/>
    </row>
    <row r="3147" spans="2:17">
      <c r="B3147" s="17"/>
      <c r="C3147" s="16" t="str">
        <f>IFERROR(VLOOKUP(DATA!#REF!,DATA!#REF!,1,FALSE),"")</f>
        <v/>
      </c>
      <c r="D3147" s="16" t="str">
        <f>IFERROR(VLOOKUP(C3147,DATA!#REF!,2,FALSE),"")</f>
        <v/>
      </c>
      <c r="I3147" s="17"/>
      <c r="J3147" s="17"/>
      <c r="P3147" s="17"/>
      <c r="Q3147" s="17"/>
    </row>
    <row r="3148" spans="2:17">
      <c r="B3148" s="17"/>
      <c r="C3148" s="16" t="str">
        <f>IFERROR(VLOOKUP(DATA!#REF!,DATA!#REF!,1,FALSE),"")</f>
        <v/>
      </c>
      <c r="D3148" s="16" t="str">
        <f>IFERROR(VLOOKUP(C3148,DATA!#REF!,2,FALSE),"")</f>
        <v/>
      </c>
      <c r="I3148" s="17"/>
      <c r="J3148" s="17"/>
      <c r="P3148" s="17"/>
      <c r="Q3148" s="17"/>
    </row>
    <row r="3149" spans="2:17">
      <c r="B3149" s="17"/>
      <c r="C3149" s="16" t="str">
        <f>IFERROR(VLOOKUP(DATA!#REF!,DATA!#REF!,1,FALSE),"")</f>
        <v/>
      </c>
      <c r="D3149" s="16" t="str">
        <f>IFERROR(VLOOKUP(C3149,DATA!#REF!,2,FALSE),"")</f>
        <v/>
      </c>
      <c r="I3149" s="17"/>
      <c r="J3149" s="17"/>
      <c r="P3149" s="17"/>
      <c r="Q3149" s="17"/>
    </row>
    <row r="3150" spans="2:17">
      <c r="B3150" s="17"/>
      <c r="C3150" s="16" t="str">
        <f>IFERROR(VLOOKUP(DATA!#REF!,DATA!#REF!,1,FALSE),"")</f>
        <v/>
      </c>
      <c r="D3150" s="16" t="str">
        <f>IFERROR(VLOOKUP(C3150,DATA!#REF!,2,FALSE),"")</f>
        <v/>
      </c>
      <c r="I3150" s="17"/>
      <c r="J3150" s="17"/>
      <c r="P3150" s="17"/>
      <c r="Q3150" s="17"/>
    </row>
    <row r="3151" spans="2:17">
      <c r="B3151" s="17"/>
      <c r="C3151" s="16" t="str">
        <f>IFERROR(VLOOKUP(DATA!#REF!,DATA!#REF!,1,FALSE),"")</f>
        <v/>
      </c>
      <c r="D3151" s="16" t="str">
        <f>IFERROR(VLOOKUP(C3151,DATA!#REF!,2,FALSE),"")</f>
        <v/>
      </c>
      <c r="I3151" s="17"/>
      <c r="J3151" s="17"/>
      <c r="P3151" s="17"/>
      <c r="Q3151" s="17"/>
    </row>
    <row r="3152" spans="2:17">
      <c r="B3152" s="17"/>
      <c r="C3152" s="16" t="str">
        <f>IFERROR(VLOOKUP(DATA!#REF!,DATA!#REF!,1,FALSE),"")</f>
        <v/>
      </c>
      <c r="D3152" s="16" t="str">
        <f>IFERROR(VLOOKUP(C3152,DATA!#REF!,2,FALSE),"")</f>
        <v/>
      </c>
      <c r="I3152" s="17"/>
      <c r="J3152" s="17"/>
      <c r="P3152" s="17"/>
      <c r="Q3152" s="17"/>
    </row>
    <row r="3153" spans="2:17">
      <c r="B3153" s="17"/>
      <c r="C3153" s="16" t="str">
        <f>IFERROR(VLOOKUP(DATA!#REF!,DATA!#REF!,1,FALSE),"")</f>
        <v/>
      </c>
      <c r="D3153" s="16" t="str">
        <f>IFERROR(VLOOKUP(C3153,DATA!#REF!,2,FALSE),"")</f>
        <v/>
      </c>
      <c r="I3153" s="17"/>
      <c r="J3153" s="17"/>
      <c r="P3153" s="17"/>
      <c r="Q3153" s="17"/>
    </row>
    <row r="3154" spans="2:17">
      <c r="B3154" s="17"/>
      <c r="C3154" s="16" t="str">
        <f>IFERROR(VLOOKUP(DATA!#REF!,DATA!#REF!,1,FALSE),"")</f>
        <v/>
      </c>
      <c r="D3154" s="16" t="str">
        <f>IFERROR(VLOOKUP(C3154,DATA!#REF!,2,FALSE),"")</f>
        <v/>
      </c>
      <c r="I3154" s="17"/>
      <c r="J3154" s="17"/>
      <c r="P3154" s="17"/>
      <c r="Q3154" s="17"/>
    </row>
    <row r="3155" spans="2:17">
      <c r="B3155" s="17"/>
      <c r="C3155" s="16" t="str">
        <f>IFERROR(VLOOKUP(DATA!#REF!,DATA!#REF!,1,FALSE),"")</f>
        <v/>
      </c>
      <c r="D3155" s="16" t="str">
        <f>IFERROR(VLOOKUP(C3155,DATA!#REF!,2,FALSE),"")</f>
        <v/>
      </c>
      <c r="I3155" s="17"/>
      <c r="J3155" s="17"/>
      <c r="P3155" s="17"/>
      <c r="Q3155" s="17"/>
    </row>
    <row r="3156" spans="2:17">
      <c r="B3156" s="17"/>
      <c r="C3156" s="16" t="str">
        <f>IFERROR(VLOOKUP(DATA!#REF!,DATA!#REF!,1,FALSE),"")</f>
        <v/>
      </c>
      <c r="D3156" s="16" t="str">
        <f>IFERROR(VLOOKUP(C3156,DATA!#REF!,2,FALSE),"")</f>
        <v/>
      </c>
      <c r="I3156" s="17"/>
      <c r="J3156" s="17"/>
      <c r="P3156" s="17"/>
      <c r="Q3156" s="17"/>
    </row>
    <row r="3157" spans="2:17">
      <c r="B3157" s="17"/>
      <c r="C3157" s="16" t="str">
        <f>IFERROR(VLOOKUP(DATA!#REF!,DATA!#REF!,1,FALSE),"")</f>
        <v/>
      </c>
      <c r="D3157" s="16" t="str">
        <f>IFERROR(VLOOKUP(C3157,DATA!#REF!,2,FALSE),"")</f>
        <v/>
      </c>
      <c r="I3157" s="17"/>
      <c r="J3157" s="17"/>
      <c r="P3157" s="17"/>
      <c r="Q3157" s="17"/>
    </row>
    <row r="3158" spans="2:17">
      <c r="B3158" s="17"/>
      <c r="C3158" s="16" t="str">
        <f>IFERROR(VLOOKUP(DATA!#REF!,DATA!#REF!,1,FALSE),"")</f>
        <v/>
      </c>
      <c r="D3158" s="16" t="str">
        <f>IFERROR(VLOOKUP(C3158,DATA!#REF!,2,FALSE),"")</f>
        <v/>
      </c>
      <c r="I3158" s="17"/>
      <c r="J3158" s="17"/>
      <c r="P3158" s="17"/>
      <c r="Q3158" s="17"/>
    </row>
    <row r="3159" spans="2:17">
      <c r="B3159" s="17"/>
      <c r="C3159" s="16" t="str">
        <f>IFERROR(VLOOKUP(DATA!#REF!,DATA!#REF!,1,FALSE),"")</f>
        <v/>
      </c>
      <c r="D3159" s="16" t="str">
        <f>IFERROR(VLOOKUP(C3159,DATA!#REF!,2,FALSE),"")</f>
        <v/>
      </c>
      <c r="I3159" s="17"/>
      <c r="J3159" s="17"/>
      <c r="P3159" s="17"/>
      <c r="Q3159" s="17"/>
    </row>
    <row r="3160" spans="2:17">
      <c r="B3160" s="17"/>
      <c r="C3160" s="16" t="str">
        <f>IFERROR(VLOOKUP(DATA!#REF!,DATA!#REF!,1,FALSE),"")</f>
        <v/>
      </c>
      <c r="D3160" s="16" t="str">
        <f>IFERROR(VLOOKUP(C3160,DATA!#REF!,2,FALSE),"")</f>
        <v/>
      </c>
      <c r="I3160" s="17"/>
      <c r="J3160" s="17"/>
      <c r="P3160" s="17"/>
      <c r="Q3160" s="17"/>
    </row>
    <row r="3161" spans="2:17">
      <c r="B3161" s="17"/>
      <c r="C3161" s="16" t="str">
        <f>IFERROR(VLOOKUP(DATA!#REF!,DATA!#REF!,1,FALSE),"")</f>
        <v/>
      </c>
      <c r="D3161" s="16" t="str">
        <f>IFERROR(VLOOKUP(C3161,DATA!#REF!,2,FALSE),"")</f>
        <v/>
      </c>
      <c r="I3161" s="17"/>
      <c r="J3161" s="17"/>
      <c r="P3161" s="17"/>
      <c r="Q3161" s="17"/>
    </row>
    <row r="3162" spans="2:17">
      <c r="B3162" s="17"/>
      <c r="C3162" s="16" t="str">
        <f>IFERROR(VLOOKUP(DATA!#REF!,DATA!#REF!,1,FALSE),"")</f>
        <v/>
      </c>
      <c r="D3162" s="16" t="str">
        <f>IFERROR(VLOOKUP(C3162,DATA!#REF!,2,FALSE),"")</f>
        <v/>
      </c>
      <c r="I3162" s="17"/>
      <c r="J3162" s="17"/>
      <c r="P3162" s="17"/>
      <c r="Q3162" s="17"/>
    </row>
    <row r="3163" spans="2:17">
      <c r="B3163" s="17"/>
      <c r="C3163" s="16" t="str">
        <f>IFERROR(VLOOKUP(DATA!#REF!,DATA!#REF!,1,FALSE),"")</f>
        <v/>
      </c>
      <c r="D3163" s="16" t="str">
        <f>IFERROR(VLOOKUP(C3163,DATA!#REF!,2,FALSE),"")</f>
        <v/>
      </c>
      <c r="I3163" s="17"/>
      <c r="J3163" s="17"/>
      <c r="P3163" s="17"/>
      <c r="Q3163" s="17"/>
    </row>
    <row r="3164" spans="2:17">
      <c r="B3164" s="17"/>
      <c r="C3164" s="16" t="str">
        <f>IFERROR(VLOOKUP(DATA!#REF!,DATA!#REF!,1,FALSE),"")</f>
        <v/>
      </c>
      <c r="D3164" s="16" t="str">
        <f>IFERROR(VLOOKUP(C3164,DATA!#REF!,2,FALSE),"")</f>
        <v/>
      </c>
      <c r="I3164" s="17"/>
      <c r="J3164" s="17"/>
      <c r="P3164" s="17"/>
      <c r="Q3164" s="17"/>
    </row>
    <row r="3165" spans="2:17">
      <c r="B3165" s="17"/>
      <c r="C3165" s="16" t="str">
        <f>IFERROR(VLOOKUP(DATA!#REF!,DATA!#REF!,1,FALSE),"")</f>
        <v/>
      </c>
      <c r="D3165" s="16" t="str">
        <f>IFERROR(VLOOKUP(C3165,DATA!#REF!,2,FALSE),"")</f>
        <v/>
      </c>
      <c r="I3165" s="17"/>
      <c r="J3165" s="17"/>
      <c r="P3165" s="17"/>
      <c r="Q3165" s="17"/>
    </row>
    <row r="3166" spans="2:17">
      <c r="B3166" s="17"/>
      <c r="C3166" s="16" t="str">
        <f>IFERROR(VLOOKUP(DATA!#REF!,DATA!#REF!,1,FALSE),"")</f>
        <v/>
      </c>
      <c r="D3166" s="16" t="str">
        <f>IFERROR(VLOOKUP(C3166,DATA!#REF!,2,FALSE),"")</f>
        <v/>
      </c>
      <c r="I3166" s="17"/>
      <c r="J3166" s="17"/>
      <c r="P3166" s="17"/>
      <c r="Q3166" s="17"/>
    </row>
    <row r="3167" spans="2:17">
      <c r="B3167" s="17"/>
      <c r="C3167" s="16" t="str">
        <f>IFERROR(VLOOKUP(DATA!#REF!,DATA!#REF!,1,FALSE),"")</f>
        <v/>
      </c>
      <c r="D3167" s="16" t="str">
        <f>IFERROR(VLOOKUP(C3167,DATA!#REF!,2,FALSE),"")</f>
        <v/>
      </c>
      <c r="I3167" s="17"/>
      <c r="J3167" s="17"/>
      <c r="P3167" s="17"/>
      <c r="Q3167" s="17"/>
    </row>
    <row r="3168" spans="2:17">
      <c r="B3168" s="17"/>
      <c r="C3168" s="16" t="str">
        <f>IFERROR(VLOOKUP(DATA!#REF!,DATA!#REF!,1,FALSE),"")</f>
        <v/>
      </c>
      <c r="D3168" s="16" t="str">
        <f>IFERROR(VLOOKUP(C3168,DATA!#REF!,2,FALSE),"")</f>
        <v/>
      </c>
      <c r="I3168" s="17"/>
      <c r="J3168" s="17"/>
      <c r="P3168" s="17"/>
      <c r="Q3168" s="17"/>
    </row>
    <row r="3169" spans="2:17">
      <c r="B3169" s="17"/>
      <c r="C3169" s="16" t="str">
        <f>IFERROR(VLOOKUP(DATA!#REF!,DATA!#REF!,1,FALSE),"")</f>
        <v/>
      </c>
      <c r="D3169" s="16" t="str">
        <f>IFERROR(VLOOKUP(C3169,DATA!#REF!,2,FALSE),"")</f>
        <v/>
      </c>
      <c r="I3169" s="17"/>
      <c r="J3169" s="17"/>
      <c r="P3169" s="17"/>
      <c r="Q3169" s="17"/>
    </row>
    <row r="3170" spans="2:17">
      <c r="B3170" s="17"/>
      <c r="C3170" s="16" t="str">
        <f>IFERROR(VLOOKUP(DATA!#REF!,DATA!#REF!,1,FALSE),"")</f>
        <v/>
      </c>
      <c r="D3170" s="16" t="str">
        <f>IFERROR(VLOOKUP(C3170,DATA!#REF!,2,FALSE),"")</f>
        <v/>
      </c>
      <c r="I3170" s="17"/>
      <c r="J3170" s="17"/>
      <c r="P3170" s="17"/>
      <c r="Q3170" s="17"/>
    </row>
    <row r="3171" spans="2:17">
      <c r="B3171" s="17"/>
      <c r="C3171" s="16" t="str">
        <f>IFERROR(VLOOKUP(DATA!#REF!,DATA!#REF!,1,FALSE),"")</f>
        <v/>
      </c>
      <c r="D3171" s="16" t="str">
        <f>IFERROR(VLOOKUP(C3171,DATA!#REF!,2,FALSE),"")</f>
        <v/>
      </c>
      <c r="I3171" s="17"/>
      <c r="J3171" s="17"/>
      <c r="P3171" s="17"/>
      <c r="Q3171" s="17"/>
    </row>
    <row r="3172" spans="2:17">
      <c r="B3172" s="17"/>
      <c r="C3172" s="16" t="str">
        <f>IFERROR(VLOOKUP(DATA!#REF!,DATA!#REF!,1,FALSE),"")</f>
        <v/>
      </c>
      <c r="D3172" s="16" t="str">
        <f>IFERROR(VLOOKUP(C3172,DATA!#REF!,2,FALSE),"")</f>
        <v/>
      </c>
      <c r="I3172" s="17"/>
      <c r="J3172" s="17"/>
      <c r="P3172" s="17"/>
      <c r="Q3172" s="17"/>
    </row>
    <row r="3173" spans="2:17">
      <c r="B3173" s="17"/>
      <c r="C3173" s="16" t="str">
        <f>IFERROR(VLOOKUP(DATA!#REF!,DATA!#REF!,1,FALSE),"")</f>
        <v/>
      </c>
      <c r="D3173" s="16" t="str">
        <f>IFERROR(VLOOKUP(C3173,DATA!#REF!,2,FALSE),"")</f>
        <v/>
      </c>
      <c r="I3173" s="17"/>
      <c r="J3173" s="17"/>
      <c r="P3173" s="17"/>
      <c r="Q3173" s="17"/>
    </row>
    <row r="3174" spans="2:17">
      <c r="B3174" s="17"/>
      <c r="C3174" s="16" t="str">
        <f>IFERROR(VLOOKUP(DATA!#REF!,DATA!#REF!,1,FALSE),"")</f>
        <v/>
      </c>
      <c r="D3174" s="16" t="str">
        <f>IFERROR(VLOOKUP(C3174,DATA!#REF!,2,FALSE),"")</f>
        <v/>
      </c>
      <c r="I3174" s="17"/>
      <c r="J3174" s="17"/>
      <c r="P3174" s="17"/>
      <c r="Q3174" s="17"/>
    </row>
    <row r="3175" spans="2:17">
      <c r="B3175" s="17"/>
      <c r="C3175" s="16" t="str">
        <f>IFERROR(VLOOKUP(DATA!#REF!,DATA!#REF!,1,FALSE),"")</f>
        <v/>
      </c>
      <c r="D3175" s="16" t="str">
        <f>IFERROR(VLOOKUP(C3175,DATA!#REF!,2,FALSE),"")</f>
        <v/>
      </c>
      <c r="I3175" s="17"/>
      <c r="J3175" s="17"/>
      <c r="P3175" s="17"/>
      <c r="Q3175" s="17"/>
    </row>
    <row r="3176" spans="2:17">
      <c r="B3176" s="17"/>
      <c r="C3176" s="16" t="str">
        <f>IFERROR(VLOOKUP(DATA!#REF!,DATA!#REF!,1,FALSE),"")</f>
        <v/>
      </c>
      <c r="D3176" s="16" t="str">
        <f>IFERROR(VLOOKUP(C3176,DATA!#REF!,2,FALSE),"")</f>
        <v/>
      </c>
      <c r="I3176" s="17"/>
      <c r="J3176" s="17"/>
      <c r="P3176" s="17"/>
      <c r="Q3176" s="17"/>
    </row>
    <row r="3177" spans="2:17">
      <c r="B3177" s="17"/>
      <c r="C3177" s="16" t="str">
        <f>IFERROR(VLOOKUP(DATA!#REF!,DATA!#REF!,1,FALSE),"")</f>
        <v/>
      </c>
      <c r="D3177" s="16" t="str">
        <f>IFERROR(VLOOKUP(C3177,DATA!#REF!,2,FALSE),"")</f>
        <v/>
      </c>
      <c r="I3177" s="17"/>
      <c r="J3177" s="17"/>
      <c r="P3177" s="17"/>
      <c r="Q3177" s="17"/>
    </row>
    <row r="3178" spans="2:17">
      <c r="B3178" s="17"/>
      <c r="C3178" s="16" t="str">
        <f>IFERROR(VLOOKUP(DATA!#REF!,DATA!#REF!,1,FALSE),"")</f>
        <v/>
      </c>
      <c r="D3178" s="16" t="str">
        <f>IFERROR(VLOOKUP(C3178,DATA!#REF!,2,FALSE),"")</f>
        <v/>
      </c>
      <c r="I3178" s="17"/>
      <c r="J3178" s="17"/>
      <c r="P3178" s="17"/>
      <c r="Q3178" s="17"/>
    </row>
    <row r="3179" spans="2:17">
      <c r="B3179" s="17"/>
      <c r="C3179" s="16" t="str">
        <f>IFERROR(VLOOKUP(DATA!#REF!,DATA!#REF!,1,FALSE),"")</f>
        <v/>
      </c>
      <c r="D3179" s="16" t="str">
        <f>IFERROR(VLOOKUP(C3179,DATA!#REF!,2,FALSE),"")</f>
        <v/>
      </c>
      <c r="I3179" s="17"/>
      <c r="J3179" s="17"/>
      <c r="P3179" s="17"/>
      <c r="Q3179" s="17"/>
    </row>
    <row r="3180" spans="2:17">
      <c r="B3180" s="17"/>
      <c r="C3180" s="16" t="str">
        <f>IFERROR(VLOOKUP(DATA!#REF!,DATA!#REF!,1,FALSE),"")</f>
        <v/>
      </c>
      <c r="D3180" s="16" t="str">
        <f>IFERROR(VLOOKUP(C3180,DATA!#REF!,2,FALSE),"")</f>
        <v/>
      </c>
      <c r="I3180" s="17"/>
      <c r="J3180" s="17"/>
      <c r="P3180" s="17"/>
      <c r="Q3180" s="17"/>
    </row>
    <row r="3181" spans="2:17">
      <c r="B3181" s="17"/>
      <c r="C3181" s="16" t="str">
        <f>IFERROR(VLOOKUP(DATA!#REF!,DATA!#REF!,1,FALSE),"")</f>
        <v/>
      </c>
      <c r="D3181" s="16" t="str">
        <f>IFERROR(VLOOKUP(C3181,DATA!#REF!,2,FALSE),"")</f>
        <v/>
      </c>
      <c r="I3181" s="17"/>
      <c r="J3181" s="17"/>
      <c r="P3181" s="17"/>
      <c r="Q3181" s="17"/>
    </row>
    <row r="3182" spans="2:17">
      <c r="B3182" s="17"/>
      <c r="C3182" s="16" t="str">
        <f>IFERROR(VLOOKUP(DATA!#REF!,DATA!#REF!,1,FALSE),"")</f>
        <v/>
      </c>
      <c r="D3182" s="16" t="str">
        <f>IFERROR(VLOOKUP(C3182,DATA!#REF!,2,FALSE),"")</f>
        <v/>
      </c>
      <c r="I3182" s="17"/>
      <c r="J3182" s="17"/>
      <c r="P3182" s="17"/>
      <c r="Q3182" s="17"/>
    </row>
    <row r="3183" spans="2:17">
      <c r="B3183" s="17"/>
      <c r="C3183" s="16" t="str">
        <f>IFERROR(VLOOKUP(DATA!#REF!,DATA!#REF!,1,FALSE),"")</f>
        <v/>
      </c>
      <c r="D3183" s="16" t="str">
        <f>IFERROR(VLOOKUP(C3183,DATA!#REF!,2,FALSE),"")</f>
        <v/>
      </c>
      <c r="I3183" s="17"/>
      <c r="J3183" s="17"/>
      <c r="P3183" s="17"/>
      <c r="Q3183" s="17"/>
    </row>
    <row r="3184" spans="2:17">
      <c r="B3184" s="17"/>
      <c r="C3184" s="16" t="str">
        <f>IFERROR(VLOOKUP(DATA!#REF!,DATA!#REF!,1,FALSE),"")</f>
        <v/>
      </c>
      <c r="D3184" s="16" t="str">
        <f>IFERROR(VLOOKUP(C3184,DATA!#REF!,2,FALSE),"")</f>
        <v/>
      </c>
      <c r="I3184" s="17"/>
      <c r="J3184" s="17"/>
      <c r="P3184" s="17"/>
      <c r="Q3184" s="17"/>
    </row>
    <row r="3185" spans="2:17">
      <c r="B3185" s="17"/>
      <c r="C3185" s="16" t="str">
        <f>IFERROR(VLOOKUP(DATA!#REF!,DATA!#REF!,1,FALSE),"")</f>
        <v/>
      </c>
      <c r="D3185" s="16" t="str">
        <f>IFERROR(VLOOKUP(C3185,DATA!#REF!,2,FALSE),"")</f>
        <v/>
      </c>
      <c r="I3185" s="17"/>
      <c r="J3185" s="17"/>
      <c r="P3185" s="17"/>
      <c r="Q3185" s="17"/>
    </row>
    <row r="3186" spans="2:17">
      <c r="B3186" s="17"/>
      <c r="C3186" s="16" t="str">
        <f>IFERROR(VLOOKUP(DATA!#REF!,DATA!#REF!,1,FALSE),"")</f>
        <v/>
      </c>
      <c r="D3186" s="16" t="str">
        <f>IFERROR(VLOOKUP(C3186,DATA!#REF!,2,FALSE),"")</f>
        <v/>
      </c>
      <c r="I3186" s="17"/>
      <c r="J3186" s="17"/>
      <c r="P3186" s="17"/>
      <c r="Q3186" s="17"/>
    </row>
    <row r="3187" spans="2:17">
      <c r="B3187" s="17"/>
      <c r="C3187" s="16" t="str">
        <f>IFERROR(VLOOKUP(DATA!#REF!,DATA!#REF!,1,FALSE),"")</f>
        <v/>
      </c>
      <c r="D3187" s="16" t="str">
        <f>IFERROR(VLOOKUP(C3187,DATA!#REF!,2,FALSE),"")</f>
        <v/>
      </c>
      <c r="I3187" s="17"/>
      <c r="J3187" s="17"/>
      <c r="P3187" s="17"/>
      <c r="Q3187" s="17"/>
    </row>
    <row r="3188" spans="2:17">
      <c r="B3188" s="17"/>
      <c r="C3188" s="16" t="str">
        <f>IFERROR(VLOOKUP(DATA!#REF!,DATA!#REF!,1,FALSE),"")</f>
        <v/>
      </c>
      <c r="D3188" s="16" t="str">
        <f>IFERROR(VLOOKUP(C3188,DATA!#REF!,2,FALSE),"")</f>
        <v/>
      </c>
      <c r="I3188" s="17"/>
      <c r="J3188" s="17"/>
      <c r="P3188" s="17"/>
      <c r="Q3188" s="17"/>
    </row>
    <row r="3189" spans="2:17">
      <c r="B3189" s="17"/>
      <c r="C3189" s="16" t="str">
        <f>IFERROR(VLOOKUP(DATA!#REF!,DATA!#REF!,1,FALSE),"")</f>
        <v/>
      </c>
      <c r="D3189" s="16" t="str">
        <f>IFERROR(VLOOKUP(C3189,DATA!#REF!,2,FALSE),"")</f>
        <v/>
      </c>
      <c r="I3189" s="17"/>
      <c r="J3189" s="17"/>
      <c r="P3189" s="17"/>
      <c r="Q3189" s="17"/>
    </row>
    <row r="3190" spans="2:17">
      <c r="B3190" s="17"/>
      <c r="C3190" s="16" t="str">
        <f>IFERROR(VLOOKUP(DATA!#REF!,DATA!#REF!,1,FALSE),"")</f>
        <v/>
      </c>
      <c r="D3190" s="16" t="str">
        <f>IFERROR(VLOOKUP(C3190,DATA!#REF!,2,FALSE),"")</f>
        <v/>
      </c>
      <c r="I3190" s="17"/>
      <c r="J3190" s="17"/>
      <c r="P3190" s="17"/>
      <c r="Q3190" s="17"/>
    </row>
    <row r="3191" spans="2:17">
      <c r="B3191" s="17"/>
      <c r="C3191" s="16" t="str">
        <f>IFERROR(VLOOKUP(DATA!#REF!,DATA!#REF!,1,FALSE),"")</f>
        <v/>
      </c>
      <c r="D3191" s="16" t="str">
        <f>IFERROR(VLOOKUP(C3191,DATA!#REF!,2,FALSE),"")</f>
        <v/>
      </c>
      <c r="I3191" s="17"/>
      <c r="J3191" s="17"/>
      <c r="P3191" s="17"/>
      <c r="Q3191" s="17"/>
    </row>
    <row r="3192" spans="2:17">
      <c r="B3192" s="17"/>
      <c r="C3192" s="16" t="str">
        <f>IFERROR(VLOOKUP(DATA!#REF!,DATA!#REF!,1,FALSE),"")</f>
        <v/>
      </c>
      <c r="D3192" s="16" t="str">
        <f>IFERROR(VLOOKUP(C3192,DATA!#REF!,2,FALSE),"")</f>
        <v/>
      </c>
      <c r="I3192" s="17"/>
      <c r="J3192" s="17"/>
      <c r="P3192" s="17"/>
      <c r="Q3192" s="17"/>
    </row>
    <row r="3193" spans="2:17">
      <c r="B3193" s="17"/>
      <c r="C3193" s="16" t="str">
        <f>IFERROR(VLOOKUP(DATA!#REF!,DATA!#REF!,1,FALSE),"")</f>
        <v/>
      </c>
      <c r="D3193" s="16" t="str">
        <f>IFERROR(VLOOKUP(C3193,DATA!#REF!,2,FALSE),"")</f>
        <v/>
      </c>
      <c r="I3193" s="17"/>
      <c r="J3193" s="17"/>
      <c r="P3193" s="17"/>
      <c r="Q3193" s="17"/>
    </row>
    <row r="3194" spans="2:17">
      <c r="B3194" s="17"/>
      <c r="C3194" s="16" t="str">
        <f>IFERROR(VLOOKUP(DATA!#REF!,DATA!#REF!,1,FALSE),"")</f>
        <v/>
      </c>
      <c r="D3194" s="16" t="str">
        <f>IFERROR(VLOOKUP(C3194,DATA!#REF!,2,FALSE),"")</f>
        <v/>
      </c>
      <c r="I3194" s="17"/>
      <c r="J3194" s="17"/>
      <c r="P3194" s="17"/>
      <c r="Q3194" s="17"/>
    </row>
    <row r="3195" spans="2:17">
      <c r="B3195" s="17"/>
      <c r="C3195" s="16" t="str">
        <f>IFERROR(VLOOKUP(DATA!#REF!,DATA!#REF!,1,FALSE),"")</f>
        <v/>
      </c>
      <c r="D3195" s="16" t="str">
        <f>IFERROR(VLOOKUP(C3195,DATA!#REF!,2,FALSE),"")</f>
        <v/>
      </c>
      <c r="I3195" s="17"/>
      <c r="J3195" s="17"/>
      <c r="P3195" s="17"/>
      <c r="Q3195" s="17"/>
    </row>
    <row r="3196" spans="2:17">
      <c r="B3196" s="17"/>
      <c r="C3196" s="16" t="str">
        <f>IFERROR(VLOOKUP(DATA!#REF!,DATA!#REF!,1,FALSE),"")</f>
        <v/>
      </c>
      <c r="D3196" s="16" t="str">
        <f>IFERROR(VLOOKUP(C3196,DATA!#REF!,2,FALSE),"")</f>
        <v/>
      </c>
      <c r="I3196" s="17"/>
      <c r="J3196" s="17"/>
      <c r="P3196" s="17"/>
      <c r="Q3196" s="17"/>
    </row>
    <row r="3197" spans="2:17">
      <c r="B3197" s="17"/>
      <c r="C3197" s="16" t="str">
        <f>IFERROR(VLOOKUP(DATA!#REF!,DATA!#REF!,1,FALSE),"")</f>
        <v/>
      </c>
      <c r="D3197" s="16" t="str">
        <f>IFERROR(VLOOKUP(C3197,DATA!#REF!,2,FALSE),"")</f>
        <v/>
      </c>
      <c r="I3197" s="17"/>
      <c r="J3197" s="17"/>
      <c r="P3197" s="17"/>
      <c r="Q3197" s="17"/>
    </row>
    <row r="3198" spans="2:17">
      <c r="B3198" s="17"/>
      <c r="C3198" s="16" t="str">
        <f>IFERROR(VLOOKUP(DATA!#REF!,DATA!#REF!,1,FALSE),"")</f>
        <v/>
      </c>
      <c r="D3198" s="16" t="str">
        <f>IFERROR(VLOOKUP(C3198,DATA!#REF!,2,FALSE),"")</f>
        <v/>
      </c>
      <c r="I3198" s="17"/>
      <c r="J3198" s="17"/>
      <c r="P3198" s="17"/>
      <c r="Q3198" s="17"/>
    </row>
    <row r="3199" spans="2:17">
      <c r="B3199" s="17"/>
      <c r="C3199" s="16" t="str">
        <f>IFERROR(VLOOKUP(DATA!#REF!,DATA!#REF!,1,FALSE),"")</f>
        <v/>
      </c>
      <c r="D3199" s="16" t="str">
        <f>IFERROR(VLOOKUP(C3199,DATA!#REF!,2,FALSE),"")</f>
        <v/>
      </c>
      <c r="I3199" s="17"/>
      <c r="J3199" s="17"/>
      <c r="P3199" s="17"/>
      <c r="Q3199" s="17"/>
    </row>
    <row r="3200" spans="2:17">
      <c r="B3200" s="17"/>
      <c r="C3200" s="16" t="str">
        <f>IFERROR(VLOOKUP(DATA!#REF!,DATA!#REF!,1,FALSE),"")</f>
        <v/>
      </c>
      <c r="D3200" s="16" t="str">
        <f>IFERROR(VLOOKUP(C3200,DATA!#REF!,2,FALSE),"")</f>
        <v/>
      </c>
      <c r="I3200" s="17"/>
      <c r="J3200" s="17"/>
      <c r="P3200" s="17"/>
      <c r="Q3200" s="17"/>
    </row>
    <row r="3201" spans="2:17">
      <c r="B3201" s="17"/>
      <c r="C3201" s="16" t="str">
        <f>IFERROR(VLOOKUP(DATA!#REF!,DATA!#REF!,1,FALSE),"")</f>
        <v/>
      </c>
      <c r="D3201" s="16" t="str">
        <f>IFERROR(VLOOKUP(C3201,DATA!#REF!,2,FALSE),"")</f>
        <v/>
      </c>
      <c r="I3201" s="17"/>
      <c r="J3201" s="17"/>
      <c r="P3201" s="17"/>
      <c r="Q3201" s="17"/>
    </row>
    <row r="3202" spans="2:17">
      <c r="B3202" s="17"/>
      <c r="C3202" s="16" t="str">
        <f>IFERROR(VLOOKUP(DATA!#REF!,DATA!#REF!,1,FALSE),"")</f>
        <v/>
      </c>
      <c r="D3202" s="16" t="str">
        <f>IFERROR(VLOOKUP(C3202,DATA!#REF!,2,FALSE),"")</f>
        <v/>
      </c>
      <c r="I3202" s="17"/>
      <c r="J3202" s="17"/>
      <c r="P3202" s="17"/>
      <c r="Q3202" s="17"/>
    </row>
    <row r="3203" spans="2:17">
      <c r="B3203" s="17"/>
      <c r="C3203" s="16" t="str">
        <f>IFERROR(VLOOKUP(DATA!#REF!,DATA!#REF!,1,FALSE),"")</f>
        <v/>
      </c>
      <c r="D3203" s="16" t="str">
        <f>IFERROR(VLOOKUP(C3203,DATA!#REF!,2,FALSE),"")</f>
        <v/>
      </c>
      <c r="I3203" s="17"/>
      <c r="J3203" s="17"/>
      <c r="P3203" s="17"/>
      <c r="Q3203" s="17"/>
    </row>
    <row r="3204" spans="2:17">
      <c r="B3204" s="17"/>
      <c r="C3204" s="16" t="str">
        <f>IFERROR(VLOOKUP(DATA!#REF!,DATA!#REF!,1,FALSE),"")</f>
        <v/>
      </c>
      <c r="D3204" s="16" t="str">
        <f>IFERROR(VLOOKUP(C3204,DATA!#REF!,2,FALSE),"")</f>
        <v/>
      </c>
      <c r="I3204" s="17"/>
      <c r="J3204" s="17"/>
      <c r="P3204" s="17"/>
      <c r="Q3204" s="17"/>
    </row>
    <row r="3205" spans="2:17">
      <c r="B3205" s="17"/>
      <c r="C3205" s="16" t="str">
        <f>IFERROR(VLOOKUP(DATA!#REF!,DATA!#REF!,1,FALSE),"")</f>
        <v/>
      </c>
      <c r="D3205" s="16" t="str">
        <f>IFERROR(VLOOKUP(C3205,DATA!#REF!,2,FALSE),"")</f>
        <v/>
      </c>
      <c r="I3205" s="17"/>
      <c r="J3205" s="17"/>
      <c r="P3205" s="17"/>
      <c r="Q3205" s="17"/>
    </row>
    <row r="3206" spans="2:17">
      <c r="B3206" s="17"/>
      <c r="C3206" s="16" t="str">
        <f>IFERROR(VLOOKUP(DATA!#REF!,DATA!#REF!,1,FALSE),"")</f>
        <v/>
      </c>
      <c r="D3206" s="16" t="str">
        <f>IFERROR(VLOOKUP(C3206,DATA!#REF!,2,FALSE),"")</f>
        <v/>
      </c>
      <c r="I3206" s="17"/>
      <c r="J3206" s="17"/>
      <c r="P3206" s="17"/>
      <c r="Q3206" s="17"/>
    </row>
    <row r="3207" spans="2:17">
      <c r="B3207" s="17"/>
      <c r="C3207" s="16" t="str">
        <f>IFERROR(VLOOKUP(DATA!#REF!,DATA!#REF!,1,FALSE),"")</f>
        <v/>
      </c>
      <c r="D3207" s="16" t="str">
        <f>IFERROR(VLOOKUP(C3207,DATA!#REF!,2,FALSE),"")</f>
        <v/>
      </c>
      <c r="I3207" s="17"/>
      <c r="J3207" s="17"/>
      <c r="P3207" s="17"/>
      <c r="Q3207" s="17"/>
    </row>
    <row r="3208" spans="2:17">
      <c r="B3208" s="17"/>
      <c r="C3208" s="16" t="str">
        <f>IFERROR(VLOOKUP(DATA!#REF!,DATA!#REF!,1,FALSE),"")</f>
        <v/>
      </c>
      <c r="D3208" s="16" t="str">
        <f>IFERROR(VLOOKUP(C3208,DATA!#REF!,2,FALSE),"")</f>
        <v/>
      </c>
      <c r="I3208" s="17"/>
      <c r="J3208" s="17"/>
      <c r="P3208" s="17"/>
      <c r="Q3208" s="17"/>
    </row>
    <row r="3209" spans="2:17">
      <c r="B3209" s="17"/>
      <c r="C3209" s="16" t="str">
        <f>IFERROR(VLOOKUP(DATA!#REF!,DATA!#REF!,1,FALSE),"")</f>
        <v/>
      </c>
      <c r="D3209" s="16" t="str">
        <f>IFERROR(VLOOKUP(C3209,DATA!#REF!,2,FALSE),"")</f>
        <v/>
      </c>
      <c r="I3209" s="17"/>
      <c r="J3209" s="17"/>
      <c r="P3209" s="17"/>
      <c r="Q3209" s="17"/>
    </row>
    <row r="3210" spans="2:17">
      <c r="B3210" s="17"/>
      <c r="C3210" s="16" t="str">
        <f>IFERROR(VLOOKUP(DATA!#REF!,DATA!#REF!,1,FALSE),"")</f>
        <v/>
      </c>
      <c r="D3210" s="16" t="str">
        <f>IFERROR(VLOOKUP(C3210,DATA!#REF!,2,FALSE),"")</f>
        <v/>
      </c>
      <c r="I3210" s="17"/>
      <c r="J3210" s="17"/>
      <c r="P3210" s="17"/>
      <c r="Q3210" s="17"/>
    </row>
    <row r="3211" spans="2:17">
      <c r="B3211" s="17"/>
      <c r="C3211" s="16" t="str">
        <f>IFERROR(VLOOKUP(DATA!#REF!,DATA!#REF!,1,FALSE),"")</f>
        <v/>
      </c>
      <c r="D3211" s="16" t="str">
        <f>IFERROR(VLOOKUP(C3211,DATA!#REF!,2,FALSE),"")</f>
        <v/>
      </c>
      <c r="I3211" s="17"/>
      <c r="J3211" s="17"/>
      <c r="P3211" s="17"/>
      <c r="Q3211" s="17"/>
    </row>
    <row r="3212" spans="2:17">
      <c r="B3212" s="17"/>
      <c r="C3212" s="16" t="str">
        <f>IFERROR(VLOOKUP(DATA!#REF!,DATA!#REF!,1,FALSE),"")</f>
        <v/>
      </c>
      <c r="D3212" s="16" t="str">
        <f>IFERROR(VLOOKUP(C3212,DATA!#REF!,2,FALSE),"")</f>
        <v/>
      </c>
      <c r="I3212" s="17"/>
      <c r="J3212" s="17"/>
      <c r="P3212" s="17"/>
      <c r="Q3212" s="17"/>
    </row>
    <row r="3213" spans="2:17">
      <c r="B3213" s="17"/>
      <c r="C3213" s="16" t="str">
        <f>IFERROR(VLOOKUP(DATA!#REF!,DATA!#REF!,1,FALSE),"")</f>
        <v/>
      </c>
      <c r="D3213" s="16" t="str">
        <f>IFERROR(VLOOKUP(C3213,DATA!#REF!,2,FALSE),"")</f>
        <v/>
      </c>
      <c r="I3213" s="17"/>
      <c r="J3213" s="17"/>
      <c r="P3213" s="17"/>
      <c r="Q3213" s="17"/>
    </row>
    <row r="3214" spans="2:17">
      <c r="B3214" s="17"/>
      <c r="C3214" s="16" t="str">
        <f>IFERROR(VLOOKUP(DATA!#REF!,DATA!#REF!,1,FALSE),"")</f>
        <v/>
      </c>
      <c r="D3214" s="16" t="str">
        <f>IFERROR(VLOOKUP(C3214,DATA!#REF!,2,FALSE),"")</f>
        <v/>
      </c>
      <c r="I3214" s="17"/>
      <c r="J3214" s="17"/>
      <c r="P3214" s="17"/>
      <c r="Q3214" s="17"/>
    </row>
    <row r="3215" spans="2:17">
      <c r="B3215" s="17"/>
      <c r="C3215" s="16" t="str">
        <f>IFERROR(VLOOKUP(DATA!#REF!,DATA!#REF!,1,FALSE),"")</f>
        <v/>
      </c>
      <c r="D3215" s="16" t="str">
        <f>IFERROR(VLOOKUP(C3215,DATA!#REF!,2,FALSE),"")</f>
        <v/>
      </c>
      <c r="I3215" s="17"/>
      <c r="J3215" s="17"/>
      <c r="P3215" s="17"/>
      <c r="Q3215" s="17"/>
    </row>
    <row r="3216" spans="2:17">
      <c r="B3216" s="17"/>
      <c r="C3216" s="16" t="str">
        <f>IFERROR(VLOOKUP(DATA!#REF!,DATA!#REF!,1,FALSE),"")</f>
        <v/>
      </c>
      <c r="D3216" s="16" t="str">
        <f>IFERROR(VLOOKUP(C3216,DATA!#REF!,2,FALSE),"")</f>
        <v/>
      </c>
      <c r="I3216" s="17"/>
      <c r="J3216" s="17"/>
      <c r="P3216" s="17"/>
      <c r="Q3216" s="17"/>
    </row>
    <row r="3217" spans="2:17">
      <c r="B3217" s="17"/>
      <c r="C3217" s="16" t="str">
        <f>IFERROR(VLOOKUP(DATA!#REF!,DATA!#REF!,1,FALSE),"")</f>
        <v/>
      </c>
      <c r="D3217" s="16" t="str">
        <f>IFERROR(VLOOKUP(C3217,DATA!#REF!,2,FALSE),"")</f>
        <v/>
      </c>
      <c r="I3217" s="17"/>
      <c r="J3217" s="17"/>
      <c r="P3217" s="17"/>
      <c r="Q3217" s="17"/>
    </row>
    <row r="3218" spans="2:17">
      <c r="B3218" s="17"/>
      <c r="C3218" s="16" t="str">
        <f>IFERROR(VLOOKUP(DATA!#REF!,DATA!#REF!,1,FALSE),"")</f>
        <v/>
      </c>
      <c r="D3218" s="16" t="str">
        <f>IFERROR(VLOOKUP(C3218,DATA!#REF!,2,FALSE),"")</f>
        <v/>
      </c>
      <c r="I3218" s="17"/>
      <c r="J3218" s="17"/>
      <c r="P3218" s="17"/>
      <c r="Q3218" s="17"/>
    </row>
    <row r="3219" spans="2:17">
      <c r="B3219" s="17"/>
      <c r="C3219" s="16" t="str">
        <f>IFERROR(VLOOKUP(DATA!#REF!,DATA!#REF!,1,FALSE),"")</f>
        <v/>
      </c>
      <c r="D3219" s="16" t="str">
        <f>IFERROR(VLOOKUP(C3219,DATA!#REF!,2,FALSE),"")</f>
        <v/>
      </c>
      <c r="I3219" s="17"/>
      <c r="J3219" s="17"/>
      <c r="P3219" s="17"/>
      <c r="Q3219" s="17"/>
    </row>
    <row r="3220" spans="2:17">
      <c r="B3220" s="17"/>
      <c r="C3220" s="16" t="str">
        <f>IFERROR(VLOOKUP(DATA!#REF!,DATA!#REF!,1,FALSE),"")</f>
        <v/>
      </c>
      <c r="D3220" s="16" t="str">
        <f>IFERROR(VLOOKUP(C3220,DATA!#REF!,2,FALSE),"")</f>
        <v/>
      </c>
      <c r="I3220" s="17"/>
      <c r="J3220" s="17"/>
      <c r="P3220" s="17"/>
      <c r="Q3220" s="17"/>
    </row>
    <row r="3221" spans="2:17">
      <c r="B3221" s="17"/>
      <c r="C3221" s="16" t="str">
        <f>IFERROR(VLOOKUP(DATA!#REF!,DATA!#REF!,1,FALSE),"")</f>
        <v/>
      </c>
      <c r="D3221" s="16" t="str">
        <f>IFERROR(VLOOKUP(C3221,DATA!#REF!,2,FALSE),"")</f>
        <v/>
      </c>
      <c r="I3221" s="17"/>
      <c r="J3221" s="17"/>
      <c r="P3221" s="17"/>
      <c r="Q3221" s="17"/>
    </row>
    <row r="3222" spans="2:17">
      <c r="B3222" s="17"/>
      <c r="C3222" s="16" t="str">
        <f>IFERROR(VLOOKUP(DATA!#REF!,DATA!#REF!,1,FALSE),"")</f>
        <v/>
      </c>
      <c r="D3222" s="16" t="str">
        <f>IFERROR(VLOOKUP(C3222,DATA!#REF!,2,FALSE),"")</f>
        <v/>
      </c>
      <c r="I3222" s="17"/>
      <c r="J3222" s="17"/>
      <c r="P3222" s="17"/>
      <c r="Q3222" s="17"/>
    </row>
    <row r="3223" spans="2:17">
      <c r="B3223" s="17"/>
      <c r="C3223" s="16" t="str">
        <f>IFERROR(VLOOKUP(DATA!#REF!,DATA!#REF!,1,FALSE),"")</f>
        <v/>
      </c>
      <c r="D3223" s="16" t="str">
        <f>IFERROR(VLOOKUP(C3223,DATA!#REF!,2,FALSE),"")</f>
        <v/>
      </c>
      <c r="I3223" s="17"/>
      <c r="J3223" s="17"/>
      <c r="P3223" s="17"/>
      <c r="Q3223" s="17"/>
    </row>
    <row r="3224" spans="2:17">
      <c r="B3224" s="17"/>
      <c r="C3224" s="16" t="str">
        <f>IFERROR(VLOOKUP(DATA!#REF!,DATA!#REF!,1,FALSE),"")</f>
        <v/>
      </c>
      <c r="D3224" s="16" t="str">
        <f>IFERROR(VLOOKUP(C3224,DATA!#REF!,2,FALSE),"")</f>
        <v/>
      </c>
      <c r="I3224" s="17"/>
      <c r="J3224" s="17"/>
      <c r="P3224" s="17"/>
      <c r="Q3224" s="17"/>
    </row>
    <row r="3225" spans="2:17">
      <c r="B3225" s="17"/>
      <c r="C3225" s="16" t="str">
        <f>IFERROR(VLOOKUP(DATA!#REF!,DATA!#REF!,1,FALSE),"")</f>
        <v/>
      </c>
      <c r="D3225" s="16" t="str">
        <f>IFERROR(VLOOKUP(C3225,DATA!#REF!,2,FALSE),"")</f>
        <v/>
      </c>
      <c r="I3225" s="17"/>
      <c r="J3225" s="17"/>
      <c r="P3225" s="17"/>
      <c r="Q3225" s="17"/>
    </row>
    <row r="3226" spans="2:17">
      <c r="B3226" s="17"/>
      <c r="C3226" s="16" t="str">
        <f>IFERROR(VLOOKUP(DATA!#REF!,DATA!#REF!,1,FALSE),"")</f>
        <v/>
      </c>
      <c r="D3226" s="16" t="str">
        <f>IFERROR(VLOOKUP(C3226,DATA!#REF!,2,FALSE),"")</f>
        <v/>
      </c>
      <c r="I3226" s="17"/>
      <c r="J3226" s="17"/>
      <c r="P3226" s="17"/>
      <c r="Q3226" s="17"/>
    </row>
    <row r="3227" spans="2:17">
      <c r="B3227" s="17"/>
      <c r="C3227" s="16" t="str">
        <f>IFERROR(VLOOKUP(DATA!#REF!,DATA!#REF!,1,FALSE),"")</f>
        <v/>
      </c>
      <c r="D3227" s="16" t="str">
        <f>IFERROR(VLOOKUP(C3227,DATA!#REF!,2,FALSE),"")</f>
        <v/>
      </c>
      <c r="I3227" s="17"/>
      <c r="J3227" s="17"/>
      <c r="P3227" s="17"/>
      <c r="Q3227" s="17"/>
    </row>
    <row r="3228" spans="2:17">
      <c r="B3228" s="17"/>
      <c r="C3228" s="16" t="str">
        <f>IFERROR(VLOOKUP(DATA!#REF!,DATA!#REF!,1,FALSE),"")</f>
        <v/>
      </c>
      <c r="D3228" s="16" t="str">
        <f>IFERROR(VLOOKUP(C3228,DATA!#REF!,2,FALSE),"")</f>
        <v/>
      </c>
      <c r="I3228" s="17"/>
      <c r="J3228" s="17"/>
      <c r="P3228" s="17"/>
      <c r="Q3228" s="17"/>
    </row>
    <row r="3229" spans="2:17">
      <c r="B3229" s="17"/>
      <c r="C3229" s="16" t="str">
        <f>IFERROR(VLOOKUP(DATA!#REF!,DATA!#REF!,1,FALSE),"")</f>
        <v/>
      </c>
      <c r="D3229" s="16" t="str">
        <f>IFERROR(VLOOKUP(C3229,DATA!#REF!,2,FALSE),"")</f>
        <v/>
      </c>
      <c r="I3229" s="17"/>
      <c r="J3229" s="17"/>
      <c r="P3229" s="17"/>
      <c r="Q3229" s="17"/>
    </row>
    <row r="3230" spans="2:17">
      <c r="B3230" s="17"/>
      <c r="C3230" s="16" t="str">
        <f>IFERROR(VLOOKUP(DATA!#REF!,DATA!#REF!,1,FALSE),"")</f>
        <v/>
      </c>
      <c r="D3230" s="16" t="str">
        <f>IFERROR(VLOOKUP(C3230,DATA!#REF!,2,FALSE),"")</f>
        <v/>
      </c>
      <c r="I3230" s="17"/>
      <c r="J3230" s="17"/>
      <c r="P3230" s="17"/>
      <c r="Q3230" s="17"/>
    </row>
    <row r="3231" spans="2:17">
      <c r="B3231" s="17"/>
      <c r="C3231" s="16" t="str">
        <f>IFERROR(VLOOKUP(DATA!#REF!,DATA!#REF!,1,FALSE),"")</f>
        <v/>
      </c>
      <c r="D3231" s="16" t="str">
        <f>IFERROR(VLOOKUP(C3231,DATA!#REF!,2,FALSE),"")</f>
        <v/>
      </c>
      <c r="I3231" s="17"/>
      <c r="J3231" s="17"/>
      <c r="P3231" s="17"/>
      <c r="Q3231" s="17"/>
    </row>
    <row r="3232" spans="2:17">
      <c r="B3232" s="17"/>
      <c r="C3232" s="16" t="str">
        <f>IFERROR(VLOOKUP(DATA!#REF!,DATA!#REF!,1,FALSE),"")</f>
        <v/>
      </c>
      <c r="D3232" s="16" t="str">
        <f>IFERROR(VLOOKUP(C3232,DATA!#REF!,2,FALSE),"")</f>
        <v/>
      </c>
      <c r="I3232" s="17"/>
      <c r="J3232" s="17"/>
      <c r="P3232" s="17"/>
      <c r="Q3232" s="17"/>
    </row>
    <row r="3233" spans="2:17">
      <c r="B3233" s="17"/>
      <c r="C3233" s="16" t="str">
        <f>IFERROR(VLOOKUP(DATA!#REF!,DATA!#REF!,1,FALSE),"")</f>
        <v/>
      </c>
      <c r="D3233" s="16" t="str">
        <f>IFERROR(VLOOKUP(C3233,DATA!#REF!,2,FALSE),"")</f>
        <v/>
      </c>
      <c r="I3233" s="17"/>
      <c r="J3233" s="17"/>
      <c r="P3233" s="17"/>
      <c r="Q3233" s="17"/>
    </row>
    <row r="3234" spans="2:17">
      <c r="B3234" s="17"/>
      <c r="C3234" s="16" t="str">
        <f>IFERROR(VLOOKUP(DATA!#REF!,DATA!#REF!,1,FALSE),"")</f>
        <v/>
      </c>
      <c r="D3234" s="16" t="str">
        <f>IFERROR(VLOOKUP(C3234,DATA!#REF!,2,FALSE),"")</f>
        <v/>
      </c>
      <c r="I3234" s="17"/>
      <c r="J3234" s="17"/>
      <c r="P3234" s="17"/>
      <c r="Q3234" s="17"/>
    </row>
    <row r="3235" spans="2:17">
      <c r="B3235" s="17"/>
      <c r="C3235" s="16" t="str">
        <f>IFERROR(VLOOKUP(DATA!#REF!,DATA!#REF!,1,FALSE),"")</f>
        <v/>
      </c>
      <c r="D3235" s="16" t="str">
        <f>IFERROR(VLOOKUP(C3235,DATA!#REF!,2,FALSE),"")</f>
        <v/>
      </c>
      <c r="I3235" s="17"/>
      <c r="J3235" s="17"/>
      <c r="P3235" s="17"/>
      <c r="Q3235" s="17"/>
    </row>
    <row r="3236" spans="2:17">
      <c r="B3236" s="17"/>
      <c r="C3236" s="16" t="str">
        <f>IFERROR(VLOOKUP(DATA!#REF!,DATA!#REF!,1,FALSE),"")</f>
        <v/>
      </c>
      <c r="D3236" s="16" t="str">
        <f>IFERROR(VLOOKUP(C3236,DATA!#REF!,2,FALSE),"")</f>
        <v/>
      </c>
      <c r="I3236" s="17"/>
      <c r="J3236" s="17"/>
      <c r="P3236" s="17"/>
      <c r="Q3236" s="17"/>
    </row>
    <row r="3237" spans="2:17">
      <c r="B3237" s="17"/>
      <c r="C3237" s="16" t="str">
        <f>IFERROR(VLOOKUP(DATA!#REF!,DATA!#REF!,1,FALSE),"")</f>
        <v/>
      </c>
      <c r="D3237" s="16" t="str">
        <f>IFERROR(VLOOKUP(C3237,DATA!#REF!,2,FALSE),"")</f>
        <v/>
      </c>
      <c r="I3237" s="17"/>
      <c r="J3237" s="17"/>
      <c r="P3237" s="17"/>
      <c r="Q3237" s="17"/>
    </row>
    <row r="3238" spans="2:17">
      <c r="B3238" s="17"/>
      <c r="C3238" s="16" t="str">
        <f>IFERROR(VLOOKUP(DATA!#REF!,DATA!#REF!,1,FALSE),"")</f>
        <v/>
      </c>
      <c r="D3238" s="16" t="str">
        <f>IFERROR(VLOOKUP(C3238,DATA!#REF!,2,FALSE),"")</f>
        <v/>
      </c>
      <c r="I3238" s="17"/>
      <c r="J3238" s="17"/>
      <c r="P3238" s="17"/>
      <c r="Q3238" s="17"/>
    </row>
    <row r="3239" spans="2:17">
      <c r="B3239" s="17"/>
      <c r="C3239" s="16" t="str">
        <f>IFERROR(VLOOKUP(DATA!#REF!,DATA!#REF!,1,FALSE),"")</f>
        <v/>
      </c>
      <c r="D3239" s="16" t="str">
        <f>IFERROR(VLOOKUP(C3239,DATA!#REF!,2,FALSE),"")</f>
        <v/>
      </c>
      <c r="I3239" s="17"/>
      <c r="J3239" s="17"/>
      <c r="P3239" s="17"/>
      <c r="Q3239" s="17"/>
    </row>
    <row r="3240" spans="2:17">
      <c r="B3240" s="17"/>
      <c r="C3240" s="16" t="str">
        <f>IFERROR(VLOOKUP(DATA!#REF!,DATA!#REF!,1,FALSE),"")</f>
        <v/>
      </c>
      <c r="D3240" s="16" t="str">
        <f>IFERROR(VLOOKUP(C3240,DATA!#REF!,2,FALSE),"")</f>
        <v/>
      </c>
      <c r="I3240" s="17"/>
      <c r="J3240" s="17"/>
      <c r="P3240" s="17"/>
      <c r="Q3240" s="17"/>
    </row>
    <row r="3241" spans="2:17">
      <c r="B3241" s="17"/>
      <c r="C3241" s="16" t="str">
        <f>IFERROR(VLOOKUP(DATA!#REF!,DATA!#REF!,1,FALSE),"")</f>
        <v/>
      </c>
      <c r="D3241" s="16" t="str">
        <f>IFERROR(VLOOKUP(C3241,DATA!#REF!,2,FALSE),"")</f>
        <v/>
      </c>
      <c r="I3241" s="17"/>
      <c r="J3241" s="17"/>
      <c r="P3241" s="17"/>
      <c r="Q3241" s="17"/>
    </row>
    <row r="3242" spans="2:17">
      <c r="B3242" s="17"/>
      <c r="C3242" s="16" t="str">
        <f>IFERROR(VLOOKUP(DATA!#REF!,DATA!#REF!,1,FALSE),"")</f>
        <v/>
      </c>
      <c r="D3242" s="16" t="str">
        <f>IFERROR(VLOOKUP(C3242,DATA!#REF!,2,FALSE),"")</f>
        <v/>
      </c>
      <c r="I3242" s="17"/>
      <c r="J3242" s="17"/>
      <c r="P3242" s="17"/>
      <c r="Q3242" s="17"/>
    </row>
    <row r="3243" spans="2:17">
      <c r="B3243" s="17"/>
      <c r="C3243" s="16" t="str">
        <f>IFERROR(VLOOKUP(DATA!#REF!,DATA!#REF!,1,FALSE),"")</f>
        <v/>
      </c>
      <c r="D3243" s="16" t="str">
        <f>IFERROR(VLOOKUP(C3243,DATA!#REF!,2,FALSE),"")</f>
        <v/>
      </c>
      <c r="I3243" s="17"/>
      <c r="J3243" s="17"/>
      <c r="P3243" s="17"/>
      <c r="Q3243" s="17"/>
    </row>
    <row r="3244" spans="2:17">
      <c r="B3244" s="17"/>
      <c r="C3244" s="16" t="str">
        <f>IFERROR(VLOOKUP(DATA!#REF!,DATA!#REF!,1,FALSE),"")</f>
        <v/>
      </c>
      <c r="D3244" s="16" t="str">
        <f>IFERROR(VLOOKUP(C3244,DATA!#REF!,2,FALSE),"")</f>
        <v/>
      </c>
      <c r="I3244" s="17"/>
      <c r="J3244" s="17"/>
      <c r="P3244" s="17"/>
      <c r="Q3244" s="17"/>
    </row>
    <row r="3245" spans="2:17">
      <c r="B3245" s="17"/>
      <c r="C3245" s="16" t="str">
        <f>IFERROR(VLOOKUP(DATA!#REF!,DATA!#REF!,1,FALSE),"")</f>
        <v/>
      </c>
      <c r="D3245" s="16" t="str">
        <f>IFERROR(VLOOKUP(C3245,DATA!#REF!,2,FALSE),"")</f>
        <v/>
      </c>
      <c r="I3245" s="17"/>
      <c r="J3245" s="17"/>
      <c r="P3245" s="17"/>
      <c r="Q3245" s="17"/>
    </row>
    <row r="3246" spans="2:17">
      <c r="B3246" s="17"/>
      <c r="C3246" s="16" t="str">
        <f>IFERROR(VLOOKUP(DATA!#REF!,DATA!#REF!,1,FALSE),"")</f>
        <v/>
      </c>
      <c r="D3246" s="16" t="str">
        <f>IFERROR(VLOOKUP(C3246,DATA!#REF!,2,FALSE),"")</f>
        <v/>
      </c>
      <c r="I3246" s="17"/>
      <c r="J3246" s="17"/>
      <c r="P3246" s="17"/>
      <c r="Q3246" s="17"/>
    </row>
    <row r="3247" spans="2:17">
      <c r="B3247" s="17"/>
      <c r="C3247" s="16" t="str">
        <f>IFERROR(VLOOKUP(DATA!#REF!,DATA!#REF!,1,FALSE),"")</f>
        <v/>
      </c>
      <c r="D3247" s="16" t="str">
        <f>IFERROR(VLOOKUP(C3247,DATA!#REF!,2,FALSE),"")</f>
        <v/>
      </c>
      <c r="I3247" s="17"/>
      <c r="J3247" s="17"/>
      <c r="P3247" s="17"/>
      <c r="Q3247" s="17"/>
    </row>
    <row r="3248" spans="2:17">
      <c r="B3248" s="17"/>
      <c r="C3248" s="16" t="str">
        <f>IFERROR(VLOOKUP(DATA!#REF!,DATA!#REF!,1,FALSE),"")</f>
        <v/>
      </c>
      <c r="D3248" s="16" t="str">
        <f>IFERROR(VLOOKUP(C3248,DATA!#REF!,2,FALSE),"")</f>
        <v/>
      </c>
      <c r="I3248" s="17"/>
      <c r="J3248" s="17"/>
      <c r="P3248" s="17"/>
      <c r="Q3248" s="17"/>
    </row>
    <row r="3249" spans="2:17">
      <c r="B3249" s="17"/>
      <c r="C3249" s="16" t="str">
        <f>IFERROR(VLOOKUP(DATA!#REF!,DATA!#REF!,1,FALSE),"")</f>
        <v/>
      </c>
      <c r="D3249" s="16" t="str">
        <f>IFERROR(VLOOKUP(C3249,DATA!#REF!,2,FALSE),"")</f>
        <v/>
      </c>
      <c r="I3249" s="17"/>
      <c r="J3249" s="17"/>
      <c r="P3249" s="17"/>
      <c r="Q3249" s="17"/>
    </row>
    <row r="3250" spans="2:17">
      <c r="B3250" s="17"/>
      <c r="C3250" s="16" t="str">
        <f>IFERROR(VLOOKUP(DATA!#REF!,DATA!#REF!,1,FALSE),"")</f>
        <v/>
      </c>
      <c r="D3250" s="16" t="str">
        <f>IFERROR(VLOOKUP(C3250,DATA!#REF!,2,FALSE),"")</f>
        <v/>
      </c>
      <c r="I3250" s="17"/>
      <c r="J3250" s="17"/>
      <c r="P3250" s="17"/>
      <c r="Q3250" s="17"/>
    </row>
    <row r="3251" spans="2:17">
      <c r="B3251" s="17"/>
      <c r="C3251" s="16" t="str">
        <f>IFERROR(VLOOKUP(DATA!#REF!,DATA!#REF!,1,FALSE),"")</f>
        <v/>
      </c>
      <c r="D3251" s="16" t="str">
        <f>IFERROR(VLOOKUP(C3251,DATA!#REF!,2,FALSE),"")</f>
        <v/>
      </c>
      <c r="I3251" s="17"/>
      <c r="J3251" s="17"/>
      <c r="P3251" s="17"/>
      <c r="Q3251" s="17"/>
    </row>
    <row r="3252" spans="2:17">
      <c r="B3252" s="17"/>
      <c r="C3252" s="16" t="str">
        <f>IFERROR(VLOOKUP(DATA!#REF!,DATA!#REF!,1,FALSE),"")</f>
        <v/>
      </c>
      <c r="D3252" s="16" t="str">
        <f>IFERROR(VLOOKUP(C3252,DATA!#REF!,2,FALSE),"")</f>
        <v/>
      </c>
      <c r="I3252" s="17"/>
      <c r="J3252" s="17"/>
      <c r="P3252" s="17"/>
      <c r="Q3252" s="17"/>
    </row>
    <row r="3253" spans="2:17">
      <c r="B3253" s="17"/>
      <c r="C3253" s="16" t="str">
        <f>IFERROR(VLOOKUP(DATA!#REF!,DATA!#REF!,1,FALSE),"")</f>
        <v/>
      </c>
      <c r="D3253" s="16" t="str">
        <f>IFERROR(VLOOKUP(C3253,DATA!#REF!,2,FALSE),"")</f>
        <v/>
      </c>
      <c r="I3253" s="17"/>
      <c r="J3253" s="17"/>
      <c r="P3253" s="17"/>
      <c r="Q3253" s="17"/>
    </row>
    <row r="3254" spans="2:17">
      <c r="B3254" s="17"/>
      <c r="C3254" s="16" t="str">
        <f>IFERROR(VLOOKUP(DATA!#REF!,DATA!#REF!,1,FALSE),"")</f>
        <v/>
      </c>
      <c r="D3254" s="16" t="str">
        <f>IFERROR(VLOOKUP(C3254,DATA!#REF!,2,FALSE),"")</f>
        <v/>
      </c>
      <c r="I3254" s="17"/>
      <c r="J3254" s="17"/>
      <c r="P3254" s="17"/>
      <c r="Q3254" s="17"/>
    </row>
    <row r="3255" spans="2:17">
      <c r="B3255" s="17"/>
      <c r="C3255" s="16" t="str">
        <f>IFERROR(VLOOKUP(DATA!#REF!,DATA!#REF!,1,FALSE),"")</f>
        <v/>
      </c>
      <c r="D3255" s="16" t="str">
        <f>IFERROR(VLOOKUP(C3255,DATA!#REF!,2,FALSE),"")</f>
        <v/>
      </c>
      <c r="I3255" s="17"/>
      <c r="J3255" s="17"/>
      <c r="P3255" s="17"/>
      <c r="Q3255" s="17"/>
    </row>
    <row r="3256" spans="2:17">
      <c r="B3256" s="17"/>
      <c r="C3256" s="16" t="str">
        <f>IFERROR(VLOOKUP(DATA!#REF!,DATA!#REF!,1,FALSE),"")</f>
        <v/>
      </c>
      <c r="D3256" s="16" t="str">
        <f>IFERROR(VLOOKUP(C3256,DATA!#REF!,2,FALSE),"")</f>
        <v/>
      </c>
      <c r="I3256" s="17"/>
      <c r="J3256" s="17"/>
      <c r="P3256" s="17"/>
      <c r="Q3256" s="17"/>
    </row>
    <row r="3257" spans="2:17">
      <c r="B3257" s="17"/>
      <c r="C3257" s="16" t="str">
        <f>IFERROR(VLOOKUP(DATA!#REF!,DATA!#REF!,1,FALSE),"")</f>
        <v/>
      </c>
      <c r="D3257" s="16" t="str">
        <f>IFERROR(VLOOKUP(C3257,DATA!#REF!,2,FALSE),"")</f>
        <v/>
      </c>
      <c r="I3257" s="17"/>
      <c r="J3257" s="17"/>
      <c r="P3257" s="17"/>
      <c r="Q3257" s="17"/>
    </row>
    <row r="3258" spans="2:17">
      <c r="B3258" s="17"/>
      <c r="C3258" s="16" t="str">
        <f>IFERROR(VLOOKUP(DATA!#REF!,DATA!#REF!,1,FALSE),"")</f>
        <v/>
      </c>
      <c r="D3258" s="16" t="str">
        <f>IFERROR(VLOOKUP(C3258,DATA!#REF!,2,FALSE),"")</f>
        <v/>
      </c>
      <c r="I3258" s="17"/>
      <c r="J3258" s="17"/>
      <c r="P3258" s="17"/>
      <c r="Q3258" s="17"/>
    </row>
    <row r="3259" spans="2:17">
      <c r="B3259" s="17"/>
      <c r="C3259" s="16" t="str">
        <f>IFERROR(VLOOKUP(DATA!#REF!,DATA!#REF!,1,FALSE),"")</f>
        <v/>
      </c>
      <c r="D3259" s="16" t="str">
        <f>IFERROR(VLOOKUP(C3259,DATA!#REF!,2,FALSE),"")</f>
        <v/>
      </c>
      <c r="I3259" s="17"/>
      <c r="J3259" s="17"/>
      <c r="P3259" s="17"/>
      <c r="Q3259" s="17"/>
    </row>
    <row r="3260" spans="2:17">
      <c r="B3260" s="17"/>
      <c r="C3260" s="16" t="str">
        <f>IFERROR(VLOOKUP(DATA!#REF!,DATA!#REF!,1,FALSE),"")</f>
        <v/>
      </c>
      <c r="D3260" s="16" t="str">
        <f>IFERROR(VLOOKUP(C3260,DATA!#REF!,2,FALSE),"")</f>
        <v/>
      </c>
      <c r="I3260" s="17"/>
      <c r="J3260" s="17"/>
      <c r="P3260" s="17"/>
      <c r="Q3260" s="17"/>
    </row>
    <row r="3261" spans="2:17">
      <c r="B3261" s="17"/>
      <c r="C3261" s="16" t="str">
        <f>IFERROR(VLOOKUP(DATA!#REF!,DATA!#REF!,1,FALSE),"")</f>
        <v/>
      </c>
      <c r="D3261" s="16" t="str">
        <f>IFERROR(VLOOKUP(C3261,DATA!#REF!,2,FALSE),"")</f>
        <v/>
      </c>
      <c r="I3261" s="17"/>
      <c r="J3261" s="17"/>
      <c r="P3261" s="17"/>
      <c r="Q3261" s="17"/>
    </row>
    <row r="3262" spans="2:17">
      <c r="B3262" s="17"/>
      <c r="C3262" s="16" t="str">
        <f>IFERROR(VLOOKUP(DATA!#REF!,DATA!#REF!,1,FALSE),"")</f>
        <v/>
      </c>
      <c r="D3262" s="16" t="str">
        <f>IFERROR(VLOOKUP(C3262,DATA!#REF!,2,FALSE),"")</f>
        <v/>
      </c>
      <c r="I3262" s="17"/>
      <c r="J3262" s="17"/>
      <c r="P3262" s="17"/>
      <c r="Q3262" s="17"/>
    </row>
    <row r="3263" spans="2:17">
      <c r="B3263" s="17"/>
      <c r="C3263" s="16" t="str">
        <f>IFERROR(VLOOKUP(DATA!#REF!,DATA!#REF!,1,FALSE),"")</f>
        <v/>
      </c>
      <c r="D3263" s="16" t="str">
        <f>IFERROR(VLOOKUP(C3263,DATA!#REF!,2,FALSE),"")</f>
        <v/>
      </c>
      <c r="I3263" s="17"/>
      <c r="J3263" s="17"/>
      <c r="P3263" s="17"/>
      <c r="Q3263" s="17"/>
    </row>
    <row r="3264" spans="2:17">
      <c r="B3264" s="17"/>
      <c r="C3264" s="16" t="str">
        <f>IFERROR(VLOOKUP(DATA!#REF!,DATA!#REF!,1,FALSE),"")</f>
        <v/>
      </c>
      <c r="D3264" s="16" t="str">
        <f>IFERROR(VLOOKUP(C3264,DATA!#REF!,2,FALSE),"")</f>
        <v/>
      </c>
      <c r="I3264" s="17"/>
      <c r="J3264" s="17"/>
      <c r="P3264" s="17"/>
      <c r="Q3264" s="17"/>
    </row>
    <row r="3265" spans="2:17">
      <c r="B3265" s="17"/>
      <c r="C3265" s="16" t="str">
        <f>IFERROR(VLOOKUP(DATA!#REF!,DATA!#REF!,1,FALSE),"")</f>
        <v/>
      </c>
      <c r="D3265" s="16" t="str">
        <f>IFERROR(VLOOKUP(C3265,DATA!#REF!,2,FALSE),"")</f>
        <v/>
      </c>
      <c r="I3265" s="17"/>
      <c r="J3265" s="17"/>
      <c r="P3265" s="17"/>
      <c r="Q3265" s="17"/>
    </row>
    <row r="3266" spans="2:17">
      <c r="B3266" s="17"/>
      <c r="C3266" s="16" t="str">
        <f>IFERROR(VLOOKUP(DATA!#REF!,DATA!#REF!,1,FALSE),"")</f>
        <v/>
      </c>
      <c r="D3266" s="16" t="str">
        <f>IFERROR(VLOOKUP(C3266,DATA!#REF!,2,FALSE),"")</f>
        <v/>
      </c>
      <c r="I3266" s="17"/>
      <c r="J3266" s="17"/>
      <c r="P3266" s="17"/>
      <c r="Q3266" s="17"/>
    </row>
    <row r="3267" spans="2:17">
      <c r="B3267" s="17"/>
      <c r="C3267" s="16" t="str">
        <f>IFERROR(VLOOKUP(DATA!#REF!,DATA!#REF!,1,FALSE),"")</f>
        <v/>
      </c>
      <c r="D3267" s="16" t="str">
        <f>IFERROR(VLOOKUP(C3267,DATA!#REF!,2,FALSE),"")</f>
        <v/>
      </c>
      <c r="I3267" s="17"/>
      <c r="J3267" s="17"/>
      <c r="P3267" s="17"/>
      <c r="Q3267" s="17"/>
    </row>
    <row r="3268" spans="2:17">
      <c r="B3268" s="17"/>
      <c r="C3268" s="16" t="str">
        <f>IFERROR(VLOOKUP(DATA!#REF!,DATA!#REF!,1,FALSE),"")</f>
        <v/>
      </c>
      <c r="D3268" s="16" t="str">
        <f>IFERROR(VLOOKUP(C3268,DATA!#REF!,2,FALSE),"")</f>
        <v/>
      </c>
      <c r="I3268" s="17"/>
      <c r="J3268" s="17"/>
      <c r="P3268" s="17"/>
      <c r="Q3268" s="17"/>
    </row>
    <row r="3269" spans="2:17">
      <c r="B3269" s="17"/>
      <c r="C3269" s="16" t="str">
        <f>IFERROR(VLOOKUP(DATA!#REF!,DATA!#REF!,1,FALSE),"")</f>
        <v/>
      </c>
      <c r="D3269" s="16" t="str">
        <f>IFERROR(VLOOKUP(C3269,DATA!#REF!,2,FALSE),"")</f>
        <v/>
      </c>
      <c r="I3269" s="17"/>
      <c r="J3269" s="17"/>
      <c r="P3269" s="17"/>
      <c r="Q3269" s="17"/>
    </row>
    <row r="3270" spans="2:17">
      <c r="B3270" s="17"/>
      <c r="C3270" s="16" t="str">
        <f>IFERROR(VLOOKUP(DATA!#REF!,DATA!#REF!,1,FALSE),"")</f>
        <v/>
      </c>
      <c r="D3270" s="16" t="str">
        <f>IFERROR(VLOOKUP(C3270,DATA!#REF!,2,FALSE),"")</f>
        <v/>
      </c>
      <c r="I3270" s="17"/>
      <c r="J3270" s="17"/>
      <c r="P3270" s="17"/>
      <c r="Q3270" s="17"/>
    </row>
    <row r="3271" spans="2:17">
      <c r="B3271" s="17"/>
      <c r="C3271" s="16" t="str">
        <f>IFERROR(VLOOKUP(DATA!#REF!,DATA!#REF!,1,FALSE),"")</f>
        <v/>
      </c>
      <c r="D3271" s="16" t="str">
        <f>IFERROR(VLOOKUP(C3271,DATA!#REF!,2,FALSE),"")</f>
        <v/>
      </c>
      <c r="I3271" s="17"/>
      <c r="J3271" s="17"/>
      <c r="P3271" s="17"/>
      <c r="Q3271" s="17"/>
    </row>
    <row r="3272" spans="2:17">
      <c r="B3272" s="17"/>
      <c r="C3272" s="16" t="str">
        <f>IFERROR(VLOOKUP(DATA!#REF!,DATA!#REF!,1,FALSE),"")</f>
        <v/>
      </c>
      <c r="D3272" s="16" t="str">
        <f>IFERROR(VLOOKUP(C3272,DATA!#REF!,2,FALSE),"")</f>
        <v/>
      </c>
      <c r="I3272" s="17"/>
      <c r="J3272" s="17"/>
      <c r="P3272" s="17"/>
      <c r="Q3272" s="17"/>
    </row>
    <row r="3273" spans="2:17">
      <c r="B3273" s="17"/>
      <c r="C3273" s="16" t="str">
        <f>IFERROR(VLOOKUP(DATA!#REF!,DATA!#REF!,1,FALSE),"")</f>
        <v/>
      </c>
      <c r="D3273" s="16" t="str">
        <f>IFERROR(VLOOKUP(C3273,DATA!#REF!,2,FALSE),"")</f>
        <v/>
      </c>
      <c r="I3273" s="17"/>
      <c r="J3273" s="17"/>
      <c r="P3273" s="17"/>
      <c r="Q3273" s="17"/>
    </row>
    <row r="3274" spans="2:17">
      <c r="B3274" s="17"/>
      <c r="C3274" s="16" t="str">
        <f>IFERROR(VLOOKUP(DATA!#REF!,DATA!#REF!,1,FALSE),"")</f>
        <v/>
      </c>
      <c r="D3274" s="16" t="str">
        <f>IFERROR(VLOOKUP(C3274,DATA!#REF!,2,FALSE),"")</f>
        <v/>
      </c>
      <c r="I3274" s="17"/>
      <c r="J3274" s="17"/>
      <c r="P3274" s="17"/>
      <c r="Q3274" s="17"/>
    </row>
    <row r="3275" spans="2:17">
      <c r="B3275" s="17"/>
      <c r="C3275" s="16" t="str">
        <f>IFERROR(VLOOKUP(DATA!#REF!,DATA!#REF!,1,FALSE),"")</f>
        <v/>
      </c>
      <c r="D3275" s="16" t="str">
        <f>IFERROR(VLOOKUP(C3275,DATA!#REF!,2,FALSE),"")</f>
        <v/>
      </c>
      <c r="I3275" s="17"/>
      <c r="J3275" s="17"/>
      <c r="P3275" s="17"/>
      <c r="Q3275" s="17"/>
    </row>
    <row r="3276" spans="2:17">
      <c r="B3276" s="17"/>
      <c r="C3276" s="16" t="str">
        <f>IFERROR(VLOOKUP(DATA!#REF!,DATA!#REF!,1,FALSE),"")</f>
        <v/>
      </c>
      <c r="D3276" s="16" t="str">
        <f>IFERROR(VLOOKUP(C3276,DATA!#REF!,2,FALSE),"")</f>
        <v/>
      </c>
      <c r="I3276" s="17"/>
      <c r="J3276" s="17"/>
      <c r="P3276" s="17"/>
      <c r="Q3276" s="17"/>
    </row>
    <row r="3277" spans="2:17">
      <c r="B3277" s="17"/>
      <c r="C3277" s="16" t="str">
        <f>IFERROR(VLOOKUP(DATA!#REF!,DATA!#REF!,1,FALSE),"")</f>
        <v/>
      </c>
      <c r="D3277" s="16" t="str">
        <f>IFERROR(VLOOKUP(C3277,DATA!#REF!,2,FALSE),"")</f>
        <v/>
      </c>
      <c r="I3277" s="17"/>
      <c r="J3277" s="17"/>
      <c r="P3277" s="17"/>
      <c r="Q3277" s="17"/>
    </row>
    <row r="3278" spans="2:17">
      <c r="B3278" s="17"/>
      <c r="C3278" s="16" t="str">
        <f>IFERROR(VLOOKUP(DATA!#REF!,DATA!#REF!,1,FALSE),"")</f>
        <v/>
      </c>
      <c r="D3278" s="16" t="str">
        <f>IFERROR(VLOOKUP(C3278,DATA!#REF!,2,FALSE),"")</f>
        <v/>
      </c>
      <c r="I3278" s="17"/>
      <c r="J3278" s="17"/>
      <c r="P3278" s="17"/>
      <c r="Q3278" s="17"/>
    </row>
    <row r="3279" spans="2:17">
      <c r="B3279" s="17"/>
      <c r="C3279" s="16" t="str">
        <f>IFERROR(VLOOKUP(DATA!#REF!,DATA!#REF!,1,FALSE),"")</f>
        <v/>
      </c>
      <c r="D3279" s="16" t="str">
        <f>IFERROR(VLOOKUP(C3279,DATA!#REF!,2,FALSE),"")</f>
        <v/>
      </c>
      <c r="I3279" s="17"/>
      <c r="J3279" s="17"/>
      <c r="P3279" s="17"/>
      <c r="Q3279" s="17"/>
    </row>
    <row r="3280" spans="2:17">
      <c r="B3280" s="17"/>
      <c r="C3280" s="16" t="str">
        <f>IFERROR(VLOOKUP(DATA!#REF!,DATA!#REF!,1,FALSE),"")</f>
        <v/>
      </c>
      <c r="D3280" s="16" t="str">
        <f>IFERROR(VLOOKUP(C3280,DATA!#REF!,2,FALSE),"")</f>
        <v/>
      </c>
      <c r="I3280" s="17"/>
      <c r="J3280" s="17"/>
      <c r="P3280" s="17"/>
      <c r="Q3280" s="17"/>
    </row>
    <row r="3281" spans="2:17">
      <c r="B3281" s="17"/>
      <c r="C3281" s="16" t="str">
        <f>IFERROR(VLOOKUP(DATA!#REF!,DATA!#REF!,1,FALSE),"")</f>
        <v/>
      </c>
      <c r="D3281" s="16" t="str">
        <f>IFERROR(VLOOKUP(C3281,DATA!#REF!,2,FALSE),"")</f>
        <v/>
      </c>
      <c r="I3281" s="17"/>
      <c r="J3281" s="17"/>
      <c r="P3281" s="17"/>
      <c r="Q3281" s="17"/>
    </row>
    <row r="3282" spans="2:17">
      <c r="B3282" s="17"/>
      <c r="C3282" s="16" t="str">
        <f>IFERROR(VLOOKUP(DATA!#REF!,DATA!#REF!,1,FALSE),"")</f>
        <v/>
      </c>
      <c r="D3282" s="16" t="str">
        <f>IFERROR(VLOOKUP(C3282,DATA!#REF!,2,FALSE),"")</f>
        <v/>
      </c>
      <c r="I3282" s="17"/>
      <c r="J3282" s="17"/>
      <c r="P3282" s="17"/>
      <c r="Q3282" s="17"/>
    </row>
    <row r="3283" spans="2:17">
      <c r="B3283" s="17"/>
      <c r="C3283" s="16" t="str">
        <f>IFERROR(VLOOKUP(DATA!#REF!,DATA!#REF!,1,FALSE),"")</f>
        <v/>
      </c>
      <c r="D3283" s="16" t="str">
        <f>IFERROR(VLOOKUP(C3283,DATA!#REF!,2,FALSE),"")</f>
        <v/>
      </c>
      <c r="I3283" s="17"/>
      <c r="J3283" s="17"/>
      <c r="P3283" s="17"/>
      <c r="Q3283" s="17"/>
    </row>
    <row r="3284" spans="2:17">
      <c r="B3284" s="17"/>
      <c r="C3284" s="16" t="str">
        <f>IFERROR(VLOOKUP(DATA!#REF!,DATA!#REF!,1,FALSE),"")</f>
        <v/>
      </c>
      <c r="D3284" s="16" t="str">
        <f>IFERROR(VLOOKUP(C3284,DATA!#REF!,2,FALSE),"")</f>
        <v/>
      </c>
      <c r="I3284" s="17"/>
      <c r="J3284" s="17"/>
      <c r="P3284" s="17"/>
      <c r="Q3284" s="17"/>
    </row>
    <row r="3285" spans="2:17">
      <c r="B3285" s="17"/>
      <c r="C3285" s="16" t="str">
        <f>IFERROR(VLOOKUP(DATA!#REF!,DATA!#REF!,1,FALSE),"")</f>
        <v/>
      </c>
      <c r="D3285" s="16" t="str">
        <f>IFERROR(VLOOKUP(C3285,DATA!#REF!,2,FALSE),"")</f>
        <v/>
      </c>
      <c r="I3285" s="17"/>
      <c r="J3285" s="17"/>
      <c r="P3285" s="17"/>
      <c r="Q3285" s="17"/>
    </row>
    <row r="3286" spans="2:17">
      <c r="B3286" s="17"/>
      <c r="C3286" s="16" t="str">
        <f>IFERROR(VLOOKUP(DATA!#REF!,DATA!#REF!,1,FALSE),"")</f>
        <v/>
      </c>
      <c r="D3286" s="16" t="str">
        <f>IFERROR(VLOOKUP(C3286,DATA!#REF!,2,FALSE),"")</f>
        <v/>
      </c>
      <c r="I3286" s="17"/>
      <c r="J3286" s="17"/>
      <c r="P3286" s="17"/>
      <c r="Q3286" s="17"/>
    </row>
    <row r="3287" spans="2:17">
      <c r="B3287" s="17"/>
      <c r="C3287" s="16" t="str">
        <f>IFERROR(VLOOKUP(DATA!#REF!,DATA!#REF!,1,FALSE),"")</f>
        <v/>
      </c>
      <c r="D3287" s="16" t="str">
        <f>IFERROR(VLOOKUP(C3287,DATA!#REF!,2,FALSE),"")</f>
        <v/>
      </c>
      <c r="I3287" s="17"/>
      <c r="J3287" s="17"/>
      <c r="P3287" s="17"/>
      <c r="Q3287" s="17"/>
    </row>
    <row r="3288" spans="2:17">
      <c r="B3288" s="17"/>
      <c r="C3288" s="16" t="str">
        <f>IFERROR(VLOOKUP(DATA!#REF!,DATA!#REF!,1,FALSE),"")</f>
        <v/>
      </c>
      <c r="D3288" s="16" t="str">
        <f>IFERROR(VLOOKUP(C3288,DATA!#REF!,2,FALSE),"")</f>
        <v/>
      </c>
      <c r="I3288" s="17"/>
      <c r="J3288" s="17"/>
      <c r="P3288" s="17"/>
      <c r="Q3288" s="17"/>
    </row>
    <row r="3289" spans="2:17">
      <c r="B3289" s="17"/>
      <c r="C3289" s="16" t="str">
        <f>IFERROR(VLOOKUP(DATA!#REF!,DATA!#REF!,1,FALSE),"")</f>
        <v/>
      </c>
      <c r="D3289" s="16" t="str">
        <f>IFERROR(VLOOKUP(C3289,DATA!#REF!,2,FALSE),"")</f>
        <v/>
      </c>
      <c r="I3289" s="17"/>
      <c r="J3289" s="17"/>
      <c r="P3289" s="17"/>
      <c r="Q3289" s="17"/>
    </row>
    <row r="3290" spans="2:17">
      <c r="B3290" s="17"/>
      <c r="C3290" s="16" t="str">
        <f>IFERROR(VLOOKUP(DATA!#REF!,DATA!#REF!,1,FALSE),"")</f>
        <v/>
      </c>
      <c r="D3290" s="16" t="str">
        <f>IFERROR(VLOOKUP(C3290,DATA!#REF!,2,FALSE),"")</f>
        <v/>
      </c>
      <c r="I3290" s="17"/>
      <c r="J3290" s="17"/>
      <c r="P3290" s="17"/>
      <c r="Q3290" s="17"/>
    </row>
    <row r="3291" spans="2:17">
      <c r="B3291" s="17"/>
      <c r="C3291" s="16" t="str">
        <f>IFERROR(VLOOKUP(DATA!#REF!,DATA!#REF!,1,FALSE),"")</f>
        <v/>
      </c>
      <c r="D3291" s="16" t="str">
        <f>IFERROR(VLOOKUP(C3291,DATA!#REF!,2,FALSE),"")</f>
        <v/>
      </c>
      <c r="I3291" s="17"/>
      <c r="J3291" s="17"/>
      <c r="P3291" s="17"/>
      <c r="Q3291" s="17"/>
    </row>
    <row r="3292" spans="2:17">
      <c r="B3292" s="17"/>
      <c r="C3292" s="16" t="str">
        <f>IFERROR(VLOOKUP(DATA!#REF!,DATA!#REF!,1,FALSE),"")</f>
        <v/>
      </c>
      <c r="D3292" s="16" t="str">
        <f>IFERROR(VLOOKUP(C3292,DATA!#REF!,2,FALSE),"")</f>
        <v/>
      </c>
      <c r="I3292" s="17"/>
      <c r="J3292" s="17"/>
      <c r="P3292" s="17"/>
      <c r="Q3292" s="17"/>
    </row>
    <row r="3293" spans="2:17">
      <c r="B3293" s="17"/>
      <c r="C3293" s="16" t="str">
        <f>IFERROR(VLOOKUP(DATA!#REF!,DATA!#REF!,1,FALSE),"")</f>
        <v/>
      </c>
      <c r="D3293" s="16" t="str">
        <f>IFERROR(VLOOKUP(C3293,DATA!#REF!,2,FALSE),"")</f>
        <v/>
      </c>
      <c r="I3293" s="17"/>
      <c r="J3293" s="17"/>
      <c r="P3293" s="17"/>
      <c r="Q3293" s="17"/>
    </row>
    <row r="3294" spans="2:17">
      <c r="B3294" s="17"/>
      <c r="C3294" s="16" t="str">
        <f>IFERROR(VLOOKUP(DATA!#REF!,DATA!#REF!,1,FALSE),"")</f>
        <v/>
      </c>
      <c r="D3294" s="16" t="str">
        <f>IFERROR(VLOOKUP(C3294,DATA!#REF!,2,FALSE),"")</f>
        <v/>
      </c>
      <c r="I3294" s="17"/>
      <c r="J3294" s="17"/>
      <c r="P3294" s="17"/>
      <c r="Q3294" s="17"/>
    </row>
    <row r="3295" spans="2:17">
      <c r="B3295" s="17"/>
      <c r="C3295" s="16" t="str">
        <f>IFERROR(VLOOKUP(DATA!#REF!,DATA!#REF!,1,FALSE),"")</f>
        <v/>
      </c>
      <c r="D3295" s="16" t="str">
        <f>IFERROR(VLOOKUP(C3295,DATA!#REF!,2,FALSE),"")</f>
        <v/>
      </c>
      <c r="I3295" s="17"/>
      <c r="J3295" s="17"/>
      <c r="P3295" s="17"/>
      <c r="Q3295" s="17"/>
    </row>
    <row r="3296" spans="2:17">
      <c r="B3296" s="17"/>
      <c r="C3296" s="16" t="str">
        <f>IFERROR(VLOOKUP(DATA!#REF!,DATA!#REF!,1,FALSE),"")</f>
        <v/>
      </c>
      <c r="D3296" s="16" t="str">
        <f>IFERROR(VLOOKUP(C3296,DATA!#REF!,2,FALSE),"")</f>
        <v/>
      </c>
      <c r="I3296" s="17"/>
      <c r="J3296" s="17"/>
      <c r="P3296" s="17"/>
      <c r="Q3296" s="17"/>
    </row>
    <row r="3297" spans="2:17">
      <c r="B3297" s="17"/>
      <c r="C3297" s="16" t="str">
        <f>IFERROR(VLOOKUP(DATA!#REF!,DATA!#REF!,1,FALSE),"")</f>
        <v/>
      </c>
      <c r="D3297" s="16" t="str">
        <f>IFERROR(VLOOKUP(C3297,DATA!#REF!,2,FALSE),"")</f>
        <v/>
      </c>
      <c r="I3297" s="17"/>
      <c r="J3297" s="17"/>
      <c r="P3297" s="17"/>
      <c r="Q3297" s="17"/>
    </row>
    <row r="3298" spans="2:17">
      <c r="B3298" s="17"/>
      <c r="C3298" s="16" t="str">
        <f>IFERROR(VLOOKUP(DATA!#REF!,DATA!#REF!,1,FALSE),"")</f>
        <v/>
      </c>
      <c r="D3298" s="16" t="str">
        <f>IFERROR(VLOOKUP(C3298,DATA!#REF!,2,FALSE),"")</f>
        <v/>
      </c>
      <c r="I3298" s="17"/>
      <c r="J3298" s="17"/>
      <c r="P3298" s="17"/>
      <c r="Q3298" s="17"/>
    </row>
    <row r="3299" spans="2:17">
      <c r="B3299" s="17"/>
      <c r="C3299" s="16" t="str">
        <f>IFERROR(VLOOKUP(DATA!#REF!,DATA!#REF!,1,FALSE),"")</f>
        <v/>
      </c>
      <c r="D3299" s="16" t="str">
        <f>IFERROR(VLOOKUP(C3299,DATA!#REF!,2,FALSE),"")</f>
        <v/>
      </c>
      <c r="I3299" s="17"/>
      <c r="J3299" s="17"/>
      <c r="P3299" s="17"/>
      <c r="Q3299" s="17"/>
    </row>
    <row r="3300" spans="2:17">
      <c r="B3300" s="17"/>
      <c r="C3300" s="16" t="str">
        <f>IFERROR(VLOOKUP(DATA!#REF!,DATA!#REF!,1,FALSE),"")</f>
        <v/>
      </c>
      <c r="D3300" s="16" t="str">
        <f>IFERROR(VLOOKUP(C3300,DATA!#REF!,2,FALSE),"")</f>
        <v/>
      </c>
      <c r="I3300" s="17"/>
      <c r="J3300" s="17"/>
      <c r="P3300" s="17"/>
      <c r="Q3300" s="17"/>
    </row>
    <row r="3301" spans="2:17">
      <c r="B3301" s="17"/>
      <c r="C3301" s="16" t="str">
        <f>IFERROR(VLOOKUP(DATA!#REF!,DATA!#REF!,1,FALSE),"")</f>
        <v/>
      </c>
      <c r="D3301" s="16" t="str">
        <f>IFERROR(VLOOKUP(C3301,DATA!#REF!,2,FALSE),"")</f>
        <v/>
      </c>
      <c r="I3301" s="17"/>
      <c r="J3301" s="17"/>
      <c r="P3301" s="17"/>
      <c r="Q3301" s="17"/>
    </row>
    <row r="3302" spans="2:17">
      <c r="B3302" s="17"/>
      <c r="C3302" s="16" t="str">
        <f>IFERROR(VLOOKUP(DATA!#REF!,DATA!#REF!,1,FALSE),"")</f>
        <v/>
      </c>
      <c r="D3302" s="16" t="str">
        <f>IFERROR(VLOOKUP(C3302,DATA!#REF!,2,FALSE),"")</f>
        <v/>
      </c>
      <c r="I3302" s="17"/>
      <c r="J3302" s="17"/>
      <c r="P3302" s="17"/>
      <c r="Q3302" s="17"/>
    </row>
    <row r="3303" spans="2:17">
      <c r="B3303" s="17"/>
      <c r="C3303" s="16" t="str">
        <f>IFERROR(VLOOKUP(DATA!#REF!,DATA!#REF!,1,FALSE),"")</f>
        <v/>
      </c>
      <c r="D3303" s="16" t="str">
        <f>IFERROR(VLOOKUP(C3303,DATA!#REF!,2,FALSE),"")</f>
        <v/>
      </c>
      <c r="I3303" s="17"/>
      <c r="J3303" s="17"/>
      <c r="P3303" s="17"/>
      <c r="Q3303" s="17"/>
    </row>
    <row r="3304" spans="2:17">
      <c r="B3304" s="17"/>
      <c r="C3304" s="16" t="str">
        <f>IFERROR(VLOOKUP(DATA!#REF!,DATA!#REF!,1,FALSE),"")</f>
        <v/>
      </c>
      <c r="D3304" s="16" t="str">
        <f>IFERROR(VLOOKUP(C3304,DATA!#REF!,2,FALSE),"")</f>
        <v/>
      </c>
      <c r="I3304" s="17"/>
      <c r="J3304" s="17"/>
      <c r="P3304" s="17"/>
      <c r="Q3304" s="17"/>
    </row>
    <row r="3305" spans="2:17">
      <c r="B3305" s="17"/>
      <c r="C3305" s="16" t="str">
        <f>IFERROR(VLOOKUP(DATA!#REF!,DATA!#REF!,1,FALSE),"")</f>
        <v/>
      </c>
      <c r="D3305" s="16" t="str">
        <f>IFERROR(VLOOKUP(C3305,DATA!#REF!,2,FALSE),"")</f>
        <v/>
      </c>
      <c r="I3305" s="17"/>
      <c r="J3305" s="17"/>
      <c r="P3305" s="17"/>
      <c r="Q3305" s="17"/>
    </row>
    <row r="3306" spans="2:17">
      <c r="B3306" s="17"/>
      <c r="C3306" s="16" t="str">
        <f>IFERROR(VLOOKUP(DATA!#REF!,DATA!#REF!,1,FALSE),"")</f>
        <v/>
      </c>
      <c r="D3306" s="16" t="str">
        <f>IFERROR(VLOOKUP(C3306,DATA!#REF!,2,FALSE),"")</f>
        <v/>
      </c>
      <c r="I3306" s="17"/>
      <c r="J3306" s="17"/>
      <c r="P3306" s="17"/>
      <c r="Q3306" s="17"/>
    </row>
    <row r="3307" spans="2:17">
      <c r="B3307" s="17"/>
      <c r="C3307" s="16" t="str">
        <f>IFERROR(VLOOKUP(DATA!#REF!,DATA!#REF!,1,FALSE),"")</f>
        <v/>
      </c>
      <c r="D3307" s="16" t="str">
        <f>IFERROR(VLOOKUP(C3307,DATA!#REF!,2,FALSE),"")</f>
        <v/>
      </c>
      <c r="I3307" s="17"/>
      <c r="J3307" s="17"/>
      <c r="P3307" s="17"/>
      <c r="Q3307" s="17"/>
    </row>
    <row r="3308" spans="2:17">
      <c r="B3308" s="17"/>
      <c r="C3308" s="16" t="str">
        <f>IFERROR(VLOOKUP(DATA!#REF!,DATA!#REF!,1,FALSE),"")</f>
        <v/>
      </c>
      <c r="D3308" s="16" t="str">
        <f>IFERROR(VLOOKUP(C3308,DATA!#REF!,2,FALSE),"")</f>
        <v/>
      </c>
      <c r="I3308" s="17"/>
      <c r="J3308" s="17"/>
      <c r="P3308" s="17"/>
      <c r="Q3308" s="17"/>
    </row>
    <row r="3309" spans="2:17">
      <c r="B3309" s="17"/>
      <c r="C3309" s="16" t="str">
        <f>IFERROR(VLOOKUP(DATA!#REF!,DATA!#REF!,1,FALSE),"")</f>
        <v/>
      </c>
      <c r="D3309" s="16" t="str">
        <f>IFERROR(VLOOKUP(C3309,DATA!#REF!,2,FALSE),"")</f>
        <v/>
      </c>
      <c r="I3309" s="17"/>
      <c r="J3309" s="17"/>
      <c r="P3309" s="17"/>
      <c r="Q3309" s="17"/>
    </row>
    <row r="3310" spans="2:17">
      <c r="B3310" s="17"/>
      <c r="C3310" s="16" t="str">
        <f>IFERROR(VLOOKUP(DATA!#REF!,DATA!#REF!,1,FALSE),"")</f>
        <v/>
      </c>
      <c r="D3310" s="16" t="str">
        <f>IFERROR(VLOOKUP(C3310,DATA!#REF!,2,FALSE),"")</f>
        <v/>
      </c>
      <c r="I3310" s="17"/>
      <c r="J3310" s="17"/>
      <c r="P3310" s="17"/>
      <c r="Q3310" s="17"/>
    </row>
    <row r="3311" spans="2:17">
      <c r="B3311" s="17"/>
      <c r="C3311" s="16" t="str">
        <f>IFERROR(VLOOKUP(DATA!#REF!,DATA!#REF!,1,FALSE),"")</f>
        <v/>
      </c>
      <c r="D3311" s="16" t="str">
        <f>IFERROR(VLOOKUP(C3311,DATA!#REF!,2,FALSE),"")</f>
        <v/>
      </c>
      <c r="I3311" s="17"/>
      <c r="J3311" s="17"/>
      <c r="P3311" s="17"/>
      <c r="Q3311" s="17"/>
    </row>
    <row r="3312" spans="2:17">
      <c r="B3312" s="17"/>
      <c r="C3312" s="16" t="str">
        <f>IFERROR(VLOOKUP(DATA!#REF!,DATA!#REF!,1,FALSE),"")</f>
        <v/>
      </c>
      <c r="D3312" s="16" t="str">
        <f>IFERROR(VLOOKUP(C3312,DATA!#REF!,2,FALSE),"")</f>
        <v/>
      </c>
      <c r="I3312" s="17"/>
      <c r="J3312" s="17"/>
      <c r="P3312" s="17"/>
      <c r="Q3312" s="17"/>
    </row>
    <row r="3313" spans="2:17">
      <c r="B3313" s="17"/>
      <c r="C3313" s="16" t="str">
        <f>IFERROR(VLOOKUP(DATA!#REF!,DATA!#REF!,1,FALSE),"")</f>
        <v/>
      </c>
      <c r="D3313" s="16" t="str">
        <f>IFERROR(VLOOKUP(C3313,DATA!#REF!,2,FALSE),"")</f>
        <v/>
      </c>
      <c r="I3313" s="17"/>
      <c r="J3313" s="17"/>
      <c r="P3313" s="17"/>
      <c r="Q3313" s="17"/>
    </row>
    <row r="3314" spans="2:17">
      <c r="B3314" s="17"/>
      <c r="C3314" s="16" t="str">
        <f>IFERROR(VLOOKUP(DATA!#REF!,DATA!#REF!,1,FALSE),"")</f>
        <v/>
      </c>
      <c r="D3314" s="16" t="str">
        <f>IFERROR(VLOOKUP(C3314,DATA!#REF!,2,FALSE),"")</f>
        <v/>
      </c>
      <c r="I3314" s="17"/>
      <c r="J3314" s="17"/>
      <c r="P3314" s="17"/>
      <c r="Q3314" s="17"/>
    </row>
    <row r="3315" spans="2:17">
      <c r="B3315" s="17"/>
      <c r="C3315" s="16" t="str">
        <f>IFERROR(VLOOKUP(DATA!#REF!,DATA!#REF!,1,FALSE),"")</f>
        <v/>
      </c>
      <c r="D3315" s="16" t="str">
        <f>IFERROR(VLOOKUP(C3315,DATA!#REF!,2,FALSE),"")</f>
        <v/>
      </c>
      <c r="I3315" s="17"/>
      <c r="J3315" s="17"/>
      <c r="P3315" s="17"/>
      <c r="Q3315" s="17"/>
    </row>
    <row r="3316" spans="2:17">
      <c r="B3316" s="17"/>
      <c r="C3316" s="16" t="str">
        <f>IFERROR(VLOOKUP(DATA!#REF!,DATA!#REF!,1,FALSE),"")</f>
        <v/>
      </c>
      <c r="D3316" s="16" t="str">
        <f>IFERROR(VLOOKUP(C3316,DATA!#REF!,2,FALSE),"")</f>
        <v/>
      </c>
      <c r="I3316" s="17"/>
      <c r="J3316" s="17"/>
      <c r="P3316" s="17"/>
      <c r="Q3316" s="17"/>
    </row>
    <row r="3317" spans="2:17">
      <c r="B3317" s="17"/>
      <c r="C3317" s="16" t="str">
        <f>IFERROR(VLOOKUP(DATA!#REF!,DATA!#REF!,1,FALSE),"")</f>
        <v/>
      </c>
      <c r="D3317" s="16" t="str">
        <f>IFERROR(VLOOKUP(C3317,DATA!#REF!,2,FALSE),"")</f>
        <v/>
      </c>
      <c r="I3317" s="17"/>
      <c r="J3317" s="17"/>
      <c r="P3317" s="17"/>
      <c r="Q3317" s="17"/>
    </row>
    <row r="3318" spans="2:17">
      <c r="B3318" s="17"/>
      <c r="C3318" s="16" t="str">
        <f>IFERROR(VLOOKUP(DATA!#REF!,DATA!#REF!,1,FALSE),"")</f>
        <v/>
      </c>
      <c r="D3318" s="16" t="str">
        <f>IFERROR(VLOOKUP(C3318,DATA!#REF!,2,FALSE),"")</f>
        <v/>
      </c>
      <c r="I3318" s="17"/>
      <c r="J3318" s="17"/>
      <c r="P3318" s="17"/>
      <c r="Q3318" s="17"/>
    </row>
    <row r="3319" spans="2:17">
      <c r="B3319" s="17"/>
      <c r="C3319" s="16" t="str">
        <f>IFERROR(VLOOKUP(DATA!#REF!,DATA!#REF!,1,FALSE),"")</f>
        <v/>
      </c>
      <c r="D3319" s="16" t="str">
        <f>IFERROR(VLOOKUP(C3319,DATA!#REF!,2,FALSE),"")</f>
        <v/>
      </c>
      <c r="I3319" s="17"/>
      <c r="J3319" s="17"/>
      <c r="P3319" s="17"/>
      <c r="Q3319" s="17"/>
    </row>
    <row r="3320" spans="2:17">
      <c r="B3320" s="17"/>
      <c r="C3320" s="16" t="str">
        <f>IFERROR(VLOOKUP(DATA!#REF!,DATA!#REF!,1,FALSE),"")</f>
        <v/>
      </c>
      <c r="D3320" s="16" t="str">
        <f>IFERROR(VLOOKUP(C3320,DATA!#REF!,2,FALSE),"")</f>
        <v/>
      </c>
      <c r="I3320" s="17"/>
      <c r="J3320" s="17"/>
      <c r="P3320" s="17"/>
      <c r="Q3320" s="17"/>
    </row>
    <row r="3321" spans="2:17">
      <c r="B3321" s="17"/>
      <c r="C3321" s="16" t="str">
        <f>IFERROR(VLOOKUP(DATA!#REF!,DATA!#REF!,1,FALSE),"")</f>
        <v/>
      </c>
      <c r="D3321" s="16" t="str">
        <f>IFERROR(VLOOKUP(C3321,DATA!#REF!,2,FALSE),"")</f>
        <v/>
      </c>
      <c r="I3321" s="17"/>
      <c r="J3321" s="17"/>
      <c r="P3321" s="17"/>
      <c r="Q3321" s="17"/>
    </row>
    <row r="3322" spans="2:17">
      <c r="B3322" s="17"/>
      <c r="C3322" s="16" t="str">
        <f>IFERROR(VLOOKUP(DATA!#REF!,DATA!#REF!,1,FALSE),"")</f>
        <v/>
      </c>
      <c r="D3322" s="16" t="str">
        <f>IFERROR(VLOOKUP(C3322,DATA!#REF!,2,FALSE),"")</f>
        <v/>
      </c>
      <c r="I3322" s="17"/>
      <c r="J3322" s="17"/>
      <c r="P3322" s="17"/>
      <c r="Q3322" s="17"/>
    </row>
    <row r="3323" spans="2:17">
      <c r="B3323" s="17"/>
      <c r="C3323" s="16" t="str">
        <f>IFERROR(VLOOKUP(DATA!#REF!,DATA!#REF!,1,FALSE),"")</f>
        <v/>
      </c>
      <c r="D3323" s="16" t="str">
        <f>IFERROR(VLOOKUP(C3323,DATA!#REF!,2,FALSE),"")</f>
        <v/>
      </c>
      <c r="I3323" s="17"/>
      <c r="J3323" s="17"/>
      <c r="P3323" s="17"/>
      <c r="Q3323" s="17"/>
    </row>
    <row r="3324" spans="2:17">
      <c r="B3324" s="17"/>
      <c r="C3324" s="16" t="str">
        <f>IFERROR(VLOOKUP(DATA!#REF!,DATA!#REF!,1,FALSE),"")</f>
        <v/>
      </c>
      <c r="D3324" s="16" t="str">
        <f>IFERROR(VLOOKUP(C3324,DATA!#REF!,2,FALSE),"")</f>
        <v/>
      </c>
      <c r="I3324" s="17"/>
      <c r="J3324" s="17"/>
      <c r="P3324" s="17"/>
      <c r="Q3324" s="17"/>
    </row>
    <row r="3325" spans="2:17">
      <c r="B3325" s="17"/>
      <c r="C3325" s="16" t="str">
        <f>IFERROR(VLOOKUP(DATA!#REF!,DATA!#REF!,1,FALSE),"")</f>
        <v/>
      </c>
      <c r="D3325" s="16" t="str">
        <f>IFERROR(VLOOKUP(C3325,DATA!#REF!,2,FALSE),"")</f>
        <v/>
      </c>
      <c r="I3325" s="17"/>
      <c r="J3325" s="17"/>
      <c r="P3325" s="17"/>
      <c r="Q3325" s="17"/>
    </row>
    <row r="3326" spans="2:17">
      <c r="B3326" s="17"/>
      <c r="C3326" s="16" t="str">
        <f>IFERROR(VLOOKUP(DATA!#REF!,DATA!#REF!,1,FALSE),"")</f>
        <v/>
      </c>
      <c r="D3326" s="16" t="str">
        <f>IFERROR(VLOOKUP(C3326,DATA!#REF!,2,FALSE),"")</f>
        <v/>
      </c>
      <c r="I3326" s="17"/>
      <c r="J3326" s="17"/>
      <c r="P3326" s="17"/>
      <c r="Q3326" s="17"/>
    </row>
    <row r="3327" spans="2:17">
      <c r="B3327" s="17"/>
      <c r="C3327" s="16" t="str">
        <f>IFERROR(VLOOKUP(DATA!#REF!,DATA!#REF!,1,FALSE),"")</f>
        <v/>
      </c>
      <c r="D3327" s="16" t="str">
        <f>IFERROR(VLOOKUP(C3327,DATA!#REF!,2,FALSE),"")</f>
        <v/>
      </c>
      <c r="I3327" s="17"/>
      <c r="J3327" s="17"/>
      <c r="P3327" s="17"/>
      <c r="Q3327" s="17"/>
    </row>
    <row r="3328" spans="2:17">
      <c r="B3328" s="17"/>
      <c r="C3328" s="16" t="str">
        <f>IFERROR(VLOOKUP(DATA!#REF!,DATA!#REF!,1,FALSE),"")</f>
        <v/>
      </c>
      <c r="D3328" s="16" t="str">
        <f>IFERROR(VLOOKUP(C3328,DATA!#REF!,2,FALSE),"")</f>
        <v/>
      </c>
      <c r="I3328" s="17"/>
      <c r="J3328" s="17"/>
      <c r="P3328" s="17"/>
      <c r="Q3328" s="17"/>
    </row>
    <row r="3329" spans="2:17">
      <c r="B3329" s="17"/>
      <c r="C3329" s="16" t="str">
        <f>IFERROR(VLOOKUP(DATA!#REF!,DATA!#REF!,1,FALSE),"")</f>
        <v/>
      </c>
      <c r="D3329" s="16" t="str">
        <f>IFERROR(VLOOKUP(C3329,DATA!#REF!,2,FALSE),"")</f>
        <v/>
      </c>
      <c r="I3329" s="17"/>
      <c r="J3329" s="17"/>
      <c r="P3329" s="17"/>
      <c r="Q3329" s="17"/>
    </row>
    <row r="3330" spans="2:17">
      <c r="B3330" s="17"/>
      <c r="C3330" s="16" t="str">
        <f>IFERROR(VLOOKUP(DATA!#REF!,DATA!#REF!,1,FALSE),"")</f>
        <v/>
      </c>
      <c r="D3330" s="16" t="str">
        <f>IFERROR(VLOOKUP(C3330,DATA!#REF!,2,FALSE),"")</f>
        <v/>
      </c>
      <c r="I3330" s="17"/>
      <c r="J3330" s="17"/>
      <c r="P3330" s="17"/>
      <c r="Q3330" s="17"/>
    </row>
    <row r="3331" spans="2:17">
      <c r="B3331" s="17"/>
      <c r="C3331" s="16" t="str">
        <f>IFERROR(VLOOKUP(DATA!#REF!,DATA!#REF!,1,FALSE),"")</f>
        <v/>
      </c>
      <c r="D3331" s="16" t="str">
        <f>IFERROR(VLOOKUP(C3331,DATA!#REF!,2,FALSE),"")</f>
        <v/>
      </c>
      <c r="I3331" s="17"/>
      <c r="J3331" s="17"/>
      <c r="P3331" s="17"/>
      <c r="Q3331" s="17"/>
    </row>
    <row r="3332" spans="2:17">
      <c r="B3332" s="17"/>
      <c r="C3332" s="16" t="str">
        <f>IFERROR(VLOOKUP(DATA!#REF!,DATA!#REF!,1,FALSE),"")</f>
        <v/>
      </c>
      <c r="D3332" s="16" t="str">
        <f>IFERROR(VLOOKUP(C3332,DATA!#REF!,2,FALSE),"")</f>
        <v/>
      </c>
      <c r="I3332" s="17"/>
      <c r="J3332" s="17"/>
      <c r="P3332" s="17"/>
      <c r="Q3332" s="17"/>
    </row>
    <row r="3333" spans="2:17">
      <c r="B3333" s="17"/>
      <c r="C3333" s="16" t="str">
        <f>IFERROR(VLOOKUP(DATA!#REF!,DATA!#REF!,1,FALSE),"")</f>
        <v/>
      </c>
      <c r="D3333" s="16" t="str">
        <f>IFERROR(VLOOKUP(C3333,DATA!#REF!,2,FALSE),"")</f>
        <v/>
      </c>
      <c r="I3333" s="17"/>
      <c r="J3333" s="17"/>
      <c r="P3333" s="17"/>
      <c r="Q3333" s="17"/>
    </row>
    <row r="3334" spans="2:17">
      <c r="B3334" s="17"/>
      <c r="C3334" s="16" t="str">
        <f>IFERROR(VLOOKUP(DATA!#REF!,DATA!#REF!,1,FALSE),"")</f>
        <v/>
      </c>
      <c r="D3334" s="16" t="str">
        <f>IFERROR(VLOOKUP(C3334,DATA!#REF!,2,FALSE),"")</f>
        <v/>
      </c>
      <c r="I3334" s="17"/>
      <c r="J3334" s="17"/>
      <c r="P3334" s="17"/>
      <c r="Q3334" s="17"/>
    </row>
    <row r="3335" spans="2:17">
      <c r="B3335" s="17"/>
      <c r="C3335" s="16" t="str">
        <f>IFERROR(VLOOKUP(DATA!#REF!,DATA!#REF!,1,FALSE),"")</f>
        <v/>
      </c>
      <c r="D3335" s="16" t="str">
        <f>IFERROR(VLOOKUP(C3335,DATA!#REF!,2,FALSE),"")</f>
        <v/>
      </c>
      <c r="I3335" s="17"/>
      <c r="J3335" s="17"/>
      <c r="P3335" s="17"/>
      <c r="Q3335" s="17"/>
    </row>
    <row r="3336" spans="2:17">
      <c r="B3336" s="17"/>
      <c r="C3336" s="16" t="str">
        <f>IFERROR(VLOOKUP(DATA!#REF!,DATA!#REF!,1,FALSE),"")</f>
        <v/>
      </c>
      <c r="D3336" s="16" t="str">
        <f>IFERROR(VLOOKUP(C3336,DATA!#REF!,2,FALSE),"")</f>
        <v/>
      </c>
      <c r="I3336" s="17"/>
      <c r="J3336" s="17"/>
      <c r="P3336" s="17"/>
      <c r="Q3336" s="17"/>
    </row>
    <row r="3337" spans="2:17">
      <c r="B3337" s="17"/>
      <c r="C3337" s="16" t="str">
        <f>IFERROR(VLOOKUP(DATA!#REF!,DATA!#REF!,1,FALSE),"")</f>
        <v/>
      </c>
      <c r="D3337" s="16" t="str">
        <f>IFERROR(VLOOKUP(C3337,DATA!#REF!,2,FALSE),"")</f>
        <v/>
      </c>
      <c r="I3337" s="17"/>
      <c r="J3337" s="17"/>
      <c r="P3337" s="17"/>
      <c r="Q3337" s="17"/>
    </row>
    <row r="3338" spans="2:17">
      <c r="B3338" s="17"/>
      <c r="C3338" s="16" t="str">
        <f>IFERROR(VLOOKUP(DATA!#REF!,DATA!#REF!,1,FALSE),"")</f>
        <v/>
      </c>
      <c r="D3338" s="16" t="str">
        <f>IFERROR(VLOOKUP(C3338,DATA!#REF!,2,FALSE),"")</f>
        <v/>
      </c>
      <c r="I3338" s="17"/>
      <c r="J3338" s="17"/>
      <c r="P3338" s="17"/>
      <c r="Q3338" s="17"/>
    </row>
    <row r="3339" spans="2:17">
      <c r="B3339" s="17"/>
      <c r="C3339" s="16" t="str">
        <f>IFERROR(VLOOKUP(DATA!#REF!,DATA!#REF!,1,FALSE),"")</f>
        <v/>
      </c>
      <c r="D3339" s="16" t="str">
        <f>IFERROR(VLOOKUP(C3339,DATA!#REF!,2,FALSE),"")</f>
        <v/>
      </c>
      <c r="I3339" s="17"/>
      <c r="J3339" s="17"/>
      <c r="P3339" s="17"/>
      <c r="Q3339" s="17"/>
    </row>
    <row r="3340" spans="2:17">
      <c r="B3340" s="17"/>
      <c r="C3340" s="16" t="str">
        <f>IFERROR(VLOOKUP(DATA!#REF!,DATA!#REF!,1,FALSE),"")</f>
        <v/>
      </c>
      <c r="D3340" s="16" t="str">
        <f>IFERROR(VLOOKUP(C3340,DATA!#REF!,2,FALSE),"")</f>
        <v/>
      </c>
      <c r="I3340" s="17"/>
      <c r="J3340" s="17"/>
      <c r="P3340" s="17"/>
      <c r="Q3340" s="17"/>
    </row>
    <row r="3341" spans="2:17">
      <c r="B3341" s="17"/>
      <c r="C3341" s="16" t="str">
        <f>IFERROR(VLOOKUP(DATA!#REF!,DATA!#REF!,1,FALSE),"")</f>
        <v/>
      </c>
      <c r="D3341" s="16" t="str">
        <f>IFERROR(VLOOKUP(C3341,DATA!#REF!,2,FALSE),"")</f>
        <v/>
      </c>
      <c r="I3341" s="17"/>
      <c r="J3341" s="17"/>
      <c r="P3341" s="17"/>
      <c r="Q3341" s="17"/>
    </row>
    <row r="3342" spans="2:17">
      <c r="B3342" s="17"/>
      <c r="C3342" s="16" t="str">
        <f>IFERROR(VLOOKUP(DATA!#REF!,DATA!#REF!,1,FALSE),"")</f>
        <v/>
      </c>
      <c r="D3342" s="16" t="str">
        <f>IFERROR(VLOOKUP(C3342,DATA!#REF!,2,FALSE),"")</f>
        <v/>
      </c>
      <c r="I3342" s="17"/>
      <c r="J3342" s="17"/>
      <c r="P3342" s="17"/>
      <c r="Q3342" s="17"/>
    </row>
    <row r="3343" spans="2:17">
      <c r="B3343" s="17"/>
      <c r="C3343" s="16" t="str">
        <f>IFERROR(VLOOKUP(DATA!#REF!,DATA!#REF!,1,FALSE),"")</f>
        <v/>
      </c>
      <c r="D3343" s="16" t="str">
        <f>IFERROR(VLOOKUP(C3343,DATA!#REF!,2,FALSE),"")</f>
        <v/>
      </c>
      <c r="I3343" s="17"/>
      <c r="J3343" s="17"/>
      <c r="P3343" s="17"/>
      <c r="Q3343" s="17"/>
    </row>
    <row r="3344" spans="2:17">
      <c r="B3344" s="17"/>
      <c r="C3344" s="16" t="str">
        <f>IFERROR(VLOOKUP(DATA!#REF!,DATA!#REF!,1,FALSE),"")</f>
        <v/>
      </c>
      <c r="D3344" s="16" t="str">
        <f>IFERROR(VLOOKUP(C3344,DATA!#REF!,2,FALSE),"")</f>
        <v/>
      </c>
      <c r="I3344" s="17"/>
      <c r="J3344" s="17"/>
      <c r="P3344" s="17"/>
      <c r="Q3344" s="17"/>
    </row>
    <row r="3345" spans="2:17">
      <c r="B3345" s="17"/>
      <c r="C3345" s="16" t="str">
        <f>IFERROR(VLOOKUP(DATA!#REF!,DATA!#REF!,1,FALSE),"")</f>
        <v/>
      </c>
      <c r="D3345" s="16" t="str">
        <f>IFERROR(VLOOKUP(C3345,DATA!#REF!,2,FALSE),"")</f>
        <v/>
      </c>
      <c r="I3345" s="17"/>
      <c r="J3345" s="17"/>
      <c r="P3345" s="17"/>
      <c r="Q3345" s="17"/>
    </row>
    <row r="3346" spans="2:17">
      <c r="B3346" s="17"/>
      <c r="C3346" s="16" t="str">
        <f>IFERROR(VLOOKUP(DATA!#REF!,DATA!#REF!,1,FALSE),"")</f>
        <v/>
      </c>
      <c r="D3346" s="16" t="str">
        <f>IFERROR(VLOOKUP(C3346,DATA!#REF!,2,FALSE),"")</f>
        <v/>
      </c>
      <c r="I3346" s="17"/>
      <c r="J3346" s="17"/>
      <c r="P3346" s="17"/>
      <c r="Q3346" s="17"/>
    </row>
    <row r="3347" spans="2:17">
      <c r="B3347" s="17"/>
      <c r="C3347" s="16" t="str">
        <f>IFERROR(VLOOKUP(DATA!#REF!,DATA!#REF!,1,FALSE),"")</f>
        <v/>
      </c>
      <c r="D3347" s="16" t="str">
        <f>IFERROR(VLOOKUP(C3347,DATA!#REF!,2,FALSE),"")</f>
        <v/>
      </c>
      <c r="I3347" s="17"/>
      <c r="J3347" s="17"/>
      <c r="P3347" s="17"/>
      <c r="Q3347" s="17"/>
    </row>
    <row r="3348" spans="2:17">
      <c r="B3348" s="17"/>
      <c r="C3348" s="16" t="str">
        <f>IFERROR(VLOOKUP(DATA!#REF!,DATA!#REF!,1,FALSE),"")</f>
        <v/>
      </c>
      <c r="D3348" s="16" t="str">
        <f>IFERROR(VLOOKUP(C3348,DATA!#REF!,2,FALSE),"")</f>
        <v/>
      </c>
      <c r="I3348" s="17"/>
      <c r="J3348" s="17"/>
      <c r="P3348" s="17"/>
      <c r="Q3348" s="17"/>
    </row>
    <row r="3349" spans="2:17">
      <c r="B3349" s="17"/>
      <c r="C3349" s="16" t="str">
        <f>IFERROR(VLOOKUP(DATA!#REF!,DATA!#REF!,1,FALSE),"")</f>
        <v/>
      </c>
      <c r="D3349" s="16" t="str">
        <f>IFERROR(VLOOKUP(C3349,DATA!#REF!,2,FALSE),"")</f>
        <v/>
      </c>
      <c r="I3349" s="17"/>
      <c r="J3349" s="17"/>
      <c r="P3349" s="17"/>
      <c r="Q3349" s="17"/>
    </row>
    <row r="3350" spans="2:17">
      <c r="B3350" s="17"/>
      <c r="C3350" s="16" t="str">
        <f>IFERROR(VLOOKUP(DATA!#REF!,DATA!#REF!,1,FALSE),"")</f>
        <v/>
      </c>
      <c r="D3350" s="16" t="str">
        <f>IFERROR(VLOOKUP(C3350,DATA!#REF!,2,FALSE),"")</f>
        <v/>
      </c>
      <c r="I3350" s="17"/>
      <c r="J3350" s="17"/>
      <c r="P3350" s="17"/>
      <c r="Q3350" s="17"/>
    </row>
    <row r="3351" spans="2:17">
      <c r="B3351" s="17"/>
      <c r="C3351" s="16" t="str">
        <f>IFERROR(VLOOKUP(DATA!#REF!,DATA!#REF!,1,FALSE),"")</f>
        <v/>
      </c>
      <c r="D3351" s="16" t="str">
        <f>IFERROR(VLOOKUP(C3351,DATA!#REF!,2,FALSE),"")</f>
        <v/>
      </c>
      <c r="I3351" s="17"/>
      <c r="J3351" s="17"/>
      <c r="P3351" s="17"/>
      <c r="Q3351" s="17"/>
    </row>
    <row r="3352" spans="2:17">
      <c r="B3352" s="17"/>
      <c r="C3352" s="16" t="str">
        <f>IFERROR(VLOOKUP(DATA!#REF!,DATA!#REF!,1,FALSE),"")</f>
        <v/>
      </c>
      <c r="D3352" s="16" t="str">
        <f>IFERROR(VLOOKUP(C3352,DATA!#REF!,2,FALSE),"")</f>
        <v/>
      </c>
      <c r="I3352" s="17"/>
      <c r="J3352" s="17"/>
      <c r="P3352" s="17"/>
      <c r="Q3352" s="17"/>
    </row>
    <row r="3353" spans="2:17">
      <c r="B3353" s="17"/>
      <c r="C3353" s="16" t="str">
        <f>IFERROR(VLOOKUP(DATA!#REF!,DATA!#REF!,1,FALSE),"")</f>
        <v/>
      </c>
      <c r="D3353" s="16" t="str">
        <f>IFERROR(VLOOKUP(C3353,DATA!#REF!,2,FALSE),"")</f>
        <v/>
      </c>
      <c r="I3353" s="17"/>
      <c r="J3353" s="17"/>
      <c r="P3353" s="17"/>
      <c r="Q3353" s="17"/>
    </row>
    <row r="3354" spans="2:17">
      <c r="B3354" s="17"/>
      <c r="C3354" s="16" t="str">
        <f>IFERROR(VLOOKUP(DATA!#REF!,DATA!#REF!,1,FALSE),"")</f>
        <v/>
      </c>
      <c r="D3354" s="16" t="str">
        <f>IFERROR(VLOOKUP(C3354,DATA!#REF!,2,FALSE),"")</f>
        <v/>
      </c>
      <c r="I3354" s="17"/>
      <c r="J3354" s="17"/>
      <c r="P3354" s="17"/>
      <c r="Q3354" s="17"/>
    </row>
    <row r="3355" spans="2:17">
      <c r="B3355" s="17"/>
      <c r="C3355" s="16" t="str">
        <f>IFERROR(VLOOKUP(DATA!#REF!,DATA!#REF!,1,FALSE),"")</f>
        <v/>
      </c>
      <c r="D3355" s="16" t="str">
        <f>IFERROR(VLOOKUP(C3355,DATA!#REF!,2,FALSE),"")</f>
        <v/>
      </c>
      <c r="I3355" s="17"/>
      <c r="J3355" s="17"/>
      <c r="P3355" s="17"/>
      <c r="Q3355" s="17"/>
    </row>
    <row r="3356" spans="2:17">
      <c r="B3356" s="17"/>
      <c r="C3356" s="16" t="str">
        <f>IFERROR(VLOOKUP(DATA!#REF!,DATA!#REF!,1,FALSE),"")</f>
        <v/>
      </c>
      <c r="D3356" s="16" t="str">
        <f>IFERROR(VLOOKUP(C3356,DATA!#REF!,2,FALSE),"")</f>
        <v/>
      </c>
      <c r="I3356" s="17"/>
      <c r="J3356" s="17"/>
      <c r="P3356" s="17"/>
      <c r="Q3356" s="17"/>
    </row>
    <row r="3357" spans="2:17">
      <c r="B3357" s="17"/>
      <c r="C3357" s="16" t="str">
        <f>IFERROR(VLOOKUP(DATA!#REF!,DATA!#REF!,1,FALSE),"")</f>
        <v/>
      </c>
      <c r="D3357" s="16" t="str">
        <f>IFERROR(VLOOKUP(C3357,DATA!#REF!,2,FALSE),"")</f>
        <v/>
      </c>
      <c r="I3357" s="17"/>
      <c r="J3357" s="17"/>
      <c r="P3357" s="17"/>
      <c r="Q3357" s="17"/>
    </row>
    <row r="3358" spans="2:17">
      <c r="B3358" s="17"/>
      <c r="C3358" s="16" t="str">
        <f>IFERROR(VLOOKUP(DATA!#REF!,DATA!#REF!,1,FALSE),"")</f>
        <v/>
      </c>
      <c r="D3358" s="16" t="str">
        <f>IFERROR(VLOOKUP(C3358,DATA!#REF!,2,FALSE),"")</f>
        <v/>
      </c>
      <c r="I3358" s="17"/>
      <c r="J3358" s="17"/>
      <c r="P3358" s="17"/>
      <c r="Q3358" s="17"/>
    </row>
    <row r="3359" spans="2:17">
      <c r="B3359" s="17"/>
      <c r="C3359" s="16" t="str">
        <f>IFERROR(VLOOKUP(DATA!#REF!,DATA!#REF!,1,FALSE),"")</f>
        <v/>
      </c>
      <c r="D3359" s="16" t="str">
        <f>IFERROR(VLOOKUP(C3359,DATA!#REF!,2,FALSE),"")</f>
        <v/>
      </c>
      <c r="I3359" s="17"/>
      <c r="J3359" s="17"/>
      <c r="P3359" s="17"/>
      <c r="Q3359" s="17"/>
    </row>
    <row r="3360" spans="2:17">
      <c r="B3360" s="17"/>
      <c r="C3360" s="16" t="str">
        <f>IFERROR(VLOOKUP(DATA!#REF!,DATA!#REF!,1,FALSE),"")</f>
        <v/>
      </c>
      <c r="D3360" s="16" t="str">
        <f>IFERROR(VLOOKUP(C3360,DATA!#REF!,2,FALSE),"")</f>
        <v/>
      </c>
      <c r="I3360" s="17"/>
      <c r="J3360" s="17"/>
      <c r="P3360" s="17"/>
      <c r="Q3360" s="17"/>
    </row>
    <row r="3361" spans="2:17">
      <c r="B3361" s="17"/>
      <c r="C3361" s="16" t="str">
        <f>IFERROR(VLOOKUP(DATA!#REF!,DATA!#REF!,1,FALSE),"")</f>
        <v/>
      </c>
      <c r="D3361" s="16" t="str">
        <f>IFERROR(VLOOKUP(C3361,DATA!#REF!,2,FALSE),"")</f>
        <v/>
      </c>
      <c r="I3361" s="17"/>
      <c r="J3361" s="17"/>
      <c r="P3361" s="17"/>
      <c r="Q3361" s="17"/>
    </row>
    <row r="3362" spans="2:17">
      <c r="B3362" s="17"/>
      <c r="C3362" s="16" t="str">
        <f>IFERROR(VLOOKUP(DATA!#REF!,DATA!#REF!,1,FALSE),"")</f>
        <v/>
      </c>
      <c r="D3362" s="16" t="str">
        <f>IFERROR(VLOOKUP(C3362,DATA!#REF!,2,FALSE),"")</f>
        <v/>
      </c>
      <c r="I3362" s="17"/>
      <c r="J3362" s="17"/>
      <c r="P3362" s="17"/>
      <c r="Q3362" s="17"/>
    </row>
    <row r="3363" spans="2:17">
      <c r="B3363" s="17"/>
      <c r="C3363" s="16" t="str">
        <f>IFERROR(VLOOKUP(DATA!#REF!,DATA!#REF!,1,FALSE),"")</f>
        <v/>
      </c>
      <c r="D3363" s="16" t="str">
        <f>IFERROR(VLOOKUP(C3363,DATA!#REF!,2,FALSE),"")</f>
        <v/>
      </c>
      <c r="I3363" s="17"/>
      <c r="J3363" s="17"/>
      <c r="P3363" s="17"/>
      <c r="Q3363" s="17"/>
    </row>
    <row r="3364" spans="2:17">
      <c r="B3364" s="17"/>
      <c r="C3364" s="16" t="str">
        <f>IFERROR(VLOOKUP(DATA!#REF!,DATA!#REF!,1,FALSE),"")</f>
        <v/>
      </c>
      <c r="D3364" s="16" t="str">
        <f>IFERROR(VLOOKUP(C3364,DATA!#REF!,2,FALSE),"")</f>
        <v/>
      </c>
      <c r="I3364" s="17"/>
      <c r="J3364" s="17"/>
      <c r="P3364" s="17"/>
      <c r="Q3364" s="17"/>
    </row>
    <row r="3365" spans="2:17">
      <c r="B3365" s="17"/>
      <c r="C3365" s="16" t="str">
        <f>IFERROR(VLOOKUP(DATA!#REF!,DATA!#REF!,1,FALSE),"")</f>
        <v/>
      </c>
      <c r="D3365" s="16" t="str">
        <f>IFERROR(VLOOKUP(C3365,DATA!#REF!,2,FALSE),"")</f>
        <v/>
      </c>
      <c r="I3365" s="17"/>
      <c r="J3365" s="17"/>
      <c r="P3365" s="17"/>
      <c r="Q3365" s="17"/>
    </row>
    <row r="3366" spans="2:17">
      <c r="B3366" s="17"/>
      <c r="C3366" s="16" t="str">
        <f>IFERROR(VLOOKUP(DATA!#REF!,DATA!#REF!,1,FALSE),"")</f>
        <v/>
      </c>
      <c r="D3366" s="16" t="str">
        <f>IFERROR(VLOOKUP(C3366,DATA!#REF!,2,FALSE),"")</f>
        <v/>
      </c>
      <c r="I3366" s="17"/>
      <c r="J3366" s="17"/>
      <c r="P3366" s="17"/>
      <c r="Q3366" s="17"/>
    </row>
    <row r="3367" spans="2:17">
      <c r="B3367" s="17"/>
      <c r="C3367" s="16" t="str">
        <f>IFERROR(VLOOKUP(DATA!#REF!,DATA!#REF!,1,FALSE),"")</f>
        <v/>
      </c>
      <c r="D3367" s="16" t="str">
        <f>IFERROR(VLOOKUP(C3367,DATA!#REF!,2,FALSE),"")</f>
        <v/>
      </c>
      <c r="I3367" s="17"/>
      <c r="J3367" s="17"/>
      <c r="P3367" s="17"/>
      <c r="Q3367" s="17"/>
    </row>
    <row r="3368" spans="2:17">
      <c r="B3368" s="17"/>
      <c r="C3368" s="16" t="str">
        <f>IFERROR(VLOOKUP(DATA!#REF!,DATA!#REF!,1,FALSE),"")</f>
        <v/>
      </c>
      <c r="D3368" s="16" t="str">
        <f>IFERROR(VLOOKUP(C3368,DATA!#REF!,2,FALSE),"")</f>
        <v/>
      </c>
      <c r="I3368" s="17"/>
      <c r="J3368" s="17"/>
      <c r="P3368" s="17"/>
      <c r="Q3368" s="17"/>
    </row>
    <row r="3369" spans="2:17">
      <c r="B3369" s="17"/>
      <c r="C3369" s="16" t="str">
        <f>IFERROR(VLOOKUP(DATA!#REF!,DATA!#REF!,1,FALSE),"")</f>
        <v/>
      </c>
      <c r="D3369" s="16" t="str">
        <f>IFERROR(VLOOKUP(C3369,DATA!#REF!,2,FALSE),"")</f>
        <v/>
      </c>
      <c r="I3369" s="17"/>
      <c r="J3369" s="17"/>
      <c r="P3369" s="17"/>
      <c r="Q3369" s="17"/>
    </row>
    <row r="3370" spans="2:17">
      <c r="B3370" s="17"/>
      <c r="C3370" s="16" t="str">
        <f>IFERROR(VLOOKUP(DATA!#REF!,DATA!#REF!,1,FALSE),"")</f>
        <v/>
      </c>
      <c r="D3370" s="16" t="str">
        <f>IFERROR(VLOOKUP(C3370,DATA!#REF!,2,FALSE),"")</f>
        <v/>
      </c>
      <c r="I3370" s="17"/>
      <c r="J3370" s="17"/>
      <c r="P3370" s="17"/>
      <c r="Q3370" s="17"/>
    </row>
    <row r="3371" spans="2:17">
      <c r="B3371" s="17"/>
      <c r="C3371" s="16" t="str">
        <f>IFERROR(VLOOKUP(DATA!#REF!,DATA!#REF!,1,FALSE),"")</f>
        <v/>
      </c>
      <c r="D3371" s="16" t="str">
        <f>IFERROR(VLOOKUP(C3371,DATA!#REF!,2,FALSE),"")</f>
        <v/>
      </c>
      <c r="I3371" s="17"/>
      <c r="J3371" s="17"/>
      <c r="P3371" s="17"/>
      <c r="Q3371" s="17"/>
    </row>
    <row r="3372" spans="2:17">
      <c r="B3372" s="17"/>
      <c r="C3372" s="16" t="str">
        <f>IFERROR(VLOOKUP(DATA!#REF!,DATA!#REF!,1,FALSE),"")</f>
        <v/>
      </c>
      <c r="D3372" s="16" t="str">
        <f>IFERROR(VLOOKUP(C3372,DATA!#REF!,2,FALSE),"")</f>
        <v/>
      </c>
      <c r="I3372" s="17"/>
      <c r="J3372" s="17"/>
      <c r="P3372" s="17"/>
      <c r="Q3372" s="17"/>
    </row>
    <row r="3373" spans="2:17">
      <c r="B3373" s="17"/>
      <c r="C3373" s="16" t="str">
        <f>IFERROR(VLOOKUP(DATA!#REF!,DATA!#REF!,1,FALSE),"")</f>
        <v/>
      </c>
      <c r="D3373" s="16" t="str">
        <f>IFERROR(VLOOKUP(C3373,DATA!#REF!,2,FALSE),"")</f>
        <v/>
      </c>
      <c r="I3373" s="17"/>
      <c r="J3373" s="17"/>
      <c r="P3373" s="17"/>
      <c r="Q3373" s="17"/>
    </row>
    <row r="3374" spans="2:17">
      <c r="B3374" s="17"/>
      <c r="C3374" s="16" t="str">
        <f>IFERROR(VLOOKUP(DATA!#REF!,DATA!#REF!,1,FALSE),"")</f>
        <v/>
      </c>
      <c r="D3374" s="16" t="str">
        <f>IFERROR(VLOOKUP(C3374,DATA!#REF!,2,FALSE),"")</f>
        <v/>
      </c>
      <c r="I3374" s="17"/>
      <c r="J3374" s="17"/>
      <c r="P3374" s="17"/>
      <c r="Q3374" s="17"/>
    </row>
    <row r="3375" spans="2:17">
      <c r="B3375" s="17"/>
      <c r="C3375" s="16" t="str">
        <f>IFERROR(VLOOKUP(DATA!#REF!,DATA!#REF!,1,FALSE),"")</f>
        <v/>
      </c>
      <c r="D3375" s="16" t="str">
        <f>IFERROR(VLOOKUP(C3375,DATA!#REF!,2,FALSE),"")</f>
        <v/>
      </c>
      <c r="I3375" s="17"/>
      <c r="J3375" s="17"/>
      <c r="P3375" s="17"/>
      <c r="Q3375" s="17"/>
    </row>
    <row r="3376" spans="2:17">
      <c r="B3376" s="17"/>
      <c r="C3376" s="16" t="str">
        <f>IFERROR(VLOOKUP(DATA!#REF!,DATA!#REF!,1,FALSE),"")</f>
        <v/>
      </c>
      <c r="D3376" s="16" t="str">
        <f>IFERROR(VLOOKUP(C3376,DATA!#REF!,2,FALSE),"")</f>
        <v/>
      </c>
      <c r="I3376" s="17"/>
      <c r="J3376" s="17"/>
      <c r="P3376" s="17"/>
      <c r="Q3376" s="17"/>
    </row>
    <row r="3377" spans="2:17">
      <c r="B3377" s="17"/>
      <c r="C3377" s="16" t="str">
        <f>IFERROR(VLOOKUP(DATA!#REF!,DATA!#REF!,1,FALSE),"")</f>
        <v/>
      </c>
      <c r="D3377" s="16" t="str">
        <f>IFERROR(VLOOKUP(C3377,DATA!#REF!,2,FALSE),"")</f>
        <v/>
      </c>
      <c r="I3377" s="17"/>
      <c r="J3377" s="17"/>
      <c r="P3377" s="17"/>
      <c r="Q3377" s="17"/>
    </row>
    <row r="3378" spans="2:17">
      <c r="B3378" s="17"/>
      <c r="C3378" s="16" t="str">
        <f>IFERROR(VLOOKUP(DATA!#REF!,DATA!#REF!,1,FALSE),"")</f>
        <v/>
      </c>
      <c r="D3378" s="16" t="str">
        <f>IFERROR(VLOOKUP(C3378,DATA!#REF!,2,FALSE),"")</f>
        <v/>
      </c>
      <c r="I3378" s="17"/>
      <c r="J3378" s="17"/>
      <c r="P3378" s="17"/>
      <c r="Q3378" s="17"/>
    </row>
    <row r="3379" spans="2:17">
      <c r="B3379" s="17"/>
      <c r="C3379" s="16" t="str">
        <f>IFERROR(VLOOKUP(DATA!#REF!,DATA!#REF!,1,FALSE),"")</f>
        <v/>
      </c>
      <c r="D3379" s="16" t="str">
        <f>IFERROR(VLOOKUP(C3379,DATA!#REF!,2,FALSE),"")</f>
        <v/>
      </c>
      <c r="I3379" s="17"/>
      <c r="J3379" s="17"/>
      <c r="P3379" s="17"/>
      <c r="Q3379" s="17"/>
    </row>
    <row r="3380" spans="2:17">
      <c r="B3380" s="17"/>
      <c r="C3380" s="16" t="str">
        <f>IFERROR(VLOOKUP(DATA!#REF!,DATA!#REF!,1,FALSE),"")</f>
        <v/>
      </c>
      <c r="D3380" s="16" t="str">
        <f>IFERROR(VLOOKUP(C3380,DATA!#REF!,2,FALSE),"")</f>
        <v/>
      </c>
      <c r="I3380" s="17"/>
      <c r="J3380" s="17"/>
      <c r="P3380" s="17"/>
      <c r="Q3380" s="17"/>
    </row>
    <row r="3381" spans="2:17">
      <c r="B3381" s="17"/>
      <c r="C3381" s="16" t="str">
        <f>IFERROR(VLOOKUP(DATA!#REF!,DATA!#REF!,1,FALSE),"")</f>
        <v/>
      </c>
      <c r="D3381" s="16" t="str">
        <f>IFERROR(VLOOKUP(C3381,DATA!#REF!,2,FALSE),"")</f>
        <v/>
      </c>
      <c r="I3381" s="17"/>
      <c r="J3381" s="17"/>
      <c r="P3381" s="17"/>
      <c r="Q3381" s="17"/>
    </row>
    <row r="3382" spans="2:17">
      <c r="B3382" s="17"/>
      <c r="C3382" s="16" t="str">
        <f>IFERROR(VLOOKUP(DATA!#REF!,DATA!#REF!,1,FALSE),"")</f>
        <v/>
      </c>
      <c r="D3382" s="16" t="str">
        <f>IFERROR(VLOOKUP(C3382,DATA!#REF!,2,FALSE),"")</f>
        <v/>
      </c>
      <c r="I3382" s="17"/>
      <c r="J3382" s="17"/>
      <c r="P3382" s="17"/>
      <c r="Q3382" s="17"/>
    </row>
    <row r="3383" spans="2:17">
      <c r="B3383" s="17"/>
      <c r="C3383" s="16" t="str">
        <f>IFERROR(VLOOKUP(DATA!#REF!,DATA!#REF!,1,FALSE),"")</f>
        <v/>
      </c>
      <c r="D3383" s="16" t="str">
        <f>IFERROR(VLOOKUP(C3383,DATA!#REF!,2,FALSE),"")</f>
        <v/>
      </c>
      <c r="I3383" s="17"/>
      <c r="J3383" s="17"/>
      <c r="P3383" s="17"/>
      <c r="Q3383" s="17"/>
    </row>
    <row r="3384" spans="2:17">
      <c r="B3384" s="17"/>
      <c r="C3384" s="16" t="str">
        <f>IFERROR(VLOOKUP(DATA!#REF!,DATA!#REF!,1,FALSE),"")</f>
        <v/>
      </c>
      <c r="D3384" s="16" t="str">
        <f>IFERROR(VLOOKUP(C3384,DATA!#REF!,2,FALSE),"")</f>
        <v/>
      </c>
      <c r="I3384" s="17"/>
      <c r="J3384" s="17"/>
      <c r="P3384" s="17"/>
      <c r="Q3384" s="17"/>
    </row>
    <row r="3385" spans="2:17">
      <c r="B3385" s="17"/>
      <c r="C3385" s="16" t="str">
        <f>IFERROR(VLOOKUP(DATA!#REF!,DATA!#REF!,1,FALSE),"")</f>
        <v/>
      </c>
      <c r="D3385" s="16" t="str">
        <f>IFERROR(VLOOKUP(C3385,DATA!#REF!,2,FALSE),"")</f>
        <v/>
      </c>
      <c r="I3385" s="17"/>
      <c r="J3385" s="17"/>
      <c r="P3385" s="17"/>
      <c r="Q3385" s="17"/>
    </row>
    <row r="3386" spans="2:17">
      <c r="B3386" s="17"/>
      <c r="C3386" s="16" t="str">
        <f>IFERROR(VLOOKUP(DATA!#REF!,DATA!#REF!,1,FALSE),"")</f>
        <v/>
      </c>
      <c r="D3386" s="16" t="str">
        <f>IFERROR(VLOOKUP(C3386,DATA!#REF!,2,FALSE),"")</f>
        <v/>
      </c>
      <c r="I3386" s="17"/>
      <c r="J3386" s="17"/>
      <c r="P3386" s="17"/>
      <c r="Q3386" s="17"/>
    </row>
    <row r="3387" spans="2:17">
      <c r="B3387" s="17"/>
      <c r="C3387" s="16" t="str">
        <f>IFERROR(VLOOKUP(DATA!#REF!,DATA!#REF!,1,FALSE),"")</f>
        <v/>
      </c>
      <c r="D3387" s="16" t="str">
        <f>IFERROR(VLOOKUP(C3387,DATA!#REF!,2,FALSE),"")</f>
        <v/>
      </c>
      <c r="I3387" s="17"/>
      <c r="J3387" s="17"/>
      <c r="P3387" s="17"/>
      <c r="Q3387" s="17"/>
    </row>
    <row r="3388" spans="2:17">
      <c r="B3388" s="17"/>
      <c r="C3388" s="16" t="str">
        <f>IFERROR(VLOOKUP(DATA!#REF!,DATA!#REF!,1,FALSE),"")</f>
        <v/>
      </c>
      <c r="D3388" s="16" t="str">
        <f>IFERROR(VLOOKUP(C3388,DATA!#REF!,2,FALSE),"")</f>
        <v/>
      </c>
      <c r="I3388" s="17"/>
      <c r="J3388" s="17"/>
      <c r="P3388" s="17"/>
      <c r="Q3388" s="17"/>
    </row>
    <row r="3389" spans="2:17">
      <c r="B3389" s="17"/>
      <c r="C3389" s="16" t="str">
        <f>IFERROR(VLOOKUP(DATA!#REF!,DATA!#REF!,1,FALSE),"")</f>
        <v/>
      </c>
      <c r="D3389" s="16" t="str">
        <f>IFERROR(VLOOKUP(C3389,DATA!#REF!,2,FALSE),"")</f>
        <v/>
      </c>
      <c r="I3389" s="17"/>
      <c r="J3389" s="17"/>
      <c r="P3389" s="17"/>
      <c r="Q3389" s="17"/>
    </row>
    <row r="3390" spans="2:17">
      <c r="B3390" s="17"/>
      <c r="C3390" s="16" t="str">
        <f>IFERROR(VLOOKUP(DATA!#REF!,DATA!#REF!,1,FALSE),"")</f>
        <v/>
      </c>
      <c r="D3390" s="16" t="str">
        <f>IFERROR(VLOOKUP(C3390,DATA!#REF!,2,FALSE),"")</f>
        <v/>
      </c>
      <c r="I3390" s="17"/>
      <c r="J3390" s="17"/>
      <c r="P3390" s="17"/>
      <c r="Q3390" s="17"/>
    </row>
    <row r="3391" spans="2:17">
      <c r="B3391" s="17"/>
      <c r="C3391" s="16" t="str">
        <f>IFERROR(VLOOKUP(DATA!#REF!,DATA!#REF!,1,FALSE),"")</f>
        <v/>
      </c>
      <c r="D3391" s="16" t="str">
        <f>IFERROR(VLOOKUP(C3391,DATA!#REF!,2,FALSE),"")</f>
        <v/>
      </c>
      <c r="I3391" s="17"/>
      <c r="J3391" s="17"/>
      <c r="P3391" s="17"/>
      <c r="Q3391" s="17"/>
    </row>
    <row r="3392" spans="2:17">
      <c r="B3392" s="17"/>
      <c r="C3392" s="16" t="str">
        <f>IFERROR(VLOOKUP(DATA!#REF!,DATA!#REF!,1,FALSE),"")</f>
        <v/>
      </c>
      <c r="D3392" s="16" t="str">
        <f>IFERROR(VLOOKUP(C3392,DATA!#REF!,2,FALSE),"")</f>
        <v/>
      </c>
      <c r="I3392" s="17"/>
      <c r="J3392" s="17"/>
      <c r="P3392" s="17"/>
      <c r="Q3392" s="17"/>
    </row>
    <row r="3393" spans="2:17">
      <c r="B3393" s="17"/>
      <c r="C3393" s="16" t="str">
        <f>IFERROR(VLOOKUP(DATA!#REF!,DATA!#REF!,1,FALSE),"")</f>
        <v/>
      </c>
      <c r="D3393" s="16" t="str">
        <f>IFERROR(VLOOKUP(C3393,DATA!#REF!,2,FALSE),"")</f>
        <v/>
      </c>
      <c r="I3393" s="17"/>
      <c r="J3393" s="17"/>
      <c r="P3393" s="17"/>
      <c r="Q3393" s="17"/>
    </row>
    <row r="3394" spans="2:17">
      <c r="B3394" s="17"/>
      <c r="C3394" s="16" t="str">
        <f>IFERROR(VLOOKUP(DATA!#REF!,DATA!#REF!,1,FALSE),"")</f>
        <v/>
      </c>
      <c r="D3394" s="16" t="str">
        <f>IFERROR(VLOOKUP(C3394,DATA!#REF!,2,FALSE),"")</f>
        <v/>
      </c>
      <c r="I3394" s="17"/>
      <c r="J3394" s="17"/>
      <c r="P3394" s="17"/>
      <c r="Q3394" s="17"/>
    </row>
    <row r="3395" spans="2:17">
      <c r="B3395" s="17"/>
      <c r="C3395" s="16" t="str">
        <f>IFERROR(VLOOKUP(DATA!#REF!,DATA!#REF!,1,FALSE),"")</f>
        <v/>
      </c>
      <c r="D3395" s="16" t="str">
        <f>IFERROR(VLOOKUP(C3395,DATA!#REF!,2,FALSE),"")</f>
        <v/>
      </c>
      <c r="I3395" s="17"/>
      <c r="J3395" s="17"/>
      <c r="P3395" s="17"/>
      <c r="Q3395" s="17"/>
    </row>
    <row r="3396" spans="2:17">
      <c r="B3396" s="17"/>
      <c r="C3396" s="16" t="str">
        <f>IFERROR(VLOOKUP(DATA!#REF!,DATA!#REF!,1,FALSE),"")</f>
        <v/>
      </c>
      <c r="D3396" s="16" t="str">
        <f>IFERROR(VLOOKUP(C3396,DATA!#REF!,2,FALSE),"")</f>
        <v/>
      </c>
      <c r="I3396" s="17"/>
      <c r="J3396" s="17"/>
      <c r="P3396" s="17"/>
      <c r="Q3396" s="17"/>
    </row>
    <row r="3397" spans="2:17">
      <c r="B3397" s="17"/>
      <c r="C3397" s="16" t="str">
        <f>IFERROR(VLOOKUP(DATA!#REF!,DATA!#REF!,1,FALSE),"")</f>
        <v/>
      </c>
      <c r="D3397" s="16" t="str">
        <f>IFERROR(VLOOKUP(C3397,DATA!#REF!,2,FALSE),"")</f>
        <v/>
      </c>
      <c r="I3397" s="17"/>
      <c r="J3397" s="17"/>
      <c r="P3397" s="17"/>
      <c r="Q3397" s="17"/>
    </row>
    <row r="3398" spans="2:17">
      <c r="B3398" s="17"/>
      <c r="C3398" s="16" t="str">
        <f>IFERROR(VLOOKUP(DATA!#REF!,DATA!#REF!,1,FALSE),"")</f>
        <v/>
      </c>
      <c r="D3398" s="16" t="str">
        <f>IFERROR(VLOOKUP(C3398,DATA!#REF!,2,FALSE),"")</f>
        <v/>
      </c>
      <c r="I3398" s="17"/>
      <c r="J3398" s="17"/>
      <c r="P3398" s="17"/>
      <c r="Q3398" s="17"/>
    </row>
    <row r="3399" spans="2:17">
      <c r="B3399" s="17"/>
      <c r="C3399" s="16" t="str">
        <f>IFERROR(VLOOKUP(DATA!#REF!,DATA!#REF!,1,FALSE),"")</f>
        <v/>
      </c>
      <c r="D3399" s="16" t="str">
        <f>IFERROR(VLOOKUP(C3399,DATA!#REF!,2,FALSE),"")</f>
        <v/>
      </c>
      <c r="I3399" s="17"/>
      <c r="J3399" s="17"/>
      <c r="P3399" s="17"/>
      <c r="Q3399" s="17"/>
    </row>
    <row r="3400" spans="2:17">
      <c r="B3400" s="17"/>
      <c r="C3400" s="16" t="str">
        <f>IFERROR(VLOOKUP(DATA!#REF!,DATA!#REF!,1,FALSE),"")</f>
        <v/>
      </c>
      <c r="D3400" s="16" t="str">
        <f>IFERROR(VLOOKUP(C3400,DATA!#REF!,2,FALSE),"")</f>
        <v/>
      </c>
      <c r="I3400" s="17"/>
      <c r="J3400" s="17"/>
      <c r="P3400" s="17"/>
      <c r="Q3400" s="17"/>
    </row>
    <row r="3401" spans="2:17">
      <c r="B3401" s="17"/>
      <c r="C3401" s="16" t="str">
        <f>IFERROR(VLOOKUP(DATA!#REF!,DATA!#REF!,1,FALSE),"")</f>
        <v/>
      </c>
      <c r="D3401" s="16" t="str">
        <f>IFERROR(VLOOKUP(C3401,DATA!#REF!,2,FALSE),"")</f>
        <v/>
      </c>
      <c r="I3401" s="17"/>
      <c r="J3401" s="17"/>
      <c r="P3401" s="17"/>
      <c r="Q3401" s="17"/>
    </row>
    <row r="3402" spans="2:17">
      <c r="B3402" s="17"/>
      <c r="C3402" s="16" t="str">
        <f>IFERROR(VLOOKUP(DATA!#REF!,DATA!#REF!,1,FALSE),"")</f>
        <v/>
      </c>
      <c r="D3402" s="16" t="str">
        <f>IFERROR(VLOOKUP(C3402,DATA!#REF!,2,FALSE),"")</f>
        <v/>
      </c>
      <c r="I3402" s="17"/>
      <c r="J3402" s="17"/>
      <c r="P3402" s="17"/>
      <c r="Q3402" s="17"/>
    </row>
    <row r="3403" spans="2:17">
      <c r="B3403" s="17"/>
      <c r="C3403" s="16" t="str">
        <f>IFERROR(VLOOKUP(DATA!#REF!,DATA!#REF!,1,FALSE),"")</f>
        <v/>
      </c>
      <c r="D3403" s="16" t="str">
        <f>IFERROR(VLOOKUP(C3403,DATA!#REF!,2,FALSE),"")</f>
        <v/>
      </c>
      <c r="I3403" s="17"/>
      <c r="J3403" s="17"/>
      <c r="P3403" s="17"/>
      <c r="Q3403" s="17"/>
    </row>
    <row r="3404" spans="2:17">
      <c r="B3404" s="17"/>
      <c r="C3404" s="16" t="str">
        <f>IFERROR(VLOOKUP(DATA!#REF!,DATA!#REF!,1,FALSE),"")</f>
        <v/>
      </c>
      <c r="D3404" s="16" t="str">
        <f>IFERROR(VLOOKUP(C3404,DATA!#REF!,2,FALSE),"")</f>
        <v/>
      </c>
      <c r="I3404" s="17"/>
      <c r="J3404" s="17"/>
      <c r="P3404" s="17"/>
      <c r="Q3404" s="17"/>
    </row>
    <row r="3405" spans="2:17">
      <c r="B3405" s="17"/>
      <c r="C3405" s="16" t="str">
        <f>IFERROR(VLOOKUP(DATA!#REF!,DATA!#REF!,1,FALSE),"")</f>
        <v/>
      </c>
      <c r="D3405" s="16" t="str">
        <f>IFERROR(VLOOKUP(C3405,DATA!#REF!,2,FALSE),"")</f>
        <v/>
      </c>
      <c r="I3405" s="17"/>
      <c r="J3405" s="17"/>
      <c r="P3405" s="17"/>
      <c r="Q3405" s="17"/>
    </row>
    <row r="3406" spans="2:17">
      <c r="B3406" s="17"/>
      <c r="C3406" s="16" t="str">
        <f>IFERROR(VLOOKUP(DATA!#REF!,DATA!#REF!,1,FALSE),"")</f>
        <v/>
      </c>
      <c r="D3406" s="16" t="str">
        <f>IFERROR(VLOOKUP(C3406,DATA!#REF!,2,FALSE),"")</f>
        <v/>
      </c>
      <c r="I3406" s="17"/>
      <c r="J3406" s="17"/>
      <c r="P3406" s="17"/>
      <c r="Q3406" s="17"/>
    </row>
    <row r="3407" spans="2:17">
      <c r="B3407" s="17"/>
      <c r="C3407" s="16" t="str">
        <f>IFERROR(VLOOKUP(DATA!#REF!,DATA!#REF!,1,FALSE),"")</f>
        <v/>
      </c>
      <c r="D3407" s="16" t="str">
        <f>IFERROR(VLOOKUP(C3407,DATA!#REF!,2,FALSE),"")</f>
        <v/>
      </c>
      <c r="I3407" s="17"/>
      <c r="J3407" s="17"/>
      <c r="P3407" s="17"/>
      <c r="Q3407" s="17"/>
    </row>
    <row r="3408" spans="2:17">
      <c r="B3408" s="17"/>
      <c r="C3408" s="16" t="str">
        <f>IFERROR(VLOOKUP(DATA!#REF!,DATA!#REF!,1,FALSE),"")</f>
        <v/>
      </c>
      <c r="D3408" s="16" t="str">
        <f>IFERROR(VLOOKUP(C3408,DATA!#REF!,2,FALSE),"")</f>
        <v/>
      </c>
      <c r="I3408" s="17"/>
      <c r="J3408" s="17"/>
      <c r="P3408" s="17"/>
      <c r="Q3408" s="17"/>
    </row>
    <row r="3409" spans="2:17">
      <c r="B3409" s="17"/>
      <c r="C3409" s="16" t="str">
        <f>IFERROR(VLOOKUP(DATA!#REF!,DATA!#REF!,1,FALSE),"")</f>
        <v/>
      </c>
      <c r="D3409" s="16" t="str">
        <f>IFERROR(VLOOKUP(C3409,DATA!#REF!,2,FALSE),"")</f>
        <v/>
      </c>
      <c r="I3409" s="17"/>
      <c r="J3409" s="17"/>
      <c r="P3409" s="17"/>
      <c r="Q3409" s="17"/>
    </row>
    <row r="3410" spans="2:17">
      <c r="B3410" s="17"/>
      <c r="C3410" s="16" t="str">
        <f>IFERROR(VLOOKUP(DATA!#REF!,DATA!#REF!,1,FALSE),"")</f>
        <v/>
      </c>
      <c r="D3410" s="16" t="str">
        <f>IFERROR(VLOOKUP(C3410,DATA!#REF!,2,FALSE),"")</f>
        <v/>
      </c>
      <c r="I3410" s="17"/>
      <c r="J3410" s="17"/>
      <c r="P3410" s="17"/>
      <c r="Q3410" s="17"/>
    </row>
    <row r="3411" spans="2:17">
      <c r="B3411" s="17"/>
      <c r="C3411" s="16" t="str">
        <f>IFERROR(VLOOKUP(DATA!#REF!,DATA!#REF!,1,FALSE),"")</f>
        <v/>
      </c>
      <c r="D3411" s="16" t="str">
        <f>IFERROR(VLOOKUP(C3411,DATA!#REF!,2,FALSE),"")</f>
        <v/>
      </c>
      <c r="I3411" s="17"/>
      <c r="J3411" s="17"/>
      <c r="P3411" s="17"/>
      <c r="Q3411" s="17"/>
    </row>
    <row r="3412" spans="2:17">
      <c r="B3412" s="17"/>
      <c r="C3412" s="16" t="str">
        <f>IFERROR(VLOOKUP(DATA!#REF!,DATA!#REF!,1,FALSE),"")</f>
        <v/>
      </c>
      <c r="D3412" s="16" t="str">
        <f>IFERROR(VLOOKUP(C3412,DATA!#REF!,2,FALSE),"")</f>
        <v/>
      </c>
      <c r="I3412" s="17"/>
      <c r="J3412" s="17"/>
      <c r="P3412" s="17"/>
      <c r="Q3412" s="17"/>
    </row>
    <row r="3413" spans="2:17">
      <c r="B3413" s="17"/>
      <c r="C3413" s="16" t="str">
        <f>IFERROR(VLOOKUP(DATA!#REF!,DATA!#REF!,1,FALSE),"")</f>
        <v/>
      </c>
      <c r="D3413" s="16" t="str">
        <f>IFERROR(VLOOKUP(C3413,DATA!#REF!,2,FALSE),"")</f>
        <v/>
      </c>
      <c r="I3413" s="17"/>
      <c r="J3413" s="17"/>
      <c r="P3413" s="17"/>
      <c r="Q3413" s="17"/>
    </row>
    <row r="3414" spans="2:17">
      <c r="B3414" s="17"/>
      <c r="C3414" s="16" t="str">
        <f>IFERROR(VLOOKUP(DATA!#REF!,DATA!#REF!,1,FALSE),"")</f>
        <v/>
      </c>
      <c r="D3414" s="16" t="str">
        <f>IFERROR(VLOOKUP(C3414,DATA!#REF!,2,FALSE),"")</f>
        <v/>
      </c>
      <c r="I3414" s="17"/>
      <c r="J3414" s="17"/>
      <c r="P3414" s="17"/>
      <c r="Q3414" s="17"/>
    </row>
    <row r="3415" spans="2:17">
      <c r="B3415" s="17"/>
      <c r="C3415" s="16" t="str">
        <f>IFERROR(VLOOKUP(DATA!#REF!,DATA!#REF!,1,FALSE),"")</f>
        <v/>
      </c>
      <c r="D3415" s="16" t="str">
        <f>IFERROR(VLOOKUP(C3415,DATA!#REF!,2,FALSE),"")</f>
        <v/>
      </c>
      <c r="I3415" s="17"/>
      <c r="J3415" s="17"/>
      <c r="P3415" s="17"/>
      <c r="Q3415" s="17"/>
    </row>
    <row r="3416" spans="2:17">
      <c r="B3416" s="17"/>
      <c r="C3416" s="16" t="str">
        <f>IFERROR(VLOOKUP(DATA!#REF!,DATA!#REF!,1,FALSE),"")</f>
        <v/>
      </c>
      <c r="D3416" s="16" t="str">
        <f>IFERROR(VLOOKUP(C3416,DATA!#REF!,2,FALSE),"")</f>
        <v/>
      </c>
      <c r="I3416" s="17"/>
      <c r="J3416" s="17"/>
      <c r="P3416" s="17"/>
      <c r="Q3416" s="17"/>
    </row>
    <row r="3417" spans="2:17">
      <c r="B3417" s="17"/>
      <c r="C3417" s="16" t="str">
        <f>IFERROR(VLOOKUP(DATA!#REF!,DATA!#REF!,1,FALSE),"")</f>
        <v/>
      </c>
      <c r="D3417" s="16" t="str">
        <f>IFERROR(VLOOKUP(C3417,DATA!#REF!,2,FALSE),"")</f>
        <v/>
      </c>
      <c r="I3417" s="17"/>
      <c r="J3417" s="17"/>
      <c r="P3417" s="17"/>
      <c r="Q3417" s="17"/>
    </row>
    <row r="3418" spans="2:17">
      <c r="B3418" s="17"/>
      <c r="C3418" s="16" t="str">
        <f>IFERROR(VLOOKUP(DATA!#REF!,DATA!#REF!,1,FALSE),"")</f>
        <v/>
      </c>
      <c r="D3418" s="16" t="str">
        <f>IFERROR(VLOOKUP(C3418,DATA!#REF!,2,FALSE),"")</f>
        <v/>
      </c>
      <c r="I3418" s="17"/>
      <c r="J3418" s="17"/>
      <c r="P3418" s="17"/>
      <c r="Q3418" s="17"/>
    </row>
    <row r="3419" spans="2:17">
      <c r="B3419" s="17"/>
      <c r="C3419" s="16" t="str">
        <f>IFERROR(VLOOKUP(DATA!#REF!,DATA!#REF!,1,FALSE),"")</f>
        <v/>
      </c>
      <c r="D3419" s="16" t="str">
        <f>IFERROR(VLOOKUP(C3419,DATA!#REF!,2,FALSE),"")</f>
        <v/>
      </c>
      <c r="I3419" s="17"/>
      <c r="J3419" s="17"/>
      <c r="P3419" s="17"/>
      <c r="Q3419" s="17"/>
    </row>
    <row r="3420" spans="2:17">
      <c r="B3420" s="17"/>
      <c r="C3420" s="16" t="str">
        <f>IFERROR(VLOOKUP(DATA!#REF!,DATA!#REF!,1,FALSE),"")</f>
        <v/>
      </c>
      <c r="D3420" s="16" t="str">
        <f>IFERROR(VLOOKUP(C3420,DATA!#REF!,2,FALSE),"")</f>
        <v/>
      </c>
      <c r="I3420" s="17"/>
      <c r="J3420" s="17"/>
      <c r="P3420" s="17"/>
      <c r="Q3420" s="17"/>
    </row>
    <row r="3421" spans="2:17">
      <c r="B3421" s="17"/>
      <c r="C3421" s="16" t="str">
        <f>IFERROR(VLOOKUP(DATA!#REF!,DATA!#REF!,1,FALSE),"")</f>
        <v/>
      </c>
      <c r="D3421" s="16" t="str">
        <f>IFERROR(VLOOKUP(C3421,DATA!#REF!,2,FALSE),"")</f>
        <v/>
      </c>
      <c r="I3421" s="17"/>
      <c r="J3421" s="17"/>
      <c r="P3421" s="17"/>
      <c r="Q3421" s="17"/>
    </row>
    <row r="3422" spans="2:17">
      <c r="B3422" s="17"/>
      <c r="C3422" s="16" t="str">
        <f>IFERROR(VLOOKUP(DATA!#REF!,DATA!#REF!,1,FALSE),"")</f>
        <v/>
      </c>
      <c r="D3422" s="16" t="str">
        <f>IFERROR(VLOOKUP(C3422,DATA!#REF!,2,FALSE),"")</f>
        <v/>
      </c>
      <c r="I3422" s="17"/>
      <c r="J3422" s="17"/>
      <c r="P3422" s="17"/>
      <c r="Q3422" s="17"/>
    </row>
    <row r="3423" spans="2:17">
      <c r="B3423" s="17"/>
      <c r="C3423" s="16" t="str">
        <f>IFERROR(VLOOKUP(DATA!#REF!,DATA!#REF!,1,FALSE),"")</f>
        <v/>
      </c>
      <c r="D3423" s="16" t="str">
        <f>IFERROR(VLOOKUP(C3423,DATA!#REF!,2,FALSE),"")</f>
        <v/>
      </c>
      <c r="I3423" s="17"/>
      <c r="J3423" s="17"/>
      <c r="P3423" s="17"/>
      <c r="Q3423" s="17"/>
    </row>
    <row r="3424" spans="2:17">
      <c r="B3424" s="17"/>
      <c r="C3424" s="16" t="str">
        <f>IFERROR(VLOOKUP(DATA!#REF!,DATA!#REF!,1,FALSE),"")</f>
        <v/>
      </c>
      <c r="D3424" s="16" t="str">
        <f>IFERROR(VLOOKUP(C3424,DATA!#REF!,2,FALSE),"")</f>
        <v/>
      </c>
      <c r="I3424" s="17"/>
      <c r="J3424" s="17"/>
      <c r="P3424" s="17"/>
      <c r="Q3424" s="17"/>
    </row>
    <row r="3425" spans="2:17">
      <c r="B3425" s="17"/>
      <c r="C3425" s="16" t="str">
        <f>IFERROR(VLOOKUP(DATA!#REF!,DATA!#REF!,1,FALSE),"")</f>
        <v/>
      </c>
      <c r="D3425" s="16" t="str">
        <f>IFERROR(VLOOKUP(C3425,DATA!#REF!,2,FALSE),"")</f>
        <v/>
      </c>
      <c r="I3425" s="17"/>
      <c r="J3425" s="17"/>
      <c r="P3425" s="17"/>
      <c r="Q3425" s="17"/>
    </row>
    <row r="3426" spans="2:17">
      <c r="B3426" s="17"/>
      <c r="C3426" s="16" t="str">
        <f>IFERROR(VLOOKUP(DATA!#REF!,DATA!#REF!,1,FALSE),"")</f>
        <v/>
      </c>
      <c r="D3426" s="16" t="str">
        <f>IFERROR(VLOOKUP(C3426,DATA!#REF!,2,FALSE),"")</f>
        <v/>
      </c>
      <c r="I3426" s="17"/>
      <c r="J3426" s="17"/>
      <c r="P3426" s="17"/>
      <c r="Q3426" s="17"/>
    </row>
    <row r="3427" spans="2:17">
      <c r="B3427" s="17"/>
      <c r="C3427" s="16" t="str">
        <f>IFERROR(VLOOKUP(DATA!#REF!,DATA!#REF!,1,FALSE),"")</f>
        <v/>
      </c>
      <c r="D3427" s="16" t="str">
        <f>IFERROR(VLOOKUP(C3427,DATA!#REF!,2,FALSE),"")</f>
        <v/>
      </c>
      <c r="I3427" s="17"/>
      <c r="J3427" s="17"/>
      <c r="P3427" s="17"/>
      <c r="Q3427" s="17"/>
    </row>
    <row r="3428" spans="2:17">
      <c r="B3428" s="17"/>
      <c r="C3428" s="16" t="str">
        <f>IFERROR(VLOOKUP(DATA!#REF!,DATA!#REF!,1,FALSE),"")</f>
        <v/>
      </c>
      <c r="D3428" s="16" t="str">
        <f>IFERROR(VLOOKUP(C3428,DATA!#REF!,2,FALSE),"")</f>
        <v/>
      </c>
      <c r="I3428" s="17"/>
      <c r="J3428" s="17"/>
      <c r="P3428" s="17"/>
      <c r="Q3428" s="17"/>
    </row>
    <row r="3429" spans="2:17">
      <c r="B3429" s="17"/>
      <c r="C3429" s="16" t="str">
        <f>IFERROR(VLOOKUP(DATA!#REF!,DATA!#REF!,1,FALSE),"")</f>
        <v/>
      </c>
      <c r="D3429" s="16" t="str">
        <f>IFERROR(VLOOKUP(C3429,DATA!#REF!,2,FALSE),"")</f>
        <v/>
      </c>
      <c r="I3429" s="17"/>
      <c r="J3429" s="17"/>
      <c r="P3429" s="17"/>
      <c r="Q3429" s="17"/>
    </row>
    <row r="3430" spans="2:17">
      <c r="B3430" s="17"/>
      <c r="C3430" s="16" t="str">
        <f>IFERROR(VLOOKUP(DATA!#REF!,DATA!#REF!,1,FALSE),"")</f>
        <v/>
      </c>
      <c r="D3430" s="16" t="str">
        <f>IFERROR(VLOOKUP(C3430,DATA!#REF!,2,FALSE),"")</f>
        <v/>
      </c>
      <c r="I3430" s="17"/>
      <c r="J3430" s="17"/>
      <c r="P3430" s="17"/>
      <c r="Q3430" s="17"/>
    </row>
    <row r="3431" spans="2:17">
      <c r="B3431" s="17"/>
      <c r="C3431" s="16" t="str">
        <f>IFERROR(VLOOKUP(DATA!#REF!,DATA!#REF!,1,FALSE),"")</f>
        <v/>
      </c>
      <c r="D3431" s="16" t="str">
        <f>IFERROR(VLOOKUP(C3431,DATA!#REF!,2,FALSE),"")</f>
        <v/>
      </c>
      <c r="I3431" s="17"/>
      <c r="J3431" s="17"/>
      <c r="P3431" s="17"/>
      <c r="Q3431" s="17"/>
    </row>
    <row r="3432" spans="2:17">
      <c r="B3432" s="17"/>
      <c r="C3432" s="16" t="str">
        <f>IFERROR(VLOOKUP(DATA!#REF!,DATA!#REF!,1,FALSE),"")</f>
        <v/>
      </c>
      <c r="D3432" s="16" t="str">
        <f>IFERROR(VLOOKUP(C3432,DATA!#REF!,2,FALSE),"")</f>
        <v/>
      </c>
      <c r="I3432" s="17"/>
      <c r="J3432" s="17"/>
      <c r="P3432" s="17"/>
      <c r="Q3432" s="17"/>
    </row>
    <row r="3433" spans="2:17">
      <c r="B3433" s="17"/>
      <c r="C3433" s="16" t="str">
        <f>IFERROR(VLOOKUP(DATA!#REF!,DATA!#REF!,1,FALSE),"")</f>
        <v/>
      </c>
      <c r="D3433" s="16" t="str">
        <f>IFERROR(VLOOKUP(C3433,DATA!#REF!,2,FALSE),"")</f>
        <v/>
      </c>
      <c r="I3433" s="17"/>
      <c r="J3433" s="17"/>
      <c r="P3433" s="17"/>
      <c r="Q3433" s="17"/>
    </row>
    <row r="3434" spans="2:17">
      <c r="B3434" s="17"/>
      <c r="C3434" s="16" t="str">
        <f>IFERROR(VLOOKUP(DATA!#REF!,DATA!#REF!,1,FALSE),"")</f>
        <v/>
      </c>
      <c r="D3434" s="16" t="str">
        <f>IFERROR(VLOOKUP(C3434,DATA!#REF!,2,FALSE),"")</f>
        <v/>
      </c>
      <c r="I3434" s="17"/>
      <c r="J3434" s="17"/>
      <c r="P3434" s="17"/>
      <c r="Q3434" s="17"/>
    </row>
    <row r="3435" spans="2:17">
      <c r="B3435" s="17"/>
      <c r="C3435" s="16" t="str">
        <f>IFERROR(VLOOKUP(DATA!#REF!,DATA!#REF!,1,FALSE),"")</f>
        <v/>
      </c>
      <c r="D3435" s="16" t="str">
        <f>IFERROR(VLOOKUP(C3435,DATA!#REF!,2,FALSE),"")</f>
        <v/>
      </c>
      <c r="I3435" s="17"/>
      <c r="J3435" s="17"/>
      <c r="P3435" s="17"/>
      <c r="Q3435" s="17"/>
    </row>
    <row r="3436" spans="2:17">
      <c r="B3436" s="17"/>
      <c r="C3436" s="16" t="str">
        <f>IFERROR(VLOOKUP(DATA!#REF!,DATA!#REF!,1,FALSE),"")</f>
        <v/>
      </c>
      <c r="D3436" s="16" t="str">
        <f>IFERROR(VLOOKUP(C3436,DATA!#REF!,2,FALSE),"")</f>
        <v/>
      </c>
      <c r="I3436" s="17"/>
      <c r="J3436" s="17"/>
      <c r="P3436" s="17"/>
      <c r="Q3436" s="17"/>
    </row>
    <row r="3437" spans="2:17">
      <c r="B3437" s="17"/>
      <c r="C3437" s="16" t="str">
        <f>IFERROR(VLOOKUP(DATA!#REF!,DATA!#REF!,1,FALSE),"")</f>
        <v/>
      </c>
      <c r="D3437" s="16" t="str">
        <f>IFERROR(VLOOKUP(C3437,DATA!#REF!,2,FALSE),"")</f>
        <v/>
      </c>
      <c r="I3437" s="17"/>
      <c r="J3437" s="17"/>
      <c r="P3437" s="17"/>
      <c r="Q3437" s="17"/>
    </row>
    <row r="3438" spans="2:17">
      <c r="B3438" s="17"/>
      <c r="C3438" s="16" t="str">
        <f>IFERROR(VLOOKUP(DATA!#REF!,DATA!#REF!,1,FALSE),"")</f>
        <v/>
      </c>
      <c r="D3438" s="16" t="str">
        <f>IFERROR(VLOOKUP(C3438,DATA!#REF!,2,FALSE),"")</f>
        <v/>
      </c>
      <c r="I3438" s="17"/>
      <c r="J3438" s="17"/>
      <c r="P3438" s="17"/>
      <c r="Q3438" s="17"/>
    </row>
    <row r="3439" spans="2:17">
      <c r="B3439" s="17"/>
      <c r="C3439" s="16" t="str">
        <f>IFERROR(VLOOKUP(DATA!#REF!,DATA!#REF!,1,FALSE),"")</f>
        <v/>
      </c>
      <c r="D3439" s="16" t="str">
        <f>IFERROR(VLOOKUP(C3439,DATA!#REF!,2,FALSE),"")</f>
        <v/>
      </c>
      <c r="I3439" s="17"/>
      <c r="J3439" s="17"/>
      <c r="P3439" s="17"/>
      <c r="Q3439" s="17"/>
    </row>
    <row r="3440" spans="2:17">
      <c r="B3440" s="17"/>
      <c r="C3440" s="16" t="str">
        <f>IFERROR(VLOOKUP(DATA!#REF!,DATA!#REF!,1,FALSE),"")</f>
        <v/>
      </c>
      <c r="D3440" s="16" t="str">
        <f>IFERROR(VLOOKUP(C3440,DATA!#REF!,2,FALSE),"")</f>
        <v/>
      </c>
      <c r="I3440" s="17"/>
      <c r="J3440" s="17"/>
      <c r="P3440" s="17"/>
      <c r="Q3440" s="17"/>
    </row>
    <row r="3441" spans="2:17">
      <c r="B3441" s="17"/>
      <c r="C3441" s="16" t="str">
        <f>IFERROR(VLOOKUP(DATA!#REF!,DATA!#REF!,1,FALSE),"")</f>
        <v/>
      </c>
      <c r="D3441" s="16" t="str">
        <f>IFERROR(VLOOKUP(C3441,DATA!#REF!,2,FALSE),"")</f>
        <v/>
      </c>
      <c r="I3441" s="17"/>
      <c r="J3441" s="17"/>
      <c r="P3441" s="17"/>
      <c r="Q3441" s="17"/>
    </row>
    <row r="3442" spans="2:17">
      <c r="B3442" s="17"/>
      <c r="C3442" s="16" t="str">
        <f>IFERROR(VLOOKUP(DATA!#REF!,DATA!#REF!,1,FALSE),"")</f>
        <v/>
      </c>
      <c r="D3442" s="16" t="str">
        <f>IFERROR(VLOOKUP(C3442,DATA!#REF!,2,FALSE),"")</f>
        <v/>
      </c>
      <c r="I3442" s="17"/>
      <c r="J3442" s="17"/>
      <c r="P3442" s="17"/>
      <c r="Q3442" s="17"/>
    </row>
    <row r="3443" spans="2:17">
      <c r="B3443" s="17"/>
      <c r="C3443" s="16" t="str">
        <f>IFERROR(VLOOKUP(DATA!#REF!,DATA!#REF!,1,FALSE),"")</f>
        <v/>
      </c>
      <c r="D3443" s="16" t="str">
        <f>IFERROR(VLOOKUP(C3443,DATA!#REF!,2,FALSE),"")</f>
        <v/>
      </c>
      <c r="I3443" s="17"/>
      <c r="J3443" s="17"/>
      <c r="P3443" s="17"/>
      <c r="Q3443" s="17"/>
    </row>
    <row r="3444" spans="2:17">
      <c r="B3444" s="17"/>
      <c r="C3444" s="16" t="str">
        <f>IFERROR(VLOOKUP(DATA!#REF!,DATA!#REF!,1,FALSE),"")</f>
        <v/>
      </c>
      <c r="D3444" s="16" t="str">
        <f>IFERROR(VLOOKUP(C3444,DATA!#REF!,2,FALSE),"")</f>
        <v/>
      </c>
      <c r="I3444" s="17"/>
      <c r="J3444" s="17"/>
      <c r="P3444" s="17"/>
      <c r="Q3444" s="17"/>
    </row>
    <row r="3445" spans="2:17">
      <c r="B3445" s="17"/>
      <c r="C3445" s="16" t="str">
        <f>IFERROR(VLOOKUP(DATA!#REF!,DATA!#REF!,1,FALSE),"")</f>
        <v/>
      </c>
      <c r="D3445" s="16" t="str">
        <f>IFERROR(VLOOKUP(C3445,DATA!#REF!,2,FALSE),"")</f>
        <v/>
      </c>
      <c r="I3445" s="17"/>
      <c r="J3445" s="17"/>
      <c r="P3445" s="17"/>
      <c r="Q3445" s="17"/>
    </row>
    <row r="3446" spans="2:17">
      <c r="B3446" s="17"/>
      <c r="C3446" s="16" t="str">
        <f>IFERROR(VLOOKUP(DATA!#REF!,DATA!#REF!,1,FALSE),"")</f>
        <v/>
      </c>
      <c r="D3446" s="16" t="str">
        <f>IFERROR(VLOOKUP(C3446,DATA!#REF!,2,FALSE),"")</f>
        <v/>
      </c>
      <c r="I3446" s="17"/>
      <c r="J3446" s="17"/>
      <c r="P3446" s="17"/>
      <c r="Q3446" s="17"/>
    </row>
    <row r="3447" spans="2:17">
      <c r="B3447" s="17"/>
      <c r="C3447" s="16" t="str">
        <f>IFERROR(VLOOKUP(DATA!#REF!,DATA!#REF!,1,FALSE),"")</f>
        <v/>
      </c>
      <c r="D3447" s="16" t="str">
        <f>IFERROR(VLOOKUP(C3447,DATA!#REF!,2,FALSE),"")</f>
        <v/>
      </c>
      <c r="I3447" s="17"/>
      <c r="J3447" s="17"/>
      <c r="P3447" s="17"/>
      <c r="Q3447" s="17"/>
    </row>
    <row r="3448" spans="2:17">
      <c r="B3448" s="17"/>
      <c r="C3448" s="16" t="str">
        <f>IFERROR(VLOOKUP(DATA!#REF!,DATA!#REF!,1,FALSE),"")</f>
        <v/>
      </c>
      <c r="D3448" s="16" t="str">
        <f>IFERROR(VLOOKUP(C3448,DATA!#REF!,2,FALSE),"")</f>
        <v/>
      </c>
      <c r="I3448" s="17"/>
      <c r="J3448" s="17"/>
      <c r="P3448" s="17"/>
      <c r="Q3448" s="17"/>
    </row>
    <row r="3449" spans="2:17">
      <c r="B3449" s="17"/>
      <c r="C3449" s="16" t="str">
        <f>IFERROR(VLOOKUP(DATA!#REF!,DATA!#REF!,1,FALSE),"")</f>
        <v/>
      </c>
      <c r="D3449" s="16" t="str">
        <f>IFERROR(VLOOKUP(C3449,DATA!#REF!,2,FALSE),"")</f>
        <v/>
      </c>
      <c r="I3449" s="17"/>
      <c r="J3449" s="17"/>
      <c r="P3449" s="17"/>
      <c r="Q3449" s="17"/>
    </row>
    <row r="3450" spans="2:17">
      <c r="B3450" s="17"/>
      <c r="C3450" s="16" t="str">
        <f>IFERROR(VLOOKUP(DATA!#REF!,DATA!#REF!,1,FALSE),"")</f>
        <v/>
      </c>
      <c r="D3450" s="16" t="str">
        <f>IFERROR(VLOOKUP(C3450,DATA!#REF!,2,FALSE),"")</f>
        <v/>
      </c>
      <c r="I3450" s="17"/>
      <c r="J3450" s="17"/>
      <c r="P3450" s="17"/>
      <c r="Q3450" s="17"/>
    </row>
    <row r="3451" spans="2:17">
      <c r="B3451" s="17"/>
      <c r="C3451" s="16" t="str">
        <f>IFERROR(VLOOKUP(DATA!#REF!,DATA!#REF!,1,FALSE),"")</f>
        <v/>
      </c>
      <c r="D3451" s="16" t="str">
        <f>IFERROR(VLOOKUP(C3451,DATA!#REF!,2,FALSE),"")</f>
        <v/>
      </c>
      <c r="I3451" s="17"/>
      <c r="J3451" s="17"/>
      <c r="P3451" s="17"/>
      <c r="Q3451" s="17"/>
    </row>
    <row r="3452" spans="2:17">
      <c r="B3452" s="17"/>
      <c r="C3452" s="16" t="str">
        <f>IFERROR(VLOOKUP(DATA!#REF!,DATA!#REF!,1,FALSE),"")</f>
        <v/>
      </c>
      <c r="D3452" s="16" t="str">
        <f>IFERROR(VLOOKUP(C3452,DATA!#REF!,2,FALSE),"")</f>
        <v/>
      </c>
      <c r="I3452" s="17"/>
      <c r="J3452" s="17"/>
      <c r="P3452" s="17"/>
      <c r="Q3452" s="17"/>
    </row>
    <row r="3453" spans="2:17">
      <c r="B3453" s="17"/>
      <c r="C3453" s="16" t="str">
        <f>IFERROR(VLOOKUP(DATA!#REF!,DATA!#REF!,1,FALSE),"")</f>
        <v/>
      </c>
      <c r="D3453" s="16" t="str">
        <f>IFERROR(VLOOKUP(C3453,DATA!#REF!,2,FALSE),"")</f>
        <v/>
      </c>
      <c r="I3453" s="17"/>
      <c r="J3453" s="17"/>
      <c r="P3453" s="17"/>
      <c r="Q3453" s="17"/>
    </row>
    <row r="3454" spans="2:17">
      <c r="B3454" s="17"/>
      <c r="C3454" s="16" t="str">
        <f>IFERROR(VLOOKUP(DATA!#REF!,DATA!#REF!,1,FALSE),"")</f>
        <v/>
      </c>
      <c r="D3454" s="16" t="str">
        <f>IFERROR(VLOOKUP(C3454,DATA!#REF!,2,FALSE),"")</f>
        <v/>
      </c>
      <c r="I3454" s="17"/>
      <c r="J3454" s="17"/>
      <c r="P3454" s="17"/>
      <c r="Q3454" s="17"/>
    </row>
    <row r="3455" spans="2:17">
      <c r="B3455" s="17"/>
      <c r="C3455" s="16" t="str">
        <f>IFERROR(VLOOKUP(DATA!#REF!,DATA!#REF!,1,FALSE),"")</f>
        <v/>
      </c>
      <c r="D3455" s="16" t="str">
        <f>IFERROR(VLOOKUP(C3455,DATA!#REF!,2,FALSE),"")</f>
        <v/>
      </c>
      <c r="I3455" s="17"/>
      <c r="J3455" s="17"/>
      <c r="P3455" s="17"/>
      <c r="Q3455" s="17"/>
    </row>
    <row r="3456" spans="2:17">
      <c r="B3456" s="17"/>
      <c r="C3456" s="16" t="str">
        <f>IFERROR(VLOOKUP(DATA!#REF!,DATA!#REF!,1,FALSE),"")</f>
        <v/>
      </c>
      <c r="D3456" s="16" t="str">
        <f>IFERROR(VLOOKUP(C3456,DATA!#REF!,2,FALSE),"")</f>
        <v/>
      </c>
      <c r="I3456" s="17"/>
      <c r="J3456" s="17"/>
      <c r="P3456" s="17"/>
      <c r="Q3456" s="17"/>
    </row>
    <row r="3457" spans="2:17">
      <c r="B3457" s="17"/>
      <c r="C3457" s="16" t="str">
        <f>IFERROR(VLOOKUP(DATA!#REF!,DATA!#REF!,1,FALSE),"")</f>
        <v/>
      </c>
      <c r="D3457" s="16" t="str">
        <f>IFERROR(VLOOKUP(C3457,DATA!#REF!,2,FALSE),"")</f>
        <v/>
      </c>
      <c r="I3457" s="17"/>
      <c r="J3457" s="17"/>
      <c r="P3457" s="17"/>
      <c r="Q3457" s="17"/>
    </row>
    <row r="3458" spans="2:17">
      <c r="B3458" s="17"/>
      <c r="C3458" s="16" t="str">
        <f>IFERROR(VLOOKUP(DATA!#REF!,DATA!#REF!,1,FALSE),"")</f>
        <v/>
      </c>
      <c r="D3458" s="16" t="str">
        <f>IFERROR(VLOOKUP(C3458,DATA!#REF!,2,FALSE),"")</f>
        <v/>
      </c>
      <c r="I3458" s="17"/>
      <c r="J3458" s="17"/>
      <c r="P3458" s="17"/>
      <c r="Q3458" s="17"/>
    </row>
    <row r="3459" spans="2:17">
      <c r="B3459" s="17"/>
      <c r="C3459" s="16" t="str">
        <f>IFERROR(VLOOKUP(DATA!#REF!,DATA!#REF!,1,FALSE),"")</f>
        <v/>
      </c>
      <c r="D3459" s="16" t="str">
        <f>IFERROR(VLOOKUP(C3459,DATA!#REF!,2,FALSE),"")</f>
        <v/>
      </c>
      <c r="I3459" s="17"/>
      <c r="J3459" s="17"/>
      <c r="P3459" s="17"/>
      <c r="Q3459" s="17"/>
    </row>
    <row r="3460" spans="2:17">
      <c r="B3460" s="17"/>
      <c r="C3460" s="16" t="str">
        <f>IFERROR(VLOOKUP(DATA!#REF!,DATA!#REF!,1,FALSE),"")</f>
        <v/>
      </c>
      <c r="D3460" s="16" t="str">
        <f>IFERROR(VLOOKUP(C3460,DATA!#REF!,2,FALSE),"")</f>
        <v/>
      </c>
      <c r="I3460" s="17"/>
      <c r="J3460" s="17"/>
      <c r="P3460" s="17"/>
      <c r="Q3460" s="17"/>
    </row>
    <row r="3461" spans="2:17">
      <c r="B3461" s="17"/>
      <c r="C3461" s="16" t="str">
        <f>IFERROR(VLOOKUP(DATA!#REF!,DATA!#REF!,1,FALSE),"")</f>
        <v/>
      </c>
      <c r="D3461" s="16" t="str">
        <f>IFERROR(VLOOKUP(C3461,DATA!#REF!,2,FALSE),"")</f>
        <v/>
      </c>
      <c r="I3461" s="17"/>
      <c r="J3461" s="17"/>
      <c r="P3461" s="17"/>
      <c r="Q3461" s="17"/>
    </row>
    <row r="3462" spans="2:17">
      <c r="B3462" s="17"/>
      <c r="C3462" s="16" t="str">
        <f>IFERROR(VLOOKUP(DATA!#REF!,DATA!#REF!,1,FALSE),"")</f>
        <v/>
      </c>
      <c r="D3462" s="16" t="str">
        <f>IFERROR(VLOOKUP(C3462,DATA!#REF!,2,FALSE),"")</f>
        <v/>
      </c>
      <c r="I3462" s="17"/>
      <c r="J3462" s="17"/>
      <c r="P3462" s="17"/>
      <c r="Q3462" s="17"/>
    </row>
    <row r="3463" spans="2:17">
      <c r="B3463" s="17"/>
      <c r="C3463" s="16" t="str">
        <f>IFERROR(VLOOKUP(DATA!#REF!,DATA!#REF!,1,FALSE),"")</f>
        <v/>
      </c>
      <c r="D3463" s="16" t="str">
        <f>IFERROR(VLOOKUP(C3463,DATA!#REF!,2,FALSE),"")</f>
        <v/>
      </c>
      <c r="I3463" s="17"/>
      <c r="J3463" s="17"/>
      <c r="P3463" s="17"/>
      <c r="Q3463" s="17"/>
    </row>
    <row r="3464" spans="2:17">
      <c r="B3464" s="17"/>
      <c r="C3464" s="16" t="str">
        <f>IFERROR(VLOOKUP(DATA!#REF!,DATA!#REF!,1,FALSE),"")</f>
        <v/>
      </c>
      <c r="D3464" s="16" t="str">
        <f>IFERROR(VLOOKUP(C3464,DATA!#REF!,2,FALSE),"")</f>
        <v/>
      </c>
      <c r="I3464" s="17"/>
      <c r="J3464" s="17"/>
      <c r="P3464" s="17"/>
      <c r="Q3464" s="17"/>
    </row>
    <row r="3465" spans="2:17">
      <c r="B3465" s="17"/>
      <c r="C3465" s="16" t="str">
        <f>IFERROR(VLOOKUP(DATA!#REF!,DATA!#REF!,1,FALSE),"")</f>
        <v/>
      </c>
      <c r="D3465" s="16" t="str">
        <f>IFERROR(VLOOKUP(C3465,DATA!#REF!,2,FALSE),"")</f>
        <v/>
      </c>
      <c r="I3465" s="17"/>
      <c r="J3465" s="17"/>
      <c r="P3465" s="17"/>
      <c r="Q3465" s="17"/>
    </row>
    <row r="3466" spans="2:17">
      <c r="B3466" s="17"/>
      <c r="C3466" s="16" t="str">
        <f>IFERROR(VLOOKUP(DATA!#REF!,DATA!#REF!,1,FALSE),"")</f>
        <v/>
      </c>
      <c r="D3466" s="16" t="str">
        <f>IFERROR(VLOOKUP(C3466,DATA!#REF!,2,FALSE),"")</f>
        <v/>
      </c>
      <c r="I3466" s="17"/>
      <c r="J3466" s="17"/>
      <c r="P3466" s="17"/>
      <c r="Q3466" s="17"/>
    </row>
    <row r="3467" spans="2:17">
      <c r="B3467" s="17"/>
      <c r="C3467" s="16" t="str">
        <f>IFERROR(VLOOKUP(DATA!#REF!,DATA!#REF!,1,FALSE),"")</f>
        <v/>
      </c>
      <c r="D3467" s="16" t="str">
        <f>IFERROR(VLOOKUP(C3467,DATA!#REF!,2,FALSE),"")</f>
        <v/>
      </c>
      <c r="I3467" s="17"/>
      <c r="J3467" s="17"/>
      <c r="P3467" s="17"/>
      <c r="Q3467" s="17"/>
    </row>
    <row r="3468" spans="2:17">
      <c r="B3468" s="17"/>
      <c r="C3468" s="16" t="str">
        <f>IFERROR(VLOOKUP(DATA!#REF!,DATA!#REF!,1,FALSE),"")</f>
        <v/>
      </c>
      <c r="D3468" s="16" t="str">
        <f>IFERROR(VLOOKUP(C3468,DATA!#REF!,2,FALSE),"")</f>
        <v/>
      </c>
      <c r="I3468" s="17"/>
      <c r="J3468" s="17"/>
      <c r="P3468" s="17"/>
      <c r="Q3468" s="17"/>
    </row>
    <row r="3469" spans="2:17">
      <c r="B3469" s="17"/>
      <c r="C3469" s="16" t="str">
        <f>IFERROR(VLOOKUP(DATA!#REF!,DATA!#REF!,1,FALSE),"")</f>
        <v/>
      </c>
      <c r="D3469" s="16" t="str">
        <f>IFERROR(VLOOKUP(C3469,DATA!#REF!,2,FALSE),"")</f>
        <v/>
      </c>
      <c r="I3469" s="17"/>
      <c r="J3469" s="17"/>
      <c r="P3469" s="17"/>
      <c r="Q3469" s="17"/>
    </row>
    <row r="3470" spans="2:17">
      <c r="B3470" s="17"/>
      <c r="C3470" s="16" t="str">
        <f>IFERROR(VLOOKUP(DATA!#REF!,DATA!#REF!,1,FALSE),"")</f>
        <v/>
      </c>
      <c r="D3470" s="16" t="str">
        <f>IFERROR(VLOOKUP(C3470,DATA!#REF!,2,FALSE),"")</f>
        <v/>
      </c>
      <c r="I3470" s="17"/>
      <c r="J3470" s="17"/>
      <c r="P3470" s="17"/>
      <c r="Q3470" s="17"/>
    </row>
    <row r="3471" spans="2:17">
      <c r="B3471" s="17"/>
      <c r="C3471" s="16" t="str">
        <f>IFERROR(VLOOKUP(DATA!#REF!,DATA!#REF!,1,FALSE),"")</f>
        <v/>
      </c>
      <c r="D3471" s="16" t="str">
        <f>IFERROR(VLOOKUP(C3471,DATA!#REF!,2,FALSE),"")</f>
        <v/>
      </c>
      <c r="I3471" s="17"/>
      <c r="J3471" s="17"/>
      <c r="P3471" s="17"/>
      <c r="Q3471" s="17"/>
    </row>
    <row r="3472" spans="2:17">
      <c r="B3472" s="17"/>
      <c r="C3472" s="16" t="str">
        <f>IFERROR(VLOOKUP(DATA!#REF!,DATA!#REF!,1,FALSE),"")</f>
        <v/>
      </c>
      <c r="D3472" s="16" t="str">
        <f>IFERROR(VLOOKUP(C3472,DATA!#REF!,2,FALSE),"")</f>
        <v/>
      </c>
      <c r="I3472" s="17"/>
      <c r="J3472" s="17"/>
      <c r="P3472" s="17"/>
      <c r="Q3472" s="17"/>
    </row>
    <row r="3473" spans="2:17">
      <c r="B3473" s="17"/>
      <c r="C3473" s="16" t="str">
        <f>IFERROR(VLOOKUP(DATA!#REF!,DATA!#REF!,1,FALSE),"")</f>
        <v/>
      </c>
      <c r="D3473" s="16" t="str">
        <f>IFERROR(VLOOKUP(C3473,DATA!#REF!,2,FALSE),"")</f>
        <v/>
      </c>
      <c r="I3473" s="17"/>
      <c r="J3473" s="17"/>
      <c r="P3473" s="17"/>
      <c r="Q3473" s="17"/>
    </row>
    <row r="3474" spans="2:17">
      <c r="B3474" s="17"/>
      <c r="C3474" s="16" t="str">
        <f>IFERROR(VLOOKUP(DATA!#REF!,DATA!#REF!,1,FALSE),"")</f>
        <v/>
      </c>
      <c r="D3474" s="16" t="str">
        <f>IFERROR(VLOOKUP(C3474,DATA!#REF!,2,FALSE),"")</f>
        <v/>
      </c>
      <c r="I3474" s="17"/>
      <c r="J3474" s="17"/>
      <c r="P3474" s="17"/>
      <c r="Q3474" s="17"/>
    </row>
    <row r="3475" spans="2:17">
      <c r="B3475" s="17"/>
      <c r="C3475" s="16" t="str">
        <f>IFERROR(VLOOKUP(DATA!#REF!,DATA!#REF!,1,FALSE),"")</f>
        <v/>
      </c>
      <c r="D3475" s="16" t="str">
        <f>IFERROR(VLOOKUP(C3475,DATA!#REF!,2,FALSE),"")</f>
        <v/>
      </c>
      <c r="I3475" s="17"/>
      <c r="J3475" s="17"/>
      <c r="P3475" s="17"/>
      <c r="Q3475" s="17"/>
    </row>
    <row r="3476" spans="2:17">
      <c r="B3476" s="17"/>
      <c r="C3476" s="16" t="str">
        <f>IFERROR(VLOOKUP(DATA!#REF!,DATA!#REF!,1,FALSE),"")</f>
        <v/>
      </c>
      <c r="D3476" s="16" t="str">
        <f>IFERROR(VLOOKUP(C3476,DATA!#REF!,2,FALSE),"")</f>
        <v/>
      </c>
      <c r="I3476" s="17"/>
      <c r="J3476" s="17"/>
      <c r="P3476" s="17"/>
      <c r="Q3476" s="17"/>
    </row>
    <row r="3477" spans="2:17">
      <c r="B3477" s="17"/>
      <c r="C3477" s="16" t="str">
        <f>IFERROR(VLOOKUP(DATA!#REF!,DATA!#REF!,1,FALSE),"")</f>
        <v/>
      </c>
      <c r="D3477" s="16" t="str">
        <f>IFERROR(VLOOKUP(C3477,DATA!#REF!,2,FALSE),"")</f>
        <v/>
      </c>
      <c r="I3477" s="17"/>
      <c r="J3477" s="17"/>
      <c r="P3477" s="17"/>
      <c r="Q3477" s="17"/>
    </row>
    <row r="3478" spans="2:17">
      <c r="B3478" s="17"/>
      <c r="C3478" s="16" t="str">
        <f>IFERROR(VLOOKUP(DATA!#REF!,DATA!#REF!,1,FALSE),"")</f>
        <v/>
      </c>
      <c r="D3478" s="16" t="str">
        <f>IFERROR(VLOOKUP(C3478,DATA!#REF!,2,FALSE),"")</f>
        <v/>
      </c>
      <c r="I3478" s="17"/>
      <c r="J3478" s="17"/>
      <c r="P3478" s="17"/>
      <c r="Q3478" s="17"/>
    </row>
    <row r="3479" spans="2:17">
      <c r="B3479" s="17"/>
      <c r="C3479" s="16" t="str">
        <f>IFERROR(VLOOKUP(DATA!#REF!,DATA!#REF!,1,FALSE),"")</f>
        <v/>
      </c>
      <c r="D3479" s="16" t="str">
        <f>IFERROR(VLOOKUP(C3479,DATA!#REF!,2,FALSE),"")</f>
        <v/>
      </c>
      <c r="I3479" s="17"/>
      <c r="J3479" s="17"/>
      <c r="P3479" s="17"/>
      <c r="Q3479" s="17"/>
    </row>
    <row r="3480" spans="2:17">
      <c r="B3480" s="17"/>
      <c r="C3480" s="16" t="str">
        <f>IFERROR(VLOOKUP(DATA!#REF!,DATA!#REF!,1,FALSE),"")</f>
        <v/>
      </c>
      <c r="D3480" s="16" t="str">
        <f>IFERROR(VLOOKUP(C3480,DATA!#REF!,2,FALSE),"")</f>
        <v/>
      </c>
      <c r="I3480" s="17"/>
      <c r="J3480" s="17"/>
      <c r="P3480" s="17"/>
      <c r="Q3480" s="17"/>
    </row>
    <row r="3481" spans="2:17">
      <c r="B3481" s="17"/>
      <c r="C3481" s="16" t="str">
        <f>IFERROR(VLOOKUP(DATA!#REF!,DATA!#REF!,1,FALSE),"")</f>
        <v/>
      </c>
      <c r="D3481" s="16" t="str">
        <f>IFERROR(VLOOKUP(C3481,DATA!#REF!,2,FALSE),"")</f>
        <v/>
      </c>
      <c r="I3481" s="17"/>
      <c r="J3481" s="17"/>
      <c r="P3481" s="17"/>
      <c r="Q3481" s="17"/>
    </row>
    <row r="3482" spans="2:17">
      <c r="B3482" s="17"/>
      <c r="C3482" s="16" t="str">
        <f>IFERROR(VLOOKUP(DATA!#REF!,DATA!#REF!,1,FALSE),"")</f>
        <v/>
      </c>
      <c r="D3482" s="16" t="str">
        <f>IFERROR(VLOOKUP(C3482,DATA!#REF!,2,FALSE),"")</f>
        <v/>
      </c>
      <c r="I3482" s="17"/>
      <c r="J3482" s="17"/>
      <c r="P3482" s="17"/>
      <c r="Q3482" s="17"/>
    </row>
    <row r="3483" spans="2:17">
      <c r="B3483" s="17"/>
      <c r="C3483" s="16" t="str">
        <f>IFERROR(VLOOKUP(DATA!#REF!,DATA!#REF!,1,FALSE),"")</f>
        <v/>
      </c>
      <c r="D3483" s="16" t="str">
        <f>IFERROR(VLOOKUP(C3483,DATA!#REF!,2,FALSE),"")</f>
        <v/>
      </c>
      <c r="I3483" s="17"/>
      <c r="J3483" s="17"/>
      <c r="P3483" s="17"/>
      <c r="Q3483" s="17"/>
    </row>
    <row r="3484" spans="2:17">
      <c r="B3484" s="17"/>
      <c r="C3484" s="16" t="str">
        <f>IFERROR(VLOOKUP(DATA!#REF!,DATA!#REF!,1,FALSE),"")</f>
        <v/>
      </c>
      <c r="D3484" s="16" t="str">
        <f>IFERROR(VLOOKUP(C3484,DATA!#REF!,2,FALSE),"")</f>
        <v/>
      </c>
      <c r="I3484" s="17"/>
      <c r="J3484" s="17"/>
      <c r="P3484" s="17"/>
      <c r="Q3484" s="17"/>
    </row>
    <row r="3485" spans="2:17">
      <c r="B3485" s="17"/>
      <c r="C3485" s="16" t="str">
        <f>IFERROR(VLOOKUP(DATA!#REF!,DATA!#REF!,1,FALSE),"")</f>
        <v/>
      </c>
      <c r="D3485" s="16" t="str">
        <f>IFERROR(VLOOKUP(C3485,DATA!#REF!,2,FALSE),"")</f>
        <v/>
      </c>
      <c r="I3485" s="17"/>
      <c r="J3485" s="17"/>
      <c r="P3485" s="17"/>
      <c r="Q3485" s="17"/>
    </row>
    <row r="3486" spans="2:17">
      <c r="B3486" s="17"/>
      <c r="C3486" s="16" t="str">
        <f>IFERROR(VLOOKUP(DATA!#REF!,DATA!#REF!,1,FALSE),"")</f>
        <v/>
      </c>
      <c r="D3486" s="16" t="str">
        <f>IFERROR(VLOOKUP(C3486,DATA!#REF!,2,FALSE),"")</f>
        <v/>
      </c>
      <c r="I3486" s="17"/>
      <c r="J3486" s="17"/>
      <c r="P3486" s="17"/>
      <c r="Q3486" s="17"/>
    </row>
    <row r="3487" spans="2:17">
      <c r="B3487" s="17"/>
      <c r="C3487" s="16" t="str">
        <f>IFERROR(VLOOKUP(DATA!#REF!,DATA!#REF!,1,FALSE),"")</f>
        <v/>
      </c>
      <c r="D3487" s="16" t="str">
        <f>IFERROR(VLOOKUP(C3487,DATA!#REF!,2,FALSE),"")</f>
        <v/>
      </c>
      <c r="I3487" s="17"/>
      <c r="J3487" s="17"/>
      <c r="P3487" s="17"/>
      <c r="Q3487" s="17"/>
    </row>
    <row r="3488" spans="2:17">
      <c r="B3488" s="17"/>
      <c r="C3488" s="16" t="str">
        <f>IFERROR(VLOOKUP(DATA!#REF!,DATA!#REF!,1,FALSE),"")</f>
        <v/>
      </c>
      <c r="D3488" s="16" t="str">
        <f>IFERROR(VLOOKUP(C3488,DATA!#REF!,2,FALSE),"")</f>
        <v/>
      </c>
      <c r="I3488" s="17"/>
      <c r="J3488" s="17"/>
      <c r="P3488" s="17"/>
      <c r="Q3488" s="17"/>
    </row>
    <row r="3489" spans="2:17">
      <c r="B3489" s="17"/>
      <c r="C3489" s="16" t="str">
        <f>IFERROR(VLOOKUP(DATA!#REF!,DATA!#REF!,1,FALSE),"")</f>
        <v/>
      </c>
      <c r="D3489" s="16" t="str">
        <f>IFERROR(VLOOKUP(C3489,DATA!#REF!,2,FALSE),"")</f>
        <v/>
      </c>
      <c r="I3489" s="17"/>
      <c r="J3489" s="17"/>
      <c r="P3489" s="17"/>
      <c r="Q3489" s="17"/>
    </row>
    <row r="3490" spans="2:17">
      <c r="B3490" s="17"/>
      <c r="C3490" s="16" t="str">
        <f>IFERROR(VLOOKUP(DATA!#REF!,DATA!#REF!,1,FALSE),"")</f>
        <v/>
      </c>
      <c r="D3490" s="16" t="str">
        <f>IFERROR(VLOOKUP(C3490,DATA!#REF!,2,FALSE),"")</f>
        <v/>
      </c>
      <c r="I3490" s="17"/>
      <c r="J3490" s="17"/>
      <c r="P3490" s="17"/>
      <c r="Q3490" s="17"/>
    </row>
    <row r="3491" spans="2:17">
      <c r="B3491" s="17"/>
      <c r="C3491" s="16" t="str">
        <f>IFERROR(VLOOKUP(DATA!#REF!,DATA!#REF!,1,FALSE),"")</f>
        <v/>
      </c>
      <c r="D3491" s="16" t="str">
        <f>IFERROR(VLOOKUP(C3491,DATA!#REF!,2,FALSE),"")</f>
        <v/>
      </c>
      <c r="I3491" s="17"/>
      <c r="J3491" s="17"/>
      <c r="P3491" s="17"/>
      <c r="Q3491" s="17"/>
    </row>
    <row r="3492" spans="2:17">
      <c r="B3492" s="17"/>
      <c r="C3492" s="16" t="str">
        <f>IFERROR(VLOOKUP(DATA!#REF!,DATA!#REF!,1,FALSE),"")</f>
        <v/>
      </c>
      <c r="D3492" s="16" t="str">
        <f>IFERROR(VLOOKUP(C3492,DATA!#REF!,2,FALSE),"")</f>
        <v/>
      </c>
      <c r="I3492" s="17"/>
      <c r="J3492" s="17"/>
      <c r="P3492" s="17"/>
      <c r="Q3492" s="17"/>
    </row>
    <row r="3493" spans="2:17">
      <c r="B3493" s="17"/>
      <c r="C3493" s="16" t="str">
        <f>IFERROR(VLOOKUP(DATA!#REF!,DATA!#REF!,1,FALSE),"")</f>
        <v/>
      </c>
      <c r="D3493" s="16" t="str">
        <f>IFERROR(VLOOKUP(C3493,DATA!#REF!,2,FALSE),"")</f>
        <v/>
      </c>
      <c r="I3493" s="17"/>
      <c r="J3493" s="17"/>
      <c r="P3493" s="17"/>
      <c r="Q3493" s="17"/>
    </row>
    <row r="3494" spans="2:17">
      <c r="B3494" s="17"/>
      <c r="C3494" s="16" t="str">
        <f>IFERROR(VLOOKUP(DATA!#REF!,DATA!#REF!,1,FALSE),"")</f>
        <v/>
      </c>
      <c r="D3494" s="16" t="str">
        <f>IFERROR(VLOOKUP(C3494,DATA!#REF!,2,FALSE),"")</f>
        <v/>
      </c>
      <c r="I3494" s="17"/>
      <c r="J3494" s="17"/>
      <c r="P3494" s="17"/>
      <c r="Q3494" s="17"/>
    </row>
    <row r="3495" spans="2:17">
      <c r="B3495" s="17"/>
      <c r="C3495" s="16" t="str">
        <f>IFERROR(VLOOKUP(DATA!#REF!,DATA!#REF!,1,FALSE),"")</f>
        <v/>
      </c>
      <c r="D3495" s="16" t="str">
        <f>IFERROR(VLOOKUP(C3495,DATA!#REF!,2,FALSE),"")</f>
        <v/>
      </c>
      <c r="I3495" s="17"/>
      <c r="J3495" s="17"/>
      <c r="P3495" s="17"/>
      <c r="Q3495" s="17"/>
    </row>
    <row r="3496" spans="2:17">
      <c r="B3496" s="17"/>
      <c r="C3496" s="16" t="str">
        <f>IFERROR(VLOOKUP(DATA!#REF!,DATA!#REF!,1,FALSE),"")</f>
        <v/>
      </c>
      <c r="D3496" s="16" t="str">
        <f>IFERROR(VLOOKUP(C3496,DATA!#REF!,2,FALSE),"")</f>
        <v/>
      </c>
      <c r="I3496" s="17"/>
      <c r="J3496" s="17"/>
      <c r="P3496" s="17"/>
      <c r="Q3496" s="17"/>
    </row>
    <row r="3497" spans="2:17">
      <c r="B3497" s="17"/>
      <c r="C3497" s="16" t="str">
        <f>IFERROR(VLOOKUP(DATA!#REF!,DATA!#REF!,1,FALSE),"")</f>
        <v/>
      </c>
      <c r="D3497" s="16" t="str">
        <f>IFERROR(VLOOKUP(C3497,DATA!#REF!,2,FALSE),"")</f>
        <v/>
      </c>
      <c r="I3497" s="17"/>
      <c r="J3497" s="17"/>
      <c r="P3497" s="17"/>
      <c r="Q3497" s="17"/>
    </row>
    <row r="3498" spans="2:17">
      <c r="B3498" s="17"/>
      <c r="C3498" s="16" t="str">
        <f>IFERROR(VLOOKUP(DATA!#REF!,DATA!#REF!,1,FALSE),"")</f>
        <v/>
      </c>
      <c r="D3498" s="16" t="str">
        <f>IFERROR(VLOOKUP(C3498,DATA!#REF!,2,FALSE),"")</f>
        <v/>
      </c>
      <c r="I3498" s="17"/>
      <c r="J3498" s="17"/>
      <c r="P3498" s="17"/>
      <c r="Q3498" s="17"/>
    </row>
    <row r="3499" spans="2:17">
      <c r="B3499" s="17"/>
      <c r="C3499" s="16" t="str">
        <f>IFERROR(VLOOKUP(DATA!#REF!,DATA!#REF!,1,FALSE),"")</f>
        <v/>
      </c>
      <c r="D3499" s="16" t="str">
        <f>IFERROR(VLOOKUP(C3499,DATA!#REF!,2,FALSE),"")</f>
        <v/>
      </c>
      <c r="I3499" s="17"/>
      <c r="J3499" s="17"/>
      <c r="P3499" s="17"/>
      <c r="Q3499" s="17"/>
    </row>
    <row r="3500" spans="2:17">
      <c r="B3500" s="17"/>
      <c r="C3500" s="16" t="str">
        <f>IFERROR(VLOOKUP(DATA!#REF!,DATA!#REF!,1,FALSE),"")</f>
        <v/>
      </c>
      <c r="D3500" s="16" t="str">
        <f>IFERROR(VLOOKUP(C3500,DATA!#REF!,2,FALSE),"")</f>
        <v/>
      </c>
      <c r="I3500" s="17"/>
      <c r="J3500" s="17"/>
      <c r="P3500" s="17"/>
      <c r="Q3500" s="17"/>
    </row>
    <row r="3501" spans="2:17">
      <c r="B3501" s="17"/>
      <c r="C3501" s="16" t="str">
        <f>IFERROR(VLOOKUP(DATA!#REF!,DATA!#REF!,1,FALSE),"")</f>
        <v/>
      </c>
      <c r="D3501" s="16" t="str">
        <f>IFERROR(VLOOKUP(C3501,DATA!#REF!,2,FALSE),"")</f>
        <v/>
      </c>
      <c r="I3501" s="17"/>
      <c r="J3501" s="17"/>
      <c r="P3501" s="17"/>
      <c r="Q3501" s="17"/>
    </row>
    <row r="3502" spans="2:17">
      <c r="B3502" s="17"/>
      <c r="C3502" s="16" t="str">
        <f>IFERROR(VLOOKUP(DATA!#REF!,DATA!#REF!,1,FALSE),"")</f>
        <v/>
      </c>
      <c r="D3502" s="16" t="str">
        <f>IFERROR(VLOOKUP(C3502,DATA!#REF!,2,FALSE),"")</f>
        <v/>
      </c>
      <c r="I3502" s="17"/>
      <c r="J3502" s="17"/>
      <c r="P3502" s="17"/>
      <c r="Q3502" s="17"/>
    </row>
    <row r="3503" spans="2:17">
      <c r="B3503" s="17"/>
      <c r="C3503" s="16" t="str">
        <f>IFERROR(VLOOKUP(DATA!#REF!,DATA!#REF!,1,FALSE),"")</f>
        <v/>
      </c>
      <c r="D3503" s="16" t="str">
        <f>IFERROR(VLOOKUP(C3503,DATA!#REF!,2,FALSE),"")</f>
        <v/>
      </c>
      <c r="I3503" s="17"/>
      <c r="J3503" s="17"/>
      <c r="P3503" s="17"/>
      <c r="Q3503" s="17"/>
    </row>
    <row r="3504" spans="2:17">
      <c r="B3504" s="17"/>
      <c r="C3504" s="16" t="str">
        <f>IFERROR(VLOOKUP(DATA!#REF!,DATA!#REF!,1,FALSE),"")</f>
        <v/>
      </c>
      <c r="D3504" s="16" t="str">
        <f>IFERROR(VLOOKUP(C3504,DATA!#REF!,2,FALSE),"")</f>
        <v/>
      </c>
      <c r="I3504" s="17"/>
      <c r="J3504" s="17"/>
      <c r="P3504" s="17"/>
      <c r="Q3504" s="17"/>
    </row>
    <row r="3505" spans="2:17">
      <c r="B3505" s="17"/>
      <c r="C3505" s="16" t="str">
        <f>IFERROR(VLOOKUP(DATA!#REF!,DATA!#REF!,1,FALSE),"")</f>
        <v/>
      </c>
      <c r="D3505" s="16" t="str">
        <f>IFERROR(VLOOKUP(C3505,DATA!#REF!,2,FALSE),"")</f>
        <v/>
      </c>
      <c r="I3505" s="17"/>
      <c r="J3505" s="17"/>
      <c r="P3505" s="17"/>
      <c r="Q3505" s="17"/>
    </row>
    <row r="3506" spans="2:17">
      <c r="B3506" s="17"/>
      <c r="C3506" s="16" t="str">
        <f>IFERROR(VLOOKUP(DATA!#REF!,DATA!#REF!,1,FALSE),"")</f>
        <v/>
      </c>
      <c r="D3506" s="16" t="str">
        <f>IFERROR(VLOOKUP(C3506,DATA!#REF!,2,FALSE),"")</f>
        <v/>
      </c>
      <c r="I3506" s="17"/>
      <c r="J3506" s="17"/>
      <c r="P3506" s="17"/>
      <c r="Q3506" s="17"/>
    </row>
    <row r="3507" spans="2:17">
      <c r="B3507" s="17"/>
      <c r="C3507" s="16" t="str">
        <f>IFERROR(VLOOKUP(DATA!#REF!,DATA!#REF!,1,FALSE),"")</f>
        <v/>
      </c>
      <c r="D3507" s="16" t="str">
        <f>IFERROR(VLOOKUP(C3507,DATA!#REF!,2,FALSE),"")</f>
        <v/>
      </c>
      <c r="I3507" s="17"/>
      <c r="J3507" s="17"/>
      <c r="P3507" s="17"/>
      <c r="Q3507" s="17"/>
    </row>
    <row r="3508" spans="2:17">
      <c r="B3508" s="17"/>
      <c r="C3508" s="16" t="str">
        <f>IFERROR(VLOOKUP(DATA!#REF!,DATA!#REF!,1,FALSE),"")</f>
        <v/>
      </c>
      <c r="D3508" s="16" t="str">
        <f>IFERROR(VLOOKUP(C3508,DATA!#REF!,2,FALSE),"")</f>
        <v/>
      </c>
      <c r="I3508" s="17"/>
      <c r="J3508" s="17"/>
      <c r="P3508" s="17"/>
      <c r="Q3508" s="17"/>
    </row>
    <row r="3509" spans="2:17">
      <c r="B3509" s="17"/>
      <c r="C3509" s="16" t="str">
        <f>IFERROR(VLOOKUP(DATA!#REF!,DATA!#REF!,1,FALSE),"")</f>
        <v/>
      </c>
      <c r="D3509" s="16" t="str">
        <f>IFERROR(VLOOKUP(C3509,DATA!#REF!,2,FALSE),"")</f>
        <v/>
      </c>
      <c r="I3509" s="17"/>
      <c r="J3509" s="17"/>
      <c r="P3509" s="17"/>
      <c r="Q3509" s="17"/>
    </row>
    <row r="3510" spans="2:17">
      <c r="B3510" s="17"/>
      <c r="C3510" s="16" t="str">
        <f>IFERROR(VLOOKUP(DATA!#REF!,DATA!#REF!,1,FALSE),"")</f>
        <v/>
      </c>
      <c r="D3510" s="16" t="str">
        <f>IFERROR(VLOOKUP(C3510,DATA!#REF!,2,FALSE),"")</f>
        <v/>
      </c>
      <c r="I3510" s="17"/>
      <c r="J3510" s="17"/>
      <c r="P3510" s="17"/>
      <c r="Q3510" s="17"/>
    </row>
    <row r="3511" spans="2:17">
      <c r="B3511" s="17"/>
      <c r="C3511" s="16" t="str">
        <f>IFERROR(VLOOKUP(DATA!#REF!,DATA!#REF!,1,FALSE),"")</f>
        <v/>
      </c>
      <c r="D3511" s="16" t="str">
        <f>IFERROR(VLOOKUP(C3511,DATA!#REF!,2,FALSE),"")</f>
        <v/>
      </c>
      <c r="I3511" s="17"/>
      <c r="J3511" s="17"/>
      <c r="P3511" s="17"/>
      <c r="Q3511" s="17"/>
    </row>
    <row r="3512" spans="2:17">
      <c r="B3512" s="17"/>
      <c r="C3512" s="16" t="str">
        <f>IFERROR(VLOOKUP(DATA!#REF!,DATA!#REF!,1,FALSE),"")</f>
        <v/>
      </c>
      <c r="D3512" s="16" t="str">
        <f>IFERROR(VLOOKUP(C3512,DATA!#REF!,2,FALSE),"")</f>
        <v/>
      </c>
      <c r="I3512" s="17"/>
      <c r="J3512" s="17"/>
      <c r="P3512" s="17"/>
      <c r="Q3512" s="17"/>
    </row>
    <row r="3513" spans="2:17">
      <c r="B3513" s="17"/>
      <c r="C3513" s="16" t="str">
        <f>IFERROR(VLOOKUP(DATA!#REF!,DATA!#REF!,1,FALSE),"")</f>
        <v/>
      </c>
      <c r="D3513" s="16" t="str">
        <f>IFERROR(VLOOKUP(C3513,DATA!#REF!,2,FALSE),"")</f>
        <v/>
      </c>
      <c r="I3513" s="17"/>
      <c r="J3513" s="17"/>
      <c r="P3513" s="17"/>
      <c r="Q3513" s="17"/>
    </row>
    <row r="3514" spans="2:17">
      <c r="B3514" s="17"/>
      <c r="C3514" s="16" t="str">
        <f>IFERROR(VLOOKUP(DATA!#REF!,DATA!#REF!,1,FALSE),"")</f>
        <v/>
      </c>
      <c r="D3514" s="16" t="str">
        <f>IFERROR(VLOOKUP(C3514,DATA!#REF!,2,FALSE),"")</f>
        <v/>
      </c>
      <c r="I3514" s="17"/>
      <c r="J3514" s="17"/>
      <c r="P3514" s="17"/>
      <c r="Q3514" s="17"/>
    </row>
    <row r="3515" spans="2:17">
      <c r="B3515" s="17"/>
      <c r="C3515" s="16" t="str">
        <f>IFERROR(VLOOKUP(DATA!#REF!,DATA!#REF!,1,FALSE),"")</f>
        <v/>
      </c>
      <c r="D3515" s="16" t="str">
        <f>IFERROR(VLOOKUP(C3515,DATA!#REF!,2,FALSE),"")</f>
        <v/>
      </c>
      <c r="I3515" s="17"/>
      <c r="J3515" s="17"/>
      <c r="P3515" s="17"/>
      <c r="Q3515" s="17"/>
    </row>
    <row r="3516" spans="2:17">
      <c r="B3516" s="17"/>
      <c r="C3516" s="16" t="str">
        <f>IFERROR(VLOOKUP(DATA!#REF!,DATA!#REF!,1,FALSE),"")</f>
        <v/>
      </c>
      <c r="D3516" s="16" t="str">
        <f>IFERROR(VLOOKUP(C3516,DATA!#REF!,2,FALSE),"")</f>
        <v/>
      </c>
      <c r="I3516" s="17"/>
      <c r="J3516" s="17"/>
      <c r="P3516" s="17"/>
      <c r="Q3516" s="17"/>
    </row>
    <row r="3517" spans="2:17">
      <c r="B3517" s="17"/>
      <c r="C3517" s="16" t="str">
        <f>IFERROR(VLOOKUP(DATA!#REF!,DATA!#REF!,1,FALSE),"")</f>
        <v/>
      </c>
      <c r="D3517" s="16" t="str">
        <f>IFERROR(VLOOKUP(C3517,DATA!#REF!,2,FALSE),"")</f>
        <v/>
      </c>
      <c r="I3517" s="17"/>
      <c r="J3517" s="17"/>
      <c r="P3517" s="17"/>
      <c r="Q3517" s="17"/>
    </row>
    <row r="3518" spans="2:17">
      <c r="B3518" s="17"/>
      <c r="C3518" s="16" t="str">
        <f>IFERROR(VLOOKUP(DATA!#REF!,DATA!#REF!,1,FALSE),"")</f>
        <v/>
      </c>
      <c r="D3518" s="16" t="str">
        <f>IFERROR(VLOOKUP(C3518,DATA!#REF!,2,FALSE),"")</f>
        <v/>
      </c>
      <c r="I3518" s="17"/>
      <c r="J3518" s="17"/>
      <c r="P3518" s="17"/>
      <c r="Q3518" s="17"/>
    </row>
    <row r="3519" spans="2:17">
      <c r="B3519" s="17"/>
      <c r="C3519" s="16" t="str">
        <f>IFERROR(VLOOKUP(DATA!#REF!,DATA!#REF!,1,FALSE),"")</f>
        <v/>
      </c>
      <c r="D3519" s="16" t="str">
        <f>IFERROR(VLOOKUP(C3519,DATA!#REF!,2,FALSE),"")</f>
        <v/>
      </c>
      <c r="I3519" s="17"/>
      <c r="J3519" s="17"/>
      <c r="P3519" s="17"/>
      <c r="Q3519" s="17"/>
    </row>
    <row r="3520" spans="2:17">
      <c r="B3520" s="17"/>
      <c r="C3520" s="16" t="str">
        <f>IFERROR(VLOOKUP(DATA!#REF!,DATA!#REF!,1,FALSE),"")</f>
        <v/>
      </c>
      <c r="D3520" s="16" t="str">
        <f>IFERROR(VLOOKUP(C3520,DATA!#REF!,2,FALSE),"")</f>
        <v/>
      </c>
      <c r="I3520" s="17"/>
      <c r="J3520" s="17"/>
      <c r="P3520" s="17"/>
      <c r="Q3520" s="17"/>
    </row>
    <row r="3521" spans="2:17">
      <c r="B3521" s="17"/>
      <c r="C3521" s="16" t="str">
        <f>IFERROR(VLOOKUP(DATA!#REF!,DATA!#REF!,1,FALSE),"")</f>
        <v/>
      </c>
      <c r="D3521" s="16" t="str">
        <f>IFERROR(VLOOKUP(C3521,DATA!#REF!,2,FALSE),"")</f>
        <v/>
      </c>
      <c r="I3521" s="17"/>
      <c r="J3521" s="17"/>
      <c r="P3521" s="17"/>
      <c r="Q3521" s="17"/>
    </row>
    <row r="3522" spans="2:17">
      <c r="B3522" s="17"/>
      <c r="C3522" s="16" t="str">
        <f>IFERROR(VLOOKUP(DATA!#REF!,DATA!#REF!,1,FALSE),"")</f>
        <v/>
      </c>
      <c r="D3522" s="16" t="str">
        <f>IFERROR(VLOOKUP(C3522,DATA!#REF!,2,FALSE),"")</f>
        <v/>
      </c>
      <c r="I3522" s="17"/>
      <c r="J3522" s="17"/>
      <c r="P3522" s="17"/>
      <c r="Q3522" s="17"/>
    </row>
    <row r="3523" spans="2:17">
      <c r="B3523" s="17"/>
      <c r="C3523" s="16" t="str">
        <f>IFERROR(VLOOKUP(DATA!#REF!,DATA!#REF!,1,FALSE),"")</f>
        <v/>
      </c>
      <c r="D3523" s="16" t="str">
        <f>IFERROR(VLOOKUP(C3523,DATA!#REF!,2,FALSE),"")</f>
        <v/>
      </c>
      <c r="I3523" s="17"/>
      <c r="J3523" s="17"/>
      <c r="P3523" s="17"/>
      <c r="Q3523" s="17"/>
    </row>
    <row r="3524" spans="2:17">
      <c r="B3524" s="17"/>
      <c r="C3524" s="16" t="str">
        <f>IFERROR(VLOOKUP(DATA!#REF!,DATA!#REF!,1,FALSE),"")</f>
        <v/>
      </c>
      <c r="D3524" s="16" t="str">
        <f>IFERROR(VLOOKUP(C3524,DATA!#REF!,2,FALSE),"")</f>
        <v/>
      </c>
      <c r="I3524" s="17"/>
      <c r="J3524" s="17"/>
      <c r="P3524" s="17"/>
      <c r="Q3524" s="17"/>
    </row>
    <row r="3525" spans="2:17">
      <c r="B3525" s="17"/>
      <c r="C3525" s="16" t="str">
        <f>IFERROR(VLOOKUP(DATA!#REF!,DATA!#REF!,1,FALSE),"")</f>
        <v/>
      </c>
      <c r="D3525" s="16" t="str">
        <f>IFERROR(VLOOKUP(C3525,DATA!#REF!,2,FALSE),"")</f>
        <v/>
      </c>
      <c r="I3525" s="17"/>
      <c r="J3525" s="17"/>
      <c r="P3525" s="17"/>
      <c r="Q3525" s="17"/>
    </row>
    <row r="3526" spans="2:17">
      <c r="B3526" s="17"/>
      <c r="C3526" s="16" t="str">
        <f>IFERROR(VLOOKUP(DATA!#REF!,DATA!#REF!,1,FALSE),"")</f>
        <v/>
      </c>
      <c r="D3526" s="16" t="str">
        <f>IFERROR(VLOOKUP(C3526,DATA!#REF!,2,FALSE),"")</f>
        <v/>
      </c>
      <c r="I3526" s="17"/>
      <c r="J3526" s="17"/>
      <c r="P3526" s="17"/>
      <c r="Q3526" s="17"/>
    </row>
    <row r="3527" spans="2:17">
      <c r="B3527" s="17"/>
      <c r="C3527" s="16" t="str">
        <f>IFERROR(VLOOKUP(DATA!#REF!,DATA!#REF!,1,FALSE),"")</f>
        <v/>
      </c>
      <c r="D3527" s="16" t="str">
        <f>IFERROR(VLOOKUP(C3527,DATA!#REF!,2,FALSE),"")</f>
        <v/>
      </c>
      <c r="I3527" s="17"/>
      <c r="J3527" s="17"/>
      <c r="P3527" s="17"/>
      <c r="Q3527" s="17"/>
    </row>
    <row r="3528" spans="2:17">
      <c r="B3528" s="17"/>
      <c r="C3528" s="16" t="str">
        <f>IFERROR(VLOOKUP(DATA!#REF!,DATA!#REF!,1,FALSE),"")</f>
        <v/>
      </c>
      <c r="D3528" s="16" t="str">
        <f>IFERROR(VLOOKUP(C3528,DATA!#REF!,2,FALSE),"")</f>
        <v/>
      </c>
      <c r="I3528" s="17"/>
      <c r="J3528" s="17"/>
      <c r="P3528" s="17"/>
      <c r="Q3528" s="17"/>
    </row>
    <row r="3529" spans="2:17">
      <c r="B3529" s="17"/>
      <c r="C3529" s="16" t="str">
        <f>IFERROR(VLOOKUP(DATA!#REF!,DATA!#REF!,1,FALSE),"")</f>
        <v/>
      </c>
      <c r="D3529" s="16" t="str">
        <f>IFERROR(VLOOKUP(C3529,DATA!#REF!,2,FALSE),"")</f>
        <v/>
      </c>
      <c r="I3529" s="17"/>
      <c r="J3529" s="17"/>
      <c r="P3529" s="17"/>
      <c r="Q3529" s="17"/>
    </row>
    <row r="3530" spans="2:17">
      <c r="B3530" s="17"/>
      <c r="C3530" s="16" t="str">
        <f>IFERROR(VLOOKUP(DATA!#REF!,DATA!#REF!,1,FALSE),"")</f>
        <v/>
      </c>
      <c r="D3530" s="16" t="str">
        <f>IFERROR(VLOOKUP(C3530,DATA!#REF!,2,FALSE),"")</f>
        <v/>
      </c>
      <c r="I3530" s="17"/>
      <c r="J3530" s="17"/>
      <c r="P3530" s="17"/>
      <c r="Q3530" s="17"/>
    </row>
    <row r="3531" spans="2:17">
      <c r="B3531" s="17"/>
      <c r="C3531" s="16" t="str">
        <f>IFERROR(VLOOKUP(DATA!#REF!,DATA!#REF!,1,FALSE),"")</f>
        <v/>
      </c>
      <c r="D3531" s="16" t="str">
        <f>IFERROR(VLOOKUP(C3531,DATA!#REF!,2,FALSE),"")</f>
        <v/>
      </c>
      <c r="I3531" s="17"/>
      <c r="J3531" s="17"/>
      <c r="P3531" s="17"/>
      <c r="Q3531" s="17"/>
    </row>
    <row r="3532" spans="2:17">
      <c r="B3532" s="17"/>
      <c r="C3532" s="16" t="str">
        <f>IFERROR(VLOOKUP(DATA!#REF!,DATA!#REF!,1,FALSE),"")</f>
        <v/>
      </c>
      <c r="D3532" s="16" t="str">
        <f>IFERROR(VLOOKUP(C3532,DATA!#REF!,2,FALSE),"")</f>
        <v/>
      </c>
      <c r="I3532" s="17"/>
      <c r="J3532" s="17"/>
      <c r="P3532" s="17"/>
      <c r="Q3532" s="17"/>
    </row>
    <row r="3533" spans="2:17">
      <c r="B3533" s="17"/>
      <c r="C3533" s="16" t="str">
        <f>IFERROR(VLOOKUP(DATA!#REF!,DATA!#REF!,1,FALSE),"")</f>
        <v/>
      </c>
      <c r="D3533" s="16" t="str">
        <f>IFERROR(VLOOKUP(C3533,DATA!#REF!,2,FALSE),"")</f>
        <v/>
      </c>
      <c r="I3533" s="17"/>
      <c r="J3533" s="17"/>
      <c r="P3533" s="17"/>
      <c r="Q3533" s="17"/>
    </row>
    <row r="3534" spans="2:17">
      <c r="B3534" s="17"/>
      <c r="C3534" s="16" t="str">
        <f>IFERROR(VLOOKUP(DATA!#REF!,DATA!#REF!,1,FALSE),"")</f>
        <v/>
      </c>
      <c r="D3534" s="16" t="str">
        <f>IFERROR(VLOOKUP(C3534,DATA!#REF!,2,FALSE),"")</f>
        <v/>
      </c>
      <c r="I3534" s="17"/>
      <c r="J3534" s="17"/>
      <c r="P3534" s="17"/>
      <c r="Q3534" s="17"/>
    </row>
    <row r="3535" spans="2:17">
      <c r="B3535" s="17"/>
      <c r="C3535" s="16" t="str">
        <f>IFERROR(VLOOKUP(DATA!#REF!,DATA!#REF!,1,FALSE),"")</f>
        <v/>
      </c>
      <c r="D3535" s="16" t="str">
        <f>IFERROR(VLOOKUP(C3535,DATA!#REF!,2,FALSE),"")</f>
        <v/>
      </c>
      <c r="I3535" s="17"/>
      <c r="J3535" s="17"/>
      <c r="P3535" s="17"/>
      <c r="Q3535" s="17"/>
    </row>
    <row r="3536" spans="2:17">
      <c r="B3536" s="17"/>
      <c r="C3536" s="16" t="str">
        <f>IFERROR(VLOOKUP(DATA!#REF!,DATA!#REF!,1,FALSE),"")</f>
        <v/>
      </c>
      <c r="D3536" s="16" t="str">
        <f>IFERROR(VLOOKUP(C3536,DATA!#REF!,2,FALSE),"")</f>
        <v/>
      </c>
      <c r="I3536" s="17"/>
      <c r="J3536" s="17"/>
      <c r="P3536" s="17"/>
      <c r="Q3536" s="17"/>
    </row>
    <row r="3537" spans="2:17">
      <c r="B3537" s="17"/>
      <c r="C3537" s="16" t="str">
        <f>IFERROR(VLOOKUP(DATA!#REF!,DATA!#REF!,1,FALSE),"")</f>
        <v/>
      </c>
      <c r="D3537" s="16" t="str">
        <f>IFERROR(VLOOKUP(C3537,DATA!#REF!,2,FALSE),"")</f>
        <v/>
      </c>
      <c r="I3537" s="17"/>
      <c r="J3537" s="17"/>
      <c r="P3537" s="17"/>
      <c r="Q3537" s="17"/>
    </row>
    <row r="3538" spans="2:17">
      <c r="B3538" s="17"/>
      <c r="C3538" s="16" t="str">
        <f>IFERROR(VLOOKUP(DATA!#REF!,DATA!#REF!,1,FALSE),"")</f>
        <v/>
      </c>
      <c r="D3538" s="16" t="str">
        <f>IFERROR(VLOOKUP(C3538,DATA!#REF!,2,FALSE),"")</f>
        <v/>
      </c>
      <c r="I3538" s="17"/>
      <c r="J3538" s="17"/>
      <c r="P3538" s="17"/>
      <c r="Q3538" s="17"/>
    </row>
    <row r="3539" spans="2:17">
      <c r="B3539" s="17"/>
      <c r="C3539" s="16" t="str">
        <f>IFERROR(VLOOKUP(DATA!#REF!,DATA!#REF!,1,FALSE),"")</f>
        <v/>
      </c>
      <c r="D3539" s="16" t="str">
        <f>IFERROR(VLOOKUP(C3539,DATA!#REF!,2,FALSE),"")</f>
        <v/>
      </c>
      <c r="I3539" s="17"/>
      <c r="J3539" s="17"/>
      <c r="P3539" s="17"/>
      <c r="Q3539" s="17"/>
    </row>
    <row r="3540" spans="2:17">
      <c r="B3540" s="17"/>
      <c r="C3540" s="16" t="str">
        <f>IFERROR(VLOOKUP(DATA!#REF!,DATA!#REF!,1,FALSE),"")</f>
        <v/>
      </c>
      <c r="D3540" s="16" t="str">
        <f>IFERROR(VLOOKUP(C3540,DATA!#REF!,2,FALSE),"")</f>
        <v/>
      </c>
      <c r="I3540" s="17"/>
      <c r="J3540" s="17"/>
      <c r="P3540" s="17"/>
      <c r="Q3540" s="17"/>
    </row>
    <row r="3541" spans="2:17">
      <c r="B3541" s="17"/>
      <c r="C3541" s="16" t="str">
        <f>IFERROR(VLOOKUP(DATA!#REF!,DATA!#REF!,1,FALSE),"")</f>
        <v/>
      </c>
      <c r="D3541" s="16" t="str">
        <f>IFERROR(VLOOKUP(C3541,DATA!#REF!,2,FALSE),"")</f>
        <v/>
      </c>
      <c r="I3541" s="17"/>
      <c r="J3541" s="17"/>
      <c r="P3541" s="17"/>
      <c r="Q3541" s="17"/>
    </row>
    <row r="3542" spans="2:17">
      <c r="B3542" s="17"/>
      <c r="C3542" s="16" t="str">
        <f>IFERROR(VLOOKUP(DATA!#REF!,DATA!#REF!,1,FALSE),"")</f>
        <v/>
      </c>
      <c r="D3542" s="16" t="str">
        <f>IFERROR(VLOOKUP(C3542,DATA!#REF!,2,FALSE),"")</f>
        <v/>
      </c>
      <c r="I3542" s="17"/>
      <c r="J3542" s="17"/>
      <c r="P3542" s="17"/>
      <c r="Q3542" s="17"/>
    </row>
    <row r="3543" spans="2:17">
      <c r="B3543" s="17"/>
      <c r="C3543" s="16" t="str">
        <f>IFERROR(VLOOKUP(DATA!#REF!,DATA!#REF!,1,FALSE),"")</f>
        <v/>
      </c>
      <c r="D3543" s="16" t="str">
        <f>IFERROR(VLOOKUP(C3543,DATA!#REF!,2,FALSE),"")</f>
        <v/>
      </c>
      <c r="I3543" s="17"/>
      <c r="J3543" s="17"/>
      <c r="P3543" s="17"/>
      <c r="Q3543" s="17"/>
    </row>
    <row r="3544" spans="2:17">
      <c r="B3544" s="17"/>
      <c r="C3544" s="16" t="str">
        <f>IFERROR(VLOOKUP(DATA!#REF!,DATA!#REF!,1,FALSE),"")</f>
        <v/>
      </c>
      <c r="D3544" s="16" t="str">
        <f>IFERROR(VLOOKUP(C3544,DATA!#REF!,2,FALSE),"")</f>
        <v/>
      </c>
      <c r="I3544" s="17"/>
      <c r="J3544" s="17"/>
      <c r="P3544" s="17"/>
      <c r="Q3544" s="17"/>
    </row>
    <row r="3545" spans="2:17">
      <c r="B3545" s="17"/>
      <c r="C3545" s="16" t="str">
        <f>IFERROR(VLOOKUP(DATA!#REF!,DATA!#REF!,1,FALSE),"")</f>
        <v/>
      </c>
      <c r="D3545" s="16" t="str">
        <f>IFERROR(VLOOKUP(C3545,DATA!#REF!,2,FALSE),"")</f>
        <v/>
      </c>
      <c r="I3545" s="17"/>
      <c r="J3545" s="17"/>
      <c r="P3545" s="17"/>
      <c r="Q3545" s="17"/>
    </row>
    <row r="3546" spans="2:17">
      <c r="B3546" s="17"/>
      <c r="C3546" s="16" t="str">
        <f>IFERROR(VLOOKUP(DATA!#REF!,DATA!#REF!,1,FALSE),"")</f>
        <v/>
      </c>
      <c r="D3546" s="16" t="str">
        <f>IFERROR(VLOOKUP(C3546,DATA!#REF!,2,FALSE),"")</f>
        <v/>
      </c>
      <c r="I3546" s="17"/>
      <c r="J3546" s="17"/>
      <c r="P3546" s="17"/>
      <c r="Q3546" s="17"/>
    </row>
    <row r="3547" spans="2:17">
      <c r="B3547" s="17"/>
      <c r="C3547" s="16" t="str">
        <f>IFERROR(VLOOKUP(DATA!#REF!,DATA!#REF!,1,FALSE),"")</f>
        <v/>
      </c>
      <c r="D3547" s="16" t="str">
        <f>IFERROR(VLOOKUP(C3547,DATA!#REF!,2,FALSE),"")</f>
        <v/>
      </c>
      <c r="I3547" s="17"/>
      <c r="J3547" s="17"/>
      <c r="P3547" s="17"/>
      <c r="Q3547" s="17"/>
    </row>
    <row r="3548" spans="2:17">
      <c r="B3548" s="17"/>
      <c r="C3548" s="16" t="str">
        <f>IFERROR(VLOOKUP(DATA!#REF!,DATA!#REF!,1,FALSE),"")</f>
        <v/>
      </c>
      <c r="D3548" s="16" t="str">
        <f>IFERROR(VLOOKUP(C3548,DATA!#REF!,2,FALSE),"")</f>
        <v/>
      </c>
      <c r="I3548" s="17"/>
      <c r="J3548" s="17"/>
      <c r="P3548" s="17"/>
      <c r="Q3548" s="17"/>
    </row>
    <row r="3549" spans="2:17">
      <c r="B3549" s="17"/>
      <c r="C3549" s="16" t="str">
        <f>IFERROR(VLOOKUP(DATA!#REF!,DATA!#REF!,1,FALSE),"")</f>
        <v/>
      </c>
      <c r="D3549" s="16" t="str">
        <f>IFERROR(VLOOKUP(C3549,DATA!#REF!,2,FALSE),"")</f>
        <v/>
      </c>
      <c r="I3549" s="17"/>
      <c r="J3549" s="17"/>
      <c r="P3549" s="17"/>
      <c r="Q3549" s="17"/>
    </row>
    <row r="3550" spans="2:17">
      <c r="B3550" s="17"/>
      <c r="C3550" s="16" t="str">
        <f>IFERROR(VLOOKUP(DATA!#REF!,DATA!#REF!,1,FALSE),"")</f>
        <v/>
      </c>
      <c r="D3550" s="16" t="str">
        <f>IFERROR(VLOOKUP(C3550,DATA!#REF!,2,FALSE),"")</f>
        <v/>
      </c>
      <c r="I3550" s="17"/>
      <c r="J3550" s="17"/>
      <c r="P3550" s="17"/>
      <c r="Q3550" s="17"/>
    </row>
    <row r="3551" spans="2:17">
      <c r="B3551" s="17"/>
      <c r="C3551" s="16" t="str">
        <f>IFERROR(VLOOKUP(DATA!#REF!,DATA!#REF!,1,FALSE),"")</f>
        <v/>
      </c>
      <c r="D3551" s="16" t="str">
        <f>IFERROR(VLOOKUP(C3551,DATA!#REF!,2,FALSE),"")</f>
        <v/>
      </c>
      <c r="I3551" s="17"/>
      <c r="J3551" s="17"/>
      <c r="P3551" s="17"/>
      <c r="Q3551" s="17"/>
    </row>
    <row r="3552" spans="2:17">
      <c r="B3552" s="17"/>
      <c r="C3552" s="16" t="str">
        <f>IFERROR(VLOOKUP(DATA!#REF!,DATA!#REF!,1,FALSE),"")</f>
        <v/>
      </c>
      <c r="D3552" s="16" t="str">
        <f>IFERROR(VLOOKUP(C3552,DATA!#REF!,2,FALSE),"")</f>
        <v/>
      </c>
      <c r="I3552" s="17"/>
      <c r="J3552" s="17"/>
      <c r="P3552" s="17"/>
      <c r="Q3552" s="17"/>
    </row>
    <row r="3553" spans="2:17">
      <c r="B3553" s="17"/>
      <c r="C3553" s="16" t="str">
        <f>IFERROR(VLOOKUP(DATA!#REF!,DATA!#REF!,1,FALSE),"")</f>
        <v/>
      </c>
      <c r="D3553" s="16" t="str">
        <f>IFERROR(VLOOKUP(C3553,DATA!#REF!,2,FALSE),"")</f>
        <v/>
      </c>
      <c r="I3553" s="17"/>
      <c r="J3553" s="17"/>
      <c r="P3553" s="17"/>
      <c r="Q3553" s="17"/>
    </row>
    <row r="3554" spans="2:17">
      <c r="B3554" s="17"/>
      <c r="C3554" s="16" t="str">
        <f>IFERROR(VLOOKUP(DATA!#REF!,DATA!#REF!,1,FALSE),"")</f>
        <v/>
      </c>
      <c r="D3554" s="16" t="str">
        <f>IFERROR(VLOOKUP(C3554,DATA!#REF!,2,FALSE),"")</f>
        <v/>
      </c>
      <c r="I3554" s="17"/>
      <c r="J3554" s="17"/>
      <c r="P3554" s="17"/>
      <c r="Q3554" s="17"/>
    </row>
    <row r="3555" spans="2:17">
      <c r="B3555" s="17"/>
      <c r="C3555" s="16" t="str">
        <f>IFERROR(VLOOKUP(DATA!#REF!,DATA!#REF!,1,FALSE),"")</f>
        <v/>
      </c>
      <c r="D3555" s="16" t="str">
        <f>IFERROR(VLOOKUP(C3555,DATA!#REF!,2,FALSE),"")</f>
        <v/>
      </c>
      <c r="I3555" s="17"/>
      <c r="J3555" s="17"/>
      <c r="P3555" s="17"/>
      <c r="Q3555" s="17"/>
    </row>
    <row r="3556" spans="2:17">
      <c r="B3556" s="17"/>
      <c r="C3556" s="16" t="str">
        <f>IFERROR(VLOOKUP(DATA!#REF!,DATA!#REF!,1,FALSE),"")</f>
        <v/>
      </c>
      <c r="D3556" s="16" t="str">
        <f>IFERROR(VLOOKUP(C3556,DATA!#REF!,2,FALSE),"")</f>
        <v/>
      </c>
      <c r="I3556" s="17"/>
      <c r="J3556" s="17"/>
      <c r="P3556" s="17"/>
      <c r="Q3556" s="17"/>
    </row>
    <row r="3557" spans="2:17">
      <c r="B3557" s="17"/>
      <c r="C3557" s="16" t="str">
        <f>IFERROR(VLOOKUP(DATA!#REF!,DATA!#REF!,1,FALSE),"")</f>
        <v/>
      </c>
      <c r="D3557" s="16" t="str">
        <f>IFERROR(VLOOKUP(C3557,DATA!#REF!,2,FALSE),"")</f>
        <v/>
      </c>
      <c r="I3557" s="17"/>
      <c r="J3557" s="17"/>
      <c r="P3557" s="17"/>
      <c r="Q3557" s="17"/>
    </row>
    <row r="3558" spans="2:17">
      <c r="B3558" s="17"/>
      <c r="C3558" s="16" t="str">
        <f>IFERROR(VLOOKUP(DATA!#REF!,DATA!#REF!,1,FALSE),"")</f>
        <v/>
      </c>
      <c r="D3558" s="16" t="str">
        <f>IFERROR(VLOOKUP(C3558,DATA!#REF!,2,FALSE),"")</f>
        <v/>
      </c>
      <c r="I3558" s="17"/>
      <c r="J3558" s="17"/>
      <c r="P3558" s="17"/>
      <c r="Q3558" s="17"/>
    </row>
    <row r="3559" spans="2:17">
      <c r="B3559" s="17"/>
      <c r="C3559" s="16" t="str">
        <f>IFERROR(VLOOKUP(DATA!#REF!,DATA!#REF!,1,FALSE),"")</f>
        <v/>
      </c>
      <c r="D3559" s="16" t="str">
        <f>IFERROR(VLOOKUP(C3559,DATA!#REF!,2,FALSE),"")</f>
        <v/>
      </c>
      <c r="I3559" s="17"/>
      <c r="J3559" s="17"/>
      <c r="P3559" s="17"/>
      <c r="Q3559" s="17"/>
    </row>
    <row r="3560" spans="2:17">
      <c r="B3560" s="17"/>
      <c r="C3560" s="16" t="str">
        <f>IFERROR(VLOOKUP(DATA!#REF!,DATA!#REF!,1,FALSE),"")</f>
        <v/>
      </c>
      <c r="D3560" s="16" t="str">
        <f>IFERROR(VLOOKUP(C3560,DATA!#REF!,2,FALSE),"")</f>
        <v/>
      </c>
      <c r="I3560" s="17"/>
      <c r="J3560" s="17"/>
      <c r="P3560" s="17"/>
      <c r="Q3560" s="17"/>
    </row>
    <row r="3561" spans="2:17">
      <c r="B3561" s="17"/>
      <c r="C3561" s="16" t="str">
        <f>IFERROR(VLOOKUP(DATA!#REF!,DATA!#REF!,1,FALSE),"")</f>
        <v/>
      </c>
      <c r="D3561" s="16" t="str">
        <f>IFERROR(VLOOKUP(C3561,DATA!#REF!,2,FALSE),"")</f>
        <v/>
      </c>
      <c r="I3561" s="17"/>
      <c r="J3561" s="17"/>
      <c r="P3561" s="17"/>
      <c r="Q3561" s="17"/>
    </row>
    <row r="3562" spans="2:17">
      <c r="B3562" s="17"/>
      <c r="C3562" s="16" t="str">
        <f>IFERROR(VLOOKUP(DATA!#REF!,DATA!#REF!,1,FALSE),"")</f>
        <v/>
      </c>
      <c r="D3562" s="16" t="str">
        <f>IFERROR(VLOOKUP(C3562,DATA!#REF!,2,FALSE),"")</f>
        <v/>
      </c>
      <c r="I3562" s="17"/>
      <c r="J3562" s="17"/>
      <c r="P3562" s="17"/>
      <c r="Q3562" s="17"/>
    </row>
    <row r="3563" spans="2:17">
      <c r="B3563" s="17"/>
      <c r="C3563" s="16" t="str">
        <f>IFERROR(VLOOKUP(DATA!#REF!,DATA!#REF!,1,FALSE),"")</f>
        <v/>
      </c>
      <c r="D3563" s="16" t="str">
        <f>IFERROR(VLOOKUP(C3563,DATA!#REF!,2,FALSE),"")</f>
        <v/>
      </c>
      <c r="I3563" s="17"/>
      <c r="J3563" s="17"/>
      <c r="P3563" s="17"/>
      <c r="Q3563" s="17"/>
    </row>
    <row r="3564" spans="2:17">
      <c r="B3564" s="17"/>
      <c r="C3564" s="16" t="str">
        <f>IFERROR(VLOOKUP(DATA!#REF!,DATA!#REF!,1,FALSE),"")</f>
        <v/>
      </c>
      <c r="D3564" s="16" t="str">
        <f>IFERROR(VLOOKUP(C3564,DATA!#REF!,2,FALSE),"")</f>
        <v/>
      </c>
      <c r="I3564" s="17"/>
      <c r="J3564" s="17"/>
      <c r="P3564" s="17"/>
      <c r="Q3564" s="17"/>
    </row>
    <row r="3565" spans="2:17">
      <c r="B3565" s="17"/>
      <c r="C3565" s="16" t="str">
        <f>IFERROR(VLOOKUP(DATA!#REF!,DATA!#REF!,1,FALSE),"")</f>
        <v/>
      </c>
      <c r="D3565" s="16" t="str">
        <f>IFERROR(VLOOKUP(C3565,DATA!#REF!,2,FALSE),"")</f>
        <v/>
      </c>
      <c r="I3565" s="17"/>
      <c r="J3565" s="17"/>
      <c r="P3565" s="17"/>
      <c r="Q3565" s="17"/>
    </row>
    <row r="3566" spans="2:17">
      <c r="B3566" s="17"/>
      <c r="C3566" s="16" t="str">
        <f>IFERROR(VLOOKUP(DATA!#REF!,DATA!#REF!,1,FALSE),"")</f>
        <v/>
      </c>
      <c r="D3566" s="16" t="str">
        <f>IFERROR(VLOOKUP(C3566,DATA!#REF!,2,FALSE),"")</f>
        <v/>
      </c>
      <c r="I3566" s="17"/>
      <c r="J3566" s="17"/>
      <c r="P3566" s="17"/>
      <c r="Q3566" s="17"/>
    </row>
    <row r="3567" spans="2:17">
      <c r="B3567" s="17"/>
      <c r="C3567" s="16" t="str">
        <f>IFERROR(VLOOKUP(DATA!#REF!,DATA!#REF!,1,FALSE),"")</f>
        <v/>
      </c>
      <c r="D3567" s="16" t="str">
        <f>IFERROR(VLOOKUP(C3567,DATA!#REF!,2,FALSE),"")</f>
        <v/>
      </c>
      <c r="I3567" s="17"/>
      <c r="J3567" s="17"/>
      <c r="P3567" s="17"/>
      <c r="Q3567" s="17"/>
    </row>
    <row r="3568" spans="2:17">
      <c r="B3568" s="17"/>
      <c r="C3568" s="16" t="str">
        <f>IFERROR(VLOOKUP(DATA!#REF!,DATA!#REF!,1,FALSE),"")</f>
        <v/>
      </c>
      <c r="D3568" s="16" t="str">
        <f>IFERROR(VLOOKUP(C3568,DATA!#REF!,2,FALSE),"")</f>
        <v/>
      </c>
      <c r="I3568" s="17"/>
      <c r="J3568" s="17"/>
      <c r="P3568" s="17"/>
      <c r="Q3568" s="17"/>
    </row>
    <row r="3569" spans="2:17">
      <c r="B3569" s="17"/>
      <c r="C3569" s="16" t="str">
        <f>IFERROR(VLOOKUP(DATA!#REF!,DATA!#REF!,1,FALSE),"")</f>
        <v/>
      </c>
      <c r="D3569" s="16" t="str">
        <f>IFERROR(VLOOKUP(C3569,DATA!#REF!,2,FALSE),"")</f>
        <v/>
      </c>
      <c r="I3569" s="17"/>
      <c r="J3569" s="17"/>
      <c r="P3569" s="17"/>
      <c r="Q3569" s="17"/>
    </row>
    <row r="3570" spans="2:17">
      <c r="B3570" s="17"/>
      <c r="C3570" s="16" t="str">
        <f>IFERROR(VLOOKUP(DATA!#REF!,DATA!#REF!,1,FALSE),"")</f>
        <v/>
      </c>
      <c r="D3570" s="16" t="str">
        <f>IFERROR(VLOOKUP(C3570,DATA!#REF!,2,FALSE),"")</f>
        <v/>
      </c>
      <c r="I3570" s="17"/>
      <c r="J3570" s="17"/>
      <c r="P3570" s="17"/>
      <c r="Q3570" s="17"/>
    </row>
    <row r="3571" spans="2:17">
      <c r="B3571" s="17"/>
      <c r="C3571" s="16" t="str">
        <f>IFERROR(VLOOKUP(DATA!#REF!,DATA!#REF!,1,FALSE),"")</f>
        <v/>
      </c>
      <c r="D3571" s="16" t="str">
        <f>IFERROR(VLOOKUP(C3571,DATA!#REF!,2,FALSE),"")</f>
        <v/>
      </c>
      <c r="I3571" s="17"/>
      <c r="J3571" s="17"/>
      <c r="P3571" s="17"/>
      <c r="Q3571" s="17"/>
    </row>
    <row r="3572" spans="2:17">
      <c r="B3572" s="17"/>
      <c r="C3572" s="16" t="str">
        <f>IFERROR(VLOOKUP(DATA!#REF!,DATA!#REF!,1,FALSE),"")</f>
        <v/>
      </c>
      <c r="D3572" s="16" t="str">
        <f>IFERROR(VLOOKUP(C3572,DATA!#REF!,2,FALSE),"")</f>
        <v/>
      </c>
      <c r="I3572" s="17"/>
      <c r="J3572" s="17"/>
      <c r="P3572" s="17"/>
      <c r="Q3572" s="17"/>
    </row>
    <row r="3573" spans="2:17">
      <c r="B3573" s="17"/>
      <c r="C3573" s="16" t="str">
        <f>IFERROR(VLOOKUP(DATA!#REF!,DATA!#REF!,1,FALSE),"")</f>
        <v/>
      </c>
      <c r="D3573" s="16" t="str">
        <f>IFERROR(VLOOKUP(C3573,DATA!#REF!,2,FALSE),"")</f>
        <v/>
      </c>
      <c r="I3573" s="17"/>
      <c r="J3573" s="17"/>
      <c r="P3573" s="17"/>
      <c r="Q3573" s="17"/>
    </row>
    <row r="3574" spans="2:17">
      <c r="B3574" s="17"/>
      <c r="C3574" s="16" t="str">
        <f>IFERROR(VLOOKUP(DATA!#REF!,DATA!#REF!,1,FALSE),"")</f>
        <v/>
      </c>
      <c r="D3574" s="16" t="str">
        <f>IFERROR(VLOOKUP(C3574,DATA!#REF!,2,FALSE),"")</f>
        <v/>
      </c>
      <c r="I3574" s="17"/>
      <c r="J3574" s="17"/>
      <c r="P3574" s="17"/>
      <c r="Q3574" s="17"/>
    </row>
    <row r="3575" spans="2:17">
      <c r="B3575" s="17"/>
      <c r="C3575" s="16" t="str">
        <f>IFERROR(VLOOKUP(DATA!#REF!,DATA!#REF!,1,FALSE),"")</f>
        <v/>
      </c>
      <c r="D3575" s="16" t="str">
        <f>IFERROR(VLOOKUP(C3575,DATA!#REF!,2,FALSE),"")</f>
        <v/>
      </c>
      <c r="I3575" s="17"/>
      <c r="J3575" s="17"/>
      <c r="P3575" s="17"/>
      <c r="Q3575" s="17"/>
    </row>
    <row r="3576" spans="2:17">
      <c r="B3576" s="17"/>
      <c r="C3576" s="16" t="str">
        <f>IFERROR(VLOOKUP(DATA!#REF!,DATA!#REF!,1,FALSE),"")</f>
        <v/>
      </c>
      <c r="D3576" s="16" t="str">
        <f>IFERROR(VLOOKUP(C3576,DATA!#REF!,2,FALSE),"")</f>
        <v/>
      </c>
      <c r="I3576" s="17"/>
      <c r="J3576" s="17"/>
      <c r="P3576" s="17"/>
      <c r="Q3576" s="17"/>
    </row>
    <row r="3577" spans="2:17">
      <c r="B3577" s="17"/>
      <c r="C3577" s="16" t="str">
        <f>IFERROR(VLOOKUP(DATA!#REF!,DATA!#REF!,1,FALSE),"")</f>
        <v/>
      </c>
      <c r="D3577" s="16" t="str">
        <f>IFERROR(VLOOKUP(C3577,DATA!#REF!,2,FALSE),"")</f>
        <v/>
      </c>
      <c r="I3577" s="17"/>
      <c r="J3577" s="17"/>
      <c r="P3577" s="17"/>
      <c r="Q3577" s="17"/>
    </row>
    <row r="3578" spans="2:17">
      <c r="B3578" s="17"/>
      <c r="C3578" s="16" t="str">
        <f>IFERROR(VLOOKUP(DATA!#REF!,DATA!#REF!,1,FALSE),"")</f>
        <v/>
      </c>
      <c r="D3578" s="16" t="str">
        <f>IFERROR(VLOOKUP(C3578,DATA!#REF!,2,FALSE),"")</f>
        <v/>
      </c>
      <c r="I3578" s="17"/>
      <c r="J3578" s="17"/>
      <c r="P3578" s="17"/>
      <c r="Q3578" s="17"/>
    </row>
    <row r="3579" spans="2:17">
      <c r="B3579" s="17"/>
      <c r="C3579" s="16" t="str">
        <f>IFERROR(VLOOKUP(DATA!#REF!,DATA!#REF!,1,FALSE),"")</f>
        <v/>
      </c>
      <c r="D3579" s="16" t="str">
        <f>IFERROR(VLOOKUP(C3579,DATA!#REF!,2,FALSE),"")</f>
        <v/>
      </c>
      <c r="I3579" s="17"/>
      <c r="J3579" s="17"/>
      <c r="P3579" s="17"/>
      <c r="Q3579" s="17"/>
    </row>
    <row r="3580" spans="2:17">
      <c r="B3580" s="17"/>
      <c r="C3580" s="16" t="str">
        <f>IFERROR(VLOOKUP(DATA!#REF!,DATA!#REF!,1,FALSE),"")</f>
        <v/>
      </c>
      <c r="D3580" s="16" t="str">
        <f>IFERROR(VLOOKUP(C3580,DATA!#REF!,2,FALSE),"")</f>
        <v/>
      </c>
      <c r="I3580" s="17"/>
      <c r="J3580" s="17"/>
      <c r="P3580" s="17"/>
      <c r="Q3580" s="17"/>
    </row>
    <row r="3581" spans="2:17">
      <c r="B3581" s="17"/>
      <c r="C3581" s="16" t="str">
        <f>IFERROR(VLOOKUP(DATA!#REF!,DATA!#REF!,1,FALSE),"")</f>
        <v/>
      </c>
      <c r="D3581" s="16" t="str">
        <f>IFERROR(VLOOKUP(C3581,DATA!#REF!,2,FALSE),"")</f>
        <v/>
      </c>
      <c r="I3581" s="17"/>
      <c r="J3581" s="17"/>
      <c r="P3581" s="17"/>
      <c r="Q3581" s="17"/>
    </row>
    <row r="3582" spans="2:17">
      <c r="B3582" s="17"/>
      <c r="C3582" s="16" t="str">
        <f>IFERROR(VLOOKUP(DATA!#REF!,DATA!#REF!,1,FALSE),"")</f>
        <v/>
      </c>
      <c r="D3582" s="16" t="str">
        <f>IFERROR(VLOOKUP(C3582,DATA!#REF!,2,FALSE),"")</f>
        <v/>
      </c>
      <c r="I3582" s="17"/>
      <c r="J3582" s="17"/>
      <c r="P3582" s="17"/>
      <c r="Q3582" s="17"/>
    </row>
    <row r="3583" spans="2:17">
      <c r="B3583" s="17"/>
      <c r="C3583" s="16" t="str">
        <f>IFERROR(VLOOKUP(DATA!#REF!,DATA!#REF!,1,FALSE),"")</f>
        <v/>
      </c>
      <c r="D3583" s="16" t="str">
        <f>IFERROR(VLOOKUP(C3583,DATA!#REF!,2,FALSE),"")</f>
        <v/>
      </c>
      <c r="I3583" s="17"/>
      <c r="J3583" s="17"/>
      <c r="P3583" s="17"/>
      <c r="Q3583" s="17"/>
    </row>
    <row r="3584" spans="2:17">
      <c r="B3584" s="17"/>
      <c r="C3584" s="16" t="str">
        <f>IFERROR(VLOOKUP(DATA!#REF!,DATA!#REF!,1,FALSE),"")</f>
        <v/>
      </c>
      <c r="D3584" s="16" t="str">
        <f>IFERROR(VLOOKUP(C3584,DATA!#REF!,2,FALSE),"")</f>
        <v/>
      </c>
      <c r="I3584" s="17"/>
      <c r="J3584" s="17"/>
      <c r="P3584" s="17"/>
      <c r="Q3584" s="17"/>
    </row>
    <row r="3585" spans="2:17">
      <c r="B3585" s="17"/>
      <c r="C3585" s="16" t="str">
        <f>IFERROR(VLOOKUP(DATA!#REF!,DATA!#REF!,1,FALSE),"")</f>
        <v/>
      </c>
      <c r="D3585" s="16" t="str">
        <f>IFERROR(VLOOKUP(C3585,DATA!#REF!,2,FALSE),"")</f>
        <v/>
      </c>
      <c r="I3585" s="17"/>
      <c r="J3585" s="17"/>
      <c r="P3585" s="17"/>
      <c r="Q3585" s="17"/>
    </row>
    <row r="3586" spans="2:17">
      <c r="B3586" s="17"/>
      <c r="C3586" s="16" t="str">
        <f>IFERROR(VLOOKUP(DATA!#REF!,DATA!#REF!,1,FALSE),"")</f>
        <v/>
      </c>
      <c r="D3586" s="16" t="str">
        <f>IFERROR(VLOOKUP(C3586,DATA!#REF!,2,FALSE),"")</f>
        <v/>
      </c>
      <c r="I3586" s="17"/>
      <c r="J3586" s="17"/>
      <c r="P3586" s="17"/>
      <c r="Q3586" s="17"/>
    </row>
    <row r="3587" spans="2:17">
      <c r="B3587" s="17"/>
      <c r="C3587" s="16" t="str">
        <f>IFERROR(VLOOKUP(DATA!#REF!,DATA!#REF!,1,FALSE),"")</f>
        <v/>
      </c>
      <c r="D3587" s="16" t="str">
        <f>IFERROR(VLOOKUP(C3587,DATA!#REF!,2,FALSE),"")</f>
        <v/>
      </c>
      <c r="I3587" s="17"/>
      <c r="J3587" s="17"/>
      <c r="P3587" s="17"/>
      <c r="Q3587" s="17"/>
    </row>
    <row r="3588" spans="2:17">
      <c r="B3588" s="17"/>
      <c r="C3588" s="16" t="str">
        <f>IFERROR(VLOOKUP(DATA!#REF!,DATA!#REF!,1,FALSE),"")</f>
        <v/>
      </c>
      <c r="D3588" s="16" t="str">
        <f>IFERROR(VLOOKUP(C3588,DATA!#REF!,2,FALSE),"")</f>
        <v/>
      </c>
      <c r="I3588" s="17"/>
      <c r="J3588" s="17"/>
      <c r="P3588" s="17"/>
      <c r="Q3588" s="17"/>
    </row>
    <row r="3589" spans="2:17">
      <c r="B3589" s="17"/>
      <c r="C3589" s="16" t="str">
        <f>IFERROR(VLOOKUP(DATA!#REF!,DATA!#REF!,1,FALSE),"")</f>
        <v/>
      </c>
      <c r="D3589" s="16" t="str">
        <f>IFERROR(VLOOKUP(C3589,DATA!#REF!,2,FALSE),"")</f>
        <v/>
      </c>
      <c r="I3589" s="17"/>
      <c r="J3589" s="17"/>
      <c r="P3589" s="17"/>
      <c r="Q3589" s="17"/>
    </row>
    <row r="3590" spans="2:17">
      <c r="B3590" s="17"/>
      <c r="C3590" s="16" t="str">
        <f>IFERROR(VLOOKUP(DATA!#REF!,DATA!#REF!,1,FALSE),"")</f>
        <v/>
      </c>
      <c r="D3590" s="16" t="str">
        <f>IFERROR(VLOOKUP(C3590,DATA!#REF!,2,FALSE),"")</f>
        <v/>
      </c>
      <c r="I3590" s="17"/>
      <c r="J3590" s="17"/>
      <c r="P3590" s="17"/>
      <c r="Q3590" s="17"/>
    </row>
    <row r="3591" spans="2:17">
      <c r="B3591" s="17"/>
      <c r="C3591" s="16" t="str">
        <f>IFERROR(VLOOKUP(DATA!#REF!,DATA!#REF!,1,FALSE),"")</f>
        <v/>
      </c>
      <c r="D3591" s="16" t="str">
        <f>IFERROR(VLOOKUP(C3591,DATA!#REF!,2,FALSE),"")</f>
        <v/>
      </c>
      <c r="I3591" s="17"/>
      <c r="J3591" s="17"/>
      <c r="P3591" s="17"/>
      <c r="Q3591" s="17"/>
    </row>
    <row r="3592" spans="2:17">
      <c r="B3592" s="17"/>
      <c r="C3592" s="16" t="str">
        <f>IFERROR(VLOOKUP(DATA!#REF!,DATA!#REF!,1,FALSE),"")</f>
        <v/>
      </c>
      <c r="D3592" s="16" t="str">
        <f>IFERROR(VLOOKUP(C3592,DATA!#REF!,2,FALSE),"")</f>
        <v/>
      </c>
      <c r="I3592" s="17"/>
      <c r="J3592" s="17"/>
      <c r="P3592" s="17"/>
      <c r="Q3592" s="17"/>
    </row>
    <row r="3593" spans="2:17">
      <c r="B3593" s="17"/>
      <c r="C3593" s="16" t="str">
        <f>IFERROR(VLOOKUP(DATA!#REF!,DATA!#REF!,1,FALSE),"")</f>
        <v/>
      </c>
      <c r="D3593" s="16" t="str">
        <f>IFERROR(VLOOKUP(C3593,DATA!#REF!,2,FALSE),"")</f>
        <v/>
      </c>
      <c r="I3593" s="17"/>
      <c r="J3593" s="17"/>
      <c r="P3593" s="17"/>
      <c r="Q3593" s="17"/>
    </row>
    <row r="3594" spans="2:17">
      <c r="B3594" s="17"/>
      <c r="C3594" s="16" t="str">
        <f>IFERROR(VLOOKUP(DATA!#REF!,DATA!#REF!,1,FALSE),"")</f>
        <v/>
      </c>
      <c r="D3594" s="16" t="str">
        <f>IFERROR(VLOOKUP(C3594,DATA!#REF!,2,FALSE),"")</f>
        <v/>
      </c>
      <c r="I3594" s="17"/>
      <c r="J3594" s="17"/>
      <c r="P3594" s="17"/>
      <c r="Q3594" s="17"/>
    </row>
    <row r="3595" spans="2:17">
      <c r="B3595" s="17"/>
      <c r="C3595" s="16" t="str">
        <f>IFERROR(VLOOKUP(DATA!#REF!,DATA!#REF!,1,FALSE),"")</f>
        <v/>
      </c>
      <c r="D3595" s="16" t="str">
        <f>IFERROR(VLOOKUP(C3595,DATA!#REF!,2,FALSE),"")</f>
        <v/>
      </c>
      <c r="I3595" s="17"/>
      <c r="J3595" s="17"/>
      <c r="P3595" s="17"/>
      <c r="Q3595" s="17"/>
    </row>
    <row r="3596" spans="2:17">
      <c r="B3596" s="17"/>
      <c r="C3596" s="16" t="str">
        <f>IFERROR(VLOOKUP(DATA!#REF!,DATA!#REF!,1,FALSE),"")</f>
        <v/>
      </c>
      <c r="D3596" s="16" t="str">
        <f>IFERROR(VLOOKUP(C3596,DATA!#REF!,2,FALSE),"")</f>
        <v/>
      </c>
      <c r="I3596" s="17"/>
      <c r="J3596" s="17"/>
      <c r="P3596" s="17"/>
      <c r="Q3596" s="17"/>
    </row>
    <row r="3597" spans="2:17">
      <c r="B3597" s="17"/>
      <c r="C3597" s="16" t="str">
        <f>IFERROR(VLOOKUP(DATA!#REF!,DATA!#REF!,1,FALSE),"")</f>
        <v/>
      </c>
      <c r="D3597" s="16" t="str">
        <f>IFERROR(VLOOKUP(C3597,DATA!#REF!,2,FALSE),"")</f>
        <v/>
      </c>
      <c r="I3597" s="17"/>
      <c r="J3597" s="17"/>
      <c r="P3597" s="17"/>
      <c r="Q3597" s="17"/>
    </row>
    <row r="3598" spans="2:17">
      <c r="B3598" s="17"/>
      <c r="C3598" s="16" t="str">
        <f>IFERROR(VLOOKUP(DATA!#REF!,DATA!#REF!,1,FALSE),"")</f>
        <v/>
      </c>
      <c r="D3598" s="16" t="str">
        <f>IFERROR(VLOOKUP(C3598,DATA!#REF!,2,FALSE),"")</f>
        <v/>
      </c>
      <c r="I3598" s="17"/>
      <c r="J3598" s="17"/>
      <c r="P3598" s="17"/>
      <c r="Q3598" s="17"/>
    </row>
    <row r="3599" spans="2:17">
      <c r="B3599" s="17"/>
      <c r="C3599" s="16" t="str">
        <f>IFERROR(VLOOKUP(DATA!#REF!,DATA!#REF!,1,FALSE),"")</f>
        <v/>
      </c>
      <c r="D3599" s="16" t="str">
        <f>IFERROR(VLOOKUP(C3599,DATA!#REF!,2,FALSE),"")</f>
        <v/>
      </c>
      <c r="I3599" s="17"/>
      <c r="J3599" s="17"/>
      <c r="P3599" s="17"/>
      <c r="Q3599" s="17"/>
    </row>
    <row r="3600" spans="2:17">
      <c r="B3600" s="17"/>
      <c r="C3600" s="16" t="str">
        <f>IFERROR(VLOOKUP(DATA!#REF!,DATA!#REF!,1,FALSE),"")</f>
        <v/>
      </c>
      <c r="D3600" s="16" t="str">
        <f>IFERROR(VLOOKUP(C3600,DATA!#REF!,2,FALSE),"")</f>
        <v/>
      </c>
      <c r="I3600" s="17"/>
      <c r="J3600" s="17"/>
      <c r="P3600" s="17"/>
      <c r="Q3600" s="17"/>
    </row>
    <row r="3601" spans="2:17">
      <c r="B3601" s="17"/>
      <c r="C3601" s="16" t="str">
        <f>IFERROR(VLOOKUP(DATA!#REF!,DATA!#REF!,1,FALSE),"")</f>
        <v/>
      </c>
      <c r="D3601" s="16" t="str">
        <f>IFERROR(VLOOKUP(C3601,DATA!#REF!,2,FALSE),"")</f>
        <v/>
      </c>
      <c r="I3601" s="17"/>
      <c r="J3601" s="17"/>
      <c r="P3601" s="17"/>
      <c r="Q3601" s="17"/>
    </row>
    <row r="3602" spans="2:17">
      <c r="B3602" s="17"/>
      <c r="C3602" s="16" t="str">
        <f>IFERROR(VLOOKUP(DATA!#REF!,DATA!#REF!,1,FALSE),"")</f>
        <v/>
      </c>
      <c r="D3602" s="16" t="str">
        <f>IFERROR(VLOOKUP(C3602,DATA!#REF!,2,FALSE),"")</f>
        <v/>
      </c>
      <c r="I3602" s="17"/>
      <c r="J3602" s="17"/>
      <c r="P3602" s="17"/>
      <c r="Q3602" s="17"/>
    </row>
    <row r="3603" spans="2:17">
      <c r="B3603" s="17"/>
      <c r="C3603" s="16" t="str">
        <f>IFERROR(VLOOKUP(DATA!#REF!,DATA!#REF!,1,FALSE),"")</f>
        <v/>
      </c>
      <c r="D3603" s="16" t="str">
        <f>IFERROR(VLOOKUP(C3603,DATA!#REF!,2,FALSE),"")</f>
        <v/>
      </c>
      <c r="I3603" s="17"/>
      <c r="J3603" s="17"/>
      <c r="P3603" s="17"/>
      <c r="Q3603" s="17"/>
    </row>
    <row r="3604" spans="2:17">
      <c r="B3604" s="17"/>
      <c r="C3604" s="16" t="str">
        <f>IFERROR(VLOOKUP(DATA!#REF!,DATA!#REF!,1,FALSE),"")</f>
        <v/>
      </c>
      <c r="D3604" s="16" t="str">
        <f>IFERROR(VLOOKUP(C3604,DATA!#REF!,2,FALSE),"")</f>
        <v/>
      </c>
      <c r="I3604" s="17"/>
      <c r="J3604" s="17"/>
      <c r="P3604" s="17"/>
      <c r="Q3604" s="17"/>
    </row>
    <row r="3605" spans="2:17">
      <c r="B3605" s="17"/>
      <c r="C3605" s="16" t="str">
        <f>IFERROR(VLOOKUP(DATA!#REF!,DATA!#REF!,1,FALSE),"")</f>
        <v/>
      </c>
      <c r="D3605" s="16" t="str">
        <f>IFERROR(VLOOKUP(C3605,DATA!#REF!,2,FALSE),"")</f>
        <v/>
      </c>
      <c r="I3605" s="17"/>
      <c r="J3605" s="17"/>
      <c r="P3605" s="17"/>
      <c r="Q3605" s="17"/>
    </row>
    <row r="3606" spans="2:17">
      <c r="B3606" s="17"/>
      <c r="C3606" s="16" t="str">
        <f>IFERROR(VLOOKUP(DATA!#REF!,DATA!#REF!,1,FALSE),"")</f>
        <v/>
      </c>
      <c r="D3606" s="16" t="str">
        <f>IFERROR(VLOOKUP(C3606,DATA!#REF!,2,FALSE),"")</f>
        <v/>
      </c>
      <c r="I3606" s="17"/>
      <c r="J3606" s="17"/>
      <c r="P3606" s="17"/>
      <c r="Q3606" s="17"/>
    </row>
    <row r="3607" spans="2:17">
      <c r="B3607" s="17"/>
      <c r="C3607" s="16" t="str">
        <f>IFERROR(VLOOKUP(DATA!#REF!,DATA!#REF!,1,FALSE),"")</f>
        <v/>
      </c>
      <c r="D3607" s="16" t="str">
        <f>IFERROR(VLOOKUP(C3607,DATA!#REF!,2,FALSE),"")</f>
        <v/>
      </c>
      <c r="I3607" s="17"/>
      <c r="J3607" s="17"/>
      <c r="P3607" s="17"/>
      <c r="Q3607" s="17"/>
    </row>
    <row r="3608" spans="2:17">
      <c r="B3608" s="17"/>
      <c r="C3608" s="16" t="str">
        <f>IFERROR(VLOOKUP(DATA!#REF!,DATA!#REF!,1,FALSE),"")</f>
        <v/>
      </c>
      <c r="D3608" s="16" t="str">
        <f>IFERROR(VLOOKUP(C3608,DATA!#REF!,2,FALSE),"")</f>
        <v/>
      </c>
      <c r="I3608" s="17"/>
      <c r="J3608" s="17"/>
      <c r="P3608" s="17"/>
      <c r="Q3608" s="17"/>
    </row>
    <row r="3609" spans="2:17">
      <c r="B3609" s="17"/>
      <c r="C3609" s="16" t="str">
        <f>IFERROR(VLOOKUP(DATA!#REF!,DATA!#REF!,1,FALSE),"")</f>
        <v/>
      </c>
      <c r="D3609" s="16" t="str">
        <f>IFERROR(VLOOKUP(C3609,DATA!#REF!,2,FALSE),"")</f>
        <v/>
      </c>
      <c r="I3609" s="17"/>
      <c r="J3609" s="17"/>
      <c r="P3609" s="17"/>
      <c r="Q3609" s="17"/>
    </row>
    <row r="3610" spans="2:17">
      <c r="B3610" s="17"/>
      <c r="C3610" s="16" t="str">
        <f>IFERROR(VLOOKUP(DATA!#REF!,DATA!#REF!,1,FALSE),"")</f>
        <v/>
      </c>
      <c r="D3610" s="16" t="str">
        <f>IFERROR(VLOOKUP(C3610,DATA!#REF!,2,FALSE),"")</f>
        <v/>
      </c>
      <c r="I3610" s="17"/>
      <c r="J3610" s="17"/>
      <c r="P3610" s="17"/>
      <c r="Q3610" s="17"/>
    </row>
    <row r="3611" spans="2:17">
      <c r="B3611" s="17"/>
      <c r="C3611" s="16" t="str">
        <f>IFERROR(VLOOKUP(DATA!#REF!,DATA!#REF!,1,FALSE),"")</f>
        <v/>
      </c>
      <c r="D3611" s="16" t="str">
        <f>IFERROR(VLOOKUP(C3611,DATA!#REF!,2,FALSE),"")</f>
        <v/>
      </c>
      <c r="I3611" s="17"/>
      <c r="J3611" s="17"/>
      <c r="P3611" s="17"/>
      <c r="Q3611" s="17"/>
    </row>
    <row r="3612" spans="2:17">
      <c r="B3612" s="17"/>
      <c r="C3612" s="16" t="str">
        <f>IFERROR(VLOOKUP(DATA!#REF!,DATA!#REF!,1,FALSE),"")</f>
        <v/>
      </c>
      <c r="D3612" s="16" t="str">
        <f>IFERROR(VLOOKUP(C3612,DATA!#REF!,2,FALSE),"")</f>
        <v/>
      </c>
      <c r="I3612" s="17"/>
      <c r="J3612" s="17"/>
      <c r="P3612" s="17"/>
      <c r="Q3612" s="17"/>
    </row>
    <row r="3613" spans="2:17">
      <c r="B3613" s="17"/>
      <c r="C3613" s="16" t="str">
        <f>IFERROR(VLOOKUP(DATA!#REF!,DATA!#REF!,1,FALSE),"")</f>
        <v/>
      </c>
      <c r="D3613" s="16" t="str">
        <f>IFERROR(VLOOKUP(C3613,DATA!#REF!,2,FALSE),"")</f>
        <v/>
      </c>
      <c r="I3613" s="17"/>
      <c r="J3613" s="17"/>
      <c r="P3613" s="17"/>
      <c r="Q3613" s="17"/>
    </row>
    <row r="3614" spans="2:17">
      <c r="B3614" s="17"/>
      <c r="C3614" s="16" t="str">
        <f>IFERROR(VLOOKUP(DATA!#REF!,DATA!#REF!,1,FALSE),"")</f>
        <v/>
      </c>
      <c r="D3614" s="16" t="str">
        <f>IFERROR(VLOOKUP(C3614,DATA!#REF!,2,FALSE),"")</f>
        <v/>
      </c>
      <c r="I3614" s="17"/>
      <c r="J3614" s="17"/>
      <c r="P3614" s="17"/>
      <c r="Q3614" s="17"/>
    </row>
    <row r="3615" spans="2:17">
      <c r="B3615" s="17"/>
      <c r="C3615" s="16" t="str">
        <f>IFERROR(VLOOKUP(DATA!#REF!,DATA!#REF!,1,FALSE),"")</f>
        <v/>
      </c>
      <c r="D3615" s="16" t="str">
        <f>IFERROR(VLOOKUP(C3615,DATA!#REF!,2,FALSE),"")</f>
        <v/>
      </c>
      <c r="I3615" s="17"/>
      <c r="J3615" s="17"/>
      <c r="P3615" s="17"/>
      <c r="Q3615" s="17"/>
    </row>
    <row r="3616" spans="2:17">
      <c r="B3616" s="17"/>
      <c r="C3616" s="16" t="str">
        <f>IFERROR(VLOOKUP(DATA!#REF!,DATA!#REF!,1,FALSE),"")</f>
        <v/>
      </c>
      <c r="D3616" s="16" t="str">
        <f>IFERROR(VLOOKUP(C3616,DATA!#REF!,2,FALSE),"")</f>
        <v/>
      </c>
      <c r="I3616" s="17"/>
      <c r="J3616" s="17"/>
      <c r="P3616" s="17"/>
      <c r="Q3616" s="17"/>
    </row>
    <row r="3617" spans="2:17">
      <c r="B3617" s="17"/>
      <c r="C3617" s="16" t="str">
        <f>IFERROR(VLOOKUP(DATA!#REF!,DATA!#REF!,1,FALSE),"")</f>
        <v/>
      </c>
      <c r="D3617" s="16" t="str">
        <f>IFERROR(VLOOKUP(C3617,DATA!#REF!,2,FALSE),"")</f>
        <v/>
      </c>
      <c r="I3617" s="17"/>
      <c r="J3617" s="17"/>
      <c r="P3617" s="17"/>
      <c r="Q3617" s="17"/>
    </row>
    <row r="3618" spans="2:17">
      <c r="B3618" s="17"/>
      <c r="C3618" s="16" t="str">
        <f>IFERROR(VLOOKUP(DATA!#REF!,DATA!#REF!,1,FALSE),"")</f>
        <v/>
      </c>
      <c r="D3618" s="16" t="str">
        <f>IFERROR(VLOOKUP(C3618,DATA!#REF!,2,FALSE),"")</f>
        <v/>
      </c>
      <c r="I3618" s="17"/>
      <c r="J3618" s="17"/>
      <c r="P3618" s="17"/>
      <c r="Q3618" s="17"/>
    </row>
    <row r="3619" spans="2:17">
      <c r="B3619" s="17"/>
      <c r="C3619" s="16" t="str">
        <f>IFERROR(VLOOKUP(DATA!#REF!,DATA!#REF!,1,FALSE),"")</f>
        <v/>
      </c>
      <c r="D3619" s="16" t="str">
        <f>IFERROR(VLOOKUP(C3619,DATA!#REF!,2,FALSE),"")</f>
        <v/>
      </c>
      <c r="I3619" s="17"/>
      <c r="J3619" s="17"/>
      <c r="P3619" s="17"/>
      <c r="Q3619" s="17"/>
    </row>
    <row r="3620" spans="2:17">
      <c r="B3620" s="17"/>
      <c r="C3620" s="16" t="str">
        <f>IFERROR(VLOOKUP(DATA!#REF!,DATA!#REF!,1,FALSE),"")</f>
        <v/>
      </c>
      <c r="D3620" s="16" t="str">
        <f>IFERROR(VLOOKUP(C3620,DATA!#REF!,2,FALSE),"")</f>
        <v/>
      </c>
      <c r="I3620" s="17"/>
      <c r="J3620" s="17"/>
      <c r="P3620" s="17"/>
      <c r="Q3620" s="17"/>
    </row>
    <row r="3621" spans="2:17">
      <c r="B3621" s="17"/>
      <c r="C3621" s="16" t="str">
        <f>IFERROR(VLOOKUP(DATA!#REF!,DATA!#REF!,1,FALSE),"")</f>
        <v/>
      </c>
      <c r="D3621" s="16" t="str">
        <f>IFERROR(VLOOKUP(C3621,DATA!#REF!,2,FALSE),"")</f>
        <v/>
      </c>
      <c r="I3621" s="17"/>
      <c r="J3621" s="17"/>
      <c r="P3621" s="17"/>
      <c r="Q3621" s="17"/>
    </row>
    <row r="3622" spans="2:17">
      <c r="B3622" s="17"/>
      <c r="C3622" s="16" t="str">
        <f>IFERROR(VLOOKUP(DATA!#REF!,DATA!#REF!,1,FALSE),"")</f>
        <v/>
      </c>
      <c r="D3622" s="16" t="str">
        <f>IFERROR(VLOOKUP(C3622,DATA!#REF!,2,FALSE),"")</f>
        <v/>
      </c>
      <c r="I3622" s="17"/>
      <c r="J3622" s="17"/>
      <c r="P3622" s="17"/>
      <c r="Q3622" s="17"/>
    </row>
    <row r="3623" spans="2:17">
      <c r="B3623" s="17"/>
      <c r="C3623" s="16" t="str">
        <f>IFERROR(VLOOKUP(DATA!#REF!,DATA!#REF!,1,FALSE),"")</f>
        <v/>
      </c>
      <c r="D3623" s="16" t="str">
        <f>IFERROR(VLOOKUP(C3623,DATA!#REF!,2,FALSE),"")</f>
        <v/>
      </c>
      <c r="I3623" s="17"/>
      <c r="J3623" s="17"/>
      <c r="P3623" s="17"/>
      <c r="Q3623" s="17"/>
    </row>
    <row r="3624" spans="2:17">
      <c r="B3624" s="17"/>
      <c r="C3624" s="16" t="str">
        <f>IFERROR(VLOOKUP(DATA!#REF!,DATA!#REF!,1,FALSE),"")</f>
        <v/>
      </c>
      <c r="D3624" s="16" t="str">
        <f>IFERROR(VLOOKUP(C3624,DATA!#REF!,2,FALSE),"")</f>
        <v/>
      </c>
      <c r="I3624" s="17"/>
      <c r="J3624" s="17"/>
      <c r="P3624" s="17"/>
      <c r="Q3624" s="17"/>
    </row>
    <row r="3625" spans="2:17">
      <c r="B3625" s="17"/>
      <c r="C3625" s="16" t="str">
        <f>IFERROR(VLOOKUP(DATA!#REF!,DATA!#REF!,1,FALSE),"")</f>
        <v/>
      </c>
      <c r="D3625" s="16" t="str">
        <f>IFERROR(VLOOKUP(C3625,DATA!#REF!,2,FALSE),"")</f>
        <v/>
      </c>
      <c r="I3625" s="17"/>
      <c r="J3625" s="17"/>
      <c r="P3625" s="17"/>
      <c r="Q3625" s="17"/>
    </row>
    <row r="3626" spans="2:17">
      <c r="B3626" s="17"/>
      <c r="C3626" s="16" t="str">
        <f>IFERROR(VLOOKUP(DATA!#REF!,DATA!#REF!,1,FALSE),"")</f>
        <v/>
      </c>
      <c r="D3626" s="16" t="str">
        <f>IFERROR(VLOOKUP(C3626,DATA!#REF!,2,FALSE),"")</f>
        <v/>
      </c>
      <c r="I3626" s="17"/>
      <c r="J3626" s="17"/>
      <c r="P3626" s="17"/>
      <c r="Q3626" s="17"/>
    </row>
    <row r="3627" spans="2:17">
      <c r="B3627" s="17"/>
      <c r="C3627" s="16" t="str">
        <f>IFERROR(VLOOKUP(DATA!#REF!,DATA!#REF!,1,FALSE),"")</f>
        <v/>
      </c>
      <c r="D3627" s="16" t="str">
        <f>IFERROR(VLOOKUP(C3627,DATA!#REF!,2,FALSE),"")</f>
        <v/>
      </c>
      <c r="I3627" s="17"/>
      <c r="J3627" s="17"/>
      <c r="P3627" s="17"/>
      <c r="Q3627" s="17"/>
    </row>
    <row r="3628" spans="2:17">
      <c r="B3628" s="17"/>
      <c r="C3628" s="16" t="str">
        <f>IFERROR(VLOOKUP(DATA!#REF!,DATA!#REF!,1,FALSE),"")</f>
        <v/>
      </c>
      <c r="D3628" s="16" t="str">
        <f>IFERROR(VLOOKUP(C3628,DATA!#REF!,2,FALSE),"")</f>
        <v/>
      </c>
      <c r="I3628" s="17"/>
      <c r="J3628" s="17"/>
      <c r="P3628" s="17"/>
      <c r="Q3628" s="17"/>
    </row>
    <row r="3629" spans="2:17">
      <c r="B3629" s="17"/>
      <c r="C3629" s="16" t="str">
        <f>IFERROR(VLOOKUP(DATA!#REF!,DATA!#REF!,1,FALSE),"")</f>
        <v/>
      </c>
      <c r="D3629" s="16" t="str">
        <f>IFERROR(VLOOKUP(C3629,DATA!#REF!,2,FALSE),"")</f>
        <v/>
      </c>
      <c r="I3629" s="17"/>
      <c r="J3629" s="17"/>
      <c r="P3629" s="17"/>
      <c r="Q3629" s="17"/>
    </row>
    <row r="3630" spans="2:17">
      <c r="B3630" s="17"/>
      <c r="C3630" s="16" t="str">
        <f>IFERROR(VLOOKUP(DATA!#REF!,DATA!#REF!,1,FALSE),"")</f>
        <v/>
      </c>
      <c r="D3630" s="16" t="str">
        <f>IFERROR(VLOOKUP(C3630,DATA!#REF!,2,FALSE),"")</f>
        <v/>
      </c>
      <c r="I3630" s="17"/>
      <c r="J3630" s="17"/>
      <c r="P3630" s="17"/>
      <c r="Q3630" s="17"/>
    </row>
    <row r="3631" spans="2:17">
      <c r="B3631" s="17"/>
      <c r="C3631" s="16" t="str">
        <f>IFERROR(VLOOKUP(DATA!#REF!,DATA!#REF!,1,FALSE),"")</f>
        <v/>
      </c>
      <c r="D3631" s="16" t="str">
        <f>IFERROR(VLOOKUP(C3631,DATA!#REF!,2,FALSE),"")</f>
        <v/>
      </c>
      <c r="I3631" s="17"/>
      <c r="J3631" s="17"/>
      <c r="P3631" s="17"/>
      <c r="Q3631" s="17"/>
    </row>
    <row r="3632" spans="2:17">
      <c r="B3632" s="17"/>
      <c r="C3632" s="16" t="str">
        <f>IFERROR(VLOOKUP(DATA!#REF!,DATA!#REF!,1,FALSE),"")</f>
        <v/>
      </c>
      <c r="D3632" s="16" t="str">
        <f>IFERROR(VLOOKUP(C3632,DATA!#REF!,2,FALSE),"")</f>
        <v/>
      </c>
      <c r="I3632" s="17"/>
      <c r="J3632" s="17"/>
      <c r="P3632" s="17"/>
      <c r="Q3632" s="17"/>
    </row>
    <row r="3633" spans="2:17">
      <c r="B3633" s="17"/>
      <c r="C3633" s="16" t="str">
        <f>IFERROR(VLOOKUP(DATA!#REF!,DATA!#REF!,1,FALSE),"")</f>
        <v/>
      </c>
      <c r="D3633" s="16" t="str">
        <f>IFERROR(VLOOKUP(C3633,DATA!#REF!,2,FALSE),"")</f>
        <v/>
      </c>
      <c r="I3633" s="17"/>
      <c r="J3633" s="17"/>
      <c r="P3633" s="17"/>
      <c r="Q3633" s="17"/>
    </row>
    <row r="3634" spans="2:17">
      <c r="B3634" s="17"/>
      <c r="C3634" s="16" t="str">
        <f>IFERROR(VLOOKUP(DATA!#REF!,DATA!#REF!,1,FALSE),"")</f>
        <v/>
      </c>
      <c r="D3634" s="16" t="str">
        <f>IFERROR(VLOOKUP(C3634,DATA!#REF!,2,FALSE),"")</f>
        <v/>
      </c>
      <c r="I3634" s="17"/>
      <c r="J3634" s="17"/>
      <c r="P3634" s="17"/>
      <c r="Q3634" s="17"/>
    </row>
    <row r="3635" spans="2:17">
      <c r="B3635" s="17"/>
      <c r="C3635" s="16" t="str">
        <f>IFERROR(VLOOKUP(DATA!#REF!,DATA!#REF!,1,FALSE),"")</f>
        <v/>
      </c>
      <c r="D3635" s="16" t="str">
        <f>IFERROR(VLOOKUP(C3635,DATA!#REF!,2,FALSE),"")</f>
        <v/>
      </c>
      <c r="I3635" s="17"/>
      <c r="J3635" s="17"/>
      <c r="P3635" s="17"/>
      <c r="Q3635" s="17"/>
    </row>
    <row r="3636" spans="2:17">
      <c r="B3636" s="17"/>
      <c r="C3636" s="16" t="str">
        <f>IFERROR(VLOOKUP(DATA!#REF!,DATA!#REF!,1,FALSE),"")</f>
        <v/>
      </c>
      <c r="D3636" s="16" t="str">
        <f>IFERROR(VLOOKUP(C3636,DATA!#REF!,2,FALSE),"")</f>
        <v/>
      </c>
      <c r="I3636" s="17"/>
      <c r="J3636" s="17"/>
      <c r="P3636" s="17"/>
      <c r="Q3636" s="17"/>
    </row>
    <row r="3637" spans="2:17">
      <c r="B3637" s="17"/>
      <c r="C3637" s="16" t="str">
        <f>IFERROR(VLOOKUP(DATA!#REF!,DATA!#REF!,1,FALSE),"")</f>
        <v/>
      </c>
      <c r="D3637" s="16" t="str">
        <f>IFERROR(VLOOKUP(C3637,DATA!#REF!,2,FALSE),"")</f>
        <v/>
      </c>
      <c r="I3637" s="17"/>
      <c r="J3637" s="17"/>
      <c r="P3637" s="17"/>
      <c r="Q3637" s="17"/>
    </row>
    <row r="3638" spans="2:17">
      <c r="B3638" s="17"/>
      <c r="C3638" s="16" t="str">
        <f>IFERROR(VLOOKUP(DATA!#REF!,DATA!#REF!,1,FALSE),"")</f>
        <v/>
      </c>
      <c r="D3638" s="16" t="str">
        <f>IFERROR(VLOOKUP(C3638,DATA!#REF!,2,FALSE),"")</f>
        <v/>
      </c>
      <c r="I3638" s="17"/>
      <c r="J3638" s="17"/>
      <c r="P3638" s="17"/>
      <c r="Q3638" s="17"/>
    </row>
    <row r="3639" spans="2:17">
      <c r="B3639" s="17"/>
      <c r="C3639" s="16" t="str">
        <f>IFERROR(VLOOKUP(DATA!#REF!,DATA!#REF!,1,FALSE),"")</f>
        <v/>
      </c>
      <c r="D3639" s="16" t="str">
        <f>IFERROR(VLOOKUP(C3639,DATA!#REF!,2,FALSE),"")</f>
        <v/>
      </c>
      <c r="I3639" s="17"/>
      <c r="J3639" s="17"/>
      <c r="P3639" s="17"/>
      <c r="Q3639" s="17"/>
    </row>
    <row r="3640" spans="2:17">
      <c r="B3640" s="17"/>
      <c r="C3640" s="16" t="str">
        <f>IFERROR(VLOOKUP(DATA!#REF!,DATA!#REF!,1,FALSE),"")</f>
        <v/>
      </c>
      <c r="D3640" s="16" t="str">
        <f>IFERROR(VLOOKUP(C3640,DATA!#REF!,2,FALSE),"")</f>
        <v/>
      </c>
      <c r="I3640" s="17"/>
      <c r="J3640" s="17"/>
      <c r="P3640" s="17"/>
      <c r="Q3640" s="17"/>
    </row>
    <row r="3641" spans="2:17">
      <c r="B3641" s="17"/>
      <c r="C3641" s="16" t="str">
        <f>IFERROR(VLOOKUP(DATA!#REF!,DATA!#REF!,1,FALSE),"")</f>
        <v/>
      </c>
      <c r="D3641" s="16" t="str">
        <f>IFERROR(VLOOKUP(C3641,DATA!#REF!,2,FALSE),"")</f>
        <v/>
      </c>
      <c r="I3641" s="17"/>
      <c r="J3641" s="17"/>
      <c r="P3641" s="17"/>
      <c r="Q3641" s="17"/>
    </row>
    <row r="3642" spans="2:17">
      <c r="B3642" s="17"/>
      <c r="C3642" s="16" t="str">
        <f>IFERROR(VLOOKUP(DATA!#REF!,DATA!#REF!,1,FALSE),"")</f>
        <v/>
      </c>
      <c r="D3642" s="16" t="str">
        <f>IFERROR(VLOOKUP(C3642,DATA!#REF!,2,FALSE),"")</f>
        <v/>
      </c>
      <c r="I3642" s="17"/>
      <c r="J3642" s="17"/>
      <c r="P3642" s="17"/>
      <c r="Q3642" s="17"/>
    </row>
    <row r="3643" spans="2:17">
      <c r="B3643" s="17"/>
      <c r="C3643" s="16" t="str">
        <f>IFERROR(VLOOKUP(DATA!#REF!,DATA!#REF!,1,FALSE),"")</f>
        <v/>
      </c>
      <c r="D3643" s="16" t="str">
        <f>IFERROR(VLOOKUP(C3643,DATA!#REF!,2,FALSE),"")</f>
        <v/>
      </c>
      <c r="I3643" s="17"/>
      <c r="J3643" s="17"/>
      <c r="P3643" s="17"/>
      <c r="Q3643" s="17"/>
    </row>
    <row r="3644" spans="2:17">
      <c r="B3644" s="17"/>
      <c r="C3644" s="16" t="str">
        <f>IFERROR(VLOOKUP(DATA!#REF!,DATA!#REF!,1,FALSE),"")</f>
        <v/>
      </c>
      <c r="D3644" s="16" t="str">
        <f>IFERROR(VLOOKUP(C3644,DATA!#REF!,2,FALSE),"")</f>
        <v/>
      </c>
      <c r="I3644" s="17"/>
      <c r="J3644" s="17"/>
      <c r="P3644" s="17"/>
      <c r="Q3644" s="17"/>
    </row>
    <row r="3645" spans="2:17">
      <c r="B3645" s="17"/>
      <c r="C3645" s="16" t="str">
        <f>IFERROR(VLOOKUP(DATA!#REF!,DATA!#REF!,1,FALSE),"")</f>
        <v/>
      </c>
      <c r="D3645" s="16" t="str">
        <f>IFERROR(VLOOKUP(C3645,DATA!#REF!,2,FALSE),"")</f>
        <v/>
      </c>
      <c r="I3645" s="17"/>
      <c r="J3645" s="17"/>
      <c r="P3645" s="17"/>
      <c r="Q3645" s="17"/>
    </row>
    <row r="3646" spans="2:17">
      <c r="B3646" s="17"/>
      <c r="C3646" s="16" t="str">
        <f>IFERROR(VLOOKUP(DATA!#REF!,DATA!#REF!,1,FALSE),"")</f>
        <v/>
      </c>
      <c r="D3646" s="16" t="str">
        <f>IFERROR(VLOOKUP(C3646,DATA!#REF!,2,FALSE),"")</f>
        <v/>
      </c>
      <c r="I3646" s="17"/>
      <c r="J3646" s="17"/>
      <c r="P3646" s="17"/>
      <c r="Q3646" s="17"/>
    </row>
    <row r="3647" spans="2:17">
      <c r="B3647" s="17"/>
      <c r="C3647" s="16" t="str">
        <f>IFERROR(VLOOKUP(DATA!#REF!,DATA!#REF!,1,FALSE),"")</f>
        <v/>
      </c>
      <c r="D3647" s="16" t="str">
        <f>IFERROR(VLOOKUP(C3647,DATA!#REF!,2,FALSE),"")</f>
        <v/>
      </c>
      <c r="I3647" s="17"/>
      <c r="J3647" s="17"/>
      <c r="P3647" s="17"/>
      <c r="Q3647" s="17"/>
    </row>
    <row r="3648" spans="2:17">
      <c r="B3648" s="17"/>
      <c r="C3648" s="16" t="str">
        <f>IFERROR(VLOOKUP(DATA!#REF!,DATA!#REF!,1,FALSE),"")</f>
        <v/>
      </c>
      <c r="D3648" s="16" t="str">
        <f>IFERROR(VLOOKUP(C3648,DATA!#REF!,2,FALSE),"")</f>
        <v/>
      </c>
      <c r="I3648" s="17"/>
      <c r="J3648" s="17"/>
      <c r="P3648" s="17"/>
      <c r="Q3648" s="17"/>
    </row>
    <row r="3649" spans="2:17">
      <c r="B3649" s="17"/>
      <c r="C3649" s="16" t="str">
        <f>IFERROR(VLOOKUP(DATA!#REF!,DATA!#REF!,1,FALSE),"")</f>
        <v/>
      </c>
      <c r="D3649" s="16" t="str">
        <f>IFERROR(VLOOKUP(C3649,DATA!#REF!,2,FALSE),"")</f>
        <v/>
      </c>
      <c r="I3649" s="17"/>
      <c r="J3649" s="17"/>
      <c r="P3649" s="17"/>
      <c r="Q3649" s="17"/>
    </row>
    <row r="3650" spans="2:17">
      <c r="B3650" s="17"/>
      <c r="C3650" s="16" t="str">
        <f>IFERROR(VLOOKUP(DATA!#REF!,DATA!#REF!,1,FALSE),"")</f>
        <v/>
      </c>
      <c r="D3650" s="16" t="str">
        <f>IFERROR(VLOOKUP(C3650,DATA!#REF!,2,FALSE),"")</f>
        <v/>
      </c>
      <c r="I3650" s="17"/>
      <c r="J3650" s="17"/>
      <c r="P3650" s="17"/>
      <c r="Q3650" s="17"/>
    </row>
    <row r="3651" spans="2:17">
      <c r="B3651" s="17"/>
      <c r="C3651" s="16" t="str">
        <f>IFERROR(VLOOKUP(DATA!#REF!,DATA!#REF!,1,FALSE),"")</f>
        <v/>
      </c>
      <c r="D3651" s="16" t="str">
        <f>IFERROR(VLOOKUP(C3651,DATA!#REF!,2,FALSE),"")</f>
        <v/>
      </c>
      <c r="I3651" s="17"/>
      <c r="J3651" s="17"/>
      <c r="P3651" s="17"/>
      <c r="Q3651" s="17"/>
    </row>
    <row r="3652" spans="2:17">
      <c r="B3652" s="17"/>
      <c r="C3652" s="16" t="str">
        <f>IFERROR(VLOOKUP(DATA!#REF!,DATA!#REF!,1,FALSE),"")</f>
        <v/>
      </c>
      <c r="D3652" s="16" t="str">
        <f>IFERROR(VLOOKUP(C3652,DATA!#REF!,2,FALSE),"")</f>
        <v/>
      </c>
      <c r="I3652" s="17"/>
      <c r="J3652" s="17"/>
      <c r="P3652" s="17"/>
      <c r="Q3652" s="17"/>
    </row>
    <row r="3653" spans="2:17">
      <c r="B3653" s="17"/>
      <c r="C3653" s="16" t="str">
        <f>IFERROR(VLOOKUP(DATA!#REF!,DATA!#REF!,1,FALSE),"")</f>
        <v/>
      </c>
      <c r="D3653" s="16" t="str">
        <f>IFERROR(VLOOKUP(C3653,DATA!#REF!,2,FALSE),"")</f>
        <v/>
      </c>
      <c r="I3653" s="17"/>
      <c r="J3653" s="17"/>
      <c r="P3653" s="17"/>
      <c r="Q3653" s="17"/>
    </row>
    <row r="3654" spans="2:17">
      <c r="B3654" s="17"/>
      <c r="C3654" s="16" t="str">
        <f>IFERROR(VLOOKUP(DATA!#REF!,DATA!#REF!,1,FALSE),"")</f>
        <v/>
      </c>
      <c r="D3654" s="16" t="str">
        <f>IFERROR(VLOOKUP(C3654,DATA!#REF!,2,FALSE),"")</f>
        <v/>
      </c>
      <c r="I3654" s="17"/>
      <c r="J3654" s="17"/>
      <c r="P3654" s="17"/>
      <c r="Q3654" s="17"/>
    </row>
    <row r="3655" spans="2:17">
      <c r="B3655" s="17"/>
      <c r="C3655" s="16" t="str">
        <f>IFERROR(VLOOKUP(DATA!#REF!,DATA!#REF!,1,FALSE),"")</f>
        <v/>
      </c>
      <c r="D3655" s="16" t="str">
        <f>IFERROR(VLOOKUP(C3655,DATA!#REF!,2,FALSE),"")</f>
        <v/>
      </c>
      <c r="I3655" s="17"/>
      <c r="J3655" s="17"/>
      <c r="P3655" s="17"/>
      <c r="Q3655" s="17"/>
    </row>
    <row r="3656" spans="2:17">
      <c r="B3656" s="17"/>
      <c r="C3656" s="16" t="str">
        <f>IFERROR(VLOOKUP(DATA!#REF!,DATA!#REF!,1,FALSE),"")</f>
        <v/>
      </c>
      <c r="D3656" s="16" t="str">
        <f>IFERROR(VLOOKUP(C3656,DATA!#REF!,2,FALSE),"")</f>
        <v/>
      </c>
      <c r="I3656" s="17"/>
      <c r="J3656" s="17"/>
      <c r="P3656" s="17"/>
      <c r="Q3656" s="17"/>
    </row>
    <row r="3657" spans="2:17">
      <c r="B3657" s="17"/>
      <c r="C3657" s="16" t="str">
        <f>IFERROR(VLOOKUP(DATA!#REF!,DATA!#REF!,1,FALSE),"")</f>
        <v/>
      </c>
      <c r="D3657" s="16" t="str">
        <f>IFERROR(VLOOKUP(C3657,DATA!#REF!,2,FALSE),"")</f>
        <v/>
      </c>
      <c r="I3657" s="17"/>
      <c r="J3657" s="17"/>
      <c r="P3657" s="17"/>
      <c r="Q3657" s="17"/>
    </row>
    <row r="3658" spans="2:17">
      <c r="B3658" s="17"/>
      <c r="C3658" s="16" t="str">
        <f>IFERROR(VLOOKUP(DATA!#REF!,DATA!#REF!,1,FALSE),"")</f>
        <v/>
      </c>
      <c r="D3658" s="16" t="str">
        <f>IFERROR(VLOOKUP(C3658,DATA!#REF!,2,FALSE),"")</f>
        <v/>
      </c>
      <c r="I3658" s="17"/>
      <c r="J3658" s="17"/>
      <c r="P3658" s="17"/>
      <c r="Q3658" s="17"/>
    </row>
    <row r="3659" spans="2:17">
      <c r="B3659" s="17"/>
      <c r="C3659" s="16" t="str">
        <f>IFERROR(VLOOKUP(DATA!#REF!,DATA!#REF!,1,FALSE),"")</f>
        <v/>
      </c>
      <c r="D3659" s="16" t="str">
        <f>IFERROR(VLOOKUP(C3659,DATA!#REF!,2,FALSE),"")</f>
        <v/>
      </c>
      <c r="I3659" s="17"/>
      <c r="J3659" s="17"/>
      <c r="P3659" s="17"/>
      <c r="Q3659" s="17"/>
    </row>
    <row r="3660" spans="2:17">
      <c r="B3660" s="17"/>
      <c r="C3660" s="16" t="str">
        <f>IFERROR(VLOOKUP(DATA!#REF!,DATA!#REF!,1,FALSE),"")</f>
        <v/>
      </c>
      <c r="D3660" s="16" t="str">
        <f>IFERROR(VLOOKUP(C3660,DATA!#REF!,2,FALSE),"")</f>
        <v/>
      </c>
      <c r="I3660" s="17"/>
      <c r="J3660" s="17"/>
      <c r="P3660" s="17"/>
      <c r="Q3660" s="17"/>
    </row>
    <row r="3661" spans="2:17">
      <c r="B3661" s="17"/>
      <c r="C3661" s="16" t="str">
        <f>IFERROR(VLOOKUP(DATA!#REF!,DATA!#REF!,1,FALSE),"")</f>
        <v/>
      </c>
      <c r="D3661" s="16" t="str">
        <f>IFERROR(VLOOKUP(C3661,DATA!#REF!,2,FALSE),"")</f>
        <v/>
      </c>
      <c r="I3661" s="17"/>
      <c r="J3661" s="17"/>
      <c r="P3661" s="17"/>
      <c r="Q3661" s="17"/>
    </row>
    <row r="3662" spans="2:17">
      <c r="B3662" s="17"/>
      <c r="C3662" s="16" t="str">
        <f>IFERROR(VLOOKUP(DATA!#REF!,DATA!#REF!,1,FALSE),"")</f>
        <v/>
      </c>
      <c r="D3662" s="16" t="str">
        <f>IFERROR(VLOOKUP(C3662,DATA!#REF!,2,FALSE),"")</f>
        <v/>
      </c>
      <c r="I3662" s="17"/>
      <c r="J3662" s="17"/>
      <c r="P3662" s="17"/>
      <c r="Q3662" s="17"/>
    </row>
    <row r="3663" spans="2:17">
      <c r="B3663" s="17"/>
      <c r="C3663" s="16" t="str">
        <f>IFERROR(VLOOKUP(DATA!#REF!,DATA!#REF!,1,FALSE),"")</f>
        <v/>
      </c>
      <c r="D3663" s="16" t="str">
        <f>IFERROR(VLOOKUP(C3663,DATA!#REF!,2,FALSE),"")</f>
        <v/>
      </c>
      <c r="I3663" s="17"/>
      <c r="J3663" s="17"/>
      <c r="P3663" s="17"/>
      <c r="Q3663" s="17"/>
    </row>
    <row r="3664" spans="2:17">
      <c r="B3664" s="17"/>
      <c r="C3664" s="16" t="str">
        <f>IFERROR(VLOOKUP(DATA!#REF!,DATA!#REF!,1,FALSE),"")</f>
        <v/>
      </c>
      <c r="D3664" s="16" t="str">
        <f>IFERROR(VLOOKUP(C3664,DATA!#REF!,2,FALSE),"")</f>
        <v/>
      </c>
      <c r="I3664" s="17"/>
      <c r="J3664" s="17"/>
      <c r="P3664" s="17"/>
      <c r="Q3664" s="17"/>
    </row>
    <row r="3665" spans="2:17">
      <c r="B3665" s="17"/>
      <c r="C3665" s="16" t="str">
        <f>IFERROR(VLOOKUP(DATA!#REF!,DATA!#REF!,1,FALSE),"")</f>
        <v/>
      </c>
      <c r="D3665" s="16" t="str">
        <f>IFERROR(VLOOKUP(C3665,DATA!#REF!,2,FALSE),"")</f>
        <v/>
      </c>
      <c r="I3665" s="17"/>
      <c r="J3665" s="17"/>
      <c r="P3665" s="17"/>
      <c r="Q3665" s="17"/>
    </row>
    <row r="3666" spans="2:17">
      <c r="B3666" s="17"/>
      <c r="C3666" s="16" t="str">
        <f>IFERROR(VLOOKUP(DATA!#REF!,DATA!#REF!,1,FALSE),"")</f>
        <v/>
      </c>
      <c r="D3666" s="16" t="str">
        <f>IFERROR(VLOOKUP(C3666,DATA!#REF!,2,FALSE),"")</f>
        <v/>
      </c>
      <c r="I3666" s="17"/>
      <c r="J3666" s="17"/>
      <c r="P3666" s="17"/>
      <c r="Q3666" s="17"/>
    </row>
    <row r="3667" spans="2:17">
      <c r="B3667" s="17"/>
      <c r="C3667" s="16" t="str">
        <f>IFERROR(VLOOKUP(DATA!#REF!,DATA!#REF!,1,FALSE),"")</f>
        <v/>
      </c>
      <c r="D3667" s="16" t="str">
        <f>IFERROR(VLOOKUP(C3667,DATA!#REF!,2,FALSE),"")</f>
        <v/>
      </c>
      <c r="I3667" s="17"/>
      <c r="J3667" s="17"/>
      <c r="P3667" s="17"/>
      <c r="Q3667" s="17"/>
    </row>
    <row r="3668" spans="2:17">
      <c r="B3668" s="17"/>
      <c r="C3668" s="16" t="str">
        <f>IFERROR(VLOOKUP(DATA!#REF!,DATA!#REF!,1,FALSE),"")</f>
        <v/>
      </c>
      <c r="D3668" s="16" t="str">
        <f>IFERROR(VLOOKUP(C3668,DATA!#REF!,2,FALSE),"")</f>
        <v/>
      </c>
      <c r="I3668" s="17"/>
      <c r="J3668" s="17"/>
      <c r="P3668" s="17"/>
      <c r="Q3668" s="17"/>
    </row>
    <row r="3669" spans="2:17">
      <c r="B3669" s="17"/>
      <c r="C3669" s="16" t="str">
        <f>IFERROR(VLOOKUP(DATA!#REF!,DATA!#REF!,1,FALSE),"")</f>
        <v/>
      </c>
      <c r="D3669" s="16" t="str">
        <f>IFERROR(VLOOKUP(C3669,DATA!#REF!,2,FALSE),"")</f>
        <v/>
      </c>
      <c r="I3669" s="17"/>
      <c r="J3669" s="17"/>
      <c r="P3669" s="17"/>
      <c r="Q3669" s="17"/>
    </row>
    <row r="3670" spans="2:17">
      <c r="B3670" s="17"/>
      <c r="C3670" s="16" t="str">
        <f>IFERROR(VLOOKUP(DATA!#REF!,DATA!#REF!,1,FALSE),"")</f>
        <v/>
      </c>
      <c r="D3670" s="16" t="str">
        <f>IFERROR(VLOOKUP(C3670,DATA!#REF!,2,FALSE),"")</f>
        <v/>
      </c>
      <c r="I3670" s="17"/>
      <c r="J3670" s="17"/>
      <c r="P3670" s="17"/>
      <c r="Q3670" s="17"/>
    </row>
    <row r="3671" spans="2:17">
      <c r="B3671" s="17"/>
      <c r="C3671" s="16" t="str">
        <f>IFERROR(VLOOKUP(DATA!#REF!,DATA!#REF!,1,FALSE),"")</f>
        <v/>
      </c>
      <c r="D3671" s="16" t="str">
        <f>IFERROR(VLOOKUP(C3671,DATA!#REF!,2,FALSE),"")</f>
        <v/>
      </c>
      <c r="I3671" s="17"/>
      <c r="J3671" s="17"/>
      <c r="P3671" s="17"/>
      <c r="Q3671" s="17"/>
    </row>
    <row r="3672" spans="2:17">
      <c r="B3672" s="17"/>
      <c r="C3672" s="16" t="str">
        <f>IFERROR(VLOOKUP(DATA!#REF!,DATA!#REF!,1,FALSE),"")</f>
        <v/>
      </c>
      <c r="D3672" s="16" t="str">
        <f>IFERROR(VLOOKUP(C3672,DATA!#REF!,2,FALSE),"")</f>
        <v/>
      </c>
      <c r="I3672" s="17"/>
      <c r="J3672" s="17"/>
      <c r="P3672" s="17"/>
      <c r="Q3672" s="17"/>
    </row>
    <row r="3673" spans="2:17">
      <c r="B3673" s="17"/>
      <c r="C3673" s="16" t="str">
        <f>IFERROR(VLOOKUP(DATA!#REF!,DATA!#REF!,1,FALSE),"")</f>
        <v/>
      </c>
      <c r="D3673" s="16" t="str">
        <f>IFERROR(VLOOKUP(C3673,DATA!#REF!,2,FALSE),"")</f>
        <v/>
      </c>
      <c r="I3673" s="17"/>
      <c r="J3673" s="17"/>
      <c r="P3673" s="17"/>
      <c r="Q3673" s="17"/>
    </row>
    <row r="3674" spans="2:17">
      <c r="B3674" s="17"/>
      <c r="C3674" s="16" t="str">
        <f>IFERROR(VLOOKUP(DATA!#REF!,DATA!#REF!,1,FALSE),"")</f>
        <v/>
      </c>
      <c r="D3674" s="16" t="str">
        <f>IFERROR(VLOOKUP(C3674,DATA!#REF!,2,FALSE),"")</f>
        <v/>
      </c>
      <c r="I3674" s="17"/>
      <c r="J3674" s="17"/>
      <c r="P3674" s="17"/>
      <c r="Q3674" s="17"/>
    </row>
    <row r="3675" spans="2:17">
      <c r="B3675" s="17"/>
      <c r="C3675" s="16" t="str">
        <f>IFERROR(VLOOKUP(DATA!#REF!,DATA!#REF!,1,FALSE),"")</f>
        <v/>
      </c>
      <c r="D3675" s="16" t="str">
        <f>IFERROR(VLOOKUP(C3675,DATA!#REF!,2,FALSE),"")</f>
        <v/>
      </c>
      <c r="I3675" s="17"/>
      <c r="J3675" s="17"/>
      <c r="P3675" s="17"/>
      <c r="Q3675" s="17"/>
    </row>
    <row r="3676" spans="2:17">
      <c r="B3676" s="17"/>
      <c r="C3676" s="16" t="str">
        <f>IFERROR(VLOOKUP(DATA!#REF!,DATA!#REF!,1,FALSE),"")</f>
        <v/>
      </c>
      <c r="D3676" s="16" t="str">
        <f>IFERROR(VLOOKUP(C3676,DATA!#REF!,2,FALSE),"")</f>
        <v/>
      </c>
      <c r="I3676" s="17"/>
      <c r="J3676" s="17"/>
      <c r="P3676" s="17"/>
      <c r="Q3676" s="17"/>
    </row>
    <row r="3677" spans="2:17">
      <c r="B3677" s="17"/>
      <c r="C3677" s="16" t="str">
        <f>IFERROR(VLOOKUP(DATA!#REF!,DATA!#REF!,1,FALSE),"")</f>
        <v/>
      </c>
      <c r="D3677" s="16" t="str">
        <f>IFERROR(VLOOKUP(C3677,DATA!#REF!,2,FALSE),"")</f>
        <v/>
      </c>
      <c r="I3677" s="17"/>
      <c r="J3677" s="17"/>
      <c r="P3677" s="17"/>
      <c r="Q3677" s="17"/>
    </row>
    <row r="3678" spans="2:17">
      <c r="B3678" s="17"/>
      <c r="C3678" s="16" t="str">
        <f>IFERROR(VLOOKUP(DATA!#REF!,DATA!#REF!,1,FALSE),"")</f>
        <v/>
      </c>
      <c r="D3678" s="16" t="str">
        <f>IFERROR(VLOOKUP(C3678,DATA!#REF!,2,FALSE),"")</f>
        <v/>
      </c>
      <c r="I3678" s="17"/>
      <c r="J3678" s="17"/>
      <c r="P3678" s="17"/>
      <c r="Q3678" s="17"/>
    </row>
    <row r="3679" spans="2:17">
      <c r="B3679" s="17"/>
      <c r="C3679" s="16" t="str">
        <f>IFERROR(VLOOKUP(DATA!#REF!,DATA!#REF!,1,FALSE),"")</f>
        <v/>
      </c>
      <c r="D3679" s="16" t="str">
        <f>IFERROR(VLOOKUP(C3679,DATA!#REF!,2,FALSE),"")</f>
        <v/>
      </c>
      <c r="I3679" s="17"/>
      <c r="J3679" s="17"/>
      <c r="P3679" s="17"/>
      <c r="Q3679" s="17"/>
    </row>
    <row r="3680" spans="2:17">
      <c r="B3680" s="17"/>
      <c r="C3680" s="16" t="str">
        <f>IFERROR(VLOOKUP(DATA!#REF!,DATA!#REF!,1,FALSE),"")</f>
        <v/>
      </c>
      <c r="D3680" s="16" t="str">
        <f>IFERROR(VLOOKUP(C3680,DATA!#REF!,2,FALSE),"")</f>
        <v/>
      </c>
      <c r="I3680" s="17"/>
      <c r="J3680" s="17"/>
      <c r="P3680" s="17"/>
      <c r="Q3680" s="17"/>
    </row>
    <row r="3681" spans="2:17">
      <c r="B3681" s="17"/>
      <c r="C3681" s="16" t="str">
        <f>IFERROR(VLOOKUP(DATA!#REF!,DATA!#REF!,1,FALSE),"")</f>
        <v/>
      </c>
      <c r="D3681" s="16" t="str">
        <f>IFERROR(VLOOKUP(C3681,DATA!#REF!,2,FALSE),"")</f>
        <v/>
      </c>
      <c r="I3681" s="17"/>
      <c r="J3681" s="17"/>
      <c r="P3681" s="17"/>
      <c r="Q3681" s="17"/>
    </row>
    <row r="3682" spans="2:17">
      <c r="B3682" s="17"/>
      <c r="C3682" s="16" t="str">
        <f>IFERROR(VLOOKUP(DATA!#REF!,DATA!#REF!,1,FALSE),"")</f>
        <v/>
      </c>
      <c r="D3682" s="16" t="str">
        <f>IFERROR(VLOOKUP(C3682,DATA!#REF!,2,FALSE),"")</f>
        <v/>
      </c>
      <c r="I3682" s="17"/>
      <c r="J3682" s="17"/>
      <c r="P3682" s="17"/>
      <c r="Q3682" s="17"/>
    </row>
    <row r="3683" spans="2:17">
      <c r="B3683" s="17"/>
      <c r="C3683" s="16" t="str">
        <f>IFERROR(VLOOKUP(DATA!#REF!,DATA!#REF!,1,FALSE),"")</f>
        <v/>
      </c>
      <c r="D3683" s="16" t="str">
        <f>IFERROR(VLOOKUP(C3683,DATA!#REF!,2,FALSE),"")</f>
        <v/>
      </c>
      <c r="I3683" s="17"/>
      <c r="J3683" s="17"/>
      <c r="P3683" s="17"/>
      <c r="Q3683" s="17"/>
    </row>
    <row r="3684" spans="2:17">
      <c r="B3684" s="17"/>
      <c r="C3684" s="16" t="str">
        <f>IFERROR(VLOOKUP(DATA!#REF!,DATA!#REF!,1,FALSE),"")</f>
        <v/>
      </c>
      <c r="D3684" s="16" t="str">
        <f>IFERROR(VLOOKUP(C3684,DATA!#REF!,2,FALSE),"")</f>
        <v/>
      </c>
      <c r="I3684" s="17"/>
      <c r="J3684" s="17"/>
      <c r="P3684" s="17"/>
      <c r="Q3684" s="17"/>
    </row>
    <row r="3685" spans="2:17">
      <c r="B3685" s="17"/>
      <c r="C3685" s="16" t="str">
        <f>IFERROR(VLOOKUP(DATA!#REF!,DATA!#REF!,1,FALSE),"")</f>
        <v/>
      </c>
      <c r="D3685" s="16" t="str">
        <f>IFERROR(VLOOKUP(C3685,DATA!#REF!,2,FALSE),"")</f>
        <v/>
      </c>
      <c r="I3685" s="17"/>
      <c r="J3685" s="17"/>
      <c r="P3685" s="17"/>
      <c r="Q3685" s="17"/>
    </row>
    <row r="3686" spans="2:17">
      <c r="B3686" s="17"/>
      <c r="C3686" s="16" t="str">
        <f>IFERROR(VLOOKUP(DATA!#REF!,DATA!#REF!,1,FALSE),"")</f>
        <v/>
      </c>
      <c r="D3686" s="16" t="str">
        <f>IFERROR(VLOOKUP(C3686,DATA!#REF!,2,FALSE),"")</f>
        <v/>
      </c>
      <c r="I3686" s="17"/>
      <c r="J3686" s="17"/>
      <c r="P3686" s="17"/>
      <c r="Q3686" s="17"/>
    </row>
    <row r="3687" spans="2:17">
      <c r="B3687" s="17"/>
      <c r="C3687" s="16" t="str">
        <f>IFERROR(VLOOKUP(DATA!#REF!,DATA!#REF!,1,FALSE),"")</f>
        <v/>
      </c>
      <c r="D3687" s="16" t="str">
        <f>IFERROR(VLOOKUP(C3687,DATA!#REF!,2,FALSE),"")</f>
        <v/>
      </c>
      <c r="I3687" s="17"/>
      <c r="J3687" s="17"/>
      <c r="P3687" s="17"/>
      <c r="Q3687" s="17"/>
    </row>
    <row r="3688" spans="2:17">
      <c r="B3688" s="17"/>
      <c r="C3688" s="16" t="str">
        <f>IFERROR(VLOOKUP(DATA!#REF!,DATA!#REF!,1,FALSE),"")</f>
        <v/>
      </c>
      <c r="D3688" s="16" t="str">
        <f>IFERROR(VLOOKUP(C3688,DATA!#REF!,2,FALSE),"")</f>
        <v/>
      </c>
      <c r="I3688" s="17"/>
      <c r="J3688" s="17"/>
      <c r="P3688" s="17"/>
      <c r="Q3688" s="17"/>
    </row>
    <row r="3689" spans="2:17">
      <c r="B3689" s="17"/>
      <c r="C3689" s="16" t="str">
        <f>IFERROR(VLOOKUP(DATA!#REF!,DATA!#REF!,1,FALSE),"")</f>
        <v/>
      </c>
      <c r="D3689" s="16" t="str">
        <f>IFERROR(VLOOKUP(C3689,DATA!#REF!,2,FALSE),"")</f>
        <v/>
      </c>
      <c r="I3689" s="17"/>
      <c r="J3689" s="17"/>
      <c r="P3689" s="17"/>
      <c r="Q3689" s="17"/>
    </row>
    <row r="3690" spans="2:17">
      <c r="B3690" s="17"/>
      <c r="C3690" s="16" t="str">
        <f>IFERROR(VLOOKUP(DATA!#REF!,DATA!#REF!,1,FALSE),"")</f>
        <v/>
      </c>
      <c r="D3690" s="16" t="str">
        <f>IFERROR(VLOOKUP(C3690,DATA!#REF!,2,FALSE),"")</f>
        <v/>
      </c>
      <c r="I3690" s="17"/>
      <c r="J3690" s="17"/>
      <c r="P3690" s="17"/>
      <c r="Q3690" s="17"/>
    </row>
    <row r="3691" spans="2:17">
      <c r="B3691" s="17"/>
      <c r="C3691" s="16" t="str">
        <f>IFERROR(VLOOKUP(DATA!#REF!,DATA!#REF!,1,FALSE),"")</f>
        <v/>
      </c>
      <c r="D3691" s="16" t="str">
        <f>IFERROR(VLOOKUP(C3691,DATA!#REF!,2,FALSE),"")</f>
        <v/>
      </c>
      <c r="I3691" s="17"/>
      <c r="J3691" s="17"/>
      <c r="P3691" s="17"/>
      <c r="Q3691" s="17"/>
    </row>
    <row r="3692" spans="2:17">
      <c r="B3692" s="17"/>
      <c r="C3692" s="16" t="str">
        <f>IFERROR(VLOOKUP(DATA!#REF!,DATA!#REF!,1,FALSE),"")</f>
        <v/>
      </c>
      <c r="D3692" s="16" t="str">
        <f>IFERROR(VLOOKUP(C3692,DATA!#REF!,2,FALSE),"")</f>
        <v/>
      </c>
      <c r="I3692" s="17"/>
      <c r="J3692" s="17"/>
      <c r="P3692" s="17"/>
      <c r="Q3692" s="17"/>
    </row>
    <row r="3693" spans="2:17">
      <c r="B3693" s="17"/>
      <c r="C3693" s="16" t="str">
        <f>IFERROR(VLOOKUP(DATA!#REF!,DATA!#REF!,1,FALSE),"")</f>
        <v/>
      </c>
      <c r="D3693" s="16" t="str">
        <f>IFERROR(VLOOKUP(C3693,DATA!#REF!,2,FALSE),"")</f>
        <v/>
      </c>
      <c r="I3693" s="17"/>
      <c r="J3693" s="17"/>
      <c r="P3693" s="17"/>
      <c r="Q3693" s="17"/>
    </row>
    <row r="3694" spans="2:17">
      <c r="B3694" s="17"/>
      <c r="C3694" s="16" t="str">
        <f>IFERROR(VLOOKUP(DATA!#REF!,DATA!#REF!,1,FALSE),"")</f>
        <v/>
      </c>
      <c r="D3694" s="16" t="str">
        <f>IFERROR(VLOOKUP(C3694,DATA!#REF!,2,FALSE),"")</f>
        <v/>
      </c>
      <c r="I3694" s="17"/>
      <c r="J3694" s="17"/>
      <c r="P3694" s="17"/>
      <c r="Q3694" s="17"/>
    </row>
    <row r="3695" spans="2:17">
      <c r="B3695" s="17"/>
      <c r="C3695" s="16" t="str">
        <f>IFERROR(VLOOKUP(DATA!#REF!,DATA!#REF!,1,FALSE),"")</f>
        <v/>
      </c>
      <c r="D3695" s="16" t="str">
        <f>IFERROR(VLOOKUP(C3695,DATA!#REF!,2,FALSE),"")</f>
        <v/>
      </c>
      <c r="I3695" s="17"/>
      <c r="J3695" s="17"/>
      <c r="P3695" s="17"/>
      <c r="Q3695" s="17"/>
    </row>
    <row r="3696" spans="2:17">
      <c r="B3696" s="17"/>
      <c r="C3696" s="16" t="str">
        <f>IFERROR(VLOOKUP(DATA!#REF!,DATA!#REF!,1,FALSE),"")</f>
        <v/>
      </c>
      <c r="D3696" s="16" t="str">
        <f>IFERROR(VLOOKUP(C3696,DATA!#REF!,2,FALSE),"")</f>
        <v/>
      </c>
      <c r="I3696" s="17"/>
      <c r="J3696" s="17"/>
      <c r="P3696" s="17"/>
      <c r="Q3696" s="17"/>
    </row>
    <row r="3697" spans="2:17">
      <c r="B3697" s="17"/>
      <c r="C3697" s="16" t="str">
        <f>IFERROR(VLOOKUP(DATA!#REF!,DATA!#REF!,1,FALSE),"")</f>
        <v/>
      </c>
      <c r="D3697" s="16" t="str">
        <f>IFERROR(VLOOKUP(C3697,DATA!#REF!,2,FALSE),"")</f>
        <v/>
      </c>
      <c r="I3697" s="17"/>
      <c r="J3697" s="17"/>
      <c r="P3697" s="17"/>
      <c r="Q3697" s="17"/>
    </row>
    <row r="3698" spans="2:17">
      <c r="B3698" s="17"/>
      <c r="C3698" s="16" t="str">
        <f>IFERROR(VLOOKUP(DATA!#REF!,DATA!#REF!,1,FALSE),"")</f>
        <v/>
      </c>
      <c r="D3698" s="16" t="str">
        <f>IFERROR(VLOOKUP(C3698,DATA!#REF!,2,FALSE),"")</f>
        <v/>
      </c>
      <c r="I3698" s="17"/>
      <c r="J3698" s="17"/>
      <c r="P3698" s="17"/>
      <c r="Q3698" s="17"/>
    </row>
    <row r="3699" spans="2:17">
      <c r="B3699" s="17"/>
      <c r="C3699" s="16" t="str">
        <f>IFERROR(VLOOKUP(DATA!#REF!,DATA!#REF!,1,FALSE),"")</f>
        <v/>
      </c>
      <c r="D3699" s="16" t="str">
        <f>IFERROR(VLOOKUP(C3699,DATA!#REF!,2,FALSE),"")</f>
        <v/>
      </c>
      <c r="I3699" s="17"/>
      <c r="J3699" s="17"/>
      <c r="P3699" s="17"/>
      <c r="Q3699" s="17"/>
    </row>
    <row r="3700" spans="2:17">
      <c r="B3700" s="17"/>
      <c r="C3700" s="16" t="str">
        <f>IFERROR(VLOOKUP(DATA!#REF!,DATA!#REF!,1,FALSE),"")</f>
        <v/>
      </c>
      <c r="D3700" s="16" t="str">
        <f>IFERROR(VLOOKUP(C3700,DATA!#REF!,2,FALSE),"")</f>
        <v/>
      </c>
      <c r="I3700" s="17"/>
      <c r="J3700" s="17"/>
      <c r="P3700" s="17"/>
      <c r="Q3700" s="17"/>
    </row>
    <row r="3701" spans="2:17">
      <c r="B3701" s="17"/>
      <c r="C3701" s="16" t="str">
        <f>IFERROR(VLOOKUP(DATA!#REF!,DATA!#REF!,1,FALSE),"")</f>
        <v/>
      </c>
      <c r="D3701" s="16" t="str">
        <f>IFERROR(VLOOKUP(C3701,DATA!#REF!,2,FALSE),"")</f>
        <v/>
      </c>
      <c r="I3701" s="17"/>
      <c r="J3701" s="17"/>
      <c r="P3701" s="17"/>
      <c r="Q3701" s="17"/>
    </row>
    <row r="3702" spans="2:17">
      <c r="B3702" s="17"/>
      <c r="C3702" s="16" t="str">
        <f>IFERROR(VLOOKUP(DATA!#REF!,DATA!#REF!,1,FALSE),"")</f>
        <v/>
      </c>
      <c r="D3702" s="16" t="str">
        <f>IFERROR(VLOOKUP(C3702,DATA!#REF!,2,FALSE),"")</f>
        <v/>
      </c>
      <c r="I3702" s="17"/>
      <c r="J3702" s="17"/>
      <c r="P3702" s="17"/>
      <c r="Q3702" s="17"/>
    </row>
    <row r="3703" spans="2:17">
      <c r="B3703" s="17"/>
      <c r="C3703" s="16" t="str">
        <f>IFERROR(VLOOKUP(DATA!#REF!,DATA!#REF!,1,FALSE),"")</f>
        <v/>
      </c>
      <c r="D3703" s="16" t="str">
        <f>IFERROR(VLOOKUP(C3703,DATA!#REF!,2,FALSE),"")</f>
        <v/>
      </c>
      <c r="I3703" s="17"/>
      <c r="J3703" s="17"/>
      <c r="P3703" s="17"/>
      <c r="Q3703" s="17"/>
    </row>
    <row r="3704" spans="2:17">
      <c r="B3704" s="17"/>
      <c r="C3704" s="16" t="str">
        <f>IFERROR(VLOOKUP(DATA!#REF!,DATA!#REF!,1,FALSE),"")</f>
        <v/>
      </c>
      <c r="D3704" s="16" t="str">
        <f>IFERROR(VLOOKUP(C3704,DATA!#REF!,2,FALSE),"")</f>
        <v/>
      </c>
      <c r="I3704" s="17"/>
      <c r="J3704" s="17"/>
      <c r="P3704" s="17"/>
      <c r="Q3704" s="17"/>
    </row>
    <row r="3705" spans="2:17">
      <c r="B3705" s="17"/>
      <c r="C3705" s="16" t="str">
        <f>IFERROR(VLOOKUP(DATA!#REF!,DATA!#REF!,1,FALSE),"")</f>
        <v/>
      </c>
      <c r="D3705" s="16" t="str">
        <f>IFERROR(VLOOKUP(C3705,DATA!#REF!,2,FALSE),"")</f>
        <v/>
      </c>
      <c r="I3705" s="17"/>
      <c r="J3705" s="17"/>
      <c r="P3705" s="17"/>
      <c r="Q3705" s="17"/>
    </row>
    <row r="3706" spans="2:17">
      <c r="B3706" s="17"/>
      <c r="C3706" s="16" t="str">
        <f>IFERROR(VLOOKUP(DATA!#REF!,DATA!#REF!,1,FALSE),"")</f>
        <v/>
      </c>
      <c r="D3706" s="16" t="str">
        <f>IFERROR(VLOOKUP(C3706,DATA!#REF!,2,FALSE),"")</f>
        <v/>
      </c>
      <c r="I3706" s="17"/>
      <c r="J3706" s="17"/>
      <c r="P3706" s="17"/>
      <c r="Q3706" s="17"/>
    </row>
    <row r="3707" spans="2:17">
      <c r="B3707" s="17"/>
      <c r="C3707" s="16" t="str">
        <f>IFERROR(VLOOKUP(DATA!#REF!,DATA!#REF!,1,FALSE),"")</f>
        <v/>
      </c>
      <c r="D3707" s="16" t="str">
        <f>IFERROR(VLOOKUP(C3707,DATA!#REF!,2,FALSE),"")</f>
        <v/>
      </c>
      <c r="I3707" s="17"/>
      <c r="J3707" s="17"/>
      <c r="P3707" s="17"/>
      <c r="Q3707" s="17"/>
    </row>
    <row r="3708" spans="2:17">
      <c r="B3708" s="17"/>
      <c r="C3708" s="16" t="str">
        <f>IFERROR(VLOOKUP(DATA!#REF!,DATA!#REF!,1,FALSE),"")</f>
        <v/>
      </c>
      <c r="D3708" s="16" t="str">
        <f>IFERROR(VLOOKUP(C3708,DATA!#REF!,2,FALSE),"")</f>
        <v/>
      </c>
      <c r="I3708" s="17"/>
      <c r="J3708" s="17"/>
      <c r="P3708" s="17"/>
      <c r="Q3708" s="17"/>
    </row>
    <row r="3709" spans="2:17">
      <c r="B3709" s="17"/>
      <c r="C3709" s="16" t="str">
        <f>IFERROR(VLOOKUP(DATA!#REF!,DATA!#REF!,1,FALSE),"")</f>
        <v/>
      </c>
      <c r="D3709" s="16" t="str">
        <f>IFERROR(VLOOKUP(C3709,DATA!#REF!,2,FALSE),"")</f>
        <v/>
      </c>
      <c r="I3709" s="17"/>
      <c r="J3709" s="17"/>
      <c r="P3709" s="17"/>
      <c r="Q3709" s="17"/>
    </row>
    <row r="3710" spans="2:17">
      <c r="B3710" s="17"/>
      <c r="C3710" s="16" t="str">
        <f>IFERROR(VLOOKUP(DATA!#REF!,DATA!#REF!,1,FALSE),"")</f>
        <v/>
      </c>
      <c r="D3710" s="16" t="str">
        <f>IFERROR(VLOOKUP(C3710,DATA!#REF!,2,FALSE),"")</f>
        <v/>
      </c>
      <c r="I3710" s="17"/>
      <c r="J3710" s="17"/>
      <c r="P3710" s="17"/>
      <c r="Q3710" s="17"/>
    </row>
    <row r="3711" spans="2:17">
      <c r="B3711" s="17"/>
      <c r="C3711" s="16" t="str">
        <f>IFERROR(VLOOKUP(DATA!#REF!,DATA!#REF!,1,FALSE),"")</f>
        <v/>
      </c>
      <c r="D3711" s="16" t="str">
        <f>IFERROR(VLOOKUP(C3711,DATA!#REF!,2,FALSE),"")</f>
        <v/>
      </c>
      <c r="I3711" s="17"/>
      <c r="J3711" s="17"/>
      <c r="P3711" s="17"/>
      <c r="Q3711" s="17"/>
    </row>
    <row r="3712" spans="2:17">
      <c r="B3712" s="17"/>
      <c r="C3712" s="16" t="str">
        <f>IFERROR(VLOOKUP(DATA!#REF!,DATA!#REF!,1,FALSE),"")</f>
        <v/>
      </c>
      <c r="D3712" s="16" t="str">
        <f>IFERROR(VLOOKUP(C3712,DATA!#REF!,2,FALSE),"")</f>
        <v/>
      </c>
      <c r="I3712" s="17"/>
      <c r="J3712" s="17"/>
      <c r="P3712" s="17"/>
      <c r="Q3712" s="17"/>
    </row>
    <row r="3713" spans="2:17">
      <c r="B3713" s="17"/>
      <c r="C3713" s="16" t="str">
        <f>IFERROR(VLOOKUP(DATA!#REF!,DATA!#REF!,1,FALSE),"")</f>
        <v/>
      </c>
      <c r="D3713" s="16" t="str">
        <f>IFERROR(VLOOKUP(C3713,DATA!#REF!,2,FALSE),"")</f>
        <v/>
      </c>
      <c r="I3713" s="17"/>
      <c r="J3713" s="17"/>
      <c r="P3713" s="17"/>
      <c r="Q3713" s="17"/>
    </row>
    <row r="3714" spans="2:17">
      <c r="B3714" s="17"/>
      <c r="C3714" s="16" t="str">
        <f>IFERROR(VLOOKUP(DATA!#REF!,DATA!#REF!,1,FALSE),"")</f>
        <v/>
      </c>
      <c r="D3714" s="16" t="str">
        <f>IFERROR(VLOOKUP(C3714,DATA!#REF!,2,FALSE),"")</f>
        <v/>
      </c>
      <c r="I3714" s="17"/>
      <c r="J3714" s="17"/>
      <c r="P3714" s="17"/>
      <c r="Q3714" s="17"/>
    </row>
    <row r="3715" spans="2:17">
      <c r="B3715" s="17"/>
      <c r="C3715" s="16" t="str">
        <f>IFERROR(VLOOKUP(DATA!#REF!,DATA!#REF!,1,FALSE),"")</f>
        <v/>
      </c>
      <c r="D3715" s="16" t="str">
        <f>IFERROR(VLOOKUP(C3715,DATA!#REF!,2,FALSE),"")</f>
        <v/>
      </c>
      <c r="I3715" s="17"/>
      <c r="J3715" s="17"/>
      <c r="P3715" s="17"/>
      <c r="Q3715" s="17"/>
    </row>
    <row r="3716" spans="2:17">
      <c r="B3716" s="17"/>
      <c r="C3716" s="16" t="str">
        <f>IFERROR(VLOOKUP(DATA!#REF!,DATA!#REF!,1,FALSE),"")</f>
        <v/>
      </c>
      <c r="D3716" s="16" t="str">
        <f>IFERROR(VLOOKUP(C3716,DATA!#REF!,2,FALSE),"")</f>
        <v/>
      </c>
      <c r="I3716" s="17"/>
      <c r="J3716" s="17"/>
      <c r="P3716" s="17"/>
      <c r="Q3716" s="17"/>
    </row>
    <row r="3717" spans="2:17">
      <c r="B3717" s="17"/>
      <c r="C3717" s="16" t="str">
        <f>IFERROR(VLOOKUP(DATA!#REF!,DATA!#REF!,1,FALSE),"")</f>
        <v/>
      </c>
      <c r="D3717" s="16" t="str">
        <f>IFERROR(VLOOKUP(C3717,DATA!#REF!,2,FALSE),"")</f>
        <v/>
      </c>
      <c r="I3717" s="17"/>
      <c r="J3717" s="17"/>
      <c r="P3717" s="17"/>
      <c r="Q3717" s="17"/>
    </row>
    <row r="3718" spans="2:17">
      <c r="B3718" s="17"/>
      <c r="C3718" s="16" t="str">
        <f>IFERROR(VLOOKUP(DATA!#REF!,DATA!#REF!,1,FALSE),"")</f>
        <v/>
      </c>
      <c r="D3718" s="16" t="str">
        <f>IFERROR(VLOOKUP(C3718,DATA!#REF!,2,FALSE),"")</f>
        <v/>
      </c>
      <c r="I3718" s="17"/>
      <c r="J3718" s="17"/>
      <c r="P3718" s="17"/>
      <c r="Q3718" s="17"/>
    </row>
    <row r="3719" spans="2:17">
      <c r="B3719" s="17"/>
      <c r="C3719" s="16" t="str">
        <f>IFERROR(VLOOKUP(DATA!#REF!,DATA!#REF!,1,FALSE),"")</f>
        <v/>
      </c>
      <c r="D3719" s="16" t="str">
        <f>IFERROR(VLOOKUP(C3719,DATA!#REF!,2,FALSE),"")</f>
        <v/>
      </c>
      <c r="I3719" s="17"/>
      <c r="J3719" s="17"/>
      <c r="P3719" s="17"/>
      <c r="Q3719" s="17"/>
    </row>
    <row r="3720" spans="2:17">
      <c r="B3720" s="17"/>
      <c r="C3720" s="16" t="str">
        <f>IFERROR(VLOOKUP(DATA!#REF!,DATA!#REF!,1,FALSE),"")</f>
        <v/>
      </c>
      <c r="D3720" s="16" t="str">
        <f>IFERROR(VLOOKUP(C3720,DATA!#REF!,2,FALSE),"")</f>
        <v/>
      </c>
      <c r="I3720" s="17"/>
      <c r="J3720" s="17"/>
      <c r="P3720" s="17"/>
      <c r="Q3720" s="17"/>
    </row>
    <row r="3721" spans="2:17">
      <c r="B3721" s="17"/>
      <c r="C3721" s="16" t="str">
        <f>IFERROR(VLOOKUP(DATA!#REF!,DATA!#REF!,1,FALSE),"")</f>
        <v/>
      </c>
      <c r="D3721" s="16" t="str">
        <f>IFERROR(VLOOKUP(C3721,DATA!#REF!,2,FALSE),"")</f>
        <v/>
      </c>
      <c r="I3721" s="17"/>
      <c r="J3721" s="17"/>
      <c r="P3721" s="17"/>
      <c r="Q3721" s="17"/>
    </row>
    <row r="3722" spans="2:17">
      <c r="B3722" s="17"/>
      <c r="C3722" s="16" t="str">
        <f>IFERROR(VLOOKUP(DATA!#REF!,DATA!#REF!,1,FALSE),"")</f>
        <v/>
      </c>
      <c r="D3722" s="16" t="str">
        <f>IFERROR(VLOOKUP(C3722,DATA!#REF!,2,FALSE),"")</f>
        <v/>
      </c>
      <c r="I3722" s="17"/>
      <c r="J3722" s="17"/>
      <c r="P3722" s="17"/>
      <c r="Q3722" s="17"/>
    </row>
    <row r="3723" spans="2:17">
      <c r="B3723" s="17"/>
      <c r="C3723" s="16" t="str">
        <f>IFERROR(VLOOKUP(DATA!#REF!,DATA!#REF!,1,FALSE),"")</f>
        <v/>
      </c>
      <c r="D3723" s="16" t="str">
        <f>IFERROR(VLOOKUP(C3723,DATA!#REF!,2,FALSE),"")</f>
        <v/>
      </c>
      <c r="I3723" s="17"/>
      <c r="J3723" s="17"/>
      <c r="P3723" s="17"/>
      <c r="Q3723" s="17"/>
    </row>
    <row r="3724" spans="2:17">
      <c r="B3724" s="17"/>
      <c r="C3724" s="16" t="str">
        <f>IFERROR(VLOOKUP(DATA!#REF!,DATA!#REF!,1,FALSE),"")</f>
        <v/>
      </c>
      <c r="D3724" s="16" t="str">
        <f>IFERROR(VLOOKUP(C3724,DATA!#REF!,2,FALSE),"")</f>
        <v/>
      </c>
      <c r="I3724" s="17"/>
      <c r="J3724" s="17"/>
      <c r="P3724" s="17"/>
      <c r="Q3724" s="17"/>
    </row>
    <row r="3725" spans="2:17">
      <c r="B3725" s="17"/>
      <c r="C3725" s="16" t="str">
        <f>IFERROR(VLOOKUP(DATA!#REF!,DATA!#REF!,1,FALSE),"")</f>
        <v/>
      </c>
      <c r="D3725" s="16" t="str">
        <f>IFERROR(VLOOKUP(C3725,DATA!#REF!,2,FALSE),"")</f>
        <v/>
      </c>
      <c r="I3725" s="17"/>
      <c r="J3725" s="17"/>
      <c r="P3725" s="17"/>
      <c r="Q3725" s="17"/>
    </row>
    <row r="3726" spans="2:17">
      <c r="B3726" s="17"/>
      <c r="C3726" s="16" t="str">
        <f>IFERROR(VLOOKUP(DATA!#REF!,DATA!#REF!,1,FALSE),"")</f>
        <v/>
      </c>
      <c r="D3726" s="16" t="str">
        <f>IFERROR(VLOOKUP(C3726,DATA!#REF!,2,FALSE),"")</f>
        <v/>
      </c>
      <c r="I3726" s="17"/>
      <c r="J3726" s="17"/>
      <c r="P3726" s="17"/>
      <c r="Q3726" s="17"/>
    </row>
    <row r="3727" spans="2:17">
      <c r="B3727" s="17"/>
      <c r="C3727" s="16" t="str">
        <f>IFERROR(VLOOKUP(DATA!#REF!,DATA!#REF!,1,FALSE),"")</f>
        <v/>
      </c>
      <c r="D3727" s="16" t="str">
        <f>IFERROR(VLOOKUP(C3727,DATA!#REF!,2,FALSE),"")</f>
        <v/>
      </c>
      <c r="I3727" s="17"/>
      <c r="J3727" s="17"/>
      <c r="P3727" s="17"/>
      <c r="Q3727" s="17"/>
    </row>
    <row r="3728" spans="2:17">
      <c r="B3728" s="17"/>
      <c r="C3728" s="16" t="str">
        <f>IFERROR(VLOOKUP(DATA!#REF!,DATA!#REF!,1,FALSE),"")</f>
        <v/>
      </c>
      <c r="D3728" s="16" t="str">
        <f>IFERROR(VLOOKUP(C3728,DATA!#REF!,2,FALSE),"")</f>
        <v/>
      </c>
      <c r="I3728" s="17"/>
      <c r="J3728" s="17"/>
      <c r="P3728" s="17"/>
      <c r="Q3728" s="17"/>
    </row>
    <row r="3729" spans="2:17">
      <c r="B3729" s="17"/>
      <c r="C3729" s="16" t="str">
        <f>IFERROR(VLOOKUP(DATA!#REF!,DATA!#REF!,1,FALSE),"")</f>
        <v/>
      </c>
      <c r="D3729" s="16" t="str">
        <f>IFERROR(VLOOKUP(C3729,DATA!#REF!,2,FALSE),"")</f>
        <v/>
      </c>
      <c r="I3729" s="17"/>
      <c r="J3729" s="17"/>
      <c r="P3729" s="17"/>
      <c r="Q3729" s="17"/>
    </row>
    <row r="3730" spans="2:17">
      <c r="B3730" s="17"/>
      <c r="C3730" s="16" t="str">
        <f>IFERROR(VLOOKUP(DATA!#REF!,DATA!#REF!,1,FALSE),"")</f>
        <v/>
      </c>
      <c r="D3730" s="16" t="str">
        <f>IFERROR(VLOOKUP(C3730,DATA!#REF!,2,FALSE),"")</f>
        <v/>
      </c>
      <c r="I3730" s="17"/>
      <c r="J3730" s="17"/>
      <c r="P3730" s="17"/>
      <c r="Q3730" s="17"/>
    </row>
    <row r="3731" spans="2:17">
      <c r="B3731" s="17"/>
      <c r="C3731" s="16" t="str">
        <f>IFERROR(VLOOKUP(DATA!#REF!,DATA!#REF!,1,FALSE),"")</f>
        <v/>
      </c>
      <c r="D3731" s="16" t="str">
        <f>IFERROR(VLOOKUP(C3731,DATA!#REF!,2,FALSE),"")</f>
        <v/>
      </c>
      <c r="I3731" s="17"/>
      <c r="J3731" s="17"/>
      <c r="P3731" s="17"/>
      <c r="Q3731" s="17"/>
    </row>
    <row r="3732" spans="2:17">
      <c r="B3732" s="17"/>
      <c r="C3732" s="16" t="str">
        <f>IFERROR(VLOOKUP(DATA!#REF!,DATA!#REF!,1,FALSE),"")</f>
        <v/>
      </c>
      <c r="D3732" s="16" t="str">
        <f>IFERROR(VLOOKUP(C3732,DATA!#REF!,2,FALSE),"")</f>
        <v/>
      </c>
      <c r="I3732" s="17"/>
      <c r="J3732" s="17"/>
      <c r="P3732" s="17"/>
      <c r="Q3732" s="17"/>
    </row>
    <row r="3733" spans="2:17">
      <c r="B3733" s="17"/>
      <c r="C3733" s="16" t="str">
        <f>IFERROR(VLOOKUP(DATA!#REF!,DATA!#REF!,1,FALSE),"")</f>
        <v/>
      </c>
      <c r="D3733" s="16" t="str">
        <f>IFERROR(VLOOKUP(C3733,DATA!#REF!,2,FALSE),"")</f>
        <v/>
      </c>
      <c r="I3733" s="17"/>
      <c r="J3733" s="17"/>
      <c r="P3733" s="17"/>
      <c r="Q3733" s="17"/>
    </row>
    <row r="3734" spans="2:17">
      <c r="B3734" s="17"/>
      <c r="C3734" s="16" t="str">
        <f>IFERROR(VLOOKUP(DATA!#REF!,DATA!#REF!,1,FALSE),"")</f>
        <v/>
      </c>
      <c r="D3734" s="16" t="str">
        <f>IFERROR(VLOOKUP(C3734,DATA!#REF!,2,FALSE),"")</f>
        <v/>
      </c>
      <c r="I3734" s="17"/>
      <c r="J3734" s="17"/>
      <c r="P3734" s="17"/>
      <c r="Q3734" s="17"/>
    </row>
    <row r="3735" spans="2:17">
      <c r="B3735" s="17"/>
      <c r="C3735" s="16" t="str">
        <f>IFERROR(VLOOKUP(DATA!#REF!,DATA!#REF!,1,FALSE),"")</f>
        <v/>
      </c>
      <c r="D3735" s="16" t="str">
        <f>IFERROR(VLOOKUP(C3735,DATA!#REF!,2,FALSE),"")</f>
        <v/>
      </c>
      <c r="I3735" s="17"/>
      <c r="J3735" s="17"/>
      <c r="P3735" s="17"/>
      <c r="Q3735" s="17"/>
    </row>
    <row r="3736" spans="2:17">
      <c r="B3736" s="17"/>
      <c r="C3736" s="16" t="str">
        <f>IFERROR(VLOOKUP(DATA!#REF!,DATA!#REF!,1,FALSE),"")</f>
        <v/>
      </c>
      <c r="D3736" s="16" t="str">
        <f>IFERROR(VLOOKUP(C3736,DATA!#REF!,2,FALSE),"")</f>
        <v/>
      </c>
      <c r="I3736" s="17"/>
      <c r="J3736" s="17"/>
      <c r="P3736" s="17"/>
      <c r="Q3736" s="17"/>
    </row>
    <row r="3737" spans="2:17">
      <c r="B3737" s="17"/>
      <c r="C3737" s="16" t="str">
        <f>IFERROR(VLOOKUP(DATA!#REF!,DATA!#REF!,1,FALSE),"")</f>
        <v/>
      </c>
      <c r="D3737" s="16" t="str">
        <f>IFERROR(VLOOKUP(C3737,DATA!#REF!,2,FALSE),"")</f>
        <v/>
      </c>
      <c r="I3737" s="17"/>
      <c r="J3737" s="17"/>
      <c r="P3737" s="17"/>
      <c r="Q3737" s="17"/>
    </row>
    <row r="3738" spans="2:17">
      <c r="B3738" s="17"/>
      <c r="C3738" s="16" t="str">
        <f>IFERROR(VLOOKUP(DATA!#REF!,DATA!#REF!,1,FALSE),"")</f>
        <v/>
      </c>
      <c r="D3738" s="16" t="str">
        <f>IFERROR(VLOOKUP(C3738,DATA!#REF!,2,FALSE),"")</f>
        <v/>
      </c>
      <c r="I3738" s="17"/>
      <c r="J3738" s="17"/>
      <c r="P3738" s="17"/>
      <c r="Q3738" s="17"/>
    </row>
    <row r="3739" spans="2:17">
      <c r="B3739" s="17"/>
      <c r="C3739" s="16" t="str">
        <f>IFERROR(VLOOKUP(DATA!#REF!,DATA!#REF!,1,FALSE),"")</f>
        <v/>
      </c>
      <c r="D3739" s="16" t="str">
        <f>IFERROR(VLOOKUP(C3739,DATA!#REF!,2,FALSE),"")</f>
        <v/>
      </c>
      <c r="I3739" s="17"/>
      <c r="J3739" s="17"/>
      <c r="P3739" s="17"/>
      <c r="Q3739" s="17"/>
    </row>
    <row r="3740" spans="2:17">
      <c r="B3740" s="17"/>
      <c r="C3740" s="16" t="str">
        <f>IFERROR(VLOOKUP(DATA!#REF!,DATA!#REF!,1,FALSE),"")</f>
        <v/>
      </c>
      <c r="D3740" s="16" t="str">
        <f>IFERROR(VLOOKUP(C3740,DATA!#REF!,2,FALSE),"")</f>
        <v/>
      </c>
      <c r="I3740" s="17"/>
      <c r="J3740" s="17"/>
      <c r="P3740" s="17"/>
      <c r="Q3740" s="17"/>
    </row>
    <row r="3741" spans="2:17">
      <c r="B3741" s="17"/>
      <c r="C3741" s="16" t="str">
        <f>IFERROR(VLOOKUP(DATA!#REF!,DATA!#REF!,1,FALSE),"")</f>
        <v/>
      </c>
      <c r="D3741" s="16" t="str">
        <f>IFERROR(VLOOKUP(C3741,DATA!#REF!,2,FALSE),"")</f>
        <v/>
      </c>
      <c r="I3741" s="17"/>
      <c r="J3741" s="17"/>
      <c r="P3741" s="17"/>
      <c r="Q3741" s="17"/>
    </row>
    <row r="3742" spans="2:17">
      <c r="B3742" s="17"/>
      <c r="C3742" s="16" t="str">
        <f>IFERROR(VLOOKUP(DATA!#REF!,DATA!#REF!,1,FALSE),"")</f>
        <v/>
      </c>
      <c r="D3742" s="16" t="str">
        <f>IFERROR(VLOOKUP(C3742,DATA!#REF!,2,FALSE),"")</f>
        <v/>
      </c>
      <c r="I3742" s="17"/>
      <c r="J3742" s="17"/>
      <c r="P3742" s="17"/>
      <c r="Q3742" s="17"/>
    </row>
    <row r="3743" spans="2:17">
      <c r="B3743" s="17"/>
      <c r="C3743" s="16" t="str">
        <f>IFERROR(VLOOKUP(DATA!#REF!,DATA!#REF!,1,FALSE),"")</f>
        <v/>
      </c>
      <c r="D3743" s="16" t="str">
        <f>IFERROR(VLOOKUP(C3743,DATA!#REF!,2,FALSE),"")</f>
        <v/>
      </c>
      <c r="I3743" s="17"/>
      <c r="J3743" s="17"/>
      <c r="P3743" s="17"/>
      <c r="Q3743" s="17"/>
    </row>
    <row r="3744" spans="2:17">
      <c r="B3744" s="17"/>
      <c r="C3744" s="16" t="str">
        <f>IFERROR(VLOOKUP(DATA!#REF!,DATA!#REF!,1,FALSE),"")</f>
        <v/>
      </c>
      <c r="D3744" s="16" t="str">
        <f>IFERROR(VLOOKUP(C3744,DATA!#REF!,2,FALSE),"")</f>
        <v/>
      </c>
      <c r="I3744" s="17"/>
      <c r="J3744" s="17"/>
      <c r="P3744" s="17"/>
      <c r="Q3744" s="17"/>
    </row>
    <row r="3745" spans="2:17">
      <c r="B3745" s="17"/>
      <c r="C3745" s="16" t="str">
        <f>IFERROR(VLOOKUP(DATA!#REF!,DATA!#REF!,1,FALSE),"")</f>
        <v/>
      </c>
      <c r="D3745" s="16" t="str">
        <f>IFERROR(VLOOKUP(C3745,DATA!#REF!,2,FALSE),"")</f>
        <v/>
      </c>
      <c r="I3745" s="17"/>
      <c r="J3745" s="17"/>
      <c r="P3745" s="17"/>
      <c r="Q3745" s="17"/>
    </row>
    <row r="3746" spans="2:17">
      <c r="B3746" s="17"/>
      <c r="C3746" s="16" t="str">
        <f>IFERROR(VLOOKUP(DATA!#REF!,DATA!#REF!,1,FALSE),"")</f>
        <v/>
      </c>
      <c r="D3746" s="16" t="str">
        <f>IFERROR(VLOOKUP(C3746,DATA!#REF!,2,FALSE),"")</f>
        <v/>
      </c>
      <c r="I3746" s="17"/>
      <c r="J3746" s="17"/>
      <c r="P3746" s="17"/>
      <c r="Q3746" s="17"/>
    </row>
    <row r="3747" spans="2:17">
      <c r="B3747" s="17"/>
      <c r="C3747" s="16" t="str">
        <f>IFERROR(VLOOKUP(DATA!#REF!,DATA!#REF!,1,FALSE),"")</f>
        <v/>
      </c>
      <c r="D3747" s="16" t="str">
        <f>IFERROR(VLOOKUP(C3747,DATA!#REF!,2,FALSE),"")</f>
        <v/>
      </c>
      <c r="I3747" s="17"/>
      <c r="J3747" s="17"/>
      <c r="P3747" s="17"/>
      <c r="Q3747" s="17"/>
    </row>
    <row r="3748" spans="2:17">
      <c r="B3748" s="17"/>
      <c r="C3748" s="16" t="str">
        <f>IFERROR(VLOOKUP(DATA!#REF!,DATA!#REF!,1,FALSE),"")</f>
        <v/>
      </c>
      <c r="D3748" s="16" t="str">
        <f>IFERROR(VLOOKUP(C3748,DATA!#REF!,2,FALSE),"")</f>
        <v/>
      </c>
      <c r="I3748" s="17"/>
      <c r="J3748" s="17"/>
      <c r="P3748" s="17"/>
      <c r="Q3748" s="17"/>
    </row>
    <row r="3749" spans="2:17">
      <c r="B3749" s="17"/>
      <c r="C3749" s="16" t="str">
        <f>IFERROR(VLOOKUP(DATA!#REF!,DATA!#REF!,1,FALSE),"")</f>
        <v/>
      </c>
      <c r="D3749" s="16" t="str">
        <f>IFERROR(VLOOKUP(C3749,DATA!#REF!,2,FALSE),"")</f>
        <v/>
      </c>
      <c r="I3749" s="17"/>
      <c r="J3749" s="17"/>
      <c r="P3749" s="17"/>
      <c r="Q3749" s="17"/>
    </row>
    <row r="3750" spans="2:17">
      <c r="B3750" s="17"/>
      <c r="C3750" s="16" t="str">
        <f>IFERROR(VLOOKUP(DATA!#REF!,DATA!#REF!,1,FALSE),"")</f>
        <v/>
      </c>
      <c r="D3750" s="16" t="str">
        <f>IFERROR(VLOOKUP(C3750,DATA!#REF!,2,FALSE),"")</f>
        <v/>
      </c>
      <c r="I3750" s="17"/>
      <c r="J3750" s="17"/>
      <c r="P3750" s="17"/>
      <c r="Q3750" s="17"/>
    </row>
    <row r="3751" spans="2:17">
      <c r="B3751" s="17"/>
      <c r="C3751" s="16" t="str">
        <f>IFERROR(VLOOKUP(DATA!#REF!,DATA!#REF!,1,FALSE),"")</f>
        <v/>
      </c>
      <c r="D3751" s="16" t="str">
        <f>IFERROR(VLOOKUP(C3751,DATA!#REF!,2,FALSE),"")</f>
        <v/>
      </c>
      <c r="I3751" s="17"/>
      <c r="J3751" s="17"/>
      <c r="P3751" s="17"/>
      <c r="Q3751" s="17"/>
    </row>
    <row r="3752" spans="2:17">
      <c r="B3752" s="17"/>
      <c r="C3752" s="16" t="str">
        <f>IFERROR(VLOOKUP(DATA!#REF!,DATA!#REF!,1,FALSE),"")</f>
        <v/>
      </c>
      <c r="D3752" s="16" t="str">
        <f>IFERROR(VLOOKUP(C3752,DATA!#REF!,2,FALSE),"")</f>
        <v/>
      </c>
      <c r="I3752" s="17"/>
      <c r="J3752" s="17"/>
      <c r="P3752" s="17"/>
      <c r="Q3752" s="17"/>
    </row>
    <row r="3753" spans="2:17">
      <c r="B3753" s="17"/>
      <c r="C3753" s="16" t="str">
        <f>IFERROR(VLOOKUP(DATA!#REF!,DATA!#REF!,1,FALSE),"")</f>
        <v/>
      </c>
      <c r="D3753" s="16" t="str">
        <f>IFERROR(VLOOKUP(C3753,DATA!#REF!,2,FALSE),"")</f>
        <v/>
      </c>
      <c r="I3753" s="17"/>
      <c r="J3753" s="17"/>
      <c r="P3753" s="17"/>
      <c r="Q3753" s="17"/>
    </row>
    <row r="3754" spans="2:17">
      <c r="B3754" s="17"/>
      <c r="C3754" s="16" t="str">
        <f>IFERROR(VLOOKUP(DATA!#REF!,DATA!#REF!,1,FALSE),"")</f>
        <v/>
      </c>
      <c r="D3754" s="16" t="str">
        <f>IFERROR(VLOOKUP(C3754,DATA!#REF!,2,FALSE),"")</f>
        <v/>
      </c>
      <c r="I3754" s="17"/>
      <c r="J3754" s="17"/>
      <c r="P3754" s="17"/>
      <c r="Q3754" s="17"/>
    </row>
    <row r="3755" spans="2:17">
      <c r="B3755" s="17"/>
      <c r="C3755" s="16" t="str">
        <f>IFERROR(VLOOKUP(DATA!#REF!,DATA!#REF!,1,FALSE),"")</f>
        <v/>
      </c>
      <c r="D3755" s="16" t="str">
        <f>IFERROR(VLOOKUP(C3755,DATA!#REF!,2,FALSE),"")</f>
        <v/>
      </c>
      <c r="I3755" s="17"/>
      <c r="J3755" s="17"/>
      <c r="P3755" s="17"/>
      <c r="Q3755" s="17"/>
    </row>
    <row r="3756" spans="2:17">
      <c r="B3756" s="17"/>
      <c r="C3756" s="16" t="str">
        <f>IFERROR(VLOOKUP(DATA!#REF!,DATA!#REF!,1,FALSE),"")</f>
        <v/>
      </c>
      <c r="D3756" s="16" t="str">
        <f>IFERROR(VLOOKUP(C3756,DATA!#REF!,2,FALSE),"")</f>
        <v/>
      </c>
      <c r="I3756" s="17"/>
      <c r="J3756" s="17"/>
      <c r="P3756" s="17"/>
      <c r="Q3756" s="17"/>
    </row>
    <row r="3757" spans="2:17">
      <c r="B3757" s="17"/>
      <c r="C3757" s="16" t="str">
        <f>IFERROR(VLOOKUP(DATA!#REF!,DATA!#REF!,1,FALSE),"")</f>
        <v/>
      </c>
      <c r="D3757" s="16" t="str">
        <f>IFERROR(VLOOKUP(C3757,DATA!#REF!,2,FALSE),"")</f>
        <v/>
      </c>
      <c r="I3757" s="17"/>
      <c r="J3757" s="17"/>
      <c r="P3757" s="17"/>
      <c r="Q3757" s="17"/>
    </row>
    <row r="3758" spans="2:17">
      <c r="B3758" s="17"/>
      <c r="C3758" s="16" t="str">
        <f>IFERROR(VLOOKUP(DATA!#REF!,DATA!#REF!,1,FALSE),"")</f>
        <v/>
      </c>
      <c r="D3758" s="16" t="str">
        <f>IFERROR(VLOOKUP(C3758,DATA!#REF!,2,FALSE),"")</f>
        <v/>
      </c>
      <c r="I3758" s="17"/>
      <c r="J3758" s="17"/>
      <c r="P3758" s="17"/>
      <c r="Q3758" s="17"/>
    </row>
    <row r="3759" spans="2:17">
      <c r="B3759" s="17"/>
      <c r="C3759" s="16" t="str">
        <f>IFERROR(VLOOKUP(DATA!#REF!,DATA!#REF!,1,FALSE),"")</f>
        <v/>
      </c>
      <c r="D3759" s="16" t="str">
        <f>IFERROR(VLOOKUP(C3759,DATA!#REF!,2,FALSE),"")</f>
        <v/>
      </c>
      <c r="I3759" s="17"/>
      <c r="J3759" s="17"/>
      <c r="P3759" s="17"/>
      <c r="Q3759" s="17"/>
    </row>
    <row r="3760" spans="2:17">
      <c r="B3760" s="17"/>
      <c r="C3760" s="16" t="str">
        <f>IFERROR(VLOOKUP(DATA!#REF!,DATA!#REF!,1,FALSE),"")</f>
        <v/>
      </c>
      <c r="D3760" s="16" t="str">
        <f>IFERROR(VLOOKUP(C3760,DATA!#REF!,2,FALSE),"")</f>
        <v/>
      </c>
      <c r="I3760" s="17"/>
      <c r="J3760" s="17"/>
      <c r="P3760" s="17"/>
      <c r="Q3760" s="17"/>
    </row>
    <row r="3761" spans="2:17">
      <c r="B3761" s="17"/>
      <c r="C3761" s="16" t="str">
        <f>IFERROR(VLOOKUP(DATA!#REF!,DATA!#REF!,1,FALSE),"")</f>
        <v/>
      </c>
      <c r="D3761" s="16" t="str">
        <f>IFERROR(VLOOKUP(C3761,DATA!#REF!,2,FALSE),"")</f>
        <v/>
      </c>
      <c r="I3761" s="17"/>
      <c r="J3761" s="17"/>
      <c r="P3761" s="17"/>
      <c r="Q3761" s="17"/>
    </row>
    <row r="3762" spans="2:17">
      <c r="B3762" s="17"/>
      <c r="C3762" s="16" t="str">
        <f>IFERROR(VLOOKUP(DATA!#REF!,DATA!#REF!,1,FALSE),"")</f>
        <v/>
      </c>
      <c r="D3762" s="16" t="str">
        <f>IFERROR(VLOOKUP(C3762,DATA!#REF!,2,FALSE),"")</f>
        <v/>
      </c>
      <c r="I3762" s="17"/>
      <c r="J3762" s="17"/>
      <c r="P3762" s="17"/>
      <c r="Q3762" s="17"/>
    </row>
    <row r="3763" spans="2:17">
      <c r="B3763" s="17"/>
      <c r="C3763" s="16" t="str">
        <f>IFERROR(VLOOKUP(DATA!#REF!,DATA!#REF!,1,FALSE),"")</f>
        <v/>
      </c>
      <c r="D3763" s="16" t="str">
        <f>IFERROR(VLOOKUP(C3763,DATA!#REF!,2,FALSE),"")</f>
        <v/>
      </c>
      <c r="I3763" s="17"/>
      <c r="J3763" s="17"/>
      <c r="P3763" s="17"/>
      <c r="Q3763" s="17"/>
    </row>
    <row r="3764" spans="2:17">
      <c r="B3764" s="17"/>
      <c r="C3764" s="16" t="str">
        <f>IFERROR(VLOOKUP(DATA!#REF!,DATA!#REF!,1,FALSE),"")</f>
        <v/>
      </c>
      <c r="D3764" s="16" t="str">
        <f>IFERROR(VLOOKUP(C3764,DATA!#REF!,2,FALSE),"")</f>
        <v/>
      </c>
      <c r="I3764" s="17"/>
      <c r="J3764" s="17"/>
      <c r="P3764" s="17"/>
      <c r="Q3764" s="17"/>
    </row>
    <row r="3765" spans="2:17">
      <c r="B3765" s="17"/>
      <c r="C3765" s="16" t="str">
        <f>IFERROR(VLOOKUP(DATA!#REF!,DATA!#REF!,1,FALSE),"")</f>
        <v/>
      </c>
      <c r="D3765" s="16" t="str">
        <f>IFERROR(VLOOKUP(C3765,DATA!#REF!,2,FALSE),"")</f>
        <v/>
      </c>
      <c r="I3765" s="17"/>
      <c r="J3765" s="17"/>
      <c r="P3765" s="17"/>
      <c r="Q3765" s="17"/>
    </row>
    <row r="3766" spans="2:17">
      <c r="B3766" s="17"/>
      <c r="C3766" s="16" t="str">
        <f>IFERROR(VLOOKUP(DATA!#REF!,DATA!#REF!,1,FALSE),"")</f>
        <v/>
      </c>
      <c r="D3766" s="16" t="str">
        <f>IFERROR(VLOOKUP(C3766,DATA!#REF!,2,FALSE),"")</f>
        <v/>
      </c>
      <c r="I3766" s="17"/>
      <c r="J3766" s="17"/>
      <c r="P3766" s="17"/>
      <c r="Q3766" s="17"/>
    </row>
    <row r="3767" spans="2:17">
      <c r="B3767" s="17"/>
      <c r="C3767" s="16" t="str">
        <f>IFERROR(VLOOKUP(DATA!#REF!,DATA!#REF!,1,FALSE),"")</f>
        <v/>
      </c>
      <c r="D3767" s="16" t="str">
        <f>IFERROR(VLOOKUP(C3767,DATA!#REF!,2,FALSE),"")</f>
        <v/>
      </c>
      <c r="I3767" s="17"/>
      <c r="J3767" s="17"/>
      <c r="P3767" s="17"/>
      <c r="Q3767" s="17"/>
    </row>
    <row r="3768" spans="2:17">
      <c r="B3768" s="17"/>
      <c r="C3768" s="16" t="str">
        <f>IFERROR(VLOOKUP(DATA!#REF!,DATA!#REF!,1,FALSE),"")</f>
        <v/>
      </c>
      <c r="D3768" s="16" t="str">
        <f>IFERROR(VLOOKUP(C3768,DATA!#REF!,2,FALSE),"")</f>
        <v/>
      </c>
      <c r="I3768" s="17"/>
      <c r="J3768" s="17"/>
      <c r="P3768" s="17"/>
      <c r="Q3768" s="17"/>
    </row>
    <row r="3769" spans="2:17">
      <c r="B3769" s="17"/>
      <c r="C3769" s="16" t="str">
        <f>IFERROR(VLOOKUP(DATA!#REF!,DATA!#REF!,1,FALSE),"")</f>
        <v/>
      </c>
      <c r="D3769" s="16" t="str">
        <f>IFERROR(VLOOKUP(C3769,DATA!#REF!,2,FALSE),"")</f>
        <v/>
      </c>
      <c r="I3769" s="17"/>
      <c r="J3769" s="17"/>
      <c r="P3769" s="17"/>
      <c r="Q3769" s="17"/>
    </row>
    <row r="3770" spans="2:17">
      <c r="B3770" s="17"/>
      <c r="C3770" s="16" t="str">
        <f>IFERROR(VLOOKUP(DATA!#REF!,DATA!#REF!,1,FALSE),"")</f>
        <v/>
      </c>
      <c r="D3770" s="16" t="str">
        <f>IFERROR(VLOOKUP(C3770,DATA!#REF!,2,FALSE),"")</f>
        <v/>
      </c>
      <c r="I3770" s="17"/>
      <c r="J3770" s="17"/>
      <c r="P3770" s="17"/>
      <c r="Q3770" s="17"/>
    </row>
    <row r="3771" spans="2:17">
      <c r="B3771" s="17"/>
      <c r="C3771" s="16" t="str">
        <f>IFERROR(VLOOKUP(DATA!#REF!,DATA!#REF!,1,FALSE),"")</f>
        <v/>
      </c>
      <c r="D3771" s="16" t="str">
        <f>IFERROR(VLOOKUP(C3771,DATA!#REF!,2,FALSE),"")</f>
        <v/>
      </c>
      <c r="I3771" s="17"/>
      <c r="J3771" s="17"/>
      <c r="P3771" s="17"/>
      <c r="Q3771" s="17"/>
    </row>
    <row r="3772" spans="2:17">
      <c r="B3772" s="17"/>
      <c r="C3772" s="16" t="str">
        <f>IFERROR(VLOOKUP(DATA!#REF!,DATA!#REF!,1,FALSE),"")</f>
        <v/>
      </c>
      <c r="D3772" s="16" t="str">
        <f>IFERROR(VLOOKUP(C3772,DATA!#REF!,2,FALSE),"")</f>
        <v/>
      </c>
      <c r="I3772" s="17"/>
      <c r="J3772" s="17"/>
      <c r="P3772" s="17"/>
      <c r="Q3772" s="17"/>
    </row>
    <row r="3773" spans="2:17">
      <c r="B3773" s="17"/>
      <c r="C3773" s="16" t="str">
        <f>IFERROR(VLOOKUP(DATA!#REF!,DATA!#REF!,1,FALSE),"")</f>
        <v/>
      </c>
      <c r="D3773" s="16" t="str">
        <f>IFERROR(VLOOKUP(C3773,DATA!#REF!,2,FALSE),"")</f>
        <v/>
      </c>
      <c r="I3773" s="17"/>
      <c r="J3773" s="17"/>
      <c r="P3773" s="17"/>
      <c r="Q3773" s="17"/>
    </row>
    <row r="3774" spans="2:17">
      <c r="B3774" s="17"/>
      <c r="C3774" s="16" t="str">
        <f>IFERROR(VLOOKUP(DATA!#REF!,DATA!#REF!,1,FALSE),"")</f>
        <v/>
      </c>
      <c r="D3774" s="16" t="str">
        <f>IFERROR(VLOOKUP(C3774,DATA!#REF!,2,FALSE),"")</f>
        <v/>
      </c>
      <c r="I3774" s="17"/>
      <c r="J3774" s="17"/>
      <c r="P3774" s="17"/>
      <c r="Q3774" s="17"/>
    </row>
    <row r="3775" spans="2:17">
      <c r="B3775" s="17"/>
      <c r="C3775" s="16" t="str">
        <f>IFERROR(VLOOKUP(DATA!#REF!,DATA!#REF!,1,FALSE),"")</f>
        <v/>
      </c>
      <c r="D3775" s="16" t="str">
        <f>IFERROR(VLOOKUP(C3775,DATA!#REF!,2,FALSE),"")</f>
        <v/>
      </c>
      <c r="I3775" s="17"/>
      <c r="J3775" s="17"/>
      <c r="P3775" s="17"/>
      <c r="Q3775" s="17"/>
    </row>
    <row r="3776" spans="2:17">
      <c r="B3776" s="17"/>
      <c r="C3776" s="16" t="str">
        <f>IFERROR(VLOOKUP(DATA!#REF!,DATA!#REF!,1,FALSE),"")</f>
        <v/>
      </c>
      <c r="D3776" s="16" t="str">
        <f>IFERROR(VLOOKUP(C3776,DATA!#REF!,2,FALSE),"")</f>
        <v/>
      </c>
      <c r="I3776" s="17"/>
      <c r="J3776" s="17"/>
      <c r="P3776" s="17"/>
      <c r="Q3776" s="17"/>
    </row>
    <row r="3777" spans="2:17">
      <c r="B3777" s="17"/>
      <c r="C3777" s="16" t="str">
        <f>IFERROR(VLOOKUP(DATA!#REF!,DATA!#REF!,1,FALSE),"")</f>
        <v/>
      </c>
      <c r="D3777" s="16" t="str">
        <f>IFERROR(VLOOKUP(C3777,DATA!#REF!,2,FALSE),"")</f>
        <v/>
      </c>
      <c r="I3777" s="17"/>
      <c r="J3777" s="17"/>
      <c r="P3777" s="17"/>
      <c r="Q3777" s="17"/>
    </row>
    <row r="3778" spans="2:17">
      <c r="B3778" s="17"/>
      <c r="C3778" s="16" t="str">
        <f>IFERROR(VLOOKUP(DATA!#REF!,DATA!#REF!,1,FALSE),"")</f>
        <v/>
      </c>
      <c r="D3778" s="16" t="str">
        <f>IFERROR(VLOOKUP(C3778,DATA!#REF!,2,FALSE),"")</f>
        <v/>
      </c>
      <c r="I3778" s="17"/>
      <c r="J3778" s="17"/>
      <c r="P3778" s="17"/>
      <c r="Q3778" s="17"/>
    </row>
    <row r="3779" spans="2:17">
      <c r="B3779" s="17"/>
      <c r="C3779" s="16" t="str">
        <f>IFERROR(VLOOKUP(DATA!#REF!,DATA!#REF!,1,FALSE),"")</f>
        <v/>
      </c>
      <c r="D3779" s="16" t="str">
        <f>IFERROR(VLOOKUP(C3779,DATA!#REF!,2,FALSE),"")</f>
        <v/>
      </c>
      <c r="I3779" s="17"/>
      <c r="J3779" s="17"/>
      <c r="P3779" s="17"/>
      <c r="Q3779" s="17"/>
    </row>
    <row r="3780" spans="2:17">
      <c r="B3780" s="17"/>
      <c r="C3780" s="16" t="str">
        <f>IFERROR(VLOOKUP(DATA!#REF!,DATA!#REF!,1,FALSE),"")</f>
        <v/>
      </c>
      <c r="D3780" s="16" t="str">
        <f>IFERROR(VLOOKUP(C3780,DATA!#REF!,2,FALSE),"")</f>
        <v/>
      </c>
      <c r="I3780" s="17"/>
      <c r="J3780" s="17"/>
      <c r="P3780" s="17"/>
      <c r="Q3780" s="17"/>
    </row>
    <row r="3781" spans="2:17">
      <c r="B3781" s="17"/>
      <c r="C3781" s="16" t="str">
        <f>IFERROR(VLOOKUP(DATA!#REF!,DATA!#REF!,1,FALSE),"")</f>
        <v/>
      </c>
      <c r="D3781" s="16" t="str">
        <f>IFERROR(VLOOKUP(C3781,DATA!#REF!,2,FALSE),"")</f>
        <v/>
      </c>
      <c r="I3781" s="17"/>
      <c r="J3781" s="17"/>
      <c r="P3781" s="17"/>
      <c r="Q3781" s="17"/>
    </row>
    <row r="3782" spans="2:17">
      <c r="B3782" s="17"/>
      <c r="C3782" s="16" t="str">
        <f>IFERROR(VLOOKUP(DATA!#REF!,DATA!#REF!,1,FALSE),"")</f>
        <v/>
      </c>
      <c r="D3782" s="16" t="str">
        <f>IFERROR(VLOOKUP(C3782,DATA!#REF!,2,FALSE),"")</f>
        <v/>
      </c>
      <c r="I3782" s="17"/>
      <c r="J3782" s="17"/>
      <c r="P3782" s="17"/>
      <c r="Q3782" s="17"/>
    </row>
    <row r="3783" spans="2:17">
      <c r="B3783" s="17"/>
      <c r="C3783" s="16" t="str">
        <f>IFERROR(VLOOKUP(DATA!#REF!,DATA!#REF!,1,FALSE),"")</f>
        <v/>
      </c>
      <c r="D3783" s="16" t="str">
        <f>IFERROR(VLOOKUP(C3783,DATA!#REF!,2,FALSE),"")</f>
        <v/>
      </c>
      <c r="I3783" s="17"/>
      <c r="J3783" s="17"/>
      <c r="P3783" s="17"/>
      <c r="Q3783" s="17"/>
    </row>
    <row r="3784" spans="2:17">
      <c r="B3784" s="17"/>
      <c r="C3784" s="16" t="str">
        <f>IFERROR(VLOOKUP(DATA!#REF!,DATA!#REF!,1,FALSE),"")</f>
        <v/>
      </c>
      <c r="D3784" s="16" t="str">
        <f>IFERROR(VLOOKUP(C3784,DATA!#REF!,2,FALSE),"")</f>
        <v/>
      </c>
      <c r="I3784" s="17"/>
      <c r="J3784" s="17"/>
      <c r="P3784" s="17"/>
      <c r="Q3784" s="17"/>
    </row>
    <row r="3785" spans="2:17">
      <c r="B3785" s="17"/>
      <c r="C3785" s="16" t="str">
        <f>IFERROR(VLOOKUP(DATA!#REF!,DATA!#REF!,1,FALSE),"")</f>
        <v/>
      </c>
      <c r="D3785" s="16" t="str">
        <f>IFERROR(VLOOKUP(C3785,DATA!#REF!,2,FALSE),"")</f>
        <v/>
      </c>
      <c r="I3785" s="17"/>
      <c r="J3785" s="17"/>
      <c r="P3785" s="17"/>
      <c r="Q3785" s="17"/>
    </row>
    <row r="3786" spans="2:17">
      <c r="B3786" s="17"/>
      <c r="C3786" s="16" t="str">
        <f>IFERROR(VLOOKUP(DATA!#REF!,DATA!#REF!,1,FALSE),"")</f>
        <v/>
      </c>
      <c r="D3786" s="16" t="str">
        <f>IFERROR(VLOOKUP(C3786,DATA!#REF!,2,FALSE),"")</f>
        <v/>
      </c>
      <c r="I3786" s="17"/>
      <c r="J3786" s="17"/>
      <c r="P3786" s="17"/>
      <c r="Q3786" s="17"/>
    </row>
    <row r="3787" spans="2:17">
      <c r="B3787" s="17"/>
      <c r="C3787" s="16" t="str">
        <f>IFERROR(VLOOKUP(DATA!#REF!,DATA!#REF!,1,FALSE),"")</f>
        <v/>
      </c>
      <c r="D3787" s="16" t="str">
        <f>IFERROR(VLOOKUP(C3787,DATA!#REF!,2,FALSE),"")</f>
        <v/>
      </c>
      <c r="I3787" s="17"/>
      <c r="J3787" s="17"/>
      <c r="P3787" s="17"/>
      <c r="Q3787" s="17"/>
    </row>
    <row r="3788" spans="2:17">
      <c r="B3788" s="17"/>
      <c r="C3788" s="16" t="str">
        <f>IFERROR(VLOOKUP(DATA!#REF!,DATA!#REF!,1,FALSE),"")</f>
        <v/>
      </c>
      <c r="D3788" s="16" t="str">
        <f>IFERROR(VLOOKUP(C3788,DATA!#REF!,2,FALSE),"")</f>
        <v/>
      </c>
      <c r="I3788" s="17"/>
      <c r="J3788" s="17"/>
      <c r="P3788" s="17"/>
      <c r="Q3788" s="17"/>
    </row>
    <row r="3789" spans="2:17">
      <c r="B3789" s="17"/>
      <c r="C3789" s="16" t="str">
        <f>IFERROR(VLOOKUP(DATA!#REF!,DATA!#REF!,1,FALSE),"")</f>
        <v/>
      </c>
      <c r="D3789" s="16" t="str">
        <f>IFERROR(VLOOKUP(C3789,DATA!#REF!,2,FALSE),"")</f>
        <v/>
      </c>
      <c r="I3789" s="17"/>
      <c r="J3789" s="17"/>
      <c r="P3789" s="17"/>
      <c r="Q3789" s="17"/>
    </row>
    <row r="3790" spans="2:17">
      <c r="B3790" s="17"/>
      <c r="C3790" s="16" t="str">
        <f>IFERROR(VLOOKUP(DATA!#REF!,DATA!#REF!,1,FALSE),"")</f>
        <v/>
      </c>
      <c r="D3790" s="16" t="str">
        <f>IFERROR(VLOOKUP(C3790,DATA!#REF!,2,FALSE),"")</f>
        <v/>
      </c>
      <c r="I3790" s="17"/>
      <c r="J3790" s="17"/>
      <c r="P3790" s="17"/>
      <c r="Q3790" s="17"/>
    </row>
    <row r="3791" spans="2:17">
      <c r="B3791" s="17"/>
      <c r="C3791" s="16" t="str">
        <f>IFERROR(VLOOKUP(DATA!#REF!,DATA!#REF!,1,FALSE),"")</f>
        <v/>
      </c>
      <c r="D3791" s="16" t="str">
        <f>IFERROR(VLOOKUP(C3791,DATA!#REF!,2,FALSE),"")</f>
        <v/>
      </c>
      <c r="I3791" s="17"/>
      <c r="J3791" s="17"/>
      <c r="P3791" s="17"/>
      <c r="Q3791" s="17"/>
    </row>
    <row r="3792" spans="2:17">
      <c r="B3792" s="17"/>
      <c r="C3792" s="16" t="str">
        <f>IFERROR(VLOOKUP(DATA!#REF!,DATA!#REF!,1,FALSE),"")</f>
        <v/>
      </c>
      <c r="D3792" s="16" t="str">
        <f>IFERROR(VLOOKUP(C3792,DATA!#REF!,2,FALSE),"")</f>
        <v/>
      </c>
      <c r="I3792" s="17"/>
      <c r="J3792" s="17"/>
      <c r="P3792" s="17"/>
      <c r="Q3792" s="17"/>
    </row>
    <row r="3793" spans="2:17">
      <c r="B3793" s="17"/>
      <c r="C3793" s="16" t="str">
        <f>IFERROR(VLOOKUP(DATA!#REF!,DATA!#REF!,1,FALSE),"")</f>
        <v/>
      </c>
      <c r="D3793" s="16" t="str">
        <f>IFERROR(VLOOKUP(C3793,DATA!#REF!,2,FALSE),"")</f>
        <v/>
      </c>
      <c r="I3793" s="17"/>
      <c r="J3793" s="17"/>
      <c r="P3793" s="17"/>
      <c r="Q3793" s="17"/>
    </row>
    <row r="3794" spans="2:17">
      <c r="B3794" s="17"/>
      <c r="C3794" s="16" t="str">
        <f>IFERROR(VLOOKUP(DATA!#REF!,DATA!#REF!,1,FALSE),"")</f>
        <v/>
      </c>
      <c r="D3794" s="16" t="str">
        <f>IFERROR(VLOOKUP(C3794,DATA!#REF!,2,FALSE),"")</f>
        <v/>
      </c>
      <c r="I3794" s="17"/>
      <c r="J3794" s="17"/>
      <c r="P3794" s="17"/>
      <c r="Q3794" s="17"/>
    </row>
    <row r="3795" spans="2:17">
      <c r="B3795" s="17"/>
      <c r="C3795" s="16" t="str">
        <f>IFERROR(VLOOKUP(DATA!#REF!,DATA!#REF!,1,FALSE),"")</f>
        <v/>
      </c>
      <c r="D3795" s="16" t="str">
        <f>IFERROR(VLOOKUP(C3795,DATA!#REF!,2,FALSE),"")</f>
        <v/>
      </c>
      <c r="I3795" s="17"/>
      <c r="J3795" s="17"/>
      <c r="P3795" s="17"/>
      <c r="Q3795" s="17"/>
    </row>
    <row r="3796" spans="2:17">
      <c r="B3796" s="17"/>
      <c r="C3796" s="16" t="str">
        <f>IFERROR(VLOOKUP(DATA!#REF!,DATA!#REF!,1,FALSE),"")</f>
        <v/>
      </c>
      <c r="D3796" s="16" t="str">
        <f>IFERROR(VLOOKUP(C3796,DATA!#REF!,2,FALSE),"")</f>
        <v/>
      </c>
      <c r="I3796" s="17"/>
      <c r="J3796" s="17"/>
      <c r="P3796" s="17"/>
      <c r="Q3796" s="17"/>
    </row>
    <row r="3797" spans="2:17">
      <c r="B3797" s="17"/>
      <c r="C3797" s="16" t="str">
        <f>IFERROR(VLOOKUP(DATA!#REF!,DATA!#REF!,1,FALSE),"")</f>
        <v/>
      </c>
      <c r="D3797" s="16" t="str">
        <f>IFERROR(VLOOKUP(C3797,DATA!#REF!,2,FALSE),"")</f>
        <v/>
      </c>
      <c r="I3797" s="17"/>
      <c r="J3797" s="17"/>
      <c r="P3797" s="17"/>
      <c r="Q3797" s="17"/>
    </row>
    <row r="3798" spans="2:17">
      <c r="B3798" s="17"/>
      <c r="C3798" s="16" t="str">
        <f>IFERROR(VLOOKUP(DATA!#REF!,DATA!#REF!,1,FALSE),"")</f>
        <v/>
      </c>
      <c r="D3798" s="16" t="str">
        <f>IFERROR(VLOOKUP(C3798,DATA!#REF!,2,FALSE),"")</f>
        <v/>
      </c>
      <c r="I3798" s="17"/>
      <c r="J3798" s="17"/>
      <c r="P3798" s="17"/>
      <c r="Q3798" s="17"/>
    </row>
    <row r="3799" spans="2:17">
      <c r="B3799" s="17"/>
      <c r="C3799" s="16" t="str">
        <f>IFERROR(VLOOKUP(DATA!#REF!,DATA!#REF!,1,FALSE),"")</f>
        <v/>
      </c>
      <c r="D3799" s="16" t="str">
        <f>IFERROR(VLOOKUP(C3799,DATA!#REF!,2,FALSE),"")</f>
        <v/>
      </c>
      <c r="I3799" s="17"/>
      <c r="J3799" s="17"/>
      <c r="P3799" s="17"/>
      <c r="Q3799" s="17"/>
    </row>
    <row r="3800" spans="2:17">
      <c r="B3800" s="17"/>
      <c r="C3800" s="16" t="str">
        <f>IFERROR(VLOOKUP(DATA!#REF!,DATA!#REF!,1,FALSE),"")</f>
        <v/>
      </c>
      <c r="D3800" s="16" t="str">
        <f>IFERROR(VLOOKUP(C3800,DATA!#REF!,2,FALSE),"")</f>
        <v/>
      </c>
      <c r="I3800" s="17"/>
      <c r="J3800" s="17"/>
      <c r="P3800" s="17"/>
      <c r="Q3800" s="17"/>
    </row>
    <row r="3801" spans="2:17">
      <c r="B3801" s="17"/>
      <c r="C3801" s="16" t="str">
        <f>IFERROR(VLOOKUP(DATA!#REF!,DATA!#REF!,1,FALSE),"")</f>
        <v/>
      </c>
      <c r="D3801" s="16" t="str">
        <f>IFERROR(VLOOKUP(C3801,DATA!#REF!,2,FALSE),"")</f>
        <v/>
      </c>
      <c r="I3801" s="17"/>
      <c r="J3801" s="17"/>
      <c r="P3801" s="17"/>
      <c r="Q3801" s="17"/>
    </row>
    <row r="3802" spans="2:17">
      <c r="B3802" s="17"/>
      <c r="C3802" s="16" t="str">
        <f>IFERROR(VLOOKUP(DATA!#REF!,DATA!#REF!,1,FALSE),"")</f>
        <v/>
      </c>
      <c r="D3802" s="16" t="str">
        <f>IFERROR(VLOOKUP(C3802,DATA!#REF!,2,FALSE),"")</f>
        <v/>
      </c>
      <c r="I3802" s="17"/>
      <c r="J3802" s="17"/>
      <c r="P3802" s="17"/>
      <c r="Q3802" s="17"/>
    </row>
    <row r="3803" spans="2:17">
      <c r="B3803" s="17"/>
      <c r="C3803" s="16" t="str">
        <f>IFERROR(VLOOKUP(DATA!#REF!,DATA!#REF!,1,FALSE),"")</f>
        <v/>
      </c>
      <c r="D3803" s="16" t="str">
        <f>IFERROR(VLOOKUP(C3803,DATA!#REF!,2,FALSE),"")</f>
        <v/>
      </c>
      <c r="I3803" s="17"/>
      <c r="J3803" s="17"/>
      <c r="P3803" s="17"/>
      <c r="Q3803" s="17"/>
    </row>
    <row r="3804" spans="2:17">
      <c r="B3804" s="17"/>
      <c r="C3804" s="16" t="str">
        <f>IFERROR(VLOOKUP(DATA!#REF!,DATA!#REF!,1,FALSE),"")</f>
        <v/>
      </c>
      <c r="D3804" s="16" t="str">
        <f>IFERROR(VLOOKUP(C3804,DATA!#REF!,2,FALSE),"")</f>
        <v/>
      </c>
      <c r="I3804" s="17"/>
      <c r="J3804" s="17"/>
      <c r="P3804" s="17"/>
      <c r="Q3804" s="17"/>
    </row>
    <row r="3805" spans="2:17">
      <c r="B3805" s="17"/>
      <c r="C3805" s="16" t="str">
        <f>IFERROR(VLOOKUP(DATA!#REF!,DATA!#REF!,1,FALSE),"")</f>
        <v/>
      </c>
      <c r="D3805" s="16" t="str">
        <f>IFERROR(VLOOKUP(C3805,DATA!#REF!,2,FALSE),"")</f>
        <v/>
      </c>
      <c r="I3805" s="17"/>
      <c r="J3805" s="17"/>
      <c r="P3805" s="17"/>
      <c r="Q3805" s="17"/>
    </row>
    <row r="3806" spans="2:17">
      <c r="B3806" s="17"/>
      <c r="C3806" s="16" t="str">
        <f>IFERROR(VLOOKUP(DATA!#REF!,DATA!#REF!,1,FALSE),"")</f>
        <v/>
      </c>
      <c r="D3806" s="16" t="str">
        <f>IFERROR(VLOOKUP(C3806,DATA!#REF!,2,FALSE),"")</f>
        <v/>
      </c>
      <c r="I3806" s="17"/>
      <c r="J3806" s="17"/>
      <c r="P3806" s="17"/>
      <c r="Q3806" s="17"/>
    </row>
    <row r="3807" spans="2:17">
      <c r="B3807" s="17"/>
      <c r="C3807" s="16" t="str">
        <f>IFERROR(VLOOKUP(DATA!#REF!,DATA!#REF!,1,FALSE),"")</f>
        <v/>
      </c>
      <c r="D3807" s="16" t="str">
        <f>IFERROR(VLOOKUP(C3807,DATA!#REF!,2,FALSE),"")</f>
        <v/>
      </c>
      <c r="I3807" s="17"/>
      <c r="J3807" s="17"/>
      <c r="P3807" s="17"/>
      <c r="Q3807" s="17"/>
    </row>
    <row r="3808" spans="2:17">
      <c r="B3808" s="17"/>
      <c r="C3808" s="16" t="str">
        <f>IFERROR(VLOOKUP(DATA!#REF!,DATA!#REF!,1,FALSE),"")</f>
        <v/>
      </c>
      <c r="D3808" s="16" t="str">
        <f>IFERROR(VLOOKUP(C3808,DATA!#REF!,2,FALSE),"")</f>
        <v/>
      </c>
      <c r="I3808" s="17"/>
      <c r="J3808" s="17"/>
      <c r="P3808" s="17"/>
      <c r="Q3808" s="17"/>
    </row>
    <row r="3809" spans="2:17">
      <c r="B3809" s="17"/>
      <c r="C3809" s="16" t="str">
        <f>IFERROR(VLOOKUP(DATA!#REF!,DATA!#REF!,1,FALSE),"")</f>
        <v/>
      </c>
      <c r="D3809" s="16" t="str">
        <f>IFERROR(VLOOKUP(C3809,DATA!#REF!,2,FALSE),"")</f>
        <v/>
      </c>
      <c r="I3809" s="17"/>
      <c r="J3809" s="17"/>
      <c r="P3809" s="17"/>
      <c r="Q3809" s="17"/>
    </row>
    <row r="3810" spans="2:17">
      <c r="B3810" s="17"/>
      <c r="C3810" s="16" t="str">
        <f>IFERROR(VLOOKUP(DATA!#REF!,DATA!#REF!,1,FALSE),"")</f>
        <v/>
      </c>
      <c r="D3810" s="16" t="str">
        <f>IFERROR(VLOOKUP(C3810,DATA!#REF!,2,FALSE),"")</f>
        <v/>
      </c>
      <c r="I3810" s="17"/>
      <c r="J3810" s="17"/>
      <c r="P3810" s="17"/>
      <c r="Q3810" s="17"/>
    </row>
    <row r="3811" spans="2:17">
      <c r="B3811" s="17"/>
      <c r="C3811" s="16" t="str">
        <f>IFERROR(VLOOKUP(DATA!#REF!,DATA!#REF!,1,FALSE),"")</f>
        <v/>
      </c>
      <c r="D3811" s="16" t="str">
        <f>IFERROR(VLOOKUP(C3811,DATA!#REF!,2,FALSE),"")</f>
        <v/>
      </c>
      <c r="I3811" s="17"/>
      <c r="J3811" s="17"/>
      <c r="P3811" s="17"/>
      <c r="Q3811" s="17"/>
    </row>
    <row r="3812" spans="2:17">
      <c r="B3812" s="17"/>
      <c r="C3812" s="16" t="str">
        <f>IFERROR(VLOOKUP(DATA!#REF!,DATA!#REF!,1,FALSE),"")</f>
        <v/>
      </c>
      <c r="D3812" s="16" t="str">
        <f>IFERROR(VLOOKUP(C3812,DATA!#REF!,2,FALSE),"")</f>
        <v/>
      </c>
      <c r="I3812" s="17"/>
      <c r="J3812" s="17"/>
      <c r="P3812" s="17"/>
      <c r="Q3812" s="17"/>
    </row>
    <row r="3813" spans="2:17">
      <c r="B3813" s="17"/>
      <c r="C3813" s="16" t="str">
        <f>IFERROR(VLOOKUP(DATA!#REF!,DATA!#REF!,1,FALSE),"")</f>
        <v/>
      </c>
      <c r="D3813" s="16" t="str">
        <f>IFERROR(VLOOKUP(C3813,DATA!#REF!,2,FALSE),"")</f>
        <v/>
      </c>
      <c r="I3813" s="17"/>
      <c r="J3813" s="17"/>
      <c r="P3813" s="17"/>
      <c r="Q3813" s="17"/>
    </row>
    <row r="3814" spans="2:17">
      <c r="B3814" s="17"/>
      <c r="C3814" s="16" t="str">
        <f>IFERROR(VLOOKUP(DATA!#REF!,DATA!#REF!,1,FALSE),"")</f>
        <v/>
      </c>
      <c r="D3814" s="16" t="str">
        <f>IFERROR(VLOOKUP(C3814,DATA!#REF!,2,FALSE),"")</f>
        <v/>
      </c>
      <c r="I3814" s="17"/>
      <c r="J3814" s="17"/>
      <c r="P3814" s="17"/>
      <c r="Q3814" s="17"/>
    </row>
    <row r="3815" spans="2:17">
      <c r="B3815" s="17"/>
      <c r="C3815" s="16" t="str">
        <f>IFERROR(VLOOKUP(DATA!#REF!,DATA!#REF!,1,FALSE),"")</f>
        <v/>
      </c>
      <c r="D3815" s="16" t="str">
        <f>IFERROR(VLOOKUP(C3815,DATA!#REF!,2,FALSE),"")</f>
        <v/>
      </c>
      <c r="I3815" s="17"/>
      <c r="J3815" s="17"/>
      <c r="P3815" s="17"/>
      <c r="Q3815" s="17"/>
    </row>
    <row r="3816" spans="2:17">
      <c r="B3816" s="17"/>
      <c r="C3816" s="16" t="str">
        <f>IFERROR(VLOOKUP(DATA!#REF!,DATA!#REF!,1,FALSE),"")</f>
        <v/>
      </c>
      <c r="D3816" s="16" t="str">
        <f>IFERROR(VLOOKUP(C3816,DATA!#REF!,2,FALSE),"")</f>
        <v/>
      </c>
      <c r="I3816" s="17"/>
      <c r="J3816" s="17"/>
      <c r="P3816" s="17"/>
      <c r="Q3816" s="17"/>
    </row>
    <row r="3817" spans="2:17">
      <c r="B3817" s="17"/>
      <c r="C3817" s="16" t="str">
        <f>IFERROR(VLOOKUP(DATA!#REF!,DATA!#REF!,1,FALSE),"")</f>
        <v/>
      </c>
      <c r="D3817" s="16" t="str">
        <f>IFERROR(VLOOKUP(C3817,DATA!#REF!,2,FALSE),"")</f>
        <v/>
      </c>
      <c r="I3817" s="17"/>
      <c r="J3817" s="17"/>
      <c r="P3817" s="17"/>
      <c r="Q3817" s="17"/>
    </row>
    <row r="3818" spans="2:17">
      <c r="B3818" s="17"/>
      <c r="C3818" s="16" t="str">
        <f>IFERROR(VLOOKUP(DATA!#REF!,DATA!#REF!,1,FALSE),"")</f>
        <v/>
      </c>
      <c r="D3818" s="16" t="str">
        <f>IFERROR(VLOOKUP(C3818,DATA!#REF!,2,FALSE),"")</f>
        <v/>
      </c>
      <c r="I3818" s="17"/>
      <c r="J3818" s="17"/>
      <c r="P3818" s="17"/>
      <c r="Q3818" s="17"/>
    </row>
    <row r="3819" spans="2:17">
      <c r="B3819" s="17"/>
      <c r="C3819" s="16" t="str">
        <f>IFERROR(VLOOKUP(DATA!#REF!,DATA!#REF!,1,FALSE),"")</f>
        <v/>
      </c>
      <c r="D3819" s="16" t="str">
        <f>IFERROR(VLOOKUP(C3819,DATA!#REF!,2,FALSE),"")</f>
        <v/>
      </c>
      <c r="I3819" s="17"/>
      <c r="J3819" s="17"/>
      <c r="P3819" s="17"/>
      <c r="Q3819" s="17"/>
    </row>
    <row r="3820" spans="2:17">
      <c r="B3820" s="17"/>
      <c r="C3820" s="16" t="str">
        <f>IFERROR(VLOOKUP(DATA!#REF!,DATA!#REF!,1,FALSE),"")</f>
        <v/>
      </c>
      <c r="D3820" s="16" t="str">
        <f>IFERROR(VLOOKUP(C3820,DATA!#REF!,2,FALSE),"")</f>
        <v/>
      </c>
      <c r="I3820" s="17"/>
      <c r="J3820" s="17"/>
      <c r="P3820" s="17"/>
      <c r="Q3820" s="17"/>
    </row>
    <row r="3821" spans="2:17">
      <c r="B3821" s="17"/>
      <c r="C3821" s="16" t="str">
        <f>IFERROR(VLOOKUP(DATA!#REF!,DATA!#REF!,1,FALSE),"")</f>
        <v/>
      </c>
      <c r="D3821" s="16" t="str">
        <f>IFERROR(VLOOKUP(C3821,DATA!#REF!,2,FALSE),"")</f>
        <v/>
      </c>
      <c r="I3821" s="17"/>
      <c r="J3821" s="17"/>
      <c r="P3821" s="17"/>
      <c r="Q3821" s="17"/>
    </row>
    <row r="3822" spans="2:17">
      <c r="B3822" s="17"/>
      <c r="C3822" s="16" t="str">
        <f>IFERROR(VLOOKUP(DATA!#REF!,DATA!#REF!,1,FALSE),"")</f>
        <v/>
      </c>
      <c r="D3822" s="16" t="str">
        <f>IFERROR(VLOOKUP(C3822,DATA!#REF!,2,FALSE),"")</f>
        <v/>
      </c>
      <c r="I3822" s="17"/>
      <c r="J3822" s="17"/>
      <c r="P3822" s="17"/>
      <c r="Q3822" s="17"/>
    </row>
    <row r="3823" spans="2:17">
      <c r="B3823" s="17"/>
      <c r="C3823" s="16" t="str">
        <f>IFERROR(VLOOKUP(DATA!#REF!,DATA!#REF!,1,FALSE),"")</f>
        <v/>
      </c>
      <c r="D3823" s="16" t="str">
        <f>IFERROR(VLOOKUP(C3823,DATA!#REF!,2,FALSE),"")</f>
        <v/>
      </c>
      <c r="I3823" s="17"/>
      <c r="J3823" s="17"/>
      <c r="P3823" s="17"/>
      <c r="Q3823" s="17"/>
    </row>
    <row r="3824" spans="2:17">
      <c r="B3824" s="17"/>
      <c r="C3824" s="16" t="str">
        <f>IFERROR(VLOOKUP(DATA!#REF!,DATA!#REF!,1,FALSE),"")</f>
        <v/>
      </c>
      <c r="D3824" s="16" t="str">
        <f>IFERROR(VLOOKUP(C3824,DATA!#REF!,2,FALSE),"")</f>
        <v/>
      </c>
      <c r="I3824" s="17"/>
      <c r="J3824" s="17"/>
      <c r="P3824" s="17"/>
      <c r="Q3824" s="17"/>
    </row>
    <row r="3825" spans="2:17">
      <c r="B3825" s="17"/>
      <c r="C3825" s="16" t="str">
        <f>IFERROR(VLOOKUP(DATA!#REF!,DATA!#REF!,1,FALSE),"")</f>
        <v/>
      </c>
      <c r="D3825" s="16" t="str">
        <f>IFERROR(VLOOKUP(C3825,DATA!#REF!,2,FALSE),"")</f>
        <v/>
      </c>
      <c r="I3825" s="17"/>
      <c r="J3825" s="17"/>
      <c r="P3825" s="17"/>
      <c r="Q3825" s="17"/>
    </row>
    <row r="3826" spans="2:17">
      <c r="B3826" s="17"/>
      <c r="C3826" s="16" t="str">
        <f>IFERROR(VLOOKUP(DATA!#REF!,DATA!#REF!,1,FALSE),"")</f>
        <v/>
      </c>
      <c r="D3826" s="16" t="str">
        <f>IFERROR(VLOOKUP(C3826,DATA!#REF!,2,FALSE),"")</f>
        <v/>
      </c>
      <c r="I3826" s="17"/>
      <c r="J3826" s="17"/>
      <c r="P3826" s="17"/>
      <c r="Q3826" s="17"/>
    </row>
    <row r="3827" spans="2:17">
      <c r="B3827" s="17"/>
      <c r="C3827" s="16" t="str">
        <f>IFERROR(VLOOKUP(DATA!#REF!,DATA!#REF!,1,FALSE),"")</f>
        <v/>
      </c>
      <c r="D3827" s="16" t="str">
        <f>IFERROR(VLOOKUP(C3827,DATA!#REF!,2,FALSE),"")</f>
        <v/>
      </c>
      <c r="I3827" s="17"/>
      <c r="J3827" s="17"/>
      <c r="P3827" s="17"/>
      <c r="Q3827" s="17"/>
    </row>
    <row r="3828" spans="2:17">
      <c r="B3828" s="17"/>
      <c r="C3828" s="16" t="str">
        <f>IFERROR(VLOOKUP(DATA!#REF!,DATA!#REF!,1,FALSE),"")</f>
        <v/>
      </c>
      <c r="D3828" s="16" t="str">
        <f>IFERROR(VLOOKUP(C3828,DATA!#REF!,2,FALSE),"")</f>
        <v/>
      </c>
      <c r="I3828" s="17"/>
      <c r="J3828" s="17"/>
      <c r="P3828" s="17"/>
      <c r="Q3828" s="17"/>
    </row>
    <row r="3829" spans="2:17">
      <c r="B3829" s="17"/>
      <c r="C3829" s="16" t="str">
        <f>IFERROR(VLOOKUP(DATA!#REF!,DATA!#REF!,1,FALSE),"")</f>
        <v/>
      </c>
      <c r="D3829" s="16" t="str">
        <f>IFERROR(VLOOKUP(C3829,DATA!#REF!,2,FALSE),"")</f>
        <v/>
      </c>
      <c r="I3829" s="17"/>
      <c r="J3829" s="17"/>
      <c r="P3829" s="17"/>
      <c r="Q3829" s="17"/>
    </row>
    <row r="3830" spans="2:17">
      <c r="B3830" s="17"/>
      <c r="C3830" s="16" t="str">
        <f>IFERROR(VLOOKUP(DATA!#REF!,DATA!#REF!,1,FALSE),"")</f>
        <v/>
      </c>
      <c r="D3830" s="16" t="str">
        <f>IFERROR(VLOOKUP(C3830,DATA!#REF!,2,FALSE),"")</f>
        <v/>
      </c>
      <c r="I3830" s="17"/>
      <c r="J3830" s="17"/>
      <c r="P3830" s="17"/>
      <c r="Q3830" s="17"/>
    </row>
    <row r="3831" spans="2:17">
      <c r="B3831" s="17"/>
      <c r="C3831" s="16" t="str">
        <f>IFERROR(VLOOKUP(DATA!#REF!,DATA!#REF!,1,FALSE),"")</f>
        <v/>
      </c>
      <c r="D3831" s="16" t="str">
        <f>IFERROR(VLOOKUP(C3831,DATA!#REF!,2,FALSE),"")</f>
        <v/>
      </c>
      <c r="I3831" s="17"/>
      <c r="J3831" s="17"/>
      <c r="P3831" s="17"/>
      <c r="Q3831" s="17"/>
    </row>
    <row r="3832" spans="2:17">
      <c r="B3832" s="17"/>
      <c r="C3832" s="16" t="str">
        <f>IFERROR(VLOOKUP(DATA!#REF!,DATA!#REF!,1,FALSE),"")</f>
        <v/>
      </c>
      <c r="D3832" s="16" t="str">
        <f>IFERROR(VLOOKUP(C3832,DATA!#REF!,2,FALSE),"")</f>
        <v/>
      </c>
      <c r="I3832" s="17"/>
      <c r="J3832" s="17"/>
      <c r="P3832" s="17"/>
      <c r="Q3832" s="17"/>
    </row>
    <row r="3833" spans="2:17">
      <c r="B3833" s="17"/>
      <c r="C3833" s="16" t="str">
        <f>IFERROR(VLOOKUP(DATA!#REF!,DATA!#REF!,1,FALSE),"")</f>
        <v/>
      </c>
      <c r="D3833" s="16" t="str">
        <f>IFERROR(VLOOKUP(C3833,DATA!#REF!,2,FALSE),"")</f>
        <v/>
      </c>
      <c r="I3833" s="17"/>
      <c r="J3833" s="17"/>
      <c r="P3833" s="17"/>
      <c r="Q3833" s="17"/>
    </row>
    <row r="3834" spans="2:17">
      <c r="B3834" s="17"/>
      <c r="C3834" s="16" t="str">
        <f>IFERROR(VLOOKUP(DATA!#REF!,DATA!#REF!,1,FALSE),"")</f>
        <v/>
      </c>
      <c r="D3834" s="16" t="str">
        <f>IFERROR(VLOOKUP(C3834,DATA!#REF!,2,FALSE),"")</f>
        <v/>
      </c>
      <c r="I3834" s="17"/>
      <c r="J3834" s="17"/>
      <c r="P3834" s="17"/>
      <c r="Q3834" s="17"/>
    </row>
    <row r="3835" spans="2:17">
      <c r="B3835" s="17"/>
      <c r="C3835" s="16" t="str">
        <f>IFERROR(VLOOKUP(DATA!#REF!,DATA!#REF!,1,FALSE),"")</f>
        <v/>
      </c>
      <c r="D3835" s="16" t="str">
        <f>IFERROR(VLOOKUP(C3835,DATA!#REF!,2,FALSE),"")</f>
        <v/>
      </c>
      <c r="I3835" s="17"/>
      <c r="J3835" s="17"/>
      <c r="P3835" s="17"/>
      <c r="Q3835" s="17"/>
    </row>
    <row r="3836" spans="2:17">
      <c r="B3836" s="17"/>
      <c r="C3836" s="16" t="str">
        <f>IFERROR(VLOOKUP(DATA!#REF!,DATA!#REF!,1,FALSE),"")</f>
        <v/>
      </c>
      <c r="D3836" s="16" t="str">
        <f>IFERROR(VLOOKUP(C3836,DATA!#REF!,2,FALSE),"")</f>
        <v/>
      </c>
      <c r="I3836" s="17"/>
      <c r="J3836" s="17"/>
      <c r="P3836" s="17"/>
      <c r="Q3836" s="17"/>
    </row>
    <row r="3837" spans="2:17">
      <c r="B3837" s="17"/>
      <c r="C3837" s="16" t="str">
        <f>IFERROR(VLOOKUP(DATA!#REF!,DATA!#REF!,1,FALSE),"")</f>
        <v/>
      </c>
      <c r="D3837" s="16" t="str">
        <f>IFERROR(VLOOKUP(C3837,DATA!#REF!,2,FALSE),"")</f>
        <v/>
      </c>
      <c r="I3837" s="17"/>
      <c r="J3837" s="17"/>
      <c r="P3837" s="17"/>
      <c r="Q3837" s="17"/>
    </row>
    <row r="3838" spans="2:17">
      <c r="B3838" s="17"/>
      <c r="C3838" s="16" t="str">
        <f>IFERROR(VLOOKUP(DATA!#REF!,DATA!#REF!,1,FALSE),"")</f>
        <v/>
      </c>
      <c r="D3838" s="16" t="str">
        <f>IFERROR(VLOOKUP(C3838,DATA!#REF!,2,FALSE),"")</f>
        <v/>
      </c>
      <c r="I3838" s="17"/>
      <c r="J3838" s="17"/>
      <c r="P3838" s="17"/>
      <c r="Q3838" s="17"/>
    </row>
    <row r="3839" spans="2:17">
      <c r="B3839" s="17"/>
      <c r="C3839" s="16" t="str">
        <f>IFERROR(VLOOKUP(DATA!#REF!,DATA!#REF!,1,FALSE),"")</f>
        <v/>
      </c>
      <c r="D3839" s="16" t="str">
        <f>IFERROR(VLOOKUP(C3839,DATA!#REF!,2,FALSE),"")</f>
        <v/>
      </c>
      <c r="I3839" s="17"/>
      <c r="J3839" s="17"/>
      <c r="P3839" s="17"/>
      <c r="Q3839" s="17"/>
    </row>
    <row r="3840" spans="2:17">
      <c r="B3840" s="17"/>
      <c r="C3840" s="16" t="str">
        <f>IFERROR(VLOOKUP(DATA!#REF!,DATA!#REF!,1,FALSE),"")</f>
        <v/>
      </c>
      <c r="D3840" s="16" t="str">
        <f>IFERROR(VLOOKUP(C3840,DATA!#REF!,2,FALSE),"")</f>
        <v/>
      </c>
      <c r="I3840" s="17"/>
      <c r="J3840" s="17"/>
      <c r="P3840" s="17"/>
      <c r="Q3840" s="17"/>
    </row>
    <row r="3841" spans="2:17">
      <c r="B3841" s="17"/>
      <c r="C3841" s="16" t="str">
        <f>IFERROR(VLOOKUP(DATA!#REF!,DATA!#REF!,1,FALSE),"")</f>
        <v/>
      </c>
      <c r="D3841" s="16" t="str">
        <f>IFERROR(VLOOKUP(C3841,DATA!#REF!,2,FALSE),"")</f>
        <v/>
      </c>
      <c r="I3841" s="17"/>
      <c r="J3841" s="17"/>
      <c r="P3841" s="17"/>
      <c r="Q3841" s="17"/>
    </row>
    <row r="3842" spans="2:17">
      <c r="B3842" s="17"/>
      <c r="C3842" s="16" t="str">
        <f>IFERROR(VLOOKUP(DATA!#REF!,DATA!#REF!,1,FALSE),"")</f>
        <v/>
      </c>
      <c r="D3842" s="16" t="str">
        <f>IFERROR(VLOOKUP(C3842,DATA!#REF!,2,FALSE),"")</f>
        <v/>
      </c>
      <c r="I3842" s="17"/>
      <c r="J3842" s="17"/>
      <c r="P3842" s="17"/>
      <c r="Q3842" s="17"/>
    </row>
    <row r="3843" spans="2:17">
      <c r="B3843" s="17"/>
      <c r="C3843" s="16" t="str">
        <f>IFERROR(VLOOKUP(DATA!#REF!,DATA!#REF!,1,FALSE),"")</f>
        <v/>
      </c>
      <c r="D3843" s="16" t="str">
        <f>IFERROR(VLOOKUP(C3843,DATA!#REF!,2,FALSE),"")</f>
        <v/>
      </c>
      <c r="I3843" s="17"/>
      <c r="J3843" s="17"/>
      <c r="P3843" s="17"/>
      <c r="Q3843" s="17"/>
    </row>
    <row r="3844" spans="2:17">
      <c r="B3844" s="17"/>
      <c r="C3844" s="16" t="str">
        <f>IFERROR(VLOOKUP(DATA!#REF!,DATA!#REF!,1,FALSE),"")</f>
        <v/>
      </c>
      <c r="D3844" s="16" t="str">
        <f>IFERROR(VLOOKUP(C3844,DATA!#REF!,2,FALSE),"")</f>
        <v/>
      </c>
      <c r="I3844" s="17"/>
      <c r="J3844" s="17"/>
      <c r="P3844" s="17"/>
      <c r="Q3844" s="17"/>
    </row>
    <row r="3845" spans="2:17">
      <c r="B3845" s="17"/>
      <c r="C3845" s="16" t="str">
        <f>IFERROR(VLOOKUP(DATA!#REF!,DATA!#REF!,1,FALSE),"")</f>
        <v/>
      </c>
      <c r="D3845" s="16" t="str">
        <f>IFERROR(VLOOKUP(C3845,DATA!#REF!,2,FALSE),"")</f>
        <v/>
      </c>
      <c r="I3845" s="17"/>
      <c r="J3845" s="17"/>
      <c r="P3845" s="17"/>
      <c r="Q3845" s="17"/>
    </row>
    <row r="3846" spans="2:17">
      <c r="B3846" s="17"/>
      <c r="C3846" s="16" t="str">
        <f>IFERROR(VLOOKUP(DATA!#REF!,DATA!#REF!,1,FALSE),"")</f>
        <v/>
      </c>
      <c r="D3846" s="16" t="str">
        <f>IFERROR(VLOOKUP(C3846,DATA!#REF!,2,FALSE),"")</f>
        <v/>
      </c>
      <c r="I3846" s="17"/>
      <c r="J3846" s="17"/>
      <c r="P3846" s="17"/>
      <c r="Q3846" s="17"/>
    </row>
    <row r="3847" spans="2:17">
      <c r="B3847" s="17"/>
      <c r="C3847" s="16" t="str">
        <f>IFERROR(VLOOKUP(DATA!#REF!,DATA!#REF!,1,FALSE),"")</f>
        <v/>
      </c>
      <c r="D3847" s="16" t="str">
        <f>IFERROR(VLOOKUP(C3847,DATA!#REF!,2,FALSE),"")</f>
        <v/>
      </c>
      <c r="I3847" s="17"/>
      <c r="J3847" s="17"/>
      <c r="P3847" s="17"/>
      <c r="Q3847" s="17"/>
    </row>
    <row r="3848" spans="2:17">
      <c r="B3848" s="17"/>
      <c r="C3848" s="16" t="str">
        <f>IFERROR(VLOOKUP(DATA!#REF!,DATA!#REF!,1,FALSE),"")</f>
        <v/>
      </c>
      <c r="D3848" s="16" t="str">
        <f>IFERROR(VLOOKUP(C3848,DATA!#REF!,2,FALSE),"")</f>
        <v/>
      </c>
      <c r="I3848" s="17"/>
      <c r="J3848" s="17"/>
      <c r="P3848" s="17"/>
      <c r="Q3848" s="17"/>
    </row>
    <row r="3849" spans="2:17">
      <c r="B3849" s="17"/>
      <c r="C3849" s="16" t="str">
        <f>IFERROR(VLOOKUP(DATA!#REF!,DATA!#REF!,1,FALSE),"")</f>
        <v/>
      </c>
      <c r="D3849" s="16" t="str">
        <f>IFERROR(VLOOKUP(C3849,DATA!#REF!,2,FALSE),"")</f>
        <v/>
      </c>
      <c r="I3849" s="17"/>
      <c r="J3849" s="17"/>
      <c r="P3849" s="17"/>
      <c r="Q3849" s="17"/>
    </row>
    <row r="3850" spans="2:17">
      <c r="B3850" s="17"/>
      <c r="C3850" s="16" t="str">
        <f>IFERROR(VLOOKUP(DATA!#REF!,DATA!#REF!,1,FALSE),"")</f>
        <v/>
      </c>
      <c r="D3850" s="16" t="str">
        <f>IFERROR(VLOOKUP(C3850,DATA!#REF!,2,FALSE),"")</f>
        <v/>
      </c>
      <c r="I3850" s="17"/>
      <c r="J3850" s="17"/>
      <c r="P3850" s="17"/>
      <c r="Q3850" s="17"/>
    </row>
    <row r="3851" spans="2:17">
      <c r="B3851" s="17"/>
      <c r="C3851" s="16" t="str">
        <f>IFERROR(VLOOKUP(DATA!#REF!,DATA!#REF!,1,FALSE),"")</f>
        <v/>
      </c>
      <c r="D3851" s="16" t="str">
        <f>IFERROR(VLOOKUP(C3851,DATA!#REF!,2,FALSE),"")</f>
        <v/>
      </c>
      <c r="I3851" s="17"/>
      <c r="J3851" s="17"/>
      <c r="P3851" s="17"/>
      <c r="Q3851" s="17"/>
    </row>
    <row r="3852" spans="2:17">
      <c r="B3852" s="17"/>
      <c r="C3852" s="16" t="str">
        <f>IFERROR(VLOOKUP(DATA!#REF!,DATA!#REF!,1,FALSE),"")</f>
        <v/>
      </c>
      <c r="D3852" s="16" t="str">
        <f>IFERROR(VLOOKUP(C3852,DATA!#REF!,2,FALSE),"")</f>
        <v/>
      </c>
      <c r="I3852" s="17"/>
      <c r="J3852" s="17"/>
      <c r="P3852" s="17"/>
      <c r="Q3852" s="17"/>
    </row>
    <row r="3853" spans="2:17">
      <c r="B3853" s="17"/>
      <c r="C3853" s="16" t="str">
        <f>IFERROR(VLOOKUP(DATA!#REF!,DATA!#REF!,1,FALSE),"")</f>
        <v/>
      </c>
      <c r="D3853" s="16" t="str">
        <f>IFERROR(VLOOKUP(C3853,DATA!#REF!,2,FALSE),"")</f>
        <v/>
      </c>
      <c r="I3853" s="17"/>
      <c r="J3853" s="17"/>
      <c r="P3853" s="17"/>
      <c r="Q3853" s="17"/>
    </row>
    <row r="3854" spans="2:17">
      <c r="B3854" s="17"/>
      <c r="C3854" s="16" t="str">
        <f>IFERROR(VLOOKUP(DATA!#REF!,DATA!#REF!,1,FALSE),"")</f>
        <v/>
      </c>
      <c r="D3854" s="16" t="str">
        <f>IFERROR(VLOOKUP(C3854,DATA!#REF!,2,FALSE),"")</f>
        <v/>
      </c>
      <c r="I3854" s="17"/>
      <c r="J3854" s="17"/>
      <c r="P3854" s="17"/>
      <c r="Q3854" s="17"/>
    </row>
    <row r="3855" spans="2:17">
      <c r="B3855" s="17"/>
      <c r="C3855" s="16" t="str">
        <f>IFERROR(VLOOKUP(DATA!#REF!,DATA!#REF!,1,FALSE),"")</f>
        <v/>
      </c>
      <c r="D3855" s="16" t="str">
        <f>IFERROR(VLOOKUP(C3855,DATA!#REF!,2,FALSE),"")</f>
        <v/>
      </c>
      <c r="I3855" s="17"/>
      <c r="J3855" s="17"/>
      <c r="P3855" s="17"/>
      <c r="Q3855" s="17"/>
    </row>
    <row r="3856" spans="2:17">
      <c r="B3856" s="17"/>
      <c r="C3856" s="16" t="str">
        <f>IFERROR(VLOOKUP(DATA!#REF!,DATA!#REF!,1,FALSE),"")</f>
        <v/>
      </c>
      <c r="D3856" s="16" t="str">
        <f>IFERROR(VLOOKUP(C3856,DATA!#REF!,2,FALSE),"")</f>
        <v/>
      </c>
      <c r="I3856" s="17"/>
      <c r="J3856" s="17"/>
      <c r="P3856" s="17"/>
      <c r="Q3856" s="17"/>
    </row>
    <row r="3857" spans="2:17">
      <c r="B3857" s="17"/>
      <c r="C3857" s="16" t="str">
        <f>IFERROR(VLOOKUP(DATA!#REF!,DATA!#REF!,1,FALSE),"")</f>
        <v/>
      </c>
      <c r="D3857" s="16" t="str">
        <f>IFERROR(VLOOKUP(C3857,DATA!#REF!,2,FALSE),"")</f>
        <v/>
      </c>
      <c r="I3857" s="17"/>
      <c r="J3857" s="17"/>
      <c r="P3857" s="17"/>
      <c r="Q3857" s="17"/>
    </row>
    <row r="3858" spans="2:17">
      <c r="B3858" s="17"/>
      <c r="C3858" s="16" t="str">
        <f>IFERROR(VLOOKUP(DATA!#REF!,DATA!#REF!,1,FALSE),"")</f>
        <v/>
      </c>
      <c r="D3858" s="16" t="str">
        <f>IFERROR(VLOOKUP(C3858,DATA!#REF!,2,FALSE),"")</f>
        <v/>
      </c>
      <c r="I3858" s="17"/>
      <c r="J3858" s="17"/>
      <c r="P3858" s="17"/>
      <c r="Q3858" s="17"/>
    </row>
    <row r="3859" spans="2:17">
      <c r="B3859" s="17"/>
      <c r="C3859" s="16" t="str">
        <f>IFERROR(VLOOKUP(DATA!#REF!,DATA!#REF!,1,FALSE),"")</f>
        <v/>
      </c>
      <c r="D3859" s="16" t="str">
        <f>IFERROR(VLOOKUP(C3859,DATA!#REF!,2,FALSE),"")</f>
        <v/>
      </c>
      <c r="I3859" s="17"/>
      <c r="J3859" s="17"/>
      <c r="P3859" s="17"/>
      <c r="Q3859" s="17"/>
    </row>
    <row r="3860" spans="2:17">
      <c r="B3860" s="17"/>
      <c r="C3860" s="16" t="str">
        <f>IFERROR(VLOOKUP(DATA!#REF!,DATA!#REF!,1,FALSE),"")</f>
        <v/>
      </c>
      <c r="D3860" s="16" t="str">
        <f>IFERROR(VLOOKUP(C3860,DATA!#REF!,2,FALSE),"")</f>
        <v/>
      </c>
      <c r="I3860" s="17"/>
      <c r="J3860" s="17"/>
      <c r="P3860" s="17"/>
      <c r="Q3860" s="17"/>
    </row>
    <row r="3861" spans="2:17">
      <c r="B3861" s="17"/>
      <c r="C3861" s="16" t="str">
        <f>IFERROR(VLOOKUP(DATA!#REF!,DATA!#REF!,1,FALSE),"")</f>
        <v/>
      </c>
      <c r="D3861" s="16" t="str">
        <f>IFERROR(VLOOKUP(C3861,DATA!#REF!,2,FALSE),"")</f>
        <v/>
      </c>
      <c r="I3861" s="17"/>
      <c r="J3861" s="17"/>
      <c r="P3861" s="17"/>
      <c r="Q3861" s="17"/>
    </row>
    <row r="3862" spans="2:17">
      <c r="B3862" s="17"/>
      <c r="C3862" s="16" t="str">
        <f>IFERROR(VLOOKUP(DATA!#REF!,DATA!#REF!,1,FALSE),"")</f>
        <v/>
      </c>
      <c r="D3862" s="16" t="str">
        <f>IFERROR(VLOOKUP(C3862,DATA!#REF!,2,FALSE),"")</f>
        <v/>
      </c>
      <c r="I3862" s="17"/>
      <c r="J3862" s="17"/>
      <c r="P3862" s="17"/>
      <c r="Q3862" s="17"/>
    </row>
    <row r="3863" spans="2:17">
      <c r="B3863" s="17"/>
      <c r="C3863" s="16" t="str">
        <f>IFERROR(VLOOKUP(DATA!#REF!,DATA!#REF!,1,FALSE),"")</f>
        <v/>
      </c>
      <c r="D3863" s="16" t="str">
        <f>IFERROR(VLOOKUP(C3863,DATA!#REF!,2,FALSE),"")</f>
        <v/>
      </c>
      <c r="I3863" s="17"/>
      <c r="J3863" s="17"/>
      <c r="P3863" s="17"/>
      <c r="Q3863" s="17"/>
    </row>
    <row r="3864" spans="2:17">
      <c r="B3864" s="17"/>
      <c r="C3864" s="16" t="str">
        <f>IFERROR(VLOOKUP(DATA!#REF!,DATA!#REF!,1,FALSE),"")</f>
        <v/>
      </c>
      <c r="D3864" s="16" t="str">
        <f>IFERROR(VLOOKUP(C3864,DATA!#REF!,2,FALSE),"")</f>
        <v/>
      </c>
      <c r="I3864" s="17"/>
      <c r="J3864" s="17"/>
      <c r="P3864" s="17"/>
      <c r="Q3864" s="17"/>
    </row>
    <row r="3865" spans="2:17">
      <c r="B3865" s="17"/>
      <c r="C3865" s="16" t="str">
        <f>IFERROR(VLOOKUP(DATA!#REF!,DATA!#REF!,1,FALSE),"")</f>
        <v/>
      </c>
      <c r="D3865" s="16" t="str">
        <f>IFERROR(VLOOKUP(C3865,DATA!#REF!,2,FALSE),"")</f>
        <v/>
      </c>
      <c r="I3865" s="17"/>
      <c r="J3865" s="17"/>
      <c r="P3865" s="17"/>
      <c r="Q3865" s="17"/>
    </row>
    <row r="3866" spans="2:17">
      <c r="B3866" s="17"/>
      <c r="C3866" s="16" t="str">
        <f>IFERROR(VLOOKUP(DATA!#REF!,DATA!#REF!,1,FALSE),"")</f>
        <v/>
      </c>
      <c r="D3866" s="16" t="str">
        <f>IFERROR(VLOOKUP(C3866,DATA!#REF!,2,FALSE),"")</f>
        <v/>
      </c>
      <c r="I3866" s="17"/>
      <c r="J3866" s="17"/>
      <c r="P3866" s="17"/>
      <c r="Q3866" s="17"/>
    </row>
    <row r="3867" spans="2:17">
      <c r="B3867" s="17"/>
      <c r="C3867" s="16" t="str">
        <f>IFERROR(VLOOKUP(DATA!#REF!,DATA!#REF!,1,FALSE),"")</f>
        <v/>
      </c>
      <c r="D3867" s="16" t="str">
        <f>IFERROR(VLOOKUP(C3867,DATA!#REF!,2,FALSE),"")</f>
        <v/>
      </c>
      <c r="I3867" s="17"/>
      <c r="J3867" s="17"/>
      <c r="P3867" s="17"/>
      <c r="Q3867" s="17"/>
    </row>
    <row r="3868" spans="2:17">
      <c r="B3868" s="17"/>
      <c r="C3868" s="16" t="str">
        <f>IFERROR(VLOOKUP(DATA!#REF!,DATA!#REF!,1,FALSE),"")</f>
        <v/>
      </c>
      <c r="D3868" s="16" t="str">
        <f>IFERROR(VLOOKUP(C3868,DATA!#REF!,2,FALSE),"")</f>
        <v/>
      </c>
      <c r="I3868" s="17"/>
      <c r="J3868" s="17"/>
      <c r="P3868" s="17"/>
      <c r="Q3868" s="17"/>
    </row>
    <row r="3869" spans="2:17">
      <c r="B3869" s="17"/>
      <c r="C3869" s="16" t="str">
        <f>IFERROR(VLOOKUP(DATA!#REF!,DATA!#REF!,1,FALSE),"")</f>
        <v/>
      </c>
      <c r="D3869" s="16" t="str">
        <f>IFERROR(VLOOKUP(C3869,DATA!#REF!,2,FALSE),"")</f>
        <v/>
      </c>
      <c r="I3869" s="17"/>
      <c r="J3869" s="17"/>
      <c r="P3869" s="17"/>
      <c r="Q3869" s="17"/>
    </row>
    <row r="3870" spans="2:17">
      <c r="B3870" s="17"/>
      <c r="C3870" s="16" t="str">
        <f>IFERROR(VLOOKUP(DATA!#REF!,DATA!#REF!,1,FALSE),"")</f>
        <v/>
      </c>
      <c r="D3870" s="16" t="str">
        <f>IFERROR(VLOOKUP(C3870,DATA!#REF!,2,FALSE),"")</f>
        <v/>
      </c>
      <c r="I3870" s="17"/>
      <c r="J3870" s="17"/>
      <c r="P3870" s="17"/>
      <c r="Q3870" s="17"/>
    </row>
    <row r="3871" spans="2:17">
      <c r="B3871" s="17"/>
      <c r="C3871" s="16" t="str">
        <f>IFERROR(VLOOKUP(DATA!#REF!,DATA!#REF!,1,FALSE),"")</f>
        <v/>
      </c>
      <c r="D3871" s="16" t="str">
        <f>IFERROR(VLOOKUP(C3871,DATA!#REF!,2,FALSE),"")</f>
        <v/>
      </c>
      <c r="I3871" s="17"/>
      <c r="J3871" s="17"/>
      <c r="P3871" s="17"/>
      <c r="Q3871" s="17"/>
    </row>
    <row r="3872" spans="2:17">
      <c r="B3872" s="17"/>
      <c r="C3872" s="16" t="str">
        <f>IFERROR(VLOOKUP(DATA!#REF!,DATA!#REF!,1,FALSE),"")</f>
        <v/>
      </c>
      <c r="D3872" s="16" t="str">
        <f>IFERROR(VLOOKUP(C3872,DATA!#REF!,2,FALSE),"")</f>
        <v/>
      </c>
      <c r="I3872" s="17"/>
      <c r="J3872" s="17"/>
      <c r="P3872" s="17"/>
      <c r="Q3872" s="17"/>
    </row>
    <row r="3873" spans="2:17">
      <c r="B3873" s="17"/>
      <c r="C3873" s="16" t="str">
        <f>IFERROR(VLOOKUP(DATA!#REF!,DATA!#REF!,1,FALSE),"")</f>
        <v/>
      </c>
      <c r="D3873" s="16" t="str">
        <f>IFERROR(VLOOKUP(C3873,DATA!#REF!,2,FALSE),"")</f>
        <v/>
      </c>
      <c r="I3873" s="17"/>
      <c r="J3873" s="17"/>
      <c r="P3873" s="17"/>
      <c r="Q3873" s="17"/>
    </row>
    <row r="3874" spans="2:17">
      <c r="B3874" s="17"/>
      <c r="C3874" s="16" t="str">
        <f>IFERROR(VLOOKUP(DATA!#REF!,DATA!#REF!,1,FALSE),"")</f>
        <v/>
      </c>
      <c r="D3874" s="16" t="str">
        <f>IFERROR(VLOOKUP(C3874,DATA!#REF!,2,FALSE),"")</f>
        <v/>
      </c>
      <c r="I3874" s="17"/>
      <c r="J3874" s="17"/>
      <c r="P3874" s="17"/>
      <c r="Q3874" s="17"/>
    </row>
    <row r="3875" spans="2:17">
      <c r="B3875" s="17"/>
      <c r="C3875" s="16" t="str">
        <f>IFERROR(VLOOKUP(DATA!#REF!,DATA!#REF!,1,FALSE),"")</f>
        <v/>
      </c>
      <c r="D3875" s="16" t="str">
        <f>IFERROR(VLOOKUP(C3875,DATA!#REF!,2,FALSE),"")</f>
        <v/>
      </c>
      <c r="I3875" s="17"/>
      <c r="J3875" s="17"/>
      <c r="P3875" s="17"/>
      <c r="Q3875" s="17"/>
    </row>
    <row r="3876" spans="2:17">
      <c r="B3876" s="17"/>
      <c r="C3876" s="16" t="str">
        <f>IFERROR(VLOOKUP(DATA!#REF!,DATA!#REF!,1,FALSE),"")</f>
        <v/>
      </c>
      <c r="D3876" s="16" t="str">
        <f>IFERROR(VLOOKUP(C3876,DATA!#REF!,2,FALSE),"")</f>
        <v/>
      </c>
      <c r="I3876" s="17"/>
      <c r="J3876" s="17"/>
      <c r="P3876" s="17"/>
      <c r="Q3876" s="17"/>
    </row>
    <row r="3877" spans="2:17">
      <c r="B3877" s="17"/>
      <c r="C3877" s="16" t="str">
        <f>IFERROR(VLOOKUP(DATA!#REF!,DATA!#REF!,1,FALSE),"")</f>
        <v/>
      </c>
      <c r="D3877" s="16" t="str">
        <f>IFERROR(VLOOKUP(C3877,DATA!#REF!,2,FALSE),"")</f>
        <v/>
      </c>
      <c r="I3877" s="17"/>
      <c r="J3877" s="17"/>
      <c r="P3877" s="17"/>
      <c r="Q3877" s="17"/>
    </row>
    <row r="3878" spans="2:17">
      <c r="B3878" s="17"/>
      <c r="C3878" s="16" t="str">
        <f>IFERROR(VLOOKUP(DATA!#REF!,DATA!#REF!,1,FALSE),"")</f>
        <v/>
      </c>
      <c r="D3878" s="16" t="str">
        <f>IFERROR(VLOOKUP(C3878,DATA!#REF!,2,FALSE),"")</f>
        <v/>
      </c>
      <c r="I3878" s="17"/>
      <c r="J3878" s="17"/>
      <c r="P3878" s="17"/>
      <c r="Q3878" s="17"/>
    </row>
    <row r="3879" spans="2:17">
      <c r="B3879" s="17"/>
      <c r="C3879" s="16" t="str">
        <f>IFERROR(VLOOKUP(DATA!#REF!,DATA!#REF!,1,FALSE),"")</f>
        <v/>
      </c>
      <c r="D3879" s="16" t="str">
        <f>IFERROR(VLOOKUP(C3879,DATA!#REF!,2,FALSE),"")</f>
        <v/>
      </c>
      <c r="I3879" s="17"/>
      <c r="J3879" s="17"/>
      <c r="P3879" s="17"/>
      <c r="Q3879" s="17"/>
    </row>
    <row r="3880" spans="2:17">
      <c r="B3880" s="17"/>
      <c r="C3880" s="16" t="str">
        <f>IFERROR(VLOOKUP(DATA!#REF!,DATA!#REF!,1,FALSE),"")</f>
        <v/>
      </c>
      <c r="D3880" s="16" t="str">
        <f>IFERROR(VLOOKUP(C3880,DATA!#REF!,2,FALSE),"")</f>
        <v/>
      </c>
      <c r="I3880" s="17"/>
      <c r="J3880" s="17"/>
      <c r="P3880" s="17"/>
      <c r="Q3880" s="17"/>
    </row>
    <row r="3881" spans="2:17">
      <c r="B3881" s="17"/>
      <c r="C3881" s="16" t="str">
        <f>IFERROR(VLOOKUP(DATA!#REF!,DATA!#REF!,1,FALSE),"")</f>
        <v/>
      </c>
      <c r="D3881" s="16" t="str">
        <f>IFERROR(VLOOKUP(C3881,DATA!#REF!,2,FALSE),"")</f>
        <v/>
      </c>
      <c r="I3881" s="17"/>
      <c r="J3881" s="17"/>
      <c r="P3881" s="17"/>
      <c r="Q3881" s="17"/>
    </row>
    <row r="3882" spans="2:17">
      <c r="B3882" s="17"/>
      <c r="C3882" s="16" t="str">
        <f>IFERROR(VLOOKUP(DATA!#REF!,DATA!#REF!,1,FALSE),"")</f>
        <v/>
      </c>
      <c r="D3882" s="16" t="str">
        <f>IFERROR(VLOOKUP(C3882,DATA!#REF!,2,FALSE),"")</f>
        <v/>
      </c>
      <c r="I3882" s="17"/>
      <c r="J3882" s="17"/>
      <c r="P3882" s="17"/>
      <c r="Q3882" s="17"/>
    </row>
    <row r="3883" spans="2:17">
      <c r="B3883" s="17"/>
      <c r="C3883" s="16" t="str">
        <f>IFERROR(VLOOKUP(DATA!#REF!,DATA!#REF!,1,FALSE),"")</f>
        <v/>
      </c>
      <c r="D3883" s="16" t="str">
        <f>IFERROR(VLOOKUP(C3883,DATA!#REF!,2,FALSE),"")</f>
        <v/>
      </c>
      <c r="I3883" s="17"/>
      <c r="J3883" s="17"/>
      <c r="P3883" s="17"/>
      <c r="Q3883" s="17"/>
    </row>
    <row r="3884" spans="2:17">
      <c r="B3884" s="17"/>
      <c r="C3884" s="16" t="str">
        <f>IFERROR(VLOOKUP(DATA!#REF!,DATA!#REF!,1,FALSE),"")</f>
        <v/>
      </c>
      <c r="D3884" s="16" t="str">
        <f>IFERROR(VLOOKUP(C3884,DATA!#REF!,2,FALSE),"")</f>
        <v/>
      </c>
      <c r="I3884" s="17"/>
      <c r="J3884" s="17"/>
      <c r="P3884" s="17"/>
      <c r="Q3884" s="17"/>
    </row>
    <row r="3885" spans="2:17">
      <c r="B3885" s="17"/>
      <c r="C3885" s="16" t="str">
        <f>IFERROR(VLOOKUP(DATA!#REF!,DATA!#REF!,1,FALSE),"")</f>
        <v/>
      </c>
      <c r="D3885" s="16" t="str">
        <f>IFERROR(VLOOKUP(C3885,DATA!#REF!,2,FALSE),"")</f>
        <v/>
      </c>
      <c r="I3885" s="17"/>
      <c r="J3885" s="17"/>
      <c r="P3885" s="17"/>
      <c r="Q3885" s="17"/>
    </row>
    <row r="3886" spans="2:17">
      <c r="B3886" s="17"/>
      <c r="C3886" s="16" t="str">
        <f>IFERROR(VLOOKUP(DATA!#REF!,DATA!#REF!,1,FALSE),"")</f>
        <v/>
      </c>
      <c r="D3886" s="16" t="str">
        <f>IFERROR(VLOOKUP(C3886,DATA!#REF!,2,FALSE),"")</f>
        <v/>
      </c>
      <c r="I3886" s="17"/>
      <c r="J3886" s="17"/>
      <c r="P3886" s="17"/>
      <c r="Q3886" s="17"/>
    </row>
    <row r="3887" spans="2:17">
      <c r="B3887" s="17"/>
      <c r="C3887" s="16" t="str">
        <f>IFERROR(VLOOKUP(DATA!#REF!,DATA!#REF!,1,FALSE),"")</f>
        <v/>
      </c>
      <c r="D3887" s="16" t="str">
        <f>IFERROR(VLOOKUP(C3887,DATA!#REF!,2,FALSE),"")</f>
        <v/>
      </c>
      <c r="I3887" s="17"/>
      <c r="J3887" s="17"/>
      <c r="P3887" s="17"/>
      <c r="Q3887" s="17"/>
    </row>
    <row r="3888" spans="2:17">
      <c r="B3888" s="17"/>
      <c r="C3888" s="16" t="str">
        <f>IFERROR(VLOOKUP(DATA!#REF!,DATA!#REF!,1,FALSE),"")</f>
        <v/>
      </c>
      <c r="D3888" s="16" t="str">
        <f>IFERROR(VLOOKUP(C3888,DATA!#REF!,2,FALSE),"")</f>
        <v/>
      </c>
      <c r="I3888" s="17"/>
      <c r="J3888" s="17"/>
      <c r="P3888" s="17"/>
      <c r="Q3888" s="17"/>
    </row>
    <row r="3889" spans="2:17">
      <c r="B3889" s="17"/>
      <c r="C3889" s="16" t="str">
        <f>IFERROR(VLOOKUP(DATA!#REF!,DATA!#REF!,1,FALSE),"")</f>
        <v/>
      </c>
      <c r="D3889" s="16" t="str">
        <f>IFERROR(VLOOKUP(C3889,DATA!#REF!,2,FALSE),"")</f>
        <v/>
      </c>
      <c r="I3889" s="17"/>
      <c r="J3889" s="17"/>
      <c r="P3889" s="17"/>
      <c r="Q3889" s="17"/>
    </row>
    <row r="3890" spans="2:17">
      <c r="B3890" s="17"/>
      <c r="C3890" s="16" t="str">
        <f>IFERROR(VLOOKUP(DATA!#REF!,DATA!#REF!,1,FALSE),"")</f>
        <v/>
      </c>
      <c r="D3890" s="16" t="str">
        <f>IFERROR(VLOOKUP(C3890,DATA!#REF!,2,FALSE),"")</f>
        <v/>
      </c>
      <c r="I3890" s="17"/>
      <c r="J3890" s="17"/>
      <c r="P3890" s="17"/>
      <c r="Q3890" s="17"/>
    </row>
    <row r="3891" spans="2:17">
      <c r="B3891" s="17"/>
      <c r="C3891" s="16" t="str">
        <f>IFERROR(VLOOKUP(DATA!#REF!,DATA!#REF!,1,FALSE),"")</f>
        <v/>
      </c>
      <c r="D3891" s="16" t="str">
        <f>IFERROR(VLOOKUP(C3891,DATA!#REF!,2,FALSE),"")</f>
        <v/>
      </c>
      <c r="I3891" s="17"/>
      <c r="J3891" s="17"/>
      <c r="P3891" s="17"/>
      <c r="Q3891" s="17"/>
    </row>
    <row r="3892" spans="2:17">
      <c r="B3892" s="17"/>
      <c r="C3892" s="16" t="str">
        <f>IFERROR(VLOOKUP(DATA!#REF!,DATA!#REF!,1,FALSE),"")</f>
        <v/>
      </c>
      <c r="D3892" s="16" t="str">
        <f>IFERROR(VLOOKUP(C3892,DATA!#REF!,2,FALSE),"")</f>
        <v/>
      </c>
      <c r="I3892" s="17"/>
      <c r="J3892" s="17"/>
      <c r="P3892" s="17"/>
      <c r="Q3892" s="17"/>
    </row>
    <row r="3893" spans="2:17">
      <c r="B3893" s="17"/>
      <c r="C3893" s="16" t="str">
        <f>IFERROR(VLOOKUP(DATA!#REF!,DATA!#REF!,1,FALSE),"")</f>
        <v/>
      </c>
      <c r="D3893" s="16" t="str">
        <f>IFERROR(VLOOKUP(C3893,DATA!#REF!,2,FALSE),"")</f>
        <v/>
      </c>
      <c r="I3893" s="17"/>
      <c r="J3893" s="17"/>
      <c r="P3893" s="17"/>
      <c r="Q3893" s="17"/>
    </row>
    <row r="3894" spans="2:17">
      <c r="B3894" s="17"/>
      <c r="C3894" s="16" t="str">
        <f>IFERROR(VLOOKUP(DATA!#REF!,DATA!#REF!,1,FALSE),"")</f>
        <v/>
      </c>
      <c r="D3894" s="16" t="str">
        <f>IFERROR(VLOOKUP(C3894,DATA!#REF!,2,FALSE),"")</f>
        <v/>
      </c>
      <c r="I3894" s="17"/>
      <c r="J3894" s="17"/>
      <c r="P3894" s="17"/>
      <c r="Q3894" s="17"/>
    </row>
    <row r="3895" spans="2:17">
      <c r="B3895" s="17"/>
      <c r="C3895" s="16" t="str">
        <f>IFERROR(VLOOKUP(DATA!#REF!,DATA!#REF!,1,FALSE),"")</f>
        <v/>
      </c>
      <c r="D3895" s="16" t="str">
        <f>IFERROR(VLOOKUP(C3895,DATA!#REF!,2,FALSE),"")</f>
        <v/>
      </c>
      <c r="I3895" s="17"/>
      <c r="J3895" s="17"/>
      <c r="P3895" s="17"/>
      <c r="Q3895" s="17"/>
    </row>
    <row r="3896" spans="2:17">
      <c r="B3896" s="17"/>
      <c r="C3896" s="16" t="str">
        <f>IFERROR(VLOOKUP(DATA!#REF!,DATA!#REF!,1,FALSE),"")</f>
        <v/>
      </c>
      <c r="D3896" s="16" t="str">
        <f>IFERROR(VLOOKUP(C3896,DATA!#REF!,2,FALSE),"")</f>
        <v/>
      </c>
      <c r="I3896" s="17"/>
      <c r="J3896" s="17"/>
      <c r="P3896" s="17"/>
      <c r="Q3896" s="17"/>
    </row>
    <row r="3897" spans="2:17">
      <c r="B3897" s="17"/>
      <c r="C3897" s="16" t="str">
        <f>IFERROR(VLOOKUP(DATA!#REF!,DATA!#REF!,1,FALSE),"")</f>
        <v/>
      </c>
      <c r="D3897" s="16" t="str">
        <f>IFERROR(VLOOKUP(C3897,DATA!#REF!,2,FALSE),"")</f>
        <v/>
      </c>
      <c r="I3897" s="17"/>
      <c r="J3897" s="17"/>
      <c r="P3897" s="17"/>
      <c r="Q3897" s="17"/>
    </row>
    <row r="3898" spans="2:17">
      <c r="B3898" s="17"/>
      <c r="C3898" s="16" t="str">
        <f>IFERROR(VLOOKUP(DATA!#REF!,DATA!#REF!,1,FALSE),"")</f>
        <v/>
      </c>
      <c r="D3898" s="16" t="str">
        <f>IFERROR(VLOOKUP(C3898,DATA!#REF!,2,FALSE),"")</f>
        <v/>
      </c>
      <c r="I3898" s="17"/>
      <c r="J3898" s="17"/>
      <c r="P3898" s="17"/>
      <c r="Q3898" s="17"/>
    </row>
    <row r="3899" spans="2:17">
      <c r="B3899" s="17"/>
      <c r="C3899" s="16" t="str">
        <f>IFERROR(VLOOKUP(DATA!#REF!,DATA!#REF!,1,FALSE),"")</f>
        <v/>
      </c>
      <c r="D3899" s="16" t="str">
        <f>IFERROR(VLOOKUP(C3899,DATA!#REF!,2,FALSE),"")</f>
        <v/>
      </c>
      <c r="I3899" s="17"/>
      <c r="J3899" s="17"/>
      <c r="P3899" s="17"/>
      <c r="Q3899" s="17"/>
    </row>
    <row r="3900" spans="2:17">
      <c r="B3900" s="17"/>
      <c r="C3900" s="16" t="str">
        <f>IFERROR(VLOOKUP(DATA!#REF!,DATA!#REF!,1,FALSE),"")</f>
        <v/>
      </c>
      <c r="D3900" s="16" t="str">
        <f>IFERROR(VLOOKUP(C3900,DATA!#REF!,2,FALSE),"")</f>
        <v/>
      </c>
      <c r="I3900" s="17"/>
      <c r="J3900" s="17"/>
      <c r="P3900" s="17"/>
      <c r="Q3900" s="17"/>
    </row>
    <row r="3901" spans="2:17">
      <c r="B3901" s="17"/>
      <c r="C3901" s="16" t="str">
        <f>IFERROR(VLOOKUP(DATA!#REF!,DATA!#REF!,1,FALSE),"")</f>
        <v/>
      </c>
      <c r="D3901" s="16" t="str">
        <f>IFERROR(VLOOKUP(C3901,DATA!#REF!,2,FALSE),"")</f>
        <v/>
      </c>
      <c r="I3901" s="17"/>
      <c r="J3901" s="17"/>
      <c r="P3901" s="17"/>
      <c r="Q3901" s="17"/>
    </row>
    <row r="3902" spans="2:17">
      <c r="B3902" s="17"/>
      <c r="C3902" s="16" t="str">
        <f>IFERROR(VLOOKUP(DATA!#REF!,DATA!#REF!,1,FALSE),"")</f>
        <v/>
      </c>
      <c r="D3902" s="16" t="str">
        <f>IFERROR(VLOOKUP(C3902,DATA!#REF!,2,FALSE),"")</f>
        <v/>
      </c>
      <c r="I3902" s="17"/>
      <c r="J3902" s="17"/>
      <c r="P3902" s="17"/>
      <c r="Q3902" s="17"/>
    </row>
    <row r="3903" spans="2:17">
      <c r="B3903" s="17"/>
      <c r="C3903" s="16" t="str">
        <f>IFERROR(VLOOKUP(DATA!#REF!,DATA!#REF!,1,FALSE),"")</f>
        <v/>
      </c>
      <c r="D3903" s="16" t="str">
        <f>IFERROR(VLOOKUP(C3903,DATA!#REF!,2,FALSE),"")</f>
        <v/>
      </c>
      <c r="I3903" s="17"/>
      <c r="J3903" s="17"/>
      <c r="P3903" s="17"/>
      <c r="Q3903" s="17"/>
    </row>
    <row r="3904" spans="2:17">
      <c r="B3904" s="17"/>
      <c r="C3904" s="16" t="str">
        <f>IFERROR(VLOOKUP(DATA!#REF!,DATA!#REF!,1,FALSE),"")</f>
        <v/>
      </c>
      <c r="D3904" s="16" t="str">
        <f>IFERROR(VLOOKUP(C3904,DATA!#REF!,2,FALSE),"")</f>
        <v/>
      </c>
      <c r="I3904" s="17"/>
      <c r="J3904" s="17"/>
      <c r="P3904" s="17"/>
      <c r="Q3904" s="17"/>
    </row>
    <row r="3905" spans="2:17">
      <c r="B3905" s="17"/>
      <c r="C3905" s="16" t="str">
        <f>IFERROR(VLOOKUP(DATA!#REF!,DATA!#REF!,1,FALSE),"")</f>
        <v/>
      </c>
      <c r="D3905" s="16" t="str">
        <f>IFERROR(VLOOKUP(C3905,DATA!#REF!,2,FALSE),"")</f>
        <v/>
      </c>
      <c r="I3905" s="17"/>
      <c r="J3905" s="17"/>
      <c r="P3905" s="17"/>
      <c r="Q3905" s="17"/>
    </row>
    <row r="3906" spans="2:17">
      <c r="B3906" s="17"/>
      <c r="C3906" s="16" t="str">
        <f>IFERROR(VLOOKUP(DATA!#REF!,DATA!#REF!,1,FALSE),"")</f>
        <v/>
      </c>
      <c r="D3906" s="16" t="str">
        <f>IFERROR(VLOOKUP(C3906,DATA!#REF!,2,FALSE),"")</f>
        <v/>
      </c>
      <c r="I3906" s="17"/>
      <c r="J3906" s="17"/>
      <c r="P3906" s="17"/>
      <c r="Q3906" s="17"/>
    </row>
    <row r="3907" spans="2:17">
      <c r="B3907" s="17"/>
      <c r="C3907" s="16" t="str">
        <f>IFERROR(VLOOKUP(DATA!#REF!,DATA!#REF!,1,FALSE),"")</f>
        <v/>
      </c>
      <c r="D3907" s="16" t="str">
        <f>IFERROR(VLOOKUP(C3907,DATA!#REF!,2,FALSE),"")</f>
        <v/>
      </c>
      <c r="I3907" s="17"/>
      <c r="J3907" s="17"/>
      <c r="P3907" s="17"/>
      <c r="Q3907" s="17"/>
    </row>
    <row r="3908" spans="2:17">
      <c r="B3908" s="17"/>
      <c r="C3908" s="16" t="str">
        <f>IFERROR(VLOOKUP(DATA!#REF!,DATA!#REF!,1,FALSE),"")</f>
        <v/>
      </c>
      <c r="D3908" s="16" t="str">
        <f>IFERROR(VLOOKUP(C3908,DATA!#REF!,2,FALSE),"")</f>
        <v/>
      </c>
      <c r="I3908" s="17"/>
      <c r="J3908" s="17"/>
      <c r="P3908" s="17"/>
      <c r="Q3908" s="17"/>
    </row>
    <row r="3909" spans="2:17">
      <c r="B3909" s="17"/>
      <c r="C3909" s="16" t="str">
        <f>IFERROR(VLOOKUP(DATA!#REF!,DATA!#REF!,1,FALSE),"")</f>
        <v/>
      </c>
      <c r="D3909" s="16" t="str">
        <f>IFERROR(VLOOKUP(C3909,DATA!#REF!,2,FALSE),"")</f>
        <v/>
      </c>
      <c r="I3909" s="17"/>
      <c r="J3909" s="17"/>
      <c r="P3909" s="17"/>
      <c r="Q3909" s="17"/>
    </row>
    <row r="3910" spans="2:17">
      <c r="B3910" s="17"/>
      <c r="C3910" s="16" t="str">
        <f>IFERROR(VLOOKUP(DATA!#REF!,DATA!#REF!,1,FALSE),"")</f>
        <v/>
      </c>
      <c r="D3910" s="16" t="str">
        <f>IFERROR(VLOOKUP(C3910,DATA!#REF!,2,FALSE),"")</f>
        <v/>
      </c>
      <c r="I3910" s="17"/>
      <c r="J3910" s="17"/>
      <c r="P3910" s="17"/>
      <c r="Q3910" s="17"/>
    </row>
    <row r="3911" spans="2:17">
      <c r="B3911" s="17"/>
      <c r="C3911" s="16" t="str">
        <f>IFERROR(VLOOKUP(DATA!#REF!,DATA!#REF!,1,FALSE),"")</f>
        <v/>
      </c>
      <c r="D3911" s="16" t="str">
        <f>IFERROR(VLOOKUP(C3911,DATA!#REF!,2,FALSE),"")</f>
        <v/>
      </c>
      <c r="I3911" s="17"/>
      <c r="J3911" s="17"/>
      <c r="P3911" s="17"/>
      <c r="Q3911" s="17"/>
    </row>
    <row r="3912" spans="2:17">
      <c r="B3912" s="17"/>
      <c r="C3912" s="16" t="str">
        <f>IFERROR(VLOOKUP(DATA!#REF!,DATA!#REF!,1,FALSE),"")</f>
        <v/>
      </c>
      <c r="D3912" s="16" t="str">
        <f>IFERROR(VLOOKUP(C3912,DATA!#REF!,2,FALSE),"")</f>
        <v/>
      </c>
      <c r="I3912" s="17"/>
      <c r="J3912" s="17"/>
      <c r="P3912" s="17"/>
      <c r="Q3912" s="17"/>
    </row>
    <row r="3913" spans="2:17">
      <c r="B3913" s="17"/>
      <c r="C3913" s="16" t="str">
        <f>IFERROR(VLOOKUP(DATA!#REF!,DATA!#REF!,1,FALSE),"")</f>
        <v/>
      </c>
      <c r="D3913" s="16" t="str">
        <f>IFERROR(VLOOKUP(C3913,DATA!#REF!,2,FALSE),"")</f>
        <v/>
      </c>
      <c r="I3913" s="17"/>
      <c r="J3913" s="17"/>
      <c r="P3913" s="17"/>
      <c r="Q3913" s="17"/>
    </row>
    <row r="3914" spans="2:17">
      <c r="B3914" s="17"/>
      <c r="C3914" s="16" t="str">
        <f>IFERROR(VLOOKUP(DATA!#REF!,DATA!#REF!,1,FALSE),"")</f>
        <v/>
      </c>
      <c r="D3914" s="16" t="str">
        <f>IFERROR(VLOOKUP(C3914,DATA!#REF!,2,FALSE),"")</f>
        <v/>
      </c>
      <c r="I3914" s="17"/>
      <c r="J3914" s="17"/>
      <c r="P3914" s="17"/>
      <c r="Q3914" s="17"/>
    </row>
    <row r="3915" spans="2:17">
      <c r="B3915" s="17"/>
      <c r="C3915" s="16" t="str">
        <f>IFERROR(VLOOKUP(DATA!#REF!,DATA!#REF!,1,FALSE),"")</f>
        <v/>
      </c>
      <c r="D3915" s="16" t="str">
        <f>IFERROR(VLOOKUP(C3915,DATA!#REF!,2,FALSE),"")</f>
        <v/>
      </c>
      <c r="I3915" s="17"/>
      <c r="J3915" s="17"/>
      <c r="P3915" s="17"/>
      <c r="Q3915" s="17"/>
    </row>
    <row r="3916" spans="2:17">
      <c r="B3916" s="17"/>
      <c r="C3916" s="16" t="str">
        <f>IFERROR(VLOOKUP(DATA!#REF!,DATA!#REF!,1,FALSE),"")</f>
        <v/>
      </c>
      <c r="D3916" s="16" t="str">
        <f>IFERROR(VLOOKUP(C3916,DATA!#REF!,2,FALSE),"")</f>
        <v/>
      </c>
      <c r="I3916" s="17"/>
      <c r="J3916" s="17"/>
      <c r="P3916" s="17"/>
      <c r="Q3916" s="17"/>
    </row>
    <row r="3917" spans="2:17">
      <c r="B3917" s="17"/>
      <c r="C3917" s="16" t="str">
        <f>IFERROR(VLOOKUP(DATA!#REF!,DATA!#REF!,1,FALSE),"")</f>
        <v/>
      </c>
      <c r="D3917" s="16" t="str">
        <f>IFERROR(VLOOKUP(C3917,DATA!#REF!,2,FALSE),"")</f>
        <v/>
      </c>
      <c r="I3917" s="17"/>
      <c r="J3917" s="17"/>
      <c r="P3917" s="17"/>
      <c r="Q3917" s="17"/>
    </row>
    <row r="3918" spans="2:17">
      <c r="B3918" s="17"/>
      <c r="C3918" s="16" t="str">
        <f>IFERROR(VLOOKUP(DATA!#REF!,DATA!#REF!,1,FALSE),"")</f>
        <v/>
      </c>
      <c r="D3918" s="16" t="str">
        <f>IFERROR(VLOOKUP(C3918,DATA!#REF!,2,FALSE),"")</f>
        <v/>
      </c>
      <c r="I3918" s="17"/>
      <c r="J3918" s="17"/>
      <c r="P3918" s="17"/>
      <c r="Q3918" s="17"/>
    </row>
    <row r="3919" spans="2:17">
      <c r="B3919" s="17"/>
      <c r="C3919" s="16" t="str">
        <f>IFERROR(VLOOKUP(DATA!#REF!,DATA!#REF!,1,FALSE),"")</f>
        <v/>
      </c>
      <c r="D3919" s="16" t="str">
        <f>IFERROR(VLOOKUP(C3919,DATA!#REF!,2,FALSE),"")</f>
        <v/>
      </c>
      <c r="I3919" s="17"/>
      <c r="J3919" s="17"/>
      <c r="P3919" s="17"/>
      <c r="Q3919" s="17"/>
    </row>
    <row r="3920" spans="2:17">
      <c r="B3920" s="17"/>
      <c r="C3920" s="16" t="str">
        <f>IFERROR(VLOOKUP(DATA!#REF!,DATA!#REF!,1,FALSE),"")</f>
        <v/>
      </c>
      <c r="D3920" s="16" t="str">
        <f>IFERROR(VLOOKUP(C3920,DATA!#REF!,2,FALSE),"")</f>
        <v/>
      </c>
      <c r="I3920" s="17"/>
      <c r="J3920" s="17"/>
      <c r="P3920" s="17"/>
      <c r="Q3920" s="17"/>
    </row>
    <row r="3921" spans="2:17">
      <c r="B3921" s="17"/>
      <c r="C3921" s="16" t="str">
        <f>IFERROR(VLOOKUP(DATA!#REF!,DATA!#REF!,1,FALSE),"")</f>
        <v/>
      </c>
      <c r="D3921" s="16" t="str">
        <f>IFERROR(VLOOKUP(C3921,DATA!#REF!,2,FALSE),"")</f>
        <v/>
      </c>
      <c r="I3921" s="17"/>
      <c r="J3921" s="17"/>
      <c r="P3921" s="17"/>
      <c r="Q3921" s="17"/>
    </row>
    <row r="3922" spans="2:17">
      <c r="B3922" s="17"/>
      <c r="C3922" s="16" t="str">
        <f>IFERROR(VLOOKUP(DATA!#REF!,DATA!#REF!,1,FALSE),"")</f>
        <v/>
      </c>
      <c r="D3922" s="16" t="str">
        <f>IFERROR(VLOOKUP(C3922,DATA!#REF!,2,FALSE),"")</f>
        <v/>
      </c>
      <c r="I3922" s="17"/>
      <c r="J3922" s="17"/>
      <c r="P3922" s="17"/>
      <c r="Q3922" s="17"/>
    </row>
    <row r="3923" spans="2:17">
      <c r="B3923" s="17"/>
      <c r="C3923" s="16" t="str">
        <f>IFERROR(VLOOKUP(DATA!#REF!,DATA!#REF!,1,FALSE),"")</f>
        <v/>
      </c>
      <c r="D3923" s="16" t="str">
        <f>IFERROR(VLOOKUP(C3923,DATA!#REF!,2,FALSE),"")</f>
        <v/>
      </c>
      <c r="I3923" s="17"/>
      <c r="J3923" s="17"/>
      <c r="P3923" s="17"/>
      <c r="Q3923" s="17"/>
    </row>
    <row r="3924" spans="2:17">
      <c r="B3924" s="17"/>
      <c r="C3924" s="16" t="str">
        <f>IFERROR(VLOOKUP(DATA!#REF!,DATA!#REF!,1,FALSE),"")</f>
        <v/>
      </c>
      <c r="D3924" s="16" t="str">
        <f>IFERROR(VLOOKUP(C3924,DATA!#REF!,2,FALSE),"")</f>
        <v/>
      </c>
      <c r="I3924" s="17"/>
      <c r="J3924" s="17"/>
      <c r="P3924" s="17"/>
      <c r="Q3924" s="17"/>
    </row>
    <row r="3925" spans="2:17">
      <c r="B3925" s="17"/>
      <c r="C3925" s="16" t="str">
        <f>IFERROR(VLOOKUP(DATA!#REF!,DATA!#REF!,1,FALSE),"")</f>
        <v/>
      </c>
      <c r="D3925" s="16" t="str">
        <f>IFERROR(VLOOKUP(C3925,DATA!#REF!,2,FALSE),"")</f>
        <v/>
      </c>
      <c r="I3925" s="17"/>
      <c r="J3925" s="17"/>
      <c r="P3925" s="17"/>
      <c r="Q3925" s="17"/>
    </row>
    <row r="3926" spans="2:17">
      <c r="B3926" s="17"/>
      <c r="C3926" s="16" t="str">
        <f>IFERROR(VLOOKUP(DATA!#REF!,DATA!#REF!,1,FALSE),"")</f>
        <v/>
      </c>
      <c r="D3926" s="16" t="str">
        <f>IFERROR(VLOOKUP(C3926,DATA!#REF!,2,FALSE),"")</f>
        <v/>
      </c>
      <c r="I3926" s="17"/>
      <c r="J3926" s="17"/>
      <c r="P3926" s="17"/>
      <c r="Q3926" s="17"/>
    </row>
    <row r="3927" spans="2:17">
      <c r="B3927" s="17"/>
      <c r="C3927" s="16" t="str">
        <f>IFERROR(VLOOKUP(DATA!#REF!,DATA!#REF!,1,FALSE),"")</f>
        <v/>
      </c>
      <c r="D3927" s="16" t="str">
        <f>IFERROR(VLOOKUP(C3927,DATA!#REF!,2,FALSE),"")</f>
        <v/>
      </c>
      <c r="I3927" s="17"/>
      <c r="J3927" s="17"/>
      <c r="P3927" s="17"/>
      <c r="Q3927" s="17"/>
    </row>
    <row r="3928" spans="2:17">
      <c r="B3928" s="17"/>
      <c r="C3928" s="16" t="str">
        <f>IFERROR(VLOOKUP(DATA!#REF!,DATA!#REF!,1,FALSE),"")</f>
        <v/>
      </c>
      <c r="D3928" s="16" t="str">
        <f>IFERROR(VLOOKUP(C3928,DATA!#REF!,2,FALSE),"")</f>
        <v/>
      </c>
      <c r="I3928" s="17"/>
      <c r="J3928" s="17"/>
      <c r="P3928" s="17"/>
      <c r="Q3928" s="17"/>
    </row>
    <row r="3929" spans="2:17">
      <c r="B3929" s="17"/>
      <c r="C3929" s="16" t="str">
        <f>IFERROR(VLOOKUP(DATA!#REF!,DATA!#REF!,1,FALSE),"")</f>
        <v/>
      </c>
      <c r="D3929" s="16" t="str">
        <f>IFERROR(VLOOKUP(C3929,DATA!#REF!,2,FALSE),"")</f>
        <v/>
      </c>
      <c r="I3929" s="17"/>
      <c r="J3929" s="17"/>
      <c r="P3929" s="17"/>
      <c r="Q3929" s="17"/>
    </row>
    <row r="3930" spans="2:17">
      <c r="B3930" s="17"/>
      <c r="C3930" s="16" t="str">
        <f>IFERROR(VLOOKUP(DATA!#REF!,DATA!#REF!,1,FALSE),"")</f>
        <v/>
      </c>
      <c r="D3930" s="16" t="str">
        <f>IFERROR(VLOOKUP(C3930,DATA!#REF!,2,FALSE),"")</f>
        <v/>
      </c>
      <c r="I3930" s="17"/>
      <c r="J3930" s="17"/>
      <c r="P3930" s="17"/>
      <c r="Q3930" s="17"/>
    </row>
    <row r="3931" spans="2:17">
      <c r="B3931" s="17"/>
      <c r="C3931" s="16" t="str">
        <f>IFERROR(VLOOKUP(DATA!#REF!,DATA!#REF!,1,FALSE),"")</f>
        <v/>
      </c>
      <c r="D3931" s="16" t="str">
        <f>IFERROR(VLOOKUP(C3931,DATA!#REF!,2,FALSE),"")</f>
        <v/>
      </c>
      <c r="I3931" s="17"/>
      <c r="J3931" s="17"/>
      <c r="P3931" s="17"/>
      <c r="Q3931" s="17"/>
    </row>
    <row r="3932" spans="2:17">
      <c r="B3932" s="17"/>
      <c r="C3932" s="16" t="str">
        <f>IFERROR(VLOOKUP(DATA!#REF!,DATA!#REF!,1,FALSE),"")</f>
        <v/>
      </c>
      <c r="D3932" s="16" t="str">
        <f>IFERROR(VLOOKUP(C3932,DATA!#REF!,2,FALSE),"")</f>
        <v/>
      </c>
      <c r="I3932" s="17"/>
      <c r="J3932" s="17"/>
      <c r="P3932" s="17"/>
      <c r="Q3932" s="17"/>
    </row>
    <row r="3933" spans="2:17">
      <c r="B3933" s="17"/>
      <c r="C3933" s="16" t="str">
        <f>IFERROR(VLOOKUP(DATA!#REF!,DATA!#REF!,1,FALSE),"")</f>
        <v/>
      </c>
      <c r="D3933" s="16" t="str">
        <f>IFERROR(VLOOKUP(C3933,DATA!#REF!,2,FALSE),"")</f>
        <v/>
      </c>
      <c r="I3933" s="17"/>
      <c r="J3933" s="17"/>
      <c r="P3933" s="17"/>
      <c r="Q3933" s="17"/>
    </row>
    <row r="3934" spans="2:17">
      <c r="B3934" s="17"/>
      <c r="C3934" s="16" t="str">
        <f>IFERROR(VLOOKUP(DATA!#REF!,DATA!#REF!,1,FALSE),"")</f>
        <v/>
      </c>
      <c r="D3934" s="16" t="str">
        <f>IFERROR(VLOOKUP(C3934,DATA!#REF!,2,FALSE),"")</f>
        <v/>
      </c>
      <c r="I3934" s="17"/>
      <c r="J3934" s="17"/>
      <c r="P3934" s="17"/>
      <c r="Q3934" s="17"/>
    </row>
    <row r="3935" spans="2:17">
      <c r="B3935" s="17"/>
      <c r="C3935" s="16" t="str">
        <f>IFERROR(VLOOKUP(DATA!#REF!,DATA!#REF!,1,FALSE),"")</f>
        <v/>
      </c>
      <c r="D3935" s="16" t="str">
        <f>IFERROR(VLOOKUP(C3935,DATA!#REF!,2,FALSE),"")</f>
        <v/>
      </c>
      <c r="I3935" s="17"/>
      <c r="J3935" s="17"/>
      <c r="P3935" s="17"/>
      <c r="Q3935" s="17"/>
    </row>
    <row r="3936" spans="2:17">
      <c r="B3936" s="17"/>
      <c r="C3936" s="16" t="str">
        <f>IFERROR(VLOOKUP(DATA!#REF!,DATA!#REF!,1,FALSE),"")</f>
        <v/>
      </c>
      <c r="D3936" s="16" t="str">
        <f>IFERROR(VLOOKUP(C3936,DATA!#REF!,2,FALSE),"")</f>
        <v/>
      </c>
      <c r="I3936" s="17"/>
      <c r="J3936" s="17"/>
      <c r="P3936" s="17"/>
      <c r="Q3936" s="17"/>
    </row>
    <row r="3937" spans="2:17">
      <c r="B3937" s="17"/>
      <c r="C3937" s="16" t="str">
        <f>IFERROR(VLOOKUP(DATA!#REF!,DATA!#REF!,1,FALSE),"")</f>
        <v/>
      </c>
      <c r="D3937" s="16" t="str">
        <f>IFERROR(VLOOKUP(C3937,DATA!#REF!,2,FALSE),"")</f>
        <v/>
      </c>
      <c r="I3937" s="17"/>
      <c r="J3937" s="17"/>
      <c r="P3937" s="17"/>
      <c r="Q3937" s="17"/>
    </row>
    <row r="3938" spans="2:17">
      <c r="B3938" s="17"/>
      <c r="C3938" s="16" t="str">
        <f>IFERROR(VLOOKUP(DATA!#REF!,DATA!#REF!,1,FALSE),"")</f>
        <v/>
      </c>
      <c r="D3938" s="16" t="str">
        <f>IFERROR(VLOOKUP(C3938,DATA!#REF!,2,FALSE),"")</f>
        <v/>
      </c>
      <c r="I3938" s="17"/>
      <c r="J3938" s="17"/>
      <c r="P3938" s="17"/>
      <c r="Q3938" s="17"/>
    </row>
    <row r="3939" spans="2:17">
      <c r="B3939" s="17"/>
      <c r="C3939" s="16" t="str">
        <f>IFERROR(VLOOKUP(DATA!#REF!,DATA!#REF!,1,FALSE),"")</f>
        <v/>
      </c>
      <c r="D3939" s="16" t="str">
        <f>IFERROR(VLOOKUP(C3939,DATA!#REF!,2,FALSE),"")</f>
        <v/>
      </c>
      <c r="I3939" s="17"/>
      <c r="J3939" s="17"/>
      <c r="P3939" s="17"/>
      <c r="Q3939" s="17"/>
    </row>
    <row r="3940" spans="2:17">
      <c r="B3940" s="17"/>
      <c r="C3940" s="16" t="str">
        <f>IFERROR(VLOOKUP(DATA!#REF!,DATA!#REF!,1,FALSE),"")</f>
        <v/>
      </c>
      <c r="D3940" s="16" t="str">
        <f>IFERROR(VLOOKUP(C3940,DATA!#REF!,2,FALSE),"")</f>
        <v/>
      </c>
      <c r="I3940" s="17"/>
      <c r="J3940" s="17"/>
      <c r="P3940" s="17"/>
      <c r="Q3940" s="17"/>
    </row>
    <row r="3941" spans="2:17">
      <c r="B3941" s="17"/>
      <c r="C3941" s="16" t="str">
        <f>IFERROR(VLOOKUP(DATA!#REF!,DATA!#REF!,1,FALSE),"")</f>
        <v/>
      </c>
      <c r="D3941" s="16" t="str">
        <f>IFERROR(VLOOKUP(C3941,DATA!#REF!,2,FALSE),"")</f>
        <v/>
      </c>
      <c r="I3941" s="17"/>
      <c r="J3941" s="17"/>
      <c r="P3941" s="17"/>
      <c r="Q3941" s="17"/>
    </row>
    <row r="3942" spans="2:17">
      <c r="B3942" s="17"/>
      <c r="C3942" s="16" t="str">
        <f>IFERROR(VLOOKUP(DATA!#REF!,DATA!#REF!,1,FALSE),"")</f>
        <v/>
      </c>
      <c r="D3942" s="16" t="str">
        <f>IFERROR(VLOOKUP(C3942,DATA!#REF!,2,FALSE),"")</f>
        <v/>
      </c>
      <c r="I3942" s="17"/>
      <c r="J3942" s="17"/>
      <c r="P3942" s="17"/>
      <c r="Q3942" s="17"/>
    </row>
    <row r="3943" spans="2:17">
      <c r="B3943" s="17"/>
      <c r="C3943" s="16" t="str">
        <f>IFERROR(VLOOKUP(DATA!#REF!,DATA!#REF!,1,FALSE),"")</f>
        <v/>
      </c>
      <c r="D3943" s="16" t="str">
        <f>IFERROR(VLOOKUP(C3943,DATA!#REF!,2,FALSE),"")</f>
        <v/>
      </c>
      <c r="I3943" s="17"/>
      <c r="J3943" s="17"/>
      <c r="P3943" s="17"/>
      <c r="Q3943" s="17"/>
    </row>
    <row r="3944" spans="2:17">
      <c r="B3944" s="17"/>
      <c r="C3944" s="16" t="str">
        <f>IFERROR(VLOOKUP(DATA!#REF!,DATA!#REF!,1,FALSE),"")</f>
        <v/>
      </c>
      <c r="D3944" s="16" t="str">
        <f>IFERROR(VLOOKUP(C3944,DATA!#REF!,2,FALSE),"")</f>
        <v/>
      </c>
      <c r="I3944" s="17"/>
      <c r="J3944" s="17"/>
      <c r="P3944" s="17"/>
      <c r="Q3944" s="17"/>
    </row>
    <row r="3945" spans="2:17">
      <c r="B3945" s="17"/>
      <c r="C3945" s="16" t="str">
        <f>IFERROR(VLOOKUP(DATA!#REF!,DATA!#REF!,1,FALSE),"")</f>
        <v/>
      </c>
      <c r="D3945" s="16" t="str">
        <f>IFERROR(VLOOKUP(C3945,DATA!#REF!,2,FALSE),"")</f>
        <v/>
      </c>
      <c r="I3945" s="17"/>
      <c r="J3945" s="17"/>
      <c r="P3945" s="17"/>
      <c r="Q3945" s="17"/>
    </row>
    <row r="3946" spans="2:17">
      <c r="B3946" s="17"/>
      <c r="C3946" s="16" t="str">
        <f>IFERROR(VLOOKUP(DATA!#REF!,DATA!#REF!,1,FALSE),"")</f>
        <v/>
      </c>
      <c r="D3946" s="16" t="str">
        <f>IFERROR(VLOOKUP(C3946,DATA!#REF!,2,FALSE),"")</f>
        <v/>
      </c>
      <c r="I3946" s="17"/>
      <c r="J3946" s="17"/>
      <c r="P3946" s="17"/>
      <c r="Q3946" s="17"/>
    </row>
    <row r="3947" spans="2:17">
      <c r="B3947" s="17"/>
      <c r="C3947" s="16" t="str">
        <f>IFERROR(VLOOKUP(DATA!#REF!,DATA!#REF!,1,FALSE),"")</f>
        <v/>
      </c>
      <c r="D3947" s="16" t="str">
        <f>IFERROR(VLOOKUP(C3947,DATA!#REF!,2,FALSE),"")</f>
        <v/>
      </c>
      <c r="I3947" s="17"/>
      <c r="J3947" s="17"/>
      <c r="P3947" s="17"/>
      <c r="Q3947" s="17"/>
    </row>
    <row r="3948" spans="2:17">
      <c r="B3948" s="17"/>
      <c r="C3948" s="16" t="str">
        <f>IFERROR(VLOOKUP(DATA!#REF!,DATA!#REF!,1,FALSE),"")</f>
        <v/>
      </c>
      <c r="D3948" s="16" t="str">
        <f>IFERROR(VLOOKUP(C3948,DATA!#REF!,2,FALSE),"")</f>
        <v/>
      </c>
      <c r="I3948" s="17"/>
      <c r="J3948" s="17"/>
      <c r="P3948" s="17"/>
      <c r="Q3948" s="17"/>
    </row>
    <row r="3949" spans="2:17">
      <c r="B3949" s="17"/>
      <c r="C3949" s="16" t="str">
        <f>IFERROR(VLOOKUP(DATA!#REF!,DATA!#REF!,1,FALSE),"")</f>
        <v/>
      </c>
      <c r="D3949" s="16" t="str">
        <f>IFERROR(VLOOKUP(C3949,DATA!#REF!,2,FALSE),"")</f>
        <v/>
      </c>
      <c r="I3949" s="17"/>
      <c r="J3949" s="17"/>
      <c r="P3949" s="17"/>
      <c r="Q3949" s="17"/>
    </row>
    <row r="3950" spans="2:17">
      <c r="B3950" s="17"/>
      <c r="C3950" s="16" t="str">
        <f>IFERROR(VLOOKUP(DATA!#REF!,DATA!#REF!,1,FALSE),"")</f>
        <v/>
      </c>
      <c r="D3950" s="16" t="str">
        <f>IFERROR(VLOOKUP(C3950,DATA!#REF!,2,FALSE),"")</f>
        <v/>
      </c>
      <c r="I3950" s="17"/>
      <c r="J3950" s="17"/>
      <c r="P3950" s="17"/>
      <c r="Q3950" s="17"/>
    </row>
    <row r="3951" spans="2:17">
      <c r="B3951" s="17"/>
      <c r="C3951" s="16" t="str">
        <f>IFERROR(VLOOKUP(DATA!#REF!,DATA!#REF!,1,FALSE),"")</f>
        <v/>
      </c>
      <c r="D3951" s="16" t="str">
        <f>IFERROR(VLOOKUP(C3951,DATA!#REF!,2,FALSE),"")</f>
        <v/>
      </c>
      <c r="I3951" s="17"/>
      <c r="J3951" s="17"/>
      <c r="P3951" s="17"/>
      <c r="Q3951" s="17"/>
    </row>
    <row r="3952" spans="2:17">
      <c r="B3952" s="17"/>
      <c r="C3952" s="16" t="str">
        <f>IFERROR(VLOOKUP(DATA!#REF!,DATA!#REF!,1,FALSE),"")</f>
        <v/>
      </c>
      <c r="D3952" s="16" t="str">
        <f>IFERROR(VLOOKUP(C3952,DATA!#REF!,2,FALSE),"")</f>
        <v/>
      </c>
      <c r="I3952" s="17"/>
      <c r="J3952" s="17"/>
      <c r="P3952" s="17"/>
      <c r="Q3952" s="17"/>
    </row>
    <row r="3953" spans="2:17">
      <c r="B3953" s="17"/>
      <c r="C3953" s="16" t="str">
        <f>IFERROR(VLOOKUP(DATA!#REF!,DATA!#REF!,1,FALSE),"")</f>
        <v/>
      </c>
      <c r="D3953" s="16" t="str">
        <f>IFERROR(VLOOKUP(C3953,DATA!#REF!,2,FALSE),"")</f>
        <v/>
      </c>
      <c r="I3953" s="17"/>
      <c r="J3953" s="17"/>
      <c r="P3953" s="17"/>
      <c r="Q3953" s="17"/>
    </row>
    <row r="3954" spans="2:17">
      <c r="B3954" s="17"/>
      <c r="C3954" s="16" t="str">
        <f>IFERROR(VLOOKUP(DATA!#REF!,DATA!#REF!,1,FALSE),"")</f>
        <v/>
      </c>
      <c r="D3954" s="16" t="str">
        <f>IFERROR(VLOOKUP(C3954,DATA!#REF!,2,FALSE),"")</f>
        <v/>
      </c>
      <c r="I3954" s="17"/>
      <c r="J3954" s="17"/>
      <c r="P3954" s="17"/>
      <c r="Q3954" s="17"/>
    </row>
    <row r="3955" spans="2:17">
      <c r="B3955" s="17"/>
      <c r="C3955" s="16" t="str">
        <f>IFERROR(VLOOKUP(DATA!#REF!,DATA!#REF!,1,FALSE),"")</f>
        <v/>
      </c>
      <c r="D3955" s="16" t="str">
        <f>IFERROR(VLOOKUP(C3955,DATA!#REF!,2,FALSE),"")</f>
        <v/>
      </c>
      <c r="I3955" s="17"/>
      <c r="J3955" s="17"/>
      <c r="P3955" s="17"/>
      <c r="Q3955" s="17"/>
    </row>
    <row r="3956" spans="2:17">
      <c r="B3956" s="17"/>
      <c r="C3956" s="16" t="str">
        <f>IFERROR(VLOOKUP(DATA!#REF!,DATA!#REF!,1,FALSE),"")</f>
        <v/>
      </c>
      <c r="D3956" s="16" t="str">
        <f>IFERROR(VLOOKUP(C3956,DATA!#REF!,2,FALSE),"")</f>
        <v/>
      </c>
      <c r="I3956" s="17"/>
      <c r="J3956" s="17"/>
      <c r="P3956" s="17"/>
      <c r="Q3956" s="17"/>
    </row>
    <row r="3957" spans="2:17">
      <c r="B3957" s="17"/>
      <c r="C3957" s="16" t="str">
        <f>IFERROR(VLOOKUP(DATA!#REF!,DATA!#REF!,1,FALSE),"")</f>
        <v/>
      </c>
      <c r="D3957" s="16" t="str">
        <f>IFERROR(VLOOKUP(C3957,DATA!#REF!,2,FALSE),"")</f>
        <v/>
      </c>
      <c r="I3957" s="17"/>
      <c r="J3957" s="17"/>
      <c r="P3957" s="17"/>
      <c r="Q3957" s="17"/>
    </row>
    <row r="3958" spans="2:17">
      <c r="B3958" s="17"/>
      <c r="C3958" s="16" t="str">
        <f>IFERROR(VLOOKUP(DATA!#REF!,DATA!#REF!,1,FALSE),"")</f>
        <v/>
      </c>
      <c r="D3958" s="16" t="str">
        <f>IFERROR(VLOOKUP(C3958,DATA!#REF!,2,FALSE),"")</f>
        <v/>
      </c>
      <c r="I3958" s="17"/>
      <c r="J3958" s="17"/>
      <c r="P3958" s="17"/>
      <c r="Q3958" s="17"/>
    </row>
    <row r="3959" spans="2:17">
      <c r="B3959" s="17"/>
      <c r="C3959" s="16" t="str">
        <f>IFERROR(VLOOKUP(DATA!#REF!,DATA!#REF!,1,FALSE),"")</f>
        <v/>
      </c>
      <c r="D3959" s="16" t="str">
        <f>IFERROR(VLOOKUP(C3959,DATA!#REF!,2,FALSE),"")</f>
        <v/>
      </c>
      <c r="I3959" s="17"/>
      <c r="J3959" s="17"/>
      <c r="P3959" s="17"/>
      <c r="Q3959" s="17"/>
    </row>
    <row r="3960" spans="2:17">
      <c r="B3960" s="17"/>
      <c r="C3960" s="16" t="str">
        <f>IFERROR(VLOOKUP(DATA!#REF!,DATA!#REF!,1,FALSE),"")</f>
        <v/>
      </c>
      <c r="D3960" s="16" t="str">
        <f>IFERROR(VLOOKUP(C3960,DATA!#REF!,2,FALSE),"")</f>
        <v/>
      </c>
      <c r="I3960" s="17"/>
      <c r="J3960" s="17"/>
      <c r="P3960" s="17"/>
      <c r="Q3960" s="17"/>
    </row>
    <row r="3961" spans="2:17">
      <c r="B3961" s="17"/>
      <c r="C3961" s="16" t="str">
        <f>IFERROR(VLOOKUP(DATA!#REF!,DATA!#REF!,1,FALSE),"")</f>
        <v/>
      </c>
      <c r="D3961" s="16" t="str">
        <f>IFERROR(VLOOKUP(C3961,DATA!#REF!,2,FALSE),"")</f>
        <v/>
      </c>
      <c r="I3961" s="17"/>
      <c r="J3961" s="17"/>
      <c r="P3961" s="17"/>
      <c r="Q3961" s="17"/>
    </row>
    <row r="3962" spans="2:17">
      <c r="B3962" s="17"/>
      <c r="C3962" s="16" t="str">
        <f>IFERROR(VLOOKUP(DATA!#REF!,DATA!#REF!,1,FALSE),"")</f>
        <v/>
      </c>
      <c r="D3962" s="16" t="str">
        <f>IFERROR(VLOOKUP(C3962,DATA!#REF!,2,FALSE),"")</f>
        <v/>
      </c>
      <c r="I3962" s="17"/>
      <c r="J3962" s="17"/>
      <c r="P3962" s="17"/>
      <c r="Q3962" s="17"/>
    </row>
    <row r="3963" spans="2:17">
      <c r="B3963" s="17"/>
      <c r="C3963" s="16" t="str">
        <f>IFERROR(VLOOKUP(DATA!#REF!,DATA!#REF!,1,FALSE),"")</f>
        <v/>
      </c>
      <c r="D3963" s="16" t="str">
        <f>IFERROR(VLOOKUP(C3963,DATA!#REF!,2,FALSE),"")</f>
        <v/>
      </c>
      <c r="I3963" s="17"/>
      <c r="J3963" s="17"/>
      <c r="P3963" s="17"/>
      <c r="Q3963" s="17"/>
    </row>
    <row r="3964" spans="2:17">
      <c r="B3964" s="17"/>
      <c r="C3964" s="16" t="str">
        <f>IFERROR(VLOOKUP(DATA!#REF!,DATA!#REF!,1,FALSE),"")</f>
        <v/>
      </c>
      <c r="D3964" s="16" t="str">
        <f>IFERROR(VLOOKUP(C3964,DATA!#REF!,2,FALSE),"")</f>
        <v/>
      </c>
      <c r="I3964" s="17"/>
      <c r="J3964" s="17"/>
      <c r="P3964" s="17"/>
      <c r="Q3964" s="17"/>
    </row>
    <row r="3965" spans="2:17">
      <c r="B3965" s="17"/>
      <c r="C3965" s="16" t="str">
        <f>IFERROR(VLOOKUP(DATA!#REF!,DATA!#REF!,1,FALSE),"")</f>
        <v/>
      </c>
      <c r="D3965" s="16" t="str">
        <f>IFERROR(VLOOKUP(C3965,DATA!#REF!,2,FALSE),"")</f>
        <v/>
      </c>
      <c r="I3965" s="17"/>
      <c r="J3965" s="17"/>
      <c r="P3965" s="17"/>
      <c r="Q3965" s="17"/>
    </row>
    <row r="3966" spans="2:17">
      <c r="B3966" s="17"/>
      <c r="C3966" s="16" t="str">
        <f>IFERROR(VLOOKUP(DATA!#REF!,DATA!#REF!,1,FALSE),"")</f>
        <v/>
      </c>
      <c r="D3966" s="16" t="str">
        <f>IFERROR(VLOOKUP(C3966,DATA!#REF!,2,FALSE),"")</f>
        <v/>
      </c>
      <c r="I3966" s="17"/>
      <c r="J3966" s="17"/>
      <c r="P3966" s="17"/>
      <c r="Q3966" s="17"/>
    </row>
    <row r="3967" spans="2:17">
      <c r="B3967" s="17"/>
      <c r="C3967" s="16" t="str">
        <f>IFERROR(VLOOKUP(DATA!#REF!,DATA!#REF!,1,FALSE),"")</f>
        <v/>
      </c>
      <c r="D3967" s="16" t="str">
        <f>IFERROR(VLOOKUP(C3967,DATA!#REF!,2,FALSE),"")</f>
        <v/>
      </c>
      <c r="I3967" s="17"/>
      <c r="J3967" s="17"/>
      <c r="P3967" s="17"/>
      <c r="Q3967" s="17"/>
    </row>
    <row r="3968" spans="2:17">
      <c r="B3968" s="17"/>
      <c r="C3968" s="16" t="str">
        <f>IFERROR(VLOOKUP(DATA!#REF!,DATA!#REF!,1,FALSE),"")</f>
        <v/>
      </c>
      <c r="D3968" s="16" t="str">
        <f>IFERROR(VLOOKUP(C3968,DATA!#REF!,2,FALSE),"")</f>
        <v/>
      </c>
      <c r="I3968" s="17"/>
      <c r="J3968" s="17"/>
      <c r="P3968" s="17"/>
      <c r="Q3968" s="17"/>
    </row>
    <row r="3969" spans="2:17">
      <c r="B3969" s="17"/>
      <c r="C3969" s="16" t="str">
        <f>IFERROR(VLOOKUP(DATA!#REF!,DATA!#REF!,1,FALSE),"")</f>
        <v/>
      </c>
      <c r="D3969" s="16" t="str">
        <f>IFERROR(VLOOKUP(C3969,DATA!#REF!,2,FALSE),"")</f>
        <v/>
      </c>
      <c r="I3969" s="17"/>
      <c r="J3969" s="17"/>
      <c r="P3969" s="17"/>
      <c r="Q3969" s="17"/>
    </row>
    <row r="3970" spans="2:17">
      <c r="B3970" s="17"/>
      <c r="C3970" s="16" t="str">
        <f>IFERROR(VLOOKUP(DATA!#REF!,DATA!#REF!,1,FALSE),"")</f>
        <v/>
      </c>
      <c r="D3970" s="16" t="str">
        <f>IFERROR(VLOOKUP(C3970,DATA!#REF!,2,FALSE),"")</f>
        <v/>
      </c>
      <c r="I3970" s="17"/>
      <c r="J3970" s="17"/>
      <c r="P3970" s="17"/>
      <c r="Q3970" s="17"/>
    </row>
    <row r="3971" spans="2:17">
      <c r="B3971" s="17"/>
      <c r="C3971" s="16" t="str">
        <f>IFERROR(VLOOKUP(DATA!#REF!,DATA!#REF!,1,FALSE),"")</f>
        <v/>
      </c>
      <c r="D3971" s="16" t="str">
        <f>IFERROR(VLOOKUP(C3971,DATA!#REF!,2,FALSE),"")</f>
        <v/>
      </c>
      <c r="I3971" s="17"/>
      <c r="J3971" s="17"/>
      <c r="P3971" s="17"/>
      <c r="Q3971" s="17"/>
    </row>
    <row r="3972" spans="2:17">
      <c r="B3972" s="17"/>
      <c r="C3972" s="16" t="str">
        <f>IFERROR(VLOOKUP(DATA!#REF!,DATA!#REF!,1,FALSE),"")</f>
        <v/>
      </c>
      <c r="D3972" s="16" t="str">
        <f>IFERROR(VLOOKUP(C3972,DATA!#REF!,2,FALSE),"")</f>
        <v/>
      </c>
      <c r="I3972" s="17"/>
      <c r="J3972" s="17"/>
      <c r="P3972" s="17"/>
      <c r="Q3972" s="17"/>
    </row>
    <row r="3973" spans="2:17">
      <c r="B3973" s="17"/>
      <c r="C3973" s="16" t="str">
        <f>IFERROR(VLOOKUP(DATA!#REF!,DATA!#REF!,1,FALSE),"")</f>
        <v/>
      </c>
      <c r="D3973" s="16" t="str">
        <f>IFERROR(VLOOKUP(C3973,DATA!#REF!,2,FALSE),"")</f>
        <v/>
      </c>
      <c r="I3973" s="17"/>
      <c r="J3973" s="17"/>
      <c r="P3973" s="17"/>
      <c r="Q3973" s="17"/>
    </row>
    <row r="3974" spans="2:17">
      <c r="B3974" s="17"/>
      <c r="C3974" s="16" t="str">
        <f>IFERROR(VLOOKUP(DATA!#REF!,DATA!#REF!,1,FALSE),"")</f>
        <v/>
      </c>
      <c r="D3974" s="16" t="str">
        <f>IFERROR(VLOOKUP(C3974,DATA!#REF!,2,FALSE),"")</f>
        <v/>
      </c>
      <c r="I3974" s="17"/>
      <c r="J3974" s="17"/>
      <c r="P3974" s="17"/>
      <c r="Q3974" s="17"/>
    </row>
    <row r="3975" spans="2:17">
      <c r="B3975" s="17"/>
      <c r="C3975" s="16" t="str">
        <f>IFERROR(VLOOKUP(DATA!#REF!,DATA!#REF!,1,FALSE),"")</f>
        <v/>
      </c>
      <c r="D3975" s="16" t="str">
        <f>IFERROR(VLOOKUP(C3975,DATA!#REF!,2,FALSE),"")</f>
        <v/>
      </c>
      <c r="I3975" s="17"/>
      <c r="J3975" s="17"/>
      <c r="P3975" s="17"/>
      <c r="Q3975" s="17"/>
    </row>
    <row r="3976" spans="2:17">
      <c r="B3976" s="17"/>
      <c r="C3976" s="16" t="str">
        <f>IFERROR(VLOOKUP(DATA!#REF!,DATA!#REF!,1,FALSE),"")</f>
        <v/>
      </c>
      <c r="D3976" s="16" t="str">
        <f>IFERROR(VLOOKUP(C3976,DATA!#REF!,2,FALSE),"")</f>
        <v/>
      </c>
      <c r="I3976" s="17"/>
      <c r="J3976" s="17"/>
      <c r="P3976" s="17"/>
      <c r="Q3976" s="17"/>
    </row>
    <row r="3977" spans="2:17">
      <c r="B3977" s="17"/>
      <c r="C3977" s="16" t="str">
        <f>IFERROR(VLOOKUP(DATA!#REF!,DATA!#REF!,1,FALSE),"")</f>
        <v/>
      </c>
      <c r="D3977" s="16" t="str">
        <f>IFERROR(VLOOKUP(C3977,DATA!#REF!,2,FALSE),"")</f>
        <v/>
      </c>
      <c r="I3977" s="17"/>
      <c r="J3977" s="17"/>
      <c r="P3977" s="17"/>
      <c r="Q3977" s="17"/>
    </row>
    <row r="3978" spans="2:17">
      <c r="B3978" s="17"/>
      <c r="C3978" s="16" t="str">
        <f>IFERROR(VLOOKUP(DATA!#REF!,DATA!#REF!,1,FALSE),"")</f>
        <v/>
      </c>
      <c r="D3978" s="16" t="str">
        <f>IFERROR(VLOOKUP(C3978,DATA!#REF!,2,FALSE),"")</f>
        <v/>
      </c>
      <c r="I3978" s="17"/>
      <c r="J3978" s="17"/>
      <c r="P3978" s="17"/>
      <c r="Q3978" s="17"/>
    </row>
    <row r="3979" spans="2:17">
      <c r="B3979" s="17"/>
      <c r="C3979" s="16" t="str">
        <f>IFERROR(VLOOKUP(DATA!#REF!,DATA!#REF!,1,FALSE),"")</f>
        <v/>
      </c>
      <c r="D3979" s="16" t="str">
        <f>IFERROR(VLOOKUP(C3979,DATA!#REF!,2,FALSE),"")</f>
        <v/>
      </c>
      <c r="I3979" s="17"/>
      <c r="J3979" s="17"/>
      <c r="P3979" s="17"/>
      <c r="Q3979" s="17"/>
    </row>
    <row r="3980" spans="2:17">
      <c r="B3980" s="17"/>
      <c r="C3980" s="16" t="str">
        <f>IFERROR(VLOOKUP(DATA!#REF!,DATA!#REF!,1,FALSE),"")</f>
        <v/>
      </c>
      <c r="D3980" s="16" t="str">
        <f>IFERROR(VLOOKUP(C3980,DATA!#REF!,2,FALSE),"")</f>
        <v/>
      </c>
      <c r="I3980" s="17"/>
      <c r="J3980" s="17"/>
      <c r="P3980" s="17"/>
      <c r="Q3980" s="17"/>
    </row>
    <row r="3981" spans="2:17">
      <c r="B3981" s="17"/>
      <c r="C3981" s="16" t="str">
        <f>IFERROR(VLOOKUP(DATA!#REF!,DATA!#REF!,1,FALSE),"")</f>
        <v/>
      </c>
      <c r="D3981" s="16" t="str">
        <f>IFERROR(VLOOKUP(C3981,DATA!#REF!,2,FALSE),"")</f>
        <v/>
      </c>
      <c r="I3981" s="17"/>
      <c r="J3981" s="17"/>
      <c r="P3981" s="17"/>
      <c r="Q3981" s="17"/>
    </row>
    <row r="3982" spans="2:17">
      <c r="B3982" s="17"/>
      <c r="C3982" s="16" t="str">
        <f>IFERROR(VLOOKUP(DATA!#REF!,DATA!#REF!,1,FALSE),"")</f>
        <v/>
      </c>
      <c r="D3982" s="16" t="str">
        <f>IFERROR(VLOOKUP(C3982,DATA!#REF!,2,FALSE),"")</f>
        <v/>
      </c>
      <c r="I3982" s="17"/>
      <c r="J3982" s="17"/>
      <c r="P3982" s="17"/>
      <c r="Q3982" s="17"/>
    </row>
    <row r="3983" spans="2:17">
      <c r="B3983" s="17"/>
      <c r="C3983" s="16" t="str">
        <f>IFERROR(VLOOKUP(DATA!#REF!,DATA!#REF!,1,FALSE),"")</f>
        <v/>
      </c>
      <c r="D3983" s="16" t="str">
        <f>IFERROR(VLOOKUP(C3983,DATA!#REF!,2,FALSE),"")</f>
        <v/>
      </c>
      <c r="I3983" s="17"/>
      <c r="J3983" s="17"/>
      <c r="P3983" s="17"/>
      <c r="Q3983" s="17"/>
    </row>
    <row r="3984" spans="2:17">
      <c r="B3984" s="17"/>
      <c r="C3984" s="16" t="str">
        <f>IFERROR(VLOOKUP(DATA!#REF!,DATA!#REF!,1,FALSE),"")</f>
        <v/>
      </c>
      <c r="D3984" s="16" t="str">
        <f>IFERROR(VLOOKUP(C3984,DATA!#REF!,2,FALSE),"")</f>
        <v/>
      </c>
      <c r="I3984" s="17"/>
      <c r="J3984" s="17"/>
      <c r="P3984" s="17"/>
      <c r="Q3984" s="17"/>
    </row>
    <row r="3985" spans="2:17">
      <c r="B3985" s="17"/>
      <c r="C3985" s="16" t="str">
        <f>IFERROR(VLOOKUP(DATA!#REF!,DATA!#REF!,1,FALSE),"")</f>
        <v/>
      </c>
      <c r="D3985" s="16" t="str">
        <f>IFERROR(VLOOKUP(C3985,DATA!#REF!,2,FALSE),"")</f>
        <v/>
      </c>
      <c r="I3985" s="17"/>
      <c r="J3985" s="17"/>
      <c r="P3985" s="17"/>
      <c r="Q3985" s="17"/>
    </row>
    <row r="3986" spans="2:17">
      <c r="B3986" s="17"/>
      <c r="C3986" s="16" t="str">
        <f>IFERROR(VLOOKUP(DATA!#REF!,DATA!#REF!,1,FALSE),"")</f>
        <v/>
      </c>
      <c r="D3986" s="16" t="str">
        <f>IFERROR(VLOOKUP(C3986,DATA!#REF!,2,FALSE),"")</f>
        <v/>
      </c>
      <c r="I3986" s="17"/>
      <c r="J3986" s="17"/>
      <c r="P3986" s="17"/>
      <c r="Q3986" s="17"/>
    </row>
    <row r="3987" spans="2:17">
      <c r="B3987" s="17"/>
      <c r="C3987" s="16" t="str">
        <f>IFERROR(VLOOKUP(DATA!#REF!,DATA!#REF!,1,FALSE),"")</f>
        <v/>
      </c>
      <c r="D3987" s="16" t="str">
        <f>IFERROR(VLOOKUP(C3987,DATA!#REF!,2,FALSE),"")</f>
        <v/>
      </c>
      <c r="I3987" s="17"/>
      <c r="J3987" s="17"/>
      <c r="P3987" s="17"/>
      <c r="Q3987" s="17"/>
    </row>
    <row r="3988" spans="2:17">
      <c r="B3988" s="17"/>
      <c r="C3988" s="16" t="str">
        <f>IFERROR(VLOOKUP(DATA!#REF!,DATA!#REF!,1,FALSE),"")</f>
        <v/>
      </c>
      <c r="D3988" s="16" t="str">
        <f>IFERROR(VLOOKUP(C3988,DATA!#REF!,2,FALSE),"")</f>
        <v/>
      </c>
      <c r="I3988" s="17"/>
      <c r="J3988" s="17"/>
      <c r="P3988" s="17"/>
      <c r="Q3988" s="17"/>
    </row>
    <row r="3989" spans="2:17">
      <c r="B3989" s="17"/>
      <c r="C3989" s="16" t="str">
        <f>IFERROR(VLOOKUP(DATA!#REF!,DATA!#REF!,1,FALSE),"")</f>
        <v/>
      </c>
      <c r="D3989" s="16" t="str">
        <f>IFERROR(VLOOKUP(C3989,DATA!#REF!,2,FALSE),"")</f>
        <v/>
      </c>
      <c r="I3989" s="17"/>
      <c r="J3989" s="17"/>
      <c r="P3989" s="17"/>
      <c r="Q3989" s="17"/>
    </row>
    <row r="3990" spans="2:17">
      <c r="B3990" s="17"/>
      <c r="C3990" s="16" t="str">
        <f>IFERROR(VLOOKUP(DATA!#REF!,DATA!#REF!,1,FALSE),"")</f>
        <v/>
      </c>
      <c r="D3990" s="16" t="str">
        <f>IFERROR(VLOOKUP(C3990,DATA!#REF!,2,FALSE),"")</f>
        <v/>
      </c>
      <c r="I3990" s="17"/>
      <c r="J3990" s="17"/>
      <c r="P3990" s="17"/>
      <c r="Q3990" s="17"/>
    </row>
    <row r="3991" spans="2:17">
      <c r="B3991" s="17"/>
      <c r="C3991" s="16" t="str">
        <f>IFERROR(VLOOKUP(DATA!#REF!,DATA!#REF!,1,FALSE),"")</f>
        <v/>
      </c>
      <c r="D3991" s="16" t="str">
        <f>IFERROR(VLOOKUP(C3991,DATA!#REF!,2,FALSE),"")</f>
        <v/>
      </c>
      <c r="I3991" s="17"/>
      <c r="J3991" s="17"/>
      <c r="P3991" s="17"/>
      <c r="Q3991" s="17"/>
    </row>
    <row r="3992" spans="2:17">
      <c r="B3992" s="17"/>
      <c r="C3992" s="16" t="str">
        <f>IFERROR(VLOOKUP(DATA!#REF!,DATA!#REF!,1,FALSE),"")</f>
        <v/>
      </c>
      <c r="D3992" s="16" t="str">
        <f>IFERROR(VLOOKUP(C3992,DATA!#REF!,2,FALSE),"")</f>
        <v/>
      </c>
      <c r="I3992" s="17"/>
      <c r="J3992" s="17"/>
      <c r="P3992" s="17"/>
      <c r="Q3992" s="17"/>
    </row>
    <row r="3993" spans="2:17">
      <c r="B3993" s="17"/>
      <c r="C3993" s="16" t="str">
        <f>IFERROR(VLOOKUP(DATA!#REF!,DATA!#REF!,1,FALSE),"")</f>
        <v/>
      </c>
      <c r="D3993" s="16" t="str">
        <f>IFERROR(VLOOKUP(C3993,DATA!#REF!,2,FALSE),"")</f>
        <v/>
      </c>
      <c r="I3993" s="17"/>
      <c r="J3993" s="17"/>
      <c r="P3993" s="17"/>
      <c r="Q3993" s="17"/>
    </row>
    <row r="3994" spans="2:17">
      <c r="B3994" s="17"/>
      <c r="C3994" s="16" t="str">
        <f>IFERROR(VLOOKUP(DATA!#REF!,DATA!#REF!,1,FALSE),"")</f>
        <v/>
      </c>
      <c r="D3994" s="16" t="str">
        <f>IFERROR(VLOOKUP(C3994,DATA!#REF!,2,FALSE),"")</f>
        <v/>
      </c>
      <c r="I3994" s="17"/>
      <c r="J3994" s="17"/>
      <c r="P3994" s="17"/>
      <c r="Q3994" s="17"/>
    </row>
    <row r="3995" spans="2:17">
      <c r="B3995" s="17"/>
      <c r="C3995" s="16" t="str">
        <f>IFERROR(VLOOKUP(DATA!#REF!,DATA!#REF!,1,FALSE),"")</f>
        <v/>
      </c>
      <c r="D3995" s="16" t="str">
        <f>IFERROR(VLOOKUP(C3995,DATA!#REF!,2,FALSE),"")</f>
        <v/>
      </c>
      <c r="I3995" s="17"/>
      <c r="J3995" s="17"/>
      <c r="P3995" s="17"/>
      <c r="Q3995" s="17"/>
    </row>
    <row r="3996" spans="2:17">
      <c r="B3996" s="17"/>
      <c r="C3996" s="16" t="str">
        <f>IFERROR(VLOOKUP(DATA!#REF!,DATA!#REF!,1,FALSE),"")</f>
        <v/>
      </c>
      <c r="D3996" s="16" t="str">
        <f>IFERROR(VLOOKUP(C3996,DATA!#REF!,2,FALSE),"")</f>
        <v/>
      </c>
      <c r="I3996" s="17"/>
      <c r="J3996" s="17"/>
      <c r="P3996" s="17"/>
      <c r="Q3996" s="17"/>
    </row>
    <row r="3997" spans="2:17">
      <c r="B3997" s="17"/>
      <c r="C3997" s="16" t="str">
        <f>IFERROR(VLOOKUP(DATA!#REF!,DATA!#REF!,1,FALSE),"")</f>
        <v/>
      </c>
      <c r="D3997" s="16" t="str">
        <f>IFERROR(VLOOKUP(C3997,DATA!#REF!,2,FALSE),"")</f>
        <v/>
      </c>
      <c r="I3997" s="17"/>
      <c r="J3997" s="17"/>
      <c r="P3997" s="17"/>
      <c r="Q3997" s="17"/>
    </row>
    <row r="3998" spans="2:17">
      <c r="B3998" s="17"/>
      <c r="C3998" s="16" t="str">
        <f>IFERROR(VLOOKUP(DATA!#REF!,DATA!#REF!,1,FALSE),"")</f>
        <v/>
      </c>
      <c r="D3998" s="16" t="str">
        <f>IFERROR(VLOOKUP(C3998,DATA!#REF!,2,FALSE),"")</f>
        <v/>
      </c>
      <c r="I3998" s="17"/>
      <c r="J3998" s="17"/>
      <c r="P3998" s="17"/>
      <c r="Q3998" s="17"/>
    </row>
    <row r="3999" spans="2:17">
      <c r="B3999" s="17"/>
      <c r="C3999" s="16" t="str">
        <f>IFERROR(VLOOKUP(DATA!#REF!,DATA!#REF!,1,FALSE),"")</f>
        <v/>
      </c>
      <c r="D3999" s="16" t="str">
        <f>IFERROR(VLOOKUP(C3999,DATA!#REF!,2,FALSE),"")</f>
        <v/>
      </c>
      <c r="I3999" s="17"/>
      <c r="J3999" s="17"/>
      <c r="P3999" s="17"/>
      <c r="Q3999" s="17"/>
    </row>
    <row r="4000" spans="2:17">
      <c r="B4000" s="17"/>
      <c r="C4000" s="16" t="str">
        <f>IFERROR(VLOOKUP(DATA!#REF!,DATA!#REF!,1,FALSE),"")</f>
        <v/>
      </c>
      <c r="D4000" s="16" t="str">
        <f>IFERROR(VLOOKUP(C4000,DATA!#REF!,2,FALSE),"")</f>
        <v/>
      </c>
      <c r="I4000" s="17"/>
      <c r="J4000" s="17"/>
      <c r="P4000" s="17"/>
      <c r="Q4000" s="17"/>
    </row>
    <row r="4001" spans="2:17">
      <c r="B4001" s="17"/>
      <c r="C4001" s="16" t="str">
        <f>IFERROR(VLOOKUP(DATA!#REF!,DATA!#REF!,1,FALSE),"")</f>
        <v/>
      </c>
      <c r="D4001" s="16" t="str">
        <f>IFERROR(VLOOKUP(C4001,DATA!#REF!,2,FALSE),"")</f>
        <v/>
      </c>
      <c r="I4001" s="17"/>
      <c r="J4001" s="17"/>
      <c r="P4001" s="17"/>
      <c r="Q4001" s="17"/>
    </row>
    <row r="4002" spans="2:17">
      <c r="B4002" s="17"/>
      <c r="C4002" s="16" t="str">
        <f>IFERROR(VLOOKUP(DATA!#REF!,DATA!#REF!,1,FALSE),"")</f>
        <v/>
      </c>
      <c r="D4002" s="16" t="str">
        <f>IFERROR(VLOOKUP(C4002,DATA!#REF!,2,FALSE),"")</f>
        <v/>
      </c>
      <c r="I4002" s="17"/>
      <c r="J4002" s="17"/>
      <c r="P4002" s="17"/>
      <c r="Q4002" s="17"/>
    </row>
    <row r="4003" spans="2:17">
      <c r="B4003" s="17"/>
      <c r="C4003" s="16" t="str">
        <f>IFERROR(VLOOKUP(DATA!#REF!,DATA!#REF!,1,FALSE),"")</f>
        <v/>
      </c>
      <c r="D4003" s="16" t="str">
        <f>IFERROR(VLOOKUP(C4003,DATA!#REF!,2,FALSE),"")</f>
        <v/>
      </c>
      <c r="I4003" s="17"/>
      <c r="J4003" s="17"/>
      <c r="P4003" s="17"/>
      <c r="Q4003" s="17"/>
    </row>
    <row r="4004" spans="2:17">
      <c r="B4004" s="17"/>
      <c r="C4004" s="16" t="str">
        <f>IFERROR(VLOOKUP(DATA!#REF!,DATA!#REF!,1,FALSE),"")</f>
        <v/>
      </c>
      <c r="D4004" s="16" t="str">
        <f>IFERROR(VLOOKUP(C4004,DATA!#REF!,2,FALSE),"")</f>
        <v/>
      </c>
      <c r="I4004" s="17"/>
      <c r="J4004" s="17"/>
      <c r="P4004" s="17"/>
      <c r="Q4004" s="17"/>
    </row>
    <row r="4005" spans="2:17">
      <c r="B4005" s="17"/>
      <c r="C4005" s="16" t="str">
        <f>IFERROR(VLOOKUP(DATA!#REF!,DATA!#REF!,1,FALSE),"")</f>
        <v/>
      </c>
      <c r="D4005" s="16" t="str">
        <f>IFERROR(VLOOKUP(C4005,DATA!#REF!,2,FALSE),"")</f>
        <v/>
      </c>
      <c r="I4005" s="17"/>
      <c r="J4005" s="17"/>
      <c r="P4005" s="17"/>
      <c r="Q4005" s="17"/>
    </row>
    <row r="4006" spans="2:17">
      <c r="B4006" s="17"/>
      <c r="C4006" s="16" t="str">
        <f>IFERROR(VLOOKUP(DATA!#REF!,DATA!#REF!,1,FALSE),"")</f>
        <v/>
      </c>
      <c r="D4006" s="16" t="str">
        <f>IFERROR(VLOOKUP(C4006,DATA!#REF!,2,FALSE),"")</f>
        <v/>
      </c>
      <c r="I4006" s="17"/>
      <c r="J4006" s="17"/>
      <c r="P4006" s="17"/>
      <c r="Q4006" s="17"/>
    </row>
    <row r="4007" spans="2:17">
      <c r="B4007" s="17"/>
      <c r="C4007" s="16" t="str">
        <f>IFERROR(VLOOKUP(DATA!#REF!,DATA!#REF!,1,FALSE),"")</f>
        <v/>
      </c>
      <c r="D4007" s="16" t="str">
        <f>IFERROR(VLOOKUP(C4007,DATA!#REF!,2,FALSE),"")</f>
        <v/>
      </c>
      <c r="I4007" s="17"/>
      <c r="J4007" s="17"/>
      <c r="P4007" s="17"/>
      <c r="Q4007" s="17"/>
    </row>
    <row r="4008" spans="2:17">
      <c r="B4008" s="17"/>
      <c r="C4008" s="16" t="str">
        <f>IFERROR(VLOOKUP(DATA!#REF!,DATA!#REF!,1,FALSE),"")</f>
        <v/>
      </c>
      <c r="D4008" s="16" t="str">
        <f>IFERROR(VLOOKUP(C4008,DATA!#REF!,2,FALSE),"")</f>
        <v/>
      </c>
      <c r="I4008" s="17"/>
      <c r="J4008" s="17"/>
      <c r="P4008" s="17"/>
      <c r="Q4008" s="17"/>
    </row>
    <row r="4009" spans="2:17">
      <c r="B4009" s="17"/>
      <c r="C4009" s="16" t="str">
        <f>IFERROR(VLOOKUP(DATA!#REF!,DATA!#REF!,1,FALSE),"")</f>
        <v/>
      </c>
      <c r="D4009" s="16" t="str">
        <f>IFERROR(VLOOKUP(C4009,DATA!#REF!,2,FALSE),"")</f>
        <v/>
      </c>
      <c r="I4009" s="17"/>
      <c r="J4009" s="17"/>
      <c r="P4009" s="17"/>
      <c r="Q4009" s="17"/>
    </row>
    <row r="4010" spans="2:17">
      <c r="B4010" s="17"/>
      <c r="C4010" s="16" t="str">
        <f>IFERROR(VLOOKUP(DATA!#REF!,DATA!#REF!,1,FALSE),"")</f>
        <v/>
      </c>
      <c r="D4010" s="16" t="str">
        <f>IFERROR(VLOOKUP(C4010,DATA!#REF!,2,FALSE),"")</f>
        <v/>
      </c>
      <c r="I4010" s="17"/>
      <c r="J4010" s="17"/>
      <c r="P4010" s="17"/>
      <c r="Q4010" s="17"/>
    </row>
    <row r="4011" spans="2:17">
      <c r="B4011" s="17"/>
      <c r="C4011" s="16" t="str">
        <f>IFERROR(VLOOKUP(DATA!#REF!,DATA!#REF!,1,FALSE),"")</f>
        <v/>
      </c>
      <c r="D4011" s="16" t="str">
        <f>IFERROR(VLOOKUP(C4011,DATA!#REF!,2,FALSE),"")</f>
        <v/>
      </c>
      <c r="I4011" s="17"/>
      <c r="J4011" s="17"/>
      <c r="P4011" s="17"/>
      <c r="Q4011" s="17"/>
    </row>
    <row r="4012" spans="2:17">
      <c r="B4012" s="17"/>
      <c r="C4012" s="16" t="str">
        <f>IFERROR(VLOOKUP(DATA!#REF!,DATA!#REF!,1,FALSE),"")</f>
        <v/>
      </c>
      <c r="D4012" s="16" t="str">
        <f>IFERROR(VLOOKUP(C4012,DATA!#REF!,2,FALSE),"")</f>
        <v/>
      </c>
      <c r="I4012" s="17"/>
      <c r="J4012" s="17"/>
      <c r="P4012" s="17"/>
      <c r="Q4012" s="17"/>
    </row>
    <row r="4013" spans="2:17">
      <c r="B4013" s="17"/>
      <c r="C4013" s="16" t="str">
        <f>IFERROR(VLOOKUP(DATA!#REF!,DATA!#REF!,1,FALSE),"")</f>
        <v/>
      </c>
      <c r="D4013" s="16" t="str">
        <f>IFERROR(VLOOKUP(C4013,DATA!#REF!,2,FALSE),"")</f>
        <v/>
      </c>
      <c r="I4013" s="17"/>
      <c r="J4013" s="17"/>
      <c r="P4013" s="17"/>
      <c r="Q4013" s="17"/>
    </row>
    <row r="4014" spans="2:17">
      <c r="B4014" s="17"/>
      <c r="C4014" s="16" t="str">
        <f>IFERROR(VLOOKUP(DATA!#REF!,DATA!#REF!,1,FALSE),"")</f>
        <v/>
      </c>
      <c r="D4014" s="16" t="str">
        <f>IFERROR(VLOOKUP(C4014,DATA!#REF!,2,FALSE),"")</f>
        <v/>
      </c>
      <c r="I4014" s="17"/>
      <c r="J4014" s="17"/>
      <c r="P4014" s="17"/>
      <c r="Q4014" s="17"/>
    </row>
    <row r="4015" spans="2:17">
      <c r="B4015" s="17"/>
      <c r="C4015" s="16" t="str">
        <f>IFERROR(VLOOKUP(DATA!#REF!,DATA!#REF!,1,FALSE),"")</f>
        <v/>
      </c>
      <c r="D4015" s="16" t="str">
        <f>IFERROR(VLOOKUP(C4015,DATA!#REF!,2,FALSE),"")</f>
        <v/>
      </c>
      <c r="I4015" s="17"/>
      <c r="J4015" s="17"/>
      <c r="P4015" s="17"/>
      <c r="Q4015" s="17"/>
    </row>
    <row r="4016" spans="2:17">
      <c r="B4016" s="17"/>
      <c r="C4016" s="16" t="str">
        <f>IFERROR(VLOOKUP(DATA!#REF!,DATA!#REF!,1,FALSE),"")</f>
        <v/>
      </c>
      <c r="D4016" s="16" t="str">
        <f>IFERROR(VLOOKUP(C4016,DATA!#REF!,2,FALSE),"")</f>
        <v/>
      </c>
      <c r="I4016" s="17"/>
      <c r="J4016" s="17"/>
      <c r="P4016" s="17"/>
      <c r="Q4016" s="17"/>
    </row>
    <row r="4017" spans="2:17">
      <c r="B4017" s="17"/>
      <c r="C4017" s="16" t="str">
        <f>IFERROR(VLOOKUP(DATA!#REF!,DATA!#REF!,1,FALSE),"")</f>
        <v/>
      </c>
      <c r="D4017" s="16" t="str">
        <f>IFERROR(VLOOKUP(C4017,DATA!#REF!,2,FALSE),"")</f>
        <v/>
      </c>
      <c r="I4017" s="17"/>
      <c r="J4017" s="17"/>
      <c r="P4017" s="17"/>
      <c r="Q4017" s="17"/>
    </row>
    <row r="4018" spans="2:17">
      <c r="B4018" s="17"/>
      <c r="C4018" s="16" t="str">
        <f>IFERROR(VLOOKUP(DATA!#REF!,DATA!#REF!,1,FALSE),"")</f>
        <v/>
      </c>
      <c r="D4018" s="16" t="str">
        <f>IFERROR(VLOOKUP(C4018,DATA!#REF!,2,FALSE),"")</f>
        <v/>
      </c>
      <c r="I4018" s="17"/>
      <c r="J4018" s="17"/>
      <c r="P4018" s="17"/>
      <c r="Q4018" s="17"/>
    </row>
    <row r="4019" spans="2:17">
      <c r="B4019" s="17"/>
      <c r="C4019" s="16" t="str">
        <f>IFERROR(VLOOKUP(DATA!#REF!,DATA!#REF!,1,FALSE),"")</f>
        <v/>
      </c>
      <c r="D4019" s="16" t="str">
        <f>IFERROR(VLOOKUP(C4019,DATA!#REF!,2,FALSE),"")</f>
        <v/>
      </c>
      <c r="I4019" s="17"/>
      <c r="J4019" s="17"/>
      <c r="P4019" s="17"/>
      <c r="Q4019" s="17"/>
    </row>
    <row r="4020" spans="2:17">
      <c r="B4020" s="17"/>
      <c r="C4020" s="16" t="str">
        <f>IFERROR(VLOOKUP(DATA!#REF!,DATA!#REF!,1,FALSE),"")</f>
        <v/>
      </c>
      <c r="D4020" s="16" t="str">
        <f>IFERROR(VLOOKUP(C4020,DATA!#REF!,2,FALSE),"")</f>
        <v/>
      </c>
      <c r="I4020" s="17"/>
      <c r="J4020" s="17"/>
      <c r="P4020" s="17"/>
      <c r="Q4020" s="17"/>
    </row>
    <row r="4021" spans="2:17">
      <c r="B4021" s="17"/>
      <c r="C4021" s="16" t="str">
        <f>IFERROR(VLOOKUP(DATA!#REF!,DATA!#REF!,1,FALSE),"")</f>
        <v/>
      </c>
      <c r="D4021" s="16" t="str">
        <f>IFERROR(VLOOKUP(C4021,DATA!#REF!,2,FALSE),"")</f>
        <v/>
      </c>
      <c r="I4021" s="17"/>
      <c r="J4021" s="17"/>
      <c r="P4021" s="17"/>
      <c r="Q4021" s="17"/>
    </row>
    <row r="4022" spans="2:17">
      <c r="B4022" s="17"/>
      <c r="C4022" s="16" t="str">
        <f>IFERROR(VLOOKUP(DATA!#REF!,DATA!#REF!,1,FALSE),"")</f>
        <v/>
      </c>
      <c r="D4022" s="16" t="str">
        <f>IFERROR(VLOOKUP(C4022,DATA!#REF!,2,FALSE),"")</f>
        <v/>
      </c>
      <c r="I4022" s="17"/>
      <c r="J4022" s="17"/>
      <c r="P4022" s="17"/>
      <c r="Q4022" s="17"/>
    </row>
    <row r="4023" spans="2:17">
      <c r="B4023" s="17"/>
      <c r="C4023" s="16" t="str">
        <f>IFERROR(VLOOKUP(DATA!#REF!,DATA!#REF!,1,FALSE),"")</f>
        <v/>
      </c>
      <c r="D4023" s="16" t="str">
        <f>IFERROR(VLOOKUP(C4023,DATA!#REF!,2,FALSE),"")</f>
        <v/>
      </c>
      <c r="I4023" s="17"/>
      <c r="J4023" s="17"/>
      <c r="P4023" s="17"/>
      <c r="Q4023" s="17"/>
    </row>
    <row r="4024" spans="2:17">
      <c r="B4024" s="17"/>
      <c r="C4024" s="16" t="str">
        <f>IFERROR(VLOOKUP(DATA!#REF!,DATA!#REF!,1,FALSE),"")</f>
        <v/>
      </c>
      <c r="D4024" s="16" t="str">
        <f>IFERROR(VLOOKUP(C4024,DATA!#REF!,2,FALSE),"")</f>
        <v/>
      </c>
      <c r="I4024" s="17"/>
      <c r="J4024" s="17"/>
      <c r="P4024" s="17"/>
      <c r="Q4024" s="17"/>
    </row>
    <row r="4025" spans="2:17">
      <c r="B4025" s="17"/>
      <c r="C4025" s="16" t="str">
        <f>IFERROR(VLOOKUP(DATA!#REF!,DATA!#REF!,1,FALSE),"")</f>
        <v/>
      </c>
      <c r="D4025" s="16" t="str">
        <f>IFERROR(VLOOKUP(C4025,DATA!#REF!,2,FALSE),"")</f>
        <v/>
      </c>
      <c r="I4025" s="17"/>
      <c r="J4025" s="17"/>
      <c r="P4025" s="17"/>
      <c r="Q4025" s="17"/>
    </row>
    <row r="4026" spans="2:17">
      <c r="B4026" s="17"/>
      <c r="C4026" s="16" t="str">
        <f>IFERROR(VLOOKUP(DATA!#REF!,DATA!#REF!,1,FALSE),"")</f>
        <v/>
      </c>
      <c r="D4026" s="16" t="str">
        <f>IFERROR(VLOOKUP(C4026,DATA!#REF!,2,FALSE),"")</f>
        <v/>
      </c>
      <c r="I4026" s="17"/>
      <c r="J4026" s="17"/>
      <c r="P4026" s="17"/>
      <c r="Q4026" s="17"/>
    </row>
    <row r="4027" spans="2:17">
      <c r="B4027" s="17"/>
      <c r="C4027" s="16" t="str">
        <f>IFERROR(VLOOKUP(DATA!#REF!,DATA!#REF!,1,FALSE),"")</f>
        <v/>
      </c>
      <c r="D4027" s="16" t="str">
        <f>IFERROR(VLOOKUP(C4027,DATA!#REF!,2,FALSE),"")</f>
        <v/>
      </c>
      <c r="I4027" s="17"/>
      <c r="J4027" s="17"/>
      <c r="P4027" s="17"/>
      <c r="Q4027" s="17"/>
    </row>
    <row r="4028" spans="2:17">
      <c r="B4028" s="17"/>
      <c r="C4028" s="16" t="str">
        <f>IFERROR(VLOOKUP(DATA!#REF!,DATA!#REF!,1,FALSE),"")</f>
        <v/>
      </c>
      <c r="D4028" s="16" t="str">
        <f>IFERROR(VLOOKUP(C4028,DATA!#REF!,2,FALSE),"")</f>
        <v/>
      </c>
      <c r="I4028" s="17"/>
      <c r="J4028" s="17"/>
      <c r="P4028" s="17"/>
      <c r="Q4028" s="17"/>
    </row>
    <row r="4029" spans="2:17">
      <c r="B4029" s="17"/>
      <c r="C4029" s="16" t="str">
        <f>IFERROR(VLOOKUP(DATA!#REF!,DATA!#REF!,1,FALSE),"")</f>
        <v/>
      </c>
      <c r="D4029" s="16" t="str">
        <f>IFERROR(VLOOKUP(C4029,DATA!#REF!,2,FALSE),"")</f>
        <v/>
      </c>
      <c r="I4029" s="17"/>
      <c r="J4029" s="17"/>
      <c r="P4029" s="17"/>
      <c r="Q4029" s="17"/>
    </row>
    <row r="4030" spans="2:17">
      <c r="B4030" s="17"/>
      <c r="C4030" s="16" t="str">
        <f>IFERROR(VLOOKUP(DATA!#REF!,DATA!#REF!,1,FALSE),"")</f>
        <v/>
      </c>
      <c r="D4030" s="16" t="str">
        <f>IFERROR(VLOOKUP(C4030,DATA!#REF!,2,FALSE),"")</f>
        <v/>
      </c>
      <c r="I4030" s="17"/>
      <c r="J4030" s="17"/>
      <c r="P4030" s="17"/>
      <c r="Q4030" s="17"/>
    </row>
    <row r="4031" spans="2:17">
      <c r="B4031" s="17"/>
      <c r="C4031" s="16" t="str">
        <f>IFERROR(VLOOKUP(DATA!#REF!,DATA!#REF!,1,FALSE),"")</f>
        <v/>
      </c>
      <c r="D4031" s="16" t="str">
        <f>IFERROR(VLOOKUP(C4031,DATA!#REF!,2,FALSE),"")</f>
        <v/>
      </c>
      <c r="I4031" s="17"/>
      <c r="J4031" s="17"/>
      <c r="P4031" s="17"/>
      <c r="Q4031" s="17"/>
    </row>
    <row r="4032" spans="2:17">
      <c r="B4032" s="17"/>
      <c r="C4032" s="16" t="str">
        <f>IFERROR(VLOOKUP(DATA!#REF!,DATA!#REF!,1,FALSE),"")</f>
        <v/>
      </c>
      <c r="D4032" s="16" t="str">
        <f>IFERROR(VLOOKUP(C4032,DATA!#REF!,2,FALSE),"")</f>
        <v/>
      </c>
      <c r="I4032" s="17"/>
      <c r="J4032" s="17"/>
      <c r="P4032" s="17"/>
      <c r="Q4032" s="17"/>
    </row>
    <row r="4033" spans="2:17">
      <c r="B4033" s="17"/>
      <c r="C4033" s="16" t="str">
        <f>IFERROR(VLOOKUP(DATA!#REF!,DATA!#REF!,1,FALSE),"")</f>
        <v/>
      </c>
      <c r="D4033" s="16" t="str">
        <f>IFERROR(VLOOKUP(C4033,DATA!#REF!,2,FALSE),"")</f>
        <v/>
      </c>
      <c r="I4033" s="17"/>
      <c r="J4033" s="17"/>
      <c r="P4033" s="17"/>
      <c r="Q4033" s="17"/>
    </row>
    <row r="4034" spans="2:17">
      <c r="B4034" s="17"/>
      <c r="C4034" s="16" t="str">
        <f>IFERROR(VLOOKUP(DATA!#REF!,DATA!#REF!,1,FALSE),"")</f>
        <v/>
      </c>
      <c r="D4034" s="16" t="str">
        <f>IFERROR(VLOOKUP(C4034,DATA!#REF!,2,FALSE),"")</f>
        <v/>
      </c>
      <c r="I4034" s="17"/>
      <c r="J4034" s="17"/>
      <c r="P4034" s="17"/>
      <c r="Q4034" s="17"/>
    </row>
    <row r="4035" spans="2:17">
      <c r="B4035" s="17"/>
      <c r="C4035" s="16" t="str">
        <f>IFERROR(VLOOKUP(DATA!#REF!,DATA!#REF!,1,FALSE),"")</f>
        <v/>
      </c>
      <c r="D4035" s="16" t="str">
        <f>IFERROR(VLOOKUP(C4035,DATA!#REF!,2,FALSE),"")</f>
        <v/>
      </c>
      <c r="I4035" s="17"/>
      <c r="J4035" s="17"/>
      <c r="P4035" s="17"/>
      <c r="Q4035" s="17"/>
    </row>
    <row r="4036" spans="2:17">
      <c r="B4036" s="17"/>
      <c r="C4036" s="16" t="str">
        <f>IFERROR(VLOOKUP(DATA!#REF!,DATA!#REF!,1,FALSE),"")</f>
        <v/>
      </c>
      <c r="D4036" s="16" t="str">
        <f>IFERROR(VLOOKUP(C4036,DATA!#REF!,2,FALSE),"")</f>
        <v/>
      </c>
      <c r="I4036" s="17"/>
      <c r="J4036" s="17"/>
      <c r="P4036" s="17"/>
      <c r="Q4036" s="17"/>
    </row>
    <row r="4037" spans="2:17">
      <c r="B4037" s="17"/>
      <c r="C4037" s="16" t="str">
        <f>IFERROR(VLOOKUP(DATA!#REF!,DATA!#REF!,1,FALSE),"")</f>
        <v/>
      </c>
      <c r="D4037" s="16" t="str">
        <f>IFERROR(VLOOKUP(C4037,DATA!#REF!,2,FALSE),"")</f>
        <v/>
      </c>
      <c r="I4037" s="17"/>
      <c r="J4037" s="17"/>
      <c r="P4037" s="17"/>
      <c r="Q4037" s="17"/>
    </row>
    <row r="4038" spans="2:17">
      <c r="B4038" s="17"/>
      <c r="C4038" s="16" t="str">
        <f>IFERROR(VLOOKUP(DATA!#REF!,DATA!#REF!,1,FALSE),"")</f>
        <v/>
      </c>
      <c r="D4038" s="16" t="str">
        <f>IFERROR(VLOOKUP(C4038,DATA!#REF!,2,FALSE),"")</f>
        <v/>
      </c>
      <c r="I4038" s="17"/>
      <c r="J4038" s="17"/>
      <c r="P4038" s="17"/>
      <c r="Q4038" s="17"/>
    </row>
    <row r="4039" spans="2:17">
      <c r="B4039" s="17"/>
      <c r="C4039" s="16" t="str">
        <f>IFERROR(VLOOKUP(DATA!#REF!,DATA!#REF!,1,FALSE),"")</f>
        <v/>
      </c>
      <c r="D4039" s="16" t="str">
        <f>IFERROR(VLOOKUP(C4039,DATA!#REF!,2,FALSE),"")</f>
        <v/>
      </c>
      <c r="I4039" s="17"/>
      <c r="J4039" s="17"/>
      <c r="P4039" s="17"/>
      <c r="Q4039" s="17"/>
    </row>
    <row r="4040" spans="2:17">
      <c r="B4040" s="17"/>
      <c r="C4040" s="16" t="str">
        <f>IFERROR(VLOOKUP(DATA!#REF!,DATA!#REF!,1,FALSE),"")</f>
        <v/>
      </c>
      <c r="D4040" s="16" t="str">
        <f>IFERROR(VLOOKUP(C4040,DATA!#REF!,2,FALSE),"")</f>
        <v/>
      </c>
      <c r="I4040" s="17"/>
      <c r="J4040" s="17"/>
      <c r="P4040" s="17"/>
      <c r="Q4040" s="17"/>
    </row>
    <row r="4041" spans="2:17">
      <c r="B4041" s="17"/>
      <c r="C4041" s="16" t="str">
        <f>IFERROR(VLOOKUP(DATA!#REF!,DATA!#REF!,1,FALSE),"")</f>
        <v/>
      </c>
      <c r="D4041" s="16" t="str">
        <f>IFERROR(VLOOKUP(C4041,DATA!#REF!,2,FALSE),"")</f>
        <v/>
      </c>
      <c r="I4041" s="17"/>
      <c r="J4041" s="17"/>
      <c r="P4041" s="17"/>
      <c r="Q4041" s="17"/>
    </row>
    <row r="4042" spans="2:17">
      <c r="B4042" s="17"/>
      <c r="C4042" s="16" t="str">
        <f>IFERROR(VLOOKUP(DATA!#REF!,DATA!#REF!,1,FALSE),"")</f>
        <v/>
      </c>
      <c r="D4042" s="16" t="str">
        <f>IFERROR(VLOOKUP(C4042,DATA!#REF!,2,FALSE),"")</f>
        <v/>
      </c>
      <c r="I4042" s="17"/>
      <c r="J4042" s="17"/>
      <c r="P4042" s="17"/>
      <c r="Q4042" s="17"/>
    </row>
    <row r="4043" spans="2:17">
      <c r="B4043" s="17"/>
      <c r="C4043" s="16" t="str">
        <f>IFERROR(VLOOKUP(DATA!#REF!,DATA!#REF!,1,FALSE),"")</f>
        <v/>
      </c>
      <c r="D4043" s="16" t="str">
        <f>IFERROR(VLOOKUP(C4043,DATA!#REF!,2,FALSE),"")</f>
        <v/>
      </c>
      <c r="I4043" s="17"/>
      <c r="J4043" s="17"/>
      <c r="P4043" s="17"/>
      <c r="Q4043" s="17"/>
    </row>
    <row r="4044" spans="2:17">
      <c r="B4044" s="17"/>
      <c r="C4044" s="16" t="str">
        <f>IFERROR(VLOOKUP(DATA!#REF!,DATA!#REF!,1,FALSE),"")</f>
        <v/>
      </c>
      <c r="D4044" s="16" t="str">
        <f>IFERROR(VLOOKUP(C4044,DATA!#REF!,2,FALSE),"")</f>
        <v/>
      </c>
      <c r="I4044" s="17"/>
      <c r="J4044" s="17"/>
      <c r="P4044" s="17"/>
      <c r="Q4044" s="17"/>
    </row>
    <row r="4045" spans="2:17">
      <c r="B4045" s="17"/>
      <c r="C4045" s="16" t="str">
        <f>IFERROR(VLOOKUP(DATA!#REF!,DATA!#REF!,1,FALSE),"")</f>
        <v/>
      </c>
      <c r="D4045" s="16" t="str">
        <f>IFERROR(VLOOKUP(C4045,DATA!#REF!,2,FALSE),"")</f>
        <v/>
      </c>
      <c r="I4045" s="17"/>
      <c r="J4045" s="17"/>
      <c r="P4045" s="17"/>
      <c r="Q4045" s="17"/>
    </row>
    <row r="4046" spans="2:17">
      <c r="B4046" s="17"/>
      <c r="C4046" s="16" t="str">
        <f>IFERROR(VLOOKUP(DATA!#REF!,DATA!#REF!,1,FALSE),"")</f>
        <v/>
      </c>
      <c r="D4046" s="16" t="str">
        <f>IFERROR(VLOOKUP(C4046,DATA!#REF!,2,FALSE),"")</f>
        <v/>
      </c>
      <c r="I4046" s="17"/>
      <c r="J4046" s="17"/>
      <c r="P4046" s="17"/>
      <c r="Q4046" s="17"/>
    </row>
    <row r="4047" spans="2:17">
      <c r="B4047" s="17"/>
      <c r="C4047" s="16" t="str">
        <f>IFERROR(VLOOKUP(DATA!#REF!,DATA!#REF!,1,FALSE),"")</f>
        <v/>
      </c>
      <c r="D4047" s="16" t="str">
        <f>IFERROR(VLOOKUP(C4047,DATA!#REF!,2,FALSE),"")</f>
        <v/>
      </c>
      <c r="I4047" s="17"/>
      <c r="J4047" s="17"/>
      <c r="P4047" s="17"/>
      <c r="Q4047" s="17"/>
    </row>
    <row r="4048" spans="2:17">
      <c r="B4048" s="17"/>
      <c r="C4048" s="16" t="str">
        <f>IFERROR(VLOOKUP(DATA!#REF!,DATA!#REF!,1,FALSE),"")</f>
        <v/>
      </c>
      <c r="D4048" s="16" t="str">
        <f>IFERROR(VLOOKUP(C4048,DATA!#REF!,2,FALSE),"")</f>
        <v/>
      </c>
      <c r="I4048" s="17"/>
      <c r="J4048" s="17"/>
      <c r="P4048" s="17"/>
      <c r="Q4048" s="17"/>
    </row>
    <row r="4049" spans="2:17">
      <c r="B4049" s="17"/>
      <c r="C4049" s="16" t="str">
        <f>IFERROR(VLOOKUP(DATA!#REF!,DATA!#REF!,1,FALSE),"")</f>
        <v/>
      </c>
      <c r="D4049" s="16" t="str">
        <f>IFERROR(VLOOKUP(C4049,DATA!#REF!,2,FALSE),"")</f>
        <v/>
      </c>
      <c r="I4049" s="17"/>
      <c r="J4049" s="17"/>
      <c r="P4049" s="17"/>
      <c r="Q4049" s="17"/>
    </row>
    <row r="4050" spans="2:17">
      <c r="B4050" s="17"/>
      <c r="C4050" s="16" t="str">
        <f>IFERROR(VLOOKUP(DATA!#REF!,DATA!#REF!,1,FALSE),"")</f>
        <v/>
      </c>
      <c r="D4050" s="16" t="str">
        <f>IFERROR(VLOOKUP(C4050,DATA!#REF!,2,FALSE),"")</f>
        <v/>
      </c>
      <c r="I4050" s="17"/>
      <c r="J4050" s="17"/>
      <c r="P4050" s="17"/>
      <c r="Q4050" s="17"/>
    </row>
    <row r="4051" spans="2:17">
      <c r="B4051" s="17"/>
      <c r="C4051" s="16" t="str">
        <f>IFERROR(VLOOKUP(DATA!#REF!,DATA!#REF!,1,FALSE),"")</f>
        <v/>
      </c>
      <c r="D4051" s="16" t="str">
        <f>IFERROR(VLOOKUP(C4051,DATA!#REF!,2,FALSE),"")</f>
        <v/>
      </c>
      <c r="I4051" s="17"/>
      <c r="J4051" s="17"/>
      <c r="P4051" s="17"/>
      <c r="Q4051" s="17"/>
    </row>
    <row r="4052" spans="2:17">
      <c r="B4052" s="17"/>
      <c r="C4052" s="16" t="str">
        <f>IFERROR(VLOOKUP(DATA!#REF!,DATA!#REF!,1,FALSE),"")</f>
        <v/>
      </c>
      <c r="D4052" s="16" t="str">
        <f>IFERROR(VLOOKUP(C4052,DATA!#REF!,2,FALSE),"")</f>
        <v/>
      </c>
      <c r="I4052" s="17"/>
      <c r="J4052" s="17"/>
      <c r="P4052" s="17"/>
      <c r="Q4052" s="17"/>
    </row>
    <row r="4053" spans="2:17">
      <c r="B4053" s="17"/>
      <c r="C4053" s="16" t="str">
        <f>IFERROR(VLOOKUP(DATA!#REF!,DATA!#REF!,1,FALSE),"")</f>
        <v/>
      </c>
      <c r="D4053" s="16" t="str">
        <f>IFERROR(VLOOKUP(C4053,DATA!#REF!,2,FALSE),"")</f>
        <v/>
      </c>
      <c r="I4053" s="17"/>
      <c r="J4053" s="17"/>
      <c r="P4053" s="17"/>
      <c r="Q4053" s="17"/>
    </row>
    <row r="4054" spans="2:17">
      <c r="B4054" s="17"/>
      <c r="C4054" s="16" t="str">
        <f>IFERROR(VLOOKUP(DATA!#REF!,DATA!#REF!,1,FALSE),"")</f>
        <v/>
      </c>
      <c r="D4054" s="16" t="str">
        <f>IFERROR(VLOOKUP(C4054,DATA!#REF!,2,FALSE),"")</f>
        <v/>
      </c>
      <c r="I4054" s="17"/>
      <c r="J4054" s="17"/>
      <c r="P4054" s="17"/>
      <c r="Q4054" s="17"/>
    </row>
    <row r="4055" spans="2:17">
      <c r="B4055" s="17"/>
      <c r="C4055" s="16" t="str">
        <f>IFERROR(VLOOKUP(DATA!#REF!,DATA!#REF!,1,FALSE),"")</f>
        <v/>
      </c>
      <c r="D4055" s="16" t="str">
        <f>IFERROR(VLOOKUP(C4055,DATA!#REF!,2,FALSE),"")</f>
        <v/>
      </c>
      <c r="I4055" s="17"/>
      <c r="J4055" s="17"/>
      <c r="P4055" s="17"/>
      <c r="Q4055" s="17"/>
    </row>
    <row r="4056" spans="2:17">
      <c r="B4056" s="17"/>
      <c r="C4056" s="16" t="str">
        <f>IFERROR(VLOOKUP(DATA!#REF!,DATA!#REF!,1,FALSE),"")</f>
        <v/>
      </c>
      <c r="D4056" s="16" t="str">
        <f>IFERROR(VLOOKUP(C4056,DATA!#REF!,2,FALSE),"")</f>
        <v/>
      </c>
      <c r="I4056" s="17"/>
      <c r="J4056" s="17"/>
      <c r="P4056" s="17"/>
      <c r="Q4056" s="17"/>
    </row>
    <row r="4057" spans="2:17">
      <c r="B4057" s="17"/>
      <c r="C4057" s="16" t="str">
        <f>IFERROR(VLOOKUP(DATA!#REF!,DATA!#REF!,1,FALSE),"")</f>
        <v/>
      </c>
      <c r="D4057" s="16" t="str">
        <f>IFERROR(VLOOKUP(C4057,DATA!#REF!,2,FALSE),"")</f>
        <v/>
      </c>
      <c r="I4057" s="17"/>
      <c r="J4057" s="17"/>
      <c r="P4057" s="17"/>
      <c r="Q4057" s="17"/>
    </row>
    <row r="4058" spans="2:17">
      <c r="B4058" s="17"/>
      <c r="C4058" s="16" t="str">
        <f>IFERROR(VLOOKUP(DATA!#REF!,DATA!#REF!,1,FALSE),"")</f>
        <v/>
      </c>
      <c r="D4058" s="16" t="str">
        <f>IFERROR(VLOOKUP(C4058,DATA!#REF!,2,FALSE),"")</f>
        <v/>
      </c>
      <c r="I4058" s="17"/>
      <c r="J4058" s="17"/>
      <c r="P4058" s="17"/>
      <c r="Q4058" s="17"/>
    </row>
    <row r="4059" spans="2:17">
      <c r="B4059" s="17"/>
      <c r="C4059" s="16" t="str">
        <f>IFERROR(VLOOKUP(DATA!#REF!,DATA!#REF!,1,FALSE),"")</f>
        <v/>
      </c>
      <c r="D4059" s="16" t="str">
        <f>IFERROR(VLOOKUP(C4059,DATA!#REF!,2,FALSE),"")</f>
        <v/>
      </c>
      <c r="I4059" s="17"/>
      <c r="J4059" s="17"/>
      <c r="P4059" s="17"/>
      <c r="Q4059" s="17"/>
    </row>
    <row r="4060" spans="2:17">
      <c r="B4060" s="17"/>
      <c r="C4060" s="16" t="str">
        <f>IFERROR(VLOOKUP(DATA!#REF!,DATA!#REF!,1,FALSE),"")</f>
        <v/>
      </c>
      <c r="D4060" s="16" t="str">
        <f>IFERROR(VLOOKUP(C4060,DATA!#REF!,2,FALSE),"")</f>
        <v/>
      </c>
      <c r="I4060" s="17"/>
      <c r="J4060" s="17"/>
      <c r="P4060" s="17"/>
      <c r="Q4060" s="17"/>
    </row>
    <row r="4061" spans="2:17">
      <c r="B4061" s="17"/>
      <c r="C4061" s="16" t="str">
        <f>IFERROR(VLOOKUP(DATA!#REF!,DATA!#REF!,1,FALSE),"")</f>
        <v/>
      </c>
      <c r="D4061" s="16" t="str">
        <f>IFERROR(VLOOKUP(C4061,DATA!#REF!,2,FALSE),"")</f>
        <v/>
      </c>
      <c r="I4061" s="17"/>
      <c r="J4061" s="17"/>
      <c r="P4061" s="17"/>
      <c r="Q4061" s="17"/>
    </row>
    <row r="4062" spans="2:17">
      <c r="B4062" s="17"/>
      <c r="C4062" s="16" t="str">
        <f>IFERROR(VLOOKUP(DATA!#REF!,DATA!#REF!,1,FALSE),"")</f>
        <v/>
      </c>
      <c r="D4062" s="16" t="str">
        <f>IFERROR(VLOOKUP(C4062,DATA!#REF!,2,FALSE),"")</f>
        <v/>
      </c>
      <c r="I4062" s="17"/>
      <c r="J4062" s="17"/>
      <c r="P4062" s="17"/>
      <c r="Q4062" s="17"/>
    </row>
    <row r="4063" spans="2:17">
      <c r="B4063" s="17"/>
      <c r="C4063" s="16" t="str">
        <f>IFERROR(VLOOKUP(DATA!#REF!,DATA!#REF!,1,FALSE),"")</f>
        <v/>
      </c>
      <c r="D4063" s="16" t="str">
        <f>IFERROR(VLOOKUP(C4063,DATA!#REF!,2,FALSE),"")</f>
        <v/>
      </c>
      <c r="I4063" s="17"/>
      <c r="J4063" s="17"/>
      <c r="P4063" s="17"/>
      <c r="Q4063" s="17"/>
    </row>
    <row r="4064" spans="2:17">
      <c r="B4064" s="17"/>
      <c r="C4064" s="16" t="str">
        <f>IFERROR(VLOOKUP(DATA!#REF!,DATA!#REF!,1,FALSE),"")</f>
        <v/>
      </c>
      <c r="D4064" s="16" t="str">
        <f>IFERROR(VLOOKUP(C4064,DATA!#REF!,2,FALSE),"")</f>
        <v/>
      </c>
      <c r="I4064" s="17"/>
      <c r="J4064" s="17"/>
      <c r="P4064" s="17"/>
      <c r="Q4064" s="17"/>
    </row>
    <row r="4065" spans="2:17">
      <c r="B4065" s="17"/>
      <c r="C4065" s="16" t="str">
        <f>IFERROR(VLOOKUP(DATA!#REF!,DATA!#REF!,1,FALSE),"")</f>
        <v/>
      </c>
      <c r="D4065" s="16" t="str">
        <f>IFERROR(VLOOKUP(C4065,DATA!#REF!,2,FALSE),"")</f>
        <v/>
      </c>
      <c r="I4065" s="17"/>
      <c r="J4065" s="17"/>
      <c r="P4065" s="17"/>
      <c r="Q4065" s="17"/>
    </row>
    <row r="4066" spans="2:17">
      <c r="B4066" s="17"/>
      <c r="C4066" s="16" t="str">
        <f>IFERROR(VLOOKUP(DATA!#REF!,DATA!#REF!,1,FALSE),"")</f>
        <v/>
      </c>
      <c r="D4066" s="16" t="str">
        <f>IFERROR(VLOOKUP(C4066,DATA!#REF!,2,FALSE),"")</f>
        <v/>
      </c>
      <c r="I4066" s="17"/>
      <c r="J4066" s="17"/>
      <c r="P4066" s="17"/>
      <c r="Q4066" s="17"/>
    </row>
    <row r="4067" spans="2:17">
      <c r="B4067" s="17"/>
      <c r="C4067" s="16" t="str">
        <f>IFERROR(VLOOKUP(DATA!#REF!,DATA!#REF!,1,FALSE),"")</f>
        <v/>
      </c>
      <c r="D4067" s="16" t="str">
        <f>IFERROR(VLOOKUP(C4067,DATA!#REF!,2,FALSE),"")</f>
        <v/>
      </c>
      <c r="I4067" s="17"/>
      <c r="J4067" s="17"/>
      <c r="P4067" s="17"/>
      <c r="Q4067" s="17"/>
    </row>
    <row r="4068" spans="2:17">
      <c r="B4068" s="17"/>
      <c r="C4068" s="16" t="str">
        <f>IFERROR(VLOOKUP(DATA!#REF!,DATA!#REF!,1,FALSE),"")</f>
        <v/>
      </c>
      <c r="D4068" s="16" t="str">
        <f>IFERROR(VLOOKUP(C4068,DATA!#REF!,2,FALSE),"")</f>
        <v/>
      </c>
      <c r="I4068" s="17"/>
      <c r="J4068" s="17"/>
      <c r="P4068" s="17"/>
      <c r="Q4068" s="17"/>
    </row>
    <row r="4069" spans="2:17">
      <c r="B4069" s="17"/>
      <c r="C4069" s="16" t="str">
        <f>IFERROR(VLOOKUP(DATA!#REF!,DATA!#REF!,1,FALSE),"")</f>
        <v/>
      </c>
      <c r="D4069" s="16" t="str">
        <f>IFERROR(VLOOKUP(C4069,DATA!#REF!,2,FALSE),"")</f>
        <v/>
      </c>
      <c r="I4069" s="17"/>
      <c r="J4069" s="17"/>
      <c r="P4069" s="17"/>
      <c r="Q4069" s="17"/>
    </row>
    <row r="4070" spans="2:17">
      <c r="B4070" s="17"/>
      <c r="C4070" s="16" t="str">
        <f>IFERROR(VLOOKUP(DATA!#REF!,DATA!#REF!,1,FALSE),"")</f>
        <v/>
      </c>
      <c r="D4070" s="16" t="str">
        <f>IFERROR(VLOOKUP(C4070,DATA!#REF!,2,FALSE),"")</f>
        <v/>
      </c>
      <c r="I4070" s="17"/>
      <c r="J4070" s="17"/>
      <c r="P4070" s="17"/>
      <c r="Q4070" s="17"/>
    </row>
    <row r="4071" spans="2:17">
      <c r="B4071" s="17"/>
      <c r="C4071" s="16" t="str">
        <f>IFERROR(VLOOKUP(DATA!#REF!,DATA!#REF!,1,FALSE),"")</f>
        <v/>
      </c>
      <c r="D4071" s="16" t="str">
        <f>IFERROR(VLOOKUP(C4071,DATA!#REF!,2,FALSE),"")</f>
        <v/>
      </c>
      <c r="I4071" s="17"/>
      <c r="J4071" s="17"/>
      <c r="P4071" s="17"/>
      <c r="Q4071" s="17"/>
    </row>
    <row r="4072" spans="2:17">
      <c r="B4072" s="17"/>
      <c r="C4072" s="16" t="str">
        <f>IFERROR(VLOOKUP(DATA!#REF!,DATA!#REF!,1,FALSE),"")</f>
        <v/>
      </c>
      <c r="D4072" s="16" t="str">
        <f>IFERROR(VLOOKUP(C4072,DATA!#REF!,2,FALSE),"")</f>
        <v/>
      </c>
      <c r="I4072" s="17"/>
      <c r="J4072" s="17"/>
      <c r="P4072" s="17"/>
      <c r="Q4072" s="17"/>
    </row>
    <row r="4073" spans="2:17">
      <c r="B4073" s="17"/>
      <c r="C4073" s="16" t="str">
        <f>IFERROR(VLOOKUP(DATA!#REF!,DATA!#REF!,1,FALSE),"")</f>
        <v/>
      </c>
      <c r="D4073" s="16" t="str">
        <f>IFERROR(VLOOKUP(C4073,DATA!#REF!,2,FALSE),"")</f>
        <v/>
      </c>
      <c r="I4073" s="17"/>
      <c r="J4073" s="17"/>
      <c r="P4073" s="17"/>
      <c r="Q4073" s="17"/>
    </row>
    <row r="4074" spans="2:17">
      <c r="B4074" s="17"/>
      <c r="C4074" s="16" t="str">
        <f>IFERROR(VLOOKUP(DATA!#REF!,DATA!#REF!,1,FALSE),"")</f>
        <v/>
      </c>
      <c r="D4074" s="16" t="str">
        <f>IFERROR(VLOOKUP(C4074,DATA!#REF!,2,FALSE),"")</f>
        <v/>
      </c>
      <c r="I4074" s="17"/>
      <c r="J4074" s="17"/>
      <c r="P4074" s="17"/>
      <c r="Q4074" s="17"/>
    </row>
    <row r="4075" spans="2:17">
      <c r="B4075" s="17"/>
      <c r="C4075" s="16" t="str">
        <f>IFERROR(VLOOKUP(DATA!#REF!,DATA!#REF!,1,FALSE),"")</f>
        <v/>
      </c>
      <c r="D4075" s="16" t="str">
        <f>IFERROR(VLOOKUP(C4075,DATA!#REF!,2,FALSE),"")</f>
        <v/>
      </c>
      <c r="I4075" s="17"/>
      <c r="J4075" s="17"/>
      <c r="P4075" s="17"/>
      <c r="Q4075" s="17"/>
    </row>
    <row r="4076" spans="2:17">
      <c r="B4076" s="17"/>
      <c r="C4076" s="16" t="str">
        <f>IFERROR(VLOOKUP(DATA!#REF!,DATA!#REF!,1,FALSE),"")</f>
        <v/>
      </c>
      <c r="D4076" s="16" t="str">
        <f>IFERROR(VLOOKUP(C4076,DATA!#REF!,2,FALSE),"")</f>
        <v/>
      </c>
      <c r="I4076" s="17"/>
      <c r="J4076" s="17"/>
      <c r="P4076" s="17"/>
      <c r="Q4076" s="17"/>
    </row>
    <row r="4077" spans="2:17">
      <c r="B4077" s="17"/>
      <c r="C4077" s="16" t="str">
        <f>IFERROR(VLOOKUP(DATA!#REF!,DATA!#REF!,1,FALSE),"")</f>
        <v/>
      </c>
      <c r="D4077" s="16" t="str">
        <f>IFERROR(VLOOKUP(C4077,DATA!#REF!,2,FALSE),"")</f>
        <v/>
      </c>
      <c r="I4077" s="17"/>
      <c r="J4077" s="17"/>
      <c r="P4077" s="17"/>
      <c r="Q4077" s="17"/>
    </row>
    <row r="4078" spans="2:17">
      <c r="B4078" s="17"/>
      <c r="C4078" s="16" t="str">
        <f>IFERROR(VLOOKUP(DATA!#REF!,DATA!#REF!,1,FALSE),"")</f>
        <v/>
      </c>
      <c r="D4078" s="16" t="str">
        <f>IFERROR(VLOOKUP(C4078,DATA!#REF!,2,FALSE),"")</f>
        <v/>
      </c>
      <c r="I4078" s="17"/>
      <c r="J4078" s="17"/>
      <c r="P4078" s="17"/>
      <c r="Q4078" s="17"/>
    </row>
    <row r="4079" spans="2:17">
      <c r="B4079" s="17"/>
      <c r="C4079" s="16" t="str">
        <f>IFERROR(VLOOKUP(DATA!#REF!,DATA!#REF!,1,FALSE),"")</f>
        <v/>
      </c>
      <c r="D4079" s="16" t="str">
        <f>IFERROR(VLOOKUP(C4079,DATA!#REF!,2,FALSE),"")</f>
        <v/>
      </c>
      <c r="I4079" s="17"/>
      <c r="J4079" s="17"/>
      <c r="P4079" s="17"/>
      <c r="Q4079" s="17"/>
    </row>
    <row r="4080" spans="2:17">
      <c r="B4080" s="17"/>
      <c r="C4080" s="16" t="str">
        <f>IFERROR(VLOOKUP(DATA!#REF!,DATA!#REF!,1,FALSE),"")</f>
        <v/>
      </c>
      <c r="D4080" s="16" t="str">
        <f>IFERROR(VLOOKUP(C4080,DATA!#REF!,2,FALSE),"")</f>
        <v/>
      </c>
      <c r="I4080" s="17"/>
      <c r="J4080" s="17"/>
      <c r="P4080" s="17"/>
      <c r="Q4080" s="17"/>
    </row>
    <row r="4081" spans="2:17">
      <c r="B4081" s="17"/>
      <c r="C4081" s="16" t="str">
        <f>IFERROR(VLOOKUP(DATA!#REF!,DATA!#REF!,1,FALSE),"")</f>
        <v/>
      </c>
      <c r="D4081" s="16" t="str">
        <f>IFERROR(VLOOKUP(C4081,DATA!#REF!,2,FALSE),"")</f>
        <v/>
      </c>
      <c r="I4081" s="17"/>
      <c r="J4081" s="17"/>
      <c r="P4081" s="17"/>
      <c r="Q4081" s="17"/>
    </row>
    <row r="4082" spans="2:17">
      <c r="B4082" s="17"/>
      <c r="C4082" s="16" t="str">
        <f>IFERROR(VLOOKUP(DATA!#REF!,DATA!#REF!,1,FALSE),"")</f>
        <v/>
      </c>
      <c r="D4082" s="16" t="str">
        <f>IFERROR(VLOOKUP(C4082,DATA!#REF!,2,FALSE),"")</f>
        <v/>
      </c>
      <c r="I4082" s="17"/>
      <c r="J4082" s="17"/>
      <c r="P4082" s="17"/>
      <c r="Q4082" s="17"/>
    </row>
    <row r="4083" spans="2:17">
      <c r="B4083" s="17"/>
      <c r="C4083" s="16" t="str">
        <f>IFERROR(VLOOKUP(DATA!#REF!,DATA!#REF!,1,FALSE),"")</f>
        <v/>
      </c>
      <c r="D4083" s="16" t="str">
        <f>IFERROR(VLOOKUP(C4083,DATA!#REF!,2,FALSE),"")</f>
        <v/>
      </c>
      <c r="I4083" s="17"/>
      <c r="J4083" s="17"/>
      <c r="P4083" s="17"/>
      <c r="Q4083" s="17"/>
    </row>
    <row r="4084" spans="2:17">
      <c r="B4084" s="17"/>
      <c r="C4084" s="16" t="str">
        <f>IFERROR(VLOOKUP(DATA!#REF!,DATA!#REF!,1,FALSE),"")</f>
        <v/>
      </c>
      <c r="D4084" s="16" t="str">
        <f>IFERROR(VLOOKUP(C4084,DATA!#REF!,2,FALSE),"")</f>
        <v/>
      </c>
      <c r="I4084" s="17"/>
      <c r="J4084" s="17"/>
      <c r="P4084" s="17"/>
      <c r="Q4084" s="17"/>
    </row>
    <row r="4085" spans="2:17">
      <c r="B4085" s="17"/>
      <c r="C4085" s="16" t="str">
        <f>IFERROR(VLOOKUP(DATA!#REF!,DATA!#REF!,1,FALSE),"")</f>
        <v/>
      </c>
      <c r="D4085" s="16" t="str">
        <f>IFERROR(VLOOKUP(C4085,DATA!#REF!,2,FALSE),"")</f>
        <v/>
      </c>
      <c r="I4085" s="17"/>
      <c r="J4085" s="17"/>
      <c r="P4085" s="17"/>
      <c r="Q4085" s="17"/>
    </row>
    <row r="4086" spans="2:17">
      <c r="B4086" s="17"/>
      <c r="C4086" s="16" t="str">
        <f>IFERROR(VLOOKUP(DATA!#REF!,DATA!#REF!,1,FALSE),"")</f>
        <v/>
      </c>
      <c r="D4086" s="16" t="str">
        <f>IFERROR(VLOOKUP(C4086,DATA!#REF!,2,FALSE),"")</f>
        <v/>
      </c>
      <c r="I4086" s="17"/>
      <c r="J4086" s="17"/>
      <c r="P4086" s="17"/>
      <c r="Q4086" s="17"/>
    </row>
    <row r="4087" spans="2:17">
      <c r="B4087" s="17"/>
      <c r="C4087" s="16" t="str">
        <f>IFERROR(VLOOKUP(DATA!#REF!,DATA!#REF!,1,FALSE),"")</f>
        <v/>
      </c>
      <c r="D4087" s="16" t="str">
        <f>IFERROR(VLOOKUP(C4087,DATA!#REF!,2,FALSE),"")</f>
        <v/>
      </c>
      <c r="I4087" s="17"/>
      <c r="J4087" s="17"/>
      <c r="P4087" s="17"/>
      <c r="Q4087" s="17"/>
    </row>
    <row r="4088" spans="2:17">
      <c r="B4088" s="17"/>
      <c r="C4088" s="16" t="str">
        <f>IFERROR(VLOOKUP(DATA!#REF!,DATA!#REF!,1,FALSE),"")</f>
        <v/>
      </c>
      <c r="D4088" s="16" t="str">
        <f>IFERROR(VLOOKUP(C4088,DATA!#REF!,2,FALSE),"")</f>
        <v/>
      </c>
      <c r="I4088" s="17"/>
      <c r="J4088" s="17"/>
      <c r="P4088" s="17"/>
      <c r="Q4088" s="17"/>
    </row>
    <row r="4089" spans="2:17">
      <c r="B4089" s="17"/>
      <c r="C4089" s="16" t="str">
        <f>IFERROR(VLOOKUP(DATA!#REF!,DATA!#REF!,1,FALSE),"")</f>
        <v/>
      </c>
      <c r="D4089" s="16" t="str">
        <f>IFERROR(VLOOKUP(C4089,DATA!#REF!,2,FALSE),"")</f>
        <v/>
      </c>
      <c r="I4089" s="17"/>
      <c r="J4089" s="17"/>
      <c r="P4089" s="17"/>
      <c r="Q4089" s="17"/>
    </row>
    <row r="4090" spans="2:17">
      <c r="B4090" s="17"/>
      <c r="C4090" s="16" t="str">
        <f>IFERROR(VLOOKUP(DATA!#REF!,DATA!#REF!,1,FALSE),"")</f>
        <v/>
      </c>
      <c r="D4090" s="16" t="str">
        <f>IFERROR(VLOOKUP(C4090,DATA!#REF!,2,FALSE),"")</f>
        <v/>
      </c>
      <c r="I4090" s="17"/>
      <c r="J4090" s="17"/>
      <c r="P4090" s="17"/>
      <c r="Q4090" s="17"/>
    </row>
    <row r="4091" spans="2:17">
      <c r="B4091" s="17"/>
      <c r="C4091" s="16" t="str">
        <f>IFERROR(VLOOKUP(DATA!#REF!,DATA!#REF!,1,FALSE),"")</f>
        <v/>
      </c>
      <c r="D4091" s="16" t="str">
        <f>IFERROR(VLOOKUP(C4091,DATA!#REF!,2,FALSE),"")</f>
        <v/>
      </c>
      <c r="I4091" s="17"/>
      <c r="J4091" s="17"/>
      <c r="P4091" s="17"/>
      <c r="Q4091" s="17"/>
    </row>
    <row r="4092" spans="2:17">
      <c r="B4092" s="17"/>
      <c r="C4092" s="16" t="str">
        <f>IFERROR(VLOOKUP(DATA!#REF!,DATA!#REF!,1,FALSE),"")</f>
        <v/>
      </c>
      <c r="D4092" s="16" t="str">
        <f>IFERROR(VLOOKUP(C4092,DATA!#REF!,2,FALSE),"")</f>
        <v/>
      </c>
      <c r="I4092" s="17"/>
      <c r="J4092" s="17"/>
      <c r="P4092" s="17"/>
      <c r="Q4092" s="17"/>
    </row>
    <row r="4093" spans="2:17">
      <c r="B4093" s="17"/>
      <c r="C4093" s="16" t="str">
        <f>IFERROR(VLOOKUP(DATA!#REF!,DATA!#REF!,1,FALSE),"")</f>
        <v/>
      </c>
      <c r="D4093" s="16" t="str">
        <f>IFERROR(VLOOKUP(C4093,DATA!#REF!,2,FALSE),"")</f>
        <v/>
      </c>
      <c r="I4093" s="17"/>
      <c r="J4093" s="17"/>
      <c r="P4093" s="17"/>
      <c r="Q4093" s="17"/>
    </row>
    <row r="4094" spans="2:17">
      <c r="B4094" s="17"/>
      <c r="C4094" s="16" t="str">
        <f>IFERROR(VLOOKUP(DATA!#REF!,DATA!#REF!,1,FALSE),"")</f>
        <v/>
      </c>
      <c r="D4094" s="16" t="str">
        <f>IFERROR(VLOOKUP(C4094,DATA!#REF!,2,FALSE),"")</f>
        <v/>
      </c>
      <c r="I4094" s="17"/>
      <c r="J4094" s="17"/>
      <c r="P4094" s="17"/>
      <c r="Q4094" s="17"/>
    </row>
    <row r="4095" spans="2:17">
      <c r="B4095" s="17"/>
      <c r="C4095" s="16" t="str">
        <f>IFERROR(VLOOKUP(DATA!#REF!,DATA!#REF!,1,FALSE),"")</f>
        <v/>
      </c>
      <c r="D4095" s="16" t="str">
        <f>IFERROR(VLOOKUP(C4095,DATA!#REF!,2,FALSE),"")</f>
        <v/>
      </c>
      <c r="I4095" s="17"/>
      <c r="J4095" s="17"/>
      <c r="P4095" s="17"/>
      <c r="Q4095" s="17"/>
    </row>
    <row r="4096" spans="2:17">
      <c r="B4096" s="17"/>
      <c r="C4096" s="16" t="str">
        <f>IFERROR(VLOOKUP(DATA!#REF!,DATA!#REF!,1,FALSE),"")</f>
        <v/>
      </c>
      <c r="D4096" s="16" t="str">
        <f>IFERROR(VLOOKUP(C4096,DATA!#REF!,2,FALSE),"")</f>
        <v/>
      </c>
      <c r="I4096" s="17"/>
      <c r="J4096" s="17"/>
      <c r="P4096" s="17"/>
      <c r="Q4096" s="17"/>
    </row>
    <row r="4097" spans="2:17">
      <c r="B4097" s="17"/>
      <c r="C4097" s="16" t="str">
        <f>IFERROR(VLOOKUP(DATA!#REF!,DATA!#REF!,1,FALSE),"")</f>
        <v/>
      </c>
      <c r="D4097" s="16" t="str">
        <f>IFERROR(VLOOKUP(C4097,DATA!#REF!,2,FALSE),"")</f>
        <v/>
      </c>
      <c r="I4097" s="17"/>
      <c r="J4097" s="17"/>
      <c r="P4097" s="17"/>
      <c r="Q4097" s="17"/>
    </row>
    <row r="4098" spans="2:17">
      <c r="B4098" s="17"/>
      <c r="C4098" s="16" t="str">
        <f>IFERROR(VLOOKUP(DATA!#REF!,DATA!#REF!,1,FALSE),"")</f>
        <v/>
      </c>
      <c r="D4098" s="16" t="str">
        <f>IFERROR(VLOOKUP(C4098,DATA!#REF!,2,FALSE),"")</f>
        <v/>
      </c>
      <c r="I4098" s="17"/>
      <c r="J4098" s="17"/>
      <c r="P4098" s="17"/>
      <c r="Q4098" s="17"/>
    </row>
    <row r="4099" spans="2:17">
      <c r="B4099" s="17"/>
      <c r="C4099" s="16" t="str">
        <f>IFERROR(VLOOKUP(DATA!#REF!,DATA!#REF!,1,FALSE),"")</f>
        <v/>
      </c>
      <c r="D4099" s="16" t="str">
        <f>IFERROR(VLOOKUP(C4099,DATA!#REF!,2,FALSE),"")</f>
        <v/>
      </c>
      <c r="I4099" s="17"/>
      <c r="J4099" s="17"/>
      <c r="P4099" s="17"/>
      <c r="Q4099" s="17"/>
    </row>
    <row r="4100" spans="2:17">
      <c r="B4100" s="17"/>
      <c r="C4100" s="16" t="str">
        <f>IFERROR(VLOOKUP(DATA!#REF!,DATA!#REF!,1,FALSE),"")</f>
        <v/>
      </c>
      <c r="D4100" s="16" t="str">
        <f>IFERROR(VLOOKUP(C4100,DATA!#REF!,2,FALSE),"")</f>
        <v/>
      </c>
      <c r="I4100" s="17"/>
      <c r="J4100" s="17"/>
      <c r="P4100" s="17"/>
      <c r="Q4100" s="17"/>
    </row>
    <row r="4101" spans="2:17">
      <c r="B4101" s="17"/>
      <c r="C4101" s="16" t="str">
        <f>IFERROR(VLOOKUP(DATA!#REF!,DATA!#REF!,1,FALSE),"")</f>
        <v/>
      </c>
      <c r="D4101" s="16" t="str">
        <f>IFERROR(VLOOKUP(C4101,DATA!#REF!,2,FALSE),"")</f>
        <v/>
      </c>
      <c r="I4101" s="17"/>
      <c r="J4101" s="17"/>
      <c r="P4101" s="17"/>
      <c r="Q4101" s="17"/>
    </row>
    <row r="4102" spans="2:17">
      <c r="B4102" s="17"/>
      <c r="C4102" s="16" t="str">
        <f>IFERROR(VLOOKUP(DATA!#REF!,DATA!#REF!,1,FALSE),"")</f>
        <v/>
      </c>
      <c r="D4102" s="16" t="str">
        <f>IFERROR(VLOOKUP(C4102,DATA!#REF!,2,FALSE),"")</f>
        <v/>
      </c>
      <c r="I4102" s="17"/>
      <c r="J4102" s="17"/>
      <c r="P4102" s="17"/>
      <c r="Q4102" s="17"/>
    </row>
    <row r="4103" spans="2:17">
      <c r="B4103" s="17"/>
      <c r="C4103" s="16" t="str">
        <f>IFERROR(VLOOKUP(DATA!#REF!,DATA!#REF!,1,FALSE),"")</f>
        <v/>
      </c>
      <c r="D4103" s="16" t="str">
        <f>IFERROR(VLOOKUP(C4103,DATA!#REF!,2,FALSE),"")</f>
        <v/>
      </c>
      <c r="I4103" s="17"/>
      <c r="J4103" s="17"/>
      <c r="P4103" s="17"/>
      <c r="Q4103" s="17"/>
    </row>
    <row r="4104" spans="2:17">
      <c r="B4104" s="17"/>
      <c r="C4104" s="16" t="str">
        <f>IFERROR(VLOOKUP(DATA!#REF!,DATA!#REF!,1,FALSE),"")</f>
        <v/>
      </c>
      <c r="D4104" s="16" t="str">
        <f>IFERROR(VLOOKUP(C4104,DATA!#REF!,2,FALSE),"")</f>
        <v/>
      </c>
      <c r="I4104" s="17"/>
      <c r="J4104" s="17"/>
      <c r="P4104" s="17"/>
      <c r="Q4104" s="17"/>
    </row>
    <row r="4105" spans="2:17">
      <c r="B4105" s="17"/>
      <c r="C4105" s="16" t="str">
        <f>IFERROR(VLOOKUP(DATA!#REF!,DATA!#REF!,1,FALSE),"")</f>
        <v/>
      </c>
      <c r="D4105" s="16" t="str">
        <f>IFERROR(VLOOKUP(C4105,DATA!#REF!,2,FALSE),"")</f>
        <v/>
      </c>
      <c r="I4105" s="17"/>
      <c r="J4105" s="17"/>
      <c r="P4105" s="17"/>
      <c r="Q4105" s="17"/>
    </row>
    <row r="4106" spans="2:17">
      <c r="B4106" s="17"/>
      <c r="C4106" s="16" t="str">
        <f>IFERROR(VLOOKUP(DATA!#REF!,DATA!#REF!,1,FALSE),"")</f>
        <v/>
      </c>
      <c r="D4106" s="16" t="str">
        <f>IFERROR(VLOOKUP(C4106,DATA!#REF!,2,FALSE),"")</f>
        <v/>
      </c>
      <c r="I4106" s="17"/>
      <c r="J4106" s="17"/>
      <c r="P4106" s="17"/>
      <c r="Q4106" s="17"/>
    </row>
    <row r="4107" spans="2:17">
      <c r="B4107" s="17"/>
      <c r="C4107" s="16" t="str">
        <f>IFERROR(VLOOKUP(DATA!#REF!,DATA!#REF!,1,FALSE),"")</f>
        <v/>
      </c>
      <c r="D4107" s="16" t="str">
        <f>IFERROR(VLOOKUP(C4107,DATA!#REF!,2,FALSE),"")</f>
        <v/>
      </c>
      <c r="I4107" s="17"/>
      <c r="J4107" s="17"/>
      <c r="P4107" s="17"/>
      <c r="Q4107" s="17"/>
    </row>
    <row r="4108" spans="2:17">
      <c r="B4108" s="17"/>
      <c r="C4108" s="16" t="str">
        <f>IFERROR(VLOOKUP(DATA!#REF!,DATA!#REF!,1,FALSE),"")</f>
        <v/>
      </c>
      <c r="D4108" s="16" t="str">
        <f>IFERROR(VLOOKUP(C4108,DATA!#REF!,2,FALSE),"")</f>
        <v/>
      </c>
      <c r="I4108" s="17"/>
      <c r="J4108" s="17"/>
      <c r="P4108" s="17"/>
      <c r="Q4108" s="17"/>
    </row>
    <row r="4109" spans="2:17">
      <c r="B4109" s="17"/>
      <c r="C4109" s="16" t="str">
        <f>IFERROR(VLOOKUP(DATA!#REF!,DATA!#REF!,1,FALSE),"")</f>
        <v/>
      </c>
      <c r="D4109" s="16" t="str">
        <f>IFERROR(VLOOKUP(C4109,DATA!#REF!,2,FALSE),"")</f>
        <v/>
      </c>
      <c r="I4109" s="17"/>
      <c r="J4109" s="17"/>
      <c r="P4109" s="17"/>
      <c r="Q4109" s="17"/>
    </row>
    <row r="4110" spans="2:17">
      <c r="B4110" s="17"/>
      <c r="C4110" s="16" t="str">
        <f>IFERROR(VLOOKUP(DATA!#REF!,DATA!#REF!,1,FALSE),"")</f>
        <v/>
      </c>
      <c r="D4110" s="16" t="str">
        <f>IFERROR(VLOOKUP(C4110,DATA!#REF!,2,FALSE),"")</f>
        <v/>
      </c>
      <c r="I4110" s="17"/>
      <c r="J4110" s="17"/>
      <c r="P4110" s="17"/>
      <c r="Q4110" s="17"/>
    </row>
    <row r="4111" spans="2:17">
      <c r="B4111" s="17"/>
      <c r="C4111" s="16" t="str">
        <f>IFERROR(VLOOKUP(DATA!#REF!,DATA!#REF!,1,FALSE),"")</f>
        <v/>
      </c>
      <c r="D4111" s="16" t="str">
        <f>IFERROR(VLOOKUP(C4111,DATA!#REF!,2,FALSE),"")</f>
        <v/>
      </c>
      <c r="I4111" s="17"/>
      <c r="J4111" s="17"/>
      <c r="P4111" s="17"/>
      <c r="Q4111" s="17"/>
    </row>
    <row r="4112" spans="2:17">
      <c r="B4112" s="17"/>
      <c r="C4112" s="16" t="str">
        <f>IFERROR(VLOOKUP(DATA!#REF!,DATA!#REF!,1,FALSE),"")</f>
        <v/>
      </c>
      <c r="D4112" s="16" t="str">
        <f>IFERROR(VLOOKUP(C4112,DATA!#REF!,2,FALSE),"")</f>
        <v/>
      </c>
      <c r="I4112" s="17"/>
      <c r="J4112" s="17"/>
      <c r="P4112" s="17"/>
      <c r="Q4112" s="17"/>
    </row>
    <row r="4113" spans="2:17">
      <c r="B4113" s="17"/>
      <c r="C4113" s="16" t="str">
        <f>IFERROR(VLOOKUP(DATA!#REF!,DATA!#REF!,1,FALSE),"")</f>
        <v/>
      </c>
      <c r="D4113" s="16" t="str">
        <f>IFERROR(VLOOKUP(C4113,DATA!#REF!,2,FALSE),"")</f>
        <v/>
      </c>
      <c r="I4113" s="17"/>
      <c r="J4113" s="17"/>
      <c r="P4113" s="17"/>
      <c r="Q4113" s="17"/>
    </row>
    <row r="4114" spans="2:17">
      <c r="B4114" s="17"/>
      <c r="C4114" s="16" t="str">
        <f>IFERROR(VLOOKUP(DATA!#REF!,DATA!#REF!,1,FALSE),"")</f>
        <v/>
      </c>
      <c r="D4114" s="16" t="str">
        <f>IFERROR(VLOOKUP(C4114,DATA!#REF!,2,FALSE),"")</f>
        <v/>
      </c>
      <c r="I4114" s="17"/>
      <c r="J4114" s="17"/>
      <c r="P4114" s="17"/>
      <c r="Q4114" s="17"/>
    </row>
    <row r="4115" spans="2:17">
      <c r="B4115" s="17"/>
      <c r="C4115" s="16" t="str">
        <f>IFERROR(VLOOKUP(DATA!#REF!,DATA!#REF!,1,FALSE),"")</f>
        <v/>
      </c>
      <c r="D4115" s="16" t="str">
        <f>IFERROR(VLOOKUP(C4115,DATA!#REF!,2,FALSE),"")</f>
        <v/>
      </c>
      <c r="I4115" s="17"/>
      <c r="J4115" s="17"/>
      <c r="P4115" s="17"/>
      <c r="Q4115" s="17"/>
    </row>
    <row r="4116" spans="2:17">
      <c r="B4116" s="17"/>
      <c r="C4116" s="16" t="str">
        <f>IFERROR(VLOOKUP(DATA!#REF!,DATA!#REF!,1,FALSE),"")</f>
        <v/>
      </c>
      <c r="D4116" s="16" t="str">
        <f>IFERROR(VLOOKUP(C4116,DATA!#REF!,2,FALSE),"")</f>
        <v/>
      </c>
      <c r="I4116" s="17"/>
      <c r="J4116" s="17"/>
      <c r="P4116" s="17"/>
      <c r="Q4116" s="17"/>
    </row>
    <row r="4117" spans="2:17">
      <c r="B4117" s="17"/>
      <c r="C4117" s="16" t="str">
        <f>IFERROR(VLOOKUP(DATA!#REF!,DATA!#REF!,1,FALSE),"")</f>
        <v/>
      </c>
      <c r="D4117" s="16" t="str">
        <f>IFERROR(VLOOKUP(C4117,DATA!#REF!,2,FALSE),"")</f>
        <v/>
      </c>
      <c r="I4117" s="17"/>
      <c r="J4117" s="17"/>
      <c r="P4117" s="17"/>
      <c r="Q4117" s="17"/>
    </row>
    <row r="4118" spans="2:17">
      <c r="B4118" s="17"/>
      <c r="C4118" s="16" t="str">
        <f>IFERROR(VLOOKUP(DATA!#REF!,DATA!#REF!,1,FALSE),"")</f>
        <v/>
      </c>
      <c r="D4118" s="16" t="str">
        <f>IFERROR(VLOOKUP(C4118,DATA!#REF!,2,FALSE),"")</f>
        <v/>
      </c>
      <c r="I4118" s="17"/>
      <c r="J4118" s="17"/>
      <c r="P4118" s="17"/>
      <c r="Q4118" s="17"/>
    </row>
    <row r="4119" spans="2:17">
      <c r="B4119" s="17"/>
      <c r="C4119" s="16" t="str">
        <f>IFERROR(VLOOKUP(DATA!#REF!,DATA!#REF!,1,FALSE),"")</f>
        <v/>
      </c>
      <c r="D4119" s="16" t="str">
        <f>IFERROR(VLOOKUP(C4119,DATA!#REF!,2,FALSE),"")</f>
        <v/>
      </c>
      <c r="I4119" s="17"/>
      <c r="J4119" s="17"/>
      <c r="P4119" s="17"/>
      <c r="Q4119" s="17"/>
    </row>
    <row r="4120" spans="2:17">
      <c r="B4120" s="17"/>
      <c r="C4120" s="16" t="str">
        <f>IFERROR(VLOOKUP(DATA!#REF!,DATA!#REF!,1,FALSE),"")</f>
        <v/>
      </c>
      <c r="D4120" s="16" t="str">
        <f>IFERROR(VLOOKUP(C4120,DATA!#REF!,2,FALSE),"")</f>
        <v/>
      </c>
      <c r="I4120" s="17"/>
      <c r="J4120" s="17"/>
      <c r="P4120" s="17"/>
      <c r="Q4120" s="17"/>
    </row>
    <row r="4121" spans="2:17">
      <c r="B4121" s="17"/>
      <c r="C4121" s="16" t="str">
        <f>IFERROR(VLOOKUP(DATA!#REF!,DATA!#REF!,1,FALSE),"")</f>
        <v/>
      </c>
      <c r="D4121" s="16" t="str">
        <f>IFERROR(VLOOKUP(C4121,DATA!#REF!,2,FALSE),"")</f>
        <v/>
      </c>
      <c r="I4121" s="17"/>
      <c r="J4121" s="17"/>
      <c r="P4121" s="17"/>
      <c r="Q4121" s="17"/>
    </row>
    <row r="4122" spans="2:17">
      <c r="B4122" s="17"/>
      <c r="C4122" s="16" t="str">
        <f>IFERROR(VLOOKUP(DATA!#REF!,DATA!#REF!,1,FALSE),"")</f>
        <v/>
      </c>
      <c r="D4122" s="16" t="str">
        <f>IFERROR(VLOOKUP(C4122,DATA!#REF!,2,FALSE),"")</f>
        <v/>
      </c>
      <c r="I4122" s="17"/>
      <c r="J4122" s="17"/>
      <c r="P4122" s="17"/>
      <c r="Q4122" s="17"/>
    </row>
    <row r="4123" spans="2:17">
      <c r="B4123" s="17"/>
      <c r="C4123" s="16" t="str">
        <f>IFERROR(VLOOKUP(DATA!#REF!,DATA!#REF!,1,FALSE),"")</f>
        <v/>
      </c>
      <c r="D4123" s="16" t="str">
        <f>IFERROR(VLOOKUP(C4123,DATA!#REF!,2,FALSE),"")</f>
        <v/>
      </c>
      <c r="I4123" s="17"/>
      <c r="J4123" s="17"/>
      <c r="P4123" s="17"/>
      <c r="Q4123" s="17"/>
    </row>
    <row r="4124" spans="2:17">
      <c r="B4124" s="17"/>
      <c r="C4124" s="16" t="str">
        <f>IFERROR(VLOOKUP(DATA!#REF!,DATA!#REF!,1,FALSE),"")</f>
        <v/>
      </c>
      <c r="D4124" s="16" t="str">
        <f>IFERROR(VLOOKUP(C4124,DATA!#REF!,2,FALSE),"")</f>
        <v/>
      </c>
      <c r="I4124" s="17"/>
      <c r="J4124" s="17"/>
      <c r="P4124" s="17"/>
      <c r="Q4124" s="17"/>
    </row>
    <row r="4125" spans="2:17">
      <c r="B4125" s="17"/>
      <c r="C4125" s="16" t="str">
        <f>IFERROR(VLOOKUP(DATA!#REF!,DATA!#REF!,1,FALSE),"")</f>
        <v/>
      </c>
      <c r="D4125" s="16" t="str">
        <f>IFERROR(VLOOKUP(C4125,DATA!#REF!,2,FALSE),"")</f>
        <v/>
      </c>
      <c r="I4125" s="17"/>
      <c r="J4125" s="17"/>
      <c r="P4125" s="17"/>
      <c r="Q4125" s="17"/>
    </row>
    <row r="4126" spans="2:17">
      <c r="B4126" s="17"/>
      <c r="C4126" s="16" t="str">
        <f>IFERROR(VLOOKUP(DATA!#REF!,DATA!#REF!,1,FALSE),"")</f>
        <v/>
      </c>
      <c r="D4126" s="16" t="str">
        <f>IFERROR(VLOOKUP(C4126,DATA!#REF!,2,FALSE),"")</f>
        <v/>
      </c>
      <c r="I4126" s="17"/>
      <c r="J4126" s="17"/>
      <c r="P4126" s="17"/>
      <c r="Q4126" s="17"/>
    </row>
    <row r="4127" spans="2:17">
      <c r="B4127" s="17"/>
      <c r="C4127" s="16" t="str">
        <f>IFERROR(VLOOKUP(DATA!#REF!,DATA!#REF!,1,FALSE),"")</f>
        <v/>
      </c>
      <c r="D4127" s="16" t="str">
        <f>IFERROR(VLOOKUP(C4127,DATA!#REF!,2,FALSE),"")</f>
        <v/>
      </c>
      <c r="I4127" s="17"/>
      <c r="J4127" s="17"/>
      <c r="P4127" s="17"/>
      <c r="Q4127" s="17"/>
    </row>
    <row r="4128" spans="2:17">
      <c r="B4128" s="17"/>
      <c r="C4128" s="16" t="str">
        <f>IFERROR(VLOOKUP(DATA!#REF!,DATA!#REF!,1,FALSE),"")</f>
        <v/>
      </c>
      <c r="D4128" s="16" t="str">
        <f>IFERROR(VLOOKUP(C4128,DATA!#REF!,2,FALSE),"")</f>
        <v/>
      </c>
      <c r="I4128" s="17"/>
      <c r="J4128" s="17"/>
      <c r="P4128" s="17"/>
      <c r="Q4128" s="17"/>
    </row>
    <row r="4129" spans="2:17">
      <c r="B4129" s="17"/>
      <c r="C4129" s="16" t="str">
        <f>IFERROR(VLOOKUP(DATA!#REF!,DATA!#REF!,1,FALSE),"")</f>
        <v/>
      </c>
      <c r="D4129" s="16" t="str">
        <f>IFERROR(VLOOKUP(C4129,DATA!#REF!,2,FALSE),"")</f>
        <v/>
      </c>
      <c r="I4129" s="17"/>
      <c r="J4129" s="17"/>
      <c r="P4129" s="17"/>
      <c r="Q4129" s="17"/>
    </row>
    <row r="4130" spans="2:17">
      <c r="B4130" s="17"/>
      <c r="C4130" s="16" t="str">
        <f>IFERROR(VLOOKUP(DATA!#REF!,DATA!#REF!,1,FALSE),"")</f>
        <v/>
      </c>
      <c r="D4130" s="16" t="str">
        <f>IFERROR(VLOOKUP(C4130,DATA!#REF!,2,FALSE),"")</f>
        <v/>
      </c>
      <c r="I4130" s="17"/>
      <c r="J4130" s="17"/>
      <c r="P4130" s="17"/>
      <c r="Q4130" s="17"/>
    </row>
    <row r="4131" spans="2:17">
      <c r="B4131" s="17"/>
      <c r="C4131" s="16" t="str">
        <f>IFERROR(VLOOKUP(DATA!#REF!,DATA!#REF!,1,FALSE),"")</f>
        <v/>
      </c>
      <c r="D4131" s="16" t="str">
        <f>IFERROR(VLOOKUP(C4131,DATA!#REF!,2,FALSE),"")</f>
        <v/>
      </c>
      <c r="I4131" s="17"/>
      <c r="J4131" s="17"/>
      <c r="P4131" s="17"/>
      <c r="Q4131" s="17"/>
    </row>
    <row r="4132" spans="2:17">
      <c r="B4132" s="17"/>
      <c r="C4132" s="16" t="str">
        <f>IFERROR(VLOOKUP(DATA!#REF!,DATA!#REF!,1,FALSE),"")</f>
        <v/>
      </c>
      <c r="D4132" s="16" t="str">
        <f>IFERROR(VLOOKUP(C4132,DATA!#REF!,2,FALSE),"")</f>
        <v/>
      </c>
      <c r="I4132" s="17"/>
      <c r="J4132" s="17"/>
      <c r="P4132" s="17"/>
      <c r="Q4132" s="17"/>
    </row>
    <row r="4133" spans="2:17">
      <c r="B4133" s="17"/>
      <c r="C4133" s="16" t="str">
        <f>IFERROR(VLOOKUP(DATA!#REF!,DATA!#REF!,1,FALSE),"")</f>
        <v/>
      </c>
      <c r="D4133" s="16" t="str">
        <f>IFERROR(VLOOKUP(C4133,DATA!#REF!,2,FALSE),"")</f>
        <v/>
      </c>
      <c r="I4133" s="17"/>
      <c r="J4133" s="17"/>
      <c r="P4133" s="17"/>
      <c r="Q4133" s="17"/>
    </row>
    <row r="4134" spans="2:17">
      <c r="B4134" s="17"/>
      <c r="C4134" s="16" t="str">
        <f>IFERROR(VLOOKUP(DATA!#REF!,DATA!#REF!,1,FALSE),"")</f>
        <v/>
      </c>
      <c r="D4134" s="16" t="str">
        <f>IFERROR(VLOOKUP(C4134,DATA!#REF!,2,FALSE),"")</f>
        <v/>
      </c>
      <c r="I4134" s="17"/>
      <c r="J4134" s="17"/>
      <c r="P4134" s="17"/>
      <c r="Q4134" s="17"/>
    </row>
    <row r="4135" spans="2:17">
      <c r="B4135" s="17"/>
      <c r="C4135" s="16" t="str">
        <f>IFERROR(VLOOKUP(DATA!#REF!,DATA!#REF!,1,FALSE),"")</f>
        <v/>
      </c>
      <c r="D4135" s="16" t="str">
        <f>IFERROR(VLOOKUP(C4135,DATA!#REF!,2,FALSE),"")</f>
        <v/>
      </c>
      <c r="I4135" s="17"/>
      <c r="J4135" s="17"/>
      <c r="P4135" s="17"/>
      <c r="Q4135" s="17"/>
    </row>
    <row r="4136" spans="2:17">
      <c r="B4136" s="17"/>
      <c r="C4136" s="16" t="str">
        <f>IFERROR(VLOOKUP(DATA!#REF!,DATA!#REF!,1,FALSE),"")</f>
        <v/>
      </c>
      <c r="D4136" s="16" t="str">
        <f>IFERROR(VLOOKUP(C4136,DATA!#REF!,2,FALSE),"")</f>
        <v/>
      </c>
      <c r="I4136" s="17"/>
      <c r="J4136" s="17"/>
      <c r="P4136" s="17"/>
      <c r="Q4136" s="17"/>
    </row>
    <row r="4137" spans="2:17">
      <c r="B4137" s="17"/>
      <c r="C4137" s="16" t="str">
        <f>IFERROR(VLOOKUP(DATA!#REF!,DATA!#REF!,1,FALSE),"")</f>
        <v/>
      </c>
      <c r="D4137" s="16" t="str">
        <f>IFERROR(VLOOKUP(C4137,DATA!#REF!,2,FALSE),"")</f>
        <v/>
      </c>
      <c r="I4137" s="17"/>
      <c r="J4137" s="17"/>
      <c r="P4137" s="17"/>
      <c r="Q4137" s="17"/>
    </row>
    <row r="4138" spans="2:17">
      <c r="B4138" s="17"/>
      <c r="C4138" s="16" t="str">
        <f>IFERROR(VLOOKUP(DATA!#REF!,DATA!#REF!,1,FALSE),"")</f>
        <v/>
      </c>
      <c r="D4138" s="16" t="str">
        <f>IFERROR(VLOOKUP(C4138,DATA!#REF!,2,FALSE),"")</f>
        <v/>
      </c>
      <c r="I4138" s="17"/>
      <c r="J4138" s="17"/>
      <c r="P4138" s="17"/>
      <c r="Q4138" s="17"/>
    </row>
    <row r="4139" spans="2:17">
      <c r="B4139" s="17"/>
      <c r="C4139" s="16" t="str">
        <f>IFERROR(VLOOKUP(DATA!#REF!,DATA!#REF!,1,FALSE),"")</f>
        <v/>
      </c>
      <c r="D4139" s="16" t="str">
        <f>IFERROR(VLOOKUP(C4139,DATA!#REF!,2,FALSE),"")</f>
        <v/>
      </c>
      <c r="I4139" s="17"/>
      <c r="J4139" s="17"/>
      <c r="P4139" s="17"/>
      <c r="Q4139" s="17"/>
    </row>
    <row r="4140" spans="2:17">
      <c r="B4140" s="17"/>
      <c r="C4140" s="16" t="str">
        <f>IFERROR(VLOOKUP(DATA!#REF!,DATA!#REF!,1,FALSE),"")</f>
        <v/>
      </c>
      <c r="D4140" s="16" t="str">
        <f>IFERROR(VLOOKUP(C4140,DATA!#REF!,2,FALSE),"")</f>
        <v/>
      </c>
      <c r="I4140" s="17"/>
      <c r="J4140" s="17"/>
      <c r="P4140" s="17"/>
      <c r="Q4140" s="17"/>
    </row>
    <row r="4141" spans="2:17">
      <c r="B4141" s="17"/>
      <c r="C4141" s="16" t="str">
        <f>IFERROR(VLOOKUP(DATA!#REF!,DATA!#REF!,1,FALSE),"")</f>
        <v/>
      </c>
      <c r="D4141" s="16" t="str">
        <f>IFERROR(VLOOKUP(C4141,DATA!#REF!,2,FALSE),"")</f>
        <v/>
      </c>
      <c r="I4141" s="17"/>
      <c r="J4141" s="17"/>
      <c r="P4141" s="17"/>
      <c r="Q4141" s="17"/>
    </row>
    <row r="4142" spans="2:17">
      <c r="B4142" s="17"/>
      <c r="C4142" s="16" t="str">
        <f>IFERROR(VLOOKUP(DATA!#REF!,DATA!#REF!,1,FALSE),"")</f>
        <v/>
      </c>
      <c r="D4142" s="16" t="str">
        <f>IFERROR(VLOOKUP(C4142,DATA!#REF!,2,FALSE),"")</f>
        <v/>
      </c>
      <c r="I4142" s="17"/>
      <c r="J4142" s="17"/>
      <c r="P4142" s="17"/>
      <c r="Q4142" s="17"/>
    </row>
    <row r="4143" spans="2:17">
      <c r="B4143" s="17"/>
      <c r="C4143" s="16" t="str">
        <f>IFERROR(VLOOKUP(DATA!#REF!,DATA!#REF!,1,FALSE),"")</f>
        <v/>
      </c>
      <c r="D4143" s="16" t="str">
        <f>IFERROR(VLOOKUP(C4143,DATA!#REF!,2,FALSE),"")</f>
        <v/>
      </c>
      <c r="I4143" s="17"/>
      <c r="J4143" s="17"/>
      <c r="P4143" s="17"/>
      <c r="Q4143" s="17"/>
    </row>
    <row r="4144" spans="2:17">
      <c r="B4144" s="17"/>
      <c r="C4144" s="16" t="str">
        <f>IFERROR(VLOOKUP(DATA!#REF!,DATA!#REF!,1,FALSE),"")</f>
        <v/>
      </c>
      <c r="D4144" s="16" t="str">
        <f>IFERROR(VLOOKUP(C4144,DATA!#REF!,2,FALSE),"")</f>
        <v/>
      </c>
      <c r="I4144" s="17"/>
      <c r="J4144" s="17"/>
      <c r="P4144" s="17"/>
      <c r="Q4144" s="17"/>
    </row>
    <row r="4145" spans="2:17">
      <c r="B4145" s="17"/>
      <c r="C4145" s="16" t="str">
        <f>IFERROR(VLOOKUP(DATA!#REF!,DATA!#REF!,1,FALSE),"")</f>
        <v/>
      </c>
      <c r="D4145" s="16" t="str">
        <f>IFERROR(VLOOKUP(C4145,DATA!#REF!,2,FALSE),"")</f>
        <v/>
      </c>
      <c r="I4145" s="17"/>
      <c r="J4145" s="17"/>
      <c r="P4145" s="17"/>
      <c r="Q4145" s="17"/>
    </row>
    <row r="4146" spans="2:17">
      <c r="B4146" s="17"/>
      <c r="C4146" s="16" t="str">
        <f>IFERROR(VLOOKUP(DATA!#REF!,DATA!#REF!,1,FALSE),"")</f>
        <v/>
      </c>
      <c r="D4146" s="16" t="str">
        <f>IFERROR(VLOOKUP(C4146,DATA!#REF!,2,FALSE),"")</f>
        <v/>
      </c>
      <c r="I4146" s="17"/>
      <c r="J4146" s="17"/>
      <c r="P4146" s="17"/>
      <c r="Q4146" s="17"/>
    </row>
    <row r="4147" spans="2:17">
      <c r="B4147" s="17"/>
      <c r="C4147" s="16" t="str">
        <f>IFERROR(VLOOKUP(DATA!#REF!,DATA!#REF!,1,FALSE),"")</f>
        <v/>
      </c>
      <c r="D4147" s="16" t="str">
        <f>IFERROR(VLOOKUP(C4147,DATA!#REF!,2,FALSE),"")</f>
        <v/>
      </c>
      <c r="I4147" s="17"/>
      <c r="J4147" s="17"/>
      <c r="P4147" s="17"/>
      <c r="Q4147" s="17"/>
    </row>
    <row r="4148" spans="2:17">
      <c r="B4148" s="17"/>
      <c r="C4148" s="16" t="str">
        <f>IFERROR(VLOOKUP(DATA!#REF!,DATA!#REF!,1,FALSE),"")</f>
        <v/>
      </c>
      <c r="D4148" s="16" t="str">
        <f>IFERROR(VLOOKUP(C4148,DATA!#REF!,2,FALSE),"")</f>
        <v/>
      </c>
      <c r="I4148" s="17"/>
      <c r="J4148" s="17"/>
      <c r="P4148" s="17"/>
      <c r="Q4148" s="17"/>
    </row>
    <row r="4149" spans="2:17">
      <c r="B4149" s="17"/>
      <c r="C4149" s="16" t="str">
        <f>IFERROR(VLOOKUP(DATA!#REF!,DATA!#REF!,1,FALSE),"")</f>
        <v/>
      </c>
      <c r="D4149" s="16" t="str">
        <f>IFERROR(VLOOKUP(C4149,DATA!#REF!,2,FALSE),"")</f>
        <v/>
      </c>
      <c r="I4149" s="17"/>
      <c r="J4149" s="17"/>
      <c r="P4149" s="17"/>
      <c r="Q4149" s="17"/>
    </row>
    <row r="4150" spans="2:17">
      <c r="B4150" s="17"/>
      <c r="C4150" s="16" t="str">
        <f>IFERROR(VLOOKUP(DATA!#REF!,DATA!#REF!,1,FALSE),"")</f>
        <v/>
      </c>
      <c r="D4150" s="16" t="str">
        <f>IFERROR(VLOOKUP(C4150,DATA!#REF!,2,FALSE),"")</f>
        <v/>
      </c>
      <c r="I4150" s="17"/>
      <c r="J4150" s="17"/>
      <c r="P4150" s="17"/>
      <c r="Q4150" s="17"/>
    </row>
    <row r="4151" spans="2:17">
      <c r="B4151" s="17"/>
      <c r="C4151" s="16" t="str">
        <f>IFERROR(VLOOKUP(DATA!#REF!,DATA!#REF!,1,FALSE),"")</f>
        <v/>
      </c>
      <c r="D4151" s="16" t="str">
        <f>IFERROR(VLOOKUP(C4151,DATA!#REF!,2,FALSE),"")</f>
        <v/>
      </c>
      <c r="I4151" s="17"/>
      <c r="J4151" s="17"/>
      <c r="P4151" s="17"/>
      <c r="Q4151" s="17"/>
    </row>
    <row r="4152" spans="2:17">
      <c r="B4152" s="17"/>
      <c r="C4152" s="16" t="str">
        <f>IFERROR(VLOOKUP(DATA!#REF!,DATA!#REF!,1,FALSE),"")</f>
        <v/>
      </c>
      <c r="D4152" s="16" t="str">
        <f>IFERROR(VLOOKUP(C4152,DATA!#REF!,2,FALSE),"")</f>
        <v/>
      </c>
      <c r="I4152" s="17"/>
      <c r="J4152" s="17"/>
      <c r="P4152" s="17"/>
      <c r="Q4152" s="17"/>
    </row>
    <row r="4153" spans="2:17">
      <c r="B4153" s="17"/>
      <c r="C4153" s="16" t="str">
        <f>IFERROR(VLOOKUP(DATA!#REF!,DATA!#REF!,1,FALSE),"")</f>
        <v/>
      </c>
      <c r="D4153" s="16" t="str">
        <f>IFERROR(VLOOKUP(C4153,DATA!#REF!,2,FALSE),"")</f>
        <v/>
      </c>
      <c r="I4153" s="17"/>
      <c r="J4153" s="17"/>
      <c r="P4153" s="17"/>
      <c r="Q4153" s="17"/>
    </row>
    <row r="4154" spans="2:17">
      <c r="B4154" s="17"/>
      <c r="C4154" s="16" t="str">
        <f>IFERROR(VLOOKUP(DATA!#REF!,DATA!#REF!,1,FALSE),"")</f>
        <v/>
      </c>
      <c r="D4154" s="16" t="str">
        <f>IFERROR(VLOOKUP(C4154,DATA!#REF!,2,FALSE),"")</f>
        <v/>
      </c>
      <c r="I4154" s="17"/>
      <c r="J4154" s="17"/>
      <c r="P4154" s="17"/>
      <c r="Q4154" s="17"/>
    </row>
    <row r="4155" spans="2:17">
      <c r="B4155" s="17"/>
      <c r="C4155" s="16" t="str">
        <f>IFERROR(VLOOKUP(DATA!#REF!,DATA!#REF!,1,FALSE),"")</f>
        <v/>
      </c>
      <c r="D4155" s="16" t="str">
        <f>IFERROR(VLOOKUP(C4155,DATA!#REF!,2,FALSE),"")</f>
        <v/>
      </c>
      <c r="I4155" s="17"/>
      <c r="J4155" s="17"/>
      <c r="P4155" s="17"/>
      <c r="Q4155" s="17"/>
    </row>
    <row r="4156" spans="2:17">
      <c r="B4156" s="17"/>
      <c r="C4156" s="16" t="str">
        <f>IFERROR(VLOOKUP(DATA!#REF!,DATA!#REF!,1,FALSE),"")</f>
        <v/>
      </c>
      <c r="D4156" s="16" t="str">
        <f>IFERROR(VLOOKUP(C4156,DATA!#REF!,2,FALSE),"")</f>
        <v/>
      </c>
      <c r="I4156" s="17"/>
      <c r="J4156" s="17"/>
      <c r="P4156" s="17"/>
      <c r="Q4156" s="17"/>
    </row>
    <row r="4157" spans="2:17">
      <c r="B4157" s="17"/>
      <c r="C4157" s="16" t="str">
        <f>IFERROR(VLOOKUP(DATA!#REF!,DATA!#REF!,1,FALSE),"")</f>
        <v/>
      </c>
      <c r="D4157" s="16" t="str">
        <f>IFERROR(VLOOKUP(C4157,DATA!#REF!,2,FALSE),"")</f>
        <v/>
      </c>
      <c r="I4157" s="17"/>
      <c r="J4157" s="17"/>
      <c r="P4157" s="17"/>
      <c r="Q4157" s="17"/>
    </row>
    <row r="4158" spans="2:17">
      <c r="B4158" s="17"/>
      <c r="C4158" s="16" t="str">
        <f>IFERROR(VLOOKUP(DATA!#REF!,DATA!#REF!,1,FALSE),"")</f>
        <v/>
      </c>
      <c r="D4158" s="16" t="str">
        <f>IFERROR(VLOOKUP(C4158,DATA!#REF!,2,FALSE),"")</f>
        <v/>
      </c>
      <c r="I4158" s="17"/>
      <c r="J4158" s="17"/>
      <c r="P4158" s="17"/>
      <c r="Q4158" s="17"/>
    </row>
    <row r="4159" spans="2:17">
      <c r="B4159" s="17"/>
      <c r="C4159" s="16" t="str">
        <f>IFERROR(VLOOKUP(DATA!#REF!,DATA!#REF!,1,FALSE),"")</f>
        <v/>
      </c>
      <c r="D4159" s="16" t="str">
        <f>IFERROR(VLOOKUP(C4159,DATA!#REF!,2,FALSE),"")</f>
        <v/>
      </c>
      <c r="I4159" s="17"/>
      <c r="J4159" s="17"/>
      <c r="P4159" s="17"/>
      <c r="Q4159" s="17"/>
    </row>
    <row r="4160" spans="2:17">
      <c r="B4160" s="17"/>
      <c r="C4160" s="16" t="str">
        <f>IFERROR(VLOOKUP(DATA!#REF!,DATA!#REF!,1,FALSE),"")</f>
        <v/>
      </c>
      <c r="D4160" s="16" t="str">
        <f>IFERROR(VLOOKUP(C4160,DATA!#REF!,2,FALSE),"")</f>
        <v/>
      </c>
      <c r="I4160" s="17"/>
      <c r="J4160" s="17"/>
      <c r="P4160" s="17"/>
      <c r="Q4160" s="17"/>
    </row>
    <row r="4161" spans="2:17">
      <c r="B4161" s="17"/>
      <c r="C4161" s="16" t="str">
        <f>IFERROR(VLOOKUP(DATA!#REF!,DATA!#REF!,1,FALSE),"")</f>
        <v/>
      </c>
      <c r="D4161" s="16" t="str">
        <f>IFERROR(VLOOKUP(C4161,DATA!#REF!,2,FALSE),"")</f>
        <v/>
      </c>
      <c r="I4161" s="17"/>
      <c r="J4161" s="17"/>
      <c r="P4161" s="17"/>
      <c r="Q4161" s="17"/>
    </row>
    <row r="4162" spans="2:17">
      <c r="B4162" s="17"/>
      <c r="C4162" s="16" t="str">
        <f>IFERROR(VLOOKUP(DATA!#REF!,DATA!#REF!,1,FALSE),"")</f>
        <v/>
      </c>
      <c r="D4162" s="16" t="str">
        <f>IFERROR(VLOOKUP(C4162,DATA!#REF!,2,FALSE),"")</f>
        <v/>
      </c>
      <c r="I4162" s="17"/>
      <c r="J4162" s="17"/>
      <c r="P4162" s="17"/>
      <c r="Q4162" s="17"/>
    </row>
    <row r="4163" spans="2:17">
      <c r="B4163" s="17"/>
      <c r="C4163" s="16" t="str">
        <f>IFERROR(VLOOKUP(DATA!#REF!,DATA!#REF!,1,FALSE),"")</f>
        <v/>
      </c>
      <c r="D4163" s="16" t="str">
        <f>IFERROR(VLOOKUP(C4163,DATA!#REF!,2,FALSE),"")</f>
        <v/>
      </c>
      <c r="I4163" s="17"/>
      <c r="J4163" s="17"/>
      <c r="P4163" s="17"/>
      <c r="Q4163" s="17"/>
    </row>
    <row r="4164" spans="2:17">
      <c r="B4164" s="17"/>
      <c r="C4164" s="16" t="str">
        <f>IFERROR(VLOOKUP(DATA!#REF!,DATA!#REF!,1,FALSE),"")</f>
        <v/>
      </c>
      <c r="D4164" s="16" t="str">
        <f>IFERROR(VLOOKUP(C4164,DATA!#REF!,2,FALSE),"")</f>
        <v/>
      </c>
      <c r="I4164" s="17"/>
      <c r="J4164" s="17"/>
      <c r="P4164" s="17"/>
      <c r="Q4164" s="17"/>
    </row>
    <row r="4165" spans="2:17">
      <c r="B4165" s="17"/>
      <c r="C4165" s="16" t="str">
        <f>IFERROR(VLOOKUP(DATA!#REF!,DATA!#REF!,1,FALSE),"")</f>
        <v/>
      </c>
      <c r="D4165" s="16" t="str">
        <f>IFERROR(VLOOKUP(C4165,DATA!#REF!,2,FALSE),"")</f>
        <v/>
      </c>
      <c r="I4165" s="17"/>
      <c r="J4165" s="17"/>
      <c r="P4165" s="17"/>
      <c r="Q4165" s="17"/>
    </row>
    <row r="4166" spans="2:17">
      <c r="B4166" s="17"/>
      <c r="C4166" s="16" t="str">
        <f>IFERROR(VLOOKUP(DATA!#REF!,DATA!#REF!,1,FALSE),"")</f>
        <v/>
      </c>
      <c r="D4166" s="16" t="str">
        <f>IFERROR(VLOOKUP(C4166,DATA!#REF!,2,FALSE),"")</f>
        <v/>
      </c>
      <c r="I4166" s="17"/>
      <c r="J4166" s="17"/>
      <c r="P4166" s="17"/>
      <c r="Q4166" s="17"/>
    </row>
    <row r="4167" spans="2:17">
      <c r="B4167" s="17"/>
      <c r="C4167" s="16" t="str">
        <f>IFERROR(VLOOKUP(DATA!#REF!,DATA!#REF!,1,FALSE),"")</f>
        <v/>
      </c>
      <c r="D4167" s="16" t="str">
        <f>IFERROR(VLOOKUP(C4167,DATA!#REF!,2,FALSE),"")</f>
        <v/>
      </c>
      <c r="I4167" s="17"/>
      <c r="J4167" s="17"/>
      <c r="P4167" s="17"/>
      <c r="Q4167" s="17"/>
    </row>
    <row r="4168" spans="2:17">
      <c r="B4168" s="17"/>
      <c r="C4168" s="16" t="str">
        <f>IFERROR(VLOOKUP(DATA!#REF!,DATA!#REF!,1,FALSE),"")</f>
        <v/>
      </c>
      <c r="D4168" s="16" t="str">
        <f>IFERROR(VLOOKUP(C4168,DATA!#REF!,2,FALSE),"")</f>
        <v/>
      </c>
      <c r="I4168" s="17"/>
      <c r="J4168" s="17"/>
      <c r="P4168" s="17"/>
      <c r="Q4168" s="17"/>
    </row>
    <row r="4169" spans="2:17">
      <c r="B4169" s="17"/>
      <c r="C4169" s="16" t="str">
        <f>IFERROR(VLOOKUP(DATA!#REF!,DATA!#REF!,1,FALSE),"")</f>
        <v/>
      </c>
      <c r="D4169" s="16" t="str">
        <f>IFERROR(VLOOKUP(C4169,DATA!#REF!,2,FALSE),"")</f>
        <v/>
      </c>
      <c r="I4169" s="17"/>
      <c r="J4169" s="17"/>
      <c r="P4169" s="17"/>
      <c r="Q4169" s="17"/>
    </row>
    <row r="4170" spans="2:17">
      <c r="B4170" s="17"/>
      <c r="C4170" s="16" t="str">
        <f>IFERROR(VLOOKUP(DATA!#REF!,DATA!#REF!,1,FALSE),"")</f>
        <v/>
      </c>
      <c r="D4170" s="16" t="str">
        <f>IFERROR(VLOOKUP(C4170,DATA!#REF!,2,FALSE),"")</f>
        <v/>
      </c>
      <c r="I4170" s="17"/>
      <c r="J4170" s="17"/>
      <c r="P4170" s="17"/>
      <c r="Q4170" s="17"/>
    </row>
    <row r="4171" spans="2:17">
      <c r="B4171" s="17"/>
      <c r="C4171" s="16" t="str">
        <f>IFERROR(VLOOKUP(DATA!#REF!,DATA!#REF!,1,FALSE),"")</f>
        <v/>
      </c>
      <c r="D4171" s="16" t="str">
        <f>IFERROR(VLOOKUP(C4171,DATA!#REF!,2,FALSE),"")</f>
        <v/>
      </c>
      <c r="I4171" s="17"/>
      <c r="J4171" s="17"/>
      <c r="P4171" s="17"/>
      <c r="Q4171" s="17"/>
    </row>
    <row r="4172" spans="2:17">
      <c r="B4172" s="17"/>
      <c r="C4172" s="16" t="str">
        <f>IFERROR(VLOOKUP(DATA!#REF!,DATA!#REF!,1,FALSE),"")</f>
        <v/>
      </c>
      <c r="D4172" s="16" t="str">
        <f>IFERROR(VLOOKUP(C4172,DATA!#REF!,2,FALSE),"")</f>
        <v/>
      </c>
      <c r="I4172" s="17"/>
      <c r="J4172" s="17"/>
      <c r="P4172" s="17"/>
      <c r="Q4172" s="17"/>
    </row>
    <row r="4173" spans="2:17">
      <c r="B4173" s="17"/>
      <c r="C4173" s="16" t="str">
        <f>IFERROR(VLOOKUP(DATA!#REF!,DATA!#REF!,1,FALSE),"")</f>
        <v/>
      </c>
      <c r="D4173" s="16" t="str">
        <f>IFERROR(VLOOKUP(C4173,DATA!#REF!,2,FALSE),"")</f>
        <v/>
      </c>
      <c r="I4173" s="17"/>
      <c r="J4173" s="17"/>
      <c r="P4173" s="17"/>
      <c r="Q4173" s="17"/>
    </row>
    <row r="4174" spans="2:17">
      <c r="B4174" s="17"/>
      <c r="C4174" s="16" t="str">
        <f>IFERROR(VLOOKUP(DATA!#REF!,DATA!#REF!,1,FALSE),"")</f>
        <v/>
      </c>
      <c r="D4174" s="16" t="str">
        <f>IFERROR(VLOOKUP(C4174,DATA!#REF!,2,FALSE),"")</f>
        <v/>
      </c>
      <c r="I4174" s="17"/>
      <c r="J4174" s="17"/>
      <c r="P4174" s="17"/>
      <c r="Q4174" s="17"/>
    </row>
    <row r="4175" spans="2:17">
      <c r="B4175" s="17"/>
      <c r="C4175" s="16" t="str">
        <f>IFERROR(VLOOKUP(DATA!#REF!,DATA!#REF!,1,FALSE),"")</f>
        <v/>
      </c>
      <c r="D4175" s="16" t="str">
        <f>IFERROR(VLOOKUP(C4175,DATA!#REF!,2,FALSE),"")</f>
        <v/>
      </c>
      <c r="I4175" s="17"/>
      <c r="J4175" s="17"/>
      <c r="P4175" s="17"/>
      <c r="Q4175" s="17"/>
    </row>
    <row r="4176" spans="2:17">
      <c r="B4176" s="17"/>
      <c r="C4176" s="16" t="str">
        <f>IFERROR(VLOOKUP(DATA!#REF!,DATA!#REF!,1,FALSE),"")</f>
        <v/>
      </c>
      <c r="D4176" s="16" t="str">
        <f>IFERROR(VLOOKUP(C4176,DATA!#REF!,2,FALSE),"")</f>
        <v/>
      </c>
      <c r="I4176" s="17"/>
      <c r="J4176" s="17"/>
      <c r="P4176" s="17"/>
      <c r="Q4176" s="17"/>
    </row>
    <row r="4177" spans="2:17">
      <c r="B4177" s="17"/>
      <c r="C4177" s="16" t="str">
        <f>IFERROR(VLOOKUP(DATA!#REF!,DATA!#REF!,1,FALSE),"")</f>
        <v/>
      </c>
      <c r="D4177" s="16" t="str">
        <f>IFERROR(VLOOKUP(C4177,DATA!#REF!,2,FALSE),"")</f>
        <v/>
      </c>
      <c r="I4177" s="17"/>
      <c r="J4177" s="17"/>
      <c r="P4177" s="17"/>
      <c r="Q4177" s="17"/>
    </row>
    <row r="4178" spans="2:17">
      <c r="B4178" s="17"/>
      <c r="C4178" s="16" t="str">
        <f>IFERROR(VLOOKUP(DATA!#REF!,DATA!#REF!,1,FALSE),"")</f>
        <v/>
      </c>
      <c r="D4178" s="16" t="str">
        <f>IFERROR(VLOOKUP(C4178,DATA!#REF!,2,FALSE),"")</f>
        <v/>
      </c>
      <c r="I4178" s="17"/>
      <c r="J4178" s="17"/>
      <c r="P4178" s="17"/>
      <c r="Q4178" s="17"/>
    </row>
    <row r="4179" spans="2:17">
      <c r="B4179" s="17"/>
      <c r="C4179" s="16" t="str">
        <f>IFERROR(VLOOKUP(DATA!#REF!,DATA!#REF!,1,FALSE),"")</f>
        <v/>
      </c>
      <c r="D4179" s="16" t="str">
        <f>IFERROR(VLOOKUP(C4179,DATA!#REF!,2,FALSE),"")</f>
        <v/>
      </c>
      <c r="I4179" s="17"/>
      <c r="J4179" s="17"/>
      <c r="P4179" s="17"/>
      <c r="Q4179" s="17"/>
    </row>
    <row r="4180" spans="2:17">
      <c r="B4180" s="17"/>
      <c r="C4180" s="16" t="str">
        <f>IFERROR(VLOOKUP(DATA!#REF!,DATA!#REF!,1,FALSE),"")</f>
        <v/>
      </c>
      <c r="D4180" s="16" t="str">
        <f>IFERROR(VLOOKUP(C4180,DATA!#REF!,2,FALSE),"")</f>
        <v/>
      </c>
      <c r="I4180" s="17"/>
      <c r="J4180" s="17"/>
      <c r="P4180" s="17"/>
      <c r="Q4180" s="17"/>
    </row>
    <row r="4181" spans="2:17">
      <c r="B4181" s="17"/>
      <c r="C4181" s="16" t="str">
        <f>IFERROR(VLOOKUP(DATA!#REF!,DATA!#REF!,1,FALSE),"")</f>
        <v/>
      </c>
      <c r="D4181" s="16" t="str">
        <f>IFERROR(VLOOKUP(C4181,DATA!#REF!,2,FALSE),"")</f>
        <v/>
      </c>
      <c r="I4181" s="17"/>
      <c r="J4181" s="17"/>
      <c r="P4181" s="17"/>
      <c r="Q4181" s="17"/>
    </row>
    <row r="4182" spans="2:17">
      <c r="B4182" s="17"/>
      <c r="C4182" s="16" t="str">
        <f>IFERROR(VLOOKUP(DATA!#REF!,DATA!#REF!,1,FALSE),"")</f>
        <v/>
      </c>
      <c r="D4182" s="16" t="str">
        <f>IFERROR(VLOOKUP(C4182,DATA!#REF!,2,FALSE),"")</f>
        <v/>
      </c>
      <c r="I4182" s="17"/>
      <c r="J4182" s="17"/>
      <c r="P4182" s="17"/>
      <c r="Q4182" s="17"/>
    </row>
    <row r="4183" spans="2:17">
      <c r="B4183" s="17"/>
      <c r="C4183" s="16" t="str">
        <f>IFERROR(VLOOKUP(DATA!#REF!,DATA!#REF!,1,FALSE),"")</f>
        <v/>
      </c>
      <c r="D4183" s="16" t="str">
        <f>IFERROR(VLOOKUP(C4183,DATA!#REF!,2,FALSE),"")</f>
        <v/>
      </c>
      <c r="I4183" s="17"/>
      <c r="J4183" s="17"/>
      <c r="P4183" s="17"/>
      <c r="Q4183" s="17"/>
    </row>
    <row r="4184" spans="2:17">
      <c r="B4184" s="17"/>
      <c r="C4184" s="16" t="str">
        <f>IFERROR(VLOOKUP(DATA!#REF!,DATA!#REF!,1,FALSE),"")</f>
        <v/>
      </c>
      <c r="D4184" s="16" t="str">
        <f>IFERROR(VLOOKUP(C4184,DATA!#REF!,2,FALSE),"")</f>
        <v/>
      </c>
      <c r="I4184" s="17"/>
      <c r="J4184" s="17"/>
      <c r="P4184" s="17"/>
      <c r="Q4184" s="17"/>
    </row>
    <row r="4185" spans="2:17">
      <c r="B4185" s="17"/>
      <c r="C4185" s="16" t="str">
        <f>IFERROR(VLOOKUP(DATA!#REF!,DATA!#REF!,1,FALSE),"")</f>
        <v/>
      </c>
      <c r="D4185" s="16" t="str">
        <f>IFERROR(VLOOKUP(C4185,DATA!#REF!,2,FALSE),"")</f>
        <v/>
      </c>
      <c r="I4185" s="17"/>
      <c r="J4185" s="17"/>
      <c r="P4185" s="17"/>
      <c r="Q4185" s="17"/>
    </row>
    <row r="4186" spans="2:17">
      <c r="B4186" s="17"/>
      <c r="C4186" s="16" t="str">
        <f>IFERROR(VLOOKUP(DATA!#REF!,DATA!#REF!,1,FALSE),"")</f>
        <v/>
      </c>
      <c r="D4186" s="16" t="str">
        <f>IFERROR(VLOOKUP(C4186,DATA!#REF!,2,FALSE),"")</f>
        <v/>
      </c>
      <c r="I4186" s="17"/>
      <c r="J4186" s="17"/>
      <c r="P4186" s="17"/>
      <c r="Q4186" s="17"/>
    </row>
    <row r="4187" spans="2:17">
      <c r="B4187" s="17"/>
      <c r="C4187" s="16" t="str">
        <f>IFERROR(VLOOKUP(DATA!#REF!,DATA!#REF!,1,FALSE),"")</f>
        <v/>
      </c>
      <c r="D4187" s="16" t="str">
        <f>IFERROR(VLOOKUP(C4187,DATA!#REF!,2,FALSE),"")</f>
        <v/>
      </c>
      <c r="I4187" s="17"/>
      <c r="J4187" s="17"/>
      <c r="P4187" s="17"/>
      <c r="Q4187" s="17"/>
    </row>
    <row r="4188" spans="2:17">
      <c r="B4188" s="17"/>
      <c r="C4188" s="16" t="str">
        <f>IFERROR(VLOOKUP(DATA!#REF!,DATA!#REF!,1,FALSE),"")</f>
        <v/>
      </c>
      <c r="D4188" s="16" t="str">
        <f>IFERROR(VLOOKUP(C4188,DATA!#REF!,2,FALSE),"")</f>
        <v/>
      </c>
      <c r="I4188" s="17"/>
      <c r="J4188" s="17"/>
      <c r="P4188" s="17"/>
      <c r="Q4188" s="17"/>
    </row>
    <row r="4189" spans="2:17">
      <c r="B4189" s="17"/>
      <c r="C4189" s="16" t="str">
        <f>IFERROR(VLOOKUP(DATA!#REF!,DATA!#REF!,1,FALSE),"")</f>
        <v/>
      </c>
      <c r="D4189" s="16" t="str">
        <f>IFERROR(VLOOKUP(C4189,DATA!#REF!,2,FALSE),"")</f>
        <v/>
      </c>
      <c r="I4189" s="17"/>
      <c r="J4189" s="17"/>
      <c r="P4189" s="17"/>
      <c r="Q4189" s="17"/>
    </row>
    <row r="4190" spans="2:17">
      <c r="B4190" s="17"/>
      <c r="C4190" s="16" t="str">
        <f>IFERROR(VLOOKUP(DATA!#REF!,DATA!#REF!,1,FALSE),"")</f>
        <v/>
      </c>
      <c r="D4190" s="16" t="str">
        <f>IFERROR(VLOOKUP(C4190,DATA!#REF!,2,FALSE),"")</f>
        <v/>
      </c>
      <c r="I4190" s="17"/>
      <c r="J4190" s="17"/>
      <c r="P4190" s="17"/>
      <c r="Q4190" s="17"/>
    </row>
    <row r="4191" spans="2:17">
      <c r="B4191" s="17"/>
      <c r="C4191" s="16" t="str">
        <f>IFERROR(VLOOKUP(DATA!#REF!,DATA!#REF!,1,FALSE),"")</f>
        <v/>
      </c>
      <c r="D4191" s="16" t="str">
        <f>IFERROR(VLOOKUP(C4191,DATA!#REF!,2,FALSE),"")</f>
        <v/>
      </c>
      <c r="I4191" s="17"/>
      <c r="J4191" s="17"/>
      <c r="P4191" s="17"/>
      <c r="Q4191" s="17"/>
    </row>
    <row r="4192" spans="2:17">
      <c r="B4192" s="17"/>
      <c r="C4192" s="16" t="str">
        <f>IFERROR(VLOOKUP(DATA!#REF!,DATA!#REF!,1,FALSE),"")</f>
        <v/>
      </c>
      <c r="D4192" s="16" t="str">
        <f>IFERROR(VLOOKUP(C4192,DATA!#REF!,2,FALSE),"")</f>
        <v/>
      </c>
      <c r="I4192" s="17"/>
      <c r="J4192" s="17"/>
      <c r="P4192" s="17"/>
      <c r="Q4192" s="17"/>
    </row>
    <row r="4193" spans="2:17">
      <c r="B4193" s="17"/>
      <c r="C4193" s="16" t="str">
        <f>IFERROR(VLOOKUP(DATA!#REF!,DATA!#REF!,1,FALSE),"")</f>
        <v/>
      </c>
      <c r="D4193" s="16" t="str">
        <f>IFERROR(VLOOKUP(C4193,DATA!#REF!,2,FALSE),"")</f>
        <v/>
      </c>
      <c r="I4193" s="17"/>
      <c r="J4193" s="17"/>
      <c r="P4193" s="17"/>
      <c r="Q4193" s="17"/>
    </row>
    <row r="4194" spans="2:17">
      <c r="B4194" s="17"/>
      <c r="C4194" s="16" t="str">
        <f>IFERROR(VLOOKUP(DATA!#REF!,DATA!#REF!,1,FALSE),"")</f>
        <v/>
      </c>
      <c r="D4194" s="16" t="str">
        <f>IFERROR(VLOOKUP(C4194,DATA!#REF!,2,FALSE),"")</f>
        <v/>
      </c>
      <c r="I4194" s="17"/>
      <c r="J4194" s="17"/>
      <c r="P4194" s="17"/>
      <c r="Q4194" s="17"/>
    </row>
    <row r="4195" spans="2:17">
      <c r="B4195" s="17"/>
      <c r="C4195" s="16" t="str">
        <f>IFERROR(VLOOKUP(DATA!#REF!,DATA!#REF!,1,FALSE),"")</f>
        <v/>
      </c>
      <c r="D4195" s="16" t="str">
        <f>IFERROR(VLOOKUP(C4195,DATA!#REF!,2,FALSE),"")</f>
        <v/>
      </c>
      <c r="I4195" s="17"/>
      <c r="J4195" s="17"/>
      <c r="P4195" s="17"/>
      <c r="Q4195" s="17"/>
    </row>
    <row r="4196" spans="2:17">
      <c r="B4196" s="17"/>
      <c r="C4196" s="16" t="str">
        <f>IFERROR(VLOOKUP(DATA!#REF!,DATA!#REF!,1,FALSE),"")</f>
        <v/>
      </c>
      <c r="D4196" s="16" t="str">
        <f>IFERROR(VLOOKUP(C4196,DATA!#REF!,2,FALSE),"")</f>
        <v/>
      </c>
      <c r="I4196" s="17"/>
      <c r="J4196" s="17"/>
      <c r="P4196" s="17"/>
      <c r="Q4196" s="17"/>
    </row>
    <row r="4197" spans="2:17">
      <c r="B4197" s="17"/>
      <c r="C4197" s="16" t="str">
        <f>IFERROR(VLOOKUP(DATA!#REF!,DATA!#REF!,1,FALSE),"")</f>
        <v/>
      </c>
      <c r="D4197" s="16" t="str">
        <f>IFERROR(VLOOKUP(C4197,DATA!#REF!,2,FALSE),"")</f>
        <v/>
      </c>
      <c r="I4197" s="17"/>
      <c r="J4197" s="17"/>
      <c r="P4197" s="17"/>
      <c r="Q4197" s="17"/>
    </row>
    <row r="4198" spans="2:17">
      <c r="B4198" s="17"/>
      <c r="C4198" s="16" t="str">
        <f>IFERROR(VLOOKUP(DATA!#REF!,DATA!#REF!,1,FALSE),"")</f>
        <v/>
      </c>
      <c r="D4198" s="16" t="str">
        <f>IFERROR(VLOOKUP(C4198,DATA!#REF!,2,FALSE),"")</f>
        <v/>
      </c>
      <c r="I4198" s="17"/>
      <c r="J4198" s="17"/>
      <c r="P4198" s="17"/>
      <c r="Q4198" s="17"/>
    </row>
    <row r="4199" spans="2:17">
      <c r="B4199" s="17"/>
      <c r="C4199" s="16" t="str">
        <f>IFERROR(VLOOKUP(DATA!#REF!,DATA!#REF!,1,FALSE),"")</f>
        <v/>
      </c>
      <c r="D4199" s="16" t="str">
        <f>IFERROR(VLOOKUP(C4199,DATA!#REF!,2,FALSE),"")</f>
        <v/>
      </c>
      <c r="I4199" s="17"/>
      <c r="J4199" s="17"/>
      <c r="P4199" s="17"/>
      <c r="Q4199" s="17"/>
    </row>
    <row r="4200" spans="2:17">
      <c r="B4200" s="17"/>
      <c r="C4200" s="16" t="str">
        <f>IFERROR(VLOOKUP(DATA!#REF!,DATA!#REF!,1,FALSE),"")</f>
        <v/>
      </c>
      <c r="D4200" s="16" t="str">
        <f>IFERROR(VLOOKUP(C4200,DATA!#REF!,2,FALSE),"")</f>
        <v/>
      </c>
      <c r="I4200" s="17"/>
      <c r="J4200" s="17"/>
      <c r="P4200" s="17"/>
      <c r="Q4200" s="17"/>
    </row>
    <row r="4201" spans="2:17">
      <c r="B4201" s="17"/>
      <c r="C4201" s="16" t="str">
        <f>IFERROR(VLOOKUP(DATA!#REF!,DATA!#REF!,1,FALSE),"")</f>
        <v/>
      </c>
      <c r="D4201" s="16" t="str">
        <f>IFERROR(VLOOKUP(C4201,DATA!#REF!,2,FALSE),"")</f>
        <v/>
      </c>
      <c r="I4201" s="17"/>
      <c r="J4201" s="17"/>
      <c r="P4201" s="17"/>
      <c r="Q4201" s="17"/>
    </row>
    <row r="4202" spans="2:17">
      <c r="B4202" s="17"/>
      <c r="C4202" s="16" t="str">
        <f>IFERROR(VLOOKUP(DATA!#REF!,DATA!#REF!,1,FALSE),"")</f>
        <v/>
      </c>
      <c r="D4202" s="16" t="str">
        <f>IFERROR(VLOOKUP(C4202,DATA!#REF!,2,FALSE),"")</f>
        <v/>
      </c>
      <c r="I4202" s="17"/>
      <c r="J4202" s="17"/>
      <c r="P4202" s="17"/>
      <c r="Q4202" s="17"/>
    </row>
    <row r="4203" spans="2:17">
      <c r="B4203" s="17"/>
      <c r="C4203" s="16" t="str">
        <f>IFERROR(VLOOKUP(DATA!#REF!,DATA!#REF!,1,FALSE),"")</f>
        <v/>
      </c>
      <c r="D4203" s="16" t="str">
        <f>IFERROR(VLOOKUP(C4203,DATA!#REF!,2,FALSE),"")</f>
        <v/>
      </c>
      <c r="I4203" s="17"/>
      <c r="J4203" s="17"/>
      <c r="P4203" s="17"/>
      <c r="Q4203" s="17"/>
    </row>
    <row r="4204" spans="2:17">
      <c r="B4204" s="17"/>
      <c r="C4204" s="16" t="str">
        <f>IFERROR(VLOOKUP(DATA!#REF!,DATA!#REF!,1,FALSE),"")</f>
        <v/>
      </c>
      <c r="D4204" s="16" t="str">
        <f>IFERROR(VLOOKUP(C4204,DATA!#REF!,2,FALSE),"")</f>
        <v/>
      </c>
      <c r="I4204" s="17"/>
      <c r="J4204" s="17"/>
      <c r="P4204" s="17"/>
      <c r="Q4204" s="17"/>
    </row>
    <row r="4205" spans="2:17">
      <c r="B4205" s="17"/>
      <c r="C4205" s="16" t="str">
        <f>IFERROR(VLOOKUP(DATA!#REF!,DATA!#REF!,1,FALSE),"")</f>
        <v/>
      </c>
      <c r="D4205" s="16" t="str">
        <f>IFERROR(VLOOKUP(C4205,DATA!#REF!,2,FALSE),"")</f>
        <v/>
      </c>
      <c r="I4205" s="17"/>
      <c r="J4205" s="17"/>
      <c r="P4205" s="17"/>
      <c r="Q4205" s="17"/>
    </row>
    <row r="4206" spans="2:17">
      <c r="B4206" s="17"/>
      <c r="C4206" s="16" t="str">
        <f>IFERROR(VLOOKUP(DATA!#REF!,DATA!#REF!,1,FALSE),"")</f>
        <v/>
      </c>
      <c r="D4206" s="16" t="str">
        <f>IFERROR(VLOOKUP(C4206,DATA!#REF!,2,FALSE),"")</f>
        <v/>
      </c>
      <c r="I4206" s="17"/>
      <c r="J4206" s="17"/>
      <c r="P4206" s="17"/>
      <c r="Q4206" s="17"/>
    </row>
    <row r="4207" spans="2:17">
      <c r="B4207" s="17"/>
      <c r="C4207" s="16" t="str">
        <f>IFERROR(VLOOKUP(DATA!#REF!,DATA!#REF!,1,FALSE),"")</f>
        <v/>
      </c>
      <c r="D4207" s="16" t="str">
        <f>IFERROR(VLOOKUP(C4207,DATA!#REF!,2,FALSE),"")</f>
        <v/>
      </c>
      <c r="I4207" s="17"/>
      <c r="J4207" s="17"/>
      <c r="P4207" s="17"/>
      <c r="Q4207" s="17"/>
    </row>
    <row r="4208" spans="2:17">
      <c r="B4208" s="17"/>
      <c r="C4208" s="16" t="str">
        <f>IFERROR(VLOOKUP(DATA!#REF!,DATA!#REF!,1,FALSE),"")</f>
        <v/>
      </c>
      <c r="D4208" s="16" t="str">
        <f>IFERROR(VLOOKUP(C4208,DATA!#REF!,2,FALSE),"")</f>
        <v/>
      </c>
      <c r="I4208" s="17"/>
      <c r="J4208" s="17"/>
      <c r="P4208" s="17"/>
      <c r="Q4208" s="17"/>
    </row>
    <row r="4209" spans="2:17">
      <c r="B4209" s="17"/>
      <c r="C4209" s="16" t="str">
        <f>IFERROR(VLOOKUP(DATA!#REF!,DATA!#REF!,1,FALSE),"")</f>
        <v/>
      </c>
      <c r="D4209" s="16" t="str">
        <f>IFERROR(VLOOKUP(C4209,DATA!#REF!,2,FALSE),"")</f>
        <v/>
      </c>
      <c r="I4209" s="17"/>
      <c r="J4209" s="17"/>
      <c r="P4209" s="17"/>
      <c r="Q4209" s="17"/>
    </row>
    <row r="4210" spans="2:17">
      <c r="B4210" s="17"/>
      <c r="C4210" s="16" t="str">
        <f>IFERROR(VLOOKUP(DATA!#REF!,DATA!#REF!,1,FALSE),"")</f>
        <v/>
      </c>
      <c r="D4210" s="16" t="str">
        <f>IFERROR(VLOOKUP(C4210,DATA!#REF!,2,FALSE),"")</f>
        <v/>
      </c>
      <c r="I4210" s="17"/>
      <c r="J4210" s="17"/>
      <c r="P4210" s="17"/>
      <c r="Q4210" s="17"/>
    </row>
    <row r="4211" spans="2:17">
      <c r="B4211" s="17"/>
      <c r="C4211" s="16" t="str">
        <f>IFERROR(VLOOKUP(DATA!#REF!,DATA!#REF!,1,FALSE),"")</f>
        <v/>
      </c>
      <c r="D4211" s="16" t="str">
        <f>IFERROR(VLOOKUP(C4211,DATA!#REF!,2,FALSE),"")</f>
        <v/>
      </c>
      <c r="I4211" s="17"/>
      <c r="J4211" s="17"/>
      <c r="P4211" s="17"/>
      <c r="Q4211" s="17"/>
    </row>
    <row r="4212" spans="2:17">
      <c r="B4212" s="17"/>
      <c r="C4212" s="16" t="str">
        <f>IFERROR(VLOOKUP(DATA!#REF!,DATA!#REF!,1,FALSE),"")</f>
        <v/>
      </c>
      <c r="D4212" s="16" t="str">
        <f>IFERROR(VLOOKUP(C4212,DATA!#REF!,2,FALSE),"")</f>
        <v/>
      </c>
      <c r="I4212" s="17"/>
      <c r="J4212" s="17"/>
      <c r="P4212" s="17"/>
      <c r="Q4212" s="17"/>
    </row>
    <row r="4213" spans="2:17">
      <c r="B4213" s="17"/>
      <c r="C4213" s="16" t="str">
        <f>IFERROR(VLOOKUP(DATA!#REF!,DATA!#REF!,1,FALSE),"")</f>
        <v/>
      </c>
      <c r="D4213" s="16" t="str">
        <f>IFERROR(VLOOKUP(C4213,DATA!#REF!,2,FALSE),"")</f>
        <v/>
      </c>
      <c r="I4213" s="17"/>
      <c r="J4213" s="17"/>
      <c r="P4213" s="17"/>
      <c r="Q4213" s="17"/>
    </row>
    <row r="4214" spans="2:17">
      <c r="B4214" s="17"/>
      <c r="C4214" s="16" t="str">
        <f>IFERROR(VLOOKUP(DATA!#REF!,DATA!#REF!,1,FALSE),"")</f>
        <v/>
      </c>
      <c r="D4214" s="16" t="str">
        <f>IFERROR(VLOOKUP(C4214,DATA!#REF!,2,FALSE),"")</f>
        <v/>
      </c>
      <c r="I4214" s="17"/>
      <c r="J4214" s="17"/>
      <c r="P4214" s="17"/>
      <c r="Q4214" s="17"/>
    </row>
    <row r="4215" spans="2:17">
      <c r="B4215" s="17"/>
      <c r="C4215" s="16" t="str">
        <f>IFERROR(VLOOKUP(DATA!#REF!,DATA!#REF!,1,FALSE),"")</f>
        <v/>
      </c>
      <c r="D4215" s="16" t="str">
        <f>IFERROR(VLOOKUP(C4215,DATA!#REF!,2,FALSE),"")</f>
        <v/>
      </c>
      <c r="I4215" s="17"/>
      <c r="J4215" s="17"/>
      <c r="P4215" s="17"/>
      <c r="Q4215" s="17"/>
    </row>
    <row r="4216" spans="2:17">
      <c r="B4216" s="17"/>
      <c r="C4216" s="16" t="str">
        <f>IFERROR(VLOOKUP(DATA!#REF!,DATA!#REF!,1,FALSE),"")</f>
        <v/>
      </c>
      <c r="D4216" s="16" t="str">
        <f>IFERROR(VLOOKUP(C4216,DATA!#REF!,2,FALSE),"")</f>
        <v/>
      </c>
      <c r="I4216" s="17"/>
      <c r="J4216" s="17"/>
      <c r="P4216" s="17"/>
      <c r="Q4216" s="17"/>
    </row>
    <row r="4217" spans="2:17">
      <c r="B4217" s="17"/>
      <c r="C4217" s="16" t="str">
        <f>IFERROR(VLOOKUP(DATA!#REF!,DATA!#REF!,1,FALSE),"")</f>
        <v/>
      </c>
      <c r="D4217" s="16" t="str">
        <f>IFERROR(VLOOKUP(C4217,DATA!#REF!,2,FALSE),"")</f>
        <v/>
      </c>
      <c r="I4217" s="17"/>
      <c r="J4217" s="17"/>
      <c r="P4217" s="17"/>
      <c r="Q4217" s="17"/>
    </row>
    <row r="4218" spans="2:17">
      <c r="B4218" s="17"/>
      <c r="C4218" s="16" t="str">
        <f>IFERROR(VLOOKUP(DATA!#REF!,DATA!#REF!,1,FALSE),"")</f>
        <v/>
      </c>
      <c r="D4218" s="16" t="str">
        <f>IFERROR(VLOOKUP(C4218,DATA!#REF!,2,FALSE),"")</f>
        <v/>
      </c>
      <c r="I4218" s="17"/>
      <c r="J4218" s="17"/>
      <c r="P4218" s="17"/>
      <c r="Q4218" s="17"/>
    </row>
    <row r="4219" spans="2:17">
      <c r="B4219" s="17"/>
      <c r="C4219" s="16" t="str">
        <f>IFERROR(VLOOKUP(DATA!#REF!,DATA!#REF!,1,FALSE),"")</f>
        <v/>
      </c>
      <c r="D4219" s="16" t="str">
        <f>IFERROR(VLOOKUP(C4219,DATA!#REF!,2,FALSE),"")</f>
        <v/>
      </c>
      <c r="I4219" s="17"/>
      <c r="J4219" s="17"/>
      <c r="P4219" s="17"/>
      <c r="Q4219" s="17"/>
    </row>
    <row r="4220" spans="2:17">
      <c r="B4220" s="17"/>
      <c r="C4220" s="16" t="str">
        <f>IFERROR(VLOOKUP(DATA!#REF!,DATA!#REF!,1,FALSE),"")</f>
        <v/>
      </c>
      <c r="D4220" s="16" t="str">
        <f>IFERROR(VLOOKUP(C4220,DATA!#REF!,2,FALSE),"")</f>
        <v/>
      </c>
      <c r="I4220" s="17"/>
      <c r="J4220" s="17"/>
      <c r="P4220" s="17"/>
      <c r="Q4220" s="17"/>
    </row>
    <row r="4221" spans="2:17">
      <c r="B4221" s="17"/>
      <c r="C4221" s="16" t="str">
        <f>IFERROR(VLOOKUP(DATA!#REF!,DATA!#REF!,1,FALSE),"")</f>
        <v/>
      </c>
      <c r="D4221" s="16" t="str">
        <f>IFERROR(VLOOKUP(C4221,DATA!#REF!,2,FALSE),"")</f>
        <v/>
      </c>
      <c r="I4221" s="17"/>
      <c r="J4221" s="17"/>
      <c r="P4221" s="17"/>
      <c r="Q4221" s="17"/>
    </row>
    <row r="4222" spans="2:17">
      <c r="B4222" s="17"/>
      <c r="C4222" s="16" t="str">
        <f>IFERROR(VLOOKUP(DATA!#REF!,DATA!#REF!,1,FALSE),"")</f>
        <v/>
      </c>
      <c r="D4222" s="16" t="str">
        <f>IFERROR(VLOOKUP(C4222,DATA!#REF!,2,FALSE),"")</f>
        <v/>
      </c>
      <c r="I4222" s="17"/>
      <c r="J4222" s="17"/>
      <c r="P4222" s="17"/>
      <c r="Q4222" s="17"/>
    </row>
    <row r="4223" spans="2:17">
      <c r="B4223" s="17"/>
      <c r="C4223" s="16" t="str">
        <f>IFERROR(VLOOKUP(DATA!#REF!,DATA!#REF!,1,FALSE),"")</f>
        <v/>
      </c>
      <c r="D4223" s="16" t="str">
        <f>IFERROR(VLOOKUP(C4223,DATA!#REF!,2,FALSE),"")</f>
        <v/>
      </c>
      <c r="I4223" s="17"/>
      <c r="J4223" s="17"/>
      <c r="P4223" s="17"/>
      <c r="Q4223" s="17"/>
    </row>
    <row r="4224" spans="2:17">
      <c r="B4224" s="17"/>
      <c r="C4224" s="16" t="str">
        <f>IFERROR(VLOOKUP(DATA!#REF!,DATA!#REF!,1,FALSE),"")</f>
        <v/>
      </c>
      <c r="D4224" s="16" t="str">
        <f>IFERROR(VLOOKUP(C4224,DATA!#REF!,2,FALSE),"")</f>
        <v/>
      </c>
      <c r="I4224" s="17"/>
      <c r="J4224" s="17"/>
      <c r="P4224" s="17"/>
      <c r="Q4224" s="17"/>
    </row>
    <row r="4225" spans="2:17">
      <c r="B4225" s="17"/>
      <c r="C4225" s="16" t="str">
        <f>IFERROR(VLOOKUP(DATA!#REF!,DATA!#REF!,1,FALSE),"")</f>
        <v/>
      </c>
      <c r="D4225" s="16" t="str">
        <f>IFERROR(VLOOKUP(C4225,DATA!#REF!,2,FALSE),"")</f>
        <v/>
      </c>
      <c r="I4225" s="17"/>
      <c r="J4225" s="17"/>
      <c r="P4225" s="17"/>
      <c r="Q4225" s="17"/>
    </row>
    <row r="4226" spans="2:17">
      <c r="B4226" s="17"/>
      <c r="C4226" s="16" t="str">
        <f>IFERROR(VLOOKUP(DATA!#REF!,DATA!#REF!,1,FALSE),"")</f>
        <v/>
      </c>
      <c r="D4226" s="16" t="str">
        <f>IFERROR(VLOOKUP(C4226,DATA!#REF!,2,FALSE),"")</f>
        <v/>
      </c>
      <c r="I4226" s="17"/>
      <c r="J4226" s="17"/>
      <c r="P4226" s="17"/>
      <c r="Q4226" s="17"/>
    </row>
    <row r="4227" spans="2:17">
      <c r="B4227" s="17"/>
      <c r="C4227" s="16" t="str">
        <f>IFERROR(VLOOKUP(DATA!#REF!,DATA!#REF!,1,FALSE),"")</f>
        <v/>
      </c>
      <c r="D4227" s="16" t="str">
        <f>IFERROR(VLOOKUP(C4227,DATA!#REF!,2,FALSE),"")</f>
        <v/>
      </c>
      <c r="I4227" s="17"/>
      <c r="J4227" s="17"/>
      <c r="P4227" s="17"/>
      <c r="Q4227" s="17"/>
    </row>
    <row r="4228" spans="2:17">
      <c r="B4228" s="17"/>
      <c r="C4228" s="16" t="str">
        <f>IFERROR(VLOOKUP(DATA!#REF!,DATA!#REF!,1,FALSE),"")</f>
        <v/>
      </c>
      <c r="D4228" s="16" t="str">
        <f>IFERROR(VLOOKUP(C4228,DATA!#REF!,2,FALSE),"")</f>
        <v/>
      </c>
      <c r="I4228" s="17"/>
      <c r="J4228" s="17"/>
      <c r="P4228" s="17"/>
      <c r="Q4228" s="17"/>
    </row>
    <row r="4229" spans="2:17">
      <c r="B4229" s="17"/>
      <c r="C4229" s="16" t="str">
        <f>IFERROR(VLOOKUP(DATA!#REF!,DATA!#REF!,1,FALSE),"")</f>
        <v/>
      </c>
      <c r="D4229" s="16" t="str">
        <f>IFERROR(VLOOKUP(C4229,DATA!#REF!,2,FALSE),"")</f>
        <v/>
      </c>
      <c r="I4229" s="17"/>
      <c r="J4229" s="17"/>
      <c r="P4229" s="17"/>
      <c r="Q4229" s="17"/>
    </row>
    <row r="4230" spans="2:17">
      <c r="B4230" s="17"/>
      <c r="C4230" s="16" t="str">
        <f>IFERROR(VLOOKUP(DATA!#REF!,DATA!#REF!,1,FALSE),"")</f>
        <v/>
      </c>
      <c r="D4230" s="16" t="str">
        <f>IFERROR(VLOOKUP(C4230,DATA!#REF!,2,FALSE),"")</f>
        <v/>
      </c>
      <c r="I4230" s="17"/>
      <c r="J4230" s="17"/>
      <c r="P4230" s="17"/>
      <c r="Q4230" s="17"/>
    </row>
    <row r="4231" spans="2:17">
      <c r="B4231" s="17"/>
      <c r="C4231" s="16" t="str">
        <f>IFERROR(VLOOKUP(DATA!#REF!,DATA!#REF!,1,FALSE),"")</f>
        <v/>
      </c>
      <c r="D4231" s="16" t="str">
        <f>IFERROR(VLOOKUP(C4231,DATA!#REF!,2,FALSE),"")</f>
        <v/>
      </c>
      <c r="I4231" s="17"/>
      <c r="J4231" s="17"/>
      <c r="P4231" s="17"/>
      <c r="Q4231" s="17"/>
    </row>
    <row r="4232" spans="2:17">
      <c r="B4232" s="17"/>
      <c r="C4232" s="16" t="str">
        <f>IFERROR(VLOOKUP(DATA!#REF!,DATA!#REF!,1,FALSE),"")</f>
        <v/>
      </c>
      <c r="D4232" s="16" t="str">
        <f>IFERROR(VLOOKUP(C4232,DATA!#REF!,2,FALSE),"")</f>
        <v/>
      </c>
      <c r="I4232" s="17"/>
      <c r="J4232" s="17"/>
      <c r="P4232" s="17"/>
      <c r="Q4232" s="17"/>
    </row>
    <row r="4233" spans="2:17">
      <c r="B4233" s="17"/>
      <c r="C4233" s="16" t="str">
        <f>IFERROR(VLOOKUP(DATA!#REF!,DATA!#REF!,1,FALSE),"")</f>
        <v/>
      </c>
      <c r="D4233" s="16" t="str">
        <f>IFERROR(VLOOKUP(C4233,DATA!#REF!,2,FALSE),"")</f>
        <v/>
      </c>
      <c r="I4233" s="17"/>
      <c r="J4233" s="17"/>
      <c r="P4233" s="17"/>
      <c r="Q4233" s="17"/>
    </row>
    <row r="4234" spans="2:17">
      <c r="B4234" s="17"/>
      <c r="C4234" s="16" t="str">
        <f>IFERROR(VLOOKUP(DATA!#REF!,DATA!#REF!,1,FALSE),"")</f>
        <v/>
      </c>
      <c r="D4234" s="16" t="str">
        <f>IFERROR(VLOOKUP(C4234,DATA!#REF!,2,FALSE),"")</f>
        <v/>
      </c>
      <c r="I4234" s="17"/>
      <c r="J4234" s="17"/>
      <c r="P4234" s="17"/>
      <c r="Q4234" s="17"/>
    </row>
    <row r="4235" spans="2:17">
      <c r="B4235" s="17"/>
      <c r="C4235" s="16" t="str">
        <f>IFERROR(VLOOKUP(DATA!#REF!,DATA!#REF!,1,FALSE),"")</f>
        <v/>
      </c>
      <c r="D4235" s="16" t="str">
        <f>IFERROR(VLOOKUP(C4235,DATA!#REF!,2,FALSE),"")</f>
        <v/>
      </c>
      <c r="I4235" s="17"/>
      <c r="J4235" s="17"/>
      <c r="P4235" s="17"/>
      <c r="Q4235" s="17"/>
    </row>
    <row r="4236" spans="2:17">
      <c r="B4236" s="17"/>
      <c r="C4236" s="16" t="str">
        <f>IFERROR(VLOOKUP(DATA!#REF!,DATA!#REF!,1,FALSE),"")</f>
        <v/>
      </c>
      <c r="D4236" s="16" t="str">
        <f>IFERROR(VLOOKUP(C4236,DATA!#REF!,2,FALSE),"")</f>
        <v/>
      </c>
      <c r="I4236" s="17"/>
      <c r="J4236" s="17"/>
      <c r="P4236" s="17"/>
      <c r="Q4236" s="17"/>
    </row>
    <row r="4237" spans="2:17">
      <c r="B4237" s="17"/>
      <c r="C4237" s="16" t="str">
        <f>IFERROR(VLOOKUP(DATA!#REF!,DATA!#REF!,1,FALSE),"")</f>
        <v/>
      </c>
      <c r="D4237" s="16" t="str">
        <f>IFERROR(VLOOKUP(C4237,DATA!#REF!,2,FALSE),"")</f>
        <v/>
      </c>
      <c r="I4237" s="17"/>
      <c r="J4237" s="17"/>
      <c r="P4237" s="17"/>
      <c r="Q4237" s="17"/>
    </row>
    <row r="4238" spans="2:17">
      <c r="B4238" s="17"/>
      <c r="C4238" s="16" t="str">
        <f>IFERROR(VLOOKUP(DATA!#REF!,DATA!#REF!,1,FALSE),"")</f>
        <v/>
      </c>
      <c r="D4238" s="16" t="str">
        <f>IFERROR(VLOOKUP(C4238,DATA!#REF!,2,FALSE),"")</f>
        <v/>
      </c>
      <c r="I4238" s="17"/>
      <c r="J4238" s="17"/>
      <c r="P4238" s="17"/>
      <c r="Q4238" s="17"/>
    </row>
    <row r="4239" spans="2:17">
      <c r="B4239" s="17"/>
      <c r="C4239" s="16" t="str">
        <f>IFERROR(VLOOKUP(DATA!#REF!,DATA!#REF!,1,FALSE),"")</f>
        <v/>
      </c>
      <c r="D4239" s="16" t="str">
        <f>IFERROR(VLOOKUP(C4239,DATA!#REF!,2,FALSE),"")</f>
        <v/>
      </c>
      <c r="I4239" s="17"/>
      <c r="J4239" s="17"/>
      <c r="P4239" s="17"/>
      <c r="Q4239" s="17"/>
    </row>
    <row r="4240" spans="2:17">
      <c r="B4240" s="17"/>
      <c r="C4240" s="16" t="str">
        <f>IFERROR(VLOOKUP(DATA!#REF!,DATA!#REF!,1,FALSE),"")</f>
        <v/>
      </c>
      <c r="D4240" s="16" t="str">
        <f>IFERROR(VLOOKUP(C4240,DATA!#REF!,2,FALSE),"")</f>
        <v/>
      </c>
      <c r="I4240" s="17"/>
      <c r="J4240" s="17"/>
      <c r="P4240" s="17"/>
      <c r="Q4240" s="17"/>
    </row>
    <row r="4241" spans="2:17">
      <c r="B4241" s="17"/>
      <c r="C4241" s="16" t="str">
        <f>IFERROR(VLOOKUP(DATA!#REF!,DATA!#REF!,1,FALSE),"")</f>
        <v/>
      </c>
      <c r="D4241" s="16" t="str">
        <f>IFERROR(VLOOKUP(C4241,DATA!#REF!,2,FALSE),"")</f>
        <v/>
      </c>
      <c r="I4241" s="17"/>
      <c r="J4241" s="17"/>
      <c r="P4241" s="17"/>
      <c r="Q4241" s="17"/>
    </row>
    <row r="4242" spans="2:17">
      <c r="B4242" s="17"/>
      <c r="C4242" s="16" t="str">
        <f>IFERROR(VLOOKUP(DATA!#REF!,DATA!#REF!,1,FALSE),"")</f>
        <v/>
      </c>
      <c r="D4242" s="16" t="str">
        <f>IFERROR(VLOOKUP(C4242,DATA!#REF!,2,FALSE),"")</f>
        <v/>
      </c>
      <c r="I4242" s="17"/>
      <c r="J4242" s="17"/>
      <c r="P4242" s="17"/>
      <c r="Q4242" s="17"/>
    </row>
    <row r="4243" spans="2:17">
      <c r="B4243" s="17"/>
      <c r="C4243" s="16" t="str">
        <f>IFERROR(VLOOKUP(DATA!#REF!,DATA!#REF!,1,FALSE),"")</f>
        <v/>
      </c>
      <c r="D4243" s="16" t="str">
        <f>IFERROR(VLOOKUP(C4243,DATA!#REF!,2,FALSE),"")</f>
        <v/>
      </c>
      <c r="I4243" s="17"/>
      <c r="J4243" s="17"/>
      <c r="P4243" s="17"/>
      <c r="Q4243" s="17"/>
    </row>
    <row r="4244" spans="2:17">
      <c r="B4244" s="17"/>
      <c r="C4244" s="16" t="str">
        <f>IFERROR(VLOOKUP(DATA!#REF!,DATA!#REF!,1,FALSE),"")</f>
        <v/>
      </c>
      <c r="D4244" s="16" t="str">
        <f>IFERROR(VLOOKUP(C4244,DATA!#REF!,2,FALSE),"")</f>
        <v/>
      </c>
      <c r="I4244" s="17"/>
      <c r="J4244" s="17"/>
      <c r="P4244" s="17"/>
      <c r="Q4244" s="17"/>
    </row>
    <row r="4245" spans="2:17">
      <c r="B4245" s="17"/>
      <c r="C4245" s="16" t="str">
        <f>IFERROR(VLOOKUP(DATA!#REF!,DATA!#REF!,1,FALSE),"")</f>
        <v/>
      </c>
      <c r="D4245" s="16" t="str">
        <f>IFERROR(VLOOKUP(C4245,DATA!#REF!,2,FALSE),"")</f>
        <v/>
      </c>
      <c r="I4245" s="17"/>
      <c r="J4245" s="17"/>
      <c r="P4245" s="17"/>
      <c r="Q4245" s="17"/>
    </row>
    <row r="4246" spans="2:17">
      <c r="B4246" s="17"/>
      <c r="C4246" s="16" t="str">
        <f>IFERROR(VLOOKUP(DATA!#REF!,DATA!#REF!,1,FALSE),"")</f>
        <v/>
      </c>
      <c r="D4246" s="16" t="str">
        <f>IFERROR(VLOOKUP(C4246,DATA!#REF!,2,FALSE),"")</f>
        <v/>
      </c>
      <c r="I4246" s="17"/>
      <c r="J4246" s="17"/>
      <c r="P4246" s="17"/>
      <c r="Q4246" s="17"/>
    </row>
    <row r="4247" spans="2:17">
      <c r="B4247" s="17"/>
      <c r="C4247" s="16" t="str">
        <f>IFERROR(VLOOKUP(DATA!#REF!,DATA!#REF!,1,FALSE),"")</f>
        <v/>
      </c>
      <c r="D4247" s="16" t="str">
        <f>IFERROR(VLOOKUP(C4247,DATA!#REF!,2,FALSE),"")</f>
        <v/>
      </c>
      <c r="I4247" s="17"/>
      <c r="J4247" s="17"/>
      <c r="P4247" s="17"/>
      <c r="Q4247" s="17"/>
    </row>
    <row r="4248" spans="2:17">
      <c r="B4248" s="17"/>
      <c r="C4248" s="16" t="str">
        <f>IFERROR(VLOOKUP(DATA!#REF!,DATA!#REF!,1,FALSE),"")</f>
        <v/>
      </c>
      <c r="D4248" s="16" t="str">
        <f>IFERROR(VLOOKUP(C4248,DATA!#REF!,2,FALSE),"")</f>
        <v/>
      </c>
      <c r="I4248" s="17"/>
      <c r="J4248" s="17"/>
      <c r="P4248" s="17"/>
      <c r="Q4248" s="17"/>
    </row>
    <row r="4249" spans="2:17">
      <c r="B4249" s="17"/>
      <c r="C4249" s="16" t="str">
        <f>IFERROR(VLOOKUP(DATA!#REF!,DATA!#REF!,1,FALSE),"")</f>
        <v/>
      </c>
      <c r="D4249" s="16" t="str">
        <f>IFERROR(VLOOKUP(C4249,DATA!#REF!,2,FALSE),"")</f>
        <v/>
      </c>
      <c r="I4249" s="17"/>
      <c r="J4249" s="17"/>
      <c r="P4249" s="17"/>
      <c r="Q4249" s="17"/>
    </row>
    <row r="4250" spans="2:17">
      <c r="B4250" s="17"/>
      <c r="C4250" s="16" t="str">
        <f>IFERROR(VLOOKUP(DATA!#REF!,DATA!#REF!,1,FALSE),"")</f>
        <v/>
      </c>
      <c r="D4250" s="16" t="str">
        <f>IFERROR(VLOOKUP(C4250,DATA!#REF!,2,FALSE),"")</f>
        <v/>
      </c>
      <c r="I4250" s="17"/>
      <c r="J4250" s="17"/>
      <c r="P4250" s="17"/>
      <c r="Q4250" s="17"/>
    </row>
    <row r="4251" spans="2:17">
      <c r="B4251" s="17"/>
      <c r="C4251" s="16" t="str">
        <f>IFERROR(VLOOKUP(DATA!#REF!,DATA!#REF!,1,FALSE),"")</f>
        <v/>
      </c>
      <c r="D4251" s="16" t="str">
        <f>IFERROR(VLOOKUP(C4251,DATA!#REF!,2,FALSE),"")</f>
        <v/>
      </c>
      <c r="I4251" s="17"/>
      <c r="J4251" s="17"/>
      <c r="P4251" s="17"/>
      <c r="Q4251" s="17"/>
    </row>
    <row r="4252" spans="2:17">
      <c r="B4252" s="17"/>
      <c r="C4252" s="16" t="str">
        <f>IFERROR(VLOOKUP(DATA!#REF!,DATA!#REF!,1,FALSE),"")</f>
        <v/>
      </c>
      <c r="D4252" s="16" t="str">
        <f>IFERROR(VLOOKUP(C4252,DATA!#REF!,2,FALSE),"")</f>
        <v/>
      </c>
      <c r="I4252" s="17"/>
      <c r="J4252" s="17"/>
      <c r="P4252" s="17"/>
      <c r="Q4252" s="17"/>
    </row>
    <row r="4253" spans="2:17">
      <c r="B4253" s="17"/>
      <c r="C4253" s="16" t="str">
        <f>IFERROR(VLOOKUP(DATA!#REF!,DATA!#REF!,1,FALSE),"")</f>
        <v/>
      </c>
      <c r="D4253" s="16" t="str">
        <f>IFERROR(VLOOKUP(C4253,DATA!#REF!,2,FALSE),"")</f>
        <v/>
      </c>
      <c r="I4253" s="17"/>
      <c r="J4253" s="17"/>
      <c r="P4253" s="17"/>
      <c r="Q4253" s="17"/>
    </row>
    <row r="4254" spans="2:17">
      <c r="B4254" s="17"/>
      <c r="C4254" s="16" t="str">
        <f>IFERROR(VLOOKUP(DATA!#REF!,DATA!#REF!,1,FALSE),"")</f>
        <v/>
      </c>
      <c r="D4254" s="16" t="str">
        <f>IFERROR(VLOOKUP(C4254,DATA!#REF!,2,FALSE),"")</f>
        <v/>
      </c>
      <c r="I4254" s="17"/>
      <c r="J4254" s="17"/>
      <c r="P4254" s="17"/>
      <c r="Q4254" s="17"/>
    </row>
    <row r="4255" spans="2:17">
      <c r="B4255" s="17"/>
      <c r="C4255" s="16" t="str">
        <f>IFERROR(VLOOKUP(DATA!#REF!,DATA!#REF!,1,FALSE),"")</f>
        <v/>
      </c>
      <c r="D4255" s="16" t="str">
        <f>IFERROR(VLOOKUP(C4255,DATA!#REF!,2,FALSE),"")</f>
        <v/>
      </c>
      <c r="I4255" s="17"/>
      <c r="J4255" s="17"/>
      <c r="P4255" s="17"/>
      <c r="Q4255" s="17"/>
    </row>
    <row r="4256" spans="2:17">
      <c r="B4256" s="17"/>
      <c r="C4256" s="16" t="str">
        <f>IFERROR(VLOOKUP(DATA!#REF!,DATA!#REF!,1,FALSE),"")</f>
        <v/>
      </c>
      <c r="D4256" s="16" t="str">
        <f>IFERROR(VLOOKUP(C4256,DATA!#REF!,2,FALSE),"")</f>
        <v/>
      </c>
      <c r="I4256" s="17"/>
      <c r="J4256" s="17"/>
      <c r="P4256" s="17"/>
      <c r="Q4256" s="17"/>
    </row>
    <row r="4257" spans="2:17">
      <c r="B4257" s="17"/>
      <c r="C4257" s="16" t="str">
        <f>IFERROR(VLOOKUP(DATA!#REF!,DATA!#REF!,1,FALSE),"")</f>
        <v/>
      </c>
      <c r="D4257" s="16" t="str">
        <f>IFERROR(VLOOKUP(C4257,DATA!#REF!,2,FALSE),"")</f>
        <v/>
      </c>
      <c r="I4257" s="17"/>
      <c r="J4257" s="17"/>
      <c r="P4257" s="17"/>
      <c r="Q4257" s="17"/>
    </row>
    <row r="4258" spans="2:17">
      <c r="B4258" s="17"/>
      <c r="C4258" s="16" t="str">
        <f>IFERROR(VLOOKUP(DATA!#REF!,DATA!#REF!,1,FALSE),"")</f>
        <v/>
      </c>
      <c r="D4258" s="16" t="str">
        <f>IFERROR(VLOOKUP(C4258,DATA!#REF!,2,FALSE),"")</f>
        <v/>
      </c>
      <c r="I4258" s="17"/>
      <c r="J4258" s="17"/>
      <c r="P4258" s="17"/>
      <c r="Q4258" s="17"/>
    </row>
    <row r="4259" spans="2:17">
      <c r="B4259" s="17"/>
      <c r="C4259" s="16" t="str">
        <f>IFERROR(VLOOKUP(DATA!#REF!,DATA!#REF!,1,FALSE),"")</f>
        <v/>
      </c>
      <c r="D4259" s="16" t="str">
        <f>IFERROR(VLOOKUP(C4259,DATA!#REF!,2,FALSE),"")</f>
        <v/>
      </c>
      <c r="I4259" s="17"/>
      <c r="J4259" s="17"/>
      <c r="P4259" s="17"/>
      <c r="Q4259" s="17"/>
    </row>
    <row r="4260" spans="2:17">
      <c r="B4260" s="17"/>
      <c r="C4260" s="16" t="str">
        <f>IFERROR(VLOOKUP(DATA!#REF!,DATA!#REF!,1,FALSE),"")</f>
        <v/>
      </c>
      <c r="D4260" s="16" t="str">
        <f>IFERROR(VLOOKUP(C4260,DATA!#REF!,2,FALSE),"")</f>
        <v/>
      </c>
      <c r="I4260" s="17"/>
      <c r="J4260" s="17"/>
      <c r="P4260" s="17"/>
      <c r="Q4260" s="17"/>
    </row>
    <row r="4261" spans="2:17">
      <c r="B4261" s="17"/>
      <c r="C4261" s="16" t="str">
        <f>IFERROR(VLOOKUP(DATA!#REF!,DATA!#REF!,1,FALSE),"")</f>
        <v/>
      </c>
      <c r="D4261" s="16" t="str">
        <f>IFERROR(VLOOKUP(C4261,DATA!#REF!,2,FALSE),"")</f>
        <v/>
      </c>
      <c r="I4261" s="17"/>
      <c r="J4261" s="17"/>
      <c r="P4261" s="17"/>
      <c r="Q4261" s="17"/>
    </row>
    <row r="4262" spans="2:17">
      <c r="B4262" s="17"/>
      <c r="C4262" s="16" t="str">
        <f>IFERROR(VLOOKUP(DATA!#REF!,DATA!#REF!,1,FALSE),"")</f>
        <v/>
      </c>
      <c r="D4262" s="16" t="str">
        <f>IFERROR(VLOOKUP(C4262,DATA!#REF!,2,FALSE),"")</f>
        <v/>
      </c>
      <c r="I4262" s="17"/>
      <c r="J4262" s="17"/>
      <c r="P4262" s="17"/>
      <c r="Q4262" s="17"/>
    </row>
    <row r="4263" spans="2:17">
      <c r="B4263" s="17"/>
      <c r="C4263" s="16" t="str">
        <f>IFERROR(VLOOKUP(DATA!#REF!,DATA!#REF!,1,FALSE),"")</f>
        <v/>
      </c>
      <c r="D4263" s="16" t="str">
        <f>IFERROR(VLOOKUP(C4263,DATA!#REF!,2,FALSE),"")</f>
        <v/>
      </c>
      <c r="I4263" s="17"/>
      <c r="J4263" s="17"/>
      <c r="P4263" s="17"/>
      <c r="Q4263" s="17"/>
    </row>
    <row r="4264" spans="2:17">
      <c r="B4264" s="17"/>
      <c r="C4264" s="16" t="str">
        <f>IFERROR(VLOOKUP(DATA!#REF!,DATA!#REF!,1,FALSE),"")</f>
        <v/>
      </c>
      <c r="D4264" s="16" t="str">
        <f>IFERROR(VLOOKUP(C4264,DATA!#REF!,2,FALSE),"")</f>
        <v/>
      </c>
      <c r="I4264" s="17"/>
      <c r="J4264" s="17"/>
      <c r="P4264" s="17"/>
      <c r="Q4264" s="17"/>
    </row>
    <row r="4265" spans="2:17">
      <c r="B4265" s="17"/>
      <c r="C4265" s="16" t="str">
        <f>IFERROR(VLOOKUP(DATA!#REF!,DATA!#REF!,1,FALSE),"")</f>
        <v/>
      </c>
      <c r="D4265" s="16" t="str">
        <f>IFERROR(VLOOKUP(C4265,DATA!#REF!,2,FALSE),"")</f>
        <v/>
      </c>
      <c r="I4265" s="17"/>
      <c r="J4265" s="17"/>
      <c r="P4265" s="17"/>
      <c r="Q4265" s="17"/>
    </row>
    <row r="4266" spans="2:17">
      <c r="B4266" s="17"/>
      <c r="C4266" s="16" t="str">
        <f>IFERROR(VLOOKUP(DATA!#REF!,DATA!#REF!,1,FALSE),"")</f>
        <v/>
      </c>
      <c r="D4266" s="16" t="str">
        <f>IFERROR(VLOOKUP(C4266,DATA!#REF!,2,FALSE),"")</f>
        <v/>
      </c>
      <c r="I4266" s="17"/>
      <c r="J4266" s="17"/>
      <c r="P4266" s="17"/>
      <c r="Q4266" s="17"/>
    </row>
    <row r="4267" spans="2:17">
      <c r="B4267" s="17"/>
      <c r="C4267" s="16" t="str">
        <f>IFERROR(VLOOKUP(DATA!#REF!,DATA!#REF!,1,FALSE),"")</f>
        <v/>
      </c>
      <c r="D4267" s="16" t="str">
        <f>IFERROR(VLOOKUP(C4267,DATA!#REF!,2,FALSE),"")</f>
        <v/>
      </c>
      <c r="I4267" s="17"/>
      <c r="J4267" s="17"/>
      <c r="P4267" s="17"/>
      <c r="Q4267" s="17"/>
    </row>
    <row r="4268" spans="2:17">
      <c r="B4268" s="17"/>
      <c r="C4268" s="16" t="str">
        <f>IFERROR(VLOOKUP(DATA!#REF!,DATA!#REF!,1,FALSE),"")</f>
        <v/>
      </c>
      <c r="D4268" s="16" t="str">
        <f>IFERROR(VLOOKUP(C4268,DATA!#REF!,2,FALSE),"")</f>
        <v/>
      </c>
      <c r="I4268" s="17"/>
      <c r="J4268" s="17"/>
      <c r="P4268" s="17"/>
      <c r="Q4268" s="17"/>
    </row>
    <row r="4269" spans="2:17">
      <c r="B4269" s="17"/>
      <c r="C4269" s="16" t="str">
        <f>IFERROR(VLOOKUP(DATA!#REF!,DATA!#REF!,1,FALSE),"")</f>
        <v/>
      </c>
      <c r="D4269" s="16" t="str">
        <f>IFERROR(VLOOKUP(C4269,DATA!#REF!,2,FALSE),"")</f>
        <v/>
      </c>
      <c r="I4269" s="17"/>
      <c r="J4269" s="17"/>
      <c r="P4269" s="17"/>
      <c r="Q4269" s="17"/>
    </row>
    <row r="4270" spans="2:17">
      <c r="B4270" s="17"/>
      <c r="C4270" s="16" t="str">
        <f>IFERROR(VLOOKUP(DATA!#REF!,DATA!#REF!,1,FALSE),"")</f>
        <v/>
      </c>
      <c r="D4270" s="16" t="str">
        <f>IFERROR(VLOOKUP(C4270,DATA!#REF!,2,FALSE),"")</f>
        <v/>
      </c>
      <c r="I4270" s="17"/>
      <c r="J4270" s="17"/>
      <c r="P4270" s="17"/>
      <c r="Q4270" s="17"/>
    </row>
    <row r="4271" spans="2:17">
      <c r="B4271" s="17"/>
      <c r="C4271" s="16" t="str">
        <f>IFERROR(VLOOKUP(DATA!#REF!,DATA!#REF!,1,FALSE),"")</f>
        <v/>
      </c>
      <c r="D4271" s="16" t="str">
        <f>IFERROR(VLOOKUP(C4271,DATA!#REF!,2,FALSE),"")</f>
        <v/>
      </c>
      <c r="I4271" s="17"/>
      <c r="J4271" s="17"/>
      <c r="P4271" s="17"/>
      <c r="Q4271" s="17"/>
    </row>
    <row r="4272" spans="2:17">
      <c r="B4272" s="17"/>
      <c r="C4272" s="16" t="str">
        <f>IFERROR(VLOOKUP(DATA!#REF!,DATA!#REF!,1,FALSE),"")</f>
        <v/>
      </c>
      <c r="D4272" s="16" t="str">
        <f>IFERROR(VLOOKUP(C4272,DATA!#REF!,2,FALSE),"")</f>
        <v/>
      </c>
      <c r="I4272" s="17"/>
      <c r="J4272" s="17"/>
      <c r="P4272" s="17"/>
      <c r="Q4272" s="17"/>
    </row>
    <row r="4273" spans="2:17">
      <c r="B4273" s="17"/>
      <c r="C4273" s="16" t="str">
        <f>IFERROR(VLOOKUP(DATA!#REF!,DATA!#REF!,1,FALSE),"")</f>
        <v/>
      </c>
      <c r="D4273" s="16" t="str">
        <f>IFERROR(VLOOKUP(C4273,DATA!#REF!,2,FALSE),"")</f>
        <v/>
      </c>
      <c r="I4273" s="17"/>
      <c r="J4273" s="17"/>
      <c r="P4273" s="17"/>
      <c r="Q4273" s="17"/>
    </row>
    <row r="4274" spans="2:17">
      <c r="B4274" s="17"/>
      <c r="C4274" s="16" t="str">
        <f>IFERROR(VLOOKUP(DATA!#REF!,DATA!#REF!,1,FALSE),"")</f>
        <v/>
      </c>
      <c r="D4274" s="16" t="str">
        <f>IFERROR(VLOOKUP(C4274,DATA!#REF!,2,FALSE),"")</f>
        <v/>
      </c>
      <c r="I4274" s="17"/>
      <c r="J4274" s="17"/>
      <c r="P4274" s="17"/>
      <c r="Q4274" s="17"/>
    </row>
    <row r="4275" spans="2:17">
      <c r="B4275" s="17"/>
      <c r="C4275" s="16" t="str">
        <f>IFERROR(VLOOKUP(DATA!#REF!,DATA!#REF!,1,FALSE),"")</f>
        <v/>
      </c>
      <c r="D4275" s="16" t="str">
        <f>IFERROR(VLOOKUP(C4275,DATA!#REF!,2,FALSE),"")</f>
        <v/>
      </c>
      <c r="I4275" s="17"/>
      <c r="J4275" s="17"/>
      <c r="P4275" s="17"/>
      <c r="Q4275" s="17"/>
    </row>
    <row r="4276" spans="2:17">
      <c r="B4276" s="17"/>
      <c r="C4276" s="16" t="str">
        <f>IFERROR(VLOOKUP(DATA!#REF!,DATA!#REF!,1,FALSE),"")</f>
        <v/>
      </c>
      <c r="D4276" s="16" t="str">
        <f>IFERROR(VLOOKUP(C4276,DATA!#REF!,2,FALSE),"")</f>
        <v/>
      </c>
      <c r="I4276" s="17"/>
      <c r="J4276" s="17"/>
      <c r="P4276" s="17"/>
      <c r="Q4276" s="17"/>
    </row>
    <row r="4277" spans="2:17">
      <c r="B4277" s="17"/>
      <c r="C4277" s="16" t="str">
        <f>IFERROR(VLOOKUP(DATA!#REF!,DATA!#REF!,1,FALSE),"")</f>
        <v/>
      </c>
      <c r="D4277" s="16" t="str">
        <f>IFERROR(VLOOKUP(C4277,DATA!#REF!,2,FALSE),"")</f>
        <v/>
      </c>
      <c r="I4277" s="17"/>
      <c r="J4277" s="17"/>
      <c r="P4277" s="17"/>
      <c r="Q4277" s="17"/>
    </row>
    <row r="4278" spans="2:17">
      <c r="B4278" s="17"/>
      <c r="C4278" s="16" t="str">
        <f>IFERROR(VLOOKUP(DATA!#REF!,DATA!#REF!,1,FALSE),"")</f>
        <v/>
      </c>
      <c r="D4278" s="16" t="str">
        <f>IFERROR(VLOOKUP(C4278,DATA!#REF!,2,FALSE),"")</f>
        <v/>
      </c>
      <c r="I4278" s="17"/>
      <c r="J4278" s="17"/>
      <c r="P4278" s="17"/>
      <c r="Q4278" s="17"/>
    </row>
    <row r="4279" spans="2:17">
      <c r="B4279" s="17"/>
      <c r="C4279" s="16" t="str">
        <f>IFERROR(VLOOKUP(DATA!#REF!,DATA!#REF!,1,FALSE),"")</f>
        <v/>
      </c>
      <c r="D4279" s="16" t="str">
        <f>IFERROR(VLOOKUP(C4279,DATA!#REF!,2,FALSE),"")</f>
        <v/>
      </c>
      <c r="I4279" s="17"/>
      <c r="J4279" s="17"/>
      <c r="P4279" s="17"/>
      <c r="Q4279" s="17"/>
    </row>
    <row r="4280" spans="2:17">
      <c r="B4280" s="17"/>
      <c r="C4280" s="16" t="str">
        <f>IFERROR(VLOOKUP(DATA!#REF!,DATA!#REF!,1,FALSE),"")</f>
        <v/>
      </c>
      <c r="D4280" s="16" t="str">
        <f>IFERROR(VLOOKUP(C4280,DATA!#REF!,2,FALSE),"")</f>
        <v/>
      </c>
      <c r="I4280" s="17"/>
      <c r="J4280" s="17"/>
      <c r="P4280" s="17"/>
      <c r="Q4280" s="17"/>
    </row>
    <row r="4281" spans="2:17">
      <c r="B4281" s="17"/>
      <c r="C4281" s="16" t="str">
        <f>IFERROR(VLOOKUP(DATA!#REF!,DATA!#REF!,1,FALSE),"")</f>
        <v/>
      </c>
      <c r="D4281" s="16" t="str">
        <f>IFERROR(VLOOKUP(C4281,DATA!#REF!,2,FALSE),"")</f>
        <v/>
      </c>
      <c r="I4281" s="17"/>
      <c r="J4281" s="17"/>
      <c r="P4281" s="17"/>
      <c r="Q4281" s="17"/>
    </row>
    <row r="4282" spans="2:17">
      <c r="B4282" s="17"/>
      <c r="C4282" s="16" t="str">
        <f>IFERROR(VLOOKUP(DATA!#REF!,DATA!#REF!,1,FALSE),"")</f>
        <v/>
      </c>
      <c r="D4282" s="16" t="str">
        <f>IFERROR(VLOOKUP(C4282,DATA!#REF!,2,FALSE),"")</f>
        <v/>
      </c>
      <c r="I4282" s="17"/>
      <c r="J4282" s="17"/>
      <c r="P4282" s="17"/>
      <c r="Q4282" s="17"/>
    </row>
    <row r="4283" spans="2:17">
      <c r="B4283" s="17"/>
      <c r="C4283" s="16" t="str">
        <f>IFERROR(VLOOKUP(DATA!#REF!,DATA!#REF!,1,FALSE),"")</f>
        <v/>
      </c>
      <c r="D4283" s="16" t="str">
        <f>IFERROR(VLOOKUP(C4283,DATA!#REF!,2,FALSE),"")</f>
        <v/>
      </c>
      <c r="I4283" s="17"/>
      <c r="J4283" s="17"/>
      <c r="P4283" s="17"/>
      <c r="Q4283" s="17"/>
    </row>
    <row r="4284" spans="2:17">
      <c r="B4284" s="17"/>
      <c r="C4284" s="16" t="str">
        <f>IFERROR(VLOOKUP(DATA!#REF!,DATA!#REF!,1,FALSE),"")</f>
        <v/>
      </c>
      <c r="D4284" s="16" t="str">
        <f>IFERROR(VLOOKUP(C4284,DATA!#REF!,2,FALSE),"")</f>
        <v/>
      </c>
      <c r="I4284" s="17"/>
      <c r="J4284" s="17"/>
      <c r="P4284" s="17"/>
      <c r="Q4284" s="17"/>
    </row>
    <row r="4285" spans="2:17">
      <c r="B4285" s="17"/>
      <c r="C4285" s="16" t="str">
        <f>IFERROR(VLOOKUP(DATA!#REF!,DATA!#REF!,1,FALSE),"")</f>
        <v/>
      </c>
      <c r="D4285" s="16" t="str">
        <f>IFERROR(VLOOKUP(C4285,DATA!#REF!,2,FALSE),"")</f>
        <v/>
      </c>
      <c r="I4285" s="17"/>
      <c r="J4285" s="17"/>
      <c r="P4285" s="17"/>
      <c r="Q4285" s="17"/>
    </row>
    <row r="4286" spans="2:17">
      <c r="B4286" s="17"/>
      <c r="C4286" s="16" t="str">
        <f>IFERROR(VLOOKUP(DATA!#REF!,DATA!#REF!,1,FALSE),"")</f>
        <v/>
      </c>
      <c r="D4286" s="16" t="str">
        <f>IFERROR(VLOOKUP(C4286,DATA!#REF!,2,FALSE),"")</f>
        <v/>
      </c>
      <c r="I4286" s="17"/>
      <c r="J4286" s="17"/>
      <c r="P4286" s="17"/>
      <c r="Q4286" s="17"/>
    </row>
    <row r="4287" spans="2:17">
      <c r="B4287" s="17"/>
      <c r="C4287" s="16" t="str">
        <f>IFERROR(VLOOKUP(DATA!#REF!,DATA!#REF!,1,FALSE),"")</f>
        <v/>
      </c>
      <c r="D4287" s="16" t="str">
        <f>IFERROR(VLOOKUP(C4287,DATA!#REF!,2,FALSE),"")</f>
        <v/>
      </c>
      <c r="I4287" s="17"/>
      <c r="J4287" s="17"/>
      <c r="P4287" s="17"/>
      <c r="Q4287" s="17"/>
    </row>
    <row r="4288" spans="2:17">
      <c r="B4288" s="17"/>
      <c r="C4288" s="16" t="str">
        <f>IFERROR(VLOOKUP(DATA!#REF!,DATA!#REF!,1,FALSE),"")</f>
        <v/>
      </c>
      <c r="D4288" s="16" t="str">
        <f>IFERROR(VLOOKUP(C4288,DATA!#REF!,2,FALSE),"")</f>
        <v/>
      </c>
      <c r="I4288" s="17"/>
      <c r="J4288" s="17"/>
      <c r="P4288" s="17"/>
      <c r="Q4288" s="17"/>
    </row>
    <row r="4289" spans="2:17">
      <c r="B4289" s="17"/>
      <c r="C4289" s="16" t="str">
        <f>IFERROR(VLOOKUP(DATA!#REF!,DATA!#REF!,1,FALSE),"")</f>
        <v/>
      </c>
      <c r="D4289" s="16" t="str">
        <f>IFERROR(VLOOKUP(C4289,DATA!#REF!,2,FALSE),"")</f>
        <v/>
      </c>
      <c r="I4289" s="17"/>
      <c r="J4289" s="17"/>
      <c r="P4289" s="17"/>
      <c r="Q4289" s="17"/>
    </row>
    <row r="4290" spans="2:17">
      <c r="B4290" s="17"/>
      <c r="C4290" s="16" t="str">
        <f>IFERROR(VLOOKUP(DATA!#REF!,DATA!#REF!,1,FALSE),"")</f>
        <v/>
      </c>
      <c r="D4290" s="16" t="str">
        <f>IFERROR(VLOOKUP(C4290,DATA!#REF!,2,FALSE),"")</f>
        <v/>
      </c>
      <c r="I4290" s="17"/>
      <c r="J4290" s="17"/>
      <c r="P4290" s="17"/>
      <c r="Q4290" s="17"/>
    </row>
    <row r="4291" spans="2:17">
      <c r="B4291" s="17"/>
      <c r="C4291" s="16" t="str">
        <f>IFERROR(VLOOKUP(DATA!#REF!,DATA!#REF!,1,FALSE),"")</f>
        <v/>
      </c>
      <c r="D4291" s="16" t="str">
        <f>IFERROR(VLOOKUP(C4291,DATA!#REF!,2,FALSE),"")</f>
        <v/>
      </c>
      <c r="I4291" s="17"/>
      <c r="J4291" s="17"/>
      <c r="P4291" s="17"/>
      <c r="Q4291" s="17"/>
    </row>
    <row r="4292" spans="2:17">
      <c r="B4292" s="17"/>
      <c r="C4292" s="16" t="str">
        <f>IFERROR(VLOOKUP(DATA!#REF!,DATA!#REF!,1,FALSE),"")</f>
        <v/>
      </c>
      <c r="D4292" s="16" t="str">
        <f>IFERROR(VLOOKUP(C4292,DATA!#REF!,2,FALSE),"")</f>
        <v/>
      </c>
      <c r="I4292" s="17"/>
      <c r="J4292" s="17"/>
      <c r="P4292" s="17"/>
      <c r="Q4292" s="17"/>
    </row>
    <row r="4293" spans="2:17">
      <c r="B4293" s="17"/>
      <c r="C4293" s="16" t="str">
        <f>IFERROR(VLOOKUP(DATA!#REF!,DATA!#REF!,1,FALSE),"")</f>
        <v/>
      </c>
      <c r="D4293" s="16" t="str">
        <f>IFERROR(VLOOKUP(C4293,DATA!#REF!,2,FALSE),"")</f>
        <v/>
      </c>
      <c r="I4293" s="17"/>
      <c r="J4293" s="17"/>
      <c r="P4293" s="17"/>
      <c r="Q4293" s="17"/>
    </row>
    <row r="4294" spans="2:17">
      <c r="B4294" s="17"/>
      <c r="C4294" s="16" t="str">
        <f>IFERROR(VLOOKUP(DATA!#REF!,DATA!#REF!,1,FALSE),"")</f>
        <v/>
      </c>
      <c r="D4294" s="16" t="str">
        <f>IFERROR(VLOOKUP(C4294,DATA!#REF!,2,FALSE),"")</f>
        <v/>
      </c>
      <c r="I4294" s="17"/>
      <c r="J4294" s="17"/>
      <c r="P4294" s="17"/>
      <c r="Q4294" s="17"/>
    </row>
    <row r="4295" spans="2:17">
      <c r="B4295" s="17"/>
      <c r="C4295" s="16" t="str">
        <f>IFERROR(VLOOKUP(DATA!#REF!,DATA!#REF!,1,FALSE),"")</f>
        <v/>
      </c>
      <c r="D4295" s="16" t="str">
        <f>IFERROR(VLOOKUP(C4295,DATA!#REF!,2,FALSE),"")</f>
        <v/>
      </c>
      <c r="I4295" s="17"/>
      <c r="J4295" s="17"/>
      <c r="P4295" s="17"/>
      <c r="Q4295" s="17"/>
    </row>
    <row r="4296" spans="2:17">
      <c r="B4296" s="17"/>
      <c r="C4296" s="16" t="str">
        <f>IFERROR(VLOOKUP(DATA!#REF!,DATA!#REF!,1,FALSE),"")</f>
        <v/>
      </c>
      <c r="D4296" s="16" t="str">
        <f>IFERROR(VLOOKUP(C4296,DATA!#REF!,2,FALSE),"")</f>
        <v/>
      </c>
      <c r="I4296" s="17"/>
      <c r="J4296" s="17"/>
      <c r="P4296" s="17"/>
      <c r="Q4296" s="17"/>
    </row>
    <row r="4297" spans="2:17">
      <c r="B4297" s="17"/>
      <c r="C4297" s="16" t="str">
        <f>IFERROR(VLOOKUP(DATA!#REF!,DATA!#REF!,1,FALSE),"")</f>
        <v/>
      </c>
      <c r="D4297" s="16" t="str">
        <f>IFERROR(VLOOKUP(C4297,DATA!#REF!,2,FALSE),"")</f>
        <v/>
      </c>
      <c r="I4297" s="17"/>
      <c r="J4297" s="17"/>
      <c r="P4297" s="17"/>
      <c r="Q4297" s="17"/>
    </row>
    <row r="4298" spans="2:17">
      <c r="B4298" s="17"/>
      <c r="C4298" s="16" t="str">
        <f>IFERROR(VLOOKUP(DATA!#REF!,DATA!#REF!,1,FALSE),"")</f>
        <v/>
      </c>
      <c r="D4298" s="16" t="str">
        <f>IFERROR(VLOOKUP(C4298,DATA!#REF!,2,FALSE),"")</f>
        <v/>
      </c>
      <c r="I4298" s="17"/>
      <c r="J4298" s="17"/>
      <c r="P4298" s="17"/>
      <c r="Q4298" s="17"/>
    </row>
    <row r="4299" spans="2:17">
      <c r="B4299" s="17"/>
      <c r="C4299" s="16" t="str">
        <f>IFERROR(VLOOKUP(DATA!#REF!,DATA!#REF!,1,FALSE),"")</f>
        <v/>
      </c>
      <c r="D4299" s="16" t="str">
        <f>IFERROR(VLOOKUP(C4299,DATA!#REF!,2,FALSE),"")</f>
        <v/>
      </c>
      <c r="I4299" s="17"/>
      <c r="J4299" s="17"/>
      <c r="P4299" s="17"/>
      <c r="Q4299" s="17"/>
    </row>
    <row r="4300" spans="2:17">
      <c r="B4300" s="17"/>
      <c r="C4300" s="16" t="str">
        <f>IFERROR(VLOOKUP(DATA!#REF!,DATA!#REF!,1,FALSE),"")</f>
        <v/>
      </c>
      <c r="D4300" s="16" t="str">
        <f>IFERROR(VLOOKUP(C4300,DATA!#REF!,2,FALSE),"")</f>
        <v/>
      </c>
      <c r="I4300" s="17"/>
      <c r="J4300" s="17"/>
      <c r="P4300" s="17"/>
      <c r="Q4300" s="17"/>
    </row>
    <row r="4301" spans="2:17">
      <c r="B4301" s="17"/>
      <c r="C4301" s="16" t="str">
        <f>IFERROR(VLOOKUP(DATA!#REF!,DATA!#REF!,1,FALSE),"")</f>
        <v/>
      </c>
      <c r="D4301" s="16" t="str">
        <f>IFERROR(VLOOKUP(C4301,DATA!#REF!,2,FALSE),"")</f>
        <v/>
      </c>
      <c r="I4301" s="17"/>
      <c r="J4301" s="17"/>
      <c r="P4301" s="17"/>
      <c r="Q4301" s="17"/>
    </row>
    <row r="4302" spans="2:17">
      <c r="B4302" s="17"/>
      <c r="C4302" s="16" t="str">
        <f>IFERROR(VLOOKUP(DATA!#REF!,DATA!#REF!,1,FALSE),"")</f>
        <v/>
      </c>
      <c r="D4302" s="16" t="str">
        <f>IFERROR(VLOOKUP(C4302,DATA!#REF!,2,FALSE),"")</f>
        <v/>
      </c>
      <c r="I4302" s="17"/>
      <c r="J4302" s="17"/>
      <c r="P4302" s="17"/>
      <c r="Q4302" s="17"/>
    </row>
    <row r="4303" spans="2:17">
      <c r="B4303" s="17"/>
      <c r="C4303" s="16" t="str">
        <f>IFERROR(VLOOKUP(DATA!#REF!,DATA!#REF!,1,FALSE),"")</f>
        <v/>
      </c>
      <c r="D4303" s="16" t="str">
        <f>IFERROR(VLOOKUP(C4303,DATA!#REF!,2,FALSE),"")</f>
        <v/>
      </c>
      <c r="I4303" s="17"/>
      <c r="J4303" s="17"/>
      <c r="P4303" s="17"/>
      <c r="Q4303" s="17"/>
    </row>
    <row r="4304" spans="2:17">
      <c r="B4304" s="17"/>
      <c r="C4304" s="16" t="str">
        <f>IFERROR(VLOOKUP(DATA!#REF!,DATA!#REF!,1,FALSE),"")</f>
        <v/>
      </c>
      <c r="D4304" s="16" t="str">
        <f>IFERROR(VLOOKUP(C4304,DATA!#REF!,2,FALSE),"")</f>
        <v/>
      </c>
      <c r="I4304" s="17"/>
      <c r="J4304" s="17"/>
      <c r="P4304" s="17"/>
      <c r="Q4304" s="17"/>
    </row>
    <row r="4305" spans="2:17">
      <c r="B4305" s="17"/>
      <c r="C4305" s="16" t="str">
        <f>IFERROR(VLOOKUP(DATA!#REF!,DATA!#REF!,1,FALSE),"")</f>
        <v/>
      </c>
      <c r="D4305" s="16" t="str">
        <f>IFERROR(VLOOKUP(C4305,DATA!#REF!,2,FALSE),"")</f>
        <v/>
      </c>
      <c r="I4305" s="17"/>
      <c r="J4305" s="17"/>
      <c r="P4305" s="17"/>
      <c r="Q4305" s="17"/>
    </row>
    <row r="4306" spans="2:17">
      <c r="B4306" s="17"/>
      <c r="C4306" s="16" t="str">
        <f>IFERROR(VLOOKUP(DATA!#REF!,DATA!#REF!,1,FALSE),"")</f>
        <v/>
      </c>
      <c r="D4306" s="16" t="str">
        <f>IFERROR(VLOOKUP(C4306,DATA!#REF!,2,FALSE),"")</f>
        <v/>
      </c>
      <c r="I4306" s="17"/>
      <c r="J4306" s="17"/>
      <c r="P4306" s="17"/>
      <c r="Q4306" s="17"/>
    </row>
    <row r="4307" spans="2:17">
      <c r="B4307" s="17"/>
      <c r="C4307" s="16" t="str">
        <f>IFERROR(VLOOKUP(DATA!#REF!,DATA!#REF!,1,FALSE),"")</f>
        <v/>
      </c>
      <c r="D4307" s="16" t="str">
        <f>IFERROR(VLOOKUP(C4307,DATA!#REF!,2,FALSE),"")</f>
        <v/>
      </c>
      <c r="I4307" s="17"/>
      <c r="J4307" s="17"/>
      <c r="P4307" s="17"/>
      <c r="Q4307" s="17"/>
    </row>
    <row r="4308" spans="2:17">
      <c r="B4308" s="17"/>
      <c r="C4308" s="16" t="str">
        <f>IFERROR(VLOOKUP(DATA!#REF!,DATA!#REF!,1,FALSE),"")</f>
        <v/>
      </c>
      <c r="D4308" s="16" t="str">
        <f>IFERROR(VLOOKUP(C4308,DATA!#REF!,2,FALSE),"")</f>
        <v/>
      </c>
      <c r="I4308" s="17"/>
      <c r="J4308" s="17"/>
      <c r="P4308" s="17"/>
      <c r="Q4308" s="17"/>
    </row>
    <row r="4309" spans="2:17">
      <c r="B4309" s="17"/>
      <c r="C4309" s="16" t="str">
        <f>IFERROR(VLOOKUP(DATA!#REF!,DATA!#REF!,1,FALSE),"")</f>
        <v/>
      </c>
      <c r="D4309" s="16" t="str">
        <f>IFERROR(VLOOKUP(C4309,DATA!#REF!,2,FALSE),"")</f>
        <v/>
      </c>
      <c r="I4309" s="17"/>
      <c r="J4309" s="17"/>
      <c r="P4309" s="17"/>
      <c r="Q4309" s="17"/>
    </row>
    <row r="4310" spans="2:17">
      <c r="B4310" s="17"/>
      <c r="C4310" s="16" t="str">
        <f>IFERROR(VLOOKUP(DATA!#REF!,DATA!#REF!,1,FALSE),"")</f>
        <v/>
      </c>
      <c r="D4310" s="16" t="str">
        <f>IFERROR(VLOOKUP(C4310,DATA!#REF!,2,FALSE),"")</f>
        <v/>
      </c>
      <c r="I4310" s="17"/>
      <c r="J4310" s="17"/>
      <c r="P4310" s="17"/>
      <c r="Q4310" s="17"/>
    </row>
    <row r="4311" spans="2:17">
      <c r="B4311" s="17"/>
      <c r="C4311" s="16" t="str">
        <f>IFERROR(VLOOKUP(DATA!#REF!,DATA!#REF!,1,FALSE),"")</f>
        <v/>
      </c>
      <c r="D4311" s="16" t="str">
        <f>IFERROR(VLOOKUP(C4311,DATA!#REF!,2,FALSE),"")</f>
        <v/>
      </c>
      <c r="I4311" s="17"/>
      <c r="J4311" s="17"/>
      <c r="P4311" s="17"/>
      <c r="Q4311" s="17"/>
    </row>
    <row r="4312" spans="2:17">
      <c r="B4312" s="17"/>
      <c r="C4312" s="16" t="str">
        <f>IFERROR(VLOOKUP(DATA!#REF!,DATA!#REF!,1,FALSE),"")</f>
        <v/>
      </c>
      <c r="D4312" s="16" t="str">
        <f>IFERROR(VLOOKUP(C4312,DATA!#REF!,2,FALSE),"")</f>
        <v/>
      </c>
      <c r="I4312" s="17"/>
      <c r="J4312" s="17"/>
      <c r="P4312" s="17"/>
      <c r="Q4312" s="17"/>
    </row>
    <row r="4313" spans="2:17">
      <c r="B4313" s="17"/>
      <c r="C4313" s="16" t="str">
        <f>IFERROR(VLOOKUP(DATA!#REF!,DATA!#REF!,1,FALSE),"")</f>
        <v/>
      </c>
      <c r="D4313" s="16" t="str">
        <f>IFERROR(VLOOKUP(C4313,DATA!#REF!,2,FALSE),"")</f>
        <v/>
      </c>
      <c r="I4313" s="17"/>
      <c r="J4313" s="17"/>
      <c r="P4313" s="17"/>
      <c r="Q4313" s="17"/>
    </row>
    <row r="4314" spans="2:17">
      <c r="B4314" s="17"/>
      <c r="C4314" s="16" t="str">
        <f>IFERROR(VLOOKUP(DATA!#REF!,DATA!#REF!,1,FALSE),"")</f>
        <v/>
      </c>
      <c r="D4314" s="16" t="str">
        <f>IFERROR(VLOOKUP(C4314,DATA!#REF!,2,FALSE),"")</f>
        <v/>
      </c>
      <c r="I4314" s="17"/>
      <c r="J4314" s="17"/>
      <c r="P4314" s="17"/>
      <c r="Q4314" s="17"/>
    </row>
    <row r="4315" spans="2:17">
      <c r="B4315" s="17"/>
      <c r="C4315" s="16" t="str">
        <f>IFERROR(VLOOKUP(DATA!#REF!,DATA!#REF!,1,FALSE),"")</f>
        <v/>
      </c>
      <c r="D4315" s="16" t="str">
        <f>IFERROR(VLOOKUP(C4315,DATA!#REF!,2,FALSE),"")</f>
        <v/>
      </c>
      <c r="I4315" s="17"/>
      <c r="J4315" s="17"/>
      <c r="P4315" s="17"/>
      <c r="Q4315" s="17"/>
    </row>
    <row r="4316" spans="2:17">
      <c r="B4316" s="17"/>
      <c r="C4316" s="16" t="str">
        <f>IFERROR(VLOOKUP(DATA!#REF!,DATA!#REF!,1,FALSE),"")</f>
        <v/>
      </c>
      <c r="D4316" s="16" t="str">
        <f>IFERROR(VLOOKUP(C4316,DATA!#REF!,2,FALSE),"")</f>
        <v/>
      </c>
      <c r="I4316" s="17"/>
      <c r="J4316" s="17"/>
      <c r="P4316" s="17"/>
      <c r="Q4316" s="17"/>
    </row>
    <row r="4317" spans="2:17">
      <c r="B4317" s="17"/>
      <c r="C4317" s="16" t="str">
        <f>IFERROR(VLOOKUP(DATA!#REF!,DATA!#REF!,1,FALSE),"")</f>
        <v/>
      </c>
      <c r="D4317" s="16" t="str">
        <f>IFERROR(VLOOKUP(C4317,DATA!#REF!,2,FALSE),"")</f>
        <v/>
      </c>
      <c r="I4317" s="17"/>
      <c r="J4317" s="17"/>
      <c r="P4317" s="17"/>
      <c r="Q4317" s="17"/>
    </row>
    <row r="4318" spans="2:17">
      <c r="B4318" s="17"/>
      <c r="C4318" s="16" t="str">
        <f>IFERROR(VLOOKUP(DATA!#REF!,DATA!#REF!,1,FALSE),"")</f>
        <v/>
      </c>
      <c r="D4318" s="16" t="str">
        <f>IFERROR(VLOOKUP(C4318,DATA!#REF!,2,FALSE),"")</f>
        <v/>
      </c>
      <c r="I4318" s="17"/>
      <c r="J4318" s="17"/>
      <c r="P4318" s="17"/>
      <c r="Q4318" s="17"/>
    </row>
    <row r="4319" spans="2:17">
      <c r="B4319" s="17"/>
      <c r="C4319" s="16" t="str">
        <f>IFERROR(VLOOKUP(DATA!#REF!,DATA!#REF!,1,FALSE),"")</f>
        <v/>
      </c>
      <c r="D4319" s="16" t="str">
        <f>IFERROR(VLOOKUP(C4319,DATA!#REF!,2,FALSE),"")</f>
        <v/>
      </c>
      <c r="I4319" s="17"/>
      <c r="J4319" s="17"/>
      <c r="P4319" s="17"/>
      <c r="Q4319" s="17"/>
    </row>
    <row r="4320" spans="2:17">
      <c r="B4320" s="17"/>
      <c r="C4320" s="16" t="str">
        <f>IFERROR(VLOOKUP(DATA!#REF!,DATA!#REF!,1,FALSE),"")</f>
        <v/>
      </c>
      <c r="D4320" s="16" t="str">
        <f>IFERROR(VLOOKUP(C4320,DATA!#REF!,2,FALSE),"")</f>
        <v/>
      </c>
      <c r="I4320" s="17"/>
      <c r="J4320" s="17"/>
      <c r="P4320" s="17"/>
      <c r="Q4320" s="17"/>
    </row>
    <row r="4321" spans="2:17">
      <c r="B4321" s="17"/>
      <c r="C4321" s="16" t="str">
        <f>IFERROR(VLOOKUP(DATA!#REF!,DATA!#REF!,1,FALSE),"")</f>
        <v/>
      </c>
      <c r="D4321" s="16" t="str">
        <f>IFERROR(VLOOKUP(C4321,DATA!#REF!,2,FALSE),"")</f>
        <v/>
      </c>
      <c r="I4321" s="17"/>
      <c r="J4321" s="17"/>
      <c r="P4321" s="17"/>
      <c r="Q4321" s="17"/>
    </row>
    <row r="4322" spans="2:17">
      <c r="B4322" s="17"/>
      <c r="C4322" s="16" t="str">
        <f>IFERROR(VLOOKUP(DATA!#REF!,DATA!#REF!,1,FALSE),"")</f>
        <v/>
      </c>
      <c r="D4322" s="16" t="str">
        <f>IFERROR(VLOOKUP(C4322,DATA!#REF!,2,FALSE),"")</f>
        <v/>
      </c>
      <c r="I4322" s="17"/>
      <c r="J4322" s="17"/>
      <c r="P4322" s="17"/>
      <c r="Q4322" s="17"/>
    </row>
    <row r="4323" spans="2:17">
      <c r="B4323" s="17"/>
      <c r="C4323" s="16" t="str">
        <f>IFERROR(VLOOKUP(DATA!#REF!,DATA!#REF!,1,FALSE),"")</f>
        <v/>
      </c>
      <c r="D4323" s="16" t="str">
        <f>IFERROR(VLOOKUP(C4323,DATA!#REF!,2,FALSE),"")</f>
        <v/>
      </c>
      <c r="I4323" s="17"/>
      <c r="J4323" s="17"/>
      <c r="P4323" s="17"/>
      <c r="Q4323" s="17"/>
    </row>
    <row r="4324" spans="2:17">
      <c r="B4324" s="17"/>
      <c r="C4324" s="16" t="str">
        <f>IFERROR(VLOOKUP(DATA!#REF!,DATA!#REF!,1,FALSE),"")</f>
        <v/>
      </c>
      <c r="D4324" s="16" t="str">
        <f>IFERROR(VLOOKUP(C4324,DATA!#REF!,2,FALSE),"")</f>
        <v/>
      </c>
      <c r="I4324" s="17"/>
      <c r="J4324" s="17"/>
      <c r="P4324" s="17"/>
      <c r="Q4324" s="17"/>
    </row>
    <row r="4325" spans="2:17">
      <c r="B4325" s="17"/>
      <c r="C4325" s="16" t="str">
        <f>IFERROR(VLOOKUP(DATA!#REF!,DATA!#REF!,1,FALSE),"")</f>
        <v/>
      </c>
      <c r="D4325" s="16" t="str">
        <f>IFERROR(VLOOKUP(C4325,DATA!#REF!,2,FALSE),"")</f>
        <v/>
      </c>
      <c r="I4325" s="17"/>
      <c r="J4325" s="17"/>
      <c r="P4325" s="17"/>
      <c r="Q4325" s="17"/>
    </row>
    <row r="4326" spans="2:17">
      <c r="B4326" s="17"/>
      <c r="C4326" s="16" t="str">
        <f>IFERROR(VLOOKUP(DATA!#REF!,DATA!#REF!,1,FALSE),"")</f>
        <v/>
      </c>
      <c r="D4326" s="16" t="str">
        <f>IFERROR(VLOOKUP(C4326,DATA!#REF!,2,FALSE),"")</f>
        <v/>
      </c>
      <c r="I4326" s="17"/>
      <c r="J4326" s="17"/>
      <c r="P4326" s="17"/>
      <c r="Q4326" s="17"/>
    </row>
    <row r="4327" spans="2:17">
      <c r="B4327" s="17"/>
      <c r="C4327" s="16" t="str">
        <f>IFERROR(VLOOKUP(DATA!#REF!,DATA!#REF!,1,FALSE),"")</f>
        <v/>
      </c>
      <c r="D4327" s="16" t="str">
        <f>IFERROR(VLOOKUP(C4327,DATA!#REF!,2,FALSE),"")</f>
        <v/>
      </c>
      <c r="I4327" s="17"/>
      <c r="J4327" s="17"/>
      <c r="P4327" s="17"/>
      <c r="Q4327" s="17"/>
    </row>
    <row r="4328" spans="2:17">
      <c r="B4328" s="17"/>
      <c r="C4328" s="16" t="str">
        <f>IFERROR(VLOOKUP(DATA!#REF!,DATA!#REF!,1,FALSE),"")</f>
        <v/>
      </c>
      <c r="D4328" s="16" t="str">
        <f>IFERROR(VLOOKUP(C4328,DATA!#REF!,2,FALSE),"")</f>
        <v/>
      </c>
      <c r="I4328" s="17"/>
      <c r="J4328" s="17"/>
      <c r="P4328" s="17"/>
      <c r="Q4328" s="17"/>
    </row>
    <row r="4329" spans="2:17">
      <c r="B4329" s="17"/>
      <c r="C4329" s="16" t="str">
        <f>IFERROR(VLOOKUP(DATA!#REF!,DATA!#REF!,1,FALSE),"")</f>
        <v/>
      </c>
      <c r="D4329" s="16" t="str">
        <f>IFERROR(VLOOKUP(C4329,DATA!#REF!,2,FALSE),"")</f>
        <v/>
      </c>
      <c r="I4329" s="17"/>
      <c r="J4329" s="17"/>
      <c r="P4329" s="17"/>
      <c r="Q4329" s="17"/>
    </row>
    <row r="4330" spans="2:17">
      <c r="B4330" s="17"/>
      <c r="C4330" s="16" t="str">
        <f>IFERROR(VLOOKUP(DATA!#REF!,DATA!#REF!,1,FALSE),"")</f>
        <v/>
      </c>
      <c r="D4330" s="16" t="str">
        <f>IFERROR(VLOOKUP(C4330,DATA!#REF!,2,FALSE),"")</f>
        <v/>
      </c>
      <c r="I4330" s="17"/>
      <c r="J4330" s="17"/>
      <c r="P4330" s="17"/>
      <c r="Q4330" s="17"/>
    </row>
    <row r="4331" spans="2:17">
      <c r="B4331" s="17"/>
      <c r="C4331" s="16" t="str">
        <f>IFERROR(VLOOKUP(DATA!#REF!,DATA!#REF!,1,FALSE),"")</f>
        <v/>
      </c>
      <c r="D4331" s="16" t="str">
        <f>IFERROR(VLOOKUP(C4331,DATA!#REF!,2,FALSE),"")</f>
        <v/>
      </c>
      <c r="I4331" s="17"/>
      <c r="J4331" s="17"/>
      <c r="P4331" s="17"/>
      <c r="Q4331" s="17"/>
    </row>
    <row r="4332" spans="2:17">
      <c r="B4332" s="17"/>
      <c r="C4332" s="16" t="str">
        <f>IFERROR(VLOOKUP(DATA!#REF!,DATA!#REF!,1,FALSE),"")</f>
        <v/>
      </c>
      <c r="D4332" s="16" t="str">
        <f>IFERROR(VLOOKUP(C4332,DATA!#REF!,2,FALSE),"")</f>
        <v/>
      </c>
      <c r="I4332" s="17"/>
      <c r="J4332" s="17"/>
      <c r="P4332" s="17"/>
      <c r="Q4332" s="17"/>
    </row>
    <row r="4333" spans="2:17">
      <c r="B4333" s="17"/>
      <c r="C4333" s="16" t="str">
        <f>IFERROR(VLOOKUP(DATA!#REF!,DATA!#REF!,1,FALSE),"")</f>
        <v/>
      </c>
      <c r="D4333" s="16" t="str">
        <f>IFERROR(VLOOKUP(C4333,DATA!#REF!,2,FALSE),"")</f>
        <v/>
      </c>
      <c r="I4333" s="17"/>
      <c r="J4333" s="17"/>
      <c r="P4333" s="17"/>
      <c r="Q4333" s="17"/>
    </row>
    <row r="4334" spans="2:17">
      <c r="B4334" s="17"/>
      <c r="C4334" s="16" t="str">
        <f>IFERROR(VLOOKUP(DATA!#REF!,DATA!#REF!,1,FALSE),"")</f>
        <v/>
      </c>
      <c r="D4334" s="16" t="str">
        <f>IFERROR(VLOOKUP(C4334,DATA!#REF!,2,FALSE),"")</f>
        <v/>
      </c>
      <c r="I4334" s="17"/>
      <c r="J4334" s="17"/>
      <c r="P4334" s="17"/>
      <c r="Q4334" s="17"/>
    </row>
    <row r="4335" spans="2:17">
      <c r="B4335" s="17"/>
      <c r="C4335" s="16" t="str">
        <f>IFERROR(VLOOKUP(DATA!#REF!,DATA!#REF!,1,FALSE),"")</f>
        <v/>
      </c>
      <c r="D4335" s="16" t="str">
        <f>IFERROR(VLOOKUP(C4335,DATA!#REF!,2,FALSE),"")</f>
        <v/>
      </c>
      <c r="I4335" s="17"/>
      <c r="J4335" s="17"/>
      <c r="P4335" s="17"/>
      <c r="Q4335" s="17"/>
    </row>
    <row r="4336" spans="2:17">
      <c r="B4336" s="17"/>
      <c r="C4336" s="16" t="str">
        <f>IFERROR(VLOOKUP(DATA!#REF!,DATA!#REF!,1,FALSE),"")</f>
        <v/>
      </c>
      <c r="D4336" s="16" t="str">
        <f>IFERROR(VLOOKUP(C4336,DATA!#REF!,2,FALSE),"")</f>
        <v/>
      </c>
      <c r="I4336" s="17"/>
      <c r="J4336" s="17"/>
      <c r="P4336" s="17"/>
      <c r="Q4336" s="17"/>
    </row>
    <row r="4337" spans="2:17">
      <c r="B4337" s="17"/>
      <c r="C4337" s="16" t="str">
        <f>IFERROR(VLOOKUP(DATA!#REF!,DATA!#REF!,1,FALSE),"")</f>
        <v/>
      </c>
      <c r="D4337" s="16" t="str">
        <f>IFERROR(VLOOKUP(C4337,DATA!#REF!,2,FALSE),"")</f>
        <v/>
      </c>
      <c r="I4337" s="17"/>
      <c r="J4337" s="17"/>
      <c r="P4337" s="17"/>
      <c r="Q4337" s="17"/>
    </row>
    <row r="4338" spans="2:17">
      <c r="B4338" s="17"/>
      <c r="C4338" s="16" t="str">
        <f>IFERROR(VLOOKUP(DATA!#REF!,DATA!#REF!,1,FALSE),"")</f>
        <v/>
      </c>
      <c r="D4338" s="16" t="str">
        <f>IFERROR(VLOOKUP(C4338,DATA!#REF!,2,FALSE),"")</f>
        <v/>
      </c>
      <c r="I4338" s="17"/>
      <c r="J4338" s="17"/>
      <c r="P4338" s="17"/>
      <c r="Q4338" s="17"/>
    </row>
    <row r="4339" spans="2:17">
      <c r="B4339" s="17"/>
      <c r="C4339" s="16" t="str">
        <f>IFERROR(VLOOKUP(DATA!#REF!,DATA!#REF!,1,FALSE),"")</f>
        <v/>
      </c>
      <c r="D4339" s="16" t="str">
        <f>IFERROR(VLOOKUP(C4339,DATA!#REF!,2,FALSE),"")</f>
        <v/>
      </c>
      <c r="I4339" s="17"/>
      <c r="J4339" s="17"/>
      <c r="P4339" s="17"/>
      <c r="Q4339" s="17"/>
    </row>
    <row r="4340" spans="2:17">
      <c r="B4340" s="17"/>
      <c r="C4340" s="16" t="str">
        <f>IFERROR(VLOOKUP(DATA!#REF!,DATA!#REF!,1,FALSE),"")</f>
        <v/>
      </c>
      <c r="D4340" s="16" t="str">
        <f>IFERROR(VLOOKUP(C4340,DATA!#REF!,2,FALSE),"")</f>
        <v/>
      </c>
      <c r="I4340" s="17"/>
      <c r="J4340" s="17"/>
      <c r="P4340" s="17"/>
      <c r="Q4340" s="17"/>
    </row>
    <row r="4341" spans="2:17">
      <c r="B4341" s="17"/>
      <c r="C4341" s="16" t="str">
        <f>IFERROR(VLOOKUP(DATA!#REF!,DATA!#REF!,1,FALSE),"")</f>
        <v/>
      </c>
      <c r="D4341" s="16" t="str">
        <f>IFERROR(VLOOKUP(C4341,DATA!#REF!,2,FALSE),"")</f>
        <v/>
      </c>
      <c r="I4341" s="17"/>
      <c r="J4341" s="17"/>
      <c r="P4341" s="17"/>
      <c r="Q4341" s="17"/>
    </row>
    <row r="4342" spans="2:17">
      <c r="B4342" s="17"/>
      <c r="C4342" s="16" t="str">
        <f>IFERROR(VLOOKUP(DATA!#REF!,DATA!#REF!,1,FALSE),"")</f>
        <v/>
      </c>
      <c r="D4342" s="16" t="str">
        <f>IFERROR(VLOOKUP(C4342,DATA!#REF!,2,FALSE),"")</f>
        <v/>
      </c>
      <c r="I4342" s="17"/>
      <c r="J4342" s="17"/>
      <c r="P4342" s="17"/>
      <c r="Q4342" s="17"/>
    </row>
    <row r="4343" spans="2:17">
      <c r="B4343" s="17"/>
      <c r="C4343" s="16" t="str">
        <f>IFERROR(VLOOKUP(DATA!#REF!,DATA!#REF!,1,FALSE),"")</f>
        <v/>
      </c>
      <c r="D4343" s="16" t="str">
        <f>IFERROR(VLOOKUP(C4343,DATA!#REF!,2,FALSE),"")</f>
        <v/>
      </c>
      <c r="I4343" s="17"/>
      <c r="J4343" s="17"/>
      <c r="P4343" s="17"/>
      <c r="Q4343" s="17"/>
    </row>
    <row r="4344" spans="2:17">
      <c r="B4344" s="17"/>
      <c r="C4344" s="16" t="str">
        <f>IFERROR(VLOOKUP(DATA!#REF!,DATA!#REF!,1,FALSE),"")</f>
        <v/>
      </c>
      <c r="D4344" s="16" t="str">
        <f>IFERROR(VLOOKUP(C4344,DATA!#REF!,2,FALSE),"")</f>
        <v/>
      </c>
      <c r="I4344" s="17"/>
      <c r="J4344" s="17"/>
      <c r="P4344" s="17"/>
      <c r="Q4344" s="17"/>
    </row>
    <row r="4345" spans="2:17">
      <c r="B4345" s="17"/>
      <c r="C4345" s="16" t="str">
        <f>IFERROR(VLOOKUP(DATA!#REF!,DATA!#REF!,1,FALSE),"")</f>
        <v/>
      </c>
      <c r="D4345" s="16" t="str">
        <f>IFERROR(VLOOKUP(C4345,DATA!#REF!,2,FALSE),"")</f>
        <v/>
      </c>
      <c r="I4345" s="17"/>
      <c r="J4345" s="17"/>
      <c r="P4345" s="17"/>
      <c r="Q4345" s="17"/>
    </row>
    <row r="4346" spans="2:17">
      <c r="B4346" s="17"/>
      <c r="C4346" s="16" t="str">
        <f>IFERROR(VLOOKUP(DATA!#REF!,DATA!#REF!,1,FALSE),"")</f>
        <v/>
      </c>
      <c r="D4346" s="16" t="str">
        <f>IFERROR(VLOOKUP(C4346,DATA!#REF!,2,FALSE),"")</f>
        <v/>
      </c>
      <c r="I4346" s="17"/>
      <c r="J4346" s="17"/>
      <c r="P4346" s="17"/>
      <c r="Q4346" s="17"/>
    </row>
    <row r="4347" spans="2:17">
      <c r="B4347" s="17"/>
      <c r="C4347" s="16" t="str">
        <f>IFERROR(VLOOKUP(DATA!#REF!,DATA!#REF!,1,FALSE),"")</f>
        <v/>
      </c>
      <c r="D4347" s="16" t="str">
        <f>IFERROR(VLOOKUP(C4347,DATA!#REF!,2,FALSE),"")</f>
        <v/>
      </c>
      <c r="I4347" s="17"/>
      <c r="J4347" s="17"/>
      <c r="P4347" s="17"/>
      <c r="Q4347" s="17"/>
    </row>
    <row r="4348" spans="2:17">
      <c r="B4348" s="17"/>
      <c r="C4348" s="16" t="str">
        <f>IFERROR(VLOOKUP(DATA!#REF!,DATA!#REF!,1,FALSE),"")</f>
        <v/>
      </c>
      <c r="D4348" s="16" t="str">
        <f>IFERROR(VLOOKUP(C4348,DATA!#REF!,2,FALSE),"")</f>
        <v/>
      </c>
      <c r="I4348" s="17"/>
      <c r="J4348" s="17"/>
      <c r="P4348" s="17"/>
      <c r="Q4348" s="17"/>
    </row>
    <row r="4349" spans="2:17">
      <c r="B4349" s="17"/>
      <c r="C4349" s="16" t="str">
        <f>IFERROR(VLOOKUP(DATA!#REF!,DATA!#REF!,1,FALSE),"")</f>
        <v/>
      </c>
      <c r="D4349" s="16" t="str">
        <f>IFERROR(VLOOKUP(C4349,DATA!#REF!,2,FALSE),"")</f>
        <v/>
      </c>
      <c r="I4349" s="17"/>
      <c r="J4349" s="17"/>
      <c r="P4349" s="17"/>
      <c r="Q4349" s="17"/>
    </row>
    <row r="4350" spans="2:17">
      <c r="B4350" s="17"/>
      <c r="C4350" s="16" t="str">
        <f>IFERROR(VLOOKUP(DATA!#REF!,DATA!#REF!,1,FALSE),"")</f>
        <v/>
      </c>
      <c r="D4350" s="16" t="str">
        <f>IFERROR(VLOOKUP(C4350,DATA!#REF!,2,FALSE),"")</f>
        <v/>
      </c>
      <c r="I4350" s="17"/>
      <c r="J4350" s="17"/>
      <c r="P4350" s="17"/>
      <c r="Q4350" s="17"/>
    </row>
    <row r="4351" spans="2:17">
      <c r="B4351" s="17"/>
      <c r="C4351" s="16" t="str">
        <f>IFERROR(VLOOKUP(DATA!#REF!,DATA!#REF!,1,FALSE),"")</f>
        <v/>
      </c>
      <c r="D4351" s="16" t="str">
        <f>IFERROR(VLOOKUP(C4351,DATA!#REF!,2,FALSE),"")</f>
        <v/>
      </c>
      <c r="I4351" s="17"/>
      <c r="J4351" s="17"/>
      <c r="P4351" s="17"/>
      <c r="Q4351" s="17"/>
    </row>
    <row r="4352" spans="2:17">
      <c r="B4352" s="17"/>
      <c r="C4352" s="16" t="str">
        <f>IFERROR(VLOOKUP(DATA!#REF!,DATA!#REF!,1,FALSE),"")</f>
        <v/>
      </c>
      <c r="D4352" s="16" t="str">
        <f>IFERROR(VLOOKUP(C4352,DATA!#REF!,2,FALSE),"")</f>
        <v/>
      </c>
      <c r="I4352" s="17"/>
      <c r="J4352" s="17"/>
      <c r="P4352" s="17"/>
      <c r="Q4352" s="17"/>
    </row>
    <row r="4353" spans="2:17">
      <c r="B4353" s="17"/>
      <c r="C4353" s="16" t="str">
        <f>IFERROR(VLOOKUP(DATA!#REF!,DATA!#REF!,1,FALSE),"")</f>
        <v/>
      </c>
      <c r="D4353" s="16" t="str">
        <f>IFERROR(VLOOKUP(C4353,DATA!#REF!,2,FALSE),"")</f>
        <v/>
      </c>
      <c r="I4353" s="17"/>
      <c r="J4353" s="17"/>
      <c r="P4353" s="17"/>
      <c r="Q4353" s="17"/>
    </row>
    <row r="4354" spans="2:17">
      <c r="B4354" s="17"/>
      <c r="C4354" s="16" t="str">
        <f>IFERROR(VLOOKUP(DATA!#REF!,DATA!#REF!,1,FALSE),"")</f>
        <v/>
      </c>
      <c r="D4354" s="16" t="str">
        <f>IFERROR(VLOOKUP(C4354,DATA!#REF!,2,FALSE),"")</f>
        <v/>
      </c>
      <c r="I4354" s="17"/>
      <c r="J4354" s="17"/>
      <c r="P4354" s="17"/>
      <c r="Q4354" s="17"/>
    </row>
    <row r="4355" spans="2:17">
      <c r="B4355" s="17"/>
      <c r="C4355" s="16" t="str">
        <f>IFERROR(VLOOKUP(DATA!#REF!,DATA!#REF!,1,FALSE),"")</f>
        <v/>
      </c>
      <c r="D4355" s="16" t="str">
        <f>IFERROR(VLOOKUP(C4355,DATA!#REF!,2,FALSE),"")</f>
        <v/>
      </c>
      <c r="I4355" s="17"/>
      <c r="J4355" s="17"/>
      <c r="P4355" s="17"/>
      <c r="Q4355" s="17"/>
    </row>
    <row r="4356" spans="2:17">
      <c r="B4356" s="17"/>
      <c r="C4356" s="16" t="str">
        <f>IFERROR(VLOOKUP(DATA!#REF!,DATA!#REF!,1,FALSE),"")</f>
        <v/>
      </c>
      <c r="D4356" s="16" t="str">
        <f>IFERROR(VLOOKUP(C4356,DATA!#REF!,2,FALSE),"")</f>
        <v/>
      </c>
      <c r="I4356" s="17"/>
      <c r="J4356" s="17"/>
      <c r="P4356" s="17"/>
      <c r="Q4356" s="17"/>
    </row>
    <row r="4357" spans="2:17">
      <c r="B4357" s="17"/>
      <c r="C4357" s="16" t="str">
        <f>IFERROR(VLOOKUP(DATA!#REF!,DATA!#REF!,1,FALSE),"")</f>
        <v/>
      </c>
      <c r="D4357" s="16" t="str">
        <f>IFERROR(VLOOKUP(C4357,DATA!#REF!,2,FALSE),"")</f>
        <v/>
      </c>
      <c r="I4357" s="17"/>
      <c r="J4357" s="17"/>
      <c r="P4357" s="17"/>
      <c r="Q4357" s="17"/>
    </row>
    <row r="4358" spans="2:17">
      <c r="B4358" s="17"/>
      <c r="C4358" s="16" t="str">
        <f>IFERROR(VLOOKUP(DATA!#REF!,DATA!#REF!,1,FALSE),"")</f>
        <v/>
      </c>
      <c r="D4358" s="16" t="str">
        <f>IFERROR(VLOOKUP(C4358,DATA!#REF!,2,FALSE),"")</f>
        <v/>
      </c>
      <c r="I4358" s="17"/>
      <c r="J4358" s="17"/>
      <c r="P4358" s="17"/>
      <c r="Q4358" s="17"/>
    </row>
    <row r="4359" spans="2:17">
      <c r="B4359" s="17"/>
      <c r="C4359" s="16" t="str">
        <f>IFERROR(VLOOKUP(DATA!#REF!,DATA!#REF!,1,FALSE),"")</f>
        <v/>
      </c>
      <c r="D4359" s="16" t="str">
        <f>IFERROR(VLOOKUP(C4359,DATA!#REF!,2,FALSE),"")</f>
        <v/>
      </c>
      <c r="I4359" s="17"/>
      <c r="J4359" s="17"/>
      <c r="P4359" s="17"/>
      <c r="Q4359" s="17"/>
    </row>
    <row r="4360" spans="2:17">
      <c r="B4360" s="17"/>
      <c r="C4360" s="16" t="str">
        <f>IFERROR(VLOOKUP(DATA!#REF!,DATA!#REF!,1,FALSE),"")</f>
        <v/>
      </c>
      <c r="D4360" s="16" t="str">
        <f>IFERROR(VLOOKUP(C4360,DATA!#REF!,2,FALSE),"")</f>
        <v/>
      </c>
      <c r="I4360" s="17"/>
      <c r="J4360" s="17"/>
      <c r="P4360" s="17"/>
      <c r="Q4360" s="17"/>
    </row>
    <row r="4361" spans="2:17">
      <c r="B4361" s="17"/>
      <c r="C4361" s="16" t="str">
        <f>IFERROR(VLOOKUP(DATA!#REF!,DATA!#REF!,1,FALSE),"")</f>
        <v/>
      </c>
      <c r="D4361" s="16" t="str">
        <f>IFERROR(VLOOKUP(C4361,DATA!#REF!,2,FALSE),"")</f>
        <v/>
      </c>
      <c r="I4361" s="17"/>
      <c r="J4361" s="17"/>
      <c r="P4361" s="17"/>
      <c r="Q4361" s="17"/>
    </row>
    <row r="4362" spans="2:17">
      <c r="B4362" s="17"/>
      <c r="C4362" s="16" t="str">
        <f>IFERROR(VLOOKUP(DATA!#REF!,DATA!#REF!,1,FALSE),"")</f>
        <v/>
      </c>
      <c r="D4362" s="16" t="str">
        <f>IFERROR(VLOOKUP(C4362,DATA!#REF!,2,FALSE),"")</f>
        <v/>
      </c>
      <c r="I4362" s="17"/>
      <c r="J4362" s="17"/>
      <c r="P4362" s="17"/>
      <c r="Q4362" s="17"/>
    </row>
    <row r="4363" spans="2:17">
      <c r="B4363" s="17"/>
      <c r="C4363" s="16" t="str">
        <f>IFERROR(VLOOKUP(DATA!#REF!,DATA!#REF!,1,FALSE),"")</f>
        <v/>
      </c>
      <c r="D4363" s="16" t="str">
        <f>IFERROR(VLOOKUP(C4363,DATA!#REF!,2,FALSE),"")</f>
        <v/>
      </c>
      <c r="I4363" s="17"/>
      <c r="J4363" s="17"/>
      <c r="P4363" s="17"/>
      <c r="Q4363" s="17"/>
    </row>
    <row r="4364" spans="2:17">
      <c r="B4364" s="17"/>
      <c r="C4364" s="16" t="str">
        <f>IFERROR(VLOOKUP(DATA!#REF!,DATA!#REF!,1,FALSE),"")</f>
        <v/>
      </c>
      <c r="D4364" s="16" t="str">
        <f>IFERROR(VLOOKUP(C4364,DATA!#REF!,2,FALSE),"")</f>
        <v/>
      </c>
      <c r="I4364" s="17"/>
      <c r="J4364" s="17"/>
      <c r="P4364" s="17"/>
      <c r="Q4364" s="17"/>
    </row>
    <row r="4365" spans="2:17">
      <c r="B4365" s="17"/>
      <c r="C4365" s="16" t="str">
        <f>IFERROR(VLOOKUP(DATA!#REF!,DATA!#REF!,1,FALSE),"")</f>
        <v/>
      </c>
      <c r="D4365" s="16" t="str">
        <f>IFERROR(VLOOKUP(C4365,DATA!#REF!,2,FALSE),"")</f>
        <v/>
      </c>
      <c r="I4365" s="17"/>
      <c r="J4365" s="17"/>
      <c r="P4365" s="17"/>
      <c r="Q4365" s="17"/>
    </row>
    <row r="4366" spans="2:17">
      <c r="B4366" s="17"/>
      <c r="C4366" s="16" t="str">
        <f>IFERROR(VLOOKUP(DATA!#REF!,DATA!#REF!,1,FALSE),"")</f>
        <v/>
      </c>
      <c r="D4366" s="16" t="str">
        <f>IFERROR(VLOOKUP(C4366,DATA!#REF!,2,FALSE),"")</f>
        <v/>
      </c>
      <c r="I4366" s="17"/>
      <c r="J4366" s="17"/>
      <c r="P4366" s="17"/>
      <c r="Q4366" s="17"/>
    </row>
    <row r="4367" spans="2:17">
      <c r="B4367" s="17"/>
      <c r="C4367" s="16" t="str">
        <f>IFERROR(VLOOKUP(DATA!#REF!,DATA!#REF!,1,FALSE),"")</f>
        <v/>
      </c>
      <c r="D4367" s="16" t="str">
        <f>IFERROR(VLOOKUP(C4367,DATA!#REF!,2,FALSE),"")</f>
        <v/>
      </c>
      <c r="I4367" s="17"/>
      <c r="J4367" s="17"/>
      <c r="P4367" s="17"/>
      <c r="Q4367" s="17"/>
    </row>
    <row r="4368" spans="2:17">
      <c r="B4368" s="17"/>
      <c r="C4368" s="16" t="str">
        <f>IFERROR(VLOOKUP(DATA!#REF!,DATA!#REF!,1,FALSE),"")</f>
        <v/>
      </c>
      <c r="D4368" s="16" t="str">
        <f>IFERROR(VLOOKUP(C4368,DATA!#REF!,2,FALSE),"")</f>
        <v/>
      </c>
      <c r="I4368" s="17"/>
      <c r="J4368" s="17"/>
      <c r="P4368" s="17"/>
      <c r="Q4368" s="17"/>
    </row>
    <row r="4369" spans="2:17">
      <c r="B4369" s="17"/>
      <c r="C4369" s="16" t="str">
        <f>IFERROR(VLOOKUP(DATA!#REF!,DATA!#REF!,1,FALSE),"")</f>
        <v/>
      </c>
      <c r="D4369" s="16" t="str">
        <f>IFERROR(VLOOKUP(C4369,DATA!#REF!,2,FALSE),"")</f>
        <v/>
      </c>
      <c r="I4369" s="17"/>
      <c r="J4369" s="17"/>
      <c r="P4369" s="17"/>
      <c r="Q4369" s="17"/>
    </row>
    <row r="4370" spans="2:17">
      <c r="B4370" s="17"/>
      <c r="C4370" s="16" t="str">
        <f>IFERROR(VLOOKUP(DATA!#REF!,DATA!#REF!,1,FALSE),"")</f>
        <v/>
      </c>
      <c r="D4370" s="16" t="str">
        <f>IFERROR(VLOOKUP(C4370,DATA!#REF!,2,FALSE),"")</f>
        <v/>
      </c>
      <c r="I4370" s="17"/>
      <c r="J4370" s="17"/>
      <c r="P4370" s="17"/>
      <c r="Q4370" s="17"/>
    </row>
    <row r="4371" spans="2:17">
      <c r="B4371" s="17"/>
      <c r="C4371" s="16" t="str">
        <f>IFERROR(VLOOKUP(DATA!#REF!,DATA!#REF!,1,FALSE),"")</f>
        <v/>
      </c>
      <c r="D4371" s="16" t="str">
        <f>IFERROR(VLOOKUP(C4371,DATA!#REF!,2,FALSE),"")</f>
        <v/>
      </c>
      <c r="I4371" s="17"/>
      <c r="J4371" s="17"/>
      <c r="P4371" s="17"/>
      <c r="Q4371" s="17"/>
    </row>
    <row r="4372" spans="2:17">
      <c r="B4372" s="17"/>
      <c r="C4372" s="16" t="str">
        <f>IFERROR(VLOOKUP(DATA!#REF!,DATA!#REF!,1,FALSE),"")</f>
        <v/>
      </c>
      <c r="D4372" s="16" t="str">
        <f>IFERROR(VLOOKUP(C4372,DATA!#REF!,2,FALSE),"")</f>
        <v/>
      </c>
      <c r="I4372" s="17"/>
      <c r="J4372" s="17"/>
      <c r="P4372" s="17"/>
      <c r="Q4372" s="17"/>
    </row>
    <row r="4373" spans="2:17">
      <c r="B4373" s="17"/>
      <c r="C4373" s="16" t="str">
        <f>IFERROR(VLOOKUP(DATA!#REF!,DATA!#REF!,1,FALSE),"")</f>
        <v/>
      </c>
      <c r="D4373" s="16" t="str">
        <f>IFERROR(VLOOKUP(C4373,DATA!#REF!,2,FALSE),"")</f>
        <v/>
      </c>
      <c r="I4373" s="17"/>
      <c r="J4373" s="17"/>
      <c r="P4373" s="17"/>
      <c r="Q4373" s="17"/>
    </row>
    <row r="4374" spans="2:17">
      <c r="B4374" s="17"/>
      <c r="C4374" s="16" t="str">
        <f>IFERROR(VLOOKUP(DATA!#REF!,DATA!#REF!,1,FALSE),"")</f>
        <v/>
      </c>
      <c r="D4374" s="16" t="str">
        <f>IFERROR(VLOOKUP(C4374,DATA!#REF!,2,FALSE),"")</f>
        <v/>
      </c>
      <c r="I4374" s="17"/>
      <c r="J4374" s="17"/>
      <c r="P4374" s="17"/>
      <c r="Q4374" s="17"/>
    </row>
    <row r="4375" spans="2:17">
      <c r="B4375" s="17"/>
      <c r="C4375" s="16" t="str">
        <f>IFERROR(VLOOKUP(DATA!#REF!,DATA!#REF!,1,FALSE),"")</f>
        <v/>
      </c>
      <c r="D4375" s="16" t="str">
        <f>IFERROR(VLOOKUP(C4375,DATA!#REF!,2,FALSE),"")</f>
        <v/>
      </c>
      <c r="I4375" s="17"/>
      <c r="J4375" s="17"/>
      <c r="P4375" s="17"/>
      <c r="Q4375" s="17"/>
    </row>
    <row r="4376" spans="2:17">
      <c r="B4376" s="17"/>
      <c r="C4376" s="16" t="str">
        <f>IFERROR(VLOOKUP(DATA!#REF!,DATA!#REF!,1,FALSE),"")</f>
        <v/>
      </c>
      <c r="D4376" s="16" t="str">
        <f>IFERROR(VLOOKUP(C4376,DATA!#REF!,2,FALSE),"")</f>
        <v/>
      </c>
      <c r="I4376" s="17"/>
      <c r="J4376" s="17"/>
      <c r="P4376" s="17"/>
      <c r="Q4376" s="17"/>
    </row>
    <row r="4377" spans="2:17">
      <c r="B4377" s="17"/>
      <c r="C4377" s="16" t="str">
        <f>IFERROR(VLOOKUP(DATA!#REF!,DATA!#REF!,1,FALSE),"")</f>
        <v/>
      </c>
      <c r="D4377" s="16" t="str">
        <f>IFERROR(VLOOKUP(C4377,DATA!#REF!,2,FALSE),"")</f>
        <v/>
      </c>
      <c r="I4377" s="17"/>
      <c r="J4377" s="17"/>
      <c r="P4377" s="17"/>
      <c r="Q4377" s="17"/>
    </row>
    <row r="4378" spans="2:17">
      <c r="B4378" s="17"/>
      <c r="C4378" s="16" t="str">
        <f>IFERROR(VLOOKUP(DATA!#REF!,DATA!#REF!,1,FALSE),"")</f>
        <v/>
      </c>
      <c r="D4378" s="16" t="str">
        <f>IFERROR(VLOOKUP(C4378,DATA!#REF!,2,FALSE),"")</f>
        <v/>
      </c>
      <c r="I4378" s="17"/>
      <c r="J4378" s="17"/>
      <c r="P4378" s="17"/>
      <c r="Q4378" s="17"/>
    </row>
    <row r="4379" spans="2:17">
      <c r="B4379" s="17"/>
      <c r="C4379" s="16" t="str">
        <f>IFERROR(VLOOKUP(DATA!#REF!,DATA!#REF!,1,FALSE),"")</f>
        <v/>
      </c>
      <c r="D4379" s="16" t="str">
        <f>IFERROR(VLOOKUP(C4379,DATA!#REF!,2,FALSE),"")</f>
        <v/>
      </c>
      <c r="I4379" s="17"/>
      <c r="J4379" s="17"/>
      <c r="P4379" s="17"/>
      <c r="Q4379" s="17"/>
    </row>
    <row r="4380" spans="2:17">
      <c r="B4380" s="17"/>
      <c r="C4380" s="16" t="str">
        <f>IFERROR(VLOOKUP(DATA!#REF!,DATA!#REF!,1,FALSE),"")</f>
        <v/>
      </c>
      <c r="D4380" s="16" t="str">
        <f>IFERROR(VLOOKUP(C4380,DATA!#REF!,2,FALSE),"")</f>
        <v/>
      </c>
      <c r="I4380" s="17"/>
      <c r="J4380" s="17"/>
      <c r="P4380" s="17"/>
      <c r="Q4380" s="17"/>
    </row>
    <row r="4381" spans="2:17">
      <c r="B4381" s="17"/>
      <c r="C4381" s="16" t="str">
        <f>IFERROR(VLOOKUP(DATA!#REF!,DATA!#REF!,1,FALSE),"")</f>
        <v/>
      </c>
      <c r="D4381" s="16" t="str">
        <f>IFERROR(VLOOKUP(C4381,DATA!#REF!,2,FALSE),"")</f>
        <v/>
      </c>
      <c r="I4381" s="17"/>
      <c r="J4381" s="17"/>
      <c r="P4381" s="17"/>
      <c r="Q4381" s="17"/>
    </row>
    <row r="4382" spans="2:17">
      <c r="B4382" s="17"/>
      <c r="C4382" s="16" t="str">
        <f>IFERROR(VLOOKUP(DATA!#REF!,DATA!#REF!,1,FALSE),"")</f>
        <v/>
      </c>
      <c r="D4382" s="16" t="str">
        <f>IFERROR(VLOOKUP(C4382,DATA!#REF!,2,FALSE),"")</f>
        <v/>
      </c>
      <c r="I4382" s="17"/>
      <c r="J4382" s="17"/>
      <c r="P4382" s="17"/>
      <c r="Q4382" s="17"/>
    </row>
    <row r="4383" spans="2:17">
      <c r="B4383" s="17"/>
      <c r="C4383" s="16" t="str">
        <f>IFERROR(VLOOKUP(DATA!#REF!,DATA!#REF!,1,FALSE),"")</f>
        <v/>
      </c>
      <c r="D4383" s="16" t="str">
        <f>IFERROR(VLOOKUP(C4383,DATA!#REF!,2,FALSE),"")</f>
        <v/>
      </c>
      <c r="I4383" s="17"/>
      <c r="J4383" s="17"/>
      <c r="P4383" s="17"/>
      <c r="Q4383" s="17"/>
    </row>
    <row r="4384" spans="2:17">
      <c r="B4384" s="17"/>
      <c r="C4384" s="16" t="str">
        <f>IFERROR(VLOOKUP(DATA!#REF!,DATA!#REF!,1,FALSE),"")</f>
        <v/>
      </c>
      <c r="D4384" s="16" t="str">
        <f>IFERROR(VLOOKUP(C4384,DATA!#REF!,2,FALSE),"")</f>
        <v/>
      </c>
      <c r="I4384" s="17"/>
      <c r="J4384" s="17"/>
      <c r="P4384" s="17"/>
      <c r="Q4384" s="17"/>
    </row>
    <row r="4385" spans="2:17">
      <c r="B4385" s="17"/>
      <c r="C4385" s="16" t="str">
        <f>IFERROR(VLOOKUP(DATA!#REF!,DATA!#REF!,1,FALSE),"")</f>
        <v/>
      </c>
      <c r="D4385" s="16" t="str">
        <f>IFERROR(VLOOKUP(C4385,DATA!#REF!,2,FALSE),"")</f>
        <v/>
      </c>
      <c r="I4385" s="17"/>
      <c r="J4385" s="17"/>
      <c r="P4385" s="17"/>
      <c r="Q4385" s="17"/>
    </row>
    <row r="4386" spans="2:17">
      <c r="B4386" s="17"/>
      <c r="C4386" s="16" t="str">
        <f>IFERROR(VLOOKUP(DATA!#REF!,DATA!#REF!,1,FALSE),"")</f>
        <v/>
      </c>
      <c r="D4386" s="16" t="str">
        <f>IFERROR(VLOOKUP(C4386,DATA!#REF!,2,FALSE),"")</f>
        <v/>
      </c>
      <c r="I4386" s="17"/>
      <c r="J4386" s="17"/>
      <c r="P4386" s="17"/>
      <c r="Q4386" s="17"/>
    </row>
    <row r="4387" spans="2:17">
      <c r="B4387" s="17"/>
      <c r="C4387" s="16" t="str">
        <f>IFERROR(VLOOKUP(DATA!#REF!,DATA!#REF!,1,FALSE),"")</f>
        <v/>
      </c>
      <c r="D4387" s="16" t="str">
        <f>IFERROR(VLOOKUP(C4387,DATA!#REF!,2,FALSE),"")</f>
        <v/>
      </c>
      <c r="I4387" s="17"/>
      <c r="J4387" s="17"/>
      <c r="P4387" s="17"/>
      <c r="Q4387" s="17"/>
    </row>
    <row r="4388" spans="2:17">
      <c r="B4388" s="17"/>
      <c r="C4388" s="16" t="str">
        <f>IFERROR(VLOOKUP(DATA!#REF!,DATA!#REF!,1,FALSE),"")</f>
        <v/>
      </c>
      <c r="D4388" s="16" t="str">
        <f>IFERROR(VLOOKUP(C4388,DATA!#REF!,2,FALSE),"")</f>
        <v/>
      </c>
      <c r="I4388" s="17"/>
      <c r="J4388" s="17"/>
      <c r="P4388" s="17"/>
      <c r="Q4388" s="17"/>
    </row>
    <row r="4389" spans="2:17">
      <c r="B4389" s="17"/>
      <c r="C4389" s="16" t="str">
        <f>IFERROR(VLOOKUP(DATA!#REF!,DATA!#REF!,1,FALSE),"")</f>
        <v/>
      </c>
      <c r="D4389" s="16" t="str">
        <f>IFERROR(VLOOKUP(C4389,DATA!#REF!,2,FALSE),"")</f>
        <v/>
      </c>
      <c r="I4389" s="17"/>
      <c r="J4389" s="17"/>
      <c r="P4389" s="17"/>
      <c r="Q4389" s="17"/>
    </row>
    <row r="4390" spans="2:17">
      <c r="B4390" s="17"/>
      <c r="C4390" s="16" t="str">
        <f>IFERROR(VLOOKUP(DATA!#REF!,DATA!#REF!,1,FALSE),"")</f>
        <v/>
      </c>
      <c r="D4390" s="16" t="str">
        <f>IFERROR(VLOOKUP(C4390,DATA!#REF!,2,FALSE),"")</f>
        <v/>
      </c>
      <c r="I4390" s="17"/>
      <c r="J4390" s="17"/>
      <c r="P4390" s="17"/>
      <c r="Q4390" s="17"/>
    </row>
    <row r="4391" spans="2:17">
      <c r="B4391" s="17"/>
      <c r="C4391" s="16" t="str">
        <f>IFERROR(VLOOKUP(DATA!#REF!,DATA!#REF!,1,FALSE),"")</f>
        <v/>
      </c>
      <c r="D4391" s="16" t="str">
        <f>IFERROR(VLOOKUP(C4391,DATA!#REF!,2,FALSE),"")</f>
        <v/>
      </c>
      <c r="I4391" s="17"/>
      <c r="J4391" s="17"/>
      <c r="P4391" s="17"/>
      <c r="Q4391" s="17"/>
    </row>
    <row r="4392" spans="2:17">
      <c r="B4392" s="17"/>
      <c r="C4392" s="16" t="str">
        <f>IFERROR(VLOOKUP(DATA!#REF!,DATA!#REF!,1,FALSE),"")</f>
        <v/>
      </c>
      <c r="D4392" s="16" t="str">
        <f>IFERROR(VLOOKUP(C4392,DATA!#REF!,2,FALSE),"")</f>
        <v/>
      </c>
      <c r="I4392" s="17"/>
      <c r="J4392" s="17"/>
      <c r="P4392" s="17"/>
      <c r="Q4392" s="17"/>
    </row>
    <row r="4393" spans="2:17">
      <c r="B4393" s="17"/>
      <c r="C4393" s="16" t="str">
        <f>IFERROR(VLOOKUP(DATA!#REF!,DATA!#REF!,1,FALSE),"")</f>
        <v/>
      </c>
      <c r="D4393" s="16" t="str">
        <f>IFERROR(VLOOKUP(C4393,DATA!#REF!,2,FALSE),"")</f>
        <v/>
      </c>
      <c r="I4393" s="17"/>
      <c r="J4393" s="17"/>
      <c r="P4393" s="17"/>
      <c r="Q4393" s="17"/>
    </row>
    <row r="4394" spans="2:17">
      <c r="B4394" s="17"/>
      <c r="C4394" s="16" t="str">
        <f>IFERROR(VLOOKUP(DATA!#REF!,DATA!#REF!,1,FALSE),"")</f>
        <v/>
      </c>
      <c r="D4394" s="16" t="str">
        <f>IFERROR(VLOOKUP(C4394,DATA!#REF!,2,FALSE),"")</f>
        <v/>
      </c>
      <c r="I4394" s="17"/>
      <c r="J4394" s="17"/>
      <c r="P4394" s="17"/>
      <c r="Q4394" s="17"/>
    </row>
    <row r="4395" spans="2:17">
      <c r="B4395" s="17"/>
      <c r="C4395" s="16" t="str">
        <f>IFERROR(VLOOKUP(DATA!#REF!,DATA!#REF!,1,FALSE),"")</f>
        <v/>
      </c>
      <c r="D4395" s="16" t="str">
        <f>IFERROR(VLOOKUP(C4395,DATA!#REF!,2,FALSE),"")</f>
        <v/>
      </c>
      <c r="I4395" s="17"/>
      <c r="J4395" s="17"/>
      <c r="P4395" s="17"/>
      <c r="Q4395" s="17"/>
    </row>
    <row r="4396" spans="2:17">
      <c r="B4396" s="17"/>
      <c r="C4396" s="16" t="str">
        <f>IFERROR(VLOOKUP(DATA!#REF!,DATA!#REF!,1,FALSE),"")</f>
        <v/>
      </c>
      <c r="D4396" s="16" t="str">
        <f>IFERROR(VLOOKUP(C4396,DATA!#REF!,2,FALSE),"")</f>
        <v/>
      </c>
      <c r="I4396" s="17"/>
      <c r="J4396" s="17"/>
      <c r="P4396" s="17"/>
      <c r="Q4396" s="17"/>
    </row>
    <row r="4397" spans="2:17">
      <c r="B4397" s="17"/>
      <c r="C4397" s="16" t="str">
        <f>IFERROR(VLOOKUP(DATA!#REF!,DATA!#REF!,1,FALSE),"")</f>
        <v/>
      </c>
      <c r="D4397" s="16" t="str">
        <f>IFERROR(VLOOKUP(C4397,DATA!#REF!,2,FALSE),"")</f>
        <v/>
      </c>
      <c r="I4397" s="17"/>
      <c r="J4397" s="17"/>
      <c r="P4397" s="17"/>
      <c r="Q4397" s="17"/>
    </row>
    <row r="4398" spans="2:17">
      <c r="B4398" s="17"/>
      <c r="C4398" s="16" t="str">
        <f>IFERROR(VLOOKUP(DATA!#REF!,DATA!#REF!,1,FALSE),"")</f>
        <v/>
      </c>
      <c r="D4398" s="16" t="str">
        <f>IFERROR(VLOOKUP(C4398,DATA!#REF!,2,FALSE),"")</f>
        <v/>
      </c>
      <c r="I4398" s="17"/>
      <c r="J4398" s="17"/>
      <c r="P4398" s="17"/>
      <c r="Q4398" s="17"/>
    </row>
    <row r="4399" spans="2:17">
      <c r="B4399" s="17"/>
      <c r="C4399" s="16" t="str">
        <f>IFERROR(VLOOKUP(DATA!#REF!,DATA!#REF!,1,FALSE),"")</f>
        <v/>
      </c>
      <c r="D4399" s="16" t="str">
        <f>IFERROR(VLOOKUP(C4399,DATA!#REF!,2,FALSE),"")</f>
        <v/>
      </c>
      <c r="I4399" s="17"/>
      <c r="J4399" s="17"/>
      <c r="P4399" s="17"/>
      <c r="Q4399" s="17"/>
    </row>
    <row r="4400" spans="2:17">
      <c r="B4400" s="17"/>
      <c r="C4400" s="16" t="str">
        <f>IFERROR(VLOOKUP(DATA!#REF!,DATA!#REF!,1,FALSE),"")</f>
        <v/>
      </c>
      <c r="D4400" s="16" t="str">
        <f>IFERROR(VLOOKUP(C4400,DATA!#REF!,2,FALSE),"")</f>
        <v/>
      </c>
      <c r="I4400" s="17"/>
      <c r="J4400" s="17"/>
      <c r="P4400" s="17"/>
      <c r="Q4400" s="17"/>
    </row>
    <row r="4401" spans="2:17">
      <c r="B4401" s="17"/>
      <c r="C4401" s="16" t="str">
        <f>IFERROR(VLOOKUP(DATA!#REF!,DATA!#REF!,1,FALSE),"")</f>
        <v/>
      </c>
      <c r="D4401" s="16" t="str">
        <f>IFERROR(VLOOKUP(C4401,DATA!#REF!,2,FALSE),"")</f>
        <v/>
      </c>
      <c r="I4401" s="17"/>
      <c r="J4401" s="17"/>
      <c r="P4401" s="17"/>
      <c r="Q4401" s="17"/>
    </row>
    <row r="4402" spans="2:17">
      <c r="B4402" s="17"/>
      <c r="C4402" s="16" t="str">
        <f>IFERROR(VLOOKUP(DATA!#REF!,DATA!#REF!,1,FALSE),"")</f>
        <v/>
      </c>
      <c r="D4402" s="16" t="str">
        <f>IFERROR(VLOOKUP(C4402,DATA!#REF!,2,FALSE),"")</f>
        <v/>
      </c>
      <c r="I4402" s="17"/>
      <c r="J4402" s="17"/>
      <c r="P4402" s="17"/>
      <c r="Q4402" s="17"/>
    </row>
    <row r="4403" spans="2:17">
      <c r="B4403" s="17"/>
      <c r="C4403" s="16" t="str">
        <f>IFERROR(VLOOKUP(DATA!#REF!,DATA!#REF!,1,FALSE),"")</f>
        <v/>
      </c>
      <c r="D4403" s="16" t="str">
        <f>IFERROR(VLOOKUP(C4403,DATA!#REF!,2,FALSE),"")</f>
        <v/>
      </c>
      <c r="I4403" s="17"/>
      <c r="J4403" s="17"/>
      <c r="P4403" s="17"/>
      <c r="Q4403" s="17"/>
    </row>
    <row r="4404" spans="2:17">
      <c r="B4404" s="17"/>
      <c r="C4404" s="16" t="str">
        <f>IFERROR(VLOOKUP(DATA!#REF!,DATA!#REF!,1,FALSE),"")</f>
        <v/>
      </c>
      <c r="D4404" s="16" t="str">
        <f>IFERROR(VLOOKUP(C4404,DATA!#REF!,2,FALSE),"")</f>
        <v/>
      </c>
      <c r="I4404" s="17"/>
      <c r="J4404" s="17"/>
      <c r="P4404" s="17"/>
      <c r="Q4404" s="17"/>
    </row>
    <row r="4405" spans="2:17">
      <c r="B4405" s="17"/>
      <c r="C4405" s="16" t="str">
        <f>IFERROR(VLOOKUP(DATA!#REF!,DATA!#REF!,1,FALSE),"")</f>
        <v/>
      </c>
      <c r="D4405" s="16" t="str">
        <f>IFERROR(VLOOKUP(C4405,DATA!#REF!,2,FALSE),"")</f>
        <v/>
      </c>
      <c r="I4405" s="17"/>
      <c r="J4405" s="17"/>
      <c r="P4405" s="17"/>
      <c r="Q4405" s="17"/>
    </row>
    <row r="4406" spans="2:17">
      <c r="B4406" s="17"/>
      <c r="C4406" s="16" t="str">
        <f>IFERROR(VLOOKUP(DATA!#REF!,DATA!#REF!,1,FALSE),"")</f>
        <v/>
      </c>
      <c r="D4406" s="16" t="str">
        <f>IFERROR(VLOOKUP(C4406,DATA!#REF!,2,FALSE),"")</f>
        <v/>
      </c>
      <c r="I4406" s="17"/>
      <c r="J4406" s="17"/>
      <c r="P4406" s="17"/>
      <c r="Q4406" s="17"/>
    </row>
    <row r="4407" spans="2:17">
      <c r="B4407" s="17"/>
      <c r="C4407" s="16" t="str">
        <f>IFERROR(VLOOKUP(DATA!#REF!,DATA!#REF!,1,FALSE),"")</f>
        <v/>
      </c>
      <c r="D4407" s="16" t="str">
        <f>IFERROR(VLOOKUP(C4407,DATA!#REF!,2,FALSE),"")</f>
        <v/>
      </c>
      <c r="I4407" s="17"/>
      <c r="J4407" s="17"/>
      <c r="P4407" s="17"/>
      <c r="Q4407" s="17"/>
    </row>
    <row r="4408" spans="2:17">
      <c r="B4408" s="17"/>
      <c r="C4408" s="16" t="str">
        <f>IFERROR(VLOOKUP(DATA!#REF!,DATA!#REF!,1,FALSE),"")</f>
        <v/>
      </c>
      <c r="D4408" s="16" t="str">
        <f>IFERROR(VLOOKUP(C4408,DATA!#REF!,2,FALSE),"")</f>
        <v/>
      </c>
      <c r="I4408" s="17"/>
      <c r="J4408" s="17"/>
      <c r="P4408" s="17"/>
      <c r="Q4408" s="17"/>
    </row>
    <row r="4409" spans="2:17">
      <c r="B4409" s="17"/>
      <c r="C4409" s="16" t="str">
        <f>IFERROR(VLOOKUP(DATA!#REF!,DATA!#REF!,1,FALSE),"")</f>
        <v/>
      </c>
      <c r="D4409" s="16" t="str">
        <f>IFERROR(VLOOKUP(C4409,DATA!#REF!,2,FALSE),"")</f>
        <v/>
      </c>
      <c r="I4409" s="17"/>
      <c r="J4409" s="17"/>
      <c r="P4409" s="17"/>
      <c r="Q4409" s="17"/>
    </row>
    <row r="4410" spans="2:17">
      <c r="B4410" s="17"/>
      <c r="C4410" s="16" t="str">
        <f>IFERROR(VLOOKUP(DATA!#REF!,DATA!#REF!,1,FALSE),"")</f>
        <v/>
      </c>
      <c r="D4410" s="16" t="str">
        <f>IFERROR(VLOOKUP(C4410,DATA!#REF!,2,FALSE),"")</f>
        <v/>
      </c>
      <c r="I4410" s="17"/>
      <c r="J4410" s="17"/>
      <c r="P4410" s="17"/>
      <c r="Q4410" s="17"/>
    </row>
    <row r="4411" spans="2:17">
      <c r="B4411" s="17"/>
      <c r="C4411" s="16" t="str">
        <f>IFERROR(VLOOKUP(DATA!#REF!,DATA!#REF!,1,FALSE),"")</f>
        <v/>
      </c>
      <c r="D4411" s="16" t="str">
        <f>IFERROR(VLOOKUP(C4411,DATA!#REF!,2,FALSE),"")</f>
        <v/>
      </c>
      <c r="I4411" s="17"/>
      <c r="J4411" s="17"/>
      <c r="P4411" s="17"/>
      <c r="Q4411" s="17"/>
    </row>
    <row r="4412" spans="2:17">
      <c r="B4412" s="17"/>
      <c r="C4412" s="16" t="str">
        <f>IFERROR(VLOOKUP(DATA!#REF!,DATA!#REF!,1,FALSE),"")</f>
        <v/>
      </c>
      <c r="D4412" s="16" t="str">
        <f>IFERROR(VLOOKUP(C4412,DATA!#REF!,2,FALSE),"")</f>
        <v/>
      </c>
      <c r="I4412" s="17"/>
      <c r="J4412" s="17"/>
      <c r="P4412" s="17"/>
      <c r="Q4412" s="17"/>
    </row>
    <row r="4413" spans="2:17">
      <c r="B4413" s="17"/>
      <c r="C4413" s="16" t="str">
        <f>IFERROR(VLOOKUP(DATA!#REF!,DATA!#REF!,1,FALSE),"")</f>
        <v/>
      </c>
      <c r="D4413" s="16" t="str">
        <f>IFERROR(VLOOKUP(C4413,DATA!#REF!,2,FALSE),"")</f>
        <v/>
      </c>
      <c r="I4413" s="17"/>
      <c r="J4413" s="17"/>
      <c r="P4413" s="17"/>
      <c r="Q4413" s="17"/>
    </row>
    <row r="4414" spans="2:17">
      <c r="B4414" s="17"/>
      <c r="C4414" s="16" t="str">
        <f>IFERROR(VLOOKUP(DATA!#REF!,DATA!#REF!,1,FALSE),"")</f>
        <v/>
      </c>
      <c r="D4414" s="16" t="str">
        <f>IFERROR(VLOOKUP(C4414,DATA!#REF!,2,FALSE),"")</f>
        <v/>
      </c>
      <c r="I4414" s="17"/>
      <c r="J4414" s="17"/>
      <c r="P4414" s="17"/>
      <c r="Q4414" s="17"/>
    </row>
    <row r="4415" spans="2:17">
      <c r="B4415" s="17"/>
      <c r="C4415" s="16" t="str">
        <f>IFERROR(VLOOKUP(DATA!#REF!,DATA!#REF!,1,FALSE),"")</f>
        <v/>
      </c>
      <c r="D4415" s="16" t="str">
        <f>IFERROR(VLOOKUP(C4415,DATA!#REF!,2,FALSE),"")</f>
        <v/>
      </c>
      <c r="I4415" s="17"/>
      <c r="J4415" s="17"/>
      <c r="P4415" s="17"/>
      <c r="Q4415" s="17"/>
    </row>
    <row r="4416" spans="2:17">
      <c r="B4416" s="17"/>
      <c r="C4416" s="16" t="str">
        <f>IFERROR(VLOOKUP(DATA!#REF!,DATA!#REF!,1,FALSE),"")</f>
        <v/>
      </c>
      <c r="D4416" s="16" t="str">
        <f>IFERROR(VLOOKUP(C4416,DATA!#REF!,2,FALSE),"")</f>
        <v/>
      </c>
      <c r="I4416" s="17"/>
      <c r="J4416" s="17"/>
      <c r="P4416" s="17"/>
      <c r="Q4416" s="17"/>
    </row>
    <row r="4417" spans="2:17">
      <c r="B4417" s="17"/>
      <c r="C4417" s="16" t="str">
        <f>IFERROR(VLOOKUP(DATA!#REF!,DATA!#REF!,1,FALSE),"")</f>
        <v/>
      </c>
      <c r="D4417" s="16" t="str">
        <f>IFERROR(VLOOKUP(C4417,DATA!#REF!,2,FALSE),"")</f>
        <v/>
      </c>
      <c r="I4417" s="17"/>
      <c r="J4417" s="17"/>
      <c r="P4417" s="17"/>
      <c r="Q4417" s="17"/>
    </row>
    <row r="4418" spans="2:17">
      <c r="B4418" s="17"/>
      <c r="C4418" s="16" t="str">
        <f>IFERROR(VLOOKUP(DATA!#REF!,DATA!#REF!,1,FALSE),"")</f>
        <v/>
      </c>
      <c r="D4418" s="16" t="str">
        <f>IFERROR(VLOOKUP(C4418,DATA!#REF!,2,FALSE),"")</f>
        <v/>
      </c>
      <c r="I4418" s="17"/>
      <c r="J4418" s="17"/>
      <c r="P4418" s="17"/>
      <c r="Q4418" s="17"/>
    </row>
    <row r="4419" spans="2:17">
      <c r="B4419" s="17"/>
      <c r="C4419" s="16" t="str">
        <f>IFERROR(VLOOKUP(DATA!#REF!,DATA!#REF!,1,FALSE),"")</f>
        <v/>
      </c>
      <c r="D4419" s="16" t="str">
        <f>IFERROR(VLOOKUP(C4419,DATA!#REF!,2,FALSE),"")</f>
        <v/>
      </c>
      <c r="I4419" s="17"/>
      <c r="J4419" s="17"/>
      <c r="P4419" s="17"/>
      <c r="Q4419" s="17"/>
    </row>
    <row r="4420" spans="2:17">
      <c r="B4420" s="17"/>
      <c r="C4420" s="16" t="str">
        <f>IFERROR(VLOOKUP(DATA!#REF!,DATA!#REF!,1,FALSE),"")</f>
        <v/>
      </c>
      <c r="D4420" s="16" t="str">
        <f>IFERROR(VLOOKUP(C4420,DATA!#REF!,2,FALSE),"")</f>
        <v/>
      </c>
      <c r="I4420" s="17"/>
      <c r="J4420" s="17"/>
      <c r="P4420" s="17"/>
      <c r="Q4420" s="17"/>
    </row>
    <row r="4421" spans="2:17">
      <c r="B4421" s="17"/>
      <c r="C4421" s="16" t="str">
        <f>IFERROR(VLOOKUP(DATA!#REF!,DATA!#REF!,1,FALSE),"")</f>
        <v/>
      </c>
      <c r="D4421" s="16" t="str">
        <f>IFERROR(VLOOKUP(C4421,DATA!#REF!,2,FALSE),"")</f>
        <v/>
      </c>
      <c r="I4421" s="17"/>
      <c r="J4421" s="17"/>
      <c r="P4421" s="17"/>
      <c r="Q4421" s="17"/>
    </row>
    <row r="4422" spans="2:17">
      <c r="B4422" s="17"/>
      <c r="C4422" s="16" t="str">
        <f>IFERROR(VLOOKUP(DATA!#REF!,DATA!#REF!,1,FALSE),"")</f>
        <v/>
      </c>
      <c r="D4422" s="16" t="str">
        <f>IFERROR(VLOOKUP(C4422,DATA!#REF!,2,FALSE),"")</f>
        <v/>
      </c>
      <c r="I4422" s="17"/>
      <c r="J4422" s="17"/>
      <c r="P4422" s="17"/>
      <c r="Q4422" s="17"/>
    </row>
    <row r="4423" spans="2:17">
      <c r="B4423" s="17"/>
      <c r="C4423" s="16" t="str">
        <f>IFERROR(VLOOKUP(DATA!#REF!,DATA!#REF!,1,FALSE),"")</f>
        <v/>
      </c>
      <c r="D4423" s="16" t="str">
        <f>IFERROR(VLOOKUP(C4423,DATA!#REF!,2,FALSE),"")</f>
        <v/>
      </c>
      <c r="I4423" s="17"/>
      <c r="J4423" s="17"/>
      <c r="P4423" s="17"/>
      <c r="Q4423" s="17"/>
    </row>
    <row r="4424" spans="2:17">
      <c r="B4424" s="17"/>
      <c r="C4424" s="16" t="str">
        <f>IFERROR(VLOOKUP(DATA!#REF!,DATA!#REF!,1,FALSE),"")</f>
        <v/>
      </c>
      <c r="D4424" s="16" t="str">
        <f>IFERROR(VLOOKUP(C4424,DATA!#REF!,2,FALSE),"")</f>
        <v/>
      </c>
      <c r="I4424" s="17"/>
      <c r="J4424" s="17"/>
      <c r="P4424" s="17"/>
      <c r="Q4424" s="17"/>
    </row>
    <row r="4425" spans="2:17">
      <c r="B4425" s="17"/>
      <c r="C4425" s="16" t="str">
        <f>IFERROR(VLOOKUP(DATA!#REF!,DATA!#REF!,1,FALSE),"")</f>
        <v/>
      </c>
      <c r="D4425" s="16" t="str">
        <f>IFERROR(VLOOKUP(C4425,DATA!#REF!,2,FALSE),"")</f>
        <v/>
      </c>
      <c r="I4425" s="17"/>
      <c r="J4425" s="17"/>
      <c r="P4425" s="17"/>
      <c r="Q4425" s="17"/>
    </row>
    <row r="4426" spans="2:17">
      <c r="B4426" s="17"/>
      <c r="C4426" s="16" t="str">
        <f>IFERROR(VLOOKUP(DATA!#REF!,DATA!#REF!,1,FALSE),"")</f>
        <v/>
      </c>
      <c r="D4426" s="16" t="str">
        <f>IFERROR(VLOOKUP(C4426,DATA!#REF!,2,FALSE),"")</f>
        <v/>
      </c>
      <c r="I4426" s="17"/>
      <c r="J4426" s="17"/>
      <c r="P4426" s="17"/>
      <c r="Q4426" s="17"/>
    </row>
    <row r="4427" spans="2:17">
      <c r="B4427" s="17"/>
      <c r="C4427" s="16" t="str">
        <f>IFERROR(VLOOKUP(DATA!#REF!,DATA!#REF!,1,FALSE),"")</f>
        <v/>
      </c>
      <c r="D4427" s="16" t="str">
        <f>IFERROR(VLOOKUP(C4427,DATA!#REF!,2,FALSE),"")</f>
        <v/>
      </c>
      <c r="I4427" s="17"/>
      <c r="J4427" s="17"/>
      <c r="P4427" s="17"/>
      <c r="Q4427" s="17"/>
    </row>
    <row r="4428" spans="2:17">
      <c r="B4428" s="17"/>
      <c r="C4428" s="16" t="str">
        <f>IFERROR(VLOOKUP(DATA!#REF!,DATA!#REF!,1,FALSE),"")</f>
        <v/>
      </c>
      <c r="D4428" s="16" t="str">
        <f>IFERROR(VLOOKUP(C4428,DATA!#REF!,2,FALSE),"")</f>
        <v/>
      </c>
      <c r="I4428" s="17"/>
      <c r="J4428" s="17"/>
      <c r="P4428" s="17"/>
      <c r="Q4428" s="17"/>
    </row>
    <row r="4429" spans="2:17">
      <c r="B4429" s="17"/>
      <c r="C4429" s="16" t="str">
        <f>IFERROR(VLOOKUP(DATA!#REF!,DATA!#REF!,1,FALSE),"")</f>
        <v/>
      </c>
      <c r="D4429" s="16" t="str">
        <f>IFERROR(VLOOKUP(C4429,DATA!#REF!,2,FALSE),"")</f>
        <v/>
      </c>
      <c r="I4429" s="17"/>
      <c r="J4429" s="17"/>
      <c r="P4429" s="17"/>
      <c r="Q4429" s="17"/>
    </row>
    <row r="4430" spans="2:17">
      <c r="B4430" s="17"/>
      <c r="C4430" s="16" t="str">
        <f>IFERROR(VLOOKUP(DATA!#REF!,DATA!#REF!,1,FALSE),"")</f>
        <v/>
      </c>
      <c r="D4430" s="16" t="str">
        <f>IFERROR(VLOOKUP(C4430,DATA!#REF!,2,FALSE),"")</f>
        <v/>
      </c>
      <c r="I4430" s="17"/>
      <c r="J4430" s="17"/>
      <c r="P4430" s="17"/>
      <c r="Q4430" s="17"/>
    </row>
    <row r="4431" spans="2:17">
      <c r="B4431" s="17"/>
      <c r="C4431" s="16" t="str">
        <f>IFERROR(VLOOKUP(DATA!#REF!,DATA!#REF!,1,FALSE),"")</f>
        <v/>
      </c>
      <c r="D4431" s="16" t="str">
        <f>IFERROR(VLOOKUP(C4431,DATA!#REF!,2,FALSE),"")</f>
        <v/>
      </c>
      <c r="I4431" s="17"/>
      <c r="J4431" s="17"/>
      <c r="P4431" s="17"/>
      <c r="Q4431" s="17"/>
    </row>
    <row r="4432" spans="2:17">
      <c r="B4432" s="17"/>
      <c r="C4432" s="16" t="str">
        <f>IFERROR(VLOOKUP(DATA!#REF!,DATA!#REF!,1,FALSE),"")</f>
        <v/>
      </c>
      <c r="D4432" s="16" t="str">
        <f>IFERROR(VLOOKUP(C4432,DATA!#REF!,2,FALSE),"")</f>
        <v/>
      </c>
      <c r="I4432" s="17"/>
      <c r="J4432" s="17"/>
      <c r="P4432" s="17"/>
      <c r="Q4432" s="17"/>
    </row>
    <row r="4433" spans="2:17">
      <c r="B4433" s="17"/>
      <c r="C4433" s="16" t="str">
        <f>IFERROR(VLOOKUP(DATA!#REF!,DATA!#REF!,1,FALSE),"")</f>
        <v/>
      </c>
      <c r="D4433" s="16" t="str">
        <f>IFERROR(VLOOKUP(C4433,DATA!#REF!,2,FALSE),"")</f>
        <v/>
      </c>
      <c r="I4433" s="17"/>
      <c r="J4433" s="17"/>
      <c r="P4433" s="17"/>
      <c r="Q4433" s="17"/>
    </row>
    <row r="4434" spans="2:17">
      <c r="B4434" s="17"/>
      <c r="C4434" s="16" t="str">
        <f>IFERROR(VLOOKUP(DATA!#REF!,DATA!#REF!,1,FALSE),"")</f>
        <v/>
      </c>
      <c r="D4434" s="16" t="str">
        <f>IFERROR(VLOOKUP(C4434,DATA!#REF!,2,FALSE),"")</f>
        <v/>
      </c>
      <c r="I4434" s="17"/>
      <c r="J4434" s="17"/>
      <c r="P4434" s="17"/>
      <c r="Q4434" s="17"/>
    </row>
    <row r="4435" spans="2:17">
      <c r="B4435" s="17"/>
      <c r="C4435" s="16" t="str">
        <f>IFERROR(VLOOKUP(DATA!#REF!,DATA!#REF!,1,FALSE),"")</f>
        <v/>
      </c>
      <c r="D4435" s="16" t="str">
        <f>IFERROR(VLOOKUP(C4435,DATA!#REF!,2,FALSE),"")</f>
        <v/>
      </c>
      <c r="I4435" s="17"/>
      <c r="J4435" s="17"/>
      <c r="P4435" s="17"/>
      <c r="Q4435" s="17"/>
    </row>
    <row r="4436" spans="2:17">
      <c r="B4436" s="17"/>
      <c r="C4436" s="16" t="str">
        <f>IFERROR(VLOOKUP(DATA!#REF!,DATA!#REF!,1,FALSE),"")</f>
        <v/>
      </c>
      <c r="D4436" s="16" t="str">
        <f>IFERROR(VLOOKUP(C4436,DATA!#REF!,2,FALSE),"")</f>
        <v/>
      </c>
      <c r="I4436" s="17"/>
      <c r="J4436" s="17"/>
      <c r="P4436" s="17"/>
      <c r="Q4436" s="17"/>
    </row>
    <row r="4437" spans="2:17">
      <c r="B4437" s="17"/>
      <c r="C4437" s="16" t="str">
        <f>IFERROR(VLOOKUP(DATA!#REF!,DATA!#REF!,1,FALSE),"")</f>
        <v/>
      </c>
      <c r="D4437" s="16" t="str">
        <f>IFERROR(VLOOKUP(C4437,DATA!#REF!,2,FALSE),"")</f>
        <v/>
      </c>
      <c r="I4437" s="17"/>
      <c r="J4437" s="17"/>
      <c r="P4437" s="17"/>
      <c r="Q4437" s="17"/>
    </row>
    <row r="4438" spans="2:17">
      <c r="B4438" s="17"/>
      <c r="C4438" s="16" t="str">
        <f>IFERROR(VLOOKUP(DATA!#REF!,DATA!#REF!,1,FALSE),"")</f>
        <v/>
      </c>
      <c r="D4438" s="16" t="str">
        <f>IFERROR(VLOOKUP(C4438,DATA!#REF!,2,FALSE),"")</f>
        <v/>
      </c>
      <c r="I4438" s="17"/>
      <c r="J4438" s="17"/>
      <c r="P4438" s="17"/>
      <c r="Q4438" s="17"/>
    </row>
    <row r="4439" spans="2:17">
      <c r="B4439" s="17"/>
      <c r="C4439" s="16" t="str">
        <f>IFERROR(VLOOKUP(DATA!#REF!,DATA!#REF!,1,FALSE),"")</f>
        <v/>
      </c>
      <c r="D4439" s="16" t="str">
        <f>IFERROR(VLOOKUP(C4439,DATA!#REF!,2,FALSE),"")</f>
        <v/>
      </c>
      <c r="I4439" s="17"/>
      <c r="J4439" s="17"/>
      <c r="P4439" s="17"/>
      <c r="Q4439" s="17"/>
    </row>
    <row r="4440" spans="2:17">
      <c r="B4440" s="17"/>
      <c r="C4440" s="16" t="str">
        <f>IFERROR(VLOOKUP(DATA!#REF!,DATA!#REF!,1,FALSE),"")</f>
        <v/>
      </c>
      <c r="D4440" s="16" t="str">
        <f>IFERROR(VLOOKUP(C4440,DATA!#REF!,2,FALSE),"")</f>
        <v/>
      </c>
      <c r="I4440" s="17"/>
      <c r="J4440" s="17"/>
      <c r="P4440" s="17"/>
      <c r="Q4440" s="17"/>
    </row>
    <row r="4441" spans="2:17">
      <c r="B4441" s="17"/>
      <c r="C4441" s="16" t="str">
        <f>IFERROR(VLOOKUP(DATA!#REF!,DATA!#REF!,1,FALSE),"")</f>
        <v/>
      </c>
      <c r="D4441" s="16" t="str">
        <f>IFERROR(VLOOKUP(C4441,DATA!#REF!,2,FALSE),"")</f>
        <v/>
      </c>
      <c r="I4441" s="17"/>
      <c r="J4441" s="17"/>
      <c r="P4441" s="17"/>
      <c r="Q4441" s="17"/>
    </row>
    <row r="4442" spans="2:17">
      <c r="B4442" s="17"/>
      <c r="C4442" s="16" t="str">
        <f>IFERROR(VLOOKUP(DATA!#REF!,DATA!#REF!,1,FALSE),"")</f>
        <v/>
      </c>
      <c r="D4442" s="16" t="str">
        <f>IFERROR(VLOOKUP(C4442,DATA!#REF!,2,FALSE),"")</f>
        <v/>
      </c>
      <c r="I4442" s="17"/>
      <c r="J4442" s="17"/>
      <c r="P4442" s="17"/>
      <c r="Q4442" s="17"/>
    </row>
    <row r="4443" spans="2:17">
      <c r="B4443" s="17"/>
      <c r="C4443" s="16" t="str">
        <f>IFERROR(VLOOKUP(DATA!#REF!,DATA!#REF!,1,FALSE),"")</f>
        <v/>
      </c>
      <c r="D4443" s="16" t="str">
        <f>IFERROR(VLOOKUP(C4443,DATA!#REF!,2,FALSE),"")</f>
        <v/>
      </c>
      <c r="I4443" s="17"/>
      <c r="J4443" s="17"/>
      <c r="P4443" s="17"/>
      <c r="Q4443" s="17"/>
    </row>
    <row r="4444" spans="2:17">
      <c r="B4444" s="17"/>
      <c r="C4444" s="16" t="str">
        <f>IFERROR(VLOOKUP(DATA!#REF!,DATA!#REF!,1,FALSE),"")</f>
        <v/>
      </c>
      <c r="D4444" s="16" t="str">
        <f>IFERROR(VLOOKUP(C4444,DATA!#REF!,2,FALSE),"")</f>
        <v/>
      </c>
      <c r="I4444" s="17"/>
      <c r="J4444" s="17"/>
      <c r="P4444" s="17"/>
      <c r="Q4444" s="17"/>
    </row>
    <row r="4445" spans="2:17">
      <c r="B4445" s="17"/>
      <c r="C4445" s="16" t="str">
        <f>IFERROR(VLOOKUP(DATA!#REF!,DATA!#REF!,1,FALSE),"")</f>
        <v/>
      </c>
      <c r="D4445" s="16" t="str">
        <f>IFERROR(VLOOKUP(C4445,DATA!#REF!,2,FALSE),"")</f>
        <v/>
      </c>
      <c r="I4445" s="17"/>
      <c r="J4445" s="17"/>
      <c r="P4445" s="17"/>
      <c r="Q4445" s="17"/>
    </row>
    <row r="4446" spans="2:17">
      <c r="B4446" s="17"/>
      <c r="C4446" s="16" t="str">
        <f>IFERROR(VLOOKUP(DATA!#REF!,DATA!#REF!,1,FALSE),"")</f>
        <v/>
      </c>
      <c r="D4446" s="16" t="str">
        <f>IFERROR(VLOOKUP(C4446,DATA!#REF!,2,FALSE),"")</f>
        <v/>
      </c>
      <c r="I4446" s="17"/>
      <c r="J4446" s="17"/>
      <c r="P4446" s="17"/>
      <c r="Q4446" s="17"/>
    </row>
    <row r="4447" spans="2:17">
      <c r="B4447" s="17"/>
      <c r="C4447" s="16" t="str">
        <f>IFERROR(VLOOKUP(DATA!#REF!,DATA!#REF!,1,FALSE),"")</f>
        <v/>
      </c>
      <c r="D4447" s="16" t="str">
        <f>IFERROR(VLOOKUP(C4447,DATA!#REF!,2,FALSE),"")</f>
        <v/>
      </c>
      <c r="I4447" s="17"/>
      <c r="J4447" s="17"/>
      <c r="P4447" s="17"/>
      <c r="Q4447" s="17"/>
    </row>
    <row r="4448" spans="2:17">
      <c r="B4448" s="17"/>
      <c r="C4448" s="16" t="str">
        <f>IFERROR(VLOOKUP(DATA!#REF!,DATA!#REF!,1,FALSE),"")</f>
        <v/>
      </c>
      <c r="D4448" s="16" t="str">
        <f>IFERROR(VLOOKUP(C4448,DATA!#REF!,2,FALSE),"")</f>
        <v/>
      </c>
      <c r="I4448" s="17"/>
      <c r="J4448" s="17"/>
      <c r="P4448" s="17"/>
      <c r="Q4448" s="17"/>
    </row>
    <row r="4449" spans="2:17">
      <c r="B4449" s="17"/>
      <c r="C4449" s="16" t="str">
        <f>IFERROR(VLOOKUP(DATA!#REF!,DATA!#REF!,1,FALSE),"")</f>
        <v/>
      </c>
      <c r="D4449" s="16" t="str">
        <f>IFERROR(VLOOKUP(C4449,DATA!#REF!,2,FALSE),"")</f>
        <v/>
      </c>
      <c r="I4449" s="17"/>
      <c r="J4449" s="17"/>
      <c r="P4449" s="17"/>
      <c r="Q4449" s="17"/>
    </row>
    <row r="4450" spans="2:17">
      <c r="B4450" s="17"/>
      <c r="C4450" s="16" t="str">
        <f>IFERROR(VLOOKUP(DATA!#REF!,DATA!#REF!,1,FALSE),"")</f>
        <v/>
      </c>
      <c r="D4450" s="16" t="str">
        <f>IFERROR(VLOOKUP(C4450,DATA!#REF!,2,FALSE),"")</f>
        <v/>
      </c>
      <c r="I4450" s="17"/>
      <c r="J4450" s="17"/>
      <c r="P4450" s="17"/>
      <c r="Q4450" s="17"/>
    </row>
    <row r="4451" spans="2:17">
      <c r="B4451" s="17"/>
      <c r="C4451" s="16" t="str">
        <f>IFERROR(VLOOKUP(DATA!#REF!,DATA!#REF!,1,FALSE),"")</f>
        <v/>
      </c>
      <c r="D4451" s="16" t="str">
        <f>IFERROR(VLOOKUP(C4451,DATA!#REF!,2,FALSE),"")</f>
        <v/>
      </c>
      <c r="I4451" s="17"/>
      <c r="J4451" s="17"/>
      <c r="P4451" s="17"/>
      <c r="Q4451" s="17"/>
    </row>
    <row r="4452" spans="2:17">
      <c r="B4452" s="17"/>
      <c r="C4452" s="16" t="str">
        <f>IFERROR(VLOOKUP(DATA!#REF!,DATA!#REF!,1,FALSE),"")</f>
        <v/>
      </c>
      <c r="D4452" s="16" t="str">
        <f>IFERROR(VLOOKUP(C4452,DATA!#REF!,2,FALSE),"")</f>
        <v/>
      </c>
      <c r="I4452" s="17"/>
      <c r="J4452" s="17"/>
      <c r="P4452" s="17"/>
      <c r="Q4452" s="17"/>
    </row>
    <row r="4453" spans="2:17">
      <c r="B4453" s="17"/>
      <c r="C4453" s="16" t="str">
        <f>IFERROR(VLOOKUP(DATA!#REF!,DATA!#REF!,1,FALSE),"")</f>
        <v/>
      </c>
      <c r="D4453" s="16" t="str">
        <f>IFERROR(VLOOKUP(C4453,DATA!#REF!,2,FALSE),"")</f>
        <v/>
      </c>
      <c r="I4453" s="17"/>
      <c r="J4453" s="17"/>
      <c r="P4453" s="17"/>
      <c r="Q4453" s="17"/>
    </row>
    <row r="4454" spans="2:17">
      <c r="B4454" s="17"/>
      <c r="C4454" s="16" t="str">
        <f>IFERROR(VLOOKUP(DATA!#REF!,DATA!#REF!,1,FALSE),"")</f>
        <v/>
      </c>
      <c r="D4454" s="16" t="str">
        <f>IFERROR(VLOOKUP(C4454,DATA!#REF!,2,FALSE),"")</f>
        <v/>
      </c>
      <c r="I4454" s="17"/>
      <c r="J4454" s="17"/>
      <c r="P4454" s="17"/>
      <c r="Q4454" s="17"/>
    </row>
    <row r="4455" spans="2:17">
      <c r="B4455" s="17"/>
      <c r="C4455" s="16" t="str">
        <f>IFERROR(VLOOKUP(DATA!#REF!,DATA!#REF!,1,FALSE),"")</f>
        <v/>
      </c>
      <c r="D4455" s="16" t="str">
        <f>IFERROR(VLOOKUP(C4455,DATA!#REF!,2,FALSE),"")</f>
        <v/>
      </c>
      <c r="I4455" s="17"/>
      <c r="J4455" s="17"/>
      <c r="P4455" s="17"/>
      <c r="Q4455" s="17"/>
    </row>
    <row r="4456" spans="2:17">
      <c r="B4456" s="17"/>
      <c r="C4456" s="16" t="str">
        <f>IFERROR(VLOOKUP(DATA!#REF!,DATA!#REF!,1,FALSE),"")</f>
        <v/>
      </c>
      <c r="D4456" s="16" t="str">
        <f>IFERROR(VLOOKUP(C4456,DATA!#REF!,2,FALSE),"")</f>
        <v/>
      </c>
      <c r="I4456" s="17"/>
      <c r="J4456" s="17"/>
      <c r="P4456" s="17"/>
      <c r="Q4456" s="17"/>
    </row>
    <row r="4457" spans="2:17">
      <c r="B4457" s="17"/>
      <c r="C4457" s="16" t="str">
        <f>IFERROR(VLOOKUP(DATA!#REF!,DATA!#REF!,1,FALSE),"")</f>
        <v/>
      </c>
      <c r="D4457" s="16" t="str">
        <f>IFERROR(VLOOKUP(C4457,DATA!#REF!,2,FALSE),"")</f>
        <v/>
      </c>
      <c r="I4457" s="17"/>
      <c r="J4457" s="17"/>
      <c r="P4457" s="17"/>
      <c r="Q4457" s="17"/>
    </row>
    <row r="4458" spans="2:17">
      <c r="B4458" s="17"/>
      <c r="C4458" s="16" t="str">
        <f>IFERROR(VLOOKUP(DATA!#REF!,DATA!#REF!,1,FALSE),"")</f>
        <v/>
      </c>
      <c r="D4458" s="16" t="str">
        <f>IFERROR(VLOOKUP(C4458,DATA!#REF!,2,FALSE),"")</f>
        <v/>
      </c>
      <c r="I4458" s="17"/>
      <c r="J4458" s="17"/>
      <c r="P4458" s="17"/>
      <c r="Q4458" s="17"/>
    </row>
    <row r="4459" spans="2:17">
      <c r="B4459" s="17"/>
      <c r="C4459" s="16" t="str">
        <f>IFERROR(VLOOKUP(DATA!#REF!,DATA!#REF!,1,FALSE),"")</f>
        <v/>
      </c>
      <c r="D4459" s="16" t="str">
        <f>IFERROR(VLOOKUP(C4459,DATA!#REF!,2,FALSE),"")</f>
        <v/>
      </c>
      <c r="I4459" s="17"/>
      <c r="J4459" s="17"/>
      <c r="P4459" s="17"/>
      <c r="Q4459" s="17"/>
    </row>
    <row r="4460" spans="2:17">
      <c r="B4460" s="17"/>
      <c r="C4460" s="16" t="str">
        <f>IFERROR(VLOOKUP(DATA!#REF!,DATA!#REF!,1,FALSE),"")</f>
        <v/>
      </c>
      <c r="D4460" s="16" t="str">
        <f>IFERROR(VLOOKUP(C4460,DATA!#REF!,2,FALSE),"")</f>
        <v/>
      </c>
      <c r="I4460" s="17"/>
      <c r="J4460" s="17"/>
      <c r="P4460" s="17"/>
      <c r="Q4460" s="17"/>
    </row>
    <row r="4461" spans="2:17">
      <c r="B4461" s="17"/>
      <c r="C4461" s="16" t="str">
        <f>IFERROR(VLOOKUP(DATA!#REF!,DATA!#REF!,1,FALSE),"")</f>
        <v/>
      </c>
      <c r="D4461" s="16" t="str">
        <f>IFERROR(VLOOKUP(C4461,DATA!#REF!,2,FALSE),"")</f>
        <v/>
      </c>
      <c r="I4461" s="17"/>
      <c r="J4461" s="17"/>
      <c r="P4461" s="17"/>
      <c r="Q4461" s="17"/>
    </row>
    <row r="4462" spans="2:17">
      <c r="B4462" s="17"/>
      <c r="C4462" s="16" t="str">
        <f>IFERROR(VLOOKUP(DATA!#REF!,DATA!#REF!,1,FALSE),"")</f>
        <v/>
      </c>
      <c r="D4462" s="16" t="str">
        <f>IFERROR(VLOOKUP(C4462,DATA!#REF!,2,FALSE),"")</f>
        <v/>
      </c>
      <c r="I4462" s="17"/>
      <c r="J4462" s="17"/>
      <c r="P4462" s="17"/>
      <c r="Q4462" s="17"/>
    </row>
    <row r="4463" spans="2:17">
      <c r="B4463" s="17"/>
      <c r="C4463" s="16" t="str">
        <f>IFERROR(VLOOKUP(DATA!#REF!,DATA!#REF!,1,FALSE),"")</f>
        <v/>
      </c>
      <c r="D4463" s="16" t="str">
        <f>IFERROR(VLOOKUP(C4463,DATA!#REF!,2,FALSE),"")</f>
        <v/>
      </c>
      <c r="I4463" s="17"/>
      <c r="J4463" s="17"/>
      <c r="P4463" s="17"/>
      <c r="Q4463" s="17"/>
    </row>
    <row r="4464" spans="2:17">
      <c r="B4464" s="17"/>
      <c r="C4464" s="16" t="str">
        <f>IFERROR(VLOOKUP(DATA!#REF!,DATA!#REF!,1,FALSE),"")</f>
        <v/>
      </c>
      <c r="D4464" s="16" t="str">
        <f>IFERROR(VLOOKUP(C4464,DATA!#REF!,2,FALSE),"")</f>
        <v/>
      </c>
      <c r="I4464" s="17"/>
      <c r="J4464" s="17"/>
      <c r="P4464" s="17"/>
      <c r="Q4464" s="17"/>
    </row>
    <row r="4465" spans="2:17">
      <c r="B4465" s="17"/>
      <c r="C4465" s="16" t="str">
        <f>IFERROR(VLOOKUP(DATA!#REF!,DATA!#REF!,1,FALSE),"")</f>
        <v/>
      </c>
      <c r="D4465" s="16" t="str">
        <f>IFERROR(VLOOKUP(C4465,DATA!#REF!,2,FALSE),"")</f>
        <v/>
      </c>
      <c r="I4465" s="17"/>
      <c r="J4465" s="17"/>
      <c r="P4465" s="17"/>
      <c r="Q4465" s="17"/>
    </row>
    <row r="4466" spans="2:17">
      <c r="B4466" s="17"/>
      <c r="C4466" s="16" t="str">
        <f>IFERROR(VLOOKUP(DATA!#REF!,DATA!#REF!,1,FALSE),"")</f>
        <v/>
      </c>
      <c r="D4466" s="16" t="str">
        <f>IFERROR(VLOOKUP(C4466,DATA!#REF!,2,FALSE),"")</f>
        <v/>
      </c>
      <c r="I4466" s="17"/>
      <c r="J4466" s="17"/>
      <c r="P4466" s="17"/>
      <c r="Q4466" s="17"/>
    </row>
    <row r="4467" spans="2:17">
      <c r="B4467" s="17"/>
      <c r="C4467" s="16" t="str">
        <f>IFERROR(VLOOKUP(DATA!#REF!,DATA!#REF!,1,FALSE),"")</f>
        <v/>
      </c>
      <c r="D4467" s="16" t="str">
        <f>IFERROR(VLOOKUP(C4467,DATA!#REF!,2,FALSE),"")</f>
        <v/>
      </c>
      <c r="I4467" s="17"/>
      <c r="J4467" s="17"/>
      <c r="P4467" s="17"/>
      <c r="Q4467" s="17"/>
    </row>
    <row r="4468" spans="2:17">
      <c r="B4468" s="17"/>
      <c r="C4468" s="16" t="str">
        <f>IFERROR(VLOOKUP(DATA!#REF!,DATA!#REF!,1,FALSE),"")</f>
        <v/>
      </c>
      <c r="D4468" s="16" t="str">
        <f>IFERROR(VLOOKUP(C4468,DATA!#REF!,2,FALSE),"")</f>
        <v/>
      </c>
      <c r="I4468" s="17"/>
      <c r="J4468" s="17"/>
      <c r="P4468" s="17"/>
      <c r="Q4468" s="17"/>
    </row>
    <row r="4469" spans="2:17">
      <c r="B4469" s="17"/>
      <c r="C4469" s="16" t="str">
        <f>IFERROR(VLOOKUP(DATA!#REF!,DATA!#REF!,1,FALSE),"")</f>
        <v/>
      </c>
      <c r="D4469" s="16" t="str">
        <f>IFERROR(VLOOKUP(C4469,DATA!#REF!,2,FALSE),"")</f>
        <v/>
      </c>
      <c r="I4469" s="17"/>
      <c r="J4469" s="17"/>
      <c r="P4469" s="17"/>
      <c r="Q4469" s="17"/>
    </row>
    <row r="4470" spans="2:17">
      <c r="B4470" s="17"/>
      <c r="C4470" s="16" t="str">
        <f>IFERROR(VLOOKUP(DATA!#REF!,DATA!#REF!,1,FALSE),"")</f>
        <v/>
      </c>
      <c r="D4470" s="16" t="str">
        <f>IFERROR(VLOOKUP(C4470,DATA!#REF!,2,FALSE),"")</f>
        <v/>
      </c>
      <c r="I4470" s="17"/>
      <c r="J4470" s="17"/>
      <c r="P4470" s="17"/>
      <c r="Q4470" s="17"/>
    </row>
    <row r="4471" spans="2:17">
      <c r="B4471" s="17"/>
      <c r="C4471" s="16" t="str">
        <f>IFERROR(VLOOKUP(DATA!#REF!,DATA!#REF!,1,FALSE),"")</f>
        <v/>
      </c>
      <c r="D4471" s="16" t="str">
        <f>IFERROR(VLOOKUP(C4471,DATA!#REF!,2,FALSE),"")</f>
        <v/>
      </c>
      <c r="I4471" s="17"/>
      <c r="J4471" s="17"/>
      <c r="P4471" s="17"/>
      <c r="Q4471" s="17"/>
    </row>
    <row r="4472" spans="2:17">
      <c r="B4472" s="17"/>
      <c r="C4472" s="16" t="str">
        <f>IFERROR(VLOOKUP(DATA!#REF!,DATA!#REF!,1,FALSE),"")</f>
        <v/>
      </c>
      <c r="D4472" s="16" t="str">
        <f>IFERROR(VLOOKUP(C4472,DATA!#REF!,2,FALSE),"")</f>
        <v/>
      </c>
      <c r="I4472" s="17"/>
      <c r="J4472" s="17"/>
      <c r="P4472" s="17"/>
      <c r="Q4472" s="17"/>
    </row>
    <row r="4473" spans="2:17">
      <c r="B4473" s="17"/>
      <c r="C4473" s="16" t="str">
        <f>IFERROR(VLOOKUP(DATA!#REF!,DATA!#REF!,1,FALSE),"")</f>
        <v/>
      </c>
      <c r="D4473" s="16" t="str">
        <f>IFERROR(VLOOKUP(C4473,DATA!#REF!,2,FALSE),"")</f>
        <v/>
      </c>
      <c r="I4473" s="17"/>
      <c r="J4473" s="17"/>
      <c r="P4473" s="17"/>
      <c r="Q4473" s="17"/>
    </row>
    <row r="4474" spans="2:17">
      <c r="B4474" s="17"/>
      <c r="C4474" s="16" t="str">
        <f>IFERROR(VLOOKUP(DATA!#REF!,DATA!#REF!,1,FALSE),"")</f>
        <v/>
      </c>
      <c r="D4474" s="16" t="str">
        <f>IFERROR(VLOOKUP(C4474,DATA!#REF!,2,FALSE),"")</f>
        <v/>
      </c>
      <c r="I4474" s="17"/>
      <c r="J4474" s="17"/>
      <c r="P4474" s="17"/>
      <c r="Q4474" s="17"/>
    </row>
    <row r="4475" spans="2:17">
      <c r="B4475" s="17"/>
      <c r="C4475" s="16" t="str">
        <f>IFERROR(VLOOKUP(DATA!#REF!,DATA!#REF!,1,FALSE),"")</f>
        <v/>
      </c>
      <c r="D4475" s="16" t="str">
        <f>IFERROR(VLOOKUP(C4475,DATA!#REF!,2,FALSE),"")</f>
        <v/>
      </c>
      <c r="I4475" s="17"/>
      <c r="J4475" s="17"/>
      <c r="P4475" s="17"/>
      <c r="Q4475" s="17"/>
    </row>
    <row r="4476" spans="2:17">
      <c r="B4476" s="17"/>
      <c r="C4476" s="16" t="str">
        <f>IFERROR(VLOOKUP(DATA!#REF!,DATA!#REF!,1,FALSE),"")</f>
        <v/>
      </c>
      <c r="D4476" s="16" t="str">
        <f>IFERROR(VLOOKUP(C4476,DATA!#REF!,2,FALSE),"")</f>
        <v/>
      </c>
      <c r="I4476" s="17"/>
      <c r="J4476" s="17"/>
      <c r="P4476" s="17"/>
      <c r="Q4476" s="17"/>
    </row>
    <row r="4477" spans="2:17">
      <c r="B4477" s="17"/>
      <c r="C4477" s="16" t="str">
        <f>IFERROR(VLOOKUP(DATA!#REF!,DATA!#REF!,1,FALSE),"")</f>
        <v/>
      </c>
      <c r="D4477" s="16" t="str">
        <f>IFERROR(VLOOKUP(C4477,DATA!#REF!,2,FALSE),"")</f>
        <v/>
      </c>
      <c r="I4477" s="17"/>
      <c r="J4477" s="17"/>
      <c r="P4477" s="17"/>
      <c r="Q4477" s="17"/>
    </row>
    <row r="4478" spans="2:17">
      <c r="B4478" s="17"/>
      <c r="C4478" s="16" t="str">
        <f>IFERROR(VLOOKUP(DATA!#REF!,DATA!#REF!,1,FALSE),"")</f>
        <v/>
      </c>
      <c r="D4478" s="16" t="str">
        <f>IFERROR(VLOOKUP(C4478,DATA!#REF!,2,FALSE),"")</f>
        <v/>
      </c>
      <c r="I4478" s="17"/>
      <c r="J4478" s="17"/>
      <c r="P4478" s="17"/>
      <c r="Q4478" s="17"/>
    </row>
    <row r="4479" spans="2:17">
      <c r="B4479" s="17"/>
      <c r="C4479" s="16" t="str">
        <f>IFERROR(VLOOKUP(DATA!#REF!,DATA!#REF!,1,FALSE),"")</f>
        <v/>
      </c>
      <c r="D4479" s="16" t="str">
        <f>IFERROR(VLOOKUP(C4479,DATA!#REF!,2,FALSE),"")</f>
        <v/>
      </c>
      <c r="I4479" s="17"/>
      <c r="J4479" s="17"/>
      <c r="P4479" s="17"/>
      <c r="Q4479" s="17"/>
    </row>
    <row r="4480" spans="2:17">
      <c r="B4480" s="17"/>
      <c r="C4480" s="16" t="str">
        <f>IFERROR(VLOOKUP(DATA!#REF!,DATA!#REF!,1,FALSE),"")</f>
        <v/>
      </c>
      <c r="D4480" s="16" t="str">
        <f>IFERROR(VLOOKUP(C4480,DATA!#REF!,2,FALSE),"")</f>
        <v/>
      </c>
      <c r="I4480" s="17"/>
      <c r="J4480" s="17"/>
      <c r="P4480" s="17"/>
      <c r="Q4480" s="17"/>
    </row>
    <row r="4481" spans="2:17">
      <c r="B4481" s="17"/>
      <c r="C4481" s="16" t="str">
        <f>IFERROR(VLOOKUP(DATA!#REF!,DATA!#REF!,1,FALSE),"")</f>
        <v/>
      </c>
      <c r="D4481" s="16" t="str">
        <f>IFERROR(VLOOKUP(C4481,DATA!#REF!,2,FALSE),"")</f>
        <v/>
      </c>
      <c r="I4481" s="17"/>
      <c r="J4481" s="17"/>
      <c r="P4481" s="17"/>
      <c r="Q4481" s="17"/>
    </row>
    <row r="4482" spans="2:17">
      <c r="B4482" s="17"/>
      <c r="C4482" s="16" t="str">
        <f>IFERROR(VLOOKUP(DATA!#REF!,DATA!#REF!,1,FALSE),"")</f>
        <v/>
      </c>
      <c r="D4482" s="16" t="str">
        <f>IFERROR(VLOOKUP(C4482,DATA!#REF!,2,FALSE),"")</f>
        <v/>
      </c>
      <c r="I4482" s="17"/>
      <c r="J4482" s="17"/>
      <c r="P4482" s="17"/>
      <c r="Q4482" s="17"/>
    </row>
    <row r="4483" spans="2:17">
      <c r="B4483" s="17"/>
      <c r="C4483" s="16" t="str">
        <f>IFERROR(VLOOKUP(DATA!#REF!,DATA!#REF!,1,FALSE),"")</f>
        <v/>
      </c>
      <c r="D4483" s="16" t="str">
        <f>IFERROR(VLOOKUP(C4483,DATA!#REF!,2,FALSE),"")</f>
        <v/>
      </c>
      <c r="I4483" s="17"/>
      <c r="J4483" s="17"/>
      <c r="P4483" s="17"/>
      <c r="Q4483" s="17"/>
    </row>
    <row r="4484" spans="2:17">
      <c r="B4484" s="17"/>
      <c r="C4484" s="16" t="str">
        <f>IFERROR(VLOOKUP(DATA!#REF!,DATA!#REF!,1,FALSE),"")</f>
        <v/>
      </c>
      <c r="D4484" s="16" t="str">
        <f>IFERROR(VLOOKUP(C4484,DATA!#REF!,2,FALSE),"")</f>
        <v/>
      </c>
      <c r="I4484" s="17"/>
      <c r="J4484" s="17"/>
      <c r="P4484" s="17"/>
      <c r="Q4484" s="17"/>
    </row>
    <row r="4485" spans="2:17">
      <c r="B4485" s="17"/>
      <c r="C4485" s="16" t="str">
        <f>IFERROR(VLOOKUP(DATA!#REF!,DATA!#REF!,1,FALSE),"")</f>
        <v/>
      </c>
      <c r="D4485" s="16" t="str">
        <f>IFERROR(VLOOKUP(C4485,DATA!#REF!,2,FALSE),"")</f>
        <v/>
      </c>
      <c r="I4485" s="17"/>
      <c r="J4485" s="17"/>
      <c r="P4485" s="17"/>
      <c r="Q4485" s="17"/>
    </row>
    <row r="4486" spans="2:17">
      <c r="B4486" s="17"/>
      <c r="C4486" s="16" t="str">
        <f>IFERROR(VLOOKUP(DATA!#REF!,DATA!#REF!,1,FALSE),"")</f>
        <v/>
      </c>
      <c r="D4486" s="16" t="str">
        <f>IFERROR(VLOOKUP(C4486,DATA!#REF!,2,FALSE),"")</f>
        <v/>
      </c>
      <c r="I4486" s="17"/>
      <c r="J4486" s="17"/>
      <c r="P4486" s="17"/>
      <c r="Q4486" s="17"/>
    </row>
    <row r="4487" spans="2:17">
      <c r="B4487" s="17"/>
      <c r="C4487" s="16" t="str">
        <f>IFERROR(VLOOKUP(DATA!#REF!,DATA!#REF!,1,FALSE),"")</f>
        <v/>
      </c>
      <c r="D4487" s="16" t="str">
        <f>IFERROR(VLOOKUP(C4487,DATA!#REF!,2,FALSE),"")</f>
        <v/>
      </c>
      <c r="I4487" s="17"/>
      <c r="J4487" s="17"/>
      <c r="P4487" s="17"/>
      <c r="Q4487" s="17"/>
    </row>
    <row r="4488" spans="2:17">
      <c r="B4488" s="17"/>
      <c r="C4488" s="16" t="str">
        <f>IFERROR(VLOOKUP(DATA!#REF!,DATA!#REF!,1,FALSE),"")</f>
        <v/>
      </c>
      <c r="D4488" s="16" t="str">
        <f>IFERROR(VLOOKUP(C4488,DATA!#REF!,2,FALSE),"")</f>
        <v/>
      </c>
      <c r="I4488" s="17"/>
      <c r="J4488" s="17"/>
      <c r="P4488" s="17"/>
      <c r="Q4488" s="17"/>
    </row>
    <row r="4489" spans="2:17">
      <c r="B4489" s="17"/>
      <c r="C4489" s="16" t="str">
        <f>IFERROR(VLOOKUP(DATA!#REF!,DATA!#REF!,1,FALSE),"")</f>
        <v/>
      </c>
      <c r="D4489" s="16" t="str">
        <f>IFERROR(VLOOKUP(C4489,DATA!#REF!,2,FALSE),"")</f>
        <v/>
      </c>
      <c r="I4489" s="17"/>
      <c r="J4489" s="17"/>
      <c r="P4489" s="17"/>
      <c r="Q4489" s="17"/>
    </row>
    <row r="4490" spans="2:17">
      <c r="B4490" s="17"/>
      <c r="C4490" s="16" t="str">
        <f>IFERROR(VLOOKUP(DATA!#REF!,DATA!#REF!,1,FALSE),"")</f>
        <v/>
      </c>
      <c r="D4490" s="16" t="str">
        <f>IFERROR(VLOOKUP(C4490,DATA!#REF!,2,FALSE),"")</f>
        <v/>
      </c>
      <c r="I4490" s="17"/>
      <c r="J4490" s="17"/>
      <c r="P4490" s="17"/>
      <c r="Q4490" s="17"/>
    </row>
    <row r="4491" spans="2:17">
      <c r="B4491" s="17"/>
      <c r="C4491" s="16" t="str">
        <f>IFERROR(VLOOKUP(DATA!#REF!,DATA!#REF!,1,FALSE),"")</f>
        <v/>
      </c>
      <c r="D4491" s="16" t="str">
        <f>IFERROR(VLOOKUP(C4491,DATA!#REF!,2,FALSE),"")</f>
        <v/>
      </c>
      <c r="I4491" s="17"/>
      <c r="J4491" s="17"/>
      <c r="P4491" s="17"/>
      <c r="Q4491" s="17"/>
    </row>
    <row r="4492" spans="2:17">
      <c r="B4492" s="17"/>
      <c r="C4492" s="16" t="str">
        <f>IFERROR(VLOOKUP(DATA!#REF!,DATA!#REF!,1,FALSE),"")</f>
        <v/>
      </c>
      <c r="D4492" s="16" t="str">
        <f>IFERROR(VLOOKUP(C4492,DATA!#REF!,2,FALSE),"")</f>
        <v/>
      </c>
      <c r="I4492" s="17"/>
      <c r="J4492" s="17"/>
      <c r="P4492" s="17"/>
      <c r="Q4492" s="17"/>
    </row>
    <row r="4493" spans="2:17">
      <c r="B4493" s="17"/>
      <c r="C4493" s="16" t="str">
        <f>IFERROR(VLOOKUP(DATA!#REF!,DATA!#REF!,1,FALSE),"")</f>
        <v/>
      </c>
      <c r="D4493" s="16" t="str">
        <f>IFERROR(VLOOKUP(C4493,DATA!#REF!,2,FALSE),"")</f>
        <v/>
      </c>
      <c r="I4493" s="17"/>
      <c r="J4493" s="17"/>
      <c r="P4493" s="17"/>
      <c r="Q4493" s="17"/>
    </row>
    <row r="4494" spans="2:17">
      <c r="B4494" s="17"/>
      <c r="C4494" s="16" t="str">
        <f>IFERROR(VLOOKUP(DATA!#REF!,DATA!#REF!,1,FALSE),"")</f>
        <v/>
      </c>
      <c r="D4494" s="16" t="str">
        <f>IFERROR(VLOOKUP(C4494,DATA!#REF!,2,FALSE),"")</f>
        <v/>
      </c>
      <c r="I4494" s="17"/>
      <c r="J4494" s="17"/>
      <c r="P4494" s="17"/>
      <c r="Q4494" s="17"/>
    </row>
    <row r="4495" spans="2:17">
      <c r="B4495" s="17"/>
      <c r="C4495" s="16" t="str">
        <f>IFERROR(VLOOKUP(DATA!#REF!,DATA!#REF!,1,FALSE),"")</f>
        <v/>
      </c>
      <c r="D4495" s="16" t="str">
        <f>IFERROR(VLOOKUP(C4495,DATA!#REF!,2,FALSE),"")</f>
        <v/>
      </c>
      <c r="I4495" s="17"/>
      <c r="J4495" s="17"/>
      <c r="P4495" s="17"/>
      <c r="Q4495" s="17"/>
    </row>
    <row r="4496" spans="2:17">
      <c r="B4496" s="17"/>
      <c r="C4496" s="16" t="str">
        <f>IFERROR(VLOOKUP(DATA!#REF!,DATA!#REF!,1,FALSE),"")</f>
        <v/>
      </c>
      <c r="D4496" s="16" t="str">
        <f>IFERROR(VLOOKUP(C4496,DATA!#REF!,2,FALSE),"")</f>
        <v/>
      </c>
      <c r="I4496" s="17"/>
      <c r="J4496" s="17"/>
      <c r="P4496" s="17"/>
      <c r="Q4496" s="17"/>
    </row>
    <row r="4497" spans="2:17">
      <c r="B4497" s="17"/>
      <c r="C4497" s="16" t="str">
        <f>IFERROR(VLOOKUP(DATA!#REF!,DATA!#REF!,1,FALSE),"")</f>
        <v/>
      </c>
      <c r="D4497" s="16" t="str">
        <f>IFERROR(VLOOKUP(C4497,DATA!#REF!,2,FALSE),"")</f>
        <v/>
      </c>
      <c r="I4497" s="17"/>
      <c r="J4497" s="17"/>
      <c r="P4497" s="17"/>
      <c r="Q4497" s="17"/>
    </row>
    <row r="4498" spans="2:17">
      <c r="B4498" s="17"/>
      <c r="C4498" s="16" t="str">
        <f>IFERROR(VLOOKUP(DATA!#REF!,DATA!#REF!,1,FALSE),"")</f>
        <v/>
      </c>
      <c r="D4498" s="16" t="str">
        <f>IFERROR(VLOOKUP(C4498,DATA!#REF!,2,FALSE),"")</f>
        <v/>
      </c>
      <c r="I4498" s="17"/>
      <c r="J4498" s="17"/>
      <c r="P4498" s="17"/>
      <c r="Q4498" s="17"/>
    </row>
    <row r="4499" spans="2:17">
      <c r="B4499" s="17"/>
      <c r="C4499" s="16" t="str">
        <f>IFERROR(VLOOKUP(DATA!#REF!,DATA!#REF!,1,FALSE),"")</f>
        <v/>
      </c>
      <c r="D4499" s="16" t="str">
        <f>IFERROR(VLOOKUP(C4499,DATA!#REF!,2,FALSE),"")</f>
        <v/>
      </c>
      <c r="I4499" s="17"/>
      <c r="J4499" s="17"/>
      <c r="P4499" s="17"/>
      <c r="Q4499" s="17"/>
    </row>
    <row r="4500" spans="2:17">
      <c r="B4500" s="17"/>
      <c r="C4500" s="16" t="str">
        <f>IFERROR(VLOOKUP(DATA!#REF!,DATA!#REF!,1,FALSE),"")</f>
        <v/>
      </c>
      <c r="D4500" s="16" t="str">
        <f>IFERROR(VLOOKUP(C4500,DATA!#REF!,2,FALSE),"")</f>
        <v/>
      </c>
      <c r="I4500" s="17"/>
      <c r="J4500" s="17"/>
      <c r="P4500" s="17"/>
      <c r="Q4500" s="17"/>
    </row>
    <row r="4501" spans="2:17">
      <c r="B4501" s="17"/>
      <c r="C4501" s="16" t="str">
        <f>IFERROR(VLOOKUP(DATA!#REF!,DATA!#REF!,1,FALSE),"")</f>
        <v/>
      </c>
      <c r="D4501" s="16" t="str">
        <f>IFERROR(VLOOKUP(C4501,DATA!#REF!,2,FALSE),"")</f>
        <v/>
      </c>
      <c r="I4501" s="17"/>
      <c r="J4501" s="17"/>
      <c r="P4501" s="17"/>
      <c r="Q4501" s="17"/>
    </row>
    <row r="4502" spans="2:17">
      <c r="B4502" s="17"/>
      <c r="C4502" s="16" t="str">
        <f>IFERROR(VLOOKUP(DATA!#REF!,DATA!#REF!,1,FALSE),"")</f>
        <v/>
      </c>
      <c r="D4502" s="16" t="str">
        <f>IFERROR(VLOOKUP(C4502,DATA!#REF!,2,FALSE),"")</f>
        <v/>
      </c>
      <c r="I4502" s="17"/>
      <c r="J4502" s="17"/>
      <c r="P4502" s="17"/>
      <c r="Q4502" s="17"/>
    </row>
    <row r="4503" spans="2:17">
      <c r="B4503" s="17"/>
      <c r="C4503" s="16" t="str">
        <f>IFERROR(VLOOKUP(DATA!#REF!,DATA!#REF!,1,FALSE),"")</f>
        <v/>
      </c>
      <c r="D4503" s="16" t="str">
        <f>IFERROR(VLOOKUP(C4503,DATA!#REF!,2,FALSE),"")</f>
        <v/>
      </c>
      <c r="I4503" s="17"/>
      <c r="J4503" s="17"/>
      <c r="P4503" s="17"/>
      <c r="Q4503" s="17"/>
    </row>
    <row r="4504" spans="2:17">
      <c r="B4504" s="17"/>
      <c r="C4504" s="16" t="str">
        <f>IFERROR(VLOOKUP(DATA!#REF!,DATA!#REF!,1,FALSE),"")</f>
        <v/>
      </c>
      <c r="D4504" s="16" t="str">
        <f>IFERROR(VLOOKUP(C4504,DATA!#REF!,2,FALSE),"")</f>
        <v/>
      </c>
      <c r="I4504" s="17"/>
      <c r="J4504" s="17"/>
      <c r="P4504" s="17"/>
      <c r="Q4504" s="17"/>
    </row>
    <row r="4505" spans="2:17">
      <c r="B4505" s="17"/>
      <c r="C4505" s="16" t="str">
        <f>IFERROR(VLOOKUP(DATA!#REF!,DATA!#REF!,1,FALSE),"")</f>
        <v/>
      </c>
      <c r="D4505" s="16" t="str">
        <f>IFERROR(VLOOKUP(C4505,DATA!#REF!,2,FALSE),"")</f>
        <v/>
      </c>
      <c r="I4505" s="17"/>
      <c r="J4505" s="17"/>
      <c r="P4505" s="17"/>
      <c r="Q4505" s="17"/>
    </row>
    <row r="4506" spans="2:17">
      <c r="B4506" s="17"/>
      <c r="C4506" s="16" t="str">
        <f>IFERROR(VLOOKUP(DATA!#REF!,DATA!#REF!,1,FALSE),"")</f>
        <v/>
      </c>
      <c r="D4506" s="16" t="str">
        <f>IFERROR(VLOOKUP(C4506,DATA!#REF!,2,FALSE),"")</f>
        <v/>
      </c>
      <c r="I4506" s="17"/>
      <c r="J4506" s="17"/>
      <c r="P4506" s="17"/>
      <c r="Q4506" s="17"/>
    </row>
    <row r="4507" spans="2:17">
      <c r="B4507" s="17"/>
      <c r="C4507" s="16" t="str">
        <f>IFERROR(VLOOKUP(DATA!#REF!,DATA!#REF!,1,FALSE),"")</f>
        <v/>
      </c>
      <c r="D4507" s="16" t="str">
        <f>IFERROR(VLOOKUP(C4507,DATA!#REF!,2,FALSE),"")</f>
        <v/>
      </c>
      <c r="I4507" s="17"/>
      <c r="J4507" s="17"/>
      <c r="P4507" s="17"/>
      <c r="Q4507" s="17"/>
    </row>
    <row r="4508" spans="2:17">
      <c r="B4508" s="17"/>
      <c r="C4508" s="16" t="str">
        <f>IFERROR(VLOOKUP(DATA!#REF!,DATA!#REF!,1,FALSE),"")</f>
        <v/>
      </c>
      <c r="D4508" s="16" t="str">
        <f>IFERROR(VLOOKUP(C4508,DATA!#REF!,2,FALSE),"")</f>
        <v/>
      </c>
      <c r="I4508" s="17"/>
      <c r="J4508" s="17"/>
      <c r="P4508" s="17"/>
      <c r="Q4508" s="17"/>
    </row>
    <row r="4509" spans="2:17">
      <c r="B4509" s="17"/>
      <c r="C4509" s="16" t="str">
        <f>IFERROR(VLOOKUP(DATA!#REF!,DATA!#REF!,1,FALSE),"")</f>
        <v/>
      </c>
      <c r="D4509" s="16" t="str">
        <f>IFERROR(VLOOKUP(C4509,DATA!#REF!,2,FALSE),"")</f>
        <v/>
      </c>
      <c r="I4509" s="17"/>
      <c r="J4509" s="17"/>
      <c r="P4509" s="17"/>
      <c r="Q4509" s="17"/>
    </row>
    <row r="4510" spans="2:17">
      <c r="B4510" s="17"/>
      <c r="C4510" s="16" t="str">
        <f>IFERROR(VLOOKUP(DATA!#REF!,DATA!#REF!,1,FALSE),"")</f>
        <v/>
      </c>
      <c r="D4510" s="16" t="str">
        <f>IFERROR(VLOOKUP(C4510,DATA!#REF!,2,FALSE),"")</f>
        <v/>
      </c>
      <c r="I4510" s="17"/>
      <c r="J4510" s="17"/>
      <c r="P4510" s="17"/>
      <c r="Q4510" s="17"/>
    </row>
    <row r="4511" spans="2:17">
      <c r="B4511" s="17"/>
      <c r="C4511" s="16" t="str">
        <f>IFERROR(VLOOKUP(DATA!#REF!,DATA!#REF!,1,FALSE),"")</f>
        <v/>
      </c>
      <c r="D4511" s="16" t="str">
        <f>IFERROR(VLOOKUP(C4511,DATA!#REF!,2,FALSE),"")</f>
        <v/>
      </c>
      <c r="I4511" s="17"/>
      <c r="J4511" s="17"/>
      <c r="P4511" s="17"/>
      <c r="Q4511" s="17"/>
    </row>
    <row r="4512" spans="2:17">
      <c r="B4512" s="17"/>
      <c r="C4512" s="16" t="str">
        <f>IFERROR(VLOOKUP(DATA!#REF!,DATA!#REF!,1,FALSE),"")</f>
        <v/>
      </c>
      <c r="D4512" s="16" t="str">
        <f>IFERROR(VLOOKUP(C4512,DATA!#REF!,2,FALSE),"")</f>
        <v/>
      </c>
      <c r="I4512" s="17"/>
      <c r="J4512" s="17"/>
      <c r="P4512" s="17"/>
      <c r="Q4512" s="17"/>
    </row>
    <row r="4513" spans="2:17">
      <c r="B4513" s="17"/>
      <c r="C4513" s="16" t="str">
        <f>IFERROR(VLOOKUP(DATA!#REF!,DATA!#REF!,1,FALSE),"")</f>
        <v/>
      </c>
      <c r="D4513" s="16" t="str">
        <f>IFERROR(VLOOKUP(C4513,DATA!#REF!,2,FALSE),"")</f>
        <v/>
      </c>
      <c r="I4513" s="17"/>
      <c r="J4513" s="17"/>
      <c r="P4513" s="17"/>
      <c r="Q4513" s="17"/>
    </row>
    <row r="4514" spans="2:17">
      <c r="B4514" s="17"/>
      <c r="C4514" s="16" t="str">
        <f>IFERROR(VLOOKUP(DATA!#REF!,DATA!#REF!,1,FALSE),"")</f>
        <v/>
      </c>
      <c r="D4514" s="16" t="str">
        <f>IFERROR(VLOOKUP(C4514,DATA!#REF!,2,FALSE),"")</f>
        <v/>
      </c>
      <c r="I4514" s="17"/>
      <c r="J4514" s="17"/>
      <c r="P4514" s="17"/>
      <c r="Q4514" s="17"/>
    </row>
    <row r="4515" spans="2:17">
      <c r="B4515" s="17"/>
      <c r="C4515" s="16" t="str">
        <f>IFERROR(VLOOKUP(DATA!#REF!,DATA!#REF!,1,FALSE),"")</f>
        <v/>
      </c>
      <c r="D4515" s="16" t="str">
        <f>IFERROR(VLOOKUP(C4515,DATA!#REF!,2,FALSE),"")</f>
        <v/>
      </c>
      <c r="I4515" s="17"/>
      <c r="J4515" s="17"/>
      <c r="P4515" s="17"/>
      <c r="Q4515" s="17"/>
    </row>
    <row r="4516" spans="2:17">
      <c r="B4516" s="17"/>
      <c r="C4516" s="16" t="str">
        <f>IFERROR(VLOOKUP(DATA!#REF!,DATA!#REF!,1,FALSE),"")</f>
        <v/>
      </c>
      <c r="D4516" s="16" t="str">
        <f>IFERROR(VLOOKUP(C4516,DATA!#REF!,2,FALSE),"")</f>
        <v/>
      </c>
      <c r="I4516" s="17"/>
      <c r="J4516" s="17"/>
      <c r="P4516" s="17"/>
      <c r="Q4516" s="17"/>
    </row>
    <row r="4517" spans="2:17">
      <c r="B4517" s="17"/>
      <c r="C4517" s="16" t="str">
        <f>IFERROR(VLOOKUP(DATA!#REF!,DATA!#REF!,1,FALSE),"")</f>
        <v/>
      </c>
      <c r="D4517" s="16" t="str">
        <f>IFERROR(VLOOKUP(C4517,DATA!#REF!,2,FALSE),"")</f>
        <v/>
      </c>
      <c r="I4517" s="17"/>
      <c r="J4517" s="17"/>
      <c r="P4517" s="17"/>
      <c r="Q4517" s="17"/>
    </row>
    <row r="4518" spans="2:17">
      <c r="B4518" s="17"/>
      <c r="C4518" s="16" t="str">
        <f>IFERROR(VLOOKUP(DATA!#REF!,DATA!#REF!,1,FALSE),"")</f>
        <v/>
      </c>
      <c r="D4518" s="16" t="str">
        <f>IFERROR(VLOOKUP(C4518,DATA!#REF!,2,FALSE),"")</f>
        <v/>
      </c>
      <c r="I4518" s="17"/>
      <c r="J4518" s="17"/>
      <c r="P4518" s="17"/>
      <c r="Q4518" s="17"/>
    </row>
    <row r="4519" spans="2:17">
      <c r="B4519" s="17"/>
      <c r="C4519" s="16" t="str">
        <f>IFERROR(VLOOKUP(DATA!#REF!,DATA!#REF!,1,FALSE),"")</f>
        <v/>
      </c>
      <c r="D4519" s="16" t="str">
        <f>IFERROR(VLOOKUP(C4519,DATA!#REF!,2,FALSE),"")</f>
        <v/>
      </c>
      <c r="I4519" s="17"/>
      <c r="J4519" s="17"/>
      <c r="P4519" s="17"/>
      <c r="Q4519" s="17"/>
    </row>
    <row r="4520" spans="2:17">
      <c r="B4520" s="17"/>
      <c r="C4520" s="16" t="str">
        <f>IFERROR(VLOOKUP(DATA!#REF!,DATA!#REF!,1,FALSE),"")</f>
        <v/>
      </c>
      <c r="D4520" s="16" t="str">
        <f>IFERROR(VLOOKUP(C4520,DATA!#REF!,2,FALSE),"")</f>
        <v/>
      </c>
      <c r="I4520" s="17"/>
      <c r="J4520" s="17"/>
      <c r="P4520" s="17"/>
      <c r="Q4520" s="17"/>
    </row>
    <row r="4521" spans="2:17">
      <c r="B4521" s="17"/>
      <c r="C4521" s="16" t="str">
        <f>IFERROR(VLOOKUP(DATA!#REF!,DATA!#REF!,1,FALSE),"")</f>
        <v/>
      </c>
      <c r="D4521" s="16" t="str">
        <f>IFERROR(VLOOKUP(C4521,DATA!#REF!,2,FALSE),"")</f>
        <v/>
      </c>
      <c r="I4521" s="17"/>
      <c r="J4521" s="17"/>
      <c r="P4521" s="17"/>
      <c r="Q4521" s="17"/>
    </row>
    <row r="4522" spans="2:17">
      <c r="B4522" s="17"/>
      <c r="C4522" s="16" t="str">
        <f>IFERROR(VLOOKUP(DATA!#REF!,DATA!#REF!,1,FALSE),"")</f>
        <v/>
      </c>
      <c r="D4522" s="16" t="str">
        <f>IFERROR(VLOOKUP(C4522,DATA!#REF!,2,FALSE),"")</f>
        <v/>
      </c>
      <c r="I4522" s="17"/>
      <c r="J4522" s="17"/>
      <c r="P4522" s="17"/>
      <c r="Q4522" s="17"/>
    </row>
    <row r="4523" spans="2:17">
      <c r="B4523" s="17"/>
      <c r="C4523" s="16" t="str">
        <f>IFERROR(VLOOKUP(DATA!#REF!,DATA!#REF!,1,FALSE),"")</f>
        <v/>
      </c>
      <c r="D4523" s="16" t="str">
        <f>IFERROR(VLOOKUP(C4523,DATA!#REF!,2,FALSE),"")</f>
        <v/>
      </c>
      <c r="I4523" s="17"/>
      <c r="J4523" s="17"/>
      <c r="P4523" s="17"/>
      <c r="Q4523" s="17"/>
    </row>
    <row r="4524" spans="2:17">
      <c r="B4524" s="17"/>
      <c r="C4524" s="16" t="str">
        <f>IFERROR(VLOOKUP(DATA!#REF!,DATA!#REF!,1,FALSE),"")</f>
        <v/>
      </c>
      <c r="D4524" s="16" t="str">
        <f>IFERROR(VLOOKUP(C4524,DATA!#REF!,2,FALSE),"")</f>
        <v/>
      </c>
      <c r="I4524" s="17"/>
      <c r="J4524" s="17"/>
      <c r="P4524" s="17"/>
      <c r="Q4524" s="17"/>
    </row>
    <row r="4525" spans="2:17">
      <c r="B4525" s="17"/>
      <c r="C4525" s="16" t="str">
        <f>IFERROR(VLOOKUP(DATA!#REF!,DATA!#REF!,1,FALSE),"")</f>
        <v/>
      </c>
      <c r="D4525" s="16" t="str">
        <f>IFERROR(VLOOKUP(C4525,DATA!#REF!,2,FALSE),"")</f>
        <v/>
      </c>
      <c r="I4525" s="17"/>
      <c r="J4525" s="17"/>
      <c r="P4525" s="17"/>
      <c r="Q4525" s="17"/>
    </row>
    <row r="4526" spans="2:17">
      <c r="B4526" s="17"/>
      <c r="C4526" s="16" t="str">
        <f>IFERROR(VLOOKUP(DATA!#REF!,DATA!#REF!,1,FALSE),"")</f>
        <v/>
      </c>
      <c r="D4526" s="16" t="str">
        <f>IFERROR(VLOOKUP(C4526,DATA!#REF!,2,FALSE),"")</f>
        <v/>
      </c>
      <c r="I4526" s="17"/>
      <c r="J4526" s="17"/>
      <c r="P4526" s="17"/>
      <c r="Q4526" s="17"/>
    </row>
    <row r="4527" spans="2:17">
      <c r="B4527" s="17"/>
      <c r="C4527" s="16" t="str">
        <f>IFERROR(VLOOKUP(DATA!#REF!,DATA!#REF!,1,FALSE),"")</f>
        <v/>
      </c>
      <c r="D4527" s="16" t="str">
        <f>IFERROR(VLOOKUP(C4527,DATA!#REF!,2,FALSE),"")</f>
        <v/>
      </c>
      <c r="I4527" s="17"/>
      <c r="J4527" s="17"/>
      <c r="P4527" s="17"/>
      <c r="Q4527" s="17"/>
    </row>
    <row r="4528" spans="2:17">
      <c r="B4528" s="17"/>
      <c r="C4528" s="16" t="str">
        <f>IFERROR(VLOOKUP(DATA!#REF!,DATA!#REF!,1,FALSE),"")</f>
        <v/>
      </c>
      <c r="D4528" s="16" t="str">
        <f>IFERROR(VLOOKUP(C4528,DATA!#REF!,2,FALSE),"")</f>
        <v/>
      </c>
      <c r="I4528" s="17"/>
      <c r="J4528" s="17"/>
      <c r="P4528" s="17"/>
      <c r="Q4528" s="17"/>
    </row>
    <row r="4529" spans="2:17">
      <c r="B4529" s="17"/>
      <c r="C4529" s="16" t="str">
        <f>IFERROR(VLOOKUP(DATA!#REF!,DATA!#REF!,1,FALSE),"")</f>
        <v/>
      </c>
      <c r="D4529" s="16" t="str">
        <f>IFERROR(VLOOKUP(C4529,DATA!#REF!,2,FALSE),"")</f>
        <v/>
      </c>
      <c r="I4529" s="17"/>
      <c r="J4529" s="17"/>
      <c r="P4529" s="17"/>
      <c r="Q4529" s="17"/>
    </row>
    <row r="4530" spans="2:17">
      <c r="B4530" s="17"/>
      <c r="C4530" s="16" t="str">
        <f>IFERROR(VLOOKUP(DATA!#REF!,DATA!#REF!,1,FALSE),"")</f>
        <v/>
      </c>
      <c r="D4530" s="16" t="str">
        <f>IFERROR(VLOOKUP(C4530,DATA!#REF!,2,FALSE),"")</f>
        <v/>
      </c>
      <c r="I4530" s="17"/>
      <c r="J4530" s="17"/>
      <c r="P4530" s="17"/>
      <c r="Q4530" s="17"/>
    </row>
    <row r="4531" spans="2:17">
      <c r="B4531" s="17"/>
      <c r="C4531" s="16" t="str">
        <f>IFERROR(VLOOKUP(DATA!#REF!,DATA!#REF!,1,FALSE),"")</f>
        <v/>
      </c>
      <c r="D4531" s="16" t="str">
        <f>IFERROR(VLOOKUP(C4531,DATA!#REF!,2,FALSE),"")</f>
        <v/>
      </c>
      <c r="I4531" s="17"/>
      <c r="J4531" s="17"/>
      <c r="P4531" s="17"/>
      <c r="Q4531" s="17"/>
    </row>
    <row r="4532" spans="2:17">
      <c r="B4532" s="17"/>
      <c r="C4532" s="16" t="str">
        <f>IFERROR(VLOOKUP(DATA!#REF!,DATA!#REF!,1,FALSE),"")</f>
        <v/>
      </c>
      <c r="D4532" s="16" t="str">
        <f>IFERROR(VLOOKUP(C4532,DATA!#REF!,2,FALSE),"")</f>
        <v/>
      </c>
      <c r="I4532" s="17"/>
      <c r="J4532" s="17"/>
      <c r="P4532" s="17"/>
      <c r="Q4532" s="17"/>
    </row>
    <row r="4533" spans="2:17">
      <c r="B4533" s="17"/>
      <c r="C4533" s="16" t="str">
        <f>IFERROR(VLOOKUP(DATA!#REF!,DATA!#REF!,1,FALSE),"")</f>
        <v/>
      </c>
      <c r="D4533" s="16" t="str">
        <f>IFERROR(VLOOKUP(C4533,DATA!#REF!,2,FALSE),"")</f>
        <v/>
      </c>
      <c r="I4533" s="17"/>
      <c r="J4533" s="17"/>
      <c r="P4533" s="17"/>
      <c r="Q4533" s="17"/>
    </row>
    <row r="4534" spans="2:17">
      <c r="B4534" s="17"/>
      <c r="C4534" s="16" t="str">
        <f>IFERROR(VLOOKUP(DATA!#REF!,DATA!#REF!,1,FALSE),"")</f>
        <v/>
      </c>
      <c r="D4534" s="16" t="str">
        <f>IFERROR(VLOOKUP(C4534,DATA!#REF!,2,FALSE),"")</f>
        <v/>
      </c>
      <c r="I4534" s="17"/>
      <c r="J4534" s="17"/>
      <c r="P4534" s="17"/>
      <c r="Q4534" s="17"/>
    </row>
    <row r="4535" spans="2:17">
      <c r="B4535" s="17"/>
      <c r="C4535" s="16" t="str">
        <f>IFERROR(VLOOKUP(DATA!#REF!,DATA!#REF!,1,FALSE),"")</f>
        <v/>
      </c>
      <c r="D4535" s="16" t="str">
        <f>IFERROR(VLOOKUP(C4535,DATA!#REF!,2,FALSE),"")</f>
        <v/>
      </c>
      <c r="I4535" s="17"/>
      <c r="J4535" s="17"/>
      <c r="P4535" s="17"/>
      <c r="Q4535" s="17"/>
    </row>
    <row r="4536" spans="2:17">
      <c r="B4536" s="17"/>
      <c r="C4536" s="16" t="str">
        <f>IFERROR(VLOOKUP(DATA!#REF!,DATA!#REF!,1,FALSE),"")</f>
        <v/>
      </c>
      <c r="D4536" s="16" t="str">
        <f>IFERROR(VLOOKUP(C4536,DATA!#REF!,2,FALSE),"")</f>
        <v/>
      </c>
      <c r="I4536" s="17"/>
      <c r="J4536" s="17"/>
      <c r="P4536" s="17"/>
      <c r="Q4536" s="17"/>
    </row>
    <row r="4537" spans="2:17">
      <c r="B4537" s="17"/>
      <c r="C4537" s="16" t="str">
        <f>IFERROR(VLOOKUP(DATA!#REF!,DATA!#REF!,1,FALSE),"")</f>
        <v/>
      </c>
      <c r="D4537" s="16" t="str">
        <f>IFERROR(VLOOKUP(C4537,DATA!#REF!,2,FALSE),"")</f>
        <v/>
      </c>
      <c r="I4537" s="17"/>
      <c r="J4537" s="17"/>
      <c r="P4537" s="17"/>
      <c r="Q4537" s="17"/>
    </row>
    <row r="4538" spans="2:17">
      <c r="B4538" s="17"/>
      <c r="C4538" s="16" t="str">
        <f>IFERROR(VLOOKUP(DATA!#REF!,DATA!#REF!,1,FALSE),"")</f>
        <v/>
      </c>
      <c r="D4538" s="16" t="str">
        <f>IFERROR(VLOOKUP(C4538,DATA!#REF!,2,FALSE),"")</f>
        <v/>
      </c>
      <c r="I4538" s="17"/>
      <c r="J4538" s="17"/>
      <c r="P4538" s="17"/>
      <c r="Q4538" s="17"/>
    </row>
    <row r="4539" spans="2:17">
      <c r="B4539" s="17"/>
      <c r="C4539" s="16" t="str">
        <f>IFERROR(VLOOKUP(DATA!#REF!,DATA!#REF!,1,FALSE),"")</f>
        <v/>
      </c>
      <c r="D4539" s="16" t="str">
        <f>IFERROR(VLOOKUP(C4539,DATA!#REF!,2,FALSE),"")</f>
        <v/>
      </c>
      <c r="I4539" s="17"/>
      <c r="J4539" s="17"/>
      <c r="P4539" s="17"/>
      <c r="Q4539" s="17"/>
    </row>
    <row r="4540" spans="2:17">
      <c r="B4540" s="17"/>
      <c r="C4540" s="16" t="str">
        <f>IFERROR(VLOOKUP(DATA!#REF!,DATA!#REF!,1,FALSE),"")</f>
        <v/>
      </c>
      <c r="D4540" s="16" t="str">
        <f>IFERROR(VLOOKUP(C4540,DATA!#REF!,2,FALSE),"")</f>
        <v/>
      </c>
      <c r="I4540" s="17"/>
      <c r="J4540" s="17"/>
      <c r="P4540" s="17"/>
      <c r="Q4540" s="17"/>
    </row>
    <row r="4541" spans="2:17">
      <c r="B4541" s="17"/>
      <c r="C4541" s="16" t="str">
        <f>IFERROR(VLOOKUP(DATA!#REF!,DATA!#REF!,1,FALSE),"")</f>
        <v/>
      </c>
      <c r="D4541" s="16" t="str">
        <f>IFERROR(VLOOKUP(C4541,DATA!#REF!,2,FALSE),"")</f>
        <v/>
      </c>
      <c r="I4541" s="17"/>
      <c r="J4541" s="17"/>
      <c r="P4541" s="17"/>
      <c r="Q4541" s="17"/>
    </row>
    <row r="4542" spans="2:17">
      <c r="B4542" s="17"/>
      <c r="C4542" s="16" t="str">
        <f>IFERROR(VLOOKUP(DATA!#REF!,DATA!#REF!,1,FALSE),"")</f>
        <v/>
      </c>
      <c r="D4542" s="16" t="str">
        <f>IFERROR(VLOOKUP(C4542,DATA!#REF!,2,FALSE),"")</f>
        <v/>
      </c>
      <c r="I4542" s="17"/>
      <c r="J4542" s="17"/>
      <c r="P4542" s="17"/>
      <c r="Q4542" s="17"/>
    </row>
    <row r="4543" spans="2:17">
      <c r="B4543" s="17"/>
      <c r="C4543" s="16" t="str">
        <f>IFERROR(VLOOKUP(DATA!#REF!,DATA!#REF!,1,FALSE),"")</f>
        <v/>
      </c>
      <c r="D4543" s="16" t="str">
        <f>IFERROR(VLOOKUP(C4543,DATA!#REF!,2,FALSE),"")</f>
        <v/>
      </c>
      <c r="I4543" s="17"/>
      <c r="J4543" s="17"/>
      <c r="P4543" s="17"/>
      <c r="Q4543" s="17"/>
    </row>
    <row r="4544" spans="2:17">
      <c r="B4544" s="17"/>
      <c r="C4544" s="16" t="str">
        <f>IFERROR(VLOOKUP(DATA!#REF!,DATA!#REF!,1,FALSE),"")</f>
        <v/>
      </c>
      <c r="D4544" s="16" t="str">
        <f>IFERROR(VLOOKUP(C4544,DATA!#REF!,2,FALSE),"")</f>
        <v/>
      </c>
      <c r="I4544" s="17"/>
      <c r="J4544" s="17"/>
      <c r="P4544" s="17"/>
      <c r="Q4544" s="17"/>
    </row>
    <row r="4545" spans="2:17">
      <c r="B4545" s="17"/>
      <c r="C4545" s="16" t="str">
        <f>IFERROR(VLOOKUP(DATA!#REF!,DATA!#REF!,1,FALSE),"")</f>
        <v/>
      </c>
      <c r="D4545" s="16" t="str">
        <f>IFERROR(VLOOKUP(C4545,DATA!#REF!,2,FALSE),"")</f>
        <v/>
      </c>
      <c r="I4545" s="17"/>
      <c r="J4545" s="17"/>
      <c r="P4545" s="17"/>
      <c r="Q4545" s="17"/>
    </row>
    <row r="4546" spans="2:17">
      <c r="B4546" s="17"/>
      <c r="C4546" s="16" t="str">
        <f>IFERROR(VLOOKUP(DATA!#REF!,DATA!#REF!,1,FALSE),"")</f>
        <v/>
      </c>
      <c r="D4546" s="16" t="str">
        <f>IFERROR(VLOOKUP(C4546,DATA!#REF!,2,FALSE),"")</f>
        <v/>
      </c>
      <c r="I4546" s="17"/>
      <c r="J4546" s="17"/>
      <c r="P4546" s="17"/>
      <c r="Q4546" s="17"/>
    </row>
    <row r="4547" spans="2:17">
      <c r="B4547" s="17"/>
      <c r="C4547" s="16" t="str">
        <f>IFERROR(VLOOKUP(DATA!#REF!,DATA!#REF!,1,FALSE),"")</f>
        <v/>
      </c>
      <c r="D4547" s="16" t="str">
        <f>IFERROR(VLOOKUP(C4547,DATA!#REF!,2,FALSE),"")</f>
        <v/>
      </c>
      <c r="I4547" s="17"/>
      <c r="J4547" s="17"/>
      <c r="P4547" s="17"/>
      <c r="Q4547" s="17"/>
    </row>
    <row r="4548" spans="2:17">
      <c r="B4548" s="17"/>
      <c r="C4548" s="16" t="str">
        <f>IFERROR(VLOOKUP(DATA!#REF!,DATA!#REF!,1,FALSE),"")</f>
        <v/>
      </c>
      <c r="D4548" s="16" t="str">
        <f>IFERROR(VLOOKUP(C4548,DATA!#REF!,2,FALSE),"")</f>
        <v/>
      </c>
      <c r="I4548" s="17"/>
      <c r="J4548" s="17"/>
      <c r="P4548" s="17"/>
      <c r="Q4548" s="17"/>
    </row>
    <row r="4549" spans="2:17">
      <c r="B4549" s="17"/>
      <c r="C4549" s="16" t="str">
        <f>IFERROR(VLOOKUP(DATA!#REF!,DATA!#REF!,1,FALSE),"")</f>
        <v/>
      </c>
      <c r="D4549" s="16" t="str">
        <f>IFERROR(VLOOKUP(C4549,DATA!#REF!,2,FALSE),"")</f>
        <v/>
      </c>
      <c r="I4549" s="17"/>
      <c r="J4549" s="17"/>
      <c r="P4549" s="17"/>
      <c r="Q4549" s="17"/>
    </row>
    <row r="4550" spans="2:17">
      <c r="B4550" s="17"/>
      <c r="C4550" s="16" t="str">
        <f>IFERROR(VLOOKUP(DATA!#REF!,DATA!#REF!,1,FALSE),"")</f>
        <v/>
      </c>
      <c r="D4550" s="16" t="str">
        <f>IFERROR(VLOOKUP(C4550,DATA!#REF!,2,FALSE),"")</f>
        <v/>
      </c>
      <c r="I4550" s="17"/>
      <c r="J4550" s="17"/>
      <c r="P4550" s="17"/>
      <c r="Q4550" s="17"/>
    </row>
    <row r="4551" spans="2:17">
      <c r="B4551" s="17"/>
      <c r="C4551" s="16" t="str">
        <f>IFERROR(VLOOKUP(DATA!#REF!,DATA!#REF!,1,FALSE),"")</f>
        <v/>
      </c>
      <c r="D4551" s="16" t="str">
        <f>IFERROR(VLOOKUP(C4551,DATA!#REF!,2,FALSE),"")</f>
        <v/>
      </c>
      <c r="I4551" s="17"/>
      <c r="J4551" s="17"/>
      <c r="P4551" s="17"/>
      <c r="Q4551" s="17"/>
    </row>
    <row r="4552" spans="2:17">
      <c r="B4552" s="17"/>
      <c r="C4552" s="16" t="str">
        <f>IFERROR(VLOOKUP(DATA!#REF!,DATA!#REF!,1,FALSE),"")</f>
        <v/>
      </c>
      <c r="D4552" s="16" t="str">
        <f>IFERROR(VLOOKUP(C4552,DATA!#REF!,2,FALSE),"")</f>
        <v/>
      </c>
      <c r="I4552" s="17"/>
      <c r="J4552" s="17"/>
      <c r="P4552" s="17"/>
      <c r="Q4552" s="17"/>
    </row>
    <row r="4553" spans="2:17">
      <c r="B4553" s="17"/>
      <c r="C4553" s="16" t="str">
        <f>IFERROR(VLOOKUP(DATA!#REF!,DATA!#REF!,1,FALSE),"")</f>
        <v/>
      </c>
      <c r="D4553" s="16" t="str">
        <f>IFERROR(VLOOKUP(C4553,DATA!#REF!,2,FALSE),"")</f>
        <v/>
      </c>
      <c r="I4553" s="17"/>
      <c r="J4553" s="17"/>
      <c r="P4553" s="17"/>
      <c r="Q4553" s="17"/>
    </row>
    <row r="4554" spans="2:17">
      <c r="B4554" s="17"/>
      <c r="C4554" s="16" t="str">
        <f>IFERROR(VLOOKUP(DATA!#REF!,DATA!#REF!,1,FALSE),"")</f>
        <v/>
      </c>
      <c r="D4554" s="16" t="str">
        <f>IFERROR(VLOOKUP(C4554,DATA!#REF!,2,FALSE),"")</f>
        <v/>
      </c>
      <c r="I4554" s="17"/>
      <c r="J4554" s="17"/>
      <c r="P4554" s="17"/>
      <c r="Q4554" s="17"/>
    </row>
    <row r="4555" spans="2:17">
      <c r="B4555" s="17"/>
      <c r="C4555" s="16" t="str">
        <f>IFERROR(VLOOKUP(DATA!#REF!,DATA!#REF!,1,FALSE),"")</f>
        <v/>
      </c>
      <c r="D4555" s="16" t="str">
        <f>IFERROR(VLOOKUP(C4555,DATA!#REF!,2,FALSE),"")</f>
        <v/>
      </c>
      <c r="I4555" s="17"/>
      <c r="J4555" s="17"/>
      <c r="P4555" s="17"/>
      <c r="Q4555" s="17"/>
    </row>
    <row r="4556" spans="2:17">
      <c r="B4556" s="17"/>
      <c r="C4556" s="16" t="str">
        <f>IFERROR(VLOOKUP(DATA!#REF!,DATA!#REF!,1,FALSE),"")</f>
        <v/>
      </c>
      <c r="D4556" s="16" t="str">
        <f>IFERROR(VLOOKUP(C4556,DATA!#REF!,2,FALSE),"")</f>
        <v/>
      </c>
      <c r="I4556" s="17"/>
      <c r="J4556" s="17"/>
      <c r="P4556" s="17"/>
      <c r="Q4556" s="17"/>
    </row>
    <row r="4557" spans="2:17">
      <c r="B4557" s="17"/>
      <c r="C4557" s="16" t="str">
        <f>IFERROR(VLOOKUP(DATA!#REF!,DATA!#REF!,1,FALSE),"")</f>
        <v/>
      </c>
      <c r="D4557" s="16" t="str">
        <f>IFERROR(VLOOKUP(C4557,DATA!#REF!,2,FALSE),"")</f>
        <v/>
      </c>
      <c r="I4557" s="17"/>
      <c r="J4557" s="17"/>
      <c r="P4557" s="17"/>
      <c r="Q4557" s="17"/>
    </row>
    <row r="4558" spans="2:17">
      <c r="B4558" s="17"/>
      <c r="C4558" s="16" t="str">
        <f>IFERROR(VLOOKUP(DATA!#REF!,DATA!#REF!,1,FALSE),"")</f>
        <v/>
      </c>
      <c r="D4558" s="16" t="str">
        <f>IFERROR(VLOOKUP(C4558,DATA!#REF!,2,FALSE),"")</f>
        <v/>
      </c>
      <c r="I4558" s="17"/>
      <c r="J4558" s="17"/>
      <c r="P4558" s="17"/>
      <c r="Q4558" s="17"/>
    </row>
    <row r="4559" spans="2:17">
      <c r="B4559" s="17"/>
      <c r="C4559" s="16" t="str">
        <f>IFERROR(VLOOKUP(DATA!#REF!,DATA!#REF!,1,FALSE),"")</f>
        <v/>
      </c>
      <c r="D4559" s="16" t="str">
        <f>IFERROR(VLOOKUP(C4559,DATA!#REF!,2,FALSE),"")</f>
        <v/>
      </c>
      <c r="I4559" s="17"/>
      <c r="J4559" s="17"/>
      <c r="P4559" s="17"/>
      <c r="Q4559" s="17"/>
    </row>
    <row r="4560" spans="2:17">
      <c r="B4560" s="17"/>
      <c r="C4560" s="16" t="str">
        <f>IFERROR(VLOOKUP(DATA!#REF!,DATA!#REF!,1,FALSE),"")</f>
        <v/>
      </c>
      <c r="D4560" s="16" t="str">
        <f>IFERROR(VLOOKUP(C4560,DATA!#REF!,2,FALSE),"")</f>
        <v/>
      </c>
      <c r="I4560" s="17"/>
      <c r="J4560" s="17"/>
      <c r="P4560" s="17"/>
      <c r="Q4560" s="17"/>
    </row>
    <row r="4561" spans="2:17">
      <c r="B4561" s="17"/>
      <c r="C4561" s="16" t="str">
        <f>IFERROR(VLOOKUP(DATA!#REF!,DATA!#REF!,1,FALSE),"")</f>
        <v/>
      </c>
      <c r="D4561" s="16" t="str">
        <f>IFERROR(VLOOKUP(C4561,DATA!#REF!,2,FALSE),"")</f>
        <v/>
      </c>
      <c r="I4561" s="17"/>
      <c r="J4561" s="17"/>
      <c r="P4561" s="17"/>
      <c r="Q4561" s="17"/>
    </row>
    <row r="4562" spans="2:17">
      <c r="B4562" s="17"/>
      <c r="C4562" s="16" t="str">
        <f>IFERROR(VLOOKUP(DATA!#REF!,DATA!#REF!,1,FALSE),"")</f>
        <v/>
      </c>
      <c r="D4562" s="16" t="str">
        <f>IFERROR(VLOOKUP(C4562,DATA!#REF!,2,FALSE),"")</f>
        <v/>
      </c>
      <c r="I4562" s="17"/>
      <c r="J4562" s="17"/>
      <c r="P4562" s="17"/>
      <c r="Q4562" s="17"/>
    </row>
    <row r="4563" spans="2:17">
      <c r="B4563" s="17"/>
      <c r="C4563" s="16" t="str">
        <f>IFERROR(VLOOKUP(DATA!#REF!,DATA!#REF!,1,FALSE),"")</f>
        <v/>
      </c>
      <c r="D4563" s="16" t="str">
        <f>IFERROR(VLOOKUP(C4563,DATA!#REF!,2,FALSE),"")</f>
        <v/>
      </c>
      <c r="I4563" s="17"/>
      <c r="J4563" s="17"/>
      <c r="P4563" s="17"/>
      <c r="Q4563" s="17"/>
    </row>
    <row r="4564" spans="2:17">
      <c r="B4564" s="17"/>
      <c r="C4564" s="16" t="str">
        <f>IFERROR(VLOOKUP(DATA!#REF!,DATA!#REF!,1,FALSE),"")</f>
        <v/>
      </c>
      <c r="D4564" s="16" t="str">
        <f>IFERROR(VLOOKUP(C4564,DATA!#REF!,2,FALSE),"")</f>
        <v/>
      </c>
      <c r="I4564" s="17"/>
      <c r="J4564" s="17"/>
      <c r="P4564" s="17"/>
      <c r="Q4564" s="17"/>
    </row>
    <row r="4565" spans="2:17">
      <c r="B4565" s="17"/>
      <c r="C4565" s="16" t="str">
        <f>IFERROR(VLOOKUP(DATA!#REF!,DATA!#REF!,1,FALSE),"")</f>
        <v/>
      </c>
      <c r="D4565" s="16" t="str">
        <f>IFERROR(VLOOKUP(C4565,DATA!#REF!,2,FALSE),"")</f>
        <v/>
      </c>
      <c r="I4565" s="17"/>
      <c r="J4565" s="17"/>
      <c r="P4565" s="17"/>
      <c r="Q4565" s="17"/>
    </row>
    <row r="4566" spans="2:17">
      <c r="B4566" s="17"/>
      <c r="C4566" s="16" t="str">
        <f>IFERROR(VLOOKUP(DATA!#REF!,DATA!#REF!,1,FALSE),"")</f>
        <v/>
      </c>
      <c r="D4566" s="16" t="str">
        <f>IFERROR(VLOOKUP(C4566,DATA!#REF!,2,FALSE),"")</f>
        <v/>
      </c>
      <c r="I4566" s="17"/>
      <c r="J4566" s="17"/>
      <c r="P4566" s="17"/>
      <c r="Q4566" s="17"/>
    </row>
    <row r="4567" spans="2:17">
      <c r="B4567" s="17"/>
      <c r="C4567" s="16" t="str">
        <f>IFERROR(VLOOKUP(DATA!#REF!,DATA!#REF!,1,FALSE),"")</f>
        <v/>
      </c>
      <c r="D4567" s="16" t="str">
        <f>IFERROR(VLOOKUP(C4567,DATA!#REF!,2,FALSE),"")</f>
        <v/>
      </c>
      <c r="I4567" s="17"/>
      <c r="J4567" s="17"/>
      <c r="P4567" s="17"/>
      <c r="Q4567" s="17"/>
    </row>
    <row r="4568" spans="2:17">
      <c r="B4568" s="17"/>
      <c r="C4568" s="16" t="str">
        <f>IFERROR(VLOOKUP(DATA!#REF!,DATA!#REF!,1,FALSE),"")</f>
        <v/>
      </c>
      <c r="D4568" s="16" t="str">
        <f>IFERROR(VLOOKUP(C4568,DATA!#REF!,2,FALSE),"")</f>
        <v/>
      </c>
      <c r="I4568" s="17"/>
      <c r="J4568" s="17"/>
      <c r="P4568" s="17"/>
      <c r="Q4568" s="17"/>
    </row>
    <row r="4569" spans="2:17">
      <c r="B4569" s="17"/>
      <c r="C4569" s="16" t="str">
        <f>IFERROR(VLOOKUP(DATA!#REF!,DATA!#REF!,1,FALSE),"")</f>
        <v/>
      </c>
      <c r="D4569" s="16" t="str">
        <f>IFERROR(VLOOKUP(C4569,DATA!#REF!,2,FALSE),"")</f>
        <v/>
      </c>
      <c r="I4569" s="17"/>
      <c r="J4569" s="17"/>
      <c r="P4569" s="17"/>
      <c r="Q4569" s="17"/>
    </row>
    <row r="4570" spans="2:17">
      <c r="B4570" s="17"/>
      <c r="C4570" s="16" t="str">
        <f>IFERROR(VLOOKUP(DATA!#REF!,DATA!#REF!,1,FALSE),"")</f>
        <v/>
      </c>
      <c r="D4570" s="16" t="str">
        <f>IFERROR(VLOOKUP(C4570,DATA!#REF!,2,FALSE),"")</f>
        <v/>
      </c>
      <c r="I4570" s="17"/>
      <c r="J4570" s="17"/>
      <c r="P4570" s="17"/>
      <c r="Q4570" s="17"/>
    </row>
    <row r="4571" spans="2:17">
      <c r="B4571" s="17"/>
      <c r="C4571" s="16" t="str">
        <f>IFERROR(VLOOKUP(DATA!#REF!,DATA!#REF!,1,FALSE),"")</f>
        <v/>
      </c>
      <c r="D4571" s="16" t="str">
        <f>IFERROR(VLOOKUP(C4571,DATA!#REF!,2,FALSE),"")</f>
        <v/>
      </c>
      <c r="I4571" s="17"/>
      <c r="J4571" s="17"/>
      <c r="P4571" s="17"/>
      <c r="Q4571" s="17"/>
    </row>
    <row r="4572" spans="2:17">
      <c r="B4572" s="17"/>
      <c r="C4572" s="16" t="str">
        <f>IFERROR(VLOOKUP(DATA!#REF!,DATA!#REF!,1,FALSE),"")</f>
        <v/>
      </c>
      <c r="D4572" s="16" t="str">
        <f>IFERROR(VLOOKUP(C4572,DATA!#REF!,2,FALSE),"")</f>
        <v/>
      </c>
      <c r="I4572" s="17"/>
      <c r="J4572" s="17"/>
      <c r="P4572" s="17"/>
      <c r="Q4572" s="17"/>
    </row>
    <row r="4573" spans="2:17">
      <c r="B4573" s="17"/>
      <c r="C4573" s="16" t="str">
        <f>IFERROR(VLOOKUP(DATA!#REF!,DATA!#REF!,1,FALSE),"")</f>
        <v/>
      </c>
      <c r="D4573" s="16" t="str">
        <f>IFERROR(VLOOKUP(C4573,DATA!#REF!,2,FALSE),"")</f>
        <v/>
      </c>
      <c r="I4573" s="17"/>
      <c r="J4573" s="17"/>
      <c r="P4573" s="17"/>
      <c r="Q4573" s="17"/>
    </row>
    <row r="4574" spans="2:17">
      <c r="B4574" s="17"/>
      <c r="C4574" s="16" t="str">
        <f>IFERROR(VLOOKUP(DATA!#REF!,DATA!#REF!,1,FALSE),"")</f>
        <v/>
      </c>
      <c r="D4574" s="16" t="str">
        <f>IFERROR(VLOOKUP(C4574,DATA!#REF!,2,FALSE),"")</f>
        <v/>
      </c>
      <c r="I4574" s="17"/>
      <c r="J4574" s="17"/>
      <c r="P4574" s="17"/>
      <c r="Q4574" s="17"/>
    </row>
    <row r="4575" spans="2:17">
      <c r="B4575" s="17"/>
      <c r="C4575" s="16" t="str">
        <f>IFERROR(VLOOKUP(DATA!#REF!,DATA!#REF!,1,FALSE),"")</f>
        <v/>
      </c>
      <c r="D4575" s="16" t="str">
        <f>IFERROR(VLOOKUP(C4575,DATA!#REF!,2,FALSE),"")</f>
        <v/>
      </c>
      <c r="I4575" s="17"/>
      <c r="J4575" s="17"/>
      <c r="P4575" s="17"/>
      <c r="Q4575" s="17"/>
    </row>
    <row r="4576" spans="2:17">
      <c r="B4576" s="17"/>
      <c r="C4576" s="16" t="str">
        <f>IFERROR(VLOOKUP(DATA!#REF!,DATA!#REF!,1,FALSE),"")</f>
        <v/>
      </c>
      <c r="D4576" s="16" t="str">
        <f>IFERROR(VLOOKUP(C4576,DATA!#REF!,2,FALSE),"")</f>
        <v/>
      </c>
      <c r="I4576" s="17"/>
      <c r="J4576" s="17"/>
      <c r="P4576" s="17"/>
      <c r="Q4576" s="17"/>
    </row>
    <row r="4577" spans="2:17">
      <c r="B4577" s="17"/>
      <c r="C4577" s="16" t="str">
        <f>IFERROR(VLOOKUP(DATA!#REF!,DATA!#REF!,1,FALSE),"")</f>
        <v/>
      </c>
      <c r="D4577" s="16" t="str">
        <f>IFERROR(VLOOKUP(C4577,DATA!#REF!,2,FALSE),"")</f>
        <v/>
      </c>
      <c r="I4577" s="17"/>
      <c r="J4577" s="17"/>
      <c r="P4577" s="17"/>
      <c r="Q4577" s="17"/>
    </row>
    <row r="4578" spans="2:17">
      <c r="B4578" s="17"/>
      <c r="C4578" s="16" t="str">
        <f>IFERROR(VLOOKUP(DATA!#REF!,DATA!#REF!,1,FALSE),"")</f>
        <v/>
      </c>
      <c r="D4578" s="16" t="str">
        <f>IFERROR(VLOOKUP(C4578,DATA!#REF!,2,FALSE),"")</f>
        <v/>
      </c>
      <c r="I4578" s="17"/>
      <c r="J4578" s="17"/>
      <c r="P4578" s="17"/>
      <c r="Q4578" s="17"/>
    </row>
    <row r="4579" spans="2:17">
      <c r="B4579" s="17"/>
      <c r="C4579" s="16" t="str">
        <f>IFERROR(VLOOKUP(DATA!#REF!,DATA!#REF!,1,FALSE),"")</f>
        <v/>
      </c>
      <c r="D4579" s="16" t="str">
        <f>IFERROR(VLOOKUP(C4579,DATA!#REF!,2,FALSE),"")</f>
        <v/>
      </c>
      <c r="I4579" s="17"/>
      <c r="J4579" s="17"/>
      <c r="P4579" s="17"/>
      <c r="Q4579" s="17"/>
    </row>
    <row r="4580" spans="2:17">
      <c r="B4580" s="17"/>
      <c r="C4580" s="16" t="str">
        <f>IFERROR(VLOOKUP(DATA!#REF!,DATA!#REF!,1,FALSE),"")</f>
        <v/>
      </c>
      <c r="D4580" s="16" t="str">
        <f>IFERROR(VLOOKUP(C4580,DATA!#REF!,2,FALSE),"")</f>
        <v/>
      </c>
      <c r="I4580" s="17"/>
      <c r="J4580" s="17"/>
      <c r="P4580" s="17"/>
      <c r="Q4580" s="17"/>
    </row>
    <row r="4581" spans="2:17">
      <c r="B4581" s="17"/>
      <c r="C4581" s="16" t="str">
        <f>IFERROR(VLOOKUP(DATA!#REF!,DATA!#REF!,1,FALSE),"")</f>
        <v/>
      </c>
      <c r="D4581" s="16" t="str">
        <f>IFERROR(VLOOKUP(C4581,DATA!#REF!,2,FALSE),"")</f>
        <v/>
      </c>
      <c r="I4581" s="17"/>
      <c r="J4581" s="17"/>
      <c r="P4581" s="17"/>
      <c r="Q4581" s="17"/>
    </row>
    <row r="4582" spans="2:17">
      <c r="B4582" s="17"/>
      <c r="C4582" s="16" t="str">
        <f>IFERROR(VLOOKUP(DATA!#REF!,DATA!#REF!,1,FALSE),"")</f>
        <v/>
      </c>
      <c r="D4582" s="16" t="str">
        <f>IFERROR(VLOOKUP(C4582,DATA!#REF!,2,FALSE),"")</f>
        <v/>
      </c>
      <c r="I4582" s="17"/>
      <c r="J4582" s="17"/>
      <c r="P4582" s="17"/>
      <c r="Q4582" s="17"/>
    </row>
    <row r="4583" spans="2:17">
      <c r="B4583" s="17"/>
      <c r="C4583" s="16" t="str">
        <f>IFERROR(VLOOKUP(DATA!#REF!,DATA!#REF!,1,FALSE),"")</f>
        <v/>
      </c>
      <c r="D4583" s="16" t="str">
        <f>IFERROR(VLOOKUP(C4583,DATA!#REF!,2,FALSE),"")</f>
        <v/>
      </c>
      <c r="I4583" s="17"/>
      <c r="J4583" s="17"/>
      <c r="P4583" s="17"/>
      <c r="Q4583" s="17"/>
    </row>
    <row r="4584" spans="2:17">
      <c r="B4584" s="17"/>
      <c r="C4584" s="16" t="str">
        <f>IFERROR(VLOOKUP(DATA!#REF!,DATA!#REF!,1,FALSE),"")</f>
        <v/>
      </c>
      <c r="D4584" s="16" t="str">
        <f>IFERROR(VLOOKUP(C4584,DATA!#REF!,2,FALSE),"")</f>
        <v/>
      </c>
      <c r="I4584" s="17"/>
      <c r="J4584" s="17"/>
      <c r="P4584" s="17"/>
      <c r="Q4584" s="17"/>
    </row>
    <row r="4585" spans="2:17">
      <c r="B4585" s="17"/>
      <c r="C4585" s="16" t="str">
        <f>IFERROR(VLOOKUP(DATA!#REF!,DATA!#REF!,1,FALSE),"")</f>
        <v/>
      </c>
      <c r="D4585" s="16" t="str">
        <f>IFERROR(VLOOKUP(C4585,DATA!#REF!,2,FALSE),"")</f>
        <v/>
      </c>
      <c r="I4585" s="17"/>
      <c r="J4585" s="17"/>
      <c r="P4585" s="17"/>
      <c r="Q4585" s="17"/>
    </row>
    <row r="4586" spans="2:17">
      <c r="B4586" s="17"/>
      <c r="C4586" s="16" t="str">
        <f>IFERROR(VLOOKUP(DATA!#REF!,DATA!#REF!,1,FALSE),"")</f>
        <v/>
      </c>
      <c r="D4586" s="16" t="str">
        <f>IFERROR(VLOOKUP(C4586,DATA!#REF!,2,FALSE),"")</f>
        <v/>
      </c>
      <c r="I4586" s="17"/>
      <c r="J4586" s="17"/>
      <c r="P4586" s="17"/>
      <c r="Q4586" s="17"/>
    </row>
    <row r="4587" spans="2:17">
      <c r="B4587" s="17"/>
      <c r="C4587" s="16" t="str">
        <f>IFERROR(VLOOKUP(DATA!#REF!,DATA!#REF!,1,FALSE),"")</f>
        <v/>
      </c>
      <c r="D4587" s="16" t="str">
        <f>IFERROR(VLOOKUP(C4587,DATA!#REF!,2,FALSE),"")</f>
        <v/>
      </c>
      <c r="I4587" s="17"/>
      <c r="J4587" s="17"/>
      <c r="P4587" s="17"/>
      <c r="Q4587" s="17"/>
    </row>
    <row r="4588" spans="2:17">
      <c r="B4588" s="17"/>
      <c r="C4588" s="16" t="str">
        <f>IFERROR(VLOOKUP(DATA!#REF!,DATA!#REF!,1,FALSE),"")</f>
        <v/>
      </c>
      <c r="D4588" s="16" t="str">
        <f>IFERROR(VLOOKUP(C4588,DATA!#REF!,2,FALSE),"")</f>
        <v/>
      </c>
      <c r="I4588" s="17"/>
      <c r="J4588" s="17"/>
      <c r="P4588" s="17"/>
      <c r="Q4588" s="17"/>
    </row>
    <row r="4589" spans="2:17">
      <c r="B4589" s="17"/>
      <c r="C4589" s="16" t="str">
        <f>IFERROR(VLOOKUP(DATA!#REF!,DATA!#REF!,1,FALSE),"")</f>
        <v/>
      </c>
      <c r="D4589" s="16" t="str">
        <f>IFERROR(VLOOKUP(C4589,DATA!#REF!,2,FALSE),"")</f>
        <v/>
      </c>
      <c r="I4589" s="17"/>
      <c r="J4589" s="17"/>
      <c r="P4589" s="17"/>
      <c r="Q4589" s="17"/>
    </row>
    <row r="4590" spans="2:17">
      <c r="B4590" s="17"/>
      <c r="C4590" s="16" t="str">
        <f>IFERROR(VLOOKUP(DATA!#REF!,DATA!#REF!,1,FALSE),"")</f>
        <v/>
      </c>
      <c r="D4590" s="16" t="str">
        <f>IFERROR(VLOOKUP(C4590,DATA!#REF!,2,FALSE),"")</f>
        <v/>
      </c>
      <c r="I4590" s="17"/>
      <c r="J4590" s="17"/>
      <c r="P4590" s="17"/>
      <c r="Q4590" s="17"/>
    </row>
    <row r="4591" spans="2:17">
      <c r="B4591" s="17"/>
      <c r="C4591" s="16" t="str">
        <f>IFERROR(VLOOKUP(DATA!#REF!,DATA!#REF!,1,FALSE),"")</f>
        <v/>
      </c>
      <c r="D4591" s="16" t="str">
        <f>IFERROR(VLOOKUP(C4591,DATA!#REF!,2,FALSE),"")</f>
        <v/>
      </c>
      <c r="I4591" s="17"/>
      <c r="J4591" s="17"/>
      <c r="P4591" s="17"/>
      <c r="Q4591" s="17"/>
    </row>
    <row r="4592" spans="2:17">
      <c r="B4592" s="17"/>
      <c r="C4592" s="16" t="str">
        <f>IFERROR(VLOOKUP(DATA!#REF!,DATA!#REF!,1,FALSE),"")</f>
        <v/>
      </c>
      <c r="D4592" s="16" t="str">
        <f>IFERROR(VLOOKUP(C4592,DATA!#REF!,2,FALSE),"")</f>
        <v/>
      </c>
      <c r="I4592" s="17"/>
      <c r="J4592" s="17"/>
      <c r="P4592" s="17"/>
      <c r="Q4592" s="17"/>
    </row>
    <row r="4593" spans="2:17">
      <c r="B4593" s="17"/>
      <c r="C4593" s="16" t="str">
        <f>IFERROR(VLOOKUP(DATA!#REF!,DATA!#REF!,1,FALSE),"")</f>
        <v/>
      </c>
      <c r="D4593" s="16" t="str">
        <f>IFERROR(VLOOKUP(C4593,DATA!#REF!,2,FALSE),"")</f>
        <v/>
      </c>
      <c r="I4593" s="17"/>
      <c r="J4593" s="17"/>
      <c r="P4593" s="17"/>
      <c r="Q4593" s="17"/>
    </row>
    <row r="4594" spans="2:17">
      <c r="B4594" s="17"/>
      <c r="C4594" s="16" t="str">
        <f>IFERROR(VLOOKUP(DATA!#REF!,DATA!#REF!,1,FALSE),"")</f>
        <v/>
      </c>
      <c r="D4594" s="16" t="str">
        <f>IFERROR(VLOOKUP(C4594,DATA!#REF!,2,FALSE),"")</f>
        <v/>
      </c>
      <c r="I4594" s="17"/>
      <c r="J4594" s="17"/>
      <c r="P4594" s="17"/>
      <c r="Q4594" s="17"/>
    </row>
    <row r="4595" spans="2:17">
      <c r="B4595" s="17"/>
      <c r="C4595" s="16" t="str">
        <f>IFERROR(VLOOKUP(DATA!#REF!,DATA!#REF!,1,FALSE),"")</f>
        <v/>
      </c>
      <c r="D4595" s="16" t="str">
        <f>IFERROR(VLOOKUP(C4595,DATA!#REF!,2,FALSE),"")</f>
        <v/>
      </c>
      <c r="I4595" s="17"/>
      <c r="J4595" s="17"/>
      <c r="P4595" s="17"/>
      <c r="Q4595" s="17"/>
    </row>
    <row r="4596" spans="2:17">
      <c r="B4596" s="17"/>
      <c r="C4596" s="16" t="str">
        <f>IFERROR(VLOOKUP(DATA!#REF!,DATA!#REF!,1,FALSE),"")</f>
        <v/>
      </c>
      <c r="D4596" s="16" t="str">
        <f>IFERROR(VLOOKUP(C4596,DATA!#REF!,2,FALSE),"")</f>
        <v/>
      </c>
      <c r="I4596" s="17"/>
      <c r="J4596" s="17"/>
      <c r="P4596" s="17"/>
      <c r="Q4596" s="17"/>
    </row>
    <row r="4597" spans="2:17">
      <c r="B4597" s="17"/>
      <c r="C4597" s="16" t="str">
        <f>IFERROR(VLOOKUP(DATA!#REF!,DATA!#REF!,1,FALSE),"")</f>
        <v/>
      </c>
      <c r="D4597" s="16" t="str">
        <f>IFERROR(VLOOKUP(C4597,DATA!#REF!,2,FALSE),"")</f>
        <v/>
      </c>
      <c r="I4597" s="17"/>
      <c r="J4597" s="17"/>
      <c r="P4597" s="17"/>
      <c r="Q4597" s="17"/>
    </row>
    <row r="4598" spans="2:17">
      <c r="B4598" s="17"/>
      <c r="C4598" s="16" t="str">
        <f>IFERROR(VLOOKUP(DATA!#REF!,DATA!#REF!,1,FALSE),"")</f>
        <v/>
      </c>
      <c r="D4598" s="16" t="str">
        <f>IFERROR(VLOOKUP(C4598,DATA!#REF!,2,FALSE),"")</f>
        <v/>
      </c>
      <c r="I4598" s="17"/>
      <c r="J4598" s="17"/>
      <c r="P4598" s="17"/>
      <c r="Q4598" s="17"/>
    </row>
    <row r="4599" spans="2:17">
      <c r="B4599" s="17"/>
      <c r="C4599" s="16" t="str">
        <f>IFERROR(VLOOKUP(DATA!#REF!,DATA!#REF!,1,FALSE),"")</f>
        <v/>
      </c>
      <c r="D4599" s="16" t="str">
        <f>IFERROR(VLOOKUP(C4599,DATA!#REF!,2,FALSE),"")</f>
        <v/>
      </c>
      <c r="I4599" s="17"/>
      <c r="J4599" s="17"/>
      <c r="P4599" s="17"/>
      <c r="Q4599" s="17"/>
    </row>
    <row r="4600" spans="2:17">
      <c r="B4600" s="17"/>
      <c r="C4600" s="16" t="str">
        <f>IFERROR(VLOOKUP(DATA!#REF!,DATA!#REF!,1,FALSE),"")</f>
        <v/>
      </c>
      <c r="D4600" s="16" t="str">
        <f>IFERROR(VLOOKUP(C4600,DATA!#REF!,2,FALSE),"")</f>
        <v/>
      </c>
      <c r="I4600" s="17"/>
      <c r="J4600" s="17"/>
      <c r="P4600" s="17"/>
      <c r="Q4600" s="17"/>
    </row>
    <row r="4601" spans="2:17">
      <c r="B4601" s="17"/>
      <c r="C4601" s="16" t="str">
        <f>IFERROR(VLOOKUP(DATA!#REF!,DATA!#REF!,1,FALSE),"")</f>
        <v/>
      </c>
      <c r="D4601" s="16" t="str">
        <f>IFERROR(VLOOKUP(C4601,DATA!#REF!,2,FALSE),"")</f>
        <v/>
      </c>
      <c r="I4601" s="17"/>
      <c r="J4601" s="17"/>
      <c r="P4601" s="17"/>
      <c r="Q4601" s="17"/>
    </row>
    <row r="4602" spans="2:17">
      <c r="B4602" s="17"/>
      <c r="C4602" s="16" t="str">
        <f>IFERROR(VLOOKUP(DATA!#REF!,DATA!#REF!,1,FALSE),"")</f>
        <v/>
      </c>
      <c r="D4602" s="16" t="str">
        <f>IFERROR(VLOOKUP(C4602,DATA!#REF!,2,FALSE),"")</f>
        <v/>
      </c>
      <c r="I4602" s="17"/>
      <c r="J4602" s="17"/>
      <c r="P4602" s="17"/>
      <c r="Q4602" s="17"/>
    </row>
    <row r="4603" spans="2:17">
      <c r="B4603" s="17"/>
      <c r="C4603" s="16" t="str">
        <f>IFERROR(VLOOKUP(DATA!#REF!,DATA!#REF!,1,FALSE),"")</f>
        <v/>
      </c>
      <c r="D4603" s="16" t="str">
        <f>IFERROR(VLOOKUP(C4603,DATA!#REF!,2,FALSE),"")</f>
        <v/>
      </c>
      <c r="I4603" s="17"/>
      <c r="J4603" s="17"/>
      <c r="P4603" s="17"/>
      <c r="Q4603" s="17"/>
    </row>
    <row r="4604" spans="2:17">
      <c r="B4604" s="17"/>
      <c r="C4604" s="16" t="str">
        <f>IFERROR(VLOOKUP(DATA!#REF!,DATA!#REF!,1,FALSE),"")</f>
        <v/>
      </c>
      <c r="D4604" s="16" t="str">
        <f>IFERROR(VLOOKUP(C4604,DATA!#REF!,2,FALSE),"")</f>
        <v/>
      </c>
      <c r="I4604" s="17"/>
      <c r="J4604" s="17"/>
      <c r="P4604" s="17"/>
      <c r="Q4604" s="17"/>
    </row>
    <row r="4605" spans="2:17">
      <c r="B4605" s="17"/>
      <c r="C4605" s="16" t="str">
        <f>IFERROR(VLOOKUP(DATA!#REF!,DATA!#REF!,1,FALSE),"")</f>
        <v/>
      </c>
      <c r="D4605" s="16" t="str">
        <f>IFERROR(VLOOKUP(C4605,DATA!#REF!,2,FALSE),"")</f>
        <v/>
      </c>
      <c r="I4605" s="17"/>
      <c r="J4605" s="17"/>
      <c r="P4605" s="17"/>
      <c r="Q4605" s="17"/>
    </row>
    <row r="4606" spans="2:17">
      <c r="B4606" s="17"/>
      <c r="C4606" s="16" t="str">
        <f>IFERROR(VLOOKUP(DATA!#REF!,DATA!#REF!,1,FALSE),"")</f>
        <v/>
      </c>
      <c r="D4606" s="16" t="str">
        <f>IFERROR(VLOOKUP(C4606,DATA!#REF!,2,FALSE),"")</f>
        <v/>
      </c>
      <c r="I4606" s="17"/>
      <c r="J4606" s="17"/>
      <c r="P4606" s="17"/>
      <c r="Q4606" s="17"/>
    </row>
    <row r="4607" spans="2:17">
      <c r="B4607" s="17"/>
      <c r="C4607" s="16" t="str">
        <f>IFERROR(VLOOKUP(DATA!#REF!,DATA!#REF!,1,FALSE),"")</f>
        <v/>
      </c>
      <c r="D4607" s="16" t="str">
        <f>IFERROR(VLOOKUP(C4607,DATA!#REF!,2,FALSE),"")</f>
        <v/>
      </c>
      <c r="I4607" s="17"/>
      <c r="J4607" s="17"/>
      <c r="P4607" s="17"/>
      <c r="Q4607" s="17"/>
    </row>
    <row r="4608" spans="2:17">
      <c r="B4608" s="17"/>
      <c r="C4608" s="16" t="str">
        <f>IFERROR(VLOOKUP(DATA!#REF!,DATA!#REF!,1,FALSE),"")</f>
        <v/>
      </c>
      <c r="D4608" s="16" t="str">
        <f>IFERROR(VLOOKUP(C4608,DATA!#REF!,2,FALSE),"")</f>
        <v/>
      </c>
      <c r="I4608" s="17"/>
      <c r="J4608" s="17"/>
      <c r="P4608" s="17"/>
      <c r="Q4608" s="17"/>
    </row>
    <row r="4609" spans="2:17">
      <c r="B4609" s="17"/>
      <c r="C4609" s="16" t="str">
        <f>IFERROR(VLOOKUP(DATA!#REF!,DATA!#REF!,1,FALSE),"")</f>
        <v/>
      </c>
      <c r="D4609" s="16" t="str">
        <f>IFERROR(VLOOKUP(C4609,DATA!#REF!,2,FALSE),"")</f>
        <v/>
      </c>
      <c r="I4609" s="17"/>
      <c r="J4609" s="17"/>
      <c r="P4609" s="17"/>
      <c r="Q4609" s="17"/>
    </row>
    <row r="4610" spans="2:17">
      <c r="B4610" s="17"/>
      <c r="C4610" s="16" t="str">
        <f>IFERROR(VLOOKUP(DATA!#REF!,DATA!#REF!,1,FALSE),"")</f>
        <v/>
      </c>
      <c r="D4610" s="16" t="str">
        <f>IFERROR(VLOOKUP(C4610,DATA!#REF!,2,FALSE),"")</f>
        <v/>
      </c>
      <c r="I4610" s="17"/>
      <c r="J4610" s="17"/>
      <c r="P4610" s="17"/>
      <c r="Q4610" s="17"/>
    </row>
    <row r="4611" spans="2:17">
      <c r="B4611" s="17"/>
      <c r="C4611" s="16" t="str">
        <f>IFERROR(VLOOKUP(DATA!#REF!,DATA!#REF!,1,FALSE),"")</f>
        <v/>
      </c>
      <c r="D4611" s="16" t="str">
        <f>IFERROR(VLOOKUP(C4611,DATA!#REF!,2,FALSE),"")</f>
        <v/>
      </c>
      <c r="I4611" s="17"/>
      <c r="J4611" s="17"/>
      <c r="P4611" s="17"/>
      <c r="Q4611" s="17"/>
    </row>
    <row r="4612" spans="2:17">
      <c r="B4612" s="17"/>
      <c r="C4612" s="16" t="str">
        <f>IFERROR(VLOOKUP(DATA!#REF!,DATA!#REF!,1,FALSE),"")</f>
        <v/>
      </c>
      <c r="D4612" s="16" t="str">
        <f>IFERROR(VLOOKUP(C4612,DATA!#REF!,2,FALSE),"")</f>
        <v/>
      </c>
      <c r="I4612" s="17"/>
      <c r="J4612" s="17"/>
      <c r="P4612" s="17"/>
      <c r="Q4612" s="17"/>
    </row>
    <row r="4613" spans="2:17">
      <c r="B4613" s="17"/>
      <c r="C4613" s="16" t="str">
        <f>IFERROR(VLOOKUP(DATA!#REF!,DATA!#REF!,1,FALSE),"")</f>
        <v/>
      </c>
      <c r="D4613" s="16" t="str">
        <f>IFERROR(VLOOKUP(C4613,DATA!#REF!,2,FALSE),"")</f>
        <v/>
      </c>
      <c r="I4613" s="17"/>
      <c r="J4613" s="17"/>
      <c r="P4613" s="17"/>
      <c r="Q4613" s="17"/>
    </row>
    <row r="4614" spans="2:17">
      <c r="B4614" s="17"/>
      <c r="C4614" s="16" t="str">
        <f>IFERROR(VLOOKUP(DATA!#REF!,DATA!#REF!,1,FALSE),"")</f>
        <v/>
      </c>
      <c r="D4614" s="16" t="str">
        <f>IFERROR(VLOOKUP(C4614,DATA!#REF!,2,FALSE),"")</f>
        <v/>
      </c>
      <c r="I4614" s="17"/>
      <c r="J4614" s="17"/>
      <c r="P4614" s="17"/>
      <c r="Q4614" s="17"/>
    </row>
    <row r="4615" spans="2:17">
      <c r="B4615" s="17"/>
      <c r="C4615" s="16" t="str">
        <f>IFERROR(VLOOKUP(DATA!#REF!,DATA!#REF!,1,FALSE),"")</f>
        <v/>
      </c>
      <c r="D4615" s="16" t="str">
        <f>IFERROR(VLOOKUP(C4615,DATA!#REF!,2,FALSE),"")</f>
        <v/>
      </c>
      <c r="I4615" s="17"/>
      <c r="J4615" s="17"/>
      <c r="P4615" s="17"/>
      <c r="Q4615" s="17"/>
    </row>
    <row r="4616" spans="2:17">
      <c r="B4616" s="17"/>
      <c r="C4616" s="16" t="str">
        <f>IFERROR(VLOOKUP(DATA!#REF!,DATA!#REF!,1,FALSE),"")</f>
        <v/>
      </c>
      <c r="D4616" s="16" t="str">
        <f>IFERROR(VLOOKUP(C4616,DATA!#REF!,2,FALSE),"")</f>
        <v/>
      </c>
      <c r="I4616" s="17"/>
      <c r="J4616" s="17"/>
      <c r="P4616" s="17"/>
      <c r="Q4616" s="17"/>
    </row>
    <row r="4617" spans="2:17">
      <c r="B4617" s="17"/>
      <c r="C4617" s="16" t="str">
        <f>IFERROR(VLOOKUP(DATA!#REF!,DATA!#REF!,1,FALSE),"")</f>
        <v/>
      </c>
      <c r="D4617" s="16" t="str">
        <f>IFERROR(VLOOKUP(C4617,DATA!#REF!,2,FALSE),"")</f>
        <v/>
      </c>
      <c r="I4617" s="17"/>
      <c r="J4617" s="17"/>
      <c r="P4617" s="17"/>
      <c r="Q4617" s="17"/>
    </row>
    <row r="4618" spans="2:17">
      <c r="B4618" s="17"/>
      <c r="C4618" s="16" t="str">
        <f>IFERROR(VLOOKUP(DATA!#REF!,DATA!#REF!,1,FALSE),"")</f>
        <v/>
      </c>
      <c r="D4618" s="16" t="str">
        <f>IFERROR(VLOOKUP(C4618,DATA!#REF!,2,FALSE),"")</f>
        <v/>
      </c>
      <c r="I4618" s="17"/>
      <c r="J4618" s="17"/>
      <c r="P4618" s="17"/>
      <c r="Q4618" s="17"/>
    </row>
    <row r="4619" spans="2:17">
      <c r="B4619" s="17"/>
      <c r="C4619" s="16" t="str">
        <f>IFERROR(VLOOKUP(DATA!#REF!,DATA!#REF!,1,FALSE),"")</f>
        <v/>
      </c>
      <c r="D4619" s="16" t="str">
        <f>IFERROR(VLOOKUP(C4619,DATA!#REF!,2,FALSE),"")</f>
        <v/>
      </c>
      <c r="I4619" s="17"/>
      <c r="J4619" s="17"/>
      <c r="P4619" s="17"/>
      <c r="Q4619" s="17"/>
    </row>
    <row r="4620" spans="2:17">
      <c r="B4620" s="17"/>
      <c r="C4620" s="16" t="str">
        <f>IFERROR(VLOOKUP(DATA!#REF!,DATA!#REF!,1,FALSE),"")</f>
        <v/>
      </c>
      <c r="D4620" s="16" t="str">
        <f>IFERROR(VLOOKUP(C4620,DATA!#REF!,2,FALSE),"")</f>
        <v/>
      </c>
      <c r="I4620" s="17"/>
      <c r="J4620" s="17"/>
      <c r="P4620" s="17"/>
      <c r="Q4620" s="17"/>
    </row>
    <row r="4621" spans="2:17">
      <c r="B4621" s="17"/>
      <c r="C4621" s="16" t="str">
        <f>IFERROR(VLOOKUP(DATA!#REF!,DATA!#REF!,1,FALSE),"")</f>
        <v/>
      </c>
      <c r="D4621" s="16" t="str">
        <f>IFERROR(VLOOKUP(C4621,DATA!#REF!,2,FALSE),"")</f>
        <v/>
      </c>
      <c r="I4621" s="17"/>
      <c r="J4621" s="17"/>
      <c r="P4621" s="17"/>
      <c r="Q4621" s="17"/>
    </row>
    <row r="4622" spans="2:17">
      <c r="B4622" s="17"/>
      <c r="C4622" s="16" t="str">
        <f>IFERROR(VLOOKUP(DATA!#REF!,DATA!#REF!,1,FALSE),"")</f>
        <v/>
      </c>
      <c r="D4622" s="16" t="str">
        <f>IFERROR(VLOOKUP(C4622,DATA!#REF!,2,FALSE),"")</f>
        <v/>
      </c>
      <c r="I4622" s="17"/>
      <c r="J4622" s="17"/>
      <c r="P4622" s="17"/>
      <c r="Q4622" s="17"/>
    </row>
    <row r="4623" spans="2:17">
      <c r="B4623" s="17"/>
      <c r="C4623" s="16" t="str">
        <f>IFERROR(VLOOKUP(DATA!#REF!,DATA!#REF!,1,FALSE),"")</f>
        <v/>
      </c>
      <c r="D4623" s="16" t="str">
        <f>IFERROR(VLOOKUP(C4623,DATA!#REF!,2,FALSE),"")</f>
        <v/>
      </c>
      <c r="I4623" s="17"/>
      <c r="J4623" s="17"/>
      <c r="P4623" s="17"/>
      <c r="Q4623" s="17"/>
    </row>
    <row r="4624" spans="2:17">
      <c r="B4624" s="17"/>
      <c r="C4624" s="16" t="str">
        <f>IFERROR(VLOOKUP(DATA!#REF!,DATA!#REF!,1,FALSE),"")</f>
        <v/>
      </c>
      <c r="D4624" s="16" t="str">
        <f>IFERROR(VLOOKUP(C4624,DATA!#REF!,2,FALSE),"")</f>
        <v/>
      </c>
      <c r="I4624" s="17"/>
      <c r="J4624" s="17"/>
      <c r="P4624" s="17"/>
      <c r="Q4624" s="17"/>
    </row>
    <row r="4625" spans="2:17">
      <c r="B4625" s="17"/>
      <c r="C4625" s="16" t="str">
        <f>IFERROR(VLOOKUP(DATA!#REF!,DATA!#REF!,1,FALSE),"")</f>
        <v/>
      </c>
      <c r="D4625" s="16" t="str">
        <f>IFERROR(VLOOKUP(C4625,DATA!#REF!,2,FALSE),"")</f>
        <v/>
      </c>
      <c r="I4625" s="17"/>
      <c r="J4625" s="17"/>
      <c r="P4625" s="17"/>
      <c r="Q4625" s="17"/>
    </row>
    <row r="4626" spans="2:17">
      <c r="B4626" s="17"/>
      <c r="C4626" s="16" t="str">
        <f>IFERROR(VLOOKUP(DATA!#REF!,DATA!#REF!,1,FALSE),"")</f>
        <v/>
      </c>
      <c r="D4626" s="16" t="str">
        <f>IFERROR(VLOOKUP(C4626,DATA!#REF!,2,FALSE),"")</f>
        <v/>
      </c>
      <c r="I4626" s="17"/>
      <c r="J4626" s="17"/>
      <c r="P4626" s="17"/>
      <c r="Q4626" s="17"/>
    </row>
    <row r="4627" spans="2:17">
      <c r="B4627" s="17"/>
      <c r="C4627" s="16" t="str">
        <f>IFERROR(VLOOKUP(DATA!#REF!,DATA!#REF!,1,FALSE),"")</f>
        <v/>
      </c>
      <c r="D4627" s="16" t="str">
        <f>IFERROR(VLOOKUP(C4627,DATA!#REF!,2,FALSE),"")</f>
        <v/>
      </c>
      <c r="I4627" s="17"/>
      <c r="J4627" s="17"/>
      <c r="P4627" s="17"/>
      <c r="Q4627" s="17"/>
    </row>
    <row r="4628" spans="2:17">
      <c r="B4628" s="17"/>
      <c r="C4628" s="16" t="str">
        <f>IFERROR(VLOOKUP(DATA!#REF!,DATA!#REF!,1,FALSE),"")</f>
        <v/>
      </c>
      <c r="D4628" s="16" t="str">
        <f>IFERROR(VLOOKUP(C4628,DATA!#REF!,2,FALSE),"")</f>
        <v/>
      </c>
      <c r="I4628" s="17"/>
      <c r="J4628" s="17"/>
      <c r="P4628" s="17"/>
      <c r="Q4628" s="17"/>
    </row>
    <row r="4629" spans="2:17">
      <c r="B4629" s="17"/>
      <c r="C4629" s="16" t="str">
        <f>IFERROR(VLOOKUP(DATA!#REF!,DATA!#REF!,1,FALSE),"")</f>
        <v/>
      </c>
      <c r="D4629" s="16" t="str">
        <f>IFERROR(VLOOKUP(C4629,DATA!#REF!,2,FALSE),"")</f>
        <v/>
      </c>
      <c r="I4629" s="17"/>
      <c r="J4629" s="17"/>
      <c r="P4629" s="17"/>
      <c r="Q4629" s="17"/>
    </row>
    <row r="4630" spans="2:17">
      <c r="B4630" s="17"/>
      <c r="C4630" s="16" t="str">
        <f>IFERROR(VLOOKUP(DATA!#REF!,DATA!#REF!,1,FALSE),"")</f>
        <v/>
      </c>
      <c r="D4630" s="16" t="str">
        <f>IFERROR(VLOOKUP(C4630,DATA!#REF!,2,FALSE),"")</f>
        <v/>
      </c>
      <c r="I4630" s="17"/>
      <c r="J4630" s="17"/>
      <c r="P4630" s="17"/>
      <c r="Q4630" s="17"/>
    </row>
    <row r="4631" spans="2:17">
      <c r="B4631" s="17"/>
      <c r="C4631" s="16" t="str">
        <f>IFERROR(VLOOKUP(DATA!#REF!,DATA!#REF!,1,FALSE),"")</f>
        <v/>
      </c>
      <c r="D4631" s="16" t="str">
        <f>IFERROR(VLOOKUP(C4631,DATA!#REF!,2,FALSE),"")</f>
        <v/>
      </c>
      <c r="I4631" s="17"/>
      <c r="J4631" s="17"/>
      <c r="P4631" s="17"/>
      <c r="Q4631" s="17"/>
    </row>
    <row r="4632" spans="2:17">
      <c r="B4632" s="17"/>
      <c r="C4632" s="16" t="str">
        <f>IFERROR(VLOOKUP(DATA!#REF!,DATA!#REF!,1,FALSE),"")</f>
        <v/>
      </c>
      <c r="D4632" s="16" t="str">
        <f>IFERROR(VLOOKUP(C4632,DATA!#REF!,2,FALSE),"")</f>
        <v/>
      </c>
      <c r="I4632" s="17"/>
      <c r="J4632" s="17"/>
      <c r="P4632" s="17"/>
      <c r="Q4632" s="17"/>
    </row>
    <row r="4633" spans="2:17">
      <c r="B4633" s="17"/>
      <c r="C4633" s="16" t="str">
        <f>IFERROR(VLOOKUP(DATA!#REF!,DATA!#REF!,1,FALSE),"")</f>
        <v/>
      </c>
      <c r="D4633" s="16" t="str">
        <f>IFERROR(VLOOKUP(C4633,DATA!#REF!,2,FALSE),"")</f>
        <v/>
      </c>
      <c r="I4633" s="17"/>
      <c r="J4633" s="17"/>
      <c r="P4633" s="17"/>
      <c r="Q4633" s="17"/>
    </row>
    <row r="4634" spans="2:17">
      <c r="B4634" s="17"/>
      <c r="C4634" s="16" t="str">
        <f>IFERROR(VLOOKUP(DATA!#REF!,DATA!#REF!,1,FALSE),"")</f>
        <v/>
      </c>
      <c r="D4634" s="16" t="str">
        <f>IFERROR(VLOOKUP(C4634,DATA!#REF!,2,FALSE),"")</f>
        <v/>
      </c>
      <c r="I4634" s="17"/>
      <c r="J4634" s="17"/>
      <c r="P4634" s="17"/>
      <c r="Q4634" s="17"/>
    </row>
    <row r="4635" spans="2:17">
      <c r="B4635" s="17"/>
      <c r="C4635" s="16" t="str">
        <f>IFERROR(VLOOKUP(DATA!#REF!,DATA!#REF!,1,FALSE),"")</f>
        <v/>
      </c>
      <c r="D4635" s="16" t="str">
        <f>IFERROR(VLOOKUP(C4635,DATA!#REF!,2,FALSE),"")</f>
        <v/>
      </c>
      <c r="I4635" s="17"/>
      <c r="J4635" s="17"/>
      <c r="P4635" s="17"/>
      <c r="Q4635" s="17"/>
    </row>
    <row r="4636" spans="2:17">
      <c r="B4636" s="17"/>
      <c r="C4636" s="16" t="str">
        <f>IFERROR(VLOOKUP(DATA!#REF!,DATA!#REF!,1,FALSE),"")</f>
        <v/>
      </c>
      <c r="D4636" s="16" t="str">
        <f>IFERROR(VLOOKUP(C4636,DATA!#REF!,2,FALSE),"")</f>
        <v/>
      </c>
      <c r="I4636" s="17"/>
      <c r="J4636" s="17"/>
      <c r="P4636" s="17"/>
      <c r="Q4636" s="17"/>
    </row>
    <row r="4637" spans="2:17">
      <c r="B4637" s="17"/>
      <c r="C4637" s="16" t="str">
        <f>IFERROR(VLOOKUP(DATA!#REF!,DATA!#REF!,1,FALSE),"")</f>
        <v/>
      </c>
      <c r="D4637" s="16" t="str">
        <f>IFERROR(VLOOKUP(C4637,DATA!#REF!,2,FALSE),"")</f>
        <v/>
      </c>
      <c r="I4637" s="17"/>
      <c r="J4637" s="17"/>
      <c r="P4637" s="17"/>
      <c r="Q4637" s="17"/>
    </row>
    <row r="4638" spans="2:17">
      <c r="B4638" s="17"/>
      <c r="C4638" s="16" t="str">
        <f>IFERROR(VLOOKUP(DATA!#REF!,DATA!#REF!,1,FALSE),"")</f>
        <v/>
      </c>
      <c r="D4638" s="16" t="str">
        <f>IFERROR(VLOOKUP(C4638,DATA!#REF!,2,FALSE),"")</f>
        <v/>
      </c>
      <c r="I4638" s="17"/>
      <c r="J4638" s="17"/>
      <c r="P4638" s="17"/>
      <c r="Q4638" s="17"/>
    </row>
    <row r="4639" spans="2:17">
      <c r="B4639" s="17"/>
      <c r="C4639" s="16" t="str">
        <f>IFERROR(VLOOKUP(DATA!#REF!,DATA!#REF!,1,FALSE),"")</f>
        <v/>
      </c>
      <c r="D4639" s="16" t="str">
        <f>IFERROR(VLOOKUP(C4639,DATA!#REF!,2,FALSE),"")</f>
        <v/>
      </c>
      <c r="I4639" s="17"/>
      <c r="J4639" s="17"/>
      <c r="P4639" s="17"/>
      <c r="Q4639" s="17"/>
    </row>
    <row r="4640" spans="2:17">
      <c r="B4640" s="17"/>
      <c r="C4640" s="16" t="str">
        <f>IFERROR(VLOOKUP(DATA!#REF!,DATA!#REF!,1,FALSE),"")</f>
        <v/>
      </c>
      <c r="D4640" s="16" t="str">
        <f>IFERROR(VLOOKUP(C4640,DATA!#REF!,2,FALSE),"")</f>
        <v/>
      </c>
      <c r="I4640" s="17"/>
      <c r="J4640" s="17"/>
      <c r="P4640" s="17"/>
      <c r="Q4640" s="17"/>
    </row>
    <row r="4641" spans="2:17">
      <c r="B4641" s="17"/>
      <c r="C4641" s="16" t="str">
        <f>IFERROR(VLOOKUP(DATA!#REF!,DATA!#REF!,1,FALSE),"")</f>
        <v/>
      </c>
      <c r="D4641" s="16" t="str">
        <f>IFERROR(VLOOKUP(C4641,DATA!#REF!,2,FALSE),"")</f>
        <v/>
      </c>
      <c r="I4641" s="17"/>
      <c r="J4641" s="17"/>
      <c r="P4641" s="17"/>
      <c r="Q4641" s="17"/>
    </row>
    <row r="4642" spans="2:17">
      <c r="B4642" s="17"/>
      <c r="C4642" s="16" t="str">
        <f>IFERROR(VLOOKUP(DATA!#REF!,DATA!#REF!,1,FALSE),"")</f>
        <v/>
      </c>
      <c r="D4642" s="16" t="str">
        <f>IFERROR(VLOOKUP(C4642,DATA!#REF!,2,FALSE),"")</f>
        <v/>
      </c>
      <c r="I4642" s="17"/>
      <c r="J4642" s="17"/>
      <c r="P4642" s="17"/>
      <c r="Q4642" s="17"/>
    </row>
    <row r="4643" spans="2:17">
      <c r="B4643" s="17"/>
      <c r="C4643" s="16" t="str">
        <f>IFERROR(VLOOKUP(DATA!#REF!,DATA!#REF!,1,FALSE),"")</f>
        <v/>
      </c>
      <c r="D4643" s="16" t="str">
        <f>IFERROR(VLOOKUP(C4643,DATA!#REF!,2,FALSE),"")</f>
        <v/>
      </c>
      <c r="I4643" s="17"/>
      <c r="J4643" s="17"/>
      <c r="P4643" s="17"/>
      <c r="Q4643" s="17"/>
    </row>
    <row r="4644" spans="2:17">
      <c r="B4644" s="17"/>
      <c r="C4644" s="16" t="str">
        <f>IFERROR(VLOOKUP(DATA!#REF!,DATA!#REF!,1,FALSE),"")</f>
        <v/>
      </c>
      <c r="D4644" s="16" t="str">
        <f>IFERROR(VLOOKUP(C4644,DATA!#REF!,2,FALSE),"")</f>
        <v/>
      </c>
      <c r="I4644" s="17"/>
      <c r="J4644" s="17"/>
      <c r="P4644" s="17"/>
      <c r="Q4644" s="17"/>
    </row>
    <row r="4645" spans="2:17">
      <c r="B4645" s="17"/>
      <c r="C4645" s="16" t="str">
        <f>IFERROR(VLOOKUP(DATA!#REF!,DATA!#REF!,1,FALSE),"")</f>
        <v/>
      </c>
      <c r="D4645" s="16" t="str">
        <f>IFERROR(VLOOKUP(C4645,DATA!#REF!,2,FALSE),"")</f>
        <v/>
      </c>
      <c r="I4645" s="17"/>
      <c r="J4645" s="17"/>
      <c r="P4645" s="17"/>
      <c r="Q4645" s="17"/>
    </row>
    <row r="4646" spans="2:17">
      <c r="B4646" s="17"/>
      <c r="C4646" s="16" t="str">
        <f>IFERROR(VLOOKUP(DATA!#REF!,DATA!#REF!,1,FALSE),"")</f>
        <v/>
      </c>
      <c r="D4646" s="16" t="str">
        <f>IFERROR(VLOOKUP(C4646,DATA!#REF!,2,FALSE),"")</f>
        <v/>
      </c>
      <c r="I4646" s="17"/>
      <c r="J4646" s="17"/>
      <c r="P4646" s="17"/>
      <c r="Q4646" s="17"/>
    </row>
    <row r="4647" spans="2:17">
      <c r="B4647" s="17"/>
      <c r="C4647" s="16" t="str">
        <f>IFERROR(VLOOKUP(DATA!#REF!,DATA!#REF!,1,FALSE),"")</f>
        <v/>
      </c>
      <c r="D4647" s="16" t="str">
        <f>IFERROR(VLOOKUP(C4647,DATA!#REF!,2,FALSE),"")</f>
        <v/>
      </c>
      <c r="I4647" s="17"/>
      <c r="J4647" s="17"/>
      <c r="P4647" s="17"/>
      <c r="Q4647" s="17"/>
    </row>
    <row r="4648" spans="2:17">
      <c r="B4648" s="17"/>
      <c r="C4648" s="16" t="str">
        <f>IFERROR(VLOOKUP(DATA!#REF!,DATA!#REF!,1,FALSE),"")</f>
        <v/>
      </c>
      <c r="D4648" s="16" t="str">
        <f>IFERROR(VLOOKUP(C4648,DATA!#REF!,2,FALSE),"")</f>
        <v/>
      </c>
      <c r="I4648" s="17"/>
      <c r="J4648" s="17"/>
      <c r="P4648" s="17"/>
      <c r="Q4648" s="17"/>
    </row>
    <row r="4649" spans="2:17">
      <c r="B4649" s="17"/>
      <c r="C4649" s="16" t="str">
        <f>IFERROR(VLOOKUP(DATA!#REF!,DATA!#REF!,1,FALSE),"")</f>
        <v/>
      </c>
      <c r="D4649" s="16" t="str">
        <f>IFERROR(VLOOKUP(C4649,DATA!#REF!,2,FALSE),"")</f>
        <v/>
      </c>
      <c r="I4649" s="17"/>
      <c r="J4649" s="17"/>
      <c r="P4649" s="17"/>
      <c r="Q4649" s="17"/>
    </row>
    <row r="4650" spans="2:17">
      <c r="B4650" s="17"/>
      <c r="C4650" s="16" t="str">
        <f>IFERROR(VLOOKUP(DATA!#REF!,DATA!#REF!,1,FALSE),"")</f>
        <v/>
      </c>
      <c r="D4650" s="16" t="str">
        <f>IFERROR(VLOOKUP(C4650,DATA!#REF!,2,FALSE),"")</f>
        <v/>
      </c>
      <c r="I4650" s="17"/>
      <c r="J4650" s="17"/>
      <c r="P4650" s="17"/>
      <c r="Q4650" s="17"/>
    </row>
    <row r="4651" spans="2:17">
      <c r="B4651" s="17"/>
      <c r="C4651" s="16" t="str">
        <f>IFERROR(VLOOKUP(DATA!#REF!,DATA!#REF!,1,FALSE),"")</f>
        <v/>
      </c>
      <c r="D4651" s="16" t="str">
        <f>IFERROR(VLOOKUP(C4651,DATA!#REF!,2,FALSE),"")</f>
        <v/>
      </c>
      <c r="I4651" s="17"/>
      <c r="J4651" s="17"/>
      <c r="P4651" s="17"/>
      <c r="Q4651" s="17"/>
    </row>
    <row r="4652" spans="2:17">
      <c r="B4652" s="17"/>
      <c r="C4652" s="16" t="str">
        <f>IFERROR(VLOOKUP(DATA!#REF!,DATA!#REF!,1,FALSE),"")</f>
        <v/>
      </c>
      <c r="D4652" s="16" t="str">
        <f>IFERROR(VLOOKUP(C4652,DATA!#REF!,2,FALSE),"")</f>
        <v/>
      </c>
      <c r="I4652" s="17"/>
      <c r="J4652" s="17"/>
      <c r="P4652" s="17"/>
      <c r="Q4652" s="17"/>
    </row>
    <row r="4653" spans="2:17">
      <c r="B4653" s="17"/>
      <c r="C4653" s="16" t="str">
        <f>IFERROR(VLOOKUP(DATA!#REF!,DATA!#REF!,1,FALSE),"")</f>
        <v/>
      </c>
      <c r="D4653" s="16" t="str">
        <f>IFERROR(VLOOKUP(C4653,DATA!#REF!,2,FALSE),"")</f>
        <v/>
      </c>
      <c r="I4653" s="17"/>
      <c r="J4653" s="17"/>
      <c r="P4653" s="17"/>
      <c r="Q4653" s="17"/>
    </row>
    <row r="4654" spans="2:17">
      <c r="B4654" s="17"/>
      <c r="C4654" s="16" t="str">
        <f>IFERROR(VLOOKUP(DATA!#REF!,DATA!#REF!,1,FALSE),"")</f>
        <v/>
      </c>
      <c r="D4654" s="16" t="str">
        <f>IFERROR(VLOOKUP(C4654,DATA!#REF!,2,FALSE),"")</f>
        <v/>
      </c>
      <c r="I4654" s="17"/>
      <c r="J4654" s="17"/>
      <c r="P4654" s="17"/>
      <c r="Q4654" s="17"/>
    </row>
    <row r="4655" spans="2:17">
      <c r="B4655" s="17"/>
      <c r="C4655" s="16" t="str">
        <f>IFERROR(VLOOKUP(DATA!#REF!,DATA!#REF!,1,FALSE),"")</f>
        <v/>
      </c>
      <c r="D4655" s="16" t="str">
        <f>IFERROR(VLOOKUP(C4655,DATA!#REF!,2,FALSE),"")</f>
        <v/>
      </c>
      <c r="I4655" s="17"/>
      <c r="J4655" s="17"/>
      <c r="P4655" s="17"/>
      <c r="Q4655" s="17"/>
    </row>
    <row r="4656" spans="2:17">
      <c r="B4656" s="17"/>
      <c r="C4656" s="16" t="str">
        <f>IFERROR(VLOOKUP(DATA!#REF!,DATA!#REF!,1,FALSE),"")</f>
        <v/>
      </c>
      <c r="D4656" s="16" t="str">
        <f>IFERROR(VLOOKUP(C4656,DATA!#REF!,2,FALSE),"")</f>
        <v/>
      </c>
      <c r="I4656" s="17"/>
      <c r="J4656" s="17"/>
      <c r="P4656" s="17"/>
      <c r="Q4656" s="17"/>
    </row>
    <row r="4657" spans="2:17">
      <c r="B4657" s="17"/>
      <c r="C4657" s="16" t="str">
        <f>IFERROR(VLOOKUP(DATA!#REF!,DATA!#REF!,1,FALSE),"")</f>
        <v/>
      </c>
      <c r="D4657" s="16" t="str">
        <f>IFERROR(VLOOKUP(C4657,DATA!#REF!,2,FALSE),"")</f>
        <v/>
      </c>
      <c r="I4657" s="17"/>
      <c r="J4657" s="17"/>
      <c r="P4657" s="17"/>
      <c r="Q4657" s="17"/>
    </row>
    <row r="4658" spans="2:17">
      <c r="B4658" s="17"/>
      <c r="C4658" s="16" t="str">
        <f>IFERROR(VLOOKUP(DATA!#REF!,DATA!#REF!,1,FALSE),"")</f>
        <v/>
      </c>
      <c r="D4658" s="16" t="str">
        <f>IFERROR(VLOOKUP(C4658,DATA!#REF!,2,FALSE),"")</f>
        <v/>
      </c>
      <c r="I4658" s="17"/>
      <c r="J4658" s="17"/>
      <c r="P4658" s="17"/>
      <c r="Q4658" s="17"/>
    </row>
    <row r="4659" spans="2:17">
      <c r="B4659" s="17"/>
      <c r="C4659" s="16" t="str">
        <f>IFERROR(VLOOKUP(DATA!#REF!,DATA!#REF!,1,FALSE),"")</f>
        <v/>
      </c>
      <c r="D4659" s="16" t="str">
        <f>IFERROR(VLOOKUP(C4659,DATA!#REF!,2,FALSE),"")</f>
        <v/>
      </c>
      <c r="I4659" s="17"/>
      <c r="J4659" s="17"/>
      <c r="P4659" s="17"/>
      <c r="Q4659" s="17"/>
    </row>
    <row r="4660" spans="2:17">
      <c r="B4660" s="17"/>
      <c r="C4660" s="16" t="str">
        <f>IFERROR(VLOOKUP(DATA!#REF!,DATA!#REF!,1,FALSE),"")</f>
        <v/>
      </c>
      <c r="D4660" s="16" t="str">
        <f>IFERROR(VLOOKUP(C4660,DATA!#REF!,2,FALSE),"")</f>
        <v/>
      </c>
      <c r="I4660" s="17"/>
      <c r="J4660" s="17"/>
      <c r="P4660" s="17"/>
      <c r="Q4660" s="17"/>
    </row>
    <row r="4661" spans="2:17">
      <c r="B4661" s="17"/>
      <c r="C4661" s="16" t="str">
        <f>IFERROR(VLOOKUP(DATA!#REF!,DATA!#REF!,1,FALSE),"")</f>
        <v/>
      </c>
      <c r="D4661" s="16" t="str">
        <f>IFERROR(VLOOKUP(C4661,DATA!#REF!,2,FALSE),"")</f>
        <v/>
      </c>
      <c r="I4661" s="17"/>
      <c r="J4661" s="17"/>
      <c r="P4661" s="17"/>
      <c r="Q4661" s="17"/>
    </row>
    <row r="4662" spans="2:17">
      <c r="B4662" s="17"/>
      <c r="C4662" s="16" t="str">
        <f>IFERROR(VLOOKUP(DATA!#REF!,DATA!#REF!,1,FALSE),"")</f>
        <v/>
      </c>
      <c r="D4662" s="16" t="str">
        <f>IFERROR(VLOOKUP(C4662,DATA!#REF!,2,FALSE),"")</f>
        <v/>
      </c>
      <c r="I4662" s="17"/>
      <c r="J4662" s="17"/>
      <c r="P4662" s="17"/>
      <c r="Q4662" s="17"/>
    </row>
    <row r="4663" spans="2:17">
      <c r="B4663" s="17"/>
      <c r="C4663" s="16" t="str">
        <f>IFERROR(VLOOKUP(DATA!#REF!,DATA!#REF!,1,FALSE),"")</f>
        <v/>
      </c>
      <c r="D4663" s="16" t="str">
        <f>IFERROR(VLOOKUP(C4663,DATA!#REF!,2,FALSE),"")</f>
        <v/>
      </c>
      <c r="I4663" s="17"/>
      <c r="J4663" s="17"/>
      <c r="P4663" s="17"/>
      <c r="Q4663" s="17"/>
    </row>
    <row r="4664" spans="2:17">
      <c r="B4664" s="17"/>
      <c r="C4664" s="16" t="str">
        <f>IFERROR(VLOOKUP(DATA!#REF!,DATA!#REF!,1,FALSE),"")</f>
        <v/>
      </c>
      <c r="D4664" s="16" t="str">
        <f>IFERROR(VLOOKUP(C4664,DATA!#REF!,2,FALSE),"")</f>
        <v/>
      </c>
      <c r="I4664" s="17"/>
      <c r="J4664" s="17"/>
      <c r="P4664" s="17"/>
      <c r="Q4664" s="17"/>
    </row>
    <row r="4665" spans="2:17">
      <c r="B4665" s="17"/>
      <c r="C4665" s="16" t="str">
        <f>IFERROR(VLOOKUP(DATA!#REF!,DATA!#REF!,1,FALSE),"")</f>
        <v/>
      </c>
      <c r="D4665" s="16" t="str">
        <f>IFERROR(VLOOKUP(C4665,DATA!#REF!,2,FALSE),"")</f>
        <v/>
      </c>
      <c r="I4665" s="17"/>
      <c r="J4665" s="17"/>
      <c r="P4665" s="17"/>
      <c r="Q4665" s="17"/>
    </row>
    <row r="4666" spans="2:17">
      <c r="B4666" s="17"/>
      <c r="C4666" s="16" t="str">
        <f>IFERROR(VLOOKUP(DATA!#REF!,DATA!#REF!,1,FALSE),"")</f>
        <v/>
      </c>
      <c r="D4666" s="16" t="str">
        <f>IFERROR(VLOOKUP(C4666,DATA!#REF!,2,FALSE),"")</f>
        <v/>
      </c>
      <c r="I4666" s="17"/>
      <c r="J4666" s="17"/>
      <c r="P4666" s="17"/>
      <c r="Q4666" s="17"/>
    </row>
    <row r="4667" spans="2:17">
      <c r="B4667" s="17"/>
      <c r="C4667" s="16" t="str">
        <f>IFERROR(VLOOKUP(DATA!#REF!,DATA!#REF!,1,FALSE),"")</f>
        <v/>
      </c>
      <c r="D4667" s="16" t="str">
        <f>IFERROR(VLOOKUP(C4667,DATA!#REF!,2,FALSE),"")</f>
        <v/>
      </c>
      <c r="I4667" s="17"/>
      <c r="J4667" s="17"/>
      <c r="P4667" s="17"/>
      <c r="Q4667" s="17"/>
    </row>
    <row r="4668" spans="2:17">
      <c r="B4668" s="17"/>
      <c r="C4668" s="16" t="str">
        <f>IFERROR(VLOOKUP(DATA!#REF!,DATA!#REF!,1,FALSE),"")</f>
        <v/>
      </c>
      <c r="D4668" s="16" t="str">
        <f>IFERROR(VLOOKUP(C4668,DATA!#REF!,2,FALSE),"")</f>
        <v/>
      </c>
      <c r="I4668" s="17"/>
      <c r="J4668" s="17"/>
      <c r="P4668" s="17"/>
      <c r="Q4668" s="17"/>
    </row>
    <row r="4669" spans="2:17">
      <c r="B4669" s="17"/>
      <c r="C4669" s="16" t="str">
        <f>IFERROR(VLOOKUP(DATA!#REF!,DATA!#REF!,1,FALSE),"")</f>
        <v/>
      </c>
      <c r="D4669" s="16" t="str">
        <f>IFERROR(VLOOKUP(C4669,DATA!#REF!,2,FALSE),"")</f>
        <v/>
      </c>
      <c r="I4669" s="17"/>
      <c r="J4669" s="17"/>
      <c r="P4669" s="17"/>
      <c r="Q4669" s="17"/>
    </row>
    <row r="4670" spans="2:17">
      <c r="B4670" s="17"/>
      <c r="C4670" s="16" t="str">
        <f>IFERROR(VLOOKUP(DATA!#REF!,DATA!#REF!,1,FALSE),"")</f>
        <v/>
      </c>
      <c r="D4670" s="16" t="str">
        <f>IFERROR(VLOOKUP(C4670,DATA!#REF!,2,FALSE),"")</f>
        <v/>
      </c>
      <c r="I4670" s="17"/>
      <c r="J4670" s="17"/>
      <c r="P4670" s="17"/>
      <c r="Q4670" s="17"/>
    </row>
    <row r="4671" spans="2:17">
      <c r="B4671" s="17"/>
      <c r="C4671" s="16" t="str">
        <f>IFERROR(VLOOKUP(DATA!#REF!,DATA!#REF!,1,FALSE),"")</f>
        <v/>
      </c>
      <c r="D4671" s="16" t="str">
        <f>IFERROR(VLOOKUP(C4671,DATA!#REF!,2,FALSE),"")</f>
        <v/>
      </c>
      <c r="I4671" s="17"/>
      <c r="J4671" s="17"/>
      <c r="P4671" s="17"/>
      <c r="Q4671" s="17"/>
    </row>
    <row r="4672" spans="2:17">
      <c r="B4672" s="17"/>
      <c r="C4672" s="16" t="str">
        <f>IFERROR(VLOOKUP(DATA!#REF!,DATA!#REF!,1,FALSE),"")</f>
        <v/>
      </c>
      <c r="D4672" s="16" t="str">
        <f>IFERROR(VLOOKUP(C4672,DATA!#REF!,2,FALSE),"")</f>
        <v/>
      </c>
      <c r="I4672" s="17"/>
      <c r="J4672" s="17"/>
      <c r="P4672" s="17"/>
      <c r="Q4672" s="17"/>
    </row>
    <row r="4673" spans="2:17">
      <c r="B4673" s="17"/>
      <c r="C4673" s="16" t="str">
        <f>IFERROR(VLOOKUP(DATA!#REF!,DATA!#REF!,1,FALSE),"")</f>
        <v/>
      </c>
      <c r="D4673" s="16" t="str">
        <f>IFERROR(VLOOKUP(C4673,DATA!#REF!,2,FALSE),"")</f>
        <v/>
      </c>
      <c r="I4673" s="17"/>
      <c r="J4673" s="17"/>
      <c r="P4673" s="17"/>
      <c r="Q4673" s="17"/>
    </row>
    <row r="4674" spans="2:17">
      <c r="B4674" s="17"/>
      <c r="C4674" s="16" t="str">
        <f>IFERROR(VLOOKUP(DATA!#REF!,DATA!#REF!,1,FALSE),"")</f>
        <v/>
      </c>
      <c r="D4674" s="16" t="str">
        <f>IFERROR(VLOOKUP(C4674,DATA!#REF!,2,FALSE),"")</f>
        <v/>
      </c>
      <c r="I4674" s="17"/>
      <c r="J4674" s="17"/>
      <c r="P4674" s="17"/>
      <c r="Q4674" s="17"/>
    </row>
    <row r="4675" spans="2:17">
      <c r="B4675" s="17"/>
      <c r="C4675" s="16" t="str">
        <f>IFERROR(VLOOKUP(DATA!#REF!,DATA!#REF!,1,FALSE),"")</f>
        <v/>
      </c>
      <c r="D4675" s="16" t="str">
        <f>IFERROR(VLOOKUP(C4675,DATA!#REF!,2,FALSE),"")</f>
        <v/>
      </c>
      <c r="I4675" s="17"/>
      <c r="J4675" s="17"/>
      <c r="P4675" s="17"/>
      <c r="Q4675" s="17"/>
    </row>
    <row r="4676" spans="2:17">
      <c r="B4676" s="17"/>
      <c r="C4676" s="16" t="str">
        <f>IFERROR(VLOOKUP(DATA!#REF!,DATA!#REF!,1,FALSE),"")</f>
        <v/>
      </c>
      <c r="D4676" s="16" t="str">
        <f>IFERROR(VLOOKUP(C4676,DATA!#REF!,2,FALSE),"")</f>
        <v/>
      </c>
      <c r="I4676" s="17"/>
      <c r="J4676" s="17"/>
      <c r="P4676" s="17"/>
      <c r="Q4676" s="17"/>
    </row>
    <row r="4677" spans="2:17">
      <c r="B4677" s="17"/>
      <c r="C4677" s="16" t="str">
        <f>IFERROR(VLOOKUP(DATA!#REF!,DATA!#REF!,1,FALSE),"")</f>
        <v/>
      </c>
      <c r="D4677" s="16" t="str">
        <f>IFERROR(VLOOKUP(C4677,DATA!#REF!,2,FALSE),"")</f>
        <v/>
      </c>
      <c r="I4677" s="17"/>
      <c r="J4677" s="17"/>
      <c r="P4677" s="17"/>
      <c r="Q4677" s="17"/>
    </row>
    <row r="4678" spans="2:17">
      <c r="B4678" s="17"/>
      <c r="C4678" s="16" t="str">
        <f>IFERROR(VLOOKUP(DATA!#REF!,DATA!#REF!,1,FALSE),"")</f>
        <v/>
      </c>
      <c r="D4678" s="16" t="str">
        <f>IFERROR(VLOOKUP(C4678,DATA!#REF!,2,FALSE),"")</f>
        <v/>
      </c>
      <c r="I4678" s="17"/>
      <c r="J4678" s="17"/>
      <c r="P4678" s="17"/>
      <c r="Q4678" s="17"/>
    </row>
    <row r="4679" spans="2:17">
      <c r="B4679" s="17"/>
      <c r="C4679" s="16" t="str">
        <f>IFERROR(VLOOKUP(DATA!#REF!,DATA!#REF!,1,FALSE),"")</f>
        <v/>
      </c>
      <c r="D4679" s="16" t="str">
        <f>IFERROR(VLOOKUP(C4679,DATA!#REF!,2,FALSE),"")</f>
        <v/>
      </c>
      <c r="I4679" s="17"/>
      <c r="J4679" s="17"/>
      <c r="P4679" s="17"/>
      <c r="Q4679" s="17"/>
    </row>
    <row r="4680" spans="2:17">
      <c r="B4680" s="17"/>
      <c r="C4680" s="16" t="str">
        <f>IFERROR(VLOOKUP(DATA!#REF!,DATA!#REF!,1,FALSE),"")</f>
        <v/>
      </c>
      <c r="D4680" s="16" t="str">
        <f>IFERROR(VLOOKUP(C4680,DATA!#REF!,2,FALSE),"")</f>
        <v/>
      </c>
      <c r="I4680" s="17"/>
      <c r="J4680" s="17"/>
      <c r="P4680" s="17"/>
      <c r="Q4680" s="17"/>
    </row>
    <row r="4681" spans="2:17">
      <c r="B4681" s="17"/>
      <c r="C4681" s="16" t="str">
        <f>IFERROR(VLOOKUP(DATA!#REF!,DATA!#REF!,1,FALSE),"")</f>
        <v/>
      </c>
      <c r="D4681" s="16" t="str">
        <f>IFERROR(VLOOKUP(C4681,DATA!#REF!,2,FALSE),"")</f>
        <v/>
      </c>
      <c r="I4681" s="17"/>
      <c r="J4681" s="17"/>
      <c r="P4681" s="17"/>
      <c r="Q4681" s="17"/>
    </row>
    <row r="4682" spans="2:17">
      <c r="B4682" s="17"/>
      <c r="C4682" s="16" t="str">
        <f>IFERROR(VLOOKUP(DATA!#REF!,DATA!#REF!,1,FALSE),"")</f>
        <v/>
      </c>
      <c r="D4682" s="16" t="str">
        <f>IFERROR(VLOOKUP(C4682,DATA!#REF!,2,FALSE),"")</f>
        <v/>
      </c>
      <c r="I4682" s="17"/>
      <c r="J4682" s="17"/>
      <c r="P4682" s="17"/>
      <c r="Q4682" s="17"/>
    </row>
    <row r="4683" spans="2:17">
      <c r="B4683" s="17"/>
      <c r="C4683" s="16" t="str">
        <f>IFERROR(VLOOKUP(DATA!#REF!,DATA!#REF!,1,FALSE),"")</f>
        <v/>
      </c>
      <c r="D4683" s="16" t="str">
        <f>IFERROR(VLOOKUP(C4683,DATA!#REF!,2,FALSE),"")</f>
        <v/>
      </c>
      <c r="I4683" s="17"/>
      <c r="J4683" s="17"/>
      <c r="P4683" s="17"/>
      <c r="Q4683" s="17"/>
    </row>
    <row r="4684" spans="2:17">
      <c r="B4684" s="17"/>
      <c r="C4684" s="16" t="str">
        <f>IFERROR(VLOOKUP(DATA!#REF!,DATA!#REF!,1,FALSE),"")</f>
        <v/>
      </c>
      <c r="D4684" s="16" t="str">
        <f>IFERROR(VLOOKUP(C4684,DATA!#REF!,2,FALSE),"")</f>
        <v/>
      </c>
      <c r="I4684" s="17"/>
      <c r="J4684" s="17"/>
      <c r="P4684" s="17"/>
      <c r="Q4684" s="17"/>
    </row>
    <row r="4685" spans="2:17">
      <c r="B4685" s="17"/>
      <c r="C4685" s="16" t="str">
        <f>IFERROR(VLOOKUP(DATA!#REF!,DATA!#REF!,1,FALSE),"")</f>
        <v/>
      </c>
      <c r="D4685" s="16" t="str">
        <f>IFERROR(VLOOKUP(C4685,DATA!#REF!,2,FALSE),"")</f>
        <v/>
      </c>
      <c r="I4685" s="17"/>
      <c r="J4685" s="17"/>
      <c r="P4685" s="17"/>
      <c r="Q4685" s="17"/>
    </row>
    <row r="4686" spans="2:17">
      <c r="B4686" s="17"/>
      <c r="C4686" s="16" t="str">
        <f>IFERROR(VLOOKUP(DATA!#REF!,DATA!#REF!,1,FALSE),"")</f>
        <v/>
      </c>
      <c r="D4686" s="16" t="str">
        <f>IFERROR(VLOOKUP(C4686,DATA!#REF!,2,FALSE),"")</f>
        <v/>
      </c>
      <c r="I4686" s="17"/>
      <c r="J4686" s="17"/>
      <c r="P4686" s="17"/>
      <c r="Q4686" s="17"/>
    </row>
    <row r="4687" spans="2:17">
      <c r="B4687" s="17"/>
      <c r="C4687" s="16" t="str">
        <f>IFERROR(VLOOKUP(DATA!#REF!,DATA!#REF!,1,FALSE),"")</f>
        <v/>
      </c>
      <c r="D4687" s="16" t="str">
        <f>IFERROR(VLOOKUP(C4687,DATA!#REF!,2,FALSE),"")</f>
        <v/>
      </c>
      <c r="I4687" s="17"/>
      <c r="J4687" s="17"/>
      <c r="P4687" s="17"/>
      <c r="Q4687" s="17"/>
    </row>
    <row r="4688" spans="2:17">
      <c r="B4688" s="17"/>
      <c r="C4688" s="16" t="str">
        <f>IFERROR(VLOOKUP(DATA!#REF!,DATA!#REF!,1,FALSE),"")</f>
        <v/>
      </c>
      <c r="D4688" s="16" t="str">
        <f>IFERROR(VLOOKUP(C4688,DATA!#REF!,2,FALSE),"")</f>
        <v/>
      </c>
      <c r="I4688" s="17"/>
      <c r="J4688" s="17"/>
      <c r="P4688" s="17"/>
      <c r="Q4688" s="17"/>
    </row>
    <row r="4689" spans="2:17">
      <c r="B4689" s="17"/>
      <c r="C4689" s="16" t="str">
        <f>IFERROR(VLOOKUP(DATA!#REF!,DATA!#REF!,1,FALSE),"")</f>
        <v/>
      </c>
      <c r="D4689" s="16" t="str">
        <f>IFERROR(VLOOKUP(C4689,DATA!#REF!,2,FALSE),"")</f>
        <v/>
      </c>
      <c r="I4689" s="17"/>
      <c r="J4689" s="17"/>
      <c r="P4689" s="17"/>
      <c r="Q4689" s="17"/>
    </row>
    <row r="4690" spans="2:17">
      <c r="B4690" s="17"/>
      <c r="C4690" s="16" t="str">
        <f>IFERROR(VLOOKUP(DATA!#REF!,DATA!#REF!,1,FALSE),"")</f>
        <v/>
      </c>
      <c r="D4690" s="16" t="str">
        <f>IFERROR(VLOOKUP(C4690,DATA!#REF!,2,FALSE),"")</f>
        <v/>
      </c>
      <c r="I4690" s="17"/>
      <c r="J4690" s="17"/>
      <c r="P4690" s="17"/>
      <c r="Q4690" s="17"/>
    </row>
    <row r="4691" spans="2:17">
      <c r="B4691" s="17"/>
      <c r="C4691" s="16" t="str">
        <f>IFERROR(VLOOKUP(DATA!#REF!,DATA!#REF!,1,FALSE),"")</f>
        <v/>
      </c>
      <c r="D4691" s="16" t="str">
        <f>IFERROR(VLOOKUP(C4691,DATA!#REF!,2,FALSE),"")</f>
        <v/>
      </c>
      <c r="I4691" s="17"/>
      <c r="J4691" s="17"/>
      <c r="P4691" s="17"/>
      <c r="Q4691" s="17"/>
    </row>
    <row r="4692" spans="2:17">
      <c r="B4692" s="17"/>
      <c r="C4692" s="16" t="str">
        <f>IFERROR(VLOOKUP(DATA!#REF!,DATA!#REF!,1,FALSE),"")</f>
        <v/>
      </c>
      <c r="D4692" s="16" t="str">
        <f>IFERROR(VLOOKUP(C4692,DATA!#REF!,2,FALSE),"")</f>
        <v/>
      </c>
      <c r="I4692" s="17"/>
      <c r="J4692" s="17"/>
      <c r="P4692" s="17"/>
      <c r="Q4692" s="17"/>
    </row>
    <row r="4693" spans="2:17">
      <c r="B4693" s="17"/>
      <c r="C4693" s="16" t="str">
        <f>IFERROR(VLOOKUP(DATA!#REF!,DATA!#REF!,1,FALSE),"")</f>
        <v/>
      </c>
      <c r="D4693" s="16" t="str">
        <f>IFERROR(VLOOKUP(C4693,DATA!#REF!,2,FALSE),"")</f>
        <v/>
      </c>
      <c r="I4693" s="17"/>
      <c r="J4693" s="17"/>
      <c r="P4693" s="17"/>
      <c r="Q4693" s="17"/>
    </row>
    <row r="4694" spans="2:17">
      <c r="B4694" s="17"/>
      <c r="C4694" s="16" t="str">
        <f>IFERROR(VLOOKUP(DATA!#REF!,DATA!#REF!,1,FALSE),"")</f>
        <v/>
      </c>
      <c r="D4694" s="16" t="str">
        <f>IFERROR(VLOOKUP(C4694,DATA!#REF!,2,FALSE),"")</f>
        <v/>
      </c>
      <c r="I4694" s="17"/>
      <c r="J4694" s="17"/>
      <c r="P4694" s="17"/>
      <c r="Q4694" s="17"/>
    </row>
    <row r="4695" spans="2:17">
      <c r="B4695" s="17"/>
      <c r="C4695" s="16" t="str">
        <f>IFERROR(VLOOKUP(DATA!#REF!,DATA!#REF!,1,FALSE),"")</f>
        <v/>
      </c>
      <c r="D4695" s="16" t="str">
        <f>IFERROR(VLOOKUP(C4695,DATA!#REF!,2,FALSE),"")</f>
        <v/>
      </c>
      <c r="I4695" s="17"/>
      <c r="J4695" s="17"/>
      <c r="P4695" s="17"/>
      <c r="Q4695" s="17"/>
    </row>
    <row r="4696" spans="2:17">
      <c r="B4696" s="17"/>
      <c r="C4696" s="16" t="str">
        <f>IFERROR(VLOOKUP(DATA!#REF!,DATA!#REF!,1,FALSE),"")</f>
        <v/>
      </c>
      <c r="D4696" s="16" t="str">
        <f>IFERROR(VLOOKUP(C4696,DATA!#REF!,2,FALSE),"")</f>
        <v/>
      </c>
      <c r="I4696" s="17"/>
      <c r="J4696" s="17"/>
      <c r="P4696" s="17"/>
      <c r="Q4696" s="17"/>
    </row>
    <row r="4697" spans="2:17">
      <c r="B4697" s="17"/>
      <c r="C4697" s="16" t="str">
        <f>IFERROR(VLOOKUP(DATA!#REF!,DATA!#REF!,1,FALSE),"")</f>
        <v/>
      </c>
      <c r="D4697" s="16" t="str">
        <f>IFERROR(VLOOKUP(C4697,DATA!#REF!,2,FALSE),"")</f>
        <v/>
      </c>
      <c r="I4697" s="17"/>
      <c r="J4697" s="17"/>
      <c r="P4697" s="17"/>
      <c r="Q4697" s="17"/>
    </row>
    <row r="4698" spans="2:17">
      <c r="B4698" s="17"/>
      <c r="C4698" s="16" t="str">
        <f>IFERROR(VLOOKUP(DATA!#REF!,DATA!#REF!,1,FALSE),"")</f>
        <v/>
      </c>
      <c r="D4698" s="16" t="str">
        <f>IFERROR(VLOOKUP(C4698,DATA!#REF!,2,FALSE),"")</f>
        <v/>
      </c>
      <c r="I4698" s="17"/>
      <c r="J4698" s="17"/>
      <c r="P4698" s="17"/>
      <c r="Q4698" s="17"/>
    </row>
    <row r="4699" spans="2:17">
      <c r="B4699" s="17"/>
      <c r="C4699" s="16" t="str">
        <f>IFERROR(VLOOKUP(DATA!#REF!,DATA!#REF!,1,FALSE),"")</f>
        <v/>
      </c>
      <c r="D4699" s="16" t="str">
        <f>IFERROR(VLOOKUP(C4699,DATA!#REF!,2,FALSE),"")</f>
        <v/>
      </c>
      <c r="I4699" s="17"/>
      <c r="J4699" s="17"/>
      <c r="P4699" s="17"/>
      <c r="Q4699" s="17"/>
    </row>
    <row r="4700" spans="2:17">
      <c r="B4700" s="17"/>
      <c r="C4700" s="16" t="str">
        <f>IFERROR(VLOOKUP(DATA!#REF!,DATA!#REF!,1,FALSE),"")</f>
        <v/>
      </c>
      <c r="D4700" s="16" t="str">
        <f>IFERROR(VLOOKUP(C4700,DATA!#REF!,2,FALSE),"")</f>
        <v/>
      </c>
      <c r="I4700" s="17"/>
      <c r="J4700" s="17"/>
      <c r="P4700" s="17"/>
      <c r="Q4700" s="17"/>
    </row>
    <row r="4701" spans="2:17">
      <c r="B4701" s="17"/>
      <c r="C4701" s="16" t="str">
        <f>IFERROR(VLOOKUP(DATA!#REF!,DATA!#REF!,1,FALSE),"")</f>
        <v/>
      </c>
      <c r="D4701" s="16" t="str">
        <f>IFERROR(VLOOKUP(C4701,DATA!#REF!,2,FALSE),"")</f>
        <v/>
      </c>
      <c r="I4701" s="17"/>
      <c r="J4701" s="17"/>
      <c r="P4701" s="17"/>
      <c r="Q4701" s="17"/>
    </row>
    <row r="4702" spans="2:17">
      <c r="B4702" s="17"/>
      <c r="C4702" s="16" t="str">
        <f>IFERROR(VLOOKUP(DATA!#REF!,DATA!#REF!,1,FALSE),"")</f>
        <v/>
      </c>
      <c r="D4702" s="16" t="str">
        <f>IFERROR(VLOOKUP(C4702,DATA!#REF!,2,FALSE),"")</f>
        <v/>
      </c>
      <c r="I4702" s="17"/>
      <c r="J4702" s="17"/>
      <c r="P4702" s="17"/>
      <c r="Q4702" s="17"/>
    </row>
    <row r="4703" spans="2:17">
      <c r="B4703" s="17"/>
      <c r="C4703" s="16" t="str">
        <f>IFERROR(VLOOKUP(DATA!#REF!,DATA!#REF!,1,FALSE),"")</f>
        <v/>
      </c>
      <c r="D4703" s="16" t="str">
        <f>IFERROR(VLOOKUP(C4703,DATA!#REF!,2,FALSE),"")</f>
        <v/>
      </c>
      <c r="I4703" s="17"/>
      <c r="J4703" s="17"/>
      <c r="P4703" s="17"/>
      <c r="Q4703" s="17"/>
    </row>
    <row r="4704" spans="2:17">
      <c r="B4704" s="17"/>
      <c r="C4704" s="16" t="str">
        <f>IFERROR(VLOOKUP(DATA!#REF!,DATA!#REF!,1,FALSE),"")</f>
        <v/>
      </c>
      <c r="D4704" s="16" t="str">
        <f>IFERROR(VLOOKUP(C4704,DATA!#REF!,2,FALSE),"")</f>
        <v/>
      </c>
      <c r="I4704" s="17"/>
      <c r="J4704" s="17"/>
      <c r="P4704" s="17"/>
      <c r="Q4704" s="17"/>
    </row>
    <row r="4705" spans="2:17">
      <c r="B4705" s="17"/>
      <c r="C4705" s="16" t="str">
        <f>IFERROR(VLOOKUP(DATA!#REF!,DATA!#REF!,1,FALSE),"")</f>
        <v/>
      </c>
      <c r="D4705" s="16" t="str">
        <f>IFERROR(VLOOKUP(C4705,DATA!#REF!,2,FALSE),"")</f>
        <v/>
      </c>
      <c r="I4705" s="17"/>
      <c r="J4705" s="17"/>
      <c r="P4705" s="17"/>
      <c r="Q4705" s="17"/>
    </row>
    <row r="4706" spans="2:17">
      <c r="B4706" s="17"/>
      <c r="C4706" s="16" t="str">
        <f>IFERROR(VLOOKUP(DATA!#REF!,DATA!#REF!,1,FALSE),"")</f>
        <v/>
      </c>
      <c r="D4706" s="16" t="str">
        <f>IFERROR(VLOOKUP(C4706,DATA!#REF!,2,FALSE),"")</f>
        <v/>
      </c>
      <c r="I4706" s="17"/>
      <c r="J4706" s="17"/>
      <c r="P4706" s="17"/>
      <c r="Q4706" s="17"/>
    </row>
    <row r="4707" spans="2:17">
      <c r="B4707" s="17"/>
      <c r="C4707" s="16" t="str">
        <f>IFERROR(VLOOKUP(DATA!#REF!,DATA!#REF!,1,FALSE),"")</f>
        <v/>
      </c>
      <c r="D4707" s="16" t="str">
        <f>IFERROR(VLOOKUP(C4707,DATA!#REF!,2,FALSE),"")</f>
        <v/>
      </c>
      <c r="I4707" s="17"/>
      <c r="J4707" s="17"/>
      <c r="P4707" s="17"/>
      <c r="Q4707" s="17"/>
    </row>
    <row r="4708" spans="2:17">
      <c r="B4708" s="17"/>
      <c r="C4708" s="16" t="str">
        <f>IFERROR(VLOOKUP(DATA!#REF!,DATA!#REF!,1,FALSE),"")</f>
        <v/>
      </c>
      <c r="D4708" s="16" t="str">
        <f>IFERROR(VLOOKUP(C4708,DATA!#REF!,2,FALSE),"")</f>
        <v/>
      </c>
      <c r="I4708" s="17"/>
      <c r="J4708" s="17"/>
      <c r="P4708" s="17"/>
      <c r="Q4708" s="17"/>
    </row>
    <row r="4709" spans="2:17">
      <c r="B4709" s="17"/>
      <c r="C4709" s="16" t="str">
        <f>IFERROR(VLOOKUP(DATA!#REF!,DATA!#REF!,1,FALSE),"")</f>
        <v/>
      </c>
      <c r="D4709" s="16" t="str">
        <f>IFERROR(VLOOKUP(C4709,DATA!#REF!,2,FALSE),"")</f>
        <v/>
      </c>
      <c r="I4709" s="17"/>
      <c r="J4709" s="17"/>
      <c r="P4709" s="17"/>
      <c r="Q4709" s="17"/>
    </row>
    <row r="4710" spans="2:17">
      <c r="B4710" s="17"/>
      <c r="C4710" s="16" t="str">
        <f>IFERROR(VLOOKUP(DATA!#REF!,DATA!#REF!,1,FALSE),"")</f>
        <v/>
      </c>
      <c r="D4710" s="16" t="str">
        <f>IFERROR(VLOOKUP(C4710,DATA!#REF!,2,FALSE),"")</f>
        <v/>
      </c>
      <c r="I4710" s="17"/>
      <c r="J4710" s="17"/>
      <c r="P4710" s="17"/>
      <c r="Q4710" s="17"/>
    </row>
    <row r="4711" spans="2:17">
      <c r="B4711" s="17"/>
      <c r="C4711" s="16" t="str">
        <f>IFERROR(VLOOKUP(DATA!#REF!,DATA!#REF!,1,FALSE),"")</f>
        <v/>
      </c>
      <c r="D4711" s="16" t="str">
        <f>IFERROR(VLOOKUP(C4711,DATA!#REF!,2,FALSE),"")</f>
        <v/>
      </c>
      <c r="I4711" s="17"/>
      <c r="J4711" s="17"/>
      <c r="P4711" s="17"/>
      <c r="Q4711" s="17"/>
    </row>
    <row r="4712" spans="2:17">
      <c r="B4712" s="17"/>
      <c r="C4712" s="16" t="str">
        <f>IFERROR(VLOOKUP(DATA!#REF!,DATA!#REF!,1,FALSE),"")</f>
        <v/>
      </c>
      <c r="D4712" s="16" t="str">
        <f>IFERROR(VLOOKUP(C4712,DATA!#REF!,2,FALSE),"")</f>
        <v/>
      </c>
      <c r="I4712" s="17"/>
      <c r="J4712" s="17"/>
      <c r="P4712" s="17"/>
      <c r="Q4712" s="17"/>
    </row>
    <row r="4713" spans="2:17">
      <c r="B4713" s="17"/>
      <c r="C4713" s="16" t="str">
        <f>IFERROR(VLOOKUP(DATA!#REF!,DATA!#REF!,1,FALSE),"")</f>
        <v/>
      </c>
      <c r="D4713" s="16" t="str">
        <f>IFERROR(VLOOKUP(C4713,DATA!#REF!,2,FALSE),"")</f>
        <v/>
      </c>
      <c r="I4713" s="17"/>
      <c r="J4713" s="17"/>
      <c r="P4713" s="17"/>
      <c r="Q4713" s="17"/>
    </row>
    <row r="4714" spans="2:17">
      <c r="B4714" s="17"/>
      <c r="C4714" s="16" t="str">
        <f>IFERROR(VLOOKUP(DATA!#REF!,DATA!#REF!,1,FALSE),"")</f>
        <v/>
      </c>
      <c r="D4714" s="16" t="str">
        <f>IFERROR(VLOOKUP(C4714,DATA!#REF!,2,FALSE),"")</f>
        <v/>
      </c>
      <c r="I4714" s="17"/>
      <c r="J4714" s="17"/>
      <c r="P4714" s="17"/>
      <c r="Q4714" s="17"/>
    </row>
    <row r="4715" spans="2:17">
      <c r="B4715" s="17"/>
      <c r="C4715" s="16" t="str">
        <f>IFERROR(VLOOKUP(DATA!#REF!,DATA!#REF!,1,FALSE),"")</f>
        <v/>
      </c>
      <c r="D4715" s="16" t="str">
        <f>IFERROR(VLOOKUP(C4715,DATA!#REF!,2,FALSE),"")</f>
        <v/>
      </c>
      <c r="I4715" s="17"/>
      <c r="J4715" s="17"/>
      <c r="P4715" s="17"/>
      <c r="Q4715" s="17"/>
    </row>
    <row r="4716" spans="2:17">
      <c r="B4716" s="17"/>
      <c r="C4716" s="16" t="str">
        <f>IFERROR(VLOOKUP(DATA!#REF!,DATA!#REF!,1,FALSE),"")</f>
        <v/>
      </c>
      <c r="D4716" s="16" t="str">
        <f>IFERROR(VLOOKUP(C4716,DATA!#REF!,2,FALSE),"")</f>
        <v/>
      </c>
      <c r="I4716" s="17"/>
      <c r="J4716" s="17"/>
      <c r="P4716" s="17"/>
      <c r="Q4716" s="17"/>
    </row>
    <row r="4717" spans="2:17">
      <c r="B4717" s="17"/>
      <c r="C4717" s="16" t="str">
        <f>IFERROR(VLOOKUP(DATA!#REF!,DATA!#REF!,1,FALSE),"")</f>
        <v/>
      </c>
      <c r="D4717" s="16" t="str">
        <f>IFERROR(VLOOKUP(C4717,DATA!#REF!,2,FALSE),"")</f>
        <v/>
      </c>
      <c r="I4717" s="17"/>
      <c r="J4717" s="17"/>
      <c r="P4717" s="17"/>
      <c r="Q4717" s="17"/>
    </row>
    <row r="4718" spans="2:17">
      <c r="B4718" s="17"/>
      <c r="C4718" s="16" t="str">
        <f>IFERROR(VLOOKUP(DATA!#REF!,DATA!#REF!,1,FALSE),"")</f>
        <v/>
      </c>
      <c r="D4718" s="16" t="str">
        <f>IFERROR(VLOOKUP(C4718,DATA!#REF!,2,FALSE),"")</f>
        <v/>
      </c>
      <c r="I4718" s="17"/>
      <c r="J4718" s="17"/>
      <c r="P4718" s="17"/>
      <c r="Q4718" s="17"/>
    </row>
    <row r="4719" spans="2:17">
      <c r="B4719" s="17"/>
      <c r="C4719" s="16" t="str">
        <f>IFERROR(VLOOKUP(DATA!#REF!,DATA!#REF!,1,FALSE),"")</f>
        <v/>
      </c>
      <c r="D4719" s="16" t="str">
        <f>IFERROR(VLOOKUP(C4719,DATA!#REF!,2,FALSE),"")</f>
        <v/>
      </c>
      <c r="I4719" s="17"/>
      <c r="J4719" s="17"/>
      <c r="P4719" s="17"/>
      <c r="Q4719" s="17"/>
    </row>
    <row r="4720" spans="2:17">
      <c r="B4720" s="17"/>
      <c r="C4720" s="16" t="str">
        <f>IFERROR(VLOOKUP(DATA!#REF!,DATA!#REF!,1,FALSE),"")</f>
        <v/>
      </c>
      <c r="D4720" s="16" t="str">
        <f>IFERROR(VLOOKUP(C4720,DATA!#REF!,2,FALSE),"")</f>
        <v/>
      </c>
      <c r="I4720" s="17"/>
      <c r="J4720" s="17"/>
      <c r="P4720" s="17"/>
      <c r="Q4720" s="17"/>
    </row>
    <row r="4721" spans="2:17">
      <c r="B4721" s="17"/>
      <c r="C4721" s="16" t="str">
        <f>IFERROR(VLOOKUP(DATA!#REF!,DATA!#REF!,1,FALSE),"")</f>
        <v/>
      </c>
      <c r="D4721" s="16" t="str">
        <f>IFERROR(VLOOKUP(C4721,DATA!#REF!,2,FALSE),"")</f>
        <v/>
      </c>
      <c r="I4721" s="17"/>
      <c r="J4721" s="17"/>
      <c r="P4721" s="17"/>
      <c r="Q4721" s="17"/>
    </row>
    <row r="4722" spans="2:17">
      <c r="B4722" s="17"/>
      <c r="C4722" s="16" t="str">
        <f>IFERROR(VLOOKUP(DATA!#REF!,DATA!#REF!,1,FALSE),"")</f>
        <v/>
      </c>
      <c r="D4722" s="16" t="str">
        <f>IFERROR(VLOOKUP(C4722,DATA!#REF!,2,FALSE),"")</f>
        <v/>
      </c>
      <c r="I4722" s="17"/>
      <c r="J4722" s="17"/>
      <c r="P4722" s="17"/>
      <c r="Q4722" s="17"/>
    </row>
    <row r="4723" spans="2:17">
      <c r="B4723" s="17"/>
      <c r="C4723" s="16" t="str">
        <f>IFERROR(VLOOKUP(DATA!#REF!,DATA!#REF!,1,FALSE),"")</f>
        <v/>
      </c>
      <c r="D4723" s="16" t="str">
        <f>IFERROR(VLOOKUP(C4723,DATA!#REF!,2,FALSE),"")</f>
        <v/>
      </c>
      <c r="I4723" s="17"/>
      <c r="J4723" s="17"/>
      <c r="P4723" s="17"/>
      <c r="Q4723" s="17"/>
    </row>
    <row r="4724" spans="2:17">
      <c r="B4724" s="17"/>
      <c r="C4724" s="16" t="str">
        <f>IFERROR(VLOOKUP(DATA!#REF!,DATA!#REF!,1,FALSE),"")</f>
        <v/>
      </c>
      <c r="D4724" s="16" t="str">
        <f>IFERROR(VLOOKUP(C4724,DATA!#REF!,2,FALSE),"")</f>
        <v/>
      </c>
      <c r="I4724" s="17"/>
      <c r="J4724" s="17"/>
      <c r="P4724" s="17"/>
      <c r="Q4724" s="17"/>
    </row>
    <row r="4725" spans="2:17">
      <c r="B4725" s="17"/>
      <c r="C4725" s="16" t="str">
        <f>IFERROR(VLOOKUP(DATA!#REF!,DATA!#REF!,1,FALSE),"")</f>
        <v/>
      </c>
      <c r="D4725" s="16" t="str">
        <f>IFERROR(VLOOKUP(C4725,DATA!#REF!,2,FALSE),"")</f>
        <v/>
      </c>
      <c r="I4725" s="17"/>
      <c r="J4725" s="17"/>
      <c r="P4725" s="17"/>
      <c r="Q4725" s="17"/>
    </row>
    <row r="4726" spans="2:17">
      <c r="B4726" s="17"/>
      <c r="C4726" s="16" t="str">
        <f>IFERROR(VLOOKUP(DATA!#REF!,DATA!#REF!,1,FALSE),"")</f>
        <v/>
      </c>
      <c r="D4726" s="16" t="str">
        <f>IFERROR(VLOOKUP(C4726,DATA!#REF!,2,FALSE),"")</f>
        <v/>
      </c>
      <c r="I4726" s="17"/>
      <c r="J4726" s="17"/>
      <c r="P4726" s="17"/>
      <c r="Q4726" s="17"/>
    </row>
    <row r="4727" spans="2:17">
      <c r="B4727" s="17"/>
      <c r="C4727" s="16" t="str">
        <f>IFERROR(VLOOKUP(DATA!#REF!,DATA!#REF!,1,FALSE),"")</f>
        <v/>
      </c>
      <c r="D4727" s="16" t="str">
        <f>IFERROR(VLOOKUP(C4727,DATA!#REF!,2,FALSE),"")</f>
        <v/>
      </c>
      <c r="I4727" s="17"/>
      <c r="J4727" s="17"/>
      <c r="P4727" s="17"/>
      <c r="Q4727" s="17"/>
    </row>
    <row r="4728" spans="2:17">
      <c r="B4728" s="17"/>
      <c r="C4728" s="16" t="str">
        <f>IFERROR(VLOOKUP(DATA!#REF!,DATA!#REF!,1,FALSE),"")</f>
        <v/>
      </c>
      <c r="D4728" s="16" t="str">
        <f>IFERROR(VLOOKUP(C4728,DATA!#REF!,2,FALSE),"")</f>
        <v/>
      </c>
      <c r="I4728" s="17"/>
      <c r="J4728" s="17"/>
      <c r="P4728" s="17"/>
      <c r="Q4728" s="17"/>
    </row>
    <row r="4729" spans="2:17">
      <c r="B4729" s="17"/>
      <c r="C4729" s="16" t="str">
        <f>IFERROR(VLOOKUP(DATA!#REF!,DATA!#REF!,1,FALSE),"")</f>
        <v/>
      </c>
      <c r="D4729" s="16" t="str">
        <f>IFERROR(VLOOKUP(C4729,DATA!#REF!,2,FALSE),"")</f>
        <v/>
      </c>
      <c r="I4729" s="17"/>
      <c r="J4729" s="17"/>
      <c r="P4729" s="17"/>
      <c r="Q4729" s="17"/>
    </row>
    <row r="4730" spans="2:17">
      <c r="B4730" s="17"/>
      <c r="C4730" s="16" t="str">
        <f>IFERROR(VLOOKUP(DATA!#REF!,DATA!#REF!,1,FALSE),"")</f>
        <v/>
      </c>
      <c r="D4730" s="16" t="str">
        <f>IFERROR(VLOOKUP(C4730,DATA!#REF!,2,FALSE),"")</f>
        <v/>
      </c>
      <c r="I4730" s="17"/>
      <c r="J4730" s="17"/>
      <c r="P4730" s="17"/>
      <c r="Q4730" s="17"/>
    </row>
    <row r="4731" spans="2:17">
      <c r="B4731" s="17"/>
      <c r="C4731" s="16" t="str">
        <f>IFERROR(VLOOKUP(DATA!#REF!,DATA!#REF!,1,FALSE),"")</f>
        <v/>
      </c>
      <c r="D4731" s="16" t="str">
        <f>IFERROR(VLOOKUP(C4731,DATA!#REF!,2,FALSE),"")</f>
        <v/>
      </c>
      <c r="I4731" s="17"/>
      <c r="J4731" s="17"/>
      <c r="P4731" s="17"/>
      <c r="Q4731" s="17"/>
    </row>
    <row r="4732" spans="2:17">
      <c r="B4732" s="17"/>
      <c r="C4732" s="16" t="str">
        <f>IFERROR(VLOOKUP(DATA!#REF!,DATA!#REF!,1,FALSE),"")</f>
        <v/>
      </c>
      <c r="D4732" s="16" t="str">
        <f>IFERROR(VLOOKUP(C4732,DATA!#REF!,2,FALSE),"")</f>
        <v/>
      </c>
      <c r="I4732" s="17"/>
      <c r="J4732" s="17"/>
      <c r="P4732" s="17"/>
      <c r="Q4732" s="17"/>
    </row>
    <row r="4733" spans="2:17">
      <c r="B4733" s="17"/>
      <c r="C4733" s="16" t="str">
        <f>IFERROR(VLOOKUP(DATA!#REF!,DATA!#REF!,1,FALSE),"")</f>
        <v/>
      </c>
      <c r="D4733" s="16" t="str">
        <f>IFERROR(VLOOKUP(C4733,DATA!#REF!,2,FALSE),"")</f>
        <v/>
      </c>
      <c r="I4733" s="17"/>
      <c r="J4733" s="17"/>
      <c r="P4733" s="17"/>
      <c r="Q4733" s="17"/>
    </row>
    <row r="4734" spans="2:17">
      <c r="B4734" s="17"/>
      <c r="C4734" s="16" t="str">
        <f>IFERROR(VLOOKUP(DATA!#REF!,DATA!#REF!,1,FALSE),"")</f>
        <v/>
      </c>
      <c r="D4734" s="16" t="str">
        <f>IFERROR(VLOOKUP(C4734,DATA!#REF!,2,FALSE),"")</f>
        <v/>
      </c>
      <c r="I4734" s="17"/>
      <c r="J4734" s="17"/>
      <c r="P4734" s="17"/>
      <c r="Q4734" s="17"/>
    </row>
    <row r="4735" spans="2:17">
      <c r="B4735" s="17"/>
      <c r="C4735" s="16" t="str">
        <f>IFERROR(VLOOKUP(DATA!#REF!,DATA!#REF!,1,FALSE),"")</f>
        <v/>
      </c>
      <c r="D4735" s="16" t="str">
        <f>IFERROR(VLOOKUP(C4735,DATA!#REF!,2,FALSE),"")</f>
        <v/>
      </c>
      <c r="I4735" s="17"/>
      <c r="J4735" s="17"/>
      <c r="P4735" s="17"/>
      <c r="Q4735" s="17"/>
    </row>
    <row r="4736" spans="2:17">
      <c r="B4736" s="17"/>
      <c r="C4736" s="16" t="str">
        <f>IFERROR(VLOOKUP(DATA!#REF!,DATA!#REF!,1,FALSE),"")</f>
        <v/>
      </c>
      <c r="D4736" s="16" t="str">
        <f>IFERROR(VLOOKUP(C4736,DATA!#REF!,2,FALSE),"")</f>
        <v/>
      </c>
      <c r="I4736" s="17"/>
      <c r="J4736" s="17"/>
      <c r="P4736" s="17"/>
      <c r="Q4736" s="17"/>
    </row>
    <row r="4737" spans="2:17">
      <c r="B4737" s="17"/>
      <c r="C4737" s="16" t="str">
        <f>IFERROR(VLOOKUP(DATA!#REF!,DATA!#REF!,1,FALSE),"")</f>
        <v/>
      </c>
      <c r="D4737" s="16" t="str">
        <f>IFERROR(VLOOKUP(C4737,DATA!#REF!,2,FALSE),"")</f>
        <v/>
      </c>
      <c r="I4737" s="17"/>
      <c r="J4737" s="17"/>
      <c r="P4737" s="17"/>
      <c r="Q4737" s="17"/>
    </row>
    <row r="4738" spans="2:17">
      <c r="B4738" s="17"/>
      <c r="C4738" s="16" t="str">
        <f>IFERROR(VLOOKUP(DATA!#REF!,DATA!#REF!,1,FALSE),"")</f>
        <v/>
      </c>
      <c r="D4738" s="16" t="str">
        <f>IFERROR(VLOOKUP(C4738,DATA!#REF!,2,FALSE),"")</f>
        <v/>
      </c>
      <c r="I4738" s="17"/>
      <c r="J4738" s="17"/>
      <c r="P4738" s="17"/>
      <c r="Q4738" s="17"/>
    </row>
    <row r="4739" spans="2:17">
      <c r="B4739" s="17"/>
      <c r="C4739" s="16" t="str">
        <f>IFERROR(VLOOKUP(DATA!#REF!,DATA!#REF!,1,FALSE),"")</f>
        <v/>
      </c>
      <c r="D4739" s="16" t="str">
        <f>IFERROR(VLOOKUP(C4739,DATA!#REF!,2,FALSE),"")</f>
        <v/>
      </c>
      <c r="I4739" s="17"/>
      <c r="J4739" s="17"/>
      <c r="P4739" s="17"/>
      <c r="Q4739" s="17"/>
    </row>
    <row r="4740" spans="2:17">
      <c r="B4740" s="17"/>
      <c r="C4740" s="16" t="str">
        <f>IFERROR(VLOOKUP(DATA!#REF!,DATA!#REF!,1,FALSE),"")</f>
        <v/>
      </c>
      <c r="D4740" s="16" t="str">
        <f>IFERROR(VLOOKUP(C4740,DATA!#REF!,2,FALSE),"")</f>
        <v/>
      </c>
      <c r="I4740" s="17"/>
      <c r="J4740" s="17"/>
      <c r="P4740" s="17"/>
      <c r="Q4740" s="17"/>
    </row>
    <row r="4741" spans="2:17">
      <c r="B4741" s="17"/>
      <c r="C4741" s="16" t="str">
        <f>IFERROR(VLOOKUP(DATA!#REF!,DATA!#REF!,1,FALSE),"")</f>
        <v/>
      </c>
      <c r="D4741" s="16" t="str">
        <f>IFERROR(VLOOKUP(C4741,DATA!#REF!,2,FALSE),"")</f>
        <v/>
      </c>
      <c r="I4741" s="17"/>
      <c r="J4741" s="17"/>
      <c r="P4741" s="17"/>
      <c r="Q4741" s="17"/>
    </row>
    <row r="4742" spans="2:17">
      <c r="B4742" s="17"/>
      <c r="C4742" s="16" t="str">
        <f>IFERROR(VLOOKUP(DATA!#REF!,DATA!#REF!,1,FALSE),"")</f>
        <v/>
      </c>
      <c r="D4742" s="16" t="str">
        <f>IFERROR(VLOOKUP(C4742,DATA!#REF!,2,FALSE),"")</f>
        <v/>
      </c>
      <c r="I4742" s="17"/>
      <c r="J4742" s="17"/>
      <c r="P4742" s="17"/>
      <c r="Q4742" s="17"/>
    </row>
    <row r="4743" spans="2:17">
      <c r="B4743" s="17"/>
      <c r="C4743" s="16" t="str">
        <f>IFERROR(VLOOKUP(DATA!#REF!,DATA!#REF!,1,FALSE),"")</f>
        <v/>
      </c>
      <c r="D4743" s="16" t="str">
        <f>IFERROR(VLOOKUP(C4743,DATA!#REF!,2,FALSE),"")</f>
        <v/>
      </c>
      <c r="I4743" s="17"/>
      <c r="J4743" s="17"/>
      <c r="P4743" s="17"/>
      <c r="Q4743" s="17"/>
    </row>
    <row r="4744" spans="2:17">
      <c r="B4744" s="17"/>
      <c r="C4744" s="16" t="str">
        <f>IFERROR(VLOOKUP(DATA!#REF!,DATA!#REF!,1,FALSE),"")</f>
        <v/>
      </c>
      <c r="D4744" s="16" t="str">
        <f>IFERROR(VLOOKUP(C4744,DATA!#REF!,2,FALSE),"")</f>
        <v/>
      </c>
      <c r="I4744" s="17"/>
      <c r="J4744" s="17"/>
      <c r="P4744" s="17"/>
      <c r="Q4744" s="17"/>
    </row>
    <row r="4745" spans="2:17">
      <c r="B4745" s="17"/>
      <c r="C4745" s="16" t="str">
        <f>IFERROR(VLOOKUP(DATA!#REF!,DATA!#REF!,1,FALSE),"")</f>
        <v/>
      </c>
      <c r="D4745" s="16" t="str">
        <f>IFERROR(VLOOKUP(C4745,DATA!#REF!,2,FALSE),"")</f>
        <v/>
      </c>
      <c r="I4745" s="17"/>
      <c r="J4745" s="17"/>
      <c r="P4745" s="17"/>
      <c r="Q4745" s="17"/>
    </row>
    <row r="4746" spans="2:17">
      <c r="B4746" s="17"/>
      <c r="C4746" s="16" t="str">
        <f>IFERROR(VLOOKUP(DATA!#REF!,DATA!#REF!,1,FALSE),"")</f>
        <v/>
      </c>
      <c r="D4746" s="16" t="str">
        <f>IFERROR(VLOOKUP(C4746,DATA!#REF!,2,FALSE),"")</f>
        <v/>
      </c>
      <c r="I4746" s="17"/>
      <c r="J4746" s="17"/>
      <c r="P4746" s="17"/>
      <c r="Q4746" s="17"/>
    </row>
    <row r="4747" spans="2:17">
      <c r="B4747" s="17"/>
      <c r="C4747" s="16" t="str">
        <f>IFERROR(VLOOKUP(DATA!#REF!,DATA!#REF!,1,FALSE),"")</f>
        <v/>
      </c>
      <c r="D4747" s="16" t="str">
        <f>IFERROR(VLOOKUP(C4747,DATA!#REF!,2,FALSE),"")</f>
        <v/>
      </c>
      <c r="I4747" s="17"/>
      <c r="J4747" s="17"/>
      <c r="P4747" s="17"/>
      <c r="Q4747" s="17"/>
    </row>
    <row r="4748" spans="2:17">
      <c r="B4748" s="17"/>
      <c r="C4748" s="16" t="str">
        <f>IFERROR(VLOOKUP(DATA!#REF!,DATA!#REF!,1,FALSE),"")</f>
        <v/>
      </c>
      <c r="D4748" s="16" t="str">
        <f>IFERROR(VLOOKUP(C4748,DATA!#REF!,2,FALSE),"")</f>
        <v/>
      </c>
      <c r="I4748" s="17"/>
      <c r="J4748" s="17"/>
      <c r="P4748" s="17"/>
      <c r="Q4748" s="17"/>
    </row>
    <row r="4749" spans="2:17">
      <c r="B4749" s="17"/>
      <c r="C4749" s="16" t="str">
        <f>IFERROR(VLOOKUP(DATA!#REF!,DATA!#REF!,1,FALSE),"")</f>
        <v/>
      </c>
      <c r="D4749" s="16" t="str">
        <f>IFERROR(VLOOKUP(C4749,DATA!#REF!,2,FALSE),"")</f>
        <v/>
      </c>
      <c r="I4749" s="17"/>
      <c r="J4749" s="17"/>
      <c r="P4749" s="17"/>
      <c r="Q4749" s="17"/>
    </row>
    <row r="4750" spans="2:17">
      <c r="B4750" s="17"/>
      <c r="C4750" s="16" t="str">
        <f>IFERROR(VLOOKUP(DATA!#REF!,DATA!#REF!,1,FALSE),"")</f>
        <v/>
      </c>
      <c r="D4750" s="16" t="str">
        <f>IFERROR(VLOOKUP(C4750,DATA!#REF!,2,FALSE),"")</f>
        <v/>
      </c>
      <c r="I4750" s="17"/>
      <c r="J4750" s="17"/>
      <c r="P4750" s="17"/>
      <c r="Q4750" s="17"/>
    </row>
    <row r="4751" spans="2:17">
      <c r="B4751" s="17"/>
      <c r="C4751" s="16" t="str">
        <f>IFERROR(VLOOKUP(DATA!#REF!,DATA!#REF!,1,FALSE),"")</f>
        <v/>
      </c>
      <c r="D4751" s="16" t="str">
        <f>IFERROR(VLOOKUP(C4751,DATA!#REF!,2,FALSE),"")</f>
        <v/>
      </c>
      <c r="I4751" s="17"/>
      <c r="J4751" s="17"/>
      <c r="P4751" s="17"/>
      <c r="Q4751" s="17"/>
    </row>
    <row r="4752" spans="2:17">
      <c r="B4752" s="17"/>
      <c r="C4752" s="16" t="str">
        <f>IFERROR(VLOOKUP(DATA!#REF!,DATA!#REF!,1,FALSE),"")</f>
        <v/>
      </c>
      <c r="D4752" s="16" t="str">
        <f>IFERROR(VLOOKUP(C4752,DATA!#REF!,2,FALSE),"")</f>
        <v/>
      </c>
      <c r="I4752" s="17"/>
      <c r="J4752" s="17"/>
      <c r="P4752" s="17"/>
      <c r="Q4752" s="17"/>
    </row>
    <row r="4753" spans="2:17">
      <c r="B4753" s="17"/>
      <c r="C4753" s="16" t="str">
        <f>IFERROR(VLOOKUP(DATA!#REF!,DATA!#REF!,1,FALSE),"")</f>
        <v/>
      </c>
      <c r="D4753" s="16" t="str">
        <f>IFERROR(VLOOKUP(C4753,DATA!#REF!,2,FALSE),"")</f>
        <v/>
      </c>
      <c r="I4753" s="17"/>
      <c r="J4753" s="17"/>
      <c r="P4753" s="17"/>
      <c r="Q4753" s="17"/>
    </row>
    <row r="4754" spans="2:17">
      <c r="B4754" s="17"/>
      <c r="C4754" s="16" t="str">
        <f>IFERROR(VLOOKUP(DATA!#REF!,DATA!#REF!,1,FALSE),"")</f>
        <v/>
      </c>
      <c r="D4754" s="16" t="str">
        <f>IFERROR(VLOOKUP(C4754,DATA!#REF!,2,FALSE),"")</f>
        <v/>
      </c>
      <c r="I4754" s="17"/>
      <c r="J4754" s="17"/>
      <c r="P4754" s="17"/>
      <c r="Q4754" s="17"/>
    </row>
    <row r="4755" spans="2:17">
      <c r="B4755" s="17"/>
      <c r="C4755" s="16" t="str">
        <f>IFERROR(VLOOKUP(DATA!#REF!,DATA!#REF!,1,FALSE),"")</f>
        <v/>
      </c>
      <c r="D4755" s="16" t="str">
        <f>IFERROR(VLOOKUP(C4755,DATA!#REF!,2,FALSE),"")</f>
        <v/>
      </c>
      <c r="I4755" s="17"/>
      <c r="J4755" s="17"/>
      <c r="P4755" s="17"/>
      <c r="Q4755" s="17"/>
    </row>
    <row r="4756" spans="2:17">
      <c r="B4756" s="17"/>
      <c r="C4756" s="16" t="str">
        <f>IFERROR(VLOOKUP(DATA!#REF!,DATA!#REF!,1,FALSE),"")</f>
        <v/>
      </c>
      <c r="D4756" s="16" t="str">
        <f>IFERROR(VLOOKUP(C4756,DATA!#REF!,2,FALSE),"")</f>
        <v/>
      </c>
      <c r="I4756" s="17"/>
      <c r="J4756" s="17"/>
      <c r="P4756" s="17"/>
      <c r="Q4756" s="17"/>
    </row>
    <row r="4757" spans="2:17">
      <c r="B4757" s="17"/>
      <c r="C4757" s="16" t="str">
        <f>IFERROR(VLOOKUP(DATA!#REF!,DATA!#REF!,1,FALSE),"")</f>
        <v/>
      </c>
      <c r="D4757" s="16" t="str">
        <f>IFERROR(VLOOKUP(C4757,DATA!#REF!,2,FALSE),"")</f>
        <v/>
      </c>
      <c r="I4757" s="17"/>
      <c r="J4757" s="17"/>
      <c r="P4757" s="17"/>
      <c r="Q4757" s="17"/>
    </row>
    <row r="4758" spans="2:17">
      <c r="B4758" s="17"/>
      <c r="C4758" s="16" t="str">
        <f>IFERROR(VLOOKUP(DATA!#REF!,DATA!#REF!,1,FALSE),"")</f>
        <v/>
      </c>
      <c r="D4758" s="16" t="str">
        <f>IFERROR(VLOOKUP(C4758,DATA!#REF!,2,FALSE),"")</f>
        <v/>
      </c>
      <c r="I4758" s="17"/>
      <c r="J4758" s="17"/>
      <c r="P4758" s="17"/>
      <c r="Q4758" s="17"/>
    </row>
    <row r="4759" spans="2:17">
      <c r="B4759" s="17"/>
      <c r="C4759" s="16" t="str">
        <f>IFERROR(VLOOKUP(DATA!#REF!,DATA!#REF!,1,FALSE),"")</f>
        <v/>
      </c>
      <c r="D4759" s="16" t="str">
        <f>IFERROR(VLOOKUP(C4759,DATA!#REF!,2,FALSE),"")</f>
        <v/>
      </c>
      <c r="I4759" s="17"/>
      <c r="J4759" s="17"/>
      <c r="P4759" s="17"/>
      <c r="Q4759" s="17"/>
    </row>
    <row r="4760" spans="2:17">
      <c r="B4760" s="17"/>
      <c r="C4760" s="16" t="str">
        <f>IFERROR(VLOOKUP(DATA!#REF!,DATA!#REF!,1,FALSE),"")</f>
        <v/>
      </c>
      <c r="D4760" s="16" t="str">
        <f>IFERROR(VLOOKUP(C4760,DATA!#REF!,2,FALSE),"")</f>
        <v/>
      </c>
      <c r="I4760" s="17"/>
      <c r="J4760" s="17"/>
      <c r="P4760" s="17"/>
      <c r="Q4760" s="17"/>
    </row>
    <row r="4761" spans="2:17">
      <c r="B4761" s="17"/>
      <c r="C4761" s="16" t="str">
        <f>IFERROR(VLOOKUP(DATA!#REF!,DATA!#REF!,1,FALSE),"")</f>
        <v/>
      </c>
      <c r="D4761" s="16" t="str">
        <f>IFERROR(VLOOKUP(C4761,DATA!#REF!,2,FALSE),"")</f>
        <v/>
      </c>
      <c r="I4761" s="17"/>
      <c r="J4761" s="17"/>
      <c r="P4761" s="17"/>
      <c r="Q4761" s="17"/>
    </row>
    <row r="4762" spans="2:17">
      <c r="B4762" s="17"/>
      <c r="C4762" s="16" t="str">
        <f>IFERROR(VLOOKUP(DATA!#REF!,DATA!#REF!,1,FALSE),"")</f>
        <v/>
      </c>
      <c r="D4762" s="16" t="str">
        <f>IFERROR(VLOOKUP(C4762,DATA!#REF!,2,FALSE),"")</f>
        <v/>
      </c>
      <c r="I4762" s="17"/>
      <c r="J4762" s="17"/>
      <c r="P4762" s="17"/>
      <c r="Q4762" s="17"/>
    </row>
    <row r="4763" spans="2:17">
      <c r="B4763" s="17"/>
      <c r="C4763" s="16" t="str">
        <f>IFERROR(VLOOKUP(DATA!#REF!,DATA!#REF!,1,FALSE),"")</f>
        <v/>
      </c>
      <c r="D4763" s="16" t="str">
        <f>IFERROR(VLOOKUP(C4763,DATA!#REF!,2,FALSE),"")</f>
        <v/>
      </c>
      <c r="I4763" s="17"/>
      <c r="J4763" s="17"/>
      <c r="P4763" s="17"/>
      <c r="Q4763" s="17"/>
    </row>
    <row r="4764" spans="2:17">
      <c r="B4764" s="17"/>
      <c r="C4764" s="16" t="str">
        <f>IFERROR(VLOOKUP(DATA!#REF!,DATA!#REF!,1,FALSE),"")</f>
        <v/>
      </c>
      <c r="D4764" s="16" t="str">
        <f>IFERROR(VLOOKUP(C4764,DATA!#REF!,2,FALSE),"")</f>
        <v/>
      </c>
      <c r="I4764" s="17"/>
      <c r="J4764" s="17"/>
      <c r="P4764" s="17"/>
      <c r="Q4764" s="17"/>
    </row>
    <row r="4765" spans="2:17">
      <c r="B4765" s="17"/>
      <c r="C4765" s="16" t="str">
        <f>IFERROR(VLOOKUP(DATA!#REF!,DATA!#REF!,1,FALSE),"")</f>
        <v/>
      </c>
      <c r="D4765" s="16" t="str">
        <f>IFERROR(VLOOKUP(C4765,DATA!#REF!,2,FALSE),"")</f>
        <v/>
      </c>
      <c r="I4765" s="17"/>
      <c r="J4765" s="17"/>
      <c r="P4765" s="17"/>
      <c r="Q4765" s="17"/>
    </row>
    <row r="4766" spans="2:17">
      <c r="B4766" s="17"/>
      <c r="C4766" s="16" t="str">
        <f>IFERROR(VLOOKUP(DATA!#REF!,DATA!#REF!,1,FALSE),"")</f>
        <v/>
      </c>
      <c r="D4766" s="16" t="str">
        <f>IFERROR(VLOOKUP(C4766,DATA!#REF!,2,FALSE),"")</f>
        <v/>
      </c>
      <c r="I4766" s="17"/>
      <c r="J4766" s="17"/>
      <c r="P4766" s="17"/>
      <c r="Q4766" s="17"/>
    </row>
    <row r="4767" spans="2:17">
      <c r="B4767" s="17"/>
      <c r="C4767" s="16" t="str">
        <f>IFERROR(VLOOKUP(DATA!#REF!,DATA!#REF!,1,FALSE),"")</f>
        <v/>
      </c>
      <c r="D4767" s="16" t="str">
        <f>IFERROR(VLOOKUP(C4767,DATA!#REF!,2,FALSE),"")</f>
        <v/>
      </c>
      <c r="I4767" s="17"/>
      <c r="J4767" s="17"/>
      <c r="P4767" s="17"/>
      <c r="Q4767" s="17"/>
    </row>
    <row r="4768" spans="2:17">
      <c r="B4768" s="17"/>
      <c r="C4768" s="16" t="str">
        <f>IFERROR(VLOOKUP(DATA!#REF!,DATA!#REF!,1,FALSE),"")</f>
        <v/>
      </c>
      <c r="D4768" s="16" t="str">
        <f>IFERROR(VLOOKUP(C4768,DATA!#REF!,2,FALSE),"")</f>
        <v/>
      </c>
      <c r="I4768" s="17"/>
      <c r="J4768" s="17"/>
      <c r="P4768" s="17"/>
      <c r="Q4768" s="17"/>
    </row>
    <row r="4769" spans="2:17">
      <c r="B4769" s="17"/>
      <c r="C4769" s="16" t="str">
        <f>IFERROR(VLOOKUP(DATA!#REF!,DATA!#REF!,1,FALSE),"")</f>
        <v/>
      </c>
      <c r="D4769" s="16" t="str">
        <f>IFERROR(VLOOKUP(C4769,DATA!#REF!,2,FALSE),"")</f>
        <v/>
      </c>
      <c r="I4769" s="17"/>
      <c r="J4769" s="17"/>
      <c r="P4769" s="17"/>
      <c r="Q4769" s="17"/>
    </row>
    <row r="4770" spans="2:17">
      <c r="B4770" s="17"/>
      <c r="C4770" s="16" t="str">
        <f>IFERROR(VLOOKUP(DATA!#REF!,DATA!#REF!,1,FALSE),"")</f>
        <v/>
      </c>
      <c r="D4770" s="16" t="str">
        <f>IFERROR(VLOOKUP(C4770,DATA!#REF!,2,FALSE),"")</f>
        <v/>
      </c>
      <c r="I4770" s="17"/>
      <c r="J4770" s="17"/>
      <c r="P4770" s="17"/>
      <c r="Q4770" s="17"/>
    </row>
    <row r="4771" spans="2:17">
      <c r="B4771" s="17"/>
      <c r="C4771" s="16" t="str">
        <f>IFERROR(VLOOKUP(DATA!#REF!,DATA!#REF!,1,FALSE),"")</f>
        <v/>
      </c>
      <c r="D4771" s="16" t="str">
        <f>IFERROR(VLOOKUP(C4771,DATA!#REF!,2,FALSE),"")</f>
        <v/>
      </c>
      <c r="I4771" s="17"/>
      <c r="J4771" s="17"/>
      <c r="P4771" s="17"/>
      <c r="Q4771" s="17"/>
    </row>
    <row r="4772" spans="2:17">
      <c r="B4772" s="17"/>
      <c r="C4772" s="16" t="str">
        <f>IFERROR(VLOOKUP(DATA!#REF!,DATA!#REF!,1,FALSE),"")</f>
        <v/>
      </c>
      <c r="D4772" s="16" t="str">
        <f>IFERROR(VLOOKUP(C4772,DATA!#REF!,2,FALSE),"")</f>
        <v/>
      </c>
      <c r="I4772" s="17"/>
      <c r="J4772" s="17"/>
      <c r="P4772" s="17"/>
      <c r="Q4772" s="17"/>
    </row>
    <row r="4773" spans="2:17">
      <c r="B4773" s="17"/>
      <c r="C4773" s="16" t="str">
        <f>IFERROR(VLOOKUP(DATA!#REF!,DATA!#REF!,1,FALSE),"")</f>
        <v/>
      </c>
      <c r="D4773" s="16" t="str">
        <f>IFERROR(VLOOKUP(C4773,DATA!#REF!,2,FALSE),"")</f>
        <v/>
      </c>
      <c r="I4773" s="17"/>
      <c r="J4773" s="17"/>
      <c r="P4773" s="17"/>
      <c r="Q4773" s="17"/>
    </row>
    <row r="4774" spans="2:17">
      <c r="B4774" s="17"/>
      <c r="C4774" s="16" t="str">
        <f>IFERROR(VLOOKUP(DATA!#REF!,DATA!#REF!,1,FALSE),"")</f>
        <v/>
      </c>
      <c r="D4774" s="16" t="str">
        <f>IFERROR(VLOOKUP(C4774,DATA!#REF!,2,FALSE),"")</f>
        <v/>
      </c>
      <c r="I4774" s="17"/>
      <c r="J4774" s="17"/>
      <c r="P4774" s="17"/>
      <c r="Q4774" s="17"/>
    </row>
    <row r="4775" spans="2:17">
      <c r="B4775" s="17"/>
      <c r="C4775" s="16" t="str">
        <f>IFERROR(VLOOKUP(DATA!#REF!,DATA!#REF!,1,FALSE),"")</f>
        <v/>
      </c>
      <c r="D4775" s="16" t="str">
        <f>IFERROR(VLOOKUP(C4775,DATA!#REF!,2,FALSE),"")</f>
        <v/>
      </c>
      <c r="I4775" s="17"/>
      <c r="J4775" s="17"/>
      <c r="P4775" s="17"/>
      <c r="Q4775" s="17"/>
    </row>
    <row r="4776" spans="2:17">
      <c r="B4776" s="17"/>
      <c r="C4776" s="16" t="str">
        <f>IFERROR(VLOOKUP(DATA!#REF!,DATA!#REF!,1,FALSE),"")</f>
        <v/>
      </c>
      <c r="D4776" s="16" t="str">
        <f>IFERROR(VLOOKUP(C4776,DATA!#REF!,2,FALSE),"")</f>
        <v/>
      </c>
      <c r="I4776" s="17"/>
      <c r="J4776" s="17"/>
      <c r="P4776" s="17"/>
      <c r="Q4776" s="17"/>
    </row>
    <row r="4777" spans="2:17">
      <c r="B4777" s="17"/>
      <c r="C4777" s="16" t="str">
        <f>IFERROR(VLOOKUP(DATA!#REF!,DATA!#REF!,1,FALSE),"")</f>
        <v/>
      </c>
      <c r="D4777" s="16" t="str">
        <f>IFERROR(VLOOKUP(C4777,DATA!#REF!,2,FALSE),"")</f>
        <v/>
      </c>
      <c r="I4777" s="17"/>
      <c r="J4777" s="17"/>
      <c r="P4777" s="17"/>
      <c r="Q4777" s="17"/>
    </row>
    <row r="4778" spans="2:17">
      <c r="B4778" s="17"/>
      <c r="C4778" s="16" t="str">
        <f>IFERROR(VLOOKUP(DATA!#REF!,DATA!#REF!,1,FALSE),"")</f>
        <v/>
      </c>
      <c r="D4778" s="16" t="str">
        <f>IFERROR(VLOOKUP(C4778,DATA!#REF!,2,FALSE),"")</f>
        <v/>
      </c>
      <c r="I4778" s="17"/>
      <c r="J4778" s="17"/>
      <c r="P4778" s="17"/>
      <c r="Q4778" s="17"/>
    </row>
    <row r="4779" spans="2:17">
      <c r="B4779" s="17"/>
      <c r="C4779" s="16" t="str">
        <f>IFERROR(VLOOKUP(DATA!#REF!,DATA!#REF!,1,FALSE),"")</f>
        <v/>
      </c>
      <c r="D4779" s="16" t="str">
        <f>IFERROR(VLOOKUP(C4779,DATA!#REF!,2,FALSE),"")</f>
        <v/>
      </c>
      <c r="I4779" s="17"/>
      <c r="J4779" s="17"/>
      <c r="P4779" s="17"/>
      <c r="Q4779" s="17"/>
    </row>
    <row r="4780" spans="2:17">
      <c r="B4780" s="17"/>
      <c r="C4780" s="16" t="str">
        <f>IFERROR(VLOOKUP(DATA!#REF!,DATA!#REF!,1,FALSE),"")</f>
        <v/>
      </c>
      <c r="D4780" s="16" t="str">
        <f>IFERROR(VLOOKUP(C4780,DATA!#REF!,2,FALSE),"")</f>
        <v/>
      </c>
      <c r="I4780" s="17"/>
      <c r="J4780" s="17"/>
      <c r="P4780" s="17"/>
      <c r="Q4780" s="17"/>
    </row>
    <row r="4781" spans="2:17">
      <c r="B4781" s="17"/>
      <c r="C4781" s="16" t="str">
        <f>IFERROR(VLOOKUP(DATA!#REF!,DATA!#REF!,1,FALSE),"")</f>
        <v/>
      </c>
      <c r="D4781" s="16" t="str">
        <f>IFERROR(VLOOKUP(C4781,DATA!#REF!,2,FALSE),"")</f>
        <v/>
      </c>
      <c r="I4781" s="17"/>
      <c r="J4781" s="17"/>
      <c r="P4781" s="17"/>
      <c r="Q4781" s="17"/>
    </row>
    <row r="4782" spans="2:17">
      <c r="B4782" s="17"/>
      <c r="C4782" s="16" t="str">
        <f>IFERROR(VLOOKUP(DATA!#REF!,DATA!#REF!,1,FALSE),"")</f>
        <v/>
      </c>
      <c r="D4782" s="16" t="str">
        <f>IFERROR(VLOOKUP(C4782,DATA!#REF!,2,FALSE),"")</f>
        <v/>
      </c>
      <c r="I4782" s="17"/>
      <c r="J4782" s="17"/>
      <c r="P4782" s="17"/>
      <c r="Q4782" s="17"/>
    </row>
    <row r="4783" spans="2:17">
      <c r="B4783" s="17"/>
      <c r="C4783" s="16" t="str">
        <f>IFERROR(VLOOKUP(DATA!#REF!,DATA!#REF!,1,FALSE),"")</f>
        <v/>
      </c>
      <c r="D4783" s="16" t="str">
        <f>IFERROR(VLOOKUP(C4783,DATA!#REF!,2,FALSE),"")</f>
        <v/>
      </c>
      <c r="I4783" s="17"/>
      <c r="J4783" s="17"/>
      <c r="P4783" s="17"/>
      <c r="Q4783" s="17"/>
    </row>
    <row r="4784" spans="2:17">
      <c r="B4784" s="17"/>
      <c r="C4784" s="16" t="str">
        <f>IFERROR(VLOOKUP(DATA!#REF!,DATA!#REF!,1,FALSE),"")</f>
        <v/>
      </c>
      <c r="D4784" s="16" t="str">
        <f>IFERROR(VLOOKUP(C4784,DATA!#REF!,2,FALSE),"")</f>
        <v/>
      </c>
      <c r="I4784" s="17"/>
      <c r="J4784" s="17"/>
      <c r="P4784" s="17"/>
      <c r="Q4784" s="17"/>
    </row>
    <row r="4785" spans="2:17">
      <c r="B4785" s="17"/>
      <c r="C4785" s="16" t="str">
        <f>IFERROR(VLOOKUP(DATA!#REF!,DATA!#REF!,1,FALSE),"")</f>
        <v/>
      </c>
      <c r="D4785" s="16" t="str">
        <f>IFERROR(VLOOKUP(C4785,DATA!#REF!,2,FALSE),"")</f>
        <v/>
      </c>
      <c r="I4785" s="17"/>
      <c r="J4785" s="17"/>
      <c r="P4785" s="17"/>
      <c r="Q4785" s="17"/>
    </row>
    <row r="4786" spans="2:17">
      <c r="B4786" s="17"/>
      <c r="C4786" s="16" t="str">
        <f>IFERROR(VLOOKUP(DATA!#REF!,DATA!#REF!,1,FALSE),"")</f>
        <v/>
      </c>
      <c r="D4786" s="16" t="str">
        <f>IFERROR(VLOOKUP(C4786,DATA!#REF!,2,FALSE),"")</f>
        <v/>
      </c>
      <c r="I4786" s="17"/>
      <c r="J4786" s="17"/>
      <c r="P4786" s="17"/>
      <c r="Q4786" s="17"/>
    </row>
    <row r="4787" spans="2:17">
      <c r="B4787" s="17"/>
      <c r="C4787" s="16" t="str">
        <f>IFERROR(VLOOKUP(DATA!#REF!,DATA!#REF!,1,FALSE),"")</f>
        <v/>
      </c>
      <c r="D4787" s="16" t="str">
        <f>IFERROR(VLOOKUP(C4787,DATA!#REF!,2,FALSE),"")</f>
        <v/>
      </c>
      <c r="I4787" s="17"/>
      <c r="J4787" s="17"/>
      <c r="P4787" s="17"/>
      <c r="Q4787" s="17"/>
    </row>
    <row r="4788" spans="2:17">
      <c r="B4788" s="17"/>
      <c r="C4788" s="16" t="str">
        <f>IFERROR(VLOOKUP(DATA!#REF!,DATA!#REF!,1,FALSE),"")</f>
        <v/>
      </c>
      <c r="D4788" s="16" t="str">
        <f>IFERROR(VLOOKUP(C4788,DATA!#REF!,2,FALSE),"")</f>
        <v/>
      </c>
      <c r="I4788" s="17"/>
      <c r="J4788" s="17"/>
      <c r="P4788" s="17"/>
      <c r="Q4788" s="17"/>
    </row>
    <row r="4789" spans="2:17">
      <c r="B4789" s="17"/>
      <c r="C4789" s="16" t="str">
        <f>IFERROR(VLOOKUP(DATA!#REF!,DATA!#REF!,1,FALSE),"")</f>
        <v/>
      </c>
      <c r="D4789" s="16" t="str">
        <f>IFERROR(VLOOKUP(C4789,DATA!#REF!,2,FALSE),"")</f>
        <v/>
      </c>
      <c r="I4789" s="17"/>
      <c r="J4789" s="17"/>
      <c r="P4789" s="17"/>
      <c r="Q4789" s="17"/>
    </row>
    <row r="4790" spans="2:17">
      <c r="B4790" s="17"/>
      <c r="C4790" s="16" t="str">
        <f>IFERROR(VLOOKUP(DATA!#REF!,DATA!#REF!,1,FALSE),"")</f>
        <v/>
      </c>
      <c r="D4790" s="16" t="str">
        <f>IFERROR(VLOOKUP(C4790,DATA!#REF!,2,FALSE),"")</f>
        <v/>
      </c>
      <c r="I4790" s="17"/>
      <c r="J4790" s="17"/>
      <c r="P4790" s="17"/>
      <c r="Q4790" s="17"/>
    </row>
    <row r="4791" spans="2:17">
      <c r="B4791" s="17"/>
      <c r="C4791" s="16" t="str">
        <f>IFERROR(VLOOKUP(DATA!#REF!,DATA!#REF!,1,FALSE),"")</f>
        <v/>
      </c>
      <c r="D4791" s="16" t="str">
        <f>IFERROR(VLOOKUP(C4791,DATA!#REF!,2,FALSE),"")</f>
        <v/>
      </c>
      <c r="I4791" s="17"/>
      <c r="J4791" s="17"/>
      <c r="P4791" s="17"/>
      <c r="Q4791" s="17"/>
    </row>
    <row r="4792" spans="2:17">
      <c r="B4792" s="17"/>
      <c r="C4792" s="16" t="str">
        <f>IFERROR(VLOOKUP(DATA!#REF!,DATA!#REF!,1,FALSE),"")</f>
        <v/>
      </c>
      <c r="D4792" s="16" t="str">
        <f>IFERROR(VLOOKUP(C4792,DATA!#REF!,2,FALSE),"")</f>
        <v/>
      </c>
      <c r="I4792" s="17"/>
      <c r="J4792" s="17"/>
      <c r="P4792" s="17"/>
      <c r="Q4792" s="17"/>
    </row>
    <row r="4793" spans="2:17">
      <c r="B4793" s="17"/>
      <c r="C4793" s="16" t="str">
        <f>IFERROR(VLOOKUP(DATA!#REF!,DATA!#REF!,1,FALSE),"")</f>
        <v/>
      </c>
      <c r="D4793" s="16" t="str">
        <f>IFERROR(VLOOKUP(C4793,DATA!#REF!,2,FALSE),"")</f>
        <v/>
      </c>
      <c r="I4793" s="17"/>
      <c r="J4793" s="17"/>
      <c r="P4793" s="17"/>
      <c r="Q4793" s="17"/>
    </row>
    <row r="4794" spans="2:17">
      <c r="B4794" s="17"/>
      <c r="C4794" s="16" t="str">
        <f>IFERROR(VLOOKUP(DATA!#REF!,DATA!#REF!,1,FALSE),"")</f>
        <v/>
      </c>
      <c r="D4794" s="16" t="str">
        <f>IFERROR(VLOOKUP(C4794,DATA!#REF!,2,FALSE),"")</f>
        <v/>
      </c>
      <c r="I4794" s="17"/>
      <c r="J4794" s="17"/>
      <c r="P4794" s="17"/>
      <c r="Q4794" s="17"/>
    </row>
    <row r="4795" spans="2:17">
      <c r="B4795" s="17"/>
      <c r="C4795" s="16" t="str">
        <f>IFERROR(VLOOKUP(DATA!#REF!,DATA!#REF!,1,FALSE),"")</f>
        <v/>
      </c>
      <c r="D4795" s="16" t="str">
        <f>IFERROR(VLOOKUP(C4795,DATA!#REF!,2,FALSE),"")</f>
        <v/>
      </c>
      <c r="I4795" s="17"/>
      <c r="J4795" s="17"/>
      <c r="P4795" s="17"/>
      <c r="Q4795" s="17"/>
    </row>
    <row r="4796" spans="2:17">
      <c r="B4796" s="17"/>
      <c r="C4796" s="16" t="str">
        <f>IFERROR(VLOOKUP(DATA!#REF!,DATA!#REF!,1,FALSE),"")</f>
        <v/>
      </c>
      <c r="D4796" s="16" t="str">
        <f>IFERROR(VLOOKUP(C4796,DATA!#REF!,2,FALSE),"")</f>
        <v/>
      </c>
      <c r="I4796" s="17"/>
      <c r="J4796" s="17"/>
      <c r="P4796" s="17"/>
      <c r="Q4796" s="17"/>
    </row>
    <row r="4797" spans="2:17">
      <c r="B4797" s="17"/>
      <c r="C4797" s="16" t="str">
        <f>IFERROR(VLOOKUP(DATA!#REF!,DATA!#REF!,1,FALSE),"")</f>
        <v/>
      </c>
      <c r="D4797" s="16" t="str">
        <f>IFERROR(VLOOKUP(C4797,DATA!#REF!,2,FALSE),"")</f>
        <v/>
      </c>
      <c r="I4797" s="17"/>
      <c r="J4797" s="17"/>
      <c r="P4797" s="17"/>
      <c r="Q4797" s="17"/>
    </row>
    <row r="4798" spans="2:17">
      <c r="B4798" s="17"/>
      <c r="C4798" s="16" t="str">
        <f>IFERROR(VLOOKUP(DATA!#REF!,DATA!#REF!,1,FALSE),"")</f>
        <v/>
      </c>
      <c r="D4798" s="16" t="str">
        <f>IFERROR(VLOOKUP(C4798,DATA!#REF!,2,FALSE),"")</f>
        <v/>
      </c>
      <c r="I4798" s="17"/>
      <c r="J4798" s="17"/>
      <c r="P4798" s="17"/>
      <c r="Q4798" s="17"/>
    </row>
    <row r="4799" spans="2:17">
      <c r="B4799" s="17"/>
      <c r="C4799" s="16" t="str">
        <f>IFERROR(VLOOKUP(DATA!#REF!,DATA!#REF!,1,FALSE),"")</f>
        <v/>
      </c>
      <c r="D4799" s="16" t="str">
        <f>IFERROR(VLOOKUP(C4799,DATA!#REF!,2,FALSE),"")</f>
        <v/>
      </c>
      <c r="I4799" s="17"/>
      <c r="J4799" s="17"/>
      <c r="P4799" s="17"/>
      <c r="Q4799" s="17"/>
    </row>
    <row r="4800" spans="2:17">
      <c r="B4800" s="17"/>
      <c r="C4800" s="16" t="str">
        <f>IFERROR(VLOOKUP(DATA!#REF!,DATA!#REF!,1,FALSE),"")</f>
        <v/>
      </c>
      <c r="D4800" s="16" t="str">
        <f>IFERROR(VLOOKUP(C4800,DATA!#REF!,2,FALSE),"")</f>
        <v/>
      </c>
      <c r="I4800" s="17"/>
      <c r="J4800" s="17"/>
      <c r="P4800" s="17"/>
      <c r="Q4800" s="17"/>
    </row>
    <row r="4801" spans="2:17">
      <c r="B4801" s="17"/>
      <c r="C4801" s="16" t="str">
        <f>IFERROR(VLOOKUP(DATA!#REF!,DATA!#REF!,1,FALSE),"")</f>
        <v/>
      </c>
      <c r="D4801" s="16" t="str">
        <f>IFERROR(VLOOKUP(C4801,DATA!#REF!,2,FALSE),"")</f>
        <v/>
      </c>
      <c r="I4801" s="17"/>
      <c r="J4801" s="17"/>
      <c r="P4801" s="17"/>
      <c r="Q4801" s="17"/>
    </row>
    <row r="4802" spans="2:17">
      <c r="B4802" s="17"/>
      <c r="C4802" s="16" t="str">
        <f>IFERROR(VLOOKUP(DATA!#REF!,DATA!#REF!,1,FALSE),"")</f>
        <v/>
      </c>
      <c r="D4802" s="16" t="str">
        <f>IFERROR(VLOOKUP(C4802,DATA!#REF!,2,FALSE),"")</f>
        <v/>
      </c>
      <c r="I4802" s="17"/>
      <c r="J4802" s="17"/>
      <c r="P4802" s="17"/>
      <c r="Q4802" s="17"/>
    </row>
    <row r="4803" spans="2:17">
      <c r="B4803" s="17"/>
      <c r="C4803" s="16" t="str">
        <f>IFERROR(VLOOKUP(DATA!#REF!,DATA!#REF!,1,FALSE),"")</f>
        <v/>
      </c>
      <c r="D4803" s="16" t="str">
        <f>IFERROR(VLOOKUP(C4803,DATA!#REF!,2,FALSE),"")</f>
        <v/>
      </c>
      <c r="I4803" s="17"/>
      <c r="J4803" s="17"/>
      <c r="P4803" s="17"/>
      <c r="Q4803" s="17"/>
    </row>
    <row r="4804" spans="2:17">
      <c r="B4804" s="17"/>
      <c r="C4804" s="16" t="str">
        <f>IFERROR(VLOOKUP(DATA!#REF!,DATA!#REF!,1,FALSE),"")</f>
        <v/>
      </c>
      <c r="D4804" s="16" t="str">
        <f>IFERROR(VLOOKUP(C4804,DATA!#REF!,2,FALSE),"")</f>
        <v/>
      </c>
      <c r="I4804" s="17"/>
      <c r="J4804" s="17"/>
      <c r="P4804" s="17"/>
      <c r="Q4804" s="17"/>
    </row>
    <row r="4805" spans="2:17">
      <c r="B4805" s="17"/>
      <c r="C4805" s="16" t="str">
        <f>IFERROR(VLOOKUP(DATA!#REF!,DATA!#REF!,1,FALSE),"")</f>
        <v/>
      </c>
      <c r="D4805" s="16" t="str">
        <f>IFERROR(VLOOKUP(C4805,DATA!#REF!,2,FALSE),"")</f>
        <v/>
      </c>
      <c r="I4805" s="17"/>
      <c r="J4805" s="17"/>
      <c r="P4805" s="17"/>
      <c r="Q4805" s="17"/>
    </row>
    <row r="4806" spans="2:17">
      <c r="B4806" s="17"/>
      <c r="C4806" s="16" t="str">
        <f>IFERROR(VLOOKUP(DATA!#REF!,DATA!#REF!,1,FALSE),"")</f>
        <v/>
      </c>
      <c r="D4806" s="16" t="str">
        <f>IFERROR(VLOOKUP(C4806,DATA!#REF!,2,FALSE),"")</f>
        <v/>
      </c>
      <c r="I4806" s="17"/>
      <c r="J4806" s="17"/>
      <c r="P4806" s="17"/>
      <c r="Q4806" s="17"/>
    </row>
    <row r="4807" spans="2:17">
      <c r="B4807" s="17"/>
      <c r="C4807" s="16" t="str">
        <f>IFERROR(VLOOKUP(DATA!#REF!,DATA!#REF!,1,FALSE),"")</f>
        <v/>
      </c>
      <c r="D4807" s="16" t="str">
        <f>IFERROR(VLOOKUP(C4807,DATA!#REF!,2,FALSE),"")</f>
        <v/>
      </c>
      <c r="I4807" s="17"/>
      <c r="J4807" s="17"/>
      <c r="P4807" s="17"/>
      <c r="Q4807" s="17"/>
    </row>
    <row r="4808" spans="2:17">
      <c r="B4808" s="17"/>
      <c r="C4808" s="16" t="str">
        <f>IFERROR(VLOOKUP(DATA!#REF!,DATA!#REF!,1,FALSE),"")</f>
        <v/>
      </c>
      <c r="D4808" s="16" t="str">
        <f>IFERROR(VLOOKUP(C4808,DATA!#REF!,2,FALSE),"")</f>
        <v/>
      </c>
      <c r="I4808" s="17"/>
      <c r="J4808" s="17"/>
      <c r="P4808" s="17"/>
      <c r="Q4808" s="17"/>
    </row>
    <row r="4809" spans="2:17">
      <c r="B4809" s="17"/>
      <c r="C4809" s="16" t="str">
        <f>IFERROR(VLOOKUP(DATA!#REF!,DATA!#REF!,1,FALSE),"")</f>
        <v/>
      </c>
      <c r="D4809" s="16" t="str">
        <f>IFERROR(VLOOKUP(C4809,DATA!#REF!,2,FALSE),"")</f>
        <v/>
      </c>
      <c r="I4809" s="17"/>
      <c r="J4809" s="17"/>
      <c r="P4809" s="17"/>
      <c r="Q4809" s="17"/>
    </row>
    <row r="4810" spans="2:17">
      <c r="B4810" s="17"/>
      <c r="C4810" s="16" t="str">
        <f>IFERROR(VLOOKUP(DATA!#REF!,DATA!#REF!,1,FALSE),"")</f>
        <v/>
      </c>
      <c r="D4810" s="16" t="str">
        <f>IFERROR(VLOOKUP(C4810,DATA!#REF!,2,FALSE),"")</f>
        <v/>
      </c>
      <c r="I4810" s="17"/>
      <c r="J4810" s="17"/>
      <c r="P4810" s="17"/>
      <c r="Q4810" s="17"/>
    </row>
    <row r="4811" spans="2:17">
      <c r="B4811" s="17"/>
      <c r="C4811" s="16" t="str">
        <f>IFERROR(VLOOKUP(DATA!#REF!,DATA!#REF!,1,FALSE),"")</f>
        <v/>
      </c>
      <c r="D4811" s="16" t="str">
        <f>IFERROR(VLOOKUP(C4811,DATA!#REF!,2,FALSE),"")</f>
        <v/>
      </c>
      <c r="I4811" s="17"/>
      <c r="J4811" s="17"/>
      <c r="P4811" s="17"/>
      <c r="Q4811" s="17"/>
    </row>
    <row r="4812" spans="2:17">
      <c r="B4812" s="17"/>
      <c r="C4812" s="16" t="str">
        <f>IFERROR(VLOOKUP(DATA!#REF!,DATA!#REF!,1,FALSE),"")</f>
        <v/>
      </c>
      <c r="D4812" s="16" t="str">
        <f>IFERROR(VLOOKUP(C4812,DATA!#REF!,2,FALSE),"")</f>
        <v/>
      </c>
      <c r="I4812" s="17"/>
      <c r="J4812" s="17"/>
      <c r="P4812" s="17"/>
      <c r="Q4812" s="17"/>
    </row>
    <row r="4813" spans="2:17">
      <c r="B4813" s="17"/>
      <c r="C4813" s="16" t="str">
        <f>IFERROR(VLOOKUP(DATA!#REF!,DATA!#REF!,1,FALSE),"")</f>
        <v/>
      </c>
      <c r="D4813" s="16" t="str">
        <f>IFERROR(VLOOKUP(C4813,DATA!#REF!,2,FALSE),"")</f>
        <v/>
      </c>
      <c r="I4813" s="17"/>
      <c r="J4813" s="17"/>
      <c r="P4813" s="17"/>
      <c r="Q4813" s="17"/>
    </row>
    <row r="4814" spans="2:17">
      <c r="B4814" s="17"/>
      <c r="C4814" s="16" t="str">
        <f>IFERROR(VLOOKUP(DATA!#REF!,DATA!#REF!,1,FALSE),"")</f>
        <v/>
      </c>
      <c r="D4814" s="16" t="str">
        <f>IFERROR(VLOOKUP(C4814,DATA!#REF!,2,FALSE),"")</f>
        <v/>
      </c>
      <c r="I4814" s="17"/>
      <c r="J4814" s="17"/>
      <c r="P4814" s="17"/>
      <c r="Q4814" s="17"/>
    </row>
    <row r="4815" spans="2:17">
      <c r="B4815" s="17"/>
      <c r="C4815" s="16" t="str">
        <f>IFERROR(VLOOKUP(DATA!#REF!,DATA!#REF!,1,FALSE),"")</f>
        <v/>
      </c>
      <c r="D4815" s="16" t="str">
        <f>IFERROR(VLOOKUP(C4815,DATA!#REF!,2,FALSE),"")</f>
        <v/>
      </c>
      <c r="I4815" s="17"/>
      <c r="J4815" s="17"/>
      <c r="P4815" s="17"/>
      <c r="Q4815" s="17"/>
    </row>
    <row r="4816" spans="2:17">
      <c r="B4816" s="17"/>
      <c r="C4816" s="16" t="str">
        <f>IFERROR(VLOOKUP(DATA!#REF!,DATA!#REF!,1,FALSE),"")</f>
        <v/>
      </c>
      <c r="D4816" s="16" t="str">
        <f>IFERROR(VLOOKUP(C4816,DATA!#REF!,2,FALSE),"")</f>
        <v/>
      </c>
      <c r="I4816" s="17"/>
      <c r="J4816" s="17"/>
      <c r="P4816" s="17"/>
      <c r="Q4816" s="17"/>
    </row>
    <row r="4817" spans="2:17">
      <c r="B4817" s="17"/>
      <c r="C4817" s="16" t="str">
        <f>IFERROR(VLOOKUP(DATA!#REF!,DATA!#REF!,1,FALSE),"")</f>
        <v/>
      </c>
      <c r="D4817" s="16" t="str">
        <f>IFERROR(VLOOKUP(C4817,DATA!#REF!,2,FALSE),"")</f>
        <v/>
      </c>
      <c r="I4817" s="17"/>
      <c r="J4817" s="17"/>
      <c r="P4817" s="17"/>
      <c r="Q4817" s="17"/>
    </row>
    <row r="4818" spans="2:17">
      <c r="B4818" s="17"/>
      <c r="C4818" s="16" t="str">
        <f>IFERROR(VLOOKUP(DATA!#REF!,DATA!#REF!,1,FALSE),"")</f>
        <v/>
      </c>
      <c r="D4818" s="16" t="str">
        <f>IFERROR(VLOOKUP(C4818,DATA!#REF!,2,FALSE),"")</f>
        <v/>
      </c>
      <c r="I4818" s="17"/>
      <c r="J4818" s="17"/>
      <c r="P4818" s="17"/>
      <c r="Q4818" s="17"/>
    </row>
    <row r="4819" spans="2:17">
      <c r="B4819" s="17"/>
      <c r="C4819" s="16" t="str">
        <f>IFERROR(VLOOKUP(DATA!#REF!,DATA!#REF!,1,FALSE),"")</f>
        <v/>
      </c>
      <c r="D4819" s="16" t="str">
        <f>IFERROR(VLOOKUP(C4819,DATA!#REF!,2,FALSE),"")</f>
        <v/>
      </c>
      <c r="I4819" s="17"/>
      <c r="J4819" s="17"/>
      <c r="P4819" s="17"/>
      <c r="Q4819" s="17"/>
    </row>
    <row r="4820" spans="2:17">
      <c r="B4820" s="17"/>
      <c r="C4820" s="16" t="str">
        <f>IFERROR(VLOOKUP(DATA!#REF!,DATA!#REF!,1,FALSE),"")</f>
        <v/>
      </c>
      <c r="D4820" s="16" t="str">
        <f>IFERROR(VLOOKUP(C4820,DATA!#REF!,2,FALSE),"")</f>
        <v/>
      </c>
      <c r="I4820" s="17"/>
      <c r="J4820" s="17"/>
      <c r="P4820" s="17"/>
      <c r="Q4820" s="17"/>
    </row>
    <row r="4821" spans="2:17">
      <c r="B4821" s="17"/>
      <c r="C4821" s="16" t="str">
        <f>IFERROR(VLOOKUP(DATA!#REF!,DATA!#REF!,1,FALSE),"")</f>
        <v/>
      </c>
      <c r="D4821" s="16" t="str">
        <f>IFERROR(VLOOKUP(C4821,DATA!#REF!,2,FALSE),"")</f>
        <v/>
      </c>
      <c r="I4821" s="17"/>
      <c r="J4821" s="17"/>
      <c r="P4821" s="17"/>
      <c r="Q4821" s="17"/>
    </row>
    <row r="4822" spans="2:17">
      <c r="B4822" s="17"/>
      <c r="C4822" s="16" t="str">
        <f>IFERROR(VLOOKUP(DATA!#REF!,DATA!#REF!,1,FALSE),"")</f>
        <v/>
      </c>
      <c r="D4822" s="16" t="str">
        <f>IFERROR(VLOOKUP(C4822,DATA!#REF!,2,FALSE),"")</f>
        <v/>
      </c>
      <c r="I4822" s="17"/>
      <c r="J4822" s="17"/>
      <c r="P4822" s="17"/>
      <c r="Q4822" s="17"/>
    </row>
    <row r="4823" spans="2:17">
      <c r="B4823" s="17"/>
      <c r="C4823" s="16" t="str">
        <f>IFERROR(VLOOKUP(DATA!#REF!,DATA!#REF!,1,FALSE),"")</f>
        <v/>
      </c>
      <c r="D4823" s="16" t="str">
        <f>IFERROR(VLOOKUP(C4823,DATA!#REF!,2,FALSE),"")</f>
        <v/>
      </c>
      <c r="I4823" s="17"/>
      <c r="J4823" s="17"/>
      <c r="P4823" s="17"/>
      <c r="Q4823" s="17"/>
    </row>
    <row r="4824" spans="2:17">
      <c r="B4824" s="17"/>
      <c r="C4824" s="16" t="str">
        <f>IFERROR(VLOOKUP(DATA!#REF!,DATA!#REF!,1,FALSE),"")</f>
        <v/>
      </c>
      <c r="D4824" s="16" t="str">
        <f>IFERROR(VLOOKUP(C4824,DATA!#REF!,2,FALSE),"")</f>
        <v/>
      </c>
      <c r="I4824" s="17"/>
      <c r="J4824" s="17"/>
      <c r="P4824" s="17"/>
      <c r="Q4824" s="17"/>
    </row>
    <row r="4825" spans="2:17">
      <c r="B4825" s="17"/>
      <c r="C4825" s="16" t="str">
        <f>IFERROR(VLOOKUP(DATA!#REF!,DATA!#REF!,1,FALSE),"")</f>
        <v/>
      </c>
      <c r="D4825" s="16" t="str">
        <f>IFERROR(VLOOKUP(C4825,DATA!#REF!,2,FALSE),"")</f>
        <v/>
      </c>
      <c r="I4825" s="17"/>
      <c r="J4825" s="17"/>
      <c r="P4825" s="17"/>
      <c r="Q4825" s="17"/>
    </row>
    <row r="4826" spans="2:17">
      <c r="B4826" s="17"/>
      <c r="C4826" s="16" t="str">
        <f>IFERROR(VLOOKUP(DATA!#REF!,DATA!#REF!,1,FALSE),"")</f>
        <v/>
      </c>
      <c r="D4826" s="16" t="str">
        <f>IFERROR(VLOOKUP(C4826,DATA!#REF!,2,FALSE),"")</f>
        <v/>
      </c>
      <c r="I4826" s="17"/>
      <c r="J4826" s="17"/>
      <c r="P4826" s="17"/>
      <c r="Q4826" s="17"/>
    </row>
    <row r="4827" spans="2:17">
      <c r="B4827" s="17"/>
      <c r="C4827" s="16" t="str">
        <f>IFERROR(VLOOKUP(DATA!#REF!,DATA!#REF!,1,FALSE),"")</f>
        <v/>
      </c>
      <c r="D4827" s="16" t="str">
        <f>IFERROR(VLOOKUP(C4827,DATA!#REF!,2,FALSE),"")</f>
        <v/>
      </c>
      <c r="I4827" s="17"/>
      <c r="J4827" s="17"/>
      <c r="P4827" s="17"/>
      <c r="Q4827" s="17"/>
    </row>
    <row r="4828" spans="2:17">
      <c r="B4828" s="17"/>
      <c r="C4828" s="16" t="str">
        <f>IFERROR(VLOOKUP(DATA!#REF!,DATA!#REF!,1,FALSE),"")</f>
        <v/>
      </c>
      <c r="D4828" s="16" t="str">
        <f>IFERROR(VLOOKUP(C4828,DATA!#REF!,2,FALSE),"")</f>
        <v/>
      </c>
      <c r="I4828" s="17"/>
      <c r="J4828" s="17"/>
      <c r="P4828" s="17"/>
      <c r="Q4828" s="17"/>
    </row>
    <row r="4829" spans="2:17">
      <c r="B4829" s="17"/>
      <c r="C4829" s="16" t="str">
        <f>IFERROR(VLOOKUP(DATA!#REF!,DATA!#REF!,1,FALSE),"")</f>
        <v/>
      </c>
      <c r="D4829" s="16" t="str">
        <f>IFERROR(VLOOKUP(C4829,DATA!#REF!,2,FALSE),"")</f>
        <v/>
      </c>
      <c r="I4829" s="17"/>
      <c r="J4829" s="17"/>
      <c r="P4829" s="17"/>
      <c r="Q4829" s="17"/>
    </row>
    <row r="4830" spans="2:17">
      <c r="B4830" s="17"/>
      <c r="C4830" s="16" t="str">
        <f>IFERROR(VLOOKUP(DATA!#REF!,DATA!#REF!,1,FALSE),"")</f>
        <v/>
      </c>
      <c r="D4830" s="16" t="str">
        <f>IFERROR(VLOOKUP(C4830,DATA!#REF!,2,FALSE),"")</f>
        <v/>
      </c>
      <c r="I4830" s="17"/>
      <c r="J4830" s="17"/>
      <c r="P4830" s="17"/>
      <c r="Q4830" s="17"/>
    </row>
    <row r="4831" spans="2:17">
      <c r="B4831" s="17"/>
      <c r="C4831" s="16" t="str">
        <f>IFERROR(VLOOKUP(DATA!#REF!,DATA!#REF!,1,FALSE),"")</f>
        <v/>
      </c>
      <c r="D4831" s="16" t="str">
        <f>IFERROR(VLOOKUP(C4831,DATA!#REF!,2,FALSE),"")</f>
        <v/>
      </c>
      <c r="I4831" s="17"/>
      <c r="J4831" s="17"/>
      <c r="P4831" s="17"/>
      <c r="Q4831" s="17"/>
    </row>
    <row r="4832" spans="2:17">
      <c r="B4832" s="17"/>
      <c r="C4832" s="16" t="str">
        <f>IFERROR(VLOOKUP(DATA!#REF!,DATA!#REF!,1,FALSE),"")</f>
        <v/>
      </c>
      <c r="D4832" s="16" t="str">
        <f>IFERROR(VLOOKUP(C4832,DATA!#REF!,2,FALSE),"")</f>
        <v/>
      </c>
      <c r="I4832" s="17"/>
      <c r="J4832" s="17"/>
      <c r="P4832" s="17"/>
      <c r="Q4832" s="17"/>
    </row>
    <row r="4833" spans="2:17">
      <c r="B4833" s="17"/>
      <c r="C4833" s="16" t="str">
        <f>IFERROR(VLOOKUP(DATA!#REF!,DATA!#REF!,1,FALSE),"")</f>
        <v/>
      </c>
      <c r="D4833" s="16" t="str">
        <f>IFERROR(VLOOKUP(C4833,DATA!#REF!,2,FALSE),"")</f>
        <v/>
      </c>
      <c r="I4833" s="17"/>
      <c r="J4833" s="17"/>
      <c r="P4833" s="17"/>
      <c r="Q4833" s="17"/>
    </row>
    <row r="4834" spans="2:17">
      <c r="B4834" s="17"/>
      <c r="C4834" s="16" t="str">
        <f>IFERROR(VLOOKUP(DATA!#REF!,DATA!#REF!,1,FALSE),"")</f>
        <v/>
      </c>
      <c r="D4834" s="16" t="str">
        <f>IFERROR(VLOOKUP(C4834,DATA!#REF!,2,FALSE),"")</f>
        <v/>
      </c>
      <c r="I4834" s="17"/>
      <c r="J4834" s="17"/>
      <c r="P4834" s="17"/>
      <c r="Q4834" s="17"/>
    </row>
    <row r="4835" spans="2:17">
      <c r="B4835" s="17"/>
      <c r="C4835" s="16" t="str">
        <f>IFERROR(VLOOKUP(DATA!#REF!,DATA!#REF!,1,FALSE),"")</f>
        <v/>
      </c>
      <c r="D4835" s="16" t="str">
        <f>IFERROR(VLOOKUP(C4835,DATA!#REF!,2,FALSE),"")</f>
        <v/>
      </c>
      <c r="I4835" s="17"/>
      <c r="J4835" s="17"/>
      <c r="P4835" s="17"/>
      <c r="Q4835" s="17"/>
    </row>
    <row r="4836" spans="2:17">
      <c r="B4836" s="17"/>
      <c r="C4836" s="16" t="str">
        <f>IFERROR(VLOOKUP(DATA!#REF!,DATA!#REF!,1,FALSE),"")</f>
        <v/>
      </c>
      <c r="D4836" s="16" t="str">
        <f>IFERROR(VLOOKUP(C4836,DATA!#REF!,2,FALSE),"")</f>
        <v/>
      </c>
      <c r="I4836" s="17"/>
      <c r="J4836" s="17"/>
      <c r="P4836" s="17"/>
      <c r="Q4836" s="17"/>
    </row>
    <row r="4837" spans="2:17">
      <c r="B4837" s="17"/>
      <c r="C4837" s="16" t="str">
        <f>IFERROR(VLOOKUP(DATA!#REF!,DATA!#REF!,1,FALSE),"")</f>
        <v/>
      </c>
      <c r="D4837" s="16" t="str">
        <f>IFERROR(VLOOKUP(C4837,DATA!#REF!,2,FALSE),"")</f>
        <v/>
      </c>
      <c r="I4837" s="17"/>
      <c r="J4837" s="17"/>
      <c r="P4837" s="17"/>
      <c r="Q4837" s="17"/>
    </row>
    <row r="4838" spans="2:17">
      <c r="B4838" s="17"/>
      <c r="C4838" s="16" t="str">
        <f>IFERROR(VLOOKUP(DATA!#REF!,DATA!#REF!,1,FALSE),"")</f>
        <v/>
      </c>
      <c r="D4838" s="16" t="str">
        <f>IFERROR(VLOOKUP(C4838,DATA!#REF!,2,FALSE),"")</f>
        <v/>
      </c>
      <c r="I4838" s="17"/>
      <c r="J4838" s="17"/>
      <c r="P4838" s="17"/>
      <c r="Q4838" s="17"/>
    </row>
    <row r="4839" spans="2:17">
      <c r="B4839" s="17"/>
      <c r="C4839" s="16" t="str">
        <f>IFERROR(VLOOKUP(DATA!#REF!,DATA!#REF!,1,FALSE),"")</f>
        <v/>
      </c>
      <c r="D4839" s="16" t="str">
        <f>IFERROR(VLOOKUP(C4839,DATA!#REF!,2,FALSE),"")</f>
        <v/>
      </c>
      <c r="I4839" s="17"/>
      <c r="J4839" s="17"/>
      <c r="P4839" s="17"/>
      <c r="Q4839" s="17"/>
    </row>
    <row r="4840" spans="2:17">
      <c r="B4840" s="17"/>
      <c r="C4840" s="16" t="str">
        <f>IFERROR(VLOOKUP(DATA!#REF!,DATA!#REF!,1,FALSE),"")</f>
        <v/>
      </c>
      <c r="D4840" s="16" t="str">
        <f>IFERROR(VLOOKUP(C4840,DATA!#REF!,2,FALSE),"")</f>
        <v/>
      </c>
      <c r="I4840" s="17"/>
      <c r="J4840" s="17"/>
      <c r="P4840" s="17"/>
      <c r="Q4840" s="17"/>
    </row>
    <row r="4841" spans="2:17">
      <c r="B4841" s="17"/>
      <c r="C4841" s="16" t="str">
        <f>IFERROR(VLOOKUP(DATA!#REF!,DATA!#REF!,1,FALSE),"")</f>
        <v/>
      </c>
      <c r="D4841" s="16" t="str">
        <f>IFERROR(VLOOKUP(C4841,DATA!#REF!,2,FALSE),"")</f>
        <v/>
      </c>
      <c r="I4841" s="17"/>
      <c r="J4841" s="17"/>
      <c r="P4841" s="17"/>
      <c r="Q4841" s="17"/>
    </row>
    <row r="4842" spans="2:17">
      <c r="B4842" s="17"/>
      <c r="C4842" s="16" t="str">
        <f>IFERROR(VLOOKUP(DATA!#REF!,DATA!#REF!,1,FALSE),"")</f>
        <v/>
      </c>
      <c r="D4842" s="16" t="str">
        <f>IFERROR(VLOOKUP(C4842,DATA!#REF!,2,FALSE),"")</f>
        <v/>
      </c>
      <c r="I4842" s="17"/>
      <c r="J4842" s="17"/>
      <c r="P4842" s="17"/>
      <c r="Q4842" s="17"/>
    </row>
    <row r="4843" spans="2:17">
      <c r="B4843" s="17"/>
      <c r="C4843" s="16" t="str">
        <f>IFERROR(VLOOKUP(DATA!#REF!,DATA!#REF!,1,FALSE),"")</f>
        <v/>
      </c>
      <c r="D4843" s="16" t="str">
        <f>IFERROR(VLOOKUP(C4843,DATA!#REF!,2,FALSE),"")</f>
        <v/>
      </c>
      <c r="I4843" s="17"/>
      <c r="J4843" s="17"/>
      <c r="P4843" s="17"/>
      <c r="Q4843" s="17"/>
    </row>
    <row r="4844" spans="2:17">
      <c r="B4844" s="17"/>
      <c r="C4844" s="16" t="str">
        <f>IFERROR(VLOOKUP(DATA!#REF!,DATA!#REF!,1,FALSE),"")</f>
        <v/>
      </c>
      <c r="D4844" s="16" t="str">
        <f>IFERROR(VLOOKUP(C4844,DATA!#REF!,2,FALSE),"")</f>
        <v/>
      </c>
      <c r="I4844" s="17"/>
      <c r="J4844" s="17"/>
      <c r="P4844" s="17"/>
      <c r="Q4844" s="17"/>
    </row>
    <row r="4845" spans="2:17">
      <c r="B4845" s="17"/>
      <c r="C4845" s="16" t="str">
        <f>IFERROR(VLOOKUP(DATA!#REF!,DATA!#REF!,1,FALSE),"")</f>
        <v/>
      </c>
      <c r="D4845" s="16" t="str">
        <f>IFERROR(VLOOKUP(C4845,DATA!#REF!,2,FALSE),"")</f>
        <v/>
      </c>
      <c r="I4845" s="17"/>
      <c r="J4845" s="17"/>
      <c r="P4845" s="17"/>
      <c r="Q4845" s="17"/>
    </row>
    <row r="4846" spans="2:17">
      <c r="B4846" s="17"/>
      <c r="C4846" s="16" t="str">
        <f>IFERROR(VLOOKUP(DATA!#REF!,DATA!#REF!,1,FALSE),"")</f>
        <v/>
      </c>
      <c r="D4846" s="16" t="str">
        <f>IFERROR(VLOOKUP(C4846,DATA!#REF!,2,FALSE),"")</f>
        <v/>
      </c>
      <c r="I4846" s="17"/>
      <c r="J4846" s="17"/>
      <c r="P4846" s="17"/>
      <c r="Q4846" s="17"/>
    </row>
    <row r="4847" spans="2:17">
      <c r="B4847" s="17"/>
      <c r="C4847" s="16" t="str">
        <f>IFERROR(VLOOKUP(DATA!#REF!,DATA!#REF!,1,FALSE),"")</f>
        <v/>
      </c>
      <c r="D4847" s="16" t="str">
        <f>IFERROR(VLOOKUP(C4847,DATA!#REF!,2,FALSE),"")</f>
        <v/>
      </c>
      <c r="I4847" s="17"/>
      <c r="J4847" s="17"/>
      <c r="P4847" s="17"/>
      <c r="Q4847" s="17"/>
    </row>
    <row r="4848" spans="2:17">
      <c r="B4848" s="17"/>
      <c r="C4848" s="16" t="str">
        <f>IFERROR(VLOOKUP(DATA!#REF!,DATA!#REF!,1,FALSE),"")</f>
        <v/>
      </c>
      <c r="D4848" s="16" t="str">
        <f>IFERROR(VLOOKUP(C4848,DATA!#REF!,2,FALSE),"")</f>
        <v/>
      </c>
      <c r="I4848" s="17"/>
      <c r="J4848" s="17"/>
      <c r="P4848" s="17"/>
      <c r="Q4848" s="17"/>
    </row>
    <row r="4849" spans="2:17">
      <c r="B4849" s="17"/>
      <c r="C4849" s="16" t="str">
        <f>IFERROR(VLOOKUP(DATA!#REF!,DATA!#REF!,1,FALSE),"")</f>
        <v/>
      </c>
      <c r="D4849" s="16" t="str">
        <f>IFERROR(VLOOKUP(C4849,DATA!#REF!,2,FALSE),"")</f>
        <v/>
      </c>
      <c r="I4849" s="17"/>
      <c r="J4849" s="17"/>
      <c r="P4849" s="17"/>
      <c r="Q4849" s="17"/>
    </row>
    <row r="4850" spans="2:17">
      <c r="B4850" s="17"/>
      <c r="C4850" s="16" t="str">
        <f>IFERROR(VLOOKUP(DATA!#REF!,DATA!#REF!,1,FALSE),"")</f>
        <v/>
      </c>
      <c r="D4850" s="16" t="str">
        <f>IFERROR(VLOOKUP(C4850,DATA!#REF!,2,FALSE),"")</f>
        <v/>
      </c>
      <c r="I4850" s="17"/>
      <c r="J4850" s="17"/>
      <c r="P4850" s="17"/>
      <c r="Q4850" s="17"/>
    </row>
    <row r="4851" spans="2:17">
      <c r="B4851" s="17"/>
      <c r="C4851" s="16" t="str">
        <f>IFERROR(VLOOKUP(DATA!#REF!,DATA!#REF!,1,FALSE),"")</f>
        <v/>
      </c>
      <c r="D4851" s="16" t="str">
        <f>IFERROR(VLOOKUP(C4851,DATA!#REF!,2,FALSE),"")</f>
        <v/>
      </c>
      <c r="I4851" s="17"/>
      <c r="J4851" s="17"/>
      <c r="P4851" s="17"/>
      <c r="Q4851" s="17"/>
    </row>
    <row r="4852" spans="2:17">
      <c r="B4852" s="17"/>
      <c r="C4852" s="16" t="str">
        <f>IFERROR(VLOOKUP(DATA!#REF!,DATA!#REF!,1,FALSE),"")</f>
        <v/>
      </c>
      <c r="D4852" s="16" t="str">
        <f>IFERROR(VLOOKUP(C4852,DATA!#REF!,2,FALSE),"")</f>
        <v/>
      </c>
      <c r="I4852" s="17"/>
      <c r="J4852" s="17"/>
      <c r="P4852" s="17"/>
      <c r="Q4852" s="17"/>
    </row>
    <row r="4853" spans="2:17">
      <c r="B4853" s="17"/>
      <c r="C4853" s="16" t="str">
        <f>IFERROR(VLOOKUP(DATA!#REF!,DATA!#REF!,1,FALSE),"")</f>
        <v/>
      </c>
      <c r="D4853" s="16" t="str">
        <f>IFERROR(VLOOKUP(C4853,DATA!#REF!,2,FALSE),"")</f>
        <v/>
      </c>
      <c r="I4853" s="17"/>
      <c r="J4853" s="17"/>
      <c r="P4853" s="17"/>
      <c r="Q4853" s="17"/>
    </row>
    <row r="4854" spans="2:17">
      <c r="B4854" s="17"/>
      <c r="C4854" s="16" t="str">
        <f>IFERROR(VLOOKUP(DATA!#REF!,DATA!#REF!,1,FALSE),"")</f>
        <v/>
      </c>
      <c r="D4854" s="16" t="str">
        <f>IFERROR(VLOOKUP(C4854,DATA!#REF!,2,FALSE),"")</f>
        <v/>
      </c>
      <c r="I4854" s="17"/>
      <c r="J4854" s="17"/>
      <c r="P4854" s="17"/>
      <c r="Q4854" s="17"/>
    </row>
    <row r="4855" spans="2:17">
      <c r="B4855" s="17"/>
      <c r="C4855" s="16" t="str">
        <f>IFERROR(VLOOKUP(DATA!#REF!,DATA!#REF!,1,FALSE),"")</f>
        <v/>
      </c>
      <c r="D4855" s="16" t="str">
        <f>IFERROR(VLOOKUP(C4855,DATA!#REF!,2,FALSE),"")</f>
        <v/>
      </c>
      <c r="I4855" s="17"/>
      <c r="J4855" s="17"/>
      <c r="P4855" s="17"/>
      <c r="Q4855" s="17"/>
    </row>
    <row r="4856" spans="2:17">
      <c r="B4856" s="17"/>
      <c r="C4856" s="16" t="str">
        <f>IFERROR(VLOOKUP(DATA!#REF!,DATA!#REF!,1,FALSE),"")</f>
        <v/>
      </c>
      <c r="D4856" s="16" t="str">
        <f>IFERROR(VLOOKUP(C4856,DATA!#REF!,2,FALSE),"")</f>
        <v/>
      </c>
      <c r="I4856" s="17"/>
      <c r="J4856" s="17"/>
      <c r="P4856" s="17"/>
      <c r="Q4856" s="17"/>
    </row>
    <row r="4857" spans="2:17">
      <c r="B4857" s="17"/>
      <c r="C4857" s="16" t="str">
        <f>IFERROR(VLOOKUP(DATA!#REF!,DATA!#REF!,1,FALSE),"")</f>
        <v/>
      </c>
      <c r="D4857" s="16" t="str">
        <f>IFERROR(VLOOKUP(C4857,DATA!#REF!,2,FALSE),"")</f>
        <v/>
      </c>
      <c r="I4857" s="17"/>
      <c r="J4857" s="17"/>
      <c r="P4857" s="17"/>
      <c r="Q4857" s="17"/>
    </row>
    <row r="4858" spans="2:17">
      <c r="B4858" s="17"/>
      <c r="C4858" s="16" t="str">
        <f>IFERROR(VLOOKUP(DATA!#REF!,DATA!#REF!,1,FALSE),"")</f>
        <v/>
      </c>
      <c r="D4858" s="16" t="str">
        <f>IFERROR(VLOOKUP(C4858,DATA!#REF!,2,FALSE),"")</f>
        <v/>
      </c>
      <c r="I4858" s="17"/>
      <c r="J4858" s="17"/>
      <c r="P4858" s="17"/>
      <c r="Q4858" s="17"/>
    </row>
    <row r="4859" spans="2:17">
      <c r="B4859" s="17"/>
      <c r="C4859" s="16" t="str">
        <f>IFERROR(VLOOKUP(DATA!#REF!,DATA!#REF!,1,FALSE),"")</f>
        <v/>
      </c>
      <c r="D4859" s="16" t="str">
        <f>IFERROR(VLOOKUP(C4859,DATA!#REF!,2,FALSE),"")</f>
        <v/>
      </c>
      <c r="I4859" s="17"/>
      <c r="J4859" s="17"/>
      <c r="P4859" s="17"/>
      <c r="Q4859" s="17"/>
    </row>
    <row r="4860" spans="2:17">
      <c r="B4860" s="17"/>
      <c r="C4860" s="16" t="str">
        <f>IFERROR(VLOOKUP(DATA!#REF!,DATA!#REF!,1,FALSE),"")</f>
        <v/>
      </c>
      <c r="D4860" s="16" t="str">
        <f>IFERROR(VLOOKUP(C4860,DATA!#REF!,2,FALSE),"")</f>
        <v/>
      </c>
      <c r="I4860" s="17"/>
      <c r="J4860" s="17"/>
      <c r="P4860" s="17"/>
      <c r="Q4860" s="17"/>
    </row>
    <row r="4861" spans="2:17">
      <c r="B4861" s="17"/>
      <c r="C4861" s="16" t="str">
        <f>IFERROR(VLOOKUP(DATA!#REF!,DATA!#REF!,1,FALSE),"")</f>
        <v/>
      </c>
      <c r="D4861" s="16" t="str">
        <f>IFERROR(VLOOKUP(C4861,DATA!#REF!,2,FALSE),"")</f>
        <v/>
      </c>
      <c r="I4861" s="17"/>
      <c r="J4861" s="17"/>
      <c r="P4861" s="17"/>
      <c r="Q4861" s="17"/>
    </row>
    <row r="4862" spans="2:17">
      <c r="B4862" s="17"/>
      <c r="C4862" s="16" t="str">
        <f>IFERROR(VLOOKUP(DATA!#REF!,DATA!#REF!,1,FALSE),"")</f>
        <v/>
      </c>
      <c r="D4862" s="16" t="str">
        <f>IFERROR(VLOOKUP(C4862,DATA!#REF!,2,FALSE),"")</f>
        <v/>
      </c>
      <c r="I4862" s="17"/>
      <c r="J4862" s="17"/>
      <c r="P4862" s="17"/>
      <c r="Q4862" s="17"/>
    </row>
    <row r="4863" spans="2:17">
      <c r="B4863" s="17"/>
      <c r="C4863" s="16" t="str">
        <f>IFERROR(VLOOKUP(DATA!#REF!,DATA!#REF!,1,FALSE),"")</f>
        <v/>
      </c>
      <c r="D4863" s="16" t="str">
        <f>IFERROR(VLOOKUP(C4863,DATA!#REF!,2,FALSE),"")</f>
        <v/>
      </c>
      <c r="I4863" s="17"/>
      <c r="J4863" s="17"/>
      <c r="P4863" s="17"/>
      <c r="Q4863" s="17"/>
    </row>
    <row r="4864" spans="2:17">
      <c r="B4864" s="17"/>
      <c r="C4864" s="16" t="str">
        <f>IFERROR(VLOOKUP(DATA!#REF!,DATA!#REF!,1,FALSE),"")</f>
        <v/>
      </c>
      <c r="D4864" s="16" t="str">
        <f>IFERROR(VLOOKUP(C4864,DATA!#REF!,2,FALSE),"")</f>
        <v/>
      </c>
      <c r="I4864" s="17"/>
      <c r="J4864" s="17"/>
      <c r="P4864" s="17"/>
      <c r="Q4864" s="17"/>
    </row>
    <row r="4865" spans="2:17">
      <c r="B4865" s="17"/>
      <c r="C4865" s="16" t="str">
        <f>IFERROR(VLOOKUP(DATA!#REF!,DATA!#REF!,1,FALSE),"")</f>
        <v/>
      </c>
      <c r="D4865" s="16" t="str">
        <f>IFERROR(VLOOKUP(C4865,DATA!#REF!,2,FALSE),"")</f>
        <v/>
      </c>
      <c r="I4865" s="17"/>
      <c r="J4865" s="17"/>
      <c r="P4865" s="17"/>
      <c r="Q4865" s="17"/>
    </row>
    <row r="4866" spans="2:17">
      <c r="B4866" s="17"/>
      <c r="C4866" s="16" t="str">
        <f>IFERROR(VLOOKUP(DATA!#REF!,DATA!#REF!,1,FALSE),"")</f>
        <v/>
      </c>
      <c r="D4866" s="16" t="str">
        <f>IFERROR(VLOOKUP(C4866,DATA!#REF!,2,FALSE),"")</f>
        <v/>
      </c>
      <c r="I4866" s="17"/>
      <c r="J4866" s="17"/>
      <c r="P4866" s="17"/>
      <c r="Q4866" s="17"/>
    </row>
    <row r="4867" spans="2:17">
      <c r="B4867" s="17"/>
      <c r="C4867" s="16" t="str">
        <f>IFERROR(VLOOKUP(DATA!#REF!,DATA!#REF!,1,FALSE),"")</f>
        <v/>
      </c>
      <c r="D4867" s="16" t="str">
        <f>IFERROR(VLOOKUP(C4867,DATA!#REF!,2,FALSE),"")</f>
        <v/>
      </c>
      <c r="I4867" s="17"/>
      <c r="J4867" s="17"/>
      <c r="P4867" s="17"/>
      <c r="Q4867" s="17"/>
    </row>
    <row r="4868" spans="2:17">
      <c r="B4868" s="17"/>
      <c r="C4868" s="16" t="str">
        <f>IFERROR(VLOOKUP(DATA!#REF!,DATA!#REF!,1,FALSE),"")</f>
        <v/>
      </c>
      <c r="D4868" s="16" t="str">
        <f>IFERROR(VLOOKUP(C4868,DATA!#REF!,2,FALSE),"")</f>
        <v/>
      </c>
      <c r="I4868" s="17"/>
      <c r="J4868" s="17"/>
      <c r="P4868" s="17"/>
      <c r="Q4868" s="17"/>
    </row>
    <row r="4869" spans="2:17">
      <c r="B4869" s="17"/>
      <c r="C4869" s="16" t="str">
        <f>IFERROR(VLOOKUP(DATA!#REF!,DATA!#REF!,1,FALSE),"")</f>
        <v/>
      </c>
      <c r="D4869" s="16" t="str">
        <f>IFERROR(VLOOKUP(C4869,DATA!#REF!,2,FALSE),"")</f>
        <v/>
      </c>
      <c r="I4869" s="17"/>
      <c r="J4869" s="17"/>
      <c r="P4869" s="17"/>
      <c r="Q4869" s="17"/>
    </row>
    <row r="4870" spans="2:17">
      <c r="B4870" s="17"/>
      <c r="C4870" s="16" t="str">
        <f>IFERROR(VLOOKUP(DATA!#REF!,DATA!#REF!,1,FALSE),"")</f>
        <v/>
      </c>
      <c r="D4870" s="16" t="str">
        <f>IFERROR(VLOOKUP(C4870,DATA!#REF!,2,FALSE),"")</f>
        <v/>
      </c>
      <c r="I4870" s="17"/>
      <c r="J4870" s="17"/>
      <c r="P4870" s="17"/>
      <c r="Q4870" s="17"/>
    </row>
    <row r="4871" spans="2:17">
      <c r="B4871" s="17"/>
      <c r="C4871" s="16" t="str">
        <f>IFERROR(VLOOKUP(DATA!#REF!,DATA!#REF!,1,FALSE),"")</f>
        <v/>
      </c>
      <c r="D4871" s="16" t="str">
        <f>IFERROR(VLOOKUP(C4871,DATA!#REF!,2,FALSE),"")</f>
        <v/>
      </c>
      <c r="I4871" s="17"/>
      <c r="J4871" s="17"/>
      <c r="P4871" s="17"/>
      <c r="Q4871" s="17"/>
    </row>
    <row r="4872" spans="2:17">
      <c r="B4872" s="17"/>
      <c r="C4872" s="16" t="str">
        <f>IFERROR(VLOOKUP(DATA!#REF!,DATA!#REF!,1,FALSE),"")</f>
        <v/>
      </c>
      <c r="D4872" s="16" t="str">
        <f>IFERROR(VLOOKUP(C4872,DATA!#REF!,2,FALSE),"")</f>
        <v/>
      </c>
      <c r="I4872" s="17"/>
      <c r="J4872" s="17"/>
      <c r="P4872" s="17"/>
      <c r="Q4872" s="17"/>
    </row>
    <row r="4873" spans="2:17">
      <c r="B4873" s="17"/>
      <c r="C4873" s="16" t="str">
        <f>IFERROR(VLOOKUP(DATA!#REF!,DATA!#REF!,1,FALSE),"")</f>
        <v/>
      </c>
      <c r="D4873" s="16" t="str">
        <f>IFERROR(VLOOKUP(C4873,DATA!#REF!,2,FALSE),"")</f>
        <v/>
      </c>
      <c r="I4873" s="17"/>
      <c r="J4873" s="17"/>
      <c r="P4873" s="17"/>
      <c r="Q4873" s="17"/>
    </row>
    <row r="4874" spans="2:17">
      <c r="B4874" s="17"/>
      <c r="C4874" s="16" t="str">
        <f>IFERROR(VLOOKUP(DATA!#REF!,DATA!#REF!,1,FALSE),"")</f>
        <v/>
      </c>
      <c r="D4874" s="16" t="str">
        <f>IFERROR(VLOOKUP(C4874,DATA!#REF!,2,FALSE),"")</f>
        <v/>
      </c>
      <c r="I4874" s="17"/>
      <c r="J4874" s="17"/>
      <c r="P4874" s="17"/>
      <c r="Q4874" s="17"/>
    </row>
    <row r="4875" spans="2:17">
      <c r="B4875" s="17"/>
      <c r="C4875" s="16" t="str">
        <f>IFERROR(VLOOKUP(DATA!#REF!,DATA!#REF!,1,FALSE),"")</f>
        <v/>
      </c>
      <c r="D4875" s="16" t="str">
        <f>IFERROR(VLOOKUP(C4875,DATA!#REF!,2,FALSE),"")</f>
        <v/>
      </c>
      <c r="I4875" s="17"/>
      <c r="J4875" s="17"/>
      <c r="P4875" s="17"/>
      <c r="Q4875" s="17"/>
    </row>
    <row r="4876" spans="2:17">
      <c r="B4876" s="17"/>
      <c r="C4876" s="16" t="str">
        <f>IFERROR(VLOOKUP(DATA!#REF!,DATA!#REF!,1,FALSE),"")</f>
        <v/>
      </c>
      <c r="D4876" s="16" t="str">
        <f>IFERROR(VLOOKUP(C4876,DATA!#REF!,2,FALSE),"")</f>
        <v/>
      </c>
      <c r="I4876" s="17"/>
      <c r="J4876" s="17"/>
      <c r="P4876" s="17"/>
      <c r="Q4876" s="17"/>
    </row>
    <row r="4877" spans="2:17">
      <c r="B4877" s="17"/>
      <c r="C4877" s="16" t="str">
        <f>IFERROR(VLOOKUP(DATA!#REF!,DATA!#REF!,1,FALSE),"")</f>
        <v/>
      </c>
      <c r="D4877" s="16" t="str">
        <f>IFERROR(VLOOKUP(C4877,DATA!#REF!,2,FALSE),"")</f>
        <v/>
      </c>
      <c r="I4877" s="17"/>
      <c r="J4877" s="17"/>
      <c r="P4877" s="17"/>
      <c r="Q4877" s="17"/>
    </row>
    <row r="4878" spans="2:17">
      <c r="B4878" s="17"/>
      <c r="C4878" s="16" t="str">
        <f>IFERROR(VLOOKUP(DATA!#REF!,DATA!#REF!,1,FALSE),"")</f>
        <v/>
      </c>
      <c r="D4878" s="16" t="str">
        <f>IFERROR(VLOOKUP(C4878,DATA!#REF!,2,FALSE),"")</f>
        <v/>
      </c>
      <c r="I4878" s="17"/>
      <c r="J4878" s="17"/>
      <c r="P4878" s="17"/>
      <c r="Q4878" s="17"/>
    </row>
    <row r="4879" spans="2:17">
      <c r="B4879" s="17"/>
      <c r="C4879" s="16" t="str">
        <f>IFERROR(VLOOKUP(DATA!#REF!,DATA!#REF!,1,FALSE),"")</f>
        <v/>
      </c>
      <c r="D4879" s="16" t="str">
        <f>IFERROR(VLOOKUP(C4879,DATA!#REF!,2,FALSE),"")</f>
        <v/>
      </c>
      <c r="I4879" s="17"/>
      <c r="J4879" s="17"/>
      <c r="P4879" s="17"/>
      <c r="Q4879" s="17"/>
    </row>
    <row r="4880" spans="2:17">
      <c r="B4880" s="17"/>
      <c r="C4880" s="16" t="str">
        <f>IFERROR(VLOOKUP(DATA!#REF!,DATA!#REF!,1,FALSE),"")</f>
        <v/>
      </c>
      <c r="D4880" s="16" t="str">
        <f>IFERROR(VLOOKUP(C4880,DATA!#REF!,2,FALSE),"")</f>
        <v/>
      </c>
      <c r="I4880" s="17"/>
      <c r="J4880" s="17"/>
      <c r="P4880" s="17"/>
      <c r="Q4880" s="17"/>
    </row>
    <row r="4881" spans="2:17">
      <c r="B4881" s="17"/>
      <c r="C4881" s="16" t="str">
        <f>IFERROR(VLOOKUP(DATA!#REF!,DATA!#REF!,1,FALSE),"")</f>
        <v/>
      </c>
      <c r="D4881" s="16" t="str">
        <f>IFERROR(VLOOKUP(C4881,DATA!#REF!,2,FALSE),"")</f>
        <v/>
      </c>
      <c r="I4881" s="17"/>
      <c r="J4881" s="17"/>
      <c r="P4881" s="17"/>
      <c r="Q4881" s="17"/>
    </row>
    <row r="4882" spans="2:17">
      <c r="B4882" s="17"/>
      <c r="C4882" s="16" t="str">
        <f>IFERROR(VLOOKUP(DATA!#REF!,DATA!#REF!,1,FALSE),"")</f>
        <v/>
      </c>
      <c r="D4882" s="16" t="str">
        <f>IFERROR(VLOOKUP(C4882,DATA!#REF!,2,FALSE),"")</f>
        <v/>
      </c>
      <c r="I4882" s="17"/>
      <c r="J4882" s="17"/>
      <c r="P4882" s="17"/>
      <c r="Q4882" s="17"/>
    </row>
    <row r="4883" spans="2:17">
      <c r="B4883" s="17"/>
      <c r="C4883" s="16" t="str">
        <f>IFERROR(VLOOKUP(DATA!#REF!,DATA!#REF!,1,FALSE),"")</f>
        <v/>
      </c>
      <c r="D4883" s="16" t="str">
        <f>IFERROR(VLOOKUP(C4883,DATA!#REF!,2,FALSE),"")</f>
        <v/>
      </c>
      <c r="I4883" s="17"/>
      <c r="J4883" s="17"/>
      <c r="P4883" s="17"/>
      <c r="Q4883" s="17"/>
    </row>
    <row r="4884" spans="2:17">
      <c r="B4884" s="17"/>
      <c r="C4884" s="16" t="str">
        <f>IFERROR(VLOOKUP(DATA!#REF!,DATA!#REF!,1,FALSE),"")</f>
        <v/>
      </c>
      <c r="D4884" s="16" t="str">
        <f>IFERROR(VLOOKUP(C4884,DATA!#REF!,2,FALSE),"")</f>
        <v/>
      </c>
      <c r="I4884" s="17"/>
      <c r="J4884" s="17"/>
      <c r="P4884" s="17"/>
      <c r="Q4884" s="17"/>
    </row>
    <row r="4885" spans="2:17">
      <c r="B4885" s="17"/>
      <c r="C4885" s="16" t="str">
        <f>IFERROR(VLOOKUP(DATA!#REF!,DATA!#REF!,1,FALSE),"")</f>
        <v/>
      </c>
      <c r="D4885" s="16" t="str">
        <f>IFERROR(VLOOKUP(C4885,DATA!#REF!,2,FALSE),"")</f>
        <v/>
      </c>
      <c r="I4885" s="17"/>
      <c r="J4885" s="17"/>
      <c r="P4885" s="17"/>
      <c r="Q4885" s="17"/>
    </row>
    <row r="4886" spans="2:17">
      <c r="B4886" s="17"/>
      <c r="C4886" s="16" t="str">
        <f>IFERROR(VLOOKUP(DATA!#REF!,DATA!#REF!,1,FALSE),"")</f>
        <v/>
      </c>
      <c r="D4886" s="16" t="str">
        <f>IFERROR(VLOOKUP(C4886,DATA!#REF!,2,FALSE),"")</f>
        <v/>
      </c>
      <c r="I4886" s="17"/>
      <c r="J4886" s="17"/>
      <c r="P4886" s="17"/>
      <c r="Q4886" s="17"/>
    </row>
    <row r="4887" spans="2:17">
      <c r="B4887" s="17"/>
      <c r="C4887" s="16" t="str">
        <f>IFERROR(VLOOKUP(DATA!#REF!,DATA!#REF!,1,FALSE),"")</f>
        <v/>
      </c>
      <c r="D4887" s="16" t="str">
        <f>IFERROR(VLOOKUP(C4887,DATA!#REF!,2,FALSE),"")</f>
        <v/>
      </c>
      <c r="I4887" s="17"/>
      <c r="J4887" s="17"/>
      <c r="P4887" s="17"/>
      <c r="Q4887" s="17"/>
    </row>
    <row r="4888" spans="2:17">
      <c r="B4888" s="17"/>
      <c r="C4888" s="16" t="str">
        <f>IFERROR(VLOOKUP(DATA!#REF!,DATA!#REF!,1,FALSE),"")</f>
        <v/>
      </c>
      <c r="D4888" s="16" t="str">
        <f>IFERROR(VLOOKUP(C4888,DATA!#REF!,2,FALSE),"")</f>
        <v/>
      </c>
      <c r="I4888" s="17"/>
      <c r="J4888" s="17"/>
      <c r="P4888" s="17"/>
      <c r="Q4888" s="17"/>
    </row>
    <row r="4889" spans="2:17">
      <c r="B4889" s="17"/>
      <c r="C4889" s="16" t="str">
        <f>IFERROR(VLOOKUP(DATA!#REF!,DATA!#REF!,1,FALSE),"")</f>
        <v/>
      </c>
      <c r="D4889" s="16" t="str">
        <f>IFERROR(VLOOKUP(C4889,DATA!#REF!,2,FALSE),"")</f>
        <v/>
      </c>
      <c r="I4889" s="17"/>
      <c r="J4889" s="17"/>
      <c r="P4889" s="17"/>
      <c r="Q4889" s="17"/>
    </row>
    <row r="4890" spans="2:17">
      <c r="B4890" s="17"/>
      <c r="C4890" s="16" t="str">
        <f>IFERROR(VLOOKUP(DATA!#REF!,DATA!#REF!,1,FALSE),"")</f>
        <v/>
      </c>
      <c r="D4890" s="16" t="str">
        <f>IFERROR(VLOOKUP(C4890,DATA!#REF!,2,FALSE),"")</f>
        <v/>
      </c>
      <c r="I4890" s="17"/>
      <c r="J4890" s="17"/>
      <c r="P4890" s="17"/>
      <c r="Q4890" s="17"/>
    </row>
    <row r="4891" spans="2:17">
      <c r="B4891" s="17"/>
      <c r="C4891" s="16" t="str">
        <f>IFERROR(VLOOKUP(DATA!#REF!,DATA!#REF!,1,FALSE),"")</f>
        <v/>
      </c>
      <c r="D4891" s="16" t="str">
        <f>IFERROR(VLOOKUP(C4891,DATA!#REF!,2,FALSE),"")</f>
        <v/>
      </c>
      <c r="I4891" s="17"/>
      <c r="J4891" s="17"/>
      <c r="P4891" s="17"/>
      <c r="Q4891" s="17"/>
    </row>
    <row r="4892" spans="2:17">
      <c r="B4892" s="17"/>
      <c r="C4892" s="16" t="str">
        <f>IFERROR(VLOOKUP(DATA!#REF!,DATA!#REF!,1,FALSE),"")</f>
        <v/>
      </c>
      <c r="D4892" s="16" t="str">
        <f>IFERROR(VLOOKUP(C4892,DATA!#REF!,2,FALSE),"")</f>
        <v/>
      </c>
      <c r="I4892" s="17"/>
      <c r="J4892" s="17"/>
      <c r="P4892" s="17"/>
      <c r="Q4892" s="17"/>
    </row>
    <row r="4893" spans="2:17">
      <c r="B4893" s="17"/>
      <c r="C4893" s="16" t="str">
        <f>IFERROR(VLOOKUP(DATA!#REF!,DATA!#REF!,1,FALSE),"")</f>
        <v/>
      </c>
      <c r="D4893" s="16" t="str">
        <f>IFERROR(VLOOKUP(C4893,DATA!#REF!,2,FALSE),"")</f>
        <v/>
      </c>
      <c r="I4893" s="17"/>
      <c r="J4893" s="17"/>
      <c r="P4893" s="17"/>
      <c r="Q4893" s="17"/>
    </row>
    <row r="4894" spans="2:17">
      <c r="B4894" s="17"/>
      <c r="C4894" s="16" t="str">
        <f>IFERROR(VLOOKUP(DATA!#REF!,DATA!#REF!,1,FALSE),"")</f>
        <v/>
      </c>
      <c r="D4894" s="16" t="str">
        <f>IFERROR(VLOOKUP(C4894,DATA!#REF!,2,FALSE),"")</f>
        <v/>
      </c>
      <c r="I4894" s="17"/>
      <c r="J4894" s="17"/>
      <c r="P4894" s="17"/>
      <c r="Q4894" s="17"/>
    </row>
    <row r="4895" spans="2:17">
      <c r="B4895" s="17"/>
      <c r="C4895" s="16" t="str">
        <f>IFERROR(VLOOKUP(DATA!#REF!,DATA!#REF!,1,FALSE),"")</f>
        <v/>
      </c>
      <c r="D4895" s="16" t="str">
        <f>IFERROR(VLOOKUP(C4895,DATA!#REF!,2,FALSE),"")</f>
        <v/>
      </c>
      <c r="I4895" s="17"/>
      <c r="J4895" s="17"/>
      <c r="P4895" s="17"/>
      <c r="Q4895" s="17"/>
    </row>
    <row r="4896" spans="2:17">
      <c r="B4896" s="17"/>
      <c r="C4896" s="16" t="str">
        <f>IFERROR(VLOOKUP(DATA!#REF!,DATA!#REF!,1,FALSE),"")</f>
        <v/>
      </c>
      <c r="D4896" s="16" t="str">
        <f>IFERROR(VLOOKUP(C4896,DATA!#REF!,2,FALSE),"")</f>
        <v/>
      </c>
      <c r="I4896" s="17"/>
      <c r="J4896" s="17"/>
      <c r="P4896" s="17"/>
      <c r="Q4896" s="17"/>
    </row>
    <row r="4897" spans="2:17">
      <c r="B4897" s="17"/>
      <c r="C4897" s="16" t="str">
        <f>IFERROR(VLOOKUP(DATA!#REF!,DATA!#REF!,1,FALSE),"")</f>
        <v/>
      </c>
      <c r="D4897" s="16" t="str">
        <f>IFERROR(VLOOKUP(C4897,DATA!#REF!,2,FALSE),"")</f>
        <v/>
      </c>
      <c r="I4897" s="17"/>
      <c r="J4897" s="17"/>
      <c r="P4897" s="17"/>
      <c r="Q4897" s="17"/>
    </row>
    <row r="4898" spans="2:17">
      <c r="B4898" s="17"/>
      <c r="C4898" s="16" t="str">
        <f>IFERROR(VLOOKUP(DATA!#REF!,DATA!#REF!,1,FALSE),"")</f>
        <v/>
      </c>
      <c r="D4898" s="16" t="str">
        <f>IFERROR(VLOOKUP(C4898,DATA!#REF!,2,FALSE),"")</f>
        <v/>
      </c>
      <c r="I4898" s="17"/>
      <c r="J4898" s="17"/>
      <c r="P4898" s="17"/>
      <c r="Q4898" s="17"/>
    </row>
    <row r="4899" spans="2:17">
      <c r="B4899" s="17"/>
      <c r="C4899" s="16" t="str">
        <f>IFERROR(VLOOKUP(DATA!#REF!,DATA!#REF!,1,FALSE),"")</f>
        <v/>
      </c>
      <c r="D4899" s="16" t="str">
        <f>IFERROR(VLOOKUP(C4899,DATA!#REF!,2,FALSE),"")</f>
        <v/>
      </c>
      <c r="I4899" s="17"/>
      <c r="J4899" s="17"/>
      <c r="P4899" s="17"/>
      <c r="Q4899" s="17"/>
    </row>
    <row r="4900" spans="2:17">
      <c r="B4900" s="17"/>
      <c r="C4900" s="16" t="str">
        <f>IFERROR(VLOOKUP(DATA!#REF!,DATA!#REF!,1,FALSE),"")</f>
        <v/>
      </c>
      <c r="D4900" s="16" t="str">
        <f>IFERROR(VLOOKUP(C4900,DATA!#REF!,2,FALSE),"")</f>
        <v/>
      </c>
      <c r="I4900" s="17"/>
      <c r="J4900" s="17"/>
      <c r="P4900" s="17"/>
      <c r="Q4900" s="17"/>
    </row>
    <row r="4901" spans="2:17">
      <c r="B4901" s="17"/>
      <c r="C4901" s="16" t="str">
        <f>IFERROR(VLOOKUP(DATA!#REF!,DATA!#REF!,1,FALSE),"")</f>
        <v/>
      </c>
      <c r="D4901" s="16" t="str">
        <f>IFERROR(VLOOKUP(C4901,DATA!#REF!,2,FALSE),"")</f>
        <v/>
      </c>
      <c r="I4901" s="17"/>
      <c r="J4901" s="17"/>
      <c r="P4901" s="17"/>
      <c r="Q4901" s="17"/>
    </row>
    <row r="4902" spans="2:17">
      <c r="B4902" s="17"/>
      <c r="C4902" s="16" t="str">
        <f>IFERROR(VLOOKUP(DATA!#REF!,DATA!#REF!,1,FALSE),"")</f>
        <v/>
      </c>
      <c r="D4902" s="16" t="str">
        <f>IFERROR(VLOOKUP(C4902,DATA!#REF!,2,FALSE),"")</f>
        <v/>
      </c>
      <c r="I4902" s="17"/>
      <c r="J4902" s="17"/>
      <c r="P4902" s="17"/>
      <c r="Q4902" s="17"/>
    </row>
    <row r="4903" spans="2:17">
      <c r="B4903" s="17"/>
      <c r="C4903" s="16" t="str">
        <f>IFERROR(VLOOKUP(DATA!#REF!,DATA!#REF!,1,FALSE),"")</f>
        <v/>
      </c>
      <c r="D4903" s="16" t="str">
        <f>IFERROR(VLOOKUP(C4903,DATA!#REF!,2,FALSE),"")</f>
        <v/>
      </c>
      <c r="I4903" s="17"/>
      <c r="J4903" s="17"/>
      <c r="P4903" s="17"/>
      <c r="Q4903" s="17"/>
    </row>
    <row r="4904" spans="2:17">
      <c r="B4904" s="17"/>
      <c r="C4904" s="16" t="str">
        <f>IFERROR(VLOOKUP(DATA!#REF!,DATA!#REF!,1,FALSE),"")</f>
        <v/>
      </c>
      <c r="D4904" s="16" t="str">
        <f>IFERROR(VLOOKUP(C4904,DATA!#REF!,2,FALSE),"")</f>
        <v/>
      </c>
      <c r="I4904" s="17"/>
      <c r="J4904" s="17"/>
      <c r="P4904" s="17"/>
      <c r="Q4904" s="17"/>
    </row>
    <row r="4905" spans="2:17">
      <c r="B4905" s="17"/>
      <c r="C4905" s="16" t="str">
        <f>IFERROR(VLOOKUP(DATA!#REF!,DATA!#REF!,1,FALSE),"")</f>
        <v/>
      </c>
      <c r="D4905" s="16" t="str">
        <f>IFERROR(VLOOKUP(C4905,DATA!#REF!,2,FALSE),"")</f>
        <v/>
      </c>
      <c r="I4905" s="17"/>
      <c r="J4905" s="17"/>
      <c r="P4905" s="17"/>
      <c r="Q4905" s="17"/>
    </row>
    <row r="4906" spans="2:17">
      <c r="B4906" s="17"/>
      <c r="C4906" s="16" t="str">
        <f>IFERROR(VLOOKUP(DATA!#REF!,DATA!#REF!,1,FALSE),"")</f>
        <v/>
      </c>
      <c r="D4906" s="16" t="str">
        <f>IFERROR(VLOOKUP(C4906,DATA!#REF!,2,FALSE),"")</f>
        <v/>
      </c>
      <c r="I4906" s="17"/>
      <c r="J4906" s="17"/>
      <c r="P4906" s="17"/>
      <c r="Q4906" s="17"/>
    </row>
    <row r="4907" spans="2:17">
      <c r="B4907" s="17"/>
      <c r="C4907" s="16" t="str">
        <f>IFERROR(VLOOKUP(DATA!#REF!,DATA!#REF!,1,FALSE),"")</f>
        <v/>
      </c>
      <c r="D4907" s="16" t="str">
        <f>IFERROR(VLOOKUP(C4907,DATA!#REF!,2,FALSE),"")</f>
        <v/>
      </c>
      <c r="I4907" s="17"/>
      <c r="J4907" s="17"/>
      <c r="P4907" s="17"/>
      <c r="Q4907" s="17"/>
    </row>
    <row r="4908" spans="2:17">
      <c r="B4908" s="17"/>
      <c r="C4908" s="16" t="str">
        <f>IFERROR(VLOOKUP(DATA!#REF!,DATA!#REF!,1,FALSE),"")</f>
        <v/>
      </c>
      <c r="D4908" s="16" t="str">
        <f>IFERROR(VLOOKUP(C4908,DATA!#REF!,2,FALSE),"")</f>
        <v/>
      </c>
      <c r="I4908" s="17"/>
      <c r="J4908" s="17"/>
      <c r="P4908" s="17"/>
      <c r="Q4908" s="17"/>
    </row>
    <row r="4909" spans="2:17">
      <c r="B4909" s="17"/>
      <c r="C4909" s="16" t="str">
        <f>IFERROR(VLOOKUP(DATA!#REF!,DATA!#REF!,1,FALSE),"")</f>
        <v/>
      </c>
      <c r="D4909" s="16" t="str">
        <f>IFERROR(VLOOKUP(C4909,DATA!#REF!,2,FALSE),"")</f>
        <v/>
      </c>
      <c r="I4909" s="17"/>
      <c r="J4909" s="17"/>
      <c r="P4909" s="17"/>
      <c r="Q4909" s="17"/>
    </row>
    <row r="4910" spans="2:17">
      <c r="B4910" s="17"/>
      <c r="C4910" s="16" t="str">
        <f>IFERROR(VLOOKUP(DATA!#REF!,DATA!#REF!,1,FALSE),"")</f>
        <v/>
      </c>
      <c r="D4910" s="16" t="str">
        <f>IFERROR(VLOOKUP(C4910,DATA!#REF!,2,FALSE),"")</f>
        <v/>
      </c>
      <c r="I4910" s="17"/>
      <c r="J4910" s="17"/>
      <c r="P4910" s="17"/>
      <c r="Q4910" s="17"/>
    </row>
    <row r="4911" spans="2:17">
      <c r="B4911" s="17"/>
      <c r="C4911" s="16" t="str">
        <f>IFERROR(VLOOKUP(DATA!#REF!,DATA!#REF!,1,FALSE),"")</f>
        <v/>
      </c>
      <c r="D4911" s="16" t="str">
        <f>IFERROR(VLOOKUP(C4911,DATA!#REF!,2,FALSE),"")</f>
        <v/>
      </c>
      <c r="I4911" s="17"/>
      <c r="J4911" s="17"/>
      <c r="P4911" s="17"/>
      <c r="Q4911" s="17"/>
    </row>
    <row r="4912" spans="2:17">
      <c r="B4912" s="17"/>
      <c r="C4912" s="16" t="str">
        <f>IFERROR(VLOOKUP(DATA!#REF!,DATA!#REF!,1,FALSE),"")</f>
        <v/>
      </c>
      <c r="D4912" s="16" t="str">
        <f>IFERROR(VLOOKUP(C4912,DATA!#REF!,2,FALSE),"")</f>
        <v/>
      </c>
      <c r="I4912" s="17"/>
      <c r="J4912" s="17"/>
      <c r="P4912" s="17"/>
      <c r="Q4912" s="17"/>
    </row>
    <row r="4913" spans="2:17">
      <c r="B4913" s="17"/>
      <c r="C4913" s="16" t="str">
        <f>IFERROR(VLOOKUP(DATA!#REF!,DATA!#REF!,1,FALSE),"")</f>
        <v/>
      </c>
      <c r="D4913" s="16" t="str">
        <f>IFERROR(VLOOKUP(C4913,DATA!#REF!,2,FALSE),"")</f>
        <v/>
      </c>
      <c r="I4913" s="17"/>
      <c r="J4913" s="17"/>
      <c r="P4913" s="17"/>
      <c r="Q4913" s="17"/>
    </row>
    <row r="4914" spans="2:17">
      <c r="B4914" s="17"/>
      <c r="C4914" s="16" t="str">
        <f>IFERROR(VLOOKUP(DATA!#REF!,DATA!#REF!,1,FALSE),"")</f>
        <v/>
      </c>
      <c r="D4914" s="16" t="str">
        <f>IFERROR(VLOOKUP(C4914,DATA!#REF!,2,FALSE),"")</f>
        <v/>
      </c>
      <c r="I4914" s="17"/>
      <c r="J4914" s="17"/>
      <c r="P4914" s="17"/>
      <c r="Q4914" s="17"/>
    </row>
    <row r="4915" spans="2:17">
      <c r="B4915" s="17"/>
      <c r="C4915" s="16" t="str">
        <f>IFERROR(VLOOKUP(DATA!#REF!,DATA!#REF!,1,FALSE),"")</f>
        <v/>
      </c>
      <c r="D4915" s="16" t="str">
        <f>IFERROR(VLOOKUP(C4915,DATA!#REF!,2,FALSE),"")</f>
        <v/>
      </c>
      <c r="I4915" s="17"/>
      <c r="J4915" s="17"/>
      <c r="P4915" s="17"/>
      <c r="Q4915" s="17"/>
    </row>
    <row r="4916" spans="2:17">
      <c r="B4916" s="17"/>
      <c r="C4916" s="16" t="str">
        <f>IFERROR(VLOOKUP(DATA!#REF!,DATA!#REF!,1,FALSE),"")</f>
        <v/>
      </c>
      <c r="D4916" s="16" t="str">
        <f>IFERROR(VLOOKUP(C4916,DATA!#REF!,2,FALSE),"")</f>
        <v/>
      </c>
      <c r="I4916" s="17"/>
      <c r="J4916" s="17"/>
      <c r="P4916" s="17"/>
      <c r="Q4916" s="17"/>
    </row>
    <row r="4917" spans="2:17">
      <c r="B4917" s="17"/>
      <c r="C4917" s="16" t="str">
        <f>IFERROR(VLOOKUP(DATA!#REF!,DATA!#REF!,1,FALSE),"")</f>
        <v/>
      </c>
      <c r="D4917" s="16" t="str">
        <f>IFERROR(VLOOKUP(C4917,DATA!#REF!,2,FALSE),"")</f>
        <v/>
      </c>
      <c r="I4917" s="17"/>
      <c r="J4917" s="17"/>
      <c r="P4917" s="17"/>
      <c r="Q4917" s="17"/>
    </row>
    <row r="4918" spans="2:17">
      <c r="B4918" s="17"/>
      <c r="C4918" s="16" t="str">
        <f>IFERROR(VLOOKUP(DATA!#REF!,DATA!#REF!,1,FALSE),"")</f>
        <v/>
      </c>
      <c r="D4918" s="16" t="str">
        <f>IFERROR(VLOOKUP(C4918,DATA!#REF!,2,FALSE),"")</f>
        <v/>
      </c>
      <c r="I4918" s="17"/>
      <c r="J4918" s="17"/>
      <c r="P4918" s="17"/>
      <c r="Q4918" s="17"/>
    </row>
    <row r="4919" spans="2:17">
      <c r="B4919" s="17"/>
      <c r="C4919" s="16" t="str">
        <f>IFERROR(VLOOKUP(DATA!#REF!,DATA!#REF!,1,FALSE),"")</f>
        <v/>
      </c>
      <c r="D4919" s="16" t="str">
        <f>IFERROR(VLOOKUP(C4919,DATA!#REF!,2,FALSE),"")</f>
        <v/>
      </c>
      <c r="I4919" s="17"/>
      <c r="J4919" s="17"/>
      <c r="P4919" s="17"/>
      <c r="Q4919" s="17"/>
    </row>
    <row r="4920" spans="2:17">
      <c r="B4920" s="17"/>
      <c r="C4920" s="16" t="str">
        <f>IFERROR(VLOOKUP(DATA!#REF!,DATA!#REF!,1,FALSE),"")</f>
        <v/>
      </c>
      <c r="D4920" s="16" t="str">
        <f>IFERROR(VLOOKUP(C4920,DATA!#REF!,2,FALSE),"")</f>
        <v/>
      </c>
      <c r="I4920" s="17"/>
      <c r="J4920" s="17"/>
      <c r="P4920" s="17"/>
      <c r="Q4920" s="17"/>
    </row>
    <row r="4921" spans="2:17">
      <c r="B4921" s="17"/>
      <c r="C4921" s="16" t="str">
        <f>IFERROR(VLOOKUP(DATA!#REF!,DATA!#REF!,1,FALSE),"")</f>
        <v/>
      </c>
      <c r="D4921" s="16" t="str">
        <f>IFERROR(VLOOKUP(C4921,DATA!#REF!,2,FALSE),"")</f>
        <v/>
      </c>
      <c r="I4921" s="17"/>
      <c r="J4921" s="17"/>
      <c r="P4921" s="17"/>
      <c r="Q4921" s="17"/>
    </row>
    <row r="4922" spans="2:17">
      <c r="B4922" s="17"/>
      <c r="C4922" s="16" t="str">
        <f>IFERROR(VLOOKUP(DATA!#REF!,DATA!#REF!,1,FALSE),"")</f>
        <v/>
      </c>
      <c r="D4922" s="16" t="str">
        <f>IFERROR(VLOOKUP(C4922,DATA!#REF!,2,FALSE),"")</f>
        <v/>
      </c>
      <c r="I4922" s="17"/>
      <c r="J4922" s="17"/>
      <c r="P4922" s="17"/>
      <c r="Q4922" s="17"/>
    </row>
    <row r="4923" spans="2:17">
      <c r="B4923" s="17"/>
      <c r="C4923" s="16" t="str">
        <f>IFERROR(VLOOKUP(DATA!#REF!,DATA!#REF!,1,FALSE),"")</f>
        <v/>
      </c>
      <c r="D4923" s="16" t="str">
        <f>IFERROR(VLOOKUP(C4923,DATA!#REF!,2,FALSE),"")</f>
        <v/>
      </c>
      <c r="I4923" s="17"/>
      <c r="J4923" s="17"/>
      <c r="P4923" s="17"/>
      <c r="Q4923" s="17"/>
    </row>
    <row r="4924" spans="2:17">
      <c r="B4924" s="17"/>
      <c r="C4924" s="16" t="str">
        <f>IFERROR(VLOOKUP(DATA!#REF!,DATA!#REF!,1,FALSE),"")</f>
        <v/>
      </c>
      <c r="D4924" s="16" t="str">
        <f>IFERROR(VLOOKUP(C4924,DATA!#REF!,2,FALSE),"")</f>
        <v/>
      </c>
      <c r="I4924" s="17"/>
      <c r="J4924" s="17"/>
      <c r="P4924" s="17"/>
      <c r="Q4924" s="17"/>
    </row>
    <row r="4925" spans="2:17">
      <c r="B4925" s="17"/>
      <c r="C4925" s="16" t="str">
        <f>IFERROR(VLOOKUP(DATA!#REF!,DATA!#REF!,1,FALSE),"")</f>
        <v/>
      </c>
      <c r="D4925" s="16" t="str">
        <f>IFERROR(VLOOKUP(C4925,DATA!#REF!,2,FALSE),"")</f>
        <v/>
      </c>
      <c r="I4925" s="17"/>
      <c r="J4925" s="17"/>
      <c r="P4925" s="17"/>
      <c r="Q4925" s="17"/>
    </row>
    <row r="4926" spans="2:17">
      <c r="B4926" s="17"/>
      <c r="C4926" s="16" t="str">
        <f>IFERROR(VLOOKUP(DATA!#REF!,DATA!#REF!,1,FALSE),"")</f>
        <v/>
      </c>
      <c r="D4926" s="16" t="str">
        <f>IFERROR(VLOOKUP(C4926,DATA!#REF!,2,FALSE),"")</f>
        <v/>
      </c>
      <c r="I4926" s="17"/>
      <c r="J4926" s="17"/>
      <c r="P4926" s="17"/>
      <c r="Q4926" s="17"/>
    </row>
    <row r="4927" spans="2:17">
      <c r="B4927" s="17"/>
      <c r="C4927" s="16" t="str">
        <f>IFERROR(VLOOKUP(DATA!#REF!,DATA!#REF!,1,FALSE),"")</f>
        <v/>
      </c>
      <c r="D4927" s="16" t="str">
        <f>IFERROR(VLOOKUP(C4927,DATA!#REF!,2,FALSE),"")</f>
        <v/>
      </c>
      <c r="I4927" s="17"/>
      <c r="J4927" s="17"/>
      <c r="P4927" s="17"/>
      <c r="Q4927" s="17"/>
    </row>
    <row r="4928" spans="2:17">
      <c r="B4928" s="17"/>
      <c r="C4928" s="16" t="str">
        <f>IFERROR(VLOOKUP(DATA!#REF!,DATA!#REF!,1,FALSE),"")</f>
        <v/>
      </c>
      <c r="D4928" s="16" t="str">
        <f>IFERROR(VLOOKUP(C4928,DATA!#REF!,2,FALSE),"")</f>
        <v/>
      </c>
      <c r="I4928" s="17"/>
      <c r="J4928" s="17"/>
      <c r="P4928" s="17"/>
      <c r="Q4928" s="17"/>
    </row>
    <row r="4929" spans="2:17">
      <c r="B4929" s="17"/>
      <c r="C4929" s="16" t="str">
        <f>IFERROR(VLOOKUP(DATA!#REF!,DATA!#REF!,1,FALSE),"")</f>
        <v/>
      </c>
      <c r="D4929" s="16" t="str">
        <f>IFERROR(VLOOKUP(C4929,DATA!#REF!,2,FALSE),"")</f>
        <v/>
      </c>
      <c r="I4929" s="17"/>
      <c r="J4929" s="17"/>
      <c r="P4929" s="17"/>
      <c r="Q4929" s="17"/>
    </row>
    <row r="4930" spans="2:17">
      <c r="B4930" s="17"/>
      <c r="C4930" s="16" t="str">
        <f>IFERROR(VLOOKUP(DATA!#REF!,DATA!#REF!,1,FALSE),"")</f>
        <v/>
      </c>
      <c r="D4930" s="16" t="str">
        <f>IFERROR(VLOOKUP(C4930,DATA!#REF!,2,FALSE),"")</f>
        <v/>
      </c>
      <c r="I4930" s="17"/>
      <c r="J4930" s="17"/>
      <c r="P4930" s="17"/>
      <c r="Q4930" s="17"/>
    </row>
    <row r="4931" spans="2:17">
      <c r="B4931" s="17"/>
      <c r="C4931" s="16" t="str">
        <f>IFERROR(VLOOKUP(DATA!#REF!,DATA!#REF!,1,FALSE),"")</f>
        <v/>
      </c>
      <c r="D4931" s="16" t="str">
        <f>IFERROR(VLOOKUP(C4931,DATA!#REF!,2,FALSE),"")</f>
        <v/>
      </c>
      <c r="I4931" s="17"/>
      <c r="J4931" s="17"/>
      <c r="P4931" s="17"/>
      <c r="Q4931" s="17"/>
    </row>
    <row r="4932" spans="2:17">
      <c r="B4932" s="17"/>
      <c r="C4932" s="16" t="str">
        <f>IFERROR(VLOOKUP(DATA!#REF!,DATA!#REF!,1,FALSE),"")</f>
        <v/>
      </c>
      <c r="D4932" s="16" t="str">
        <f>IFERROR(VLOOKUP(C4932,DATA!#REF!,2,FALSE),"")</f>
        <v/>
      </c>
      <c r="I4932" s="17"/>
      <c r="J4932" s="17"/>
      <c r="P4932" s="17"/>
      <c r="Q4932" s="17"/>
    </row>
    <row r="4933" spans="2:17">
      <c r="B4933" s="17"/>
      <c r="C4933" s="16" t="str">
        <f>IFERROR(VLOOKUP(DATA!#REF!,DATA!#REF!,1,FALSE),"")</f>
        <v/>
      </c>
      <c r="D4933" s="16" t="str">
        <f>IFERROR(VLOOKUP(C4933,DATA!#REF!,2,FALSE),"")</f>
        <v/>
      </c>
      <c r="I4933" s="17"/>
      <c r="J4933" s="17"/>
      <c r="P4933" s="17"/>
      <c r="Q4933" s="17"/>
    </row>
    <row r="4934" spans="2:17">
      <c r="B4934" s="17"/>
      <c r="C4934" s="16" t="str">
        <f>IFERROR(VLOOKUP(DATA!#REF!,DATA!#REF!,1,FALSE),"")</f>
        <v/>
      </c>
      <c r="D4934" s="16" t="str">
        <f>IFERROR(VLOOKUP(C4934,DATA!#REF!,2,FALSE),"")</f>
        <v/>
      </c>
      <c r="I4934" s="17"/>
      <c r="J4934" s="17"/>
      <c r="P4934" s="17"/>
      <c r="Q4934" s="17"/>
    </row>
    <row r="4935" spans="2:17">
      <c r="B4935" s="17"/>
      <c r="C4935" s="16" t="str">
        <f>IFERROR(VLOOKUP(DATA!#REF!,DATA!#REF!,1,FALSE),"")</f>
        <v/>
      </c>
      <c r="D4935" s="16" t="str">
        <f>IFERROR(VLOOKUP(C4935,DATA!#REF!,2,FALSE),"")</f>
        <v/>
      </c>
      <c r="I4935" s="17"/>
      <c r="J4935" s="17"/>
      <c r="P4935" s="17"/>
      <c r="Q4935" s="17"/>
    </row>
    <row r="4936" spans="2:17">
      <c r="B4936" s="17"/>
      <c r="C4936" s="16" t="str">
        <f>IFERROR(VLOOKUP(DATA!#REF!,DATA!#REF!,1,FALSE),"")</f>
        <v/>
      </c>
      <c r="D4936" s="16" t="str">
        <f>IFERROR(VLOOKUP(C4936,DATA!#REF!,2,FALSE),"")</f>
        <v/>
      </c>
      <c r="I4936" s="17"/>
      <c r="J4936" s="17"/>
      <c r="P4936" s="17"/>
      <c r="Q4936" s="17"/>
    </row>
    <row r="4937" spans="2:17">
      <c r="B4937" s="17"/>
      <c r="C4937" s="16" t="str">
        <f>IFERROR(VLOOKUP(DATA!#REF!,DATA!#REF!,1,FALSE),"")</f>
        <v/>
      </c>
      <c r="D4937" s="16" t="str">
        <f>IFERROR(VLOOKUP(C4937,DATA!#REF!,2,FALSE),"")</f>
        <v/>
      </c>
      <c r="I4937" s="17"/>
      <c r="J4937" s="17"/>
      <c r="P4937" s="17"/>
      <c r="Q4937" s="17"/>
    </row>
    <row r="4938" spans="2:17">
      <c r="B4938" s="17"/>
      <c r="C4938" s="16" t="str">
        <f>IFERROR(VLOOKUP(DATA!#REF!,DATA!#REF!,1,FALSE),"")</f>
        <v/>
      </c>
      <c r="D4938" s="16" t="str">
        <f>IFERROR(VLOOKUP(C4938,DATA!#REF!,2,FALSE),"")</f>
        <v/>
      </c>
      <c r="I4938" s="17"/>
      <c r="J4938" s="17"/>
      <c r="P4938" s="17"/>
      <c r="Q4938" s="17"/>
    </row>
    <row r="4939" spans="2:17">
      <c r="B4939" s="17"/>
      <c r="C4939" s="16" t="str">
        <f>IFERROR(VLOOKUP(DATA!#REF!,DATA!#REF!,1,FALSE),"")</f>
        <v/>
      </c>
      <c r="D4939" s="16" t="str">
        <f>IFERROR(VLOOKUP(C4939,DATA!#REF!,2,FALSE),"")</f>
        <v/>
      </c>
      <c r="I4939" s="17"/>
      <c r="J4939" s="17"/>
      <c r="P4939" s="17"/>
      <c r="Q4939" s="17"/>
    </row>
    <row r="4940" spans="2:17">
      <c r="B4940" s="17"/>
      <c r="C4940" s="16" t="str">
        <f>IFERROR(VLOOKUP(DATA!#REF!,DATA!#REF!,1,FALSE),"")</f>
        <v/>
      </c>
      <c r="D4940" s="16" t="str">
        <f>IFERROR(VLOOKUP(C4940,DATA!#REF!,2,FALSE),"")</f>
        <v/>
      </c>
      <c r="I4940" s="17"/>
      <c r="J4940" s="17"/>
      <c r="P4940" s="17"/>
      <c r="Q4940" s="17"/>
    </row>
    <row r="4941" spans="2:17">
      <c r="B4941" s="17"/>
      <c r="C4941" s="16" t="str">
        <f>IFERROR(VLOOKUP(DATA!#REF!,DATA!#REF!,1,FALSE),"")</f>
        <v/>
      </c>
      <c r="D4941" s="16" t="str">
        <f>IFERROR(VLOOKUP(C4941,DATA!#REF!,2,FALSE),"")</f>
        <v/>
      </c>
      <c r="I4941" s="17"/>
      <c r="J4941" s="17"/>
      <c r="P4941" s="17"/>
      <c r="Q4941" s="17"/>
    </row>
    <row r="4942" spans="2:17">
      <c r="B4942" s="17"/>
      <c r="C4942" s="16" t="str">
        <f>IFERROR(VLOOKUP(DATA!#REF!,DATA!#REF!,1,FALSE),"")</f>
        <v/>
      </c>
      <c r="D4942" s="16" t="str">
        <f>IFERROR(VLOOKUP(C4942,DATA!#REF!,2,FALSE),"")</f>
        <v/>
      </c>
      <c r="I4942" s="17"/>
      <c r="J4942" s="17"/>
      <c r="P4942" s="17"/>
      <c r="Q4942" s="17"/>
    </row>
    <row r="4943" spans="2:17">
      <c r="B4943" s="17"/>
      <c r="C4943" s="16" t="str">
        <f>IFERROR(VLOOKUP(DATA!#REF!,DATA!#REF!,1,FALSE),"")</f>
        <v/>
      </c>
      <c r="D4943" s="16" t="str">
        <f>IFERROR(VLOOKUP(C4943,DATA!#REF!,2,FALSE),"")</f>
        <v/>
      </c>
      <c r="I4943" s="17"/>
      <c r="J4943" s="17"/>
      <c r="P4943" s="17"/>
      <c r="Q4943" s="17"/>
    </row>
    <row r="4944" spans="2:17">
      <c r="B4944" s="17"/>
      <c r="C4944" s="16" t="str">
        <f>IFERROR(VLOOKUP(DATA!#REF!,DATA!#REF!,1,FALSE),"")</f>
        <v/>
      </c>
      <c r="D4944" s="16" t="str">
        <f>IFERROR(VLOOKUP(C4944,DATA!#REF!,2,FALSE),"")</f>
        <v/>
      </c>
      <c r="I4944" s="17"/>
      <c r="J4944" s="17"/>
      <c r="P4944" s="17"/>
      <c r="Q4944" s="17"/>
    </row>
    <row r="4945" spans="2:17">
      <c r="B4945" s="17"/>
      <c r="C4945" s="16" t="str">
        <f>IFERROR(VLOOKUP(DATA!#REF!,DATA!#REF!,1,FALSE),"")</f>
        <v/>
      </c>
      <c r="D4945" s="16" t="str">
        <f>IFERROR(VLOOKUP(C4945,DATA!#REF!,2,FALSE),"")</f>
        <v/>
      </c>
      <c r="I4945" s="17"/>
      <c r="J4945" s="17"/>
      <c r="P4945" s="17"/>
      <c r="Q4945" s="17"/>
    </row>
    <row r="4946" spans="2:17">
      <c r="B4946" s="17"/>
      <c r="C4946" s="16" t="str">
        <f>IFERROR(VLOOKUP(DATA!#REF!,DATA!#REF!,1,FALSE),"")</f>
        <v/>
      </c>
      <c r="D4946" s="16" t="str">
        <f>IFERROR(VLOOKUP(C4946,DATA!#REF!,2,FALSE),"")</f>
        <v/>
      </c>
      <c r="I4946" s="17"/>
      <c r="J4946" s="17"/>
      <c r="P4946" s="17"/>
      <c r="Q4946" s="17"/>
    </row>
    <row r="4947" spans="2:17">
      <c r="B4947" s="17"/>
      <c r="C4947" s="16" t="str">
        <f>IFERROR(VLOOKUP(DATA!#REF!,DATA!#REF!,1,FALSE),"")</f>
        <v/>
      </c>
      <c r="D4947" s="16" t="str">
        <f>IFERROR(VLOOKUP(C4947,DATA!#REF!,2,FALSE),"")</f>
        <v/>
      </c>
      <c r="I4947" s="17"/>
      <c r="J4947" s="17"/>
      <c r="P4947" s="17"/>
      <c r="Q4947" s="17"/>
    </row>
    <row r="4948" spans="2:17">
      <c r="B4948" s="17"/>
      <c r="C4948" s="16" t="str">
        <f>IFERROR(VLOOKUP(DATA!#REF!,DATA!#REF!,1,FALSE),"")</f>
        <v/>
      </c>
      <c r="D4948" s="16" t="str">
        <f>IFERROR(VLOOKUP(C4948,DATA!#REF!,2,FALSE),"")</f>
        <v/>
      </c>
      <c r="I4948" s="17"/>
      <c r="J4948" s="17"/>
      <c r="P4948" s="17"/>
      <c r="Q4948" s="17"/>
    </row>
    <row r="4949" spans="2:17">
      <c r="B4949" s="17"/>
      <c r="C4949" s="16" t="str">
        <f>IFERROR(VLOOKUP(DATA!#REF!,DATA!#REF!,1,FALSE),"")</f>
        <v/>
      </c>
      <c r="D4949" s="16" t="str">
        <f>IFERROR(VLOOKUP(C4949,DATA!#REF!,2,FALSE),"")</f>
        <v/>
      </c>
      <c r="I4949" s="17"/>
      <c r="J4949" s="17"/>
      <c r="P4949" s="17"/>
      <c r="Q4949" s="17"/>
    </row>
    <row r="4950" spans="2:17">
      <c r="B4950" s="17"/>
      <c r="C4950" s="16" t="str">
        <f>IFERROR(VLOOKUP(DATA!#REF!,DATA!#REF!,1,FALSE),"")</f>
        <v/>
      </c>
      <c r="D4950" s="16" t="str">
        <f>IFERROR(VLOOKUP(C4950,DATA!#REF!,2,FALSE),"")</f>
        <v/>
      </c>
      <c r="I4950" s="17"/>
      <c r="J4950" s="17"/>
      <c r="P4950" s="17"/>
      <c r="Q4950" s="17"/>
    </row>
    <row r="4951" spans="2:17">
      <c r="B4951" s="17"/>
      <c r="C4951" s="16" t="str">
        <f>IFERROR(VLOOKUP(DATA!#REF!,DATA!#REF!,1,FALSE),"")</f>
        <v/>
      </c>
      <c r="D4951" s="16" t="str">
        <f>IFERROR(VLOOKUP(C4951,DATA!#REF!,2,FALSE),"")</f>
        <v/>
      </c>
      <c r="I4951" s="17"/>
      <c r="J4951" s="17"/>
      <c r="P4951" s="17"/>
      <c r="Q4951" s="17"/>
    </row>
    <row r="4952" spans="2:17">
      <c r="B4952" s="17"/>
      <c r="C4952" s="16" t="str">
        <f>IFERROR(VLOOKUP(DATA!#REF!,DATA!#REF!,1,FALSE),"")</f>
        <v/>
      </c>
      <c r="D4952" s="16" t="str">
        <f>IFERROR(VLOOKUP(C4952,DATA!#REF!,2,FALSE),"")</f>
        <v/>
      </c>
      <c r="I4952" s="17"/>
      <c r="J4952" s="17"/>
      <c r="P4952" s="17"/>
      <c r="Q4952" s="17"/>
    </row>
    <row r="4953" spans="2:17">
      <c r="B4953" s="17"/>
      <c r="C4953" s="16" t="str">
        <f>IFERROR(VLOOKUP(DATA!#REF!,DATA!#REF!,1,FALSE),"")</f>
        <v/>
      </c>
      <c r="D4953" s="16" t="str">
        <f>IFERROR(VLOOKUP(C4953,DATA!#REF!,2,FALSE),"")</f>
        <v/>
      </c>
      <c r="I4953" s="17"/>
      <c r="J4953" s="17"/>
      <c r="P4953" s="17"/>
      <c r="Q4953" s="17"/>
    </row>
    <row r="4954" spans="2:17">
      <c r="B4954" s="17"/>
      <c r="C4954" s="16" t="str">
        <f>IFERROR(VLOOKUP(DATA!#REF!,DATA!#REF!,1,FALSE),"")</f>
        <v/>
      </c>
      <c r="D4954" s="16" t="str">
        <f>IFERROR(VLOOKUP(C4954,DATA!#REF!,2,FALSE),"")</f>
        <v/>
      </c>
      <c r="I4954" s="17"/>
      <c r="J4954" s="17"/>
      <c r="P4954" s="17"/>
      <c r="Q4954" s="17"/>
    </row>
    <row r="4955" spans="2:17">
      <c r="B4955" s="17"/>
      <c r="C4955" s="16" t="str">
        <f>IFERROR(VLOOKUP(DATA!#REF!,DATA!#REF!,1,FALSE),"")</f>
        <v/>
      </c>
      <c r="D4955" s="16" t="str">
        <f>IFERROR(VLOOKUP(C4955,DATA!#REF!,2,FALSE),"")</f>
        <v/>
      </c>
      <c r="I4955" s="17"/>
      <c r="J4955" s="17"/>
      <c r="P4955" s="17"/>
      <c r="Q4955" s="17"/>
    </row>
    <row r="4956" spans="2:17">
      <c r="B4956" s="17"/>
      <c r="C4956" s="16" t="str">
        <f>IFERROR(VLOOKUP(DATA!#REF!,DATA!#REF!,1,FALSE),"")</f>
        <v/>
      </c>
      <c r="D4956" s="16" t="str">
        <f>IFERROR(VLOOKUP(C4956,DATA!#REF!,2,FALSE),"")</f>
        <v/>
      </c>
      <c r="I4956" s="17"/>
      <c r="J4956" s="17"/>
      <c r="P4956" s="17"/>
      <c r="Q4956" s="17"/>
    </row>
    <row r="4957" spans="2:17">
      <c r="B4957" s="17"/>
      <c r="C4957" s="16" t="str">
        <f>IFERROR(VLOOKUP(DATA!#REF!,DATA!#REF!,1,FALSE),"")</f>
        <v/>
      </c>
      <c r="D4957" s="16" t="str">
        <f>IFERROR(VLOOKUP(C4957,DATA!#REF!,2,FALSE),"")</f>
        <v/>
      </c>
      <c r="I4957" s="17"/>
      <c r="J4957" s="17"/>
      <c r="P4957" s="17"/>
      <c r="Q4957" s="17"/>
    </row>
    <row r="4958" spans="2:17">
      <c r="B4958" s="17"/>
      <c r="C4958" s="16" t="str">
        <f>IFERROR(VLOOKUP(DATA!#REF!,DATA!#REF!,1,FALSE),"")</f>
        <v/>
      </c>
      <c r="D4958" s="16" t="str">
        <f>IFERROR(VLOOKUP(C4958,DATA!#REF!,2,FALSE),"")</f>
        <v/>
      </c>
      <c r="I4958" s="17"/>
      <c r="J4958" s="17"/>
      <c r="P4958" s="17"/>
      <c r="Q4958" s="17"/>
    </row>
    <row r="4959" spans="2:17">
      <c r="B4959" s="17"/>
      <c r="C4959" s="16" t="str">
        <f>IFERROR(VLOOKUP(DATA!#REF!,DATA!#REF!,1,FALSE),"")</f>
        <v/>
      </c>
      <c r="D4959" s="16" t="str">
        <f>IFERROR(VLOOKUP(C4959,DATA!#REF!,2,FALSE),"")</f>
        <v/>
      </c>
      <c r="I4959" s="17"/>
      <c r="J4959" s="17"/>
      <c r="P4959" s="17"/>
      <c r="Q4959" s="17"/>
    </row>
    <row r="4960" spans="2:17">
      <c r="B4960" s="17"/>
      <c r="C4960" s="16" t="str">
        <f>IFERROR(VLOOKUP(DATA!#REF!,DATA!#REF!,1,FALSE),"")</f>
        <v/>
      </c>
      <c r="D4960" s="16" t="str">
        <f>IFERROR(VLOOKUP(C4960,DATA!#REF!,2,FALSE),"")</f>
        <v/>
      </c>
      <c r="I4960" s="17"/>
      <c r="J4960" s="17"/>
      <c r="P4960" s="17"/>
      <c r="Q4960" s="17"/>
    </row>
    <row r="4961" spans="2:17">
      <c r="B4961" s="17"/>
      <c r="C4961" s="16" t="str">
        <f>IFERROR(VLOOKUP(DATA!#REF!,DATA!#REF!,1,FALSE),"")</f>
        <v/>
      </c>
      <c r="D4961" s="16" t="str">
        <f>IFERROR(VLOOKUP(C4961,DATA!#REF!,2,FALSE),"")</f>
        <v/>
      </c>
      <c r="I4961" s="17"/>
      <c r="J4961" s="17"/>
      <c r="P4961" s="17"/>
      <c r="Q4961" s="17"/>
    </row>
    <row r="4962" spans="2:17">
      <c r="B4962" s="17"/>
      <c r="C4962" s="16" t="str">
        <f>IFERROR(VLOOKUP(DATA!#REF!,DATA!#REF!,1,FALSE),"")</f>
        <v/>
      </c>
      <c r="D4962" s="16" t="str">
        <f>IFERROR(VLOOKUP(C4962,DATA!#REF!,2,FALSE),"")</f>
        <v/>
      </c>
      <c r="I4962" s="17"/>
      <c r="J4962" s="17"/>
      <c r="P4962" s="17"/>
      <c r="Q4962" s="17"/>
    </row>
    <row r="4963" spans="2:17">
      <c r="B4963" s="17"/>
      <c r="C4963" s="16" t="str">
        <f>IFERROR(VLOOKUP(DATA!#REF!,DATA!#REF!,1,FALSE),"")</f>
        <v/>
      </c>
      <c r="D4963" s="16" t="str">
        <f>IFERROR(VLOOKUP(C4963,DATA!#REF!,2,FALSE),"")</f>
        <v/>
      </c>
      <c r="I4963" s="17"/>
      <c r="J4963" s="17"/>
      <c r="P4963" s="17"/>
      <c r="Q4963" s="17"/>
    </row>
    <row r="4964" spans="2:17">
      <c r="B4964" s="17"/>
      <c r="C4964" s="16" t="str">
        <f>IFERROR(VLOOKUP(DATA!#REF!,DATA!#REF!,1,FALSE),"")</f>
        <v/>
      </c>
      <c r="D4964" s="16" t="str">
        <f>IFERROR(VLOOKUP(C4964,DATA!#REF!,2,FALSE),"")</f>
        <v/>
      </c>
      <c r="I4964" s="17"/>
      <c r="J4964" s="17"/>
      <c r="P4964" s="17"/>
      <c r="Q4964" s="17"/>
    </row>
    <row r="4965" spans="2:17">
      <c r="B4965" s="17"/>
      <c r="C4965" s="16" t="str">
        <f>IFERROR(VLOOKUP(DATA!#REF!,DATA!#REF!,1,FALSE),"")</f>
        <v/>
      </c>
      <c r="D4965" s="16" t="str">
        <f>IFERROR(VLOOKUP(C4965,DATA!#REF!,2,FALSE),"")</f>
        <v/>
      </c>
      <c r="I4965" s="17"/>
      <c r="J4965" s="17"/>
      <c r="P4965" s="17"/>
      <c r="Q4965" s="17"/>
    </row>
    <row r="4966" spans="2:17">
      <c r="B4966" s="17"/>
      <c r="C4966" s="16" t="str">
        <f>IFERROR(VLOOKUP(DATA!#REF!,DATA!#REF!,1,FALSE),"")</f>
        <v/>
      </c>
      <c r="D4966" s="16" t="str">
        <f>IFERROR(VLOOKUP(C4966,DATA!#REF!,2,FALSE),"")</f>
        <v/>
      </c>
      <c r="I4966" s="17"/>
      <c r="J4966" s="17"/>
      <c r="P4966" s="17"/>
      <c r="Q4966" s="17"/>
    </row>
    <row r="4967" spans="2:17">
      <c r="B4967" s="17"/>
      <c r="C4967" s="16" t="str">
        <f>IFERROR(VLOOKUP(DATA!#REF!,DATA!#REF!,1,FALSE),"")</f>
        <v/>
      </c>
      <c r="D4967" s="16" t="str">
        <f>IFERROR(VLOOKUP(C4967,DATA!#REF!,2,FALSE),"")</f>
        <v/>
      </c>
      <c r="I4967" s="17"/>
      <c r="J4967" s="17"/>
      <c r="P4967" s="17"/>
      <c r="Q4967" s="17"/>
    </row>
    <row r="4968" spans="2:17">
      <c r="B4968" s="17"/>
      <c r="C4968" s="16" t="str">
        <f>IFERROR(VLOOKUP(DATA!#REF!,DATA!#REF!,1,FALSE),"")</f>
        <v/>
      </c>
      <c r="D4968" s="16" t="str">
        <f>IFERROR(VLOOKUP(C4968,DATA!#REF!,2,FALSE),"")</f>
        <v/>
      </c>
      <c r="I4968" s="17"/>
      <c r="J4968" s="17"/>
      <c r="P4968" s="17"/>
      <c r="Q4968" s="17"/>
    </row>
    <row r="4969" spans="2:17">
      <c r="B4969" s="17"/>
      <c r="C4969" s="16" t="str">
        <f>IFERROR(VLOOKUP(DATA!#REF!,DATA!#REF!,1,FALSE),"")</f>
        <v/>
      </c>
      <c r="D4969" s="16" t="str">
        <f>IFERROR(VLOOKUP(C4969,DATA!#REF!,2,FALSE),"")</f>
        <v/>
      </c>
      <c r="I4969" s="17"/>
      <c r="J4969" s="17"/>
      <c r="P4969" s="17"/>
      <c r="Q4969" s="17"/>
    </row>
    <row r="4970" spans="2:17">
      <c r="B4970" s="17"/>
      <c r="C4970" s="16" t="str">
        <f>IFERROR(VLOOKUP(DATA!#REF!,DATA!#REF!,1,FALSE),"")</f>
        <v/>
      </c>
      <c r="D4970" s="16" t="str">
        <f>IFERROR(VLOOKUP(C4970,DATA!#REF!,2,FALSE),"")</f>
        <v/>
      </c>
      <c r="I4970" s="17"/>
      <c r="J4970" s="17"/>
      <c r="P4970" s="17"/>
      <c r="Q4970" s="17"/>
    </row>
    <row r="4971" spans="2:17">
      <c r="B4971" s="17"/>
      <c r="C4971" s="16" t="str">
        <f>IFERROR(VLOOKUP(DATA!#REF!,DATA!#REF!,1,FALSE),"")</f>
        <v/>
      </c>
      <c r="D4971" s="16" t="str">
        <f>IFERROR(VLOOKUP(C4971,DATA!#REF!,2,FALSE),"")</f>
        <v/>
      </c>
      <c r="I4971" s="17"/>
      <c r="J4971" s="17"/>
      <c r="P4971" s="17"/>
      <c r="Q4971" s="17"/>
    </row>
    <row r="4972" spans="2:17">
      <c r="B4972" s="17"/>
      <c r="C4972" s="16" t="str">
        <f>IFERROR(VLOOKUP(DATA!#REF!,DATA!#REF!,1,FALSE),"")</f>
        <v/>
      </c>
      <c r="D4972" s="16" t="str">
        <f>IFERROR(VLOOKUP(C4972,DATA!#REF!,2,FALSE),"")</f>
        <v/>
      </c>
      <c r="I4972" s="17"/>
      <c r="J4972" s="17"/>
      <c r="P4972" s="17"/>
      <c r="Q4972" s="17"/>
    </row>
    <row r="4973" spans="2:17">
      <c r="B4973" s="17"/>
      <c r="C4973" s="16" t="str">
        <f>IFERROR(VLOOKUP(DATA!#REF!,DATA!#REF!,1,FALSE),"")</f>
        <v/>
      </c>
      <c r="D4973" s="16" t="str">
        <f>IFERROR(VLOOKUP(C4973,DATA!#REF!,2,FALSE),"")</f>
        <v/>
      </c>
      <c r="I4973" s="17"/>
      <c r="J4973" s="17"/>
      <c r="P4973" s="17"/>
      <c r="Q4973" s="17"/>
    </row>
    <row r="4974" spans="2:17">
      <c r="B4974" s="17"/>
      <c r="C4974" s="16" t="str">
        <f>IFERROR(VLOOKUP(DATA!#REF!,DATA!#REF!,1,FALSE),"")</f>
        <v/>
      </c>
      <c r="D4974" s="16" t="str">
        <f>IFERROR(VLOOKUP(C4974,DATA!#REF!,2,FALSE),"")</f>
        <v/>
      </c>
      <c r="I4974" s="17"/>
      <c r="J4974" s="17"/>
      <c r="P4974" s="17"/>
      <c r="Q4974" s="17"/>
    </row>
    <row r="4975" spans="2:17">
      <c r="B4975" s="17"/>
      <c r="C4975" s="16" t="str">
        <f>IFERROR(VLOOKUP(DATA!#REF!,DATA!#REF!,1,FALSE),"")</f>
        <v/>
      </c>
      <c r="D4975" s="16" t="str">
        <f>IFERROR(VLOOKUP(C4975,DATA!#REF!,2,FALSE),"")</f>
        <v/>
      </c>
      <c r="I4975" s="17"/>
      <c r="J4975" s="17"/>
      <c r="P4975" s="17"/>
      <c r="Q4975" s="17"/>
    </row>
    <row r="4976" spans="2:17">
      <c r="B4976" s="17"/>
      <c r="C4976" s="16" t="str">
        <f>IFERROR(VLOOKUP(DATA!#REF!,DATA!#REF!,1,FALSE),"")</f>
        <v/>
      </c>
      <c r="D4976" s="16" t="str">
        <f>IFERROR(VLOOKUP(C4976,DATA!#REF!,2,FALSE),"")</f>
        <v/>
      </c>
      <c r="I4976" s="17"/>
      <c r="J4976" s="17"/>
      <c r="P4976" s="17"/>
      <c r="Q4976" s="17"/>
    </row>
    <row r="4977" spans="2:17">
      <c r="B4977" s="17"/>
      <c r="C4977" s="16" t="str">
        <f>IFERROR(VLOOKUP(DATA!#REF!,DATA!#REF!,1,FALSE),"")</f>
        <v/>
      </c>
      <c r="D4977" s="16" t="str">
        <f>IFERROR(VLOOKUP(C4977,DATA!#REF!,2,FALSE),"")</f>
        <v/>
      </c>
      <c r="I4977" s="17"/>
      <c r="J4977" s="17"/>
      <c r="P4977" s="17"/>
      <c r="Q4977" s="17"/>
    </row>
    <row r="4978" spans="2:17">
      <c r="B4978" s="17"/>
      <c r="C4978" s="16" t="str">
        <f>IFERROR(VLOOKUP(DATA!#REF!,DATA!#REF!,1,FALSE),"")</f>
        <v/>
      </c>
      <c r="D4978" s="16" t="str">
        <f>IFERROR(VLOOKUP(C4978,DATA!#REF!,2,FALSE),"")</f>
        <v/>
      </c>
      <c r="I4978" s="17"/>
      <c r="J4978" s="17"/>
      <c r="P4978" s="17"/>
      <c r="Q4978" s="17"/>
    </row>
    <row r="4979" spans="2:17">
      <c r="B4979" s="17"/>
      <c r="C4979" s="16" t="str">
        <f>IFERROR(VLOOKUP(DATA!#REF!,DATA!#REF!,1,FALSE),"")</f>
        <v/>
      </c>
      <c r="D4979" s="16" t="str">
        <f>IFERROR(VLOOKUP(C4979,DATA!#REF!,2,FALSE),"")</f>
        <v/>
      </c>
      <c r="I4979" s="17"/>
      <c r="J4979" s="17"/>
      <c r="P4979" s="17"/>
      <c r="Q4979" s="17"/>
    </row>
    <row r="4980" spans="2:17">
      <c r="B4980" s="17"/>
      <c r="C4980" s="16" t="str">
        <f>IFERROR(VLOOKUP(DATA!#REF!,DATA!#REF!,1,FALSE),"")</f>
        <v/>
      </c>
      <c r="D4980" s="16" t="str">
        <f>IFERROR(VLOOKUP(C4980,DATA!#REF!,2,FALSE),"")</f>
        <v/>
      </c>
      <c r="I4980" s="17"/>
      <c r="J4980" s="17"/>
      <c r="P4980" s="17"/>
      <c r="Q4980" s="17"/>
    </row>
    <row r="4981" spans="2:17">
      <c r="B4981" s="17"/>
      <c r="C4981" s="16" t="str">
        <f>IFERROR(VLOOKUP(DATA!#REF!,DATA!#REF!,1,FALSE),"")</f>
        <v/>
      </c>
      <c r="D4981" s="16" t="str">
        <f>IFERROR(VLOOKUP(C4981,DATA!#REF!,2,FALSE),"")</f>
        <v/>
      </c>
      <c r="I4981" s="17"/>
      <c r="J4981" s="17"/>
      <c r="P4981" s="17"/>
      <c r="Q4981" s="17"/>
    </row>
    <row r="4982" spans="2:17">
      <c r="B4982" s="17"/>
      <c r="C4982" s="16" t="str">
        <f>IFERROR(VLOOKUP(DATA!#REF!,DATA!#REF!,1,FALSE),"")</f>
        <v/>
      </c>
      <c r="D4982" s="16" t="str">
        <f>IFERROR(VLOOKUP(C4982,DATA!#REF!,2,FALSE),"")</f>
        <v/>
      </c>
      <c r="I4982" s="17"/>
      <c r="J4982" s="17"/>
      <c r="P4982" s="17"/>
      <c r="Q4982" s="17"/>
    </row>
    <row r="4983" spans="2:17">
      <c r="B4983" s="17"/>
      <c r="C4983" s="16" t="str">
        <f>IFERROR(VLOOKUP(DATA!#REF!,DATA!#REF!,1,FALSE),"")</f>
        <v/>
      </c>
      <c r="D4983" s="16" t="str">
        <f>IFERROR(VLOOKUP(C4983,DATA!#REF!,2,FALSE),"")</f>
        <v/>
      </c>
      <c r="I4983" s="17"/>
      <c r="J4983" s="17"/>
      <c r="P4983" s="17"/>
      <c r="Q4983" s="17"/>
    </row>
    <row r="4984" spans="2:17">
      <c r="B4984" s="17"/>
      <c r="C4984" s="16" t="str">
        <f>IFERROR(VLOOKUP(DATA!#REF!,DATA!#REF!,1,FALSE),"")</f>
        <v/>
      </c>
      <c r="D4984" s="16" t="str">
        <f>IFERROR(VLOOKUP(C4984,DATA!#REF!,2,FALSE),"")</f>
        <v/>
      </c>
      <c r="I4984" s="17"/>
      <c r="J4984" s="17"/>
      <c r="P4984" s="17"/>
      <c r="Q4984" s="17"/>
    </row>
    <row r="4985" spans="2:17">
      <c r="B4985" s="17"/>
      <c r="C4985" s="16" t="str">
        <f>IFERROR(VLOOKUP(DATA!#REF!,DATA!#REF!,1,FALSE),"")</f>
        <v/>
      </c>
      <c r="D4985" s="16" t="str">
        <f>IFERROR(VLOOKUP(C4985,DATA!#REF!,2,FALSE),"")</f>
        <v/>
      </c>
      <c r="I4985" s="17"/>
      <c r="J4985" s="17"/>
      <c r="P4985" s="17"/>
      <c r="Q4985" s="17"/>
    </row>
    <row r="4986" spans="2:17">
      <c r="B4986" s="17"/>
      <c r="C4986" s="16" t="str">
        <f>IFERROR(VLOOKUP(DATA!#REF!,DATA!#REF!,1,FALSE),"")</f>
        <v/>
      </c>
      <c r="D4986" s="16" t="str">
        <f>IFERROR(VLOOKUP(C4986,DATA!#REF!,2,FALSE),"")</f>
        <v/>
      </c>
      <c r="I4986" s="17"/>
      <c r="J4986" s="17"/>
      <c r="P4986" s="17"/>
      <c r="Q4986" s="17"/>
    </row>
    <row r="4987" spans="2:17">
      <c r="B4987" s="17"/>
      <c r="C4987" s="16" t="str">
        <f>IFERROR(VLOOKUP(DATA!#REF!,DATA!#REF!,1,FALSE),"")</f>
        <v/>
      </c>
      <c r="D4987" s="16" t="str">
        <f>IFERROR(VLOOKUP(C4987,DATA!#REF!,2,FALSE),"")</f>
        <v/>
      </c>
      <c r="I4987" s="17"/>
      <c r="J4987" s="17"/>
      <c r="P4987" s="17"/>
      <c r="Q4987" s="17"/>
    </row>
    <row r="4988" spans="2:17">
      <c r="B4988" s="17"/>
      <c r="C4988" s="16" t="str">
        <f>IFERROR(VLOOKUP(DATA!#REF!,DATA!#REF!,1,FALSE),"")</f>
        <v/>
      </c>
      <c r="D4988" s="16" t="str">
        <f>IFERROR(VLOOKUP(C4988,DATA!#REF!,2,FALSE),"")</f>
        <v/>
      </c>
      <c r="I4988" s="17"/>
      <c r="J4988" s="17"/>
      <c r="P4988" s="17"/>
      <c r="Q4988" s="17"/>
    </row>
    <row r="4989" spans="2:17">
      <c r="B4989" s="17"/>
      <c r="C4989" s="16" t="str">
        <f>IFERROR(VLOOKUP(DATA!#REF!,DATA!#REF!,1,FALSE),"")</f>
        <v/>
      </c>
      <c r="D4989" s="16" t="str">
        <f>IFERROR(VLOOKUP(C4989,DATA!#REF!,2,FALSE),"")</f>
        <v/>
      </c>
      <c r="I4989" s="17"/>
      <c r="J4989" s="17"/>
      <c r="P4989" s="17"/>
      <c r="Q4989" s="17"/>
    </row>
    <row r="4990" spans="2:17">
      <c r="B4990" s="17"/>
      <c r="C4990" s="16" t="str">
        <f>IFERROR(VLOOKUP(DATA!#REF!,DATA!#REF!,1,FALSE),"")</f>
        <v/>
      </c>
      <c r="D4990" s="16" t="str">
        <f>IFERROR(VLOOKUP(C4990,DATA!#REF!,2,FALSE),"")</f>
        <v/>
      </c>
      <c r="I4990" s="17"/>
      <c r="J4990" s="17"/>
      <c r="P4990" s="17"/>
      <c r="Q4990" s="17"/>
    </row>
    <row r="4991" spans="2:17">
      <c r="B4991" s="17"/>
      <c r="C4991" s="16" t="str">
        <f>IFERROR(VLOOKUP(DATA!#REF!,DATA!#REF!,1,FALSE),"")</f>
        <v/>
      </c>
      <c r="D4991" s="16" t="str">
        <f>IFERROR(VLOOKUP(C4991,DATA!#REF!,2,FALSE),"")</f>
        <v/>
      </c>
      <c r="I4991" s="17"/>
      <c r="J4991" s="17"/>
      <c r="P4991" s="17"/>
      <c r="Q4991" s="17"/>
    </row>
    <row r="4992" spans="2:17">
      <c r="B4992" s="17"/>
      <c r="C4992" s="16" t="str">
        <f>IFERROR(VLOOKUP(DATA!#REF!,DATA!#REF!,1,FALSE),"")</f>
        <v/>
      </c>
      <c r="D4992" s="16" t="str">
        <f>IFERROR(VLOOKUP(C4992,DATA!#REF!,2,FALSE),"")</f>
        <v/>
      </c>
      <c r="I4992" s="17"/>
      <c r="J4992" s="17"/>
      <c r="P4992" s="17"/>
      <c r="Q4992" s="17"/>
    </row>
    <row r="4993" spans="2:17">
      <c r="B4993" s="17"/>
      <c r="C4993" s="16" t="str">
        <f>IFERROR(VLOOKUP(DATA!#REF!,DATA!#REF!,1,FALSE),"")</f>
        <v/>
      </c>
      <c r="D4993" s="16" t="str">
        <f>IFERROR(VLOOKUP(C4993,DATA!#REF!,2,FALSE),"")</f>
        <v/>
      </c>
      <c r="I4993" s="17"/>
      <c r="J4993" s="17"/>
      <c r="P4993" s="17"/>
      <c r="Q4993" s="17"/>
    </row>
    <row r="4994" spans="2:17">
      <c r="B4994" s="17"/>
      <c r="C4994" s="16" t="str">
        <f>IFERROR(VLOOKUP(DATA!#REF!,DATA!#REF!,1,FALSE),"")</f>
        <v/>
      </c>
      <c r="D4994" s="16" t="str">
        <f>IFERROR(VLOOKUP(C4994,DATA!#REF!,2,FALSE),"")</f>
        <v/>
      </c>
      <c r="I4994" s="17"/>
      <c r="J4994" s="17"/>
      <c r="P4994" s="17"/>
      <c r="Q4994" s="17"/>
    </row>
    <row r="4995" spans="2:17">
      <c r="B4995" s="17"/>
      <c r="C4995" s="16" t="str">
        <f>IFERROR(VLOOKUP(DATA!#REF!,DATA!#REF!,1,FALSE),"")</f>
        <v/>
      </c>
      <c r="D4995" s="16" t="str">
        <f>IFERROR(VLOOKUP(C4995,DATA!#REF!,2,FALSE),"")</f>
        <v/>
      </c>
      <c r="I4995" s="17"/>
      <c r="J4995" s="17"/>
      <c r="P4995" s="17"/>
      <c r="Q4995" s="17"/>
    </row>
    <row r="4996" spans="2:17">
      <c r="B4996" s="17"/>
      <c r="C4996" s="16" t="str">
        <f>IFERROR(VLOOKUP(DATA!#REF!,DATA!#REF!,1,FALSE),"")</f>
        <v/>
      </c>
      <c r="D4996" s="16" t="str">
        <f>IFERROR(VLOOKUP(C4996,DATA!#REF!,2,FALSE),"")</f>
        <v/>
      </c>
      <c r="I4996" s="17"/>
      <c r="J4996" s="17"/>
      <c r="P4996" s="17"/>
      <c r="Q4996" s="17"/>
    </row>
    <row r="4997" spans="2:17">
      <c r="B4997" s="17"/>
      <c r="C4997" s="16" t="str">
        <f>IFERROR(VLOOKUP(DATA!#REF!,DATA!#REF!,1,FALSE),"")</f>
        <v/>
      </c>
      <c r="D4997" s="16" t="str">
        <f>IFERROR(VLOOKUP(C4997,DATA!#REF!,2,FALSE),"")</f>
        <v/>
      </c>
      <c r="I4997" s="17"/>
      <c r="J4997" s="17"/>
      <c r="P4997" s="17"/>
      <c r="Q4997" s="17"/>
    </row>
    <row r="4998" spans="2:17">
      <c r="B4998" s="17"/>
      <c r="C4998" s="16" t="str">
        <f>IFERROR(VLOOKUP(DATA!#REF!,DATA!#REF!,1,FALSE),"")</f>
        <v/>
      </c>
      <c r="D4998" s="16" t="str">
        <f>IFERROR(VLOOKUP(C4998,DATA!#REF!,2,FALSE),"")</f>
        <v/>
      </c>
      <c r="I4998" s="17"/>
      <c r="J4998" s="17"/>
      <c r="P4998" s="17"/>
      <c r="Q4998" s="17"/>
    </row>
    <row r="4999" spans="2:17">
      <c r="B4999" s="17"/>
      <c r="C4999" s="16" t="str">
        <f>IFERROR(VLOOKUP(DATA!#REF!,DATA!#REF!,1,FALSE),"")</f>
        <v/>
      </c>
      <c r="D4999" s="16" t="str">
        <f>IFERROR(VLOOKUP(C4999,DATA!#REF!,2,FALSE),"")</f>
        <v/>
      </c>
      <c r="I4999" s="17"/>
      <c r="J4999" s="17"/>
      <c r="P4999" s="17"/>
      <c r="Q4999" s="17"/>
    </row>
    <row r="5000" spans="2:17">
      <c r="B5000" s="17"/>
      <c r="C5000" s="16" t="str">
        <f>IFERROR(VLOOKUP(DATA!#REF!,DATA!#REF!,1,FALSE),"")</f>
        <v/>
      </c>
      <c r="D5000" s="16" t="str">
        <f>IFERROR(VLOOKUP(C5000,DATA!#REF!,2,FALSE),"")</f>
        <v/>
      </c>
      <c r="I5000" s="17"/>
      <c r="J5000" s="17"/>
      <c r="P5000" s="17"/>
      <c r="Q5000" s="17"/>
    </row>
    <row r="5001" spans="2:17">
      <c r="B5001" s="17"/>
      <c r="C5001" s="16" t="str">
        <f>IFERROR(VLOOKUP(DATA!#REF!,DATA!#REF!,1,FALSE),"")</f>
        <v/>
      </c>
      <c r="D5001" s="16" t="str">
        <f>IFERROR(VLOOKUP(C5001,DATA!#REF!,2,FALSE),"")</f>
        <v/>
      </c>
      <c r="I5001" s="17"/>
      <c r="J5001" s="17"/>
      <c r="P5001" s="17"/>
      <c r="Q5001" s="17"/>
    </row>
    <row r="5002" spans="2:17">
      <c r="B5002" s="17"/>
      <c r="C5002" s="16" t="str">
        <f>IFERROR(VLOOKUP(DATA!#REF!,DATA!#REF!,1,FALSE),"")</f>
        <v/>
      </c>
      <c r="D5002" s="16" t="str">
        <f>IFERROR(VLOOKUP(C5002,DATA!#REF!,2,FALSE),"")</f>
        <v/>
      </c>
      <c r="I5002" s="17"/>
      <c r="J5002" s="17"/>
      <c r="P5002" s="17"/>
      <c r="Q5002" s="17"/>
    </row>
    <row r="5003" spans="2:17">
      <c r="B5003" s="17"/>
      <c r="C5003" s="16" t="str">
        <f>IFERROR(VLOOKUP(DATA!#REF!,DATA!#REF!,1,FALSE),"")</f>
        <v/>
      </c>
      <c r="D5003" s="16" t="str">
        <f>IFERROR(VLOOKUP(C5003,DATA!#REF!,2,FALSE),"")</f>
        <v/>
      </c>
      <c r="I5003" s="17"/>
      <c r="J5003" s="17"/>
      <c r="P5003" s="17"/>
      <c r="Q5003" s="17"/>
    </row>
    <row r="5004" spans="2:17">
      <c r="B5004" s="17"/>
      <c r="C5004" s="16" t="str">
        <f>IFERROR(VLOOKUP(DATA!#REF!,DATA!#REF!,1,FALSE),"")</f>
        <v/>
      </c>
      <c r="D5004" s="16" t="str">
        <f>IFERROR(VLOOKUP(C5004,DATA!#REF!,2,FALSE),"")</f>
        <v/>
      </c>
      <c r="I5004" s="17"/>
      <c r="J5004" s="17"/>
      <c r="P5004" s="17"/>
      <c r="Q5004" s="17"/>
    </row>
    <row r="5005" spans="2:17">
      <c r="B5005" s="17"/>
      <c r="C5005" s="16" t="str">
        <f>IFERROR(VLOOKUP(DATA!#REF!,DATA!#REF!,1,FALSE),"")</f>
        <v/>
      </c>
      <c r="D5005" s="16" t="str">
        <f>IFERROR(VLOOKUP(C5005,DATA!#REF!,2,FALSE),"")</f>
        <v/>
      </c>
      <c r="I5005" s="17"/>
      <c r="J5005" s="17"/>
      <c r="P5005" s="17"/>
      <c r="Q5005" s="17"/>
    </row>
    <row r="5006" spans="2:17">
      <c r="B5006" s="17"/>
      <c r="C5006" s="16" t="str">
        <f>IFERROR(VLOOKUP(DATA!#REF!,DATA!#REF!,1,FALSE),"")</f>
        <v/>
      </c>
      <c r="D5006" s="16" t="str">
        <f>IFERROR(VLOOKUP(C5006,DATA!#REF!,2,FALSE),"")</f>
        <v/>
      </c>
      <c r="I5006" s="17"/>
      <c r="J5006" s="17"/>
      <c r="P5006" s="17"/>
      <c r="Q5006" s="17"/>
    </row>
    <row r="5007" spans="2:17">
      <c r="B5007" s="17"/>
      <c r="C5007" s="16" t="str">
        <f>IFERROR(VLOOKUP(DATA!#REF!,DATA!#REF!,1,FALSE),"")</f>
        <v/>
      </c>
      <c r="D5007" s="16" t="str">
        <f>IFERROR(VLOOKUP(C5007,DATA!#REF!,2,FALSE),"")</f>
        <v/>
      </c>
      <c r="I5007" s="17"/>
      <c r="J5007" s="17"/>
      <c r="P5007" s="17"/>
      <c r="Q5007" s="17"/>
    </row>
    <row r="5008" spans="2:17">
      <c r="B5008" s="17"/>
      <c r="C5008" s="16" t="str">
        <f>IFERROR(VLOOKUP(DATA!#REF!,DATA!#REF!,1,FALSE),"")</f>
        <v/>
      </c>
      <c r="D5008" s="16" t="str">
        <f>IFERROR(VLOOKUP(C5008,DATA!#REF!,2,FALSE),"")</f>
        <v/>
      </c>
      <c r="I5008" s="17"/>
      <c r="J5008" s="17"/>
      <c r="P5008" s="17"/>
      <c r="Q5008" s="17"/>
    </row>
    <row r="5009" spans="2:17">
      <c r="B5009" s="17"/>
      <c r="C5009" s="16" t="str">
        <f>IFERROR(VLOOKUP(DATA!#REF!,DATA!#REF!,1,FALSE),"")</f>
        <v/>
      </c>
      <c r="D5009" s="16" t="str">
        <f>IFERROR(VLOOKUP(C5009,DATA!#REF!,2,FALSE),"")</f>
        <v/>
      </c>
      <c r="I5009" s="17"/>
      <c r="J5009" s="17"/>
      <c r="P5009" s="17"/>
      <c r="Q5009" s="17"/>
    </row>
    <row r="5010" spans="2:17">
      <c r="B5010" s="17"/>
      <c r="C5010" s="16" t="str">
        <f>IFERROR(VLOOKUP(DATA!#REF!,DATA!#REF!,1,FALSE),"")</f>
        <v/>
      </c>
      <c r="D5010" s="16" t="str">
        <f>IFERROR(VLOOKUP(C5010,DATA!#REF!,2,FALSE),"")</f>
        <v/>
      </c>
      <c r="I5010" s="17"/>
      <c r="J5010" s="17"/>
      <c r="P5010" s="17"/>
      <c r="Q5010" s="17"/>
    </row>
    <row r="5011" spans="2:17">
      <c r="B5011" s="17"/>
      <c r="C5011" s="16" t="str">
        <f>IFERROR(VLOOKUP(DATA!#REF!,DATA!#REF!,1,FALSE),"")</f>
        <v/>
      </c>
      <c r="D5011" s="16" t="str">
        <f>IFERROR(VLOOKUP(C5011,DATA!#REF!,2,FALSE),"")</f>
        <v/>
      </c>
      <c r="I5011" s="17"/>
      <c r="J5011" s="17"/>
      <c r="P5011" s="17"/>
      <c r="Q5011" s="17"/>
    </row>
    <row r="5012" spans="2:17">
      <c r="B5012" s="17"/>
      <c r="C5012" s="16" t="str">
        <f>IFERROR(VLOOKUP(DATA!#REF!,DATA!#REF!,1,FALSE),"")</f>
        <v/>
      </c>
      <c r="D5012" s="16" t="str">
        <f>IFERROR(VLOOKUP(C5012,DATA!#REF!,2,FALSE),"")</f>
        <v/>
      </c>
      <c r="I5012" s="17"/>
      <c r="J5012" s="17"/>
      <c r="P5012" s="17"/>
      <c r="Q5012" s="17"/>
    </row>
    <row r="5013" spans="2:17">
      <c r="B5013" s="17"/>
      <c r="C5013" s="16" t="str">
        <f>IFERROR(VLOOKUP(DATA!#REF!,DATA!#REF!,1,FALSE),"")</f>
        <v/>
      </c>
      <c r="D5013" s="16" t="str">
        <f>IFERROR(VLOOKUP(C5013,DATA!#REF!,2,FALSE),"")</f>
        <v/>
      </c>
      <c r="I5013" s="17"/>
      <c r="J5013" s="17"/>
      <c r="P5013" s="17"/>
      <c r="Q5013" s="17"/>
    </row>
    <row r="5014" spans="2:17">
      <c r="B5014" s="17"/>
      <c r="C5014" s="16" t="str">
        <f>IFERROR(VLOOKUP(DATA!#REF!,DATA!#REF!,1,FALSE),"")</f>
        <v/>
      </c>
      <c r="D5014" s="16" t="str">
        <f>IFERROR(VLOOKUP(C5014,DATA!#REF!,2,FALSE),"")</f>
        <v/>
      </c>
      <c r="I5014" s="17"/>
      <c r="J5014" s="17"/>
      <c r="P5014" s="17"/>
      <c r="Q5014" s="17"/>
    </row>
    <row r="5015" spans="2:17">
      <c r="B5015" s="17"/>
      <c r="C5015" s="16" t="str">
        <f>IFERROR(VLOOKUP(DATA!#REF!,DATA!#REF!,1,FALSE),"")</f>
        <v/>
      </c>
      <c r="D5015" s="16" t="str">
        <f>IFERROR(VLOOKUP(C5015,DATA!#REF!,2,FALSE),"")</f>
        <v/>
      </c>
      <c r="I5015" s="17"/>
      <c r="J5015" s="17"/>
      <c r="P5015" s="17"/>
      <c r="Q5015" s="17"/>
    </row>
    <row r="5016" spans="2:17">
      <c r="B5016" s="17"/>
      <c r="C5016" s="16" t="str">
        <f>IFERROR(VLOOKUP(DATA!#REF!,DATA!#REF!,1,FALSE),"")</f>
        <v/>
      </c>
      <c r="D5016" s="16" t="str">
        <f>IFERROR(VLOOKUP(C5016,DATA!#REF!,2,FALSE),"")</f>
        <v/>
      </c>
      <c r="I5016" s="17"/>
      <c r="J5016" s="17"/>
      <c r="P5016" s="17"/>
      <c r="Q5016" s="17"/>
    </row>
    <row r="5017" spans="2:17">
      <c r="B5017" s="17"/>
      <c r="C5017" s="16" t="str">
        <f>IFERROR(VLOOKUP(DATA!#REF!,DATA!#REF!,1,FALSE),"")</f>
        <v/>
      </c>
      <c r="D5017" s="16" t="str">
        <f>IFERROR(VLOOKUP(C5017,DATA!#REF!,2,FALSE),"")</f>
        <v/>
      </c>
      <c r="I5017" s="17"/>
      <c r="J5017" s="17"/>
      <c r="P5017" s="17"/>
      <c r="Q5017" s="17"/>
    </row>
    <row r="5018" spans="2:17">
      <c r="B5018" s="17"/>
      <c r="C5018" s="16" t="str">
        <f>IFERROR(VLOOKUP(DATA!#REF!,DATA!#REF!,1,FALSE),"")</f>
        <v/>
      </c>
      <c r="D5018" s="16" t="str">
        <f>IFERROR(VLOOKUP(C5018,DATA!#REF!,2,FALSE),"")</f>
        <v/>
      </c>
      <c r="I5018" s="17"/>
      <c r="J5018" s="17"/>
      <c r="P5018" s="17"/>
      <c r="Q5018" s="17"/>
    </row>
    <row r="5019" spans="2:17">
      <c r="B5019" s="17"/>
      <c r="C5019" s="16" t="str">
        <f>IFERROR(VLOOKUP(DATA!#REF!,DATA!#REF!,1,FALSE),"")</f>
        <v/>
      </c>
      <c r="D5019" s="16" t="str">
        <f>IFERROR(VLOOKUP(C5019,DATA!#REF!,2,FALSE),"")</f>
        <v/>
      </c>
      <c r="I5019" s="17"/>
      <c r="J5019" s="17"/>
      <c r="P5019" s="17"/>
      <c r="Q5019" s="17"/>
    </row>
    <row r="5020" spans="2:17">
      <c r="B5020" s="17"/>
      <c r="C5020" s="16" t="str">
        <f>IFERROR(VLOOKUP(DATA!#REF!,DATA!#REF!,1,FALSE),"")</f>
        <v/>
      </c>
      <c r="D5020" s="16" t="str">
        <f>IFERROR(VLOOKUP(C5020,DATA!#REF!,2,FALSE),"")</f>
        <v/>
      </c>
      <c r="I5020" s="17"/>
      <c r="J5020" s="17"/>
      <c r="P5020" s="17"/>
      <c r="Q5020" s="17"/>
    </row>
    <row r="5021" spans="2:17">
      <c r="B5021" s="17"/>
      <c r="C5021" s="16" t="str">
        <f>IFERROR(VLOOKUP(DATA!#REF!,DATA!#REF!,1,FALSE),"")</f>
        <v/>
      </c>
      <c r="D5021" s="16" t="str">
        <f>IFERROR(VLOOKUP(C5021,DATA!#REF!,2,FALSE),"")</f>
        <v/>
      </c>
      <c r="I5021" s="17"/>
      <c r="J5021" s="17"/>
      <c r="P5021" s="17"/>
      <c r="Q5021" s="17"/>
    </row>
    <row r="5022" spans="2:17">
      <c r="B5022" s="17"/>
      <c r="C5022" s="16" t="str">
        <f>IFERROR(VLOOKUP(DATA!#REF!,DATA!#REF!,1,FALSE),"")</f>
        <v/>
      </c>
      <c r="D5022" s="16" t="str">
        <f>IFERROR(VLOOKUP(C5022,DATA!#REF!,2,FALSE),"")</f>
        <v/>
      </c>
      <c r="I5022" s="17"/>
      <c r="J5022" s="17"/>
      <c r="P5022" s="17"/>
      <c r="Q5022" s="17"/>
    </row>
    <row r="5023" spans="2:17">
      <c r="B5023" s="17"/>
      <c r="C5023" s="16" t="str">
        <f>IFERROR(VLOOKUP(DATA!#REF!,DATA!#REF!,1,FALSE),"")</f>
        <v/>
      </c>
      <c r="D5023" s="16" t="str">
        <f>IFERROR(VLOOKUP(C5023,DATA!#REF!,2,FALSE),"")</f>
        <v/>
      </c>
      <c r="I5023" s="17"/>
      <c r="J5023" s="17"/>
      <c r="P5023" s="17"/>
      <c r="Q5023" s="17"/>
    </row>
    <row r="5024" spans="2:17">
      <c r="B5024" s="17"/>
      <c r="C5024" s="16" t="str">
        <f>IFERROR(VLOOKUP(DATA!#REF!,DATA!#REF!,1,FALSE),"")</f>
        <v/>
      </c>
      <c r="D5024" s="16" t="str">
        <f>IFERROR(VLOOKUP(C5024,DATA!#REF!,2,FALSE),"")</f>
        <v/>
      </c>
      <c r="I5024" s="17"/>
      <c r="J5024" s="17"/>
      <c r="P5024" s="17"/>
      <c r="Q5024" s="17"/>
    </row>
    <row r="5025" spans="2:17">
      <c r="B5025" s="17"/>
      <c r="C5025" s="16" t="str">
        <f>IFERROR(VLOOKUP(DATA!#REF!,DATA!#REF!,1,FALSE),"")</f>
        <v/>
      </c>
      <c r="D5025" s="16" t="str">
        <f>IFERROR(VLOOKUP(C5025,DATA!#REF!,2,FALSE),"")</f>
        <v/>
      </c>
      <c r="I5025" s="17"/>
      <c r="J5025" s="17"/>
      <c r="P5025" s="17"/>
      <c r="Q5025" s="17"/>
    </row>
    <row r="5026" spans="2:17">
      <c r="B5026" s="17"/>
      <c r="C5026" s="16" t="str">
        <f>IFERROR(VLOOKUP(DATA!#REF!,DATA!#REF!,1,FALSE),"")</f>
        <v/>
      </c>
      <c r="D5026" s="16" t="str">
        <f>IFERROR(VLOOKUP(C5026,DATA!#REF!,2,FALSE),"")</f>
        <v/>
      </c>
      <c r="I5026" s="17"/>
      <c r="J5026" s="17"/>
      <c r="P5026" s="17"/>
      <c r="Q5026" s="17"/>
    </row>
    <row r="5027" spans="2:17">
      <c r="B5027" s="17"/>
      <c r="C5027" s="16" t="str">
        <f>IFERROR(VLOOKUP(DATA!#REF!,DATA!#REF!,1,FALSE),"")</f>
        <v/>
      </c>
      <c r="D5027" s="16" t="str">
        <f>IFERROR(VLOOKUP(C5027,DATA!#REF!,2,FALSE),"")</f>
        <v/>
      </c>
      <c r="I5027" s="17"/>
      <c r="J5027" s="17"/>
      <c r="P5027" s="17"/>
      <c r="Q5027" s="17"/>
    </row>
    <row r="5028" spans="2:17">
      <c r="B5028" s="17"/>
      <c r="C5028" s="16" t="str">
        <f>IFERROR(VLOOKUP(DATA!#REF!,DATA!#REF!,1,FALSE),"")</f>
        <v/>
      </c>
      <c r="D5028" s="16" t="str">
        <f>IFERROR(VLOOKUP(C5028,DATA!#REF!,2,FALSE),"")</f>
        <v/>
      </c>
      <c r="I5028" s="17"/>
      <c r="J5028" s="17"/>
      <c r="P5028" s="17"/>
      <c r="Q5028" s="17"/>
    </row>
    <row r="5029" spans="2:17">
      <c r="B5029" s="17"/>
      <c r="C5029" s="16" t="str">
        <f>IFERROR(VLOOKUP(DATA!#REF!,DATA!#REF!,1,FALSE),"")</f>
        <v/>
      </c>
      <c r="D5029" s="16" t="str">
        <f>IFERROR(VLOOKUP(C5029,DATA!#REF!,2,FALSE),"")</f>
        <v/>
      </c>
      <c r="I5029" s="17"/>
      <c r="J5029" s="17"/>
      <c r="P5029" s="17"/>
      <c r="Q5029" s="17"/>
    </row>
    <row r="5030" spans="2:17">
      <c r="B5030" s="17"/>
      <c r="C5030" s="16" t="str">
        <f>IFERROR(VLOOKUP(DATA!#REF!,DATA!#REF!,1,FALSE),"")</f>
        <v/>
      </c>
      <c r="D5030" s="16" t="str">
        <f>IFERROR(VLOOKUP(C5030,DATA!#REF!,2,FALSE),"")</f>
        <v/>
      </c>
      <c r="I5030" s="17"/>
      <c r="J5030" s="17"/>
      <c r="P5030" s="17"/>
      <c r="Q5030" s="17"/>
    </row>
    <row r="5031" spans="2:17">
      <c r="B5031" s="17"/>
      <c r="C5031" s="16" t="str">
        <f>IFERROR(VLOOKUP(DATA!#REF!,DATA!#REF!,1,FALSE),"")</f>
        <v/>
      </c>
      <c r="D5031" s="16" t="str">
        <f>IFERROR(VLOOKUP(C5031,DATA!#REF!,2,FALSE),"")</f>
        <v/>
      </c>
      <c r="I5031" s="17"/>
      <c r="J5031" s="17"/>
      <c r="P5031" s="17"/>
      <c r="Q5031" s="17"/>
    </row>
    <row r="5032" spans="2:17">
      <c r="B5032" s="17"/>
      <c r="C5032" s="16" t="str">
        <f>IFERROR(VLOOKUP(DATA!#REF!,DATA!#REF!,1,FALSE),"")</f>
        <v/>
      </c>
      <c r="D5032" s="16" t="str">
        <f>IFERROR(VLOOKUP(C5032,DATA!#REF!,2,FALSE),"")</f>
        <v/>
      </c>
      <c r="I5032" s="17"/>
      <c r="J5032" s="17"/>
      <c r="P5032" s="17"/>
      <c r="Q5032" s="17"/>
    </row>
    <row r="5033" spans="2:17">
      <c r="B5033" s="17"/>
      <c r="C5033" s="16" t="str">
        <f>IFERROR(VLOOKUP(DATA!#REF!,DATA!#REF!,1,FALSE),"")</f>
        <v/>
      </c>
      <c r="D5033" s="16" t="str">
        <f>IFERROR(VLOOKUP(C5033,DATA!#REF!,2,FALSE),"")</f>
        <v/>
      </c>
      <c r="I5033" s="17"/>
      <c r="J5033" s="17"/>
      <c r="P5033" s="17"/>
      <c r="Q5033" s="17"/>
    </row>
    <row r="5034" spans="2:17">
      <c r="B5034" s="17"/>
      <c r="C5034" s="16" t="str">
        <f>IFERROR(VLOOKUP(DATA!#REF!,DATA!#REF!,1,FALSE),"")</f>
        <v/>
      </c>
      <c r="D5034" s="16" t="str">
        <f>IFERROR(VLOOKUP(C5034,DATA!#REF!,2,FALSE),"")</f>
        <v/>
      </c>
      <c r="I5034" s="17"/>
      <c r="J5034" s="17"/>
      <c r="P5034" s="17"/>
      <c r="Q5034" s="17"/>
    </row>
    <row r="5035" spans="2:17">
      <c r="B5035" s="17"/>
      <c r="C5035" s="16" t="str">
        <f>IFERROR(VLOOKUP(DATA!#REF!,DATA!#REF!,1,FALSE),"")</f>
        <v/>
      </c>
      <c r="D5035" s="16" t="str">
        <f>IFERROR(VLOOKUP(C5035,DATA!#REF!,2,FALSE),"")</f>
        <v/>
      </c>
      <c r="I5035" s="17"/>
      <c r="J5035" s="17"/>
      <c r="P5035" s="17"/>
      <c r="Q5035" s="17"/>
    </row>
    <row r="5036" spans="2:17">
      <c r="B5036" s="17"/>
      <c r="C5036" s="16" t="str">
        <f>IFERROR(VLOOKUP(DATA!#REF!,DATA!#REF!,1,FALSE),"")</f>
        <v/>
      </c>
      <c r="D5036" s="16" t="str">
        <f>IFERROR(VLOOKUP(C5036,DATA!#REF!,2,FALSE),"")</f>
        <v/>
      </c>
      <c r="I5036" s="17"/>
      <c r="J5036" s="17"/>
      <c r="P5036" s="17"/>
      <c r="Q5036" s="17"/>
    </row>
    <row r="5037" spans="2:17">
      <c r="B5037" s="17"/>
      <c r="C5037" s="16" t="str">
        <f>IFERROR(VLOOKUP(DATA!#REF!,DATA!#REF!,1,FALSE),"")</f>
        <v/>
      </c>
      <c r="D5037" s="16" t="str">
        <f>IFERROR(VLOOKUP(C5037,DATA!#REF!,2,FALSE),"")</f>
        <v/>
      </c>
      <c r="I5037" s="17"/>
      <c r="J5037" s="17"/>
      <c r="P5037" s="17"/>
      <c r="Q5037" s="17"/>
    </row>
    <row r="5038" spans="2:17">
      <c r="B5038" s="17"/>
      <c r="C5038" s="16" t="str">
        <f>IFERROR(VLOOKUP(DATA!#REF!,DATA!#REF!,1,FALSE),"")</f>
        <v/>
      </c>
      <c r="D5038" s="16" t="str">
        <f>IFERROR(VLOOKUP(C5038,DATA!#REF!,2,FALSE),"")</f>
        <v/>
      </c>
      <c r="I5038" s="17"/>
      <c r="J5038" s="17"/>
      <c r="P5038" s="17"/>
      <c r="Q5038" s="17"/>
    </row>
    <row r="5039" spans="2:17">
      <c r="B5039" s="17"/>
      <c r="C5039" s="16" t="str">
        <f>IFERROR(VLOOKUP(DATA!#REF!,DATA!#REF!,1,FALSE),"")</f>
        <v/>
      </c>
      <c r="D5039" s="16" t="str">
        <f>IFERROR(VLOOKUP(C5039,DATA!#REF!,2,FALSE),"")</f>
        <v/>
      </c>
      <c r="I5039" s="17"/>
      <c r="J5039" s="17"/>
      <c r="P5039" s="17"/>
      <c r="Q5039" s="17"/>
    </row>
    <row r="5040" spans="2:17">
      <c r="B5040" s="17"/>
      <c r="C5040" s="16" t="str">
        <f>IFERROR(VLOOKUP(DATA!#REF!,DATA!#REF!,1,FALSE),"")</f>
        <v/>
      </c>
      <c r="D5040" s="16" t="str">
        <f>IFERROR(VLOOKUP(C5040,DATA!#REF!,2,FALSE),"")</f>
        <v/>
      </c>
      <c r="I5040" s="17"/>
      <c r="J5040" s="17"/>
      <c r="P5040" s="17"/>
      <c r="Q5040" s="17"/>
    </row>
    <row r="5041" spans="2:17">
      <c r="B5041" s="17"/>
      <c r="C5041" s="16" t="str">
        <f>IFERROR(VLOOKUP(DATA!#REF!,DATA!#REF!,1,FALSE),"")</f>
        <v/>
      </c>
      <c r="D5041" s="16" t="str">
        <f>IFERROR(VLOOKUP(C5041,DATA!#REF!,2,FALSE),"")</f>
        <v/>
      </c>
      <c r="I5041" s="17"/>
      <c r="J5041" s="17"/>
      <c r="P5041" s="17"/>
      <c r="Q5041" s="17"/>
    </row>
    <row r="5042" spans="2:17">
      <c r="B5042" s="17"/>
      <c r="C5042" s="16" t="str">
        <f>IFERROR(VLOOKUP(DATA!#REF!,DATA!#REF!,1,FALSE),"")</f>
        <v/>
      </c>
      <c r="D5042" s="16" t="str">
        <f>IFERROR(VLOOKUP(C5042,DATA!#REF!,2,FALSE),"")</f>
        <v/>
      </c>
      <c r="I5042" s="17"/>
      <c r="J5042" s="17"/>
      <c r="P5042" s="17"/>
      <c r="Q5042" s="17"/>
    </row>
    <row r="5043" spans="2:17">
      <c r="B5043" s="17"/>
      <c r="C5043" s="16" t="str">
        <f>IFERROR(VLOOKUP(DATA!#REF!,DATA!#REF!,1,FALSE),"")</f>
        <v/>
      </c>
      <c r="D5043" s="16" t="str">
        <f>IFERROR(VLOOKUP(C5043,DATA!#REF!,2,FALSE),"")</f>
        <v/>
      </c>
      <c r="I5043" s="17"/>
      <c r="J5043" s="17"/>
      <c r="P5043" s="17"/>
      <c r="Q5043" s="17"/>
    </row>
    <row r="5044" spans="2:17">
      <c r="B5044" s="17"/>
      <c r="C5044" s="16" t="str">
        <f>IFERROR(VLOOKUP(DATA!#REF!,DATA!#REF!,1,FALSE),"")</f>
        <v/>
      </c>
      <c r="D5044" s="16" t="str">
        <f>IFERROR(VLOOKUP(C5044,DATA!#REF!,2,FALSE),"")</f>
        <v/>
      </c>
      <c r="I5044" s="17"/>
      <c r="J5044" s="17"/>
      <c r="P5044" s="17"/>
      <c r="Q5044" s="17"/>
    </row>
    <row r="5045" spans="2:17">
      <c r="B5045" s="17"/>
      <c r="C5045" s="16" t="str">
        <f>IFERROR(VLOOKUP(DATA!#REF!,DATA!#REF!,1,FALSE),"")</f>
        <v/>
      </c>
      <c r="D5045" s="16" t="str">
        <f>IFERROR(VLOOKUP(C5045,DATA!#REF!,2,FALSE),"")</f>
        <v/>
      </c>
      <c r="I5045" s="17"/>
      <c r="J5045" s="17"/>
      <c r="P5045" s="17"/>
      <c r="Q5045" s="17"/>
    </row>
    <row r="5046" spans="2:17">
      <c r="B5046" s="17"/>
      <c r="C5046" s="16" t="str">
        <f>IFERROR(VLOOKUP(DATA!#REF!,DATA!#REF!,1,FALSE),"")</f>
        <v/>
      </c>
      <c r="D5046" s="16" t="str">
        <f>IFERROR(VLOOKUP(C5046,DATA!#REF!,2,FALSE),"")</f>
        <v/>
      </c>
      <c r="I5046" s="17"/>
      <c r="J5046" s="17"/>
      <c r="P5046" s="17"/>
      <c r="Q5046" s="17"/>
    </row>
    <row r="5047" spans="2:17">
      <c r="B5047" s="17"/>
      <c r="C5047" s="16" t="str">
        <f>IFERROR(VLOOKUP(DATA!#REF!,DATA!#REF!,1,FALSE),"")</f>
        <v/>
      </c>
      <c r="D5047" s="16" t="str">
        <f>IFERROR(VLOOKUP(C5047,DATA!#REF!,2,FALSE),"")</f>
        <v/>
      </c>
      <c r="I5047" s="17"/>
      <c r="J5047" s="17"/>
      <c r="P5047" s="17"/>
      <c r="Q5047" s="17"/>
    </row>
    <row r="5048" spans="2:17">
      <c r="B5048" s="17"/>
      <c r="C5048" s="16" t="str">
        <f>IFERROR(VLOOKUP(DATA!#REF!,DATA!#REF!,1,FALSE),"")</f>
        <v/>
      </c>
      <c r="D5048" s="16" t="str">
        <f>IFERROR(VLOOKUP(C5048,DATA!#REF!,2,FALSE),"")</f>
        <v/>
      </c>
      <c r="I5048" s="17"/>
      <c r="J5048" s="17"/>
      <c r="P5048" s="17"/>
      <c r="Q5048" s="17"/>
    </row>
    <row r="5049" spans="2:17">
      <c r="B5049" s="17"/>
      <c r="C5049" s="16" t="str">
        <f>IFERROR(VLOOKUP(DATA!#REF!,DATA!#REF!,1,FALSE),"")</f>
        <v/>
      </c>
      <c r="D5049" s="16" t="str">
        <f>IFERROR(VLOOKUP(C5049,DATA!#REF!,2,FALSE),"")</f>
        <v/>
      </c>
      <c r="I5049" s="17"/>
      <c r="J5049" s="17"/>
      <c r="P5049" s="17"/>
      <c r="Q5049" s="17"/>
    </row>
    <row r="5050" spans="2:17">
      <c r="B5050" s="17"/>
      <c r="C5050" s="16" t="str">
        <f>IFERROR(VLOOKUP(DATA!#REF!,DATA!#REF!,1,FALSE),"")</f>
        <v/>
      </c>
      <c r="D5050" s="16" t="str">
        <f>IFERROR(VLOOKUP(C5050,DATA!#REF!,2,FALSE),"")</f>
        <v/>
      </c>
      <c r="I5050" s="17"/>
      <c r="J5050" s="17"/>
      <c r="P5050" s="17"/>
      <c r="Q5050" s="17"/>
    </row>
    <row r="5051" spans="2:17">
      <c r="B5051" s="17"/>
      <c r="C5051" s="16" t="str">
        <f>IFERROR(VLOOKUP(DATA!#REF!,DATA!#REF!,1,FALSE),"")</f>
        <v/>
      </c>
      <c r="D5051" s="16" t="str">
        <f>IFERROR(VLOOKUP(C5051,DATA!#REF!,2,FALSE),"")</f>
        <v/>
      </c>
      <c r="I5051" s="17"/>
      <c r="J5051" s="17"/>
      <c r="P5051" s="17"/>
      <c r="Q5051" s="17"/>
    </row>
    <row r="5052" spans="2:17">
      <c r="B5052" s="17"/>
      <c r="C5052" s="16" t="str">
        <f>IFERROR(VLOOKUP(DATA!#REF!,DATA!#REF!,1,FALSE),"")</f>
        <v/>
      </c>
      <c r="D5052" s="16" t="str">
        <f>IFERROR(VLOOKUP(C5052,DATA!#REF!,2,FALSE),"")</f>
        <v/>
      </c>
      <c r="I5052" s="17"/>
      <c r="J5052" s="17"/>
      <c r="P5052" s="17"/>
      <c r="Q5052" s="17"/>
    </row>
    <row r="5053" spans="2:17">
      <c r="B5053" s="17"/>
      <c r="C5053" s="16" t="str">
        <f>IFERROR(VLOOKUP(DATA!#REF!,DATA!#REF!,1,FALSE),"")</f>
        <v/>
      </c>
      <c r="D5053" s="16" t="str">
        <f>IFERROR(VLOOKUP(C5053,DATA!#REF!,2,FALSE),"")</f>
        <v/>
      </c>
      <c r="I5053" s="17"/>
      <c r="J5053" s="17"/>
      <c r="P5053" s="17"/>
      <c r="Q5053" s="17"/>
    </row>
    <row r="5054" spans="2:17">
      <c r="B5054" s="17"/>
      <c r="C5054" s="16" t="str">
        <f>IFERROR(VLOOKUP(DATA!#REF!,DATA!#REF!,1,FALSE),"")</f>
        <v/>
      </c>
      <c r="D5054" s="16" t="str">
        <f>IFERROR(VLOOKUP(C5054,DATA!#REF!,2,FALSE),"")</f>
        <v/>
      </c>
      <c r="I5054" s="17"/>
      <c r="J5054" s="17"/>
      <c r="P5054" s="17"/>
      <c r="Q5054" s="17"/>
    </row>
    <row r="5055" spans="2:17">
      <c r="B5055" s="17"/>
      <c r="C5055" s="16" t="str">
        <f>IFERROR(VLOOKUP(DATA!#REF!,DATA!#REF!,1,FALSE),"")</f>
        <v/>
      </c>
      <c r="D5055" s="16" t="str">
        <f>IFERROR(VLOOKUP(C5055,DATA!#REF!,2,FALSE),"")</f>
        <v/>
      </c>
      <c r="I5055" s="17"/>
      <c r="J5055" s="17"/>
      <c r="P5055" s="17"/>
      <c r="Q5055" s="17"/>
    </row>
    <row r="5056" spans="2:17">
      <c r="B5056" s="17"/>
      <c r="C5056" s="16" t="str">
        <f>IFERROR(VLOOKUP(DATA!#REF!,DATA!#REF!,1,FALSE),"")</f>
        <v/>
      </c>
      <c r="D5056" s="16" t="str">
        <f>IFERROR(VLOOKUP(C5056,DATA!#REF!,2,FALSE),"")</f>
        <v/>
      </c>
      <c r="I5056" s="17"/>
      <c r="J5056" s="17"/>
      <c r="P5056" s="17"/>
      <c r="Q5056" s="17"/>
    </row>
    <row r="5057" spans="2:17">
      <c r="B5057" s="17"/>
      <c r="C5057" s="16" t="str">
        <f>IFERROR(VLOOKUP(DATA!#REF!,DATA!#REF!,1,FALSE),"")</f>
        <v/>
      </c>
      <c r="D5057" s="16" t="str">
        <f>IFERROR(VLOOKUP(C5057,DATA!#REF!,2,FALSE),"")</f>
        <v/>
      </c>
      <c r="I5057" s="17"/>
      <c r="J5057" s="17"/>
      <c r="P5057" s="17"/>
      <c r="Q5057" s="17"/>
    </row>
    <row r="5058" spans="2:17">
      <c r="B5058" s="17"/>
      <c r="C5058" s="16" t="str">
        <f>IFERROR(VLOOKUP(DATA!#REF!,DATA!#REF!,1,FALSE),"")</f>
        <v/>
      </c>
      <c r="D5058" s="16" t="str">
        <f>IFERROR(VLOOKUP(C5058,DATA!#REF!,2,FALSE),"")</f>
        <v/>
      </c>
      <c r="I5058" s="17"/>
      <c r="J5058" s="17"/>
      <c r="P5058" s="17"/>
      <c r="Q5058" s="17"/>
    </row>
    <row r="5059" spans="2:17">
      <c r="B5059" s="17"/>
      <c r="C5059" s="16" t="str">
        <f>IFERROR(VLOOKUP(DATA!#REF!,DATA!#REF!,1,FALSE),"")</f>
        <v/>
      </c>
      <c r="D5059" s="16" t="str">
        <f>IFERROR(VLOOKUP(C5059,DATA!#REF!,2,FALSE),"")</f>
        <v/>
      </c>
      <c r="I5059" s="17"/>
      <c r="J5059" s="17"/>
      <c r="P5059" s="17"/>
      <c r="Q5059" s="17"/>
    </row>
    <row r="5060" spans="2:17">
      <c r="B5060" s="17"/>
      <c r="C5060" s="16" t="str">
        <f>IFERROR(VLOOKUP(DATA!#REF!,DATA!#REF!,1,FALSE),"")</f>
        <v/>
      </c>
      <c r="D5060" s="16" t="str">
        <f>IFERROR(VLOOKUP(C5060,DATA!#REF!,2,FALSE),"")</f>
        <v/>
      </c>
      <c r="I5060" s="17"/>
      <c r="J5060" s="17"/>
      <c r="P5060" s="17"/>
      <c r="Q5060" s="17"/>
    </row>
    <row r="5061" spans="2:17">
      <c r="B5061" s="17"/>
      <c r="C5061" s="16" t="str">
        <f>IFERROR(VLOOKUP(DATA!#REF!,DATA!#REF!,1,FALSE),"")</f>
        <v/>
      </c>
      <c r="D5061" s="16" t="str">
        <f>IFERROR(VLOOKUP(C5061,DATA!#REF!,2,FALSE),"")</f>
        <v/>
      </c>
      <c r="I5061" s="17"/>
      <c r="J5061" s="17"/>
      <c r="P5061" s="17"/>
      <c r="Q5061" s="17"/>
    </row>
    <row r="5062" spans="2:17">
      <c r="B5062" s="17"/>
      <c r="C5062" s="16" t="str">
        <f>IFERROR(VLOOKUP(DATA!#REF!,DATA!#REF!,1,FALSE),"")</f>
        <v/>
      </c>
      <c r="D5062" s="16" t="str">
        <f>IFERROR(VLOOKUP(C5062,DATA!#REF!,2,FALSE),"")</f>
        <v/>
      </c>
      <c r="I5062" s="17"/>
      <c r="J5062" s="17"/>
      <c r="P5062" s="17"/>
      <c r="Q5062" s="17"/>
    </row>
    <row r="5063" spans="2:17">
      <c r="B5063" s="17"/>
      <c r="C5063" s="16" t="str">
        <f>IFERROR(VLOOKUP(DATA!#REF!,DATA!#REF!,1,FALSE),"")</f>
        <v/>
      </c>
      <c r="D5063" s="16" t="str">
        <f>IFERROR(VLOOKUP(C5063,DATA!#REF!,2,FALSE),"")</f>
        <v/>
      </c>
      <c r="I5063" s="17"/>
      <c r="J5063" s="17"/>
      <c r="P5063" s="17"/>
      <c r="Q5063" s="17"/>
    </row>
    <row r="5064" spans="2:17">
      <c r="B5064" s="17"/>
      <c r="C5064" s="16" t="str">
        <f>IFERROR(VLOOKUP(DATA!#REF!,DATA!#REF!,1,FALSE),"")</f>
        <v/>
      </c>
      <c r="D5064" s="16" t="str">
        <f>IFERROR(VLOOKUP(C5064,DATA!#REF!,2,FALSE),"")</f>
        <v/>
      </c>
      <c r="I5064" s="17"/>
      <c r="J5064" s="17"/>
      <c r="P5064" s="17"/>
      <c r="Q5064" s="17"/>
    </row>
    <row r="5065" spans="2:17">
      <c r="B5065" s="17"/>
      <c r="C5065" s="16" t="str">
        <f>IFERROR(VLOOKUP(DATA!#REF!,DATA!#REF!,1,FALSE),"")</f>
        <v/>
      </c>
      <c r="D5065" s="16" t="str">
        <f>IFERROR(VLOOKUP(C5065,DATA!#REF!,2,FALSE),"")</f>
        <v/>
      </c>
      <c r="I5065" s="17"/>
      <c r="J5065" s="17"/>
      <c r="P5065" s="17"/>
      <c r="Q5065" s="17"/>
    </row>
    <row r="5066" spans="2:17">
      <c r="B5066" s="17"/>
      <c r="C5066" s="16" t="str">
        <f>IFERROR(VLOOKUP(DATA!#REF!,DATA!#REF!,1,FALSE),"")</f>
        <v/>
      </c>
      <c r="D5066" s="16" t="str">
        <f>IFERROR(VLOOKUP(C5066,DATA!#REF!,2,FALSE),"")</f>
        <v/>
      </c>
      <c r="I5066" s="17"/>
      <c r="J5066" s="17"/>
      <c r="P5066" s="17"/>
      <c r="Q5066" s="17"/>
    </row>
    <row r="5067" spans="2:17">
      <c r="B5067" s="17"/>
      <c r="C5067" s="16" t="str">
        <f>IFERROR(VLOOKUP(DATA!#REF!,DATA!#REF!,1,FALSE),"")</f>
        <v/>
      </c>
      <c r="D5067" s="16" t="str">
        <f>IFERROR(VLOOKUP(C5067,DATA!#REF!,2,FALSE),"")</f>
        <v/>
      </c>
      <c r="I5067" s="17"/>
      <c r="J5067" s="17"/>
      <c r="P5067" s="17"/>
      <c r="Q5067" s="17"/>
    </row>
    <row r="5068" spans="2:17">
      <c r="B5068" s="17"/>
      <c r="C5068" s="16" t="str">
        <f>IFERROR(VLOOKUP(DATA!#REF!,DATA!#REF!,1,FALSE),"")</f>
        <v/>
      </c>
      <c r="D5068" s="16" t="str">
        <f>IFERROR(VLOOKUP(C5068,DATA!#REF!,2,FALSE),"")</f>
        <v/>
      </c>
      <c r="I5068" s="17"/>
      <c r="J5068" s="17"/>
      <c r="P5068" s="17"/>
      <c r="Q5068" s="17"/>
    </row>
    <row r="5069" spans="2:17">
      <c r="B5069" s="17"/>
      <c r="C5069" s="16" t="str">
        <f>IFERROR(VLOOKUP(DATA!#REF!,DATA!#REF!,1,FALSE),"")</f>
        <v/>
      </c>
      <c r="D5069" s="16" t="str">
        <f>IFERROR(VLOOKUP(C5069,DATA!#REF!,2,FALSE),"")</f>
        <v/>
      </c>
      <c r="I5069" s="17"/>
      <c r="J5069" s="17"/>
      <c r="P5069" s="17"/>
      <c r="Q5069" s="17"/>
    </row>
    <row r="5070" spans="2:17">
      <c r="B5070" s="17"/>
      <c r="C5070" s="16" t="str">
        <f>IFERROR(VLOOKUP(DATA!#REF!,DATA!#REF!,1,FALSE),"")</f>
        <v/>
      </c>
      <c r="D5070" s="16" t="str">
        <f>IFERROR(VLOOKUP(C5070,DATA!#REF!,2,FALSE),"")</f>
        <v/>
      </c>
      <c r="I5070" s="17"/>
      <c r="J5070" s="17"/>
      <c r="P5070" s="17"/>
      <c r="Q5070" s="17"/>
    </row>
    <row r="5071" spans="2:17">
      <c r="B5071" s="17"/>
      <c r="C5071" s="16" t="str">
        <f>IFERROR(VLOOKUP(DATA!#REF!,DATA!#REF!,1,FALSE),"")</f>
        <v/>
      </c>
      <c r="D5071" s="16" t="str">
        <f>IFERROR(VLOOKUP(C5071,DATA!#REF!,2,FALSE),"")</f>
        <v/>
      </c>
      <c r="I5071" s="17"/>
      <c r="J5071" s="17"/>
      <c r="P5071" s="17"/>
      <c r="Q5071" s="17"/>
    </row>
    <row r="5072" spans="2:17">
      <c r="B5072" s="17"/>
      <c r="C5072" s="16" t="str">
        <f>IFERROR(VLOOKUP(DATA!#REF!,DATA!#REF!,1,FALSE),"")</f>
        <v/>
      </c>
      <c r="D5072" s="16" t="str">
        <f>IFERROR(VLOOKUP(C5072,DATA!#REF!,2,FALSE),"")</f>
        <v/>
      </c>
      <c r="I5072" s="17"/>
      <c r="J5072" s="17"/>
      <c r="P5072" s="17"/>
      <c r="Q5072" s="17"/>
    </row>
    <row r="5073" spans="2:17">
      <c r="B5073" s="17"/>
      <c r="C5073" s="16" t="str">
        <f>IFERROR(VLOOKUP(DATA!#REF!,DATA!#REF!,1,FALSE),"")</f>
        <v/>
      </c>
      <c r="D5073" s="16" t="str">
        <f>IFERROR(VLOOKUP(C5073,DATA!#REF!,2,FALSE),"")</f>
        <v/>
      </c>
      <c r="I5073" s="17"/>
      <c r="J5073" s="17"/>
      <c r="P5073" s="17"/>
      <c r="Q5073" s="17"/>
    </row>
    <row r="5074" spans="2:17">
      <c r="B5074" s="17"/>
      <c r="C5074" s="16" t="str">
        <f>IFERROR(VLOOKUP(DATA!#REF!,DATA!#REF!,1,FALSE),"")</f>
        <v/>
      </c>
      <c r="D5074" s="16" t="str">
        <f>IFERROR(VLOOKUP(C5074,DATA!#REF!,2,FALSE),"")</f>
        <v/>
      </c>
      <c r="I5074" s="17"/>
      <c r="J5074" s="17"/>
      <c r="P5074" s="17"/>
      <c r="Q5074" s="17"/>
    </row>
    <row r="5075" spans="2:17">
      <c r="B5075" s="17"/>
      <c r="C5075" s="16" t="str">
        <f>IFERROR(VLOOKUP(DATA!#REF!,DATA!#REF!,1,FALSE),"")</f>
        <v/>
      </c>
      <c r="D5075" s="16" t="str">
        <f>IFERROR(VLOOKUP(C5075,DATA!#REF!,2,FALSE),"")</f>
        <v/>
      </c>
      <c r="I5075" s="17"/>
      <c r="J5075" s="17"/>
      <c r="P5075" s="17"/>
      <c r="Q5075" s="17"/>
    </row>
    <row r="5076" spans="2:17">
      <c r="B5076" s="17"/>
      <c r="C5076" s="16" t="str">
        <f>IFERROR(VLOOKUP(DATA!#REF!,DATA!#REF!,1,FALSE),"")</f>
        <v/>
      </c>
      <c r="D5076" s="16" t="str">
        <f>IFERROR(VLOOKUP(C5076,DATA!#REF!,2,FALSE),"")</f>
        <v/>
      </c>
      <c r="I5076" s="17"/>
      <c r="J5076" s="17"/>
      <c r="P5076" s="17"/>
      <c r="Q5076" s="17"/>
    </row>
    <row r="5077" spans="2:17">
      <c r="B5077" s="17"/>
      <c r="C5077" s="16" t="str">
        <f>IFERROR(VLOOKUP(DATA!#REF!,DATA!#REF!,1,FALSE),"")</f>
        <v/>
      </c>
      <c r="D5077" s="16" t="str">
        <f>IFERROR(VLOOKUP(C5077,DATA!#REF!,2,FALSE),"")</f>
        <v/>
      </c>
      <c r="I5077" s="17"/>
      <c r="J5077" s="17"/>
      <c r="P5077" s="17"/>
      <c r="Q5077" s="17"/>
    </row>
    <row r="5078" spans="2:17">
      <c r="B5078" s="17"/>
      <c r="C5078" s="16" t="str">
        <f>IFERROR(VLOOKUP(DATA!#REF!,DATA!#REF!,1,FALSE),"")</f>
        <v/>
      </c>
      <c r="D5078" s="16" t="str">
        <f>IFERROR(VLOOKUP(C5078,DATA!#REF!,2,FALSE),"")</f>
        <v/>
      </c>
      <c r="I5078" s="17"/>
      <c r="J5078" s="17"/>
      <c r="P5078" s="17"/>
      <c r="Q5078" s="17"/>
    </row>
    <row r="5079" spans="2:17">
      <c r="B5079" s="17"/>
      <c r="C5079" s="16" t="str">
        <f>IFERROR(VLOOKUP(DATA!#REF!,DATA!#REF!,1,FALSE),"")</f>
        <v/>
      </c>
      <c r="D5079" s="16" t="str">
        <f>IFERROR(VLOOKUP(C5079,DATA!#REF!,2,FALSE),"")</f>
        <v/>
      </c>
      <c r="I5079" s="17"/>
      <c r="J5079" s="17"/>
      <c r="P5079" s="17"/>
      <c r="Q5079" s="17"/>
    </row>
    <row r="5080" spans="2:17">
      <c r="B5080" s="17"/>
      <c r="C5080" s="16" t="str">
        <f>IFERROR(VLOOKUP(DATA!#REF!,DATA!#REF!,1,FALSE),"")</f>
        <v/>
      </c>
      <c r="D5080" s="16" t="str">
        <f>IFERROR(VLOOKUP(C5080,DATA!#REF!,2,FALSE),"")</f>
        <v/>
      </c>
      <c r="I5080" s="17"/>
      <c r="J5080" s="17"/>
      <c r="P5080" s="17"/>
      <c r="Q5080" s="17"/>
    </row>
    <row r="5081" spans="2:17">
      <c r="B5081" s="17"/>
      <c r="C5081" s="16" t="str">
        <f>IFERROR(VLOOKUP(DATA!#REF!,DATA!#REF!,1,FALSE),"")</f>
        <v/>
      </c>
      <c r="D5081" s="16" t="str">
        <f>IFERROR(VLOOKUP(C5081,DATA!#REF!,2,FALSE),"")</f>
        <v/>
      </c>
      <c r="I5081" s="17"/>
      <c r="J5081" s="17"/>
      <c r="P5081" s="17"/>
      <c r="Q5081" s="17"/>
    </row>
    <row r="5082" spans="2:17">
      <c r="B5082" s="17"/>
      <c r="C5082" s="16" t="str">
        <f>IFERROR(VLOOKUP(DATA!#REF!,DATA!#REF!,1,FALSE),"")</f>
        <v/>
      </c>
      <c r="D5082" s="16" t="str">
        <f>IFERROR(VLOOKUP(C5082,DATA!#REF!,2,FALSE),"")</f>
        <v/>
      </c>
      <c r="I5082" s="17"/>
      <c r="J5082" s="17"/>
      <c r="P5082" s="17"/>
      <c r="Q5082" s="17"/>
    </row>
    <row r="5083" spans="2:17">
      <c r="B5083" s="17"/>
      <c r="C5083" s="16" t="str">
        <f>IFERROR(VLOOKUP(DATA!#REF!,DATA!#REF!,1,FALSE),"")</f>
        <v/>
      </c>
      <c r="D5083" s="16" t="str">
        <f>IFERROR(VLOOKUP(C5083,DATA!#REF!,2,FALSE),"")</f>
        <v/>
      </c>
      <c r="I5083" s="17"/>
      <c r="J5083" s="17"/>
      <c r="P5083" s="17"/>
      <c r="Q5083" s="17"/>
    </row>
    <row r="5084" spans="2:17">
      <c r="B5084" s="17"/>
      <c r="C5084" s="16" t="str">
        <f>IFERROR(VLOOKUP(DATA!#REF!,DATA!#REF!,1,FALSE),"")</f>
        <v/>
      </c>
      <c r="D5084" s="16" t="str">
        <f>IFERROR(VLOOKUP(C5084,DATA!#REF!,2,FALSE),"")</f>
        <v/>
      </c>
      <c r="I5084" s="17"/>
      <c r="J5084" s="17"/>
      <c r="P5084" s="17"/>
      <c r="Q5084" s="17"/>
    </row>
    <row r="5085" spans="2:17">
      <c r="B5085" s="17"/>
      <c r="C5085" s="16" t="str">
        <f>IFERROR(VLOOKUP(DATA!#REF!,DATA!#REF!,1,FALSE),"")</f>
        <v/>
      </c>
      <c r="D5085" s="16" t="str">
        <f>IFERROR(VLOOKUP(C5085,DATA!#REF!,2,FALSE),"")</f>
        <v/>
      </c>
      <c r="I5085" s="17"/>
      <c r="J5085" s="17"/>
      <c r="P5085" s="17"/>
      <c r="Q5085" s="17"/>
    </row>
    <row r="5086" spans="2:17">
      <c r="B5086" s="17"/>
      <c r="C5086" s="16" t="str">
        <f>IFERROR(VLOOKUP(DATA!#REF!,DATA!#REF!,1,FALSE),"")</f>
        <v/>
      </c>
      <c r="D5086" s="16" t="str">
        <f>IFERROR(VLOOKUP(C5086,DATA!#REF!,2,FALSE),"")</f>
        <v/>
      </c>
      <c r="I5086" s="17"/>
      <c r="J5086" s="17"/>
      <c r="P5086" s="17"/>
      <c r="Q5086" s="17"/>
    </row>
    <row r="5087" spans="2:17">
      <c r="B5087" s="17"/>
      <c r="C5087" s="16" t="str">
        <f>IFERROR(VLOOKUP(DATA!#REF!,DATA!#REF!,1,FALSE),"")</f>
        <v/>
      </c>
      <c r="D5087" s="16" t="str">
        <f>IFERROR(VLOOKUP(C5087,DATA!#REF!,2,FALSE),"")</f>
        <v/>
      </c>
      <c r="I5087" s="17"/>
      <c r="J5087" s="17"/>
      <c r="P5087" s="17"/>
      <c r="Q5087" s="17"/>
    </row>
    <row r="5088" spans="2:17">
      <c r="B5088" s="17"/>
      <c r="C5088" s="16" t="str">
        <f>IFERROR(VLOOKUP(DATA!#REF!,DATA!#REF!,1,FALSE),"")</f>
        <v/>
      </c>
      <c r="D5088" s="16" t="str">
        <f>IFERROR(VLOOKUP(C5088,DATA!#REF!,2,FALSE),"")</f>
        <v/>
      </c>
      <c r="I5088" s="17"/>
      <c r="J5088" s="17"/>
      <c r="P5088" s="17"/>
      <c r="Q5088" s="17"/>
    </row>
    <row r="5089" spans="2:17">
      <c r="B5089" s="17"/>
      <c r="C5089" s="16" t="str">
        <f>IFERROR(VLOOKUP(DATA!#REF!,DATA!#REF!,1,FALSE),"")</f>
        <v/>
      </c>
      <c r="D5089" s="16" t="str">
        <f>IFERROR(VLOOKUP(C5089,DATA!#REF!,2,FALSE),"")</f>
        <v/>
      </c>
      <c r="I5089" s="17"/>
      <c r="J5089" s="17"/>
      <c r="P5089" s="17"/>
      <c r="Q5089" s="17"/>
    </row>
    <row r="5090" spans="2:17">
      <c r="B5090" s="17"/>
      <c r="C5090" s="16" t="str">
        <f>IFERROR(VLOOKUP(DATA!#REF!,DATA!#REF!,1,FALSE),"")</f>
        <v/>
      </c>
      <c r="D5090" s="16" t="str">
        <f>IFERROR(VLOOKUP(C5090,DATA!#REF!,2,FALSE),"")</f>
        <v/>
      </c>
      <c r="I5090" s="17"/>
      <c r="J5090" s="17"/>
      <c r="P5090" s="17"/>
      <c r="Q5090" s="17"/>
    </row>
    <row r="5091" spans="2:17">
      <c r="B5091" s="17"/>
      <c r="C5091" s="16" t="str">
        <f>IFERROR(VLOOKUP(DATA!#REF!,DATA!#REF!,1,FALSE),"")</f>
        <v/>
      </c>
      <c r="D5091" s="16" t="str">
        <f>IFERROR(VLOOKUP(C5091,DATA!#REF!,2,FALSE),"")</f>
        <v/>
      </c>
      <c r="I5091" s="17"/>
      <c r="J5091" s="17"/>
      <c r="P5091" s="17"/>
      <c r="Q5091" s="17"/>
    </row>
    <row r="5092" spans="2:17">
      <c r="B5092" s="17"/>
      <c r="C5092" s="16" t="str">
        <f>IFERROR(VLOOKUP(DATA!#REF!,DATA!#REF!,1,FALSE),"")</f>
        <v/>
      </c>
      <c r="D5092" s="16" t="str">
        <f>IFERROR(VLOOKUP(C5092,DATA!#REF!,2,FALSE),"")</f>
        <v/>
      </c>
      <c r="I5092" s="17"/>
      <c r="J5092" s="17"/>
      <c r="P5092" s="17"/>
      <c r="Q5092" s="17"/>
    </row>
    <row r="5093" spans="2:17">
      <c r="B5093" s="17"/>
      <c r="C5093" s="16" t="str">
        <f>IFERROR(VLOOKUP(DATA!#REF!,DATA!#REF!,1,FALSE),"")</f>
        <v/>
      </c>
      <c r="D5093" s="16" t="str">
        <f>IFERROR(VLOOKUP(C5093,DATA!#REF!,2,FALSE),"")</f>
        <v/>
      </c>
      <c r="I5093" s="17"/>
      <c r="J5093" s="17"/>
      <c r="P5093" s="17"/>
      <c r="Q5093" s="17"/>
    </row>
    <row r="5094" spans="2:17">
      <c r="B5094" s="17"/>
      <c r="C5094" s="16" t="str">
        <f>IFERROR(VLOOKUP(DATA!#REF!,DATA!#REF!,1,FALSE),"")</f>
        <v/>
      </c>
      <c r="D5094" s="16" t="str">
        <f>IFERROR(VLOOKUP(C5094,DATA!#REF!,2,FALSE),"")</f>
        <v/>
      </c>
      <c r="I5094" s="17"/>
      <c r="J5094" s="17"/>
      <c r="P5094" s="17"/>
      <c r="Q5094" s="17"/>
    </row>
    <row r="5095" spans="2:17">
      <c r="B5095" s="17"/>
      <c r="C5095" s="16" t="str">
        <f>IFERROR(VLOOKUP(DATA!#REF!,DATA!#REF!,1,FALSE),"")</f>
        <v/>
      </c>
      <c r="D5095" s="16" t="str">
        <f>IFERROR(VLOOKUP(C5095,DATA!#REF!,2,FALSE),"")</f>
        <v/>
      </c>
      <c r="I5095" s="17"/>
      <c r="J5095" s="17"/>
      <c r="P5095" s="17"/>
      <c r="Q5095" s="17"/>
    </row>
    <row r="5096" spans="2:17">
      <c r="B5096" s="17"/>
      <c r="C5096" s="16" t="str">
        <f>IFERROR(VLOOKUP(DATA!#REF!,DATA!#REF!,1,FALSE),"")</f>
        <v/>
      </c>
      <c r="D5096" s="16" t="str">
        <f>IFERROR(VLOOKUP(C5096,DATA!#REF!,2,FALSE),"")</f>
        <v/>
      </c>
      <c r="I5096" s="17"/>
      <c r="J5096" s="17"/>
      <c r="P5096" s="17"/>
      <c r="Q5096" s="17"/>
    </row>
    <row r="5097" spans="2:17">
      <c r="B5097" s="17"/>
      <c r="C5097" s="16" t="str">
        <f>IFERROR(VLOOKUP(DATA!#REF!,DATA!#REF!,1,FALSE),"")</f>
        <v/>
      </c>
      <c r="D5097" s="16" t="str">
        <f>IFERROR(VLOOKUP(C5097,DATA!#REF!,2,FALSE),"")</f>
        <v/>
      </c>
      <c r="I5097" s="17"/>
      <c r="J5097" s="17"/>
      <c r="P5097" s="17"/>
      <c r="Q5097" s="17"/>
    </row>
    <row r="5098" spans="2:17">
      <c r="B5098" s="17"/>
      <c r="C5098" s="16" t="str">
        <f>IFERROR(VLOOKUP(DATA!#REF!,DATA!#REF!,1,FALSE),"")</f>
        <v/>
      </c>
      <c r="D5098" s="16" t="str">
        <f>IFERROR(VLOOKUP(C5098,DATA!#REF!,2,FALSE),"")</f>
        <v/>
      </c>
      <c r="I5098" s="17"/>
      <c r="J5098" s="17"/>
      <c r="P5098" s="17"/>
      <c r="Q5098" s="17"/>
    </row>
    <row r="5099" spans="2:17">
      <c r="B5099" s="17"/>
      <c r="C5099" s="16" t="str">
        <f>IFERROR(VLOOKUP(DATA!#REF!,DATA!#REF!,1,FALSE),"")</f>
        <v/>
      </c>
      <c r="D5099" s="16" t="str">
        <f>IFERROR(VLOOKUP(C5099,DATA!#REF!,2,FALSE),"")</f>
        <v/>
      </c>
      <c r="I5099" s="17"/>
      <c r="J5099" s="17"/>
      <c r="P5099" s="17"/>
      <c r="Q5099" s="17"/>
    </row>
    <row r="5100" spans="2:17">
      <c r="B5100" s="17"/>
      <c r="C5100" s="16" t="str">
        <f>IFERROR(VLOOKUP(DATA!#REF!,DATA!#REF!,1,FALSE),"")</f>
        <v/>
      </c>
      <c r="D5100" s="16" t="str">
        <f>IFERROR(VLOOKUP(C5100,DATA!#REF!,2,FALSE),"")</f>
        <v/>
      </c>
      <c r="I5100" s="17"/>
      <c r="J5100" s="17"/>
      <c r="P5100" s="17"/>
      <c r="Q5100" s="17"/>
    </row>
    <row r="5101" spans="2:17">
      <c r="B5101" s="17"/>
      <c r="C5101" s="16" t="str">
        <f>IFERROR(VLOOKUP(DATA!#REF!,DATA!#REF!,1,FALSE),"")</f>
        <v/>
      </c>
      <c r="D5101" s="16" t="str">
        <f>IFERROR(VLOOKUP(C5101,DATA!#REF!,2,FALSE),"")</f>
        <v/>
      </c>
      <c r="I5101" s="17"/>
      <c r="J5101" s="17"/>
      <c r="P5101" s="17"/>
      <c r="Q5101" s="17"/>
    </row>
    <row r="5102" spans="2:17">
      <c r="B5102" s="17"/>
      <c r="C5102" s="16" t="str">
        <f>IFERROR(VLOOKUP(DATA!#REF!,DATA!#REF!,1,FALSE),"")</f>
        <v/>
      </c>
      <c r="D5102" s="16" t="str">
        <f>IFERROR(VLOOKUP(C5102,DATA!#REF!,2,FALSE),"")</f>
        <v/>
      </c>
      <c r="I5102" s="17"/>
      <c r="J5102" s="17"/>
      <c r="P5102" s="17"/>
      <c r="Q5102" s="17"/>
    </row>
    <row r="5103" spans="2:17">
      <c r="B5103" s="17"/>
      <c r="C5103" s="16" t="str">
        <f>IFERROR(VLOOKUP(DATA!#REF!,DATA!#REF!,1,FALSE),"")</f>
        <v/>
      </c>
      <c r="D5103" s="16" t="str">
        <f>IFERROR(VLOOKUP(C5103,DATA!#REF!,2,FALSE),"")</f>
        <v/>
      </c>
      <c r="I5103" s="17"/>
      <c r="J5103" s="17"/>
      <c r="P5103" s="17"/>
      <c r="Q5103" s="17"/>
    </row>
    <row r="5104" spans="2:17">
      <c r="B5104" s="17"/>
      <c r="C5104" s="16" t="str">
        <f>IFERROR(VLOOKUP(DATA!#REF!,DATA!#REF!,1,FALSE),"")</f>
        <v/>
      </c>
      <c r="D5104" s="16" t="str">
        <f>IFERROR(VLOOKUP(C5104,DATA!#REF!,2,FALSE),"")</f>
        <v/>
      </c>
      <c r="I5104" s="17"/>
      <c r="J5104" s="17"/>
      <c r="P5104" s="17"/>
      <c r="Q5104" s="17"/>
    </row>
    <row r="5105" spans="2:17">
      <c r="B5105" s="17"/>
      <c r="C5105" s="16" t="str">
        <f>IFERROR(VLOOKUP(DATA!#REF!,DATA!#REF!,1,FALSE),"")</f>
        <v/>
      </c>
      <c r="D5105" s="16" t="str">
        <f>IFERROR(VLOOKUP(C5105,DATA!#REF!,2,FALSE),"")</f>
        <v/>
      </c>
      <c r="I5105" s="17"/>
      <c r="J5105" s="17"/>
      <c r="P5105" s="17"/>
      <c r="Q5105" s="17"/>
    </row>
    <row r="5106" spans="2:17">
      <c r="B5106" s="17"/>
      <c r="C5106" s="16" t="str">
        <f>IFERROR(VLOOKUP(DATA!#REF!,DATA!#REF!,1,FALSE),"")</f>
        <v/>
      </c>
      <c r="D5106" s="16" t="str">
        <f>IFERROR(VLOOKUP(C5106,DATA!#REF!,2,FALSE),"")</f>
        <v/>
      </c>
      <c r="I5106" s="17"/>
      <c r="J5106" s="17"/>
      <c r="P5106" s="17"/>
      <c r="Q5106" s="17"/>
    </row>
    <row r="5107" spans="2:17">
      <c r="B5107" s="17"/>
      <c r="C5107" s="16" t="str">
        <f>IFERROR(VLOOKUP(DATA!#REF!,DATA!#REF!,1,FALSE),"")</f>
        <v/>
      </c>
      <c r="D5107" s="16" t="str">
        <f>IFERROR(VLOOKUP(C5107,DATA!#REF!,2,FALSE),"")</f>
        <v/>
      </c>
      <c r="I5107" s="17"/>
      <c r="J5107" s="17"/>
      <c r="P5107" s="17"/>
      <c r="Q5107" s="17"/>
    </row>
    <row r="5108" spans="2:17">
      <c r="B5108" s="17"/>
      <c r="C5108" s="16" t="str">
        <f>IFERROR(VLOOKUP(DATA!#REF!,DATA!#REF!,1,FALSE),"")</f>
        <v/>
      </c>
      <c r="D5108" s="16" t="str">
        <f>IFERROR(VLOOKUP(C5108,DATA!#REF!,2,FALSE),"")</f>
        <v/>
      </c>
      <c r="I5108" s="17"/>
      <c r="J5108" s="17"/>
      <c r="P5108" s="17"/>
      <c r="Q5108" s="17"/>
    </row>
    <row r="5109" spans="2:17">
      <c r="B5109" s="17"/>
      <c r="C5109" s="16" t="str">
        <f>IFERROR(VLOOKUP(DATA!#REF!,DATA!#REF!,1,FALSE),"")</f>
        <v/>
      </c>
      <c r="D5109" s="16" t="str">
        <f>IFERROR(VLOOKUP(C5109,DATA!#REF!,2,FALSE),"")</f>
        <v/>
      </c>
      <c r="I5109" s="17"/>
      <c r="J5109" s="17"/>
      <c r="P5109" s="17"/>
      <c r="Q5109" s="17"/>
    </row>
    <row r="5110" spans="2:17">
      <c r="B5110" s="17"/>
      <c r="C5110" s="16" t="str">
        <f>IFERROR(VLOOKUP(DATA!#REF!,DATA!#REF!,1,FALSE),"")</f>
        <v/>
      </c>
      <c r="D5110" s="16" t="str">
        <f>IFERROR(VLOOKUP(C5110,DATA!#REF!,2,FALSE),"")</f>
        <v/>
      </c>
      <c r="I5110" s="17"/>
      <c r="J5110" s="17"/>
      <c r="P5110" s="17"/>
      <c r="Q5110" s="17"/>
    </row>
    <row r="5111" spans="2:17">
      <c r="B5111" s="17"/>
      <c r="C5111" s="16" t="str">
        <f>IFERROR(VLOOKUP(DATA!#REF!,DATA!#REF!,1,FALSE),"")</f>
        <v/>
      </c>
      <c r="D5111" s="16" t="str">
        <f>IFERROR(VLOOKUP(C5111,DATA!#REF!,2,FALSE),"")</f>
        <v/>
      </c>
      <c r="I5111" s="17"/>
      <c r="J5111" s="17"/>
      <c r="P5111" s="17"/>
      <c r="Q5111" s="17"/>
    </row>
    <row r="5112" spans="2:17">
      <c r="B5112" s="17"/>
      <c r="C5112" s="16" t="str">
        <f>IFERROR(VLOOKUP(DATA!#REF!,DATA!#REF!,1,FALSE),"")</f>
        <v/>
      </c>
      <c r="D5112" s="16" t="str">
        <f>IFERROR(VLOOKUP(C5112,DATA!#REF!,2,FALSE),"")</f>
        <v/>
      </c>
      <c r="I5112" s="17"/>
      <c r="J5112" s="17"/>
      <c r="P5112" s="17"/>
      <c r="Q5112" s="17"/>
    </row>
    <row r="5113" spans="2:17">
      <c r="B5113" s="17"/>
      <c r="C5113" s="16" t="str">
        <f>IFERROR(VLOOKUP(DATA!#REF!,DATA!#REF!,1,FALSE),"")</f>
        <v/>
      </c>
      <c r="D5113" s="16" t="str">
        <f>IFERROR(VLOOKUP(C5113,DATA!#REF!,2,FALSE),"")</f>
        <v/>
      </c>
      <c r="I5113" s="17"/>
      <c r="J5113" s="17"/>
      <c r="P5113" s="17"/>
      <c r="Q5113" s="17"/>
    </row>
    <row r="5114" spans="2:17">
      <c r="B5114" s="17"/>
      <c r="C5114" s="16" t="str">
        <f>IFERROR(VLOOKUP(DATA!#REF!,DATA!#REF!,1,FALSE),"")</f>
        <v/>
      </c>
      <c r="D5114" s="16" t="str">
        <f>IFERROR(VLOOKUP(C5114,DATA!#REF!,2,FALSE),"")</f>
        <v/>
      </c>
      <c r="I5114" s="17"/>
      <c r="J5114" s="17"/>
      <c r="P5114" s="17"/>
      <c r="Q5114" s="17"/>
    </row>
    <row r="5115" spans="2:17">
      <c r="B5115" s="17"/>
      <c r="C5115" s="16" t="str">
        <f>IFERROR(VLOOKUP(DATA!#REF!,DATA!#REF!,1,FALSE),"")</f>
        <v/>
      </c>
      <c r="D5115" s="16" t="str">
        <f>IFERROR(VLOOKUP(C5115,DATA!#REF!,2,FALSE),"")</f>
        <v/>
      </c>
      <c r="I5115" s="17"/>
      <c r="J5115" s="17"/>
      <c r="P5115" s="17"/>
      <c r="Q5115" s="17"/>
    </row>
    <row r="5116" spans="2:17">
      <c r="B5116" s="17"/>
      <c r="C5116" s="16" t="str">
        <f>IFERROR(VLOOKUP(DATA!#REF!,DATA!#REF!,1,FALSE),"")</f>
        <v/>
      </c>
      <c r="D5116" s="16" t="str">
        <f>IFERROR(VLOOKUP(C5116,DATA!#REF!,2,FALSE),"")</f>
        <v/>
      </c>
      <c r="I5116" s="17"/>
      <c r="J5116" s="17"/>
      <c r="P5116" s="17"/>
      <c r="Q5116" s="17"/>
    </row>
    <row r="5117" spans="2:17">
      <c r="B5117" s="17"/>
      <c r="C5117" s="16" t="str">
        <f>IFERROR(VLOOKUP(DATA!#REF!,DATA!#REF!,1,FALSE),"")</f>
        <v/>
      </c>
      <c r="D5117" s="16" t="str">
        <f>IFERROR(VLOOKUP(C5117,DATA!#REF!,2,FALSE),"")</f>
        <v/>
      </c>
      <c r="I5117" s="17"/>
      <c r="J5117" s="17"/>
      <c r="P5117" s="17"/>
      <c r="Q5117" s="17"/>
    </row>
    <row r="5118" spans="2:17">
      <c r="B5118" s="17"/>
      <c r="C5118" s="16" t="str">
        <f>IFERROR(VLOOKUP(DATA!#REF!,DATA!#REF!,1,FALSE),"")</f>
        <v/>
      </c>
      <c r="D5118" s="16" t="str">
        <f>IFERROR(VLOOKUP(C5118,DATA!#REF!,2,FALSE),"")</f>
        <v/>
      </c>
      <c r="I5118" s="17"/>
      <c r="J5118" s="17"/>
      <c r="P5118" s="17"/>
      <c r="Q5118" s="17"/>
    </row>
    <row r="5119" spans="2:17">
      <c r="B5119" s="17"/>
      <c r="C5119" s="16" t="str">
        <f>IFERROR(VLOOKUP(DATA!#REF!,DATA!#REF!,1,FALSE),"")</f>
        <v/>
      </c>
      <c r="D5119" s="16" t="str">
        <f>IFERROR(VLOOKUP(C5119,DATA!#REF!,2,FALSE),"")</f>
        <v/>
      </c>
      <c r="I5119" s="17"/>
      <c r="J5119" s="17"/>
      <c r="P5119" s="17"/>
      <c r="Q5119" s="17"/>
    </row>
    <row r="5120" spans="2:17">
      <c r="B5120" s="17"/>
      <c r="C5120" s="16" t="str">
        <f>IFERROR(VLOOKUP(DATA!#REF!,DATA!#REF!,1,FALSE),"")</f>
        <v/>
      </c>
      <c r="D5120" s="16" t="str">
        <f>IFERROR(VLOOKUP(C5120,DATA!#REF!,2,FALSE),"")</f>
        <v/>
      </c>
      <c r="I5120" s="17"/>
      <c r="J5120" s="17"/>
      <c r="P5120" s="17"/>
      <c r="Q5120" s="17"/>
    </row>
    <row r="5121" spans="2:17">
      <c r="B5121" s="17"/>
      <c r="C5121" s="16" t="str">
        <f>IFERROR(VLOOKUP(DATA!#REF!,DATA!#REF!,1,FALSE),"")</f>
        <v/>
      </c>
      <c r="D5121" s="16" t="str">
        <f>IFERROR(VLOOKUP(C5121,DATA!#REF!,2,FALSE),"")</f>
        <v/>
      </c>
      <c r="I5121" s="17"/>
      <c r="J5121" s="17"/>
      <c r="P5121" s="17"/>
      <c r="Q5121" s="17"/>
    </row>
    <row r="5122" spans="2:17">
      <c r="B5122" s="17"/>
      <c r="C5122" s="16" t="str">
        <f>IFERROR(VLOOKUP(DATA!#REF!,DATA!#REF!,1,FALSE),"")</f>
        <v/>
      </c>
      <c r="D5122" s="16" t="str">
        <f>IFERROR(VLOOKUP(C5122,DATA!#REF!,2,FALSE),"")</f>
        <v/>
      </c>
      <c r="I5122" s="17"/>
      <c r="J5122" s="17"/>
      <c r="P5122" s="17"/>
      <c r="Q5122" s="17"/>
    </row>
    <row r="5123" spans="2:17">
      <c r="B5123" s="17"/>
      <c r="C5123" s="16" t="str">
        <f>IFERROR(VLOOKUP(DATA!#REF!,DATA!#REF!,1,FALSE),"")</f>
        <v/>
      </c>
      <c r="D5123" s="16" t="str">
        <f>IFERROR(VLOOKUP(C5123,DATA!#REF!,2,FALSE),"")</f>
        <v/>
      </c>
      <c r="I5123" s="17"/>
      <c r="J5123" s="17"/>
      <c r="P5123" s="17"/>
      <c r="Q5123" s="17"/>
    </row>
    <row r="5124" spans="2:17">
      <c r="B5124" s="17"/>
      <c r="C5124" s="16" t="str">
        <f>IFERROR(VLOOKUP(DATA!#REF!,DATA!#REF!,1,FALSE),"")</f>
        <v/>
      </c>
      <c r="D5124" s="16" t="str">
        <f>IFERROR(VLOOKUP(C5124,DATA!#REF!,2,FALSE),"")</f>
        <v/>
      </c>
      <c r="I5124" s="17"/>
      <c r="J5124" s="17"/>
      <c r="P5124" s="17"/>
      <c r="Q5124" s="17"/>
    </row>
    <row r="5125" spans="2:17">
      <c r="B5125" s="17"/>
      <c r="C5125" s="16" t="str">
        <f>IFERROR(VLOOKUP(DATA!#REF!,DATA!#REF!,1,FALSE),"")</f>
        <v/>
      </c>
      <c r="D5125" s="16" t="str">
        <f>IFERROR(VLOOKUP(C5125,DATA!#REF!,2,FALSE),"")</f>
        <v/>
      </c>
      <c r="I5125" s="17"/>
      <c r="J5125" s="17"/>
      <c r="P5125" s="17"/>
      <c r="Q5125" s="17"/>
    </row>
    <row r="5126" spans="2:17">
      <c r="B5126" s="17"/>
      <c r="C5126" s="16" t="str">
        <f>IFERROR(VLOOKUP(DATA!#REF!,DATA!#REF!,1,FALSE),"")</f>
        <v/>
      </c>
      <c r="D5126" s="16" t="str">
        <f>IFERROR(VLOOKUP(C5126,DATA!#REF!,2,FALSE),"")</f>
        <v/>
      </c>
      <c r="I5126" s="17"/>
      <c r="J5126" s="17"/>
      <c r="P5126" s="17"/>
      <c r="Q5126" s="17"/>
    </row>
    <row r="5127" spans="2:17">
      <c r="B5127" s="17"/>
      <c r="C5127" s="16" t="str">
        <f>IFERROR(VLOOKUP(DATA!#REF!,DATA!#REF!,1,FALSE),"")</f>
        <v/>
      </c>
      <c r="D5127" s="16" t="str">
        <f>IFERROR(VLOOKUP(C5127,DATA!#REF!,2,FALSE),"")</f>
        <v/>
      </c>
      <c r="I5127" s="17"/>
      <c r="J5127" s="17"/>
      <c r="P5127" s="17"/>
      <c r="Q5127" s="17"/>
    </row>
    <row r="5128" spans="2:17">
      <c r="B5128" s="17"/>
      <c r="C5128" s="16" t="str">
        <f>IFERROR(VLOOKUP(DATA!#REF!,DATA!#REF!,1,FALSE),"")</f>
        <v/>
      </c>
      <c r="D5128" s="16" t="str">
        <f>IFERROR(VLOOKUP(C5128,DATA!#REF!,2,FALSE),"")</f>
        <v/>
      </c>
      <c r="I5128" s="17"/>
      <c r="J5128" s="17"/>
      <c r="P5128" s="17"/>
      <c r="Q5128" s="17"/>
    </row>
    <row r="5129" spans="2:17">
      <c r="B5129" s="17"/>
      <c r="C5129" s="16" t="str">
        <f>IFERROR(VLOOKUP(DATA!#REF!,DATA!#REF!,1,FALSE),"")</f>
        <v/>
      </c>
      <c r="D5129" s="16" t="str">
        <f>IFERROR(VLOOKUP(C5129,DATA!#REF!,2,FALSE),"")</f>
        <v/>
      </c>
      <c r="I5129" s="17"/>
      <c r="J5129" s="17"/>
      <c r="P5129" s="17"/>
      <c r="Q5129" s="17"/>
    </row>
    <row r="5130" spans="2:17">
      <c r="B5130" s="17"/>
      <c r="C5130" s="16" t="str">
        <f>IFERROR(VLOOKUP(DATA!#REF!,DATA!#REF!,1,FALSE),"")</f>
        <v/>
      </c>
      <c r="D5130" s="16" t="str">
        <f>IFERROR(VLOOKUP(C5130,DATA!#REF!,2,FALSE),"")</f>
        <v/>
      </c>
      <c r="I5130" s="17"/>
      <c r="J5130" s="17"/>
      <c r="P5130" s="17"/>
      <c r="Q5130" s="17"/>
    </row>
    <row r="5131" spans="2:17">
      <c r="B5131" s="17"/>
      <c r="C5131" s="16" t="str">
        <f>IFERROR(VLOOKUP(DATA!#REF!,DATA!#REF!,1,FALSE),"")</f>
        <v/>
      </c>
      <c r="D5131" s="16" t="str">
        <f>IFERROR(VLOOKUP(C5131,DATA!#REF!,2,FALSE),"")</f>
        <v/>
      </c>
      <c r="I5131" s="17"/>
      <c r="J5131" s="17"/>
      <c r="P5131" s="17"/>
      <c r="Q5131" s="17"/>
    </row>
    <row r="5132" spans="2:17">
      <c r="B5132" s="17"/>
      <c r="C5132" s="16" t="str">
        <f>IFERROR(VLOOKUP(DATA!#REF!,DATA!#REF!,1,FALSE),"")</f>
        <v/>
      </c>
      <c r="D5132" s="16" t="str">
        <f>IFERROR(VLOOKUP(C5132,DATA!#REF!,2,FALSE),"")</f>
        <v/>
      </c>
      <c r="I5132" s="17"/>
      <c r="J5132" s="17"/>
      <c r="P5132" s="17"/>
      <c r="Q5132" s="17"/>
    </row>
    <row r="5133" spans="2:17">
      <c r="B5133" s="17"/>
      <c r="C5133" s="16" t="str">
        <f>IFERROR(VLOOKUP(DATA!#REF!,DATA!#REF!,1,FALSE),"")</f>
        <v/>
      </c>
      <c r="D5133" s="16" t="str">
        <f>IFERROR(VLOOKUP(C5133,DATA!#REF!,2,FALSE),"")</f>
        <v/>
      </c>
      <c r="I5133" s="17"/>
      <c r="J5133" s="17"/>
      <c r="P5133" s="17"/>
      <c r="Q5133" s="17"/>
    </row>
    <row r="5134" spans="2:17">
      <c r="B5134" s="17"/>
      <c r="C5134" s="16" t="str">
        <f>IFERROR(VLOOKUP(DATA!#REF!,DATA!#REF!,1,FALSE),"")</f>
        <v/>
      </c>
      <c r="D5134" s="16" t="str">
        <f>IFERROR(VLOOKUP(C5134,DATA!#REF!,2,FALSE),"")</f>
        <v/>
      </c>
      <c r="I5134" s="17"/>
      <c r="J5134" s="17"/>
      <c r="P5134" s="17"/>
      <c r="Q5134" s="17"/>
    </row>
    <row r="5135" spans="2:17">
      <c r="B5135" s="17"/>
      <c r="C5135" s="16" t="str">
        <f>IFERROR(VLOOKUP(DATA!#REF!,DATA!#REF!,1,FALSE),"")</f>
        <v/>
      </c>
      <c r="D5135" s="16" t="str">
        <f>IFERROR(VLOOKUP(C5135,DATA!#REF!,2,FALSE),"")</f>
        <v/>
      </c>
      <c r="I5135" s="17"/>
      <c r="J5135" s="17"/>
      <c r="P5135" s="17"/>
      <c r="Q5135" s="17"/>
    </row>
    <row r="5136" spans="2:17">
      <c r="B5136" s="17"/>
      <c r="C5136" s="16" t="str">
        <f>IFERROR(VLOOKUP(DATA!#REF!,DATA!#REF!,1,FALSE),"")</f>
        <v/>
      </c>
      <c r="D5136" s="16" t="str">
        <f>IFERROR(VLOOKUP(C5136,DATA!#REF!,2,FALSE),"")</f>
        <v/>
      </c>
      <c r="I5136" s="17"/>
      <c r="J5136" s="17"/>
      <c r="P5136" s="17"/>
      <c r="Q5136" s="17"/>
    </row>
    <row r="5137" spans="2:17">
      <c r="B5137" s="17"/>
      <c r="C5137" s="16" t="str">
        <f>IFERROR(VLOOKUP(DATA!#REF!,DATA!#REF!,1,FALSE),"")</f>
        <v/>
      </c>
      <c r="D5137" s="16" t="str">
        <f>IFERROR(VLOOKUP(C5137,DATA!#REF!,2,FALSE),"")</f>
        <v/>
      </c>
      <c r="I5137" s="17"/>
      <c r="J5137" s="17"/>
      <c r="P5137" s="17"/>
      <c r="Q5137" s="17"/>
    </row>
    <row r="5138" spans="2:17">
      <c r="B5138" s="17"/>
      <c r="C5138" s="16" t="str">
        <f>IFERROR(VLOOKUP(DATA!#REF!,DATA!#REF!,1,FALSE),"")</f>
        <v/>
      </c>
      <c r="D5138" s="16" t="str">
        <f>IFERROR(VLOOKUP(C5138,DATA!#REF!,2,FALSE),"")</f>
        <v/>
      </c>
      <c r="I5138" s="17"/>
      <c r="J5138" s="17"/>
      <c r="P5138" s="17"/>
      <c r="Q5138" s="17"/>
    </row>
    <row r="5139" spans="2:17">
      <c r="B5139" s="17"/>
      <c r="C5139" s="16" t="str">
        <f>IFERROR(VLOOKUP(DATA!#REF!,DATA!#REF!,1,FALSE),"")</f>
        <v/>
      </c>
      <c r="D5139" s="16" t="str">
        <f>IFERROR(VLOOKUP(C5139,DATA!#REF!,2,FALSE),"")</f>
        <v/>
      </c>
      <c r="I5139" s="17"/>
      <c r="J5139" s="17"/>
      <c r="P5139" s="17"/>
      <c r="Q5139" s="17"/>
    </row>
    <row r="5140" spans="2:17">
      <c r="B5140" s="17"/>
      <c r="C5140" s="16" t="str">
        <f>IFERROR(VLOOKUP(DATA!#REF!,DATA!#REF!,1,FALSE),"")</f>
        <v/>
      </c>
      <c r="D5140" s="16" t="str">
        <f>IFERROR(VLOOKUP(C5140,DATA!#REF!,2,FALSE),"")</f>
        <v/>
      </c>
      <c r="I5140" s="17"/>
      <c r="J5140" s="17"/>
      <c r="P5140" s="17"/>
      <c r="Q5140" s="17"/>
    </row>
    <row r="5141" spans="2:17">
      <c r="B5141" s="17"/>
      <c r="C5141" s="16" t="str">
        <f>IFERROR(VLOOKUP(DATA!#REF!,DATA!#REF!,1,FALSE),"")</f>
        <v/>
      </c>
      <c r="D5141" s="16" t="str">
        <f>IFERROR(VLOOKUP(C5141,DATA!#REF!,2,FALSE),"")</f>
        <v/>
      </c>
      <c r="I5141" s="17"/>
      <c r="J5141" s="17"/>
      <c r="P5141" s="17"/>
      <c r="Q5141" s="17"/>
    </row>
    <row r="5142" spans="2:17">
      <c r="B5142" s="17"/>
      <c r="C5142" s="16" t="str">
        <f>IFERROR(VLOOKUP(DATA!#REF!,DATA!#REF!,1,FALSE),"")</f>
        <v/>
      </c>
      <c r="D5142" s="16" t="str">
        <f>IFERROR(VLOOKUP(C5142,DATA!#REF!,2,FALSE),"")</f>
        <v/>
      </c>
      <c r="I5142" s="17"/>
      <c r="J5142" s="17"/>
      <c r="P5142" s="17"/>
      <c r="Q5142" s="17"/>
    </row>
    <row r="5143" spans="2:17">
      <c r="B5143" s="17"/>
      <c r="C5143" s="16" t="str">
        <f>IFERROR(VLOOKUP(DATA!#REF!,DATA!#REF!,1,FALSE),"")</f>
        <v/>
      </c>
      <c r="D5143" s="16" t="str">
        <f>IFERROR(VLOOKUP(C5143,DATA!#REF!,2,FALSE),"")</f>
        <v/>
      </c>
      <c r="I5143" s="17"/>
      <c r="J5143" s="17"/>
      <c r="P5143" s="17"/>
      <c r="Q5143" s="17"/>
    </row>
    <row r="5144" spans="2:17">
      <c r="B5144" s="17"/>
      <c r="C5144" s="16" t="str">
        <f>IFERROR(VLOOKUP(DATA!#REF!,DATA!#REF!,1,FALSE),"")</f>
        <v/>
      </c>
      <c r="D5144" s="16" t="str">
        <f>IFERROR(VLOOKUP(C5144,DATA!#REF!,2,FALSE),"")</f>
        <v/>
      </c>
      <c r="I5144" s="17"/>
      <c r="J5144" s="17"/>
      <c r="P5144" s="17"/>
      <c r="Q5144" s="17"/>
    </row>
    <row r="5145" spans="2:17">
      <c r="B5145" s="17"/>
      <c r="C5145" s="16" t="str">
        <f>IFERROR(VLOOKUP(DATA!#REF!,DATA!#REF!,1,FALSE),"")</f>
        <v/>
      </c>
      <c r="D5145" s="16" t="str">
        <f>IFERROR(VLOOKUP(C5145,DATA!#REF!,2,FALSE),"")</f>
        <v/>
      </c>
      <c r="I5145" s="17"/>
      <c r="J5145" s="17"/>
      <c r="P5145" s="17"/>
      <c r="Q5145" s="17"/>
    </row>
    <row r="5146" spans="2:17">
      <c r="B5146" s="17"/>
      <c r="C5146" s="16" t="str">
        <f>IFERROR(VLOOKUP(DATA!#REF!,DATA!#REF!,1,FALSE),"")</f>
        <v/>
      </c>
      <c r="D5146" s="16" t="str">
        <f>IFERROR(VLOOKUP(C5146,DATA!#REF!,2,FALSE),"")</f>
        <v/>
      </c>
      <c r="I5146" s="17"/>
      <c r="J5146" s="17"/>
      <c r="P5146" s="17"/>
      <c r="Q5146" s="17"/>
    </row>
    <row r="5147" spans="2:17">
      <c r="B5147" s="17"/>
      <c r="C5147" s="16" t="str">
        <f>IFERROR(VLOOKUP(DATA!#REF!,DATA!#REF!,1,FALSE),"")</f>
        <v/>
      </c>
      <c r="D5147" s="16" t="str">
        <f>IFERROR(VLOOKUP(C5147,DATA!#REF!,2,FALSE),"")</f>
        <v/>
      </c>
      <c r="I5147" s="17"/>
      <c r="J5147" s="17"/>
      <c r="P5147" s="17"/>
      <c r="Q5147" s="17"/>
    </row>
    <row r="5148" spans="2:17">
      <c r="B5148" s="17"/>
      <c r="C5148" s="16" t="str">
        <f>IFERROR(VLOOKUP(DATA!#REF!,DATA!#REF!,1,FALSE),"")</f>
        <v/>
      </c>
      <c r="D5148" s="16" t="str">
        <f>IFERROR(VLOOKUP(C5148,DATA!#REF!,2,FALSE),"")</f>
        <v/>
      </c>
      <c r="I5148" s="17"/>
      <c r="J5148" s="17"/>
      <c r="P5148" s="17"/>
      <c r="Q5148" s="17"/>
    </row>
    <row r="5149" spans="2:17">
      <c r="B5149" s="17"/>
      <c r="C5149" s="16" t="str">
        <f>IFERROR(VLOOKUP(DATA!#REF!,DATA!#REF!,1,FALSE),"")</f>
        <v/>
      </c>
      <c r="D5149" s="16" t="str">
        <f>IFERROR(VLOOKUP(C5149,DATA!#REF!,2,FALSE),"")</f>
        <v/>
      </c>
      <c r="I5149" s="17"/>
      <c r="J5149" s="17"/>
      <c r="P5149" s="17"/>
      <c r="Q5149" s="17"/>
    </row>
    <row r="5150" spans="2:17">
      <c r="B5150" s="17"/>
      <c r="C5150" s="16" t="str">
        <f>IFERROR(VLOOKUP(DATA!#REF!,DATA!#REF!,1,FALSE),"")</f>
        <v/>
      </c>
      <c r="D5150" s="16" t="str">
        <f>IFERROR(VLOOKUP(C5150,DATA!#REF!,2,FALSE),"")</f>
        <v/>
      </c>
      <c r="I5150" s="17"/>
      <c r="J5150" s="17"/>
      <c r="P5150" s="17"/>
      <c r="Q5150" s="17"/>
    </row>
    <row r="5151" spans="2:17">
      <c r="B5151" s="17"/>
      <c r="C5151" s="16" t="str">
        <f>IFERROR(VLOOKUP(DATA!#REF!,DATA!#REF!,1,FALSE),"")</f>
        <v/>
      </c>
      <c r="D5151" s="16" t="str">
        <f>IFERROR(VLOOKUP(C5151,DATA!#REF!,2,FALSE),"")</f>
        <v/>
      </c>
      <c r="I5151" s="17"/>
      <c r="J5151" s="17"/>
      <c r="P5151" s="17"/>
      <c r="Q5151" s="17"/>
    </row>
    <row r="5152" spans="2:17">
      <c r="B5152" s="17"/>
      <c r="C5152" s="16" t="str">
        <f>IFERROR(VLOOKUP(DATA!#REF!,DATA!#REF!,1,FALSE),"")</f>
        <v/>
      </c>
      <c r="D5152" s="16" t="str">
        <f>IFERROR(VLOOKUP(C5152,DATA!#REF!,2,FALSE),"")</f>
        <v/>
      </c>
      <c r="I5152" s="17"/>
      <c r="J5152" s="17"/>
      <c r="P5152" s="17"/>
      <c r="Q5152" s="17"/>
    </row>
    <row r="5153" spans="2:17">
      <c r="B5153" s="17"/>
      <c r="C5153" s="16" t="str">
        <f>IFERROR(VLOOKUP(DATA!#REF!,DATA!#REF!,1,FALSE),"")</f>
        <v/>
      </c>
      <c r="D5153" s="16" t="str">
        <f>IFERROR(VLOOKUP(C5153,DATA!#REF!,2,FALSE),"")</f>
        <v/>
      </c>
      <c r="I5153" s="17"/>
      <c r="J5153" s="17"/>
      <c r="P5153" s="17"/>
      <c r="Q5153" s="17"/>
    </row>
    <row r="5154" spans="2:17">
      <c r="B5154" s="17"/>
      <c r="C5154" s="16" t="str">
        <f>IFERROR(VLOOKUP(DATA!#REF!,DATA!#REF!,1,FALSE),"")</f>
        <v/>
      </c>
      <c r="D5154" s="16" t="str">
        <f>IFERROR(VLOOKUP(C5154,DATA!#REF!,2,FALSE),"")</f>
        <v/>
      </c>
      <c r="I5154" s="17"/>
      <c r="J5154" s="17"/>
      <c r="P5154" s="17"/>
      <c r="Q5154" s="17"/>
    </row>
    <row r="5155" spans="2:17">
      <c r="B5155" s="17"/>
      <c r="C5155" s="16" t="str">
        <f>IFERROR(VLOOKUP(DATA!#REF!,DATA!#REF!,1,FALSE),"")</f>
        <v/>
      </c>
      <c r="D5155" s="16" t="str">
        <f>IFERROR(VLOOKUP(C5155,DATA!#REF!,2,FALSE),"")</f>
        <v/>
      </c>
      <c r="I5155" s="17"/>
      <c r="J5155" s="17"/>
      <c r="P5155" s="17"/>
      <c r="Q5155" s="17"/>
    </row>
    <row r="5156" spans="2:17">
      <c r="B5156" s="17"/>
      <c r="C5156" s="16" t="str">
        <f>IFERROR(VLOOKUP(DATA!#REF!,DATA!#REF!,1,FALSE),"")</f>
        <v/>
      </c>
      <c r="D5156" s="16" t="str">
        <f>IFERROR(VLOOKUP(C5156,DATA!#REF!,2,FALSE),"")</f>
        <v/>
      </c>
      <c r="I5156" s="17"/>
      <c r="J5156" s="17"/>
      <c r="P5156" s="17"/>
      <c r="Q5156" s="17"/>
    </row>
    <row r="5157" spans="2:17">
      <c r="B5157" s="17"/>
      <c r="C5157" s="16" t="str">
        <f>IFERROR(VLOOKUP(DATA!#REF!,DATA!#REF!,1,FALSE),"")</f>
        <v/>
      </c>
      <c r="D5157" s="16" t="str">
        <f>IFERROR(VLOOKUP(C5157,DATA!#REF!,2,FALSE),"")</f>
        <v/>
      </c>
      <c r="I5157" s="17"/>
      <c r="J5157" s="17"/>
      <c r="P5157" s="17"/>
      <c r="Q5157" s="17"/>
    </row>
    <row r="5158" spans="2:17">
      <c r="B5158" s="17"/>
      <c r="C5158" s="16" t="str">
        <f>IFERROR(VLOOKUP(DATA!#REF!,DATA!#REF!,1,FALSE),"")</f>
        <v/>
      </c>
      <c r="D5158" s="16" t="str">
        <f>IFERROR(VLOOKUP(C5158,DATA!#REF!,2,FALSE),"")</f>
        <v/>
      </c>
      <c r="I5158" s="17"/>
      <c r="J5158" s="17"/>
      <c r="P5158" s="17"/>
      <c r="Q5158" s="17"/>
    </row>
    <row r="5159" spans="2:17">
      <c r="B5159" s="17"/>
      <c r="C5159" s="16" t="str">
        <f>IFERROR(VLOOKUP(DATA!#REF!,DATA!#REF!,1,FALSE),"")</f>
        <v/>
      </c>
      <c r="D5159" s="16" t="str">
        <f>IFERROR(VLOOKUP(C5159,DATA!#REF!,2,FALSE),"")</f>
        <v/>
      </c>
      <c r="I5159" s="17"/>
      <c r="J5159" s="17"/>
      <c r="P5159" s="17"/>
      <c r="Q5159" s="17"/>
    </row>
    <row r="5160" spans="2:17">
      <c r="B5160" s="17"/>
      <c r="C5160" s="16" t="str">
        <f>IFERROR(VLOOKUP(DATA!#REF!,DATA!#REF!,1,FALSE),"")</f>
        <v/>
      </c>
      <c r="D5160" s="16" t="str">
        <f>IFERROR(VLOOKUP(C5160,DATA!#REF!,2,FALSE),"")</f>
        <v/>
      </c>
      <c r="I5160" s="17"/>
      <c r="J5160" s="17"/>
      <c r="P5160" s="17"/>
      <c r="Q5160" s="17"/>
    </row>
    <row r="5161" spans="2:17">
      <c r="B5161" s="17"/>
      <c r="C5161" s="16" t="str">
        <f>IFERROR(VLOOKUP(DATA!#REF!,DATA!#REF!,1,FALSE),"")</f>
        <v/>
      </c>
      <c r="D5161" s="16" t="str">
        <f>IFERROR(VLOOKUP(C5161,DATA!#REF!,2,FALSE),"")</f>
        <v/>
      </c>
      <c r="I5161" s="17"/>
      <c r="J5161" s="17"/>
      <c r="P5161" s="17"/>
      <c r="Q5161" s="17"/>
    </row>
    <row r="5162" spans="2:17">
      <c r="B5162" s="17"/>
      <c r="C5162" s="16" t="str">
        <f>IFERROR(VLOOKUP(DATA!#REF!,DATA!#REF!,1,FALSE),"")</f>
        <v/>
      </c>
      <c r="D5162" s="16" t="str">
        <f>IFERROR(VLOOKUP(C5162,DATA!#REF!,2,FALSE),"")</f>
        <v/>
      </c>
      <c r="I5162" s="17"/>
      <c r="J5162" s="17"/>
      <c r="P5162" s="17"/>
      <c r="Q5162" s="17"/>
    </row>
    <row r="5163" spans="2:17">
      <c r="B5163" s="17"/>
      <c r="C5163" s="16" t="str">
        <f>IFERROR(VLOOKUP(DATA!#REF!,DATA!#REF!,1,FALSE),"")</f>
        <v/>
      </c>
      <c r="D5163" s="16" t="str">
        <f>IFERROR(VLOOKUP(C5163,DATA!#REF!,2,FALSE),"")</f>
        <v/>
      </c>
      <c r="I5163" s="17"/>
      <c r="J5163" s="17"/>
      <c r="P5163" s="17"/>
      <c r="Q5163" s="17"/>
    </row>
    <row r="5164" spans="2:17">
      <c r="B5164" s="17"/>
      <c r="C5164" s="16" t="str">
        <f>IFERROR(VLOOKUP(DATA!#REF!,DATA!#REF!,1,FALSE),"")</f>
        <v/>
      </c>
      <c r="D5164" s="16" t="str">
        <f>IFERROR(VLOOKUP(C5164,DATA!#REF!,2,FALSE),"")</f>
        <v/>
      </c>
      <c r="I5164" s="17"/>
      <c r="J5164" s="17"/>
      <c r="P5164" s="17"/>
      <c r="Q5164" s="17"/>
    </row>
    <row r="5165" spans="2:17">
      <c r="B5165" s="17"/>
      <c r="C5165" s="16" t="str">
        <f>IFERROR(VLOOKUP(DATA!#REF!,DATA!#REF!,1,FALSE),"")</f>
        <v/>
      </c>
      <c r="D5165" s="16" t="str">
        <f>IFERROR(VLOOKUP(C5165,DATA!#REF!,2,FALSE),"")</f>
        <v/>
      </c>
      <c r="I5165" s="17"/>
      <c r="J5165" s="17"/>
      <c r="P5165" s="17"/>
      <c r="Q5165" s="17"/>
    </row>
    <row r="5166" spans="2:17">
      <c r="B5166" s="17"/>
      <c r="C5166" s="16" t="str">
        <f>IFERROR(VLOOKUP(DATA!#REF!,DATA!#REF!,1,FALSE),"")</f>
        <v/>
      </c>
      <c r="D5166" s="16" t="str">
        <f>IFERROR(VLOOKUP(C5166,DATA!#REF!,2,FALSE),"")</f>
        <v/>
      </c>
      <c r="I5166" s="17"/>
      <c r="J5166" s="17"/>
      <c r="P5166" s="17"/>
      <c r="Q5166" s="17"/>
    </row>
    <row r="5167" spans="2:17">
      <c r="B5167" s="17"/>
      <c r="C5167" s="16" t="str">
        <f>IFERROR(VLOOKUP(DATA!#REF!,DATA!#REF!,1,FALSE),"")</f>
        <v/>
      </c>
      <c r="D5167" s="16" t="str">
        <f>IFERROR(VLOOKUP(C5167,DATA!#REF!,2,FALSE),"")</f>
        <v/>
      </c>
      <c r="I5167" s="17"/>
      <c r="J5167" s="17"/>
      <c r="P5167" s="17"/>
      <c r="Q5167" s="17"/>
    </row>
    <row r="5168" spans="2:17">
      <c r="B5168" s="17"/>
      <c r="C5168" s="16" t="str">
        <f>IFERROR(VLOOKUP(DATA!#REF!,DATA!#REF!,1,FALSE),"")</f>
        <v/>
      </c>
      <c r="D5168" s="16" t="str">
        <f>IFERROR(VLOOKUP(C5168,DATA!#REF!,2,FALSE),"")</f>
        <v/>
      </c>
      <c r="I5168" s="17"/>
      <c r="J5168" s="17"/>
      <c r="P5168" s="17"/>
      <c r="Q5168" s="17"/>
    </row>
    <row r="5169" spans="2:17">
      <c r="B5169" s="17"/>
      <c r="C5169" s="16" t="str">
        <f>IFERROR(VLOOKUP(DATA!#REF!,DATA!#REF!,1,FALSE),"")</f>
        <v/>
      </c>
      <c r="D5169" s="16" t="str">
        <f>IFERROR(VLOOKUP(C5169,DATA!#REF!,2,FALSE),"")</f>
        <v/>
      </c>
      <c r="I5169" s="17"/>
      <c r="J5169" s="17"/>
      <c r="P5169" s="17"/>
      <c r="Q5169" s="17"/>
    </row>
    <row r="5170" spans="2:17">
      <c r="B5170" s="17"/>
      <c r="C5170" s="16" t="str">
        <f>IFERROR(VLOOKUP(DATA!#REF!,DATA!#REF!,1,FALSE),"")</f>
        <v/>
      </c>
      <c r="D5170" s="16" t="str">
        <f>IFERROR(VLOOKUP(C5170,DATA!#REF!,2,FALSE),"")</f>
        <v/>
      </c>
      <c r="I5170" s="17"/>
      <c r="J5170" s="17"/>
      <c r="P5170" s="17"/>
      <c r="Q5170" s="17"/>
    </row>
    <row r="5171" spans="2:17">
      <c r="B5171" s="17"/>
      <c r="C5171" s="16" t="str">
        <f>IFERROR(VLOOKUP(DATA!#REF!,DATA!#REF!,1,FALSE),"")</f>
        <v/>
      </c>
      <c r="D5171" s="16" t="str">
        <f>IFERROR(VLOOKUP(C5171,DATA!#REF!,2,FALSE),"")</f>
        <v/>
      </c>
      <c r="I5171" s="17"/>
      <c r="J5171" s="17"/>
      <c r="P5171" s="17"/>
      <c r="Q5171" s="17"/>
    </row>
    <row r="5172" spans="2:17">
      <c r="B5172" s="17"/>
      <c r="C5172" s="16" t="str">
        <f>IFERROR(VLOOKUP(DATA!#REF!,DATA!#REF!,1,FALSE),"")</f>
        <v/>
      </c>
      <c r="D5172" s="16" t="str">
        <f>IFERROR(VLOOKUP(C5172,DATA!#REF!,2,FALSE),"")</f>
        <v/>
      </c>
      <c r="I5172" s="17"/>
      <c r="J5172" s="17"/>
      <c r="P5172" s="17"/>
      <c r="Q5172" s="17"/>
    </row>
    <row r="5173" spans="2:17">
      <c r="B5173" s="17"/>
      <c r="C5173" s="16" t="str">
        <f>IFERROR(VLOOKUP(DATA!#REF!,DATA!#REF!,1,FALSE),"")</f>
        <v/>
      </c>
      <c r="D5173" s="16" t="str">
        <f>IFERROR(VLOOKUP(C5173,DATA!#REF!,2,FALSE),"")</f>
        <v/>
      </c>
      <c r="I5173" s="17"/>
      <c r="J5173" s="17"/>
      <c r="P5173" s="17"/>
      <c r="Q5173" s="17"/>
    </row>
    <row r="5174" spans="2:17">
      <c r="B5174" s="17"/>
      <c r="C5174" s="16" t="str">
        <f>IFERROR(VLOOKUP(DATA!#REF!,DATA!#REF!,1,FALSE),"")</f>
        <v/>
      </c>
      <c r="D5174" s="16" t="str">
        <f>IFERROR(VLOOKUP(C5174,DATA!#REF!,2,FALSE),"")</f>
        <v/>
      </c>
      <c r="I5174" s="17"/>
      <c r="J5174" s="17"/>
      <c r="P5174" s="17"/>
      <c r="Q5174" s="17"/>
    </row>
    <row r="5175" spans="2:17">
      <c r="B5175" s="17"/>
      <c r="C5175" s="16" t="str">
        <f>IFERROR(VLOOKUP(DATA!#REF!,DATA!#REF!,1,FALSE),"")</f>
        <v/>
      </c>
      <c r="D5175" s="16" t="str">
        <f>IFERROR(VLOOKUP(C5175,DATA!#REF!,2,FALSE),"")</f>
        <v/>
      </c>
      <c r="I5175" s="17"/>
      <c r="J5175" s="17"/>
      <c r="P5175" s="17"/>
      <c r="Q5175" s="17"/>
    </row>
    <row r="5176" spans="2:17">
      <c r="B5176" s="17"/>
      <c r="C5176" s="16" t="str">
        <f>IFERROR(VLOOKUP(DATA!#REF!,DATA!#REF!,1,FALSE),"")</f>
        <v/>
      </c>
      <c r="D5176" s="16" t="str">
        <f>IFERROR(VLOOKUP(C5176,DATA!#REF!,2,FALSE),"")</f>
        <v/>
      </c>
      <c r="I5176" s="17"/>
      <c r="J5176" s="17"/>
      <c r="P5176" s="17"/>
      <c r="Q5176" s="17"/>
    </row>
    <row r="5177" spans="2:17">
      <c r="B5177" s="17"/>
      <c r="C5177" s="16" t="str">
        <f>IFERROR(VLOOKUP(DATA!#REF!,DATA!#REF!,1,FALSE),"")</f>
        <v/>
      </c>
      <c r="D5177" s="16" t="str">
        <f>IFERROR(VLOOKUP(C5177,DATA!#REF!,2,FALSE),"")</f>
        <v/>
      </c>
      <c r="I5177" s="17"/>
      <c r="J5177" s="17"/>
      <c r="P5177" s="17"/>
      <c r="Q5177" s="17"/>
    </row>
    <row r="5178" spans="2:17">
      <c r="B5178" s="17"/>
      <c r="C5178" s="16" t="str">
        <f>IFERROR(VLOOKUP(DATA!#REF!,DATA!#REF!,1,FALSE),"")</f>
        <v/>
      </c>
      <c r="D5178" s="16" t="str">
        <f>IFERROR(VLOOKUP(C5178,DATA!#REF!,2,FALSE),"")</f>
        <v/>
      </c>
      <c r="I5178" s="17"/>
      <c r="J5178" s="17"/>
      <c r="P5178" s="17"/>
      <c r="Q5178" s="17"/>
    </row>
    <row r="5179" spans="2:17">
      <c r="B5179" s="17"/>
      <c r="C5179" s="16" t="str">
        <f>IFERROR(VLOOKUP(DATA!#REF!,DATA!#REF!,1,FALSE),"")</f>
        <v/>
      </c>
      <c r="D5179" s="16" t="str">
        <f>IFERROR(VLOOKUP(C5179,DATA!#REF!,2,FALSE),"")</f>
        <v/>
      </c>
      <c r="I5179" s="17"/>
      <c r="J5179" s="17"/>
      <c r="P5179" s="17"/>
      <c r="Q5179" s="17"/>
    </row>
    <row r="5180" spans="2:17">
      <c r="B5180" s="17"/>
      <c r="C5180" s="16" t="str">
        <f>IFERROR(VLOOKUP(DATA!#REF!,DATA!#REF!,1,FALSE),"")</f>
        <v/>
      </c>
      <c r="D5180" s="16" t="str">
        <f>IFERROR(VLOOKUP(C5180,DATA!#REF!,2,FALSE),"")</f>
        <v/>
      </c>
      <c r="I5180" s="17"/>
      <c r="J5180" s="17"/>
      <c r="P5180" s="17"/>
      <c r="Q5180" s="17"/>
    </row>
    <row r="5181" spans="2:17">
      <c r="B5181" s="17"/>
      <c r="C5181" s="16" t="str">
        <f>IFERROR(VLOOKUP(DATA!#REF!,DATA!#REF!,1,FALSE),"")</f>
        <v/>
      </c>
      <c r="D5181" s="16" t="str">
        <f>IFERROR(VLOOKUP(C5181,DATA!#REF!,2,FALSE),"")</f>
        <v/>
      </c>
      <c r="I5181" s="17"/>
      <c r="J5181" s="17"/>
      <c r="P5181" s="17"/>
      <c r="Q5181" s="17"/>
    </row>
    <row r="5182" spans="2:17">
      <c r="B5182" s="17"/>
      <c r="C5182" s="16" t="str">
        <f>IFERROR(VLOOKUP(DATA!#REF!,DATA!#REF!,1,FALSE),"")</f>
        <v/>
      </c>
      <c r="D5182" s="16" t="str">
        <f>IFERROR(VLOOKUP(C5182,DATA!#REF!,2,FALSE),"")</f>
        <v/>
      </c>
      <c r="I5182" s="17"/>
      <c r="J5182" s="17"/>
      <c r="P5182" s="17"/>
      <c r="Q5182" s="17"/>
    </row>
    <row r="5183" spans="2:17">
      <c r="B5183" s="17"/>
      <c r="C5183" s="16" t="str">
        <f>IFERROR(VLOOKUP(DATA!#REF!,DATA!#REF!,1,FALSE),"")</f>
        <v/>
      </c>
      <c r="D5183" s="16" t="str">
        <f>IFERROR(VLOOKUP(C5183,DATA!#REF!,2,FALSE),"")</f>
        <v/>
      </c>
      <c r="I5183" s="17"/>
      <c r="J5183" s="17"/>
      <c r="P5183" s="17"/>
      <c r="Q5183" s="17"/>
    </row>
    <row r="5184" spans="2:17">
      <c r="B5184" s="17"/>
      <c r="C5184" s="16" t="str">
        <f>IFERROR(VLOOKUP(DATA!#REF!,DATA!#REF!,1,FALSE),"")</f>
        <v/>
      </c>
      <c r="D5184" s="16" t="str">
        <f>IFERROR(VLOOKUP(C5184,DATA!#REF!,2,FALSE),"")</f>
        <v/>
      </c>
      <c r="I5184" s="17"/>
      <c r="J5184" s="17"/>
      <c r="P5184" s="17"/>
      <c r="Q5184" s="17"/>
    </row>
    <row r="5185" spans="2:17">
      <c r="B5185" s="17"/>
      <c r="C5185" s="16" t="str">
        <f>IFERROR(VLOOKUP(DATA!#REF!,DATA!#REF!,1,FALSE),"")</f>
        <v/>
      </c>
      <c r="D5185" s="16" t="str">
        <f>IFERROR(VLOOKUP(C5185,DATA!#REF!,2,FALSE),"")</f>
        <v/>
      </c>
      <c r="I5185" s="17"/>
      <c r="J5185" s="17"/>
      <c r="P5185" s="17"/>
      <c r="Q5185" s="17"/>
    </row>
    <row r="5186" spans="2:17">
      <c r="B5186" s="17"/>
      <c r="C5186" s="16" t="str">
        <f>IFERROR(VLOOKUP(DATA!#REF!,DATA!#REF!,1,FALSE),"")</f>
        <v/>
      </c>
      <c r="D5186" s="16" t="str">
        <f>IFERROR(VLOOKUP(C5186,DATA!#REF!,2,FALSE),"")</f>
        <v/>
      </c>
      <c r="I5186" s="17"/>
      <c r="J5186" s="17"/>
      <c r="P5186" s="17"/>
      <c r="Q5186" s="17"/>
    </row>
    <row r="5187" spans="2:17">
      <c r="B5187" s="17"/>
      <c r="C5187" s="16" t="str">
        <f>IFERROR(VLOOKUP(DATA!#REF!,DATA!#REF!,1,FALSE),"")</f>
        <v/>
      </c>
      <c r="D5187" s="16" t="str">
        <f>IFERROR(VLOOKUP(C5187,DATA!#REF!,2,FALSE),"")</f>
        <v/>
      </c>
      <c r="I5187" s="17"/>
      <c r="J5187" s="17"/>
      <c r="P5187" s="17"/>
      <c r="Q5187" s="17"/>
    </row>
    <row r="5188" spans="2:17">
      <c r="B5188" s="17"/>
      <c r="C5188" s="16" t="str">
        <f>IFERROR(VLOOKUP(DATA!#REF!,DATA!#REF!,1,FALSE),"")</f>
        <v/>
      </c>
      <c r="D5188" s="16" t="str">
        <f>IFERROR(VLOOKUP(C5188,DATA!#REF!,2,FALSE),"")</f>
        <v/>
      </c>
      <c r="I5188" s="17"/>
      <c r="J5188" s="17"/>
      <c r="P5188" s="17"/>
      <c r="Q5188" s="17"/>
    </row>
    <row r="5189" spans="2:17">
      <c r="B5189" s="17"/>
      <c r="C5189" s="16" t="str">
        <f>IFERROR(VLOOKUP(DATA!#REF!,DATA!#REF!,1,FALSE),"")</f>
        <v/>
      </c>
      <c r="D5189" s="16" t="str">
        <f>IFERROR(VLOOKUP(C5189,DATA!#REF!,2,FALSE),"")</f>
        <v/>
      </c>
      <c r="I5189" s="17"/>
      <c r="J5189" s="17"/>
      <c r="P5189" s="17"/>
      <c r="Q5189" s="17"/>
    </row>
    <row r="5190" spans="2:17">
      <c r="B5190" s="17"/>
      <c r="C5190" s="16" t="str">
        <f>IFERROR(VLOOKUP(DATA!#REF!,DATA!#REF!,1,FALSE),"")</f>
        <v/>
      </c>
      <c r="D5190" s="16" t="str">
        <f>IFERROR(VLOOKUP(C5190,DATA!#REF!,2,FALSE),"")</f>
        <v/>
      </c>
      <c r="I5190" s="17"/>
      <c r="J5190" s="17"/>
      <c r="P5190" s="17"/>
      <c r="Q5190" s="17"/>
    </row>
    <row r="5191" spans="2:17">
      <c r="B5191" s="17"/>
      <c r="C5191" s="16" t="str">
        <f>IFERROR(VLOOKUP(DATA!#REF!,DATA!#REF!,1,FALSE),"")</f>
        <v/>
      </c>
      <c r="D5191" s="16" t="str">
        <f>IFERROR(VLOOKUP(C5191,DATA!#REF!,2,FALSE),"")</f>
        <v/>
      </c>
      <c r="I5191" s="17"/>
      <c r="J5191" s="17"/>
      <c r="P5191" s="17"/>
      <c r="Q5191" s="17"/>
    </row>
    <row r="5192" spans="2:17">
      <c r="B5192" s="17"/>
      <c r="C5192" s="16" t="str">
        <f>IFERROR(VLOOKUP(DATA!#REF!,DATA!#REF!,1,FALSE),"")</f>
        <v/>
      </c>
      <c r="D5192" s="16" t="str">
        <f>IFERROR(VLOOKUP(C5192,DATA!#REF!,2,FALSE),"")</f>
        <v/>
      </c>
      <c r="I5192" s="17"/>
      <c r="J5192" s="17"/>
      <c r="P5192" s="17"/>
      <c r="Q5192" s="17"/>
    </row>
    <row r="5193" spans="2:17">
      <c r="B5193" s="17"/>
      <c r="C5193" s="16" t="str">
        <f>IFERROR(VLOOKUP(DATA!#REF!,DATA!#REF!,1,FALSE),"")</f>
        <v/>
      </c>
      <c r="D5193" s="16" t="str">
        <f>IFERROR(VLOOKUP(C5193,DATA!#REF!,2,FALSE),"")</f>
        <v/>
      </c>
      <c r="I5193" s="17"/>
      <c r="J5193" s="17"/>
      <c r="P5193" s="17"/>
      <c r="Q5193" s="17"/>
    </row>
    <row r="5194" spans="2:17">
      <c r="B5194" s="17"/>
      <c r="C5194" s="16" t="str">
        <f>IFERROR(VLOOKUP(DATA!#REF!,DATA!#REF!,1,FALSE),"")</f>
        <v/>
      </c>
      <c r="D5194" s="16" t="str">
        <f>IFERROR(VLOOKUP(C5194,DATA!#REF!,2,FALSE),"")</f>
        <v/>
      </c>
      <c r="I5194" s="17"/>
      <c r="J5194" s="17"/>
      <c r="P5194" s="17"/>
      <c r="Q5194" s="17"/>
    </row>
    <row r="5195" spans="2:17">
      <c r="B5195" s="17"/>
      <c r="C5195" s="16" t="str">
        <f>IFERROR(VLOOKUP(DATA!#REF!,DATA!#REF!,1,FALSE),"")</f>
        <v/>
      </c>
      <c r="D5195" s="16" t="str">
        <f>IFERROR(VLOOKUP(C5195,DATA!#REF!,2,FALSE),"")</f>
        <v/>
      </c>
      <c r="I5195" s="17"/>
      <c r="J5195" s="17"/>
      <c r="P5195" s="17"/>
      <c r="Q5195" s="17"/>
    </row>
    <row r="5196" spans="2:17">
      <c r="B5196" s="17"/>
      <c r="C5196" s="16" t="str">
        <f>IFERROR(VLOOKUP(DATA!#REF!,DATA!#REF!,1,FALSE),"")</f>
        <v/>
      </c>
      <c r="D5196" s="16" t="str">
        <f>IFERROR(VLOOKUP(C5196,DATA!#REF!,2,FALSE),"")</f>
        <v/>
      </c>
      <c r="I5196" s="17"/>
      <c r="J5196" s="17"/>
      <c r="P5196" s="17"/>
      <c r="Q5196" s="17"/>
    </row>
    <row r="5197" spans="2:17">
      <c r="B5197" s="17"/>
      <c r="C5197" s="16" t="str">
        <f>IFERROR(VLOOKUP(DATA!#REF!,DATA!#REF!,1,FALSE),"")</f>
        <v/>
      </c>
      <c r="D5197" s="16" t="str">
        <f>IFERROR(VLOOKUP(C5197,DATA!#REF!,2,FALSE),"")</f>
        <v/>
      </c>
      <c r="I5197" s="17"/>
      <c r="J5197" s="17"/>
      <c r="P5197" s="17"/>
      <c r="Q5197" s="17"/>
    </row>
    <row r="5198" spans="2:17">
      <c r="B5198" s="17"/>
      <c r="C5198" s="16" t="str">
        <f>IFERROR(VLOOKUP(DATA!#REF!,DATA!#REF!,1,FALSE),"")</f>
        <v/>
      </c>
      <c r="D5198" s="16" t="str">
        <f>IFERROR(VLOOKUP(C5198,DATA!#REF!,2,FALSE),"")</f>
        <v/>
      </c>
      <c r="I5198" s="17"/>
      <c r="J5198" s="17"/>
      <c r="P5198" s="17"/>
      <c r="Q5198" s="17"/>
    </row>
    <row r="5199" spans="2:17">
      <c r="B5199" s="17"/>
      <c r="C5199" s="16" t="str">
        <f>IFERROR(VLOOKUP(DATA!#REF!,DATA!#REF!,1,FALSE),"")</f>
        <v/>
      </c>
      <c r="D5199" s="16" t="str">
        <f>IFERROR(VLOOKUP(C5199,DATA!#REF!,2,FALSE),"")</f>
        <v/>
      </c>
      <c r="I5199" s="17"/>
      <c r="J5199" s="17"/>
      <c r="P5199" s="17"/>
      <c r="Q5199" s="17"/>
    </row>
    <row r="5200" spans="2:17">
      <c r="B5200" s="17"/>
      <c r="C5200" s="16" t="str">
        <f>IFERROR(VLOOKUP(DATA!#REF!,DATA!#REF!,1,FALSE),"")</f>
        <v/>
      </c>
      <c r="D5200" s="16" t="str">
        <f>IFERROR(VLOOKUP(C5200,DATA!#REF!,2,FALSE),"")</f>
        <v/>
      </c>
      <c r="I5200" s="17"/>
      <c r="J5200" s="17"/>
      <c r="P5200" s="17"/>
      <c r="Q5200" s="17"/>
    </row>
    <row r="5201" spans="2:17">
      <c r="B5201" s="17"/>
      <c r="C5201" s="16" t="str">
        <f>IFERROR(VLOOKUP(DATA!#REF!,DATA!#REF!,1,FALSE),"")</f>
        <v/>
      </c>
      <c r="D5201" s="16" t="str">
        <f>IFERROR(VLOOKUP(C5201,DATA!#REF!,2,FALSE),"")</f>
        <v/>
      </c>
      <c r="I5201" s="17"/>
      <c r="J5201" s="17"/>
      <c r="P5201" s="17"/>
      <c r="Q5201" s="17"/>
    </row>
    <row r="5202" spans="2:17">
      <c r="B5202" s="17"/>
      <c r="C5202" s="16" t="str">
        <f>IFERROR(VLOOKUP(DATA!#REF!,DATA!#REF!,1,FALSE),"")</f>
        <v/>
      </c>
      <c r="D5202" s="16" t="str">
        <f>IFERROR(VLOOKUP(C5202,DATA!#REF!,2,FALSE),"")</f>
        <v/>
      </c>
      <c r="I5202" s="17"/>
      <c r="J5202" s="17"/>
      <c r="P5202" s="17"/>
      <c r="Q5202" s="17"/>
    </row>
    <row r="5203" spans="2:17">
      <c r="B5203" s="17"/>
      <c r="C5203" s="16" t="str">
        <f>IFERROR(VLOOKUP(DATA!#REF!,DATA!#REF!,1,FALSE),"")</f>
        <v/>
      </c>
      <c r="D5203" s="16" t="str">
        <f>IFERROR(VLOOKUP(C5203,DATA!#REF!,2,FALSE),"")</f>
        <v/>
      </c>
      <c r="I5203" s="17"/>
      <c r="J5203" s="17"/>
      <c r="P5203" s="17"/>
      <c r="Q5203" s="17"/>
    </row>
    <row r="5204" spans="2:17">
      <c r="B5204" s="17"/>
      <c r="C5204" s="16" t="str">
        <f>IFERROR(VLOOKUP(DATA!#REF!,DATA!#REF!,1,FALSE),"")</f>
        <v/>
      </c>
      <c r="D5204" s="16" t="str">
        <f>IFERROR(VLOOKUP(C5204,DATA!#REF!,2,FALSE),"")</f>
        <v/>
      </c>
      <c r="I5204" s="17"/>
      <c r="J5204" s="17"/>
      <c r="P5204" s="17"/>
      <c r="Q5204" s="17"/>
    </row>
    <row r="5205" spans="2:17">
      <c r="B5205" s="17"/>
      <c r="C5205" s="16" t="str">
        <f>IFERROR(VLOOKUP(DATA!#REF!,DATA!#REF!,1,FALSE),"")</f>
        <v/>
      </c>
      <c r="D5205" s="16" t="str">
        <f>IFERROR(VLOOKUP(C5205,DATA!#REF!,2,FALSE),"")</f>
        <v/>
      </c>
      <c r="I5205" s="17"/>
      <c r="J5205" s="17"/>
      <c r="P5205" s="17"/>
      <c r="Q5205" s="17"/>
    </row>
    <row r="5206" spans="2:17">
      <c r="B5206" s="17"/>
      <c r="C5206" s="16" t="str">
        <f>IFERROR(VLOOKUP(DATA!#REF!,DATA!#REF!,1,FALSE),"")</f>
        <v/>
      </c>
      <c r="D5206" s="16" t="str">
        <f>IFERROR(VLOOKUP(C5206,DATA!#REF!,2,FALSE),"")</f>
        <v/>
      </c>
      <c r="I5206" s="17"/>
      <c r="J5206" s="17"/>
      <c r="P5206" s="17"/>
      <c r="Q5206" s="17"/>
    </row>
    <row r="5207" spans="2:17">
      <c r="B5207" s="17"/>
      <c r="C5207" s="16" t="str">
        <f>IFERROR(VLOOKUP(DATA!#REF!,DATA!#REF!,1,FALSE),"")</f>
        <v/>
      </c>
      <c r="D5207" s="16" t="str">
        <f>IFERROR(VLOOKUP(C5207,DATA!#REF!,2,FALSE),"")</f>
        <v/>
      </c>
      <c r="I5207" s="17"/>
      <c r="J5207" s="17"/>
      <c r="P5207" s="17"/>
      <c r="Q5207" s="17"/>
    </row>
    <row r="5208" spans="2:17">
      <c r="B5208" s="17"/>
      <c r="C5208" s="16" t="str">
        <f>IFERROR(VLOOKUP(DATA!#REF!,DATA!#REF!,1,FALSE),"")</f>
        <v/>
      </c>
      <c r="D5208" s="16" t="str">
        <f>IFERROR(VLOOKUP(C5208,DATA!#REF!,2,FALSE),"")</f>
        <v/>
      </c>
      <c r="I5208" s="17"/>
      <c r="J5208" s="17"/>
      <c r="P5208" s="17"/>
      <c r="Q5208" s="17"/>
    </row>
    <row r="5209" spans="2:17">
      <c r="B5209" s="17"/>
      <c r="C5209" s="16" t="str">
        <f>IFERROR(VLOOKUP(DATA!#REF!,DATA!#REF!,1,FALSE),"")</f>
        <v/>
      </c>
      <c r="D5209" s="16" t="str">
        <f>IFERROR(VLOOKUP(C5209,DATA!#REF!,2,FALSE),"")</f>
        <v/>
      </c>
      <c r="I5209" s="17"/>
      <c r="J5209" s="17"/>
      <c r="P5209" s="17"/>
      <c r="Q5209" s="17"/>
    </row>
    <row r="5210" spans="2:17">
      <c r="B5210" s="17"/>
      <c r="C5210" s="16" t="str">
        <f>IFERROR(VLOOKUP(DATA!#REF!,DATA!#REF!,1,FALSE),"")</f>
        <v/>
      </c>
      <c r="D5210" s="16" t="str">
        <f>IFERROR(VLOOKUP(C5210,DATA!#REF!,2,FALSE),"")</f>
        <v/>
      </c>
      <c r="I5210" s="17"/>
      <c r="J5210" s="17"/>
      <c r="P5210" s="17"/>
      <c r="Q5210" s="17"/>
    </row>
    <row r="5211" spans="2:17">
      <c r="B5211" s="17"/>
      <c r="C5211" s="16" t="str">
        <f>IFERROR(VLOOKUP(DATA!#REF!,DATA!#REF!,1,FALSE),"")</f>
        <v/>
      </c>
      <c r="D5211" s="16" t="str">
        <f>IFERROR(VLOOKUP(C5211,DATA!#REF!,2,FALSE),"")</f>
        <v/>
      </c>
      <c r="I5211" s="17"/>
      <c r="J5211" s="17"/>
      <c r="P5211" s="17"/>
      <c r="Q5211" s="17"/>
    </row>
    <row r="5212" spans="2:17">
      <c r="B5212" s="17"/>
      <c r="C5212" s="16" t="str">
        <f>IFERROR(VLOOKUP(DATA!#REF!,DATA!#REF!,1,FALSE),"")</f>
        <v/>
      </c>
      <c r="D5212" s="16" t="str">
        <f>IFERROR(VLOOKUP(C5212,DATA!#REF!,2,FALSE),"")</f>
        <v/>
      </c>
      <c r="I5212" s="17"/>
      <c r="J5212" s="17"/>
      <c r="P5212" s="17"/>
      <c r="Q5212" s="17"/>
    </row>
    <row r="5213" spans="2:17">
      <c r="B5213" s="17"/>
      <c r="C5213" s="16" t="str">
        <f>IFERROR(VLOOKUP(DATA!#REF!,DATA!#REF!,1,FALSE),"")</f>
        <v/>
      </c>
      <c r="D5213" s="16" t="str">
        <f>IFERROR(VLOOKUP(C5213,DATA!#REF!,2,FALSE),"")</f>
        <v/>
      </c>
      <c r="I5213" s="17"/>
      <c r="J5213" s="17"/>
      <c r="P5213" s="17"/>
      <c r="Q5213" s="17"/>
    </row>
    <row r="5214" spans="2:17">
      <c r="B5214" s="17"/>
      <c r="C5214" s="16" t="str">
        <f>IFERROR(VLOOKUP(DATA!#REF!,DATA!#REF!,1,FALSE),"")</f>
        <v/>
      </c>
      <c r="D5214" s="16" t="str">
        <f>IFERROR(VLOOKUP(C5214,DATA!#REF!,2,FALSE),"")</f>
        <v/>
      </c>
      <c r="I5214" s="17"/>
      <c r="J5214" s="17"/>
      <c r="P5214" s="17"/>
      <c r="Q5214" s="17"/>
    </row>
    <row r="5215" spans="2:17">
      <c r="B5215" s="17"/>
      <c r="C5215" s="16" t="str">
        <f>IFERROR(VLOOKUP(DATA!#REF!,DATA!#REF!,1,FALSE),"")</f>
        <v/>
      </c>
      <c r="D5215" s="16" t="str">
        <f>IFERROR(VLOOKUP(C5215,DATA!#REF!,2,FALSE),"")</f>
        <v/>
      </c>
      <c r="I5215" s="17"/>
      <c r="J5215" s="17"/>
      <c r="P5215" s="17"/>
      <c r="Q5215" s="17"/>
    </row>
    <row r="5216" spans="2:17">
      <c r="B5216" s="17"/>
      <c r="C5216" s="16" t="str">
        <f>IFERROR(VLOOKUP(DATA!#REF!,DATA!#REF!,1,FALSE),"")</f>
        <v/>
      </c>
      <c r="D5216" s="16" t="str">
        <f>IFERROR(VLOOKUP(C5216,DATA!#REF!,2,FALSE),"")</f>
        <v/>
      </c>
      <c r="I5216" s="17"/>
      <c r="J5216" s="17"/>
      <c r="P5216" s="17"/>
      <c r="Q5216" s="17"/>
    </row>
    <row r="5217" spans="2:17">
      <c r="B5217" s="17"/>
      <c r="C5217" s="16" t="str">
        <f>IFERROR(VLOOKUP(DATA!#REF!,DATA!#REF!,1,FALSE),"")</f>
        <v/>
      </c>
      <c r="D5217" s="16" t="str">
        <f>IFERROR(VLOOKUP(C5217,DATA!#REF!,2,FALSE),"")</f>
        <v/>
      </c>
      <c r="I5217" s="17"/>
      <c r="J5217" s="17"/>
      <c r="P5217" s="17"/>
      <c r="Q5217" s="17"/>
    </row>
    <row r="5218" spans="2:17">
      <c r="B5218" s="17"/>
      <c r="C5218" s="16" t="str">
        <f>IFERROR(VLOOKUP(DATA!#REF!,DATA!#REF!,1,FALSE),"")</f>
        <v/>
      </c>
      <c r="D5218" s="16" t="str">
        <f>IFERROR(VLOOKUP(C5218,DATA!#REF!,2,FALSE),"")</f>
        <v/>
      </c>
      <c r="I5218" s="17"/>
      <c r="J5218" s="17"/>
      <c r="P5218" s="17"/>
      <c r="Q5218" s="17"/>
    </row>
    <row r="5219" spans="2:17">
      <c r="B5219" s="17"/>
      <c r="C5219" s="16" t="str">
        <f>IFERROR(VLOOKUP(DATA!#REF!,DATA!#REF!,1,FALSE),"")</f>
        <v/>
      </c>
      <c r="D5219" s="16" t="str">
        <f>IFERROR(VLOOKUP(C5219,DATA!#REF!,2,FALSE),"")</f>
        <v/>
      </c>
      <c r="I5219" s="17"/>
      <c r="J5219" s="17"/>
      <c r="P5219" s="17"/>
      <c r="Q5219" s="17"/>
    </row>
    <row r="5220" spans="2:17">
      <c r="B5220" s="17"/>
      <c r="C5220" s="16" t="str">
        <f>IFERROR(VLOOKUP(DATA!#REF!,DATA!#REF!,1,FALSE),"")</f>
        <v/>
      </c>
      <c r="D5220" s="16" t="str">
        <f>IFERROR(VLOOKUP(C5220,DATA!#REF!,2,FALSE),"")</f>
        <v/>
      </c>
      <c r="I5220" s="17"/>
      <c r="J5220" s="17"/>
      <c r="P5220" s="17"/>
      <c r="Q5220" s="17"/>
    </row>
    <row r="5221" spans="2:17">
      <c r="B5221" s="17"/>
      <c r="C5221" s="16" t="str">
        <f>IFERROR(VLOOKUP(DATA!#REF!,DATA!#REF!,1,FALSE),"")</f>
        <v/>
      </c>
      <c r="D5221" s="16" t="str">
        <f>IFERROR(VLOOKUP(C5221,DATA!#REF!,2,FALSE),"")</f>
        <v/>
      </c>
      <c r="I5221" s="17"/>
      <c r="J5221" s="17"/>
      <c r="P5221" s="17"/>
      <c r="Q5221" s="17"/>
    </row>
    <row r="5222" spans="2:17">
      <c r="B5222" s="17"/>
      <c r="C5222" s="16" t="str">
        <f>IFERROR(VLOOKUP(DATA!#REF!,DATA!#REF!,1,FALSE),"")</f>
        <v/>
      </c>
      <c r="D5222" s="16" t="str">
        <f>IFERROR(VLOOKUP(C5222,DATA!#REF!,2,FALSE),"")</f>
        <v/>
      </c>
      <c r="I5222" s="17"/>
      <c r="J5222" s="17"/>
      <c r="P5222" s="17"/>
      <c r="Q5222" s="17"/>
    </row>
    <row r="5223" spans="2:17">
      <c r="B5223" s="17"/>
      <c r="C5223" s="16" t="str">
        <f>IFERROR(VLOOKUP(DATA!#REF!,DATA!#REF!,1,FALSE),"")</f>
        <v/>
      </c>
      <c r="D5223" s="16" t="str">
        <f>IFERROR(VLOOKUP(C5223,DATA!#REF!,2,FALSE),"")</f>
        <v/>
      </c>
      <c r="I5223" s="17"/>
      <c r="J5223" s="17"/>
      <c r="P5223" s="17"/>
      <c r="Q5223" s="17"/>
    </row>
    <row r="5224" spans="2:17">
      <c r="B5224" s="17"/>
      <c r="C5224" s="16" t="str">
        <f>IFERROR(VLOOKUP(DATA!#REF!,DATA!#REF!,1,FALSE),"")</f>
        <v/>
      </c>
      <c r="D5224" s="16" t="str">
        <f>IFERROR(VLOOKUP(C5224,DATA!#REF!,2,FALSE),"")</f>
        <v/>
      </c>
      <c r="I5224" s="17"/>
      <c r="J5224" s="17"/>
      <c r="P5224" s="17"/>
      <c r="Q5224" s="17"/>
    </row>
    <row r="5225" spans="2:17">
      <c r="B5225" s="17"/>
      <c r="C5225" s="16" t="str">
        <f>IFERROR(VLOOKUP(DATA!#REF!,DATA!#REF!,1,FALSE),"")</f>
        <v/>
      </c>
      <c r="D5225" s="16" t="str">
        <f>IFERROR(VLOOKUP(C5225,DATA!#REF!,2,FALSE),"")</f>
        <v/>
      </c>
      <c r="I5225" s="17"/>
      <c r="J5225" s="17"/>
      <c r="P5225" s="17"/>
      <c r="Q5225" s="17"/>
    </row>
    <row r="5226" spans="2:17">
      <c r="B5226" s="17"/>
      <c r="C5226" s="16" t="str">
        <f>IFERROR(VLOOKUP(DATA!#REF!,DATA!#REF!,1,FALSE),"")</f>
        <v/>
      </c>
      <c r="D5226" s="16" t="str">
        <f>IFERROR(VLOOKUP(C5226,DATA!#REF!,2,FALSE),"")</f>
        <v/>
      </c>
      <c r="I5226" s="17"/>
      <c r="J5226" s="17"/>
      <c r="P5226" s="17"/>
      <c r="Q5226" s="17"/>
    </row>
    <row r="5227" spans="2:17">
      <c r="B5227" s="17"/>
      <c r="C5227" s="16" t="str">
        <f>IFERROR(VLOOKUP(DATA!#REF!,DATA!#REF!,1,FALSE),"")</f>
        <v/>
      </c>
      <c r="D5227" s="16" t="str">
        <f>IFERROR(VLOOKUP(C5227,DATA!#REF!,2,FALSE),"")</f>
        <v/>
      </c>
      <c r="I5227" s="17"/>
      <c r="J5227" s="17"/>
      <c r="P5227" s="17"/>
      <c r="Q5227" s="17"/>
    </row>
    <row r="5228" spans="2:17">
      <c r="B5228" s="17"/>
      <c r="C5228" s="16" t="str">
        <f>IFERROR(VLOOKUP(DATA!#REF!,DATA!#REF!,1,FALSE),"")</f>
        <v/>
      </c>
      <c r="D5228" s="16" t="str">
        <f>IFERROR(VLOOKUP(C5228,DATA!#REF!,2,FALSE),"")</f>
        <v/>
      </c>
      <c r="I5228" s="17"/>
      <c r="J5228" s="17"/>
      <c r="P5228" s="17"/>
      <c r="Q5228" s="17"/>
    </row>
    <row r="5229" spans="2:17">
      <c r="B5229" s="17"/>
      <c r="C5229" s="16" t="str">
        <f>IFERROR(VLOOKUP(DATA!#REF!,DATA!#REF!,1,FALSE),"")</f>
        <v/>
      </c>
      <c r="D5229" s="16" t="str">
        <f>IFERROR(VLOOKUP(C5229,DATA!#REF!,2,FALSE),"")</f>
        <v/>
      </c>
      <c r="I5229" s="17"/>
      <c r="J5229" s="17"/>
      <c r="P5229" s="17"/>
      <c r="Q5229" s="17"/>
    </row>
    <row r="5230" spans="2:17">
      <c r="B5230" s="17"/>
      <c r="C5230" s="16" t="str">
        <f>IFERROR(VLOOKUP(DATA!#REF!,DATA!#REF!,1,FALSE),"")</f>
        <v/>
      </c>
      <c r="D5230" s="16" t="str">
        <f>IFERROR(VLOOKUP(C5230,DATA!#REF!,2,FALSE),"")</f>
        <v/>
      </c>
      <c r="I5230" s="17"/>
      <c r="J5230" s="17"/>
      <c r="P5230" s="17"/>
      <c r="Q5230" s="17"/>
    </row>
    <row r="5231" spans="2:17">
      <c r="B5231" s="17"/>
      <c r="C5231" s="16" t="str">
        <f>IFERROR(VLOOKUP(DATA!#REF!,DATA!#REF!,1,FALSE),"")</f>
        <v/>
      </c>
      <c r="D5231" s="16" t="str">
        <f>IFERROR(VLOOKUP(C5231,DATA!#REF!,2,FALSE),"")</f>
        <v/>
      </c>
      <c r="I5231" s="17"/>
      <c r="J5231" s="17"/>
      <c r="P5231" s="17"/>
      <c r="Q5231" s="17"/>
    </row>
    <row r="5232" spans="2:17">
      <c r="B5232" s="17"/>
      <c r="C5232" s="16" t="str">
        <f>IFERROR(VLOOKUP(DATA!#REF!,DATA!#REF!,1,FALSE),"")</f>
        <v/>
      </c>
      <c r="D5232" s="16" t="str">
        <f>IFERROR(VLOOKUP(C5232,DATA!#REF!,2,FALSE),"")</f>
        <v/>
      </c>
      <c r="I5232" s="17"/>
      <c r="J5232" s="17"/>
      <c r="P5232" s="17"/>
      <c r="Q5232" s="17"/>
    </row>
    <row r="5233" spans="2:17">
      <c r="B5233" s="17"/>
      <c r="C5233" s="16" t="str">
        <f>IFERROR(VLOOKUP(DATA!#REF!,DATA!#REF!,1,FALSE),"")</f>
        <v/>
      </c>
      <c r="D5233" s="16" t="str">
        <f>IFERROR(VLOOKUP(C5233,DATA!#REF!,2,FALSE),"")</f>
        <v/>
      </c>
      <c r="I5233" s="17"/>
      <c r="J5233" s="17"/>
      <c r="P5233" s="17"/>
      <c r="Q5233" s="17"/>
    </row>
    <row r="5234" spans="2:17">
      <c r="B5234" s="17"/>
      <c r="C5234" s="16" t="str">
        <f>IFERROR(VLOOKUP(DATA!#REF!,DATA!#REF!,1,FALSE),"")</f>
        <v/>
      </c>
      <c r="D5234" s="16" t="str">
        <f>IFERROR(VLOOKUP(C5234,DATA!#REF!,2,FALSE),"")</f>
        <v/>
      </c>
      <c r="I5234" s="17"/>
      <c r="J5234" s="17"/>
      <c r="P5234" s="17"/>
      <c r="Q5234" s="17"/>
    </row>
    <row r="5235" spans="2:17">
      <c r="B5235" s="17"/>
      <c r="C5235" s="16" t="str">
        <f>IFERROR(VLOOKUP(DATA!#REF!,DATA!#REF!,1,FALSE),"")</f>
        <v/>
      </c>
      <c r="D5235" s="16" t="str">
        <f>IFERROR(VLOOKUP(C5235,DATA!#REF!,2,FALSE),"")</f>
        <v/>
      </c>
      <c r="I5235" s="17"/>
      <c r="J5235" s="17"/>
      <c r="P5235" s="17"/>
      <c r="Q5235" s="17"/>
    </row>
    <row r="5236" spans="2:17">
      <c r="B5236" s="17"/>
      <c r="C5236" s="16" t="str">
        <f>IFERROR(VLOOKUP(DATA!#REF!,DATA!#REF!,1,FALSE),"")</f>
        <v/>
      </c>
      <c r="D5236" s="16" t="str">
        <f>IFERROR(VLOOKUP(C5236,DATA!#REF!,2,FALSE),"")</f>
        <v/>
      </c>
      <c r="I5236" s="17"/>
      <c r="J5236" s="17"/>
      <c r="P5236" s="17"/>
      <c r="Q5236" s="17"/>
    </row>
    <row r="5237" spans="2:17">
      <c r="B5237" s="17"/>
      <c r="C5237" s="16" t="str">
        <f>IFERROR(VLOOKUP(DATA!#REF!,DATA!#REF!,1,FALSE),"")</f>
        <v/>
      </c>
      <c r="D5237" s="16" t="str">
        <f>IFERROR(VLOOKUP(C5237,DATA!#REF!,2,FALSE),"")</f>
        <v/>
      </c>
      <c r="I5237" s="17"/>
      <c r="J5237" s="17"/>
      <c r="P5237" s="17"/>
      <c r="Q5237" s="17"/>
    </row>
    <row r="5238" spans="2:17">
      <c r="B5238" s="17"/>
      <c r="C5238" s="16" t="str">
        <f>IFERROR(VLOOKUP(DATA!#REF!,DATA!#REF!,1,FALSE),"")</f>
        <v/>
      </c>
      <c r="D5238" s="16" t="str">
        <f>IFERROR(VLOOKUP(C5238,DATA!#REF!,2,FALSE),"")</f>
        <v/>
      </c>
      <c r="I5238" s="17"/>
      <c r="J5238" s="17"/>
      <c r="P5238" s="17"/>
      <c r="Q5238" s="17"/>
    </row>
    <row r="5239" spans="2:17">
      <c r="B5239" s="17"/>
      <c r="C5239" s="16" t="str">
        <f>IFERROR(VLOOKUP(DATA!#REF!,DATA!#REF!,1,FALSE),"")</f>
        <v/>
      </c>
      <c r="D5239" s="16" t="str">
        <f>IFERROR(VLOOKUP(C5239,DATA!#REF!,2,FALSE),"")</f>
        <v/>
      </c>
      <c r="I5239" s="17"/>
      <c r="J5239" s="17"/>
      <c r="P5239" s="17"/>
      <c r="Q5239" s="17"/>
    </row>
    <row r="5240" spans="2:17">
      <c r="B5240" s="17"/>
      <c r="C5240" s="16" t="str">
        <f>IFERROR(VLOOKUP(DATA!#REF!,DATA!#REF!,1,FALSE),"")</f>
        <v/>
      </c>
      <c r="D5240" s="16" t="str">
        <f>IFERROR(VLOOKUP(C5240,DATA!#REF!,2,FALSE),"")</f>
        <v/>
      </c>
      <c r="I5240" s="17"/>
      <c r="J5240" s="17"/>
      <c r="P5240" s="17"/>
      <c r="Q5240" s="17"/>
    </row>
    <row r="5241" spans="2:17">
      <c r="B5241" s="17"/>
      <c r="C5241" s="16" t="str">
        <f>IFERROR(VLOOKUP(DATA!#REF!,DATA!#REF!,1,FALSE),"")</f>
        <v/>
      </c>
      <c r="D5241" s="16" t="str">
        <f>IFERROR(VLOOKUP(C5241,DATA!#REF!,2,FALSE),"")</f>
        <v/>
      </c>
      <c r="I5241" s="17"/>
      <c r="J5241" s="17"/>
      <c r="P5241" s="17"/>
      <c r="Q5241" s="17"/>
    </row>
    <row r="5242" spans="2:17">
      <c r="B5242" s="17"/>
      <c r="C5242" s="16" t="str">
        <f>IFERROR(VLOOKUP(DATA!#REF!,DATA!#REF!,1,FALSE),"")</f>
        <v/>
      </c>
      <c r="D5242" s="16" t="str">
        <f>IFERROR(VLOOKUP(C5242,DATA!#REF!,2,FALSE),"")</f>
        <v/>
      </c>
      <c r="I5242" s="17"/>
      <c r="J5242" s="17"/>
      <c r="P5242" s="17"/>
      <c r="Q5242" s="17"/>
    </row>
    <row r="5243" spans="2:17">
      <c r="B5243" s="17"/>
      <c r="C5243" s="16" t="str">
        <f>IFERROR(VLOOKUP(DATA!#REF!,DATA!#REF!,1,FALSE),"")</f>
        <v/>
      </c>
      <c r="D5243" s="16" t="str">
        <f>IFERROR(VLOOKUP(C5243,DATA!#REF!,2,FALSE),"")</f>
        <v/>
      </c>
      <c r="I5243" s="17"/>
      <c r="J5243" s="17"/>
      <c r="P5243" s="17"/>
      <c r="Q5243" s="17"/>
    </row>
    <row r="5244" spans="2:17">
      <c r="B5244" s="17"/>
      <c r="C5244" s="16" t="str">
        <f>IFERROR(VLOOKUP(DATA!#REF!,DATA!#REF!,1,FALSE),"")</f>
        <v/>
      </c>
      <c r="D5244" s="16" t="str">
        <f>IFERROR(VLOOKUP(C5244,DATA!#REF!,2,FALSE),"")</f>
        <v/>
      </c>
      <c r="I5244" s="17"/>
      <c r="J5244" s="17"/>
      <c r="P5244" s="17"/>
      <c r="Q5244" s="17"/>
    </row>
    <row r="5245" spans="2:17">
      <c r="B5245" s="17"/>
      <c r="C5245" s="16" t="str">
        <f>IFERROR(VLOOKUP(DATA!#REF!,DATA!#REF!,1,FALSE),"")</f>
        <v/>
      </c>
      <c r="D5245" s="16" t="str">
        <f>IFERROR(VLOOKUP(C5245,DATA!#REF!,2,FALSE),"")</f>
        <v/>
      </c>
      <c r="I5245" s="17"/>
      <c r="J5245" s="17"/>
      <c r="P5245" s="17"/>
      <c r="Q5245" s="17"/>
    </row>
    <row r="5246" spans="2:17">
      <c r="B5246" s="17"/>
      <c r="C5246" s="16" t="str">
        <f>IFERROR(VLOOKUP(DATA!#REF!,DATA!#REF!,1,FALSE),"")</f>
        <v/>
      </c>
      <c r="D5246" s="16" t="str">
        <f>IFERROR(VLOOKUP(C5246,DATA!#REF!,2,FALSE),"")</f>
        <v/>
      </c>
      <c r="I5246" s="17"/>
      <c r="J5246" s="17"/>
      <c r="P5246" s="17"/>
      <c r="Q5246" s="17"/>
    </row>
    <row r="5247" spans="2:17">
      <c r="B5247" s="17"/>
      <c r="C5247" s="16" t="str">
        <f>IFERROR(VLOOKUP(DATA!#REF!,DATA!#REF!,1,FALSE),"")</f>
        <v/>
      </c>
      <c r="D5247" s="16" t="str">
        <f>IFERROR(VLOOKUP(C5247,DATA!#REF!,2,FALSE),"")</f>
        <v/>
      </c>
      <c r="I5247" s="17"/>
      <c r="J5247" s="17"/>
      <c r="P5247" s="17"/>
      <c r="Q5247" s="17"/>
    </row>
    <row r="5248" spans="2:17">
      <c r="B5248" s="17"/>
      <c r="C5248" s="16" t="str">
        <f>IFERROR(VLOOKUP(DATA!#REF!,DATA!#REF!,1,FALSE),"")</f>
        <v/>
      </c>
      <c r="D5248" s="16" t="str">
        <f>IFERROR(VLOOKUP(C5248,DATA!#REF!,2,FALSE),"")</f>
        <v/>
      </c>
      <c r="I5248" s="17"/>
      <c r="J5248" s="17"/>
      <c r="P5248" s="17"/>
      <c r="Q5248" s="17"/>
    </row>
    <row r="5249" spans="2:17">
      <c r="B5249" s="17"/>
      <c r="C5249" s="16" t="str">
        <f>IFERROR(VLOOKUP(DATA!#REF!,DATA!#REF!,1,FALSE),"")</f>
        <v/>
      </c>
      <c r="D5249" s="16" t="str">
        <f>IFERROR(VLOOKUP(C5249,DATA!#REF!,2,FALSE),"")</f>
        <v/>
      </c>
      <c r="I5249" s="17"/>
      <c r="J5249" s="17"/>
      <c r="P5249" s="17"/>
      <c r="Q5249" s="17"/>
    </row>
    <row r="5250" spans="2:17">
      <c r="B5250" s="17"/>
      <c r="C5250" s="16" t="str">
        <f>IFERROR(VLOOKUP(DATA!#REF!,DATA!#REF!,1,FALSE),"")</f>
        <v/>
      </c>
      <c r="D5250" s="16" t="str">
        <f>IFERROR(VLOOKUP(C5250,DATA!#REF!,2,FALSE),"")</f>
        <v/>
      </c>
      <c r="I5250" s="17"/>
      <c r="J5250" s="17"/>
      <c r="P5250" s="17"/>
      <c r="Q5250" s="17"/>
    </row>
    <row r="5251" spans="2:17">
      <c r="B5251" s="17"/>
      <c r="C5251" s="16" t="str">
        <f>IFERROR(VLOOKUP(DATA!#REF!,DATA!#REF!,1,FALSE),"")</f>
        <v/>
      </c>
      <c r="D5251" s="16" t="str">
        <f>IFERROR(VLOOKUP(C5251,DATA!#REF!,2,FALSE),"")</f>
        <v/>
      </c>
      <c r="I5251" s="17"/>
      <c r="J5251" s="17"/>
      <c r="P5251" s="17"/>
      <c r="Q5251" s="17"/>
    </row>
    <row r="5252" spans="2:17">
      <c r="B5252" s="17"/>
      <c r="C5252" s="16" t="str">
        <f>IFERROR(VLOOKUP(DATA!#REF!,DATA!#REF!,1,FALSE),"")</f>
        <v/>
      </c>
      <c r="D5252" s="16" t="str">
        <f>IFERROR(VLOOKUP(C5252,DATA!#REF!,2,FALSE),"")</f>
        <v/>
      </c>
      <c r="I5252" s="17"/>
      <c r="J5252" s="17"/>
      <c r="P5252" s="17"/>
      <c r="Q5252" s="17"/>
    </row>
    <row r="5253" spans="2:17">
      <c r="B5253" s="17"/>
      <c r="C5253" s="16" t="str">
        <f>IFERROR(VLOOKUP(DATA!#REF!,DATA!#REF!,1,FALSE),"")</f>
        <v/>
      </c>
      <c r="D5253" s="16" t="str">
        <f>IFERROR(VLOOKUP(C5253,DATA!#REF!,2,FALSE),"")</f>
        <v/>
      </c>
      <c r="I5253" s="17"/>
      <c r="J5253" s="17"/>
      <c r="P5253" s="17"/>
      <c r="Q5253" s="17"/>
    </row>
    <row r="5254" spans="2:17">
      <c r="B5254" s="17"/>
      <c r="C5254" s="16" t="str">
        <f>IFERROR(VLOOKUP(DATA!#REF!,DATA!#REF!,1,FALSE),"")</f>
        <v/>
      </c>
      <c r="D5254" s="16" t="str">
        <f>IFERROR(VLOOKUP(C5254,DATA!#REF!,2,FALSE),"")</f>
        <v/>
      </c>
      <c r="I5254" s="17"/>
      <c r="J5254" s="17"/>
      <c r="P5254" s="17"/>
      <c r="Q5254" s="17"/>
    </row>
    <row r="5255" spans="2:17">
      <c r="B5255" s="17"/>
      <c r="C5255" s="16" t="str">
        <f>IFERROR(VLOOKUP(DATA!#REF!,DATA!#REF!,1,FALSE),"")</f>
        <v/>
      </c>
      <c r="D5255" s="16" t="str">
        <f>IFERROR(VLOOKUP(C5255,DATA!#REF!,2,FALSE),"")</f>
        <v/>
      </c>
      <c r="I5255" s="17"/>
      <c r="J5255" s="17"/>
      <c r="P5255" s="17"/>
      <c r="Q5255" s="17"/>
    </row>
    <row r="5256" spans="2:17">
      <c r="B5256" s="17"/>
      <c r="C5256" s="16" t="str">
        <f>IFERROR(VLOOKUP(DATA!#REF!,DATA!#REF!,1,FALSE),"")</f>
        <v/>
      </c>
      <c r="D5256" s="16" t="str">
        <f>IFERROR(VLOOKUP(C5256,DATA!#REF!,2,FALSE),"")</f>
        <v/>
      </c>
      <c r="I5256" s="17"/>
      <c r="J5256" s="17"/>
      <c r="P5256" s="17"/>
      <c r="Q5256" s="17"/>
    </row>
    <row r="5257" spans="2:17">
      <c r="B5257" s="17"/>
      <c r="C5257" s="16" t="str">
        <f>IFERROR(VLOOKUP(DATA!#REF!,DATA!#REF!,1,FALSE),"")</f>
        <v/>
      </c>
      <c r="D5257" s="16" t="str">
        <f>IFERROR(VLOOKUP(C5257,DATA!#REF!,2,FALSE),"")</f>
        <v/>
      </c>
      <c r="I5257" s="17"/>
      <c r="J5257" s="17"/>
      <c r="P5257" s="17"/>
      <c r="Q5257" s="17"/>
    </row>
    <row r="5258" spans="2:17">
      <c r="B5258" s="17"/>
      <c r="C5258" s="16" t="str">
        <f>IFERROR(VLOOKUP(DATA!#REF!,DATA!#REF!,1,FALSE),"")</f>
        <v/>
      </c>
      <c r="D5258" s="16" t="str">
        <f>IFERROR(VLOOKUP(C5258,DATA!#REF!,2,FALSE),"")</f>
        <v/>
      </c>
      <c r="I5258" s="17"/>
      <c r="J5258" s="17"/>
      <c r="P5258" s="17"/>
      <c r="Q5258" s="17"/>
    </row>
    <row r="5259" spans="2:17">
      <c r="B5259" s="17"/>
      <c r="C5259" s="16" t="str">
        <f>IFERROR(VLOOKUP(DATA!#REF!,DATA!#REF!,1,FALSE),"")</f>
        <v/>
      </c>
      <c r="D5259" s="16" t="str">
        <f>IFERROR(VLOOKUP(C5259,DATA!#REF!,2,FALSE),"")</f>
        <v/>
      </c>
      <c r="I5259" s="17"/>
      <c r="J5259" s="17"/>
      <c r="P5259" s="17"/>
      <c r="Q5259" s="17"/>
    </row>
    <row r="5260" spans="2:17">
      <c r="B5260" s="17"/>
      <c r="C5260" s="16" t="str">
        <f>IFERROR(VLOOKUP(DATA!#REF!,DATA!#REF!,1,FALSE),"")</f>
        <v/>
      </c>
      <c r="D5260" s="16" t="str">
        <f>IFERROR(VLOOKUP(C5260,DATA!#REF!,2,FALSE),"")</f>
        <v/>
      </c>
      <c r="I5260" s="17"/>
      <c r="J5260" s="17"/>
      <c r="P5260" s="17"/>
      <c r="Q5260" s="17"/>
    </row>
    <row r="5261" spans="2:17">
      <c r="B5261" s="17"/>
      <c r="C5261" s="16" t="str">
        <f>IFERROR(VLOOKUP(DATA!#REF!,DATA!#REF!,1,FALSE),"")</f>
        <v/>
      </c>
      <c r="D5261" s="16" t="str">
        <f>IFERROR(VLOOKUP(C5261,DATA!#REF!,2,FALSE),"")</f>
        <v/>
      </c>
      <c r="I5261" s="17"/>
      <c r="J5261" s="17"/>
      <c r="P5261" s="17"/>
      <c r="Q5261" s="17"/>
    </row>
    <row r="5262" spans="2:17">
      <c r="B5262" s="17"/>
      <c r="C5262" s="16" t="str">
        <f>IFERROR(VLOOKUP(DATA!#REF!,DATA!#REF!,1,FALSE),"")</f>
        <v/>
      </c>
      <c r="D5262" s="16" t="str">
        <f>IFERROR(VLOOKUP(C5262,DATA!#REF!,2,FALSE),"")</f>
        <v/>
      </c>
      <c r="I5262" s="17"/>
      <c r="J5262" s="17"/>
      <c r="P5262" s="17"/>
      <c r="Q5262" s="17"/>
    </row>
    <row r="5263" spans="2:17">
      <c r="B5263" s="17"/>
      <c r="C5263" s="16" t="str">
        <f>IFERROR(VLOOKUP(DATA!#REF!,DATA!#REF!,1,FALSE),"")</f>
        <v/>
      </c>
      <c r="D5263" s="16" t="str">
        <f>IFERROR(VLOOKUP(C5263,DATA!#REF!,2,FALSE),"")</f>
        <v/>
      </c>
      <c r="I5263" s="17"/>
      <c r="J5263" s="17"/>
      <c r="P5263" s="17"/>
      <c r="Q5263" s="17"/>
    </row>
    <row r="5264" spans="2:17">
      <c r="B5264" s="17"/>
      <c r="C5264" s="16" t="str">
        <f>IFERROR(VLOOKUP(DATA!#REF!,DATA!#REF!,1,FALSE),"")</f>
        <v/>
      </c>
      <c r="D5264" s="16" t="str">
        <f>IFERROR(VLOOKUP(C5264,DATA!#REF!,2,FALSE),"")</f>
        <v/>
      </c>
      <c r="I5264" s="17"/>
      <c r="J5264" s="17"/>
      <c r="P5264" s="17"/>
      <c r="Q5264" s="17"/>
    </row>
    <row r="5265" spans="2:17">
      <c r="B5265" s="17"/>
      <c r="C5265" s="16" t="str">
        <f>IFERROR(VLOOKUP(DATA!#REF!,DATA!#REF!,1,FALSE),"")</f>
        <v/>
      </c>
      <c r="D5265" s="16" t="str">
        <f>IFERROR(VLOOKUP(C5265,DATA!#REF!,2,FALSE),"")</f>
        <v/>
      </c>
      <c r="I5265" s="17"/>
      <c r="J5265" s="17"/>
      <c r="P5265" s="17"/>
      <c r="Q5265" s="17"/>
    </row>
    <row r="5266" spans="2:17">
      <c r="B5266" s="17"/>
      <c r="C5266" s="16" t="str">
        <f>IFERROR(VLOOKUP(DATA!#REF!,DATA!#REF!,1,FALSE),"")</f>
        <v/>
      </c>
      <c r="D5266" s="16" t="str">
        <f>IFERROR(VLOOKUP(C5266,DATA!#REF!,2,FALSE),"")</f>
        <v/>
      </c>
      <c r="I5266" s="17"/>
      <c r="J5266" s="17"/>
      <c r="P5266" s="17"/>
      <c r="Q5266" s="17"/>
    </row>
    <row r="5267" spans="2:17">
      <c r="B5267" s="17"/>
      <c r="C5267" s="16" t="str">
        <f>IFERROR(VLOOKUP(DATA!#REF!,DATA!#REF!,1,FALSE),"")</f>
        <v/>
      </c>
      <c r="D5267" s="16" t="str">
        <f>IFERROR(VLOOKUP(C5267,DATA!#REF!,2,FALSE),"")</f>
        <v/>
      </c>
      <c r="I5267" s="17"/>
      <c r="J5267" s="17"/>
      <c r="P5267" s="17"/>
      <c r="Q5267" s="17"/>
    </row>
    <row r="5268" spans="2:17">
      <c r="B5268" s="17"/>
      <c r="C5268" s="16" t="str">
        <f>IFERROR(VLOOKUP(DATA!#REF!,DATA!#REF!,1,FALSE),"")</f>
        <v/>
      </c>
      <c r="D5268" s="16" t="str">
        <f>IFERROR(VLOOKUP(C5268,DATA!#REF!,2,FALSE),"")</f>
        <v/>
      </c>
      <c r="I5268" s="17"/>
      <c r="J5268" s="17"/>
      <c r="P5268" s="17"/>
      <c r="Q5268" s="17"/>
    </row>
    <row r="5269" spans="2:17">
      <c r="B5269" s="17"/>
      <c r="C5269" s="16" t="str">
        <f>IFERROR(VLOOKUP(DATA!#REF!,DATA!#REF!,1,FALSE),"")</f>
        <v/>
      </c>
      <c r="D5269" s="16" t="str">
        <f>IFERROR(VLOOKUP(C5269,DATA!#REF!,2,FALSE),"")</f>
        <v/>
      </c>
      <c r="I5269" s="17"/>
      <c r="J5269" s="17"/>
      <c r="P5269" s="17"/>
      <c r="Q5269" s="17"/>
    </row>
    <row r="5270" spans="2:17">
      <c r="B5270" s="17"/>
      <c r="C5270" s="16" t="str">
        <f>IFERROR(VLOOKUP(DATA!#REF!,DATA!#REF!,1,FALSE),"")</f>
        <v/>
      </c>
      <c r="D5270" s="16" t="str">
        <f>IFERROR(VLOOKUP(C5270,DATA!#REF!,2,FALSE),"")</f>
        <v/>
      </c>
      <c r="I5270" s="17"/>
      <c r="J5270" s="17"/>
      <c r="P5270" s="17"/>
      <c r="Q5270" s="17"/>
    </row>
    <row r="5271" spans="2:17">
      <c r="B5271" s="17"/>
      <c r="C5271" s="16" t="str">
        <f>IFERROR(VLOOKUP(DATA!#REF!,DATA!#REF!,1,FALSE),"")</f>
        <v/>
      </c>
      <c r="D5271" s="16" t="str">
        <f>IFERROR(VLOOKUP(C5271,DATA!#REF!,2,FALSE),"")</f>
        <v/>
      </c>
      <c r="I5271" s="17"/>
      <c r="J5271" s="17"/>
      <c r="P5271" s="17"/>
      <c r="Q5271" s="17"/>
    </row>
    <row r="5272" spans="2:17">
      <c r="B5272" s="17"/>
      <c r="C5272" s="16" t="str">
        <f>IFERROR(VLOOKUP(DATA!#REF!,DATA!#REF!,1,FALSE),"")</f>
        <v/>
      </c>
      <c r="D5272" s="16" t="str">
        <f>IFERROR(VLOOKUP(C5272,DATA!#REF!,2,FALSE),"")</f>
        <v/>
      </c>
      <c r="I5272" s="17"/>
      <c r="J5272" s="17"/>
      <c r="P5272" s="17"/>
      <c r="Q5272" s="17"/>
    </row>
    <row r="5273" spans="2:17">
      <c r="B5273" s="17"/>
      <c r="C5273" s="16" t="str">
        <f>IFERROR(VLOOKUP(DATA!#REF!,DATA!#REF!,1,FALSE),"")</f>
        <v/>
      </c>
      <c r="D5273" s="16" t="str">
        <f>IFERROR(VLOOKUP(C5273,DATA!#REF!,2,FALSE),"")</f>
        <v/>
      </c>
      <c r="I5273" s="17"/>
      <c r="J5273" s="17"/>
      <c r="P5273" s="17"/>
      <c r="Q5273" s="17"/>
    </row>
    <row r="5274" spans="2:17">
      <c r="B5274" s="17"/>
      <c r="C5274" s="16" t="str">
        <f>IFERROR(VLOOKUP(DATA!#REF!,DATA!#REF!,1,FALSE),"")</f>
        <v/>
      </c>
      <c r="D5274" s="16" t="str">
        <f>IFERROR(VLOOKUP(C5274,DATA!#REF!,2,FALSE),"")</f>
        <v/>
      </c>
      <c r="I5274" s="17"/>
      <c r="J5274" s="17"/>
      <c r="P5274" s="17"/>
      <c r="Q5274" s="17"/>
    </row>
    <row r="5275" spans="2:17">
      <c r="B5275" s="17"/>
      <c r="C5275" s="16" t="str">
        <f>IFERROR(VLOOKUP(DATA!#REF!,DATA!#REF!,1,FALSE),"")</f>
        <v/>
      </c>
      <c r="D5275" s="16" t="str">
        <f>IFERROR(VLOOKUP(C5275,DATA!#REF!,2,FALSE),"")</f>
        <v/>
      </c>
      <c r="I5275" s="17"/>
      <c r="J5275" s="17"/>
      <c r="P5275" s="17"/>
      <c r="Q5275" s="17"/>
    </row>
    <row r="5276" spans="2:17">
      <c r="B5276" s="17"/>
      <c r="C5276" s="16" t="str">
        <f>IFERROR(VLOOKUP(DATA!#REF!,DATA!#REF!,1,FALSE),"")</f>
        <v/>
      </c>
      <c r="D5276" s="16" t="str">
        <f>IFERROR(VLOOKUP(C5276,DATA!#REF!,2,FALSE),"")</f>
        <v/>
      </c>
      <c r="I5276" s="17"/>
      <c r="J5276" s="17"/>
      <c r="P5276" s="17"/>
      <c r="Q5276" s="17"/>
    </row>
    <row r="5277" spans="2:17">
      <c r="B5277" s="17"/>
      <c r="C5277" s="16" t="str">
        <f>IFERROR(VLOOKUP(DATA!#REF!,DATA!#REF!,1,FALSE),"")</f>
        <v/>
      </c>
      <c r="D5277" s="16" t="str">
        <f>IFERROR(VLOOKUP(C5277,DATA!#REF!,2,FALSE),"")</f>
        <v/>
      </c>
      <c r="I5277" s="17"/>
      <c r="J5277" s="17"/>
      <c r="P5277" s="17"/>
      <c r="Q5277" s="17"/>
    </row>
    <row r="5278" spans="2:17">
      <c r="B5278" s="17"/>
      <c r="C5278" s="16" t="str">
        <f>IFERROR(VLOOKUP(DATA!#REF!,DATA!#REF!,1,FALSE),"")</f>
        <v/>
      </c>
      <c r="D5278" s="16" t="str">
        <f>IFERROR(VLOOKUP(C5278,DATA!#REF!,2,FALSE),"")</f>
        <v/>
      </c>
      <c r="I5278" s="17"/>
      <c r="J5278" s="17"/>
      <c r="P5278" s="17"/>
      <c r="Q5278" s="17"/>
    </row>
    <row r="5279" spans="2:17">
      <c r="B5279" s="17"/>
      <c r="C5279" s="16" t="str">
        <f>IFERROR(VLOOKUP(DATA!#REF!,DATA!#REF!,1,FALSE),"")</f>
        <v/>
      </c>
      <c r="D5279" s="16" t="str">
        <f>IFERROR(VLOOKUP(C5279,DATA!#REF!,2,FALSE),"")</f>
        <v/>
      </c>
      <c r="I5279" s="17"/>
      <c r="J5279" s="17"/>
      <c r="P5279" s="17"/>
      <c r="Q5279" s="17"/>
    </row>
    <row r="5280" spans="2:17">
      <c r="B5280" s="17"/>
      <c r="C5280" s="16" t="str">
        <f>IFERROR(VLOOKUP(DATA!#REF!,DATA!#REF!,1,FALSE),"")</f>
        <v/>
      </c>
      <c r="D5280" s="16" t="str">
        <f>IFERROR(VLOOKUP(C5280,DATA!#REF!,2,FALSE),"")</f>
        <v/>
      </c>
      <c r="I5280" s="17"/>
      <c r="J5280" s="17"/>
      <c r="P5280" s="17"/>
      <c r="Q5280" s="17"/>
    </row>
    <row r="5281" spans="2:17">
      <c r="B5281" s="17"/>
      <c r="C5281" s="16" t="str">
        <f>IFERROR(VLOOKUP(DATA!#REF!,DATA!#REF!,1,FALSE),"")</f>
        <v/>
      </c>
      <c r="D5281" s="16" t="str">
        <f>IFERROR(VLOOKUP(C5281,DATA!#REF!,2,FALSE),"")</f>
        <v/>
      </c>
      <c r="I5281" s="17"/>
      <c r="J5281" s="17"/>
      <c r="P5281" s="17"/>
      <c r="Q5281" s="17"/>
    </row>
    <row r="5282" spans="2:17">
      <c r="B5282" s="17"/>
      <c r="C5282" s="16" t="str">
        <f>IFERROR(VLOOKUP(DATA!#REF!,DATA!#REF!,1,FALSE),"")</f>
        <v/>
      </c>
      <c r="D5282" s="16" t="str">
        <f>IFERROR(VLOOKUP(C5282,DATA!#REF!,2,FALSE),"")</f>
        <v/>
      </c>
      <c r="I5282" s="17"/>
      <c r="J5282" s="17"/>
      <c r="P5282" s="17"/>
      <c r="Q5282" s="17"/>
    </row>
    <row r="5283" spans="2:17">
      <c r="B5283" s="17"/>
      <c r="C5283" s="16" t="str">
        <f>IFERROR(VLOOKUP(DATA!#REF!,DATA!#REF!,1,FALSE),"")</f>
        <v/>
      </c>
      <c r="D5283" s="16" t="str">
        <f>IFERROR(VLOOKUP(C5283,DATA!#REF!,2,FALSE),"")</f>
        <v/>
      </c>
      <c r="I5283" s="17"/>
      <c r="J5283" s="17"/>
      <c r="P5283" s="17"/>
      <c r="Q5283" s="17"/>
    </row>
    <row r="5284" spans="2:17">
      <c r="B5284" s="17"/>
      <c r="C5284" s="16" t="str">
        <f>IFERROR(VLOOKUP(DATA!#REF!,DATA!#REF!,1,FALSE),"")</f>
        <v/>
      </c>
      <c r="D5284" s="16" t="str">
        <f>IFERROR(VLOOKUP(C5284,DATA!#REF!,2,FALSE),"")</f>
        <v/>
      </c>
      <c r="I5284" s="17"/>
      <c r="J5284" s="17"/>
      <c r="P5284" s="17"/>
      <c r="Q5284" s="17"/>
    </row>
    <row r="5285" spans="2:17">
      <c r="B5285" s="17"/>
      <c r="C5285" s="16" t="str">
        <f>IFERROR(VLOOKUP(DATA!#REF!,DATA!#REF!,1,FALSE),"")</f>
        <v/>
      </c>
      <c r="D5285" s="16" t="str">
        <f>IFERROR(VLOOKUP(C5285,DATA!#REF!,2,FALSE),"")</f>
        <v/>
      </c>
      <c r="I5285" s="17"/>
      <c r="J5285" s="17"/>
      <c r="P5285" s="17"/>
      <c r="Q5285" s="17"/>
    </row>
    <row r="5286" spans="2:17">
      <c r="B5286" s="17"/>
      <c r="C5286" s="16" t="str">
        <f>IFERROR(VLOOKUP(DATA!#REF!,DATA!#REF!,1,FALSE),"")</f>
        <v/>
      </c>
      <c r="D5286" s="16" t="str">
        <f>IFERROR(VLOOKUP(C5286,DATA!#REF!,2,FALSE),"")</f>
        <v/>
      </c>
      <c r="I5286" s="17"/>
      <c r="J5286" s="17"/>
      <c r="P5286" s="17"/>
      <c r="Q5286" s="17"/>
    </row>
    <row r="5287" spans="2:17">
      <c r="B5287" s="17"/>
      <c r="C5287" s="16" t="str">
        <f>IFERROR(VLOOKUP(DATA!#REF!,DATA!#REF!,1,FALSE),"")</f>
        <v/>
      </c>
      <c r="D5287" s="16" t="str">
        <f>IFERROR(VLOOKUP(C5287,DATA!#REF!,2,FALSE),"")</f>
        <v/>
      </c>
      <c r="I5287" s="17"/>
      <c r="J5287" s="17"/>
      <c r="P5287" s="17"/>
      <c r="Q5287" s="17"/>
    </row>
    <row r="5288" spans="2:17">
      <c r="B5288" s="17"/>
      <c r="C5288" s="16" t="str">
        <f>IFERROR(VLOOKUP(DATA!#REF!,DATA!#REF!,1,FALSE),"")</f>
        <v/>
      </c>
      <c r="D5288" s="16" t="str">
        <f>IFERROR(VLOOKUP(C5288,DATA!#REF!,2,FALSE),"")</f>
        <v/>
      </c>
      <c r="I5288" s="17"/>
      <c r="J5288" s="17"/>
      <c r="P5288" s="17"/>
      <c r="Q5288" s="17"/>
    </row>
    <row r="5289" spans="2:17">
      <c r="B5289" s="17"/>
      <c r="C5289" s="16" t="str">
        <f>IFERROR(VLOOKUP(DATA!#REF!,DATA!#REF!,1,FALSE),"")</f>
        <v/>
      </c>
      <c r="D5289" s="16" t="str">
        <f>IFERROR(VLOOKUP(C5289,DATA!#REF!,2,FALSE),"")</f>
        <v/>
      </c>
      <c r="I5289" s="17"/>
      <c r="J5289" s="17"/>
      <c r="P5289" s="17"/>
      <c r="Q5289" s="17"/>
    </row>
    <row r="5290" spans="2:17">
      <c r="B5290" s="17"/>
      <c r="C5290" s="16" t="str">
        <f>IFERROR(VLOOKUP(DATA!#REF!,DATA!#REF!,1,FALSE),"")</f>
        <v/>
      </c>
      <c r="D5290" s="16" t="str">
        <f>IFERROR(VLOOKUP(C5290,DATA!#REF!,2,FALSE),"")</f>
        <v/>
      </c>
      <c r="I5290" s="17"/>
      <c r="J5290" s="17"/>
      <c r="P5290" s="17"/>
      <c r="Q5290" s="17"/>
    </row>
    <row r="5291" spans="2:17">
      <c r="B5291" s="17"/>
      <c r="C5291" s="16" t="str">
        <f>IFERROR(VLOOKUP(DATA!#REF!,DATA!#REF!,1,FALSE),"")</f>
        <v/>
      </c>
      <c r="D5291" s="16" t="str">
        <f>IFERROR(VLOOKUP(C5291,DATA!#REF!,2,FALSE),"")</f>
        <v/>
      </c>
      <c r="I5291" s="17"/>
      <c r="J5291" s="17"/>
      <c r="P5291" s="17"/>
      <c r="Q5291" s="17"/>
    </row>
    <row r="5292" spans="2:17">
      <c r="B5292" s="17"/>
      <c r="C5292" s="16" t="str">
        <f>IFERROR(VLOOKUP(DATA!#REF!,DATA!#REF!,1,FALSE),"")</f>
        <v/>
      </c>
      <c r="D5292" s="16" t="str">
        <f>IFERROR(VLOOKUP(C5292,DATA!#REF!,2,FALSE),"")</f>
        <v/>
      </c>
      <c r="I5292" s="17"/>
      <c r="J5292" s="17"/>
      <c r="P5292" s="17"/>
      <c r="Q5292" s="17"/>
    </row>
    <row r="5293" spans="2:17">
      <c r="B5293" s="17"/>
      <c r="C5293" s="16" t="str">
        <f>IFERROR(VLOOKUP(DATA!#REF!,DATA!#REF!,1,FALSE),"")</f>
        <v/>
      </c>
      <c r="D5293" s="16" t="str">
        <f>IFERROR(VLOOKUP(C5293,DATA!#REF!,2,FALSE),"")</f>
        <v/>
      </c>
      <c r="I5293" s="17"/>
      <c r="J5293" s="17"/>
      <c r="P5293" s="17"/>
      <c r="Q5293" s="17"/>
    </row>
    <row r="5294" spans="2:17">
      <c r="B5294" s="17"/>
      <c r="C5294" s="16" t="str">
        <f>IFERROR(VLOOKUP(DATA!#REF!,DATA!#REF!,1,FALSE),"")</f>
        <v/>
      </c>
      <c r="D5294" s="16" t="str">
        <f>IFERROR(VLOOKUP(C5294,DATA!#REF!,2,FALSE),"")</f>
        <v/>
      </c>
      <c r="I5294" s="17"/>
      <c r="J5294" s="17"/>
      <c r="P5294" s="17"/>
      <c r="Q5294" s="17"/>
    </row>
    <row r="5295" spans="2:17">
      <c r="B5295" s="17"/>
      <c r="C5295" s="16" t="str">
        <f>IFERROR(VLOOKUP(DATA!#REF!,DATA!#REF!,1,FALSE),"")</f>
        <v/>
      </c>
      <c r="D5295" s="16" t="str">
        <f>IFERROR(VLOOKUP(C5295,DATA!#REF!,2,FALSE),"")</f>
        <v/>
      </c>
      <c r="I5295" s="17"/>
      <c r="J5295" s="17"/>
      <c r="P5295" s="17"/>
      <c r="Q5295" s="17"/>
    </row>
    <row r="5296" spans="2:17">
      <c r="B5296" s="17"/>
      <c r="C5296" s="16" t="str">
        <f>IFERROR(VLOOKUP(DATA!#REF!,DATA!#REF!,1,FALSE),"")</f>
        <v/>
      </c>
      <c r="D5296" s="16" t="str">
        <f>IFERROR(VLOOKUP(C5296,DATA!#REF!,2,FALSE),"")</f>
        <v/>
      </c>
      <c r="I5296" s="17"/>
      <c r="J5296" s="17"/>
      <c r="P5296" s="17"/>
      <c r="Q5296" s="17"/>
    </row>
    <row r="5297" spans="2:17">
      <c r="B5297" s="17"/>
      <c r="C5297" s="16" t="str">
        <f>IFERROR(VLOOKUP(DATA!#REF!,DATA!#REF!,1,FALSE),"")</f>
        <v/>
      </c>
      <c r="D5297" s="16" t="str">
        <f>IFERROR(VLOOKUP(C5297,DATA!#REF!,2,FALSE),"")</f>
        <v/>
      </c>
      <c r="I5297" s="17"/>
      <c r="J5297" s="17"/>
      <c r="P5297" s="17"/>
      <c r="Q5297" s="17"/>
    </row>
    <row r="5298" spans="2:17">
      <c r="B5298" s="17"/>
      <c r="C5298" s="16" t="str">
        <f>IFERROR(VLOOKUP(DATA!#REF!,DATA!#REF!,1,FALSE),"")</f>
        <v/>
      </c>
      <c r="D5298" s="16" t="str">
        <f>IFERROR(VLOOKUP(C5298,DATA!#REF!,2,FALSE),"")</f>
        <v/>
      </c>
      <c r="I5298" s="17"/>
      <c r="J5298" s="17"/>
      <c r="P5298" s="17"/>
      <c r="Q5298" s="17"/>
    </row>
    <row r="5299" spans="2:17">
      <c r="B5299" s="17"/>
      <c r="C5299" s="16" t="str">
        <f>IFERROR(VLOOKUP(DATA!#REF!,DATA!#REF!,1,FALSE),"")</f>
        <v/>
      </c>
      <c r="D5299" s="16" t="str">
        <f>IFERROR(VLOOKUP(C5299,DATA!#REF!,2,FALSE),"")</f>
        <v/>
      </c>
      <c r="I5299" s="17"/>
      <c r="J5299" s="17"/>
      <c r="P5299" s="17"/>
      <c r="Q5299" s="17"/>
    </row>
    <row r="5300" spans="2:17">
      <c r="B5300" s="17"/>
      <c r="C5300" s="16" t="str">
        <f>IFERROR(VLOOKUP(DATA!#REF!,DATA!#REF!,1,FALSE),"")</f>
        <v/>
      </c>
      <c r="D5300" s="16" t="str">
        <f>IFERROR(VLOOKUP(C5300,DATA!#REF!,2,FALSE),"")</f>
        <v/>
      </c>
      <c r="I5300" s="17"/>
      <c r="J5300" s="17"/>
      <c r="P5300" s="17"/>
      <c r="Q5300" s="17"/>
    </row>
    <row r="5301" spans="2:17">
      <c r="B5301" s="17"/>
      <c r="C5301" s="16" t="str">
        <f>IFERROR(VLOOKUP(DATA!#REF!,DATA!#REF!,1,FALSE),"")</f>
        <v/>
      </c>
      <c r="D5301" s="16" t="str">
        <f>IFERROR(VLOOKUP(C5301,DATA!#REF!,2,FALSE),"")</f>
        <v/>
      </c>
      <c r="I5301" s="17"/>
      <c r="J5301" s="17"/>
      <c r="P5301" s="17"/>
      <c r="Q5301" s="17"/>
    </row>
    <row r="5302" spans="2:17">
      <c r="B5302" s="17"/>
      <c r="C5302" s="16" t="str">
        <f>IFERROR(VLOOKUP(DATA!#REF!,DATA!#REF!,1,FALSE),"")</f>
        <v/>
      </c>
      <c r="D5302" s="16" t="str">
        <f>IFERROR(VLOOKUP(C5302,DATA!#REF!,2,FALSE),"")</f>
        <v/>
      </c>
      <c r="I5302" s="17"/>
      <c r="J5302" s="17"/>
      <c r="P5302" s="17"/>
      <c r="Q5302" s="17"/>
    </row>
    <row r="5303" spans="2:17">
      <c r="B5303" s="17"/>
      <c r="C5303" s="16" t="str">
        <f>IFERROR(VLOOKUP(DATA!#REF!,DATA!#REF!,1,FALSE),"")</f>
        <v/>
      </c>
      <c r="D5303" s="16" t="str">
        <f>IFERROR(VLOOKUP(C5303,DATA!#REF!,2,FALSE),"")</f>
        <v/>
      </c>
      <c r="I5303" s="17"/>
      <c r="J5303" s="17"/>
      <c r="P5303" s="17"/>
      <c r="Q5303" s="17"/>
    </row>
    <row r="5304" spans="2:17">
      <c r="B5304" s="17"/>
      <c r="C5304" s="16" t="str">
        <f>IFERROR(VLOOKUP(DATA!#REF!,DATA!#REF!,1,FALSE),"")</f>
        <v/>
      </c>
      <c r="D5304" s="16" t="str">
        <f>IFERROR(VLOOKUP(C5304,DATA!#REF!,2,FALSE),"")</f>
        <v/>
      </c>
      <c r="I5304" s="17"/>
      <c r="J5304" s="17"/>
      <c r="P5304" s="17"/>
      <c r="Q5304" s="17"/>
    </row>
    <row r="5305" spans="2:17">
      <c r="B5305" s="17"/>
      <c r="C5305" s="16" t="str">
        <f>IFERROR(VLOOKUP(DATA!#REF!,DATA!#REF!,1,FALSE),"")</f>
        <v/>
      </c>
      <c r="D5305" s="16" t="str">
        <f>IFERROR(VLOOKUP(C5305,DATA!#REF!,2,FALSE),"")</f>
        <v/>
      </c>
      <c r="I5305" s="17"/>
      <c r="J5305" s="17"/>
      <c r="P5305" s="17"/>
      <c r="Q5305" s="17"/>
    </row>
    <row r="5306" spans="2:17">
      <c r="B5306" s="17"/>
      <c r="C5306" s="16" t="str">
        <f>IFERROR(VLOOKUP(DATA!#REF!,DATA!#REF!,1,FALSE),"")</f>
        <v/>
      </c>
      <c r="D5306" s="16" t="str">
        <f>IFERROR(VLOOKUP(C5306,DATA!#REF!,2,FALSE),"")</f>
        <v/>
      </c>
      <c r="I5306" s="17"/>
      <c r="J5306" s="17"/>
      <c r="P5306" s="17"/>
      <c r="Q5306" s="17"/>
    </row>
    <row r="5307" spans="2:17">
      <c r="B5307" s="17"/>
      <c r="C5307" s="16" t="str">
        <f>IFERROR(VLOOKUP(DATA!#REF!,DATA!#REF!,1,FALSE),"")</f>
        <v/>
      </c>
      <c r="D5307" s="16" t="str">
        <f>IFERROR(VLOOKUP(C5307,DATA!#REF!,2,FALSE),"")</f>
        <v/>
      </c>
      <c r="I5307" s="17"/>
      <c r="J5307" s="17"/>
      <c r="P5307" s="17"/>
      <c r="Q5307" s="17"/>
    </row>
    <row r="5308" spans="2:17">
      <c r="B5308" s="17"/>
      <c r="C5308" s="16" t="str">
        <f>IFERROR(VLOOKUP(DATA!#REF!,DATA!#REF!,1,FALSE),"")</f>
        <v/>
      </c>
      <c r="D5308" s="16" t="str">
        <f>IFERROR(VLOOKUP(C5308,DATA!#REF!,2,FALSE),"")</f>
        <v/>
      </c>
      <c r="I5308" s="17"/>
      <c r="J5308" s="17"/>
      <c r="P5308" s="17"/>
      <c r="Q5308" s="17"/>
    </row>
    <row r="5309" spans="2:17">
      <c r="B5309" s="17"/>
      <c r="C5309" s="16" t="str">
        <f>IFERROR(VLOOKUP(DATA!#REF!,DATA!#REF!,1,FALSE),"")</f>
        <v/>
      </c>
      <c r="D5309" s="16" t="str">
        <f>IFERROR(VLOOKUP(C5309,DATA!#REF!,2,FALSE),"")</f>
        <v/>
      </c>
      <c r="I5309" s="17"/>
      <c r="J5309" s="17"/>
      <c r="P5309" s="17"/>
      <c r="Q5309" s="17"/>
    </row>
    <row r="5310" spans="2:17">
      <c r="B5310" s="17"/>
      <c r="C5310" s="16" t="str">
        <f>IFERROR(VLOOKUP(DATA!#REF!,DATA!#REF!,1,FALSE),"")</f>
        <v/>
      </c>
      <c r="D5310" s="16" t="str">
        <f>IFERROR(VLOOKUP(C5310,DATA!#REF!,2,FALSE),"")</f>
        <v/>
      </c>
      <c r="I5310" s="17"/>
      <c r="J5310" s="17"/>
      <c r="P5310" s="17"/>
      <c r="Q5310" s="17"/>
    </row>
    <row r="5311" spans="2:17">
      <c r="B5311" s="17"/>
      <c r="C5311" s="16" t="str">
        <f>IFERROR(VLOOKUP(DATA!#REF!,DATA!#REF!,1,FALSE),"")</f>
        <v/>
      </c>
      <c r="D5311" s="16" t="str">
        <f>IFERROR(VLOOKUP(C5311,DATA!#REF!,2,FALSE),"")</f>
        <v/>
      </c>
      <c r="I5311" s="17"/>
      <c r="J5311" s="17"/>
      <c r="P5311" s="17"/>
      <c r="Q5311" s="17"/>
    </row>
    <row r="5312" spans="2:17">
      <c r="B5312" s="17"/>
      <c r="C5312" s="16" t="str">
        <f>IFERROR(VLOOKUP(DATA!#REF!,DATA!#REF!,1,FALSE),"")</f>
        <v/>
      </c>
      <c r="D5312" s="16" t="str">
        <f>IFERROR(VLOOKUP(C5312,DATA!#REF!,2,FALSE),"")</f>
        <v/>
      </c>
      <c r="I5312" s="17"/>
      <c r="J5312" s="17"/>
      <c r="P5312" s="17"/>
      <c r="Q5312" s="17"/>
    </row>
    <row r="5313" spans="2:17">
      <c r="B5313" s="17"/>
      <c r="C5313" s="16" t="str">
        <f>IFERROR(VLOOKUP(DATA!#REF!,DATA!#REF!,1,FALSE),"")</f>
        <v/>
      </c>
      <c r="D5313" s="16" t="str">
        <f>IFERROR(VLOOKUP(C5313,DATA!#REF!,2,FALSE),"")</f>
        <v/>
      </c>
      <c r="I5313" s="17"/>
      <c r="J5313" s="17"/>
      <c r="P5313" s="17"/>
      <c r="Q5313" s="17"/>
    </row>
    <row r="5314" spans="2:17">
      <c r="B5314" s="17"/>
      <c r="C5314" s="16" t="str">
        <f>IFERROR(VLOOKUP(DATA!#REF!,DATA!#REF!,1,FALSE),"")</f>
        <v/>
      </c>
      <c r="D5314" s="16" t="str">
        <f>IFERROR(VLOOKUP(C5314,DATA!#REF!,2,FALSE),"")</f>
        <v/>
      </c>
      <c r="I5314" s="17"/>
      <c r="J5314" s="17"/>
      <c r="P5314" s="17"/>
      <c r="Q5314" s="17"/>
    </row>
    <row r="5315" spans="2:17">
      <c r="B5315" s="17"/>
      <c r="C5315" s="16" t="str">
        <f>IFERROR(VLOOKUP(DATA!#REF!,DATA!#REF!,1,FALSE),"")</f>
        <v/>
      </c>
      <c r="D5315" s="16" t="str">
        <f>IFERROR(VLOOKUP(C5315,DATA!#REF!,2,FALSE),"")</f>
        <v/>
      </c>
      <c r="I5315" s="17"/>
      <c r="J5315" s="17"/>
      <c r="P5315" s="17"/>
      <c r="Q5315" s="17"/>
    </row>
    <row r="5316" spans="2:17">
      <c r="B5316" s="17"/>
      <c r="C5316" s="16" t="str">
        <f>IFERROR(VLOOKUP(DATA!#REF!,DATA!#REF!,1,FALSE),"")</f>
        <v/>
      </c>
      <c r="D5316" s="16" t="str">
        <f>IFERROR(VLOOKUP(C5316,DATA!#REF!,2,FALSE),"")</f>
        <v/>
      </c>
      <c r="I5316" s="17"/>
      <c r="J5316" s="17"/>
      <c r="P5316" s="17"/>
      <c r="Q5316" s="17"/>
    </row>
    <row r="5317" spans="2:17">
      <c r="B5317" s="17"/>
      <c r="C5317" s="16" t="str">
        <f>IFERROR(VLOOKUP(DATA!#REF!,DATA!#REF!,1,FALSE),"")</f>
        <v/>
      </c>
      <c r="D5317" s="16" t="str">
        <f>IFERROR(VLOOKUP(C5317,DATA!#REF!,2,FALSE),"")</f>
        <v/>
      </c>
      <c r="I5317" s="17"/>
      <c r="J5317" s="17"/>
      <c r="P5317" s="17"/>
      <c r="Q5317" s="17"/>
    </row>
    <row r="5318" spans="2:17">
      <c r="B5318" s="17"/>
      <c r="C5318" s="16" t="str">
        <f>IFERROR(VLOOKUP(DATA!#REF!,DATA!#REF!,1,FALSE),"")</f>
        <v/>
      </c>
      <c r="D5318" s="16" t="str">
        <f>IFERROR(VLOOKUP(C5318,DATA!#REF!,2,FALSE),"")</f>
        <v/>
      </c>
      <c r="I5318" s="17"/>
      <c r="J5318" s="17"/>
      <c r="P5318" s="17"/>
      <c r="Q5318" s="17"/>
    </row>
    <row r="5319" spans="2:17">
      <c r="B5319" s="17"/>
      <c r="C5319" s="16" t="str">
        <f>IFERROR(VLOOKUP(DATA!#REF!,DATA!#REF!,1,FALSE),"")</f>
        <v/>
      </c>
      <c r="D5319" s="16" t="str">
        <f>IFERROR(VLOOKUP(C5319,DATA!#REF!,2,FALSE),"")</f>
        <v/>
      </c>
      <c r="I5319" s="17"/>
      <c r="J5319" s="17"/>
      <c r="P5319" s="17"/>
      <c r="Q5319" s="17"/>
    </row>
    <row r="5320" spans="2:17">
      <c r="B5320" s="17"/>
      <c r="C5320" s="16" t="str">
        <f>IFERROR(VLOOKUP(DATA!#REF!,DATA!#REF!,1,FALSE),"")</f>
        <v/>
      </c>
      <c r="D5320" s="16" t="str">
        <f>IFERROR(VLOOKUP(C5320,DATA!#REF!,2,FALSE),"")</f>
        <v/>
      </c>
      <c r="I5320" s="17"/>
      <c r="J5320" s="17"/>
      <c r="P5320" s="17"/>
      <c r="Q5320" s="17"/>
    </row>
    <row r="5321" spans="2:17">
      <c r="B5321" s="17"/>
      <c r="C5321" s="16" t="str">
        <f>IFERROR(VLOOKUP(DATA!#REF!,DATA!#REF!,1,FALSE),"")</f>
        <v/>
      </c>
      <c r="D5321" s="16" t="str">
        <f>IFERROR(VLOOKUP(C5321,DATA!#REF!,2,FALSE),"")</f>
        <v/>
      </c>
      <c r="I5321" s="17"/>
      <c r="J5321" s="17"/>
      <c r="P5321" s="17"/>
      <c r="Q5321" s="17"/>
    </row>
    <row r="5322" spans="2:17">
      <c r="B5322" s="17"/>
      <c r="C5322" s="16" t="str">
        <f>IFERROR(VLOOKUP(DATA!#REF!,DATA!#REF!,1,FALSE),"")</f>
        <v/>
      </c>
      <c r="D5322" s="16" t="str">
        <f>IFERROR(VLOOKUP(C5322,DATA!#REF!,2,FALSE),"")</f>
        <v/>
      </c>
      <c r="I5322" s="17"/>
      <c r="J5322" s="17"/>
      <c r="P5322" s="17"/>
      <c r="Q5322" s="17"/>
    </row>
    <row r="5323" spans="2:17">
      <c r="B5323" s="17"/>
      <c r="C5323" s="16" t="str">
        <f>IFERROR(VLOOKUP(DATA!#REF!,DATA!#REF!,1,FALSE),"")</f>
        <v/>
      </c>
      <c r="D5323" s="16" t="str">
        <f>IFERROR(VLOOKUP(C5323,DATA!#REF!,2,FALSE),"")</f>
        <v/>
      </c>
      <c r="I5323" s="17"/>
      <c r="J5323" s="17"/>
      <c r="P5323" s="17"/>
      <c r="Q5323" s="17"/>
    </row>
    <row r="5324" spans="2:17">
      <c r="B5324" s="17"/>
      <c r="C5324" s="16" t="str">
        <f>IFERROR(VLOOKUP(DATA!#REF!,DATA!#REF!,1,FALSE),"")</f>
        <v/>
      </c>
      <c r="D5324" s="16" t="str">
        <f>IFERROR(VLOOKUP(C5324,DATA!#REF!,2,FALSE),"")</f>
        <v/>
      </c>
      <c r="I5324" s="17"/>
      <c r="J5324" s="17"/>
      <c r="P5324" s="17"/>
      <c r="Q5324" s="17"/>
    </row>
    <row r="5325" spans="2:17">
      <c r="B5325" s="17"/>
      <c r="C5325" s="16" t="str">
        <f>IFERROR(VLOOKUP(DATA!#REF!,DATA!#REF!,1,FALSE),"")</f>
        <v/>
      </c>
      <c r="D5325" s="16" t="str">
        <f>IFERROR(VLOOKUP(C5325,DATA!#REF!,2,FALSE),"")</f>
        <v/>
      </c>
      <c r="I5325" s="17"/>
      <c r="J5325" s="17"/>
      <c r="P5325" s="17"/>
      <c r="Q5325" s="17"/>
    </row>
    <row r="5326" spans="2:17">
      <c r="B5326" s="17"/>
      <c r="C5326" s="16" t="str">
        <f>IFERROR(VLOOKUP(DATA!#REF!,DATA!#REF!,1,FALSE),"")</f>
        <v/>
      </c>
      <c r="D5326" s="16" t="str">
        <f>IFERROR(VLOOKUP(C5326,DATA!#REF!,2,FALSE),"")</f>
        <v/>
      </c>
      <c r="I5326" s="17"/>
      <c r="J5326" s="17"/>
      <c r="P5326" s="17"/>
      <c r="Q5326" s="17"/>
    </row>
    <row r="5327" spans="2:17">
      <c r="B5327" s="17"/>
      <c r="C5327" s="16" t="str">
        <f>IFERROR(VLOOKUP(DATA!#REF!,DATA!#REF!,1,FALSE),"")</f>
        <v/>
      </c>
      <c r="D5327" s="16" t="str">
        <f>IFERROR(VLOOKUP(C5327,DATA!#REF!,2,FALSE),"")</f>
        <v/>
      </c>
      <c r="I5327" s="17"/>
      <c r="J5327" s="17"/>
      <c r="P5327" s="17"/>
      <c r="Q5327" s="17"/>
    </row>
    <row r="5328" spans="2:17">
      <c r="B5328" s="17"/>
      <c r="C5328" s="16" t="str">
        <f>IFERROR(VLOOKUP(DATA!#REF!,DATA!#REF!,1,FALSE),"")</f>
        <v/>
      </c>
      <c r="D5328" s="16" t="str">
        <f>IFERROR(VLOOKUP(C5328,DATA!#REF!,2,FALSE),"")</f>
        <v/>
      </c>
      <c r="I5328" s="17"/>
      <c r="J5328" s="17"/>
      <c r="P5328" s="17"/>
      <c r="Q5328" s="17"/>
    </row>
    <row r="5329" spans="2:17">
      <c r="B5329" s="17"/>
      <c r="C5329" s="16" t="str">
        <f>IFERROR(VLOOKUP(DATA!#REF!,DATA!#REF!,1,FALSE),"")</f>
        <v/>
      </c>
      <c r="D5329" s="16" t="str">
        <f>IFERROR(VLOOKUP(C5329,DATA!#REF!,2,FALSE),"")</f>
        <v/>
      </c>
      <c r="I5329" s="17"/>
      <c r="J5329" s="17"/>
      <c r="P5329" s="17"/>
      <c r="Q5329" s="17"/>
    </row>
    <row r="5330" spans="2:17">
      <c r="B5330" s="17"/>
      <c r="C5330" s="16" t="str">
        <f>IFERROR(VLOOKUP(DATA!#REF!,DATA!#REF!,1,FALSE),"")</f>
        <v/>
      </c>
      <c r="D5330" s="16" t="str">
        <f>IFERROR(VLOOKUP(C5330,DATA!#REF!,2,FALSE),"")</f>
        <v/>
      </c>
      <c r="I5330" s="17"/>
      <c r="J5330" s="17"/>
      <c r="P5330" s="17"/>
      <c r="Q5330" s="17"/>
    </row>
    <row r="5331" spans="2:17">
      <c r="B5331" s="17"/>
      <c r="C5331" s="16" t="str">
        <f>IFERROR(VLOOKUP(DATA!#REF!,DATA!#REF!,1,FALSE),"")</f>
        <v/>
      </c>
      <c r="D5331" s="16" t="str">
        <f>IFERROR(VLOOKUP(C5331,DATA!#REF!,2,FALSE),"")</f>
        <v/>
      </c>
      <c r="I5331" s="17"/>
      <c r="J5331" s="17"/>
      <c r="P5331" s="17"/>
      <c r="Q5331" s="17"/>
    </row>
    <row r="5332" spans="2:17">
      <c r="B5332" s="17"/>
      <c r="C5332" s="16" t="str">
        <f>IFERROR(VLOOKUP(DATA!#REF!,DATA!#REF!,1,FALSE),"")</f>
        <v/>
      </c>
      <c r="D5332" s="16" t="str">
        <f>IFERROR(VLOOKUP(C5332,DATA!#REF!,2,FALSE),"")</f>
        <v/>
      </c>
      <c r="I5332" s="17"/>
      <c r="J5332" s="17"/>
      <c r="P5332" s="17"/>
      <c r="Q5332" s="17"/>
    </row>
    <row r="5333" spans="2:17">
      <c r="B5333" s="17"/>
      <c r="C5333" s="16" t="str">
        <f>IFERROR(VLOOKUP(DATA!#REF!,DATA!#REF!,1,FALSE),"")</f>
        <v/>
      </c>
      <c r="D5333" s="16" t="str">
        <f>IFERROR(VLOOKUP(C5333,DATA!#REF!,2,FALSE),"")</f>
        <v/>
      </c>
      <c r="I5333" s="17"/>
      <c r="J5333" s="17"/>
      <c r="P5333" s="17"/>
      <c r="Q5333" s="17"/>
    </row>
    <row r="5334" spans="2:17">
      <c r="B5334" s="17"/>
      <c r="C5334" s="16" t="str">
        <f>IFERROR(VLOOKUP(DATA!#REF!,DATA!#REF!,1,FALSE),"")</f>
        <v/>
      </c>
      <c r="D5334" s="16" t="str">
        <f>IFERROR(VLOOKUP(C5334,DATA!#REF!,2,FALSE),"")</f>
        <v/>
      </c>
      <c r="I5334" s="17"/>
      <c r="J5334" s="17"/>
      <c r="P5334" s="17"/>
      <c r="Q5334" s="17"/>
    </row>
    <row r="5335" spans="2:17">
      <c r="B5335" s="17"/>
      <c r="C5335" s="16" t="str">
        <f>IFERROR(VLOOKUP(DATA!#REF!,DATA!#REF!,1,FALSE),"")</f>
        <v/>
      </c>
      <c r="D5335" s="16" t="str">
        <f>IFERROR(VLOOKUP(C5335,DATA!#REF!,2,FALSE),"")</f>
        <v/>
      </c>
      <c r="I5335" s="17"/>
      <c r="J5335" s="17"/>
      <c r="P5335" s="17"/>
      <c r="Q5335" s="17"/>
    </row>
    <row r="5336" spans="2:17">
      <c r="B5336" s="17"/>
      <c r="C5336" s="16" t="str">
        <f>IFERROR(VLOOKUP(DATA!#REF!,DATA!#REF!,1,FALSE),"")</f>
        <v/>
      </c>
      <c r="D5336" s="16" t="str">
        <f>IFERROR(VLOOKUP(C5336,DATA!#REF!,2,FALSE),"")</f>
        <v/>
      </c>
      <c r="I5336" s="17"/>
      <c r="J5336" s="17"/>
      <c r="P5336" s="17"/>
      <c r="Q5336" s="17"/>
    </row>
    <row r="5337" spans="2:17">
      <c r="B5337" s="17"/>
      <c r="C5337" s="16" t="str">
        <f>IFERROR(VLOOKUP(DATA!#REF!,DATA!#REF!,1,FALSE),"")</f>
        <v/>
      </c>
      <c r="D5337" s="16" t="str">
        <f>IFERROR(VLOOKUP(C5337,DATA!#REF!,2,FALSE),"")</f>
        <v/>
      </c>
      <c r="I5337" s="17"/>
      <c r="J5337" s="17"/>
      <c r="P5337" s="17"/>
      <c r="Q5337" s="17"/>
    </row>
    <row r="5338" spans="2:17">
      <c r="B5338" s="17"/>
      <c r="C5338" s="16" t="str">
        <f>IFERROR(VLOOKUP(DATA!#REF!,DATA!#REF!,1,FALSE),"")</f>
        <v/>
      </c>
      <c r="D5338" s="16" t="str">
        <f>IFERROR(VLOOKUP(C5338,DATA!#REF!,2,FALSE),"")</f>
        <v/>
      </c>
      <c r="I5338" s="17"/>
      <c r="J5338" s="17"/>
      <c r="P5338" s="17"/>
      <c r="Q5338" s="17"/>
    </row>
    <row r="5339" spans="2:17">
      <c r="B5339" s="17"/>
      <c r="C5339" s="16" t="str">
        <f>IFERROR(VLOOKUP(DATA!#REF!,DATA!#REF!,1,FALSE),"")</f>
        <v/>
      </c>
      <c r="D5339" s="16" t="str">
        <f>IFERROR(VLOOKUP(C5339,DATA!#REF!,2,FALSE),"")</f>
        <v/>
      </c>
      <c r="I5339" s="17"/>
      <c r="J5339" s="17"/>
      <c r="P5339" s="17"/>
      <c r="Q5339" s="17"/>
    </row>
    <row r="5340" spans="2:17">
      <c r="B5340" s="17"/>
      <c r="C5340" s="16" t="str">
        <f>IFERROR(VLOOKUP(DATA!#REF!,DATA!#REF!,1,FALSE),"")</f>
        <v/>
      </c>
      <c r="D5340" s="16" t="str">
        <f>IFERROR(VLOOKUP(C5340,DATA!#REF!,2,FALSE),"")</f>
        <v/>
      </c>
      <c r="I5340" s="17"/>
      <c r="J5340" s="17"/>
      <c r="P5340" s="17"/>
      <c r="Q5340" s="17"/>
    </row>
    <row r="5341" spans="2:17">
      <c r="B5341" s="17"/>
      <c r="C5341" s="16" t="str">
        <f>IFERROR(VLOOKUP(DATA!#REF!,DATA!#REF!,1,FALSE),"")</f>
        <v/>
      </c>
      <c r="D5341" s="16" t="str">
        <f>IFERROR(VLOOKUP(C5341,DATA!#REF!,2,FALSE),"")</f>
        <v/>
      </c>
      <c r="I5341" s="17"/>
      <c r="J5341" s="17"/>
      <c r="P5341" s="17"/>
      <c r="Q5341" s="17"/>
    </row>
    <row r="5342" spans="2:17">
      <c r="B5342" s="17"/>
      <c r="C5342" s="16" t="str">
        <f>IFERROR(VLOOKUP(DATA!#REF!,DATA!#REF!,1,FALSE),"")</f>
        <v/>
      </c>
      <c r="D5342" s="16" t="str">
        <f>IFERROR(VLOOKUP(C5342,DATA!#REF!,2,FALSE),"")</f>
        <v/>
      </c>
      <c r="I5342" s="17"/>
      <c r="J5342" s="17"/>
      <c r="P5342" s="17"/>
      <c r="Q5342" s="17"/>
    </row>
    <row r="5343" spans="2:17">
      <c r="B5343" s="17"/>
      <c r="C5343" s="16" t="str">
        <f>IFERROR(VLOOKUP(DATA!#REF!,DATA!#REF!,1,FALSE),"")</f>
        <v/>
      </c>
      <c r="D5343" s="16" t="str">
        <f>IFERROR(VLOOKUP(C5343,DATA!#REF!,2,FALSE),"")</f>
        <v/>
      </c>
      <c r="I5343" s="17"/>
      <c r="J5343" s="17"/>
      <c r="P5343" s="17"/>
      <c r="Q5343" s="17"/>
    </row>
    <row r="5344" spans="2:17">
      <c r="B5344" s="17"/>
      <c r="C5344" s="16" t="str">
        <f>IFERROR(VLOOKUP(DATA!#REF!,DATA!#REF!,1,FALSE),"")</f>
        <v/>
      </c>
      <c r="D5344" s="16" t="str">
        <f>IFERROR(VLOOKUP(C5344,DATA!#REF!,2,FALSE),"")</f>
        <v/>
      </c>
      <c r="I5344" s="17"/>
      <c r="J5344" s="17"/>
      <c r="P5344" s="17"/>
      <c r="Q5344" s="17"/>
    </row>
    <row r="5345" spans="2:17">
      <c r="B5345" s="17"/>
      <c r="C5345" s="16" t="str">
        <f>IFERROR(VLOOKUP(DATA!#REF!,DATA!#REF!,1,FALSE),"")</f>
        <v/>
      </c>
      <c r="D5345" s="16" t="str">
        <f>IFERROR(VLOOKUP(C5345,DATA!#REF!,2,FALSE),"")</f>
        <v/>
      </c>
      <c r="I5345" s="17"/>
      <c r="J5345" s="17"/>
      <c r="P5345" s="17"/>
      <c r="Q5345" s="17"/>
    </row>
    <row r="5346" spans="2:17">
      <c r="B5346" s="17"/>
      <c r="C5346" s="16" t="str">
        <f>IFERROR(VLOOKUP(DATA!#REF!,DATA!#REF!,1,FALSE),"")</f>
        <v/>
      </c>
      <c r="D5346" s="16" t="str">
        <f>IFERROR(VLOOKUP(C5346,DATA!#REF!,2,FALSE),"")</f>
        <v/>
      </c>
      <c r="I5346" s="17"/>
      <c r="J5346" s="17"/>
      <c r="P5346" s="17"/>
      <c r="Q5346" s="17"/>
    </row>
    <row r="5347" spans="2:17">
      <c r="B5347" s="17"/>
      <c r="C5347" s="16" t="str">
        <f>IFERROR(VLOOKUP(DATA!#REF!,DATA!#REF!,1,FALSE),"")</f>
        <v/>
      </c>
      <c r="D5347" s="16" t="str">
        <f>IFERROR(VLOOKUP(C5347,DATA!#REF!,2,FALSE),"")</f>
        <v/>
      </c>
      <c r="I5347" s="17"/>
      <c r="J5347" s="17"/>
      <c r="P5347" s="17"/>
      <c r="Q5347" s="17"/>
    </row>
    <row r="5348" spans="2:17">
      <c r="B5348" s="17"/>
      <c r="C5348" s="16" t="str">
        <f>IFERROR(VLOOKUP(DATA!#REF!,DATA!#REF!,1,FALSE),"")</f>
        <v/>
      </c>
      <c r="D5348" s="16" t="str">
        <f>IFERROR(VLOOKUP(C5348,DATA!#REF!,2,FALSE),"")</f>
        <v/>
      </c>
      <c r="I5348" s="17"/>
      <c r="J5348" s="17"/>
      <c r="P5348" s="17"/>
      <c r="Q5348" s="17"/>
    </row>
    <row r="5349" spans="2:17">
      <c r="B5349" s="17"/>
      <c r="C5349" s="16" t="str">
        <f>IFERROR(VLOOKUP(DATA!#REF!,DATA!#REF!,1,FALSE),"")</f>
        <v/>
      </c>
      <c r="D5349" s="16" t="str">
        <f>IFERROR(VLOOKUP(C5349,DATA!#REF!,2,FALSE),"")</f>
        <v/>
      </c>
      <c r="I5349" s="17"/>
      <c r="J5349" s="17"/>
      <c r="P5349" s="17"/>
      <c r="Q5349" s="17"/>
    </row>
    <row r="5350" spans="2:17">
      <c r="B5350" s="17"/>
      <c r="C5350" s="16" t="str">
        <f>IFERROR(VLOOKUP(DATA!#REF!,DATA!#REF!,1,FALSE),"")</f>
        <v/>
      </c>
      <c r="D5350" s="16" t="str">
        <f>IFERROR(VLOOKUP(C5350,DATA!#REF!,2,FALSE),"")</f>
        <v/>
      </c>
      <c r="I5350" s="17"/>
      <c r="J5350" s="17"/>
      <c r="P5350" s="17"/>
      <c r="Q5350" s="17"/>
    </row>
    <row r="5351" spans="2:17">
      <c r="B5351" s="17"/>
      <c r="C5351" s="16" t="str">
        <f>IFERROR(VLOOKUP(DATA!#REF!,DATA!#REF!,1,FALSE),"")</f>
        <v/>
      </c>
      <c r="D5351" s="16" t="str">
        <f>IFERROR(VLOOKUP(C5351,DATA!#REF!,2,FALSE),"")</f>
        <v/>
      </c>
      <c r="I5351" s="17"/>
      <c r="J5351" s="17"/>
      <c r="P5351" s="17"/>
      <c r="Q5351" s="17"/>
    </row>
    <row r="5352" spans="2:17">
      <c r="B5352" s="17"/>
      <c r="C5352" s="16" t="str">
        <f>IFERROR(VLOOKUP(DATA!#REF!,DATA!#REF!,1,FALSE),"")</f>
        <v/>
      </c>
      <c r="D5352" s="16" t="str">
        <f>IFERROR(VLOOKUP(C5352,DATA!#REF!,2,FALSE),"")</f>
        <v/>
      </c>
      <c r="I5352" s="17"/>
      <c r="J5352" s="17"/>
      <c r="P5352" s="17"/>
      <c r="Q5352" s="17"/>
    </row>
    <row r="5353" spans="2:17">
      <c r="B5353" s="17"/>
      <c r="C5353" s="16" t="str">
        <f>IFERROR(VLOOKUP(DATA!#REF!,DATA!#REF!,1,FALSE),"")</f>
        <v/>
      </c>
      <c r="D5353" s="16" t="str">
        <f>IFERROR(VLOOKUP(C5353,DATA!#REF!,2,FALSE),"")</f>
        <v/>
      </c>
      <c r="I5353" s="17"/>
      <c r="J5353" s="17"/>
      <c r="P5353" s="17"/>
      <c r="Q5353" s="17"/>
    </row>
    <row r="5354" spans="2:17">
      <c r="B5354" s="17"/>
      <c r="C5354" s="16" t="str">
        <f>IFERROR(VLOOKUP(DATA!#REF!,DATA!#REF!,1,FALSE),"")</f>
        <v/>
      </c>
      <c r="D5354" s="16" t="str">
        <f>IFERROR(VLOOKUP(C5354,DATA!#REF!,2,FALSE),"")</f>
        <v/>
      </c>
      <c r="I5354" s="17"/>
      <c r="J5354" s="17"/>
      <c r="P5354" s="17"/>
      <c r="Q5354" s="17"/>
    </row>
    <row r="5355" spans="2:17">
      <c r="B5355" s="17"/>
      <c r="C5355" s="16" t="str">
        <f>IFERROR(VLOOKUP(DATA!#REF!,DATA!#REF!,1,FALSE),"")</f>
        <v/>
      </c>
      <c r="D5355" s="16" t="str">
        <f>IFERROR(VLOOKUP(C5355,DATA!#REF!,2,FALSE),"")</f>
        <v/>
      </c>
      <c r="I5355" s="17"/>
      <c r="J5355" s="17"/>
      <c r="P5355" s="17"/>
      <c r="Q5355" s="17"/>
    </row>
    <row r="5356" spans="2:17">
      <c r="B5356" s="17"/>
      <c r="C5356" s="16" t="str">
        <f>IFERROR(VLOOKUP(DATA!#REF!,DATA!#REF!,1,FALSE),"")</f>
        <v/>
      </c>
      <c r="D5356" s="16" t="str">
        <f>IFERROR(VLOOKUP(C5356,DATA!#REF!,2,FALSE),"")</f>
        <v/>
      </c>
      <c r="I5356" s="17"/>
      <c r="J5356" s="17"/>
      <c r="P5356" s="17"/>
      <c r="Q5356" s="17"/>
    </row>
    <row r="5357" spans="2:17">
      <c r="B5357" s="17"/>
      <c r="C5357" s="16" t="str">
        <f>IFERROR(VLOOKUP(DATA!#REF!,DATA!#REF!,1,FALSE),"")</f>
        <v/>
      </c>
      <c r="D5357" s="16" t="str">
        <f>IFERROR(VLOOKUP(C5357,DATA!#REF!,2,FALSE),"")</f>
        <v/>
      </c>
      <c r="I5357" s="17"/>
      <c r="J5357" s="17"/>
      <c r="P5357" s="17"/>
      <c r="Q5357" s="17"/>
    </row>
    <row r="5358" spans="2:17">
      <c r="B5358" s="17"/>
      <c r="C5358" s="16" t="str">
        <f>IFERROR(VLOOKUP(DATA!#REF!,DATA!#REF!,1,FALSE),"")</f>
        <v/>
      </c>
      <c r="D5358" s="16" t="str">
        <f>IFERROR(VLOOKUP(C5358,DATA!#REF!,2,FALSE),"")</f>
        <v/>
      </c>
      <c r="I5358" s="17"/>
      <c r="J5358" s="17"/>
      <c r="P5358" s="17"/>
      <c r="Q5358" s="17"/>
    </row>
    <row r="5359" spans="2:17">
      <c r="B5359" s="17"/>
      <c r="C5359" s="16" t="str">
        <f>IFERROR(VLOOKUP(DATA!#REF!,DATA!#REF!,1,FALSE),"")</f>
        <v/>
      </c>
      <c r="D5359" s="16" t="str">
        <f>IFERROR(VLOOKUP(C5359,DATA!#REF!,2,FALSE),"")</f>
        <v/>
      </c>
      <c r="I5359" s="17"/>
      <c r="J5359" s="17"/>
      <c r="P5359" s="17"/>
      <c r="Q5359" s="17"/>
    </row>
    <row r="5360" spans="2:17">
      <c r="B5360" s="17"/>
      <c r="C5360" s="16" t="str">
        <f>IFERROR(VLOOKUP(DATA!#REF!,DATA!#REF!,1,FALSE),"")</f>
        <v/>
      </c>
      <c r="D5360" s="16" t="str">
        <f>IFERROR(VLOOKUP(C5360,DATA!#REF!,2,FALSE),"")</f>
        <v/>
      </c>
      <c r="I5360" s="17"/>
      <c r="J5360" s="17"/>
      <c r="P5360" s="17"/>
      <c r="Q5360" s="17"/>
    </row>
    <row r="5361" spans="2:17">
      <c r="B5361" s="17"/>
      <c r="C5361" s="16" t="str">
        <f>IFERROR(VLOOKUP(DATA!#REF!,DATA!#REF!,1,FALSE),"")</f>
        <v/>
      </c>
      <c r="D5361" s="16" t="str">
        <f>IFERROR(VLOOKUP(C5361,DATA!#REF!,2,FALSE),"")</f>
        <v/>
      </c>
      <c r="I5361" s="17"/>
      <c r="J5361" s="17"/>
      <c r="P5361" s="17"/>
      <c r="Q5361" s="17"/>
    </row>
    <row r="5362" spans="2:17">
      <c r="B5362" s="17"/>
      <c r="C5362" s="16" t="str">
        <f>IFERROR(VLOOKUP(DATA!#REF!,DATA!#REF!,1,FALSE),"")</f>
        <v/>
      </c>
      <c r="D5362" s="16" t="str">
        <f>IFERROR(VLOOKUP(C5362,DATA!#REF!,2,FALSE),"")</f>
        <v/>
      </c>
      <c r="I5362" s="17"/>
      <c r="J5362" s="17"/>
      <c r="P5362" s="17"/>
      <c r="Q5362" s="17"/>
    </row>
    <row r="5363" spans="2:17">
      <c r="B5363" s="17"/>
      <c r="C5363" s="16" t="str">
        <f>IFERROR(VLOOKUP(DATA!#REF!,DATA!#REF!,1,FALSE),"")</f>
        <v/>
      </c>
      <c r="D5363" s="16" t="str">
        <f>IFERROR(VLOOKUP(C5363,DATA!#REF!,2,FALSE),"")</f>
        <v/>
      </c>
      <c r="I5363" s="17"/>
      <c r="J5363" s="17"/>
      <c r="P5363" s="17"/>
      <c r="Q5363" s="17"/>
    </row>
    <row r="5364" spans="2:17">
      <c r="B5364" s="17"/>
      <c r="C5364" s="16" t="str">
        <f>IFERROR(VLOOKUP(DATA!#REF!,DATA!#REF!,1,FALSE),"")</f>
        <v/>
      </c>
      <c r="D5364" s="16" t="str">
        <f>IFERROR(VLOOKUP(C5364,DATA!#REF!,2,FALSE),"")</f>
        <v/>
      </c>
      <c r="I5364" s="17"/>
      <c r="J5364" s="17"/>
      <c r="P5364" s="17"/>
      <c r="Q5364" s="17"/>
    </row>
    <row r="5365" spans="2:17">
      <c r="B5365" s="17"/>
      <c r="C5365" s="16" t="str">
        <f>IFERROR(VLOOKUP(DATA!#REF!,DATA!#REF!,1,FALSE),"")</f>
        <v/>
      </c>
      <c r="D5365" s="16" t="str">
        <f>IFERROR(VLOOKUP(C5365,DATA!#REF!,2,FALSE),"")</f>
        <v/>
      </c>
      <c r="I5365" s="17"/>
      <c r="J5365" s="17"/>
      <c r="P5365" s="17"/>
      <c r="Q5365" s="17"/>
    </row>
    <row r="5366" spans="2:17">
      <c r="B5366" s="17"/>
      <c r="C5366" s="16" t="str">
        <f>IFERROR(VLOOKUP(DATA!#REF!,DATA!#REF!,1,FALSE),"")</f>
        <v/>
      </c>
      <c r="D5366" s="16" t="str">
        <f>IFERROR(VLOOKUP(C5366,DATA!#REF!,2,FALSE),"")</f>
        <v/>
      </c>
      <c r="I5366" s="17"/>
      <c r="J5366" s="17"/>
      <c r="P5366" s="17"/>
      <c r="Q5366" s="17"/>
    </row>
    <row r="5367" spans="2:17">
      <c r="B5367" s="17"/>
      <c r="C5367" s="16" t="str">
        <f>IFERROR(VLOOKUP(DATA!#REF!,DATA!#REF!,1,FALSE),"")</f>
        <v/>
      </c>
      <c r="D5367" s="16" t="str">
        <f>IFERROR(VLOOKUP(C5367,DATA!#REF!,2,FALSE),"")</f>
        <v/>
      </c>
      <c r="I5367" s="17"/>
      <c r="J5367" s="17"/>
      <c r="P5367" s="17"/>
      <c r="Q5367" s="17"/>
    </row>
    <row r="5368" spans="2:17">
      <c r="B5368" s="17"/>
      <c r="C5368" s="16" t="str">
        <f>IFERROR(VLOOKUP(DATA!#REF!,DATA!#REF!,1,FALSE),"")</f>
        <v/>
      </c>
      <c r="D5368" s="16" t="str">
        <f>IFERROR(VLOOKUP(C5368,DATA!#REF!,2,FALSE),"")</f>
        <v/>
      </c>
      <c r="I5368" s="17"/>
      <c r="J5368" s="17"/>
      <c r="P5368" s="17"/>
      <c r="Q5368" s="17"/>
    </row>
    <row r="5369" spans="2:17">
      <c r="B5369" s="17"/>
      <c r="C5369" s="16" t="str">
        <f>IFERROR(VLOOKUP(DATA!#REF!,DATA!#REF!,1,FALSE),"")</f>
        <v/>
      </c>
      <c r="D5369" s="16" t="str">
        <f>IFERROR(VLOOKUP(C5369,DATA!#REF!,2,FALSE),"")</f>
        <v/>
      </c>
      <c r="I5369" s="17"/>
      <c r="J5369" s="17"/>
      <c r="P5369" s="17"/>
      <c r="Q5369" s="17"/>
    </row>
    <row r="5370" spans="2:17">
      <c r="B5370" s="17"/>
      <c r="C5370" s="16" t="str">
        <f>IFERROR(VLOOKUP(DATA!#REF!,DATA!#REF!,1,FALSE),"")</f>
        <v/>
      </c>
      <c r="D5370" s="16" t="str">
        <f>IFERROR(VLOOKUP(C5370,DATA!#REF!,2,FALSE),"")</f>
        <v/>
      </c>
      <c r="I5370" s="17"/>
      <c r="J5370" s="17"/>
      <c r="P5370" s="17"/>
      <c r="Q5370" s="17"/>
    </row>
    <row r="5371" spans="2:17">
      <c r="B5371" s="17"/>
      <c r="C5371" s="16" t="str">
        <f>IFERROR(VLOOKUP(DATA!#REF!,DATA!#REF!,1,FALSE),"")</f>
        <v/>
      </c>
      <c r="D5371" s="16" t="str">
        <f>IFERROR(VLOOKUP(C5371,DATA!#REF!,2,FALSE),"")</f>
        <v/>
      </c>
      <c r="I5371" s="17"/>
      <c r="J5371" s="17"/>
      <c r="P5371" s="17"/>
      <c r="Q5371" s="17"/>
    </row>
    <row r="5372" spans="2:17">
      <c r="B5372" s="17"/>
      <c r="C5372" s="16" t="str">
        <f>IFERROR(VLOOKUP(DATA!#REF!,DATA!#REF!,1,FALSE),"")</f>
        <v/>
      </c>
      <c r="D5372" s="16" t="str">
        <f>IFERROR(VLOOKUP(C5372,DATA!#REF!,2,FALSE),"")</f>
        <v/>
      </c>
      <c r="I5372" s="17"/>
      <c r="J5372" s="17"/>
      <c r="P5372" s="17"/>
      <c r="Q5372" s="17"/>
    </row>
    <row r="5373" spans="2:17">
      <c r="B5373" s="17"/>
      <c r="C5373" s="16" t="str">
        <f>IFERROR(VLOOKUP(DATA!#REF!,DATA!#REF!,1,FALSE),"")</f>
        <v/>
      </c>
      <c r="D5373" s="16" t="str">
        <f>IFERROR(VLOOKUP(C5373,DATA!#REF!,2,FALSE),"")</f>
        <v/>
      </c>
      <c r="I5373" s="17"/>
      <c r="J5373" s="17"/>
      <c r="P5373" s="17"/>
      <c r="Q5373" s="17"/>
    </row>
    <row r="5374" spans="2:17">
      <c r="B5374" s="17"/>
      <c r="C5374" s="16" t="str">
        <f>IFERROR(VLOOKUP(DATA!#REF!,DATA!#REF!,1,FALSE),"")</f>
        <v/>
      </c>
      <c r="D5374" s="16" t="str">
        <f>IFERROR(VLOOKUP(C5374,DATA!#REF!,2,FALSE),"")</f>
        <v/>
      </c>
      <c r="I5374" s="17"/>
      <c r="J5374" s="17"/>
      <c r="P5374" s="17"/>
      <c r="Q5374" s="17"/>
    </row>
    <row r="5375" spans="2:17">
      <c r="B5375" s="17"/>
      <c r="C5375" s="16" t="str">
        <f>IFERROR(VLOOKUP(DATA!#REF!,DATA!#REF!,1,FALSE),"")</f>
        <v/>
      </c>
      <c r="D5375" s="16" t="str">
        <f>IFERROR(VLOOKUP(C5375,DATA!#REF!,2,FALSE),"")</f>
        <v/>
      </c>
      <c r="I5375" s="17"/>
      <c r="J5375" s="17"/>
      <c r="P5375" s="17"/>
      <c r="Q5375" s="17"/>
    </row>
    <row r="5376" spans="2:17">
      <c r="B5376" s="17"/>
      <c r="C5376" s="16" t="str">
        <f>IFERROR(VLOOKUP(DATA!#REF!,DATA!#REF!,1,FALSE),"")</f>
        <v/>
      </c>
      <c r="D5376" s="16" t="str">
        <f>IFERROR(VLOOKUP(C5376,DATA!#REF!,2,FALSE),"")</f>
        <v/>
      </c>
      <c r="I5376" s="17"/>
      <c r="J5376" s="17"/>
      <c r="P5376" s="17"/>
      <c r="Q5376" s="17"/>
    </row>
    <row r="5377" spans="2:17">
      <c r="B5377" s="17"/>
      <c r="C5377" s="16" t="str">
        <f>IFERROR(VLOOKUP(DATA!#REF!,DATA!#REF!,1,FALSE),"")</f>
        <v/>
      </c>
      <c r="D5377" s="16" t="str">
        <f>IFERROR(VLOOKUP(C5377,DATA!#REF!,2,FALSE),"")</f>
        <v/>
      </c>
      <c r="I5377" s="17"/>
      <c r="J5377" s="17"/>
      <c r="P5377" s="17"/>
      <c r="Q5377" s="17"/>
    </row>
    <row r="5378" spans="2:17">
      <c r="B5378" s="17"/>
      <c r="C5378" s="16" t="str">
        <f>IFERROR(VLOOKUP(DATA!#REF!,DATA!#REF!,1,FALSE),"")</f>
        <v/>
      </c>
      <c r="D5378" s="16" t="str">
        <f>IFERROR(VLOOKUP(C5378,DATA!#REF!,2,FALSE),"")</f>
        <v/>
      </c>
      <c r="I5378" s="17"/>
      <c r="J5378" s="17"/>
      <c r="P5378" s="17"/>
      <c r="Q5378" s="17"/>
    </row>
    <row r="5379" spans="2:17">
      <c r="B5379" s="17"/>
      <c r="C5379" s="16" t="str">
        <f>IFERROR(VLOOKUP(DATA!#REF!,DATA!#REF!,1,FALSE),"")</f>
        <v/>
      </c>
      <c r="D5379" s="16" t="str">
        <f>IFERROR(VLOOKUP(C5379,DATA!#REF!,2,FALSE),"")</f>
        <v/>
      </c>
      <c r="I5379" s="17"/>
      <c r="J5379" s="17"/>
      <c r="P5379" s="17"/>
      <c r="Q5379" s="17"/>
    </row>
    <row r="5380" spans="2:17">
      <c r="B5380" s="17"/>
      <c r="C5380" s="16" t="str">
        <f>IFERROR(VLOOKUP(DATA!#REF!,DATA!#REF!,1,FALSE),"")</f>
        <v/>
      </c>
      <c r="D5380" s="16" t="str">
        <f>IFERROR(VLOOKUP(C5380,DATA!#REF!,2,FALSE),"")</f>
        <v/>
      </c>
      <c r="I5380" s="17"/>
      <c r="J5380" s="17"/>
      <c r="P5380" s="17"/>
      <c r="Q5380" s="17"/>
    </row>
    <row r="5381" spans="2:17">
      <c r="B5381" s="17"/>
      <c r="C5381" s="16" t="str">
        <f>IFERROR(VLOOKUP(DATA!#REF!,DATA!#REF!,1,FALSE),"")</f>
        <v/>
      </c>
      <c r="D5381" s="16" t="str">
        <f>IFERROR(VLOOKUP(C5381,DATA!#REF!,2,FALSE),"")</f>
        <v/>
      </c>
      <c r="I5381" s="17"/>
      <c r="J5381" s="17"/>
      <c r="P5381" s="17"/>
      <c r="Q5381" s="17"/>
    </row>
    <row r="5382" spans="2:17">
      <c r="B5382" s="17"/>
      <c r="C5382" s="16" t="str">
        <f>IFERROR(VLOOKUP(DATA!#REF!,DATA!#REF!,1,FALSE),"")</f>
        <v/>
      </c>
      <c r="D5382" s="16" t="str">
        <f>IFERROR(VLOOKUP(C5382,DATA!#REF!,2,FALSE),"")</f>
        <v/>
      </c>
      <c r="I5382" s="17"/>
      <c r="J5382" s="17"/>
      <c r="P5382" s="17"/>
      <c r="Q5382" s="17"/>
    </row>
    <row r="5383" spans="2:17">
      <c r="B5383" s="17"/>
      <c r="C5383" s="16" t="str">
        <f>IFERROR(VLOOKUP(DATA!#REF!,DATA!#REF!,1,FALSE),"")</f>
        <v/>
      </c>
      <c r="D5383" s="16" t="str">
        <f>IFERROR(VLOOKUP(C5383,DATA!#REF!,2,FALSE),"")</f>
        <v/>
      </c>
      <c r="I5383" s="17"/>
      <c r="J5383" s="17"/>
      <c r="P5383" s="17"/>
      <c r="Q5383" s="17"/>
    </row>
    <row r="5384" spans="2:17">
      <c r="B5384" s="17"/>
      <c r="C5384" s="16" t="str">
        <f>IFERROR(VLOOKUP(DATA!#REF!,DATA!#REF!,1,FALSE),"")</f>
        <v/>
      </c>
      <c r="D5384" s="16" t="str">
        <f>IFERROR(VLOOKUP(C5384,DATA!#REF!,2,FALSE),"")</f>
        <v/>
      </c>
      <c r="I5384" s="17"/>
      <c r="J5384" s="17"/>
      <c r="P5384" s="17"/>
      <c r="Q5384" s="17"/>
    </row>
    <row r="5385" spans="2:17">
      <c r="B5385" s="17"/>
      <c r="C5385" s="16" t="str">
        <f>IFERROR(VLOOKUP(DATA!#REF!,DATA!#REF!,1,FALSE),"")</f>
        <v/>
      </c>
      <c r="D5385" s="16" t="str">
        <f>IFERROR(VLOOKUP(C5385,DATA!#REF!,2,FALSE),"")</f>
        <v/>
      </c>
      <c r="I5385" s="17"/>
      <c r="J5385" s="17"/>
      <c r="P5385" s="17"/>
      <c r="Q5385" s="17"/>
    </row>
    <row r="5386" spans="2:17">
      <c r="B5386" s="17"/>
      <c r="C5386" s="16" t="str">
        <f>IFERROR(VLOOKUP(DATA!#REF!,DATA!#REF!,1,FALSE),"")</f>
        <v/>
      </c>
      <c r="D5386" s="16" t="str">
        <f>IFERROR(VLOOKUP(C5386,DATA!#REF!,2,FALSE),"")</f>
        <v/>
      </c>
      <c r="I5386" s="17"/>
      <c r="J5386" s="17"/>
      <c r="P5386" s="17"/>
      <c r="Q5386" s="17"/>
    </row>
    <row r="5387" spans="2:17">
      <c r="B5387" s="17"/>
      <c r="C5387" s="16" t="str">
        <f>IFERROR(VLOOKUP(DATA!#REF!,DATA!#REF!,1,FALSE),"")</f>
        <v/>
      </c>
      <c r="D5387" s="16" t="str">
        <f>IFERROR(VLOOKUP(C5387,DATA!#REF!,2,FALSE),"")</f>
        <v/>
      </c>
      <c r="I5387" s="17"/>
      <c r="J5387" s="17"/>
      <c r="P5387" s="17"/>
      <c r="Q5387" s="17"/>
    </row>
    <row r="5388" spans="2:17">
      <c r="B5388" s="17"/>
      <c r="C5388" s="16" t="str">
        <f>IFERROR(VLOOKUP(DATA!#REF!,DATA!#REF!,1,FALSE),"")</f>
        <v/>
      </c>
      <c r="D5388" s="16" t="str">
        <f>IFERROR(VLOOKUP(C5388,DATA!#REF!,2,FALSE),"")</f>
        <v/>
      </c>
      <c r="I5388" s="17"/>
      <c r="J5388" s="17"/>
      <c r="P5388" s="17"/>
      <c r="Q5388" s="17"/>
    </row>
    <row r="5389" spans="2:17">
      <c r="B5389" s="17"/>
      <c r="C5389" s="16" t="str">
        <f>IFERROR(VLOOKUP(DATA!#REF!,DATA!#REF!,1,FALSE),"")</f>
        <v/>
      </c>
      <c r="D5389" s="16" t="str">
        <f>IFERROR(VLOOKUP(C5389,DATA!#REF!,2,FALSE),"")</f>
        <v/>
      </c>
      <c r="I5389" s="17"/>
      <c r="J5389" s="17"/>
      <c r="P5389" s="17"/>
      <c r="Q5389" s="17"/>
    </row>
    <row r="5390" spans="2:17">
      <c r="B5390" s="17"/>
      <c r="C5390" s="16" t="str">
        <f>IFERROR(VLOOKUP(DATA!#REF!,DATA!#REF!,1,FALSE),"")</f>
        <v/>
      </c>
      <c r="D5390" s="16" t="str">
        <f>IFERROR(VLOOKUP(C5390,DATA!#REF!,2,FALSE),"")</f>
        <v/>
      </c>
      <c r="I5390" s="17"/>
      <c r="J5390" s="17"/>
      <c r="P5390" s="17"/>
      <c r="Q5390" s="17"/>
    </row>
    <row r="5391" spans="2:17">
      <c r="B5391" s="17"/>
      <c r="C5391" s="16" t="str">
        <f>IFERROR(VLOOKUP(DATA!#REF!,DATA!#REF!,1,FALSE),"")</f>
        <v/>
      </c>
      <c r="D5391" s="16" t="str">
        <f>IFERROR(VLOOKUP(C5391,DATA!#REF!,2,FALSE),"")</f>
        <v/>
      </c>
      <c r="I5391" s="17"/>
      <c r="J5391" s="17"/>
      <c r="P5391" s="17"/>
      <c r="Q5391" s="17"/>
    </row>
    <row r="5392" spans="2:17">
      <c r="B5392" s="17"/>
      <c r="C5392" s="16" t="str">
        <f>IFERROR(VLOOKUP(DATA!#REF!,DATA!#REF!,1,FALSE),"")</f>
        <v/>
      </c>
      <c r="D5392" s="16" t="str">
        <f>IFERROR(VLOOKUP(C5392,DATA!#REF!,2,FALSE),"")</f>
        <v/>
      </c>
      <c r="I5392" s="17"/>
      <c r="J5392" s="17"/>
      <c r="P5392" s="17"/>
      <c r="Q5392" s="17"/>
    </row>
    <row r="5393" spans="2:17">
      <c r="B5393" s="17"/>
      <c r="C5393" s="16" t="str">
        <f>IFERROR(VLOOKUP(DATA!#REF!,DATA!#REF!,1,FALSE),"")</f>
        <v/>
      </c>
      <c r="D5393" s="16" t="str">
        <f>IFERROR(VLOOKUP(C5393,DATA!#REF!,2,FALSE),"")</f>
        <v/>
      </c>
      <c r="I5393" s="17"/>
      <c r="J5393" s="17"/>
      <c r="P5393" s="17"/>
      <c r="Q5393" s="17"/>
    </row>
    <row r="5394" spans="2:17">
      <c r="B5394" s="17"/>
      <c r="C5394" s="16" t="str">
        <f>IFERROR(VLOOKUP(DATA!#REF!,DATA!#REF!,1,FALSE),"")</f>
        <v/>
      </c>
      <c r="D5394" s="16" t="str">
        <f>IFERROR(VLOOKUP(C5394,DATA!#REF!,2,FALSE),"")</f>
        <v/>
      </c>
      <c r="I5394" s="17"/>
      <c r="J5394" s="17"/>
      <c r="P5394" s="17"/>
      <c r="Q5394" s="17"/>
    </row>
    <row r="5395" spans="2:17">
      <c r="B5395" s="17"/>
      <c r="C5395" s="16" t="str">
        <f>IFERROR(VLOOKUP(DATA!#REF!,DATA!#REF!,1,FALSE),"")</f>
        <v/>
      </c>
      <c r="D5395" s="16" t="str">
        <f>IFERROR(VLOOKUP(C5395,DATA!#REF!,2,FALSE),"")</f>
        <v/>
      </c>
      <c r="I5395" s="17"/>
      <c r="J5395" s="17"/>
      <c r="P5395" s="17"/>
      <c r="Q5395" s="17"/>
    </row>
    <row r="5396" spans="2:17">
      <c r="B5396" s="17"/>
      <c r="C5396" s="16" t="str">
        <f>IFERROR(VLOOKUP(DATA!#REF!,DATA!#REF!,1,FALSE),"")</f>
        <v/>
      </c>
      <c r="D5396" s="16" t="str">
        <f>IFERROR(VLOOKUP(C5396,DATA!#REF!,2,FALSE),"")</f>
        <v/>
      </c>
      <c r="I5396" s="17"/>
      <c r="J5396" s="17"/>
      <c r="P5396" s="17"/>
      <c r="Q5396" s="17"/>
    </row>
    <row r="5397" spans="2:17">
      <c r="B5397" s="17"/>
      <c r="C5397" s="16" t="str">
        <f>IFERROR(VLOOKUP(DATA!#REF!,DATA!#REF!,1,FALSE),"")</f>
        <v/>
      </c>
      <c r="D5397" s="16" t="str">
        <f>IFERROR(VLOOKUP(C5397,DATA!#REF!,2,FALSE),"")</f>
        <v/>
      </c>
      <c r="I5397" s="17"/>
      <c r="J5397" s="17"/>
      <c r="P5397" s="17"/>
      <c r="Q5397" s="17"/>
    </row>
    <row r="5398" spans="2:17">
      <c r="B5398" s="17"/>
      <c r="C5398" s="16" t="str">
        <f>IFERROR(VLOOKUP(DATA!#REF!,DATA!#REF!,1,FALSE),"")</f>
        <v/>
      </c>
      <c r="D5398" s="16" t="str">
        <f>IFERROR(VLOOKUP(C5398,DATA!#REF!,2,FALSE),"")</f>
        <v/>
      </c>
      <c r="I5398" s="17"/>
      <c r="J5398" s="17"/>
      <c r="P5398" s="17"/>
      <c r="Q5398" s="17"/>
    </row>
    <row r="5399" spans="2:17">
      <c r="B5399" s="17"/>
      <c r="C5399" s="16" t="str">
        <f>IFERROR(VLOOKUP(DATA!#REF!,DATA!#REF!,1,FALSE),"")</f>
        <v/>
      </c>
      <c r="D5399" s="16" t="str">
        <f>IFERROR(VLOOKUP(C5399,DATA!#REF!,2,FALSE),"")</f>
        <v/>
      </c>
      <c r="I5399" s="17"/>
      <c r="J5399" s="17"/>
      <c r="P5399" s="17"/>
      <c r="Q5399" s="17"/>
    </row>
    <row r="5400" spans="2:17">
      <c r="B5400" s="17"/>
      <c r="C5400" s="16" t="str">
        <f>IFERROR(VLOOKUP(DATA!#REF!,DATA!#REF!,1,FALSE),"")</f>
        <v/>
      </c>
      <c r="D5400" s="16" t="str">
        <f>IFERROR(VLOOKUP(C5400,DATA!#REF!,2,FALSE),"")</f>
        <v/>
      </c>
      <c r="I5400" s="17"/>
      <c r="J5400" s="17"/>
      <c r="P5400" s="17"/>
      <c r="Q5400" s="17"/>
    </row>
    <row r="5401" spans="2:17">
      <c r="B5401" s="17"/>
      <c r="C5401" s="16" t="str">
        <f>IFERROR(VLOOKUP(DATA!#REF!,DATA!#REF!,1,FALSE),"")</f>
        <v/>
      </c>
      <c r="D5401" s="16" t="str">
        <f>IFERROR(VLOOKUP(C5401,DATA!#REF!,2,FALSE),"")</f>
        <v/>
      </c>
      <c r="I5401" s="17"/>
      <c r="J5401" s="17"/>
      <c r="P5401" s="17"/>
      <c r="Q5401" s="17"/>
    </row>
    <row r="5402" spans="2:17">
      <c r="B5402" s="17"/>
      <c r="C5402" s="16" t="str">
        <f>IFERROR(VLOOKUP(DATA!#REF!,DATA!#REF!,1,FALSE),"")</f>
        <v/>
      </c>
      <c r="D5402" s="16" t="str">
        <f>IFERROR(VLOOKUP(C5402,DATA!#REF!,2,FALSE),"")</f>
        <v/>
      </c>
      <c r="I5402" s="17"/>
      <c r="J5402" s="17"/>
      <c r="P5402" s="17"/>
      <c r="Q5402" s="17"/>
    </row>
    <row r="5403" spans="2:17">
      <c r="B5403" s="17"/>
      <c r="C5403" s="16" t="str">
        <f>IFERROR(VLOOKUP(DATA!#REF!,DATA!#REF!,1,FALSE),"")</f>
        <v/>
      </c>
      <c r="D5403" s="16" t="str">
        <f>IFERROR(VLOOKUP(C5403,DATA!#REF!,2,FALSE),"")</f>
        <v/>
      </c>
      <c r="I5403" s="17"/>
      <c r="J5403" s="17"/>
      <c r="P5403" s="17"/>
      <c r="Q5403" s="17"/>
    </row>
    <row r="5404" spans="2:17">
      <c r="B5404" s="17"/>
      <c r="C5404" s="16" t="str">
        <f>IFERROR(VLOOKUP(DATA!#REF!,DATA!#REF!,1,FALSE),"")</f>
        <v/>
      </c>
      <c r="D5404" s="16" t="str">
        <f>IFERROR(VLOOKUP(C5404,DATA!#REF!,2,FALSE),"")</f>
        <v/>
      </c>
      <c r="I5404" s="17"/>
      <c r="J5404" s="17"/>
      <c r="P5404" s="17"/>
      <c r="Q5404" s="17"/>
    </row>
    <row r="5405" spans="2:17">
      <c r="B5405" s="17"/>
      <c r="C5405" s="16" t="str">
        <f>IFERROR(VLOOKUP(DATA!#REF!,DATA!#REF!,1,FALSE),"")</f>
        <v/>
      </c>
      <c r="D5405" s="16" t="str">
        <f>IFERROR(VLOOKUP(C5405,DATA!#REF!,2,FALSE),"")</f>
        <v/>
      </c>
      <c r="I5405" s="17"/>
      <c r="J5405" s="17"/>
      <c r="P5405" s="17"/>
      <c r="Q5405" s="17"/>
    </row>
    <row r="5406" spans="2:17">
      <c r="B5406" s="17"/>
      <c r="C5406" s="16" t="str">
        <f>IFERROR(VLOOKUP(DATA!#REF!,DATA!#REF!,1,FALSE),"")</f>
        <v/>
      </c>
      <c r="D5406" s="16" t="str">
        <f>IFERROR(VLOOKUP(C5406,DATA!#REF!,2,FALSE),"")</f>
        <v/>
      </c>
      <c r="I5406" s="17"/>
      <c r="J5406" s="17"/>
      <c r="P5406" s="17"/>
      <c r="Q5406" s="17"/>
    </row>
    <row r="5407" spans="2:17">
      <c r="B5407" s="17"/>
      <c r="C5407" s="16" t="str">
        <f>IFERROR(VLOOKUP(DATA!#REF!,DATA!#REF!,1,FALSE),"")</f>
        <v/>
      </c>
      <c r="D5407" s="16" t="str">
        <f>IFERROR(VLOOKUP(C5407,DATA!#REF!,2,FALSE),"")</f>
        <v/>
      </c>
      <c r="I5407" s="17"/>
      <c r="J5407" s="17"/>
      <c r="P5407" s="17"/>
      <c r="Q5407" s="17"/>
    </row>
    <row r="5408" spans="2:17">
      <c r="B5408" s="17"/>
      <c r="C5408" s="16" t="str">
        <f>IFERROR(VLOOKUP(DATA!#REF!,DATA!#REF!,1,FALSE),"")</f>
        <v/>
      </c>
      <c r="D5408" s="16" t="str">
        <f>IFERROR(VLOOKUP(C5408,DATA!#REF!,2,FALSE),"")</f>
        <v/>
      </c>
      <c r="I5408" s="17"/>
      <c r="J5408" s="17"/>
      <c r="P5408" s="17"/>
      <c r="Q5408" s="17"/>
    </row>
    <row r="5409" spans="2:17">
      <c r="B5409" s="17"/>
      <c r="C5409" s="16" t="str">
        <f>IFERROR(VLOOKUP(DATA!#REF!,DATA!#REF!,1,FALSE),"")</f>
        <v/>
      </c>
      <c r="D5409" s="16" t="str">
        <f>IFERROR(VLOOKUP(C5409,DATA!#REF!,2,FALSE),"")</f>
        <v/>
      </c>
      <c r="I5409" s="17"/>
      <c r="J5409" s="17"/>
      <c r="P5409" s="17"/>
      <c r="Q5409" s="17"/>
    </row>
    <row r="5410" spans="2:17">
      <c r="B5410" s="17"/>
      <c r="C5410" s="16" t="str">
        <f>IFERROR(VLOOKUP(DATA!#REF!,DATA!#REF!,1,FALSE),"")</f>
        <v/>
      </c>
      <c r="D5410" s="16" t="str">
        <f>IFERROR(VLOOKUP(C5410,DATA!#REF!,2,FALSE),"")</f>
        <v/>
      </c>
      <c r="I5410" s="17"/>
      <c r="J5410" s="17"/>
      <c r="P5410" s="17"/>
      <c r="Q5410" s="17"/>
    </row>
    <row r="5411" spans="2:17">
      <c r="B5411" s="17"/>
      <c r="C5411" s="16" t="str">
        <f>IFERROR(VLOOKUP(DATA!#REF!,DATA!#REF!,1,FALSE),"")</f>
        <v/>
      </c>
      <c r="D5411" s="16" t="str">
        <f>IFERROR(VLOOKUP(C5411,DATA!#REF!,2,FALSE),"")</f>
        <v/>
      </c>
      <c r="I5411" s="17"/>
      <c r="J5411" s="17"/>
      <c r="P5411" s="17"/>
      <c r="Q5411" s="17"/>
    </row>
    <row r="5412" spans="2:17">
      <c r="B5412" s="17"/>
      <c r="C5412" s="16" t="str">
        <f>IFERROR(VLOOKUP(DATA!#REF!,DATA!#REF!,1,FALSE),"")</f>
        <v/>
      </c>
      <c r="D5412" s="16" t="str">
        <f>IFERROR(VLOOKUP(C5412,DATA!#REF!,2,FALSE),"")</f>
        <v/>
      </c>
      <c r="I5412" s="17"/>
      <c r="J5412" s="17"/>
      <c r="P5412" s="17"/>
      <c r="Q5412" s="17"/>
    </row>
    <row r="5413" spans="2:17">
      <c r="B5413" s="17"/>
      <c r="C5413" s="16" t="str">
        <f>IFERROR(VLOOKUP(DATA!#REF!,DATA!#REF!,1,FALSE),"")</f>
        <v/>
      </c>
      <c r="D5413" s="16" t="str">
        <f>IFERROR(VLOOKUP(C5413,DATA!#REF!,2,FALSE),"")</f>
        <v/>
      </c>
      <c r="I5413" s="17"/>
      <c r="J5413" s="17"/>
      <c r="P5413" s="17"/>
      <c r="Q5413" s="17"/>
    </row>
    <row r="5414" spans="2:17">
      <c r="B5414" s="17"/>
      <c r="C5414" s="16" t="str">
        <f>IFERROR(VLOOKUP(DATA!#REF!,DATA!#REF!,1,FALSE),"")</f>
        <v/>
      </c>
      <c r="D5414" s="16" t="str">
        <f>IFERROR(VLOOKUP(C5414,DATA!#REF!,2,FALSE),"")</f>
        <v/>
      </c>
      <c r="I5414" s="17"/>
      <c r="J5414" s="17"/>
      <c r="P5414" s="17"/>
      <c r="Q5414" s="17"/>
    </row>
    <row r="5415" spans="2:17">
      <c r="B5415" s="17"/>
      <c r="C5415" s="16" t="str">
        <f>IFERROR(VLOOKUP(DATA!#REF!,DATA!#REF!,1,FALSE),"")</f>
        <v/>
      </c>
      <c r="D5415" s="16" t="str">
        <f>IFERROR(VLOOKUP(C5415,DATA!#REF!,2,FALSE),"")</f>
        <v/>
      </c>
      <c r="I5415" s="17"/>
      <c r="J5415" s="17"/>
      <c r="P5415" s="17"/>
      <c r="Q5415" s="17"/>
    </row>
    <row r="5416" spans="2:17">
      <c r="B5416" s="17"/>
      <c r="C5416" s="16" t="str">
        <f>IFERROR(VLOOKUP(DATA!#REF!,DATA!#REF!,1,FALSE),"")</f>
        <v/>
      </c>
      <c r="D5416" s="16" t="str">
        <f>IFERROR(VLOOKUP(C5416,DATA!#REF!,2,FALSE),"")</f>
        <v/>
      </c>
      <c r="I5416" s="17"/>
      <c r="J5416" s="17"/>
      <c r="P5416" s="17"/>
      <c r="Q5416" s="17"/>
    </row>
    <row r="5417" spans="2:17">
      <c r="B5417" s="17"/>
      <c r="C5417" s="16" t="str">
        <f>IFERROR(VLOOKUP(DATA!#REF!,DATA!#REF!,1,FALSE),"")</f>
        <v/>
      </c>
      <c r="D5417" s="16" t="str">
        <f>IFERROR(VLOOKUP(C5417,DATA!#REF!,2,FALSE),"")</f>
        <v/>
      </c>
      <c r="I5417" s="17"/>
      <c r="J5417" s="17"/>
      <c r="P5417" s="17"/>
      <c r="Q5417" s="17"/>
    </row>
    <row r="5418" spans="2:17">
      <c r="B5418" s="17"/>
      <c r="C5418" s="16" t="str">
        <f>IFERROR(VLOOKUP(DATA!#REF!,DATA!#REF!,1,FALSE),"")</f>
        <v/>
      </c>
      <c r="D5418" s="16" t="str">
        <f>IFERROR(VLOOKUP(C5418,DATA!#REF!,2,FALSE),"")</f>
        <v/>
      </c>
      <c r="I5418" s="17"/>
      <c r="J5418" s="17"/>
      <c r="P5418" s="17"/>
      <c r="Q5418" s="17"/>
    </row>
    <row r="5419" spans="2:17">
      <c r="B5419" s="17"/>
      <c r="C5419" s="16" t="str">
        <f>IFERROR(VLOOKUP(DATA!#REF!,DATA!#REF!,1,FALSE),"")</f>
        <v/>
      </c>
      <c r="D5419" s="16" t="str">
        <f>IFERROR(VLOOKUP(C5419,DATA!#REF!,2,FALSE),"")</f>
        <v/>
      </c>
      <c r="I5419" s="17"/>
      <c r="J5419" s="17"/>
      <c r="P5419" s="17"/>
      <c r="Q5419" s="17"/>
    </row>
    <row r="5420" spans="2:17">
      <c r="B5420" s="17"/>
      <c r="C5420" s="16" t="str">
        <f>IFERROR(VLOOKUP(DATA!#REF!,DATA!#REF!,1,FALSE),"")</f>
        <v/>
      </c>
      <c r="D5420" s="16" t="str">
        <f>IFERROR(VLOOKUP(C5420,DATA!#REF!,2,FALSE),"")</f>
        <v/>
      </c>
      <c r="I5420" s="17"/>
      <c r="J5420" s="17"/>
      <c r="P5420" s="17"/>
      <c r="Q5420" s="17"/>
    </row>
    <row r="5421" spans="2:17">
      <c r="B5421" s="17"/>
      <c r="C5421" s="16" t="str">
        <f>IFERROR(VLOOKUP(DATA!#REF!,DATA!#REF!,1,FALSE),"")</f>
        <v/>
      </c>
      <c r="D5421" s="16" t="str">
        <f>IFERROR(VLOOKUP(C5421,DATA!#REF!,2,FALSE),"")</f>
        <v/>
      </c>
      <c r="I5421" s="17"/>
      <c r="J5421" s="17"/>
      <c r="P5421" s="17"/>
      <c r="Q5421" s="17"/>
    </row>
    <row r="5422" spans="2:17">
      <c r="B5422" s="17"/>
      <c r="C5422" s="16" t="str">
        <f>IFERROR(VLOOKUP(DATA!#REF!,DATA!#REF!,1,FALSE),"")</f>
        <v/>
      </c>
      <c r="D5422" s="16" t="str">
        <f>IFERROR(VLOOKUP(C5422,DATA!#REF!,2,FALSE),"")</f>
        <v/>
      </c>
      <c r="I5422" s="17"/>
      <c r="J5422" s="17"/>
      <c r="P5422" s="17"/>
      <c r="Q5422" s="17"/>
    </row>
    <row r="5423" spans="2:17">
      <c r="B5423" s="17"/>
      <c r="C5423" s="16" t="str">
        <f>IFERROR(VLOOKUP(DATA!#REF!,DATA!#REF!,1,FALSE),"")</f>
        <v/>
      </c>
      <c r="D5423" s="16" t="str">
        <f>IFERROR(VLOOKUP(C5423,DATA!#REF!,2,FALSE),"")</f>
        <v/>
      </c>
      <c r="I5423" s="17"/>
      <c r="J5423" s="17"/>
      <c r="P5423" s="17"/>
      <c r="Q5423" s="17"/>
    </row>
    <row r="5424" spans="2:17">
      <c r="B5424" s="17"/>
      <c r="C5424" s="16" t="str">
        <f>IFERROR(VLOOKUP(DATA!#REF!,DATA!#REF!,1,FALSE),"")</f>
        <v/>
      </c>
      <c r="D5424" s="16" t="str">
        <f>IFERROR(VLOOKUP(C5424,DATA!#REF!,2,FALSE),"")</f>
        <v/>
      </c>
      <c r="I5424" s="17"/>
      <c r="J5424" s="17"/>
      <c r="P5424" s="17"/>
      <c r="Q5424" s="17"/>
    </row>
    <row r="5425" spans="2:17">
      <c r="B5425" s="17"/>
      <c r="C5425" s="16" t="str">
        <f>IFERROR(VLOOKUP(DATA!#REF!,DATA!#REF!,1,FALSE),"")</f>
        <v/>
      </c>
      <c r="D5425" s="16" t="str">
        <f>IFERROR(VLOOKUP(C5425,DATA!#REF!,2,FALSE),"")</f>
        <v/>
      </c>
      <c r="I5425" s="17"/>
      <c r="J5425" s="17"/>
      <c r="P5425" s="17"/>
      <c r="Q5425" s="17"/>
    </row>
    <row r="5426" spans="2:17">
      <c r="B5426" s="17"/>
      <c r="C5426" s="16" t="str">
        <f>IFERROR(VLOOKUP(DATA!#REF!,DATA!#REF!,1,FALSE),"")</f>
        <v/>
      </c>
      <c r="D5426" s="16" t="str">
        <f>IFERROR(VLOOKUP(C5426,DATA!#REF!,2,FALSE),"")</f>
        <v/>
      </c>
      <c r="I5426" s="17"/>
      <c r="J5426" s="17"/>
      <c r="P5426" s="17"/>
      <c r="Q5426" s="17"/>
    </row>
    <row r="5427" spans="2:17">
      <c r="B5427" s="17"/>
      <c r="C5427" s="16" t="str">
        <f>IFERROR(VLOOKUP(DATA!#REF!,DATA!#REF!,1,FALSE),"")</f>
        <v/>
      </c>
      <c r="D5427" s="16" t="str">
        <f>IFERROR(VLOOKUP(C5427,DATA!#REF!,2,FALSE),"")</f>
        <v/>
      </c>
      <c r="I5427" s="17"/>
      <c r="J5427" s="17"/>
      <c r="P5427" s="17"/>
      <c r="Q5427" s="17"/>
    </row>
    <row r="5428" spans="2:17">
      <c r="B5428" s="17"/>
      <c r="C5428" s="16" t="str">
        <f>IFERROR(VLOOKUP(DATA!#REF!,DATA!#REF!,1,FALSE),"")</f>
        <v/>
      </c>
      <c r="D5428" s="16" t="str">
        <f>IFERROR(VLOOKUP(C5428,DATA!#REF!,2,FALSE),"")</f>
        <v/>
      </c>
      <c r="I5428" s="17"/>
      <c r="J5428" s="17"/>
      <c r="P5428" s="17"/>
      <c r="Q5428" s="17"/>
    </row>
    <row r="5429" spans="2:17">
      <c r="B5429" s="17"/>
      <c r="C5429" s="16" t="str">
        <f>IFERROR(VLOOKUP(DATA!#REF!,DATA!#REF!,1,FALSE),"")</f>
        <v/>
      </c>
      <c r="D5429" s="16" t="str">
        <f>IFERROR(VLOOKUP(C5429,DATA!#REF!,2,FALSE),"")</f>
        <v/>
      </c>
      <c r="I5429" s="17"/>
      <c r="J5429" s="17"/>
      <c r="P5429" s="17"/>
      <c r="Q5429" s="17"/>
    </row>
    <row r="5430" spans="2:17">
      <c r="B5430" s="17"/>
      <c r="C5430" s="16" t="str">
        <f>IFERROR(VLOOKUP(DATA!#REF!,DATA!#REF!,1,FALSE),"")</f>
        <v/>
      </c>
      <c r="D5430" s="16" t="str">
        <f>IFERROR(VLOOKUP(C5430,DATA!#REF!,2,FALSE),"")</f>
        <v/>
      </c>
      <c r="I5430" s="17"/>
      <c r="J5430" s="17"/>
      <c r="P5430" s="17"/>
      <c r="Q5430" s="17"/>
    </row>
    <row r="5431" spans="2:17">
      <c r="B5431" s="17"/>
      <c r="C5431" s="16" t="str">
        <f>IFERROR(VLOOKUP(DATA!#REF!,DATA!#REF!,1,FALSE),"")</f>
        <v/>
      </c>
      <c r="D5431" s="16" t="str">
        <f>IFERROR(VLOOKUP(C5431,DATA!#REF!,2,FALSE),"")</f>
        <v/>
      </c>
      <c r="I5431" s="17"/>
      <c r="J5431" s="17"/>
      <c r="P5431" s="17"/>
      <c r="Q5431" s="17"/>
    </row>
    <row r="5432" spans="2:17">
      <c r="B5432" s="17"/>
      <c r="C5432" s="16" t="str">
        <f>IFERROR(VLOOKUP(DATA!#REF!,DATA!#REF!,1,FALSE),"")</f>
        <v/>
      </c>
      <c r="D5432" s="16" t="str">
        <f>IFERROR(VLOOKUP(C5432,DATA!#REF!,2,FALSE),"")</f>
        <v/>
      </c>
      <c r="I5432" s="17"/>
      <c r="J5432" s="17"/>
      <c r="P5432" s="17"/>
      <c r="Q5432" s="17"/>
    </row>
    <row r="5433" spans="2:17">
      <c r="B5433" s="17"/>
      <c r="C5433" s="16" t="str">
        <f>IFERROR(VLOOKUP(DATA!#REF!,DATA!#REF!,1,FALSE),"")</f>
        <v/>
      </c>
      <c r="D5433" s="16" t="str">
        <f>IFERROR(VLOOKUP(C5433,DATA!#REF!,2,FALSE),"")</f>
        <v/>
      </c>
      <c r="I5433" s="17"/>
      <c r="J5433" s="17"/>
      <c r="P5433" s="17"/>
      <c r="Q5433" s="17"/>
    </row>
    <row r="5434" spans="2:17">
      <c r="B5434" s="17"/>
      <c r="C5434" s="16" t="str">
        <f>IFERROR(VLOOKUP(DATA!#REF!,DATA!#REF!,1,FALSE),"")</f>
        <v/>
      </c>
      <c r="D5434" s="16" t="str">
        <f>IFERROR(VLOOKUP(C5434,DATA!#REF!,2,FALSE),"")</f>
        <v/>
      </c>
      <c r="I5434" s="17"/>
      <c r="J5434" s="17"/>
      <c r="P5434" s="17"/>
      <c r="Q5434" s="17"/>
    </row>
    <row r="5435" spans="2:17">
      <c r="B5435" s="17"/>
      <c r="C5435" s="16" t="str">
        <f>IFERROR(VLOOKUP(DATA!#REF!,DATA!#REF!,1,FALSE),"")</f>
        <v/>
      </c>
      <c r="D5435" s="16" t="str">
        <f>IFERROR(VLOOKUP(C5435,DATA!#REF!,2,FALSE),"")</f>
        <v/>
      </c>
      <c r="I5435" s="17"/>
      <c r="J5435" s="17"/>
      <c r="P5435" s="17"/>
      <c r="Q5435" s="17"/>
    </row>
    <row r="5436" spans="2:17">
      <c r="B5436" s="17"/>
      <c r="C5436" s="16" t="str">
        <f>IFERROR(VLOOKUP(DATA!#REF!,DATA!#REF!,1,FALSE),"")</f>
        <v/>
      </c>
      <c r="D5436" s="16" t="str">
        <f>IFERROR(VLOOKUP(C5436,DATA!#REF!,2,FALSE),"")</f>
        <v/>
      </c>
      <c r="I5436" s="17"/>
      <c r="J5436" s="17"/>
      <c r="P5436" s="17"/>
      <c r="Q5436" s="17"/>
    </row>
    <row r="5437" spans="2:17">
      <c r="B5437" s="17"/>
      <c r="C5437" s="16" t="str">
        <f>IFERROR(VLOOKUP(DATA!#REF!,DATA!#REF!,1,FALSE),"")</f>
        <v/>
      </c>
      <c r="D5437" s="16" t="str">
        <f>IFERROR(VLOOKUP(C5437,DATA!#REF!,2,FALSE),"")</f>
        <v/>
      </c>
      <c r="I5437" s="17"/>
      <c r="J5437" s="17"/>
      <c r="P5437" s="17"/>
      <c r="Q5437" s="17"/>
    </row>
    <row r="5438" spans="2:17">
      <c r="B5438" s="17"/>
      <c r="C5438" s="16" t="str">
        <f>IFERROR(VLOOKUP(DATA!#REF!,DATA!#REF!,1,FALSE),"")</f>
        <v/>
      </c>
      <c r="D5438" s="16" t="str">
        <f>IFERROR(VLOOKUP(C5438,DATA!#REF!,2,FALSE),"")</f>
        <v/>
      </c>
      <c r="I5438" s="17"/>
      <c r="J5438" s="17"/>
      <c r="P5438" s="17"/>
      <c r="Q5438" s="17"/>
    </row>
    <row r="5439" spans="2:17">
      <c r="B5439" s="17"/>
      <c r="C5439" s="16" t="str">
        <f>IFERROR(VLOOKUP(DATA!#REF!,DATA!#REF!,1,FALSE),"")</f>
        <v/>
      </c>
      <c r="D5439" s="16" t="str">
        <f>IFERROR(VLOOKUP(C5439,DATA!#REF!,2,FALSE),"")</f>
        <v/>
      </c>
      <c r="I5439" s="17"/>
      <c r="J5439" s="17"/>
      <c r="P5439" s="17"/>
      <c r="Q5439" s="17"/>
    </row>
    <row r="5440" spans="2:17">
      <c r="B5440" s="17"/>
      <c r="C5440" s="16" t="str">
        <f>IFERROR(VLOOKUP(DATA!#REF!,DATA!#REF!,1,FALSE),"")</f>
        <v/>
      </c>
      <c r="D5440" s="16" t="str">
        <f>IFERROR(VLOOKUP(C5440,DATA!#REF!,2,FALSE),"")</f>
        <v/>
      </c>
      <c r="I5440" s="17"/>
      <c r="J5440" s="17"/>
      <c r="P5440" s="17"/>
      <c r="Q5440" s="17"/>
    </row>
    <row r="5441" spans="2:17">
      <c r="B5441" s="17"/>
      <c r="C5441" s="16" t="str">
        <f>IFERROR(VLOOKUP(DATA!#REF!,DATA!#REF!,1,FALSE),"")</f>
        <v/>
      </c>
      <c r="D5441" s="16" t="str">
        <f>IFERROR(VLOOKUP(C5441,DATA!#REF!,2,FALSE),"")</f>
        <v/>
      </c>
      <c r="I5441" s="17"/>
      <c r="J5441" s="17"/>
      <c r="P5441" s="17"/>
      <c r="Q5441" s="17"/>
    </row>
    <row r="5442" spans="2:17">
      <c r="B5442" s="17"/>
      <c r="C5442" s="16" t="str">
        <f>IFERROR(VLOOKUP(DATA!#REF!,DATA!#REF!,1,FALSE),"")</f>
        <v/>
      </c>
      <c r="D5442" s="16" t="str">
        <f>IFERROR(VLOOKUP(C5442,DATA!#REF!,2,FALSE),"")</f>
        <v/>
      </c>
      <c r="I5442" s="17"/>
      <c r="J5442" s="17"/>
      <c r="P5442" s="17"/>
      <c r="Q5442" s="17"/>
    </row>
    <row r="5443" spans="2:17">
      <c r="B5443" s="17"/>
      <c r="C5443" s="16" t="str">
        <f>IFERROR(VLOOKUP(DATA!#REF!,DATA!#REF!,1,FALSE),"")</f>
        <v/>
      </c>
      <c r="D5443" s="16" t="str">
        <f>IFERROR(VLOOKUP(C5443,DATA!#REF!,2,FALSE),"")</f>
        <v/>
      </c>
      <c r="I5443" s="17"/>
      <c r="J5443" s="17"/>
      <c r="P5443" s="17"/>
      <c r="Q5443" s="17"/>
    </row>
    <row r="5444" spans="2:17">
      <c r="B5444" s="17"/>
      <c r="C5444" s="16" t="str">
        <f>IFERROR(VLOOKUP(DATA!#REF!,DATA!#REF!,1,FALSE),"")</f>
        <v/>
      </c>
      <c r="D5444" s="16" t="str">
        <f>IFERROR(VLOOKUP(C5444,DATA!#REF!,2,FALSE),"")</f>
        <v/>
      </c>
      <c r="I5444" s="17"/>
      <c r="J5444" s="17"/>
      <c r="P5444" s="17"/>
      <c r="Q5444" s="17"/>
    </row>
    <row r="5445" spans="2:17">
      <c r="B5445" s="17"/>
      <c r="C5445" s="16" t="str">
        <f>IFERROR(VLOOKUP(DATA!#REF!,DATA!#REF!,1,FALSE),"")</f>
        <v/>
      </c>
      <c r="D5445" s="16" t="str">
        <f>IFERROR(VLOOKUP(C5445,DATA!#REF!,2,FALSE),"")</f>
        <v/>
      </c>
      <c r="I5445" s="17"/>
      <c r="J5445" s="17"/>
      <c r="P5445" s="17"/>
      <c r="Q5445" s="17"/>
    </row>
    <row r="5446" spans="2:17">
      <c r="B5446" s="17"/>
      <c r="C5446" s="16" t="str">
        <f>IFERROR(VLOOKUP(DATA!#REF!,DATA!#REF!,1,FALSE),"")</f>
        <v/>
      </c>
      <c r="D5446" s="16" t="str">
        <f>IFERROR(VLOOKUP(C5446,DATA!#REF!,2,FALSE),"")</f>
        <v/>
      </c>
      <c r="I5446" s="17"/>
      <c r="J5446" s="17"/>
      <c r="P5446" s="17"/>
      <c r="Q5446" s="17"/>
    </row>
    <row r="5447" spans="2:17">
      <c r="B5447" s="17"/>
      <c r="C5447" s="16" t="str">
        <f>IFERROR(VLOOKUP(DATA!#REF!,DATA!#REF!,1,FALSE),"")</f>
        <v/>
      </c>
      <c r="D5447" s="16" t="str">
        <f>IFERROR(VLOOKUP(C5447,DATA!#REF!,2,FALSE),"")</f>
        <v/>
      </c>
      <c r="I5447" s="17"/>
      <c r="J5447" s="17"/>
      <c r="P5447" s="17"/>
      <c r="Q5447" s="17"/>
    </row>
    <row r="5448" spans="2:17">
      <c r="B5448" s="17"/>
      <c r="C5448" s="16" t="str">
        <f>IFERROR(VLOOKUP(DATA!#REF!,DATA!#REF!,1,FALSE),"")</f>
        <v/>
      </c>
      <c r="D5448" s="16" t="str">
        <f>IFERROR(VLOOKUP(C5448,DATA!#REF!,2,FALSE),"")</f>
        <v/>
      </c>
      <c r="I5448" s="17"/>
      <c r="J5448" s="17"/>
      <c r="P5448" s="17"/>
      <c r="Q5448" s="17"/>
    </row>
    <row r="5449" spans="2:17">
      <c r="B5449" s="17"/>
      <c r="C5449" s="16" t="str">
        <f>IFERROR(VLOOKUP(DATA!#REF!,DATA!#REF!,1,FALSE),"")</f>
        <v/>
      </c>
      <c r="D5449" s="16" t="str">
        <f>IFERROR(VLOOKUP(C5449,DATA!#REF!,2,FALSE),"")</f>
        <v/>
      </c>
      <c r="I5449" s="17"/>
      <c r="J5449" s="17"/>
      <c r="P5449" s="17"/>
      <c r="Q5449" s="17"/>
    </row>
    <row r="5450" spans="2:17">
      <c r="B5450" s="17"/>
      <c r="C5450" s="16" t="str">
        <f>IFERROR(VLOOKUP(DATA!#REF!,DATA!#REF!,1,FALSE),"")</f>
        <v/>
      </c>
      <c r="D5450" s="16" t="str">
        <f>IFERROR(VLOOKUP(C5450,DATA!#REF!,2,FALSE),"")</f>
        <v/>
      </c>
      <c r="I5450" s="17"/>
      <c r="J5450" s="17"/>
      <c r="P5450" s="17"/>
      <c r="Q5450" s="17"/>
    </row>
    <row r="5451" spans="2:17">
      <c r="B5451" s="17"/>
      <c r="C5451" s="16" t="str">
        <f>IFERROR(VLOOKUP(DATA!#REF!,DATA!#REF!,1,FALSE),"")</f>
        <v/>
      </c>
      <c r="D5451" s="16" t="str">
        <f>IFERROR(VLOOKUP(C5451,DATA!#REF!,2,FALSE),"")</f>
        <v/>
      </c>
      <c r="I5451" s="17"/>
      <c r="J5451" s="17"/>
      <c r="P5451" s="17"/>
      <c r="Q5451" s="17"/>
    </row>
    <row r="5452" spans="2:17">
      <c r="B5452" s="17"/>
      <c r="C5452" s="16" t="str">
        <f>IFERROR(VLOOKUP(DATA!#REF!,DATA!#REF!,1,FALSE),"")</f>
        <v/>
      </c>
      <c r="D5452" s="16" t="str">
        <f>IFERROR(VLOOKUP(C5452,DATA!#REF!,2,FALSE),"")</f>
        <v/>
      </c>
      <c r="I5452" s="17"/>
      <c r="J5452" s="17"/>
      <c r="P5452" s="17"/>
      <c r="Q5452" s="17"/>
    </row>
    <row r="5453" spans="2:17">
      <c r="B5453" s="17"/>
      <c r="C5453" s="16" t="str">
        <f>IFERROR(VLOOKUP(DATA!#REF!,DATA!#REF!,1,FALSE),"")</f>
        <v/>
      </c>
      <c r="D5453" s="16" t="str">
        <f>IFERROR(VLOOKUP(C5453,DATA!#REF!,2,FALSE),"")</f>
        <v/>
      </c>
      <c r="I5453" s="17"/>
      <c r="J5453" s="17"/>
      <c r="P5453" s="17"/>
      <c r="Q5453" s="17"/>
    </row>
    <row r="5454" spans="2:17">
      <c r="B5454" s="17"/>
      <c r="C5454" s="16" t="str">
        <f>IFERROR(VLOOKUP(DATA!#REF!,DATA!#REF!,1,FALSE),"")</f>
        <v/>
      </c>
      <c r="D5454" s="16" t="str">
        <f>IFERROR(VLOOKUP(C5454,DATA!#REF!,2,FALSE),"")</f>
        <v/>
      </c>
      <c r="I5454" s="17"/>
      <c r="J5454" s="17"/>
      <c r="P5454" s="17"/>
      <c r="Q5454" s="17"/>
    </row>
    <row r="5455" spans="2:17">
      <c r="B5455" s="17"/>
      <c r="C5455" s="16" t="str">
        <f>IFERROR(VLOOKUP(DATA!#REF!,DATA!#REF!,1,FALSE),"")</f>
        <v/>
      </c>
      <c r="D5455" s="16" t="str">
        <f>IFERROR(VLOOKUP(C5455,DATA!#REF!,2,FALSE),"")</f>
        <v/>
      </c>
      <c r="I5455" s="17"/>
      <c r="J5455" s="17"/>
      <c r="P5455" s="17"/>
      <c r="Q5455" s="17"/>
    </row>
    <row r="5456" spans="2:17">
      <c r="B5456" s="17"/>
      <c r="C5456" s="16" t="str">
        <f>IFERROR(VLOOKUP(DATA!#REF!,DATA!#REF!,1,FALSE),"")</f>
        <v/>
      </c>
      <c r="D5456" s="16" t="str">
        <f>IFERROR(VLOOKUP(C5456,DATA!#REF!,2,FALSE),"")</f>
        <v/>
      </c>
      <c r="I5456" s="17"/>
      <c r="J5456" s="17"/>
      <c r="P5456" s="17"/>
      <c r="Q5456" s="17"/>
    </row>
    <row r="5457" spans="2:17">
      <c r="B5457" s="17"/>
      <c r="C5457" s="16" t="str">
        <f>IFERROR(VLOOKUP(DATA!#REF!,DATA!#REF!,1,FALSE),"")</f>
        <v/>
      </c>
      <c r="D5457" s="16" t="str">
        <f>IFERROR(VLOOKUP(C5457,DATA!#REF!,2,FALSE),"")</f>
        <v/>
      </c>
      <c r="I5457" s="17"/>
      <c r="J5457" s="17"/>
      <c r="P5457" s="17"/>
      <c r="Q5457" s="17"/>
    </row>
    <row r="5458" spans="2:17">
      <c r="B5458" s="17"/>
      <c r="C5458" s="16" t="str">
        <f>IFERROR(VLOOKUP(DATA!#REF!,DATA!#REF!,1,FALSE),"")</f>
        <v/>
      </c>
      <c r="D5458" s="16" t="str">
        <f>IFERROR(VLOOKUP(C5458,DATA!#REF!,2,FALSE),"")</f>
        <v/>
      </c>
      <c r="I5458" s="17"/>
      <c r="J5458" s="17"/>
      <c r="P5458" s="17"/>
      <c r="Q5458" s="17"/>
    </row>
    <row r="5459" spans="2:17">
      <c r="B5459" s="17"/>
      <c r="C5459" s="16" t="str">
        <f>IFERROR(VLOOKUP(DATA!#REF!,DATA!#REF!,1,FALSE),"")</f>
        <v/>
      </c>
      <c r="D5459" s="16" t="str">
        <f>IFERROR(VLOOKUP(C5459,DATA!#REF!,2,FALSE),"")</f>
        <v/>
      </c>
      <c r="I5459" s="17"/>
      <c r="J5459" s="17"/>
      <c r="P5459" s="17"/>
      <c r="Q5459" s="17"/>
    </row>
    <row r="5460" spans="2:17">
      <c r="B5460" s="17"/>
      <c r="C5460" s="16" t="str">
        <f>IFERROR(VLOOKUP(DATA!#REF!,DATA!#REF!,1,FALSE),"")</f>
        <v/>
      </c>
      <c r="D5460" s="16" t="str">
        <f>IFERROR(VLOOKUP(C5460,DATA!#REF!,2,FALSE),"")</f>
        <v/>
      </c>
      <c r="I5460" s="17"/>
      <c r="J5460" s="17"/>
      <c r="P5460" s="17"/>
      <c r="Q5460" s="17"/>
    </row>
    <row r="5461" spans="2:17">
      <c r="B5461" s="17"/>
      <c r="C5461" s="16" t="str">
        <f>IFERROR(VLOOKUP(DATA!#REF!,DATA!#REF!,1,FALSE),"")</f>
        <v/>
      </c>
      <c r="D5461" s="16" t="str">
        <f>IFERROR(VLOOKUP(C5461,DATA!#REF!,2,FALSE),"")</f>
        <v/>
      </c>
      <c r="I5461" s="17"/>
      <c r="J5461" s="17"/>
      <c r="P5461" s="17"/>
      <c r="Q5461" s="17"/>
    </row>
    <row r="5462" spans="2:17">
      <c r="B5462" s="17"/>
      <c r="C5462" s="16" t="str">
        <f>IFERROR(VLOOKUP(DATA!#REF!,DATA!#REF!,1,FALSE),"")</f>
        <v/>
      </c>
      <c r="D5462" s="16" t="str">
        <f>IFERROR(VLOOKUP(C5462,DATA!#REF!,2,FALSE),"")</f>
        <v/>
      </c>
      <c r="I5462" s="17"/>
      <c r="J5462" s="17"/>
      <c r="P5462" s="17"/>
      <c r="Q5462" s="17"/>
    </row>
    <row r="5463" spans="2:17">
      <c r="B5463" s="17"/>
      <c r="C5463" s="16" t="str">
        <f>IFERROR(VLOOKUP(DATA!#REF!,DATA!#REF!,1,FALSE),"")</f>
        <v/>
      </c>
      <c r="D5463" s="16" t="str">
        <f>IFERROR(VLOOKUP(C5463,DATA!#REF!,2,FALSE),"")</f>
        <v/>
      </c>
      <c r="I5463" s="17"/>
      <c r="J5463" s="17"/>
      <c r="P5463" s="17"/>
      <c r="Q5463" s="17"/>
    </row>
    <row r="5464" spans="2:17">
      <c r="B5464" s="17"/>
      <c r="C5464" s="16" t="str">
        <f>IFERROR(VLOOKUP(DATA!#REF!,DATA!#REF!,1,FALSE),"")</f>
        <v/>
      </c>
      <c r="D5464" s="16" t="str">
        <f>IFERROR(VLOOKUP(C5464,DATA!#REF!,2,FALSE),"")</f>
        <v/>
      </c>
      <c r="I5464" s="17"/>
      <c r="J5464" s="17"/>
      <c r="P5464" s="17"/>
      <c r="Q5464" s="17"/>
    </row>
    <row r="5465" spans="2:17">
      <c r="B5465" s="17"/>
      <c r="C5465" s="16" t="str">
        <f>IFERROR(VLOOKUP(DATA!#REF!,DATA!#REF!,1,FALSE),"")</f>
        <v/>
      </c>
      <c r="D5465" s="16" t="str">
        <f>IFERROR(VLOOKUP(C5465,DATA!#REF!,2,FALSE),"")</f>
        <v/>
      </c>
      <c r="I5465" s="17"/>
      <c r="J5465" s="17"/>
      <c r="P5465" s="17"/>
      <c r="Q5465" s="17"/>
    </row>
    <row r="5466" spans="2:17">
      <c r="B5466" s="17"/>
      <c r="C5466" s="16" t="str">
        <f>IFERROR(VLOOKUP(DATA!#REF!,DATA!#REF!,1,FALSE),"")</f>
        <v/>
      </c>
      <c r="D5466" s="16" t="str">
        <f>IFERROR(VLOOKUP(C5466,DATA!#REF!,2,FALSE),"")</f>
        <v/>
      </c>
      <c r="I5466" s="17"/>
      <c r="J5466" s="17"/>
      <c r="P5466" s="17"/>
      <c r="Q5466" s="17"/>
    </row>
    <row r="5467" spans="2:17">
      <c r="B5467" s="17"/>
      <c r="C5467" s="16" t="str">
        <f>IFERROR(VLOOKUP(DATA!#REF!,DATA!#REF!,1,FALSE),"")</f>
        <v/>
      </c>
      <c r="D5467" s="16" t="str">
        <f>IFERROR(VLOOKUP(C5467,DATA!#REF!,2,FALSE),"")</f>
        <v/>
      </c>
      <c r="I5467" s="17"/>
      <c r="J5467" s="17"/>
      <c r="P5467" s="17"/>
      <c r="Q5467" s="17"/>
    </row>
    <row r="5468" spans="2:17">
      <c r="B5468" s="17"/>
      <c r="C5468" s="16" t="str">
        <f>IFERROR(VLOOKUP(DATA!#REF!,DATA!#REF!,1,FALSE),"")</f>
        <v/>
      </c>
      <c r="D5468" s="16" t="str">
        <f>IFERROR(VLOOKUP(C5468,DATA!#REF!,2,FALSE),"")</f>
        <v/>
      </c>
      <c r="I5468" s="17"/>
      <c r="J5468" s="17"/>
      <c r="P5468" s="17"/>
      <c r="Q5468" s="17"/>
    </row>
    <row r="5469" spans="2:17">
      <c r="B5469" s="17"/>
      <c r="C5469" s="16" t="str">
        <f>IFERROR(VLOOKUP(DATA!#REF!,DATA!#REF!,1,FALSE),"")</f>
        <v/>
      </c>
      <c r="D5469" s="16" t="str">
        <f>IFERROR(VLOOKUP(C5469,DATA!#REF!,2,FALSE),"")</f>
        <v/>
      </c>
      <c r="I5469" s="17"/>
      <c r="J5469" s="17"/>
      <c r="P5469" s="17"/>
      <c r="Q5469" s="17"/>
    </row>
    <row r="5470" spans="2:17">
      <c r="B5470" s="17"/>
      <c r="C5470" s="16" t="str">
        <f>IFERROR(VLOOKUP(DATA!#REF!,DATA!#REF!,1,FALSE),"")</f>
        <v/>
      </c>
      <c r="D5470" s="16" t="str">
        <f>IFERROR(VLOOKUP(C5470,DATA!#REF!,2,FALSE),"")</f>
        <v/>
      </c>
      <c r="I5470" s="17"/>
      <c r="J5470" s="17"/>
      <c r="P5470" s="17"/>
      <c r="Q5470" s="17"/>
    </row>
    <row r="5471" spans="2:17">
      <c r="B5471" s="17"/>
      <c r="C5471" s="16" t="str">
        <f>IFERROR(VLOOKUP(DATA!#REF!,DATA!#REF!,1,FALSE),"")</f>
        <v/>
      </c>
      <c r="D5471" s="16" t="str">
        <f>IFERROR(VLOOKUP(C5471,DATA!#REF!,2,FALSE),"")</f>
        <v/>
      </c>
      <c r="I5471" s="17"/>
      <c r="J5471" s="17"/>
      <c r="P5471" s="17"/>
      <c r="Q5471" s="17"/>
    </row>
    <row r="5472" spans="2:17">
      <c r="B5472" s="17"/>
      <c r="C5472" s="16" t="str">
        <f>IFERROR(VLOOKUP(DATA!#REF!,DATA!#REF!,1,FALSE),"")</f>
        <v/>
      </c>
      <c r="D5472" s="16" t="str">
        <f>IFERROR(VLOOKUP(C5472,DATA!#REF!,2,FALSE),"")</f>
        <v/>
      </c>
      <c r="I5472" s="17"/>
      <c r="J5472" s="17"/>
      <c r="P5472" s="17"/>
      <c r="Q5472" s="17"/>
    </row>
    <row r="5473" spans="2:17">
      <c r="B5473" s="17"/>
      <c r="C5473" s="16" t="str">
        <f>IFERROR(VLOOKUP(DATA!#REF!,DATA!#REF!,1,FALSE),"")</f>
        <v/>
      </c>
      <c r="D5473" s="16" t="str">
        <f>IFERROR(VLOOKUP(C5473,DATA!#REF!,2,FALSE),"")</f>
        <v/>
      </c>
      <c r="I5473" s="17"/>
      <c r="J5473" s="17"/>
      <c r="P5473" s="17"/>
      <c r="Q5473" s="17"/>
    </row>
    <row r="5474" spans="2:17">
      <c r="B5474" s="17"/>
      <c r="C5474" s="16" t="str">
        <f>IFERROR(VLOOKUP(DATA!#REF!,DATA!#REF!,1,FALSE),"")</f>
        <v/>
      </c>
      <c r="D5474" s="16" t="str">
        <f>IFERROR(VLOOKUP(C5474,DATA!#REF!,2,FALSE),"")</f>
        <v/>
      </c>
      <c r="I5474" s="17"/>
      <c r="J5474" s="17"/>
      <c r="P5474" s="17"/>
      <c r="Q5474" s="17"/>
    </row>
    <row r="5475" spans="2:17">
      <c r="B5475" s="17"/>
      <c r="C5475" s="16" t="str">
        <f>IFERROR(VLOOKUP(DATA!#REF!,DATA!#REF!,1,FALSE),"")</f>
        <v/>
      </c>
      <c r="D5475" s="16" t="str">
        <f>IFERROR(VLOOKUP(C5475,DATA!#REF!,2,FALSE),"")</f>
        <v/>
      </c>
      <c r="I5475" s="17"/>
      <c r="J5475" s="17"/>
      <c r="P5475" s="17"/>
      <c r="Q5475" s="17"/>
    </row>
    <row r="5476" spans="2:17">
      <c r="B5476" s="17"/>
      <c r="C5476" s="16" t="str">
        <f>IFERROR(VLOOKUP(DATA!#REF!,DATA!#REF!,1,FALSE),"")</f>
        <v/>
      </c>
      <c r="D5476" s="16" t="str">
        <f>IFERROR(VLOOKUP(C5476,DATA!#REF!,2,FALSE),"")</f>
        <v/>
      </c>
      <c r="I5476" s="17"/>
      <c r="J5476" s="17"/>
      <c r="P5476" s="17"/>
      <c r="Q5476" s="17"/>
    </row>
    <row r="5477" spans="2:17">
      <c r="B5477" s="17"/>
      <c r="C5477" s="16" t="str">
        <f>IFERROR(VLOOKUP(DATA!#REF!,DATA!#REF!,1,FALSE),"")</f>
        <v/>
      </c>
      <c r="D5477" s="16" t="str">
        <f>IFERROR(VLOOKUP(C5477,DATA!#REF!,2,FALSE),"")</f>
        <v/>
      </c>
      <c r="I5477" s="17"/>
      <c r="J5477" s="17"/>
      <c r="P5477" s="17"/>
      <c r="Q5477" s="17"/>
    </row>
    <row r="5478" spans="2:17">
      <c r="B5478" s="17"/>
      <c r="C5478" s="16" t="str">
        <f>IFERROR(VLOOKUP(DATA!#REF!,DATA!#REF!,1,FALSE),"")</f>
        <v/>
      </c>
      <c r="D5478" s="16" t="str">
        <f>IFERROR(VLOOKUP(C5478,DATA!#REF!,2,FALSE),"")</f>
        <v/>
      </c>
      <c r="I5478" s="17"/>
      <c r="J5478" s="17"/>
      <c r="P5478" s="17"/>
      <c r="Q5478" s="17"/>
    </row>
    <row r="5479" spans="2:17">
      <c r="B5479" s="17"/>
      <c r="C5479" s="16" t="str">
        <f>IFERROR(VLOOKUP(DATA!#REF!,DATA!#REF!,1,FALSE),"")</f>
        <v/>
      </c>
      <c r="D5479" s="16" t="str">
        <f>IFERROR(VLOOKUP(C5479,DATA!#REF!,2,FALSE),"")</f>
        <v/>
      </c>
      <c r="I5479" s="17"/>
      <c r="J5479" s="17"/>
      <c r="P5479" s="17"/>
      <c r="Q5479" s="17"/>
    </row>
    <row r="5480" spans="2:17">
      <c r="B5480" s="17"/>
      <c r="C5480" s="16" t="str">
        <f>IFERROR(VLOOKUP(DATA!#REF!,DATA!#REF!,1,FALSE),"")</f>
        <v/>
      </c>
      <c r="D5480" s="16" t="str">
        <f>IFERROR(VLOOKUP(C5480,DATA!#REF!,2,FALSE),"")</f>
        <v/>
      </c>
      <c r="I5480" s="17"/>
      <c r="J5480" s="17"/>
      <c r="P5480" s="17"/>
      <c r="Q5480" s="17"/>
    </row>
    <row r="5481" spans="2:17">
      <c r="B5481" s="17"/>
      <c r="C5481" s="16" t="str">
        <f>IFERROR(VLOOKUP(DATA!#REF!,DATA!#REF!,1,FALSE),"")</f>
        <v/>
      </c>
      <c r="D5481" s="16" t="str">
        <f>IFERROR(VLOOKUP(C5481,DATA!#REF!,2,FALSE),"")</f>
        <v/>
      </c>
      <c r="I5481" s="17"/>
      <c r="J5481" s="17"/>
      <c r="P5481" s="17"/>
      <c r="Q5481" s="17"/>
    </row>
    <row r="5482" spans="2:17">
      <c r="B5482" s="17"/>
      <c r="C5482" s="16" t="str">
        <f>IFERROR(VLOOKUP(DATA!#REF!,DATA!#REF!,1,FALSE),"")</f>
        <v/>
      </c>
      <c r="D5482" s="16" t="str">
        <f>IFERROR(VLOOKUP(C5482,DATA!#REF!,2,FALSE),"")</f>
        <v/>
      </c>
      <c r="I5482" s="17"/>
      <c r="J5482" s="17"/>
      <c r="P5482" s="17"/>
      <c r="Q5482" s="17"/>
    </row>
    <row r="5483" spans="2:17">
      <c r="B5483" s="17"/>
      <c r="C5483" s="16" t="str">
        <f>IFERROR(VLOOKUP(DATA!#REF!,DATA!#REF!,1,FALSE),"")</f>
        <v/>
      </c>
      <c r="D5483" s="16" t="str">
        <f>IFERROR(VLOOKUP(C5483,DATA!#REF!,2,FALSE),"")</f>
        <v/>
      </c>
      <c r="I5483" s="17"/>
      <c r="J5483" s="17"/>
      <c r="P5483" s="17"/>
      <c r="Q5483" s="17"/>
    </row>
    <row r="5484" spans="2:17">
      <c r="B5484" s="17"/>
      <c r="C5484" s="16" t="str">
        <f>IFERROR(VLOOKUP(DATA!#REF!,DATA!#REF!,1,FALSE),"")</f>
        <v/>
      </c>
      <c r="D5484" s="16" t="str">
        <f>IFERROR(VLOOKUP(C5484,DATA!#REF!,2,FALSE),"")</f>
        <v/>
      </c>
      <c r="I5484" s="17"/>
      <c r="J5484" s="17"/>
      <c r="P5484" s="17"/>
      <c r="Q5484" s="17"/>
    </row>
    <row r="5485" spans="2:17">
      <c r="B5485" s="17"/>
      <c r="C5485" s="16" t="str">
        <f>IFERROR(VLOOKUP(DATA!#REF!,DATA!#REF!,1,FALSE),"")</f>
        <v/>
      </c>
      <c r="D5485" s="16" t="str">
        <f>IFERROR(VLOOKUP(C5485,DATA!#REF!,2,FALSE),"")</f>
        <v/>
      </c>
      <c r="I5485" s="17"/>
      <c r="J5485" s="17"/>
      <c r="P5485" s="17"/>
      <c r="Q5485" s="17"/>
    </row>
    <row r="5486" spans="2:17">
      <c r="B5486" s="17"/>
      <c r="C5486" s="16" t="str">
        <f>IFERROR(VLOOKUP(DATA!#REF!,DATA!#REF!,1,FALSE),"")</f>
        <v/>
      </c>
      <c r="D5486" s="16" t="str">
        <f>IFERROR(VLOOKUP(C5486,DATA!#REF!,2,FALSE),"")</f>
        <v/>
      </c>
      <c r="I5486" s="17"/>
      <c r="J5486" s="17"/>
      <c r="P5486" s="17"/>
      <c r="Q5486" s="17"/>
    </row>
    <row r="5487" spans="2:17">
      <c r="B5487" s="17"/>
      <c r="C5487" s="16" t="str">
        <f>IFERROR(VLOOKUP(DATA!#REF!,DATA!#REF!,1,FALSE),"")</f>
        <v/>
      </c>
      <c r="D5487" s="16" t="str">
        <f>IFERROR(VLOOKUP(C5487,DATA!#REF!,2,FALSE),"")</f>
        <v/>
      </c>
      <c r="I5487" s="17"/>
      <c r="J5487" s="17"/>
      <c r="P5487" s="17"/>
      <c r="Q5487" s="17"/>
    </row>
    <row r="5488" spans="2:17">
      <c r="B5488" s="17"/>
      <c r="C5488" s="16" t="str">
        <f>IFERROR(VLOOKUP(DATA!#REF!,DATA!#REF!,1,FALSE),"")</f>
        <v/>
      </c>
      <c r="D5488" s="16" t="str">
        <f>IFERROR(VLOOKUP(C5488,DATA!#REF!,2,FALSE),"")</f>
        <v/>
      </c>
      <c r="I5488" s="17"/>
      <c r="J5488" s="17"/>
      <c r="P5488" s="17"/>
      <c r="Q5488" s="17"/>
    </row>
    <row r="5489" spans="2:17">
      <c r="B5489" s="17"/>
      <c r="C5489" s="16" t="str">
        <f>IFERROR(VLOOKUP(DATA!#REF!,DATA!#REF!,1,FALSE),"")</f>
        <v/>
      </c>
      <c r="D5489" s="16" t="str">
        <f>IFERROR(VLOOKUP(C5489,DATA!#REF!,2,FALSE),"")</f>
        <v/>
      </c>
      <c r="I5489" s="17"/>
      <c r="J5489" s="17"/>
      <c r="P5489" s="17"/>
      <c r="Q5489" s="17"/>
    </row>
    <row r="5490" spans="2:17">
      <c r="B5490" s="17"/>
      <c r="C5490" s="16" t="str">
        <f>IFERROR(VLOOKUP(DATA!#REF!,DATA!#REF!,1,FALSE),"")</f>
        <v/>
      </c>
      <c r="D5490" s="16" t="str">
        <f>IFERROR(VLOOKUP(C5490,DATA!#REF!,2,FALSE),"")</f>
        <v/>
      </c>
      <c r="I5490" s="17"/>
      <c r="J5490" s="17"/>
      <c r="P5490" s="17"/>
      <c r="Q5490" s="17"/>
    </row>
    <row r="5491" spans="2:17">
      <c r="B5491" s="17"/>
      <c r="C5491" s="16" t="str">
        <f>IFERROR(VLOOKUP(DATA!#REF!,DATA!#REF!,1,FALSE),"")</f>
        <v/>
      </c>
      <c r="D5491" s="16" t="str">
        <f>IFERROR(VLOOKUP(C5491,DATA!#REF!,2,FALSE),"")</f>
        <v/>
      </c>
      <c r="I5491" s="17"/>
      <c r="J5491" s="17"/>
      <c r="P5491" s="17"/>
      <c r="Q5491" s="17"/>
    </row>
    <row r="5492" spans="2:17">
      <c r="B5492" s="17"/>
      <c r="C5492" s="16" t="str">
        <f>IFERROR(VLOOKUP(DATA!#REF!,DATA!#REF!,1,FALSE),"")</f>
        <v/>
      </c>
      <c r="D5492" s="16" t="str">
        <f>IFERROR(VLOOKUP(C5492,DATA!#REF!,2,FALSE),"")</f>
        <v/>
      </c>
      <c r="I5492" s="17"/>
      <c r="J5492" s="17"/>
      <c r="P5492" s="17"/>
      <c r="Q5492" s="17"/>
    </row>
    <row r="5493" spans="2:17">
      <c r="B5493" s="17"/>
      <c r="C5493" s="16" t="str">
        <f>IFERROR(VLOOKUP(DATA!#REF!,DATA!#REF!,1,FALSE),"")</f>
        <v/>
      </c>
      <c r="D5493" s="16" t="str">
        <f>IFERROR(VLOOKUP(C5493,DATA!#REF!,2,FALSE),"")</f>
        <v/>
      </c>
      <c r="I5493" s="17"/>
      <c r="J5493" s="17"/>
      <c r="P5493" s="17"/>
      <c r="Q5493" s="17"/>
    </row>
    <row r="5494" spans="2:17">
      <c r="B5494" s="17"/>
      <c r="C5494" s="16" t="str">
        <f>IFERROR(VLOOKUP(DATA!#REF!,DATA!#REF!,1,FALSE),"")</f>
        <v/>
      </c>
      <c r="D5494" s="16" t="str">
        <f>IFERROR(VLOOKUP(C5494,DATA!#REF!,2,FALSE),"")</f>
        <v/>
      </c>
      <c r="I5494" s="17"/>
      <c r="J5494" s="17"/>
      <c r="P5494" s="17"/>
      <c r="Q5494" s="17"/>
    </row>
    <row r="5495" spans="2:17">
      <c r="B5495" s="17"/>
      <c r="C5495" s="16" t="str">
        <f>IFERROR(VLOOKUP(DATA!#REF!,DATA!#REF!,1,FALSE),"")</f>
        <v/>
      </c>
      <c r="D5495" s="16" t="str">
        <f>IFERROR(VLOOKUP(C5495,DATA!#REF!,2,FALSE),"")</f>
        <v/>
      </c>
      <c r="I5495" s="17"/>
      <c r="J5495" s="17"/>
      <c r="P5495" s="17"/>
      <c r="Q5495" s="17"/>
    </row>
    <row r="5496" spans="2:17">
      <c r="B5496" s="17"/>
      <c r="C5496" s="16" t="str">
        <f>IFERROR(VLOOKUP(DATA!#REF!,DATA!#REF!,1,FALSE),"")</f>
        <v/>
      </c>
      <c r="D5496" s="16" t="str">
        <f>IFERROR(VLOOKUP(C5496,DATA!#REF!,2,FALSE),"")</f>
        <v/>
      </c>
      <c r="I5496" s="17"/>
      <c r="J5496" s="17"/>
      <c r="P5496" s="17"/>
      <c r="Q5496" s="17"/>
    </row>
    <row r="5497" spans="2:17">
      <c r="B5497" s="17"/>
      <c r="C5497" s="16" t="str">
        <f>IFERROR(VLOOKUP(DATA!#REF!,DATA!#REF!,1,FALSE),"")</f>
        <v/>
      </c>
      <c r="D5497" s="16" t="str">
        <f>IFERROR(VLOOKUP(C5497,DATA!#REF!,2,FALSE),"")</f>
        <v/>
      </c>
      <c r="I5497" s="17"/>
      <c r="J5497" s="17"/>
      <c r="P5497" s="17"/>
      <c r="Q5497" s="17"/>
    </row>
    <row r="5498" spans="2:17">
      <c r="B5498" s="17"/>
      <c r="C5498" s="16" t="str">
        <f>IFERROR(VLOOKUP(DATA!#REF!,DATA!#REF!,1,FALSE),"")</f>
        <v/>
      </c>
      <c r="D5498" s="16" t="str">
        <f>IFERROR(VLOOKUP(C5498,DATA!#REF!,2,FALSE),"")</f>
        <v/>
      </c>
      <c r="I5498" s="17"/>
      <c r="J5498" s="17"/>
      <c r="P5498" s="17"/>
      <c r="Q5498" s="17"/>
    </row>
    <row r="5499" spans="2:17">
      <c r="B5499" s="17"/>
      <c r="C5499" s="16" t="str">
        <f>IFERROR(VLOOKUP(DATA!#REF!,DATA!#REF!,1,FALSE),"")</f>
        <v/>
      </c>
      <c r="D5499" s="16" t="str">
        <f>IFERROR(VLOOKUP(C5499,DATA!#REF!,2,FALSE),"")</f>
        <v/>
      </c>
      <c r="I5499" s="17"/>
      <c r="J5499" s="17"/>
      <c r="P5499" s="17"/>
      <c r="Q5499" s="17"/>
    </row>
    <row r="5500" spans="2:17">
      <c r="B5500" s="17"/>
      <c r="C5500" s="16" t="str">
        <f>IFERROR(VLOOKUP(DATA!#REF!,DATA!#REF!,1,FALSE),"")</f>
        <v/>
      </c>
      <c r="D5500" s="16" t="str">
        <f>IFERROR(VLOOKUP(C5500,DATA!#REF!,2,FALSE),"")</f>
        <v/>
      </c>
      <c r="I5500" s="17"/>
      <c r="J5500" s="17"/>
      <c r="P5500" s="17"/>
      <c r="Q5500" s="17"/>
    </row>
    <row r="5501" spans="2:17">
      <c r="B5501" s="17"/>
      <c r="C5501" s="16" t="str">
        <f>IFERROR(VLOOKUP(DATA!#REF!,DATA!#REF!,1,FALSE),"")</f>
        <v/>
      </c>
      <c r="D5501" s="16" t="str">
        <f>IFERROR(VLOOKUP(C5501,DATA!#REF!,2,FALSE),"")</f>
        <v/>
      </c>
      <c r="I5501" s="17"/>
      <c r="J5501" s="17"/>
      <c r="P5501" s="17"/>
      <c r="Q5501" s="17"/>
    </row>
    <row r="5502" spans="2:17">
      <c r="B5502" s="17"/>
      <c r="C5502" s="16" t="str">
        <f>IFERROR(VLOOKUP(DATA!#REF!,DATA!#REF!,1,FALSE),"")</f>
        <v/>
      </c>
      <c r="D5502" s="16" t="str">
        <f>IFERROR(VLOOKUP(C5502,DATA!#REF!,2,FALSE),"")</f>
        <v/>
      </c>
      <c r="I5502" s="17"/>
      <c r="J5502" s="17"/>
      <c r="P5502" s="17"/>
      <c r="Q5502" s="17"/>
    </row>
    <row r="5503" spans="2:17">
      <c r="B5503" s="17"/>
      <c r="C5503" s="16" t="str">
        <f>IFERROR(VLOOKUP(DATA!#REF!,DATA!#REF!,1,FALSE),"")</f>
        <v/>
      </c>
      <c r="D5503" s="16" t="str">
        <f>IFERROR(VLOOKUP(C5503,DATA!#REF!,2,FALSE),"")</f>
        <v/>
      </c>
      <c r="I5503" s="17"/>
      <c r="J5503" s="17"/>
      <c r="P5503" s="17"/>
      <c r="Q5503" s="17"/>
    </row>
    <row r="5504" spans="2:17">
      <c r="B5504" s="17"/>
      <c r="C5504" s="16" t="str">
        <f>IFERROR(VLOOKUP(DATA!#REF!,DATA!#REF!,1,FALSE),"")</f>
        <v/>
      </c>
      <c r="D5504" s="16" t="str">
        <f>IFERROR(VLOOKUP(C5504,DATA!#REF!,2,FALSE),"")</f>
        <v/>
      </c>
      <c r="I5504" s="17"/>
      <c r="J5504" s="17"/>
      <c r="P5504" s="17"/>
      <c r="Q5504" s="17"/>
    </row>
    <row r="5505" spans="2:17">
      <c r="B5505" s="17"/>
      <c r="C5505" s="16" t="str">
        <f>IFERROR(VLOOKUP(DATA!#REF!,DATA!#REF!,1,FALSE),"")</f>
        <v/>
      </c>
      <c r="D5505" s="16" t="str">
        <f>IFERROR(VLOOKUP(C5505,DATA!#REF!,2,FALSE),"")</f>
        <v/>
      </c>
      <c r="I5505" s="17"/>
      <c r="J5505" s="17"/>
      <c r="P5505" s="17"/>
      <c r="Q5505" s="17"/>
    </row>
    <row r="5506" spans="2:17">
      <c r="B5506" s="17"/>
      <c r="C5506" s="16" t="str">
        <f>IFERROR(VLOOKUP(DATA!#REF!,DATA!#REF!,1,FALSE),"")</f>
        <v/>
      </c>
      <c r="D5506" s="16" t="str">
        <f>IFERROR(VLOOKUP(C5506,DATA!#REF!,2,FALSE),"")</f>
        <v/>
      </c>
      <c r="I5506" s="17"/>
      <c r="J5506" s="17"/>
      <c r="P5506" s="17"/>
      <c r="Q5506" s="17"/>
    </row>
    <row r="5507" spans="2:17">
      <c r="B5507" s="17"/>
      <c r="C5507" s="16" t="str">
        <f>IFERROR(VLOOKUP(DATA!#REF!,DATA!#REF!,1,FALSE),"")</f>
        <v/>
      </c>
      <c r="D5507" s="16" t="str">
        <f>IFERROR(VLOOKUP(C5507,DATA!#REF!,2,FALSE),"")</f>
        <v/>
      </c>
      <c r="I5507" s="17"/>
      <c r="J5507" s="17"/>
      <c r="P5507" s="17"/>
      <c r="Q5507" s="17"/>
    </row>
    <row r="5508" spans="2:17">
      <c r="B5508" s="17"/>
      <c r="C5508" s="16" t="str">
        <f>IFERROR(VLOOKUP(DATA!#REF!,DATA!#REF!,1,FALSE),"")</f>
        <v/>
      </c>
      <c r="D5508" s="16" t="str">
        <f>IFERROR(VLOOKUP(C5508,DATA!#REF!,2,FALSE),"")</f>
        <v/>
      </c>
      <c r="I5508" s="17"/>
      <c r="J5508" s="17"/>
      <c r="P5508" s="17"/>
      <c r="Q5508" s="17"/>
    </row>
    <row r="5509" spans="2:17">
      <c r="B5509" s="17"/>
      <c r="C5509" s="16" t="str">
        <f>IFERROR(VLOOKUP(DATA!#REF!,DATA!#REF!,1,FALSE),"")</f>
        <v/>
      </c>
      <c r="D5509" s="16" t="str">
        <f>IFERROR(VLOOKUP(C5509,DATA!#REF!,2,FALSE),"")</f>
        <v/>
      </c>
      <c r="I5509" s="17"/>
      <c r="J5509" s="17"/>
      <c r="P5509" s="17"/>
      <c r="Q5509" s="17"/>
    </row>
    <row r="5510" spans="2:17">
      <c r="B5510" s="17"/>
      <c r="C5510" s="16" t="str">
        <f>IFERROR(VLOOKUP(DATA!#REF!,DATA!#REF!,1,FALSE),"")</f>
        <v/>
      </c>
      <c r="D5510" s="16" t="str">
        <f>IFERROR(VLOOKUP(C5510,DATA!#REF!,2,FALSE),"")</f>
        <v/>
      </c>
      <c r="I5510" s="17"/>
      <c r="J5510" s="17"/>
      <c r="P5510" s="17"/>
      <c r="Q5510" s="17"/>
    </row>
    <row r="5511" spans="2:17">
      <c r="B5511" s="17"/>
      <c r="C5511" s="16" t="str">
        <f>IFERROR(VLOOKUP(DATA!#REF!,DATA!#REF!,1,FALSE),"")</f>
        <v/>
      </c>
      <c r="D5511" s="16" t="str">
        <f>IFERROR(VLOOKUP(C5511,DATA!#REF!,2,FALSE),"")</f>
        <v/>
      </c>
      <c r="I5511" s="17"/>
      <c r="J5511" s="17"/>
      <c r="P5511" s="17"/>
      <c r="Q5511" s="17"/>
    </row>
    <row r="5512" spans="2:17">
      <c r="B5512" s="17"/>
      <c r="C5512" s="16" t="str">
        <f>IFERROR(VLOOKUP(DATA!#REF!,DATA!#REF!,1,FALSE),"")</f>
        <v/>
      </c>
      <c r="D5512" s="16" t="str">
        <f>IFERROR(VLOOKUP(C5512,DATA!#REF!,2,FALSE),"")</f>
        <v/>
      </c>
      <c r="I5512" s="17"/>
      <c r="J5512" s="17"/>
      <c r="P5512" s="17"/>
      <c r="Q5512" s="17"/>
    </row>
    <row r="5513" spans="2:17">
      <c r="B5513" s="17"/>
      <c r="C5513" s="16" t="str">
        <f>IFERROR(VLOOKUP(DATA!#REF!,DATA!#REF!,1,FALSE),"")</f>
        <v/>
      </c>
      <c r="D5513" s="16" t="str">
        <f>IFERROR(VLOOKUP(C5513,DATA!#REF!,2,FALSE),"")</f>
        <v/>
      </c>
      <c r="I5513" s="17"/>
      <c r="J5513" s="17"/>
      <c r="P5513" s="17"/>
      <c r="Q5513" s="17"/>
    </row>
    <row r="5514" spans="2:17">
      <c r="B5514" s="17"/>
      <c r="C5514" s="16" t="str">
        <f>IFERROR(VLOOKUP(DATA!#REF!,DATA!#REF!,1,FALSE),"")</f>
        <v/>
      </c>
      <c r="D5514" s="16" t="str">
        <f>IFERROR(VLOOKUP(C5514,DATA!#REF!,2,FALSE),"")</f>
        <v/>
      </c>
      <c r="I5514" s="17"/>
      <c r="J5514" s="17"/>
      <c r="P5514" s="17"/>
      <c r="Q5514" s="17"/>
    </row>
    <row r="5515" spans="2:17">
      <c r="B5515" s="17"/>
      <c r="C5515" s="16" t="str">
        <f>IFERROR(VLOOKUP(DATA!#REF!,DATA!#REF!,1,FALSE),"")</f>
        <v/>
      </c>
      <c r="D5515" s="16" t="str">
        <f>IFERROR(VLOOKUP(C5515,DATA!#REF!,2,FALSE),"")</f>
        <v/>
      </c>
      <c r="I5515" s="17"/>
      <c r="J5515" s="17"/>
      <c r="P5515" s="17"/>
      <c r="Q5515" s="17"/>
    </row>
    <row r="5516" spans="2:17">
      <c r="B5516" s="17"/>
      <c r="C5516" s="16" t="str">
        <f>IFERROR(VLOOKUP(DATA!#REF!,DATA!#REF!,1,FALSE),"")</f>
        <v/>
      </c>
      <c r="D5516" s="16" t="str">
        <f>IFERROR(VLOOKUP(C5516,DATA!#REF!,2,FALSE),"")</f>
        <v/>
      </c>
      <c r="I5516" s="17"/>
      <c r="J5516" s="17"/>
      <c r="P5516" s="17"/>
      <c r="Q5516" s="17"/>
    </row>
    <row r="5517" spans="2:17">
      <c r="B5517" s="17"/>
      <c r="C5517" s="16" t="str">
        <f>IFERROR(VLOOKUP(DATA!#REF!,DATA!#REF!,1,FALSE),"")</f>
        <v/>
      </c>
      <c r="D5517" s="16" t="str">
        <f>IFERROR(VLOOKUP(C5517,DATA!#REF!,2,FALSE),"")</f>
        <v/>
      </c>
      <c r="I5517" s="17"/>
      <c r="J5517" s="17"/>
      <c r="P5517" s="17"/>
      <c r="Q5517" s="17"/>
    </row>
    <row r="5518" spans="2:17">
      <c r="B5518" s="17"/>
      <c r="C5518" s="16" t="str">
        <f>IFERROR(VLOOKUP(DATA!#REF!,DATA!#REF!,1,FALSE),"")</f>
        <v/>
      </c>
      <c r="D5518" s="16" t="str">
        <f>IFERROR(VLOOKUP(C5518,DATA!#REF!,2,FALSE),"")</f>
        <v/>
      </c>
      <c r="I5518" s="17"/>
      <c r="J5518" s="17"/>
      <c r="P5518" s="17"/>
      <c r="Q5518" s="17"/>
    </row>
    <row r="5519" spans="2:17">
      <c r="B5519" s="17"/>
      <c r="C5519" s="16" t="str">
        <f>IFERROR(VLOOKUP(DATA!#REF!,DATA!#REF!,1,FALSE),"")</f>
        <v/>
      </c>
      <c r="D5519" s="16" t="str">
        <f>IFERROR(VLOOKUP(C5519,DATA!#REF!,2,FALSE),"")</f>
        <v/>
      </c>
      <c r="I5519" s="17"/>
      <c r="J5519" s="17"/>
      <c r="P5519" s="17"/>
      <c r="Q5519" s="17"/>
    </row>
    <row r="5520" spans="2:17">
      <c r="B5520" s="17"/>
      <c r="C5520" s="16" t="str">
        <f>IFERROR(VLOOKUP(DATA!#REF!,DATA!#REF!,1,FALSE),"")</f>
        <v/>
      </c>
      <c r="D5520" s="16" t="str">
        <f>IFERROR(VLOOKUP(C5520,DATA!#REF!,2,FALSE),"")</f>
        <v/>
      </c>
      <c r="I5520" s="17"/>
      <c r="J5520" s="17"/>
      <c r="P5520" s="17"/>
      <c r="Q5520" s="17"/>
    </row>
    <row r="5521" spans="2:17">
      <c r="B5521" s="17"/>
      <c r="C5521" s="16" t="str">
        <f>IFERROR(VLOOKUP(DATA!#REF!,DATA!#REF!,1,FALSE),"")</f>
        <v/>
      </c>
      <c r="D5521" s="16" t="str">
        <f>IFERROR(VLOOKUP(C5521,DATA!#REF!,2,FALSE),"")</f>
        <v/>
      </c>
      <c r="I5521" s="17"/>
      <c r="J5521" s="17"/>
      <c r="P5521" s="17"/>
      <c r="Q5521" s="17"/>
    </row>
    <row r="5522" spans="2:17">
      <c r="B5522" s="17"/>
      <c r="C5522" s="16" t="str">
        <f>IFERROR(VLOOKUP(DATA!#REF!,DATA!#REF!,1,FALSE),"")</f>
        <v/>
      </c>
      <c r="D5522" s="16" t="str">
        <f>IFERROR(VLOOKUP(C5522,DATA!#REF!,2,FALSE),"")</f>
        <v/>
      </c>
      <c r="I5522" s="17"/>
      <c r="J5522" s="17"/>
      <c r="P5522" s="17"/>
      <c r="Q5522" s="17"/>
    </row>
    <row r="5523" spans="2:17">
      <c r="B5523" s="17"/>
      <c r="C5523" s="16" t="str">
        <f>IFERROR(VLOOKUP(DATA!#REF!,DATA!#REF!,1,FALSE),"")</f>
        <v/>
      </c>
      <c r="D5523" s="16" t="str">
        <f>IFERROR(VLOOKUP(C5523,DATA!#REF!,2,FALSE),"")</f>
        <v/>
      </c>
      <c r="I5523" s="17"/>
      <c r="J5523" s="17"/>
      <c r="P5523" s="17"/>
      <c r="Q5523" s="17"/>
    </row>
    <row r="5524" spans="2:17">
      <c r="B5524" s="17"/>
      <c r="C5524" s="16" t="str">
        <f>IFERROR(VLOOKUP(DATA!#REF!,DATA!#REF!,1,FALSE),"")</f>
        <v/>
      </c>
      <c r="D5524" s="16" t="str">
        <f>IFERROR(VLOOKUP(C5524,DATA!#REF!,2,FALSE),"")</f>
        <v/>
      </c>
      <c r="I5524" s="17"/>
      <c r="J5524" s="17"/>
      <c r="P5524" s="17"/>
      <c r="Q5524" s="17"/>
    </row>
    <row r="5525" spans="2:17">
      <c r="B5525" s="17"/>
      <c r="C5525" s="16" t="str">
        <f>IFERROR(VLOOKUP(DATA!#REF!,DATA!#REF!,1,FALSE),"")</f>
        <v/>
      </c>
      <c r="D5525" s="16" t="str">
        <f>IFERROR(VLOOKUP(C5525,DATA!#REF!,2,FALSE),"")</f>
        <v/>
      </c>
      <c r="I5525" s="17"/>
      <c r="J5525" s="17"/>
      <c r="P5525" s="17"/>
      <c r="Q5525" s="17"/>
    </row>
    <row r="5526" spans="2:17">
      <c r="B5526" s="17"/>
      <c r="C5526" s="16" t="str">
        <f>IFERROR(VLOOKUP(DATA!#REF!,DATA!#REF!,1,FALSE),"")</f>
        <v/>
      </c>
      <c r="D5526" s="16" t="str">
        <f>IFERROR(VLOOKUP(C5526,DATA!#REF!,2,FALSE),"")</f>
        <v/>
      </c>
      <c r="I5526" s="17"/>
      <c r="J5526" s="17"/>
      <c r="P5526" s="17"/>
      <c r="Q5526" s="17"/>
    </row>
    <row r="5527" spans="2:17">
      <c r="B5527" s="17"/>
      <c r="C5527" s="16" t="str">
        <f>IFERROR(VLOOKUP(DATA!#REF!,DATA!#REF!,1,FALSE),"")</f>
        <v/>
      </c>
      <c r="D5527" s="16" t="str">
        <f>IFERROR(VLOOKUP(C5527,DATA!#REF!,2,FALSE),"")</f>
        <v/>
      </c>
      <c r="I5527" s="17"/>
      <c r="J5527" s="17"/>
      <c r="P5527" s="17"/>
      <c r="Q5527" s="17"/>
    </row>
    <row r="5528" spans="2:17">
      <c r="B5528" s="17"/>
      <c r="C5528" s="16" t="str">
        <f>IFERROR(VLOOKUP(DATA!#REF!,DATA!#REF!,1,FALSE),"")</f>
        <v/>
      </c>
      <c r="D5528" s="16" t="str">
        <f>IFERROR(VLOOKUP(C5528,DATA!#REF!,2,FALSE),"")</f>
        <v/>
      </c>
      <c r="I5528" s="17"/>
      <c r="J5528" s="17"/>
      <c r="P5528" s="17"/>
      <c r="Q5528" s="17"/>
    </row>
    <row r="5529" spans="2:17">
      <c r="B5529" s="17"/>
      <c r="C5529" s="16" t="str">
        <f>IFERROR(VLOOKUP(DATA!#REF!,DATA!#REF!,1,FALSE),"")</f>
        <v/>
      </c>
      <c r="D5529" s="16" t="str">
        <f>IFERROR(VLOOKUP(C5529,DATA!#REF!,2,FALSE),"")</f>
        <v/>
      </c>
      <c r="I5529" s="17"/>
      <c r="J5529" s="17"/>
      <c r="P5529" s="17"/>
      <c r="Q5529" s="17"/>
    </row>
    <row r="5530" spans="2:17">
      <c r="B5530" s="17"/>
      <c r="C5530" s="16" t="str">
        <f>IFERROR(VLOOKUP(DATA!#REF!,DATA!#REF!,1,FALSE),"")</f>
        <v/>
      </c>
      <c r="D5530" s="16" t="str">
        <f>IFERROR(VLOOKUP(C5530,DATA!#REF!,2,FALSE),"")</f>
        <v/>
      </c>
      <c r="I5530" s="17"/>
      <c r="J5530" s="17"/>
      <c r="P5530" s="17"/>
      <c r="Q5530" s="17"/>
    </row>
    <row r="5531" spans="2:17">
      <c r="B5531" s="17"/>
      <c r="C5531" s="16" t="str">
        <f>IFERROR(VLOOKUP(DATA!#REF!,DATA!#REF!,1,FALSE),"")</f>
        <v/>
      </c>
      <c r="D5531" s="16" t="str">
        <f>IFERROR(VLOOKUP(C5531,DATA!#REF!,2,FALSE),"")</f>
        <v/>
      </c>
      <c r="I5531" s="17"/>
      <c r="J5531" s="17"/>
      <c r="P5531" s="17"/>
      <c r="Q5531" s="17"/>
    </row>
    <row r="5532" spans="2:17">
      <c r="B5532" s="17"/>
      <c r="C5532" s="16" t="str">
        <f>IFERROR(VLOOKUP(DATA!#REF!,DATA!#REF!,1,FALSE),"")</f>
        <v/>
      </c>
      <c r="D5532" s="16" t="str">
        <f>IFERROR(VLOOKUP(C5532,DATA!#REF!,2,FALSE),"")</f>
        <v/>
      </c>
      <c r="I5532" s="17"/>
      <c r="J5532" s="17"/>
      <c r="P5532" s="17"/>
      <c r="Q5532" s="17"/>
    </row>
    <row r="5533" spans="2:17">
      <c r="B5533" s="17"/>
      <c r="C5533" s="16" t="str">
        <f>IFERROR(VLOOKUP(DATA!#REF!,DATA!#REF!,1,FALSE),"")</f>
        <v/>
      </c>
      <c r="D5533" s="16" t="str">
        <f>IFERROR(VLOOKUP(C5533,DATA!#REF!,2,FALSE),"")</f>
        <v/>
      </c>
      <c r="I5533" s="17"/>
      <c r="J5533" s="17"/>
      <c r="P5533" s="17"/>
      <c r="Q5533" s="17"/>
    </row>
    <row r="5534" spans="2:17">
      <c r="B5534" s="17"/>
      <c r="C5534" s="16" t="str">
        <f>IFERROR(VLOOKUP(DATA!#REF!,DATA!#REF!,1,FALSE),"")</f>
        <v/>
      </c>
      <c r="D5534" s="16" t="str">
        <f>IFERROR(VLOOKUP(C5534,DATA!#REF!,2,FALSE),"")</f>
        <v/>
      </c>
      <c r="I5534" s="17"/>
      <c r="J5534" s="17"/>
      <c r="P5534" s="17"/>
      <c r="Q5534" s="17"/>
    </row>
    <row r="5535" spans="2:17">
      <c r="B5535" s="17"/>
      <c r="C5535" s="16" t="str">
        <f>IFERROR(VLOOKUP(DATA!#REF!,DATA!#REF!,1,FALSE),"")</f>
        <v/>
      </c>
      <c r="D5535" s="16" t="str">
        <f>IFERROR(VLOOKUP(C5535,DATA!#REF!,2,FALSE),"")</f>
        <v/>
      </c>
      <c r="I5535" s="17"/>
      <c r="J5535" s="17"/>
      <c r="P5535" s="17"/>
      <c r="Q5535" s="17"/>
    </row>
    <row r="5536" spans="2:17">
      <c r="B5536" s="17"/>
      <c r="C5536" s="16" t="str">
        <f>IFERROR(VLOOKUP(DATA!#REF!,DATA!#REF!,1,FALSE),"")</f>
        <v/>
      </c>
      <c r="D5536" s="16" t="str">
        <f>IFERROR(VLOOKUP(C5536,DATA!#REF!,2,FALSE),"")</f>
        <v/>
      </c>
      <c r="I5536" s="17"/>
      <c r="J5536" s="17"/>
      <c r="P5536" s="17"/>
      <c r="Q5536" s="17"/>
    </row>
    <row r="5537" spans="2:17">
      <c r="B5537" s="17"/>
      <c r="C5537" s="16" t="str">
        <f>IFERROR(VLOOKUP(DATA!#REF!,DATA!#REF!,1,FALSE),"")</f>
        <v/>
      </c>
      <c r="D5537" s="16" t="str">
        <f>IFERROR(VLOOKUP(C5537,DATA!#REF!,2,FALSE),"")</f>
        <v/>
      </c>
      <c r="I5537" s="17"/>
      <c r="J5537" s="17"/>
      <c r="P5537" s="17"/>
      <c r="Q5537" s="17"/>
    </row>
    <row r="5538" spans="2:17">
      <c r="B5538" s="17"/>
      <c r="C5538" s="16" t="str">
        <f>IFERROR(VLOOKUP(DATA!#REF!,DATA!#REF!,1,FALSE),"")</f>
        <v/>
      </c>
      <c r="D5538" s="16" t="str">
        <f>IFERROR(VLOOKUP(C5538,DATA!#REF!,2,FALSE),"")</f>
        <v/>
      </c>
      <c r="I5538" s="17"/>
      <c r="J5538" s="17"/>
      <c r="P5538" s="17"/>
      <c r="Q5538" s="17"/>
    </row>
    <row r="5539" spans="2:17">
      <c r="B5539" s="17"/>
      <c r="C5539" s="16" t="str">
        <f>IFERROR(VLOOKUP(DATA!#REF!,DATA!#REF!,1,FALSE),"")</f>
        <v/>
      </c>
      <c r="D5539" s="16" t="str">
        <f>IFERROR(VLOOKUP(C5539,DATA!#REF!,2,FALSE),"")</f>
        <v/>
      </c>
      <c r="I5539" s="17"/>
      <c r="J5539" s="17"/>
      <c r="P5539" s="17"/>
      <c r="Q5539" s="17"/>
    </row>
    <row r="5540" spans="2:17">
      <c r="B5540" s="17"/>
      <c r="C5540" s="16" t="str">
        <f>IFERROR(VLOOKUP(DATA!#REF!,DATA!#REF!,1,FALSE),"")</f>
        <v/>
      </c>
      <c r="D5540" s="16" t="str">
        <f>IFERROR(VLOOKUP(C5540,DATA!#REF!,2,FALSE),"")</f>
        <v/>
      </c>
      <c r="I5540" s="17"/>
      <c r="J5540" s="17"/>
      <c r="P5540" s="17"/>
      <c r="Q5540" s="17"/>
    </row>
    <row r="5541" spans="2:17">
      <c r="B5541" s="17"/>
      <c r="C5541" s="16" t="str">
        <f>IFERROR(VLOOKUP(DATA!#REF!,DATA!#REF!,1,FALSE),"")</f>
        <v/>
      </c>
      <c r="D5541" s="16" t="str">
        <f>IFERROR(VLOOKUP(C5541,DATA!#REF!,2,FALSE),"")</f>
        <v/>
      </c>
      <c r="I5541" s="17"/>
      <c r="J5541" s="17"/>
      <c r="P5541" s="17"/>
      <c r="Q5541" s="17"/>
    </row>
    <row r="5542" spans="2:17">
      <c r="B5542" s="17"/>
      <c r="C5542" s="16" t="str">
        <f>IFERROR(VLOOKUP(DATA!#REF!,DATA!#REF!,1,FALSE),"")</f>
        <v/>
      </c>
      <c r="D5542" s="16" t="str">
        <f>IFERROR(VLOOKUP(C5542,DATA!#REF!,2,FALSE),"")</f>
        <v/>
      </c>
      <c r="I5542" s="17"/>
      <c r="J5542" s="17"/>
      <c r="P5542" s="17"/>
      <c r="Q5542" s="17"/>
    </row>
    <row r="5543" spans="2:17">
      <c r="B5543" s="17"/>
      <c r="C5543" s="16" t="str">
        <f>IFERROR(VLOOKUP(DATA!#REF!,DATA!#REF!,1,FALSE),"")</f>
        <v/>
      </c>
      <c r="D5543" s="16" t="str">
        <f>IFERROR(VLOOKUP(C5543,DATA!#REF!,2,FALSE),"")</f>
        <v/>
      </c>
      <c r="I5543" s="17"/>
      <c r="J5543" s="17"/>
      <c r="P5543" s="17"/>
      <c r="Q5543" s="17"/>
    </row>
    <row r="5544" spans="2:17">
      <c r="B5544" s="17"/>
      <c r="C5544" s="16" t="str">
        <f>IFERROR(VLOOKUP(DATA!#REF!,DATA!#REF!,1,FALSE),"")</f>
        <v/>
      </c>
      <c r="D5544" s="16" t="str">
        <f>IFERROR(VLOOKUP(C5544,DATA!#REF!,2,FALSE),"")</f>
        <v/>
      </c>
      <c r="I5544" s="17"/>
      <c r="J5544" s="17"/>
      <c r="P5544" s="17"/>
      <c r="Q5544" s="17"/>
    </row>
    <row r="5545" spans="2:17">
      <c r="B5545" s="17"/>
      <c r="C5545" s="16" t="str">
        <f>IFERROR(VLOOKUP(DATA!#REF!,DATA!#REF!,1,FALSE),"")</f>
        <v/>
      </c>
      <c r="D5545" s="16" t="str">
        <f>IFERROR(VLOOKUP(C5545,DATA!#REF!,2,FALSE),"")</f>
        <v/>
      </c>
      <c r="I5545" s="17"/>
      <c r="J5545" s="17"/>
      <c r="P5545" s="17"/>
      <c r="Q5545" s="17"/>
    </row>
    <row r="5546" spans="2:17">
      <c r="B5546" s="17"/>
      <c r="C5546" s="16" t="str">
        <f>IFERROR(VLOOKUP(DATA!#REF!,DATA!#REF!,1,FALSE),"")</f>
        <v/>
      </c>
      <c r="D5546" s="16" t="str">
        <f>IFERROR(VLOOKUP(C5546,DATA!#REF!,2,FALSE),"")</f>
        <v/>
      </c>
      <c r="I5546" s="17"/>
      <c r="J5546" s="17"/>
      <c r="P5546" s="17"/>
      <c r="Q5546" s="17"/>
    </row>
    <row r="5547" spans="2:17">
      <c r="B5547" s="17"/>
      <c r="C5547" s="16" t="str">
        <f>IFERROR(VLOOKUP(DATA!#REF!,DATA!#REF!,1,FALSE),"")</f>
        <v/>
      </c>
      <c r="D5547" s="16" t="str">
        <f>IFERROR(VLOOKUP(C5547,DATA!#REF!,2,FALSE),"")</f>
        <v/>
      </c>
      <c r="I5547" s="17"/>
      <c r="J5547" s="17"/>
      <c r="P5547" s="17"/>
      <c r="Q5547" s="17"/>
    </row>
    <row r="5548" spans="2:17">
      <c r="B5548" s="17"/>
      <c r="C5548" s="16" t="str">
        <f>IFERROR(VLOOKUP(DATA!#REF!,DATA!#REF!,1,FALSE),"")</f>
        <v/>
      </c>
      <c r="D5548" s="16" t="str">
        <f>IFERROR(VLOOKUP(C5548,DATA!#REF!,2,FALSE),"")</f>
        <v/>
      </c>
      <c r="I5548" s="17"/>
      <c r="J5548" s="17"/>
      <c r="P5548" s="17"/>
      <c r="Q5548" s="17"/>
    </row>
    <row r="5549" spans="2:17">
      <c r="B5549" s="17"/>
      <c r="C5549" s="16" t="str">
        <f>IFERROR(VLOOKUP(DATA!#REF!,DATA!#REF!,1,FALSE),"")</f>
        <v/>
      </c>
      <c r="D5549" s="16" t="str">
        <f>IFERROR(VLOOKUP(C5549,DATA!#REF!,2,FALSE),"")</f>
        <v/>
      </c>
      <c r="I5549" s="17"/>
      <c r="J5549" s="17"/>
      <c r="P5549" s="17"/>
      <c r="Q5549" s="17"/>
    </row>
    <row r="5550" spans="2:17">
      <c r="B5550" s="17"/>
      <c r="C5550" s="16" t="str">
        <f>IFERROR(VLOOKUP(DATA!#REF!,DATA!#REF!,1,FALSE),"")</f>
        <v/>
      </c>
      <c r="D5550" s="16" t="str">
        <f>IFERROR(VLOOKUP(C5550,DATA!#REF!,2,FALSE),"")</f>
        <v/>
      </c>
      <c r="I5550" s="17"/>
      <c r="J5550" s="17"/>
      <c r="P5550" s="17"/>
      <c r="Q5550" s="17"/>
    </row>
    <row r="5551" spans="2:17">
      <c r="B5551" s="17"/>
      <c r="C5551" s="16" t="str">
        <f>IFERROR(VLOOKUP(DATA!#REF!,DATA!#REF!,1,FALSE),"")</f>
        <v/>
      </c>
      <c r="D5551" s="16" t="str">
        <f>IFERROR(VLOOKUP(C5551,DATA!#REF!,2,FALSE),"")</f>
        <v/>
      </c>
      <c r="I5551" s="17"/>
      <c r="J5551" s="17"/>
      <c r="P5551" s="17"/>
      <c r="Q5551" s="17"/>
    </row>
    <row r="5552" spans="2:17">
      <c r="B5552" s="17"/>
      <c r="C5552" s="16" t="str">
        <f>IFERROR(VLOOKUP(DATA!#REF!,DATA!#REF!,1,FALSE),"")</f>
        <v/>
      </c>
      <c r="D5552" s="16" t="str">
        <f>IFERROR(VLOOKUP(C5552,DATA!#REF!,2,FALSE),"")</f>
        <v/>
      </c>
      <c r="I5552" s="17"/>
      <c r="J5552" s="17"/>
      <c r="P5552" s="17"/>
      <c r="Q5552" s="17"/>
    </row>
    <row r="5553" spans="2:17">
      <c r="B5553" s="17"/>
      <c r="C5553" s="16" t="str">
        <f>IFERROR(VLOOKUP(DATA!#REF!,DATA!#REF!,1,FALSE),"")</f>
        <v/>
      </c>
      <c r="D5553" s="16" t="str">
        <f>IFERROR(VLOOKUP(C5553,DATA!#REF!,2,FALSE),"")</f>
        <v/>
      </c>
      <c r="I5553" s="17"/>
      <c r="J5553" s="17"/>
      <c r="P5553" s="17"/>
      <c r="Q5553" s="17"/>
    </row>
    <row r="5554" spans="2:17">
      <c r="B5554" s="17"/>
      <c r="C5554" s="16" t="str">
        <f>IFERROR(VLOOKUP(DATA!#REF!,DATA!#REF!,1,FALSE),"")</f>
        <v/>
      </c>
      <c r="D5554" s="16" t="str">
        <f>IFERROR(VLOOKUP(C5554,DATA!#REF!,2,FALSE),"")</f>
        <v/>
      </c>
      <c r="I5554" s="17"/>
      <c r="J5554" s="17"/>
      <c r="P5554" s="17"/>
      <c r="Q5554" s="17"/>
    </row>
    <row r="5555" spans="2:17">
      <c r="B5555" s="17"/>
      <c r="C5555" s="16" t="str">
        <f>IFERROR(VLOOKUP(DATA!#REF!,DATA!#REF!,1,FALSE),"")</f>
        <v/>
      </c>
      <c r="D5555" s="16" t="str">
        <f>IFERROR(VLOOKUP(C5555,DATA!#REF!,2,FALSE),"")</f>
        <v/>
      </c>
      <c r="I5555" s="17"/>
      <c r="J5555" s="17"/>
      <c r="P5555" s="17"/>
      <c r="Q5555" s="17"/>
    </row>
    <row r="5556" spans="2:17">
      <c r="B5556" s="17"/>
      <c r="C5556" s="16" t="str">
        <f>IFERROR(VLOOKUP(DATA!#REF!,DATA!#REF!,1,FALSE),"")</f>
        <v/>
      </c>
      <c r="D5556" s="16" t="str">
        <f>IFERROR(VLOOKUP(C5556,DATA!#REF!,2,FALSE),"")</f>
        <v/>
      </c>
      <c r="I5556" s="17"/>
      <c r="J5556" s="17"/>
      <c r="P5556" s="17"/>
      <c r="Q5556" s="17"/>
    </row>
    <row r="5557" spans="2:17">
      <c r="B5557" s="17"/>
      <c r="C5557" s="16" t="str">
        <f>IFERROR(VLOOKUP(DATA!#REF!,DATA!#REF!,1,FALSE),"")</f>
        <v/>
      </c>
      <c r="D5557" s="16" t="str">
        <f>IFERROR(VLOOKUP(C5557,DATA!#REF!,2,FALSE),"")</f>
        <v/>
      </c>
      <c r="I5557" s="17"/>
      <c r="J5557" s="17"/>
      <c r="P5557" s="17"/>
      <c r="Q5557" s="17"/>
    </row>
    <row r="5558" spans="2:17">
      <c r="B5558" s="17"/>
      <c r="C5558" s="16" t="str">
        <f>IFERROR(VLOOKUP(DATA!#REF!,DATA!#REF!,1,FALSE),"")</f>
        <v/>
      </c>
      <c r="D5558" s="16" t="str">
        <f>IFERROR(VLOOKUP(C5558,DATA!#REF!,2,FALSE),"")</f>
        <v/>
      </c>
      <c r="I5558" s="17"/>
      <c r="J5558" s="17"/>
      <c r="P5558" s="17"/>
      <c r="Q5558" s="17"/>
    </row>
    <row r="5559" spans="2:17">
      <c r="B5559" s="17"/>
      <c r="C5559" s="16" t="str">
        <f>IFERROR(VLOOKUP(DATA!#REF!,DATA!#REF!,1,FALSE),"")</f>
        <v/>
      </c>
      <c r="D5559" s="16" t="str">
        <f>IFERROR(VLOOKUP(C5559,DATA!#REF!,2,FALSE),"")</f>
        <v/>
      </c>
      <c r="I5559" s="17"/>
      <c r="J5559" s="17"/>
      <c r="P5559" s="17"/>
      <c r="Q5559" s="17"/>
    </row>
    <row r="5560" spans="2:17">
      <c r="B5560" s="17"/>
      <c r="C5560" s="16" t="str">
        <f>IFERROR(VLOOKUP(DATA!#REF!,DATA!#REF!,1,FALSE),"")</f>
        <v/>
      </c>
      <c r="D5560" s="16" t="str">
        <f>IFERROR(VLOOKUP(C5560,DATA!#REF!,2,FALSE),"")</f>
        <v/>
      </c>
      <c r="I5560" s="17"/>
      <c r="J5560" s="17"/>
      <c r="P5560" s="17"/>
      <c r="Q5560" s="17"/>
    </row>
    <row r="5561" spans="2:17">
      <c r="B5561" s="17"/>
      <c r="C5561" s="16" t="str">
        <f>IFERROR(VLOOKUP(DATA!#REF!,DATA!#REF!,1,FALSE),"")</f>
        <v/>
      </c>
      <c r="D5561" s="16" t="str">
        <f>IFERROR(VLOOKUP(C5561,DATA!#REF!,2,FALSE),"")</f>
        <v/>
      </c>
      <c r="I5561" s="17"/>
      <c r="J5561" s="17"/>
      <c r="P5561" s="17"/>
      <c r="Q5561" s="17"/>
    </row>
    <row r="5562" spans="2:17">
      <c r="B5562" s="17"/>
      <c r="C5562" s="16" t="str">
        <f>IFERROR(VLOOKUP(DATA!#REF!,DATA!#REF!,1,FALSE),"")</f>
        <v/>
      </c>
      <c r="D5562" s="16" t="str">
        <f>IFERROR(VLOOKUP(C5562,DATA!#REF!,2,FALSE),"")</f>
        <v/>
      </c>
      <c r="I5562" s="17"/>
      <c r="J5562" s="17"/>
      <c r="P5562" s="17"/>
      <c r="Q5562" s="17"/>
    </row>
    <row r="5563" spans="2:17">
      <c r="B5563" s="17"/>
      <c r="C5563" s="16" t="str">
        <f>IFERROR(VLOOKUP(DATA!#REF!,DATA!#REF!,1,FALSE),"")</f>
        <v/>
      </c>
      <c r="D5563" s="16" t="str">
        <f>IFERROR(VLOOKUP(C5563,DATA!#REF!,2,FALSE),"")</f>
        <v/>
      </c>
      <c r="I5563" s="17"/>
      <c r="J5563" s="17"/>
      <c r="P5563" s="17"/>
      <c r="Q5563" s="17"/>
    </row>
    <row r="5564" spans="2:17">
      <c r="B5564" s="17"/>
      <c r="C5564" s="16" t="str">
        <f>IFERROR(VLOOKUP(DATA!#REF!,DATA!#REF!,1,FALSE),"")</f>
        <v/>
      </c>
      <c r="D5564" s="16" t="str">
        <f>IFERROR(VLOOKUP(C5564,DATA!#REF!,2,FALSE),"")</f>
        <v/>
      </c>
      <c r="I5564" s="17"/>
      <c r="J5564" s="17"/>
      <c r="P5564" s="17"/>
      <c r="Q5564" s="17"/>
    </row>
    <row r="5565" spans="2:17">
      <c r="B5565" s="17"/>
      <c r="C5565" s="16" t="str">
        <f>IFERROR(VLOOKUP(DATA!#REF!,DATA!#REF!,1,FALSE),"")</f>
        <v/>
      </c>
      <c r="D5565" s="16" t="str">
        <f>IFERROR(VLOOKUP(C5565,DATA!#REF!,2,FALSE),"")</f>
        <v/>
      </c>
      <c r="I5565" s="17"/>
      <c r="J5565" s="17"/>
      <c r="P5565" s="17"/>
      <c r="Q5565" s="17"/>
    </row>
    <row r="5566" spans="2:17">
      <c r="B5566" s="17"/>
      <c r="C5566" s="16" t="str">
        <f>IFERROR(VLOOKUP(DATA!#REF!,DATA!#REF!,1,FALSE),"")</f>
        <v/>
      </c>
      <c r="D5566" s="16" t="str">
        <f>IFERROR(VLOOKUP(C5566,DATA!#REF!,2,FALSE),"")</f>
        <v/>
      </c>
      <c r="I5566" s="17"/>
      <c r="J5566" s="17"/>
      <c r="P5566" s="17"/>
      <c r="Q5566" s="17"/>
    </row>
    <row r="5567" spans="2:17">
      <c r="B5567" s="17"/>
      <c r="C5567" s="16" t="str">
        <f>IFERROR(VLOOKUP(DATA!#REF!,DATA!#REF!,1,FALSE),"")</f>
        <v/>
      </c>
      <c r="D5567" s="16" t="str">
        <f>IFERROR(VLOOKUP(C5567,DATA!#REF!,2,FALSE),"")</f>
        <v/>
      </c>
      <c r="I5567" s="17"/>
      <c r="J5567" s="17"/>
      <c r="P5567" s="17"/>
      <c r="Q5567" s="17"/>
    </row>
    <row r="5568" spans="2:17">
      <c r="B5568" s="17"/>
      <c r="C5568" s="16" t="str">
        <f>IFERROR(VLOOKUP(DATA!#REF!,DATA!#REF!,1,FALSE),"")</f>
        <v/>
      </c>
      <c r="D5568" s="16" t="str">
        <f>IFERROR(VLOOKUP(C5568,DATA!#REF!,2,FALSE),"")</f>
        <v/>
      </c>
      <c r="I5568" s="17"/>
      <c r="J5568" s="17"/>
      <c r="P5568" s="17"/>
      <c r="Q5568" s="17"/>
    </row>
    <row r="5569" spans="2:17">
      <c r="B5569" s="17"/>
      <c r="C5569" s="16" t="str">
        <f>IFERROR(VLOOKUP(DATA!#REF!,DATA!#REF!,1,FALSE),"")</f>
        <v/>
      </c>
      <c r="D5569" s="16" t="str">
        <f>IFERROR(VLOOKUP(C5569,DATA!#REF!,2,FALSE),"")</f>
        <v/>
      </c>
      <c r="I5569" s="17"/>
      <c r="J5569" s="17"/>
      <c r="P5569" s="17"/>
      <c r="Q5569" s="17"/>
    </row>
    <row r="5570" spans="2:17">
      <c r="B5570" s="17"/>
      <c r="C5570" s="16" t="str">
        <f>IFERROR(VLOOKUP(DATA!#REF!,DATA!#REF!,1,FALSE),"")</f>
        <v/>
      </c>
      <c r="D5570" s="16" t="str">
        <f>IFERROR(VLOOKUP(C5570,DATA!#REF!,2,FALSE),"")</f>
        <v/>
      </c>
      <c r="I5570" s="17"/>
      <c r="J5570" s="17"/>
      <c r="P5570" s="17"/>
      <c r="Q5570" s="17"/>
    </row>
    <row r="5571" spans="2:17">
      <c r="B5571" s="17"/>
      <c r="C5571" s="16" t="str">
        <f>IFERROR(VLOOKUP(DATA!#REF!,DATA!#REF!,1,FALSE),"")</f>
        <v/>
      </c>
      <c r="D5571" s="16" t="str">
        <f>IFERROR(VLOOKUP(C5571,DATA!#REF!,2,FALSE),"")</f>
        <v/>
      </c>
      <c r="I5571" s="17"/>
      <c r="J5571" s="17"/>
      <c r="P5571" s="17"/>
      <c r="Q5571" s="17"/>
    </row>
    <row r="5572" spans="2:17">
      <c r="B5572" s="17"/>
      <c r="C5572" s="16" t="str">
        <f>IFERROR(VLOOKUP(DATA!#REF!,DATA!#REF!,1,FALSE),"")</f>
        <v/>
      </c>
      <c r="D5572" s="16" t="str">
        <f>IFERROR(VLOOKUP(C5572,DATA!#REF!,2,FALSE),"")</f>
        <v/>
      </c>
      <c r="I5572" s="17"/>
      <c r="J5572" s="17"/>
      <c r="P5572" s="17"/>
      <c r="Q5572" s="17"/>
    </row>
    <row r="5573" spans="2:17">
      <c r="B5573" s="17"/>
      <c r="C5573" s="16" t="str">
        <f>IFERROR(VLOOKUP(DATA!#REF!,DATA!#REF!,1,FALSE),"")</f>
        <v/>
      </c>
      <c r="D5573" s="16" t="str">
        <f>IFERROR(VLOOKUP(C5573,DATA!#REF!,2,FALSE),"")</f>
        <v/>
      </c>
      <c r="I5573" s="17"/>
      <c r="J5573" s="17"/>
      <c r="P5573" s="17"/>
      <c r="Q5573" s="17"/>
    </row>
    <row r="5574" spans="2:17">
      <c r="B5574" s="17"/>
      <c r="C5574" s="16" t="str">
        <f>IFERROR(VLOOKUP(DATA!#REF!,DATA!#REF!,1,FALSE),"")</f>
        <v/>
      </c>
      <c r="D5574" s="16" t="str">
        <f>IFERROR(VLOOKUP(C5574,DATA!#REF!,2,FALSE),"")</f>
        <v/>
      </c>
      <c r="I5574" s="17"/>
      <c r="J5574" s="17"/>
      <c r="P5574" s="17"/>
      <c r="Q5574" s="17"/>
    </row>
    <row r="5575" spans="2:17">
      <c r="B5575" s="17"/>
      <c r="C5575" s="16" t="str">
        <f>IFERROR(VLOOKUP(DATA!#REF!,DATA!#REF!,1,FALSE),"")</f>
        <v/>
      </c>
      <c r="D5575" s="16" t="str">
        <f>IFERROR(VLOOKUP(C5575,DATA!#REF!,2,FALSE),"")</f>
        <v/>
      </c>
      <c r="I5575" s="17"/>
      <c r="J5575" s="17"/>
      <c r="P5575" s="17"/>
      <c r="Q5575" s="17"/>
    </row>
    <row r="5576" spans="2:17">
      <c r="B5576" s="17"/>
      <c r="C5576" s="16" t="str">
        <f>IFERROR(VLOOKUP(DATA!#REF!,DATA!#REF!,1,FALSE),"")</f>
        <v/>
      </c>
      <c r="D5576" s="16" t="str">
        <f>IFERROR(VLOOKUP(C5576,DATA!#REF!,2,FALSE),"")</f>
        <v/>
      </c>
      <c r="I5576" s="17"/>
      <c r="J5576" s="17"/>
      <c r="P5576" s="17"/>
      <c r="Q5576" s="17"/>
    </row>
    <row r="5577" spans="2:17">
      <c r="B5577" s="17"/>
      <c r="C5577" s="16" t="str">
        <f>IFERROR(VLOOKUP(DATA!#REF!,DATA!#REF!,1,FALSE),"")</f>
        <v/>
      </c>
      <c r="D5577" s="16" t="str">
        <f>IFERROR(VLOOKUP(C5577,DATA!#REF!,2,FALSE),"")</f>
        <v/>
      </c>
      <c r="I5577" s="17"/>
      <c r="J5577" s="17"/>
      <c r="P5577" s="17"/>
      <c r="Q5577" s="17"/>
    </row>
    <row r="5578" spans="2:17">
      <c r="B5578" s="17"/>
      <c r="C5578" s="16" t="str">
        <f>IFERROR(VLOOKUP(DATA!#REF!,DATA!#REF!,1,FALSE),"")</f>
        <v/>
      </c>
      <c r="D5578" s="16" t="str">
        <f>IFERROR(VLOOKUP(C5578,DATA!#REF!,2,FALSE),"")</f>
        <v/>
      </c>
      <c r="I5578" s="17"/>
      <c r="J5578" s="17"/>
      <c r="P5578" s="17"/>
      <c r="Q5578" s="17"/>
    </row>
    <row r="5579" spans="2:17">
      <c r="B5579" s="17"/>
      <c r="C5579" s="16" t="str">
        <f>IFERROR(VLOOKUP(DATA!#REF!,DATA!#REF!,1,FALSE),"")</f>
        <v/>
      </c>
      <c r="D5579" s="16" t="str">
        <f>IFERROR(VLOOKUP(C5579,DATA!#REF!,2,FALSE),"")</f>
        <v/>
      </c>
      <c r="I5579" s="17"/>
      <c r="J5579" s="17"/>
      <c r="P5579" s="17"/>
      <c r="Q5579" s="17"/>
    </row>
    <row r="5580" spans="2:17">
      <c r="B5580" s="17"/>
      <c r="C5580" s="16" t="str">
        <f>IFERROR(VLOOKUP(DATA!#REF!,DATA!#REF!,1,FALSE),"")</f>
        <v/>
      </c>
      <c r="D5580" s="16" t="str">
        <f>IFERROR(VLOOKUP(C5580,DATA!#REF!,2,FALSE),"")</f>
        <v/>
      </c>
      <c r="I5580" s="17"/>
      <c r="J5580" s="17"/>
      <c r="P5580" s="17"/>
      <c r="Q5580" s="17"/>
    </row>
    <row r="5581" spans="2:17">
      <c r="B5581" s="17"/>
      <c r="C5581" s="16" t="str">
        <f>IFERROR(VLOOKUP(DATA!#REF!,DATA!#REF!,1,FALSE),"")</f>
        <v/>
      </c>
      <c r="D5581" s="16" t="str">
        <f>IFERROR(VLOOKUP(C5581,DATA!#REF!,2,FALSE),"")</f>
        <v/>
      </c>
      <c r="I5581" s="17"/>
      <c r="J5581" s="17"/>
      <c r="P5581" s="17"/>
      <c r="Q5581" s="17"/>
    </row>
    <row r="5582" spans="2:17">
      <c r="B5582" s="17"/>
      <c r="C5582" s="16" t="str">
        <f>IFERROR(VLOOKUP(DATA!#REF!,DATA!#REF!,1,FALSE),"")</f>
        <v/>
      </c>
      <c r="D5582" s="16" t="str">
        <f>IFERROR(VLOOKUP(C5582,DATA!#REF!,2,FALSE),"")</f>
        <v/>
      </c>
      <c r="I5582" s="17"/>
      <c r="J5582" s="17"/>
      <c r="P5582" s="17"/>
      <c r="Q5582" s="17"/>
    </row>
    <row r="5583" spans="2:17">
      <c r="B5583" s="17"/>
      <c r="C5583" s="16" t="str">
        <f>IFERROR(VLOOKUP(DATA!#REF!,DATA!#REF!,1,FALSE),"")</f>
        <v/>
      </c>
      <c r="D5583" s="16" t="str">
        <f>IFERROR(VLOOKUP(C5583,DATA!#REF!,2,FALSE),"")</f>
        <v/>
      </c>
      <c r="I5583" s="17"/>
      <c r="J5583" s="17"/>
      <c r="P5583" s="17"/>
      <c r="Q5583" s="17"/>
    </row>
    <row r="5584" spans="2:17">
      <c r="B5584" s="17"/>
      <c r="C5584" s="16" t="str">
        <f>IFERROR(VLOOKUP(DATA!#REF!,DATA!#REF!,1,FALSE),"")</f>
        <v/>
      </c>
      <c r="D5584" s="16" t="str">
        <f>IFERROR(VLOOKUP(C5584,DATA!#REF!,2,FALSE),"")</f>
        <v/>
      </c>
      <c r="I5584" s="17"/>
      <c r="J5584" s="17"/>
      <c r="P5584" s="17"/>
      <c r="Q5584" s="17"/>
    </row>
    <row r="5585" spans="2:17">
      <c r="B5585" s="17"/>
      <c r="C5585" s="16" t="str">
        <f>IFERROR(VLOOKUP(DATA!#REF!,DATA!#REF!,1,FALSE),"")</f>
        <v/>
      </c>
      <c r="D5585" s="16" t="str">
        <f>IFERROR(VLOOKUP(C5585,DATA!#REF!,2,FALSE),"")</f>
        <v/>
      </c>
      <c r="I5585" s="17"/>
      <c r="J5585" s="17"/>
      <c r="P5585" s="17"/>
      <c r="Q5585" s="17"/>
    </row>
    <row r="5586" spans="2:17">
      <c r="B5586" s="17"/>
      <c r="C5586" s="16" t="str">
        <f>IFERROR(VLOOKUP(DATA!#REF!,DATA!#REF!,1,FALSE),"")</f>
        <v/>
      </c>
      <c r="D5586" s="16" t="str">
        <f>IFERROR(VLOOKUP(C5586,DATA!#REF!,2,FALSE),"")</f>
        <v/>
      </c>
      <c r="I5586" s="17"/>
      <c r="J5586" s="17"/>
      <c r="P5586" s="17"/>
      <c r="Q5586" s="17"/>
    </row>
    <row r="5587" spans="2:17">
      <c r="B5587" s="17"/>
      <c r="C5587" s="16" t="str">
        <f>IFERROR(VLOOKUP(DATA!#REF!,DATA!#REF!,1,FALSE),"")</f>
        <v/>
      </c>
      <c r="D5587" s="16" t="str">
        <f>IFERROR(VLOOKUP(C5587,DATA!#REF!,2,FALSE),"")</f>
        <v/>
      </c>
      <c r="I5587" s="17"/>
      <c r="J5587" s="17"/>
      <c r="P5587" s="17"/>
      <c r="Q5587" s="17"/>
    </row>
    <row r="5588" spans="2:17">
      <c r="B5588" s="17"/>
      <c r="C5588" s="16" t="str">
        <f>IFERROR(VLOOKUP(DATA!#REF!,DATA!#REF!,1,FALSE),"")</f>
        <v/>
      </c>
      <c r="D5588" s="16" t="str">
        <f>IFERROR(VLOOKUP(C5588,DATA!#REF!,2,FALSE),"")</f>
        <v/>
      </c>
      <c r="I5588" s="17"/>
      <c r="J5588" s="17"/>
      <c r="P5588" s="17"/>
      <c r="Q5588" s="17"/>
    </row>
    <row r="5589" spans="2:17">
      <c r="B5589" s="17"/>
      <c r="C5589" s="16" t="str">
        <f>IFERROR(VLOOKUP(DATA!#REF!,DATA!#REF!,1,FALSE),"")</f>
        <v/>
      </c>
      <c r="D5589" s="16" t="str">
        <f>IFERROR(VLOOKUP(C5589,DATA!#REF!,2,FALSE),"")</f>
        <v/>
      </c>
      <c r="I5589" s="17"/>
      <c r="J5589" s="17"/>
      <c r="P5589" s="17"/>
      <c r="Q5589" s="17"/>
    </row>
    <row r="5590" spans="2:17">
      <c r="B5590" s="17"/>
      <c r="C5590" s="16" t="str">
        <f>IFERROR(VLOOKUP(DATA!#REF!,DATA!#REF!,1,FALSE),"")</f>
        <v/>
      </c>
      <c r="D5590" s="16" t="str">
        <f>IFERROR(VLOOKUP(C5590,DATA!#REF!,2,FALSE),"")</f>
        <v/>
      </c>
      <c r="I5590" s="17"/>
      <c r="J5590" s="17"/>
      <c r="P5590" s="17"/>
      <c r="Q5590" s="17"/>
    </row>
    <row r="5591" spans="2:17">
      <c r="B5591" s="17"/>
      <c r="C5591" s="16" t="str">
        <f>IFERROR(VLOOKUP(DATA!#REF!,DATA!#REF!,1,FALSE),"")</f>
        <v/>
      </c>
      <c r="D5591" s="16" t="str">
        <f>IFERROR(VLOOKUP(C5591,DATA!#REF!,2,FALSE),"")</f>
        <v/>
      </c>
      <c r="I5591" s="17"/>
      <c r="J5591" s="17"/>
      <c r="P5591" s="17"/>
      <c r="Q5591" s="17"/>
    </row>
    <row r="5592" spans="2:17">
      <c r="B5592" s="17"/>
      <c r="C5592" s="16" t="str">
        <f>IFERROR(VLOOKUP(DATA!#REF!,DATA!#REF!,1,FALSE),"")</f>
        <v/>
      </c>
      <c r="D5592" s="16" t="str">
        <f>IFERROR(VLOOKUP(C5592,DATA!#REF!,2,FALSE),"")</f>
        <v/>
      </c>
      <c r="I5592" s="17"/>
      <c r="J5592" s="17"/>
      <c r="P5592" s="17"/>
      <c r="Q5592" s="17"/>
    </row>
    <row r="5593" spans="2:17">
      <c r="B5593" s="17"/>
      <c r="C5593" s="16" t="str">
        <f>IFERROR(VLOOKUP(DATA!#REF!,DATA!#REF!,1,FALSE),"")</f>
        <v/>
      </c>
      <c r="D5593" s="16" t="str">
        <f>IFERROR(VLOOKUP(C5593,DATA!#REF!,2,FALSE),"")</f>
        <v/>
      </c>
      <c r="I5593" s="17"/>
      <c r="J5593" s="17"/>
      <c r="P5593" s="17"/>
      <c r="Q5593" s="17"/>
    </row>
    <row r="5594" spans="2:17">
      <c r="B5594" s="17"/>
      <c r="C5594" s="16" t="str">
        <f>IFERROR(VLOOKUP(DATA!#REF!,DATA!#REF!,1,FALSE),"")</f>
        <v/>
      </c>
      <c r="D5594" s="16" t="str">
        <f>IFERROR(VLOOKUP(C5594,DATA!#REF!,2,FALSE),"")</f>
        <v/>
      </c>
      <c r="I5594" s="17"/>
      <c r="J5594" s="17"/>
      <c r="P5594" s="17"/>
      <c r="Q5594" s="17"/>
    </row>
    <row r="5595" spans="2:17">
      <c r="B5595" s="17"/>
      <c r="C5595" s="16" t="str">
        <f>IFERROR(VLOOKUP(DATA!#REF!,DATA!#REF!,1,FALSE),"")</f>
        <v/>
      </c>
      <c r="D5595" s="16" t="str">
        <f>IFERROR(VLOOKUP(C5595,DATA!#REF!,2,FALSE),"")</f>
        <v/>
      </c>
      <c r="I5595" s="17"/>
      <c r="J5595" s="17"/>
      <c r="P5595" s="17"/>
      <c r="Q5595" s="17"/>
    </row>
    <row r="5596" spans="2:17">
      <c r="B5596" s="17"/>
      <c r="C5596" s="16" t="str">
        <f>IFERROR(VLOOKUP(DATA!#REF!,DATA!#REF!,1,FALSE),"")</f>
        <v/>
      </c>
      <c r="D5596" s="16" t="str">
        <f>IFERROR(VLOOKUP(C5596,DATA!#REF!,2,FALSE),"")</f>
        <v/>
      </c>
      <c r="I5596" s="17"/>
      <c r="J5596" s="17"/>
      <c r="P5596" s="17"/>
      <c r="Q5596" s="17"/>
    </row>
    <row r="5597" spans="2:17">
      <c r="B5597" s="17"/>
      <c r="C5597" s="16" t="str">
        <f>IFERROR(VLOOKUP(DATA!#REF!,DATA!#REF!,1,FALSE),"")</f>
        <v/>
      </c>
      <c r="D5597" s="16" t="str">
        <f>IFERROR(VLOOKUP(C5597,DATA!#REF!,2,FALSE),"")</f>
        <v/>
      </c>
      <c r="I5597" s="17"/>
      <c r="J5597" s="17"/>
      <c r="P5597" s="17"/>
      <c r="Q5597" s="17"/>
    </row>
    <row r="5598" spans="2:17">
      <c r="B5598" s="17"/>
      <c r="C5598" s="16" t="str">
        <f>IFERROR(VLOOKUP(DATA!#REF!,DATA!#REF!,1,FALSE),"")</f>
        <v/>
      </c>
      <c r="D5598" s="16" t="str">
        <f>IFERROR(VLOOKUP(C5598,DATA!#REF!,2,FALSE),"")</f>
        <v/>
      </c>
      <c r="I5598" s="17"/>
      <c r="J5598" s="17"/>
      <c r="P5598" s="17"/>
      <c r="Q5598" s="17"/>
    </row>
    <row r="5599" spans="2:17">
      <c r="B5599" s="17"/>
      <c r="C5599" s="16" t="str">
        <f>IFERROR(VLOOKUP(DATA!#REF!,DATA!#REF!,1,FALSE),"")</f>
        <v/>
      </c>
      <c r="D5599" s="16" t="str">
        <f>IFERROR(VLOOKUP(C5599,DATA!#REF!,2,FALSE),"")</f>
        <v/>
      </c>
      <c r="I5599" s="17"/>
      <c r="J5599" s="17"/>
      <c r="P5599" s="17"/>
      <c r="Q5599" s="17"/>
    </row>
    <row r="5600" spans="2:17">
      <c r="B5600" s="17"/>
      <c r="C5600" s="16" t="str">
        <f>IFERROR(VLOOKUP(DATA!#REF!,DATA!#REF!,1,FALSE),"")</f>
        <v/>
      </c>
      <c r="D5600" s="16" t="str">
        <f>IFERROR(VLOOKUP(C5600,DATA!#REF!,2,FALSE),"")</f>
        <v/>
      </c>
      <c r="I5600" s="17"/>
      <c r="J5600" s="17"/>
      <c r="P5600" s="17"/>
      <c r="Q5600" s="17"/>
    </row>
    <row r="5601" spans="2:17">
      <c r="B5601" s="17"/>
      <c r="C5601" s="16" t="str">
        <f>IFERROR(VLOOKUP(DATA!#REF!,DATA!#REF!,1,FALSE),"")</f>
        <v/>
      </c>
      <c r="D5601" s="16" t="str">
        <f>IFERROR(VLOOKUP(C5601,DATA!#REF!,2,FALSE),"")</f>
        <v/>
      </c>
      <c r="I5601" s="17"/>
      <c r="J5601" s="17"/>
      <c r="P5601" s="17"/>
      <c r="Q5601" s="17"/>
    </row>
    <row r="5602" spans="2:17">
      <c r="B5602" s="17"/>
      <c r="C5602" s="16" t="str">
        <f>IFERROR(VLOOKUP(DATA!#REF!,DATA!#REF!,1,FALSE),"")</f>
        <v/>
      </c>
      <c r="D5602" s="16" t="str">
        <f>IFERROR(VLOOKUP(C5602,DATA!#REF!,2,FALSE),"")</f>
        <v/>
      </c>
      <c r="I5602" s="17"/>
      <c r="J5602" s="17"/>
      <c r="P5602" s="17"/>
      <c r="Q5602" s="17"/>
    </row>
    <row r="5603" spans="2:17">
      <c r="B5603" s="17"/>
      <c r="C5603" s="16" t="str">
        <f>IFERROR(VLOOKUP(DATA!#REF!,DATA!#REF!,1,FALSE),"")</f>
        <v/>
      </c>
      <c r="D5603" s="16" t="str">
        <f>IFERROR(VLOOKUP(C5603,DATA!#REF!,2,FALSE),"")</f>
        <v/>
      </c>
      <c r="I5603" s="17"/>
      <c r="J5603" s="17"/>
      <c r="P5603" s="17"/>
      <c r="Q5603" s="17"/>
    </row>
    <row r="5604" spans="2:17">
      <c r="B5604" s="17"/>
      <c r="C5604" s="16" t="str">
        <f>IFERROR(VLOOKUP(DATA!#REF!,DATA!#REF!,1,FALSE),"")</f>
        <v/>
      </c>
      <c r="D5604" s="16" t="str">
        <f>IFERROR(VLOOKUP(C5604,DATA!#REF!,2,FALSE),"")</f>
        <v/>
      </c>
      <c r="I5604" s="17"/>
      <c r="J5604" s="17"/>
      <c r="P5604" s="17"/>
      <c r="Q5604" s="17"/>
    </row>
    <row r="5605" spans="2:17">
      <c r="B5605" s="17"/>
      <c r="C5605" s="16" t="str">
        <f>IFERROR(VLOOKUP(DATA!#REF!,DATA!#REF!,1,FALSE),"")</f>
        <v/>
      </c>
      <c r="D5605" s="16" t="str">
        <f>IFERROR(VLOOKUP(C5605,DATA!#REF!,2,FALSE),"")</f>
        <v/>
      </c>
      <c r="I5605" s="17"/>
      <c r="J5605" s="17"/>
      <c r="P5605" s="17"/>
      <c r="Q5605" s="17"/>
    </row>
    <row r="5606" spans="2:17">
      <c r="B5606" s="17"/>
      <c r="C5606" s="16" t="str">
        <f>IFERROR(VLOOKUP(DATA!#REF!,DATA!#REF!,1,FALSE),"")</f>
        <v/>
      </c>
      <c r="D5606" s="16" t="str">
        <f>IFERROR(VLOOKUP(C5606,DATA!#REF!,2,FALSE),"")</f>
        <v/>
      </c>
      <c r="I5606" s="17"/>
      <c r="J5606" s="17"/>
      <c r="P5606" s="17"/>
      <c r="Q5606" s="17"/>
    </row>
    <row r="5607" spans="2:17">
      <c r="B5607" s="17"/>
      <c r="C5607" s="16" t="str">
        <f>IFERROR(VLOOKUP(DATA!#REF!,DATA!#REF!,1,FALSE),"")</f>
        <v/>
      </c>
      <c r="D5607" s="16" t="str">
        <f>IFERROR(VLOOKUP(C5607,DATA!#REF!,2,FALSE),"")</f>
        <v/>
      </c>
      <c r="I5607" s="17"/>
      <c r="J5607" s="17"/>
      <c r="P5607" s="17"/>
      <c r="Q5607" s="17"/>
    </row>
    <row r="5608" spans="2:17">
      <c r="B5608" s="17"/>
      <c r="C5608" s="16" t="str">
        <f>IFERROR(VLOOKUP(DATA!#REF!,DATA!#REF!,1,FALSE),"")</f>
        <v/>
      </c>
      <c r="D5608" s="16" t="str">
        <f>IFERROR(VLOOKUP(C5608,DATA!#REF!,2,FALSE),"")</f>
        <v/>
      </c>
      <c r="I5608" s="17"/>
      <c r="J5608" s="17"/>
      <c r="P5608" s="17"/>
      <c r="Q5608" s="17"/>
    </row>
    <row r="5609" spans="2:17">
      <c r="B5609" s="17"/>
      <c r="C5609" s="16" t="str">
        <f>IFERROR(VLOOKUP(DATA!#REF!,DATA!#REF!,1,FALSE),"")</f>
        <v/>
      </c>
      <c r="D5609" s="16" t="str">
        <f>IFERROR(VLOOKUP(C5609,DATA!#REF!,2,FALSE),"")</f>
        <v/>
      </c>
      <c r="I5609" s="17"/>
      <c r="J5609" s="17"/>
      <c r="P5609" s="17"/>
      <c r="Q5609" s="17"/>
    </row>
    <row r="5610" spans="2:17">
      <c r="B5610" s="17"/>
      <c r="C5610" s="16" t="str">
        <f>IFERROR(VLOOKUP(DATA!#REF!,DATA!#REF!,1,FALSE),"")</f>
        <v/>
      </c>
      <c r="D5610" s="16" t="str">
        <f>IFERROR(VLOOKUP(C5610,DATA!#REF!,2,FALSE),"")</f>
        <v/>
      </c>
      <c r="I5610" s="17"/>
      <c r="J5610" s="17"/>
      <c r="P5610" s="17"/>
      <c r="Q5610" s="17"/>
    </row>
    <row r="5611" spans="2:17">
      <c r="B5611" s="17"/>
      <c r="C5611" s="16" t="str">
        <f>IFERROR(VLOOKUP(DATA!#REF!,DATA!#REF!,1,FALSE),"")</f>
        <v/>
      </c>
      <c r="D5611" s="16" t="str">
        <f>IFERROR(VLOOKUP(C5611,DATA!#REF!,2,FALSE),"")</f>
        <v/>
      </c>
      <c r="I5611" s="17"/>
      <c r="J5611" s="17"/>
      <c r="P5611" s="17"/>
      <c r="Q5611" s="17"/>
    </row>
    <row r="5612" spans="2:17">
      <c r="B5612" s="17"/>
      <c r="C5612" s="16" t="str">
        <f>IFERROR(VLOOKUP(DATA!#REF!,DATA!#REF!,1,FALSE),"")</f>
        <v/>
      </c>
      <c r="D5612" s="16" t="str">
        <f>IFERROR(VLOOKUP(C5612,DATA!#REF!,2,FALSE),"")</f>
        <v/>
      </c>
      <c r="I5612" s="17"/>
      <c r="J5612" s="17"/>
      <c r="P5612" s="17"/>
      <c r="Q5612" s="17"/>
    </row>
    <row r="5613" spans="2:17">
      <c r="B5613" s="17"/>
      <c r="C5613" s="16" t="str">
        <f>IFERROR(VLOOKUP(DATA!#REF!,DATA!#REF!,1,FALSE),"")</f>
        <v/>
      </c>
      <c r="D5613" s="16" t="str">
        <f>IFERROR(VLOOKUP(C5613,DATA!#REF!,2,FALSE),"")</f>
        <v/>
      </c>
      <c r="I5613" s="17"/>
      <c r="J5613" s="17"/>
      <c r="P5613" s="17"/>
      <c r="Q5613" s="17"/>
    </row>
    <row r="5614" spans="2:17">
      <c r="B5614" s="17"/>
      <c r="C5614" s="16" t="str">
        <f>IFERROR(VLOOKUP(DATA!#REF!,DATA!#REF!,1,FALSE),"")</f>
        <v/>
      </c>
      <c r="D5614" s="16" t="str">
        <f>IFERROR(VLOOKUP(C5614,DATA!#REF!,2,FALSE),"")</f>
        <v/>
      </c>
      <c r="I5614" s="17"/>
      <c r="J5614" s="17"/>
      <c r="P5614" s="17"/>
      <c r="Q5614" s="17"/>
    </row>
    <row r="5615" spans="2:17">
      <c r="B5615" s="17"/>
      <c r="C5615" s="16" t="str">
        <f>IFERROR(VLOOKUP(DATA!#REF!,DATA!#REF!,1,FALSE),"")</f>
        <v/>
      </c>
      <c r="D5615" s="16" t="str">
        <f>IFERROR(VLOOKUP(C5615,DATA!#REF!,2,FALSE),"")</f>
        <v/>
      </c>
      <c r="I5615" s="17"/>
      <c r="J5615" s="17"/>
      <c r="P5615" s="17"/>
      <c r="Q5615" s="17"/>
    </row>
    <row r="5616" spans="2:17">
      <c r="B5616" s="17"/>
      <c r="C5616" s="16" t="str">
        <f>IFERROR(VLOOKUP(DATA!#REF!,DATA!#REF!,1,FALSE),"")</f>
        <v/>
      </c>
      <c r="D5616" s="16" t="str">
        <f>IFERROR(VLOOKUP(C5616,DATA!#REF!,2,FALSE),"")</f>
        <v/>
      </c>
      <c r="I5616" s="17"/>
      <c r="J5616" s="17"/>
      <c r="P5616" s="17"/>
      <c r="Q5616" s="17"/>
    </row>
    <row r="5617" spans="2:17">
      <c r="B5617" s="17"/>
      <c r="C5617" s="16" t="str">
        <f>IFERROR(VLOOKUP(DATA!#REF!,DATA!#REF!,1,FALSE),"")</f>
        <v/>
      </c>
      <c r="D5617" s="16" t="str">
        <f>IFERROR(VLOOKUP(C5617,DATA!#REF!,2,FALSE),"")</f>
        <v/>
      </c>
      <c r="I5617" s="17"/>
      <c r="J5617" s="17"/>
      <c r="P5617" s="17"/>
      <c r="Q5617" s="17"/>
    </row>
    <row r="5618" spans="2:17">
      <c r="B5618" s="17"/>
      <c r="C5618" s="16" t="str">
        <f>IFERROR(VLOOKUP(DATA!#REF!,DATA!#REF!,1,FALSE),"")</f>
        <v/>
      </c>
      <c r="D5618" s="16" t="str">
        <f>IFERROR(VLOOKUP(C5618,DATA!#REF!,2,FALSE),"")</f>
        <v/>
      </c>
      <c r="I5618" s="17"/>
      <c r="J5618" s="17"/>
      <c r="P5618" s="17"/>
      <c r="Q5618" s="17"/>
    </row>
    <row r="5619" spans="2:17">
      <c r="B5619" s="17"/>
      <c r="C5619" s="16" t="str">
        <f>IFERROR(VLOOKUP(DATA!#REF!,DATA!#REF!,1,FALSE),"")</f>
        <v/>
      </c>
      <c r="D5619" s="16" t="str">
        <f>IFERROR(VLOOKUP(C5619,DATA!#REF!,2,FALSE),"")</f>
        <v/>
      </c>
      <c r="I5619" s="17"/>
      <c r="J5619" s="17"/>
      <c r="P5619" s="17"/>
      <c r="Q5619" s="17"/>
    </row>
    <row r="5620" spans="2:17">
      <c r="B5620" s="17"/>
      <c r="C5620" s="16" t="str">
        <f>IFERROR(VLOOKUP(DATA!#REF!,DATA!#REF!,1,FALSE),"")</f>
        <v/>
      </c>
      <c r="D5620" s="16" t="str">
        <f>IFERROR(VLOOKUP(C5620,DATA!#REF!,2,FALSE),"")</f>
        <v/>
      </c>
      <c r="I5620" s="17"/>
      <c r="J5620" s="17"/>
      <c r="P5620" s="17"/>
      <c r="Q5620" s="17"/>
    </row>
    <row r="5621" spans="2:17">
      <c r="B5621" s="17"/>
      <c r="C5621" s="16" t="str">
        <f>IFERROR(VLOOKUP(DATA!#REF!,DATA!#REF!,1,FALSE),"")</f>
        <v/>
      </c>
      <c r="D5621" s="16" t="str">
        <f>IFERROR(VLOOKUP(C5621,DATA!#REF!,2,FALSE),"")</f>
        <v/>
      </c>
      <c r="I5621" s="17"/>
      <c r="J5621" s="17"/>
      <c r="P5621" s="17"/>
      <c r="Q5621" s="17"/>
    </row>
    <row r="5622" spans="2:17">
      <c r="B5622" s="17"/>
      <c r="C5622" s="16" t="str">
        <f>IFERROR(VLOOKUP(DATA!#REF!,DATA!#REF!,1,FALSE),"")</f>
        <v/>
      </c>
      <c r="D5622" s="16" t="str">
        <f>IFERROR(VLOOKUP(C5622,DATA!#REF!,2,FALSE),"")</f>
        <v/>
      </c>
      <c r="I5622" s="17"/>
      <c r="J5622" s="17"/>
      <c r="P5622" s="17"/>
      <c r="Q5622" s="17"/>
    </row>
    <row r="5623" spans="2:17">
      <c r="B5623" s="17"/>
      <c r="C5623" s="16" t="str">
        <f>IFERROR(VLOOKUP(DATA!#REF!,DATA!#REF!,1,FALSE),"")</f>
        <v/>
      </c>
      <c r="D5623" s="16" t="str">
        <f>IFERROR(VLOOKUP(C5623,DATA!#REF!,2,FALSE),"")</f>
        <v/>
      </c>
      <c r="I5623" s="17"/>
      <c r="J5623" s="17"/>
      <c r="P5623" s="17"/>
      <c r="Q5623" s="17"/>
    </row>
    <row r="5624" spans="2:17">
      <c r="B5624" s="17"/>
      <c r="C5624" s="16" t="str">
        <f>IFERROR(VLOOKUP(DATA!#REF!,DATA!#REF!,1,FALSE),"")</f>
        <v/>
      </c>
      <c r="D5624" s="16" t="str">
        <f>IFERROR(VLOOKUP(C5624,DATA!#REF!,2,FALSE),"")</f>
        <v/>
      </c>
      <c r="I5624" s="17"/>
      <c r="J5624" s="17"/>
      <c r="P5624" s="17"/>
      <c r="Q5624" s="17"/>
    </row>
    <row r="5625" spans="2:17">
      <c r="B5625" s="17"/>
      <c r="C5625" s="16" t="str">
        <f>IFERROR(VLOOKUP(DATA!#REF!,DATA!#REF!,1,FALSE),"")</f>
        <v/>
      </c>
      <c r="D5625" s="16" t="str">
        <f>IFERROR(VLOOKUP(C5625,DATA!#REF!,2,FALSE),"")</f>
        <v/>
      </c>
      <c r="I5625" s="17"/>
      <c r="J5625" s="17"/>
      <c r="P5625" s="17"/>
      <c r="Q5625" s="17"/>
    </row>
    <row r="5626" spans="2:17">
      <c r="B5626" s="17"/>
      <c r="C5626" s="16" t="str">
        <f>IFERROR(VLOOKUP(DATA!#REF!,DATA!#REF!,1,FALSE),"")</f>
        <v/>
      </c>
      <c r="D5626" s="16" t="str">
        <f>IFERROR(VLOOKUP(C5626,DATA!#REF!,2,FALSE),"")</f>
        <v/>
      </c>
      <c r="I5626" s="17"/>
      <c r="J5626" s="17"/>
      <c r="P5626" s="17"/>
      <c r="Q5626" s="17"/>
    </row>
    <row r="5627" spans="2:17">
      <c r="B5627" s="17"/>
      <c r="C5627" s="16" t="str">
        <f>IFERROR(VLOOKUP(DATA!#REF!,DATA!#REF!,1,FALSE),"")</f>
        <v/>
      </c>
      <c r="D5627" s="16" t="str">
        <f>IFERROR(VLOOKUP(C5627,DATA!#REF!,2,FALSE),"")</f>
        <v/>
      </c>
      <c r="I5627" s="17"/>
      <c r="J5627" s="17"/>
      <c r="P5627" s="17"/>
      <c r="Q5627" s="17"/>
    </row>
    <row r="5628" spans="2:17">
      <c r="B5628" s="17"/>
      <c r="C5628" s="16" t="str">
        <f>IFERROR(VLOOKUP(DATA!#REF!,DATA!#REF!,1,FALSE),"")</f>
        <v/>
      </c>
      <c r="D5628" s="16" t="str">
        <f>IFERROR(VLOOKUP(C5628,DATA!#REF!,2,FALSE),"")</f>
        <v/>
      </c>
      <c r="I5628" s="17"/>
      <c r="J5628" s="17"/>
      <c r="P5628" s="17"/>
      <c r="Q5628" s="17"/>
    </row>
    <row r="5629" spans="2:17">
      <c r="B5629" s="17"/>
      <c r="C5629" s="16" t="str">
        <f>IFERROR(VLOOKUP(DATA!#REF!,DATA!#REF!,1,FALSE),"")</f>
        <v/>
      </c>
      <c r="D5629" s="16" t="str">
        <f>IFERROR(VLOOKUP(C5629,DATA!#REF!,2,FALSE),"")</f>
        <v/>
      </c>
      <c r="I5629" s="17"/>
      <c r="J5629" s="17"/>
      <c r="P5629" s="17"/>
      <c r="Q5629" s="17"/>
    </row>
    <row r="5630" spans="2:17">
      <c r="B5630" s="17"/>
      <c r="C5630" s="16" t="str">
        <f>IFERROR(VLOOKUP(DATA!#REF!,DATA!#REF!,1,FALSE),"")</f>
        <v/>
      </c>
      <c r="D5630" s="16" t="str">
        <f>IFERROR(VLOOKUP(C5630,DATA!#REF!,2,FALSE),"")</f>
        <v/>
      </c>
      <c r="I5630" s="17"/>
      <c r="J5630" s="17"/>
      <c r="P5630" s="17"/>
      <c r="Q5630" s="17"/>
    </row>
    <row r="5631" spans="2:17">
      <c r="B5631" s="17"/>
      <c r="C5631" s="16" t="str">
        <f>IFERROR(VLOOKUP(DATA!#REF!,DATA!#REF!,1,FALSE),"")</f>
        <v/>
      </c>
      <c r="D5631" s="16" t="str">
        <f>IFERROR(VLOOKUP(C5631,DATA!#REF!,2,FALSE),"")</f>
        <v/>
      </c>
      <c r="I5631" s="17"/>
      <c r="J5631" s="17"/>
      <c r="P5631" s="17"/>
      <c r="Q5631" s="17"/>
    </row>
    <row r="5632" spans="2:17">
      <c r="B5632" s="17"/>
      <c r="C5632" s="16" t="str">
        <f>IFERROR(VLOOKUP(DATA!#REF!,DATA!#REF!,1,FALSE),"")</f>
        <v/>
      </c>
      <c r="D5632" s="16" t="str">
        <f>IFERROR(VLOOKUP(C5632,DATA!#REF!,2,FALSE),"")</f>
        <v/>
      </c>
      <c r="I5632" s="17"/>
      <c r="J5632" s="17"/>
      <c r="P5632" s="17"/>
      <c r="Q5632" s="17"/>
    </row>
    <row r="5633" spans="2:17">
      <c r="B5633" s="17"/>
      <c r="C5633" s="16" t="str">
        <f>IFERROR(VLOOKUP(DATA!#REF!,DATA!#REF!,1,FALSE),"")</f>
        <v/>
      </c>
      <c r="D5633" s="16" t="str">
        <f>IFERROR(VLOOKUP(C5633,DATA!#REF!,2,FALSE),"")</f>
        <v/>
      </c>
      <c r="I5633" s="17"/>
      <c r="J5633" s="17"/>
      <c r="P5633" s="17"/>
      <c r="Q5633" s="17"/>
    </row>
    <row r="5634" spans="2:17">
      <c r="B5634" s="17"/>
      <c r="C5634" s="16" t="str">
        <f>IFERROR(VLOOKUP(DATA!#REF!,DATA!#REF!,1,FALSE),"")</f>
        <v/>
      </c>
      <c r="D5634" s="16" t="str">
        <f>IFERROR(VLOOKUP(C5634,DATA!#REF!,2,FALSE),"")</f>
        <v/>
      </c>
      <c r="I5634" s="17"/>
      <c r="J5634" s="17"/>
      <c r="P5634" s="17"/>
      <c r="Q5634" s="17"/>
    </row>
    <row r="5635" spans="2:17">
      <c r="B5635" s="17"/>
      <c r="C5635" s="16" t="str">
        <f>IFERROR(VLOOKUP(DATA!#REF!,DATA!#REF!,1,FALSE),"")</f>
        <v/>
      </c>
      <c r="D5635" s="16" t="str">
        <f>IFERROR(VLOOKUP(C5635,DATA!#REF!,2,FALSE),"")</f>
        <v/>
      </c>
      <c r="I5635" s="17"/>
      <c r="J5635" s="17"/>
      <c r="P5635" s="17"/>
      <c r="Q5635" s="17"/>
    </row>
    <row r="5636" spans="2:17">
      <c r="B5636" s="17"/>
      <c r="C5636" s="16" t="str">
        <f>IFERROR(VLOOKUP(DATA!#REF!,DATA!#REF!,1,FALSE),"")</f>
        <v/>
      </c>
      <c r="D5636" s="16" t="str">
        <f>IFERROR(VLOOKUP(C5636,DATA!#REF!,2,FALSE),"")</f>
        <v/>
      </c>
      <c r="I5636" s="17"/>
      <c r="J5636" s="17"/>
      <c r="P5636" s="17"/>
      <c r="Q5636" s="17"/>
    </row>
    <row r="5637" spans="2:17">
      <c r="B5637" s="17"/>
      <c r="C5637" s="16" t="str">
        <f>IFERROR(VLOOKUP(DATA!#REF!,DATA!#REF!,1,FALSE),"")</f>
        <v/>
      </c>
      <c r="D5637" s="16" t="str">
        <f>IFERROR(VLOOKUP(C5637,DATA!#REF!,2,FALSE),"")</f>
        <v/>
      </c>
      <c r="I5637" s="17"/>
      <c r="J5637" s="17"/>
      <c r="P5637" s="17"/>
      <c r="Q5637" s="17"/>
    </row>
    <row r="5638" spans="2:17">
      <c r="B5638" s="17"/>
      <c r="C5638" s="16" t="str">
        <f>IFERROR(VLOOKUP(DATA!#REF!,DATA!#REF!,1,FALSE),"")</f>
        <v/>
      </c>
      <c r="D5638" s="16" t="str">
        <f>IFERROR(VLOOKUP(C5638,DATA!#REF!,2,FALSE),"")</f>
        <v/>
      </c>
      <c r="I5638" s="17"/>
      <c r="J5638" s="17"/>
      <c r="P5638" s="17"/>
      <c r="Q5638" s="17"/>
    </row>
    <row r="5639" spans="2:17">
      <c r="B5639" s="17"/>
      <c r="C5639" s="16" t="str">
        <f>IFERROR(VLOOKUP(DATA!#REF!,DATA!#REF!,1,FALSE),"")</f>
        <v/>
      </c>
      <c r="D5639" s="16" t="str">
        <f>IFERROR(VLOOKUP(C5639,DATA!#REF!,2,FALSE),"")</f>
        <v/>
      </c>
      <c r="I5639" s="17"/>
      <c r="J5639" s="17"/>
      <c r="P5639" s="17"/>
      <c r="Q5639" s="17"/>
    </row>
    <row r="5640" spans="2:17">
      <c r="B5640" s="17"/>
      <c r="C5640" s="16" t="str">
        <f>IFERROR(VLOOKUP(DATA!#REF!,DATA!#REF!,1,FALSE),"")</f>
        <v/>
      </c>
      <c r="D5640" s="16" t="str">
        <f>IFERROR(VLOOKUP(C5640,DATA!#REF!,2,FALSE),"")</f>
        <v/>
      </c>
      <c r="I5640" s="17"/>
      <c r="J5640" s="17"/>
      <c r="P5640" s="17"/>
      <c r="Q5640" s="17"/>
    </row>
    <row r="5641" spans="2:17">
      <c r="B5641" s="17"/>
      <c r="C5641" s="16" t="str">
        <f>IFERROR(VLOOKUP(DATA!#REF!,DATA!#REF!,1,FALSE),"")</f>
        <v/>
      </c>
      <c r="D5641" s="16" t="str">
        <f>IFERROR(VLOOKUP(C5641,DATA!#REF!,2,FALSE),"")</f>
        <v/>
      </c>
      <c r="I5641" s="17"/>
      <c r="J5641" s="17"/>
      <c r="P5641" s="17"/>
      <c r="Q5641" s="17"/>
    </row>
    <row r="5642" spans="2:17">
      <c r="B5642" s="17"/>
      <c r="C5642" s="16" t="str">
        <f>IFERROR(VLOOKUP(DATA!#REF!,DATA!#REF!,1,FALSE),"")</f>
        <v/>
      </c>
      <c r="D5642" s="16" t="str">
        <f>IFERROR(VLOOKUP(C5642,DATA!#REF!,2,FALSE),"")</f>
        <v/>
      </c>
      <c r="I5642" s="17"/>
      <c r="J5642" s="17"/>
      <c r="P5642" s="17"/>
      <c r="Q5642" s="17"/>
    </row>
    <row r="5643" spans="2:17">
      <c r="B5643" s="17"/>
      <c r="C5643" s="16" t="str">
        <f>IFERROR(VLOOKUP(DATA!#REF!,DATA!#REF!,1,FALSE),"")</f>
        <v/>
      </c>
      <c r="D5643" s="16" t="str">
        <f>IFERROR(VLOOKUP(C5643,DATA!#REF!,2,FALSE),"")</f>
        <v/>
      </c>
      <c r="I5643" s="17"/>
      <c r="J5643" s="17"/>
      <c r="P5643" s="17"/>
      <c r="Q5643" s="17"/>
    </row>
    <row r="5644" spans="2:17">
      <c r="B5644" s="17"/>
      <c r="C5644" s="16" t="str">
        <f>IFERROR(VLOOKUP(DATA!#REF!,DATA!#REF!,1,FALSE),"")</f>
        <v/>
      </c>
      <c r="D5644" s="16" t="str">
        <f>IFERROR(VLOOKUP(C5644,DATA!#REF!,2,FALSE),"")</f>
        <v/>
      </c>
      <c r="I5644" s="17"/>
      <c r="J5644" s="17"/>
      <c r="P5644" s="17"/>
      <c r="Q5644" s="17"/>
    </row>
    <row r="5645" spans="2:17">
      <c r="B5645" s="17"/>
      <c r="C5645" s="16" t="str">
        <f>IFERROR(VLOOKUP(DATA!#REF!,DATA!#REF!,1,FALSE),"")</f>
        <v/>
      </c>
      <c r="D5645" s="16" t="str">
        <f>IFERROR(VLOOKUP(C5645,DATA!#REF!,2,FALSE),"")</f>
        <v/>
      </c>
      <c r="I5645" s="17"/>
      <c r="J5645" s="17"/>
      <c r="P5645" s="17"/>
      <c r="Q5645" s="17"/>
    </row>
    <row r="5646" spans="2:17">
      <c r="B5646" s="17"/>
      <c r="C5646" s="16" t="str">
        <f>IFERROR(VLOOKUP(DATA!#REF!,DATA!#REF!,1,FALSE),"")</f>
        <v/>
      </c>
      <c r="D5646" s="16" t="str">
        <f>IFERROR(VLOOKUP(C5646,DATA!#REF!,2,FALSE),"")</f>
        <v/>
      </c>
      <c r="I5646" s="17"/>
      <c r="J5646" s="17"/>
      <c r="P5646" s="17"/>
      <c r="Q5646" s="17"/>
    </row>
    <row r="5647" spans="2:17">
      <c r="B5647" s="17"/>
      <c r="C5647" s="16" t="str">
        <f>IFERROR(VLOOKUP(DATA!#REF!,DATA!#REF!,1,FALSE),"")</f>
        <v/>
      </c>
      <c r="D5647" s="16" t="str">
        <f>IFERROR(VLOOKUP(C5647,DATA!#REF!,2,FALSE),"")</f>
        <v/>
      </c>
      <c r="I5647" s="17"/>
      <c r="J5647" s="17"/>
      <c r="P5647" s="17"/>
      <c r="Q5647" s="17"/>
    </row>
    <row r="5648" spans="2:17">
      <c r="B5648" s="17"/>
      <c r="C5648" s="16" t="str">
        <f>IFERROR(VLOOKUP(DATA!#REF!,DATA!#REF!,1,FALSE),"")</f>
        <v/>
      </c>
      <c r="D5648" s="16" t="str">
        <f>IFERROR(VLOOKUP(C5648,DATA!#REF!,2,FALSE),"")</f>
        <v/>
      </c>
      <c r="I5648" s="17"/>
      <c r="J5648" s="17"/>
      <c r="P5648" s="17"/>
      <c r="Q5648" s="17"/>
    </row>
    <row r="5649" spans="2:17">
      <c r="B5649" s="17"/>
      <c r="C5649" s="16" t="str">
        <f>IFERROR(VLOOKUP(DATA!#REF!,DATA!#REF!,1,FALSE),"")</f>
        <v/>
      </c>
      <c r="D5649" s="16" t="str">
        <f>IFERROR(VLOOKUP(C5649,DATA!#REF!,2,FALSE),"")</f>
        <v/>
      </c>
      <c r="I5649" s="17"/>
      <c r="J5649" s="17"/>
      <c r="P5649" s="17"/>
      <c r="Q5649" s="17"/>
    </row>
    <row r="5650" spans="2:17">
      <c r="B5650" s="17"/>
      <c r="C5650" s="16" t="str">
        <f>IFERROR(VLOOKUP(DATA!#REF!,DATA!#REF!,1,FALSE),"")</f>
        <v/>
      </c>
      <c r="D5650" s="16" t="str">
        <f>IFERROR(VLOOKUP(C5650,DATA!#REF!,2,FALSE),"")</f>
        <v/>
      </c>
      <c r="I5650" s="17"/>
      <c r="J5650" s="17"/>
      <c r="P5650" s="17"/>
      <c r="Q5650" s="17"/>
    </row>
    <row r="5651" spans="2:17">
      <c r="B5651" s="17"/>
      <c r="C5651" s="16" t="str">
        <f>IFERROR(VLOOKUP(DATA!#REF!,DATA!#REF!,1,FALSE),"")</f>
        <v/>
      </c>
      <c r="D5651" s="16" t="str">
        <f>IFERROR(VLOOKUP(C5651,DATA!#REF!,2,FALSE),"")</f>
        <v/>
      </c>
      <c r="I5651" s="17"/>
      <c r="J5651" s="17"/>
      <c r="P5651" s="17"/>
      <c r="Q5651" s="17"/>
    </row>
    <row r="5652" spans="2:17">
      <c r="B5652" s="17"/>
      <c r="C5652" s="16" t="str">
        <f>IFERROR(VLOOKUP(DATA!#REF!,DATA!#REF!,1,FALSE),"")</f>
        <v/>
      </c>
      <c r="D5652" s="16" t="str">
        <f>IFERROR(VLOOKUP(C5652,DATA!#REF!,2,FALSE),"")</f>
        <v/>
      </c>
      <c r="I5652" s="17"/>
      <c r="J5652" s="17"/>
      <c r="P5652" s="17"/>
      <c r="Q5652" s="17"/>
    </row>
    <row r="5653" spans="2:17">
      <c r="B5653" s="17"/>
      <c r="C5653" s="16" t="str">
        <f>IFERROR(VLOOKUP(DATA!#REF!,DATA!#REF!,1,FALSE),"")</f>
        <v/>
      </c>
      <c r="D5653" s="16" t="str">
        <f>IFERROR(VLOOKUP(C5653,DATA!#REF!,2,FALSE),"")</f>
        <v/>
      </c>
      <c r="I5653" s="17"/>
      <c r="J5653" s="17"/>
      <c r="P5653" s="17"/>
      <c r="Q5653" s="17"/>
    </row>
    <row r="5654" spans="2:17">
      <c r="B5654" s="17"/>
      <c r="C5654" s="16" t="str">
        <f>IFERROR(VLOOKUP(DATA!#REF!,DATA!#REF!,1,FALSE),"")</f>
        <v/>
      </c>
      <c r="D5654" s="16" t="str">
        <f>IFERROR(VLOOKUP(C5654,DATA!#REF!,2,FALSE),"")</f>
        <v/>
      </c>
      <c r="I5654" s="17"/>
      <c r="J5654" s="17"/>
      <c r="P5654" s="17"/>
      <c r="Q5654" s="17"/>
    </row>
    <row r="5655" spans="2:17">
      <c r="B5655" s="17"/>
      <c r="C5655" s="16" t="str">
        <f>IFERROR(VLOOKUP(DATA!#REF!,DATA!#REF!,1,FALSE),"")</f>
        <v/>
      </c>
      <c r="D5655" s="16" t="str">
        <f>IFERROR(VLOOKUP(C5655,DATA!#REF!,2,FALSE),"")</f>
        <v/>
      </c>
      <c r="I5655" s="17"/>
      <c r="J5655" s="17"/>
      <c r="P5655" s="17"/>
      <c r="Q5655" s="17"/>
    </row>
    <row r="5656" spans="2:17">
      <c r="B5656" s="17"/>
      <c r="C5656" s="16" t="str">
        <f>IFERROR(VLOOKUP(DATA!#REF!,DATA!#REF!,1,FALSE),"")</f>
        <v/>
      </c>
      <c r="D5656" s="16" t="str">
        <f>IFERROR(VLOOKUP(C5656,DATA!#REF!,2,FALSE),"")</f>
        <v/>
      </c>
      <c r="I5656" s="17"/>
      <c r="J5656" s="17"/>
      <c r="P5656" s="17"/>
      <c r="Q5656" s="17"/>
    </row>
    <row r="5657" spans="2:17">
      <c r="B5657" s="17"/>
      <c r="C5657" s="16" t="str">
        <f>IFERROR(VLOOKUP(DATA!#REF!,DATA!#REF!,1,FALSE),"")</f>
        <v/>
      </c>
      <c r="D5657" s="16" t="str">
        <f>IFERROR(VLOOKUP(C5657,DATA!#REF!,2,FALSE),"")</f>
        <v/>
      </c>
      <c r="I5657" s="17"/>
      <c r="J5657" s="17"/>
      <c r="P5657" s="17"/>
      <c r="Q5657" s="17"/>
    </row>
    <row r="5658" spans="2:17">
      <c r="B5658" s="17"/>
      <c r="C5658" s="16" t="str">
        <f>IFERROR(VLOOKUP(DATA!#REF!,DATA!#REF!,1,FALSE),"")</f>
        <v/>
      </c>
      <c r="D5658" s="16" t="str">
        <f>IFERROR(VLOOKUP(C5658,DATA!#REF!,2,FALSE),"")</f>
        <v/>
      </c>
      <c r="I5658" s="17"/>
      <c r="J5658" s="17"/>
      <c r="P5658" s="17"/>
      <c r="Q5658" s="17"/>
    </row>
    <row r="5659" spans="2:17">
      <c r="B5659" s="17"/>
      <c r="C5659" s="16" t="str">
        <f>IFERROR(VLOOKUP(DATA!#REF!,DATA!#REF!,1,FALSE),"")</f>
        <v/>
      </c>
      <c r="D5659" s="16" t="str">
        <f>IFERROR(VLOOKUP(C5659,DATA!#REF!,2,FALSE),"")</f>
        <v/>
      </c>
      <c r="I5659" s="17"/>
      <c r="J5659" s="17"/>
      <c r="P5659" s="17"/>
      <c r="Q5659" s="17"/>
    </row>
    <row r="5660" spans="2:17">
      <c r="B5660" s="17"/>
      <c r="C5660" s="16" t="str">
        <f>IFERROR(VLOOKUP(DATA!#REF!,DATA!#REF!,1,FALSE),"")</f>
        <v/>
      </c>
      <c r="D5660" s="16" t="str">
        <f>IFERROR(VLOOKUP(C5660,DATA!#REF!,2,FALSE),"")</f>
        <v/>
      </c>
      <c r="I5660" s="17"/>
      <c r="J5660" s="17"/>
      <c r="P5660" s="17"/>
      <c r="Q5660" s="17"/>
    </row>
    <row r="5661" spans="2:17">
      <c r="B5661" s="17"/>
      <c r="C5661" s="16" t="str">
        <f>IFERROR(VLOOKUP(DATA!#REF!,DATA!#REF!,1,FALSE),"")</f>
        <v/>
      </c>
      <c r="D5661" s="16" t="str">
        <f>IFERROR(VLOOKUP(C5661,DATA!#REF!,2,FALSE),"")</f>
        <v/>
      </c>
      <c r="I5661" s="17"/>
      <c r="J5661" s="17"/>
      <c r="P5661" s="17"/>
      <c r="Q5661" s="17"/>
    </row>
    <row r="5662" spans="2:17">
      <c r="B5662" s="17"/>
      <c r="C5662" s="16" t="str">
        <f>IFERROR(VLOOKUP(DATA!#REF!,DATA!#REF!,1,FALSE),"")</f>
        <v/>
      </c>
      <c r="D5662" s="16" t="str">
        <f>IFERROR(VLOOKUP(C5662,DATA!#REF!,2,FALSE),"")</f>
        <v/>
      </c>
      <c r="I5662" s="17"/>
      <c r="J5662" s="17"/>
      <c r="P5662" s="17"/>
      <c r="Q5662" s="17"/>
    </row>
    <row r="5663" spans="2:17">
      <c r="B5663" s="17"/>
      <c r="C5663" s="16" t="str">
        <f>IFERROR(VLOOKUP(DATA!#REF!,DATA!#REF!,1,FALSE),"")</f>
        <v/>
      </c>
      <c r="D5663" s="16" t="str">
        <f>IFERROR(VLOOKUP(C5663,DATA!#REF!,2,FALSE),"")</f>
        <v/>
      </c>
      <c r="I5663" s="17"/>
      <c r="J5663" s="17"/>
      <c r="P5663" s="17"/>
      <c r="Q5663" s="17"/>
    </row>
    <row r="5664" spans="2:17">
      <c r="B5664" s="17"/>
      <c r="C5664" s="16" t="str">
        <f>IFERROR(VLOOKUP(DATA!#REF!,DATA!#REF!,1,FALSE),"")</f>
        <v/>
      </c>
      <c r="D5664" s="16" t="str">
        <f>IFERROR(VLOOKUP(C5664,DATA!#REF!,2,FALSE),"")</f>
        <v/>
      </c>
      <c r="I5664" s="17"/>
      <c r="J5664" s="17"/>
      <c r="P5664" s="17"/>
      <c r="Q5664" s="17"/>
    </row>
    <row r="5665" spans="2:17">
      <c r="B5665" s="17"/>
      <c r="C5665" s="16" t="str">
        <f>IFERROR(VLOOKUP(DATA!#REF!,DATA!#REF!,1,FALSE),"")</f>
        <v/>
      </c>
      <c r="D5665" s="16" t="str">
        <f>IFERROR(VLOOKUP(C5665,DATA!#REF!,2,FALSE),"")</f>
        <v/>
      </c>
      <c r="I5665" s="17"/>
      <c r="J5665" s="17"/>
      <c r="P5665" s="17"/>
      <c r="Q5665" s="17"/>
    </row>
    <row r="5666" spans="2:17">
      <c r="B5666" s="17"/>
      <c r="C5666" s="16" t="str">
        <f>IFERROR(VLOOKUP(DATA!#REF!,DATA!#REF!,1,FALSE),"")</f>
        <v/>
      </c>
      <c r="D5666" s="16" t="str">
        <f>IFERROR(VLOOKUP(C5666,DATA!#REF!,2,FALSE),"")</f>
        <v/>
      </c>
      <c r="I5666" s="17"/>
      <c r="J5666" s="17"/>
      <c r="P5666" s="17"/>
      <c r="Q5666" s="17"/>
    </row>
    <row r="5667" spans="2:17">
      <c r="B5667" s="17"/>
      <c r="C5667" s="16" t="str">
        <f>IFERROR(VLOOKUP(DATA!#REF!,DATA!#REF!,1,FALSE),"")</f>
        <v/>
      </c>
      <c r="D5667" s="16" t="str">
        <f>IFERROR(VLOOKUP(C5667,DATA!#REF!,2,FALSE),"")</f>
        <v/>
      </c>
      <c r="I5667" s="17"/>
      <c r="J5667" s="17"/>
      <c r="P5667" s="17"/>
      <c r="Q5667" s="17"/>
    </row>
    <row r="5668" spans="2:17">
      <c r="B5668" s="17"/>
      <c r="C5668" s="16" t="str">
        <f>IFERROR(VLOOKUP(DATA!#REF!,DATA!#REF!,1,FALSE),"")</f>
        <v/>
      </c>
      <c r="D5668" s="16" t="str">
        <f>IFERROR(VLOOKUP(C5668,DATA!#REF!,2,FALSE),"")</f>
        <v/>
      </c>
      <c r="I5668" s="17"/>
      <c r="J5668" s="17"/>
      <c r="P5668" s="17"/>
      <c r="Q5668" s="17"/>
    </row>
    <row r="5669" spans="2:17">
      <c r="B5669" s="17"/>
      <c r="C5669" s="16" t="str">
        <f>IFERROR(VLOOKUP(DATA!#REF!,DATA!#REF!,1,FALSE),"")</f>
        <v/>
      </c>
      <c r="D5669" s="16" t="str">
        <f>IFERROR(VLOOKUP(C5669,DATA!#REF!,2,FALSE),"")</f>
        <v/>
      </c>
      <c r="I5669" s="17"/>
      <c r="J5669" s="17"/>
      <c r="P5669" s="17"/>
      <c r="Q5669" s="17"/>
    </row>
    <row r="5670" spans="2:17">
      <c r="B5670" s="17"/>
      <c r="C5670" s="16" t="str">
        <f>IFERROR(VLOOKUP(DATA!#REF!,DATA!#REF!,1,FALSE),"")</f>
        <v/>
      </c>
      <c r="D5670" s="16" t="str">
        <f>IFERROR(VLOOKUP(C5670,DATA!#REF!,2,FALSE),"")</f>
        <v/>
      </c>
      <c r="I5670" s="17"/>
      <c r="J5670" s="17"/>
      <c r="P5670" s="17"/>
      <c r="Q5670" s="17"/>
    </row>
    <row r="5671" spans="2:17">
      <c r="B5671" s="17"/>
      <c r="C5671" s="16" t="str">
        <f>IFERROR(VLOOKUP(DATA!#REF!,DATA!#REF!,1,FALSE),"")</f>
        <v/>
      </c>
      <c r="D5671" s="16" t="str">
        <f>IFERROR(VLOOKUP(C5671,DATA!#REF!,2,FALSE),"")</f>
        <v/>
      </c>
      <c r="I5671" s="17"/>
      <c r="J5671" s="17"/>
      <c r="P5671" s="17"/>
      <c r="Q5671" s="17"/>
    </row>
    <row r="5672" spans="2:17">
      <c r="B5672" s="17"/>
      <c r="C5672" s="16" t="str">
        <f>IFERROR(VLOOKUP(DATA!#REF!,DATA!#REF!,1,FALSE),"")</f>
        <v/>
      </c>
      <c r="D5672" s="16" t="str">
        <f>IFERROR(VLOOKUP(C5672,DATA!#REF!,2,FALSE),"")</f>
        <v/>
      </c>
      <c r="I5672" s="17"/>
      <c r="J5672" s="17"/>
      <c r="P5672" s="17"/>
      <c r="Q5672" s="17"/>
    </row>
    <row r="5673" spans="2:17">
      <c r="B5673" s="17"/>
      <c r="C5673" s="16" t="str">
        <f>IFERROR(VLOOKUP(DATA!#REF!,DATA!#REF!,1,FALSE),"")</f>
        <v/>
      </c>
      <c r="D5673" s="16" t="str">
        <f>IFERROR(VLOOKUP(C5673,DATA!#REF!,2,FALSE),"")</f>
        <v/>
      </c>
      <c r="I5673" s="17"/>
      <c r="J5673" s="17"/>
      <c r="P5673" s="17"/>
      <c r="Q5673" s="17"/>
    </row>
    <row r="5674" spans="2:17">
      <c r="B5674" s="17"/>
      <c r="C5674" s="16" t="str">
        <f>IFERROR(VLOOKUP(DATA!#REF!,DATA!#REF!,1,FALSE),"")</f>
        <v/>
      </c>
      <c r="D5674" s="16" t="str">
        <f>IFERROR(VLOOKUP(C5674,DATA!#REF!,2,FALSE),"")</f>
        <v/>
      </c>
      <c r="I5674" s="17"/>
      <c r="J5674" s="17"/>
      <c r="P5674" s="17"/>
      <c r="Q5674" s="17"/>
    </row>
    <row r="5675" spans="2:17">
      <c r="B5675" s="17"/>
      <c r="C5675" s="16" t="str">
        <f>IFERROR(VLOOKUP(DATA!#REF!,DATA!#REF!,1,FALSE),"")</f>
        <v/>
      </c>
      <c r="D5675" s="16" t="str">
        <f>IFERROR(VLOOKUP(C5675,DATA!#REF!,2,FALSE),"")</f>
        <v/>
      </c>
      <c r="I5675" s="17"/>
      <c r="J5675" s="17"/>
      <c r="P5675" s="17"/>
      <c r="Q5675" s="17"/>
    </row>
    <row r="5676" spans="2:17">
      <c r="B5676" s="17"/>
      <c r="C5676" s="16" t="str">
        <f>IFERROR(VLOOKUP(DATA!#REF!,DATA!#REF!,1,FALSE),"")</f>
        <v/>
      </c>
      <c r="D5676" s="16" t="str">
        <f>IFERROR(VLOOKUP(C5676,DATA!#REF!,2,FALSE),"")</f>
        <v/>
      </c>
      <c r="I5676" s="17"/>
      <c r="J5676" s="17"/>
      <c r="P5676" s="17"/>
      <c r="Q5676" s="17"/>
    </row>
    <row r="5677" spans="2:17">
      <c r="B5677" s="17"/>
      <c r="C5677" s="16" t="str">
        <f>IFERROR(VLOOKUP(DATA!#REF!,DATA!#REF!,1,FALSE),"")</f>
        <v/>
      </c>
      <c r="D5677" s="16" t="str">
        <f>IFERROR(VLOOKUP(C5677,DATA!#REF!,2,FALSE),"")</f>
        <v/>
      </c>
      <c r="I5677" s="17"/>
      <c r="J5677" s="17"/>
      <c r="P5677" s="17"/>
      <c r="Q5677" s="17"/>
    </row>
    <row r="5678" spans="2:17">
      <c r="B5678" s="17"/>
      <c r="C5678" s="16" t="str">
        <f>IFERROR(VLOOKUP(DATA!#REF!,DATA!#REF!,1,FALSE),"")</f>
        <v/>
      </c>
      <c r="D5678" s="16" t="str">
        <f>IFERROR(VLOOKUP(C5678,DATA!#REF!,2,FALSE),"")</f>
        <v/>
      </c>
      <c r="I5678" s="17"/>
      <c r="J5678" s="17"/>
      <c r="P5678" s="17"/>
      <c r="Q5678" s="17"/>
    </row>
    <row r="5679" spans="2:17">
      <c r="B5679" s="17"/>
      <c r="C5679" s="16" t="str">
        <f>IFERROR(VLOOKUP(DATA!#REF!,DATA!#REF!,1,FALSE),"")</f>
        <v/>
      </c>
      <c r="D5679" s="16" t="str">
        <f>IFERROR(VLOOKUP(C5679,DATA!#REF!,2,FALSE),"")</f>
        <v/>
      </c>
      <c r="I5679" s="17"/>
      <c r="J5679" s="17"/>
      <c r="P5679" s="17"/>
      <c r="Q5679" s="17"/>
    </row>
    <row r="5680" spans="2:17">
      <c r="B5680" s="17"/>
      <c r="C5680" s="16" t="str">
        <f>IFERROR(VLOOKUP(DATA!#REF!,DATA!#REF!,1,FALSE),"")</f>
        <v/>
      </c>
      <c r="D5680" s="16" t="str">
        <f>IFERROR(VLOOKUP(C5680,DATA!#REF!,2,FALSE),"")</f>
        <v/>
      </c>
      <c r="I5680" s="17"/>
      <c r="J5680" s="17"/>
      <c r="P5680" s="17"/>
      <c r="Q5680" s="17"/>
    </row>
    <row r="5681" spans="2:17">
      <c r="B5681" s="17"/>
      <c r="C5681" s="16" t="str">
        <f>IFERROR(VLOOKUP(DATA!#REF!,DATA!#REF!,1,FALSE),"")</f>
        <v/>
      </c>
      <c r="D5681" s="16" t="str">
        <f>IFERROR(VLOOKUP(C5681,DATA!#REF!,2,FALSE),"")</f>
        <v/>
      </c>
      <c r="I5681" s="17"/>
      <c r="J5681" s="17"/>
      <c r="P5681" s="17"/>
      <c r="Q5681" s="17"/>
    </row>
  </sheetData>
  <sheetProtection selectLockedCells="1"/>
  <autoFilter ref="B5:R5681"/>
  <mergeCells count="8">
    <mergeCell ref="F47:I47"/>
    <mergeCell ref="K47:N47"/>
    <mergeCell ref="F4:I4"/>
    <mergeCell ref="K4:N4"/>
    <mergeCell ref="F18:I18"/>
    <mergeCell ref="K18:N18"/>
    <mergeCell ref="F32:I32"/>
    <mergeCell ref="K32:N32"/>
  </mergeCells>
  <conditionalFormatting sqref="C41:D5681 B27:N28 F6:N13 B6:D13 B14:N14 B20:D26 F20:N26 B41:B2195 B41:N202">
    <cfRule type="expression" dxfId="10986" priority="107">
      <formula>"$c6&lt;&gt;,"""""</formula>
    </cfRule>
  </conditionalFormatting>
  <conditionalFormatting sqref="C41:D5681 B27:N28 F6:N13 B6:D13 B14:N14 B20:D26 F20:N26 B41:N2365">
    <cfRule type="expression" dxfId="10985" priority="106">
      <formula>"$C6&lt;&gt;"""""</formula>
    </cfRule>
  </conditionalFormatting>
  <conditionalFormatting sqref="B14:N14 B6:D13 F6:N13 B27:N28 B20:D26 F20:N26 B41:N14118">
    <cfRule type="expression" dxfId="10984" priority="105">
      <formula>$C6&lt;&gt;""</formula>
    </cfRule>
  </conditionalFormatting>
  <conditionalFormatting sqref="F34:N36 B34:D40 B40:B41 G37:I41 F34:H41 J34:N41 D41 F41:N41">
    <cfRule type="expression" dxfId="10983" priority="72">
      <formula>"$c6&lt;&gt;,"""""</formula>
    </cfRule>
  </conditionalFormatting>
  <conditionalFormatting sqref="F34:N36 B34:D40 B40:B41 G37:I41 F34:H41 J34:N41 D41 F41:N41">
    <cfRule type="expression" dxfId="10982" priority="71">
      <formula>"$C6&lt;&gt;"""""</formula>
    </cfRule>
  </conditionalFormatting>
  <conditionalFormatting sqref="F34:N36 B34:D40 B40:B41 G37:I41 F34:H41 J34:N41 D41 F41:N41">
    <cfRule type="expression" dxfId="10981" priority="70">
      <formula>$C34&lt;&gt;""</formula>
    </cfRule>
  </conditionalFormatting>
  <conditionalFormatting sqref="J37:J41">
    <cfRule type="expression" dxfId="10980" priority="67">
      <formula>"$c6&lt;&gt;,"""""</formula>
    </cfRule>
  </conditionalFormatting>
  <conditionalFormatting sqref="J37:J41">
    <cfRule type="expression" dxfId="10979" priority="66">
      <formula>"$C6&lt;&gt;"""""</formula>
    </cfRule>
  </conditionalFormatting>
  <conditionalFormatting sqref="J37:J41">
    <cfRule type="expression" dxfId="10978" priority="65">
      <formula>$C37&lt;&gt;""</formula>
    </cfRule>
  </conditionalFormatting>
  <conditionalFormatting sqref="C20:D26">
    <cfRule type="expression" dxfId="10977" priority="54">
      <formula>$C20&lt;&gt;""</formula>
    </cfRule>
  </conditionalFormatting>
  <conditionalFormatting sqref="J20:J26">
    <cfRule type="expression" dxfId="10976" priority="51">
      <formula>$C20&lt;&gt;""</formula>
    </cfRule>
  </conditionalFormatting>
  <conditionalFormatting sqref="C34:D40">
    <cfRule type="expression" dxfId="10975" priority="48">
      <formula>"$c6&lt;&gt;,"""""</formula>
    </cfRule>
  </conditionalFormatting>
  <conditionalFormatting sqref="C34:D40">
    <cfRule type="expression" dxfId="10974" priority="47">
      <formula>"$C6&lt;&gt;"""""</formula>
    </cfRule>
  </conditionalFormatting>
  <conditionalFormatting sqref="C34:D40">
    <cfRule type="expression" dxfId="10973" priority="46">
      <formula>$C34&lt;&gt;""</formula>
    </cfRule>
  </conditionalFormatting>
  <conditionalFormatting sqref="C34:D40">
    <cfRule type="expression" dxfId="10972" priority="43">
      <formula>$C34&lt;&gt;""</formula>
    </cfRule>
  </conditionalFormatting>
  <conditionalFormatting sqref="F49:N51 K52:N53 B49:D55 F52:I56 J54:N56 J49:J56 G49:H56 L49:M56">
    <cfRule type="expression" dxfId="10971" priority="40">
      <formula>"$c6&lt;&gt;,"""""</formula>
    </cfRule>
  </conditionalFormatting>
  <conditionalFormatting sqref="F49:N51 K52:N53 B49:D55 F52:I56 J54:N56 J49:J56 G49:H56 L49:M56">
    <cfRule type="expression" dxfId="10970" priority="39">
      <formula>"$C6&lt;&gt;"""""</formula>
    </cfRule>
  </conditionalFormatting>
  <conditionalFormatting sqref="F49:N51 K52:N53 B49:D55 F52:I56 J54:N56 J49:J56 G49:H56 L49:M56">
    <cfRule type="expression" dxfId="10969" priority="38">
      <formula>$C49&lt;&gt;""</formula>
    </cfRule>
  </conditionalFormatting>
  <conditionalFormatting sqref="J52:J56">
    <cfRule type="expression" dxfId="10968" priority="35">
      <formula>"$c6&lt;&gt;,"""""</formula>
    </cfRule>
  </conditionalFormatting>
  <conditionalFormatting sqref="J52:J56">
    <cfRule type="expression" dxfId="10967" priority="34">
      <formula>"$C6&lt;&gt;"""""</formula>
    </cfRule>
  </conditionalFormatting>
  <conditionalFormatting sqref="J52:J56">
    <cfRule type="expression" dxfId="10966" priority="33">
      <formula>$C52&lt;&gt;""</formula>
    </cfRule>
  </conditionalFormatting>
  <conditionalFormatting sqref="C49:D55">
    <cfRule type="expression" dxfId="10965" priority="24">
      <formula>"$c6&lt;&gt;,"""""</formula>
    </cfRule>
  </conditionalFormatting>
  <conditionalFormatting sqref="C49:D55">
    <cfRule type="expression" dxfId="10964" priority="23">
      <formula>"$C6&lt;&gt;"""""</formula>
    </cfRule>
  </conditionalFormatting>
  <conditionalFormatting sqref="C49:D55">
    <cfRule type="expression" dxfId="10963" priority="22">
      <formula>$C49&lt;&gt;""</formula>
    </cfRule>
  </conditionalFormatting>
  <conditionalFormatting sqref="C49:D55">
    <cfRule type="expression" dxfId="10962" priority="19">
      <formula>$C49&lt;&gt;""</formula>
    </cfRule>
  </conditionalFormatting>
  <conditionalFormatting sqref="C56">
    <cfRule type="expression" dxfId="10961" priority="18">
      <formula>"$c6&lt;&gt;,"""""</formula>
    </cfRule>
  </conditionalFormatting>
  <conditionalFormatting sqref="C56">
    <cfRule type="expression" dxfId="10960" priority="17">
      <formula>"$C6&lt;&gt;"""""</formula>
    </cfRule>
  </conditionalFormatting>
  <conditionalFormatting sqref="C56">
    <cfRule type="expression" dxfId="10959" priority="16">
      <formula>$C56&lt;&gt;""</formula>
    </cfRule>
  </conditionalFormatting>
  <conditionalFormatting sqref="C56">
    <cfRule type="expression" dxfId="10958" priority="15">
      <formula>"$c6&lt;&gt;,"""""</formula>
    </cfRule>
  </conditionalFormatting>
  <conditionalFormatting sqref="C56">
    <cfRule type="expression" dxfId="10957" priority="14">
      <formula>"$C6&lt;&gt;"""""</formula>
    </cfRule>
  </conditionalFormatting>
  <conditionalFormatting sqref="C56">
    <cfRule type="expression" dxfId="10956" priority="13">
      <formula>$C56&lt;&gt;""</formula>
    </cfRule>
  </conditionalFormatting>
  <conditionalFormatting sqref="C56">
    <cfRule type="expression" dxfId="10955" priority="12">
      <formula>$C56&lt;&gt;""</formula>
    </cfRule>
  </conditionalFormatting>
  <conditionalFormatting sqref="D56">
    <cfRule type="expression" dxfId="10954" priority="11">
      <formula>"$c6&lt;&gt;,"""""</formula>
    </cfRule>
  </conditionalFormatting>
  <conditionalFormatting sqref="D56">
    <cfRule type="expression" dxfId="10953" priority="10">
      <formula>"$C6&lt;&gt;"""""</formula>
    </cfRule>
  </conditionalFormatting>
  <conditionalFormatting sqref="D56">
    <cfRule type="expression" dxfId="10952" priority="9">
      <formula>$C56&lt;&gt;""</formula>
    </cfRule>
  </conditionalFormatting>
  <conditionalFormatting sqref="D56">
    <cfRule type="expression" dxfId="10951" priority="8">
      <formula>"$c6&lt;&gt;,"""""</formula>
    </cfRule>
  </conditionalFormatting>
  <conditionalFormatting sqref="D56">
    <cfRule type="expression" dxfId="10950" priority="7">
      <formula>"$C6&lt;&gt;"""""</formula>
    </cfRule>
  </conditionalFormatting>
  <conditionalFormatting sqref="D56">
    <cfRule type="expression" dxfId="10949" priority="6">
      <formula>$C56&lt;&gt;""</formula>
    </cfRule>
  </conditionalFormatting>
  <conditionalFormatting sqref="D56">
    <cfRule type="expression" dxfId="10948" priority="5">
      <formula>$C56&lt;&gt;""</formula>
    </cfRule>
  </conditionalFormatting>
  <conditionalFormatting sqref="D41">
    <cfRule type="expression" dxfId="10947" priority="4">
      <formula>"$c6&lt;&gt;,"""""</formula>
    </cfRule>
  </conditionalFormatting>
  <conditionalFormatting sqref="D41">
    <cfRule type="expression" dxfId="10946" priority="3">
      <formula>"$C6&lt;&gt;"""""</formula>
    </cfRule>
  </conditionalFormatting>
  <conditionalFormatting sqref="D41">
    <cfRule type="expression" dxfId="10945" priority="2">
      <formula>$C41&lt;&gt;""</formula>
    </cfRule>
  </conditionalFormatting>
  <conditionalFormatting sqref="D41">
    <cfRule type="expression" dxfId="10944" priority="1">
      <formula>$C41&lt;&gt;""</formula>
    </cfRule>
  </conditionalFormatting>
  <pageMargins left="0.7" right="0.7" top="0.75" bottom="0.75" header="0.3" footer="0.3"/>
  <pageSetup scale="55" fitToHeight="0" orientation="landscape" r:id="rId1"/>
  <ignoredErrors>
    <ignoredError sqref="F32:N33 J29:N29 I35:I37 I34 L35:L39 I39 I38 G30:H30 J30:N30 K34:L34 F31:L31 N35:N39 N34" evalError="1"/>
  </ignoredErrors>
</worksheet>
</file>

<file path=xl/worksheets/sheet5.xml><?xml version="1.0" encoding="utf-8"?>
<worksheet xmlns="http://schemas.openxmlformats.org/spreadsheetml/2006/main" xmlns:r="http://schemas.openxmlformats.org/officeDocument/2006/relationships">
  <sheetPr>
    <pageSetUpPr fitToPage="1"/>
  </sheetPr>
  <dimension ref="B1:U5683"/>
  <sheetViews>
    <sheetView topLeftCell="B139" workbookViewId="0">
      <selection activeCell="D167" sqref="D167"/>
    </sheetView>
  </sheetViews>
  <sheetFormatPr defaultRowHeight="12.75"/>
  <cols>
    <col min="1" max="1" width="9.85546875" style="237" bestFit="1" customWidth="1"/>
    <col min="2" max="2" width="5.28515625" style="15" customWidth="1"/>
    <col min="3" max="3" width="5.5703125" style="16" customWidth="1"/>
    <col min="4" max="4" width="29.42578125" style="237" customWidth="1"/>
    <col min="5" max="5" width="7.5703125" style="237" customWidth="1"/>
    <col min="6" max="7" width="12.7109375" style="237" customWidth="1"/>
    <col min="8" max="8" width="14" style="237" bestFit="1" customWidth="1"/>
    <col min="9" max="9" width="14.28515625" style="18" customWidth="1"/>
    <col min="10" max="10" width="7.42578125" style="16" customWidth="1"/>
    <col min="11" max="11" width="13" style="237" customWidth="1"/>
    <col min="12" max="12" width="12.85546875" style="237" bestFit="1" customWidth="1"/>
    <col min="13" max="14" width="14" style="237" bestFit="1" customWidth="1"/>
    <col min="15" max="15" width="12.5703125" style="237" bestFit="1" customWidth="1"/>
    <col min="16" max="16" width="11.42578125" style="16" bestFit="1" customWidth="1"/>
    <col min="17" max="17" width="6.5703125" style="16" customWidth="1"/>
    <col min="18" max="18" width="7.28515625" style="237" customWidth="1"/>
    <col min="19" max="19" width="9.140625" style="237"/>
    <col min="20" max="21" width="12" style="237" bestFit="1" customWidth="1"/>
    <col min="22" max="16384" width="9.140625" style="237"/>
  </cols>
  <sheetData>
    <row r="1" spans="2:18">
      <c r="B1" s="76" t="s">
        <v>1327</v>
      </c>
      <c r="C1" s="76"/>
      <c r="D1" s="76"/>
      <c r="E1" s="76" t="s">
        <v>260</v>
      </c>
      <c r="F1" s="77">
        <f>SUM(F6:F500)</f>
        <v>2644403</v>
      </c>
      <c r="G1" s="77">
        <f t="shared" ref="G1:N1" si="0">SUM(G6:G500)</f>
        <v>120691523.98</v>
      </c>
      <c r="H1" s="77">
        <f t="shared" si="0"/>
        <v>120691523.98</v>
      </c>
      <c r="I1" s="77">
        <f t="shared" si="0"/>
        <v>2644403</v>
      </c>
      <c r="J1" s="76" t="s">
        <v>260</v>
      </c>
      <c r="K1" s="77">
        <f t="shared" si="0"/>
        <v>3499027.46</v>
      </c>
      <c r="L1" s="77">
        <f t="shared" si="0"/>
        <v>93163277.859999999</v>
      </c>
      <c r="M1" s="77">
        <f t="shared" si="0"/>
        <v>89794250.400000006</v>
      </c>
      <c r="N1" s="77">
        <f t="shared" si="0"/>
        <v>130000</v>
      </c>
      <c r="O1" s="77">
        <f>SUM(O6:O731)</f>
        <v>0</v>
      </c>
      <c r="P1" s="183"/>
    </row>
    <row r="2" spans="2:18">
      <c r="E2" s="16" t="s">
        <v>1333</v>
      </c>
      <c r="F2" s="237">
        <f>+STAT1!H18</f>
        <v>2644403</v>
      </c>
      <c r="G2" s="237">
        <f>+STAT1!J18+STAT2!J18+STAT3!J18+STAT4!J18</f>
        <v>120691523.97999999</v>
      </c>
      <c r="H2" s="237">
        <f>+STAT1!K18+STAT2!K18+STAT3!K18+STAT4!K18</f>
        <v>120691523.97999999</v>
      </c>
      <c r="I2" s="18">
        <f>+STAT4!V18</f>
        <v>2644403.0000000149</v>
      </c>
      <c r="J2" s="16" t="s">
        <v>1333</v>
      </c>
      <c r="K2" s="237">
        <f>+STAT1!I105</f>
        <v>3499027.46</v>
      </c>
    </row>
    <row r="3" spans="2:18">
      <c r="B3" s="15">
        <f>+COUNT(B6:B5697)</f>
        <v>162</v>
      </c>
      <c r="E3" s="237" t="s">
        <v>1340</v>
      </c>
      <c r="F3" s="237">
        <f>+F1-F2</f>
        <v>0</v>
      </c>
      <c r="G3" s="237">
        <f>+G1-G2</f>
        <v>0</v>
      </c>
      <c r="H3" s="237">
        <f>+H1-H2</f>
        <v>0</v>
      </c>
      <c r="I3" s="237">
        <f>+I1-I2</f>
        <v>-1.4901161193847656E-8</v>
      </c>
      <c r="K3" s="237">
        <f>+K2-K1</f>
        <v>0</v>
      </c>
      <c r="L3" s="111" t="s">
        <v>323</v>
      </c>
      <c r="M3" s="112">
        <v>43101</v>
      </c>
      <c r="N3" s="112">
        <v>43465</v>
      </c>
    </row>
    <row r="4" spans="2:18" ht="15" customHeight="1">
      <c r="B4" s="56" t="s">
        <v>1</v>
      </c>
      <c r="C4" s="57" t="s">
        <v>0</v>
      </c>
      <c r="D4" s="58" t="s">
        <v>296</v>
      </c>
      <c r="E4" s="57" t="s">
        <v>293</v>
      </c>
      <c r="F4" s="992" t="s">
        <v>41</v>
      </c>
      <c r="G4" s="992"/>
      <c r="H4" s="992"/>
      <c r="I4" s="992"/>
      <c r="J4" s="57" t="s">
        <v>293</v>
      </c>
      <c r="K4" s="992" t="s">
        <v>42</v>
      </c>
      <c r="L4" s="992"/>
      <c r="M4" s="992"/>
      <c r="N4" s="992"/>
      <c r="O4" s="84" t="s">
        <v>321</v>
      </c>
      <c r="P4" s="184"/>
    </row>
    <row r="5" spans="2:18">
      <c r="B5" s="56"/>
      <c r="C5" s="57"/>
      <c r="D5" s="58"/>
      <c r="E5" s="74" t="s">
        <v>294</v>
      </c>
      <c r="F5" s="59" t="s">
        <v>40</v>
      </c>
      <c r="G5" s="59" t="s">
        <v>3</v>
      </c>
      <c r="H5" s="59" t="s">
        <v>4</v>
      </c>
      <c r="I5" s="75" t="s">
        <v>295</v>
      </c>
      <c r="J5" s="74" t="s">
        <v>294</v>
      </c>
      <c r="K5" s="59" t="s">
        <v>40</v>
      </c>
      <c r="L5" s="59" t="s">
        <v>3</v>
      </c>
      <c r="M5" s="59" t="s">
        <v>4</v>
      </c>
      <c r="N5" s="75" t="s">
        <v>295</v>
      </c>
      <c r="O5" s="82" t="s">
        <v>322</v>
      </c>
      <c r="P5" s="140" t="s">
        <v>261</v>
      </c>
      <c r="Q5" s="16" t="s">
        <v>262</v>
      </c>
    </row>
    <row r="6" spans="2:18">
      <c r="B6" s="15">
        <f>+IF(C6="","",ROW()-5)</f>
        <v>1</v>
      </c>
      <c r="C6" s="16">
        <f>IFERROR(VLOOKUP(DATA!G4,DATA!$G$4:$J$2149,1,FALSE),"")</f>
        <v>1001</v>
      </c>
      <c r="D6" s="16" t="str">
        <f>+IFERROR(VLOOKUP(C6,DATA!$G$4:$H$2000,2,FALSE),"")</f>
        <v xml:space="preserve">Энхбат </v>
      </c>
      <c r="E6" s="16">
        <v>120100</v>
      </c>
      <c r="F6" s="237">
        <v>0</v>
      </c>
      <c r="G6" s="237">
        <f>+SUMIFS(JURNAL!G:G,JURNAL!E:E,E6,JURNAL!L:L,$C6,JURNAL!C:C,"&gt;="&amp;$M$3,JURNAL!C:C,"&lt;="&amp;$N$3)</f>
        <v>0</v>
      </c>
      <c r="H6" s="19">
        <f>+SUMIFS(JURNAL!H:H,JURNAL!E:E,E6,JURNAL!L:L,$C6,JURNAL!C:C,"&gt;="&amp;$M$3,JURNAL!C:C,"&lt;="&amp;$N$3)</f>
        <v>0</v>
      </c>
      <c r="I6" s="237">
        <f>+F6+G6-H6</f>
        <v>0</v>
      </c>
      <c r="J6" s="16">
        <v>310100</v>
      </c>
      <c r="K6" s="237">
        <v>0</v>
      </c>
      <c r="L6" s="237">
        <f>+SUMIFS(JURNAL!G:G,JURNAL!E:E,J6,JURNAL!L:L,$C6,JURNAL!C:C,"&gt;="&amp;$M$3,JURNAL!C:C,"&lt;="&amp;$N$3)</f>
        <v>0</v>
      </c>
      <c r="M6" s="19">
        <f>+SUMIFS(JURNAL!H:H,JURNAL!E:E,J6,JURNAL!L:L,$C6,JURNAL!C:C,"&gt;="&amp;$M$3,JURNAL!C:C,"&lt;="&amp;$N$3)</f>
        <v>0</v>
      </c>
      <c r="N6" s="20">
        <f>+K6+M6-L6</f>
        <v>0</v>
      </c>
      <c r="O6" s="237">
        <f>+IF(I6&lt;N6,I6,N6)</f>
        <v>0</v>
      </c>
      <c r="P6" s="16">
        <f>+J6</f>
        <v>310100</v>
      </c>
      <c r="Q6" s="16">
        <f>+E6</f>
        <v>120100</v>
      </c>
      <c r="R6" s="237">
        <f>+IF(O6,1,0)</f>
        <v>0</v>
      </c>
    </row>
    <row r="7" spans="2:18">
      <c r="B7" s="15">
        <f t="shared" ref="B7:B70" si="1">+IF(C7="","",ROW()-5)</f>
        <v>2</v>
      </c>
      <c r="C7" s="16">
        <f>IFERROR(VLOOKUP(DATA!G5,DATA!$G$4:$J$2149,1,FALSE),"")</f>
        <v>1002</v>
      </c>
      <c r="D7" s="16" t="str">
        <f>+IFERROR(VLOOKUP(C7,DATA!$G$4:$H$2000,2,FALSE),"")</f>
        <v>Бурмаа</v>
      </c>
      <c r="E7" s="16">
        <v>120100</v>
      </c>
      <c r="F7" s="237">
        <v>0</v>
      </c>
      <c r="G7" s="237">
        <f>+SUMIFS(JURNAL!G:G,JURNAL!E:E,E7,JURNAL!L:L,$C7,JURNAL!C:C,"&gt;="&amp;$M$3,JURNAL!C:C,"&lt;="&amp;$N$3)</f>
        <v>0</v>
      </c>
      <c r="H7" s="19">
        <f>+SUMIFS(JURNAL!H:H,JURNAL!E:E,E7,JURNAL!L:L,$C7,JURNAL!C:C,"&gt;="&amp;$M$3,JURNAL!C:C,"&lt;="&amp;$N$3)</f>
        <v>0</v>
      </c>
      <c r="I7" s="237">
        <f t="shared" ref="I7:I70" si="2">+F7+G7-H7</f>
        <v>0</v>
      </c>
      <c r="J7" s="16">
        <v>310100</v>
      </c>
      <c r="K7" s="237">
        <v>0</v>
      </c>
      <c r="L7" s="237">
        <f>+SUMIFS(JURNAL!G:G,JURNAL!E:E,J7,JURNAL!L:L,$C7,JURNAL!C:C,"&gt;="&amp;$M$3,JURNAL!C:C,"&lt;="&amp;$N$3)</f>
        <v>0</v>
      </c>
      <c r="M7" s="19">
        <f>+SUMIFS(JURNAL!H:H,JURNAL!E:E,J7,JURNAL!L:L,$C7,JURNAL!C:C,"&gt;="&amp;$M$3,JURNAL!C:C,"&lt;="&amp;$N$3)</f>
        <v>0</v>
      </c>
      <c r="N7" s="20">
        <f t="shared" ref="N7:N70" si="3">+K7+M7-L7</f>
        <v>0</v>
      </c>
      <c r="O7" s="237">
        <f t="shared" ref="O7:O70" si="4">+IF(I7&lt;N7,I7,N7)</f>
        <v>0</v>
      </c>
      <c r="P7" s="16">
        <f t="shared" ref="P7:P70" si="5">+J7</f>
        <v>310100</v>
      </c>
      <c r="Q7" s="16">
        <f t="shared" ref="Q7:Q70" si="6">+E7</f>
        <v>120100</v>
      </c>
      <c r="R7" s="237">
        <f t="shared" ref="R7:R70" si="7">+IF(O7,1,0)</f>
        <v>0</v>
      </c>
    </row>
    <row r="8" spans="2:18">
      <c r="B8" s="15">
        <f t="shared" si="1"/>
        <v>3</v>
      </c>
      <c r="C8" s="16">
        <f>IFERROR(VLOOKUP(DATA!G6,DATA!$G$4:$J$2149,1,FALSE),"")</f>
        <v>1003</v>
      </c>
      <c r="D8" s="16" t="str">
        <f>+IFERROR(VLOOKUP(C8,DATA!$G$4:$H$2000,2,FALSE),"")</f>
        <v>Бахдамдэмбэрэл</v>
      </c>
      <c r="E8" s="16">
        <v>120100</v>
      </c>
      <c r="F8" s="237">
        <v>0</v>
      </c>
      <c r="G8" s="237">
        <f>+SUMIFS(JURNAL!G:G,JURNAL!E:E,E8,JURNAL!L:L,$C8,JURNAL!C:C,"&gt;="&amp;$M$3,JURNAL!C:C,"&lt;="&amp;$N$3)</f>
        <v>2457472.5</v>
      </c>
      <c r="H8" s="19">
        <f>+SUMIFS(JURNAL!H:H,JURNAL!E:E,E8,JURNAL!L:L,$C8,JURNAL!C:C,"&gt;="&amp;$M$3,JURNAL!C:C,"&lt;="&amp;$N$3)</f>
        <v>2457472.5</v>
      </c>
      <c r="I8" s="237">
        <f t="shared" si="2"/>
        <v>0</v>
      </c>
      <c r="J8" s="16">
        <v>310100</v>
      </c>
      <c r="K8" s="237">
        <v>0</v>
      </c>
      <c r="L8" s="237">
        <f>+SUMIFS(JURNAL!G:G,JURNAL!E:E,J8,JURNAL!L:L,$C8,JURNAL!C:C,"&gt;="&amp;$M$3,JURNAL!C:C,"&lt;="&amp;$N$3)</f>
        <v>0</v>
      </c>
      <c r="M8" s="19">
        <f>+SUMIFS(JURNAL!H:H,JURNAL!E:E,J8,JURNAL!L:L,$C8,JURNAL!C:C,"&gt;="&amp;$M$3,JURNAL!C:C,"&lt;="&amp;$N$3)</f>
        <v>0</v>
      </c>
      <c r="N8" s="20">
        <f t="shared" si="3"/>
        <v>0</v>
      </c>
      <c r="O8" s="237">
        <f t="shared" si="4"/>
        <v>0</v>
      </c>
      <c r="P8" s="16">
        <f t="shared" si="5"/>
        <v>310100</v>
      </c>
      <c r="Q8" s="16">
        <f t="shared" si="6"/>
        <v>120100</v>
      </c>
      <c r="R8" s="237">
        <f t="shared" si="7"/>
        <v>0</v>
      </c>
    </row>
    <row r="9" spans="2:18">
      <c r="B9" s="15">
        <f t="shared" si="1"/>
        <v>4</v>
      </c>
      <c r="C9" s="16">
        <f>IFERROR(VLOOKUP(DATA!G7,DATA!$G$4:$J$2149,1,FALSE),"")</f>
        <v>1004</v>
      </c>
      <c r="D9" s="16" t="str">
        <f>+IFERROR(VLOOKUP(C9,DATA!$G$4:$H$2000,2,FALSE),"")</f>
        <v xml:space="preserve">Түмэндэлгэр </v>
      </c>
      <c r="E9" s="16">
        <v>120100</v>
      </c>
      <c r="F9" s="237">
        <v>0</v>
      </c>
      <c r="G9" s="237">
        <f>+SUMIFS(JURNAL!G:G,JURNAL!E:E,E9,JURNAL!L:L,$C9,JURNAL!C:C,"&gt;="&amp;$M$3,JURNAL!C:C,"&lt;="&amp;$N$3)</f>
        <v>2774200</v>
      </c>
      <c r="H9" s="19">
        <f>+SUMIFS(JURNAL!H:H,JURNAL!E:E,E9,JURNAL!L:L,$C9,JURNAL!C:C,"&gt;="&amp;$M$3,JURNAL!C:C,"&lt;="&amp;$N$3)</f>
        <v>2774200</v>
      </c>
      <c r="I9" s="237">
        <f t="shared" si="2"/>
        <v>0</v>
      </c>
      <c r="J9" s="16">
        <v>310100</v>
      </c>
      <c r="K9" s="237">
        <v>0</v>
      </c>
      <c r="L9" s="237">
        <f>+SUMIFS(JURNAL!G:G,JURNAL!E:E,J9,JURNAL!L:L,$C9,JURNAL!C:C,"&gt;="&amp;$M$3,JURNAL!C:C,"&lt;="&amp;$N$3)</f>
        <v>1594203</v>
      </c>
      <c r="M9" s="19">
        <f>+SUMIFS(JURNAL!H:H,JURNAL!E:E,J9,JURNAL!L:L,$C9,JURNAL!C:C,"&gt;="&amp;$M$3,JURNAL!C:C,"&lt;="&amp;$N$3)</f>
        <v>1594203</v>
      </c>
      <c r="N9" s="20">
        <f t="shared" si="3"/>
        <v>0</v>
      </c>
      <c r="O9" s="237">
        <f>+IF(I9&lt;N9,I9,N9)</f>
        <v>0</v>
      </c>
      <c r="P9" s="16">
        <f t="shared" si="5"/>
        <v>310100</v>
      </c>
      <c r="Q9" s="16">
        <f t="shared" si="6"/>
        <v>120100</v>
      </c>
      <c r="R9" s="237">
        <f t="shared" si="7"/>
        <v>0</v>
      </c>
    </row>
    <row r="10" spans="2:18">
      <c r="B10" s="15">
        <f t="shared" si="1"/>
        <v>5</v>
      </c>
      <c r="C10" s="16">
        <f>IFERROR(VLOOKUP(DATA!G8,DATA!$G$4:$J$2149,1,FALSE),"")</f>
        <v>1005</v>
      </c>
      <c r="D10" s="16" t="str">
        <f>+IFERROR(VLOOKUP(C10,DATA!$G$4:$H$2000,2,FALSE),"")</f>
        <v>Золжаргал</v>
      </c>
      <c r="E10" s="16">
        <v>120100</v>
      </c>
      <c r="F10" s="237">
        <v>0</v>
      </c>
      <c r="G10" s="237">
        <f>+SUMIFS(JURNAL!G:G,JURNAL!E:E,E10,JURNAL!L:L,$C10,JURNAL!C:C,"&gt;="&amp;$M$3,JURNAL!C:C,"&lt;="&amp;$N$3)</f>
        <v>286000</v>
      </c>
      <c r="H10" s="19">
        <f>+SUMIFS(JURNAL!H:H,JURNAL!E:E,E10,JURNAL!L:L,$C10,JURNAL!C:C,"&gt;="&amp;$M$3,JURNAL!C:C,"&lt;="&amp;$N$3)</f>
        <v>286000</v>
      </c>
      <c r="I10" s="237">
        <f t="shared" si="2"/>
        <v>0</v>
      </c>
      <c r="J10" s="16">
        <v>310100</v>
      </c>
      <c r="K10" s="237">
        <v>0</v>
      </c>
      <c r="L10" s="237">
        <f>+SUMIFS(JURNAL!G:G,JURNAL!E:E,J10,JURNAL!L:L,$C10,JURNAL!C:C,"&gt;="&amp;$M$3,JURNAL!C:C,"&lt;="&amp;$N$3)</f>
        <v>3915110</v>
      </c>
      <c r="M10" s="19">
        <f>+SUMIFS(JURNAL!H:H,JURNAL!E:E,J10,JURNAL!L:L,$C10,JURNAL!C:C,"&gt;="&amp;$M$3,JURNAL!C:C,"&lt;="&amp;$N$3)</f>
        <v>3915110</v>
      </c>
      <c r="N10" s="20">
        <f t="shared" si="3"/>
        <v>0</v>
      </c>
      <c r="O10" s="237">
        <f t="shared" si="4"/>
        <v>0</v>
      </c>
      <c r="P10" s="16">
        <f t="shared" si="5"/>
        <v>310100</v>
      </c>
      <c r="Q10" s="16">
        <f t="shared" si="6"/>
        <v>120100</v>
      </c>
      <c r="R10" s="237">
        <f t="shared" si="7"/>
        <v>0</v>
      </c>
    </row>
    <row r="11" spans="2:18">
      <c r="B11" s="15">
        <f t="shared" si="1"/>
        <v>6</v>
      </c>
      <c r="C11" s="16">
        <f>IFERROR(VLOOKUP(DATA!G9,DATA!$G$4:$J$2149,1,FALSE),"")</f>
        <v>1006</v>
      </c>
      <c r="D11" s="16" t="str">
        <f>+IFERROR(VLOOKUP(C11,DATA!$G$4:$H$2000,2,FALSE),"")</f>
        <v>Оюундэлгэр /нярав/</v>
      </c>
      <c r="E11" s="16">
        <v>120100</v>
      </c>
      <c r="F11" s="237">
        <v>0</v>
      </c>
      <c r="G11" s="237">
        <f>+SUMIFS(JURNAL!G:G,JURNAL!E:E,E11,JURNAL!L:L,$C11,JURNAL!C:C,"&gt;="&amp;$M$3,JURNAL!C:C,"&lt;="&amp;$N$3)</f>
        <v>0</v>
      </c>
      <c r="H11" s="19">
        <f>+SUMIFS(JURNAL!H:H,JURNAL!E:E,E11,JURNAL!L:L,$C11,JURNAL!C:C,"&gt;="&amp;$M$3,JURNAL!C:C,"&lt;="&amp;$N$3)</f>
        <v>0</v>
      </c>
      <c r="I11" s="237">
        <f t="shared" si="2"/>
        <v>0</v>
      </c>
      <c r="J11" s="16">
        <v>310100</v>
      </c>
      <c r="K11" s="237">
        <v>0</v>
      </c>
      <c r="L11" s="237">
        <f>+SUMIFS(JURNAL!G:G,JURNAL!E:E,J11,JURNAL!L:L,$C11,JURNAL!C:C,"&gt;="&amp;$M$3,JURNAL!C:C,"&lt;="&amp;$N$3)</f>
        <v>0</v>
      </c>
      <c r="M11" s="19">
        <f>+SUMIFS(JURNAL!H:H,JURNAL!E:E,J11,JURNAL!L:L,$C11,JURNAL!C:C,"&gt;="&amp;$M$3,JURNAL!C:C,"&lt;="&amp;$N$3)</f>
        <v>0</v>
      </c>
      <c r="N11" s="20">
        <f t="shared" si="3"/>
        <v>0</v>
      </c>
      <c r="O11" s="237">
        <f t="shared" si="4"/>
        <v>0</v>
      </c>
      <c r="P11" s="16">
        <f t="shared" si="5"/>
        <v>310100</v>
      </c>
      <c r="Q11" s="16">
        <f t="shared" si="6"/>
        <v>120100</v>
      </c>
      <c r="R11" s="237">
        <f t="shared" si="7"/>
        <v>0</v>
      </c>
    </row>
    <row r="12" spans="2:18">
      <c r="B12" s="15">
        <f t="shared" si="1"/>
        <v>7</v>
      </c>
      <c r="C12" s="16">
        <f>IFERROR(VLOOKUP(DATA!G10,DATA!$G$4:$J$2149,1,FALSE),"")</f>
        <v>1007</v>
      </c>
      <c r="D12" s="16" t="str">
        <f>+IFERROR(VLOOKUP(C12,DATA!$G$4:$H$2000,2,FALSE),"")</f>
        <v xml:space="preserve">Нэргүй </v>
      </c>
      <c r="E12" s="16">
        <v>120100</v>
      </c>
      <c r="F12" s="237">
        <v>0</v>
      </c>
      <c r="G12" s="237">
        <f>+SUMIFS(JURNAL!G:G,JURNAL!E:E,E12,JURNAL!L:L,$C12,JURNAL!C:C,"&gt;="&amp;$M$3,JURNAL!C:C,"&lt;="&amp;$N$3)</f>
        <v>0</v>
      </c>
      <c r="H12" s="19">
        <f>+SUMIFS(JURNAL!H:H,JURNAL!E:E,E12,JURNAL!L:L,$C12,JURNAL!C:C,"&gt;="&amp;$M$3,JURNAL!C:C,"&lt;="&amp;$N$3)</f>
        <v>0</v>
      </c>
      <c r="I12" s="237">
        <f t="shared" si="2"/>
        <v>0</v>
      </c>
      <c r="J12" s="16">
        <v>310100</v>
      </c>
      <c r="K12" s="237">
        <v>0</v>
      </c>
      <c r="L12" s="237">
        <f>+SUMIFS(JURNAL!G:G,JURNAL!E:E,J12,JURNAL!L:L,$C12,JURNAL!C:C,"&gt;="&amp;$M$3,JURNAL!C:C,"&lt;="&amp;$N$3)</f>
        <v>0</v>
      </c>
      <c r="M12" s="19">
        <f>+SUMIFS(JURNAL!H:H,JURNAL!E:E,J12,JURNAL!L:L,$C12,JURNAL!C:C,"&gt;="&amp;$M$3,JURNAL!C:C,"&lt;="&amp;$N$3)</f>
        <v>0</v>
      </c>
      <c r="N12" s="20">
        <f t="shared" si="3"/>
        <v>0</v>
      </c>
      <c r="O12" s="237">
        <f t="shared" si="4"/>
        <v>0</v>
      </c>
      <c r="P12" s="16">
        <f t="shared" si="5"/>
        <v>310100</v>
      </c>
      <c r="Q12" s="16">
        <f t="shared" si="6"/>
        <v>120100</v>
      </c>
      <c r="R12" s="237">
        <f t="shared" si="7"/>
        <v>0</v>
      </c>
    </row>
    <row r="13" spans="2:18">
      <c r="B13" s="15">
        <f t="shared" si="1"/>
        <v>8</v>
      </c>
      <c r="C13" s="16">
        <f>IFERROR(VLOOKUP(DATA!G11,DATA!$G$4:$J$2149,1,FALSE),"")</f>
        <v>1008</v>
      </c>
      <c r="D13" s="16" t="str">
        <f>+IFERROR(VLOOKUP(C13,DATA!$G$4:$H$2000,2,FALSE),"")</f>
        <v xml:space="preserve">Оюунтүлхүүр </v>
      </c>
      <c r="E13" s="16">
        <v>120100</v>
      </c>
      <c r="F13" s="237">
        <v>0</v>
      </c>
      <c r="G13" s="237">
        <f>+SUMIFS(JURNAL!G:G,JURNAL!E:E,E13,JURNAL!L:L,$C13,JURNAL!C:C,"&gt;="&amp;$M$3,JURNAL!C:C,"&lt;="&amp;$N$3)</f>
        <v>4114629.09</v>
      </c>
      <c r="H13" s="19">
        <f>+SUMIFS(JURNAL!H:H,JURNAL!E:E,E13,JURNAL!L:L,$C13,JURNAL!C:C,"&gt;="&amp;$M$3,JURNAL!C:C,"&lt;="&amp;$N$3)</f>
        <v>4114629.09</v>
      </c>
      <c r="I13" s="237">
        <f t="shared" si="2"/>
        <v>0</v>
      </c>
      <c r="J13" s="16">
        <v>310100</v>
      </c>
      <c r="K13" s="237">
        <v>0</v>
      </c>
      <c r="L13" s="237">
        <f>+SUMIFS(JURNAL!G:G,JURNAL!E:E,J13,JURNAL!L:L,$C13,JURNAL!C:C,"&gt;="&amp;$M$3,JURNAL!C:C,"&lt;="&amp;$N$3)</f>
        <v>0</v>
      </c>
      <c r="M13" s="19">
        <f>+SUMIFS(JURNAL!H:H,JURNAL!E:E,J13,JURNAL!L:L,$C13,JURNAL!C:C,"&gt;="&amp;$M$3,JURNAL!C:C,"&lt;="&amp;$N$3)</f>
        <v>0</v>
      </c>
      <c r="N13" s="20">
        <f t="shared" si="3"/>
        <v>0</v>
      </c>
      <c r="O13" s="237">
        <f t="shared" si="4"/>
        <v>0</v>
      </c>
      <c r="P13" s="16">
        <f t="shared" si="5"/>
        <v>310100</v>
      </c>
      <c r="Q13" s="16">
        <f t="shared" si="6"/>
        <v>120100</v>
      </c>
      <c r="R13" s="237">
        <f t="shared" si="7"/>
        <v>0</v>
      </c>
    </row>
    <row r="14" spans="2:18">
      <c r="B14" s="15">
        <f t="shared" si="1"/>
        <v>9</v>
      </c>
      <c r="C14" s="16">
        <f>IFERROR(VLOOKUP(DATA!G12,DATA!$G$4:$J$2149,1,FALSE),"")</f>
        <v>2001</v>
      </c>
      <c r="D14" s="16" t="str">
        <f>+IFERROR(VLOOKUP(C14,DATA!$G$4:$H$2000,2,FALSE),"")</f>
        <v>ХУД-н ТАТВАРЫН ХЭЛТЭС</v>
      </c>
      <c r="E14" s="16">
        <v>120100</v>
      </c>
      <c r="F14" s="237">
        <v>0</v>
      </c>
      <c r="G14" s="237">
        <f>+SUMIFS(JURNAL!G:G,JURNAL!E:E,E14,JURNAL!L:L,$C14,JURNAL!C:C,"&gt;="&amp;$M$3,JURNAL!C:C,"&lt;="&amp;$N$3)</f>
        <v>0</v>
      </c>
      <c r="H14" s="19">
        <f>+SUMIFS(JURNAL!H:H,JURNAL!E:E,E14,JURNAL!L:L,$C14,JURNAL!C:C,"&gt;="&amp;$M$3,JURNAL!C:C,"&lt;="&amp;$N$3)</f>
        <v>0</v>
      </c>
      <c r="I14" s="237">
        <f t="shared" si="2"/>
        <v>0</v>
      </c>
      <c r="J14" s="16">
        <v>310100</v>
      </c>
      <c r="K14" s="237">
        <v>0</v>
      </c>
      <c r="L14" s="237">
        <f>+SUMIFS(JURNAL!G:G,JURNAL!E:E,J14,JURNAL!L:L,$C14,JURNAL!C:C,"&gt;="&amp;$M$3,JURNAL!C:C,"&lt;="&amp;$N$3)</f>
        <v>0</v>
      </c>
      <c r="M14" s="19">
        <f>+SUMIFS(JURNAL!H:H,JURNAL!E:E,J14,JURNAL!L:L,$C14,JURNAL!C:C,"&gt;="&amp;$M$3,JURNAL!C:C,"&lt;="&amp;$N$3)</f>
        <v>0</v>
      </c>
      <c r="N14" s="20">
        <f t="shared" si="3"/>
        <v>0</v>
      </c>
      <c r="O14" s="237">
        <f t="shared" si="4"/>
        <v>0</v>
      </c>
      <c r="P14" s="16">
        <f t="shared" si="5"/>
        <v>310100</v>
      </c>
      <c r="Q14" s="16">
        <f t="shared" si="6"/>
        <v>120100</v>
      </c>
      <c r="R14" s="237">
        <f t="shared" si="7"/>
        <v>0</v>
      </c>
    </row>
    <row r="15" spans="2:18">
      <c r="B15" s="15">
        <f t="shared" si="1"/>
        <v>10</v>
      </c>
      <c r="C15" s="16">
        <f>IFERROR(VLOOKUP(DATA!G13,DATA!$G$4:$J$2149,1,FALSE),"")</f>
        <v>2002</v>
      </c>
      <c r="D15" s="16" t="str">
        <f>+IFERROR(VLOOKUP(C15,DATA!$G$4:$H$2000,2,FALSE),"")</f>
        <v xml:space="preserve">ХУД-н ЭМНД ХЭЛТЭС </v>
      </c>
      <c r="E15" s="16">
        <v>120100</v>
      </c>
      <c r="F15" s="237">
        <v>0</v>
      </c>
      <c r="G15" s="237">
        <f>+SUMIFS(JURNAL!G:G,JURNAL!E:E,E15,JURNAL!L:L,$C15,JURNAL!C:C,"&gt;="&amp;$M$3,JURNAL!C:C,"&lt;="&amp;$N$3)</f>
        <v>0</v>
      </c>
      <c r="H15" s="19">
        <f>+SUMIFS(JURNAL!H:H,JURNAL!E:E,E15,JURNAL!L:L,$C15,JURNAL!C:C,"&gt;="&amp;$M$3,JURNAL!C:C,"&lt;="&amp;$N$3)</f>
        <v>0</v>
      </c>
      <c r="I15" s="237">
        <f t="shared" si="2"/>
        <v>0</v>
      </c>
      <c r="J15" s="16">
        <v>310100</v>
      </c>
      <c r="K15" s="237">
        <v>0</v>
      </c>
      <c r="L15" s="237">
        <f>+SUMIFS(JURNAL!G:G,JURNAL!E:E,J15,JURNAL!L:L,$C15,JURNAL!C:C,"&gt;="&amp;$M$3,JURNAL!C:C,"&lt;="&amp;$N$3)</f>
        <v>0</v>
      </c>
      <c r="M15" s="19">
        <f>+SUMIFS(JURNAL!H:H,JURNAL!E:E,J15,JURNAL!L:L,$C15,JURNAL!C:C,"&gt;="&amp;$M$3,JURNAL!C:C,"&lt;="&amp;$N$3)</f>
        <v>0</v>
      </c>
      <c r="N15" s="20">
        <f t="shared" si="3"/>
        <v>0</v>
      </c>
      <c r="O15" s="237">
        <f t="shared" si="4"/>
        <v>0</v>
      </c>
      <c r="P15" s="16">
        <f t="shared" si="5"/>
        <v>310100</v>
      </c>
      <c r="Q15" s="16">
        <f t="shared" si="6"/>
        <v>120100</v>
      </c>
      <c r="R15" s="237">
        <f t="shared" si="7"/>
        <v>0</v>
      </c>
    </row>
    <row r="16" spans="2:18">
      <c r="B16" s="15">
        <f t="shared" si="1"/>
        <v>11</v>
      </c>
      <c r="C16" s="16">
        <f>IFERROR(VLOOKUP(DATA!G14,DATA!$G$4:$J$2149,1,FALSE),"")</f>
        <v>2003</v>
      </c>
      <c r="D16" s="16" t="str">
        <f>+IFERROR(VLOOKUP(C16,DATA!$G$4:$H$2000,2,FALSE),"")</f>
        <v xml:space="preserve">УБЦТС ТӨХК </v>
      </c>
      <c r="E16" s="16">
        <v>120100</v>
      </c>
      <c r="F16" s="237">
        <v>0</v>
      </c>
      <c r="G16" s="237">
        <f>+SUMIFS(JURNAL!G:G,JURNAL!E:E,E16,JURNAL!L:L,$C16,JURNAL!C:C,"&gt;="&amp;$M$3,JURNAL!C:C,"&lt;="&amp;$N$3)</f>
        <v>694005.79</v>
      </c>
      <c r="H16" s="19">
        <f>+SUMIFS(JURNAL!H:H,JURNAL!E:E,E16,JURNAL!L:L,$C16,JURNAL!C:C,"&gt;="&amp;$M$3,JURNAL!C:C,"&lt;="&amp;$N$3)</f>
        <v>694005.79</v>
      </c>
      <c r="I16" s="237">
        <f t="shared" si="2"/>
        <v>0</v>
      </c>
      <c r="J16" s="16">
        <v>310100</v>
      </c>
      <c r="K16" s="237">
        <v>0</v>
      </c>
      <c r="L16" s="237">
        <f>+SUMIFS(JURNAL!G:G,JURNAL!E:E,J16,JURNAL!L:L,$C16,JURNAL!C:C,"&gt;="&amp;$M$3,JURNAL!C:C,"&lt;="&amp;$N$3)</f>
        <v>0</v>
      </c>
      <c r="M16" s="19">
        <f>+SUMIFS(JURNAL!H:H,JURNAL!E:E,J16,JURNAL!L:L,$C16,JURNAL!C:C,"&gt;="&amp;$M$3,JURNAL!C:C,"&lt;="&amp;$N$3)</f>
        <v>0</v>
      </c>
      <c r="N16" s="20">
        <f t="shared" si="3"/>
        <v>0</v>
      </c>
      <c r="O16" s="237">
        <f t="shared" si="4"/>
        <v>0</v>
      </c>
      <c r="P16" s="16">
        <f t="shared" si="5"/>
        <v>310100</v>
      </c>
      <c r="Q16" s="16">
        <f t="shared" si="6"/>
        <v>120100</v>
      </c>
      <c r="R16" s="237">
        <f t="shared" si="7"/>
        <v>0</v>
      </c>
    </row>
    <row r="17" spans="2:21">
      <c r="B17" s="15">
        <f t="shared" si="1"/>
        <v>12</v>
      </c>
      <c r="C17" s="16">
        <f>IFERROR(VLOOKUP(DATA!G15,DATA!$G$4:$J$2149,1,FALSE),"")</f>
        <v>2004</v>
      </c>
      <c r="D17" s="16" t="str">
        <f>+IFERROR(VLOOKUP(C17,DATA!$G$4:$H$2000,2,FALSE),"")</f>
        <v xml:space="preserve">ДЦС-3 ТӨХК </v>
      </c>
      <c r="E17" s="16">
        <v>120100</v>
      </c>
      <c r="F17" s="237">
        <v>1000000</v>
      </c>
      <c r="G17" s="237">
        <f>+SUMIFS(JURNAL!G:G,JURNAL!E:E,E17,JURNAL!L:L,$C17,JURNAL!C:C,"&gt;="&amp;$M$3,JURNAL!C:C,"&lt;="&amp;$N$3)</f>
        <v>3633746.6000000006</v>
      </c>
      <c r="H17" s="19">
        <f>+SUMIFS(JURNAL!H:H,JURNAL!E:E,E17,JURNAL!L:L,$C17,JURNAL!C:C,"&gt;="&amp;$M$3,JURNAL!C:C,"&lt;="&amp;$N$3)</f>
        <v>3633746.6000000006</v>
      </c>
      <c r="I17" s="237">
        <f>+F17+G17-H17</f>
        <v>1000000</v>
      </c>
      <c r="J17" s="16">
        <v>310100</v>
      </c>
      <c r="K17" s="237">
        <v>3499027.46</v>
      </c>
      <c r="L17" s="237">
        <f>+SUMIFS(JURNAL!G:G,JURNAL!E:E,J17,JURNAL!L:L,$C17,JURNAL!C:C,"&gt;="&amp;$M$3,JURNAL!C:C,"&lt;="&amp;$N$3)</f>
        <v>43590667.859999999</v>
      </c>
      <c r="M17" s="19">
        <f>+SUMIFS(JURNAL!H:H,JURNAL!E:E,J17,JURNAL!L:L,$C17,JURNAL!C:C,"&gt;="&amp;$M$3,JURNAL!C:C,"&lt;="&amp;$N$3)</f>
        <v>40091640.400000006</v>
      </c>
      <c r="N17" s="20">
        <f>+K17+M17-L17</f>
        <v>0</v>
      </c>
      <c r="O17" s="237">
        <f t="shared" si="4"/>
        <v>0</v>
      </c>
      <c r="P17" s="16">
        <f t="shared" si="5"/>
        <v>310100</v>
      </c>
      <c r="Q17" s="16">
        <f t="shared" si="6"/>
        <v>120100</v>
      </c>
      <c r="R17" s="237">
        <f t="shared" si="7"/>
        <v>0</v>
      </c>
      <c r="T17" s="237">
        <v>16361114.279999999</v>
      </c>
      <c r="U17" s="237">
        <f>+T17-N17</f>
        <v>16361114.279999999</v>
      </c>
    </row>
    <row r="18" spans="2:21">
      <c r="B18" s="15">
        <f t="shared" si="1"/>
        <v>13</v>
      </c>
      <c r="C18" s="16">
        <f>IFERROR(VLOOKUP(DATA!G16,DATA!$G$4:$J$2149,1,FALSE),"")</f>
        <v>2005</v>
      </c>
      <c r="D18" s="16" t="str">
        <f>+IFERROR(VLOOKUP(C18,DATA!$G$4:$H$2000,2,FALSE),"")</f>
        <v xml:space="preserve">УСУГ ТӨХК </v>
      </c>
      <c r="E18" s="16">
        <v>120100</v>
      </c>
      <c r="F18" s="237">
        <v>0</v>
      </c>
      <c r="G18" s="237">
        <f>+SUMIFS(JURNAL!G:G,JURNAL!E:E,E18,JURNAL!L:L,$C18,JURNAL!C:C,"&gt;="&amp;$M$3,JURNAL!C:C,"&lt;="&amp;$N$3)</f>
        <v>0</v>
      </c>
      <c r="H18" s="19">
        <f>+SUMIFS(JURNAL!H:H,JURNAL!E:E,E18,JURNAL!L:L,$C18,JURNAL!C:C,"&gt;="&amp;$M$3,JURNAL!C:C,"&lt;="&amp;$N$3)</f>
        <v>0</v>
      </c>
      <c r="I18" s="237">
        <f t="shared" si="2"/>
        <v>0</v>
      </c>
      <c r="J18" s="16">
        <v>310100</v>
      </c>
      <c r="K18" s="237">
        <v>0</v>
      </c>
      <c r="L18" s="237">
        <f>+SUMIFS(JURNAL!G:G,JURNAL!E:E,J18,JURNAL!L:L,$C18,JURNAL!C:C,"&gt;="&amp;$M$3,JURNAL!C:C,"&lt;="&amp;$N$3)</f>
        <v>0</v>
      </c>
      <c r="M18" s="19">
        <f>+SUMIFS(JURNAL!H:H,JURNAL!E:E,J18,JURNAL!L:L,$C18,JURNAL!C:C,"&gt;="&amp;$M$3,JURNAL!C:C,"&lt;="&amp;$N$3)</f>
        <v>0</v>
      </c>
      <c r="N18" s="20">
        <f t="shared" si="3"/>
        <v>0</v>
      </c>
      <c r="O18" s="237">
        <f t="shared" si="4"/>
        <v>0</v>
      </c>
      <c r="P18" s="16">
        <f t="shared" si="5"/>
        <v>310100</v>
      </c>
      <c r="Q18" s="16">
        <f t="shared" si="6"/>
        <v>120100</v>
      </c>
      <c r="R18" s="237">
        <f t="shared" si="7"/>
        <v>0</v>
      </c>
    </row>
    <row r="19" spans="2:21">
      <c r="B19" s="15">
        <f t="shared" si="1"/>
        <v>14</v>
      </c>
      <c r="C19" s="16">
        <f>IFERROR(VLOOKUP(DATA!G17,DATA!$G$4:$J$2149,1,FALSE),"")</f>
        <v>2006</v>
      </c>
      <c r="D19" s="16" t="str">
        <f>+IFERROR(VLOOKUP(C19,DATA!$G$4:$H$2000,2,FALSE),"")</f>
        <v xml:space="preserve">МЦХОЛБОО </v>
      </c>
      <c r="E19" s="16">
        <v>120100</v>
      </c>
      <c r="F19" s="237">
        <v>0</v>
      </c>
      <c r="G19" s="237">
        <f>+SUMIFS(JURNAL!G:G,JURNAL!E:E,E19,JURNAL!L:L,$C19,JURNAL!C:C,"&gt;="&amp;$M$3,JURNAL!C:C,"&lt;="&amp;$N$3)</f>
        <v>0</v>
      </c>
      <c r="H19" s="19">
        <f>+SUMIFS(JURNAL!H:H,JURNAL!E:E,E19,JURNAL!L:L,$C19,JURNAL!C:C,"&gt;="&amp;$M$3,JURNAL!C:C,"&lt;="&amp;$N$3)</f>
        <v>0</v>
      </c>
      <c r="I19" s="237">
        <f t="shared" si="2"/>
        <v>0</v>
      </c>
      <c r="J19" s="16">
        <v>310100</v>
      </c>
      <c r="K19" s="237">
        <v>0</v>
      </c>
      <c r="L19" s="237">
        <f>+SUMIFS(JURNAL!G:G,JURNAL!E:E,J19,JURNAL!L:L,$C19,JURNAL!C:C,"&gt;="&amp;$M$3,JURNAL!C:C,"&lt;="&amp;$N$3)</f>
        <v>0</v>
      </c>
      <c r="M19" s="19">
        <f>+SUMIFS(JURNAL!H:H,JURNAL!E:E,J19,JURNAL!L:L,$C19,JURNAL!C:C,"&gt;="&amp;$M$3,JURNAL!C:C,"&lt;="&amp;$N$3)</f>
        <v>0</v>
      </c>
      <c r="N19" s="20">
        <f t="shared" si="3"/>
        <v>0</v>
      </c>
      <c r="O19" s="237">
        <f t="shared" si="4"/>
        <v>0</v>
      </c>
      <c r="P19" s="16">
        <f t="shared" si="5"/>
        <v>310100</v>
      </c>
      <c r="Q19" s="16">
        <f t="shared" si="6"/>
        <v>120100</v>
      </c>
      <c r="R19" s="237">
        <f t="shared" si="7"/>
        <v>0</v>
      </c>
    </row>
    <row r="20" spans="2:21">
      <c r="B20" s="15">
        <f t="shared" si="1"/>
        <v>15</v>
      </c>
      <c r="C20" s="16">
        <f>IFERROR(VLOOKUP(DATA!G18,DATA!$G$4:$J$2149,1,FALSE),"")</f>
        <v>2007</v>
      </c>
      <c r="D20" s="16" t="str">
        <f>+IFERROR(VLOOKUP(C20,DATA!$G$4:$H$2000,2,FALSE),"")</f>
        <v xml:space="preserve">МХБИРЖ -ТӨХК </v>
      </c>
      <c r="E20" s="16">
        <v>120100</v>
      </c>
      <c r="F20" s="237">
        <v>0</v>
      </c>
      <c r="G20" s="237">
        <f>+SUMIFS(JURNAL!G:G,JURNAL!E:E,E20,JURNAL!L:L,$C20,JURNAL!C:C,"&gt;="&amp;$M$3,JURNAL!C:C,"&lt;="&amp;$N$3)</f>
        <v>0</v>
      </c>
      <c r="H20" s="19">
        <f>+SUMIFS(JURNAL!H:H,JURNAL!E:E,E20,JURNAL!L:L,$C20,JURNAL!C:C,"&gt;="&amp;$M$3,JURNAL!C:C,"&lt;="&amp;$N$3)</f>
        <v>0</v>
      </c>
      <c r="I20" s="237">
        <f t="shared" si="2"/>
        <v>0</v>
      </c>
      <c r="J20" s="16">
        <v>310100</v>
      </c>
      <c r="K20" s="237">
        <v>0</v>
      </c>
      <c r="L20" s="237">
        <f>+SUMIFS(JURNAL!G:G,JURNAL!E:E,J20,JURNAL!L:L,$C20,JURNAL!C:C,"&gt;="&amp;$M$3,JURNAL!C:C,"&lt;="&amp;$N$3)</f>
        <v>0</v>
      </c>
      <c r="M20" s="19">
        <f>+SUMIFS(JURNAL!H:H,JURNAL!E:E,J20,JURNAL!L:L,$C20,JURNAL!C:C,"&gt;="&amp;$M$3,JURNAL!C:C,"&lt;="&amp;$N$3)</f>
        <v>0</v>
      </c>
      <c r="N20" s="20">
        <f t="shared" si="3"/>
        <v>0</v>
      </c>
      <c r="O20" s="237">
        <f t="shared" si="4"/>
        <v>0</v>
      </c>
      <c r="P20" s="16">
        <f t="shared" si="5"/>
        <v>310100</v>
      </c>
      <c r="Q20" s="16">
        <f t="shared" si="6"/>
        <v>120100</v>
      </c>
      <c r="R20" s="237">
        <f t="shared" si="7"/>
        <v>0</v>
      </c>
    </row>
    <row r="21" spans="2:21">
      <c r="B21" s="15">
        <f t="shared" si="1"/>
        <v>16</v>
      </c>
      <c r="C21" s="16">
        <f>IFERROR(VLOOKUP(DATA!G19,DATA!$G$4:$J$2149,1,FALSE),"")</f>
        <v>2008</v>
      </c>
      <c r="D21" s="16" t="str">
        <f>+IFERROR(VLOOKUP(C21,DATA!$G$4:$H$2000,2,FALSE),"")</f>
        <v xml:space="preserve">САНХҮҮГИЙН ЗОХИЦУУЛАХ ХОРОО </v>
      </c>
      <c r="E21" s="16">
        <v>120100</v>
      </c>
      <c r="F21" s="237">
        <v>0</v>
      </c>
      <c r="G21" s="237">
        <f>+SUMIFS(JURNAL!G:G,JURNAL!E:E,E21,JURNAL!L:L,$C21,JURNAL!C:C,"&gt;="&amp;$M$3,JURNAL!C:C,"&lt;="&amp;$N$3)</f>
        <v>0</v>
      </c>
      <c r="H21" s="19">
        <f>+SUMIFS(JURNAL!H:H,JURNAL!E:E,E21,JURNAL!L:L,$C21,JURNAL!C:C,"&gt;="&amp;$M$3,JURNAL!C:C,"&lt;="&amp;$N$3)</f>
        <v>0</v>
      </c>
      <c r="I21" s="237">
        <f t="shared" si="2"/>
        <v>0</v>
      </c>
      <c r="J21" s="16">
        <v>310100</v>
      </c>
      <c r="K21" s="237">
        <v>0</v>
      </c>
      <c r="L21" s="237">
        <f>+SUMIFS(JURNAL!G:G,JURNAL!E:E,J21,JURNAL!L:L,$C21,JURNAL!C:C,"&gt;="&amp;$M$3,JURNAL!C:C,"&lt;="&amp;$N$3)</f>
        <v>0</v>
      </c>
      <c r="M21" s="19">
        <f>+SUMIFS(JURNAL!H:H,JURNAL!E:E,J21,JURNAL!L:L,$C21,JURNAL!C:C,"&gt;="&amp;$M$3,JURNAL!C:C,"&lt;="&amp;$N$3)</f>
        <v>0</v>
      </c>
      <c r="N21" s="20">
        <f t="shared" si="3"/>
        <v>0</v>
      </c>
      <c r="O21" s="237">
        <f t="shared" si="4"/>
        <v>0</v>
      </c>
      <c r="P21" s="16">
        <f t="shared" si="5"/>
        <v>310100</v>
      </c>
      <c r="Q21" s="16">
        <f t="shared" si="6"/>
        <v>120100</v>
      </c>
      <c r="R21" s="237">
        <f t="shared" si="7"/>
        <v>0</v>
      </c>
    </row>
    <row r="22" spans="2:21">
      <c r="B22" s="15">
        <f t="shared" si="1"/>
        <v>17</v>
      </c>
      <c r="C22" s="16">
        <f>IFERROR(VLOOKUP(DATA!G20,DATA!$G$4:$J$2149,1,FALSE),"")</f>
        <v>2009</v>
      </c>
      <c r="D22" s="16" t="str">
        <f>+IFERROR(VLOOKUP(C22,DATA!$G$4:$H$2000,2,FALSE),"")</f>
        <v>ХААН БАНК</v>
      </c>
      <c r="E22" s="16">
        <v>120100</v>
      </c>
      <c r="F22" s="237">
        <v>0</v>
      </c>
      <c r="G22" s="237">
        <f>+SUMIFS(JURNAL!G:G,JURNAL!E:E,E22,JURNAL!L:L,$C22,JURNAL!C:C,"&gt;="&amp;$M$3,JURNAL!C:C,"&lt;="&amp;$N$3)</f>
        <v>0</v>
      </c>
      <c r="H22" s="19">
        <f>+SUMIFS(JURNAL!H:H,JURNAL!E:E,E22,JURNAL!L:L,$C22,JURNAL!C:C,"&gt;="&amp;$M$3,JURNAL!C:C,"&lt;="&amp;$N$3)</f>
        <v>0</v>
      </c>
      <c r="I22" s="237">
        <f t="shared" si="2"/>
        <v>0</v>
      </c>
      <c r="J22" s="16">
        <v>310100</v>
      </c>
      <c r="K22" s="237">
        <v>0</v>
      </c>
      <c r="L22" s="237">
        <f>+SUMIFS(JURNAL!G:G,JURNAL!E:E,J22,JURNAL!L:L,$C22,JURNAL!C:C,"&gt;="&amp;$M$3,JURNAL!C:C,"&lt;="&amp;$N$3)</f>
        <v>0</v>
      </c>
      <c r="M22" s="19">
        <f>+SUMIFS(JURNAL!H:H,JURNAL!E:E,J22,JURNAL!L:L,$C22,JURNAL!C:C,"&gt;="&amp;$M$3,JURNAL!C:C,"&lt;="&amp;$N$3)</f>
        <v>0</v>
      </c>
      <c r="N22" s="20">
        <f t="shared" si="3"/>
        <v>0</v>
      </c>
      <c r="O22" s="237">
        <f t="shared" si="4"/>
        <v>0</v>
      </c>
      <c r="P22" s="16">
        <f t="shared" si="5"/>
        <v>310100</v>
      </c>
      <c r="Q22" s="16">
        <f t="shared" si="6"/>
        <v>120100</v>
      </c>
      <c r="R22" s="237">
        <f t="shared" si="7"/>
        <v>0</v>
      </c>
    </row>
    <row r="23" spans="2:21">
      <c r="B23" s="15">
        <f t="shared" si="1"/>
        <v>18</v>
      </c>
      <c r="C23" s="16">
        <f>IFERROR(VLOOKUP(DATA!G21,DATA!$G$4:$J$2149,1,FALSE),"")</f>
        <v>2010</v>
      </c>
      <c r="D23" s="16" t="str">
        <f>+IFERROR(VLOOKUP(C23,DATA!$G$4:$H$2000,2,FALSE),"")</f>
        <v>ХХБАНК</v>
      </c>
      <c r="E23" s="16">
        <v>120100</v>
      </c>
      <c r="F23" s="237">
        <v>0</v>
      </c>
      <c r="G23" s="237">
        <f>+SUMIFS(JURNAL!G:G,JURNAL!E:E,E23,JURNAL!L:L,$C23,JURNAL!C:C,"&gt;="&amp;$M$3,JURNAL!C:C,"&lt;="&amp;$N$3)</f>
        <v>0</v>
      </c>
      <c r="H23" s="19">
        <f>+SUMIFS(JURNAL!H:H,JURNAL!E:E,E23,JURNAL!L:L,$C23,JURNAL!C:C,"&gt;="&amp;$M$3,JURNAL!C:C,"&lt;="&amp;$N$3)</f>
        <v>0</v>
      </c>
      <c r="I23" s="237">
        <f t="shared" si="2"/>
        <v>0</v>
      </c>
      <c r="J23" s="16">
        <v>310100</v>
      </c>
      <c r="K23" s="237">
        <v>0</v>
      </c>
      <c r="L23" s="237">
        <f>+SUMIFS(JURNAL!G:G,JURNAL!E:E,J23,JURNAL!L:L,$C23,JURNAL!C:C,"&gt;="&amp;$M$3,JURNAL!C:C,"&lt;="&amp;$N$3)</f>
        <v>0</v>
      </c>
      <c r="M23" s="19">
        <f>+SUMIFS(JURNAL!H:H,JURNAL!E:E,J23,JURNAL!L:L,$C23,JURNAL!C:C,"&gt;="&amp;$M$3,JURNAL!C:C,"&lt;="&amp;$N$3)</f>
        <v>0</v>
      </c>
      <c r="N23" s="20">
        <f t="shared" si="3"/>
        <v>0</v>
      </c>
      <c r="O23" s="237">
        <f t="shared" si="4"/>
        <v>0</v>
      </c>
      <c r="P23" s="16">
        <f t="shared" si="5"/>
        <v>310100</v>
      </c>
      <c r="Q23" s="16">
        <f t="shared" si="6"/>
        <v>120100</v>
      </c>
      <c r="R23" s="237">
        <f t="shared" si="7"/>
        <v>0</v>
      </c>
    </row>
    <row r="24" spans="2:21">
      <c r="B24" s="15">
        <f t="shared" si="1"/>
        <v>19</v>
      </c>
      <c r="C24" s="16">
        <f>IFERROR(VLOOKUP(DATA!G22,DATA!$G$4:$J$2149,1,FALSE),"")</f>
        <v>2011</v>
      </c>
      <c r="D24" s="16" t="str">
        <f>+IFERROR(VLOOKUP(C24,DATA!$G$4:$H$2000,2,FALSE),"")</f>
        <v xml:space="preserve">ГОЛОМТ БАНК </v>
      </c>
      <c r="E24" s="16">
        <v>120100</v>
      </c>
      <c r="F24" s="237">
        <v>0</v>
      </c>
      <c r="G24" s="237">
        <f>+SUMIFS(JURNAL!G:G,JURNAL!E:E,E24,JURNAL!L:L,$C24,JURNAL!C:C,"&gt;="&amp;$M$3,JURNAL!C:C,"&lt;="&amp;$N$3)</f>
        <v>0</v>
      </c>
      <c r="H24" s="19">
        <f>+SUMIFS(JURNAL!H:H,JURNAL!E:E,E24,JURNAL!L:L,$C24,JURNAL!C:C,"&gt;="&amp;$M$3,JURNAL!C:C,"&lt;="&amp;$N$3)</f>
        <v>0</v>
      </c>
      <c r="I24" s="237">
        <f t="shared" si="2"/>
        <v>0</v>
      </c>
      <c r="J24" s="16">
        <v>310100</v>
      </c>
      <c r="K24" s="237">
        <v>0</v>
      </c>
      <c r="L24" s="237">
        <f>+SUMIFS(JURNAL!G:G,JURNAL!E:E,J24,JURNAL!L:L,$C24,JURNAL!C:C,"&gt;="&amp;$M$3,JURNAL!C:C,"&lt;="&amp;$N$3)</f>
        <v>0</v>
      </c>
      <c r="M24" s="19">
        <f>+SUMIFS(JURNAL!H:H,JURNAL!E:E,J24,JURNAL!L:L,$C24,JURNAL!C:C,"&gt;="&amp;$M$3,JURNAL!C:C,"&lt;="&amp;$N$3)</f>
        <v>0</v>
      </c>
      <c r="N24" s="20">
        <f t="shared" si="3"/>
        <v>0</v>
      </c>
      <c r="O24" s="237">
        <f t="shared" si="4"/>
        <v>0</v>
      </c>
      <c r="P24" s="16">
        <f t="shared" si="5"/>
        <v>310100</v>
      </c>
      <c r="Q24" s="16">
        <f t="shared" si="6"/>
        <v>120100</v>
      </c>
      <c r="R24" s="237">
        <f t="shared" si="7"/>
        <v>0</v>
      </c>
    </row>
    <row r="25" spans="2:21">
      <c r="B25" s="15">
        <f t="shared" si="1"/>
        <v>20</v>
      </c>
      <c r="C25" s="16">
        <f>IFERROR(VLOOKUP(DATA!G23,DATA!$G$4:$J$2149,1,FALSE),"")</f>
        <v>2012</v>
      </c>
      <c r="D25" s="16" t="str">
        <f>+IFERROR(VLOOKUP(C25,DATA!$G$4:$H$2000,2,FALSE),"")</f>
        <v>ИХ ТУГЧ ХХК</v>
      </c>
      <c r="E25" s="16">
        <v>120100</v>
      </c>
      <c r="F25" s="237">
        <v>0</v>
      </c>
      <c r="G25" s="237">
        <f>+SUMIFS(JURNAL!G:G,JURNAL!E:E,E25,JURNAL!L:L,$C25,JURNAL!C:C,"&gt;="&amp;$M$3,JURNAL!C:C,"&lt;="&amp;$N$3)</f>
        <v>0</v>
      </c>
      <c r="H25" s="19">
        <f>+SUMIFS(JURNAL!H:H,JURNAL!E:E,E25,JURNAL!L:L,$C25,JURNAL!C:C,"&gt;="&amp;$M$3,JURNAL!C:C,"&lt;="&amp;$N$3)</f>
        <v>0</v>
      </c>
      <c r="I25" s="237">
        <f t="shared" si="2"/>
        <v>0</v>
      </c>
      <c r="J25" s="16">
        <v>310100</v>
      </c>
      <c r="K25" s="237">
        <v>0</v>
      </c>
      <c r="L25" s="237">
        <f>+SUMIFS(JURNAL!G:G,JURNAL!E:E,J25,JURNAL!L:L,$C25,JURNAL!C:C,"&gt;="&amp;$M$3,JURNAL!C:C,"&lt;="&amp;$N$3)</f>
        <v>0</v>
      </c>
      <c r="M25" s="19">
        <f>+SUMIFS(JURNAL!H:H,JURNAL!E:E,J25,JURNAL!L:L,$C25,JURNAL!C:C,"&gt;="&amp;$M$3,JURNAL!C:C,"&lt;="&amp;$N$3)</f>
        <v>0</v>
      </c>
      <c r="N25" s="20">
        <f t="shared" si="3"/>
        <v>0</v>
      </c>
      <c r="O25" s="237">
        <f t="shared" si="4"/>
        <v>0</v>
      </c>
      <c r="P25" s="16">
        <f t="shared" si="5"/>
        <v>310100</v>
      </c>
      <c r="Q25" s="16">
        <f t="shared" si="6"/>
        <v>120100</v>
      </c>
      <c r="R25" s="237">
        <f t="shared" si="7"/>
        <v>0</v>
      </c>
    </row>
    <row r="26" spans="2:21">
      <c r="B26" s="15">
        <f t="shared" si="1"/>
        <v>21</v>
      </c>
      <c r="C26" s="16">
        <f>IFERROR(VLOOKUP(DATA!G24,DATA!$G$4:$J$2149,1,FALSE),"")</f>
        <v>2013</v>
      </c>
      <c r="D26" s="16" t="str">
        <f>+IFERROR(VLOOKUP(C26,DATA!$G$4:$H$2000,2,FALSE),"")</f>
        <v>УБДС ТӨХК</v>
      </c>
      <c r="E26" s="16">
        <v>120100</v>
      </c>
      <c r="F26" s="237">
        <v>0</v>
      </c>
      <c r="G26" s="237">
        <f>+SUMIFS(JURNAL!G:G,JURNAL!E:E,E26,JURNAL!L:L,$C26,JURNAL!C:C,"&gt;="&amp;$M$3,JURNAL!C:C,"&lt;="&amp;$N$3)</f>
        <v>0</v>
      </c>
      <c r="H26" s="19">
        <f>+SUMIFS(JURNAL!H:H,JURNAL!E:E,E26,JURNAL!L:L,$C26,JURNAL!C:C,"&gt;="&amp;$M$3,JURNAL!C:C,"&lt;="&amp;$N$3)</f>
        <v>0</v>
      </c>
      <c r="I26" s="237">
        <f t="shared" si="2"/>
        <v>0</v>
      </c>
      <c r="J26" s="16">
        <v>310100</v>
      </c>
      <c r="K26" s="237">
        <v>0</v>
      </c>
      <c r="L26" s="237">
        <f>+SUMIFS(JURNAL!G:G,JURNAL!E:E,J26,JURNAL!L:L,$C26,JURNAL!C:C,"&gt;="&amp;$M$3,JURNAL!C:C,"&lt;="&amp;$N$3)</f>
        <v>3548797</v>
      </c>
      <c r="M26" s="19">
        <f>+SUMIFS(JURNAL!H:H,JURNAL!E:E,J26,JURNAL!L:L,$C26,JURNAL!C:C,"&gt;="&amp;$M$3,JURNAL!C:C,"&lt;="&amp;$N$3)</f>
        <v>3678797</v>
      </c>
      <c r="N26" s="20">
        <f t="shared" si="3"/>
        <v>130000</v>
      </c>
      <c r="O26" s="237">
        <f t="shared" si="4"/>
        <v>0</v>
      </c>
      <c r="P26" s="16">
        <f t="shared" si="5"/>
        <v>310100</v>
      </c>
      <c r="Q26" s="16">
        <f t="shared" si="6"/>
        <v>120100</v>
      </c>
      <c r="R26" s="237">
        <f t="shared" si="7"/>
        <v>0</v>
      </c>
    </row>
    <row r="27" spans="2:21">
      <c r="B27" s="15">
        <f t="shared" si="1"/>
        <v>22</v>
      </c>
      <c r="C27" s="16">
        <f>IFERROR(VLOOKUP(DATA!G25,DATA!$G$4:$J$2149,1,FALSE),"")</f>
        <v>3001</v>
      </c>
      <c r="D27" s="16" t="str">
        <f>+IFERROR(VLOOKUP(C27,DATA!$G$4:$H$2000,2,FALSE),"")</f>
        <v>ХУРД ГРУПП ХХК</v>
      </c>
      <c r="E27" s="16">
        <v>120100</v>
      </c>
      <c r="F27" s="237">
        <v>0</v>
      </c>
      <c r="G27" s="237">
        <f>+SUMIFS(JURNAL!G:G,JURNAL!E:E,E27,JURNAL!L:L,$C27,JURNAL!C:C,"&gt;="&amp;$M$3,JURNAL!C:C,"&lt;="&amp;$N$3)</f>
        <v>0</v>
      </c>
      <c r="H27" s="19">
        <f>+SUMIFS(JURNAL!H:H,JURNAL!E:E,E27,JURNAL!L:L,$C27,JURNAL!C:C,"&gt;="&amp;$M$3,JURNAL!C:C,"&lt;="&amp;$N$3)</f>
        <v>0</v>
      </c>
      <c r="I27" s="237">
        <f t="shared" si="2"/>
        <v>0</v>
      </c>
      <c r="J27" s="16">
        <v>310100</v>
      </c>
      <c r="K27" s="237">
        <v>0</v>
      </c>
      <c r="L27" s="237">
        <f>+SUMIFS(JURNAL!G:G,JURNAL!E:E,J27,JURNAL!L:L,$C27,JURNAL!C:C,"&gt;="&amp;$M$3,JURNAL!C:C,"&lt;="&amp;$N$3)</f>
        <v>0</v>
      </c>
      <c r="M27" s="19">
        <f>+SUMIFS(JURNAL!H:H,JURNAL!E:E,J27,JURNAL!L:L,$C27,JURNAL!C:C,"&gt;="&amp;$M$3,JURNAL!C:C,"&lt;="&amp;$N$3)</f>
        <v>0</v>
      </c>
      <c r="N27" s="20">
        <f t="shared" si="3"/>
        <v>0</v>
      </c>
      <c r="O27" s="237">
        <f t="shared" si="4"/>
        <v>0</v>
      </c>
      <c r="P27" s="16">
        <f t="shared" si="5"/>
        <v>310100</v>
      </c>
      <c r="Q27" s="16">
        <f t="shared" si="6"/>
        <v>120100</v>
      </c>
      <c r="R27" s="237">
        <f t="shared" si="7"/>
        <v>0</v>
      </c>
    </row>
    <row r="28" spans="2:21">
      <c r="B28" s="15">
        <f t="shared" si="1"/>
        <v>23</v>
      </c>
      <c r="C28" s="16">
        <f>IFERROR(VLOOKUP(DATA!G26,DATA!$G$4:$J$2149,1,FALSE),"")</f>
        <v>3002</v>
      </c>
      <c r="D28" s="16" t="str">
        <f>+IFERROR(VLOOKUP(C28,DATA!$G$4:$H$2000,2,FALSE),"")</f>
        <v>ЭКО КОНСТРАКШН ХХК</v>
      </c>
      <c r="E28" s="16">
        <v>120100</v>
      </c>
      <c r="F28" s="237">
        <v>0</v>
      </c>
      <c r="G28" s="237">
        <f>+SUMIFS(JURNAL!G:G,JURNAL!E:E,E28,JURNAL!L:L,$C28,JURNAL!C:C,"&gt;="&amp;$M$3,JURNAL!C:C,"&lt;="&amp;$N$3)</f>
        <v>0</v>
      </c>
      <c r="H28" s="19">
        <f>+SUMIFS(JURNAL!H:H,JURNAL!E:E,E28,JURNAL!L:L,$C28,JURNAL!C:C,"&gt;="&amp;$M$3,JURNAL!C:C,"&lt;="&amp;$N$3)</f>
        <v>0</v>
      </c>
      <c r="I28" s="237">
        <f t="shared" si="2"/>
        <v>0</v>
      </c>
      <c r="J28" s="16">
        <v>310100</v>
      </c>
      <c r="K28" s="237">
        <v>0</v>
      </c>
      <c r="L28" s="237">
        <f>+SUMIFS(JURNAL!G:G,JURNAL!E:E,J28,JURNAL!L:L,$C28,JURNAL!C:C,"&gt;="&amp;$M$3,JURNAL!C:C,"&lt;="&amp;$N$3)</f>
        <v>0</v>
      </c>
      <c r="M28" s="19">
        <f>+SUMIFS(JURNAL!H:H,JURNAL!E:E,J28,JURNAL!L:L,$C28,JURNAL!C:C,"&gt;="&amp;$M$3,JURNAL!C:C,"&lt;="&amp;$N$3)</f>
        <v>0</v>
      </c>
      <c r="N28" s="20">
        <f t="shared" si="3"/>
        <v>0</v>
      </c>
      <c r="O28" s="237">
        <f t="shared" si="4"/>
        <v>0</v>
      </c>
      <c r="P28" s="16">
        <f t="shared" si="5"/>
        <v>310100</v>
      </c>
      <c r="Q28" s="16">
        <f t="shared" si="6"/>
        <v>120100</v>
      </c>
      <c r="R28" s="237">
        <f t="shared" si="7"/>
        <v>0</v>
      </c>
    </row>
    <row r="29" spans="2:21">
      <c r="B29" s="15">
        <f t="shared" si="1"/>
        <v>24</v>
      </c>
      <c r="C29" s="16">
        <f>IFERROR(VLOOKUP(DATA!G27,DATA!$G$4:$J$2149,1,FALSE),"")</f>
        <v>3003</v>
      </c>
      <c r="D29" s="16" t="str">
        <f>+IFERROR(VLOOKUP(C29,DATA!$G$4:$H$2000,2,FALSE),"")</f>
        <v xml:space="preserve">МУХИА ХХК </v>
      </c>
      <c r="E29" s="16">
        <v>120100</v>
      </c>
      <c r="F29" s="237">
        <v>0</v>
      </c>
      <c r="G29" s="237">
        <f>+SUMIFS(JURNAL!G:G,JURNAL!E:E,E29,JURNAL!L:L,$C29,JURNAL!C:C,"&gt;="&amp;$M$3,JURNAL!C:C,"&lt;="&amp;$N$3)</f>
        <v>0</v>
      </c>
      <c r="H29" s="19">
        <f>+SUMIFS(JURNAL!H:H,JURNAL!E:E,E29,JURNAL!L:L,$C29,JURNAL!C:C,"&gt;="&amp;$M$3,JURNAL!C:C,"&lt;="&amp;$N$3)</f>
        <v>0</v>
      </c>
      <c r="I29" s="237">
        <f t="shared" si="2"/>
        <v>0</v>
      </c>
      <c r="J29" s="16">
        <v>310100</v>
      </c>
      <c r="K29" s="237">
        <v>0</v>
      </c>
      <c r="L29" s="237">
        <f>+SUMIFS(JURNAL!G:G,JURNAL!E:E,J29,JURNAL!L:L,$C29,JURNAL!C:C,"&gt;="&amp;$M$3,JURNAL!C:C,"&lt;="&amp;$N$3)</f>
        <v>0</v>
      </c>
      <c r="M29" s="19">
        <f>+SUMIFS(JURNAL!H:H,JURNAL!E:E,J29,JURNAL!L:L,$C29,JURNAL!C:C,"&gt;="&amp;$M$3,JURNAL!C:C,"&lt;="&amp;$N$3)</f>
        <v>0</v>
      </c>
      <c r="N29" s="20">
        <f t="shared" si="3"/>
        <v>0</v>
      </c>
      <c r="O29" s="237">
        <f t="shared" si="4"/>
        <v>0</v>
      </c>
      <c r="P29" s="16">
        <f t="shared" si="5"/>
        <v>310100</v>
      </c>
      <c r="Q29" s="16">
        <f t="shared" si="6"/>
        <v>120100</v>
      </c>
      <c r="R29" s="237">
        <f t="shared" si="7"/>
        <v>0</v>
      </c>
    </row>
    <row r="30" spans="2:21">
      <c r="B30" s="15">
        <f t="shared" si="1"/>
        <v>25</v>
      </c>
      <c r="C30" s="16">
        <f>IFERROR(VLOOKUP(DATA!G28,DATA!$G$4:$J$2149,1,FALSE),"")</f>
        <v>3004</v>
      </c>
      <c r="D30" s="16" t="str">
        <f>+IFERROR(VLOOKUP(C30,DATA!$G$4:$H$2000,2,FALSE),"")</f>
        <v xml:space="preserve">ИЭСОМ ХХК </v>
      </c>
      <c r="E30" s="16">
        <v>120100</v>
      </c>
      <c r="F30" s="237">
        <v>0</v>
      </c>
      <c r="G30" s="237">
        <f>+SUMIFS(JURNAL!G:G,JURNAL!E:E,E30,JURNAL!L:L,$C30,JURNAL!C:C,"&gt;="&amp;$M$3,JURNAL!C:C,"&lt;="&amp;$N$3)</f>
        <v>0</v>
      </c>
      <c r="H30" s="19">
        <f>+SUMIFS(JURNAL!H:H,JURNAL!E:E,E30,JURNAL!L:L,$C30,JURNAL!C:C,"&gt;="&amp;$M$3,JURNAL!C:C,"&lt;="&amp;$N$3)</f>
        <v>0</v>
      </c>
      <c r="I30" s="237">
        <f t="shared" si="2"/>
        <v>0</v>
      </c>
      <c r="J30" s="16">
        <v>310100</v>
      </c>
      <c r="K30" s="237">
        <v>0</v>
      </c>
      <c r="L30" s="237">
        <f>+SUMIFS(JURNAL!G:G,JURNAL!E:E,J30,JURNAL!L:L,$C30,JURNAL!C:C,"&gt;="&amp;$M$3,JURNAL!C:C,"&lt;="&amp;$N$3)</f>
        <v>0</v>
      </c>
      <c r="M30" s="19">
        <f>+SUMIFS(JURNAL!H:H,JURNAL!E:E,J30,JURNAL!L:L,$C30,JURNAL!C:C,"&gt;="&amp;$M$3,JURNAL!C:C,"&lt;="&amp;$N$3)</f>
        <v>0</v>
      </c>
      <c r="N30" s="20">
        <f t="shared" si="3"/>
        <v>0</v>
      </c>
      <c r="O30" s="237">
        <f t="shared" si="4"/>
        <v>0</v>
      </c>
      <c r="P30" s="16">
        <f t="shared" si="5"/>
        <v>310100</v>
      </c>
      <c r="Q30" s="16">
        <f t="shared" si="6"/>
        <v>120100</v>
      </c>
      <c r="R30" s="237">
        <f t="shared" si="7"/>
        <v>0</v>
      </c>
    </row>
    <row r="31" spans="2:21">
      <c r="B31" s="15">
        <f t="shared" si="1"/>
        <v>26</v>
      </c>
      <c r="C31" s="16">
        <f>IFERROR(VLOOKUP(DATA!G29,DATA!$G$4:$J$2149,1,FALSE),"")</f>
        <v>3005</v>
      </c>
      <c r="D31" s="16" t="str">
        <f>+IFERROR(VLOOKUP(C31,DATA!$G$4:$H$2000,2,FALSE),"")</f>
        <v xml:space="preserve">ОРГИЛ ХҮНС ХХК </v>
      </c>
      <c r="E31" s="16">
        <v>120100</v>
      </c>
      <c r="F31" s="237">
        <v>0</v>
      </c>
      <c r="G31" s="237">
        <f>+SUMIFS(JURNAL!G:G,JURNAL!E:E,E31,JURNAL!L:L,$C31,JURNAL!C:C,"&gt;="&amp;$M$3,JURNAL!C:C,"&lt;="&amp;$N$3)</f>
        <v>0</v>
      </c>
      <c r="H31" s="19">
        <f>+SUMIFS(JURNAL!H:H,JURNAL!E:E,E31,JURNAL!L:L,$C31,JURNAL!C:C,"&gt;="&amp;$M$3,JURNAL!C:C,"&lt;="&amp;$N$3)</f>
        <v>0</v>
      </c>
      <c r="I31" s="237">
        <f t="shared" si="2"/>
        <v>0</v>
      </c>
      <c r="J31" s="16">
        <v>310100</v>
      </c>
      <c r="K31" s="237">
        <v>0</v>
      </c>
      <c r="L31" s="237">
        <f>+SUMIFS(JURNAL!G:G,JURNAL!E:E,J31,JURNAL!L:L,$C31,JURNAL!C:C,"&gt;="&amp;$M$3,JURNAL!C:C,"&lt;="&amp;$N$3)</f>
        <v>0</v>
      </c>
      <c r="M31" s="19">
        <f>+SUMIFS(JURNAL!H:H,JURNAL!E:E,J31,JURNAL!L:L,$C31,JURNAL!C:C,"&gt;="&amp;$M$3,JURNAL!C:C,"&lt;="&amp;$N$3)</f>
        <v>0</v>
      </c>
      <c r="N31" s="20">
        <f t="shared" si="3"/>
        <v>0</v>
      </c>
      <c r="O31" s="237">
        <f t="shared" si="4"/>
        <v>0</v>
      </c>
      <c r="P31" s="16">
        <f t="shared" si="5"/>
        <v>310100</v>
      </c>
      <c r="Q31" s="16">
        <f t="shared" si="6"/>
        <v>120100</v>
      </c>
      <c r="R31" s="237">
        <f t="shared" si="7"/>
        <v>0</v>
      </c>
    </row>
    <row r="32" spans="2:21">
      <c r="B32" s="15">
        <f t="shared" si="1"/>
        <v>27</v>
      </c>
      <c r="C32" s="16">
        <f>IFERROR(VLOOKUP(DATA!G30,DATA!$G$4:$J$2149,1,FALSE),"")</f>
        <v>3006</v>
      </c>
      <c r="D32" s="16" t="str">
        <f>+IFERROR(VLOOKUP(C32,DATA!$G$4:$H$2000,2,FALSE),"")</f>
        <v xml:space="preserve">ПАЙОНЕРИНГ ИНТЕРНЭШНЛ ХХК </v>
      </c>
      <c r="E32" s="16">
        <v>120100</v>
      </c>
      <c r="F32" s="237">
        <v>0</v>
      </c>
      <c r="G32" s="237">
        <f>+SUMIFS(JURNAL!G:G,JURNAL!E:E,E32,JURNAL!L:L,$C32,JURNAL!C:C,"&gt;="&amp;$M$3,JURNAL!C:C,"&lt;="&amp;$N$3)</f>
        <v>0</v>
      </c>
      <c r="H32" s="19">
        <f>+SUMIFS(JURNAL!H:H,JURNAL!E:E,E32,JURNAL!L:L,$C32,JURNAL!C:C,"&gt;="&amp;$M$3,JURNAL!C:C,"&lt;="&amp;$N$3)</f>
        <v>0</v>
      </c>
      <c r="I32" s="237">
        <f t="shared" si="2"/>
        <v>0</v>
      </c>
      <c r="J32" s="16">
        <v>310100</v>
      </c>
      <c r="K32" s="237">
        <v>0</v>
      </c>
      <c r="L32" s="237">
        <f>+SUMIFS(JURNAL!G:G,JURNAL!E:E,J32,JURNAL!L:L,$C32,JURNAL!C:C,"&gt;="&amp;$M$3,JURNAL!C:C,"&lt;="&amp;$N$3)</f>
        <v>0</v>
      </c>
      <c r="M32" s="19">
        <f>+SUMIFS(JURNAL!H:H,JURNAL!E:E,J32,JURNAL!L:L,$C32,JURNAL!C:C,"&gt;="&amp;$M$3,JURNAL!C:C,"&lt;="&amp;$N$3)</f>
        <v>0</v>
      </c>
      <c r="N32" s="20">
        <f t="shared" si="3"/>
        <v>0</v>
      </c>
      <c r="O32" s="237">
        <f t="shared" si="4"/>
        <v>0</v>
      </c>
      <c r="P32" s="16">
        <f t="shared" si="5"/>
        <v>310100</v>
      </c>
      <c r="Q32" s="16">
        <f t="shared" si="6"/>
        <v>120100</v>
      </c>
      <c r="R32" s="237">
        <f t="shared" si="7"/>
        <v>0</v>
      </c>
    </row>
    <row r="33" spans="2:18">
      <c r="B33" s="15">
        <f t="shared" si="1"/>
        <v>28</v>
      </c>
      <c r="C33" s="16">
        <f>IFERROR(VLOOKUP(DATA!G31,DATA!$G$4:$J$2149,1,FALSE),"")</f>
        <v>3007</v>
      </c>
      <c r="D33" s="16" t="str">
        <f>+IFERROR(VLOOKUP(C33,DATA!$G$4:$H$2000,2,FALSE),"")</f>
        <v xml:space="preserve">АЯНЧИН АУТФИТТЕРС ХХК </v>
      </c>
      <c r="E33" s="16">
        <v>120100</v>
      </c>
      <c r="F33" s="237">
        <v>0</v>
      </c>
      <c r="G33" s="237">
        <f>+SUMIFS(JURNAL!G:G,JURNAL!E:E,E33,JURNAL!L:L,$C33,JURNAL!C:C,"&gt;="&amp;$M$3,JURNAL!C:C,"&lt;="&amp;$N$3)</f>
        <v>0</v>
      </c>
      <c r="H33" s="19">
        <f>+SUMIFS(JURNAL!H:H,JURNAL!E:E,E33,JURNAL!L:L,$C33,JURNAL!C:C,"&gt;="&amp;$M$3,JURNAL!C:C,"&lt;="&amp;$N$3)</f>
        <v>0</v>
      </c>
      <c r="I33" s="237">
        <f t="shared" si="2"/>
        <v>0</v>
      </c>
      <c r="J33" s="16">
        <v>310100</v>
      </c>
      <c r="K33" s="237">
        <v>0</v>
      </c>
      <c r="L33" s="237">
        <f>+SUMIFS(JURNAL!G:G,JURNAL!E:E,J33,JURNAL!L:L,$C33,JURNAL!C:C,"&gt;="&amp;$M$3,JURNAL!C:C,"&lt;="&amp;$N$3)</f>
        <v>0</v>
      </c>
      <c r="M33" s="19">
        <f>+SUMIFS(JURNAL!H:H,JURNAL!E:E,J33,JURNAL!L:L,$C33,JURNAL!C:C,"&gt;="&amp;$M$3,JURNAL!C:C,"&lt;="&amp;$N$3)</f>
        <v>0</v>
      </c>
      <c r="N33" s="20">
        <f t="shared" si="3"/>
        <v>0</v>
      </c>
      <c r="O33" s="237">
        <f t="shared" si="4"/>
        <v>0</v>
      </c>
      <c r="P33" s="16">
        <f t="shared" si="5"/>
        <v>310100</v>
      </c>
      <c r="Q33" s="16">
        <f t="shared" si="6"/>
        <v>120100</v>
      </c>
      <c r="R33" s="237">
        <f t="shared" si="7"/>
        <v>0</v>
      </c>
    </row>
    <row r="34" spans="2:18">
      <c r="B34" s="15">
        <f t="shared" si="1"/>
        <v>29</v>
      </c>
      <c r="C34" s="16">
        <f>IFERROR(VLOOKUP(DATA!G32,DATA!$G$4:$J$2149,1,FALSE),"")</f>
        <v>3008</v>
      </c>
      <c r="D34" s="16" t="str">
        <f>+IFERROR(VLOOKUP(C34,DATA!$G$4:$H$2000,2,FALSE),"")</f>
        <v xml:space="preserve">ГЭГЭЭН ДАЛАЙ ХХК </v>
      </c>
      <c r="E34" s="16">
        <v>120100</v>
      </c>
      <c r="F34" s="237">
        <v>0</v>
      </c>
      <c r="G34" s="237">
        <f>+SUMIFS(JURNAL!G:G,JURNAL!E:E,E34,JURNAL!L:L,$C34,JURNAL!C:C,"&gt;="&amp;$M$3,JURNAL!C:C,"&lt;="&amp;$N$3)</f>
        <v>0</v>
      </c>
      <c r="H34" s="19">
        <f>+SUMIFS(JURNAL!H:H,JURNAL!E:E,E34,JURNAL!L:L,$C34,JURNAL!C:C,"&gt;="&amp;$M$3,JURNAL!C:C,"&lt;="&amp;$N$3)</f>
        <v>0</v>
      </c>
      <c r="I34" s="237">
        <f t="shared" si="2"/>
        <v>0</v>
      </c>
      <c r="J34" s="16">
        <v>310100</v>
      </c>
      <c r="K34" s="237">
        <v>0</v>
      </c>
      <c r="L34" s="237">
        <f>+SUMIFS(JURNAL!G:G,JURNAL!E:E,J34,JURNAL!L:L,$C34,JURNAL!C:C,"&gt;="&amp;$M$3,JURNAL!C:C,"&lt;="&amp;$N$3)</f>
        <v>0</v>
      </c>
      <c r="M34" s="19">
        <f>+SUMIFS(JURNAL!H:H,JURNAL!E:E,J34,JURNAL!L:L,$C34,JURNAL!C:C,"&gt;="&amp;$M$3,JURNAL!C:C,"&lt;="&amp;$N$3)</f>
        <v>0</v>
      </c>
      <c r="N34" s="20">
        <f t="shared" si="3"/>
        <v>0</v>
      </c>
      <c r="O34" s="237">
        <f t="shared" si="4"/>
        <v>0</v>
      </c>
      <c r="P34" s="16">
        <f t="shared" si="5"/>
        <v>310100</v>
      </c>
      <c r="Q34" s="16">
        <f t="shared" si="6"/>
        <v>120100</v>
      </c>
      <c r="R34" s="237">
        <f t="shared" si="7"/>
        <v>0</v>
      </c>
    </row>
    <row r="35" spans="2:18">
      <c r="B35" s="15">
        <f t="shared" si="1"/>
        <v>30</v>
      </c>
      <c r="C35" s="16">
        <f>IFERROR(VLOOKUP(DATA!G33,DATA!$G$4:$J$2149,1,FALSE),"")</f>
        <v>3009</v>
      </c>
      <c r="D35" s="16" t="str">
        <f>+IFERROR(VLOOKUP(C35,DATA!$G$4:$H$2000,2,FALSE),"")</f>
        <v xml:space="preserve">СЭРҮҮН ХАРААТ ХХК </v>
      </c>
      <c r="E35" s="16">
        <v>120100</v>
      </c>
      <c r="F35" s="237">
        <v>0</v>
      </c>
      <c r="G35" s="237">
        <f>+SUMIFS(JURNAL!G:G,JURNAL!E:E,E35,JURNAL!L:L,$C35,JURNAL!C:C,"&gt;="&amp;$M$3,JURNAL!C:C,"&lt;="&amp;$N$3)</f>
        <v>0</v>
      </c>
      <c r="H35" s="19">
        <f>+SUMIFS(JURNAL!H:H,JURNAL!E:E,E35,JURNAL!L:L,$C35,JURNAL!C:C,"&gt;="&amp;$M$3,JURNAL!C:C,"&lt;="&amp;$N$3)</f>
        <v>0</v>
      </c>
      <c r="I35" s="237">
        <f t="shared" si="2"/>
        <v>0</v>
      </c>
      <c r="J35" s="16">
        <v>310100</v>
      </c>
      <c r="K35" s="237">
        <v>0</v>
      </c>
      <c r="L35" s="237">
        <f>+SUMIFS(JURNAL!G:G,JURNAL!E:E,J35,JURNAL!L:L,$C35,JURNAL!C:C,"&gt;="&amp;$M$3,JURNAL!C:C,"&lt;="&amp;$N$3)</f>
        <v>0</v>
      </c>
      <c r="M35" s="19">
        <f>+SUMIFS(JURNAL!H:H,JURNAL!E:E,J35,JURNAL!L:L,$C35,JURNAL!C:C,"&gt;="&amp;$M$3,JURNAL!C:C,"&lt;="&amp;$N$3)</f>
        <v>0</v>
      </c>
      <c r="N35" s="20">
        <f t="shared" si="3"/>
        <v>0</v>
      </c>
      <c r="O35" s="237">
        <f t="shared" si="4"/>
        <v>0</v>
      </c>
      <c r="P35" s="16">
        <f t="shared" si="5"/>
        <v>310100</v>
      </c>
      <c r="Q35" s="16">
        <f t="shared" si="6"/>
        <v>120100</v>
      </c>
      <c r="R35" s="237">
        <f t="shared" si="7"/>
        <v>0</v>
      </c>
    </row>
    <row r="36" spans="2:18">
      <c r="B36" s="15">
        <f t="shared" si="1"/>
        <v>31</v>
      </c>
      <c r="C36" s="16">
        <f>IFERROR(VLOOKUP(DATA!G34,DATA!$G$4:$J$2149,1,FALSE),"")</f>
        <v>3010</v>
      </c>
      <c r="D36" s="16" t="str">
        <f>+IFERROR(VLOOKUP(C36,DATA!$G$4:$H$2000,2,FALSE),"")</f>
        <v xml:space="preserve">РЕНДЕР ХХК </v>
      </c>
      <c r="E36" s="16">
        <v>120100</v>
      </c>
      <c r="F36" s="237">
        <v>0</v>
      </c>
      <c r="G36" s="237">
        <f>+SUMIFS(JURNAL!G:G,JURNAL!E:E,E36,JURNAL!L:L,$C36,JURNAL!C:C,"&gt;="&amp;$M$3,JURNAL!C:C,"&lt;="&amp;$N$3)</f>
        <v>0</v>
      </c>
      <c r="H36" s="19">
        <f>+SUMIFS(JURNAL!H:H,JURNAL!E:E,E36,JURNAL!L:L,$C36,JURNAL!C:C,"&gt;="&amp;$M$3,JURNAL!C:C,"&lt;="&amp;$N$3)</f>
        <v>0</v>
      </c>
      <c r="I36" s="237">
        <f t="shared" si="2"/>
        <v>0</v>
      </c>
      <c r="J36" s="16">
        <v>310100</v>
      </c>
      <c r="K36" s="237">
        <v>0</v>
      </c>
      <c r="L36" s="237">
        <f>+SUMIFS(JURNAL!G:G,JURNAL!E:E,J36,JURNAL!L:L,$C36,JURNAL!C:C,"&gt;="&amp;$M$3,JURNAL!C:C,"&lt;="&amp;$N$3)</f>
        <v>0</v>
      </c>
      <c r="M36" s="19">
        <f>+SUMIFS(JURNAL!H:H,JURNAL!E:E,J36,JURNAL!L:L,$C36,JURNAL!C:C,"&gt;="&amp;$M$3,JURNAL!C:C,"&lt;="&amp;$N$3)</f>
        <v>0</v>
      </c>
      <c r="N36" s="20">
        <f t="shared" si="3"/>
        <v>0</v>
      </c>
      <c r="O36" s="237">
        <f t="shared" si="4"/>
        <v>0</v>
      </c>
      <c r="P36" s="16">
        <f t="shared" si="5"/>
        <v>310100</v>
      </c>
      <c r="Q36" s="16">
        <f t="shared" si="6"/>
        <v>120100</v>
      </c>
      <c r="R36" s="237">
        <f t="shared" si="7"/>
        <v>0</v>
      </c>
    </row>
    <row r="37" spans="2:18">
      <c r="B37" s="15">
        <f t="shared" si="1"/>
        <v>32</v>
      </c>
      <c r="C37" s="16">
        <f>IFERROR(VLOOKUP(DATA!G35,DATA!$G$4:$J$2149,1,FALSE),"")</f>
        <v>3011</v>
      </c>
      <c r="D37" s="16" t="str">
        <f>+IFERROR(VLOOKUP(C37,DATA!$G$4:$H$2000,2,FALSE),"")</f>
        <v xml:space="preserve">САКУРА КОНСТРАКШН ХХК </v>
      </c>
      <c r="E37" s="16">
        <v>120100</v>
      </c>
      <c r="F37" s="237">
        <v>0</v>
      </c>
      <c r="G37" s="237">
        <f>+SUMIFS(JURNAL!G:G,JURNAL!E:E,E37,JURNAL!L:L,$C37,JURNAL!C:C,"&gt;="&amp;$M$3,JURNAL!C:C,"&lt;="&amp;$N$3)</f>
        <v>0</v>
      </c>
      <c r="H37" s="19">
        <f>+SUMIFS(JURNAL!H:H,JURNAL!E:E,E37,JURNAL!L:L,$C37,JURNAL!C:C,"&gt;="&amp;$M$3,JURNAL!C:C,"&lt;="&amp;$N$3)</f>
        <v>0</v>
      </c>
      <c r="I37" s="237">
        <f t="shared" si="2"/>
        <v>0</v>
      </c>
      <c r="J37" s="16">
        <v>310100</v>
      </c>
      <c r="K37" s="237">
        <v>0</v>
      </c>
      <c r="L37" s="237">
        <f>+SUMIFS(JURNAL!G:G,JURNAL!E:E,J37,JURNAL!L:L,$C37,JURNAL!C:C,"&gt;="&amp;$M$3,JURNAL!C:C,"&lt;="&amp;$N$3)</f>
        <v>0</v>
      </c>
      <c r="M37" s="19">
        <f>+SUMIFS(JURNAL!H:H,JURNAL!E:E,J37,JURNAL!L:L,$C37,JURNAL!C:C,"&gt;="&amp;$M$3,JURNAL!C:C,"&lt;="&amp;$N$3)</f>
        <v>0</v>
      </c>
      <c r="N37" s="20">
        <f t="shared" si="3"/>
        <v>0</v>
      </c>
      <c r="O37" s="237">
        <f t="shared" si="4"/>
        <v>0</v>
      </c>
      <c r="P37" s="16">
        <f t="shared" si="5"/>
        <v>310100</v>
      </c>
      <c r="Q37" s="16">
        <f t="shared" si="6"/>
        <v>120100</v>
      </c>
      <c r="R37" s="237">
        <f t="shared" si="7"/>
        <v>0</v>
      </c>
    </row>
    <row r="38" spans="2:18">
      <c r="B38" s="15">
        <f t="shared" si="1"/>
        <v>33</v>
      </c>
      <c r="C38" s="16">
        <f>IFERROR(VLOOKUP(DATA!G36,DATA!$G$4:$J$2149,1,FALSE),"")</f>
        <v>3012</v>
      </c>
      <c r="D38" s="16" t="str">
        <f>+IFERROR(VLOOKUP(C38,DATA!$G$4:$H$2000,2,FALSE),"")</f>
        <v xml:space="preserve">УБПК ХХК </v>
      </c>
      <c r="E38" s="16">
        <v>120100</v>
      </c>
      <c r="F38" s="237">
        <v>0</v>
      </c>
      <c r="G38" s="237">
        <f>+SUMIFS(JURNAL!G:G,JURNAL!E:E,E38,JURNAL!L:L,$C38,JURNAL!C:C,"&gt;="&amp;$M$3,JURNAL!C:C,"&lt;="&amp;$N$3)</f>
        <v>0</v>
      </c>
      <c r="H38" s="19">
        <f>+SUMIFS(JURNAL!H:H,JURNAL!E:E,E38,JURNAL!L:L,$C38,JURNAL!C:C,"&gt;="&amp;$M$3,JURNAL!C:C,"&lt;="&amp;$N$3)</f>
        <v>0</v>
      </c>
      <c r="I38" s="237">
        <f t="shared" si="2"/>
        <v>0</v>
      </c>
      <c r="J38" s="16">
        <v>310100</v>
      </c>
      <c r="K38" s="237">
        <v>0</v>
      </c>
      <c r="L38" s="237">
        <f>+SUMIFS(JURNAL!G:G,JURNAL!E:E,J38,JURNAL!L:L,$C38,JURNAL!C:C,"&gt;="&amp;$M$3,JURNAL!C:C,"&lt;="&amp;$N$3)</f>
        <v>0</v>
      </c>
      <c r="M38" s="19">
        <f>+SUMIFS(JURNAL!H:H,JURNAL!E:E,J38,JURNAL!L:L,$C38,JURNAL!C:C,"&gt;="&amp;$M$3,JURNAL!C:C,"&lt;="&amp;$N$3)</f>
        <v>0</v>
      </c>
      <c r="N38" s="20">
        <f t="shared" si="3"/>
        <v>0</v>
      </c>
      <c r="O38" s="237">
        <f t="shared" si="4"/>
        <v>0</v>
      </c>
      <c r="P38" s="16">
        <f t="shared" si="5"/>
        <v>310100</v>
      </c>
      <c r="Q38" s="16">
        <f t="shared" si="6"/>
        <v>120100</v>
      </c>
      <c r="R38" s="237">
        <f t="shared" si="7"/>
        <v>0</v>
      </c>
    </row>
    <row r="39" spans="2:18">
      <c r="B39" s="15">
        <f t="shared" si="1"/>
        <v>34</v>
      </c>
      <c r="C39" s="16">
        <f>IFERROR(VLOOKUP(DATA!G37,DATA!$G$4:$J$2149,1,FALSE),"")</f>
        <v>3013</v>
      </c>
      <c r="D39" s="16" t="str">
        <f>+IFERROR(VLOOKUP(C39,DATA!$G$4:$H$2000,2,FALSE),"")</f>
        <v xml:space="preserve">МИАТ ХК </v>
      </c>
      <c r="E39" s="16">
        <v>120100</v>
      </c>
      <c r="F39" s="237">
        <v>0</v>
      </c>
      <c r="G39" s="237">
        <f>+SUMIFS(JURNAL!G:G,JURNAL!E:E,E39,JURNAL!L:L,$C39,JURNAL!C:C,"&gt;="&amp;$M$3,JURNAL!C:C,"&lt;="&amp;$N$3)</f>
        <v>0</v>
      </c>
      <c r="H39" s="19">
        <f>+SUMIFS(JURNAL!H:H,JURNAL!E:E,E39,JURNAL!L:L,$C39,JURNAL!C:C,"&gt;="&amp;$M$3,JURNAL!C:C,"&lt;="&amp;$N$3)</f>
        <v>0</v>
      </c>
      <c r="I39" s="237">
        <f t="shared" si="2"/>
        <v>0</v>
      </c>
      <c r="J39" s="16">
        <v>310100</v>
      </c>
      <c r="K39" s="237">
        <v>0</v>
      </c>
      <c r="L39" s="237">
        <f>+SUMIFS(JURNAL!G:G,JURNAL!E:E,J39,JURNAL!L:L,$C39,JURNAL!C:C,"&gt;="&amp;$M$3,JURNAL!C:C,"&lt;="&amp;$N$3)</f>
        <v>0</v>
      </c>
      <c r="M39" s="19">
        <f>+SUMIFS(JURNAL!H:H,JURNAL!E:E,J39,JURNAL!L:L,$C39,JURNAL!C:C,"&gt;="&amp;$M$3,JURNAL!C:C,"&lt;="&amp;$N$3)</f>
        <v>0</v>
      </c>
      <c r="N39" s="20">
        <f t="shared" si="3"/>
        <v>0</v>
      </c>
      <c r="O39" s="237">
        <f t="shared" si="4"/>
        <v>0</v>
      </c>
      <c r="P39" s="16">
        <f t="shared" si="5"/>
        <v>310100</v>
      </c>
      <c r="Q39" s="16">
        <f t="shared" si="6"/>
        <v>120100</v>
      </c>
      <c r="R39" s="237">
        <f t="shared" si="7"/>
        <v>0</v>
      </c>
    </row>
    <row r="40" spans="2:18">
      <c r="B40" s="15">
        <f t="shared" si="1"/>
        <v>35</v>
      </c>
      <c r="C40" s="16">
        <f>IFERROR(VLOOKUP(DATA!G38,DATA!$G$4:$J$2149,1,FALSE),"")</f>
        <v>3014</v>
      </c>
      <c r="D40" s="16" t="str">
        <f>+IFERROR(VLOOKUP(C40,DATA!$G$4:$H$2000,2,FALSE),"")</f>
        <v xml:space="preserve">БОЛОР ШИЛЭН ТОЛЬ ХХК </v>
      </c>
      <c r="E40" s="16">
        <v>120100</v>
      </c>
      <c r="F40" s="237">
        <v>0</v>
      </c>
      <c r="G40" s="237">
        <f>+SUMIFS(JURNAL!G:G,JURNAL!E:E,E40,JURNAL!L:L,$C40,JURNAL!C:C,"&gt;="&amp;$M$3,JURNAL!C:C,"&lt;="&amp;$N$3)</f>
        <v>0</v>
      </c>
      <c r="H40" s="19">
        <f>+SUMIFS(JURNAL!H:H,JURNAL!E:E,E40,JURNAL!L:L,$C40,JURNAL!C:C,"&gt;="&amp;$M$3,JURNAL!C:C,"&lt;="&amp;$N$3)</f>
        <v>0</v>
      </c>
      <c r="I40" s="237">
        <f t="shared" si="2"/>
        <v>0</v>
      </c>
      <c r="J40" s="16">
        <v>310100</v>
      </c>
      <c r="K40" s="237">
        <v>0</v>
      </c>
      <c r="L40" s="237">
        <f>+SUMIFS(JURNAL!G:G,JURNAL!E:E,J40,JURNAL!L:L,$C40,JURNAL!C:C,"&gt;="&amp;$M$3,JURNAL!C:C,"&lt;="&amp;$N$3)</f>
        <v>0</v>
      </c>
      <c r="M40" s="19">
        <f>+SUMIFS(JURNAL!H:H,JURNAL!E:E,J40,JURNAL!L:L,$C40,JURNAL!C:C,"&gt;="&amp;$M$3,JURNAL!C:C,"&lt;="&amp;$N$3)</f>
        <v>0</v>
      </c>
      <c r="N40" s="20">
        <f t="shared" si="3"/>
        <v>0</v>
      </c>
      <c r="O40" s="237">
        <f t="shared" si="4"/>
        <v>0</v>
      </c>
      <c r="P40" s="16">
        <f t="shared" si="5"/>
        <v>310100</v>
      </c>
      <c r="Q40" s="16">
        <f t="shared" si="6"/>
        <v>120100</v>
      </c>
      <c r="R40" s="237">
        <f t="shared" si="7"/>
        <v>0</v>
      </c>
    </row>
    <row r="41" spans="2:18">
      <c r="B41" s="15">
        <f t="shared" si="1"/>
        <v>36</v>
      </c>
      <c r="C41" s="16">
        <f>IFERROR(VLOOKUP(DATA!G39,DATA!$G$4:$J$2149,1,FALSE),"")</f>
        <v>3015</v>
      </c>
      <c r="D41" s="16" t="str">
        <f>+IFERROR(VLOOKUP(C41,DATA!$G$4:$H$2000,2,FALSE),"")</f>
        <v xml:space="preserve">АТМОР ГРУПП ХХК </v>
      </c>
      <c r="E41" s="16">
        <v>120100</v>
      </c>
      <c r="F41" s="237">
        <v>0</v>
      </c>
      <c r="G41" s="237">
        <f>+SUMIFS(JURNAL!G:G,JURNAL!E:E,E41,JURNAL!L:L,$C41,JURNAL!C:C,"&gt;="&amp;$M$3,JURNAL!C:C,"&lt;="&amp;$N$3)</f>
        <v>0</v>
      </c>
      <c r="H41" s="19">
        <f>+SUMIFS(JURNAL!H:H,JURNAL!E:E,E41,JURNAL!L:L,$C41,JURNAL!C:C,"&gt;="&amp;$M$3,JURNAL!C:C,"&lt;="&amp;$N$3)</f>
        <v>0</v>
      </c>
      <c r="I41" s="237">
        <f t="shared" si="2"/>
        <v>0</v>
      </c>
      <c r="J41" s="16">
        <v>310100</v>
      </c>
      <c r="K41" s="237">
        <v>0</v>
      </c>
      <c r="L41" s="237">
        <f>+SUMIFS(JURNAL!G:G,JURNAL!E:E,J41,JURNAL!L:L,$C41,JURNAL!C:C,"&gt;="&amp;$M$3,JURNAL!C:C,"&lt;="&amp;$N$3)</f>
        <v>0</v>
      </c>
      <c r="M41" s="19">
        <f>+SUMIFS(JURNAL!H:H,JURNAL!E:E,J41,JURNAL!L:L,$C41,JURNAL!C:C,"&gt;="&amp;$M$3,JURNAL!C:C,"&lt;="&amp;$N$3)</f>
        <v>0</v>
      </c>
      <c r="N41" s="20">
        <f t="shared" si="3"/>
        <v>0</v>
      </c>
      <c r="O41" s="237">
        <f t="shared" si="4"/>
        <v>0</v>
      </c>
      <c r="P41" s="16">
        <f t="shared" si="5"/>
        <v>310100</v>
      </c>
      <c r="Q41" s="16">
        <f t="shared" si="6"/>
        <v>120100</v>
      </c>
      <c r="R41" s="237">
        <f t="shared" si="7"/>
        <v>0</v>
      </c>
    </row>
    <row r="42" spans="2:18">
      <c r="B42" s="15">
        <f t="shared" si="1"/>
        <v>37</v>
      </c>
      <c r="C42" s="16">
        <f>IFERROR(VLOOKUP(DATA!G40,DATA!$G$4:$J$2149,1,FALSE),"")</f>
        <v>3016</v>
      </c>
      <c r="D42" s="16" t="str">
        <f>+IFERROR(VLOOKUP(C42,DATA!$G$4:$H$2000,2,FALSE),"")</f>
        <v xml:space="preserve">СТИЙЛ АРТ ХХК </v>
      </c>
      <c r="E42" s="16">
        <v>120100</v>
      </c>
      <c r="F42" s="237">
        <v>0</v>
      </c>
      <c r="G42" s="237">
        <f>+SUMIFS(JURNAL!G:G,JURNAL!E:E,E42,JURNAL!L:L,$C42,JURNAL!C:C,"&gt;="&amp;$M$3,JURNAL!C:C,"&lt;="&amp;$N$3)</f>
        <v>0</v>
      </c>
      <c r="H42" s="19">
        <f>+SUMIFS(JURNAL!H:H,JURNAL!E:E,E42,JURNAL!L:L,$C42,JURNAL!C:C,"&gt;="&amp;$M$3,JURNAL!C:C,"&lt;="&amp;$N$3)</f>
        <v>0</v>
      </c>
      <c r="I42" s="237">
        <f t="shared" si="2"/>
        <v>0</v>
      </c>
      <c r="J42" s="16">
        <v>310100</v>
      </c>
      <c r="K42" s="237">
        <v>0</v>
      </c>
      <c r="L42" s="237">
        <f>+SUMIFS(JURNAL!G:G,JURNAL!E:E,J42,JURNAL!L:L,$C42,JURNAL!C:C,"&gt;="&amp;$M$3,JURNAL!C:C,"&lt;="&amp;$N$3)</f>
        <v>0</v>
      </c>
      <c r="M42" s="19">
        <f>+SUMIFS(JURNAL!H:H,JURNAL!E:E,J42,JURNAL!L:L,$C42,JURNAL!C:C,"&gt;="&amp;$M$3,JURNAL!C:C,"&lt;="&amp;$N$3)</f>
        <v>0</v>
      </c>
      <c r="N42" s="20">
        <f t="shared" si="3"/>
        <v>0</v>
      </c>
      <c r="O42" s="237">
        <f t="shared" si="4"/>
        <v>0</v>
      </c>
      <c r="P42" s="16">
        <f t="shared" si="5"/>
        <v>310100</v>
      </c>
      <c r="Q42" s="16">
        <f t="shared" si="6"/>
        <v>120100</v>
      </c>
      <c r="R42" s="237">
        <f t="shared" si="7"/>
        <v>0</v>
      </c>
    </row>
    <row r="43" spans="2:18">
      <c r="B43" s="15">
        <f t="shared" si="1"/>
        <v>38</v>
      </c>
      <c r="C43" s="16">
        <f>IFERROR(VLOOKUP(DATA!G41,DATA!$G$4:$J$2149,1,FALSE),"")</f>
        <v>3017</v>
      </c>
      <c r="D43" s="16" t="str">
        <f>+IFERROR(VLOOKUP(C43,DATA!$G$4:$H$2000,2,FALSE),"")</f>
        <v xml:space="preserve">ВОС ХХК </v>
      </c>
      <c r="E43" s="16">
        <v>120100</v>
      </c>
      <c r="F43" s="237">
        <v>0</v>
      </c>
      <c r="G43" s="237">
        <f>+SUMIFS(JURNAL!G:G,JURNAL!E:E,E43,JURNAL!L:L,$C43,JURNAL!C:C,"&gt;="&amp;$M$3,JURNAL!C:C,"&lt;="&amp;$N$3)</f>
        <v>19731470</v>
      </c>
      <c r="H43" s="19">
        <f>+SUMIFS(JURNAL!H:H,JURNAL!E:E,E43,JURNAL!L:L,$C43,JURNAL!C:C,"&gt;="&amp;$M$3,JURNAL!C:C,"&lt;="&amp;$N$3)</f>
        <v>19731470</v>
      </c>
      <c r="I43" s="237">
        <f t="shared" si="2"/>
        <v>0</v>
      </c>
      <c r="J43" s="16">
        <v>310100</v>
      </c>
      <c r="K43" s="237">
        <v>0</v>
      </c>
      <c r="L43" s="237">
        <f>+SUMIFS(JURNAL!G:G,JURNAL!E:E,J43,JURNAL!L:L,$C43,JURNAL!C:C,"&gt;="&amp;$M$3,JURNAL!C:C,"&lt;="&amp;$N$3)</f>
        <v>0</v>
      </c>
      <c r="M43" s="19">
        <f>+SUMIFS(JURNAL!H:H,JURNAL!E:E,J43,JURNAL!L:L,$C43,JURNAL!C:C,"&gt;="&amp;$M$3,JURNAL!C:C,"&lt;="&amp;$N$3)</f>
        <v>0</v>
      </c>
      <c r="N43" s="20">
        <f t="shared" si="3"/>
        <v>0</v>
      </c>
      <c r="O43" s="237">
        <f t="shared" si="4"/>
        <v>0</v>
      </c>
      <c r="P43" s="16">
        <f t="shared" si="5"/>
        <v>310100</v>
      </c>
      <c r="Q43" s="16">
        <f t="shared" si="6"/>
        <v>120100</v>
      </c>
      <c r="R43" s="237">
        <f t="shared" si="7"/>
        <v>0</v>
      </c>
    </row>
    <row r="44" spans="2:18">
      <c r="B44" s="15">
        <f t="shared" si="1"/>
        <v>39</v>
      </c>
      <c r="C44" s="16">
        <f>IFERROR(VLOOKUP(DATA!G42,DATA!$G$4:$J$2149,1,FALSE),"")</f>
        <v>3018</v>
      </c>
      <c r="D44" s="16" t="str">
        <f>+IFERROR(VLOOKUP(C44,DATA!$G$4:$H$2000,2,FALSE),"")</f>
        <v xml:space="preserve">ВЮРТ МОНГОЛИЯ ХХК </v>
      </c>
      <c r="E44" s="16">
        <v>120100</v>
      </c>
      <c r="F44" s="237">
        <v>0</v>
      </c>
      <c r="G44" s="237">
        <f>+SUMIFS(JURNAL!G:G,JURNAL!E:E,E44,JURNAL!L:L,$C44,JURNAL!C:C,"&gt;="&amp;$M$3,JURNAL!C:C,"&lt;="&amp;$N$3)</f>
        <v>0</v>
      </c>
      <c r="H44" s="19">
        <f>+SUMIFS(JURNAL!H:H,JURNAL!E:E,E44,JURNAL!L:L,$C44,JURNAL!C:C,"&gt;="&amp;$M$3,JURNAL!C:C,"&lt;="&amp;$N$3)</f>
        <v>0</v>
      </c>
      <c r="I44" s="237">
        <f t="shared" si="2"/>
        <v>0</v>
      </c>
      <c r="J44" s="16">
        <v>310100</v>
      </c>
      <c r="K44" s="237">
        <v>0</v>
      </c>
      <c r="L44" s="237">
        <f>+SUMIFS(JURNAL!G:G,JURNAL!E:E,J44,JURNAL!L:L,$C44,JURNAL!C:C,"&gt;="&amp;$M$3,JURNAL!C:C,"&lt;="&amp;$N$3)</f>
        <v>0</v>
      </c>
      <c r="M44" s="19">
        <f>+SUMIFS(JURNAL!H:H,JURNAL!E:E,J44,JURNAL!L:L,$C44,JURNAL!C:C,"&gt;="&amp;$M$3,JURNAL!C:C,"&lt;="&amp;$N$3)</f>
        <v>0</v>
      </c>
      <c r="N44" s="20">
        <f t="shared" si="3"/>
        <v>0</v>
      </c>
      <c r="O44" s="237">
        <f t="shared" si="4"/>
        <v>0</v>
      </c>
      <c r="P44" s="16">
        <f t="shared" si="5"/>
        <v>310100</v>
      </c>
      <c r="Q44" s="16">
        <f t="shared" si="6"/>
        <v>120100</v>
      </c>
      <c r="R44" s="237">
        <f t="shared" si="7"/>
        <v>0</v>
      </c>
    </row>
    <row r="45" spans="2:18">
      <c r="B45" s="15">
        <f t="shared" si="1"/>
        <v>40</v>
      </c>
      <c r="C45" s="16">
        <f>IFERROR(VLOOKUP(DATA!G43,DATA!$G$4:$J$2149,1,FALSE),"")</f>
        <v>3019</v>
      </c>
      <c r="D45" s="16" t="str">
        <f>+IFERROR(VLOOKUP(C45,DATA!$G$4:$H$2000,2,FALSE),"")</f>
        <v xml:space="preserve">ГЭСЭР БИЛЭГ ХХК </v>
      </c>
      <c r="E45" s="16">
        <v>120100</v>
      </c>
      <c r="F45" s="237">
        <v>0</v>
      </c>
      <c r="G45" s="237">
        <f>+SUMIFS(JURNAL!G:G,JURNAL!E:E,E45,JURNAL!L:L,$C45,JURNAL!C:C,"&gt;="&amp;$M$3,JURNAL!C:C,"&lt;="&amp;$N$3)</f>
        <v>0</v>
      </c>
      <c r="H45" s="19">
        <f>+SUMIFS(JURNAL!H:H,JURNAL!E:E,E45,JURNAL!L:L,$C45,JURNAL!C:C,"&gt;="&amp;$M$3,JURNAL!C:C,"&lt;="&amp;$N$3)</f>
        <v>0</v>
      </c>
      <c r="I45" s="237">
        <f t="shared" si="2"/>
        <v>0</v>
      </c>
      <c r="J45" s="16">
        <v>310100</v>
      </c>
      <c r="K45" s="237">
        <v>0</v>
      </c>
      <c r="L45" s="237">
        <f>+SUMIFS(JURNAL!G:G,JURNAL!E:E,J45,JURNAL!L:L,$C45,JURNAL!C:C,"&gt;="&amp;$M$3,JURNAL!C:C,"&lt;="&amp;$N$3)</f>
        <v>0</v>
      </c>
      <c r="M45" s="19">
        <f>+SUMIFS(JURNAL!H:H,JURNAL!E:E,J45,JURNAL!L:L,$C45,JURNAL!C:C,"&gt;="&amp;$M$3,JURNAL!C:C,"&lt;="&amp;$N$3)</f>
        <v>0</v>
      </c>
      <c r="N45" s="20">
        <f t="shared" si="3"/>
        <v>0</v>
      </c>
      <c r="O45" s="237">
        <f t="shared" si="4"/>
        <v>0</v>
      </c>
      <c r="P45" s="16">
        <f t="shared" si="5"/>
        <v>310100</v>
      </c>
      <c r="Q45" s="16">
        <f t="shared" si="6"/>
        <v>120100</v>
      </c>
      <c r="R45" s="237">
        <f t="shared" si="7"/>
        <v>0</v>
      </c>
    </row>
    <row r="46" spans="2:18">
      <c r="B46" s="15">
        <f t="shared" si="1"/>
        <v>41</v>
      </c>
      <c r="C46" s="16">
        <f>IFERROR(VLOOKUP(DATA!G44,DATA!$G$4:$J$2149,1,FALSE),"")</f>
        <v>3020</v>
      </c>
      <c r="D46" s="16" t="str">
        <f>+IFERROR(VLOOKUP(C46,DATA!$G$4:$H$2000,2,FALSE),"")</f>
        <v xml:space="preserve">ЖЭЙ ЭЛ КЭЙ ЭМ ХХК </v>
      </c>
      <c r="E46" s="16">
        <v>120100</v>
      </c>
      <c r="F46" s="237">
        <v>0</v>
      </c>
      <c r="G46" s="237">
        <f>+SUMIFS(JURNAL!G:G,JURNAL!E:E,E46,JURNAL!L:L,$C46,JURNAL!C:C,"&gt;="&amp;$M$3,JURNAL!C:C,"&lt;="&amp;$N$3)</f>
        <v>0</v>
      </c>
      <c r="H46" s="19">
        <f>+SUMIFS(JURNAL!H:H,JURNAL!E:E,E46,JURNAL!L:L,$C46,JURNAL!C:C,"&gt;="&amp;$M$3,JURNAL!C:C,"&lt;="&amp;$N$3)</f>
        <v>0</v>
      </c>
      <c r="I46" s="237">
        <f t="shared" si="2"/>
        <v>0</v>
      </c>
      <c r="J46" s="16">
        <v>310100</v>
      </c>
      <c r="K46" s="237">
        <v>0</v>
      </c>
      <c r="L46" s="237">
        <f>+SUMIFS(JURNAL!G:G,JURNAL!E:E,J46,JURNAL!L:L,$C46,JURNAL!C:C,"&gt;="&amp;$M$3,JURNAL!C:C,"&lt;="&amp;$N$3)</f>
        <v>0</v>
      </c>
      <c r="M46" s="19">
        <f>+SUMIFS(JURNAL!H:H,JURNAL!E:E,J46,JURNAL!L:L,$C46,JURNAL!C:C,"&gt;="&amp;$M$3,JURNAL!C:C,"&lt;="&amp;$N$3)</f>
        <v>0</v>
      </c>
      <c r="N46" s="20">
        <f t="shared" si="3"/>
        <v>0</v>
      </c>
      <c r="O46" s="237">
        <f t="shared" si="4"/>
        <v>0</v>
      </c>
      <c r="P46" s="16">
        <f t="shared" si="5"/>
        <v>310100</v>
      </c>
      <c r="Q46" s="16">
        <f t="shared" si="6"/>
        <v>120100</v>
      </c>
      <c r="R46" s="237">
        <f t="shared" si="7"/>
        <v>0</v>
      </c>
    </row>
    <row r="47" spans="2:18">
      <c r="B47" s="15">
        <f t="shared" si="1"/>
        <v>42</v>
      </c>
      <c r="C47" s="16">
        <f>IFERROR(VLOOKUP(DATA!G45,DATA!$G$4:$J$2149,1,FALSE),"")</f>
        <v>3021</v>
      </c>
      <c r="D47" s="16" t="str">
        <f>+IFERROR(VLOOKUP(C47,DATA!$G$4:$H$2000,2,FALSE),"")</f>
        <v>БАНДИА ХХК</v>
      </c>
      <c r="E47" s="16">
        <v>120100</v>
      </c>
      <c r="F47" s="237">
        <v>0</v>
      </c>
      <c r="G47" s="237">
        <f>+SUMIFS(JURNAL!G:G,JURNAL!E:E,E47,JURNAL!L:L,$C47,JURNAL!C:C,"&gt;="&amp;$M$3,JURNAL!C:C,"&lt;="&amp;$N$3)</f>
        <v>0</v>
      </c>
      <c r="H47" s="19">
        <f>+SUMIFS(JURNAL!H:H,JURNAL!E:E,E47,JURNAL!L:L,$C47,JURNAL!C:C,"&gt;="&amp;$M$3,JURNAL!C:C,"&lt;="&amp;$N$3)</f>
        <v>0</v>
      </c>
      <c r="I47" s="237">
        <f t="shared" si="2"/>
        <v>0</v>
      </c>
      <c r="J47" s="16">
        <v>310100</v>
      </c>
      <c r="K47" s="237">
        <v>0</v>
      </c>
      <c r="L47" s="237">
        <f>+SUMIFS(JURNAL!G:G,JURNAL!E:E,J47,JURNAL!L:L,$C47,JURNAL!C:C,"&gt;="&amp;$M$3,JURNAL!C:C,"&lt;="&amp;$N$3)</f>
        <v>0</v>
      </c>
      <c r="M47" s="19">
        <f>+SUMIFS(JURNAL!H:H,JURNAL!E:E,J47,JURNAL!L:L,$C47,JURNAL!C:C,"&gt;="&amp;$M$3,JURNAL!C:C,"&lt;="&amp;$N$3)</f>
        <v>0</v>
      </c>
      <c r="N47" s="20">
        <f t="shared" si="3"/>
        <v>0</v>
      </c>
      <c r="O47" s="237">
        <f t="shared" si="4"/>
        <v>0</v>
      </c>
      <c r="P47" s="16">
        <f t="shared" si="5"/>
        <v>310100</v>
      </c>
      <c r="Q47" s="16">
        <f t="shared" si="6"/>
        <v>120100</v>
      </c>
      <c r="R47" s="237">
        <f t="shared" si="7"/>
        <v>0</v>
      </c>
    </row>
    <row r="48" spans="2:18">
      <c r="B48" s="15">
        <f t="shared" si="1"/>
        <v>43</v>
      </c>
      <c r="C48" s="16">
        <f>IFERROR(VLOOKUP(DATA!G46,DATA!$G$4:$J$2149,1,FALSE),"")</f>
        <v>3022</v>
      </c>
      <c r="D48" s="16" t="str">
        <f>+IFERROR(VLOOKUP(C48,DATA!$G$4:$H$2000,2,FALSE),"")</f>
        <v xml:space="preserve">ИННОМН ХХК </v>
      </c>
      <c r="E48" s="16">
        <v>120100</v>
      </c>
      <c r="F48" s="237">
        <v>0</v>
      </c>
      <c r="G48" s="237">
        <f>+SUMIFS(JURNAL!G:G,JURNAL!E:E,E48,JURNAL!L:L,$C48,JURNAL!C:C,"&gt;="&amp;$M$3,JURNAL!C:C,"&lt;="&amp;$N$3)</f>
        <v>0</v>
      </c>
      <c r="H48" s="19">
        <f>+SUMIFS(JURNAL!H:H,JURNAL!E:E,E48,JURNAL!L:L,$C48,JURNAL!C:C,"&gt;="&amp;$M$3,JURNAL!C:C,"&lt;="&amp;$N$3)</f>
        <v>0</v>
      </c>
      <c r="I48" s="237">
        <f t="shared" si="2"/>
        <v>0</v>
      </c>
      <c r="J48" s="16">
        <v>310100</v>
      </c>
      <c r="K48" s="237">
        <v>0</v>
      </c>
      <c r="L48" s="237">
        <f>+SUMIFS(JURNAL!G:G,JURNAL!E:E,J48,JURNAL!L:L,$C48,JURNAL!C:C,"&gt;="&amp;$M$3,JURNAL!C:C,"&lt;="&amp;$N$3)</f>
        <v>0</v>
      </c>
      <c r="M48" s="19">
        <f>+SUMIFS(JURNAL!H:H,JURNAL!E:E,J48,JURNAL!L:L,$C48,JURNAL!C:C,"&gt;="&amp;$M$3,JURNAL!C:C,"&lt;="&amp;$N$3)</f>
        <v>0</v>
      </c>
      <c r="N48" s="20">
        <f t="shared" si="3"/>
        <v>0</v>
      </c>
      <c r="O48" s="237">
        <f t="shared" si="4"/>
        <v>0</v>
      </c>
      <c r="P48" s="16">
        <f t="shared" si="5"/>
        <v>310100</v>
      </c>
      <c r="Q48" s="16">
        <f t="shared" si="6"/>
        <v>120100</v>
      </c>
      <c r="R48" s="237">
        <f t="shared" si="7"/>
        <v>0</v>
      </c>
    </row>
    <row r="49" spans="2:18">
      <c r="B49" s="15">
        <f t="shared" si="1"/>
        <v>44</v>
      </c>
      <c r="C49" s="16">
        <f>IFERROR(VLOOKUP(DATA!G47,DATA!$G$4:$J$2149,1,FALSE),"")</f>
        <v>3023</v>
      </c>
      <c r="D49" s="16" t="str">
        <f>+IFERROR(VLOOKUP(C49,DATA!$G$4:$H$2000,2,FALSE),"")</f>
        <v>ЭГЭЛ ХХК</v>
      </c>
      <c r="E49" s="16">
        <v>120100</v>
      </c>
      <c r="F49" s="237">
        <v>0</v>
      </c>
      <c r="G49" s="237">
        <f>+SUMIFS(JURNAL!G:G,JURNAL!E:E,E49,JURNAL!L:L,$C49,JURNAL!C:C,"&gt;="&amp;$M$3,JURNAL!C:C,"&lt;="&amp;$N$3)</f>
        <v>0</v>
      </c>
      <c r="H49" s="19">
        <f>+SUMIFS(JURNAL!H:H,JURNAL!E:E,E49,JURNAL!L:L,$C49,JURNAL!C:C,"&gt;="&amp;$M$3,JURNAL!C:C,"&lt;="&amp;$N$3)</f>
        <v>0</v>
      </c>
      <c r="I49" s="237">
        <f t="shared" si="2"/>
        <v>0</v>
      </c>
      <c r="J49" s="16">
        <v>310100</v>
      </c>
      <c r="K49" s="237">
        <v>0</v>
      </c>
      <c r="L49" s="237">
        <f>+SUMIFS(JURNAL!G:G,JURNAL!E:E,J49,JURNAL!L:L,$C49,JURNAL!C:C,"&gt;="&amp;$M$3,JURNAL!C:C,"&lt;="&amp;$N$3)</f>
        <v>0</v>
      </c>
      <c r="M49" s="19">
        <f>+SUMIFS(JURNAL!H:H,JURNAL!E:E,J49,JURNAL!L:L,$C49,JURNAL!C:C,"&gt;="&amp;$M$3,JURNAL!C:C,"&lt;="&amp;$N$3)</f>
        <v>0</v>
      </c>
      <c r="N49" s="20">
        <f t="shared" si="3"/>
        <v>0</v>
      </c>
      <c r="O49" s="237">
        <f t="shared" si="4"/>
        <v>0</v>
      </c>
      <c r="P49" s="16">
        <f t="shared" si="5"/>
        <v>310100</v>
      </c>
      <c r="Q49" s="16">
        <f t="shared" si="6"/>
        <v>120100</v>
      </c>
      <c r="R49" s="237">
        <f t="shared" si="7"/>
        <v>0</v>
      </c>
    </row>
    <row r="50" spans="2:18">
      <c r="B50" s="15">
        <f t="shared" si="1"/>
        <v>45</v>
      </c>
      <c r="C50" s="16">
        <f>IFERROR(VLOOKUP(DATA!G48,DATA!$G$4:$J$2149,1,FALSE),"")</f>
        <v>3024</v>
      </c>
      <c r="D50" s="16" t="str">
        <f>+IFERROR(VLOOKUP(C50,DATA!$G$4:$H$2000,2,FALSE),"")</f>
        <v xml:space="preserve">ЭМБАССИ РЭЗИДЭНС ХХК </v>
      </c>
      <c r="E50" s="16">
        <v>120100</v>
      </c>
      <c r="F50" s="237">
        <v>0</v>
      </c>
      <c r="G50" s="237">
        <f>+SUMIFS(JURNAL!G:G,JURNAL!E:E,E50,JURNAL!L:L,$C50,JURNAL!C:C,"&gt;="&amp;$M$3,JURNAL!C:C,"&lt;="&amp;$N$3)</f>
        <v>0</v>
      </c>
      <c r="H50" s="19">
        <f>+SUMIFS(JURNAL!H:H,JURNAL!E:E,E50,JURNAL!L:L,$C50,JURNAL!C:C,"&gt;="&amp;$M$3,JURNAL!C:C,"&lt;="&amp;$N$3)</f>
        <v>0</v>
      </c>
      <c r="I50" s="237">
        <f t="shared" si="2"/>
        <v>0</v>
      </c>
      <c r="J50" s="16">
        <v>310100</v>
      </c>
      <c r="K50" s="237">
        <v>0</v>
      </c>
      <c r="L50" s="237">
        <f>+SUMIFS(JURNAL!G:G,JURNAL!E:E,J50,JURNAL!L:L,$C50,JURNAL!C:C,"&gt;="&amp;$M$3,JURNAL!C:C,"&lt;="&amp;$N$3)</f>
        <v>0</v>
      </c>
      <c r="M50" s="19">
        <f>+SUMIFS(JURNAL!H:H,JURNAL!E:E,J50,JURNAL!L:L,$C50,JURNAL!C:C,"&gt;="&amp;$M$3,JURNAL!C:C,"&lt;="&amp;$N$3)</f>
        <v>0</v>
      </c>
      <c r="N50" s="20">
        <f t="shared" si="3"/>
        <v>0</v>
      </c>
      <c r="O50" s="237">
        <f t="shared" si="4"/>
        <v>0</v>
      </c>
      <c r="P50" s="16">
        <f t="shared" si="5"/>
        <v>310100</v>
      </c>
      <c r="Q50" s="16">
        <f t="shared" si="6"/>
        <v>120100</v>
      </c>
      <c r="R50" s="237">
        <f t="shared" si="7"/>
        <v>0</v>
      </c>
    </row>
    <row r="51" spans="2:18">
      <c r="B51" s="15">
        <f t="shared" si="1"/>
        <v>46</v>
      </c>
      <c r="C51" s="16">
        <f>IFERROR(VLOOKUP(DATA!G49,DATA!$G$4:$J$2149,1,FALSE),"")</f>
        <v>3025</v>
      </c>
      <c r="D51" s="16" t="str">
        <f>+IFERROR(VLOOKUP(C51,DATA!$G$4:$H$2000,2,FALSE),"")</f>
        <v xml:space="preserve">ТОСОН ВҮҮД ХХК </v>
      </c>
      <c r="E51" s="16">
        <v>120100</v>
      </c>
      <c r="F51" s="237">
        <v>0</v>
      </c>
      <c r="G51" s="237">
        <f>+SUMIFS(JURNAL!G:G,JURNAL!E:E,E51,JURNAL!L:L,$C51,JURNAL!C:C,"&gt;="&amp;$M$3,JURNAL!C:C,"&lt;="&amp;$N$3)</f>
        <v>0</v>
      </c>
      <c r="H51" s="19">
        <f>+SUMIFS(JURNAL!H:H,JURNAL!E:E,E51,JURNAL!L:L,$C51,JURNAL!C:C,"&gt;="&amp;$M$3,JURNAL!C:C,"&lt;="&amp;$N$3)</f>
        <v>0</v>
      </c>
      <c r="I51" s="237">
        <f t="shared" si="2"/>
        <v>0</v>
      </c>
      <c r="J51" s="16">
        <v>310100</v>
      </c>
      <c r="K51" s="237">
        <v>0</v>
      </c>
      <c r="L51" s="237">
        <f>+SUMIFS(JURNAL!G:G,JURNAL!E:E,J51,JURNAL!L:L,$C51,JURNAL!C:C,"&gt;="&amp;$M$3,JURNAL!C:C,"&lt;="&amp;$N$3)</f>
        <v>0</v>
      </c>
      <c r="M51" s="19">
        <f>+SUMIFS(JURNAL!H:H,JURNAL!E:E,J51,JURNAL!L:L,$C51,JURNAL!C:C,"&gt;="&amp;$M$3,JURNAL!C:C,"&lt;="&amp;$N$3)</f>
        <v>0</v>
      </c>
      <c r="N51" s="20">
        <f t="shared" si="3"/>
        <v>0</v>
      </c>
      <c r="O51" s="237">
        <f t="shared" si="4"/>
        <v>0</v>
      </c>
      <c r="P51" s="16">
        <f t="shared" si="5"/>
        <v>310100</v>
      </c>
      <c r="Q51" s="16">
        <f t="shared" si="6"/>
        <v>120100</v>
      </c>
      <c r="R51" s="237">
        <f t="shared" si="7"/>
        <v>0</v>
      </c>
    </row>
    <row r="52" spans="2:18">
      <c r="B52" s="15">
        <f t="shared" si="1"/>
        <v>47</v>
      </c>
      <c r="C52" s="16">
        <f>IFERROR(VLOOKUP(DATA!G50,DATA!$G$4:$J$2149,1,FALSE),"")</f>
        <v>3026</v>
      </c>
      <c r="D52" s="16" t="str">
        <f>+IFERROR(VLOOKUP(C52,DATA!$G$4:$H$2000,2,FALSE),"")</f>
        <v xml:space="preserve">ВОРЛДНЬЮ МЕДИА ХХК </v>
      </c>
      <c r="E52" s="16">
        <v>120100</v>
      </c>
      <c r="F52" s="237">
        <v>0</v>
      </c>
      <c r="G52" s="237">
        <f>+SUMIFS(JURNAL!G:G,JURNAL!E:E,E52,JURNAL!L:L,$C52,JURNAL!C:C,"&gt;="&amp;$M$3,JURNAL!C:C,"&lt;="&amp;$N$3)</f>
        <v>0</v>
      </c>
      <c r="H52" s="19">
        <f>+SUMIFS(JURNAL!H:H,JURNAL!E:E,E52,JURNAL!L:L,$C52,JURNAL!C:C,"&gt;="&amp;$M$3,JURNAL!C:C,"&lt;="&amp;$N$3)</f>
        <v>0</v>
      </c>
      <c r="I52" s="237">
        <f t="shared" si="2"/>
        <v>0</v>
      </c>
      <c r="J52" s="16">
        <v>310100</v>
      </c>
      <c r="K52" s="237">
        <v>0</v>
      </c>
      <c r="L52" s="237">
        <f>+SUMIFS(JURNAL!G:G,JURNAL!E:E,J52,JURNAL!L:L,$C52,JURNAL!C:C,"&gt;="&amp;$M$3,JURNAL!C:C,"&lt;="&amp;$N$3)</f>
        <v>0</v>
      </c>
      <c r="M52" s="19">
        <f>+SUMIFS(JURNAL!H:H,JURNAL!E:E,J52,JURNAL!L:L,$C52,JURNAL!C:C,"&gt;="&amp;$M$3,JURNAL!C:C,"&lt;="&amp;$N$3)</f>
        <v>0</v>
      </c>
      <c r="N52" s="20">
        <f t="shared" si="3"/>
        <v>0</v>
      </c>
      <c r="O52" s="237">
        <f t="shared" si="4"/>
        <v>0</v>
      </c>
      <c r="P52" s="16">
        <f t="shared" si="5"/>
        <v>310100</v>
      </c>
      <c r="Q52" s="16">
        <f t="shared" si="6"/>
        <v>120100</v>
      </c>
      <c r="R52" s="237">
        <f t="shared" si="7"/>
        <v>0</v>
      </c>
    </row>
    <row r="53" spans="2:18">
      <c r="B53" s="15">
        <f t="shared" si="1"/>
        <v>48</v>
      </c>
      <c r="C53" s="16">
        <f>IFERROR(VLOOKUP(DATA!G51,DATA!$G$4:$J$2149,1,FALSE),"")</f>
        <v>3027</v>
      </c>
      <c r="D53" s="16" t="str">
        <f>+IFERROR(VLOOKUP(C53,DATA!$G$4:$H$2000,2,FALSE),"")</f>
        <v xml:space="preserve">МОНГОЛЫН ХҮҮХДИЙН САН </v>
      </c>
      <c r="E53" s="16">
        <v>120100</v>
      </c>
      <c r="F53" s="237">
        <v>0</v>
      </c>
      <c r="G53" s="237">
        <f>+SUMIFS(JURNAL!G:G,JURNAL!E:E,E53,JURNAL!L:L,$C53,JURNAL!C:C,"&gt;="&amp;$M$3,JURNAL!C:C,"&lt;="&amp;$N$3)</f>
        <v>0</v>
      </c>
      <c r="H53" s="19">
        <f>+SUMIFS(JURNAL!H:H,JURNAL!E:E,E53,JURNAL!L:L,$C53,JURNAL!C:C,"&gt;="&amp;$M$3,JURNAL!C:C,"&lt;="&amp;$N$3)</f>
        <v>0</v>
      </c>
      <c r="I53" s="237">
        <f t="shared" si="2"/>
        <v>0</v>
      </c>
      <c r="J53" s="16">
        <v>310100</v>
      </c>
      <c r="K53" s="237">
        <v>0</v>
      </c>
      <c r="L53" s="237">
        <f>+SUMIFS(JURNAL!G:G,JURNAL!E:E,J53,JURNAL!L:L,$C53,JURNAL!C:C,"&gt;="&amp;$M$3,JURNAL!C:C,"&lt;="&amp;$N$3)</f>
        <v>0</v>
      </c>
      <c r="M53" s="19">
        <f>+SUMIFS(JURNAL!H:H,JURNAL!E:E,J53,JURNAL!L:L,$C53,JURNAL!C:C,"&gt;="&amp;$M$3,JURNAL!C:C,"&lt;="&amp;$N$3)</f>
        <v>0</v>
      </c>
      <c r="N53" s="20">
        <f t="shared" si="3"/>
        <v>0</v>
      </c>
      <c r="O53" s="237">
        <f t="shared" si="4"/>
        <v>0</v>
      </c>
      <c r="P53" s="16">
        <f t="shared" si="5"/>
        <v>310100</v>
      </c>
      <c r="Q53" s="16">
        <f t="shared" si="6"/>
        <v>120100</v>
      </c>
      <c r="R53" s="237">
        <f t="shared" si="7"/>
        <v>0</v>
      </c>
    </row>
    <row r="54" spans="2:18">
      <c r="B54" s="15">
        <f t="shared" si="1"/>
        <v>49</v>
      </c>
      <c r="C54" s="16">
        <f>IFERROR(VLOOKUP(DATA!G52,DATA!$G$4:$J$2149,1,FALSE),"")</f>
        <v>3028</v>
      </c>
      <c r="D54" s="16" t="str">
        <f>+IFERROR(VLOOKUP(C54,DATA!$G$4:$H$2000,2,FALSE),"")</f>
        <v>УБТЗам БОС1-р анги</v>
      </c>
      <c r="E54" s="16">
        <v>120100</v>
      </c>
      <c r="F54" s="237">
        <v>0</v>
      </c>
      <c r="G54" s="237">
        <f>+SUMIFS(JURNAL!G:G,JURNAL!E:E,E54,JURNAL!L:L,$C54,JURNAL!C:C,"&gt;="&amp;$M$3,JURNAL!C:C,"&lt;="&amp;$N$3)</f>
        <v>0</v>
      </c>
      <c r="H54" s="19">
        <f>+SUMIFS(JURNAL!H:H,JURNAL!E:E,E54,JURNAL!L:L,$C54,JURNAL!C:C,"&gt;="&amp;$M$3,JURNAL!C:C,"&lt;="&amp;$N$3)</f>
        <v>0</v>
      </c>
      <c r="I54" s="237">
        <f t="shared" si="2"/>
        <v>0</v>
      </c>
      <c r="J54" s="16">
        <v>310100</v>
      </c>
      <c r="K54" s="237">
        <v>0</v>
      </c>
      <c r="L54" s="237">
        <f>+SUMIFS(JURNAL!G:G,JURNAL!E:E,J54,JURNAL!L:L,$C54,JURNAL!C:C,"&gt;="&amp;$M$3,JURNAL!C:C,"&lt;="&amp;$N$3)</f>
        <v>0</v>
      </c>
      <c r="M54" s="19">
        <f>+SUMIFS(JURNAL!H:H,JURNAL!E:E,J54,JURNAL!L:L,$C54,JURNAL!C:C,"&gt;="&amp;$M$3,JURNAL!C:C,"&lt;="&amp;$N$3)</f>
        <v>0</v>
      </c>
      <c r="N54" s="20">
        <f t="shared" si="3"/>
        <v>0</v>
      </c>
      <c r="O54" s="237">
        <f t="shared" si="4"/>
        <v>0</v>
      </c>
      <c r="P54" s="16">
        <f t="shared" si="5"/>
        <v>310100</v>
      </c>
      <c r="Q54" s="16">
        <f t="shared" si="6"/>
        <v>120100</v>
      </c>
      <c r="R54" s="237">
        <f t="shared" si="7"/>
        <v>0</v>
      </c>
    </row>
    <row r="55" spans="2:18">
      <c r="B55" s="15">
        <f t="shared" si="1"/>
        <v>50</v>
      </c>
      <c r="C55" s="16">
        <f>IFERROR(VLOOKUP(DATA!G53,DATA!$G$4:$J$2149,1,FALSE),"")</f>
        <v>3029</v>
      </c>
      <c r="D55" s="16" t="str">
        <f>+IFERROR(VLOOKUP(C55,DATA!$G$4:$H$2000,2,FALSE),"")</f>
        <v xml:space="preserve">ДУГАН ХАД ЖУУЛЧИН ХХК </v>
      </c>
      <c r="E55" s="16">
        <v>120100</v>
      </c>
      <c r="F55" s="237">
        <v>0</v>
      </c>
      <c r="G55" s="237">
        <f>+SUMIFS(JURNAL!G:G,JURNAL!E:E,E55,JURNAL!L:L,$C55,JURNAL!C:C,"&gt;="&amp;$M$3,JURNAL!C:C,"&lt;="&amp;$N$3)</f>
        <v>0</v>
      </c>
      <c r="H55" s="19">
        <f>+SUMIFS(JURNAL!H:H,JURNAL!E:E,E55,JURNAL!L:L,$C55,JURNAL!C:C,"&gt;="&amp;$M$3,JURNAL!C:C,"&lt;="&amp;$N$3)</f>
        <v>0</v>
      </c>
      <c r="I55" s="237">
        <f t="shared" si="2"/>
        <v>0</v>
      </c>
      <c r="J55" s="16">
        <v>310100</v>
      </c>
      <c r="K55" s="237">
        <v>0</v>
      </c>
      <c r="L55" s="237">
        <f>+SUMIFS(JURNAL!G:G,JURNAL!E:E,J55,JURNAL!L:L,$C55,JURNAL!C:C,"&gt;="&amp;$M$3,JURNAL!C:C,"&lt;="&amp;$N$3)</f>
        <v>0</v>
      </c>
      <c r="M55" s="19">
        <f>+SUMIFS(JURNAL!H:H,JURNAL!E:E,J55,JURNAL!L:L,$C55,JURNAL!C:C,"&gt;="&amp;$M$3,JURNAL!C:C,"&lt;="&amp;$N$3)</f>
        <v>0</v>
      </c>
      <c r="N55" s="20">
        <f t="shared" si="3"/>
        <v>0</v>
      </c>
      <c r="O55" s="237">
        <f t="shared" si="4"/>
        <v>0</v>
      </c>
      <c r="P55" s="16">
        <f t="shared" si="5"/>
        <v>310100</v>
      </c>
      <c r="Q55" s="16">
        <f t="shared" si="6"/>
        <v>120100</v>
      </c>
      <c r="R55" s="237">
        <f t="shared" si="7"/>
        <v>0</v>
      </c>
    </row>
    <row r="56" spans="2:18">
      <c r="B56" s="15">
        <f t="shared" si="1"/>
        <v>51</v>
      </c>
      <c r="C56" s="16">
        <f>IFERROR(VLOOKUP(DATA!G54,DATA!$G$4:$J$2149,1,FALSE),"")</f>
        <v>3030</v>
      </c>
      <c r="D56" s="16" t="str">
        <f>+IFERROR(VLOOKUP(C56,DATA!$G$4:$H$2000,2,FALSE),"")</f>
        <v xml:space="preserve">МОНГОЛ ГЛОБАЛ ХХК </v>
      </c>
      <c r="E56" s="16">
        <v>120100</v>
      </c>
      <c r="F56" s="237">
        <v>0</v>
      </c>
      <c r="G56" s="237">
        <f>+SUMIFS(JURNAL!G:G,JURNAL!E:E,E56,JURNAL!L:L,$C56,JURNAL!C:C,"&gt;="&amp;$M$3,JURNAL!C:C,"&lt;="&amp;$N$3)</f>
        <v>0</v>
      </c>
      <c r="H56" s="19">
        <f>+SUMIFS(JURNAL!H:H,JURNAL!E:E,E56,JURNAL!L:L,$C56,JURNAL!C:C,"&gt;="&amp;$M$3,JURNAL!C:C,"&lt;="&amp;$N$3)</f>
        <v>0</v>
      </c>
      <c r="I56" s="237">
        <f t="shared" si="2"/>
        <v>0</v>
      </c>
      <c r="J56" s="16">
        <v>310100</v>
      </c>
      <c r="K56" s="237">
        <v>0</v>
      </c>
      <c r="L56" s="237">
        <f>+SUMIFS(JURNAL!G:G,JURNAL!E:E,J56,JURNAL!L:L,$C56,JURNAL!C:C,"&gt;="&amp;$M$3,JURNAL!C:C,"&lt;="&amp;$N$3)</f>
        <v>0</v>
      </c>
      <c r="M56" s="19">
        <f>+SUMIFS(JURNAL!H:H,JURNAL!E:E,J56,JURNAL!L:L,$C56,JURNAL!C:C,"&gt;="&amp;$M$3,JURNAL!C:C,"&lt;="&amp;$N$3)</f>
        <v>0</v>
      </c>
      <c r="N56" s="20">
        <f t="shared" si="3"/>
        <v>0</v>
      </c>
      <c r="O56" s="237">
        <f t="shared" si="4"/>
        <v>0</v>
      </c>
      <c r="P56" s="16">
        <f t="shared" si="5"/>
        <v>310100</v>
      </c>
      <c r="Q56" s="16">
        <f t="shared" si="6"/>
        <v>120100</v>
      </c>
      <c r="R56" s="237">
        <f t="shared" si="7"/>
        <v>0</v>
      </c>
    </row>
    <row r="57" spans="2:18">
      <c r="B57" s="15">
        <f t="shared" si="1"/>
        <v>52</v>
      </c>
      <c r="C57" s="16">
        <f>IFERROR(VLOOKUP(DATA!G55,DATA!$G$4:$J$2149,1,FALSE),"")</f>
        <v>3031</v>
      </c>
      <c r="D57" s="16" t="str">
        <f>+IFERROR(VLOOKUP(C57,DATA!$G$4:$H$2000,2,FALSE),"")</f>
        <v xml:space="preserve">ГРИЙН АРТ ПАРК ХХК </v>
      </c>
      <c r="E57" s="16">
        <v>120100</v>
      </c>
      <c r="F57" s="237">
        <v>0</v>
      </c>
      <c r="G57" s="237">
        <f>+SUMIFS(JURNAL!G:G,JURNAL!E:E,E57,JURNAL!L:L,$C57,JURNAL!C:C,"&gt;="&amp;$M$3,JURNAL!C:C,"&lt;="&amp;$N$3)</f>
        <v>0</v>
      </c>
      <c r="H57" s="19">
        <f>+SUMIFS(JURNAL!H:H,JURNAL!E:E,E57,JURNAL!L:L,$C57,JURNAL!C:C,"&gt;="&amp;$M$3,JURNAL!C:C,"&lt;="&amp;$N$3)</f>
        <v>0</v>
      </c>
      <c r="I57" s="237">
        <f t="shared" si="2"/>
        <v>0</v>
      </c>
      <c r="J57" s="16">
        <v>310100</v>
      </c>
      <c r="K57" s="237">
        <v>0</v>
      </c>
      <c r="L57" s="237">
        <f>+SUMIFS(JURNAL!G:G,JURNAL!E:E,J57,JURNAL!L:L,$C57,JURNAL!C:C,"&gt;="&amp;$M$3,JURNAL!C:C,"&lt;="&amp;$N$3)</f>
        <v>0</v>
      </c>
      <c r="M57" s="19">
        <f>+SUMIFS(JURNAL!H:H,JURNAL!E:E,J57,JURNAL!L:L,$C57,JURNAL!C:C,"&gt;="&amp;$M$3,JURNAL!C:C,"&lt;="&amp;$N$3)</f>
        <v>0</v>
      </c>
      <c r="N57" s="20">
        <f t="shared" si="3"/>
        <v>0</v>
      </c>
      <c r="O57" s="237">
        <f t="shared" si="4"/>
        <v>0</v>
      </c>
      <c r="P57" s="16">
        <f t="shared" si="5"/>
        <v>310100</v>
      </c>
      <c r="Q57" s="16">
        <f t="shared" si="6"/>
        <v>120100</v>
      </c>
      <c r="R57" s="237">
        <f t="shared" si="7"/>
        <v>0</v>
      </c>
    </row>
    <row r="58" spans="2:18">
      <c r="B58" s="15">
        <f t="shared" si="1"/>
        <v>53</v>
      </c>
      <c r="C58" s="16">
        <f>IFERROR(VLOOKUP(DATA!G56,DATA!$G$4:$J$2149,1,FALSE),"")</f>
        <v>3032</v>
      </c>
      <c r="D58" s="16" t="str">
        <f>+IFERROR(VLOOKUP(C58,DATA!$G$4:$H$2000,2,FALSE),"")</f>
        <v xml:space="preserve">БОДЬ ЦАМХАГ ХХК </v>
      </c>
      <c r="E58" s="16">
        <v>120100</v>
      </c>
      <c r="F58" s="237">
        <v>0</v>
      </c>
      <c r="G58" s="237">
        <f>+SUMIFS(JURNAL!G:G,JURNAL!E:E,E58,JURNAL!L:L,$C58,JURNAL!C:C,"&gt;="&amp;$M$3,JURNAL!C:C,"&lt;="&amp;$N$3)</f>
        <v>0</v>
      </c>
      <c r="H58" s="19">
        <f>+SUMIFS(JURNAL!H:H,JURNAL!E:E,E58,JURNAL!L:L,$C58,JURNAL!C:C,"&gt;="&amp;$M$3,JURNAL!C:C,"&lt;="&amp;$N$3)</f>
        <v>0</v>
      </c>
      <c r="I58" s="237">
        <f t="shared" si="2"/>
        <v>0</v>
      </c>
      <c r="J58" s="16">
        <v>310100</v>
      </c>
      <c r="K58" s="237">
        <v>0</v>
      </c>
      <c r="L58" s="237">
        <f>+SUMIFS(JURNAL!G:G,JURNAL!E:E,J58,JURNAL!L:L,$C58,JURNAL!C:C,"&gt;="&amp;$M$3,JURNAL!C:C,"&lt;="&amp;$N$3)</f>
        <v>0</v>
      </c>
      <c r="M58" s="19">
        <f>+SUMIFS(JURNAL!H:H,JURNAL!E:E,J58,JURNAL!L:L,$C58,JURNAL!C:C,"&gt;="&amp;$M$3,JURNAL!C:C,"&lt;="&amp;$N$3)</f>
        <v>0</v>
      </c>
      <c r="N58" s="20">
        <f t="shared" si="3"/>
        <v>0</v>
      </c>
      <c r="O58" s="237">
        <f t="shared" si="4"/>
        <v>0</v>
      </c>
      <c r="P58" s="16">
        <f t="shared" si="5"/>
        <v>310100</v>
      </c>
      <c r="Q58" s="16">
        <f t="shared" si="6"/>
        <v>120100</v>
      </c>
      <c r="R58" s="237">
        <f t="shared" si="7"/>
        <v>0</v>
      </c>
    </row>
    <row r="59" spans="2:18">
      <c r="B59" s="15">
        <f t="shared" si="1"/>
        <v>54</v>
      </c>
      <c r="C59" s="16">
        <f>IFERROR(VLOOKUP(DATA!G57,DATA!$G$4:$J$2149,1,FALSE),"")</f>
        <v>3033</v>
      </c>
      <c r="D59" s="16" t="str">
        <f>+IFERROR(VLOOKUP(C59,DATA!$G$4:$H$2000,2,FALSE),"")</f>
        <v xml:space="preserve">МАКС АГРО ХХК </v>
      </c>
      <c r="E59" s="16">
        <v>120100</v>
      </c>
      <c r="F59" s="237">
        <v>0</v>
      </c>
      <c r="G59" s="237">
        <f>+SUMIFS(JURNAL!G:G,JURNAL!E:E,E59,JURNAL!L:L,$C59,JURNAL!C:C,"&gt;="&amp;$M$3,JURNAL!C:C,"&lt;="&amp;$N$3)</f>
        <v>0</v>
      </c>
      <c r="H59" s="19">
        <f>+SUMIFS(JURNAL!H:H,JURNAL!E:E,E59,JURNAL!L:L,$C59,JURNAL!C:C,"&gt;="&amp;$M$3,JURNAL!C:C,"&lt;="&amp;$N$3)</f>
        <v>0</v>
      </c>
      <c r="I59" s="237">
        <f t="shared" si="2"/>
        <v>0</v>
      </c>
      <c r="J59" s="16">
        <v>310100</v>
      </c>
      <c r="K59" s="237">
        <v>0</v>
      </c>
      <c r="L59" s="237">
        <f>+SUMIFS(JURNAL!G:G,JURNAL!E:E,J59,JURNAL!L:L,$C59,JURNAL!C:C,"&gt;="&amp;$M$3,JURNAL!C:C,"&lt;="&amp;$N$3)</f>
        <v>0</v>
      </c>
      <c r="M59" s="19">
        <f>+SUMIFS(JURNAL!H:H,JURNAL!E:E,J59,JURNAL!L:L,$C59,JURNAL!C:C,"&gt;="&amp;$M$3,JURNAL!C:C,"&lt;="&amp;$N$3)</f>
        <v>0</v>
      </c>
      <c r="N59" s="20">
        <f t="shared" si="3"/>
        <v>0</v>
      </c>
      <c r="O59" s="237">
        <f t="shared" si="4"/>
        <v>0</v>
      </c>
      <c r="P59" s="16">
        <f t="shared" si="5"/>
        <v>310100</v>
      </c>
      <c r="Q59" s="16">
        <f t="shared" si="6"/>
        <v>120100</v>
      </c>
      <c r="R59" s="237">
        <f t="shared" si="7"/>
        <v>0</v>
      </c>
    </row>
    <row r="60" spans="2:18">
      <c r="B60" s="15">
        <f t="shared" si="1"/>
        <v>55</v>
      </c>
      <c r="C60" s="16">
        <f>IFERROR(VLOOKUP(DATA!G58,DATA!$G$4:$J$2149,1,FALSE),"")</f>
        <v>3034</v>
      </c>
      <c r="D60" s="16" t="str">
        <f>+IFERROR(VLOOKUP(C60,DATA!$G$4:$H$2000,2,FALSE),"")</f>
        <v xml:space="preserve">ЭН ТИ ЭМ ХХК </v>
      </c>
      <c r="E60" s="16">
        <v>120100</v>
      </c>
      <c r="F60" s="237">
        <v>0</v>
      </c>
      <c r="G60" s="237">
        <f>+SUMIFS(JURNAL!G:G,JURNAL!E:E,E60,JURNAL!L:L,$C60,JURNAL!C:C,"&gt;="&amp;$M$3,JURNAL!C:C,"&lt;="&amp;$N$3)</f>
        <v>0</v>
      </c>
      <c r="H60" s="19">
        <f>+SUMIFS(JURNAL!H:H,JURNAL!E:E,E60,JURNAL!L:L,$C60,JURNAL!C:C,"&gt;="&amp;$M$3,JURNAL!C:C,"&lt;="&amp;$N$3)</f>
        <v>0</v>
      </c>
      <c r="I60" s="237">
        <f t="shared" si="2"/>
        <v>0</v>
      </c>
      <c r="J60" s="16">
        <v>310100</v>
      </c>
      <c r="K60" s="237">
        <v>0</v>
      </c>
      <c r="L60" s="237">
        <f>+SUMIFS(JURNAL!G:G,JURNAL!E:E,J60,JURNAL!L:L,$C60,JURNAL!C:C,"&gt;="&amp;$M$3,JURNAL!C:C,"&lt;="&amp;$N$3)</f>
        <v>0</v>
      </c>
      <c r="M60" s="19">
        <f>+SUMIFS(JURNAL!H:H,JURNAL!E:E,J60,JURNAL!L:L,$C60,JURNAL!C:C,"&gt;="&amp;$M$3,JURNAL!C:C,"&lt;="&amp;$N$3)</f>
        <v>0</v>
      </c>
      <c r="N60" s="20">
        <f t="shared" si="3"/>
        <v>0</v>
      </c>
      <c r="O60" s="237">
        <f t="shared" si="4"/>
        <v>0</v>
      </c>
      <c r="P60" s="16">
        <f t="shared" si="5"/>
        <v>310100</v>
      </c>
      <c r="Q60" s="16">
        <f t="shared" si="6"/>
        <v>120100</v>
      </c>
      <c r="R60" s="237">
        <f t="shared" si="7"/>
        <v>0</v>
      </c>
    </row>
    <row r="61" spans="2:18">
      <c r="B61" s="15">
        <f t="shared" si="1"/>
        <v>56</v>
      </c>
      <c r="C61" s="16">
        <f>IFERROR(VLOOKUP(DATA!G59,DATA!$G$4:$J$2149,1,FALSE),"")</f>
        <v>3035</v>
      </c>
      <c r="D61" s="16" t="str">
        <f>+IFERROR(VLOOKUP(C61,DATA!$G$4:$H$2000,2,FALSE),"")</f>
        <v xml:space="preserve">ГОЛДЕН ЖИМ ХХК </v>
      </c>
      <c r="E61" s="16">
        <v>120100</v>
      </c>
      <c r="F61" s="237">
        <v>0</v>
      </c>
      <c r="G61" s="237">
        <f>+SUMIFS(JURNAL!G:G,JURNAL!E:E,E61,JURNAL!L:L,$C61,JURNAL!C:C,"&gt;="&amp;$M$3,JURNAL!C:C,"&lt;="&amp;$N$3)</f>
        <v>0</v>
      </c>
      <c r="H61" s="19">
        <f>+SUMIFS(JURNAL!H:H,JURNAL!E:E,E61,JURNAL!L:L,$C61,JURNAL!C:C,"&gt;="&amp;$M$3,JURNAL!C:C,"&lt;="&amp;$N$3)</f>
        <v>0</v>
      </c>
      <c r="I61" s="237">
        <f t="shared" si="2"/>
        <v>0</v>
      </c>
      <c r="J61" s="16">
        <v>310100</v>
      </c>
      <c r="K61" s="237">
        <v>0</v>
      </c>
      <c r="L61" s="237">
        <f>+SUMIFS(JURNAL!G:G,JURNAL!E:E,J61,JURNAL!L:L,$C61,JURNAL!C:C,"&gt;="&amp;$M$3,JURNAL!C:C,"&lt;="&amp;$N$3)</f>
        <v>0</v>
      </c>
      <c r="M61" s="19">
        <f>+SUMIFS(JURNAL!H:H,JURNAL!E:E,J61,JURNAL!L:L,$C61,JURNAL!C:C,"&gt;="&amp;$M$3,JURNAL!C:C,"&lt;="&amp;$N$3)</f>
        <v>0</v>
      </c>
      <c r="N61" s="20">
        <f t="shared" si="3"/>
        <v>0</v>
      </c>
      <c r="O61" s="237">
        <f t="shared" si="4"/>
        <v>0</v>
      </c>
      <c r="P61" s="16">
        <f t="shared" si="5"/>
        <v>310100</v>
      </c>
      <c r="Q61" s="16">
        <f t="shared" si="6"/>
        <v>120100</v>
      </c>
      <c r="R61" s="237">
        <f t="shared" si="7"/>
        <v>0</v>
      </c>
    </row>
    <row r="62" spans="2:18">
      <c r="B62" s="15">
        <f t="shared" si="1"/>
        <v>57</v>
      </c>
      <c r="C62" s="16">
        <f>IFERROR(VLOOKUP(DATA!G60,DATA!$G$4:$J$2149,1,FALSE),"")</f>
        <v>3036</v>
      </c>
      <c r="D62" s="16" t="str">
        <f>+IFERROR(VLOOKUP(C62,DATA!$G$4:$H$2000,2,FALSE),"")</f>
        <v>ИХ БАГА ХОНГОР ХХК</v>
      </c>
      <c r="E62" s="16">
        <v>120100</v>
      </c>
      <c r="F62" s="237">
        <v>0</v>
      </c>
      <c r="G62" s="237">
        <f>+SUMIFS(JURNAL!G:G,JURNAL!E:E,E62,JURNAL!L:L,$C62,JURNAL!C:C,"&gt;="&amp;$M$3,JURNAL!C:C,"&lt;="&amp;$N$3)</f>
        <v>0</v>
      </c>
      <c r="H62" s="19">
        <f>+SUMIFS(JURNAL!H:H,JURNAL!E:E,E62,JURNAL!L:L,$C62,JURNAL!C:C,"&gt;="&amp;$M$3,JURNAL!C:C,"&lt;="&amp;$N$3)</f>
        <v>0</v>
      </c>
      <c r="I62" s="237">
        <f t="shared" si="2"/>
        <v>0</v>
      </c>
      <c r="J62" s="16">
        <v>310100</v>
      </c>
      <c r="K62" s="237">
        <v>0</v>
      </c>
      <c r="L62" s="237">
        <f>+SUMIFS(JURNAL!G:G,JURNAL!E:E,J62,JURNAL!L:L,$C62,JURNAL!C:C,"&gt;="&amp;$M$3,JURNAL!C:C,"&lt;="&amp;$N$3)</f>
        <v>0</v>
      </c>
      <c r="M62" s="19">
        <f>+SUMIFS(JURNAL!H:H,JURNAL!E:E,J62,JURNAL!L:L,$C62,JURNAL!C:C,"&gt;="&amp;$M$3,JURNAL!C:C,"&lt;="&amp;$N$3)</f>
        <v>0</v>
      </c>
      <c r="N62" s="20">
        <f t="shared" si="3"/>
        <v>0</v>
      </c>
      <c r="O62" s="237">
        <f t="shared" si="4"/>
        <v>0</v>
      </c>
      <c r="P62" s="16">
        <f t="shared" si="5"/>
        <v>310100</v>
      </c>
      <c r="Q62" s="16">
        <f t="shared" si="6"/>
        <v>120100</v>
      </c>
      <c r="R62" s="237">
        <f t="shared" si="7"/>
        <v>0</v>
      </c>
    </row>
    <row r="63" spans="2:18">
      <c r="B63" s="15">
        <f t="shared" si="1"/>
        <v>58</v>
      </c>
      <c r="C63" s="16">
        <f>IFERROR(VLOOKUP(DATA!G61,DATA!$G$4:$J$2149,1,FALSE),"")</f>
        <v>3037</v>
      </c>
      <c r="D63" s="16" t="str">
        <f>+IFERROR(VLOOKUP(C63,DATA!$G$4:$H$2000,2,FALSE),"")</f>
        <v xml:space="preserve">ЯВУУ ИМПЕКС ХХК </v>
      </c>
      <c r="E63" s="16">
        <v>120100</v>
      </c>
      <c r="F63" s="237">
        <v>1104403</v>
      </c>
      <c r="G63" s="237">
        <f>+SUMIFS(JURNAL!G:G,JURNAL!E:E,E63,JURNAL!L:L,$C63,JURNAL!C:C,"&gt;="&amp;$M$3,JURNAL!C:C,"&lt;="&amp;$N$3)</f>
        <v>0</v>
      </c>
      <c r="H63" s="19">
        <f>+SUMIFS(JURNAL!H:H,JURNAL!E:E,E63,JURNAL!L:L,$C63,JURNAL!C:C,"&gt;="&amp;$M$3,JURNAL!C:C,"&lt;="&amp;$N$3)</f>
        <v>0</v>
      </c>
      <c r="I63" s="237">
        <f t="shared" si="2"/>
        <v>1104403</v>
      </c>
      <c r="J63" s="16">
        <v>310100</v>
      </c>
      <c r="K63" s="237">
        <v>0</v>
      </c>
      <c r="L63" s="237">
        <f>+SUMIFS(JURNAL!G:G,JURNAL!E:E,J63,JURNAL!L:L,$C63,JURNAL!C:C,"&gt;="&amp;$M$3,JURNAL!C:C,"&lt;="&amp;$N$3)</f>
        <v>0</v>
      </c>
      <c r="M63" s="19">
        <f>+SUMIFS(JURNAL!H:H,JURNAL!E:E,J63,JURNAL!L:L,$C63,JURNAL!C:C,"&gt;="&amp;$M$3,JURNAL!C:C,"&lt;="&amp;$N$3)</f>
        <v>0</v>
      </c>
      <c r="N63" s="20">
        <f t="shared" si="3"/>
        <v>0</v>
      </c>
      <c r="O63" s="237">
        <f t="shared" si="4"/>
        <v>0</v>
      </c>
      <c r="P63" s="16">
        <f t="shared" si="5"/>
        <v>310100</v>
      </c>
      <c r="Q63" s="16">
        <f t="shared" si="6"/>
        <v>120100</v>
      </c>
      <c r="R63" s="237">
        <f t="shared" si="7"/>
        <v>0</v>
      </c>
    </row>
    <row r="64" spans="2:18">
      <c r="B64" s="15">
        <f t="shared" si="1"/>
        <v>59</v>
      </c>
      <c r="C64" s="16">
        <f>IFERROR(VLOOKUP(DATA!G62,DATA!$G$4:$J$2149,1,FALSE),"")</f>
        <v>3038</v>
      </c>
      <c r="D64" s="16" t="str">
        <f>+IFERROR(VLOOKUP(C64,DATA!$G$4:$H$2000,2,FALSE),"")</f>
        <v xml:space="preserve">ТЭХ БАРИЛГЫН МАТЕРИАЛЫН ДЭЛГҮҮР </v>
      </c>
      <c r="E64" s="16">
        <v>120100</v>
      </c>
      <c r="F64" s="237">
        <v>540000</v>
      </c>
      <c r="G64" s="237">
        <f>+SUMIFS(JURNAL!G:G,JURNAL!E:E,E64,JURNAL!L:L,$C64,JURNAL!C:C,"&gt;="&amp;$M$3,JURNAL!C:C,"&lt;="&amp;$N$3)</f>
        <v>0</v>
      </c>
      <c r="H64" s="19">
        <f>+SUMIFS(JURNAL!H:H,JURNAL!E:E,E64,JURNAL!L:L,$C64,JURNAL!C:C,"&gt;="&amp;$M$3,JURNAL!C:C,"&lt;="&amp;$N$3)</f>
        <v>0</v>
      </c>
      <c r="I64" s="237">
        <f t="shared" si="2"/>
        <v>540000</v>
      </c>
      <c r="J64" s="16">
        <v>310100</v>
      </c>
      <c r="K64" s="237">
        <v>0</v>
      </c>
      <c r="L64" s="237">
        <f>+SUMIFS(JURNAL!G:G,JURNAL!E:E,J64,JURNAL!L:L,$C64,JURNAL!C:C,"&gt;="&amp;$M$3,JURNAL!C:C,"&lt;="&amp;$N$3)</f>
        <v>0</v>
      </c>
      <c r="M64" s="19">
        <f>+SUMIFS(JURNAL!H:H,JURNAL!E:E,J64,JURNAL!L:L,$C64,JURNAL!C:C,"&gt;="&amp;$M$3,JURNAL!C:C,"&lt;="&amp;$N$3)</f>
        <v>0</v>
      </c>
      <c r="N64" s="20">
        <f t="shared" si="3"/>
        <v>0</v>
      </c>
      <c r="O64" s="237">
        <f t="shared" si="4"/>
        <v>0</v>
      </c>
      <c r="P64" s="16">
        <f t="shared" si="5"/>
        <v>310100</v>
      </c>
      <c r="Q64" s="16">
        <f t="shared" si="6"/>
        <v>120100</v>
      </c>
      <c r="R64" s="237">
        <f t="shared" si="7"/>
        <v>0</v>
      </c>
    </row>
    <row r="65" spans="2:18">
      <c r="B65" s="15">
        <f t="shared" si="1"/>
        <v>60</v>
      </c>
      <c r="C65" s="16">
        <f>IFERROR(VLOOKUP(DATA!G63,DATA!$G$4:$J$2149,1,FALSE),"")</f>
        <v>3039</v>
      </c>
      <c r="D65" s="16" t="str">
        <f>+IFERROR(VLOOKUP(C65,DATA!$G$4:$H$2000,2,FALSE),"")</f>
        <v xml:space="preserve">САССИР ХХК </v>
      </c>
      <c r="E65" s="16">
        <v>120100</v>
      </c>
      <c r="F65" s="237">
        <v>0</v>
      </c>
      <c r="G65" s="237">
        <f>+SUMIFS(JURNAL!G:G,JURNAL!E:E,E65,JURNAL!L:L,$C65,JURNAL!C:C,"&gt;="&amp;$M$3,JURNAL!C:C,"&lt;="&amp;$N$3)</f>
        <v>0</v>
      </c>
      <c r="H65" s="19">
        <f>+SUMIFS(JURNAL!H:H,JURNAL!E:E,E65,JURNAL!L:L,$C65,JURNAL!C:C,"&gt;="&amp;$M$3,JURNAL!C:C,"&lt;="&amp;$N$3)</f>
        <v>0</v>
      </c>
      <c r="I65" s="237">
        <f t="shared" si="2"/>
        <v>0</v>
      </c>
      <c r="J65" s="16">
        <v>310100</v>
      </c>
      <c r="K65" s="237">
        <v>0</v>
      </c>
      <c r="L65" s="237">
        <f>+SUMIFS(JURNAL!G:G,JURNAL!E:E,J65,JURNAL!L:L,$C65,JURNAL!C:C,"&gt;="&amp;$M$3,JURNAL!C:C,"&lt;="&amp;$N$3)</f>
        <v>0</v>
      </c>
      <c r="M65" s="19">
        <f>+SUMIFS(JURNAL!H:H,JURNAL!E:E,J65,JURNAL!L:L,$C65,JURNAL!C:C,"&gt;="&amp;$M$3,JURNAL!C:C,"&lt;="&amp;$N$3)</f>
        <v>0</v>
      </c>
      <c r="N65" s="20">
        <f t="shared" si="3"/>
        <v>0</v>
      </c>
      <c r="O65" s="237">
        <f t="shared" si="4"/>
        <v>0</v>
      </c>
      <c r="P65" s="16">
        <f t="shared" si="5"/>
        <v>310100</v>
      </c>
      <c r="Q65" s="16">
        <f t="shared" si="6"/>
        <v>120100</v>
      </c>
      <c r="R65" s="237">
        <f t="shared" si="7"/>
        <v>0</v>
      </c>
    </row>
    <row r="66" spans="2:18">
      <c r="B66" s="15">
        <f t="shared" si="1"/>
        <v>61</v>
      </c>
      <c r="C66" s="16">
        <f>IFERROR(VLOOKUP(DATA!G64,DATA!$G$4:$J$2149,1,FALSE),"")</f>
        <v>3040</v>
      </c>
      <c r="D66" s="16" t="str">
        <f>+IFERROR(VLOOKUP(C66,DATA!$G$4:$H$2000,2,FALSE),"")</f>
        <v xml:space="preserve">АР ПИ ДИ ХХК </v>
      </c>
      <c r="E66" s="16">
        <v>120100</v>
      </c>
      <c r="F66" s="237">
        <v>0</v>
      </c>
      <c r="G66" s="237">
        <f>+SUMIFS(JURNAL!G:G,JURNAL!E:E,E66,JURNAL!L:L,$C66,JURNAL!C:C,"&gt;="&amp;$M$3,JURNAL!C:C,"&lt;="&amp;$N$3)</f>
        <v>0</v>
      </c>
      <c r="H66" s="19">
        <f>+SUMIFS(JURNAL!H:H,JURNAL!E:E,E66,JURNAL!L:L,$C66,JURNAL!C:C,"&gt;="&amp;$M$3,JURNAL!C:C,"&lt;="&amp;$N$3)</f>
        <v>0</v>
      </c>
      <c r="I66" s="237">
        <f t="shared" si="2"/>
        <v>0</v>
      </c>
      <c r="J66" s="16">
        <v>310100</v>
      </c>
      <c r="K66" s="237">
        <v>0</v>
      </c>
      <c r="L66" s="237">
        <f>+SUMIFS(JURNAL!G:G,JURNAL!E:E,J66,JURNAL!L:L,$C66,JURNAL!C:C,"&gt;="&amp;$M$3,JURNAL!C:C,"&lt;="&amp;$N$3)</f>
        <v>0</v>
      </c>
      <c r="M66" s="19">
        <f>+SUMIFS(JURNAL!H:H,JURNAL!E:E,J66,JURNAL!L:L,$C66,JURNAL!C:C,"&gt;="&amp;$M$3,JURNAL!C:C,"&lt;="&amp;$N$3)</f>
        <v>0</v>
      </c>
      <c r="N66" s="20">
        <f t="shared" si="3"/>
        <v>0</v>
      </c>
      <c r="O66" s="237">
        <f t="shared" si="4"/>
        <v>0</v>
      </c>
      <c r="P66" s="16">
        <f t="shared" si="5"/>
        <v>310100</v>
      </c>
      <c r="Q66" s="16">
        <f t="shared" si="6"/>
        <v>120100</v>
      </c>
      <c r="R66" s="237">
        <f t="shared" si="7"/>
        <v>0</v>
      </c>
    </row>
    <row r="67" spans="2:18">
      <c r="B67" s="15">
        <f t="shared" si="1"/>
        <v>62</v>
      </c>
      <c r="C67" s="16">
        <f>IFERROR(VLOOKUP(DATA!G65,DATA!$G$4:$J$2149,1,FALSE),"")</f>
        <v>3041</v>
      </c>
      <c r="D67" s="16" t="str">
        <f>+IFERROR(VLOOKUP(C67,DATA!$G$4:$H$2000,2,FALSE),"")</f>
        <v>БҮТЭЭГЧ ХХК</v>
      </c>
      <c r="E67" s="16">
        <v>120100</v>
      </c>
      <c r="F67" s="237">
        <v>0</v>
      </c>
      <c r="G67" s="237">
        <f>+SUMIFS(JURNAL!G:G,JURNAL!E:E,E67,JURNAL!L:L,$C67,JURNAL!C:C,"&gt;="&amp;$M$3,JURNAL!C:C,"&lt;="&amp;$N$3)</f>
        <v>0</v>
      </c>
      <c r="H67" s="19">
        <f>+SUMIFS(JURNAL!H:H,JURNAL!E:E,E67,JURNAL!L:L,$C67,JURNAL!C:C,"&gt;="&amp;$M$3,JURNAL!C:C,"&lt;="&amp;$N$3)</f>
        <v>0</v>
      </c>
      <c r="I67" s="237">
        <f t="shared" si="2"/>
        <v>0</v>
      </c>
      <c r="J67" s="16">
        <v>310100</v>
      </c>
      <c r="K67" s="237">
        <v>0</v>
      </c>
      <c r="L67" s="237">
        <f>+SUMIFS(JURNAL!G:G,JURNAL!E:E,J67,JURNAL!L:L,$C67,JURNAL!C:C,"&gt;="&amp;$M$3,JURNAL!C:C,"&lt;="&amp;$N$3)</f>
        <v>0</v>
      </c>
      <c r="M67" s="19">
        <f>+SUMIFS(JURNAL!H:H,JURNAL!E:E,J67,JURNAL!L:L,$C67,JURNAL!C:C,"&gt;="&amp;$M$3,JURNAL!C:C,"&lt;="&amp;$N$3)</f>
        <v>0</v>
      </c>
      <c r="N67" s="20">
        <f t="shared" si="3"/>
        <v>0</v>
      </c>
      <c r="O67" s="237">
        <f t="shared" si="4"/>
        <v>0</v>
      </c>
      <c r="P67" s="16">
        <f t="shared" si="5"/>
        <v>310100</v>
      </c>
      <c r="Q67" s="16">
        <f t="shared" si="6"/>
        <v>120100</v>
      </c>
      <c r="R67" s="237">
        <f t="shared" si="7"/>
        <v>0</v>
      </c>
    </row>
    <row r="68" spans="2:18">
      <c r="B68" s="15">
        <f t="shared" si="1"/>
        <v>63</v>
      </c>
      <c r="C68" s="16">
        <f>IFERROR(VLOOKUP(DATA!G66,DATA!$G$4:$J$2149,1,FALSE),"")</f>
        <v>3042</v>
      </c>
      <c r="D68" s="16" t="str">
        <f>+IFERROR(VLOOKUP(C68,DATA!$G$4:$H$2000,2,FALSE),"")</f>
        <v xml:space="preserve">ЖУРМАК ХХК </v>
      </c>
      <c r="E68" s="16">
        <v>120100</v>
      </c>
      <c r="F68" s="237">
        <v>0</v>
      </c>
      <c r="G68" s="237">
        <f>+SUMIFS(JURNAL!G:G,JURNAL!E:E,E68,JURNAL!L:L,$C68,JURNAL!C:C,"&gt;="&amp;$M$3,JURNAL!C:C,"&lt;="&amp;$N$3)</f>
        <v>0</v>
      </c>
      <c r="H68" s="19">
        <f>+SUMIFS(JURNAL!H:H,JURNAL!E:E,E68,JURNAL!L:L,$C68,JURNAL!C:C,"&gt;="&amp;$M$3,JURNAL!C:C,"&lt;="&amp;$N$3)</f>
        <v>0</v>
      </c>
      <c r="I68" s="237">
        <f t="shared" si="2"/>
        <v>0</v>
      </c>
      <c r="J68" s="16">
        <v>310100</v>
      </c>
      <c r="K68" s="237">
        <v>0</v>
      </c>
      <c r="L68" s="237">
        <f>+SUMIFS(JURNAL!G:G,JURNAL!E:E,J68,JURNAL!L:L,$C68,JURNAL!C:C,"&gt;="&amp;$M$3,JURNAL!C:C,"&lt;="&amp;$N$3)</f>
        <v>0</v>
      </c>
      <c r="M68" s="19">
        <f>+SUMIFS(JURNAL!H:H,JURNAL!E:E,J68,JURNAL!L:L,$C68,JURNAL!C:C,"&gt;="&amp;$M$3,JURNAL!C:C,"&lt;="&amp;$N$3)</f>
        <v>0</v>
      </c>
      <c r="N68" s="20">
        <f t="shared" si="3"/>
        <v>0</v>
      </c>
      <c r="O68" s="237">
        <f t="shared" si="4"/>
        <v>0</v>
      </c>
      <c r="P68" s="16">
        <f t="shared" si="5"/>
        <v>310100</v>
      </c>
      <c r="Q68" s="16">
        <f t="shared" si="6"/>
        <v>120100</v>
      </c>
      <c r="R68" s="237">
        <f t="shared" si="7"/>
        <v>0</v>
      </c>
    </row>
    <row r="69" spans="2:18">
      <c r="B69" s="15">
        <f t="shared" si="1"/>
        <v>64</v>
      </c>
      <c r="C69" s="16">
        <f>IFERROR(VLOOKUP(DATA!G67,DATA!$G$4:$J$2149,1,FALSE),"")</f>
        <v>3043</v>
      </c>
      <c r="D69" s="16" t="str">
        <f>+IFERROR(VLOOKUP(C69,DATA!$G$4:$H$2000,2,FALSE),"")</f>
        <v xml:space="preserve">ДЕКОР ВҮҮД ХХК </v>
      </c>
      <c r="E69" s="16">
        <v>120100</v>
      </c>
      <c r="F69" s="237">
        <v>0</v>
      </c>
      <c r="G69" s="237">
        <f>+SUMIFS(JURNAL!G:G,JURNAL!E:E,E69,JURNAL!L:L,$C69,JURNAL!C:C,"&gt;="&amp;$M$3,JURNAL!C:C,"&lt;="&amp;$N$3)</f>
        <v>0</v>
      </c>
      <c r="H69" s="19">
        <f>+SUMIFS(JURNAL!H:H,JURNAL!E:E,E69,JURNAL!L:L,$C69,JURNAL!C:C,"&gt;="&amp;$M$3,JURNAL!C:C,"&lt;="&amp;$N$3)</f>
        <v>0</v>
      </c>
      <c r="I69" s="237">
        <f t="shared" si="2"/>
        <v>0</v>
      </c>
      <c r="J69" s="16">
        <v>310100</v>
      </c>
      <c r="K69" s="237">
        <v>0</v>
      </c>
      <c r="L69" s="237">
        <f>+SUMIFS(JURNAL!G:G,JURNAL!E:E,J69,JURNAL!L:L,$C69,JURNAL!C:C,"&gt;="&amp;$M$3,JURNAL!C:C,"&lt;="&amp;$N$3)</f>
        <v>0</v>
      </c>
      <c r="M69" s="19">
        <f>+SUMIFS(JURNAL!H:H,JURNAL!E:E,J69,JURNAL!L:L,$C69,JURNAL!C:C,"&gt;="&amp;$M$3,JURNAL!C:C,"&lt;="&amp;$N$3)</f>
        <v>0</v>
      </c>
      <c r="N69" s="20">
        <f t="shared" si="3"/>
        <v>0</v>
      </c>
      <c r="O69" s="237">
        <f t="shared" si="4"/>
        <v>0</v>
      </c>
      <c r="P69" s="16">
        <f t="shared" si="5"/>
        <v>310100</v>
      </c>
      <c r="Q69" s="16">
        <f t="shared" si="6"/>
        <v>120100</v>
      </c>
      <c r="R69" s="237">
        <f t="shared" si="7"/>
        <v>0</v>
      </c>
    </row>
    <row r="70" spans="2:18">
      <c r="B70" s="15">
        <f t="shared" si="1"/>
        <v>65</v>
      </c>
      <c r="C70" s="16">
        <f>IFERROR(VLOOKUP(DATA!G68,DATA!$G$4:$J$2149,1,FALSE),"")</f>
        <v>3044</v>
      </c>
      <c r="D70" s="16" t="str">
        <f>+IFERROR(VLOOKUP(C70,DATA!$G$4:$H$2000,2,FALSE),"")</f>
        <v>ЛАНС КОНСТРАКШН ХХК</v>
      </c>
      <c r="E70" s="16">
        <v>120100</v>
      </c>
      <c r="F70" s="237">
        <v>0</v>
      </c>
      <c r="G70" s="237">
        <f>+SUMIFS(JURNAL!G:G,JURNAL!E:E,E70,JURNAL!L:L,$C70,JURNAL!C:C,"&gt;="&amp;$M$3,JURNAL!C:C,"&lt;="&amp;$N$3)</f>
        <v>0</v>
      </c>
      <c r="H70" s="19">
        <f>+SUMIFS(JURNAL!H:H,JURNAL!E:E,E70,JURNAL!L:L,$C70,JURNAL!C:C,"&gt;="&amp;$M$3,JURNAL!C:C,"&lt;="&amp;$N$3)</f>
        <v>0</v>
      </c>
      <c r="I70" s="237">
        <f t="shared" si="2"/>
        <v>0</v>
      </c>
      <c r="J70" s="16">
        <v>310100</v>
      </c>
      <c r="K70" s="237">
        <v>0</v>
      </c>
      <c r="L70" s="237">
        <f>+SUMIFS(JURNAL!G:G,JURNAL!E:E,J70,JURNAL!L:L,$C70,JURNAL!C:C,"&gt;="&amp;$M$3,JURNAL!C:C,"&lt;="&amp;$N$3)</f>
        <v>0</v>
      </c>
      <c r="M70" s="19">
        <f>+SUMIFS(JURNAL!H:H,JURNAL!E:E,J70,JURNAL!L:L,$C70,JURNAL!C:C,"&gt;="&amp;$M$3,JURNAL!C:C,"&lt;="&amp;$N$3)</f>
        <v>0</v>
      </c>
      <c r="N70" s="20">
        <f t="shared" si="3"/>
        <v>0</v>
      </c>
      <c r="O70" s="237">
        <f t="shared" si="4"/>
        <v>0</v>
      </c>
      <c r="P70" s="16">
        <f t="shared" si="5"/>
        <v>310100</v>
      </c>
      <c r="Q70" s="16">
        <f t="shared" si="6"/>
        <v>120100</v>
      </c>
      <c r="R70" s="237">
        <f t="shared" si="7"/>
        <v>0</v>
      </c>
    </row>
    <row r="71" spans="2:18">
      <c r="B71" s="15">
        <f t="shared" ref="B71:B134" si="8">+IF(C71="","",ROW()-5)</f>
        <v>66</v>
      </c>
      <c r="C71" s="16">
        <f>IFERROR(VLOOKUP(DATA!G69,DATA!$G$4:$J$2149,1,FALSE),"")</f>
        <v>3045</v>
      </c>
      <c r="D71" s="16" t="str">
        <f>+IFERROR(VLOOKUP(C71,DATA!$G$4:$H$2000,2,FALSE),"")</f>
        <v xml:space="preserve">МОНГОЛ ИДЕАЛ ХХК </v>
      </c>
      <c r="E71" s="16">
        <v>120100</v>
      </c>
      <c r="F71" s="237">
        <v>0</v>
      </c>
      <c r="G71" s="237">
        <f>+SUMIFS(JURNAL!G:G,JURNAL!E:E,E71,JURNAL!L:L,$C71,JURNAL!C:C,"&gt;="&amp;$M$3,JURNAL!C:C,"&lt;="&amp;$N$3)</f>
        <v>0</v>
      </c>
      <c r="H71" s="19">
        <f>+SUMIFS(JURNAL!H:H,JURNAL!E:E,E71,JURNAL!L:L,$C71,JURNAL!C:C,"&gt;="&amp;$M$3,JURNAL!C:C,"&lt;="&amp;$N$3)</f>
        <v>0</v>
      </c>
      <c r="I71" s="237">
        <f t="shared" ref="I71:I123" si="9">+F71+G71-H71</f>
        <v>0</v>
      </c>
      <c r="J71" s="16">
        <v>310100</v>
      </c>
      <c r="K71" s="237">
        <v>0</v>
      </c>
      <c r="L71" s="237">
        <f>+SUMIFS(JURNAL!G:G,JURNAL!E:E,J71,JURNAL!L:L,$C71,JURNAL!C:C,"&gt;="&amp;$M$3,JURNAL!C:C,"&lt;="&amp;$N$3)</f>
        <v>0</v>
      </c>
      <c r="M71" s="19">
        <f>+SUMIFS(JURNAL!H:H,JURNAL!E:E,J71,JURNAL!L:L,$C71,JURNAL!C:C,"&gt;="&amp;$M$3,JURNAL!C:C,"&lt;="&amp;$N$3)</f>
        <v>0</v>
      </c>
      <c r="N71" s="20">
        <f t="shared" ref="N71:N123" si="10">+K71+M71-L71</f>
        <v>0</v>
      </c>
      <c r="O71" s="237">
        <f t="shared" ref="O71:O134" si="11">+IF(I71&lt;N71,I71,N71)</f>
        <v>0</v>
      </c>
      <c r="P71" s="16">
        <f t="shared" ref="P71:P134" si="12">+J71</f>
        <v>310100</v>
      </c>
      <c r="Q71" s="16">
        <f t="shared" ref="Q71:Q134" si="13">+E71</f>
        <v>120100</v>
      </c>
      <c r="R71" s="237">
        <f t="shared" ref="R71:R134" si="14">+IF(O71,1,0)</f>
        <v>0</v>
      </c>
    </row>
    <row r="72" spans="2:18">
      <c r="B72" s="15">
        <f t="shared" si="8"/>
        <v>67</v>
      </c>
      <c r="C72" s="16">
        <f>IFERROR(VLOOKUP(DATA!G70,DATA!$G$4:$J$2149,1,FALSE),"")</f>
        <v>3046</v>
      </c>
      <c r="D72" s="16" t="str">
        <f>+IFERROR(VLOOKUP(C72,DATA!$G$4:$H$2000,2,FALSE),"")</f>
        <v xml:space="preserve">ТЭГШРЭХ ГУРВАН ЭРДЭНЭ ХХК </v>
      </c>
      <c r="E72" s="16">
        <v>120100</v>
      </c>
      <c r="F72" s="237">
        <v>0</v>
      </c>
      <c r="G72" s="237">
        <f>+SUMIFS(JURNAL!G:G,JURNAL!E:E,E72,JURNAL!L:L,$C72,JURNAL!C:C,"&gt;="&amp;$M$3,JURNAL!C:C,"&lt;="&amp;$N$3)</f>
        <v>0</v>
      </c>
      <c r="H72" s="19">
        <f>+SUMIFS(JURNAL!H:H,JURNAL!E:E,E72,JURNAL!L:L,$C72,JURNAL!C:C,"&gt;="&amp;$M$3,JURNAL!C:C,"&lt;="&amp;$N$3)</f>
        <v>0</v>
      </c>
      <c r="I72" s="237">
        <f t="shared" si="9"/>
        <v>0</v>
      </c>
      <c r="J72" s="16">
        <v>310100</v>
      </c>
      <c r="K72" s="237">
        <v>0</v>
      </c>
      <c r="L72" s="237">
        <f>+SUMIFS(JURNAL!G:G,JURNAL!E:E,J72,JURNAL!L:L,$C72,JURNAL!C:C,"&gt;="&amp;$M$3,JURNAL!C:C,"&lt;="&amp;$N$3)</f>
        <v>0</v>
      </c>
      <c r="M72" s="19">
        <f>+SUMIFS(JURNAL!H:H,JURNAL!E:E,J72,JURNAL!L:L,$C72,JURNAL!C:C,"&gt;="&amp;$M$3,JURNAL!C:C,"&lt;="&amp;$N$3)</f>
        <v>0</v>
      </c>
      <c r="N72" s="20">
        <f t="shared" si="10"/>
        <v>0</v>
      </c>
      <c r="O72" s="237">
        <f t="shared" si="11"/>
        <v>0</v>
      </c>
      <c r="P72" s="16">
        <f t="shared" si="12"/>
        <v>310100</v>
      </c>
      <c r="Q72" s="16">
        <f t="shared" si="13"/>
        <v>120100</v>
      </c>
      <c r="R72" s="237">
        <f t="shared" si="14"/>
        <v>0</v>
      </c>
    </row>
    <row r="73" spans="2:18">
      <c r="B73" s="15">
        <f t="shared" si="8"/>
        <v>68</v>
      </c>
      <c r="C73" s="16">
        <f>IFERROR(VLOOKUP(DATA!G71,DATA!$G$4:$J$2149,1,FALSE),"")</f>
        <v>3047</v>
      </c>
      <c r="D73" s="16" t="str">
        <f>+IFERROR(VLOOKUP(C73,DATA!$G$4:$H$2000,2,FALSE),"")</f>
        <v>ГЛОБАЛ ГАЗАР ХХК</v>
      </c>
      <c r="E73" s="16">
        <v>120100</v>
      </c>
      <c r="F73" s="237">
        <v>0</v>
      </c>
      <c r="G73" s="237">
        <f>+SUMIFS(JURNAL!G:G,JURNAL!E:E,E73,JURNAL!L:L,$C73,JURNAL!C:C,"&gt;="&amp;$M$3,JURNAL!C:C,"&lt;="&amp;$N$3)</f>
        <v>0</v>
      </c>
      <c r="H73" s="19">
        <f>+SUMIFS(JURNAL!H:H,JURNAL!E:E,E73,JURNAL!L:L,$C73,JURNAL!C:C,"&gt;="&amp;$M$3,JURNAL!C:C,"&lt;="&amp;$N$3)</f>
        <v>0</v>
      </c>
      <c r="I73" s="237">
        <f t="shared" si="9"/>
        <v>0</v>
      </c>
      <c r="J73" s="16">
        <v>310100</v>
      </c>
      <c r="K73" s="237">
        <v>0</v>
      </c>
      <c r="L73" s="237">
        <f>+SUMIFS(JURNAL!G:G,JURNAL!E:E,J73,JURNAL!L:L,$C73,JURNAL!C:C,"&gt;="&amp;$M$3,JURNAL!C:C,"&lt;="&amp;$N$3)</f>
        <v>0</v>
      </c>
      <c r="M73" s="19">
        <f>+SUMIFS(JURNAL!H:H,JURNAL!E:E,J73,JURNAL!L:L,$C73,JURNAL!C:C,"&gt;="&amp;$M$3,JURNAL!C:C,"&lt;="&amp;$N$3)</f>
        <v>0</v>
      </c>
      <c r="N73" s="20">
        <f t="shared" si="10"/>
        <v>0</v>
      </c>
      <c r="O73" s="237">
        <f t="shared" si="11"/>
        <v>0</v>
      </c>
      <c r="P73" s="16">
        <f t="shared" si="12"/>
        <v>310100</v>
      </c>
      <c r="Q73" s="16">
        <f t="shared" si="13"/>
        <v>120100</v>
      </c>
      <c r="R73" s="237">
        <f t="shared" si="14"/>
        <v>0</v>
      </c>
    </row>
    <row r="74" spans="2:18">
      <c r="B74" s="15">
        <f t="shared" si="8"/>
        <v>69</v>
      </c>
      <c r="C74" s="16">
        <f>IFERROR(VLOOKUP(DATA!G72,DATA!$G$4:$J$2149,1,FALSE),"")</f>
        <v>3048</v>
      </c>
      <c r="D74" s="16" t="str">
        <f>+IFERROR(VLOOKUP(C74,DATA!$G$4:$H$2000,2,FALSE),"")</f>
        <v xml:space="preserve">МАК ХХК </v>
      </c>
      <c r="E74" s="16">
        <v>120100</v>
      </c>
      <c r="F74" s="237">
        <v>0</v>
      </c>
      <c r="G74" s="237">
        <f>+SUMIFS(JURNAL!G:G,JURNAL!E:E,E74,JURNAL!L:L,$C74,JURNAL!C:C,"&gt;="&amp;$M$3,JURNAL!C:C,"&lt;="&amp;$N$3)</f>
        <v>0</v>
      </c>
      <c r="H74" s="19">
        <f>+SUMIFS(JURNAL!H:H,JURNAL!E:E,E74,JURNAL!L:L,$C74,JURNAL!C:C,"&gt;="&amp;$M$3,JURNAL!C:C,"&lt;="&amp;$N$3)</f>
        <v>0</v>
      </c>
      <c r="I74" s="237">
        <f t="shared" si="9"/>
        <v>0</v>
      </c>
      <c r="J74" s="16">
        <v>310100</v>
      </c>
      <c r="K74" s="237">
        <v>0</v>
      </c>
      <c r="L74" s="237">
        <f>+SUMIFS(JURNAL!G:G,JURNAL!E:E,J74,JURNAL!L:L,$C74,JURNAL!C:C,"&gt;="&amp;$M$3,JURNAL!C:C,"&lt;="&amp;$N$3)</f>
        <v>0</v>
      </c>
      <c r="M74" s="19">
        <f>+SUMIFS(JURNAL!H:H,JURNAL!E:E,J74,JURNAL!L:L,$C74,JURNAL!C:C,"&gt;="&amp;$M$3,JURNAL!C:C,"&lt;="&amp;$N$3)</f>
        <v>0</v>
      </c>
      <c r="N74" s="20">
        <f t="shared" si="10"/>
        <v>0</v>
      </c>
      <c r="O74" s="237">
        <f t="shared" si="11"/>
        <v>0</v>
      </c>
      <c r="P74" s="16">
        <f t="shared" si="12"/>
        <v>310100</v>
      </c>
      <c r="Q74" s="16">
        <f t="shared" si="13"/>
        <v>120100</v>
      </c>
      <c r="R74" s="237">
        <f t="shared" si="14"/>
        <v>0</v>
      </c>
    </row>
    <row r="75" spans="2:18">
      <c r="B75" s="15">
        <f t="shared" si="8"/>
        <v>70</v>
      </c>
      <c r="C75" s="16">
        <f>IFERROR(VLOOKUP(DATA!G73,DATA!$G$4:$J$2149,1,FALSE),"")</f>
        <v>3049</v>
      </c>
      <c r="D75" s="16" t="str">
        <f>+IFERROR(VLOOKUP(C75,DATA!$G$4:$H$2000,2,FALSE),"")</f>
        <v xml:space="preserve">НОЁН ХХК </v>
      </c>
      <c r="E75" s="16">
        <v>120100</v>
      </c>
      <c r="F75" s="237">
        <v>0</v>
      </c>
      <c r="G75" s="237">
        <f>+SUMIFS(JURNAL!G:G,JURNAL!E:E,E75,JURNAL!L:L,$C75,JURNAL!C:C,"&gt;="&amp;$M$3,JURNAL!C:C,"&lt;="&amp;$N$3)</f>
        <v>0</v>
      </c>
      <c r="H75" s="19">
        <f>+SUMIFS(JURNAL!H:H,JURNAL!E:E,E75,JURNAL!L:L,$C75,JURNAL!C:C,"&gt;="&amp;$M$3,JURNAL!C:C,"&lt;="&amp;$N$3)</f>
        <v>0</v>
      </c>
      <c r="I75" s="237">
        <f t="shared" si="9"/>
        <v>0</v>
      </c>
      <c r="J75" s="16">
        <v>310100</v>
      </c>
      <c r="K75" s="237">
        <v>0</v>
      </c>
      <c r="L75" s="237">
        <f>+SUMIFS(JURNAL!G:G,JURNAL!E:E,J75,JURNAL!L:L,$C75,JURNAL!C:C,"&gt;="&amp;$M$3,JURNAL!C:C,"&lt;="&amp;$N$3)</f>
        <v>0</v>
      </c>
      <c r="M75" s="19">
        <f>+SUMIFS(JURNAL!H:H,JURNAL!E:E,J75,JURNAL!L:L,$C75,JURNAL!C:C,"&gt;="&amp;$M$3,JURNAL!C:C,"&lt;="&amp;$N$3)</f>
        <v>0</v>
      </c>
      <c r="N75" s="20">
        <f t="shared" si="10"/>
        <v>0</v>
      </c>
      <c r="O75" s="237">
        <f t="shared" si="11"/>
        <v>0</v>
      </c>
      <c r="P75" s="16">
        <f t="shared" si="12"/>
        <v>310100</v>
      </c>
      <c r="Q75" s="16">
        <f t="shared" si="13"/>
        <v>120100</v>
      </c>
      <c r="R75" s="237">
        <f t="shared" si="14"/>
        <v>0</v>
      </c>
    </row>
    <row r="76" spans="2:18">
      <c r="B76" s="15">
        <f t="shared" si="8"/>
        <v>71</v>
      </c>
      <c r="C76" s="16">
        <f>IFERROR(VLOOKUP(DATA!G74,DATA!$G$4:$J$2149,1,FALSE),"")</f>
        <v>3050</v>
      </c>
      <c r="D76" s="16" t="str">
        <f>+IFERROR(VLOOKUP(C76,DATA!$G$4:$H$2000,2,FALSE),"")</f>
        <v>БАЯЛАГ ОД ХХК</v>
      </c>
      <c r="E76" s="16">
        <v>120100</v>
      </c>
      <c r="F76" s="237">
        <v>0</v>
      </c>
      <c r="G76" s="237">
        <f>+SUMIFS(JURNAL!G:G,JURNAL!E:E,E76,JURNAL!L:L,$C76,JURNAL!C:C,"&gt;="&amp;$M$3,JURNAL!C:C,"&lt;="&amp;$N$3)</f>
        <v>0</v>
      </c>
      <c r="H76" s="19">
        <f>+SUMIFS(JURNAL!H:H,JURNAL!E:E,E76,JURNAL!L:L,$C76,JURNAL!C:C,"&gt;="&amp;$M$3,JURNAL!C:C,"&lt;="&amp;$N$3)</f>
        <v>0</v>
      </c>
      <c r="I76" s="237">
        <f t="shared" si="9"/>
        <v>0</v>
      </c>
      <c r="J76" s="16">
        <v>310100</v>
      </c>
      <c r="K76" s="237">
        <v>0</v>
      </c>
      <c r="L76" s="237">
        <f>+SUMIFS(JURNAL!G:G,JURNAL!E:E,J76,JURNAL!L:L,$C76,JURNAL!C:C,"&gt;="&amp;$M$3,JURNAL!C:C,"&lt;="&amp;$N$3)</f>
        <v>0</v>
      </c>
      <c r="M76" s="19">
        <f>+SUMIFS(JURNAL!H:H,JURNAL!E:E,J76,JURNAL!L:L,$C76,JURNAL!C:C,"&gt;="&amp;$M$3,JURNAL!C:C,"&lt;="&amp;$N$3)</f>
        <v>0</v>
      </c>
      <c r="N76" s="20">
        <f t="shared" si="10"/>
        <v>0</v>
      </c>
      <c r="O76" s="237">
        <f t="shared" si="11"/>
        <v>0</v>
      </c>
      <c r="P76" s="16">
        <f t="shared" si="12"/>
        <v>310100</v>
      </c>
      <c r="Q76" s="16">
        <f t="shared" si="13"/>
        <v>120100</v>
      </c>
      <c r="R76" s="237">
        <f t="shared" si="14"/>
        <v>0</v>
      </c>
    </row>
    <row r="77" spans="2:18">
      <c r="B77" s="15">
        <f t="shared" si="8"/>
        <v>72</v>
      </c>
      <c r="C77" s="16">
        <f>IFERROR(VLOOKUP(DATA!G75,DATA!$G$4:$J$2149,1,FALSE),"")</f>
        <v>3051</v>
      </c>
      <c r="D77" s="16" t="str">
        <f>+IFERROR(VLOOKUP(C77,DATA!$G$4:$H$2000,2,FALSE),"")</f>
        <v xml:space="preserve">НОМАДС ТУР ХХК </v>
      </c>
      <c r="E77" s="16">
        <v>120100</v>
      </c>
      <c r="F77" s="237">
        <v>0</v>
      </c>
      <c r="G77" s="237">
        <f>+SUMIFS(JURNAL!G:G,JURNAL!E:E,E77,JURNAL!L:L,$C77,JURNAL!C:C,"&gt;="&amp;$M$3,JURNAL!C:C,"&lt;="&amp;$N$3)</f>
        <v>0</v>
      </c>
      <c r="H77" s="19">
        <f>+SUMIFS(JURNAL!H:H,JURNAL!E:E,E77,JURNAL!L:L,$C77,JURNAL!C:C,"&gt;="&amp;$M$3,JURNAL!C:C,"&lt;="&amp;$N$3)</f>
        <v>0</v>
      </c>
      <c r="I77" s="237">
        <f t="shared" si="9"/>
        <v>0</v>
      </c>
      <c r="J77" s="16">
        <v>310100</v>
      </c>
      <c r="K77" s="237">
        <v>0</v>
      </c>
      <c r="L77" s="237">
        <f>+SUMIFS(JURNAL!G:G,JURNAL!E:E,J77,JURNAL!L:L,$C77,JURNAL!C:C,"&gt;="&amp;$M$3,JURNAL!C:C,"&lt;="&amp;$N$3)</f>
        <v>0</v>
      </c>
      <c r="M77" s="19">
        <f>+SUMIFS(JURNAL!H:H,JURNAL!E:E,J77,JURNAL!L:L,$C77,JURNAL!C:C,"&gt;="&amp;$M$3,JURNAL!C:C,"&lt;="&amp;$N$3)</f>
        <v>0</v>
      </c>
      <c r="N77" s="20">
        <f t="shared" si="10"/>
        <v>0</v>
      </c>
      <c r="O77" s="237">
        <f t="shared" si="11"/>
        <v>0</v>
      </c>
      <c r="P77" s="16">
        <f t="shared" si="12"/>
        <v>310100</v>
      </c>
      <c r="Q77" s="16">
        <f t="shared" si="13"/>
        <v>120100</v>
      </c>
      <c r="R77" s="237">
        <f t="shared" si="14"/>
        <v>0</v>
      </c>
    </row>
    <row r="78" spans="2:18">
      <c r="B78" s="15">
        <f t="shared" si="8"/>
        <v>73</v>
      </c>
      <c r="C78" s="16">
        <f>IFERROR(VLOOKUP(DATA!G76,DATA!$G$4:$J$2149,1,FALSE),"")</f>
        <v>3052</v>
      </c>
      <c r="D78" s="16" t="str">
        <f>+IFERROR(VLOOKUP(C78,DATA!$G$4:$H$2000,2,FALSE),"")</f>
        <v>ШИНЭ ОРОН СУУЦ ХХК</v>
      </c>
      <c r="E78" s="16">
        <v>120100</v>
      </c>
      <c r="F78" s="237">
        <v>0</v>
      </c>
      <c r="G78" s="237">
        <f>+SUMIFS(JURNAL!G:G,JURNAL!E:E,E78,JURNAL!L:L,$C78,JURNAL!C:C,"&gt;="&amp;$M$3,JURNAL!C:C,"&lt;="&amp;$N$3)</f>
        <v>0</v>
      </c>
      <c r="H78" s="19">
        <f>+SUMIFS(JURNAL!H:H,JURNAL!E:E,E78,JURNAL!L:L,$C78,JURNAL!C:C,"&gt;="&amp;$M$3,JURNAL!C:C,"&lt;="&amp;$N$3)</f>
        <v>0</v>
      </c>
      <c r="I78" s="237">
        <f t="shared" si="9"/>
        <v>0</v>
      </c>
      <c r="J78" s="16">
        <v>310100</v>
      </c>
      <c r="K78" s="237">
        <v>0</v>
      </c>
      <c r="L78" s="237">
        <f>+SUMIFS(JURNAL!G:G,JURNAL!E:E,J78,JURNAL!L:L,$C78,JURNAL!C:C,"&gt;="&amp;$M$3,JURNAL!C:C,"&lt;="&amp;$N$3)</f>
        <v>0</v>
      </c>
      <c r="M78" s="19">
        <f>+SUMIFS(JURNAL!H:H,JURNAL!E:E,J78,JURNAL!L:L,$C78,JURNAL!C:C,"&gt;="&amp;$M$3,JURNAL!C:C,"&lt;="&amp;$N$3)</f>
        <v>0</v>
      </c>
      <c r="N78" s="20">
        <f t="shared" si="10"/>
        <v>0</v>
      </c>
      <c r="O78" s="237">
        <f t="shared" si="11"/>
        <v>0</v>
      </c>
      <c r="P78" s="16">
        <f t="shared" si="12"/>
        <v>310100</v>
      </c>
      <c r="Q78" s="16">
        <f t="shared" si="13"/>
        <v>120100</v>
      </c>
      <c r="R78" s="237">
        <f t="shared" si="14"/>
        <v>0</v>
      </c>
    </row>
    <row r="79" spans="2:18">
      <c r="B79" s="15">
        <f t="shared" si="8"/>
        <v>74</v>
      </c>
      <c r="C79" s="16">
        <f>IFERROR(VLOOKUP(DATA!G77,DATA!$G$4:$J$2149,1,FALSE),"")</f>
        <v>3053</v>
      </c>
      <c r="D79" s="16" t="str">
        <f>+IFERROR(VLOOKUP(C79,DATA!$G$4:$H$2000,2,FALSE),"")</f>
        <v>ЧИНГИС ТРЕЙД ХХК</v>
      </c>
      <c r="E79" s="16">
        <v>120100</v>
      </c>
      <c r="F79" s="237">
        <v>0</v>
      </c>
      <c r="G79" s="237">
        <f>+SUMIFS(JURNAL!G:G,JURNAL!E:E,E79,JURNAL!L:L,$C79,JURNAL!C:C,"&gt;="&amp;$M$3,JURNAL!C:C,"&lt;="&amp;$N$3)</f>
        <v>0</v>
      </c>
      <c r="H79" s="19">
        <f>+SUMIFS(JURNAL!H:H,JURNAL!E:E,E79,JURNAL!L:L,$C79,JURNAL!C:C,"&gt;="&amp;$M$3,JURNAL!C:C,"&lt;="&amp;$N$3)</f>
        <v>0</v>
      </c>
      <c r="I79" s="237">
        <f t="shared" si="9"/>
        <v>0</v>
      </c>
      <c r="J79" s="16">
        <v>310100</v>
      </c>
      <c r="K79" s="237">
        <v>0</v>
      </c>
      <c r="L79" s="237">
        <f>+SUMIFS(JURNAL!G:G,JURNAL!E:E,J79,JURNAL!L:L,$C79,JURNAL!C:C,"&gt;="&amp;$M$3,JURNAL!C:C,"&lt;="&amp;$N$3)</f>
        <v>0</v>
      </c>
      <c r="M79" s="19">
        <f>+SUMIFS(JURNAL!H:H,JURNAL!E:E,J79,JURNAL!L:L,$C79,JURNAL!C:C,"&gt;="&amp;$M$3,JURNAL!C:C,"&lt;="&amp;$N$3)</f>
        <v>0</v>
      </c>
      <c r="N79" s="20">
        <f t="shared" si="10"/>
        <v>0</v>
      </c>
      <c r="O79" s="237">
        <f t="shared" si="11"/>
        <v>0</v>
      </c>
      <c r="P79" s="16">
        <f t="shared" si="12"/>
        <v>310100</v>
      </c>
      <c r="Q79" s="16">
        <f t="shared" si="13"/>
        <v>120100</v>
      </c>
      <c r="R79" s="237">
        <f t="shared" si="14"/>
        <v>0</v>
      </c>
    </row>
    <row r="80" spans="2:18">
      <c r="B80" s="15">
        <f t="shared" si="8"/>
        <v>75</v>
      </c>
      <c r="C80" s="16">
        <f>IFERROR(VLOOKUP(DATA!G78,DATA!$G$4:$J$2149,1,FALSE),"")</f>
        <v>3054</v>
      </c>
      <c r="D80" s="16" t="str">
        <f>+IFERROR(VLOOKUP(C80,DATA!$G$4:$H$2000,2,FALSE),"")</f>
        <v>3 МЕН ХХК</v>
      </c>
      <c r="E80" s="16">
        <v>120100</v>
      </c>
      <c r="F80" s="237">
        <v>0</v>
      </c>
      <c r="G80" s="237">
        <f>+SUMIFS(JURNAL!G:G,JURNAL!E:E,E80,JURNAL!L:L,$C80,JURNAL!C:C,"&gt;="&amp;$M$3,JURNAL!C:C,"&lt;="&amp;$N$3)</f>
        <v>0</v>
      </c>
      <c r="H80" s="19">
        <f>+SUMIFS(JURNAL!H:H,JURNAL!E:E,E80,JURNAL!L:L,$C80,JURNAL!C:C,"&gt;="&amp;$M$3,JURNAL!C:C,"&lt;="&amp;$N$3)</f>
        <v>0</v>
      </c>
      <c r="I80" s="237">
        <f t="shared" si="9"/>
        <v>0</v>
      </c>
      <c r="J80" s="16">
        <v>310100</v>
      </c>
      <c r="K80" s="237">
        <v>0</v>
      </c>
      <c r="L80" s="237">
        <f>+SUMIFS(JURNAL!G:G,JURNAL!E:E,J80,JURNAL!L:L,$C80,JURNAL!C:C,"&gt;="&amp;$M$3,JURNAL!C:C,"&lt;="&amp;$N$3)</f>
        <v>0</v>
      </c>
      <c r="M80" s="19">
        <f>+SUMIFS(JURNAL!H:H,JURNAL!E:E,J80,JURNAL!L:L,$C80,JURNAL!C:C,"&gt;="&amp;$M$3,JURNAL!C:C,"&lt;="&amp;$N$3)</f>
        <v>0</v>
      </c>
      <c r="N80" s="20">
        <f t="shared" si="10"/>
        <v>0</v>
      </c>
      <c r="O80" s="237">
        <f t="shared" si="11"/>
        <v>0</v>
      </c>
      <c r="P80" s="16">
        <f t="shared" si="12"/>
        <v>310100</v>
      </c>
      <c r="Q80" s="16">
        <f t="shared" si="13"/>
        <v>120100</v>
      </c>
      <c r="R80" s="237">
        <f t="shared" si="14"/>
        <v>0</v>
      </c>
    </row>
    <row r="81" spans="2:18">
      <c r="B81" s="15">
        <f t="shared" si="8"/>
        <v>76</v>
      </c>
      <c r="C81" s="16">
        <f>IFERROR(VLOOKUP(DATA!G79,DATA!$G$4:$J$2149,1,FALSE),"")</f>
        <v>3055</v>
      </c>
      <c r="D81" s="16" t="str">
        <f>+IFERROR(VLOOKUP(C81,DATA!$G$4:$H$2000,2,FALSE),"")</f>
        <v xml:space="preserve">МЧБС ХХК </v>
      </c>
      <c r="E81" s="16">
        <v>120100</v>
      </c>
      <c r="F81" s="237">
        <v>0</v>
      </c>
      <c r="G81" s="237">
        <f>+SUMIFS(JURNAL!G:G,JURNAL!E:E,E81,JURNAL!L:L,$C81,JURNAL!C:C,"&gt;="&amp;$M$3,JURNAL!C:C,"&lt;="&amp;$N$3)</f>
        <v>0</v>
      </c>
      <c r="H81" s="19">
        <f>+SUMIFS(JURNAL!H:H,JURNAL!E:E,E81,JURNAL!L:L,$C81,JURNAL!C:C,"&gt;="&amp;$M$3,JURNAL!C:C,"&lt;="&amp;$N$3)</f>
        <v>0</v>
      </c>
      <c r="I81" s="237">
        <f t="shared" si="9"/>
        <v>0</v>
      </c>
      <c r="J81" s="16">
        <v>310100</v>
      </c>
      <c r="K81" s="237">
        <v>0</v>
      </c>
      <c r="L81" s="237">
        <f>+SUMIFS(JURNAL!G:G,JURNAL!E:E,J81,JURNAL!L:L,$C81,JURNAL!C:C,"&gt;="&amp;$M$3,JURNAL!C:C,"&lt;="&amp;$N$3)</f>
        <v>0</v>
      </c>
      <c r="M81" s="19">
        <f>+SUMIFS(JURNAL!H:H,JURNAL!E:E,J81,JURNAL!L:L,$C81,JURNAL!C:C,"&gt;="&amp;$M$3,JURNAL!C:C,"&lt;="&amp;$N$3)</f>
        <v>0</v>
      </c>
      <c r="N81" s="20">
        <f t="shared" si="10"/>
        <v>0</v>
      </c>
      <c r="O81" s="237">
        <f t="shared" si="11"/>
        <v>0</v>
      </c>
      <c r="P81" s="16">
        <f t="shared" si="12"/>
        <v>310100</v>
      </c>
      <c r="Q81" s="16">
        <f t="shared" si="13"/>
        <v>120100</v>
      </c>
      <c r="R81" s="237">
        <f t="shared" si="14"/>
        <v>0</v>
      </c>
    </row>
    <row r="82" spans="2:18">
      <c r="B82" s="15">
        <f t="shared" si="8"/>
        <v>77</v>
      </c>
      <c r="C82" s="16">
        <f>IFERROR(VLOOKUP(DATA!G80,DATA!$G$4:$J$2149,1,FALSE),"")</f>
        <v>3056</v>
      </c>
      <c r="D82" s="16" t="str">
        <f>+IFERROR(VLOOKUP(C82,DATA!$G$4:$H$2000,2,FALSE),"")</f>
        <v xml:space="preserve">САНТ-АСАР ХХК </v>
      </c>
      <c r="E82" s="16">
        <v>120100</v>
      </c>
      <c r="F82" s="237">
        <v>0</v>
      </c>
      <c r="G82" s="237">
        <f>+SUMIFS(JURNAL!G:G,JURNAL!E:E,E82,JURNAL!L:L,$C82,JURNAL!C:C,"&gt;="&amp;$M$3,JURNAL!C:C,"&lt;="&amp;$N$3)</f>
        <v>0</v>
      </c>
      <c r="H82" s="19">
        <f>+SUMIFS(JURNAL!H:H,JURNAL!E:E,E82,JURNAL!L:L,$C82,JURNAL!C:C,"&gt;="&amp;$M$3,JURNAL!C:C,"&lt;="&amp;$N$3)</f>
        <v>0</v>
      </c>
      <c r="I82" s="237">
        <f t="shared" si="9"/>
        <v>0</v>
      </c>
      <c r="J82" s="16">
        <v>310100</v>
      </c>
      <c r="K82" s="237">
        <v>0</v>
      </c>
      <c r="L82" s="237">
        <f>+SUMIFS(JURNAL!G:G,JURNAL!E:E,J82,JURNAL!L:L,$C82,JURNAL!C:C,"&gt;="&amp;$M$3,JURNAL!C:C,"&lt;="&amp;$N$3)</f>
        <v>0</v>
      </c>
      <c r="M82" s="19">
        <f>+SUMIFS(JURNAL!H:H,JURNAL!E:E,J82,JURNAL!L:L,$C82,JURNAL!C:C,"&gt;="&amp;$M$3,JURNAL!C:C,"&lt;="&amp;$N$3)</f>
        <v>0</v>
      </c>
      <c r="N82" s="20">
        <f t="shared" si="10"/>
        <v>0</v>
      </c>
      <c r="O82" s="237">
        <f t="shared" si="11"/>
        <v>0</v>
      </c>
      <c r="P82" s="16">
        <f t="shared" si="12"/>
        <v>310100</v>
      </c>
      <c r="Q82" s="16">
        <f t="shared" si="13"/>
        <v>120100</v>
      </c>
      <c r="R82" s="237">
        <f t="shared" si="14"/>
        <v>0</v>
      </c>
    </row>
    <row r="83" spans="2:18">
      <c r="B83" s="15">
        <f t="shared" si="8"/>
        <v>78</v>
      </c>
      <c r="C83" s="16">
        <f>IFERROR(VLOOKUP(DATA!G81,DATA!$G$4:$J$2149,1,FALSE),"")</f>
        <v>3057</v>
      </c>
      <c r="D83" s="16" t="str">
        <f>+IFERROR(VLOOKUP(C83,DATA!$G$4:$H$2000,2,FALSE),"")</f>
        <v>ЕНТҮМ ТРЭЙВЭЛ ХХК</v>
      </c>
      <c r="E83" s="16">
        <v>120100</v>
      </c>
      <c r="F83" s="237">
        <v>0</v>
      </c>
      <c r="G83" s="237">
        <f>+SUMIFS(JURNAL!G:G,JURNAL!E:E,E83,JURNAL!L:L,$C83,JURNAL!C:C,"&gt;="&amp;$M$3,JURNAL!C:C,"&lt;="&amp;$N$3)</f>
        <v>0</v>
      </c>
      <c r="H83" s="19">
        <f>+SUMIFS(JURNAL!H:H,JURNAL!E:E,E83,JURNAL!L:L,$C83,JURNAL!C:C,"&gt;="&amp;$M$3,JURNAL!C:C,"&lt;="&amp;$N$3)</f>
        <v>0</v>
      </c>
      <c r="I83" s="237">
        <f t="shared" si="9"/>
        <v>0</v>
      </c>
      <c r="J83" s="16">
        <v>310100</v>
      </c>
      <c r="K83" s="237">
        <v>0</v>
      </c>
      <c r="L83" s="237">
        <f>+SUMIFS(JURNAL!G:G,JURNAL!E:E,J83,JURNAL!L:L,$C83,JURNAL!C:C,"&gt;="&amp;$M$3,JURNAL!C:C,"&lt;="&amp;$N$3)</f>
        <v>0</v>
      </c>
      <c r="M83" s="19">
        <f>+SUMIFS(JURNAL!H:H,JURNAL!E:E,J83,JURNAL!L:L,$C83,JURNAL!C:C,"&gt;="&amp;$M$3,JURNAL!C:C,"&lt;="&amp;$N$3)</f>
        <v>0</v>
      </c>
      <c r="N83" s="20">
        <f t="shared" si="10"/>
        <v>0</v>
      </c>
      <c r="O83" s="237">
        <f t="shared" si="11"/>
        <v>0</v>
      </c>
      <c r="P83" s="16">
        <f t="shared" si="12"/>
        <v>310100</v>
      </c>
      <c r="Q83" s="16">
        <f t="shared" si="13"/>
        <v>120100</v>
      </c>
      <c r="R83" s="237">
        <f t="shared" si="14"/>
        <v>0</v>
      </c>
    </row>
    <row r="84" spans="2:18">
      <c r="B84" s="15">
        <f t="shared" si="8"/>
        <v>79</v>
      </c>
      <c r="C84" s="16">
        <f>IFERROR(VLOOKUP(DATA!G82,DATA!$G$4:$J$2149,1,FALSE),"")</f>
        <v>3058</v>
      </c>
      <c r="D84" s="16" t="str">
        <f>+IFERROR(VLOOKUP(C84,DATA!$G$4:$H$2000,2,FALSE),"")</f>
        <v>БЕСТ СТАЙЛ ХХК</v>
      </c>
      <c r="E84" s="16">
        <v>120100</v>
      </c>
      <c r="F84" s="237">
        <v>0</v>
      </c>
      <c r="G84" s="237">
        <f>+SUMIFS(JURNAL!G:G,JURNAL!E:E,E84,JURNAL!L:L,$C84,JURNAL!C:C,"&gt;="&amp;$M$3,JURNAL!C:C,"&lt;="&amp;$N$3)</f>
        <v>0</v>
      </c>
      <c r="H84" s="19">
        <f>+SUMIFS(JURNAL!H:H,JURNAL!E:E,E84,JURNAL!L:L,$C84,JURNAL!C:C,"&gt;="&amp;$M$3,JURNAL!C:C,"&lt;="&amp;$N$3)</f>
        <v>0</v>
      </c>
      <c r="I84" s="237">
        <f t="shared" si="9"/>
        <v>0</v>
      </c>
      <c r="J84" s="16">
        <v>310100</v>
      </c>
      <c r="K84" s="237">
        <v>0</v>
      </c>
      <c r="L84" s="237">
        <f>+SUMIFS(JURNAL!G:G,JURNAL!E:E,J84,JURNAL!L:L,$C84,JURNAL!C:C,"&gt;="&amp;$M$3,JURNAL!C:C,"&lt;="&amp;$N$3)</f>
        <v>0</v>
      </c>
      <c r="M84" s="19">
        <f>+SUMIFS(JURNAL!H:H,JURNAL!E:E,J84,JURNAL!L:L,$C84,JURNAL!C:C,"&gt;="&amp;$M$3,JURNAL!C:C,"&lt;="&amp;$N$3)</f>
        <v>0</v>
      </c>
      <c r="N84" s="20">
        <f t="shared" si="10"/>
        <v>0</v>
      </c>
      <c r="O84" s="237">
        <f t="shared" si="11"/>
        <v>0</v>
      </c>
      <c r="P84" s="16">
        <f t="shared" si="12"/>
        <v>310100</v>
      </c>
      <c r="Q84" s="16">
        <f t="shared" si="13"/>
        <v>120100</v>
      </c>
      <c r="R84" s="237">
        <f t="shared" si="14"/>
        <v>0</v>
      </c>
    </row>
    <row r="85" spans="2:18">
      <c r="B85" s="15">
        <f t="shared" si="8"/>
        <v>80</v>
      </c>
      <c r="C85" s="16">
        <f>IFERROR(VLOOKUP(DATA!G83,DATA!$G$4:$J$2149,1,FALSE),"")</f>
        <v>3059</v>
      </c>
      <c r="D85" s="16" t="str">
        <f>+IFERROR(VLOOKUP(C85,DATA!$G$4:$H$2000,2,FALSE),"")</f>
        <v>ЦАМХАГТ АСАР КОНСТРАКШН ХХК</v>
      </c>
      <c r="E85" s="16">
        <v>120100</v>
      </c>
      <c r="F85" s="237">
        <v>0</v>
      </c>
      <c r="G85" s="237">
        <f>+SUMIFS(JURNAL!G:G,JURNAL!E:E,E85,JURNAL!L:L,$C85,JURNAL!C:C,"&gt;="&amp;$M$3,JURNAL!C:C,"&lt;="&amp;$N$3)</f>
        <v>0</v>
      </c>
      <c r="H85" s="19">
        <f>+SUMIFS(JURNAL!H:H,JURNAL!E:E,E85,JURNAL!L:L,$C85,JURNAL!C:C,"&gt;="&amp;$M$3,JURNAL!C:C,"&lt;="&amp;$N$3)</f>
        <v>0</v>
      </c>
      <c r="I85" s="237">
        <f t="shared" si="9"/>
        <v>0</v>
      </c>
      <c r="J85" s="16">
        <v>310100</v>
      </c>
      <c r="K85" s="237">
        <v>0</v>
      </c>
      <c r="L85" s="237">
        <f>+SUMIFS(JURNAL!G:G,JURNAL!E:E,J85,JURNAL!L:L,$C85,JURNAL!C:C,"&gt;="&amp;$M$3,JURNAL!C:C,"&lt;="&amp;$N$3)</f>
        <v>0</v>
      </c>
      <c r="M85" s="19">
        <f>+SUMIFS(JURNAL!H:H,JURNAL!E:E,J85,JURNAL!L:L,$C85,JURNAL!C:C,"&gt;="&amp;$M$3,JURNAL!C:C,"&lt;="&amp;$N$3)</f>
        <v>0</v>
      </c>
      <c r="N85" s="20">
        <f t="shared" si="10"/>
        <v>0</v>
      </c>
      <c r="O85" s="237">
        <f t="shared" si="11"/>
        <v>0</v>
      </c>
      <c r="P85" s="16">
        <f t="shared" si="12"/>
        <v>310100</v>
      </c>
      <c r="Q85" s="16">
        <f t="shared" si="13"/>
        <v>120100</v>
      </c>
      <c r="R85" s="237">
        <f t="shared" si="14"/>
        <v>0</v>
      </c>
    </row>
    <row r="86" spans="2:18">
      <c r="B86" s="15">
        <f t="shared" si="8"/>
        <v>81</v>
      </c>
      <c r="C86" s="16">
        <f>IFERROR(VLOOKUP(DATA!G84,DATA!$G$4:$J$2149,1,FALSE),"")</f>
        <v>3060</v>
      </c>
      <c r="D86" s="16" t="str">
        <f>+IFERROR(VLOOKUP(C86,DATA!$G$4:$H$2000,2,FALSE),"")</f>
        <v>САУНД ОФ МОНГОЛИЯ ХХК</v>
      </c>
      <c r="E86" s="16">
        <v>120100</v>
      </c>
      <c r="F86" s="237">
        <v>0</v>
      </c>
      <c r="G86" s="237">
        <f>+SUMIFS(JURNAL!G:G,JURNAL!E:E,E86,JURNAL!L:L,$C86,JURNAL!C:C,"&gt;="&amp;$M$3,JURNAL!C:C,"&lt;="&amp;$N$3)</f>
        <v>0</v>
      </c>
      <c r="H86" s="19">
        <f>+SUMIFS(JURNAL!H:H,JURNAL!E:E,E86,JURNAL!L:L,$C86,JURNAL!C:C,"&gt;="&amp;$M$3,JURNAL!C:C,"&lt;="&amp;$N$3)</f>
        <v>0</v>
      </c>
      <c r="I86" s="237">
        <f t="shared" si="9"/>
        <v>0</v>
      </c>
      <c r="J86" s="16">
        <v>310100</v>
      </c>
      <c r="K86" s="237">
        <v>0</v>
      </c>
      <c r="L86" s="237">
        <f>+SUMIFS(JURNAL!G:G,JURNAL!E:E,J86,JURNAL!L:L,$C86,JURNAL!C:C,"&gt;="&amp;$M$3,JURNAL!C:C,"&lt;="&amp;$N$3)</f>
        <v>0</v>
      </c>
      <c r="M86" s="19">
        <f>+SUMIFS(JURNAL!H:H,JURNAL!E:E,J86,JURNAL!L:L,$C86,JURNAL!C:C,"&gt;="&amp;$M$3,JURNAL!C:C,"&lt;="&amp;$N$3)</f>
        <v>0</v>
      </c>
      <c r="N86" s="20">
        <f t="shared" si="10"/>
        <v>0</v>
      </c>
      <c r="O86" s="237">
        <f t="shared" si="11"/>
        <v>0</v>
      </c>
      <c r="P86" s="16">
        <f t="shared" si="12"/>
        <v>310100</v>
      </c>
      <c r="Q86" s="16">
        <f t="shared" si="13"/>
        <v>120100</v>
      </c>
      <c r="R86" s="237">
        <f t="shared" si="14"/>
        <v>0</v>
      </c>
    </row>
    <row r="87" spans="2:18">
      <c r="B87" s="15">
        <f t="shared" si="8"/>
        <v>82</v>
      </c>
      <c r="C87" s="16">
        <f>IFERROR(VLOOKUP(DATA!G85,DATA!$G$4:$J$2149,1,FALSE),"")</f>
        <v>3061</v>
      </c>
      <c r="D87" s="16" t="str">
        <f>+IFERROR(VLOOKUP(C87,DATA!$G$4:$H$2000,2,FALSE),"")</f>
        <v>СТИМО ХХК</v>
      </c>
      <c r="E87" s="16">
        <v>120100</v>
      </c>
      <c r="F87" s="237">
        <v>0</v>
      </c>
      <c r="G87" s="237">
        <f>+SUMIFS(JURNAL!G:G,JURNAL!E:E,E87,JURNAL!L:L,$C87,JURNAL!C:C,"&gt;="&amp;$M$3,JURNAL!C:C,"&lt;="&amp;$N$3)</f>
        <v>0</v>
      </c>
      <c r="H87" s="19">
        <f>+SUMIFS(JURNAL!H:H,JURNAL!E:E,E87,JURNAL!L:L,$C87,JURNAL!C:C,"&gt;="&amp;$M$3,JURNAL!C:C,"&lt;="&amp;$N$3)</f>
        <v>0</v>
      </c>
      <c r="I87" s="237">
        <f t="shared" si="9"/>
        <v>0</v>
      </c>
      <c r="J87" s="16">
        <v>310100</v>
      </c>
      <c r="K87" s="237">
        <v>0</v>
      </c>
      <c r="L87" s="237">
        <f>+SUMIFS(JURNAL!G:G,JURNAL!E:E,J87,JURNAL!L:L,$C87,JURNAL!C:C,"&gt;="&amp;$M$3,JURNAL!C:C,"&lt;="&amp;$N$3)</f>
        <v>0</v>
      </c>
      <c r="M87" s="19">
        <f>+SUMIFS(JURNAL!H:H,JURNAL!E:E,J87,JURNAL!L:L,$C87,JURNAL!C:C,"&gt;="&amp;$M$3,JURNAL!C:C,"&lt;="&amp;$N$3)</f>
        <v>0</v>
      </c>
      <c r="N87" s="20">
        <f t="shared" si="10"/>
        <v>0</v>
      </c>
      <c r="O87" s="237">
        <f t="shared" si="11"/>
        <v>0</v>
      </c>
      <c r="P87" s="16">
        <f t="shared" si="12"/>
        <v>310100</v>
      </c>
      <c r="Q87" s="16">
        <f t="shared" si="13"/>
        <v>120100</v>
      </c>
      <c r="R87" s="237">
        <f t="shared" si="14"/>
        <v>0</v>
      </c>
    </row>
    <row r="88" spans="2:18">
      <c r="B88" s="15">
        <f t="shared" si="8"/>
        <v>83</v>
      </c>
      <c r="C88" s="16">
        <f>IFERROR(VLOOKUP(DATA!G86,DATA!$G$4:$J$2149,1,FALSE),"")</f>
        <v>3062</v>
      </c>
      <c r="D88" s="16" t="str">
        <f>+IFERROR(VLOOKUP(C88,DATA!$G$4:$H$2000,2,FALSE),"")</f>
        <v>УНДРУУЛАН ФҮҮД ХХК</v>
      </c>
      <c r="E88" s="16">
        <v>120100</v>
      </c>
      <c r="F88" s="237">
        <v>0</v>
      </c>
      <c r="G88" s="237">
        <f>+SUMIFS(JURNAL!G:G,JURNAL!E:E,E88,JURNAL!L:L,$C88,JURNAL!C:C,"&gt;="&amp;$M$3,JURNAL!C:C,"&lt;="&amp;$N$3)</f>
        <v>0</v>
      </c>
      <c r="H88" s="19">
        <f>+SUMIFS(JURNAL!H:H,JURNAL!E:E,E88,JURNAL!L:L,$C88,JURNAL!C:C,"&gt;="&amp;$M$3,JURNAL!C:C,"&lt;="&amp;$N$3)</f>
        <v>0</v>
      </c>
      <c r="I88" s="237">
        <f t="shared" si="9"/>
        <v>0</v>
      </c>
      <c r="J88" s="16">
        <v>310100</v>
      </c>
      <c r="K88" s="237">
        <v>0</v>
      </c>
      <c r="L88" s="237">
        <f>+SUMIFS(JURNAL!G:G,JURNAL!E:E,J88,JURNAL!L:L,$C88,JURNAL!C:C,"&gt;="&amp;$M$3,JURNAL!C:C,"&lt;="&amp;$N$3)</f>
        <v>0</v>
      </c>
      <c r="M88" s="19">
        <f>+SUMIFS(JURNAL!H:H,JURNAL!E:E,J88,JURNAL!L:L,$C88,JURNAL!C:C,"&gt;="&amp;$M$3,JURNAL!C:C,"&lt;="&amp;$N$3)</f>
        <v>0</v>
      </c>
      <c r="N88" s="20">
        <f t="shared" si="10"/>
        <v>0</v>
      </c>
      <c r="O88" s="237">
        <f t="shared" si="11"/>
        <v>0</v>
      </c>
      <c r="P88" s="16">
        <f t="shared" si="12"/>
        <v>310100</v>
      </c>
      <c r="Q88" s="16">
        <f t="shared" si="13"/>
        <v>120100</v>
      </c>
      <c r="R88" s="237">
        <f t="shared" si="14"/>
        <v>0</v>
      </c>
    </row>
    <row r="89" spans="2:18">
      <c r="B89" s="15">
        <f t="shared" si="8"/>
        <v>84</v>
      </c>
      <c r="C89" s="16">
        <f>IFERROR(VLOOKUP(DATA!G87,DATA!$G$4:$J$2149,1,FALSE),"")</f>
        <v>3063</v>
      </c>
      <c r="D89" s="16" t="str">
        <f>+IFERROR(VLOOKUP(C89,DATA!$G$4:$H$2000,2,FALSE),"")</f>
        <v>МЭЖИК ДООР ХХК</v>
      </c>
      <c r="E89" s="16">
        <v>120100</v>
      </c>
      <c r="F89" s="237">
        <v>0</v>
      </c>
      <c r="G89" s="237">
        <f>+SUMIFS(JURNAL!G:G,JURNAL!E:E,E89,JURNAL!L:L,$C89,JURNAL!C:C,"&gt;="&amp;$M$3,JURNAL!C:C,"&lt;="&amp;$N$3)</f>
        <v>0</v>
      </c>
      <c r="H89" s="19">
        <f>+SUMIFS(JURNAL!H:H,JURNAL!E:E,E89,JURNAL!L:L,$C89,JURNAL!C:C,"&gt;="&amp;$M$3,JURNAL!C:C,"&lt;="&amp;$N$3)</f>
        <v>0</v>
      </c>
      <c r="I89" s="237">
        <f t="shared" si="9"/>
        <v>0</v>
      </c>
      <c r="J89" s="16">
        <v>310100</v>
      </c>
      <c r="K89" s="237">
        <v>0</v>
      </c>
      <c r="L89" s="237">
        <f>+SUMIFS(JURNAL!G:G,JURNAL!E:E,J89,JURNAL!L:L,$C89,JURNAL!C:C,"&gt;="&amp;$M$3,JURNAL!C:C,"&lt;="&amp;$N$3)</f>
        <v>0</v>
      </c>
      <c r="M89" s="19">
        <f>+SUMIFS(JURNAL!H:H,JURNAL!E:E,J89,JURNAL!L:L,$C89,JURNAL!C:C,"&gt;="&amp;$M$3,JURNAL!C:C,"&lt;="&amp;$N$3)</f>
        <v>0</v>
      </c>
      <c r="N89" s="20">
        <f t="shared" si="10"/>
        <v>0</v>
      </c>
      <c r="O89" s="237">
        <f t="shared" si="11"/>
        <v>0</v>
      </c>
      <c r="P89" s="16">
        <f t="shared" si="12"/>
        <v>310100</v>
      </c>
      <c r="Q89" s="16">
        <f t="shared" si="13"/>
        <v>120100</v>
      </c>
      <c r="R89" s="237">
        <f t="shared" si="14"/>
        <v>0</v>
      </c>
    </row>
    <row r="90" spans="2:18">
      <c r="B90" s="15">
        <f t="shared" si="8"/>
        <v>85</v>
      </c>
      <c r="C90" s="16">
        <f>IFERROR(VLOOKUP(DATA!G88,DATA!$G$4:$J$2149,1,FALSE),"")</f>
        <v>3064</v>
      </c>
      <c r="D90" s="16" t="str">
        <f>+IFERROR(VLOOKUP(C90,DATA!$G$4:$H$2000,2,FALSE),"")</f>
        <v xml:space="preserve">МИОТ ХХ </v>
      </c>
      <c r="E90" s="16">
        <v>120100</v>
      </c>
      <c r="F90" s="237">
        <v>0</v>
      </c>
      <c r="G90" s="237">
        <f>+SUMIFS(JURNAL!G:G,JURNAL!E:E,E90,JURNAL!L:L,$C90,JURNAL!C:C,"&gt;="&amp;$M$3,JURNAL!C:C,"&lt;="&amp;$N$3)</f>
        <v>0</v>
      </c>
      <c r="H90" s="19">
        <f>+SUMIFS(JURNAL!H:H,JURNAL!E:E,E90,JURNAL!L:L,$C90,JURNAL!C:C,"&gt;="&amp;$M$3,JURNAL!C:C,"&lt;="&amp;$N$3)</f>
        <v>0</v>
      </c>
      <c r="I90" s="237">
        <f t="shared" si="9"/>
        <v>0</v>
      </c>
      <c r="J90" s="16">
        <v>310100</v>
      </c>
      <c r="K90" s="237">
        <v>0</v>
      </c>
      <c r="L90" s="237">
        <f>+SUMIFS(JURNAL!G:G,JURNAL!E:E,J90,JURNAL!L:L,$C90,JURNAL!C:C,"&gt;="&amp;$M$3,JURNAL!C:C,"&lt;="&amp;$N$3)</f>
        <v>0</v>
      </c>
      <c r="M90" s="19">
        <f>+SUMIFS(JURNAL!H:H,JURNAL!E:E,J90,JURNAL!L:L,$C90,JURNAL!C:C,"&gt;="&amp;$M$3,JURNAL!C:C,"&lt;="&amp;$N$3)</f>
        <v>0</v>
      </c>
      <c r="N90" s="20">
        <f t="shared" si="10"/>
        <v>0</v>
      </c>
      <c r="O90" s="237">
        <f t="shared" si="11"/>
        <v>0</v>
      </c>
      <c r="P90" s="16">
        <f t="shared" si="12"/>
        <v>310100</v>
      </c>
      <c r="Q90" s="16">
        <f t="shared" si="13"/>
        <v>120100</v>
      </c>
      <c r="R90" s="237">
        <f t="shared" si="14"/>
        <v>0</v>
      </c>
    </row>
    <row r="91" spans="2:18">
      <c r="B91" s="15">
        <f t="shared" si="8"/>
        <v>86</v>
      </c>
      <c r="C91" s="16">
        <f>IFERROR(VLOOKUP(DATA!G89,DATA!$G$4:$J$2149,1,FALSE),"")</f>
        <v>3065</v>
      </c>
      <c r="D91" s="16" t="str">
        <f>+IFERROR(VLOOKUP(C91,DATA!$G$4:$H$2000,2,FALSE),"")</f>
        <v>СИТИ ПАЛАС ХХК</v>
      </c>
      <c r="E91" s="16">
        <v>120100</v>
      </c>
      <c r="F91" s="237">
        <v>0</v>
      </c>
      <c r="G91" s="237">
        <f>+SUMIFS(JURNAL!G:G,JURNAL!E:E,E91,JURNAL!L:L,$C91,JURNAL!C:C,"&gt;="&amp;$M$3,JURNAL!C:C,"&lt;="&amp;$N$3)</f>
        <v>0</v>
      </c>
      <c r="H91" s="19">
        <f>+SUMIFS(JURNAL!H:H,JURNAL!E:E,E91,JURNAL!L:L,$C91,JURNAL!C:C,"&gt;="&amp;$M$3,JURNAL!C:C,"&lt;="&amp;$N$3)</f>
        <v>0</v>
      </c>
      <c r="I91" s="237">
        <f t="shared" si="9"/>
        <v>0</v>
      </c>
      <c r="J91" s="16">
        <v>310100</v>
      </c>
      <c r="K91" s="237">
        <v>0</v>
      </c>
      <c r="L91" s="237">
        <f>+SUMIFS(JURNAL!G:G,JURNAL!E:E,J91,JURNAL!L:L,$C91,JURNAL!C:C,"&gt;="&amp;$M$3,JURNAL!C:C,"&lt;="&amp;$N$3)</f>
        <v>0</v>
      </c>
      <c r="M91" s="19">
        <f>+SUMIFS(JURNAL!H:H,JURNAL!E:E,J91,JURNAL!L:L,$C91,JURNAL!C:C,"&gt;="&amp;$M$3,JURNAL!C:C,"&lt;="&amp;$N$3)</f>
        <v>0</v>
      </c>
      <c r="N91" s="20">
        <f t="shared" si="10"/>
        <v>0</v>
      </c>
      <c r="O91" s="237">
        <f t="shared" si="11"/>
        <v>0</v>
      </c>
      <c r="P91" s="16">
        <f t="shared" si="12"/>
        <v>310100</v>
      </c>
      <c r="Q91" s="16">
        <f t="shared" si="13"/>
        <v>120100</v>
      </c>
      <c r="R91" s="237">
        <f t="shared" si="14"/>
        <v>0</v>
      </c>
    </row>
    <row r="92" spans="2:18">
      <c r="B92" s="15">
        <f t="shared" si="8"/>
        <v>87</v>
      </c>
      <c r="C92" s="16">
        <f>IFERROR(VLOOKUP(DATA!G90,DATA!$G$4:$J$2149,1,FALSE),"")</f>
        <v>3066</v>
      </c>
      <c r="D92" s="16" t="str">
        <f>+IFERROR(VLOOKUP(C92,DATA!$G$4:$H$2000,2,FALSE),"")</f>
        <v>МСҮТөв</v>
      </c>
      <c r="E92" s="16">
        <v>120100</v>
      </c>
      <c r="F92" s="237">
        <v>0</v>
      </c>
      <c r="G92" s="237">
        <f>+SUMIFS(JURNAL!G:G,JURNAL!E:E,E92,JURNAL!L:L,$C92,JURNAL!C:C,"&gt;="&amp;$M$3,JURNAL!C:C,"&lt;="&amp;$N$3)</f>
        <v>0</v>
      </c>
      <c r="H92" s="19">
        <f>+SUMIFS(JURNAL!H:H,JURNAL!E:E,E92,JURNAL!L:L,$C92,JURNAL!C:C,"&gt;="&amp;$M$3,JURNAL!C:C,"&lt;="&amp;$N$3)</f>
        <v>0</v>
      </c>
      <c r="I92" s="237">
        <f t="shared" si="9"/>
        <v>0</v>
      </c>
      <c r="J92" s="16">
        <v>310100</v>
      </c>
      <c r="K92" s="237">
        <v>0</v>
      </c>
      <c r="L92" s="237">
        <f>+SUMIFS(JURNAL!G:G,JURNAL!E:E,J92,JURNAL!L:L,$C92,JURNAL!C:C,"&gt;="&amp;$M$3,JURNAL!C:C,"&lt;="&amp;$N$3)</f>
        <v>0</v>
      </c>
      <c r="M92" s="19">
        <f>+SUMIFS(JURNAL!H:H,JURNAL!E:E,J92,JURNAL!L:L,$C92,JURNAL!C:C,"&gt;="&amp;$M$3,JURNAL!C:C,"&lt;="&amp;$N$3)</f>
        <v>0</v>
      </c>
      <c r="N92" s="20">
        <f t="shared" si="10"/>
        <v>0</v>
      </c>
      <c r="O92" s="237">
        <f t="shared" si="11"/>
        <v>0</v>
      </c>
      <c r="P92" s="16">
        <f t="shared" si="12"/>
        <v>310100</v>
      </c>
      <c r="Q92" s="16">
        <f t="shared" si="13"/>
        <v>120100</v>
      </c>
      <c r="R92" s="237">
        <f t="shared" si="14"/>
        <v>0</v>
      </c>
    </row>
    <row r="93" spans="2:18">
      <c r="B93" s="15">
        <f t="shared" si="8"/>
        <v>88</v>
      </c>
      <c r="C93" s="16">
        <f>IFERROR(VLOOKUP(DATA!G91,DATA!$G$4:$J$2149,1,FALSE),"")</f>
        <v>3067</v>
      </c>
      <c r="D93" s="16" t="str">
        <f>+IFERROR(VLOOKUP(C93,DATA!$G$4:$H$2000,2,FALSE),"")</f>
        <v>ЦЭЦЭН УРЧУУД ХХК</v>
      </c>
      <c r="E93" s="16">
        <v>120100</v>
      </c>
      <c r="F93" s="237">
        <v>0</v>
      </c>
      <c r="G93" s="237">
        <f>+SUMIFS(JURNAL!G:G,JURNAL!E:E,E93,JURNAL!L:L,$C93,JURNAL!C:C,"&gt;="&amp;$M$3,JURNAL!C:C,"&lt;="&amp;$N$3)</f>
        <v>0</v>
      </c>
      <c r="H93" s="19">
        <f>+SUMIFS(JURNAL!H:H,JURNAL!E:E,E93,JURNAL!L:L,$C93,JURNAL!C:C,"&gt;="&amp;$M$3,JURNAL!C:C,"&lt;="&amp;$N$3)</f>
        <v>0</v>
      </c>
      <c r="I93" s="237">
        <f t="shared" si="9"/>
        <v>0</v>
      </c>
      <c r="J93" s="16">
        <v>310100</v>
      </c>
      <c r="K93" s="237">
        <v>0</v>
      </c>
      <c r="L93" s="237">
        <f>+SUMIFS(JURNAL!G:G,JURNAL!E:E,J93,JURNAL!L:L,$C93,JURNAL!C:C,"&gt;="&amp;$M$3,JURNAL!C:C,"&lt;="&amp;$N$3)</f>
        <v>0</v>
      </c>
      <c r="M93" s="19">
        <f>+SUMIFS(JURNAL!H:H,JURNAL!E:E,J93,JURNAL!L:L,$C93,JURNAL!C:C,"&gt;="&amp;$M$3,JURNAL!C:C,"&lt;="&amp;$N$3)</f>
        <v>0</v>
      </c>
      <c r="N93" s="20">
        <f t="shared" si="10"/>
        <v>0</v>
      </c>
      <c r="O93" s="237">
        <f t="shared" si="11"/>
        <v>0</v>
      </c>
      <c r="P93" s="16">
        <f t="shared" si="12"/>
        <v>310100</v>
      </c>
      <c r="Q93" s="16">
        <f t="shared" si="13"/>
        <v>120100</v>
      </c>
      <c r="R93" s="237">
        <f t="shared" si="14"/>
        <v>0</v>
      </c>
    </row>
    <row r="94" spans="2:18">
      <c r="B94" s="15">
        <f t="shared" si="8"/>
        <v>89</v>
      </c>
      <c r="C94" s="16">
        <f>IFERROR(VLOOKUP(DATA!G92,DATA!$G$4:$J$2149,1,FALSE),"")</f>
        <v>3068</v>
      </c>
      <c r="D94" s="16" t="str">
        <f>+IFERROR(VLOOKUP(C94,DATA!$G$4:$H$2000,2,FALSE),"")</f>
        <v>ҮЛЭМЖИТ ХХК</v>
      </c>
      <c r="E94" s="16">
        <v>120100</v>
      </c>
      <c r="F94" s="237">
        <v>0</v>
      </c>
      <c r="G94" s="237">
        <f>+SUMIFS(JURNAL!G:G,JURNAL!E:E,E94,JURNAL!L:L,$C94,JURNAL!C:C,"&gt;="&amp;$M$3,JURNAL!C:C,"&lt;="&amp;$N$3)</f>
        <v>0</v>
      </c>
      <c r="H94" s="19">
        <f>+SUMIFS(JURNAL!H:H,JURNAL!E:E,E94,JURNAL!L:L,$C94,JURNAL!C:C,"&gt;="&amp;$M$3,JURNAL!C:C,"&lt;="&amp;$N$3)</f>
        <v>0</v>
      </c>
      <c r="I94" s="237">
        <f t="shared" si="9"/>
        <v>0</v>
      </c>
      <c r="J94" s="16">
        <v>310100</v>
      </c>
      <c r="K94" s="237">
        <v>0</v>
      </c>
      <c r="L94" s="237">
        <f>+SUMIFS(JURNAL!G:G,JURNAL!E:E,J94,JURNAL!L:L,$C94,JURNAL!C:C,"&gt;="&amp;$M$3,JURNAL!C:C,"&lt;="&amp;$N$3)</f>
        <v>0</v>
      </c>
      <c r="M94" s="19">
        <f>+SUMIFS(JURNAL!H:H,JURNAL!E:E,J94,JURNAL!L:L,$C94,JURNAL!C:C,"&gt;="&amp;$M$3,JURNAL!C:C,"&lt;="&amp;$N$3)</f>
        <v>0</v>
      </c>
      <c r="N94" s="20">
        <f t="shared" si="10"/>
        <v>0</v>
      </c>
      <c r="O94" s="237">
        <f t="shared" si="11"/>
        <v>0</v>
      </c>
      <c r="P94" s="16">
        <f t="shared" si="12"/>
        <v>310100</v>
      </c>
      <c r="Q94" s="16">
        <f t="shared" si="13"/>
        <v>120100</v>
      </c>
      <c r="R94" s="237">
        <f t="shared" si="14"/>
        <v>0</v>
      </c>
    </row>
    <row r="95" spans="2:18">
      <c r="B95" s="15">
        <f t="shared" si="8"/>
        <v>90</v>
      </c>
      <c r="C95" s="16">
        <f>IFERROR(VLOOKUP(DATA!G93,DATA!$G$4:$J$2149,1,FALSE),"")</f>
        <v>3069</v>
      </c>
      <c r="D95" s="16" t="str">
        <f>+IFERROR(VLOOKUP(C95,DATA!$G$4:$H$2000,2,FALSE),"")</f>
        <v>УУЛЫН ЗАМ ХХК</v>
      </c>
      <c r="E95" s="16">
        <v>120100</v>
      </c>
      <c r="F95" s="237">
        <v>0</v>
      </c>
      <c r="G95" s="237">
        <f>+SUMIFS(JURNAL!G:G,JURNAL!E:E,E95,JURNAL!L:L,$C95,JURNAL!C:C,"&gt;="&amp;$M$3,JURNAL!C:C,"&lt;="&amp;$N$3)</f>
        <v>0</v>
      </c>
      <c r="H95" s="19">
        <f>+SUMIFS(JURNAL!H:H,JURNAL!E:E,E95,JURNAL!L:L,$C95,JURNAL!C:C,"&gt;="&amp;$M$3,JURNAL!C:C,"&lt;="&amp;$N$3)</f>
        <v>0</v>
      </c>
      <c r="I95" s="237">
        <f t="shared" si="9"/>
        <v>0</v>
      </c>
      <c r="J95" s="16">
        <v>310100</v>
      </c>
      <c r="K95" s="237">
        <v>0</v>
      </c>
      <c r="L95" s="237">
        <f>+SUMIFS(JURNAL!G:G,JURNAL!E:E,J95,JURNAL!L:L,$C95,JURNAL!C:C,"&gt;="&amp;$M$3,JURNAL!C:C,"&lt;="&amp;$N$3)</f>
        <v>0</v>
      </c>
      <c r="M95" s="19">
        <f>+SUMIFS(JURNAL!H:H,JURNAL!E:E,J95,JURNAL!L:L,$C95,JURNAL!C:C,"&gt;="&amp;$M$3,JURNAL!C:C,"&lt;="&amp;$N$3)</f>
        <v>0</v>
      </c>
      <c r="N95" s="20">
        <f t="shared" si="10"/>
        <v>0</v>
      </c>
      <c r="O95" s="237">
        <f t="shared" si="11"/>
        <v>0</v>
      </c>
      <c r="P95" s="16">
        <f t="shared" si="12"/>
        <v>310100</v>
      </c>
      <c r="Q95" s="16">
        <f t="shared" si="13"/>
        <v>120100</v>
      </c>
      <c r="R95" s="237">
        <f t="shared" si="14"/>
        <v>0</v>
      </c>
    </row>
    <row r="96" spans="2:18">
      <c r="B96" s="15">
        <f t="shared" si="8"/>
        <v>91</v>
      </c>
      <c r="C96" s="16">
        <f>IFERROR(VLOOKUP(DATA!G94,DATA!$G$4:$J$2149,1,FALSE),"")</f>
        <v>3070</v>
      </c>
      <c r="D96" s="16" t="str">
        <f>+IFERROR(VLOOKUP(C96,DATA!$G$4:$H$2000,2,FALSE),"")</f>
        <v>ВОТЕР ФОРД КАСТОМ ХӨҮМ ХХК</v>
      </c>
      <c r="E96" s="16">
        <v>120100</v>
      </c>
      <c r="F96" s="237">
        <v>0</v>
      </c>
      <c r="G96" s="237">
        <f>+SUMIFS(JURNAL!G:G,JURNAL!E:E,E96,JURNAL!L:L,$C96,JURNAL!C:C,"&gt;="&amp;$M$3,JURNAL!C:C,"&lt;="&amp;$N$3)</f>
        <v>0</v>
      </c>
      <c r="H96" s="19">
        <f>+SUMIFS(JURNAL!H:H,JURNAL!E:E,E96,JURNAL!L:L,$C96,JURNAL!C:C,"&gt;="&amp;$M$3,JURNAL!C:C,"&lt;="&amp;$N$3)</f>
        <v>0</v>
      </c>
      <c r="I96" s="237">
        <f t="shared" si="9"/>
        <v>0</v>
      </c>
      <c r="J96" s="16">
        <v>310100</v>
      </c>
      <c r="K96" s="237">
        <v>0</v>
      </c>
      <c r="L96" s="237">
        <f>+SUMIFS(JURNAL!G:G,JURNAL!E:E,J96,JURNAL!L:L,$C96,JURNAL!C:C,"&gt;="&amp;$M$3,JURNAL!C:C,"&lt;="&amp;$N$3)</f>
        <v>0</v>
      </c>
      <c r="M96" s="19">
        <f>+SUMIFS(JURNAL!H:H,JURNAL!E:E,J96,JURNAL!L:L,$C96,JURNAL!C:C,"&gt;="&amp;$M$3,JURNAL!C:C,"&lt;="&amp;$N$3)</f>
        <v>0</v>
      </c>
      <c r="N96" s="20">
        <f t="shared" si="10"/>
        <v>0</v>
      </c>
      <c r="O96" s="237">
        <f t="shared" si="11"/>
        <v>0</v>
      </c>
      <c r="P96" s="16">
        <f t="shared" si="12"/>
        <v>310100</v>
      </c>
      <c r="Q96" s="16">
        <f t="shared" si="13"/>
        <v>120100</v>
      </c>
      <c r="R96" s="237">
        <f t="shared" si="14"/>
        <v>0</v>
      </c>
    </row>
    <row r="97" spans="2:18">
      <c r="B97" s="15">
        <f t="shared" si="8"/>
        <v>92</v>
      </c>
      <c r="C97" s="16">
        <f>IFERROR(VLOOKUP(DATA!G95,DATA!$G$4:$J$2149,1,FALSE),"")</f>
        <v>3071</v>
      </c>
      <c r="D97" s="16" t="str">
        <f>+IFERROR(VLOOKUP(C97,DATA!$G$4:$H$2000,2,FALSE),"")</f>
        <v>ЭЛ ВИ ЭЙС ХХК</v>
      </c>
      <c r="E97" s="16">
        <v>120100</v>
      </c>
      <c r="F97" s="237">
        <v>0</v>
      </c>
      <c r="G97" s="237">
        <f>+SUMIFS(JURNAL!G:G,JURNAL!E:E,E97,JURNAL!L:L,$C97,JURNAL!C:C,"&gt;="&amp;$M$3,JURNAL!C:C,"&lt;="&amp;$N$3)</f>
        <v>0</v>
      </c>
      <c r="H97" s="19">
        <f>+SUMIFS(JURNAL!H:H,JURNAL!E:E,E97,JURNAL!L:L,$C97,JURNAL!C:C,"&gt;="&amp;$M$3,JURNAL!C:C,"&lt;="&amp;$N$3)</f>
        <v>0</v>
      </c>
      <c r="I97" s="237">
        <f t="shared" si="9"/>
        <v>0</v>
      </c>
      <c r="J97" s="16">
        <v>310100</v>
      </c>
      <c r="K97" s="237">
        <v>0</v>
      </c>
      <c r="L97" s="237">
        <f>+SUMIFS(JURNAL!G:G,JURNAL!E:E,J97,JURNAL!L:L,$C97,JURNAL!C:C,"&gt;="&amp;$M$3,JURNAL!C:C,"&lt;="&amp;$N$3)</f>
        <v>0</v>
      </c>
      <c r="M97" s="19">
        <f>+SUMIFS(JURNAL!H:H,JURNAL!E:E,J97,JURNAL!L:L,$C97,JURNAL!C:C,"&gt;="&amp;$M$3,JURNAL!C:C,"&lt;="&amp;$N$3)</f>
        <v>0</v>
      </c>
      <c r="N97" s="20">
        <f t="shared" si="10"/>
        <v>0</v>
      </c>
      <c r="O97" s="237">
        <f t="shared" si="11"/>
        <v>0</v>
      </c>
      <c r="P97" s="16">
        <f t="shared" si="12"/>
        <v>310100</v>
      </c>
      <c r="Q97" s="16">
        <f t="shared" si="13"/>
        <v>120100</v>
      </c>
      <c r="R97" s="237">
        <f t="shared" si="14"/>
        <v>0</v>
      </c>
    </row>
    <row r="98" spans="2:18">
      <c r="B98" s="15">
        <f t="shared" si="8"/>
        <v>93</v>
      </c>
      <c r="C98" s="16">
        <f>IFERROR(VLOOKUP(DATA!G96,DATA!$G$4:$J$2149,1,FALSE),"")</f>
        <v>3072</v>
      </c>
      <c r="D98" s="16" t="str">
        <f>+IFERROR(VLOOKUP(C98,DATA!$G$4:$H$2000,2,FALSE),"")</f>
        <v>МЕТАЛ ХАУС ХХК</v>
      </c>
      <c r="E98" s="16">
        <v>120100</v>
      </c>
      <c r="F98" s="237">
        <v>0</v>
      </c>
      <c r="G98" s="237">
        <f>+SUMIFS(JURNAL!G:G,JURNAL!E:E,E98,JURNAL!L:L,$C98,JURNAL!C:C,"&gt;="&amp;$M$3,JURNAL!C:C,"&lt;="&amp;$N$3)</f>
        <v>0</v>
      </c>
      <c r="H98" s="19">
        <f>+SUMIFS(JURNAL!H:H,JURNAL!E:E,E98,JURNAL!L:L,$C98,JURNAL!C:C,"&gt;="&amp;$M$3,JURNAL!C:C,"&lt;="&amp;$N$3)</f>
        <v>0</v>
      </c>
      <c r="I98" s="237">
        <f t="shared" si="9"/>
        <v>0</v>
      </c>
      <c r="J98" s="16">
        <v>310100</v>
      </c>
      <c r="K98" s="237">
        <v>0</v>
      </c>
      <c r="L98" s="237">
        <f>+SUMIFS(JURNAL!G:G,JURNAL!E:E,J98,JURNAL!L:L,$C98,JURNAL!C:C,"&gt;="&amp;$M$3,JURNAL!C:C,"&lt;="&amp;$N$3)</f>
        <v>0</v>
      </c>
      <c r="M98" s="19">
        <f>+SUMIFS(JURNAL!H:H,JURNAL!E:E,J98,JURNAL!L:L,$C98,JURNAL!C:C,"&gt;="&amp;$M$3,JURNAL!C:C,"&lt;="&amp;$N$3)</f>
        <v>0</v>
      </c>
      <c r="N98" s="20">
        <f t="shared" si="10"/>
        <v>0</v>
      </c>
      <c r="O98" s="237">
        <f t="shared" si="11"/>
        <v>0</v>
      </c>
      <c r="P98" s="16">
        <f t="shared" si="12"/>
        <v>310100</v>
      </c>
      <c r="Q98" s="16">
        <f t="shared" si="13"/>
        <v>120100</v>
      </c>
      <c r="R98" s="237">
        <f t="shared" si="14"/>
        <v>0</v>
      </c>
    </row>
    <row r="99" spans="2:18">
      <c r="B99" s="15">
        <f t="shared" si="8"/>
        <v>94</v>
      </c>
      <c r="C99" s="16">
        <f>IFERROR(VLOOKUP(DATA!G97,DATA!$G$4:$J$2149,1,FALSE),"")</f>
        <v>3073</v>
      </c>
      <c r="D99" s="16" t="str">
        <f>+IFERROR(VLOOKUP(C99,DATA!$G$4:$H$2000,2,FALSE),"")</f>
        <v>ХАНГАЛ КОНСТРАКШН ХХК</v>
      </c>
      <c r="E99" s="16">
        <v>120100</v>
      </c>
      <c r="F99" s="237">
        <v>0</v>
      </c>
      <c r="G99" s="237">
        <f>+SUMIFS(JURNAL!G:G,JURNAL!E:E,E99,JURNAL!L:L,$C99,JURNAL!C:C,"&gt;="&amp;$M$3,JURNAL!C:C,"&lt;="&amp;$N$3)</f>
        <v>0</v>
      </c>
      <c r="H99" s="19">
        <f>+SUMIFS(JURNAL!H:H,JURNAL!E:E,E99,JURNAL!L:L,$C99,JURNAL!C:C,"&gt;="&amp;$M$3,JURNAL!C:C,"&lt;="&amp;$N$3)</f>
        <v>0</v>
      </c>
      <c r="I99" s="237">
        <f t="shared" si="9"/>
        <v>0</v>
      </c>
      <c r="J99" s="16">
        <v>310100</v>
      </c>
      <c r="K99" s="237">
        <v>0</v>
      </c>
      <c r="L99" s="237">
        <f>+SUMIFS(JURNAL!G:G,JURNAL!E:E,J99,JURNAL!L:L,$C99,JURNAL!C:C,"&gt;="&amp;$M$3,JURNAL!C:C,"&lt;="&amp;$N$3)</f>
        <v>0</v>
      </c>
      <c r="M99" s="19">
        <f>+SUMIFS(JURNAL!H:H,JURNAL!E:E,J99,JURNAL!L:L,$C99,JURNAL!C:C,"&gt;="&amp;$M$3,JURNAL!C:C,"&lt;="&amp;$N$3)</f>
        <v>0</v>
      </c>
      <c r="N99" s="20">
        <f t="shared" si="10"/>
        <v>0</v>
      </c>
      <c r="O99" s="237">
        <f t="shared" si="11"/>
        <v>0</v>
      </c>
      <c r="P99" s="16">
        <f t="shared" si="12"/>
        <v>310100</v>
      </c>
      <c r="Q99" s="16">
        <f t="shared" si="13"/>
        <v>120100</v>
      </c>
      <c r="R99" s="237">
        <f t="shared" si="14"/>
        <v>0</v>
      </c>
    </row>
    <row r="100" spans="2:18">
      <c r="B100" s="15">
        <f t="shared" si="8"/>
        <v>95</v>
      </c>
      <c r="C100" s="16">
        <f>IFERROR(VLOOKUP(DATA!G98,DATA!$G$4:$J$2149,1,FALSE),"")</f>
        <v>3074</v>
      </c>
      <c r="D100" s="16" t="str">
        <f>+IFERROR(VLOOKUP(C100,DATA!$G$4:$H$2000,2,FALSE),"")</f>
        <v>КАМДЕР ХХК</v>
      </c>
      <c r="E100" s="16">
        <v>120100</v>
      </c>
      <c r="F100" s="237">
        <v>0</v>
      </c>
      <c r="G100" s="237">
        <f>+SUMIFS(JURNAL!G:G,JURNAL!E:E,E100,JURNAL!L:L,$C100,JURNAL!C:C,"&gt;="&amp;$M$3,JURNAL!C:C,"&lt;="&amp;$N$3)</f>
        <v>0</v>
      </c>
      <c r="H100" s="19">
        <f>+SUMIFS(JURNAL!H:H,JURNAL!E:E,E100,JURNAL!L:L,$C100,JURNAL!C:C,"&gt;="&amp;$M$3,JURNAL!C:C,"&lt;="&amp;$N$3)</f>
        <v>0</v>
      </c>
      <c r="I100" s="237">
        <f t="shared" si="9"/>
        <v>0</v>
      </c>
      <c r="J100" s="16">
        <v>310100</v>
      </c>
      <c r="K100" s="237">
        <v>0</v>
      </c>
      <c r="L100" s="237">
        <f>+SUMIFS(JURNAL!G:G,JURNAL!E:E,J100,JURNAL!L:L,$C100,JURNAL!C:C,"&gt;="&amp;$M$3,JURNAL!C:C,"&lt;="&amp;$N$3)</f>
        <v>0</v>
      </c>
      <c r="M100" s="19">
        <f>+SUMIFS(JURNAL!H:H,JURNAL!E:E,J100,JURNAL!L:L,$C100,JURNAL!C:C,"&gt;="&amp;$M$3,JURNAL!C:C,"&lt;="&amp;$N$3)</f>
        <v>0</v>
      </c>
      <c r="N100" s="20">
        <f t="shared" si="10"/>
        <v>0</v>
      </c>
      <c r="O100" s="237">
        <f t="shared" si="11"/>
        <v>0</v>
      </c>
      <c r="P100" s="16">
        <f t="shared" si="12"/>
        <v>310100</v>
      </c>
      <c r="Q100" s="16">
        <f t="shared" si="13"/>
        <v>120100</v>
      </c>
      <c r="R100" s="237">
        <f t="shared" si="14"/>
        <v>0</v>
      </c>
    </row>
    <row r="101" spans="2:18">
      <c r="B101" s="15">
        <f t="shared" si="8"/>
        <v>96</v>
      </c>
      <c r="C101" s="16">
        <f>IFERROR(VLOOKUP(DATA!G99,DATA!$G$4:$J$2149,1,FALSE),"")</f>
        <v>3075</v>
      </c>
      <c r="D101" s="16" t="str">
        <f>+IFERROR(VLOOKUP(C101,DATA!$G$4:$H$2000,2,FALSE),"")</f>
        <v>СИ АЙ ТИ ХХК</v>
      </c>
      <c r="E101" s="16">
        <v>120100</v>
      </c>
      <c r="F101" s="237">
        <v>0</v>
      </c>
      <c r="G101" s="237">
        <f>+SUMIFS(JURNAL!G:G,JURNAL!E:E,E101,JURNAL!L:L,$C101,JURNAL!C:C,"&gt;="&amp;$M$3,JURNAL!C:C,"&lt;="&amp;$N$3)</f>
        <v>0</v>
      </c>
      <c r="H101" s="19">
        <f>+SUMIFS(JURNAL!H:H,JURNAL!E:E,E101,JURNAL!L:L,$C101,JURNAL!C:C,"&gt;="&amp;$M$3,JURNAL!C:C,"&lt;="&amp;$N$3)</f>
        <v>0</v>
      </c>
      <c r="I101" s="237">
        <f t="shared" si="9"/>
        <v>0</v>
      </c>
      <c r="J101" s="16">
        <v>310100</v>
      </c>
      <c r="K101" s="237">
        <v>0</v>
      </c>
      <c r="L101" s="237">
        <f>+SUMIFS(JURNAL!G:G,JURNAL!E:E,J101,JURNAL!L:L,$C101,JURNAL!C:C,"&gt;="&amp;$M$3,JURNAL!C:C,"&lt;="&amp;$N$3)</f>
        <v>0</v>
      </c>
      <c r="M101" s="19">
        <f>+SUMIFS(JURNAL!H:H,JURNAL!E:E,J101,JURNAL!L:L,$C101,JURNAL!C:C,"&gt;="&amp;$M$3,JURNAL!C:C,"&lt;="&amp;$N$3)</f>
        <v>0</v>
      </c>
      <c r="N101" s="20">
        <f t="shared" si="10"/>
        <v>0</v>
      </c>
      <c r="O101" s="237">
        <f t="shared" si="11"/>
        <v>0</v>
      </c>
      <c r="P101" s="16">
        <f t="shared" si="12"/>
        <v>310100</v>
      </c>
      <c r="Q101" s="16">
        <f t="shared" si="13"/>
        <v>120100</v>
      </c>
      <c r="R101" s="237">
        <f t="shared" si="14"/>
        <v>0</v>
      </c>
    </row>
    <row r="102" spans="2:18">
      <c r="B102" s="15">
        <f t="shared" si="8"/>
        <v>97</v>
      </c>
      <c r="C102" s="16">
        <f>IFERROR(VLOOKUP(DATA!G100,DATA!$G$4:$J$2149,1,FALSE),"")</f>
        <v>3076</v>
      </c>
      <c r="D102" s="16" t="str">
        <f>+IFERROR(VLOOKUP(C102,DATA!$G$4:$H$2000,2,FALSE),"")</f>
        <v>ЖИ ЭЙ БИ ӨҮ ТИ ХХК</v>
      </c>
      <c r="E102" s="16">
        <v>120100</v>
      </c>
      <c r="F102" s="237">
        <v>0</v>
      </c>
      <c r="G102" s="237">
        <f>+SUMIFS(JURNAL!G:G,JURNAL!E:E,E102,JURNAL!L:L,$C102,JURNAL!C:C,"&gt;="&amp;$M$3,JURNAL!C:C,"&lt;="&amp;$N$3)</f>
        <v>0</v>
      </c>
      <c r="H102" s="19">
        <f>+SUMIFS(JURNAL!H:H,JURNAL!E:E,E102,JURNAL!L:L,$C102,JURNAL!C:C,"&gt;="&amp;$M$3,JURNAL!C:C,"&lt;="&amp;$N$3)</f>
        <v>0</v>
      </c>
      <c r="I102" s="237">
        <f t="shared" si="9"/>
        <v>0</v>
      </c>
      <c r="J102" s="16">
        <v>310100</v>
      </c>
      <c r="K102" s="237">
        <v>0</v>
      </c>
      <c r="L102" s="237">
        <f>+SUMIFS(JURNAL!G:G,JURNAL!E:E,J102,JURNAL!L:L,$C102,JURNAL!C:C,"&gt;="&amp;$M$3,JURNAL!C:C,"&lt;="&amp;$N$3)</f>
        <v>0</v>
      </c>
      <c r="M102" s="19">
        <f>+SUMIFS(JURNAL!H:H,JURNAL!E:E,J102,JURNAL!L:L,$C102,JURNAL!C:C,"&gt;="&amp;$M$3,JURNAL!C:C,"&lt;="&amp;$N$3)</f>
        <v>0</v>
      </c>
      <c r="N102" s="20">
        <f t="shared" si="10"/>
        <v>0</v>
      </c>
      <c r="O102" s="237">
        <f t="shared" si="11"/>
        <v>0</v>
      </c>
      <c r="P102" s="16">
        <f t="shared" si="12"/>
        <v>310100</v>
      </c>
      <c r="Q102" s="16">
        <f t="shared" si="13"/>
        <v>120100</v>
      </c>
      <c r="R102" s="237">
        <f t="shared" si="14"/>
        <v>0</v>
      </c>
    </row>
    <row r="103" spans="2:18">
      <c r="B103" s="15">
        <f t="shared" si="8"/>
        <v>98</v>
      </c>
      <c r="C103" s="16">
        <f>IFERROR(VLOOKUP(DATA!G101,DATA!$G$4:$J$2149,1,FALSE),"")</f>
        <v>3077</v>
      </c>
      <c r="D103" s="16" t="str">
        <f>+IFERROR(VLOOKUP(C103,DATA!$G$4:$H$2000,2,FALSE),"")</f>
        <v>КАРАНДАШ ХХК</v>
      </c>
      <c r="E103" s="16">
        <v>120100</v>
      </c>
      <c r="F103" s="237">
        <v>0</v>
      </c>
      <c r="G103" s="237">
        <f>+SUMIFS(JURNAL!G:G,JURNAL!E:E,E103,JURNAL!L:L,$C103,JURNAL!C:C,"&gt;="&amp;$M$3,JURNAL!C:C,"&lt;="&amp;$N$3)</f>
        <v>0</v>
      </c>
      <c r="H103" s="19">
        <f>+SUMIFS(JURNAL!H:H,JURNAL!E:E,E103,JURNAL!L:L,$C103,JURNAL!C:C,"&gt;="&amp;$M$3,JURNAL!C:C,"&lt;="&amp;$N$3)</f>
        <v>0</v>
      </c>
      <c r="I103" s="237">
        <f t="shared" si="9"/>
        <v>0</v>
      </c>
      <c r="J103" s="16">
        <v>310100</v>
      </c>
      <c r="K103" s="237">
        <v>0</v>
      </c>
      <c r="L103" s="237">
        <f>+SUMIFS(JURNAL!G:G,JURNAL!E:E,J103,JURNAL!L:L,$C103,JURNAL!C:C,"&gt;="&amp;$M$3,JURNAL!C:C,"&lt;="&amp;$N$3)</f>
        <v>0</v>
      </c>
      <c r="M103" s="19">
        <f>+SUMIFS(JURNAL!H:H,JURNAL!E:E,J103,JURNAL!L:L,$C103,JURNAL!C:C,"&gt;="&amp;$M$3,JURNAL!C:C,"&lt;="&amp;$N$3)</f>
        <v>0</v>
      </c>
      <c r="N103" s="20">
        <f t="shared" si="10"/>
        <v>0</v>
      </c>
      <c r="O103" s="237">
        <f t="shared" si="11"/>
        <v>0</v>
      </c>
      <c r="P103" s="16">
        <f t="shared" si="12"/>
        <v>310100</v>
      </c>
      <c r="Q103" s="16">
        <f t="shared" si="13"/>
        <v>120100</v>
      </c>
      <c r="R103" s="237">
        <f t="shared" si="14"/>
        <v>0</v>
      </c>
    </row>
    <row r="104" spans="2:18">
      <c r="B104" s="15">
        <f t="shared" si="8"/>
        <v>99</v>
      </c>
      <c r="C104" s="16">
        <f>IFERROR(VLOOKUP(DATA!G102,DATA!$G$4:$J$2149,1,FALSE),"")</f>
        <v>3078</v>
      </c>
      <c r="D104" s="16" t="str">
        <f>+IFERROR(VLOOKUP(C104,DATA!$G$4:$H$2000,2,FALSE),"")</f>
        <v>МӨНХ ЭНХРИЙ ХХК</v>
      </c>
      <c r="E104" s="16">
        <v>120100</v>
      </c>
      <c r="F104" s="237">
        <v>0</v>
      </c>
      <c r="G104" s="237">
        <f>+SUMIFS(JURNAL!G:G,JURNAL!E:E,E104,JURNAL!L:L,$C104,JURNAL!C:C,"&gt;="&amp;$M$3,JURNAL!C:C,"&lt;="&amp;$N$3)</f>
        <v>0</v>
      </c>
      <c r="H104" s="19">
        <f>+SUMIFS(JURNAL!H:H,JURNAL!E:E,E104,JURNAL!L:L,$C104,JURNAL!C:C,"&gt;="&amp;$M$3,JURNAL!C:C,"&lt;="&amp;$N$3)</f>
        <v>0</v>
      </c>
      <c r="I104" s="237">
        <f t="shared" si="9"/>
        <v>0</v>
      </c>
      <c r="J104" s="16">
        <v>310100</v>
      </c>
      <c r="K104" s="237">
        <v>0</v>
      </c>
      <c r="L104" s="237">
        <f>+SUMIFS(JURNAL!G:G,JURNAL!E:E,J104,JURNAL!L:L,$C104,JURNAL!C:C,"&gt;="&amp;$M$3,JURNAL!C:C,"&lt;="&amp;$N$3)</f>
        <v>0</v>
      </c>
      <c r="M104" s="19">
        <f>+SUMIFS(JURNAL!H:H,JURNAL!E:E,J104,JURNAL!L:L,$C104,JURNAL!C:C,"&gt;="&amp;$M$3,JURNAL!C:C,"&lt;="&amp;$N$3)</f>
        <v>0</v>
      </c>
      <c r="N104" s="20">
        <f t="shared" si="10"/>
        <v>0</v>
      </c>
      <c r="O104" s="237">
        <f t="shared" si="11"/>
        <v>0</v>
      </c>
      <c r="P104" s="16">
        <f t="shared" si="12"/>
        <v>310100</v>
      </c>
      <c r="Q104" s="16">
        <f t="shared" si="13"/>
        <v>120100</v>
      </c>
      <c r="R104" s="237">
        <f t="shared" si="14"/>
        <v>0</v>
      </c>
    </row>
    <row r="105" spans="2:18">
      <c r="B105" s="15">
        <f t="shared" si="8"/>
        <v>100</v>
      </c>
      <c r="C105" s="16">
        <f>IFERROR(VLOOKUP(DATA!G103,DATA!$G$4:$J$2149,1,FALSE),"")</f>
        <v>3079</v>
      </c>
      <c r="D105" s="16" t="str">
        <f>+IFERROR(VLOOKUP(C105,DATA!$G$4:$H$2000,2,FALSE),"")</f>
        <v>ДА ХОТ ХХК</v>
      </c>
      <c r="E105" s="16">
        <v>120100</v>
      </c>
      <c r="F105" s="237">
        <v>0</v>
      </c>
      <c r="G105" s="237">
        <f>+SUMIFS(JURNAL!G:G,JURNAL!E:E,E105,JURNAL!L:L,$C105,JURNAL!C:C,"&gt;="&amp;$M$3,JURNAL!C:C,"&lt;="&amp;$N$3)</f>
        <v>0</v>
      </c>
      <c r="H105" s="19">
        <f>+SUMIFS(JURNAL!H:H,JURNAL!E:E,E105,JURNAL!L:L,$C105,JURNAL!C:C,"&gt;="&amp;$M$3,JURNAL!C:C,"&lt;="&amp;$N$3)</f>
        <v>0</v>
      </c>
      <c r="I105" s="237">
        <f t="shared" si="9"/>
        <v>0</v>
      </c>
      <c r="J105" s="16">
        <v>310100</v>
      </c>
      <c r="K105" s="237">
        <v>0</v>
      </c>
      <c r="L105" s="237">
        <f>+SUMIFS(JURNAL!G:G,JURNAL!E:E,J105,JURNAL!L:L,$C105,JURNAL!C:C,"&gt;="&amp;$M$3,JURNAL!C:C,"&lt;="&amp;$N$3)</f>
        <v>0</v>
      </c>
      <c r="M105" s="19">
        <f>+SUMIFS(JURNAL!H:H,JURNAL!E:E,J105,JURNAL!L:L,$C105,JURNAL!C:C,"&gt;="&amp;$M$3,JURNAL!C:C,"&lt;="&amp;$N$3)</f>
        <v>0</v>
      </c>
      <c r="N105" s="20">
        <f t="shared" si="10"/>
        <v>0</v>
      </c>
      <c r="O105" s="237">
        <f t="shared" si="11"/>
        <v>0</v>
      </c>
      <c r="P105" s="16">
        <f t="shared" si="12"/>
        <v>310100</v>
      </c>
      <c r="Q105" s="16">
        <f t="shared" si="13"/>
        <v>120100</v>
      </c>
      <c r="R105" s="237">
        <f t="shared" si="14"/>
        <v>0</v>
      </c>
    </row>
    <row r="106" spans="2:18">
      <c r="B106" s="15">
        <f t="shared" si="8"/>
        <v>101</v>
      </c>
      <c r="C106" s="16">
        <f>IFERROR(VLOOKUP(DATA!G104,DATA!$G$4:$J$2149,1,FALSE),"")</f>
        <v>3080</v>
      </c>
      <c r="D106" s="16" t="str">
        <f>+IFERROR(VLOOKUP(C106,DATA!$G$4:$H$2000,2,FALSE),"")</f>
        <v>ДИ ЭЙЧ ЭЛ ГЭЙТВЭЙ ХХК</v>
      </c>
      <c r="E106" s="16">
        <v>120100</v>
      </c>
      <c r="F106" s="237">
        <v>0</v>
      </c>
      <c r="G106" s="237">
        <f>+SUMIFS(JURNAL!G:G,JURNAL!E:E,E106,JURNAL!L:L,$C106,JURNAL!C:C,"&gt;="&amp;$M$3,JURNAL!C:C,"&lt;="&amp;$N$3)</f>
        <v>0</v>
      </c>
      <c r="H106" s="19">
        <f>+SUMIFS(JURNAL!H:H,JURNAL!E:E,E106,JURNAL!L:L,$C106,JURNAL!C:C,"&gt;="&amp;$M$3,JURNAL!C:C,"&lt;="&amp;$N$3)</f>
        <v>0</v>
      </c>
      <c r="I106" s="237">
        <f t="shared" si="9"/>
        <v>0</v>
      </c>
      <c r="J106" s="16">
        <v>310100</v>
      </c>
      <c r="K106" s="237">
        <v>0</v>
      </c>
      <c r="L106" s="237">
        <f>+SUMIFS(JURNAL!G:G,JURNAL!E:E,J106,JURNAL!L:L,$C106,JURNAL!C:C,"&gt;="&amp;$M$3,JURNAL!C:C,"&lt;="&amp;$N$3)</f>
        <v>0</v>
      </c>
      <c r="M106" s="19">
        <f>+SUMIFS(JURNAL!H:H,JURNAL!E:E,J106,JURNAL!L:L,$C106,JURNAL!C:C,"&gt;="&amp;$M$3,JURNAL!C:C,"&lt;="&amp;$N$3)</f>
        <v>0</v>
      </c>
      <c r="N106" s="20">
        <f t="shared" si="10"/>
        <v>0</v>
      </c>
      <c r="O106" s="237">
        <f t="shared" si="11"/>
        <v>0</v>
      </c>
      <c r="P106" s="16">
        <f t="shared" si="12"/>
        <v>310100</v>
      </c>
      <c r="Q106" s="16">
        <f t="shared" si="13"/>
        <v>120100</v>
      </c>
      <c r="R106" s="237">
        <f t="shared" si="14"/>
        <v>0</v>
      </c>
    </row>
    <row r="107" spans="2:18">
      <c r="B107" s="15">
        <f t="shared" si="8"/>
        <v>102</v>
      </c>
      <c r="C107" s="16">
        <f>IFERROR(VLOOKUP(DATA!G105,DATA!$G$4:$J$2149,1,FALSE),"")</f>
        <v>3081</v>
      </c>
      <c r="D107" s="16" t="str">
        <f>+IFERROR(VLOOKUP(C107,DATA!$G$4:$H$2000,2,FALSE),"")</f>
        <v>ПИ АЙ ЭМ ЭМ ХХК</v>
      </c>
      <c r="E107" s="16">
        <v>120100</v>
      </c>
      <c r="F107" s="237">
        <v>0</v>
      </c>
      <c r="G107" s="237">
        <f>+SUMIFS(JURNAL!G:G,JURNAL!E:E,E107,JURNAL!L:L,$C107,JURNAL!C:C,"&gt;="&amp;$M$3,JURNAL!C:C,"&lt;="&amp;$N$3)</f>
        <v>0</v>
      </c>
      <c r="H107" s="19">
        <f>+SUMIFS(JURNAL!H:H,JURNAL!E:E,E107,JURNAL!L:L,$C107,JURNAL!C:C,"&gt;="&amp;$M$3,JURNAL!C:C,"&lt;="&amp;$N$3)</f>
        <v>0</v>
      </c>
      <c r="I107" s="237">
        <f t="shared" si="9"/>
        <v>0</v>
      </c>
      <c r="J107" s="16">
        <v>310100</v>
      </c>
      <c r="K107" s="237">
        <v>0</v>
      </c>
      <c r="L107" s="237">
        <f>+SUMIFS(JURNAL!G:G,JURNAL!E:E,J107,JURNAL!L:L,$C107,JURNAL!C:C,"&gt;="&amp;$M$3,JURNAL!C:C,"&lt;="&amp;$N$3)</f>
        <v>0</v>
      </c>
      <c r="M107" s="19">
        <f>+SUMIFS(JURNAL!H:H,JURNAL!E:E,J107,JURNAL!L:L,$C107,JURNAL!C:C,"&gt;="&amp;$M$3,JURNAL!C:C,"&lt;="&amp;$N$3)</f>
        <v>0</v>
      </c>
      <c r="N107" s="20">
        <f t="shared" si="10"/>
        <v>0</v>
      </c>
      <c r="O107" s="237">
        <f t="shared" si="11"/>
        <v>0</v>
      </c>
      <c r="P107" s="16">
        <f t="shared" si="12"/>
        <v>310100</v>
      </c>
      <c r="Q107" s="16">
        <f t="shared" si="13"/>
        <v>120100</v>
      </c>
      <c r="R107" s="237">
        <f t="shared" si="14"/>
        <v>0</v>
      </c>
    </row>
    <row r="108" spans="2:18">
      <c r="B108" s="15">
        <f t="shared" si="8"/>
        <v>103</v>
      </c>
      <c r="C108" s="16">
        <f>IFERROR(VLOOKUP(DATA!G106,DATA!$G$4:$J$2149,1,FALSE),"")</f>
        <v>3082</v>
      </c>
      <c r="D108" s="16" t="str">
        <f>+IFERROR(VLOOKUP(C108,DATA!$G$4:$H$2000,2,FALSE),"")</f>
        <v xml:space="preserve">ӨСӨХ БЭЙС ХХК </v>
      </c>
      <c r="E108" s="16">
        <v>120100</v>
      </c>
      <c r="F108" s="237">
        <v>0</v>
      </c>
      <c r="G108" s="237">
        <f>+SUMIFS(JURNAL!G:G,JURNAL!E:E,E108,JURNAL!L:L,$C108,JURNAL!C:C,"&gt;="&amp;$M$3,JURNAL!C:C,"&lt;="&amp;$N$3)</f>
        <v>0</v>
      </c>
      <c r="H108" s="19">
        <f>+SUMIFS(JURNAL!H:H,JURNAL!E:E,E108,JURNAL!L:L,$C108,JURNAL!C:C,"&gt;="&amp;$M$3,JURNAL!C:C,"&lt;="&amp;$N$3)</f>
        <v>0</v>
      </c>
      <c r="I108" s="237">
        <f t="shared" si="9"/>
        <v>0</v>
      </c>
      <c r="J108" s="16">
        <v>310100</v>
      </c>
      <c r="K108" s="237">
        <v>0</v>
      </c>
      <c r="L108" s="237">
        <f>+SUMIFS(JURNAL!G:G,JURNAL!E:E,J108,JURNAL!L:L,$C108,JURNAL!C:C,"&gt;="&amp;$M$3,JURNAL!C:C,"&lt;="&amp;$N$3)</f>
        <v>0</v>
      </c>
      <c r="M108" s="19">
        <f>+SUMIFS(JURNAL!H:H,JURNAL!E:E,J108,JURNAL!L:L,$C108,JURNAL!C:C,"&gt;="&amp;$M$3,JURNAL!C:C,"&lt;="&amp;$N$3)</f>
        <v>0</v>
      </c>
      <c r="N108" s="20">
        <f t="shared" si="10"/>
        <v>0</v>
      </c>
      <c r="O108" s="237">
        <f t="shared" si="11"/>
        <v>0</v>
      </c>
      <c r="P108" s="16">
        <f t="shared" si="12"/>
        <v>310100</v>
      </c>
      <c r="Q108" s="16">
        <f t="shared" si="13"/>
        <v>120100</v>
      </c>
      <c r="R108" s="237">
        <f t="shared" si="14"/>
        <v>0</v>
      </c>
    </row>
    <row r="109" spans="2:18">
      <c r="B109" s="15">
        <f t="shared" si="8"/>
        <v>104</v>
      </c>
      <c r="C109" s="16">
        <f>IFERROR(VLOOKUP(DATA!G107,DATA!$G$4:$J$2149,1,FALSE),"")</f>
        <v>3083</v>
      </c>
      <c r="D109" s="16" t="str">
        <f>+IFERROR(VLOOKUP(C109,DATA!$G$4:$H$2000,2,FALSE),"")</f>
        <v xml:space="preserve">БЧГ ХХК </v>
      </c>
      <c r="E109" s="16">
        <v>120100</v>
      </c>
      <c r="F109" s="237">
        <v>0</v>
      </c>
      <c r="G109" s="237">
        <f>+SUMIFS(JURNAL!G:G,JURNAL!E:E,E109,JURNAL!L:L,$C109,JURNAL!C:C,"&gt;="&amp;$M$3,JURNAL!C:C,"&lt;="&amp;$N$3)</f>
        <v>0</v>
      </c>
      <c r="H109" s="19">
        <f>+SUMIFS(JURNAL!H:H,JURNAL!E:E,E109,JURNAL!L:L,$C109,JURNAL!C:C,"&gt;="&amp;$M$3,JURNAL!C:C,"&lt;="&amp;$N$3)</f>
        <v>0</v>
      </c>
      <c r="I109" s="237">
        <f t="shared" si="9"/>
        <v>0</v>
      </c>
      <c r="J109" s="16">
        <v>310100</v>
      </c>
      <c r="K109" s="237">
        <v>0</v>
      </c>
      <c r="L109" s="237">
        <f>+SUMIFS(JURNAL!G:G,JURNAL!E:E,J109,JURNAL!L:L,$C109,JURNAL!C:C,"&gt;="&amp;$M$3,JURNAL!C:C,"&lt;="&amp;$N$3)</f>
        <v>0</v>
      </c>
      <c r="M109" s="19">
        <f>+SUMIFS(JURNAL!H:H,JURNAL!E:E,J109,JURNAL!L:L,$C109,JURNAL!C:C,"&gt;="&amp;$M$3,JURNAL!C:C,"&lt;="&amp;$N$3)</f>
        <v>0</v>
      </c>
      <c r="N109" s="20">
        <f t="shared" si="10"/>
        <v>0</v>
      </c>
      <c r="O109" s="237">
        <f t="shared" si="11"/>
        <v>0</v>
      </c>
      <c r="P109" s="16">
        <f t="shared" si="12"/>
        <v>310100</v>
      </c>
      <c r="Q109" s="16">
        <f t="shared" si="13"/>
        <v>120100</v>
      </c>
      <c r="R109" s="237">
        <f t="shared" si="14"/>
        <v>0</v>
      </c>
    </row>
    <row r="110" spans="2:18">
      <c r="B110" s="15">
        <f t="shared" si="8"/>
        <v>105</v>
      </c>
      <c r="C110" s="16">
        <f>IFERROR(VLOOKUP(DATA!G108,DATA!$G$4:$J$2149,1,FALSE),"")</f>
        <v>3084</v>
      </c>
      <c r="D110" s="16" t="str">
        <f>+IFERROR(VLOOKUP(C110,DATA!$G$4:$H$2000,2,FALSE),"")</f>
        <v xml:space="preserve">ТОРГО ЗАГВАР </v>
      </c>
      <c r="E110" s="16">
        <v>120100</v>
      </c>
      <c r="F110" s="237">
        <v>0</v>
      </c>
      <c r="G110" s="237">
        <f>+SUMIFS(JURNAL!G:G,JURNAL!E:E,E110,JURNAL!L:L,$C110,JURNAL!C:C,"&gt;="&amp;$M$3,JURNAL!C:C,"&lt;="&amp;$N$3)</f>
        <v>0</v>
      </c>
      <c r="H110" s="19">
        <f>+SUMIFS(JURNAL!H:H,JURNAL!E:E,E110,JURNAL!L:L,$C110,JURNAL!C:C,"&gt;="&amp;$M$3,JURNAL!C:C,"&lt;="&amp;$N$3)</f>
        <v>0</v>
      </c>
      <c r="I110" s="237">
        <f t="shared" si="9"/>
        <v>0</v>
      </c>
      <c r="J110" s="16">
        <v>310100</v>
      </c>
      <c r="K110" s="237">
        <v>0</v>
      </c>
      <c r="L110" s="237">
        <f>+SUMIFS(JURNAL!G:G,JURNAL!E:E,J110,JURNAL!L:L,$C110,JURNAL!C:C,"&gt;="&amp;$M$3,JURNAL!C:C,"&lt;="&amp;$N$3)</f>
        <v>0</v>
      </c>
      <c r="M110" s="19">
        <f>+SUMIFS(JURNAL!H:H,JURNAL!E:E,J110,JURNAL!L:L,$C110,JURNAL!C:C,"&gt;="&amp;$M$3,JURNAL!C:C,"&lt;="&amp;$N$3)</f>
        <v>0</v>
      </c>
      <c r="N110" s="20">
        <f t="shared" si="10"/>
        <v>0</v>
      </c>
      <c r="O110" s="237">
        <f t="shared" si="11"/>
        <v>0</v>
      </c>
      <c r="P110" s="16">
        <f t="shared" si="12"/>
        <v>310100</v>
      </c>
      <c r="Q110" s="16">
        <f t="shared" si="13"/>
        <v>120100</v>
      </c>
      <c r="R110" s="237">
        <f t="shared" si="14"/>
        <v>0</v>
      </c>
    </row>
    <row r="111" spans="2:18">
      <c r="B111" s="15">
        <f t="shared" si="8"/>
        <v>106</v>
      </c>
      <c r="C111" s="16">
        <f>IFERROR(VLOOKUP(DATA!G109,DATA!$G$4:$J$2149,1,FALSE),"")</f>
        <v>3085</v>
      </c>
      <c r="D111" s="16" t="str">
        <f>+IFERROR(VLOOKUP(C111,DATA!$G$4:$H$2000,2,FALSE),"")</f>
        <v>УС ЭЛЕКТРО МОНТАЖ ХХК</v>
      </c>
      <c r="E111" s="16">
        <v>120100</v>
      </c>
      <c r="F111" s="237">
        <v>0</v>
      </c>
      <c r="G111" s="237">
        <f>+SUMIFS(JURNAL!G:G,JURNAL!E:E,E111,JURNAL!L:L,$C111,JURNAL!C:C,"&gt;="&amp;$M$3,JURNAL!C:C,"&lt;="&amp;$N$3)</f>
        <v>0</v>
      </c>
      <c r="H111" s="19">
        <f>+SUMIFS(JURNAL!H:H,JURNAL!E:E,E111,JURNAL!L:L,$C111,JURNAL!C:C,"&gt;="&amp;$M$3,JURNAL!C:C,"&lt;="&amp;$N$3)</f>
        <v>0</v>
      </c>
      <c r="I111" s="237">
        <f t="shared" si="9"/>
        <v>0</v>
      </c>
      <c r="J111" s="16">
        <v>310100</v>
      </c>
      <c r="K111" s="237">
        <v>0</v>
      </c>
      <c r="L111" s="237">
        <f>+SUMIFS(JURNAL!G:G,JURNAL!E:E,J111,JURNAL!L:L,$C111,JURNAL!C:C,"&gt;="&amp;$M$3,JURNAL!C:C,"&lt;="&amp;$N$3)</f>
        <v>0</v>
      </c>
      <c r="M111" s="19">
        <f>+SUMIFS(JURNAL!H:H,JURNAL!E:E,J111,JURNAL!L:L,$C111,JURNAL!C:C,"&gt;="&amp;$M$3,JURNAL!C:C,"&lt;="&amp;$N$3)</f>
        <v>0</v>
      </c>
      <c r="N111" s="20">
        <f t="shared" si="10"/>
        <v>0</v>
      </c>
      <c r="O111" s="237">
        <f t="shared" si="11"/>
        <v>0</v>
      </c>
      <c r="P111" s="16">
        <f t="shared" si="12"/>
        <v>310100</v>
      </c>
      <c r="Q111" s="16">
        <f t="shared" si="13"/>
        <v>120100</v>
      </c>
      <c r="R111" s="237">
        <f t="shared" si="14"/>
        <v>0</v>
      </c>
    </row>
    <row r="112" spans="2:18">
      <c r="B112" s="15">
        <f t="shared" si="8"/>
        <v>107</v>
      </c>
      <c r="C112" s="16">
        <f>IFERROR(VLOOKUP(DATA!G110,DATA!$G$4:$J$2149,1,FALSE),"")</f>
        <v>3086</v>
      </c>
      <c r="D112" s="16" t="str">
        <f>+IFERROR(VLOOKUP(C112,DATA!$G$4:$H$2000,2,FALSE),"")</f>
        <v xml:space="preserve">УНИВЕРСАЛ АВТО КОМПЛЕКС ХХК </v>
      </c>
      <c r="E112" s="16">
        <v>120100</v>
      </c>
      <c r="F112" s="237">
        <v>0</v>
      </c>
      <c r="G112" s="237">
        <f>+SUMIFS(JURNAL!G:G,JURNAL!E:E,E112,JURNAL!L:L,$C112,JURNAL!C:C,"&gt;="&amp;$M$3,JURNAL!C:C,"&lt;="&amp;$N$3)</f>
        <v>0</v>
      </c>
      <c r="H112" s="19">
        <f>+SUMIFS(JURNAL!H:H,JURNAL!E:E,E112,JURNAL!L:L,$C112,JURNAL!C:C,"&gt;="&amp;$M$3,JURNAL!C:C,"&lt;="&amp;$N$3)</f>
        <v>0</v>
      </c>
      <c r="I112" s="237">
        <f t="shared" si="9"/>
        <v>0</v>
      </c>
      <c r="J112" s="16">
        <v>310100</v>
      </c>
      <c r="K112" s="237">
        <v>0</v>
      </c>
      <c r="L112" s="237">
        <f>+SUMIFS(JURNAL!G:G,JURNAL!E:E,J112,JURNAL!L:L,$C112,JURNAL!C:C,"&gt;="&amp;$M$3,JURNAL!C:C,"&lt;="&amp;$N$3)</f>
        <v>0</v>
      </c>
      <c r="M112" s="19">
        <f>+SUMIFS(JURNAL!H:H,JURNAL!E:E,J112,JURNAL!L:L,$C112,JURNAL!C:C,"&gt;="&amp;$M$3,JURNAL!C:C,"&lt;="&amp;$N$3)</f>
        <v>0</v>
      </c>
      <c r="N112" s="20">
        <f t="shared" si="10"/>
        <v>0</v>
      </c>
      <c r="O112" s="237">
        <f t="shared" si="11"/>
        <v>0</v>
      </c>
      <c r="P112" s="16">
        <f t="shared" si="12"/>
        <v>310100</v>
      </c>
      <c r="Q112" s="16">
        <f t="shared" si="13"/>
        <v>120100</v>
      </c>
      <c r="R112" s="237">
        <f t="shared" si="14"/>
        <v>0</v>
      </c>
    </row>
    <row r="113" spans="2:18">
      <c r="B113" s="15">
        <f t="shared" si="8"/>
        <v>108</v>
      </c>
      <c r="C113" s="16">
        <f>IFERROR(VLOOKUP(DATA!G111,DATA!$G$4:$J$2149,1,FALSE),"")</f>
        <v>3087</v>
      </c>
      <c r="D113" s="16" t="str">
        <f>+IFERROR(VLOOKUP(C113,DATA!$G$4:$H$2000,2,FALSE),"")</f>
        <v xml:space="preserve">ОРГИЛ ХАУС ХХК </v>
      </c>
      <c r="E113" s="16">
        <v>120100</v>
      </c>
      <c r="F113" s="237">
        <v>0</v>
      </c>
      <c r="G113" s="237">
        <f>+SUMIFS(JURNAL!G:G,JURNAL!E:E,E113,JURNAL!L:L,$C113,JURNAL!C:C,"&gt;="&amp;$M$3,JURNAL!C:C,"&lt;="&amp;$N$3)</f>
        <v>0</v>
      </c>
      <c r="H113" s="19">
        <f>+SUMIFS(JURNAL!H:H,JURNAL!E:E,E113,JURNAL!L:L,$C113,JURNAL!C:C,"&gt;="&amp;$M$3,JURNAL!C:C,"&lt;="&amp;$N$3)</f>
        <v>0</v>
      </c>
      <c r="I113" s="237">
        <f t="shared" si="9"/>
        <v>0</v>
      </c>
      <c r="J113" s="16">
        <v>310100</v>
      </c>
      <c r="K113" s="237">
        <v>0</v>
      </c>
      <c r="L113" s="237">
        <f>+SUMIFS(JURNAL!G:G,JURNAL!E:E,J113,JURNAL!L:L,$C113,JURNAL!C:C,"&gt;="&amp;$M$3,JURNAL!C:C,"&lt;="&amp;$N$3)</f>
        <v>0</v>
      </c>
      <c r="M113" s="19">
        <f>+SUMIFS(JURNAL!H:H,JURNAL!E:E,J113,JURNAL!L:L,$C113,JURNAL!C:C,"&gt;="&amp;$M$3,JURNAL!C:C,"&lt;="&amp;$N$3)</f>
        <v>0</v>
      </c>
      <c r="N113" s="20">
        <f t="shared" si="10"/>
        <v>0</v>
      </c>
      <c r="O113" s="237">
        <f t="shared" si="11"/>
        <v>0</v>
      </c>
      <c r="P113" s="16">
        <f t="shared" si="12"/>
        <v>310100</v>
      </c>
      <c r="Q113" s="16">
        <f t="shared" si="13"/>
        <v>120100</v>
      </c>
      <c r="R113" s="237">
        <f t="shared" si="14"/>
        <v>0</v>
      </c>
    </row>
    <row r="114" spans="2:18">
      <c r="B114" s="15">
        <f t="shared" si="8"/>
        <v>109</v>
      </c>
      <c r="C114" s="16">
        <f>IFERROR(VLOOKUP(DATA!G112,DATA!$G$4:$J$2149,1,FALSE),"")</f>
        <v>3088</v>
      </c>
      <c r="D114" s="16" t="str">
        <f>+IFERROR(VLOOKUP(C114,DATA!$G$4:$H$2000,2,FALSE),"")</f>
        <v xml:space="preserve">ОГТОРГУЙН ХУДАГ ХХК </v>
      </c>
      <c r="E114" s="16">
        <v>120100</v>
      </c>
      <c r="F114" s="237">
        <v>0</v>
      </c>
      <c r="G114" s="237">
        <f>+SUMIFS(JURNAL!G:G,JURNAL!E:E,E114,JURNAL!L:L,$C114,JURNAL!C:C,"&gt;="&amp;$M$3,JURNAL!C:C,"&lt;="&amp;$N$3)</f>
        <v>0</v>
      </c>
      <c r="H114" s="19">
        <f>+SUMIFS(JURNAL!H:H,JURNAL!E:E,E114,JURNAL!L:L,$C114,JURNAL!C:C,"&gt;="&amp;$M$3,JURNAL!C:C,"&lt;="&amp;$N$3)</f>
        <v>0</v>
      </c>
      <c r="I114" s="237">
        <f t="shared" si="9"/>
        <v>0</v>
      </c>
      <c r="J114" s="16">
        <v>310100</v>
      </c>
      <c r="K114" s="237">
        <v>0</v>
      </c>
      <c r="L114" s="237">
        <f>+SUMIFS(JURNAL!G:G,JURNAL!E:E,J114,JURNAL!L:L,$C114,JURNAL!C:C,"&gt;="&amp;$M$3,JURNAL!C:C,"&lt;="&amp;$N$3)</f>
        <v>0</v>
      </c>
      <c r="M114" s="19">
        <f>+SUMIFS(JURNAL!H:H,JURNAL!E:E,J114,JURNAL!L:L,$C114,JURNAL!C:C,"&gt;="&amp;$M$3,JURNAL!C:C,"&lt;="&amp;$N$3)</f>
        <v>0</v>
      </c>
      <c r="N114" s="20">
        <f t="shared" si="10"/>
        <v>0</v>
      </c>
      <c r="O114" s="237">
        <f t="shared" si="11"/>
        <v>0</v>
      </c>
      <c r="P114" s="16">
        <f t="shared" si="12"/>
        <v>310100</v>
      </c>
      <c r="Q114" s="16">
        <f t="shared" si="13"/>
        <v>120100</v>
      </c>
      <c r="R114" s="237">
        <f t="shared" si="14"/>
        <v>0</v>
      </c>
    </row>
    <row r="115" spans="2:18">
      <c r="B115" s="15">
        <f t="shared" si="8"/>
        <v>110</v>
      </c>
      <c r="C115" s="16">
        <f>IFERROR(VLOOKUP(DATA!G113,DATA!$G$4:$J$2149,1,FALSE),"")</f>
        <v>3089</v>
      </c>
      <c r="D115" s="16" t="str">
        <f>+IFERROR(VLOOKUP(C115,DATA!$G$4:$H$2000,2,FALSE),"")</f>
        <v>ГУУЛИЙН ДӨШ ХХК</v>
      </c>
      <c r="E115" s="16">
        <v>120100</v>
      </c>
      <c r="F115" s="237">
        <v>0</v>
      </c>
      <c r="G115" s="237">
        <f>+SUMIFS(JURNAL!G:G,JURNAL!E:E,E115,JURNAL!L:L,$C115,JURNAL!C:C,"&gt;="&amp;$M$3,JURNAL!C:C,"&lt;="&amp;$N$3)</f>
        <v>0</v>
      </c>
      <c r="H115" s="19">
        <f>+SUMIFS(JURNAL!H:H,JURNAL!E:E,E115,JURNAL!L:L,$C115,JURNAL!C:C,"&gt;="&amp;$M$3,JURNAL!C:C,"&lt;="&amp;$N$3)</f>
        <v>0</v>
      </c>
      <c r="I115" s="237">
        <f t="shared" si="9"/>
        <v>0</v>
      </c>
      <c r="J115" s="16">
        <v>310100</v>
      </c>
      <c r="K115" s="237">
        <v>0</v>
      </c>
      <c r="L115" s="237">
        <f>+SUMIFS(JURNAL!G:G,JURNAL!E:E,J115,JURNAL!L:L,$C115,JURNAL!C:C,"&gt;="&amp;$M$3,JURNAL!C:C,"&lt;="&amp;$N$3)</f>
        <v>0</v>
      </c>
      <c r="M115" s="19">
        <f>+SUMIFS(JURNAL!H:H,JURNAL!E:E,J115,JURNAL!L:L,$C115,JURNAL!C:C,"&gt;="&amp;$M$3,JURNAL!C:C,"&lt;="&amp;$N$3)</f>
        <v>0</v>
      </c>
      <c r="N115" s="20">
        <f t="shared" si="10"/>
        <v>0</v>
      </c>
      <c r="O115" s="237">
        <f t="shared" si="11"/>
        <v>0</v>
      </c>
      <c r="P115" s="16">
        <f t="shared" si="12"/>
        <v>310100</v>
      </c>
      <c r="Q115" s="16">
        <f t="shared" si="13"/>
        <v>120100</v>
      </c>
      <c r="R115" s="237">
        <f t="shared" si="14"/>
        <v>0</v>
      </c>
    </row>
    <row r="116" spans="2:18">
      <c r="B116" s="15">
        <f t="shared" si="8"/>
        <v>111</v>
      </c>
      <c r="C116" s="16">
        <f>IFERROR(VLOOKUP(DATA!G114,DATA!$G$4:$J$2149,1,FALSE),"")</f>
        <v>3090</v>
      </c>
      <c r="D116" s="16" t="str">
        <f>+IFERROR(VLOOKUP(C116,DATA!$G$4:$H$2000,2,FALSE),"")</f>
        <v>ЭНХ ЭРХЭС ХХК</v>
      </c>
      <c r="E116" s="16">
        <v>120100</v>
      </c>
      <c r="F116" s="237">
        <v>0</v>
      </c>
      <c r="G116" s="237">
        <f>+SUMIFS(JURNAL!G:G,JURNAL!E:E,E116,JURNAL!L:L,$C116,JURNAL!C:C,"&gt;="&amp;$M$3,JURNAL!C:C,"&lt;="&amp;$N$3)</f>
        <v>0</v>
      </c>
      <c r="H116" s="19">
        <f>+SUMIFS(JURNAL!H:H,JURNAL!E:E,E116,JURNAL!L:L,$C116,JURNAL!C:C,"&gt;="&amp;$M$3,JURNAL!C:C,"&lt;="&amp;$N$3)</f>
        <v>0</v>
      </c>
      <c r="I116" s="237">
        <f t="shared" si="9"/>
        <v>0</v>
      </c>
      <c r="J116" s="16">
        <v>310100</v>
      </c>
      <c r="K116" s="237">
        <v>0</v>
      </c>
      <c r="L116" s="237">
        <f>+SUMIFS(JURNAL!G:G,JURNAL!E:E,J116,JURNAL!L:L,$C116,JURNAL!C:C,"&gt;="&amp;$M$3,JURNAL!C:C,"&lt;="&amp;$N$3)</f>
        <v>0</v>
      </c>
      <c r="M116" s="19">
        <f>+SUMIFS(JURNAL!H:H,JURNAL!E:E,J116,JURNAL!L:L,$C116,JURNAL!C:C,"&gt;="&amp;$M$3,JURNAL!C:C,"&lt;="&amp;$N$3)</f>
        <v>0</v>
      </c>
      <c r="N116" s="20">
        <f t="shared" si="10"/>
        <v>0</v>
      </c>
      <c r="O116" s="237">
        <f t="shared" si="11"/>
        <v>0</v>
      </c>
      <c r="P116" s="16">
        <f t="shared" si="12"/>
        <v>310100</v>
      </c>
      <c r="Q116" s="16">
        <f t="shared" si="13"/>
        <v>120100</v>
      </c>
      <c r="R116" s="237">
        <f t="shared" si="14"/>
        <v>0</v>
      </c>
    </row>
    <row r="117" spans="2:18">
      <c r="B117" s="15">
        <f t="shared" si="8"/>
        <v>112</v>
      </c>
      <c r="C117" s="16">
        <f>IFERROR(VLOOKUP(DATA!G115,DATA!$G$4:$J$2149,1,FALSE),"")</f>
        <v>3091</v>
      </c>
      <c r="D117" s="16" t="str">
        <f>+IFERROR(VLOOKUP(C117,DATA!$G$4:$H$2000,2,FALSE),"")</f>
        <v xml:space="preserve">ДЭРСТЭЙ ТАВАН САЛАА ХХК </v>
      </c>
      <c r="E117" s="16">
        <v>120100</v>
      </c>
      <c r="F117" s="237">
        <v>0</v>
      </c>
      <c r="G117" s="237">
        <f>+SUMIFS(JURNAL!G:G,JURNAL!E:E,E117,JURNAL!L:L,$C117,JURNAL!C:C,"&gt;="&amp;$M$3,JURNAL!C:C,"&lt;="&amp;$N$3)</f>
        <v>0</v>
      </c>
      <c r="H117" s="19">
        <f>+SUMIFS(JURNAL!H:H,JURNAL!E:E,E117,JURNAL!L:L,$C117,JURNAL!C:C,"&gt;="&amp;$M$3,JURNAL!C:C,"&lt;="&amp;$N$3)</f>
        <v>0</v>
      </c>
      <c r="I117" s="237">
        <f t="shared" si="9"/>
        <v>0</v>
      </c>
      <c r="J117" s="16">
        <v>310100</v>
      </c>
      <c r="K117" s="237">
        <v>0</v>
      </c>
      <c r="L117" s="237">
        <f>+SUMIFS(JURNAL!G:G,JURNAL!E:E,J117,JURNAL!L:L,$C117,JURNAL!C:C,"&gt;="&amp;$M$3,JURNAL!C:C,"&lt;="&amp;$N$3)</f>
        <v>0</v>
      </c>
      <c r="M117" s="19">
        <f>+SUMIFS(JURNAL!H:H,JURNAL!E:E,J117,JURNAL!L:L,$C117,JURNAL!C:C,"&gt;="&amp;$M$3,JURNAL!C:C,"&lt;="&amp;$N$3)</f>
        <v>0</v>
      </c>
      <c r="N117" s="20">
        <f t="shared" si="10"/>
        <v>0</v>
      </c>
      <c r="O117" s="237">
        <f t="shared" si="11"/>
        <v>0</v>
      </c>
      <c r="P117" s="16">
        <f t="shared" si="12"/>
        <v>310100</v>
      </c>
      <c r="Q117" s="16">
        <f t="shared" si="13"/>
        <v>120100</v>
      </c>
      <c r="R117" s="237">
        <f t="shared" si="14"/>
        <v>0</v>
      </c>
    </row>
    <row r="118" spans="2:18">
      <c r="B118" s="15">
        <f t="shared" si="8"/>
        <v>113</v>
      </c>
      <c r="C118" s="16">
        <f>IFERROR(VLOOKUP(DATA!G116,DATA!$G$4:$J$2149,1,FALSE),"")</f>
        <v>3092</v>
      </c>
      <c r="D118" s="16" t="str">
        <f>+IFERROR(VLOOKUP(C118,DATA!$G$4:$H$2000,2,FALSE),"")</f>
        <v>МӨНХ ВҮҮД ХХК</v>
      </c>
      <c r="E118" s="16">
        <v>120100</v>
      </c>
      <c r="F118" s="237">
        <v>0</v>
      </c>
      <c r="G118" s="237">
        <f>+SUMIFS(JURNAL!G:G,JURNAL!E:E,E118,JURNAL!L:L,$C118,JURNAL!C:C,"&gt;="&amp;$M$3,JURNAL!C:C,"&lt;="&amp;$N$3)</f>
        <v>0</v>
      </c>
      <c r="H118" s="19">
        <f>+SUMIFS(JURNAL!H:H,JURNAL!E:E,E118,JURNAL!L:L,$C118,JURNAL!C:C,"&gt;="&amp;$M$3,JURNAL!C:C,"&lt;="&amp;$N$3)</f>
        <v>0</v>
      </c>
      <c r="I118" s="237">
        <f t="shared" si="9"/>
        <v>0</v>
      </c>
      <c r="J118" s="16">
        <v>310100</v>
      </c>
      <c r="K118" s="237">
        <v>0</v>
      </c>
      <c r="L118" s="237">
        <f>+SUMIFS(JURNAL!G:G,JURNAL!E:E,J118,JURNAL!L:L,$C118,JURNAL!C:C,"&gt;="&amp;$M$3,JURNAL!C:C,"&lt;="&amp;$N$3)</f>
        <v>0</v>
      </c>
      <c r="M118" s="19">
        <f>+SUMIFS(JURNAL!H:H,JURNAL!E:E,J118,JURNAL!L:L,$C118,JURNAL!C:C,"&gt;="&amp;$M$3,JURNAL!C:C,"&lt;="&amp;$N$3)</f>
        <v>0</v>
      </c>
      <c r="N118" s="20">
        <f t="shared" si="10"/>
        <v>0</v>
      </c>
      <c r="O118" s="237">
        <f t="shared" si="11"/>
        <v>0</v>
      </c>
      <c r="P118" s="16">
        <f t="shared" si="12"/>
        <v>310100</v>
      </c>
      <c r="Q118" s="16">
        <f t="shared" si="13"/>
        <v>120100</v>
      </c>
      <c r="R118" s="237">
        <f t="shared" si="14"/>
        <v>0</v>
      </c>
    </row>
    <row r="119" spans="2:18">
      <c r="B119" s="15">
        <f t="shared" si="8"/>
        <v>114</v>
      </c>
      <c r="C119" s="16">
        <f>IFERROR(VLOOKUP(DATA!G117,DATA!$G$4:$J$2149,1,FALSE),"")</f>
        <v>3093</v>
      </c>
      <c r="D119" s="16" t="str">
        <f>+IFERROR(VLOOKUP(C119,DATA!$G$4:$H$2000,2,FALSE),"")</f>
        <v xml:space="preserve">НЬЮ ЭРА ТУР МОНГОЛИА ХХК </v>
      </c>
      <c r="E119" s="16">
        <v>120100</v>
      </c>
      <c r="F119" s="237">
        <v>0</v>
      </c>
      <c r="G119" s="237">
        <f>+SUMIFS(JURNAL!G:G,JURNAL!E:E,E119,JURNAL!L:L,$C119,JURNAL!C:C,"&gt;="&amp;$M$3,JURNAL!C:C,"&lt;="&amp;$N$3)</f>
        <v>0</v>
      </c>
      <c r="H119" s="19">
        <f>+SUMIFS(JURNAL!H:H,JURNAL!E:E,E119,JURNAL!L:L,$C119,JURNAL!C:C,"&gt;="&amp;$M$3,JURNAL!C:C,"&lt;="&amp;$N$3)</f>
        <v>0</v>
      </c>
      <c r="I119" s="237">
        <f t="shared" si="9"/>
        <v>0</v>
      </c>
      <c r="J119" s="16">
        <v>310100</v>
      </c>
      <c r="K119" s="237">
        <v>0</v>
      </c>
      <c r="L119" s="237">
        <f>+SUMIFS(JURNAL!G:G,JURNAL!E:E,J119,JURNAL!L:L,$C119,JURNAL!C:C,"&gt;="&amp;$M$3,JURNAL!C:C,"&lt;="&amp;$N$3)</f>
        <v>0</v>
      </c>
      <c r="M119" s="19">
        <f>+SUMIFS(JURNAL!H:H,JURNAL!E:E,J119,JURNAL!L:L,$C119,JURNAL!C:C,"&gt;="&amp;$M$3,JURNAL!C:C,"&lt;="&amp;$N$3)</f>
        <v>0</v>
      </c>
      <c r="N119" s="20">
        <f t="shared" si="10"/>
        <v>0</v>
      </c>
      <c r="O119" s="237">
        <f t="shared" si="11"/>
        <v>0</v>
      </c>
      <c r="P119" s="16">
        <f t="shared" si="12"/>
        <v>310100</v>
      </c>
      <c r="Q119" s="16">
        <f t="shared" si="13"/>
        <v>120100</v>
      </c>
      <c r="R119" s="237">
        <f t="shared" si="14"/>
        <v>0</v>
      </c>
    </row>
    <row r="120" spans="2:18">
      <c r="B120" s="15">
        <f t="shared" si="8"/>
        <v>115</v>
      </c>
      <c r="C120" s="16">
        <f>IFERROR(VLOOKUP(DATA!G118,DATA!$G$4:$J$2149,1,FALSE),"")</f>
        <v>3094</v>
      </c>
      <c r="D120" s="16" t="str">
        <f>+IFERROR(VLOOKUP(C120,DATA!$G$4:$H$2000,2,FALSE),"")</f>
        <v xml:space="preserve">ТОД УНДАРГА ХХК </v>
      </c>
      <c r="E120" s="16">
        <v>120100</v>
      </c>
      <c r="F120" s="237">
        <v>0</v>
      </c>
      <c r="G120" s="237">
        <f>+SUMIFS(JURNAL!G:G,JURNAL!E:E,E120,JURNAL!L:L,$C120,JURNAL!C:C,"&gt;="&amp;$M$3,JURNAL!C:C,"&lt;="&amp;$N$3)</f>
        <v>0</v>
      </c>
      <c r="H120" s="19">
        <f>+SUMIFS(JURNAL!H:H,JURNAL!E:E,E120,JURNAL!L:L,$C120,JURNAL!C:C,"&gt;="&amp;$M$3,JURNAL!C:C,"&lt;="&amp;$N$3)</f>
        <v>0</v>
      </c>
      <c r="I120" s="237">
        <f t="shared" si="9"/>
        <v>0</v>
      </c>
      <c r="J120" s="16">
        <v>310100</v>
      </c>
      <c r="K120" s="237">
        <v>0</v>
      </c>
      <c r="L120" s="237">
        <f>+SUMIFS(JURNAL!G:G,JURNAL!E:E,J120,JURNAL!L:L,$C120,JURNAL!C:C,"&gt;="&amp;$M$3,JURNAL!C:C,"&lt;="&amp;$N$3)</f>
        <v>0</v>
      </c>
      <c r="M120" s="19">
        <f>+SUMIFS(JURNAL!H:H,JURNAL!E:E,J120,JURNAL!L:L,$C120,JURNAL!C:C,"&gt;="&amp;$M$3,JURNAL!C:C,"&lt;="&amp;$N$3)</f>
        <v>0</v>
      </c>
      <c r="N120" s="20">
        <f t="shared" si="10"/>
        <v>0</v>
      </c>
      <c r="O120" s="237">
        <f t="shared" si="11"/>
        <v>0</v>
      </c>
      <c r="P120" s="16">
        <f t="shared" si="12"/>
        <v>310100</v>
      </c>
      <c r="Q120" s="16">
        <f t="shared" si="13"/>
        <v>120100</v>
      </c>
      <c r="R120" s="237">
        <f t="shared" si="14"/>
        <v>0</v>
      </c>
    </row>
    <row r="121" spans="2:18">
      <c r="B121" s="15">
        <f t="shared" si="8"/>
        <v>116</v>
      </c>
      <c r="C121" s="16">
        <f>IFERROR(VLOOKUP(DATA!G119,DATA!$G$4:$J$2149,1,FALSE),"")</f>
        <v>3095</v>
      </c>
      <c r="D121" s="16" t="str">
        <f>+IFERROR(VLOOKUP(C121,DATA!$G$4:$H$2000,2,FALSE),"")</f>
        <v xml:space="preserve">БАТС ӨРГӨӨ ХХК </v>
      </c>
      <c r="E121" s="16">
        <v>120100</v>
      </c>
      <c r="F121" s="237">
        <v>0</v>
      </c>
      <c r="G121" s="237">
        <f>+SUMIFS(JURNAL!G:G,JURNAL!E:E,E121,JURNAL!L:L,$C121,JURNAL!C:C,"&gt;="&amp;$M$3,JURNAL!C:C,"&lt;="&amp;$N$3)</f>
        <v>0</v>
      </c>
      <c r="H121" s="19">
        <f>+SUMIFS(JURNAL!H:H,JURNAL!E:E,E121,JURNAL!L:L,$C121,JURNAL!C:C,"&gt;="&amp;$M$3,JURNAL!C:C,"&lt;="&amp;$N$3)</f>
        <v>0</v>
      </c>
      <c r="I121" s="237">
        <f t="shared" si="9"/>
        <v>0</v>
      </c>
      <c r="J121" s="16">
        <v>310100</v>
      </c>
      <c r="K121" s="237">
        <v>0</v>
      </c>
      <c r="L121" s="237">
        <f>+SUMIFS(JURNAL!G:G,JURNAL!E:E,J121,JURNAL!L:L,$C121,JURNAL!C:C,"&gt;="&amp;$M$3,JURNAL!C:C,"&lt;="&amp;$N$3)</f>
        <v>0</v>
      </c>
      <c r="M121" s="19">
        <f>+SUMIFS(JURNAL!H:H,JURNAL!E:E,J121,JURNAL!L:L,$C121,JURNAL!C:C,"&gt;="&amp;$M$3,JURNAL!C:C,"&lt;="&amp;$N$3)</f>
        <v>0</v>
      </c>
      <c r="N121" s="20">
        <f t="shared" si="10"/>
        <v>0</v>
      </c>
      <c r="O121" s="237">
        <f t="shared" si="11"/>
        <v>0</v>
      </c>
      <c r="P121" s="16">
        <f t="shared" si="12"/>
        <v>310100</v>
      </c>
      <c r="Q121" s="16">
        <f t="shared" si="13"/>
        <v>120100</v>
      </c>
      <c r="R121" s="237">
        <f t="shared" si="14"/>
        <v>0</v>
      </c>
    </row>
    <row r="122" spans="2:18">
      <c r="B122" s="15">
        <f t="shared" si="8"/>
        <v>117</v>
      </c>
      <c r="C122" s="16">
        <f>IFERROR(VLOOKUP(DATA!G120,DATA!$G$4:$J$2149,1,FALSE),"")</f>
        <v>3096</v>
      </c>
      <c r="D122" s="16" t="str">
        <f>+IFERROR(VLOOKUP(C122,DATA!$G$4:$H$2000,2,FALSE),"")</f>
        <v>ЭРДЭНЭДРИЙЛИНГ ХХК</v>
      </c>
      <c r="E122" s="16">
        <v>120100</v>
      </c>
      <c r="F122" s="237">
        <v>0</v>
      </c>
      <c r="G122" s="237">
        <f>+SUMIFS(JURNAL!G:G,JURNAL!E:E,E122,JURNAL!L:L,$C122,JURNAL!C:C,"&gt;="&amp;$M$3,JURNAL!C:C,"&lt;="&amp;$N$3)</f>
        <v>0</v>
      </c>
      <c r="H122" s="19">
        <f>+SUMIFS(JURNAL!H:H,JURNAL!E:E,E122,JURNAL!L:L,$C122,JURNAL!C:C,"&gt;="&amp;$M$3,JURNAL!C:C,"&lt;="&amp;$N$3)</f>
        <v>0</v>
      </c>
      <c r="I122" s="237">
        <f t="shared" si="9"/>
        <v>0</v>
      </c>
      <c r="J122" s="16">
        <v>310100</v>
      </c>
      <c r="K122" s="237">
        <v>0</v>
      </c>
      <c r="L122" s="237">
        <f>+SUMIFS(JURNAL!G:G,JURNAL!E:E,J122,JURNAL!L:L,$C122,JURNAL!C:C,"&gt;="&amp;$M$3,JURNAL!C:C,"&lt;="&amp;$N$3)</f>
        <v>0</v>
      </c>
      <c r="M122" s="19">
        <f>+SUMIFS(JURNAL!H:H,JURNAL!E:E,J122,JURNAL!L:L,$C122,JURNAL!C:C,"&gt;="&amp;$M$3,JURNAL!C:C,"&lt;="&amp;$N$3)</f>
        <v>0</v>
      </c>
      <c r="N122" s="20">
        <f t="shared" si="10"/>
        <v>0</v>
      </c>
      <c r="O122" s="237">
        <f t="shared" si="11"/>
        <v>0</v>
      </c>
      <c r="P122" s="16">
        <f t="shared" si="12"/>
        <v>310100</v>
      </c>
      <c r="Q122" s="16">
        <f t="shared" si="13"/>
        <v>120100</v>
      </c>
      <c r="R122" s="237">
        <f t="shared" si="14"/>
        <v>0</v>
      </c>
    </row>
    <row r="123" spans="2:18">
      <c r="B123" s="15">
        <f t="shared" si="8"/>
        <v>118</v>
      </c>
      <c r="C123" s="16">
        <f>IFERROR(VLOOKUP(DATA!G121,DATA!$G$4:$J$2149,1,FALSE),"")</f>
        <v>3097</v>
      </c>
      <c r="D123" s="16" t="str">
        <f>+IFERROR(VLOOKUP(C123,DATA!$G$4:$H$2000,2,FALSE),"")</f>
        <v xml:space="preserve">ХӨВСГӨЛ ТРЕЙВЛ ХХК </v>
      </c>
      <c r="E123" s="16">
        <v>120100</v>
      </c>
      <c r="F123" s="237">
        <v>0</v>
      </c>
      <c r="G123" s="237">
        <f>+SUMIFS(JURNAL!G:G,JURNAL!E:E,E123,JURNAL!L:L,$C123,JURNAL!C:C,"&gt;="&amp;$M$3,JURNAL!C:C,"&lt;="&amp;$N$3)</f>
        <v>0</v>
      </c>
      <c r="H123" s="19">
        <f>+SUMIFS(JURNAL!H:H,JURNAL!E:E,E123,JURNAL!L:L,$C123,JURNAL!C:C,"&gt;="&amp;$M$3,JURNAL!C:C,"&lt;="&amp;$N$3)</f>
        <v>0</v>
      </c>
      <c r="I123" s="237">
        <f t="shared" si="9"/>
        <v>0</v>
      </c>
      <c r="J123" s="16">
        <v>310100</v>
      </c>
      <c r="K123" s="237">
        <v>0</v>
      </c>
      <c r="L123" s="237">
        <f>+SUMIFS(JURNAL!G:G,JURNAL!E:E,J123,JURNAL!L:L,$C123,JURNAL!C:C,"&gt;="&amp;$M$3,JURNAL!C:C,"&lt;="&amp;$N$3)</f>
        <v>0</v>
      </c>
      <c r="M123" s="19">
        <f>+SUMIFS(JURNAL!H:H,JURNAL!E:E,J123,JURNAL!L:L,$C123,JURNAL!C:C,"&gt;="&amp;$M$3,JURNAL!C:C,"&lt;="&amp;$N$3)</f>
        <v>0</v>
      </c>
      <c r="N123" s="20">
        <f t="shared" si="10"/>
        <v>0</v>
      </c>
      <c r="O123" s="237">
        <f t="shared" si="11"/>
        <v>0</v>
      </c>
      <c r="P123" s="16">
        <f t="shared" si="12"/>
        <v>310100</v>
      </c>
      <c r="Q123" s="16">
        <f t="shared" si="13"/>
        <v>120100</v>
      </c>
      <c r="R123" s="237">
        <f t="shared" si="14"/>
        <v>0</v>
      </c>
    </row>
    <row r="124" spans="2:18">
      <c r="B124" s="15">
        <f t="shared" si="8"/>
        <v>119</v>
      </c>
      <c r="C124" s="16">
        <f>IFERROR(VLOOKUP(DATA!G122,DATA!$G$4:$J$2149,1,FALSE),"")</f>
        <v>3098</v>
      </c>
      <c r="D124" s="16" t="str">
        <f>+IFERROR(VLOOKUP(C124,DATA!$G$4:$H$2000,2,FALSE),"")</f>
        <v xml:space="preserve">ЭБСО ХХК </v>
      </c>
      <c r="E124" s="16">
        <v>120100</v>
      </c>
      <c r="F124" s="237">
        <v>0</v>
      </c>
      <c r="G124" s="237">
        <f>+SUMIFS(JURNAL!G:G,JURNAL!E:E,E124,JURNAL!L:L,$C124,JURNAL!C:C,"&gt;="&amp;$M$3,JURNAL!C:C,"&lt;="&amp;$N$3)</f>
        <v>0</v>
      </c>
      <c r="H124" s="19">
        <f>+SUMIFS(JURNAL!H:H,JURNAL!E:E,E124,JURNAL!L:L,$C124,JURNAL!C:C,"&gt;="&amp;$M$3,JURNAL!C:C,"&lt;="&amp;$N$3)</f>
        <v>0</v>
      </c>
      <c r="I124" s="237">
        <f>+F124+G124-H124</f>
        <v>0</v>
      </c>
      <c r="J124" s="16">
        <v>310100</v>
      </c>
      <c r="K124" s="237">
        <v>0</v>
      </c>
      <c r="L124" s="237">
        <f>+SUMIFS(JURNAL!G:G,JURNAL!E:E,J124,JURNAL!L:L,$C124,JURNAL!C:C,"&gt;="&amp;$M$3,JURNAL!C:C,"&lt;="&amp;$N$3)</f>
        <v>0</v>
      </c>
      <c r="M124" s="19">
        <f>+SUMIFS(JURNAL!H:H,JURNAL!E:E,J124,JURNAL!L:L,$C124,JURNAL!C:C,"&gt;="&amp;$M$3,JURNAL!C:C,"&lt;="&amp;$N$3)</f>
        <v>0</v>
      </c>
      <c r="N124" s="20">
        <f>+K124+M124-L124</f>
        <v>0</v>
      </c>
      <c r="O124" s="237">
        <f t="shared" si="11"/>
        <v>0</v>
      </c>
      <c r="P124" s="16">
        <f t="shared" si="12"/>
        <v>310100</v>
      </c>
      <c r="Q124" s="16">
        <f t="shared" si="13"/>
        <v>120100</v>
      </c>
      <c r="R124" s="237">
        <f t="shared" si="14"/>
        <v>0</v>
      </c>
    </row>
    <row r="125" spans="2:18">
      <c r="B125" s="15">
        <f t="shared" si="8"/>
        <v>120</v>
      </c>
      <c r="C125" s="16">
        <f>IFERROR(VLOOKUP(DATA!G123,DATA!$G$4:$J$2149,1,FALSE),"")</f>
        <v>3099</v>
      </c>
      <c r="D125" s="16" t="str">
        <f>+IFERROR(VLOOKUP(C125,DATA!$G$4:$H$2000,2,FALSE),"")</f>
        <v xml:space="preserve">ГРАНД СЛАБ ХХК </v>
      </c>
      <c r="E125" s="16">
        <v>120100</v>
      </c>
      <c r="F125" s="237">
        <v>0</v>
      </c>
      <c r="G125" s="237">
        <f>+SUMIFS(JURNAL!G:G,JURNAL!E:E,E125,JURNAL!L:L,$C125,JURNAL!C:C,"&gt;="&amp;$M$3,JURNAL!C:C,"&lt;="&amp;$N$3)</f>
        <v>0</v>
      </c>
      <c r="H125" s="19">
        <f>+SUMIFS(JURNAL!H:H,JURNAL!E:E,E125,JURNAL!L:L,$C125,JURNAL!C:C,"&gt;="&amp;$M$3,JURNAL!C:C,"&lt;="&amp;$N$3)</f>
        <v>0</v>
      </c>
      <c r="I125" s="237">
        <f t="shared" ref="I125:I137" si="15">+F125+G125-H125</f>
        <v>0</v>
      </c>
      <c r="J125" s="16">
        <v>310100</v>
      </c>
      <c r="K125" s="237">
        <v>0</v>
      </c>
      <c r="L125" s="237">
        <f>+SUMIFS(JURNAL!G:G,JURNAL!E:E,J125,JURNAL!L:L,$C125,JURNAL!C:C,"&gt;="&amp;$M$3,JURNAL!C:C,"&lt;="&amp;$N$3)</f>
        <v>0</v>
      </c>
      <c r="M125" s="19">
        <f>+SUMIFS(JURNAL!H:H,JURNAL!E:E,J125,JURNAL!L:L,$C125,JURNAL!C:C,"&gt;="&amp;$M$3,JURNAL!C:C,"&lt;="&amp;$N$3)</f>
        <v>0</v>
      </c>
      <c r="N125" s="20">
        <f t="shared" ref="N125:N137" si="16">+K125+M125-L125</f>
        <v>0</v>
      </c>
      <c r="O125" s="237">
        <f t="shared" si="11"/>
        <v>0</v>
      </c>
      <c r="P125" s="16">
        <f t="shared" si="12"/>
        <v>310100</v>
      </c>
      <c r="Q125" s="16">
        <f t="shared" si="13"/>
        <v>120100</v>
      </c>
      <c r="R125" s="237">
        <f t="shared" si="14"/>
        <v>0</v>
      </c>
    </row>
    <row r="126" spans="2:18">
      <c r="B126" s="15">
        <f t="shared" si="8"/>
        <v>121</v>
      </c>
      <c r="C126" s="16">
        <f>IFERROR(VLOOKUP(DATA!G124,DATA!$G$4:$J$2149,1,FALSE),"")</f>
        <v>3100</v>
      </c>
      <c r="D126" s="16" t="str">
        <f>+IFERROR(VLOOKUP(C126,DATA!$G$4:$H$2000,2,FALSE),"")</f>
        <v xml:space="preserve">УЛЬТРАСОНИК ХХК </v>
      </c>
      <c r="E126" s="16">
        <v>120100</v>
      </c>
      <c r="F126" s="237">
        <v>0</v>
      </c>
      <c r="G126" s="237">
        <f>+SUMIFS(JURNAL!G:G,JURNAL!E:E,E126,JURNAL!L:L,$C126,JURNAL!C:C,"&gt;="&amp;$M$3,JURNAL!C:C,"&lt;="&amp;$N$3)</f>
        <v>0</v>
      </c>
      <c r="H126" s="19">
        <f>+SUMIFS(JURNAL!H:H,JURNAL!E:E,E126,JURNAL!L:L,$C126,JURNAL!C:C,"&gt;="&amp;$M$3,JURNAL!C:C,"&lt;="&amp;$N$3)</f>
        <v>0</v>
      </c>
      <c r="I126" s="237">
        <f t="shared" si="15"/>
        <v>0</v>
      </c>
      <c r="J126" s="16">
        <v>310100</v>
      </c>
      <c r="K126" s="237">
        <v>0</v>
      </c>
      <c r="L126" s="237">
        <f>+SUMIFS(JURNAL!G:G,JURNAL!E:E,J126,JURNAL!L:L,$C126,JURNAL!C:C,"&gt;="&amp;$M$3,JURNAL!C:C,"&lt;="&amp;$N$3)</f>
        <v>0</v>
      </c>
      <c r="M126" s="19">
        <f>+SUMIFS(JURNAL!H:H,JURNAL!E:E,J126,JURNAL!L:L,$C126,JURNAL!C:C,"&gt;="&amp;$M$3,JURNAL!C:C,"&lt;="&amp;$N$3)</f>
        <v>0</v>
      </c>
      <c r="N126" s="20">
        <f t="shared" si="16"/>
        <v>0</v>
      </c>
      <c r="O126" s="237">
        <f t="shared" si="11"/>
        <v>0</v>
      </c>
      <c r="P126" s="16">
        <f t="shared" si="12"/>
        <v>310100</v>
      </c>
      <c r="Q126" s="16">
        <f t="shared" si="13"/>
        <v>120100</v>
      </c>
      <c r="R126" s="237">
        <f t="shared" si="14"/>
        <v>0</v>
      </c>
    </row>
    <row r="127" spans="2:18">
      <c r="B127" s="15">
        <f t="shared" si="8"/>
        <v>122</v>
      </c>
      <c r="C127" s="16">
        <f>IFERROR(VLOOKUP(DATA!G125,DATA!$G$4:$J$2149,1,FALSE),"")</f>
        <v>3101</v>
      </c>
      <c r="D127" s="16" t="str">
        <f>+IFERROR(VLOOKUP(C127,DATA!$G$4:$H$2000,2,FALSE),"")</f>
        <v xml:space="preserve">АЛТАН ТАРИА ХХК </v>
      </c>
      <c r="E127" s="16">
        <v>120100</v>
      </c>
      <c r="F127" s="237">
        <v>0</v>
      </c>
      <c r="G127" s="237">
        <f>+SUMIFS(JURNAL!G:G,JURNAL!E:E,E127,JURNAL!L:L,$C127,JURNAL!C:C,"&gt;="&amp;$M$3,JURNAL!C:C,"&lt;="&amp;$N$3)</f>
        <v>0</v>
      </c>
      <c r="H127" s="19">
        <f>+SUMIFS(JURNAL!H:H,JURNAL!E:E,E127,JURNAL!L:L,$C127,JURNAL!C:C,"&gt;="&amp;$M$3,JURNAL!C:C,"&lt;="&amp;$N$3)</f>
        <v>0</v>
      </c>
      <c r="I127" s="237">
        <f t="shared" si="15"/>
        <v>0</v>
      </c>
      <c r="J127" s="16">
        <v>310100</v>
      </c>
      <c r="K127" s="237">
        <v>0</v>
      </c>
      <c r="L127" s="237">
        <f>+SUMIFS(JURNAL!G:G,JURNAL!E:E,J127,JURNAL!L:L,$C127,JURNAL!C:C,"&gt;="&amp;$M$3,JURNAL!C:C,"&lt;="&amp;$N$3)</f>
        <v>0</v>
      </c>
      <c r="M127" s="19">
        <f>+SUMIFS(JURNAL!H:H,JURNAL!E:E,J127,JURNAL!L:L,$C127,JURNAL!C:C,"&gt;="&amp;$M$3,JURNAL!C:C,"&lt;="&amp;$N$3)</f>
        <v>0</v>
      </c>
      <c r="N127" s="20">
        <f t="shared" si="16"/>
        <v>0</v>
      </c>
      <c r="O127" s="237">
        <f t="shared" si="11"/>
        <v>0</v>
      </c>
      <c r="P127" s="16">
        <f t="shared" si="12"/>
        <v>310100</v>
      </c>
      <c r="Q127" s="16">
        <f t="shared" si="13"/>
        <v>120100</v>
      </c>
      <c r="R127" s="237">
        <f t="shared" si="14"/>
        <v>0</v>
      </c>
    </row>
    <row r="128" spans="2:18">
      <c r="B128" s="15">
        <f t="shared" si="8"/>
        <v>123</v>
      </c>
      <c r="C128" s="16">
        <f>IFERROR(VLOOKUP(DATA!G126,DATA!$G$4:$J$2149,1,FALSE),"")</f>
        <v>3102</v>
      </c>
      <c r="D128" s="16" t="str">
        <f>+IFERROR(VLOOKUP(C128,DATA!$G$4:$H$2000,2,FALSE),"")</f>
        <v xml:space="preserve">ВОРК ШОП ХХК </v>
      </c>
      <c r="E128" s="16">
        <v>120100</v>
      </c>
      <c r="F128" s="237">
        <v>0</v>
      </c>
      <c r="G128" s="237">
        <f>+SUMIFS(JURNAL!G:G,JURNAL!E:E,E128,JURNAL!L:L,$C128,JURNAL!C:C,"&gt;="&amp;$M$3,JURNAL!C:C,"&lt;="&amp;$N$3)</f>
        <v>0</v>
      </c>
      <c r="H128" s="19">
        <f>+SUMIFS(JURNAL!H:H,JURNAL!E:E,E128,JURNAL!L:L,$C128,JURNAL!C:C,"&gt;="&amp;$M$3,JURNAL!C:C,"&lt;="&amp;$N$3)</f>
        <v>0</v>
      </c>
      <c r="I128" s="237">
        <f t="shared" si="15"/>
        <v>0</v>
      </c>
      <c r="J128" s="16">
        <v>310100</v>
      </c>
      <c r="K128" s="237">
        <v>0</v>
      </c>
      <c r="L128" s="237">
        <f>+SUMIFS(JURNAL!G:G,JURNAL!E:E,J128,JURNAL!L:L,$C128,JURNAL!C:C,"&gt;="&amp;$M$3,JURNAL!C:C,"&lt;="&amp;$N$3)</f>
        <v>0</v>
      </c>
      <c r="M128" s="19">
        <f>+SUMIFS(JURNAL!H:H,JURNAL!E:E,J128,JURNAL!L:L,$C128,JURNAL!C:C,"&gt;="&amp;$M$3,JURNAL!C:C,"&lt;="&amp;$N$3)</f>
        <v>0</v>
      </c>
      <c r="N128" s="20">
        <f t="shared" si="16"/>
        <v>0</v>
      </c>
      <c r="O128" s="237">
        <f t="shared" si="11"/>
        <v>0</v>
      </c>
      <c r="P128" s="16">
        <f t="shared" si="12"/>
        <v>310100</v>
      </c>
      <c r="Q128" s="16">
        <f t="shared" si="13"/>
        <v>120100</v>
      </c>
      <c r="R128" s="237">
        <f t="shared" si="14"/>
        <v>0</v>
      </c>
    </row>
    <row r="129" spans="2:18">
      <c r="B129" s="15">
        <f t="shared" si="8"/>
        <v>124</v>
      </c>
      <c r="C129" s="16">
        <f>IFERROR(VLOOKUP(DATA!G127,DATA!$G$4:$J$2149,1,FALSE),"")</f>
        <v>3103</v>
      </c>
      <c r="D129" s="16" t="str">
        <f>+IFERROR(VLOOKUP(C129,DATA!$G$4:$H$2000,2,FALSE),"")</f>
        <v xml:space="preserve">СКАЙ ФОРТУН ХХК </v>
      </c>
      <c r="E129" s="16">
        <v>120100</v>
      </c>
      <c r="F129" s="237">
        <v>0</v>
      </c>
      <c r="G129" s="237">
        <f>+SUMIFS(JURNAL!G:G,JURNAL!E:E,E129,JURNAL!L:L,$C129,JURNAL!C:C,"&gt;="&amp;$M$3,JURNAL!C:C,"&lt;="&amp;$N$3)</f>
        <v>0</v>
      </c>
      <c r="H129" s="19">
        <f>+SUMIFS(JURNAL!H:H,JURNAL!E:E,E129,JURNAL!L:L,$C129,JURNAL!C:C,"&gt;="&amp;$M$3,JURNAL!C:C,"&lt;="&amp;$N$3)</f>
        <v>0</v>
      </c>
      <c r="I129" s="237">
        <f t="shared" si="15"/>
        <v>0</v>
      </c>
      <c r="J129" s="16">
        <v>310100</v>
      </c>
      <c r="K129" s="237">
        <v>0</v>
      </c>
      <c r="L129" s="237">
        <f>+SUMIFS(JURNAL!G:G,JURNAL!E:E,J129,JURNAL!L:L,$C129,JURNAL!C:C,"&gt;="&amp;$M$3,JURNAL!C:C,"&lt;="&amp;$N$3)</f>
        <v>0</v>
      </c>
      <c r="M129" s="19">
        <f>+SUMIFS(JURNAL!H:H,JURNAL!E:E,J129,JURNAL!L:L,$C129,JURNAL!C:C,"&gt;="&amp;$M$3,JURNAL!C:C,"&lt;="&amp;$N$3)</f>
        <v>0</v>
      </c>
      <c r="N129" s="20">
        <f t="shared" si="16"/>
        <v>0</v>
      </c>
      <c r="O129" s="237">
        <f t="shared" si="11"/>
        <v>0</v>
      </c>
      <c r="P129" s="16">
        <f t="shared" si="12"/>
        <v>310100</v>
      </c>
      <c r="Q129" s="16">
        <f t="shared" si="13"/>
        <v>120100</v>
      </c>
      <c r="R129" s="237">
        <f t="shared" si="14"/>
        <v>0</v>
      </c>
    </row>
    <row r="130" spans="2:18">
      <c r="B130" s="15">
        <f t="shared" si="8"/>
        <v>125</v>
      </c>
      <c r="C130" s="16">
        <f>IFERROR(VLOOKUP(DATA!G128,DATA!$G$4:$J$2149,1,FALSE),"")</f>
        <v>3104</v>
      </c>
      <c r="D130" s="16" t="str">
        <f>+IFERROR(VLOOKUP(C130,DATA!$G$4:$H$2000,2,FALSE),"")</f>
        <v>ХҮРЭЭ ЦАМХАГ ХХК</v>
      </c>
      <c r="E130" s="16">
        <v>120100</v>
      </c>
      <c r="F130" s="237">
        <v>0</v>
      </c>
      <c r="G130" s="237">
        <f>+SUMIFS(JURNAL!G:G,JURNAL!E:E,E130,JURNAL!L:L,$C130,JURNAL!C:C,"&gt;="&amp;$M$3,JURNAL!C:C,"&lt;="&amp;$N$3)</f>
        <v>0</v>
      </c>
      <c r="H130" s="19">
        <f>+SUMIFS(JURNAL!H:H,JURNAL!E:E,E130,JURNAL!L:L,$C130,JURNAL!C:C,"&gt;="&amp;$M$3,JURNAL!C:C,"&lt;="&amp;$N$3)</f>
        <v>0</v>
      </c>
      <c r="I130" s="237">
        <f t="shared" si="15"/>
        <v>0</v>
      </c>
      <c r="J130" s="16">
        <v>310100</v>
      </c>
      <c r="K130" s="237">
        <v>0</v>
      </c>
      <c r="L130" s="237">
        <f>+SUMIFS(JURNAL!G:G,JURNAL!E:E,J130,JURNAL!L:L,$C130,JURNAL!C:C,"&gt;="&amp;$M$3,JURNAL!C:C,"&lt;="&amp;$N$3)</f>
        <v>0</v>
      </c>
      <c r="M130" s="19">
        <f>+SUMIFS(JURNAL!H:H,JURNAL!E:E,J130,JURNAL!L:L,$C130,JURNAL!C:C,"&gt;="&amp;$M$3,JURNAL!C:C,"&lt;="&amp;$N$3)</f>
        <v>0</v>
      </c>
      <c r="N130" s="20">
        <f t="shared" si="16"/>
        <v>0</v>
      </c>
      <c r="O130" s="237">
        <f t="shared" si="11"/>
        <v>0</v>
      </c>
      <c r="P130" s="16">
        <f t="shared" si="12"/>
        <v>310100</v>
      </c>
      <c r="Q130" s="16">
        <f t="shared" si="13"/>
        <v>120100</v>
      </c>
      <c r="R130" s="237">
        <f t="shared" si="14"/>
        <v>0</v>
      </c>
    </row>
    <row r="131" spans="2:18">
      <c r="B131" s="15">
        <f t="shared" si="8"/>
        <v>126</v>
      </c>
      <c r="C131" s="16">
        <f>IFERROR(VLOOKUP(DATA!G129,DATA!$G$4:$J$2149,1,FALSE),"")</f>
        <v>3105</v>
      </c>
      <c r="D131" s="16" t="str">
        <f>+IFERROR(VLOOKUP(C131,DATA!$G$4:$H$2000,2,FALSE),"")</f>
        <v>ЖИНС ХАЙРХАН ХХК</v>
      </c>
      <c r="E131" s="16">
        <v>120100</v>
      </c>
      <c r="F131" s="237">
        <v>0</v>
      </c>
      <c r="G131" s="237">
        <f>+SUMIFS(JURNAL!G:G,JURNAL!E:E,E131,JURNAL!L:L,$C131,JURNAL!C:C,"&gt;="&amp;$M$3,JURNAL!C:C,"&lt;="&amp;$N$3)</f>
        <v>0</v>
      </c>
      <c r="H131" s="19">
        <f>+SUMIFS(JURNAL!H:H,JURNAL!E:E,E131,JURNAL!L:L,$C131,JURNAL!C:C,"&gt;="&amp;$M$3,JURNAL!C:C,"&lt;="&amp;$N$3)</f>
        <v>0</v>
      </c>
      <c r="I131" s="237">
        <f t="shared" si="15"/>
        <v>0</v>
      </c>
      <c r="J131" s="16">
        <v>310100</v>
      </c>
      <c r="K131" s="237">
        <v>0</v>
      </c>
      <c r="L131" s="237">
        <f>+SUMIFS(JURNAL!G:G,JURNAL!E:E,J131,JURNAL!L:L,$C131,JURNAL!C:C,"&gt;="&amp;$M$3,JURNAL!C:C,"&lt;="&amp;$N$3)</f>
        <v>0</v>
      </c>
      <c r="M131" s="19">
        <f>+SUMIFS(JURNAL!H:H,JURNAL!E:E,J131,JURNAL!L:L,$C131,JURNAL!C:C,"&gt;="&amp;$M$3,JURNAL!C:C,"&lt;="&amp;$N$3)</f>
        <v>0</v>
      </c>
      <c r="N131" s="20">
        <f t="shared" si="16"/>
        <v>0</v>
      </c>
      <c r="O131" s="237">
        <f t="shared" si="11"/>
        <v>0</v>
      </c>
      <c r="P131" s="16">
        <f t="shared" si="12"/>
        <v>310100</v>
      </c>
      <c r="Q131" s="16">
        <f t="shared" si="13"/>
        <v>120100</v>
      </c>
      <c r="R131" s="237">
        <f t="shared" si="14"/>
        <v>0</v>
      </c>
    </row>
    <row r="132" spans="2:18">
      <c r="B132" s="15">
        <f t="shared" si="8"/>
        <v>127</v>
      </c>
      <c r="C132" s="16">
        <f>IFERROR(VLOOKUP(DATA!G130,DATA!$G$4:$J$2149,1,FALSE),"")</f>
        <v>3106</v>
      </c>
      <c r="D132" s="16" t="str">
        <f>+IFERROR(VLOOKUP(C132,DATA!$G$4:$H$2000,2,FALSE),"")</f>
        <v xml:space="preserve">ГАН ЗОСОН КОНСТРАКШН ХХК </v>
      </c>
      <c r="E132" s="16">
        <v>120100</v>
      </c>
      <c r="F132" s="237">
        <v>0</v>
      </c>
      <c r="G132" s="237">
        <f>+SUMIFS(JURNAL!G:G,JURNAL!E:E,E132,JURNAL!L:L,$C132,JURNAL!C:C,"&gt;="&amp;$M$3,JURNAL!C:C,"&lt;="&amp;$N$3)</f>
        <v>0</v>
      </c>
      <c r="H132" s="19">
        <f>+SUMIFS(JURNAL!H:H,JURNAL!E:E,E132,JURNAL!L:L,$C132,JURNAL!C:C,"&gt;="&amp;$M$3,JURNAL!C:C,"&lt;="&amp;$N$3)</f>
        <v>0</v>
      </c>
      <c r="I132" s="237">
        <f t="shared" si="15"/>
        <v>0</v>
      </c>
      <c r="J132" s="16">
        <v>310100</v>
      </c>
      <c r="K132" s="237">
        <v>0</v>
      </c>
      <c r="L132" s="237">
        <f>+SUMIFS(JURNAL!G:G,JURNAL!E:E,J132,JURNAL!L:L,$C132,JURNAL!C:C,"&gt;="&amp;$M$3,JURNAL!C:C,"&lt;="&amp;$N$3)</f>
        <v>0</v>
      </c>
      <c r="M132" s="19">
        <f>+SUMIFS(JURNAL!H:H,JURNAL!E:E,J132,JURNAL!L:L,$C132,JURNAL!C:C,"&gt;="&amp;$M$3,JURNAL!C:C,"&lt;="&amp;$N$3)</f>
        <v>0</v>
      </c>
      <c r="N132" s="20">
        <f t="shared" si="16"/>
        <v>0</v>
      </c>
      <c r="O132" s="237">
        <f t="shared" si="11"/>
        <v>0</v>
      </c>
      <c r="P132" s="16">
        <f t="shared" si="12"/>
        <v>310100</v>
      </c>
      <c r="Q132" s="16">
        <f t="shared" si="13"/>
        <v>120100</v>
      </c>
      <c r="R132" s="237">
        <f t="shared" si="14"/>
        <v>0</v>
      </c>
    </row>
    <row r="133" spans="2:18">
      <c r="B133" s="15">
        <f t="shared" si="8"/>
        <v>128</v>
      </c>
      <c r="C133" s="16">
        <f>IFERROR(VLOOKUP(DATA!G131,DATA!$G$4:$J$2149,1,FALSE),"")</f>
        <v>3107</v>
      </c>
      <c r="D133" s="16" t="str">
        <f>+IFERROR(VLOOKUP(C133,DATA!$G$4:$H$2000,2,FALSE),"")</f>
        <v>СЭФИЛО ХХК</v>
      </c>
      <c r="E133" s="16">
        <v>120100</v>
      </c>
      <c r="F133" s="237">
        <v>0</v>
      </c>
      <c r="G133" s="237">
        <f>+SUMIFS(JURNAL!G:G,JURNAL!E:E,E133,JURNAL!L:L,$C133,JURNAL!C:C,"&gt;="&amp;$M$3,JURNAL!C:C,"&lt;="&amp;$N$3)</f>
        <v>0</v>
      </c>
      <c r="H133" s="19">
        <f>+SUMIFS(JURNAL!H:H,JURNAL!E:E,E133,JURNAL!L:L,$C133,JURNAL!C:C,"&gt;="&amp;$M$3,JURNAL!C:C,"&lt;="&amp;$N$3)</f>
        <v>0</v>
      </c>
      <c r="I133" s="237">
        <f t="shared" si="15"/>
        <v>0</v>
      </c>
      <c r="J133" s="16">
        <v>310100</v>
      </c>
      <c r="K133" s="237">
        <v>0</v>
      </c>
      <c r="L133" s="237">
        <f>+SUMIFS(JURNAL!G:G,JURNAL!E:E,J133,JURNAL!L:L,$C133,JURNAL!C:C,"&gt;="&amp;$M$3,JURNAL!C:C,"&lt;="&amp;$N$3)</f>
        <v>0</v>
      </c>
      <c r="M133" s="19">
        <f>+SUMIFS(JURNAL!H:H,JURNAL!E:E,J133,JURNAL!L:L,$C133,JURNAL!C:C,"&gt;="&amp;$M$3,JURNAL!C:C,"&lt;="&amp;$N$3)</f>
        <v>0</v>
      </c>
      <c r="N133" s="20">
        <f t="shared" si="16"/>
        <v>0</v>
      </c>
      <c r="O133" s="237">
        <f t="shared" si="11"/>
        <v>0</v>
      </c>
      <c r="P133" s="16">
        <f t="shared" si="12"/>
        <v>310100</v>
      </c>
      <c r="Q133" s="16">
        <f t="shared" si="13"/>
        <v>120100</v>
      </c>
      <c r="R133" s="237">
        <f t="shared" si="14"/>
        <v>0</v>
      </c>
    </row>
    <row r="134" spans="2:18">
      <c r="B134" s="15">
        <f t="shared" si="8"/>
        <v>129</v>
      </c>
      <c r="C134" s="16">
        <f>IFERROR(VLOOKUP(DATA!G132,DATA!$G$4:$J$2149,1,FALSE),"")</f>
        <v>3108</v>
      </c>
      <c r="D134" s="16" t="str">
        <f>+IFERROR(VLOOKUP(C134,DATA!$G$4:$H$2000,2,FALSE),"")</f>
        <v>ИХ ГОВИЙН ЭРЧИМ ХУРД ХХК</v>
      </c>
      <c r="E134" s="16">
        <v>120100</v>
      </c>
      <c r="F134" s="237">
        <v>0</v>
      </c>
      <c r="G134" s="237">
        <f>+SUMIFS(JURNAL!G:G,JURNAL!E:E,E134,JURNAL!L:L,$C134,JURNAL!C:C,"&gt;="&amp;$M$3,JURNAL!C:C,"&lt;="&amp;$N$3)</f>
        <v>0</v>
      </c>
      <c r="H134" s="19">
        <f>+SUMIFS(JURNAL!H:H,JURNAL!E:E,E134,JURNAL!L:L,$C134,JURNAL!C:C,"&gt;="&amp;$M$3,JURNAL!C:C,"&lt;="&amp;$N$3)</f>
        <v>0</v>
      </c>
      <c r="I134" s="237">
        <f t="shared" si="15"/>
        <v>0</v>
      </c>
      <c r="J134" s="16">
        <v>310100</v>
      </c>
      <c r="K134" s="237">
        <v>0</v>
      </c>
      <c r="L134" s="237">
        <f>+SUMIFS(JURNAL!G:G,JURNAL!E:E,J134,JURNAL!L:L,$C134,JURNAL!C:C,"&gt;="&amp;$M$3,JURNAL!C:C,"&lt;="&amp;$N$3)</f>
        <v>0</v>
      </c>
      <c r="M134" s="19">
        <f>+SUMIFS(JURNAL!H:H,JURNAL!E:E,J134,JURNAL!L:L,$C134,JURNAL!C:C,"&gt;="&amp;$M$3,JURNAL!C:C,"&lt;="&amp;$N$3)</f>
        <v>0</v>
      </c>
      <c r="N134" s="20">
        <f t="shared" si="16"/>
        <v>0</v>
      </c>
      <c r="O134" s="237">
        <f t="shared" si="11"/>
        <v>0</v>
      </c>
      <c r="P134" s="16">
        <f t="shared" si="12"/>
        <v>310100</v>
      </c>
      <c r="Q134" s="16">
        <f t="shared" si="13"/>
        <v>120100</v>
      </c>
      <c r="R134" s="237">
        <f t="shared" si="14"/>
        <v>0</v>
      </c>
    </row>
    <row r="135" spans="2:18">
      <c r="B135" s="15">
        <f t="shared" ref="B135:B162" si="17">+IF(C135="","",ROW()-5)</f>
        <v>130</v>
      </c>
      <c r="C135" s="16">
        <f>IFERROR(VLOOKUP(DATA!G133,DATA!$G$4:$J$2149,1,FALSE),"")</f>
        <v>3109</v>
      </c>
      <c r="D135" s="16" t="str">
        <f>+IFERROR(VLOOKUP(C135,DATA!$G$4:$H$2000,2,FALSE),"")</f>
        <v xml:space="preserve">СИЛК РӨҮТ ТЕКСТИЛЬ ХХК </v>
      </c>
      <c r="E135" s="16">
        <v>120100</v>
      </c>
      <c r="F135" s="237">
        <v>0</v>
      </c>
      <c r="G135" s="237">
        <f>+SUMIFS(JURNAL!G:G,JURNAL!E:E,E135,JURNAL!L:L,$C135,JURNAL!C:C,"&gt;="&amp;$M$3,JURNAL!C:C,"&lt;="&amp;$N$3)</f>
        <v>0</v>
      </c>
      <c r="H135" s="19">
        <f>+SUMIFS(JURNAL!H:H,JURNAL!E:E,E135,JURNAL!L:L,$C135,JURNAL!C:C,"&gt;="&amp;$M$3,JURNAL!C:C,"&lt;="&amp;$N$3)</f>
        <v>0</v>
      </c>
      <c r="I135" s="237">
        <f t="shared" si="15"/>
        <v>0</v>
      </c>
      <c r="J135" s="16">
        <v>310100</v>
      </c>
      <c r="K135" s="237">
        <v>0</v>
      </c>
      <c r="L135" s="237">
        <f>+SUMIFS(JURNAL!G:G,JURNAL!E:E,J135,JURNAL!L:L,$C135,JURNAL!C:C,"&gt;="&amp;$M$3,JURNAL!C:C,"&lt;="&amp;$N$3)</f>
        <v>0</v>
      </c>
      <c r="M135" s="19">
        <f>+SUMIFS(JURNAL!H:H,JURNAL!E:E,J135,JURNAL!L:L,$C135,JURNAL!C:C,"&gt;="&amp;$M$3,JURNAL!C:C,"&lt;="&amp;$N$3)</f>
        <v>0</v>
      </c>
      <c r="N135" s="20">
        <f t="shared" si="16"/>
        <v>0</v>
      </c>
      <c r="O135" s="237">
        <f t="shared" ref="O135:O166" si="18">+IF(I135&lt;N135,I135,N135)</f>
        <v>0</v>
      </c>
      <c r="P135" s="16">
        <f t="shared" ref="P135:P167" si="19">+J135</f>
        <v>310100</v>
      </c>
      <c r="Q135" s="16">
        <f t="shared" ref="Q135:Q162" si="20">+E135</f>
        <v>120100</v>
      </c>
      <c r="R135" s="237">
        <f t="shared" ref="R135:R162" si="21">+IF(O135,1,0)</f>
        <v>0</v>
      </c>
    </row>
    <row r="136" spans="2:18">
      <c r="B136" s="15">
        <f t="shared" si="17"/>
        <v>131</v>
      </c>
      <c r="C136" s="16">
        <f>IFERROR(VLOOKUP(DATA!G134,DATA!$G$4:$J$2149,1,FALSE),"")</f>
        <v>3110</v>
      </c>
      <c r="D136" s="16" t="str">
        <f>+IFERROR(VLOOKUP(C136,DATA!$G$4:$H$2000,2,FALSE),"")</f>
        <v xml:space="preserve">СҮЙХЭНТ ХХК </v>
      </c>
      <c r="E136" s="16">
        <v>120100</v>
      </c>
      <c r="F136" s="237">
        <v>0</v>
      </c>
      <c r="G136" s="237">
        <f>+SUMIFS(JURNAL!G:G,JURNAL!E:E,E136,JURNAL!L:L,$C136,JURNAL!C:C,"&gt;="&amp;$M$3,JURNAL!C:C,"&lt;="&amp;$N$3)</f>
        <v>0</v>
      </c>
      <c r="H136" s="19">
        <f>+SUMIFS(JURNAL!H:H,JURNAL!E:E,E136,JURNAL!L:L,$C136,JURNAL!C:C,"&gt;="&amp;$M$3,JURNAL!C:C,"&lt;="&amp;$N$3)</f>
        <v>0</v>
      </c>
      <c r="I136" s="237">
        <f t="shared" si="15"/>
        <v>0</v>
      </c>
      <c r="J136" s="16">
        <v>310100</v>
      </c>
      <c r="K136" s="237">
        <v>0</v>
      </c>
      <c r="L136" s="237">
        <f>+SUMIFS(JURNAL!G:G,JURNAL!E:E,J136,JURNAL!L:L,$C136,JURNAL!C:C,"&gt;="&amp;$M$3,JURNAL!C:C,"&lt;="&amp;$N$3)</f>
        <v>0</v>
      </c>
      <c r="M136" s="19">
        <f>+SUMIFS(JURNAL!H:H,JURNAL!E:E,J136,JURNAL!L:L,$C136,JURNAL!C:C,"&gt;="&amp;$M$3,JURNAL!C:C,"&lt;="&amp;$N$3)</f>
        <v>0</v>
      </c>
      <c r="N136" s="20">
        <f t="shared" si="16"/>
        <v>0</v>
      </c>
      <c r="O136" s="237">
        <f t="shared" si="18"/>
        <v>0</v>
      </c>
      <c r="P136" s="16">
        <f t="shared" si="19"/>
        <v>310100</v>
      </c>
      <c r="Q136" s="16">
        <f t="shared" si="20"/>
        <v>120100</v>
      </c>
      <c r="R136" s="237">
        <f t="shared" si="21"/>
        <v>0</v>
      </c>
    </row>
    <row r="137" spans="2:18">
      <c r="B137" s="15">
        <f t="shared" si="17"/>
        <v>132</v>
      </c>
      <c r="C137" s="16">
        <f>IFERROR(VLOOKUP(DATA!G135,DATA!$G$4:$J$2149,1,FALSE),"")</f>
        <v>3111</v>
      </c>
      <c r="D137" s="16" t="str">
        <f>+IFERROR(VLOOKUP(C137,DATA!$G$4:$H$2000,2,FALSE),"")</f>
        <v xml:space="preserve">ЗУЛЗАГАН ДӨЛ ХХК </v>
      </c>
      <c r="E137" s="16">
        <v>120100</v>
      </c>
      <c r="F137" s="237">
        <v>0</v>
      </c>
      <c r="G137" s="237">
        <f>+SUMIFS(JURNAL!G:G,JURNAL!E:E,E137,JURNAL!L:L,$C137,JURNAL!C:C,"&gt;="&amp;$M$3,JURNAL!C:C,"&lt;="&amp;$N$3)</f>
        <v>0</v>
      </c>
      <c r="H137" s="19">
        <f>+SUMIFS(JURNAL!H:H,JURNAL!E:E,E137,JURNAL!L:L,$C137,JURNAL!C:C,"&gt;="&amp;$M$3,JURNAL!C:C,"&lt;="&amp;$N$3)</f>
        <v>0</v>
      </c>
      <c r="I137" s="237">
        <f t="shared" si="15"/>
        <v>0</v>
      </c>
      <c r="J137" s="16">
        <v>310100</v>
      </c>
      <c r="K137" s="237">
        <v>0</v>
      </c>
      <c r="L137" s="237">
        <f>+SUMIFS(JURNAL!G:G,JURNAL!E:E,J137,JURNAL!L:L,$C137,JURNAL!C:C,"&gt;="&amp;$M$3,JURNAL!C:C,"&lt;="&amp;$N$3)</f>
        <v>0</v>
      </c>
      <c r="M137" s="19">
        <f>+SUMIFS(JURNAL!H:H,JURNAL!E:E,J137,JURNAL!L:L,$C137,JURNAL!C:C,"&gt;="&amp;$M$3,JURNAL!C:C,"&lt;="&amp;$N$3)</f>
        <v>0</v>
      </c>
      <c r="N137" s="20">
        <f t="shared" si="16"/>
        <v>0</v>
      </c>
      <c r="O137" s="237">
        <f t="shared" si="18"/>
        <v>0</v>
      </c>
      <c r="P137" s="16">
        <f t="shared" si="19"/>
        <v>310100</v>
      </c>
      <c r="Q137" s="16">
        <f t="shared" si="20"/>
        <v>120100</v>
      </c>
      <c r="R137" s="237">
        <f t="shared" si="21"/>
        <v>0</v>
      </c>
    </row>
    <row r="138" spans="2:18">
      <c r="B138" s="15">
        <f t="shared" si="17"/>
        <v>133</v>
      </c>
      <c r="C138" s="16">
        <f>IFERROR(VLOOKUP(DATA!G136,DATA!$G$4:$J$2149,1,FALSE),"")</f>
        <v>3112</v>
      </c>
      <c r="D138" s="16" t="str">
        <f>+IFERROR(VLOOKUP(C138,DATA!$G$4:$H$2000,2,FALSE),"")</f>
        <v>АЛИА ДАРХАН ХХК</v>
      </c>
      <c r="E138" s="16">
        <v>120100</v>
      </c>
      <c r="F138" s="237">
        <v>0</v>
      </c>
      <c r="G138" s="237">
        <f>+SUMIFS(JURNAL!G:G,JURNAL!E:E,E138,JURNAL!L:L,$C138,JURNAL!C:C,"&gt;="&amp;$M$3,JURNAL!C:C,"&lt;="&amp;$N$3)</f>
        <v>0</v>
      </c>
      <c r="H138" s="19">
        <f>+SUMIFS(JURNAL!H:H,JURNAL!E:E,E138,JURNAL!L:L,$C138,JURNAL!C:C,"&gt;="&amp;$M$3,JURNAL!C:C,"&lt;="&amp;$N$3)</f>
        <v>0</v>
      </c>
      <c r="I138" s="237">
        <f t="shared" ref="I138:I145" si="22">+F138+G138-H138</f>
        <v>0</v>
      </c>
      <c r="J138" s="16">
        <v>310100</v>
      </c>
      <c r="K138" s="237">
        <v>0</v>
      </c>
      <c r="L138" s="237">
        <f>+SUMIFS(JURNAL!G:G,JURNAL!E:E,J138,JURNAL!L:L,$C138,JURNAL!C:C,"&gt;="&amp;$M$3,JURNAL!C:C,"&lt;="&amp;$N$3)</f>
        <v>0</v>
      </c>
      <c r="M138" s="19">
        <f>+SUMIFS(JURNAL!H:H,JURNAL!E:E,J138,JURNAL!L:L,$C138,JURNAL!C:C,"&gt;="&amp;$M$3,JURNAL!C:C,"&lt;="&amp;$N$3)</f>
        <v>0</v>
      </c>
      <c r="N138" s="20">
        <f t="shared" ref="N138:N156" si="23">+K138+M138-L138</f>
        <v>0</v>
      </c>
      <c r="O138" s="237">
        <f t="shared" si="18"/>
        <v>0</v>
      </c>
      <c r="P138" s="16">
        <f t="shared" si="19"/>
        <v>310100</v>
      </c>
      <c r="Q138" s="16">
        <f t="shared" si="20"/>
        <v>120100</v>
      </c>
      <c r="R138" s="237">
        <f t="shared" si="21"/>
        <v>0</v>
      </c>
    </row>
    <row r="139" spans="2:18">
      <c r="B139" s="15">
        <f t="shared" si="17"/>
        <v>134</v>
      </c>
      <c r="C139" s="16">
        <f>IFERROR(VLOOKUP(DATA!G137,DATA!$G$4:$J$2149,1,FALSE),"")</f>
        <v>3113</v>
      </c>
      <c r="D139" s="16" t="str">
        <f>+IFERROR(VLOOKUP(C139,DATA!$G$4:$H$2000,2,FALSE),"")</f>
        <v xml:space="preserve">ХАВТГАЙН ГОЛ ХХК </v>
      </c>
      <c r="E139" s="16">
        <v>120100</v>
      </c>
      <c r="F139" s="237">
        <v>0</v>
      </c>
      <c r="G139" s="237">
        <f>+SUMIFS(JURNAL!G:G,JURNAL!E:E,E139,JURNAL!L:L,$C139,JURNAL!C:C,"&gt;="&amp;$M$3,JURNAL!C:C,"&lt;="&amp;$N$3)</f>
        <v>0</v>
      </c>
      <c r="H139" s="19">
        <f>+SUMIFS(JURNAL!H:H,JURNAL!E:E,E139,JURNAL!L:L,$C139,JURNAL!C:C,"&gt;="&amp;$M$3,JURNAL!C:C,"&lt;="&amp;$N$3)</f>
        <v>0</v>
      </c>
      <c r="I139" s="237">
        <f t="shared" si="22"/>
        <v>0</v>
      </c>
      <c r="J139" s="16">
        <v>310100</v>
      </c>
      <c r="K139" s="237">
        <v>0</v>
      </c>
      <c r="L139" s="237">
        <f>+SUMIFS(JURNAL!G:G,JURNAL!E:E,J139,JURNAL!L:L,$C139,JURNAL!C:C,"&gt;="&amp;$M$3,JURNAL!C:C,"&lt;="&amp;$N$3)</f>
        <v>0</v>
      </c>
      <c r="M139" s="19">
        <f>+SUMIFS(JURNAL!H:H,JURNAL!E:E,J139,JURNAL!L:L,$C139,JURNAL!C:C,"&gt;="&amp;$M$3,JURNAL!C:C,"&lt;="&amp;$N$3)</f>
        <v>0</v>
      </c>
      <c r="N139" s="20">
        <f t="shared" si="23"/>
        <v>0</v>
      </c>
      <c r="O139" s="237">
        <f t="shared" si="18"/>
        <v>0</v>
      </c>
      <c r="P139" s="16">
        <f t="shared" si="19"/>
        <v>310100</v>
      </c>
      <c r="Q139" s="16">
        <f t="shared" si="20"/>
        <v>120100</v>
      </c>
      <c r="R139" s="237">
        <f t="shared" si="21"/>
        <v>0</v>
      </c>
    </row>
    <row r="140" spans="2:18">
      <c r="B140" s="15">
        <f t="shared" si="17"/>
        <v>135</v>
      </c>
      <c r="C140" s="16">
        <f>IFERROR(VLOOKUP(DATA!G138,DATA!$G$4:$J$2149,1,FALSE),"")</f>
        <v>3114</v>
      </c>
      <c r="D140" s="16" t="str">
        <f>+IFERROR(VLOOKUP(C140,DATA!$G$4:$H$2000,2,FALSE),"")</f>
        <v>ИЛД БАМБАЙ ХХК</v>
      </c>
      <c r="E140" s="16">
        <v>120100</v>
      </c>
      <c r="F140" s="237">
        <v>0</v>
      </c>
      <c r="G140" s="237">
        <f>+SUMIFS(JURNAL!G:G,JURNAL!E:E,E140,JURNAL!L:L,$C140,JURNAL!C:C,"&gt;="&amp;$M$3,JURNAL!C:C,"&lt;="&amp;$N$3)</f>
        <v>0</v>
      </c>
      <c r="H140" s="19">
        <f>+SUMIFS(JURNAL!H:H,JURNAL!E:E,E140,JURNAL!L:L,$C140,JURNAL!C:C,"&gt;="&amp;$M$3,JURNAL!C:C,"&lt;="&amp;$N$3)</f>
        <v>0</v>
      </c>
      <c r="I140" s="237">
        <f t="shared" si="22"/>
        <v>0</v>
      </c>
      <c r="J140" s="16">
        <v>310100</v>
      </c>
      <c r="K140" s="237">
        <v>0</v>
      </c>
      <c r="L140" s="237">
        <f>+SUMIFS(JURNAL!G:G,JURNAL!E:E,J140,JURNAL!L:L,$C140,JURNAL!C:C,"&gt;="&amp;$M$3,JURNAL!C:C,"&lt;="&amp;$N$3)</f>
        <v>0</v>
      </c>
      <c r="M140" s="19">
        <f>+SUMIFS(JURNAL!H:H,JURNAL!E:E,J140,JURNAL!L:L,$C140,JURNAL!C:C,"&gt;="&amp;$M$3,JURNAL!C:C,"&lt;="&amp;$N$3)</f>
        <v>0</v>
      </c>
      <c r="N140" s="20">
        <f t="shared" si="23"/>
        <v>0</v>
      </c>
      <c r="O140" s="237">
        <f t="shared" si="18"/>
        <v>0</v>
      </c>
      <c r="P140" s="16">
        <f t="shared" si="19"/>
        <v>310100</v>
      </c>
      <c r="Q140" s="16">
        <f t="shared" si="20"/>
        <v>120100</v>
      </c>
      <c r="R140" s="237">
        <f t="shared" si="21"/>
        <v>0</v>
      </c>
    </row>
    <row r="141" spans="2:18">
      <c r="B141" s="15">
        <f t="shared" si="17"/>
        <v>136</v>
      </c>
      <c r="C141" s="16">
        <f>IFERROR(VLOOKUP(DATA!G139,DATA!$G$4:$J$2149,1,FALSE),"")</f>
        <v>3115</v>
      </c>
      <c r="D141" s="16" t="str">
        <f>+IFERROR(VLOOKUP(C141,DATA!$G$4:$H$2000,2,FALSE),"")</f>
        <v>АЛАГ УУЛ ФИНАНС АУДИТ ХХК</v>
      </c>
      <c r="E141" s="16">
        <v>120100</v>
      </c>
      <c r="F141" s="237">
        <v>0</v>
      </c>
      <c r="G141" s="237">
        <f>+SUMIFS(JURNAL!G:G,JURNAL!E:E,E141,JURNAL!L:L,$C141,JURNAL!C:C,"&gt;="&amp;$M$3,JURNAL!C:C,"&lt;="&amp;$N$3)</f>
        <v>0</v>
      </c>
      <c r="H141" s="19">
        <f>+SUMIFS(JURNAL!H:H,JURNAL!E:E,E141,JURNAL!L:L,$C141,JURNAL!C:C,"&gt;="&amp;$M$3,JURNAL!C:C,"&lt;="&amp;$N$3)</f>
        <v>0</v>
      </c>
      <c r="I141" s="237">
        <f t="shared" si="22"/>
        <v>0</v>
      </c>
      <c r="J141" s="16">
        <v>310100</v>
      </c>
      <c r="K141" s="237">
        <v>0</v>
      </c>
      <c r="L141" s="237">
        <f>+SUMIFS(JURNAL!G:G,JURNAL!E:E,J141,JURNAL!L:L,$C141,JURNAL!C:C,"&gt;="&amp;$M$3,JURNAL!C:C,"&lt;="&amp;$N$3)</f>
        <v>0</v>
      </c>
      <c r="M141" s="19">
        <f>+SUMIFS(JURNAL!H:H,JURNAL!E:E,J141,JURNAL!L:L,$C141,JURNAL!C:C,"&gt;="&amp;$M$3,JURNAL!C:C,"&lt;="&amp;$N$3)</f>
        <v>0</v>
      </c>
      <c r="N141" s="20">
        <f t="shared" si="23"/>
        <v>0</v>
      </c>
      <c r="O141" s="237">
        <f t="shared" si="18"/>
        <v>0</v>
      </c>
      <c r="P141" s="16">
        <f t="shared" si="19"/>
        <v>310100</v>
      </c>
      <c r="Q141" s="16">
        <f t="shared" si="20"/>
        <v>120100</v>
      </c>
      <c r="R141" s="237">
        <f t="shared" si="21"/>
        <v>0</v>
      </c>
    </row>
    <row r="142" spans="2:18">
      <c r="B142" s="15">
        <f t="shared" si="17"/>
        <v>137</v>
      </c>
      <c r="C142" s="16">
        <f>IFERROR(VLOOKUP(DATA!G140,DATA!$G$4:$J$2149,1,FALSE),"")</f>
        <v>4001</v>
      </c>
      <c r="D142" s="16" t="str">
        <f>+IFERROR(VLOOKUP(C142,DATA!$G$4:$H$2000,2,FALSE),"")</f>
        <v>Сайннямбуу</v>
      </c>
      <c r="E142" s="16">
        <v>120100</v>
      </c>
      <c r="F142" s="237">
        <v>0</v>
      </c>
      <c r="G142" s="237">
        <f>+SUMIFS(JURNAL!G:G,JURNAL!E:E,E142,JURNAL!L:L,$C142,JURNAL!C:C,"&gt;="&amp;$M$3,JURNAL!C:C,"&lt;="&amp;$N$3)</f>
        <v>0</v>
      </c>
      <c r="H142" s="19">
        <f>+SUMIFS(JURNAL!H:H,JURNAL!E:E,E142,JURNAL!L:L,$C142,JURNAL!C:C,"&gt;="&amp;$M$3,JURNAL!C:C,"&lt;="&amp;$N$3)</f>
        <v>0</v>
      </c>
      <c r="I142" s="237">
        <f t="shared" si="22"/>
        <v>0</v>
      </c>
      <c r="J142" s="16">
        <v>310100</v>
      </c>
      <c r="K142" s="237">
        <v>0</v>
      </c>
      <c r="L142" s="237">
        <f>+SUMIFS(JURNAL!G:G,JURNAL!E:E,J142,JURNAL!L:L,$C142,JURNAL!C:C,"&gt;="&amp;$M$3,JURNAL!C:C,"&lt;="&amp;$N$3)</f>
        <v>0</v>
      </c>
      <c r="M142" s="19">
        <f>+SUMIFS(JURNAL!H:H,JURNAL!E:E,J142,JURNAL!L:L,$C142,JURNAL!C:C,"&gt;="&amp;$M$3,JURNAL!C:C,"&lt;="&amp;$N$3)</f>
        <v>0</v>
      </c>
      <c r="N142" s="20">
        <f t="shared" si="23"/>
        <v>0</v>
      </c>
      <c r="O142" s="237">
        <f t="shared" si="18"/>
        <v>0</v>
      </c>
      <c r="P142" s="16">
        <f t="shared" si="19"/>
        <v>310100</v>
      </c>
      <c r="Q142" s="16">
        <f t="shared" si="20"/>
        <v>120100</v>
      </c>
      <c r="R142" s="237">
        <f t="shared" si="21"/>
        <v>0</v>
      </c>
    </row>
    <row r="143" spans="2:18">
      <c r="B143" s="15">
        <f t="shared" si="17"/>
        <v>138</v>
      </c>
      <c r="C143" s="16">
        <f>IFERROR(VLOOKUP(DATA!G141,DATA!$G$4:$J$2149,1,FALSE),"")</f>
        <v>4002</v>
      </c>
      <c r="D143" s="16" t="str">
        <f>+IFERROR(VLOOKUP(C143,DATA!$G$4:$H$2000,2,FALSE),"")</f>
        <v xml:space="preserve">Хувь хүн </v>
      </c>
      <c r="E143" s="16">
        <v>120100</v>
      </c>
      <c r="F143" s="237">
        <v>0</v>
      </c>
      <c r="G143" s="237">
        <f>+SUMIFS(JURNAL!G:G,JURNAL!E:E,E143,JURNAL!L:L,$C143,JURNAL!C:C,"&gt;="&amp;$M$3,JURNAL!C:C,"&lt;="&amp;$N$3)</f>
        <v>0</v>
      </c>
      <c r="H143" s="19">
        <f>+SUMIFS(JURNAL!H:H,JURNAL!E:E,E143,JURNAL!L:L,$C143,JURNAL!C:C,"&gt;="&amp;$M$3,JURNAL!C:C,"&lt;="&amp;$N$3)</f>
        <v>0</v>
      </c>
      <c r="I143" s="237">
        <f t="shared" si="22"/>
        <v>0</v>
      </c>
      <c r="J143" s="16">
        <v>310100</v>
      </c>
      <c r="K143" s="237">
        <v>0</v>
      </c>
      <c r="L143" s="237">
        <f>+SUMIFS(JURNAL!G:G,JURNAL!E:E,J143,JURNAL!L:L,$C143,JURNAL!C:C,"&gt;="&amp;$M$3,JURNAL!C:C,"&lt;="&amp;$N$3)</f>
        <v>0</v>
      </c>
      <c r="M143" s="19">
        <f>+SUMIFS(JURNAL!H:H,JURNAL!E:E,J143,JURNAL!L:L,$C143,JURNAL!C:C,"&gt;="&amp;$M$3,JURNAL!C:C,"&lt;="&amp;$N$3)</f>
        <v>0</v>
      </c>
      <c r="N143" s="20">
        <f t="shared" si="23"/>
        <v>0</v>
      </c>
      <c r="O143" s="237">
        <f t="shared" si="18"/>
        <v>0</v>
      </c>
      <c r="P143" s="16">
        <f t="shared" si="19"/>
        <v>310100</v>
      </c>
      <c r="Q143" s="16">
        <f t="shared" si="20"/>
        <v>120100</v>
      </c>
      <c r="R143" s="237">
        <f t="shared" si="21"/>
        <v>0</v>
      </c>
    </row>
    <row r="144" spans="2:18">
      <c r="B144" s="15">
        <f t="shared" si="17"/>
        <v>139</v>
      </c>
      <c r="C144" s="16">
        <f>IFERROR(VLOOKUP(DATA!G142,DATA!$G$4:$J$2149,1,FALSE),"")</f>
        <v>3116</v>
      </c>
      <c r="D144" s="16" t="str">
        <f>+IFERROR(VLOOKUP(C144,DATA!$G$4:$H$2000,2,FALSE),"")</f>
        <v xml:space="preserve">ЮМИКА ХХК </v>
      </c>
      <c r="E144" s="16">
        <v>120100</v>
      </c>
      <c r="F144" s="237">
        <v>0</v>
      </c>
      <c r="G144" s="237">
        <f>+SUMIFS(JURNAL!G:G,JURNAL!E:E,E144,JURNAL!L:L,$C144,JURNAL!C:C,"&gt;="&amp;$M$3,JURNAL!C:C,"&lt;="&amp;$N$3)</f>
        <v>0</v>
      </c>
      <c r="H144" s="19">
        <f>+SUMIFS(JURNAL!H:H,JURNAL!E:E,E144,JURNAL!L:L,$C144,JURNAL!C:C,"&gt;="&amp;$M$3,JURNAL!C:C,"&lt;="&amp;$N$3)</f>
        <v>0</v>
      </c>
      <c r="I144" s="237">
        <f t="shared" si="22"/>
        <v>0</v>
      </c>
      <c r="J144" s="16">
        <v>310100</v>
      </c>
      <c r="K144" s="237">
        <v>0</v>
      </c>
      <c r="L144" s="237">
        <f>+SUMIFS(JURNAL!G:G,JURNAL!E:E,J144,JURNAL!L:L,$C144,JURNAL!C:C,"&gt;="&amp;$M$3,JURNAL!C:C,"&lt;="&amp;$N$3)</f>
        <v>0</v>
      </c>
      <c r="M144" s="19">
        <f>+SUMIFS(JURNAL!H:H,JURNAL!E:E,J144,JURNAL!L:L,$C144,JURNAL!C:C,"&gt;="&amp;$M$3,JURNAL!C:C,"&lt;="&amp;$N$3)</f>
        <v>0</v>
      </c>
      <c r="N144" s="20">
        <f t="shared" si="23"/>
        <v>0</v>
      </c>
      <c r="O144" s="237">
        <f t="shared" si="18"/>
        <v>0</v>
      </c>
      <c r="P144" s="16">
        <f t="shared" si="19"/>
        <v>310100</v>
      </c>
      <c r="Q144" s="16">
        <f t="shared" si="20"/>
        <v>120100</v>
      </c>
      <c r="R144" s="237">
        <f t="shared" si="21"/>
        <v>0</v>
      </c>
    </row>
    <row r="145" spans="2:18">
      <c r="B145" s="15">
        <f t="shared" si="17"/>
        <v>140</v>
      </c>
      <c r="C145" s="16">
        <f>IFERROR(VLOOKUP(DATA!G143,DATA!$G$4:$J$2149,1,FALSE),"")</f>
        <v>3117</v>
      </c>
      <c r="D145" s="16" t="str">
        <f>+IFERROR(VLOOKUP(C145,DATA!$G$4:$H$2000,2,FALSE),"")</f>
        <v>БРИЛЛИАНТ ХАВТАН ХХК</v>
      </c>
      <c r="E145" s="16">
        <v>120100</v>
      </c>
      <c r="F145" s="237">
        <v>0</v>
      </c>
      <c r="G145" s="237">
        <f>+SUMIFS(JURNAL!G:G,JURNAL!E:E,E145,JURNAL!L:L,$C145,JURNAL!C:C,"&gt;="&amp;$M$3,JURNAL!C:C,"&lt;="&amp;$N$3)</f>
        <v>0</v>
      </c>
      <c r="H145" s="19">
        <f>+SUMIFS(JURNAL!H:H,JURNAL!E:E,E145,JURNAL!L:L,$C145,JURNAL!C:C,"&gt;="&amp;$M$3,JURNAL!C:C,"&lt;="&amp;$N$3)</f>
        <v>0</v>
      </c>
      <c r="I145" s="237">
        <f t="shared" si="22"/>
        <v>0</v>
      </c>
      <c r="J145" s="16">
        <v>310100</v>
      </c>
      <c r="K145" s="237">
        <v>0</v>
      </c>
      <c r="L145" s="237">
        <f>+SUMIFS(JURNAL!G:G,JURNAL!E:E,J145,JURNAL!L:L,$C145,JURNAL!C:C,"&gt;="&amp;$M$3,JURNAL!C:C,"&lt;="&amp;$N$3)</f>
        <v>0</v>
      </c>
      <c r="M145" s="19">
        <f>+SUMIFS(JURNAL!H:H,JURNAL!E:E,J145,JURNAL!L:L,$C145,JURNAL!C:C,"&gt;="&amp;$M$3,JURNAL!C:C,"&lt;="&amp;$N$3)</f>
        <v>0</v>
      </c>
      <c r="N145" s="20">
        <f t="shared" si="23"/>
        <v>0</v>
      </c>
      <c r="O145" s="237">
        <f t="shared" si="18"/>
        <v>0</v>
      </c>
      <c r="P145" s="16">
        <f t="shared" si="19"/>
        <v>310100</v>
      </c>
      <c r="Q145" s="16">
        <f t="shared" si="20"/>
        <v>120100</v>
      </c>
      <c r="R145" s="237">
        <f t="shared" si="21"/>
        <v>0</v>
      </c>
    </row>
    <row r="146" spans="2:18">
      <c r="B146" s="15">
        <f t="shared" si="17"/>
        <v>141</v>
      </c>
      <c r="C146" s="16">
        <f>IFERROR(VLOOKUP(DATA!G144,DATA!$G$4:$J$2149,1,FALSE),"")</f>
        <v>3118</v>
      </c>
      <c r="D146" s="16" t="str">
        <f>+IFERROR(VLOOKUP(C146,DATA!$G$4:$H$2000,2,FALSE),"")</f>
        <v>САММИТ ТЕХ КОМ ХХК</v>
      </c>
      <c r="E146" s="16">
        <v>120100</v>
      </c>
      <c r="F146" s="237">
        <v>0</v>
      </c>
      <c r="G146" s="237">
        <f>+SUMIFS(JURNAL!G:G,JURNAL!E:E,E146,JURNAL!L:L,$C146,JURNAL!C:C,"&gt;="&amp;$M$3,JURNAL!C:C,"&lt;="&amp;$N$3)</f>
        <v>0</v>
      </c>
      <c r="H146" s="19">
        <f>+SUMIFS(JURNAL!H:H,JURNAL!E:E,E146,JURNAL!L:L,$C146,JURNAL!C:C,"&gt;="&amp;$M$3,JURNAL!C:C,"&lt;="&amp;$N$3)</f>
        <v>0</v>
      </c>
      <c r="I146" s="237">
        <f t="shared" ref="I146:I156" si="24">+F146+G146-H146</f>
        <v>0</v>
      </c>
      <c r="J146" s="16">
        <v>310100</v>
      </c>
      <c r="K146" s="237">
        <v>0</v>
      </c>
      <c r="L146" s="237">
        <f>+SUMIFS(JURNAL!G:G,JURNAL!E:E,J146,JURNAL!L:L,$C146,JURNAL!C:C,"&gt;="&amp;$M$3,JURNAL!C:C,"&lt;="&amp;$N$3)</f>
        <v>0</v>
      </c>
      <c r="M146" s="19">
        <f>+SUMIFS(JURNAL!H:H,JURNAL!E:E,J146,JURNAL!L:L,$C146,JURNAL!C:C,"&gt;="&amp;$M$3,JURNAL!C:C,"&lt;="&amp;$N$3)</f>
        <v>0</v>
      </c>
      <c r="N146" s="20">
        <f t="shared" si="23"/>
        <v>0</v>
      </c>
      <c r="O146" s="237">
        <f t="shared" si="18"/>
        <v>0</v>
      </c>
      <c r="P146" s="16">
        <f t="shared" si="19"/>
        <v>310100</v>
      </c>
      <c r="Q146" s="16">
        <f t="shared" si="20"/>
        <v>120100</v>
      </c>
      <c r="R146" s="237">
        <f t="shared" si="21"/>
        <v>0</v>
      </c>
    </row>
    <row r="147" spans="2:18">
      <c r="B147" s="15">
        <f t="shared" si="17"/>
        <v>142</v>
      </c>
      <c r="C147" s="16">
        <f>IFERROR(VLOOKUP(DATA!G145,DATA!$G$4:$J$2149,1,FALSE),"")</f>
        <v>3119</v>
      </c>
      <c r="D147" s="16" t="str">
        <f>+IFERROR(VLOOKUP(C147,DATA!$G$4:$H$2000,2,FALSE),"")</f>
        <v>ЭС ТИ СЕРВИС ХХК</v>
      </c>
      <c r="E147" s="16">
        <v>120100</v>
      </c>
      <c r="F147" s="237">
        <v>0</v>
      </c>
      <c r="G147" s="237">
        <f>+SUMIFS(JURNAL!G:G,JURNAL!E:E,E147,JURNAL!L:L,$C147,JURNAL!C:C,"&gt;="&amp;$M$3,JURNAL!C:C,"&lt;="&amp;$N$3)</f>
        <v>0</v>
      </c>
      <c r="H147" s="19">
        <f>+SUMIFS(JURNAL!H:H,JURNAL!E:E,E147,JURNAL!L:L,$C147,JURNAL!C:C,"&gt;="&amp;$M$3,JURNAL!C:C,"&lt;="&amp;$N$3)</f>
        <v>0</v>
      </c>
      <c r="I147" s="237">
        <f t="shared" si="24"/>
        <v>0</v>
      </c>
      <c r="J147" s="16">
        <v>310100</v>
      </c>
      <c r="K147" s="237">
        <v>0</v>
      </c>
      <c r="L147" s="237">
        <f>+SUMIFS(JURNAL!G:G,JURNAL!E:E,J147,JURNAL!L:L,$C147,JURNAL!C:C,"&gt;="&amp;$M$3,JURNAL!C:C,"&lt;="&amp;$N$3)</f>
        <v>0</v>
      </c>
      <c r="M147" s="19">
        <f>+SUMIFS(JURNAL!H:H,JURNAL!E:E,J147,JURNAL!L:L,$C147,JURNAL!C:C,"&gt;="&amp;$M$3,JURNAL!C:C,"&lt;="&amp;$N$3)</f>
        <v>0</v>
      </c>
      <c r="N147" s="20">
        <f t="shared" si="23"/>
        <v>0</v>
      </c>
      <c r="O147" s="237">
        <f t="shared" si="18"/>
        <v>0</v>
      </c>
      <c r="P147" s="16">
        <f t="shared" si="19"/>
        <v>310100</v>
      </c>
      <c r="Q147" s="16">
        <f t="shared" si="20"/>
        <v>120100</v>
      </c>
      <c r="R147" s="237">
        <f t="shared" si="21"/>
        <v>0</v>
      </c>
    </row>
    <row r="148" spans="2:18">
      <c r="B148" s="15">
        <f t="shared" si="17"/>
        <v>143</v>
      </c>
      <c r="C148" s="16">
        <f>IFERROR(VLOOKUP(DATA!G146,DATA!$G$4:$J$2149,1,FALSE),"")</f>
        <v>3120</v>
      </c>
      <c r="D148" s="16" t="str">
        <f>+IFERROR(VLOOKUP(C148,DATA!$G$4:$H$2000,2,FALSE),"")</f>
        <v>АКВАПЛАСТ МОНГОЛ ХХК</v>
      </c>
      <c r="E148" s="16">
        <v>120100</v>
      </c>
      <c r="F148" s="237">
        <v>0</v>
      </c>
      <c r="G148" s="237">
        <f>+SUMIFS(JURNAL!G:G,JURNAL!E:E,E148,JURNAL!L:L,$C148,JURNAL!C:C,"&gt;="&amp;$M$3,JURNAL!C:C,"&lt;="&amp;$N$3)</f>
        <v>15000000</v>
      </c>
      <c r="H148" s="19">
        <f>+SUMIFS(JURNAL!H:H,JURNAL!E:E,E148,JURNAL!L:L,$C148,JURNAL!C:C,"&gt;="&amp;$M$3,JURNAL!C:C,"&lt;="&amp;$N$3)</f>
        <v>15000000</v>
      </c>
      <c r="I148" s="237">
        <f t="shared" si="24"/>
        <v>0</v>
      </c>
      <c r="J148" s="16">
        <v>310100</v>
      </c>
      <c r="K148" s="237">
        <v>0</v>
      </c>
      <c r="L148" s="237">
        <f>+SUMIFS(JURNAL!G:G,JURNAL!E:E,J148,JURNAL!L:L,$C148,JURNAL!C:C,"&gt;="&amp;$M$3,JURNAL!C:C,"&lt;="&amp;$N$3)</f>
        <v>40000000</v>
      </c>
      <c r="M148" s="19">
        <f>+SUMIFS(JURNAL!H:H,JURNAL!E:E,J148,JURNAL!L:L,$C148,JURNAL!C:C,"&gt;="&amp;$M$3,JURNAL!C:C,"&lt;="&amp;$N$3)</f>
        <v>40000000</v>
      </c>
      <c r="N148" s="20">
        <f t="shared" si="23"/>
        <v>0</v>
      </c>
      <c r="O148" s="237">
        <f t="shared" si="18"/>
        <v>0</v>
      </c>
      <c r="P148" s="16">
        <f t="shared" si="19"/>
        <v>310100</v>
      </c>
      <c r="Q148" s="16">
        <f t="shared" si="20"/>
        <v>120100</v>
      </c>
      <c r="R148" s="237">
        <f t="shared" si="21"/>
        <v>0</v>
      </c>
    </row>
    <row r="149" spans="2:18">
      <c r="B149" s="15">
        <f t="shared" si="17"/>
        <v>144</v>
      </c>
      <c r="C149" s="16">
        <f>IFERROR(VLOOKUP(DATA!G147,DATA!$G$4:$J$2149,1,FALSE),"")</f>
        <v>3121</v>
      </c>
      <c r="D149" s="16" t="str">
        <f>+IFERROR(VLOOKUP(C149,DATA!$G$4:$H$2000,2,FALSE),"")</f>
        <v xml:space="preserve">КОМ ТАВИЛГА ХХК </v>
      </c>
      <c r="E149" s="16">
        <v>120100</v>
      </c>
      <c r="F149" s="237">
        <v>0</v>
      </c>
      <c r="G149" s="237">
        <f>+SUMIFS(JURNAL!G:G,JURNAL!E:E,E149,JURNAL!L:L,$C149,JURNAL!C:C,"&gt;="&amp;$M$3,JURNAL!C:C,"&lt;="&amp;$N$3)</f>
        <v>0</v>
      </c>
      <c r="H149" s="19">
        <f>+SUMIFS(JURNAL!H:H,JURNAL!E:E,E149,JURNAL!L:L,$C149,JURNAL!C:C,"&gt;="&amp;$M$3,JURNAL!C:C,"&lt;="&amp;$N$3)</f>
        <v>0</v>
      </c>
      <c r="I149" s="237">
        <f t="shared" si="24"/>
        <v>0</v>
      </c>
      <c r="J149" s="16">
        <v>310100</v>
      </c>
      <c r="K149" s="237">
        <v>0</v>
      </c>
      <c r="L149" s="237">
        <f>+SUMIFS(JURNAL!G:G,JURNAL!E:E,J149,JURNAL!L:L,$C149,JURNAL!C:C,"&gt;="&amp;$M$3,JURNAL!C:C,"&lt;="&amp;$N$3)</f>
        <v>0</v>
      </c>
      <c r="M149" s="19">
        <f>+SUMIFS(JURNAL!H:H,JURNAL!E:E,J149,JURNAL!L:L,$C149,JURNAL!C:C,"&gt;="&amp;$M$3,JURNAL!C:C,"&lt;="&amp;$N$3)</f>
        <v>0</v>
      </c>
      <c r="N149" s="20">
        <f t="shared" si="23"/>
        <v>0</v>
      </c>
      <c r="O149" s="237">
        <f t="shared" si="18"/>
        <v>0</v>
      </c>
      <c r="P149" s="16">
        <f t="shared" si="19"/>
        <v>310100</v>
      </c>
      <c r="Q149" s="16">
        <f t="shared" si="20"/>
        <v>120100</v>
      </c>
      <c r="R149" s="237">
        <f t="shared" si="21"/>
        <v>0</v>
      </c>
    </row>
    <row r="150" spans="2:18">
      <c r="B150" s="15">
        <f t="shared" si="17"/>
        <v>145</v>
      </c>
      <c r="C150" s="16">
        <f>IFERROR(VLOOKUP(DATA!G148,DATA!$G$4:$J$2149,1,FALSE),"")</f>
        <v>3122</v>
      </c>
      <c r="D150" s="16" t="str">
        <f>+IFERROR(VLOOKUP(C150,DATA!$G$4:$H$2000,2,FALSE),"")</f>
        <v xml:space="preserve">РАДД ХХК </v>
      </c>
      <c r="E150" s="16">
        <v>120100</v>
      </c>
      <c r="F150" s="237">
        <v>0</v>
      </c>
      <c r="G150" s="237">
        <f>+SUMIFS(JURNAL!G:G,JURNAL!E:E,E150,JURNAL!L:L,$C150,JURNAL!C:C,"&gt;="&amp;$M$3,JURNAL!C:C,"&lt;="&amp;$N$3)</f>
        <v>0</v>
      </c>
      <c r="H150" s="19">
        <f>+SUMIFS(JURNAL!H:H,JURNAL!E:E,E150,JURNAL!L:L,$C150,JURNAL!C:C,"&gt;="&amp;$M$3,JURNAL!C:C,"&lt;="&amp;$N$3)</f>
        <v>0</v>
      </c>
      <c r="I150" s="237">
        <f t="shared" si="24"/>
        <v>0</v>
      </c>
      <c r="J150" s="16">
        <v>310100</v>
      </c>
      <c r="K150" s="237">
        <v>0</v>
      </c>
      <c r="L150" s="237">
        <f>+SUMIFS(JURNAL!G:G,JURNAL!E:E,J150,JURNAL!L:L,$C150,JURNAL!C:C,"&gt;="&amp;$M$3,JURNAL!C:C,"&lt;="&amp;$N$3)</f>
        <v>0</v>
      </c>
      <c r="M150" s="19">
        <f>+SUMIFS(JURNAL!H:H,JURNAL!E:E,J150,JURNAL!L:L,$C150,JURNAL!C:C,"&gt;="&amp;$M$3,JURNAL!C:C,"&lt;="&amp;$N$3)</f>
        <v>0</v>
      </c>
      <c r="N150" s="20">
        <f t="shared" si="23"/>
        <v>0</v>
      </c>
      <c r="O150" s="237">
        <f t="shared" si="18"/>
        <v>0</v>
      </c>
      <c r="P150" s="16">
        <f t="shared" si="19"/>
        <v>310100</v>
      </c>
      <c r="Q150" s="16">
        <f t="shared" si="20"/>
        <v>120100</v>
      </c>
      <c r="R150" s="237">
        <f t="shared" si="21"/>
        <v>0</v>
      </c>
    </row>
    <row r="151" spans="2:18">
      <c r="B151" s="15">
        <f t="shared" si="17"/>
        <v>146</v>
      </c>
      <c r="C151" s="16">
        <f>IFERROR(VLOOKUP(DATA!G149,DATA!$G$4:$J$2149,1,FALSE),"")</f>
        <v>3123</v>
      </c>
      <c r="D151" s="16" t="str">
        <f>+IFERROR(VLOOKUP(C151,DATA!$G$4:$H$2000,2,FALSE),"")</f>
        <v>ЭКОСКҮҮЛ ГАРДЕН ХХК</v>
      </c>
      <c r="E151" s="16">
        <v>120100</v>
      </c>
      <c r="F151" s="237">
        <v>0</v>
      </c>
      <c r="G151" s="237">
        <f>+SUMIFS(JURNAL!G:G,JURNAL!E:E,E151,JURNAL!L:L,$C151,JURNAL!C:C,"&gt;="&amp;$M$3,JURNAL!C:C,"&lt;="&amp;$N$3)</f>
        <v>0</v>
      </c>
      <c r="H151" s="19">
        <f>+SUMIFS(JURNAL!H:H,JURNAL!E:E,E151,JURNAL!L:L,$C151,JURNAL!C:C,"&gt;="&amp;$M$3,JURNAL!C:C,"&lt;="&amp;$N$3)</f>
        <v>0</v>
      </c>
      <c r="I151" s="237">
        <f t="shared" si="24"/>
        <v>0</v>
      </c>
      <c r="J151" s="16">
        <v>310100</v>
      </c>
      <c r="K151" s="237">
        <v>0</v>
      </c>
      <c r="L151" s="237">
        <f>+SUMIFS(JURNAL!G:G,JURNAL!E:E,J151,JURNAL!L:L,$C151,JURNAL!C:C,"&gt;="&amp;$M$3,JURNAL!C:C,"&lt;="&amp;$N$3)</f>
        <v>0</v>
      </c>
      <c r="M151" s="19">
        <f>+SUMIFS(JURNAL!H:H,JURNAL!E:E,J151,JURNAL!L:L,$C151,JURNAL!C:C,"&gt;="&amp;$M$3,JURNAL!C:C,"&lt;="&amp;$N$3)</f>
        <v>0</v>
      </c>
      <c r="N151" s="20">
        <f t="shared" si="23"/>
        <v>0</v>
      </c>
      <c r="O151" s="237">
        <f t="shared" ref="O151:O156" si="25">+IF(I151&lt;N151,I151,N151)</f>
        <v>0</v>
      </c>
      <c r="P151" s="16">
        <f t="shared" si="19"/>
        <v>310100</v>
      </c>
      <c r="Q151" s="16">
        <f t="shared" si="20"/>
        <v>120100</v>
      </c>
      <c r="R151" s="237">
        <f t="shared" si="21"/>
        <v>0</v>
      </c>
    </row>
    <row r="152" spans="2:18">
      <c r="B152" s="15">
        <f t="shared" si="17"/>
        <v>147</v>
      </c>
      <c r="C152" s="16">
        <f>IFERROR(VLOOKUP(DATA!G150,DATA!$G$4:$J$2149,1,FALSE),"")</f>
        <v>3124</v>
      </c>
      <c r="D152" s="16" t="str">
        <f>+IFERROR(VLOOKUP(C152,DATA!$G$4:$H$2000,2,FALSE),"")</f>
        <v xml:space="preserve">ШИНЭЛЭГ СУУЦ ХХК </v>
      </c>
      <c r="E152" s="16">
        <v>120100</v>
      </c>
      <c r="F152" s="237">
        <v>0</v>
      </c>
      <c r="G152" s="237">
        <f>+SUMIFS(JURNAL!G:G,JURNAL!E:E,E152,JURNAL!L:L,$C152,JURNAL!C:C,"&gt;="&amp;$M$3,JURNAL!C:C,"&lt;="&amp;$N$3)</f>
        <v>0</v>
      </c>
      <c r="H152" s="19">
        <f>+SUMIFS(JURNAL!H:H,JURNAL!E:E,E152,JURNAL!L:L,$C152,JURNAL!C:C,"&gt;="&amp;$M$3,JURNAL!C:C,"&lt;="&amp;$N$3)</f>
        <v>0</v>
      </c>
      <c r="I152" s="237">
        <f t="shared" si="24"/>
        <v>0</v>
      </c>
      <c r="J152" s="16">
        <v>310100</v>
      </c>
      <c r="K152" s="237">
        <v>0</v>
      </c>
      <c r="L152" s="237">
        <f>+SUMIFS(JURNAL!G:G,JURNAL!E:E,J152,JURNAL!L:L,$C152,JURNAL!C:C,"&gt;="&amp;$M$3,JURNAL!C:C,"&lt;="&amp;$N$3)</f>
        <v>0</v>
      </c>
      <c r="M152" s="19">
        <f>+SUMIFS(JURNAL!H:H,JURNAL!E:E,J152,JURNAL!L:L,$C152,JURNAL!C:C,"&gt;="&amp;$M$3,JURNAL!C:C,"&lt;="&amp;$N$3)</f>
        <v>0</v>
      </c>
      <c r="N152" s="20">
        <f t="shared" si="23"/>
        <v>0</v>
      </c>
      <c r="O152" s="237">
        <f t="shared" si="25"/>
        <v>0</v>
      </c>
      <c r="P152" s="16">
        <f t="shared" si="19"/>
        <v>310100</v>
      </c>
      <c r="Q152" s="16">
        <f t="shared" si="20"/>
        <v>120100</v>
      </c>
      <c r="R152" s="237">
        <f t="shared" si="21"/>
        <v>0</v>
      </c>
    </row>
    <row r="153" spans="2:18">
      <c r="B153" s="15">
        <f t="shared" si="17"/>
        <v>148</v>
      </c>
      <c r="C153" s="16">
        <f>IFERROR(VLOOKUP(DATA!G151,DATA!$G$4:$J$2149,1,FALSE),"")</f>
        <v>3125</v>
      </c>
      <c r="D153" s="16" t="str">
        <f>+IFERROR(VLOOKUP(C153,DATA!$G$4:$H$2000,2,FALSE),"")</f>
        <v xml:space="preserve">ХАНИР ТЭНГЭР ХХК </v>
      </c>
      <c r="E153" s="16">
        <v>120100</v>
      </c>
      <c r="F153" s="237">
        <v>0</v>
      </c>
      <c r="G153" s="237">
        <f>+SUMIFS(JURNAL!G:G,JURNAL!E:E,E153,JURNAL!L:L,$C153,JURNAL!C:C,"&gt;="&amp;$M$3,JURNAL!C:C,"&lt;="&amp;$N$3)</f>
        <v>0</v>
      </c>
      <c r="H153" s="19">
        <f>+SUMIFS(JURNAL!H:H,JURNAL!E:E,E153,JURNAL!L:L,$C153,JURNAL!C:C,"&gt;="&amp;$M$3,JURNAL!C:C,"&lt;="&amp;$N$3)</f>
        <v>0</v>
      </c>
      <c r="I153" s="237">
        <f t="shared" si="24"/>
        <v>0</v>
      </c>
      <c r="J153" s="16">
        <v>310100</v>
      </c>
      <c r="K153" s="237">
        <v>0</v>
      </c>
      <c r="L153" s="237">
        <f>+SUMIFS(JURNAL!G:G,JURNAL!E:E,J153,JURNAL!L:L,$C153,JURNAL!C:C,"&gt;="&amp;$M$3,JURNAL!C:C,"&lt;="&amp;$N$3)</f>
        <v>0</v>
      </c>
      <c r="M153" s="19">
        <f>+SUMIFS(JURNAL!H:H,JURNAL!E:E,J153,JURNAL!L:L,$C153,JURNAL!C:C,"&gt;="&amp;$M$3,JURNAL!C:C,"&lt;="&amp;$N$3)</f>
        <v>0</v>
      </c>
      <c r="N153" s="20">
        <f t="shared" si="23"/>
        <v>0</v>
      </c>
      <c r="O153" s="237">
        <f t="shared" si="25"/>
        <v>0</v>
      </c>
      <c r="P153" s="16">
        <f t="shared" si="19"/>
        <v>310100</v>
      </c>
      <c r="Q153" s="16">
        <f t="shared" si="20"/>
        <v>120100</v>
      </c>
      <c r="R153" s="237">
        <f t="shared" si="21"/>
        <v>0</v>
      </c>
    </row>
    <row r="154" spans="2:18">
      <c r="B154" s="15">
        <f t="shared" si="17"/>
        <v>149</v>
      </c>
      <c r="C154" s="16">
        <f>IFERROR(VLOOKUP(DATA!G152,DATA!$G$4:$J$2149,1,FALSE),"")</f>
        <v>3126</v>
      </c>
      <c r="D154" s="16" t="str">
        <f>+IFERROR(VLOOKUP(C154,DATA!$G$4:$H$2000,2,FALSE),"")</f>
        <v>МАТРИКС</v>
      </c>
      <c r="E154" s="16">
        <v>120100</v>
      </c>
      <c r="F154" s="237">
        <v>0</v>
      </c>
      <c r="G154" s="237">
        <f>+SUMIFS(JURNAL!G:G,JURNAL!E:E,E154,JURNAL!L:L,$C154,JURNAL!C:C,"&gt;="&amp;$M$3,JURNAL!C:C,"&lt;="&amp;$N$3)</f>
        <v>0</v>
      </c>
      <c r="H154" s="19">
        <f>+SUMIFS(JURNAL!H:H,JURNAL!E:E,E154,JURNAL!L:L,$C154,JURNAL!C:C,"&gt;="&amp;$M$3,JURNAL!C:C,"&lt;="&amp;$N$3)</f>
        <v>0</v>
      </c>
      <c r="I154" s="237">
        <f t="shared" si="24"/>
        <v>0</v>
      </c>
      <c r="J154" s="16">
        <v>310100</v>
      </c>
      <c r="K154" s="237">
        <v>0</v>
      </c>
      <c r="L154" s="237">
        <f>+SUMIFS(JURNAL!G:G,JURNAL!E:E,J154,JURNAL!L:L,$C154,JURNAL!C:C,"&gt;="&amp;$M$3,JURNAL!C:C,"&lt;="&amp;$N$3)</f>
        <v>0</v>
      </c>
      <c r="M154" s="19">
        <f>+SUMIFS(JURNAL!H:H,JURNAL!E:E,J154,JURNAL!L:L,$C154,JURNAL!C:C,"&gt;="&amp;$M$3,JURNAL!C:C,"&lt;="&amp;$N$3)</f>
        <v>0</v>
      </c>
      <c r="N154" s="20">
        <f t="shared" si="23"/>
        <v>0</v>
      </c>
      <c r="O154" s="237">
        <f t="shared" si="25"/>
        <v>0</v>
      </c>
      <c r="P154" s="16">
        <f t="shared" si="19"/>
        <v>310100</v>
      </c>
      <c r="Q154" s="16">
        <f t="shared" si="20"/>
        <v>120100</v>
      </c>
      <c r="R154" s="237">
        <f t="shared" si="21"/>
        <v>0</v>
      </c>
    </row>
    <row r="155" spans="2:18">
      <c r="B155" s="15">
        <f t="shared" si="17"/>
        <v>150</v>
      </c>
      <c r="C155" s="16">
        <f>IFERROR(VLOOKUP(DATA!G153,DATA!$G$4:$J$2149,1,FALSE),"")</f>
        <v>3127</v>
      </c>
      <c r="D155" s="16" t="str">
        <f>+IFERROR(VLOOKUP(C155,DATA!$G$4:$H$2000,2,FALSE),"")</f>
        <v>ОРЧЛОН КОНСТРАКШН ХХК</v>
      </c>
      <c r="E155" s="16">
        <v>120100</v>
      </c>
      <c r="F155" s="237">
        <v>0</v>
      </c>
      <c r="G155" s="237">
        <f>+SUMIFS(JURNAL!G:G,JURNAL!E:E,E155,JURNAL!L:L,$C155,JURNAL!C:C,"&gt;="&amp;$M$3,JURNAL!C:C,"&lt;="&amp;$N$3)</f>
        <v>0</v>
      </c>
      <c r="H155" s="19">
        <f>+SUMIFS(JURNAL!H:H,JURNAL!E:E,E155,JURNAL!L:L,$C155,JURNAL!C:C,"&gt;="&amp;$M$3,JURNAL!C:C,"&lt;="&amp;$N$3)</f>
        <v>0</v>
      </c>
      <c r="I155" s="237">
        <f t="shared" si="24"/>
        <v>0</v>
      </c>
      <c r="J155" s="16">
        <v>310100</v>
      </c>
      <c r="K155" s="237">
        <v>0</v>
      </c>
      <c r="L155" s="237">
        <f>+SUMIFS(JURNAL!G:G,JURNAL!E:E,J155,JURNAL!L:L,$C155,JURNAL!C:C,"&gt;="&amp;$M$3,JURNAL!C:C,"&lt;="&amp;$N$3)</f>
        <v>0</v>
      </c>
      <c r="M155" s="19">
        <f>+SUMIFS(JURNAL!H:H,JURNAL!E:E,J155,JURNAL!L:L,$C155,JURNAL!C:C,"&gt;="&amp;$M$3,JURNAL!C:C,"&lt;="&amp;$N$3)</f>
        <v>0</v>
      </c>
      <c r="N155" s="20">
        <f t="shared" si="23"/>
        <v>0</v>
      </c>
      <c r="O155" s="237">
        <f t="shared" si="25"/>
        <v>0</v>
      </c>
      <c r="P155" s="16">
        <f t="shared" si="19"/>
        <v>310100</v>
      </c>
      <c r="Q155" s="16">
        <f t="shared" si="20"/>
        <v>120100</v>
      </c>
      <c r="R155" s="237">
        <f t="shared" si="21"/>
        <v>0</v>
      </c>
    </row>
    <row r="156" spans="2:18">
      <c r="B156" s="15">
        <f t="shared" si="17"/>
        <v>151</v>
      </c>
      <c r="C156" s="16">
        <f>IFERROR(VLOOKUP(DATA!G154,DATA!$G$4:$J$2149,1,FALSE),"")</f>
        <v>3128</v>
      </c>
      <c r="D156" s="16" t="str">
        <f>+IFERROR(VLOOKUP(C156,DATA!$G$4:$H$2000,2,FALSE),"")</f>
        <v>ЦАСТБААТАР ЦАМХАГ ХХК</v>
      </c>
      <c r="E156" s="16">
        <v>120100</v>
      </c>
      <c r="F156" s="237">
        <v>0</v>
      </c>
      <c r="G156" s="237">
        <f>+SUMIFS(JURNAL!G:G,JURNAL!E:E,E156,JURNAL!L:L,$C156,JURNAL!C:C,"&gt;="&amp;$M$3,JURNAL!C:C,"&lt;="&amp;$N$3)</f>
        <v>0</v>
      </c>
      <c r="H156" s="19">
        <f>+SUMIFS(JURNAL!H:H,JURNAL!E:E,E156,JURNAL!L:L,$C156,JURNAL!C:C,"&gt;="&amp;$M$3,JURNAL!C:C,"&lt;="&amp;$N$3)</f>
        <v>0</v>
      </c>
      <c r="I156" s="237">
        <f t="shared" si="24"/>
        <v>0</v>
      </c>
      <c r="J156" s="16">
        <v>310100</v>
      </c>
      <c r="K156" s="237">
        <v>0</v>
      </c>
      <c r="L156" s="237">
        <f>+SUMIFS(JURNAL!G:G,JURNAL!E:E,J156,JURNAL!L:L,$C156,JURNAL!C:C,"&gt;="&amp;$M$3,JURNAL!C:C,"&lt;="&amp;$N$3)</f>
        <v>0</v>
      </c>
      <c r="M156" s="19">
        <f>+SUMIFS(JURNAL!H:H,JURNAL!E:E,J156,JURNAL!L:L,$C156,JURNAL!C:C,"&gt;="&amp;$M$3,JURNAL!C:C,"&lt;="&amp;$N$3)</f>
        <v>0</v>
      </c>
      <c r="N156" s="20">
        <f t="shared" si="23"/>
        <v>0</v>
      </c>
      <c r="O156" s="237">
        <f t="shared" si="25"/>
        <v>0</v>
      </c>
      <c r="P156" s="16">
        <f t="shared" si="19"/>
        <v>310100</v>
      </c>
      <c r="Q156" s="16">
        <f t="shared" si="20"/>
        <v>120100</v>
      </c>
      <c r="R156" s="237">
        <f t="shared" si="21"/>
        <v>0</v>
      </c>
    </row>
    <row r="157" spans="2:18">
      <c r="B157" s="15">
        <f t="shared" si="17"/>
        <v>152</v>
      </c>
      <c r="C157" s="16">
        <f>IFERROR(VLOOKUP(DATA!G155,DATA!$G$4:$J$2149,1,FALSE),"")</f>
        <v>3129</v>
      </c>
      <c r="D157" s="16" t="str">
        <f>+IFERROR(VLOOKUP(C157,DATA!$G$4:$H$2000,2,FALSE),"")</f>
        <v>МЕТРИК ДИЗАЙН ХХК</v>
      </c>
      <c r="E157" s="16">
        <v>120100</v>
      </c>
      <c r="F157" s="237">
        <v>0</v>
      </c>
      <c r="G157" s="237">
        <f>+SUMIFS(JURNAL!G:G,JURNAL!E:E,E157,JURNAL!L:L,$C157,JURNAL!C:C,"&gt;="&amp;$M$3,JURNAL!C:C,"&lt;="&amp;$N$3)</f>
        <v>0</v>
      </c>
      <c r="H157" s="19">
        <f>+SUMIFS(JURNAL!H:H,JURNAL!E:E,E157,JURNAL!L:L,$C157,JURNAL!C:C,"&gt;="&amp;$M$3,JURNAL!C:C,"&lt;="&amp;$N$3)</f>
        <v>0</v>
      </c>
      <c r="I157" s="237">
        <f t="shared" ref="I157:I165" si="26">+F157+G157-H157</f>
        <v>0</v>
      </c>
      <c r="J157" s="16">
        <v>310100</v>
      </c>
      <c r="K157" s="237">
        <v>0</v>
      </c>
      <c r="L157" s="237">
        <f>+SUMIFS(JURNAL!G:G,JURNAL!E:E,J157,JURNAL!L:L,$C157,JURNAL!C:C,"&gt;="&amp;$M$3,JURNAL!C:C,"&lt;="&amp;$N$3)</f>
        <v>0</v>
      </c>
      <c r="M157" s="19">
        <f>+SUMIFS(JURNAL!H:H,JURNAL!E:E,J157,JURNAL!L:L,$C157,JURNAL!C:C,"&gt;="&amp;$M$3,JURNAL!C:C,"&lt;="&amp;$N$3)</f>
        <v>0</v>
      </c>
      <c r="N157" s="20">
        <f t="shared" ref="N157:N165" si="27">+K157+M157-L157</f>
        <v>0</v>
      </c>
      <c r="O157" s="237">
        <f t="shared" si="18"/>
        <v>0</v>
      </c>
      <c r="P157" s="16">
        <f t="shared" si="19"/>
        <v>310100</v>
      </c>
      <c r="Q157" s="16">
        <f t="shared" si="20"/>
        <v>120100</v>
      </c>
      <c r="R157" s="237">
        <f t="shared" si="21"/>
        <v>0</v>
      </c>
    </row>
    <row r="158" spans="2:18">
      <c r="B158" s="15">
        <f t="shared" si="17"/>
        <v>153</v>
      </c>
      <c r="C158" s="16">
        <f>IFERROR(VLOOKUP(DATA!G156,DATA!$G$4:$J$2149,1,FALSE),"")</f>
        <v>3130</v>
      </c>
      <c r="D158" s="16" t="str">
        <f>+IFERROR(VLOOKUP(C158,DATA!$G$4:$H$2000,2,FALSE),"")</f>
        <v>АРУМА ХХК</v>
      </c>
      <c r="E158" s="16">
        <v>120100</v>
      </c>
      <c r="F158" s="237">
        <v>0</v>
      </c>
      <c r="G158" s="237">
        <f>+SUMIFS(JURNAL!G:G,JURNAL!E:E,E158,JURNAL!L:L,$C158,JURNAL!C:C,"&gt;="&amp;$M$3,JURNAL!C:C,"&lt;="&amp;$N$3)</f>
        <v>0</v>
      </c>
      <c r="H158" s="19">
        <f>+SUMIFS(JURNAL!H:H,JURNAL!E:E,E158,JURNAL!L:L,$C158,JURNAL!C:C,"&gt;="&amp;$M$3,JURNAL!C:C,"&lt;="&amp;$N$3)</f>
        <v>0</v>
      </c>
      <c r="I158" s="237">
        <f t="shared" si="26"/>
        <v>0</v>
      </c>
      <c r="J158" s="16">
        <v>310100</v>
      </c>
      <c r="K158" s="237">
        <v>0</v>
      </c>
      <c r="L158" s="237">
        <f>+SUMIFS(JURNAL!G:G,JURNAL!E:E,J158,JURNAL!L:L,$C158,JURNAL!C:C,"&gt;="&amp;$M$3,JURNAL!C:C,"&lt;="&amp;$N$3)</f>
        <v>0</v>
      </c>
      <c r="M158" s="19">
        <f>+SUMIFS(JURNAL!H:H,JURNAL!E:E,J158,JURNAL!L:L,$C158,JURNAL!C:C,"&gt;="&amp;$M$3,JURNAL!C:C,"&lt;="&amp;$N$3)</f>
        <v>0</v>
      </c>
      <c r="N158" s="20">
        <f t="shared" si="27"/>
        <v>0</v>
      </c>
      <c r="O158" s="237">
        <f t="shared" si="18"/>
        <v>0</v>
      </c>
      <c r="P158" s="16">
        <f t="shared" si="19"/>
        <v>310100</v>
      </c>
      <c r="Q158" s="16">
        <f t="shared" si="20"/>
        <v>120100</v>
      </c>
      <c r="R158" s="237">
        <f t="shared" si="21"/>
        <v>0</v>
      </c>
    </row>
    <row r="159" spans="2:18">
      <c r="B159" s="15">
        <f t="shared" si="17"/>
        <v>154</v>
      </c>
      <c r="C159" s="16">
        <f>IFERROR(VLOOKUP(DATA!G157,DATA!$G$4:$J$2149,1,FALSE),"")</f>
        <v>3131</v>
      </c>
      <c r="D159" s="16" t="str">
        <f>+IFERROR(VLOOKUP(C159,DATA!$G$4:$H$2000,2,FALSE),"")</f>
        <v>ДЕЛЬТА КОНСТРАКШН ХХК</v>
      </c>
      <c r="E159" s="16">
        <v>120100</v>
      </c>
      <c r="F159" s="237">
        <v>0</v>
      </c>
      <c r="G159" s="237">
        <f>+SUMIFS(JURNAL!G:G,JURNAL!E:E,E159,JURNAL!L:L,$C159,JURNAL!C:C,"&gt;="&amp;$M$3,JURNAL!C:C,"&lt;="&amp;$N$3)</f>
        <v>0</v>
      </c>
      <c r="H159" s="19">
        <f>+SUMIFS(JURNAL!H:H,JURNAL!E:E,E159,JURNAL!L:L,$C159,JURNAL!C:C,"&gt;="&amp;$M$3,JURNAL!C:C,"&lt;="&amp;$N$3)</f>
        <v>0</v>
      </c>
      <c r="I159" s="237">
        <f t="shared" si="26"/>
        <v>0</v>
      </c>
      <c r="J159" s="16">
        <v>310100</v>
      </c>
      <c r="K159" s="237">
        <v>0</v>
      </c>
      <c r="L159" s="237">
        <f>+SUMIFS(JURNAL!G:G,JURNAL!E:E,J159,JURNAL!L:L,$C159,JURNAL!C:C,"&gt;="&amp;$M$3,JURNAL!C:C,"&lt;="&amp;$N$3)</f>
        <v>0</v>
      </c>
      <c r="M159" s="19">
        <f>+SUMIFS(JURNAL!H:H,JURNAL!E:E,J159,JURNAL!L:L,$C159,JURNAL!C:C,"&gt;="&amp;$M$3,JURNAL!C:C,"&lt;="&amp;$N$3)</f>
        <v>0</v>
      </c>
      <c r="N159" s="20">
        <f t="shared" si="27"/>
        <v>0</v>
      </c>
      <c r="O159" s="237">
        <f t="shared" si="18"/>
        <v>0</v>
      </c>
      <c r="P159" s="16">
        <f t="shared" si="19"/>
        <v>310100</v>
      </c>
      <c r="Q159" s="16">
        <f t="shared" si="20"/>
        <v>120100</v>
      </c>
      <c r="R159" s="237">
        <f t="shared" si="21"/>
        <v>0</v>
      </c>
    </row>
    <row r="160" spans="2:18">
      <c r="B160" s="15">
        <f t="shared" si="17"/>
        <v>155</v>
      </c>
      <c r="C160" s="16">
        <f>IFERROR(VLOOKUP(DATA!G158,DATA!$G$4:$J$2149,1,FALSE),"")</f>
        <v>3132</v>
      </c>
      <c r="D160" s="16" t="str">
        <f>+IFERROR(VLOOKUP(C160,DATA!$G$4:$H$2000,2,FALSE),"")</f>
        <v xml:space="preserve">СЭКҮ ХХК </v>
      </c>
      <c r="E160" s="16">
        <v>120100</v>
      </c>
      <c r="F160" s="237">
        <v>0</v>
      </c>
      <c r="G160" s="237">
        <f>+SUMIFS(JURNAL!G:G,JURNAL!E:E,E160,JURNAL!L:L,$C160,JURNAL!C:C,"&gt;="&amp;$M$3,JURNAL!C:C,"&lt;="&amp;$N$3)</f>
        <v>0</v>
      </c>
      <c r="H160" s="19">
        <f>+SUMIFS(JURNAL!H:H,JURNAL!E:E,E160,JURNAL!L:L,$C160,JURNAL!C:C,"&gt;="&amp;$M$3,JURNAL!C:C,"&lt;="&amp;$N$3)</f>
        <v>0</v>
      </c>
      <c r="I160" s="237">
        <f t="shared" si="26"/>
        <v>0</v>
      </c>
      <c r="J160" s="16">
        <v>310100</v>
      </c>
      <c r="K160" s="237">
        <v>0</v>
      </c>
      <c r="L160" s="237">
        <f>+SUMIFS(JURNAL!G:G,JURNAL!E:E,J160,JURNAL!L:L,$C160,JURNAL!C:C,"&gt;="&amp;$M$3,JURNAL!C:C,"&lt;="&amp;$N$3)</f>
        <v>0</v>
      </c>
      <c r="M160" s="19">
        <f>+SUMIFS(JURNAL!H:H,JURNAL!E:E,J160,JURNAL!L:L,$C160,JURNAL!C:C,"&gt;="&amp;$M$3,JURNAL!C:C,"&lt;="&amp;$N$3)</f>
        <v>0</v>
      </c>
      <c r="N160" s="20">
        <f t="shared" si="27"/>
        <v>0</v>
      </c>
      <c r="O160" s="237">
        <f t="shared" si="18"/>
        <v>0</v>
      </c>
      <c r="P160" s="16">
        <f t="shared" si="19"/>
        <v>310100</v>
      </c>
      <c r="Q160" s="16">
        <f t="shared" si="20"/>
        <v>120100</v>
      </c>
      <c r="R160" s="237">
        <f t="shared" si="21"/>
        <v>0</v>
      </c>
    </row>
    <row r="161" spans="2:18">
      <c r="B161" s="15">
        <f t="shared" si="17"/>
        <v>156</v>
      </c>
      <c r="C161" s="16">
        <f>IFERROR(VLOOKUP(DATA!G159,DATA!$G$4:$J$2149,1,FALSE),"")</f>
        <v>3133</v>
      </c>
      <c r="D161" s="16" t="str">
        <f>+IFERROR(VLOOKUP(C161,DATA!$G$4:$H$2000,2,FALSE),"")</f>
        <v xml:space="preserve">ДЭВЖИХ ЭРДЭНЭ ХХК </v>
      </c>
      <c r="E161" s="16">
        <v>120100</v>
      </c>
      <c r="F161" s="237">
        <v>0</v>
      </c>
      <c r="G161" s="237">
        <f>+SUMIFS(JURNAL!G:G,JURNAL!E:E,E161,JURNAL!L:L,$C161,JURNAL!C:C,"&gt;="&amp;$M$3,JURNAL!C:C,"&lt;="&amp;$N$3)</f>
        <v>0</v>
      </c>
      <c r="H161" s="19">
        <f>+SUMIFS(JURNAL!H:H,JURNAL!E:E,E161,JURNAL!L:L,$C161,JURNAL!C:C,"&gt;="&amp;$M$3,JURNAL!C:C,"&lt;="&amp;$N$3)</f>
        <v>0</v>
      </c>
      <c r="I161" s="237">
        <f t="shared" si="26"/>
        <v>0</v>
      </c>
      <c r="J161" s="16">
        <v>310100</v>
      </c>
      <c r="K161" s="237">
        <v>0</v>
      </c>
      <c r="L161" s="237">
        <f>+SUMIFS(JURNAL!G:G,JURNAL!E:E,J161,JURNAL!L:L,$C161,JURNAL!C:C,"&gt;="&amp;$M$3,JURNAL!C:C,"&lt;="&amp;$N$3)</f>
        <v>0</v>
      </c>
      <c r="M161" s="19">
        <f>+SUMIFS(JURNAL!H:H,JURNAL!E:E,J161,JURNAL!L:L,$C161,JURNAL!C:C,"&gt;="&amp;$M$3,JURNAL!C:C,"&lt;="&amp;$N$3)</f>
        <v>0</v>
      </c>
      <c r="N161" s="20">
        <f t="shared" si="27"/>
        <v>0</v>
      </c>
      <c r="O161" s="237">
        <f t="shared" si="18"/>
        <v>0</v>
      </c>
      <c r="P161" s="16">
        <f t="shared" si="19"/>
        <v>310100</v>
      </c>
      <c r="Q161" s="16">
        <f t="shared" si="20"/>
        <v>120100</v>
      </c>
      <c r="R161" s="237">
        <f t="shared" si="21"/>
        <v>0</v>
      </c>
    </row>
    <row r="162" spans="2:18">
      <c r="B162" s="15">
        <f t="shared" si="17"/>
        <v>157</v>
      </c>
      <c r="C162" s="16">
        <f>IFERROR(VLOOKUP(DATA!G160,DATA!$G$4:$J$2149,1,FALSE),"")</f>
        <v>3134</v>
      </c>
      <c r="D162" s="16" t="str">
        <f>+IFERROR(VLOOKUP(C162,DATA!$G$4:$H$2000,2,FALSE),"")</f>
        <v xml:space="preserve">ЖИ МОБАЙЛ </v>
      </c>
      <c r="E162" s="16">
        <v>120100</v>
      </c>
      <c r="F162" s="237">
        <v>0</v>
      </c>
      <c r="G162" s="237">
        <f>+SUMIFS(JURNAL!G:G,JURNAL!E:E,E162,JURNAL!L:L,$C162,JURNAL!C:C,"&gt;="&amp;$M$3,JURNAL!C:C,"&lt;="&amp;$N$3)</f>
        <v>0</v>
      </c>
      <c r="H162" s="19">
        <f>+SUMIFS(JURNAL!H:H,JURNAL!E:E,E162,JURNAL!L:L,$C162,JURNAL!C:C,"&gt;="&amp;$M$3,JURNAL!C:C,"&lt;="&amp;$N$3)</f>
        <v>0</v>
      </c>
      <c r="I162" s="237">
        <f t="shared" si="26"/>
        <v>0</v>
      </c>
      <c r="J162" s="16">
        <v>310100</v>
      </c>
      <c r="K162" s="237">
        <v>0</v>
      </c>
      <c r="L162" s="237">
        <f>+SUMIFS(JURNAL!G:G,JURNAL!E:E,J162,JURNAL!L:L,$C162,JURNAL!C:C,"&gt;="&amp;$M$3,JURNAL!C:C,"&lt;="&amp;$N$3)</f>
        <v>514500</v>
      </c>
      <c r="M162" s="19">
        <f>+SUMIFS(JURNAL!H:H,JURNAL!E:E,J162,JURNAL!L:L,$C162,JURNAL!C:C,"&gt;="&amp;$M$3,JURNAL!C:C,"&lt;="&amp;$N$3)</f>
        <v>514500</v>
      </c>
      <c r="N162" s="20">
        <f t="shared" si="27"/>
        <v>0</v>
      </c>
      <c r="O162" s="237">
        <f t="shared" si="18"/>
        <v>0</v>
      </c>
      <c r="P162" s="16">
        <f t="shared" si="19"/>
        <v>310100</v>
      </c>
      <c r="Q162" s="16">
        <f t="shared" si="20"/>
        <v>120100</v>
      </c>
      <c r="R162" s="237">
        <f t="shared" si="21"/>
        <v>0</v>
      </c>
    </row>
    <row r="163" spans="2:18">
      <c r="B163" s="15">
        <f t="shared" ref="B163:B197" si="28">+IF(C163="","",ROW()-5)</f>
        <v>158</v>
      </c>
      <c r="C163" s="16">
        <f>IFERROR(VLOOKUP(DATA!G161,DATA!$G$4:$J$2149,1,FALSE),"")</f>
        <v>3135</v>
      </c>
      <c r="D163" s="16" t="str">
        <f>+IFERROR(VLOOKUP(C163,DATA!$G$4:$H$2000,2,FALSE),"")</f>
        <v xml:space="preserve">ЛИДЕР БУЯНТ ХОЛДИНГ </v>
      </c>
      <c r="E163" s="16">
        <v>120100</v>
      </c>
      <c r="F163" s="237">
        <v>0</v>
      </c>
      <c r="G163" s="237">
        <f>+SUMIFS(JURNAL!G:G,JURNAL!E:E,E163,JURNAL!L:L,$C163,JURNAL!C:C,"&gt;="&amp;$M$3,JURNAL!C:C,"&lt;="&amp;$N$3)</f>
        <v>0</v>
      </c>
      <c r="H163" s="19">
        <f>+SUMIFS(JURNAL!H:H,JURNAL!E:E,E163,JURNAL!L:L,$C163,JURNAL!C:C,"&gt;="&amp;$M$3,JURNAL!C:C,"&lt;="&amp;$N$3)</f>
        <v>0</v>
      </c>
      <c r="I163" s="237">
        <f t="shared" si="26"/>
        <v>0</v>
      </c>
      <c r="J163" s="16">
        <v>310100</v>
      </c>
      <c r="K163" s="237">
        <v>0</v>
      </c>
      <c r="L163" s="237">
        <f>+SUMIFS(JURNAL!G:G,JURNAL!E:E,J163,JURNAL!L:L,$C163,JURNAL!C:C,"&gt;="&amp;$M$3,JURNAL!C:C,"&lt;="&amp;$N$3)</f>
        <v>0</v>
      </c>
      <c r="M163" s="19">
        <f>+SUMIFS(JURNAL!H:H,JURNAL!E:E,J163,JURNAL!L:L,$C163,JURNAL!C:C,"&gt;="&amp;$M$3,JURNAL!C:C,"&lt;="&amp;$N$3)</f>
        <v>0</v>
      </c>
      <c r="N163" s="20">
        <f t="shared" si="27"/>
        <v>0</v>
      </c>
      <c r="O163" s="237">
        <f t="shared" si="18"/>
        <v>0</v>
      </c>
      <c r="P163" s="16">
        <f t="shared" si="19"/>
        <v>310100</v>
      </c>
      <c r="Q163" s="16">
        <f t="shared" ref="Q163:Q167" si="29">+E163</f>
        <v>120100</v>
      </c>
      <c r="R163" s="237">
        <f t="shared" ref="R163:R167" si="30">+IF(O163,1,0)</f>
        <v>0</v>
      </c>
    </row>
    <row r="164" spans="2:18">
      <c r="B164" s="15">
        <f t="shared" si="28"/>
        <v>159</v>
      </c>
      <c r="C164" s="16">
        <f>IFERROR(VLOOKUP(DATA!G162,DATA!$G$4:$J$2149,1,FALSE),"")</f>
        <v>3136</v>
      </c>
      <c r="D164" s="16" t="str">
        <f>+IFERROR(VLOOKUP(C164,DATA!$G$4:$H$2000,2,FALSE),"")</f>
        <v xml:space="preserve">ЭМ ЭС ЭН ЭС ХХК </v>
      </c>
      <c r="E164" s="16">
        <v>120100</v>
      </c>
      <c r="F164" s="237">
        <v>0</v>
      </c>
      <c r="G164" s="237">
        <f>+SUMIFS(JURNAL!G:G,JURNAL!E:E,E164,JURNAL!L:L,$C164,JURNAL!C:C,"&gt;="&amp;$M$3,JURNAL!C:C,"&lt;="&amp;$N$3)</f>
        <v>0</v>
      </c>
      <c r="H164" s="19">
        <f>+SUMIFS(JURNAL!H:H,JURNAL!E:E,E164,JURNAL!L:L,$C164,JURNAL!C:C,"&gt;="&amp;$M$3,JURNAL!C:C,"&lt;="&amp;$N$3)</f>
        <v>0</v>
      </c>
      <c r="I164" s="237">
        <f t="shared" si="26"/>
        <v>0</v>
      </c>
      <c r="J164" s="16">
        <v>310100</v>
      </c>
      <c r="K164" s="237">
        <v>0</v>
      </c>
      <c r="L164" s="237">
        <f>+SUMIFS(JURNAL!G:G,JURNAL!E:E,J164,JURNAL!L:L,$C164,JURNAL!C:C,"&gt;="&amp;$M$3,JURNAL!C:C,"&lt;="&amp;$N$3)</f>
        <v>0</v>
      </c>
      <c r="M164" s="19">
        <f>+SUMIFS(JURNAL!H:H,JURNAL!E:E,J164,JURNAL!L:L,$C164,JURNAL!C:C,"&gt;="&amp;$M$3,JURNAL!C:C,"&lt;="&amp;$N$3)</f>
        <v>0</v>
      </c>
      <c r="N164" s="20">
        <f t="shared" si="27"/>
        <v>0</v>
      </c>
      <c r="O164" s="237">
        <f t="shared" si="18"/>
        <v>0</v>
      </c>
      <c r="P164" s="16">
        <f t="shared" si="19"/>
        <v>310100</v>
      </c>
      <c r="Q164" s="16">
        <f t="shared" si="29"/>
        <v>120100</v>
      </c>
      <c r="R164" s="237">
        <f t="shared" si="30"/>
        <v>0</v>
      </c>
    </row>
    <row r="165" spans="2:18">
      <c r="B165" s="15">
        <f t="shared" si="28"/>
        <v>160</v>
      </c>
      <c r="C165" s="16">
        <f>IFERROR(VLOOKUP(DATA!G163,DATA!$G$4:$J$2149,1,FALSE),"")</f>
        <v>3137</v>
      </c>
      <c r="D165" s="16" t="str">
        <f>+IFERROR(VLOOKUP(C165,DATA!$G$4:$H$2000,2,FALSE),"")</f>
        <v xml:space="preserve">ЭМХХ ХХК </v>
      </c>
      <c r="E165" s="16">
        <v>120100</v>
      </c>
      <c r="F165" s="237">
        <v>0</v>
      </c>
      <c r="G165" s="237">
        <f>+SUMIFS(JURNAL!G:G,JURNAL!E:E,E165,JURNAL!L:L,$C165,JURNAL!C:C,"&gt;="&amp;$M$3,JURNAL!C:C,"&lt;="&amp;$N$3)</f>
        <v>0</v>
      </c>
      <c r="H165" s="19">
        <f>+SUMIFS(JURNAL!H:H,JURNAL!E:E,E165,JURNAL!L:L,$C165,JURNAL!C:C,"&gt;="&amp;$M$3,JURNAL!C:C,"&lt;="&amp;$N$3)</f>
        <v>0</v>
      </c>
      <c r="I165" s="237">
        <f t="shared" si="26"/>
        <v>0</v>
      </c>
      <c r="J165" s="16">
        <v>310100</v>
      </c>
      <c r="K165" s="237">
        <v>0</v>
      </c>
      <c r="L165" s="237">
        <f>+SUMIFS(JURNAL!G:G,JURNAL!E:E,J165,JURNAL!L:L,$C165,JURNAL!C:C,"&gt;="&amp;$M$3,JURNAL!C:C,"&lt;="&amp;$N$3)</f>
        <v>0</v>
      </c>
      <c r="M165" s="19">
        <f>+SUMIFS(JURNAL!H:H,JURNAL!E:E,J165,JURNAL!L:L,$C165,JURNAL!C:C,"&gt;="&amp;$M$3,JURNAL!C:C,"&lt;="&amp;$N$3)</f>
        <v>0</v>
      </c>
      <c r="N165" s="20">
        <f t="shared" si="27"/>
        <v>0</v>
      </c>
      <c r="O165" s="237">
        <f t="shared" si="18"/>
        <v>0</v>
      </c>
      <c r="P165" s="16">
        <f t="shared" si="19"/>
        <v>310100</v>
      </c>
      <c r="Q165" s="16">
        <f t="shared" si="29"/>
        <v>120100</v>
      </c>
      <c r="R165" s="237">
        <f t="shared" si="30"/>
        <v>0</v>
      </c>
    </row>
    <row r="166" spans="2:18">
      <c r="B166" s="15">
        <f t="shared" si="28"/>
        <v>161</v>
      </c>
      <c r="C166" s="16">
        <f>IFERROR(VLOOKUP(DATA!G164,DATA!$G$4:$J$2149,1,FALSE),"")</f>
        <v>3138</v>
      </c>
      <c r="D166" s="16" t="str">
        <f>+IFERROR(VLOOKUP(C166,DATA!$G$4:$H$2000,2,FALSE),"")</f>
        <v>ХӨХ БҮРДНИЙ ЭХ ХХК</v>
      </c>
      <c r="E166" s="16">
        <v>120100</v>
      </c>
      <c r="F166" s="237">
        <v>0</v>
      </c>
      <c r="G166" s="237">
        <f>+SUMIFS(JURNAL!G:G,JURNAL!E:E,E166,JURNAL!L:L,$C166,JURNAL!C:C,"&gt;="&amp;$M$3,JURNAL!C:C,"&lt;="&amp;$N$3)</f>
        <v>0</v>
      </c>
      <c r="H166" s="19">
        <f>+SUMIFS(JURNAL!H:H,JURNAL!E:E,E166,JURNAL!L:L,$C166,JURNAL!C:C,"&gt;="&amp;$M$3,JURNAL!C:C,"&lt;="&amp;$N$3)</f>
        <v>0</v>
      </c>
      <c r="I166" s="237">
        <f t="shared" ref="I166" si="31">+F166+G166-H166</f>
        <v>0</v>
      </c>
      <c r="J166" s="16">
        <v>310100</v>
      </c>
      <c r="K166" s="237">
        <v>0</v>
      </c>
      <c r="L166" s="237">
        <f>+SUMIFS(JURNAL!G:G,JURNAL!E:E,J166,JURNAL!L:L,$C166,JURNAL!C:C,"&gt;="&amp;$M$3,JURNAL!C:C,"&lt;="&amp;$N$3)</f>
        <v>0</v>
      </c>
      <c r="M166" s="19">
        <f>+SUMIFS(JURNAL!H:H,JURNAL!E:E,J166,JURNAL!L:L,$C166,JURNAL!C:C,"&gt;="&amp;$M$3,JURNAL!C:C,"&lt;="&amp;$N$3)</f>
        <v>0</v>
      </c>
      <c r="N166" s="20">
        <f t="shared" ref="N166" si="32">+K166+M166-L166</f>
        <v>0</v>
      </c>
      <c r="O166" s="237">
        <f t="shared" si="18"/>
        <v>0</v>
      </c>
      <c r="P166" s="16">
        <f t="shared" si="19"/>
        <v>310100</v>
      </c>
      <c r="Q166" s="16">
        <f t="shared" si="29"/>
        <v>120100</v>
      </c>
      <c r="R166" s="237">
        <f t="shared" si="30"/>
        <v>0</v>
      </c>
    </row>
    <row r="167" spans="2:18">
      <c r="B167" s="15">
        <f t="shared" si="28"/>
        <v>162</v>
      </c>
      <c r="C167" s="16">
        <f>IFERROR(VLOOKUP(DATA!G165,DATA!$G$4:$J$2149,1,FALSE),"")</f>
        <v>3139</v>
      </c>
      <c r="D167" s="16" t="str">
        <f>+IFERROR(VLOOKUP(C167,DATA!$G$4:$H$2000,2,FALSE),"")</f>
        <v xml:space="preserve">БУЯН ОД ХХК </v>
      </c>
      <c r="E167" s="16">
        <v>120100</v>
      </c>
      <c r="F167" s="237">
        <v>0</v>
      </c>
      <c r="G167" s="237">
        <f>+SUMIFS(JURNAL!G:G,JURNAL!E:E,E167,JURNAL!L:L,$C167,JURNAL!C:C,"&gt;="&amp;$M$3,JURNAL!C:C,"&lt;="&amp;$N$3)</f>
        <v>72000000</v>
      </c>
      <c r="H167" s="19">
        <f>+SUMIFS(JURNAL!H:H,JURNAL!E:E,E167,JURNAL!L:L,$C167,JURNAL!C:C,"&gt;="&amp;$M$3,JURNAL!C:C,"&lt;="&amp;$N$3)</f>
        <v>72000000</v>
      </c>
      <c r="I167" s="237">
        <f t="shared" ref="I167" si="33">+F167+G167-H167</f>
        <v>0</v>
      </c>
      <c r="J167" s="16">
        <v>310100</v>
      </c>
      <c r="K167" s="237">
        <v>0</v>
      </c>
      <c r="L167" s="237">
        <f>+SUMIFS(JURNAL!G:G,JURNAL!E:E,J167,JURNAL!L:L,$C167,JURNAL!C:C,"&gt;="&amp;$M$3,JURNAL!C:C,"&lt;="&amp;$N$3)</f>
        <v>0</v>
      </c>
      <c r="M167" s="19">
        <f>+SUMIFS(JURNAL!H:H,JURNAL!E:E,J167,JURNAL!L:L,$C167,JURNAL!C:C,"&gt;="&amp;$M$3,JURNAL!C:C,"&lt;="&amp;$N$3)</f>
        <v>0</v>
      </c>
      <c r="N167" s="20">
        <f t="shared" ref="N167" si="34">+K167+M167-L167</f>
        <v>0</v>
      </c>
      <c r="O167" s="237">
        <f t="shared" ref="O167" si="35">+IF(I167&lt;N167,I167,N167)</f>
        <v>0</v>
      </c>
      <c r="P167" s="16">
        <f t="shared" si="19"/>
        <v>310100</v>
      </c>
      <c r="Q167" s="16">
        <f t="shared" si="29"/>
        <v>120100</v>
      </c>
      <c r="R167" s="237">
        <f t="shared" si="30"/>
        <v>0</v>
      </c>
    </row>
    <row r="168" spans="2:18">
      <c r="B168" s="15" t="str">
        <f t="shared" si="28"/>
        <v/>
      </c>
      <c r="C168" s="16" t="str">
        <f>IFERROR(VLOOKUP(DATA!G166,DATA!$G$4:$J$2149,1,FALSE),"")</f>
        <v/>
      </c>
      <c r="D168" s="16" t="str">
        <f>IFERROR(VLOOKUP(C168,DATA!#REF!,2,FALSE),"")</f>
        <v/>
      </c>
      <c r="I168" s="237"/>
      <c r="J168" s="237"/>
      <c r="P168" s="237"/>
      <c r="Q168" s="237"/>
    </row>
    <row r="169" spans="2:18">
      <c r="B169" s="15" t="str">
        <f t="shared" si="28"/>
        <v/>
      </c>
      <c r="C169" s="16" t="str">
        <f>IFERROR(VLOOKUP(DATA!G167,DATA!$G$4:$J$2149,1,FALSE),"")</f>
        <v/>
      </c>
      <c r="D169" s="16" t="str">
        <f>IFERROR(VLOOKUP(C169,DATA!#REF!,2,FALSE),"")</f>
        <v/>
      </c>
      <c r="I169" s="237"/>
      <c r="J169" s="237"/>
      <c r="P169" s="237"/>
      <c r="Q169" s="237"/>
    </row>
    <row r="170" spans="2:18">
      <c r="B170" s="15" t="str">
        <f t="shared" si="28"/>
        <v/>
      </c>
      <c r="C170" s="16" t="str">
        <f>IFERROR(VLOOKUP(DATA!G168,DATA!$G$4:$J$2149,1,FALSE),"")</f>
        <v/>
      </c>
      <c r="D170" s="16" t="str">
        <f>IFERROR(VLOOKUP(C170,DATA!#REF!,2,FALSE),"")</f>
        <v/>
      </c>
      <c r="I170" s="237"/>
      <c r="J170" s="237"/>
      <c r="P170" s="237"/>
      <c r="Q170" s="237"/>
    </row>
    <row r="171" spans="2:18">
      <c r="B171" s="15" t="str">
        <f t="shared" si="28"/>
        <v/>
      </c>
      <c r="C171" s="16" t="str">
        <f>IFERROR(VLOOKUP(DATA!G169,DATA!$G$4:$J$2149,1,FALSE),"")</f>
        <v/>
      </c>
      <c r="D171" s="16" t="str">
        <f>IFERROR(VLOOKUP(C171,DATA!#REF!,2,FALSE),"")</f>
        <v/>
      </c>
      <c r="I171" s="237"/>
      <c r="J171" s="237"/>
      <c r="P171" s="237"/>
      <c r="Q171" s="237"/>
    </row>
    <row r="172" spans="2:18">
      <c r="B172" s="15" t="str">
        <f t="shared" si="28"/>
        <v/>
      </c>
      <c r="C172" s="16" t="str">
        <f>IFERROR(VLOOKUP(DATA!G170,DATA!$G$4:$J$2149,1,FALSE),"")</f>
        <v/>
      </c>
      <c r="D172" s="16" t="str">
        <f>IFERROR(VLOOKUP(C172,DATA!#REF!,2,FALSE),"")</f>
        <v/>
      </c>
      <c r="I172" s="237"/>
      <c r="J172" s="237"/>
      <c r="P172" s="237"/>
      <c r="Q172" s="237"/>
    </row>
    <row r="173" spans="2:18">
      <c r="B173" s="15" t="str">
        <f t="shared" si="28"/>
        <v/>
      </c>
      <c r="C173" s="16" t="str">
        <f>IFERROR(VLOOKUP(DATA!G171,DATA!$G$4:$J$2149,1,FALSE),"")</f>
        <v/>
      </c>
      <c r="D173" s="16" t="str">
        <f>IFERROR(VLOOKUP(C173,DATA!#REF!,2,FALSE),"")</f>
        <v/>
      </c>
      <c r="I173" s="237"/>
      <c r="J173" s="237"/>
      <c r="P173" s="237"/>
      <c r="Q173" s="237"/>
    </row>
    <row r="174" spans="2:18">
      <c r="B174" s="15" t="str">
        <f t="shared" si="28"/>
        <v/>
      </c>
      <c r="C174" s="16" t="str">
        <f>IFERROR(VLOOKUP(DATA!G172,DATA!$G$4:$J$2149,1,FALSE),"")</f>
        <v/>
      </c>
      <c r="D174" s="16" t="str">
        <f>IFERROR(VLOOKUP(C174,DATA!#REF!,2,FALSE),"")</f>
        <v/>
      </c>
      <c r="I174" s="237"/>
      <c r="J174" s="237"/>
      <c r="P174" s="237"/>
      <c r="Q174" s="237"/>
    </row>
    <row r="175" spans="2:18">
      <c r="B175" s="15" t="str">
        <f t="shared" si="28"/>
        <v/>
      </c>
      <c r="C175" s="16" t="str">
        <f>IFERROR(VLOOKUP(DATA!G173,DATA!$G$4:$J$2149,1,FALSE),"")</f>
        <v/>
      </c>
      <c r="D175" s="16" t="str">
        <f>IFERROR(VLOOKUP(C175,DATA!#REF!,2,FALSE),"")</f>
        <v/>
      </c>
      <c r="I175" s="237"/>
      <c r="J175" s="237"/>
      <c r="P175" s="237"/>
      <c r="Q175" s="237"/>
    </row>
    <row r="176" spans="2:18">
      <c r="B176" s="15" t="str">
        <f t="shared" si="28"/>
        <v/>
      </c>
      <c r="C176" s="16" t="str">
        <f>IFERROR(VLOOKUP(DATA!G174,DATA!$G$4:$J$2149,1,FALSE),"")</f>
        <v/>
      </c>
      <c r="D176" s="16" t="str">
        <f>IFERROR(VLOOKUP(C176,DATA!#REF!,2,FALSE),"")</f>
        <v/>
      </c>
      <c r="I176" s="237"/>
      <c r="J176" s="237"/>
      <c r="P176" s="237"/>
      <c r="Q176" s="237"/>
    </row>
    <row r="177" spans="2:4" s="237" customFormat="1">
      <c r="B177" s="15" t="str">
        <f t="shared" si="28"/>
        <v/>
      </c>
      <c r="C177" s="16" t="str">
        <f>IFERROR(VLOOKUP(DATA!G175,DATA!$G$4:$J$2149,1,FALSE),"")</f>
        <v/>
      </c>
      <c r="D177" s="16" t="str">
        <f>IFERROR(VLOOKUP(C177,DATA!#REF!,2,FALSE),"")</f>
        <v/>
      </c>
    </row>
    <row r="178" spans="2:4" s="237" customFormat="1">
      <c r="B178" s="15" t="str">
        <f t="shared" si="28"/>
        <v/>
      </c>
      <c r="C178" s="16" t="str">
        <f>IFERROR(VLOOKUP(DATA!G176,DATA!$G$4:$J$2149,1,FALSE),"")</f>
        <v/>
      </c>
      <c r="D178" s="16" t="str">
        <f>IFERROR(VLOOKUP(C178,DATA!#REF!,2,FALSE),"")</f>
        <v/>
      </c>
    </row>
    <row r="179" spans="2:4" s="237" customFormat="1">
      <c r="B179" s="15" t="str">
        <f t="shared" si="28"/>
        <v/>
      </c>
      <c r="C179" s="16" t="str">
        <f>IFERROR(VLOOKUP(DATA!G177,DATA!$G$4:$J$2149,1,FALSE),"")</f>
        <v/>
      </c>
      <c r="D179" s="16" t="str">
        <f>IFERROR(VLOOKUP(C179,DATA!#REF!,2,FALSE),"")</f>
        <v/>
      </c>
    </row>
    <row r="180" spans="2:4" s="237" customFormat="1">
      <c r="B180" s="15" t="str">
        <f t="shared" si="28"/>
        <v/>
      </c>
      <c r="C180" s="16" t="str">
        <f>IFERROR(VLOOKUP(DATA!G178,DATA!$G$4:$J$2149,1,FALSE),"")</f>
        <v/>
      </c>
      <c r="D180" s="16" t="str">
        <f>IFERROR(VLOOKUP(C180,DATA!#REF!,2,FALSE),"")</f>
        <v/>
      </c>
    </row>
    <row r="181" spans="2:4" s="237" customFormat="1">
      <c r="B181" s="15" t="str">
        <f t="shared" si="28"/>
        <v/>
      </c>
      <c r="C181" s="16" t="str">
        <f>IFERROR(VLOOKUP(DATA!G179,DATA!$G$4:$J$2149,1,FALSE),"")</f>
        <v/>
      </c>
      <c r="D181" s="16" t="str">
        <f>IFERROR(VLOOKUP(C181,DATA!#REF!,2,FALSE),"")</f>
        <v/>
      </c>
    </row>
    <row r="182" spans="2:4" s="237" customFormat="1">
      <c r="B182" s="15" t="str">
        <f t="shared" si="28"/>
        <v/>
      </c>
      <c r="C182" s="16" t="str">
        <f>IFERROR(VLOOKUP(DATA!G180,DATA!$G$4:$J$2149,1,FALSE),"")</f>
        <v/>
      </c>
      <c r="D182" s="16" t="str">
        <f>IFERROR(VLOOKUP(C182,DATA!#REF!,2,FALSE),"")</f>
        <v/>
      </c>
    </row>
    <row r="183" spans="2:4" s="237" customFormat="1">
      <c r="B183" s="15" t="str">
        <f t="shared" si="28"/>
        <v/>
      </c>
      <c r="C183" s="16" t="str">
        <f>IFERROR(VLOOKUP(DATA!#REF!,DATA!#REF!,1,FALSE),"")</f>
        <v/>
      </c>
      <c r="D183" s="16" t="str">
        <f>IFERROR(VLOOKUP(C183,DATA!#REF!,2,FALSE),"")</f>
        <v/>
      </c>
    </row>
    <row r="184" spans="2:4" s="237" customFormat="1">
      <c r="B184" s="15" t="str">
        <f t="shared" si="28"/>
        <v/>
      </c>
      <c r="C184" s="16" t="str">
        <f>IFERROR(VLOOKUP(DATA!#REF!,DATA!#REF!,1,FALSE),"")</f>
        <v/>
      </c>
      <c r="D184" s="16" t="str">
        <f>IFERROR(VLOOKUP(C184,DATA!#REF!,2,FALSE),"")</f>
        <v/>
      </c>
    </row>
    <row r="185" spans="2:4" s="237" customFormat="1">
      <c r="B185" s="15" t="str">
        <f t="shared" si="28"/>
        <v/>
      </c>
      <c r="C185" s="16" t="str">
        <f>IFERROR(VLOOKUP(DATA!#REF!,DATA!#REF!,1,FALSE),"")</f>
        <v/>
      </c>
      <c r="D185" s="16" t="str">
        <f>IFERROR(VLOOKUP(C185,DATA!#REF!,2,FALSE),"")</f>
        <v/>
      </c>
    </row>
    <row r="186" spans="2:4" s="237" customFormat="1">
      <c r="B186" s="15" t="str">
        <f t="shared" si="28"/>
        <v/>
      </c>
      <c r="C186" s="16" t="str">
        <f>IFERROR(VLOOKUP(DATA!#REF!,DATA!#REF!,1,FALSE),"")</f>
        <v/>
      </c>
      <c r="D186" s="16" t="str">
        <f>IFERROR(VLOOKUP(C186,DATA!#REF!,2,FALSE),"")</f>
        <v/>
      </c>
    </row>
    <row r="187" spans="2:4" s="237" customFormat="1">
      <c r="B187" s="15" t="str">
        <f t="shared" si="28"/>
        <v/>
      </c>
      <c r="C187" s="16" t="str">
        <f>IFERROR(VLOOKUP(DATA!#REF!,DATA!#REF!,1,FALSE),"")</f>
        <v/>
      </c>
      <c r="D187" s="16" t="str">
        <f>IFERROR(VLOOKUP(C187,DATA!#REF!,2,FALSE),"")</f>
        <v/>
      </c>
    </row>
    <row r="188" spans="2:4" s="237" customFormat="1">
      <c r="B188" s="15" t="str">
        <f t="shared" si="28"/>
        <v/>
      </c>
      <c r="C188" s="16" t="str">
        <f>IFERROR(VLOOKUP(DATA!#REF!,DATA!#REF!,1,FALSE),"")</f>
        <v/>
      </c>
      <c r="D188" s="16" t="str">
        <f>IFERROR(VLOOKUP(C188,DATA!#REF!,2,FALSE),"")</f>
        <v/>
      </c>
    </row>
    <row r="189" spans="2:4" s="237" customFormat="1">
      <c r="B189" s="15" t="str">
        <f t="shared" si="28"/>
        <v/>
      </c>
      <c r="C189" s="16" t="str">
        <f>IFERROR(VLOOKUP(DATA!#REF!,DATA!#REF!,1,FALSE),"")</f>
        <v/>
      </c>
      <c r="D189" s="16" t="str">
        <f>IFERROR(VLOOKUP(C189,DATA!#REF!,2,FALSE),"")</f>
        <v/>
      </c>
    </row>
    <row r="190" spans="2:4" s="237" customFormat="1">
      <c r="B190" s="15" t="str">
        <f t="shared" si="28"/>
        <v/>
      </c>
      <c r="C190" s="16" t="str">
        <f>IFERROR(VLOOKUP(DATA!#REF!,DATA!#REF!,1,FALSE),"")</f>
        <v/>
      </c>
      <c r="D190" s="16" t="str">
        <f>IFERROR(VLOOKUP(C190,DATA!#REF!,2,FALSE),"")</f>
        <v/>
      </c>
    </row>
    <row r="191" spans="2:4" s="237" customFormat="1">
      <c r="B191" s="15" t="str">
        <f t="shared" si="28"/>
        <v/>
      </c>
      <c r="C191" s="16" t="str">
        <f>IFERROR(VLOOKUP(DATA!#REF!,DATA!#REF!,1,FALSE),"")</f>
        <v/>
      </c>
      <c r="D191" s="16" t="str">
        <f>IFERROR(VLOOKUP(C191,DATA!#REF!,2,FALSE),"")</f>
        <v/>
      </c>
    </row>
    <row r="192" spans="2:4" s="237" customFormat="1">
      <c r="B192" s="15" t="str">
        <f t="shared" si="28"/>
        <v/>
      </c>
      <c r="C192" s="16" t="str">
        <f>IFERROR(VLOOKUP(DATA!#REF!,DATA!#REF!,1,FALSE),"")</f>
        <v/>
      </c>
      <c r="D192" s="16" t="str">
        <f>IFERROR(VLOOKUP(C192,DATA!#REF!,2,FALSE),"")</f>
        <v/>
      </c>
    </row>
    <row r="193" spans="2:4" s="237" customFormat="1">
      <c r="B193" s="15" t="str">
        <f t="shared" si="28"/>
        <v/>
      </c>
      <c r="C193" s="16" t="str">
        <f>IFERROR(VLOOKUP(DATA!#REF!,DATA!#REF!,1,FALSE),"")</f>
        <v/>
      </c>
      <c r="D193" s="16" t="str">
        <f>IFERROR(VLOOKUP(C193,DATA!#REF!,2,FALSE),"")</f>
        <v/>
      </c>
    </row>
    <row r="194" spans="2:4" s="237" customFormat="1">
      <c r="B194" s="15" t="str">
        <f t="shared" si="28"/>
        <v/>
      </c>
      <c r="C194" s="16" t="str">
        <f>IFERROR(VLOOKUP(DATA!#REF!,DATA!#REF!,1,FALSE),"")</f>
        <v/>
      </c>
      <c r="D194" s="16" t="str">
        <f>IFERROR(VLOOKUP(C194,DATA!#REF!,2,FALSE),"")</f>
        <v/>
      </c>
    </row>
    <row r="195" spans="2:4" s="237" customFormat="1">
      <c r="B195" s="15" t="str">
        <f t="shared" si="28"/>
        <v/>
      </c>
      <c r="C195" s="16" t="str">
        <f>IFERROR(VLOOKUP(DATA!#REF!,DATA!#REF!,1,FALSE),"")</f>
        <v/>
      </c>
      <c r="D195" s="16" t="str">
        <f>IFERROR(VLOOKUP(C195,DATA!#REF!,2,FALSE),"")</f>
        <v/>
      </c>
    </row>
    <row r="196" spans="2:4" s="237" customFormat="1">
      <c r="B196" s="15" t="str">
        <f t="shared" si="28"/>
        <v/>
      </c>
      <c r="C196" s="16" t="str">
        <f>IFERROR(VLOOKUP(DATA!#REF!,DATA!#REF!,1,FALSE),"")</f>
        <v/>
      </c>
      <c r="D196" s="16" t="str">
        <f>IFERROR(VLOOKUP(C196,DATA!#REF!,2,FALSE),"")</f>
        <v/>
      </c>
    </row>
    <row r="197" spans="2:4" s="237" customFormat="1">
      <c r="B197" s="15" t="str">
        <f t="shared" si="28"/>
        <v/>
      </c>
      <c r="C197" s="16" t="str">
        <f>IFERROR(VLOOKUP(DATA!#REF!,DATA!#REF!,1,FALSE),"")</f>
        <v/>
      </c>
      <c r="D197" s="16" t="str">
        <f>IFERROR(VLOOKUP(C197,DATA!#REF!,2,FALSE),"")</f>
        <v/>
      </c>
    </row>
    <row r="198" spans="2:4" s="237" customFormat="1">
      <c r="B198" s="15" t="str">
        <f t="shared" ref="B198:B261" si="36">+IF(C198="","",ROW()-5)</f>
        <v/>
      </c>
      <c r="C198" s="16" t="str">
        <f>IFERROR(VLOOKUP(DATA!#REF!,DATA!#REF!,1,FALSE),"")</f>
        <v/>
      </c>
      <c r="D198" s="16" t="str">
        <f>IFERROR(VLOOKUP(C198,DATA!#REF!,2,FALSE),"")</f>
        <v/>
      </c>
    </row>
    <row r="199" spans="2:4" s="237" customFormat="1">
      <c r="B199" s="15" t="str">
        <f t="shared" si="36"/>
        <v/>
      </c>
      <c r="C199" s="16" t="str">
        <f>IFERROR(VLOOKUP(DATA!#REF!,DATA!#REF!,1,FALSE),"")</f>
        <v/>
      </c>
      <c r="D199" s="16" t="str">
        <f>IFERROR(VLOOKUP(C199,DATA!#REF!,2,FALSE),"")</f>
        <v/>
      </c>
    </row>
    <row r="200" spans="2:4" s="237" customFormat="1">
      <c r="B200" s="15" t="str">
        <f t="shared" si="36"/>
        <v/>
      </c>
      <c r="C200" s="16" t="str">
        <f>IFERROR(VLOOKUP(DATA!#REF!,DATA!#REF!,1,FALSE),"")</f>
        <v/>
      </c>
      <c r="D200" s="16" t="str">
        <f>IFERROR(VLOOKUP(C200,DATA!#REF!,2,FALSE),"")</f>
        <v/>
      </c>
    </row>
    <row r="201" spans="2:4" s="237" customFormat="1">
      <c r="B201" s="15" t="str">
        <f t="shared" si="36"/>
        <v/>
      </c>
      <c r="C201" s="16" t="str">
        <f>IFERROR(VLOOKUP(DATA!#REF!,DATA!#REF!,1,FALSE),"")</f>
        <v/>
      </c>
      <c r="D201" s="16" t="str">
        <f>IFERROR(VLOOKUP(C201,DATA!#REF!,2,FALSE),"")</f>
        <v/>
      </c>
    </row>
    <row r="202" spans="2:4" s="237" customFormat="1">
      <c r="B202" s="15" t="str">
        <f t="shared" si="36"/>
        <v/>
      </c>
      <c r="C202" s="16" t="str">
        <f>IFERROR(VLOOKUP(DATA!#REF!,DATA!#REF!,1,FALSE),"")</f>
        <v/>
      </c>
      <c r="D202" s="16" t="str">
        <f>IFERROR(VLOOKUP(C202,DATA!#REF!,2,FALSE),"")</f>
        <v/>
      </c>
    </row>
    <row r="203" spans="2:4" s="237" customFormat="1">
      <c r="B203" s="15" t="str">
        <f t="shared" si="36"/>
        <v/>
      </c>
      <c r="C203" s="16" t="str">
        <f>IFERROR(VLOOKUP(DATA!#REF!,DATA!#REF!,1,FALSE),"")</f>
        <v/>
      </c>
      <c r="D203" s="16" t="str">
        <f>IFERROR(VLOOKUP(C203,DATA!#REF!,2,FALSE),"")</f>
        <v/>
      </c>
    </row>
    <row r="204" spans="2:4" s="237" customFormat="1">
      <c r="B204" s="15" t="str">
        <f t="shared" si="36"/>
        <v/>
      </c>
      <c r="C204" s="16" t="str">
        <f>IFERROR(VLOOKUP(DATA!#REF!,DATA!#REF!,1,FALSE),"")</f>
        <v/>
      </c>
      <c r="D204" s="16" t="str">
        <f>IFERROR(VLOOKUP(C204,DATA!#REF!,2,FALSE),"")</f>
        <v/>
      </c>
    </row>
    <row r="205" spans="2:4" s="237" customFormat="1">
      <c r="B205" s="15" t="str">
        <f t="shared" si="36"/>
        <v/>
      </c>
      <c r="C205" s="16" t="str">
        <f>IFERROR(VLOOKUP(DATA!#REF!,DATA!#REF!,1,FALSE),"")</f>
        <v/>
      </c>
      <c r="D205" s="16" t="str">
        <f>IFERROR(VLOOKUP(C205,DATA!#REF!,2,FALSE),"")</f>
        <v/>
      </c>
    </row>
    <row r="206" spans="2:4" s="237" customFormat="1">
      <c r="B206" s="15" t="str">
        <f t="shared" si="36"/>
        <v/>
      </c>
      <c r="C206" s="16" t="str">
        <f>IFERROR(VLOOKUP(DATA!#REF!,DATA!#REF!,1,FALSE),"")</f>
        <v/>
      </c>
      <c r="D206" s="16" t="str">
        <f>IFERROR(VLOOKUP(C206,DATA!#REF!,2,FALSE),"")</f>
        <v/>
      </c>
    </row>
    <row r="207" spans="2:4" s="237" customFormat="1">
      <c r="B207" s="15" t="str">
        <f t="shared" si="36"/>
        <v/>
      </c>
      <c r="C207" s="16" t="str">
        <f>IFERROR(VLOOKUP(DATA!#REF!,DATA!#REF!,1,FALSE),"")</f>
        <v/>
      </c>
      <c r="D207" s="16" t="str">
        <f>IFERROR(VLOOKUP(C207,DATA!#REF!,2,FALSE),"")</f>
        <v/>
      </c>
    </row>
    <row r="208" spans="2:4" s="237" customFormat="1">
      <c r="B208" s="15" t="str">
        <f t="shared" si="36"/>
        <v/>
      </c>
      <c r="C208" s="16" t="str">
        <f>IFERROR(VLOOKUP(DATA!#REF!,DATA!#REF!,1,FALSE),"")</f>
        <v/>
      </c>
      <c r="D208" s="16" t="str">
        <f>IFERROR(VLOOKUP(C208,DATA!#REF!,2,FALSE),"")</f>
        <v/>
      </c>
    </row>
    <row r="209" spans="2:4" s="237" customFormat="1">
      <c r="B209" s="15" t="str">
        <f t="shared" si="36"/>
        <v/>
      </c>
      <c r="C209" s="16" t="str">
        <f>IFERROR(VLOOKUP(DATA!#REF!,DATA!#REF!,1,FALSE),"")</f>
        <v/>
      </c>
      <c r="D209" s="16" t="str">
        <f>IFERROR(VLOOKUP(C209,DATA!#REF!,2,FALSE),"")</f>
        <v/>
      </c>
    </row>
    <row r="210" spans="2:4" s="237" customFormat="1">
      <c r="B210" s="15" t="str">
        <f t="shared" si="36"/>
        <v/>
      </c>
      <c r="C210" s="16" t="str">
        <f>IFERROR(VLOOKUP(DATA!#REF!,DATA!#REF!,1,FALSE),"")</f>
        <v/>
      </c>
      <c r="D210" s="16" t="str">
        <f>IFERROR(VLOOKUP(C210,DATA!#REF!,2,FALSE),"")</f>
        <v/>
      </c>
    </row>
    <row r="211" spans="2:4" s="237" customFormat="1">
      <c r="B211" s="15" t="str">
        <f t="shared" si="36"/>
        <v/>
      </c>
      <c r="C211" s="16" t="str">
        <f>IFERROR(VLOOKUP(DATA!#REF!,DATA!#REF!,1,FALSE),"")</f>
        <v/>
      </c>
      <c r="D211" s="16" t="str">
        <f>IFERROR(VLOOKUP(C211,DATA!#REF!,2,FALSE),"")</f>
        <v/>
      </c>
    </row>
    <row r="212" spans="2:4" s="237" customFormat="1">
      <c r="B212" s="15" t="str">
        <f t="shared" si="36"/>
        <v/>
      </c>
      <c r="C212" s="16" t="str">
        <f>IFERROR(VLOOKUP(DATA!#REF!,DATA!#REF!,1,FALSE),"")</f>
        <v/>
      </c>
      <c r="D212" s="16" t="str">
        <f>IFERROR(VLOOKUP(C212,DATA!#REF!,2,FALSE),"")</f>
        <v/>
      </c>
    </row>
    <row r="213" spans="2:4" s="237" customFormat="1">
      <c r="B213" s="15" t="str">
        <f t="shared" si="36"/>
        <v/>
      </c>
      <c r="C213" s="16" t="str">
        <f>IFERROR(VLOOKUP(DATA!#REF!,DATA!#REF!,1,FALSE),"")</f>
        <v/>
      </c>
      <c r="D213" s="16" t="str">
        <f>IFERROR(VLOOKUP(C213,DATA!#REF!,2,FALSE),"")</f>
        <v/>
      </c>
    </row>
    <row r="214" spans="2:4" s="237" customFormat="1">
      <c r="B214" s="15" t="str">
        <f t="shared" si="36"/>
        <v/>
      </c>
      <c r="C214" s="16" t="str">
        <f>IFERROR(VLOOKUP(DATA!#REF!,DATA!#REF!,1,FALSE),"")</f>
        <v/>
      </c>
      <c r="D214" s="16" t="str">
        <f>IFERROR(VLOOKUP(C214,DATA!#REF!,2,FALSE),"")</f>
        <v/>
      </c>
    </row>
    <row r="215" spans="2:4" s="237" customFormat="1">
      <c r="B215" s="15" t="str">
        <f t="shared" si="36"/>
        <v/>
      </c>
      <c r="C215" s="16" t="str">
        <f>IFERROR(VLOOKUP(DATA!#REF!,DATA!#REF!,1,FALSE),"")</f>
        <v/>
      </c>
      <c r="D215" s="16" t="str">
        <f>IFERROR(VLOOKUP(C215,DATA!#REF!,2,FALSE),"")</f>
        <v/>
      </c>
    </row>
    <row r="216" spans="2:4" s="237" customFormat="1">
      <c r="B216" s="15" t="str">
        <f t="shared" si="36"/>
        <v/>
      </c>
      <c r="C216" s="16" t="str">
        <f>IFERROR(VLOOKUP(DATA!#REF!,DATA!#REF!,1,FALSE),"")</f>
        <v/>
      </c>
      <c r="D216" s="16" t="str">
        <f>IFERROR(VLOOKUP(C216,DATA!#REF!,2,FALSE),"")</f>
        <v/>
      </c>
    </row>
    <row r="217" spans="2:4" s="237" customFormat="1">
      <c r="B217" s="15" t="str">
        <f t="shared" si="36"/>
        <v/>
      </c>
      <c r="C217" s="16" t="str">
        <f>IFERROR(VLOOKUP(DATA!#REF!,DATA!#REF!,1,FALSE),"")</f>
        <v/>
      </c>
      <c r="D217" s="16" t="str">
        <f>IFERROR(VLOOKUP(C217,DATA!#REF!,2,FALSE),"")</f>
        <v/>
      </c>
    </row>
    <row r="218" spans="2:4" s="237" customFormat="1">
      <c r="B218" s="15" t="str">
        <f t="shared" si="36"/>
        <v/>
      </c>
      <c r="C218" s="16" t="str">
        <f>IFERROR(VLOOKUP(DATA!#REF!,DATA!#REF!,1,FALSE),"")</f>
        <v/>
      </c>
      <c r="D218" s="16" t="str">
        <f>IFERROR(VLOOKUP(C218,DATA!#REF!,2,FALSE),"")</f>
        <v/>
      </c>
    </row>
    <row r="219" spans="2:4" s="237" customFormat="1">
      <c r="B219" s="15" t="str">
        <f t="shared" si="36"/>
        <v/>
      </c>
      <c r="C219" s="16" t="str">
        <f>IFERROR(VLOOKUP(DATA!#REF!,DATA!#REF!,1,FALSE),"")</f>
        <v/>
      </c>
      <c r="D219" s="16" t="str">
        <f>IFERROR(VLOOKUP(C219,DATA!#REF!,2,FALSE),"")</f>
        <v/>
      </c>
    </row>
    <row r="220" spans="2:4" s="237" customFormat="1">
      <c r="B220" s="15" t="str">
        <f t="shared" si="36"/>
        <v/>
      </c>
      <c r="C220" s="16" t="str">
        <f>IFERROR(VLOOKUP(DATA!#REF!,DATA!#REF!,1,FALSE),"")</f>
        <v/>
      </c>
      <c r="D220" s="16" t="str">
        <f>IFERROR(VLOOKUP(C220,DATA!#REF!,2,FALSE),"")</f>
        <v/>
      </c>
    </row>
    <row r="221" spans="2:4" s="237" customFormat="1">
      <c r="B221" s="15" t="str">
        <f t="shared" si="36"/>
        <v/>
      </c>
      <c r="C221" s="16" t="str">
        <f>IFERROR(VLOOKUP(DATA!#REF!,DATA!#REF!,1,FALSE),"")</f>
        <v/>
      </c>
      <c r="D221" s="16" t="str">
        <f>IFERROR(VLOOKUP(C221,DATA!#REF!,2,FALSE),"")</f>
        <v/>
      </c>
    </row>
    <row r="222" spans="2:4" s="237" customFormat="1">
      <c r="B222" s="15" t="str">
        <f t="shared" si="36"/>
        <v/>
      </c>
      <c r="C222" s="16" t="str">
        <f>IFERROR(VLOOKUP(DATA!#REF!,DATA!#REF!,1,FALSE),"")</f>
        <v/>
      </c>
      <c r="D222" s="16" t="str">
        <f>IFERROR(VLOOKUP(C222,DATA!#REF!,2,FALSE),"")</f>
        <v/>
      </c>
    </row>
    <row r="223" spans="2:4" s="237" customFormat="1">
      <c r="B223" s="15" t="str">
        <f t="shared" si="36"/>
        <v/>
      </c>
      <c r="C223" s="16" t="str">
        <f>IFERROR(VLOOKUP(DATA!#REF!,DATA!#REF!,1,FALSE),"")</f>
        <v/>
      </c>
      <c r="D223" s="16" t="str">
        <f>IFERROR(VLOOKUP(C223,DATA!#REF!,2,FALSE),"")</f>
        <v/>
      </c>
    </row>
    <row r="224" spans="2:4" s="237" customFormat="1">
      <c r="B224" s="15" t="str">
        <f t="shared" si="36"/>
        <v/>
      </c>
      <c r="C224" s="16" t="str">
        <f>IFERROR(VLOOKUP(DATA!#REF!,DATA!#REF!,1,FALSE),"")</f>
        <v/>
      </c>
      <c r="D224" s="16" t="str">
        <f>IFERROR(VLOOKUP(C224,DATA!#REF!,2,FALSE),"")</f>
        <v/>
      </c>
    </row>
    <row r="225" spans="2:4" s="237" customFormat="1">
      <c r="B225" s="15" t="str">
        <f t="shared" si="36"/>
        <v/>
      </c>
      <c r="C225" s="16" t="str">
        <f>IFERROR(VLOOKUP(DATA!#REF!,DATA!#REF!,1,FALSE),"")</f>
        <v/>
      </c>
      <c r="D225" s="16" t="str">
        <f>IFERROR(VLOOKUP(C225,DATA!#REF!,2,FALSE),"")</f>
        <v/>
      </c>
    </row>
    <row r="226" spans="2:4" s="237" customFormat="1">
      <c r="B226" s="15" t="str">
        <f t="shared" si="36"/>
        <v/>
      </c>
      <c r="C226" s="16" t="str">
        <f>IFERROR(VLOOKUP(DATA!#REF!,DATA!#REF!,1,FALSE),"")</f>
        <v/>
      </c>
      <c r="D226" s="16" t="str">
        <f>IFERROR(VLOOKUP(C226,DATA!#REF!,2,FALSE),"")</f>
        <v/>
      </c>
    </row>
    <row r="227" spans="2:4" s="237" customFormat="1">
      <c r="B227" s="15" t="str">
        <f t="shared" si="36"/>
        <v/>
      </c>
      <c r="C227" s="16" t="str">
        <f>IFERROR(VLOOKUP(DATA!#REF!,DATA!#REF!,1,FALSE),"")</f>
        <v/>
      </c>
      <c r="D227" s="16" t="str">
        <f>IFERROR(VLOOKUP(C227,DATA!#REF!,2,FALSE),"")</f>
        <v/>
      </c>
    </row>
    <row r="228" spans="2:4" s="237" customFormat="1">
      <c r="B228" s="15" t="str">
        <f t="shared" si="36"/>
        <v/>
      </c>
      <c r="C228" s="16" t="str">
        <f>IFERROR(VLOOKUP(DATA!#REF!,DATA!#REF!,1,FALSE),"")</f>
        <v/>
      </c>
      <c r="D228" s="16" t="str">
        <f>IFERROR(VLOOKUP(C228,DATA!#REF!,2,FALSE),"")</f>
        <v/>
      </c>
    </row>
    <row r="229" spans="2:4" s="237" customFormat="1">
      <c r="B229" s="15" t="str">
        <f t="shared" si="36"/>
        <v/>
      </c>
      <c r="C229" s="16" t="str">
        <f>IFERROR(VLOOKUP(DATA!#REF!,DATA!#REF!,1,FALSE),"")</f>
        <v/>
      </c>
      <c r="D229" s="16" t="str">
        <f>IFERROR(VLOOKUP(C229,DATA!#REF!,2,FALSE),"")</f>
        <v/>
      </c>
    </row>
    <row r="230" spans="2:4" s="237" customFormat="1">
      <c r="B230" s="15" t="str">
        <f t="shared" si="36"/>
        <v/>
      </c>
      <c r="C230" s="16" t="str">
        <f>IFERROR(VLOOKUP(DATA!#REF!,DATA!#REF!,1,FALSE),"")</f>
        <v/>
      </c>
      <c r="D230" s="16" t="str">
        <f>IFERROR(VLOOKUP(C230,DATA!#REF!,2,FALSE),"")</f>
        <v/>
      </c>
    </row>
    <row r="231" spans="2:4" s="237" customFormat="1">
      <c r="B231" s="15" t="str">
        <f t="shared" si="36"/>
        <v/>
      </c>
      <c r="C231" s="16" t="str">
        <f>IFERROR(VLOOKUP(DATA!#REF!,DATA!#REF!,1,FALSE),"")</f>
        <v/>
      </c>
      <c r="D231" s="16" t="str">
        <f>IFERROR(VLOOKUP(C231,DATA!#REF!,2,FALSE),"")</f>
        <v/>
      </c>
    </row>
    <row r="232" spans="2:4" s="237" customFormat="1">
      <c r="B232" s="15" t="str">
        <f t="shared" si="36"/>
        <v/>
      </c>
      <c r="C232" s="16" t="str">
        <f>IFERROR(VLOOKUP(DATA!#REF!,DATA!#REF!,1,FALSE),"")</f>
        <v/>
      </c>
      <c r="D232" s="16" t="str">
        <f>IFERROR(VLOOKUP(C232,DATA!#REF!,2,FALSE),"")</f>
        <v/>
      </c>
    </row>
    <row r="233" spans="2:4" s="237" customFormat="1">
      <c r="B233" s="15" t="str">
        <f t="shared" si="36"/>
        <v/>
      </c>
      <c r="C233" s="16" t="str">
        <f>IFERROR(VLOOKUP(DATA!#REF!,DATA!#REF!,1,FALSE),"")</f>
        <v/>
      </c>
      <c r="D233" s="16" t="str">
        <f>IFERROR(VLOOKUP(C233,DATA!#REF!,2,FALSE),"")</f>
        <v/>
      </c>
    </row>
    <row r="234" spans="2:4" s="237" customFormat="1">
      <c r="B234" s="15" t="str">
        <f t="shared" si="36"/>
        <v/>
      </c>
      <c r="C234" s="16" t="str">
        <f>IFERROR(VLOOKUP(DATA!#REF!,DATA!#REF!,1,FALSE),"")</f>
        <v/>
      </c>
      <c r="D234" s="16" t="str">
        <f>IFERROR(VLOOKUP(C234,DATA!#REF!,2,FALSE),"")</f>
        <v/>
      </c>
    </row>
    <row r="235" spans="2:4" s="237" customFormat="1">
      <c r="B235" s="15" t="str">
        <f t="shared" si="36"/>
        <v/>
      </c>
      <c r="C235" s="16" t="str">
        <f>IFERROR(VLOOKUP(DATA!#REF!,DATA!#REF!,1,FALSE),"")</f>
        <v/>
      </c>
      <c r="D235" s="16" t="str">
        <f>IFERROR(VLOOKUP(C235,DATA!#REF!,2,FALSE),"")</f>
        <v/>
      </c>
    </row>
    <row r="236" spans="2:4" s="237" customFormat="1">
      <c r="B236" s="15" t="str">
        <f t="shared" si="36"/>
        <v/>
      </c>
      <c r="C236" s="16" t="str">
        <f>IFERROR(VLOOKUP(DATA!#REF!,DATA!#REF!,1,FALSE),"")</f>
        <v/>
      </c>
      <c r="D236" s="16" t="str">
        <f>IFERROR(VLOOKUP(C236,DATA!#REF!,2,FALSE),"")</f>
        <v/>
      </c>
    </row>
    <row r="237" spans="2:4" s="237" customFormat="1">
      <c r="B237" s="15" t="str">
        <f t="shared" si="36"/>
        <v/>
      </c>
      <c r="C237" s="16" t="str">
        <f>IFERROR(VLOOKUP(DATA!#REF!,DATA!#REF!,1,FALSE),"")</f>
        <v/>
      </c>
      <c r="D237" s="16" t="str">
        <f>IFERROR(VLOOKUP(C237,DATA!#REF!,2,FALSE),"")</f>
        <v/>
      </c>
    </row>
    <row r="238" spans="2:4" s="237" customFormat="1">
      <c r="B238" s="15" t="str">
        <f t="shared" si="36"/>
        <v/>
      </c>
      <c r="C238" s="16" t="str">
        <f>IFERROR(VLOOKUP(DATA!#REF!,DATA!#REF!,1,FALSE),"")</f>
        <v/>
      </c>
      <c r="D238" s="16" t="str">
        <f>IFERROR(VLOOKUP(C238,DATA!#REF!,2,FALSE),"")</f>
        <v/>
      </c>
    </row>
    <row r="239" spans="2:4" s="237" customFormat="1">
      <c r="B239" s="15" t="str">
        <f t="shared" si="36"/>
        <v/>
      </c>
      <c r="C239" s="16" t="str">
        <f>IFERROR(VLOOKUP(DATA!#REF!,DATA!#REF!,1,FALSE),"")</f>
        <v/>
      </c>
      <c r="D239" s="16" t="str">
        <f>IFERROR(VLOOKUP(C239,DATA!#REF!,2,FALSE),"")</f>
        <v/>
      </c>
    </row>
    <row r="240" spans="2:4" s="237" customFormat="1">
      <c r="B240" s="15" t="str">
        <f t="shared" si="36"/>
        <v/>
      </c>
      <c r="C240" s="16" t="str">
        <f>IFERROR(VLOOKUP(DATA!#REF!,DATA!#REF!,1,FALSE),"")</f>
        <v/>
      </c>
      <c r="D240" s="16" t="str">
        <f>IFERROR(VLOOKUP(C240,DATA!#REF!,2,FALSE),"")</f>
        <v/>
      </c>
    </row>
    <row r="241" spans="2:4" s="237" customFormat="1">
      <c r="B241" s="15" t="str">
        <f t="shared" si="36"/>
        <v/>
      </c>
      <c r="C241" s="16" t="str">
        <f>IFERROR(VLOOKUP(DATA!#REF!,DATA!#REF!,1,FALSE),"")</f>
        <v/>
      </c>
      <c r="D241" s="16" t="str">
        <f>IFERROR(VLOOKUP(C241,DATA!#REF!,2,FALSE),"")</f>
        <v/>
      </c>
    </row>
    <row r="242" spans="2:4" s="237" customFormat="1">
      <c r="B242" s="15" t="str">
        <f t="shared" si="36"/>
        <v/>
      </c>
      <c r="C242" s="16" t="str">
        <f>IFERROR(VLOOKUP(DATA!#REF!,DATA!#REF!,1,FALSE),"")</f>
        <v/>
      </c>
      <c r="D242" s="16" t="str">
        <f>IFERROR(VLOOKUP(C242,DATA!#REF!,2,FALSE),"")</f>
        <v/>
      </c>
    </row>
    <row r="243" spans="2:4" s="237" customFormat="1">
      <c r="B243" s="15" t="str">
        <f t="shared" si="36"/>
        <v/>
      </c>
      <c r="C243" s="16" t="str">
        <f>IFERROR(VLOOKUP(DATA!#REF!,DATA!#REF!,1,FALSE),"")</f>
        <v/>
      </c>
      <c r="D243" s="16" t="str">
        <f>IFERROR(VLOOKUP(C243,DATA!#REF!,2,FALSE),"")</f>
        <v/>
      </c>
    </row>
    <row r="244" spans="2:4" s="237" customFormat="1">
      <c r="B244" s="15" t="str">
        <f t="shared" si="36"/>
        <v/>
      </c>
      <c r="C244" s="16" t="str">
        <f>IFERROR(VLOOKUP(DATA!#REF!,DATA!#REF!,1,FALSE),"")</f>
        <v/>
      </c>
      <c r="D244" s="16" t="str">
        <f>IFERROR(VLOOKUP(C244,DATA!#REF!,2,FALSE),"")</f>
        <v/>
      </c>
    </row>
    <row r="245" spans="2:4" s="237" customFormat="1">
      <c r="B245" s="15" t="str">
        <f t="shared" si="36"/>
        <v/>
      </c>
      <c r="C245" s="16" t="str">
        <f>IFERROR(VLOOKUP(DATA!#REF!,DATA!#REF!,1,FALSE),"")</f>
        <v/>
      </c>
      <c r="D245" s="16" t="str">
        <f>IFERROR(VLOOKUP(C245,DATA!#REF!,2,FALSE),"")</f>
        <v/>
      </c>
    </row>
    <row r="246" spans="2:4" s="237" customFormat="1">
      <c r="B246" s="15" t="str">
        <f t="shared" si="36"/>
        <v/>
      </c>
      <c r="C246" s="16" t="str">
        <f>IFERROR(VLOOKUP(DATA!#REF!,DATA!#REF!,1,FALSE),"")</f>
        <v/>
      </c>
      <c r="D246" s="16" t="str">
        <f>IFERROR(VLOOKUP(C246,DATA!#REF!,2,FALSE),"")</f>
        <v/>
      </c>
    </row>
    <row r="247" spans="2:4" s="237" customFormat="1">
      <c r="B247" s="15" t="str">
        <f t="shared" si="36"/>
        <v/>
      </c>
      <c r="C247" s="16" t="str">
        <f>IFERROR(VLOOKUP(DATA!#REF!,DATA!#REF!,1,FALSE),"")</f>
        <v/>
      </c>
      <c r="D247" s="16" t="str">
        <f>IFERROR(VLOOKUP(C247,DATA!#REF!,2,FALSE),"")</f>
        <v/>
      </c>
    </row>
    <row r="248" spans="2:4" s="237" customFormat="1">
      <c r="B248" s="15" t="str">
        <f t="shared" si="36"/>
        <v/>
      </c>
      <c r="C248" s="16" t="str">
        <f>IFERROR(VLOOKUP(DATA!#REF!,DATA!#REF!,1,FALSE),"")</f>
        <v/>
      </c>
      <c r="D248" s="16" t="str">
        <f>IFERROR(VLOOKUP(C248,DATA!#REF!,2,FALSE),"")</f>
        <v/>
      </c>
    </row>
    <row r="249" spans="2:4" s="237" customFormat="1">
      <c r="B249" s="15" t="str">
        <f t="shared" si="36"/>
        <v/>
      </c>
      <c r="C249" s="16" t="str">
        <f>IFERROR(VLOOKUP(DATA!#REF!,DATA!#REF!,1,FALSE),"")</f>
        <v/>
      </c>
      <c r="D249" s="16" t="str">
        <f>IFERROR(VLOOKUP(C249,DATA!#REF!,2,FALSE),"")</f>
        <v/>
      </c>
    </row>
    <row r="250" spans="2:4" s="237" customFormat="1">
      <c r="B250" s="15" t="str">
        <f t="shared" si="36"/>
        <v/>
      </c>
      <c r="C250" s="16" t="str">
        <f>IFERROR(VLOOKUP(DATA!#REF!,DATA!#REF!,1,FALSE),"")</f>
        <v/>
      </c>
      <c r="D250" s="16" t="str">
        <f>IFERROR(VLOOKUP(C250,DATA!#REF!,2,FALSE),"")</f>
        <v/>
      </c>
    </row>
    <row r="251" spans="2:4" s="237" customFormat="1">
      <c r="B251" s="15" t="str">
        <f t="shared" si="36"/>
        <v/>
      </c>
      <c r="C251" s="16" t="str">
        <f>IFERROR(VLOOKUP(DATA!#REF!,DATA!#REF!,1,FALSE),"")</f>
        <v/>
      </c>
      <c r="D251" s="16" t="str">
        <f>IFERROR(VLOOKUP(C251,DATA!#REF!,2,FALSE),"")</f>
        <v/>
      </c>
    </row>
    <row r="252" spans="2:4" s="237" customFormat="1">
      <c r="B252" s="15" t="str">
        <f t="shared" si="36"/>
        <v/>
      </c>
      <c r="C252" s="16" t="str">
        <f>IFERROR(VLOOKUP(DATA!#REF!,DATA!#REF!,1,FALSE),"")</f>
        <v/>
      </c>
      <c r="D252" s="16" t="str">
        <f>IFERROR(VLOOKUP(C252,DATA!#REF!,2,FALSE),"")</f>
        <v/>
      </c>
    </row>
    <row r="253" spans="2:4" s="237" customFormat="1">
      <c r="B253" s="15" t="str">
        <f t="shared" si="36"/>
        <v/>
      </c>
      <c r="C253" s="16" t="str">
        <f>IFERROR(VLOOKUP(DATA!#REF!,DATA!#REF!,1,FALSE),"")</f>
        <v/>
      </c>
      <c r="D253" s="16" t="str">
        <f>IFERROR(VLOOKUP(C253,DATA!#REF!,2,FALSE),"")</f>
        <v/>
      </c>
    </row>
    <row r="254" spans="2:4" s="237" customFormat="1">
      <c r="B254" s="15" t="str">
        <f t="shared" si="36"/>
        <v/>
      </c>
      <c r="C254" s="16" t="str">
        <f>IFERROR(VLOOKUP(DATA!#REF!,DATA!#REF!,1,FALSE),"")</f>
        <v/>
      </c>
      <c r="D254" s="16" t="str">
        <f>IFERROR(VLOOKUP(C254,DATA!#REF!,2,FALSE),"")</f>
        <v/>
      </c>
    </row>
    <row r="255" spans="2:4" s="237" customFormat="1">
      <c r="B255" s="15" t="str">
        <f t="shared" si="36"/>
        <v/>
      </c>
      <c r="C255" s="16" t="str">
        <f>IFERROR(VLOOKUP(DATA!#REF!,DATA!#REF!,1,FALSE),"")</f>
        <v/>
      </c>
      <c r="D255" s="16" t="str">
        <f>IFERROR(VLOOKUP(C255,DATA!#REF!,2,FALSE),"")</f>
        <v/>
      </c>
    </row>
    <row r="256" spans="2:4" s="237" customFormat="1">
      <c r="B256" s="15" t="str">
        <f t="shared" si="36"/>
        <v/>
      </c>
      <c r="C256" s="16" t="str">
        <f>IFERROR(VLOOKUP(DATA!#REF!,DATA!#REF!,1,FALSE),"")</f>
        <v/>
      </c>
      <c r="D256" s="16" t="str">
        <f>IFERROR(VLOOKUP(C256,DATA!#REF!,2,FALSE),"")</f>
        <v/>
      </c>
    </row>
    <row r="257" spans="2:4" s="237" customFormat="1">
      <c r="B257" s="15" t="str">
        <f t="shared" si="36"/>
        <v/>
      </c>
      <c r="C257" s="16" t="str">
        <f>IFERROR(VLOOKUP(DATA!#REF!,DATA!#REF!,1,FALSE),"")</f>
        <v/>
      </c>
      <c r="D257" s="16" t="str">
        <f>IFERROR(VLOOKUP(C257,DATA!#REF!,2,FALSE),"")</f>
        <v/>
      </c>
    </row>
    <row r="258" spans="2:4" s="237" customFormat="1">
      <c r="B258" s="15" t="str">
        <f t="shared" si="36"/>
        <v/>
      </c>
      <c r="C258" s="16" t="str">
        <f>IFERROR(VLOOKUP(DATA!#REF!,DATA!#REF!,1,FALSE),"")</f>
        <v/>
      </c>
      <c r="D258" s="16" t="str">
        <f>IFERROR(VLOOKUP(C258,DATA!#REF!,2,FALSE),"")</f>
        <v/>
      </c>
    </row>
    <row r="259" spans="2:4" s="237" customFormat="1">
      <c r="B259" s="15" t="str">
        <f t="shared" si="36"/>
        <v/>
      </c>
      <c r="C259" s="16" t="str">
        <f>IFERROR(VLOOKUP(DATA!#REF!,DATA!#REF!,1,FALSE),"")</f>
        <v/>
      </c>
      <c r="D259" s="16" t="str">
        <f>IFERROR(VLOOKUP(C259,DATA!#REF!,2,FALSE),"")</f>
        <v/>
      </c>
    </row>
    <row r="260" spans="2:4" s="237" customFormat="1">
      <c r="B260" s="15" t="str">
        <f t="shared" si="36"/>
        <v/>
      </c>
      <c r="C260" s="16" t="str">
        <f>IFERROR(VLOOKUP(DATA!#REF!,DATA!#REF!,1,FALSE),"")</f>
        <v/>
      </c>
      <c r="D260" s="16" t="str">
        <f>IFERROR(VLOOKUP(C260,DATA!#REF!,2,FALSE),"")</f>
        <v/>
      </c>
    </row>
    <row r="261" spans="2:4" s="237" customFormat="1">
      <c r="B261" s="15" t="str">
        <f t="shared" si="36"/>
        <v/>
      </c>
      <c r="C261" s="16" t="str">
        <f>IFERROR(VLOOKUP(DATA!#REF!,DATA!#REF!,1,FALSE),"")</f>
        <v/>
      </c>
      <c r="D261" s="16" t="str">
        <f>IFERROR(VLOOKUP(C261,DATA!#REF!,2,FALSE),"")</f>
        <v/>
      </c>
    </row>
    <row r="262" spans="2:4" s="237" customFormat="1">
      <c r="B262" s="15" t="str">
        <f t="shared" ref="B262:B325" si="37">+IF(C262="","",ROW()-5)</f>
        <v/>
      </c>
      <c r="C262" s="16" t="str">
        <f>IFERROR(VLOOKUP(DATA!#REF!,DATA!#REF!,1,FALSE),"")</f>
        <v/>
      </c>
      <c r="D262" s="16" t="str">
        <f>IFERROR(VLOOKUP(C262,DATA!#REF!,2,FALSE),"")</f>
        <v/>
      </c>
    </row>
    <row r="263" spans="2:4" s="237" customFormat="1">
      <c r="B263" s="15" t="str">
        <f t="shared" si="37"/>
        <v/>
      </c>
      <c r="C263" s="16" t="str">
        <f>IFERROR(VLOOKUP(DATA!#REF!,DATA!#REF!,1,FALSE),"")</f>
        <v/>
      </c>
      <c r="D263" s="16" t="str">
        <f>IFERROR(VLOOKUP(C263,DATA!#REF!,2,FALSE),"")</f>
        <v/>
      </c>
    </row>
    <row r="264" spans="2:4" s="237" customFormat="1">
      <c r="B264" s="15" t="str">
        <f t="shared" si="37"/>
        <v/>
      </c>
      <c r="C264" s="16" t="str">
        <f>IFERROR(VLOOKUP(DATA!#REF!,DATA!#REF!,1,FALSE),"")</f>
        <v/>
      </c>
      <c r="D264" s="16" t="str">
        <f>IFERROR(VLOOKUP(C264,DATA!#REF!,2,FALSE),"")</f>
        <v/>
      </c>
    </row>
    <row r="265" spans="2:4" s="237" customFormat="1">
      <c r="B265" s="15" t="str">
        <f t="shared" si="37"/>
        <v/>
      </c>
      <c r="C265" s="16" t="str">
        <f>IFERROR(VLOOKUP(DATA!#REF!,DATA!#REF!,1,FALSE),"")</f>
        <v/>
      </c>
      <c r="D265" s="16" t="str">
        <f>IFERROR(VLOOKUP(C265,DATA!#REF!,2,FALSE),"")</f>
        <v/>
      </c>
    </row>
    <row r="266" spans="2:4" s="237" customFormat="1">
      <c r="B266" s="15" t="str">
        <f t="shared" si="37"/>
        <v/>
      </c>
      <c r="C266" s="16" t="str">
        <f>IFERROR(VLOOKUP(DATA!#REF!,DATA!#REF!,1,FALSE),"")</f>
        <v/>
      </c>
      <c r="D266" s="16" t="str">
        <f>IFERROR(VLOOKUP(C266,DATA!#REF!,2,FALSE),"")</f>
        <v/>
      </c>
    </row>
    <row r="267" spans="2:4" s="237" customFormat="1">
      <c r="B267" s="15" t="str">
        <f t="shared" si="37"/>
        <v/>
      </c>
      <c r="C267" s="16" t="str">
        <f>IFERROR(VLOOKUP(DATA!#REF!,DATA!#REF!,1,FALSE),"")</f>
        <v/>
      </c>
      <c r="D267" s="16" t="str">
        <f>IFERROR(VLOOKUP(C267,DATA!#REF!,2,FALSE),"")</f>
        <v/>
      </c>
    </row>
    <row r="268" spans="2:4" s="237" customFormat="1">
      <c r="B268" s="15" t="str">
        <f t="shared" si="37"/>
        <v/>
      </c>
      <c r="C268" s="16" t="str">
        <f>IFERROR(VLOOKUP(DATA!#REF!,DATA!#REF!,1,FALSE),"")</f>
        <v/>
      </c>
      <c r="D268" s="16" t="str">
        <f>IFERROR(VLOOKUP(C268,DATA!#REF!,2,FALSE),"")</f>
        <v/>
      </c>
    </row>
    <row r="269" spans="2:4" s="237" customFormat="1">
      <c r="B269" s="15" t="str">
        <f t="shared" si="37"/>
        <v/>
      </c>
      <c r="C269" s="16" t="str">
        <f>IFERROR(VLOOKUP(DATA!#REF!,DATA!#REF!,1,FALSE),"")</f>
        <v/>
      </c>
      <c r="D269" s="16" t="str">
        <f>IFERROR(VLOOKUP(C269,DATA!#REF!,2,FALSE),"")</f>
        <v/>
      </c>
    </row>
    <row r="270" spans="2:4" s="237" customFormat="1">
      <c r="B270" s="15" t="str">
        <f t="shared" si="37"/>
        <v/>
      </c>
      <c r="C270" s="16" t="str">
        <f>IFERROR(VLOOKUP(DATA!#REF!,DATA!#REF!,1,FALSE),"")</f>
        <v/>
      </c>
      <c r="D270" s="16" t="str">
        <f>IFERROR(VLOOKUP(C270,DATA!#REF!,2,FALSE),"")</f>
        <v/>
      </c>
    </row>
    <row r="271" spans="2:4" s="237" customFormat="1">
      <c r="B271" s="15" t="str">
        <f t="shared" si="37"/>
        <v/>
      </c>
      <c r="C271" s="16" t="str">
        <f>IFERROR(VLOOKUP(DATA!#REF!,DATA!#REF!,1,FALSE),"")</f>
        <v/>
      </c>
      <c r="D271" s="16" t="str">
        <f>IFERROR(VLOOKUP(C271,DATA!#REF!,2,FALSE),"")</f>
        <v/>
      </c>
    </row>
    <row r="272" spans="2:4" s="237" customFormat="1">
      <c r="B272" s="15" t="str">
        <f t="shared" si="37"/>
        <v/>
      </c>
      <c r="C272" s="16" t="str">
        <f>IFERROR(VLOOKUP(DATA!#REF!,DATA!#REF!,1,FALSE),"")</f>
        <v/>
      </c>
      <c r="D272" s="16" t="str">
        <f>IFERROR(VLOOKUP(C272,DATA!#REF!,2,FALSE),"")</f>
        <v/>
      </c>
    </row>
    <row r="273" spans="2:4" s="237" customFormat="1">
      <c r="B273" s="15" t="str">
        <f t="shared" si="37"/>
        <v/>
      </c>
      <c r="C273" s="16" t="str">
        <f>IFERROR(VLOOKUP(DATA!#REF!,DATA!#REF!,1,FALSE),"")</f>
        <v/>
      </c>
      <c r="D273" s="16" t="str">
        <f>IFERROR(VLOOKUP(C273,DATA!#REF!,2,FALSE),"")</f>
        <v/>
      </c>
    </row>
    <row r="274" spans="2:4" s="237" customFormat="1">
      <c r="B274" s="15" t="str">
        <f t="shared" si="37"/>
        <v/>
      </c>
      <c r="C274" s="16" t="str">
        <f>IFERROR(VLOOKUP(DATA!#REF!,DATA!#REF!,1,FALSE),"")</f>
        <v/>
      </c>
      <c r="D274" s="16" t="str">
        <f>IFERROR(VLOOKUP(C274,DATA!#REF!,2,FALSE),"")</f>
        <v/>
      </c>
    </row>
    <row r="275" spans="2:4" s="237" customFormat="1">
      <c r="B275" s="15" t="str">
        <f t="shared" si="37"/>
        <v/>
      </c>
      <c r="C275" s="16" t="str">
        <f>IFERROR(VLOOKUP(DATA!#REF!,DATA!#REF!,1,FALSE),"")</f>
        <v/>
      </c>
      <c r="D275" s="16" t="str">
        <f>IFERROR(VLOOKUP(C275,DATA!#REF!,2,FALSE),"")</f>
        <v/>
      </c>
    </row>
    <row r="276" spans="2:4" s="237" customFormat="1">
      <c r="B276" s="15" t="str">
        <f t="shared" si="37"/>
        <v/>
      </c>
      <c r="C276" s="16" t="str">
        <f>IFERROR(VLOOKUP(DATA!#REF!,DATA!#REF!,1,FALSE),"")</f>
        <v/>
      </c>
      <c r="D276" s="16" t="str">
        <f>IFERROR(VLOOKUP(C276,DATA!#REF!,2,FALSE),"")</f>
        <v/>
      </c>
    </row>
    <row r="277" spans="2:4" s="237" customFormat="1">
      <c r="B277" s="15" t="str">
        <f t="shared" si="37"/>
        <v/>
      </c>
      <c r="C277" s="16" t="str">
        <f>IFERROR(VLOOKUP(DATA!#REF!,DATA!#REF!,1,FALSE),"")</f>
        <v/>
      </c>
      <c r="D277" s="16" t="str">
        <f>IFERROR(VLOOKUP(C277,DATA!#REF!,2,FALSE),"")</f>
        <v/>
      </c>
    </row>
    <row r="278" spans="2:4" s="237" customFormat="1">
      <c r="B278" s="15" t="str">
        <f t="shared" si="37"/>
        <v/>
      </c>
      <c r="C278" s="16" t="str">
        <f>IFERROR(VLOOKUP(DATA!#REF!,DATA!#REF!,1,FALSE),"")</f>
        <v/>
      </c>
      <c r="D278" s="16" t="str">
        <f>IFERROR(VLOOKUP(C278,DATA!#REF!,2,FALSE),"")</f>
        <v/>
      </c>
    </row>
    <row r="279" spans="2:4" s="237" customFormat="1">
      <c r="B279" s="15" t="str">
        <f t="shared" si="37"/>
        <v/>
      </c>
      <c r="C279" s="16" t="str">
        <f>IFERROR(VLOOKUP(DATA!#REF!,DATA!#REF!,1,FALSE),"")</f>
        <v/>
      </c>
      <c r="D279" s="16" t="str">
        <f>IFERROR(VLOOKUP(C279,DATA!#REF!,2,FALSE),"")</f>
        <v/>
      </c>
    </row>
    <row r="280" spans="2:4" s="237" customFormat="1">
      <c r="B280" s="15" t="str">
        <f t="shared" si="37"/>
        <v/>
      </c>
      <c r="C280" s="16" t="str">
        <f>IFERROR(VLOOKUP(DATA!#REF!,DATA!#REF!,1,FALSE),"")</f>
        <v/>
      </c>
      <c r="D280" s="16" t="str">
        <f>IFERROR(VLOOKUP(C280,DATA!#REF!,2,FALSE),"")</f>
        <v/>
      </c>
    </row>
    <row r="281" spans="2:4" s="237" customFormat="1">
      <c r="B281" s="15" t="str">
        <f t="shared" si="37"/>
        <v/>
      </c>
      <c r="C281" s="16" t="str">
        <f>IFERROR(VLOOKUP(DATA!#REF!,DATA!#REF!,1,FALSE),"")</f>
        <v/>
      </c>
      <c r="D281" s="16" t="str">
        <f>IFERROR(VLOOKUP(C281,DATA!#REF!,2,FALSE),"")</f>
        <v/>
      </c>
    </row>
    <row r="282" spans="2:4" s="237" customFormat="1">
      <c r="B282" s="15" t="str">
        <f t="shared" si="37"/>
        <v/>
      </c>
      <c r="C282" s="16" t="str">
        <f>IFERROR(VLOOKUP(DATA!#REF!,DATA!#REF!,1,FALSE),"")</f>
        <v/>
      </c>
      <c r="D282" s="16" t="str">
        <f>IFERROR(VLOOKUP(C282,DATA!#REF!,2,FALSE),"")</f>
        <v/>
      </c>
    </row>
    <row r="283" spans="2:4" s="237" customFormat="1">
      <c r="B283" s="15" t="str">
        <f t="shared" si="37"/>
        <v/>
      </c>
      <c r="C283" s="16" t="str">
        <f>IFERROR(VLOOKUP(DATA!#REF!,DATA!#REF!,1,FALSE),"")</f>
        <v/>
      </c>
      <c r="D283" s="16" t="str">
        <f>IFERROR(VLOOKUP(C283,DATA!#REF!,2,FALSE),"")</f>
        <v/>
      </c>
    </row>
    <row r="284" spans="2:4" s="237" customFormat="1">
      <c r="B284" s="15" t="str">
        <f t="shared" si="37"/>
        <v/>
      </c>
      <c r="C284" s="16" t="str">
        <f>IFERROR(VLOOKUP(DATA!#REF!,DATA!#REF!,1,FALSE),"")</f>
        <v/>
      </c>
      <c r="D284" s="16" t="str">
        <f>IFERROR(VLOOKUP(C284,DATA!#REF!,2,FALSE),"")</f>
        <v/>
      </c>
    </row>
    <row r="285" spans="2:4" s="237" customFormat="1">
      <c r="B285" s="15" t="str">
        <f t="shared" si="37"/>
        <v/>
      </c>
      <c r="C285" s="16" t="str">
        <f>IFERROR(VLOOKUP(DATA!#REF!,DATA!#REF!,1,FALSE),"")</f>
        <v/>
      </c>
      <c r="D285" s="16" t="str">
        <f>IFERROR(VLOOKUP(C285,DATA!#REF!,2,FALSE),"")</f>
        <v/>
      </c>
    </row>
    <row r="286" spans="2:4" s="237" customFormat="1">
      <c r="B286" s="15" t="str">
        <f t="shared" si="37"/>
        <v/>
      </c>
      <c r="C286" s="16" t="str">
        <f>IFERROR(VLOOKUP(DATA!#REF!,DATA!#REF!,1,FALSE),"")</f>
        <v/>
      </c>
      <c r="D286" s="16" t="str">
        <f>IFERROR(VLOOKUP(C286,DATA!#REF!,2,FALSE),"")</f>
        <v/>
      </c>
    </row>
    <row r="287" spans="2:4" s="237" customFormat="1">
      <c r="B287" s="15" t="str">
        <f t="shared" si="37"/>
        <v/>
      </c>
      <c r="C287" s="16" t="str">
        <f>IFERROR(VLOOKUP(DATA!#REF!,DATA!#REF!,1,FALSE),"")</f>
        <v/>
      </c>
      <c r="D287" s="16" t="str">
        <f>IFERROR(VLOOKUP(C287,DATA!#REF!,2,FALSE),"")</f>
        <v/>
      </c>
    </row>
    <row r="288" spans="2:4" s="237" customFormat="1">
      <c r="B288" s="15" t="str">
        <f t="shared" si="37"/>
        <v/>
      </c>
      <c r="C288" s="16" t="str">
        <f>IFERROR(VLOOKUP(DATA!#REF!,DATA!#REF!,1,FALSE),"")</f>
        <v/>
      </c>
      <c r="D288" s="16" t="str">
        <f>IFERROR(VLOOKUP(C288,DATA!#REF!,2,FALSE),"")</f>
        <v/>
      </c>
    </row>
    <row r="289" spans="2:4" s="237" customFormat="1">
      <c r="B289" s="15" t="str">
        <f t="shared" si="37"/>
        <v/>
      </c>
      <c r="C289" s="16" t="str">
        <f>IFERROR(VLOOKUP(DATA!#REF!,DATA!#REF!,1,FALSE),"")</f>
        <v/>
      </c>
      <c r="D289" s="16" t="str">
        <f>IFERROR(VLOOKUP(C289,DATA!#REF!,2,FALSE),"")</f>
        <v/>
      </c>
    </row>
    <row r="290" spans="2:4" s="237" customFormat="1">
      <c r="B290" s="15" t="str">
        <f t="shared" si="37"/>
        <v/>
      </c>
      <c r="C290" s="16" t="str">
        <f>IFERROR(VLOOKUP(DATA!#REF!,DATA!#REF!,1,FALSE),"")</f>
        <v/>
      </c>
      <c r="D290" s="16" t="str">
        <f>IFERROR(VLOOKUP(C290,DATA!#REF!,2,FALSE),"")</f>
        <v/>
      </c>
    </row>
    <row r="291" spans="2:4" s="237" customFormat="1">
      <c r="B291" s="15" t="str">
        <f t="shared" si="37"/>
        <v/>
      </c>
      <c r="C291" s="16" t="str">
        <f>IFERROR(VLOOKUP(DATA!#REF!,DATA!#REF!,1,FALSE),"")</f>
        <v/>
      </c>
      <c r="D291" s="16" t="str">
        <f>IFERROR(VLOOKUP(C291,DATA!#REF!,2,FALSE),"")</f>
        <v/>
      </c>
    </row>
    <row r="292" spans="2:4" s="237" customFormat="1">
      <c r="B292" s="15" t="str">
        <f t="shared" si="37"/>
        <v/>
      </c>
      <c r="C292" s="16" t="str">
        <f>IFERROR(VLOOKUP(DATA!#REF!,DATA!#REF!,1,FALSE),"")</f>
        <v/>
      </c>
      <c r="D292" s="16" t="str">
        <f>IFERROR(VLOOKUP(C292,DATA!#REF!,2,FALSE),"")</f>
        <v/>
      </c>
    </row>
    <row r="293" spans="2:4" s="237" customFormat="1">
      <c r="B293" s="15" t="str">
        <f t="shared" si="37"/>
        <v/>
      </c>
      <c r="C293" s="16" t="str">
        <f>IFERROR(VLOOKUP(DATA!#REF!,DATA!#REF!,1,FALSE),"")</f>
        <v/>
      </c>
      <c r="D293" s="16" t="str">
        <f>IFERROR(VLOOKUP(C293,DATA!#REF!,2,FALSE),"")</f>
        <v/>
      </c>
    </row>
    <row r="294" spans="2:4" s="237" customFormat="1">
      <c r="B294" s="15" t="str">
        <f t="shared" si="37"/>
        <v/>
      </c>
      <c r="C294" s="16" t="str">
        <f>IFERROR(VLOOKUP(DATA!#REF!,DATA!#REF!,1,FALSE),"")</f>
        <v/>
      </c>
      <c r="D294" s="16" t="str">
        <f>IFERROR(VLOOKUP(C294,DATA!#REF!,2,FALSE),"")</f>
        <v/>
      </c>
    </row>
    <row r="295" spans="2:4" s="237" customFormat="1">
      <c r="B295" s="15" t="str">
        <f t="shared" si="37"/>
        <v/>
      </c>
      <c r="C295" s="16" t="str">
        <f>IFERROR(VLOOKUP(DATA!#REF!,DATA!#REF!,1,FALSE),"")</f>
        <v/>
      </c>
      <c r="D295" s="16" t="str">
        <f>IFERROR(VLOOKUP(C295,DATA!#REF!,2,FALSE),"")</f>
        <v/>
      </c>
    </row>
    <row r="296" spans="2:4" s="237" customFormat="1">
      <c r="B296" s="15" t="str">
        <f t="shared" si="37"/>
        <v/>
      </c>
      <c r="C296" s="16" t="str">
        <f>IFERROR(VLOOKUP(DATA!#REF!,DATA!#REF!,1,FALSE),"")</f>
        <v/>
      </c>
      <c r="D296" s="16" t="str">
        <f>IFERROR(VLOOKUP(C296,DATA!#REF!,2,FALSE),"")</f>
        <v/>
      </c>
    </row>
    <row r="297" spans="2:4" s="237" customFormat="1">
      <c r="B297" s="15" t="str">
        <f t="shared" si="37"/>
        <v/>
      </c>
      <c r="C297" s="16" t="str">
        <f>IFERROR(VLOOKUP(DATA!#REF!,DATA!#REF!,1,FALSE),"")</f>
        <v/>
      </c>
      <c r="D297" s="16" t="str">
        <f>IFERROR(VLOOKUP(C297,DATA!#REF!,2,FALSE),"")</f>
        <v/>
      </c>
    </row>
    <row r="298" spans="2:4" s="237" customFormat="1">
      <c r="B298" s="15" t="str">
        <f t="shared" si="37"/>
        <v/>
      </c>
      <c r="C298" s="16" t="str">
        <f>IFERROR(VLOOKUP(DATA!#REF!,DATA!#REF!,1,FALSE),"")</f>
        <v/>
      </c>
      <c r="D298" s="16" t="str">
        <f>IFERROR(VLOOKUP(C298,DATA!#REF!,2,FALSE),"")</f>
        <v/>
      </c>
    </row>
    <row r="299" spans="2:4" s="237" customFormat="1">
      <c r="B299" s="15" t="str">
        <f t="shared" si="37"/>
        <v/>
      </c>
      <c r="C299" s="16" t="str">
        <f>IFERROR(VLOOKUP(DATA!#REF!,DATA!#REF!,1,FALSE),"")</f>
        <v/>
      </c>
      <c r="D299" s="16" t="str">
        <f>IFERROR(VLOOKUP(C299,DATA!#REF!,2,FALSE),"")</f>
        <v/>
      </c>
    </row>
    <row r="300" spans="2:4" s="237" customFormat="1">
      <c r="B300" s="15" t="str">
        <f t="shared" si="37"/>
        <v/>
      </c>
      <c r="C300" s="16" t="str">
        <f>IFERROR(VLOOKUP(DATA!#REF!,DATA!#REF!,1,FALSE),"")</f>
        <v/>
      </c>
      <c r="D300" s="16" t="str">
        <f>IFERROR(VLOOKUP(C300,DATA!#REF!,2,FALSE),"")</f>
        <v/>
      </c>
    </row>
    <row r="301" spans="2:4" s="237" customFormat="1">
      <c r="B301" s="15" t="str">
        <f t="shared" si="37"/>
        <v/>
      </c>
      <c r="C301" s="16" t="str">
        <f>IFERROR(VLOOKUP(DATA!#REF!,DATA!#REF!,1,FALSE),"")</f>
        <v/>
      </c>
      <c r="D301" s="16" t="str">
        <f>IFERROR(VLOOKUP(C301,DATA!#REF!,2,FALSE),"")</f>
        <v/>
      </c>
    </row>
    <row r="302" spans="2:4" s="237" customFormat="1">
      <c r="B302" s="15" t="str">
        <f t="shared" si="37"/>
        <v/>
      </c>
      <c r="C302" s="16" t="str">
        <f>IFERROR(VLOOKUP(DATA!#REF!,DATA!#REF!,1,FALSE),"")</f>
        <v/>
      </c>
      <c r="D302" s="16" t="str">
        <f>IFERROR(VLOOKUP(C302,DATA!#REF!,2,FALSE),"")</f>
        <v/>
      </c>
    </row>
    <row r="303" spans="2:4" s="237" customFormat="1">
      <c r="B303" s="15" t="str">
        <f t="shared" si="37"/>
        <v/>
      </c>
      <c r="C303" s="16" t="str">
        <f>IFERROR(VLOOKUP(DATA!#REF!,DATA!#REF!,1,FALSE),"")</f>
        <v/>
      </c>
      <c r="D303" s="16" t="str">
        <f>IFERROR(VLOOKUP(C303,DATA!#REF!,2,FALSE),"")</f>
        <v/>
      </c>
    </row>
    <row r="304" spans="2:4" s="237" customFormat="1">
      <c r="B304" s="15" t="str">
        <f t="shared" si="37"/>
        <v/>
      </c>
      <c r="C304" s="16" t="str">
        <f>IFERROR(VLOOKUP(DATA!#REF!,DATA!#REF!,1,FALSE),"")</f>
        <v/>
      </c>
      <c r="D304" s="16" t="str">
        <f>IFERROR(VLOOKUP(C304,DATA!#REF!,2,FALSE),"")</f>
        <v/>
      </c>
    </row>
    <row r="305" spans="2:4" s="237" customFormat="1">
      <c r="B305" s="15" t="str">
        <f t="shared" si="37"/>
        <v/>
      </c>
      <c r="C305" s="16" t="str">
        <f>IFERROR(VLOOKUP(DATA!#REF!,DATA!#REF!,1,FALSE),"")</f>
        <v/>
      </c>
      <c r="D305" s="16" t="str">
        <f>IFERROR(VLOOKUP(C305,DATA!#REF!,2,FALSE),"")</f>
        <v/>
      </c>
    </row>
    <row r="306" spans="2:4" s="237" customFormat="1">
      <c r="B306" s="15" t="str">
        <f t="shared" si="37"/>
        <v/>
      </c>
      <c r="C306" s="16" t="str">
        <f>IFERROR(VLOOKUP(DATA!#REF!,DATA!#REF!,1,FALSE),"")</f>
        <v/>
      </c>
      <c r="D306" s="16" t="str">
        <f>IFERROR(VLOOKUP(C306,DATA!#REF!,2,FALSE),"")</f>
        <v/>
      </c>
    </row>
    <row r="307" spans="2:4" s="237" customFormat="1">
      <c r="B307" s="15" t="str">
        <f t="shared" si="37"/>
        <v/>
      </c>
      <c r="C307" s="16" t="str">
        <f>IFERROR(VLOOKUP(DATA!#REF!,DATA!#REF!,1,FALSE),"")</f>
        <v/>
      </c>
      <c r="D307" s="16" t="str">
        <f>IFERROR(VLOOKUP(C307,DATA!#REF!,2,FALSE),"")</f>
        <v/>
      </c>
    </row>
    <row r="308" spans="2:4" s="237" customFormat="1">
      <c r="B308" s="15" t="str">
        <f t="shared" si="37"/>
        <v/>
      </c>
      <c r="C308" s="16" t="str">
        <f>IFERROR(VLOOKUP(DATA!#REF!,DATA!#REF!,1,FALSE),"")</f>
        <v/>
      </c>
      <c r="D308" s="16" t="str">
        <f>IFERROR(VLOOKUP(C308,DATA!#REF!,2,FALSE),"")</f>
        <v/>
      </c>
    </row>
    <row r="309" spans="2:4" s="237" customFormat="1">
      <c r="B309" s="15" t="str">
        <f t="shared" si="37"/>
        <v/>
      </c>
      <c r="C309" s="16" t="str">
        <f>IFERROR(VLOOKUP(DATA!#REF!,DATA!#REF!,1,FALSE),"")</f>
        <v/>
      </c>
      <c r="D309" s="16" t="str">
        <f>IFERROR(VLOOKUP(C309,DATA!#REF!,2,FALSE),"")</f>
        <v/>
      </c>
    </row>
    <row r="310" spans="2:4" s="237" customFormat="1">
      <c r="B310" s="15" t="str">
        <f t="shared" si="37"/>
        <v/>
      </c>
      <c r="C310" s="16" t="str">
        <f>IFERROR(VLOOKUP(DATA!#REF!,DATA!#REF!,1,FALSE),"")</f>
        <v/>
      </c>
      <c r="D310" s="16" t="str">
        <f>IFERROR(VLOOKUP(C310,DATA!#REF!,2,FALSE),"")</f>
        <v/>
      </c>
    </row>
    <row r="311" spans="2:4" s="237" customFormat="1">
      <c r="B311" s="15" t="str">
        <f t="shared" si="37"/>
        <v/>
      </c>
      <c r="C311" s="16" t="str">
        <f>IFERROR(VLOOKUP(DATA!#REF!,DATA!#REF!,1,FALSE),"")</f>
        <v/>
      </c>
      <c r="D311" s="16" t="str">
        <f>IFERROR(VLOOKUP(C311,DATA!#REF!,2,FALSE),"")</f>
        <v/>
      </c>
    </row>
    <row r="312" spans="2:4" s="237" customFormat="1">
      <c r="B312" s="15" t="str">
        <f t="shared" si="37"/>
        <v/>
      </c>
      <c r="C312" s="16" t="str">
        <f>IFERROR(VLOOKUP(DATA!#REF!,DATA!#REF!,1,FALSE),"")</f>
        <v/>
      </c>
      <c r="D312" s="16" t="str">
        <f>IFERROR(VLOOKUP(C312,DATA!#REF!,2,FALSE),"")</f>
        <v/>
      </c>
    </row>
    <row r="313" spans="2:4" s="237" customFormat="1">
      <c r="B313" s="15" t="str">
        <f t="shared" si="37"/>
        <v/>
      </c>
      <c r="C313" s="16" t="str">
        <f>IFERROR(VLOOKUP(DATA!#REF!,DATA!#REF!,1,FALSE),"")</f>
        <v/>
      </c>
      <c r="D313" s="16" t="str">
        <f>IFERROR(VLOOKUP(C313,DATA!#REF!,2,FALSE),"")</f>
        <v/>
      </c>
    </row>
    <row r="314" spans="2:4" s="237" customFormat="1">
      <c r="B314" s="15" t="str">
        <f t="shared" si="37"/>
        <v/>
      </c>
      <c r="C314" s="16" t="str">
        <f>IFERROR(VLOOKUP(DATA!#REF!,DATA!#REF!,1,FALSE),"")</f>
        <v/>
      </c>
      <c r="D314" s="16" t="str">
        <f>IFERROR(VLOOKUP(C314,DATA!#REF!,2,FALSE),"")</f>
        <v/>
      </c>
    </row>
    <row r="315" spans="2:4" s="237" customFormat="1">
      <c r="B315" s="15" t="str">
        <f t="shared" si="37"/>
        <v/>
      </c>
      <c r="C315" s="16" t="str">
        <f>IFERROR(VLOOKUP(DATA!#REF!,DATA!#REF!,1,FALSE),"")</f>
        <v/>
      </c>
      <c r="D315" s="16" t="str">
        <f>IFERROR(VLOOKUP(C315,DATA!#REF!,2,FALSE),"")</f>
        <v/>
      </c>
    </row>
    <row r="316" spans="2:4" s="237" customFormat="1">
      <c r="B316" s="15" t="str">
        <f t="shared" si="37"/>
        <v/>
      </c>
      <c r="C316" s="16" t="str">
        <f>IFERROR(VLOOKUP(DATA!#REF!,DATA!#REF!,1,FALSE),"")</f>
        <v/>
      </c>
      <c r="D316" s="16" t="str">
        <f>IFERROR(VLOOKUP(C316,DATA!#REF!,2,FALSE),"")</f>
        <v/>
      </c>
    </row>
    <row r="317" spans="2:4" s="237" customFormat="1">
      <c r="B317" s="15" t="str">
        <f t="shared" si="37"/>
        <v/>
      </c>
      <c r="C317" s="16" t="str">
        <f>IFERROR(VLOOKUP(DATA!#REF!,DATA!#REF!,1,FALSE),"")</f>
        <v/>
      </c>
      <c r="D317" s="16" t="str">
        <f>IFERROR(VLOOKUP(C317,DATA!#REF!,2,FALSE),"")</f>
        <v/>
      </c>
    </row>
    <row r="318" spans="2:4" s="237" customFormat="1">
      <c r="B318" s="15" t="str">
        <f t="shared" si="37"/>
        <v/>
      </c>
      <c r="C318" s="16" t="str">
        <f>IFERROR(VLOOKUP(DATA!#REF!,DATA!#REF!,1,FALSE),"")</f>
        <v/>
      </c>
      <c r="D318" s="16" t="str">
        <f>IFERROR(VLOOKUP(C318,DATA!#REF!,2,FALSE),"")</f>
        <v/>
      </c>
    </row>
    <row r="319" spans="2:4" s="237" customFormat="1">
      <c r="B319" s="15" t="str">
        <f t="shared" si="37"/>
        <v/>
      </c>
      <c r="C319" s="16" t="str">
        <f>IFERROR(VLOOKUP(DATA!#REF!,DATA!#REF!,1,FALSE),"")</f>
        <v/>
      </c>
      <c r="D319" s="16" t="str">
        <f>IFERROR(VLOOKUP(C319,DATA!#REF!,2,FALSE),"")</f>
        <v/>
      </c>
    </row>
    <row r="320" spans="2:4" s="237" customFormat="1">
      <c r="B320" s="15" t="str">
        <f t="shared" si="37"/>
        <v/>
      </c>
      <c r="C320" s="16" t="str">
        <f>IFERROR(VLOOKUP(DATA!#REF!,DATA!#REF!,1,FALSE),"")</f>
        <v/>
      </c>
      <c r="D320" s="16" t="str">
        <f>IFERROR(VLOOKUP(C320,DATA!#REF!,2,FALSE),"")</f>
        <v/>
      </c>
    </row>
    <row r="321" spans="2:4" s="237" customFormat="1">
      <c r="B321" s="15" t="str">
        <f t="shared" si="37"/>
        <v/>
      </c>
      <c r="C321" s="16" t="str">
        <f>IFERROR(VLOOKUP(DATA!#REF!,DATA!#REF!,1,FALSE),"")</f>
        <v/>
      </c>
      <c r="D321" s="16" t="str">
        <f>IFERROR(VLOOKUP(C321,DATA!#REF!,2,FALSE),"")</f>
        <v/>
      </c>
    </row>
    <row r="322" spans="2:4" s="237" customFormat="1">
      <c r="B322" s="15" t="str">
        <f t="shared" si="37"/>
        <v/>
      </c>
      <c r="C322" s="16" t="str">
        <f>IFERROR(VLOOKUP(DATA!#REF!,DATA!#REF!,1,FALSE),"")</f>
        <v/>
      </c>
      <c r="D322" s="16" t="str">
        <f>IFERROR(VLOOKUP(C322,DATA!#REF!,2,FALSE),"")</f>
        <v/>
      </c>
    </row>
    <row r="323" spans="2:4" s="237" customFormat="1">
      <c r="B323" s="15" t="str">
        <f t="shared" si="37"/>
        <v/>
      </c>
      <c r="C323" s="16" t="str">
        <f>IFERROR(VLOOKUP(DATA!#REF!,DATA!#REF!,1,FALSE),"")</f>
        <v/>
      </c>
      <c r="D323" s="16" t="str">
        <f>IFERROR(VLOOKUP(C323,DATA!#REF!,2,FALSE),"")</f>
        <v/>
      </c>
    </row>
    <row r="324" spans="2:4" s="237" customFormat="1">
      <c r="B324" s="15" t="str">
        <f t="shared" si="37"/>
        <v/>
      </c>
      <c r="C324" s="16" t="str">
        <f>IFERROR(VLOOKUP(DATA!#REF!,DATA!#REF!,1,FALSE),"")</f>
        <v/>
      </c>
      <c r="D324" s="16" t="str">
        <f>IFERROR(VLOOKUP(C324,DATA!#REF!,2,FALSE),"")</f>
        <v/>
      </c>
    </row>
    <row r="325" spans="2:4" s="237" customFormat="1">
      <c r="B325" s="15" t="str">
        <f t="shared" si="37"/>
        <v/>
      </c>
      <c r="C325" s="16" t="str">
        <f>IFERROR(VLOOKUP(DATA!#REF!,DATA!#REF!,1,FALSE),"")</f>
        <v/>
      </c>
      <c r="D325" s="16" t="str">
        <f>IFERROR(VLOOKUP(C325,DATA!#REF!,2,FALSE),"")</f>
        <v/>
      </c>
    </row>
    <row r="326" spans="2:4" s="237" customFormat="1">
      <c r="B326" s="15" t="str">
        <f t="shared" ref="B326:B389" si="38">+IF(C326="","",ROW()-5)</f>
        <v/>
      </c>
      <c r="C326" s="16" t="str">
        <f>IFERROR(VLOOKUP(DATA!#REF!,DATA!#REF!,1,FALSE),"")</f>
        <v/>
      </c>
      <c r="D326" s="16" t="str">
        <f>IFERROR(VLOOKUP(C326,DATA!#REF!,2,FALSE),"")</f>
        <v/>
      </c>
    </row>
    <row r="327" spans="2:4" s="237" customFormat="1">
      <c r="B327" s="15" t="str">
        <f t="shared" si="38"/>
        <v/>
      </c>
      <c r="C327" s="16" t="str">
        <f>IFERROR(VLOOKUP(DATA!#REF!,DATA!#REF!,1,FALSE),"")</f>
        <v/>
      </c>
      <c r="D327" s="16" t="str">
        <f>IFERROR(VLOOKUP(C327,DATA!#REF!,2,FALSE),"")</f>
        <v/>
      </c>
    </row>
    <row r="328" spans="2:4" s="237" customFormat="1">
      <c r="B328" s="15" t="str">
        <f t="shared" si="38"/>
        <v/>
      </c>
      <c r="C328" s="16" t="str">
        <f>IFERROR(VLOOKUP(DATA!#REF!,DATA!#REF!,1,FALSE),"")</f>
        <v/>
      </c>
      <c r="D328" s="16" t="str">
        <f>IFERROR(VLOOKUP(C328,DATA!#REF!,2,FALSE),"")</f>
        <v/>
      </c>
    </row>
    <row r="329" spans="2:4" s="237" customFormat="1">
      <c r="B329" s="15" t="str">
        <f t="shared" si="38"/>
        <v/>
      </c>
      <c r="C329" s="16" t="str">
        <f>IFERROR(VLOOKUP(DATA!#REF!,DATA!#REF!,1,FALSE),"")</f>
        <v/>
      </c>
      <c r="D329" s="16" t="str">
        <f>IFERROR(VLOOKUP(C329,DATA!#REF!,2,FALSE),"")</f>
        <v/>
      </c>
    </row>
    <row r="330" spans="2:4" s="237" customFormat="1">
      <c r="B330" s="15" t="str">
        <f t="shared" si="38"/>
        <v/>
      </c>
      <c r="C330" s="16" t="str">
        <f>IFERROR(VLOOKUP(DATA!#REF!,DATA!#REF!,1,FALSE),"")</f>
        <v/>
      </c>
      <c r="D330" s="16" t="str">
        <f>IFERROR(VLOOKUP(C330,DATA!#REF!,2,FALSE),"")</f>
        <v/>
      </c>
    </row>
    <row r="331" spans="2:4" s="237" customFormat="1">
      <c r="B331" s="15" t="str">
        <f t="shared" si="38"/>
        <v/>
      </c>
      <c r="C331" s="16" t="str">
        <f>IFERROR(VLOOKUP(DATA!#REF!,DATA!#REF!,1,FALSE),"")</f>
        <v/>
      </c>
      <c r="D331" s="16" t="str">
        <f>IFERROR(VLOOKUP(C331,DATA!#REF!,2,FALSE),"")</f>
        <v/>
      </c>
    </row>
    <row r="332" spans="2:4" s="237" customFormat="1">
      <c r="B332" s="15" t="str">
        <f t="shared" si="38"/>
        <v/>
      </c>
      <c r="C332" s="16" t="str">
        <f>IFERROR(VLOOKUP(DATA!#REF!,DATA!#REF!,1,FALSE),"")</f>
        <v/>
      </c>
      <c r="D332" s="16" t="str">
        <f>IFERROR(VLOOKUP(C332,DATA!#REF!,2,FALSE),"")</f>
        <v/>
      </c>
    </row>
    <row r="333" spans="2:4" s="237" customFormat="1">
      <c r="B333" s="15" t="str">
        <f t="shared" si="38"/>
        <v/>
      </c>
      <c r="C333" s="16" t="str">
        <f>IFERROR(VLOOKUP(DATA!#REF!,DATA!#REF!,1,FALSE),"")</f>
        <v/>
      </c>
      <c r="D333" s="16" t="str">
        <f>IFERROR(VLOOKUP(C333,DATA!#REF!,2,FALSE),"")</f>
        <v/>
      </c>
    </row>
    <row r="334" spans="2:4" s="237" customFormat="1">
      <c r="B334" s="15" t="str">
        <f t="shared" si="38"/>
        <v/>
      </c>
      <c r="C334" s="16" t="str">
        <f>IFERROR(VLOOKUP(DATA!#REF!,DATA!#REF!,1,FALSE),"")</f>
        <v/>
      </c>
      <c r="D334" s="16" t="str">
        <f>IFERROR(VLOOKUP(C334,DATA!#REF!,2,FALSE),"")</f>
        <v/>
      </c>
    </row>
    <row r="335" spans="2:4" s="237" customFormat="1">
      <c r="B335" s="15" t="str">
        <f t="shared" si="38"/>
        <v/>
      </c>
      <c r="C335" s="16" t="str">
        <f>IFERROR(VLOOKUP(DATA!#REF!,DATA!#REF!,1,FALSE),"")</f>
        <v/>
      </c>
      <c r="D335" s="16" t="str">
        <f>IFERROR(VLOOKUP(C335,DATA!#REF!,2,FALSE),"")</f>
        <v/>
      </c>
    </row>
    <row r="336" spans="2:4" s="237" customFormat="1">
      <c r="B336" s="15" t="str">
        <f t="shared" si="38"/>
        <v/>
      </c>
      <c r="C336" s="16" t="str">
        <f>IFERROR(VLOOKUP(DATA!#REF!,DATA!#REF!,1,FALSE),"")</f>
        <v/>
      </c>
      <c r="D336" s="16" t="str">
        <f>IFERROR(VLOOKUP(C336,DATA!#REF!,2,FALSE),"")</f>
        <v/>
      </c>
    </row>
    <row r="337" spans="2:4" s="237" customFormat="1">
      <c r="B337" s="15" t="str">
        <f t="shared" si="38"/>
        <v/>
      </c>
      <c r="C337" s="16" t="str">
        <f>IFERROR(VLOOKUP(DATA!#REF!,DATA!#REF!,1,FALSE),"")</f>
        <v/>
      </c>
      <c r="D337" s="16" t="str">
        <f>IFERROR(VLOOKUP(C337,DATA!#REF!,2,FALSE),"")</f>
        <v/>
      </c>
    </row>
    <row r="338" spans="2:4" s="237" customFormat="1">
      <c r="B338" s="15" t="str">
        <f t="shared" si="38"/>
        <v/>
      </c>
      <c r="C338" s="16" t="str">
        <f>IFERROR(VLOOKUP(DATA!#REF!,DATA!#REF!,1,FALSE),"")</f>
        <v/>
      </c>
      <c r="D338" s="16" t="str">
        <f>IFERROR(VLOOKUP(C338,DATA!#REF!,2,FALSE),"")</f>
        <v/>
      </c>
    </row>
    <row r="339" spans="2:4" s="237" customFormat="1">
      <c r="B339" s="15" t="str">
        <f t="shared" si="38"/>
        <v/>
      </c>
      <c r="C339" s="16" t="str">
        <f>IFERROR(VLOOKUP(DATA!#REF!,DATA!#REF!,1,FALSE),"")</f>
        <v/>
      </c>
      <c r="D339" s="16" t="str">
        <f>IFERROR(VLOOKUP(C339,DATA!#REF!,2,FALSE),"")</f>
        <v/>
      </c>
    </row>
    <row r="340" spans="2:4" s="237" customFormat="1">
      <c r="B340" s="15" t="str">
        <f t="shared" si="38"/>
        <v/>
      </c>
      <c r="C340" s="16" t="str">
        <f>IFERROR(VLOOKUP(DATA!#REF!,DATA!#REF!,1,FALSE),"")</f>
        <v/>
      </c>
      <c r="D340" s="16" t="str">
        <f>IFERROR(VLOOKUP(C340,DATA!#REF!,2,FALSE),"")</f>
        <v/>
      </c>
    </row>
    <row r="341" spans="2:4" s="237" customFormat="1">
      <c r="B341" s="15" t="str">
        <f t="shared" si="38"/>
        <v/>
      </c>
      <c r="C341" s="16" t="str">
        <f>IFERROR(VLOOKUP(DATA!#REF!,DATA!#REF!,1,FALSE),"")</f>
        <v/>
      </c>
      <c r="D341" s="16" t="str">
        <f>IFERROR(VLOOKUP(C341,DATA!#REF!,2,FALSE),"")</f>
        <v/>
      </c>
    </row>
    <row r="342" spans="2:4" s="237" customFormat="1">
      <c r="B342" s="15" t="str">
        <f t="shared" si="38"/>
        <v/>
      </c>
      <c r="C342" s="16" t="str">
        <f>IFERROR(VLOOKUP(DATA!#REF!,DATA!#REF!,1,FALSE),"")</f>
        <v/>
      </c>
      <c r="D342" s="16" t="str">
        <f>IFERROR(VLOOKUP(C342,DATA!#REF!,2,FALSE),"")</f>
        <v/>
      </c>
    </row>
    <row r="343" spans="2:4" s="237" customFormat="1">
      <c r="B343" s="15" t="str">
        <f t="shared" si="38"/>
        <v/>
      </c>
      <c r="C343" s="16" t="str">
        <f>IFERROR(VLOOKUP(DATA!#REF!,DATA!#REF!,1,FALSE),"")</f>
        <v/>
      </c>
      <c r="D343" s="16" t="str">
        <f>IFERROR(VLOOKUP(C343,DATA!#REF!,2,FALSE),"")</f>
        <v/>
      </c>
    </row>
    <row r="344" spans="2:4" s="237" customFormat="1">
      <c r="B344" s="15" t="str">
        <f t="shared" si="38"/>
        <v/>
      </c>
      <c r="C344" s="16" t="str">
        <f>IFERROR(VLOOKUP(DATA!#REF!,DATA!#REF!,1,FALSE),"")</f>
        <v/>
      </c>
      <c r="D344" s="16" t="str">
        <f>IFERROR(VLOOKUP(C344,DATA!#REF!,2,FALSE),"")</f>
        <v/>
      </c>
    </row>
    <row r="345" spans="2:4" s="237" customFormat="1">
      <c r="B345" s="15" t="str">
        <f t="shared" si="38"/>
        <v/>
      </c>
      <c r="C345" s="16" t="str">
        <f>IFERROR(VLOOKUP(DATA!#REF!,DATA!#REF!,1,FALSE),"")</f>
        <v/>
      </c>
      <c r="D345" s="16" t="str">
        <f>IFERROR(VLOOKUP(C345,DATA!#REF!,2,FALSE),"")</f>
        <v/>
      </c>
    </row>
    <row r="346" spans="2:4" s="237" customFormat="1">
      <c r="B346" s="15" t="str">
        <f t="shared" si="38"/>
        <v/>
      </c>
      <c r="C346" s="16" t="str">
        <f>IFERROR(VLOOKUP(DATA!#REF!,DATA!#REF!,1,FALSE),"")</f>
        <v/>
      </c>
      <c r="D346" s="16" t="str">
        <f>IFERROR(VLOOKUP(C346,DATA!#REF!,2,FALSE),"")</f>
        <v/>
      </c>
    </row>
    <row r="347" spans="2:4" s="237" customFormat="1">
      <c r="B347" s="15" t="str">
        <f t="shared" si="38"/>
        <v/>
      </c>
      <c r="C347" s="16" t="str">
        <f>IFERROR(VLOOKUP(DATA!#REF!,DATA!#REF!,1,FALSE),"")</f>
        <v/>
      </c>
      <c r="D347" s="16" t="str">
        <f>IFERROR(VLOOKUP(C347,DATA!#REF!,2,FALSE),"")</f>
        <v/>
      </c>
    </row>
    <row r="348" spans="2:4" s="237" customFormat="1">
      <c r="B348" s="15" t="str">
        <f t="shared" si="38"/>
        <v/>
      </c>
      <c r="C348" s="16" t="str">
        <f>IFERROR(VLOOKUP(DATA!#REF!,DATA!#REF!,1,FALSE),"")</f>
        <v/>
      </c>
      <c r="D348" s="16" t="str">
        <f>IFERROR(VLOOKUP(C348,DATA!#REF!,2,FALSE),"")</f>
        <v/>
      </c>
    </row>
    <row r="349" spans="2:4" s="237" customFormat="1">
      <c r="B349" s="15" t="str">
        <f t="shared" si="38"/>
        <v/>
      </c>
      <c r="C349" s="16" t="str">
        <f>IFERROR(VLOOKUP(DATA!#REF!,DATA!#REF!,1,FALSE),"")</f>
        <v/>
      </c>
      <c r="D349" s="16" t="str">
        <f>IFERROR(VLOOKUP(C349,DATA!#REF!,2,FALSE),"")</f>
        <v/>
      </c>
    </row>
    <row r="350" spans="2:4" s="237" customFormat="1">
      <c r="B350" s="15" t="str">
        <f t="shared" si="38"/>
        <v/>
      </c>
      <c r="C350" s="16" t="str">
        <f>IFERROR(VLOOKUP(DATA!#REF!,DATA!#REF!,1,FALSE),"")</f>
        <v/>
      </c>
      <c r="D350" s="16" t="str">
        <f>IFERROR(VLOOKUP(C350,DATA!#REF!,2,FALSE),"")</f>
        <v/>
      </c>
    </row>
    <row r="351" spans="2:4" s="237" customFormat="1">
      <c r="B351" s="15" t="str">
        <f t="shared" si="38"/>
        <v/>
      </c>
      <c r="C351" s="16" t="str">
        <f>IFERROR(VLOOKUP(DATA!#REF!,DATA!#REF!,1,FALSE),"")</f>
        <v/>
      </c>
      <c r="D351" s="16" t="str">
        <f>IFERROR(VLOOKUP(C351,DATA!#REF!,2,FALSE),"")</f>
        <v/>
      </c>
    </row>
    <row r="352" spans="2:4" s="237" customFormat="1">
      <c r="B352" s="15" t="str">
        <f t="shared" si="38"/>
        <v/>
      </c>
      <c r="C352" s="16" t="str">
        <f>IFERROR(VLOOKUP(DATA!#REF!,DATA!#REF!,1,FALSE),"")</f>
        <v/>
      </c>
      <c r="D352" s="16" t="str">
        <f>IFERROR(VLOOKUP(C352,DATA!#REF!,2,FALSE),"")</f>
        <v/>
      </c>
    </row>
    <row r="353" spans="2:4" s="237" customFormat="1">
      <c r="B353" s="15" t="str">
        <f t="shared" si="38"/>
        <v/>
      </c>
      <c r="C353" s="16" t="str">
        <f>IFERROR(VLOOKUP(DATA!#REF!,DATA!#REF!,1,FALSE),"")</f>
        <v/>
      </c>
      <c r="D353" s="16" t="str">
        <f>IFERROR(VLOOKUP(C353,DATA!#REF!,2,FALSE),"")</f>
        <v/>
      </c>
    </row>
    <row r="354" spans="2:4" s="237" customFormat="1">
      <c r="B354" s="15" t="str">
        <f t="shared" si="38"/>
        <v/>
      </c>
      <c r="C354" s="16" t="str">
        <f>IFERROR(VLOOKUP(DATA!#REF!,DATA!#REF!,1,FALSE),"")</f>
        <v/>
      </c>
      <c r="D354" s="16" t="str">
        <f>IFERROR(VLOOKUP(C354,DATA!#REF!,2,FALSE),"")</f>
        <v/>
      </c>
    </row>
    <row r="355" spans="2:4" s="237" customFormat="1">
      <c r="B355" s="15" t="str">
        <f t="shared" si="38"/>
        <v/>
      </c>
      <c r="C355" s="16" t="str">
        <f>IFERROR(VLOOKUP(DATA!#REF!,DATA!#REF!,1,FALSE),"")</f>
        <v/>
      </c>
      <c r="D355" s="16" t="str">
        <f>IFERROR(VLOOKUP(C355,DATA!#REF!,2,FALSE),"")</f>
        <v/>
      </c>
    </row>
    <row r="356" spans="2:4" s="237" customFormat="1">
      <c r="B356" s="15" t="str">
        <f t="shared" si="38"/>
        <v/>
      </c>
      <c r="C356" s="16" t="str">
        <f>IFERROR(VLOOKUP(DATA!#REF!,DATA!#REF!,1,FALSE),"")</f>
        <v/>
      </c>
      <c r="D356" s="16" t="str">
        <f>IFERROR(VLOOKUP(C356,DATA!#REF!,2,FALSE),"")</f>
        <v/>
      </c>
    </row>
    <row r="357" spans="2:4" s="237" customFormat="1">
      <c r="B357" s="15" t="str">
        <f t="shared" si="38"/>
        <v/>
      </c>
      <c r="C357" s="16" t="str">
        <f>IFERROR(VLOOKUP(DATA!#REF!,DATA!#REF!,1,FALSE),"")</f>
        <v/>
      </c>
      <c r="D357" s="16" t="str">
        <f>IFERROR(VLOOKUP(C357,DATA!#REF!,2,FALSE),"")</f>
        <v/>
      </c>
    </row>
    <row r="358" spans="2:4" s="237" customFormat="1">
      <c r="B358" s="15" t="str">
        <f t="shared" si="38"/>
        <v/>
      </c>
      <c r="C358" s="16" t="str">
        <f>IFERROR(VLOOKUP(DATA!#REF!,DATA!#REF!,1,FALSE),"")</f>
        <v/>
      </c>
      <c r="D358" s="16" t="str">
        <f>IFERROR(VLOOKUP(C358,DATA!#REF!,2,FALSE),"")</f>
        <v/>
      </c>
    </row>
    <row r="359" spans="2:4" s="237" customFormat="1">
      <c r="B359" s="15" t="str">
        <f t="shared" si="38"/>
        <v/>
      </c>
      <c r="C359" s="16" t="str">
        <f>IFERROR(VLOOKUP(DATA!#REF!,DATA!#REF!,1,FALSE),"")</f>
        <v/>
      </c>
      <c r="D359" s="16" t="str">
        <f>IFERROR(VLOOKUP(C359,DATA!#REF!,2,FALSE),"")</f>
        <v/>
      </c>
    </row>
    <row r="360" spans="2:4" s="237" customFormat="1">
      <c r="B360" s="15" t="str">
        <f t="shared" si="38"/>
        <v/>
      </c>
      <c r="C360" s="16" t="str">
        <f>IFERROR(VLOOKUP(DATA!#REF!,DATA!#REF!,1,FALSE),"")</f>
        <v/>
      </c>
      <c r="D360" s="16" t="str">
        <f>IFERROR(VLOOKUP(C360,DATA!#REF!,2,FALSE),"")</f>
        <v/>
      </c>
    </row>
    <row r="361" spans="2:4" s="237" customFormat="1">
      <c r="B361" s="15" t="str">
        <f t="shared" si="38"/>
        <v/>
      </c>
      <c r="C361" s="16" t="str">
        <f>IFERROR(VLOOKUP(DATA!#REF!,DATA!#REF!,1,FALSE),"")</f>
        <v/>
      </c>
      <c r="D361" s="16" t="str">
        <f>IFERROR(VLOOKUP(C361,DATA!#REF!,2,FALSE),"")</f>
        <v/>
      </c>
    </row>
    <row r="362" spans="2:4" s="237" customFormat="1">
      <c r="B362" s="15" t="str">
        <f t="shared" si="38"/>
        <v/>
      </c>
      <c r="C362" s="16" t="str">
        <f>IFERROR(VLOOKUP(DATA!#REF!,DATA!#REF!,1,FALSE),"")</f>
        <v/>
      </c>
      <c r="D362" s="16" t="str">
        <f>IFERROR(VLOOKUP(C362,DATA!#REF!,2,FALSE),"")</f>
        <v/>
      </c>
    </row>
    <row r="363" spans="2:4" s="237" customFormat="1">
      <c r="B363" s="15" t="str">
        <f t="shared" si="38"/>
        <v/>
      </c>
      <c r="C363" s="16" t="str">
        <f>IFERROR(VLOOKUP(DATA!#REF!,DATA!#REF!,1,FALSE),"")</f>
        <v/>
      </c>
      <c r="D363" s="16" t="str">
        <f>IFERROR(VLOOKUP(C363,DATA!#REF!,2,FALSE),"")</f>
        <v/>
      </c>
    </row>
    <row r="364" spans="2:4" s="237" customFormat="1">
      <c r="B364" s="15" t="str">
        <f t="shared" si="38"/>
        <v/>
      </c>
      <c r="C364" s="16" t="str">
        <f>IFERROR(VLOOKUP(DATA!#REF!,DATA!#REF!,1,FALSE),"")</f>
        <v/>
      </c>
      <c r="D364" s="16" t="str">
        <f>IFERROR(VLOOKUP(C364,DATA!#REF!,2,FALSE),"")</f>
        <v/>
      </c>
    </row>
    <row r="365" spans="2:4" s="237" customFormat="1">
      <c r="B365" s="15" t="str">
        <f t="shared" si="38"/>
        <v/>
      </c>
      <c r="C365" s="16" t="str">
        <f>IFERROR(VLOOKUP(DATA!#REF!,DATA!#REF!,1,FALSE),"")</f>
        <v/>
      </c>
      <c r="D365" s="16" t="str">
        <f>IFERROR(VLOOKUP(C365,DATA!#REF!,2,FALSE),"")</f>
        <v/>
      </c>
    </row>
    <row r="366" spans="2:4" s="237" customFormat="1">
      <c r="B366" s="15" t="str">
        <f t="shared" si="38"/>
        <v/>
      </c>
      <c r="C366" s="16" t="str">
        <f>IFERROR(VLOOKUP(DATA!#REF!,DATA!#REF!,1,FALSE),"")</f>
        <v/>
      </c>
      <c r="D366" s="16" t="str">
        <f>IFERROR(VLOOKUP(C366,DATA!#REF!,2,FALSE),"")</f>
        <v/>
      </c>
    </row>
    <row r="367" spans="2:4" s="237" customFormat="1">
      <c r="B367" s="15" t="str">
        <f t="shared" si="38"/>
        <v/>
      </c>
      <c r="C367" s="16" t="str">
        <f>IFERROR(VLOOKUP(DATA!#REF!,DATA!#REF!,1,FALSE),"")</f>
        <v/>
      </c>
      <c r="D367" s="16" t="str">
        <f>IFERROR(VLOOKUP(C367,DATA!#REF!,2,FALSE),"")</f>
        <v/>
      </c>
    </row>
    <row r="368" spans="2:4" s="237" customFormat="1">
      <c r="B368" s="15" t="str">
        <f t="shared" si="38"/>
        <v/>
      </c>
      <c r="C368" s="16" t="str">
        <f>IFERROR(VLOOKUP(DATA!#REF!,DATA!#REF!,1,FALSE),"")</f>
        <v/>
      </c>
      <c r="D368" s="16" t="str">
        <f>IFERROR(VLOOKUP(C368,DATA!#REF!,2,FALSE),"")</f>
        <v/>
      </c>
    </row>
    <row r="369" spans="2:4" s="237" customFormat="1">
      <c r="B369" s="15" t="str">
        <f t="shared" si="38"/>
        <v/>
      </c>
      <c r="C369" s="16" t="str">
        <f>IFERROR(VLOOKUP(DATA!#REF!,DATA!#REF!,1,FALSE),"")</f>
        <v/>
      </c>
      <c r="D369" s="16" t="str">
        <f>IFERROR(VLOOKUP(C369,DATA!#REF!,2,FALSE),"")</f>
        <v/>
      </c>
    </row>
    <row r="370" spans="2:4" s="237" customFormat="1">
      <c r="B370" s="15" t="str">
        <f t="shared" si="38"/>
        <v/>
      </c>
      <c r="C370" s="16" t="str">
        <f>IFERROR(VLOOKUP(DATA!#REF!,DATA!#REF!,1,FALSE),"")</f>
        <v/>
      </c>
      <c r="D370" s="16" t="str">
        <f>IFERROR(VLOOKUP(C370,DATA!#REF!,2,FALSE),"")</f>
        <v/>
      </c>
    </row>
    <row r="371" spans="2:4" s="237" customFormat="1">
      <c r="B371" s="15" t="str">
        <f t="shared" si="38"/>
        <v/>
      </c>
      <c r="C371" s="16" t="str">
        <f>IFERROR(VLOOKUP(DATA!#REF!,DATA!#REF!,1,FALSE),"")</f>
        <v/>
      </c>
      <c r="D371" s="16" t="str">
        <f>IFERROR(VLOOKUP(C371,DATA!#REF!,2,FALSE),"")</f>
        <v/>
      </c>
    </row>
    <row r="372" spans="2:4" s="237" customFormat="1">
      <c r="B372" s="15" t="str">
        <f t="shared" si="38"/>
        <v/>
      </c>
      <c r="C372" s="16" t="str">
        <f>IFERROR(VLOOKUP(DATA!#REF!,DATA!#REF!,1,FALSE),"")</f>
        <v/>
      </c>
      <c r="D372" s="16" t="str">
        <f>IFERROR(VLOOKUP(C372,DATA!#REF!,2,FALSE),"")</f>
        <v/>
      </c>
    </row>
    <row r="373" spans="2:4" s="237" customFormat="1">
      <c r="B373" s="15" t="str">
        <f t="shared" si="38"/>
        <v/>
      </c>
      <c r="C373" s="16" t="str">
        <f>IFERROR(VLOOKUP(DATA!#REF!,DATA!#REF!,1,FALSE),"")</f>
        <v/>
      </c>
      <c r="D373" s="16" t="str">
        <f>IFERROR(VLOOKUP(C373,DATA!#REF!,2,FALSE),"")</f>
        <v/>
      </c>
    </row>
    <row r="374" spans="2:4" s="237" customFormat="1">
      <c r="B374" s="15" t="str">
        <f t="shared" si="38"/>
        <v/>
      </c>
      <c r="C374" s="16" t="str">
        <f>IFERROR(VLOOKUP(DATA!#REF!,DATA!#REF!,1,FALSE),"")</f>
        <v/>
      </c>
      <c r="D374" s="16" t="str">
        <f>IFERROR(VLOOKUP(C374,DATA!#REF!,2,FALSE),"")</f>
        <v/>
      </c>
    </row>
    <row r="375" spans="2:4" s="237" customFormat="1">
      <c r="B375" s="15" t="str">
        <f t="shared" si="38"/>
        <v/>
      </c>
      <c r="C375" s="16" t="str">
        <f>IFERROR(VLOOKUP(DATA!#REF!,DATA!#REF!,1,FALSE),"")</f>
        <v/>
      </c>
      <c r="D375" s="16" t="str">
        <f>IFERROR(VLOOKUP(C375,DATA!#REF!,2,FALSE),"")</f>
        <v/>
      </c>
    </row>
    <row r="376" spans="2:4" s="237" customFormat="1">
      <c r="B376" s="15" t="str">
        <f t="shared" si="38"/>
        <v/>
      </c>
      <c r="C376" s="16" t="str">
        <f>IFERROR(VLOOKUP(DATA!#REF!,DATA!#REF!,1,FALSE),"")</f>
        <v/>
      </c>
      <c r="D376" s="16" t="str">
        <f>IFERROR(VLOOKUP(C376,DATA!#REF!,2,FALSE),"")</f>
        <v/>
      </c>
    </row>
    <row r="377" spans="2:4" s="237" customFormat="1">
      <c r="B377" s="15" t="str">
        <f t="shared" si="38"/>
        <v/>
      </c>
      <c r="C377" s="16" t="str">
        <f>IFERROR(VLOOKUP(DATA!#REF!,DATA!#REF!,1,FALSE),"")</f>
        <v/>
      </c>
      <c r="D377" s="16" t="str">
        <f>IFERROR(VLOOKUP(C377,DATA!#REF!,2,FALSE),"")</f>
        <v/>
      </c>
    </row>
    <row r="378" spans="2:4" s="237" customFormat="1">
      <c r="B378" s="15" t="str">
        <f t="shared" si="38"/>
        <v/>
      </c>
      <c r="C378" s="16" t="str">
        <f>IFERROR(VLOOKUP(DATA!#REF!,DATA!#REF!,1,FALSE),"")</f>
        <v/>
      </c>
      <c r="D378" s="16" t="str">
        <f>IFERROR(VLOOKUP(C378,DATA!#REF!,2,FALSE),"")</f>
        <v/>
      </c>
    </row>
    <row r="379" spans="2:4" s="237" customFormat="1">
      <c r="B379" s="15" t="str">
        <f t="shared" si="38"/>
        <v/>
      </c>
      <c r="C379" s="16" t="str">
        <f>IFERROR(VLOOKUP(DATA!#REF!,DATA!#REF!,1,FALSE),"")</f>
        <v/>
      </c>
      <c r="D379" s="16" t="str">
        <f>IFERROR(VLOOKUP(C379,DATA!#REF!,2,FALSE),"")</f>
        <v/>
      </c>
    </row>
    <row r="380" spans="2:4" s="237" customFormat="1">
      <c r="B380" s="15" t="str">
        <f t="shared" si="38"/>
        <v/>
      </c>
      <c r="C380" s="16" t="str">
        <f>IFERROR(VLOOKUP(DATA!#REF!,DATA!#REF!,1,FALSE),"")</f>
        <v/>
      </c>
      <c r="D380" s="16" t="str">
        <f>IFERROR(VLOOKUP(C380,DATA!#REF!,2,FALSE),"")</f>
        <v/>
      </c>
    </row>
    <row r="381" spans="2:4" s="237" customFormat="1">
      <c r="B381" s="15" t="str">
        <f t="shared" si="38"/>
        <v/>
      </c>
      <c r="C381" s="16" t="str">
        <f>IFERROR(VLOOKUP(DATA!#REF!,DATA!#REF!,1,FALSE),"")</f>
        <v/>
      </c>
      <c r="D381" s="16" t="str">
        <f>IFERROR(VLOOKUP(C381,DATA!#REF!,2,FALSE),"")</f>
        <v/>
      </c>
    </row>
    <row r="382" spans="2:4" s="237" customFormat="1">
      <c r="B382" s="15" t="str">
        <f t="shared" si="38"/>
        <v/>
      </c>
      <c r="C382" s="16" t="str">
        <f>IFERROR(VLOOKUP(DATA!#REF!,DATA!#REF!,1,FALSE),"")</f>
        <v/>
      </c>
      <c r="D382" s="16" t="str">
        <f>IFERROR(VLOOKUP(C382,DATA!#REF!,2,FALSE),"")</f>
        <v/>
      </c>
    </row>
    <row r="383" spans="2:4" s="237" customFormat="1">
      <c r="B383" s="15" t="str">
        <f t="shared" si="38"/>
        <v/>
      </c>
      <c r="C383" s="16" t="str">
        <f>IFERROR(VLOOKUP(DATA!#REF!,DATA!#REF!,1,FALSE),"")</f>
        <v/>
      </c>
      <c r="D383" s="16" t="str">
        <f>IFERROR(VLOOKUP(C383,DATA!#REF!,2,FALSE),"")</f>
        <v/>
      </c>
    </row>
    <row r="384" spans="2:4" s="237" customFormat="1">
      <c r="B384" s="15" t="str">
        <f t="shared" si="38"/>
        <v/>
      </c>
      <c r="C384" s="16" t="str">
        <f>IFERROR(VLOOKUP(DATA!#REF!,DATA!#REF!,1,FALSE),"")</f>
        <v/>
      </c>
      <c r="D384" s="16" t="str">
        <f>IFERROR(VLOOKUP(C384,DATA!#REF!,2,FALSE),"")</f>
        <v/>
      </c>
    </row>
    <row r="385" spans="2:4" s="237" customFormat="1">
      <c r="B385" s="15" t="str">
        <f t="shared" si="38"/>
        <v/>
      </c>
      <c r="C385" s="16" t="str">
        <f>IFERROR(VLOOKUP(DATA!#REF!,DATA!#REF!,1,FALSE),"")</f>
        <v/>
      </c>
      <c r="D385" s="16" t="str">
        <f>IFERROR(VLOOKUP(C385,DATA!#REF!,2,FALSE),"")</f>
        <v/>
      </c>
    </row>
    <row r="386" spans="2:4" s="237" customFormat="1">
      <c r="B386" s="15" t="str">
        <f t="shared" si="38"/>
        <v/>
      </c>
      <c r="C386" s="16" t="str">
        <f>IFERROR(VLOOKUP(DATA!#REF!,DATA!#REF!,1,FALSE),"")</f>
        <v/>
      </c>
      <c r="D386" s="16" t="str">
        <f>IFERROR(VLOOKUP(C386,DATA!#REF!,2,FALSE),"")</f>
        <v/>
      </c>
    </row>
    <row r="387" spans="2:4" s="237" customFormat="1">
      <c r="B387" s="15" t="str">
        <f t="shared" si="38"/>
        <v/>
      </c>
      <c r="C387" s="16" t="str">
        <f>IFERROR(VLOOKUP(DATA!#REF!,DATA!#REF!,1,FALSE),"")</f>
        <v/>
      </c>
      <c r="D387" s="16" t="str">
        <f>IFERROR(VLOOKUP(C387,DATA!#REF!,2,FALSE),"")</f>
        <v/>
      </c>
    </row>
    <row r="388" spans="2:4" s="237" customFormat="1">
      <c r="B388" s="15" t="str">
        <f t="shared" si="38"/>
        <v/>
      </c>
      <c r="C388" s="16" t="str">
        <f>IFERROR(VLOOKUP(DATA!#REF!,DATA!#REF!,1,FALSE),"")</f>
        <v/>
      </c>
      <c r="D388" s="16" t="str">
        <f>IFERROR(VLOOKUP(C388,DATA!#REF!,2,FALSE),"")</f>
        <v/>
      </c>
    </row>
    <row r="389" spans="2:4" s="237" customFormat="1">
      <c r="B389" s="15" t="str">
        <f t="shared" si="38"/>
        <v/>
      </c>
      <c r="C389" s="16" t="str">
        <f>IFERROR(VLOOKUP(DATA!#REF!,DATA!#REF!,1,FALSE),"")</f>
        <v/>
      </c>
      <c r="D389" s="16" t="str">
        <f>IFERROR(VLOOKUP(C389,DATA!#REF!,2,FALSE),"")</f>
        <v/>
      </c>
    </row>
    <row r="390" spans="2:4" s="237" customFormat="1">
      <c r="B390" s="15" t="str">
        <f t="shared" ref="B390:B453" si="39">+IF(C390="","",ROW()-5)</f>
        <v/>
      </c>
      <c r="C390" s="16" t="str">
        <f>IFERROR(VLOOKUP(DATA!#REF!,DATA!#REF!,1,FALSE),"")</f>
        <v/>
      </c>
      <c r="D390" s="16" t="str">
        <f>IFERROR(VLOOKUP(C390,DATA!#REF!,2,FALSE),"")</f>
        <v/>
      </c>
    </row>
    <row r="391" spans="2:4" s="237" customFormat="1">
      <c r="B391" s="15" t="str">
        <f t="shared" si="39"/>
        <v/>
      </c>
      <c r="C391" s="16" t="str">
        <f>IFERROR(VLOOKUP(DATA!#REF!,DATA!#REF!,1,FALSE),"")</f>
        <v/>
      </c>
      <c r="D391" s="16" t="str">
        <f>IFERROR(VLOOKUP(C391,DATA!#REF!,2,FALSE),"")</f>
        <v/>
      </c>
    </row>
    <row r="392" spans="2:4" s="237" customFormat="1">
      <c r="B392" s="15" t="str">
        <f t="shared" si="39"/>
        <v/>
      </c>
      <c r="C392" s="16" t="str">
        <f>IFERROR(VLOOKUP(DATA!#REF!,DATA!#REF!,1,FALSE),"")</f>
        <v/>
      </c>
      <c r="D392" s="16" t="str">
        <f>IFERROR(VLOOKUP(C392,DATA!#REF!,2,FALSE),"")</f>
        <v/>
      </c>
    </row>
    <row r="393" spans="2:4" s="237" customFormat="1">
      <c r="B393" s="15" t="str">
        <f t="shared" si="39"/>
        <v/>
      </c>
      <c r="C393" s="16" t="str">
        <f>IFERROR(VLOOKUP(DATA!#REF!,DATA!#REF!,1,FALSE),"")</f>
        <v/>
      </c>
      <c r="D393" s="16" t="str">
        <f>IFERROR(VLOOKUP(C393,DATA!#REF!,2,FALSE),"")</f>
        <v/>
      </c>
    </row>
    <row r="394" spans="2:4" s="237" customFormat="1">
      <c r="B394" s="15" t="str">
        <f t="shared" si="39"/>
        <v/>
      </c>
      <c r="C394" s="16" t="str">
        <f>IFERROR(VLOOKUP(DATA!#REF!,DATA!#REF!,1,FALSE),"")</f>
        <v/>
      </c>
      <c r="D394" s="16" t="str">
        <f>IFERROR(VLOOKUP(C394,DATA!#REF!,2,FALSE),"")</f>
        <v/>
      </c>
    </row>
    <row r="395" spans="2:4" s="237" customFormat="1">
      <c r="B395" s="15" t="str">
        <f t="shared" si="39"/>
        <v/>
      </c>
      <c r="C395" s="16" t="str">
        <f>IFERROR(VLOOKUP(DATA!#REF!,DATA!#REF!,1,FALSE),"")</f>
        <v/>
      </c>
      <c r="D395" s="16" t="str">
        <f>IFERROR(VLOOKUP(C395,DATA!#REF!,2,FALSE),"")</f>
        <v/>
      </c>
    </row>
    <row r="396" spans="2:4" s="237" customFormat="1">
      <c r="B396" s="15" t="str">
        <f t="shared" si="39"/>
        <v/>
      </c>
      <c r="C396" s="16" t="str">
        <f>IFERROR(VLOOKUP(DATA!#REF!,DATA!#REF!,1,FALSE),"")</f>
        <v/>
      </c>
      <c r="D396" s="16" t="str">
        <f>IFERROR(VLOOKUP(C396,DATA!#REF!,2,FALSE),"")</f>
        <v/>
      </c>
    </row>
    <row r="397" spans="2:4" s="237" customFormat="1">
      <c r="B397" s="15" t="str">
        <f t="shared" si="39"/>
        <v/>
      </c>
      <c r="C397" s="16" t="str">
        <f>IFERROR(VLOOKUP(DATA!#REF!,DATA!#REF!,1,FALSE),"")</f>
        <v/>
      </c>
      <c r="D397" s="16" t="str">
        <f>IFERROR(VLOOKUP(C397,DATA!#REF!,2,FALSE),"")</f>
        <v/>
      </c>
    </row>
    <row r="398" spans="2:4" s="237" customFormat="1">
      <c r="B398" s="15" t="str">
        <f t="shared" si="39"/>
        <v/>
      </c>
      <c r="C398" s="16" t="str">
        <f>IFERROR(VLOOKUP(DATA!#REF!,DATA!#REF!,1,FALSE),"")</f>
        <v/>
      </c>
      <c r="D398" s="16" t="str">
        <f>IFERROR(VLOOKUP(C398,DATA!#REF!,2,FALSE),"")</f>
        <v/>
      </c>
    </row>
    <row r="399" spans="2:4" s="237" customFormat="1">
      <c r="B399" s="15" t="str">
        <f t="shared" si="39"/>
        <v/>
      </c>
      <c r="C399" s="16" t="str">
        <f>IFERROR(VLOOKUP(DATA!#REF!,DATA!#REF!,1,FALSE),"")</f>
        <v/>
      </c>
      <c r="D399" s="16" t="str">
        <f>IFERROR(VLOOKUP(C399,DATA!#REF!,2,FALSE),"")</f>
        <v/>
      </c>
    </row>
    <row r="400" spans="2:4" s="237" customFormat="1">
      <c r="B400" s="15" t="str">
        <f t="shared" si="39"/>
        <v/>
      </c>
      <c r="C400" s="16" t="str">
        <f>IFERROR(VLOOKUP(DATA!#REF!,DATA!#REF!,1,FALSE),"")</f>
        <v/>
      </c>
      <c r="D400" s="16" t="str">
        <f>IFERROR(VLOOKUP(C400,DATA!#REF!,2,FALSE),"")</f>
        <v/>
      </c>
    </row>
    <row r="401" spans="2:4" s="237" customFormat="1">
      <c r="B401" s="15" t="str">
        <f t="shared" si="39"/>
        <v/>
      </c>
      <c r="C401" s="16" t="str">
        <f>IFERROR(VLOOKUP(DATA!#REF!,DATA!#REF!,1,FALSE),"")</f>
        <v/>
      </c>
      <c r="D401" s="16" t="str">
        <f>IFERROR(VLOOKUP(C401,DATA!#REF!,2,FALSE),"")</f>
        <v/>
      </c>
    </row>
    <row r="402" spans="2:4" s="237" customFormat="1">
      <c r="B402" s="15" t="str">
        <f t="shared" si="39"/>
        <v/>
      </c>
      <c r="C402" s="16" t="str">
        <f>IFERROR(VLOOKUP(DATA!#REF!,DATA!#REF!,1,FALSE),"")</f>
        <v/>
      </c>
      <c r="D402" s="16" t="str">
        <f>IFERROR(VLOOKUP(C402,DATA!#REF!,2,FALSE),"")</f>
        <v/>
      </c>
    </row>
    <row r="403" spans="2:4" s="237" customFormat="1">
      <c r="B403" s="15" t="str">
        <f t="shared" si="39"/>
        <v/>
      </c>
      <c r="C403" s="16" t="str">
        <f>IFERROR(VLOOKUP(DATA!#REF!,DATA!#REF!,1,FALSE),"")</f>
        <v/>
      </c>
      <c r="D403" s="16" t="str">
        <f>IFERROR(VLOOKUP(C403,DATA!#REF!,2,FALSE),"")</f>
        <v/>
      </c>
    </row>
    <row r="404" spans="2:4" s="237" customFormat="1">
      <c r="B404" s="15" t="str">
        <f t="shared" si="39"/>
        <v/>
      </c>
      <c r="C404" s="16" t="str">
        <f>IFERROR(VLOOKUP(DATA!#REF!,DATA!#REF!,1,FALSE),"")</f>
        <v/>
      </c>
      <c r="D404" s="16" t="str">
        <f>IFERROR(VLOOKUP(C404,DATA!#REF!,2,FALSE),"")</f>
        <v/>
      </c>
    </row>
    <row r="405" spans="2:4" s="237" customFormat="1">
      <c r="B405" s="15" t="str">
        <f t="shared" si="39"/>
        <v/>
      </c>
      <c r="C405" s="16" t="str">
        <f>IFERROR(VLOOKUP(DATA!#REF!,DATA!#REF!,1,FALSE),"")</f>
        <v/>
      </c>
      <c r="D405" s="16" t="str">
        <f>IFERROR(VLOOKUP(C405,DATA!#REF!,2,FALSE),"")</f>
        <v/>
      </c>
    </row>
    <row r="406" spans="2:4" s="237" customFormat="1">
      <c r="B406" s="15" t="str">
        <f t="shared" si="39"/>
        <v/>
      </c>
      <c r="C406" s="16" t="str">
        <f>IFERROR(VLOOKUP(DATA!#REF!,DATA!#REF!,1,FALSE),"")</f>
        <v/>
      </c>
      <c r="D406" s="16" t="str">
        <f>IFERROR(VLOOKUP(C406,DATA!#REF!,2,FALSE),"")</f>
        <v/>
      </c>
    </row>
    <row r="407" spans="2:4" s="237" customFormat="1">
      <c r="B407" s="15" t="str">
        <f t="shared" si="39"/>
        <v/>
      </c>
      <c r="C407" s="16" t="str">
        <f>IFERROR(VLOOKUP(DATA!#REF!,DATA!#REF!,1,FALSE),"")</f>
        <v/>
      </c>
      <c r="D407" s="16" t="str">
        <f>IFERROR(VLOOKUP(C407,DATA!#REF!,2,FALSE),"")</f>
        <v/>
      </c>
    </row>
    <row r="408" spans="2:4" s="237" customFormat="1">
      <c r="B408" s="15" t="str">
        <f t="shared" si="39"/>
        <v/>
      </c>
      <c r="C408" s="16" t="str">
        <f>IFERROR(VLOOKUP(DATA!#REF!,DATA!#REF!,1,FALSE),"")</f>
        <v/>
      </c>
      <c r="D408" s="16" t="str">
        <f>IFERROR(VLOOKUP(C408,DATA!#REF!,2,FALSE),"")</f>
        <v/>
      </c>
    </row>
    <row r="409" spans="2:4" s="237" customFormat="1">
      <c r="B409" s="15" t="str">
        <f t="shared" si="39"/>
        <v/>
      </c>
      <c r="C409" s="16" t="str">
        <f>IFERROR(VLOOKUP(DATA!#REF!,DATA!#REF!,1,FALSE),"")</f>
        <v/>
      </c>
      <c r="D409" s="16" t="str">
        <f>IFERROR(VLOOKUP(C409,DATA!#REF!,2,FALSE),"")</f>
        <v/>
      </c>
    </row>
    <row r="410" spans="2:4" s="237" customFormat="1">
      <c r="B410" s="15" t="str">
        <f t="shared" si="39"/>
        <v/>
      </c>
      <c r="C410" s="16" t="str">
        <f>IFERROR(VLOOKUP(DATA!#REF!,DATA!#REF!,1,FALSE),"")</f>
        <v/>
      </c>
      <c r="D410" s="16" t="str">
        <f>IFERROR(VLOOKUP(C410,DATA!#REF!,2,FALSE),"")</f>
        <v/>
      </c>
    </row>
    <row r="411" spans="2:4" s="237" customFormat="1">
      <c r="B411" s="15" t="str">
        <f t="shared" si="39"/>
        <v/>
      </c>
      <c r="C411" s="16" t="str">
        <f>IFERROR(VLOOKUP(DATA!#REF!,DATA!#REF!,1,FALSE),"")</f>
        <v/>
      </c>
      <c r="D411" s="16" t="str">
        <f>IFERROR(VLOOKUP(C411,DATA!#REF!,2,FALSE),"")</f>
        <v/>
      </c>
    </row>
    <row r="412" spans="2:4" s="237" customFormat="1">
      <c r="B412" s="15" t="str">
        <f t="shared" si="39"/>
        <v/>
      </c>
      <c r="C412" s="16" t="str">
        <f>IFERROR(VLOOKUP(DATA!#REF!,DATA!#REF!,1,FALSE),"")</f>
        <v/>
      </c>
      <c r="D412" s="16" t="str">
        <f>IFERROR(VLOOKUP(C412,DATA!#REF!,2,FALSE),"")</f>
        <v/>
      </c>
    </row>
    <row r="413" spans="2:4" s="237" customFormat="1">
      <c r="B413" s="15" t="str">
        <f t="shared" si="39"/>
        <v/>
      </c>
      <c r="C413" s="16" t="str">
        <f>IFERROR(VLOOKUP(DATA!#REF!,DATA!#REF!,1,FALSE),"")</f>
        <v/>
      </c>
      <c r="D413" s="16" t="str">
        <f>IFERROR(VLOOKUP(C413,DATA!#REF!,2,FALSE),"")</f>
        <v/>
      </c>
    </row>
    <row r="414" spans="2:4" s="237" customFormat="1">
      <c r="B414" s="15" t="str">
        <f t="shared" si="39"/>
        <v/>
      </c>
      <c r="C414" s="16" t="str">
        <f>IFERROR(VLOOKUP(DATA!#REF!,DATA!#REF!,1,FALSE),"")</f>
        <v/>
      </c>
      <c r="D414" s="16" t="str">
        <f>IFERROR(VLOOKUP(C414,DATA!#REF!,2,FALSE),"")</f>
        <v/>
      </c>
    </row>
    <row r="415" spans="2:4" s="237" customFormat="1">
      <c r="B415" s="15" t="str">
        <f t="shared" si="39"/>
        <v/>
      </c>
      <c r="C415" s="16" t="str">
        <f>IFERROR(VLOOKUP(DATA!#REF!,DATA!#REF!,1,FALSE),"")</f>
        <v/>
      </c>
      <c r="D415" s="16" t="str">
        <f>IFERROR(VLOOKUP(C415,DATA!#REF!,2,FALSE),"")</f>
        <v/>
      </c>
    </row>
    <row r="416" spans="2:4" s="237" customFormat="1">
      <c r="B416" s="15" t="str">
        <f t="shared" si="39"/>
        <v/>
      </c>
      <c r="C416" s="16" t="str">
        <f>IFERROR(VLOOKUP(DATA!#REF!,DATA!#REF!,1,FALSE),"")</f>
        <v/>
      </c>
      <c r="D416" s="16" t="str">
        <f>IFERROR(VLOOKUP(C416,DATA!#REF!,2,FALSE),"")</f>
        <v/>
      </c>
    </row>
    <row r="417" spans="2:4" s="237" customFormat="1">
      <c r="B417" s="15" t="str">
        <f t="shared" si="39"/>
        <v/>
      </c>
      <c r="C417" s="16" t="str">
        <f>IFERROR(VLOOKUP(DATA!#REF!,DATA!#REF!,1,FALSE),"")</f>
        <v/>
      </c>
      <c r="D417" s="16" t="str">
        <f>IFERROR(VLOOKUP(C417,DATA!#REF!,2,FALSE),"")</f>
        <v/>
      </c>
    </row>
    <row r="418" spans="2:4" s="237" customFormat="1">
      <c r="B418" s="15" t="str">
        <f t="shared" si="39"/>
        <v/>
      </c>
      <c r="C418" s="16" t="str">
        <f>IFERROR(VLOOKUP(DATA!#REF!,DATA!#REF!,1,FALSE),"")</f>
        <v/>
      </c>
      <c r="D418" s="16" t="str">
        <f>IFERROR(VLOOKUP(C418,DATA!#REF!,2,FALSE),"")</f>
        <v/>
      </c>
    </row>
    <row r="419" spans="2:4" s="237" customFormat="1">
      <c r="B419" s="15" t="str">
        <f t="shared" si="39"/>
        <v/>
      </c>
      <c r="C419" s="16" t="str">
        <f>IFERROR(VLOOKUP(DATA!#REF!,DATA!#REF!,1,FALSE),"")</f>
        <v/>
      </c>
      <c r="D419" s="16" t="str">
        <f>IFERROR(VLOOKUP(C419,DATA!#REF!,2,FALSE),"")</f>
        <v/>
      </c>
    </row>
    <row r="420" spans="2:4" s="237" customFormat="1">
      <c r="B420" s="15" t="str">
        <f t="shared" si="39"/>
        <v/>
      </c>
      <c r="C420" s="16" t="str">
        <f>IFERROR(VLOOKUP(DATA!#REF!,DATA!#REF!,1,FALSE),"")</f>
        <v/>
      </c>
      <c r="D420" s="16" t="str">
        <f>IFERROR(VLOOKUP(C420,DATA!#REF!,2,FALSE),"")</f>
        <v/>
      </c>
    </row>
    <row r="421" spans="2:4" s="237" customFormat="1">
      <c r="B421" s="15" t="str">
        <f t="shared" si="39"/>
        <v/>
      </c>
      <c r="C421" s="16" t="str">
        <f>IFERROR(VLOOKUP(DATA!#REF!,DATA!#REF!,1,FALSE),"")</f>
        <v/>
      </c>
      <c r="D421" s="16" t="str">
        <f>IFERROR(VLOOKUP(C421,DATA!#REF!,2,FALSE),"")</f>
        <v/>
      </c>
    </row>
    <row r="422" spans="2:4" s="237" customFormat="1">
      <c r="B422" s="15" t="str">
        <f t="shared" si="39"/>
        <v/>
      </c>
      <c r="C422" s="16" t="str">
        <f>IFERROR(VLOOKUP(DATA!#REF!,DATA!#REF!,1,FALSE),"")</f>
        <v/>
      </c>
      <c r="D422" s="16" t="str">
        <f>IFERROR(VLOOKUP(C422,DATA!#REF!,2,FALSE),"")</f>
        <v/>
      </c>
    </row>
    <row r="423" spans="2:4" s="237" customFormat="1">
      <c r="B423" s="15" t="str">
        <f t="shared" si="39"/>
        <v/>
      </c>
      <c r="C423" s="16" t="str">
        <f>IFERROR(VLOOKUP(DATA!#REF!,DATA!#REF!,1,FALSE),"")</f>
        <v/>
      </c>
      <c r="D423" s="16" t="str">
        <f>IFERROR(VLOOKUP(C423,DATA!#REF!,2,FALSE),"")</f>
        <v/>
      </c>
    </row>
    <row r="424" spans="2:4" s="237" customFormat="1">
      <c r="B424" s="15" t="str">
        <f t="shared" si="39"/>
        <v/>
      </c>
      <c r="C424" s="16" t="str">
        <f>IFERROR(VLOOKUP(DATA!#REF!,DATA!#REF!,1,FALSE),"")</f>
        <v/>
      </c>
      <c r="D424" s="16" t="str">
        <f>IFERROR(VLOOKUP(C424,DATA!#REF!,2,FALSE),"")</f>
        <v/>
      </c>
    </row>
    <row r="425" spans="2:4" s="237" customFormat="1">
      <c r="B425" s="15" t="str">
        <f t="shared" si="39"/>
        <v/>
      </c>
      <c r="C425" s="16" t="str">
        <f>IFERROR(VLOOKUP(DATA!#REF!,DATA!#REF!,1,FALSE),"")</f>
        <v/>
      </c>
      <c r="D425" s="16" t="str">
        <f>IFERROR(VLOOKUP(C425,DATA!#REF!,2,FALSE),"")</f>
        <v/>
      </c>
    </row>
    <row r="426" spans="2:4" s="237" customFormat="1">
      <c r="B426" s="15" t="str">
        <f t="shared" si="39"/>
        <v/>
      </c>
      <c r="C426" s="16" t="str">
        <f>IFERROR(VLOOKUP(DATA!#REF!,DATA!#REF!,1,FALSE),"")</f>
        <v/>
      </c>
      <c r="D426" s="16" t="str">
        <f>IFERROR(VLOOKUP(C426,DATA!#REF!,2,FALSE),"")</f>
        <v/>
      </c>
    </row>
    <row r="427" spans="2:4" s="237" customFormat="1">
      <c r="B427" s="15" t="str">
        <f t="shared" si="39"/>
        <v/>
      </c>
      <c r="C427" s="16" t="str">
        <f>IFERROR(VLOOKUP(DATA!#REF!,DATA!#REF!,1,FALSE),"")</f>
        <v/>
      </c>
      <c r="D427" s="16" t="str">
        <f>IFERROR(VLOOKUP(C427,DATA!#REF!,2,FALSE),"")</f>
        <v/>
      </c>
    </row>
    <row r="428" spans="2:4" s="237" customFormat="1">
      <c r="B428" s="15" t="str">
        <f t="shared" si="39"/>
        <v/>
      </c>
      <c r="C428" s="16" t="str">
        <f>IFERROR(VLOOKUP(DATA!#REF!,DATA!#REF!,1,FALSE),"")</f>
        <v/>
      </c>
      <c r="D428" s="16" t="str">
        <f>IFERROR(VLOOKUP(C428,DATA!#REF!,2,FALSE),"")</f>
        <v/>
      </c>
    </row>
    <row r="429" spans="2:4" s="237" customFormat="1">
      <c r="B429" s="15" t="str">
        <f t="shared" si="39"/>
        <v/>
      </c>
      <c r="C429" s="16" t="str">
        <f>IFERROR(VLOOKUP(DATA!#REF!,DATA!#REF!,1,FALSE),"")</f>
        <v/>
      </c>
      <c r="D429" s="16" t="str">
        <f>IFERROR(VLOOKUP(C429,DATA!#REF!,2,FALSE),"")</f>
        <v/>
      </c>
    </row>
    <row r="430" spans="2:4" s="237" customFormat="1">
      <c r="B430" s="15" t="str">
        <f t="shared" si="39"/>
        <v/>
      </c>
      <c r="C430" s="16" t="str">
        <f>IFERROR(VLOOKUP(DATA!#REF!,DATA!#REF!,1,FALSE),"")</f>
        <v/>
      </c>
      <c r="D430" s="16" t="str">
        <f>IFERROR(VLOOKUP(C430,DATA!#REF!,2,FALSE),"")</f>
        <v/>
      </c>
    </row>
    <row r="431" spans="2:4" s="237" customFormat="1">
      <c r="B431" s="15" t="str">
        <f t="shared" si="39"/>
        <v/>
      </c>
      <c r="C431" s="16" t="str">
        <f>IFERROR(VLOOKUP(DATA!#REF!,DATA!#REF!,1,FALSE),"")</f>
        <v/>
      </c>
      <c r="D431" s="16" t="str">
        <f>IFERROR(VLOOKUP(C431,DATA!#REF!,2,FALSE),"")</f>
        <v/>
      </c>
    </row>
    <row r="432" spans="2:4" s="237" customFormat="1">
      <c r="B432" s="15" t="str">
        <f t="shared" si="39"/>
        <v/>
      </c>
      <c r="C432" s="16" t="str">
        <f>IFERROR(VLOOKUP(DATA!#REF!,DATA!#REF!,1,FALSE),"")</f>
        <v/>
      </c>
      <c r="D432" s="16" t="str">
        <f>IFERROR(VLOOKUP(C432,DATA!#REF!,2,FALSE),"")</f>
        <v/>
      </c>
    </row>
    <row r="433" spans="2:4" s="237" customFormat="1">
      <c r="B433" s="15" t="str">
        <f t="shared" si="39"/>
        <v/>
      </c>
      <c r="C433" s="16" t="str">
        <f>IFERROR(VLOOKUP(DATA!#REF!,DATA!#REF!,1,FALSE),"")</f>
        <v/>
      </c>
      <c r="D433" s="16" t="str">
        <f>IFERROR(VLOOKUP(C433,DATA!#REF!,2,FALSE),"")</f>
        <v/>
      </c>
    </row>
    <row r="434" spans="2:4" s="237" customFormat="1">
      <c r="B434" s="15" t="str">
        <f t="shared" si="39"/>
        <v/>
      </c>
      <c r="C434" s="16" t="str">
        <f>IFERROR(VLOOKUP(DATA!#REF!,DATA!#REF!,1,FALSE),"")</f>
        <v/>
      </c>
      <c r="D434" s="16" t="str">
        <f>IFERROR(VLOOKUP(C434,DATA!#REF!,2,FALSE),"")</f>
        <v/>
      </c>
    </row>
    <row r="435" spans="2:4" s="237" customFormat="1">
      <c r="B435" s="15" t="str">
        <f t="shared" si="39"/>
        <v/>
      </c>
      <c r="C435" s="16" t="str">
        <f>IFERROR(VLOOKUP(DATA!#REF!,DATA!#REF!,1,FALSE),"")</f>
        <v/>
      </c>
      <c r="D435" s="16" t="str">
        <f>IFERROR(VLOOKUP(C435,DATA!#REF!,2,FALSE),"")</f>
        <v/>
      </c>
    </row>
    <row r="436" spans="2:4" s="237" customFormat="1">
      <c r="B436" s="15" t="str">
        <f t="shared" si="39"/>
        <v/>
      </c>
      <c r="C436" s="16" t="str">
        <f>IFERROR(VLOOKUP(DATA!#REF!,DATA!#REF!,1,FALSE),"")</f>
        <v/>
      </c>
      <c r="D436" s="16" t="str">
        <f>IFERROR(VLOOKUP(C436,DATA!#REF!,2,FALSE),"")</f>
        <v/>
      </c>
    </row>
    <row r="437" spans="2:4" s="237" customFormat="1">
      <c r="B437" s="15" t="str">
        <f t="shared" si="39"/>
        <v/>
      </c>
      <c r="C437" s="16" t="str">
        <f>IFERROR(VLOOKUP(DATA!#REF!,DATA!#REF!,1,FALSE),"")</f>
        <v/>
      </c>
      <c r="D437" s="16" t="str">
        <f>IFERROR(VLOOKUP(C437,DATA!#REF!,2,FALSE),"")</f>
        <v/>
      </c>
    </row>
    <row r="438" spans="2:4" s="237" customFormat="1">
      <c r="B438" s="15" t="str">
        <f t="shared" si="39"/>
        <v/>
      </c>
      <c r="C438" s="16" t="str">
        <f>IFERROR(VLOOKUP(DATA!#REF!,DATA!#REF!,1,FALSE),"")</f>
        <v/>
      </c>
      <c r="D438" s="16" t="str">
        <f>IFERROR(VLOOKUP(C438,DATA!#REF!,2,FALSE),"")</f>
        <v/>
      </c>
    </row>
    <row r="439" spans="2:4" s="237" customFormat="1">
      <c r="B439" s="15" t="str">
        <f t="shared" si="39"/>
        <v/>
      </c>
      <c r="C439" s="16" t="str">
        <f>IFERROR(VLOOKUP(DATA!#REF!,DATA!#REF!,1,FALSE),"")</f>
        <v/>
      </c>
      <c r="D439" s="16" t="str">
        <f>IFERROR(VLOOKUP(C439,DATA!#REF!,2,FALSE),"")</f>
        <v/>
      </c>
    </row>
    <row r="440" spans="2:4" s="237" customFormat="1">
      <c r="B440" s="15" t="str">
        <f t="shared" si="39"/>
        <v/>
      </c>
      <c r="C440" s="16" t="str">
        <f>IFERROR(VLOOKUP(DATA!#REF!,DATA!#REF!,1,FALSE),"")</f>
        <v/>
      </c>
      <c r="D440" s="16" t="str">
        <f>IFERROR(VLOOKUP(C440,DATA!#REF!,2,FALSE),"")</f>
        <v/>
      </c>
    </row>
    <row r="441" spans="2:4" s="237" customFormat="1">
      <c r="B441" s="15" t="str">
        <f t="shared" si="39"/>
        <v/>
      </c>
      <c r="C441" s="16" t="str">
        <f>IFERROR(VLOOKUP(DATA!#REF!,DATA!#REF!,1,FALSE),"")</f>
        <v/>
      </c>
      <c r="D441" s="16" t="str">
        <f>IFERROR(VLOOKUP(C441,DATA!#REF!,2,FALSE),"")</f>
        <v/>
      </c>
    </row>
    <row r="442" spans="2:4" s="237" customFormat="1">
      <c r="B442" s="15" t="str">
        <f t="shared" si="39"/>
        <v/>
      </c>
      <c r="C442" s="16" t="str">
        <f>IFERROR(VLOOKUP(DATA!#REF!,DATA!#REF!,1,FALSE),"")</f>
        <v/>
      </c>
      <c r="D442" s="16" t="str">
        <f>IFERROR(VLOOKUP(C442,DATA!#REF!,2,FALSE),"")</f>
        <v/>
      </c>
    </row>
    <row r="443" spans="2:4" s="237" customFormat="1">
      <c r="B443" s="15" t="str">
        <f t="shared" si="39"/>
        <v/>
      </c>
      <c r="C443" s="16" t="str">
        <f>IFERROR(VLOOKUP(DATA!#REF!,DATA!#REF!,1,FALSE),"")</f>
        <v/>
      </c>
      <c r="D443" s="16" t="str">
        <f>IFERROR(VLOOKUP(C443,DATA!#REF!,2,FALSE),"")</f>
        <v/>
      </c>
    </row>
    <row r="444" spans="2:4" s="237" customFormat="1">
      <c r="B444" s="15" t="str">
        <f t="shared" si="39"/>
        <v/>
      </c>
      <c r="C444" s="16" t="str">
        <f>IFERROR(VLOOKUP(DATA!#REF!,DATA!#REF!,1,FALSE),"")</f>
        <v/>
      </c>
      <c r="D444" s="16" t="str">
        <f>IFERROR(VLOOKUP(C444,DATA!#REF!,2,FALSE),"")</f>
        <v/>
      </c>
    </row>
    <row r="445" spans="2:4" s="237" customFormat="1">
      <c r="B445" s="15" t="str">
        <f t="shared" si="39"/>
        <v/>
      </c>
      <c r="C445" s="16" t="str">
        <f>IFERROR(VLOOKUP(DATA!#REF!,DATA!#REF!,1,FALSE),"")</f>
        <v/>
      </c>
      <c r="D445" s="16" t="str">
        <f>IFERROR(VLOOKUP(C445,DATA!#REF!,2,FALSE),"")</f>
        <v/>
      </c>
    </row>
    <row r="446" spans="2:4" s="237" customFormat="1">
      <c r="B446" s="15" t="str">
        <f t="shared" si="39"/>
        <v/>
      </c>
      <c r="C446" s="16" t="str">
        <f>IFERROR(VLOOKUP(DATA!#REF!,DATA!#REF!,1,FALSE),"")</f>
        <v/>
      </c>
      <c r="D446" s="16" t="str">
        <f>IFERROR(VLOOKUP(C446,DATA!#REF!,2,FALSE),"")</f>
        <v/>
      </c>
    </row>
    <row r="447" spans="2:4" s="237" customFormat="1">
      <c r="B447" s="15" t="str">
        <f t="shared" si="39"/>
        <v/>
      </c>
      <c r="C447" s="16" t="str">
        <f>IFERROR(VLOOKUP(DATA!#REF!,DATA!#REF!,1,FALSE),"")</f>
        <v/>
      </c>
      <c r="D447" s="16" t="str">
        <f>IFERROR(VLOOKUP(C447,DATA!#REF!,2,FALSE),"")</f>
        <v/>
      </c>
    </row>
    <row r="448" spans="2:4" s="237" customFormat="1">
      <c r="B448" s="15" t="str">
        <f t="shared" si="39"/>
        <v/>
      </c>
      <c r="C448" s="16" t="str">
        <f>IFERROR(VLOOKUP(DATA!#REF!,DATA!#REF!,1,FALSE),"")</f>
        <v/>
      </c>
      <c r="D448" s="16" t="str">
        <f>IFERROR(VLOOKUP(C448,DATA!#REF!,2,FALSE),"")</f>
        <v/>
      </c>
    </row>
    <row r="449" spans="2:4" s="237" customFormat="1">
      <c r="B449" s="15" t="str">
        <f t="shared" si="39"/>
        <v/>
      </c>
      <c r="C449" s="16" t="str">
        <f>IFERROR(VLOOKUP(DATA!#REF!,DATA!#REF!,1,FALSE),"")</f>
        <v/>
      </c>
      <c r="D449" s="16" t="str">
        <f>IFERROR(VLOOKUP(C449,DATA!#REF!,2,FALSE),"")</f>
        <v/>
      </c>
    </row>
    <row r="450" spans="2:4" s="237" customFormat="1">
      <c r="B450" s="15" t="str">
        <f t="shared" si="39"/>
        <v/>
      </c>
      <c r="C450" s="16" t="str">
        <f>IFERROR(VLOOKUP(DATA!#REF!,DATA!#REF!,1,FALSE),"")</f>
        <v/>
      </c>
      <c r="D450" s="16" t="str">
        <f>IFERROR(VLOOKUP(C450,DATA!#REF!,2,FALSE),"")</f>
        <v/>
      </c>
    </row>
    <row r="451" spans="2:4" s="237" customFormat="1">
      <c r="B451" s="15" t="str">
        <f t="shared" si="39"/>
        <v/>
      </c>
      <c r="C451" s="16" t="str">
        <f>IFERROR(VLOOKUP(DATA!#REF!,DATA!#REF!,1,FALSE),"")</f>
        <v/>
      </c>
      <c r="D451" s="16" t="str">
        <f>IFERROR(VLOOKUP(C451,DATA!#REF!,2,FALSE),"")</f>
        <v/>
      </c>
    </row>
    <row r="452" spans="2:4" s="237" customFormat="1">
      <c r="B452" s="15" t="str">
        <f t="shared" si="39"/>
        <v/>
      </c>
      <c r="C452" s="16" t="str">
        <f>IFERROR(VLOOKUP(DATA!#REF!,DATA!#REF!,1,FALSE),"")</f>
        <v/>
      </c>
      <c r="D452" s="16" t="str">
        <f>IFERROR(VLOOKUP(C452,DATA!#REF!,2,FALSE),"")</f>
        <v/>
      </c>
    </row>
    <row r="453" spans="2:4" s="237" customFormat="1">
      <c r="B453" s="15" t="str">
        <f t="shared" si="39"/>
        <v/>
      </c>
      <c r="C453" s="16" t="str">
        <f>IFERROR(VLOOKUP(DATA!#REF!,DATA!#REF!,1,FALSE),"")</f>
        <v/>
      </c>
      <c r="D453" s="16" t="str">
        <f>IFERROR(VLOOKUP(C453,DATA!#REF!,2,FALSE),"")</f>
        <v/>
      </c>
    </row>
    <row r="454" spans="2:4" s="237" customFormat="1">
      <c r="B454" s="15" t="str">
        <f t="shared" ref="B454:B517" si="40">+IF(C454="","",ROW()-5)</f>
        <v/>
      </c>
      <c r="C454" s="16" t="str">
        <f>IFERROR(VLOOKUP(DATA!#REF!,DATA!#REF!,1,FALSE),"")</f>
        <v/>
      </c>
      <c r="D454" s="16" t="str">
        <f>IFERROR(VLOOKUP(C454,DATA!#REF!,2,FALSE),"")</f>
        <v/>
      </c>
    </row>
    <row r="455" spans="2:4" s="237" customFormat="1">
      <c r="B455" s="15" t="str">
        <f t="shared" si="40"/>
        <v/>
      </c>
      <c r="C455" s="16" t="str">
        <f>IFERROR(VLOOKUP(DATA!#REF!,DATA!#REF!,1,FALSE),"")</f>
        <v/>
      </c>
      <c r="D455" s="16" t="str">
        <f>IFERROR(VLOOKUP(C455,DATA!#REF!,2,FALSE),"")</f>
        <v/>
      </c>
    </row>
    <row r="456" spans="2:4" s="237" customFormat="1">
      <c r="B456" s="15" t="str">
        <f t="shared" si="40"/>
        <v/>
      </c>
      <c r="C456" s="16" t="str">
        <f>IFERROR(VLOOKUP(DATA!#REF!,DATA!#REF!,1,FALSE),"")</f>
        <v/>
      </c>
      <c r="D456" s="16" t="str">
        <f>IFERROR(VLOOKUP(C456,DATA!#REF!,2,FALSE),"")</f>
        <v/>
      </c>
    </row>
    <row r="457" spans="2:4" s="237" customFormat="1">
      <c r="B457" s="15" t="str">
        <f t="shared" si="40"/>
        <v/>
      </c>
      <c r="C457" s="16" t="str">
        <f>IFERROR(VLOOKUP(DATA!#REF!,DATA!#REF!,1,FALSE),"")</f>
        <v/>
      </c>
      <c r="D457" s="16" t="str">
        <f>IFERROR(VLOOKUP(C457,DATA!#REF!,2,FALSE),"")</f>
        <v/>
      </c>
    </row>
    <row r="458" spans="2:4" s="237" customFormat="1">
      <c r="B458" s="15" t="str">
        <f t="shared" si="40"/>
        <v/>
      </c>
      <c r="C458" s="16" t="str">
        <f>IFERROR(VLOOKUP(DATA!#REF!,DATA!#REF!,1,FALSE),"")</f>
        <v/>
      </c>
      <c r="D458" s="16" t="str">
        <f>IFERROR(VLOOKUP(C458,DATA!#REF!,2,FALSE),"")</f>
        <v/>
      </c>
    </row>
    <row r="459" spans="2:4" s="237" customFormat="1">
      <c r="B459" s="15" t="str">
        <f t="shared" si="40"/>
        <v/>
      </c>
      <c r="C459" s="16" t="str">
        <f>IFERROR(VLOOKUP(DATA!#REF!,DATA!#REF!,1,FALSE),"")</f>
        <v/>
      </c>
      <c r="D459" s="16" t="str">
        <f>IFERROR(VLOOKUP(C459,DATA!#REF!,2,FALSE),"")</f>
        <v/>
      </c>
    </row>
    <row r="460" spans="2:4" s="237" customFormat="1">
      <c r="B460" s="15" t="str">
        <f t="shared" si="40"/>
        <v/>
      </c>
      <c r="C460" s="16" t="str">
        <f>IFERROR(VLOOKUP(DATA!#REF!,DATA!#REF!,1,FALSE),"")</f>
        <v/>
      </c>
      <c r="D460" s="16" t="str">
        <f>IFERROR(VLOOKUP(C460,DATA!#REF!,2,FALSE),"")</f>
        <v/>
      </c>
    </row>
    <row r="461" spans="2:4" s="237" customFormat="1">
      <c r="B461" s="15" t="str">
        <f t="shared" si="40"/>
        <v/>
      </c>
      <c r="C461" s="16" t="str">
        <f>IFERROR(VLOOKUP(DATA!#REF!,DATA!#REF!,1,FALSE),"")</f>
        <v/>
      </c>
      <c r="D461" s="16" t="str">
        <f>IFERROR(VLOOKUP(C461,DATA!#REF!,2,FALSE),"")</f>
        <v/>
      </c>
    </row>
    <row r="462" spans="2:4" s="237" customFormat="1">
      <c r="B462" s="15" t="str">
        <f t="shared" si="40"/>
        <v/>
      </c>
      <c r="C462" s="16" t="str">
        <f>IFERROR(VLOOKUP(DATA!#REF!,DATA!#REF!,1,FALSE),"")</f>
        <v/>
      </c>
      <c r="D462" s="16" t="str">
        <f>IFERROR(VLOOKUP(C462,DATA!#REF!,2,FALSE),"")</f>
        <v/>
      </c>
    </row>
    <row r="463" spans="2:4" s="237" customFormat="1">
      <c r="B463" s="15" t="str">
        <f t="shared" si="40"/>
        <v/>
      </c>
      <c r="C463" s="16" t="str">
        <f>IFERROR(VLOOKUP(DATA!#REF!,DATA!#REF!,1,FALSE),"")</f>
        <v/>
      </c>
      <c r="D463" s="16" t="str">
        <f>IFERROR(VLOOKUP(C463,DATA!#REF!,2,FALSE),"")</f>
        <v/>
      </c>
    </row>
    <row r="464" spans="2:4" s="237" customFormat="1">
      <c r="B464" s="15" t="str">
        <f t="shared" si="40"/>
        <v/>
      </c>
      <c r="C464" s="16" t="str">
        <f>IFERROR(VLOOKUP(DATA!#REF!,DATA!#REF!,1,FALSE),"")</f>
        <v/>
      </c>
      <c r="D464" s="16" t="str">
        <f>IFERROR(VLOOKUP(C464,DATA!#REF!,2,FALSE),"")</f>
        <v/>
      </c>
    </row>
    <row r="465" spans="2:4" s="237" customFormat="1">
      <c r="B465" s="15" t="str">
        <f t="shared" si="40"/>
        <v/>
      </c>
      <c r="C465" s="16" t="str">
        <f>IFERROR(VLOOKUP(DATA!#REF!,DATA!#REF!,1,FALSE),"")</f>
        <v/>
      </c>
      <c r="D465" s="16" t="str">
        <f>IFERROR(VLOOKUP(C465,DATA!#REF!,2,FALSE),"")</f>
        <v/>
      </c>
    </row>
    <row r="466" spans="2:4" s="237" customFormat="1">
      <c r="B466" s="15" t="str">
        <f t="shared" si="40"/>
        <v/>
      </c>
      <c r="C466" s="16" t="str">
        <f>IFERROR(VLOOKUP(DATA!#REF!,DATA!#REF!,1,FALSE),"")</f>
        <v/>
      </c>
      <c r="D466" s="16" t="str">
        <f>IFERROR(VLOOKUP(C466,DATA!#REF!,2,FALSE),"")</f>
        <v/>
      </c>
    </row>
    <row r="467" spans="2:4" s="237" customFormat="1">
      <c r="B467" s="15" t="str">
        <f t="shared" si="40"/>
        <v/>
      </c>
      <c r="C467" s="16" t="str">
        <f>IFERROR(VLOOKUP(DATA!#REF!,DATA!#REF!,1,FALSE),"")</f>
        <v/>
      </c>
      <c r="D467" s="16" t="str">
        <f>IFERROR(VLOOKUP(C467,DATA!#REF!,2,FALSE),"")</f>
        <v/>
      </c>
    </row>
    <row r="468" spans="2:4" s="237" customFormat="1">
      <c r="B468" s="15" t="str">
        <f t="shared" si="40"/>
        <v/>
      </c>
      <c r="C468" s="16" t="str">
        <f>IFERROR(VLOOKUP(DATA!#REF!,DATA!#REF!,1,FALSE),"")</f>
        <v/>
      </c>
      <c r="D468" s="16" t="str">
        <f>IFERROR(VLOOKUP(C468,DATA!#REF!,2,FALSE),"")</f>
        <v/>
      </c>
    </row>
    <row r="469" spans="2:4" s="237" customFormat="1">
      <c r="B469" s="15" t="str">
        <f t="shared" si="40"/>
        <v/>
      </c>
      <c r="C469" s="16" t="str">
        <f>IFERROR(VLOOKUP(DATA!#REF!,DATA!#REF!,1,FALSE),"")</f>
        <v/>
      </c>
      <c r="D469" s="16" t="str">
        <f>IFERROR(VLOOKUP(C469,DATA!#REF!,2,FALSE),"")</f>
        <v/>
      </c>
    </row>
    <row r="470" spans="2:4" s="237" customFormat="1">
      <c r="B470" s="15" t="str">
        <f t="shared" si="40"/>
        <v/>
      </c>
      <c r="C470" s="16" t="str">
        <f>IFERROR(VLOOKUP(DATA!#REF!,DATA!#REF!,1,FALSE),"")</f>
        <v/>
      </c>
      <c r="D470" s="16" t="str">
        <f>IFERROR(VLOOKUP(C470,DATA!#REF!,2,FALSE),"")</f>
        <v/>
      </c>
    </row>
    <row r="471" spans="2:4" s="237" customFormat="1">
      <c r="B471" s="15" t="str">
        <f t="shared" si="40"/>
        <v/>
      </c>
      <c r="C471" s="16" t="str">
        <f>IFERROR(VLOOKUP(DATA!#REF!,DATA!#REF!,1,FALSE),"")</f>
        <v/>
      </c>
      <c r="D471" s="16" t="str">
        <f>IFERROR(VLOOKUP(C471,DATA!#REF!,2,FALSE),"")</f>
        <v/>
      </c>
    </row>
    <row r="472" spans="2:4" s="237" customFormat="1">
      <c r="B472" s="15" t="str">
        <f t="shared" si="40"/>
        <v/>
      </c>
      <c r="C472" s="16" t="str">
        <f>IFERROR(VLOOKUP(DATA!#REF!,DATA!#REF!,1,FALSE),"")</f>
        <v/>
      </c>
      <c r="D472" s="16" t="str">
        <f>IFERROR(VLOOKUP(C472,DATA!#REF!,2,FALSE),"")</f>
        <v/>
      </c>
    </row>
    <row r="473" spans="2:4" s="237" customFormat="1">
      <c r="B473" s="15" t="str">
        <f t="shared" si="40"/>
        <v/>
      </c>
      <c r="C473" s="16" t="str">
        <f>IFERROR(VLOOKUP(DATA!#REF!,DATA!#REF!,1,FALSE),"")</f>
        <v/>
      </c>
      <c r="D473" s="16" t="str">
        <f>IFERROR(VLOOKUP(C473,DATA!#REF!,2,FALSE),"")</f>
        <v/>
      </c>
    </row>
    <row r="474" spans="2:4" s="237" customFormat="1">
      <c r="B474" s="15" t="str">
        <f t="shared" si="40"/>
        <v/>
      </c>
      <c r="C474" s="16" t="str">
        <f>IFERROR(VLOOKUP(DATA!#REF!,DATA!#REF!,1,FALSE),"")</f>
        <v/>
      </c>
      <c r="D474" s="16" t="str">
        <f>IFERROR(VLOOKUP(C474,DATA!#REF!,2,FALSE),"")</f>
        <v/>
      </c>
    </row>
    <row r="475" spans="2:4" s="237" customFormat="1">
      <c r="B475" s="15" t="str">
        <f t="shared" si="40"/>
        <v/>
      </c>
      <c r="C475" s="16" t="str">
        <f>IFERROR(VLOOKUP(DATA!#REF!,DATA!#REF!,1,FALSE),"")</f>
        <v/>
      </c>
      <c r="D475" s="16" t="str">
        <f>IFERROR(VLOOKUP(C475,DATA!#REF!,2,FALSE),"")</f>
        <v/>
      </c>
    </row>
    <row r="476" spans="2:4" s="237" customFormat="1">
      <c r="B476" s="15" t="str">
        <f t="shared" si="40"/>
        <v/>
      </c>
      <c r="C476" s="16" t="str">
        <f>IFERROR(VLOOKUP(DATA!#REF!,DATA!#REF!,1,FALSE),"")</f>
        <v/>
      </c>
      <c r="D476" s="16" t="str">
        <f>IFERROR(VLOOKUP(C476,DATA!#REF!,2,FALSE),"")</f>
        <v/>
      </c>
    </row>
    <row r="477" spans="2:4" s="237" customFormat="1">
      <c r="B477" s="15" t="str">
        <f t="shared" si="40"/>
        <v/>
      </c>
      <c r="C477" s="16" t="str">
        <f>IFERROR(VLOOKUP(DATA!#REF!,DATA!#REF!,1,FALSE),"")</f>
        <v/>
      </c>
      <c r="D477" s="16" t="str">
        <f>IFERROR(VLOOKUP(C477,DATA!#REF!,2,FALSE),"")</f>
        <v/>
      </c>
    </row>
    <row r="478" spans="2:4" s="237" customFormat="1">
      <c r="B478" s="15" t="str">
        <f t="shared" si="40"/>
        <v/>
      </c>
      <c r="C478" s="16" t="str">
        <f>IFERROR(VLOOKUP(DATA!#REF!,DATA!#REF!,1,FALSE),"")</f>
        <v/>
      </c>
      <c r="D478" s="16" t="str">
        <f>IFERROR(VLOOKUP(C478,DATA!#REF!,2,FALSE),"")</f>
        <v/>
      </c>
    </row>
    <row r="479" spans="2:4" s="237" customFormat="1">
      <c r="B479" s="15" t="str">
        <f t="shared" si="40"/>
        <v/>
      </c>
      <c r="C479" s="16" t="str">
        <f>IFERROR(VLOOKUP(DATA!#REF!,DATA!#REF!,1,FALSE),"")</f>
        <v/>
      </c>
      <c r="D479" s="16" t="str">
        <f>IFERROR(VLOOKUP(C479,DATA!#REF!,2,FALSE),"")</f>
        <v/>
      </c>
    </row>
    <row r="480" spans="2:4" s="237" customFormat="1">
      <c r="B480" s="15" t="str">
        <f t="shared" si="40"/>
        <v/>
      </c>
      <c r="C480" s="16" t="str">
        <f>IFERROR(VLOOKUP(DATA!#REF!,DATA!#REF!,1,FALSE),"")</f>
        <v/>
      </c>
      <c r="D480" s="16" t="str">
        <f>IFERROR(VLOOKUP(C480,DATA!#REF!,2,FALSE),"")</f>
        <v/>
      </c>
    </row>
    <row r="481" spans="2:4" s="237" customFormat="1">
      <c r="B481" s="15" t="str">
        <f t="shared" si="40"/>
        <v/>
      </c>
      <c r="C481" s="16" t="str">
        <f>IFERROR(VLOOKUP(DATA!#REF!,DATA!#REF!,1,FALSE),"")</f>
        <v/>
      </c>
      <c r="D481" s="16" t="str">
        <f>IFERROR(VLOOKUP(C481,DATA!#REF!,2,FALSE),"")</f>
        <v/>
      </c>
    </row>
    <row r="482" spans="2:4" s="237" customFormat="1">
      <c r="B482" s="15" t="str">
        <f t="shared" si="40"/>
        <v/>
      </c>
      <c r="C482" s="16" t="str">
        <f>IFERROR(VLOOKUP(DATA!#REF!,DATA!#REF!,1,FALSE),"")</f>
        <v/>
      </c>
      <c r="D482" s="16" t="str">
        <f>IFERROR(VLOOKUP(C482,DATA!#REF!,2,FALSE),"")</f>
        <v/>
      </c>
    </row>
    <row r="483" spans="2:4" s="237" customFormat="1">
      <c r="B483" s="15" t="str">
        <f t="shared" si="40"/>
        <v/>
      </c>
      <c r="C483" s="16" t="str">
        <f>IFERROR(VLOOKUP(DATA!#REF!,DATA!#REF!,1,FALSE),"")</f>
        <v/>
      </c>
      <c r="D483" s="16" t="str">
        <f>IFERROR(VLOOKUP(C483,DATA!#REF!,2,FALSE),"")</f>
        <v/>
      </c>
    </row>
    <row r="484" spans="2:4" s="237" customFormat="1">
      <c r="B484" s="15" t="str">
        <f t="shared" si="40"/>
        <v/>
      </c>
      <c r="C484" s="16" t="str">
        <f>IFERROR(VLOOKUP(DATA!#REF!,DATA!#REF!,1,FALSE),"")</f>
        <v/>
      </c>
      <c r="D484" s="16" t="str">
        <f>IFERROR(VLOOKUP(C484,DATA!#REF!,2,FALSE),"")</f>
        <v/>
      </c>
    </row>
    <row r="485" spans="2:4" s="237" customFormat="1">
      <c r="B485" s="15" t="str">
        <f t="shared" si="40"/>
        <v/>
      </c>
      <c r="C485" s="16" t="str">
        <f>IFERROR(VLOOKUP(DATA!#REF!,DATA!#REF!,1,FALSE),"")</f>
        <v/>
      </c>
      <c r="D485" s="16" t="str">
        <f>IFERROR(VLOOKUP(C485,DATA!#REF!,2,FALSE),"")</f>
        <v/>
      </c>
    </row>
    <row r="486" spans="2:4" s="237" customFormat="1">
      <c r="B486" s="15" t="str">
        <f t="shared" si="40"/>
        <v/>
      </c>
      <c r="C486" s="16" t="str">
        <f>IFERROR(VLOOKUP(DATA!#REF!,DATA!#REF!,1,FALSE),"")</f>
        <v/>
      </c>
      <c r="D486" s="16" t="str">
        <f>IFERROR(VLOOKUP(C486,DATA!#REF!,2,FALSE),"")</f>
        <v/>
      </c>
    </row>
    <row r="487" spans="2:4" s="237" customFormat="1">
      <c r="B487" s="15" t="str">
        <f t="shared" si="40"/>
        <v/>
      </c>
      <c r="C487" s="16" t="str">
        <f>IFERROR(VLOOKUP(DATA!#REF!,DATA!#REF!,1,FALSE),"")</f>
        <v/>
      </c>
      <c r="D487" s="16" t="str">
        <f>IFERROR(VLOOKUP(C487,DATA!#REF!,2,FALSE),"")</f>
        <v/>
      </c>
    </row>
    <row r="488" spans="2:4" s="237" customFormat="1">
      <c r="B488" s="15" t="str">
        <f t="shared" si="40"/>
        <v/>
      </c>
      <c r="C488" s="16" t="str">
        <f>IFERROR(VLOOKUP(DATA!#REF!,DATA!#REF!,1,FALSE),"")</f>
        <v/>
      </c>
      <c r="D488" s="16" t="str">
        <f>IFERROR(VLOOKUP(C488,DATA!#REF!,2,FALSE),"")</f>
        <v/>
      </c>
    </row>
    <row r="489" spans="2:4" s="237" customFormat="1">
      <c r="B489" s="15" t="str">
        <f t="shared" si="40"/>
        <v/>
      </c>
      <c r="C489" s="16" t="str">
        <f>IFERROR(VLOOKUP(DATA!#REF!,DATA!#REF!,1,FALSE),"")</f>
        <v/>
      </c>
      <c r="D489" s="16" t="str">
        <f>IFERROR(VLOOKUP(C489,DATA!#REF!,2,FALSE),"")</f>
        <v/>
      </c>
    </row>
    <row r="490" spans="2:4" s="237" customFormat="1">
      <c r="B490" s="15" t="str">
        <f t="shared" si="40"/>
        <v/>
      </c>
      <c r="C490" s="16" t="str">
        <f>IFERROR(VLOOKUP(DATA!#REF!,DATA!#REF!,1,FALSE),"")</f>
        <v/>
      </c>
      <c r="D490" s="16" t="str">
        <f>IFERROR(VLOOKUP(C490,DATA!#REF!,2,FALSE),"")</f>
        <v/>
      </c>
    </row>
    <row r="491" spans="2:4" s="237" customFormat="1">
      <c r="B491" s="15" t="str">
        <f t="shared" si="40"/>
        <v/>
      </c>
      <c r="C491" s="16" t="str">
        <f>IFERROR(VLOOKUP(DATA!#REF!,DATA!#REF!,1,FALSE),"")</f>
        <v/>
      </c>
      <c r="D491" s="16" t="str">
        <f>IFERROR(VLOOKUP(C491,DATA!#REF!,2,FALSE),"")</f>
        <v/>
      </c>
    </row>
    <row r="492" spans="2:4" s="237" customFormat="1">
      <c r="B492" s="15" t="str">
        <f t="shared" si="40"/>
        <v/>
      </c>
      <c r="C492" s="16" t="str">
        <f>IFERROR(VLOOKUP(DATA!#REF!,DATA!#REF!,1,FALSE),"")</f>
        <v/>
      </c>
      <c r="D492" s="16" t="str">
        <f>IFERROR(VLOOKUP(C492,DATA!#REF!,2,FALSE),"")</f>
        <v/>
      </c>
    </row>
    <row r="493" spans="2:4" s="237" customFormat="1">
      <c r="B493" s="15" t="str">
        <f t="shared" si="40"/>
        <v/>
      </c>
      <c r="C493" s="16" t="str">
        <f>IFERROR(VLOOKUP(DATA!#REF!,DATA!#REF!,1,FALSE),"")</f>
        <v/>
      </c>
      <c r="D493" s="16" t="str">
        <f>IFERROR(VLOOKUP(C493,DATA!#REF!,2,FALSE),"")</f>
        <v/>
      </c>
    </row>
    <row r="494" spans="2:4" s="237" customFormat="1">
      <c r="B494" s="15" t="str">
        <f t="shared" si="40"/>
        <v/>
      </c>
      <c r="C494" s="16" t="str">
        <f>IFERROR(VLOOKUP(DATA!#REF!,DATA!#REF!,1,FALSE),"")</f>
        <v/>
      </c>
      <c r="D494" s="16" t="str">
        <f>IFERROR(VLOOKUP(C494,DATA!#REF!,2,FALSE),"")</f>
        <v/>
      </c>
    </row>
    <row r="495" spans="2:4" s="237" customFormat="1">
      <c r="B495" s="15" t="str">
        <f t="shared" si="40"/>
        <v/>
      </c>
      <c r="C495" s="16" t="str">
        <f>IFERROR(VLOOKUP(DATA!#REF!,DATA!#REF!,1,FALSE),"")</f>
        <v/>
      </c>
      <c r="D495" s="16" t="str">
        <f>IFERROR(VLOOKUP(C495,DATA!#REF!,2,FALSE),"")</f>
        <v/>
      </c>
    </row>
    <row r="496" spans="2:4" s="237" customFormat="1">
      <c r="B496" s="15" t="str">
        <f t="shared" si="40"/>
        <v/>
      </c>
      <c r="C496" s="16" t="str">
        <f>IFERROR(VLOOKUP(DATA!#REF!,DATA!#REF!,1,FALSE),"")</f>
        <v/>
      </c>
      <c r="D496" s="16" t="str">
        <f>IFERROR(VLOOKUP(C496,DATA!#REF!,2,FALSE),"")</f>
        <v/>
      </c>
    </row>
    <row r="497" spans="2:4" s="237" customFormat="1">
      <c r="B497" s="15" t="str">
        <f t="shared" si="40"/>
        <v/>
      </c>
      <c r="C497" s="16" t="str">
        <f>IFERROR(VLOOKUP(DATA!#REF!,DATA!#REF!,1,FALSE),"")</f>
        <v/>
      </c>
      <c r="D497" s="16" t="str">
        <f>IFERROR(VLOOKUP(C497,DATA!#REF!,2,FALSE),"")</f>
        <v/>
      </c>
    </row>
    <row r="498" spans="2:4" s="237" customFormat="1">
      <c r="B498" s="15" t="str">
        <f t="shared" si="40"/>
        <v/>
      </c>
      <c r="C498" s="16" t="str">
        <f>IFERROR(VLOOKUP(DATA!#REF!,DATA!#REF!,1,FALSE),"")</f>
        <v/>
      </c>
      <c r="D498" s="16" t="str">
        <f>IFERROR(VLOOKUP(C498,DATA!#REF!,2,FALSE),"")</f>
        <v/>
      </c>
    </row>
    <row r="499" spans="2:4" s="237" customFormat="1">
      <c r="B499" s="15" t="str">
        <f t="shared" si="40"/>
        <v/>
      </c>
      <c r="C499" s="16" t="str">
        <f>IFERROR(VLOOKUP(DATA!#REF!,DATA!#REF!,1,FALSE),"")</f>
        <v/>
      </c>
      <c r="D499" s="16" t="str">
        <f>IFERROR(VLOOKUP(C499,DATA!#REF!,2,FALSE),"")</f>
        <v/>
      </c>
    </row>
    <row r="500" spans="2:4" s="237" customFormat="1">
      <c r="B500" s="15" t="str">
        <f t="shared" si="40"/>
        <v/>
      </c>
      <c r="C500" s="16" t="str">
        <f>IFERROR(VLOOKUP(DATA!#REF!,DATA!#REF!,1,FALSE),"")</f>
        <v/>
      </c>
      <c r="D500" s="16" t="str">
        <f>IFERROR(VLOOKUP(C500,DATA!#REF!,2,FALSE),"")</f>
        <v/>
      </c>
    </row>
    <row r="501" spans="2:4" s="237" customFormat="1">
      <c r="B501" s="15" t="str">
        <f t="shared" si="40"/>
        <v/>
      </c>
      <c r="C501" s="16" t="str">
        <f>IFERROR(VLOOKUP(DATA!#REF!,DATA!#REF!,1,FALSE),"")</f>
        <v/>
      </c>
      <c r="D501" s="16" t="str">
        <f>IFERROR(VLOOKUP(C501,DATA!#REF!,2,FALSE),"")</f>
        <v/>
      </c>
    </row>
    <row r="502" spans="2:4" s="237" customFormat="1">
      <c r="B502" s="15" t="str">
        <f t="shared" si="40"/>
        <v/>
      </c>
      <c r="C502" s="16" t="str">
        <f>IFERROR(VLOOKUP(DATA!#REF!,DATA!#REF!,1,FALSE),"")</f>
        <v/>
      </c>
      <c r="D502" s="16" t="str">
        <f>IFERROR(VLOOKUP(C502,DATA!#REF!,2,FALSE),"")</f>
        <v/>
      </c>
    </row>
    <row r="503" spans="2:4" s="237" customFormat="1">
      <c r="B503" s="15" t="str">
        <f t="shared" si="40"/>
        <v/>
      </c>
      <c r="C503" s="16" t="str">
        <f>IFERROR(VLOOKUP(DATA!#REF!,DATA!#REF!,1,FALSE),"")</f>
        <v/>
      </c>
      <c r="D503" s="16" t="str">
        <f>IFERROR(VLOOKUP(C503,DATA!#REF!,2,FALSE),"")</f>
        <v/>
      </c>
    </row>
    <row r="504" spans="2:4" s="237" customFormat="1">
      <c r="B504" s="15" t="str">
        <f t="shared" si="40"/>
        <v/>
      </c>
      <c r="C504" s="16" t="str">
        <f>IFERROR(VLOOKUP(DATA!#REF!,DATA!#REF!,1,FALSE),"")</f>
        <v/>
      </c>
      <c r="D504" s="16" t="str">
        <f>IFERROR(VLOOKUP(C504,DATA!#REF!,2,FALSE),"")</f>
        <v/>
      </c>
    </row>
    <row r="505" spans="2:4" s="237" customFormat="1">
      <c r="B505" s="15" t="str">
        <f t="shared" si="40"/>
        <v/>
      </c>
      <c r="C505" s="16" t="str">
        <f>IFERROR(VLOOKUP(DATA!#REF!,DATA!#REF!,1,FALSE),"")</f>
        <v/>
      </c>
      <c r="D505" s="16" t="str">
        <f>IFERROR(VLOOKUP(C505,DATA!#REF!,2,FALSE),"")</f>
        <v/>
      </c>
    </row>
    <row r="506" spans="2:4" s="237" customFormat="1">
      <c r="B506" s="15" t="str">
        <f t="shared" si="40"/>
        <v/>
      </c>
      <c r="C506" s="16" t="str">
        <f>IFERROR(VLOOKUP(DATA!#REF!,DATA!#REF!,1,FALSE),"")</f>
        <v/>
      </c>
      <c r="D506" s="16" t="str">
        <f>IFERROR(VLOOKUP(C506,DATA!#REF!,2,FALSE),"")</f>
        <v/>
      </c>
    </row>
    <row r="507" spans="2:4" s="237" customFormat="1">
      <c r="B507" s="15" t="str">
        <f t="shared" si="40"/>
        <v/>
      </c>
      <c r="C507" s="16" t="str">
        <f>IFERROR(VLOOKUP(DATA!#REF!,DATA!#REF!,1,FALSE),"")</f>
        <v/>
      </c>
      <c r="D507" s="16" t="str">
        <f>IFERROR(VLOOKUP(C507,DATA!#REF!,2,FALSE),"")</f>
        <v/>
      </c>
    </row>
    <row r="508" spans="2:4" s="237" customFormat="1">
      <c r="B508" s="15" t="str">
        <f t="shared" si="40"/>
        <v/>
      </c>
      <c r="C508" s="16" t="str">
        <f>IFERROR(VLOOKUP(DATA!#REF!,DATA!#REF!,1,FALSE),"")</f>
        <v/>
      </c>
      <c r="D508" s="16" t="str">
        <f>IFERROR(VLOOKUP(C508,DATA!#REF!,2,FALSE),"")</f>
        <v/>
      </c>
    </row>
    <row r="509" spans="2:4" s="237" customFormat="1">
      <c r="B509" s="15" t="str">
        <f t="shared" si="40"/>
        <v/>
      </c>
      <c r="C509" s="16" t="str">
        <f>IFERROR(VLOOKUP(DATA!#REF!,DATA!#REF!,1,FALSE),"")</f>
        <v/>
      </c>
      <c r="D509" s="16" t="str">
        <f>IFERROR(VLOOKUP(C509,DATA!#REF!,2,FALSE),"")</f>
        <v/>
      </c>
    </row>
    <row r="510" spans="2:4" s="237" customFormat="1">
      <c r="B510" s="15" t="str">
        <f t="shared" si="40"/>
        <v/>
      </c>
      <c r="C510" s="16" t="str">
        <f>IFERROR(VLOOKUP(DATA!#REF!,DATA!#REF!,1,FALSE),"")</f>
        <v/>
      </c>
      <c r="D510" s="16" t="str">
        <f>IFERROR(VLOOKUP(C510,DATA!#REF!,2,FALSE),"")</f>
        <v/>
      </c>
    </row>
    <row r="511" spans="2:4" s="237" customFormat="1">
      <c r="B511" s="15" t="str">
        <f t="shared" si="40"/>
        <v/>
      </c>
      <c r="C511" s="16" t="str">
        <f>IFERROR(VLOOKUP(DATA!#REF!,DATA!#REF!,1,FALSE),"")</f>
        <v/>
      </c>
      <c r="D511" s="16" t="str">
        <f>IFERROR(VLOOKUP(C511,DATA!#REF!,2,FALSE),"")</f>
        <v/>
      </c>
    </row>
    <row r="512" spans="2:4" s="237" customFormat="1">
      <c r="B512" s="15" t="str">
        <f t="shared" si="40"/>
        <v/>
      </c>
      <c r="C512" s="16" t="str">
        <f>IFERROR(VLOOKUP(DATA!#REF!,DATA!#REF!,1,FALSE),"")</f>
        <v/>
      </c>
      <c r="D512" s="16" t="str">
        <f>IFERROR(VLOOKUP(C512,DATA!#REF!,2,FALSE),"")</f>
        <v/>
      </c>
    </row>
    <row r="513" spans="2:4" s="237" customFormat="1">
      <c r="B513" s="15" t="str">
        <f t="shared" si="40"/>
        <v/>
      </c>
      <c r="C513" s="16" t="str">
        <f>IFERROR(VLOOKUP(DATA!#REF!,DATA!#REF!,1,FALSE),"")</f>
        <v/>
      </c>
      <c r="D513" s="16" t="str">
        <f>IFERROR(VLOOKUP(C513,DATA!#REF!,2,FALSE),"")</f>
        <v/>
      </c>
    </row>
    <row r="514" spans="2:4" s="237" customFormat="1">
      <c r="B514" s="15" t="str">
        <f t="shared" si="40"/>
        <v/>
      </c>
      <c r="C514" s="16" t="str">
        <f>IFERROR(VLOOKUP(DATA!#REF!,DATA!#REF!,1,FALSE),"")</f>
        <v/>
      </c>
      <c r="D514" s="16" t="str">
        <f>IFERROR(VLOOKUP(C514,DATA!#REF!,2,FALSE),"")</f>
        <v/>
      </c>
    </row>
    <row r="515" spans="2:4" s="237" customFormat="1">
      <c r="B515" s="15" t="str">
        <f t="shared" si="40"/>
        <v/>
      </c>
      <c r="C515" s="16" t="str">
        <f>IFERROR(VLOOKUP(DATA!#REF!,DATA!#REF!,1,FALSE),"")</f>
        <v/>
      </c>
      <c r="D515" s="16" t="str">
        <f>IFERROR(VLOOKUP(C515,DATA!#REF!,2,FALSE),"")</f>
        <v/>
      </c>
    </row>
    <row r="516" spans="2:4" s="237" customFormat="1">
      <c r="B516" s="15" t="str">
        <f t="shared" si="40"/>
        <v/>
      </c>
      <c r="C516" s="16" t="str">
        <f>IFERROR(VLOOKUP(DATA!#REF!,DATA!#REF!,1,FALSE),"")</f>
        <v/>
      </c>
      <c r="D516" s="16" t="str">
        <f>IFERROR(VLOOKUP(C516,DATA!#REF!,2,FALSE),"")</f>
        <v/>
      </c>
    </row>
    <row r="517" spans="2:4" s="237" customFormat="1">
      <c r="B517" s="15" t="str">
        <f t="shared" si="40"/>
        <v/>
      </c>
      <c r="C517" s="16" t="str">
        <f>IFERROR(VLOOKUP(DATA!#REF!,DATA!#REF!,1,FALSE),"")</f>
        <v/>
      </c>
      <c r="D517" s="16" t="str">
        <f>IFERROR(VLOOKUP(C517,DATA!#REF!,2,FALSE),"")</f>
        <v/>
      </c>
    </row>
    <row r="518" spans="2:4" s="237" customFormat="1">
      <c r="B518" s="15" t="str">
        <f t="shared" ref="B518:B581" si="41">+IF(C518="","",ROW()-5)</f>
        <v/>
      </c>
      <c r="C518" s="16" t="str">
        <f>IFERROR(VLOOKUP(DATA!#REF!,DATA!#REF!,1,FALSE),"")</f>
        <v/>
      </c>
      <c r="D518" s="16" t="str">
        <f>IFERROR(VLOOKUP(C518,DATA!#REF!,2,FALSE),"")</f>
        <v/>
      </c>
    </row>
    <row r="519" spans="2:4" s="237" customFormat="1">
      <c r="B519" s="15" t="str">
        <f t="shared" si="41"/>
        <v/>
      </c>
      <c r="C519" s="16" t="str">
        <f>IFERROR(VLOOKUP(DATA!#REF!,DATA!#REF!,1,FALSE),"")</f>
        <v/>
      </c>
      <c r="D519" s="16" t="str">
        <f>IFERROR(VLOOKUP(C519,DATA!#REF!,2,FALSE),"")</f>
        <v/>
      </c>
    </row>
    <row r="520" spans="2:4" s="237" customFormat="1">
      <c r="B520" s="15" t="str">
        <f t="shared" si="41"/>
        <v/>
      </c>
      <c r="C520" s="16" t="str">
        <f>IFERROR(VLOOKUP(DATA!#REF!,DATA!#REF!,1,FALSE),"")</f>
        <v/>
      </c>
      <c r="D520" s="16" t="str">
        <f>IFERROR(VLOOKUP(C520,DATA!#REF!,2,FALSE),"")</f>
        <v/>
      </c>
    </row>
    <row r="521" spans="2:4" s="237" customFormat="1">
      <c r="B521" s="15" t="str">
        <f t="shared" si="41"/>
        <v/>
      </c>
      <c r="C521" s="16" t="str">
        <f>IFERROR(VLOOKUP(DATA!#REF!,DATA!#REF!,1,FALSE),"")</f>
        <v/>
      </c>
      <c r="D521" s="16" t="str">
        <f>IFERROR(VLOOKUP(C521,DATA!#REF!,2,FALSE),"")</f>
        <v/>
      </c>
    </row>
    <row r="522" spans="2:4" s="237" customFormat="1">
      <c r="B522" s="15" t="str">
        <f t="shared" si="41"/>
        <v/>
      </c>
      <c r="C522" s="16" t="str">
        <f>IFERROR(VLOOKUP(DATA!#REF!,DATA!#REF!,1,FALSE),"")</f>
        <v/>
      </c>
      <c r="D522" s="16" t="str">
        <f>IFERROR(VLOOKUP(C522,DATA!#REF!,2,FALSE),"")</f>
        <v/>
      </c>
    </row>
    <row r="523" spans="2:4" s="237" customFormat="1">
      <c r="B523" s="15" t="str">
        <f t="shared" si="41"/>
        <v/>
      </c>
      <c r="C523" s="16" t="str">
        <f>IFERROR(VLOOKUP(DATA!#REF!,DATA!#REF!,1,FALSE),"")</f>
        <v/>
      </c>
      <c r="D523" s="16" t="str">
        <f>IFERROR(VLOOKUP(C523,DATA!#REF!,2,FALSE),"")</f>
        <v/>
      </c>
    </row>
    <row r="524" spans="2:4" s="237" customFormat="1">
      <c r="B524" s="15" t="str">
        <f t="shared" si="41"/>
        <v/>
      </c>
      <c r="C524" s="16" t="str">
        <f>IFERROR(VLOOKUP(DATA!#REF!,DATA!#REF!,1,FALSE),"")</f>
        <v/>
      </c>
      <c r="D524" s="16" t="str">
        <f>IFERROR(VLOOKUP(C524,DATA!#REF!,2,FALSE),"")</f>
        <v/>
      </c>
    </row>
    <row r="525" spans="2:4" s="237" customFormat="1">
      <c r="B525" s="15" t="str">
        <f t="shared" si="41"/>
        <v/>
      </c>
      <c r="C525" s="16" t="str">
        <f>IFERROR(VLOOKUP(DATA!#REF!,DATA!#REF!,1,FALSE),"")</f>
        <v/>
      </c>
      <c r="D525" s="16" t="str">
        <f>IFERROR(VLOOKUP(C525,DATA!#REF!,2,FALSE),"")</f>
        <v/>
      </c>
    </row>
    <row r="526" spans="2:4" s="237" customFormat="1">
      <c r="B526" s="15" t="str">
        <f t="shared" si="41"/>
        <v/>
      </c>
      <c r="C526" s="16" t="str">
        <f>IFERROR(VLOOKUP(DATA!#REF!,DATA!#REF!,1,FALSE),"")</f>
        <v/>
      </c>
      <c r="D526" s="16" t="str">
        <f>IFERROR(VLOOKUP(C526,DATA!#REF!,2,FALSE),"")</f>
        <v/>
      </c>
    </row>
    <row r="527" spans="2:4" s="237" customFormat="1">
      <c r="B527" s="15" t="str">
        <f t="shared" si="41"/>
        <v/>
      </c>
      <c r="C527" s="16" t="str">
        <f>IFERROR(VLOOKUP(DATA!#REF!,DATA!#REF!,1,FALSE),"")</f>
        <v/>
      </c>
      <c r="D527" s="16" t="str">
        <f>IFERROR(VLOOKUP(C527,DATA!#REF!,2,FALSE),"")</f>
        <v/>
      </c>
    </row>
    <row r="528" spans="2:4" s="237" customFormat="1">
      <c r="B528" s="15" t="str">
        <f t="shared" si="41"/>
        <v/>
      </c>
      <c r="C528" s="16" t="str">
        <f>IFERROR(VLOOKUP(DATA!#REF!,DATA!#REF!,1,FALSE),"")</f>
        <v/>
      </c>
      <c r="D528" s="16" t="str">
        <f>IFERROR(VLOOKUP(C528,DATA!#REF!,2,FALSE),"")</f>
        <v/>
      </c>
    </row>
    <row r="529" spans="2:4" s="237" customFormat="1">
      <c r="B529" s="15" t="str">
        <f t="shared" si="41"/>
        <v/>
      </c>
      <c r="C529" s="16" t="str">
        <f>IFERROR(VLOOKUP(DATA!#REF!,DATA!#REF!,1,FALSE),"")</f>
        <v/>
      </c>
      <c r="D529" s="16" t="str">
        <f>IFERROR(VLOOKUP(C529,DATA!#REF!,2,FALSE),"")</f>
        <v/>
      </c>
    </row>
    <row r="530" spans="2:4" s="237" customFormat="1">
      <c r="B530" s="15" t="str">
        <f t="shared" si="41"/>
        <v/>
      </c>
      <c r="C530" s="16" t="str">
        <f>IFERROR(VLOOKUP(DATA!#REF!,DATA!#REF!,1,FALSE),"")</f>
        <v/>
      </c>
      <c r="D530" s="16" t="str">
        <f>IFERROR(VLOOKUP(C530,DATA!#REF!,2,FALSE),"")</f>
        <v/>
      </c>
    </row>
    <row r="531" spans="2:4" s="237" customFormat="1">
      <c r="B531" s="15" t="str">
        <f t="shared" si="41"/>
        <v/>
      </c>
      <c r="C531" s="16" t="str">
        <f>IFERROR(VLOOKUP(DATA!#REF!,DATA!#REF!,1,FALSE),"")</f>
        <v/>
      </c>
      <c r="D531" s="16" t="str">
        <f>IFERROR(VLOOKUP(C531,DATA!#REF!,2,FALSE),"")</f>
        <v/>
      </c>
    </row>
    <row r="532" spans="2:4" s="237" customFormat="1">
      <c r="B532" s="15" t="str">
        <f t="shared" si="41"/>
        <v/>
      </c>
      <c r="C532" s="16" t="str">
        <f>IFERROR(VLOOKUP(DATA!#REF!,DATA!#REF!,1,FALSE),"")</f>
        <v/>
      </c>
      <c r="D532" s="16" t="str">
        <f>IFERROR(VLOOKUP(C532,DATA!#REF!,2,FALSE),"")</f>
        <v/>
      </c>
    </row>
    <row r="533" spans="2:4" s="237" customFormat="1">
      <c r="B533" s="15" t="str">
        <f t="shared" si="41"/>
        <v/>
      </c>
      <c r="C533" s="16" t="str">
        <f>IFERROR(VLOOKUP(DATA!#REF!,DATA!#REF!,1,FALSE),"")</f>
        <v/>
      </c>
      <c r="D533" s="16" t="str">
        <f>IFERROR(VLOOKUP(C533,DATA!#REF!,2,FALSE),"")</f>
        <v/>
      </c>
    </row>
    <row r="534" spans="2:4" s="237" customFormat="1">
      <c r="B534" s="15" t="str">
        <f t="shared" si="41"/>
        <v/>
      </c>
      <c r="C534" s="16" t="str">
        <f>IFERROR(VLOOKUP(DATA!#REF!,DATA!#REF!,1,FALSE),"")</f>
        <v/>
      </c>
      <c r="D534" s="16" t="str">
        <f>IFERROR(VLOOKUP(C534,DATA!#REF!,2,FALSE),"")</f>
        <v/>
      </c>
    </row>
    <row r="535" spans="2:4" s="237" customFormat="1">
      <c r="B535" s="15" t="str">
        <f t="shared" si="41"/>
        <v/>
      </c>
      <c r="C535" s="16" t="str">
        <f>IFERROR(VLOOKUP(DATA!#REF!,DATA!#REF!,1,FALSE),"")</f>
        <v/>
      </c>
      <c r="D535" s="16" t="str">
        <f>IFERROR(VLOOKUP(C535,DATA!#REF!,2,FALSE),"")</f>
        <v/>
      </c>
    </row>
    <row r="536" spans="2:4" s="237" customFormat="1">
      <c r="B536" s="15" t="str">
        <f t="shared" si="41"/>
        <v/>
      </c>
      <c r="C536" s="16" t="str">
        <f>IFERROR(VLOOKUP(DATA!#REF!,DATA!#REF!,1,FALSE),"")</f>
        <v/>
      </c>
      <c r="D536" s="16" t="str">
        <f>IFERROR(VLOOKUP(C536,DATA!#REF!,2,FALSE),"")</f>
        <v/>
      </c>
    </row>
    <row r="537" spans="2:4" s="237" customFormat="1">
      <c r="B537" s="15" t="str">
        <f t="shared" si="41"/>
        <v/>
      </c>
      <c r="C537" s="16" t="str">
        <f>IFERROR(VLOOKUP(DATA!#REF!,DATA!#REF!,1,FALSE),"")</f>
        <v/>
      </c>
      <c r="D537" s="16" t="str">
        <f>IFERROR(VLOOKUP(C537,DATA!#REF!,2,FALSE),"")</f>
        <v/>
      </c>
    </row>
    <row r="538" spans="2:4" s="237" customFormat="1">
      <c r="B538" s="15" t="str">
        <f t="shared" si="41"/>
        <v/>
      </c>
      <c r="C538" s="16" t="str">
        <f>IFERROR(VLOOKUP(DATA!#REF!,DATA!#REF!,1,FALSE),"")</f>
        <v/>
      </c>
      <c r="D538" s="16" t="str">
        <f>IFERROR(VLOOKUP(C538,DATA!#REF!,2,FALSE),"")</f>
        <v/>
      </c>
    </row>
    <row r="539" spans="2:4" s="237" customFormat="1">
      <c r="B539" s="15" t="str">
        <f t="shared" si="41"/>
        <v/>
      </c>
      <c r="C539" s="16" t="str">
        <f>IFERROR(VLOOKUP(DATA!#REF!,DATA!#REF!,1,FALSE),"")</f>
        <v/>
      </c>
      <c r="D539" s="16" t="str">
        <f>IFERROR(VLOOKUP(C539,DATA!#REF!,2,FALSE),"")</f>
        <v/>
      </c>
    </row>
    <row r="540" spans="2:4" s="237" customFormat="1">
      <c r="B540" s="15" t="str">
        <f t="shared" si="41"/>
        <v/>
      </c>
      <c r="C540" s="16" t="str">
        <f>IFERROR(VLOOKUP(DATA!#REF!,DATA!#REF!,1,FALSE),"")</f>
        <v/>
      </c>
      <c r="D540" s="16" t="str">
        <f>IFERROR(VLOOKUP(C540,DATA!#REF!,2,FALSE),"")</f>
        <v/>
      </c>
    </row>
    <row r="541" spans="2:4" s="237" customFormat="1">
      <c r="B541" s="15" t="str">
        <f t="shared" si="41"/>
        <v/>
      </c>
      <c r="C541" s="16" t="str">
        <f>IFERROR(VLOOKUP(DATA!#REF!,DATA!#REF!,1,FALSE),"")</f>
        <v/>
      </c>
      <c r="D541" s="16" t="str">
        <f>IFERROR(VLOOKUP(C541,DATA!#REF!,2,FALSE),"")</f>
        <v/>
      </c>
    </row>
    <row r="542" spans="2:4" s="237" customFormat="1">
      <c r="B542" s="15" t="str">
        <f t="shared" si="41"/>
        <v/>
      </c>
      <c r="C542" s="16" t="str">
        <f>IFERROR(VLOOKUP(DATA!#REF!,DATA!#REF!,1,FALSE),"")</f>
        <v/>
      </c>
      <c r="D542" s="16" t="str">
        <f>IFERROR(VLOOKUP(C542,DATA!#REF!,2,FALSE),"")</f>
        <v/>
      </c>
    </row>
    <row r="543" spans="2:4" s="237" customFormat="1">
      <c r="B543" s="15" t="str">
        <f t="shared" si="41"/>
        <v/>
      </c>
      <c r="C543" s="16" t="str">
        <f>IFERROR(VLOOKUP(DATA!#REF!,DATA!#REF!,1,FALSE),"")</f>
        <v/>
      </c>
      <c r="D543" s="16" t="str">
        <f>IFERROR(VLOOKUP(C543,DATA!#REF!,2,FALSE),"")</f>
        <v/>
      </c>
    </row>
    <row r="544" spans="2:4" s="237" customFormat="1">
      <c r="B544" s="15" t="str">
        <f t="shared" si="41"/>
        <v/>
      </c>
      <c r="C544" s="16" t="str">
        <f>IFERROR(VLOOKUP(DATA!#REF!,DATA!#REF!,1,FALSE),"")</f>
        <v/>
      </c>
      <c r="D544" s="16" t="str">
        <f>IFERROR(VLOOKUP(C544,DATA!#REF!,2,FALSE),"")</f>
        <v/>
      </c>
    </row>
    <row r="545" spans="2:4" s="237" customFormat="1">
      <c r="B545" s="15" t="str">
        <f t="shared" si="41"/>
        <v/>
      </c>
      <c r="C545" s="16" t="str">
        <f>IFERROR(VLOOKUP(DATA!#REF!,DATA!#REF!,1,FALSE),"")</f>
        <v/>
      </c>
      <c r="D545" s="16" t="str">
        <f>IFERROR(VLOOKUP(C545,DATA!#REF!,2,FALSE),"")</f>
        <v/>
      </c>
    </row>
    <row r="546" spans="2:4" s="237" customFormat="1">
      <c r="B546" s="15" t="str">
        <f t="shared" si="41"/>
        <v/>
      </c>
      <c r="C546" s="16" t="str">
        <f>IFERROR(VLOOKUP(DATA!#REF!,DATA!#REF!,1,FALSE),"")</f>
        <v/>
      </c>
      <c r="D546" s="16" t="str">
        <f>IFERROR(VLOOKUP(C546,DATA!#REF!,2,FALSE),"")</f>
        <v/>
      </c>
    </row>
    <row r="547" spans="2:4" s="237" customFormat="1">
      <c r="B547" s="15" t="str">
        <f t="shared" si="41"/>
        <v/>
      </c>
      <c r="C547" s="16" t="str">
        <f>IFERROR(VLOOKUP(DATA!#REF!,DATA!#REF!,1,FALSE),"")</f>
        <v/>
      </c>
      <c r="D547" s="16" t="str">
        <f>IFERROR(VLOOKUP(C547,DATA!#REF!,2,FALSE),"")</f>
        <v/>
      </c>
    </row>
    <row r="548" spans="2:4" s="237" customFormat="1">
      <c r="B548" s="15" t="str">
        <f t="shared" si="41"/>
        <v/>
      </c>
      <c r="C548" s="16" t="str">
        <f>IFERROR(VLOOKUP(DATA!#REF!,DATA!#REF!,1,FALSE),"")</f>
        <v/>
      </c>
      <c r="D548" s="16" t="str">
        <f>IFERROR(VLOOKUP(C548,DATA!#REF!,2,FALSE),"")</f>
        <v/>
      </c>
    </row>
    <row r="549" spans="2:4" s="237" customFormat="1">
      <c r="B549" s="15" t="str">
        <f t="shared" si="41"/>
        <v/>
      </c>
      <c r="C549" s="16" t="str">
        <f>IFERROR(VLOOKUP(DATA!#REF!,DATA!#REF!,1,FALSE),"")</f>
        <v/>
      </c>
      <c r="D549" s="16" t="str">
        <f>IFERROR(VLOOKUP(C549,DATA!#REF!,2,FALSE),"")</f>
        <v/>
      </c>
    </row>
    <row r="550" spans="2:4" s="237" customFormat="1">
      <c r="B550" s="15" t="str">
        <f t="shared" si="41"/>
        <v/>
      </c>
      <c r="C550" s="16" t="str">
        <f>IFERROR(VLOOKUP(DATA!#REF!,DATA!#REF!,1,FALSE),"")</f>
        <v/>
      </c>
      <c r="D550" s="16" t="str">
        <f>IFERROR(VLOOKUP(C550,DATA!#REF!,2,FALSE),"")</f>
        <v/>
      </c>
    </row>
    <row r="551" spans="2:4" s="237" customFormat="1">
      <c r="B551" s="15" t="str">
        <f t="shared" si="41"/>
        <v/>
      </c>
      <c r="C551" s="16" t="str">
        <f>IFERROR(VLOOKUP(DATA!#REF!,DATA!#REF!,1,FALSE),"")</f>
        <v/>
      </c>
      <c r="D551" s="16" t="str">
        <f>IFERROR(VLOOKUP(C551,DATA!#REF!,2,FALSE),"")</f>
        <v/>
      </c>
    </row>
    <row r="552" spans="2:4" s="237" customFormat="1">
      <c r="B552" s="15" t="str">
        <f t="shared" si="41"/>
        <v/>
      </c>
      <c r="C552" s="16" t="str">
        <f>IFERROR(VLOOKUP(DATA!#REF!,DATA!#REF!,1,FALSE),"")</f>
        <v/>
      </c>
      <c r="D552" s="16" t="str">
        <f>IFERROR(VLOOKUP(C552,DATA!#REF!,2,FALSE),"")</f>
        <v/>
      </c>
    </row>
    <row r="553" spans="2:4" s="237" customFormat="1">
      <c r="B553" s="15" t="str">
        <f t="shared" si="41"/>
        <v/>
      </c>
      <c r="C553" s="16" t="str">
        <f>IFERROR(VLOOKUP(DATA!#REF!,DATA!#REF!,1,FALSE),"")</f>
        <v/>
      </c>
      <c r="D553" s="16" t="str">
        <f>IFERROR(VLOOKUP(C553,DATA!#REF!,2,FALSE),"")</f>
        <v/>
      </c>
    </row>
    <row r="554" spans="2:4" s="237" customFormat="1">
      <c r="B554" s="15" t="str">
        <f t="shared" si="41"/>
        <v/>
      </c>
      <c r="C554" s="16" t="str">
        <f>IFERROR(VLOOKUP(DATA!#REF!,DATA!#REF!,1,FALSE),"")</f>
        <v/>
      </c>
      <c r="D554" s="16" t="str">
        <f>IFERROR(VLOOKUP(C554,DATA!#REF!,2,FALSE),"")</f>
        <v/>
      </c>
    </row>
    <row r="555" spans="2:4" s="237" customFormat="1">
      <c r="B555" s="15" t="str">
        <f t="shared" si="41"/>
        <v/>
      </c>
      <c r="C555" s="16" t="str">
        <f>IFERROR(VLOOKUP(DATA!#REF!,DATA!#REF!,1,FALSE),"")</f>
        <v/>
      </c>
      <c r="D555" s="16" t="str">
        <f>IFERROR(VLOOKUP(C555,DATA!#REF!,2,FALSE),"")</f>
        <v/>
      </c>
    </row>
    <row r="556" spans="2:4" s="237" customFormat="1">
      <c r="B556" s="15" t="str">
        <f t="shared" si="41"/>
        <v/>
      </c>
      <c r="C556" s="16" t="str">
        <f>IFERROR(VLOOKUP(DATA!#REF!,DATA!#REF!,1,FALSE),"")</f>
        <v/>
      </c>
      <c r="D556" s="16" t="str">
        <f>IFERROR(VLOOKUP(C556,DATA!#REF!,2,FALSE),"")</f>
        <v/>
      </c>
    </row>
    <row r="557" spans="2:4" s="237" customFormat="1">
      <c r="B557" s="15" t="str">
        <f t="shared" si="41"/>
        <v/>
      </c>
      <c r="C557" s="16" t="str">
        <f>IFERROR(VLOOKUP(DATA!#REF!,DATA!#REF!,1,FALSE),"")</f>
        <v/>
      </c>
      <c r="D557" s="16" t="str">
        <f>IFERROR(VLOOKUP(C557,DATA!#REF!,2,FALSE),"")</f>
        <v/>
      </c>
    </row>
    <row r="558" spans="2:4" s="237" customFormat="1">
      <c r="B558" s="15" t="str">
        <f t="shared" si="41"/>
        <v/>
      </c>
      <c r="C558" s="16" t="str">
        <f>IFERROR(VLOOKUP(DATA!#REF!,DATA!#REF!,1,FALSE),"")</f>
        <v/>
      </c>
      <c r="D558" s="16" t="str">
        <f>IFERROR(VLOOKUP(C558,DATA!#REF!,2,FALSE),"")</f>
        <v/>
      </c>
    </row>
    <row r="559" spans="2:4" s="237" customFormat="1">
      <c r="B559" s="15" t="str">
        <f t="shared" si="41"/>
        <v/>
      </c>
      <c r="C559" s="16" t="str">
        <f>IFERROR(VLOOKUP(DATA!#REF!,DATA!#REF!,1,FALSE),"")</f>
        <v/>
      </c>
      <c r="D559" s="16" t="str">
        <f>IFERROR(VLOOKUP(C559,DATA!#REF!,2,FALSE),"")</f>
        <v/>
      </c>
    </row>
    <row r="560" spans="2:4" s="237" customFormat="1">
      <c r="B560" s="15" t="str">
        <f t="shared" si="41"/>
        <v/>
      </c>
      <c r="C560" s="16" t="str">
        <f>IFERROR(VLOOKUP(DATA!#REF!,DATA!#REF!,1,FALSE),"")</f>
        <v/>
      </c>
      <c r="D560" s="16" t="str">
        <f>IFERROR(VLOOKUP(C560,DATA!#REF!,2,FALSE),"")</f>
        <v/>
      </c>
    </row>
    <row r="561" spans="2:4" s="237" customFormat="1">
      <c r="B561" s="15" t="str">
        <f t="shared" si="41"/>
        <v/>
      </c>
      <c r="C561" s="16" t="str">
        <f>IFERROR(VLOOKUP(DATA!#REF!,DATA!#REF!,1,FALSE),"")</f>
        <v/>
      </c>
      <c r="D561" s="16" t="str">
        <f>IFERROR(VLOOKUP(C561,DATA!#REF!,2,FALSE),"")</f>
        <v/>
      </c>
    </row>
    <row r="562" spans="2:4" s="237" customFormat="1">
      <c r="B562" s="15" t="str">
        <f t="shared" si="41"/>
        <v/>
      </c>
      <c r="C562" s="16" t="str">
        <f>IFERROR(VLOOKUP(DATA!#REF!,DATA!#REF!,1,FALSE),"")</f>
        <v/>
      </c>
      <c r="D562" s="16" t="str">
        <f>IFERROR(VLOOKUP(C562,DATA!#REF!,2,FALSE),"")</f>
        <v/>
      </c>
    </row>
    <row r="563" spans="2:4" s="237" customFormat="1">
      <c r="B563" s="15" t="str">
        <f t="shared" si="41"/>
        <v/>
      </c>
      <c r="C563" s="16" t="str">
        <f>IFERROR(VLOOKUP(DATA!#REF!,DATA!#REF!,1,FALSE),"")</f>
        <v/>
      </c>
      <c r="D563" s="16" t="str">
        <f>IFERROR(VLOOKUP(C563,DATA!#REF!,2,FALSE),"")</f>
        <v/>
      </c>
    </row>
    <row r="564" spans="2:4" s="237" customFormat="1">
      <c r="B564" s="15" t="str">
        <f t="shared" si="41"/>
        <v/>
      </c>
      <c r="C564" s="16" t="str">
        <f>IFERROR(VLOOKUP(DATA!#REF!,DATA!#REF!,1,FALSE),"")</f>
        <v/>
      </c>
      <c r="D564" s="16" t="str">
        <f>IFERROR(VLOOKUP(C564,DATA!#REF!,2,FALSE),"")</f>
        <v/>
      </c>
    </row>
    <row r="565" spans="2:4" s="237" customFormat="1">
      <c r="B565" s="15" t="str">
        <f t="shared" si="41"/>
        <v/>
      </c>
      <c r="C565" s="16" t="str">
        <f>IFERROR(VLOOKUP(DATA!#REF!,DATA!#REF!,1,FALSE),"")</f>
        <v/>
      </c>
      <c r="D565" s="16" t="str">
        <f>IFERROR(VLOOKUP(C565,DATA!#REF!,2,FALSE),"")</f>
        <v/>
      </c>
    </row>
    <row r="566" spans="2:4" s="237" customFormat="1">
      <c r="B566" s="15" t="str">
        <f t="shared" si="41"/>
        <v/>
      </c>
      <c r="C566" s="16" t="str">
        <f>IFERROR(VLOOKUP(DATA!#REF!,DATA!#REF!,1,FALSE),"")</f>
        <v/>
      </c>
      <c r="D566" s="16" t="str">
        <f>IFERROR(VLOOKUP(C566,DATA!#REF!,2,FALSE),"")</f>
        <v/>
      </c>
    </row>
    <row r="567" spans="2:4" s="237" customFormat="1">
      <c r="B567" s="15" t="str">
        <f t="shared" si="41"/>
        <v/>
      </c>
      <c r="C567" s="16" t="str">
        <f>IFERROR(VLOOKUP(DATA!#REF!,DATA!#REF!,1,FALSE),"")</f>
        <v/>
      </c>
      <c r="D567" s="16" t="str">
        <f>IFERROR(VLOOKUP(C567,DATA!#REF!,2,FALSE),"")</f>
        <v/>
      </c>
    </row>
    <row r="568" spans="2:4" s="237" customFormat="1">
      <c r="B568" s="15" t="str">
        <f t="shared" si="41"/>
        <v/>
      </c>
      <c r="C568" s="16" t="str">
        <f>IFERROR(VLOOKUP(DATA!#REF!,DATA!#REF!,1,FALSE),"")</f>
        <v/>
      </c>
      <c r="D568" s="16" t="str">
        <f>IFERROR(VLOOKUP(C568,DATA!#REF!,2,FALSE),"")</f>
        <v/>
      </c>
    </row>
    <row r="569" spans="2:4" s="237" customFormat="1">
      <c r="B569" s="15" t="str">
        <f t="shared" si="41"/>
        <v/>
      </c>
      <c r="C569" s="16" t="str">
        <f>IFERROR(VLOOKUP(DATA!#REF!,DATA!#REF!,1,FALSE),"")</f>
        <v/>
      </c>
      <c r="D569" s="16" t="str">
        <f>IFERROR(VLOOKUP(C569,DATA!#REF!,2,FALSE),"")</f>
        <v/>
      </c>
    </row>
    <row r="570" spans="2:4" s="237" customFormat="1">
      <c r="B570" s="15" t="str">
        <f t="shared" si="41"/>
        <v/>
      </c>
      <c r="C570" s="16" t="str">
        <f>IFERROR(VLOOKUP(DATA!#REF!,DATA!#REF!,1,FALSE),"")</f>
        <v/>
      </c>
      <c r="D570" s="16" t="str">
        <f>IFERROR(VLOOKUP(C570,DATA!#REF!,2,FALSE),"")</f>
        <v/>
      </c>
    </row>
    <row r="571" spans="2:4" s="237" customFormat="1">
      <c r="B571" s="15" t="str">
        <f t="shared" si="41"/>
        <v/>
      </c>
      <c r="C571" s="16" t="str">
        <f>IFERROR(VLOOKUP(DATA!#REF!,DATA!#REF!,1,FALSE),"")</f>
        <v/>
      </c>
      <c r="D571" s="16" t="str">
        <f>IFERROR(VLOOKUP(C571,DATA!#REF!,2,FALSE),"")</f>
        <v/>
      </c>
    </row>
    <row r="572" spans="2:4" s="237" customFormat="1">
      <c r="B572" s="15" t="str">
        <f t="shared" si="41"/>
        <v/>
      </c>
      <c r="C572" s="16" t="str">
        <f>IFERROR(VLOOKUP(DATA!#REF!,DATA!#REF!,1,FALSE),"")</f>
        <v/>
      </c>
      <c r="D572" s="16" t="str">
        <f>IFERROR(VLOOKUP(C572,DATA!#REF!,2,FALSE),"")</f>
        <v/>
      </c>
    </row>
    <row r="573" spans="2:4" s="237" customFormat="1">
      <c r="B573" s="15" t="str">
        <f t="shared" si="41"/>
        <v/>
      </c>
      <c r="C573" s="16" t="str">
        <f>IFERROR(VLOOKUP(DATA!#REF!,DATA!#REF!,1,FALSE),"")</f>
        <v/>
      </c>
      <c r="D573" s="16" t="str">
        <f>IFERROR(VLOOKUP(C573,DATA!#REF!,2,FALSE),"")</f>
        <v/>
      </c>
    </row>
    <row r="574" spans="2:4" s="237" customFormat="1">
      <c r="B574" s="15" t="str">
        <f t="shared" si="41"/>
        <v/>
      </c>
      <c r="C574" s="16" t="str">
        <f>IFERROR(VLOOKUP(DATA!#REF!,DATA!#REF!,1,FALSE),"")</f>
        <v/>
      </c>
      <c r="D574" s="16" t="str">
        <f>IFERROR(VLOOKUP(C574,DATA!#REF!,2,FALSE),"")</f>
        <v/>
      </c>
    </row>
    <row r="575" spans="2:4" s="237" customFormat="1">
      <c r="B575" s="15" t="str">
        <f t="shared" si="41"/>
        <v/>
      </c>
      <c r="C575" s="16" t="str">
        <f>IFERROR(VLOOKUP(DATA!#REF!,DATA!#REF!,1,FALSE),"")</f>
        <v/>
      </c>
      <c r="D575" s="16" t="str">
        <f>IFERROR(VLOOKUP(C575,DATA!#REF!,2,FALSE),"")</f>
        <v/>
      </c>
    </row>
    <row r="576" spans="2:4" s="237" customFormat="1">
      <c r="B576" s="15" t="str">
        <f t="shared" si="41"/>
        <v/>
      </c>
      <c r="C576" s="16" t="str">
        <f>IFERROR(VLOOKUP(DATA!#REF!,DATA!#REF!,1,FALSE),"")</f>
        <v/>
      </c>
      <c r="D576" s="16" t="str">
        <f>IFERROR(VLOOKUP(C576,DATA!#REF!,2,FALSE),"")</f>
        <v/>
      </c>
    </row>
    <row r="577" spans="2:4" s="237" customFormat="1">
      <c r="B577" s="15" t="str">
        <f t="shared" si="41"/>
        <v/>
      </c>
      <c r="C577" s="16" t="str">
        <f>IFERROR(VLOOKUP(DATA!#REF!,DATA!#REF!,1,FALSE),"")</f>
        <v/>
      </c>
      <c r="D577" s="16" t="str">
        <f>IFERROR(VLOOKUP(C577,DATA!#REF!,2,FALSE),"")</f>
        <v/>
      </c>
    </row>
    <row r="578" spans="2:4" s="237" customFormat="1">
      <c r="B578" s="15" t="str">
        <f t="shared" si="41"/>
        <v/>
      </c>
      <c r="C578" s="16" t="str">
        <f>IFERROR(VLOOKUP(DATA!#REF!,DATA!#REF!,1,FALSE),"")</f>
        <v/>
      </c>
      <c r="D578" s="16" t="str">
        <f>IFERROR(VLOOKUP(C578,DATA!#REF!,2,FALSE),"")</f>
        <v/>
      </c>
    </row>
    <row r="579" spans="2:4" s="237" customFormat="1">
      <c r="B579" s="15" t="str">
        <f t="shared" si="41"/>
        <v/>
      </c>
      <c r="C579" s="16" t="str">
        <f>IFERROR(VLOOKUP(DATA!#REF!,DATA!#REF!,1,FALSE),"")</f>
        <v/>
      </c>
      <c r="D579" s="16" t="str">
        <f>IFERROR(VLOOKUP(C579,DATA!#REF!,2,FALSE),"")</f>
        <v/>
      </c>
    </row>
    <row r="580" spans="2:4" s="237" customFormat="1">
      <c r="B580" s="15" t="str">
        <f t="shared" si="41"/>
        <v/>
      </c>
      <c r="C580" s="16" t="str">
        <f>IFERROR(VLOOKUP(DATA!#REF!,DATA!#REF!,1,FALSE),"")</f>
        <v/>
      </c>
      <c r="D580" s="16" t="str">
        <f>IFERROR(VLOOKUP(C580,DATA!#REF!,2,FALSE),"")</f>
        <v/>
      </c>
    </row>
    <row r="581" spans="2:4" s="237" customFormat="1">
      <c r="B581" s="15" t="str">
        <f t="shared" si="41"/>
        <v/>
      </c>
      <c r="C581" s="16" t="str">
        <f>IFERROR(VLOOKUP(DATA!#REF!,DATA!#REF!,1,FALSE),"")</f>
        <v/>
      </c>
      <c r="D581" s="16" t="str">
        <f>IFERROR(VLOOKUP(C581,DATA!#REF!,2,FALSE),"")</f>
        <v/>
      </c>
    </row>
    <row r="582" spans="2:4" s="237" customFormat="1">
      <c r="B582" s="15" t="str">
        <f t="shared" ref="B582:B645" si="42">+IF(C582="","",ROW()-5)</f>
        <v/>
      </c>
      <c r="C582" s="16" t="str">
        <f>IFERROR(VLOOKUP(DATA!#REF!,DATA!#REF!,1,FALSE),"")</f>
        <v/>
      </c>
      <c r="D582" s="16" t="str">
        <f>IFERROR(VLOOKUP(C582,DATA!#REF!,2,FALSE),"")</f>
        <v/>
      </c>
    </row>
    <row r="583" spans="2:4" s="237" customFormat="1">
      <c r="B583" s="15" t="str">
        <f t="shared" si="42"/>
        <v/>
      </c>
      <c r="C583" s="16" t="str">
        <f>IFERROR(VLOOKUP(DATA!#REF!,DATA!#REF!,1,FALSE),"")</f>
        <v/>
      </c>
      <c r="D583" s="16" t="str">
        <f>IFERROR(VLOOKUP(C583,DATA!#REF!,2,FALSE),"")</f>
        <v/>
      </c>
    </row>
    <row r="584" spans="2:4" s="237" customFormat="1">
      <c r="B584" s="15" t="str">
        <f t="shared" si="42"/>
        <v/>
      </c>
      <c r="C584" s="16" t="str">
        <f>IFERROR(VLOOKUP(DATA!#REF!,DATA!#REF!,1,FALSE),"")</f>
        <v/>
      </c>
      <c r="D584" s="16" t="str">
        <f>IFERROR(VLOOKUP(C584,DATA!#REF!,2,FALSE),"")</f>
        <v/>
      </c>
    </row>
    <row r="585" spans="2:4" s="237" customFormat="1">
      <c r="B585" s="15" t="str">
        <f t="shared" si="42"/>
        <v/>
      </c>
      <c r="C585" s="16" t="str">
        <f>IFERROR(VLOOKUP(DATA!#REF!,DATA!#REF!,1,FALSE),"")</f>
        <v/>
      </c>
      <c r="D585" s="16" t="str">
        <f>IFERROR(VLOOKUP(C585,DATA!#REF!,2,FALSE),"")</f>
        <v/>
      </c>
    </row>
    <row r="586" spans="2:4" s="237" customFormat="1">
      <c r="B586" s="15" t="str">
        <f t="shared" si="42"/>
        <v/>
      </c>
      <c r="C586" s="16" t="str">
        <f>IFERROR(VLOOKUP(DATA!#REF!,DATA!#REF!,1,FALSE),"")</f>
        <v/>
      </c>
      <c r="D586" s="16" t="str">
        <f>IFERROR(VLOOKUP(C586,DATA!#REF!,2,FALSE),"")</f>
        <v/>
      </c>
    </row>
    <row r="587" spans="2:4" s="237" customFormat="1">
      <c r="B587" s="15" t="str">
        <f t="shared" si="42"/>
        <v/>
      </c>
      <c r="C587" s="16" t="str">
        <f>IFERROR(VLOOKUP(DATA!#REF!,DATA!#REF!,1,FALSE),"")</f>
        <v/>
      </c>
      <c r="D587" s="16" t="str">
        <f>IFERROR(VLOOKUP(C587,DATA!#REF!,2,FALSE),"")</f>
        <v/>
      </c>
    </row>
    <row r="588" spans="2:4" s="237" customFormat="1">
      <c r="B588" s="15" t="str">
        <f t="shared" si="42"/>
        <v/>
      </c>
      <c r="C588" s="16" t="str">
        <f>IFERROR(VLOOKUP(DATA!#REF!,DATA!#REF!,1,FALSE),"")</f>
        <v/>
      </c>
      <c r="D588" s="16" t="str">
        <f>IFERROR(VLOOKUP(C588,DATA!#REF!,2,FALSE),"")</f>
        <v/>
      </c>
    </row>
    <row r="589" spans="2:4" s="237" customFormat="1">
      <c r="B589" s="15" t="str">
        <f t="shared" si="42"/>
        <v/>
      </c>
      <c r="C589" s="16" t="str">
        <f>IFERROR(VLOOKUP(DATA!#REF!,DATA!#REF!,1,FALSE),"")</f>
        <v/>
      </c>
      <c r="D589" s="16" t="str">
        <f>IFERROR(VLOOKUP(C589,DATA!#REF!,2,FALSE),"")</f>
        <v/>
      </c>
    </row>
    <row r="590" spans="2:4" s="237" customFormat="1">
      <c r="B590" s="15" t="str">
        <f t="shared" si="42"/>
        <v/>
      </c>
      <c r="C590" s="16" t="str">
        <f>IFERROR(VLOOKUP(DATA!#REF!,DATA!#REF!,1,FALSE),"")</f>
        <v/>
      </c>
      <c r="D590" s="16" t="str">
        <f>IFERROR(VLOOKUP(C590,DATA!#REF!,2,FALSE),"")</f>
        <v/>
      </c>
    </row>
    <row r="591" spans="2:4" s="237" customFormat="1">
      <c r="B591" s="15" t="str">
        <f t="shared" si="42"/>
        <v/>
      </c>
      <c r="C591" s="16" t="str">
        <f>IFERROR(VLOOKUP(DATA!#REF!,DATA!#REF!,1,FALSE),"")</f>
        <v/>
      </c>
      <c r="D591" s="16" t="str">
        <f>IFERROR(VLOOKUP(C591,DATA!#REF!,2,FALSE),"")</f>
        <v/>
      </c>
    </row>
    <row r="592" spans="2:4" s="237" customFormat="1">
      <c r="B592" s="15" t="str">
        <f t="shared" si="42"/>
        <v/>
      </c>
      <c r="C592" s="16" t="str">
        <f>IFERROR(VLOOKUP(DATA!#REF!,DATA!#REF!,1,FALSE),"")</f>
        <v/>
      </c>
      <c r="D592" s="16" t="str">
        <f>IFERROR(VLOOKUP(C592,DATA!#REF!,2,FALSE),"")</f>
        <v/>
      </c>
    </row>
    <row r="593" spans="2:4" s="237" customFormat="1">
      <c r="B593" s="15" t="str">
        <f t="shared" si="42"/>
        <v/>
      </c>
      <c r="C593" s="16" t="str">
        <f>IFERROR(VLOOKUP(DATA!#REF!,DATA!#REF!,1,FALSE),"")</f>
        <v/>
      </c>
      <c r="D593" s="16" t="str">
        <f>IFERROR(VLOOKUP(C593,DATA!#REF!,2,FALSE),"")</f>
        <v/>
      </c>
    </row>
    <row r="594" spans="2:4" s="237" customFormat="1">
      <c r="B594" s="15" t="str">
        <f t="shared" si="42"/>
        <v/>
      </c>
      <c r="C594" s="16" t="str">
        <f>IFERROR(VLOOKUP(DATA!#REF!,DATA!#REF!,1,FALSE),"")</f>
        <v/>
      </c>
      <c r="D594" s="16" t="str">
        <f>IFERROR(VLOOKUP(C594,DATA!#REF!,2,FALSE),"")</f>
        <v/>
      </c>
    </row>
    <row r="595" spans="2:4" s="237" customFormat="1">
      <c r="B595" s="15" t="str">
        <f t="shared" si="42"/>
        <v/>
      </c>
      <c r="C595" s="16" t="str">
        <f>IFERROR(VLOOKUP(DATA!#REF!,DATA!#REF!,1,FALSE),"")</f>
        <v/>
      </c>
      <c r="D595" s="16" t="str">
        <f>IFERROR(VLOOKUP(C595,DATA!#REF!,2,FALSE),"")</f>
        <v/>
      </c>
    </row>
    <row r="596" spans="2:4" s="237" customFormat="1">
      <c r="B596" s="15" t="str">
        <f t="shared" si="42"/>
        <v/>
      </c>
      <c r="C596" s="16" t="str">
        <f>IFERROR(VLOOKUP(DATA!#REF!,DATA!#REF!,1,FALSE),"")</f>
        <v/>
      </c>
      <c r="D596" s="16" t="str">
        <f>IFERROR(VLOOKUP(C596,DATA!#REF!,2,FALSE),"")</f>
        <v/>
      </c>
    </row>
    <row r="597" spans="2:4" s="237" customFormat="1">
      <c r="B597" s="15" t="str">
        <f t="shared" si="42"/>
        <v/>
      </c>
      <c r="C597" s="16" t="str">
        <f>IFERROR(VLOOKUP(DATA!#REF!,DATA!#REF!,1,FALSE),"")</f>
        <v/>
      </c>
      <c r="D597" s="16" t="str">
        <f>IFERROR(VLOOKUP(C597,DATA!#REF!,2,FALSE),"")</f>
        <v/>
      </c>
    </row>
    <row r="598" spans="2:4" s="237" customFormat="1">
      <c r="B598" s="15" t="str">
        <f t="shared" si="42"/>
        <v/>
      </c>
      <c r="C598" s="16" t="str">
        <f>IFERROR(VLOOKUP(DATA!#REF!,DATA!#REF!,1,FALSE),"")</f>
        <v/>
      </c>
      <c r="D598" s="16" t="str">
        <f>IFERROR(VLOOKUP(C598,DATA!#REF!,2,FALSE),"")</f>
        <v/>
      </c>
    </row>
    <row r="599" spans="2:4" s="237" customFormat="1">
      <c r="B599" s="15" t="str">
        <f t="shared" si="42"/>
        <v/>
      </c>
      <c r="C599" s="16" t="str">
        <f>IFERROR(VLOOKUP(DATA!#REF!,DATA!#REF!,1,FALSE),"")</f>
        <v/>
      </c>
      <c r="D599" s="16" t="str">
        <f>IFERROR(VLOOKUP(C599,DATA!#REF!,2,FALSE),"")</f>
        <v/>
      </c>
    </row>
    <row r="600" spans="2:4" s="237" customFormat="1">
      <c r="B600" s="15" t="str">
        <f t="shared" si="42"/>
        <v/>
      </c>
      <c r="C600" s="16" t="str">
        <f>IFERROR(VLOOKUP(DATA!#REF!,DATA!#REF!,1,FALSE),"")</f>
        <v/>
      </c>
      <c r="D600" s="16" t="str">
        <f>IFERROR(VLOOKUP(C600,DATA!#REF!,2,FALSE),"")</f>
        <v/>
      </c>
    </row>
    <row r="601" spans="2:4" s="237" customFormat="1">
      <c r="B601" s="15" t="str">
        <f t="shared" si="42"/>
        <v/>
      </c>
      <c r="C601" s="16" t="str">
        <f>IFERROR(VLOOKUP(DATA!#REF!,DATA!#REF!,1,FALSE),"")</f>
        <v/>
      </c>
      <c r="D601" s="16" t="str">
        <f>IFERROR(VLOOKUP(C601,DATA!#REF!,2,FALSE),"")</f>
        <v/>
      </c>
    </row>
    <row r="602" spans="2:4" s="237" customFormat="1">
      <c r="B602" s="15" t="str">
        <f t="shared" si="42"/>
        <v/>
      </c>
      <c r="C602" s="16" t="str">
        <f>IFERROR(VLOOKUP(DATA!#REF!,DATA!#REF!,1,FALSE),"")</f>
        <v/>
      </c>
      <c r="D602" s="16" t="str">
        <f>IFERROR(VLOOKUP(C602,DATA!#REF!,2,FALSE),"")</f>
        <v/>
      </c>
    </row>
    <row r="603" spans="2:4" s="237" customFormat="1">
      <c r="B603" s="15" t="str">
        <f t="shared" si="42"/>
        <v/>
      </c>
      <c r="C603" s="16" t="str">
        <f>IFERROR(VLOOKUP(DATA!#REF!,DATA!#REF!,1,FALSE),"")</f>
        <v/>
      </c>
      <c r="D603" s="16" t="str">
        <f>IFERROR(VLOOKUP(C603,DATA!#REF!,2,FALSE),"")</f>
        <v/>
      </c>
    </row>
    <row r="604" spans="2:4" s="237" customFormat="1">
      <c r="B604" s="15" t="str">
        <f t="shared" si="42"/>
        <v/>
      </c>
      <c r="C604" s="16" t="str">
        <f>IFERROR(VLOOKUP(DATA!#REF!,DATA!#REF!,1,FALSE),"")</f>
        <v/>
      </c>
      <c r="D604" s="16" t="str">
        <f>IFERROR(VLOOKUP(C604,DATA!#REF!,2,FALSE),"")</f>
        <v/>
      </c>
    </row>
    <row r="605" spans="2:4" s="237" customFormat="1">
      <c r="B605" s="15" t="str">
        <f t="shared" si="42"/>
        <v/>
      </c>
      <c r="C605" s="16" t="str">
        <f>IFERROR(VLOOKUP(DATA!#REF!,DATA!#REF!,1,FALSE),"")</f>
        <v/>
      </c>
      <c r="D605" s="16" t="str">
        <f>IFERROR(VLOOKUP(C605,DATA!#REF!,2,FALSE),"")</f>
        <v/>
      </c>
    </row>
    <row r="606" spans="2:4" s="237" customFormat="1">
      <c r="B606" s="15" t="str">
        <f t="shared" si="42"/>
        <v/>
      </c>
      <c r="C606" s="16" t="str">
        <f>IFERROR(VLOOKUP(DATA!#REF!,DATA!#REF!,1,FALSE),"")</f>
        <v/>
      </c>
      <c r="D606" s="16" t="str">
        <f>IFERROR(VLOOKUP(C606,DATA!#REF!,2,FALSE),"")</f>
        <v/>
      </c>
    </row>
    <row r="607" spans="2:4" s="237" customFormat="1">
      <c r="B607" s="15" t="str">
        <f t="shared" si="42"/>
        <v/>
      </c>
      <c r="C607" s="16" t="str">
        <f>IFERROR(VLOOKUP(DATA!#REF!,DATA!#REF!,1,FALSE),"")</f>
        <v/>
      </c>
      <c r="D607" s="16" t="str">
        <f>IFERROR(VLOOKUP(C607,DATA!#REF!,2,FALSE),"")</f>
        <v/>
      </c>
    </row>
    <row r="608" spans="2:4" s="237" customFormat="1">
      <c r="B608" s="15" t="str">
        <f t="shared" si="42"/>
        <v/>
      </c>
      <c r="C608" s="16" t="str">
        <f>IFERROR(VLOOKUP(DATA!#REF!,DATA!#REF!,1,FALSE),"")</f>
        <v/>
      </c>
      <c r="D608" s="16" t="str">
        <f>IFERROR(VLOOKUP(C608,DATA!#REF!,2,FALSE),"")</f>
        <v/>
      </c>
    </row>
    <row r="609" spans="2:4" s="237" customFormat="1">
      <c r="B609" s="15" t="str">
        <f t="shared" si="42"/>
        <v/>
      </c>
      <c r="C609" s="16" t="str">
        <f>IFERROR(VLOOKUP(DATA!#REF!,DATA!#REF!,1,FALSE),"")</f>
        <v/>
      </c>
      <c r="D609" s="16" t="str">
        <f>IFERROR(VLOOKUP(C609,DATA!#REF!,2,FALSE),"")</f>
        <v/>
      </c>
    </row>
    <row r="610" spans="2:4" s="237" customFormat="1">
      <c r="B610" s="15" t="str">
        <f t="shared" si="42"/>
        <v/>
      </c>
      <c r="C610" s="16" t="str">
        <f>IFERROR(VLOOKUP(DATA!#REF!,DATA!#REF!,1,FALSE),"")</f>
        <v/>
      </c>
      <c r="D610" s="16" t="str">
        <f>IFERROR(VLOOKUP(C610,DATA!#REF!,2,FALSE),"")</f>
        <v/>
      </c>
    </row>
    <row r="611" spans="2:4" s="237" customFormat="1">
      <c r="B611" s="15" t="str">
        <f t="shared" si="42"/>
        <v/>
      </c>
      <c r="C611" s="16" t="str">
        <f>IFERROR(VLOOKUP(DATA!#REF!,DATA!#REF!,1,FALSE),"")</f>
        <v/>
      </c>
      <c r="D611" s="16" t="str">
        <f>IFERROR(VLOOKUP(C611,DATA!#REF!,2,FALSE),"")</f>
        <v/>
      </c>
    </row>
    <row r="612" spans="2:4" s="237" customFormat="1">
      <c r="B612" s="15" t="str">
        <f t="shared" si="42"/>
        <v/>
      </c>
      <c r="C612" s="16" t="str">
        <f>IFERROR(VLOOKUP(DATA!#REF!,DATA!#REF!,1,FALSE),"")</f>
        <v/>
      </c>
      <c r="D612" s="16" t="str">
        <f>IFERROR(VLOOKUP(C612,DATA!#REF!,2,FALSE),"")</f>
        <v/>
      </c>
    </row>
    <row r="613" spans="2:4" s="237" customFormat="1">
      <c r="B613" s="15" t="str">
        <f t="shared" si="42"/>
        <v/>
      </c>
      <c r="C613" s="16" t="str">
        <f>IFERROR(VLOOKUP(DATA!#REF!,DATA!#REF!,1,FALSE),"")</f>
        <v/>
      </c>
      <c r="D613" s="16" t="str">
        <f>IFERROR(VLOOKUP(C613,DATA!#REF!,2,FALSE),"")</f>
        <v/>
      </c>
    </row>
    <row r="614" spans="2:4" s="237" customFormat="1">
      <c r="B614" s="15" t="str">
        <f t="shared" si="42"/>
        <v/>
      </c>
      <c r="C614" s="16" t="str">
        <f>IFERROR(VLOOKUP(DATA!#REF!,DATA!#REF!,1,FALSE),"")</f>
        <v/>
      </c>
      <c r="D614" s="16" t="str">
        <f>IFERROR(VLOOKUP(C614,DATA!#REF!,2,FALSE),"")</f>
        <v/>
      </c>
    </row>
    <row r="615" spans="2:4" s="237" customFormat="1">
      <c r="B615" s="15" t="str">
        <f t="shared" si="42"/>
        <v/>
      </c>
      <c r="C615" s="16" t="str">
        <f>IFERROR(VLOOKUP(DATA!#REF!,DATA!#REF!,1,FALSE),"")</f>
        <v/>
      </c>
      <c r="D615" s="16" t="str">
        <f>IFERROR(VLOOKUP(C615,DATA!#REF!,2,FALSE),"")</f>
        <v/>
      </c>
    </row>
    <row r="616" spans="2:4" s="237" customFormat="1">
      <c r="B616" s="15" t="str">
        <f t="shared" si="42"/>
        <v/>
      </c>
      <c r="C616" s="16" t="str">
        <f>IFERROR(VLOOKUP(DATA!#REF!,DATA!#REF!,1,FALSE),"")</f>
        <v/>
      </c>
      <c r="D616" s="16" t="str">
        <f>IFERROR(VLOOKUP(C616,DATA!#REF!,2,FALSE),"")</f>
        <v/>
      </c>
    </row>
    <row r="617" spans="2:4" s="237" customFormat="1">
      <c r="B617" s="15" t="str">
        <f t="shared" si="42"/>
        <v/>
      </c>
      <c r="C617" s="16" t="str">
        <f>IFERROR(VLOOKUP(DATA!#REF!,DATA!#REF!,1,FALSE),"")</f>
        <v/>
      </c>
      <c r="D617" s="16" t="str">
        <f>IFERROR(VLOOKUP(C617,DATA!#REF!,2,FALSE),"")</f>
        <v/>
      </c>
    </row>
    <row r="618" spans="2:4" s="237" customFormat="1">
      <c r="B618" s="15" t="str">
        <f t="shared" si="42"/>
        <v/>
      </c>
      <c r="C618" s="16" t="str">
        <f>IFERROR(VLOOKUP(DATA!#REF!,DATA!#REF!,1,FALSE),"")</f>
        <v/>
      </c>
      <c r="D618" s="16" t="str">
        <f>IFERROR(VLOOKUP(C618,DATA!#REF!,2,FALSE),"")</f>
        <v/>
      </c>
    </row>
    <row r="619" spans="2:4" s="237" customFormat="1">
      <c r="B619" s="15" t="str">
        <f t="shared" si="42"/>
        <v/>
      </c>
      <c r="C619" s="16" t="str">
        <f>IFERROR(VLOOKUP(DATA!#REF!,DATA!#REF!,1,FALSE),"")</f>
        <v/>
      </c>
      <c r="D619" s="16" t="str">
        <f>IFERROR(VLOOKUP(C619,DATA!#REF!,2,FALSE),"")</f>
        <v/>
      </c>
    </row>
    <row r="620" spans="2:4" s="237" customFormat="1">
      <c r="B620" s="15" t="str">
        <f t="shared" si="42"/>
        <v/>
      </c>
      <c r="C620" s="16" t="str">
        <f>IFERROR(VLOOKUP(DATA!#REF!,DATA!#REF!,1,FALSE),"")</f>
        <v/>
      </c>
      <c r="D620" s="16" t="str">
        <f>IFERROR(VLOOKUP(C620,DATA!#REF!,2,FALSE),"")</f>
        <v/>
      </c>
    </row>
    <row r="621" spans="2:4" s="237" customFormat="1">
      <c r="B621" s="15" t="str">
        <f t="shared" si="42"/>
        <v/>
      </c>
      <c r="C621" s="16" t="str">
        <f>IFERROR(VLOOKUP(DATA!#REF!,DATA!#REF!,1,FALSE),"")</f>
        <v/>
      </c>
      <c r="D621" s="16" t="str">
        <f>IFERROR(VLOOKUP(C621,DATA!#REF!,2,FALSE),"")</f>
        <v/>
      </c>
    </row>
    <row r="622" spans="2:4" s="237" customFormat="1">
      <c r="B622" s="15" t="str">
        <f t="shared" si="42"/>
        <v/>
      </c>
      <c r="C622" s="16" t="str">
        <f>IFERROR(VLOOKUP(DATA!#REF!,DATA!#REF!,1,FALSE),"")</f>
        <v/>
      </c>
      <c r="D622" s="16" t="str">
        <f>IFERROR(VLOOKUP(C622,DATA!#REF!,2,FALSE),"")</f>
        <v/>
      </c>
    </row>
    <row r="623" spans="2:4" s="237" customFormat="1">
      <c r="B623" s="15" t="str">
        <f t="shared" si="42"/>
        <v/>
      </c>
      <c r="C623" s="16" t="str">
        <f>IFERROR(VLOOKUP(DATA!#REF!,DATA!#REF!,1,FALSE),"")</f>
        <v/>
      </c>
      <c r="D623" s="16" t="str">
        <f>IFERROR(VLOOKUP(C623,DATA!#REF!,2,FALSE),"")</f>
        <v/>
      </c>
    </row>
    <row r="624" spans="2:4" s="237" customFormat="1">
      <c r="B624" s="15" t="str">
        <f t="shared" si="42"/>
        <v/>
      </c>
      <c r="C624" s="16" t="str">
        <f>IFERROR(VLOOKUP(DATA!#REF!,DATA!#REF!,1,FALSE),"")</f>
        <v/>
      </c>
      <c r="D624" s="16" t="str">
        <f>IFERROR(VLOOKUP(C624,DATA!#REF!,2,FALSE),"")</f>
        <v/>
      </c>
    </row>
    <row r="625" spans="2:4" s="237" customFormat="1">
      <c r="B625" s="15" t="str">
        <f t="shared" si="42"/>
        <v/>
      </c>
      <c r="C625" s="16" t="str">
        <f>IFERROR(VLOOKUP(DATA!#REF!,DATA!#REF!,1,FALSE),"")</f>
        <v/>
      </c>
      <c r="D625" s="16" t="str">
        <f>IFERROR(VLOOKUP(C625,DATA!#REF!,2,FALSE),"")</f>
        <v/>
      </c>
    </row>
    <row r="626" spans="2:4" s="237" customFormat="1">
      <c r="B626" s="15" t="str">
        <f t="shared" si="42"/>
        <v/>
      </c>
      <c r="C626" s="16" t="str">
        <f>IFERROR(VLOOKUP(DATA!#REF!,DATA!#REF!,1,FALSE),"")</f>
        <v/>
      </c>
      <c r="D626" s="16" t="str">
        <f>IFERROR(VLOOKUP(C626,DATA!#REF!,2,FALSE),"")</f>
        <v/>
      </c>
    </row>
    <row r="627" spans="2:4" s="237" customFormat="1">
      <c r="B627" s="15" t="str">
        <f t="shared" si="42"/>
        <v/>
      </c>
      <c r="C627" s="16" t="str">
        <f>IFERROR(VLOOKUP(DATA!#REF!,DATA!#REF!,1,FALSE),"")</f>
        <v/>
      </c>
      <c r="D627" s="16" t="str">
        <f>IFERROR(VLOOKUP(C627,DATA!#REF!,2,FALSE),"")</f>
        <v/>
      </c>
    </row>
    <row r="628" spans="2:4" s="237" customFormat="1">
      <c r="B628" s="15" t="str">
        <f t="shared" si="42"/>
        <v/>
      </c>
      <c r="C628" s="16" t="str">
        <f>IFERROR(VLOOKUP(DATA!#REF!,DATA!#REF!,1,FALSE),"")</f>
        <v/>
      </c>
      <c r="D628" s="16" t="str">
        <f>IFERROR(VLOOKUP(C628,DATA!#REF!,2,FALSE),"")</f>
        <v/>
      </c>
    </row>
    <row r="629" spans="2:4" s="237" customFormat="1">
      <c r="B629" s="15" t="str">
        <f t="shared" si="42"/>
        <v/>
      </c>
      <c r="C629" s="16" t="str">
        <f>IFERROR(VLOOKUP(DATA!#REF!,DATA!#REF!,1,FALSE),"")</f>
        <v/>
      </c>
      <c r="D629" s="16" t="str">
        <f>IFERROR(VLOOKUP(C629,DATA!#REF!,2,FALSE),"")</f>
        <v/>
      </c>
    </row>
    <row r="630" spans="2:4" s="237" customFormat="1">
      <c r="B630" s="15" t="str">
        <f t="shared" si="42"/>
        <v/>
      </c>
      <c r="C630" s="16" t="str">
        <f>IFERROR(VLOOKUP(DATA!#REF!,DATA!#REF!,1,FALSE),"")</f>
        <v/>
      </c>
      <c r="D630" s="16" t="str">
        <f>IFERROR(VLOOKUP(C630,DATA!#REF!,2,FALSE),"")</f>
        <v/>
      </c>
    </row>
    <row r="631" spans="2:4" s="237" customFormat="1">
      <c r="B631" s="15" t="str">
        <f t="shared" si="42"/>
        <v/>
      </c>
      <c r="C631" s="16" t="str">
        <f>IFERROR(VLOOKUP(DATA!#REF!,DATA!#REF!,1,FALSE),"")</f>
        <v/>
      </c>
      <c r="D631" s="16" t="str">
        <f>IFERROR(VLOOKUP(C631,DATA!#REF!,2,FALSE),"")</f>
        <v/>
      </c>
    </row>
    <row r="632" spans="2:4" s="237" customFormat="1">
      <c r="B632" s="15" t="str">
        <f t="shared" si="42"/>
        <v/>
      </c>
      <c r="C632" s="16" t="str">
        <f>IFERROR(VLOOKUP(DATA!#REF!,DATA!#REF!,1,FALSE),"")</f>
        <v/>
      </c>
      <c r="D632" s="16" t="str">
        <f>IFERROR(VLOOKUP(C632,DATA!#REF!,2,FALSE),"")</f>
        <v/>
      </c>
    </row>
    <row r="633" spans="2:4" s="237" customFormat="1">
      <c r="B633" s="15" t="str">
        <f t="shared" si="42"/>
        <v/>
      </c>
      <c r="C633" s="16" t="str">
        <f>IFERROR(VLOOKUP(DATA!#REF!,DATA!#REF!,1,FALSE),"")</f>
        <v/>
      </c>
      <c r="D633" s="16" t="str">
        <f>IFERROR(VLOOKUP(C633,DATA!#REF!,2,FALSE),"")</f>
        <v/>
      </c>
    </row>
    <row r="634" spans="2:4" s="237" customFormat="1">
      <c r="B634" s="15" t="str">
        <f t="shared" si="42"/>
        <v/>
      </c>
      <c r="C634" s="16" t="str">
        <f>IFERROR(VLOOKUP(DATA!#REF!,DATA!#REF!,1,FALSE),"")</f>
        <v/>
      </c>
      <c r="D634" s="16" t="str">
        <f>IFERROR(VLOOKUP(C634,DATA!#REF!,2,FALSE),"")</f>
        <v/>
      </c>
    </row>
    <row r="635" spans="2:4" s="237" customFormat="1">
      <c r="B635" s="15" t="str">
        <f t="shared" si="42"/>
        <v/>
      </c>
      <c r="C635" s="16" t="str">
        <f>IFERROR(VLOOKUP(DATA!#REF!,DATA!#REF!,1,FALSE),"")</f>
        <v/>
      </c>
      <c r="D635" s="16" t="str">
        <f>IFERROR(VLOOKUP(C635,DATA!#REF!,2,FALSE),"")</f>
        <v/>
      </c>
    </row>
    <row r="636" spans="2:4" s="237" customFormat="1">
      <c r="B636" s="15" t="str">
        <f t="shared" si="42"/>
        <v/>
      </c>
      <c r="C636" s="16" t="str">
        <f>IFERROR(VLOOKUP(DATA!#REF!,DATA!#REF!,1,FALSE),"")</f>
        <v/>
      </c>
      <c r="D636" s="16" t="str">
        <f>IFERROR(VLOOKUP(C636,DATA!#REF!,2,FALSE),"")</f>
        <v/>
      </c>
    </row>
    <row r="637" spans="2:4" s="237" customFormat="1">
      <c r="B637" s="15" t="str">
        <f t="shared" si="42"/>
        <v/>
      </c>
      <c r="C637" s="16" t="str">
        <f>IFERROR(VLOOKUP(DATA!#REF!,DATA!#REF!,1,FALSE),"")</f>
        <v/>
      </c>
      <c r="D637" s="16" t="str">
        <f>IFERROR(VLOOKUP(C637,DATA!#REF!,2,FALSE),"")</f>
        <v/>
      </c>
    </row>
    <row r="638" spans="2:4" s="237" customFormat="1">
      <c r="B638" s="15" t="str">
        <f t="shared" si="42"/>
        <v/>
      </c>
      <c r="C638" s="16" t="str">
        <f>IFERROR(VLOOKUP(DATA!#REF!,DATA!#REF!,1,FALSE),"")</f>
        <v/>
      </c>
      <c r="D638" s="16" t="str">
        <f>IFERROR(VLOOKUP(C638,DATA!#REF!,2,FALSE),"")</f>
        <v/>
      </c>
    </row>
    <row r="639" spans="2:4" s="237" customFormat="1">
      <c r="B639" s="15" t="str">
        <f t="shared" si="42"/>
        <v/>
      </c>
      <c r="C639" s="16" t="str">
        <f>IFERROR(VLOOKUP(DATA!#REF!,DATA!#REF!,1,FALSE),"")</f>
        <v/>
      </c>
      <c r="D639" s="16" t="str">
        <f>IFERROR(VLOOKUP(C639,DATA!#REF!,2,FALSE),"")</f>
        <v/>
      </c>
    </row>
    <row r="640" spans="2:4" s="237" customFormat="1">
      <c r="B640" s="15" t="str">
        <f t="shared" si="42"/>
        <v/>
      </c>
      <c r="C640" s="16" t="str">
        <f>IFERROR(VLOOKUP(DATA!#REF!,DATA!#REF!,1,FALSE),"")</f>
        <v/>
      </c>
      <c r="D640" s="16" t="str">
        <f>IFERROR(VLOOKUP(C640,DATA!#REF!,2,FALSE),"")</f>
        <v/>
      </c>
    </row>
    <row r="641" spans="2:4" s="237" customFormat="1">
      <c r="B641" s="15" t="str">
        <f t="shared" si="42"/>
        <v/>
      </c>
      <c r="C641" s="16" t="str">
        <f>IFERROR(VLOOKUP(DATA!#REF!,DATA!#REF!,1,FALSE),"")</f>
        <v/>
      </c>
      <c r="D641" s="16" t="str">
        <f>IFERROR(VLOOKUP(C641,DATA!#REF!,2,FALSE),"")</f>
        <v/>
      </c>
    </row>
    <row r="642" spans="2:4" s="237" customFormat="1">
      <c r="B642" s="15" t="str">
        <f t="shared" si="42"/>
        <v/>
      </c>
      <c r="C642" s="16" t="str">
        <f>IFERROR(VLOOKUP(DATA!#REF!,DATA!#REF!,1,FALSE),"")</f>
        <v/>
      </c>
      <c r="D642" s="16" t="str">
        <f>IFERROR(VLOOKUP(C642,DATA!#REF!,2,FALSE),"")</f>
        <v/>
      </c>
    </row>
    <row r="643" spans="2:4" s="237" customFormat="1">
      <c r="B643" s="15" t="str">
        <f t="shared" si="42"/>
        <v/>
      </c>
      <c r="C643" s="16" t="str">
        <f>IFERROR(VLOOKUP(DATA!#REF!,DATA!#REF!,1,FALSE),"")</f>
        <v/>
      </c>
      <c r="D643" s="16" t="str">
        <f>IFERROR(VLOOKUP(C643,DATA!#REF!,2,FALSE),"")</f>
        <v/>
      </c>
    </row>
    <row r="644" spans="2:4" s="237" customFormat="1">
      <c r="B644" s="15" t="str">
        <f t="shared" si="42"/>
        <v/>
      </c>
      <c r="C644" s="16" t="str">
        <f>IFERROR(VLOOKUP(DATA!#REF!,DATA!#REF!,1,FALSE),"")</f>
        <v/>
      </c>
      <c r="D644" s="16" t="str">
        <f>IFERROR(VLOOKUP(C644,DATA!#REF!,2,FALSE),"")</f>
        <v/>
      </c>
    </row>
    <row r="645" spans="2:4" s="237" customFormat="1">
      <c r="B645" s="15" t="str">
        <f t="shared" si="42"/>
        <v/>
      </c>
      <c r="C645" s="16" t="str">
        <f>IFERROR(VLOOKUP(DATA!#REF!,DATA!#REF!,1,FALSE),"")</f>
        <v/>
      </c>
      <c r="D645" s="16" t="str">
        <f>IFERROR(VLOOKUP(C645,DATA!#REF!,2,FALSE),"")</f>
        <v/>
      </c>
    </row>
    <row r="646" spans="2:4" s="237" customFormat="1">
      <c r="B646" s="15" t="str">
        <f t="shared" ref="B646:B709" si="43">+IF(C646="","",ROW()-5)</f>
        <v/>
      </c>
      <c r="C646" s="16" t="str">
        <f>IFERROR(VLOOKUP(DATA!#REF!,DATA!#REF!,1,FALSE),"")</f>
        <v/>
      </c>
      <c r="D646" s="16" t="str">
        <f>IFERROR(VLOOKUP(C646,DATA!#REF!,2,FALSE),"")</f>
        <v/>
      </c>
    </row>
    <row r="647" spans="2:4" s="237" customFormat="1">
      <c r="B647" s="15" t="str">
        <f t="shared" si="43"/>
        <v/>
      </c>
      <c r="C647" s="16" t="str">
        <f>IFERROR(VLOOKUP(DATA!#REF!,DATA!#REF!,1,FALSE),"")</f>
        <v/>
      </c>
      <c r="D647" s="16" t="str">
        <f>IFERROR(VLOOKUP(C647,DATA!#REF!,2,FALSE),"")</f>
        <v/>
      </c>
    </row>
    <row r="648" spans="2:4" s="237" customFormat="1">
      <c r="B648" s="15" t="str">
        <f t="shared" si="43"/>
        <v/>
      </c>
      <c r="C648" s="16" t="str">
        <f>IFERROR(VLOOKUP(DATA!#REF!,DATA!#REF!,1,FALSE),"")</f>
        <v/>
      </c>
      <c r="D648" s="16" t="str">
        <f>IFERROR(VLOOKUP(C648,DATA!#REF!,2,FALSE),"")</f>
        <v/>
      </c>
    </row>
    <row r="649" spans="2:4" s="237" customFormat="1">
      <c r="B649" s="15" t="str">
        <f t="shared" si="43"/>
        <v/>
      </c>
      <c r="C649" s="16" t="str">
        <f>IFERROR(VLOOKUP(DATA!#REF!,DATA!#REF!,1,FALSE),"")</f>
        <v/>
      </c>
      <c r="D649" s="16" t="str">
        <f>IFERROR(VLOOKUP(C649,DATA!#REF!,2,FALSE),"")</f>
        <v/>
      </c>
    </row>
    <row r="650" spans="2:4" s="237" customFormat="1">
      <c r="B650" s="15" t="str">
        <f t="shared" si="43"/>
        <v/>
      </c>
      <c r="C650" s="16" t="str">
        <f>IFERROR(VLOOKUP(DATA!#REF!,DATA!#REF!,1,FALSE),"")</f>
        <v/>
      </c>
      <c r="D650" s="16" t="str">
        <f>IFERROR(VLOOKUP(C650,DATA!#REF!,2,FALSE),"")</f>
        <v/>
      </c>
    </row>
    <row r="651" spans="2:4" s="237" customFormat="1">
      <c r="B651" s="15" t="str">
        <f t="shared" si="43"/>
        <v/>
      </c>
      <c r="C651" s="16" t="str">
        <f>IFERROR(VLOOKUP(DATA!#REF!,DATA!#REF!,1,FALSE),"")</f>
        <v/>
      </c>
      <c r="D651" s="16" t="str">
        <f>IFERROR(VLOOKUP(C651,DATA!#REF!,2,FALSE),"")</f>
        <v/>
      </c>
    </row>
    <row r="652" spans="2:4" s="237" customFormat="1">
      <c r="B652" s="15" t="str">
        <f t="shared" si="43"/>
        <v/>
      </c>
      <c r="C652" s="16" t="str">
        <f>IFERROR(VLOOKUP(DATA!#REF!,DATA!#REF!,1,FALSE),"")</f>
        <v/>
      </c>
      <c r="D652" s="16" t="str">
        <f>IFERROR(VLOOKUP(C652,DATA!#REF!,2,FALSE),"")</f>
        <v/>
      </c>
    </row>
    <row r="653" spans="2:4" s="237" customFormat="1">
      <c r="B653" s="15" t="str">
        <f t="shared" si="43"/>
        <v/>
      </c>
      <c r="C653" s="16" t="str">
        <f>IFERROR(VLOOKUP(DATA!#REF!,DATA!#REF!,1,FALSE),"")</f>
        <v/>
      </c>
      <c r="D653" s="16" t="str">
        <f>IFERROR(VLOOKUP(C653,DATA!#REF!,2,FALSE),"")</f>
        <v/>
      </c>
    </row>
    <row r="654" spans="2:4" s="237" customFormat="1">
      <c r="B654" s="15" t="str">
        <f t="shared" si="43"/>
        <v/>
      </c>
      <c r="C654" s="16" t="str">
        <f>IFERROR(VLOOKUP(DATA!#REF!,DATA!#REF!,1,FALSE),"")</f>
        <v/>
      </c>
      <c r="D654" s="16" t="str">
        <f>IFERROR(VLOOKUP(C654,DATA!#REF!,2,FALSE),"")</f>
        <v/>
      </c>
    </row>
    <row r="655" spans="2:4" s="237" customFormat="1">
      <c r="B655" s="15" t="str">
        <f t="shared" si="43"/>
        <v/>
      </c>
      <c r="C655" s="16" t="str">
        <f>IFERROR(VLOOKUP(DATA!#REF!,DATA!#REF!,1,FALSE),"")</f>
        <v/>
      </c>
      <c r="D655" s="16" t="str">
        <f>IFERROR(VLOOKUP(C655,DATA!#REF!,2,FALSE),"")</f>
        <v/>
      </c>
    </row>
    <row r="656" spans="2:4" s="237" customFormat="1">
      <c r="B656" s="15" t="str">
        <f t="shared" si="43"/>
        <v/>
      </c>
      <c r="C656" s="16" t="str">
        <f>IFERROR(VLOOKUP(DATA!#REF!,DATA!#REF!,1,FALSE),"")</f>
        <v/>
      </c>
      <c r="D656" s="16" t="str">
        <f>IFERROR(VLOOKUP(C656,DATA!#REF!,2,FALSE),"")</f>
        <v/>
      </c>
    </row>
    <row r="657" spans="2:4" s="237" customFormat="1">
      <c r="B657" s="15" t="str">
        <f t="shared" si="43"/>
        <v/>
      </c>
      <c r="C657" s="16" t="str">
        <f>IFERROR(VLOOKUP(DATA!#REF!,DATA!#REF!,1,FALSE),"")</f>
        <v/>
      </c>
      <c r="D657" s="16" t="str">
        <f>IFERROR(VLOOKUP(C657,DATA!#REF!,2,FALSE),"")</f>
        <v/>
      </c>
    </row>
    <row r="658" spans="2:4" s="237" customFormat="1">
      <c r="B658" s="15" t="str">
        <f t="shared" si="43"/>
        <v/>
      </c>
      <c r="C658" s="16" t="str">
        <f>IFERROR(VLOOKUP(DATA!#REF!,DATA!#REF!,1,FALSE),"")</f>
        <v/>
      </c>
      <c r="D658" s="16" t="str">
        <f>IFERROR(VLOOKUP(C658,DATA!#REF!,2,FALSE),"")</f>
        <v/>
      </c>
    </row>
    <row r="659" spans="2:4" s="237" customFormat="1">
      <c r="B659" s="15" t="str">
        <f t="shared" si="43"/>
        <v/>
      </c>
      <c r="C659" s="16" t="str">
        <f>IFERROR(VLOOKUP(DATA!#REF!,DATA!#REF!,1,FALSE),"")</f>
        <v/>
      </c>
      <c r="D659" s="16" t="str">
        <f>IFERROR(VLOOKUP(C659,DATA!#REF!,2,FALSE),"")</f>
        <v/>
      </c>
    </row>
    <row r="660" spans="2:4" s="237" customFormat="1">
      <c r="B660" s="15" t="str">
        <f t="shared" si="43"/>
        <v/>
      </c>
      <c r="C660" s="16" t="str">
        <f>IFERROR(VLOOKUP(DATA!#REF!,DATA!#REF!,1,FALSE),"")</f>
        <v/>
      </c>
      <c r="D660" s="16" t="str">
        <f>IFERROR(VLOOKUP(C660,DATA!#REF!,2,FALSE),"")</f>
        <v/>
      </c>
    </row>
    <row r="661" spans="2:4" s="237" customFormat="1">
      <c r="B661" s="15" t="str">
        <f t="shared" si="43"/>
        <v/>
      </c>
      <c r="C661" s="16" t="str">
        <f>IFERROR(VLOOKUP(DATA!#REF!,DATA!#REF!,1,FALSE),"")</f>
        <v/>
      </c>
      <c r="D661" s="16" t="str">
        <f>IFERROR(VLOOKUP(C661,DATA!#REF!,2,FALSE),"")</f>
        <v/>
      </c>
    </row>
    <row r="662" spans="2:4" s="237" customFormat="1">
      <c r="B662" s="15" t="str">
        <f t="shared" si="43"/>
        <v/>
      </c>
      <c r="C662" s="16" t="str">
        <f>IFERROR(VLOOKUP(DATA!#REF!,DATA!#REF!,1,FALSE),"")</f>
        <v/>
      </c>
      <c r="D662" s="16" t="str">
        <f>IFERROR(VLOOKUP(C662,DATA!#REF!,2,FALSE),"")</f>
        <v/>
      </c>
    </row>
    <row r="663" spans="2:4" s="237" customFormat="1">
      <c r="B663" s="15" t="str">
        <f t="shared" si="43"/>
        <v/>
      </c>
      <c r="C663" s="16" t="str">
        <f>IFERROR(VLOOKUP(DATA!#REF!,DATA!#REF!,1,FALSE),"")</f>
        <v/>
      </c>
      <c r="D663" s="16" t="str">
        <f>IFERROR(VLOOKUP(C663,DATA!#REF!,2,FALSE),"")</f>
        <v/>
      </c>
    </row>
    <row r="664" spans="2:4" s="237" customFormat="1">
      <c r="B664" s="15" t="str">
        <f t="shared" si="43"/>
        <v/>
      </c>
      <c r="C664" s="16" t="str">
        <f>IFERROR(VLOOKUP(DATA!#REF!,DATA!#REF!,1,FALSE),"")</f>
        <v/>
      </c>
      <c r="D664" s="16" t="str">
        <f>IFERROR(VLOOKUP(C664,DATA!#REF!,2,FALSE),"")</f>
        <v/>
      </c>
    </row>
    <row r="665" spans="2:4" s="237" customFormat="1">
      <c r="B665" s="15" t="str">
        <f t="shared" si="43"/>
        <v/>
      </c>
      <c r="C665" s="16" t="str">
        <f>IFERROR(VLOOKUP(DATA!#REF!,DATA!#REF!,1,FALSE),"")</f>
        <v/>
      </c>
      <c r="D665" s="16" t="str">
        <f>IFERROR(VLOOKUP(C665,DATA!#REF!,2,FALSE),"")</f>
        <v/>
      </c>
    </row>
    <row r="666" spans="2:4" s="237" customFormat="1">
      <c r="B666" s="15" t="str">
        <f t="shared" si="43"/>
        <v/>
      </c>
      <c r="C666" s="16" t="str">
        <f>IFERROR(VLOOKUP(DATA!#REF!,DATA!#REF!,1,FALSE),"")</f>
        <v/>
      </c>
      <c r="D666" s="16" t="str">
        <f>IFERROR(VLOOKUP(C666,DATA!#REF!,2,FALSE),"")</f>
        <v/>
      </c>
    </row>
    <row r="667" spans="2:4" s="237" customFormat="1">
      <c r="B667" s="15" t="str">
        <f t="shared" si="43"/>
        <v/>
      </c>
      <c r="C667" s="16" t="str">
        <f>IFERROR(VLOOKUP(DATA!#REF!,DATA!#REF!,1,FALSE),"")</f>
        <v/>
      </c>
      <c r="D667" s="16" t="str">
        <f>IFERROR(VLOOKUP(C667,DATA!#REF!,2,FALSE),"")</f>
        <v/>
      </c>
    </row>
    <row r="668" spans="2:4" s="237" customFormat="1">
      <c r="B668" s="15" t="str">
        <f t="shared" si="43"/>
        <v/>
      </c>
      <c r="C668" s="16" t="str">
        <f>IFERROR(VLOOKUP(DATA!#REF!,DATA!#REF!,1,FALSE),"")</f>
        <v/>
      </c>
      <c r="D668" s="16" t="str">
        <f>IFERROR(VLOOKUP(C668,DATA!#REF!,2,FALSE),"")</f>
        <v/>
      </c>
    </row>
    <row r="669" spans="2:4" s="237" customFormat="1">
      <c r="B669" s="15" t="str">
        <f t="shared" si="43"/>
        <v/>
      </c>
      <c r="C669" s="16" t="str">
        <f>IFERROR(VLOOKUP(DATA!#REF!,DATA!#REF!,1,FALSE),"")</f>
        <v/>
      </c>
      <c r="D669" s="16" t="str">
        <f>IFERROR(VLOOKUP(C669,DATA!#REF!,2,FALSE),"")</f>
        <v/>
      </c>
    </row>
    <row r="670" spans="2:4" s="237" customFormat="1">
      <c r="B670" s="15" t="str">
        <f t="shared" si="43"/>
        <v/>
      </c>
      <c r="C670" s="16" t="str">
        <f>IFERROR(VLOOKUP(DATA!#REF!,DATA!#REF!,1,FALSE),"")</f>
        <v/>
      </c>
      <c r="D670" s="16" t="str">
        <f>IFERROR(VLOOKUP(C670,DATA!#REF!,2,FALSE),"")</f>
        <v/>
      </c>
    </row>
    <row r="671" spans="2:4" s="237" customFormat="1">
      <c r="B671" s="15" t="str">
        <f t="shared" si="43"/>
        <v/>
      </c>
      <c r="C671" s="16" t="str">
        <f>IFERROR(VLOOKUP(DATA!#REF!,DATA!#REF!,1,FALSE),"")</f>
        <v/>
      </c>
      <c r="D671" s="16" t="str">
        <f>IFERROR(VLOOKUP(C671,DATA!#REF!,2,FALSE),"")</f>
        <v/>
      </c>
    </row>
    <row r="672" spans="2:4" s="237" customFormat="1">
      <c r="B672" s="15" t="str">
        <f t="shared" si="43"/>
        <v/>
      </c>
      <c r="C672" s="16" t="str">
        <f>IFERROR(VLOOKUP(DATA!#REF!,DATA!#REF!,1,FALSE),"")</f>
        <v/>
      </c>
      <c r="D672" s="16" t="str">
        <f>IFERROR(VLOOKUP(C672,DATA!#REF!,2,FALSE),"")</f>
        <v/>
      </c>
    </row>
    <row r="673" spans="2:4" s="237" customFormat="1">
      <c r="B673" s="15" t="str">
        <f t="shared" si="43"/>
        <v/>
      </c>
      <c r="C673" s="16" t="str">
        <f>IFERROR(VLOOKUP(DATA!#REF!,DATA!#REF!,1,FALSE),"")</f>
        <v/>
      </c>
      <c r="D673" s="16" t="str">
        <f>IFERROR(VLOOKUP(C673,DATA!#REF!,2,FALSE),"")</f>
        <v/>
      </c>
    </row>
    <row r="674" spans="2:4" s="237" customFormat="1">
      <c r="B674" s="15" t="str">
        <f t="shared" si="43"/>
        <v/>
      </c>
      <c r="C674" s="16" t="str">
        <f>IFERROR(VLOOKUP(DATA!#REF!,DATA!#REF!,1,FALSE),"")</f>
        <v/>
      </c>
      <c r="D674" s="16" t="str">
        <f>IFERROR(VLOOKUP(C674,DATA!#REF!,2,FALSE),"")</f>
        <v/>
      </c>
    </row>
    <row r="675" spans="2:4" s="237" customFormat="1">
      <c r="B675" s="15" t="str">
        <f t="shared" si="43"/>
        <v/>
      </c>
      <c r="C675" s="16" t="str">
        <f>IFERROR(VLOOKUP(DATA!#REF!,DATA!#REF!,1,FALSE),"")</f>
        <v/>
      </c>
      <c r="D675" s="16" t="str">
        <f>IFERROR(VLOOKUP(C675,DATA!#REF!,2,FALSE),"")</f>
        <v/>
      </c>
    </row>
    <row r="676" spans="2:4" s="237" customFormat="1">
      <c r="B676" s="15" t="str">
        <f t="shared" si="43"/>
        <v/>
      </c>
      <c r="C676" s="16" t="str">
        <f>IFERROR(VLOOKUP(DATA!#REF!,DATA!#REF!,1,FALSE),"")</f>
        <v/>
      </c>
      <c r="D676" s="16" t="str">
        <f>IFERROR(VLOOKUP(C676,DATA!#REF!,2,FALSE),"")</f>
        <v/>
      </c>
    </row>
    <row r="677" spans="2:4" s="237" customFormat="1">
      <c r="B677" s="15" t="str">
        <f t="shared" si="43"/>
        <v/>
      </c>
      <c r="C677" s="16" t="str">
        <f>IFERROR(VLOOKUP(DATA!#REF!,DATA!#REF!,1,FALSE),"")</f>
        <v/>
      </c>
      <c r="D677" s="16" t="str">
        <f>IFERROR(VLOOKUP(C677,DATA!#REF!,2,FALSE),"")</f>
        <v/>
      </c>
    </row>
    <row r="678" spans="2:4" s="237" customFormat="1">
      <c r="B678" s="15" t="str">
        <f t="shared" si="43"/>
        <v/>
      </c>
      <c r="C678" s="16" t="str">
        <f>IFERROR(VLOOKUP(DATA!#REF!,DATA!#REF!,1,FALSE),"")</f>
        <v/>
      </c>
      <c r="D678" s="16" t="str">
        <f>IFERROR(VLOOKUP(C678,DATA!#REF!,2,FALSE),"")</f>
        <v/>
      </c>
    </row>
    <row r="679" spans="2:4" s="237" customFormat="1">
      <c r="B679" s="15" t="str">
        <f t="shared" si="43"/>
        <v/>
      </c>
      <c r="C679" s="16" t="str">
        <f>IFERROR(VLOOKUP(DATA!#REF!,DATA!#REF!,1,FALSE),"")</f>
        <v/>
      </c>
      <c r="D679" s="16" t="str">
        <f>IFERROR(VLOOKUP(C679,DATA!#REF!,2,FALSE),"")</f>
        <v/>
      </c>
    </row>
    <row r="680" spans="2:4" s="237" customFormat="1">
      <c r="B680" s="15" t="str">
        <f t="shared" si="43"/>
        <v/>
      </c>
      <c r="C680" s="16" t="str">
        <f>IFERROR(VLOOKUP(DATA!#REF!,DATA!#REF!,1,FALSE),"")</f>
        <v/>
      </c>
      <c r="D680" s="16" t="str">
        <f>IFERROR(VLOOKUP(C680,DATA!#REF!,2,FALSE),"")</f>
        <v/>
      </c>
    </row>
    <row r="681" spans="2:4" s="237" customFormat="1">
      <c r="B681" s="15" t="str">
        <f t="shared" si="43"/>
        <v/>
      </c>
      <c r="C681" s="16" t="str">
        <f>IFERROR(VLOOKUP(DATA!#REF!,DATA!#REF!,1,FALSE),"")</f>
        <v/>
      </c>
      <c r="D681" s="16" t="str">
        <f>IFERROR(VLOOKUP(C681,DATA!#REF!,2,FALSE),"")</f>
        <v/>
      </c>
    </row>
    <row r="682" spans="2:4" s="237" customFormat="1">
      <c r="B682" s="15" t="str">
        <f t="shared" si="43"/>
        <v/>
      </c>
      <c r="C682" s="16" t="str">
        <f>IFERROR(VLOOKUP(DATA!#REF!,DATA!#REF!,1,FALSE),"")</f>
        <v/>
      </c>
      <c r="D682" s="16" t="str">
        <f>IFERROR(VLOOKUP(C682,DATA!#REF!,2,FALSE),"")</f>
        <v/>
      </c>
    </row>
    <row r="683" spans="2:4" s="237" customFormat="1">
      <c r="B683" s="15" t="str">
        <f t="shared" si="43"/>
        <v/>
      </c>
      <c r="C683" s="16" t="str">
        <f>IFERROR(VLOOKUP(DATA!#REF!,DATA!#REF!,1,FALSE),"")</f>
        <v/>
      </c>
      <c r="D683" s="16" t="str">
        <f>IFERROR(VLOOKUP(C683,DATA!#REF!,2,FALSE),"")</f>
        <v/>
      </c>
    </row>
    <row r="684" spans="2:4" s="237" customFormat="1">
      <c r="B684" s="15" t="str">
        <f t="shared" si="43"/>
        <v/>
      </c>
      <c r="C684" s="16" t="str">
        <f>IFERROR(VLOOKUP(DATA!#REF!,DATA!#REF!,1,FALSE),"")</f>
        <v/>
      </c>
      <c r="D684" s="16" t="str">
        <f>IFERROR(VLOOKUP(C684,DATA!#REF!,2,FALSE),"")</f>
        <v/>
      </c>
    </row>
    <row r="685" spans="2:4" s="237" customFormat="1">
      <c r="B685" s="15" t="str">
        <f t="shared" si="43"/>
        <v/>
      </c>
      <c r="C685" s="16" t="str">
        <f>IFERROR(VLOOKUP(DATA!#REF!,DATA!#REF!,1,FALSE),"")</f>
        <v/>
      </c>
      <c r="D685" s="16" t="str">
        <f>IFERROR(VLOOKUP(C685,DATA!#REF!,2,FALSE),"")</f>
        <v/>
      </c>
    </row>
    <row r="686" spans="2:4" s="237" customFormat="1">
      <c r="B686" s="15" t="str">
        <f t="shared" si="43"/>
        <v/>
      </c>
      <c r="C686" s="16" t="str">
        <f>IFERROR(VLOOKUP(DATA!#REF!,DATA!#REF!,1,FALSE),"")</f>
        <v/>
      </c>
      <c r="D686" s="16" t="str">
        <f>IFERROR(VLOOKUP(C686,DATA!#REF!,2,FALSE),"")</f>
        <v/>
      </c>
    </row>
    <row r="687" spans="2:4" s="237" customFormat="1">
      <c r="B687" s="15" t="str">
        <f t="shared" si="43"/>
        <v/>
      </c>
      <c r="C687" s="16" t="str">
        <f>IFERROR(VLOOKUP(DATA!#REF!,DATA!#REF!,1,FALSE),"")</f>
        <v/>
      </c>
      <c r="D687" s="16" t="str">
        <f>IFERROR(VLOOKUP(C687,DATA!#REF!,2,FALSE),"")</f>
        <v/>
      </c>
    </row>
    <row r="688" spans="2:4" s="237" customFormat="1">
      <c r="B688" s="15" t="str">
        <f t="shared" si="43"/>
        <v/>
      </c>
      <c r="C688" s="16" t="str">
        <f>IFERROR(VLOOKUP(DATA!#REF!,DATA!#REF!,1,FALSE),"")</f>
        <v/>
      </c>
      <c r="D688" s="16" t="str">
        <f>IFERROR(VLOOKUP(C688,DATA!#REF!,2,FALSE),"")</f>
        <v/>
      </c>
    </row>
    <row r="689" spans="2:4" s="237" customFormat="1">
      <c r="B689" s="15" t="str">
        <f t="shared" si="43"/>
        <v/>
      </c>
      <c r="C689" s="16" t="str">
        <f>IFERROR(VLOOKUP(DATA!#REF!,DATA!#REF!,1,FALSE),"")</f>
        <v/>
      </c>
      <c r="D689" s="16" t="str">
        <f>IFERROR(VLOOKUP(C689,DATA!#REF!,2,FALSE),"")</f>
        <v/>
      </c>
    </row>
    <row r="690" spans="2:4" s="237" customFormat="1">
      <c r="B690" s="15" t="str">
        <f t="shared" si="43"/>
        <v/>
      </c>
      <c r="C690" s="16" t="str">
        <f>IFERROR(VLOOKUP(DATA!#REF!,DATA!#REF!,1,FALSE),"")</f>
        <v/>
      </c>
      <c r="D690" s="16" t="str">
        <f>IFERROR(VLOOKUP(C690,DATA!#REF!,2,FALSE),"")</f>
        <v/>
      </c>
    </row>
    <row r="691" spans="2:4" s="237" customFormat="1">
      <c r="B691" s="15" t="str">
        <f t="shared" si="43"/>
        <v/>
      </c>
      <c r="C691" s="16" t="str">
        <f>IFERROR(VLOOKUP(DATA!#REF!,DATA!#REF!,1,FALSE),"")</f>
        <v/>
      </c>
      <c r="D691" s="16" t="str">
        <f>IFERROR(VLOOKUP(C691,DATA!#REF!,2,FALSE),"")</f>
        <v/>
      </c>
    </row>
    <row r="692" spans="2:4" s="237" customFormat="1">
      <c r="B692" s="15" t="str">
        <f t="shared" si="43"/>
        <v/>
      </c>
      <c r="C692" s="16" t="str">
        <f>IFERROR(VLOOKUP(DATA!#REF!,DATA!#REF!,1,FALSE),"")</f>
        <v/>
      </c>
      <c r="D692" s="16" t="str">
        <f>IFERROR(VLOOKUP(C692,DATA!#REF!,2,FALSE),"")</f>
        <v/>
      </c>
    </row>
    <row r="693" spans="2:4" s="237" customFormat="1">
      <c r="B693" s="15" t="str">
        <f t="shared" si="43"/>
        <v/>
      </c>
      <c r="C693" s="16" t="str">
        <f>IFERROR(VLOOKUP(DATA!#REF!,DATA!#REF!,1,FALSE),"")</f>
        <v/>
      </c>
      <c r="D693" s="16" t="str">
        <f>IFERROR(VLOOKUP(C693,DATA!#REF!,2,FALSE),"")</f>
        <v/>
      </c>
    </row>
    <row r="694" spans="2:4" s="237" customFormat="1">
      <c r="B694" s="15" t="str">
        <f t="shared" si="43"/>
        <v/>
      </c>
      <c r="C694" s="16" t="str">
        <f>IFERROR(VLOOKUP(DATA!#REF!,DATA!#REF!,1,FALSE),"")</f>
        <v/>
      </c>
      <c r="D694" s="16" t="str">
        <f>IFERROR(VLOOKUP(C694,DATA!#REF!,2,FALSE),"")</f>
        <v/>
      </c>
    </row>
    <row r="695" spans="2:4" s="237" customFormat="1">
      <c r="B695" s="15" t="str">
        <f t="shared" si="43"/>
        <v/>
      </c>
      <c r="C695" s="16" t="str">
        <f>IFERROR(VLOOKUP(DATA!#REF!,DATA!#REF!,1,FALSE),"")</f>
        <v/>
      </c>
      <c r="D695" s="16" t="str">
        <f>IFERROR(VLOOKUP(C695,DATA!#REF!,2,FALSE),"")</f>
        <v/>
      </c>
    </row>
    <row r="696" spans="2:4" s="237" customFormat="1">
      <c r="B696" s="15" t="str">
        <f t="shared" si="43"/>
        <v/>
      </c>
      <c r="C696" s="16" t="str">
        <f>IFERROR(VLOOKUP(DATA!#REF!,DATA!#REF!,1,FALSE),"")</f>
        <v/>
      </c>
      <c r="D696" s="16" t="str">
        <f>IFERROR(VLOOKUP(C696,DATA!#REF!,2,FALSE),"")</f>
        <v/>
      </c>
    </row>
    <row r="697" spans="2:4" s="237" customFormat="1">
      <c r="B697" s="15" t="str">
        <f t="shared" si="43"/>
        <v/>
      </c>
      <c r="C697" s="16" t="str">
        <f>IFERROR(VLOOKUP(DATA!#REF!,DATA!#REF!,1,FALSE),"")</f>
        <v/>
      </c>
      <c r="D697" s="16" t="str">
        <f>IFERROR(VLOOKUP(C697,DATA!#REF!,2,FALSE),"")</f>
        <v/>
      </c>
    </row>
    <row r="698" spans="2:4" s="237" customFormat="1">
      <c r="B698" s="15" t="str">
        <f t="shared" si="43"/>
        <v/>
      </c>
      <c r="C698" s="16" t="str">
        <f>IFERROR(VLOOKUP(DATA!#REF!,DATA!#REF!,1,FALSE),"")</f>
        <v/>
      </c>
      <c r="D698" s="16" t="str">
        <f>IFERROR(VLOOKUP(C698,DATA!#REF!,2,FALSE),"")</f>
        <v/>
      </c>
    </row>
    <row r="699" spans="2:4" s="237" customFormat="1">
      <c r="B699" s="15" t="str">
        <f t="shared" si="43"/>
        <v/>
      </c>
      <c r="C699" s="16" t="str">
        <f>IFERROR(VLOOKUP(DATA!#REF!,DATA!#REF!,1,FALSE),"")</f>
        <v/>
      </c>
      <c r="D699" s="16" t="str">
        <f>IFERROR(VLOOKUP(C699,DATA!#REF!,2,FALSE),"")</f>
        <v/>
      </c>
    </row>
    <row r="700" spans="2:4" s="237" customFormat="1">
      <c r="B700" s="15" t="str">
        <f t="shared" si="43"/>
        <v/>
      </c>
      <c r="C700" s="16" t="str">
        <f>IFERROR(VLOOKUP(DATA!#REF!,DATA!#REF!,1,FALSE),"")</f>
        <v/>
      </c>
      <c r="D700" s="16" t="str">
        <f>IFERROR(VLOOKUP(C700,DATA!#REF!,2,FALSE),"")</f>
        <v/>
      </c>
    </row>
    <row r="701" spans="2:4" s="237" customFormat="1">
      <c r="B701" s="15" t="str">
        <f t="shared" si="43"/>
        <v/>
      </c>
      <c r="C701" s="16" t="str">
        <f>IFERROR(VLOOKUP(DATA!#REF!,DATA!#REF!,1,FALSE),"")</f>
        <v/>
      </c>
      <c r="D701" s="16" t="str">
        <f>IFERROR(VLOOKUP(C701,DATA!#REF!,2,FALSE),"")</f>
        <v/>
      </c>
    </row>
    <row r="702" spans="2:4" s="237" customFormat="1">
      <c r="B702" s="15" t="str">
        <f t="shared" si="43"/>
        <v/>
      </c>
      <c r="C702" s="16" t="str">
        <f>IFERROR(VLOOKUP(DATA!#REF!,DATA!#REF!,1,FALSE),"")</f>
        <v/>
      </c>
      <c r="D702" s="16" t="str">
        <f>IFERROR(VLOOKUP(C702,DATA!#REF!,2,FALSE),"")</f>
        <v/>
      </c>
    </row>
    <row r="703" spans="2:4" s="237" customFormat="1">
      <c r="B703" s="15" t="str">
        <f t="shared" si="43"/>
        <v/>
      </c>
      <c r="C703" s="16" t="str">
        <f>IFERROR(VLOOKUP(DATA!#REF!,DATA!#REF!,1,FALSE),"")</f>
        <v/>
      </c>
      <c r="D703" s="16" t="str">
        <f>IFERROR(VLOOKUP(C703,DATA!#REF!,2,FALSE),"")</f>
        <v/>
      </c>
    </row>
    <row r="704" spans="2:4" s="237" customFormat="1">
      <c r="B704" s="15" t="str">
        <f t="shared" si="43"/>
        <v/>
      </c>
      <c r="C704" s="16" t="str">
        <f>IFERROR(VLOOKUP(DATA!#REF!,DATA!#REF!,1,FALSE),"")</f>
        <v/>
      </c>
      <c r="D704" s="16" t="str">
        <f>IFERROR(VLOOKUP(C704,DATA!#REF!,2,FALSE),"")</f>
        <v/>
      </c>
    </row>
    <row r="705" spans="2:4" s="237" customFormat="1">
      <c r="B705" s="15" t="str">
        <f t="shared" si="43"/>
        <v/>
      </c>
      <c r="C705" s="16" t="str">
        <f>IFERROR(VLOOKUP(DATA!#REF!,DATA!#REF!,1,FALSE),"")</f>
        <v/>
      </c>
      <c r="D705" s="16" t="str">
        <f>IFERROR(VLOOKUP(C705,DATA!#REF!,2,FALSE),"")</f>
        <v/>
      </c>
    </row>
    <row r="706" spans="2:4" s="237" customFormat="1">
      <c r="B706" s="15" t="str">
        <f t="shared" si="43"/>
        <v/>
      </c>
      <c r="C706" s="16" t="str">
        <f>IFERROR(VLOOKUP(DATA!#REF!,DATA!#REF!,1,FALSE),"")</f>
        <v/>
      </c>
      <c r="D706" s="16" t="str">
        <f>IFERROR(VLOOKUP(C706,DATA!#REF!,2,FALSE),"")</f>
        <v/>
      </c>
    </row>
    <row r="707" spans="2:4" s="237" customFormat="1">
      <c r="B707" s="15" t="str">
        <f t="shared" si="43"/>
        <v/>
      </c>
      <c r="C707" s="16" t="str">
        <f>IFERROR(VLOOKUP(DATA!#REF!,DATA!#REF!,1,FALSE),"")</f>
        <v/>
      </c>
      <c r="D707" s="16" t="str">
        <f>IFERROR(VLOOKUP(C707,DATA!#REF!,2,FALSE),"")</f>
        <v/>
      </c>
    </row>
    <row r="708" spans="2:4" s="237" customFormat="1">
      <c r="B708" s="15" t="str">
        <f t="shared" si="43"/>
        <v/>
      </c>
      <c r="C708" s="16" t="str">
        <f>IFERROR(VLOOKUP(DATA!#REF!,DATA!#REF!,1,FALSE),"")</f>
        <v/>
      </c>
      <c r="D708" s="16" t="str">
        <f>IFERROR(VLOOKUP(C708,DATA!#REF!,2,FALSE),"")</f>
        <v/>
      </c>
    </row>
    <row r="709" spans="2:4" s="237" customFormat="1">
      <c r="B709" s="15" t="str">
        <f t="shared" si="43"/>
        <v/>
      </c>
      <c r="C709" s="16" t="str">
        <f>IFERROR(VLOOKUP(DATA!#REF!,DATA!#REF!,1,FALSE),"")</f>
        <v/>
      </c>
      <c r="D709" s="16" t="str">
        <f>IFERROR(VLOOKUP(C709,DATA!#REF!,2,FALSE),"")</f>
        <v/>
      </c>
    </row>
    <row r="710" spans="2:4" s="237" customFormat="1">
      <c r="B710" s="15" t="str">
        <f t="shared" ref="B710:B773" si="44">+IF(C710="","",ROW()-5)</f>
        <v/>
      </c>
      <c r="C710" s="16" t="str">
        <f>IFERROR(VLOOKUP(DATA!#REF!,DATA!#REF!,1,FALSE),"")</f>
        <v/>
      </c>
      <c r="D710" s="16" t="str">
        <f>IFERROR(VLOOKUP(C710,DATA!#REF!,2,FALSE),"")</f>
        <v/>
      </c>
    </row>
    <row r="711" spans="2:4" s="237" customFormat="1">
      <c r="B711" s="15" t="str">
        <f t="shared" si="44"/>
        <v/>
      </c>
      <c r="C711" s="16" t="str">
        <f>IFERROR(VLOOKUP(DATA!#REF!,DATA!#REF!,1,FALSE),"")</f>
        <v/>
      </c>
      <c r="D711" s="16" t="str">
        <f>IFERROR(VLOOKUP(C711,DATA!#REF!,2,FALSE),"")</f>
        <v/>
      </c>
    </row>
    <row r="712" spans="2:4" s="237" customFormat="1">
      <c r="B712" s="15" t="str">
        <f t="shared" si="44"/>
        <v/>
      </c>
      <c r="C712" s="16" t="str">
        <f>IFERROR(VLOOKUP(DATA!#REF!,DATA!#REF!,1,FALSE),"")</f>
        <v/>
      </c>
      <c r="D712" s="16" t="str">
        <f>IFERROR(VLOOKUP(C712,DATA!#REF!,2,FALSE),"")</f>
        <v/>
      </c>
    </row>
    <row r="713" spans="2:4" s="237" customFormat="1">
      <c r="B713" s="15" t="str">
        <f t="shared" si="44"/>
        <v/>
      </c>
      <c r="C713" s="16" t="str">
        <f>IFERROR(VLOOKUP(DATA!#REF!,DATA!#REF!,1,FALSE),"")</f>
        <v/>
      </c>
      <c r="D713" s="16" t="str">
        <f>IFERROR(VLOOKUP(C713,DATA!#REF!,2,FALSE),"")</f>
        <v/>
      </c>
    </row>
    <row r="714" spans="2:4" s="237" customFormat="1">
      <c r="B714" s="15" t="str">
        <f t="shared" si="44"/>
        <v/>
      </c>
      <c r="C714" s="16" t="str">
        <f>IFERROR(VLOOKUP(DATA!#REF!,DATA!#REF!,1,FALSE),"")</f>
        <v/>
      </c>
      <c r="D714" s="16" t="str">
        <f>IFERROR(VLOOKUP(C714,DATA!#REF!,2,FALSE),"")</f>
        <v/>
      </c>
    </row>
    <row r="715" spans="2:4" s="237" customFormat="1">
      <c r="B715" s="15" t="str">
        <f t="shared" si="44"/>
        <v/>
      </c>
      <c r="C715" s="16" t="str">
        <f>IFERROR(VLOOKUP(DATA!#REF!,DATA!#REF!,1,FALSE),"")</f>
        <v/>
      </c>
      <c r="D715" s="16" t="str">
        <f>IFERROR(VLOOKUP(C715,DATA!#REF!,2,FALSE),"")</f>
        <v/>
      </c>
    </row>
    <row r="716" spans="2:4" s="237" customFormat="1">
      <c r="B716" s="15" t="str">
        <f t="shared" si="44"/>
        <v/>
      </c>
      <c r="C716" s="16" t="str">
        <f>IFERROR(VLOOKUP(DATA!#REF!,DATA!#REF!,1,FALSE),"")</f>
        <v/>
      </c>
      <c r="D716" s="16" t="str">
        <f>IFERROR(VLOOKUP(C716,DATA!#REF!,2,FALSE),"")</f>
        <v/>
      </c>
    </row>
    <row r="717" spans="2:4" s="237" customFormat="1">
      <c r="B717" s="15" t="str">
        <f t="shared" si="44"/>
        <v/>
      </c>
      <c r="C717" s="16" t="str">
        <f>IFERROR(VLOOKUP(DATA!#REF!,DATA!#REF!,1,FALSE),"")</f>
        <v/>
      </c>
      <c r="D717" s="16" t="str">
        <f>IFERROR(VLOOKUP(C717,DATA!#REF!,2,FALSE),"")</f>
        <v/>
      </c>
    </row>
    <row r="718" spans="2:4" s="237" customFormat="1">
      <c r="B718" s="15" t="str">
        <f t="shared" si="44"/>
        <v/>
      </c>
      <c r="C718" s="16" t="str">
        <f>IFERROR(VLOOKUP(DATA!#REF!,DATA!#REF!,1,FALSE),"")</f>
        <v/>
      </c>
      <c r="D718" s="16" t="str">
        <f>IFERROR(VLOOKUP(C718,DATA!#REF!,2,FALSE),"")</f>
        <v/>
      </c>
    </row>
    <row r="719" spans="2:4" s="237" customFormat="1">
      <c r="B719" s="15" t="str">
        <f t="shared" si="44"/>
        <v/>
      </c>
      <c r="C719" s="16" t="str">
        <f>IFERROR(VLOOKUP(DATA!#REF!,DATA!#REF!,1,FALSE),"")</f>
        <v/>
      </c>
      <c r="D719" s="16" t="str">
        <f>IFERROR(VLOOKUP(C719,DATA!#REF!,2,FALSE),"")</f>
        <v/>
      </c>
    </row>
    <row r="720" spans="2:4" s="237" customFormat="1">
      <c r="B720" s="15" t="str">
        <f t="shared" si="44"/>
        <v/>
      </c>
      <c r="C720" s="16" t="str">
        <f>IFERROR(VLOOKUP(DATA!#REF!,DATA!#REF!,1,FALSE),"")</f>
        <v/>
      </c>
      <c r="D720" s="16" t="str">
        <f>IFERROR(VLOOKUP(C720,DATA!#REF!,2,FALSE),"")</f>
        <v/>
      </c>
    </row>
    <row r="721" spans="2:4" s="237" customFormat="1">
      <c r="B721" s="15" t="str">
        <f t="shared" si="44"/>
        <v/>
      </c>
      <c r="C721" s="16" t="str">
        <f>IFERROR(VLOOKUP(DATA!#REF!,DATA!#REF!,1,FALSE),"")</f>
        <v/>
      </c>
      <c r="D721" s="16" t="str">
        <f>IFERROR(VLOOKUP(C721,DATA!#REF!,2,FALSE),"")</f>
        <v/>
      </c>
    </row>
    <row r="722" spans="2:4" s="237" customFormat="1">
      <c r="B722" s="15" t="str">
        <f t="shared" si="44"/>
        <v/>
      </c>
      <c r="C722" s="16" t="str">
        <f>IFERROR(VLOOKUP(DATA!#REF!,DATA!#REF!,1,FALSE),"")</f>
        <v/>
      </c>
      <c r="D722" s="16" t="str">
        <f>IFERROR(VLOOKUP(C722,DATA!#REF!,2,FALSE),"")</f>
        <v/>
      </c>
    </row>
    <row r="723" spans="2:4" s="237" customFormat="1">
      <c r="B723" s="15" t="str">
        <f t="shared" si="44"/>
        <v/>
      </c>
      <c r="C723" s="16" t="str">
        <f>IFERROR(VLOOKUP(DATA!#REF!,DATA!#REF!,1,FALSE),"")</f>
        <v/>
      </c>
      <c r="D723" s="16" t="str">
        <f>IFERROR(VLOOKUP(C723,DATA!#REF!,2,FALSE),"")</f>
        <v/>
      </c>
    </row>
    <row r="724" spans="2:4" s="237" customFormat="1">
      <c r="B724" s="15" t="str">
        <f t="shared" si="44"/>
        <v/>
      </c>
      <c r="C724" s="16" t="str">
        <f>IFERROR(VLOOKUP(DATA!#REF!,DATA!#REF!,1,FALSE),"")</f>
        <v/>
      </c>
      <c r="D724" s="16" t="str">
        <f>IFERROR(VLOOKUP(C724,DATA!#REF!,2,FALSE),"")</f>
        <v/>
      </c>
    </row>
    <row r="725" spans="2:4" s="237" customFormat="1">
      <c r="B725" s="15" t="str">
        <f t="shared" si="44"/>
        <v/>
      </c>
      <c r="C725" s="16" t="str">
        <f>IFERROR(VLOOKUP(DATA!#REF!,DATA!#REF!,1,FALSE),"")</f>
        <v/>
      </c>
      <c r="D725" s="16" t="str">
        <f>IFERROR(VLOOKUP(C725,DATA!#REF!,2,FALSE),"")</f>
        <v/>
      </c>
    </row>
    <row r="726" spans="2:4" s="237" customFormat="1">
      <c r="B726" s="15" t="str">
        <f t="shared" si="44"/>
        <v/>
      </c>
      <c r="C726" s="16" t="str">
        <f>IFERROR(VLOOKUP(DATA!#REF!,DATA!#REF!,1,FALSE),"")</f>
        <v/>
      </c>
      <c r="D726" s="16" t="str">
        <f>IFERROR(VLOOKUP(C726,DATA!#REF!,2,FALSE),"")</f>
        <v/>
      </c>
    </row>
    <row r="727" spans="2:4" s="237" customFormat="1">
      <c r="B727" s="15" t="str">
        <f t="shared" si="44"/>
        <v/>
      </c>
      <c r="C727" s="16" t="str">
        <f>IFERROR(VLOOKUP(DATA!#REF!,DATA!#REF!,1,FALSE),"")</f>
        <v/>
      </c>
      <c r="D727" s="16" t="str">
        <f>IFERROR(VLOOKUP(C727,DATA!#REF!,2,FALSE),"")</f>
        <v/>
      </c>
    </row>
    <row r="728" spans="2:4" s="237" customFormat="1">
      <c r="B728" s="15" t="str">
        <f t="shared" si="44"/>
        <v/>
      </c>
      <c r="C728" s="16" t="str">
        <f>IFERROR(VLOOKUP(DATA!#REF!,DATA!#REF!,1,FALSE),"")</f>
        <v/>
      </c>
      <c r="D728" s="16" t="str">
        <f>IFERROR(VLOOKUP(C728,DATA!#REF!,2,FALSE),"")</f>
        <v/>
      </c>
    </row>
    <row r="729" spans="2:4" s="237" customFormat="1">
      <c r="B729" s="15" t="str">
        <f t="shared" si="44"/>
        <v/>
      </c>
      <c r="C729" s="16" t="str">
        <f>IFERROR(VLOOKUP(DATA!#REF!,DATA!#REF!,1,FALSE),"")</f>
        <v/>
      </c>
      <c r="D729" s="16" t="str">
        <f>IFERROR(VLOOKUP(C729,DATA!#REF!,2,FALSE),"")</f>
        <v/>
      </c>
    </row>
    <row r="730" spans="2:4" s="237" customFormat="1">
      <c r="B730" s="15" t="str">
        <f t="shared" si="44"/>
        <v/>
      </c>
      <c r="C730" s="16" t="str">
        <f>IFERROR(VLOOKUP(DATA!#REF!,DATA!#REF!,1,FALSE),"")</f>
        <v/>
      </c>
      <c r="D730" s="16" t="str">
        <f>IFERROR(VLOOKUP(C730,DATA!#REF!,2,FALSE),"")</f>
        <v/>
      </c>
    </row>
    <row r="731" spans="2:4" s="237" customFormat="1">
      <c r="B731" s="15" t="str">
        <f t="shared" si="44"/>
        <v/>
      </c>
      <c r="C731" s="16" t="str">
        <f>IFERROR(VLOOKUP(DATA!#REF!,DATA!#REF!,1,FALSE),"")</f>
        <v/>
      </c>
      <c r="D731" s="16" t="str">
        <f>IFERROR(VLOOKUP(C731,DATA!#REF!,2,FALSE),"")</f>
        <v/>
      </c>
    </row>
    <row r="732" spans="2:4" s="237" customFormat="1">
      <c r="B732" s="15" t="str">
        <f t="shared" si="44"/>
        <v/>
      </c>
      <c r="C732" s="16" t="str">
        <f>IFERROR(VLOOKUP(DATA!#REF!,DATA!#REF!,1,FALSE),"")</f>
        <v/>
      </c>
      <c r="D732" s="16" t="str">
        <f>IFERROR(VLOOKUP(C732,DATA!#REF!,2,FALSE),"")</f>
        <v/>
      </c>
    </row>
    <row r="733" spans="2:4" s="237" customFormat="1">
      <c r="B733" s="15" t="str">
        <f t="shared" si="44"/>
        <v/>
      </c>
      <c r="C733" s="16" t="str">
        <f>IFERROR(VLOOKUP(DATA!#REF!,DATA!#REF!,1,FALSE),"")</f>
        <v/>
      </c>
      <c r="D733" s="16" t="str">
        <f>IFERROR(VLOOKUP(C733,DATA!#REF!,2,FALSE),"")</f>
        <v/>
      </c>
    </row>
    <row r="734" spans="2:4" s="237" customFormat="1">
      <c r="B734" s="15" t="str">
        <f t="shared" si="44"/>
        <v/>
      </c>
      <c r="C734" s="16" t="str">
        <f>IFERROR(VLOOKUP(DATA!#REF!,DATA!#REF!,1,FALSE),"")</f>
        <v/>
      </c>
      <c r="D734" s="16" t="str">
        <f>IFERROR(VLOOKUP(C734,DATA!#REF!,2,FALSE),"")</f>
        <v/>
      </c>
    </row>
    <row r="735" spans="2:4" s="237" customFormat="1">
      <c r="B735" s="15" t="str">
        <f t="shared" si="44"/>
        <v/>
      </c>
      <c r="C735" s="16" t="str">
        <f>IFERROR(VLOOKUP(DATA!#REF!,DATA!#REF!,1,FALSE),"")</f>
        <v/>
      </c>
      <c r="D735" s="16" t="str">
        <f>IFERROR(VLOOKUP(C735,DATA!#REF!,2,FALSE),"")</f>
        <v/>
      </c>
    </row>
    <row r="736" spans="2:4" s="237" customFormat="1">
      <c r="B736" s="15" t="str">
        <f t="shared" si="44"/>
        <v/>
      </c>
      <c r="C736" s="16" t="str">
        <f>IFERROR(VLOOKUP(DATA!#REF!,DATA!#REF!,1,FALSE),"")</f>
        <v/>
      </c>
      <c r="D736" s="16" t="str">
        <f>IFERROR(VLOOKUP(C736,DATA!#REF!,2,FALSE),"")</f>
        <v/>
      </c>
    </row>
    <row r="737" spans="2:4" s="237" customFormat="1">
      <c r="B737" s="15" t="str">
        <f t="shared" si="44"/>
        <v/>
      </c>
      <c r="C737" s="16" t="str">
        <f>IFERROR(VLOOKUP(DATA!#REF!,DATA!#REF!,1,FALSE),"")</f>
        <v/>
      </c>
      <c r="D737" s="16" t="str">
        <f>IFERROR(VLOOKUP(C737,DATA!#REF!,2,FALSE),"")</f>
        <v/>
      </c>
    </row>
    <row r="738" spans="2:4" s="237" customFormat="1">
      <c r="B738" s="15" t="str">
        <f t="shared" si="44"/>
        <v/>
      </c>
      <c r="C738" s="16" t="str">
        <f>IFERROR(VLOOKUP(DATA!#REF!,DATA!#REF!,1,FALSE),"")</f>
        <v/>
      </c>
      <c r="D738" s="16" t="str">
        <f>IFERROR(VLOOKUP(C738,DATA!#REF!,2,FALSE),"")</f>
        <v/>
      </c>
    </row>
    <row r="739" spans="2:4" s="237" customFormat="1">
      <c r="B739" s="15" t="str">
        <f t="shared" si="44"/>
        <v/>
      </c>
      <c r="C739" s="16" t="str">
        <f>IFERROR(VLOOKUP(DATA!#REF!,DATA!#REF!,1,FALSE),"")</f>
        <v/>
      </c>
      <c r="D739" s="16" t="str">
        <f>IFERROR(VLOOKUP(C739,DATA!#REF!,2,FALSE),"")</f>
        <v/>
      </c>
    </row>
    <row r="740" spans="2:4" s="237" customFormat="1">
      <c r="B740" s="15" t="str">
        <f t="shared" si="44"/>
        <v/>
      </c>
      <c r="C740" s="16" t="str">
        <f>IFERROR(VLOOKUP(DATA!#REF!,DATA!#REF!,1,FALSE),"")</f>
        <v/>
      </c>
      <c r="D740" s="16" t="str">
        <f>IFERROR(VLOOKUP(C740,DATA!#REF!,2,FALSE),"")</f>
        <v/>
      </c>
    </row>
    <row r="741" spans="2:4" s="237" customFormat="1">
      <c r="B741" s="15" t="str">
        <f t="shared" si="44"/>
        <v/>
      </c>
      <c r="C741" s="16" t="str">
        <f>IFERROR(VLOOKUP(DATA!#REF!,DATA!#REF!,1,FALSE),"")</f>
        <v/>
      </c>
      <c r="D741" s="16" t="str">
        <f>IFERROR(VLOOKUP(C741,DATA!#REF!,2,FALSE),"")</f>
        <v/>
      </c>
    </row>
    <row r="742" spans="2:4" s="237" customFormat="1">
      <c r="B742" s="15" t="str">
        <f t="shared" si="44"/>
        <v/>
      </c>
      <c r="C742" s="16" t="str">
        <f>IFERROR(VLOOKUP(DATA!#REF!,DATA!#REF!,1,FALSE),"")</f>
        <v/>
      </c>
      <c r="D742" s="16" t="str">
        <f>IFERROR(VLOOKUP(C742,DATA!#REF!,2,FALSE),"")</f>
        <v/>
      </c>
    </row>
    <row r="743" spans="2:4" s="237" customFormat="1">
      <c r="B743" s="15" t="str">
        <f t="shared" si="44"/>
        <v/>
      </c>
      <c r="C743" s="16" t="str">
        <f>IFERROR(VLOOKUP(DATA!#REF!,DATA!#REF!,1,FALSE),"")</f>
        <v/>
      </c>
      <c r="D743" s="16" t="str">
        <f>IFERROR(VLOOKUP(C743,DATA!#REF!,2,FALSE),"")</f>
        <v/>
      </c>
    </row>
    <row r="744" spans="2:4" s="237" customFormat="1">
      <c r="B744" s="15" t="str">
        <f t="shared" si="44"/>
        <v/>
      </c>
      <c r="C744" s="16" t="str">
        <f>IFERROR(VLOOKUP(DATA!#REF!,DATA!#REF!,1,FALSE),"")</f>
        <v/>
      </c>
      <c r="D744" s="16" t="str">
        <f>IFERROR(VLOOKUP(C744,DATA!#REF!,2,FALSE),"")</f>
        <v/>
      </c>
    </row>
    <row r="745" spans="2:4" s="237" customFormat="1">
      <c r="B745" s="15" t="str">
        <f t="shared" si="44"/>
        <v/>
      </c>
      <c r="C745" s="16" t="str">
        <f>IFERROR(VLOOKUP(DATA!#REF!,DATA!#REF!,1,FALSE),"")</f>
        <v/>
      </c>
      <c r="D745" s="16" t="str">
        <f>IFERROR(VLOOKUP(C745,DATA!#REF!,2,FALSE),"")</f>
        <v/>
      </c>
    </row>
    <row r="746" spans="2:4" s="237" customFormat="1">
      <c r="B746" s="15" t="str">
        <f t="shared" si="44"/>
        <v/>
      </c>
      <c r="C746" s="16" t="str">
        <f>IFERROR(VLOOKUP(DATA!#REF!,DATA!#REF!,1,FALSE),"")</f>
        <v/>
      </c>
      <c r="D746" s="16" t="str">
        <f>IFERROR(VLOOKUP(C746,DATA!#REF!,2,FALSE),"")</f>
        <v/>
      </c>
    </row>
    <row r="747" spans="2:4" s="237" customFormat="1">
      <c r="B747" s="15" t="str">
        <f t="shared" si="44"/>
        <v/>
      </c>
      <c r="C747" s="16" t="str">
        <f>IFERROR(VLOOKUP(DATA!#REF!,DATA!#REF!,1,FALSE),"")</f>
        <v/>
      </c>
      <c r="D747" s="16" t="str">
        <f>IFERROR(VLOOKUP(C747,DATA!#REF!,2,FALSE),"")</f>
        <v/>
      </c>
    </row>
    <row r="748" spans="2:4" s="237" customFormat="1">
      <c r="B748" s="15" t="str">
        <f t="shared" si="44"/>
        <v/>
      </c>
      <c r="C748" s="16" t="str">
        <f>IFERROR(VLOOKUP(DATA!#REF!,DATA!#REF!,1,FALSE),"")</f>
        <v/>
      </c>
      <c r="D748" s="16" t="str">
        <f>IFERROR(VLOOKUP(C748,DATA!#REF!,2,FALSE),"")</f>
        <v/>
      </c>
    </row>
    <row r="749" spans="2:4" s="237" customFormat="1">
      <c r="B749" s="15" t="str">
        <f t="shared" si="44"/>
        <v/>
      </c>
      <c r="C749" s="16" t="str">
        <f>IFERROR(VLOOKUP(DATA!#REF!,DATA!#REF!,1,FALSE),"")</f>
        <v/>
      </c>
      <c r="D749" s="16" t="str">
        <f>IFERROR(VLOOKUP(C749,DATA!#REF!,2,FALSE),"")</f>
        <v/>
      </c>
    </row>
    <row r="750" spans="2:4" s="237" customFormat="1">
      <c r="B750" s="15" t="str">
        <f t="shared" si="44"/>
        <v/>
      </c>
      <c r="C750" s="16" t="str">
        <f>IFERROR(VLOOKUP(DATA!#REF!,DATA!#REF!,1,FALSE),"")</f>
        <v/>
      </c>
      <c r="D750" s="16" t="str">
        <f>IFERROR(VLOOKUP(C750,DATA!#REF!,2,FALSE),"")</f>
        <v/>
      </c>
    </row>
    <row r="751" spans="2:4" s="237" customFormat="1">
      <c r="B751" s="15" t="str">
        <f t="shared" si="44"/>
        <v/>
      </c>
      <c r="C751" s="16" t="str">
        <f>IFERROR(VLOOKUP(DATA!#REF!,DATA!#REF!,1,FALSE),"")</f>
        <v/>
      </c>
      <c r="D751" s="16" t="str">
        <f>IFERROR(VLOOKUP(C751,DATA!#REF!,2,FALSE),"")</f>
        <v/>
      </c>
    </row>
    <row r="752" spans="2:4" s="237" customFormat="1">
      <c r="B752" s="15" t="str">
        <f t="shared" si="44"/>
        <v/>
      </c>
      <c r="C752" s="16" t="str">
        <f>IFERROR(VLOOKUP(DATA!#REF!,DATA!#REF!,1,FALSE),"")</f>
        <v/>
      </c>
      <c r="D752" s="16" t="str">
        <f>IFERROR(VLOOKUP(C752,DATA!#REF!,2,FALSE),"")</f>
        <v/>
      </c>
    </row>
    <row r="753" spans="2:4" s="237" customFormat="1">
      <c r="B753" s="15" t="str">
        <f t="shared" si="44"/>
        <v/>
      </c>
      <c r="C753" s="16" t="str">
        <f>IFERROR(VLOOKUP(DATA!#REF!,DATA!#REF!,1,FALSE),"")</f>
        <v/>
      </c>
      <c r="D753" s="16" t="str">
        <f>IFERROR(VLOOKUP(C753,DATA!#REF!,2,FALSE),"")</f>
        <v/>
      </c>
    </row>
    <row r="754" spans="2:4" s="237" customFormat="1">
      <c r="B754" s="15" t="str">
        <f t="shared" si="44"/>
        <v/>
      </c>
      <c r="C754" s="16" t="str">
        <f>IFERROR(VLOOKUP(DATA!#REF!,DATA!#REF!,1,FALSE),"")</f>
        <v/>
      </c>
      <c r="D754" s="16" t="str">
        <f>IFERROR(VLOOKUP(C754,DATA!#REF!,2,FALSE),"")</f>
        <v/>
      </c>
    </row>
    <row r="755" spans="2:4" s="237" customFormat="1">
      <c r="B755" s="15" t="str">
        <f t="shared" si="44"/>
        <v/>
      </c>
      <c r="C755" s="16" t="str">
        <f>IFERROR(VLOOKUP(DATA!#REF!,DATA!#REF!,1,FALSE),"")</f>
        <v/>
      </c>
      <c r="D755" s="16" t="str">
        <f>IFERROR(VLOOKUP(C755,DATA!#REF!,2,FALSE),"")</f>
        <v/>
      </c>
    </row>
    <row r="756" spans="2:4" s="237" customFormat="1">
      <c r="B756" s="15" t="str">
        <f t="shared" si="44"/>
        <v/>
      </c>
      <c r="C756" s="16" t="str">
        <f>IFERROR(VLOOKUP(DATA!#REF!,DATA!#REF!,1,FALSE),"")</f>
        <v/>
      </c>
      <c r="D756" s="16" t="str">
        <f>IFERROR(VLOOKUP(C756,DATA!#REF!,2,FALSE),"")</f>
        <v/>
      </c>
    </row>
    <row r="757" spans="2:4" s="237" customFormat="1">
      <c r="B757" s="15" t="str">
        <f t="shared" si="44"/>
        <v/>
      </c>
      <c r="C757" s="16" t="str">
        <f>IFERROR(VLOOKUP(DATA!#REF!,DATA!#REF!,1,FALSE),"")</f>
        <v/>
      </c>
      <c r="D757" s="16" t="str">
        <f>IFERROR(VLOOKUP(C757,DATA!#REF!,2,FALSE),"")</f>
        <v/>
      </c>
    </row>
    <row r="758" spans="2:4" s="237" customFormat="1">
      <c r="B758" s="15" t="str">
        <f t="shared" si="44"/>
        <v/>
      </c>
      <c r="C758" s="16" t="str">
        <f>IFERROR(VLOOKUP(DATA!#REF!,DATA!#REF!,1,FALSE),"")</f>
        <v/>
      </c>
      <c r="D758" s="16" t="str">
        <f>IFERROR(VLOOKUP(C758,DATA!#REF!,2,FALSE),"")</f>
        <v/>
      </c>
    </row>
    <row r="759" spans="2:4" s="237" customFormat="1">
      <c r="B759" s="15" t="str">
        <f t="shared" si="44"/>
        <v/>
      </c>
      <c r="C759" s="16" t="str">
        <f>IFERROR(VLOOKUP(DATA!#REF!,DATA!#REF!,1,FALSE),"")</f>
        <v/>
      </c>
      <c r="D759" s="16" t="str">
        <f>IFERROR(VLOOKUP(C759,DATA!#REF!,2,FALSE),"")</f>
        <v/>
      </c>
    </row>
    <row r="760" spans="2:4" s="237" customFormat="1">
      <c r="B760" s="15" t="str">
        <f t="shared" si="44"/>
        <v/>
      </c>
      <c r="C760" s="16" t="str">
        <f>IFERROR(VLOOKUP(DATA!#REF!,DATA!#REF!,1,FALSE),"")</f>
        <v/>
      </c>
      <c r="D760" s="16" t="str">
        <f>IFERROR(VLOOKUP(C760,DATA!#REF!,2,FALSE),"")</f>
        <v/>
      </c>
    </row>
    <row r="761" spans="2:4" s="237" customFormat="1">
      <c r="B761" s="15" t="str">
        <f t="shared" si="44"/>
        <v/>
      </c>
      <c r="C761" s="16" t="str">
        <f>IFERROR(VLOOKUP(DATA!#REF!,DATA!#REF!,1,FALSE),"")</f>
        <v/>
      </c>
      <c r="D761" s="16" t="str">
        <f>IFERROR(VLOOKUP(C761,DATA!#REF!,2,FALSE),"")</f>
        <v/>
      </c>
    </row>
    <row r="762" spans="2:4" s="237" customFormat="1">
      <c r="B762" s="15" t="str">
        <f t="shared" si="44"/>
        <v/>
      </c>
      <c r="C762" s="16" t="str">
        <f>IFERROR(VLOOKUP(DATA!#REF!,DATA!#REF!,1,FALSE),"")</f>
        <v/>
      </c>
      <c r="D762" s="16" t="str">
        <f>IFERROR(VLOOKUP(C762,DATA!#REF!,2,FALSE),"")</f>
        <v/>
      </c>
    </row>
    <row r="763" spans="2:4" s="237" customFormat="1">
      <c r="B763" s="15" t="str">
        <f t="shared" si="44"/>
        <v/>
      </c>
      <c r="C763" s="16" t="str">
        <f>IFERROR(VLOOKUP(DATA!#REF!,DATA!#REF!,1,FALSE),"")</f>
        <v/>
      </c>
      <c r="D763" s="16" t="str">
        <f>IFERROR(VLOOKUP(C763,DATA!#REF!,2,FALSE),"")</f>
        <v/>
      </c>
    </row>
    <row r="764" spans="2:4" s="237" customFormat="1">
      <c r="B764" s="15" t="str">
        <f t="shared" si="44"/>
        <v/>
      </c>
      <c r="C764" s="16" t="str">
        <f>IFERROR(VLOOKUP(DATA!#REF!,DATA!#REF!,1,FALSE),"")</f>
        <v/>
      </c>
      <c r="D764" s="16" t="str">
        <f>IFERROR(VLOOKUP(C764,DATA!#REF!,2,FALSE),"")</f>
        <v/>
      </c>
    </row>
    <row r="765" spans="2:4" s="237" customFormat="1">
      <c r="B765" s="15" t="str">
        <f t="shared" si="44"/>
        <v/>
      </c>
      <c r="C765" s="16" t="str">
        <f>IFERROR(VLOOKUP(DATA!#REF!,DATA!#REF!,1,FALSE),"")</f>
        <v/>
      </c>
      <c r="D765" s="16" t="str">
        <f>IFERROR(VLOOKUP(C765,DATA!#REF!,2,FALSE),"")</f>
        <v/>
      </c>
    </row>
    <row r="766" spans="2:4" s="237" customFormat="1">
      <c r="B766" s="15" t="str">
        <f t="shared" si="44"/>
        <v/>
      </c>
      <c r="C766" s="16" t="str">
        <f>IFERROR(VLOOKUP(DATA!#REF!,DATA!#REF!,1,FALSE),"")</f>
        <v/>
      </c>
      <c r="D766" s="16" t="str">
        <f>IFERROR(VLOOKUP(C766,DATA!#REF!,2,FALSE),"")</f>
        <v/>
      </c>
    </row>
    <row r="767" spans="2:4" s="237" customFormat="1">
      <c r="B767" s="15" t="str">
        <f t="shared" si="44"/>
        <v/>
      </c>
      <c r="C767" s="16" t="str">
        <f>IFERROR(VLOOKUP(DATA!#REF!,DATA!#REF!,1,FALSE),"")</f>
        <v/>
      </c>
      <c r="D767" s="16" t="str">
        <f>IFERROR(VLOOKUP(C767,DATA!#REF!,2,FALSE),"")</f>
        <v/>
      </c>
    </row>
    <row r="768" spans="2:4" s="237" customFormat="1">
      <c r="B768" s="15" t="str">
        <f t="shared" si="44"/>
        <v/>
      </c>
      <c r="C768" s="16" t="str">
        <f>IFERROR(VLOOKUP(DATA!#REF!,DATA!#REF!,1,FALSE),"")</f>
        <v/>
      </c>
      <c r="D768" s="16" t="str">
        <f>IFERROR(VLOOKUP(C768,DATA!#REF!,2,FALSE),"")</f>
        <v/>
      </c>
    </row>
    <row r="769" spans="2:4" s="237" customFormat="1">
      <c r="B769" s="15" t="str">
        <f t="shared" si="44"/>
        <v/>
      </c>
      <c r="C769" s="16" t="str">
        <f>IFERROR(VLOOKUP(DATA!#REF!,DATA!#REF!,1,FALSE),"")</f>
        <v/>
      </c>
      <c r="D769" s="16" t="str">
        <f>IFERROR(VLOOKUP(C769,DATA!#REF!,2,FALSE),"")</f>
        <v/>
      </c>
    </row>
    <row r="770" spans="2:4" s="237" customFormat="1">
      <c r="B770" s="15" t="str">
        <f t="shared" si="44"/>
        <v/>
      </c>
      <c r="C770" s="16" t="str">
        <f>IFERROR(VLOOKUP(DATA!#REF!,DATA!#REF!,1,FALSE),"")</f>
        <v/>
      </c>
      <c r="D770" s="16" t="str">
        <f>IFERROR(VLOOKUP(C770,DATA!#REF!,2,FALSE),"")</f>
        <v/>
      </c>
    </row>
    <row r="771" spans="2:4" s="237" customFormat="1">
      <c r="B771" s="15" t="str">
        <f t="shared" si="44"/>
        <v/>
      </c>
      <c r="C771" s="16" t="str">
        <f>IFERROR(VLOOKUP(DATA!#REF!,DATA!#REF!,1,FALSE),"")</f>
        <v/>
      </c>
      <c r="D771" s="16" t="str">
        <f>IFERROR(VLOOKUP(C771,DATA!#REF!,2,FALSE),"")</f>
        <v/>
      </c>
    </row>
    <row r="772" spans="2:4" s="237" customFormat="1">
      <c r="B772" s="15" t="str">
        <f t="shared" si="44"/>
        <v/>
      </c>
      <c r="C772" s="16" t="str">
        <f>IFERROR(VLOOKUP(DATA!#REF!,DATA!#REF!,1,FALSE),"")</f>
        <v/>
      </c>
      <c r="D772" s="16" t="str">
        <f>IFERROR(VLOOKUP(C772,DATA!#REF!,2,FALSE),"")</f>
        <v/>
      </c>
    </row>
    <row r="773" spans="2:4" s="237" customFormat="1">
      <c r="B773" s="15" t="str">
        <f t="shared" si="44"/>
        <v/>
      </c>
      <c r="C773" s="16" t="str">
        <f>IFERROR(VLOOKUP(DATA!#REF!,DATA!#REF!,1,FALSE),"")</f>
        <v/>
      </c>
      <c r="D773" s="16" t="str">
        <f>IFERROR(VLOOKUP(C773,DATA!#REF!,2,FALSE),"")</f>
        <v/>
      </c>
    </row>
    <row r="774" spans="2:4" s="237" customFormat="1">
      <c r="B774" s="15" t="str">
        <f t="shared" ref="B774:B837" si="45">+IF(C774="","",ROW()-5)</f>
        <v/>
      </c>
      <c r="C774" s="16" t="str">
        <f>IFERROR(VLOOKUP(DATA!#REF!,DATA!#REF!,1,FALSE),"")</f>
        <v/>
      </c>
      <c r="D774" s="16" t="str">
        <f>IFERROR(VLOOKUP(C774,DATA!#REF!,2,FALSE),"")</f>
        <v/>
      </c>
    </row>
    <row r="775" spans="2:4" s="237" customFormat="1">
      <c r="B775" s="15" t="str">
        <f t="shared" si="45"/>
        <v/>
      </c>
      <c r="C775" s="16" t="str">
        <f>IFERROR(VLOOKUP(DATA!#REF!,DATA!#REF!,1,FALSE),"")</f>
        <v/>
      </c>
      <c r="D775" s="16" t="str">
        <f>IFERROR(VLOOKUP(C775,DATA!#REF!,2,FALSE),"")</f>
        <v/>
      </c>
    </row>
    <row r="776" spans="2:4" s="237" customFormat="1">
      <c r="B776" s="15" t="str">
        <f t="shared" si="45"/>
        <v/>
      </c>
      <c r="C776" s="16" t="str">
        <f>IFERROR(VLOOKUP(DATA!#REF!,DATA!#REF!,1,FALSE),"")</f>
        <v/>
      </c>
      <c r="D776" s="16" t="str">
        <f>IFERROR(VLOOKUP(C776,DATA!#REF!,2,FALSE),"")</f>
        <v/>
      </c>
    </row>
    <row r="777" spans="2:4" s="237" customFormat="1">
      <c r="B777" s="15" t="str">
        <f t="shared" si="45"/>
        <v/>
      </c>
      <c r="C777" s="16" t="str">
        <f>IFERROR(VLOOKUP(DATA!#REF!,DATA!#REF!,1,FALSE),"")</f>
        <v/>
      </c>
      <c r="D777" s="16" t="str">
        <f>IFERROR(VLOOKUP(C777,DATA!#REF!,2,FALSE),"")</f>
        <v/>
      </c>
    </row>
    <row r="778" spans="2:4" s="237" customFormat="1">
      <c r="B778" s="15" t="str">
        <f t="shared" si="45"/>
        <v/>
      </c>
      <c r="C778" s="16" t="str">
        <f>IFERROR(VLOOKUP(DATA!#REF!,DATA!#REF!,1,FALSE),"")</f>
        <v/>
      </c>
      <c r="D778" s="16" t="str">
        <f>IFERROR(VLOOKUP(C778,DATA!#REF!,2,FALSE),"")</f>
        <v/>
      </c>
    </row>
    <row r="779" spans="2:4" s="237" customFormat="1">
      <c r="B779" s="15" t="str">
        <f t="shared" si="45"/>
        <v/>
      </c>
      <c r="C779" s="16" t="str">
        <f>IFERROR(VLOOKUP(DATA!#REF!,DATA!#REF!,1,FALSE),"")</f>
        <v/>
      </c>
      <c r="D779" s="16" t="str">
        <f>IFERROR(VLOOKUP(C779,DATA!#REF!,2,FALSE),"")</f>
        <v/>
      </c>
    </row>
    <row r="780" spans="2:4" s="237" customFormat="1">
      <c r="B780" s="15" t="str">
        <f t="shared" si="45"/>
        <v/>
      </c>
      <c r="C780" s="16" t="str">
        <f>IFERROR(VLOOKUP(DATA!#REF!,DATA!#REF!,1,FALSE),"")</f>
        <v/>
      </c>
      <c r="D780" s="16" t="str">
        <f>IFERROR(VLOOKUP(C780,DATA!#REF!,2,FALSE),"")</f>
        <v/>
      </c>
    </row>
    <row r="781" spans="2:4" s="237" customFormat="1">
      <c r="B781" s="15" t="str">
        <f t="shared" si="45"/>
        <v/>
      </c>
      <c r="C781" s="16" t="str">
        <f>IFERROR(VLOOKUP(DATA!#REF!,DATA!#REF!,1,FALSE),"")</f>
        <v/>
      </c>
      <c r="D781" s="16" t="str">
        <f>IFERROR(VLOOKUP(C781,DATA!#REF!,2,FALSE),"")</f>
        <v/>
      </c>
    </row>
    <row r="782" spans="2:4" s="237" customFormat="1">
      <c r="B782" s="15" t="str">
        <f t="shared" si="45"/>
        <v/>
      </c>
      <c r="C782" s="16" t="str">
        <f>IFERROR(VLOOKUP(DATA!#REF!,DATA!#REF!,1,FALSE),"")</f>
        <v/>
      </c>
      <c r="D782" s="16" t="str">
        <f>IFERROR(VLOOKUP(C782,DATA!#REF!,2,FALSE),"")</f>
        <v/>
      </c>
    </row>
    <row r="783" spans="2:4" s="237" customFormat="1">
      <c r="B783" s="15" t="str">
        <f t="shared" si="45"/>
        <v/>
      </c>
      <c r="C783" s="16" t="str">
        <f>IFERROR(VLOOKUP(DATA!#REF!,DATA!#REF!,1,FALSE),"")</f>
        <v/>
      </c>
      <c r="D783" s="16" t="str">
        <f>IFERROR(VLOOKUP(C783,DATA!#REF!,2,FALSE),"")</f>
        <v/>
      </c>
    </row>
    <row r="784" spans="2:4" s="237" customFormat="1">
      <c r="B784" s="15" t="str">
        <f t="shared" si="45"/>
        <v/>
      </c>
      <c r="C784" s="16" t="str">
        <f>IFERROR(VLOOKUP(DATA!#REF!,DATA!#REF!,1,FALSE),"")</f>
        <v/>
      </c>
      <c r="D784" s="16" t="str">
        <f>IFERROR(VLOOKUP(C784,DATA!#REF!,2,FALSE),"")</f>
        <v/>
      </c>
    </row>
    <row r="785" spans="2:4" s="237" customFormat="1">
      <c r="B785" s="15" t="str">
        <f t="shared" si="45"/>
        <v/>
      </c>
      <c r="C785" s="16" t="str">
        <f>IFERROR(VLOOKUP(DATA!#REF!,DATA!#REF!,1,FALSE),"")</f>
        <v/>
      </c>
      <c r="D785" s="16" t="str">
        <f>IFERROR(VLOOKUP(C785,DATA!#REF!,2,FALSE),"")</f>
        <v/>
      </c>
    </row>
    <row r="786" spans="2:4" s="237" customFormat="1">
      <c r="B786" s="15" t="str">
        <f t="shared" si="45"/>
        <v/>
      </c>
      <c r="C786" s="16" t="str">
        <f>IFERROR(VLOOKUP(DATA!#REF!,DATA!#REF!,1,FALSE),"")</f>
        <v/>
      </c>
      <c r="D786" s="16" t="str">
        <f>IFERROR(VLOOKUP(C786,DATA!#REF!,2,FALSE),"")</f>
        <v/>
      </c>
    </row>
    <row r="787" spans="2:4" s="237" customFormat="1">
      <c r="B787" s="15" t="str">
        <f t="shared" si="45"/>
        <v/>
      </c>
      <c r="C787" s="16" t="str">
        <f>IFERROR(VLOOKUP(DATA!#REF!,DATA!#REF!,1,FALSE),"")</f>
        <v/>
      </c>
      <c r="D787" s="16" t="str">
        <f>IFERROR(VLOOKUP(C787,DATA!#REF!,2,FALSE),"")</f>
        <v/>
      </c>
    </row>
    <row r="788" spans="2:4" s="237" customFormat="1">
      <c r="B788" s="15" t="str">
        <f t="shared" si="45"/>
        <v/>
      </c>
      <c r="C788" s="16" t="str">
        <f>IFERROR(VLOOKUP(DATA!#REF!,DATA!#REF!,1,FALSE),"")</f>
        <v/>
      </c>
      <c r="D788" s="16" t="str">
        <f>IFERROR(VLOOKUP(C788,DATA!#REF!,2,FALSE),"")</f>
        <v/>
      </c>
    </row>
    <row r="789" spans="2:4" s="237" customFormat="1">
      <c r="B789" s="15" t="str">
        <f t="shared" si="45"/>
        <v/>
      </c>
      <c r="C789" s="16" t="str">
        <f>IFERROR(VLOOKUP(DATA!#REF!,DATA!#REF!,1,FALSE),"")</f>
        <v/>
      </c>
      <c r="D789" s="16" t="str">
        <f>IFERROR(VLOOKUP(C789,DATA!#REF!,2,FALSE),"")</f>
        <v/>
      </c>
    </row>
    <row r="790" spans="2:4" s="237" customFormat="1">
      <c r="B790" s="15" t="str">
        <f t="shared" si="45"/>
        <v/>
      </c>
      <c r="C790" s="16" t="str">
        <f>IFERROR(VLOOKUP(DATA!#REF!,DATA!#REF!,1,FALSE),"")</f>
        <v/>
      </c>
      <c r="D790" s="16" t="str">
        <f>IFERROR(VLOOKUP(C790,DATA!#REF!,2,FALSE),"")</f>
        <v/>
      </c>
    </row>
    <row r="791" spans="2:4" s="237" customFormat="1">
      <c r="B791" s="15" t="str">
        <f t="shared" si="45"/>
        <v/>
      </c>
      <c r="C791" s="16" t="str">
        <f>IFERROR(VLOOKUP(DATA!#REF!,DATA!#REF!,1,FALSE),"")</f>
        <v/>
      </c>
      <c r="D791" s="16" t="str">
        <f>IFERROR(VLOOKUP(C791,DATA!#REF!,2,FALSE),"")</f>
        <v/>
      </c>
    </row>
    <row r="792" spans="2:4" s="237" customFormat="1">
      <c r="B792" s="15" t="str">
        <f t="shared" si="45"/>
        <v/>
      </c>
      <c r="C792" s="16" t="str">
        <f>IFERROR(VLOOKUP(DATA!#REF!,DATA!#REF!,1,FALSE),"")</f>
        <v/>
      </c>
      <c r="D792" s="16" t="str">
        <f>IFERROR(VLOOKUP(C792,DATA!#REF!,2,FALSE),"")</f>
        <v/>
      </c>
    </row>
    <row r="793" spans="2:4" s="237" customFormat="1">
      <c r="B793" s="15" t="str">
        <f t="shared" si="45"/>
        <v/>
      </c>
      <c r="C793" s="16" t="str">
        <f>IFERROR(VLOOKUP(DATA!#REF!,DATA!#REF!,1,FALSE),"")</f>
        <v/>
      </c>
      <c r="D793" s="16" t="str">
        <f>IFERROR(VLOOKUP(C793,DATA!#REF!,2,FALSE),"")</f>
        <v/>
      </c>
    </row>
    <row r="794" spans="2:4" s="237" customFormat="1">
      <c r="B794" s="15" t="str">
        <f t="shared" si="45"/>
        <v/>
      </c>
      <c r="C794" s="16" t="str">
        <f>IFERROR(VLOOKUP(DATA!#REF!,DATA!#REF!,1,FALSE),"")</f>
        <v/>
      </c>
      <c r="D794" s="16" t="str">
        <f>IFERROR(VLOOKUP(C794,DATA!#REF!,2,FALSE),"")</f>
        <v/>
      </c>
    </row>
    <row r="795" spans="2:4" s="237" customFormat="1">
      <c r="B795" s="15" t="str">
        <f t="shared" si="45"/>
        <v/>
      </c>
      <c r="C795" s="16" t="str">
        <f>IFERROR(VLOOKUP(DATA!#REF!,DATA!#REF!,1,FALSE),"")</f>
        <v/>
      </c>
      <c r="D795" s="16" t="str">
        <f>IFERROR(VLOOKUP(C795,DATA!#REF!,2,FALSE),"")</f>
        <v/>
      </c>
    </row>
    <row r="796" spans="2:4" s="237" customFormat="1">
      <c r="B796" s="15" t="str">
        <f t="shared" si="45"/>
        <v/>
      </c>
      <c r="C796" s="16" t="str">
        <f>IFERROR(VLOOKUP(DATA!#REF!,DATA!#REF!,1,FALSE),"")</f>
        <v/>
      </c>
      <c r="D796" s="16" t="str">
        <f>IFERROR(VLOOKUP(C796,DATA!#REF!,2,FALSE),"")</f>
        <v/>
      </c>
    </row>
    <row r="797" spans="2:4" s="237" customFormat="1">
      <c r="B797" s="15" t="str">
        <f t="shared" si="45"/>
        <v/>
      </c>
      <c r="C797" s="16" t="str">
        <f>IFERROR(VLOOKUP(DATA!#REF!,DATA!#REF!,1,FALSE),"")</f>
        <v/>
      </c>
      <c r="D797" s="16" t="str">
        <f>IFERROR(VLOOKUP(C797,DATA!#REF!,2,FALSE),"")</f>
        <v/>
      </c>
    </row>
    <row r="798" spans="2:4" s="237" customFormat="1">
      <c r="B798" s="15" t="str">
        <f t="shared" si="45"/>
        <v/>
      </c>
      <c r="C798" s="16" t="str">
        <f>IFERROR(VLOOKUP(DATA!#REF!,DATA!#REF!,1,FALSE),"")</f>
        <v/>
      </c>
      <c r="D798" s="16" t="str">
        <f>IFERROR(VLOOKUP(C798,DATA!#REF!,2,FALSE),"")</f>
        <v/>
      </c>
    </row>
    <row r="799" spans="2:4" s="237" customFormat="1">
      <c r="B799" s="15" t="str">
        <f t="shared" si="45"/>
        <v/>
      </c>
      <c r="C799" s="16" t="str">
        <f>IFERROR(VLOOKUP(DATA!#REF!,DATA!#REF!,1,FALSE),"")</f>
        <v/>
      </c>
      <c r="D799" s="16" t="str">
        <f>IFERROR(VLOOKUP(C799,DATA!#REF!,2,FALSE),"")</f>
        <v/>
      </c>
    </row>
    <row r="800" spans="2:4" s="237" customFormat="1">
      <c r="B800" s="15" t="str">
        <f t="shared" si="45"/>
        <v/>
      </c>
      <c r="C800" s="16" t="str">
        <f>IFERROR(VLOOKUP(DATA!#REF!,DATA!#REF!,1,FALSE),"")</f>
        <v/>
      </c>
      <c r="D800" s="16" t="str">
        <f>IFERROR(VLOOKUP(C800,DATA!#REF!,2,FALSE),"")</f>
        <v/>
      </c>
    </row>
    <row r="801" spans="2:4" s="237" customFormat="1">
      <c r="B801" s="15" t="str">
        <f t="shared" si="45"/>
        <v/>
      </c>
      <c r="C801" s="16" t="str">
        <f>IFERROR(VLOOKUP(DATA!#REF!,DATA!#REF!,1,FALSE),"")</f>
        <v/>
      </c>
      <c r="D801" s="16" t="str">
        <f>IFERROR(VLOOKUP(C801,DATA!#REF!,2,FALSE),"")</f>
        <v/>
      </c>
    </row>
    <row r="802" spans="2:4" s="237" customFormat="1">
      <c r="B802" s="15" t="str">
        <f t="shared" si="45"/>
        <v/>
      </c>
      <c r="C802" s="16" t="str">
        <f>IFERROR(VLOOKUP(DATA!#REF!,DATA!#REF!,1,FALSE),"")</f>
        <v/>
      </c>
      <c r="D802" s="16" t="str">
        <f>IFERROR(VLOOKUP(C802,DATA!#REF!,2,FALSE),"")</f>
        <v/>
      </c>
    </row>
    <row r="803" spans="2:4" s="237" customFormat="1">
      <c r="B803" s="15" t="str">
        <f t="shared" si="45"/>
        <v/>
      </c>
      <c r="C803" s="16" t="str">
        <f>IFERROR(VLOOKUP(DATA!#REF!,DATA!#REF!,1,FALSE),"")</f>
        <v/>
      </c>
      <c r="D803" s="16" t="str">
        <f>IFERROR(VLOOKUP(C803,DATA!#REF!,2,FALSE),"")</f>
        <v/>
      </c>
    </row>
    <row r="804" spans="2:4" s="237" customFormat="1">
      <c r="B804" s="15" t="str">
        <f t="shared" si="45"/>
        <v/>
      </c>
      <c r="C804" s="16" t="str">
        <f>IFERROR(VLOOKUP(DATA!#REF!,DATA!#REF!,1,FALSE),"")</f>
        <v/>
      </c>
      <c r="D804" s="16" t="str">
        <f>IFERROR(VLOOKUP(C804,DATA!#REF!,2,FALSE),"")</f>
        <v/>
      </c>
    </row>
    <row r="805" spans="2:4" s="237" customFormat="1">
      <c r="B805" s="15" t="str">
        <f t="shared" si="45"/>
        <v/>
      </c>
      <c r="C805" s="16" t="str">
        <f>IFERROR(VLOOKUP(DATA!#REF!,DATA!#REF!,1,FALSE),"")</f>
        <v/>
      </c>
      <c r="D805" s="16" t="str">
        <f>IFERROR(VLOOKUP(C805,DATA!#REF!,2,FALSE),"")</f>
        <v/>
      </c>
    </row>
    <row r="806" spans="2:4" s="237" customFormat="1">
      <c r="B806" s="15" t="str">
        <f t="shared" si="45"/>
        <v/>
      </c>
      <c r="C806" s="16" t="str">
        <f>IFERROR(VLOOKUP(DATA!#REF!,DATA!#REF!,1,FALSE),"")</f>
        <v/>
      </c>
      <c r="D806" s="16" t="str">
        <f>IFERROR(VLOOKUP(C806,DATA!#REF!,2,FALSE),"")</f>
        <v/>
      </c>
    </row>
    <row r="807" spans="2:4" s="237" customFormat="1">
      <c r="B807" s="15" t="str">
        <f t="shared" si="45"/>
        <v/>
      </c>
      <c r="C807" s="16" t="str">
        <f>IFERROR(VLOOKUP(DATA!#REF!,DATA!#REF!,1,FALSE),"")</f>
        <v/>
      </c>
      <c r="D807" s="16" t="str">
        <f>IFERROR(VLOOKUP(C807,DATA!#REF!,2,FALSE),"")</f>
        <v/>
      </c>
    </row>
    <row r="808" spans="2:4" s="237" customFormat="1">
      <c r="B808" s="15" t="str">
        <f t="shared" si="45"/>
        <v/>
      </c>
      <c r="C808" s="16" t="str">
        <f>IFERROR(VLOOKUP(DATA!#REF!,DATA!#REF!,1,FALSE),"")</f>
        <v/>
      </c>
      <c r="D808" s="16" t="str">
        <f>IFERROR(VLOOKUP(C808,DATA!#REF!,2,FALSE),"")</f>
        <v/>
      </c>
    </row>
    <row r="809" spans="2:4" s="237" customFormat="1">
      <c r="B809" s="15" t="str">
        <f t="shared" si="45"/>
        <v/>
      </c>
      <c r="C809" s="16" t="str">
        <f>IFERROR(VLOOKUP(DATA!#REF!,DATA!#REF!,1,FALSE),"")</f>
        <v/>
      </c>
      <c r="D809" s="16" t="str">
        <f>IFERROR(VLOOKUP(C809,DATA!#REF!,2,FALSE),"")</f>
        <v/>
      </c>
    </row>
    <row r="810" spans="2:4" s="237" customFormat="1">
      <c r="B810" s="15" t="str">
        <f t="shared" si="45"/>
        <v/>
      </c>
      <c r="C810" s="16" t="str">
        <f>IFERROR(VLOOKUP(DATA!#REF!,DATA!#REF!,1,FALSE),"")</f>
        <v/>
      </c>
      <c r="D810" s="16" t="str">
        <f>IFERROR(VLOOKUP(C810,DATA!#REF!,2,FALSE),"")</f>
        <v/>
      </c>
    </row>
    <row r="811" spans="2:4" s="237" customFormat="1">
      <c r="B811" s="15" t="str">
        <f t="shared" si="45"/>
        <v/>
      </c>
      <c r="C811" s="16" t="str">
        <f>IFERROR(VLOOKUP(DATA!#REF!,DATA!#REF!,1,FALSE),"")</f>
        <v/>
      </c>
      <c r="D811" s="16" t="str">
        <f>IFERROR(VLOOKUP(C811,DATA!#REF!,2,FALSE),"")</f>
        <v/>
      </c>
    </row>
    <row r="812" spans="2:4" s="237" customFormat="1">
      <c r="B812" s="15" t="str">
        <f t="shared" si="45"/>
        <v/>
      </c>
      <c r="C812" s="16" t="str">
        <f>IFERROR(VLOOKUP(DATA!#REF!,DATA!#REF!,1,FALSE),"")</f>
        <v/>
      </c>
      <c r="D812" s="16" t="str">
        <f>IFERROR(VLOOKUP(C812,DATA!#REF!,2,FALSE),"")</f>
        <v/>
      </c>
    </row>
    <row r="813" spans="2:4" s="237" customFormat="1">
      <c r="B813" s="15" t="str">
        <f t="shared" si="45"/>
        <v/>
      </c>
      <c r="C813" s="16" t="str">
        <f>IFERROR(VLOOKUP(DATA!#REF!,DATA!#REF!,1,FALSE),"")</f>
        <v/>
      </c>
      <c r="D813" s="16" t="str">
        <f>IFERROR(VLOOKUP(C813,DATA!#REF!,2,FALSE),"")</f>
        <v/>
      </c>
    </row>
    <row r="814" spans="2:4" s="237" customFormat="1">
      <c r="B814" s="15" t="str">
        <f t="shared" si="45"/>
        <v/>
      </c>
      <c r="C814" s="16" t="str">
        <f>IFERROR(VLOOKUP(DATA!#REF!,DATA!#REF!,1,FALSE),"")</f>
        <v/>
      </c>
      <c r="D814" s="16" t="str">
        <f>IFERROR(VLOOKUP(C814,DATA!#REF!,2,FALSE),"")</f>
        <v/>
      </c>
    </row>
    <row r="815" spans="2:4" s="237" customFormat="1">
      <c r="B815" s="15" t="str">
        <f t="shared" si="45"/>
        <v/>
      </c>
      <c r="C815" s="16" t="str">
        <f>IFERROR(VLOOKUP(DATA!#REF!,DATA!#REF!,1,FALSE),"")</f>
        <v/>
      </c>
      <c r="D815" s="16" t="str">
        <f>IFERROR(VLOOKUP(C815,DATA!#REF!,2,FALSE),"")</f>
        <v/>
      </c>
    </row>
    <row r="816" spans="2:4" s="237" customFormat="1">
      <c r="B816" s="15" t="str">
        <f t="shared" si="45"/>
        <v/>
      </c>
      <c r="C816" s="16" t="str">
        <f>IFERROR(VLOOKUP(DATA!#REF!,DATA!#REF!,1,FALSE),"")</f>
        <v/>
      </c>
      <c r="D816" s="16" t="str">
        <f>IFERROR(VLOOKUP(C816,DATA!#REF!,2,FALSE),"")</f>
        <v/>
      </c>
    </row>
    <row r="817" spans="2:4" s="237" customFormat="1">
      <c r="B817" s="15" t="str">
        <f t="shared" si="45"/>
        <v/>
      </c>
      <c r="C817" s="16" t="str">
        <f>IFERROR(VLOOKUP(DATA!#REF!,DATA!#REF!,1,FALSE),"")</f>
        <v/>
      </c>
      <c r="D817" s="16" t="str">
        <f>IFERROR(VLOOKUP(C817,DATA!#REF!,2,FALSE),"")</f>
        <v/>
      </c>
    </row>
    <row r="818" spans="2:4" s="237" customFormat="1">
      <c r="B818" s="15" t="str">
        <f t="shared" si="45"/>
        <v/>
      </c>
      <c r="C818" s="16" t="str">
        <f>IFERROR(VLOOKUP(DATA!#REF!,DATA!#REF!,1,FALSE),"")</f>
        <v/>
      </c>
      <c r="D818" s="16" t="str">
        <f>IFERROR(VLOOKUP(C818,DATA!#REF!,2,FALSE),"")</f>
        <v/>
      </c>
    </row>
    <row r="819" spans="2:4" s="237" customFormat="1">
      <c r="B819" s="15" t="str">
        <f t="shared" si="45"/>
        <v/>
      </c>
      <c r="C819" s="16" t="str">
        <f>IFERROR(VLOOKUP(DATA!#REF!,DATA!#REF!,1,FALSE),"")</f>
        <v/>
      </c>
      <c r="D819" s="16" t="str">
        <f>IFERROR(VLOOKUP(C819,DATA!#REF!,2,FALSE),"")</f>
        <v/>
      </c>
    </row>
    <row r="820" spans="2:4" s="237" customFormat="1">
      <c r="B820" s="15" t="str">
        <f t="shared" si="45"/>
        <v/>
      </c>
      <c r="C820" s="16" t="str">
        <f>IFERROR(VLOOKUP(DATA!#REF!,DATA!#REF!,1,FALSE),"")</f>
        <v/>
      </c>
      <c r="D820" s="16" t="str">
        <f>IFERROR(VLOOKUP(C820,DATA!#REF!,2,FALSE),"")</f>
        <v/>
      </c>
    </row>
    <row r="821" spans="2:4" s="237" customFormat="1">
      <c r="B821" s="15" t="str">
        <f t="shared" si="45"/>
        <v/>
      </c>
      <c r="C821" s="16" t="str">
        <f>IFERROR(VLOOKUP(DATA!#REF!,DATA!#REF!,1,FALSE),"")</f>
        <v/>
      </c>
      <c r="D821" s="16" t="str">
        <f>IFERROR(VLOOKUP(C821,DATA!#REF!,2,FALSE),"")</f>
        <v/>
      </c>
    </row>
    <row r="822" spans="2:4" s="237" customFormat="1">
      <c r="B822" s="15" t="str">
        <f t="shared" si="45"/>
        <v/>
      </c>
      <c r="C822" s="16" t="str">
        <f>IFERROR(VLOOKUP(DATA!#REF!,DATA!#REF!,1,FALSE),"")</f>
        <v/>
      </c>
      <c r="D822" s="16" t="str">
        <f>IFERROR(VLOOKUP(C822,DATA!#REF!,2,FALSE),"")</f>
        <v/>
      </c>
    </row>
    <row r="823" spans="2:4" s="237" customFormat="1">
      <c r="B823" s="15" t="str">
        <f t="shared" si="45"/>
        <v/>
      </c>
      <c r="C823" s="16" t="str">
        <f>IFERROR(VLOOKUP(DATA!#REF!,DATA!#REF!,1,FALSE),"")</f>
        <v/>
      </c>
      <c r="D823" s="16" t="str">
        <f>IFERROR(VLOOKUP(C823,DATA!#REF!,2,FALSE),"")</f>
        <v/>
      </c>
    </row>
    <row r="824" spans="2:4" s="237" customFormat="1">
      <c r="B824" s="15" t="str">
        <f t="shared" si="45"/>
        <v/>
      </c>
      <c r="C824" s="16" t="str">
        <f>IFERROR(VLOOKUP(DATA!#REF!,DATA!#REF!,1,FALSE),"")</f>
        <v/>
      </c>
      <c r="D824" s="16" t="str">
        <f>IFERROR(VLOOKUP(C824,DATA!#REF!,2,FALSE),"")</f>
        <v/>
      </c>
    </row>
    <row r="825" spans="2:4" s="237" customFormat="1">
      <c r="B825" s="15" t="str">
        <f t="shared" si="45"/>
        <v/>
      </c>
      <c r="C825" s="16" t="str">
        <f>IFERROR(VLOOKUP(DATA!#REF!,DATA!#REF!,1,FALSE),"")</f>
        <v/>
      </c>
      <c r="D825" s="16" t="str">
        <f>IFERROR(VLOOKUP(C825,DATA!#REF!,2,FALSE),"")</f>
        <v/>
      </c>
    </row>
    <row r="826" spans="2:4" s="237" customFormat="1">
      <c r="B826" s="15" t="str">
        <f t="shared" si="45"/>
        <v/>
      </c>
      <c r="C826" s="16" t="str">
        <f>IFERROR(VLOOKUP(DATA!#REF!,DATA!#REF!,1,FALSE),"")</f>
        <v/>
      </c>
      <c r="D826" s="16" t="str">
        <f>IFERROR(VLOOKUP(C826,DATA!#REF!,2,FALSE),"")</f>
        <v/>
      </c>
    </row>
    <row r="827" spans="2:4" s="237" customFormat="1">
      <c r="B827" s="15" t="str">
        <f t="shared" si="45"/>
        <v/>
      </c>
      <c r="C827" s="16" t="str">
        <f>IFERROR(VLOOKUP(DATA!#REF!,DATA!#REF!,1,FALSE),"")</f>
        <v/>
      </c>
      <c r="D827" s="16" t="str">
        <f>IFERROR(VLOOKUP(C827,DATA!#REF!,2,FALSE),"")</f>
        <v/>
      </c>
    </row>
    <row r="828" spans="2:4" s="237" customFormat="1">
      <c r="B828" s="15" t="str">
        <f t="shared" si="45"/>
        <v/>
      </c>
      <c r="C828" s="16" t="str">
        <f>IFERROR(VLOOKUP(DATA!#REF!,DATA!#REF!,1,FALSE),"")</f>
        <v/>
      </c>
      <c r="D828" s="16" t="str">
        <f>IFERROR(VLOOKUP(C828,DATA!#REF!,2,FALSE),"")</f>
        <v/>
      </c>
    </row>
    <row r="829" spans="2:4" s="237" customFormat="1">
      <c r="B829" s="15" t="str">
        <f t="shared" si="45"/>
        <v/>
      </c>
      <c r="C829" s="16" t="str">
        <f>IFERROR(VLOOKUP(DATA!#REF!,DATA!#REF!,1,FALSE),"")</f>
        <v/>
      </c>
      <c r="D829" s="16" t="str">
        <f>IFERROR(VLOOKUP(C829,DATA!#REF!,2,FALSE),"")</f>
        <v/>
      </c>
    </row>
    <row r="830" spans="2:4" s="237" customFormat="1">
      <c r="B830" s="15" t="str">
        <f t="shared" si="45"/>
        <v/>
      </c>
      <c r="C830" s="16" t="str">
        <f>IFERROR(VLOOKUP(DATA!#REF!,DATA!#REF!,1,FALSE),"")</f>
        <v/>
      </c>
      <c r="D830" s="16" t="str">
        <f>IFERROR(VLOOKUP(C830,DATA!#REF!,2,FALSE),"")</f>
        <v/>
      </c>
    </row>
    <row r="831" spans="2:4" s="237" customFormat="1">
      <c r="B831" s="15" t="str">
        <f t="shared" si="45"/>
        <v/>
      </c>
      <c r="C831" s="16" t="str">
        <f>IFERROR(VLOOKUP(DATA!#REF!,DATA!#REF!,1,FALSE),"")</f>
        <v/>
      </c>
      <c r="D831" s="16" t="str">
        <f>IFERROR(VLOOKUP(C831,DATA!#REF!,2,FALSE),"")</f>
        <v/>
      </c>
    </row>
    <row r="832" spans="2:4" s="237" customFormat="1">
      <c r="B832" s="15" t="str">
        <f t="shared" si="45"/>
        <v/>
      </c>
      <c r="C832" s="16" t="str">
        <f>IFERROR(VLOOKUP(DATA!#REF!,DATA!#REF!,1,FALSE),"")</f>
        <v/>
      </c>
      <c r="D832" s="16" t="str">
        <f>IFERROR(VLOOKUP(C832,DATA!#REF!,2,FALSE),"")</f>
        <v/>
      </c>
    </row>
    <row r="833" spans="2:4" s="237" customFormat="1">
      <c r="B833" s="15" t="str">
        <f t="shared" si="45"/>
        <v/>
      </c>
      <c r="C833" s="16" t="str">
        <f>IFERROR(VLOOKUP(DATA!#REF!,DATA!#REF!,1,FALSE),"")</f>
        <v/>
      </c>
      <c r="D833" s="16" t="str">
        <f>IFERROR(VLOOKUP(C833,DATA!#REF!,2,FALSE),"")</f>
        <v/>
      </c>
    </row>
    <row r="834" spans="2:4" s="237" customFormat="1">
      <c r="B834" s="15" t="str">
        <f t="shared" si="45"/>
        <v/>
      </c>
      <c r="C834" s="16" t="str">
        <f>IFERROR(VLOOKUP(DATA!#REF!,DATA!#REF!,1,FALSE),"")</f>
        <v/>
      </c>
      <c r="D834" s="16" t="str">
        <f>IFERROR(VLOOKUP(C834,DATA!#REF!,2,FALSE),"")</f>
        <v/>
      </c>
    </row>
    <row r="835" spans="2:4" s="237" customFormat="1">
      <c r="B835" s="15" t="str">
        <f t="shared" si="45"/>
        <v/>
      </c>
      <c r="C835" s="16" t="str">
        <f>IFERROR(VLOOKUP(DATA!#REF!,DATA!#REF!,1,FALSE),"")</f>
        <v/>
      </c>
      <c r="D835" s="16" t="str">
        <f>IFERROR(VLOOKUP(C835,DATA!#REF!,2,FALSE),"")</f>
        <v/>
      </c>
    </row>
    <row r="836" spans="2:4" s="237" customFormat="1">
      <c r="B836" s="15" t="str">
        <f t="shared" si="45"/>
        <v/>
      </c>
      <c r="C836" s="16" t="str">
        <f>IFERROR(VLOOKUP(DATA!#REF!,DATA!#REF!,1,FALSE),"")</f>
        <v/>
      </c>
      <c r="D836" s="16" t="str">
        <f>IFERROR(VLOOKUP(C836,DATA!#REF!,2,FALSE),"")</f>
        <v/>
      </c>
    </row>
    <row r="837" spans="2:4" s="237" customFormat="1">
      <c r="B837" s="15" t="str">
        <f t="shared" si="45"/>
        <v/>
      </c>
      <c r="C837" s="16" t="str">
        <f>IFERROR(VLOOKUP(DATA!#REF!,DATA!#REF!,1,FALSE),"")</f>
        <v/>
      </c>
      <c r="D837" s="16" t="str">
        <f>IFERROR(VLOOKUP(C837,DATA!#REF!,2,FALSE),"")</f>
        <v/>
      </c>
    </row>
    <row r="838" spans="2:4" s="237" customFormat="1">
      <c r="B838" s="15" t="str">
        <f t="shared" ref="B838:B901" si="46">+IF(C838="","",ROW()-5)</f>
        <v/>
      </c>
      <c r="C838" s="16" t="str">
        <f>IFERROR(VLOOKUP(DATA!#REF!,DATA!#REF!,1,FALSE),"")</f>
        <v/>
      </c>
      <c r="D838" s="16" t="str">
        <f>IFERROR(VLOOKUP(C838,DATA!#REF!,2,FALSE),"")</f>
        <v/>
      </c>
    </row>
    <row r="839" spans="2:4" s="237" customFormat="1">
      <c r="B839" s="15" t="str">
        <f t="shared" si="46"/>
        <v/>
      </c>
      <c r="C839" s="16" t="str">
        <f>IFERROR(VLOOKUP(DATA!#REF!,DATA!#REF!,1,FALSE),"")</f>
        <v/>
      </c>
      <c r="D839" s="16" t="str">
        <f>IFERROR(VLOOKUP(C839,DATA!#REF!,2,FALSE),"")</f>
        <v/>
      </c>
    </row>
    <row r="840" spans="2:4" s="237" customFormat="1">
      <c r="B840" s="15" t="str">
        <f t="shared" si="46"/>
        <v/>
      </c>
      <c r="C840" s="16" t="str">
        <f>IFERROR(VLOOKUP(DATA!#REF!,DATA!#REF!,1,FALSE),"")</f>
        <v/>
      </c>
      <c r="D840" s="16" t="str">
        <f>IFERROR(VLOOKUP(C840,DATA!#REF!,2,FALSE),"")</f>
        <v/>
      </c>
    </row>
    <row r="841" spans="2:4" s="237" customFormat="1">
      <c r="B841" s="15" t="str">
        <f t="shared" si="46"/>
        <v/>
      </c>
      <c r="C841" s="16" t="str">
        <f>IFERROR(VLOOKUP(DATA!#REF!,DATA!#REF!,1,FALSE),"")</f>
        <v/>
      </c>
      <c r="D841" s="16" t="str">
        <f>IFERROR(VLOOKUP(C841,DATA!#REF!,2,FALSE),"")</f>
        <v/>
      </c>
    </row>
    <row r="842" spans="2:4" s="237" customFormat="1">
      <c r="B842" s="15" t="str">
        <f t="shared" si="46"/>
        <v/>
      </c>
      <c r="C842" s="16" t="str">
        <f>IFERROR(VLOOKUP(DATA!#REF!,DATA!#REF!,1,FALSE),"")</f>
        <v/>
      </c>
      <c r="D842" s="16" t="str">
        <f>IFERROR(VLOOKUP(C842,DATA!#REF!,2,FALSE),"")</f>
        <v/>
      </c>
    </row>
    <row r="843" spans="2:4" s="237" customFormat="1">
      <c r="B843" s="15" t="str">
        <f t="shared" si="46"/>
        <v/>
      </c>
      <c r="C843" s="16" t="str">
        <f>IFERROR(VLOOKUP(DATA!#REF!,DATA!#REF!,1,FALSE),"")</f>
        <v/>
      </c>
      <c r="D843" s="16" t="str">
        <f>IFERROR(VLOOKUP(C843,DATA!#REF!,2,FALSE),"")</f>
        <v/>
      </c>
    </row>
    <row r="844" spans="2:4" s="237" customFormat="1">
      <c r="B844" s="15" t="str">
        <f t="shared" si="46"/>
        <v/>
      </c>
      <c r="C844" s="16" t="str">
        <f>IFERROR(VLOOKUP(DATA!#REF!,DATA!#REF!,1,FALSE),"")</f>
        <v/>
      </c>
      <c r="D844" s="16" t="str">
        <f>IFERROR(VLOOKUP(C844,DATA!#REF!,2,FALSE),"")</f>
        <v/>
      </c>
    </row>
    <row r="845" spans="2:4" s="237" customFormat="1">
      <c r="B845" s="15" t="str">
        <f t="shared" si="46"/>
        <v/>
      </c>
      <c r="C845" s="16" t="str">
        <f>IFERROR(VLOOKUP(DATA!#REF!,DATA!#REF!,1,FALSE),"")</f>
        <v/>
      </c>
      <c r="D845" s="16" t="str">
        <f>IFERROR(VLOOKUP(C845,DATA!#REF!,2,FALSE),"")</f>
        <v/>
      </c>
    </row>
    <row r="846" spans="2:4" s="237" customFormat="1">
      <c r="B846" s="15" t="str">
        <f t="shared" si="46"/>
        <v/>
      </c>
      <c r="C846" s="16" t="str">
        <f>IFERROR(VLOOKUP(DATA!#REF!,DATA!#REF!,1,FALSE),"")</f>
        <v/>
      </c>
      <c r="D846" s="16" t="str">
        <f>IFERROR(VLOOKUP(C846,DATA!#REF!,2,FALSE),"")</f>
        <v/>
      </c>
    </row>
    <row r="847" spans="2:4" s="237" customFormat="1">
      <c r="B847" s="15" t="str">
        <f t="shared" si="46"/>
        <v/>
      </c>
      <c r="C847" s="16" t="str">
        <f>IFERROR(VLOOKUP(DATA!#REF!,DATA!#REF!,1,FALSE),"")</f>
        <v/>
      </c>
      <c r="D847" s="16" t="str">
        <f>IFERROR(VLOOKUP(C847,DATA!#REF!,2,FALSE),"")</f>
        <v/>
      </c>
    </row>
    <row r="848" spans="2:4" s="237" customFormat="1">
      <c r="B848" s="15" t="str">
        <f t="shared" si="46"/>
        <v/>
      </c>
      <c r="C848" s="16" t="str">
        <f>IFERROR(VLOOKUP(DATA!#REF!,DATA!#REF!,1,FALSE),"")</f>
        <v/>
      </c>
      <c r="D848" s="16" t="str">
        <f>IFERROR(VLOOKUP(C848,DATA!#REF!,2,FALSE),"")</f>
        <v/>
      </c>
    </row>
    <row r="849" spans="2:4" s="237" customFormat="1">
      <c r="B849" s="15" t="str">
        <f t="shared" si="46"/>
        <v/>
      </c>
      <c r="C849" s="16" t="str">
        <f>IFERROR(VLOOKUP(DATA!#REF!,DATA!#REF!,1,FALSE),"")</f>
        <v/>
      </c>
      <c r="D849" s="16" t="str">
        <f>IFERROR(VLOOKUP(C849,DATA!#REF!,2,FALSE),"")</f>
        <v/>
      </c>
    </row>
    <row r="850" spans="2:4" s="237" customFormat="1">
      <c r="B850" s="15" t="str">
        <f t="shared" si="46"/>
        <v/>
      </c>
      <c r="C850" s="16" t="str">
        <f>IFERROR(VLOOKUP(DATA!#REF!,DATA!#REF!,1,FALSE),"")</f>
        <v/>
      </c>
      <c r="D850" s="16" t="str">
        <f>IFERROR(VLOOKUP(C850,DATA!#REF!,2,FALSE),"")</f>
        <v/>
      </c>
    </row>
    <row r="851" spans="2:4" s="237" customFormat="1">
      <c r="B851" s="15" t="str">
        <f t="shared" si="46"/>
        <v/>
      </c>
      <c r="C851" s="16" t="str">
        <f>IFERROR(VLOOKUP(DATA!#REF!,DATA!#REF!,1,FALSE),"")</f>
        <v/>
      </c>
      <c r="D851" s="16" t="str">
        <f>IFERROR(VLOOKUP(C851,DATA!#REF!,2,FALSE),"")</f>
        <v/>
      </c>
    </row>
    <row r="852" spans="2:4" s="237" customFormat="1">
      <c r="B852" s="15" t="str">
        <f t="shared" si="46"/>
        <v/>
      </c>
      <c r="C852" s="16" t="str">
        <f>IFERROR(VLOOKUP(DATA!#REF!,DATA!#REF!,1,FALSE),"")</f>
        <v/>
      </c>
      <c r="D852" s="16" t="str">
        <f>IFERROR(VLOOKUP(C852,DATA!#REF!,2,FALSE),"")</f>
        <v/>
      </c>
    </row>
    <row r="853" spans="2:4" s="237" customFormat="1">
      <c r="B853" s="15" t="str">
        <f t="shared" si="46"/>
        <v/>
      </c>
      <c r="C853" s="16" t="str">
        <f>IFERROR(VLOOKUP(DATA!#REF!,DATA!#REF!,1,FALSE),"")</f>
        <v/>
      </c>
      <c r="D853" s="16" t="str">
        <f>IFERROR(VLOOKUP(C853,DATA!#REF!,2,FALSE),"")</f>
        <v/>
      </c>
    </row>
    <row r="854" spans="2:4" s="237" customFormat="1">
      <c r="B854" s="15" t="str">
        <f t="shared" si="46"/>
        <v/>
      </c>
      <c r="C854" s="16" t="str">
        <f>IFERROR(VLOOKUP(DATA!#REF!,DATA!#REF!,1,FALSE),"")</f>
        <v/>
      </c>
      <c r="D854" s="16" t="str">
        <f>IFERROR(VLOOKUP(C854,DATA!#REF!,2,FALSE),"")</f>
        <v/>
      </c>
    </row>
    <row r="855" spans="2:4" s="237" customFormat="1">
      <c r="B855" s="15" t="str">
        <f t="shared" si="46"/>
        <v/>
      </c>
      <c r="C855" s="16" t="str">
        <f>IFERROR(VLOOKUP(DATA!#REF!,DATA!#REF!,1,FALSE),"")</f>
        <v/>
      </c>
      <c r="D855" s="16" t="str">
        <f>IFERROR(VLOOKUP(C855,DATA!#REF!,2,FALSE),"")</f>
        <v/>
      </c>
    </row>
    <row r="856" spans="2:4" s="237" customFormat="1">
      <c r="B856" s="15" t="str">
        <f t="shared" si="46"/>
        <v/>
      </c>
      <c r="C856" s="16" t="str">
        <f>IFERROR(VLOOKUP(DATA!#REF!,DATA!#REF!,1,FALSE),"")</f>
        <v/>
      </c>
      <c r="D856" s="16" t="str">
        <f>IFERROR(VLOOKUP(C856,DATA!#REF!,2,FALSE),"")</f>
        <v/>
      </c>
    </row>
    <row r="857" spans="2:4" s="237" customFormat="1">
      <c r="B857" s="15" t="str">
        <f t="shared" si="46"/>
        <v/>
      </c>
      <c r="C857" s="16" t="str">
        <f>IFERROR(VLOOKUP(DATA!#REF!,DATA!#REF!,1,FALSE),"")</f>
        <v/>
      </c>
      <c r="D857" s="16" t="str">
        <f>IFERROR(VLOOKUP(C857,DATA!#REF!,2,FALSE),"")</f>
        <v/>
      </c>
    </row>
    <row r="858" spans="2:4" s="237" customFormat="1">
      <c r="B858" s="15" t="str">
        <f t="shared" si="46"/>
        <v/>
      </c>
      <c r="C858" s="16" t="str">
        <f>IFERROR(VLOOKUP(DATA!#REF!,DATA!#REF!,1,FALSE),"")</f>
        <v/>
      </c>
      <c r="D858" s="16" t="str">
        <f>IFERROR(VLOOKUP(C858,DATA!#REF!,2,FALSE),"")</f>
        <v/>
      </c>
    </row>
    <row r="859" spans="2:4" s="237" customFormat="1">
      <c r="B859" s="15" t="str">
        <f t="shared" si="46"/>
        <v/>
      </c>
      <c r="C859" s="16" t="str">
        <f>IFERROR(VLOOKUP(DATA!#REF!,DATA!#REF!,1,FALSE),"")</f>
        <v/>
      </c>
      <c r="D859" s="16" t="str">
        <f>IFERROR(VLOOKUP(C859,DATA!#REF!,2,FALSE),"")</f>
        <v/>
      </c>
    </row>
    <row r="860" spans="2:4" s="237" customFormat="1">
      <c r="B860" s="15" t="str">
        <f t="shared" si="46"/>
        <v/>
      </c>
      <c r="C860" s="16" t="str">
        <f>IFERROR(VLOOKUP(DATA!#REF!,DATA!#REF!,1,FALSE),"")</f>
        <v/>
      </c>
      <c r="D860" s="16" t="str">
        <f>IFERROR(VLOOKUP(C860,DATA!#REF!,2,FALSE),"")</f>
        <v/>
      </c>
    </row>
    <row r="861" spans="2:4" s="237" customFormat="1">
      <c r="B861" s="15" t="str">
        <f t="shared" si="46"/>
        <v/>
      </c>
      <c r="C861" s="16" t="str">
        <f>IFERROR(VLOOKUP(DATA!#REF!,DATA!#REF!,1,FALSE),"")</f>
        <v/>
      </c>
      <c r="D861" s="16" t="str">
        <f>IFERROR(VLOOKUP(C861,DATA!#REF!,2,FALSE),"")</f>
        <v/>
      </c>
    </row>
    <row r="862" spans="2:4" s="237" customFormat="1">
      <c r="B862" s="15" t="str">
        <f t="shared" si="46"/>
        <v/>
      </c>
      <c r="C862" s="16" t="str">
        <f>IFERROR(VLOOKUP(DATA!#REF!,DATA!#REF!,1,FALSE),"")</f>
        <v/>
      </c>
      <c r="D862" s="16" t="str">
        <f>IFERROR(VLOOKUP(C862,DATA!#REF!,2,FALSE),"")</f>
        <v/>
      </c>
    </row>
    <row r="863" spans="2:4" s="237" customFormat="1">
      <c r="B863" s="15" t="str">
        <f t="shared" si="46"/>
        <v/>
      </c>
      <c r="C863" s="16" t="str">
        <f>IFERROR(VLOOKUP(DATA!#REF!,DATA!#REF!,1,FALSE),"")</f>
        <v/>
      </c>
      <c r="D863" s="16" t="str">
        <f>IFERROR(VLOOKUP(C863,DATA!#REF!,2,FALSE),"")</f>
        <v/>
      </c>
    </row>
    <row r="864" spans="2:4" s="237" customFormat="1">
      <c r="B864" s="15" t="str">
        <f t="shared" si="46"/>
        <v/>
      </c>
      <c r="C864" s="16" t="str">
        <f>IFERROR(VLOOKUP(DATA!#REF!,DATA!#REF!,1,FALSE),"")</f>
        <v/>
      </c>
      <c r="D864" s="16" t="str">
        <f>IFERROR(VLOOKUP(C864,DATA!#REF!,2,FALSE),"")</f>
        <v/>
      </c>
    </row>
    <row r="865" spans="2:4" s="237" customFormat="1">
      <c r="B865" s="15" t="str">
        <f t="shared" si="46"/>
        <v/>
      </c>
      <c r="C865" s="16" t="str">
        <f>IFERROR(VLOOKUP(DATA!#REF!,DATA!#REF!,1,FALSE),"")</f>
        <v/>
      </c>
      <c r="D865" s="16" t="str">
        <f>IFERROR(VLOOKUP(C865,DATA!#REF!,2,FALSE),"")</f>
        <v/>
      </c>
    </row>
    <row r="866" spans="2:4" s="237" customFormat="1">
      <c r="B866" s="15" t="str">
        <f t="shared" si="46"/>
        <v/>
      </c>
      <c r="C866" s="16" t="str">
        <f>IFERROR(VLOOKUP(DATA!#REF!,DATA!#REF!,1,FALSE),"")</f>
        <v/>
      </c>
      <c r="D866" s="16" t="str">
        <f>IFERROR(VLOOKUP(C866,DATA!#REF!,2,FALSE),"")</f>
        <v/>
      </c>
    </row>
    <row r="867" spans="2:4" s="237" customFormat="1">
      <c r="B867" s="15" t="str">
        <f t="shared" si="46"/>
        <v/>
      </c>
      <c r="C867" s="16" t="str">
        <f>IFERROR(VLOOKUP(DATA!#REF!,DATA!#REF!,1,FALSE),"")</f>
        <v/>
      </c>
      <c r="D867" s="16" t="str">
        <f>IFERROR(VLOOKUP(C867,DATA!#REF!,2,FALSE),"")</f>
        <v/>
      </c>
    </row>
    <row r="868" spans="2:4" s="237" customFormat="1">
      <c r="B868" s="15" t="str">
        <f t="shared" si="46"/>
        <v/>
      </c>
      <c r="C868" s="16" t="str">
        <f>IFERROR(VLOOKUP(DATA!#REF!,DATA!#REF!,1,FALSE),"")</f>
        <v/>
      </c>
      <c r="D868" s="16" t="str">
        <f>IFERROR(VLOOKUP(C868,DATA!#REF!,2,FALSE),"")</f>
        <v/>
      </c>
    </row>
    <row r="869" spans="2:4" s="237" customFormat="1">
      <c r="B869" s="15" t="str">
        <f t="shared" si="46"/>
        <v/>
      </c>
      <c r="C869" s="16" t="str">
        <f>IFERROR(VLOOKUP(DATA!#REF!,DATA!#REF!,1,FALSE),"")</f>
        <v/>
      </c>
      <c r="D869" s="16" t="str">
        <f>IFERROR(VLOOKUP(C869,DATA!#REF!,2,FALSE),"")</f>
        <v/>
      </c>
    </row>
    <row r="870" spans="2:4" s="237" customFormat="1">
      <c r="B870" s="15" t="str">
        <f t="shared" si="46"/>
        <v/>
      </c>
      <c r="C870" s="16" t="str">
        <f>IFERROR(VLOOKUP(DATA!#REF!,DATA!#REF!,1,FALSE),"")</f>
        <v/>
      </c>
      <c r="D870" s="16" t="str">
        <f>IFERROR(VLOOKUP(C870,DATA!#REF!,2,FALSE),"")</f>
        <v/>
      </c>
    </row>
    <row r="871" spans="2:4" s="237" customFormat="1">
      <c r="B871" s="15" t="str">
        <f t="shared" si="46"/>
        <v/>
      </c>
      <c r="C871" s="16" t="str">
        <f>IFERROR(VLOOKUP(DATA!#REF!,DATA!#REF!,1,FALSE),"")</f>
        <v/>
      </c>
      <c r="D871" s="16" t="str">
        <f>IFERROR(VLOOKUP(C871,DATA!#REF!,2,FALSE),"")</f>
        <v/>
      </c>
    </row>
    <row r="872" spans="2:4" s="237" customFormat="1">
      <c r="B872" s="15" t="str">
        <f t="shared" si="46"/>
        <v/>
      </c>
      <c r="C872" s="16" t="str">
        <f>IFERROR(VLOOKUP(DATA!#REF!,DATA!#REF!,1,FALSE),"")</f>
        <v/>
      </c>
      <c r="D872" s="16" t="str">
        <f>IFERROR(VLOOKUP(C872,DATA!#REF!,2,FALSE),"")</f>
        <v/>
      </c>
    </row>
    <row r="873" spans="2:4" s="237" customFormat="1">
      <c r="B873" s="15" t="str">
        <f t="shared" si="46"/>
        <v/>
      </c>
      <c r="C873" s="16" t="str">
        <f>IFERROR(VLOOKUP(DATA!#REF!,DATA!#REF!,1,FALSE),"")</f>
        <v/>
      </c>
      <c r="D873" s="16" t="str">
        <f>IFERROR(VLOOKUP(C873,DATA!#REF!,2,FALSE),"")</f>
        <v/>
      </c>
    </row>
    <row r="874" spans="2:4" s="237" customFormat="1">
      <c r="B874" s="15" t="str">
        <f t="shared" si="46"/>
        <v/>
      </c>
      <c r="C874" s="16" t="str">
        <f>IFERROR(VLOOKUP(DATA!#REF!,DATA!#REF!,1,FALSE),"")</f>
        <v/>
      </c>
      <c r="D874" s="16" t="str">
        <f>IFERROR(VLOOKUP(C874,DATA!#REF!,2,FALSE),"")</f>
        <v/>
      </c>
    </row>
    <row r="875" spans="2:4" s="237" customFormat="1">
      <c r="B875" s="15" t="str">
        <f t="shared" si="46"/>
        <v/>
      </c>
      <c r="C875" s="16" t="str">
        <f>IFERROR(VLOOKUP(DATA!#REF!,DATA!#REF!,1,FALSE),"")</f>
        <v/>
      </c>
      <c r="D875" s="16" t="str">
        <f>IFERROR(VLOOKUP(C875,DATA!#REF!,2,FALSE),"")</f>
        <v/>
      </c>
    </row>
    <row r="876" spans="2:4" s="237" customFormat="1">
      <c r="B876" s="15" t="str">
        <f t="shared" si="46"/>
        <v/>
      </c>
      <c r="C876" s="16" t="str">
        <f>IFERROR(VLOOKUP(DATA!#REF!,DATA!#REF!,1,FALSE),"")</f>
        <v/>
      </c>
      <c r="D876" s="16" t="str">
        <f>IFERROR(VLOOKUP(C876,DATA!#REF!,2,FALSE),"")</f>
        <v/>
      </c>
    </row>
    <row r="877" spans="2:4" s="237" customFormat="1">
      <c r="B877" s="15" t="str">
        <f t="shared" si="46"/>
        <v/>
      </c>
      <c r="C877" s="16" t="str">
        <f>IFERROR(VLOOKUP(DATA!#REF!,DATA!#REF!,1,FALSE),"")</f>
        <v/>
      </c>
      <c r="D877" s="16" t="str">
        <f>IFERROR(VLOOKUP(C877,DATA!#REF!,2,FALSE),"")</f>
        <v/>
      </c>
    </row>
    <row r="878" spans="2:4" s="237" customFormat="1">
      <c r="B878" s="15" t="str">
        <f t="shared" si="46"/>
        <v/>
      </c>
      <c r="C878" s="16" t="str">
        <f>IFERROR(VLOOKUP(DATA!#REF!,DATA!#REF!,1,FALSE),"")</f>
        <v/>
      </c>
      <c r="D878" s="16" t="str">
        <f>IFERROR(VLOOKUP(C878,DATA!#REF!,2,FALSE),"")</f>
        <v/>
      </c>
    </row>
    <row r="879" spans="2:4" s="237" customFormat="1">
      <c r="B879" s="15" t="str">
        <f t="shared" si="46"/>
        <v/>
      </c>
      <c r="C879" s="16" t="str">
        <f>IFERROR(VLOOKUP(DATA!#REF!,DATA!#REF!,1,FALSE),"")</f>
        <v/>
      </c>
      <c r="D879" s="16" t="str">
        <f>IFERROR(VLOOKUP(C879,DATA!#REF!,2,FALSE),"")</f>
        <v/>
      </c>
    </row>
    <row r="880" spans="2:4" s="237" customFormat="1">
      <c r="B880" s="15" t="str">
        <f t="shared" si="46"/>
        <v/>
      </c>
      <c r="C880" s="16" t="str">
        <f>IFERROR(VLOOKUP(DATA!#REF!,DATA!#REF!,1,FALSE),"")</f>
        <v/>
      </c>
      <c r="D880" s="16" t="str">
        <f>IFERROR(VLOOKUP(C880,DATA!#REF!,2,FALSE),"")</f>
        <v/>
      </c>
    </row>
    <row r="881" spans="2:4" s="237" customFormat="1">
      <c r="B881" s="15" t="str">
        <f t="shared" si="46"/>
        <v/>
      </c>
      <c r="C881" s="16" t="str">
        <f>IFERROR(VLOOKUP(DATA!#REF!,DATA!#REF!,1,FALSE),"")</f>
        <v/>
      </c>
      <c r="D881" s="16" t="str">
        <f>IFERROR(VLOOKUP(C881,DATA!#REF!,2,FALSE),"")</f>
        <v/>
      </c>
    </row>
    <row r="882" spans="2:4" s="237" customFormat="1">
      <c r="B882" s="15" t="str">
        <f t="shared" si="46"/>
        <v/>
      </c>
      <c r="C882" s="16" t="str">
        <f>IFERROR(VLOOKUP(DATA!#REF!,DATA!#REF!,1,FALSE),"")</f>
        <v/>
      </c>
      <c r="D882" s="16" t="str">
        <f>IFERROR(VLOOKUP(C882,DATA!#REF!,2,FALSE),"")</f>
        <v/>
      </c>
    </row>
    <row r="883" spans="2:4" s="237" customFormat="1">
      <c r="B883" s="15" t="str">
        <f t="shared" si="46"/>
        <v/>
      </c>
      <c r="C883" s="16" t="str">
        <f>IFERROR(VLOOKUP(DATA!#REF!,DATA!#REF!,1,FALSE),"")</f>
        <v/>
      </c>
      <c r="D883" s="16" t="str">
        <f>IFERROR(VLOOKUP(C883,DATA!#REF!,2,FALSE),"")</f>
        <v/>
      </c>
    </row>
    <row r="884" spans="2:4" s="237" customFormat="1">
      <c r="B884" s="15" t="str">
        <f t="shared" si="46"/>
        <v/>
      </c>
      <c r="C884" s="16" t="str">
        <f>IFERROR(VLOOKUP(DATA!#REF!,DATA!#REF!,1,FALSE),"")</f>
        <v/>
      </c>
      <c r="D884" s="16" t="str">
        <f>IFERROR(VLOOKUP(C884,DATA!#REF!,2,FALSE),"")</f>
        <v/>
      </c>
    </row>
    <row r="885" spans="2:4" s="237" customFormat="1">
      <c r="B885" s="15" t="str">
        <f t="shared" si="46"/>
        <v/>
      </c>
      <c r="C885" s="16" t="str">
        <f>IFERROR(VLOOKUP(DATA!#REF!,DATA!#REF!,1,FALSE),"")</f>
        <v/>
      </c>
      <c r="D885" s="16" t="str">
        <f>IFERROR(VLOOKUP(C885,DATA!#REF!,2,FALSE),"")</f>
        <v/>
      </c>
    </row>
    <row r="886" spans="2:4" s="237" customFormat="1">
      <c r="B886" s="15" t="str">
        <f t="shared" si="46"/>
        <v/>
      </c>
      <c r="C886" s="16" t="str">
        <f>IFERROR(VLOOKUP(DATA!#REF!,DATA!#REF!,1,FALSE),"")</f>
        <v/>
      </c>
      <c r="D886" s="16" t="str">
        <f>IFERROR(VLOOKUP(C886,DATA!#REF!,2,FALSE),"")</f>
        <v/>
      </c>
    </row>
    <row r="887" spans="2:4" s="237" customFormat="1">
      <c r="B887" s="15" t="str">
        <f t="shared" si="46"/>
        <v/>
      </c>
      <c r="C887" s="16" t="str">
        <f>IFERROR(VLOOKUP(DATA!#REF!,DATA!#REF!,1,FALSE),"")</f>
        <v/>
      </c>
      <c r="D887" s="16" t="str">
        <f>IFERROR(VLOOKUP(C887,DATA!#REF!,2,FALSE),"")</f>
        <v/>
      </c>
    </row>
    <row r="888" spans="2:4" s="237" customFormat="1">
      <c r="B888" s="15" t="str">
        <f t="shared" si="46"/>
        <v/>
      </c>
      <c r="C888" s="16" t="str">
        <f>IFERROR(VLOOKUP(DATA!#REF!,DATA!#REF!,1,FALSE),"")</f>
        <v/>
      </c>
      <c r="D888" s="16" t="str">
        <f>IFERROR(VLOOKUP(C888,DATA!#REF!,2,FALSE),"")</f>
        <v/>
      </c>
    </row>
    <row r="889" spans="2:4" s="237" customFormat="1">
      <c r="B889" s="15" t="str">
        <f t="shared" si="46"/>
        <v/>
      </c>
      <c r="C889" s="16" t="str">
        <f>IFERROR(VLOOKUP(DATA!#REF!,DATA!#REF!,1,FALSE),"")</f>
        <v/>
      </c>
      <c r="D889" s="16" t="str">
        <f>IFERROR(VLOOKUP(C889,DATA!#REF!,2,FALSE),"")</f>
        <v/>
      </c>
    </row>
    <row r="890" spans="2:4" s="237" customFormat="1">
      <c r="B890" s="15" t="str">
        <f t="shared" si="46"/>
        <v/>
      </c>
      <c r="C890" s="16" t="str">
        <f>IFERROR(VLOOKUP(DATA!#REF!,DATA!#REF!,1,FALSE),"")</f>
        <v/>
      </c>
      <c r="D890" s="16" t="str">
        <f>IFERROR(VLOOKUP(C890,DATA!#REF!,2,FALSE),"")</f>
        <v/>
      </c>
    </row>
    <row r="891" spans="2:4" s="237" customFormat="1">
      <c r="B891" s="15" t="str">
        <f t="shared" si="46"/>
        <v/>
      </c>
      <c r="C891" s="16" t="str">
        <f>IFERROR(VLOOKUP(DATA!#REF!,DATA!#REF!,1,FALSE),"")</f>
        <v/>
      </c>
      <c r="D891" s="16" t="str">
        <f>IFERROR(VLOOKUP(C891,DATA!#REF!,2,FALSE),"")</f>
        <v/>
      </c>
    </row>
    <row r="892" spans="2:4" s="237" customFormat="1">
      <c r="B892" s="15" t="str">
        <f t="shared" si="46"/>
        <v/>
      </c>
      <c r="C892" s="16" t="str">
        <f>IFERROR(VLOOKUP(DATA!#REF!,DATA!#REF!,1,FALSE),"")</f>
        <v/>
      </c>
      <c r="D892" s="16" t="str">
        <f>IFERROR(VLOOKUP(C892,DATA!#REF!,2,FALSE),"")</f>
        <v/>
      </c>
    </row>
    <row r="893" spans="2:4" s="237" customFormat="1">
      <c r="B893" s="15" t="str">
        <f t="shared" si="46"/>
        <v/>
      </c>
      <c r="C893" s="16" t="str">
        <f>IFERROR(VLOOKUP(DATA!#REF!,DATA!#REF!,1,FALSE),"")</f>
        <v/>
      </c>
      <c r="D893" s="16" t="str">
        <f>IFERROR(VLOOKUP(C893,DATA!#REF!,2,FALSE),"")</f>
        <v/>
      </c>
    </row>
    <row r="894" spans="2:4" s="237" customFormat="1">
      <c r="B894" s="15" t="str">
        <f t="shared" si="46"/>
        <v/>
      </c>
      <c r="C894" s="16" t="str">
        <f>IFERROR(VLOOKUP(DATA!#REF!,DATA!#REF!,1,FALSE),"")</f>
        <v/>
      </c>
      <c r="D894" s="16" t="str">
        <f>IFERROR(VLOOKUP(C894,DATA!#REF!,2,FALSE),"")</f>
        <v/>
      </c>
    </row>
    <row r="895" spans="2:4" s="237" customFormat="1">
      <c r="B895" s="15" t="str">
        <f t="shared" si="46"/>
        <v/>
      </c>
      <c r="C895" s="16" t="str">
        <f>IFERROR(VLOOKUP(DATA!#REF!,DATA!#REF!,1,FALSE),"")</f>
        <v/>
      </c>
      <c r="D895" s="16" t="str">
        <f>IFERROR(VLOOKUP(C895,DATA!#REF!,2,FALSE),"")</f>
        <v/>
      </c>
    </row>
    <row r="896" spans="2:4" s="237" customFormat="1">
      <c r="B896" s="15" t="str">
        <f t="shared" si="46"/>
        <v/>
      </c>
      <c r="C896" s="16" t="str">
        <f>IFERROR(VLOOKUP(DATA!#REF!,DATA!#REF!,1,FALSE),"")</f>
        <v/>
      </c>
      <c r="D896" s="16" t="str">
        <f>IFERROR(VLOOKUP(C896,DATA!#REF!,2,FALSE),"")</f>
        <v/>
      </c>
    </row>
    <row r="897" spans="2:4" s="237" customFormat="1">
      <c r="B897" s="15" t="str">
        <f t="shared" si="46"/>
        <v/>
      </c>
      <c r="C897" s="16" t="str">
        <f>IFERROR(VLOOKUP(DATA!#REF!,DATA!#REF!,1,FALSE),"")</f>
        <v/>
      </c>
      <c r="D897" s="16" t="str">
        <f>IFERROR(VLOOKUP(C897,DATA!#REF!,2,FALSE),"")</f>
        <v/>
      </c>
    </row>
    <row r="898" spans="2:4" s="237" customFormat="1">
      <c r="B898" s="15" t="str">
        <f t="shared" si="46"/>
        <v/>
      </c>
      <c r="C898" s="16" t="str">
        <f>IFERROR(VLOOKUP(DATA!#REF!,DATA!#REF!,1,FALSE),"")</f>
        <v/>
      </c>
      <c r="D898" s="16" t="str">
        <f>IFERROR(VLOOKUP(C898,DATA!#REF!,2,FALSE),"")</f>
        <v/>
      </c>
    </row>
    <row r="899" spans="2:4" s="237" customFormat="1">
      <c r="B899" s="15" t="str">
        <f t="shared" si="46"/>
        <v/>
      </c>
      <c r="C899" s="16" t="str">
        <f>IFERROR(VLOOKUP(DATA!#REF!,DATA!#REF!,1,FALSE),"")</f>
        <v/>
      </c>
      <c r="D899" s="16" t="str">
        <f>IFERROR(VLOOKUP(C899,DATA!#REF!,2,FALSE),"")</f>
        <v/>
      </c>
    </row>
    <row r="900" spans="2:4" s="237" customFormat="1">
      <c r="B900" s="15" t="str">
        <f t="shared" si="46"/>
        <v/>
      </c>
      <c r="C900" s="16" t="str">
        <f>IFERROR(VLOOKUP(DATA!#REF!,DATA!#REF!,1,FALSE),"")</f>
        <v/>
      </c>
      <c r="D900" s="16" t="str">
        <f>IFERROR(VLOOKUP(C900,DATA!#REF!,2,FALSE),"")</f>
        <v/>
      </c>
    </row>
    <row r="901" spans="2:4" s="237" customFormat="1">
      <c r="B901" s="15" t="str">
        <f t="shared" si="46"/>
        <v/>
      </c>
      <c r="C901" s="16" t="str">
        <f>IFERROR(VLOOKUP(DATA!#REF!,DATA!#REF!,1,FALSE),"")</f>
        <v/>
      </c>
      <c r="D901" s="16" t="str">
        <f>IFERROR(VLOOKUP(C901,DATA!#REF!,2,FALSE),"")</f>
        <v/>
      </c>
    </row>
    <row r="902" spans="2:4" s="237" customFormat="1">
      <c r="B902" s="15" t="str">
        <f t="shared" ref="B902:B965" si="47">+IF(C902="","",ROW()-5)</f>
        <v/>
      </c>
      <c r="C902" s="16" t="str">
        <f>IFERROR(VLOOKUP(DATA!#REF!,DATA!#REF!,1,FALSE),"")</f>
        <v/>
      </c>
      <c r="D902" s="16" t="str">
        <f>IFERROR(VLOOKUP(C902,DATA!#REF!,2,FALSE),"")</f>
        <v/>
      </c>
    </row>
    <row r="903" spans="2:4" s="237" customFormat="1">
      <c r="B903" s="15" t="str">
        <f t="shared" si="47"/>
        <v/>
      </c>
      <c r="C903" s="16" t="str">
        <f>IFERROR(VLOOKUP(DATA!#REF!,DATA!#REF!,1,FALSE),"")</f>
        <v/>
      </c>
      <c r="D903" s="16" t="str">
        <f>IFERROR(VLOOKUP(C903,DATA!#REF!,2,FALSE),"")</f>
        <v/>
      </c>
    </row>
    <row r="904" spans="2:4" s="237" customFormat="1">
      <c r="B904" s="15" t="str">
        <f t="shared" si="47"/>
        <v/>
      </c>
      <c r="C904" s="16" t="str">
        <f>IFERROR(VLOOKUP(DATA!#REF!,DATA!#REF!,1,FALSE),"")</f>
        <v/>
      </c>
      <c r="D904" s="16" t="str">
        <f>IFERROR(VLOOKUP(C904,DATA!#REF!,2,FALSE),"")</f>
        <v/>
      </c>
    </row>
    <row r="905" spans="2:4" s="237" customFormat="1">
      <c r="B905" s="15" t="str">
        <f t="shared" si="47"/>
        <v/>
      </c>
      <c r="C905" s="16" t="str">
        <f>IFERROR(VLOOKUP(DATA!#REF!,DATA!#REF!,1,FALSE),"")</f>
        <v/>
      </c>
      <c r="D905" s="16" t="str">
        <f>IFERROR(VLOOKUP(C905,DATA!#REF!,2,FALSE),"")</f>
        <v/>
      </c>
    </row>
    <row r="906" spans="2:4" s="237" customFormat="1">
      <c r="B906" s="15" t="str">
        <f t="shared" si="47"/>
        <v/>
      </c>
      <c r="C906" s="16" t="str">
        <f>IFERROR(VLOOKUP(DATA!#REF!,DATA!#REF!,1,FALSE),"")</f>
        <v/>
      </c>
      <c r="D906" s="16" t="str">
        <f>IFERROR(VLOOKUP(C906,DATA!#REF!,2,FALSE),"")</f>
        <v/>
      </c>
    </row>
    <row r="907" spans="2:4" s="237" customFormat="1">
      <c r="B907" s="15" t="str">
        <f t="shared" si="47"/>
        <v/>
      </c>
      <c r="C907" s="16" t="str">
        <f>IFERROR(VLOOKUP(DATA!#REF!,DATA!#REF!,1,FALSE),"")</f>
        <v/>
      </c>
      <c r="D907" s="16" t="str">
        <f>IFERROR(VLOOKUP(C907,DATA!#REF!,2,FALSE),"")</f>
        <v/>
      </c>
    </row>
    <row r="908" spans="2:4" s="237" customFormat="1">
      <c r="B908" s="15" t="str">
        <f t="shared" si="47"/>
        <v/>
      </c>
      <c r="C908" s="16" t="str">
        <f>IFERROR(VLOOKUP(DATA!#REF!,DATA!#REF!,1,FALSE),"")</f>
        <v/>
      </c>
      <c r="D908" s="16" t="str">
        <f>IFERROR(VLOOKUP(C908,DATA!#REF!,2,FALSE),"")</f>
        <v/>
      </c>
    </row>
    <row r="909" spans="2:4" s="237" customFormat="1">
      <c r="B909" s="15" t="str">
        <f t="shared" si="47"/>
        <v/>
      </c>
      <c r="C909" s="16" t="str">
        <f>IFERROR(VLOOKUP(DATA!#REF!,DATA!#REF!,1,FALSE),"")</f>
        <v/>
      </c>
      <c r="D909" s="16" t="str">
        <f>IFERROR(VLOOKUP(C909,DATA!#REF!,2,FALSE),"")</f>
        <v/>
      </c>
    </row>
    <row r="910" spans="2:4" s="237" customFormat="1">
      <c r="B910" s="15" t="str">
        <f t="shared" si="47"/>
        <v/>
      </c>
      <c r="C910" s="16" t="str">
        <f>IFERROR(VLOOKUP(DATA!#REF!,DATA!#REF!,1,FALSE),"")</f>
        <v/>
      </c>
      <c r="D910" s="16" t="str">
        <f>IFERROR(VLOOKUP(C910,DATA!#REF!,2,FALSE),"")</f>
        <v/>
      </c>
    </row>
    <row r="911" spans="2:4" s="237" customFormat="1">
      <c r="B911" s="15" t="str">
        <f t="shared" si="47"/>
        <v/>
      </c>
      <c r="C911" s="16" t="str">
        <f>IFERROR(VLOOKUP(DATA!#REF!,DATA!#REF!,1,FALSE),"")</f>
        <v/>
      </c>
      <c r="D911" s="16" t="str">
        <f>IFERROR(VLOOKUP(C911,DATA!#REF!,2,FALSE),"")</f>
        <v/>
      </c>
    </row>
    <row r="912" spans="2:4" s="237" customFormat="1">
      <c r="B912" s="15" t="str">
        <f t="shared" si="47"/>
        <v/>
      </c>
      <c r="C912" s="16" t="str">
        <f>IFERROR(VLOOKUP(DATA!#REF!,DATA!#REF!,1,FALSE),"")</f>
        <v/>
      </c>
      <c r="D912" s="16" t="str">
        <f>IFERROR(VLOOKUP(C912,DATA!#REF!,2,FALSE),"")</f>
        <v/>
      </c>
    </row>
    <row r="913" spans="2:4" s="237" customFormat="1">
      <c r="B913" s="15" t="str">
        <f t="shared" si="47"/>
        <v/>
      </c>
      <c r="C913" s="16" t="str">
        <f>IFERROR(VLOOKUP(DATA!#REF!,DATA!#REF!,1,FALSE),"")</f>
        <v/>
      </c>
      <c r="D913" s="16" t="str">
        <f>IFERROR(VLOOKUP(C913,DATA!#REF!,2,FALSE),"")</f>
        <v/>
      </c>
    </row>
    <row r="914" spans="2:4" s="237" customFormat="1">
      <c r="B914" s="15" t="str">
        <f t="shared" si="47"/>
        <v/>
      </c>
      <c r="C914" s="16" t="str">
        <f>IFERROR(VLOOKUP(DATA!#REF!,DATA!#REF!,1,FALSE),"")</f>
        <v/>
      </c>
      <c r="D914" s="16" t="str">
        <f>IFERROR(VLOOKUP(C914,DATA!#REF!,2,FALSE),"")</f>
        <v/>
      </c>
    </row>
    <row r="915" spans="2:4" s="237" customFormat="1">
      <c r="B915" s="15" t="str">
        <f t="shared" si="47"/>
        <v/>
      </c>
      <c r="C915" s="16" t="str">
        <f>IFERROR(VLOOKUP(DATA!#REF!,DATA!#REF!,1,FALSE),"")</f>
        <v/>
      </c>
      <c r="D915" s="16" t="str">
        <f>IFERROR(VLOOKUP(C915,DATA!#REF!,2,FALSE),"")</f>
        <v/>
      </c>
    </row>
    <row r="916" spans="2:4" s="237" customFormat="1">
      <c r="B916" s="15" t="str">
        <f t="shared" si="47"/>
        <v/>
      </c>
      <c r="C916" s="16" t="str">
        <f>IFERROR(VLOOKUP(DATA!#REF!,DATA!#REF!,1,FALSE),"")</f>
        <v/>
      </c>
      <c r="D916" s="16" t="str">
        <f>IFERROR(VLOOKUP(C916,DATA!#REF!,2,FALSE),"")</f>
        <v/>
      </c>
    </row>
    <row r="917" spans="2:4" s="237" customFormat="1">
      <c r="B917" s="15" t="str">
        <f t="shared" si="47"/>
        <v/>
      </c>
      <c r="C917" s="16" t="str">
        <f>IFERROR(VLOOKUP(DATA!#REF!,DATA!#REF!,1,FALSE),"")</f>
        <v/>
      </c>
      <c r="D917" s="16" t="str">
        <f>IFERROR(VLOOKUP(C917,DATA!#REF!,2,FALSE),"")</f>
        <v/>
      </c>
    </row>
    <row r="918" spans="2:4" s="237" customFormat="1">
      <c r="B918" s="15" t="str">
        <f t="shared" si="47"/>
        <v/>
      </c>
      <c r="C918" s="16" t="str">
        <f>IFERROR(VLOOKUP(DATA!#REF!,DATA!#REF!,1,FALSE),"")</f>
        <v/>
      </c>
      <c r="D918" s="16" t="str">
        <f>IFERROR(VLOOKUP(C918,DATA!#REF!,2,FALSE),"")</f>
        <v/>
      </c>
    </row>
    <row r="919" spans="2:4" s="237" customFormat="1">
      <c r="B919" s="15" t="str">
        <f t="shared" si="47"/>
        <v/>
      </c>
      <c r="C919" s="16" t="str">
        <f>IFERROR(VLOOKUP(DATA!#REF!,DATA!#REF!,1,FALSE),"")</f>
        <v/>
      </c>
      <c r="D919" s="16" t="str">
        <f>IFERROR(VLOOKUP(C919,DATA!#REF!,2,FALSE),"")</f>
        <v/>
      </c>
    </row>
    <row r="920" spans="2:4" s="237" customFormat="1">
      <c r="B920" s="15" t="str">
        <f t="shared" si="47"/>
        <v/>
      </c>
      <c r="C920" s="16" t="str">
        <f>IFERROR(VLOOKUP(DATA!#REF!,DATA!#REF!,1,FALSE),"")</f>
        <v/>
      </c>
      <c r="D920" s="16" t="str">
        <f>IFERROR(VLOOKUP(C920,DATA!#REF!,2,FALSE),"")</f>
        <v/>
      </c>
    </row>
    <row r="921" spans="2:4" s="237" customFormat="1">
      <c r="B921" s="15" t="str">
        <f t="shared" si="47"/>
        <v/>
      </c>
      <c r="C921" s="16" t="str">
        <f>IFERROR(VLOOKUP(DATA!#REF!,DATA!#REF!,1,FALSE),"")</f>
        <v/>
      </c>
      <c r="D921" s="16" t="str">
        <f>IFERROR(VLOOKUP(C921,DATA!#REF!,2,FALSE),"")</f>
        <v/>
      </c>
    </row>
    <row r="922" spans="2:4" s="237" customFormat="1">
      <c r="B922" s="15" t="str">
        <f t="shared" si="47"/>
        <v/>
      </c>
      <c r="C922" s="16" t="str">
        <f>IFERROR(VLOOKUP(DATA!#REF!,DATA!#REF!,1,FALSE),"")</f>
        <v/>
      </c>
      <c r="D922" s="16" t="str">
        <f>IFERROR(VLOOKUP(C922,DATA!#REF!,2,FALSE),"")</f>
        <v/>
      </c>
    </row>
    <row r="923" spans="2:4" s="237" customFormat="1">
      <c r="B923" s="15" t="str">
        <f t="shared" si="47"/>
        <v/>
      </c>
      <c r="C923" s="16" t="str">
        <f>IFERROR(VLOOKUP(DATA!#REF!,DATA!#REF!,1,FALSE),"")</f>
        <v/>
      </c>
      <c r="D923" s="16" t="str">
        <f>IFERROR(VLOOKUP(C923,DATA!#REF!,2,FALSE),"")</f>
        <v/>
      </c>
    </row>
    <row r="924" spans="2:4" s="237" customFormat="1">
      <c r="B924" s="15" t="str">
        <f t="shared" si="47"/>
        <v/>
      </c>
      <c r="C924" s="16" t="str">
        <f>IFERROR(VLOOKUP(DATA!#REF!,DATA!#REF!,1,FALSE),"")</f>
        <v/>
      </c>
      <c r="D924" s="16" t="str">
        <f>IFERROR(VLOOKUP(C924,DATA!#REF!,2,FALSE),"")</f>
        <v/>
      </c>
    </row>
    <row r="925" spans="2:4" s="237" customFormat="1">
      <c r="B925" s="15" t="str">
        <f t="shared" si="47"/>
        <v/>
      </c>
      <c r="C925" s="16" t="str">
        <f>IFERROR(VLOOKUP(DATA!#REF!,DATA!#REF!,1,FALSE),"")</f>
        <v/>
      </c>
      <c r="D925" s="16" t="str">
        <f>IFERROR(VLOOKUP(C925,DATA!#REF!,2,FALSE),"")</f>
        <v/>
      </c>
    </row>
    <row r="926" spans="2:4" s="237" customFormat="1">
      <c r="B926" s="15" t="str">
        <f t="shared" si="47"/>
        <v/>
      </c>
      <c r="C926" s="16" t="str">
        <f>IFERROR(VLOOKUP(DATA!#REF!,DATA!#REF!,1,FALSE),"")</f>
        <v/>
      </c>
      <c r="D926" s="16" t="str">
        <f>IFERROR(VLOOKUP(C926,DATA!#REF!,2,FALSE),"")</f>
        <v/>
      </c>
    </row>
    <row r="927" spans="2:4" s="237" customFormat="1">
      <c r="B927" s="15" t="str">
        <f t="shared" si="47"/>
        <v/>
      </c>
      <c r="C927" s="16" t="str">
        <f>IFERROR(VLOOKUP(DATA!#REF!,DATA!#REF!,1,FALSE),"")</f>
        <v/>
      </c>
      <c r="D927" s="16" t="str">
        <f>IFERROR(VLOOKUP(C927,DATA!#REF!,2,FALSE),"")</f>
        <v/>
      </c>
    </row>
    <row r="928" spans="2:4" s="237" customFormat="1">
      <c r="B928" s="15" t="str">
        <f t="shared" si="47"/>
        <v/>
      </c>
      <c r="C928" s="16" t="str">
        <f>IFERROR(VLOOKUP(DATA!#REF!,DATA!#REF!,1,FALSE),"")</f>
        <v/>
      </c>
      <c r="D928" s="16" t="str">
        <f>IFERROR(VLOOKUP(C928,DATA!#REF!,2,FALSE),"")</f>
        <v/>
      </c>
    </row>
    <row r="929" spans="2:4" s="237" customFormat="1">
      <c r="B929" s="15" t="str">
        <f t="shared" si="47"/>
        <v/>
      </c>
      <c r="C929" s="16" t="str">
        <f>IFERROR(VLOOKUP(DATA!#REF!,DATA!#REF!,1,FALSE),"")</f>
        <v/>
      </c>
      <c r="D929" s="16" t="str">
        <f>IFERROR(VLOOKUP(C929,DATA!#REF!,2,FALSE),"")</f>
        <v/>
      </c>
    </row>
    <row r="930" spans="2:4" s="237" customFormat="1">
      <c r="B930" s="15" t="str">
        <f t="shared" si="47"/>
        <v/>
      </c>
      <c r="C930" s="16" t="str">
        <f>IFERROR(VLOOKUP(DATA!#REF!,DATA!#REF!,1,FALSE),"")</f>
        <v/>
      </c>
      <c r="D930" s="16" t="str">
        <f>IFERROR(VLOOKUP(C930,DATA!#REF!,2,FALSE),"")</f>
        <v/>
      </c>
    </row>
    <row r="931" spans="2:4" s="237" customFormat="1">
      <c r="B931" s="15" t="str">
        <f t="shared" si="47"/>
        <v/>
      </c>
      <c r="C931" s="16" t="str">
        <f>IFERROR(VLOOKUP(DATA!#REF!,DATA!#REF!,1,FALSE),"")</f>
        <v/>
      </c>
      <c r="D931" s="16" t="str">
        <f>IFERROR(VLOOKUP(C931,DATA!#REF!,2,FALSE),"")</f>
        <v/>
      </c>
    </row>
    <row r="932" spans="2:4" s="237" customFormat="1">
      <c r="B932" s="15" t="str">
        <f t="shared" si="47"/>
        <v/>
      </c>
      <c r="C932" s="16" t="str">
        <f>IFERROR(VLOOKUP(DATA!#REF!,DATA!#REF!,1,FALSE),"")</f>
        <v/>
      </c>
      <c r="D932" s="16" t="str">
        <f>IFERROR(VLOOKUP(C932,DATA!#REF!,2,FALSE),"")</f>
        <v/>
      </c>
    </row>
    <row r="933" spans="2:4" s="237" customFormat="1">
      <c r="B933" s="15" t="str">
        <f t="shared" si="47"/>
        <v/>
      </c>
      <c r="C933" s="16" t="str">
        <f>IFERROR(VLOOKUP(DATA!#REF!,DATA!#REF!,1,FALSE),"")</f>
        <v/>
      </c>
      <c r="D933" s="16" t="str">
        <f>IFERROR(VLOOKUP(C933,DATA!#REF!,2,FALSE),"")</f>
        <v/>
      </c>
    </row>
    <row r="934" spans="2:4" s="237" customFormat="1">
      <c r="B934" s="15" t="str">
        <f t="shared" si="47"/>
        <v/>
      </c>
      <c r="C934" s="16" t="str">
        <f>IFERROR(VLOOKUP(DATA!#REF!,DATA!#REF!,1,FALSE),"")</f>
        <v/>
      </c>
      <c r="D934" s="16" t="str">
        <f>IFERROR(VLOOKUP(C934,DATA!#REF!,2,FALSE),"")</f>
        <v/>
      </c>
    </row>
    <row r="935" spans="2:4" s="237" customFormat="1">
      <c r="B935" s="15" t="str">
        <f t="shared" si="47"/>
        <v/>
      </c>
      <c r="C935" s="16" t="str">
        <f>IFERROR(VLOOKUP(DATA!#REF!,DATA!#REF!,1,FALSE),"")</f>
        <v/>
      </c>
      <c r="D935" s="16" t="str">
        <f>IFERROR(VLOOKUP(C935,DATA!#REF!,2,FALSE),"")</f>
        <v/>
      </c>
    </row>
    <row r="936" spans="2:4" s="237" customFormat="1">
      <c r="B936" s="15" t="str">
        <f t="shared" si="47"/>
        <v/>
      </c>
      <c r="C936" s="16" t="str">
        <f>IFERROR(VLOOKUP(DATA!#REF!,DATA!#REF!,1,FALSE),"")</f>
        <v/>
      </c>
      <c r="D936" s="16" t="str">
        <f>IFERROR(VLOOKUP(C936,DATA!#REF!,2,FALSE),"")</f>
        <v/>
      </c>
    </row>
    <row r="937" spans="2:4" s="237" customFormat="1">
      <c r="B937" s="15" t="str">
        <f t="shared" si="47"/>
        <v/>
      </c>
      <c r="C937" s="16" t="str">
        <f>IFERROR(VLOOKUP(DATA!#REF!,DATA!#REF!,1,FALSE),"")</f>
        <v/>
      </c>
      <c r="D937" s="16" t="str">
        <f>IFERROR(VLOOKUP(C937,DATA!#REF!,2,FALSE),"")</f>
        <v/>
      </c>
    </row>
    <row r="938" spans="2:4" s="237" customFormat="1">
      <c r="B938" s="15" t="str">
        <f t="shared" si="47"/>
        <v/>
      </c>
      <c r="C938" s="16" t="str">
        <f>IFERROR(VLOOKUP(DATA!#REF!,DATA!#REF!,1,FALSE),"")</f>
        <v/>
      </c>
      <c r="D938" s="16" t="str">
        <f>IFERROR(VLOOKUP(C938,DATA!#REF!,2,FALSE),"")</f>
        <v/>
      </c>
    </row>
    <row r="939" spans="2:4" s="237" customFormat="1">
      <c r="B939" s="15" t="str">
        <f t="shared" si="47"/>
        <v/>
      </c>
      <c r="C939" s="16" t="str">
        <f>IFERROR(VLOOKUP(DATA!#REF!,DATA!#REF!,1,FALSE),"")</f>
        <v/>
      </c>
      <c r="D939" s="16" t="str">
        <f>IFERROR(VLOOKUP(C939,DATA!#REF!,2,FALSE),"")</f>
        <v/>
      </c>
    </row>
    <row r="940" spans="2:4" s="237" customFormat="1">
      <c r="B940" s="15" t="str">
        <f t="shared" si="47"/>
        <v/>
      </c>
      <c r="C940" s="16" t="str">
        <f>IFERROR(VLOOKUP(DATA!#REF!,DATA!#REF!,1,FALSE),"")</f>
        <v/>
      </c>
      <c r="D940" s="16" t="str">
        <f>IFERROR(VLOOKUP(C940,DATA!#REF!,2,FALSE),"")</f>
        <v/>
      </c>
    </row>
    <row r="941" spans="2:4" s="237" customFormat="1">
      <c r="B941" s="15" t="str">
        <f t="shared" si="47"/>
        <v/>
      </c>
      <c r="C941" s="16" t="str">
        <f>IFERROR(VLOOKUP(DATA!#REF!,DATA!#REF!,1,FALSE),"")</f>
        <v/>
      </c>
      <c r="D941" s="16" t="str">
        <f>IFERROR(VLOOKUP(C941,DATA!#REF!,2,FALSE),"")</f>
        <v/>
      </c>
    </row>
    <row r="942" spans="2:4" s="237" customFormat="1">
      <c r="B942" s="15" t="str">
        <f t="shared" si="47"/>
        <v/>
      </c>
      <c r="C942" s="16" t="str">
        <f>IFERROR(VLOOKUP(DATA!#REF!,DATA!#REF!,1,FALSE),"")</f>
        <v/>
      </c>
      <c r="D942" s="16" t="str">
        <f>IFERROR(VLOOKUP(C942,DATA!#REF!,2,FALSE),"")</f>
        <v/>
      </c>
    </row>
    <row r="943" spans="2:4" s="237" customFormat="1">
      <c r="B943" s="15" t="str">
        <f t="shared" si="47"/>
        <v/>
      </c>
      <c r="C943" s="16" t="str">
        <f>IFERROR(VLOOKUP(DATA!#REF!,DATA!#REF!,1,FALSE),"")</f>
        <v/>
      </c>
      <c r="D943" s="16" t="str">
        <f>IFERROR(VLOOKUP(C943,DATA!#REF!,2,FALSE),"")</f>
        <v/>
      </c>
    </row>
    <row r="944" spans="2:4" s="237" customFormat="1">
      <c r="B944" s="15" t="str">
        <f t="shared" si="47"/>
        <v/>
      </c>
      <c r="C944" s="16" t="str">
        <f>IFERROR(VLOOKUP(DATA!#REF!,DATA!#REF!,1,FALSE),"")</f>
        <v/>
      </c>
      <c r="D944" s="16" t="str">
        <f>IFERROR(VLOOKUP(C944,DATA!#REF!,2,FALSE),"")</f>
        <v/>
      </c>
    </row>
    <row r="945" spans="2:4" s="237" customFormat="1">
      <c r="B945" s="15" t="str">
        <f t="shared" si="47"/>
        <v/>
      </c>
      <c r="C945" s="16" t="str">
        <f>IFERROR(VLOOKUP(DATA!#REF!,DATA!#REF!,1,FALSE),"")</f>
        <v/>
      </c>
      <c r="D945" s="16" t="str">
        <f>IFERROR(VLOOKUP(C945,DATA!#REF!,2,FALSE),"")</f>
        <v/>
      </c>
    </row>
    <row r="946" spans="2:4" s="237" customFormat="1">
      <c r="B946" s="15" t="str">
        <f t="shared" si="47"/>
        <v/>
      </c>
      <c r="C946" s="16" t="str">
        <f>IFERROR(VLOOKUP(DATA!#REF!,DATA!#REF!,1,FALSE),"")</f>
        <v/>
      </c>
      <c r="D946" s="16" t="str">
        <f>IFERROR(VLOOKUP(C946,DATA!#REF!,2,FALSE),"")</f>
        <v/>
      </c>
    </row>
    <row r="947" spans="2:4" s="237" customFormat="1">
      <c r="B947" s="15" t="str">
        <f t="shared" si="47"/>
        <v/>
      </c>
      <c r="C947" s="16" t="str">
        <f>IFERROR(VLOOKUP(DATA!#REF!,DATA!#REF!,1,FALSE),"")</f>
        <v/>
      </c>
      <c r="D947" s="16" t="str">
        <f>IFERROR(VLOOKUP(C947,DATA!#REF!,2,FALSE),"")</f>
        <v/>
      </c>
    </row>
    <row r="948" spans="2:4" s="237" customFormat="1">
      <c r="B948" s="15" t="str">
        <f t="shared" si="47"/>
        <v/>
      </c>
      <c r="C948" s="16" t="str">
        <f>IFERROR(VLOOKUP(DATA!#REF!,DATA!#REF!,1,FALSE),"")</f>
        <v/>
      </c>
      <c r="D948" s="16" t="str">
        <f>IFERROR(VLOOKUP(C948,DATA!#REF!,2,FALSE),"")</f>
        <v/>
      </c>
    </row>
    <row r="949" spans="2:4" s="237" customFormat="1">
      <c r="B949" s="15" t="str">
        <f t="shared" si="47"/>
        <v/>
      </c>
      <c r="C949" s="16" t="str">
        <f>IFERROR(VLOOKUP(DATA!#REF!,DATA!#REF!,1,FALSE),"")</f>
        <v/>
      </c>
      <c r="D949" s="16" t="str">
        <f>IFERROR(VLOOKUP(C949,DATA!#REF!,2,FALSE),"")</f>
        <v/>
      </c>
    </row>
    <row r="950" spans="2:4" s="237" customFormat="1">
      <c r="B950" s="15" t="str">
        <f t="shared" si="47"/>
        <v/>
      </c>
      <c r="C950" s="16" t="str">
        <f>IFERROR(VLOOKUP(DATA!#REF!,DATA!#REF!,1,FALSE),"")</f>
        <v/>
      </c>
      <c r="D950" s="16" t="str">
        <f>IFERROR(VLOOKUP(C950,DATA!#REF!,2,FALSE),"")</f>
        <v/>
      </c>
    </row>
    <row r="951" spans="2:4" s="237" customFormat="1">
      <c r="B951" s="15" t="str">
        <f t="shared" si="47"/>
        <v/>
      </c>
      <c r="C951" s="16" t="str">
        <f>IFERROR(VLOOKUP(DATA!#REF!,DATA!#REF!,1,FALSE),"")</f>
        <v/>
      </c>
      <c r="D951" s="16" t="str">
        <f>IFERROR(VLOOKUP(C951,DATA!#REF!,2,FALSE),"")</f>
        <v/>
      </c>
    </row>
    <row r="952" spans="2:4" s="237" customFormat="1">
      <c r="B952" s="15" t="str">
        <f t="shared" si="47"/>
        <v/>
      </c>
      <c r="C952" s="16" t="str">
        <f>IFERROR(VLOOKUP(DATA!#REF!,DATA!#REF!,1,FALSE),"")</f>
        <v/>
      </c>
      <c r="D952" s="16" t="str">
        <f>IFERROR(VLOOKUP(C952,DATA!#REF!,2,FALSE),"")</f>
        <v/>
      </c>
    </row>
    <row r="953" spans="2:4" s="237" customFormat="1">
      <c r="B953" s="15" t="str">
        <f t="shared" si="47"/>
        <v/>
      </c>
      <c r="C953" s="16" t="str">
        <f>IFERROR(VLOOKUP(DATA!#REF!,DATA!#REF!,1,FALSE),"")</f>
        <v/>
      </c>
      <c r="D953" s="16" t="str">
        <f>IFERROR(VLOOKUP(C953,DATA!#REF!,2,FALSE),"")</f>
        <v/>
      </c>
    </row>
    <row r="954" spans="2:4" s="237" customFormat="1">
      <c r="B954" s="15" t="str">
        <f t="shared" si="47"/>
        <v/>
      </c>
      <c r="C954" s="16" t="str">
        <f>IFERROR(VLOOKUP(DATA!#REF!,DATA!#REF!,1,FALSE),"")</f>
        <v/>
      </c>
      <c r="D954" s="16" t="str">
        <f>IFERROR(VLOOKUP(C954,DATA!#REF!,2,FALSE),"")</f>
        <v/>
      </c>
    </row>
    <row r="955" spans="2:4" s="237" customFormat="1">
      <c r="B955" s="15" t="str">
        <f t="shared" si="47"/>
        <v/>
      </c>
      <c r="C955" s="16" t="str">
        <f>IFERROR(VLOOKUP(DATA!#REF!,DATA!#REF!,1,FALSE),"")</f>
        <v/>
      </c>
      <c r="D955" s="16" t="str">
        <f>IFERROR(VLOOKUP(C955,DATA!#REF!,2,FALSE),"")</f>
        <v/>
      </c>
    </row>
    <row r="956" spans="2:4" s="237" customFormat="1">
      <c r="B956" s="15" t="str">
        <f t="shared" si="47"/>
        <v/>
      </c>
      <c r="C956" s="16" t="str">
        <f>IFERROR(VLOOKUP(DATA!#REF!,DATA!#REF!,1,FALSE),"")</f>
        <v/>
      </c>
      <c r="D956" s="16" t="str">
        <f>IFERROR(VLOOKUP(C956,DATA!#REF!,2,FALSE),"")</f>
        <v/>
      </c>
    </row>
    <row r="957" spans="2:4" s="237" customFormat="1">
      <c r="B957" s="15" t="str">
        <f t="shared" si="47"/>
        <v/>
      </c>
      <c r="C957" s="16" t="str">
        <f>IFERROR(VLOOKUP(DATA!#REF!,DATA!#REF!,1,FALSE),"")</f>
        <v/>
      </c>
      <c r="D957" s="16" t="str">
        <f>IFERROR(VLOOKUP(C957,DATA!#REF!,2,FALSE),"")</f>
        <v/>
      </c>
    </row>
    <row r="958" spans="2:4" s="237" customFormat="1">
      <c r="B958" s="15" t="str">
        <f t="shared" si="47"/>
        <v/>
      </c>
      <c r="C958" s="16" t="str">
        <f>IFERROR(VLOOKUP(DATA!#REF!,DATA!#REF!,1,FALSE),"")</f>
        <v/>
      </c>
      <c r="D958" s="16" t="str">
        <f>IFERROR(VLOOKUP(C958,DATA!#REF!,2,FALSE),"")</f>
        <v/>
      </c>
    </row>
    <row r="959" spans="2:4" s="237" customFormat="1">
      <c r="B959" s="15" t="str">
        <f t="shared" si="47"/>
        <v/>
      </c>
      <c r="C959" s="16" t="str">
        <f>IFERROR(VLOOKUP(DATA!#REF!,DATA!#REF!,1,FALSE),"")</f>
        <v/>
      </c>
      <c r="D959" s="16" t="str">
        <f>IFERROR(VLOOKUP(C959,DATA!#REF!,2,FALSE),"")</f>
        <v/>
      </c>
    </row>
    <row r="960" spans="2:4" s="237" customFormat="1">
      <c r="B960" s="15" t="str">
        <f t="shared" si="47"/>
        <v/>
      </c>
      <c r="C960" s="16" t="str">
        <f>IFERROR(VLOOKUP(DATA!#REF!,DATA!#REF!,1,FALSE),"")</f>
        <v/>
      </c>
      <c r="D960" s="16" t="str">
        <f>IFERROR(VLOOKUP(C960,DATA!#REF!,2,FALSE),"")</f>
        <v/>
      </c>
    </row>
    <row r="961" spans="2:4" s="237" customFormat="1">
      <c r="B961" s="15" t="str">
        <f t="shared" si="47"/>
        <v/>
      </c>
      <c r="C961" s="16" t="str">
        <f>IFERROR(VLOOKUP(DATA!#REF!,DATA!#REF!,1,FALSE),"")</f>
        <v/>
      </c>
      <c r="D961" s="16" t="str">
        <f>IFERROR(VLOOKUP(C961,DATA!#REF!,2,FALSE),"")</f>
        <v/>
      </c>
    </row>
    <row r="962" spans="2:4" s="237" customFormat="1">
      <c r="B962" s="15" t="str">
        <f t="shared" si="47"/>
        <v/>
      </c>
      <c r="C962" s="16" t="str">
        <f>IFERROR(VLOOKUP(DATA!#REF!,DATA!#REF!,1,FALSE),"")</f>
        <v/>
      </c>
      <c r="D962" s="16" t="str">
        <f>IFERROR(VLOOKUP(C962,DATA!#REF!,2,FALSE),"")</f>
        <v/>
      </c>
    </row>
    <row r="963" spans="2:4" s="237" customFormat="1">
      <c r="B963" s="15" t="str">
        <f t="shared" si="47"/>
        <v/>
      </c>
      <c r="C963" s="16" t="str">
        <f>IFERROR(VLOOKUP(DATA!#REF!,DATA!#REF!,1,FALSE),"")</f>
        <v/>
      </c>
      <c r="D963" s="16" t="str">
        <f>IFERROR(VLOOKUP(C963,DATA!#REF!,2,FALSE),"")</f>
        <v/>
      </c>
    </row>
    <row r="964" spans="2:4" s="237" customFormat="1">
      <c r="B964" s="15" t="str">
        <f t="shared" si="47"/>
        <v/>
      </c>
      <c r="C964" s="16" t="str">
        <f>IFERROR(VLOOKUP(DATA!#REF!,DATA!#REF!,1,FALSE),"")</f>
        <v/>
      </c>
      <c r="D964" s="16" t="str">
        <f>IFERROR(VLOOKUP(C964,DATA!#REF!,2,FALSE),"")</f>
        <v/>
      </c>
    </row>
    <row r="965" spans="2:4" s="237" customFormat="1">
      <c r="B965" s="15" t="str">
        <f t="shared" si="47"/>
        <v/>
      </c>
      <c r="C965" s="16" t="str">
        <f>IFERROR(VLOOKUP(DATA!#REF!,DATA!#REF!,1,FALSE),"")</f>
        <v/>
      </c>
      <c r="D965" s="16" t="str">
        <f>IFERROR(VLOOKUP(C965,DATA!#REF!,2,FALSE),"")</f>
        <v/>
      </c>
    </row>
    <row r="966" spans="2:4" s="237" customFormat="1">
      <c r="B966" s="15" t="str">
        <f t="shared" ref="B966:B1029" si="48">+IF(C966="","",ROW()-5)</f>
        <v/>
      </c>
      <c r="C966" s="16" t="str">
        <f>IFERROR(VLOOKUP(DATA!#REF!,DATA!#REF!,1,FALSE),"")</f>
        <v/>
      </c>
      <c r="D966" s="16" t="str">
        <f>IFERROR(VLOOKUP(C966,DATA!#REF!,2,FALSE),"")</f>
        <v/>
      </c>
    </row>
    <row r="967" spans="2:4" s="237" customFormat="1">
      <c r="B967" s="15" t="str">
        <f t="shared" si="48"/>
        <v/>
      </c>
      <c r="C967" s="16" t="str">
        <f>IFERROR(VLOOKUP(DATA!#REF!,DATA!#REF!,1,FALSE),"")</f>
        <v/>
      </c>
      <c r="D967" s="16" t="str">
        <f>IFERROR(VLOOKUP(C967,DATA!#REF!,2,FALSE),"")</f>
        <v/>
      </c>
    </row>
    <row r="968" spans="2:4" s="237" customFormat="1">
      <c r="B968" s="15" t="str">
        <f t="shared" si="48"/>
        <v/>
      </c>
      <c r="C968" s="16" t="str">
        <f>IFERROR(VLOOKUP(DATA!#REF!,DATA!#REF!,1,FALSE),"")</f>
        <v/>
      </c>
      <c r="D968" s="16" t="str">
        <f>IFERROR(VLOOKUP(C968,DATA!#REF!,2,FALSE),"")</f>
        <v/>
      </c>
    </row>
    <row r="969" spans="2:4" s="237" customFormat="1">
      <c r="B969" s="15" t="str">
        <f t="shared" si="48"/>
        <v/>
      </c>
      <c r="C969" s="16" t="str">
        <f>IFERROR(VLOOKUP(DATA!#REF!,DATA!#REF!,1,FALSE),"")</f>
        <v/>
      </c>
      <c r="D969" s="16" t="str">
        <f>IFERROR(VLOOKUP(C969,DATA!#REF!,2,FALSE),"")</f>
        <v/>
      </c>
    </row>
    <row r="970" spans="2:4" s="237" customFormat="1">
      <c r="B970" s="15" t="str">
        <f t="shared" si="48"/>
        <v/>
      </c>
      <c r="C970" s="16" t="str">
        <f>IFERROR(VLOOKUP(DATA!#REF!,DATA!#REF!,1,FALSE),"")</f>
        <v/>
      </c>
      <c r="D970" s="16" t="str">
        <f>IFERROR(VLOOKUP(C970,DATA!#REF!,2,FALSE),"")</f>
        <v/>
      </c>
    </row>
    <row r="971" spans="2:4" s="237" customFormat="1">
      <c r="B971" s="15" t="str">
        <f t="shared" si="48"/>
        <v/>
      </c>
      <c r="C971" s="16" t="str">
        <f>IFERROR(VLOOKUP(DATA!#REF!,DATA!#REF!,1,FALSE),"")</f>
        <v/>
      </c>
      <c r="D971" s="16" t="str">
        <f>IFERROR(VLOOKUP(C971,DATA!#REF!,2,FALSE),"")</f>
        <v/>
      </c>
    </row>
    <row r="972" spans="2:4" s="237" customFormat="1">
      <c r="B972" s="15" t="str">
        <f t="shared" si="48"/>
        <v/>
      </c>
      <c r="C972" s="16" t="str">
        <f>IFERROR(VLOOKUP(DATA!#REF!,DATA!#REF!,1,FALSE),"")</f>
        <v/>
      </c>
      <c r="D972" s="16" t="str">
        <f>IFERROR(VLOOKUP(C972,DATA!#REF!,2,FALSE),"")</f>
        <v/>
      </c>
    </row>
    <row r="973" spans="2:4" s="237" customFormat="1">
      <c r="B973" s="15" t="str">
        <f t="shared" si="48"/>
        <v/>
      </c>
      <c r="C973" s="16" t="str">
        <f>IFERROR(VLOOKUP(DATA!#REF!,DATA!#REF!,1,FALSE),"")</f>
        <v/>
      </c>
      <c r="D973" s="16" t="str">
        <f>IFERROR(VLOOKUP(C973,DATA!#REF!,2,FALSE),"")</f>
        <v/>
      </c>
    </row>
    <row r="974" spans="2:4" s="237" customFormat="1">
      <c r="B974" s="15" t="str">
        <f t="shared" si="48"/>
        <v/>
      </c>
      <c r="C974" s="16" t="str">
        <f>IFERROR(VLOOKUP(DATA!#REF!,DATA!#REF!,1,FALSE),"")</f>
        <v/>
      </c>
      <c r="D974" s="16" t="str">
        <f>IFERROR(VLOOKUP(C974,DATA!#REF!,2,FALSE),"")</f>
        <v/>
      </c>
    </row>
    <row r="975" spans="2:4" s="237" customFormat="1">
      <c r="B975" s="15" t="str">
        <f t="shared" si="48"/>
        <v/>
      </c>
      <c r="C975" s="16" t="str">
        <f>IFERROR(VLOOKUP(DATA!#REF!,DATA!#REF!,1,FALSE),"")</f>
        <v/>
      </c>
      <c r="D975" s="16" t="str">
        <f>IFERROR(VLOOKUP(C975,DATA!#REF!,2,FALSE),"")</f>
        <v/>
      </c>
    </row>
    <row r="976" spans="2:4" s="237" customFormat="1">
      <c r="B976" s="15" t="str">
        <f t="shared" si="48"/>
        <v/>
      </c>
      <c r="C976" s="16" t="str">
        <f>IFERROR(VLOOKUP(DATA!#REF!,DATA!#REF!,1,FALSE),"")</f>
        <v/>
      </c>
      <c r="D976" s="16" t="str">
        <f>IFERROR(VLOOKUP(C976,DATA!#REF!,2,FALSE),"")</f>
        <v/>
      </c>
    </row>
    <row r="977" spans="2:4" s="237" customFormat="1">
      <c r="B977" s="15" t="str">
        <f t="shared" si="48"/>
        <v/>
      </c>
      <c r="C977" s="16" t="str">
        <f>IFERROR(VLOOKUP(DATA!#REF!,DATA!#REF!,1,FALSE),"")</f>
        <v/>
      </c>
      <c r="D977" s="16" t="str">
        <f>IFERROR(VLOOKUP(C977,DATA!#REF!,2,FALSE),"")</f>
        <v/>
      </c>
    </row>
    <row r="978" spans="2:4" s="237" customFormat="1">
      <c r="B978" s="15" t="str">
        <f t="shared" si="48"/>
        <v/>
      </c>
      <c r="C978" s="16" t="str">
        <f>IFERROR(VLOOKUP(DATA!#REF!,DATA!#REF!,1,FALSE),"")</f>
        <v/>
      </c>
      <c r="D978" s="16" t="str">
        <f>IFERROR(VLOOKUP(C978,DATA!#REF!,2,FALSE),"")</f>
        <v/>
      </c>
    </row>
    <row r="979" spans="2:4" s="237" customFormat="1">
      <c r="B979" s="15" t="str">
        <f t="shared" si="48"/>
        <v/>
      </c>
      <c r="C979" s="16" t="str">
        <f>IFERROR(VLOOKUP(DATA!#REF!,DATA!#REF!,1,FALSE),"")</f>
        <v/>
      </c>
      <c r="D979" s="16" t="str">
        <f>IFERROR(VLOOKUP(C979,DATA!#REF!,2,FALSE),"")</f>
        <v/>
      </c>
    </row>
    <row r="980" spans="2:4" s="237" customFormat="1">
      <c r="B980" s="15" t="str">
        <f t="shared" si="48"/>
        <v/>
      </c>
      <c r="C980" s="16" t="str">
        <f>IFERROR(VLOOKUP(DATA!#REF!,DATA!#REF!,1,FALSE),"")</f>
        <v/>
      </c>
      <c r="D980" s="16" t="str">
        <f>IFERROR(VLOOKUP(C980,DATA!#REF!,2,FALSE),"")</f>
        <v/>
      </c>
    </row>
    <row r="981" spans="2:4" s="237" customFormat="1">
      <c r="B981" s="15" t="str">
        <f t="shared" si="48"/>
        <v/>
      </c>
      <c r="C981" s="16" t="str">
        <f>IFERROR(VLOOKUP(DATA!#REF!,DATA!#REF!,1,FALSE),"")</f>
        <v/>
      </c>
      <c r="D981" s="16" t="str">
        <f>IFERROR(VLOOKUP(C981,DATA!#REF!,2,FALSE),"")</f>
        <v/>
      </c>
    </row>
    <row r="982" spans="2:4" s="237" customFormat="1">
      <c r="B982" s="15" t="str">
        <f t="shared" si="48"/>
        <v/>
      </c>
      <c r="C982" s="16" t="str">
        <f>IFERROR(VLOOKUP(DATA!#REF!,DATA!#REF!,1,FALSE),"")</f>
        <v/>
      </c>
      <c r="D982" s="16" t="str">
        <f>IFERROR(VLOOKUP(C982,DATA!#REF!,2,FALSE),"")</f>
        <v/>
      </c>
    </row>
    <row r="983" spans="2:4" s="237" customFormat="1">
      <c r="B983" s="15" t="str">
        <f t="shared" si="48"/>
        <v/>
      </c>
      <c r="C983" s="16" t="str">
        <f>IFERROR(VLOOKUP(DATA!#REF!,DATA!#REF!,1,FALSE),"")</f>
        <v/>
      </c>
      <c r="D983" s="16" t="str">
        <f>IFERROR(VLOOKUP(C983,DATA!#REF!,2,FALSE),"")</f>
        <v/>
      </c>
    </row>
    <row r="984" spans="2:4" s="237" customFormat="1">
      <c r="B984" s="15" t="str">
        <f t="shared" si="48"/>
        <v/>
      </c>
      <c r="C984" s="16" t="str">
        <f>IFERROR(VLOOKUP(DATA!#REF!,DATA!#REF!,1,FALSE),"")</f>
        <v/>
      </c>
      <c r="D984" s="16" t="str">
        <f>IFERROR(VLOOKUP(C984,DATA!#REF!,2,FALSE),"")</f>
        <v/>
      </c>
    </row>
    <row r="985" spans="2:4" s="237" customFormat="1">
      <c r="B985" s="15" t="str">
        <f t="shared" si="48"/>
        <v/>
      </c>
      <c r="C985" s="16" t="str">
        <f>IFERROR(VLOOKUP(DATA!#REF!,DATA!#REF!,1,FALSE),"")</f>
        <v/>
      </c>
      <c r="D985" s="16" t="str">
        <f>IFERROR(VLOOKUP(C985,DATA!#REF!,2,FALSE),"")</f>
        <v/>
      </c>
    </row>
    <row r="986" spans="2:4" s="237" customFormat="1">
      <c r="B986" s="15" t="str">
        <f t="shared" si="48"/>
        <v/>
      </c>
      <c r="C986" s="16" t="str">
        <f>IFERROR(VLOOKUP(DATA!#REF!,DATA!#REF!,1,FALSE),"")</f>
        <v/>
      </c>
      <c r="D986" s="16" t="str">
        <f>IFERROR(VLOOKUP(C986,DATA!#REF!,2,FALSE),"")</f>
        <v/>
      </c>
    </row>
    <row r="987" spans="2:4" s="237" customFormat="1">
      <c r="B987" s="15" t="str">
        <f t="shared" si="48"/>
        <v/>
      </c>
      <c r="C987" s="16" t="str">
        <f>IFERROR(VLOOKUP(DATA!#REF!,DATA!#REF!,1,FALSE),"")</f>
        <v/>
      </c>
      <c r="D987" s="16" t="str">
        <f>IFERROR(VLOOKUP(C987,DATA!#REF!,2,FALSE),"")</f>
        <v/>
      </c>
    </row>
    <row r="988" spans="2:4" s="237" customFormat="1">
      <c r="B988" s="15" t="str">
        <f t="shared" si="48"/>
        <v/>
      </c>
      <c r="C988" s="16" t="str">
        <f>IFERROR(VLOOKUP(DATA!#REF!,DATA!#REF!,1,FALSE),"")</f>
        <v/>
      </c>
      <c r="D988" s="16" t="str">
        <f>IFERROR(VLOOKUP(C988,DATA!#REF!,2,FALSE),"")</f>
        <v/>
      </c>
    </row>
    <row r="989" spans="2:4" s="237" customFormat="1">
      <c r="B989" s="15" t="str">
        <f t="shared" si="48"/>
        <v/>
      </c>
      <c r="C989" s="16" t="str">
        <f>IFERROR(VLOOKUP(DATA!#REF!,DATA!#REF!,1,FALSE),"")</f>
        <v/>
      </c>
      <c r="D989" s="16" t="str">
        <f>IFERROR(VLOOKUP(C989,DATA!#REF!,2,FALSE),"")</f>
        <v/>
      </c>
    </row>
    <row r="990" spans="2:4" s="237" customFormat="1">
      <c r="B990" s="15" t="str">
        <f t="shared" si="48"/>
        <v/>
      </c>
      <c r="C990" s="16" t="str">
        <f>IFERROR(VLOOKUP(DATA!#REF!,DATA!#REF!,1,FALSE),"")</f>
        <v/>
      </c>
      <c r="D990" s="16" t="str">
        <f>IFERROR(VLOOKUP(C990,DATA!#REF!,2,FALSE),"")</f>
        <v/>
      </c>
    </row>
    <row r="991" spans="2:4" s="237" customFormat="1">
      <c r="B991" s="15" t="str">
        <f t="shared" si="48"/>
        <v/>
      </c>
      <c r="C991" s="16" t="str">
        <f>IFERROR(VLOOKUP(DATA!#REF!,DATA!#REF!,1,FALSE),"")</f>
        <v/>
      </c>
      <c r="D991" s="16" t="str">
        <f>IFERROR(VLOOKUP(C991,DATA!#REF!,2,FALSE),"")</f>
        <v/>
      </c>
    </row>
    <row r="992" spans="2:4" s="237" customFormat="1">
      <c r="B992" s="15" t="str">
        <f t="shared" si="48"/>
        <v/>
      </c>
      <c r="C992" s="16" t="str">
        <f>IFERROR(VLOOKUP(DATA!#REF!,DATA!#REF!,1,FALSE),"")</f>
        <v/>
      </c>
      <c r="D992" s="16" t="str">
        <f>IFERROR(VLOOKUP(C992,DATA!#REF!,2,FALSE),"")</f>
        <v/>
      </c>
    </row>
    <row r="993" spans="2:4" s="237" customFormat="1">
      <c r="B993" s="15" t="str">
        <f t="shared" si="48"/>
        <v/>
      </c>
      <c r="C993" s="16" t="str">
        <f>IFERROR(VLOOKUP(DATA!#REF!,DATA!#REF!,1,FALSE),"")</f>
        <v/>
      </c>
      <c r="D993" s="16" t="str">
        <f>IFERROR(VLOOKUP(C993,DATA!#REF!,2,FALSE),"")</f>
        <v/>
      </c>
    </row>
    <row r="994" spans="2:4" s="237" customFormat="1">
      <c r="B994" s="15" t="str">
        <f t="shared" si="48"/>
        <v/>
      </c>
      <c r="C994" s="16" t="str">
        <f>IFERROR(VLOOKUP(DATA!#REF!,DATA!#REF!,1,FALSE),"")</f>
        <v/>
      </c>
      <c r="D994" s="16" t="str">
        <f>IFERROR(VLOOKUP(C994,DATA!#REF!,2,FALSE),"")</f>
        <v/>
      </c>
    </row>
    <row r="995" spans="2:4" s="237" customFormat="1">
      <c r="B995" s="15" t="str">
        <f t="shared" si="48"/>
        <v/>
      </c>
      <c r="C995" s="16" t="str">
        <f>IFERROR(VLOOKUP(DATA!#REF!,DATA!#REF!,1,FALSE),"")</f>
        <v/>
      </c>
      <c r="D995" s="16" t="str">
        <f>IFERROR(VLOOKUP(C995,DATA!#REF!,2,FALSE),"")</f>
        <v/>
      </c>
    </row>
    <row r="996" spans="2:4" s="237" customFormat="1">
      <c r="B996" s="15" t="str">
        <f t="shared" si="48"/>
        <v/>
      </c>
      <c r="C996" s="16" t="str">
        <f>IFERROR(VLOOKUP(DATA!#REF!,DATA!#REF!,1,FALSE),"")</f>
        <v/>
      </c>
      <c r="D996" s="16" t="str">
        <f>IFERROR(VLOOKUP(C996,DATA!#REF!,2,FALSE),"")</f>
        <v/>
      </c>
    </row>
    <row r="997" spans="2:4" s="237" customFormat="1">
      <c r="B997" s="15" t="str">
        <f t="shared" si="48"/>
        <v/>
      </c>
      <c r="C997" s="16" t="str">
        <f>IFERROR(VLOOKUP(DATA!#REF!,DATA!#REF!,1,FALSE),"")</f>
        <v/>
      </c>
      <c r="D997" s="16" t="str">
        <f>IFERROR(VLOOKUP(C997,DATA!#REF!,2,FALSE),"")</f>
        <v/>
      </c>
    </row>
    <row r="998" spans="2:4" s="237" customFormat="1">
      <c r="B998" s="15" t="str">
        <f t="shared" si="48"/>
        <v/>
      </c>
      <c r="C998" s="16" t="str">
        <f>IFERROR(VLOOKUP(DATA!#REF!,DATA!#REF!,1,FALSE),"")</f>
        <v/>
      </c>
      <c r="D998" s="16" t="str">
        <f>IFERROR(VLOOKUP(C998,DATA!#REF!,2,FALSE),"")</f>
        <v/>
      </c>
    </row>
    <row r="999" spans="2:4" s="237" customFormat="1">
      <c r="B999" s="15" t="str">
        <f t="shared" si="48"/>
        <v/>
      </c>
      <c r="C999" s="16" t="str">
        <f>IFERROR(VLOOKUP(DATA!#REF!,DATA!#REF!,1,FALSE),"")</f>
        <v/>
      </c>
      <c r="D999" s="16" t="str">
        <f>IFERROR(VLOOKUP(C999,DATA!#REF!,2,FALSE),"")</f>
        <v/>
      </c>
    </row>
    <row r="1000" spans="2:4" s="237" customFormat="1">
      <c r="B1000" s="15" t="str">
        <f t="shared" si="48"/>
        <v/>
      </c>
      <c r="C1000" s="16" t="str">
        <f>IFERROR(VLOOKUP(DATA!#REF!,DATA!#REF!,1,FALSE),"")</f>
        <v/>
      </c>
      <c r="D1000" s="16" t="str">
        <f>IFERROR(VLOOKUP(C1000,DATA!#REF!,2,FALSE),"")</f>
        <v/>
      </c>
    </row>
    <row r="1001" spans="2:4" s="237" customFormat="1">
      <c r="B1001" s="15" t="str">
        <f t="shared" si="48"/>
        <v/>
      </c>
      <c r="C1001" s="16" t="str">
        <f>IFERROR(VLOOKUP(DATA!#REF!,DATA!#REF!,1,FALSE),"")</f>
        <v/>
      </c>
      <c r="D1001" s="16" t="str">
        <f>IFERROR(VLOOKUP(C1001,DATA!#REF!,2,FALSE),"")</f>
        <v/>
      </c>
    </row>
    <row r="1002" spans="2:4" s="237" customFormat="1">
      <c r="B1002" s="15" t="str">
        <f t="shared" si="48"/>
        <v/>
      </c>
      <c r="C1002" s="16" t="str">
        <f>IFERROR(VLOOKUP(DATA!#REF!,DATA!#REF!,1,FALSE),"")</f>
        <v/>
      </c>
      <c r="D1002" s="16" t="str">
        <f>IFERROR(VLOOKUP(C1002,DATA!#REF!,2,FALSE),"")</f>
        <v/>
      </c>
    </row>
    <row r="1003" spans="2:4" s="237" customFormat="1">
      <c r="B1003" s="15" t="str">
        <f t="shared" si="48"/>
        <v/>
      </c>
      <c r="C1003" s="16" t="str">
        <f>IFERROR(VLOOKUP(DATA!#REF!,DATA!#REF!,1,FALSE),"")</f>
        <v/>
      </c>
      <c r="D1003" s="16" t="str">
        <f>IFERROR(VLOOKUP(C1003,DATA!#REF!,2,FALSE),"")</f>
        <v/>
      </c>
    </row>
    <row r="1004" spans="2:4" s="237" customFormat="1">
      <c r="B1004" s="15" t="str">
        <f t="shared" si="48"/>
        <v/>
      </c>
      <c r="C1004" s="16" t="str">
        <f>IFERROR(VLOOKUP(DATA!#REF!,DATA!#REF!,1,FALSE),"")</f>
        <v/>
      </c>
      <c r="D1004" s="16" t="str">
        <f>IFERROR(VLOOKUP(C1004,DATA!#REF!,2,FALSE),"")</f>
        <v/>
      </c>
    </row>
    <row r="1005" spans="2:4" s="237" customFormat="1">
      <c r="B1005" s="15" t="str">
        <f t="shared" si="48"/>
        <v/>
      </c>
      <c r="C1005" s="16" t="str">
        <f>IFERROR(VLOOKUP(DATA!#REF!,DATA!#REF!,1,FALSE),"")</f>
        <v/>
      </c>
      <c r="D1005" s="16" t="str">
        <f>IFERROR(VLOOKUP(C1005,DATA!#REF!,2,FALSE),"")</f>
        <v/>
      </c>
    </row>
    <row r="1006" spans="2:4" s="237" customFormat="1">
      <c r="B1006" s="15" t="str">
        <f t="shared" si="48"/>
        <v/>
      </c>
      <c r="C1006" s="16" t="str">
        <f>IFERROR(VLOOKUP(DATA!#REF!,DATA!#REF!,1,FALSE),"")</f>
        <v/>
      </c>
      <c r="D1006" s="16" t="str">
        <f>IFERROR(VLOOKUP(C1006,DATA!#REF!,2,FALSE),"")</f>
        <v/>
      </c>
    </row>
    <row r="1007" spans="2:4" s="237" customFormat="1">
      <c r="B1007" s="15" t="str">
        <f t="shared" si="48"/>
        <v/>
      </c>
      <c r="C1007" s="16" t="str">
        <f>IFERROR(VLOOKUP(DATA!#REF!,DATA!#REF!,1,FALSE),"")</f>
        <v/>
      </c>
      <c r="D1007" s="16" t="str">
        <f>IFERROR(VLOOKUP(C1007,DATA!#REF!,2,FALSE),"")</f>
        <v/>
      </c>
    </row>
    <row r="1008" spans="2:4" s="237" customFormat="1">
      <c r="B1008" s="15" t="str">
        <f t="shared" si="48"/>
        <v/>
      </c>
      <c r="C1008" s="16" t="str">
        <f>IFERROR(VLOOKUP(DATA!#REF!,DATA!#REF!,1,FALSE),"")</f>
        <v/>
      </c>
      <c r="D1008" s="16" t="str">
        <f>IFERROR(VLOOKUP(C1008,DATA!#REF!,2,FALSE),"")</f>
        <v/>
      </c>
    </row>
    <row r="1009" spans="2:4" s="237" customFormat="1">
      <c r="B1009" s="15" t="str">
        <f t="shared" si="48"/>
        <v/>
      </c>
      <c r="C1009" s="16" t="str">
        <f>IFERROR(VLOOKUP(DATA!#REF!,DATA!#REF!,1,FALSE),"")</f>
        <v/>
      </c>
      <c r="D1009" s="16" t="str">
        <f>IFERROR(VLOOKUP(C1009,DATA!#REF!,2,FALSE),"")</f>
        <v/>
      </c>
    </row>
    <row r="1010" spans="2:4" s="237" customFormat="1">
      <c r="B1010" s="15" t="str">
        <f t="shared" si="48"/>
        <v/>
      </c>
      <c r="C1010" s="16" t="str">
        <f>IFERROR(VLOOKUP(DATA!#REF!,DATA!#REF!,1,FALSE),"")</f>
        <v/>
      </c>
      <c r="D1010" s="16" t="str">
        <f>IFERROR(VLOOKUP(C1010,DATA!#REF!,2,FALSE),"")</f>
        <v/>
      </c>
    </row>
    <row r="1011" spans="2:4" s="237" customFormat="1">
      <c r="B1011" s="15" t="str">
        <f t="shared" si="48"/>
        <v/>
      </c>
      <c r="C1011" s="16" t="str">
        <f>IFERROR(VLOOKUP(DATA!#REF!,DATA!#REF!,1,FALSE),"")</f>
        <v/>
      </c>
      <c r="D1011" s="16" t="str">
        <f>IFERROR(VLOOKUP(C1011,DATA!#REF!,2,FALSE),"")</f>
        <v/>
      </c>
    </row>
    <row r="1012" spans="2:4" s="237" customFormat="1">
      <c r="B1012" s="15" t="str">
        <f t="shared" si="48"/>
        <v/>
      </c>
      <c r="C1012" s="16" t="str">
        <f>IFERROR(VLOOKUP(DATA!#REF!,DATA!#REF!,1,FALSE),"")</f>
        <v/>
      </c>
      <c r="D1012" s="16" t="str">
        <f>IFERROR(VLOOKUP(C1012,DATA!#REF!,2,FALSE),"")</f>
        <v/>
      </c>
    </row>
    <row r="1013" spans="2:4" s="237" customFormat="1">
      <c r="B1013" s="15" t="str">
        <f t="shared" si="48"/>
        <v/>
      </c>
      <c r="C1013" s="16" t="str">
        <f>IFERROR(VLOOKUP(DATA!#REF!,DATA!#REF!,1,FALSE),"")</f>
        <v/>
      </c>
      <c r="D1013" s="16" t="str">
        <f>IFERROR(VLOOKUP(C1013,DATA!#REF!,2,FALSE),"")</f>
        <v/>
      </c>
    </row>
    <row r="1014" spans="2:4" s="237" customFormat="1">
      <c r="B1014" s="15" t="str">
        <f t="shared" si="48"/>
        <v/>
      </c>
      <c r="C1014" s="16" t="str">
        <f>IFERROR(VLOOKUP(DATA!#REF!,DATA!#REF!,1,FALSE),"")</f>
        <v/>
      </c>
      <c r="D1014" s="16" t="str">
        <f>IFERROR(VLOOKUP(C1014,DATA!#REF!,2,FALSE),"")</f>
        <v/>
      </c>
    </row>
    <row r="1015" spans="2:4" s="237" customFormat="1">
      <c r="B1015" s="15" t="str">
        <f t="shared" si="48"/>
        <v/>
      </c>
      <c r="C1015" s="16" t="str">
        <f>IFERROR(VLOOKUP(DATA!#REF!,DATA!#REF!,1,FALSE),"")</f>
        <v/>
      </c>
      <c r="D1015" s="16" t="str">
        <f>IFERROR(VLOOKUP(C1015,DATA!#REF!,2,FALSE),"")</f>
        <v/>
      </c>
    </row>
    <row r="1016" spans="2:4" s="237" customFormat="1">
      <c r="B1016" s="15" t="str">
        <f t="shared" si="48"/>
        <v/>
      </c>
      <c r="C1016" s="16" t="str">
        <f>IFERROR(VLOOKUP(DATA!#REF!,DATA!#REF!,1,FALSE),"")</f>
        <v/>
      </c>
      <c r="D1016" s="16" t="str">
        <f>IFERROR(VLOOKUP(C1016,DATA!#REF!,2,FALSE),"")</f>
        <v/>
      </c>
    </row>
    <row r="1017" spans="2:4" s="237" customFormat="1">
      <c r="B1017" s="15" t="str">
        <f t="shared" si="48"/>
        <v/>
      </c>
      <c r="C1017" s="16" t="str">
        <f>IFERROR(VLOOKUP(DATA!#REF!,DATA!#REF!,1,FALSE),"")</f>
        <v/>
      </c>
      <c r="D1017" s="16" t="str">
        <f>IFERROR(VLOOKUP(C1017,DATA!#REF!,2,FALSE),"")</f>
        <v/>
      </c>
    </row>
    <row r="1018" spans="2:4" s="237" customFormat="1">
      <c r="B1018" s="15" t="str">
        <f t="shared" si="48"/>
        <v/>
      </c>
      <c r="C1018" s="16" t="str">
        <f>IFERROR(VLOOKUP(DATA!#REF!,DATA!#REF!,1,FALSE),"")</f>
        <v/>
      </c>
      <c r="D1018" s="16" t="str">
        <f>IFERROR(VLOOKUP(C1018,DATA!#REF!,2,FALSE),"")</f>
        <v/>
      </c>
    </row>
    <row r="1019" spans="2:4" s="237" customFormat="1">
      <c r="B1019" s="15" t="str">
        <f t="shared" si="48"/>
        <v/>
      </c>
      <c r="C1019" s="16" t="str">
        <f>IFERROR(VLOOKUP(DATA!#REF!,DATA!#REF!,1,FALSE),"")</f>
        <v/>
      </c>
      <c r="D1019" s="16" t="str">
        <f>IFERROR(VLOOKUP(C1019,DATA!#REF!,2,FALSE),"")</f>
        <v/>
      </c>
    </row>
    <row r="1020" spans="2:4" s="237" customFormat="1">
      <c r="B1020" s="15" t="str">
        <f t="shared" si="48"/>
        <v/>
      </c>
      <c r="C1020" s="16" t="str">
        <f>IFERROR(VLOOKUP(DATA!#REF!,DATA!#REF!,1,FALSE),"")</f>
        <v/>
      </c>
      <c r="D1020" s="16" t="str">
        <f>IFERROR(VLOOKUP(C1020,DATA!#REF!,2,FALSE),"")</f>
        <v/>
      </c>
    </row>
    <row r="1021" spans="2:4" s="237" customFormat="1">
      <c r="B1021" s="15" t="str">
        <f t="shared" si="48"/>
        <v/>
      </c>
      <c r="C1021" s="16" t="str">
        <f>IFERROR(VLOOKUP(DATA!#REF!,DATA!#REF!,1,FALSE),"")</f>
        <v/>
      </c>
      <c r="D1021" s="16" t="str">
        <f>IFERROR(VLOOKUP(C1021,DATA!#REF!,2,FALSE),"")</f>
        <v/>
      </c>
    </row>
    <row r="1022" spans="2:4" s="237" customFormat="1">
      <c r="B1022" s="15" t="str">
        <f t="shared" si="48"/>
        <v/>
      </c>
      <c r="C1022" s="16" t="str">
        <f>IFERROR(VLOOKUP(DATA!#REF!,DATA!#REF!,1,FALSE),"")</f>
        <v/>
      </c>
      <c r="D1022" s="16" t="str">
        <f>IFERROR(VLOOKUP(C1022,DATA!#REF!,2,FALSE),"")</f>
        <v/>
      </c>
    </row>
    <row r="1023" spans="2:4" s="237" customFormat="1">
      <c r="B1023" s="15" t="str">
        <f t="shared" si="48"/>
        <v/>
      </c>
      <c r="C1023" s="16" t="str">
        <f>IFERROR(VLOOKUP(DATA!#REF!,DATA!#REF!,1,FALSE),"")</f>
        <v/>
      </c>
      <c r="D1023" s="16" t="str">
        <f>IFERROR(VLOOKUP(C1023,DATA!#REF!,2,FALSE),"")</f>
        <v/>
      </c>
    </row>
    <row r="1024" spans="2:4" s="237" customFormat="1">
      <c r="B1024" s="15" t="str">
        <f t="shared" si="48"/>
        <v/>
      </c>
      <c r="C1024" s="16" t="str">
        <f>IFERROR(VLOOKUP(DATA!#REF!,DATA!#REF!,1,FALSE),"")</f>
        <v/>
      </c>
      <c r="D1024" s="16" t="str">
        <f>IFERROR(VLOOKUP(C1024,DATA!#REF!,2,FALSE),"")</f>
        <v/>
      </c>
    </row>
    <row r="1025" spans="2:4" s="237" customFormat="1">
      <c r="B1025" s="15" t="str">
        <f t="shared" si="48"/>
        <v/>
      </c>
      <c r="C1025" s="16" t="str">
        <f>IFERROR(VLOOKUP(DATA!#REF!,DATA!#REF!,1,FALSE),"")</f>
        <v/>
      </c>
      <c r="D1025" s="16" t="str">
        <f>IFERROR(VLOOKUP(C1025,DATA!#REF!,2,FALSE),"")</f>
        <v/>
      </c>
    </row>
    <row r="1026" spans="2:4" s="237" customFormat="1">
      <c r="B1026" s="15" t="str">
        <f t="shared" si="48"/>
        <v/>
      </c>
      <c r="C1026" s="16" t="str">
        <f>IFERROR(VLOOKUP(DATA!#REF!,DATA!#REF!,1,FALSE),"")</f>
        <v/>
      </c>
      <c r="D1026" s="16" t="str">
        <f>IFERROR(VLOOKUP(C1026,DATA!#REF!,2,FALSE),"")</f>
        <v/>
      </c>
    </row>
    <row r="1027" spans="2:4" s="237" customFormat="1">
      <c r="B1027" s="15" t="str">
        <f t="shared" si="48"/>
        <v/>
      </c>
      <c r="C1027" s="16" t="str">
        <f>IFERROR(VLOOKUP(DATA!#REF!,DATA!#REF!,1,FALSE),"")</f>
        <v/>
      </c>
      <c r="D1027" s="16" t="str">
        <f>IFERROR(VLOOKUP(C1027,DATA!#REF!,2,FALSE),"")</f>
        <v/>
      </c>
    </row>
    <row r="1028" spans="2:4" s="237" customFormat="1">
      <c r="B1028" s="15" t="str">
        <f t="shared" si="48"/>
        <v/>
      </c>
      <c r="C1028" s="16" t="str">
        <f>IFERROR(VLOOKUP(DATA!#REF!,DATA!#REF!,1,FALSE),"")</f>
        <v/>
      </c>
      <c r="D1028" s="16" t="str">
        <f>IFERROR(VLOOKUP(C1028,DATA!#REF!,2,FALSE),"")</f>
        <v/>
      </c>
    </row>
    <row r="1029" spans="2:4" s="237" customFormat="1">
      <c r="B1029" s="15" t="str">
        <f t="shared" si="48"/>
        <v/>
      </c>
      <c r="C1029" s="16" t="str">
        <f>IFERROR(VLOOKUP(DATA!#REF!,DATA!#REF!,1,FALSE),"")</f>
        <v/>
      </c>
      <c r="D1029" s="16" t="str">
        <f>IFERROR(VLOOKUP(C1029,DATA!#REF!,2,FALSE),"")</f>
        <v/>
      </c>
    </row>
    <row r="1030" spans="2:4" s="237" customFormat="1">
      <c r="B1030" s="15" t="str">
        <f t="shared" ref="B1030:B1093" si="49">+IF(C1030="","",ROW()-5)</f>
        <v/>
      </c>
      <c r="C1030" s="16" t="str">
        <f>IFERROR(VLOOKUP(DATA!#REF!,DATA!#REF!,1,FALSE),"")</f>
        <v/>
      </c>
      <c r="D1030" s="16" t="str">
        <f>IFERROR(VLOOKUP(C1030,DATA!#REF!,2,FALSE),"")</f>
        <v/>
      </c>
    </row>
    <row r="1031" spans="2:4" s="237" customFormat="1">
      <c r="B1031" s="15" t="str">
        <f t="shared" si="49"/>
        <v/>
      </c>
      <c r="C1031" s="16" t="str">
        <f>IFERROR(VLOOKUP(DATA!#REF!,DATA!#REF!,1,FALSE),"")</f>
        <v/>
      </c>
      <c r="D1031" s="16" t="str">
        <f>IFERROR(VLOOKUP(C1031,DATA!#REF!,2,FALSE),"")</f>
        <v/>
      </c>
    </row>
    <row r="1032" spans="2:4" s="237" customFormat="1">
      <c r="B1032" s="15" t="str">
        <f t="shared" si="49"/>
        <v/>
      </c>
      <c r="C1032" s="16" t="str">
        <f>IFERROR(VLOOKUP(DATA!#REF!,DATA!#REF!,1,FALSE),"")</f>
        <v/>
      </c>
      <c r="D1032" s="16" t="str">
        <f>IFERROR(VLOOKUP(C1032,DATA!#REF!,2,FALSE),"")</f>
        <v/>
      </c>
    </row>
    <row r="1033" spans="2:4" s="237" customFormat="1">
      <c r="B1033" s="15" t="str">
        <f t="shared" si="49"/>
        <v/>
      </c>
      <c r="C1033" s="16" t="str">
        <f>IFERROR(VLOOKUP(DATA!#REF!,DATA!#REF!,1,FALSE),"")</f>
        <v/>
      </c>
      <c r="D1033" s="16" t="str">
        <f>IFERROR(VLOOKUP(C1033,DATA!#REF!,2,FALSE),"")</f>
        <v/>
      </c>
    </row>
    <row r="1034" spans="2:4" s="237" customFormat="1">
      <c r="B1034" s="15" t="str">
        <f t="shared" si="49"/>
        <v/>
      </c>
      <c r="C1034" s="16" t="str">
        <f>IFERROR(VLOOKUP(DATA!#REF!,DATA!#REF!,1,FALSE),"")</f>
        <v/>
      </c>
      <c r="D1034" s="16" t="str">
        <f>IFERROR(VLOOKUP(C1034,DATA!#REF!,2,FALSE),"")</f>
        <v/>
      </c>
    </row>
    <row r="1035" spans="2:4" s="237" customFormat="1">
      <c r="B1035" s="15" t="str">
        <f t="shared" si="49"/>
        <v/>
      </c>
      <c r="C1035" s="16" t="str">
        <f>IFERROR(VLOOKUP(DATA!#REF!,DATA!#REF!,1,FALSE),"")</f>
        <v/>
      </c>
      <c r="D1035" s="16" t="str">
        <f>IFERROR(VLOOKUP(C1035,DATA!#REF!,2,FALSE),"")</f>
        <v/>
      </c>
    </row>
    <row r="1036" spans="2:4" s="237" customFormat="1">
      <c r="B1036" s="15" t="str">
        <f t="shared" si="49"/>
        <v/>
      </c>
      <c r="C1036" s="16" t="str">
        <f>IFERROR(VLOOKUP(DATA!#REF!,DATA!#REF!,1,FALSE),"")</f>
        <v/>
      </c>
      <c r="D1036" s="16" t="str">
        <f>IFERROR(VLOOKUP(C1036,DATA!#REF!,2,FALSE),"")</f>
        <v/>
      </c>
    </row>
    <row r="1037" spans="2:4" s="237" customFormat="1">
      <c r="B1037" s="15" t="str">
        <f t="shared" si="49"/>
        <v/>
      </c>
      <c r="C1037" s="16" t="str">
        <f>IFERROR(VLOOKUP(DATA!#REF!,DATA!#REF!,1,FALSE),"")</f>
        <v/>
      </c>
      <c r="D1037" s="16" t="str">
        <f>IFERROR(VLOOKUP(C1037,DATA!#REF!,2,FALSE),"")</f>
        <v/>
      </c>
    </row>
    <row r="1038" spans="2:4" s="237" customFormat="1">
      <c r="B1038" s="15" t="str">
        <f t="shared" si="49"/>
        <v/>
      </c>
      <c r="C1038" s="16" t="str">
        <f>IFERROR(VLOOKUP(DATA!#REF!,DATA!#REF!,1,FALSE),"")</f>
        <v/>
      </c>
      <c r="D1038" s="16" t="str">
        <f>IFERROR(VLOOKUP(C1038,DATA!#REF!,2,FALSE),"")</f>
        <v/>
      </c>
    </row>
    <row r="1039" spans="2:4" s="237" customFormat="1">
      <c r="B1039" s="15" t="str">
        <f t="shared" si="49"/>
        <v/>
      </c>
      <c r="C1039" s="16" t="str">
        <f>IFERROR(VLOOKUP(DATA!#REF!,DATA!#REF!,1,FALSE),"")</f>
        <v/>
      </c>
      <c r="D1039" s="16" t="str">
        <f>IFERROR(VLOOKUP(C1039,DATA!#REF!,2,FALSE),"")</f>
        <v/>
      </c>
    </row>
    <row r="1040" spans="2:4" s="237" customFormat="1">
      <c r="B1040" s="15" t="str">
        <f t="shared" si="49"/>
        <v/>
      </c>
      <c r="C1040" s="16" t="str">
        <f>IFERROR(VLOOKUP(DATA!#REF!,DATA!#REF!,1,FALSE),"")</f>
        <v/>
      </c>
      <c r="D1040" s="16" t="str">
        <f>IFERROR(VLOOKUP(C1040,DATA!#REF!,2,FALSE),"")</f>
        <v/>
      </c>
    </row>
    <row r="1041" spans="2:4" s="237" customFormat="1">
      <c r="B1041" s="15" t="str">
        <f t="shared" si="49"/>
        <v/>
      </c>
      <c r="C1041" s="16" t="str">
        <f>IFERROR(VLOOKUP(DATA!#REF!,DATA!#REF!,1,FALSE),"")</f>
        <v/>
      </c>
      <c r="D1041" s="16" t="str">
        <f>IFERROR(VLOOKUP(C1041,DATA!#REF!,2,FALSE),"")</f>
        <v/>
      </c>
    </row>
    <row r="1042" spans="2:4" s="237" customFormat="1">
      <c r="B1042" s="15" t="str">
        <f t="shared" si="49"/>
        <v/>
      </c>
      <c r="C1042" s="16" t="str">
        <f>IFERROR(VLOOKUP(DATA!#REF!,DATA!#REF!,1,FALSE),"")</f>
        <v/>
      </c>
      <c r="D1042" s="16" t="str">
        <f>IFERROR(VLOOKUP(C1042,DATA!#REF!,2,FALSE),"")</f>
        <v/>
      </c>
    </row>
    <row r="1043" spans="2:4" s="237" customFormat="1">
      <c r="B1043" s="15" t="str">
        <f t="shared" si="49"/>
        <v/>
      </c>
      <c r="C1043" s="16" t="str">
        <f>IFERROR(VLOOKUP(DATA!#REF!,DATA!#REF!,1,FALSE),"")</f>
        <v/>
      </c>
      <c r="D1043" s="16" t="str">
        <f>IFERROR(VLOOKUP(C1043,DATA!#REF!,2,FALSE),"")</f>
        <v/>
      </c>
    </row>
    <row r="1044" spans="2:4" s="237" customFormat="1">
      <c r="B1044" s="15" t="str">
        <f t="shared" si="49"/>
        <v/>
      </c>
      <c r="C1044" s="16" t="str">
        <f>IFERROR(VLOOKUP(DATA!#REF!,DATA!#REF!,1,FALSE),"")</f>
        <v/>
      </c>
      <c r="D1044" s="16" t="str">
        <f>IFERROR(VLOOKUP(C1044,DATA!#REF!,2,FALSE),"")</f>
        <v/>
      </c>
    </row>
    <row r="1045" spans="2:4" s="237" customFormat="1">
      <c r="B1045" s="15" t="str">
        <f t="shared" si="49"/>
        <v/>
      </c>
      <c r="C1045" s="16" t="str">
        <f>IFERROR(VLOOKUP(DATA!#REF!,DATA!#REF!,1,FALSE),"")</f>
        <v/>
      </c>
      <c r="D1045" s="16" t="str">
        <f>IFERROR(VLOOKUP(C1045,DATA!#REF!,2,FALSE),"")</f>
        <v/>
      </c>
    </row>
    <row r="1046" spans="2:4" s="237" customFormat="1">
      <c r="B1046" s="15" t="str">
        <f t="shared" si="49"/>
        <v/>
      </c>
      <c r="C1046" s="16" t="str">
        <f>IFERROR(VLOOKUP(DATA!#REF!,DATA!#REF!,1,FALSE),"")</f>
        <v/>
      </c>
      <c r="D1046" s="16" t="str">
        <f>IFERROR(VLOOKUP(C1046,DATA!#REF!,2,FALSE),"")</f>
        <v/>
      </c>
    </row>
    <row r="1047" spans="2:4" s="237" customFormat="1">
      <c r="B1047" s="15" t="str">
        <f t="shared" si="49"/>
        <v/>
      </c>
      <c r="C1047" s="16" t="str">
        <f>IFERROR(VLOOKUP(DATA!#REF!,DATA!#REF!,1,FALSE),"")</f>
        <v/>
      </c>
      <c r="D1047" s="16" t="str">
        <f>IFERROR(VLOOKUP(C1047,DATA!#REF!,2,FALSE),"")</f>
        <v/>
      </c>
    </row>
    <row r="1048" spans="2:4" s="237" customFormat="1">
      <c r="B1048" s="15" t="str">
        <f t="shared" si="49"/>
        <v/>
      </c>
      <c r="C1048" s="16" t="str">
        <f>IFERROR(VLOOKUP(DATA!#REF!,DATA!#REF!,1,FALSE),"")</f>
        <v/>
      </c>
      <c r="D1048" s="16" t="str">
        <f>IFERROR(VLOOKUP(C1048,DATA!#REF!,2,FALSE),"")</f>
        <v/>
      </c>
    </row>
    <row r="1049" spans="2:4" s="237" customFormat="1">
      <c r="B1049" s="15" t="str">
        <f t="shared" si="49"/>
        <v/>
      </c>
      <c r="C1049" s="16" t="str">
        <f>IFERROR(VLOOKUP(DATA!#REF!,DATA!#REF!,1,FALSE),"")</f>
        <v/>
      </c>
      <c r="D1049" s="16" t="str">
        <f>IFERROR(VLOOKUP(C1049,DATA!#REF!,2,FALSE),"")</f>
        <v/>
      </c>
    </row>
    <row r="1050" spans="2:4" s="237" customFormat="1">
      <c r="B1050" s="15" t="str">
        <f t="shared" si="49"/>
        <v/>
      </c>
      <c r="C1050" s="16" t="str">
        <f>IFERROR(VLOOKUP(DATA!#REF!,DATA!#REF!,1,FALSE),"")</f>
        <v/>
      </c>
      <c r="D1050" s="16" t="str">
        <f>IFERROR(VLOOKUP(C1050,DATA!#REF!,2,FALSE),"")</f>
        <v/>
      </c>
    </row>
    <row r="1051" spans="2:4" s="237" customFormat="1">
      <c r="B1051" s="15" t="str">
        <f t="shared" si="49"/>
        <v/>
      </c>
      <c r="C1051" s="16" t="str">
        <f>IFERROR(VLOOKUP(DATA!#REF!,DATA!#REF!,1,FALSE),"")</f>
        <v/>
      </c>
      <c r="D1051" s="16" t="str">
        <f>IFERROR(VLOOKUP(C1051,DATA!#REF!,2,FALSE),"")</f>
        <v/>
      </c>
    </row>
    <row r="1052" spans="2:4" s="237" customFormat="1">
      <c r="B1052" s="15" t="str">
        <f t="shared" si="49"/>
        <v/>
      </c>
      <c r="C1052" s="16" t="str">
        <f>IFERROR(VLOOKUP(DATA!#REF!,DATA!#REF!,1,FALSE),"")</f>
        <v/>
      </c>
      <c r="D1052" s="16" t="str">
        <f>IFERROR(VLOOKUP(C1052,DATA!#REF!,2,FALSE),"")</f>
        <v/>
      </c>
    </row>
    <row r="1053" spans="2:4" s="237" customFormat="1">
      <c r="B1053" s="15" t="str">
        <f t="shared" si="49"/>
        <v/>
      </c>
      <c r="C1053" s="16" t="str">
        <f>IFERROR(VLOOKUP(DATA!#REF!,DATA!#REF!,1,FALSE),"")</f>
        <v/>
      </c>
      <c r="D1053" s="16" t="str">
        <f>IFERROR(VLOOKUP(C1053,DATA!#REF!,2,FALSE),"")</f>
        <v/>
      </c>
    </row>
    <row r="1054" spans="2:4" s="237" customFormat="1">
      <c r="B1054" s="15" t="str">
        <f t="shared" si="49"/>
        <v/>
      </c>
      <c r="C1054" s="16" t="str">
        <f>IFERROR(VLOOKUP(DATA!#REF!,DATA!#REF!,1,FALSE),"")</f>
        <v/>
      </c>
      <c r="D1054" s="16" t="str">
        <f>IFERROR(VLOOKUP(C1054,DATA!#REF!,2,FALSE),"")</f>
        <v/>
      </c>
    </row>
    <row r="1055" spans="2:4" s="237" customFormat="1">
      <c r="B1055" s="15" t="str">
        <f t="shared" si="49"/>
        <v/>
      </c>
      <c r="C1055" s="16" t="str">
        <f>IFERROR(VLOOKUP(DATA!#REF!,DATA!#REF!,1,FALSE),"")</f>
        <v/>
      </c>
      <c r="D1055" s="16" t="str">
        <f>IFERROR(VLOOKUP(C1055,DATA!#REF!,2,FALSE),"")</f>
        <v/>
      </c>
    </row>
    <row r="1056" spans="2:4" s="237" customFormat="1">
      <c r="B1056" s="15" t="str">
        <f t="shared" si="49"/>
        <v/>
      </c>
      <c r="C1056" s="16" t="str">
        <f>IFERROR(VLOOKUP(DATA!#REF!,DATA!#REF!,1,FALSE),"")</f>
        <v/>
      </c>
      <c r="D1056" s="16" t="str">
        <f>IFERROR(VLOOKUP(C1056,DATA!#REF!,2,FALSE),"")</f>
        <v/>
      </c>
    </row>
    <row r="1057" spans="2:4" s="237" customFormat="1">
      <c r="B1057" s="15" t="str">
        <f t="shared" si="49"/>
        <v/>
      </c>
      <c r="C1057" s="16" t="str">
        <f>IFERROR(VLOOKUP(DATA!#REF!,DATA!#REF!,1,FALSE),"")</f>
        <v/>
      </c>
      <c r="D1057" s="16" t="str">
        <f>IFERROR(VLOOKUP(C1057,DATA!#REF!,2,FALSE),"")</f>
        <v/>
      </c>
    </row>
    <row r="1058" spans="2:4" s="237" customFormat="1">
      <c r="B1058" s="15" t="str">
        <f t="shared" si="49"/>
        <v/>
      </c>
      <c r="C1058" s="16" t="str">
        <f>IFERROR(VLOOKUP(DATA!#REF!,DATA!#REF!,1,FALSE),"")</f>
        <v/>
      </c>
      <c r="D1058" s="16" t="str">
        <f>IFERROR(VLOOKUP(C1058,DATA!#REF!,2,FALSE),"")</f>
        <v/>
      </c>
    </row>
    <row r="1059" spans="2:4" s="237" customFormat="1">
      <c r="B1059" s="15" t="str">
        <f t="shared" si="49"/>
        <v/>
      </c>
      <c r="C1059" s="16" t="str">
        <f>IFERROR(VLOOKUP(DATA!#REF!,DATA!#REF!,1,FALSE),"")</f>
        <v/>
      </c>
      <c r="D1059" s="16" t="str">
        <f>IFERROR(VLOOKUP(C1059,DATA!#REF!,2,FALSE),"")</f>
        <v/>
      </c>
    </row>
    <row r="1060" spans="2:4" s="237" customFormat="1">
      <c r="B1060" s="15" t="str">
        <f t="shared" si="49"/>
        <v/>
      </c>
      <c r="C1060" s="16" t="str">
        <f>IFERROR(VLOOKUP(DATA!#REF!,DATA!#REF!,1,FALSE),"")</f>
        <v/>
      </c>
      <c r="D1060" s="16" t="str">
        <f>IFERROR(VLOOKUP(C1060,DATA!#REF!,2,FALSE),"")</f>
        <v/>
      </c>
    </row>
    <row r="1061" spans="2:4" s="237" customFormat="1">
      <c r="B1061" s="15" t="str">
        <f t="shared" si="49"/>
        <v/>
      </c>
      <c r="C1061" s="16" t="str">
        <f>IFERROR(VLOOKUP(DATA!#REF!,DATA!#REF!,1,FALSE),"")</f>
        <v/>
      </c>
      <c r="D1061" s="16" t="str">
        <f>IFERROR(VLOOKUP(C1061,DATA!#REF!,2,FALSE),"")</f>
        <v/>
      </c>
    </row>
    <row r="1062" spans="2:4" s="237" customFormat="1">
      <c r="B1062" s="15" t="str">
        <f t="shared" si="49"/>
        <v/>
      </c>
      <c r="C1062" s="16" t="str">
        <f>IFERROR(VLOOKUP(DATA!#REF!,DATA!#REF!,1,FALSE),"")</f>
        <v/>
      </c>
      <c r="D1062" s="16" t="str">
        <f>IFERROR(VLOOKUP(C1062,DATA!#REF!,2,FALSE),"")</f>
        <v/>
      </c>
    </row>
    <row r="1063" spans="2:4" s="237" customFormat="1">
      <c r="B1063" s="15" t="str">
        <f t="shared" si="49"/>
        <v/>
      </c>
      <c r="C1063" s="16" t="str">
        <f>IFERROR(VLOOKUP(DATA!#REF!,DATA!#REF!,1,FALSE),"")</f>
        <v/>
      </c>
      <c r="D1063" s="16" t="str">
        <f>IFERROR(VLOOKUP(C1063,DATA!#REF!,2,FALSE),"")</f>
        <v/>
      </c>
    </row>
    <row r="1064" spans="2:4" s="237" customFormat="1">
      <c r="B1064" s="15" t="str">
        <f t="shared" si="49"/>
        <v/>
      </c>
      <c r="C1064" s="16" t="str">
        <f>IFERROR(VLOOKUP(DATA!#REF!,DATA!#REF!,1,FALSE),"")</f>
        <v/>
      </c>
      <c r="D1064" s="16" t="str">
        <f>IFERROR(VLOOKUP(C1064,DATA!#REF!,2,FALSE),"")</f>
        <v/>
      </c>
    </row>
    <row r="1065" spans="2:4" s="237" customFormat="1">
      <c r="B1065" s="15" t="str">
        <f t="shared" si="49"/>
        <v/>
      </c>
      <c r="C1065" s="16" t="str">
        <f>IFERROR(VLOOKUP(DATA!#REF!,DATA!#REF!,1,FALSE),"")</f>
        <v/>
      </c>
      <c r="D1065" s="16" t="str">
        <f>IFERROR(VLOOKUP(C1065,DATA!#REF!,2,FALSE),"")</f>
        <v/>
      </c>
    </row>
    <row r="1066" spans="2:4" s="237" customFormat="1">
      <c r="B1066" s="15" t="str">
        <f t="shared" si="49"/>
        <v/>
      </c>
      <c r="C1066" s="16" t="str">
        <f>IFERROR(VLOOKUP(DATA!#REF!,DATA!#REF!,1,FALSE),"")</f>
        <v/>
      </c>
      <c r="D1066" s="16" t="str">
        <f>IFERROR(VLOOKUP(C1066,DATA!#REF!,2,FALSE),"")</f>
        <v/>
      </c>
    </row>
    <row r="1067" spans="2:4" s="237" customFormat="1">
      <c r="B1067" s="15" t="str">
        <f t="shared" si="49"/>
        <v/>
      </c>
      <c r="C1067" s="16" t="str">
        <f>IFERROR(VLOOKUP(DATA!#REF!,DATA!#REF!,1,FALSE),"")</f>
        <v/>
      </c>
      <c r="D1067" s="16" t="str">
        <f>IFERROR(VLOOKUP(C1067,DATA!#REF!,2,FALSE),"")</f>
        <v/>
      </c>
    </row>
    <row r="1068" spans="2:4" s="237" customFormat="1">
      <c r="B1068" s="15" t="str">
        <f t="shared" si="49"/>
        <v/>
      </c>
      <c r="C1068" s="16" t="str">
        <f>IFERROR(VLOOKUP(DATA!#REF!,DATA!#REF!,1,FALSE),"")</f>
        <v/>
      </c>
      <c r="D1068" s="16" t="str">
        <f>IFERROR(VLOOKUP(C1068,DATA!#REF!,2,FALSE),"")</f>
        <v/>
      </c>
    </row>
    <row r="1069" spans="2:4" s="237" customFormat="1">
      <c r="B1069" s="15" t="str">
        <f t="shared" si="49"/>
        <v/>
      </c>
      <c r="C1069" s="16" t="str">
        <f>IFERROR(VLOOKUP(DATA!#REF!,DATA!#REF!,1,FALSE),"")</f>
        <v/>
      </c>
      <c r="D1069" s="16" t="str">
        <f>IFERROR(VLOOKUP(C1069,DATA!#REF!,2,FALSE),"")</f>
        <v/>
      </c>
    </row>
    <row r="1070" spans="2:4" s="237" customFormat="1">
      <c r="B1070" s="15" t="str">
        <f t="shared" si="49"/>
        <v/>
      </c>
      <c r="C1070" s="16" t="str">
        <f>IFERROR(VLOOKUP(DATA!#REF!,DATA!#REF!,1,FALSE),"")</f>
        <v/>
      </c>
      <c r="D1070" s="16" t="str">
        <f>IFERROR(VLOOKUP(C1070,DATA!#REF!,2,FALSE),"")</f>
        <v/>
      </c>
    </row>
    <row r="1071" spans="2:4" s="237" customFormat="1">
      <c r="B1071" s="15" t="str">
        <f t="shared" si="49"/>
        <v/>
      </c>
      <c r="C1071" s="16" t="str">
        <f>IFERROR(VLOOKUP(DATA!#REF!,DATA!#REF!,1,FALSE),"")</f>
        <v/>
      </c>
      <c r="D1071" s="16" t="str">
        <f>IFERROR(VLOOKUP(C1071,DATA!#REF!,2,FALSE),"")</f>
        <v/>
      </c>
    </row>
    <row r="1072" spans="2:4" s="237" customFormat="1">
      <c r="B1072" s="15" t="str">
        <f t="shared" si="49"/>
        <v/>
      </c>
      <c r="C1072" s="16" t="str">
        <f>IFERROR(VLOOKUP(DATA!#REF!,DATA!#REF!,1,FALSE),"")</f>
        <v/>
      </c>
      <c r="D1072" s="16" t="str">
        <f>IFERROR(VLOOKUP(C1072,DATA!#REF!,2,FALSE),"")</f>
        <v/>
      </c>
    </row>
    <row r="1073" spans="2:4" s="237" customFormat="1">
      <c r="B1073" s="15" t="str">
        <f t="shared" si="49"/>
        <v/>
      </c>
      <c r="C1073" s="16" t="str">
        <f>IFERROR(VLOOKUP(DATA!#REF!,DATA!#REF!,1,FALSE),"")</f>
        <v/>
      </c>
      <c r="D1073" s="16" t="str">
        <f>IFERROR(VLOOKUP(C1073,DATA!#REF!,2,FALSE),"")</f>
        <v/>
      </c>
    </row>
    <row r="1074" spans="2:4" s="237" customFormat="1">
      <c r="B1074" s="15" t="str">
        <f t="shared" si="49"/>
        <v/>
      </c>
      <c r="C1074" s="16" t="str">
        <f>IFERROR(VLOOKUP(DATA!#REF!,DATA!#REF!,1,FALSE),"")</f>
        <v/>
      </c>
      <c r="D1074" s="16" t="str">
        <f>IFERROR(VLOOKUP(C1074,DATA!#REF!,2,FALSE),"")</f>
        <v/>
      </c>
    </row>
    <row r="1075" spans="2:4" s="237" customFormat="1">
      <c r="B1075" s="15" t="str">
        <f t="shared" si="49"/>
        <v/>
      </c>
      <c r="C1075" s="16" t="str">
        <f>IFERROR(VLOOKUP(DATA!#REF!,DATA!#REF!,1,FALSE),"")</f>
        <v/>
      </c>
      <c r="D1075" s="16" t="str">
        <f>IFERROR(VLOOKUP(C1075,DATA!#REF!,2,FALSE),"")</f>
        <v/>
      </c>
    </row>
    <row r="1076" spans="2:4" s="237" customFormat="1">
      <c r="B1076" s="15" t="str">
        <f t="shared" si="49"/>
        <v/>
      </c>
      <c r="C1076" s="16" t="str">
        <f>IFERROR(VLOOKUP(DATA!#REF!,DATA!#REF!,1,FALSE),"")</f>
        <v/>
      </c>
      <c r="D1076" s="16" t="str">
        <f>IFERROR(VLOOKUP(C1076,DATA!#REF!,2,FALSE),"")</f>
        <v/>
      </c>
    </row>
    <row r="1077" spans="2:4" s="237" customFormat="1">
      <c r="B1077" s="15" t="str">
        <f t="shared" si="49"/>
        <v/>
      </c>
      <c r="C1077" s="16" t="str">
        <f>IFERROR(VLOOKUP(DATA!#REF!,DATA!#REF!,1,FALSE),"")</f>
        <v/>
      </c>
      <c r="D1077" s="16" t="str">
        <f>IFERROR(VLOOKUP(C1077,DATA!#REF!,2,FALSE),"")</f>
        <v/>
      </c>
    </row>
    <row r="1078" spans="2:4" s="237" customFormat="1">
      <c r="B1078" s="15" t="str">
        <f t="shared" si="49"/>
        <v/>
      </c>
      <c r="C1078" s="16" t="str">
        <f>IFERROR(VLOOKUP(DATA!#REF!,DATA!#REF!,1,FALSE),"")</f>
        <v/>
      </c>
      <c r="D1078" s="16" t="str">
        <f>IFERROR(VLOOKUP(C1078,DATA!#REF!,2,FALSE),"")</f>
        <v/>
      </c>
    </row>
    <row r="1079" spans="2:4" s="237" customFormat="1">
      <c r="B1079" s="15" t="str">
        <f t="shared" si="49"/>
        <v/>
      </c>
      <c r="C1079" s="16" t="str">
        <f>IFERROR(VLOOKUP(DATA!#REF!,DATA!#REF!,1,FALSE),"")</f>
        <v/>
      </c>
      <c r="D1079" s="16" t="str">
        <f>IFERROR(VLOOKUP(C1079,DATA!#REF!,2,FALSE),"")</f>
        <v/>
      </c>
    </row>
    <row r="1080" spans="2:4" s="237" customFormat="1">
      <c r="B1080" s="15" t="str">
        <f t="shared" si="49"/>
        <v/>
      </c>
      <c r="C1080" s="16" t="str">
        <f>IFERROR(VLOOKUP(DATA!#REF!,DATA!#REF!,1,FALSE),"")</f>
        <v/>
      </c>
      <c r="D1080" s="16" t="str">
        <f>IFERROR(VLOOKUP(C1080,DATA!#REF!,2,FALSE),"")</f>
        <v/>
      </c>
    </row>
    <row r="1081" spans="2:4" s="237" customFormat="1">
      <c r="B1081" s="15" t="str">
        <f t="shared" si="49"/>
        <v/>
      </c>
      <c r="C1081" s="16" t="str">
        <f>IFERROR(VLOOKUP(DATA!#REF!,DATA!#REF!,1,FALSE),"")</f>
        <v/>
      </c>
      <c r="D1081" s="16" t="str">
        <f>IFERROR(VLOOKUP(C1081,DATA!#REF!,2,FALSE),"")</f>
        <v/>
      </c>
    </row>
    <row r="1082" spans="2:4" s="237" customFormat="1">
      <c r="B1082" s="15" t="str">
        <f t="shared" si="49"/>
        <v/>
      </c>
      <c r="C1082" s="16" t="str">
        <f>IFERROR(VLOOKUP(DATA!#REF!,DATA!#REF!,1,FALSE),"")</f>
        <v/>
      </c>
      <c r="D1082" s="16" t="str">
        <f>IFERROR(VLOOKUP(C1082,DATA!#REF!,2,FALSE),"")</f>
        <v/>
      </c>
    </row>
    <row r="1083" spans="2:4" s="237" customFormat="1">
      <c r="B1083" s="15" t="str">
        <f t="shared" si="49"/>
        <v/>
      </c>
      <c r="C1083" s="16" t="str">
        <f>IFERROR(VLOOKUP(DATA!#REF!,DATA!#REF!,1,FALSE),"")</f>
        <v/>
      </c>
      <c r="D1083" s="16" t="str">
        <f>IFERROR(VLOOKUP(C1083,DATA!#REF!,2,FALSE),"")</f>
        <v/>
      </c>
    </row>
    <row r="1084" spans="2:4" s="237" customFormat="1">
      <c r="B1084" s="15" t="str">
        <f t="shared" si="49"/>
        <v/>
      </c>
      <c r="C1084" s="16" t="str">
        <f>IFERROR(VLOOKUP(DATA!#REF!,DATA!#REF!,1,FALSE),"")</f>
        <v/>
      </c>
      <c r="D1084" s="16" t="str">
        <f>IFERROR(VLOOKUP(C1084,DATA!#REF!,2,FALSE),"")</f>
        <v/>
      </c>
    </row>
    <row r="1085" spans="2:4" s="237" customFormat="1">
      <c r="B1085" s="15" t="str">
        <f t="shared" si="49"/>
        <v/>
      </c>
      <c r="C1085" s="16" t="str">
        <f>IFERROR(VLOOKUP(DATA!#REF!,DATA!#REF!,1,FALSE),"")</f>
        <v/>
      </c>
      <c r="D1085" s="16" t="str">
        <f>IFERROR(VLOOKUP(C1085,DATA!#REF!,2,FALSE),"")</f>
        <v/>
      </c>
    </row>
    <row r="1086" spans="2:4" s="237" customFormat="1">
      <c r="B1086" s="15" t="str">
        <f t="shared" si="49"/>
        <v/>
      </c>
      <c r="C1086" s="16" t="str">
        <f>IFERROR(VLOOKUP(DATA!#REF!,DATA!#REF!,1,FALSE),"")</f>
        <v/>
      </c>
      <c r="D1086" s="16" t="str">
        <f>IFERROR(VLOOKUP(C1086,DATA!#REF!,2,FALSE),"")</f>
        <v/>
      </c>
    </row>
    <row r="1087" spans="2:4" s="237" customFormat="1">
      <c r="B1087" s="15" t="str">
        <f t="shared" si="49"/>
        <v/>
      </c>
      <c r="C1087" s="16" t="str">
        <f>IFERROR(VLOOKUP(DATA!#REF!,DATA!#REF!,1,FALSE),"")</f>
        <v/>
      </c>
      <c r="D1087" s="16" t="str">
        <f>IFERROR(VLOOKUP(C1087,DATA!#REF!,2,FALSE),"")</f>
        <v/>
      </c>
    </row>
    <row r="1088" spans="2:4" s="237" customFormat="1">
      <c r="B1088" s="15" t="str">
        <f t="shared" si="49"/>
        <v/>
      </c>
      <c r="C1088" s="16" t="str">
        <f>IFERROR(VLOOKUP(DATA!#REF!,DATA!#REF!,1,FALSE),"")</f>
        <v/>
      </c>
      <c r="D1088" s="16" t="str">
        <f>IFERROR(VLOOKUP(C1088,DATA!#REF!,2,FALSE),"")</f>
        <v/>
      </c>
    </row>
    <row r="1089" spans="2:4" s="237" customFormat="1">
      <c r="B1089" s="15" t="str">
        <f t="shared" si="49"/>
        <v/>
      </c>
      <c r="C1089" s="16" t="str">
        <f>IFERROR(VLOOKUP(DATA!#REF!,DATA!#REF!,1,FALSE),"")</f>
        <v/>
      </c>
      <c r="D1089" s="16" t="str">
        <f>IFERROR(VLOOKUP(C1089,DATA!#REF!,2,FALSE),"")</f>
        <v/>
      </c>
    </row>
    <row r="1090" spans="2:4" s="237" customFormat="1">
      <c r="B1090" s="15" t="str">
        <f t="shared" si="49"/>
        <v/>
      </c>
      <c r="C1090" s="16" t="str">
        <f>IFERROR(VLOOKUP(DATA!#REF!,DATA!#REF!,1,FALSE),"")</f>
        <v/>
      </c>
      <c r="D1090" s="16" t="str">
        <f>IFERROR(VLOOKUP(C1090,DATA!#REF!,2,FALSE),"")</f>
        <v/>
      </c>
    </row>
    <row r="1091" spans="2:4" s="237" customFormat="1">
      <c r="B1091" s="15" t="str">
        <f t="shared" si="49"/>
        <v/>
      </c>
      <c r="C1091" s="16" t="str">
        <f>IFERROR(VLOOKUP(DATA!#REF!,DATA!#REF!,1,FALSE),"")</f>
        <v/>
      </c>
      <c r="D1091" s="16" t="str">
        <f>IFERROR(VLOOKUP(C1091,DATA!#REF!,2,FALSE),"")</f>
        <v/>
      </c>
    </row>
    <row r="1092" spans="2:4" s="237" customFormat="1">
      <c r="B1092" s="15" t="str">
        <f t="shared" si="49"/>
        <v/>
      </c>
      <c r="C1092" s="16" t="str">
        <f>IFERROR(VLOOKUP(DATA!#REF!,DATA!#REF!,1,FALSE),"")</f>
        <v/>
      </c>
      <c r="D1092" s="16" t="str">
        <f>IFERROR(VLOOKUP(C1092,DATA!#REF!,2,FALSE),"")</f>
        <v/>
      </c>
    </row>
    <row r="1093" spans="2:4" s="237" customFormat="1">
      <c r="B1093" s="15" t="str">
        <f t="shared" si="49"/>
        <v/>
      </c>
      <c r="C1093" s="16" t="str">
        <f>IFERROR(VLOOKUP(DATA!#REF!,DATA!#REF!,1,FALSE),"")</f>
        <v/>
      </c>
      <c r="D1093" s="16" t="str">
        <f>IFERROR(VLOOKUP(C1093,DATA!#REF!,2,FALSE),"")</f>
        <v/>
      </c>
    </row>
    <row r="1094" spans="2:4" s="237" customFormat="1">
      <c r="B1094" s="15" t="str">
        <f t="shared" ref="B1094:B1157" si="50">+IF(C1094="","",ROW()-5)</f>
        <v/>
      </c>
      <c r="C1094" s="16" t="str">
        <f>IFERROR(VLOOKUP(DATA!#REF!,DATA!#REF!,1,FALSE),"")</f>
        <v/>
      </c>
      <c r="D1094" s="16" t="str">
        <f>IFERROR(VLOOKUP(C1094,DATA!#REF!,2,FALSE),"")</f>
        <v/>
      </c>
    </row>
    <row r="1095" spans="2:4" s="237" customFormat="1">
      <c r="B1095" s="15" t="str">
        <f t="shared" si="50"/>
        <v/>
      </c>
      <c r="C1095" s="16" t="str">
        <f>IFERROR(VLOOKUP(DATA!#REF!,DATA!#REF!,1,FALSE),"")</f>
        <v/>
      </c>
      <c r="D1095" s="16" t="str">
        <f>IFERROR(VLOOKUP(C1095,DATA!#REF!,2,FALSE),"")</f>
        <v/>
      </c>
    </row>
    <row r="1096" spans="2:4" s="237" customFormat="1">
      <c r="B1096" s="15" t="str">
        <f t="shared" si="50"/>
        <v/>
      </c>
      <c r="C1096" s="16" t="str">
        <f>IFERROR(VLOOKUP(DATA!#REF!,DATA!#REF!,1,FALSE),"")</f>
        <v/>
      </c>
      <c r="D1096" s="16" t="str">
        <f>IFERROR(VLOOKUP(C1096,DATA!#REF!,2,FALSE),"")</f>
        <v/>
      </c>
    </row>
    <row r="1097" spans="2:4" s="237" customFormat="1">
      <c r="B1097" s="15" t="str">
        <f t="shared" si="50"/>
        <v/>
      </c>
      <c r="C1097" s="16" t="str">
        <f>IFERROR(VLOOKUP(DATA!#REF!,DATA!#REF!,1,FALSE),"")</f>
        <v/>
      </c>
      <c r="D1097" s="16" t="str">
        <f>IFERROR(VLOOKUP(C1097,DATA!#REF!,2,FALSE),"")</f>
        <v/>
      </c>
    </row>
    <row r="1098" spans="2:4" s="237" customFormat="1">
      <c r="B1098" s="15" t="str">
        <f t="shared" si="50"/>
        <v/>
      </c>
      <c r="C1098" s="16" t="str">
        <f>IFERROR(VLOOKUP(DATA!#REF!,DATA!#REF!,1,FALSE),"")</f>
        <v/>
      </c>
      <c r="D1098" s="16" t="str">
        <f>IFERROR(VLOOKUP(C1098,DATA!#REF!,2,FALSE),"")</f>
        <v/>
      </c>
    </row>
    <row r="1099" spans="2:4" s="237" customFormat="1">
      <c r="B1099" s="15" t="str">
        <f t="shared" si="50"/>
        <v/>
      </c>
      <c r="C1099" s="16" t="str">
        <f>IFERROR(VLOOKUP(DATA!#REF!,DATA!#REF!,1,FALSE),"")</f>
        <v/>
      </c>
      <c r="D1099" s="16" t="str">
        <f>IFERROR(VLOOKUP(C1099,DATA!#REF!,2,FALSE),"")</f>
        <v/>
      </c>
    </row>
    <row r="1100" spans="2:4" s="237" customFormat="1">
      <c r="B1100" s="15" t="str">
        <f t="shared" si="50"/>
        <v/>
      </c>
      <c r="C1100" s="16" t="str">
        <f>IFERROR(VLOOKUP(DATA!#REF!,DATA!#REF!,1,FALSE),"")</f>
        <v/>
      </c>
      <c r="D1100" s="16" t="str">
        <f>IFERROR(VLOOKUP(C1100,DATA!#REF!,2,FALSE),"")</f>
        <v/>
      </c>
    </row>
    <row r="1101" spans="2:4" s="237" customFormat="1">
      <c r="B1101" s="15" t="str">
        <f t="shared" si="50"/>
        <v/>
      </c>
      <c r="C1101" s="16" t="str">
        <f>IFERROR(VLOOKUP(DATA!#REF!,DATA!#REF!,1,FALSE),"")</f>
        <v/>
      </c>
      <c r="D1101" s="16" t="str">
        <f>IFERROR(VLOOKUP(C1101,DATA!#REF!,2,FALSE),"")</f>
        <v/>
      </c>
    </row>
    <row r="1102" spans="2:4" s="237" customFormat="1">
      <c r="B1102" s="15" t="str">
        <f t="shared" si="50"/>
        <v/>
      </c>
      <c r="C1102" s="16" t="str">
        <f>IFERROR(VLOOKUP(DATA!#REF!,DATA!#REF!,1,FALSE),"")</f>
        <v/>
      </c>
      <c r="D1102" s="16" t="str">
        <f>IFERROR(VLOOKUP(C1102,DATA!#REF!,2,FALSE),"")</f>
        <v/>
      </c>
    </row>
    <row r="1103" spans="2:4" s="237" customFormat="1">
      <c r="B1103" s="15" t="str">
        <f t="shared" si="50"/>
        <v/>
      </c>
      <c r="C1103" s="16" t="str">
        <f>IFERROR(VLOOKUP(DATA!#REF!,DATA!#REF!,1,FALSE),"")</f>
        <v/>
      </c>
      <c r="D1103" s="16" t="str">
        <f>IFERROR(VLOOKUP(C1103,DATA!#REF!,2,FALSE),"")</f>
        <v/>
      </c>
    </row>
    <row r="1104" spans="2:4" s="237" customFormat="1">
      <c r="B1104" s="15" t="str">
        <f t="shared" si="50"/>
        <v/>
      </c>
      <c r="C1104" s="16" t="str">
        <f>IFERROR(VLOOKUP(DATA!#REF!,DATA!#REF!,1,FALSE),"")</f>
        <v/>
      </c>
      <c r="D1104" s="16" t="str">
        <f>IFERROR(VLOOKUP(C1104,DATA!#REF!,2,FALSE),"")</f>
        <v/>
      </c>
    </row>
    <row r="1105" spans="2:4" s="237" customFormat="1">
      <c r="B1105" s="15" t="str">
        <f t="shared" si="50"/>
        <v/>
      </c>
      <c r="C1105" s="16" t="str">
        <f>IFERROR(VLOOKUP(DATA!#REF!,DATA!#REF!,1,FALSE),"")</f>
        <v/>
      </c>
      <c r="D1105" s="16" t="str">
        <f>IFERROR(VLOOKUP(C1105,DATA!#REF!,2,FALSE),"")</f>
        <v/>
      </c>
    </row>
    <row r="1106" spans="2:4" s="237" customFormat="1">
      <c r="B1106" s="15" t="str">
        <f t="shared" si="50"/>
        <v/>
      </c>
      <c r="C1106" s="16" t="str">
        <f>IFERROR(VLOOKUP(DATA!#REF!,DATA!#REF!,1,FALSE),"")</f>
        <v/>
      </c>
      <c r="D1106" s="16" t="str">
        <f>IFERROR(VLOOKUP(C1106,DATA!#REF!,2,FALSE),"")</f>
        <v/>
      </c>
    </row>
    <row r="1107" spans="2:4" s="237" customFormat="1">
      <c r="B1107" s="15" t="str">
        <f t="shared" si="50"/>
        <v/>
      </c>
      <c r="C1107" s="16" t="str">
        <f>IFERROR(VLOOKUP(DATA!#REF!,DATA!#REF!,1,FALSE),"")</f>
        <v/>
      </c>
      <c r="D1107" s="16" t="str">
        <f>IFERROR(VLOOKUP(C1107,DATA!#REF!,2,FALSE),"")</f>
        <v/>
      </c>
    </row>
    <row r="1108" spans="2:4" s="237" customFormat="1">
      <c r="B1108" s="15" t="str">
        <f t="shared" si="50"/>
        <v/>
      </c>
      <c r="C1108" s="16" t="str">
        <f>IFERROR(VLOOKUP(DATA!#REF!,DATA!#REF!,1,FALSE),"")</f>
        <v/>
      </c>
      <c r="D1108" s="16" t="str">
        <f>IFERROR(VLOOKUP(C1108,DATA!#REF!,2,FALSE),"")</f>
        <v/>
      </c>
    </row>
    <row r="1109" spans="2:4" s="237" customFormat="1">
      <c r="B1109" s="15" t="str">
        <f t="shared" si="50"/>
        <v/>
      </c>
      <c r="C1109" s="16" t="str">
        <f>IFERROR(VLOOKUP(DATA!#REF!,DATA!#REF!,1,FALSE),"")</f>
        <v/>
      </c>
      <c r="D1109" s="16" t="str">
        <f>IFERROR(VLOOKUP(C1109,DATA!#REF!,2,FALSE),"")</f>
        <v/>
      </c>
    </row>
    <row r="1110" spans="2:4" s="237" customFormat="1">
      <c r="B1110" s="15" t="str">
        <f t="shared" si="50"/>
        <v/>
      </c>
      <c r="C1110" s="16" t="str">
        <f>IFERROR(VLOOKUP(DATA!#REF!,DATA!#REF!,1,FALSE),"")</f>
        <v/>
      </c>
      <c r="D1110" s="16" t="str">
        <f>IFERROR(VLOOKUP(C1110,DATA!#REF!,2,FALSE),"")</f>
        <v/>
      </c>
    </row>
    <row r="1111" spans="2:4" s="237" customFormat="1">
      <c r="B1111" s="15" t="str">
        <f t="shared" si="50"/>
        <v/>
      </c>
      <c r="C1111" s="16" t="str">
        <f>IFERROR(VLOOKUP(DATA!#REF!,DATA!#REF!,1,FALSE),"")</f>
        <v/>
      </c>
      <c r="D1111" s="16" t="str">
        <f>IFERROR(VLOOKUP(C1111,DATA!#REF!,2,FALSE),"")</f>
        <v/>
      </c>
    </row>
    <row r="1112" spans="2:4" s="237" customFormat="1">
      <c r="B1112" s="15" t="str">
        <f t="shared" si="50"/>
        <v/>
      </c>
      <c r="C1112" s="16" t="str">
        <f>IFERROR(VLOOKUP(DATA!#REF!,DATA!#REF!,1,FALSE),"")</f>
        <v/>
      </c>
      <c r="D1112" s="16" t="str">
        <f>IFERROR(VLOOKUP(C1112,DATA!#REF!,2,FALSE),"")</f>
        <v/>
      </c>
    </row>
    <row r="1113" spans="2:4" s="237" customFormat="1">
      <c r="B1113" s="15" t="str">
        <f t="shared" si="50"/>
        <v/>
      </c>
      <c r="C1113" s="16" t="str">
        <f>IFERROR(VLOOKUP(DATA!#REF!,DATA!#REF!,1,FALSE),"")</f>
        <v/>
      </c>
      <c r="D1113" s="16" t="str">
        <f>IFERROR(VLOOKUP(C1113,DATA!#REF!,2,FALSE),"")</f>
        <v/>
      </c>
    </row>
    <row r="1114" spans="2:4" s="237" customFormat="1">
      <c r="B1114" s="15" t="str">
        <f t="shared" si="50"/>
        <v/>
      </c>
      <c r="C1114" s="16" t="str">
        <f>IFERROR(VLOOKUP(DATA!#REF!,DATA!#REF!,1,FALSE),"")</f>
        <v/>
      </c>
      <c r="D1114" s="16" t="str">
        <f>IFERROR(VLOOKUP(C1114,DATA!#REF!,2,FALSE),"")</f>
        <v/>
      </c>
    </row>
    <row r="1115" spans="2:4" s="237" customFormat="1">
      <c r="B1115" s="15" t="str">
        <f t="shared" si="50"/>
        <v/>
      </c>
      <c r="C1115" s="16" t="str">
        <f>IFERROR(VLOOKUP(DATA!#REF!,DATA!#REF!,1,FALSE),"")</f>
        <v/>
      </c>
      <c r="D1115" s="16" t="str">
        <f>IFERROR(VLOOKUP(C1115,DATA!#REF!,2,FALSE),"")</f>
        <v/>
      </c>
    </row>
    <row r="1116" spans="2:4" s="237" customFormat="1">
      <c r="B1116" s="15" t="str">
        <f t="shared" si="50"/>
        <v/>
      </c>
      <c r="C1116" s="16" t="str">
        <f>IFERROR(VLOOKUP(DATA!#REF!,DATA!#REF!,1,FALSE),"")</f>
        <v/>
      </c>
      <c r="D1116" s="16" t="str">
        <f>IFERROR(VLOOKUP(C1116,DATA!#REF!,2,FALSE),"")</f>
        <v/>
      </c>
    </row>
    <row r="1117" spans="2:4" s="237" customFormat="1">
      <c r="B1117" s="15" t="str">
        <f t="shared" si="50"/>
        <v/>
      </c>
      <c r="C1117" s="16" t="str">
        <f>IFERROR(VLOOKUP(DATA!#REF!,DATA!#REF!,1,FALSE),"")</f>
        <v/>
      </c>
      <c r="D1117" s="16" t="str">
        <f>IFERROR(VLOOKUP(C1117,DATA!#REF!,2,FALSE),"")</f>
        <v/>
      </c>
    </row>
    <row r="1118" spans="2:4" s="237" customFormat="1">
      <c r="B1118" s="15" t="str">
        <f t="shared" si="50"/>
        <v/>
      </c>
      <c r="C1118" s="16" t="str">
        <f>IFERROR(VLOOKUP(DATA!#REF!,DATA!#REF!,1,FALSE),"")</f>
        <v/>
      </c>
      <c r="D1118" s="16" t="str">
        <f>IFERROR(VLOOKUP(C1118,DATA!#REF!,2,FALSE),"")</f>
        <v/>
      </c>
    </row>
    <row r="1119" spans="2:4" s="237" customFormat="1">
      <c r="B1119" s="15" t="str">
        <f t="shared" si="50"/>
        <v/>
      </c>
      <c r="C1119" s="16" t="str">
        <f>IFERROR(VLOOKUP(DATA!#REF!,DATA!#REF!,1,FALSE),"")</f>
        <v/>
      </c>
      <c r="D1119" s="16" t="str">
        <f>IFERROR(VLOOKUP(C1119,DATA!#REF!,2,FALSE),"")</f>
        <v/>
      </c>
    </row>
    <row r="1120" spans="2:4" s="237" customFormat="1">
      <c r="B1120" s="15" t="str">
        <f t="shared" si="50"/>
        <v/>
      </c>
      <c r="C1120" s="16" t="str">
        <f>IFERROR(VLOOKUP(DATA!#REF!,DATA!#REF!,1,FALSE),"")</f>
        <v/>
      </c>
      <c r="D1120" s="16" t="str">
        <f>IFERROR(VLOOKUP(C1120,DATA!#REF!,2,FALSE),"")</f>
        <v/>
      </c>
    </row>
    <row r="1121" spans="2:4" s="237" customFormat="1">
      <c r="B1121" s="15" t="str">
        <f t="shared" si="50"/>
        <v/>
      </c>
      <c r="C1121" s="16" t="str">
        <f>IFERROR(VLOOKUP(DATA!#REF!,DATA!#REF!,1,FALSE),"")</f>
        <v/>
      </c>
      <c r="D1121" s="16" t="str">
        <f>IFERROR(VLOOKUP(C1121,DATA!#REF!,2,FALSE),"")</f>
        <v/>
      </c>
    </row>
    <row r="1122" spans="2:4" s="237" customFormat="1">
      <c r="B1122" s="15" t="str">
        <f t="shared" si="50"/>
        <v/>
      </c>
      <c r="C1122" s="16" t="str">
        <f>IFERROR(VLOOKUP(DATA!#REF!,DATA!#REF!,1,FALSE),"")</f>
        <v/>
      </c>
      <c r="D1122" s="16" t="str">
        <f>IFERROR(VLOOKUP(C1122,DATA!#REF!,2,FALSE),"")</f>
        <v/>
      </c>
    </row>
    <row r="1123" spans="2:4" s="237" customFormat="1">
      <c r="B1123" s="15" t="str">
        <f t="shared" si="50"/>
        <v/>
      </c>
      <c r="C1123" s="16" t="str">
        <f>IFERROR(VLOOKUP(DATA!#REF!,DATA!#REF!,1,FALSE),"")</f>
        <v/>
      </c>
      <c r="D1123" s="16" t="str">
        <f>IFERROR(VLOOKUP(C1123,DATA!#REF!,2,FALSE),"")</f>
        <v/>
      </c>
    </row>
    <row r="1124" spans="2:4" s="237" customFormat="1">
      <c r="B1124" s="15" t="str">
        <f t="shared" si="50"/>
        <v/>
      </c>
      <c r="C1124" s="16" t="str">
        <f>IFERROR(VLOOKUP(DATA!#REF!,DATA!#REF!,1,FALSE),"")</f>
        <v/>
      </c>
      <c r="D1124" s="16" t="str">
        <f>IFERROR(VLOOKUP(C1124,DATA!#REF!,2,FALSE),"")</f>
        <v/>
      </c>
    </row>
    <row r="1125" spans="2:4" s="237" customFormat="1">
      <c r="B1125" s="15" t="str">
        <f t="shared" si="50"/>
        <v/>
      </c>
      <c r="C1125" s="16" t="str">
        <f>IFERROR(VLOOKUP(DATA!#REF!,DATA!#REF!,1,FALSE),"")</f>
        <v/>
      </c>
      <c r="D1125" s="16" t="str">
        <f>IFERROR(VLOOKUP(C1125,DATA!#REF!,2,FALSE),"")</f>
        <v/>
      </c>
    </row>
    <row r="1126" spans="2:4" s="237" customFormat="1">
      <c r="B1126" s="15" t="str">
        <f t="shared" si="50"/>
        <v/>
      </c>
      <c r="C1126" s="16" t="str">
        <f>IFERROR(VLOOKUP(DATA!#REF!,DATA!#REF!,1,FALSE),"")</f>
        <v/>
      </c>
      <c r="D1126" s="16" t="str">
        <f>IFERROR(VLOOKUP(C1126,DATA!#REF!,2,FALSE),"")</f>
        <v/>
      </c>
    </row>
    <row r="1127" spans="2:4" s="237" customFormat="1">
      <c r="B1127" s="15" t="str">
        <f t="shared" si="50"/>
        <v/>
      </c>
      <c r="C1127" s="16" t="str">
        <f>IFERROR(VLOOKUP(DATA!#REF!,DATA!#REF!,1,FALSE),"")</f>
        <v/>
      </c>
      <c r="D1127" s="16" t="str">
        <f>IFERROR(VLOOKUP(C1127,DATA!#REF!,2,FALSE),"")</f>
        <v/>
      </c>
    </row>
    <row r="1128" spans="2:4" s="237" customFormat="1">
      <c r="B1128" s="15" t="str">
        <f t="shared" si="50"/>
        <v/>
      </c>
      <c r="C1128" s="16" t="str">
        <f>IFERROR(VLOOKUP(DATA!#REF!,DATA!#REF!,1,FALSE),"")</f>
        <v/>
      </c>
      <c r="D1128" s="16" t="str">
        <f>IFERROR(VLOOKUP(C1128,DATA!#REF!,2,FALSE),"")</f>
        <v/>
      </c>
    </row>
    <row r="1129" spans="2:4" s="237" customFormat="1">
      <c r="B1129" s="15" t="str">
        <f t="shared" si="50"/>
        <v/>
      </c>
      <c r="C1129" s="16" t="str">
        <f>IFERROR(VLOOKUP(DATA!#REF!,DATA!#REF!,1,FALSE),"")</f>
        <v/>
      </c>
      <c r="D1129" s="16" t="str">
        <f>IFERROR(VLOOKUP(C1129,DATA!#REF!,2,FALSE),"")</f>
        <v/>
      </c>
    </row>
    <row r="1130" spans="2:4" s="237" customFormat="1">
      <c r="B1130" s="15" t="str">
        <f t="shared" si="50"/>
        <v/>
      </c>
      <c r="C1130" s="16" t="str">
        <f>IFERROR(VLOOKUP(DATA!#REF!,DATA!#REF!,1,FALSE),"")</f>
        <v/>
      </c>
      <c r="D1130" s="16" t="str">
        <f>IFERROR(VLOOKUP(C1130,DATA!#REF!,2,FALSE),"")</f>
        <v/>
      </c>
    </row>
    <row r="1131" spans="2:4" s="237" customFormat="1">
      <c r="B1131" s="15" t="str">
        <f t="shared" si="50"/>
        <v/>
      </c>
      <c r="C1131" s="16" t="str">
        <f>IFERROR(VLOOKUP(DATA!#REF!,DATA!#REF!,1,FALSE),"")</f>
        <v/>
      </c>
      <c r="D1131" s="16" t="str">
        <f>IFERROR(VLOOKUP(C1131,DATA!#REF!,2,FALSE),"")</f>
        <v/>
      </c>
    </row>
    <row r="1132" spans="2:4" s="237" customFormat="1">
      <c r="B1132" s="15" t="str">
        <f t="shared" si="50"/>
        <v/>
      </c>
      <c r="C1132" s="16" t="str">
        <f>IFERROR(VLOOKUP(DATA!#REF!,DATA!#REF!,1,FALSE),"")</f>
        <v/>
      </c>
      <c r="D1132" s="16" t="str">
        <f>IFERROR(VLOOKUP(C1132,DATA!#REF!,2,FALSE),"")</f>
        <v/>
      </c>
    </row>
    <row r="1133" spans="2:4" s="237" customFormat="1">
      <c r="B1133" s="15" t="str">
        <f t="shared" si="50"/>
        <v/>
      </c>
      <c r="C1133" s="16" t="str">
        <f>IFERROR(VLOOKUP(DATA!#REF!,DATA!#REF!,1,FALSE),"")</f>
        <v/>
      </c>
      <c r="D1133" s="16" t="str">
        <f>IFERROR(VLOOKUP(C1133,DATA!#REF!,2,FALSE),"")</f>
        <v/>
      </c>
    </row>
    <row r="1134" spans="2:4" s="237" customFormat="1">
      <c r="B1134" s="15" t="str">
        <f t="shared" si="50"/>
        <v/>
      </c>
      <c r="C1134" s="16" t="str">
        <f>IFERROR(VLOOKUP(DATA!#REF!,DATA!#REF!,1,FALSE),"")</f>
        <v/>
      </c>
      <c r="D1134" s="16" t="str">
        <f>IFERROR(VLOOKUP(C1134,DATA!#REF!,2,FALSE),"")</f>
        <v/>
      </c>
    </row>
    <row r="1135" spans="2:4" s="237" customFormat="1">
      <c r="B1135" s="15" t="str">
        <f t="shared" si="50"/>
        <v/>
      </c>
      <c r="C1135" s="16" t="str">
        <f>IFERROR(VLOOKUP(DATA!#REF!,DATA!#REF!,1,FALSE),"")</f>
        <v/>
      </c>
      <c r="D1135" s="16" t="str">
        <f>IFERROR(VLOOKUP(C1135,DATA!#REF!,2,FALSE),"")</f>
        <v/>
      </c>
    </row>
    <row r="1136" spans="2:4" s="237" customFormat="1">
      <c r="B1136" s="15" t="str">
        <f t="shared" si="50"/>
        <v/>
      </c>
      <c r="C1136" s="16" t="str">
        <f>IFERROR(VLOOKUP(DATA!#REF!,DATA!#REF!,1,FALSE),"")</f>
        <v/>
      </c>
      <c r="D1136" s="16" t="str">
        <f>IFERROR(VLOOKUP(C1136,DATA!#REF!,2,FALSE),"")</f>
        <v/>
      </c>
    </row>
    <row r="1137" spans="2:4" s="237" customFormat="1">
      <c r="B1137" s="15" t="str">
        <f t="shared" si="50"/>
        <v/>
      </c>
      <c r="C1137" s="16" t="str">
        <f>IFERROR(VLOOKUP(DATA!#REF!,DATA!#REF!,1,FALSE),"")</f>
        <v/>
      </c>
      <c r="D1137" s="16" t="str">
        <f>IFERROR(VLOOKUP(C1137,DATA!#REF!,2,FALSE),"")</f>
        <v/>
      </c>
    </row>
    <row r="1138" spans="2:4" s="237" customFormat="1">
      <c r="B1138" s="15" t="str">
        <f t="shared" si="50"/>
        <v/>
      </c>
      <c r="C1138" s="16" t="str">
        <f>IFERROR(VLOOKUP(DATA!#REF!,DATA!#REF!,1,FALSE),"")</f>
        <v/>
      </c>
      <c r="D1138" s="16" t="str">
        <f>IFERROR(VLOOKUP(C1138,DATA!#REF!,2,FALSE),"")</f>
        <v/>
      </c>
    </row>
    <row r="1139" spans="2:4" s="237" customFormat="1">
      <c r="B1139" s="15" t="str">
        <f t="shared" si="50"/>
        <v/>
      </c>
      <c r="C1139" s="16" t="str">
        <f>IFERROR(VLOOKUP(DATA!#REF!,DATA!#REF!,1,FALSE),"")</f>
        <v/>
      </c>
      <c r="D1139" s="16" t="str">
        <f>IFERROR(VLOOKUP(C1139,DATA!#REF!,2,FALSE),"")</f>
        <v/>
      </c>
    </row>
    <row r="1140" spans="2:4" s="237" customFormat="1">
      <c r="B1140" s="15" t="str">
        <f t="shared" si="50"/>
        <v/>
      </c>
      <c r="C1140" s="16" t="str">
        <f>IFERROR(VLOOKUP(DATA!#REF!,DATA!#REF!,1,FALSE),"")</f>
        <v/>
      </c>
      <c r="D1140" s="16" t="str">
        <f>IFERROR(VLOOKUP(C1140,DATA!#REF!,2,FALSE),"")</f>
        <v/>
      </c>
    </row>
    <row r="1141" spans="2:4" s="237" customFormat="1">
      <c r="B1141" s="15" t="str">
        <f t="shared" si="50"/>
        <v/>
      </c>
      <c r="C1141" s="16" t="str">
        <f>IFERROR(VLOOKUP(DATA!#REF!,DATA!#REF!,1,FALSE),"")</f>
        <v/>
      </c>
      <c r="D1141" s="16" t="str">
        <f>IFERROR(VLOOKUP(C1141,DATA!#REF!,2,FALSE),"")</f>
        <v/>
      </c>
    </row>
    <row r="1142" spans="2:4" s="237" customFormat="1">
      <c r="B1142" s="15" t="str">
        <f t="shared" si="50"/>
        <v/>
      </c>
      <c r="C1142" s="16" t="str">
        <f>IFERROR(VLOOKUP(DATA!#REF!,DATA!#REF!,1,FALSE),"")</f>
        <v/>
      </c>
      <c r="D1142" s="16" t="str">
        <f>IFERROR(VLOOKUP(C1142,DATA!#REF!,2,FALSE),"")</f>
        <v/>
      </c>
    </row>
    <row r="1143" spans="2:4" s="237" customFormat="1">
      <c r="B1143" s="15" t="str">
        <f t="shared" si="50"/>
        <v/>
      </c>
      <c r="C1143" s="16" t="str">
        <f>IFERROR(VLOOKUP(DATA!#REF!,DATA!#REF!,1,FALSE),"")</f>
        <v/>
      </c>
      <c r="D1143" s="16" t="str">
        <f>IFERROR(VLOOKUP(C1143,DATA!#REF!,2,FALSE),"")</f>
        <v/>
      </c>
    </row>
    <row r="1144" spans="2:4" s="237" customFormat="1">
      <c r="B1144" s="15" t="str">
        <f t="shared" si="50"/>
        <v/>
      </c>
      <c r="C1144" s="16" t="str">
        <f>IFERROR(VLOOKUP(DATA!#REF!,DATA!#REF!,1,FALSE),"")</f>
        <v/>
      </c>
      <c r="D1144" s="16" t="str">
        <f>IFERROR(VLOOKUP(C1144,DATA!#REF!,2,FALSE),"")</f>
        <v/>
      </c>
    </row>
    <row r="1145" spans="2:4" s="237" customFormat="1">
      <c r="B1145" s="15" t="str">
        <f t="shared" si="50"/>
        <v/>
      </c>
      <c r="C1145" s="16" t="str">
        <f>IFERROR(VLOOKUP(DATA!#REF!,DATA!#REF!,1,FALSE),"")</f>
        <v/>
      </c>
      <c r="D1145" s="16" t="str">
        <f>IFERROR(VLOOKUP(C1145,DATA!#REF!,2,FALSE),"")</f>
        <v/>
      </c>
    </row>
    <row r="1146" spans="2:4" s="237" customFormat="1">
      <c r="B1146" s="15" t="str">
        <f t="shared" si="50"/>
        <v/>
      </c>
      <c r="C1146" s="16" t="str">
        <f>IFERROR(VLOOKUP(DATA!#REF!,DATA!#REF!,1,FALSE),"")</f>
        <v/>
      </c>
      <c r="D1146" s="16" t="str">
        <f>IFERROR(VLOOKUP(C1146,DATA!#REF!,2,FALSE),"")</f>
        <v/>
      </c>
    </row>
    <row r="1147" spans="2:4" s="237" customFormat="1">
      <c r="B1147" s="15" t="str">
        <f t="shared" si="50"/>
        <v/>
      </c>
      <c r="C1147" s="16" t="str">
        <f>IFERROR(VLOOKUP(DATA!#REF!,DATA!#REF!,1,FALSE),"")</f>
        <v/>
      </c>
      <c r="D1147" s="16" t="str">
        <f>IFERROR(VLOOKUP(C1147,DATA!#REF!,2,FALSE),"")</f>
        <v/>
      </c>
    </row>
    <row r="1148" spans="2:4" s="237" customFormat="1">
      <c r="B1148" s="15" t="str">
        <f t="shared" si="50"/>
        <v/>
      </c>
      <c r="C1148" s="16" t="str">
        <f>IFERROR(VLOOKUP(DATA!#REF!,DATA!#REF!,1,FALSE),"")</f>
        <v/>
      </c>
      <c r="D1148" s="16" t="str">
        <f>IFERROR(VLOOKUP(C1148,DATA!#REF!,2,FALSE),"")</f>
        <v/>
      </c>
    </row>
    <row r="1149" spans="2:4" s="237" customFormat="1">
      <c r="B1149" s="15" t="str">
        <f t="shared" si="50"/>
        <v/>
      </c>
      <c r="C1149" s="16" t="str">
        <f>IFERROR(VLOOKUP(DATA!#REF!,DATA!#REF!,1,FALSE),"")</f>
        <v/>
      </c>
      <c r="D1149" s="16" t="str">
        <f>IFERROR(VLOOKUP(C1149,DATA!#REF!,2,FALSE),"")</f>
        <v/>
      </c>
    </row>
    <row r="1150" spans="2:4" s="237" customFormat="1">
      <c r="B1150" s="15" t="str">
        <f t="shared" si="50"/>
        <v/>
      </c>
      <c r="C1150" s="16" t="str">
        <f>IFERROR(VLOOKUP(DATA!#REF!,DATA!#REF!,1,FALSE),"")</f>
        <v/>
      </c>
      <c r="D1150" s="16" t="str">
        <f>IFERROR(VLOOKUP(C1150,DATA!#REF!,2,FALSE),"")</f>
        <v/>
      </c>
    </row>
    <row r="1151" spans="2:4" s="237" customFormat="1">
      <c r="B1151" s="15" t="str">
        <f t="shared" si="50"/>
        <v/>
      </c>
      <c r="C1151" s="16" t="str">
        <f>IFERROR(VLOOKUP(DATA!#REF!,DATA!#REF!,1,FALSE),"")</f>
        <v/>
      </c>
      <c r="D1151" s="16" t="str">
        <f>IFERROR(VLOOKUP(C1151,DATA!#REF!,2,FALSE),"")</f>
        <v/>
      </c>
    </row>
    <row r="1152" spans="2:4" s="237" customFormat="1">
      <c r="B1152" s="15" t="str">
        <f t="shared" si="50"/>
        <v/>
      </c>
      <c r="C1152" s="16" t="str">
        <f>IFERROR(VLOOKUP(DATA!#REF!,DATA!#REF!,1,FALSE),"")</f>
        <v/>
      </c>
      <c r="D1152" s="16" t="str">
        <f>IFERROR(VLOOKUP(C1152,DATA!#REF!,2,FALSE),"")</f>
        <v/>
      </c>
    </row>
    <row r="1153" spans="2:4" s="237" customFormat="1">
      <c r="B1153" s="15" t="str">
        <f t="shared" si="50"/>
        <v/>
      </c>
      <c r="C1153" s="16" t="str">
        <f>IFERROR(VLOOKUP(DATA!#REF!,DATA!#REF!,1,FALSE),"")</f>
        <v/>
      </c>
      <c r="D1153" s="16" t="str">
        <f>IFERROR(VLOOKUP(C1153,DATA!#REF!,2,FALSE),"")</f>
        <v/>
      </c>
    </row>
    <row r="1154" spans="2:4" s="237" customFormat="1">
      <c r="B1154" s="15" t="str">
        <f t="shared" si="50"/>
        <v/>
      </c>
      <c r="C1154" s="16" t="str">
        <f>IFERROR(VLOOKUP(DATA!#REF!,DATA!#REF!,1,FALSE),"")</f>
        <v/>
      </c>
      <c r="D1154" s="16" t="str">
        <f>IFERROR(VLOOKUP(C1154,DATA!#REF!,2,FALSE),"")</f>
        <v/>
      </c>
    </row>
    <row r="1155" spans="2:4" s="237" customFormat="1">
      <c r="B1155" s="15" t="str">
        <f t="shared" si="50"/>
        <v/>
      </c>
      <c r="C1155" s="16" t="str">
        <f>IFERROR(VLOOKUP(DATA!#REF!,DATA!#REF!,1,FALSE),"")</f>
        <v/>
      </c>
      <c r="D1155" s="16" t="str">
        <f>IFERROR(VLOOKUP(C1155,DATA!#REF!,2,FALSE),"")</f>
        <v/>
      </c>
    </row>
    <row r="1156" spans="2:4" s="237" customFormat="1">
      <c r="B1156" s="15" t="str">
        <f t="shared" si="50"/>
        <v/>
      </c>
      <c r="C1156" s="16" t="str">
        <f>IFERROR(VLOOKUP(DATA!#REF!,DATA!#REF!,1,FALSE),"")</f>
        <v/>
      </c>
      <c r="D1156" s="16" t="str">
        <f>IFERROR(VLOOKUP(C1156,DATA!#REF!,2,FALSE),"")</f>
        <v/>
      </c>
    </row>
    <row r="1157" spans="2:4" s="237" customFormat="1">
      <c r="B1157" s="15" t="str">
        <f t="shared" si="50"/>
        <v/>
      </c>
      <c r="C1157" s="16" t="str">
        <f>IFERROR(VLOOKUP(DATA!#REF!,DATA!#REF!,1,FALSE),"")</f>
        <v/>
      </c>
      <c r="D1157" s="16" t="str">
        <f>IFERROR(VLOOKUP(C1157,DATA!#REF!,2,FALSE),"")</f>
        <v/>
      </c>
    </row>
    <row r="1158" spans="2:4" s="237" customFormat="1">
      <c r="B1158" s="15" t="str">
        <f t="shared" ref="B1158:B1221" si="51">+IF(C1158="","",ROW()-5)</f>
        <v/>
      </c>
      <c r="C1158" s="16" t="str">
        <f>IFERROR(VLOOKUP(DATA!#REF!,DATA!#REF!,1,FALSE),"")</f>
        <v/>
      </c>
      <c r="D1158" s="16" t="str">
        <f>IFERROR(VLOOKUP(C1158,DATA!#REF!,2,FALSE),"")</f>
        <v/>
      </c>
    </row>
    <row r="1159" spans="2:4" s="237" customFormat="1">
      <c r="B1159" s="15" t="str">
        <f t="shared" si="51"/>
        <v/>
      </c>
      <c r="C1159" s="16" t="str">
        <f>IFERROR(VLOOKUP(DATA!#REF!,DATA!#REF!,1,FALSE),"")</f>
        <v/>
      </c>
      <c r="D1159" s="16" t="str">
        <f>IFERROR(VLOOKUP(C1159,DATA!#REF!,2,FALSE),"")</f>
        <v/>
      </c>
    </row>
    <row r="1160" spans="2:4" s="237" customFormat="1">
      <c r="B1160" s="15" t="str">
        <f t="shared" si="51"/>
        <v/>
      </c>
      <c r="C1160" s="16" t="str">
        <f>IFERROR(VLOOKUP(DATA!#REF!,DATA!#REF!,1,FALSE),"")</f>
        <v/>
      </c>
      <c r="D1160" s="16" t="str">
        <f>IFERROR(VLOOKUP(C1160,DATA!#REF!,2,FALSE),"")</f>
        <v/>
      </c>
    </row>
    <row r="1161" spans="2:4" s="237" customFormat="1">
      <c r="B1161" s="15" t="str">
        <f t="shared" si="51"/>
        <v/>
      </c>
      <c r="C1161" s="16" t="str">
        <f>IFERROR(VLOOKUP(DATA!#REF!,DATA!#REF!,1,FALSE),"")</f>
        <v/>
      </c>
      <c r="D1161" s="16" t="str">
        <f>IFERROR(VLOOKUP(C1161,DATA!#REF!,2,FALSE),"")</f>
        <v/>
      </c>
    </row>
    <row r="1162" spans="2:4" s="237" customFormat="1">
      <c r="B1162" s="15" t="str">
        <f t="shared" si="51"/>
        <v/>
      </c>
      <c r="C1162" s="16" t="str">
        <f>IFERROR(VLOOKUP(DATA!#REF!,DATA!#REF!,1,FALSE),"")</f>
        <v/>
      </c>
      <c r="D1162" s="16" t="str">
        <f>IFERROR(VLOOKUP(C1162,DATA!#REF!,2,FALSE),"")</f>
        <v/>
      </c>
    </row>
    <row r="1163" spans="2:4" s="237" customFormat="1">
      <c r="B1163" s="15" t="str">
        <f t="shared" si="51"/>
        <v/>
      </c>
      <c r="C1163" s="16" t="str">
        <f>IFERROR(VLOOKUP(DATA!#REF!,DATA!#REF!,1,FALSE),"")</f>
        <v/>
      </c>
      <c r="D1163" s="16" t="str">
        <f>IFERROR(VLOOKUP(C1163,DATA!#REF!,2,FALSE),"")</f>
        <v/>
      </c>
    </row>
    <row r="1164" spans="2:4" s="237" customFormat="1">
      <c r="B1164" s="15" t="str">
        <f t="shared" si="51"/>
        <v/>
      </c>
      <c r="C1164" s="16" t="str">
        <f>IFERROR(VLOOKUP(DATA!#REF!,DATA!#REF!,1,FALSE),"")</f>
        <v/>
      </c>
      <c r="D1164" s="16" t="str">
        <f>IFERROR(VLOOKUP(C1164,DATA!#REF!,2,FALSE),"")</f>
        <v/>
      </c>
    </row>
    <row r="1165" spans="2:4" s="237" customFormat="1">
      <c r="B1165" s="15" t="str">
        <f t="shared" si="51"/>
        <v/>
      </c>
      <c r="C1165" s="16" t="str">
        <f>IFERROR(VLOOKUP(DATA!#REF!,DATA!#REF!,1,FALSE),"")</f>
        <v/>
      </c>
      <c r="D1165" s="16" t="str">
        <f>IFERROR(VLOOKUP(C1165,DATA!#REF!,2,FALSE),"")</f>
        <v/>
      </c>
    </row>
    <row r="1166" spans="2:4" s="237" customFormat="1">
      <c r="B1166" s="15" t="str">
        <f t="shared" si="51"/>
        <v/>
      </c>
      <c r="C1166" s="16" t="str">
        <f>IFERROR(VLOOKUP(DATA!#REF!,DATA!#REF!,1,FALSE),"")</f>
        <v/>
      </c>
      <c r="D1166" s="16" t="str">
        <f>IFERROR(VLOOKUP(C1166,DATA!#REF!,2,FALSE),"")</f>
        <v/>
      </c>
    </row>
    <row r="1167" spans="2:4" s="237" customFormat="1">
      <c r="B1167" s="15" t="str">
        <f t="shared" si="51"/>
        <v/>
      </c>
      <c r="C1167" s="16" t="str">
        <f>IFERROR(VLOOKUP(DATA!#REF!,DATA!#REF!,1,FALSE),"")</f>
        <v/>
      </c>
      <c r="D1167" s="16" t="str">
        <f>IFERROR(VLOOKUP(C1167,DATA!#REF!,2,FALSE),"")</f>
        <v/>
      </c>
    </row>
    <row r="1168" spans="2:4" s="237" customFormat="1">
      <c r="B1168" s="15" t="str">
        <f t="shared" si="51"/>
        <v/>
      </c>
      <c r="C1168" s="16" t="str">
        <f>IFERROR(VLOOKUP(DATA!#REF!,DATA!#REF!,1,FALSE),"")</f>
        <v/>
      </c>
      <c r="D1168" s="16" t="str">
        <f>IFERROR(VLOOKUP(C1168,DATA!#REF!,2,FALSE),"")</f>
        <v/>
      </c>
    </row>
    <row r="1169" spans="2:4" s="237" customFormat="1">
      <c r="B1169" s="15" t="str">
        <f t="shared" si="51"/>
        <v/>
      </c>
      <c r="C1169" s="16" t="str">
        <f>IFERROR(VLOOKUP(DATA!#REF!,DATA!#REF!,1,FALSE),"")</f>
        <v/>
      </c>
      <c r="D1169" s="16" t="str">
        <f>IFERROR(VLOOKUP(C1169,DATA!#REF!,2,FALSE),"")</f>
        <v/>
      </c>
    </row>
    <row r="1170" spans="2:4" s="237" customFormat="1">
      <c r="B1170" s="15" t="str">
        <f t="shared" si="51"/>
        <v/>
      </c>
      <c r="C1170" s="16" t="str">
        <f>IFERROR(VLOOKUP(DATA!#REF!,DATA!#REF!,1,FALSE),"")</f>
        <v/>
      </c>
      <c r="D1170" s="16" t="str">
        <f>IFERROR(VLOOKUP(C1170,DATA!#REF!,2,FALSE),"")</f>
        <v/>
      </c>
    </row>
    <row r="1171" spans="2:4" s="237" customFormat="1">
      <c r="B1171" s="15" t="str">
        <f t="shared" si="51"/>
        <v/>
      </c>
      <c r="C1171" s="16" t="str">
        <f>IFERROR(VLOOKUP(DATA!#REF!,DATA!#REF!,1,FALSE),"")</f>
        <v/>
      </c>
      <c r="D1171" s="16" t="str">
        <f>IFERROR(VLOOKUP(C1171,DATA!#REF!,2,FALSE),"")</f>
        <v/>
      </c>
    </row>
    <row r="1172" spans="2:4" s="237" customFormat="1">
      <c r="B1172" s="15" t="str">
        <f t="shared" si="51"/>
        <v/>
      </c>
      <c r="C1172" s="16" t="str">
        <f>IFERROR(VLOOKUP(DATA!#REF!,DATA!#REF!,1,FALSE),"")</f>
        <v/>
      </c>
      <c r="D1172" s="16" t="str">
        <f>IFERROR(VLOOKUP(C1172,DATA!#REF!,2,FALSE),"")</f>
        <v/>
      </c>
    </row>
    <row r="1173" spans="2:4" s="237" customFormat="1">
      <c r="B1173" s="15" t="str">
        <f t="shared" si="51"/>
        <v/>
      </c>
      <c r="C1173" s="16" t="str">
        <f>IFERROR(VLOOKUP(DATA!#REF!,DATA!#REF!,1,FALSE),"")</f>
        <v/>
      </c>
      <c r="D1173" s="16" t="str">
        <f>IFERROR(VLOOKUP(C1173,DATA!#REF!,2,FALSE),"")</f>
        <v/>
      </c>
    </row>
    <row r="1174" spans="2:4" s="237" customFormat="1">
      <c r="B1174" s="15" t="str">
        <f t="shared" si="51"/>
        <v/>
      </c>
      <c r="C1174" s="16" t="str">
        <f>IFERROR(VLOOKUP(DATA!#REF!,DATA!#REF!,1,FALSE),"")</f>
        <v/>
      </c>
      <c r="D1174" s="16" t="str">
        <f>IFERROR(VLOOKUP(C1174,DATA!#REF!,2,FALSE),"")</f>
        <v/>
      </c>
    </row>
    <row r="1175" spans="2:4" s="237" customFormat="1">
      <c r="B1175" s="15" t="str">
        <f t="shared" si="51"/>
        <v/>
      </c>
      <c r="C1175" s="16" t="str">
        <f>IFERROR(VLOOKUP(DATA!#REF!,DATA!#REF!,1,FALSE),"")</f>
        <v/>
      </c>
      <c r="D1175" s="16" t="str">
        <f>IFERROR(VLOOKUP(C1175,DATA!#REF!,2,FALSE),"")</f>
        <v/>
      </c>
    </row>
    <row r="1176" spans="2:4" s="237" customFormat="1">
      <c r="B1176" s="15" t="str">
        <f t="shared" si="51"/>
        <v/>
      </c>
      <c r="C1176" s="16" t="str">
        <f>IFERROR(VLOOKUP(DATA!#REF!,DATA!#REF!,1,FALSE),"")</f>
        <v/>
      </c>
      <c r="D1176" s="16" t="str">
        <f>IFERROR(VLOOKUP(C1176,DATA!#REF!,2,FALSE),"")</f>
        <v/>
      </c>
    </row>
    <row r="1177" spans="2:4" s="237" customFormat="1">
      <c r="B1177" s="15" t="str">
        <f t="shared" si="51"/>
        <v/>
      </c>
      <c r="C1177" s="16" t="str">
        <f>IFERROR(VLOOKUP(DATA!#REF!,DATA!#REF!,1,FALSE),"")</f>
        <v/>
      </c>
      <c r="D1177" s="16" t="str">
        <f>IFERROR(VLOOKUP(C1177,DATA!#REF!,2,FALSE),"")</f>
        <v/>
      </c>
    </row>
    <row r="1178" spans="2:4" s="237" customFormat="1">
      <c r="B1178" s="15" t="str">
        <f t="shared" si="51"/>
        <v/>
      </c>
      <c r="C1178" s="16" t="str">
        <f>IFERROR(VLOOKUP(DATA!#REF!,DATA!#REF!,1,FALSE),"")</f>
        <v/>
      </c>
      <c r="D1178" s="16" t="str">
        <f>IFERROR(VLOOKUP(C1178,DATA!#REF!,2,FALSE),"")</f>
        <v/>
      </c>
    </row>
    <row r="1179" spans="2:4" s="237" customFormat="1">
      <c r="B1179" s="15" t="str">
        <f t="shared" si="51"/>
        <v/>
      </c>
      <c r="C1179" s="16" t="str">
        <f>IFERROR(VLOOKUP(DATA!#REF!,DATA!#REF!,1,FALSE),"")</f>
        <v/>
      </c>
      <c r="D1179" s="16" t="str">
        <f>IFERROR(VLOOKUP(C1179,DATA!#REF!,2,FALSE),"")</f>
        <v/>
      </c>
    </row>
    <row r="1180" spans="2:4" s="237" customFormat="1">
      <c r="B1180" s="15" t="str">
        <f t="shared" si="51"/>
        <v/>
      </c>
      <c r="C1180" s="16" t="str">
        <f>IFERROR(VLOOKUP(DATA!#REF!,DATA!#REF!,1,FALSE),"")</f>
        <v/>
      </c>
      <c r="D1180" s="16" t="str">
        <f>IFERROR(VLOOKUP(C1180,DATA!#REF!,2,FALSE),"")</f>
        <v/>
      </c>
    </row>
    <row r="1181" spans="2:4" s="237" customFormat="1">
      <c r="B1181" s="15" t="str">
        <f t="shared" si="51"/>
        <v/>
      </c>
      <c r="C1181" s="16" t="str">
        <f>IFERROR(VLOOKUP(DATA!#REF!,DATA!#REF!,1,FALSE),"")</f>
        <v/>
      </c>
      <c r="D1181" s="16" t="str">
        <f>IFERROR(VLOOKUP(C1181,DATA!#REF!,2,FALSE),"")</f>
        <v/>
      </c>
    </row>
    <row r="1182" spans="2:4" s="237" customFormat="1">
      <c r="B1182" s="15" t="str">
        <f t="shared" si="51"/>
        <v/>
      </c>
      <c r="C1182" s="16" t="str">
        <f>IFERROR(VLOOKUP(DATA!#REF!,DATA!#REF!,1,FALSE),"")</f>
        <v/>
      </c>
      <c r="D1182" s="16" t="str">
        <f>IFERROR(VLOOKUP(C1182,DATA!#REF!,2,FALSE),"")</f>
        <v/>
      </c>
    </row>
    <row r="1183" spans="2:4" s="237" customFormat="1">
      <c r="B1183" s="15" t="str">
        <f t="shared" si="51"/>
        <v/>
      </c>
      <c r="C1183" s="16" t="str">
        <f>IFERROR(VLOOKUP(DATA!#REF!,DATA!#REF!,1,FALSE),"")</f>
        <v/>
      </c>
      <c r="D1183" s="16" t="str">
        <f>IFERROR(VLOOKUP(C1183,DATA!#REF!,2,FALSE),"")</f>
        <v/>
      </c>
    </row>
    <row r="1184" spans="2:4" s="237" customFormat="1">
      <c r="B1184" s="15" t="str">
        <f t="shared" si="51"/>
        <v/>
      </c>
      <c r="C1184" s="16" t="str">
        <f>IFERROR(VLOOKUP(DATA!#REF!,DATA!#REF!,1,FALSE),"")</f>
        <v/>
      </c>
      <c r="D1184" s="16" t="str">
        <f>IFERROR(VLOOKUP(C1184,DATA!#REF!,2,FALSE),"")</f>
        <v/>
      </c>
    </row>
    <row r="1185" spans="2:4" s="237" customFormat="1">
      <c r="B1185" s="15" t="str">
        <f t="shared" si="51"/>
        <v/>
      </c>
      <c r="C1185" s="16" t="str">
        <f>IFERROR(VLOOKUP(DATA!#REF!,DATA!#REF!,1,FALSE),"")</f>
        <v/>
      </c>
      <c r="D1185" s="16" t="str">
        <f>IFERROR(VLOOKUP(C1185,DATA!#REF!,2,FALSE),"")</f>
        <v/>
      </c>
    </row>
    <row r="1186" spans="2:4" s="237" customFormat="1">
      <c r="B1186" s="15" t="str">
        <f t="shared" si="51"/>
        <v/>
      </c>
      <c r="C1186" s="16" t="str">
        <f>IFERROR(VLOOKUP(DATA!#REF!,DATA!#REF!,1,FALSE),"")</f>
        <v/>
      </c>
      <c r="D1186" s="16" t="str">
        <f>IFERROR(VLOOKUP(C1186,DATA!#REF!,2,FALSE),"")</f>
        <v/>
      </c>
    </row>
    <row r="1187" spans="2:4" s="237" customFormat="1">
      <c r="B1187" s="15" t="str">
        <f t="shared" si="51"/>
        <v/>
      </c>
      <c r="C1187" s="16" t="str">
        <f>IFERROR(VLOOKUP(DATA!#REF!,DATA!#REF!,1,FALSE),"")</f>
        <v/>
      </c>
      <c r="D1187" s="16" t="str">
        <f>IFERROR(VLOOKUP(C1187,DATA!#REF!,2,FALSE),"")</f>
        <v/>
      </c>
    </row>
    <row r="1188" spans="2:4" s="237" customFormat="1">
      <c r="B1188" s="15" t="str">
        <f t="shared" si="51"/>
        <v/>
      </c>
      <c r="C1188" s="16" t="str">
        <f>IFERROR(VLOOKUP(DATA!#REF!,DATA!#REF!,1,FALSE),"")</f>
        <v/>
      </c>
      <c r="D1188" s="16" t="str">
        <f>IFERROR(VLOOKUP(C1188,DATA!#REF!,2,FALSE),"")</f>
        <v/>
      </c>
    </row>
    <row r="1189" spans="2:4" s="237" customFormat="1">
      <c r="B1189" s="15" t="str">
        <f t="shared" si="51"/>
        <v/>
      </c>
      <c r="C1189" s="16" t="str">
        <f>IFERROR(VLOOKUP(DATA!#REF!,DATA!#REF!,1,FALSE),"")</f>
        <v/>
      </c>
      <c r="D1189" s="16" t="str">
        <f>IFERROR(VLOOKUP(C1189,DATA!#REF!,2,FALSE),"")</f>
        <v/>
      </c>
    </row>
    <row r="1190" spans="2:4" s="237" customFormat="1">
      <c r="B1190" s="15" t="str">
        <f t="shared" si="51"/>
        <v/>
      </c>
      <c r="C1190" s="16" t="str">
        <f>IFERROR(VLOOKUP(DATA!#REF!,DATA!#REF!,1,FALSE),"")</f>
        <v/>
      </c>
      <c r="D1190" s="16" t="str">
        <f>IFERROR(VLOOKUP(C1190,DATA!#REF!,2,FALSE),"")</f>
        <v/>
      </c>
    </row>
    <row r="1191" spans="2:4" s="237" customFormat="1">
      <c r="B1191" s="15" t="str">
        <f t="shared" si="51"/>
        <v/>
      </c>
      <c r="C1191" s="16" t="str">
        <f>IFERROR(VLOOKUP(DATA!#REF!,DATA!#REF!,1,FALSE),"")</f>
        <v/>
      </c>
      <c r="D1191" s="16" t="str">
        <f>IFERROR(VLOOKUP(C1191,DATA!#REF!,2,FALSE),"")</f>
        <v/>
      </c>
    </row>
    <row r="1192" spans="2:4" s="237" customFormat="1">
      <c r="B1192" s="15" t="str">
        <f t="shared" si="51"/>
        <v/>
      </c>
      <c r="C1192" s="16" t="str">
        <f>IFERROR(VLOOKUP(DATA!#REF!,DATA!#REF!,1,FALSE),"")</f>
        <v/>
      </c>
      <c r="D1192" s="16" t="str">
        <f>IFERROR(VLOOKUP(C1192,DATA!#REF!,2,FALSE),"")</f>
        <v/>
      </c>
    </row>
    <row r="1193" spans="2:4" s="237" customFormat="1">
      <c r="B1193" s="15" t="str">
        <f t="shared" si="51"/>
        <v/>
      </c>
      <c r="C1193" s="16" t="str">
        <f>IFERROR(VLOOKUP(DATA!#REF!,DATA!#REF!,1,FALSE),"")</f>
        <v/>
      </c>
      <c r="D1193" s="16" t="str">
        <f>IFERROR(VLOOKUP(C1193,DATA!#REF!,2,FALSE),"")</f>
        <v/>
      </c>
    </row>
    <row r="1194" spans="2:4" s="237" customFormat="1">
      <c r="B1194" s="15" t="str">
        <f t="shared" si="51"/>
        <v/>
      </c>
      <c r="C1194" s="16" t="str">
        <f>IFERROR(VLOOKUP(DATA!#REF!,DATA!#REF!,1,FALSE),"")</f>
        <v/>
      </c>
      <c r="D1194" s="16" t="str">
        <f>IFERROR(VLOOKUP(C1194,DATA!#REF!,2,FALSE),"")</f>
        <v/>
      </c>
    </row>
    <row r="1195" spans="2:4" s="237" customFormat="1">
      <c r="B1195" s="15" t="str">
        <f t="shared" si="51"/>
        <v/>
      </c>
      <c r="C1195" s="16" t="str">
        <f>IFERROR(VLOOKUP(DATA!#REF!,DATA!#REF!,1,FALSE),"")</f>
        <v/>
      </c>
      <c r="D1195" s="16" t="str">
        <f>IFERROR(VLOOKUP(C1195,DATA!#REF!,2,FALSE),"")</f>
        <v/>
      </c>
    </row>
    <row r="1196" spans="2:4" s="237" customFormat="1">
      <c r="B1196" s="15" t="str">
        <f t="shared" si="51"/>
        <v/>
      </c>
      <c r="C1196" s="16" t="str">
        <f>IFERROR(VLOOKUP(DATA!#REF!,DATA!#REF!,1,FALSE),"")</f>
        <v/>
      </c>
      <c r="D1196" s="16" t="str">
        <f>IFERROR(VLOOKUP(C1196,DATA!#REF!,2,FALSE),"")</f>
        <v/>
      </c>
    </row>
    <row r="1197" spans="2:4" s="237" customFormat="1">
      <c r="B1197" s="15" t="str">
        <f t="shared" si="51"/>
        <v/>
      </c>
      <c r="C1197" s="16" t="str">
        <f>IFERROR(VLOOKUP(DATA!#REF!,DATA!#REF!,1,FALSE),"")</f>
        <v/>
      </c>
      <c r="D1197" s="16" t="str">
        <f>IFERROR(VLOOKUP(C1197,DATA!#REF!,2,FALSE),"")</f>
        <v/>
      </c>
    </row>
    <row r="1198" spans="2:4" s="237" customFormat="1">
      <c r="B1198" s="15" t="str">
        <f t="shared" si="51"/>
        <v/>
      </c>
      <c r="C1198" s="16" t="str">
        <f>IFERROR(VLOOKUP(DATA!#REF!,DATA!#REF!,1,FALSE),"")</f>
        <v/>
      </c>
      <c r="D1198" s="16" t="str">
        <f>IFERROR(VLOOKUP(C1198,DATA!#REF!,2,FALSE),"")</f>
        <v/>
      </c>
    </row>
    <row r="1199" spans="2:4" s="237" customFormat="1">
      <c r="B1199" s="15" t="str">
        <f t="shared" si="51"/>
        <v/>
      </c>
      <c r="C1199" s="16" t="str">
        <f>IFERROR(VLOOKUP(DATA!#REF!,DATA!#REF!,1,FALSE),"")</f>
        <v/>
      </c>
      <c r="D1199" s="16" t="str">
        <f>IFERROR(VLOOKUP(C1199,DATA!#REF!,2,FALSE),"")</f>
        <v/>
      </c>
    </row>
    <row r="1200" spans="2:4" s="237" customFormat="1">
      <c r="B1200" s="15" t="str">
        <f t="shared" si="51"/>
        <v/>
      </c>
      <c r="C1200" s="16" t="str">
        <f>IFERROR(VLOOKUP(DATA!#REF!,DATA!#REF!,1,FALSE),"")</f>
        <v/>
      </c>
      <c r="D1200" s="16" t="str">
        <f>IFERROR(VLOOKUP(C1200,DATA!#REF!,2,FALSE),"")</f>
        <v/>
      </c>
    </row>
    <row r="1201" spans="2:4" s="237" customFormat="1">
      <c r="B1201" s="15" t="str">
        <f t="shared" si="51"/>
        <v/>
      </c>
      <c r="C1201" s="16" t="str">
        <f>IFERROR(VLOOKUP(DATA!#REF!,DATA!#REF!,1,FALSE),"")</f>
        <v/>
      </c>
      <c r="D1201" s="16" t="str">
        <f>IFERROR(VLOOKUP(C1201,DATA!#REF!,2,FALSE),"")</f>
        <v/>
      </c>
    </row>
    <row r="1202" spans="2:4" s="237" customFormat="1">
      <c r="B1202" s="15" t="str">
        <f t="shared" si="51"/>
        <v/>
      </c>
      <c r="C1202" s="16" t="str">
        <f>IFERROR(VLOOKUP(DATA!#REF!,DATA!#REF!,1,FALSE),"")</f>
        <v/>
      </c>
      <c r="D1202" s="16" t="str">
        <f>IFERROR(VLOOKUP(C1202,DATA!#REF!,2,FALSE),"")</f>
        <v/>
      </c>
    </row>
    <row r="1203" spans="2:4" s="237" customFormat="1">
      <c r="B1203" s="15" t="str">
        <f t="shared" si="51"/>
        <v/>
      </c>
      <c r="C1203" s="16" t="str">
        <f>IFERROR(VLOOKUP(DATA!#REF!,DATA!#REF!,1,FALSE),"")</f>
        <v/>
      </c>
      <c r="D1203" s="16" t="str">
        <f>IFERROR(VLOOKUP(C1203,DATA!#REF!,2,FALSE),"")</f>
        <v/>
      </c>
    </row>
    <row r="1204" spans="2:4" s="237" customFormat="1">
      <c r="B1204" s="15" t="str">
        <f t="shared" si="51"/>
        <v/>
      </c>
      <c r="C1204" s="16" t="str">
        <f>IFERROR(VLOOKUP(DATA!#REF!,DATA!#REF!,1,FALSE),"")</f>
        <v/>
      </c>
      <c r="D1204" s="16" t="str">
        <f>IFERROR(VLOOKUP(C1204,DATA!#REF!,2,FALSE),"")</f>
        <v/>
      </c>
    </row>
    <row r="1205" spans="2:4" s="237" customFormat="1">
      <c r="B1205" s="15" t="str">
        <f t="shared" si="51"/>
        <v/>
      </c>
      <c r="C1205" s="16" t="str">
        <f>IFERROR(VLOOKUP(DATA!#REF!,DATA!#REF!,1,FALSE),"")</f>
        <v/>
      </c>
      <c r="D1205" s="16" t="str">
        <f>IFERROR(VLOOKUP(C1205,DATA!#REF!,2,FALSE),"")</f>
        <v/>
      </c>
    </row>
    <row r="1206" spans="2:4" s="237" customFormat="1">
      <c r="B1206" s="15" t="str">
        <f t="shared" si="51"/>
        <v/>
      </c>
      <c r="C1206" s="16" t="str">
        <f>IFERROR(VLOOKUP(DATA!#REF!,DATA!#REF!,1,FALSE),"")</f>
        <v/>
      </c>
      <c r="D1206" s="16" t="str">
        <f>IFERROR(VLOOKUP(C1206,DATA!#REF!,2,FALSE),"")</f>
        <v/>
      </c>
    </row>
    <row r="1207" spans="2:4" s="237" customFormat="1">
      <c r="B1207" s="15" t="str">
        <f t="shared" si="51"/>
        <v/>
      </c>
      <c r="C1207" s="16" t="str">
        <f>IFERROR(VLOOKUP(DATA!#REF!,DATA!#REF!,1,FALSE),"")</f>
        <v/>
      </c>
      <c r="D1207" s="16" t="str">
        <f>IFERROR(VLOOKUP(C1207,DATA!#REF!,2,FALSE),"")</f>
        <v/>
      </c>
    </row>
    <row r="1208" spans="2:4" s="237" customFormat="1">
      <c r="B1208" s="15" t="str">
        <f t="shared" si="51"/>
        <v/>
      </c>
      <c r="C1208" s="16" t="str">
        <f>IFERROR(VLOOKUP(DATA!#REF!,DATA!#REF!,1,FALSE),"")</f>
        <v/>
      </c>
      <c r="D1208" s="16" t="str">
        <f>IFERROR(VLOOKUP(C1208,DATA!#REF!,2,FALSE),"")</f>
        <v/>
      </c>
    </row>
    <row r="1209" spans="2:4" s="237" customFormat="1">
      <c r="B1209" s="15" t="str">
        <f t="shared" si="51"/>
        <v/>
      </c>
      <c r="C1209" s="16" t="str">
        <f>IFERROR(VLOOKUP(DATA!#REF!,DATA!#REF!,1,FALSE),"")</f>
        <v/>
      </c>
      <c r="D1209" s="16" t="str">
        <f>IFERROR(VLOOKUP(C1209,DATA!#REF!,2,FALSE),"")</f>
        <v/>
      </c>
    </row>
    <row r="1210" spans="2:4" s="237" customFormat="1">
      <c r="B1210" s="15" t="str">
        <f t="shared" si="51"/>
        <v/>
      </c>
      <c r="C1210" s="16" t="str">
        <f>IFERROR(VLOOKUP(DATA!#REF!,DATA!#REF!,1,FALSE),"")</f>
        <v/>
      </c>
      <c r="D1210" s="16" t="str">
        <f>IFERROR(VLOOKUP(C1210,DATA!#REF!,2,FALSE),"")</f>
        <v/>
      </c>
    </row>
    <row r="1211" spans="2:4" s="237" customFormat="1">
      <c r="B1211" s="15" t="str">
        <f t="shared" si="51"/>
        <v/>
      </c>
      <c r="C1211" s="16" t="str">
        <f>IFERROR(VLOOKUP(DATA!#REF!,DATA!#REF!,1,FALSE),"")</f>
        <v/>
      </c>
      <c r="D1211" s="16" t="str">
        <f>IFERROR(VLOOKUP(C1211,DATA!#REF!,2,FALSE),"")</f>
        <v/>
      </c>
    </row>
    <row r="1212" spans="2:4" s="237" customFormat="1">
      <c r="B1212" s="15" t="str">
        <f t="shared" si="51"/>
        <v/>
      </c>
      <c r="C1212" s="16" t="str">
        <f>IFERROR(VLOOKUP(DATA!#REF!,DATA!#REF!,1,FALSE),"")</f>
        <v/>
      </c>
      <c r="D1212" s="16" t="str">
        <f>IFERROR(VLOOKUP(C1212,DATA!#REF!,2,FALSE),"")</f>
        <v/>
      </c>
    </row>
    <row r="1213" spans="2:4" s="237" customFormat="1">
      <c r="B1213" s="15" t="str">
        <f t="shared" si="51"/>
        <v/>
      </c>
      <c r="C1213" s="16" t="str">
        <f>IFERROR(VLOOKUP(DATA!#REF!,DATA!#REF!,1,FALSE),"")</f>
        <v/>
      </c>
      <c r="D1213" s="16" t="str">
        <f>IFERROR(VLOOKUP(C1213,DATA!#REF!,2,FALSE),"")</f>
        <v/>
      </c>
    </row>
    <row r="1214" spans="2:4" s="237" customFormat="1">
      <c r="B1214" s="15" t="str">
        <f t="shared" si="51"/>
        <v/>
      </c>
      <c r="C1214" s="16" t="str">
        <f>IFERROR(VLOOKUP(DATA!#REF!,DATA!#REF!,1,FALSE),"")</f>
        <v/>
      </c>
      <c r="D1214" s="16" t="str">
        <f>IFERROR(VLOOKUP(C1214,DATA!#REF!,2,FALSE),"")</f>
        <v/>
      </c>
    </row>
    <row r="1215" spans="2:4" s="237" customFormat="1">
      <c r="B1215" s="15" t="str">
        <f t="shared" si="51"/>
        <v/>
      </c>
      <c r="C1215" s="16" t="str">
        <f>IFERROR(VLOOKUP(DATA!#REF!,DATA!#REF!,1,FALSE),"")</f>
        <v/>
      </c>
      <c r="D1215" s="16" t="str">
        <f>IFERROR(VLOOKUP(C1215,DATA!#REF!,2,FALSE),"")</f>
        <v/>
      </c>
    </row>
    <row r="1216" spans="2:4" s="237" customFormat="1">
      <c r="B1216" s="15" t="str">
        <f t="shared" si="51"/>
        <v/>
      </c>
      <c r="C1216" s="16" t="str">
        <f>IFERROR(VLOOKUP(DATA!#REF!,DATA!#REF!,1,FALSE),"")</f>
        <v/>
      </c>
      <c r="D1216" s="16" t="str">
        <f>IFERROR(VLOOKUP(C1216,DATA!#REF!,2,FALSE),"")</f>
        <v/>
      </c>
    </row>
    <row r="1217" spans="2:4" s="237" customFormat="1">
      <c r="B1217" s="15" t="str">
        <f t="shared" si="51"/>
        <v/>
      </c>
      <c r="C1217" s="16" t="str">
        <f>IFERROR(VLOOKUP(DATA!#REF!,DATA!#REF!,1,FALSE),"")</f>
        <v/>
      </c>
      <c r="D1217" s="16" t="str">
        <f>IFERROR(VLOOKUP(C1217,DATA!#REF!,2,FALSE),"")</f>
        <v/>
      </c>
    </row>
    <row r="1218" spans="2:4" s="237" customFormat="1">
      <c r="B1218" s="15" t="str">
        <f t="shared" si="51"/>
        <v/>
      </c>
      <c r="C1218" s="16" t="str">
        <f>IFERROR(VLOOKUP(DATA!#REF!,DATA!#REF!,1,FALSE),"")</f>
        <v/>
      </c>
      <c r="D1218" s="16" t="str">
        <f>IFERROR(VLOOKUP(C1218,DATA!#REF!,2,FALSE),"")</f>
        <v/>
      </c>
    </row>
    <row r="1219" spans="2:4" s="237" customFormat="1">
      <c r="B1219" s="15" t="str">
        <f t="shared" si="51"/>
        <v/>
      </c>
      <c r="C1219" s="16" t="str">
        <f>IFERROR(VLOOKUP(DATA!#REF!,DATA!#REF!,1,FALSE),"")</f>
        <v/>
      </c>
      <c r="D1219" s="16" t="str">
        <f>IFERROR(VLOOKUP(C1219,DATA!#REF!,2,FALSE),"")</f>
        <v/>
      </c>
    </row>
    <row r="1220" spans="2:4" s="237" customFormat="1">
      <c r="B1220" s="15" t="str">
        <f t="shared" si="51"/>
        <v/>
      </c>
      <c r="C1220" s="16" t="str">
        <f>IFERROR(VLOOKUP(DATA!#REF!,DATA!#REF!,1,FALSE),"")</f>
        <v/>
      </c>
      <c r="D1220" s="16" t="str">
        <f>IFERROR(VLOOKUP(C1220,DATA!#REF!,2,FALSE),"")</f>
        <v/>
      </c>
    </row>
    <row r="1221" spans="2:4" s="237" customFormat="1">
      <c r="B1221" s="15" t="str">
        <f t="shared" si="51"/>
        <v/>
      </c>
      <c r="C1221" s="16" t="str">
        <f>IFERROR(VLOOKUP(DATA!#REF!,DATA!#REF!,1,FALSE),"")</f>
        <v/>
      </c>
      <c r="D1221" s="16" t="str">
        <f>IFERROR(VLOOKUP(C1221,DATA!#REF!,2,FALSE),"")</f>
        <v/>
      </c>
    </row>
    <row r="1222" spans="2:4" s="237" customFormat="1">
      <c r="B1222" s="15" t="str">
        <f t="shared" ref="B1222:B1285" si="52">+IF(C1222="","",ROW()-5)</f>
        <v/>
      </c>
      <c r="C1222" s="16" t="str">
        <f>IFERROR(VLOOKUP(DATA!#REF!,DATA!#REF!,1,FALSE),"")</f>
        <v/>
      </c>
      <c r="D1222" s="16" t="str">
        <f>IFERROR(VLOOKUP(C1222,DATA!#REF!,2,FALSE),"")</f>
        <v/>
      </c>
    </row>
    <row r="1223" spans="2:4" s="237" customFormat="1">
      <c r="B1223" s="15" t="str">
        <f t="shared" si="52"/>
        <v/>
      </c>
      <c r="C1223" s="16" t="str">
        <f>IFERROR(VLOOKUP(DATA!#REF!,DATA!#REF!,1,FALSE),"")</f>
        <v/>
      </c>
      <c r="D1223" s="16" t="str">
        <f>IFERROR(VLOOKUP(C1223,DATA!#REF!,2,FALSE),"")</f>
        <v/>
      </c>
    </row>
    <row r="1224" spans="2:4" s="237" customFormat="1">
      <c r="B1224" s="15" t="str">
        <f t="shared" si="52"/>
        <v/>
      </c>
      <c r="C1224" s="16" t="str">
        <f>IFERROR(VLOOKUP(DATA!#REF!,DATA!#REF!,1,FALSE),"")</f>
        <v/>
      </c>
      <c r="D1224" s="16" t="str">
        <f>IFERROR(VLOOKUP(C1224,DATA!#REF!,2,FALSE),"")</f>
        <v/>
      </c>
    </row>
    <row r="1225" spans="2:4" s="237" customFormat="1">
      <c r="B1225" s="15" t="str">
        <f t="shared" si="52"/>
        <v/>
      </c>
      <c r="C1225" s="16" t="str">
        <f>IFERROR(VLOOKUP(DATA!#REF!,DATA!#REF!,1,FALSE),"")</f>
        <v/>
      </c>
      <c r="D1225" s="16" t="str">
        <f>IFERROR(VLOOKUP(C1225,DATA!#REF!,2,FALSE),"")</f>
        <v/>
      </c>
    </row>
    <row r="1226" spans="2:4" s="237" customFormat="1">
      <c r="B1226" s="15" t="str">
        <f t="shared" si="52"/>
        <v/>
      </c>
      <c r="C1226" s="16" t="str">
        <f>IFERROR(VLOOKUP(DATA!#REF!,DATA!#REF!,1,FALSE),"")</f>
        <v/>
      </c>
      <c r="D1226" s="16" t="str">
        <f>IFERROR(VLOOKUP(C1226,DATA!#REF!,2,FALSE),"")</f>
        <v/>
      </c>
    </row>
    <row r="1227" spans="2:4" s="237" customFormat="1">
      <c r="B1227" s="15" t="str">
        <f t="shared" si="52"/>
        <v/>
      </c>
      <c r="C1227" s="16" t="str">
        <f>IFERROR(VLOOKUP(DATA!#REF!,DATA!#REF!,1,FALSE),"")</f>
        <v/>
      </c>
      <c r="D1227" s="16" t="str">
        <f>IFERROR(VLOOKUP(C1227,DATA!#REF!,2,FALSE),"")</f>
        <v/>
      </c>
    </row>
    <row r="1228" spans="2:4" s="237" customFormat="1">
      <c r="B1228" s="15" t="str">
        <f t="shared" si="52"/>
        <v/>
      </c>
      <c r="C1228" s="16" t="str">
        <f>IFERROR(VLOOKUP(DATA!#REF!,DATA!#REF!,1,FALSE),"")</f>
        <v/>
      </c>
      <c r="D1228" s="16" t="str">
        <f>IFERROR(VLOOKUP(C1228,DATA!#REF!,2,FALSE),"")</f>
        <v/>
      </c>
    </row>
    <row r="1229" spans="2:4" s="237" customFormat="1">
      <c r="B1229" s="15" t="str">
        <f t="shared" si="52"/>
        <v/>
      </c>
      <c r="C1229" s="16" t="str">
        <f>IFERROR(VLOOKUP(DATA!#REF!,DATA!#REF!,1,FALSE),"")</f>
        <v/>
      </c>
      <c r="D1229" s="16" t="str">
        <f>IFERROR(VLOOKUP(C1229,DATA!#REF!,2,FALSE),"")</f>
        <v/>
      </c>
    </row>
    <row r="1230" spans="2:4" s="237" customFormat="1">
      <c r="B1230" s="15" t="str">
        <f t="shared" si="52"/>
        <v/>
      </c>
      <c r="C1230" s="16" t="str">
        <f>IFERROR(VLOOKUP(DATA!#REF!,DATA!#REF!,1,FALSE),"")</f>
        <v/>
      </c>
      <c r="D1230" s="16" t="str">
        <f>IFERROR(VLOOKUP(C1230,DATA!#REF!,2,FALSE),"")</f>
        <v/>
      </c>
    </row>
    <row r="1231" spans="2:4" s="237" customFormat="1">
      <c r="B1231" s="15" t="str">
        <f t="shared" si="52"/>
        <v/>
      </c>
      <c r="C1231" s="16" t="str">
        <f>IFERROR(VLOOKUP(DATA!#REF!,DATA!#REF!,1,FALSE),"")</f>
        <v/>
      </c>
      <c r="D1231" s="16" t="str">
        <f>IFERROR(VLOOKUP(C1231,DATA!#REF!,2,FALSE),"")</f>
        <v/>
      </c>
    </row>
    <row r="1232" spans="2:4" s="237" customFormat="1">
      <c r="B1232" s="15" t="str">
        <f t="shared" si="52"/>
        <v/>
      </c>
      <c r="C1232" s="16" t="str">
        <f>IFERROR(VLOOKUP(DATA!#REF!,DATA!#REF!,1,FALSE),"")</f>
        <v/>
      </c>
      <c r="D1232" s="16" t="str">
        <f>IFERROR(VLOOKUP(C1232,DATA!#REF!,2,FALSE),"")</f>
        <v/>
      </c>
    </row>
    <row r="1233" spans="2:4" s="237" customFormat="1">
      <c r="B1233" s="15" t="str">
        <f t="shared" si="52"/>
        <v/>
      </c>
      <c r="C1233" s="16" t="str">
        <f>IFERROR(VLOOKUP(DATA!#REF!,DATA!#REF!,1,FALSE),"")</f>
        <v/>
      </c>
      <c r="D1233" s="16" t="str">
        <f>IFERROR(VLOOKUP(C1233,DATA!#REF!,2,FALSE),"")</f>
        <v/>
      </c>
    </row>
    <row r="1234" spans="2:4" s="237" customFormat="1">
      <c r="B1234" s="15" t="str">
        <f t="shared" si="52"/>
        <v/>
      </c>
      <c r="C1234" s="16" t="str">
        <f>IFERROR(VLOOKUP(DATA!#REF!,DATA!#REF!,1,FALSE),"")</f>
        <v/>
      </c>
      <c r="D1234" s="16" t="str">
        <f>IFERROR(VLOOKUP(C1234,DATA!#REF!,2,FALSE),"")</f>
        <v/>
      </c>
    </row>
    <row r="1235" spans="2:4" s="237" customFormat="1">
      <c r="B1235" s="15" t="str">
        <f t="shared" si="52"/>
        <v/>
      </c>
      <c r="C1235" s="16" t="str">
        <f>IFERROR(VLOOKUP(DATA!#REF!,DATA!#REF!,1,FALSE),"")</f>
        <v/>
      </c>
      <c r="D1235" s="16" t="str">
        <f>IFERROR(VLOOKUP(C1235,DATA!#REF!,2,FALSE),"")</f>
        <v/>
      </c>
    </row>
    <row r="1236" spans="2:4" s="237" customFormat="1">
      <c r="B1236" s="15" t="str">
        <f t="shared" si="52"/>
        <v/>
      </c>
      <c r="C1236" s="16" t="str">
        <f>IFERROR(VLOOKUP(DATA!#REF!,DATA!#REF!,1,FALSE),"")</f>
        <v/>
      </c>
      <c r="D1236" s="16" t="str">
        <f>IFERROR(VLOOKUP(C1236,DATA!#REF!,2,FALSE),"")</f>
        <v/>
      </c>
    </row>
    <row r="1237" spans="2:4" s="237" customFormat="1">
      <c r="B1237" s="15" t="str">
        <f t="shared" si="52"/>
        <v/>
      </c>
      <c r="C1237" s="16" t="str">
        <f>IFERROR(VLOOKUP(DATA!#REF!,DATA!#REF!,1,FALSE),"")</f>
        <v/>
      </c>
      <c r="D1237" s="16" t="str">
        <f>IFERROR(VLOOKUP(C1237,DATA!#REF!,2,FALSE),"")</f>
        <v/>
      </c>
    </row>
    <row r="1238" spans="2:4" s="237" customFormat="1">
      <c r="B1238" s="15" t="str">
        <f t="shared" si="52"/>
        <v/>
      </c>
      <c r="C1238" s="16" t="str">
        <f>IFERROR(VLOOKUP(DATA!#REF!,DATA!#REF!,1,FALSE),"")</f>
        <v/>
      </c>
      <c r="D1238" s="16" t="str">
        <f>IFERROR(VLOOKUP(C1238,DATA!#REF!,2,FALSE),"")</f>
        <v/>
      </c>
    </row>
    <row r="1239" spans="2:4" s="237" customFormat="1">
      <c r="B1239" s="15" t="str">
        <f t="shared" si="52"/>
        <v/>
      </c>
      <c r="C1239" s="16" t="str">
        <f>IFERROR(VLOOKUP(DATA!#REF!,DATA!#REF!,1,FALSE),"")</f>
        <v/>
      </c>
      <c r="D1239" s="16" t="str">
        <f>IFERROR(VLOOKUP(C1239,DATA!#REF!,2,FALSE),"")</f>
        <v/>
      </c>
    </row>
    <row r="1240" spans="2:4" s="237" customFormat="1">
      <c r="B1240" s="15" t="str">
        <f t="shared" si="52"/>
        <v/>
      </c>
      <c r="C1240" s="16" t="str">
        <f>IFERROR(VLOOKUP(DATA!#REF!,DATA!#REF!,1,FALSE),"")</f>
        <v/>
      </c>
      <c r="D1240" s="16" t="str">
        <f>IFERROR(VLOOKUP(C1240,DATA!#REF!,2,FALSE),"")</f>
        <v/>
      </c>
    </row>
    <row r="1241" spans="2:4" s="237" customFormat="1">
      <c r="B1241" s="15" t="str">
        <f t="shared" si="52"/>
        <v/>
      </c>
      <c r="C1241" s="16" t="str">
        <f>IFERROR(VLOOKUP(DATA!#REF!,DATA!#REF!,1,FALSE),"")</f>
        <v/>
      </c>
      <c r="D1241" s="16" t="str">
        <f>IFERROR(VLOOKUP(C1241,DATA!#REF!,2,FALSE),"")</f>
        <v/>
      </c>
    </row>
    <row r="1242" spans="2:4" s="237" customFormat="1">
      <c r="B1242" s="15" t="str">
        <f t="shared" si="52"/>
        <v/>
      </c>
      <c r="C1242" s="16" t="str">
        <f>IFERROR(VLOOKUP(DATA!#REF!,DATA!#REF!,1,FALSE),"")</f>
        <v/>
      </c>
      <c r="D1242" s="16" t="str">
        <f>IFERROR(VLOOKUP(C1242,DATA!#REF!,2,FALSE),"")</f>
        <v/>
      </c>
    </row>
    <row r="1243" spans="2:4" s="237" customFormat="1">
      <c r="B1243" s="15" t="str">
        <f t="shared" si="52"/>
        <v/>
      </c>
      <c r="C1243" s="16" t="str">
        <f>IFERROR(VLOOKUP(DATA!#REF!,DATA!#REF!,1,FALSE),"")</f>
        <v/>
      </c>
      <c r="D1243" s="16" t="str">
        <f>IFERROR(VLOOKUP(C1243,DATA!#REF!,2,FALSE),"")</f>
        <v/>
      </c>
    </row>
    <row r="1244" spans="2:4" s="237" customFormat="1">
      <c r="B1244" s="15" t="str">
        <f t="shared" si="52"/>
        <v/>
      </c>
      <c r="C1244" s="16" t="str">
        <f>IFERROR(VLOOKUP(DATA!#REF!,DATA!#REF!,1,FALSE),"")</f>
        <v/>
      </c>
      <c r="D1244" s="16" t="str">
        <f>IFERROR(VLOOKUP(C1244,DATA!#REF!,2,FALSE),"")</f>
        <v/>
      </c>
    </row>
    <row r="1245" spans="2:4" s="237" customFormat="1">
      <c r="B1245" s="15" t="str">
        <f t="shared" si="52"/>
        <v/>
      </c>
      <c r="C1245" s="16" t="str">
        <f>IFERROR(VLOOKUP(DATA!#REF!,DATA!#REF!,1,FALSE),"")</f>
        <v/>
      </c>
      <c r="D1245" s="16" t="str">
        <f>IFERROR(VLOOKUP(C1245,DATA!#REF!,2,FALSE),"")</f>
        <v/>
      </c>
    </row>
    <row r="1246" spans="2:4" s="237" customFormat="1">
      <c r="B1246" s="15" t="str">
        <f t="shared" si="52"/>
        <v/>
      </c>
      <c r="C1246" s="16" t="str">
        <f>IFERROR(VLOOKUP(DATA!#REF!,DATA!#REF!,1,FALSE),"")</f>
        <v/>
      </c>
      <c r="D1246" s="16" t="str">
        <f>IFERROR(VLOOKUP(C1246,DATA!#REF!,2,FALSE),"")</f>
        <v/>
      </c>
    </row>
    <row r="1247" spans="2:4" s="237" customFormat="1">
      <c r="B1247" s="15" t="str">
        <f t="shared" si="52"/>
        <v/>
      </c>
      <c r="C1247" s="16" t="str">
        <f>IFERROR(VLOOKUP(DATA!#REF!,DATA!#REF!,1,FALSE),"")</f>
        <v/>
      </c>
      <c r="D1247" s="16" t="str">
        <f>IFERROR(VLOOKUP(C1247,DATA!#REF!,2,FALSE),"")</f>
        <v/>
      </c>
    </row>
    <row r="1248" spans="2:4" s="237" customFormat="1">
      <c r="B1248" s="15" t="str">
        <f t="shared" si="52"/>
        <v/>
      </c>
      <c r="C1248" s="16" t="str">
        <f>IFERROR(VLOOKUP(DATA!#REF!,DATA!#REF!,1,FALSE),"")</f>
        <v/>
      </c>
      <c r="D1248" s="16" t="str">
        <f>IFERROR(VLOOKUP(C1248,DATA!#REF!,2,FALSE),"")</f>
        <v/>
      </c>
    </row>
    <row r="1249" spans="2:4" s="237" customFormat="1">
      <c r="B1249" s="15" t="str">
        <f t="shared" si="52"/>
        <v/>
      </c>
      <c r="C1249" s="16" t="str">
        <f>IFERROR(VLOOKUP(DATA!#REF!,DATA!#REF!,1,FALSE),"")</f>
        <v/>
      </c>
      <c r="D1249" s="16" t="str">
        <f>IFERROR(VLOOKUP(C1249,DATA!#REF!,2,FALSE),"")</f>
        <v/>
      </c>
    </row>
    <row r="1250" spans="2:4" s="237" customFormat="1">
      <c r="B1250" s="15" t="str">
        <f t="shared" si="52"/>
        <v/>
      </c>
      <c r="C1250" s="16" t="str">
        <f>IFERROR(VLOOKUP(DATA!#REF!,DATA!#REF!,1,FALSE),"")</f>
        <v/>
      </c>
      <c r="D1250" s="16" t="str">
        <f>IFERROR(VLOOKUP(C1250,DATA!#REF!,2,FALSE),"")</f>
        <v/>
      </c>
    </row>
    <row r="1251" spans="2:4" s="237" customFormat="1">
      <c r="B1251" s="15" t="str">
        <f t="shared" si="52"/>
        <v/>
      </c>
      <c r="C1251" s="16" t="str">
        <f>IFERROR(VLOOKUP(DATA!#REF!,DATA!#REF!,1,FALSE),"")</f>
        <v/>
      </c>
      <c r="D1251" s="16" t="str">
        <f>IFERROR(VLOOKUP(C1251,DATA!#REF!,2,FALSE),"")</f>
        <v/>
      </c>
    </row>
    <row r="1252" spans="2:4" s="237" customFormat="1">
      <c r="B1252" s="15" t="str">
        <f t="shared" si="52"/>
        <v/>
      </c>
      <c r="C1252" s="16" t="str">
        <f>IFERROR(VLOOKUP(DATA!#REF!,DATA!#REF!,1,FALSE),"")</f>
        <v/>
      </c>
      <c r="D1252" s="16" t="str">
        <f>IFERROR(VLOOKUP(C1252,DATA!#REF!,2,FALSE),"")</f>
        <v/>
      </c>
    </row>
    <row r="1253" spans="2:4" s="237" customFormat="1">
      <c r="B1253" s="15" t="str">
        <f t="shared" si="52"/>
        <v/>
      </c>
      <c r="C1253" s="16" t="str">
        <f>IFERROR(VLOOKUP(DATA!#REF!,DATA!#REF!,1,FALSE),"")</f>
        <v/>
      </c>
      <c r="D1253" s="16" t="str">
        <f>IFERROR(VLOOKUP(C1253,DATA!#REF!,2,FALSE),"")</f>
        <v/>
      </c>
    </row>
    <row r="1254" spans="2:4" s="237" customFormat="1">
      <c r="B1254" s="15" t="str">
        <f t="shared" si="52"/>
        <v/>
      </c>
      <c r="C1254" s="16" t="str">
        <f>IFERROR(VLOOKUP(DATA!#REF!,DATA!#REF!,1,FALSE),"")</f>
        <v/>
      </c>
      <c r="D1254" s="16" t="str">
        <f>IFERROR(VLOOKUP(C1254,DATA!#REF!,2,FALSE),"")</f>
        <v/>
      </c>
    </row>
    <row r="1255" spans="2:4" s="237" customFormat="1">
      <c r="B1255" s="15" t="str">
        <f t="shared" si="52"/>
        <v/>
      </c>
      <c r="C1255" s="16" t="str">
        <f>IFERROR(VLOOKUP(DATA!#REF!,DATA!#REF!,1,FALSE),"")</f>
        <v/>
      </c>
      <c r="D1255" s="16" t="str">
        <f>IFERROR(VLOOKUP(C1255,DATA!#REF!,2,FALSE),"")</f>
        <v/>
      </c>
    </row>
    <row r="1256" spans="2:4" s="237" customFormat="1">
      <c r="B1256" s="15" t="str">
        <f t="shared" si="52"/>
        <v/>
      </c>
      <c r="C1256" s="16" t="str">
        <f>IFERROR(VLOOKUP(DATA!#REF!,DATA!#REF!,1,FALSE),"")</f>
        <v/>
      </c>
      <c r="D1256" s="16" t="str">
        <f>IFERROR(VLOOKUP(C1256,DATA!#REF!,2,FALSE),"")</f>
        <v/>
      </c>
    </row>
    <row r="1257" spans="2:4" s="237" customFormat="1">
      <c r="B1257" s="15" t="str">
        <f t="shared" si="52"/>
        <v/>
      </c>
      <c r="C1257" s="16" t="str">
        <f>IFERROR(VLOOKUP(DATA!#REF!,DATA!#REF!,1,FALSE),"")</f>
        <v/>
      </c>
      <c r="D1257" s="16" t="str">
        <f>IFERROR(VLOOKUP(C1257,DATA!#REF!,2,FALSE),"")</f>
        <v/>
      </c>
    </row>
    <row r="1258" spans="2:4" s="237" customFormat="1">
      <c r="B1258" s="15" t="str">
        <f t="shared" si="52"/>
        <v/>
      </c>
      <c r="C1258" s="16" t="str">
        <f>IFERROR(VLOOKUP(DATA!#REF!,DATA!#REF!,1,FALSE),"")</f>
        <v/>
      </c>
      <c r="D1258" s="16" t="str">
        <f>IFERROR(VLOOKUP(C1258,DATA!#REF!,2,FALSE),"")</f>
        <v/>
      </c>
    </row>
    <row r="1259" spans="2:4" s="237" customFormat="1">
      <c r="B1259" s="15" t="str">
        <f t="shared" si="52"/>
        <v/>
      </c>
      <c r="C1259" s="16" t="str">
        <f>IFERROR(VLOOKUP(DATA!#REF!,DATA!#REF!,1,FALSE),"")</f>
        <v/>
      </c>
      <c r="D1259" s="16" t="str">
        <f>IFERROR(VLOOKUP(C1259,DATA!#REF!,2,FALSE),"")</f>
        <v/>
      </c>
    </row>
    <row r="1260" spans="2:4" s="237" customFormat="1">
      <c r="B1260" s="15" t="str">
        <f t="shared" si="52"/>
        <v/>
      </c>
      <c r="C1260" s="16" t="str">
        <f>IFERROR(VLOOKUP(DATA!#REF!,DATA!#REF!,1,FALSE),"")</f>
        <v/>
      </c>
      <c r="D1260" s="16" t="str">
        <f>IFERROR(VLOOKUP(C1260,DATA!#REF!,2,FALSE),"")</f>
        <v/>
      </c>
    </row>
    <row r="1261" spans="2:4" s="237" customFormat="1">
      <c r="B1261" s="15" t="str">
        <f t="shared" si="52"/>
        <v/>
      </c>
      <c r="C1261" s="16" t="str">
        <f>IFERROR(VLOOKUP(DATA!#REF!,DATA!#REF!,1,FALSE),"")</f>
        <v/>
      </c>
      <c r="D1261" s="16" t="str">
        <f>IFERROR(VLOOKUP(C1261,DATA!#REF!,2,FALSE),"")</f>
        <v/>
      </c>
    </row>
    <row r="1262" spans="2:4" s="237" customFormat="1">
      <c r="B1262" s="15" t="str">
        <f t="shared" si="52"/>
        <v/>
      </c>
      <c r="C1262" s="16" t="str">
        <f>IFERROR(VLOOKUP(DATA!#REF!,DATA!#REF!,1,FALSE),"")</f>
        <v/>
      </c>
      <c r="D1262" s="16" t="str">
        <f>IFERROR(VLOOKUP(C1262,DATA!#REF!,2,FALSE),"")</f>
        <v/>
      </c>
    </row>
    <row r="1263" spans="2:4" s="237" customFormat="1">
      <c r="B1263" s="15" t="str">
        <f t="shared" si="52"/>
        <v/>
      </c>
      <c r="C1263" s="16" t="str">
        <f>IFERROR(VLOOKUP(DATA!#REF!,DATA!#REF!,1,FALSE),"")</f>
        <v/>
      </c>
      <c r="D1263" s="16" t="str">
        <f>IFERROR(VLOOKUP(C1263,DATA!#REF!,2,FALSE),"")</f>
        <v/>
      </c>
    </row>
    <row r="1264" spans="2:4" s="237" customFormat="1">
      <c r="B1264" s="15" t="str">
        <f t="shared" si="52"/>
        <v/>
      </c>
      <c r="C1264" s="16" t="str">
        <f>IFERROR(VLOOKUP(DATA!#REF!,DATA!#REF!,1,FALSE),"")</f>
        <v/>
      </c>
      <c r="D1264" s="16" t="str">
        <f>IFERROR(VLOOKUP(C1264,DATA!#REF!,2,FALSE),"")</f>
        <v/>
      </c>
    </row>
    <row r="1265" spans="2:4" s="237" customFormat="1">
      <c r="B1265" s="15" t="str">
        <f t="shared" si="52"/>
        <v/>
      </c>
      <c r="C1265" s="16" t="str">
        <f>IFERROR(VLOOKUP(DATA!#REF!,DATA!#REF!,1,FALSE),"")</f>
        <v/>
      </c>
      <c r="D1265" s="16" t="str">
        <f>IFERROR(VLOOKUP(C1265,DATA!#REF!,2,FALSE),"")</f>
        <v/>
      </c>
    </row>
    <row r="1266" spans="2:4" s="237" customFormat="1">
      <c r="B1266" s="15" t="str">
        <f t="shared" si="52"/>
        <v/>
      </c>
      <c r="C1266" s="16" t="str">
        <f>IFERROR(VLOOKUP(DATA!#REF!,DATA!#REF!,1,FALSE),"")</f>
        <v/>
      </c>
      <c r="D1266" s="16" t="str">
        <f>IFERROR(VLOOKUP(C1266,DATA!#REF!,2,FALSE),"")</f>
        <v/>
      </c>
    </row>
    <row r="1267" spans="2:4" s="237" customFormat="1">
      <c r="B1267" s="15" t="str">
        <f t="shared" si="52"/>
        <v/>
      </c>
      <c r="C1267" s="16" t="str">
        <f>IFERROR(VLOOKUP(DATA!#REF!,DATA!#REF!,1,FALSE),"")</f>
        <v/>
      </c>
      <c r="D1267" s="16" t="str">
        <f>IFERROR(VLOOKUP(C1267,DATA!#REF!,2,FALSE),"")</f>
        <v/>
      </c>
    </row>
    <row r="1268" spans="2:4" s="237" customFormat="1">
      <c r="B1268" s="15" t="str">
        <f t="shared" si="52"/>
        <v/>
      </c>
      <c r="C1268" s="16" t="str">
        <f>IFERROR(VLOOKUP(DATA!#REF!,DATA!#REF!,1,FALSE),"")</f>
        <v/>
      </c>
      <c r="D1268" s="16" t="str">
        <f>IFERROR(VLOOKUP(C1268,DATA!#REF!,2,FALSE),"")</f>
        <v/>
      </c>
    </row>
    <row r="1269" spans="2:4" s="237" customFormat="1">
      <c r="B1269" s="15" t="str">
        <f t="shared" si="52"/>
        <v/>
      </c>
      <c r="C1269" s="16" t="str">
        <f>IFERROR(VLOOKUP(DATA!#REF!,DATA!#REF!,1,FALSE),"")</f>
        <v/>
      </c>
      <c r="D1269" s="16" t="str">
        <f>IFERROR(VLOOKUP(C1269,DATA!#REF!,2,FALSE),"")</f>
        <v/>
      </c>
    </row>
    <row r="1270" spans="2:4" s="237" customFormat="1">
      <c r="B1270" s="15" t="str">
        <f t="shared" si="52"/>
        <v/>
      </c>
      <c r="C1270" s="16" t="str">
        <f>IFERROR(VLOOKUP(DATA!#REF!,DATA!#REF!,1,FALSE),"")</f>
        <v/>
      </c>
      <c r="D1270" s="16" t="str">
        <f>IFERROR(VLOOKUP(C1270,DATA!#REF!,2,FALSE),"")</f>
        <v/>
      </c>
    </row>
    <row r="1271" spans="2:4" s="237" customFormat="1">
      <c r="B1271" s="15" t="str">
        <f t="shared" si="52"/>
        <v/>
      </c>
      <c r="C1271" s="16" t="str">
        <f>IFERROR(VLOOKUP(DATA!#REF!,DATA!#REF!,1,FALSE),"")</f>
        <v/>
      </c>
      <c r="D1271" s="16" t="str">
        <f>IFERROR(VLOOKUP(C1271,DATA!#REF!,2,FALSE),"")</f>
        <v/>
      </c>
    </row>
    <row r="1272" spans="2:4" s="237" customFormat="1">
      <c r="B1272" s="15" t="str">
        <f t="shared" si="52"/>
        <v/>
      </c>
      <c r="C1272" s="16" t="str">
        <f>IFERROR(VLOOKUP(DATA!#REF!,DATA!#REF!,1,FALSE),"")</f>
        <v/>
      </c>
      <c r="D1272" s="16" t="str">
        <f>IFERROR(VLOOKUP(C1272,DATA!#REF!,2,FALSE),"")</f>
        <v/>
      </c>
    </row>
    <row r="1273" spans="2:4" s="237" customFormat="1">
      <c r="B1273" s="15" t="str">
        <f t="shared" si="52"/>
        <v/>
      </c>
      <c r="C1273" s="16" t="str">
        <f>IFERROR(VLOOKUP(DATA!#REF!,DATA!#REF!,1,FALSE),"")</f>
        <v/>
      </c>
      <c r="D1273" s="16" t="str">
        <f>IFERROR(VLOOKUP(C1273,DATA!#REF!,2,FALSE),"")</f>
        <v/>
      </c>
    </row>
    <row r="1274" spans="2:4" s="237" customFormat="1">
      <c r="B1274" s="15" t="str">
        <f t="shared" si="52"/>
        <v/>
      </c>
      <c r="C1274" s="16" t="str">
        <f>IFERROR(VLOOKUP(DATA!#REF!,DATA!#REF!,1,FALSE),"")</f>
        <v/>
      </c>
      <c r="D1274" s="16" t="str">
        <f>IFERROR(VLOOKUP(C1274,DATA!#REF!,2,FALSE),"")</f>
        <v/>
      </c>
    </row>
    <row r="1275" spans="2:4" s="237" customFormat="1">
      <c r="B1275" s="15" t="str">
        <f t="shared" si="52"/>
        <v/>
      </c>
      <c r="C1275" s="16" t="str">
        <f>IFERROR(VLOOKUP(DATA!#REF!,DATA!#REF!,1,FALSE),"")</f>
        <v/>
      </c>
      <c r="D1275" s="16" t="str">
        <f>IFERROR(VLOOKUP(C1275,DATA!#REF!,2,FALSE),"")</f>
        <v/>
      </c>
    </row>
    <row r="1276" spans="2:4" s="237" customFormat="1">
      <c r="B1276" s="15" t="str">
        <f t="shared" si="52"/>
        <v/>
      </c>
      <c r="C1276" s="16" t="str">
        <f>IFERROR(VLOOKUP(DATA!#REF!,DATA!#REF!,1,FALSE),"")</f>
        <v/>
      </c>
      <c r="D1276" s="16" t="str">
        <f>IFERROR(VLOOKUP(C1276,DATA!#REF!,2,FALSE),"")</f>
        <v/>
      </c>
    </row>
    <row r="1277" spans="2:4" s="237" customFormat="1">
      <c r="B1277" s="15" t="str">
        <f t="shared" si="52"/>
        <v/>
      </c>
      <c r="C1277" s="16" t="str">
        <f>IFERROR(VLOOKUP(DATA!#REF!,DATA!#REF!,1,FALSE),"")</f>
        <v/>
      </c>
      <c r="D1277" s="16" t="str">
        <f>IFERROR(VLOOKUP(C1277,DATA!#REF!,2,FALSE),"")</f>
        <v/>
      </c>
    </row>
    <row r="1278" spans="2:4" s="237" customFormat="1">
      <c r="B1278" s="15" t="str">
        <f t="shared" si="52"/>
        <v/>
      </c>
      <c r="C1278" s="16" t="str">
        <f>IFERROR(VLOOKUP(DATA!#REF!,DATA!#REF!,1,FALSE),"")</f>
        <v/>
      </c>
      <c r="D1278" s="16" t="str">
        <f>IFERROR(VLOOKUP(C1278,DATA!#REF!,2,FALSE),"")</f>
        <v/>
      </c>
    </row>
    <row r="1279" spans="2:4" s="237" customFormat="1">
      <c r="B1279" s="15" t="str">
        <f t="shared" si="52"/>
        <v/>
      </c>
      <c r="C1279" s="16" t="str">
        <f>IFERROR(VLOOKUP(DATA!#REF!,DATA!#REF!,1,FALSE),"")</f>
        <v/>
      </c>
      <c r="D1279" s="16" t="str">
        <f>IFERROR(VLOOKUP(C1279,DATA!#REF!,2,FALSE),"")</f>
        <v/>
      </c>
    </row>
    <row r="1280" spans="2:4" s="237" customFormat="1">
      <c r="B1280" s="15" t="str">
        <f t="shared" si="52"/>
        <v/>
      </c>
      <c r="C1280" s="16" t="str">
        <f>IFERROR(VLOOKUP(DATA!#REF!,DATA!#REF!,1,FALSE),"")</f>
        <v/>
      </c>
      <c r="D1280" s="16" t="str">
        <f>IFERROR(VLOOKUP(C1280,DATA!#REF!,2,FALSE),"")</f>
        <v/>
      </c>
    </row>
    <row r="1281" spans="2:4" s="237" customFormat="1">
      <c r="B1281" s="15" t="str">
        <f t="shared" si="52"/>
        <v/>
      </c>
      <c r="C1281" s="16" t="str">
        <f>IFERROR(VLOOKUP(DATA!#REF!,DATA!#REF!,1,FALSE),"")</f>
        <v/>
      </c>
      <c r="D1281" s="16" t="str">
        <f>IFERROR(VLOOKUP(C1281,DATA!#REF!,2,FALSE),"")</f>
        <v/>
      </c>
    </row>
    <row r="1282" spans="2:4" s="237" customFormat="1">
      <c r="B1282" s="15" t="str">
        <f t="shared" si="52"/>
        <v/>
      </c>
      <c r="C1282" s="16" t="str">
        <f>IFERROR(VLOOKUP(DATA!#REF!,DATA!#REF!,1,FALSE),"")</f>
        <v/>
      </c>
      <c r="D1282" s="16" t="str">
        <f>IFERROR(VLOOKUP(C1282,DATA!#REF!,2,FALSE),"")</f>
        <v/>
      </c>
    </row>
    <row r="1283" spans="2:4" s="237" customFormat="1">
      <c r="B1283" s="15" t="str">
        <f t="shared" si="52"/>
        <v/>
      </c>
      <c r="C1283" s="16" t="str">
        <f>IFERROR(VLOOKUP(DATA!#REF!,DATA!#REF!,1,FALSE),"")</f>
        <v/>
      </c>
      <c r="D1283" s="16" t="str">
        <f>IFERROR(VLOOKUP(C1283,DATA!#REF!,2,FALSE),"")</f>
        <v/>
      </c>
    </row>
    <row r="1284" spans="2:4" s="237" customFormat="1">
      <c r="B1284" s="15" t="str">
        <f t="shared" si="52"/>
        <v/>
      </c>
      <c r="C1284" s="16" t="str">
        <f>IFERROR(VLOOKUP(DATA!#REF!,DATA!#REF!,1,FALSE),"")</f>
        <v/>
      </c>
      <c r="D1284" s="16" t="str">
        <f>IFERROR(VLOOKUP(C1284,DATA!#REF!,2,FALSE),"")</f>
        <v/>
      </c>
    </row>
    <row r="1285" spans="2:4" s="237" customFormat="1">
      <c r="B1285" s="15" t="str">
        <f t="shared" si="52"/>
        <v/>
      </c>
      <c r="C1285" s="16" t="str">
        <f>IFERROR(VLOOKUP(DATA!#REF!,DATA!#REF!,1,FALSE),"")</f>
        <v/>
      </c>
      <c r="D1285" s="16" t="str">
        <f>IFERROR(VLOOKUP(C1285,DATA!#REF!,2,FALSE),"")</f>
        <v/>
      </c>
    </row>
    <row r="1286" spans="2:4" s="237" customFormat="1">
      <c r="B1286" s="15" t="str">
        <f t="shared" ref="B1286:B1349" si="53">+IF(C1286="","",ROW()-5)</f>
        <v/>
      </c>
      <c r="C1286" s="16" t="str">
        <f>IFERROR(VLOOKUP(DATA!#REF!,DATA!#REF!,1,FALSE),"")</f>
        <v/>
      </c>
      <c r="D1286" s="16" t="str">
        <f>IFERROR(VLOOKUP(C1286,DATA!#REF!,2,FALSE),"")</f>
        <v/>
      </c>
    </row>
    <row r="1287" spans="2:4" s="237" customFormat="1">
      <c r="B1287" s="15" t="str">
        <f t="shared" si="53"/>
        <v/>
      </c>
      <c r="C1287" s="16" t="str">
        <f>IFERROR(VLOOKUP(DATA!#REF!,DATA!#REF!,1,FALSE),"")</f>
        <v/>
      </c>
      <c r="D1287" s="16" t="str">
        <f>IFERROR(VLOOKUP(C1287,DATA!#REF!,2,FALSE),"")</f>
        <v/>
      </c>
    </row>
    <row r="1288" spans="2:4" s="237" customFormat="1">
      <c r="B1288" s="15" t="str">
        <f t="shared" si="53"/>
        <v/>
      </c>
      <c r="C1288" s="16" t="str">
        <f>IFERROR(VLOOKUP(DATA!#REF!,DATA!#REF!,1,FALSE),"")</f>
        <v/>
      </c>
      <c r="D1288" s="16" t="str">
        <f>IFERROR(VLOOKUP(C1288,DATA!#REF!,2,FALSE),"")</f>
        <v/>
      </c>
    </row>
    <row r="1289" spans="2:4" s="237" customFormat="1">
      <c r="B1289" s="15" t="str">
        <f t="shared" si="53"/>
        <v/>
      </c>
      <c r="C1289" s="16" t="str">
        <f>IFERROR(VLOOKUP(DATA!#REF!,DATA!#REF!,1,FALSE),"")</f>
        <v/>
      </c>
      <c r="D1289" s="16" t="str">
        <f>IFERROR(VLOOKUP(C1289,DATA!#REF!,2,FALSE),"")</f>
        <v/>
      </c>
    </row>
    <row r="1290" spans="2:4" s="237" customFormat="1">
      <c r="B1290" s="15" t="str">
        <f t="shared" si="53"/>
        <v/>
      </c>
      <c r="C1290" s="16" t="str">
        <f>IFERROR(VLOOKUP(DATA!#REF!,DATA!#REF!,1,FALSE),"")</f>
        <v/>
      </c>
      <c r="D1290" s="16" t="str">
        <f>IFERROR(VLOOKUP(C1290,DATA!#REF!,2,FALSE),"")</f>
        <v/>
      </c>
    </row>
    <row r="1291" spans="2:4" s="237" customFormat="1">
      <c r="B1291" s="15" t="str">
        <f t="shared" si="53"/>
        <v/>
      </c>
      <c r="C1291" s="16" t="str">
        <f>IFERROR(VLOOKUP(DATA!#REF!,DATA!#REF!,1,FALSE),"")</f>
        <v/>
      </c>
      <c r="D1291" s="16" t="str">
        <f>IFERROR(VLOOKUP(C1291,DATA!#REF!,2,FALSE),"")</f>
        <v/>
      </c>
    </row>
    <row r="1292" spans="2:4" s="237" customFormat="1">
      <c r="B1292" s="15" t="str">
        <f t="shared" si="53"/>
        <v/>
      </c>
      <c r="C1292" s="16" t="str">
        <f>IFERROR(VLOOKUP(DATA!#REF!,DATA!#REF!,1,FALSE),"")</f>
        <v/>
      </c>
      <c r="D1292" s="16" t="str">
        <f>IFERROR(VLOOKUP(C1292,DATA!#REF!,2,FALSE),"")</f>
        <v/>
      </c>
    </row>
    <row r="1293" spans="2:4" s="237" customFormat="1">
      <c r="B1293" s="15" t="str">
        <f t="shared" si="53"/>
        <v/>
      </c>
      <c r="C1293" s="16" t="str">
        <f>IFERROR(VLOOKUP(DATA!#REF!,DATA!#REF!,1,FALSE),"")</f>
        <v/>
      </c>
      <c r="D1293" s="16" t="str">
        <f>IFERROR(VLOOKUP(C1293,DATA!#REF!,2,FALSE),"")</f>
        <v/>
      </c>
    </row>
    <row r="1294" spans="2:4" s="237" customFormat="1">
      <c r="B1294" s="15" t="str">
        <f t="shared" si="53"/>
        <v/>
      </c>
      <c r="C1294" s="16" t="str">
        <f>IFERROR(VLOOKUP(DATA!#REF!,DATA!#REF!,1,FALSE),"")</f>
        <v/>
      </c>
      <c r="D1294" s="16" t="str">
        <f>IFERROR(VLOOKUP(C1294,DATA!#REF!,2,FALSE),"")</f>
        <v/>
      </c>
    </row>
    <row r="1295" spans="2:4" s="237" customFormat="1">
      <c r="B1295" s="15" t="str">
        <f t="shared" si="53"/>
        <v/>
      </c>
      <c r="C1295" s="16" t="str">
        <f>IFERROR(VLOOKUP(DATA!#REF!,DATA!#REF!,1,FALSE),"")</f>
        <v/>
      </c>
      <c r="D1295" s="16" t="str">
        <f>IFERROR(VLOOKUP(C1295,DATA!#REF!,2,FALSE),"")</f>
        <v/>
      </c>
    </row>
    <row r="1296" spans="2:4" s="237" customFormat="1">
      <c r="B1296" s="15" t="str">
        <f t="shared" si="53"/>
        <v/>
      </c>
      <c r="C1296" s="16" t="str">
        <f>IFERROR(VLOOKUP(DATA!#REF!,DATA!#REF!,1,FALSE),"")</f>
        <v/>
      </c>
      <c r="D1296" s="16" t="str">
        <f>IFERROR(VLOOKUP(C1296,DATA!#REF!,2,FALSE),"")</f>
        <v/>
      </c>
    </row>
    <row r="1297" spans="2:4" s="237" customFormat="1">
      <c r="B1297" s="15" t="str">
        <f t="shared" si="53"/>
        <v/>
      </c>
      <c r="C1297" s="16" t="str">
        <f>IFERROR(VLOOKUP(DATA!#REF!,DATA!#REF!,1,FALSE),"")</f>
        <v/>
      </c>
      <c r="D1297" s="16" t="str">
        <f>IFERROR(VLOOKUP(C1297,DATA!#REF!,2,FALSE),"")</f>
        <v/>
      </c>
    </row>
    <row r="1298" spans="2:4" s="237" customFormat="1">
      <c r="B1298" s="15" t="str">
        <f t="shared" si="53"/>
        <v/>
      </c>
      <c r="C1298" s="16" t="str">
        <f>IFERROR(VLOOKUP(DATA!#REF!,DATA!#REF!,1,FALSE),"")</f>
        <v/>
      </c>
      <c r="D1298" s="16" t="str">
        <f>IFERROR(VLOOKUP(C1298,DATA!#REF!,2,FALSE),"")</f>
        <v/>
      </c>
    </row>
    <row r="1299" spans="2:4" s="237" customFormat="1">
      <c r="B1299" s="15" t="str">
        <f t="shared" si="53"/>
        <v/>
      </c>
      <c r="C1299" s="16" t="str">
        <f>IFERROR(VLOOKUP(DATA!#REF!,DATA!#REF!,1,FALSE),"")</f>
        <v/>
      </c>
      <c r="D1299" s="16" t="str">
        <f>IFERROR(VLOOKUP(C1299,DATA!#REF!,2,FALSE),"")</f>
        <v/>
      </c>
    </row>
    <row r="1300" spans="2:4" s="237" customFormat="1">
      <c r="B1300" s="15" t="str">
        <f t="shared" si="53"/>
        <v/>
      </c>
      <c r="C1300" s="16" t="str">
        <f>IFERROR(VLOOKUP(DATA!#REF!,DATA!#REF!,1,FALSE),"")</f>
        <v/>
      </c>
      <c r="D1300" s="16" t="str">
        <f>IFERROR(VLOOKUP(C1300,DATA!#REF!,2,FALSE),"")</f>
        <v/>
      </c>
    </row>
    <row r="1301" spans="2:4" s="237" customFormat="1">
      <c r="B1301" s="15" t="str">
        <f t="shared" si="53"/>
        <v/>
      </c>
      <c r="C1301" s="16" t="str">
        <f>IFERROR(VLOOKUP(DATA!#REF!,DATA!#REF!,1,FALSE),"")</f>
        <v/>
      </c>
      <c r="D1301" s="16" t="str">
        <f>IFERROR(VLOOKUP(C1301,DATA!#REF!,2,FALSE),"")</f>
        <v/>
      </c>
    </row>
    <row r="1302" spans="2:4" s="237" customFormat="1">
      <c r="B1302" s="15" t="str">
        <f t="shared" si="53"/>
        <v/>
      </c>
      <c r="C1302" s="16" t="str">
        <f>IFERROR(VLOOKUP(DATA!#REF!,DATA!#REF!,1,FALSE),"")</f>
        <v/>
      </c>
      <c r="D1302" s="16" t="str">
        <f>IFERROR(VLOOKUP(C1302,DATA!#REF!,2,FALSE),"")</f>
        <v/>
      </c>
    </row>
    <row r="1303" spans="2:4" s="237" customFormat="1">
      <c r="B1303" s="15" t="str">
        <f t="shared" si="53"/>
        <v/>
      </c>
      <c r="C1303" s="16" t="str">
        <f>IFERROR(VLOOKUP(DATA!#REF!,DATA!#REF!,1,FALSE),"")</f>
        <v/>
      </c>
      <c r="D1303" s="16" t="str">
        <f>IFERROR(VLOOKUP(C1303,DATA!#REF!,2,FALSE),"")</f>
        <v/>
      </c>
    </row>
    <row r="1304" spans="2:4" s="237" customFormat="1">
      <c r="B1304" s="15" t="str">
        <f t="shared" si="53"/>
        <v/>
      </c>
      <c r="C1304" s="16" t="str">
        <f>IFERROR(VLOOKUP(DATA!#REF!,DATA!#REF!,1,FALSE),"")</f>
        <v/>
      </c>
      <c r="D1304" s="16" t="str">
        <f>IFERROR(VLOOKUP(C1304,DATA!#REF!,2,FALSE),"")</f>
        <v/>
      </c>
    </row>
    <row r="1305" spans="2:4" s="237" customFormat="1">
      <c r="B1305" s="15" t="str">
        <f t="shared" si="53"/>
        <v/>
      </c>
      <c r="C1305" s="16" t="str">
        <f>IFERROR(VLOOKUP(DATA!#REF!,DATA!#REF!,1,FALSE),"")</f>
        <v/>
      </c>
      <c r="D1305" s="16" t="str">
        <f>IFERROR(VLOOKUP(C1305,DATA!#REF!,2,FALSE),"")</f>
        <v/>
      </c>
    </row>
    <row r="1306" spans="2:4" s="237" customFormat="1">
      <c r="B1306" s="15" t="str">
        <f t="shared" si="53"/>
        <v/>
      </c>
      <c r="C1306" s="16" t="str">
        <f>IFERROR(VLOOKUP(DATA!#REF!,DATA!#REF!,1,FALSE),"")</f>
        <v/>
      </c>
      <c r="D1306" s="16" t="str">
        <f>IFERROR(VLOOKUP(C1306,DATA!#REF!,2,FALSE),"")</f>
        <v/>
      </c>
    </row>
    <row r="1307" spans="2:4" s="237" customFormat="1">
      <c r="B1307" s="15" t="str">
        <f t="shared" si="53"/>
        <v/>
      </c>
      <c r="C1307" s="16" t="str">
        <f>IFERROR(VLOOKUP(DATA!#REF!,DATA!#REF!,1,FALSE),"")</f>
        <v/>
      </c>
      <c r="D1307" s="16" t="str">
        <f>IFERROR(VLOOKUP(C1307,DATA!#REF!,2,FALSE),"")</f>
        <v/>
      </c>
    </row>
    <row r="1308" spans="2:4" s="237" customFormat="1">
      <c r="B1308" s="15" t="str">
        <f t="shared" si="53"/>
        <v/>
      </c>
      <c r="C1308" s="16" t="str">
        <f>IFERROR(VLOOKUP(DATA!#REF!,DATA!#REF!,1,FALSE),"")</f>
        <v/>
      </c>
      <c r="D1308" s="16" t="str">
        <f>IFERROR(VLOOKUP(C1308,DATA!#REF!,2,FALSE),"")</f>
        <v/>
      </c>
    </row>
    <row r="1309" spans="2:4" s="237" customFormat="1">
      <c r="B1309" s="15" t="str">
        <f t="shared" si="53"/>
        <v/>
      </c>
      <c r="C1309" s="16" t="str">
        <f>IFERROR(VLOOKUP(DATA!#REF!,DATA!#REF!,1,FALSE),"")</f>
        <v/>
      </c>
      <c r="D1309" s="16" t="str">
        <f>IFERROR(VLOOKUP(C1309,DATA!#REF!,2,FALSE),"")</f>
        <v/>
      </c>
    </row>
    <row r="1310" spans="2:4" s="237" customFormat="1">
      <c r="B1310" s="15" t="str">
        <f t="shared" si="53"/>
        <v/>
      </c>
      <c r="C1310" s="16" t="str">
        <f>IFERROR(VLOOKUP(DATA!#REF!,DATA!#REF!,1,FALSE),"")</f>
        <v/>
      </c>
      <c r="D1310" s="16" t="str">
        <f>IFERROR(VLOOKUP(C1310,DATA!#REF!,2,FALSE),"")</f>
        <v/>
      </c>
    </row>
    <row r="1311" spans="2:4" s="237" customFormat="1">
      <c r="B1311" s="15" t="str">
        <f t="shared" si="53"/>
        <v/>
      </c>
      <c r="C1311" s="16" t="str">
        <f>IFERROR(VLOOKUP(DATA!#REF!,DATA!#REF!,1,FALSE),"")</f>
        <v/>
      </c>
      <c r="D1311" s="16" t="str">
        <f>IFERROR(VLOOKUP(C1311,DATA!#REF!,2,FALSE),"")</f>
        <v/>
      </c>
    </row>
    <row r="1312" spans="2:4" s="237" customFormat="1">
      <c r="B1312" s="15" t="str">
        <f t="shared" si="53"/>
        <v/>
      </c>
      <c r="C1312" s="16" t="str">
        <f>IFERROR(VLOOKUP(DATA!#REF!,DATA!#REF!,1,FALSE),"")</f>
        <v/>
      </c>
      <c r="D1312" s="16" t="str">
        <f>IFERROR(VLOOKUP(C1312,DATA!#REF!,2,FALSE),"")</f>
        <v/>
      </c>
    </row>
    <row r="1313" spans="2:4" s="237" customFormat="1">
      <c r="B1313" s="15" t="str">
        <f t="shared" si="53"/>
        <v/>
      </c>
      <c r="C1313" s="16" t="str">
        <f>IFERROR(VLOOKUP(DATA!#REF!,DATA!#REF!,1,FALSE),"")</f>
        <v/>
      </c>
      <c r="D1313" s="16" t="str">
        <f>IFERROR(VLOOKUP(C1313,DATA!#REF!,2,FALSE),"")</f>
        <v/>
      </c>
    </row>
    <row r="1314" spans="2:4" s="237" customFormat="1">
      <c r="B1314" s="15" t="str">
        <f t="shared" si="53"/>
        <v/>
      </c>
      <c r="C1314" s="16" t="str">
        <f>IFERROR(VLOOKUP(DATA!#REF!,DATA!#REF!,1,FALSE),"")</f>
        <v/>
      </c>
      <c r="D1314" s="16" t="str">
        <f>IFERROR(VLOOKUP(C1314,DATA!#REF!,2,FALSE),"")</f>
        <v/>
      </c>
    </row>
    <row r="1315" spans="2:4" s="237" customFormat="1">
      <c r="B1315" s="15" t="str">
        <f t="shared" si="53"/>
        <v/>
      </c>
      <c r="C1315" s="16" t="str">
        <f>IFERROR(VLOOKUP(DATA!#REF!,DATA!#REF!,1,FALSE),"")</f>
        <v/>
      </c>
      <c r="D1315" s="16" t="str">
        <f>IFERROR(VLOOKUP(C1315,DATA!#REF!,2,FALSE),"")</f>
        <v/>
      </c>
    </row>
    <row r="1316" spans="2:4" s="237" customFormat="1">
      <c r="B1316" s="15" t="str">
        <f t="shared" si="53"/>
        <v/>
      </c>
      <c r="C1316" s="16" t="str">
        <f>IFERROR(VLOOKUP(DATA!#REF!,DATA!#REF!,1,FALSE),"")</f>
        <v/>
      </c>
      <c r="D1316" s="16" t="str">
        <f>IFERROR(VLOOKUP(C1316,DATA!#REF!,2,FALSE),"")</f>
        <v/>
      </c>
    </row>
    <row r="1317" spans="2:4" s="237" customFormat="1">
      <c r="B1317" s="15" t="str">
        <f t="shared" si="53"/>
        <v/>
      </c>
      <c r="C1317" s="16" t="str">
        <f>IFERROR(VLOOKUP(DATA!#REF!,DATA!#REF!,1,FALSE),"")</f>
        <v/>
      </c>
      <c r="D1317" s="16" t="str">
        <f>IFERROR(VLOOKUP(C1317,DATA!#REF!,2,FALSE),"")</f>
        <v/>
      </c>
    </row>
    <row r="1318" spans="2:4" s="237" customFormat="1">
      <c r="B1318" s="15" t="str">
        <f t="shared" si="53"/>
        <v/>
      </c>
      <c r="C1318" s="16" t="str">
        <f>IFERROR(VLOOKUP(DATA!#REF!,DATA!#REF!,1,FALSE),"")</f>
        <v/>
      </c>
      <c r="D1318" s="16" t="str">
        <f>IFERROR(VLOOKUP(C1318,DATA!#REF!,2,FALSE),"")</f>
        <v/>
      </c>
    </row>
    <row r="1319" spans="2:4" s="237" customFormat="1">
      <c r="B1319" s="15" t="str">
        <f t="shared" si="53"/>
        <v/>
      </c>
      <c r="C1319" s="16" t="str">
        <f>IFERROR(VLOOKUP(DATA!#REF!,DATA!#REF!,1,FALSE),"")</f>
        <v/>
      </c>
      <c r="D1319" s="16" t="str">
        <f>IFERROR(VLOOKUP(C1319,DATA!#REF!,2,FALSE),"")</f>
        <v/>
      </c>
    </row>
    <row r="1320" spans="2:4" s="237" customFormat="1">
      <c r="B1320" s="15" t="str">
        <f t="shared" si="53"/>
        <v/>
      </c>
      <c r="C1320" s="16" t="str">
        <f>IFERROR(VLOOKUP(DATA!#REF!,DATA!#REF!,1,FALSE),"")</f>
        <v/>
      </c>
      <c r="D1320" s="16" t="str">
        <f>IFERROR(VLOOKUP(C1320,DATA!#REF!,2,FALSE),"")</f>
        <v/>
      </c>
    </row>
    <row r="1321" spans="2:4" s="237" customFormat="1">
      <c r="B1321" s="15" t="str">
        <f t="shared" si="53"/>
        <v/>
      </c>
      <c r="C1321" s="16" t="str">
        <f>IFERROR(VLOOKUP(DATA!#REF!,DATA!#REF!,1,FALSE),"")</f>
        <v/>
      </c>
      <c r="D1321" s="16" t="str">
        <f>IFERROR(VLOOKUP(C1321,DATA!#REF!,2,FALSE),"")</f>
        <v/>
      </c>
    </row>
    <row r="1322" spans="2:4" s="237" customFormat="1">
      <c r="B1322" s="15" t="str">
        <f t="shared" si="53"/>
        <v/>
      </c>
      <c r="C1322" s="16" t="str">
        <f>IFERROR(VLOOKUP(DATA!#REF!,DATA!#REF!,1,FALSE),"")</f>
        <v/>
      </c>
      <c r="D1322" s="16" t="str">
        <f>IFERROR(VLOOKUP(C1322,DATA!#REF!,2,FALSE),"")</f>
        <v/>
      </c>
    </row>
    <row r="1323" spans="2:4" s="237" customFormat="1">
      <c r="B1323" s="15" t="str">
        <f t="shared" si="53"/>
        <v/>
      </c>
      <c r="C1323" s="16" t="str">
        <f>IFERROR(VLOOKUP(DATA!#REF!,DATA!#REF!,1,FALSE),"")</f>
        <v/>
      </c>
      <c r="D1323" s="16" t="str">
        <f>IFERROR(VLOOKUP(C1323,DATA!#REF!,2,FALSE),"")</f>
        <v/>
      </c>
    </row>
    <row r="1324" spans="2:4" s="237" customFormat="1">
      <c r="B1324" s="15" t="str">
        <f t="shared" si="53"/>
        <v/>
      </c>
      <c r="C1324" s="16" t="str">
        <f>IFERROR(VLOOKUP(DATA!#REF!,DATA!#REF!,1,FALSE),"")</f>
        <v/>
      </c>
      <c r="D1324" s="16" t="str">
        <f>IFERROR(VLOOKUP(C1324,DATA!#REF!,2,FALSE),"")</f>
        <v/>
      </c>
    </row>
    <row r="1325" spans="2:4" s="237" customFormat="1">
      <c r="B1325" s="15" t="str">
        <f t="shared" si="53"/>
        <v/>
      </c>
      <c r="C1325" s="16" t="str">
        <f>IFERROR(VLOOKUP(DATA!#REF!,DATA!#REF!,1,FALSE),"")</f>
        <v/>
      </c>
      <c r="D1325" s="16" t="str">
        <f>IFERROR(VLOOKUP(C1325,DATA!#REF!,2,FALSE),"")</f>
        <v/>
      </c>
    </row>
    <row r="1326" spans="2:4" s="237" customFormat="1">
      <c r="B1326" s="15" t="str">
        <f t="shared" si="53"/>
        <v/>
      </c>
      <c r="C1326" s="16" t="str">
        <f>IFERROR(VLOOKUP(DATA!#REF!,DATA!#REF!,1,FALSE),"")</f>
        <v/>
      </c>
      <c r="D1326" s="16" t="str">
        <f>IFERROR(VLOOKUP(C1326,DATA!#REF!,2,FALSE),"")</f>
        <v/>
      </c>
    </row>
    <row r="1327" spans="2:4" s="237" customFormat="1">
      <c r="B1327" s="15" t="str">
        <f t="shared" si="53"/>
        <v/>
      </c>
      <c r="C1327" s="16" t="str">
        <f>IFERROR(VLOOKUP(DATA!#REF!,DATA!#REF!,1,FALSE),"")</f>
        <v/>
      </c>
      <c r="D1327" s="16" t="str">
        <f>IFERROR(VLOOKUP(C1327,DATA!#REF!,2,FALSE),"")</f>
        <v/>
      </c>
    </row>
    <row r="1328" spans="2:4" s="237" customFormat="1">
      <c r="B1328" s="15" t="str">
        <f t="shared" si="53"/>
        <v/>
      </c>
      <c r="C1328" s="16" t="str">
        <f>IFERROR(VLOOKUP(DATA!#REF!,DATA!#REF!,1,FALSE),"")</f>
        <v/>
      </c>
      <c r="D1328" s="16" t="str">
        <f>IFERROR(VLOOKUP(C1328,DATA!#REF!,2,FALSE),"")</f>
        <v/>
      </c>
    </row>
    <row r="1329" spans="2:4" s="237" customFormat="1">
      <c r="B1329" s="15" t="str">
        <f t="shared" si="53"/>
        <v/>
      </c>
      <c r="C1329" s="16" t="str">
        <f>IFERROR(VLOOKUP(DATA!#REF!,DATA!#REF!,1,FALSE),"")</f>
        <v/>
      </c>
      <c r="D1329" s="16" t="str">
        <f>IFERROR(VLOOKUP(C1329,DATA!#REF!,2,FALSE),"")</f>
        <v/>
      </c>
    </row>
    <row r="1330" spans="2:4" s="237" customFormat="1">
      <c r="B1330" s="15" t="str">
        <f t="shared" si="53"/>
        <v/>
      </c>
      <c r="C1330" s="16" t="str">
        <f>IFERROR(VLOOKUP(DATA!#REF!,DATA!#REF!,1,FALSE),"")</f>
        <v/>
      </c>
      <c r="D1330" s="16" t="str">
        <f>IFERROR(VLOOKUP(C1330,DATA!#REF!,2,FALSE),"")</f>
        <v/>
      </c>
    </row>
    <row r="1331" spans="2:4" s="237" customFormat="1">
      <c r="B1331" s="15" t="str">
        <f t="shared" si="53"/>
        <v/>
      </c>
      <c r="C1331" s="16" t="str">
        <f>IFERROR(VLOOKUP(DATA!#REF!,DATA!#REF!,1,FALSE),"")</f>
        <v/>
      </c>
      <c r="D1331" s="16" t="str">
        <f>IFERROR(VLOOKUP(C1331,DATA!#REF!,2,FALSE),"")</f>
        <v/>
      </c>
    </row>
    <row r="1332" spans="2:4" s="237" customFormat="1">
      <c r="B1332" s="15" t="str">
        <f t="shared" si="53"/>
        <v/>
      </c>
      <c r="C1332" s="16" t="str">
        <f>IFERROR(VLOOKUP(DATA!#REF!,DATA!#REF!,1,FALSE),"")</f>
        <v/>
      </c>
      <c r="D1332" s="16" t="str">
        <f>IFERROR(VLOOKUP(C1332,DATA!#REF!,2,FALSE),"")</f>
        <v/>
      </c>
    </row>
    <row r="1333" spans="2:4" s="237" customFormat="1">
      <c r="B1333" s="15" t="str">
        <f t="shared" si="53"/>
        <v/>
      </c>
      <c r="C1333" s="16" t="str">
        <f>IFERROR(VLOOKUP(DATA!#REF!,DATA!#REF!,1,FALSE),"")</f>
        <v/>
      </c>
      <c r="D1333" s="16" t="str">
        <f>IFERROR(VLOOKUP(C1333,DATA!#REF!,2,FALSE),"")</f>
        <v/>
      </c>
    </row>
    <row r="1334" spans="2:4" s="237" customFormat="1">
      <c r="B1334" s="15" t="str">
        <f t="shared" si="53"/>
        <v/>
      </c>
      <c r="C1334" s="16" t="str">
        <f>IFERROR(VLOOKUP(DATA!#REF!,DATA!#REF!,1,FALSE),"")</f>
        <v/>
      </c>
      <c r="D1334" s="16" t="str">
        <f>IFERROR(VLOOKUP(C1334,DATA!#REF!,2,FALSE),"")</f>
        <v/>
      </c>
    </row>
    <row r="1335" spans="2:4" s="237" customFormat="1">
      <c r="B1335" s="15" t="str">
        <f t="shared" si="53"/>
        <v/>
      </c>
      <c r="C1335" s="16" t="str">
        <f>IFERROR(VLOOKUP(DATA!#REF!,DATA!#REF!,1,FALSE),"")</f>
        <v/>
      </c>
      <c r="D1335" s="16" t="str">
        <f>IFERROR(VLOOKUP(C1335,DATA!#REF!,2,FALSE),"")</f>
        <v/>
      </c>
    </row>
    <row r="1336" spans="2:4" s="237" customFormat="1">
      <c r="B1336" s="15" t="str">
        <f t="shared" si="53"/>
        <v/>
      </c>
      <c r="C1336" s="16" t="str">
        <f>IFERROR(VLOOKUP(DATA!#REF!,DATA!#REF!,1,FALSE),"")</f>
        <v/>
      </c>
      <c r="D1336" s="16" t="str">
        <f>IFERROR(VLOOKUP(C1336,DATA!#REF!,2,FALSE),"")</f>
        <v/>
      </c>
    </row>
    <row r="1337" spans="2:4" s="237" customFormat="1">
      <c r="B1337" s="15" t="str">
        <f t="shared" si="53"/>
        <v/>
      </c>
      <c r="C1337" s="16" t="str">
        <f>IFERROR(VLOOKUP(DATA!#REF!,DATA!#REF!,1,FALSE),"")</f>
        <v/>
      </c>
      <c r="D1337" s="16" t="str">
        <f>IFERROR(VLOOKUP(C1337,DATA!#REF!,2,FALSE),"")</f>
        <v/>
      </c>
    </row>
    <row r="1338" spans="2:4" s="237" customFormat="1">
      <c r="B1338" s="15" t="str">
        <f t="shared" si="53"/>
        <v/>
      </c>
      <c r="C1338" s="16" t="str">
        <f>IFERROR(VLOOKUP(DATA!#REF!,DATA!#REF!,1,FALSE),"")</f>
        <v/>
      </c>
      <c r="D1338" s="16" t="str">
        <f>IFERROR(VLOOKUP(C1338,DATA!#REF!,2,FALSE),"")</f>
        <v/>
      </c>
    </row>
    <row r="1339" spans="2:4" s="237" customFormat="1">
      <c r="B1339" s="15" t="str">
        <f t="shared" si="53"/>
        <v/>
      </c>
      <c r="C1339" s="16" t="str">
        <f>IFERROR(VLOOKUP(DATA!#REF!,DATA!#REF!,1,FALSE),"")</f>
        <v/>
      </c>
      <c r="D1339" s="16" t="str">
        <f>IFERROR(VLOOKUP(C1339,DATA!#REF!,2,FALSE),"")</f>
        <v/>
      </c>
    </row>
    <row r="1340" spans="2:4" s="237" customFormat="1">
      <c r="B1340" s="15" t="str">
        <f t="shared" si="53"/>
        <v/>
      </c>
      <c r="C1340" s="16" t="str">
        <f>IFERROR(VLOOKUP(DATA!#REF!,DATA!#REF!,1,FALSE),"")</f>
        <v/>
      </c>
      <c r="D1340" s="16" t="str">
        <f>IFERROR(VLOOKUP(C1340,DATA!#REF!,2,FALSE),"")</f>
        <v/>
      </c>
    </row>
    <row r="1341" spans="2:4" s="237" customFormat="1">
      <c r="B1341" s="15" t="str">
        <f t="shared" si="53"/>
        <v/>
      </c>
      <c r="C1341" s="16" t="str">
        <f>IFERROR(VLOOKUP(DATA!#REF!,DATA!#REF!,1,FALSE),"")</f>
        <v/>
      </c>
      <c r="D1341" s="16" t="str">
        <f>IFERROR(VLOOKUP(C1341,DATA!#REF!,2,FALSE),"")</f>
        <v/>
      </c>
    </row>
    <row r="1342" spans="2:4" s="237" customFormat="1">
      <c r="B1342" s="15" t="str">
        <f t="shared" si="53"/>
        <v/>
      </c>
      <c r="C1342" s="16" t="str">
        <f>IFERROR(VLOOKUP(DATA!#REF!,DATA!#REF!,1,FALSE),"")</f>
        <v/>
      </c>
      <c r="D1342" s="16" t="str">
        <f>IFERROR(VLOOKUP(C1342,DATA!#REF!,2,FALSE),"")</f>
        <v/>
      </c>
    </row>
    <row r="1343" spans="2:4" s="237" customFormat="1">
      <c r="B1343" s="15" t="str">
        <f t="shared" si="53"/>
        <v/>
      </c>
      <c r="C1343" s="16" t="str">
        <f>IFERROR(VLOOKUP(DATA!#REF!,DATA!#REF!,1,FALSE),"")</f>
        <v/>
      </c>
      <c r="D1343" s="16" t="str">
        <f>IFERROR(VLOOKUP(C1343,DATA!#REF!,2,FALSE),"")</f>
        <v/>
      </c>
    </row>
    <row r="1344" spans="2:4" s="237" customFormat="1">
      <c r="B1344" s="15" t="str">
        <f t="shared" si="53"/>
        <v/>
      </c>
      <c r="C1344" s="16" t="str">
        <f>IFERROR(VLOOKUP(DATA!#REF!,DATA!#REF!,1,FALSE),"")</f>
        <v/>
      </c>
      <c r="D1344" s="16" t="str">
        <f>IFERROR(VLOOKUP(C1344,DATA!#REF!,2,FALSE),"")</f>
        <v/>
      </c>
    </row>
    <row r="1345" spans="2:4" s="237" customFormat="1">
      <c r="B1345" s="15" t="str">
        <f t="shared" si="53"/>
        <v/>
      </c>
      <c r="C1345" s="16" t="str">
        <f>IFERROR(VLOOKUP(DATA!#REF!,DATA!#REF!,1,FALSE),"")</f>
        <v/>
      </c>
      <c r="D1345" s="16" t="str">
        <f>IFERROR(VLOOKUP(C1345,DATA!#REF!,2,FALSE),"")</f>
        <v/>
      </c>
    </row>
    <row r="1346" spans="2:4" s="237" customFormat="1">
      <c r="B1346" s="15" t="str">
        <f t="shared" si="53"/>
        <v/>
      </c>
      <c r="C1346" s="16" t="str">
        <f>IFERROR(VLOOKUP(DATA!#REF!,DATA!#REF!,1,FALSE),"")</f>
        <v/>
      </c>
      <c r="D1346" s="16" t="str">
        <f>IFERROR(VLOOKUP(C1346,DATA!#REF!,2,FALSE),"")</f>
        <v/>
      </c>
    </row>
    <row r="1347" spans="2:4" s="237" customFormat="1">
      <c r="B1347" s="15" t="str">
        <f t="shared" si="53"/>
        <v/>
      </c>
      <c r="C1347" s="16" t="str">
        <f>IFERROR(VLOOKUP(DATA!#REF!,DATA!#REF!,1,FALSE),"")</f>
        <v/>
      </c>
      <c r="D1347" s="16" t="str">
        <f>IFERROR(VLOOKUP(C1347,DATA!#REF!,2,FALSE),"")</f>
        <v/>
      </c>
    </row>
    <row r="1348" spans="2:4" s="237" customFormat="1">
      <c r="B1348" s="15" t="str">
        <f t="shared" si="53"/>
        <v/>
      </c>
      <c r="C1348" s="16" t="str">
        <f>IFERROR(VLOOKUP(DATA!#REF!,DATA!#REF!,1,FALSE),"")</f>
        <v/>
      </c>
      <c r="D1348" s="16" t="str">
        <f>IFERROR(VLOOKUP(C1348,DATA!#REF!,2,FALSE),"")</f>
        <v/>
      </c>
    </row>
    <row r="1349" spans="2:4" s="237" customFormat="1">
      <c r="B1349" s="15" t="str">
        <f t="shared" si="53"/>
        <v/>
      </c>
      <c r="C1349" s="16" t="str">
        <f>IFERROR(VLOOKUP(DATA!#REF!,DATA!#REF!,1,FALSE),"")</f>
        <v/>
      </c>
      <c r="D1349" s="16" t="str">
        <f>IFERROR(VLOOKUP(C1349,DATA!#REF!,2,FALSE),"")</f>
        <v/>
      </c>
    </row>
    <row r="1350" spans="2:4" s="237" customFormat="1">
      <c r="B1350" s="15" t="str">
        <f t="shared" ref="B1350:B1413" si="54">+IF(C1350="","",ROW()-5)</f>
        <v/>
      </c>
      <c r="C1350" s="16" t="str">
        <f>IFERROR(VLOOKUP(DATA!#REF!,DATA!#REF!,1,FALSE),"")</f>
        <v/>
      </c>
      <c r="D1350" s="16" t="str">
        <f>IFERROR(VLOOKUP(C1350,DATA!#REF!,2,FALSE),"")</f>
        <v/>
      </c>
    </row>
    <row r="1351" spans="2:4" s="237" customFormat="1">
      <c r="B1351" s="15" t="str">
        <f t="shared" si="54"/>
        <v/>
      </c>
      <c r="C1351" s="16" t="str">
        <f>IFERROR(VLOOKUP(DATA!#REF!,DATA!#REF!,1,FALSE),"")</f>
        <v/>
      </c>
      <c r="D1351" s="16" t="str">
        <f>IFERROR(VLOOKUP(C1351,DATA!#REF!,2,FALSE),"")</f>
        <v/>
      </c>
    </row>
    <row r="1352" spans="2:4" s="237" customFormat="1">
      <c r="B1352" s="15" t="str">
        <f t="shared" si="54"/>
        <v/>
      </c>
      <c r="C1352" s="16" t="str">
        <f>IFERROR(VLOOKUP(DATA!#REF!,DATA!#REF!,1,FALSE),"")</f>
        <v/>
      </c>
      <c r="D1352" s="16" t="str">
        <f>IFERROR(VLOOKUP(C1352,DATA!#REF!,2,FALSE),"")</f>
        <v/>
      </c>
    </row>
    <row r="1353" spans="2:4" s="237" customFormat="1">
      <c r="B1353" s="15" t="str">
        <f t="shared" si="54"/>
        <v/>
      </c>
      <c r="C1353" s="16" t="str">
        <f>IFERROR(VLOOKUP(DATA!#REF!,DATA!#REF!,1,FALSE),"")</f>
        <v/>
      </c>
      <c r="D1353" s="16" t="str">
        <f>IFERROR(VLOOKUP(C1353,DATA!#REF!,2,FALSE),"")</f>
        <v/>
      </c>
    </row>
    <row r="1354" spans="2:4" s="237" customFormat="1">
      <c r="B1354" s="15" t="str">
        <f t="shared" si="54"/>
        <v/>
      </c>
      <c r="C1354" s="16" t="str">
        <f>IFERROR(VLOOKUP(DATA!#REF!,DATA!#REF!,1,FALSE),"")</f>
        <v/>
      </c>
      <c r="D1354" s="16" t="str">
        <f>IFERROR(VLOOKUP(C1354,DATA!#REF!,2,FALSE),"")</f>
        <v/>
      </c>
    </row>
    <row r="1355" spans="2:4" s="237" customFormat="1">
      <c r="B1355" s="15" t="str">
        <f t="shared" si="54"/>
        <v/>
      </c>
      <c r="C1355" s="16" t="str">
        <f>IFERROR(VLOOKUP(DATA!#REF!,DATA!#REF!,1,FALSE),"")</f>
        <v/>
      </c>
      <c r="D1355" s="16" t="str">
        <f>IFERROR(VLOOKUP(C1355,DATA!#REF!,2,FALSE),"")</f>
        <v/>
      </c>
    </row>
    <row r="1356" spans="2:4" s="237" customFormat="1">
      <c r="B1356" s="15" t="str">
        <f t="shared" si="54"/>
        <v/>
      </c>
      <c r="C1356" s="16" t="str">
        <f>IFERROR(VLOOKUP(DATA!#REF!,DATA!#REF!,1,FALSE),"")</f>
        <v/>
      </c>
      <c r="D1356" s="16" t="str">
        <f>IFERROR(VLOOKUP(C1356,DATA!#REF!,2,FALSE),"")</f>
        <v/>
      </c>
    </row>
    <row r="1357" spans="2:4" s="237" customFormat="1">
      <c r="B1357" s="15" t="str">
        <f t="shared" si="54"/>
        <v/>
      </c>
      <c r="C1357" s="16" t="str">
        <f>IFERROR(VLOOKUP(DATA!#REF!,DATA!#REF!,1,FALSE),"")</f>
        <v/>
      </c>
      <c r="D1357" s="16" t="str">
        <f>IFERROR(VLOOKUP(C1357,DATA!#REF!,2,FALSE),"")</f>
        <v/>
      </c>
    </row>
    <row r="1358" spans="2:4" s="237" customFormat="1">
      <c r="B1358" s="15" t="str">
        <f t="shared" si="54"/>
        <v/>
      </c>
      <c r="C1358" s="16" t="str">
        <f>IFERROR(VLOOKUP(DATA!#REF!,DATA!#REF!,1,FALSE),"")</f>
        <v/>
      </c>
      <c r="D1358" s="16" t="str">
        <f>IFERROR(VLOOKUP(C1358,DATA!#REF!,2,FALSE),"")</f>
        <v/>
      </c>
    </row>
    <row r="1359" spans="2:4" s="237" customFormat="1">
      <c r="B1359" s="15" t="str">
        <f t="shared" si="54"/>
        <v/>
      </c>
      <c r="C1359" s="16" t="str">
        <f>IFERROR(VLOOKUP(DATA!#REF!,DATA!#REF!,1,FALSE),"")</f>
        <v/>
      </c>
      <c r="D1359" s="16" t="str">
        <f>IFERROR(VLOOKUP(C1359,DATA!#REF!,2,FALSE),"")</f>
        <v/>
      </c>
    </row>
    <row r="1360" spans="2:4" s="237" customFormat="1">
      <c r="B1360" s="15" t="str">
        <f t="shared" si="54"/>
        <v/>
      </c>
      <c r="C1360" s="16" t="str">
        <f>IFERROR(VLOOKUP(DATA!#REF!,DATA!#REF!,1,FALSE),"")</f>
        <v/>
      </c>
      <c r="D1360" s="16" t="str">
        <f>IFERROR(VLOOKUP(C1360,DATA!#REF!,2,FALSE),"")</f>
        <v/>
      </c>
    </row>
    <row r="1361" spans="2:4" s="237" customFormat="1">
      <c r="B1361" s="15" t="str">
        <f t="shared" si="54"/>
        <v/>
      </c>
      <c r="C1361" s="16" t="str">
        <f>IFERROR(VLOOKUP(DATA!#REF!,DATA!#REF!,1,FALSE),"")</f>
        <v/>
      </c>
      <c r="D1361" s="16" t="str">
        <f>IFERROR(VLOOKUP(C1361,DATA!#REF!,2,FALSE),"")</f>
        <v/>
      </c>
    </row>
    <row r="1362" spans="2:4" s="237" customFormat="1">
      <c r="B1362" s="15" t="str">
        <f t="shared" si="54"/>
        <v/>
      </c>
      <c r="C1362" s="16" t="str">
        <f>IFERROR(VLOOKUP(DATA!#REF!,DATA!#REF!,1,FALSE),"")</f>
        <v/>
      </c>
      <c r="D1362" s="16" t="str">
        <f>IFERROR(VLOOKUP(C1362,DATA!#REF!,2,FALSE),"")</f>
        <v/>
      </c>
    </row>
    <row r="1363" spans="2:4" s="237" customFormat="1">
      <c r="B1363" s="15" t="str">
        <f t="shared" si="54"/>
        <v/>
      </c>
      <c r="C1363" s="16" t="str">
        <f>IFERROR(VLOOKUP(DATA!#REF!,DATA!#REF!,1,FALSE),"")</f>
        <v/>
      </c>
      <c r="D1363" s="16" t="str">
        <f>IFERROR(VLOOKUP(C1363,DATA!#REF!,2,FALSE),"")</f>
        <v/>
      </c>
    </row>
    <row r="1364" spans="2:4" s="237" customFormat="1">
      <c r="B1364" s="15" t="str">
        <f t="shared" si="54"/>
        <v/>
      </c>
      <c r="C1364" s="16" t="str">
        <f>IFERROR(VLOOKUP(DATA!#REF!,DATA!#REF!,1,FALSE),"")</f>
        <v/>
      </c>
      <c r="D1364" s="16" t="str">
        <f>IFERROR(VLOOKUP(C1364,DATA!#REF!,2,FALSE),"")</f>
        <v/>
      </c>
    </row>
    <row r="1365" spans="2:4" s="237" customFormat="1">
      <c r="B1365" s="15" t="str">
        <f t="shared" si="54"/>
        <v/>
      </c>
      <c r="C1365" s="16" t="str">
        <f>IFERROR(VLOOKUP(DATA!#REF!,DATA!#REF!,1,FALSE),"")</f>
        <v/>
      </c>
      <c r="D1365" s="16" t="str">
        <f>IFERROR(VLOOKUP(C1365,DATA!#REF!,2,FALSE),"")</f>
        <v/>
      </c>
    </row>
    <row r="1366" spans="2:4" s="237" customFormat="1">
      <c r="B1366" s="15" t="str">
        <f t="shared" si="54"/>
        <v/>
      </c>
      <c r="C1366" s="16" t="str">
        <f>IFERROR(VLOOKUP(DATA!#REF!,DATA!#REF!,1,FALSE),"")</f>
        <v/>
      </c>
      <c r="D1366" s="16" t="str">
        <f>IFERROR(VLOOKUP(C1366,DATA!#REF!,2,FALSE),"")</f>
        <v/>
      </c>
    </row>
    <row r="1367" spans="2:4" s="237" customFormat="1">
      <c r="B1367" s="15" t="str">
        <f t="shared" si="54"/>
        <v/>
      </c>
      <c r="C1367" s="16" t="str">
        <f>IFERROR(VLOOKUP(DATA!#REF!,DATA!#REF!,1,FALSE),"")</f>
        <v/>
      </c>
      <c r="D1367" s="16" t="str">
        <f>IFERROR(VLOOKUP(C1367,DATA!#REF!,2,FALSE),"")</f>
        <v/>
      </c>
    </row>
    <row r="1368" spans="2:4" s="237" customFormat="1">
      <c r="B1368" s="15" t="str">
        <f t="shared" si="54"/>
        <v/>
      </c>
      <c r="C1368" s="16" t="str">
        <f>IFERROR(VLOOKUP(DATA!#REF!,DATA!#REF!,1,FALSE),"")</f>
        <v/>
      </c>
      <c r="D1368" s="16" t="str">
        <f>IFERROR(VLOOKUP(C1368,DATA!#REF!,2,FALSE),"")</f>
        <v/>
      </c>
    </row>
    <row r="1369" spans="2:4" s="237" customFormat="1">
      <c r="B1369" s="15" t="str">
        <f t="shared" si="54"/>
        <v/>
      </c>
      <c r="C1369" s="16" t="str">
        <f>IFERROR(VLOOKUP(DATA!#REF!,DATA!#REF!,1,FALSE),"")</f>
        <v/>
      </c>
      <c r="D1369" s="16" t="str">
        <f>IFERROR(VLOOKUP(C1369,DATA!#REF!,2,FALSE),"")</f>
        <v/>
      </c>
    </row>
    <row r="1370" spans="2:4" s="237" customFormat="1">
      <c r="B1370" s="15" t="str">
        <f t="shared" si="54"/>
        <v/>
      </c>
      <c r="C1370" s="16" t="str">
        <f>IFERROR(VLOOKUP(DATA!#REF!,DATA!#REF!,1,FALSE),"")</f>
        <v/>
      </c>
      <c r="D1370" s="16" t="str">
        <f>IFERROR(VLOOKUP(C1370,DATA!#REF!,2,FALSE),"")</f>
        <v/>
      </c>
    </row>
    <row r="1371" spans="2:4" s="237" customFormat="1">
      <c r="B1371" s="15" t="str">
        <f t="shared" si="54"/>
        <v/>
      </c>
      <c r="C1371" s="16" t="str">
        <f>IFERROR(VLOOKUP(DATA!#REF!,DATA!#REF!,1,FALSE),"")</f>
        <v/>
      </c>
      <c r="D1371" s="16" t="str">
        <f>IFERROR(VLOOKUP(C1371,DATA!#REF!,2,FALSE),"")</f>
        <v/>
      </c>
    </row>
    <row r="1372" spans="2:4" s="237" customFormat="1">
      <c r="B1372" s="15" t="str">
        <f t="shared" si="54"/>
        <v/>
      </c>
      <c r="C1372" s="16" t="str">
        <f>IFERROR(VLOOKUP(DATA!#REF!,DATA!#REF!,1,FALSE),"")</f>
        <v/>
      </c>
      <c r="D1372" s="16" t="str">
        <f>IFERROR(VLOOKUP(C1372,DATA!#REF!,2,FALSE),"")</f>
        <v/>
      </c>
    </row>
    <row r="1373" spans="2:4" s="237" customFormat="1">
      <c r="B1373" s="15" t="str">
        <f t="shared" si="54"/>
        <v/>
      </c>
      <c r="C1373" s="16" t="str">
        <f>IFERROR(VLOOKUP(DATA!#REF!,DATA!#REF!,1,FALSE),"")</f>
        <v/>
      </c>
      <c r="D1373" s="16" t="str">
        <f>IFERROR(VLOOKUP(C1373,DATA!#REF!,2,FALSE),"")</f>
        <v/>
      </c>
    </row>
    <row r="1374" spans="2:4" s="237" customFormat="1">
      <c r="B1374" s="15" t="str">
        <f t="shared" si="54"/>
        <v/>
      </c>
      <c r="C1374" s="16" t="str">
        <f>IFERROR(VLOOKUP(DATA!#REF!,DATA!#REF!,1,FALSE),"")</f>
        <v/>
      </c>
      <c r="D1374" s="16" t="str">
        <f>IFERROR(VLOOKUP(C1374,DATA!#REF!,2,FALSE),"")</f>
        <v/>
      </c>
    </row>
    <row r="1375" spans="2:4" s="237" customFormat="1">
      <c r="B1375" s="15" t="str">
        <f t="shared" si="54"/>
        <v/>
      </c>
      <c r="C1375" s="16" t="str">
        <f>IFERROR(VLOOKUP(DATA!#REF!,DATA!#REF!,1,FALSE),"")</f>
        <v/>
      </c>
      <c r="D1375" s="16" t="str">
        <f>IFERROR(VLOOKUP(C1375,DATA!#REF!,2,FALSE),"")</f>
        <v/>
      </c>
    </row>
    <row r="1376" spans="2:4" s="237" customFormat="1">
      <c r="B1376" s="15" t="str">
        <f t="shared" si="54"/>
        <v/>
      </c>
      <c r="C1376" s="16" t="str">
        <f>IFERROR(VLOOKUP(DATA!#REF!,DATA!#REF!,1,FALSE),"")</f>
        <v/>
      </c>
      <c r="D1376" s="16" t="str">
        <f>IFERROR(VLOOKUP(C1376,DATA!#REF!,2,FALSE),"")</f>
        <v/>
      </c>
    </row>
    <row r="1377" spans="2:4" s="237" customFormat="1">
      <c r="B1377" s="15" t="str">
        <f t="shared" si="54"/>
        <v/>
      </c>
      <c r="C1377" s="16" t="str">
        <f>IFERROR(VLOOKUP(DATA!#REF!,DATA!#REF!,1,FALSE),"")</f>
        <v/>
      </c>
      <c r="D1377" s="16" t="str">
        <f>IFERROR(VLOOKUP(C1377,DATA!#REF!,2,FALSE),"")</f>
        <v/>
      </c>
    </row>
    <row r="1378" spans="2:4" s="237" customFormat="1">
      <c r="B1378" s="15" t="str">
        <f t="shared" si="54"/>
        <v/>
      </c>
      <c r="C1378" s="16" t="str">
        <f>IFERROR(VLOOKUP(DATA!#REF!,DATA!#REF!,1,FALSE),"")</f>
        <v/>
      </c>
      <c r="D1378" s="16" t="str">
        <f>IFERROR(VLOOKUP(C1378,DATA!#REF!,2,FALSE),"")</f>
        <v/>
      </c>
    </row>
    <row r="1379" spans="2:4" s="237" customFormat="1">
      <c r="B1379" s="15" t="str">
        <f t="shared" si="54"/>
        <v/>
      </c>
      <c r="C1379" s="16" t="str">
        <f>IFERROR(VLOOKUP(DATA!#REF!,DATA!#REF!,1,FALSE),"")</f>
        <v/>
      </c>
      <c r="D1379" s="16" t="str">
        <f>IFERROR(VLOOKUP(C1379,DATA!#REF!,2,FALSE),"")</f>
        <v/>
      </c>
    </row>
    <row r="1380" spans="2:4" s="237" customFormat="1">
      <c r="B1380" s="15" t="str">
        <f t="shared" si="54"/>
        <v/>
      </c>
      <c r="C1380" s="16" t="str">
        <f>IFERROR(VLOOKUP(DATA!#REF!,DATA!#REF!,1,FALSE),"")</f>
        <v/>
      </c>
      <c r="D1380" s="16" t="str">
        <f>IFERROR(VLOOKUP(C1380,DATA!#REF!,2,FALSE),"")</f>
        <v/>
      </c>
    </row>
    <row r="1381" spans="2:4" s="237" customFormat="1">
      <c r="B1381" s="15" t="str">
        <f t="shared" si="54"/>
        <v/>
      </c>
      <c r="C1381" s="16" t="str">
        <f>IFERROR(VLOOKUP(DATA!#REF!,DATA!#REF!,1,FALSE),"")</f>
        <v/>
      </c>
      <c r="D1381" s="16" t="str">
        <f>IFERROR(VLOOKUP(C1381,DATA!#REF!,2,FALSE),"")</f>
        <v/>
      </c>
    </row>
    <row r="1382" spans="2:4" s="237" customFormat="1">
      <c r="B1382" s="15" t="str">
        <f t="shared" si="54"/>
        <v/>
      </c>
      <c r="C1382" s="16" t="str">
        <f>IFERROR(VLOOKUP(DATA!#REF!,DATA!#REF!,1,FALSE),"")</f>
        <v/>
      </c>
      <c r="D1382" s="16" t="str">
        <f>IFERROR(VLOOKUP(C1382,DATA!#REF!,2,FALSE),"")</f>
        <v/>
      </c>
    </row>
    <row r="1383" spans="2:4" s="237" customFormat="1">
      <c r="B1383" s="15" t="str">
        <f t="shared" si="54"/>
        <v/>
      </c>
      <c r="C1383" s="16" t="str">
        <f>IFERROR(VLOOKUP(DATA!#REF!,DATA!#REF!,1,FALSE),"")</f>
        <v/>
      </c>
      <c r="D1383" s="16" t="str">
        <f>IFERROR(VLOOKUP(C1383,DATA!#REF!,2,FALSE),"")</f>
        <v/>
      </c>
    </row>
    <row r="1384" spans="2:4" s="237" customFormat="1">
      <c r="B1384" s="15" t="str">
        <f t="shared" si="54"/>
        <v/>
      </c>
      <c r="C1384" s="16" t="str">
        <f>IFERROR(VLOOKUP(DATA!#REF!,DATA!#REF!,1,FALSE),"")</f>
        <v/>
      </c>
      <c r="D1384" s="16" t="str">
        <f>IFERROR(VLOOKUP(C1384,DATA!#REF!,2,FALSE),"")</f>
        <v/>
      </c>
    </row>
    <row r="1385" spans="2:4" s="237" customFormat="1">
      <c r="B1385" s="15" t="str">
        <f t="shared" si="54"/>
        <v/>
      </c>
      <c r="C1385" s="16" t="str">
        <f>IFERROR(VLOOKUP(DATA!#REF!,DATA!#REF!,1,FALSE),"")</f>
        <v/>
      </c>
      <c r="D1385" s="16" t="str">
        <f>IFERROR(VLOOKUP(C1385,DATA!#REF!,2,FALSE),"")</f>
        <v/>
      </c>
    </row>
    <row r="1386" spans="2:4" s="237" customFormat="1">
      <c r="B1386" s="15" t="str">
        <f t="shared" si="54"/>
        <v/>
      </c>
      <c r="C1386" s="16" t="str">
        <f>IFERROR(VLOOKUP(DATA!#REF!,DATA!#REF!,1,FALSE),"")</f>
        <v/>
      </c>
      <c r="D1386" s="16" t="str">
        <f>IFERROR(VLOOKUP(C1386,DATA!#REF!,2,FALSE),"")</f>
        <v/>
      </c>
    </row>
    <row r="1387" spans="2:4" s="237" customFormat="1">
      <c r="B1387" s="15" t="str">
        <f t="shared" si="54"/>
        <v/>
      </c>
      <c r="C1387" s="16" t="str">
        <f>IFERROR(VLOOKUP(DATA!#REF!,DATA!#REF!,1,FALSE),"")</f>
        <v/>
      </c>
      <c r="D1387" s="16" t="str">
        <f>IFERROR(VLOOKUP(C1387,DATA!#REF!,2,FALSE),"")</f>
        <v/>
      </c>
    </row>
    <row r="1388" spans="2:4" s="237" customFormat="1">
      <c r="B1388" s="15" t="str">
        <f t="shared" si="54"/>
        <v/>
      </c>
      <c r="C1388" s="16" t="str">
        <f>IFERROR(VLOOKUP(DATA!#REF!,DATA!#REF!,1,FALSE),"")</f>
        <v/>
      </c>
      <c r="D1388" s="16" t="str">
        <f>IFERROR(VLOOKUP(C1388,DATA!#REF!,2,FALSE),"")</f>
        <v/>
      </c>
    </row>
    <row r="1389" spans="2:4" s="237" customFormat="1">
      <c r="B1389" s="15" t="str">
        <f t="shared" si="54"/>
        <v/>
      </c>
      <c r="C1389" s="16" t="str">
        <f>IFERROR(VLOOKUP(DATA!#REF!,DATA!#REF!,1,FALSE),"")</f>
        <v/>
      </c>
      <c r="D1389" s="16" t="str">
        <f>IFERROR(VLOOKUP(C1389,DATA!#REF!,2,FALSE),"")</f>
        <v/>
      </c>
    </row>
    <row r="1390" spans="2:4" s="237" customFormat="1">
      <c r="B1390" s="15" t="str">
        <f t="shared" si="54"/>
        <v/>
      </c>
      <c r="C1390" s="16" t="str">
        <f>IFERROR(VLOOKUP(DATA!#REF!,DATA!#REF!,1,FALSE),"")</f>
        <v/>
      </c>
      <c r="D1390" s="16" t="str">
        <f>IFERROR(VLOOKUP(C1390,DATA!#REF!,2,FALSE),"")</f>
        <v/>
      </c>
    </row>
    <row r="1391" spans="2:4" s="237" customFormat="1">
      <c r="B1391" s="15" t="str">
        <f t="shared" si="54"/>
        <v/>
      </c>
      <c r="C1391" s="16" t="str">
        <f>IFERROR(VLOOKUP(DATA!#REF!,DATA!#REF!,1,FALSE),"")</f>
        <v/>
      </c>
      <c r="D1391" s="16" t="str">
        <f>IFERROR(VLOOKUP(C1391,DATA!#REF!,2,FALSE),"")</f>
        <v/>
      </c>
    </row>
    <row r="1392" spans="2:4" s="237" customFormat="1">
      <c r="B1392" s="15" t="str">
        <f t="shared" si="54"/>
        <v/>
      </c>
      <c r="C1392" s="16" t="str">
        <f>IFERROR(VLOOKUP(DATA!#REF!,DATA!#REF!,1,FALSE),"")</f>
        <v/>
      </c>
      <c r="D1392" s="16" t="str">
        <f>IFERROR(VLOOKUP(C1392,DATA!#REF!,2,FALSE),"")</f>
        <v/>
      </c>
    </row>
    <row r="1393" spans="2:4" s="237" customFormat="1">
      <c r="B1393" s="15" t="str">
        <f t="shared" si="54"/>
        <v/>
      </c>
      <c r="C1393" s="16" t="str">
        <f>IFERROR(VLOOKUP(DATA!#REF!,DATA!#REF!,1,FALSE),"")</f>
        <v/>
      </c>
      <c r="D1393" s="16" t="str">
        <f>IFERROR(VLOOKUP(C1393,DATA!#REF!,2,FALSE),"")</f>
        <v/>
      </c>
    </row>
    <row r="1394" spans="2:4" s="237" customFormat="1">
      <c r="B1394" s="15" t="str">
        <f t="shared" si="54"/>
        <v/>
      </c>
      <c r="C1394" s="16" t="str">
        <f>IFERROR(VLOOKUP(DATA!#REF!,DATA!#REF!,1,FALSE),"")</f>
        <v/>
      </c>
      <c r="D1394" s="16" t="str">
        <f>IFERROR(VLOOKUP(C1394,DATA!#REF!,2,FALSE),"")</f>
        <v/>
      </c>
    </row>
    <row r="1395" spans="2:4" s="237" customFormat="1">
      <c r="B1395" s="15" t="str">
        <f t="shared" si="54"/>
        <v/>
      </c>
      <c r="C1395" s="16" t="str">
        <f>IFERROR(VLOOKUP(DATA!#REF!,DATA!#REF!,1,FALSE),"")</f>
        <v/>
      </c>
      <c r="D1395" s="16" t="str">
        <f>IFERROR(VLOOKUP(C1395,DATA!#REF!,2,FALSE),"")</f>
        <v/>
      </c>
    </row>
    <row r="1396" spans="2:4" s="237" customFormat="1">
      <c r="B1396" s="15" t="str">
        <f t="shared" si="54"/>
        <v/>
      </c>
      <c r="C1396" s="16" t="str">
        <f>IFERROR(VLOOKUP(DATA!#REF!,DATA!#REF!,1,FALSE),"")</f>
        <v/>
      </c>
      <c r="D1396" s="16" t="str">
        <f>IFERROR(VLOOKUP(C1396,DATA!#REF!,2,FALSE),"")</f>
        <v/>
      </c>
    </row>
    <row r="1397" spans="2:4" s="237" customFormat="1">
      <c r="B1397" s="15" t="str">
        <f t="shared" si="54"/>
        <v/>
      </c>
      <c r="C1397" s="16" t="str">
        <f>IFERROR(VLOOKUP(DATA!#REF!,DATA!#REF!,1,FALSE),"")</f>
        <v/>
      </c>
      <c r="D1397" s="16" t="str">
        <f>IFERROR(VLOOKUP(C1397,DATA!#REF!,2,FALSE),"")</f>
        <v/>
      </c>
    </row>
    <row r="1398" spans="2:4" s="237" customFormat="1">
      <c r="B1398" s="15" t="str">
        <f t="shared" si="54"/>
        <v/>
      </c>
      <c r="C1398" s="16" t="str">
        <f>IFERROR(VLOOKUP(DATA!#REF!,DATA!#REF!,1,FALSE),"")</f>
        <v/>
      </c>
      <c r="D1398" s="16" t="str">
        <f>IFERROR(VLOOKUP(C1398,DATA!#REF!,2,FALSE),"")</f>
        <v/>
      </c>
    </row>
    <row r="1399" spans="2:4" s="237" customFormat="1">
      <c r="B1399" s="15" t="str">
        <f t="shared" si="54"/>
        <v/>
      </c>
      <c r="C1399" s="16" t="str">
        <f>IFERROR(VLOOKUP(DATA!#REF!,DATA!#REF!,1,FALSE),"")</f>
        <v/>
      </c>
      <c r="D1399" s="16" t="str">
        <f>IFERROR(VLOOKUP(C1399,DATA!#REF!,2,FALSE),"")</f>
        <v/>
      </c>
    </row>
    <row r="1400" spans="2:4" s="237" customFormat="1">
      <c r="B1400" s="15" t="str">
        <f t="shared" si="54"/>
        <v/>
      </c>
      <c r="C1400" s="16" t="str">
        <f>IFERROR(VLOOKUP(DATA!#REF!,DATA!#REF!,1,FALSE),"")</f>
        <v/>
      </c>
      <c r="D1400" s="16" t="str">
        <f>IFERROR(VLOOKUP(C1400,DATA!#REF!,2,FALSE),"")</f>
        <v/>
      </c>
    </row>
    <row r="1401" spans="2:4" s="237" customFormat="1">
      <c r="B1401" s="15" t="str">
        <f t="shared" si="54"/>
        <v/>
      </c>
      <c r="C1401" s="16" t="str">
        <f>IFERROR(VLOOKUP(DATA!#REF!,DATA!#REF!,1,FALSE),"")</f>
        <v/>
      </c>
      <c r="D1401" s="16" t="str">
        <f>IFERROR(VLOOKUP(C1401,DATA!#REF!,2,FALSE),"")</f>
        <v/>
      </c>
    </row>
    <row r="1402" spans="2:4" s="237" customFormat="1">
      <c r="B1402" s="15" t="str">
        <f t="shared" si="54"/>
        <v/>
      </c>
      <c r="C1402" s="16" t="str">
        <f>IFERROR(VLOOKUP(DATA!#REF!,DATA!#REF!,1,FALSE),"")</f>
        <v/>
      </c>
      <c r="D1402" s="16" t="str">
        <f>IFERROR(VLOOKUP(C1402,DATA!#REF!,2,FALSE),"")</f>
        <v/>
      </c>
    </row>
    <row r="1403" spans="2:4" s="237" customFormat="1">
      <c r="B1403" s="15" t="str">
        <f t="shared" si="54"/>
        <v/>
      </c>
      <c r="C1403" s="16" t="str">
        <f>IFERROR(VLOOKUP(DATA!#REF!,DATA!#REF!,1,FALSE),"")</f>
        <v/>
      </c>
      <c r="D1403" s="16" t="str">
        <f>IFERROR(VLOOKUP(C1403,DATA!#REF!,2,FALSE),"")</f>
        <v/>
      </c>
    </row>
    <row r="1404" spans="2:4" s="237" customFormat="1">
      <c r="B1404" s="15" t="str">
        <f t="shared" si="54"/>
        <v/>
      </c>
      <c r="C1404" s="16" t="str">
        <f>IFERROR(VLOOKUP(DATA!#REF!,DATA!#REF!,1,FALSE),"")</f>
        <v/>
      </c>
      <c r="D1404" s="16" t="str">
        <f>IFERROR(VLOOKUP(C1404,DATA!#REF!,2,FALSE),"")</f>
        <v/>
      </c>
    </row>
    <row r="1405" spans="2:4" s="237" customFormat="1">
      <c r="B1405" s="15" t="str">
        <f t="shared" si="54"/>
        <v/>
      </c>
      <c r="C1405" s="16" t="str">
        <f>IFERROR(VLOOKUP(DATA!#REF!,DATA!#REF!,1,FALSE),"")</f>
        <v/>
      </c>
      <c r="D1405" s="16" t="str">
        <f>IFERROR(VLOOKUP(C1405,DATA!#REF!,2,FALSE),"")</f>
        <v/>
      </c>
    </row>
    <row r="1406" spans="2:4" s="237" customFormat="1">
      <c r="B1406" s="15" t="str">
        <f t="shared" si="54"/>
        <v/>
      </c>
      <c r="C1406" s="16" t="str">
        <f>IFERROR(VLOOKUP(DATA!#REF!,DATA!#REF!,1,FALSE),"")</f>
        <v/>
      </c>
      <c r="D1406" s="16" t="str">
        <f>IFERROR(VLOOKUP(C1406,DATA!#REF!,2,FALSE),"")</f>
        <v/>
      </c>
    </row>
    <row r="1407" spans="2:4" s="237" customFormat="1">
      <c r="B1407" s="15" t="str">
        <f t="shared" si="54"/>
        <v/>
      </c>
      <c r="C1407" s="16" t="str">
        <f>IFERROR(VLOOKUP(DATA!#REF!,DATA!#REF!,1,FALSE),"")</f>
        <v/>
      </c>
      <c r="D1407" s="16" t="str">
        <f>IFERROR(VLOOKUP(C1407,DATA!#REF!,2,FALSE),"")</f>
        <v/>
      </c>
    </row>
    <row r="1408" spans="2:4" s="237" customFormat="1">
      <c r="B1408" s="15" t="str">
        <f t="shared" si="54"/>
        <v/>
      </c>
      <c r="C1408" s="16" t="str">
        <f>IFERROR(VLOOKUP(DATA!#REF!,DATA!#REF!,1,FALSE),"")</f>
        <v/>
      </c>
      <c r="D1408" s="16" t="str">
        <f>IFERROR(VLOOKUP(C1408,DATA!#REF!,2,FALSE),"")</f>
        <v/>
      </c>
    </row>
    <row r="1409" spans="2:4" s="237" customFormat="1">
      <c r="B1409" s="15" t="str">
        <f t="shared" si="54"/>
        <v/>
      </c>
      <c r="C1409" s="16" t="str">
        <f>IFERROR(VLOOKUP(DATA!#REF!,DATA!#REF!,1,FALSE),"")</f>
        <v/>
      </c>
      <c r="D1409" s="16" t="str">
        <f>IFERROR(VLOOKUP(C1409,DATA!#REF!,2,FALSE),"")</f>
        <v/>
      </c>
    </row>
    <row r="1410" spans="2:4" s="237" customFormat="1">
      <c r="B1410" s="15" t="str">
        <f t="shared" si="54"/>
        <v/>
      </c>
      <c r="C1410" s="16" t="str">
        <f>IFERROR(VLOOKUP(DATA!#REF!,DATA!#REF!,1,FALSE),"")</f>
        <v/>
      </c>
      <c r="D1410" s="16" t="str">
        <f>IFERROR(VLOOKUP(C1410,DATA!#REF!,2,FALSE),"")</f>
        <v/>
      </c>
    </row>
    <row r="1411" spans="2:4" s="237" customFormat="1">
      <c r="B1411" s="15" t="str">
        <f t="shared" si="54"/>
        <v/>
      </c>
      <c r="C1411" s="16" t="str">
        <f>IFERROR(VLOOKUP(DATA!#REF!,DATA!#REF!,1,FALSE),"")</f>
        <v/>
      </c>
      <c r="D1411" s="16" t="str">
        <f>IFERROR(VLOOKUP(C1411,DATA!#REF!,2,FALSE),"")</f>
        <v/>
      </c>
    </row>
    <row r="1412" spans="2:4" s="237" customFormat="1">
      <c r="B1412" s="15" t="str">
        <f t="shared" si="54"/>
        <v/>
      </c>
      <c r="C1412" s="16" t="str">
        <f>IFERROR(VLOOKUP(DATA!#REF!,DATA!#REF!,1,FALSE),"")</f>
        <v/>
      </c>
      <c r="D1412" s="16" t="str">
        <f>IFERROR(VLOOKUP(C1412,DATA!#REF!,2,FALSE),"")</f>
        <v/>
      </c>
    </row>
    <row r="1413" spans="2:4" s="237" customFormat="1">
      <c r="B1413" s="15" t="str">
        <f t="shared" si="54"/>
        <v/>
      </c>
      <c r="C1413" s="16" t="str">
        <f>IFERROR(VLOOKUP(DATA!#REF!,DATA!#REF!,1,FALSE),"")</f>
        <v/>
      </c>
      <c r="D1413" s="16" t="str">
        <f>IFERROR(VLOOKUP(C1413,DATA!#REF!,2,FALSE),"")</f>
        <v/>
      </c>
    </row>
    <row r="1414" spans="2:4" s="237" customFormat="1">
      <c r="B1414" s="15" t="str">
        <f t="shared" ref="B1414:B1477" si="55">+IF(C1414="","",ROW()-5)</f>
        <v/>
      </c>
      <c r="C1414" s="16" t="str">
        <f>IFERROR(VLOOKUP(DATA!#REF!,DATA!#REF!,1,FALSE),"")</f>
        <v/>
      </c>
      <c r="D1414" s="16" t="str">
        <f>IFERROR(VLOOKUP(C1414,DATA!#REF!,2,FALSE),"")</f>
        <v/>
      </c>
    </row>
    <row r="1415" spans="2:4" s="237" customFormat="1">
      <c r="B1415" s="15" t="str">
        <f t="shared" si="55"/>
        <v/>
      </c>
      <c r="C1415" s="16" t="str">
        <f>IFERROR(VLOOKUP(DATA!#REF!,DATA!#REF!,1,FALSE),"")</f>
        <v/>
      </c>
      <c r="D1415" s="16" t="str">
        <f>IFERROR(VLOOKUP(C1415,DATA!#REF!,2,FALSE),"")</f>
        <v/>
      </c>
    </row>
    <row r="1416" spans="2:4" s="237" customFormat="1">
      <c r="B1416" s="15" t="str">
        <f t="shared" si="55"/>
        <v/>
      </c>
      <c r="C1416" s="16" t="str">
        <f>IFERROR(VLOOKUP(DATA!#REF!,DATA!#REF!,1,FALSE),"")</f>
        <v/>
      </c>
      <c r="D1416" s="16" t="str">
        <f>IFERROR(VLOOKUP(C1416,DATA!#REF!,2,FALSE),"")</f>
        <v/>
      </c>
    </row>
    <row r="1417" spans="2:4" s="237" customFormat="1">
      <c r="B1417" s="15" t="str">
        <f t="shared" si="55"/>
        <v/>
      </c>
      <c r="C1417" s="16" t="str">
        <f>IFERROR(VLOOKUP(DATA!#REF!,DATA!#REF!,1,FALSE),"")</f>
        <v/>
      </c>
      <c r="D1417" s="16" t="str">
        <f>IFERROR(VLOOKUP(C1417,DATA!#REF!,2,FALSE),"")</f>
        <v/>
      </c>
    </row>
    <row r="1418" spans="2:4" s="237" customFormat="1">
      <c r="B1418" s="15" t="str">
        <f t="shared" si="55"/>
        <v/>
      </c>
      <c r="C1418" s="16" t="str">
        <f>IFERROR(VLOOKUP(DATA!#REF!,DATA!#REF!,1,FALSE),"")</f>
        <v/>
      </c>
      <c r="D1418" s="16" t="str">
        <f>IFERROR(VLOOKUP(C1418,DATA!#REF!,2,FALSE),"")</f>
        <v/>
      </c>
    </row>
    <row r="1419" spans="2:4" s="237" customFormat="1">
      <c r="B1419" s="15" t="str">
        <f t="shared" si="55"/>
        <v/>
      </c>
      <c r="C1419" s="16" t="str">
        <f>IFERROR(VLOOKUP(DATA!#REF!,DATA!#REF!,1,FALSE),"")</f>
        <v/>
      </c>
      <c r="D1419" s="16" t="str">
        <f>IFERROR(VLOOKUP(C1419,DATA!#REF!,2,FALSE),"")</f>
        <v/>
      </c>
    </row>
    <row r="1420" spans="2:4" s="237" customFormat="1">
      <c r="B1420" s="15" t="str">
        <f t="shared" si="55"/>
        <v/>
      </c>
      <c r="C1420" s="16" t="str">
        <f>IFERROR(VLOOKUP(DATA!#REF!,DATA!#REF!,1,FALSE),"")</f>
        <v/>
      </c>
      <c r="D1420" s="16" t="str">
        <f>IFERROR(VLOOKUP(C1420,DATA!#REF!,2,FALSE),"")</f>
        <v/>
      </c>
    </row>
    <row r="1421" spans="2:4" s="237" customFormat="1">
      <c r="B1421" s="15" t="str">
        <f t="shared" si="55"/>
        <v/>
      </c>
      <c r="C1421" s="16" t="str">
        <f>IFERROR(VLOOKUP(DATA!#REF!,DATA!#REF!,1,FALSE),"")</f>
        <v/>
      </c>
      <c r="D1421" s="16" t="str">
        <f>IFERROR(VLOOKUP(C1421,DATA!#REF!,2,FALSE),"")</f>
        <v/>
      </c>
    </row>
    <row r="1422" spans="2:4" s="237" customFormat="1">
      <c r="B1422" s="15" t="str">
        <f t="shared" si="55"/>
        <v/>
      </c>
      <c r="C1422" s="16" t="str">
        <f>IFERROR(VLOOKUP(DATA!#REF!,DATA!#REF!,1,FALSE),"")</f>
        <v/>
      </c>
      <c r="D1422" s="16" t="str">
        <f>IFERROR(VLOOKUP(C1422,DATA!#REF!,2,FALSE),"")</f>
        <v/>
      </c>
    </row>
    <row r="1423" spans="2:4" s="237" customFormat="1">
      <c r="B1423" s="15" t="str">
        <f t="shared" si="55"/>
        <v/>
      </c>
      <c r="C1423" s="16" t="str">
        <f>IFERROR(VLOOKUP(DATA!#REF!,DATA!#REF!,1,FALSE),"")</f>
        <v/>
      </c>
      <c r="D1423" s="16" t="str">
        <f>IFERROR(VLOOKUP(C1423,DATA!#REF!,2,FALSE),"")</f>
        <v/>
      </c>
    </row>
    <row r="1424" spans="2:4" s="237" customFormat="1">
      <c r="B1424" s="15" t="str">
        <f t="shared" si="55"/>
        <v/>
      </c>
      <c r="C1424" s="16" t="str">
        <f>IFERROR(VLOOKUP(DATA!#REF!,DATA!#REF!,1,FALSE),"")</f>
        <v/>
      </c>
      <c r="D1424" s="16" t="str">
        <f>IFERROR(VLOOKUP(C1424,DATA!#REF!,2,FALSE),"")</f>
        <v/>
      </c>
    </row>
    <row r="1425" spans="2:4" s="237" customFormat="1">
      <c r="B1425" s="15" t="str">
        <f t="shared" si="55"/>
        <v/>
      </c>
      <c r="C1425" s="16" t="str">
        <f>IFERROR(VLOOKUP(DATA!#REF!,DATA!#REF!,1,FALSE),"")</f>
        <v/>
      </c>
      <c r="D1425" s="16" t="str">
        <f>IFERROR(VLOOKUP(C1425,DATA!#REF!,2,FALSE),"")</f>
        <v/>
      </c>
    </row>
    <row r="1426" spans="2:4" s="237" customFormat="1">
      <c r="B1426" s="15" t="str">
        <f t="shared" si="55"/>
        <v/>
      </c>
      <c r="C1426" s="16" t="str">
        <f>IFERROR(VLOOKUP(DATA!#REF!,DATA!#REF!,1,FALSE),"")</f>
        <v/>
      </c>
      <c r="D1426" s="16" t="str">
        <f>IFERROR(VLOOKUP(C1426,DATA!#REF!,2,FALSE),"")</f>
        <v/>
      </c>
    </row>
    <row r="1427" spans="2:4" s="237" customFormat="1">
      <c r="B1427" s="15" t="str">
        <f t="shared" si="55"/>
        <v/>
      </c>
      <c r="C1427" s="16" t="str">
        <f>IFERROR(VLOOKUP(DATA!#REF!,DATA!#REF!,1,FALSE),"")</f>
        <v/>
      </c>
      <c r="D1427" s="16" t="str">
        <f>IFERROR(VLOOKUP(C1427,DATA!#REF!,2,FALSE),"")</f>
        <v/>
      </c>
    </row>
    <row r="1428" spans="2:4" s="237" customFormat="1">
      <c r="B1428" s="15" t="str">
        <f t="shared" si="55"/>
        <v/>
      </c>
      <c r="C1428" s="16" t="str">
        <f>IFERROR(VLOOKUP(DATA!#REF!,DATA!#REF!,1,FALSE),"")</f>
        <v/>
      </c>
      <c r="D1428" s="16" t="str">
        <f>IFERROR(VLOOKUP(C1428,DATA!#REF!,2,FALSE),"")</f>
        <v/>
      </c>
    </row>
    <row r="1429" spans="2:4" s="237" customFormat="1">
      <c r="B1429" s="15" t="str">
        <f t="shared" si="55"/>
        <v/>
      </c>
      <c r="C1429" s="16" t="str">
        <f>IFERROR(VLOOKUP(DATA!#REF!,DATA!#REF!,1,FALSE),"")</f>
        <v/>
      </c>
      <c r="D1429" s="16" t="str">
        <f>IFERROR(VLOOKUP(C1429,DATA!#REF!,2,FALSE),"")</f>
        <v/>
      </c>
    </row>
    <row r="1430" spans="2:4" s="237" customFormat="1">
      <c r="B1430" s="15" t="str">
        <f t="shared" si="55"/>
        <v/>
      </c>
      <c r="C1430" s="16" t="str">
        <f>IFERROR(VLOOKUP(DATA!#REF!,DATA!#REF!,1,FALSE),"")</f>
        <v/>
      </c>
      <c r="D1430" s="16" t="str">
        <f>IFERROR(VLOOKUP(C1430,DATA!#REF!,2,FALSE),"")</f>
        <v/>
      </c>
    </row>
    <row r="1431" spans="2:4" s="237" customFormat="1">
      <c r="B1431" s="15" t="str">
        <f t="shared" si="55"/>
        <v/>
      </c>
      <c r="C1431" s="16" t="str">
        <f>IFERROR(VLOOKUP(DATA!#REF!,DATA!#REF!,1,FALSE),"")</f>
        <v/>
      </c>
      <c r="D1431" s="16" t="str">
        <f>IFERROR(VLOOKUP(C1431,DATA!#REF!,2,FALSE),"")</f>
        <v/>
      </c>
    </row>
    <row r="1432" spans="2:4" s="237" customFormat="1">
      <c r="B1432" s="15" t="str">
        <f t="shared" si="55"/>
        <v/>
      </c>
      <c r="C1432" s="16" t="str">
        <f>IFERROR(VLOOKUP(DATA!#REF!,DATA!#REF!,1,FALSE),"")</f>
        <v/>
      </c>
      <c r="D1432" s="16" t="str">
        <f>IFERROR(VLOOKUP(C1432,DATA!#REF!,2,FALSE),"")</f>
        <v/>
      </c>
    </row>
    <row r="1433" spans="2:4" s="237" customFormat="1">
      <c r="B1433" s="15" t="str">
        <f t="shared" si="55"/>
        <v/>
      </c>
      <c r="C1433" s="16" t="str">
        <f>IFERROR(VLOOKUP(DATA!#REF!,DATA!#REF!,1,FALSE),"")</f>
        <v/>
      </c>
      <c r="D1433" s="16" t="str">
        <f>IFERROR(VLOOKUP(C1433,DATA!#REF!,2,FALSE),"")</f>
        <v/>
      </c>
    </row>
    <row r="1434" spans="2:4" s="237" customFormat="1">
      <c r="B1434" s="15" t="str">
        <f t="shared" si="55"/>
        <v/>
      </c>
      <c r="C1434" s="16" t="str">
        <f>IFERROR(VLOOKUP(DATA!#REF!,DATA!#REF!,1,FALSE),"")</f>
        <v/>
      </c>
      <c r="D1434" s="16" t="str">
        <f>IFERROR(VLOOKUP(C1434,DATA!#REF!,2,FALSE),"")</f>
        <v/>
      </c>
    </row>
    <row r="1435" spans="2:4" s="237" customFormat="1">
      <c r="B1435" s="15" t="str">
        <f t="shared" si="55"/>
        <v/>
      </c>
      <c r="C1435" s="16" t="str">
        <f>IFERROR(VLOOKUP(DATA!#REF!,DATA!#REF!,1,FALSE),"")</f>
        <v/>
      </c>
      <c r="D1435" s="16" t="str">
        <f>IFERROR(VLOOKUP(C1435,DATA!#REF!,2,FALSE),"")</f>
        <v/>
      </c>
    </row>
    <row r="1436" spans="2:4" s="237" customFormat="1">
      <c r="B1436" s="15" t="str">
        <f t="shared" si="55"/>
        <v/>
      </c>
      <c r="C1436" s="16" t="str">
        <f>IFERROR(VLOOKUP(DATA!#REF!,DATA!#REF!,1,FALSE),"")</f>
        <v/>
      </c>
      <c r="D1436" s="16" t="str">
        <f>IFERROR(VLOOKUP(C1436,DATA!#REF!,2,FALSE),"")</f>
        <v/>
      </c>
    </row>
    <row r="1437" spans="2:4" s="237" customFormat="1">
      <c r="B1437" s="15" t="str">
        <f t="shared" si="55"/>
        <v/>
      </c>
      <c r="C1437" s="16" t="str">
        <f>IFERROR(VLOOKUP(DATA!#REF!,DATA!#REF!,1,FALSE),"")</f>
        <v/>
      </c>
      <c r="D1437" s="16" t="str">
        <f>IFERROR(VLOOKUP(C1437,DATA!#REF!,2,FALSE),"")</f>
        <v/>
      </c>
    </row>
    <row r="1438" spans="2:4" s="237" customFormat="1">
      <c r="B1438" s="15" t="str">
        <f t="shared" si="55"/>
        <v/>
      </c>
      <c r="C1438" s="16" t="str">
        <f>IFERROR(VLOOKUP(DATA!#REF!,DATA!#REF!,1,FALSE),"")</f>
        <v/>
      </c>
      <c r="D1438" s="16" t="str">
        <f>IFERROR(VLOOKUP(C1438,DATA!#REF!,2,FALSE),"")</f>
        <v/>
      </c>
    </row>
    <row r="1439" spans="2:4" s="237" customFormat="1">
      <c r="B1439" s="15" t="str">
        <f t="shared" si="55"/>
        <v/>
      </c>
      <c r="C1439" s="16" t="str">
        <f>IFERROR(VLOOKUP(DATA!#REF!,DATA!#REF!,1,FALSE),"")</f>
        <v/>
      </c>
      <c r="D1439" s="16" t="str">
        <f>IFERROR(VLOOKUP(C1439,DATA!#REF!,2,FALSE),"")</f>
        <v/>
      </c>
    </row>
    <row r="1440" spans="2:4" s="237" customFormat="1">
      <c r="B1440" s="15" t="str">
        <f t="shared" si="55"/>
        <v/>
      </c>
      <c r="C1440" s="16" t="str">
        <f>IFERROR(VLOOKUP(DATA!#REF!,DATA!#REF!,1,FALSE),"")</f>
        <v/>
      </c>
      <c r="D1440" s="16" t="str">
        <f>IFERROR(VLOOKUP(C1440,DATA!#REF!,2,FALSE),"")</f>
        <v/>
      </c>
    </row>
    <row r="1441" spans="2:4" s="237" customFormat="1">
      <c r="B1441" s="15" t="str">
        <f t="shared" si="55"/>
        <v/>
      </c>
      <c r="C1441" s="16" t="str">
        <f>IFERROR(VLOOKUP(DATA!#REF!,DATA!#REF!,1,FALSE),"")</f>
        <v/>
      </c>
      <c r="D1441" s="16" t="str">
        <f>IFERROR(VLOOKUP(C1441,DATA!#REF!,2,FALSE),"")</f>
        <v/>
      </c>
    </row>
    <row r="1442" spans="2:4" s="237" customFormat="1">
      <c r="B1442" s="15" t="str">
        <f t="shared" si="55"/>
        <v/>
      </c>
      <c r="C1442" s="16" t="str">
        <f>IFERROR(VLOOKUP(DATA!#REF!,DATA!#REF!,1,FALSE),"")</f>
        <v/>
      </c>
      <c r="D1442" s="16" t="str">
        <f>IFERROR(VLOOKUP(C1442,DATA!#REF!,2,FALSE),"")</f>
        <v/>
      </c>
    </row>
    <row r="1443" spans="2:4" s="237" customFormat="1">
      <c r="B1443" s="15" t="str">
        <f t="shared" si="55"/>
        <v/>
      </c>
      <c r="C1443" s="16" t="str">
        <f>IFERROR(VLOOKUP(DATA!#REF!,DATA!#REF!,1,FALSE),"")</f>
        <v/>
      </c>
      <c r="D1443" s="16" t="str">
        <f>IFERROR(VLOOKUP(C1443,DATA!#REF!,2,FALSE),"")</f>
        <v/>
      </c>
    </row>
    <row r="1444" spans="2:4" s="237" customFormat="1">
      <c r="B1444" s="15" t="str">
        <f t="shared" si="55"/>
        <v/>
      </c>
      <c r="C1444" s="16" t="str">
        <f>IFERROR(VLOOKUP(DATA!#REF!,DATA!#REF!,1,FALSE),"")</f>
        <v/>
      </c>
      <c r="D1444" s="16" t="str">
        <f>IFERROR(VLOOKUP(C1444,DATA!#REF!,2,FALSE),"")</f>
        <v/>
      </c>
    </row>
    <row r="1445" spans="2:4" s="237" customFormat="1">
      <c r="B1445" s="15" t="str">
        <f t="shared" si="55"/>
        <v/>
      </c>
      <c r="C1445" s="16" t="str">
        <f>IFERROR(VLOOKUP(DATA!#REF!,DATA!#REF!,1,FALSE),"")</f>
        <v/>
      </c>
      <c r="D1445" s="16" t="str">
        <f>IFERROR(VLOOKUP(C1445,DATA!#REF!,2,FALSE),"")</f>
        <v/>
      </c>
    </row>
    <row r="1446" spans="2:4" s="237" customFormat="1">
      <c r="B1446" s="15" t="str">
        <f t="shared" si="55"/>
        <v/>
      </c>
      <c r="C1446" s="16" t="str">
        <f>IFERROR(VLOOKUP(DATA!#REF!,DATA!#REF!,1,FALSE),"")</f>
        <v/>
      </c>
      <c r="D1446" s="16" t="str">
        <f>IFERROR(VLOOKUP(C1446,DATA!#REF!,2,FALSE),"")</f>
        <v/>
      </c>
    </row>
    <row r="1447" spans="2:4" s="237" customFormat="1">
      <c r="B1447" s="15" t="str">
        <f t="shared" si="55"/>
        <v/>
      </c>
      <c r="C1447" s="16" t="str">
        <f>IFERROR(VLOOKUP(DATA!#REF!,DATA!#REF!,1,FALSE),"")</f>
        <v/>
      </c>
      <c r="D1447" s="16" t="str">
        <f>IFERROR(VLOOKUP(C1447,DATA!#REF!,2,FALSE),"")</f>
        <v/>
      </c>
    </row>
    <row r="1448" spans="2:4" s="237" customFormat="1">
      <c r="B1448" s="15" t="str">
        <f t="shared" si="55"/>
        <v/>
      </c>
      <c r="C1448" s="16" t="str">
        <f>IFERROR(VLOOKUP(DATA!#REF!,DATA!#REF!,1,FALSE),"")</f>
        <v/>
      </c>
      <c r="D1448" s="16" t="str">
        <f>IFERROR(VLOOKUP(C1448,DATA!#REF!,2,FALSE),"")</f>
        <v/>
      </c>
    </row>
    <row r="1449" spans="2:4" s="237" customFormat="1">
      <c r="B1449" s="15" t="str">
        <f t="shared" si="55"/>
        <v/>
      </c>
      <c r="C1449" s="16" t="str">
        <f>IFERROR(VLOOKUP(DATA!#REF!,DATA!#REF!,1,FALSE),"")</f>
        <v/>
      </c>
      <c r="D1449" s="16" t="str">
        <f>IFERROR(VLOOKUP(C1449,DATA!#REF!,2,FALSE),"")</f>
        <v/>
      </c>
    </row>
    <row r="1450" spans="2:4" s="237" customFormat="1">
      <c r="B1450" s="15" t="str">
        <f t="shared" si="55"/>
        <v/>
      </c>
      <c r="C1450" s="16" t="str">
        <f>IFERROR(VLOOKUP(DATA!#REF!,DATA!#REF!,1,FALSE),"")</f>
        <v/>
      </c>
      <c r="D1450" s="16" t="str">
        <f>IFERROR(VLOOKUP(C1450,DATA!#REF!,2,FALSE),"")</f>
        <v/>
      </c>
    </row>
    <row r="1451" spans="2:4" s="237" customFormat="1">
      <c r="B1451" s="15" t="str">
        <f t="shared" si="55"/>
        <v/>
      </c>
      <c r="C1451" s="16" t="str">
        <f>IFERROR(VLOOKUP(DATA!#REF!,DATA!#REF!,1,FALSE),"")</f>
        <v/>
      </c>
      <c r="D1451" s="16" t="str">
        <f>IFERROR(VLOOKUP(C1451,DATA!#REF!,2,FALSE),"")</f>
        <v/>
      </c>
    </row>
    <row r="1452" spans="2:4" s="237" customFormat="1">
      <c r="B1452" s="15" t="str">
        <f t="shared" si="55"/>
        <v/>
      </c>
      <c r="C1452" s="16" t="str">
        <f>IFERROR(VLOOKUP(DATA!#REF!,DATA!#REF!,1,FALSE),"")</f>
        <v/>
      </c>
      <c r="D1452" s="16" t="str">
        <f>IFERROR(VLOOKUP(C1452,DATA!#REF!,2,FALSE),"")</f>
        <v/>
      </c>
    </row>
    <row r="1453" spans="2:4" s="237" customFormat="1">
      <c r="B1453" s="15" t="str">
        <f t="shared" si="55"/>
        <v/>
      </c>
      <c r="C1453" s="16" t="str">
        <f>IFERROR(VLOOKUP(DATA!#REF!,DATA!#REF!,1,FALSE),"")</f>
        <v/>
      </c>
      <c r="D1453" s="16" t="str">
        <f>IFERROR(VLOOKUP(C1453,DATA!#REF!,2,FALSE),"")</f>
        <v/>
      </c>
    </row>
    <row r="1454" spans="2:4" s="237" customFormat="1">
      <c r="B1454" s="15" t="str">
        <f t="shared" si="55"/>
        <v/>
      </c>
      <c r="C1454" s="16" t="str">
        <f>IFERROR(VLOOKUP(DATA!#REF!,DATA!#REF!,1,FALSE),"")</f>
        <v/>
      </c>
      <c r="D1454" s="16" t="str">
        <f>IFERROR(VLOOKUP(C1454,DATA!#REF!,2,FALSE),"")</f>
        <v/>
      </c>
    </row>
    <row r="1455" spans="2:4" s="237" customFormat="1">
      <c r="B1455" s="15" t="str">
        <f t="shared" si="55"/>
        <v/>
      </c>
      <c r="C1455" s="16" t="str">
        <f>IFERROR(VLOOKUP(DATA!#REF!,DATA!#REF!,1,FALSE),"")</f>
        <v/>
      </c>
      <c r="D1455" s="16" t="str">
        <f>IFERROR(VLOOKUP(C1455,DATA!#REF!,2,FALSE),"")</f>
        <v/>
      </c>
    </row>
    <row r="1456" spans="2:4" s="237" customFormat="1">
      <c r="B1456" s="15" t="str">
        <f t="shared" si="55"/>
        <v/>
      </c>
      <c r="C1456" s="16" t="str">
        <f>IFERROR(VLOOKUP(DATA!#REF!,DATA!#REF!,1,FALSE),"")</f>
        <v/>
      </c>
      <c r="D1456" s="16" t="str">
        <f>IFERROR(VLOOKUP(C1456,DATA!#REF!,2,FALSE),"")</f>
        <v/>
      </c>
    </row>
    <row r="1457" spans="2:4" s="237" customFormat="1">
      <c r="B1457" s="15" t="str">
        <f t="shared" si="55"/>
        <v/>
      </c>
      <c r="C1457" s="16" t="str">
        <f>IFERROR(VLOOKUP(DATA!#REF!,DATA!#REF!,1,FALSE),"")</f>
        <v/>
      </c>
      <c r="D1457" s="16" t="str">
        <f>IFERROR(VLOOKUP(C1457,DATA!#REF!,2,FALSE),"")</f>
        <v/>
      </c>
    </row>
    <row r="1458" spans="2:4" s="237" customFormat="1">
      <c r="B1458" s="15" t="str">
        <f t="shared" si="55"/>
        <v/>
      </c>
      <c r="C1458" s="16" t="str">
        <f>IFERROR(VLOOKUP(DATA!#REF!,DATA!#REF!,1,FALSE),"")</f>
        <v/>
      </c>
      <c r="D1458" s="16" t="str">
        <f>IFERROR(VLOOKUP(C1458,DATA!#REF!,2,FALSE),"")</f>
        <v/>
      </c>
    </row>
    <row r="1459" spans="2:4" s="237" customFormat="1">
      <c r="B1459" s="15" t="str">
        <f t="shared" si="55"/>
        <v/>
      </c>
      <c r="C1459" s="16" t="str">
        <f>IFERROR(VLOOKUP(DATA!#REF!,DATA!#REF!,1,FALSE),"")</f>
        <v/>
      </c>
      <c r="D1459" s="16" t="str">
        <f>IFERROR(VLOOKUP(C1459,DATA!#REF!,2,FALSE),"")</f>
        <v/>
      </c>
    </row>
    <row r="1460" spans="2:4" s="237" customFormat="1">
      <c r="B1460" s="15" t="str">
        <f t="shared" si="55"/>
        <v/>
      </c>
      <c r="C1460" s="16" t="str">
        <f>IFERROR(VLOOKUP(DATA!#REF!,DATA!#REF!,1,FALSE),"")</f>
        <v/>
      </c>
      <c r="D1460" s="16" t="str">
        <f>IFERROR(VLOOKUP(C1460,DATA!#REF!,2,FALSE),"")</f>
        <v/>
      </c>
    </row>
    <row r="1461" spans="2:4" s="237" customFormat="1">
      <c r="B1461" s="15" t="str">
        <f t="shared" si="55"/>
        <v/>
      </c>
      <c r="C1461" s="16" t="str">
        <f>IFERROR(VLOOKUP(DATA!#REF!,DATA!#REF!,1,FALSE),"")</f>
        <v/>
      </c>
      <c r="D1461" s="16" t="str">
        <f>IFERROR(VLOOKUP(C1461,DATA!#REF!,2,FALSE),"")</f>
        <v/>
      </c>
    </row>
    <row r="1462" spans="2:4" s="237" customFormat="1">
      <c r="B1462" s="15" t="str">
        <f t="shared" si="55"/>
        <v/>
      </c>
      <c r="C1462" s="16" t="str">
        <f>IFERROR(VLOOKUP(DATA!#REF!,DATA!#REF!,1,FALSE),"")</f>
        <v/>
      </c>
      <c r="D1462" s="16" t="str">
        <f>IFERROR(VLOOKUP(C1462,DATA!#REF!,2,FALSE),"")</f>
        <v/>
      </c>
    </row>
    <row r="1463" spans="2:4" s="237" customFormat="1">
      <c r="B1463" s="15" t="str">
        <f t="shared" si="55"/>
        <v/>
      </c>
      <c r="C1463" s="16" t="str">
        <f>IFERROR(VLOOKUP(DATA!#REF!,DATA!#REF!,1,FALSE),"")</f>
        <v/>
      </c>
      <c r="D1463" s="16" t="str">
        <f>IFERROR(VLOOKUP(C1463,DATA!#REF!,2,FALSE),"")</f>
        <v/>
      </c>
    </row>
    <row r="1464" spans="2:4" s="237" customFormat="1">
      <c r="B1464" s="15" t="str">
        <f t="shared" si="55"/>
        <v/>
      </c>
      <c r="C1464" s="16" t="str">
        <f>IFERROR(VLOOKUP(DATA!#REF!,DATA!#REF!,1,FALSE),"")</f>
        <v/>
      </c>
      <c r="D1464" s="16" t="str">
        <f>IFERROR(VLOOKUP(C1464,DATA!#REF!,2,FALSE),"")</f>
        <v/>
      </c>
    </row>
    <row r="1465" spans="2:4" s="237" customFormat="1">
      <c r="B1465" s="15" t="str">
        <f t="shared" si="55"/>
        <v/>
      </c>
      <c r="C1465" s="16" t="str">
        <f>IFERROR(VLOOKUP(DATA!#REF!,DATA!#REF!,1,FALSE),"")</f>
        <v/>
      </c>
      <c r="D1465" s="16" t="str">
        <f>IFERROR(VLOOKUP(C1465,DATA!#REF!,2,FALSE),"")</f>
        <v/>
      </c>
    </row>
    <row r="1466" spans="2:4" s="237" customFormat="1">
      <c r="B1466" s="15" t="str">
        <f t="shared" si="55"/>
        <v/>
      </c>
      <c r="C1466" s="16" t="str">
        <f>IFERROR(VLOOKUP(DATA!#REF!,DATA!#REF!,1,FALSE),"")</f>
        <v/>
      </c>
      <c r="D1466" s="16" t="str">
        <f>IFERROR(VLOOKUP(C1466,DATA!#REF!,2,FALSE),"")</f>
        <v/>
      </c>
    </row>
    <row r="1467" spans="2:4" s="237" customFormat="1">
      <c r="B1467" s="15" t="str">
        <f t="shared" si="55"/>
        <v/>
      </c>
      <c r="C1467" s="16" t="str">
        <f>IFERROR(VLOOKUP(DATA!#REF!,DATA!#REF!,1,FALSE),"")</f>
        <v/>
      </c>
      <c r="D1467" s="16" t="str">
        <f>IFERROR(VLOOKUP(C1467,DATA!#REF!,2,FALSE),"")</f>
        <v/>
      </c>
    </row>
    <row r="1468" spans="2:4" s="237" customFormat="1">
      <c r="B1468" s="15" t="str">
        <f t="shared" si="55"/>
        <v/>
      </c>
      <c r="C1468" s="16" t="str">
        <f>IFERROR(VLOOKUP(DATA!#REF!,DATA!#REF!,1,FALSE),"")</f>
        <v/>
      </c>
      <c r="D1468" s="16" t="str">
        <f>IFERROR(VLOOKUP(C1468,DATA!#REF!,2,FALSE),"")</f>
        <v/>
      </c>
    </row>
    <row r="1469" spans="2:4" s="237" customFormat="1">
      <c r="B1469" s="15" t="str">
        <f t="shared" si="55"/>
        <v/>
      </c>
      <c r="C1469" s="16" t="str">
        <f>IFERROR(VLOOKUP(DATA!#REF!,DATA!#REF!,1,FALSE),"")</f>
        <v/>
      </c>
      <c r="D1469" s="16" t="str">
        <f>IFERROR(VLOOKUP(C1469,DATA!#REF!,2,FALSE),"")</f>
        <v/>
      </c>
    </row>
    <row r="1470" spans="2:4" s="237" customFormat="1">
      <c r="B1470" s="15" t="str">
        <f t="shared" si="55"/>
        <v/>
      </c>
      <c r="C1470" s="16" t="str">
        <f>IFERROR(VLOOKUP(DATA!#REF!,DATA!#REF!,1,FALSE),"")</f>
        <v/>
      </c>
      <c r="D1470" s="16" t="str">
        <f>IFERROR(VLOOKUP(C1470,DATA!#REF!,2,FALSE),"")</f>
        <v/>
      </c>
    </row>
    <row r="1471" spans="2:4" s="237" customFormat="1">
      <c r="B1471" s="15" t="str">
        <f t="shared" si="55"/>
        <v/>
      </c>
      <c r="C1471" s="16" t="str">
        <f>IFERROR(VLOOKUP(DATA!#REF!,DATA!#REF!,1,FALSE),"")</f>
        <v/>
      </c>
      <c r="D1471" s="16" t="str">
        <f>IFERROR(VLOOKUP(C1471,DATA!#REF!,2,FALSE),"")</f>
        <v/>
      </c>
    </row>
    <row r="1472" spans="2:4" s="237" customFormat="1">
      <c r="B1472" s="15" t="str">
        <f t="shared" si="55"/>
        <v/>
      </c>
      <c r="C1472" s="16" t="str">
        <f>IFERROR(VLOOKUP(DATA!#REF!,DATA!#REF!,1,FALSE),"")</f>
        <v/>
      </c>
      <c r="D1472" s="16" t="str">
        <f>IFERROR(VLOOKUP(C1472,DATA!#REF!,2,FALSE),"")</f>
        <v/>
      </c>
    </row>
    <row r="1473" spans="2:4" s="237" customFormat="1">
      <c r="B1473" s="15" t="str">
        <f t="shared" si="55"/>
        <v/>
      </c>
      <c r="C1473" s="16" t="str">
        <f>IFERROR(VLOOKUP(DATA!#REF!,DATA!#REF!,1,FALSE),"")</f>
        <v/>
      </c>
      <c r="D1473" s="16" t="str">
        <f>IFERROR(VLOOKUP(C1473,DATA!#REF!,2,FALSE),"")</f>
        <v/>
      </c>
    </row>
    <row r="1474" spans="2:4" s="237" customFormat="1">
      <c r="B1474" s="15" t="str">
        <f t="shared" si="55"/>
        <v/>
      </c>
      <c r="C1474" s="16" t="str">
        <f>IFERROR(VLOOKUP(DATA!#REF!,DATA!#REF!,1,FALSE),"")</f>
        <v/>
      </c>
      <c r="D1474" s="16" t="str">
        <f>IFERROR(VLOOKUP(C1474,DATA!#REF!,2,FALSE),"")</f>
        <v/>
      </c>
    </row>
    <row r="1475" spans="2:4" s="237" customFormat="1">
      <c r="B1475" s="15" t="str">
        <f t="shared" si="55"/>
        <v/>
      </c>
      <c r="C1475" s="16" t="str">
        <f>IFERROR(VLOOKUP(DATA!#REF!,DATA!#REF!,1,FALSE),"")</f>
        <v/>
      </c>
      <c r="D1475" s="16" t="str">
        <f>IFERROR(VLOOKUP(C1475,DATA!#REF!,2,FALSE),"")</f>
        <v/>
      </c>
    </row>
    <row r="1476" spans="2:4" s="237" customFormat="1">
      <c r="B1476" s="15" t="str">
        <f t="shared" si="55"/>
        <v/>
      </c>
      <c r="C1476" s="16" t="str">
        <f>IFERROR(VLOOKUP(DATA!#REF!,DATA!#REF!,1,FALSE),"")</f>
        <v/>
      </c>
      <c r="D1476" s="16" t="str">
        <f>IFERROR(VLOOKUP(C1476,DATA!#REF!,2,FALSE),"")</f>
        <v/>
      </c>
    </row>
    <row r="1477" spans="2:4" s="237" customFormat="1">
      <c r="B1477" s="15" t="str">
        <f t="shared" si="55"/>
        <v/>
      </c>
      <c r="C1477" s="16" t="str">
        <f>IFERROR(VLOOKUP(DATA!#REF!,DATA!#REF!,1,FALSE),"")</f>
        <v/>
      </c>
      <c r="D1477" s="16" t="str">
        <f>IFERROR(VLOOKUP(C1477,DATA!#REF!,2,FALSE),"")</f>
        <v/>
      </c>
    </row>
    <row r="1478" spans="2:4" s="237" customFormat="1">
      <c r="B1478" s="15" t="str">
        <f t="shared" ref="B1478:B1541" si="56">+IF(C1478="","",ROW()-5)</f>
        <v/>
      </c>
      <c r="C1478" s="16" t="str">
        <f>IFERROR(VLOOKUP(DATA!#REF!,DATA!#REF!,1,FALSE),"")</f>
        <v/>
      </c>
      <c r="D1478" s="16" t="str">
        <f>IFERROR(VLOOKUP(C1478,DATA!#REF!,2,FALSE),"")</f>
        <v/>
      </c>
    </row>
    <row r="1479" spans="2:4" s="237" customFormat="1">
      <c r="B1479" s="15" t="str">
        <f t="shared" si="56"/>
        <v/>
      </c>
      <c r="C1479" s="16" t="str">
        <f>IFERROR(VLOOKUP(DATA!#REF!,DATA!#REF!,1,FALSE),"")</f>
        <v/>
      </c>
      <c r="D1479" s="16" t="str">
        <f>IFERROR(VLOOKUP(C1479,DATA!#REF!,2,FALSE),"")</f>
        <v/>
      </c>
    </row>
    <row r="1480" spans="2:4" s="237" customFormat="1">
      <c r="B1480" s="15" t="str">
        <f t="shared" si="56"/>
        <v/>
      </c>
      <c r="C1480" s="16" t="str">
        <f>IFERROR(VLOOKUP(DATA!#REF!,DATA!#REF!,1,FALSE),"")</f>
        <v/>
      </c>
      <c r="D1480" s="16" t="str">
        <f>IFERROR(VLOOKUP(C1480,DATA!#REF!,2,FALSE),"")</f>
        <v/>
      </c>
    </row>
    <row r="1481" spans="2:4" s="237" customFormat="1">
      <c r="B1481" s="15" t="str">
        <f t="shared" si="56"/>
        <v/>
      </c>
      <c r="C1481" s="16" t="str">
        <f>IFERROR(VLOOKUP(DATA!#REF!,DATA!#REF!,1,FALSE),"")</f>
        <v/>
      </c>
      <c r="D1481" s="16" t="str">
        <f>IFERROR(VLOOKUP(C1481,DATA!#REF!,2,FALSE),"")</f>
        <v/>
      </c>
    </row>
    <row r="1482" spans="2:4" s="237" customFormat="1">
      <c r="B1482" s="15" t="str">
        <f t="shared" si="56"/>
        <v/>
      </c>
      <c r="C1482" s="16" t="str">
        <f>IFERROR(VLOOKUP(DATA!#REF!,DATA!#REF!,1,FALSE),"")</f>
        <v/>
      </c>
      <c r="D1482" s="16" t="str">
        <f>IFERROR(VLOOKUP(C1482,DATA!#REF!,2,FALSE),"")</f>
        <v/>
      </c>
    </row>
    <row r="1483" spans="2:4" s="237" customFormat="1">
      <c r="B1483" s="15" t="str">
        <f t="shared" si="56"/>
        <v/>
      </c>
      <c r="C1483" s="16" t="str">
        <f>IFERROR(VLOOKUP(DATA!#REF!,DATA!#REF!,1,FALSE),"")</f>
        <v/>
      </c>
      <c r="D1483" s="16" t="str">
        <f>IFERROR(VLOOKUP(C1483,DATA!#REF!,2,FALSE),"")</f>
        <v/>
      </c>
    </row>
    <row r="1484" spans="2:4" s="237" customFormat="1">
      <c r="B1484" s="15" t="str">
        <f t="shared" si="56"/>
        <v/>
      </c>
      <c r="C1484" s="16" t="str">
        <f>IFERROR(VLOOKUP(DATA!#REF!,DATA!#REF!,1,FALSE),"")</f>
        <v/>
      </c>
      <c r="D1484" s="16" t="str">
        <f>IFERROR(VLOOKUP(C1484,DATA!#REF!,2,FALSE),"")</f>
        <v/>
      </c>
    </row>
    <row r="1485" spans="2:4" s="237" customFormat="1">
      <c r="B1485" s="15" t="str">
        <f t="shared" si="56"/>
        <v/>
      </c>
      <c r="C1485" s="16" t="str">
        <f>IFERROR(VLOOKUP(DATA!#REF!,DATA!#REF!,1,FALSE),"")</f>
        <v/>
      </c>
      <c r="D1485" s="16" t="str">
        <f>IFERROR(VLOOKUP(C1485,DATA!#REF!,2,FALSE),"")</f>
        <v/>
      </c>
    </row>
    <row r="1486" spans="2:4" s="237" customFormat="1">
      <c r="B1486" s="15" t="str">
        <f t="shared" si="56"/>
        <v/>
      </c>
      <c r="C1486" s="16" t="str">
        <f>IFERROR(VLOOKUP(DATA!#REF!,DATA!#REF!,1,FALSE),"")</f>
        <v/>
      </c>
      <c r="D1486" s="16" t="str">
        <f>IFERROR(VLOOKUP(C1486,DATA!#REF!,2,FALSE),"")</f>
        <v/>
      </c>
    </row>
    <row r="1487" spans="2:4" s="237" customFormat="1">
      <c r="B1487" s="15" t="str">
        <f t="shared" si="56"/>
        <v/>
      </c>
      <c r="C1487" s="16" t="str">
        <f>IFERROR(VLOOKUP(DATA!#REF!,DATA!#REF!,1,FALSE),"")</f>
        <v/>
      </c>
      <c r="D1487" s="16" t="str">
        <f>IFERROR(VLOOKUP(C1487,DATA!#REF!,2,FALSE),"")</f>
        <v/>
      </c>
    </row>
    <row r="1488" spans="2:4" s="237" customFormat="1">
      <c r="B1488" s="15" t="str">
        <f t="shared" si="56"/>
        <v/>
      </c>
      <c r="C1488" s="16" t="str">
        <f>IFERROR(VLOOKUP(DATA!#REF!,DATA!#REF!,1,FALSE),"")</f>
        <v/>
      </c>
      <c r="D1488" s="16" t="str">
        <f>IFERROR(VLOOKUP(C1488,DATA!#REF!,2,FALSE),"")</f>
        <v/>
      </c>
    </row>
    <row r="1489" spans="2:4" s="237" customFormat="1">
      <c r="B1489" s="15" t="str">
        <f t="shared" si="56"/>
        <v/>
      </c>
      <c r="C1489" s="16" t="str">
        <f>IFERROR(VLOOKUP(DATA!#REF!,DATA!#REF!,1,FALSE),"")</f>
        <v/>
      </c>
      <c r="D1489" s="16" t="str">
        <f>IFERROR(VLOOKUP(C1489,DATA!#REF!,2,FALSE),"")</f>
        <v/>
      </c>
    </row>
    <row r="1490" spans="2:4" s="237" customFormat="1">
      <c r="B1490" s="15" t="str">
        <f t="shared" si="56"/>
        <v/>
      </c>
      <c r="C1490" s="16" t="str">
        <f>IFERROR(VLOOKUP(DATA!#REF!,DATA!#REF!,1,FALSE),"")</f>
        <v/>
      </c>
      <c r="D1490" s="16" t="str">
        <f>IFERROR(VLOOKUP(C1490,DATA!#REF!,2,FALSE),"")</f>
        <v/>
      </c>
    </row>
    <row r="1491" spans="2:4" s="237" customFormat="1">
      <c r="B1491" s="15" t="str">
        <f t="shared" si="56"/>
        <v/>
      </c>
      <c r="C1491" s="16" t="str">
        <f>IFERROR(VLOOKUP(DATA!#REF!,DATA!#REF!,1,FALSE),"")</f>
        <v/>
      </c>
      <c r="D1491" s="16" t="str">
        <f>IFERROR(VLOOKUP(C1491,DATA!#REF!,2,FALSE),"")</f>
        <v/>
      </c>
    </row>
    <row r="1492" spans="2:4" s="237" customFormat="1">
      <c r="B1492" s="15" t="str">
        <f t="shared" si="56"/>
        <v/>
      </c>
      <c r="C1492" s="16" t="str">
        <f>IFERROR(VLOOKUP(DATA!#REF!,DATA!#REF!,1,FALSE),"")</f>
        <v/>
      </c>
      <c r="D1492" s="16" t="str">
        <f>IFERROR(VLOOKUP(C1492,DATA!#REF!,2,FALSE),"")</f>
        <v/>
      </c>
    </row>
    <row r="1493" spans="2:4" s="237" customFormat="1">
      <c r="B1493" s="15" t="str">
        <f t="shared" si="56"/>
        <v/>
      </c>
      <c r="C1493" s="16" t="str">
        <f>IFERROR(VLOOKUP(DATA!#REF!,DATA!#REF!,1,FALSE),"")</f>
        <v/>
      </c>
      <c r="D1493" s="16" t="str">
        <f>IFERROR(VLOOKUP(C1493,DATA!#REF!,2,FALSE),"")</f>
        <v/>
      </c>
    </row>
    <row r="1494" spans="2:4" s="237" customFormat="1">
      <c r="B1494" s="15" t="str">
        <f t="shared" si="56"/>
        <v/>
      </c>
      <c r="C1494" s="16" t="str">
        <f>IFERROR(VLOOKUP(DATA!#REF!,DATA!#REF!,1,FALSE),"")</f>
        <v/>
      </c>
      <c r="D1494" s="16" t="str">
        <f>IFERROR(VLOOKUP(C1494,DATA!#REF!,2,FALSE),"")</f>
        <v/>
      </c>
    </row>
    <row r="1495" spans="2:4" s="237" customFormat="1">
      <c r="B1495" s="15" t="str">
        <f t="shared" si="56"/>
        <v/>
      </c>
      <c r="C1495" s="16" t="str">
        <f>IFERROR(VLOOKUP(DATA!#REF!,DATA!#REF!,1,FALSE),"")</f>
        <v/>
      </c>
      <c r="D1495" s="16" t="str">
        <f>IFERROR(VLOOKUP(C1495,DATA!#REF!,2,FALSE),"")</f>
        <v/>
      </c>
    </row>
    <row r="1496" spans="2:4" s="237" customFormat="1">
      <c r="B1496" s="15" t="str">
        <f t="shared" si="56"/>
        <v/>
      </c>
      <c r="C1496" s="16" t="str">
        <f>IFERROR(VLOOKUP(DATA!#REF!,DATA!#REF!,1,FALSE),"")</f>
        <v/>
      </c>
      <c r="D1496" s="16" t="str">
        <f>IFERROR(VLOOKUP(C1496,DATA!#REF!,2,FALSE),"")</f>
        <v/>
      </c>
    </row>
    <row r="1497" spans="2:4" s="237" customFormat="1">
      <c r="B1497" s="15" t="str">
        <f t="shared" si="56"/>
        <v/>
      </c>
      <c r="C1497" s="16" t="str">
        <f>IFERROR(VLOOKUP(DATA!#REF!,DATA!#REF!,1,FALSE),"")</f>
        <v/>
      </c>
      <c r="D1497" s="16" t="str">
        <f>IFERROR(VLOOKUP(C1497,DATA!#REF!,2,FALSE),"")</f>
        <v/>
      </c>
    </row>
    <row r="1498" spans="2:4" s="237" customFormat="1">
      <c r="B1498" s="15" t="str">
        <f t="shared" si="56"/>
        <v/>
      </c>
      <c r="C1498" s="16" t="str">
        <f>IFERROR(VLOOKUP(DATA!#REF!,DATA!#REF!,1,FALSE),"")</f>
        <v/>
      </c>
      <c r="D1498" s="16" t="str">
        <f>IFERROR(VLOOKUP(C1498,DATA!#REF!,2,FALSE),"")</f>
        <v/>
      </c>
    </row>
    <row r="1499" spans="2:4" s="237" customFormat="1">
      <c r="B1499" s="15" t="str">
        <f t="shared" si="56"/>
        <v/>
      </c>
      <c r="C1499" s="16" t="str">
        <f>IFERROR(VLOOKUP(DATA!#REF!,DATA!#REF!,1,FALSE),"")</f>
        <v/>
      </c>
      <c r="D1499" s="16" t="str">
        <f>IFERROR(VLOOKUP(C1499,DATA!#REF!,2,FALSE),"")</f>
        <v/>
      </c>
    </row>
    <row r="1500" spans="2:4" s="237" customFormat="1">
      <c r="B1500" s="15" t="str">
        <f t="shared" si="56"/>
        <v/>
      </c>
      <c r="C1500" s="16" t="str">
        <f>IFERROR(VLOOKUP(DATA!#REF!,DATA!#REF!,1,FALSE),"")</f>
        <v/>
      </c>
      <c r="D1500" s="16" t="str">
        <f>IFERROR(VLOOKUP(C1500,DATA!#REF!,2,FALSE),"")</f>
        <v/>
      </c>
    </row>
    <row r="1501" spans="2:4" s="237" customFormat="1">
      <c r="B1501" s="15" t="str">
        <f t="shared" si="56"/>
        <v/>
      </c>
      <c r="C1501" s="16" t="str">
        <f>IFERROR(VLOOKUP(DATA!#REF!,DATA!#REF!,1,FALSE),"")</f>
        <v/>
      </c>
      <c r="D1501" s="16" t="str">
        <f>IFERROR(VLOOKUP(C1501,DATA!#REF!,2,FALSE),"")</f>
        <v/>
      </c>
    </row>
    <row r="1502" spans="2:4" s="237" customFormat="1">
      <c r="B1502" s="15" t="str">
        <f t="shared" si="56"/>
        <v/>
      </c>
      <c r="C1502" s="16" t="str">
        <f>IFERROR(VLOOKUP(DATA!#REF!,DATA!#REF!,1,FALSE),"")</f>
        <v/>
      </c>
      <c r="D1502" s="16" t="str">
        <f>IFERROR(VLOOKUP(C1502,DATA!#REF!,2,FALSE),"")</f>
        <v/>
      </c>
    </row>
    <row r="1503" spans="2:4" s="237" customFormat="1">
      <c r="B1503" s="15" t="str">
        <f t="shared" si="56"/>
        <v/>
      </c>
      <c r="C1503" s="16" t="str">
        <f>IFERROR(VLOOKUP(DATA!#REF!,DATA!#REF!,1,FALSE),"")</f>
        <v/>
      </c>
      <c r="D1503" s="16" t="str">
        <f>IFERROR(VLOOKUP(C1503,DATA!#REF!,2,FALSE),"")</f>
        <v/>
      </c>
    </row>
    <row r="1504" spans="2:4" s="237" customFormat="1">
      <c r="B1504" s="15" t="str">
        <f t="shared" si="56"/>
        <v/>
      </c>
      <c r="C1504" s="16" t="str">
        <f>IFERROR(VLOOKUP(DATA!#REF!,DATA!#REF!,1,FALSE),"")</f>
        <v/>
      </c>
      <c r="D1504" s="16" t="str">
        <f>IFERROR(VLOOKUP(C1504,DATA!#REF!,2,FALSE),"")</f>
        <v/>
      </c>
    </row>
    <row r="1505" spans="2:4" s="237" customFormat="1">
      <c r="B1505" s="15" t="str">
        <f t="shared" si="56"/>
        <v/>
      </c>
      <c r="C1505" s="16" t="str">
        <f>IFERROR(VLOOKUP(DATA!#REF!,DATA!#REF!,1,FALSE),"")</f>
        <v/>
      </c>
      <c r="D1505" s="16" t="str">
        <f>IFERROR(VLOOKUP(C1505,DATA!#REF!,2,FALSE),"")</f>
        <v/>
      </c>
    </row>
    <row r="1506" spans="2:4" s="237" customFormat="1">
      <c r="B1506" s="15" t="str">
        <f t="shared" si="56"/>
        <v/>
      </c>
      <c r="C1506" s="16" t="str">
        <f>IFERROR(VLOOKUP(DATA!#REF!,DATA!#REF!,1,FALSE),"")</f>
        <v/>
      </c>
      <c r="D1506" s="16" t="str">
        <f>IFERROR(VLOOKUP(C1506,DATA!#REF!,2,FALSE),"")</f>
        <v/>
      </c>
    </row>
    <row r="1507" spans="2:4" s="237" customFormat="1">
      <c r="B1507" s="15" t="str">
        <f t="shared" si="56"/>
        <v/>
      </c>
      <c r="C1507" s="16" t="str">
        <f>IFERROR(VLOOKUP(DATA!#REF!,DATA!#REF!,1,FALSE),"")</f>
        <v/>
      </c>
      <c r="D1507" s="16" t="str">
        <f>IFERROR(VLOOKUP(C1507,DATA!#REF!,2,FALSE),"")</f>
        <v/>
      </c>
    </row>
    <row r="1508" spans="2:4" s="237" customFormat="1">
      <c r="B1508" s="15" t="str">
        <f t="shared" si="56"/>
        <v/>
      </c>
      <c r="C1508" s="16" t="str">
        <f>IFERROR(VLOOKUP(DATA!#REF!,DATA!#REF!,1,FALSE),"")</f>
        <v/>
      </c>
      <c r="D1508" s="16" t="str">
        <f>IFERROR(VLOOKUP(C1508,DATA!#REF!,2,FALSE),"")</f>
        <v/>
      </c>
    </row>
    <row r="1509" spans="2:4" s="237" customFormat="1">
      <c r="B1509" s="15" t="str">
        <f t="shared" si="56"/>
        <v/>
      </c>
      <c r="C1509" s="16" t="str">
        <f>IFERROR(VLOOKUP(DATA!#REF!,DATA!#REF!,1,FALSE),"")</f>
        <v/>
      </c>
      <c r="D1509" s="16" t="str">
        <f>IFERROR(VLOOKUP(C1509,DATA!#REF!,2,FALSE),"")</f>
        <v/>
      </c>
    </row>
    <row r="1510" spans="2:4" s="237" customFormat="1">
      <c r="B1510" s="15" t="str">
        <f t="shared" si="56"/>
        <v/>
      </c>
      <c r="C1510" s="16" t="str">
        <f>IFERROR(VLOOKUP(DATA!#REF!,DATA!#REF!,1,FALSE),"")</f>
        <v/>
      </c>
      <c r="D1510" s="16" t="str">
        <f>IFERROR(VLOOKUP(C1510,DATA!#REF!,2,FALSE),"")</f>
        <v/>
      </c>
    </row>
    <row r="1511" spans="2:4" s="237" customFormat="1">
      <c r="B1511" s="15" t="str">
        <f t="shared" si="56"/>
        <v/>
      </c>
      <c r="C1511" s="16" t="str">
        <f>IFERROR(VLOOKUP(DATA!#REF!,DATA!#REF!,1,FALSE),"")</f>
        <v/>
      </c>
      <c r="D1511" s="16" t="str">
        <f>IFERROR(VLOOKUP(C1511,DATA!#REF!,2,FALSE),"")</f>
        <v/>
      </c>
    </row>
    <row r="1512" spans="2:4" s="237" customFormat="1">
      <c r="B1512" s="15" t="str">
        <f t="shared" si="56"/>
        <v/>
      </c>
      <c r="C1512" s="16" t="str">
        <f>IFERROR(VLOOKUP(DATA!#REF!,DATA!#REF!,1,FALSE),"")</f>
        <v/>
      </c>
      <c r="D1512" s="16" t="str">
        <f>IFERROR(VLOOKUP(C1512,DATA!#REF!,2,FALSE),"")</f>
        <v/>
      </c>
    </row>
    <row r="1513" spans="2:4" s="237" customFormat="1">
      <c r="B1513" s="15" t="str">
        <f t="shared" si="56"/>
        <v/>
      </c>
      <c r="C1513" s="16" t="str">
        <f>IFERROR(VLOOKUP(DATA!#REF!,DATA!#REF!,1,FALSE),"")</f>
        <v/>
      </c>
      <c r="D1513" s="16" t="str">
        <f>IFERROR(VLOOKUP(C1513,DATA!#REF!,2,FALSE),"")</f>
        <v/>
      </c>
    </row>
    <row r="1514" spans="2:4" s="237" customFormat="1">
      <c r="B1514" s="15" t="str">
        <f t="shared" si="56"/>
        <v/>
      </c>
      <c r="C1514" s="16" t="str">
        <f>IFERROR(VLOOKUP(DATA!#REF!,DATA!#REF!,1,FALSE),"")</f>
        <v/>
      </c>
      <c r="D1514" s="16" t="str">
        <f>IFERROR(VLOOKUP(C1514,DATA!#REF!,2,FALSE),"")</f>
        <v/>
      </c>
    </row>
    <row r="1515" spans="2:4" s="237" customFormat="1">
      <c r="B1515" s="15" t="str">
        <f t="shared" si="56"/>
        <v/>
      </c>
      <c r="C1515" s="16" t="str">
        <f>IFERROR(VLOOKUP(DATA!#REF!,DATA!#REF!,1,FALSE),"")</f>
        <v/>
      </c>
      <c r="D1515" s="16" t="str">
        <f>IFERROR(VLOOKUP(C1515,DATA!#REF!,2,FALSE),"")</f>
        <v/>
      </c>
    </row>
    <row r="1516" spans="2:4" s="237" customFormat="1">
      <c r="B1516" s="15" t="str">
        <f t="shared" si="56"/>
        <v/>
      </c>
      <c r="C1516" s="16" t="str">
        <f>IFERROR(VLOOKUP(DATA!#REF!,DATA!#REF!,1,FALSE),"")</f>
        <v/>
      </c>
      <c r="D1516" s="16" t="str">
        <f>IFERROR(VLOOKUP(C1516,DATA!#REF!,2,FALSE),"")</f>
        <v/>
      </c>
    </row>
    <row r="1517" spans="2:4" s="237" customFormat="1">
      <c r="B1517" s="15" t="str">
        <f t="shared" si="56"/>
        <v/>
      </c>
      <c r="C1517" s="16" t="str">
        <f>IFERROR(VLOOKUP(DATA!#REF!,DATA!#REF!,1,FALSE),"")</f>
        <v/>
      </c>
      <c r="D1517" s="16" t="str">
        <f>IFERROR(VLOOKUP(C1517,DATA!#REF!,2,FALSE),"")</f>
        <v/>
      </c>
    </row>
    <row r="1518" spans="2:4" s="237" customFormat="1">
      <c r="B1518" s="15" t="str">
        <f t="shared" si="56"/>
        <v/>
      </c>
      <c r="C1518" s="16" t="str">
        <f>IFERROR(VLOOKUP(DATA!#REF!,DATA!#REF!,1,FALSE),"")</f>
        <v/>
      </c>
      <c r="D1518" s="16" t="str">
        <f>IFERROR(VLOOKUP(C1518,DATA!#REF!,2,FALSE),"")</f>
        <v/>
      </c>
    </row>
    <row r="1519" spans="2:4" s="237" customFormat="1">
      <c r="B1519" s="15" t="str">
        <f t="shared" si="56"/>
        <v/>
      </c>
      <c r="C1519" s="16" t="str">
        <f>IFERROR(VLOOKUP(DATA!#REF!,DATA!#REF!,1,FALSE),"")</f>
        <v/>
      </c>
      <c r="D1519" s="16" t="str">
        <f>IFERROR(VLOOKUP(C1519,DATA!#REF!,2,FALSE),"")</f>
        <v/>
      </c>
    </row>
    <row r="1520" spans="2:4" s="237" customFormat="1">
      <c r="B1520" s="15" t="str">
        <f t="shared" si="56"/>
        <v/>
      </c>
      <c r="C1520" s="16" t="str">
        <f>IFERROR(VLOOKUP(DATA!#REF!,DATA!#REF!,1,FALSE),"")</f>
        <v/>
      </c>
      <c r="D1520" s="16" t="str">
        <f>IFERROR(VLOOKUP(C1520,DATA!#REF!,2,FALSE),"")</f>
        <v/>
      </c>
    </row>
    <row r="1521" spans="2:4" s="237" customFormat="1">
      <c r="B1521" s="15" t="str">
        <f t="shared" si="56"/>
        <v/>
      </c>
      <c r="C1521" s="16" t="str">
        <f>IFERROR(VLOOKUP(DATA!#REF!,DATA!#REF!,1,FALSE),"")</f>
        <v/>
      </c>
      <c r="D1521" s="16" t="str">
        <f>IFERROR(VLOOKUP(C1521,DATA!#REF!,2,FALSE),"")</f>
        <v/>
      </c>
    </row>
    <row r="1522" spans="2:4" s="237" customFormat="1">
      <c r="B1522" s="15" t="str">
        <f t="shared" si="56"/>
        <v/>
      </c>
      <c r="C1522" s="16" t="str">
        <f>IFERROR(VLOOKUP(DATA!#REF!,DATA!#REF!,1,FALSE),"")</f>
        <v/>
      </c>
      <c r="D1522" s="16" t="str">
        <f>IFERROR(VLOOKUP(C1522,DATA!#REF!,2,FALSE),"")</f>
        <v/>
      </c>
    </row>
    <row r="1523" spans="2:4" s="237" customFormat="1">
      <c r="B1523" s="15" t="str">
        <f t="shared" si="56"/>
        <v/>
      </c>
      <c r="C1523" s="16" t="str">
        <f>IFERROR(VLOOKUP(DATA!#REF!,DATA!#REF!,1,FALSE),"")</f>
        <v/>
      </c>
      <c r="D1523" s="16" t="str">
        <f>IFERROR(VLOOKUP(C1523,DATA!#REF!,2,FALSE),"")</f>
        <v/>
      </c>
    </row>
    <row r="1524" spans="2:4" s="237" customFormat="1">
      <c r="B1524" s="15" t="str">
        <f t="shared" si="56"/>
        <v/>
      </c>
      <c r="C1524" s="16" t="str">
        <f>IFERROR(VLOOKUP(DATA!#REF!,DATA!#REF!,1,FALSE),"")</f>
        <v/>
      </c>
      <c r="D1524" s="16" t="str">
        <f>IFERROR(VLOOKUP(C1524,DATA!#REF!,2,FALSE),"")</f>
        <v/>
      </c>
    </row>
    <row r="1525" spans="2:4" s="237" customFormat="1">
      <c r="B1525" s="15" t="str">
        <f t="shared" si="56"/>
        <v/>
      </c>
      <c r="C1525" s="16" t="str">
        <f>IFERROR(VLOOKUP(DATA!#REF!,DATA!#REF!,1,FALSE),"")</f>
        <v/>
      </c>
      <c r="D1525" s="16" t="str">
        <f>IFERROR(VLOOKUP(C1525,DATA!#REF!,2,FALSE),"")</f>
        <v/>
      </c>
    </row>
    <row r="1526" spans="2:4" s="237" customFormat="1">
      <c r="B1526" s="15" t="str">
        <f t="shared" si="56"/>
        <v/>
      </c>
      <c r="C1526" s="16" t="str">
        <f>IFERROR(VLOOKUP(DATA!#REF!,DATA!#REF!,1,FALSE),"")</f>
        <v/>
      </c>
      <c r="D1526" s="16" t="str">
        <f>IFERROR(VLOOKUP(C1526,DATA!#REF!,2,FALSE),"")</f>
        <v/>
      </c>
    </row>
    <row r="1527" spans="2:4" s="237" customFormat="1">
      <c r="B1527" s="15" t="str">
        <f t="shared" si="56"/>
        <v/>
      </c>
      <c r="C1527" s="16" t="str">
        <f>IFERROR(VLOOKUP(DATA!#REF!,DATA!#REF!,1,FALSE),"")</f>
        <v/>
      </c>
      <c r="D1527" s="16" t="str">
        <f>IFERROR(VLOOKUP(C1527,DATA!#REF!,2,FALSE),"")</f>
        <v/>
      </c>
    </row>
    <row r="1528" spans="2:4" s="237" customFormat="1">
      <c r="B1528" s="15" t="str">
        <f t="shared" si="56"/>
        <v/>
      </c>
      <c r="C1528" s="16" t="str">
        <f>IFERROR(VLOOKUP(DATA!#REF!,DATA!#REF!,1,FALSE),"")</f>
        <v/>
      </c>
      <c r="D1528" s="16" t="str">
        <f>IFERROR(VLOOKUP(C1528,DATA!#REF!,2,FALSE),"")</f>
        <v/>
      </c>
    </row>
    <row r="1529" spans="2:4" s="237" customFormat="1">
      <c r="B1529" s="15" t="str">
        <f t="shared" si="56"/>
        <v/>
      </c>
      <c r="C1529" s="16" t="str">
        <f>IFERROR(VLOOKUP(DATA!#REF!,DATA!#REF!,1,FALSE),"")</f>
        <v/>
      </c>
      <c r="D1529" s="16" t="str">
        <f>IFERROR(VLOOKUP(C1529,DATA!#REF!,2,FALSE),"")</f>
        <v/>
      </c>
    </row>
    <row r="1530" spans="2:4" s="237" customFormat="1">
      <c r="B1530" s="15" t="str">
        <f t="shared" si="56"/>
        <v/>
      </c>
      <c r="C1530" s="16" t="str">
        <f>IFERROR(VLOOKUP(DATA!#REF!,DATA!#REF!,1,FALSE),"")</f>
        <v/>
      </c>
      <c r="D1530" s="16" t="str">
        <f>IFERROR(VLOOKUP(C1530,DATA!#REF!,2,FALSE),"")</f>
        <v/>
      </c>
    </row>
    <row r="1531" spans="2:4" s="237" customFormat="1">
      <c r="B1531" s="15" t="str">
        <f t="shared" si="56"/>
        <v/>
      </c>
      <c r="C1531" s="16" t="str">
        <f>IFERROR(VLOOKUP(DATA!#REF!,DATA!#REF!,1,FALSE),"")</f>
        <v/>
      </c>
      <c r="D1531" s="16" t="str">
        <f>IFERROR(VLOOKUP(C1531,DATA!#REF!,2,FALSE),"")</f>
        <v/>
      </c>
    </row>
    <row r="1532" spans="2:4" s="237" customFormat="1">
      <c r="B1532" s="15" t="str">
        <f t="shared" si="56"/>
        <v/>
      </c>
      <c r="C1532" s="16" t="str">
        <f>IFERROR(VLOOKUP(DATA!#REF!,DATA!#REF!,1,FALSE),"")</f>
        <v/>
      </c>
      <c r="D1532" s="16" t="str">
        <f>IFERROR(VLOOKUP(C1532,DATA!#REF!,2,FALSE),"")</f>
        <v/>
      </c>
    </row>
    <row r="1533" spans="2:4" s="237" customFormat="1">
      <c r="B1533" s="15" t="str">
        <f t="shared" si="56"/>
        <v/>
      </c>
      <c r="C1533" s="16" t="str">
        <f>IFERROR(VLOOKUP(DATA!#REF!,DATA!#REF!,1,FALSE),"")</f>
        <v/>
      </c>
      <c r="D1533" s="16" t="str">
        <f>IFERROR(VLOOKUP(C1533,DATA!#REF!,2,FALSE),"")</f>
        <v/>
      </c>
    </row>
    <row r="1534" spans="2:4" s="237" customFormat="1">
      <c r="B1534" s="15" t="str">
        <f t="shared" si="56"/>
        <v/>
      </c>
      <c r="C1534" s="16" t="str">
        <f>IFERROR(VLOOKUP(DATA!#REF!,DATA!#REF!,1,FALSE),"")</f>
        <v/>
      </c>
      <c r="D1534" s="16" t="str">
        <f>IFERROR(VLOOKUP(C1534,DATA!#REF!,2,FALSE),"")</f>
        <v/>
      </c>
    </row>
    <row r="1535" spans="2:4" s="237" customFormat="1">
      <c r="B1535" s="15" t="str">
        <f t="shared" si="56"/>
        <v/>
      </c>
      <c r="C1535" s="16" t="str">
        <f>IFERROR(VLOOKUP(DATA!#REF!,DATA!#REF!,1,FALSE),"")</f>
        <v/>
      </c>
      <c r="D1535" s="16" t="str">
        <f>IFERROR(VLOOKUP(C1535,DATA!#REF!,2,FALSE),"")</f>
        <v/>
      </c>
    </row>
    <row r="1536" spans="2:4" s="237" customFormat="1">
      <c r="B1536" s="15" t="str">
        <f t="shared" si="56"/>
        <v/>
      </c>
      <c r="C1536" s="16" t="str">
        <f>IFERROR(VLOOKUP(DATA!#REF!,DATA!#REF!,1,FALSE),"")</f>
        <v/>
      </c>
      <c r="D1536" s="16" t="str">
        <f>IFERROR(VLOOKUP(C1536,DATA!#REF!,2,FALSE),"")</f>
        <v/>
      </c>
    </row>
    <row r="1537" spans="2:4" s="237" customFormat="1">
      <c r="B1537" s="15" t="str">
        <f t="shared" si="56"/>
        <v/>
      </c>
      <c r="C1537" s="16" t="str">
        <f>IFERROR(VLOOKUP(DATA!#REF!,DATA!#REF!,1,FALSE),"")</f>
        <v/>
      </c>
      <c r="D1537" s="16" t="str">
        <f>IFERROR(VLOOKUP(C1537,DATA!#REF!,2,FALSE),"")</f>
        <v/>
      </c>
    </row>
    <row r="1538" spans="2:4" s="237" customFormat="1">
      <c r="B1538" s="15" t="str">
        <f t="shared" si="56"/>
        <v/>
      </c>
      <c r="C1538" s="16" t="str">
        <f>IFERROR(VLOOKUP(DATA!#REF!,DATA!#REF!,1,FALSE),"")</f>
        <v/>
      </c>
      <c r="D1538" s="16" t="str">
        <f>IFERROR(VLOOKUP(C1538,DATA!#REF!,2,FALSE),"")</f>
        <v/>
      </c>
    </row>
    <row r="1539" spans="2:4" s="237" customFormat="1">
      <c r="B1539" s="15" t="str">
        <f t="shared" si="56"/>
        <v/>
      </c>
      <c r="C1539" s="16" t="str">
        <f>IFERROR(VLOOKUP(DATA!#REF!,DATA!#REF!,1,FALSE),"")</f>
        <v/>
      </c>
      <c r="D1539" s="16" t="str">
        <f>IFERROR(VLOOKUP(C1539,DATA!#REF!,2,FALSE),"")</f>
        <v/>
      </c>
    </row>
    <row r="1540" spans="2:4" s="237" customFormat="1">
      <c r="B1540" s="15" t="str">
        <f t="shared" si="56"/>
        <v/>
      </c>
      <c r="C1540" s="16" t="str">
        <f>IFERROR(VLOOKUP(DATA!#REF!,DATA!#REF!,1,FALSE),"")</f>
        <v/>
      </c>
      <c r="D1540" s="16" t="str">
        <f>IFERROR(VLOOKUP(C1540,DATA!#REF!,2,FALSE),"")</f>
        <v/>
      </c>
    </row>
    <row r="1541" spans="2:4" s="237" customFormat="1">
      <c r="B1541" s="15" t="str">
        <f t="shared" si="56"/>
        <v/>
      </c>
      <c r="C1541" s="16" t="str">
        <f>IFERROR(VLOOKUP(DATA!#REF!,DATA!#REF!,1,FALSE),"")</f>
        <v/>
      </c>
      <c r="D1541" s="16" t="str">
        <f>IFERROR(VLOOKUP(C1541,DATA!#REF!,2,FALSE),"")</f>
        <v/>
      </c>
    </row>
    <row r="1542" spans="2:4" s="237" customFormat="1">
      <c r="B1542" s="15" t="str">
        <f t="shared" ref="B1542:B1605" si="57">+IF(C1542="","",ROW()-5)</f>
        <v/>
      </c>
      <c r="C1542" s="16" t="str">
        <f>IFERROR(VLOOKUP(DATA!#REF!,DATA!#REF!,1,FALSE),"")</f>
        <v/>
      </c>
      <c r="D1542" s="16" t="str">
        <f>IFERROR(VLOOKUP(C1542,DATA!#REF!,2,FALSE),"")</f>
        <v/>
      </c>
    </row>
    <row r="1543" spans="2:4" s="237" customFormat="1">
      <c r="B1543" s="15" t="str">
        <f t="shared" si="57"/>
        <v/>
      </c>
      <c r="C1543" s="16" t="str">
        <f>IFERROR(VLOOKUP(DATA!#REF!,DATA!#REF!,1,FALSE),"")</f>
        <v/>
      </c>
      <c r="D1543" s="16" t="str">
        <f>IFERROR(VLOOKUP(C1543,DATA!#REF!,2,FALSE),"")</f>
        <v/>
      </c>
    </row>
    <row r="1544" spans="2:4" s="237" customFormat="1">
      <c r="B1544" s="15" t="str">
        <f t="shared" si="57"/>
        <v/>
      </c>
      <c r="C1544" s="16" t="str">
        <f>IFERROR(VLOOKUP(DATA!#REF!,DATA!#REF!,1,FALSE),"")</f>
        <v/>
      </c>
      <c r="D1544" s="16" t="str">
        <f>IFERROR(VLOOKUP(C1544,DATA!#REF!,2,FALSE),"")</f>
        <v/>
      </c>
    </row>
    <row r="1545" spans="2:4" s="237" customFormat="1">
      <c r="B1545" s="15" t="str">
        <f t="shared" si="57"/>
        <v/>
      </c>
      <c r="C1545" s="16" t="str">
        <f>IFERROR(VLOOKUP(DATA!#REF!,DATA!#REF!,1,FALSE),"")</f>
        <v/>
      </c>
      <c r="D1545" s="16" t="str">
        <f>IFERROR(VLOOKUP(C1545,DATA!#REF!,2,FALSE),"")</f>
        <v/>
      </c>
    </row>
    <row r="1546" spans="2:4" s="237" customFormat="1">
      <c r="B1546" s="15" t="str">
        <f t="shared" si="57"/>
        <v/>
      </c>
      <c r="C1546" s="16" t="str">
        <f>IFERROR(VLOOKUP(DATA!#REF!,DATA!#REF!,1,FALSE),"")</f>
        <v/>
      </c>
      <c r="D1546" s="16" t="str">
        <f>IFERROR(VLOOKUP(C1546,DATA!#REF!,2,FALSE),"")</f>
        <v/>
      </c>
    </row>
    <row r="1547" spans="2:4" s="237" customFormat="1">
      <c r="B1547" s="15" t="str">
        <f t="shared" si="57"/>
        <v/>
      </c>
      <c r="C1547" s="16" t="str">
        <f>IFERROR(VLOOKUP(DATA!#REF!,DATA!#REF!,1,FALSE),"")</f>
        <v/>
      </c>
      <c r="D1547" s="16" t="str">
        <f>IFERROR(VLOOKUP(C1547,DATA!#REF!,2,FALSE),"")</f>
        <v/>
      </c>
    </row>
    <row r="1548" spans="2:4" s="237" customFormat="1">
      <c r="B1548" s="15" t="str">
        <f t="shared" si="57"/>
        <v/>
      </c>
      <c r="C1548" s="16" t="str">
        <f>IFERROR(VLOOKUP(DATA!#REF!,DATA!#REF!,1,FALSE),"")</f>
        <v/>
      </c>
      <c r="D1548" s="16" t="str">
        <f>IFERROR(VLOOKUP(C1548,DATA!#REF!,2,FALSE),"")</f>
        <v/>
      </c>
    </row>
    <row r="1549" spans="2:4" s="237" customFormat="1">
      <c r="B1549" s="15" t="str">
        <f t="shared" si="57"/>
        <v/>
      </c>
      <c r="C1549" s="16" t="str">
        <f>IFERROR(VLOOKUP(DATA!#REF!,DATA!#REF!,1,FALSE),"")</f>
        <v/>
      </c>
      <c r="D1549" s="16" t="str">
        <f>IFERROR(VLOOKUP(C1549,DATA!#REF!,2,FALSE),"")</f>
        <v/>
      </c>
    </row>
    <row r="1550" spans="2:4" s="237" customFormat="1">
      <c r="B1550" s="15" t="str">
        <f t="shared" si="57"/>
        <v/>
      </c>
      <c r="C1550" s="16" t="str">
        <f>IFERROR(VLOOKUP(DATA!#REF!,DATA!#REF!,1,FALSE),"")</f>
        <v/>
      </c>
      <c r="D1550" s="16" t="str">
        <f>IFERROR(VLOOKUP(C1550,DATA!#REF!,2,FALSE),"")</f>
        <v/>
      </c>
    </row>
    <row r="1551" spans="2:4" s="237" customFormat="1">
      <c r="B1551" s="15" t="str">
        <f t="shared" si="57"/>
        <v/>
      </c>
      <c r="C1551" s="16" t="str">
        <f>IFERROR(VLOOKUP(DATA!#REF!,DATA!#REF!,1,FALSE),"")</f>
        <v/>
      </c>
      <c r="D1551" s="16" t="str">
        <f>IFERROR(VLOOKUP(C1551,DATA!#REF!,2,FALSE),"")</f>
        <v/>
      </c>
    </row>
    <row r="1552" spans="2:4" s="237" customFormat="1">
      <c r="B1552" s="15" t="str">
        <f t="shared" si="57"/>
        <v/>
      </c>
      <c r="C1552" s="16" t="str">
        <f>IFERROR(VLOOKUP(DATA!#REF!,DATA!#REF!,1,FALSE),"")</f>
        <v/>
      </c>
      <c r="D1552" s="16" t="str">
        <f>IFERROR(VLOOKUP(C1552,DATA!#REF!,2,FALSE),"")</f>
        <v/>
      </c>
    </row>
    <row r="1553" spans="2:4" s="237" customFormat="1">
      <c r="B1553" s="15" t="str">
        <f t="shared" si="57"/>
        <v/>
      </c>
      <c r="C1553" s="16" t="str">
        <f>IFERROR(VLOOKUP(DATA!#REF!,DATA!#REF!,1,FALSE),"")</f>
        <v/>
      </c>
      <c r="D1553" s="16" t="str">
        <f>IFERROR(VLOOKUP(C1553,DATA!#REF!,2,FALSE),"")</f>
        <v/>
      </c>
    </row>
    <row r="1554" spans="2:4" s="237" customFormat="1">
      <c r="B1554" s="15" t="str">
        <f t="shared" si="57"/>
        <v/>
      </c>
      <c r="C1554" s="16" t="str">
        <f>IFERROR(VLOOKUP(DATA!#REF!,DATA!#REF!,1,FALSE),"")</f>
        <v/>
      </c>
      <c r="D1554" s="16" t="str">
        <f>IFERROR(VLOOKUP(C1554,DATA!#REF!,2,FALSE),"")</f>
        <v/>
      </c>
    </row>
    <row r="1555" spans="2:4" s="237" customFormat="1">
      <c r="B1555" s="15" t="str">
        <f t="shared" si="57"/>
        <v/>
      </c>
      <c r="C1555" s="16" t="str">
        <f>IFERROR(VLOOKUP(DATA!#REF!,DATA!#REF!,1,FALSE),"")</f>
        <v/>
      </c>
      <c r="D1555" s="16" t="str">
        <f>IFERROR(VLOOKUP(C1555,DATA!#REF!,2,FALSE),"")</f>
        <v/>
      </c>
    </row>
    <row r="1556" spans="2:4" s="237" customFormat="1">
      <c r="B1556" s="15" t="str">
        <f t="shared" si="57"/>
        <v/>
      </c>
      <c r="C1556" s="16" t="str">
        <f>IFERROR(VLOOKUP(DATA!#REF!,DATA!#REF!,1,FALSE),"")</f>
        <v/>
      </c>
      <c r="D1556" s="16" t="str">
        <f>IFERROR(VLOOKUP(C1556,DATA!#REF!,2,FALSE),"")</f>
        <v/>
      </c>
    </row>
    <row r="1557" spans="2:4" s="237" customFormat="1">
      <c r="B1557" s="15" t="str">
        <f t="shared" si="57"/>
        <v/>
      </c>
      <c r="C1557" s="16" t="str">
        <f>IFERROR(VLOOKUP(DATA!#REF!,DATA!#REF!,1,FALSE),"")</f>
        <v/>
      </c>
      <c r="D1557" s="16" t="str">
        <f>IFERROR(VLOOKUP(C1557,DATA!#REF!,2,FALSE),"")</f>
        <v/>
      </c>
    </row>
    <row r="1558" spans="2:4" s="237" customFormat="1">
      <c r="B1558" s="15" t="str">
        <f t="shared" si="57"/>
        <v/>
      </c>
      <c r="C1558" s="16" t="str">
        <f>IFERROR(VLOOKUP(DATA!#REF!,DATA!#REF!,1,FALSE),"")</f>
        <v/>
      </c>
      <c r="D1558" s="16" t="str">
        <f>IFERROR(VLOOKUP(C1558,DATA!#REF!,2,FALSE),"")</f>
        <v/>
      </c>
    </row>
    <row r="1559" spans="2:4" s="237" customFormat="1">
      <c r="B1559" s="15" t="str">
        <f t="shared" si="57"/>
        <v/>
      </c>
      <c r="C1559" s="16" t="str">
        <f>IFERROR(VLOOKUP(DATA!#REF!,DATA!#REF!,1,FALSE),"")</f>
        <v/>
      </c>
      <c r="D1559" s="16" t="str">
        <f>IFERROR(VLOOKUP(C1559,DATA!#REF!,2,FALSE),"")</f>
        <v/>
      </c>
    </row>
    <row r="1560" spans="2:4" s="237" customFormat="1">
      <c r="B1560" s="15" t="str">
        <f t="shared" si="57"/>
        <v/>
      </c>
      <c r="C1560" s="16" t="str">
        <f>IFERROR(VLOOKUP(DATA!#REF!,DATA!#REF!,1,FALSE),"")</f>
        <v/>
      </c>
      <c r="D1560" s="16" t="str">
        <f>IFERROR(VLOOKUP(C1560,DATA!#REF!,2,FALSE),"")</f>
        <v/>
      </c>
    </row>
    <row r="1561" spans="2:4" s="237" customFormat="1">
      <c r="B1561" s="15" t="str">
        <f t="shared" si="57"/>
        <v/>
      </c>
      <c r="C1561" s="16" t="str">
        <f>IFERROR(VLOOKUP(DATA!#REF!,DATA!#REF!,1,FALSE),"")</f>
        <v/>
      </c>
      <c r="D1561" s="16" t="str">
        <f>IFERROR(VLOOKUP(C1561,DATA!#REF!,2,FALSE),"")</f>
        <v/>
      </c>
    </row>
    <row r="1562" spans="2:4" s="237" customFormat="1">
      <c r="B1562" s="15" t="str">
        <f t="shared" si="57"/>
        <v/>
      </c>
      <c r="C1562" s="16" t="str">
        <f>IFERROR(VLOOKUP(DATA!#REF!,DATA!#REF!,1,FALSE),"")</f>
        <v/>
      </c>
      <c r="D1562" s="16" t="str">
        <f>IFERROR(VLOOKUP(C1562,DATA!#REF!,2,FALSE),"")</f>
        <v/>
      </c>
    </row>
    <row r="1563" spans="2:4" s="237" customFormat="1">
      <c r="B1563" s="15" t="str">
        <f t="shared" si="57"/>
        <v/>
      </c>
      <c r="C1563" s="16" t="str">
        <f>IFERROR(VLOOKUP(DATA!#REF!,DATA!#REF!,1,FALSE),"")</f>
        <v/>
      </c>
      <c r="D1563" s="16" t="str">
        <f>IFERROR(VLOOKUP(C1563,DATA!#REF!,2,FALSE),"")</f>
        <v/>
      </c>
    </row>
    <row r="1564" spans="2:4" s="237" customFormat="1">
      <c r="B1564" s="15" t="str">
        <f t="shared" si="57"/>
        <v/>
      </c>
      <c r="C1564" s="16" t="str">
        <f>IFERROR(VLOOKUP(DATA!#REF!,DATA!#REF!,1,FALSE),"")</f>
        <v/>
      </c>
      <c r="D1564" s="16" t="str">
        <f>IFERROR(VLOOKUP(C1564,DATA!#REF!,2,FALSE),"")</f>
        <v/>
      </c>
    </row>
    <row r="1565" spans="2:4" s="237" customFormat="1">
      <c r="B1565" s="15" t="str">
        <f t="shared" si="57"/>
        <v/>
      </c>
      <c r="C1565" s="16" t="str">
        <f>IFERROR(VLOOKUP(DATA!#REF!,DATA!#REF!,1,FALSE),"")</f>
        <v/>
      </c>
      <c r="D1565" s="16" t="str">
        <f>IFERROR(VLOOKUP(C1565,DATA!#REF!,2,FALSE),"")</f>
        <v/>
      </c>
    </row>
    <row r="1566" spans="2:4" s="237" customFormat="1">
      <c r="B1566" s="15" t="str">
        <f t="shared" si="57"/>
        <v/>
      </c>
      <c r="C1566" s="16" t="str">
        <f>IFERROR(VLOOKUP(DATA!#REF!,DATA!#REF!,1,FALSE),"")</f>
        <v/>
      </c>
      <c r="D1566" s="16" t="str">
        <f>IFERROR(VLOOKUP(C1566,DATA!#REF!,2,FALSE),"")</f>
        <v/>
      </c>
    </row>
    <row r="1567" spans="2:4" s="237" customFormat="1">
      <c r="B1567" s="15" t="str">
        <f t="shared" si="57"/>
        <v/>
      </c>
      <c r="C1567" s="16" t="str">
        <f>IFERROR(VLOOKUP(DATA!#REF!,DATA!#REF!,1,FALSE),"")</f>
        <v/>
      </c>
      <c r="D1567" s="16" t="str">
        <f>IFERROR(VLOOKUP(C1567,DATA!#REF!,2,FALSE),"")</f>
        <v/>
      </c>
    </row>
    <row r="1568" spans="2:4" s="237" customFormat="1">
      <c r="B1568" s="15" t="str">
        <f t="shared" si="57"/>
        <v/>
      </c>
      <c r="C1568" s="16" t="str">
        <f>IFERROR(VLOOKUP(DATA!#REF!,DATA!#REF!,1,FALSE),"")</f>
        <v/>
      </c>
      <c r="D1568" s="16" t="str">
        <f>IFERROR(VLOOKUP(C1568,DATA!#REF!,2,FALSE),"")</f>
        <v/>
      </c>
    </row>
    <row r="1569" spans="2:4" s="237" customFormat="1">
      <c r="B1569" s="15" t="str">
        <f t="shared" si="57"/>
        <v/>
      </c>
      <c r="C1569" s="16" t="str">
        <f>IFERROR(VLOOKUP(DATA!#REF!,DATA!#REF!,1,FALSE),"")</f>
        <v/>
      </c>
      <c r="D1569" s="16" t="str">
        <f>IFERROR(VLOOKUP(C1569,DATA!#REF!,2,FALSE),"")</f>
        <v/>
      </c>
    </row>
    <row r="1570" spans="2:4" s="237" customFormat="1">
      <c r="B1570" s="15" t="str">
        <f t="shared" si="57"/>
        <v/>
      </c>
      <c r="C1570" s="16" t="str">
        <f>IFERROR(VLOOKUP(DATA!#REF!,DATA!#REF!,1,FALSE),"")</f>
        <v/>
      </c>
      <c r="D1570" s="16" t="str">
        <f>IFERROR(VLOOKUP(C1570,DATA!#REF!,2,FALSE),"")</f>
        <v/>
      </c>
    </row>
    <row r="1571" spans="2:4" s="237" customFormat="1">
      <c r="B1571" s="15" t="str">
        <f t="shared" si="57"/>
        <v/>
      </c>
      <c r="C1571" s="16" t="str">
        <f>IFERROR(VLOOKUP(DATA!#REF!,DATA!#REF!,1,FALSE),"")</f>
        <v/>
      </c>
      <c r="D1571" s="16" t="str">
        <f>IFERROR(VLOOKUP(C1571,DATA!#REF!,2,FALSE),"")</f>
        <v/>
      </c>
    </row>
    <row r="1572" spans="2:4" s="237" customFormat="1">
      <c r="B1572" s="15" t="str">
        <f t="shared" si="57"/>
        <v/>
      </c>
      <c r="C1572" s="16" t="str">
        <f>IFERROR(VLOOKUP(DATA!#REF!,DATA!#REF!,1,FALSE),"")</f>
        <v/>
      </c>
      <c r="D1572" s="16" t="str">
        <f>IFERROR(VLOOKUP(C1572,DATA!#REF!,2,FALSE),"")</f>
        <v/>
      </c>
    </row>
    <row r="1573" spans="2:4" s="237" customFormat="1">
      <c r="B1573" s="15" t="str">
        <f t="shared" si="57"/>
        <v/>
      </c>
      <c r="C1573" s="16" t="str">
        <f>IFERROR(VLOOKUP(DATA!#REF!,DATA!#REF!,1,FALSE),"")</f>
        <v/>
      </c>
      <c r="D1573" s="16" t="str">
        <f>IFERROR(VLOOKUP(C1573,DATA!#REF!,2,FALSE),"")</f>
        <v/>
      </c>
    </row>
    <row r="1574" spans="2:4" s="237" customFormat="1">
      <c r="B1574" s="15" t="str">
        <f t="shared" si="57"/>
        <v/>
      </c>
      <c r="C1574" s="16" t="str">
        <f>IFERROR(VLOOKUP(DATA!#REF!,DATA!#REF!,1,FALSE),"")</f>
        <v/>
      </c>
      <c r="D1574" s="16" t="str">
        <f>IFERROR(VLOOKUP(C1574,DATA!#REF!,2,FALSE),"")</f>
        <v/>
      </c>
    </row>
    <row r="1575" spans="2:4" s="237" customFormat="1">
      <c r="B1575" s="15" t="str">
        <f t="shared" si="57"/>
        <v/>
      </c>
      <c r="C1575" s="16" t="str">
        <f>IFERROR(VLOOKUP(DATA!#REF!,DATA!#REF!,1,FALSE),"")</f>
        <v/>
      </c>
      <c r="D1575" s="16" t="str">
        <f>IFERROR(VLOOKUP(C1575,DATA!#REF!,2,FALSE),"")</f>
        <v/>
      </c>
    </row>
    <row r="1576" spans="2:4" s="237" customFormat="1">
      <c r="B1576" s="15" t="str">
        <f t="shared" si="57"/>
        <v/>
      </c>
      <c r="C1576" s="16" t="str">
        <f>IFERROR(VLOOKUP(DATA!#REF!,DATA!#REF!,1,FALSE),"")</f>
        <v/>
      </c>
      <c r="D1576" s="16" t="str">
        <f>IFERROR(VLOOKUP(C1576,DATA!#REF!,2,FALSE),"")</f>
        <v/>
      </c>
    </row>
    <row r="1577" spans="2:4" s="237" customFormat="1">
      <c r="B1577" s="15" t="str">
        <f t="shared" si="57"/>
        <v/>
      </c>
      <c r="C1577" s="16" t="str">
        <f>IFERROR(VLOOKUP(DATA!#REF!,DATA!#REF!,1,FALSE),"")</f>
        <v/>
      </c>
      <c r="D1577" s="16" t="str">
        <f>IFERROR(VLOOKUP(C1577,DATA!#REF!,2,FALSE),"")</f>
        <v/>
      </c>
    </row>
    <row r="1578" spans="2:4" s="237" customFormat="1">
      <c r="B1578" s="15" t="str">
        <f t="shared" si="57"/>
        <v/>
      </c>
      <c r="C1578" s="16" t="str">
        <f>IFERROR(VLOOKUP(DATA!#REF!,DATA!#REF!,1,FALSE),"")</f>
        <v/>
      </c>
      <c r="D1578" s="16" t="str">
        <f>IFERROR(VLOOKUP(C1578,DATA!#REF!,2,FALSE),"")</f>
        <v/>
      </c>
    </row>
    <row r="1579" spans="2:4" s="237" customFormat="1">
      <c r="B1579" s="15" t="str">
        <f t="shared" si="57"/>
        <v/>
      </c>
      <c r="C1579" s="16" t="str">
        <f>IFERROR(VLOOKUP(DATA!#REF!,DATA!#REF!,1,FALSE),"")</f>
        <v/>
      </c>
      <c r="D1579" s="16" t="str">
        <f>IFERROR(VLOOKUP(C1579,DATA!#REF!,2,FALSE),"")</f>
        <v/>
      </c>
    </row>
    <row r="1580" spans="2:4" s="237" customFormat="1">
      <c r="B1580" s="15" t="str">
        <f t="shared" si="57"/>
        <v/>
      </c>
      <c r="C1580" s="16" t="str">
        <f>IFERROR(VLOOKUP(DATA!#REF!,DATA!#REF!,1,FALSE),"")</f>
        <v/>
      </c>
      <c r="D1580" s="16" t="str">
        <f>IFERROR(VLOOKUP(C1580,DATA!#REF!,2,FALSE),"")</f>
        <v/>
      </c>
    </row>
    <row r="1581" spans="2:4" s="237" customFormat="1">
      <c r="B1581" s="15" t="str">
        <f t="shared" si="57"/>
        <v/>
      </c>
      <c r="C1581" s="16" t="str">
        <f>IFERROR(VLOOKUP(DATA!#REF!,DATA!#REF!,1,FALSE),"")</f>
        <v/>
      </c>
      <c r="D1581" s="16" t="str">
        <f>IFERROR(VLOOKUP(C1581,DATA!#REF!,2,FALSE),"")</f>
        <v/>
      </c>
    </row>
    <row r="1582" spans="2:4" s="237" customFormat="1">
      <c r="B1582" s="15" t="str">
        <f t="shared" si="57"/>
        <v/>
      </c>
      <c r="C1582" s="16" t="str">
        <f>IFERROR(VLOOKUP(DATA!#REF!,DATA!#REF!,1,FALSE),"")</f>
        <v/>
      </c>
      <c r="D1582" s="16" t="str">
        <f>IFERROR(VLOOKUP(C1582,DATA!#REF!,2,FALSE),"")</f>
        <v/>
      </c>
    </row>
    <row r="1583" spans="2:4" s="237" customFormat="1">
      <c r="B1583" s="15" t="str">
        <f t="shared" si="57"/>
        <v/>
      </c>
      <c r="C1583" s="16" t="str">
        <f>IFERROR(VLOOKUP(DATA!#REF!,DATA!#REF!,1,FALSE),"")</f>
        <v/>
      </c>
      <c r="D1583" s="16" t="str">
        <f>IFERROR(VLOOKUP(C1583,DATA!#REF!,2,FALSE),"")</f>
        <v/>
      </c>
    </row>
    <row r="1584" spans="2:4" s="237" customFormat="1">
      <c r="B1584" s="15" t="str">
        <f t="shared" si="57"/>
        <v/>
      </c>
      <c r="C1584" s="16" t="str">
        <f>IFERROR(VLOOKUP(DATA!#REF!,DATA!#REF!,1,FALSE),"")</f>
        <v/>
      </c>
      <c r="D1584" s="16" t="str">
        <f>IFERROR(VLOOKUP(C1584,DATA!#REF!,2,FALSE),"")</f>
        <v/>
      </c>
    </row>
    <row r="1585" spans="2:4" s="237" customFormat="1">
      <c r="B1585" s="15" t="str">
        <f t="shared" si="57"/>
        <v/>
      </c>
      <c r="C1585" s="16" t="str">
        <f>IFERROR(VLOOKUP(DATA!#REF!,DATA!#REF!,1,FALSE),"")</f>
        <v/>
      </c>
      <c r="D1585" s="16" t="str">
        <f>IFERROR(VLOOKUP(C1585,DATA!#REF!,2,FALSE),"")</f>
        <v/>
      </c>
    </row>
    <row r="1586" spans="2:4" s="237" customFormat="1">
      <c r="B1586" s="15" t="str">
        <f t="shared" si="57"/>
        <v/>
      </c>
      <c r="C1586" s="16" t="str">
        <f>IFERROR(VLOOKUP(DATA!#REF!,DATA!#REF!,1,FALSE),"")</f>
        <v/>
      </c>
      <c r="D1586" s="16" t="str">
        <f>IFERROR(VLOOKUP(C1586,DATA!#REF!,2,FALSE),"")</f>
        <v/>
      </c>
    </row>
    <row r="1587" spans="2:4" s="237" customFormat="1">
      <c r="B1587" s="15" t="str">
        <f t="shared" si="57"/>
        <v/>
      </c>
      <c r="C1587" s="16" t="str">
        <f>IFERROR(VLOOKUP(DATA!#REF!,DATA!#REF!,1,FALSE),"")</f>
        <v/>
      </c>
      <c r="D1587" s="16" t="str">
        <f>IFERROR(VLOOKUP(C1587,DATA!#REF!,2,FALSE),"")</f>
        <v/>
      </c>
    </row>
    <row r="1588" spans="2:4" s="237" customFormat="1">
      <c r="B1588" s="15" t="str">
        <f t="shared" si="57"/>
        <v/>
      </c>
      <c r="C1588" s="16" t="str">
        <f>IFERROR(VLOOKUP(DATA!#REF!,DATA!#REF!,1,FALSE),"")</f>
        <v/>
      </c>
      <c r="D1588" s="16" t="str">
        <f>IFERROR(VLOOKUP(C1588,DATA!#REF!,2,FALSE),"")</f>
        <v/>
      </c>
    </row>
    <row r="1589" spans="2:4" s="237" customFormat="1">
      <c r="B1589" s="15" t="str">
        <f t="shared" si="57"/>
        <v/>
      </c>
      <c r="C1589" s="16" t="str">
        <f>IFERROR(VLOOKUP(DATA!#REF!,DATA!#REF!,1,FALSE),"")</f>
        <v/>
      </c>
      <c r="D1589" s="16" t="str">
        <f>IFERROR(VLOOKUP(C1589,DATA!#REF!,2,FALSE),"")</f>
        <v/>
      </c>
    </row>
    <row r="1590" spans="2:4" s="237" customFormat="1">
      <c r="B1590" s="15" t="str">
        <f t="shared" si="57"/>
        <v/>
      </c>
      <c r="C1590" s="16" t="str">
        <f>IFERROR(VLOOKUP(DATA!#REF!,DATA!#REF!,1,FALSE),"")</f>
        <v/>
      </c>
      <c r="D1590" s="16" t="str">
        <f>IFERROR(VLOOKUP(C1590,DATA!#REF!,2,FALSE),"")</f>
        <v/>
      </c>
    </row>
    <row r="1591" spans="2:4" s="237" customFormat="1">
      <c r="B1591" s="15" t="str">
        <f t="shared" si="57"/>
        <v/>
      </c>
      <c r="C1591" s="16" t="str">
        <f>IFERROR(VLOOKUP(DATA!#REF!,DATA!#REF!,1,FALSE),"")</f>
        <v/>
      </c>
      <c r="D1591" s="16" t="str">
        <f>IFERROR(VLOOKUP(C1591,DATA!#REF!,2,FALSE),"")</f>
        <v/>
      </c>
    </row>
    <row r="1592" spans="2:4" s="237" customFormat="1">
      <c r="B1592" s="15" t="str">
        <f t="shared" si="57"/>
        <v/>
      </c>
      <c r="C1592" s="16" t="str">
        <f>IFERROR(VLOOKUP(DATA!#REF!,DATA!#REF!,1,FALSE),"")</f>
        <v/>
      </c>
      <c r="D1592" s="16" t="str">
        <f>IFERROR(VLOOKUP(C1592,DATA!#REF!,2,FALSE),"")</f>
        <v/>
      </c>
    </row>
    <row r="1593" spans="2:4" s="237" customFormat="1">
      <c r="B1593" s="15" t="str">
        <f t="shared" si="57"/>
        <v/>
      </c>
      <c r="C1593" s="16" t="str">
        <f>IFERROR(VLOOKUP(DATA!#REF!,DATA!#REF!,1,FALSE),"")</f>
        <v/>
      </c>
      <c r="D1593" s="16" t="str">
        <f>IFERROR(VLOOKUP(C1593,DATA!#REF!,2,FALSE),"")</f>
        <v/>
      </c>
    </row>
    <row r="1594" spans="2:4" s="237" customFormat="1">
      <c r="B1594" s="15" t="str">
        <f t="shared" si="57"/>
        <v/>
      </c>
      <c r="C1594" s="16" t="str">
        <f>IFERROR(VLOOKUP(DATA!#REF!,DATA!#REF!,1,FALSE),"")</f>
        <v/>
      </c>
      <c r="D1594" s="16" t="str">
        <f>IFERROR(VLOOKUP(C1594,DATA!#REF!,2,FALSE),"")</f>
        <v/>
      </c>
    </row>
    <row r="1595" spans="2:4" s="237" customFormat="1">
      <c r="B1595" s="15" t="str">
        <f t="shared" si="57"/>
        <v/>
      </c>
      <c r="C1595" s="16" t="str">
        <f>IFERROR(VLOOKUP(DATA!#REF!,DATA!#REF!,1,FALSE),"")</f>
        <v/>
      </c>
      <c r="D1595" s="16" t="str">
        <f>IFERROR(VLOOKUP(C1595,DATA!#REF!,2,FALSE),"")</f>
        <v/>
      </c>
    </row>
    <row r="1596" spans="2:4" s="237" customFormat="1">
      <c r="B1596" s="15" t="str">
        <f t="shared" si="57"/>
        <v/>
      </c>
      <c r="C1596" s="16" t="str">
        <f>IFERROR(VLOOKUP(DATA!#REF!,DATA!#REF!,1,FALSE),"")</f>
        <v/>
      </c>
      <c r="D1596" s="16" t="str">
        <f>IFERROR(VLOOKUP(C1596,DATA!#REF!,2,FALSE),"")</f>
        <v/>
      </c>
    </row>
    <row r="1597" spans="2:4" s="237" customFormat="1">
      <c r="B1597" s="15" t="str">
        <f t="shared" si="57"/>
        <v/>
      </c>
      <c r="C1597" s="16" t="str">
        <f>IFERROR(VLOOKUP(DATA!#REF!,DATA!#REF!,1,FALSE),"")</f>
        <v/>
      </c>
      <c r="D1597" s="16" t="str">
        <f>IFERROR(VLOOKUP(C1597,DATA!#REF!,2,FALSE),"")</f>
        <v/>
      </c>
    </row>
    <row r="1598" spans="2:4" s="237" customFormat="1">
      <c r="B1598" s="15" t="str">
        <f t="shared" si="57"/>
        <v/>
      </c>
      <c r="C1598" s="16" t="str">
        <f>IFERROR(VLOOKUP(DATA!#REF!,DATA!#REF!,1,FALSE),"")</f>
        <v/>
      </c>
      <c r="D1598" s="16" t="str">
        <f>IFERROR(VLOOKUP(C1598,DATA!#REF!,2,FALSE),"")</f>
        <v/>
      </c>
    </row>
    <row r="1599" spans="2:4" s="237" customFormat="1">
      <c r="B1599" s="15" t="str">
        <f t="shared" si="57"/>
        <v/>
      </c>
      <c r="C1599" s="16" t="str">
        <f>IFERROR(VLOOKUP(DATA!#REF!,DATA!#REF!,1,FALSE),"")</f>
        <v/>
      </c>
      <c r="D1599" s="16" t="str">
        <f>IFERROR(VLOOKUP(C1599,DATA!#REF!,2,FALSE),"")</f>
        <v/>
      </c>
    </row>
    <row r="1600" spans="2:4" s="237" customFormat="1">
      <c r="B1600" s="15" t="str">
        <f t="shared" si="57"/>
        <v/>
      </c>
      <c r="C1600" s="16" t="str">
        <f>IFERROR(VLOOKUP(DATA!#REF!,DATA!#REF!,1,FALSE),"")</f>
        <v/>
      </c>
      <c r="D1600" s="16" t="str">
        <f>IFERROR(VLOOKUP(C1600,DATA!#REF!,2,FALSE),"")</f>
        <v/>
      </c>
    </row>
    <row r="1601" spans="2:4" s="237" customFormat="1">
      <c r="B1601" s="15" t="str">
        <f t="shared" si="57"/>
        <v/>
      </c>
      <c r="C1601" s="16" t="str">
        <f>IFERROR(VLOOKUP(DATA!#REF!,DATA!#REF!,1,FALSE),"")</f>
        <v/>
      </c>
      <c r="D1601" s="16" t="str">
        <f>IFERROR(VLOOKUP(C1601,DATA!#REF!,2,FALSE),"")</f>
        <v/>
      </c>
    </row>
    <row r="1602" spans="2:4" s="237" customFormat="1">
      <c r="B1602" s="15" t="str">
        <f t="shared" si="57"/>
        <v/>
      </c>
      <c r="C1602" s="16" t="str">
        <f>IFERROR(VLOOKUP(DATA!#REF!,DATA!#REF!,1,FALSE),"")</f>
        <v/>
      </c>
      <c r="D1602" s="16" t="str">
        <f>IFERROR(VLOOKUP(C1602,DATA!#REF!,2,FALSE),"")</f>
        <v/>
      </c>
    </row>
    <row r="1603" spans="2:4" s="237" customFormat="1">
      <c r="B1603" s="15" t="str">
        <f t="shared" si="57"/>
        <v/>
      </c>
      <c r="C1603" s="16" t="str">
        <f>IFERROR(VLOOKUP(DATA!#REF!,DATA!#REF!,1,FALSE),"")</f>
        <v/>
      </c>
      <c r="D1603" s="16" t="str">
        <f>IFERROR(VLOOKUP(C1603,DATA!#REF!,2,FALSE),"")</f>
        <v/>
      </c>
    </row>
    <row r="1604" spans="2:4" s="237" customFormat="1">
      <c r="B1604" s="15" t="str">
        <f t="shared" si="57"/>
        <v/>
      </c>
      <c r="C1604" s="16" t="str">
        <f>IFERROR(VLOOKUP(DATA!#REF!,DATA!#REF!,1,FALSE),"")</f>
        <v/>
      </c>
      <c r="D1604" s="16" t="str">
        <f>IFERROR(VLOOKUP(C1604,DATA!#REF!,2,FALSE),"")</f>
        <v/>
      </c>
    </row>
    <row r="1605" spans="2:4" s="237" customFormat="1">
      <c r="B1605" s="15" t="str">
        <f t="shared" si="57"/>
        <v/>
      </c>
      <c r="C1605" s="16" t="str">
        <f>IFERROR(VLOOKUP(DATA!#REF!,DATA!#REF!,1,FALSE),"")</f>
        <v/>
      </c>
      <c r="D1605" s="16" t="str">
        <f>IFERROR(VLOOKUP(C1605,DATA!#REF!,2,FALSE),"")</f>
        <v/>
      </c>
    </row>
    <row r="1606" spans="2:4" s="237" customFormat="1">
      <c r="B1606" s="15" t="str">
        <f t="shared" ref="B1606:B1669" si="58">+IF(C1606="","",ROW()-5)</f>
        <v/>
      </c>
      <c r="C1606" s="16" t="str">
        <f>IFERROR(VLOOKUP(DATA!#REF!,DATA!#REF!,1,FALSE),"")</f>
        <v/>
      </c>
      <c r="D1606" s="16" t="str">
        <f>IFERROR(VLOOKUP(C1606,DATA!#REF!,2,FALSE),"")</f>
        <v/>
      </c>
    </row>
    <row r="1607" spans="2:4" s="237" customFormat="1">
      <c r="B1607" s="15" t="str">
        <f t="shared" si="58"/>
        <v/>
      </c>
      <c r="C1607" s="16" t="str">
        <f>IFERROR(VLOOKUP(DATA!#REF!,DATA!#REF!,1,FALSE),"")</f>
        <v/>
      </c>
      <c r="D1607" s="16" t="str">
        <f>IFERROR(VLOOKUP(C1607,DATA!#REF!,2,FALSE),"")</f>
        <v/>
      </c>
    </row>
    <row r="1608" spans="2:4" s="237" customFormat="1">
      <c r="B1608" s="15" t="str">
        <f t="shared" si="58"/>
        <v/>
      </c>
      <c r="C1608" s="16" t="str">
        <f>IFERROR(VLOOKUP(DATA!#REF!,DATA!#REF!,1,FALSE),"")</f>
        <v/>
      </c>
      <c r="D1608" s="16" t="str">
        <f>IFERROR(VLOOKUP(C1608,DATA!#REF!,2,FALSE),"")</f>
        <v/>
      </c>
    </row>
    <row r="1609" spans="2:4" s="237" customFormat="1">
      <c r="B1609" s="15" t="str">
        <f t="shared" si="58"/>
        <v/>
      </c>
      <c r="C1609" s="16" t="str">
        <f>IFERROR(VLOOKUP(DATA!#REF!,DATA!#REF!,1,FALSE),"")</f>
        <v/>
      </c>
      <c r="D1609" s="16" t="str">
        <f>IFERROR(VLOOKUP(C1609,DATA!#REF!,2,FALSE),"")</f>
        <v/>
      </c>
    </row>
    <row r="1610" spans="2:4" s="237" customFormat="1">
      <c r="B1610" s="15" t="str">
        <f t="shared" si="58"/>
        <v/>
      </c>
      <c r="C1610" s="16" t="str">
        <f>IFERROR(VLOOKUP(DATA!#REF!,DATA!#REF!,1,FALSE),"")</f>
        <v/>
      </c>
      <c r="D1610" s="16" t="str">
        <f>IFERROR(VLOOKUP(C1610,DATA!#REF!,2,FALSE),"")</f>
        <v/>
      </c>
    </row>
    <row r="1611" spans="2:4" s="237" customFormat="1">
      <c r="B1611" s="15" t="str">
        <f t="shared" si="58"/>
        <v/>
      </c>
      <c r="C1611" s="16" t="str">
        <f>IFERROR(VLOOKUP(DATA!#REF!,DATA!#REF!,1,FALSE),"")</f>
        <v/>
      </c>
      <c r="D1611" s="16" t="str">
        <f>IFERROR(VLOOKUP(C1611,DATA!#REF!,2,FALSE),"")</f>
        <v/>
      </c>
    </row>
    <row r="1612" spans="2:4" s="237" customFormat="1">
      <c r="B1612" s="15" t="str">
        <f t="shared" si="58"/>
        <v/>
      </c>
      <c r="C1612" s="16" t="str">
        <f>IFERROR(VLOOKUP(DATA!#REF!,DATA!#REF!,1,FALSE),"")</f>
        <v/>
      </c>
      <c r="D1612" s="16" t="str">
        <f>IFERROR(VLOOKUP(C1612,DATA!#REF!,2,FALSE),"")</f>
        <v/>
      </c>
    </row>
    <row r="1613" spans="2:4" s="237" customFormat="1">
      <c r="B1613" s="15" t="str">
        <f t="shared" si="58"/>
        <v/>
      </c>
      <c r="C1613" s="16" t="str">
        <f>IFERROR(VLOOKUP(DATA!#REF!,DATA!#REF!,1,FALSE),"")</f>
        <v/>
      </c>
      <c r="D1613" s="16" t="str">
        <f>IFERROR(VLOOKUP(C1613,DATA!#REF!,2,FALSE),"")</f>
        <v/>
      </c>
    </row>
    <row r="1614" spans="2:4" s="237" customFormat="1">
      <c r="B1614" s="15" t="str">
        <f t="shared" si="58"/>
        <v/>
      </c>
      <c r="C1614" s="16" t="str">
        <f>IFERROR(VLOOKUP(DATA!#REF!,DATA!#REF!,1,FALSE),"")</f>
        <v/>
      </c>
      <c r="D1614" s="16" t="str">
        <f>IFERROR(VLOOKUP(C1614,DATA!#REF!,2,FALSE),"")</f>
        <v/>
      </c>
    </row>
    <row r="1615" spans="2:4" s="237" customFormat="1">
      <c r="B1615" s="15" t="str">
        <f t="shared" si="58"/>
        <v/>
      </c>
      <c r="C1615" s="16" t="str">
        <f>IFERROR(VLOOKUP(DATA!#REF!,DATA!#REF!,1,FALSE),"")</f>
        <v/>
      </c>
      <c r="D1615" s="16" t="str">
        <f>IFERROR(VLOOKUP(C1615,DATA!#REF!,2,FALSE),"")</f>
        <v/>
      </c>
    </row>
    <row r="1616" spans="2:4" s="237" customFormat="1">
      <c r="B1616" s="15" t="str">
        <f t="shared" si="58"/>
        <v/>
      </c>
      <c r="C1616" s="16" t="str">
        <f>IFERROR(VLOOKUP(DATA!#REF!,DATA!#REF!,1,FALSE),"")</f>
        <v/>
      </c>
      <c r="D1616" s="16" t="str">
        <f>IFERROR(VLOOKUP(C1616,DATA!#REF!,2,FALSE),"")</f>
        <v/>
      </c>
    </row>
    <row r="1617" spans="2:4" s="237" customFormat="1">
      <c r="B1617" s="15" t="str">
        <f t="shared" si="58"/>
        <v/>
      </c>
      <c r="C1617" s="16" t="str">
        <f>IFERROR(VLOOKUP(DATA!#REF!,DATA!#REF!,1,FALSE),"")</f>
        <v/>
      </c>
      <c r="D1617" s="16" t="str">
        <f>IFERROR(VLOOKUP(C1617,DATA!#REF!,2,FALSE),"")</f>
        <v/>
      </c>
    </row>
    <row r="1618" spans="2:4" s="237" customFormat="1">
      <c r="B1618" s="15" t="str">
        <f t="shared" si="58"/>
        <v/>
      </c>
      <c r="C1618" s="16" t="str">
        <f>IFERROR(VLOOKUP(DATA!#REF!,DATA!#REF!,1,FALSE),"")</f>
        <v/>
      </c>
      <c r="D1618" s="16" t="str">
        <f>IFERROR(VLOOKUP(C1618,DATA!#REF!,2,FALSE),"")</f>
        <v/>
      </c>
    </row>
    <row r="1619" spans="2:4" s="237" customFormat="1">
      <c r="B1619" s="15" t="str">
        <f t="shared" si="58"/>
        <v/>
      </c>
      <c r="C1619" s="16" t="str">
        <f>IFERROR(VLOOKUP(DATA!#REF!,DATA!#REF!,1,FALSE),"")</f>
        <v/>
      </c>
      <c r="D1619" s="16" t="str">
        <f>IFERROR(VLOOKUP(C1619,DATA!#REF!,2,FALSE),"")</f>
        <v/>
      </c>
    </row>
    <row r="1620" spans="2:4" s="237" customFormat="1">
      <c r="B1620" s="15" t="str">
        <f t="shared" si="58"/>
        <v/>
      </c>
      <c r="C1620" s="16" t="str">
        <f>IFERROR(VLOOKUP(DATA!#REF!,DATA!#REF!,1,FALSE),"")</f>
        <v/>
      </c>
      <c r="D1620" s="16" t="str">
        <f>IFERROR(VLOOKUP(C1620,DATA!#REF!,2,FALSE),"")</f>
        <v/>
      </c>
    </row>
    <row r="1621" spans="2:4" s="237" customFormat="1">
      <c r="B1621" s="15" t="str">
        <f t="shared" si="58"/>
        <v/>
      </c>
      <c r="C1621" s="16" t="str">
        <f>IFERROR(VLOOKUP(DATA!#REF!,DATA!#REF!,1,FALSE),"")</f>
        <v/>
      </c>
      <c r="D1621" s="16" t="str">
        <f>IFERROR(VLOOKUP(C1621,DATA!#REF!,2,FALSE),"")</f>
        <v/>
      </c>
    </row>
    <row r="1622" spans="2:4" s="237" customFormat="1">
      <c r="B1622" s="15" t="str">
        <f t="shared" si="58"/>
        <v/>
      </c>
      <c r="C1622" s="16" t="str">
        <f>IFERROR(VLOOKUP(DATA!#REF!,DATA!#REF!,1,FALSE),"")</f>
        <v/>
      </c>
      <c r="D1622" s="16" t="str">
        <f>IFERROR(VLOOKUP(C1622,DATA!#REF!,2,FALSE),"")</f>
        <v/>
      </c>
    </row>
    <row r="1623" spans="2:4" s="237" customFormat="1">
      <c r="B1623" s="15" t="str">
        <f t="shared" si="58"/>
        <v/>
      </c>
      <c r="C1623" s="16" t="str">
        <f>IFERROR(VLOOKUP(DATA!#REF!,DATA!#REF!,1,FALSE),"")</f>
        <v/>
      </c>
      <c r="D1623" s="16" t="str">
        <f>IFERROR(VLOOKUP(C1623,DATA!#REF!,2,FALSE),"")</f>
        <v/>
      </c>
    </row>
    <row r="1624" spans="2:4" s="237" customFormat="1">
      <c r="B1624" s="15" t="str">
        <f t="shared" si="58"/>
        <v/>
      </c>
      <c r="C1624" s="16" t="str">
        <f>IFERROR(VLOOKUP(DATA!#REF!,DATA!#REF!,1,FALSE),"")</f>
        <v/>
      </c>
      <c r="D1624" s="16" t="str">
        <f>IFERROR(VLOOKUP(C1624,DATA!#REF!,2,FALSE),"")</f>
        <v/>
      </c>
    </row>
    <row r="1625" spans="2:4" s="237" customFormat="1">
      <c r="B1625" s="15" t="str">
        <f t="shared" si="58"/>
        <v/>
      </c>
      <c r="C1625" s="16" t="str">
        <f>IFERROR(VLOOKUP(DATA!#REF!,DATA!#REF!,1,FALSE),"")</f>
        <v/>
      </c>
      <c r="D1625" s="16" t="str">
        <f>IFERROR(VLOOKUP(C1625,DATA!#REF!,2,FALSE),"")</f>
        <v/>
      </c>
    </row>
    <row r="1626" spans="2:4" s="237" customFormat="1">
      <c r="B1626" s="15" t="str">
        <f t="shared" si="58"/>
        <v/>
      </c>
      <c r="C1626" s="16" t="str">
        <f>IFERROR(VLOOKUP(DATA!#REF!,DATA!#REF!,1,FALSE),"")</f>
        <v/>
      </c>
      <c r="D1626" s="16" t="str">
        <f>IFERROR(VLOOKUP(C1626,DATA!#REF!,2,FALSE),"")</f>
        <v/>
      </c>
    </row>
    <row r="1627" spans="2:4" s="237" customFormat="1">
      <c r="B1627" s="15" t="str">
        <f t="shared" si="58"/>
        <v/>
      </c>
      <c r="C1627" s="16" t="str">
        <f>IFERROR(VLOOKUP(DATA!#REF!,DATA!#REF!,1,FALSE),"")</f>
        <v/>
      </c>
      <c r="D1627" s="16" t="str">
        <f>IFERROR(VLOOKUP(C1627,DATA!#REF!,2,FALSE),"")</f>
        <v/>
      </c>
    </row>
    <row r="1628" spans="2:4" s="237" customFormat="1">
      <c r="B1628" s="15" t="str">
        <f t="shared" si="58"/>
        <v/>
      </c>
      <c r="C1628" s="16" t="str">
        <f>IFERROR(VLOOKUP(DATA!#REF!,DATA!#REF!,1,FALSE),"")</f>
        <v/>
      </c>
      <c r="D1628" s="16" t="str">
        <f>IFERROR(VLOOKUP(C1628,DATA!#REF!,2,FALSE),"")</f>
        <v/>
      </c>
    </row>
    <row r="1629" spans="2:4" s="237" customFormat="1">
      <c r="B1629" s="15" t="str">
        <f t="shared" si="58"/>
        <v/>
      </c>
      <c r="C1629" s="16" t="str">
        <f>IFERROR(VLOOKUP(DATA!#REF!,DATA!#REF!,1,FALSE),"")</f>
        <v/>
      </c>
      <c r="D1629" s="16" t="str">
        <f>IFERROR(VLOOKUP(C1629,DATA!#REF!,2,FALSE),"")</f>
        <v/>
      </c>
    </row>
    <row r="1630" spans="2:4" s="237" customFormat="1">
      <c r="B1630" s="15" t="str">
        <f t="shared" si="58"/>
        <v/>
      </c>
      <c r="C1630" s="16" t="str">
        <f>IFERROR(VLOOKUP(DATA!#REF!,DATA!#REF!,1,FALSE),"")</f>
        <v/>
      </c>
      <c r="D1630" s="16" t="str">
        <f>IFERROR(VLOOKUP(C1630,DATA!#REF!,2,FALSE),"")</f>
        <v/>
      </c>
    </row>
    <row r="1631" spans="2:4" s="237" customFormat="1">
      <c r="B1631" s="15" t="str">
        <f t="shared" si="58"/>
        <v/>
      </c>
      <c r="C1631" s="16" t="str">
        <f>IFERROR(VLOOKUP(DATA!#REF!,DATA!#REF!,1,FALSE),"")</f>
        <v/>
      </c>
      <c r="D1631" s="16" t="str">
        <f>IFERROR(VLOOKUP(C1631,DATA!#REF!,2,FALSE),"")</f>
        <v/>
      </c>
    </row>
    <row r="1632" spans="2:4" s="237" customFormat="1">
      <c r="B1632" s="15" t="str">
        <f t="shared" si="58"/>
        <v/>
      </c>
      <c r="C1632" s="16" t="str">
        <f>IFERROR(VLOOKUP(DATA!#REF!,DATA!#REF!,1,FALSE),"")</f>
        <v/>
      </c>
      <c r="D1632" s="16" t="str">
        <f>IFERROR(VLOOKUP(C1632,DATA!#REF!,2,FALSE),"")</f>
        <v/>
      </c>
    </row>
    <row r="1633" spans="2:4" s="237" customFormat="1">
      <c r="B1633" s="15" t="str">
        <f t="shared" si="58"/>
        <v/>
      </c>
      <c r="C1633" s="16" t="str">
        <f>IFERROR(VLOOKUP(DATA!#REF!,DATA!#REF!,1,FALSE),"")</f>
        <v/>
      </c>
      <c r="D1633" s="16" t="str">
        <f>IFERROR(VLOOKUP(C1633,DATA!#REF!,2,FALSE),"")</f>
        <v/>
      </c>
    </row>
    <row r="1634" spans="2:4" s="237" customFormat="1">
      <c r="B1634" s="15" t="str">
        <f t="shared" si="58"/>
        <v/>
      </c>
      <c r="C1634" s="16" t="str">
        <f>IFERROR(VLOOKUP(DATA!#REF!,DATA!#REF!,1,FALSE),"")</f>
        <v/>
      </c>
      <c r="D1634" s="16" t="str">
        <f>IFERROR(VLOOKUP(C1634,DATA!#REF!,2,FALSE),"")</f>
        <v/>
      </c>
    </row>
    <row r="1635" spans="2:4" s="237" customFormat="1">
      <c r="B1635" s="15" t="str">
        <f t="shared" si="58"/>
        <v/>
      </c>
      <c r="C1635" s="16" t="str">
        <f>IFERROR(VLOOKUP(DATA!#REF!,DATA!#REF!,1,FALSE),"")</f>
        <v/>
      </c>
      <c r="D1635" s="16" t="str">
        <f>IFERROR(VLOOKUP(C1635,DATA!#REF!,2,FALSE),"")</f>
        <v/>
      </c>
    </row>
    <row r="1636" spans="2:4" s="237" customFormat="1">
      <c r="B1636" s="15" t="str">
        <f t="shared" si="58"/>
        <v/>
      </c>
      <c r="C1636" s="16" t="str">
        <f>IFERROR(VLOOKUP(DATA!#REF!,DATA!#REF!,1,FALSE),"")</f>
        <v/>
      </c>
      <c r="D1636" s="16" t="str">
        <f>IFERROR(VLOOKUP(C1636,DATA!#REF!,2,FALSE),"")</f>
        <v/>
      </c>
    </row>
    <row r="1637" spans="2:4" s="237" customFormat="1">
      <c r="B1637" s="15" t="str">
        <f t="shared" si="58"/>
        <v/>
      </c>
      <c r="C1637" s="16" t="str">
        <f>IFERROR(VLOOKUP(DATA!#REF!,DATA!#REF!,1,FALSE),"")</f>
        <v/>
      </c>
      <c r="D1637" s="16" t="str">
        <f>IFERROR(VLOOKUP(C1637,DATA!#REF!,2,FALSE),"")</f>
        <v/>
      </c>
    </row>
    <row r="1638" spans="2:4" s="237" customFormat="1">
      <c r="B1638" s="15" t="str">
        <f t="shared" si="58"/>
        <v/>
      </c>
      <c r="C1638" s="16" t="str">
        <f>IFERROR(VLOOKUP(DATA!#REF!,DATA!#REF!,1,FALSE),"")</f>
        <v/>
      </c>
      <c r="D1638" s="16" t="str">
        <f>IFERROR(VLOOKUP(C1638,DATA!#REF!,2,FALSE),"")</f>
        <v/>
      </c>
    </row>
    <row r="1639" spans="2:4" s="237" customFormat="1">
      <c r="B1639" s="15" t="str">
        <f t="shared" si="58"/>
        <v/>
      </c>
      <c r="C1639" s="16" t="str">
        <f>IFERROR(VLOOKUP(DATA!#REF!,DATA!#REF!,1,FALSE),"")</f>
        <v/>
      </c>
      <c r="D1639" s="16" t="str">
        <f>IFERROR(VLOOKUP(C1639,DATA!#REF!,2,FALSE),"")</f>
        <v/>
      </c>
    </row>
    <row r="1640" spans="2:4" s="237" customFormat="1">
      <c r="B1640" s="15" t="str">
        <f t="shared" si="58"/>
        <v/>
      </c>
      <c r="C1640" s="16" t="str">
        <f>IFERROR(VLOOKUP(DATA!#REF!,DATA!#REF!,1,FALSE),"")</f>
        <v/>
      </c>
      <c r="D1640" s="16" t="str">
        <f>IFERROR(VLOOKUP(C1640,DATA!#REF!,2,FALSE),"")</f>
        <v/>
      </c>
    </row>
    <row r="1641" spans="2:4" s="237" customFormat="1">
      <c r="B1641" s="15" t="str">
        <f t="shared" si="58"/>
        <v/>
      </c>
      <c r="C1641" s="16" t="str">
        <f>IFERROR(VLOOKUP(DATA!#REF!,DATA!#REF!,1,FALSE),"")</f>
        <v/>
      </c>
      <c r="D1641" s="16" t="str">
        <f>IFERROR(VLOOKUP(C1641,DATA!#REF!,2,FALSE),"")</f>
        <v/>
      </c>
    </row>
    <row r="1642" spans="2:4" s="237" customFormat="1">
      <c r="B1642" s="15" t="str">
        <f t="shared" si="58"/>
        <v/>
      </c>
      <c r="C1642" s="16" t="str">
        <f>IFERROR(VLOOKUP(DATA!#REF!,DATA!#REF!,1,FALSE),"")</f>
        <v/>
      </c>
      <c r="D1642" s="16" t="str">
        <f>IFERROR(VLOOKUP(C1642,DATA!#REF!,2,FALSE),"")</f>
        <v/>
      </c>
    </row>
    <row r="1643" spans="2:4" s="237" customFormat="1">
      <c r="B1643" s="15" t="str">
        <f t="shared" si="58"/>
        <v/>
      </c>
      <c r="C1643" s="16" t="str">
        <f>IFERROR(VLOOKUP(DATA!#REF!,DATA!#REF!,1,FALSE),"")</f>
        <v/>
      </c>
      <c r="D1643" s="16" t="str">
        <f>IFERROR(VLOOKUP(C1643,DATA!#REF!,2,FALSE),"")</f>
        <v/>
      </c>
    </row>
    <row r="1644" spans="2:4" s="237" customFormat="1">
      <c r="B1644" s="15" t="str">
        <f t="shared" si="58"/>
        <v/>
      </c>
      <c r="C1644" s="16" t="str">
        <f>IFERROR(VLOOKUP(DATA!#REF!,DATA!#REF!,1,FALSE),"")</f>
        <v/>
      </c>
      <c r="D1644" s="16" t="str">
        <f>IFERROR(VLOOKUP(C1644,DATA!#REF!,2,FALSE),"")</f>
        <v/>
      </c>
    </row>
    <row r="1645" spans="2:4" s="237" customFormat="1">
      <c r="B1645" s="15" t="str">
        <f t="shared" si="58"/>
        <v/>
      </c>
      <c r="C1645" s="16" t="str">
        <f>IFERROR(VLOOKUP(DATA!#REF!,DATA!#REF!,1,FALSE),"")</f>
        <v/>
      </c>
      <c r="D1645" s="16" t="str">
        <f>IFERROR(VLOOKUP(C1645,DATA!#REF!,2,FALSE),"")</f>
        <v/>
      </c>
    </row>
    <row r="1646" spans="2:4" s="237" customFormat="1">
      <c r="B1646" s="15" t="str">
        <f t="shared" si="58"/>
        <v/>
      </c>
      <c r="C1646" s="16" t="str">
        <f>IFERROR(VLOOKUP(DATA!#REF!,DATA!#REF!,1,FALSE),"")</f>
        <v/>
      </c>
      <c r="D1646" s="16" t="str">
        <f>IFERROR(VLOOKUP(C1646,DATA!#REF!,2,FALSE),"")</f>
        <v/>
      </c>
    </row>
    <row r="1647" spans="2:4" s="237" customFormat="1">
      <c r="B1647" s="15" t="str">
        <f t="shared" si="58"/>
        <v/>
      </c>
      <c r="C1647" s="16" t="str">
        <f>IFERROR(VLOOKUP(DATA!#REF!,DATA!#REF!,1,FALSE),"")</f>
        <v/>
      </c>
      <c r="D1647" s="16" t="str">
        <f>IFERROR(VLOOKUP(C1647,DATA!#REF!,2,FALSE),"")</f>
        <v/>
      </c>
    </row>
    <row r="1648" spans="2:4" s="237" customFormat="1">
      <c r="B1648" s="15" t="str">
        <f t="shared" si="58"/>
        <v/>
      </c>
      <c r="C1648" s="16" t="str">
        <f>IFERROR(VLOOKUP(DATA!#REF!,DATA!#REF!,1,FALSE),"")</f>
        <v/>
      </c>
      <c r="D1648" s="16" t="str">
        <f>IFERROR(VLOOKUP(C1648,DATA!#REF!,2,FALSE),"")</f>
        <v/>
      </c>
    </row>
    <row r="1649" spans="2:4" s="237" customFormat="1">
      <c r="B1649" s="15" t="str">
        <f t="shared" si="58"/>
        <v/>
      </c>
      <c r="C1649" s="16" t="str">
        <f>IFERROR(VLOOKUP(DATA!#REF!,DATA!#REF!,1,FALSE),"")</f>
        <v/>
      </c>
      <c r="D1649" s="16" t="str">
        <f>IFERROR(VLOOKUP(C1649,DATA!#REF!,2,FALSE),"")</f>
        <v/>
      </c>
    </row>
    <row r="1650" spans="2:4" s="237" customFormat="1">
      <c r="B1650" s="15" t="str">
        <f t="shared" si="58"/>
        <v/>
      </c>
      <c r="C1650" s="16" t="str">
        <f>IFERROR(VLOOKUP(DATA!#REF!,DATA!#REF!,1,FALSE),"")</f>
        <v/>
      </c>
      <c r="D1650" s="16" t="str">
        <f>IFERROR(VLOOKUP(C1650,DATA!#REF!,2,FALSE),"")</f>
        <v/>
      </c>
    </row>
    <row r="1651" spans="2:4" s="237" customFormat="1">
      <c r="B1651" s="15" t="str">
        <f t="shared" si="58"/>
        <v/>
      </c>
      <c r="C1651" s="16" t="str">
        <f>IFERROR(VLOOKUP(DATA!#REF!,DATA!#REF!,1,FALSE),"")</f>
        <v/>
      </c>
      <c r="D1651" s="16" t="str">
        <f>IFERROR(VLOOKUP(C1651,DATA!#REF!,2,FALSE),"")</f>
        <v/>
      </c>
    </row>
    <row r="1652" spans="2:4" s="237" customFormat="1">
      <c r="B1652" s="15" t="str">
        <f t="shared" si="58"/>
        <v/>
      </c>
      <c r="C1652" s="16" t="str">
        <f>IFERROR(VLOOKUP(DATA!#REF!,DATA!#REF!,1,FALSE),"")</f>
        <v/>
      </c>
      <c r="D1652" s="16" t="str">
        <f>IFERROR(VLOOKUP(C1652,DATA!#REF!,2,FALSE),"")</f>
        <v/>
      </c>
    </row>
    <row r="1653" spans="2:4" s="237" customFormat="1">
      <c r="B1653" s="15" t="str">
        <f t="shared" si="58"/>
        <v/>
      </c>
      <c r="C1653" s="16" t="str">
        <f>IFERROR(VLOOKUP(DATA!#REF!,DATA!#REF!,1,FALSE),"")</f>
        <v/>
      </c>
      <c r="D1653" s="16" t="str">
        <f>IFERROR(VLOOKUP(C1653,DATA!#REF!,2,FALSE),"")</f>
        <v/>
      </c>
    </row>
    <row r="1654" spans="2:4" s="237" customFormat="1">
      <c r="B1654" s="15" t="str">
        <f t="shared" si="58"/>
        <v/>
      </c>
      <c r="C1654" s="16" t="str">
        <f>IFERROR(VLOOKUP(DATA!#REF!,DATA!#REF!,1,FALSE),"")</f>
        <v/>
      </c>
      <c r="D1654" s="16" t="str">
        <f>IFERROR(VLOOKUP(C1654,DATA!#REF!,2,FALSE),"")</f>
        <v/>
      </c>
    </row>
    <row r="1655" spans="2:4" s="237" customFormat="1">
      <c r="B1655" s="15" t="str">
        <f t="shared" si="58"/>
        <v/>
      </c>
      <c r="C1655" s="16" t="str">
        <f>IFERROR(VLOOKUP(DATA!#REF!,DATA!#REF!,1,FALSE),"")</f>
        <v/>
      </c>
      <c r="D1655" s="16" t="str">
        <f>IFERROR(VLOOKUP(C1655,DATA!#REF!,2,FALSE),"")</f>
        <v/>
      </c>
    </row>
    <row r="1656" spans="2:4" s="237" customFormat="1">
      <c r="B1656" s="15" t="str">
        <f t="shared" si="58"/>
        <v/>
      </c>
      <c r="C1656" s="16" t="str">
        <f>IFERROR(VLOOKUP(DATA!#REF!,DATA!#REF!,1,FALSE),"")</f>
        <v/>
      </c>
      <c r="D1656" s="16" t="str">
        <f>IFERROR(VLOOKUP(C1656,DATA!#REF!,2,FALSE),"")</f>
        <v/>
      </c>
    </row>
    <row r="1657" spans="2:4" s="237" customFormat="1">
      <c r="B1657" s="15" t="str">
        <f t="shared" si="58"/>
        <v/>
      </c>
      <c r="C1657" s="16" t="str">
        <f>IFERROR(VLOOKUP(DATA!#REF!,DATA!#REF!,1,FALSE),"")</f>
        <v/>
      </c>
      <c r="D1657" s="16" t="str">
        <f>IFERROR(VLOOKUP(C1657,DATA!#REF!,2,FALSE),"")</f>
        <v/>
      </c>
    </row>
    <row r="1658" spans="2:4" s="237" customFormat="1">
      <c r="B1658" s="15" t="str">
        <f t="shared" si="58"/>
        <v/>
      </c>
      <c r="C1658" s="16" t="str">
        <f>IFERROR(VLOOKUP(DATA!#REF!,DATA!#REF!,1,FALSE),"")</f>
        <v/>
      </c>
      <c r="D1658" s="16" t="str">
        <f>IFERROR(VLOOKUP(C1658,DATA!#REF!,2,FALSE),"")</f>
        <v/>
      </c>
    </row>
    <row r="1659" spans="2:4" s="237" customFormat="1">
      <c r="B1659" s="15" t="str">
        <f t="shared" si="58"/>
        <v/>
      </c>
      <c r="C1659" s="16" t="str">
        <f>IFERROR(VLOOKUP(DATA!#REF!,DATA!#REF!,1,FALSE),"")</f>
        <v/>
      </c>
      <c r="D1659" s="16" t="str">
        <f>IFERROR(VLOOKUP(C1659,DATA!#REF!,2,FALSE),"")</f>
        <v/>
      </c>
    </row>
    <row r="1660" spans="2:4" s="237" customFormat="1">
      <c r="B1660" s="15" t="str">
        <f t="shared" si="58"/>
        <v/>
      </c>
      <c r="C1660" s="16" t="str">
        <f>IFERROR(VLOOKUP(DATA!#REF!,DATA!#REF!,1,FALSE),"")</f>
        <v/>
      </c>
      <c r="D1660" s="16" t="str">
        <f>IFERROR(VLOOKUP(C1660,DATA!#REF!,2,FALSE),"")</f>
        <v/>
      </c>
    </row>
    <row r="1661" spans="2:4" s="237" customFormat="1">
      <c r="B1661" s="15" t="str">
        <f t="shared" si="58"/>
        <v/>
      </c>
      <c r="C1661" s="16" t="str">
        <f>IFERROR(VLOOKUP(DATA!#REF!,DATA!#REF!,1,FALSE),"")</f>
        <v/>
      </c>
      <c r="D1661" s="16" t="str">
        <f>IFERROR(VLOOKUP(C1661,DATA!#REF!,2,FALSE),"")</f>
        <v/>
      </c>
    </row>
    <row r="1662" spans="2:4" s="237" customFormat="1">
      <c r="B1662" s="15" t="str">
        <f t="shared" si="58"/>
        <v/>
      </c>
      <c r="C1662" s="16" t="str">
        <f>IFERROR(VLOOKUP(DATA!#REF!,DATA!#REF!,1,FALSE),"")</f>
        <v/>
      </c>
      <c r="D1662" s="16" t="str">
        <f>IFERROR(VLOOKUP(C1662,DATA!#REF!,2,FALSE),"")</f>
        <v/>
      </c>
    </row>
    <row r="1663" spans="2:4" s="237" customFormat="1">
      <c r="B1663" s="15" t="str">
        <f t="shared" si="58"/>
        <v/>
      </c>
      <c r="C1663" s="16" t="str">
        <f>IFERROR(VLOOKUP(DATA!#REF!,DATA!#REF!,1,FALSE),"")</f>
        <v/>
      </c>
      <c r="D1663" s="16" t="str">
        <f>IFERROR(VLOOKUP(C1663,DATA!#REF!,2,FALSE),"")</f>
        <v/>
      </c>
    </row>
    <row r="1664" spans="2:4" s="237" customFormat="1">
      <c r="B1664" s="15" t="str">
        <f t="shared" si="58"/>
        <v/>
      </c>
      <c r="C1664" s="16" t="str">
        <f>IFERROR(VLOOKUP(DATA!#REF!,DATA!#REF!,1,FALSE),"")</f>
        <v/>
      </c>
      <c r="D1664" s="16" t="str">
        <f>IFERROR(VLOOKUP(C1664,DATA!#REF!,2,FALSE),"")</f>
        <v/>
      </c>
    </row>
    <row r="1665" spans="2:4" s="237" customFormat="1">
      <c r="B1665" s="15" t="str">
        <f t="shared" si="58"/>
        <v/>
      </c>
      <c r="C1665" s="16" t="str">
        <f>IFERROR(VLOOKUP(DATA!#REF!,DATA!#REF!,1,FALSE),"")</f>
        <v/>
      </c>
      <c r="D1665" s="16" t="str">
        <f>IFERROR(VLOOKUP(C1665,DATA!#REF!,2,FALSE),"")</f>
        <v/>
      </c>
    </row>
    <row r="1666" spans="2:4" s="237" customFormat="1">
      <c r="B1666" s="15" t="str">
        <f t="shared" si="58"/>
        <v/>
      </c>
      <c r="C1666" s="16" t="str">
        <f>IFERROR(VLOOKUP(DATA!#REF!,DATA!#REF!,1,FALSE),"")</f>
        <v/>
      </c>
      <c r="D1666" s="16" t="str">
        <f>IFERROR(VLOOKUP(C1666,DATA!#REF!,2,FALSE),"")</f>
        <v/>
      </c>
    </row>
    <row r="1667" spans="2:4" s="237" customFormat="1">
      <c r="B1667" s="15" t="str">
        <f t="shared" si="58"/>
        <v/>
      </c>
      <c r="C1667" s="16" t="str">
        <f>IFERROR(VLOOKUP(DATA!#REF!,DATA!#REF!,1,FALSE),"")</f>
        <v/>
      </c>
      <c r="D1667" s="16" t="str">
        <f>IFERROR(VLOOKUP(C1667,DATA!#REF!,2,FALSE),"")</f>
        <v/>
      </c>
    </row>
    <row r="1668" spans="2:4" s="237" customFormat="1">
      <c r="B1668" s="15" t="str">
        <f t="shared" si="58"/>
        <v/>
      </c>
      <c r="C1668" s="16" t="str">
        <f>IFERROR(VLOOKUP(DATA!#REF!,DATA!#REF!,1,FALSE),"")</f>
        <v/>
      </c>
      <c r="D1668" s="16" t="str">
        <f>IFERROR(VLOOKUP(C1668,DATA!#REF!,2,FALSE),"")</f>
        <v/>
      </c>
    </row>
    <row r="1669" spans="2:4" s="237" customFormat="1">
      <c r="B1669" s="15" t="str">
        <f t="shared" si="58"/>
        <v/>
      </c>
      <c r="C1669" s="16" t="str">
        <f>IFERROR(VLOOKUP(DATA!#REF!,DATA!#REF!,1,FALSE),"")</f>
        <v/>
      </c>
      <c r="D1669" s="16" t="str">
        <f>IFERROR(VLOOKUP(C1669,DATA!#REF!,2,FALSE),"")</f>
        <v/>
      </c>
    </row>
    <row r="1670" spans="2:4" s="237" customFormat="1">
      <c r="B1670" s="15" t="str">
        <f t="shared" ref="B1670:B1733" si="59">+IF(C1670="","",ROW()-5)</f>
        <v/>
      </c>
      <c r="C1670" s="16" t="str">
        <f>IFERROR(VLOOKUP(DATA!#REF!,DATA!#REF!,1,FALSE),"")</f>
        <v/>
      </c>
      <c r="D1670" s="16" t="str">
        <f>IFERROR(VLOOKUP(C1670,DATA!#REF!,2,FALSE),"")</f>
        <v/>
      </c>
    </row>
    <row r="1671" spans="2:4" s="237" customFormat="1">
      <c r="B1671" s="15" t="str">
        <f t="shared" si="59"/>
        <v/>
      </c>
      <c r="C1671" s="16" t="str">
        <f>IFERROR(VLOOKUP(DATA!#REF!,DATA!#REF!,1,FALSE),"")</f>
        <v/>
      </c>
      <c r="D1671" s="16" t="str">
        <f>IFERROR(VLOOKUP(C1671,DATA!#REF!,2,FALSE),"")</f>
        <v/>
      </c>
    </row>
    <row r="1672" spans="2:4" s="237" customFormat="1">
      <c r="B1672" s="15" t="str">
        <f t="shared" si="59"/>
        <v/>
      </c>
      <c r="C1672" s="16" t="str">
        <f>IFERROR(VLOOKUP(DATA!#REF!,DATA!#REF!,1,FALSE),"")</f>
        <v/>
      </c>
      <c r="D1672" s="16" t="str">
        <f>IFERROR(VLOOKUP(C1672,DATA!#REF!,2,FALSE),"")</f>
        <v/>
      </c>
    </row>
    <row r="1673" spans="2:4" s="237" customFormat="1">
      <c r="B1673" s="15" t="str">
        <f t="shared" si="59"/>
        <v/>
      </c>
      <c r="C1673" s="16" t="str">
        <f>IFERROR(VLOOKUP(DATA!#REF!,DATA!#REF!,1,FALSE),"")</f>
        <v/>
      </c>
      <c r="D1673" s="16" t="str">
        <f>IFERROR(VLOOKUP(C1673,DATA!#REF!,2,FALSE),"")</f>
        <v/>
      </c>
    </row>
    <row r="1674" spans="2:4" s="237" customFormat="1">
      <c r="B1674" s="15" t="str">
        <f t="shared" si="59"/>
        <v/>
      </c>
      <c r="C1674" s="16" t="str">
        <f>IFERROR(VLOOKUP(DATA!#REF!,DATA!#REF!,1,FALSE),"")</f>
        <v/>
      </c>
      <c r="D1674" s="16" t="str">
        <f>IFERROR(VLOOKUP(C1674,DATA!#REF!,2,FALSE),"")</f>
        <v/>
      </c>
    </row>
    <row r="1675" spans="2:4" s="237" customFormat="1">
      <c r="B1675" s="15" t="str">
        <f t="shared" si="59"/>
        <v/>
      </c>
      <c r="C1675" s="16" t="str">
        <f>IFERROR(VLOOKUP(DATA!#REF!,DATA!#REF!,1,FALSE),"")</f>
        <v/>
      </c>
      <c r="D1675" s="16" t="str">
        <f>IFERROR(VLOOKUP(C1675,DATA!#REF!,2,FALSE),"")</f>
        <v/>
      </c>
    </row>
    <row r="1676" spans="2:4" s="237" customFormat="1">
      <c r="B1676" s="15" t="str">
        <f t="shared" si="59"/>
        <v/>
      </c>
      <c r="C1676" s="16" t="str">
        <f>IFERROR(VLOOKUP(DATA!#REF!,DATA!#REF!,1,FALSE),"")</f>
        <v/>
      </c>
      <c r="D1676" s="16" t="str">
        <f>IFERROR(VLOOKUP(C1676,DATA!#REF!,2,FALSE),"")</f>
        <v/>
      </c>
    </row>
    <row r="1677" spans="2:4" s="237" customFormat="1">
      <c r="B1677" s="15" t="str">
        <f t="shared" si="59"/>
        <v/>
      </c>
      <c r="C1677" s="16" t="str">
        <f>IFERROR(VLOOKUP(DATA!#REF!,DATA!#REF!,1,FALSE),"")</f>
        <v/>
      </c>
      <c r="D1677" s="16" t="str">
        <f>IFERROR(VLOOKUP(C1677,DATA!#REF!,2,FALSE),"")</f>
        <v/>
      </c>
    </row>
    <row r="1678" spans="2:4" s="237" customFormat="1">
      <c r="B1678" s="15" t="str">
        <f t="shared" si="59"/>
        <v/>
      </c>
      <c r="C1678" s="16" t="str">
        <f>IFERROR(VLOOKUP(DATA!#REF!,DATA!#REF!,1,FALSE),"")</f>
        <v/>
      </c>
      <c r="D1678" s="16" t="str">
        <f>IFERROR(VLOOKUP(C1678,DATA!#REF!,2,FALSE),"")</f>
        <v/>
      </c>
    </row>
    <row r="1679" spans="2:4" s="237" customFormat="1">
      <c r="B1679" s="15" t="str">
        <f t="shared" si="59"/>
        <v/>
      </c>
      <c r="C1679" s="16" t="str">
        <f>IFERROR(VLOOKUP(DATA!#REF!,DATA!#REF!,1,FALSE),"")</f>
        <v/>
      </c>
      <c r="D1679" s="16" t="str">
        <f>IFERROR(VLOOKUP(C1679,DATA!#REF!,2,FALSE),"")</f>
        <v/>
      </c>
    </row>
    <row r="1680" spans="2:4" s="237" customFormat="1">
      <c r="B1680" s="15" t="str">
        <f t="shared" si="59"/>
        <v/>
      </c>
      <c r="C1680" s="16" t="str">
        <f>IFERROR(VLOOKUP(DATA!#REF!,DATA!#REF!,1,FALSE),"")</f>
        <v/>
      </c>
      <c r="D1680" s="16" t="str">
        <f>IFERROR(VLOOKUP(C1680,DATA!#REF!,2,FALSE),"")</f>
        <v/>
      </c>
    </row>
    <row r="1681" spans="2:4" s="237" customFormat="1">
      <c r="B1681" s="15" t="str">
        <f t="shared" si="59"/>
        <v/>
      </c>
      <c r="C1681" s="16" t="str">
        <f>IFERROR(VLOOKUP(DATA!#REF!,DATA!#REF!,1,FALSE),"")</f>
        <v/>
      </c>
      <c r="D1681" s="16" t="str">
        <f>IFERROR(VLOOKUP(C1681,DATA!#REF!,2,FALSE),"")</f>
        <v/>
      </c>
    </row>
    <row r="1682" spans="2:4" s="237" customFormat="1">
      <c r="B1682" s="15" t="str">
        <f t="shared" si="59"/>
        <v/>
      </c>
      <c r="C1682" s="16" t="str">
        <f>IFERROR(VLOOKUP(DATA!#REF!,DATA!#REF!,1,FALSE),"")</f>
        <v/>
      </c>
      <c r="D1682" s="16" t="str">
        <f>IFERROR(VLOOKUP(C1682,DATA!#REF!,2,FALSE),"")</f>
        <v/>
      </c>
    </row>
    <row r="1683" spans="2:4" s="237" customFormat="1">
      <c r="B1683" s="15" t="str">
        <f t="shared" si="59"/>
        <v/>
      </c>
      <c r="C1683" s="16" t="str">
        <f>IFERROR(VLOOKUP(DATA!#REF!,DATA!#REF!,1,FALSE),"")</f>
        <v/>
      </c>
      <c r="D1683" s="16" t="str">
        <f>IFERROR(VLOOKUP(C1683,DATA!#REF!,2,FALSE),"")</f>
        <v/>
      </c>
    </row>
    <row r="1684" spans="2:4" s="237" customFormat="1">
      <c r="B1684" s="15" t="str">
        <f t="shared" si="59"/>
        <v/>
      </c>
      <c r="C1684" s="16" t="str">
        <f>IFERROR(VLOOKUP(DATA!#REF!,DATA!#REF!,1,FALSE),"")</f>
        <v/>
      </c>
      <c r="D1684" s="16" t="str">
        <f>IFERROR(VLOOKUP(C1684,DATA!#REF!,2,FALSE),"")</f>
        <v/>
      </c>
    </row>
    <row r="1685" spans="2:4" s="237" customFormat="1">
      <c r="B1685" s="15" t="str">
        <f t="shared" si="59"/>
        <v/>
      </c>
      <c r="C1685" s="16" t="str">
        <f>IFERROR(VLOOKUP(DATA!#REF!,DATA!#REF!,1,FALSE),"")</f>
        <v/>
      </c>
      <c r="D1685" s="16" t="str">
        <f>IFERROR(VLOOKUP(C1685,DATA!#REF!,2,FALSE),"")</f>
        <v/>
      </c>
    </row>
    <row r="1686" spans="2:4" s="237" customFormat="1">
      <c r="B1686" s="15" t="str">
        <f t="shared" si="59"/>
        <v/>
      </c>
      <c r="C1686" s="16" t="str">
        <f>IFERROR(VLOOKUP(DATA!#REF!,DATA!#REF!,1,FALSE),"")</f>
        <v/>
      </c>
      <c r="D1686" s="16" t="str">
        <f>IFERROR(VLOOKUP(C1686,DATA!#REF!,2,FALSE),"")</f>
        <v/>
      </c>
    </row>
    <row r="1687" spans="2:4" s="237" customFormat="1">
      <c r="B1687" s="15" t="str">
        <f t="shared" si="59"/>
        <v/>
      </c>
      <c r="C1687" s="16" t="str">
        <f>IFERROR(VLOOKUP(DATA!#REF!,DATA!#REF!,1,FALSE),"")</f>
        <v/>
      </c>
      <c r="D1687" s="16" t="str">
        <f>IFERROR(VLOOKUP(C1687,DATA!#REF!,2,FALSE),"")</f>
        <v/>
      </c>
    </row>
    <row r="1688" spans="2:4" s="237" customFormat="1">
      <c r="B1688" s="15" t="str">
        <f t="shared" si="59"/>
        <v/>
      </c>
      <c r="C1688" s="16" t="str">
        <f>IFERROR(VLOOKUP(DATA!#REF!,DATA!#REF!,1,FALSE),"")</f>
        <v/>
      </c>
      <c r="D1688" s="16" t="str">
        <f>IFERROR(VLOOKUP(C1688,DATA!#REF!,2,FALSE),"")</f>
        <v/>
      </c>
    </row>
    <row r="1689" spans="2:4" s="237" customFormat="1">
      <c r="B1689" s="15" t="str">
        <f t="shared" si="59"/>
        <v/>
      </c>
      <c r="C1689" s="16" t="str">
        <f>IFERROR(VLOOKUP(DATA!#REF!,DATA!#REF!,1,FALSE),"")</f>
        <v/>
      </c>
      <c r="D1689" s="16" t="str">
        <f>IFERROR(VLOOKUP(C1689,DATA!#REF!,2,FALSE),"")</f>
        <v/>
      </c>
    </row>
    <row r="1690" spans="2:4" s="237" customFormat="1">
      <c r="B1690" s="15" t="str">
        <f t="shared" si="59"/>
        <v/>
      </c>
      <c r="C1690" s="16" t="str">
        <f>IFERROR(VLOOKUP(DATA!#REF!,DATA!#REF!,1,FALSE),"")</f>
        <v/>
      </c>
      <c r="D1690" s="16" t="str">
        <f>IFERROR(VLOOKUP(C1690,DATA!#REF!,2,FALSE),"")</f>
        <v/>
      </c>
    </row>
    <row r="1691" spans="2:4" s="237" customFormat="1">
      <c r="B1691" s="15" t="str">
        <f t="shared" si="59"/>
        <v/>
      </c>
      <c r="C1691" s="16" t="str">
        <f>IFERROR(VLOOKUP(DATA!#REF!,DATA!#REF!,1,FALSE),"")</f>
        <v/>
      </c>
      <c r="D1691" s="16" t="str">
        <f>IFERROR(VLOOKUP(C1691,DATA!#REF!,2,FALSE),"")</f>
        <v/>
      </c>
    </row>
    <row r="1692" spans="2:4" s="237" customFormat="1">
      <c r="B1692" s="15" t="str">
        <f t="shared" si="59"/>
        <v/>
      </c>
      <c r="C1692" s="16" t="str">
        <f>IFERROR(VLOOKUP(DATA!#REF!,DATA!#REF!,1,FALSE),"")</f>
        <v/>
      </c>
      <c r="D1692" s="16" t="str">
        <f>IFERROR(VLOOKUP(C1692,DATA!#REF!,2,FALSE),"")</f>
        <v/>
      </c>
    </row>
    <row r="1693" spans="2:4" s="237" customFormat="1">
      <c r="B1693" s="15" t="str">
        <f t="shared" si="59"/>
        <v/>
      </c>
      <c r="C1693" s="16" t="str">
        <f>IFERROR(VLOOKUP(DATA!#REF!,DATA!#REF!,1,FALSE),"")</f>
        <v/>
      </c>
      <c r="D1693" s="16" t="str">
        <f>IFERROR(VLOOKUP(C1693,DATA!#REF!,2,FALSE),"")</f>
        <v/>
      </c>
    </row>
    <row r="1694" spans="2:4" s="237" customFormat="1">
      <c r="B1694" s="15" t="str">
        <f t="shared" si="59"/>
        <v/>
      </c>
      <c r="C1694" s="16" t="str">
        <f>IFERROR(VLOOKUP(DATA!#REF!,DATA!#REF!,1,FALSE),"")</f>
        <v/>
      </c>
      <c r="D1694" s="16" t="str">
        <f>IFERROR(VLOOKUP(C1694,DATA!#REF!,2,FALSE),"")</f>
        <v/>
      </c>
    </row>
    <row r="1695" spans="2:4" s="237" customFormat="1">
      <c r="B1695" s="15" t="str">
        <f t="shared" si="59"/>
        <v/>
      </c>
      <c r="C1695" s="16" t="str">
        <f>IFERROR(VLOOKUP(DATA!#REF!,DATA!#REF!,1,FALSE),"")</f>
        <v/>
      </c>
      <c r="D1695" s="16" t="str">
        <f>IFERROR(VLOOKUP(C1695,DATA!#REF!,2,FALSE),"")</f>
        <v/>
      </c>
    </row>
    <row r="1696" spans="2:4" s="237" customFormat="1">
      <c r="B1696" s="15" t="str">
        <f t="shared" si="59"/>
        <v/>
      </c>
      <c r="C1696" s="16" t="str">
        <f>IFERROR(VLOOKUP(DATA!#REF!,DATA!#REF!,1,FALSE),"")</f>
        <v/>
      </c>
      <c r="D1696" s="16" t="str">
        <f>IFERROR(VLOOKUP(C1696,DATA!#REF!,2,FALSE),"")</f>
        <v/>
      </c>
    </row>
    <row r="1697" spans="2:4" s="237" customFormat="1">
      <c r="B1697" s="15" t="str">
        <f t="shared" si="59"/>
        <v/>
      </c>
      <c r="C1697" s="16" t="str">
        <f>IFERROR(VLOOKUP(DATA!#REF!,DATA!#REF!,1,FALSE),"")</f>
        <v/>
      </c>
      <c r="D1697" s="16" t="str">
        <f>IFERROR(VLOOKUP(C1697,DATA!#REF!,2,FALSE),"")</f>
        <v/>
      </c>
    </row>
    <row r="1698" spans="2:4" s="237" customFormat="1">
      <c r="B1698" s="15" t="str">
        <f t="shared" si="59"/>
        <v/>
      </c>
      <c r="C1698" s="16" t="str">
        <f>IFERROR(VLOOKUP(DATA!#REF!,DATA!#REF!,1,FALSE),"")</f>
        <v/>
      </c>
      <c r="D1698" s="16" t="str">
        <f>IFERROR(VLOOKUP(C1698,DATA!#REF!,2,FALSE),"")</f>
        <v/>
      </c>
    </row>
    <row r="1699" spans="2:4" s="237" customFormat="1">
      <c r="B1699" s="15" t="str">
        <f t="shared" si="59"/>
        <v/>
      </c>
      <c r="C1699" s="16" t="str">
        <f>IFERROR(VLOOKUP(DATA!#REF!,DATA!#REF!,1,FALSE),"")</f>
        <v/>
      </c>
      <c r="D1699" s="16" t="str">
        <f>IFERROR(VLOOKUP(C1699,DATA!#REF!,2,FALSE),"")</f>
        <v/>
      </c>
    </row>
    <row r="1700" spans="2:4" s="237" customFormat="1">
      <c r="B1700" s="15" t="str">
        <f t="shared" si="59"/>
        <v/>
      </c>
      <c r="C1700" s="16" t="str">
        <f>IFERROR(VLOOKUP(DATA!#REF!,DATA!#REF!,1,FALSE),"")</f>
        <v/>
      </c>
      <c r="D1700" s="16" t="str">
        <f>IFERROR(VLOOKUP(C1700,DATA!#REF!,2,FALSE),"")</f>
        <v/>
      </c>
    </row>
    <row r="1701" spans="2:4" s="237" customFormat="1">
      <c r="B1701" s="15" t="str">
        <f t="shared" si="59"/>
        <v/>
      </c>
      <c r="C1701" s="16" t="str">
        <f>IFERROR(VLOOKUP(DATA!#REF!,DATA!#REF!,1,FALSE),"")</f>
        <v/>
      </c>
      <c r="D1701" s="16" t="str">
        <f>IFERROR(VLOOKUP(C1701,DATA!#REF!,2,FALSE),"")</f>
        <v/>
      </c>
    </row>
    <row r="1702" spans="2:4" s="237" customFormat="1">
      <c r="B1702" s="15" t="str">
        <f t="shared" si="59"/>
        <v/>
      </c>
      <c r="C1702" s="16" t="str">
        <f>IFERROR(VLOOKUP(DATA!#REF!,DATA!#REF!,1,FALSE),"")</f>
        <v/>
      </c>
      <c r="D1702" s="16" t="str">
        <f>IFERROR(VLOOKUP(C1702,DATA!#REF!,2,FALSE),"")</f>
        <v/>
      </c>
    </row>
    <row r="1703" spans="2:4" s="237" customFormat="1">
      <c r="B1703" s="15" t="str">
        <f t="shared" si="59"/>
        <v/>
      </c>
      <c r="C1703" s="16" t="str">
        <f>IFERROR(VLOOKUP(DATA!#REF!,DATA!#REF!,1,FALSE),"")</f>
        <v/>
      </c>
      <c r="D1703" s="16" t="str">
        <f>IFERROR(VLOOKUP(C1703,DATA!#REF!,2,FALSE),"")</f>
        <v/>
      </c>
    </row>
    <row r="1704" spans="2:4" s="237" customFormat="1">
      <c r="B1704" s="15" t="str">
        <f t="shared" si="59"/>
        <v/>
      </c>
      <c r="C1704" s="16" t="str">
        <f>IFERROR(VLOOKUP(DATA!#REF!,DATA!#REF!,1,FALSE),"")</f>
        <v/>
      </c>
      <c r="D1704" s="16" t="str">
        <f>IFERROR(VLOOKUP(C1704,DATA!#REF!,2,FALSE),"")</f>
        <v/>
      </c>
    </row>
    <row r="1705" spans="2:4" s="237" customFormat="1">
      <c r="B1705" s="15" t="str">
        <f t="shared" si="59"/>
        <v/>
      </c>
      <c r="C1705" s="16" t="str">
        <f>IFERROR(VLOOKUP(DATA!#REF!,DATA!#REF!,1,FALSE),"")</f>
        <v/>
      </c>
      <c r="D1705" s="16" t="str">
        <f>IFERROR(VLOOKUP(C1705,DATA!#REF!,2,FALSE),"")</f>
        <v/>
      </c>
    </row>
    <row r="1706" spans="2:4" s="237" customFormat="1">
      <c r="B1706" s="15" t="str">
        <f t="shared" si="59"/>
        <v/>
      </c>
      <c r="C1706" s="16" t="str">
        <f>IFERROR(VLOOKUP(DATA!#REF!,DATA!#REF!,1,FALSE),"")</f>
        <v/>
      </c>
      <c r="D1706" s="16" t="str">
        <f>IFERROR(VLOOKUP(C1706,DATA!#REF!,2,FALSE),"")</f>
        <v/>
      </c>
    </row>
    <row r="1707" spans="2:4" s="237" customFormat="1">
      <c r="B1707" s="15" t="str">
        <f t="shared" si="59"/>
        <v/>
      </c>
      <c r="C1707" s="16" t="str">
        <f>IFERROR(VLOOKUP(DATA!#REF!,DATA!#REF!,1,FALSE),"")</f>
        <v/>
      </c>
      <c r="D1707" s="16" t="str">
        <f>IFERROR(VLOOKUP(C1707,DATA!#REF!,2,FALSE),"")</f>
        <v/>
      </c>
    </row>
    <row r="1708" spans="2:4" s="237" customFormat="1">
      <c r="B1708" s="15" t="str">
        <f t="shared" si="59"/>
        <v/>
      </c>
      <c r="C1708" s="16" t="str">
        <f>IFERROR(VLOOKUP(DATA!#REF!,DATA!#REF!,1,FALSE),"")</f>
        <v/>
      </c>
      <c r="D1708" s="16" t="str">
        <f>IFERROR(VLOOKUP(C1708,DATA!#REF!,2,FALSE),"")</f>
        <v/>
      </c>
    </row>
    <row r="1709" spans="2:4" s="237" customFormat="1">
      <c r="B1709" s="15" t="str">
        <f t="shared" si="59"/>
        <v/>
      </c>
      <c r="C1709" s="16" t="str">
        <f>IFERROR(VLOOKUP(DATA!#REF!,DATA!#REF!,1,FALSE),"")</f>
        <v/>
      </c>
      <c r="D1709" s="16" t="str">
        <f>IFERROR(VLOOKUP(C1709,DATA!#REF!,2,FALSE),"")</f>
        <v/>
      </c>
    </row>
    <row r="1710" spans="2:4" s="237" customFormat="1">
      <c r="B1710" s="15" t="str">
        <f t="shared" si="59"/>
        <v/>
      </c>
      <c r="C1710" s="16" t="str">
        <f>IFERROR(VLOOKUP(DATA!#REF!,DATA!#REF!,1,FALSE),"")</f>
        <v/>
      </c>
      <c r="D1710" s="16" t="str">
        <f>IFERROR(VLOOKUP(C1710,DATA!#REF!,2,FALSE),"")</f>
        <v/>
      </c>
    </row>
    <row r="1711" spans="2:4" s="237" customFormat="1">
      <c r="B1711" s="15" t="str">
        <f t="shared" si="59"/>
        <v/>
      </c>
      <c r="C1711" s="16" t="str">
        <f>IFERROR(VLOOKUP(DATA!#REF!,DATA!#REF!,1,FALSE),"")</f>
        <v/>
      </c>
      <c r="D1711" s="16" t="str">
        <f>IFERROR(VLOOKUP(C1711,DATA!#REF!,2,FALSE),"")</f>
        <v/>
      </c>
    </row>
    <row r="1712" spans="2:4" s="237" customFormat="1">
      <c r="B1712" s="15" t="str">
        <f t="shared" si="59"/>
        <v/>
      </c>
      <c r="C1712" s="16" t="str">
        <f>IFERROR(VLOOKUP(DATA!#REF!,DATA!#REF!,1,FALSE),"")</f>
        <v/>
      </c>
      <c r="D1712" s="16" t="str">
        <f>IFERROR(VLOOKUP(C1712,DATA!#REF!,2,FALSE),"")</f>
        <v/>
      </c>
    </row>
    <row r="1713" spans="2:4" s="237" customFormat="1">
      <c r="B1713" s="15" t="str">
        <f t="shared" si="59"/>
        <v/>
      </c>
      <c r="C1713" s="16" t="str">
        <f>IFERROR(VLOOKUP(DATA!#REF!,DATA!#REF!,1,FALSE),"")</f>
        <v/>
      </c>
      <c r="D1713" s="16" t="str">
        <f>IFERROR(VLOOKUP(C1713,DATA!#REF!,2,FALSE),"")</f>
        <v/>
      </c>
    </row>
    <row r="1714" spans="2:4" s="237" customFormat="1">
      <c r="B1714" s="15" t="str">
        <f t="shared" si="59"/>
        <v/>
      </c>
      <c r="C1714" s="16" t="str">
        <f>IFERROR(VLOOKUP(DATA!#REF!,DATA!#REF!,1,FALSE),"")</f>
        <v/>
      </c>
      <c r="D1714" s="16" t="str">
        <f>IFERROR(VLOOKUP(C1714,DATA!#REF!,2,FALSE),"")</f>
        <v/>
      </c>
    </row>
    <row r="1715" spans="2:4" s="237" customFormat="1">
      <c r="B1715" s="15" t="str">
        <f t="shared" si="59"/>
        <v/>
      </c>
      <c r="C1715" s="16" t="str">
        <f>IFERROR(VLOOKUP(DATA!#REF!,DATA!#REF!,1,FALSE),"")</f>
        <v/>
      </c>
      <c r="D1715" s="16" t="str">
        <f>IFERROR(VLOOKUP(C1715,DATA!#REF!,2,FALSE),"")</f>
        <v/>
      </c>
    </row>
    <row r="1716" spans="2:4" s="237" customFormat="1">
      <c r="B1716" s="15" t="str">
        <f t="shared" si="59"/>
        <v/>
      </c>
      <c r="C1716" s="16" t="str">
        <f>IFERROR(VLOOKUP(DATA!#REF!,DATA!#REF!,1,FALSE),"")</f>
        <v/>
      </c>
      <c r="D1716" s="16" t="str">
        <f>IFERROR(VLOOKUP(C1716,DATA!#REF!,2,FALSE),"")</f>
        <v/>
      </c>
    </row>
    <row r="1717" spans="2:4" s="237" customFormat="1">
      <c r="B1717" s="15" t="str">
        <f t="shared" si="59"/>
        <v/>
      </c>
      <c r="C1717" s="16" t="str">
        <f>IFERROR(VLOOKUP(DATA!#REF!,DATA!#REF!,1,FALSE),"")</f>
        <v/>
      </c>
      <c r="D1717" s="16" t="str">
        <f>IFERROR(VLOOKUP(C1717,DATA!#REF!,2,FALSE),"")</f>
        <v/>
      </c>
    </row>
    <row r="1718" spans="2:4" s="237" customFormat="1">
      <c r="B1718" s="15" t="str">
        <f t="shared" si="59"/>
        <v/>
      </c>
      <c r="C1718" s="16" t="str">
        <f>IFERROR(VLOOKUP(DATA!#REF!,DATA!#REF!,1,FALSE),"")</f>
        <v/>
      </c>
      <c r="D1718" s="16" t="str">
        <f>IFERROR(VLOOKUP(C1718,DATA!#REF!,2,FALSE),"")</f>
        <v/>
      </c>
    </row>
    <row r="1719" spans="2:4" s="237" customFormat="1">
      <c r="B1719" s="15" t="str">
        <f t="shared" si="59"/>
        <v/>
      </c>
      <c r="C1719" s="16" t="str">
        <f>IFERROR(VLOOKUP(DATA!#REF!,DATA!#REF!,1,FALSE),"")</f>
        <v/>
      </c>
      <c r="D1719" s="16" t="str">
        <f>IFERROR(VLOOKUP(C1719,DATA!#REF!,2,FALSE),"")</f>
        <v/>
      </c>
    </row>
    <row r="1720" spans="2:4" s="237" customFormat="1">
      <c r="B1720" s="15" t="str">
        <f t="shared" si="59"/>
        <v/>
      </c>
      <c r="C1720" s="16" t="str">
        <f>IFERROR(VLOOKUP(DATA!#REF!,DATA!#REF!,1,FALSE),"")</f>
        <v/>
      </c>
      <c r="D1720" s="16" t="str">
        <f>IFERROR(VLOOKUP(C1720,DATA!#REF!,2,FALSE),"")</f>
        <v/>
      </c>
    </row>
    <row r="1721" spans="2:4" s="237" customFormat="1">
      <c r="B1721" s="15" t="str">
        <f t="shared" si="59"/>
        <v/>
      </c>
      <c r="C1721" s="16" t="str">
        <f>IFERROR(VLOOKUP(DATA!#REF!,DATA!#REF!,1,FALSE),"")</f>
        <v/>
      </c>
      <c r="D1721" s="16" t="str">
        <f>IFERROR(VLOOKUP(C1721,DATA!#REF!,2,FALSE),"")</f>
        <v/>
      </c>
    </row>
    <row r="1722" spans="2:4" s="237" customFormat="1">
      <c r="B1722" s="15" t="str">
        <f t="shared" si="59"/>
        <v/>
      </c>
      <c r="C1722" s="16" t="str">
        <f>IFERROR(VLOOKUP(DATA!#REF!,DATA!#REF!,1,FALSE),"")</f>
        <v/>
      </c>
      <c r="D1722" s="16" t="str">
        <f>IFERROR(VLOOKUP(C1722,DATA!#REF!,2,FALSE),"")</f>
        <v/>
      </c>
    </row>
    <row r="1723" spans="2:4" s="237" customFormat="1">
      <c r="B1723" s="15" t="str">
        <f t="shared" si="59"/>
        <v/>
      </c>
      <c r="C1723" s="16" t="str">
        <f>IFERROR(VLOOKUP(DATA!#REF!,DATA!#REF!,1,FALSE),"")</f>
        <v/>
      </c>
      <c r="D1723" s="16" t="str">
        <f>IFERROR(VLOOKUP(C1723,DATA!#REF!,2,FALSE),"")</f>
        <v/>
      </c>
    </row>
    <row r="1724" spans="2:4" s="237" customFormat="1">
      <c r="B1724" s="15" t="str">
        <f t="shared" si="59"/>
        <v/>
      </c>
      <c r="C1724" s="16" t="str">
        <f>IFERROR(VLOOKUP(DATA!#REF!,DATA!#REF!,1,FALSE),"")</f>
        <v/>
      </c>
      <c r="D1724" s="16" t="str">
        <f>IFERROR(VLOOKUP(C1724,DATA!#REF!,2,FALSE),"")</f>
        <v/>
      </c>
    </row>
    <row r="1725" spans="2:4" s="237" customFormat="1">
      <c r="B1725" s="15" t="str">
        <f t="shared" si="59"/>
        <v/>
      </c>
      <c r="C1725" s="16" t="str">
        <f>IFERROR(VLOOKUP(DATA!#REF!,DATA!#REF!,1,FALSE),"")</f>
        <v/>
      </c>
      <c r="D1725" s="16" t="str">
        <f>IFERROR(VLOOKUP(C1725,DATA!#REF!,2,FALSE),"")</f>
        <v/>
      </c>
    </row>
    <row r="1726" spans="2:4" s="237" customFormat="1">
      <c r="B1726" s="15" t="str">
        <f t="shared" si="59"/>
        <v/>
      </c>
      <c r="C1726" s="16" t="str">
        <f>IFERROR(VLOOKUP(DATA!#REF!,DATA!#REF!,1,FALSE),"")</f>
        <v/>
      </c>
      <c r="D1726" s="16" t="str">
        <f>IFERROR(VLOOKUP(C1726,DATA!#REF!,2,FALSE),"")</f>
        <v/>
      </c>
    </row>
    <row r="1727" spans="2:4" s="237" customFormat="1">
      <c r="B1727" s="15" t="str">
        <f t="shared" si="59"/>
        <v/>
      </c>
      <c r="C1727" s="16" t="str">
        <f>IFERROR(VLOOKUP(DATA!#REF!,DATA!#REF!,1,FALSE),"")</f>
        <v/>
      </c>
      <c r="D1727" s="16" t="str">
        <f>IFERROR(VLOOKUP(C1727,DATA!#REF!,2,FALSE),"")</f>
        <v/>
      </c>
    </row>
    <row r="1728" spans="2:4" s="237" customFormat="1">
      <c r="B1728" s="15" t="str">
        <f t="shared" si="59"/>
        <v/>
      </c>
      <c r="C1728" s="16" t="str">
        <f>IFERROR(VLOOKUP(DATA!#REF!,DATA!#REF!,1,FALSE),"")</f>
        <v/>
      </c>
      <c r="D1728" s="16" t="str">
        <f>IFERROR(VLOOKUP(C1728,DATA!#REF!,2,FALSE),"")</f>
        <v/>
      </c>
    </row>
    <row r="1729" spans="2:4" s="237" customFormat="1">
      <c r="B1729" s="15" t="str">
        <f t="shared" si="59"/>
        <v/>
      </c>
      <c r="C1729" s="16" t="str">
        <f>IFERROR(VLOOKUP(DATA!#REF!,DATA!#REF!,1,FALSE),"")</f>
        <v/>
      </c>
      <c r="D1729" s="16" t="str">
        <f>IFERROR(VLOOKUP(C1729,DATA!#REF!,2,FALSE),"")</f>
        <v/>
      </c>
    </row>
    <row r="1730" spans="2:4" s="237" customFormat="1">
      <c r="B1730" s="15" t="str">
        <f t="shared" si="59"/>
        <v/>
      </c>
      <c r="C1730" s="16" t="str">
        <f>IFERROR(VLOOKUP(DATA!#REF!,DATA!#REF!,1,FALSE),"")</f>
        <v/>
      </c>
      <c r="D1730" s="16" t="str">
        <f>IFERROR(VLOOKUP(C1730,DATA!#REF!,2,FALSE),"")</f>
        <v/>
      </c>
    </row>
    <row r="1731" spans="2:4" s="237" customFormat="1">
      <c r="B1731" s="15" t="str">
        <f t="shared" si="59"/>
        <v/>
      </c>
      <c r="C1731" s="16" t="str">
        <f>IFERROR(VLOOKUP(DATA!#REF!,DATA!#REF!,1,FALSE),"")</f>
        <v/>
      </c>
      <c r="D1731" s="16" t="str">
        <f>IFERROR(VLOOKUP(C1731,DATA!#REF!,2,FALSE),"")</f>
        <v/>
      </c>
    </row>
    <row r="1732" spans="2:4" s="237" customFormat="1">
      <c r="B1732" s="15" t="str">
        <f t="shared" si="59"/>
        <v/>
      </c>
      <c r="C1732" s="16" t="str">
        <f>IFERROR(VLOOKUP(DATA!#REF!,DATA!#REF!,1,FALSE),"")</f>
        <v/>
      </c>
      <c r="D1732" s="16" t="str">
        <f>IFERROR(VLOOKUP(C1732,DATA!#REF!,2,FALSE),"")</f>
        <v/>
      </c>
    </row>
    <row r="1733" spans="2:4" s="237" customFormat="1">
      <c r="B1733" s="15" t="str">
        <f t="shared" si="59"/>
        <v/>
      </c>
      <c r="C1733" s="16" t="str">
        <f>IFERROR(VLOOKUP(DATA!#REF!,DATA!#REF!,1,FALSE),"")</f>
        <v/>
      </c>
      <c r="D1733" s="16" t="str">
        <f>IFERROR(VLOOKUP(C1733,DATA!#REF!,2,FALSE),"")</f>
        <v/>
      </c>
    </row>
    <row r="1734" spans="2:4" s="237" customFormat="1">
      <c r="B1734" s="15" t="str">
        <f t="shared" ref="B1734:B1797" si="60">+IF(C1734="","",ROW()-5)</f>
        <v/>
      </c>
      <c r="C1734" s="16" t="str">
        <f>IFERROR(VLOOKUP(DATA!#REF!,DATA!#REF!,1,FALSE),"")</f>
        <v/>
      </c>
      <c r="D1734" s="16" t="str">
        <f>IFERROR(VLOOKUP(C1734,DATA!#REF!,2,FALSE),"")</f>
        <v/>
      </c>
    </row>
    <row r="1735" spans="2:4" s="237" customFormat="1">
      <c r="B1735" s="15" t="str">
        <f t="shared" si="60"/>
        <v/>
      </c>
      <c r="C1735" s="16" t="str">
        <f>IFERROR(VLOOKUP(DATA!#REF!,DATA!#REF!,1,FALSE),"")</f>
        <v/>
      </c>
      <c r="D1735" s="16" t="str">
        <f>IFERROR(VLOOKUP(C1735,DATA!#REF!,2,FALSE),"")</f>
        <v/>
      </c>
    </row>
    <row r="1736" spans="2:4" s="237" customFormat="1">
      <c r="B1736" s="15" t="str">
        <f t="shared" si="60"/>
        <v/>
      </c>
      <c r="C1736" s="16" t="str">
        <f>IFERROR(VLOOKUP(DATA!#REF!,DATA!#REF!,1,FALSE),"")</f>
        <v/>
      </c>
      <c r="D1736" s="16" t="str">
        <f>IFERROR(VLOOKUP(C1736,DATA!#REF!,2,FALSE),"")</f>
        <v/>
      </c>
    </row>
    <row r="1737" spans="2:4" s="237" customFormat="1">
      <c r="B1737" s="15" t="str">
        <f t="shared" si="60"/>
        <v/>
      </c>
      <c r="C1737" s="16" t="str">
        <f>IFERROR(VLOOKUP(DATA!#REF!,DATA!#REF!,1,FALSE),"")</f>
        <v/>
      </c>
      <c r="D1737" s="16" t="str">
        <f>IFERROR(VLOOKUP(C1737,DATA!#REF!,2,FALSE),"")</f>
        <v/>
      </c>
    </row>
    <row r="1738" spans="2:4" s="237" customFormat="1">
      <c r="B1738" s="15" t="str">
        <f t="shared" si="60"/>
        <v/>
      </c>
      <c r="C1738" s="16" t="str">
        <f>IFERROR(VLOOKUP(DATA!#REF!,DATA!#REF!,1,FALSE),"")</f>
        <v/>
      </c>
      <c r="D1738" s="16" t="str">
        <f>IFERROR(VLOOKUP(C1738,DATA!#REF!,2,FALSE),"")</f>
        <v/>
      </c>
    </row>
    <row r="1739" spans="2:4" s="237" customFormat="1">
      <c r="B1739" s="15" t="str">
        <f t="shared" si="60"/>
        <v/>
      </c>
      <c r="C1739" s="16" t="str">
        <f>IFERROR(VLOOKUP(DATA!#REF!,DATA!#REF!,1,FALSE),"")</f>
        <v/>
      </c>
      <c r="D1739" s="16" t="str">
        <f>IFERROR(VLOOKUP(C1739,DATA!#REF!,2,FALSE),"")</f>
        <v/>
      </c>
    </row>
    <row r="1740" spans="2:4" s="237" customFormat="1">
      <c r="B1740" s="15" t="str">
        <f t="shared" si="60"/>
        <v/>
      </c>
      <c r="C1740" s="16" t="str">
        <f>IFERROR(VLOOKUP(DATA!#REF!,DATA!#REF!,1,FALSE),"")</f>
        <v/>
      </c>
      <c r="D1740" s="16" t="str">
        <f>IFERROR(VLOOKUP(C1740,DATA!#REF!,2,FALSE),"")</f>
        <v/>
      </c>
    </row>
    <row r="1741" spans="2:4" s="237" customFormat="1">
      <c r="B1741" s="15" t="str">
        <f t="shared" si="60"/>
        <v/>
      </c>
      <c r="C1741" s="16" t="str">
        <f>IFERROR(VLOOKUP(DATA!#REF!,DATA!#REF!,1,FALSE),"")</f>
        <v/>
      </c>
      <c r="D1741" s="16" t="str">
        <f>IFERROR(VLOOKUP(C1741,DATA!#REF!,2,FALSE),"")</f>
        <v/>
      </c>
    </row>
    <row r="1742" spans="2:4" s="237" customFormat="1">
      <c r="B1742" s="15" t="str">
        <f t="shared" si="60"/>
        <v/>
      </c>
      <c r="C1742" s="16" t="str">
        <f>IFERROR(VLOOKUP(DATA!#REF!,DATA!#REF!,1,FALSE),"")</f>
        <v/>
      </c>
      <c r="D1742" s="16" t="str">
        <f>IFERROR(VLOOKUP(C1742,DATA!#REF!,2,FALSE),"")</f>
        <v/>
      </c>
    </row>
    <row r="1743" spans="2:4" s="237" customFormat="1">
      <c r="B1743" s="15" t="str">
        <f t="shared" si="60"/>
        <v/>
      </c>
      <c r="C1743" s="16" t="str">
        <f>IFERROR(VLOOKUP(DATA!#REF!,DATA!#REF!,1,FALSE),"")</f>
        <v/>
      </c>
      <c r="D1743" s="16" t="str">
        <f>IFERROR(VLOOKUP(C1743,DATA!#REF!,2,FALSE),"")</f>
        <v/>
      </c>
    </row>
    <row r="1744" spans="2:4" s="237" customFormat="1">
      <c r="B1744" s="15" t="str">
        <f t="shared" si="60"/>
        <v/>
      </c>
      <c r="C1744" s="16" t="str">
        <f>IFERROR(VLOOKUP(DATA!#REF!,DATA!#REF!,1,FALSE),"")</f>
        <v/>
      </c>
      <c r="D1744" s="16" t="str">
        <f>IFERROR(VLOOKUP(C1744,DATA!#REF!,2,FALSE),"")</f>
        <v/>
      </c>
    </row>
    <row r="1745" spans="2:4" s="237" customFormat="1">
      <c r="B1745" s="15" t="str">
        <f t="shared" si="60"/>
        <v/>
      </c>
      <c r="C1745" s="16" t="str">
        <f>IFERROR(VLOOKUP(DATA!#REF!,DATA!#REF!,1,FALSE),"")</f>
        <v/>
      </c>
      <c r="D1745" s="16" t="str">
        <f>IFERROR(VLOOKUP(C1745,DATA!#REF!,2,FALSE),"")</f>
        <v/>
      </c>
    </row>
    <row r="1746" spans="2:4" s="237" customFormat="1">
      <c r="B1746" s="15" t="str">
        <f t="shared" si="60"/>
        <v/>
      </c>
      <c r="C1746" s="16" t="str">
        <f>IFERROR(VLOOKUP(DATA!#REF!,DATA!#REF!,1,FALSE),"")</f>
        <v/>
      </c>
      <c r="D1746" s="16" t="str">
        <f>IFERROR(VLOOKUP(C1746,DATA!#REF!,2,FALSE),"")</f>
        <v/>
      </c>
    </row>
    <row r="1747" spans="2:4" s="237" customFormat="1">
      <c r="B1747" s="15" t="str">
        <f t="shared" si="60"/>
        <v/>
      </c>
      <c r="C1747" s="16" t="str">
        <f>IFERROR(VLOOKUP(DATA!#REF!,DATA!#REF!,1,FALSE),"")</f>
        <v/>
      </c>
      <c r="D1747" s="16" t="str">
        <f>IFERROR(VLOOKUP(C1747,DATA!#REF!,2,FALSE),"")</f>
        <v/>
      </c>
    </row>
    <row r="1748" spans="2:4" s="237" customFormat="1">
      <c r="B1748" s="15" t="str">
        <f t="shared" si="60"/>
        <v/>
      </c>
      <c r="C1748" s="16" t="str">
        <f>IFERROR(VLOOKUP(DATA!#REF!,DATA!#REF!,1,FALSE),"")</f>
        <v/>
      </c>
      <c r="D1748" s="16" t="str">
        <f>IFERROR(VLOOKUP(C1748,DATA!#REF!,2,FALSE),"")</f>
        <v/>
      </c>
    </row>
    <row r="1749" spans="2:4" s="237" customFormat="1">
      <c r="B1749" s="15" t="str">
        <f t="shared" si="60"/>
        <v/>
      </c>
      <c r="C1749" s="16" t="str">
        <f>IFERROR(VLOOKUP(DATA!#REF!,DATA!#REF!,1,FALSE),"")</f>
        <v/>
      </c>
      <c r="D1749" s="16" t="str">
        <f>IFERROR(VLOOKUP(C1749,DATA!#REF!,2,FALSE),"")</f>
        <v/>
      </c>
    </row>
    <row r="1750" spans="2:4" s="237" customFormat="1">
      <c r="B1750" s="15" t="str">
        <f t="shared" si="60"/>
        <v/>
      </c>
      <c r="C1750" s="16" t="str">
        <f>IFERROR(VLOOKUP(DATA!#REF!,DATA!#REF!,1,FALSE),"")</f>
        <v/>
      </c>
      <c r="D1750" s="16" t="str">
        <f>IFERROR(VLOOKUP(C1750,DATA!#REF!,2,FALSE),"")</f>
        <v/>
      </c>
    </row>
    <row r="1751" spans="2:4" s="237" customFormat="1">
      <c r="B1751" s="15" t="str">
        <f t="shared" si="60"/>
        <v/>
      </c>
      <c r="C1751" s="16" t="str">
        <f>IFERROR(VLOOKUP(DATA!#REF!,DATA!#REF!,1,FALSE),"")</f>
        <v/>
      </c>
      <c r="D1751" s="16" t="str">
        <f>IFERROR(VLOOKUP(C1751,DATA!#REF!,2,FALSE),"")</f>
        <v/>
      </c>
    </row>
    <row r="1752" spans="2:4" s="237" customFormat="1">
      <c r="B1752" s="15" t="str">
        <f t="shared" si="60"/>
        <v/>
      </c>
      <c r="C1752" s="16" t="str">
        <f>IFERROR(VLOOKUP(DATA!#REF!,DATA!#REF!,1,FALSE),"")</f>
        <v/>
      </c>
      <c r="D1752" s="16" t="str">
        <f>IFERROR(VLOOKUP(C1752,DATA!#REF!,2,FALSE),"")</f>
        <v/>
      </c>
    </row>
    <row r="1753" spans="2:4" s="237" customFormat="1">
      <c r="B1753" s="15" t="str">
        <f t="shared" si="60"/>
        <v/>
      </c>
      <c r="C1753" s="16" t="str">
        <f>IFERROR(VLOOKUP(DATA!#REF!,DATA!#REF!,1,FALSE),"")</f>
        <v/>
      </c>
      <c r="D1753" s="16" t="str">
        <f>IFERROR(VLOOKUP(C1753,DATA!#REF!,2,FALSE),"")</f>
        <v/>
      </c>
    </row>
    <row r="1754" spans="2:4" s="237" customFormat="1">
      <c r="B1754" s="15" t="str">
        <f t="shared" si="60"/>
        <v/>
      </c>
      <c r="C1754" s="16" t="str">
        <f>IFERROR(VLOOKUP(DATA!#REF!,DATA!#REF!,1,FALSE),"")</f>
        <v/>
      </c>
      <c r="D1754" s="16" t="str">
        <f>IFERROR(VLOOKUP(C1754,DATA!#REF!,2,FALSE),"")</f>
        <v/>
      </c>
    </row>
    <row r="1755" spans="2:4" s="237" customFormat="1">
      <c r="B1755" s="15" t="str">
        <f t="shared" si="60"/>
        <v/>
      </c>
      <c r="C1755" s="16" t="str">
        <f>IFERROR(VLOOKUP(DATA!#REF!,DATA!#REF!,1,FALSE),"")</f>
        <v/>
      </c>
      <c r="D1755" s="16" t="str">
        <f>IFERROR(VLOOKUP(C1755,DATA!#REF!,2,FALSE),"")</f>
        <v/>
      </c>
    </row>
    <row r="1756" spans="2:4" s="237" customFormat="1">
      <c r="B1756" s="15" t="str">
        <f t="shared" si="60"/>
        <v/>
      </c>
      <c r="C1756" s="16" t="str">
        <f>IFERROR(VLOOKUP(DATA!#REF!,DATA!#REF!,1,FALSE),"")</f>
        <v/>
      </c>
      <c r="D1756" s="16" t="str">
        <f>IFERROR(VLOOKUP(C1756,DATA!#REF!,2,FALSE),"")</f>
        <v/>
      </c>
    </row>
    <row r="1757" spans="2:4" s="237" customFormat="1">
      <c r="B1757" s="15" t="str">
        <f t="shared" si="60"/>
        <v/>
      </c>
      <c r="C1757" s="16" t="str">
        <f>IFERROR(VLOOKUP(DATA!#REF!,DATA!#REF!,1,FALSE),"")</f>
        <v/>
      </c>
      <c r="D1757" s="16" t="str">
        <f>IFERROR(VLOOKUP(C1757,DATA!#REF!,2,FALSE),"")</f>
        <v/>
      </c>
    </row>
    <row r="1758" spans="2:4" s="237" customFormat="1">
      <c r="B1758" s="15" t="str">
        <f t="shared" si="60"/>
        <v/>
      </c>
      <c r="C1758" s="16" t="str">
        <f>IFERROR(VLOOKUP(DATA!#REF!,DATA!#REF!,1,FALSE),"")</f>
        <v/>
      </c>
      <c r="D1758" s="16" t="str">
        <f>IFERROR(VLOOKUP(C1758,DATA!#REF!,2,FALSE),"")</f>
        <v/>
      </c>
    </row>
    <row r="1759" spans="2:4" s="237" customFormat="1">
      <c r="B1759" s="15" t="str">
        <f t="shared" si="60"/>
        <v/>
      </c>
      <c r="C1759" s="16" t="str">
        <f>IFERROR(VLOOKUP(DATA!#REF!,DATA!#REF!,1,FALSE),"")</f>
        <v/>
      </c>
      <c r="D1759" s="16" t="str">
        <f>IFERROR(VLOOKUP(C1759,DATA!#REF!,2,FALSE),"")</f>
        <v/>
      </c>
    </row>
    <row r="1760" spans="2:4" s="237" customFormat="1">
      <c r="B1760" s="15" t="str">
        <f t="shared" si="60"/>
        <v/>
      </c>
      <c r="C1760" s="16" t="str">
        <f>IFERROR(VLOOKUP(DATA!#REF!,DATA!#REF!,1,FALSE),"")</f>
        <v/>
      </c>
      <c r="D1760" s="16" t="str">
        <f>IFERROR(VLOOKUP(C1760,DATA!#REF!,2,FALSE),"")</f>
        <v/>
      </c>
    </row>
    <row r="1761" spans="2:4" s="237" customFormat="1">
      <c r="B1761" s="15" t="str">
        <f t="shared" si="60"/>
        <v/>
      </c>
      <c r="C1761" s="16" t="str">
        <f>IFERROR(VLOOKUP(DATA!#REF!,DATA!#REF!,1,FALSE),"")</f>
        <v/>
      </c>
      <c r="D1761" s="16" t="str">
        <f>IFERROR(VLOOKUP(C1761,DATA!#REF!,2,FALSE),"")</f>
        <v/>
      </c>
    </row>
    <row r="1762" spans="2:4" s="237" customFormat="1">
      <c r="B1762" s="15" t="str">
        <f t="shared" si="60"/>
        <v/>
      </c>
      <c r="C1762" s="16" t="str">
        <f>IFERROR(VLOOKUP(DATA!#REF!,DATA!#REF!,1,FALSE),"")</f>
        <v/>
      </c>
      <c r="D1762" s="16" t="str">
        <f>IFERROR(VLOOKUP(C1762,DATA!#REF!,2,FALSE),"")</f>
        <v/>
      </c>
    </row>
    <row r="1763" spans="2:4" s="237" customFormat="1">
      <c r="B1763" s="15" t="str">
        <f t="shared" si="60"/>
        <v/>
      </c>
      <c r="C1763" s="16" t="str">
        <f>IFERROR(VLOOKUP(DATA!#REF!,DATA!#REF!,1,FALSE),"")</f>
        <v/>
      </c>
      <c r="D1763" s="16" t="str">
        <f>IFERROR(VLOOKUP(C1763,DATA!#REF!,2,FALSE),"")</f>
        <v/>
      </c>
    </row>
    <row r="1764" spans="2:4" s="237" customFormat="1">
      <c r="B1764" s="15" t="str">
        <f t="shared" si="60"/>
        <v/>
      </c>
      <c r="C1764" s="16" t="str">
        <f>IFERROR(VLOOKUP(DATA!#REF!,DATA!#REF!,1,FALSE),"")</f>
        <v/>
      </c>
      <c r="D1764" s="16" t="str">
        <f>IFERROR(VLOOKUP(C1764,DATA!#REF!,2,FALSE),"")</f>
        <v/>
      </c>
    </row>
    <row r="1765" spans="2:4" s="237" customFormat="1">
      <c r="B1765" s="15" t="str">
        <f t="shared" si="60"/>
        <v/>
      </c>
      <c r="C1765" s="16" t="str">
        <f>IFERROR(VLOOKUP(DATA!#REF!,DATA!#REF!,1,FALSE),"")</f>
        <v/>
      </c>
      <c r="D1765" s="16" t="str">
        <f>IFERROR(VLOOKUP(C1765,DATA!#REF!,2,FALSE),"")</f>
        <v/>
      </c>
    </row>
    <row r="1766" spans="2:4" s="237" customFormat="1">
      <c r="B1766" s="15" t="str">
        <f t="shared" si="60"/>
        <v/>
      </c>
      <c r="C1766" s="16" t="str">
        <f>IFERROR(VLOOKUP(DATA!#REF!,DATA!#REF!,1,FALSE),"")</f>
        <v/>
      </c>
      <c r="D1766" s="16" t="str">
        <f>IFERROR(VLOOKUP(C1766,DATA!#REF!,2,FALSE),"")</f>
        <v/>
      </c>
    </row>
    <row r="1767" spans="2:4" s="237" customFormat="1">
      <c r="B1767" s="15" t="str">
        <f t="shared" si="60"/>
        <v/>
      </c>
      <c r="C1767" s="16" t="str">
        <f>IFERROR(VLOOKUP(DATA!#REF!,DATA!#REF!,1,FALSE),"")</f>
        <v/>
      </c>
      <c r="D1767" s="16" t="str">
        <f>IFERROR(VLOOKUP(C1767,DATA!#REF!,2,FALSE),"")</f>
        <v/>
      </c>
    </row>
    <row r="1768" spans="2:4" s="237" customFormat="1">
      <c r="B1768" s="15" t="str">
        <f t="shared" si="60"/>
        <v/>
      </c>
      <c r="C1768" s="16" t="str">
        <f>IFERROR(VLOOKUP(DATA!#REF!,DATA!#REF!,1,FALSE),"")</f>
        <v/>
      </c>
      <c r="D1768" s="16" t="str">
        <f>IFERROR(VLOOKUP(C1768,DATA!#REF!,2,FALSE),"")</f>
        <v/>
      </c>
    </row>
    <row r="1769" spans="2:4" s="237" customFormat="1">
      <c r="B1769" s="15" t="str">
        <f t="shared" si="60"/>
        <v/>
      </c>
      <c r="C1769" s="16" t="str">
        <f>IFERROR(VLOOKUP(DATA!#REF!,DATA!#REF!,1,FALSE),"")</f>
        <v/>
      </c>
      <c r="D1769" s="16" t="str">
        <f>IFERROR(VLOOKUP(C1769,DATA!#REF!,2,FALSE),"")</f>
        <v/>
      </c>
    </row>
    <row r="1770" spans="2:4" s="237" customFormat="1">
      <c r="B1770" s="15" t="str">
        <f t="shared" si="60"/>
        <v/>
      </c>
      <c r="C1770" s="16" t="str">
        <f>IFERROR(VLOOKUP(DATA!#REF!,DATA!#REF!,1,FALSE),"")</f>
        <v/>
      </c>
      <c r="D1770" s="16" t="str">
        <f>IFERROR(VLOOKUP(C1770,DATA!#REF!,2,FALSE),"")</f>
        <v/>
      </c>
    </row>
    <row r="1771" spans="2:4" s="237" customFormat="1">
      <c r="B1771" s="15" t="str">
        <f t="shared" si="60"/>
        <v/>
      </c>
      <c r="C1771" s="16" t="str">
        <f>IFERROR(VLOOKUP(DATA!#REF!,DATA!#REF!,1,FALSE),"")</f>
        <v/>
      </c>
      <c r="D1771" s="16" t="str">
        <f>IFERROR(VLOOKUP(C1771,DATA!#REF!,2,FALSE),"")</f>
        <v/>
      </c>
    </row>
    <row r="1772" spans="2:4" s="237" customFormat="1">
      <c r="B1772" s="15" t="str">
        <f t="shared" si="60"/>
        <v/>
      </c>
      <c r="C1772" s="16" t="str">
        <f>IFERROR(VLOOKUP(DATA!#REF!,DATA!#REF!,1,FALSE),"")</f>
        <v/>
      </c>
      <c r="D1772" s="16" t="str">
        <f>IFERROR(VLOOKUP(C1772,DATA!#REF!,2,FALSE),"")</f>
        <v/>
      </c>
    </row>
    <row r="1773" spans="2:4" s="237" customFormat="1">
      <c r="B1773" s="15" t="str">
        <f t="shared" si="60"/>
        <v/>
      </c>
      <c r="C1773" s="16" t="str">
        <f>IFERROR(VLOOKUP(DATA!#REF!,DATA!#REF!,1,FALSE),"")</f>
        <v/>
      </c>
      <c r="D1773" s="16" t="str">
        <f>IFERROR(VLOOKUP(C1773,DATA!#REF!,2,FALSE),"")</f>
        <v/>
      </c>
    </row>
    <row r="1774" spans="2:4" s="237" customFormat="1">
      <c r="B1774" s="15" t="str">
        <f t="shared" si="60"/>
        <v/>
      </c>
      <c r="C1774" s="16" t="str">
        <f>IFERROR(VLOOKUP(DATA!#REF!,DATA!#REF!,1,FALSE),"")</f>
        <v/>
      </c>
      <c r="D1774" s="16" t="str">
        <f>IFERROR(VLOOKUP(C1774,DATA!#REF!,2,FALSE),"")</f>
        <v/>
      </c>
    </row>
    <row r="1775" spans="2:4" s="237" customFormat="1">
      <c r="B1775" s="15" t="str">
        <f t="shared" si="60"/>
        <v/>
      </c>
      <c r="C1775" s="16" t="str">
        <f>IFERROR(VLOOKUP(DATA!#REF!,DATA!#REF!,1,FALSE),"")</f>
        <v/>
      </c>
      <c r="D1775" s="16" t="str">
        <f>IFERROR(VLOOKUP(C1775,DATA!#REF!,2,FALSE),"")</f>
        <v/>
      </c>
    </row>
    <row r="1776" spans="2:4" s="237" customFormat="1">
      <c r="B1776" s="15" t="str">
        <f t="shared" si="60"/>
        <v/>
      </c>
      <c r="C1776" s="16" t="str">
        <f>IFERROR(VLOOKUP(DATA!#REF!,DATA!#REF!,1,FALSE),"")</f>
        <v/>
      </c>
      <c r="D1776" s="16" t="str">
        <f>IFERROR(VLOOKUP(C1776,DATA!#REF!,2,FALSE),"")</f>
        <v/>
      </c>
    </row>
    <row r="1777" spans="2:4" s="237" customFormat="1">
      <c r="B1777" s="15" t="str">
        <f t="shared" si="60"/>
        <v/>
      </c>
      <c r="C1777" s="16" t="str">
        <f>IFERROR(VLOOKUP(DATA!#REF!,DATA!#REF!,1,FALSE),"")</f>
        <v/>
      </c>
      <c r="D1777" s="16" t="str">
        <f>IFERROR(VLOOKUP(C1777,DATA!#REF!,2,FALSE),"")</f>
        <v/>
      </c>
    </row>
    <row r="1778" spans="2:4" s="237" customFormat="1">
      <c r="B1778" s="15" t="str">
        <f t="shared" si="60"/>
        <v/>
      </c>
      <c r="C1778" s="16" t="str">
        <f>IFERROR(VLOOKUP(DATA!#REF!,DATA!#REF!,1,FALSE),"")</f>
        <v/>
      </c>
      <c r="D1778" s="16" t="str">
        <f>IFERROR(VLOOKUP(C1778,DATA!#REF!,2,FALSE),"")</f>
        <v/>
      </c>
    </row>
    <row r="1779" spans="2:4" s="237" customFormat="1">
      <c r="B1779" s="15" t="str">
        <f t="shared" si="60"/>
        <v/>
      </c>
      <c r="C1779" s="16" t="str">
        <f>IFERROR(VLOOKUP(DATA!#REF!,DATA!#REF!,1,FALSE),"")</f>
        <v/>
      </c>
      <c r="D1779" s="16" t="str">
        <f>IFERROR(VLOOKUP(C1779,DATA!#REF!,2,FALSE),"")</f>
        <v/>
      </c>
    </row>
    <row r="1780" spans="2:4" s="237" customFormat="1">
      <c r="B1780" s="15" t="str">
        <f t="shared" si="60"/>
        <v/>
      </c>
      <c r="C1780" s="16" t="str">
        <f>IFERROR(VLOOKUP(DATA!#REF!,DATA!#REF!,1,FALSE),"")</f>
        <v/>
      </c>
      <c r="D1780" s="16" t="str">
        <f>IFERROR(VLOOKUP(C1780,DATA!#REF!,2,FALSE),"")</f>
        <v/>
      </c>
    </row>
    <row r="1781" spans="2:4" s="237" customFormat="1">
      <c r="B1781" s="15" t="str">
        <f t="shared" si="60"/>
        <v/>
      </c>
      <c r="C1781" s="16" t="str">
        <f>IFERROR(VLOOKUP(DATA!#REF!,DATA!#REF!,1,FALSE),"")</f>
        <v/>
      </c>
      <c r="D1781" s="16" t="str">
        <f>IFERROR(VLOOKUP(C1781,DATA!#REF!,2,FALSE),"")</f>
        <v/>
      </c>
    </row>
    <row r="1782" spans="2:4" s="237" customFormat="1">
      <c r="B1782" s="15" t="str">
        <f t="shared" si="60"/>
        <v/>
      </c>
      <c r="C1782" s="16" t="str">
        <f>IFERROR(VLOOKUP(DATA!#REF!,DATA!#REF!,1,FALSE),"")</f>
        <v/>
      </c>
      <c r="D1782" s="16" t="str">
        <f>IFERROR(VLOOKUP(C1782,DATA!#REF!,2,FALSE),"")</f>
        <v/>
      </c>
    </row>
    <row r="1783" spans="2:4" s="237" customFormat="1">
      <c r="B1783" s="15" t="str">
        <f t="shared" si="60"/>
        <v/>
      </c>
      <c r="C1783" s="16" t="str">
        <f>IFERROR(VLOOKUP(DATA!#REF!,DATA!#REF!,1,FALSE),"")</f>
        <v/>
      </c>
      <c r="D1783" s="16" t="str">
        <f>IFERROR(VLOOKUP(C1783,DATA!#REF!,2,FALSE),"")</f>
        <v/>
      </c>
    </row>
    <row r="1784" spans="2:4" s="237" customFormat="1">
      <c r="B1784" s="15" t="str">
        <f t="shared" si="60"/>
        <v/>
      </c>
      <c r="C1784" s="16" t="str">
        <f>IFERROR(VLOOKUP(DATA!#REF!,DATA!#REF!,1,FALSE),"")</f>
        <v/>
      </c>
      <c r="D1784" s="16" t="str">
        <f>IFERROR(VLOOKUP(C1784,DATA!#REF!,2,FALSE),"")</f>
        <v/>
      </c>
    </row>
    <row r="1785" spans="2:4" s="237" customFormat="1">
      <c r="B1785" s="15" t="str">
        <f t="shared" si="60"/>
        <v/>
      </c>
      <c r="C1785" s="16" t="str">
        <f>IFERROR(VLOOKUP(DATA!#REF!,DATA!#REF!,1,FALSE),"")</f>
        <v/>
      </c>
      <c r="D1785" s="16" t="str">
        <f>IFERROR(VLOOKUP(C1785,DATA!#REF!,2,FALSE),"")</f>
        <v/>
      </c>
    </row>
    <row r="1786" spans="2:4" s="237" customFormat="1">
      <c r="B1786" s="15" t="str">
        <f t="shared" si="60"/>
        <v/>
      </c>
      <c r="C1786" s="16" t="str">
        <f>IFERROR(VLOOKUP(DATA!#REF!,DATA!#REF!,1,FALSE),"")</f>
        <v/>
      </c>
      <c r="D1786" s="16" t="str">
        <f>IFERROR(VLOOKUP(C1786,DATA!#REF!,2,FALSE),"")</f>
        <v/>
      </c>
    </row>
    <row r="1787" spans="2:4" s="237" customFormat="1">
      <c r="B1787" s="15" t="str">
        <f t="shared" si="60"/>
        <v/>
      </c>
      <c r="C1787" s="16" t="str">
        <f>IFERROR(VLOOKUP(DATA!#REF!,DATA!#REF!,1,FALSE),"")</f>
        <v/>
      </c>
      <c r="D1787" s="16" t="str">
        <f>IFERROR(VLOOKUP(C1787,DATA!#REF!,2,FALSE),"")</f>
        <v/>
      </c>
    </row>
    <row r="1788" spans="2:4" s="237" customFormat="1">
      <c r="B1788" s="15" t="str">
        <f t="shared" si="60"/>
        <v/>
      </c>
      <c r="C1788" s="16" t="str">
        <f>IFERROR(VLOOKUP(DATA!#REF!,DATA!#REF!,1,FALSE),"")</f>
        <v/>
      </c>
      <c r="D1788" s="16" t="str">
        <f>IFERROR(VLOOKUP(C1788,DATA!#REF!,2,FALSE),"")</f>
        <v/>
      </c>
    </row>
    <row r="1789" spans="2:4" s="237" customFormat="1">
      <c r="B1789" s="15" t="str">
        <f t="shared" si="60"/>
        <v/>
      </c>
      <c r="C1789" s="16" t="str">
        <f>IFERROR(VLOOKUP(DATA!#REF!,DATA!#REF!,1,FALSE),"")</f>
        <v/>
      </c>
      <c r="D1789" s="16" t="str">
        <f>IFERROR(VLOOKUP(C1789,DATA!#REF!,2,FALSE),"")</f>
        <v/>
      </c>
    </row>
    <row r="1790" spans="2:4" s="237" customFormat="1">
      <c r="B1790" s="15" t="str">
        <f t="shared" si="60"/>
        <v/>
      </c>
      <c r="C1790" s="16" t="str">
        <f>IFERROR(VLOOKUP(DATA!#REF!,DATA!#REF!,1,FALSE),"")</f>
        <v/>
      </c>
      <c r="D1790" s="16" t="str">
        <f>IFERROR(VLOOKUP(C1790,DATA!#REF!,2,FALSE),"")</f>
        <v/>
      </c>
    </row>
    <row r="1791" spans="2:4" s="237" customFormat="1">
      <c r="B1791" s="15" t="str">
        <f t="shared" si="60"/>
        <v/>
      </c>
      <c r="C1791" s="16" t="str">
        <f>IFERROR(VLOOKUP(DATA!#REF!,DATA!#REF!,1,FALSE),"")</f>
        <v/>
      </c>
      <c r="D1791" s="16" t="str">
        <f>IFERROR(VLOOKUP(C1791,DATA!#REF!,2,FALSE),"")</f>
        <v/>
      </c>
    </row>
    <row r="1792" spans="2:4" s="237" customFormat="1">
      <c r="B1792" s="15" t="str">
        <f t="shared" si="60"/>
        <v/>
      </c>
      <c r="C1792" s="16" t="str">
        <f>IFERROR(VLOOKUP(DATA!#REF!,DATA!#REF!,1,FALSE),"")</f>
        <v/>
      </c>
      <c r="D1792" s="16" t="str">
        <f>IFERROR(VLOOKUP(C1792,DATA!#REF!,2,FALSE),"")</f>
        <v/>
      </c>
    </row>
    <row r="1793" spans="2:4" s="237" customFormat="1">
      <c r="B1793" s="15" t="str">
        <f t="shared" si="60"/>
        <v/>
      </c>
      <c r="C1793" s="16" t="str">
        <f>IFERROR(VLOOKUP(DATA!#REF!,DATA!#REF!,1,FALSE),"")</f>
        <v/>
      </c>
      <c r="D1793" s="16" t="str">
        <f>IFERROR(VLOOKUP(C1793,DATA!#REF!,2,FALSE),"")</f>
        <v/>
      </c>
    </row>
    <row r="1794" spans="2:4" s="237" customFormat="1">
      <c r="B1794" s="15" t="str">
        <f t="shared" si="60"/>
        <v/>
      </c>
      <c r="C1794" s="16" t="str">
        <f>IFERROR(VLOOKUP(DATA!#REF!,DATA!#REF!,1,FALSE),"")</f>
        <v/>
      </c>
      <c r="D1794" s="16" t="str">
        <f>IFERROR(VLOOKUP(C1794,DATA!#REF!,2,FALSE),"")</f>
        <v/>
      </c>
    </row>
    <row r="1795" spans="2:4" s="237" customFormat="1">
      <c r="B1795" s="15" t="str">
        <f t="shared" si="60"/>
        <v/>
      </c>
      <c r="C1795" s="16" t="str">
        <f>IFERROR(VLOOKUP(DATA!#REF!,DATA!#REF!,1,FALSE),"")</f>
        <v/>
      </c>
      <c r="D1795" s="16" t="str">
        <f>IFERROR(VLOOKUP(C1795,DATA!#REF!,2,FALSE),"")</f>
        <v/>
      </c>
    </row>
    <row r="1796" spans="2:4" s="237" customFormat="1">
      <c r="B1796" s="15" t="str">
        <f t="shared" si="60"/>
        <v/>
      </c>
      <c r="C1796" s="16" t="str">
        <f>IFERROR(VLOOKUP(DATA!#REF!,DATA!#REF!,1,FALSE),"")</f>
        <v/>
      </c>
      <c r="D1796" s="16" t="str">
        <f>IFERROR(VLOOKUP(C1796,DATA!#REF!,2,FALSE),"")</f>
        <v/>
      </c>
    </row>
    <row r="1797" spans="2:4" s="237" customFormat="1">
      <c r="B1797" s="15" t="str">
        <f t="shared" si="60"/>
        <v/>
      </c>
      <c r="C1797" s="16" t="str">
        <f>IFERROR(VLOOKUP(DATA!#REF!,DATA!#REF!,1,FALSE),"")</f>
        <v/>
      </c>
      <c r="D1797" s="16" t="str">
        <f>IFERROR(VLOOKUP(C1797,DATA!#REF!,2,FALSE),"")</f>
        <v/>
      </c>
    </row>
    <row r="1798" spans="2:4" s="237" customFormat="1">
      <c r="B1798" s="15" t="str">
        <f t="shared" ref="B1798:B1861" si="61">+IF(C1798="","",ROW()-5)</f>
        <v/>
      </c>
      <c r="C1798" s="16" t="str">
        <f>IFERROR(VLOOKUP(DATA!#REF!,DATA!#REF!,1,FALSE),"")</f>
        <v/>
      </c>
      <c r="D1798" s="16" t="str">
        <f>IFERROR(VLOOKUP(C1798,DATA!#REF!,2,FALSE),"")</f>
        <v/>
      </c>
    </row>
    <row r="1799" spans="2:4" s="237" customFormat="1">
      <c r="B1799" s="15" t="str">
        <f t="shared" si="61"/>
        <v/>
      </c>
      <c r="C1799" s="16" t="str">
        <f>IFERROR(VLOOKUP(DATA!#REF!,DATA!#REF!,1,FALSE),"")</f>
        <v/>
      </c>
      <c r="D1799" s="16" t="str">
        <f>IFERROR(VLOOKUP(C1799,DATA!#REF!,2,FALSE),"")</f>
        <v/>
      </c>
    </row>
    <row r="1800" spans="2:4" s="237" customFormat="1">
      <c r="B1800" s="15" t="str">
        <f t="shared" si="61"/>
        <v/>
      </c>
      <c r="C1800" s="16" t="str">
        <f>IFERROR(VLOOKUP(DATA!#REF!,DATA!#REF!,1,FALSE),"")</f>
        <v/>
      </c>
      <c r="D1800" s="16" t="str">
        <f>IFERROR(VLOOKUP(C1800,DATA!#REF!,2,FALSE),"")</f>
        <v/>
      </c>
    </row>
    <row r="1801" spans="2:4" s="237" customFormat="1">
      <c r="B1801" s="15" t="str">
        <f t="shared" si="61"/>
        <v/>
      </c>
      <c r="C1801" s="16" t="str">
        <f>IFERROR(VLOOKUP(DATA!#REF!,DATA!#REF!,1,FALSE),"")</f>
        <v/>
      </c>
      <c r="D1801" s="16" t="str">
        <f>IFERROR(VLOOKUP(C1801,DATA!#REF!,2,FALSE),"")</f>
        <v/>
      </c>
    </row>
    <row r="1802" spans="2:4" s="237" customFormat="1">
      <c r="B1802" s="15" t="str">
        <f t="shared" si="61"/>
        <v/>
      </c>
      <c r="C1802" s="16" t="str">
        <f>IFERROR(VLOOKUP(DATA!#REF!,DATA!#REF!,1,FALSE),"")</f>
        <v/>
      </c>
      <c r="D1802" s="16" t="str">
        <f>IFERROR(VLOOKUP(C1802,DATA!#REF!,2,FALSE),"")</f>
        <v/>
      </c>
    </row>
    <row r="1803" spans="2:4" s="237" customFormat="1">
      <c r="B1803" s="15" t="str">
        <f t="shared" si="61"/>
        <v/>
      </c>
      <c r="C1803" s="16" t="str">
        <f>IFERROR(VLOOKUP(DATA!#REF!,DATA!#REF!,1,FALSE),"")</f>
        <v/>
      </c>
      <c r="D1803" s="16" t="str">
        <f>IFERROR(VLOOKUP(C1803,DATA!#REF!,2,FALSE),"")</f>
        <v/>
      </c>
    </row>
    <row r="1804" spans="2:4" s="237" customFormat="1">
      <c r="B1804" s="15" t="str">
        <f t="shared" si="61"/>
        <v/>
      </c>
      <c r="C1804" s="16" t="str">
        <f>IFERROR(VLOOKUP(DATA!#REF!,DATA!#REF!,1,FALSE),"")</f>
        <v/>
      </c>
      <c r="D1804" s="16" t="str">
        <f>IFERROR(VLOOKUP(C1804,DATA!#REF!,2,FALSE),"")</f>
        <v/>
      </c>
    </row>
    <row r="1805" spans="2:4" s="237" customFormat="1">
      <c r="B1805" s="15" t="str">
        <f t="shared" si="61"/>
        <v/>
      </c>
      <c r="C1805" s="16" t="str">
        <f>IFERROR(VLOOKUP(DATA!#REF!,DATA!#REF!,1,FALSE),"")</f>
        <v/>
      </c>
      <c r="D1805" s="16" t="str">
        <f>IFERROR(VLOOKUP(C1805,DATA!#REF!,2,FALSE),"")</f>
        <v/>
      </c>
    </row>
    <row r="1806" spans="2:4" s="237" customFormat="1">
      <c r="B1806" s="15" t="str">
        <f t="shared" si="61"/>
        <v/>
      </c>
      <c r="C1806" s="16" t="str">
        <f>IFERROR(VLOOKUP(DATA!#REF!,DATA!#REF!,1,FALSE),"")</f>
        <v/>
      </c>
      <c r="D1806" s="16" t="str">
        <f>IFERROR(VLOOKUP(C1806,DATA!#REF!,2,FALSE),"")</f>
        <v/>
      </c>
    </row>
    <row r="1807" spans="2:4" s="237" customFormat="1">
      <c r="B1807" s="15" t="str">
        <f t="shared" si="61"/>
        <v/>
      </c>
      <c r="C1807" s="16" t="str">
        <f>IFERROR(VLOOKUP(DATA!#REF!,DATA!#REF!,1,FALSE),"")</f>
        <v/>
      </c>
      <c r="D1807" s="16" t="str">
        <f>IFERROR(VLOOKUP(C1807,DATA!#REF!,2,FALSE),"")</f>
        <v/>
      </c>
    </row>
    <row r="1808" spans="2:4" s="237" customFormat="1">
      <c r="B1808" s="15" t="str">
        <f t="shared" si="61"/>
        <v/>
      </c>
      <c r="C1808" s="16" t="str">
        <f>IFERROR(VLOOKUP(DATA!#REF!,DATA!#REF!,1,FALSE),"")</f>
        <v/>
      </c>
      <c r="D1808" s="16" t="str">
        <f>IFERROR(VLOOKUP(C1808,DATA!#REF!,2,FALSE),"")</f>
        <v/>
      </c>
    </row>
    <row r="1809" spans="2:4" s="237" customFormat="1">
      <c r="B1809" s="15" t="str">
        <f t="shared" si="61"/>
        <v/>
      </c>
      <c r="C1809" s="16" t="str">
        <f>IFERROR(VLOOKUP(DATA!#REF!,DATA!#REF!,1,FALSE),"")</f>
        <v/>
      </c>
      <c r="D1809" s="16" t="str">
        <f>IFERROR(VLOOKUP(C1809,DATA!#REF!,2,FALSE),"")</f>
        <v/>
      </c>
    </row>
    <row r="1810" spans="2:4" s="237" customFormat="1">
      <c r="B1810" s="15" t="str">
        <f t="shared" si="61"/>
        <v/>
      </c>
      <c r="C1810" s="16" t="str">
        <f>IFERROR(VLOOKUP(DATA!#REF!,DATA!#REF!,1,FALSE),"")</f>
        <v/>
      </c>
      <c r="D1810" s="16" t="str">
        <f>IFERROR(VLOOKUP(C1810,DATA!#REF!,2,FALSE),"")</f>
        <v/>
      </c>
    </row>
    <row r="1811" spans="2:4" s="237" customFormat="1">
      <c r="B1811" s="15" t="str">
        <f t="shared" si="61"/>
        <v/>
      </c>
      <c r="C1811" s="16" t="str">
        <f>IFERROR(VLOOKUP(DATA!#REF!,DATA!#REF!,1,FALSE),"")</f>
        <v/>
      </c>
      <c r="D1811" s="16" t="str">
        <f>IFERROR(VLOOKUP(C1811,DATA!#REF!,2,FALSE),"")</f>
        <v/>
      </c>
    </row>
    <row r="1812" spans="2:4" s="237" customFormat="1">
      <c r="B1812" s="15" t="str">
        <f t="shared" si="61"/>
        <v/>
      </c>
      <c r="C1812" s="16" t="str">
        <f>IFERROR(VLOOKUP(DATA!#REF!,DATA!#REF!,1,FALSE),"")</f>
        <v/>
      </c>
      <c r="D1812" s="16" t="str">
        <f>IFERROR(VLOOKUP(C1812,DATA!#REF!,2,FALSE),"")</f>
        <v/>
      </c>
    </row>
    <row r="1813" spans="2:4" s="237" customFormat="1">
      <c r="B1813" s="15" t="str">
        <f t="shared" si="61"/>
        <v/>
      </c>
      <c r="C1813" s="16" t="str">
        <f>IFERROR(VLOOKUP(DATA!#REF!,DATA!#REF!,1,FALSE),"")</f>
        <v/>
      </c>
      <c r="D1813" s="16" t="str">
        <f>IFERROR(VLOOKUP(C1813,DATA!#REF!,2,FALSE),"")</f>
        <v/>
      </c>
    </row>
    <row r="1814" spans="2:4" s="237" customFormat="1">
      <c r="B1814" s="15" t="str">
        <f t="shared" si="61"/>
        <v/>
      </c>
      <c r="C1814" s="16" t="str">
        <f>IFERROR(VLOOKUP(DATA!#REF!,DATA!#REF!,1,FALSE),"")</f>
        <v/>
      </c>
      <c r="D1814" s="16" t="str">
        <f>IFERROR(VLOOKUP(C1814,DATA!#REF!,2,FALSE),"")</f>
        <v/>
      </c>
    </row>
    <row r="1815" spans="2:4" s="237" customFormat="1">
      <c r="B1815" s="15" t="str">
        <f t="shared" si="61"/>
        <v/>
      </c>
      <c r="C1815" s="16" t="str">
        <f>IFERROR(VLOOKUP(DATA!#REF!,DATA!#REF!,1,FALSE),"")</f>
        <v/>
      </c>
      <c r="D1815" s="16" t="str">
        <f>IFERROR(VLOOKUP(C1815,DATA!#REF!,2,FALSE),"")</f>
        <v/>
      </c>
    </row>
    <row r="1816" spans="2:4" s="237" customFormat="1">
      <c r="B1816" s="15" t="str">
        <f t="shared" si="61"/>
        <v/>
      </c>
      <c r="C1816" s="16" t="str">
        <f>IFERROR(VLOOKUP(DATA!#REF!,DATA!#REF!,1,FALSE),"")</f>
        <v/>
      </c>
      <c r="D1816" s="16" t="str">
        <f>IFERROR(VLOOKUP(C1816,DATA!#REF!,2,FALSE),"")</f>
        <v/>
      </c>
    </row>
    <row r="1817" spans="2:4" s="237" customFormat="1">
      <c r="B1817" s="15" t="str">
        <f t="shared" si="61"/>
        <v/>
      </c>
      <c r="C1817" s="16" t="str">
        <f>IFERROR(VLOOKUP(DATA!#REF!,DATA!#REF!,1,FALSE),"")</f>
        <v/>
      </c>
      <c r="D1817" s="16" t="str">
        <f>IFERROR(VLOOKUP(C1817,DATA!#REF!,2,FALSE),"")</f>
        <v/>
      </c>
    </row>
    <row r="1818" spans="2:4" s="237" customFormat="1">
      <c r="B1818" s="15" t="str">
        <f t="shared" si="61"/>
        <v/>
      </c>
      <c r="C1818" s="16" t="str">
        <f>IFERROR(VLOOKUP(DATA!#REF!,DATA!#REF!,1,FALSE),"")</f>
        <v/>
      </c>
      <c r="D1818" s="16" t="str">
        <f>IFERROR(VLOOKUP(C1818,DATA!#REF!,2,FALSE),"")</f>
        <v/>
      </c>
    </row>
    <row r="1819" spans="2:4" s="237" customFormat="1">
      <c r="B1819" s="15" t="str">
        <f t="shared" si="61"/>
        <v/>
      </c>
      <c r="C1819" s="16" t="str">
        <f>IFERROR(VLOOKUP(DATA!#REF!,DATA!#REF!,1,FALSE),"")</f>
        <v/>
      </c>
      <c r="D1819" s="16" t="str">
        <f>IFERROR(VLOOKUP(C1819,DATA!#REF!,2,FALSE),"")</f>
        <v/>
      </c>
    </row>
    <row r="1820" spans="2:4" s="237" customFormat="1">
      <c r="B1820" s="15" t="str">
        <f t="shared" si="61"/>
        <v/>
      </c>
      <c r="C1820" s="16" t="str">
        <f>IFERROR(VLOOKUP(DATA!#REF!,DATA!#REF!,1,FALSE),"")</f>
        <v/>
      </c>
      <c r="D1820" s="16" t="str">
        <f>IFERROR(VLOOKUP(C1820,DATA!#REF!,2,FALSE),"")</f>
        <v/>
      </c>
    </row>
    <row r="1821" spans="2:4" s="237" customFormat="1">
      <c r="B1821" s="15" t="str">
        <f t="shared" si="61"/>
        <v/>
      </c>
      <c r="C1821" s="16" t="str">
        <f>IFERROR(VLOOKUP(DATA!#REF!,DATA!#REF!,1,FALSE),"")</f>
        <v/>
      </c>
      <c r="D1821" s="16" t="str">
        <f>IFERROR(VLOOKUP(C1821,DATA!#REF!,2,FALSE),"")</f>
        <v/>
      </c>
    </row>
    <row r="1822" spans="2:4" s="237" customFormat="1">
      <c r="B1822" s="15" t="str">
        <f t="shared" si="61"/>
        <v/>
      </c>
      <c r="C1822" s="16" t="str">
        <f>IFERROR(VLOOKUP(DATA!#REF!,DATA!#REF!,1,FALSE),"")</f>
        <v/>
      </c>
      <c r="D1822" s="16" t="str">
        <f>IFERROR(VLOOKUP(C1822,DATA!#REF!,2,FALSE),"")</f>
        <v/>
      </c>
    </row>
    <row r="1823" spans="2:4" s="237" customFormat="1">
      <c r="B1823" s="15" t="str">
        <f t="shared" si="61"/>
        <v/>
      </c>
      <c r="C1823" s="16" t="str">
        <f>IFERROR(VLOOKUP(DATA!#REF!,DATA!#REF!,1,FALSE),"")</f>
        <v/>
      </c>
      <c r="D1823" s="16" t="str">
        <f>IFERROR(VLOOKUP(C1823,DATA!#REF!,2,FALSE),"")</f>
        <v/>
      </c>
    </row>
    <row r="1824" spans="2:4" s="237" customFormat="1">
      <c r="B1824" s="15" t="str">
        <f t="shared" si="61"/>
        <v/>
      </c>
      <c r="C1824" s="16" t="str">
        <f>IFERROR(VLOOKUP(DATA!#REF!,DATA!#REF!,1,FALSE),"")</f>
        <v/>
      </c>
      <c r="D1824" s="16" t="str">
        <f>IFERROR(VLOOKUP(C1824,DATA!#REF!,2,FALSE),"")</f>
        <v/>
      </c>
    </row>
    <row r="1825" spans="2:4" s="237" customFormat="1">
      <c r="B1825" s="15" t="str">
        <f t="shared" si="61"/>
        <v/>
      </c>
      <c r="C1825" s="16" t="str">
        <f>IFERROR(VLOOKUP(DATA!#REF!,DATA!#REF!,1,FALSE),"")</f>
        <v/>
      </c>
      <c r="D1825" s="16" t="str">
        <f>IFERROR(VLOOKUP(C1825,DATA!#REF!,2,FALSE),"")</f>
        <v/>
      </c>
    </row>
    <row r="1826" spans="2:4" s="237" customFormat="1">
      <c r="B1826" s="15" t="str">
        <f t="shared" si="61"/>
        <v/>
      </c>
      <c r="C1826" s="16" t="str">
        <f>IFERROR(VLOOKUP(DATA!#REF!,DATA!#REF!,1,FALSE),"")</f>
        <v/>
      </c>
      <c r="D1826" s="16" t="str">
        <f>IFERROR(VLOOKUP(C1826,DATA!#REF!,2,FALSE),"")</f>
        <v/>
      </c>
    </row>
    <row r="1827" spans="2:4" s="237" customFormat="1">
      <c r="B1827" s="15" t="str">
        <f t="shared" si="61"/>
        <v/>
      </c>
      <c r="C1827" s="16" t="str">
        <f>IFERROR(VLOOKUP(DATA!#REF!,DATA!#REF!,1,FALSE),"")</f>
        <v/>
      </c>
      <c r="D1827" s="16" t="str">
        <f>IFERROR(VLOOKUP(C1827,DATA!#REF!,2,FALSE),"")</f>
        <v/>
      </c>
    </row>
    <row r="1828" spans="2:4" s="237" customFormat="1">
      <c r="B1828" s="15" t="str">
        <f t="shared" si="61"/>
        <v/>
      </c>
      <c r="C1828" s="16" t="str">
        <f>IFERROR(VLOOKUP(DATA!#REF!,DATA!#REF!,1,FALSE),"")</f>
        <v/>
      </c>
      <c r="D1828" s="16" t="str">
        <f>IFERROR(VLOOKUP(C1828,DATA!#REF!,2,FALSE),"")</f>
        <v/>
      </c>
    </row>
    <row r="1829" spans="2:4" s="237" customFormat="1">
      <c r="B1829" s="15" t="str">
        <f t="shared" si="61"/>
        <v/>
      </c>
      <c r="C1829" s="16" t="str">
        <f>IFERROR(VLOOKUP(DATA!#REF!,DATA!#REF!,1,FALSE),"")</f>
        <v/>
      </c>
      <c r="D1829" s="16" t="str">
        <f>IFERROR(VLOOKUP(C1829,DATA!#REF!,2,FALSE),"")</f>
        <v/>
      </c>
    </row>
    <row r="1830" spans="2:4" s="237" customFormat="1">
      <c r="B1830" s="15" t="str">
        <f t="shared" si="61"/>
        <v/>
      </c>
      <c r="C1830" s="16" t="str">
        <f>IFERROR(VLOOKUP(DATA!#REF!,DATA!#REF!,1,FALSE),"")</f>
        <v/>
      </c>
      <c r="D1830" s="16" t="str">
        <f>IFERROR(VLOOKUP(C1830,DATA!#REF!,2,FALSE),"")</f>
        <v/>
      </c>
    </row>
    <row r="1831" spans="2:4" s="237" customFormat="1">
      <c r="B1831" s="15" t="str">
        <f t="shared" si="61"/>
        <v/>
      </c>
      <c r="C1831" s="16" t="str">
        <f>IFERROR(VLOOKUP(DATA!#REF!,DATA!#REF!,1,FALSE),"")</f>
        <v/>
      </c>
      <c r="D1831" s="16" t="str">
        <f>IFERROR(VLOOKUP(C1831,DATA!#REF!,2,FALSE),"")</f>
        <v/>
      </c>
    </row>
    <row r="1832" spans="2:4" s="237" customFormat="1">
      <c r="B1832" s="15" t="str">
        <f t="shared" si="61"/>
        <v/>
      </c>
      <c r="C1832" s="16" t="str">
        <f>IFERROR(VLOOKUP(DATA!#REF!,DATA!#REF!,1,FALSE),"")</f>
        <v/>
      </c>
      <c r="D1832" s="16" t="str">
        <f>IFERROR(VLOOKUP(C1832,DATA!#REF!,2,FALSE),"")</f>
        <v/>
      </c>
    </row>
    <row r="1833" spans="2:4" s="237" customFormat="1">
      <c r="B1833" s="15" t="str">
        <f t="shared" si="61"/>
        <v/>
      </c>
      <c r="C1833" s="16" t="str">
        <f>IFERROR(VLOOKUP(DATA!#REF!,DATA!#REF!,1,FALSE),"")</f>
        <v/>
      </c>
      <c r="D1833" s="16" t="str">
        <f>IFERROR(VLOOKUP(C1833,DATA!#REF!,2,FALSE),"")</f>
        <v/>
      </c>
    </row>
    <row r="1834" spans="2:4" s="237" customFormat="1">
      <c r="B1834" s="15" t="str">
        <f t="shared" si="61"/>
        <v/>
      </c>
      <c r="C1834" s="16" t="str">
        <f>IFERROR(VLOOKUP(DATA!#REF!,DATA!#REF!,1,FALSE),"")</f>
        <v/>
      </c>
      <c r="D1834" s="16" t="str">
        <f>IFERROR(VLOOKUP(C1834,DATA!#REF!,2,FALSE),"")</f>
        <v/>
      </c>
    </row>
    <row r="1835" spans="2:4" s="237" customFormat="1">
      <c r="B1835" s="15" t="str">
        <f t="shared" si="61"/>
        <v/>
      </c>
      <c r="C1835" s="16" t="str">
        <f>IFERROR(VLOOKUP(DATA!#REF!,DATA!#REF!,1,FALSE),"")</f>
        <v/>
      </c>
      <c r="D1835" s="16" t="str">
        <f>IFERROR(VLOOKUP(C1835,DATA!#REF!,2,FALSE),"")</f>
        <v/>
      </c>
    </row>
    <row r="1836" spans="2:4" s="237" customFormat="1">
      <c r="B1836" s="15" t="str">
        <f t="shared" si="61"/>
        <v/>
      </c>
      <c r="C1836" s="16" t="str">
        <f>IFERROR(VLOOKUP(DATA!#REF!,DATA!#REF!,1,FALSE),"")</f>
        <v/>
      </c>
      <c r="D1836" s="16" t="str">
        <f>IFERROR(VLOOKUP(C1836,DATA!#REF!,2,FALSE),"")</f>
        <v/>
      </c>
    </row>
    <row r="1837" spans="2:4" s="237" customFormat="1">
      <c r="B1837" s="15" t="str">
        <f t="shared" si="61"/>
        <v/>
      </c>
      <c r="C1837" s="16" t="str">
        <f>IFERROR(VLOOKUP(DATA!#REF!,DATA!#REF!,1,FALSE),"")</f>
        <v/>
      </c>
      <c r="D1837" s="16" t="str">
        <f>IFERROR(VLOOKUP(C1837,DATA!#REF!,2,FALSE),"")</f>
        <v/>
      </c>
    </row>
    <row r="1838" spans="2:4" s="237" customFormat="1">
      <c r="B1838" s="15" t="str">
        <f t="shared" si="61"/>
        <v/>
      </c>
      <c r="C1838" s="16" t="str">
        <f>IFERROR(VLOOKUP(DATA!#REF!,DATA!#REF!,1,FALSE),"")</f>
        <v/>
      </c>
      <c r="D1838" s="16" t="str">
        <f>IFERROR(VLOOKUP(C1838,DATA!#REF!,2,FALSE),"")</f>
        <v/>
      </c>
    </row>
    <row r="1839" spans="2:4" s="237" customFormat="1">
      <c r="B1839" s="15" t="str">
        <f t="shared" si="61"/>
        <v/>
      </c>
      <c r="C1839" s="16" t="str">
        <f>IFERROR(VLOOKUP(DATA!#REF!,DATA!#REF!,1,FALSE),"")</f>
        <v/>
      </c>
      <c r="D1839" s="16" t="str">
        <f>IFERROR(VLOOKUP(C1839,DATA!#REF!,2,FALSE),"")</f>
        <v/>
      </c>
    </row>
    <row r="1840" spans="2:4" s="237" customFormat="1">
      <c r="B1840" s="15" t="str">
        <f t="shared" si="61"/>
        <v/>
      </c>
      <c r="C1840" s="16" t="str">
        <f>IFERROR(VLOOKUP(DATA!#REF!,DATA!#REF!,1,FALSE),"")</f>
        <v/>
      </c>
      <c r="D1840" s="16" t="str">
        <f>IFERROR(VLOOKUP(C1840,DATA!#REF!,2,FALSE),"")</f>
        <v/>
      </c>
    </row>
    <row r="1841" spans="2:4" s="237" customFormat="1">
      <c r="B1841" s="15" t="str">
        <f t="shared" si="61"/>
        <v/>
      </c>
      <c r="C1841" s="16" t="str">
        <f>IFERROR(VLOOKUP(DATA!#REF!,DATA!#REF!,1,FALSE),"")</f>
        <v/>
      </c>
      <c r="D1841" s="16" t="str">
        <f>IFERROR(VLOOKUP(C1841,DATA!#REF!,2,FALSE),"")</f>
        <v/>
      </c>
    </row>
    <row r="1842" spans="2:4" s="237" customFormat="1">
      <c r="B1842" s="15" t="str">
        <f t="shared" si="61"/>
        <v/>
      </c>
      <c r="C1842" s="16" t="str">
        <f>IFERROR(VLOOKUP(DATA!#REF!,DATA!#REF!,1,FALSE),"")</f>
        <v/>
      </c>
      <c r="D1842" s="16" t="str">
        <f>IFERROR(VLOOKUP(C1842,DATA!#REF!,2,FALSE),"")</f>
        <v/>
      </c>
    </row>
    <row r="1843" spans="2:4" s="237" customFormat="1">
      <c r="B1843" s="15" t="str">
        <f t="shared" si="61"/>
        <v/>
      </c>
      <c r="C1843" s="16" t="str">
        <f>IFERROR(VLOOKUP(DATA!#REF!,DATA!#REF!,1,FALSE),"")</f>
        <v/>
      </c>
      <c r="D1843" s="16" t="str">
        <f>IFERROR(VLOOKUP(C1843,DATA!#REF!,2,FALSE),"")</f>
        <v/>
      </c>
    </row>
    <row r="1844" spans="2:4" s="237" customFormat="1">
      <c r="B1844" s="15" t="str">
        <f t="shared" si="61"/>
        <v/>
      </c>
      <c r="C1844" s="16" t="str">
        <f>IFERROR(VLOOKUP(DATA!#REF!,DATA!#REF!,1,FALSE),"")</f>
        <v/>
      </c>
      <c r="D1844" s="16" t="str">
        <f>IFERROR(VLOOKUP(C1844,DATA!#REF!,2,FALSE),"")</f>
        <v/>
      </c>
    </row>
    <row r="1845" spans="2:4" s="237" customFormat="1">
      <c r="B1845" s="15" t="str">
        <f t="shared" si="61"/>
        <v/>
      </c>
      <c r="C1845" s="16" t="str">
        <f>IFERROR(VLOOKUP(DATA!#REF!,DATA!#REF!,1,FALSE),"")</f>
        <v/>
      </c>
      <c r="D1845" s="16" t="str">
        <f>IFERROR(VLOOKUP(C1845,DATA!#REF!,2,FALSE),"")</f>
        <v/>
      </c>
    </row>
    <row r="1846" spans="2:4" s="237" customFormat="1">
      <c r="B1846" s="15" t="str">
        <f t="shared" si="61"/>
        <v/>
      </c>
      <c r="C1846" s="16" t="str">
        <f>IFERROR(VLOOKUP(DATA!#REF!,DATA!#REF!,1,FALSE),"")</f>
        <v/>
      </c>
      <c r="D1846" s="16" t="str">
        <f>IFERROR(VLOOKUP(C1846,DATA!#REF!,2,FALSE),"")</f>
        <v/>
      </c>
    </row>
    <row r="1847" spans="2:4" s="237" customFormat="1">
      <c r="B1847" s="15" t="str">
        <f t="shared" si="61"/>
        <v/>
      </c>
      <c r="C1847" s="16" t="str">
        <f>IFERROR(VLOOKUP(DATA!#REF!,DATA!#REF!,1,FALSE),"")</f>
        <v/>
      </c>
      <c r="D1847" s="16" t="str">
        <f>IFERROR(VLOOKUP(C1847,DATA!#REF!,2,FALSE),"")</f>
        <v/>
      </c>
    </row>
    <row r="1848" spans="2:4" s="237" customFormat="1">
      <c r="B1848" s="15" t="str">
        <f t="shared" si="61"/>
        <v/>
      </c>
      <c r="C1848" s="16" t="str">
        <f>IFERROR(VLOOKUP(DATA!#REF!,DATA!#REF!,1,FALSE),"")</f>
        <v/>
      </c>
      <c r="D1848" s="16" t="str">
        <f>IFERROR(VLOOKUP(C1848,DATA!#REF!,2,FALSE),"")</f>
        <v/>
      </c>
    </row>
    <row r="1849" spans="2:4" s="237" customFormat="1">
      <c r="B1849" s="15" t="str">
        <f t="shared" si="61"/>
        <v/>
      </c>
      <c r="C1849" s="16" t="str">
        <f>IFERROR(VLOOKUP(DATA!#REF!,DATA!#REF!,1,FALSE),"")</f>
        <v/>
      </c>
      <c r="D1849" s="16" t="str">
        <f>IFERROR(VLOOKUP(C1849,DATA!#REF!,2,FALSE),"")</f>
        <v/>
      </c>
    </row>
    <row r="1850" spans="2:4" s="237" customFormat="1">
      <c r="B1850" s="15" t="str">
        <f t="shared" si="61"/>
        <v/>
      </c>
      <c r="C1850" s="16" t="str">
        <f>IFERROR(VLOOKUP(DATA!#REF!,DATA!#REF!,1,FALSE),"")</f>
        <v/>
      </c>
      <c r="D1850" s="16" t="str">
        <f>IFERROR(VLOOKUP(C1850,DATA!#REF!,2,FALSE),"")</f>
        <v/>
      </c>
    </row>
    <row r="1851" spans="2:4" s="237" customFormat="1">
      <c r="B1851" s="15" t="str">
        <f t="shared" si="61"/>
        <v/>
      </c>
      <c r="C1851" s="16" t="str">
        <f>IFERROR(VLOOKUP(DATA!#REF!,DATA!#REF!,1,FALSE),"")</f>
        <v/>
      </c>
      <c r="D1851" s="16" t="str">
        <f>IFERROR(VLOOKUP(C1851,DATA!#REF!,2,FALSE),"")</f>
        <v/>
      </c>
    </row>
    <row r="1852" spans="2:4" s="237" customFormat="1">
      <c r="B1852" s="15" t="str">
        <f t="shared" si="61"/>
        <v/>
      </c>
      <c r="C1852" s="16" t="str">
        <f>IFERROR(VLOOKUP(DATA!#REF!,DATA!#REF!,1,FALSE),"")</f>
        <v/>
      </c>
      <c r="D1852" s="16" t="str">
        <f>IFERROR(VLOOKUP(C1852,DATA!#REF!,2,FALSE),"")</f>
        <v/>
      </c>
    </row>
    <row r="1853" spans="2:4" s="237" customFormat="1">
      <c r="B1853" s="15" t="str">
        <f t="shared" si="61"/>
        <v/>
      </c>
      <c r="C1853" s="16" t="str">
        <f>IFERROR(VLOOKUP(DATA!#REF!,DATA!#REF!,1,FALSE),"")</f>
        <v/>
      </c>
      <c r="D1853" s="16" t="str">
        <f>IFERROR(VLOOKUP(C1853,DATA!#REF!,2,FALSE),"")</f>
        <v/>
      </c>
    </row>
    <row r="1854" spans="2:4" s="237" customFormat="1">
      <c r="B1854" s="15" t="str">
        <f t="shared" si="61"/>
        <v/>
      </c>
      <c r="C1854" s="16" t="str">
        <f>IFERROR(VLOOKUP(DATA!#REF!,DATA!#REF!,1,FALSE),"")</f>
        <v/>
      </c>
      <c r="D1854" s="16" t="str">
        <f>IFERROR(VLOOKUP(C1854,DATA!#REF!,2,FALSE),"")</f>
        <v/>
      </c>
    </row>
    <row r="1855" spans="2:4" s="237" customFormat="1">
      <c r="B1855" s="15" t="str">
        <f t="shared" si="61"/>
        <v/>
      </c>
      <c r="C1855" s="16" t="str">
        <f>IFERROR(VLOOKUP(DATA!#REF!,DATA!#REF!,1,FALSE),"")</f>
        <v/>
      </c>
      <c r="D1855" s="16" t="str">
        <f>IFERROR(VLOOKUP(C1855,DATA!#REF!,2,FALSE),"")</f>
        <v/>
      </c>
    </row>
    <row r="1856" spans="2:4" s="237" customFormat="1">
      <c r="B1856" s="15" t="str">
        <f t="shared" si="61"/>
        <v/>
      </c>
      <c r="C1856" s="16" t="str">
        <f>IFERROR(VLOOKUP(DATA!#REF!,DATA!#REF!,1,FALSE),"")</f>
        <v/>
      </c>
      <c r="D1856" s="16" t="str">
        <f>IFERROR(VLOOKUP(C1856,DATA!#REF!,2,FALSE),"")</f>
        <v/>
      </c>
    </row>
    <row r="1857" spans="2:4" s="237" customFormat="1">
      <c r="B1857" s="15" t="str">
        <f t="shared" si="61"/>
        <v/>
      </c>
      <c r="C1857" s="16" t="str">
        <f>IFERROR(VLOOKUP(DATA!#REF!,DATA!#REF!,1,FALSE),"")</f>
        <v/>
      </c>
      <c r="D1857" s="16" t="str">
        <f>IFERROR(VLOOKUP(C1857,DATA!#REF!,2,FALSE),"")</f>
        <v/>
      </c>
    </row>
    <row r="1858" spans="2:4" s="237" customFormat="1">
      <c r="B1858" s="15" t="str">
        <f t="shared" si="61"/>
        <v/>
      </c>
      <c r="C1858" s="16" t="str">
        <f>IFERROR(VLOOKUP(DATA!#REF!,DATA!#REF!,1,FALSE),"")</f>
        <v/>
      </c>
      <c r="D1858" s="16" t="str">
        <f>IFERROR(VLOOKUP(C1858,DATA!#REF!,2,FALSE),"")</f>
        <v/>
      </c>
    </row>
    <row r="1859" spans="2:4" s="237" customFormat="1">
      <c r="B1859" s="15" t="str">
        <f t="shared" si="61"/>
        <v/>
      </c>
      <c r="C1859" s="16" t="str">
        <f>IFERROR(VLOOKUP(DATA!#REF!,DATA!#REF!,1,FALSE),"")</f>
        <v/>
      </c>
      <c r="D1859" s="16" t="str">
        <f>IFERROR(VLOOKUP(C1859,DATA!#REF!,2,FALSE),"")</f>
        <v/>
      </c>
    </row>
    <row r="1860" spans="2:4" s="237" customFormat="1">
      <c r="B1860" s="15" t="str">
        <f t="shared" si="61"/>
        <v/>
      </c>
      <c r="C1860" s="16" t="str">
        <f>IFERROR(VLOOKUP(DATA!#REF!,DATA!#REF!,1,FALSE),"")</f>
        <v/>
      </c>
      <c r="D1860" s="16" t="str">
        <f>IFERROR(VLOOKUP(C1860,DATA!#REF!,2,FALSE),"")</f>
        <v/>
      </c>
    </row>
    <row r="1861" spans="2:4" s="237" customFormat="1">
      <c r="B1861" s="15" t="str">
        <f t="shared" si="61"/>
        <v/>
      </c>
      <c r="C1861" s="16" t="str">
        <f>IFERROR(VLOOKUP(DATA!#REF!,DATA!#REF!,1,FALSE),"")</f>
        <v/>
      </c>
      <c r="D1861" s="16" t="str">
        <f>IFERROR(VLOOKUP(C1861,DATA!#REF!,2,FALSE),"")</f>
        <v/>
      </c>
    </row>
    <row r="1862" spans="2:4" s="237" customFormat="1">
      <c r="B1862" s="15" t="str">
        <f t="shared" ref="B1862:B1925" si="62">+IF(C1862="","",ROW()-5)</f>
        <v/>
      </c>
      <c r="C1862" s="16" t="str">
        <f>IFERROR(VLOOKUP(DATA!#REF!,DATA!#REF!,1,FALSE),"")</f>
        <v/>
      </c>
      <c r="D1862" s="16" t="str">
        <f>IFERROR(VLOOKUP(C1862,DATA!#REF!,2,FALSE),"")</f>
        <v/>
      </c>
    </row>
    <row r="1863" spans="2:4" s="237" customFormat="1">
      <c r="B1863" s="15" t="str">
        <f t="shared" si="62"/>
        <v/>
      </c>
      <c r="C1863" s="16" t="str">
        <f>IFERROR(VLOOKUP(DATA!#REF!,DATA!#REF!,1,FALSE),"")</f>
        <v/>
      </c>
      <c r="D1863" s="16" t="str">
        <f>IFERROR(VLOOKUP(C1863,DATA!#REF!,2,FALSE),"")</f>
        <v/>
      </c>
    </row>
    <row r="1864" spans="2:4" s="237" customFormat="1">
      <c r="B1864" s="15" t="str">
        <f t="shared" si="62"/>
        <v/>
      </c>
      <c r="C1864" s="16" t="str">
        <f>IFERROR(VLOOKUP(DATA!#REF!,DATA!#REF!,1,FALSE),"")</f>
        <v/>
      </c>
      <c r="D1864" s="16" t="str">
        <f>IFERROR(VLOOKUP(C1864,DATA!#REF!,2,FALSE),"")</f>
        <v/>
      </c>
    </row>
    <row r="1865" spans="2:4" s="237" customFormat="1">
      <c r="B1865" s="15" t="str">
        <f t="shared" si="62"/>
        <v/>
      </c>
      <c r="C1865" s="16" t="str">
        <f>IFERROR(VLOOKUP(DATA!#REF!,DATA!#REF!,1,FALSE),"")</f>
        <v/>
      </c>
      <c r="D1865" s="16" t="str">
        <f>IFERROR(VLOOKUP(C1865,DATA!#REF!,2,FALSE),"")</f>
        <v/>
      </c>
    </row>
    <row r="1866" spans="2:4" s="237" customFormat="1">
      <c r="B1866" s="15" t="str">
        <f t="shared" si="62"/>
        <v/>
      </c>
      <c r="C1866" s="16" t="str">
        <f>IFERROR(VLOOKUP(DATA!#REF!,DATA!#REF!,1,FALSE),"")</f>
        <v/>
      </c>
      <c r="D1866" s="16" t="str">
        <f>IFERROR(VLOOKUP(C1866,DATA!#REF!,2,FALSE),"")</f>
        <v/>
      </c>
    </row>
    <row r="1867" spans="2:4" s="237" customFormat="1">
      <c r="B1867" s="15" t="str">
        <f t="shared" si="62"/>
        <v/>
      </c>
      <c r="C1867" s="16" t="str">
        <f>IFERROR(VLOOKUP(DATA!#REF!,DATA!#REF!,1,FALSE),"")</f>
        <v/>
      </c>
      <c r="D1867" s="16" t="str">
        <f>IFERROR(VLOOKUP(C1867,DATA!#REF!,2,FALSE),"")</f>
        <v/>
      </c>
    </row>
    <row r="1868" spans="2:4" s="237" customFormat="1">
      <c r="B1868" s="15" t="str">
        <f t="shared" si="62"/>
        <v/>
      </c>
      <c r="C1868" s="16" t="str">
        <f>IFERROR(VLOOKUP(DATA!#REF!,DATA!#REF!,1,FALSE),"")</f>
        <v/>
      </c>
      <c r="D1868" s="16" t="str">
        <f>IFERROR(VLOOKUP(C1868,DATA!#REF!,2,FALSE),"")</f>
        <v/>
      </c>
    </row>
    <row r="1869" spans="2:4" s="237" customFormat="1">
      <c r="B1869" s="15" t="str">
        <f t="shared" si="62"/>
        <v/>
      </c>
      <c r="C1869" s="16" t="str">
        <f>IFERROR(VLOOKUP(DATA!#REF!,DATA!#REF!,1,FALSE),"")</f>
        <v/>
      </c>
      <c r="D1869" s="16" t="str">
        <f>IFERROR(VLOOKUP(C1869,DATA!#REF!,2,FALSE),"")</f>
        <v/>
      </c>
    </row>
    <row r="1870" spans="2:4" s="237" customFormat="1">
      <c r="B1870" s="15" t="str">
        <f t="shared" si="62"/>
        <v/>
      </c>
      <c r="C1870" s="16" t="str">
        <f>IFERROR(VLOOKUP(DATA!#REF!,DATA!#REF!,1,FALSE),"")</f>
        <v/>
      </c>
      <c r="D1870" s="16" t="str">
        <f>IFERROR(VLOOKUP(C1870,DATA!#REF!,2,FALSE),"")</f>
        <v/>
      </c>
    </row>
    <row r="1871" spans="2:4" s="237" customFormat="1">
      <c r="B1871" s="15" t="str">
        <f t="shared" si="62"/>
        <v/>
      </c>
      <c r="C1871" s="16" t="str">
        <f>IFERROR(VLOOKUP(DATA!#REF!,DATA!#REF!,1,FALSE),"")</f>
        <v/>
      </c>
      <c r="D1871" s="16" t="str">
        <f>IFERROR(VLOOKUP(C1871,DATA!#REF!,2,FALSE),"")</f>
        <v/>
      </c>
    </row>
    <row r="1872" spans="2:4" s="237" customFormat="1">
      <c r="B1872" s="15" t="str">
        <f t="shared" si="62"/>
        <v/>
      </c>
      <c r="C1872" s="16" t="str">
        <f>IFERROR(VLOOKUP(DATA!#REF!,DATA!#REF!,1,FALSE),"")</f>
        <v/>
      </c>
      <c r="D1872" s="16" t="str">
        <f>IFERROR(VLOOKUP(C1872,DATA!#REF!,2,FALSE),"")</f>
        <v/>
      </c>
    </row>
    <row r="1873" spans="2:4" s="237" customFormat="1">
      <c r="B1873" s="15" t="str">
        <f t="shared" si="62"/>
        <v/>
      </c>
      <c r="C1873" s="16" t="str">
        <f>IFERROR(VLOOKUP(DATA!#REF!,DATA!#REF!,1,FALSE),"")</f>
        <v/>
      </c>
      <c r="D1873" s="16" t="str">
        <f>IFERROR(VLOOKUP(C1873,DATA!#REF!,2,FALSE),"")</f>
        <v/>
      </c>
    </row>
    <row r="1874" spans="2:4" s="237" customFormat="1">
      <c r="B1874" s="15" t="str">
        <f t="shared" si="62"/>
        <v/>
      </c>
      <c r="C1874" s="16" t="str">
        <f>IFERROR(VLOOKUP(DATA!#REF!,DATA!#REF!,1,FALSE),"")</f>
        <v/>
      </c>
      <c r="D1874" s="16" t="str">
        <f>IFERROR(VLOOKUP(C1874,DATA!#REF!,2,FALSE),"")</f>
        <v/>
      </c>
    </row>
    <row r="1875" spans="2:4" s="237" customFormat="1">
      <c r="B1875" s="15" t="str">
        <f t="shared" si="62"/>
        <v/>
      </c>
      <c r="C1875" s="16" t="str">
        <f>IFERROR(VLOOKUP(DATA!#REF!,DATA!#REF!,1,FALSE),"")</f>
        <v/>
      </c>
      <c r="D1875" s="16" t="str">
        <f>IFERROR(VLOOKUP(C1875,DATA!#REF!,2,FALSE),"")</f>
        <v/>
      </c>
    </row>
    <row r="1876" spans="2:4" s="237" customFormat="1">
      <c r="B1876" s="15" t="str">
        <f t="shared" si="62"/>
        <v/>
      </c>
      <c r="C1876" s="16" t="str">
        <f>IFERROR(VLOOKUP(DATA!#REF!,DATA!#REF!,1,FALSE),"")</f>
        <v/>
      </c>
      <c r="D1876" s="16" t="str">
        <f>IFERROR(VLOOKUP(C1876,DATA!#REF!,2,FALSE),"")</f>
        <v/>
      </c>
    </row>
    <row r="1877" spans="2:4" s="237" customFormat="1">
      <c r="B1877" s="15" t="str">
        <f t="shared" si="62"/>
        <v/>
      </c>
      <c r="C1877" s="16" t="str">
        <f>IFERROR(VLOOKUP(DATA!#REF!,DATA!#REF!,1,FALSE),"")</f>
        <v/>
      </c>
      <c r="D1877" s="16" t="str">
        <f>IFERROR(VLOOKUP(C1877,DATA!#REF!,2,FALSE),"")</f>
        <v/>
      </c>
    </row>
    <row r="1878" spans="2:4" s="237" customFormat="1">
      <c r="B1878" s="15" t="str">
        <f t="shared" si="62"/>
        <v/>
      </c>
      <c r="C1878" s="16" t="str">
        <f>IFERROR(VLOOKUP(DATA!#REF!,DATA!#REF!,1,FALSE),"")</f>
        <v/>
      </c>
      <c r="D1878" s="16" t="str">
        <f>IFERROR(VLOOKUP(C1878,DATA!#REF!,2,FALSE),"")</f>
        <v/>
      </c>
    </row>
    <row r="1879" spans="2:4" s="237" customFormat="1">
      <c r="B1879" s="15" t="str">
        <f t="shared" si="62"/>
        <v/>
      </c>
      <c r="C1879" s="16" t="str">
        <f>IFERROR(VLOOKUP(DATA!#REF!,DATA!#REF!,1,FALSE),"")</f>
        <v/>
      </c>
      <c r="D1879" s="16" t="str">
        <f>IFERROR(VLOOKUP(C1879,DATA!#REF!,2,FALSE),"")</f>
        <v/>
      </c>
    </row>
    <row r="1880" spans="2:4" s="237" customFormat="1">
      <c r="B1880" s="15" t="str">
        <f t="shared" si="62"/>
        <v/>
      </c>
      <c r="C1880" s="16" t="str">
        <f>IFERROR(VLOOKUP(DATA!#REF!,DATA!#REF!,1,FALSE),"")</f>
        <v/>
      </c>
      <c r="D1880" s="16" t="str">
        <f>IFERROR(VLOOKUP(C1880,DATA!#REF!,2,FALSE),"")</f>
        <v/>
      </c>
    </row>
    <row r="1881" spans="2:4" s="237" customFormat="1">
      <c r="B1881" s="15" t="str">
        <f t="shared" si="62"/>
        <v/>
      </c>
      <c r="C1881" s="16" t="str">
        <f>IFERROR(VLOOKUP(DATA!#REF!,DATA!#REF!,1,FALSE),"")</f>
        <v/>
      </c>
      <c r="D1881" s="16" t="str">
        <f>IFERROR(VLOOKUP(C1881,DATA!#REF!,2,FALSE),"")</f>
        <v/>
      </c>
    </row>
    <row r="1882" spans="2:4" s="237" customFormat="1">
      <c r="B1882" s="15" t="str">
        <f t="shared" si="62"/>
        <v/>
      </c>
      <c r="C1882" s="16" t="str">
        <f>IFERROR(VLOOKUP(DATA!#REF!,DATA!#REF!,1,FALSE),"")</f>
        <v/>
      </c>
      <c r="D1882" s="16" t="str">
        <f>IFERROR(VLOOKUP(C1882,DATA!#REF!,2,FALSE),"")</f>
        <v/>
      </c>
    </row>
    <row r="1883" spans="2:4" s="237" customFormat="1">
      <c r="B1883" s="15" t="str">
        <f t="shared" si="62"/>
        <v/>
      </c>
      <c r="C1883" s="16" t="str">
        <f>IFERROR(VLOOKUP(DATA!#REF!,DATA!#REF!,1,FALSE),"")</f>
        <v/>
      </c>
      <c r="D1883" s="16" t="str">
        <f>IFERROR(VLOOKUP(C1883,DATA!#REF!,2,FALSE),"")</f>
        <v/>
      </c>
    </row>
    <row r="1884" spans="2:4" s="237" customFormat="1">
      <c r="B1884" s="15" t="str">
        <f t="shared" si="62"/>
        <v/>
      </c>
      <c r="C1884" s="16" t="str">
        <f>IFERROR(VLOOKUP(DATA!#REF!,DATA!#REF!,1,FALSE),"")</f>
        <v/>
      </c>
      <c r="D1884" s="16" t="str">
        <f>IFERROR(VLOOKUP(C1884,DATA!#REF!,2,FALSE),"")</f>
        <v/>
      </c>
    </row>
    <row r="1885" spans="2:4" s="237" customFormat="1">
      <c r="B1885" s="15" t="str">
        <f t="shared" si="62"/>
        <v/>
      </c>
      <c r="C1885" s="16" t="str">
        <f>IFERROR(VLOOKUP(DATA!#REF!,DATA!#REF!,1,FALSE),"")</f>
        <v/>
      </c>
      <c r="D1885" s="16" t="str">
        <f>IFERROR(VLOOKUP(C1885,DATA!#REF!,2,FALSE),"")</f>
        <v/>
      </c>
    </row>
    <row r="1886" spans="2:4" s="237" customFormat="1">
      <c r="B1886" s="15" t="str">
        <f t="shared" si="62"/>
        <v/>
      </c>
      <c r="C1886" s="16" t="str">
        <f>IFERROR(VLOOKUP(DATA!#REF!,DATA!#REF!,1,FALSE),"")</f>
        <v/>
      </c>
      <c r="D1886" s="16" t="str">
        <f>IFERROR(VLOOKUP(C1886,DATA!#REF!,2,FALSE),"")</f>
        <v/>
      </c>
    </row>
    <row r="1887" spans="2:4" s="237" customFormat="1">
      <c r="B1887" s="15" t="str">
        <f t="shared" si="62"/>
        <v/>
      </c>
      <c r="C1887" s="16" t="str">
        <f>IFERROR(VLOOKUP(DATA!#REF!,DATA!#REF!,1,FALSE),"")</f>
        <v/>
      </c>
      <c r="D1887" s="16" t="str">
        <f>IFERROR(VLOOKUP(C1887,DATA!#REF!,2,FALSE),"")</f>
        <v/>
      </c>
    </row>
    <row r="1888" spans="2:4" s="237" customFormat="1">
      <c r="B1888" s="15" t="str">
        <f t="shared" si="62"/>
        <v/>
      </c>
      <c r="C1888" s="16" t="str">
        <f>IFERROR(VLOOKUP(DATA!#REF!,DATA!#REF!,1,FALSE),"")</f>
        <v/>
      </c>
      <c r="D1888" s="16" t="str">
        <f>IFERROR(VLOOKUP(C1888,DATA!#REF!,2,FALSE),"")</f>
        <v/>
      </c>
    </row>
    <row r="1889" spans="2:4" s="237" customFormat="1">
      <c r="B1889" s="15" t="str">
        <f t="shared" si="62"/>
        <v/>
      </c>
      <c r="C1889" s="16" t="str">
        <f>IFERROR(VLOOKUP(DATA!#REF!,DATA!#REF!,1,FALSE),"")</f>
        <v/>
      </c>
      <c r="D1889" s="16" t="str">
        <f>IFERROR(VLOOKUP(C1889,DATA!#REF!,2,FALSE),"")</f>
        <v/>
      </c>
    </row>
    <row r="1890" spans="2:4" s="237" customFormat="1">
      <c r="B1890" s="15" t="str">
        <f t="shared" si="62"/>
        <v/>
      </c>
      <c r="C1890" s="16" t="str">
        <f>IFERROR(VLOOKUP(DATA!#REF!,DATA!#REF!,1,FALSE),"")</f>
        <v/>
      </c>
      <c r="D1890" s="16" t="str">
        <f>IFERROR(VLOOKUP(C1890,DATA!#REF!,2,FALSE),"")</f>
        <v/>
      </c>
    </row>
    <row r="1891" spans="2:4" s="237" customFormat="1">
      <c r="B1891" s="15" t="str">
        <f t="shared" si="62"/>
        <v/>
      </c>
      <c r="C1891" s="16" t="str">
        <f>IFERROR(VLOOKUP(DATA!#REF!,DATA!#REF!,1,FALSE),"")</f>
        <v/>
      </c>
      <c r="D1891" s="16" t="str">
        <f>IFERROR(VLOOKUP(C1891,DATA!#REF!,2,FALSE),"")</f>
        <v/>
      </c>
    </row>
    <row r="1892" spans="2:4" s="237" customFormat="1">
      <c r="B1892" s="15" t="str">
        <f t="shared" si="62"/>
        <v/>
      </c>
      <c r="C1892" s="16" t="str">
        <f>IFERROR(VLOOKUP(DATA!#REF!,DATA!#REF!,1,FALSE),"")</f>
        <v/>
      </c>
      <c r="D1892" s="16" t="str">
        <f>IFERROR(VLOOKUP(C1892,DATA!#REF!,2,FALSE),"")</f>
        <v/>
      </c>
    </row>
    <row r="1893" spans="2:4" s="237" customFormat="1">
      <c r="B1893" s="15" t="str">
        <f t="shared" si="62"/>
        <v/>
      </c>
      <c r="C1893" s="16" t="str">
        <f>IFERROR(VLOOKUP(DATA!#REF!,DATA!#REF!,1,FALSE),"")</f>
        <v/>
      </c>
      <c r="D1893" s="16" t="str">
        <f>IFERROR(VLOOKUP(C1893,DATA!#REF!,2,FALSE),"")</f>
        <v/>
      </c>
    </row>
    <row r="1894" spans="2:4" s="237" customFormat="1">
      <c r="B1894" s="15" t="str">
        <f t="shared" si="62"/>
        <v/>
      </c>
      <c r="C1894" s="16" t="str">
        <f>IFERROR(VLOOKUP(DATA!#REF!,DATA!#REF!,1,FALSE),"")</f>
        <v/>
      </c>
      <c r="D1894" s="16" t="str">
        <f>IFERROR(VLOOKUP(C1894,DATA!#REF!,2,FALSE),"")</f>
        <v/>
      </c>
    </row>
    <row r="1895" spans="2:4" s="237" customFormat="1">
      <c r="B1895" s="15" t="str">
        <f t="shared" si="62"/>
        <v/>
      </c>
      <c r="C1895" s="16" t="str">
        <f>IFERROR(VLOOKUP(DATA!#REF!,DATA!#REF!,1,FALSE),"")</f>
        <v/>
      </c>
      <c r="D1895" s="16" t="str">
        <f>IFERROR(VLOOKUP(C1895,DATA!#REF!,2,FALSE),"")</f>
        <v/>
      </c>
    </row>
    <row r="1896" spans="2:4" s="237" customFormat="1">
      <c r="B1896" s="15" t="str">
        <f t="shared" si="62"/>
        <v/>
      </c>
      <c r="C1896" s="16" t="str">
        <f>IFERROR(VLOOKUP(DATA!#REF!,DATA!#REF!,1,FALSE),"")</f>
        <v/>
      </c>
      <c r="D1896" s="16" t="str">
        <f>IFERROR(VLOOKUP(C1896,DATA!#REF!,2,FALSE),"")</f>
        <v/>
      </c>
    </row>
    <row r="1897" spans="2:4" s="237" customFormat="1">
      <c r="B1897" s="15" t="str">
        <f t="shared" si="62"/>
        <v/>
      </c>
      <c r="C1897" s="16" t="str">
        <f>IFERROR(VLOOKUP(DATA!#REF!,DATA!#REF!,1,FALSE),"")</f>
        <v/>
      </c>
      <c r="D1897" s="16" t="str">
        <f>IFERROR(VLOOKUP(C1897,DATA!#REF!,2,FALSE),"")</f>
        <v/>
      </c>
    </row>
    <row r="1898" spans="2:4" s="237" customFormat="1">
      <c r="B1898" s="15" t="str">
        <f t="shared" si="62"/>
        <v/>
      </c>
      <c r="C1898" s="16" t="str">
        <f>IFERROR(VLOOKUP(DATA!#REF!,DATA!#REF!,1,FALSE),"")</f>
        <v/>
      </c>
      <c r="D1898" s="16" t="str">
        <f>IFERROR(VLOOKUP(C1898,DATA!#REF!,2,FALSE),"")</f>
        <v/>
      </c>
    </row>
    <row r="1899" spans="2:4" s="237" customFormat="1">
      <c r="B1899" s="15" t="str">
        <f t="shared" si="62"/>
        <v/>
      </c>
      <c r="C1899" s="16" t="str">
        <f>IFERROR(VLOOKUP(DATA!#REF!,DATA!#REF!,1,FALSE),"")</f>
        <v/>
      </c>
      <c r="D1899" s="16" t="str">
        <f>IFERROR(VLOOKUP(C1899,DATA!#REF!,2,FALSE),"")</f>
        <v/>
      </c>
    </row>
    <row r="1900" spans="2:4" s="237" customFormat="1">
      <c r="B1900" s="15" t="str">
        <f t="shared" si="62"/>
        <v/>
      </c>
      <c r="C1900" s="16" t="str">
        <f>IFERROR(VLOOKUP(DATA!#REF!,DATA!#REF!,1,FALSE),"")</f>
        <v/>
      </c>
      <c r="D1900" s="16" t="str">
        <f>IFERROR(VLOOKUP(C1900,DATA!#REF!,2,FALSE),"")</f>
        <v/>
      </c>
    </row>
    <row r="1901" spans="2:4" s="237" customFormat="1">
      <c r="B1901" s="15" t="str">
        <f t="shared" si="62"/>
        <v/>
      </c>
      <c r="C1901" s="16" t="str">
        <f>IFERROR(VLOOKUP(DATA!#REF!,DATA!#REF!,1,FALSE),"")</f>
        <v/>
      </c>
      <c r="D1901" s="16" t="str">
        <f>IFERROR(VLOOKUP(C1901,DATA!#REF!,2,FALSE),"")</f>
        <v/>
      </c>
    </row>
    <row r="1902" spans="2:4" s="237" customFormat="1">
      <c r="B1902" s="15" t="str">
        <f t="shared" si="62"/>
        <v/>
      </c>
      <c r="C1902" s="16" t="str">
        <f>IFERROR(VLOOKUP(DATA!#REF!,DATA!#REF!,1,FALSE),"")</f>
        <v/>
      </c>
      <c r="D1902" s="16" t="str">
        <f>IFERROR(VLOOKUP(C1902,DATA!#REF!,2,FALSE),"")</f>
        <v/>
      </c>
    </row>
    <row r="1903" spans="2:4" s="237" customFormat="1">
      <c r="B1903" s="15" t="str">
        <f t="shared" si="62"/>
        <v/>
      </c>
      <c r="C1903" s="16" t="str">
        <f>IFERROR(VLOOKUP(DATA!#REF!,DATA!#REF!,1,FALSE),"")</f>
        <v/>
      </c>
      <c r="D1903" s="16" t="str">
        <f>IFERROR(VLOOKUP(C1903,DATA!#REF!,2,FALSE),"")</f>
        <v/>
      </c>
    </row>
    <row r="1904" spans="2:4" s="237" customFormat="1">
      <c r="B1904" s="15" t="str">
        <f t="shared" si="62"/>
        <v/>
      </c>
      <c r="C1904" s="16" t="str">
        <f>IFERROR(VLOOKUP(DATA!#REF!,DATA!#REF!,1,FALSE),"")</f>
        <v/>
      </c>
      <c r="D1904" s="16" t="str">
        <f>IFERROR(VLOOKUP(C1904,DATA!#REF!,2,FALSE),"")</f>
        <v/>
      </c>
    </row>
    <row r="1905" spans="2:4" s="237" customFormat="1">
      <c r="B1905" s="15" t="str">
        <f t="shared" si="62"/>
        <v/>
      </c>
      <c r="C1905" s="16" t="str">
        <f>IFERROR(VLOOKUP(DATA!#REF!,DATA!#REF!,1,FALSE),"")</f>
        <v/>
      </c>
      <c r="D1905" s="16" t="str">
        <f>IFERROR(VLOOKUP(C1905,DATA!#REF!,2,FALSE),"")</f>
        <v/>
      </c>
    </row>
    <row r="1906" spans="2:4" s="237" customFormat="1">
      <c r="B1906" s="15" t="str">
        <f t="shared" si="62"/>
        <v/>
      </c>
      <c r="C1906" s="16" t="str">
        <f>IFERROR(VLOOKUP(DATA!#REF!,DATA!#REF!,1,FALSE),"")</f>
        <v/>
      </c>
      <c r="D1906" s="16" t="str">
        <f>IFERROR(VLOOKUP(C1906,DATA!#REF!,2,FALSE),"")</f>
        <v/>
      </c>
    </row>
    <row r="1907" spans="2:4" s="237" customFormat="1">
      <c r="B1907" s="15" t="str">
        <f t="shared" si="62"/>
        <v/>
      </c>
      <c r="C1907" s="16" t="str">
        <f>IFERROR(VLOOKUP(DATA!#REF!,DATA!#REF!,1,FALSE),"")</f>
        <v/>
      </c>
      <c r="D1907" s="16" t="str">
        <f>IFERROR(VLOOKUP(C1907,DATA!#REF!,2,FALSE),"")</f>
        <v/>
      </c>
    </row>
    <row r="1908" spans="2:4" s="237" customFormat="1">
      <c r="B1908" s="15" t="str">
        <f t="shared" si="62"/>
        <v/>
      </c>
      <c r="C1908" s="16" t="str">
        <f>IFERROR(VLOOKUP(DATA!#REF!,DATA!#REF!,1,FALSE),"")</f>
        <v/>
      </c>
      <c r="D1908" s="16" t="str">
        <f>IFERROR(VLOOKUP(C1908,DATA!#REF!,2,FALSE),"")</f>
        <v/>
      </c>
    </row>
    <row r="1909" spans="2:4" s="237" customFormat="1">
      <c r="B1909" s="15" t="str">
        <f t="shared" si="62"/>
        <v/>
      </c>
      <c r="C1909" s="16" t="str">
        <f>IFERROR(VLOOKUP(DATA!#REF!,DATA!#REF!,1,FALSE),"")</f>
        <v/>
      </c>
      <c r="D1909" s="16" t="str">
        <f>IFERROR(VLOOKUP(C1909,DATA!#REF!,2,FALSE),"")</f>
        <v/>
      </c>
    </row>
    <row r="1910" spans="2:4" s="237" customFormat="1">
      <c r="B1910" s="15" t="str">
        <f t="shared" si="62"/>
        <v/>
      </c>
      <c r="C1910" s="16" t="str">
        <f>IFERROR(VLOOKUP(DATA!#REF!,DATA!#REF!,1,FALSE),"")</f>
        <v/>
      </c>
      <c r="D1910" s="16" t="str">
        <f>IFERROR(VLOOKUP(C1910,DATA!#REF!,2,FALSE),"")</f>
        <v/>
      </c>
    </row>
    <row r="1911" spans="2:4" s="237" customFormat="1">
      <c r="B1911" s="15" t="str">
        <f t="shared" si="62"/>
        <v/>
      </c>
      <c r="C1911" s="16" t="str">
        <f>IFERROR(VLOOKUP(DATA!#REF!,DATA!#REF!,1,FALSE),"")</f>
        <v/>
      </c>
      <c r="D1911" s="16" t="str">
        <f>IFERROR(VLOOKUP(C1911,DATA!#REF!,2,FALSE),"")</f>
        <v/>
      </c>
    </row>
    <row r="1912" spans="2:4" s="237" customFormat="1">
      <c r="B1912" s="15" t="str">
        <f t="shared" si="62"/>
        <v/>
      </c>
      <c r="C1912" s="16" t="str">
        <f>IFERROR(VLOOKUP(DATA!#REF!,DATA!#REF!,1,FALSE),"")</f>
        <v/>
      </c>
      <c r="D1912" s="16" t="str">
        <f>IFERROR(VLOOKUP(C1912,DATA!#REF!,2,FALSE),"")</f>
        <v/>
      </c>
    </row>
    <row r="1913" spans="2:4" s="237" customFormat="1">
      <c r="B1913" s="15" t="str">
        <f t="shared" si="62"/>
        <v/>
      </c>
      <c r="C1913" s="16" t="str">
        <f>IFERROR(VLOOKUP(DATA!#REF!,DATA!#REF!,1,FALSE),"")</f>
        <v/>
      </c>
      <c r="D1913" s="16" t="str">
        <f>IFERROR(VLOOKUP(C1913,DATA!#REF!,2,FALSE),"")</f>
        <v/>
      </c>
    </row>
    <row r="1914" spans="2:4" s="237" customFormat="1">
      <c r="B1914" s="15" t="str">
        <f t="shared" si="62"/>
        <v/>
      </c>
      <c r="C1914" s="16" t="str">
        <f>IFERROR(VLOOKUP(DATA!#REF!,DATA!#REF!,1,FALSE),"")</f>
        <v/>
      </c>
      <c r="D1914" s="16" t="str">
        <f>IFERROR(VLOOKUP(C1914,DATA!#REF!,2,FALSE),"")</f>
        <v/>
      </c>
    </row>
    <row r="1915" spans="2:4" s="237" customFormat="1">
      <c r="B1915" s="15" t="str">
        <f t="shared" si="62"/>
        <v/>
      </c>
      <c r="C1915" s="16" t="str">
        <f>IFERROR(VLOOKUP(DATA!#REF!,DATA!#REF!,1,FALSE),"")</f>
        <v/>
      </c>
      <c r="D1915" s="16" t="str">
        <f>IFERROR(VLOOKUP(C1915,DATA!#REF!,2,FALSE),"")</f>
        <v/>
      </c>
    </row>
    <row r="1916" spans="2:4" s="237" customFormat="1">
      <c r="B1916" s="15" t="str">
        <f t="shared" si="62"/>
        <v/>
      </c>
      <c r="C1916" s="16" t="str">
        <f>IFERROR(VLOOKUP(DATA!#REF!,DATA!#REF!,1,FALSE),"")</f>
        <v/>
      </c>
      <c r="D1916" s="16" t="str">
        <f>IFERROR(VLOOKUP(C1916,DATA!#REF!,2,FALSE),"")</f>
        <v/>
      </c>
    </row>
    <row r="1917" spans="2:4" s="237" customFormat="1">
      <c r="B1917" s="15" t="str">
        <f t="shared" si="62"/>
        <v/>
      </c>
      <c r="C1917" s="16" t="str">
        <f>IFERROR(VLOOKUP(DATA!#REF!,DATA!#REF!,1,FALSE),"")</f>
        <v/>
      </c>
      <c r="D1917" s="16" t="str">
        <f>IFERROR(VLOOKUP(C1917,DATA!#REF!,2,FALSE),"")</f>
        <v/>
      </c>
    </row>
    <row r="1918" spans="2:4" s="237" customFormat="1">
      <c r="B1918" s="15" t="str">
        <f t="shared" si="62"/>
        <v/>
      </c>
      <c r="C1918" s="16" t="str">
        <f>IFERROR(VLOOKUP(DATA!#REF!,DATA!#REF!,1,FALSE),"")</f>
        <v/>
      </c>
      <c r="D1918" s="16" t="str">
        <f>IFERROR(VLOOKUP(C1918,DATA!#REF!,2,FALSE),"")</f>
        <v/>
      </c>
    </row>
    <row r="1919" spans="2:4" s="237" customFormat="1">
      <c r="B1919" s="15" t="str">
        <f t="shared" si="62"/>
        <v/>
      </c>
      <c r="C1919" s="16" t="str">
        <f>IFERROR(VLOOKUP(DATA!#REF!,DATA!#REF!,1,FALSE),"")</f>
        <v/>
      </c>
      <c r="D1919" s="16" t="str">
        <f>IFERROR(VLOOKUP(C1919,DATA!#REF!,2,FALSE),"")</f>
        <v/>
      </c>
    </row>
    <row r="1920" spans="2:4" s="237" customFormat="1">
      <c r="B1920" s="15" t="str">
        <f t="shared" si="62"/>
        <v/>
      </c>
      <c r="C1920" s="16" t="str">
        <f>IFERROR(VLOOKUP(DATA!#REF!,DATA!#REF!,1,FALSE),"")</f>
        <v/>
      </c>
      <c r="D1920" s="16" t="str">
        <f>IFERROR(VLOOKUP(C1920,DATA!#REF!,2,FALSE),"")</f>
        <v/>
      </c>
    </row>
    <row r="1921" spans="2:4" s="237" customFormat="1">
      <c r="B1921" s="15" t="str">
        <f t="shared" si="62"/>
        <v/>
      </c>
      <c r="C1921" s="16" t="str">
        <f>IFERROR(VLOOKUP(DATA!#REF!,DATA!#REF!,1,FALSE),"")</f>
        <v/>
      </c>
      <c r="D1921" s="16" t="str">
        <f>IFERROR(VLOOKUP(C1921,DATA!#REF!,2,FALSE),"")</f>
        <v/>
      </c>
    </row>
    <row r="1922" spans="2:4" s="237" customFormat="1">
      <c r="B1922" s="15" t="str">
        <f t="shared" si="62"/>
        <v/>
      </c>
      <c r="C1922" s="16" t="str">
        <f>IFERROR(VLOOKUP(DATA!#REF!,DATA!#REF!,1,FALSE),"")</f>
        <v/>
      </c>
      <c r="D1922" s="16" t="str">
        <f>IFERROR(VLOOKUP(C1922,DATA!#REF!,2,FALSE),"")</f>
        <v/>
      </c>
    </row>
    <row r="1923" spans="2:4" s="237" customFormat="1">
      <c r="B1923" s="15" t="str">
        <f t="shared" si="62"/>
        <v/>
      </c>
      <c r="C1923" s="16" t="str">
        <f>IFERROR(VLOOKUP(DATA!#REF!,DATA!#REF!,1,FALSE),"")</f>
        <v/>
      </c>
      <c r="D1923" s="16" t="str">
        <f>IFERROR(VLOOKUP(C1923,DATA!#REF!,2,FALSE),"")</f>
        <v/>
      </c>
    </row>
    <row r="1924" spans="2:4" s="237" customFormat="1">
      <c r="B1924" s="15" t="str">
        <f t="shared" si="62"/>
        <v/>
      </c>
      <c r="C1924" s="16" t="str">
        <f>IFERROR(VLOOKUP(DATA!#REF!,DATA!#REF!,1,FALSE),"")</f>
        <v/>
      </c>
      <c r="D1924" s="16" t="str">
        <f>IFERROR(VLOOKUP(C1924,DATA!#REF!,2,FALSE),"")</f>
        <v/>
      </c>
    </row>
    <row r="1925" spans="2:4" s="237" customFormat="1">
      <c r="B1925" s="15" t="str">
        <f t="shared" si="62"/>
        <v/>
      </c>
      <c r="C1925" s="16" t="str">
        <f>IFERROR(VLOOKUP(DATA!#REF!,DATA!#REF!,1,FALSE),"")</f>
        <v/>
      </c>
      <c r="D1925" s="16" t="str">
        <f>IFERROR(VLOOKUP(C1925,DATA!#REF!,2,FALSE),"")</f>
        <v/>
      </c>
    </row>
    <row r="1926" spans="2:4" s="237" customFormat="1">
      <c r="B1926" s="15" t="str">
        <f t="shared" ref="B1926:B1989" si="63">+IF(C1926="","",ROW()-5)</f>
        <v/>
      </c>
      <c r="C1926" s="16" t="str">
        <f>IFERROR(VLOOKUP(DATA!#REF!,DATA!#REF!,1,FALSE),"")</f>
        <v/>
      </c>
      <c r="D1926" s="16" t="str">
        <f>IFERROR(VLOOKUP(C1926,DATA!#REF!,2,FALSE),"")</f>
        <v/>
      </c>
    </row>
    <row r="1927" spans="2:4" s="237" customFormat="1">
      <c r="B1927" s="15" t="str">
        <f t="shared" si="63"/>
        <v/>
      </c>
      <c r="C1927" s="16" t="str">
        <f>IFERROR(VLOOKUP(DATA!#REF!,DATA!#REF!,1,FALSE),"")</f>
        <v/>
      </c>
      <c r="D1927" s="16" t="str">
        <f>IFERROR(VLOOKUP(C1927,DATA!#REF!,2,FALSE),"")</f>
        <v/>
      </c>
    </row>
    <row r="1928" spans="2:4" s="237" customFormat="1">
      <c r="B1928" s="15" t="str">
        <f t="shared" si="63"/>
        <v/>
      </c>
      <c r="C1928" s="16" t="str">
        <f>IFERROR(VLOOKUP(DATA!#REF!,DATA!#REF!,1,FALSE),"")</f>
        <v/>
      </c>
      <c r="D1928" s="16" t="str">
        <f>IFERROR(VLOOKUP(C1928,DATA!#REF!,2,FALSE),"")</f>
        <v/>
      </c>
    </row>
    <row r="1929" spans="2:4" s="237" customFormat="1">
      <c r="B1929" s="15" t="str">
        <f t="shared" si="63"/>
        <v/>
      </c>
      <c r="C1929" s="16" t="str">
        <f>IFERROR(VLOOKUP(DATA!#REF!,DATA!#REF!,1,FALSE),"")</f>
        <v/>
      </c>
      <c r="D1929" s="16" t="str">
        <f>IFERROR(VLOOKUP(C1929,DATA!#REF!,2,FALSE),"")</f>
        <v/>
      </c>
    </row>
    <row r="1930" spans="2:4" s="237" customFormat="1">
      <c r="B1930" s="15" t="str">
        <f t="shared" si="63"/>
        <v/>
      </c>
      <c r="C1930" s="16" t="str">
        <f>IFERROR(VLOOKUP(DATA!#REF!,DATA!#REF!,1,FALSE),"")</f>
        <v/>
      </c>
      <c r="D1930" s="16" t="str">
        <f>IFERROR(VLOOKUP(C1930,DATA!#REF!,2,FALSE),"")</f>
        <v/>
      </c>
    </row>
    <row r="1931" spans="2:4" s="237" customFormat="1">
      <c r="B1931" s="15" t="str">
        <f t="shared" si="63"/>
        <v/>
      </c>
      <c r="C1931" s="16" t="str">
        <f>IFERROR(VLOOKUP(DATA!#REF!,DATA!#REF!,1,FALSE),"")</f>
        <v/>
      </c>
      <c r="D1931" s="16" t="str">
        <f>IFERROR(VLOOKUP(C1931,DATA!#REF!,2,FALSE),"")</f>
        <v/>
      </c>
    </row>
    <row r="1932" spans="2:4" s="237" customFormat="1">
      <c r="B1932" s="15" t="str">
        <f t="shared" si="63"/>
        <v/>
      </c>
      <c r="C1932" s="16" t="str">
        <f>IFERROR(VLOOKUP(DATA!#REF!,DATA!#REF!,1,FALSE),"")</f>
        <v/>
      </c>
      <c r="D1932" s="16" t="str">
        <f>IFERROR(VLOOKUP(C1932,DATA!#REF!,2,FALSE),"")</f>
        <v/>
      </c>
    </row>
    <row r="1933" spans="2:4" s="237" customFormat="1">
      <c r="B1933" s="15" t="str">
        <f t="shared" si="63"/>
        <v/>
      </c>
      <c r="C1933" s="16" t="str">
        <f>IFERROR(VLOOKUP(DATA!#REF!,DATA!#REF!,1,FALSE),"")</f>
        <v/>
      </c>
      <c r="D1933" s="16" t="str">
        <f>IFERROR(VLOOKUP(C1933,DATA!#REF!,2,FALSE),"")</f>
        <v/>
      </c>
    </row>
    <row r="1934" spans="2:4" s="237" customFormat="1">
      <c r="B1934" s="15" t="str">
        <f t="shared" si="63"/>
        <v/>
      </c>
      <c r="C1934" s="16" t="str">
        <f>IFERROR(VLOOKUP(DATA!#REF!,DATA!#REF!,1,FALSE),"")</f>
        <v/>
      </c>
      <c r="D1934" s="16" t="str">
        <f>IFERROR(VLOOKUP(C1934,DATA!#REF!,2,FALSE),"")</f>
        <v/>
      </c>
    </row>
    <row r="1935" spans="2:4" s="237" customFormat="1">
      <c r="B1935" s="15" t="str">
        <f t="shared" si="63"/>
        <v/>
      </c>
      <c r="C1935" s="16" t="str">
        <f>IFERROR(VLOOKUP(DATA!#REF!,DATA!#REF!,1,FALSE),"")</f>
        <v/>
      </c>
      <c r="D1935" s="16" t="str">
        <f>IFERROR(VLOOKUP(C1935,DATA!#REF!,2,FALSE),"")</f>
        <v/>
      </c>
    </row>
    <row r="1936" spans="2:4" s="237" customFormat="1">
      <c r="B1936" s="15" t="str">
        <f t="shared" si="63"/>
        <v/>
      </c>
      <c r="C1936" s="16" t="str">
        <f>IFERROR(VLOOKUP(DATA!#REF!,DATA!#REF!,1,FALSE),"")</f>
        <v/>
      </c>
      <c r="D1936" s="16" t="str">
        <f>IFERROR(VLOOKUP(C1936,DATA!#REF!,2,FALSE),"")</f>
        <v/>
      </c>
    </row>
    <row r="1937" spans="2:4" s="237" customFormat="1">
      <c r="B1937" s="15" t="str">
        <f t="shared" si="63"/>
        <v/>
      </c>
      <c r="C1937" s="16" t="str">
        <f>IFERROR(VLOOKUP(DATA!#REF!,DATA!#REF!,1,FALSE),"")</f>
        <v/>
      </c>
      <c r="D1937" s="16" t="str">
        <f>IFERROR(VLOOKUP(C1937,DATA!#REF!,2,FALSE),"")</f>
        <v/>
      </c>
    </row>
    <row r="1938" spans="2:4" s="237" customFormat="1">
      <c r="B1938" s="15" t="str">
        <f t="shared" si="63"/>
        <v/>
      </c>
      <c r="C1938" s="16" t="str">
        <f>IFERROR(VLOOKUP(DATA!#REF!,DATA!#REF!,1,FALSE),"")</f>
        <v/>
      </c>
      <c r="D1938" s="16" t="str">
        <f>IFERROR(VLOOKUP(C1938,DATA!#REF!,2,FALSE),"")</f>
        <v/>
      </c>
    </row>
    <row r="1939" spans="2:4" s="237" customFormat="1">
      <c r="B1939" s="15" t="str">
        <f t="shared" si="63"/>
        <v/>
      </c>
      <c r="C1939" s="16" t="str">
        <f>IFERROR(VLOOKUP(DATA!#REF!,DATA!#REF!,1,FALSE),"")</f>
        <v/>
      </c>
      <c r="D1939" s="16" t="str">
        <f>IFERROR(VLOOKUP(C1939,DATA!#REF!,2,FALSE),"")</f>
        <v/>
      </c>
    </row>
    <row r="1940" spans="2:4" s="237" customFormat="1">
      <c r="B1940" s="15" t="str">
        <f t="shared" si="63"/>
        <v/>
      </c>
      <c r="C1940" s="16" t="str">
        <f>IFERROR(VLOOKUP(DATA!#REF!,DATA!#REF!,1,FALSE),"")</f>
        <v/>
      </c>
      <c r="D1940" s="16" t="str">
        <f>IFERROR(VLOOKUP(C1940,DATA!#REF!,2,FALSE),"")</f>
        <v/>
      </c>
    </row>
    <row r="1941" spans="2:4" s="237" customFormat="1">
      <c r="B1941" s="15" t="str">
        <f t="shared" si="63"/>
        <v/>
      </c>
      <c r="C1941" s="16" t="str">
        <f>IFERROR(VLOOKUP(DATA!#REF!,DATA!#REF!,1,FALSE),"")</f>
        <v/>
      </c>
      <c r="D1941" s="16" t="str">
        <f>IFERROR(VLOOKUP(C1941,DATA!#REF!,2,FALSE),"")</f>
        <v/>
      </c>
    </row>
    <row r="1942" spans="2:4" s="237" customFormat="1">
      <c r="B1942" s="15" t="str">
        <f t="shared" si="63"/>
        <v/>
      </c>
      <c r="C1942" s="16" t="str">
        <f>IFERROR(VLOOKUP(DATA!#REF!,DATA!#REF!,1,FALSE),"")</f>
        <v/>
      </c>
      <c r="D1942" s="16" t="str">
        <f>IFERROR(VLOOKUP(C1942,DATA!#REF!,2,FALSE),"")</f>
        <v/>
      </c>
    </row>
    <row r="1943" spans="2:4" s="237" customFormat="1">
      <c r="B1943" s="15" t="str">
        <f t="shared" si="63"/>
        <v/>
      </c>
      <c r="C1943" s="16" t="str">
        <f>IFERROR(VLOOKUP(DATA!#REF!,DATA!#REF!,1,FALSE),"")</f>
        <v/>
      </c>
      <c r="D1943" s="16" t="str">
        <f>IFERROR(VLOOKUP(C1943,DATA!#REF!,2,FALSE),"")</f>
        <v/>
      </c>
    </row>
    <row r="1944" spans="2:4" s="237" customFormat="1">
      <c r="B1944" s="15" t="str">
        <f t="shared" si="63"/>
        <v/>
      </c>
      <c r="C1944" s="16" t="str">
        <f>IFERROR(VLOOKUP(DATA!#REF!,DATA!#REF!,1,FALSE),"")</f>
        <v/>
      </c>
      <c r="D1944" s="16" t="str">
        <f>IFERROR(VLOOKUP(C1944,DATA!#REF!,2,FALSE),"")</f>
        <v/>
      </c>
    </row>
    <row r="1945" spans="2:4" s="237" customFormat="1">
      <c r="B1945" s="15" t="str">
        <f t="shared" si="63"/>
        <v/>
      </c>
      <c r="C1945" s="16" t="str">
        <f>IFERROR(VLOOKUP(DATA!#REF!,DATA!#REF!,1,FALSE),"")</f>
        <v/>
      </c>
      <c r="D1945" s="16" t="str">
        <f>IFERROR(VLOOKUP(C1945,DATA!#REF!,2,FALSE),"")</f>
        <v/>
      </c>
    </row>
    <row r="1946" spans="2:4" s="237" customFormat="1">
      <c r="B1946" s="15" t="str">
        <f t="shared" si="63"/>
        <v/>
      </c>
      <c r="C1946" s="16" t="str">
        <f>IFERROR(VLOOKUP(DATA!#REF!,DATA!#REF!,1,FALSE),"")</f>
        <v/>
      </c>
      <c r="D1946" s="16" t="str">
        <f>IFERROR(VLOOKUP(C1946,DATA!#REF!,2,FALSE),"")</f>
        <v/>
      </c>
    </row>
    <row r="1947" spans="2:4" s="237" customFormat="1">
      <c r="B1947" s="15" t="str">
        <f t="shared" si="63"/>
        <v/>
      </c>
      <c r="C1947" s="16" t="str">
        <f>IFERROR(VLOOKUP(DATA!#REF!,DATA!#REF!,1,FALSE),"")</f>
        <v/>
      </c>
      <c r="D1947" s="16" t="str">
        <f>IFERROR(VLOOKUP(C1947,DATA!#REF!,2,FALSE),"")</f>
        <v/>
      </c>
    </row>
    <row r="1948" spans="2:4" s="237" customFormat="1">
      <c r="B1948" s="15" t="str">
        <f t="shared" si="63"/>
        <v/>
      </c>
      <c r="C1948" s="16" t="str">
        <f>IFERROR(VLOOKUP(DATA!#REF!,DATA!#REF!,1,FALSE),"")</f>
        <v/>
      </c>
      <c r="D1948" s="16" t="str">
        <f>IFERROR(VLOOKUP(C1948,DATA!#REF!,2,FALSE),"")</f>
        <v/>
      </c>
    </row>
    <row r="1949" spans="2:4" s="237" customFormat="1">
      <c r="B1949" s="15" t="str">
        <f t="shared" si="63"/>
        <v/>
      </c>
      <c r="C1949" s="16" t="str">
        <f>IFERROR(VLOOKUP(DATA!#REF!,DATA!#REF!,1,FALSE),"")</f>
        <v/>
      </c>
      <c r="D1949" s="16" t="str">
        <f>IFERROR(VLOOKUP(C1949,DATA!#REF!,2,FALSE),"")</f>
        <v/>
      </c>
    </row>
    <row r="1950" spans="2:4" s="237" customFormat="1">
      <c r="B1950" s="15" t="str">
        <f t="shared" si="63"/>
        <v/>
      </c>
      <c r="C1950" s="16" t="str">
        <f>IFERROR(VLOOKUP(DATA!#REF!,DATA!#REF!,1,FALSE),"")</f>
        <v/>
      </c>
      <c r="D1950" s="16" t="str">
        <f>IFERROR(VLOOKUP(C1950,DATA!#REF!,2,FALSE),"")</f>
        <v/>
      </c>
    </row>
    <row r="1951" spans="2:4" s="237" customFormat="1">
      <c r="B1951" s="15" t="str">
        <f t="shared" si="63"/>
        <v/>
      </c>
      <c r="C1951" s="16" t="str">
        <f>IFERROR(VLOOKUP(DATA!#REF!,DATA!#REF!,1,FALSE),"")</f>
        <v/>
      </c>
      <c r="D1951" s="16" t="str">
        <f>IFERROR(VLOOKUP(C1951,DATA!#REF!,2,FALSE),"")</f>
        <v/>
      </c>
    </row>
    <row r="1952" spans="2:4" s="237" customFormat="1">
      <c r="B1952" s="15" t="str">
        <f t="shared" si="63"/>
        <v/>
      </c>
      <c r="C1952" s="16" t="str">
        <f>IFERROR(VLOOKUP(DATA!#REF!,DATA!#REF!,1,FALSE),"")</f>
        <v/>
      </c>
      <c r="D1952" s="16" t="str">
        <f>IFERROR(VLOOKUP(C1952,DATA!#REF!,2,FALSE),"")</f>
        <v/>
      </c>
    </row>
    <row r="1953" spans="2:4" s="237" customFormat="1">
      <c r="B1953" s="15" t="str">
        <f t="shared" si="63"/>
        <v/>
      </c>
      <c r="C1953" s="16" t="str">
        <f>IFERROR(VLOOKUP(DATA!#REF!,DATA!#REF!,1,FALSE),"")</f>
        <v/>
      </c>
      <c r="D1953" s="16" t="str">
        <f>IFERROR(VLOOKUP(C1953,DATA!#REF!,2,FALSE),"")</f>
        <v/>
      </c>
    </row>
    <row r="1954" spans="2:4" s="237" customFormat="1">
      <c r="B1954" s="15" t="str">
        <f t="shared" si="63"/>
        <v/>
      </c>
      <c r="C1954" s="16" t="str">
        <f>IFERROR(VLOOKUP(DATA!#REF!,DATA!#REF!,1,FALSE),"")</f>
        <v/>
      </c>
      <c r="D1954" s="16" t="str">
        <f>IFERROR(VLOOKUP(C1954,DATA!#REF!,2,FALSE),"")</f>
        <v/>
      </c>
    </row>
    <row r="1955" spans="2:4" s="237" customFormat="1">
      <c r="B1955" s="15" t="str">
        <f t="shared" si="63"/>
        <v/>
      </c>
      <c r="C1955" s="16" t="str">
        <f>IFERROR(VLOOKUP(DATA!#REF!,DATA!#REF!,1,FALSE),"")</f>
        <v/>
      </c>
      <c r="D1955" s="16" t="str">
        <f>IFERROR(VLOOKUP(C1955,DATA!#REF!,2,FALSE),"")</f>
        <v/>
      </c>
    </row>
    <row r="1956" spans="2:4" s="237" customFormat="1">
      <c r="B1956" s="15" t="str">
        <f t="shared" si="63"/>
        <v/>
      </c>
      <c r="C1956" s="16" t="str">
        <f>IFERROR(VLOOKUP(DATA!#REF!,DATA!#REF!,1,FALSE),"")</f>
        <v/>
      </c>
      <c r="D1956" s="16" t="str">
        <f>IFERROR(VLOOKUP(C1956,DATA!#REF!,2,FALSE),"")</f>
        <v/>
      </c>
    </row>
    <row r="1957" spans="2:4" s="237" customFormat="1">
      <c r="B1957" s="15" t="str">
        <f t="shared" si="63"/>
        <v/>
      </c>
      <c r="C1957" s="16" t="str">
        <f>IFERROR(VLOOKUP(DATA!#REF!,DATA!#REF!,1,FALSE),"")</f>
        <v/>
      </c>
      <c r="D1957" s="16" t="str">
        <f>IFERROR(VLOOKUP(C1957,DATA!#REF!,2,FALSE),"")</f>
        <v/>
      </c>
    </row>
    <row r="1958" spans="2:4" s="237" customFormat="1">
      <c r="B1958" s="15" t="str">
        <f t="shared" si="63"/>
        <v/>
      </c>
      <c r="C1958" s="16" t="str">
        <f>IFERROR(VLOOKUP(DATA!#REF!,DATA!#REF!,1,FALSE),"")</f>
        <v/>
      </c>
      <c r="D1958" s="16" t="str">
        <f>IFERROR(VLOOKUP(C1958,DATA!#REF!,2,FALSE),"")</f>
        <v/>
      </c>
    </row>
    <row r="1959" spans="2:4" s="237" customFormat="1">
      <c r="B1959" s="15" t="str">
        <f t="shared" si="63"/>
        <v/>
      </c>
      <c r="C1959" s="16" t="str">
        <f>IFERROR(VLOOKUP(DATA!#REF!,DATA!#REF!,1,FALSE),"")</f>
        <v/>
      </c>
      <c r="D1959" s="16" t="str">
        <f>IFERROR(VLOOKUP(C1959,DATA!#REF!,2,FALSE),"")</f>
        <v/>
      </c>
    </row>
    <row r="1960" spans="2:4" s="237" customFormat="1">
      <c r="B1960" s="15" t="str">
        <f t="shared" si="63"/>
        <v/>
      </c>
      <c r="C1960" s="16" t="str">
        <f>IFERROR(VLOOKUP(DATA!#REF!,DATA!#REF!,1,FALSE),"")</f>
        <v/>
      </c>
      <c r="D1960" s="16" t="str">
        <f>IFERROR(VLOOKUP(C1960,DATA!#REF!,2,FALSE),"")</f>
        <v/>
      </c>
    </row>
    <row r="1961" spans="2:4" s="237" customFormat="1">
      <c r="B1961" s="15" t="str">
        <f t="shared" si="63"/>
        <v/>
      </c>
      <c r="C1961" s="16" t="str">
        <f>IFERROR(VLOOKUP(DATA!#REF!,DATA!#REF!,1,FALSE),"")</f>
        <v/>
      </c>
      <c r="D1961" s="16" t="str">
        <f>IFERROR(VLOOKUP(C1961,DATA!#REF!,2,FALSE),"")</f>
        <v/>
      </c>
    </row>
    <row r="1962" spans="2:4" s="237" customFormat="1">
      <c r="B1962" s="15" t="str">
        <f t="shared" si="63"/>
        <v/>
      </c>
      <c r="C1962" s="16" t="str">
        <f>IFERROR(VLOOKUP(DATA!#REF!,DATA!#REF!,1,FALSE),"")</f>
        <v/>
      </c>
      <c r="D1962" s="16" t="str">
        <f>IFERROR(VLOOKUP(C1962,DATA!#REF!,2,FALSE),"")</f>
        <v/>
      </c>
    </row>
    <row r="1963" spans="2:4" s="237" customFormat="1">
      <c r="B1963" s="15" t="str">
        <f t="shared" si="63"/>
        <v/>
      </c>
      <c r="C1963" s="16" t="str">
        <f>IFERROR(VLOOKUP(DATA!#REF!,DATA!#REF!,1,FALSE),"")</f>
        <v/>
      </c>
      <c r="D1963" s="16" t="str">
        <f>IFERROR(VLOOKUP(C1963,DATA!#REF!,2,FALSE),"")</f>
        <v/>
      </c>
    </row>
    <row r="1964" spans="2:4" s="237" customFormat="1">
      <c r="B1964" s="15" t="str">
        <f t="shared" si="63"/>
        <v/>
      </c>
      <c r="C1964" s="16" t="str">
        <f>IFERROR(VLOOKUP(DATA!#REF!,DATA!#REF!,1,FALSE),"")</f>
        <v/>
      </c>
      <c r="D1964" s="16" t="str">
        <f>IFERROR(VLOOKUP(C1964,DATA!#REF!,2,FALSE),"")</f>
        <v/>
      </c>
    </row>
    <row r="1965" spans="2:4" s="237" customFormat="1">
      <c r="B1965" s="15" t="str">
        <f t="shared" si="63"/>
        <v/>
      </c>
      <c r="C1965" s="16" t="str">
        <f>IFERROR(VLOOKUP(DATA!#REF!,DATA!#REF!,1,FALSE),"")</f>
        <v/>
      </c>
      <c r="D1965" s="16" t="str">
        <f>IFERROR(VLOOKUP(C1965,DATA!#REF!,2,FALSE),"")</f>
        <v/>
      </c>
    </row>
    <row r="1966" spans="2:4" s="237" customFormat="1">
      <c r="B1966" s="15" t="str">
        <f t="shared" si="63"/>
        <v/>
      </c>
      <c r="C1966" s="16" t="str">
        <f>IFERROR(VLOOKUP(DATA!#REF!,DATA!#REF!,1,FALSE),"")</f>
        <v/>
      </c>
      <c r="D1966" s="16" t="str">
        <f>IFERROR(VLOOKUP(C1966,DATA!#REF!,2,FALSE),"")</f>
        <v/>
      </c>
    </row>
    <row r="1967" spans="2:4" s="237" customFormat="1">
      <c r="B1967" s="15" t="str">
        <f t="shared" si="63"/>
        <v/>
      </c>
      <c r="C1967" s="16" t="str">
        <f>IFERROR(VLOOKUP(DATA!#REF!,DATA!#REF!,1,FALSE),"")</f>
        <v/>
      </c>
      <c r="D1967" s="16" t="str">
        <f>IFERROR(VLOOKUP(C1967,DATA!#REF!,2,FALSE),"")</f>
        <v/>
      </c>
    </row>
    <row r="1968" spans="2:4" s="237" customFormat="1">
      <c r="B1968" s="15" t="str">
        <f t="shared" si="63"/>
        <v/>
      </c>
      <c r="C1968" s="16" t="str">
        <f>IFERROR(VLOOKUP(DATA!#REF!,DATA!#REF!,1,FALSE),"")</f>
        <v/>
      </c>
      <c r="D1968" s="16" t="str">
        <f>IFERROR(VLOOKUP(C1968,DATA!#REF!,2,FALSE),"")</f>
        <v/>
      </c>
    </row>
    <row r="1969" spans="2:4" s="237" customFormat="1">
      <c r="B1969" s="15" t="str">
        <f t="shared" si="63"/>
        <v/>
      </c>
      <c r="C1969" s="16" t="str">
        <f>IFERROR(VLOOKUP(DATA!#REF!,DATA!#REF!,1,FALSE),"")</f>
        <v/>
      </c>
      <c r="D1969" s="16" t="str">
        <f>IFERROR(VLOOKUP(C1969,DATA!#REF!,2,FALSE),"")</f>
        <v/>
      </c>
    </row>
    <row r="1970" spans="2:4" s="237" customFormat="1">
      <c r="B1970" s="15" t="str">
        <f t="shared" si="63"/>
        <v/>
      </c>
      <c r="C1970" s="16" t="str">
        <f>IFERROR(VLOOKUP(DATA!#REF!,DATA!#REF!,1,FALSE),"")</f>
        <v/>
      </c>
      <c r="D1970" s="16" t="str">
        <f>IFERROR(VLOOKUP(C1970,DATA!#REF!,2,FALSE),"")</f>
        <v/>
      </c>
    </row>
    <row r="1971" spans="2:4" s="237" customFormat="1">
      <c r="B1971" s="15" t="str">
        <f t="shared" si="63"/>
        <v/>
      </c>
      <c r="C1971" s="16" t="str">
        <f>IFERROR(VLOOKUP(DATA!#REF!,DATA!#REF!,1,FALSE),"")</f>
        <v/>
      </c>
      <c r="D1971" s="16" t="str">
        <f>IFERROR(VLOOKUP(C1971,DATA!#REF!,2,FALSE),"")</f>
        <v/>
      </c>
    </row>
    <row r="1972" spans="2:4" s="237" customFormat="1">
      <c r="B1972" s="15" t="str">
        <f t="shared" si="63"/>
        <v/>
      </c>
      <c r="C1972" s="16" t="str">
        <f>IFERROR(VLOOKUP(DATA!#REF!,DATA!#REF!,1,FALSE),"")</f>
        <v/>
      </c>
      <c r="D1972" s="16" t="str">
        <f>IFERROR(VLOOKUP(C1972,DATA!#REF!,2,FALSE),"")</f>
        <v/>
      </c>
    </row>
    <row r="1973" spans="2:4" s="237" customFormat="1">
      <c r="B1973" s="15" t="str">
        <f t="shared" si="63"/>
        <v/>
      </c>
      <c r="C1973" s="16" t="str">
        <f>IFERROR(VLOOKUP(DATA!#REF!,DATA!#REF!,1,FALSE),"")</f>
        <v/>
      </c>
      <c r="D1973" s="16" t="str">
        <f>IFERROR(VLOOKUP(C1973,DATA!#REF!,2,FALSE),"")</f>
        <v/>
      </c>
    </row>
    <row r="1974" spans="2:4" s="237" customFormat="1">
      <c r="B1974" s="15" t="str">
        <f t="shared" si="63"/>
        <v/>
      </c>
      <c r="C1974" s="16" t="str">
        <f>IFERROR(VLOOKUP(DATA!#REF!,DATA!#REF!,1,FALSE),"")</f>
        <v/>
      </c>
      <c r="D1974" s="16" t="str">
        <f>IFERROR(VLOOKUP(C1974,DATA!#REF!,2,FALSE),"")</f>
        <v/>
      </c>
    </row>
    <row r="1975" spans="2:4" s="237" customFormat="1">
      <c r="B1975" s="15" t="str">
        <f t="shared" si="63"/>
        <v/>
      </c>
      <c r="C1975" s="16" t="str">
        <f>IFERROR(VLOOKUP(DATA!#REF!,DATA!#REF!,1,FALSE),"")</f>
        <v/>
      </c>
      <c r="D1975" s="16" t="str">
        <f>IFERROR(VLOOKUP(C1975,DATA!#REF!,2,FALSE),"")</f>
        <v/>
      </c>
    </row>
    <row r="1976" spans="2:4" s="237" customFormat="1">
      <c r="B1976" s="15" t="str">
        <f t="shared" si="63"/>
        <v/>
      </c>
      <c r="C1976" s="16" t="str">
        <f>IFERROR(VLOOKUP(DATA!#REF!,DATA!#REF!,1,FALSE),"")</f>
        <v/>
      </c>
      <c r="D1976" s="16" t="str">
        <f>IFERROR(VLOOKUP(C1976,DATA!#REF!,2,FALSE),"")</f>
        <v/>
      </c>
    </row>
    <row r="1977" spans="2:4" s="237" customFormat="1">
      <c r="B1977" s="15" t="str">
        <f t="shared" si="63"/>
        <v/>
      </c>
      <c r="C1977" s="16" t="str">
        <f>IFERROR(VLOOKUP(DATA!#REF!,DATA!#REF!,1,FALSE),"")</f>
        <v/>
      </c>
      <c r="D1977" s="16" t="str">
        <f>IFERROR(VLOOKUP(C1977,DATA!#REF!,2,FALSE),"")</f>
        <v/>
      </c>
    </row>
    <row r="1978" spans="2:4" s="237" customFormat="1">
      <c r="B1978" s="15" t="str">
        <f t="shared" si="63"/>
        <v/>
      </c>
      <c r="C1978" s="16" t="str">
        <f>IFERROR(VLOOKUP(DATA!#REF!,DATA!#REF!,1,FALSE),"")</f>
        <v/>
      </c>
      <c r="D1978" s="16" t="str">
        <f>IFERROR(VLOOKUP(C1978,DATA!#REF!,2,FALSE),"")</f>
        <v/>
      </c>
    </row>
    <row r="1979" spans="2:4" s="237" customFormat="1">
      <c r="B1979" s="15" t="str">
        <f t="shared" si="63"/>
        <v/>
      </c>
      <c r="C1979" s="16" t="str">
        <f>IFERROR(VLOOKUP(DATA!#REF!,DATA!#REF!,1,FALSE),"")</f>
        <v/>
      </c>
      <c r="D1979" s="16" t="str">
        <f>IFERROR(VLOOKUP(C1979,DATA!#REF!,2,FALSE),"")</f>
        <v/>
      </c>
    </row>
    <row r="1980" spans="2:4" s="237" customFormat="1">
      <c r="B1980" s="15" t="str">
        <f t="shared" si="63"/>
        <v/>
      </c>
      <c r="C1980" s="16" t="str">
        <f>IFERROR(VLOOKUP(DATA!#REF!,DATA!#REF!,1,FALSE),"")</f>
        <v/>
      </c>
      <c r="D1980" s="16" t="str">
        <f>IFERROR(VLOOKUP(C1980,DATA!#REF!,2,FALSE),"")</f>
        <v/>
      </c>
    </row>
    <row r="1981" spans="2:4" s="237" customFormat="1">
      <c r="B1981" s="15" t="str">
        <f t="shared" si="63"/>
        <v/>
      </c>
      <c r="C1981" s="16" t="str">
        <f>IFERROR(VLOOKUP(DATA!#REF!,DATA!#REF!,1,FALSE),"")</f>
        <v/>
      </c>
      <c r="D1981" s="16" t="str">
        <f>IFERROR(VLOOKUP(C1981,DATA!#REF!,2,FALSE),"")</f>
        <v/>
      </c>
    </row>
    <row r="1982" spans="2:4" s="237" customFormat="1">
      <c r="B1982" s="15" t="str">
        <f t="shared" si="63"/>
        <v/>
      </c>
      <c r="C1982" s="16" t="str">
        <f>IFERROR(VLOOKUP(DATA!#REF!,DATA!#REF!,1,FALSE),"")</f>
        <v/>
      </c>
      <c r="D1982" s="16" t="str">
        <f>IFERROR(VLOOKUP(C1982,DATA!#REF!,2,FALSE),"")</f>
        <v/>
      </c>
    </row>
    <row r="1983" spans="2:4" s="237" customFormat="1">
      <c r="B1983" s="15" t="str">
        <f t="shared" si="63"/>
        <v/>
      </c>
      <c r="C1983" s="16" t="str">
        <f>IFERROR(VLOOKUP(DATA!#REF!,DATA!#REF!,1,FALSE),"")</f>
        <v/>
      </c>
      <c r="D1983" s="16" t="str">
        <f>IFERROR(VLOOKUP(C1983,DATA!#REF!,2,FALSE),"")</f>
        <v/>
      </c>
    </row>
    <row r="1984" spans="2:4" s="237" customFormat="1">
      <c r="B1984" s="15" t="str">
        <f t="shared" si="63"/>
        <v/>
      </c>
      <c r="C1984" s="16" t="str">
        <f>IFERROR(VLOOKUP(DATA!#REF!,DATA!#REF!,1,FALSE),"")</f>
        <v/>
      </c>
      <c r="D1984" s="16" t="str">
        <f>IFERROR(VLOOKUP(C1984,DATA!#REF!,2,FALSE),"")</f>
        <v/>
      </c>
    </row>
    <row r="1985" spans="2:4" s="237" customFormat="1">
      <c r="B1985" s="15" t="str">
        <f t="shared" si="63"/>
        <v/>
      </c>
      <c r="C1985" s="16" t="str">
        <f>IFERROR(VLOOKUP(DATA!#REF!,DATA!#REF!,1,FALSE),"")</f>
        <v/>
      </c>
      <c r="D1985" s="16" t="str">
        <f>IFERROR(VLOOKUP(C1985,DATA!#REF!,2,FALSE),"")</f>
        <v/>
      </c>
    </row>
    <row r="1986" spans="2:4" s="237" customFormat="1">
      <c r="B1986" s="15" t="str">
        <f t="shared" si="63"/>
        <v/>
      </c>
      <c r="C1986" s="16" t="str">
        <f>IFERROR(VLOOKUP(DATA!#REF!,DATA!#REF!,1,FALSE),"")</f>
        <v/>
      </c>
      <c r="D1986" s="16" t="str">
        <f>IFERROR(VLOOKUP(C1986,DATA!#REF!,2,FALSE),"")</f>
        <v/>
      </c>
    </row>
    <row r="1987" spans="2:4" s="237" customFormat="1">
      <c r="B1987" s="15" t="str">
        <f t="shared" si="63"/>
        <v/>
      </c>
      <c r="C1987" s="16" t="str">
        <f>IFERROR(VLOOKUP(DATA!#REF!,DATA!#REF!,1,FALSE),"")</f>
        <v/>
      </c>
      <c r="D1987" s="16" t="str">
        <f>IFERROR(VLOOKUP(C1987,DATA!#REF!,2,FALSE),"")</f>
        <v/>
      </c>
    </row>
    <row r="1988" spans="2:4" s="237" customFormat="1">
      <c r="B1988" s="15" t="str">
        <f t="shared" si="63"/>
        <v/>
      </c>
      <c r="C1988" s="16" t="str">
        <f>IFERROR(VLOOKUP(DATA!#REF!,DATA!#REF!,1,FALSE),"")</f>
        <v/>
      </c>
      <c r="D1988" s="16" t="str">
        <f>IFERROR(VLOOKUP(C1988,DATA!#REF!,2,FALSE),"")</f>
        <v/>
      </c>
    </row>
    <row r="1989" spans="2:4" s="237" customFormat="1">
      <c r="B1989" s="15" t="str">
        <f t="shared" si="63"/>
        <v/>
      </c>
      <c r="C1989" s="16" t="str">
        <f>IFERROR(VLOOKUP(DATA!#REF!,DATA!#REF!,1,FALSE),"")</f>
        <v/>
      </c>
      <c r="D1989" s="16" t="str">
        <f>IFERROR(VLOOKUP(C1989,DATA!#REF!,2,FALSE),"")</f>
        <v/>
      </c>
    </row>
    <row r="1990" spans="2:4" s="237" customFormat="1">
      <c r="B1990" s="15" t="str">
        <f t="shared" ref="B1990:B2053" si="64">+IF(C1990="","",ROW()-5)</f>
        <v/>
      </c>
      <c r="C1990" s="16" t="str">
        <f>IFERROR(VLOOKUP(DATA!#REF!,DATA!#REF!,1,FALSE),"")</f>
        <v/>
      </c>
      <c r="D1990" s="16" t="str">
        <f>IFERROR(VLOOKUP(C1990,DATA!#REF!,2,FALSE),"")</f>
        <v/>
      </c>
    </row>
    <row r="1991" spans="2:4" s="237" customFormat="1">
      <c r="B1991" s="15" t="str">
        <f t="shared" si="64"/>
        <v/>
      </c>
      <c r="C1991" s="16" t="str">
        <f>IFERROR(VLOOKUP(DATA!#REF!,DATA!#REF!,1,FALSE),"")</f>
        <v/>
      </c>
      <c r="D1991" s="16" t="str">
        <f>IFERROR(VLOOKUP(C1991,DATA!#REF!,2,FALSE),"")</f>
        <v/>
      </c>
    </row>
    <row r="1992" spans="2:4" s="237" customFormat="1">
      <c r="B1992" s="15" t="str">
        <f t="shared" si="64"/>
        <v/>
      </c>
      <c r="C1992" s="16" t="str">
        <f>IFERROR(VLOOKUP(DATA!#REF!,DATA!#REF!,1,FALSE),"")</f>
        <v/>
      </c>
      <c r="D1992" s="16" t="str">
        <f>IFERROR(VLOOKUP(C1992,DATA!#REF!,2,FALSE),"")</f>
        <v/>
      </c>
    </row>
    <row r="1993" spans="2:4" s="237" customFormat="1">
      <c r="B1993" s="15" t="str">
        <f t="shared" si="64"/>
        <v/>
      </c>
      <c r="C1993" s="16" t="str">
        <f>IFERROR(VLOOKUP(DATA!#REF!,DATA!#REF!,1,FALSE),"")</f>
        <v/>
      </c>
      <c r="D1993" s="16" t="str">
        <f>IFERROR(VLOOKUP(C1993,DATA!#REF!,2,FALSE),"")</f>
        <v/>
      </c>
    </row>
    <row r="1994" spans="2:4" s="237" customFormat="1">
      <c r="B1994" s="15" t="str">
        <f t="shared" si="64"/>
        <v/>
      </c>
      <c r="C1994" s="16" t="str">
        <f>IFERROR(VLOOKUP(DATA!#REF!,DATA!#REF!,1,FALSE),"")</f>
        <v/>
      </c>
      <c r="D1994" s="16" t="str">
        <f>IFERROR(VLOOKUP(C1994,DATA!#REF!,2,FALSE),"")</f>
        <v/>
      </c>
    </row>
    <row r="1995" spans="2:4" s="237" customFormat="1">
      <c r="B1995" s="15" t="str">
        <f t="shared" si="64"/>
        <v/>
      </c>
      <c r="C1995" s="16" t="str">
        <f>IFERROR(VLOOKUP(DATA!#REF!,DATA!#REF!,1,FALSE),"")</f>
        <v/>
      </c>
      <c r="D1995" s="16" t="str">
        <f>IFERROR(VLOOKUP(C1995,DATA!#REF!,2,FALSE),"")</f>
        <v/>
      </c>
    </row>
    <row r="1996" spans="2:4" s="237" customFormat="1">
      <c r="B1996" s="15" t="str">
        <f t="shared" si="64"/>
        <v/>
      </c>
      <c r="C1996" s="16" t="str">
        <f>IFERROR(VLOOKUP(DATA!#REF!,DATA!#REF!,1,FALSE),"")</f>
        <v/>
      </c>
      <c r="D1996" s="16" t="str">
        <f>IFERROR(VLOOKUP(C1996,DATA!#REF!,2,FALSE),"")</f>
        <v/>
      </c>
    </row>
    <row r="1997" spans="2:4" s="237" customFormat="1">
      <c r="B1997" s="15" t="str">
        <f t="shared" si="64"/>
        <v/>
      </c>
      <c r="C1997" s="16" t="str">
        <f>IFERROR(VLOOKUP(DATA!#REF!,DATA!#REF!,1,FALSE),"")</f>
        <v/>
      </c>
      <c r="D1997" s="16" t="str">
        <f>IFERROR(VLOOKUP(C1997,DATA!#REF!,2,FALSE),"")</f>
        <v/>
      </c>
    </row>
    <row r="1998" spans="2:4" s="237" customFormat="1">
      <c r="B1998" s="15" t="str">
        <f t="shared" si="64"/>
        <v/>
      </c>
      <c r="C1998" s="16" t="str">
        <f>IFERROR(VLOOKUP(DATA!#REF!,DATA!#REF!,1,FALSE),"")</f>
        <v/>
      </c>
      <c r="D1998" s="16" t="str">
        <f>IFERROR(VLOOKUP(C1998,DATA!#REF!,2,FALSE),"")</f>
        <v/>
      </c>
    </row>
    <row r="1999" spans="2:4" s="237" customFormat="1">
      <c r="B1999" s="15" t="str">
        <f t="shared" si="64"/>
        <v/>
      </c>
      <c r="C1999" s="16" t="str">
        <f>IFERROR(VLOOKUP(DATA!#REF!,DATA!#REF!,1,FALSE),"")</f>
        <v/>
      </c>
      <c r="D1999" s="16" t="str">
        <f>IFERROR(VLOOKUP(C1999,DATA!#REF!,2,FALSE),"")</f>
        <v/>
      </c>
    </row>
    <row r="2000" spans="2:4" s="237" customFormat="1">
      <c r="B2000" s="15" t="str">
        <f t="shared" si="64"/>
        <v/>
      </c>
      <c r="C2000" s="16" t="str">
        <f>IFERROR(VLOOKUP(DATA!#REF!,DATA!#REF!,1,FALSE),"")</f>
        <v/>
      </c>
      <c r="D2000" s="16" t="str">
        <f>IFERROR(VLOOKUP(C2000,DATA!#REF!,2,FALSE),"")</f>
        <v/>
      </c>
    </row>
    <row r="2001" spans="2:4" s="237" customFormat="1">
      <c r="B2001" s="15" t="str">
        <f t="shared" si="64"/>
        <v/>
      </c>
      <c r="C2001" s="16" t="str">
        <f>IFERROR(VLOOKUP(DATA!#REF!,DATA!#REF!,1,FALSE),"")</f>
        <v/>
      </c>
      <c r="D2001" s="16" t="str">
        <f>IFERROR(VLOOKUP(C2001,DATA!#REF!,2,FALSE),"")</f>
        <v/>
      </c>
    </row>
    <row r="2002" spans="2:4" s="237" customFormat="1">
      <c r="B2002" s="15" t="str">
        <f t="shared" si="64"/>
        <v/>
      </c>
      <c r="C2002" s="16" t="str">
        <f>IFERROR(VLOOKUP(DATA!#REF!,DATA!#REF!,1,FALSE),"")</f>
        <v/>
      </c>
      <c r="D2002" s="16" t="str">
        <f>IFERROR(VLOOKUP(C2002,DATA!#REF!,2,FALSE),"")</f>
        <v/>
      </c>
    </row>
    <row r="2003" spans="2:4" s="237" customFormat="1">
      <c r="B2003" s="15" t="str">
        <f t="shared" si="64"/>
        <v/>
      </c>
      <c r="C2003" s="16" t="str">
        <f>IFERROR(VLOOKUP(DATA!#REF!,DATA!#REF!,1,FALSE),"")</f>
        <v/>
      </c>
      <c r="D2003" s="16" t="str">
        <f>IFERROR(VLOOKUP(C2003,DATA!#REF!,2,FALSE),"")</f>
        <v/>
      </c>
    </row>
    <row r="2004" spans="2:4" s="237" customFormat="1">
      <c r="B2004" s="15" t="str">
        <f t="shared" si="64"/>
        <v/>
      </c>
      <c r="C2004" s="16" t="str">
        <f>IFERROR(VLOOKUP(DATA!#REF!,DATA!#REF!,1,FALSE),"")</f>
        <v/>
      </c>
      <c r="D2004" s="16" t="str">
        <f>IFERROR(VLOOKUP(C2004,DATA!#REF!,2,FALSE),"")</f>
        <v/>
      </c>
    </row>
    <row r="2005" spans="2:4" s="237" customFormat="1">
      <c r="B2005" s="15" t="str">
        <f t="shared" si="64"/>
        <v/>
      </c>
      <c r="C2005" s="16" t="str">
        <f>IFERROR(VLOOKUP(DATA!#REF!,DATA!#REF!,1,FALSE),"")</f>
        <v/>
      </c>
      <c r="D2005" s="16" t="str">
        <f>IFERROR(VLOOKUP(C2005,DATA!#REF!,2,FALSE),"")</f>
        <v/>
      </c>
    </row>
    <row r="2006" spans="2:4" s="237" customFormat="1">
      <c r="B2006" s="15" t="str">
        <f t="shared" si="64"/>
        <v/>
      </c>
      <c r="C2006" s="16" t="str">
        <f>IFERROR(VLOOKUP(DATA!#REF!,DATA!#REF!,1,FALSE),"")</f>
        <v/>
      </c>
      <c r="D2006" s="16" t="str">
        <f>IFERROR(VLOOKUP(C2006,DATA!#REF!,2,FALSE),"")</f>
        <v/>
      </c>
    </row>
    <row r="2007" spans="2:4" s="237" customFormat="1">
      <c r="B2007" s="15" t="str">
        <f t="shared" si="64"/>
        <v/>
      </c>
      <c r="C2007" s="16" t="str">
        <f>IFERROR(VLOOKUP(DATA!#REF!,DATA!#REF!,1,FALSE),"")</f>
        <v/>
      </c>
      <c r="D2007" s="16" t="str">
        <f>IFERROR(VLOOKUP(C2007,DATA!#REF!,2,FALSE),"")</f>
        <v/>
      </c>
    </row>
    <row r="2008" spans="2:4" s="237" customFormat="1">
      <c r="B2008" s="15" t="str">
        <f t="shared" si="64"/>
        <v/>
      </c>
      <c r="C2008" s="16" t="str">
        <f>IFERROR(VLOOKUP(DATA!#REF!,DATA!#REF!,1,FALSE),"")</f>
        <v/>
      </c>
      <c r="D2008" s="16" t="str">
        <f>IFERROR(VLOOKUP(C2008,DATA!#REF!,2,FALSE),"")</f>
        <v/>
      </c>
    </row>
    <row r="2009" spans="2:4" s="237" customFormat="1">
      <c r="B2009" s="15" t="str">
        <f t="shared" si="64"/>
        <v/>
      </c>
      <c r="C2009" s="16" t="str">
        <f>IFERROR(VLOOKUP(DATA!#REF!,DATA!#REF!,1,FALSE),"")</f>
        <v/>
      </c>
      <c r="D2009" s="16" t="str">
        <f>IFERROR(VLOOKUP(C2009,DATA!#REF!,2,FALSE),"")</f>
        <v/>
      </c>
    </row>
    <row r="2010" spans="2:4" s="237" customFormat="1">
      <c r="B2010" s="15" t="str">
        <f t="shared" si="64"/>
        <v/>
      </c>
      <c r="C2010" s="16" t="str">
        <f>IFERROR(VLOOKUP(DATA!#REF!,DATA!#REF!,1,FALSE),"")</f>
        <v/>
      </c>
      <c r="D2010" s="16" t="str">
        <f>IFERROR(VLOOKUP(C2010,DATA!#REF!,2,FALSE),"")</f>
        <v/>
      </c>
    </row>
    <row r="2011" spans="2:4" s="237" customFormat="1">
      <c r="B2011" s="15" t="str">
        <f t="shared" si="64"/>
        <v/>
      </c>
      <c r="C2011" s="16" t="str">
        <f>IFERROR(VLOOKUP(DATA!#REF!,DATA!#REF!,1,FALSE),"")</f>
        <v/>
      </c>
      <c r="D2011" s="16" t="str">
        <f>IFERROR(VLOOKUP(C2011,DATA!#REF!,2,FALSE),"")</f>
        <v/>
      </c>
    </row>
    <row r="2012" spans="2:4" s="237" customFormat="1">
      <c r="B2012" s="15" t="str">
        <f t="shared" si="64"/>
        <v/>
      </c>
      <c r="C2012" s="16" t="str">
        <f>IFERROR(VLOOKUP(DATA!#REF!,DATA!#REF!,1,FALSE),"")</f>
        <v/>
      </c>
      <c r="D2012" s="16" t="str">
        <f>IFERROR(VLOOKUP(C2012,DATA!#REF!,2,FALSE),"")</f>
        <v/>
      </c>
    </row>
    <row r="2013" spans="2:4" s="237" customFormat="1">
      <c r="B2013" s="15" t="str">
        <f t="shared" si="64"/>
        <v/>
      </c>
      <c r="C2013" s="16" t="str">
        <f>IFERROR(VLOOKUP(DATA!#REF!,DATA!#REF!,1,FALSE),"")</f>
        <v/>
      </c>
      <c r="D2013" s="16" t="str">
        <f>IFERROR(VLOOKUP(C2013,DATA!#REF!,2,FALSE),"")</f>
        <v/>
      </c>
    </row>
    <row r="2014" spans="2:4" s="237" customFormat="1">
      <c r="B2014" s="15" t="str">
        <f t="shared" si="64"/>
        <v/>
      </c>
      <c r="C2014" s="16" t="str">
        <f>IFERROR(VLOOKUP(DATA!#REF!,DATA!#REF!,1,FALSE),"")</f>
        <v/>
      </c>
      <c r="D2014" s="16" t="str">
        <f>IFERROR(VLOOKUP(C2014,DATA!#REF!,2,FALSE),"")</f>
        <v/>
      </c>
    </row>
    <row r="2015" spans="2:4" s="237" customFormat="1">
      <c r="B2015" s="15" t="str">
        <f t="shared" si="64"/>
        <v/>
      </c>
      <c r="C2015" s="16" t="str">
        <f>IFERROR(VLOOKUP(DATA!#REF!,DATA!#REF!,1,FALSE),"")</f>
        <v/>
      </c>
      <c r="D2015" s="16" t="str">
        <f>IFERROR(VLOOKUP(C2015,DATA!#REF!,2,FALSE),"")</f>
        <v/>
      </c>
    </row>
    <row r="2016" spans="2:4" s="237" customFormat="1">
      <c r="B2016" s="15" t="str">
        <f t="shared" si="64"/>
        <v/>
      </c>
      <c r="C2016" s="16" t="str">
        <f>IFERROR(VLOOKUP(DATA!#REF!,DATA!#REF!,1,FALSE),"")</f>
        <v/>
      </c>
      <c r="D2016" s="16" t="str">
        <f>IFERROR(VLOOKUP(C2016,DATA!#REF!,2,FALSE),"")</f>
        <v/>
      </c>
    </row>
    <row r="2017" spans="2:4" s="237" customFormat="1">
      <c r="B2017" s="15" t="str">
        <f t="shared" si="64"/>
        <v/>
      </c>
      <c r="C2017" s="16" t="str">
        <f>IFERROR(VLOOKUP(DATA!#REF!,DATA!#REF!,1,FALSE),"")</f>
        <v/>
      </c>
      <c r="D2017" s="16" t="str">
        <f>IFERROR(VLOOKUP(C2017,DATA!#REF!,2,FALSE),"")</f>
        <v/>
      </c>
    </row>
    <row r="2018" spans="2:4" s="237" customFormat="1">
      <c r="B2018" s="15" t="str">
        <f t="shared" si="64"/>
        <v/>
      </c>
      <c r="C2018" s="16" t="str">
        <f>IFERROR(VLOOKUP(DATA!#REF!,DATA!#REF!,1,FALSE),"")</f>
        <v/>
      </c>
      <c r="D2018" s="16" t="str">
        <f>IFERROR(VLOOKUP(C2018,DATA!#REF!,2,FALSE),"")</f>
        <v/>
      </c>
    </row>
    <row r="2019" spans="2:4" s="237" customFormat="1">
      <c r="B2019" s="15" t="str">
        <f t="shared" si="64"/>
        <v/>
      </c>
      <c r="C2019" s="16" t="str">
        <f>IFERROR(VLOOKUP(DATA!#REF!,DATA!#REF!,1,FALSE),"")</f>
        <v/>
      </c>
      <c r="D2019" s="16" t="str">
        <f>IFERROR(VLOOKUP(C2019,DATA!#REF!,2,FALSE),"")</f>
        <v/>
      </c>
    </row>
    <row r="2020" spans="2:4" s="237" customFormat="1">
      <c r="B2020" s="15" t="str">
        <f t="shared" si="64"/>
        <v/>
      </c>
      <c r="C2020" s="16" t="str">
        <f>IFERROR(VLOOKUP(DATA!#REF!,DATA!#REF!,1,FALSE),"")</f>
        <v/>
      </c>
      <c r="D2020" s="16" t="str">
        <f>IFERROR(VLOOKUP(C2020,DATA!#REF!,2,FALSE),"")</f>
        <v/>
      </c>
    </row>
    <row r="2021" spans="2:4" s="237" customFormat="1">
      <c r="B2021" s="15" t="str">
        <f t="shared" si="64"/>
        <v/>
      </c>
      <c r="C2021" s="16" t="str">
        <f>IFERROR(VLOOKUP(DATA!#REF!,DATA!#REF!,1,FALSE),"")</f>
        <v/>
      </c>
      <c r="D2021" s="16" t="str">
        <f>IFERROR(VLOOKUP(C2021,DATA!#REF!,2,FALSE),"")</f>
        <v/>
      </c>
    </row>
    <row r="2022" spans="2:4" s="237" customFormat="1">
      <c r="B2022" s="15" t="str">
        <f t="shared" si="64"/>
        <v/>
      </c>
      <c r="C2022" s="16" t="str">
        <f>IFERROR(VLOOKUP(DATA!#REF!,DATA!#REF!,1,FALSE),"")</f>
        <v/>
      </c>
      <c r="D2022" s="16" t="str">
        <f>IFERROR(VLOOKUP(C2022,DATA!#REF!,2,FALSE),"")</f>
        <v/>
      </c>
    </row>
    <row r="2023" spans="2:4" s="237" customFormat="1">
      <c r="B2023" s="15" t="str">
        <f t="shared" si="64"/>
        <v/>
      </c>
      <c r="C2023" s="16" t="str">
        <f>IFERROR(VLOOKUP(DATA!#REF!,DATA!#REF!,1,FALSE),"")</f>
        <v/>
      </c>
      <c r="D2023" s="16" t="str">
        <f>IFERROR(VLOOKUP(C2023,DATA!#REF!,2,FALSE),"")</f>
        <v/>
      </c>
    </row>
    <row r="2024" spans="2:4" s="237" customFormat="1">
      <c r="B2024" s="15" t="str">
        <f t="shared" si="64"/>
        <v/>
      </c>
      <c r="C2024" s="16" t="str">
        <f>IFERROR(VLOOKUP(DATA!#REF!,DATA!#REF!,1,FALSE),"")</f>
        <v/>
      </c>
      <c r="D2024" s="16" t="str">
        <f>IFERROR(VLOOKUP(C2024,DATA!#REF!,2,FALSE),"")</f>
        <v/>
      </c>
    </row>
    <row r="2025" spans="2:4" s="237" customFormat="1">
      <c r="B2025" s="15" t="str">
        <f t="shared" si="64"/>
        <v/>
      </c>
      <c r="C2025" s="16" t="str">
        <f>IFERROR(VLOOKUP(DATA!#REF!,DATA!#REF!,1,FALSE),"")</f>
        <v/>
      </c>
      <c r="D2025" s="16" t="str">
        <f>IFERROR(VLOOKUP(C2025,DATA!#REF!,2,FALSE),"")</f>
        <v/>
      </c>
    </row>
    <row r="2026" spans="2:4" s="237" customFormat="1">
      <c r="B2026" s="15" t="str">
        <f t="shared" si="64"/>
        <v/>
      </c>
      <c r="C2026" s="16" t="str">
        <f>IFERROR(VLOOKUP(DATA!#REF!,DATA!#REF!,1,FALSE),"")</f>
        <v/>
      </c>
      <c r="D2026" s="16" t="str">
        <f>IFERROR(VLOOKUP(C2026,DATA!#REF!,2,FALSE),"")</f>
        <v/>
      </c>
    </row>
    <row r="2027" spans="2:4" s="237" customFormat="1">
      <c r="B2027" s="15" t="str">
        <f t="shared" si="64"/>
        <v/>
      </c>
      <c r="C2027" s="16" t="str">
        <f>IFERROR(VLOOKUP(DATA!#REF!,DATA!#REF!,1,FALSE),"")</f>
        <v/>
      </c>
      <c r="D2027" s="16" t="str">
        <f>IFERROR(VLOOKUP(C2027,DATA!#REF!,2,FALSE),"")</f>
        <v/>
      </c>
    </row>
    <row r="2028" spans="2:4" s="237" customFormat="1">
      <c r="B2028" s="15" t="str">
        <f t="shared" si="64"/>
        <v/>
      </c>
      <c r="C2028" s="16" t="str">
        <f>IFERROR(VLOOKUP(DATA!#REF!,DATA!#REF!,1,FALSE),"")</f>
        <v/>
      </c>
      <c r="D2028" s="16" t="str">
        <f>IFERROR(VLOOKUP(C2028,DATA!#REF!,2,FALSE),"")</f>
        <v/>
      </c>
    </row>
    <row r="2029" spans="2:4" s="237" customFormat="1">
      <c r="B2029" s="15" t="str">
        <f t="shared" si="64"/>
        <v/>
      </c>
      <c r="C2029" s="16" t="str">
        <f>IFERROR(VLOOKUP(DATA!#REF!,DATA!#REF!,1,FALSE),"")</f>
        <v/>
      </c>
      <c r="D2029" s="16" t="str">
        <f>IFERROR(VLOOKUP(C2029,DATA!#REF!,2,FALSE),"")</f>
        <v/>
      </c>
    </row>
    <row r="2030" spans="2:4" s="237" customFormat="1">
      <c r="B2030" s="15" t="str">
        <f t="shared" si="64"/>
        <v/>
      </c>
      <c r="C2030" s="16" t="str">
        <f>IFERROR(VLOOKUP(DATA!#REF!,DATA!#REF!,1,FALSE),"")</f>
        <v/>
      </c>
      <c r="D2030" s="16" t="str">
        <f>IFERROR(VLOOKUP(C2030,DATA!#REF!,2,FALSE),"")</f>
        <v/>
      </c>
    </row>
    <row r="2031" spans="2:4" s="237" customFormat="1">
      <c r="B2031" s="15" t="str">
        <f t="shared" si="64"/>
        <v/>
      </c>
      <c r="C2031" s="16" t="str">
        <f>IFERROR(VLOOKUP(DATA!#REF!,DATA!#REF!,1,FALSE),"")</f>
        <v/>
      </c>
      <c r="D2031" s="16" t="str">
        <f>IFERROR(VLOOKUP(C2031,DATA!#REF!,2,FALSE),"")</f>
        <v/>
      </c>
    </row>
    <row r="2032" spans="2:4" s="237" customFormat="1">
      <c r="B2032" s="15" t="str">
        <f t="shared" si="64"/>
        <v/>
      </c>
      <c r="C2032" s="16" t="str">
        <f>IFERROR(VLOOKUP(DATA!#REF!,DATA!#REF!,1,FALSE),"")</f>
        <v/>
      </c>
      <c r="D2032" s="16" t="str">
        <f>IFERROR(VLOOKUP(C2032,DATA!#REF!,2,FALSE),"")</f>
        <v/>
      </c>
    </row>
    <row r="2033" spans="2:4" s="237" customFormat="1">
      <c r="B2033" s="15" t="str">
        <f t="shared" si="64"/>
        <v/>
      </c>
      <c r="C2033" s="16" t="str">
        <f>IFERROR(VLOOKUP(DATA!#REF!,DATA!#REF!,1,FALSE),"")</f>
        <v/>
      </c>
      <c r="D2033" s="16" t="str">
        <f>IFERROR(VLOOKUP(C2033,DATA!#REF!,2,FALSE),"")</f>
        <v/>
      </c>
    </row>
    <row r="2034" spans="2:4" s="237" customFormat="1">
      <c r="B2034" s="15" t="str">
        <f t="shared" si="64"/>
        <v/>
      </c>
      <c r="C2034" s="16" t="str">
        <f>IFERROR(VLOOKUP(DATA!#REF!,DATA!#REF!,1,FALSE),"")</f>
        <v/>
      </c>
      <c r="D2034" s="16" t="str">
        <f>IFERROR(VLOOKUP(C2034,DATA!#REF!,2,FALSE),"")</f>
        <v/>
      </c>
    </row>
    <row r="2035" spans="2:4" s="237" customFormat="1">
      <c r="B2035" s="15" t="str">
        <f t="shared" si="64"/>
        <v/>
      </c>
      <c r="C2035" s="16" t="str">
        <f>IFERROR(VLOOKUP(DATA!#REF!,DATA!#REF!,1,FALSE),"")</f>
        <v/>
      </c>
      <c r="D2035" s="16" t="str">
        <f>IFERROR(VLOOKUP(C2035,DATA!#REF!,2,FALSE),"")</f>
        <v/>
      </c>
    </row>
    <row r="2036" spans="2:4" s="237" customFormat="1">
      <c r="B2036" s="15" t="str">
        <f t="shared" si="64"/>
        <v/>
      </c>
      <c r="C2036" s="16" t="str">
        <f>IFERROR(VLOOKUP(DATA!#REF!,DATA!#REF!,1,FALSE),"")</f>
        <v/>
      </c>
      <c r="D2036" s="16" t="str">
        <f>IFERROR(VLOOKUP(C2036,DATA!#REF!,2,FALSE),"")</f>
        <v/>
      </c>
    </row>
    <row r="2037" spans="2:4" s="237" customFormat="1">
      <c r="B2037" s="15" t="str">
        <f t="shared" si="64"/>
        <v/>
      </c>
      <c r="C2037" s="16" t="str">
        <f>IFERROR(VLOOKUP(DATA!#REF!,DATA!#REF!,1,FALSE),"")</f>
        <v/>
      </c>
      <c r="D2037" s="16" t="str">
        <f>IFERROR(VLOOKUP(C2037,DATA!#REF!,2,FALSE),"")</f>
        <v/>
      </c>
    </row>
    <row r="2038" spans="2:4" s="237" customFormat="1">
      <c r="B2038" s="15" t="str">
        <f t="shared" si="64"/>
        <v/>
      </c>
      <c r="C2038" s="16" t="str">
        <f>IFERROR(VLOOKUP(DATA!#REF!,DATA!#REF!,1,FALSE),"")</f>
        <v/>
      </c>
      <c r="D2038" s="16" t="str">
        <f>IFERROR(VLOOKUP(C2038,DATA!#REF!,2,FALSE),"")</f>
        <v/>
      </c>
    </row>
    <row r="2039" spans="2:4" s="237" customFormat="1">
      <c r="B2039" s="15" t="str">
        <f t="shared" si="64"/>
        <v/>
      </c>
      <c r="C2039" s="16" t="str">
        <f>IFERROR(VLOOKUP(DATA!#REF!,DATA!#REF!,1,FALSE),"")</f>
        <v/>
      </c>
      <c r="D2039" s="16" t="str">
        <f>IFERROR(VLOOKUP(C2039,DATA!#REF!,2,FALSE),"")</f>
        <v/>
      </c>
    </row>
    <row r="2040" spans="2:4" s="237" customFormat="1">
      <c r="B2040" s="15" t="str">
        <f t="shared" si="64"/>
        <v/>
      </c>
      <c r="C2040" s="16" t="str">
        <f>IFERROR(VLOOKUP(DATA!#REF!,DATA!#REF!,1,FALSE),"")</f>
        <v/>
      </c>
      <c r="D2040" s="16" t="str">
        <f>IFERROR(VLOOKUP(C2040,DATA!#REF!,2,FALSE),"")</f>
        <v/>
      </c>
    </row>
    <row r="2041" spans="2:4" s="237" customFormat="1">
      <c r="B2041" s="15" t="str">
        <f t="shared" si="64"/>
        <v/>
      </c>
      <c r="C2041" s="16" t="str">
        <f>IFERROR(VLOOKUP(DATA!#REF!,DATA!#REF!,1,FALSE),"")</f>
        <v/>
      </c>
      <c r="D2041" s="16" t="str">
        <f>IFERROR(VLOOKUP(C2041,DATA!#REF!,2,FALSE),"")</f>
        <v/>
      </c>
    </row>
    <row r="2042" spans="2:4" s="237" customFormat="1">
      <c r="B2042" s="15" t="str">
        <f t="shared" si="64"/>
        <v/>
      </c>
      <c r="C2042" s="16" t="str">
        <f>IFERROR(VLOOKUP(DATA!#REF!,DATA!#REF!,1,FALSE),"")</f>
        <v/>
      </c>
      <c r="D2042" s="16" t="str">
        <f>IFERROR(VLOOKUP(C2042,DATA!#REF!,2,FALSE),"")</f>
        <v/>
      </c>
    </row>
    <row r="2043" spans="2:4" s="237" customFormat="1">
      <c r="B2043" s="15" t="str">
        <f t="shared" si="64"/>
        <v/>
      </c>
      <c r="C2043" s="16" t="str">
        <f>IFERROR(VLOOKUP(DATA!#REF!,DATA!#REF!,1,FALSE),"")</f>
        <v/>
      </c>
      <c r="D2043" s="16" t="str">
        <f>IFERROR(VLOOKUP(C2043,DATA!#REF!,2,FALSE),"")</f>
        <v/>
      </c>
    </row>
    <row r="2044" spans="2:4" s="237" customFormat="1">
      <c r="B2044" s="15" t="str">
        <f t="shared" si="64"/>
        <v/>
      </c>
      <c r="C2044" s="16" t="str">
        <f>IFERROR(VLOOKUP(DATA!#REF!,DATA!#REF!,1,FALSE),"")</f>
        <v/>
      </c>
      <c r="D2044" s="16" t="str">
        <f>IFERROR(VLOOKUP(C2044,DATA!#REF!,2,FALSE),"")</f>
        <v/>
      </c>
    </row>
    <row r="2045" spans="2:4" s="237" customFormat="1">
      <c r="B2045" s="15" t="str">
        <f t="shared" si="64"/>
        <v/>
      </c>
      <c r="C2045" s="16" t="str">
        <f>IFERROR(VLOOKUP(DATA!#REF!,DATA!#REF!,1,FALSE),"")</f>
        <v/>
      </c>
      <c r="D2045" s="16" t="str">
        <f>IFERROR(VLOOKUP(C2045,DATA!#REF!,2,FALSE),"")</f>
        <v/>
      </c>
    </row>
    <row r="2046" spans="2:4" s="237" customFormat="1">
      <c r="B2046" s="15" t="str">
        <f t="shared" si="64"/>
        <v/>
      </c>
      <c r="C2046" s="16" t="str">
        <f>IFERROR(VLOOKUP(DATA!#REF!,DATA!#REF!,1,FALSE),"")</f>
        <v/>
      </c>
      <c r="D2046" s="16" t="str">
        <f>IFERROR(VLOOKUP(C2046,DATA!#REF!,2,FALSE),"")</f>
        <v/>
      </c>
    </row>
    <row r="2047" spans="2:4" s="237" customFormat="1">
      <c r="B2047" s="15" t="str">
        <f t="shared" si="64"/>
        <v/>
      </c>
      <c r="C2047" s="16" t="str">
        <f>IFERROR(VLOOKUP(DATA!#REF!,DATA!#REF!,1,FALSE),"")</f>
        <v/>
      </c>
      <c r="D2047" s="16" t="str">
        <f>IFERROR(VLOOKUP(C2047,DATA!#REF!,2,FALSE),"")</f>
        <v/>
      </c>
    </row>
    <row r="2048" spans="2:4" s="237" customFormat="1">
      <c r="B2048" s="15" t="str">
        <f t="shared" si="64"/>
        <v/>
      </c>
      <c r="C2048" s="16" t="str">
        <f>IFERROR(VLOOKUP(DATA!#REF!,DATA!#REF!,1,FALSE),"")</f>
        <v/>
      </c>
      <c r="D2048" s="16" t="str">
        <f>IFERROR(VLOOKUP(C2048,DATA!#REF!,2,FALSE),"")</f>
        <v/>
      </c>
    </row>
    <row r="2049" spans="2:4" s="237" customFormat="1">
      <c r="B2049" s="15" t="str">
        <f t="shared" si="64"/>
        <v/>
      </c>
      <c r="C2049" s="16" t="str">
        <f>IFERROR(VLOOKUP(DATA!#REF!,DATA!#REF!,1,FALSE),"")</f>
        <v/>
      </c>
      <c r="D2049" s="16" t="str">
        <f>IFERROR(VLOOKUP(C2049,DATA!#REF!,2,FALSE),"")</f>
        <v/>
      </c>
    </row>
    <row r="2050" spans="2:4" s="237" customFormat="1">
      <c r="B2050" s="15" t="str">
        <f t="shared" si="64"/>
        <v/>
      </c>
      <c r="C2050" s="16" t="str">
        <f>IFERROR(VLOOKUP(DATA!#REF!,DATA!#REF!,1,FALSE),"")</f>
        <v/>
      </c>
      <c r="D2050" s="16" t="str">
        <f>IFERROR(VLOOKUP(C2050,DATA!#REF!,2,FALSE),"")</f>
        <v/>
      </c>
    </row>
    <row r="2051" spans="2:4" s="237" customFormat="1">
      <c r="B2051" s="15" t="str">
        <f t="shared" si="64"/>
        <v/>
      </c>
      <c r="C2051" s="16" t="str">
        <f>IFERROR(VLOOKUP(DATA!#REF!,DATA!#REF!,1,FALSE),"")</f>
        <v/>
      </c>
      <c r="D2051" s="16" t="str">
        <f>IFERROR(VLOOKUP(C2051,DATA!#REF!,2,FALSE),"")</f>
        <v/>
      </c>
    </row>
    <row r="2052" spans="2:4" s="237" customFormat="1">
      <c r="B2052" s="15" t="str">
        <f t="shared" si="64"/>
        <v/>
      </c>
      <c r="C2052" s="16" t="str">
        <f>IFERROR(VLOOKUP(DATA!#REF!,DATA!#REF!,1,FALSE),"")</f>
        <v/>
      </c>
      <c r="D2052" s="16" t="str">
        <f>IFERROR(VLOOKUP(C2052,DATA!#REF!,2,FALSE),"")</f>
        <v/>
      </c>
    </row>
    <row r="2053" spans="2:4" s="237" customFormat="1">
      <c r="B2053" s="15" t="str">
        <f t="shared" si="64"/>
        <v/>
      </c>
      <c r="C2053" s="16" t="str">
        <f>IFERROR(VLOOKUP(DATA!#REF!,DATA!#REF!,1,FALSE),"")</f>
        <v/>
      </c>
      <c r="D2053" s="16" t="str">
        <f>IFERROR(VLOOKUP(C2053,DATA!#REF!,2,FALSE),"")</f>
        <v/>
      </c>
    </row>
    <row r="2054" spans="2:4" s="237" customFormat="1">
      <c r="B2054" s="15" t="str">
        <f t="shared" ref="B2054:B2117" si="65">+IF(C2054="","",ROW()-5)</f>
        <v/>
      </c>
      <c r="C2054" s="16" t="str">
        <f>IFERROR(VLOOKUP(DATA!#REF!,DATA!#REF!,1,FALSE),"")</f>
        <v/>
      </c>
      <c r="D2054" s="16" t="str">
        <f>IFERROR(VLOOKUP(C2054,DATA!#REF!,2,FALSE),"")</f>
        <v/>
      </c>
    </row>
    <row r="2055" spans="2:4" s="237" customFormat="1">
      <c r="B2055" s="15" t="str">
        <f t="shared" si="65"/>
        <v/>
      </c>
      <c r="C2055" s="16" t="str">
        <f>IFERROR(VLOOKUP(DATA!#REF!,DATA!#REF!,1,FALSE),"")</f>
        <v/>
      </c>
      <c r="D2055" s="16" t="str">
        <f>IFERROR(VLOOKUP(C2055,DATA!#REF!,2,FALSE),"")</f>
        <v/>
      </c>
    </row>
    <row r="2056" spans="2:4" s="237" customFormat="1">
      <c r="B2056" s="15" t="str">
        <f t="shared" si="65"/>
        <v/>
      </c>
      <c r="C2056" s="16" t="str">
        <f>IFERROR(VLOOKUP(DATA!#REF!,DATA!#REF!,1,FALSE),"")</f>
        <v/>
      </c>
      <c r="D2056" s="16" t="str">
        <f>IFERROR(VLOOKUP(C2056,DATA!#REF!,2,FALSE),"")</f>
        <v/>
      </c>
    </row>
    <row r="2057" spans="2:4" s="237" customFormat="1">
      <c r="B2057" s="15" t="str">
        <f t="shared" si="65"/>
        <v/>
      </c>
      <c r="C2057" s="16" t="str">
        <f>IFERROR(VLOOKUP(DATA!#REF!,DATA!#REF!,1,FALSE),"")</f>
        <v/>
      </c>
      <c r="D2057" s="16" t="str">
        <f>IFERROR(VLOOKUP(C2057,DATA!#REF!,2,FALSE),"")</f>
        <v/>
      </c>
    </row>
    <row r="2058" spans="2:4" s="237" customFormat="1">
      <c r="B2058" s="15" t="str">
        <f t="shared" si="65"/>
        <v/>
      </c>
      <c r="C2058" s="16" t="str">
        <f>IFERROR(VLOOKUP(DATA!#REF!,DATA!#REF!,1,FALSE),"")</f>
        <v/>
      </c>
      <c r="D2058" s="16" t="str">
        <f>IFERROR(VLOOKUP(C2058,DATA!#REF!,2,FALSE),"")</f>
        <v/>
      </c>
    </row>
    <row r="2059" spans="2:4" s="237" customFormat="1">
      <c r="B2059" s="15" t="str">
        <f t="shared" si="65"/>
        <v/>
      </c>
      <c r="C2059" s="16" t="str">
        <f>IFERROR(VLOOKUP(DATA!#REF!,DATA!#REF!,1,FALSE),"")</f>
        <v/>
      </c>
      <c r="D2059" s="16" t="str">
        <f>IFERROR(VLOOKUP(C2059,DATA!#REF!,2,FALSE),"")</f>
        <v/>
      </c>
    </row>
    <row r="2060" spans="2:4" s="237" customFormat="1">
      <c r="B2060" s="15" t="str">
        <f t="shared" si="65"/>
        <v/>
      </c>
      <c r="C2060" s="16" t="str">
        <f>IFERROR(VLOOKUP(DATA!#REF!,DATA!#REF!,1,FALSE),"")</f>
        <v/>
      </c>
      <c r="D2060" s="16" t="str">
        <f>IFERROR(VLOOKUP(C2060,DATA!#REF!,2,FALSE),"")</f>
        <v/>
      </c>
    </row>
    <row r="2061" spans="2:4" s="237" customFormat="1">
      <c r="B2061" s="15" t="str">
        <f t="shared" si="65"/>
        <v/>
      </c>
      <c r="C2061" s="16" t="str">
        <f>IFERROR(VLOOKUP(DATA!#REF!,DATA!#REF!,1,FALSE),"")</f>
        <v/>
      </c>
      <c r="D2061" s="16" t="str">
        <f>IFERROR(VLOOKUP(C2061,DATA!#REF!,2,FALSE),"")</f>
        <v/>
      </c>
    </row>
    <row r="2062" spans="2:4" s="237" customFormat="1">
      <c r="B2062" s="15" t="str">
        <f t="shared" si="65"/>
        <v/>
      </c>
      <c r="C2062" s="16" t="str">
        <f>IFERROR(VLOOKUP(DATA!#REF!,DATA!#REF!,1,FALSE),"")</f>
        <v/>
      </c>
      <c r="D2062" s="16" t="str">
        <f>IFERROR(VLOOKUP(C2062,DATA!#REF!,2,FALSE),"")</f>
        <v/>
      </c>
    </row>
    <row r="2063" spans="2:4" s="237" customFormat="1">
      <c r="B2063" s="15" t="str">
        <f t="shared" si="65"/>
        <v/>
      </c>
      <c r="C2063" s="16" t="str">
        <f>IFERROR(VLOOKUP(DATA!#REF!,DATA!#REF!,1,FALSE),"")</f>
        <v/>
      </c>
      <c r="D2063" s="16" t="str">
        <f>IFERROR(VLOOKUP(C2063,DATA!#REF!,2,FALSE),"")</f>
        <v/>
      </c>
    </row>
    <row r="2064" spans="2:4" s="237" customFormat="1">
      <c r="B2064" s="15" t="str">
        <f t="shared" si="65"/>
        <v/>
      </c>
      <c r="C2064" s="16" t="str">
        <f>IFERROR(VLOOKUP(DATA!#REF!,DATA!#REF!,1,FALSE),"")</f>
        <v/>
      </c>
      <c r="D2064" s="16" t="str">
        <f>IFERROR(VLOOKUP(C2064,DATA!#REF!,2,FALSE),"")</f>
        <v/>
      </c>
    </row>
    <row r="2065" spans="2:4" s="237" customFormat="1">
      <c r="B2065" s="15" t="str">
        <f t="shared" si="65"/>
        <v/>
      </c>
      <c r="C2065" s="16" t="str">
        <f>IFERROR(VLOOKUP(DATA!#REF!,DATA!#REF!,1,FALSE),"")</f>
        <v/>
      </c>
      <c r="D2065" s="16" t="str">
        <f>IFERROR(VLOOKUP(C2065,DATA!#REF!,2,FALSE),"")</f>
        <v/>
      </c>
    </row>
    <row r="2066" spans="2:4" s="237" customFormat="1">
      <c r="B2066" s="15" t="str">
        <f t="shared" si="65"/>
        <v/>
      </c>
      <c r="C2066" s="16" t="str">
        <f>IFERROR(VLOOKUP(DATA!#REF!,DATA!#REF!,1,FALSE),"")</f>
        <v/>
      </c>
      <c r="D2066" s="16" t="str">
        <f>IFERROR(VLOOKUP(C2066,DATA!#REF!,2,FALSE),"")</f>
        <v/>
      </c>
    </row>
    <row r="2067" spans="2:4" s="237" customFormat="1">
      <c r="B2067" s="15" t="str">
        <f t="shared" si="65"/>
        <v/>
      </c>
      <c r="C2067" s="16" t="str">
        <f>IFERROR(VLOOKUP(DATA!#REF!,DATA!#REF!,1,FALSE),"")</f>
        <v/>
      </c>
      <c r="D2067" s="16" t="str">
        <f>IFERROR(VLOOKUP(C2067,DATA!#REF!,2,FALSE),"")</f>
        <v/>
      </c>
    </row>
    <row r="2068" spans="2:4" s="237" customFormat="1">
      <c r="B2068" s="15" t="str">
        <f t="shared" si="65"/>
        <v/>
      </c>
      <c r="C2068" s="16" t="str">
        <f>IFERROR(VLOOKUP(DATA!#REF!,DATA!#REF!,1,FALSE),"")</f>
        <v/>
      </c>
      <c r="D2068" s="16" t="str">
        <f>IFERROR(VLOOKUP(C2068,DATA!#REF!,2,FALSE),"")</f>
        <v/>
      </c>
    </row>
    <row r="2069" spans="2:4" s="237" customFormat="1">
      <c r="B2069" s="15" t="str">
        <f t="shared" si="65"/>
        <v/>
      </c>
      <c r="C2069" s="16" t="str">
        <f>IFERROR(VLOOKUP(DATA!#REF!,DATA!#REF!,1,FALSE),"")</f>
        <v/>
      </c>
      <c r="D2069" s="16" t="str">
        <f>IFERROR(VLOOKUP(C2069,DATA!#REF!,2,FALSE),"")</f>
        <v/>
      </c>
    </row>
    <row r="2070" spans="2:4" s="237" customFormat="1">
      <c r="B2070" s="15" t="str">
        <f t="shared" si="65"/>
        <v/>
      </c>
      <c r="C2070" s="16" t="str">
        <f>IFERROR(VLOOKUP(DATA!#REF!,DATA!#REF!,1,FALSE),"")</f>
        <v/>
      </c>
      <c r="D2070" s="16" t="str">
        <f>IFERROR(VLOOKUP(C2070,DATA!#REF!,2,FALSE),"")</f>
        <v/>
      </c>
    </row>
    <row r="2071" spans="2:4" s="237" customFormat="1">
      <c r="B2071" s="15" t="str">
        <f t="shared" si="65"/>
        <v/>
      </c>
      <c r="C2071" s="16" t="str">
        <f>IFERROR(VLOOKUP(DATA!#REF!,DATA!#REF!,1,FALSE),"")</f>
        <v/>
      </c>
      <c r="D2071" s="16" t="str">
        <f>IFERROR(VLOOKUP(C2071,DATA!#REF!,2,FALSE),"")</f>
        <v/>
      </c>
    </row>
    <row r="2072" spans="2:4" s="237" customFormat="1">
      <c r="B2072" s="15" t="str">
        <f t="shared" si="65"/>
        <v/>
      </c>
      <c r="C2072" s="16" t="str">
        <f>IFERROR(VLOOKUP(DATA!#REF!,DATA!#REF!,1,FALSE),"")</f>
        <v/>
      </c>
      <c r="D2072" s="16" t="str">
        <f>IFERROR(VLOOKUP(C2072,DATA!#REF!,2,FALSE),"")</f>
        <v/>
      </c>
    </row>
    <row r="2073" spans="2:4" s="237" customFormat="1">
      <c r="B2073" s="15" t="str">
        <f t="shared" si="65"/>
        <v/>
      </c>
      <c r="C2073" s="16" t="str">
        <f>IFERROR(VLOOKUP(DATA!#REF!,DATA!#REF!,1,FALSE),"")</f>
        <v/>
      </c>
      <c r="D2073" s="16" t="str">
        <f>IFERROR(VLOOKUP(C2073,DATA!#REF!,2,FALSE),"")</f>
        <v/>
      </c>
    </row>
    <row r="2074" spans="2:4" s="237" customFormat="1">
      <c r="B2074" s="15" t="str">
        <f t="shared" si="65"/>
        <v/>
      </c>
      <c r="C2074" s="16" t="str">
        <f>IFERROR(VLOOKUP(DATA!#REF!,DATA!#REF!,1,FALSE),"")</f>
        <v/>
      </c>
      <c r="D2074" s="16" t="str">
        <f>IFERROR(VLOOKUP(C2074,DATA!#REF!,2,FALSE),"")</f>
        <v/>
      </c>
    </row>
    <row r="2075" spans="2:4" s="237" customFormat="1">
      <c r="B2075" s="15" t="str">
        <f t="shared" si="65"/>
        <v/>
      </c>
      <c r="C2075" s="16" t="str">
        <f>IFERROR(VLOOKUP(DATA!#REF!,DATA!#REF!,1,FALSE),"")</f>
        <v/>
      </c>
      <c r="D2075" s="16" t="str">
        <f>IFERROR(VLOOKUP(C2075,DATA!#REF!,2,FALSE),"")</f>
        <v/>
      </c>
    </row>
    <row r="2076" spans="2:4" s="237" customFormat="1">
      <c r="B2076" s="15" t="str">
        <f t="shared" si="65"/>
        <v/>
      </c>
      <c r="C2076" s="16" t="str">
        <f>IFERROR(VLOOKUP(DATA!#REF!,DATA!#REF!,1,FALSE),"")</f>
        <v/>
      </c>
      <c r="D2076" s="16" t="str">
        <f>IFERROR(VLOOKUP(C2076,DATA!#REF!,2,FALSE),"")</f>
        <v/>
      </c>
    </row>
    <row r="2077" spans="2:4" s="237" customFormat="1">
      <c r="B2077" s="15" t="str">
        <f t="shared" si="65"/>
        <v/>
      </c>
      <c r="C2077" s="16" t="str">
        <f>IFERROR(VLOOKUP(DATA!#REF!,DATA!#REF!,1,FALSE),"")</f>
        <v/>
      </c>
      <c r="D2077" s="16" t="str">
        <f>IFERROR(VLOOKUP(C2077,DATA!#REF!,2,FALSE),"")</f>
        <v/>
      </c>
    </row>
    <row r="2078" spans="2:4" s="237" customFormat="1">
      <c r="B2078" s="15" t="str">
        <f t="shared" si="65"/>
        <v/>
      </c>
      <c r="C2078" s="16" t="str">
        <f>IFERROR(VLOOKUP(DATA!#REF!,DATA!#REF!,1,FALSE),"")</f>
        <v/>
      </c>
      <c r="D2078" s="16" t="str">
        <f>IFERROR(VLOOKUP(C2078,DATA!#REF!,2,FALSE),"")</f>
        <v/>
      </c>
    </row>
    <row r="2079" spans="2:4" s="237" customFormat="1">
      <c r="B2079" s="15" t="str">
        <f t="shared" si="65"/>
        <v/>
      </c>
      <c r="C2079" s="16" t="str">
        <f>IFERROR(VLOOKUP(DATA!#REF!,DATA!#REF!,1,FALSE),"")</f>
        <v/>
      </c>
      <c r="D2079" s="16" t="str">
        <f>IFERROR(VLOOKUP(C2079,DATA!#REF!,2,FALSE),"")</f>
        <v/>
      </c>
    </row>
    <row r="2080" spans="2:4" s="237" customFormat="1">
      <c r="B2080" s="15" t="str">
        <f t="shared" si="65"/>
        <v/>
      </c>
      <c r="C2080" s="16" t="str">
        <f>IFERROR(VLOOKUP(DATA!#REF!,DATA!#REF!,1,FALSE),"")</f>
        <v/>
      </c>
      <c r="D2080" s="16" t="str">
        <f>IFERROR(VLOOKUP(C2080,DATA!#REF!,2,FALSE),"")</f>
        <v/>
      </c>
    </row>
    <row r="2081" spans="2:4" s="237" customFormat="1">
      <c r="B2081" s="15" t="str">
        <f t="shared" si="65"/>
        <v/>
      </c>
      <c r="C2081" s="16" t="str">
        <f>IFERROR(VLOOKUP(DATA!#REF!,DATA!#REF!,1,FALSE),"")</f>
        <v/>
      </c>
      <c r="D2081" s="16" t="str">
        <f>IFERROR(VLOOKUP(C2081,DATA!#REF!,2,FALSE),"")</f>
        <v/>
      </c>
    </row>
    <row r="2082" spans="2:4" s="237" customFormat="1">
      <c r="B2082" s="15" t="str">
        <f t="shared" si="65"/>
        <v/>
      </c>
      <c r="C2082" s="16" t="str">
        <f>IFERROR(VLOOKUP(DATA!#REF!,DATA!#REF!,1,FALSE),"")</f>
        <v/>
      </c>
      <c r="D2082" s="16" t="str">
        <f>IFERROR(VLOOKUP(C2082,DATA!#REF!,2,FALSE),"")</f>
        <v/>
      </c>
    </row>
    <row r="2083" spans="2:4" s="237" customFormat="1">
      <c r="B2083" s="15" t="str">
        <f t="shared" si="65"/>
        <v/>
      </c>
      <c r="C2083" s="16" t="str">
        <f>IFERROR(VLOOKUP(DATA!#REF!,DATA!#REF!,1,FALSE),"")</f>
        <v/>
      </c>
      <c r="D2083" s="16" t="str">
        <f>IFERROR(VLOOKUP(C2083,DATA!#REF!,2,FALSE),"")</f>
        <v/>
      </c>
    </row>
    <row r="2084" spans="2:4" s="237" customFormat="1">
      <c r="B2084" s="15" t="str">
        <f t="shared" si="65"/>
        <v/>
      </c>
      <c r="C2084" s="16" t="str">
        <f>IFERROR(VLOOKUP(DATA!#REF!,DATA!#REF!,1,FALSE),"")</f>
        <v/>
      </c>
      <c r="D2084" s="16" t="str">
        <f>IFERROR(VLOOKUP(C2084,DATA!#REF!,2,FALSE),"")</f>
        <v/>
      </c>
    </row>
    <row r="2085" spans="2:4" s="237" customFormat="1">
      <c r="B2085" s="15" t="str">
        <f t="shared" si="65"/>
        <v/>
      </c>
      <c r="C2085" s="16" t="str">
        <f>IFERROR(VLOOKUP(DATA!#REF!,DATA!#REF!,1,FALSE),"")</f>
        <v/>
      </c>
      <c r="D2085" s="16" t="str">
        <f>IFERROR(VLOOKUP(C2085,DATA!#REF!,2,FALSE),"")</f>
        <v/>
      </c>
    </row>
    <row r="2086" spans="2:4" s="237" customFormat="1">
      <c r="B2086" s="15" t="str">
        <f t="shared" si="65"/>
        <v/>
      </c>
      <c r="C2086" s="16" t="str">
        <f>IFERROR(VLOOKUP(DATA!#REF!,DATA!#REF!,1,FALSE),"")</f>
        <v/>
      </c>
      <c r="D2086" s="16" t="str">
        <f>IFERROR(VLOOKUP(C2086,DATA!#REF!,2,FALSE),"")</f>
        <v/>
      </c>
    </row>
    <row r="2087" spans="2:4" s="237" customFormat="1">
      <c r="B2087" s="15" t="str">
        <f t="shared" si="65"/>
        <v/>
      </c>
      <c r="C2087" s="16" t="str">
        <f>IFERROR(VLOOKUP(DATA!#REF!,DATA!#REF!,1,FALSE),"")</f>
        <v/>
      </c>
      <c r="D2087" s="16" t="str">
        <f>IFERROR(VLOOKUP(C2087,DATA!#REF!,2,FALSE),"")</f>
        <v/>
      </c>
    </row>
    <row r="2088" spans="2:4" s="237" customFormat="1">
      <c r="B2088" s="15" t="str">
        <f t="shared" si="65"/>
        <v/>
      </c>
      <c r="C2088" s="16" t="str">
        <f>IFERROR(VLOOKUP(DATA!#REF!,DATA!#REF!,1,FALSE),"")</f>
        <v/>
      </c>
      <c r="D2088" s="16" t="str">
        <f>IFERROR(VLOOKUP(C2088,DATA!#REF!,2,FALSE),"")</f>
        <v/>
      </c>
    </row>
    <row r="2089" spans="2:4" s="237" customFormat="1">
      <c r="B2089" s="15" t="str">
        <f t="shared" si="65"/>
        <v/>
      </c>
      <c r="C2089" s="16" t="str">
        <f>IFERROR(VLOOKUP(DATA!#REF!,DATA!#REF!,1,FALSE),"")</f>
        <v/>
      </c>
      <c r="D2089" s="16" t="str">
        <f>IFERROR(VLOOKUP(C2089,DATA!#REF!,2,FALSE),"")</f>
        <v/>
      </c>
    </row>
    <row r="2090" spans="2:4" s="237" customFormat="1">
      <c r="B2090" s="15" t="str">
        <f t="shared" si="65"/>
        <v/>
      </c>
      <c r="C2090" s="16" t="str">
        <f>IFERROR(VLOOKUP(DATA!#REF!,DATA!#REF!,1,FALSE),"")</f>
        <v/>
      </c>
      <c r="D2090" s="16" t="str">
        <f>IFERROR(VLOOKUP(C2090,DATA!#REF!,2,FALSE),"")</f>
        <v/>
      </c>
    </row>
    <row r="2091" spans="2:4" s="237" customFormat="1">
      <c r="B2091" s="15" t="str">
        <f t="shared" si="65"/>
        <v/>
      </c>
      <c r="C2091" s="16" t="str">
        <f>IFERROR(VLOOKUP(DATA!#REF!,DATA!#REF!,1,FALSE),"")</f>
        <v/>
      </c>
      <c r="D2091" s="16" t="str">
        <f>IFERROR(VLOOKUP(C2091,DATA!#REF!,2,FALSE),"")</f>
        <v/>
      </c>
    </row>
    <row r="2092" spans="2:4" s="237" customFormat="1">
      <c r="B2092" s="15" t="str">
        <f t="shared" si="65"/>
        <v/>
      </c>
      <c r="C2092" s="16" t="str">
        <f>IFERROR(VLOOKUP(DATA!#REF!,DATA!#REF!,1,FALSE),"")</f>
        <v/>
      </c>
      <c r="D2092" s="16" t="str">
        <f>IFERROR(VLOOKUP(C2092,DATA!#REF!,2,FALSE),"")</f>
        <v/>
      </c>
    </row>
    <row r="2093" spans="2:4" s="237" customFormat="1">
      <c r="B2093" s="15" t="str">
        <f t="shared" si="65"/>
        <v/>
      </c>
      <c r="C2093" s="16" t="str">
        <f>IFERROR(VLOOKUP(DATA!#REF!,DATA!#REF!,1,FALSE),"")</f>
        <v/>
      </c>
      <c r="D2093" s="16" t="str">
        <f>IFERROR(VLOOKUP(C2093,DATA!#REF!,2,FALSE),"")</f>
        <v/>
      </c>
    </row>
    <row r="2094" spans="2:4" s="237" customFormat="1">
      <c r="B2094" s="15" t="str">
        <f t="shared" si="65"/>
        <v/>
      </c>
      <c r="C2094" s="16" t="str">
        <f>IFERROR(VLOOKUP(DATA!#REF!,DATA!#REF!,1,FALSE),"")</f>
        <v/>
      </c>
      <c r="D2094" s="16" t="str">
        <f>IFERROR(VLOOKUP(C2094,DATA!#REF!,2,FALSE),"")</f>
        <v/>
      </c>
    </row>
    <row r="2095" spans="2:4" s="237" customFormat="1">
      <c r="B2095" s="15" t="str">
        <f t="shared" si="65"/>
        <v/>
      </c>
      <c r="C2095" s="16" t="str">
        <f>IFERROR(VLOOKUP(DATA!#REF!,DATA!#REF!,1,FALSE),"")</f>
        <v/>
      </c>
      <c r="D2095" s="16" t="str">
        <f>IFERROR(VLOOKUP(C2095,DATA!#REF!,2,FALSE),"")</f>
        <v/>
      </c>
    </row>
    <row r="2096" spans="2:4" s="237" customFormat="1">
      <c r="B2096" s="15" t="str">
        <f t="shared" si="65"/>
        <v/>
      </c>
      <c r="C2096" s="16" t="str">
        <f>IFERROR(VLOOKUP(DATA!#REF!,DATA!#REF!,1,FALSE),"")</f>
        <v/>
      </c>
      <c r="D2096" s="16" t="str">
        <f>IFERROR(VLOOKUP(C2096,DATA!#REF!,2,FALSE),"")</f>
        <v/>
      </c>
    </row>
    <row r="2097" spans="2:4" s="237" customFormat="1">
      <c r="B2097" s="15" t="str">
        <f t="shared" si="65"/>
        <v/>
      </c>
      <c r="C2097" s="16" t="str">
        <f>IFERROR(VLOOKUP(DATA!#REF!,DATA!#REF!,1,FALSE),"")</f>
        <v/>
      </c>
      <c r="D2097" s="16" t="str">
        <f>IFERROR(VLOOKUP(C2097,DATA!#REF!,2,FALSE),"")</f>
        <v/>
      </c>
    </row>
    <row r="2098" spans="2:4" s="237" customFormat="1">
      <c r="B2098" s="15" t="str">
        <f t="shared" si="65"/>
        <v/>
      </c>
      <c r="C2098" s="16" t="str">
        <f>IFERROR(VLOOKUP(DATA!#REF!,DATA!#REF!,1,FALSE),"")</f>
        <v/>
      </c>
      <c r="D2098" s="16" t="str">
        <f>IFERROR(VLOOKUP(C2098,DATA!#REF!,2,FALSE),"")</f>
        <v/>
      </c>
    </row>
    <row r="2099" spans="2:4" s="237" customFormat="1">
      <c r="B2099" s="15" t="str">
        <f t="shared" si="65"/>
        <v/>
      </c>
      <c r="C2099" s="16" t="str">
        <f>IFERROR(VLOOKUP(DATA!#REF!,DATA!#REF!,1,FALSE),"")</f>
        <v/>
      </c>
      <c r="D2099" s="16" t="str">
        <f>IFERROR(VLOOKUP(C2099,DATA!#REF!,2,FALSE),"")</f>
        <v/>
      </c>
    </row>
    <row r="2100" spans="2:4" s="237" customFormat="1">
      <c r="B2100" s="15" t="str">
        <f t="shared" si="65"/>
        <v/>
      </c>
      <c r="C2100" s="16" t="str">
        <f>IFERROR(VLOOKUP(DATA!#REF!,DATA!#REF!,1,FALSE),"")</f>
        <v/>
      </c>
      <c r="D2100" s="16" t="str">
        <f>IFERROR(VLOOKUP(C2100,DATA!#REF!,2,FALSE),"")</f>
        <v/>
      </c>
    </row>
    <row r="2101" spans="2:4" s="237" customFormat="1">
      <c r="B2101" s="15" t="str">
        <f t="shared" si="65"/>
        <v/>
      </c>
      <c r="C2101" s="16" t="str">
        <f>IFERROR(VLOOKUP(DATA!#REF!,DATA!#REF!,1,FALSE),"")</f>
        <v/>
      </c>
      <c r="D2101" s="16" t="str">
        <f>IFERROR(VLOOKUP(C2101,DATA!#REF!,2,FALSE),"")</f>
        <v/>
      </c>
    </row>
    <row r="2102" spans="2:4" s="237" customFormat="1">
      <c r="B2102" s="15" t="str">
        <f t="shared" si="65"/>
        <v/>
      </c>
      <c r="C2102" s="16" t="str">
        <f>IFERROR(VLOOKUP(DATA!#REF!,DATA!#REF!,1,FALSE),"")</f>
        <v/>
      </c>
      <c r="D2102" s="16" t="str">
        <f>IFERROR(VLOOKUP(C2102,DATA!#REF!,2,FALSE),"")</f>
        <v/>
      </c>
    </row>
    <row r="2103" spans="2:4" s="237" customFormat="1">
      <c r="B2103" s="15" t="str">
        <f t="shared" si="65"/>
        <v/>
      </c>
      <c r="C2103" s="16" t="str">
        <f>IFERROR(VLOOKUP(DATA!#REF!,DATA!#REF!,1,FALSE),"")</f>
        <v/>
      </c>
      <c r="D2103" s="16" t="str">
        <f>IFERROR(VLOOKUP(C2103,DATA!#REF!,2,FALSE),"")</f>
        <v/>
      </c>
    </row>
    <row r="2104" spans="2:4" s="237" customFormat="1">
      <c r="B2104" s="15" t="str">
        <f t="shared" si="65"/>
        <v/>
      </c>
      <c r="C2104" s="16" t="str">
        <f>IFERROR(VLOOKUP(DATA!#REF!,DATA!#REF!,1,FALSE),"")</f>
        <v/>
      </c>
      <c r="D2104" s="16" t="str">
        <f>IFERROR(VLOOKUP(C2104,DATA!#REF!,2,FALSE),"")</f>
        <v/>
      </c>
    </row>
    <row r="2105" spans="2:4" s="237" customFormat="1">
      <c r="B2105" s="15" t="str">
        <f t="shared" si="65"/>
        <v/>
      </c>
      <c r="C2105" s="16" t="str">
        <f>IFERROR(VLOOKUP(DATA!#REF!,DATA!#REF!,1,FALSE),"")</f>
        <v/>
      </c>
      <c r="D2105" s="16" t="str">
        <f>IFERROR(VLOOKUP(C2105,DATA!#REF!,2,FALSE),"")</f>
        <v/>
      </c>
    </row>
    <row r="2106" spans="2:4" s="237" customFormat="1">
      <c r="B2106" s="15" t="str">
        <f t="shared" si="65"/>
        <v/>
      </c>
      <c r="C2106" s="16" t="str">
        <f>IFERROR(VLOOKUP(DATA!#REF!,DATA!#REF!,1,FALSE),"")</f>
        <v/>
      </c>
      <c r="D2106" s="16" t="str">
        <f>IFERROR(VLOOKUP(C2106,DATA!#REF!,2,FALSE),"")</f>
        <v/>
      </c>
    </row>
    <row r="2107" spans="2:4" s="237" customFormat="1">
      <c r="B2107" s="15" t="str">
        <f t="shared" si="65"/>
        <v/>
      </c>
      <c r="C2107" s="16" t="str">
        <f>IFERROR(VLOOKUP(DATA!#REF!,DATA!#REF!,1,FALSE),"")</f>
        <v/>
      </c>
      <c r="D2107" s="16" t="str">
        <f>IFERROR(VLOOKUP(C2107,DATA!#REF!,2,FALSE),"")</f>
        <v/>
      </c>
    </row>
    <row r="2108" spans="2:4" s="237" customFormat="1">
      <c r="B2108" s="15" t="str">
        <f t="shared" si="65"/>
        <v/>
      </c>
      <c r="C2108" s="16" t="str">
        <f>IFERROR(VLOOKUP(DATA!#REF!,DATA!#REF!,1,FALSE),"")</f>
        <v/>
      </c>
      <c r="D2108" s="16" t="str">
        <f>IFERROR(VLOOKUP(C2108,DATA!#REF!,2,FALSE),"")</f>
        <v/>
      </c>
    </row>
    <row r="2109" spans="2:4" s="237" customFormat="1">
      <c r="B2109" s="15" t="str">
        <f t="shared" si="65"/>
        <v/>
      </c>
      <c r="C2109" s="16" t="str">
        <f>IFERROR(VLOOKUP(DATA!#REF!,DATA!#REF!,1,FALSE),"")</f>
        <v/>
      </c>
      <c r="D2109" s="16" t="str">
        <f>IFERROR(VLOOKUP(C2109,DATA!#REF!,2,FALSE),"")</f>
        <v/>
      </c>
    </row>
    <row r="2110" spans="2:4" s="237" customFormat="1">
      <c r="B2110" s="15" t="str">
        <f t="shared" si="65"/>
        <v/>
      </c>
      <c r="C2110" s="16" t="str">
        <f>IFERROR(VLOOKUP(DATA!#REF!,DATA!#REF!,1,FALSE),"")</f>
        <v/>
      </c>
      <c r="D2110" s="16" t="str">
        <f>IFERROR(VLOOKUP(C2110,DATA!#REF!,2,FALSE),"")</f>
        <v/>
      </c>
    </row>
    <row r="2111" spans="2:4" s="237" customFormat="1">
      <c r="B2111" s="15" t="str">
        <f t="shared" si="65"/>
        <v/>
      </c>
      <c r="C2111" s="16" t="str">
        <f>IFERROR(VLOOKUP(DATA!#REF!,DATA!#REF!,1,FALSE),"")</f>
        <v/>
      </c>
      <c r="D2111" s="16" t="str">
        <f>IFERROR(VLOOKUP(C2111,DATA!#REF!,2,FALSE),"")</f>
        <v/>
      </c>
    </row>
    <row r="2112" spans="2:4" s="237" customFormat="1">
      <c r="B2112" s="15" t="str">
        <f t="shared" si="65"/>
        <v/>
      </c>
      <c r="C2112" s="16" t="str">
        <f>IFERROR(VLOOKUP(DATA!#REF!,DATA!#REF!,1,FALSE),"")</f>
        <v/>
      </c>
      <c r="D2112" s="16" t="str">
        <f>IFERROR(VLOOKUP(C2112,DATA!#REF!,2,FALSE),"")</f>
        <v/>
      </c>
    </row>
    <row r="2113" spans="2:4" s="237" customFormat="1">
      <c r="B2113" s="15" t="str">
        <f t="shared" si="65"/>
        <v/>
      </c>
      <c r="C2113" s="16" t="str">
        <f>IFERROR(VLOOKUP(DATA!#REF!,DATA!#REF!,1,FALSE),"")</f>
        <v/>
      </c>
      <c r="D2113" s="16" t="str">
        <f>IFERROR(VLOOKUP(C2113,DATA!#REF!,2,FALSE),"")</f>
        <v/>
      </c>
    </row>
    <row r="2114" spans="2:4" s="237" customFormat="1">
      <c r="B2114" s="15" t="str">
        <f t="shared" si="65"/>
        <v/>
      </c>
      <c r="C2114" s="16" t="str">
        <f>IFERROR(VLOOKUP(DATA!#REF!,DATA!#REF!,1,FALSE),"")</f>
        <v/>
      </c>
      <c r="D2114" s="16" t="str">
        <f>IFERROR(VLOOKUP(C2114,DATA!#REF!,2,FALSE),"")</f>
        <v/>
      </c>
    </row>
    <row r="2115" spans="2:4" s="237" customFormat="1">
      <c r="B2115" s="15" t="str">
        <f t="shared" si="65"/>
        <v/>
      </c>
      <c r="C2115" s="16" t="str">
        <f>IFERROR(VLOOKUP(DATA!#REF!,DATA!#REF!,1,FALSE),"")</f>
        <v/>
      </c>
      <c r="D2115" s="16" t="str">
        <f>IFERROR(VLOOKUP(C2115,DATA!#REF!,2,FALSE),"")</f>
        <v/>
      </c>
    </row>
    <row r="2116" spans="2:4" s="237" customFormat="1">
      <c r="B2116" s="15" t="str">
        <f t="shared" si="65"/>
        <v/>
      </c>
      <c r="C2116" s="16" t="str">
        <f>IFERROR(VLOOKUP(DATA!#REF!,DATA!#REF!,1,FALSE),"")</f>
        <v/>
      </c>
      <c r="D2116" s="16" t="str">
        <f>IFERROR(VLOOKUP(C2116,DATA!#REF!,2,FALSE),"")</f>
        <v/>
      </c>
    </row>
    <row r="2117" spans="2:4" s="237" customFormat="1">
      <c r="B2117" s="15" t="str">
        <f t="shared" si="65"/>
        <v/>
      </c>
      <c r="C2117" s="16" t="str">
        <f>IFERROR(VLOOKUP(DATA!#REF!,DATA!#REF!,1,FALSE),"")</f>
        <v/>
      </c>
      <c r="D2117" s="16" t="str">
        <f>IFERROR(VLOOKUP(C2117,DATA!#REF!,2,FALSE),"")</f>
        <v/>
      </c>
    </row>
    <row r="2118" spans="2:4" s="237" customFormat="1">
      <c r="B2118" s="15" t="str">
        <f t="shared" ref="B2118:B2181" si="66">+IF(C2118="","",ROW()-5)</f>
        <v/>
      </c>
      <c r="C2118" s="16" t="str">
        <f>IFERROR(VLOOKUP(DATA!#REF!,DATA!#REF!,1,FALSE),"")</f>
        <v/>
      </c>
      <c r="D2118" s="16" t="str">
        <f>IFERROR(VLOOKUP(C2118,DATA!#REF!,2,FALSE),"")</f>
        <v/>
      </c>
    </row>
    <row r="2119" spans="2:4" s="237" customFormat="1">
      <c r="B2119" s="15" t="str">
        <f t="shared" si="66"/>
        <v/>
      </c>
      <c r="C2119" s="16" t="str">
        <f>IFERROR(VLOOKUP(DATA!#REF!,DATA!#REF!,1,FALSE),"")</f>
        <v/>
      </c>
      <c r="D2119" s="16" t="str">
        <f>IFERROR(VLOOKUP(C2119,DATA!#REF!,2,FALSE),"")</f>
        <v/>
      </c>
    </row>
    <row r="2120" spans="2:4" s="237" customFormat="1">
      <c r="B2120" s="15" t="str">
        <f t="shared" si="66"/>
        <v/>
      </c>
      <c r="C2120" s="16" t="str">
        <f>IFERROR(VLOOKUP(DATA!#REF!,DATA!#REF!,1,FALSE),"")</f>
        <v/>
      </c>
      <c r="D2120" s="16" t="str">
        <f>IFERROR(VLOOKUP(C2120,DATA!#REF!,2,FALSE),"")</f>
        <v/>
      </c>
    </row>
    <row r="2121" spans="2:4" s="237" customFormat="1">
      <c r="B2121" s="15" t="str">
        <f t="shared" si="66"/>
        <v/>
      </c>
      <c r="C2121" s="16" t="str">
        <f>IFERROR(VLOOKUP(DATA!#REF!,DATA!#REF!,1,FALSE),"")</f>
        <v/>
      </c>
      <c r="D2121" s="16" t="str">
        <f>IFERROR(VLOOKUP(C2121,DATA!#REF!,2,FALSE),"")</f>
        <v/>
      </c>
    </row>
    <row r="2122" spans="2:4" s="237" customFormat="1">
      <c r="B2122" s="15" t="str">
        <f t="shared" si="66"/>
        <v/>
      </c>
      <c r="C2122" s="16" t="str">
        <f>IFERROR(VLOOKUP(DATA!#REF!,DATA!#REF!,1,FALSE),"")</f>
        <v/>
      </c>
      <c r="D2122" s="16" t="str">
        <f>IFERROR(VLOOKUP(C2122,DATA!#REF!,2,FALSE),"")</f>
        <v/>
      </c>
    </row>
    <row r="2123" spans="2:4" s="237" customFormat="1">
      <c r="B2123" s="15" t="str">
        <f t="shared" si="66"/>
        <v/>
      </c>
      <c r="C2123" s="16" t="str">
        <f>IFERROR(VLOOKUP(DATA!#REF!,DATA!#REF!,1,FALSE),"")</f>
        <v/>
      </c>
      <c r="D2123" s="16" t="str">
        <f>IFERROR(VLOOKUP(C2123,DATA!#REF!,2,FALSE),"")</f>
        <v/>
      </c>
    </row>
    <row r="2124" spans="2:4" s="237" customFormat="1">
      <c r="B2124" s="15" t="str">
        <f t="shared" si="66"/>
        <v/>
      </c>
      <c r="C2124" s="16" t="str">
        <f>IFERROR(VLOOKUP(DATA!#REF!,DATA!#REF!,1,FALSE),"")</f>
        <v/>
      </c>
      <c r="D2124" s="16" t="str">
        <f>IFERROR(VLOOKUP(C2124,DATA!#REF!,2,FALSE),"")</f>
        <v/>
      </c>
    </row>
    <row r="2125" spans="2:4" s="237" customFormat="1">
      <c r="B2125" s="15" t="str">
        <f t="shared" si="66"/>
        <v/>
      </c>
      <c r="C2125" s="16" t="str">
        <f>IFERROR(VLOOKUP(DATA!#REF!,DATA!#REF!,1,FALSE),"")</f>
        <v/>
      </c>
      <c r="D2125" s="16" t="str">
        <f>IFERROR(VLOOKUP(C2125,DATA!#REF!,2,FALSE),"")</f>
        <v/>
      </c>
    </row>
    <row r="2126" spans="2:4" s="237" customFormat="1">
      <c r="B2126" s="15" t="str">
        <f t="shared" si="66"/>
        <v/>
      </c>
      <c r="C2126" s="16" t="str">
        <f>IFERROR(VLOOKUP(DATA!#REF!,DATA!#REF!,1,FALSE),"")</f>
        <v/>
      </c>
      <c r="D2126" s="16" t="str">
        <f>IFERROR(VLOOKUP(C2126,DATA!#REF!,2,FALSE),"")</f>
        <v/>
      </c>
    </row>
    <row r="2127" spans="2:4" s="237" customFormat="1">
      <c r="B2127" s="15" t="str">
        <f t="shared" si="66"/>
        <v/>
      </c>
      <c r="C2127" s="16" t="str">
        <f>IFERROR(VLOOKUP(DATA!#REF!,DATA!#REF!,1,FALSE),"")</f>
        <v/>
      </c>
      <c r="D2127" s="16" t="str">
        <f>IFERROR(VLOOKUP(C2127,DATA!#REF!,2,FALSE),"")</f>
        <v/>
      </c>
    </row>
    <row r="2128" spans="2:4" s="237" customFormat="1">
      <c r="B2128" s="15" t="str">
        <f t="shared" si="66"/>
        <v/>
      </c>
      <c r="C2128" s="16" t="str">
        <f>IFERROR(VLOOKUP(DATA!#REF!,DATA!#REF!,1,FALSE),"")</f>
        <v/>
      </c>
      <c r="D2128" s="16" t="str">
        <f>IFERROR(VLOOKUP(C2128,DATA!#REF!,2,FALSE),"")</f>
        <v/>
      </c>
    </row>
    <row r="2129" spans="2:4" s="237" customFormat="1">
      <c r="B2129" s="15" t="str">
        <f t="shared" si="66"/>
        <v/>
      </c>
      <c r="C2129" s="16" t="str">
        <f>IFERROR(VLOOKUP(DATA!#REF!,DATA!#REF!,1,FALSE),"")</f>
        <v/>
      </c>
      <c r="D2129" s="16" t="str">
        <f>IFERROR(VLOOKUP(C2129,DATA!#REF!,2,FALSE),"")</f>
        <v/>
      </c>
    </row>
    <row r="2130" spans="2:4" s="237" customFormat="1">
      <c r="B2130" s="15" t="str">
        <f t="shared" si="66"/>
        <v/>
      </c>
      <c r="C2130" s="16" t="str">
        <f>IFERROR(VLOOKUP(DATA!#REF!,DATA!#REF!,1,FALSE),"")</f>
        <v/>
      </c>
      <c r="D2130" s="16" t="str">
        <f>IFERROR(VLOOKUP(C2130,DATA!#REF!,2,FALSE),"")</f>
        <v/>
      </c>
    </row>
    <row r="2131" spans="2:4" s="237" customFormat="1">
      <c r="B2131" s="15" t="str">
        <f t="shared" si="66"/>
        <v/>
      </c>
      <c r="C2131" s="16" t="str">
        <f>IFERROR(VLOOKUP(DATA!#REF!,DATA!#REF!,1,FALSE),"")</f>
        <v/>
      </c>
      <c r="D2131" s="16" t="str">
        <f>IFERROR(VLOOKUP(C2131,DATA!#REF!,2,FALSE),"")</f>
        <v/>
      </c>
    </row>
    <row r="2132" spans="2:4" s="237" customFormat="1">
      <c r="B2132" s="15" t="str">
        <f t="shared" si="66"/>
        <v/>
      </c>
      <c r="C2132" s="16" t="str">
        <f>IFERROR(VLOOKUP(DATA!#REF!,DATA!#REF!,1,FALSE),"")</f>
        <v/>
      </c>
      <c r="D2132" s="16" t="str">
        <f>IFERROR(VLOOKUP(C2132,DATA!#REF!,2,FALSE),"")</f>
        <v/>
      </c>
    </row>
    <row r="2133" spans="2:4" s="237" customFormat="1">
      <c r="B2133" s="15" t="str">
        <f t="shared" si="66"/>
        <v/>
      </c>
      <c r="C2133" s="16" t="str">
        <f>IFERROR(VLOOKUP(DATA!#REF!,DATA!#REF!,1,FALSE),"")</f>
        <v/>
      </c>
      <c r="D2133" s="16" t="str">
        <f>IFERROR(VLOOKUP(C2133,DATA!#REF!,2,FALSE),"")</f>
        <v/>
      </c>
    </row>
    <row r="2134" spans="2:4" s="237" customFormat="1">
      <c r="B2134" s="15" t="str">
        <f t="shared" si="66"/>
        <v/>
      </c>
      <c r="C2134" s="16" t="str">
        <f>IFERROR(VLOOKUP(DATA!#REF!,DATA!#REF!,1,FALSE),"")</f>
        <v/>
      </c>
      <c r="D2134" s="16" t="str">
        <f>IFERROR(VLOOKUP(C2134,DATA!#REF!,2,FALSE),"")</f>
        <v/>
      </c>
    </row>
    <row r="2135" spans="2:4" s="237" customFormat="1">
      <c r="B2135" s="15" t="str">
        <f t="shared" si="66"/>
        <v/>
      </c>
      <c r="C2135" s="16" t="str">
        <f>IFERROR(VLOOKUP(DATA!#REF!,DATA!#REF!,1,FALSE),"")</f>
        <v/>
      </c>
      <c r="D2135" s="16" t="str">
        <f>IFERROR(VLOOKUP(C2135,DATA!#REF!,2,FALSE),"")</f>
        <v/>
      </c>
    </row>
    <row r="2136" spans="2:4" s="237" customFormat="1">
      <c r="B2136" s="15" t="str">
        <f t="shared" si="66"/>
        <v/>
      </c>
      <c r="C2136" s="16" t="str">
        <f>IFERROR(VLOOKUP(DATA!#REF!,DATA!#REF!,1,FALSE),"")</f>
        <v/>
      </c>
      <c r="D2136" s="16" t="str">
        <f>IFERROR(VLOOKUP(C2136,DATA!#REF!,2,FALSE),"")</f>
        <v/>
      </c>
    </row>
    <row r="2137" spans="2:4" s="237" customFormat="1">
      <c r="B2137" s="15" t="str">
        <f t="shared" si="66"/>
        <v/>
      </c>
      <c r="C2137" s="16" t="str">
        <f>IFERROR(VLOOKUP(DATA!#REF!,DATA!#REF!,1,FALSE),"")</f>
        <v/>
      </c>
      <c r="D2137" s="16" t="str">
        <f>IFERROR(VLOOKUP(C2137,DATA!#REF!,2,FALSE),"")</f>
        <v/>
      </c>
    </row>
    <row r="2138" spans="2:4" s="237" customFormat="1">
      <c r="B2138" s="15" t="str">
        <f t="shared" si="66"/>
        <v/>
      </c>
      <c r="C2138" s="16" t="str">
        <f>IFERROR(VLOOKUP(DATA!#REF!,DATA!#REF!,1,FALSE),"")</f>
        <v/>
      </c>
      <c r="D2138" s="16" t="str">
        <f>IFERROR(VLOOKUP(C2138,DATA!#REF!,2,FALSE),"")</f>
        <v/>
      </c>
    </row>
    <row r="2139" spans="2:4" s="237" customFormat="1">
      <c r="B2139" s="15" t="str">
        <f t="shared" si="66"/>
        <v/>
      </c>
      <c r="C2139" s="16" t="str">
        <f>IFERROR(VLOOKUP(DATA!#REF!,DATA!#REF!,1,FALSE),"")</f>
        <v/>
      </c>
      <c r="D2139" s="16" t="str">
        <f>IFERROR(VLOOKUP(C2139,DATA!#REF!,2,FALSE),"")</f>
        <v/>
      </c>
    </row>
    <row r="2140" spans="2:4" s="237" customFormat="1">
      <c r="B2140" s="15" t="str">
        <f t="shared" si="66"/>
        <v/>
      </c>
      <c r="C2140" s="16" t="str">
        <f>IFERROR(VLOOKUP(DATA!#REF!,DATA!#REF!,1,FALSE),"")</f>
        <v/>
      </c>
      <c r="D2140" s="16" t="str">
        <f>IFERROR(VLOOKUP(C2140,DATA!#REF!,2,FALSE),"")</f>
        <v/>
      </c>
    </row>
    <row r="2141" spans="2:4" s="237" customFormat="1">
      <c r="B2141" s="15" t="str">
        <f t="shared" si="66"/>
        <v/>
      </c>
      <c r="C2141" s="16" t="str">
        <f>IFERROR(VLOOKUP(DATA!#REF!,DATA!#REF!,1,FALSE),"")</f>
        <v/>
      </c>
      <c r="D2141" s="16" t="str">
        <f>IFERROR(VLOOKUP(C2141,DATA!#REF!,2,FALSE),"")</f>
        <v/>
      </c>
    </row>
    <row r="2142" spans="2:4" s="237" customFormat="1">
      <c r="B2142" s="15" t="str">
        <f t="shared" si="66"/>
        <v/>
      </c>
      <c r="C2142" s="16" t="str">
        <f>IFERROR(VLOOKUP(DATA!#REF!,DATA!#REF!,1,FALSE),"")</f>
        <v/>
      </c>
      <c r="D2142" s="16" t="str">
        <f>IFERROR(VLOOKUP(C2142,DATA!#REF!,2,FALSE),"")</f>
        <v/>
      </c>
    </row>
    <row r="2143" spans="2:4" s="237" customFormat="1">
      <c r="B2143" s="15" t="str">
        <f t="shared" si="66"/>
        <v/>
      </c>
      <c r="C2143" s="16" t="str">
        <f>IFERROR(VLOOKUP(DATA!#REF!,DATA!#REF!,1,FALSE),"")</f>
        <v/>
      </c>
      <c r="D2143" s="16" t="str">
        <f>IFERROR(VLOOKUP(C2143,DATA!#REF!,2,FALSE),"")</f>
        <v/>
      </c>
    </row>
    <row r="2144" spans="2:4" s="237" customFormat="1">
      <c r="B2144" s="15" t="str">
        <f t="shared" si="66"/>
        <v/>
      </c>
      <c r="C2144" s="16" t="str">
        <f>IFERROR(VLOOKUP(DATA!#REF!,DATA!#REF!,1,FALSE),"")</f>
        <v/>
      </c>
      <c r="D2144" s="16" t="str">
        <f>IFERROR(VLOOKUP(C2144,DATA!#REF!,2,FALSE),"")</f>
        <v/>
      </c>
    </row>
    <row r="2145" spans="2:4" s="237" customFormat="1">
      <c r="B2145" s="15" t="str">
        <f t="shared" si="66"/>
        <v/>
      </c>
      <c r="C2145" s="16" t="str">
        <f>IFERROR(VLOOKUP(DATA!#REF!,DATA!#REF!,1,FALSE),"")</f>
        <v/>
      </c>
      <c r="D2145" s="16" t="str">
        <f>IFERROR(VLOOKUP(C2145,DATA!#REF!,2,FALSE),"")</f>
        <v/>
      </c>
    </row>
    <row r="2146" spans="2:4" s="237" customFormat="1">
      <c r="B2146" s="15" t="str">
        <f t="shared" si="66"/>
        <v/>
      </c>
      <c r="C2146" s="16" t="str">
        <f>IFERROR(VLOOKUP(DATA!#REF!,DATA!#REF!,1,FALSE),"")</f>
        <v/>
      </c>
      <c r="D2146" s="16" t="str">
        <f>IFERROR(VLOOKUP(C2146,DATA!#REF!,2,FALSE),"")</f>
        <v/>
      </c>
    </row>
    <row r="2147" spans="2:4" s="237" customFormat="1">
      <c r="B2147" s="15" t="str">
        <f t="shared" si="66"/>
        <v/>
      </c>
      <c r="C2147" s="16" t="str">
        <f>IFERROR(VLOOKUP(DATA!#REF!,DATA!#REF!,1,FALSE),"")</f>
        <v/>
      </c>
      <c r="D2147" s="16" t="str">
        <f>IFERROR(VLOOKUP(C2147,DATA!#REF!,2,FALSE),"")</f>
        <v/>
      </c>
    </row>
    <row r="2148" spans="2:4" s="237" customFormat="1">
      <c r="B2148" s="15" t="str">
        <f t="shared" si="66"/>
        <v/>
      </c>
      <c r="C2148" s="16" t="str">
        <f>IFERROR(VLOOKUP(DATA!#REF!,DATA!#REF!,1,FALSE),"")</f>
        <v/>
      </c>
      <c r="D2148" s="16" t="str">
        <f>IFERROR(VLOOKUP(C2148,DATA!#REF!,2,FALSE),"")</f>
        <v/>
      </c>
    </row>
    <row r="2149" spans="2:4" s="237" customFormat="1">
      <c r="B2149" s="15" t="str">
        <f t="shared" si="66"/>
        <v/>
      </c>
      <c r="C2149" s="16" t="str">
        <f>IFERROR(VLOOKUP(DATA!#REF!,DATA!#REF!,1,FALSE),"")</f>
        <v/>
      </c>
      <c r="D2149" s="16" t="str">
        <f>IFERROR(VLOOKUP(C2149,DATA!#REF!,2,FALSE),"")</f>
        <v/>
      </c>
    </row>
    <row r="2150" spans="2:4" s="237" customFormat="1">
      <c r="B2150" s="15" t="str">
        <f t="shared" si="66"/>
        <v/>
      </c>
      <c r="C2150" s="16" t="str">
        <f>IFERROR(VLOOKUP(DATA!#REF!,DATA!#REF!,1,FALSE),"")</f>
        <v/>
      </c>
      <c r="D2150" s="16" t="str">
        <f>IFERROR(VLOOKUP(C2150,DATA!#REF!,2,FALSE),"")</f>
        <v/>
      </c>
    </row>
    <row r="2151" spans="2:4" s="237" customFormat="1">
      <c r="B2151" s="15" t="str">
        <f t="shared" si="66"/>
        <v/>
      </c>
      <c r="C2151" s="16" t="str">
        <f>IFERROR(VLOOKUP(DATA!#REF!,DATA!#REF!,1,FALSE),"")</f>
        <v/>
      </c>
      <c r="D2151" s="16" t="str">
        <f>IFERROR(VLOOKUP(C2151,DATA!#REF!,2,FALSE),"")</f>
        <v/>
      </c>
    </row>
    <row r="2152" spans="2:4" s="237" customFormat="1">
      <c r="B2152" s="15" t="str">
        <f t="shared" si="66"/>
        <v/>
      </c>
      <c r="C2152" s="16" t="str">
        <f>IFERROR(VLOOKUP(DATA!#REF!,DATA!#REF!,1,FALSE),"")</f>
        <v/>
      </c>
      <c r="D2152" s="16" t="str">
        <f>IFERROR(VLOOKUP(C2152,DATA!#REF!,2,FALSE),"")</f>
        <v/>
      </c>
    </row>
    <row r="2153" spans="2:4" s="237" customFormat="1">
      <c r="B2153" s="15" t="str">
        <f t="shared" si="66"/>
        <v/>
      </c>
      <c r="C2153" s="16" t="str">
        <f>IFERROR(VLOOKUP(DATA!#REF!,DATA!#REF!,1,FALSE),"")</f>
        <v/>
      </c>
      <c r="D2153" s="16" t="str">
        <f>IFERROR(VLOOKUP(C2153,DATA!#REF!,2,FALSE),"")</f>
        <v/>
      </c>
    </row>
    <row r="2154" spans="2:4" s="237" customFormat="1">
      <c r="B2154" s="15" t="str">
        <f t="shared" si="66"/>
        <v/>
      </c>
      <c r="C2154" s="16" t="str">
        <f>IFERROR(VLOOKUP(DATA!#REF!,DATA!#REF!,1,FALSE),"")</f>
        <v/>
      </c>
      <c r="D2154" s="16" t="str">
        <f>IFERROR(VLOOKUP(C2154,DATA!#REF!,2,FALSE),"")</f>
        <v/>
      </c>
    </row>
    <row r="2155" spans="2:4" s="237" customFormat="1">
      <c r="B2155" s="15" t="str">
        <f t="shared" si="66"/>
        <v/>
      </c>
      <c r="C2155" s="16" t="str">
        <f>IFERROR(VLOOKUP(DATA!#REF!,DATA!#REF!,1,FALSE),"")</f>
        <v/>
      </c>
      <c r="D2155" s="16" t="str">
        <f>IFERROR(VLOOKUP(C2155,DATA!#REF!,2,FALSE),"")</f>
        <v/>
      </c>
    </row>
    <row r="2156" spans="2:4" s="237" customFormat="1">
      <c r="B2156" s="15" t="str">
        <f t="shared" si="66"/>
        <v/>
      </c>
      <c r="C2156" s="16" t="str">
        <f>IFERROR(VLOOKUP(DATA!#REF!,DATA!#REF!,1,FALSE),"")</f>
        <v/>
      </c>
      <c r="D2156" s="16" t="str">
        <f>IFERROR(VLOOKUP(C2156,DATA!#REF!,2,FALSE),"")</f>
        <v/>
      </c>
    </row>
    <row r="2157" spans="2:4" s="237" customFormat="1">
      <c r="B2157" s="15" t="str">
        <f t="shared" si="66"/>
        <v/>
      </c>
      <c r="C2157" s="16" t="str">
        <f>IFERROR(VLOOKUP(DATA!#REF!,DATA!#REF!,1,FALSE),"")</f>
        <v/>
      </c>
      <c r="D2157" s="16" t="str">
        <f>IFERROR(VLOOKUP(C2157,DATA!#REF!,2,FALSE),"")</f>
        <v/>
      </c>
    </row>
    <row r="2158" spans="2:4" s="237" customFormat="1">
      <c r="B2158" s="15" t="str">
        <f t="shared" si="66"/>
        <v/>
      </c>
      <c r="C2158" s="16" t="str">
        <f>IFERROR(VLOOKUP(DATA!#REF!,DATA!#REF!,1,FALSE),"")</f>
        <v/>
      </c>
      <c r="D2158" s="16" t="str">
        <f>IFERROR(VLOOKUP(C2158,DATA!#REF!,2,FALSE),"")</f>
        <v/>
      </c>
    </row>
    <row r="2159" spans="2:4" s="237" customFormat="1">
      <c r="B2159" s="15" t="str">
        <f t="shared" si="66"/>
        <v/>
      </c>
      <c r="C2159" s="16" t="str">
        <f>IFERROR(VLOOKUP(DATA!#REF!,DATA!#REF!,1,FALSE),"")</f>
        <v/>
      </c>
      <c r="D2159" s="16" t="str">
        <f>IFERROR(VLOOKUP(C2159,DATA!#REF!,2,FALSE),"")</f>
        <v/>
      </c>
    </row>
    <row r="2160" spans="2:4" s="237" customFormat="1">
      <c r="B2160" s="15" t="str">
        <f t="shared" si="66"/>
        <v/>
      </c>
      <c r="C2160" s="16" t="str">
        <f>IFERROR(VLOOKUP(DATA!#REF!,DATA!#REF!,1,FALSE),"")</f>
        <v/>
      </c>
      <c r="D2160" s="16" t="str">
        <f>IFERROR(VLOOKUP(C2160,DATA!#REF!,2,FALSE),"")</f>
        <v/>
      </c>
    </row>
    <row r="2161" spans="2:4" s="237" customFormat="1">
      <c r="B2161" s="15" t="str">
        <f t="shared" si="66"/>
        <v/>
      </c>
      <c r="C2161" s="16" t="str">
        <f>IFERROR(VLOOKUP(DATA!#REF!,DATA!#REF!,1,FALSE),"")</f>
        <v/>
      </c>
      <c r="D2161" s="16" t="str">
        <f>IFERROR(VLOOKUP(C2161,DATA!#REF!,2,FALSE),"")</f>
        <v/>
      </c>
    </row>
    <row r="2162" spans="2:4" s="237" customFormat="1">
      <c r="B2162" s="15" t="str">
        <f t="shared" si="66"/>
        <v/>
      </c>
      <c r="C2162" s="16" t="str">
        <f>IFERROR(VLOOKUP(DATA!#REF!,DATA!#REF!,1,FALSE),"")</f>
        <v/>
      </c>
      <c r="D2162" s="16" t="str">
        <f>IFERROR(VLOOKUP(C2162,DATA!#REF!,2,FALSE),"")</f>
        <v/>
      </c>
    </row>
    <row r="2163" spans="2:4" s="237" customFormat="1">
      <c r="B2163" s="15" t="str">
        <f t="shared" si="66"/>
        <v/>
      </c>
      <c r="C2163" s="16" t="str">
        <f>IFERROR(VLOOKUP(DATA!#REF!,DATA!#REF!,1,FALSE),"")</f>
        <v/>
      </c>
      <c r="D2163" s="16" t="str">
        <f>IFERROR(VLOOKUP(C2163,DATA!#REF!,2,FALSE),"")</f>
        <v/>
      </c>
    </row>
    <row r="2164" spans="2:4" s="237" customFormat="1">
      <c r="B2164" s="15" t="str">
        <f t="shared" si="66"/>
        <v/>
      </c>
      <c r="C2164" s="16" t="str">
        <f>IFERROR(VLOOKUP(DATA!#REF!,DATA!#REF!,1,FALSE),"")</f>
        <v/>
      </c>
      <c r="D2164" s="16" t="str">
        <f>IFERROR(VLOOKUP(C2164,DATA!#REF!,2,FALSE),"")</f>
        <v/>
      </c>
    </row>
    <row r="2165" spans="2:4" s="237" customFormat="1">
      <c r="B2165" s="15" t="str">
        <f t="shared" si="66"/>
        <v/>
      </c>
      <c r="C2165" s="16" t="str">
        <f>IFERROR(VLOOKUP(DATA!#REF!,DATA!#REF!,1,FALSE),"")</f>
        <v/>
      </c>
      <c r="D2165" s="16" t="str">
        <f>IFERROR(VLOOKUP(C2165,DATA!#REF!,2,FALSE),"")</f>
        <v/>
      </c>
    </row>
    <row r="2166" spans="2:4" s="237" customFormat="1">
      <c r="B2166" s="15" t="str">
        <f t="shared" si="66"/>
        <v/>
      </c>
      <c r="C2166" s="16" t="str">
        <f>IFERROR(VLOOKUP(DATA!#REF!,DATA!#REF!,1,FALSE),"")</f>
        <v/>
      </c>
      <c r="D2166" s="16" t="str">
        <f>IFERROR(VLOOKUP(C2166,DATA!#REF!,2,FALSE),"")</f>
        <v/>
      </c>
    </row>
    <row r="2167" spans="2:4" s="237" customFormat="1">
      <c r="B2167" s="15" t="str">
        <f t="shared" si="66"/>
        <v/>
      </c>
      <c r="C2167" s="16" t="str">
        <f>IFERROR(VLOOKUP(DATA!#REF!,DATA!#REF!,1,FALSE),"")</f>
        <v/>
      </c>
      <c r="D2167" s="16" t="str">
        <f>IFERROR(VLOOKUP(C2167,DATA!#REF!,2,FALSE),"")</f>
        <v/>
      </c>
    </row>
    <row r="2168" spans="2:4" s="237" customFormat="1">
      <c r="B2168" s="15" t="str">
        <f t="shared" si="66"/>
        <v/>
      </c>
      <c r="C2168" s="16" t="str">
        <f>IFERROR(VLOOKUP(DATA!#REF!,DATA!#REF!,1,FALSE),"")</f>
        <v/>
      </c>
      <c r="D2168" s="16" t="str">
        <f>IFERROR(VLOOKUP(C2168,DATA!#REF!,2,FALSE),"")</f>
        <v/>
      </c>
    </row>
    <row r="2169" spans="2:4" s="237" customFormat="1">
      <c r="B2169" s="15" t="str">
        <f t="shared" si="66"/>
        <v/>
      </c>
      <c r="C2169" s="16" t="str">
        <f>IFERROR(VLOOKUP(DATA!#REF!,DATA!#REF!,1,FALSE),"")</f>
        <v/>
      </c>
      <c r="D2169" s="16" t="str">
        <f>IFERROR(VLOOKUP(C2169,DATA!#REF!,2,FALSE),"")</f>
        <v/>
      </c>
    </row>
    <row r="2170" spans="2:4" s="237" customFormat="1">
      <c r="B2170" s="15" t="str">
        <f t="shared" si="66"/>
        <v/>
      </c>
      <c r="C2170" s="16" t="str">
        <f>IFERROR(VLOOKUP(DATA!#REF!,DATA!#REF!,1,FALSE),"")</f>
        <v/>
      </c>
      <c r="D2170" s="16" t="str">
        <f>IFERROR(VLOOKUP(C2170,DATA!#REF!,2,FALSE),"")</f>
        <v/>
      </c>
    </row>
    <row r="2171" spans="2:4" s="237" customFormat="1">
      <c r="B2171" s="15" t="str">
        <f t="shared" si="66"/>
        <v/>
      </c>
      <c r="C2171" s="16" t="str">
        <f>IFERROR(VLOOKUP(DATA!#REF!,DATA!#REF!,1,FALSE),"")</f>
        <v/>
      </c>
      <c r="D2171" s="16" t="str">
        <f>IFERROR(VLOOKUP(C2171,DATA!#REF!,2,FALSE),"")</f>
        <v/>
      </c>
    </row>
    <row r="2172" spans="2:4" s="237" customFormat="1">
      <c r="B2172" s="15" t="str">
        <f t="shared" si="66"/>
        <v/>
      </c>
      <c r="C2172" s="16" t="str">
        <f>IFERROR(VLOOKUP(DATA!#REF!,DATA!#REF!,1,FALSE),"")</f>
        <v/>
      </c>
      <c r="D2172" s="16" t="str">
        <f>IFERROR(VLOOKUP(C2172,DATA!#REF!,2,FALSE),"")</f>
        <v/>
      </c>
    </row>
    <row r="2173" spans="2:4" s="237" customFormat="1">
      <c r="B2173" s="15" t="str">
        <f t="shared" si="66"/>
        <v/>
      </c>
      <c r="C2173" s="16" t="str">
        <f>IFERROR(VLOOKUP(DATA!#REF!,DATA!#REF!,1,FALSE),"")</f>
        <v/>
      </c>
      <c r="D2173" s="16" t="str">
        <f>IFERROR(VLOOKUP(C2173,DATA!#REF!,2,FALSE),"")</f>
        <v/>
      </c>
    </row>
    <row r="2174" spans="2:4" s="237" customFormat="1">
      <c r="B2174" s="15" t="str">
        <f t="shared" si="66"/>
        <v/>
      </c>
      <c r="C2174" s="16" t="str">
        <f>IFERROR(VLOOKUP(DATA!#REF!,DATA!#REF!,1,FALSE),"")</f>
        <v/>
      </c>
      <c r="D2174" s="16" t="str">
        <f>IFERROR(VLOOKUP(C2174,DATA!#REF!,2,FALSE),"")</f>
        <v/>
      </c>
    </row>
    <row r="2175" spans="2:4" s="237" customFormat="1">
      <c r="B2175" s="15" t="str">
        <f t="shared" si="66"/>
        <v/>
      </c>
      <c r="C2175" s="16" t="str">
        <f>IFERROR(VLOOKUP(DATA!#REF!,DATA!#REF!,1,FALSE),"")</f>
        <v/>
      </c>
      <c r="D2175" s="16" t="str">
        <f>IFERROR(VLOOKUP(C2175,DATA!#REF!,2,FALSE),"")</f>
        <v/>
      </c>
    </row>
    <row r="2176" spans="2:4" s="237" customFormat="1">
      <c r="B2176" s="15" t="str">
        <f t="shared" si="66"/>
        <v/>
      </c>
      <c r="C2176" s="16" t="str">
        <f>IFERROR(VLOOKUP(DATA!#REF!,DATA!#REF!,1,FALSE),"")</f>
        <v/>
      </c>
      <c r="D2176" s="16" t="str">
        <f>IFERROR(VLOOKUP(C2176,DATA!#REF!,2,FALSE),"")</f>
        <v/>
      </c>
    </row>
    <row r="2177" spans="2:4" s="237" customFormat="1">
      <c r="B2177" s="15" t="str">
        <f t="shared" si="66"/>
        <v/>
      </c>
      <c r="C2177" s="16" t="str">
        <f>IFERROR(VLOOKUP(DATA!#REF!,DATA!#REF!,1,FALSE),"")</f>
        <v/>
      </c>
      <c r="D2177" s="16" t="str">
        <f>IFERROR(VLOOKUP(C2177,DATA!#REF!,2,FALSE),"")</f>
        <v/>
      </c>
    </row>
    <row r="2178" spans="2:4" s="237" customFormat="1">
      <c r="B2178" s="15" t="str">
        <f t="shared" si="66"/>
        <v/>
      </c>
      <c r="C2178" s="16" t="str">
        <f>IFERROR(VLOOKUP(DATA!#REF!,DATA!#REF!,1,FALSE),"")</f>
        <v/>
      </c>
      <c r="D2178" s="16" t="str">
        <f>IFERROR(VLOOKUP(C2178,DATA!#REF!,2,FALSE),"")</f>
        <v/>
      </c>
    </row>
    <row r="2179" spans="2:4" s="237" customFormat="1">
      <c r="B2179" s="15" t="str">
        <f t="shared" si="66"/>
        <v/>
      </c>
      <c r="C2179" s="16" t="str">
        <f>IFERROR(VLOOKUP(DATA!#REF!,DATA!#REF!,1,FALSE),"")</f>
        <v/>
      </c>
      <c r="D2179" s="16" t="str">
        <f>IFERROR(VLOOKUP(C2179,DATA!#REF!,2,FALSE),"")</f>
        <v/>
      </c>
    </row>
    <row r="2180" spans="2:4" s="237" customFormat="1">
      <c r="B2180" s="15" t="str">
        <f t="shared" si="66"/>
        <v/>
      </c>
      <c r="C2180" s="16" t="str">
        <f>IFERROR(VLOOKUP(DATA!#REF!,DATA!#REF!,1,FALSE),"")</f>
        <v/>
      </c>
      <c r="D2180" s="16" t="str">
        <f>IFERROR(VLOOKUP(C2180,DATA!#REF!,2,FALSE),"")</f>
        <v/>
      </c>
    </row>
    <row r="2181" spans="2:4" s="237" customFormat="1">
      <c r="B2181" s="15" t="str">
        <f t="shared" si="66"/>
        <v/>
      </c>
      <c r="C2181" s="16" t="str">
        <f>IFERROR(VLOOKUP(DATA!#REF!,DATA!#REF!,1,FALSE),"")</f>
        <v/>
      </c>
      <c r="D2181" s="16" t="str">
        <f>IFERROR(VLOOKUP(C2181,DATA!#REF!,2,FALSE),"")</f>
        <v/>
      </c>
    </row>
    <row r="2182" spans="2:4" s="237" customFormat="1">
      <c r="B2182" s="15" t="str">
        <f t="shared" ref="B2182:B2197" si="67">+IF(C2182="","",ROW()-5)</f>
        <v/>
      </c>
      <c r="C2182" s="16" t="str">
        <f>IFERROR(VLOOKUP(DATA!#REF!,DATA!#REF!,1,FALSE),"")</f>
        <v/>
      </c>
      <c r="D2182" s="16" t="str">
        <f>IFERROR(VLOOKUP(C2182,DATA!#REF!,2,FALSE),"")</f>
        <v/>
      </c>
    </row>
    <row r="2183" spans="2:4" s="237" customFormat="1">
      <c r="B2183" s="15" t="str">
        <f t="shared" si="67"/>
        <v/>
      </c>
      <c r="C2183" s="16" t="str">
        <f>IFERROR(VLOOKUP(DATA!#REF!,DATA!#REF!,1,FALSE),"")</f>
        <v/>
      </c>
      <c r="D2183" s="16" t="str">
        <f>IFERROR(VLOOKUP(C2183,DATA!#REF!,2,FALSE),"")</f>
        <v/>
      </c>
    </row>
    <row r="2184" spans="2:4" s="237" customFormat="1">
      <c r="B2184" s="15" t="str">
        <f t="shared" si="67"/>
        <v/>
      </c>
      <c r="C2184" s="16" t="str">
        <f>IFERROR(VLOOKUP(DATA!#REF!,DATA!#REF!,1,FALSE),"")</f>
        <v/>
      </c>
      <c r="D2184" s="16" t="str">
        <f>IFERROR(VLOOKUP(C2184,DATA!#REF!,2,FALSE),"")</f>
        <v/>
      </c>
    </row>
    <row r="2185" spans="2:4" s="237" customFormat="1">
      <c r="B2185" s="15" t="str">
        <f t="shared" si="67"/>
        <v/>
      </c>
      <c r="C2185" s="16" t="str">
        <f>IFERROR(VLOOKUP(DATA!#REF!,DATA!#REF!,1,FALSE),"")</f>
        <v/>
      </c>
      <c r="D2185" s="16" t="str">
        <f>IFERROR(VLOOKUP(C2185,DATA!#REF!,2,FALSE),"")</f>
        <v/>
      </c>
    </row>
    <row r="2186" spans="2:4" s="237" customFormat="1">
      <c r="B2186" s="15" t="str">
        <f t="shared" si="67"/>
        <v/>
      </c>
      <c r="C2186" s="16" t="str">
        <f>IFERROR(VLOOKUP(DATA!#REF!,DATA!#REF!,1,FALSE),"")</f>
        <v/>
      </c>
      <c r="D2186" s="16" t="str">
        <f>IFERROR(VLOOKUP(C2186,DATA!#REF!,2,FALSE),"")</f>
        <v/>
      </c>
    </row>
    <row r="2187" spans="2:4" s="237" customFormat="1">
      <c r="B2187" s="15" t="str">
        <f t="shared" si="67"/>
        <v/>
      </c>
      <c r="C2187" s="16" t="str">
        <f>IFERROR(VLOOKUP(DATA!#REF!,DATA!#REF!,1,FALSE),"")</f>
        <v/>
      </c>
      <c r="D2187" s="16" t="str">
        <f>IFERROR(VLOOKUP(C2187,DATA!#REF!,2,FALSE),"")</f>
        <v/>
      </c>
    </row>
    <row r="2188" spans="2:4" s="237" customFormat="1">
      <c r="B2188" s="15" t="str">
        <f t="shared" si="67"/>
        <v/>
      </c>
      <c r="C2188" s="16" t="str">
        <f>IFERROR(VLOOKUP(DATA!#REF!,DATA!#REF!,1,FALSE),"")</f>
        <v/>
      </c>
      <c r="D2188" s="16" t="str">
        <f>IFERROR(VLOOKUP(C2188,DATA!#REF!,2,FALSE),"")</f>
        <v/>
      </c>
    </row>
    <row r="2189" spans="2:4" s="237" customFormat="1">
      <c r="B2189" s="15" t="str">
        <f t="shared" si="67"/>
        <v/>
      </c>
      <c r="C2189" s="16" t="str">
        <f>IFERROR(VLOOKUP(DATA!#REF!,DATA!#REF!,1,FALSE),"")</f>
        <v/>
      </c>
      <c r="D2189" s="16" t="str">
        <f>IFERROR(VLOOKUP(C2189,DATA!#REF!,2,FALSE),"")</f>
        <v/>
      </c>
    </row>
    <row r="2190" spans="2:4" s="237" customFormat="1">
      <c r="B2190" s="15" t="str">
        <f t="shared" si="67"/>
        <v/>
      </c>
      <c r="C2190" s="16" t="str">
        <f>IFERROR(VLOOKUP(DATA!#REF!,DATA!#REF!,1,FALSE),"")</f>
        <v/>
      </c>
      <c r="D2190" s="16" t="str">
        <f>IFERROR(VLOOKUP(C2190,DATA!#REF!,2,FALSE),"")</f>
        <v/>
      </c>
    </row>
    <row r="2191" spans="2:4" s="237" customFormat="1">
      <c r="B2191" s="15" t="str">
        <f t="shared" si="67"/>
        <v/>
      </c>
      <c r="C2191" s="16" t="str">
        <f>IFERROR(VLOOKUP(DATA!#REF!,DATA!#REF!,1,FALSE),"")</f>
        <v/>
      </c>
      <c r="D2191" s="16" t="str">
        <f>IFERROR(VLOOKUP(C2191,DATA!#REF!,2,FALSE),"")</f>
        <v/>
      </c>
    </row>
    <row r="2192" spans="2:4" s="237" customFormat="1">
      <c r="B2192" s="15" t="str">
        <f t="shared" si="67"/>
        <v/>
      </c>
      <c r="C2192" s="16" t="str">
        <f>IFERROR(VLOOKUP(DATA!#REF!,DATA!#REF!,1,FALSE),"")</f>
        <v/>
      </c>
      <c r="D2192" s="16" t="str">
        <f>IFERROR(VLOOKUP(C2192,DATA!#REF!,2,FALSE),"")</f>
        <v/>
      </c>
    </row>
    <row r="2193" spans="2:4" s="237" customFormat="1">
      <c r="B2193" s="15" t="str">
        <f t="shared" si="67"/>
        <v/>
      </c>
      <c r="C2193" s="16" t="str">
        <f>IFERROR(VLOOKUP(DATA!#REF!,DATA!#REF!,1,FALSE),"")</f>
        <v/>
      </c>
      <c r="D2193" s="16" t="str">
        <f>IFERROR(VLOOKUP(C2193,DATA!#REF!,2,FALSE),"")</f>
        <v/>
      </c>
    </row>
    <row r="2194" spans="2:4" s="237" customFormat="1">
      <c r="B2194" s="15" t="str">
        <f t="shared" si="67"/>
        <v/>
      </c>
      <c r="C2194" s="16" t="str">
        <f>IFERROR(VLOOKUP(DATA!#REF!,DATA!#REF!,1,FALSE),"")</f>
        <v/>
      </c>
      <c r="D2194" s="16" t="str">
        <f>IFERROR(VLOOKUP(C2194,DATA!#REF!,2,FALSE),"")</f>
        <v/>
      </c>
    </row>
    <row r="2195" spans="2:4" s="237" customFormat="1">
      <c r="B2195" s="15" t="str">
        <f t="shared" si="67"/>
        <v/>
      </c>
      <c r="C2195" s="16" t="str">
        <f>IFERROR(VLOOKUP(DATA!#REF!,DATA!#REF!,1,FALSE),"")</f>
        <v/>
      </c>
      <c r="D2195" s="16" t="str">
        <f>IFERROR(VLOOKUP(C2195,DATA!#REF!,2,FALSE),"")</f>
        <v/>
      </c>
    </row>
    <row r="2196" spans="2:4" s="237" customFormat="1">
      <c r="B2196" s="15" t="str">
        <f t="shared" si="67"/>
        <v/>
      </c>
      <c r="C2196" s="16" t="str">
        <f>IFERROR(VLOOKUP(DATA!#REF!,DATA!#REF!,1,FALSE),"")</f>
        <v/>
      </c>
      <c r="D2196" s="16" t="str">
        <f>IFERROR(VLOOKUP(C2196,DATA!#REF!,2,FALSE),"")</f>
        <v/>
      </c>
    </row>
    <row r="2197" spans="2:4" s="237" customFormat="1">
      <c r="B2197" s="15" t="str">
        <f t="shared" si="67"/>
        <v/>
      </c>
      <c r="C2197" s="16" t="str">
        <f>IFERROR(VLOOKUP(DATA!#REF!,DATA!#REF!,1,FALSE),"")</f>
        <v/>
      </c>
      <c r="D2197" s="16" t="str">
        <f>IFERROR(VLOOKUP(C2197,DATA!#REF!,2,FALSE),"")</f>
        <v/>
      </c>
    </row>
    <row r="2198" spans="2:4" s="237" customFormat="1">
      <c r="B2198" s="15"/>
      <c r="C2198" s="16" t="str">
        <f>IFERROR(VLOOKUP(DATA!#REF!,DATA!#REF!,1,FALSE),"")</f>
        <v/>
      </c>
      <c r="D2198" s="16" t="str">
        <f>IFERROR(VLOOKUP(C2198,DATA!#REF!,2,FALSE),"")</f>
        <v/>
      </c>
    </row>
    <row r="2199" spans="2:4" s="237" customFormat="1">
      <c r="B2199" s="15"/>
      <c r="C2199" s="16" t="str">
        <f>IFERROR(VLOOKUP(DATA!#REF!,DATA!#REF!,1,FALSE),"")</f>
        <v/>
      </c>
      <c r="D2199" s="16" t="str">
        <f>IFERROR(VLOOKUP(C2199,DATA!#REF!,2,FALSE),"")</f>
        <v/>
      </c>
    </row>
    <row r="2200" spans="2:4" s="237" customFormat="1">
      <c r="B2200" s="15"/>
      <c r="C2200" s="16" t="str">
        <f>IFERROR(VLOOKUP(DATA!#REF!,DATA!#REF!,1,FALSE),"")</f>
        <v/>
      </c>
      <c r="D2200" s="16" t="str">
        <f>IFERROR(VLOOKUP(C2200,DATA!#REF!,2,FALSE),"")</f>
        <v/>
      </c>
    </row>
    <row r="2201" spans="2:4" s="237" customFormat="1">
      <c r="B2201" s="15"/>
      <c r="C2201" s="16" t="str">
        <f>IFERROR(VLOOKUP(DATA!#REF!,DATA!#REF!,1,FALSE),"")</f>
        <v/>
      </c>
      <c r="D2201" s="16" t="str">
        <f>IFERROR(VLOOKUP(C2201,DATA!#REF!,2,FALSE),"")</f>
        <v/>
      </c>
    </row>
    <row r="2202" spans="2:4" s="237" customFormat="1">
      <c r="B2202" s="15"/>
      <c r="C2202" s="16" t="str">
        <f>IFERROR(VLOOKUP(DATA!#REF!,DATA!#REF!,1,FALSE),"")</f>
        <v/>
      </c>
      <c r="D2202" s="16" t="str">
        <f>IFERROR(VLOOKUP(C2202,DATA!#REF!,2,FALSE),"")</f>
        <v/>
      </c>
    </row>
    <row r="2203" spans="2:4" s="237" customFormat="1">
      <c r="B2203" s="15"/>
      <c r="C2203" s="16" t="str">
        <f>IFERROR(VLOOKUP(DATA!#REF!,DATA!#REF!,1,FALSE),"")</f>
        <v/>
      </c>
      <c r="D2203" s="16" t="str">
        <f>IFERROR(VLOOKUP(C2203,DATA!#REF!,2,FALSE),"")</f>
        <v/>
      </c>
    </row>
    <row r="2204" spans="2:4" s="237" customFormat="1">
      <c r="B2204" s="15"/>
      <c r="C2204" s="16" t="str">
        <f>IFERROR(VLOOKUP(DATA!#REF!,DATA!#REF!,1,FALSE),"")</f>
        <v/>
      </c>
      <c r="D2204" s="16" t="str">
        <f>IFERROR(VLOOKUP(C2204,DATA!#REF!,2,FALSE),"")</f>
        <v/>
      </c>
    </row>
    <row r="2205" spans="2:4" s="237" customFormat="1">
      <c r="B2205" s="15"/>
      <c r="C2205" s="16" t="str">
        <f>IFERROR(VLOOKUP(DATA!#REF!,DATA!#REF!,1,FALSE),"")</f>
        <v/>
      </c>
      <c r="D2205" s="16" t="str">
        <f>IFERROR(VLOOKUP(C2205,DATA!#REF!,2,FALSE),"")</f>
        <v/>
      </c>
    </row>
    <row r="2206" spans="2:4" s="237" customFormat="1">
      <c r="B2206" s="15"/>
      <c r="C2206" s="16" t="str">
        <f>IFERROR(VLOOKUP(DATA!#REF!,DATA!#REF!,1,FALSE),"")</f>
        <v/>
      </c>
      <c r="D2206" s="16" t="str">
        <f>IFERROR(VLOOKUP(C2206,DATA!#REF!,2,FALSE),"")</f>
        <v/>
      </c>
    </row>
    <row r="2207" spans="2:4" s="237" customFormat="1">
      <c r="B2207" s="15"/>
      <c r="C2207" s="16" t="str">
        <f>IFERROR(VLOOKUP(DATA!#REF!,DATA!#REF!,1,FALSE),"")</f>
        <v/>
      </c>
      <c r="D2207" s="16" t="str">
        <f>IFERROR(VLOOKUP(C2207,DATA!#REF!,2,FALSE),"")</f>
        <v/>
      </c>
    </row>
    <row r="2208" spans="2:4" s="237" customFormat="1">
      <c r="B2208" s="15"/>
      <c r="C2208" s="16" t="str">
        <f>IFERROR(VLOOKUP(DATA!#REF!,DATA!#REF!,1,FALSE),"")</f>
        <v/>
      </c>
      <c r="D2208" s="16" t="str">
        <f>IFERROR(VLOOKUP(C2208,DATA!#REF!,2,FALSE),"")</f>
        <v/>
      </c>
    </row>
    <row r="2209" spans="3:4" s="237" customFormat="1">
      <c r="C2209" s="16" t="str">
        <f>IFERROR(VLOOKUP(DATA!#REF!,DATA!#REF!,1,FALSE),"")</f>
        <v/>
      </c>
      <c r="D2209" s="16" t="str">
        <f>IFERROR(VLOOKUP(C2209,DATA!#REF!,2,FALSE),"")</f>
        <v/>
      </c>
    </row>
    <row r="2210" spans="3:4" s="237" customFormat="1">
      <c r="C2210" s="16" t="str">
        <f>IFERROR(VLOOKUP(DATA!#REF!,DATA!#REF!,1,FALSE),"")</f>
        <v/>
      </c>
      <c r="D2210" s="16" t="str">
        <f>IFERROR(VLOOKUP(C2210,DATA!#REF!,2,FALSE),"")</f>
        <v/>
      </c>
    </row>
    <row r="2211" spans="3:4" s="237" customFormat="1">
      <c r="C2211" s="16" t="str">
        <f>IFERROR(VLOOKUP(DATA!#REF!,DATA!#REF!,1,FALSE),"")</f>
        <v/>
      </c>
      <c r="D2211" s="16" t="str">
        <f>IFERROR(VLOOKUP(C2211,DATA!#REF!,2,FALSE),"")</f>
        <v/>
      </c>
    </row>
    <row r="2212" spans="3:4" s="237" customFormat="1">
      <c r="C2212" s="16" t="str">
        <f>IFERROR(VLOOKUP(DATA!#REF!,DATA!#REF!,1,FALSE),"")</f>
        <v/>
      </c>
      <c r="D2212" s="16" t="str">
        <f>IFERROR(VLOOKUP(C2212,DATA!#REF!,2,FALSE),"")</f>
        <v/>
      </c>
    </row>
    <row r="2213" spans="3:4" s="237" customFormat="1">
      <c r="C2213" s="16" t="str">
        <f>IFERROR(VLOOKUP(DATA!#REF!,DATA!#REF!,1,FALSE),"")</f>
        <v/>
      </c>
      <c r="D2213" s="16" t="str">
        <f>IFERROR(VLOOKUP(C2213,DATA!#REF!,2,FALSE),"")</f>
        <v/>
      </c>
    </row>
    <row r="2214" spans="3:4" s="237" customFormat="1">
      <c r="C2214" s="16" t="str">
        <f>IFERROR(VLOOKUP(DATA!#REF!,DATA!#REF!,1,FALSE),"")</f>
        <v/>
      </c>
      <c r="D2214" s="16" t="str">
        <f>IFERROR(VLOOKUP(C2214,DATA!#REF!,2,FALSE),"")</f>
        <v/>
      </c>
    </row>
    <row r="2215" spans="3:4" s="237" customFormat="1">
      <c r="C2215" s="16" t="str">
        <f>IFERROR(VLOOKUP(DATA!#REF!,DATA!#REF!,1,FALSE),"")</f>
        <v/>
      </c>
      <c r="D2215" s="16" t="str">
        <f>IFERROR(VLOOKUP(C2215,DATA!#REF!,2,FALSE),"")</f>
        <v/>
      </c>
    </row>
    <row r="2216" spans="3:4" s="237" customFormat="1">
      <c r="C2216" s="16" t="str">
        <f>IFERROR(VLOOKUP(DATA!#REF!,DATA!#REF!,1,FALSE),"")</f>
        <v/>
      </c>
      <c r="D2216" s="16" t="str">
        <f>IFERROR(VLOOKUP(C2216,DATA!#REF!,2,FALSE),"")</f>
        <v/>
      </c>
    </row>
    <row r="2217" spans="3:4" s="237" customFormat="1">
      <c r="C2217" s="16" t="str">
        <f>IFERROR(VLOOKUP(DATA!#REF!,DATA!#REF!,1,FALSE),"")</f>
        <v/>
      </c>
      <c r="D2217" s="16" t="str">
        <f>IFERROR(VLOOKUP(C2217,DATA!#REF!,2,FALSE),"")</f>
        <v/>
      </c>
    </row>
    <row r="2218" spans="3:4" s="237" customFormat="1">
      <c r="C2218" s="16" t="str">
        <f>IFERROR(VLOOKUP(DATA!#REF!,DATA!#REF!,1,FALSE),"")</f>
        <v/>
      </c>
      <c r="D2218" s="16" t="str">
        <f>IFERROR(VLOOKUP(C2218,DATA!#REF!,2,FALSE),"")</f>
        <v/>
      </c>
    </row>
    <row r="2219" spans="3:4" s="237" customFormat="1">
      <c r="C2219" s="16" t="str">
        <f>IFERROR(VLOOKUP(DATA!#REF!,DATA!#REF!,1,FALSE),"")</f>
        <v/>
      </c>
      <c r="D2219" s="16" t="str">
        <f>IFERROR(VLOOKUP(C2219,DATA!#REF!,2,FALSE),"")</f>
        <v/>
      </c>
    </row>
    <row r="2220" spans="3:4" s="237" customFormat="1">
      <c r="C2220" s="16" t="str">
        <f>IFERROR(VLOOKUP(DATA!#REF!,DATA!#REF!,1,FALSE),"")</f>
        <v/>
      </c>
      <c r="D2220" s="16" t="str">
        <f>IFERROR(VLOOKUP(C2220,DATA!#REF!,2,FALSE),"")</f>
        <v/>
      </c>
    </row>
    <row r="2221" spans="3:4" s="237" customFormat="1">
      <c r="C2221" s="16" t="str">
        <f>IFERROR(VLOOKUP(DATA!#REF!,DATA!#REF!,1,FALSE),"")</f>
        <v/>
      </c>
      <c r="D2221" s="16" t="str">
        <f>IFERROR(VLOOKUP(C2221,DATA!#REF!,2,FALSE),"")</f>
        <v/>
      </c>
    </row>
    <row r="2222" spans="3:4" s="237" customFormat="1">
      <c r="C2222" s="16" t="str">
        <f>IFERROR(VLOOKUP(DATA!#REF!,DATA!#REF!,1,FALSE),"")</f>
        <v/>
      </c>
      <c r="D2222" s="16" t="str">
        <f>IFERROR(VLOOKUP(C2222,DATA!#REF!,2,FALSE),"")</f>
        <v/>
      </c>
    </row>
    <row r="2223" spans="3:4" s="237" customFormat="1">
      <c r="C2223" s="16" t="str">
        <f>IFERROR(VLOOKUP(DATA!#REF!,DATA!#REF!,1,FALSE),"")</f>
        <v/>
      </c>
      <c r="D2223" s="16" t="str">
        <f>IFERROR(VLOOKUP(C2223,DATA!#REF!,2,FALSE),"")</f>
        <v/>
      </c>
    </row>
    <row r="2224" spans="3:4" s="237" customFormat="1">
      <c r="C2224" s="16" t="str">
        <f>IFERROR(VLOOKUP(DATA!#REF!,DATA!#REF!,1,FALSE),"")</f>
        <v/>
      </c>
      <c r="D2224" s="16" t="str">
        <f>IFERROR(VLOOKUP(C2224,DATA!#REF!,2,FALSE),"")</f>
        <v/>
      </c>
    </row>
    <row r="2225" spans="3:4" s="237" customFormat="1">
      <c r="C2225" s="16" t="str">
        <f>IFERROR(VLOOKUP(DATA!#REF!,DATA!#REF!,1,FALSE),"")</f>
        <v/>
      </c>
      <c r="D2225" s="16" t="str">
        <f>IFERROR(VLOOKUP(C2225,DATA!#REF!,2,FALSE),"")</f>
        <v/>
      </c>
    </row>
    <row r="2226" spans="3:4" s="237" customFormat="1">
      <c r="C2226" s="16" t="str">
        <f>IFERROR(VLOOKUP(DATA!#REF!,DATA!#REF!,1,FALSE),"")</f>
        <v/>
      </c>
      <c r="D2226" s="16" t="str">
        <f>IFERROR(VLOOKUP(C2226,DATA!#REF!,2,FALSE),"")</f>
        <v/>
      </c>
    </row>
    <row r="2227" spans="3:4" s="237" customFormat="1">
      <c r="C2227" s="16" t="str">
        <f>IFERROR(VLOOKUP(DATA!#REF!,DATA!#REF!,1,FALSE),"")</f>
        <v/>
      </c>
      <c r="D2227" s="16" t="str">
        <f>IFERROR(VLOOKUP(C2227,DATA!#REF!,2,FALSE),"")</f>
        <v/>
      </c>
    </row>
    <row r="2228" spans="3:4" s="237" customFormat="1">
      <c r="C2228" s="16" t="str">
        <f>IFERROR(VLOOKUP(DATA!#REF!,DATA!#REF!,1,FALSE),"")</f>
        <v/>
      </c>
      <c r="D2228" s="16" t="str">
        <f>IFERROR(VLOOKUP(C2228,DATA!#REF!,2,FALSE),"")</f>
        <v/>
      </c>
    </row>
    <row r="2229" spans="3:4" s="237" customFormat="1">
      <c r="C2229" s="16" t="str">
        <f>IFERROR(VLOOKUP(DATA!#REF!,DATA!#REF!,1,FALSE),"")</f>
        <v/>
      </c>
      <c r="D2229" s="16" t="str">
        <f>IFERROR(VLOOKUP(C2229,DATA!#REF!,2,FALSE),"")</f>
        <v/>
      </c>
    </row>
    <row r="2230" spans="3:4" s="237" customFormat="1">
      <c r="C2230" s="16" t="str">
        <f>IFERROR(VLOOKUP(DATA!#REF!,DATA!#REF!,1,FALSE),"")</f>
        <v/>
      </c>
      <c r="D2230" s="16" t="str">
        <f>IFERROR(VLOOKUP(C2230,DATA!#REF!,2,FALSE),"")</f>
        <v/>
      </c>
    </row>
    <row r="2231" spans="3:4" s="237" customFormat="1">
      <c r="C2231" s="16" t="str">
        <f>IFERROR(VLOOKUP(DATA!#REF!,DATA!#REF!,1,FALSE),"")</f>
        <v/>
      </c>
      <c r="D2231" s="16" t="str">
        <f>IFERROR(VLOOKUP(C2231,DATA!#REF!,2,FALSE),"")</f>
        <v/>
      </c>
    </row>
    <row r="2232" spans="3:4" s="237" customFormat="1">
      <c r="C2232" s="16" t="str">
        <f>IFERROR(VLOOKUP(DATA!#REF!,DATA!#REF!,1,FALSE),"")</f>
        <v/>
      </c>
      <c r="D2232" s="16" t="str">
        <f>IFERROR(VLOOKUP(C2232,DATA!#REF!,2,FALSE),"")</f>
        <v/>
      </c>
    </row>
    <row r="2233" spans="3:4" s="237" customFormat="1">
      <c r="C2233" s="16" t="str">
        <f>IFERROR(VLOOKUP(DATA!#REF!,DATA!#REF!,1,FALSE),"")</f>
        <v/>
      </c>
      <c r="D2233" s="16" t="str">
        <f>IFERROR(VLOOKUP(C2233,DATA!#REF!,2,FALSE),"")</f>
        <v/>
      </c>
    </row>
    <row r="2234" spans="3:4" s="237" customFormat="1">
      <c r="C2234" s="16" t="str">
        <f>IFERROR(VLOOKUP(DATA!#REF!,DATA!#REF!,1,FALSE),"")</f>
        <v/>
      </c>
      <c r="D2234" s="16" t="str">
        <f>IFERROR(VLOOKUP(C2234,DATA!#REF!,2,FALSE),"")</f>
        <v/>
      </c>
    </row>
    <row r="2235" spans="3:4" s="237" customFormat="1">
      <c r="C2235" s="16" t="str">
        <f>IFERROR(VLOOKUP(DATA!#REF!,DATA!#REF!,1,FALSE),"")</f>
        <v/>
      </c>
      <c r="D2235" s="16" t="str">
        <f>IFERROR(VLOOKUP(C2235,DATA!#REF!,2,FALSE),"")</f>
        <v/>
      </c>
    </row>
    <row r="2236" spans="3:4" s="237" customFormat="1">
      <c r="C2236" s="16" t="str">
        <f>IFERROR(VLOOKUP(DATA!#REF!,DATA!#REF!,1,FALSE),"")</f>
        <v/>
      </c>
      <c r="D2236" s="16" t="str">
        <f>IFERROR(VLOOKUP(C2236,DATA!#REF!,2,FALSE),"")</f>
        <v/>
      </c>
    </row>
    <row r="2237" spans="3:4" s="237" customFormat="1">
      <c r="C2237" s="16" t="str">
        <f>IFERROR(VLOOKUP(DATA!#REF!,DATA!#REF!,1,FALSE),"")</f>
        <v/>
      </c>
      <c r="D2237" s="16" t="str">
        <f>IFERROR(VLOOKUP(C2237,DATA!#REF!,2,FALSE),"")</f>
        <v/>
      </c>
    </row>
    <row r="2238" spans="3:4" s="237" customFormat="1">
      <c r="C2238" s="16" t="str">
        <f>IFERROR(VLOOKUP(DATA!#REF!,DATA!#REF!,1,FALSE),"")</f>
        <v/>
      </c>
      <c r="D2238" s="16" t="str">
        <f>IFERROR(VLOOKUP(C2238,DATA!#REF!,2,FALSE),"")</f>
        <v/>
      </c>
    </row>
    <row r="2239" spans="3:4" s="237" customFormat="1">
      <c r="C2239" s="16" t="str">
        <f>IFERROR(VLOOKUP(DATA!#REF!,DATA!#REF!,1,FALSE),"")</f>
        <v/>
      </c>
      <c r="D2239" s="16" t="str">
        <f>IFERROR(VLOOKUP(C2239,DATA!#REF!,2,FALSE),"")</f>
        <v/>
      </c>
    </row>
    <row r="2240" spans="3:4" s="237" customFormat="1">
      <c r="C2240" s="16" t="str">
        <f>IFERROR(VLOOKUP(DATA!#REF!,DATA!#REF!,1,FALSE),"")</f>
        <v/>
      </c>
      <c r="D2240" s="16" t="str">
        <f>IFERROR(VLOOKUP(C2240,DATA!#REF!,2,FALSE),"")</f>
        <v/>
      </c>
    </row>
    <row r="2241" spans="3:4" s="237" customFormat="1">
      <c r="C2241" s="16" t="str">
        <f>IFERROR(VLOOKUP(DATA!#REF!,DATA!#REF!,1,FALSE),"")</f>
        <v/>
      </c>
      <c r="D2241" s="16" t="str">
        <f>IFERROR(VLOOKUP(C2241,DATA!#REF!,2,FALSE),"")</f>
        <v/>
      </c>
    </row>
    <row r="2242" spans="3:4" s="237" customFormat="1">
      <c r="C2242" s="16" t="str">
        <f>IFERROR(VLOOKUP(DATA!#REF!,DATA!#REF!,1,FALSE),"")</f>
        <v/>
      </c>
      <c r="D2242" s="16" t="str">
        <f>IFERROR(VLOOKUP(C2242,DATA!#REF!,2,FALSE),"")</f>
        <v/>
      </c>
    </row>
    <row r="2243" spans="3:4" s="237" customFormat="1">
      <c r="C2243" s="16" t="str">
        <f>IFERROR(VLOOKUP(DATA!#REF!,DATA!#REF!,1,FALSE),"")</f>
        <v/>
      </c>
      <c r="D2243" s="16" t="str">
        <f>IFERROR(VLOOKUP(C2243,DATA!#REF!,2,FALSE),"")</f>
        <v/>
      </c>
    </row>
    <row r="2244" spans="3:4" s="237" customFormat="1">
      <c r="C2244" s="16" t="str">
        <f>IFERROR(VLOOKUP(DATA!#REF!,DATA!#REF!,1,FALSE),"")</f>
        <v/>
      </c>
      <c r="D2244" s="16" t="str">
        <f>IFERROR(VLOOKUP(C2244,DATA!#REF!,2,FALSE),"")</f>
        <v/>
      </c>
    </row>
    <row r="2245" spans="3:4" s="237" customFormat="1">
      <c r="C2245" s="16" t="str">
        <f>IFERROR(VLOOKUP(DATA!#REF!,DATA!#REF!,1,FALSE),"")</f>
        <v/>
      </c>
      <c r="D2245" s="16" t="str">
        <f>IFERROR(VLOOKUP(C2245,DATA!#REF!,2,FALSE),"")</f>
        <v/>
      </c>
    </row>
    <row r="2246" spans="3:4" s="237" customFormat="1">
      <c r="C2246" s="16" t="str">
        <f>IFERROR(VLOOKUP(DATA!#REF!,DATA!#REF!,1,FALSE),"")</f>
        <v/>
      </c>
      <c r="D2246" s="16" t="str">
        <f>IFERROR(VLOOKUP(C2246,DATA!#REF!,2,FALSE),"")</f>
        <v/>
      </c>
    </row>
    <row r="2247" spans="3:4" s="237" customFormat="1">
      <c r="C2247" s="16" t="str">
        <f>IFERROR(VLOOKUP(DATA!#REF!,DATA!#REF!,1,FALSE),"")</f>
        <v/>
      </c>
      <c r="D2247" s="16" t="str">
        <f>IFERROR(VLOOKUP(C2247,DATA!#REF!,2,FALSE),"")</f>
        <v/>
      </c>
    </row>
    <row r="2248" spans="3:4" s="237" customFormat="1">
      <c r="C2248" s="16" t="str">
        <f>IFERROR(VLOOKUP(DATA!#REF!,DATA!#REF!,1,FALSE),"")</f>
        <v/>
      </c>
      <c r="D2248" s="16" t="str">
        <f>IFERROR(VLOOKUP(C2248,DATA!#REF!,2,FALSE),"")</f>
        <v/>
      </c>
    </row>
    <row r="2249" spans="3:4" s="237" customFormat="1">
      <c r="C2249" s="16" t="str">
        <f>IFERROR(VLOOKUP(DATA!#REF!,DATA!#REF!,1,FALSE),"")</f>
        <v/>
      </c>
      <c r="D2249" s="16" t="str">
        <f>IFERROR(VLOOKUP(C2249,DATA!#REF!,2,FALSE),"")</f>
        <v/>
      </c>
    </row>
    <row r="2250" spans="3:4" s="237" customFormat="1">
      <c r="C2250" s="16" t="str">
        <f>IFERROR(VLOOKUP(DATA!#REF!,DATA!#REF!,1,FALSE),"")</f>
        <v/>
      </c>
      <c r="D2250" s="16" t="str">
        <f>IFERROR(VLOOKUP(C2250,DATA!#REF!,2,FALSE),"")</f>
        <v/>
      </c>
    </row>
    <row r="2251" spans="3:4" s="237" customFormat="1">
      <c r="C2251" s="16" t="str">
        <f>IFERROR(VLOOKUP(DATA!#REF!,DATA!#REF!,1,FALSE),"")</f>
        <v/>
      </c>
      <c r="D2251" s="16" t="str">
        <f>IFERROR(VLOOKUP(C2251,DATA!#REF!,2,FALSE),"")</f>
        <v/>
      </c>
    </row>
    <row r="2252" spans="3:4" s="237" customFormat="1">
      <c r="C2252" s="16" t="str">
        <f>IFERROR(VLOOKUP(DATA!#REF!,DATA!#REF!,1,FALSE),"")</f>
        <v/>
      </c>
      <c r="D2252" s="16" t="str">
        <f>IFERROR(VLOOKUP(C2252,DATA!#REF!,2,FALSE),"")</f>
        <v/>
      </c>
    </row>
    <row r="2253" spans="3:4" s="237" customFormat="1">
      <c r="C2253" s="16" t="str">
        <f>IFERROR(VLOOKUP(DATA!#REF!,DATA!#REF!,1,FALSE),"")</f>
        <v/>
      </c>
      <c r="D2253" s="16" t="str">
        <f>IFERROR(VLOOKUP(C2253,DATA!#REF!,2,FALSE),"")</f>
        <v/>
      </c>
    </row>
    <row r="2254" spans="3:4" s="237" customFormat="1">
      <c r="C2254" s="16" t="str">
        <f>IFERROR(VLOOKUP(DATA!#REF!,DATA!#REF!,1,FALSE),"")</f>
        <v/>
      </c>
      <c r="D2254" s="16" t="str">
        <f>IFERROR(VLOOKUP(C2254,DATA!#REF!,2,FALSE),"")</f>
        <v/>
      </c>
    </row>
    <row r="2255" spans="3:4" s="237" customFormat="1">
      <c r="C2255" s="16" t="str">
        <f>IFERROR(VLOOKUP(DATA!#REF!,DATA!#REF!,1,FALSE),"")</f>
        <v/>
      </c>
      <c r="D2255" s="16" t="str">
        <f>IFERROR(VLOOKUP(C2255,DATA!#REF!,2,FALSE),"")</f>
        <v/>
      </c>
    </row>
    <row r="2256" spans="3:4" s="237" customFormat="1">
      <c r="C2256" s="16" t="str">
        <f>IFERROR(VLOOKUP(DATA!#REF!,DATA!#REF!,1,FALSE),"")</f>
        <v/>
      </c>
      <c r="D2256" s="16" t="str">
        <f>IFERROR(VLOOKUP(C2256,DATA!#REF!,2,FALSE),"")</f>
        <v/>
      </c>
    </row>
    <row r="2257" spans="3:4" s="237" customFormat="1">
      <c r="C2257" s="16" t="str">
        <f>IFERROR(VLOOKUP(DATA!#REF!,DATA!#REF!,1,FALSE),"")</f>
        <v/>
      </c>
      <c r="D2257" s="16" t="str">
        <f>IFERROR(VLOOKUP(C2257,DATA!#REF!,2,FALSE),"")</f>
        <v/>
      </c>
    </row>
    <row r="2258" spans="3:4" s="237" customFormat="1">
      <c r="C2258" s="16" t="str">
        <f>IFERROR(VLOOKUP(DATA!#REF!,DATA!#REF!,1,FALSE),"")</f>
        <v/>
      </c>
      <c r="D2258" s="16" t="str">
        <f>IFERROR(VLOOKUP(C2258,DATA!#REF!,2,FALSE),"")</f>
        <v/>
      </c>
    </row>
    <row r="2259" spans="3:4" s="237" customFormat="1">
      <c r="C2259" s="16" t="str">
        <f>IFERROR(VLOOKUP(DATA!#REF!,DATA!#REF!,1,FALSE),"")</f>
        <v/>
      </c>
      <c r="D2259" s="16" t="str">
        <f>IFERROR(VLOOKUP(C2259,DATA!#REF!,2,FALSE),"")</f>
        <v/>
      </c>
    </row>
    <row r="2260" spans="3:4" s="237" customFormat="1">
      <c r="C2260" s="16" t="str">
        <f>IFERROR(VLOOKUP(DATA!#REF!,DATA!#REF!,1,FALSE),"")</f>
        <v/>
      </c>
      <c r="D2260" s="16" t="str">
        <f>IFERROR(VLOOKUP(C2260,DATA!#REF!,2,FALSE),"")</f>
        <v/>
      </c>
    </row>
    <row r="2261" spans="3:4" s="237" customFormat="1">
      <c r="C2261" s="16" t="str">
        <f>IFERROR(VLOOKUP(DATA!#REF!,DATA!#REF!,1,FALSE),"")</f>
        <v/>
      </c>
      <c r="D2261" s="16" t="str">
        <f>IFERROR(VLOOKUP(C2261,DATA!#REF!,2,FALSE),"")</f>
        <v/>
      </c>
    </row>
    <row r="2262" spans="3:4" s="237" customFormat="1">
      <c r="C2262" s="16" t="str">
        <f>IFERROR(VLOOKUP(DATA!#REF!,DATA!#REF!,1,FALSE),"")</f>
        <v/>
      </c>
      <c r="D2262" s="16" t="str">
        <f>IFERROR(VLOOKUP(C2262,DATA!#REF!,2,FALSE),"")</f>
        <v/>
      </c>
    </row>
    <row r="2263" spans="3:4" s="237" customFormat="1">
      <c r="C2263" s="16" t="str">
        <f>IFERROR(VLOOKUP(DATA!#REF!,DATA!#REF!,1,FALSE),"")</f>
        <v/>
      </c>
      <c r="D2263" s="16" t="str">
        <f>IFERROR(VLOOKUP(C2263,DATA!#REF!,2,FALSE),"")</f>
        <v/>
      </c>
    </row>
    <row r="2264" spans="3:4" s="237" customFormat="1">
      <c r="C2264" s="16" t="str">
        <f>IFERROR(VLOOKUP(DATA!#REF!,DATA!#REF!,1,FALSE),"")</f>
        <v/>
      </c>
      <c r="D2264" s="16" t="str">
        <f>IFERROR(VLOOKUP(C2264,DATA!#REF!,2,FALSE),"")</f>
        <v/>
      </c>
    </row>
    <row r="2265" spans="3:4" s="237" customFormat="1">
      <c r="C2265" s="16" t="str">
        <f>IFERROR(VLOOKUP(DATA!#REF!,DATA!#REF!,1,FALSE),"")</f>
        <v/>
      </c>
      <c r="D2265" s="16" t="str">
        <f>IFERROR(VLOOKUP(C2265,DATA!#REF!,2,FALSE),"")</f>
        <v/>
      </c>
    </row>
    <row r="2266" spans="3:4" s="237" customFormat="1">
      <c r="C2266" s="16" t="str">
        <f>IFERROR(VLOOKUP(DATA!#REF!,DATA!#REF!,1,FALSE),"")</f>
        <v/>
      </c>
      <c r="D2266" s="16" t="str">
        <f>IFERROR(VLOOKUP(C2266,DATA!#REF!,2,FALSE),"")</f>
        <v/>
      </c>
    </row>
    <row r="2267" spans="3:4" s="237" customFormat="1">
      <c r="C2267" s="16" t="str">
        <f>IFERROR(VLOOKUP(DATA!#REF!,DATA!#REF!,1,FALSE),"")</f>
        <v/>
      </c>
      <c r="D2267" s="16" t="str">
        <f>IFERROR(VLOOKUP(C2267,DATA!#REF!,2,FALSE),"")</f>
        <v/>
      </c>
    </row>
    <row r="2268" spans="3:4" s="237" customFormat="1">
      <c r="C2268" s="16" t="str">
        <f>IFERROR(VLOOKUP(DATA!#REF!,DATA!#REF!,1,FALSE),"")</f>
        <v/>
      </c>
      <c r="D2268" s="16" t="str">
        <f>IFERROR(VLOOKUP(C2268,DATA!#REF!,2,FALSE),"")</f>
        <v/>
      </c>
    </row>
    <row r="2269" spans="3:4" s="237" customFormat="1">
      <c r="C2269" s="16" t="str">
        <f>IFERROR(VLOOKUP(DATA!#REF!,DATA!#REF!,1,FALSE),"")</f>
        <v/>
      </c>
      <c r="D2269" s="16" t="str">
        <f>IFERROR(VLOOKUP(C2269,DATA!#REF!,2,FALSE),"")</f>
        <v/>
      </c>
    </row>
    <row r="2270" spans="3:4" s="237" customFormat="1">
      <c r="C2270" s="16" t="str">
        <f>IFERROR(VLOOKUP(DATA!#REF!,DATA!#REF!,1,FALSE),"")</f>
        <v/>
      </c>
      <c r="D2270" s="16" t="str">
        <f>IFERROR(VLOOKUP(C2270,DATA!#REF!,2,FALSE),"")</f>
        <v/>
      </c>
    </row>
    <row r="2271" spans="3:4" s="237" customFormat="1">
      <c r="C2271" s="16" t="str">
        <f>IFERROR(VLOOKUP(DATA!#REF!,DATA!#REF!,1,FALSE),"")</f>
        <v/>
      </c>
      <c r="D2271" s="16" t="str">
        <f>IFERROR(VLOOKUP(C2271,DATA!#REF!,2,FALSE),"")</f>
        <v/>
      </c>
    </row>
    <row r="2272" spans="3:4" s="237" customFormat="1">
      <c r="C2272" s="16" t="str">
        <f>IFERROR(VLOOKUP(DATA!#REF!,DATA!#REF!,1,FALSE),"")</f>
        <v/>
      </c>
      <c r="D2272" s="16" t="str">
        <f>IFERROR(VLOOKUP(C2272,DATA!#REF!,2,FALSE),"")</f>
        <v/>
      </c>
    </row>
    <row r="2273" spans="3:4" s="237" customFormat="1">
      <c r="C2273" s="16" t="str">
        <f>IFERROR(VLOOKUP(DATA!#REF!,DATA!#REF!,1,FALSE),"")</f>
        <v/>
      </c>
      <c r="D2273" s="16" t="str">
        <f>IFERROR(VLOOKUP(C2273,DATA!#REF!,2,FALSE),"")</f>
        <v/>
      </c>
    </row>
    <row r="2274" spans="3:4" s="237" customFormat="1">
      <c r="C2274" s="16" t="str">
        <f>IFERROR(VLOOKUP(DATA!#REF!,DATA!#REF!,1,FALSE),"")</f>
        <v/>
      </c>
      <c r="D2274" s="16" t="str">
        <f>IFERROR(VLOOKUP(C2274,DATA!#REF!,2,FALSE),"")</f>
        <v/>
      </c>
    </row>
    <row r="2275" spans="3:4" s="237" customFormat="1">
      <c r="C2275" s="16" t="str">
        <f>IFERROR(VLOOKUP(DATA!#REF!,DATA!#REF!,1,FALSE),"")</f>
        <v/>
      </c>
      <c r="D2275" s="16" t="str">
        <f>IFERROR(VLOOKUP(C2275,DATA!#REF!,2,FALSE),"")</f>
        <v/>
      </c>
    </row>
    <row r="2276" spans="3:4" s="237" customFormat="1">
      <c r="C2276" s="16" t="str">
        <f>IFERROR(VLOOKUP(DATA!#REF!,DATA!#REF!,1,FALSE),"")</f>
        <v/>
      </c>
      <c r="D2276" s="16" t="str">
        <f>IFERROR(VLOOKUP(C2276,DATA!#REF!,2,FALSE),"")</f>
        <v/>
      </c>
    </row>
    <row r="2277" spans="3:4" s="237" customFormat="1">
      <c r="C2277" s="16" t="str">
        <f>IFERROR(VLOOKUP(DATA!#REF!,DATA!#REF!,1,FALSE),"")</f>
        <v/>
      </c>
      <c r="D2277" s="16" t="str">
        <f>IFERROR(VLOOKUP(C2277,DATA!#REF!,2,FALSE),"")</f>
        <v/>
      </c>
    </row>
    <row r="2278" spans="3:4" s="237" customFormat="1">
      <c r="C2278" s="16" t="str">
        <f>IFERROR(VLOOKUP(DATA!#REF!,DATA!#REF!,1,FALSE),"")</f>
        <v/>
      </c>
      <c r="D2278" s="16" t="str">
        <f>IFERROR(VLOOKUP(C2278,DATA!#REF!,2,FALSE),"")</f>
        <v/>
      </c>
    </row>
    <row r="2279" spans="3:4" s="237" customFormat="1">
      <c r="C2279" s="16" t="str">
        <f>IFERROR(VLOOKUP(DATA!#REF!,DATA!#REF!,1,FALSE),"")</f>
        <v/>
      </c>
      <c r="D2279" s="16" t="str">
        <f>IFERROR(VLOOKUP(C2279,DATA!#REF!,2,FALSE),"")</f>
        <v/>
      </c>
    </row>
    <row r="2280" spans="3:4" s="237" customFormat="1">
      <c r="C2280" s="16" t="str">
        <f>IFERROR(VLOOKUP(DATA!#REF!,DATA!#REF!,1,FALSE),"")</f>
        <v/>
      </c>
      <c r="D2280" s="16" t="str">
        <f>IFERROR(VLOOKUP(C2280,DATA!#REF!,2,FALSE),"")</f>
        <v/>
      </c>
    </row>
    <row r="2281" spans="3:4" s="237" customFormat="1">
      <c r="C2281" s="16" t="str">
        <f>IFERROR(VLOOKUP(DATA!#REF!,DATA!#REF!,1,FALSE),"")</f>
        <v/>
      </c>
      <c r="D2281" s="16" t="str">
        <f>IFERROR(VLOOKUP(C2281,DATA!#REF!,2,FALSE),"")</f>
        <v/>
      </c>
    </row>
    <row r="2282" spans="3:4" s="237" customFormat="1">
      <c r="C2282" s="16" t="str">
        <f>IFERROR(VLOOKUP(DATA!#REF!,DATA!#REF!,1,FALSE),"")</f>
        <v/>
      </c>
      <c r="D2282" s="16" t="str">
        <f>IFERROR(VLOOKUP(C2282,DATA!#REF!,2,FALSE),"")</f>
        <v/>
      </c>
    </row>
    <row r="2283" spans="3:4" s="237" customFormat="1">
      <c r="C2283" s="16" t="str">
        <f>IFERROR(VLOOKUP(DATA!#REF!,DATA!#REF!,1,FALSE),"")</f>
        <v/>
      </c>
      <c r="D2283" s="16" t="str">
        <f>IFERROR(VLOOKUP(C2283,DATA!#REF!,2,FALSE),"")</f>
        <v/>
      </c>
    </row>
    <row r="2284" spans="3:4" s="237" customFormat="1">
      <c r="C2284" s="16" t="str">
        <f>IFERROR(VLOOKUP(DATA!#REF!,DATA!#REF!,1,FALSE),"")</f>
        <v/>
      </c>
      <c r="D2284" s="16" t="str">
        <f>IFERROR(VLOOKUP(C2284,DATA!#REF!,2,FALSE),"")</f>
        <v/>
      </c>
    </row>
    <row r="2285" spans="3:4" s="237" customFormat="1">
      <c r="C2285" s="16" t="str">
        <f>IFERROR(VLOOKUP(DATA!#REF!,DATA!#REF!,1,FALSE),"")</f>
        <v/>
      </c>
      <c r="D2285" s="16" t="str">
        <f>IFERROR(VLOOKUP(C2285,DATA!#REF!,2,FALSE),"")</f>
        <v/>
      </c>
    </row>
    <row r="2286" spans="3:4" s="237" customFormat="1">
      <c r="C2286" s="16" t="str">
        <f>IFERROR(VLOOKUP(DATA!#REF!,DATA!#REF!,1,FALSE),"")</f>
        <v/>
      </c>
      <c r="D2286" s="16" t="str">
        <f>IFERROR(VLOOKUP(C2286,DATA!#REF!,2,FALSE),"")</f>
        <v/>
      </c>
    </row>
    <row r="2287" spans="3:4" s="237" customFormat="1">
      <c r="C2287" s="16" t="str">
        <f>IFERROR(VLOOKUP(DATA!#REF!,DATA!#REF!,1,FALSE),"")</f>
        <v/>
      </c>
      <c r="D2287" s="16" t="str">
        <f>IFERROR(VLOOKUP(C2287,DATA!#REF!,2,FALSE),"")</f>
        <v/>
      </c>
    </row>
    <row r="2288" spans="3:4" s="237" customFormat="1">
      <c r="C2288" s="16" t="str">
        <f>IFERROR(VLOOKUP(DATA!#REF!,DATA!#REF!,1,FALSE),"")</f>
        <v/>
      </c>
      <c r="D2288" s="16" t="str">
        <f>IFERROR(VLOOKUP(C2288,DATA!#REF!,2,FALSE),"")</f>
        <v/>
      </c>
    </row>
    <row r="2289" spans="3:4" s="237" customFormat="1">
      <c r="C2289" s="16" t="str">
        <f>IFERROR(VLOOKUP(DATA!#REF!,DATA!#REF!,1,FALSE),"")</f>
        <v/>
      </c>
      <c r="D2289" s="16" t="str">
        <f>IFERROR(VLOOKUP(C2289,DATA!#REF!,2,FALSE),"")</f>
        <v/>
      </c>
    </row>
    <row r="2290" spans="3:4" s="237" customFormat="1">
      <c r="C2290" s="16" t="str">
        <f>IFERROR(VLOOKUP(DATA!#REF!,DATA!#REF!,1,FALSE),"")</f>
        <v/>
      </c>
      <c r="D2290" s="16" t="str">
        <f>IFERROR(VLOOKUP(C2290,DATA!#REF!,2,FALSE),"")</f>
        <v/>
      </c>
    </row>
    <row r="2291" spans="3:4" s="237" customFormat="1">
      <c r="C2291" s="16" t="str">
        <f>IFERROR(VLOOKUP(DATA!#REF!,DATA!#REF!,1,FALSE),"")</f>
        <v/>
      </c>
      <c r="D2291" s="16" t="str">
        <f>IFERROR(VLOOKUP(C2291,DATA!#REF!,2,FALSE),"")</f>
        <v/>
      </c>
    </row>
    <row r="2292" spans="3:4" s="237" customFormat="1">
      <c r="C2292" s="16" t="str">
        <f>IFERROR(VLOOKUP(DATA!#REF!,DATA!#REF!,1,FALSE),"")</f>
        <v/>
      </c>
      <c r="D2292" s="16" t="str">
        <f>IFERROR(VLOOKUP(C2292,DATA!#REF!,2,FALSE),"")</f>
        <v/>
      </c>
    </row>
    <row r="2293" spans="3:4" s="237" customFormat="1">
      <c r="C2293" s="16" t="str">
        <f>IFERROR(VLOOKUP(DATA!#REF!,DATA!#REF!,1,FALSE),"")</f>
        <v/>
      </c>
      <c r="D2293" s="16" t="str">
        <f>IFERROR(VLOOKUP(C2293,DATA!#REF!,2,FALSE),"")</f>
        <v/>
      </c>
    </row>
    <row r="2294" spans="3:4" s="237" customFormat="1">
      <c r="C2294" s="16" t="str">
        <f>IFERROR(VLOOKUP(DATA!#REF!,DATA!#REF!,1,FALSE),"")</f>
        <v/>
      </c>
      <c r="D2294" s="16" t="str">
        <f>IFERROR(VLOOKUP(C2294,DATA!#REF!,2,FALSE),"")</f>
        <v/>
      </c>
    </row>
    <row r="2295" spans="3:4" s="237" customFormat="1">
      <c r="C2295" s="16" t="str">
        <f>IFERROR(VLOOKUP(DATA!#REF!,DATA!#REF!,1,FALSE),"")</f>
        <v/>
      </c>
      <c r="D2295" s="16" t="str">
        <f>IFERROR(VLOOKUP(C2295,DATA!#REF!,2,FALSE),"")</f>
        <v/>
      </c>
    </row>
    <row r="2296" spans="3:4" s="237" customFormat="1">
      <c r="C2296" s="16" t="str">
        <f>IFERROR(VLOOKUP(DATA!#REF!,DATA!#REF!,1,FALSE),"")</f>
        <v/>
      </c>
      <c r="D2296" s="16" t="str">
        <f>IFERROR(VLOOKUP(C2296,DATA!#REF!,2,FALSE),"")</f>
        <v/>
      </c>
    </row>
    <row r="2297" spans="3:4" s="237" customFormat="1">
      <c r="C2297" s="16" t="str">
        <f>IFERROR(VLOOKUP(DATA!#REF!,DATA!#REF!,1,FALSE),"")</f>
        <v/>
      </c>
      <c r="D2297" s="16" t="str">
        <f>IFERROR(VLOOKUP(C2297,DATA!#REF!,2,FALSE),"")</f>
        <v/>
      </c>
    </row>
    <row r="2298" spans="3:4" s="237" customFormat="1">
      <c r="C2298" s="16" t="str">
        <f>IFERROR(VLOOKUP(DATA!#REF!,DATA!#REF!,1,FALSE),"")</f>
        <v/>
      </c>
      <c r="D2298" s="16" t="str">
        <f>IFERROR(VLOOKUP(C2298,DATA!#REF!,2,FALSE),"")</f>
        <v/>
      </c>
    </row>
    <row r="2299" spans="3:4" s="237" customFormat="1">
      <c r="C2299" s="16" t="str">
        <f>IFERROR(VLOOKUP(DATA!#REF!,DATA!#REF!,1,FALSE),"")</f>
        <v/>
      </c>
      <c r="D2299" s="16" t="str">
        <f>IFERROR(VLOOKUP(C2299,DATA!#REF!,2,FALSE),"")</f>
        <v/>
      </c>
    </row>
    <row r="2300" spans="3:4" s="237" customFormat="1">
      <c r="C2300" s="16" t="str">
        <f>IFERROR(VLOOKUP(DATA!#REF!,DATA!#REF!,1,FALSE),"")</f>
        <v/>
      </c>
      <c r="D2300" s="16" t="str">
        <f>IFERROR(VLOOKUP(C2300,DATA!#REF!,2,FALSE),"")</f>
        <v/>
      </c>
    </row>
    <row r="2301" spans="3:4" s="237" customFormat="1">
      <c r="C2301" s="16" t="str">
        <f>IFERROR(VLOOKUP(DATA!#REF!,DATA!#REF!,1,FALSE),"")</f>
        <v/>
      </c>
      <c r="D2301" s="16" t="str">
        <f>IFERROR(VLOOKUP(C2301,DATA!#REF!,2,FALSE),"")</f>
        <v/>
      </c>
    </row>
    <row r="2302" spans="3:4" s="237" customFormat="1">
      <c r="C2302" s="16" t="str">
        <f>IFERROR(VLOOKUP(DATA!#REF!,DATA!#REF!,1,FALSE),"")</f>
        <v/>
      </c>
      <c r="D2302" s="16" t="str">
        <f>IFERROR(VLOOKUP(C2302,DATA!#REF!,2,FALSE),"")</f>
        <v/>
      </c>
    </row>
    <row r="2303" spans="3:4" s="237" customFormat="1">
      <c r="C2303" s="16" t="str">
        <f>IFERROR(VLOOKUP(DATA!#REF!,DATA!#REF!,1,FALSE),"")</f>
        <v/>
      </c>
      <c r="D2303" s="16" t="str">
        <f>IFERROR(VLOOKUP(C2303,DATA!#REF!,2,FALSE),"")</f>
        <v/>
      </c>
    </row>
    <row r="2304" spans="3:4" s="237" customFormat="1">
      <c r="C2304" s="16" t="str">
        <f>IFERROR(VLOOKUP(DATA!#REF!,DATA!#REF!,1,FALSE),"")</f>
        <v/>
      </c>
      <c r="D2304" s="16" t="str">
        <f>IFERROR(VLOOKUP(C2304,DATA!#REF!,2,FALSE),"")</f>
        <v/>
      </c>
    </row>
    <row r="2305" spans="3:4" s="237" customFormat="1">
      <c r="C2305" s="16" t="str">
        <f>IFERROR(VLOOKUP(DATA!#REF!,DATA!#REF!,1,FALSE),"")</f>
        <v/>
      </c>
      <c r="D2305" s="16" t="str">
        <f>IFERROR(VLOOKUP(C2305,DATA!#REF!,2,FALSE),"")</f>
        <v/>
      </c>
    </row>
    <row r="2306" spans="3:4" s="237" customFormat="1">
      <c r="C2306" s="16" t="str">
        <f>IFERROR(VLOOKUP(DATA!#REF!,DATA!#REF!,1,FALSE),"")</f>
        <v/>
      </c>
      <c r="D2306" s="16" t="str">
        <f>IFERROR(VLOOKUP(C2306,DATA!#REF!,2,FALSE),"")</f>
        <v/>
      </c>
    </row>
    <row r="2307" spans="3:4" s="237" customFormat="1">
      <c r="C2307" s="16" t="str">
        <f>IFERROR(VLOOKUP(DATA!#REF!,DATA!#REF!,1,FALSE),"")</f>
        <v/>
      </c>
      <c r="D2307" s="16" t="str">
        <f>IFERROR(VLOOKUP(C2307,DATA!#REF!,2,FALSE),"")</f>
        <v/>
      </c>
    </row>
    <row r="2308" spans="3:4" s="237" customFormat="1">
      <c r="C2308" s="16" t="str">
        <f>IFERROR(VLOOKUP(DATA!#REF!,DATA!#REF!,1,FALSE),"")</f>
        <v/>
      </c>
      <c r="D2308" s="16" t="str">
        <f>IFERROR(VLOOKUP(C2308,DATA!#REF!,2,FALSE),"")</f>
        <v/>
      </c>
    </row>
    <row r="2309" spans="3:4" s="237" customFormat="1">
      <c r="C2309" s="16" t="str">
        <f>IFERROR(VLOOKUP(DATA!#REF!,DATA!#REF!,1,FALSE),"")</f>
        <v/>
      </c>
      <c r="D2309" s="16" t="str">
        <f>IFERROR(VLOOKUP(C2309,DATA!#REF!,2,FALSE),"")</f>
        <v/>
      </c>
    </row>
    <row r="2310" spans="3:4" s="237" customFormat="1">
      <c r="C2310" s="16" t="str">
        <f>IFERROR(VLOOKUP(DATA!#REF!,DATA!#REF!,1,FALSE),"")</f>
        <v/>
      </c>
      <c r="D2310" s="16" t="str">
        <f>IFERROR(VLOOKUP(C2310,DATA!#REF!,2,FALSE),"")</f>
        <v/>
      </c>
    </row>
    <row r="2311" spans="3:4" s="237" customFormat="1">
      <c r="C2311" s="16" t="str">
        <f>IFERROR(VLOOKUP(DATA!#REF!,DATA!#REF!,1,FALSE),"")</f>
        <v/>
      </c>
      <c r="D2311" s="16" t="str">
        <f>IFERROR(VLOOKUP(C2311,DATA!#REF!,2,FALSE),"")</f>
        <v/>
      </c>
    </row>
    <row r="2312" spans="3:4" s="237" customFormat="1">
      <c r="C2312" s="16" t="str">
        <f>IFERROR(VLOOKUP(DATA!#REF!,DATA!#REF!,1,FALSE),"")</f>
        <v/>
      </c>
      <c r="D2312" s="16" t="str">
        <f>IFERROR(VLOOKUP(C2312,DATA!#REF!,2,FALSE),"")</f>
        <v/>
      </c>
    </row>
    <row r="2313" spans="3:4" s="237" customFormat="1">
      <c r="C2313" s="16" t="str">
        <f>IFERROR(VLOOKUP(DATA!#REF!,DATA!#REF!,1,FALSE),"")</f>
        <v/>
      </c>
      <c r="D2313" s="16" t="str">
        <f>IFERROR(VLOOKUP(C2313,DATA!#REF!,2,FALSE),"")</f>
        <v/>
      </c>
    </row>
    <row r="2314" spans="3:4" s="237" customFormat="1">
      <c r="C2314" s="16" t="str">
        <f>IFERROR(VLOOKUP(DATA!#REF!,DATA!#REF!,1,FALSE),"")</f>
        <v/>
      </c>
      <c r="D2314" s="16" t="str">
        <f>IFERROR(VLOOKUP(C2314,DATA!#REF!,2,FALSE),"")</f>
        <v/>
      </c>
    </row>
    <row r="2315" spans="3:4" s="237" customFormat="1">
      <c r="C2315" s="16" t="str">
        <f>IFERROR(VLOOKUP(DATA!#REF!,DATA!#REF!,1,FALSE),"")</f>
        <v/>
      </c>
      <c r="D2315" s="16" t="str">
        <f>IFERROR(VLOOKUP(C2315,DATA!#REF!,2,FALSE),"")</f>
        <v/>
      </c>
    </row>
    <row r="2316" spans="3:4" s="237" customFormat="1">
      <c r="C2316" s="16" t="str">
        <f>IFERROR(VLOOKUP(DATA!#REF!,DATA!#REF!,1,FALSE),"")</f>
        <v/>
      </c>
      <c r="D2316" s="16" t="str">
        <f>IFERROR(VLOOKUP(C2316,DATA!#REF!,2,FALSE),"")</f>
        <v/>
      </c>
    </row>
    <row r="2317" spans="3:4" s="237" customFormat="1">
      <c r="C2317" s="16" t="str">
        <f>IFERROR(VLOOKUP(DATA!#REF!,DATA!#REF!,1,FALSE),"")</f>
        <v/>
      </c>
      <c r="D2317" s="16" t="str">
        <f>IFERROR(VLOOKUP(C2317,DATA!#REF!,2,FALSE),"")</f>
        <v/>
      </c>
    </row>
    <row r="2318" spans="3:4" s="237" customFormat="1">
      <c r="C2318" s="16" t="str">
        <f>IFERROR(VLOOKUP(DATA!#REF!,DATA!#REF!,1,FALSE),"")</f>
        <v/>
      </c>
      <c r="D2318" s="16" t="str">
        <f>IFERROR(VLOOKUP(C2318,DATA!#REF!,2,FALSE),"")</f>
        <v/>
      </c>
    </row>
    <row r="2319" spans="3:4" s="237" customFormat="1">
      <c r="C2319" s="16" t="str">
        <f>IFERROR(VLOOKUP(DATA!#REF!,DATA!#REF!,1,FALSE),"")</f>
        <v/>
      </c>
      <c r="D2319" s="16" t="str">
        <f>IFERROR(VLOOKUP(C2319,DATA!#REF!,2,FALSE),"")</f>
        <v/>
      </c>
    </row>
    <row r="2320" spans="3:4" s="237" customFormat="1">
      <c r="C2320" s="16" t="str">
        <f>IFERROR(VLOOKUP(DATA!#REF!,DATA!#REF!,1,FALSE),"")</f>
        <v/>
      </c>
      <c r="D2320" s="16" t="str">
        <f>IFERROR(VLOOKUP(C2320,DATA!#REF!,2,FALSE),"")</f>
        <v/>
      </c>
    </row>
    <row r="2321" spans="3:4" s="237" customFormat="1">
      <c r="C2321" s="16" t="str">
        <f>IFERROR(VLOOKUP(DATA!#REF!,DATA!#REF!,1,FALSE),"")</f>
        <v/>
      </c>
      <c r="D2321" s="16" t="str">
        <f>IFERROR(VLOOKUP(C2321,DATA!#REF!,2,FALSE),"")</f>
        <v/>
      </c>
    </row>
    <row r="2322" spans="3:4" s="237" customFormat="1">
      <c r="C2322" s="16" t="str">
        <f>IFERROR(VLOOKUP(DATA!#REF!,DATA!#REF!,1,FALSE),"")</f>
        <v/>
      </c>
      <c r="D2322" s="16" t="str">
        <f>IFERROR(VLOOKUP(C2322,DATA!#REF!,2,FALSE),"")</f>
        <v/>
      </c>
    </row>
    <row r="2323" spans="3:4" s="237" customFormat="1">
      <c r="C2323" s="16" t="str">
        <f>IFERROR(VLOOKUP(DATA!#REF!,DATA!#REF!,1,FALSE),"")</f>
        <v/>
      </c>
      <c r="D2323" s="16" t="str">
        <f>IFERROR(VLOOKUP(C2323,DATA!#REF!,2,FALSE),"")</f>
        <v/>
      </c>
    </row>
    <row r="2324" spans="3:4" s="237" customFormat="1">
      <c r="C2324" s="16" t="str">
        <f>IFERROR(VLOOKUP(DATA!#REF!,DATA!#REF!,1,FALSE),"")</f>
        <v/>
      </c>
      <c r="D2324" s="16" t="str">
        <f>IFERROR(VLOOKUP(C2324,DATA!#REF!,2,FALSE),"")</f>
        <v/>
      </c>
    </row>
    <row r="2325" spans="3:4" s="237" customFormat="1">
      <c r="C2325" s="16" t="str">
        <f>IFERROR(VLOOKUP(DATA!#REF!,DATA!#REF!,1,FALSE),"")</f>
        <v/>
      </c>
      <c r="D2325" s="16" t="str">
        <f>IFERROR(VLOOKUP(C2325,DATA!#REF!,2,FALSE),"")</f>
        <v/>
      </c>
    </row>
    <row r="2326" spans="3:4" s="237" customFormat="1">
      <c r="C2326" s="16" t="str">
        <f>IFERROR(VLOOKUP(DATA!#REF!,DATA!#REF!,1,FALSE),"")</f>
        <v/>
      </c>
      <c r="D2326" s="16" t="str">
        <f>IFERROR(VLOOKUP(C2326,DATA!#REF!,2,FALSE),"")</f>
        <v/>
      </c>
    </row>
    <row r="2327" spans="3:4" s="237" customFormat="1">
      <c r="C2327" s="16" t="str">
        <f>IFERROR(VLOOKUP(DATA!#REF!,DATA!#REF!,1,FALSE),"")</f>
        <v/>
      </c>
      <c r="D2327" s="16" t="str">
        <f>IFERROR(VLOOKUP(C2327,DATA!#REF!,2,FALSE),"")</f>
        <v/>
      </c>
    </row>
    <row r="2328" spans="3:4" s="237" customFormat="1">
      <c r="C2328" s="16" t="str">
        <f>IFERROR(VLOOKUP(DATA!#REF!,DATA!#REF!,1,FALSE),"")</f>
        <v/>
      </c>
      <c r="D2328" s="16" t="str">
        <f>IFERROR(VLOOKUP(C2328,DATA!#REF!,2,FALSE),"")</f>
        <v/>
      </c>
    </row>
    <row r="2329" spans="3:4" s="237" customFormat="1">
      <c r="C2329" s="16" t="str">
        <f>IFERROR(VLOOKUP(DATA!#REF!,DATA!#REF!,1,FALSE),"")</f>
        <v/>
      </c>
      <c r="D2329" s="16" t="str">
        <f>IFERROR(VLOOKUP(C2329,DATA!#REF!,2,FALSE),"")</f>
        <v/>
      </c>
    </row>
    <row r="2330" spans="3:4" s="237" customFormat="1">
      <c r="C2330" s="16" t="str">
        <f>IFERROR(VLOOKUP(DATA!#REF!,DATA!#REF!,1,FALSE),"")</f>
        <v/>
      </c>
      <c r="D2330" s="16" t="str">
        <f>IFERROR(VLOOKUP(C2330,DATA!#REF!,2,FALSE),"")</f>
        <v/>
      </c>
    </row>
    <row r="2331" spans="3:4" s="237" customFormat="1">
      <c r="C2331" s="16" t="str">
        <f>IFERROR(VLOOKUP(DATA!#REF!,DATA!#REF!,1,FALSE),"")</f>
        <v/>
      </c>
      <c r="D2331" s="16" t="str">
        <f>IFERROR(VLOOKUP(C2331,DATA!#REF!,2,FALSE),"")</f>
        <v/>
      </c>
    </row>
    <row r="2332" spans="3:4" s="237" customFormat="1">
      <c r="C2332" s="16" t="str">
        <f>IFERROR(VLOOKUP(DATA!#REF!,DATA!#REF!,1,FALSE),"")</f>
        <v/>
      </c>
      <c r="D2332" s="16" t="str">
        <f>IFERROR(VLOOKUP(C2332,DATA!#REF!,2,FALSE),"")</f>
        <v/>
      </c>
    </row>
    <row r="2333" spans="3:4" s="237" customFormat="1">
      <c r="C2333" s="16" t="str">
        <f>IFERROR(VLOOKUP(DATA!#REF!,DATA!#REF!,1,FALSE),"")</f>
        <v/>
      </c>
      <c r="D2333" s="16" t="str">
        <f>IFERROR(VLOOKUP(C2333,DATA!#REF!,2,FALSE),"")</f>
        <v/>
      </c>
    </row>
    <row r="2334" spans="3:4" s="237" customFormat="1">
      <c r="C2334" s="16" t="str">
        <f>IFERROR(VLOOKUP(DATA!#REF!,DATA!#REF!,1,FALSE),"")</f>
        <v/>
      </c>
      <c r="D2334" s="16" t="str">
        <f>IFERROR(VLOOKUP(C2334,DATA!#REF!,2,FALSE),"")</f>
        <v/>
      </c>
    </row>
    <row r="2335" spans="3:4" s="237" customFormat="1">
      <c r="C2335" s="16" t="str">
        <f>IFERROR(VLOOKUP(DATA!#REF!,DATA!#REF!,1,FALSE),"")</f>
        <v/>
      </c>
      <c r="D2335" s="16" t="str">
        <f>IFERROR(VLOOKUP(C2335,DATA!#REF!,2,FALSE),"")</f>
        <v/>
      </c>
    </row>
    <row r="2336" spans="3:4" s="237" customFormat="1">
      <c r="C2336" s="16" t="str">
        <f>IFERROR(VLOOKUP(DATA!#REF!,DATA!#REF!,1,FALSE),"")</f>
        <v/>
      </c>
      <c r="D2336" s="16" t="str">
        <f>IFERROR(VLOOKUP(C2336,DATA!#REF!,2,FALSE),"")</f>
        <v/>
      </c>
    </row>
    <row r="2337" spans="3:4" s="237" customFormat="1">
      <c r="C2337" s="16" t="str">
        <f>IFERROR(VLOOKUP(DATA!#REF!,DATA!#REF!,1,FALSE),"")</f>
        <v/>
      </c>
      <c r="D2337" s="16" t="str">
        <f>IFERROR(VLOOKUP(C2337,DATA!#REF!,2,FALSE),"")</f>
        <v/>
      </c>
    </row>
    <row r="2338" spans="3:4" s="237" customFormat="1">
      <c r="C2338" s="16" t="str">
        <f>IFERROR(VLOOKUP(DATA!#REF!,DATA!#REF!,1,FALSE),"")</f>
        <v/>
      </c>
      <c r="D2338" s="16" t="str">
        <f>IFERROR(VLOOKUP(C2338,DATA!#REF!,2,FALSE),"")</f>
        <v/>
      </c>
    </row>
    <row r="2339" spans="3:4" s="237" customFormat="1">
      <c r="C2339" s="16" t="str">
        <f>IFERROR(VLOOKUP(DATA!#REF!,DATA!#REF!,1,FALSE),"")</f>
        <v/>
      </c>
      <c r="D2339" s="16" t="str">
        <f>IFERROR(VLOOKUP(C2339,DATA!#REF!,2,FALSE),"")</f>
        <v/>
      </c>
    </row>
    <row r="2340" spans="3:4" s="237" customFormat="1">
      <c r="C2340" s="16" t="str">
        <f>IFERROR(VLOOKUP(DATA!#REF!,DATA!#REF!,1,FALSE),"")</f>
        <v/>
      </c>
      <c r="D2340" s="16" t="str">
        <f>IFERROR(VLOOKUP(C2340,DATA!#REF!,2,FALSE),"")</f>
        <v/>
      </c>
    </row>
    <row r="2341" spans="3:4" s="237" customFormat="1">
      <c r="C2341" s="16" t="str">
        <f>IFERROR(VLOOKUP(DATA!#REF!,DATA!#REF!,1,FALSE),"")</f>
        <v/>
      </c>
      <c r="D2341" s="16" t="str">
        <f>IFERROR(VLOOKUP(C2341,DATA!#REF!,2,FALSE),"")</f>
        <v/>
      </c>
    </row>
    <row r="2342" spans="3:4" s="237" customFormat="1">
      <c r="C2342" s="16" t="str">
        <f>IFERROR(VLOOKUP(DATA!#REF!,DATA!#REF!,1,FALSE),"")</f>
        <v/>
      </c>
      <c r="D2342" s="16" t="str">
        <f>IFERROR(VLOOKUP(C2342,DATA!#REF!,2,FALSE),"")</f>
        <v/>
      </c>
    </row>
    <row r="2343" spans="3:4" s="237" customFormat="1">
      <c r="C2343" s="16" t="str">
        <f>IFERROR(VLOOKUP(DATA!#REF!,DATA!#REF!,1,FALSE),"")</f>
        <v/>
      </c>
      <c r="D2343" s="16" t="str">
        <f>IFERROR(VLOOKUP(C2343,DATA!#REF!,2,FALSE),"")</f>
        <v/>
      </c>
    </row>
    <row r="2344" spans="3:4" s="237" customFormat="1">
      <c r="C2344" s="16" t="str">
        <f>IFERROR(VLOOKUP(DATA!#REF!,DATA!#REF!,1,FALSE),"")</f>
        <v/>
      </c>
      <c r="D2344" s="16" t="str">
        <f>IFERROR(VLOOKUP(C2344,DATA!#REF!,2,FALSE),"")</f>
        <v/>
      </c>
    </row>
    <row r="2345" spans="3:4" s="237" customFormat="1">
      <c r="C2345" s="16" t="str">
        <f>IFERROR(VLOOKUP(DATA!#REF!,DATA!#REF!,1,FALSE),"")</f>
        <v/>
      </c>
      <c r="D2345" s="16" t="str">
        <f>IFERROR(VLOOKUP(C2345,DATA!#REF!,2,FALSE),"")</f>
        <v/>
      </c>
    </row>
    <row r="2346" spans="3:4" s="237" customFormat="1">
      <c r="C2346" s="16" t="str">
        <f>IFERROR(VLOOKUP(DATA!#REF!,DATA!#REF!,1,FALSE),"")</f>
        <v/>
      </c>
      <c r="D2346" s="16" t="str">
        <f>IFERROR(VLOOKUP(C2346,DATA!#REF!,2,FALSE),"")</f>
        <v/>
      </c>
    </row>
    <row r="2347" spans="3:4" s="237" customFormat="1">
      <c r="C2347" s="16" t="str">
        <f>IFERROR(VLOOKUP(DATA!#REF!,DATA!#REF!,1,FALSE),"")</f>
        <v/>
      </c>
      <c r="D2347" s="16" t="str">
        <f>IFERROR(VLOOKUP(C2347,DATA!#REF!,2,FALSE),"")</f>
        <v/>
      </c>
    </row>
    <row r="2348" spans="3:4" s="237" customFormat="1">
      <c r="C2348" s="16" t="str">
        <f>IFERROR(VLOOKUP(DATA!#REF!,DATA!#REF!,1,FALSE),"")</f>
        <v/>
      </c>
      <c r="D2348" s="16" t="str">
        <f>IFERROR(VLOOKUP(C2348,DATA!#REF!,2,FALSE),"")</f>
        <v/>
      </c>
    </row>
    <row r="2349" spans="3:4" s="237" customFormat="1">
      <c r="C2349" s="16" t="str">
        <f>IFERROR(VLOOKUP(DATA!#REF!,DATA!#REF!,1,FALSE),"")</f>
        <v/>
      </c>
      <c r="D2349" s="16" t="str">
        <f>IFERROR(VLOOKUP(C2349,DATA!#REF!,2,FALSE),"")</f>
        <v/>
      </c>
    </row>
    <row r="2350" spans="3:4" s="237" customFormat="1">
      <c r="C2350" s="16" t="str">
        <f>IFERROR(VLOOKUP(DATA!#REF!,DATA!#REF!,1,FALSE),"")</f>
        <v/>
      </c>
      <c r="D2350" s="16" t="str">
        <f>IFERROR(VLOOKUP(C2350,DATA!#REF!,2,FALSE),"")</f>
        <v/>
      </c>
    </row>
    <row r="2351" spans="3:4" s="237" customFormat="1">
      <c r="C2351" s="16" t="str">
        <f>IFERROR(VLOOKUP(DATA!#REF!,DATA!#REF!,1,FALSE),"")</f>
        <v/>
      </c>
      <c r="D2351" s="16" t="str">
        <f>IFERROR(VLOOKUP(C2351,DATA!#REF!,2,FALSE),"")</f>
        <v/>
      </c>
    </row>
    <row r="2352" spans="3:4" s="237" customFormat="1">
      <c r="C2352" s="16" t="str">
        <f>IFERROR(VLOOKUP(DATA!#REF!,DATA!#REF!,1,FALSE),"")</f>
        <v/>
      </c>
      <c r="D2352" s="16" t="str">
        <f>IFERROR(VLOOKUP(C2352,DATA!#REF!,2,FALSE),"")</f>
        <v/>
      </c>
    </row>
    <row r="2353" spans="3:4" s="237" customFormat="1">
      <c r="C2353" s="16" t="str">
        <f>IFERROR(VLOOKUP(DATA!#REF!,DATA!#REF!,1,FALSE),"")</f>
        <v/>
      </c>
      <c r="D2353" s="16" t="str">
        <f>IFERROR(VLOOKUP(C2353,DATA!#REF!,2,FALSE),"")</f>
        <v/>
      </c>
    </row>
    <row r="2354" spans="3:4" s="237" customFormat="1">
      <c r="C2354" s="16" t="str">
        <f>IFERROR(VLOOKUP(DATA!#REF!,DATA!#REF!,1,FALSE),"")</f>
        <v/>
      </c>
      <c r="D2354" s="16" t="str">
        <f>IFERROR(VLOOKUP(C2354,DATA!#REF!,2,FALSE),"")</f>
        <v/>
      </c>
    </row>
    <row r="2355" spans="3:4" s="237" customFormat="1">
      <c r="C2355" s="16" t="str">
        <f>IFERROR(VLOOKUP(DATA!#REF!,DATA!#REF!,1,FALSE),"")</f>
        <v/>
      </c>
      <c r="D2355" s="16" t="str">
        <f>IFERROR(VLOOKUP(C2355,DATA!#REF!,2,FALSE),"")</f>
        <v/>
      </c>
    </row>
    <row r="2356" spans="3:4" s="237" customFormat="1">
      <c r="C2356" s="16" t="str">
        <f>IFERROR(VLOOKUP(DATA!#REF!,DATA!#REF!,1,FALSE),"")</f>
        <v/>
      </c>
      <c r="D2356" s="16" t="str">
        <f>IFERROR(VLOOKUP(C2356,DATA!#REF!,2,FALSE),"")</f>
        <v/>
      </c>
    </row>
    <row r="2357" spans="3:4" s="237" customFormat="1">
      <c r="C2357" s="16" t="str">
        <f>IFERROR(VLOOKUP(DATA!#REF!,DATA!#REF!,1,FALSE),"")</f>
        <v/>
      </c>
      <c r="D2357" s="16" t="str">
        <f>IFERROR(VLOOKUP(C2357,DATA!#REF!,2,FALSE),"")</f>
        <v/>
      </c>
    </row>
    <row r="2358" spans="3:4" s="237" customFormat="1">
      <c r="C2358" s="16" t="str">
        <f>IFERROR(VLOOKUP(DATA!#REF!,DATA!#REF!,1,FALSE),"")</f>
        <v/>
      </c>
      <c r="D2358" s="16" t="str">
        <f>IFERROR(VLOOKUP(C2358,DATA!#REF!,2,FALSE),"")</f>
        <v/>
      </c>
    </row>
    <row r="2359" spans="3:4" s="237" customFormat="1">
      <c r="C2359" s="16" t="str">
        <f>IFERROR(VLOOKUP(DATA!#REF!,DATA!#REF!,1,FALSE),"")</f>
        <v/>
      </c>
      <c r="D2359" s="16" t="str">
        <f>IFERROR(VLOOKUP(C2359,DATA!#REF!,2,FALSE),"")</f>
        <v/>
      </c>
    </row>
    <row r="2360" spans="3:4" s="237" customFormat="1">
      <c r="C2360" s="16" t="str">
        <f>IFERROR(VLOOKUP(DATA!#REF!,DATA!#REF!,1,FALSE),"")</f>
        <v/>
      </c>
      <c r="D2360" s="16" t="str">
        <f>IFERROR(VLOOKUP(C2360,DATA!#REF!,2,FALSE),"")</f>
        <v/>
      </c>
    </row>
    <row r="2361" spans="3:4" s="237" customFormat="1">
      <c r="C2361" s="16" t="str">
        <f>IFERROR(VLOOKUP(DATA!#REF!,DATA!#REF!,1,FALSE),"")</f>
        <v/>
      </c>
      <c r="D2361" s="16" t="str">
        <f>IFERROR(VLOOKUP(C2361,DATA!#REF!,2,FALSE),"")</f>
        <v/>
      </c>
    </row>
    <row r="2362" spans="3:4" s="237" customFormat="1">
      <c r="C2362" s="16" t="str">
        <f>IFERROR(VLOOKUP(DATA!#REF!,DATA!#REF!,1,FALSE),"")</f>
        <v/>
      </c>
      <c r="D2362" s="16" t="str">
        <f>IFERROR(VLOOKUP(C2362,DATA!#REF!,2,FALSE),"")</f>
        <v/>
      </c>
    </row>
    <row r="2363" spans="3:4" s="237" customFormat="1">
      <c r="C2363" s="16" t="str">
        <f>IFERROR(VLOOKUP(DATA!#REF!,DATA!#REF!,1,FALSE),"")</f>
        <v/>
      </c>
      <c r="D2363" s="16" t="str">
        <f>IFERROR(VLOOKUP(C2363,DATA!#REF!,2,FALSE),"")</f>
        <v/>
      </c>
    </row>
    <row r="2364" spans="3:4" s="237" customFormat="1">
      <c r="C2364" s="16" t="str">
        <f>IFERROR(VLOOKUP(DATA!#REF!,DATA!#REF!,1,FALSE),"")</f>
        <v/>
      </c>
      <c r="D2364" s="16" t="str">
        <f>IFERROR(VLOOKUP(C2364,DATA!#REF!,2,FALSE),"")</f>
        <v/>
      </c>
    </row>
    <row r="2365" spans="3:4" s="237" customFormat="1">
      <c r="C2365" s="16" t="str">
        <f>IFERROR(VLOOKUP(DATA!#REF!,DATA!#REF!,1,FALSE),"")</f>
        <v/>
      </c>
      <c r="D2365" s="16" t="str">
        <f>IFERROR(VLOOKUP(C2365,DATA!#REF!,2,FALSE),"")</f>
        <v/>
      </c>
    </row>
    <row r="2366" spans="3:4" s="237" customFormat="1">
      <c r="C2366" s="16" t="str">
        <f>IFERROR(VLOOKUP(DATA!#REF!,DATA!#REF!,1,FALSE),"")</f>
        <v/>
      </c>
      <c r="D2366" s="16" t="str">
        <f>IFERROR(VLOOKUP(C2366,DATA!#REF!,2,FALSE),"")</f>
        <v/>
      </c>
    </row>
    <row r="2367" spans="3:4" s="237" customFormat="1">
      <c r="C2367" s="16" t="str">
        <f>IFERROR(VLOOKUP(DATA!#REF!,DATA!#REF!,1,FALSE),"")</f>
        <v/>
      </c>
      <c r="D2367" s="16" t="str">
        <f>IFERROR(VLOOKUP(C2367,DATA!#REF!,2,FALSE),"")</f>
        <v/>
      </c>
    </row>
    <row r="2368" spans="3:4" s="237" customFormat="1">
      <c r="C2368" s="16" t="str">
        <f>IFERROR(VLOOKUP(DATA!#REF!,DATA!#REF!,1,FALSE),"")</f>
        <v/>
      </c>
      <c r="D2368" s="16" t="str">
        <f>IFERROR(VLOOKUP(C2368,DATA!#REF!,2,FALSE),"")</f>
        <v/>
      </c>
    </row>
    <row r="2369" spans="3:4" s="237" customFormat="1">
      <c r="C2369" s="16" t="str">
        <f>IFERROR(VLOOKUP(DATA!#REF!,DATA!#REF!,1,FALSE),"")</f>
        <v/>
      </c>
      <c r="D2369" s="16" t="str">
        <f>IFERROR(VLOOKUP(C2369,DATA!#REF!,2,FALSE),"")</f>
        <v/>
      </c>
    </row>
    <row r="2370" spans="3:4" s="237" customFormat="1">
      <c r="C2370" s="16" t="str">
        <f>IFERROR(VLOOKUP(DATA!#REF!,DATA!#REF!,1,FALSE),"")</f>
        <v/>
      </c>
      <c r="D2370" s="16" t="str">
        <f>IFERROR(VLOOKUP(C2370,DATA!#REF!,2,FALSE),"")</f>
        <v/>
      </c>
    </row>
    <row r="2371" spans="3:4" s="237" customFormat="1">
      <c r="C2371" s="16" t="str">
        <f>IFERROR(VLOOKUP(DATA!#REF!,DATA!#REF!,1,FALSE),"")</f>
        <v/>
      </c>
      <c r="D2371" s="16" t="str">
        <f>IFERROR(VLOOKUP(C2371,DATA!#REF!,2,FALSE),"")</f>
        <v/>
      </c>
    </row>
    <row r="2372" spans="3:4" s="237" customFormat="1">
      <c r="C2372" s="16" t="str">
        <f>IFERROR(VLOOKUP(DATA!#REF!,DATA!#REF!,1,FALSE),"")</f>
        <v/>
      </c>
      <c r="D2372" s="16" t="str">
        <f>IFERROR(VLOOKUP(C2372,DATA!#REF!,2,FALSE),"")</f>
        <v/>
      </c>
    </row>
    <row r="2373" spans="3:4" s="237" customFormat="1">
      <c r="C2373" s="16" t="str">
        <f>IFERROR(VLOOKUP(DATA!#REF!,DATA!#REF!,1,FALSE),"")</f>
        <v/>
      </c>
      <c r="D2373" s="16" t="str">
        <f>IFERROR(VLOOKUP(C2373,DATA!#REF!,2,FALSE),"")</f>
        <v/>
      </c>
    </row>
    <row r="2374" spans="3:4" s="237" customFormat="1">
      <c r="C2374" s="16" t="str">
        <f>IFERROR(VLOOKUP(DATA!#REF!,DATA!#REF!,1,FALSE),"")</f>
        <v/>
      </c>
      <c r="D2374" s="16" t="str">
        <f>IFERROR(VLOOKUP(C2374,DATA!#REF!,2,FALSE),"")</f>
        <v/>
      </c>
    </row>
    <row r="2375" spans="3:4" s="237" customFormat="1">
      <c r="C2375" s="16" t="str">
        <f>IFERROR(VLOOKUP(DATA!#REF!,DATA!#REF!,1,FALSE),"")</f>
        <v/>
      </c>
      <c r="D2375" s="16" t="str">
        <f>IFERROR(VLOOKUP(C2375,DATA!#REF!,2,FALSE),"")</f>
        <v/>
      </c>
    </row>
    <row r="2376" spans="3:4" s="237" customFormat="1">
      <c r="C2376" s="16" t="str">
        <f>IFERROR(VLOOKUP(DATA!#REF!,DATA!#REF!,1,FALSE),"")</f>
        <v/>
      </c>
      <c r="D2376" s="16" t="str">
        <f>IFERROR(VLOOKUP(C2376,DATA!#REF!,2,FALSE),"")</f>
        <v/>
      </c>
    </row>
    <row r="2377" spans="3:4" s="237" customFormat="1">
      <c r="C2377" s="16" t="str">
        <f>IFERROR(VLOOKUP(DATA!#REF!,DATA!#REF!,1,FALSE),"")</f>
        <v/>
      </c>
      <c r="D2377" s="16" t="str">
        <f>IFERROR(VLOOKUP(C2377,DATA!#REF!,2,FALSE),"")</f>
        <v/>
      </c>
    </row>
    <row r="2378" spans="3:4" s="237" customFormat="1">
      <c r="C2378" s="16" t="str">
        <f>IFERROR(VLOOKUP(DATA!#REF!,DATA!#REF!,1,FALSE),"")</f>
        <v/>
      </c>
      <c r="D2378" s="16" t="str">
        <f>IFERROR(VLOOKUP(C2378,DATA!#REF!,2,FALSE),"")</f>
        <v/>
      </c>
    </row>
    <row r="2379" spans="3:4" s="237" customFormat="1">
      <c r="C2379" s="16" t="str">
        <f>IFERROR(VLOOKUP(DATA!#REF!,DATA!#REF!,1,FALSE),"")</f>
        <v/>
      </c>
      <c r="D2379" s="16" t="str">
        <f>IFERROR(VLOOKUP(C2379,DATA!#REF!,2,FALSE),"")</f>
        <v/>
      </c>
    </row>
    <row r="2380" spans="3:4" s="237" customFormat="1">
      <c r="C2380" s="16" t="str">
        <f>IFERROR(VLOOKUP(DATA!#REF!,DATA!#REF!,1,FALSE),"")</f>
        <v/>
      </c>
      <c r="D2380" s="16" t="str">
        <f>IFERROR(VLOOKUP(C2380,DATA!#REF!,2,FALSE),"")</f>
        <v/>
      </c>
    </row>
    <row r="2381" spans="3:4" s="237" customFormat="1">
      <c r="C2381" s="16" t="str">
        <f>IFERROR(VLOOKUP(DATA!#REF!,DATA!#REF!,1,FALSE),"")</f>
        <v/>
      </c>
      <c r="D2381" s="16" t="str">
        <f>IFERROR(VLOOKUP(C2381,DATA!#REF!,2,FALSE),"")</f>
        <v/>
      </c>
    </row>
    <row r="2382" spans="3:4" s="237" customFormat="1">
      <c r="C2382" s="16" t="str">
        <f>IFERROR(VLOOKUP(DATA!#REF!,DATA!#REF!,1,FALSE),"")</f>
        <v/>
      </c>
      <c r="D2382" s="16" t="str">
        <f>IFERROR(VLOOKUP(C2382,DATA!#REF!,2,FALSE),"")</f>
        <v/>
      </c>
    </row>
    <row r="2383" spans="3:4" s="237" customFormat="1">
      <c r="C2383" s="16" t="str">
        <f>IFERROR(VLOOKUP(DATA!#REF!,DATA!#REF!,1,FALSE),"")</f>
        <v/>
      </c>
      <c r="D2383" s="16" t="str">
        <f>IFERROR(VLOOKUP(C2383,DATA!#REF!,2,FALSE),"")</f>
        <v/>
      </c>
    </row>
    <row r="2384" spans="3:4" s="237" customFormat="1">
      <c r="C2384" s="16" t="str">
        <f>IFERROR(VLOOKUP(DATA!#REF!,DATA!#REF!,1,FALSE),"")</f>
        <v/>
      </c>
      <c r="D2384" s="16" t="str">
        <f>IFERROR(VLOOKUP(C2384,DATA!#REF!,2,FALSE),"")</f>
        <v/>
      </c>
    </row>
    <row r="2385" spans="3:4" s="237" customFormat="1">
      <c r="C2385" s="16" t="str">
        <f>IFERROR(VLOOKUP(DATA!#REF!,DATA!#REF!,1,FALSE),"")</f>
        <v/>
      </c>
      <c r="D2385" s="16" t="str">
        <f>IFERROR(VLOOKUP(C2385,DATA!#REF!,2,FALSE),"")</f>
        <v/>
      </c>
    </row>
    <row r="2386" spans="3:4" s="237" customFormat="1">
      <c r="C2386" s="16" t="str">
        <f>IFERROR(VLOOKUP(DATA!#REF!,DATA!#REF!,1,FALSE),"")</f>
        <v/>
      </c>
      <c r="D2386" s="16" t="str">
        <f>IFERROR(VLOOKUP(C2386,DATA!#REF!,2,FALSE),"")</f>
        <v/>
      </c>
    </row>
    <row r="2387" spans="3:4" s="237" customFormat="1">
      <c r="C2387" s="16" t="str">
        <f>IFERROR(VLOOKUP(DATA!#REF!,DATA!#REF!,1,FALSE),"")</f>
        <v/>
      </c>
      <c r="D2387" s="16" t="str">
        <f>IFERROR(VLOOKUP(C2387,DATA!#REF!,2,FALSE),"")</f>
        <v/>
      </c>
    </row>
    <row r="2388" spans="3:4" s="237" customFormat="1">
      <c r="C2388" s="16" t="str">
        <f>IFERROR(VLOOKUP(DATA!#REF!,DATA!#REF!,1,FALSE),"")</f>
        <v/>
      </c>
      <c r="D2388" s="16" t="str">
        <f>IFERROR(VLOOKUP(C2388,DATA!#REF!,2,FALSE),"")</f>
        <v/>
      </c>
    </row>
    <row r="2389" spans="3:4" s="237" customFormat="1">
      <c r="C2389" s="16" t="str">
        <f>IFERROR(VLOOKUP(DATA!#REF!,DATA!#REF!,1,FALSE),"")</f>
        <v/>
      </c>
      <c r="D2389" s="16" t="str">
        <f>IFERROR(VLOOKUP(C2389,DATA!#REF!,2,FALSE),"")</f>
        <v/>
      </c>
    </row>
    <row r="2390" spans="3:4" s="237" customFormat="1">
      <c r="C2390" s="16" t="str">
        <f>IFERROR(VLOOKUP(DATA!#REF!,DATA!#REF!,1,FALSE),"")</f>
        <v/>
      </c>
      <c r="D2390" s="16" t="str">
        <f>IFERROR(VLOOKUP(C2390,DATA!#REF!,2,FALSE),"")</f>
        <v/>
      </c>
    </row>
    <row r="2391" spans="3:4" s="237" customFormat="1">
      <c r="C2391" s="16" t="str">
        <f>IFERROR(VLOOKUP(DATA!#REF!,DATA!#REF!,1,FALSE),"")</f>
        <v/>
      </c>
      <c r="D2391" s="16" t="str">
        <f>IFERROR(VLOOKUP(C2391,DATA!#REF!,2,FALSE),"")</f>
        <v/>
      </c>
    </row>
    <row r="2392" spans="3:4" s="237" customFormat="1">
      <c r="C2392" s="16" t="str">
        <f>IFERROR(VLOOKUP(DATA!#REF!,DATA!#REF!,1,FALSE),"")</f>
        <v/>
      </c>
      <c r="D2392" s="16" t="str">
        <f>IFERROR(VLOOKUP(C2392,DATA!#REF!,2,FALSE),"")</f>
        <v/>
      </c>
    </row>
    <row r="2393" spans="3:4" s="237" customFormat="1">
      <c r="C2393" s="16" t="str">
        <f>IFERROR(VLOOKUP(DATA!#REF!,DATA!#REF!,1,FALSE),"")</f>
        <v/>
      </c>
      <c r="D2393" s="16" t="str">
        <f>IFERROR(VLOOKUP(C2393,DATA!#REF!,2,FALSE),"")</f>
        <v/>
      </c>
    </row>
    <row r="2394" spans="3:4" s="237" customFormat="1">
      <c r="C2394" s="16" t="str">
        <f>IFERROR(VLOOKUP(DATA!#REF!,DATA!#REF!,1,FALSE),"")</f>
        <v/>
      </c>
      <c r="D2394" s="16" t="str">
        <f>IFERROR(VLOOKUP(C2394,DATA!#REF!,2,FALSE),"")</f>
        <v/>
      </c>
    </row>
    <row r="2395" spans="3:4" s="237" customFormat="1">
      <c r="C2395" s="16" t="str">
        <f>IFERROR(VLOOKUP(DATA!#REF!,DATA!#REF!,1,FALSE),"")</f>
        <v/>
      </c>
      <c r="D2395" s="16" t="str">
        <f>IFERROR(VLOOKUP(C2395,DATA!#REF!,2,FALSE),"")</f>
        <v/>
      </c>
    </row>
    <row r="2396" spans="3:4" s="237" customFormat="1">
      <c r="C2396" s="16" t="str">
        <f>IFERROR(VLOOKUP(DATA!#REF!,DATA!#REF!,1,FALSE),"")</f>
        <v/>
      </c>
      <c r="D2396" s="16" t="str">
        <f>IFERROR(VLOOKUP(C2396,DATA!#REF!,2,FALSE),"")</f>
        <v/>
      </c>
    </row>
    <row r="2397" spans="3:4" s="237" customFormat="1">
      <c r="C2397" s="16" t="str">
        <f>IFERROR(VLOOKUP(DATA!#REF!,DATA!#REF!,1,FALSE),"")</f>
        <v/>
      </c>
      <c r="D2397" s="16" t="str">
        <f>IFERROR(VLOOKUP(C2397,DATA!#REF!,2,FALSE),"")</f>
        <v/>
      </c>
    </row>
    <row r="2398" spans="3:4" s="237" customFormat="1">
      <c r="C2398" s="16" t="str">
        <f>IFERROR(VLOOKUP(DATA!#REF!,DATA!#REF!,1,FALSE),"")</f>
        <v/>
      </c>
      <c r="D2398" s="16" t="str">
        <f>IFERROR(VLOOKUP(C2398,DATA!#REF!,2,FALSE),"")</f>
        <v/>
      </c>
    </row>
    <row r="2399" spans="3:4" s="237" customFormat="1">
      <c r="C2399" s="16" t="str">
        <f>IFERROR(VLOOKUP(DATA!#REF!,DATA!#REF!,1,FALSE),"")</f>
        <v/>
      </c>
      <c r="D2399" s="16" t="str">
        <f>IFERROR(VLOOKUP(C2399,DATA!#REF!,2,FALSE),"")</f>
        <v/>
      </c>
    </row>
    <row r="2400" spans="3:4" s="237" customFormat="1">
      <c r="C2400" s="16" t="str">
        <f>IFERROR(VLOOKUP(DATA!#REF!,DATA!#REF!,1,FALSE),"")</f>
        <v/>
      </c>
      <c r="D2400" s="16" t="str">
        <f>IFERROR(VLOOKUP(C2400,DATA!#REF!,2,FALSE),"")</f>
        <v/>
      </c>
    </row>
    <row r="2401" spans="3:4" s="237" customFormat="1">
      <c r="C2401" s="16" t="str">
        <f>IFERROR(VLOOKUP(DATA!#REF!,DATA!#REF!,1,FALSE),"")</f>
        <v/>
      </c>
      <c r="D2401" s="16" t="str">
        <f>IFERROR(VLOOKUP(C2401,DATA!#REF!,2,FALSE),"")</f>
        <v/>
      </c>
    </row>
    <row r="2402" spans="3:4" s="237" customFormat="1">
      <c r="C2402" s="16" t="str">
        <f>IFERROR(VLOOKUP(DATA!#REF!,DATA!#REF!,1,FALSE),"")</f>
        <v/>
      </c>
      <c r="D2402" s="16" t="str">
        <f>IFERROR(VLOOKUP(C2402,DATA!#REF!,2,FALSE),"")</f>
        <v/>
      </c>
    </row>
    <row r="2403" spans="3:4" s="237" customFormat="1">
      <c r="C2403" s="16" t="str">
        <f>IFERROR(VLOOKUP(DATA!#REF!,DATA!#REF!,1,FALSE),"")</f>
        <v/>
      </c>
      <c r="D2403" s="16" t="str">
        <f>IFERROR(VLOOKUP(C2403,DATA!#REF!,2,FALSE),"")</f>
        <v/>
      </c>
    </row>
    <row r="2404" spans="3:4" s="237" customFormat="1">
      <c r="C2404" s="16" t="str">
        <f>IFERROR(VLOOKUP(DATA!#REF!,DATA!#REF!,1,FALSE),"")</f>
        <v/>
      </c>
      <c r="D2404" s="16" t="str">
        <f>IFERROR(VLOOKUP(C2404,DATA!#REF!,2,FALSE),"")</f>
        <v/>
      </c>
    </row>
    <row r="2405" spans="3:4" s="237" customFormat="1">
      <c r="C2405" s="16" t="str">
        <f>IFERROR(VLOOKUP(DATA!#REF!,DATA!#REF!,1,FALSE),"")</f>
        <v/>
      </c>
      <c r="D2405" s="16" t="str">
        <f>IFERROR(VLOOKUP(C2405,DATA!#REF!,2,FALSE),"")</f>
        <v/>
      </c>
    </row>
    <row r="2406" spans="3:4" s="237" customFormat="1">
      <c r="C2406" s="16" t="str">
        <f>IFERROR(VLOOKUP(DATA!#REF!,DATA!#REF!,1,FALSE),"")</f>
        <v/>
      </c>
      <c r="D2406" s="16" t="str">
        <f>IFERROR(VLOOKUP(C2406,DATA!#REF!,2,FALSE),"")</f>
        <v/>
      </c>
    </row>
    <row r="2407" spans="3:4" s="237" customFormat="1">
      <c r="C2407" s="16" t="str">
        <f>IFERROR(VLOOKUP(DATA!#REF!,DATA!#REF!,1,FALSE),"")</f>
        <v/>
      </c>
      <c r="D2407" s="16" t="str">
        <f>IFERROR(VLOOKUP(C2407,DATA!#REF!,2,FALSE),"")</f>
        <v/>
      </c>
    </row>
    <row r="2408" spans="3:4" s="237" customFormat="1">
      <c r="C2408" s="16" t="str">
        <f>IFERROR(VLOOKUP(DATA!#REF!,DATA!#REF!,1,FALSE),"")</f>
        <v/>
      </c>
      <c r="D2408" s="16" t="str">
        <f>IFERROR(VLOOKUP(C2408,DATA!#REF!,2,FALSE),"")</f>
        <v/>
      </c>
    </row>
    <row r="2409" spans="3:4" s="237" customFormat="1">
      <c r="C2409" s="16" t="str">
        <f>IFERROR(VLOOKUP(DATA!#REF!,DATA!#REF!,1,FALSE),"")</f>
        <v/>
      </c>
      <c r="D2409" s="16" t="str">
        <f>IFERROR(VLOOKUP(C2409,DATA!#REF!,2,FALSE),"")</f>
        <v/>
      </c>
    </row>
    <row r="2410" spans="3:4" s="237" customFormat="1">
      <c r="C2410" s="16" t="str">
        <f>IFERROR(VLOOKUP(DATA!#REF!,DATA!#REF!,1,FALSE),"")</f>
        <v/>
      </c>
      <c r="D2410" s="16" t="str">
        <f>IFERROR(VLOOKUP(C2410,DATA!#REF!,2,FALSE),"")</f>
        <v/>
      </c>
    </row>
    <row r="2411" spans="3:4" s="237" customFormat="1">
      <c r="C2411" s="16" t="str">
        <f>IFERROR(VLOOKUP(DATA!#REF!,DATA!#REF!,1,FALSE),"")</f>
        <v/>
      </c>
      <c r="D2411" s="16" t="str">
        <f>IFERROR(VLOOKUP(C2411,DATA!#REF!,2,FALSE),"")</f>
        <v/>
      </c>
    </row>
    <row r="2412" spans="3:4" s="237" customFormat="1">
      <c r="C2412" s="16" t="str">
        <f>IFERROR(VLOOKUP(DATA!#REF!,DATA!#REF!,1,FALSE),"")</f>
        <v/>
      </c>
      <c r="D2412" s="16" t="str">
        <f>IFERROR(VLOOKUP(C2412,DATA!#REF!,2,FALSE),"")</f>
        <v/>
      </c>
    </row>
    <row r="2413" spans="3:4" s="237" customFormat="1">
      <c r="C2413" s="16" t="str">
        <f>IFERROR(VLOOKUP(DATA!#REF!,DATA!#REF!,1,FALSE),"")</f>
        <v/>
      </c>
      <c r="D2413" s="16" t="str">
        <f>IFERROR(VLOOKUP(C2413,DATA!#REF!,2,FALSE),"")</f>
        <v/>
      </c>
    </row>
    <row r="2414" spans="3:4" s="237" customFormat="1">
      <c r="C2414" s="16" t="str">
        <f>IFERROR(VLOOKUP(DATA!#REF!,DATA!#REF!,1,FALSE),"")</f>
        <v/>
      </c>
      <c r="D2414" s="16" t="str">
        <f>IFERROR(VLOOKUP(C2414,DATA!#REF!,2,FALSE),"")</f>
        <v/>
      </c>
    </row>
    <row r="2415" spans="3:4" s="237" customFormat="1">
      <c r="C2415" s="16" t="str">
        <f>IFERROR(VLOOKUP(DATA!#REF!,DATA!#REF!,1,FALSE),"")</f>
        <v/>
      </c>
      <c r="D2415" s="16" t="str">
        <f>IFERROR(VLOOKUP(C2415,DATA!#REF!,2,FALSE),"")</f>
        <v/>
      </c>
    </row>
    <row r="2416" spans="3:4" s="237" customFormat="1">
      <c r="C2416" s="16" t="str">
        <f>IFERROR(VLOOKUP(DATA!#REF!,DATA!#REF!,1,FALSE),"")</f>
        <v/>
      </c>
      <c r="D2416" s="16" t="str">
        <f>IFERROR(VLOOKUP(C2416,DATA!#REF!,2,FALSE),"")</f>
        <v/>
      </c>
    </row>
    <row r="2417" spans="3:4" s="237" customFormat="1">
      <c r="C2417" s="16" t="str">
        <f>IFERROR(VLOOKUP(DATA!#REF!,DATA!#REF!,1,FALSE),"")</f>
        <v/>
      </c>
      <c r="D2417" s="16" t="str">
        <f>IFERROR(VLOOKUP(C2417,DATA!#REF!,2,FALSE),"")</f>
        <v/>
      </c>
    </row>
    <row r="2418" spans="3:4" s="237" customFormat="1">
      <c r="C2418" s="16" t="str">
        <f>IFERROR(VLOOKUP(DATA!#REF!,DATA!#REF!,1,FALSE),"")</f>
        <v/>
      </c>
      <c r="D2418" s="16" t="str">
        <f>IFERROR(VLOOKUP(C2418,DATA!#REF!,2,FALSE),"")</f>
        <v/>
      </c>
    </row>
    <row r="2419" spans="3:4" s="237" customFormat="1">
      <c r="C2419" s="16" t="str">
        <f>IFERROR(VLOOKUP(DATA!#REF!,DATA!#REF!,1,FALSE),"")</f>
        <v/>
      </c>
      <c r="D2419" s="16" t="str">
        <f>IFERROR(VLOOKUP(C2419,DATA!#REF!,2,FALSE),"")</f>
        <v/>
      </c>
    </row>
    <row r="2420" spans="3:4" s="237" customFormat="1">
      <c r="C2420" s="16" t="str">
        <f>IFERROR(VLOOKUP(DATA!#REF!,DATA!#REF!,1,FALSE),"")</f>
        <v/>
      </c>
      <c r="D2420" s="16" t="str">
        <f>IFERROR(VLOOKUP(C2420,DATA!#REF!,2,FALSE),"")</f>
        <v/>
      </c>
    </row>
    <row r="2421" spans="3:4" s="237" customFormat="1">
      <c r="C2421" s="16" t="str">
        <f>IFERROR(VLOOKUP(DATA!#REF!,DATA!#REF!,1,FALSE),"")</f>
        <v/>
      </c>
      <c r="D2421" s="16" t="str">
        <f>IFERROR(VLOOKUP(C2421,DATA!#REF!,2,FALSE),"")</f>
        <v/>
      </c>
    </row>
    <row r="2422" spans="3:4" s="237" customFormat="1">
      <c r="C2422" s="16" t="str">
        <f>IFERROR(VLOOKUP(DATA!#REF!,DATA!#REF!,1,FALSE),"")</f>
        <v/>
      </c>
      <c r="D2422" s="16" t="str">
        <f>IFERROR(VLOOKUP(C2422,DATA!#REF!,2,FALSE),"")</f>
        <v/>
      </c>
    </row>
    <row r="2423" spans="3:4" s="237" customFormat="1">
      <c r="C2423" s="16" t="str">
        <f>IFERROR(VLOOKUP(DATA!#REF!,DATA!#REF!,1,FALSE),"")</f>
        <v/>
      </c>
      <c r="D2423" s="16" t="str">
        <f>IFERROR(VLOOKUP(C2423,DATA!#REF!,2,FALSE),"")</f>
        <v/>
      </c>
    </row>
    <row r="2424" spans="3:4" s="237" customFormat="1">
      <c r="C2424" s="16" t="str">
        <f>IFERROR(VLOOKUP(DATA!#REF!,DATA!#REF!,1,FALSE),"")</f>
        <v/>
      </c>
      <c r="D2424" s="16" t="str">
        <f>IFERROR(VLOOKUP(C2424,DATA!#REF!,2,FALSE),"")</f>
        <v/>
      </c>
    </row>
    <row r="2425" spans="3:4" s="237" customFormat="1">
      <c r="C2425" s="16" t="str">
        <f>IFERROR(VLOOKUP(DATA!#REF!,DATA!#REF!,1,FALSE),"")</f>
        <v/>
      </c>
      <c r="D2425" s="16" t="str">
        <f>IFERROR(VLOOKUP(C2425,DATA!#REF!,2,FALSE),"")</f>
        <v/>
      </c>
    </row>
    <row r="2426" spans="3:4" s="237" customFormat="1">
      <c r="C2426" s="16" t="str">
        <f>IFERROR(VLOOKUP(DATA!#REF!,DATA!#REF!,1,FALSE),"")</f>
        <v/>
      </c>
      <c r="D2426" s="16" t="str">
        <f>IFERROR(VLOOKUP(C2426,DATA!#REF!,2,FALSE),"")</f>
        <v/>
      </c>
    </row>
    <row r="2427" spans="3:4" s="237" customFormat="1">
      <c r="C2427" s="16" t="str">
        <f>IFERROR(VLOOKUP(DATA!#REF!,DATA!#REF!,1,FALSE),"")</f>
        <v/>
      </c>
      <c r="D2427" s="16" t="str">
        <f>IFERROR(VLOOKUP(C2427,DATA!#REF!,2,FALSE),"")</f>
        <v/>
      </c>
    </row>
    <row r="2428" spans="3:4" s="237" customFormat="1">
      <c r="C2428" s="16" t="str">
        <f>IFERROR(VLOOKUP(DATA!#REF!,DATA!#REF!,1,FALSE),"")</f>
        <v/>
      </c>
      <c r="D2428" s="16" t="str">
        <f>IFERROR(VLOOKUP(C2428,DATA!#REF!,2,FALSE),"")</f>
        <v/>
      </c>
    </row>
    <row r="2429" spans="3:4" s="237" customFormat="1">
      <c r="C2429" s="16" t="str">
        <f>IFERROR(VLOOKUP(DATA!#REF!,DATA!#REF!,1,FALSE),"")</f>
        <v/>
      </c>
      <c r="D2429" s="16" t="str">
        <f>IFERROR(VLOOKUP(C2429,DATA!#REF!,2,FALSE),"")</f>
        <v/>
      </c>
    </row>
    <row r="2430" spans="3:4" s="237" customFormat="1">
      <c r="C2430" s="16" t="str">
        <f>IFERROR(VLOOKUP(DATA!#REF!,DATA!#REF!,1,FALSE),"")</f>
        <v/>
      </c>
      <c r="D2430" s="16" t="str">
        <f>IFERROR(VLOOKUP(C2430,DATA!#REF!,2,FALSE),"")</f>
        <v/>
      </c>
    </row>
    <row r="2431" spans="3:4" s="237" customFormat="1">
      <c r="C2431" s="16" t="str">
        <f>IFERROR(VLOOKUP(DATA!#REF!,DATA!#REF!,1,FALSE),"")</f>
        <v/>
      </c>
      <c r="D2431" s="16" t="str">
        <f>IFERROR(VLOOKUP(C2431,DATA!#REF!,2,FALSE),"")</f>
        <v/>
      </c>
    </row>
    <row r="2432" spans="3:4" s="237" customFormat="1">
      <c r="C2432" s="16" t="str">
        <f>IFERROR(VLOOKUP(DATA!#REF!,DATA!#REF!,1,FALSE),"")</f>
        <v/>
      </c>
      <c r="D2432" s="16" t="str">
        <f>IFERROR(VLOOKUP(C2432,DATA!#REF!,2,FALSE),"")</f>
        <v/>
      </c>
    </row>
    <row r="2433" spans="3:4" s="237" customFormat="1">
      <c r="C2433" s="16" t="str">
        <f>IFERROR(VLOOKUP(DATA!#REF!,DATA!#REF!,1,FALSE),"")</f>
        <v/>
      </c>
      <c r="D2433" s="16" t="str">
        <f>IFERROR(VLOOKUP(C2433,DATA!#REF!,2,FALSE),"")</f>
        <v/>
      </c>
    </row>
    <row r="2434" spans="3:4" s="237" customFormat="1">
      <c r="C2434" s="16" t="str">
        <f>IFERROR(VLOOKUP(DATA!#REF!,DATA!#REF!,1,FALSE),"")</f>
        <v/>
      </c>
      <c r="D2434" s="16" t="str">
        <f>IFERROR(VLOOKUP(C2434,DATA!#REF!,2,FALSE),"")</f>
        <v/>
      </c>
    </row>
    <row r="2435" spans="3:4" s="237" customFormat="1">
      <c r="C2435" s="16" t="str">
        <f>IFERROR(VLOOKUP(DATA!#REF!,DATA!#REF!,1,FALSE),"")</f>
        <v/>
      </c>
      <c r="D2435" s="16" t="str">
        <f>IFERROR(VLOOKUP(C2435,DATA!#REF!,2,FALSE),"")</f>
        <v/>
      </c>
    </row>
    <row r="2436" spans="3:4" s="237" customFormat="1">
      <c r="C2436" s="16" t="str">
        <f>IFERROR(VLOOKUP(DATA!#REF!,DATA!#REF!,1,FALSE),"")</f>
        <v/>
      </c>
      <c r="D2436" s="16" t="str">
        <f>IFERROR(VLOOKUP(C2436,DATA!#REF!,2,FALSE),"")</f>
        <v/>
      </c>
    </row>
    <row r="2437" spans="3:4" s="237" customFormat="1">
      <c r="C2437" s="16" t="str">
        <f>IFERROR(VLOOKUP(DATA!#REF!,DATA!#REF!,1,FALSE),"")</f>
        <v/>
      </c>
      <c r="D2437" s="16" t="str">
        <f>IFERROR(VLOOKUP(C2437,DATA!#REF!,2,FALSE),"")</f>
        <v/>
      </c>
    </row>
    <row r="2438" spans="3:4" s="237" customFormat="1">
      <c r="C2438" s="16" t="str">
        <f>IFERROR(VLOOKUP(DATA!#REF!,DATA!#REF!,1,FALSE),"")</f>
        <v/>
      </c>
      <c r="D2438" s="16" t="str">
        <f>IFERROR(VLOOKUP(C2438,DATA!#REF!,2,FALSE),"")</f>
        <v/>
      </c>
    </row>
    <row r="2439" spans="3:4" s="237" customFormat="1">
      <c r="C2439" s="16" t="str">
        <f>IFERROR(VLOOKUP(DATA!#REF!,DATA!#REF!,1,FALSE),"")</f>
        <v/>
      </c>
      <c r="D2439" s="16" t="str">
        <f>IFERROR(VLOOKUP(C2439,DATA!#REF!,2,FALSE),"")</f>
        <v/>
      </c>
    </row>
    <row r="2440" spans="3:4" s="237" customFormat="1">
      <c r="C2440" s="16" t="str">
        <f>IFERROR(VLOOKUP(DATA!#REF!,DATA!#REF!,1,FALSE),"")</f>
        <v/>
      </c>
      <c r="D2440" s="16" t="str">
        <f>IFERROR(VLOOKUP(C2440,DATA!#REF!,2,FALSE),"")</f>
        <v/>
      </c>
    </row>
    <row r="2441" spans="3:4" s="237" customFormat="1">
      <c r="C2441" s="16" t="str">
        <f>IFERROR(VLOOKUP(DATA!#REF!,DATA!#REF!,1,FALSE),"")</f>
        <v/>
      </c>
      <c r="D2441" s="16" t="str">
        <f>IFERROR(VLOOKUP(C2441,DATA!#REF!,2,FALSE),"")</f>
        <v/>
      </c>
    </row>
    <row r="2442" spans="3:4" s="237" customFormat="1">
      <c r="C2442" s="16" t="str">
        <f>IFERROR(VLOOKUP(DATA!#REF!,DATA!#REF!,1,FALSE),"")</f>
        <v/>
      </c>
      <c r="D2442" s="16" t="str">
        <f>IFERROR(VLOOKUP(C2442,DATA!#REF!,2,FALSE),"")</f>
        <v/>
      </c>
    </row>
    <row r="2443" spans="3:4" s="237" customFormat="1">
      <c r="C2443" s="16" t="str">
        <f>IFERROR(VLOOKUP(DATA!#REF!,DATA!#REF!,1,FALSE),"")</f>
        <v/>
      </c>
      <c r="D2443" s="16" t="str">
        <f>IFERROR(VLOOKUP(C2443,DATA!#REF!,2,FALSE),"")</f>
        <v/>
      </c>
    </row>
    <row r="2444" spans="3:4" s="237" customFormat="1">
      <c r="C2444" s="16" t="str">
        <f>IFERROR(VLOOKUP(DATA!#REF!,DATA!#REF!,1,FALSE),"")</f>
        <v/>
      </c>
      <c r="D2444" s="16" t="str">
        <f>IFERROR(VLOOKUP(C2444,DATA!#REF!,2,FALSE),"")</f>
        <v/>
      </c>
    </row>
    <row r="2445" spans="3:4" s="237" customFormat="1">
      <c r="C2445" s="16" t="str">
        <f>IFERROR(VLOOKUP(DATA!#REF!,DATA!#REF!,1,FALSE),"")</f>
        <v/>
      </c>
      <c r="D2445" s="16" t="str">
        <f>IFERROR(VLOOKUP(C2445,DATA!#REF!,2,FALSE),"")</f>
        <v/>
      </c>
    </row>
    <row r="2446" spans="3:4" s="237" customFormat="1">
      <c r="C2446" s="16" t="str">
        <f>IFERROR(VLOOKUP(DATA!#REF!,DATA!#REF!,1,FALSE),"")</f>
        <v/>
      </c>
      <c r="D2446" s="16" t="str">
        <f>IFERROR(VLOOKUP(C2446,DATA!#REF!,2,FALSE),"")</f>
        <v/>
      </c>
    </row>
    <row r="2447" spans="3:4" s="237" customFormat="1">
      <c r="C2447" s="16" t="str">
        <f>IFERROR(VLOOKUP(DATA!#REF!,DATA!#REF!,1,FALSE),"")</f>
        <v/>
      </c>
      <c r="D2447" s="16" t="str">
        <f>IFERROR(VLOOKUP(C2447,DATA!#REF!,2,FALSE),"")</f>
        <v/>
      </c>
    </row>
    <row r="2448" spans="3:4" s="237" customFormat="1">
      <c r="C2448" s="16" t="str">
        <f>IFERROR(VLOOKUP(DATA!#REF!,DATA!#REF!,1,FALSE),"")</f>
        <v/>
      </c>
      <c r="D2448" s="16" t="str">
        <f>IFERROR(VLOOKUP(C2448,DATA!#REF!,2,FALSE),"")</f>
        <v/>
      </c>
    </row>
    <row r="2449" spans="3:4" s="237" customFormat="1">
      <c r="C2449" s="16" t="str">
        <f>IFERROR(VLOOKUP(DATA!#REF!,DATA!#REF!,1,FALSE),"")</f>
        <v/>
      </c>
      <c r="D2449" s="16" t="str">
        <f>IFERROR(VLOOKUP(C2449,DATA!#REF!,2,FALSE),"")</f>
        <v/>
      </c>
    </row>
    <row r="2450" spans="3:4" s="237" customFormat="1">
      <c r="C2450" s="16" t="str">
        <f>IFERROR(VLOOKUP(DATA!#REF!,DATA!#REF!,1,FALSE),"")</f>
        <v/>
      </c>
      <c r="D2450" s="16" t="str">
        <f>IFERROR(VLOOKUP(C2450,DATA!#REF!,2,FALSE),"")</f>
        <v/>
      </c>
    </row>
    <row r="2451" spans="3:4" s="237" customFormat="1">
      <c r="C2451" s="16" t="str">
        <f>IFERROR(VLOOKUP(DATA!#REF!,DATA!#REF!,1,FALSE),"")</f>
        <v/>
      </c>
      <c r="D2451" s="16" t="str">
        <f>IFERROR(VLOOKUP(C2451,DATA!#REF!,2,FALSE),"")</f>
        <v/>
      </c>
    </row>
    <row r="2452" spans="3:4" s="237" customFormat="1">
      <c r="C2452" s="16" t="str">
        <f>IFERROR(VLOOKUP(DATA!#REF!,DATA!#REF!,1,FALSE),"")</f>
        <v/>
      </c>
      <c r="D2452" s="16" t="str">
        <f>IFERROR(VLOOKUP(C2452,DATA!#REF!,2,FALSE),"")</f>
        <v/>
      </c>
    </row>
    <row r="2453" spans="3:4" s="237" customFormat="1">
      <c r="C2453" s="16" t="str">
        <f>IFERROR(VLOOKUP(DATA!#REF!,DATA!#REF!,1,FALSE),"")</f>
        <v/>
      </c>
      <c r="D2453" s="16" t="str">
        <f>IFERROR(VLOOKUP(C2453,DATA!#REF!,2,FALSE),"")</f>
        <v/>
      </c>
    </row>
    <row r="2454" spans="3:4" s="237" customFormat="1">
      <c r="C2454" s="16" t="str">
        <f>IFERROR(VLOOKUP(DATA!#REF!,DATA!#REF!,1,FALSE),"")</f>
        <v/>
      </c>
      <c r="D2454" s="16" t="str">
        <f>IFERROR(VLOOKUP(C2454,DATA!#REF!,2,FALSE),"")</f>
        <v/>
      </c>
    </row>
    <row r="2455" spans="3:4" s="237" customFormat="1">
      <c r="C2455" s="16" t="str">
        <f>IFERROR(VLOOKUP(DATA!#REF!,DATA!#REF!,1,FALSE),"")</f>
        <v/>
      </c>
      <c r="D2455" s="16" t="str">
        <f>IFERROR(VLOOKUP(C2455,DATA!#REF!,2,FALSE),"")</f>
        <v/>
      </c>
    </row>
    <row r="2456" spans="3:4" s="237" customFormat="1">
      <c r="C2456" s="16" t="str">
        <f>IFERROR(VLOOKUP(DATA!#REF!,DATA!#REF!,1,FALSE),"")</f>
        <v/>
      </c>
      <c r="D2456" s="16" t="str">
        <f>IFERROR(VLOOKUP(C2456,DATA!#REF!,2,FALSE),"")</f>
        <v/>
      </c>
    </row>
    <row r="2457" spans="3:4" s="237" customFormat="1">
      <c r="C2457" s="16" t="str">
        <f>IFERROR(VLOOKUP(DATA!#REF!,DATA!#REF!,1,FALSE),"")</f>
        <v/>
      </c>
      <c r="D2457" s="16" t="str">
        <f>IFERROR(VLOOKUP(C2457,DATA!#REF!,2,FALSE),"")</f>
        <v/>
      </c>
    </row>
    <row r="2458" spans="3:4" s="237" customFormat="1">
      <c r="C2458" s="16" t="str">
        <f>IFERROR(VLOOKUP(DATA!#REF!,DATA!#REF!,1,FALSE),"")</f>
        <v/>
      </c>
      <c r="D2458" s="16" t="str">
        <f>IFERROR(VLOOKUP(C2458,DATA!#REF!,2,FALSE),"")</f>
        <v/>
      </c>
    </row>
    <row r="2459" spans="3:4" s="237" customFormat="1">
      <c r="C2459" s="16" t="str">
        <f>IFERROR(VLOOKUP(DATA!#REF!,DATA!#REF!,1,FALSE),"")</f>
        <v/>
      </c>
      <c r="D2459" s="16" t="str">
        <f>IFERROR(VLOOKUP(C2459,DATA!#REF!,2,FALSE),"")</f>
        <v/>
      </c>
    </row>
    <row r="2460" spans="3:4" s="237" customFormat="1">
      <c r="C2460" s="16" t="str">
        <f>IFERROR(VLOOKUP(DATA!#REF!,DATA!#REF!,1,FALSE),"")</f>
        <v/>
      </c>
      <c r="D2460" s="16" t="str">
        <f>IFERROR(VLOOKUP(C2460,DATA!#REF!,2,FALSE),"")</f>
        <v/>
      </c>
    </row>
    <row r="2461" spans="3:4" s="237" customFormat="1">
      <c r="C2461" s="16" t="str">
        <f>IFERROR(VLOOKUP(DATA!#REF!,DATA!#REF!,1,FALSE),"")</f>
        <v/>
      </c>
      <c r="D2461" s="16" t="str">
        <f>IFERROR(VLOOKUP(C2461,DATA!#REF!,2,FALSE),"")</f>
        <v/>
      </c>
    </row>
    <row r="2462" spans="3:4" s="237" customFormat="1">
      <c r="C2462" s="16" t="str">
        <f>IFERROR(VLOOKUP(DATA!#REF!,DATA!#REF!,1,FALSE),"")</f>
        <v/>
      </c>
      <c r="D2462" s="16" t="str">
        <f>IFERROR(VLOOKUP(C2462,DATA!#REF!,2,FALSE),"")</f>
        <v/>
      </c>
    </row>
    <row r="2463" spans="3:4" s="237" customFormat="1">
      <c r="C2463" s="16" t="str">
        <f>IFERROR(VLOOKUP(DATA!#REF!,DATA!#REF!,1,FALSE),"")</f>
        <v/>
      </c>
      <c r="D2463" s="16" t="str">
        <f>IFERROR(VLOOKUP(C2463,DATA!#REF!,2,FALSE),"")</f>
        <v/>
      </c>
    </row>
    <row r="2464" spans="3:4" s="237" customFormat="1">
      <c r="C2464" s="16" t="str">
        <f>IFERROR(VLOOKUP(DATA!#REF!,DATA!#REF!,1,FALSE),"")</f>
        <v/>
      </c>
      <c r="D2464" s="16" t="str">
        <f>IFERROR(VLOOKUP(C2464,DATA!#REF!,2,FALSE),"")</f>
        <v/>
      </c>
    </row>
    <row r="2465" spans="3:4" s="237" customFormat="1">
      <c r="C2465" s="16" t="str">
        <f>IFERROR(VLOOKUP(DATA!#REF!,DATA!#REF!,1,FALSE),"")</f>
        <v/>
      </c>
      <c r="D2465" s="16" t="str">
        <f>IFERROR(VLOOKUP(C2465,DATA!#REF!,2,FALSE),"")</f>
        <v/>
      </c>
    </row>
    <row r="2466" spans="3:4" s="237" customFormat="1">
      <c r="C2466" s="16" t="str">
        <f>IFERROR(VLOOKUP(DATA!#REF!,DATA!#REF!,1,FALSE),"")</f>
        <v/>
      </c>
      <c r="D2466" s="16" t="str">
        <f>IFERROR(VLOOKUP(C2466,DATA!#REF!,2,FALSE),"")</f>
        <v/>
      </c>
    </row>
    <row r="2467" spans="3:4" s="237" customFormat="1">
      <c r="C2467" s="16" t="str">
        <f>IFERROR(VLOOKUP(DATA!#REF!,DATA!#REF!,1,FALSE),"")</f>
        <v/>
      </c>
      <c r="D2467" s="16" t="str">
        <f>IFERROR(VLOOKUP(C2467,DATA!#REF!,2,FALSE),"")</f>
        <v/>
      </c>
    </row>
    <row r="2468" spans="3:4" s="237" customFormat="1">
      <c r="C2468" s="16" t="str">
        <f>IFERROR(VLOOKUP(DATA!#REF!,DATA!#REF!,1,FALSE),"")</f>
        <v/>
      </c>
      <c r="D2468" s="16" t="str">
        <f>IFERROR(VLOOKUP(C2468,DATA!#REF!,2,FALSE),"")</f>
        <v/>
      </c>
    </row>
    <row r="2469" spans="3:4" s="237" customFormat="1">
      <c r="C2469" s="16" t="str">
        <f>IFERROR(VLOOKUP(DATA!#REF!,DATA!#REF!,1,FALSE),"")</f>
        <v/>
      </c>
      <c r="D2469" s="16" t="str">
        <f>IFERROR(VLOOKUP(C2469,DATA!#REF!,2,FALSE),"")</f>
        <v/>
      </c>
    </row>
    <row r="2470" spans="3:4" s="237" customFormat="1">
      <c r="C2470" s="16" t="str">
        <f>IFERROR(VLOOKUP(DATA!#REF!,DATA!#REF!,1,FALSE),"")</f>
        <v/>
      </c>
      <c r="D2470" s="16" t="str">
        <f>IFERROR(VLOOKUP(C2470,DATA!#REF!,2,FALSE),"")</f>
        <v/>
      </c>
    </row>
    <row r="2471" spans="3:4" s="237" customFormat="1">
      <c r="C2471" s="16" t="str">
        <f>IFERROR(VLOOKUP(DATA!#REF!,DATA!#REF!,1,FALSE),"")</f>
        <v/>
      </c>
      <c r="D2471" s="16" t="str">
        <f>IFERROR(VLOOKUP(C2471,DATA!#REF!,2,FALSE),"")</f>
        <v/>
      </c>
    </row>
    <row r="2472" spans="3:4" s="237" customFormat="1">
      <c r="C2472" s="16" t="str">
        <f>IFERROR(VLOOKUP(DATA!#REF!,DATA!#REF!,1,FALSE),"")</f>
        <v/>
      </c>
      <c r="D2472" s="16" t="str">
        <f>IFERROR(VLOOKUP(C2472,DATA!#REF!,2,FALSE),"")</f>
        <v/>
      </c>
    </row>
    <row r="2473" spans="3:4" s="237" customFormat="1">
      <c r="C2473" s="16" t="str">
        <f>IFERROR(VLOOKUP(DATA!#REF!,DATA!#REF!,1,FALSE),"")</f>
        <v/>
      </c>
      <c r="D2473" s="16" t="str">
        <f>IFERROR(VLOOKUP(C2473,DATA!#REF!,2,FALSE),"")</f>
        <v/>
      </c>
    </row>
    <row r="2474" spans="3:4" s="237" customFormat="1">
      <c r="C2474" s="16" t="str">
        <f>IFERROR(VLOOKUP(DATA!#REF!,DATA!#REF!,1,FALSE),"")</f>
        <v/>
      </c>
      <c r="D2474" s="16" t="str">
        <f>IFERROR(VLOOKUP(C2474,DATA!#REF!,2,FALSE),"")</f>
        <v/>
      </c>
    </row>
    <row r="2475" spans="3:4" s="237" customFormat="1">
      <c r="C2475" s="16" t="str">
        <f>IFERROR(VLOOKUP(DATA!#REF!,DATA!#REF!,1,FALSE),"")</f>
        <v/>
      </c>
      <c r="D2475" s="16" t="str">
        <f>IFERROR(VLOOKUP(C2475,DATA!#REF!,2,FALSE),"")</f>
        <v/>
      </c>
    </row>
    <row r="2476" spans="3:4" s="237" customFormat="1">
      <c r="C2476" s="16" t="str">
        <f>IFERROR(VLOOKUP(DATA!#REF!,DATA!#REF!,1,FALSE),"")</f>
        <v/>
      </c>
      <c r="D2476" s="16" t="str">
        <f>IFERROR(VLOOKUP(C2476,DATA!#REF!,2,FALSE),"")</f>
        <v/>
      </c>
    </row>
    <row r="2477" spans="3:4" s="237" customFormat="1">
      <c r="C2477" s="16" t="str">
        <f>IFERROR(VLOOKUP(DATA!#REF!,DATA!#REF!,1,FALSE),"")</f>
        <v/>
      </c>
      <c r="D2477" s="16" t="str">
        <f>IFERROR(VLOOKUP(C2477,DATA!#REF!,2,FALSE),"")</f>
        <v/>
      </c>
    </row>
    <row r="2478" spans="3:4" s="237" customFormat="1">
      <c r="C2478" s="16" t="str">
        <f>IFERROR(VLOOKUP(DATA!#REF!,DATA!#REF!,1,FALSE),"")</f>
        <v/>
      </c>
      <c r="D2478" s="16" t="str">
        <f>IFERROR(VLOOKUP(C2478,DATA!#REF!,2,FALSE),"")</f>
        <v/>
      </c>
    </row>
    <row r="2479" spans="3:4" s="237" customFormat="1">
      <c r="C2479" s="16" t="str">
        <f>IFERROR(VLOOKUP(DATA!#REF!,DATA!#REF!,1,FALSE),"")</f>
        <v/>
      </c>
      <c r="D2479" s="16" t="str">
        <f>IFERROR(VLOOKUP(C2479,DATA!#REF!,2,FALSE),"")</f>
        <v/>
      </c>
    </row>
    <row r="2480" spans="3:4" s="237" customFormat="1">
      <c r="C2480" s="16" t="str">
        <f>IFERROR(VLOOKUP(DATA!#REF!,DATA!#REF!,1,FALSE),"")</f>
        <v/>
      </c>
      <c r="D2480" s="16" t="str">
        <f>IFERROR(VLOOKUP(C2480,DATA!#REF!,2,FALSE),"")</f>
        <v/>
      </c>
    </row>
    <row r="2481" spans="3:4" s="237" customFormat="1">
      <c r="C2481" s="16" t="str">
        <f>IFERROR(VLOOKUP(DATA!#REF!,DATA!#REF!,1,FALSE),"")</f>
        <v/>
      </c>
      <c r="D2481" s="16" t="str">
        <f>IFERROR(VLOOKUP(C2481,DATA!#REF!,2,FALSE),"")</f>
        <v/>
      </c>
    </row>
    <row r="2482" spans="3:4" s="237" customFormat="1">
      <c r="C2482" s="16" t="str">
        <f>IFERROR(VLOOKUP(DATA!#REF!,DATA!#REF!,1,FALSE),"")</f>
        <v/>
      </c>
      <c r="D2482" s="16" t="str">
        <f>IFERROR(VLOOKUP(C2482,DATA!#REF!,2,FALSE),"")</f>
        <v/>
      </c>
    </row>
    <row r="2483" spans="3:4" s="237" customFormat="1">
      <c r="C2483" s="16" t="str">
        <f>IFERROR(VLOOKUP(DATA!#REF!,DATA!#REF!,1,FALSE),"")</f>
        <v/>
      </c>
      <c r="D2483" s="16" t="str">
        <f>IFERROR(VLOOKUP(C2483,DATA!#REF!,2,FALSE),"")</f>
        <v/>
      </c>
    </row>
    <row r="2484" spans="3:4" s="237" customFormat="1">
      <c r="C2484" s="16" t="str">
        <f>IFERROR(VLOOKUP(DATA!#REF!,DATA!#REF!,1,FALSE),"")</f>
        <v/>
      </c>
      <c r="D2484" s="16" t="str">
        <f>IFERROR(VLOOKUP(C2484,DATA!#REF!,2,FALSE),"")</f>
        <v/>
      </c>
    </row>
    <row r="2485" spans="3:4" s="237" customFormat="1">
      <c r="C2485" s="16" t="str">
        <f>IFERROR(VLOOKUP(DATA!#REF!,DATA!#REF!,1,FALSE),"")</f>
        <v/>
      </c>
      <c r="D2485" s="16" t="str">
        <f>IFERROR(VLOOKUP(C2485,DATA!#REF!,2,FALSE),"")</f>
        <v/>
      </c>
    </row>
    <row r="2486" spans="3:4" s="237" customFormat="1">
      <c r="C2486" s="16" t="str">
        <f>IFERROR(VLOOKUP(DATA!#REF!,DATA!#REF!,1,FALSE),"")</f>
        <v/>
      </c>
      <c r="D2486" s="16" t="str">
        <f>IFERROR(VLOOKUP(C2486,DATA!#REF!,2,FALSE),"")</f>
        <v/>
      </c>
    </row>
    <row r="2487" spans="3:4" s="237" customFormat="1">
      <c r="C2487" s="16" t="str">
        <f>IFERROR(VLOOKUP(DATA!#REF!,DATA!#REF!,1,FALSE),"")</f>
        <v/>
      </c>
      <c r="D2487" s="16" t="str">
        <f>IFERROR(VLOOKUP(C2487,DATA!#REF!,2,FALSE),"")</f>
        <v/>
      </c>
    </row>
    <row r="2488" spans="3:4" s="237" customFormat="1">
      <c r="C2488" s="16" t="str">
        <f>IFERROR(VLOOKUP(DATA!#REF!,DATA!#REF!,1,FALSE),"")</f>
        <v/>
      </c>
      <c r="D2488" s="16" t="str">
        <f>IFERROR(VLOOKUP(C2488,DATA!#REF!,2,FALSE),"")</f>
        <v/>
      </c>
    </row>
    <row r="2489" spans="3:4" s="237" customFormat="1">
      <c r="C2489" s="16" t="str">
        <f>IFERROR(VLOOKUP(DATA!#REF!,DATA!#REF!,1,FALSE),"")</f>
        <v/>
      </c>
      <c r="D2489" s="16" t="str">
        <f>IFERROR(VLOOKUP(C2489,DATA!#REF!,2,FALSE),"")</f>
        <v/>
      </c>
    </row>
    <row r="2490" spans="3:4" s="237" customFormat="1">
      <c r="C2490" s="16" t="str">
        <f>IFERROR(VLOOKUP(DATA!#REF!,DATA!#REF!,1,FALSE),"")</f>
        <v/>
      </c>
      <c r="D2490" s="16" t="str">
        <f>IFERROR(VLOOKUP(C2490,DATA!#REF!,2,FALSE),"")</f>
        <v/>
      </c>
    </row>
    <row r="2491" spans="3:4" s="237" customFormat="1">
      <c r="C2491" s="16" t="str">
        <f>IFERROR(VLOOKUP(DATA!#REF!,DATA!#REF!,1,FALSE),"")</f>
        <v/>
      </c>
      <c r="D2491" s="16" t="str">
        <f>IFERROR(VLOOKUP(C2491,DATA!#REF!,2,FALSE),"")</f>
        <v/>
      </c>
    </row>
    <row r="2492" spans="3:4" s="237" customFormat="1">
      <c r="C2492" s="16" t="str">
        <f>IFERROR(VLOOKUP(DATA!#REF!,DATA!#REF!,1,FALSE),"")</f>
        <v/>
      </c>
      <c r="D2492" s="16" t="str">
        <f>IFERROR(VLOOKUP(C2492,DATA!#REF!,2,FALSE),"")</f>
        <v/>
      </c>
    </row>
    <row r="2493" spans="3:4" s="237" customFormat="1">
      <c r="C2493" s="16" t="str">
        <f>IFERROR(VLOOKUP(DATA!#REF!,DATA!#REF!,1,FALSE),"")</f>
        <v/>
      </c>
      <c r="D2493" s="16" t="str">
        <f>IFERROR(VLOOKUP(C2493,DATA!#REF!,2,FALSE),"")</f>
        <v/>
      </c>
    </row>
    <row r="2494" spans="3:4" s="237" customFormat="1">
      <c r="C2494" s="16" t="str">
        <f>IFERROR(VLOOKUP(DATA!#REF!,DATA!#REF!,1,FALSE),"")</f>
        <v/>
      </c>
      <c r="D2494" s="16" t="str">
        <f>IFERROR(VLOOKUP(C2494,DATA!#REF!,2,FALSE),"")</f>
        <v/>
      </c>
    </row>
    <row r="2495" spans="3:4" s="237" customFormat="1">
      <c r="C2495" s="16" t="str">
        <f>IFERROR(VLOOKUP(DATA!#REF!,DATA!#REF!,1,FALSE),"")</f>
        <v/>
      </c>
      <c r="D2495" s="16" t="str">
        <f>IFERROR(VLOOKUP(C2495,DATA!#REF!,2,FALSE),"")</f>
        <v/>
      </c>
    </row>
    <row r="2496" spans="3:4" s="237" customFormat="1">
      <c r="C2496" s="16" t="str">
        <f>IFERROR(VLOOKUP(DATA!#REF!,DATA!#REF!,1,FALSE),"")</f>
        <v/>
      </c>
      <c r="D2496" s="16" t="str">
        <f>IFERROR(VLOOKUP(C2496,DATA!#REF!,2,FALSE),"")</f>
        <v/>
      </c>
    </row>
    <row r="2497" spans="3:4" s="237" customFormat="1">
      <c r="C2497" s="16" t="str">
        <f>IFERROR(VLOOKUP(DATA!#REF!,DATA!#REF!,1,FALSE),"")</f>
        <v/>
      </c>
      <c r="D2497" s="16" t="str">
        <f>IFERROR(VLOOKUP(C2497,DATA!#REF!,2,FALSE),"")</f>
        <v/>
      </c>
    </row>
    <row r="2498" spans="3:4" s="237" customFormat="1">
      <c r="C2498" s="16" t="str">
        <f>IFERROR(VLOOKUP(DATA!#REF!,DATA!#REF!,1,FALSE),"")</f>
        <v/>
      </c>
      <c r="D2498" s="16" t="str">
        <f>IFERROR(VLOOKUP(C2498,DATA!#REF!,2,FALSE),"")</f>
        <v/>
      </c>
    </row>
    <row r="2499" spans="3:4" s="237" customFormat="1">
      <c r="C2499" s="16" t="str">
        <f>IFERROR(VLOOKUP(DATA!#REF!,DATA!#REF!,1,FALSE),"")</f>
        <v/>
      </c>
      <c r="D2499" s="16" t="str">
        <f>IFERROR(VLOOKUP(C2499,DATA!#REF!,2,FALSE),"")</f>
        <v/>
      </c>
    </row>
    <row r="2500" spans="3:4" s="237" customFormat="1">
      <c r="C2500" s="16" t="str">
        <f>IFERROR(VLOOKUP(DATA!#REF!,DATA!#REF!,1,FALSE),"")</f>
        <v/>
      </c>
      <c r="D2500" s="16" t="str">
        <f>IFERROR(VLOOKUP(C2500,DATA!#REF!,2,FALSE),"")</f>
        <v/>
      </c>
    </row>
    <row r="2501" spans="3:4" s="237" customFormat="1">
      <c r="C2501" s="16" t="str">
        <f>IFERROR(VLOOKUP(DATA!#REF!,DATA!#REF!,1,FALSE),"")</f>
        <v/>
      </c>
      <c r="D2501" s="16" t="str">
        <f>IFERROR(VLOOKUP(C2501,DATA!#REF!,2,FALSE),"")</f>
        <v/>
      </c>
    </row>
    <row r="2502" spans="3:4" s="237" customFormat="1">
      <c r="C2502" s="16" t="str">
        <f>IFERROR(VLOOKUP(DATA!#REF!,DATA!#REF!,1,FALSE),"")</f>
        <v/>
      </c>
      <c r="D2502" s="16" t="str">
        <f>IFERROR(VLOOKUP(C2502,DATA!#REF!,2,FALSE),"")</f>
        <v/>
      </c>
    </row>
    <row r="2503" spans="3:4" s="237" customFormat="1">
      <c r="C2503" s="16" t="str">
        <f>IFERROR(VLOOKUP(DATA!#REF!,DATA!#REF!,1,FALSE),"")</f>
        <v/>
      </c>
      <c r="D2503" s="16" t="str">
        <f>IFERROR(VLOOKUP(C2503,DATA!#REF!,2,FALSE),"")</f>
        <v/>
      </c>
    </row>
    <row r="2504" spans="3:4" s="237" customFormat="1">
      <c r="C2504" s="16" t="str">
        <f>IFERROR(VLOOKUP(DATA!#REF!,DATA!#REF!,1,FALSE),"")</f>
        <v/>
      </c>
      <c r="D2504" s="16" t="str">
        <f>IFERROR(VLOOKUP(C2504,DATA!#REF!,2,FALSE),"")</f>
        <v/>
      </c>
    </row>
    <row r="2505" spans="3:4" s="237" customFormat="1">
      <c r="C2505" s="16" t="str">
        <f>IFERROR(VLOOKUP(DATA!#REF!,DATA!#REF!,1,FALSE),"")</f>
        <v/>
      </c>
      <c r="D2505" s="16" t="str">
        <f>IFERROR(VLOOKUP(C2505,DATA!#REF!,2,FALSE),"")</f>
        <v/>
      </c>
    </row>
    <row r="2506" spans="3:4" s="237" customFormat="1">
      <c r="C2506" s="16" t="str">
        <f>IFERROR(VLOOKUP(DATA!#REF!,DATA!#REF!,1,FALSE),"")</f>
        <v/>
      </c>
      <c r="D2506" s="16" t="str">
        <f>IFERROR(VLOOKUP(C2506,DATA!#REF!,2,FALSE),"")</f>
        <v/>
      </c>
    </row>
    <row r="2507" spans="3:4" s="237" customFormat="1">
      <c r="C2507" s="16" t="str">
        <f>IFERROR(VLOOKUP(DATA!#REF!,DATA!#REF!,1,FALSE),"")</f>
        <v/>
      </c>
      <c r="D2507" s="16" t="str">
        <f>IFERROR(VLOOKUP(C2507,DATA!#REF!,2,FALSE),"")</f>
        <v/>
      </c>
    </row>
    <row r="2508" spans="3:4" s="237" customFormat="1">
      <c r="C2508" s="16" t="str">
        <f>IFERROR(VLOOKUP(DATA!#REF!,DATA!#REF!,1,FALSE),"")</f>
        <v/>
      </c>
      <c r="D2508" s="16" t="str">
        <f>IFERROR(VLOOKUP(C2508,DATA!#REF!,2,FALSE),"")</f>
        <v/>
      </c>
    </row>
    <row r="2509" spans="3:4" s="237" customFormat="1">
      <c r="C2509" s="16" t="str">
        <f>IFERROR(VLOOKUP(DATA!#REF!,DATA!#REF!,1,FALSE),"")</f>
        <v/>
      </c>
      <c r="D2509" s="16" t="str">
        <f>IFERROR(VLOOKUP(C2509,DATA!#REF!,2,FALSE),"")</f>
        <v/>
      </c>
    </row>
    <row r="2510" spans="3:4" s="237" customFormat="1">
      <c r="C2510" s="16" t="str">
        <f>IFERROR(VLOOKUP(DATA!#REF!,DATA!#REF!,1,FALSE),"")</f>
        <v/>
      </c>
      <c r="D2510" s="16" t="str">
        <f>IFERROR(VLOOKUP(C2510,DATA!#REF!,2,FALSE),"")</f>
        <v/>
      </c>
    </row>
    <row r="2511" spans="3:4" s="237" customFormat="1">
      <c r="C2511" s="16" t="str">
        <f>IFERROR(VLOOKUP(DATA!#REF!,DATA!#REF!,1,FALSE),"")</f>
        <v/>
      </c>
      <c r="D2511" s="16" t="str">
        <f>IFERROR(VLOOKUP(C2511,DATA!#REF!,2,FALSE),"")</f>
        <v/>
      </c>
    </row>
    <row r="2512" spans="3:4" s="237" customFormat="1">
      <c r="C2512" s="16" t="str">
        <f>IFERROR(VLOOKUP(DATA!#REF!,DATA!#REF!,1,FALSE),"")</f>
        <v/>
      </c>
      <c r="D2512" s="16" t="str">
        <f>IFERROR(VLOOKUP(C2512,DATA!#REF!,2,FALSE),"")</f>
        <v/>
      </c>
    </row>
    <row r="2513" spans="3:4" s="237" customFormat="1">
      <c r="C2513" s="16" t="str">
        <f>IFERROR(VLOOKUP(DATA!#REF!,DATA!#REF!,1,FALSE),"")</f>
        <v/>
      </c>
      <c r="D2513" s="16" t="str">
        <f>IFERROR(VLOOKUP(C2513,DATA!#REF!,2,FALSE),"")</f>
        <v/>
      </c>
    </row>
    <row r="2514" spans="3:4" s="237" customFormat="1">
      <c r="C2514" s="16" t="str">
        <f>IFERROR(VLOOKUP(DATA!#REF!,DATA!#REF!,1,FALSE),"")</f>
        <v/>
      </c>
      <c r="D2514" s="16" t="str">
        <f>IFERROR(VLOOKUP(C2514,DATA!#REF!,2,FALSE),"")</f>
        <v/>
      </c>
    </row>
    <row r="2515" spans="3:4" s="237" customFormat="1">
      <c r="C2515" s="16" t="str">
        <f>IFERROR(VLOOKUP(DATA!#REF!,DATA!#REF!,1,FALSE),"")</f>
        <v/>
      </c>
      <c r="D2515" s="16" t="str">
        <f>IFERROR(VLOOKUP(C2515,DATA!#REF!,2,FALSE),"")</f>
        <v/>
      </c>
    </row>
    <row r="2516" spans="3:4" s="237" customFormat="1">
      <c r="C2516" s="16" t="str">
        <f>IFERROR(VLOOKUP(DATA!#REF!,DATA!#REF!,1,FALSE),"")</f>
        <v/>
      </c>
      <c r="D2516" s="16" t="str">
        <f>IFERROR(VLOOKUP(C2516,DATA!#REF!,2,FALSE),"")</f>
        <v/>
      </c>
    </row>
    <row r="2517" spans="3:4" s="237" customFormat="1">
      <c r="C2517" s="16" t="str">
        <f>IFERROR(VLOOKUP(DATA!#REF!,DATA!#REF!,1,FALSE),"")</f>
        <v/>
      </c>
      <c r="D2517" s="16" t="str">
        <f>IFERROR(VLOOKUP(C2517,DATA!#REF!,2,FALSE),"")</f>
        <v/>
      </c>
    </row>
    <row r="2518" spans="3:4" s="237" customFormat="1">
      <c r="C2518" s="16" t="str">
        <f>IFERROR(VLOOKUP(DATA!#REF!,DATA!#REF!,1,FALSE),"")</f>
        <v/>
      </c>
      <c r="D2518" s="16" t="str">
        <f>IFERROR(VLOOKUP(C2518,DATA!#REF!,2,FALSE),"")</f>
        <v/>
      </c>
    </row>
    <row r="2519" spans="3:4" s="237" customFormat="1">
      <c r="C2519" s="16" t="str">
        <f>IFERROR(VLOOKUP(DATA!#REF!,DATA!#REF!,1,FALSE),"")</f>
        <v/>
      </c>
      <c r="D2519" s="16" t="str">
        <f>IFERROR(VLOOKUP(C2519,DATA!#REF!,2,FALSE),"")</f>
        <v/>
      </c>
    </row>
    <row r="2520" spans="3:4" s="237" customFormat="1">
      <c r="C2520" s="16" t="str">
        <f>IFERROR(VLOOKUP(DATA!#REF!,DATA!#REF!,1,FALSE),"")</f>
        <v/>
      </c>
      <c r="D2520" s="16" t="str">
        <f>IFERROR(VLOOKUP(C2520,DATA!#REF!,2,FALSE),"")</f>
        <v/>
      </c>
    </row>
    <row r="2521" spans="3:4" s="237" customFormat="1">
      <c r="C2521" s="16" t="str">
        <f>IFERROR(VLOOKUP(DATA!#REF!,DATA!#REF!,1,FALSE),"")</f>
        <v/>
      </c>
      <c r="D2521" s="16" t="str">
        <f>IFERROR(VLOOKUP(C2521,DATA!#REF!,2,FALSE),"")</f>
        <v/>
      </c>
    </row>
    <row r="2522" spans="3:4" s="237" customFormat="1">
      <c r="C2522" s="16" t="str">
        <f>IFERROR(VLOOKUP(DATA!#REF!,DATA!#REF!,1,FALSE),"")</f>
        <v/>
      </c>
      <c r="D2522" s="16" t="str">
        <f>IFERROR(VLOOKUP(C2522,DATA!#REF!,2,FALSE),"")</f>
        <v/>
      </c>
    </row>
    <row r="2523" spans="3:4" s="237" customFormat="1">
      <c r="C2523" s="16" t="str">
        <f>IFERROR(VLOOKUP(DATA!#REF!,DATA!#REF!,1,FALSE),"")</f>
        <v/>
      </c>
      <c r="D2523" s="16" t="str">
        <f>IFERROR(VLOOKUP(C2523,DATA!#REF!,2,FALSE),"")</f>
        <v/>
      </c>
    </row>
    <row r="2524" spans="3:4" s="237" customFormat="1">
      <c r="C2524" s="16" t="str">
        <f>IFERROR(VLOOKUP(DATA!#REF!,DATA!#REF!,1,FALSE),"")</f>
        <v/>
      </c>
      <c r="D2524" s="16" t="str">
        <f>IFERROR(VLOOKUP(C2524,DATA!#REF!,2,FALSE),"")</f>
        <v/>
      </c>
    </row>
    <row r="2525" spans="3:4" s="237" customFormat="1">
      <c r="C2525" s="16" t="str">
        <f>IFERROR(VLOOKUP(DATA!#REF!,DATA!#REF!,1,FALSE),"")</f>
        <v/>
      </c>
      <c r="D2525" s="16" t="str">
        <f>IFERROR(VLOOKUP(C2525,DATA!#REF!,2,FALSE),"")</f>
        <v/>
      </c>
    </row>
    <row r="2526" spans="3:4" s="237" customFormat="1">
      <c r="C2526" s="16" t="str">
        <f>IFERROR(VLOOKUP(DATA!#REF!,DATA!#REF!,1,FALSE),"")</f>
        <v/>
      </c>
      <c r="D2526" s="16" t="str">
        <f>IFERROR(VLOOKUP(C2526,DATA!#REF!,2,FALSE),"")</f>
        <v/>
      </c>
    </row>
    <row r="2527" spans="3:4" s="237" customFormat="1">
      <c r="C2527" s="16" t="str">
        <f>IFERROR(VLOOKUP(DATA!#REF!,DATA!#REF!,1,FALSE),"")</f>
        <v/>
      </c>
      <c r="D2527" s="16" t="str">
        <f>IFERROR(VLOOKUP(C2527,DATA!#REF!,2,FALSE),"")</f>
        <v/>
      </c>
    </row>
    <row r="2528" spans="3:4" s="237" customFormat="1">
      <c r="C2528" s="16" t="str">
        <f>IFERROR(VLOOKUP(DATA!#REF!,DATA!#REF!,1,FALSE),"")</f>
        <v/>
      </c>
      <c r="D2528" s="16" t="str">
        <f>IFERROR(VLOOKUP(C2528,DATA!#REF!,2,FALSE),"")</f>
        <v/>
      </c>
    </row>
    <row r="2529" spans="3:4" s="237" customFormat="1">
      <c r="C2529" s="16" t="str">
        <f>IFERROR(VLOOKUP(DATA!#REF!,DATA!#REF!,1,FALSE),"")</f>
        <v/>
      </c>
      <c r="D2529" s="16" t="str">
        <f>IFERROR(VLOOKUP(C2529,DATA!#REF!,2,FALSE),"")</f>
        <v/>
      </c>
    </row>
    <row r="2530" spans="3:4" s="237" customFormat="1">
      <c r="C2530" s="16" t="str">
        <f>IFERROR(VLOOKUP(DATA!#REF!,DATA!#REF!,1,FALSE),"")</f>
        <v/>
      </c>
      <c r="D2530" s="16" t="str">
        <f>IFERROR(VLOOKUP(C2530,DATA!#REF!,2,FALSE),"")</f>
        <v/>
      </c>
    </row>
    <row r="2531" spans="3:4" s="237" customFormat="1">
      <c r="C2531" s="16" t="str">
        <f>IFERROR(VLOOKUP(DATA!#REF!,DATA!#REF!,1,FALSE),"")</f>
        <v/>
      </c>
      <c r="D2531" s="16" t="str">
        <f>IFERROR(VLOOKUP(C2531,DATA!#REF!,2,FALSE),"")</f>
        <v/>
      </c>
    </row>
    <row r="2532" spans="3:4" s="237" customFormat="1">
      <c r="C2532" s="16" t="str">
        <f>IFERROR(VLOOKUP(DATA!#REF!,DATA!#REF!,1,FALSE),"")</f>
        <v/>
      </c>
      <c r="D2532" s="16" t="str">
        <f>IFERROR(VLOOKUP(C2532,DATA!#REF!,2,FALSE),"")</f>
        <v/>
      </c>
    </row>
    <row r="2533" spans="3:4" s="237" customFormat="1">
      <c r="C2533" s="16" t="str">
        <f>IFERROR(VLOOKUP(DATA!#REF!,DATA!#REF!,1,FALSE),"")</f>
        <v/>
      </c>
      <c r="D2533" s="16" t="str">
        <f>IFERROR(VLOOKUP(C2533,DATA!#REF!,2,FALSE),"")</f>
        <v/>
      </c>
    </row>
    <row r="2534" spans="3:4" s="237" customFormat="1">
      <c r="C2534" s="16" t="str">
        <f>IFERROR(VLOOKUP(DATA!#REF!,DATA!#REF!,1,FALSE),"")</f>
        <v/>
      </c>
      <c r="D2534" s="16" t="str">
        <f>IFERROR(VLOOKUP(C2534,DATA!#REF!,2,FALSE),"")</f>
        <v/>
      </c>
    </row>
    <row r="2535" spans="3:4" s="237" customFormat="1">
      <c r="C2535" s="16" t="str">
        <f>IFERROR(VLOOKUP(DATA!#REF!,DATA!#REF!,1,FALSE),"")</f>
        <v/>
      </c>
      <c r="D2535" s="16" t="str">
        <f>IFERROR(VLOOKUP(C2535,DATA!#REF!,2,FALSE),"")</f>
        <v/>
      </c>
    </row>
    <row r="2536" spans="3:4" s="237" customFormat="1">
      <c r="C2536" s="16" t="str">
        <f>IFERROR(VLOOKUP(DATA!#REF!,DATA!#REF!,1,FALSE),"")</f>
        <v/>
      </c>
      <c r="D2536" s="16" t="str">
        <f>IFERROR(VLOOKUP(C2536,DATA!#REF!,2,FALSE),"")</f>
        <v/>
      </c>
    </row>
    <row r="2537" spans="3:4" s="237" customFormat="1">
      <c r="C2537" s="16" t="str">
        <f>IFERROR(VLOOKUP(DATA!#REF!,DATA!#REF!,1,FALSE),"")</f>
        <v/>
      </c>
      <c r="D2537" s="16" t="str">
        <f>IFERROR(VLOOKUP(C2537,DATA!#REF!,2,FALSE),"")</f>
        <v/>
      </c>
    </row>
    <row r="2538" spans="3:4" s="237" customFormat="1">
      <c r="C2538" s="16" t="str">
        <f>IFERROR(VLOOKUP(DATA!#REF!,DATA!#REF!,1,FALSE),"")</f>
        <v/>
      </c>
      <c r="D2538" s="16" t="str">
        <f>IFERROR(VLOOKUP(C2538,DATA!#REF!,2,FALSE),"")</f>
        <v/>
      </c>
    </row>
    <row r="2539" spans="3:4" s="237" customFormat="1">
      <c r="C2539" s="16" t="str">
        <f>IFERROR(VLOOKUP(DATA!#REF!,DATA!#REF!,1,FALSE),"")</f>
        <v/>
      </c>
      <c r="D2539" s="16" t="str">
        <f>IFERROR(VLOOKUP(C2539,DATA!#REF!,2,FALSE),"")</f>
        <v/>
      </c>
    </row>
    <row r="2540" spans="3:4" s="237" customFormat="1">
      <c r="C2540" s="16" t="str">
        <f>IFERROR(VLOOKUP(DATA!#REF!,DATA!#REF!,1,FALSE),"")</f>
        <v/>
      </c>
      <c r="D2540" s="16" t="str">
        <f>IFERROR(VLOOKUP(C2540,DATA!#REF!,2,FALSE),"")</f>
        <v/>
      </c>
    </row>
    <row r="2541" spans="3:4" s="237" customFormat="1">
      <c r="C2541" s="16" t="str">
        <f>IFERROR(VLOOKUP(DATA!#REF!,DATA!#REF!,1,FALSE),"")</f>
        <v/>
      </c>
      <c r="D2541" s="16" t="str">
        <f>IFERROR(VLOOKUP(C2541,DATA!#REF!,2,FALSE),"")</f>
        <v/>
      </c>
    </row>
    <row r="2542" spans="3:4" s="237" customFormat="1">
      <c r="C2542" s="16" t="str">
        <f>IFERROR(VLOOKUP(DATA!#REF!,DATA!#REF!,1,FALSE),"")</f>
        <v/>
      </c>
      <c r="D2542" s="16" t="str">
        <f>IFERROR(VLOOKUP(C2542,DATA!#REF!,2,FALSE),"")</f>
        <v/>
      </c>
    </row>
    <row r="2543" spans="3:4" s="237" customFormat="1">
      <c r="C2543" s="16" t="str">
        <f>IFERROR(VLOOKUP(DATA!#REF!,DATA!#REF!,1,FALSE),"")</f>
        <v/>
      </c>
      <c r="D2543" s="16" t="str">
        <f>IFERROR(VLOOKUP(C2543,DATA!#REF!,2,FALSE),"")</f>
        <v/>
      </c>
    </row>
    <row r="2544" spans="3:4" s="237" customFormat="1">
      <c r="C2544" s="16" t="str">
        <f>IFERROR(VLOOKUP(DATA!#REF!,DATA!#REF!,1,FALSE),"")</f>
        <v/>
      </c>
      <c r="D2544" s="16" t="str">
        <f>IFERROR(VLOOKUP(C2544,DATA!#REF!,2,FALSE),"")</f>
        <v/>
      </c>
    </row>
    <row r="2545" spans="3:4" s="237" customFormat="1">
      <c r="C2545" s="16" t="str">
        <f>IFERROR(VLOOKUP(DATA!#REF!,DATA!#REF!,1,FALSE),"")</f>
        <v/>
      </c>
      <c r="D2545" s="16" t="str">
        <f>IFERROR(VLOOKUP(C2545,DATA!#REF!,2,FALSE),"")</f>
        <v/>
      </c>
    </row>
    <row r="2546" spans="3:4" s="237" customFormat="1">
      <c r="C2546" s="16" t="str">
        <f>IFERROR(VLOOKUP(DATA!#REF!,DATA!#REF!,1,FALSE),"")</f>
        <v/>
      </c>
      <c r="D2546" s="16" t="str">
        <f>IFERROR(VLOOKUP(C2546,DATA!#REF!,2,FALSE),"")</f>
        <v/>
      </c>
    </row>
    <row r="2547" spans="3:4" s="237" customFormat="1">
      <c r="C2547" s="16" t="str">
        <f>IFERROR(VLOOKUP(DATA!#REF!,DATA!#REF!,1,FALSE),"")</f>
        <v/>
      </c>
      <c r="D2547" s="16" t="str">
        <f>IFERROR(VLOOKUP(C2547,DATA!#REF!,2,FALSE),"")</f>
        <v/>
      </c>
    </row>
    <row r="2548" spans="3:4" s="237" customFormat="1">
      <c r="C2548" s="16" t="str">
        <f>IFERROR(VLOOKUP(DATA!#REF!,DATA!#REF!,1,FALSE),"")</f>
        <v/>
      </c>
      <c r="D2548" s="16" t="str">
        <f>IFERROR(VLOOKUP(C2548,DATA!#REF!,2,FALSE),"")</f>
        <v/>
      </c>
    </row>
    <row r="2549" spans="3:4" s="237" customFormat="1">
      <c r="C2549" s="16" t="str">
        <f>IFERROR(VLOOKUP(DATA!#REF!,DATA!#REF!,1,FALSE),"")</f>
        <v/>
      </c>
      <c r="D2549" s="16" t="str">
        <f>IFERROR(VLOOKUP(C2549,DATA!#REF!,2,FALSE),"")</f>
        <v/>
      </c>
    </row>
    <row r="2550" spans="3:4" s="237" customFormat="1">
      <c r="C2550" s="16" t="str">
        <f>IFERROR(VLOOKUP(DATA!#REF!,DATA!#REF!,1,FALSE),"")</f>
        <v/>
      </c>
      <c r="D2550" s="16" t="str">
        <f>IFERROR(VLOOKUP(C2550,DATA!#REF!,2,FALSE),"")</f>
        <v/>
      </c>
    </row>
    <row r="2551" spans="3:4" s="237" customFormat="1">
      <c r="C2551" s="16" t="str">
        <f>IFERROR(VLOOKUP(DATA!#REF!,DATA!#REF!,1,FALSE),"")</f>
        <v/>
      </c>
      <c r="D2551" s="16" t="str">
        <f>IFERROR(VLOOKUP(C2551,DATA!#REF!,2,FALSE),"")</f>
        <v/>
      </c>
    </row>
    <row r="2552" spans="3:4" s="237" customFormat="1">
      <c r="C2552" s="16" t="str">
        <f>IFERROR(VLOOKUP(DATA!#REF!,DATA!#REF!,1,FALSE),"")</f>
        <v/>
      </c>
      <c r="D2552" s="16" t="str">
        <f>IFERROR(VLOOKUP(C2552,DATA!#REF!,2,FALSE),"")</f>
        <v/>
      </c>
    </row>
    <row r="2553" spans="3:4" s="237" customFormat="1">
      <c r="C2553" s="16" t="str">
        <f>IFERROR(VLOOKUP(DATA!#REF!,DATA!#REF!,1,FALSE),"")</f>
        <v/>
      </c>
      <c r="D2553" s="16" t="str">
        <f>IFERROR(VLOOKUP(C2553,DATA!#REF!,2,FALSE),"")</f>
        <v/>
      </c>
    </row>
    <row r="2554" spans="3:4" s="237" customFormat="1">
      <c r="C2554" s="16" t="str">
        <f>IFERROR(VLOOKUP(DATA!#REF!,DATA!#REF!,1,FALSE),"")</f>
        <v/>
      </c>
      <c r="D2554" s="16" t="str">
        <f>IFERROR(VLOOKUP(C2554,DATA!#REF!,2,FALSE),"")</f>
        <v/>
      </c>
    </row>
    <row r="2555" spans="3:4" s="237" customFormat="1">
      <c r="C2555" s="16" t="str">
        <f>IFERROR(VLOOKUP(DATA!#REF!,DATA!#REF!,1,FALSE),"")</f>
        <v/>
      </c>
      <c r="D2555" s="16" t="str">
        <f>IFERROR(VLOOKUP(C2555,DATA!#REF!,2,FALSE),"")</f>
        <v/>
      </c>
    </row>
    <row r="2556" spans="3:4" s="237" customFormat="1">
      <c r="C2556" s="16" t="str">
        <f>IFERROR(VLOOKUP(DATA!#REF!,DATA!#REF!,1,FALSE),"")</f>
        <v/>
      </c>
      <c r="D2556" s="16" t="str">
        <f>IFERROR(VLOOKUP(C2556,DATA!#REF!,2,FALSE),"")</f>
        <v/>
      </c>
    </row>
    <row r="2557" spans="3:4" s="237" customFormat="1">
      <c r="C2557" s="16" t="str">
        <f>IFERROR(VLOOKUP(DATA!#REF!,DATA!#REF!,1,FALSE),"")</f>
        <v/>
      </c>
      <c r="D2557" s="16" t="str">
        <f>IFERROR(VLOOKUP(C2557,DATA!#REF!,2,FALSE),"")</f>
        <v/>
      </c>
    </row>
    <row r="2558" spans="3:4" s="237" customFormat="1">
      <c r="C2558" s="16" t="str">
        <f>IFERROR(VLOOKUP(DATA!#REF!,DATA!#REF!,1,FALSE),"")</f>
        <v/>
      </c>
      <c r="D2558" s="16" t="str">
        <f>IFERROR(VLOOKUP(C2558,DATA!#REF!,2,FALSE),"")</f>
        <v/>
      </c>
    </row>
    <row r="2559" spans="3:4" s="237" customFormat="1">
      <c r="C2559" s="16" t="str">
        <f>IFERROR(VLOOKUP(DATA!#REF!,DATA!#REF!,1,FALSE),"")</f>
        <v/>
      </c>
      <c r="D2559" s="16" t="str">
        <f>IFERROR(VLOOKUP(C2559,DATA!#REF!,2,FALSE),"")</f>
        <v/>
      </c>
    </row>
    <row r="2560" spans="3:4" s="237" customFormat="1">
      <c r="C2560" s="16" t="str">
        <f>IFERROR(VLOOKUP(DATA!#REF!,DATA!#REF!,1,FALSE),"")</f>
        <v/>
      </c>
      <c r="D2560" s="16" t="str">
        <f>IFERROR(VLOOKUP(C2560,DATA!#REF!,2,FALSE),"")</f>
        <v/>
      </c>
    </row>
    <row r="2561" spans="3:4" s="237" customFormat="1">
      <c r="C2561" s="16" t="str">
        <f>IFERROR(VLOOKUP(DATA!#REF!,DATA!#REF!,1,FALSE),"")</f>
        <v/>
      </c>
      <c r="D2561" s="16" t="str">
        <f>IFERROR(VLOOKUP(C2561,DATA!#REF!,2,FALSE),"")</f>
        <v/>
      </c>
    </row>
    <row r="2562" spans="3:4" s="237" customFormat="1">
      <c r="C2562" s="16" t="str">
        <f>IFERROR(VLOOKUP(DATA!#REF!,DATA!#REF!,1,FALSE),"")</f>
        <v/>
      </c>
      <c r="D2562" s="16" t="str">
        <f>IFERROR(VLOOKUP(C2562,DATA!#REF!,2,FALSE),"")</f>
        <v/>
      </c>
    </row>
    <row r="2563" spans="3:4" s="237" customFormat="1">
      <c r="C2563" s="16" t="str">
        <f>IFERROR(VLOOKUP(DATA!#REF!,DATA!#REF!,1,FALSE),"")</f>
        <v/>
      </c>
      <c r="D2563" s="16" t="str">
        <f>IFERROR(VLOOKUP(C2563,DATA!#REF!,2,FALSE),"")</f>
        <v/>
      </c>
    </row>
    <row r="2564" spans="3:4" s="237" customFormat="1">
      <c r="C2564" s="16" t="str">
        <f>IFERROR(VLOOKUP(DATA!#REF!,DATA!#REF!,1,FALSE),"")</f>
        <v/>
      </c>
      <c r="D2564" s="16" t="str">
        <f>IFERROR(VLOOKUP(C2564,DATA!#REF!,2,FALSE),"")</f>
        <v/>
      </c>
    </row>
    <row r="2565" spans="3:4" s="237" customFormat="1">
      <c r="C2565" s="16" t="str">
        <f>IFERROR(VLOOKUP(DATA!#REF!,DATA!#REF!,1,FALSE),"")</f>
        <v/>
      </c>
      <c r="D2565" s="16" t="str">
        <f>IFERROR(VLOOKUP(C2565,DATA!#REF!,2,FALSE),"")</f>
        <v/>
      </c>
    </row>
    <row r="2566" spans="3:4" s="237" customFormat="1">
      <c r="C2566" s="16" t="str">
        <f>IFERROR(VLOOKUP(DATA!#REF!,DATA!#REF!,1,FALSE),"")</f>
        <v/>
      </c>
      <c r="D2566" s="16" t="str">
        <f>IFERROR(VLOOKUP(C2566,DATA!#REF!,2,FALSE),"")</f>
        <v/>
      </c>
    </row>
    <row r="2567" spans="3:4" s="237" customFormat="1">
      <c r="C2567" s="16" t="str">
        <f>IFERROR(VLOOKUP(DATA!#REF!,DATA!#REF!,1,FALSE),"")</f>
        <v/>
      </c>
      <c r="D2567" s="16" t="str">
        <f>IFERROR(VLOOKUP(C2567,DATA!#REF!,2,FALSE),"")</f>
        <v/>
      </c>
    </row>
    <row r="2568" spans="3:4" s="237" customFormat="1">
      <c r="C2568" s="16" t="str">
        <f>IFERROR(VLOOKUP(DATA!#REF!,DATA!#REF!,1,FALSE),"")</f>
        <v/>
      </c>
      <c r="D2568" s="16" t="str">
        <f>IFERROR(VLOOKUP(C2568,DATA!#REF!,2,FALSE),"")</f>
        <v/>
      </c>
    </row>
    <row r="2569" spans="3:4" s="237" customFormat="1">
      <c r="C2569" s="16" t="str">
        <f>IFERROR(VLOOKUP(DATA!#REF!,DATA!#REF!,1,FALSE),"")</f>
        <v/>
      </c>
      <c r="D2569" s="16" t="str">
        <f>IFERROR(VLOOKUP(C2569,DATA!#REF!,2,FALSE),"")</f>
        <v/>
      </c>
    </row>
    <row r="2570" spans="3:4" s="237" customFormat="1">
      <c r="C2570" s="16" t="str">
        <f>IFERROR(VLOOKUP(DATA!#REF!,DATA!#REF!,1,FALSE),"")</f>
        <v/>
      </c>
      <c r="D2570" s="16" t="str">
        <f>IFERROR(VLOOKUP(C2570,DATA!#REF!,2,FALSE),"")</f>
        <v/>
      </c>
    </row>
    <row r="2571" spans="3:4" s="237" customFormat="1">
      <c r="C2571" s="16" t="str">
        <f>IFERROR(VLOOKUP(DATA!#REF!,DATA!#REF!,1,FALSE),"")</f>
        <v/>
      </c>
      <c r="D2571" s="16" t="str">
        <f>IFERROR(VLOOKUP(C2571,DATA!#REF!,2,FALSE),"")</f>
        <v/>
      </c>
    </row>
    <row r="2572" spans="3:4" s="237" customFormat="1">
      <c r="C2572" s="16" t="str">
        <f>IFERROR(VLOOKUP(DATA!#REF!,DATA!#REF!,1,FALSE),"")</f>
        <v/>
      </c>
      <c r="D2572" s="16" t="str">
        <f>IFERROR(VLOOKUP(C2572,DATA!#REF!,2,FALSE),"")</f>
        <v/>
      </c>
    </row>
    <row r="2573" spans="3:4" s="237" customFormat="1">
      <c r="C2573" s="16" t="str">
        <f>IFERROR(VLOOKUP(DATA!#REF!,DATA!#REF!,1,FALSE),"")</f>
        <v/>
      </c>
      <c r="D2573" s="16" t="str">
        <f>IFERROR(VLOOKUP(C2573,DATA!#REF!,2,FALSE),"")</f>
        <v/>
      </c>
    </row>
    <row r="2574" spans="3:4" s="237" customFormat="1">
      <c r="C2574" s="16" t="str">
        <f>IFERROR(VLOOKUP(DATA!#REF!,DATA!#REF!,1,FALSE),"")</f>
        <v/>
      </c>
      <c r="D2574" s="16" t="str">
        <f>IFERROR(VLOOKUP(C2574,DATA!#REF!,2,FALSE),"")</f>
        <v/>
      </c>
    </row>
    <row r="2575" spans="3:4" s="237" customFormat="1">
      <c r="C2575" s="16" t="str">
        <f>IFERROR(VLOOKUP(DATA!#REF!,DATA!#REF!,1,FALSE),"")</f>
        <v/>
      </c>
      <c r="D2575" s="16" t="str">
        <f>IFERROR(VLOOKUP(C2575,DATA!#REF!,2,FALSE),"")</f>
        <v/>
      </c>
    </row>
    <row r="2576" spans="3:4" s="237" customFormat="1">
      <c r="C2576" s="16" t="str">
        <f>IFERROR(VLOOKUP(DATA!#REF!,DATA!#REF!,1,FALSE),"")</f>
        <v/>
      </c>
      <c r="D2576" s="16" t="str">
        <f>IFERROR(VLOOKUP(C2576,DATA!#REF!,2,FALSE),"")</f>
        <v/>
      </c>
    </row>
    <row r="2577" spans="3:4" s="237" customFormat="1">
      <c r="C2577" s="16" t="str">
        <f>IFERROR(VLOOKUP(DATA!#REF!,DATA!#REF!,1,FALSE),"")</f>
        <v/>
      </c>
      <c r="D2577" s="16" t="str">
        <f>IFERROR(VLOOKUP(C2577,DATA!#REF!,2,FALSE),"")</f>
        <v/>
      </c>
    </row>
    <row r="2578" spans="3:4" s="237" customFormat="1">
      <c r="C2578" s="16" t="str">
        <f>IFERROR(VLOOKUP(DATA!#REF!,DATA!#REF!,1,FALSE),"")</f>
        <v/>
      </c>
      <c r="D2578" s="16" t="str">
        <f>IFERROR(VLOOKUP(C2578,DATA!#REF!,2,FALSE),"")</f>
        <v/>
      </c>
    </row>
    <row r="2579" spans="3:4" s="237" customFormat="1">
      <c r="C2579" s="16" t="str">
        <f>IFERROR(VLOOKUP(DATA!#REF!,DATA!#REF!,1,FALSE),"")</f>
        <v/>
      </c>
      <c r="D2579" s="16" t="str">
        <f>IFERROR(VLOOKUP(C2579,DATA!#REF!,2,FALSE),"")</f>
        <v/>
      </c>
    </row>
    <row r="2580" spans="3:4" s="237" customFormat="1">
      <c r="C2580" s="16" t="str">
        <f>IFERROR(VLOOKUP(DATA!#REF!,DATA!#REF!,1,FALSE),"")</f>
        <v/>
      </c>
      <c r="D2580" s="16" t="str">
        <f>IFERROR(VLOOKUP(C2580,DATA!#REF!,2,FALSE),"")</f>
        <v/>
      </c>
    </row>
    <row r="2581" spans="3:4" s="237" customFormat="1">
      <c r="C2581" s="16" t="str">
        <f>IFERROR(VLOOKUP(DATA!#REF!,DATA!#REF!,1,FALSE),"")</f>
        <v/>
      </c>
      <c r="D2581" s="16" t="str">
        <f>IFERROR(VLOOKUP(C2581,DATA!#REF!,2,FALSE),"")</f>
        <v/>
      </c>
    </row>
    <row r="2582" spans="3:4" s="237" customFormat="1">
      <c r="C2582" s="16" t="str">
        <f>IFERROR(VLOOKUP(DATA!#REF!,DATA!#REF!,1,FALSE),"")</f>
        <v/>
      </c>
      <c r="D2582" s="16" t="str">
        <f>IFERROR(VLOOKUP(C2582,DATA!#REF!,2,FALSE),"")</f>
        <v/>
      </c>
    </row>
    <row r="2583" spans="3:4" s="237" customFormat="1">
      <c r="C2583" s="16" t="str">
        <f>IFERROR(VLOOKUP(DATA!#REF!,DATA!#REF!,1,FALSE),"")</f>
        <v/>
      </c>
      <c r="D2583" s="16" t="str">
        <f>IFERROR(VLOOKUP(C2583,DATA!#REF!,2,FALSE),"")</f>
        <v/>
      </c>
    </row>
    <row r="2584" spans="3:4" s="237" customFormat="1">
      <c r="C2584" s="16" t="str">
        <f>IFERROR(VLOOKUP(DATA!#REF!,DATA!#REF!,1,FALSE),"")</f>
        <v/>
      </c>
      <c r="D2584" s="16" t="str">
        <f>IFERROR(VLOOKUP(C2584,DATA!#REF!,2,FALSE),"")</f>
        <v/>
      </c>
    </row>
    <row r="2585" spans="3:4" s="237" customFormat="1">
      <c r="C2585" s="16" t="str">
        <f>IFERROR(VLOOKUP(DATA!#REF!,DATA!#REF!,1,FALSE),"")</f>
        <v/>
      </c>
      <c r="D2585" s="16" t="str">
        <f>IFERROR(VLOOKUP(C2585,DATA!#REF!,2,FALSE),"")</f>
        <v/>
      </c>
    </row>
    <row r="2586" spans="3:4" s="237" customFormat="1">
      <c r="C2586" s="16" t="str">
        <f>IFERROR(VLOOKUP(DATA!#REF!,DATA!#REF!,1,FALSE),"")</f>
        <v/>
      </c>
      <c r="D2586" s="16" t="str">
        <f>IFERROR(VLOOKUP(C2586,DATA!#REF!,2,FALSE),"")</f>
        <v/>
      </c>
    </row>
    <row r="2587" spans="3:4" s="237" customFormat="1">
      <c r="C2587" s="16" t="str">
        <f>IFERROR(VLOOKUP(DATA!#REF!,DATA!#REF!,1,FALSE),"")</f>
        <v/>
      </c>
      <c r="D2587" s="16" t="str">
        <f>IFERROR(VLOOKUP(C2587,DATA!#REF!,2,FALSE),"")</f>
        <v/>
      </c>
    </row>
    <row r="2588" spans="3:4" s="237" customFormat="1">
      <c r="C2588" s="16" t="str">
        <f>IFERROR(VLOOKUP(DATA!#REF!,DATA!#REF!,1,FALSE),"")</f>
        <v/>
      </c>
      <c r="D2588" s="16" t="str">
        <f>IFERROR(VLOOKUP(C2588,DATA!#REF!,2,FALSE),"")</f>
        <v/>
      </c>
    </row>
    <row r="2589" spans="3:4" s="237" customFormat="1">
      <c r="C2589" s="16" t="str">
        <f>IFERROR(VLOOKUP(DATA!#REF!,DATA!#REF!,1,FALSE),"")</f>
        <v/>
      </c>
      <c r="D2589" s="16" t="str">
        <f>IFERROR(VLOOKUP(C2589,DATA!#REF!,2,FALSE),"")</f>
        <v/>
      </c>
    </row>
    <row r="2590" spans="3:4" s="237" customFormat="1">
      <c r="C2590" s="16" t="str">
        <f>IFERROR(VLOOKUP(DATA!#REF!,DATA!#REF!,1,FALSE),"")</f>
        <v/>
      </c>
      <c r="D2590" s="16" t="str">
        <f>IFERROR(VLOOKUP(C2590,DATA!#REF!,2,FALSE),"")</f>
        <v/>
      </c>
    </row>
    <row r="2591" spans="3:4" s="237" customFormat="1">
      <c r="C2591" s="16" t="str">
        <f>IFERROR(VLOOKUP(DATA!#REF!,DATA!#REF!,1,FALSE),"")</f>
        <v/>
      </c>
      <c r="D2591" s="16" t="str">
        <f>IFERROR(VLOOKUP(C2591,DATA!#REF!,2,FALSE),"")</f>
        <v/>
      </c>
    </row>
    <row r="2592" spans="3:4" s="237" customFormat="1">
      <c r="C2592" s="16" t="str">
        <f>IFERROR(VLOOKUP(DATA!#REF!,DATA!#REF!,1,FALSE),"")</f>
        <v/>
      </c>
      <c r="D2592" s="16" t="str">
        <f>IFERROR(VLOOKUP(C2592,DATA!#REF!,2,FALSE),"")</f>
        <v/>
      </c>
    </row>
    <row r="2593" spans="3:4" s="237" customFormat="1">
      <c r="C2593" s="16" t="str">
        <f>IFERROR(VLOOKUP(DATA!#REF!,DATA!#REF!,1,FALSE),"")</f>
        <v/>
      </c>
      <c r="D2593" s="16" t="str">
        <f>IFERROR(VLOOKUP(C2593,DATA!#REF!,2,FALSE),"")</f>
        <v/>
      </c>
    </row>
    <row r="2594" spans="3:4" s="237" customFormat="1">
      <c r="C2594" s="16" t="str">
        <f>IFERROR(VLOOKUP(DATA!#REF!,DATA!#REF!,1,FALSE),"")</f>
        <v/>
      </c>
      <c r="D2594" s="16" t="str">
        <f>IFERROR(VLOOKUP(C2594,DATA!#REF!,2,FALSE),"")</f>
        <v/>
      </c>
    </row>
    <row r="2595" spans="3:4" s="237" customFormat="1">
      <c r="C2595" s="16" t="str">
        <f>IFERROR(VLOOKUP(DATA!#REF!,DATA!#REF!,1,FALSE),"")</f>
        <v/>
      </c>
      <c r="D2595" s="16" t="str">
        <f>IFERROR(VLOOKUP(C2595,DATA!#REF!,2,FALSE),"")</f>
        <v/>
      </c>
    </row>
    <row r="2596" spans="3:4" s="237" customFormat="1">
      <c r="C2596" s="16" t="str">
        <f>IFERROR(VLOOKUP(DATA!#REF!,DATA!#REF!,1,FALSE),"")</f>
        <v/>
      </c>
      <c r="D2596" s="16" t="str">
        <f>IFERROR(VLOOKUP(C2596,DATA!#REF!,2,FALSE),"")</f>
        <v/>
      </c>
    </row>
    <row r="2597" spans="3:4" s="237" customFormat="1">
      <c r="C2597" s="16" t="str">
        <f>IFERROR(VLOOKUP(DATA!#REF!,DATA!#REF!,1,FALSE),"")</f>
        <v/>
      </c>
      <c r="D2597" s="16" t="str">
        <f>IFERROR(VLOOKUP(C2597,DATA!#REF!,2,FALSE),"")</f>
        <v/>
      </c>
    </row>
    <row r="2598" spans="3:4" s="237" customFormat="1">
      <c r="C2598" s="16" t="str">
        <f>IFERROR(VLOOKUP(DATA!#REF!,DATA!#REF!,1,FALSE),"")</f>
        <v/>
      </c>
      <c r="D2598" s="16" t="str">
        <f>IFERROR(VLOOKUP(C2598,DATA!#REF!,2,FALSE),"")</f>
        <v/>
      </c>
    </row>
    <row r="2599" spans="3:4" s="237" customFormat="1">
      <c r="C2599" s="16" t="str">
        <f>IFERROR(VLOOKUP(DATA!#REF!,DATA!#REF!,1,FALSE),"")</f>
        <v/>
      </c>
      <c r="D2599" s="16" t="str">
        <f>IFERROR(VLOOKUP(C2599,DATA!#REF!,2,FALSE),"")</f>
        <v/>
      </c>
    </row>
    <row r="2600" spans="3:4" s="237" customFormat="1">
      <c r="C2600" s="16" t="str">
        <f>IFERROR(VLOOKUP(DATA!#REF!,DATA!#REF!,1,FALSE),"")</f>
        <v/>
      </c>
      <c r="D2600" s="16" t="str">
        <f>IFERROR(VLOOKUP(C2600,DATA!#REF!,2,FALSE),"")</f>
        <v/>
      </c>
    </row>
    <row r="2601" spans="3:4" s="237" customFormat="1">
      <c r="C2601" s="16" t="str">
        <f>IFERROR(VLOOKUP(DATA!#REF!,DATA!#REF!,1,FALSE),"")</f>
        <v/>
      </c>
      <c r="D2601" s="16" t="str">
        <f>IFERROR(VLOOKUP(C2601,DATA!#REF!,2,FALSE),"")</f>
        <v/>
      </c>
    </row>
    <row r="2602" spans="3:4" s="237" customFormat="1">
      <c r="C2602" s="16" t="str">
        <f>IFERROR(VLOOKUP(DATA!#REF!,DATA!#REF!,1,FALSE),"")</f>
        <v/>
      </c>
      <c r="D2602" s="16" t="str">
        <f>IFERROR(VLOOKUP(C2602,DATA!#REF!,2,FALSE),"")</f>
        <v/>
      </c>
    </row>
    <row r="2603" spans="3:4" s="237" customFormat="1">
      <c r="C2603" s="16" t="str">
        <f>IFERROR(VLOOKUP(DATA!#REF!,DATA!#REF!,1,FALSE),"")</f>
        <v/>
      </c>
      <c r="D2603" s="16" t="str">
        <f>IFERROR(VLOOKUP(C2603,DATA!#REF!,2,FALSE),"")</f>
        <v/>
      </c>
    </row>
    <row r="2604" spans="3:4" s="237" customFormat="1">
      <c r="C2604" s="16" t="str">
        <f>IFERROR(VLOOKUP(DATA!#REF!,DATA!#REF!,1,FALSE),"")</f>
        <v/>
      </c>
      <c r="D2604" s="16" t="str">
        <f>IFERROR(VLOOKUP(C2604,DATA!#REF!,2,FALSE),"")</f>
        <v/>
      </c>
    </row>
    <row r="2605" spans="3:4" s="237" customFormat="1">
      <c r="C2605" s="16" t="str">
        <f>IFERROR(VLOOKUP(DATA!#REF!,DATA!#REF!,1,FALSE),"")</f>
        <v/>
      </c>
      <c r="D2605" s="16" t="str">
        <f>IFERROR(VLOOKUP(C2605,DATA!#REF!,2,FALSE),"")</f>
        <v/>
      </c>
    </row>
    <row r="2606" spans="3:4" s="237" customFormat="1">
      <c r="C2606" s="16" t="str">
        <f>IFERROR(VLOOKUP(DATA!#REF!,DATA!#REF!,1,FALSE),"")</f>
        <v/>
      </c>
      <c r="D2606" s="16" t="str">
        <f>IFERROR(VLOOKUP(C2606,DATA!#REF!,2,FALSE),"")</f>
        <v/>
      </c>
    </row>
    <row r="2607" spans="3:4" s="237" customFormat="1">
      <c r="C2607" s="16" t="str">
        <f>IFERROR(VLOOKUP(DATA!#REF!,DATA!#REF!,1,FALSE),"")</f>
        <v/>
      </c>
      <c r="D2607" s="16" t="str">
        <f>IFERROR(VLOOKUP(C2607,DATA!#REF!,2,FALSE),"")</f>
        <v/>
      </c>
    </row>
    <row r="2608" spans="3:4" s="237" customFormat="1">
      <c r="C2608" s="16" t="str">
        <f>IFERROR(VLOOKUP(DATA!#REF!,DATA!#REF!,1,FALSE),"")</f>
        <v/>
      </c>
      <c r="D2608" s="16" t="str">
        <f>IFERROR(VLOOKUP(C2608,DATA!#REF!,2,FALSE),"")</f>
        <v/>
      </c>
    </row>
    <row r="2609" spans="3:4" s="237" customFormat="1">
      <c r="C2609" s="16" t="str">
        <f>IFERROR(VLOOKUP(DATA!#REF!,DATA!#REF!,1,FALSE),"")</f>
        <v/>
      </c>
      <c r="D2609" s="16" t="str">
        <f>IFERROR(VLOOKUP(C2609,DATA!#REF!,2,FALSE),"")</f>
        <v/>
      </c>
    </row>
    <row r="2610" spans="3:4" s="237" customFormat="1">
      <c r="C2610" s="16" t="str">
        <f>IFERROR(VLOOKUP(DATA!#REF!,DATA!#REF!,1,FALSE),"")</f>
        <v/>
      </c>
      <c r="D2610" s="16" t="str">
        <f>IFERROR(VLOOKUP(C2610,DATA!#REF!,2,FALSE),"")</f>
        <v/>
      </c>
    </row>
    <row r="2611" spans="3:4" s="237" customFormat="1">
      <c r="C2611" s="16" t="str">
        <f>IFERROR(VLOOKUP(DATA!#REF!,DATA!#REF!,1,FALSE),"")</f>
        <v/>
      </c>
      <c r="D2611" s="16" t="str">
        <f>IFERROR(VLOOKUP(C2611,DATA!#REF!,2,FALSE),"")</f>
        <v/>
      </c>
    </row>
    <row r="2612" spans="3:4" s="237" customFormat="1">
      <c r="C2612" s="16" t="str">
        <f>IFERROR(VLOOKUP(DATA!#REF!,DATA!#REF!,1,FALSE),"")</f>
        <v/>
      </c>
      <c r="D2612" s="16" t="str">
        <f>IFERROR(VLOOKUP(C2612,DATA!#REF!,2,FALSE),"")</f>
        <v/>
      </c>
    </row>
    <row r="2613" spans="3:4" s="237" customFormat="1">
      <c r="C2613" s="16" t="str">
        <f>IFERROR(VLOOKUP(DATA!#REF!,DATA!#REF!,1,FALSE),"")</f>
        <v/>
      </c>
      <c r="D2613" s="16" t="str">
        <f>IFERROR(VLOOKUP(C2613,DATA!#REF!,2,FALSE),"")</f>
        <v/>
      </c>
    </row>
    <row r="2614" spans="3:4" s="237" customFormat="1">
      <c r="C2614" s="16" t="str">
        <f>IFERROR(VLOOKUP(DATA!#REF!,DATA!#REF!,1,FALSE),"")</f>
        <v/>
      </c>
      <c r="D2614" s="16" t="str">
        <f>IFERROR(VLOOKUP(C2614,DATA!#REF!,2,FALSE),"")</f>
        <v/>
      </c>
    </row>
    <row r="2615" spans="3:4" s="237" customFormat="1">
      <c r="C2615" s="16" t="str">
        <f>IFERROR(VLOOKUP(DATA!#REF!,DATA!#REF!,1,FALSE),"")</f>
        <v/>
      </c>
      <c r="D2615" s="16" t="str">
        <f>IFERROR(VLOOKUP(C2615,DATA!#REF!,2,FALSE),"")</f>
        <v/>
      </c>
    </row>
    <row r="2616" spans="3:4" s="237" customFormat="1">
      <c r="C2616" s="16" t="str">
        <f>IFERROR(VLOOKUP(DATA!#REF!,DATA!#REF!,1,FALSE),"")</f>
        <v/>
      </c>
      <c r="D2616" s="16" t="str">
        <f>IFERROR(VLOOKUP(C2616,DATA!#REF!,2,FALSE),"")</f>
        <v/>
      </c>
    </row>
    <row r="2617" spans="3:4" s="237" customFormat="1">
      <c r="C2617" s="16" t="str">
        <f>IFERROR(VLOOKUP(DATA!#REF!,DATA!#REF!,1,FALSE),"")</f>
        <v/>
      </c>
      <c r="D2617" s="16" t="str">
        <f>IFERROR(VLOOKUP(C2617,DATA!#REF!,2,FALSE),"")</f>
        <v/>
      </c>
    </row>
    <row r="2618" spans="3:4" s="237" customFormat="1">
      <c r="C2618" s="16" t="str">
        <f>IFERROR(VLOOKUP(DATA!#REF!,DATA!#REF!,1,FALSE),"")</f>
        <v/>
      </c>
      <c r="D2618" s="16" t="str">
        <f>IFERROR(VLOOKUP(C2618,DATA!#REF!,2,FALSE),"")</f>
        <v/>
      </c>
    </row>
    <row r="2619" spans="3:4" s="237" customFormat="1">
      <c r="C2619" s="16" t="str">
        <f>IFERROR(VLOOKUP(DATA!#REF!,DATA!#REF!,1,FALSE),"")</f>
        <v/>
      </c>
      <c r="D2619" s="16" t="str">
        <f>IFERROR(VLOOKUP(C2619,DATA!#REF!,2,FALSE),"")</f>
        <v/>
      </c>
    </row>
    <row r="2620" spans="3:4" s="237" customFormat="1">
      <c r="C2620" s="16" t="str">
        <f>IFERROR(VLOOKUP(DATA!#REF!,DATA!#REF!,1,FALSE),"")</f>
        <v/>
      </c>
      <c r="D2620" s="16" t="str">
        <f>IFERROR(VLOOKUP(C2620,DATA!#REF!,2,FALSE),"")</f>
        <v/>
      </c>
    </row>
    <row r="2621" spans="3:4" s="237" customFormat="1">
      <c r="C2621" s="16" t="str">
        <f>IFERROR(VLOOKUP(DATA!#REF!,DATA!#REF!,1,FALSE),"")</f>
        <v/>
      </c>
      <c r="D2621" s="16" t="str">
        <f>IFERROR(VLOOKUP(C2621,DATA!#REF!,2,FALSE),"")</f>
        <v/>
      </c>
    </row>
    <row r="2622" spans="3:4" s="237" customFormat="1">
      <c r="C2622" s="16" t="str">
        <f>IFERROR(VLOOKUP(DATA!#REF!,DATA!#REF!,1,FALSE),"")</f>
        <v/>
      </c>
      <c r="D2622" s="16" t="str">
        <f>IFERROR(VLOOKUP(C2622,DATA!#REF!,2,FALSE),"")</f>
        <v/>
      </c>
    </row>
    <row r="2623" spans="3:4" s="237" customFormat="1">
      <c r="C2623" s="16" t="str">
        <f>IFERROR(VLOOKUP(DATA!#REF!,DATA!#REF!,1,FALSE),"")</f>
        <v/>
      </c>
      <c r="D2623" s="16" t="str">
        <f>IFERROR(VLOOKUP(C2623,DATA!#REF!,2,FALSE),"")</f>
        <v/>
      </c>
    </row>
    <row r="2624" spans="3:4" s="237" customFormat="1">
      <c r="C2624" s="16" t="str">
        <f>IFERROR(VLOOKUP(DATA!#REF!,DATA!#REF!,1,FALSE),"")</f>
        <v/>
      </c>
      <c r="D2624" s="16" t="str">
        <f>IFERROR(VLOOKUP(C2624,DATA!#REF!,2,FALSE),"")</f>
        <v/>
      </c>
    </row>
    <row r="2625" spans="3:4" s="237" customFormat="1">
      <c r="C2625" s="16" t="str">
        <f>IFERROR(VLOOKUP(DATA!#REF!,DATA!#REF!,1,FALSE),"")</f>
        <v/>
      </c>
      <c r="D2625" s="16" t="str">
        <f>IFERROR(VLOOKUP(C2625,DATA!#REF!,2,FALSE),"")</f>
        <v/>
      </c>
    </row>
    <row r="2626" spans="3:4" s="237" customFormat="1">
      <c r="C2626" s="16" t="str">
        <f>IFERROR(VLOOKUP(DATA!#REF!,DATA!#REF!,1,FALSE),"")</f>
        <v/>
      </c>
      <c r="D2626" s="16" t="str">
        <f>IFERROR(VLOOKUP(C2626,DATA!#REF!,2,FALSE),"")</f>
        <v/>
      </c>
    </row>
    <row r="2627" spans="3:4" s="237" customFormat="1">
      <c r="C2627" s="16" t="str">
        <f>IFERROR(VLOOKUP(DATA!#REF!,DATA!#REF!,1,FALSE),"")</f>
        <v/>
      </c>
      <c r="D2627" s="16" t="str">
        <f>IFERROR(VLOOKUP(C2627,DATA!#REF!,2,FALSE),"")</f>
        <v/>
      </c>
    </row>
    <row r="2628" spans="3:4" s="237" customFormat="1">
      <c r="C2628" s="16" t="str">
        <f>IFERROR(VLOOKUP(DATA!#REF!,DATA!#REF!,1,FALSE),"")</f>
        <v/>
      </c>
      <c r="D2628" s="16" t="str">
        <f>IFERROR(VLOOKUP(C2628,DATA!#REF!,2,FALSE),"")</f>
        <v/>
      </c>
    </row>
    <row r="2629" spans="3:4" s="237" customFormat="1">
      <c r="C2629" s="16" t="str">
        <f>IFERROR(VLOOKUP(DATA!#REF!,DATA!#REF!,1,FALSE),"")</f>
        <v/>
      </c>
      <c r="D2629" s="16" t="str">
        <f>IFERROR(VLOOKUP(C2629,DATA!#REF!,2,FALSE),"")</f>
        <v/>
      </c>
    </row>
    <row r="2630" spans="3:4" s="237" customFormat="1">
      <c r="C2630" s="16" t="str">
        <f>IFERROR(VLOOKUP(DATA!#REF!,DATA!#REF!,1,FALSE),"")</f>
        <v/>
      </c>
      <c r="D2630" s="16" t="str">
        <f>IFERROR(VLOOKUP(C2630,DATA!#REF!,2,FALSE),"")</f>
        <v/>
      </c>
    </row>
    <row r="2631" spans="3:4" s="237" customFormat="1">
      <c r="C2631" s="16" t="str">
        <f>IFERROR(VLOOKUP(DATA!#REF!,DATA!#REF!,1,FALSE),"")</f>
        <v/>
      </c>
      <c r="D2631" s="16" t="str">
        <f>IFERROR(VLOOKUP(C2631,DATA!#REF!,2,FALSE),"")</f>
        <v/>
      </c>
    </row>
    <row r="2632" spans="3:4" s="237" customFormat="1">
      <c r="C2632" s="16" t="str">
        <f>IFERROR(VLOOKUP(DATA!#REF!,DATA!#REF!,1,FALSE),"")</f>
        <v/>
      </c>
      <c r="D2632" s="16" t="str">
        <f>IFERROR(VLOOKUP(C2632,DATA!#REF!,2,FALSE),"")</f>
        <v/>
      </c>
    </row>
    <row r="2633" spans="3:4" s="237" customFormat="1">
      <c r="C2633" s="16" t="str">
        <f>IFERROR(VLOOKUP(DATA!#REF!,DATA!#REF!,1,FALSE),"")</f>
        <v/>
      </c>
      <c r="D2633" s="16" t="str">
        <f>IFERROR(VLOOKUP(C2633,DATA!#REF!,2,FALSE),"")</f>
        <v/>
      </c>
    </row>
    <row r="2634" spans="3:4" s="237" customFormat="1">
      <c r="C2634" s="16" t="str">
        <f>IFERROR(VLOOKUP(DATA!#REF!,DATA!#REF!,1,FALSE),"")</f>
        <v/>
      </c>
      <c r="D2634" s="16" t="str">
        <f>IFERROR(VLOOKUP(C2634,DATA!#REF!,2,FALSE),"")</f>
        <v/>
      </c>
    </row>
    <row r="2635" spans="3:4" s="237" customFormat="1">
      <c r="C2635" s="16" t="str">
        <f>IFERROR(VLOOKUP(DATA!#REF!,DATA!#REF!,1,FALSE),"")</f>
        <v/>
      </c>
      <c r="D2635" s="16" t="str">
        <f>IFERROR(VLOOKUP(C2635,DATA!#REF!,2,FALSE),"")</f>
        <v/>
      </c>
    </row>
    <row r="2636" spans="3:4" s="237" customFormat="1">
      <c r="C2636" s="16" t="str">
        <f>IFERROR(VLOOKUP(DATA!#REF!,DATA!#REF!,1,FALSE),"")</f>
        <v/>
      </c>
      <c r="D2636" s="16" t="str">
        <f>IFERROR(VLOOKUP(C2636,DATA!#REF!,2,FALSE),"")</f>
        <v/>
      </c>
    </row>
    <row r="2637" spans="3:4" s="237" customFormat="1">
      <c r="C2637" s="16" t="str">
        <f>IFERROR(VLOOKUP(DATA!#REF!,DATA!#REF!,1,FALSE),"")</f>
        <v/>
      </c>
      <c r="D2637" s="16" t="str">
        <f>IFERROR(VLOOKUP(C2637,DATA!#REF!,2,FALSE),"")</f>
        <v/>
      </c>
    </row>
    <row r="2638" spans="3:4" s="237" customFormat="1">
      <c r="C2638" s="16" t="str">
        <f>IFERROR(VLOOKUP(DATA!#REF!,DATA!#REF!,1,FALSE),"")</f>
        <v/>
      </c>
      <c r="D2638" s="16" t="str">
        <f>IFERROR(VLOOKUP(C2638,DATA!#REF!,2,FALSE),"")</f>
        <v/>
      </c>
    </row>
    <row r="2639" spans="3:4" s="237" customFormat="1">
      <c r="C2639" s="16" t="str">
        <f>IFERROR(VLOOKUP(DATA!#REF!,DATA!#REF!,1,FALSE),"")</f>
        <v/>
      </c>
      <c r="D2639" s="16" t="str">
        <f>IFERROR(VLOOKUP(C2639,DATA!#REF!,2,FALSE),"")</f>
        <v/>
      </c>
    </row>
    <row r="2640" spans="3:4" s="237" customFormat="1">
      <c r="C2640" s="16" t="str">
        <f>IFERROR(VLOOKUP(DATA!#REF!,DATA!#REF!,1,FALSE),"")</f>
        <v/>
      </c>
      <c r="D2640" s="16" t="str">
        <f>IFERROR(VLOOKUP(C2640,DATA!#REF!,2,FALSE),"")</f>
        <v/>
      </c>
    </row>
    <row r="2641" spans="3:4" s="237" customFormat="1">
      <c r="C2641" s="16" t="str">
        <f>IFERROR(VLOOKUP(DATA!#REF!,DATA!#REF!,1,FALSE),"")</f>
        <v/>
      </c>
      <c r="D2641" s="16" t="str">
        <f>IFERROR(VLOOKUP(C2641,DATA!#REF!,2,FALSE),"")</f>
        <v/>
      </c>
    </row>
    <row r="2642" spans="3:4" s="237" customFormat="1">
      <c r="C2642" s="16" t="str">
        <f>IFERROR(VLOOKUP(DATA!#REF!,DATA!#REF!,1,FALSE),"")</f>
        <v/>
      </c>
      <c r="D2642" s="16" t="str">
        <f>IFERROR(VLOOKUP(C2642,DATA!#REF!,2,FALSE),"")</f>
        <v/>
      </c>
    </row>
    <row r="2643" spans="3:4" s="237" customFormat="1">
      <c r="C2643" s="16" t="str">
        <f>IFERROR(VLOOKUP(DATA!#REF!,DATA!#REF!,1,FALSE),"")</f>
        <v/>
      </c>
      <c r="D2643" s="16" t="str">
        <f>IFERROR(VLOOKUP(C2643,DATA!#REF!,2,FALSE),"")</f>
        <v/>
      </c>
    </row>
    <row r="2644" spans="3:4" s="237" customFormat="1">
      <c r="C2644" s="16" t="str">
        <f>IFERROR(VLOOKUP(DATA!#REF!,DATA!#REF!,1,FALSE),"")</f>
        <v/>
      </c>
      <c r="D2644" s="16" t="str">
        <f>IFERROR(VLOOKUP(C2644,DATA!#REF!,2,FALSE),"")</f>
        <v/>
      </c>
    </row>
    <row r="2645" spans="3:4" s="237" customFormat="1">
      <c r="C2645" s="16" t="str">
        <f>IFERROR(VLOOKUP(DATA!#REF!,DATA!#REF!,1,FALSE),"")</f>
        <v/>
      </c>
      <c r="D2645" s="16" t="str">
        <f>IFERROR(VLOOKUP(C2645,DATA!#REF!,2,FALSE),"")</f>
        <v/>
      </c>
    </row>
    <row r="2646" spans="3:4" s="237" customFormat="1">
      <c r="C2646" s="16" t="str">
        <f>IFERROR(VLOOKUP(DATA!#REF!,DATA!#REF!,1,FALSE),"")</f>
        <v/>
      </c>
      <c r="D2646" s="16" t="str">
        <f>IFERROR(VLOOKUP(C2646,DATA!#REF!,2,FALSE),"")</f>
        <v/>
      </c>
    </row>
    <row r="2647" spans="3:4" s="237" customFormat="1">
      <c r="C2647" s="16" t="str">
        <f>IFERROR(VLOOKUP(DATA!#REF!,DATA!#REF!,1,FALSE),"")</f>
        <v/>
      </c>
      <c r="D2647" s="16" t="str">
        <f>IFERROR(VLOOKUP(C2647,DATA!#REF!,2,FALSE),"")</f>
        <v/>
      </c>
    </row>
    <row r="2648" spans="3:4" s="237" customFormat="1">
      <c r="C2648" s="16" t="str">
        <f>IFERROR(VLOOKUP(DATA!#REF!,DATA!#REF!,1,FALSE),"")</f>
        <v/>
      </c>
      <c r="D2648" s="16" t="str">
        <f>IFERROR(VLOOKUP(C2648,DATA!#REF!,2,FALSE),"")</f>
        <v/>
      </c>
    </row>
    <row r="2649" spans="3:4" s="237" customFormat="1">
      <c r="C2649" s="16" t="str">
        <f>IFERROR(VLOOKUP(DATA!#REF!,DATA!#REF!,1,FALSE),"")</f>
        <v/>
      </c>
      <c r="D2649" s="16" t="str">
        <f>IFERROR(VLOOKUP(C2649,DATA!#REF!,2,FALSE),"")</f>
        <v/>
      </c>
    </row>
    <row r="2650" spans="3:4" s="237" customFormat="1">
      <c r="C2650" s="16" t="str">
        <f>IFERROR(VLOOKUP(DATA!#REF!,DATA!#REF!,1,FALSE),"")</f>
        <v/>
      </c>
      <c r="D2650" s="16" t="str">
        <f>IFERROR(VLOOKUP(C2650,DATA!#REF!,2,FALSE),"")</f>
        <v/>
      </c>
    </row>
    <row r="2651" spans="3:4" s="237" customFormat="1">
      <c r="C2651" s="16" t="str">
        <f>IFERROR(VLOOKUP(DATA!#REF!,DATA!#REF!,1,FALSE),"")</f>
        <v/>
      </c>
      <c r="D2651" s="16" t="str">
        <f>IFERROR(VLOOKUP(C2651,DATA!#REF!,2,FALSE),"")</f>
        <v/>
      </c>
    </row>
    <row r="2652" spans="3:4" s="237" customFormat="1">
      <c r="C2652" s="16" t="str">
        <f>IFERROR(VLOOKUP(DATA!#REF!,DATA!#REF!,1,FALSE),"")</f>
        <v/>
      </c>
      <c r="D2652" s="16" t="str">
        <f>IFERROR(VLOOKUP(C2652,DATA!#REF!,2,FALSE),"")</f>
        <v/>
      </c>
    </row>
    <row r="2653" spans="3:4" s="237" customFormat="1">
      <c r="C2653" s="16" t="str">
        <f>IFERROR(VLOOKUP(DATA!#REF!,DATA!#REF!,1,FALSE),"")</f>
        <v/>
      </c>
      <c r="D2653" s="16" t="str">
        <f>IFERROR(VLOOKUP(C2653,DATA!#REF!,2,FALSE),"")</f>
        <v/>
      </c>
    </row>
    <row r="2654" spans="3:4" s="237" customFormat="1">
      <c r="C2654" s="16" t="str">
        <f>IFERROR(VLOOKUP(DATA!#REF!,DATA!#REF!,1,FALSE),"")</f>
        <v/>
      </c>
      <c r="D2654" s="16" t="str">
        <f>IFERROR(VLOOKUP(C2654,DATA!#REF!,2,FALSE),"")</f>
        <v/>
      </c>
    </row>
    <row r="2655" spans="3:4" s="237" customFormat="1">
      <c r="C2655" s="16" t="str">
        <f>IFERROR(VLOOKUP(DATA!#REF!,DATA!#REF!,1,FALSE),"")</f>
        <v/>
      </c>
      <c r="D2655" s="16" t="str">
        <f>IFERROR(VLOOKUP(C2655,DATA!#REF!,2,FALSE),"")</f>
        <v/>
      </c>
    </row>
    <row r="2656" spans="3:4" s="237" customFormat="1">
      <c r="C2656" s="16" t="str">
        <f>IFERROR(VLOOKUP(DATA!#REF!,DATA!#REF!,1,FALSE),"")</f>
        <v/>
      </c>
      <c r="D2656" s="16" t="str">
        <f>IFERROR(VLOOKUP(C2656,DATA!#REF!,2,FALSE),"")</f>
        <v/>
      </c>
    </row>
    <row r="2657" spans="3:4" s="237" customFormat="1">
      <c r="C2657" s="16" t="str">
        <f>IFERROR(VLOOKUP(DATA!#REF!,DATA!#REF!,1,FALSE),"")</f>
        <v/>
      </c>
      <c r="D2657" s="16" t="str">
        <f>IFERROR(VLOOKUP(C2657,DATA!#REF!,2,FALSE),"")</f>
        <v/>
      </c>
    </row>
    <row r="2658" spans="3:4" s="237" customFormat="1">
      <c r="C2658" s="16" t="str">
        <f>IFERROR(VLOOKUP(DATA!#REF!,DATA!#REF!,1,FALSE),"")</f>
        <v/>
      </c>
      <c r="D2658" s="16" t="str">
        <f>IFERROR(VLOOKUP(C2658,DATA!#REF!,2,FALSE),"")</f>
        <v/>
      </c>
    </row>
    <row r="2659" spans="3:4" s="237" customFormat="1">
      <c r="C2659" s="16" t="str">
        <f>IFERROR(VLOOKUP(DATA!#REF!,DATA!#REF!,1,FALSE),"")</f>
        <v/>
      </c>
      <c r="D2659" s="16" t="str">
        <f>IFERROR(VLOOKUP(C2659,DATA!#REF!,2,FALSE),"")</f>
        <v/>
      </c>
    </row>
    <row r="2660" spans="3:4" s="237" customFormat="1">
      <c r="C2660" s="16" t="str">
        <f>IFERROR(VLOOKUP(DATA!#REF!,DATA!#REF!,1,FALSE),"")</f>
        <v/>
      </c>
      <c r="D2660" s="16" t="str">
        <f>IFERROR(VLOOKUP(C2660,DATA!#REF!,2,FALSE),"")</f>
        <v/>
      </c>
    </row>
    <row r="2661" spans="3:4" s="237" customFormat="1">
      <c r="C2661" s="16" t="str">
        <f>IFERROR(VLOOKUP(DATA!#REF!,DATA!#REF!,1,FALSE),"")</f>
        <v/>
      </c>
      <c r="D2661" s="16" t="str">
        <f>IFERROR(VLOOKUP(C2661,DATA!#REF!,2,FALSE),"")</f>
        <v/>
      </c>
    </row>
    <row r="2662" spans="3:4" s="237" customFormat="1">
      <c r="C2662" s="16" t="str">
        <f>IFERROR(VLOOKUP(DATA!#REF!,DATA!#REF!,1,FALSE),"")</f>
        <v/>
      </c>
      <c r="D2662" s="16" t="str">
        <f>IFERROR(VLOOKUP(C2662,DATA!#REF!,2,FALSE),"")</f>
        <v/>
      </c>
    </row>
    <row r="2663" spans="3:4" s="237" customFormat="1">
      <c r="C2663" s="16" t="str">
        <f>IFERROR(VLOOKUP(DATA!#REF!,DATA!#REF!,1,FALSE),"")</f>
        <v/>
      </c>
      <c r="D2663" s="16" t="str">
        <f>IFERROR(VLOOKUP(C2663,DATA!#REF!,2,FALSE),"")</f>
        <v/>
      </c>
    </row>
    <row r="2664" spans="3:4" s="237" customFormat="1">
      <c r="C2664" s="16" t="str">
        <f>IFERROR(VLOOKUP(DATA!#REF!,DATA!#REF!,1,FALSE),"")</f>
        <v/>
      </c>
      <c r="D2664" s="16" t="str">
        <f>IFERROR(VLOOKUP(C2664,DATA!#REF!,2,FALSE),"")</f>
        <v/>
      </c>
    </row>
    <row r="2665" spans="3:4" s="237" customFormat="1">
      <c r="C2665" s="16" t="str">
        <f>IFERROR(VLOOKUP(DATA!#REF!,DATA!#REF!,1,FALSE),"")</f>
        <v/>
      </c>
      <c r="D2665" s="16" t="str">
        <f>IFERROR(VLOOKUP(C2665,DATA!#REF!,2,FALSE),"")</f>
        <v/>
      </c>
    </row>
    <row r="2666" spans="3:4" s="237" customFormat="1">
      <c r="C2666" s="16" t="str">
        <f>IFERROR(VLOOKUP(DATA!#REF!,DATA!#REF!,1,FALSE),"")</f>
        <v/>
      </c>
      <c r="D2666" s="16" t="str">
        <f>IFERROR(VLOOKUP(C2666,DATA!#REF!,2,FALSE),"")</f>
        <v/>
      </c>
    </row>
    <row r="2667" spans="3:4" s="237" customFormat="1">
      <c r="C2667" s="16" t="str">
        <f>IFERROR(VLOOKUP(DATA!#REF!,DATA!#REF!,1,FALSE),"")</f>
        <v/>
      </c>
      <c r="D2667" s="16" t="str">
        <f>IFERROR(VLOOKUP(C2667,DATA!#REF!,2,FALSE),"")</f>
        <v/>
      </c>
    </row>
    <row r="2668" spans="3:4" s="237" customFormat="1">
      <c r="C2668" s="16" t="str">
        <f>IFERROR(VLOOKUP(DATA!#REF!,DATA!#REF!,1,FALSE),"")</f>
        <v/>
      </c>
      <c r="D2668" s="16" t="str">
        <f>IFERROR(VLOOKUP(C2668,DATA!#REF!,2,FALSE),"")</f>
        <v/>
      </c>
    </row>
    <row r="2669" spans="3:4" s="237" customFormat="1">
      <c r="C2669" s="16" t="str">
        <f>IFERROR(VLOOKUP(DATA!#REF!,DATA!#REF!,1,FALSE),"")</f>
        <v/>
      </c>
      <c r="D2669" s="16" t="str">
        <f>IFERROR(VLOOKUP(C2669,DATA!#REF!,2,FALSE),"")</f>
        <v/>
      </c>
    </row>
    <row r="2670" spans="3:4" s="237" customFormat="1">
      <c r="C2670" s="16" t="str">
        <f>IFERROR(VLOOKUP(DATA!#REF!,DATA!#REF!,1,FALSE),"")</f>
        <v/>
      </c>
      <c r="D2670" s="16" t="str">
        <f>IFERROR(VLOOKUP(C2670,DATA!#REF!,2,FALSE),"")</f>
        <v/>
      </c>
    </row>
    <row r="2671" spans="3:4" s="237" customFormat="1">
      <c r="C2671" s="16" t="str">
        <f>IFERROR(VLOOKUP(DATA!#REF!,DATA!#REF!,1,FALSE),"")</f>
        <v/>
      </c>
      <c r="D2671" s="16" t="str">
        <f>IFERROR(VLOOKUP(C2671,DATA!#REF!,2,FALSE),"")</f>
        <v/>
      </c>
    </row>
    <row r="2672" spans="3:4" s="237" customFormat="1">
      <c r="C2672" s="16" t="str">
        <f>IFERROR(VLOOKUP(DATA!#REF!,DATA!#REF!,1,FALSE),"")</f>
        <v/>
      </c>
      <c r="D2672" s="16" t="str">
        <f>IFERROR(VLOOKUP(C2672,DATA!#REF!,2,FALSE),"")</f>
        <v/>
      </c>
    </row>
    <row r="2673" spans="3:4" s="237" customFormat="1">
      <c r="C2673" s="16" t="str">
        <f>IFERROR(VLOOKUP(DATA!#REF!,DATA!#REF!,1,FALSE),"")</f>
        <v/>
      </c>
      <c r="D2673" s="16" t="str">
        <f>IFERROR(VLOOKUP(C2673,DATA!#REF!,2,FALSE),"")</f>
        <v/>
      </c>
    </row>
    <row r="2674" spans="3:4" s="237" customFormat="1">
      <c r="C2674" s="16" t="str">
        <f>IFERROR(VLOOKUP(DATA!#REF!,DATA!#REF!,1,FALSE),"")</f>
        <v/>
      </c>
      <c r="D2674" s="16" t="str">
        <f>IFERROR(VLOOKUP(C2674,DATA!#REF!,2,FALSE),"")</f>
        <v/>
      </c>
    </row>
    <row r="2675" spans="3:4" s="237" customFormat="1">
      <c r="C2675" s="16" t="str">
        <f>IFERROR(VLOOKUP(DATA!#REF!,DATA!#REF!,1,FALSE),"")</f>
        <v/>
      </c>
      <c r="D2675" s="16" t="str">
        <f>IFERROR(VLOOKUP(C2675,DATA!#REF!,2,FALSE),"")</f>
        <v/>
      </c>
    </row>
    <row r="2676" spans="3:4" s="237" customFormat="1">
      <c r="C2676" s="16" t="str">
        <f>IFERROR(VLOOKUP(DATA!#REF!,DATA!#REF!,1,FALSE),"")</f>
        <v/>
      </c>
      <c r="D2676" s="16" t="str">
        <f>IFERROR(VLOOKUP(C2676,DATA!#REF!,2,FALSE),"")</f>
        <v/>
      </c>
    </row>
    <row r="2677" spans="3:4" s="237" customFormat="1">
      <c r="C2677" s="16" t="str">
        <f>IFERROR(VLOOKUP(DATA!#REF!,DATA!#REF!,1,FALSE),"")</f>
        <v/>
      </c>
      <c r="D2677" s="16" t="str">
        <f>IFERROR(VLOOKUP(C2677,DATA!#REF!,2,FALSE),"")</f>
        <v/>
      </c>
    </row>
    <row r="2678" spans="3:4" s="237" customFormat="1">
      <c r="C2678" s="16" t="str">
        <f>IFERROR(VLOOKUP(DATA!#REF!,DATA!#REF!,1,FALSE),"")</f>
        <v/>
      </c>
      <c r="D2678" s="16" t="str">
        <f>IFERROR(VLOOKUP(C2678,DATA!#REF!,2,FALSE),"")</f>
        <v/>
      </c>
    </row>
    <row r="2679" spans="3:4" s="237" customFormat="1">
      <c r="C2679" s="16" t="str">
        <f>IFERROR(VLOOKUP(DATA!#REF!,DATA!#REF!,1,FALSE),"")</f>
        <v/>
      </c>
      <c r="D2679" s="16" t="str">
        <f>IFERROR(VLOOKUP(C2679,DATA!#REF!,2,FALSE),"")</f>
        <v/>
      </c>
    </row>
    <row r="2680" spans="3:4" s="237" customFormat="1">
      <c r="C2680" s="16" t="str">
        <f>IFERROR(VLOOKUP(DATA!#REF!,DATA!#REF!,1,FALSE),"")</f>
        <v/>
      </c>
      <c r="D2680" s="16" t="str">
        <f>IFERROR(VLOOKUP(C2680,DATA!#REF!,2,FALSE),"")</f>
        <v/>
      </c>
    </row>
    <row r="2681" spans="3:4" s="237" customFormat="1">
      <c r="C2681" s="16" t="str">
        <f>IFERROR(VLOOKUP(DATA!#REF!,DATA!#REF!,1,FALSE),"")</f>
        <v/>
      </c>
      <c r="D2681" s="16" t="str">
        <f>IFERROR(VLOOKUP(C2681,DATA!#REF!,2,FALSE),"")</f>
        <v/>
      </c>
    </row>
    <row r="2682" spans="3:4" s="237" customFormat="1">
      <c r="C2682" s="16" t="str">
        <f>IFERROR(VLOOKUP(DATA!#REF!,DATA!#REF!,1,FALSE),"")</f>
        <v/>
      </c>
      <c r="D2682" s="16" t="str">
        <f>IFERROR(VLOOKUP(C2682,DATA!#REF!,2,FALSE),"")</f>
        <v/>
      </c>
    </row>
    <row r="2683" spans="3:4" s="237" customFormat="1">
      <c r="C2683" s="16" t="str">
        <f>IFERROR(VLOOKUP(DATA!#REF!,DATA!#REF!,1,FALSE),"")</f>
        <v/>
      </c>
      <c r="D2683" s="16" t="str">
        <f>IFERROR(VLOOKUP(C2683,DATA!#REF!,2,FALSE),"")</f>
        <v/>
      </c>
    </row>
    <row r="2684" spans="3:4" s="237" customFormat="1">
      <c r="C2684" s="16" t="str">
        <f>IFERROR(VLOOKUP(DATA!#REF!,DATA!#REF!,1,FALSE),"")</f>
        <v/>
      </c>
      <c r="D2684" s="16" t="str">
        <f>IFERROR(VLOOKUP(C2684,DATA!#REF!,2,FALSE),"")</f>
        <v/>
      </c>
    </row>
    <row r="2685" spans="3:4" s="237" customFormat="1">
      <c r="C2685" s="16" t="str">
        <f>IFERROR(VLOOKUP(DATA!#REF!,DATA!#REF!,1,FALSE),"")</f>
        <v/>
      </c>
      <c r="D2685" s="16" t="str">
        <f>IFERROR(VLOOKUP(C2685,DATA!#REF!,2,FALSE),"")</f>
        <v/>
      </c>
    </row>
    <row r="2686" spans="3:4" s="237" customFormat="1">
      <c r="C2686" s="16" t="str">
        <f>IFERROR(VLOOKUP(DATA!#REF!,DATA!#REF!,1,FALSE),"")</f>
        <v/>
      </c>
      <c r="D2686" s="16" t="str">
        <f>IFERROR(VLOOKUP(C2686,DATA!#REF!,2,FALSE),"")</f>
        <v/>
      </c>
    </row>
    <row r="2687" spans="3:4" s="237" customFormat="1">
      <c r="C2687" s="16" t="str">
        <f>IFERROR(VLOOKUP(DATA!#REF!,DATA!#REF!,1,FALSE),"")</f>
        <v/>
      </c>
      <c r="D2687" s="16" t="str">
        <f>IFERROR(VLOOKUP(C2687,DATA!#REF!,2,FALSE),"")</f>
        <v/>
      </c>
    </row>
    <row r="2688" spans="3:4" s="237" customFormat="1">
      <c r="C2688" s="16" t="str">
        <f>IFERROR(VLOOKUP(DATA!#REF!,DATA!#REF!,1,FALSE),"")</f>
        <v/>
      </c>
      <c r="D2688" s="16" t="str">
        <f>IFERROR(VLOOKUP(C2688,DATA!#REF!,2,FALSE),"")</f>
        <v/>
      </c>
    </row>
    <row r="2689" spans="3:4" s="237" customFormat="1">
      <c r="C2689" s="16" t="str">
        <f>IFERROR(VLOOKUP(DATA!#REF!,DATA!#REF!,1,FALSE),"")</f>
        <v/>
      </c>
      <c r="D2689" s="16" t="str">
        <f>IFERROR(VLOOKUP(C2689,DATA!#REF!,2,FALSE),"")</f>
        <v/>
      </c>
    </row>
    <row r="2690" spans="3:4" s="237" customFormat="1">
      <c r="C2690" s="16" t="str">
        <f>IFERROR(VLOOKUP(DATA!#REF!,DATA!#REF!,1,FALSE),"")</f>
        <v/>
      </c>
      <c r="D2690" s="16" t="str">
        <f>IFERROR(VLOOKUP(C2690,DATA!#REF!,2,FALSE),"")</f>
        <v/>
      </c>
    </row>
    <row r="2691" spans="3:4" s="237" customFormat="1">
      <c r="C2691" s="16" t="str">
        <f>IFERROR(VLOOKUP(DATA!#REF!,DATA!#REF!,1,FALSE),"")</f>
        <v/>
      </c>
      <c r="D2691" s="16" t="str">
        <f>IFERROR(VLOOKUP(C2691,DATA!#REF!,2,FALSE),"")</f>
        <v/>
      </c>
    </row>
    <row r="2692" spans="3:4" s="237" customFormat="1">
      <c r="C2692" s="16" t="str">
        <f>IFERROR(VLOOKUP(DATA!#REF!,DATA!#REF!,1,FALSE),"")</f>
        <v/>
      </c>
      <c r="D2692" s="16" t="str">
        <f>IFERROR(VLOOKUP(C2692,DATA!#REF!,2,FALSE),"")</f>
        <v/>
      </c>
    </row>
    <row r="2693" spans="3:4" s="237" customFormat="1">
      <c r="C2693" s="16" t="str">
        <f>IFERROR(VLOOKUP(DATA!#REF!,DATA!#REF!,1,FALSE),"")</f>
        <v/>
      </c>
      <c r="D2693" s="16" t="str">
        <f>IFERROR(VLOOKUP(C2693,DATA!#REF!,2,FALSE),"")</f>
        <v/>
      </c>
    </row>
    <row r="2694" spans="3:4" s="237" customFormat="1">
      <c r="C2694" s="16" t="str">
        <f>IFERROR(VLOOKUP(DATA!#REF!,DATA!#REF!,1,FALSE),"")</f>
        <v/>
      </c>
      <c r="D2694" s="16" t="str">
        <f>IFERROR(VLOOKUP(C2694,DATA!#REF!,2,FALSE),"")</f>
        <v/>
      </c>
    </row>
    <row r="2695" spans="3:4" s="237" customFormat="1">
      <c r="C2695" s="16" t="str">
        <f>IFERROR(VLOOKUP(DATA!#REF!,DATA!#REF!,1,FALSE),"")</f>
        <v/>
      </c>
      <c r="D2695" s="16" t="str">
        <f>IFERROR(VLOOKUP(C2695,DATA!#REF!,2,FALSE),"")</f>
        <v/>
      </c>
    </row>
    <row r="2696" spans="3:4" s="237" customFormat="1">
      <c r="C2696" s="16" t="str">
        <f>IFERROR(VLOOKUP(DATA!#REF!,DATA!#REF!,1,FALSE),"")</f>
        <v/>
      </c>
      <c r="D2696" s="16" t="str">
        <f>IFERROR(VLOOKUP(C2696,DATA!#REF!,2,FALSE),"")</f>
        <v/>
      </c>
    </row>
    <row r="2697" spans="3:4" s="237" customFormat="1">
      <c r="C2697" s="16" t="str">
        <f>IFERROR(VLOOKUP(DATA!#REF!,DATA!#REF!,1,FALSE),"")</f>
        <v/>
      </c>
      <c r="D2697" s="16" t="str">
        <f>IFERROR(VLOOKUP(C2697,DATA!#REF!,2,FALSE),"")</f>
        <v/>
      </c>
    </row>
    <row r="2698" spans="3:4" s="237" customFormat="1">
      <c r="C2698" s="16" t="str">
        <f>IFERROR(VLOOKUP(DATA!#REF!,DATA!#REF!,1,FALSE),"")</f>
        <v/>
      </c>
      <c r="D2698" s="16" t="str">
        <f>IFERROR(VLOOKUP(C2698,DATA!#REF!,2,FALSE),"")</f>
        <v/>
      </c>
    </row>
    <row r="2699" spans="3:4" s="237" customFormat="1">
      <c r="C2699" s="16" t="str">
        <f>IFERROR(VLOOKUP(DATA!#REF!,DATA!#REF!,1,FALSE),"")</f>
        <v/>
      </c>
      <c r="D2699" s="16" t="str">
        <f>IFERROR(VLOOKUP(C2699,DATA!#REF!,2,FALSE),"")</f>
        <v/>
      </c>
    </row>
    <row r="2700" spans="3:4" s="237" customFormat="1">
      <c r="C2700" s="16" t="str">
        <f>IFERROR(VLOOKUP(DATA!#REF!,DATA!#REF!,1,FALSE),"")</f>
        <v/>
      </c>
      <c r="D2700" s="16" t="str">
        <f>IFERROR(VLOOKUP(C2700,DATA!#REF!,2,FALSE),"")</f>
        <v/>
      </c>
    </row>
    <row r="2701" spans="3:4" s="237" customFormat="1">
      <c r="C2701" s="16" t="str">
        <f>IFERROR(VLOOKUP(DATA!#REF!,DATA!#REF!,1,FALSE),"")</f>
        <v/>
      </c>
      <c r="D2701" s="16" t="str">
        <f>IFERROR(VLOOKUP(C2701,DATA!#REF!,2,FALSE),"")</f>
        <v/>
      </c>
    </row>
    <row r="2702" spans="3:4" s="237" customFormat="1">
      <c r="C2702" s="16" t="str">
        <f>IFERROR(VLOOKUP(DATA!#REF!,DATA!#REF!,1,FALSE),"")</f>
        <v/>
      </c>
      <c r="D2702" s="16" t="str">
        <f>IFERROR(VLOOKUP(C2702,DATA!#REF!,2,FALSE),"")</f>
        <v/>
      </c>
    </row>
    <row r="2703" spans="3:4" s="237" customFormat="1">
      <c r="C2703" s="16" t="str">
        <f>IFERROR(VLOOKUP(DATA!#REF!,DATA!#REF!,1,FALSE),"")</f>
        <v/>
      </c>
      <c r="D2703" s="16" t="str">
        <f>IFERROR(VLOOKUP(C2703,DATA!#REF!,2,FALSE),"")</f>
        <v/>
      </c>
    </row>
    <row r="2704" spans="3:4" s="237" customFormat="1">
      <c r="C2704" s="16" t="str">
        <f>IFERROR(VLOOKUP(DATA!#REF!,DATA!#REF!,1,FALSE),"")</f>
        <v/>
      </c>
      <c r="D2704" s="16" t="str">
        <f>IFERROR(VLOOKUP(C2704,DATA!#REF!,2,FALSE),"")</f>
        <v/>
      </c>
    </row>
    <row r="2705" spans="3:4" s="237" customFormat="1">
      <c r="C2705" s="16" t="str">
        <f>IFERROR(VLOOKUP(DATA!#REF!,DATA!#REF!,1,FALSE),"")</f>
        <v/>
      </c>
      <c r="D2705" s="16" t="str">
        <f>IFERROR(VLOOKUP(C2705,DATA!#REF!,2,FALSE),"")</f>
        <v/>
      </c>
    </row>
    <row r="2706" spans="3:4" s="237" customFormat="1">
      <c r="C2706" s="16" t="str">
        <f>IFERROR(VLOOKUP(DATA!#REF!,DATA!#REF!,1,FALSE),"")</f>
        <v/>
      </c>
      <c r="D2706" s="16" t="str">
        <f>IFERROR(VLOOKUP(C2706,DATA!#REF!,2,FALSE),"")</f>
        <v/>
      </c>
    </row>
    <row r="2707" spans="3:4" s="237" customFormat="1">
      <c r="C2707" s="16" t="str">
        <f>IFERROR(VLOOKUP(DATA!#REF!,DATA!#REF!,1,FALSE),"")</f>
        <v/>
      </c>
      <c r="D2707" s="16" t="str">
        <f>IFERROR(VLOOKUP(C2707,DATA!#REF!,2,FALSE),"")</f>
        <v/>
      </c>
    </row>
    <row r="2708" spans="3:4" s="237" customFormat="1">
      <c r="C2708" s="16" t="str">
        <f>IFERROR(VLOOKUP(DATA!#REF!,DATA!#REF!,1,FALSE),"")</f>
        <v/>
      </c>
      <c r="D2708" s="16" t="str">
        <f>IFERROR(VLOOKUP(C2708,DATA!#REF!,2,FALSE),"")</f>
        <v/>
      </c>
    </row>
    <row r="2709" spans="3:4" s="237" customFormat="1">
      <c r="C2709" s="16" t="str">
        <f>IFERROR(VLOOKUP(DATA!#REF!,DATA!#REF!,1,FALSE),"")</f>
        <v/>
      </c>
      <c r="D2709" s="16" t="str">
        <f>IFERROR(VLOOKUP(C2709,DATA!#REF!,2,FALSE),"")</f>
        <v/>
      </c>
    </row>
    <row r="2710" spans="3:4" s="237" customFormat="1">
      <c r="C2710" s="16" t="str">
        <f>IFERROR(VLOOKUP(DATA!#REF!,DATA!#REF!,1,FALSE),"")</f>
        <v/>
      </c>
      <c r="D2710" s="16" t="str">
        <f>IFERROR(VLOOKUP(C2710,DATA!#REF!,2,FALSE),"")</f>
        <v/>
      </c>
    </row>
    <row r="2711" spans="3:4" s="237" customFormat="1">
      <c r="C2711" s="16" t="str">
        <f>IFERROR(VLOOKUP(DATA!#REF!,DATA!#REF!,1,FALSE),"")</f>
        <v/>
      </c>
      <c r="D2711" s="16" t="str">
        <f>IFERROR(VLOOKUP(C2711,DATA!#REF!,2,FALSE),"")</f>
        <v/>
      </c>
    </row>
    <row r="2712" spans="3:4" s="237" customFormat="1">
      <c r="C2712" s="16" t="str">
        <f>IFERROR(VLOOKUP(DATA!#REF!,DATA!#REF!,1,FALSE),"")</f>
        <v/>
      </c>
      <c r="D2712" s="16" t="str">
        <f>IFERROR(VLOOKUP(C2712,DATA!#REF!,2,FALSE),"")</f>
        <v/>
      </c>
    </row>
    <row r="2713" spans="3:4" s="237" customFormat="1">
      <c r="C2713" s="16" t="str">
        <f>IFERROR(VLOOKUP(DATA!#REF!,DATA!#REF!,1,FALSE),"")</f>
        <v/>
      </c>
      <c r="D2713" s="16" t="str">
        <f>IFERROR(VLOOKUP(C2713,DATA!#REF!,2,FALSE),"")</f>
        <v/>
      </c>
    </row>
    <row r="2714" spans="3:4" s="237" customFormat="1">
      <c r="C2714" s="16" t="str">
        <f>IFERROR(VLOOKUP(DATA!#REF!,DATA!#REF!,1,FALSE),"")</f>
        <v/>
      </c>
      <c r="D2714" s="16" t="str">
        <f>IFERROR(VLOOKUP(C2714,DATA!#REF!,2,FALSE),"")</f>
        <v/>
      </c>
    </row>
    <row r="2715" spans="3:4" s="237" customFormat="1">
      <c r="C2715" s="16" t="str">
        <f>IFERROR(VLOOKUP(DATA!#REF!,DATA!#REF!,1,FALSE),"")</f>
        <v/>
      </c>
      <c r="D2715" s="16" t="str">
        <f>IFERROR(VLOOKUP(C2715,DATA!#REF!,2,FALSE),"")</f>
        <v/>
      </c>
    </row>
    <row r="2716" spans="3:4" s="237" customFormat="1">
      <c r="C2716" s="16" t="str">
        <f>IFERROR(VLOOKUP(DATA!#REF!,DATA!#REF!,1,FALSE),"")</f>
        <v/>
      </c>
      <c r="D2716" s="16" t="str">
        <f>IFERROR(VLOOKUP(C2716,DATA!#REF!,2,FALSE),"")</f>
        <v/>
      </c>
    </row>
    <row r="2717" spans="3:4" s="237" customFormat="1">
      <c r="C2717" s="16" t="str">
        <f>IFERROR(VLOOKUP(DATA!#REF!,DATA!#REF!,1,FALSE),"")</f>
        <v/>
      </c>
      <c r="D2717" s="16" t="str">
        <f>IFERROR(VLOOKUP(C2717,DATA!#REF!,2,FALSE),"")</f>
        <v/>
      </c>
    </row>
    <row r="2718" spans="3:4" s="237" customFormat="1">
      <c r="C2718" s="16" t="str">
        <f>IFERROR(VLOOKUP(DATA!#REF!,DATA!#REF!,1,FALSE),"")</f>
        <v/>
      </c>
      <c r="D2718" s="16" t="str">
        <f>IFERROR(VLOOKUP(C2718,DATA!#REF!,2,FALSE),"")</f>
        <v/>
      </c>
    </row>
    <row r="2719" spans="3:4" s="237" customFormat="1">
      <c r="C2719" s="16" t="str">
        <f>IFERROR(VLOOKUP(DATA!#REF!,DATA!#REF!,1,FALSE),"")</f>
        <v/>
      </c>
      <c r="D2719" s="16" t="str">
        <f>IFERROR(VLOOKUP(C2719,DATA!#REF!,2,FALSE),"")</f>
        <v/>
      </c>
    </row>
    <row r="2720" spans="3:4" s="237" customFormat="1">
      <c r="C2720" s="16" t="str">
        <f>IFERROR(VLOOKUP(DATA!#REF!,DATA!#REF!,1,FALSE),"")</f>
        <v/>
      </c>
      <c r="D2720" s="16" t="str">
        <f>IFERROR(VLOOKUP(C2720,DATA!#REF!,2,FALSE),"")</f>
        <v/>
      </c>
    </row>
    <row r="2721" spans="3:4" s="237" customFormat="1">
      <c r="C2721" s="16" t="str">
        <f>IFERROR(VLOOKUP(DATA!#REF!,DATA!#REF!,1,FALSE),"")</f>
        <v/>
      </c>
      <c r="D2721" s="16" t="str">
        <f>IFERROR(VLOOKUP(C2721,DATA!#REF!,2,FALSE),"")</f>
        <v/>
      </c>
    </row>
    <row r="2722" spans="3:4" s="237" customFormat="1">
      <c r="C2722" s="16" t="str">
        <f>IFERROR(VLOOKUP(DATA!#REF!,DATA!#REF!,1,FALSE),"")</f>
        <v/>
      </c>
      <c r="D2722" s="16" t="str">
        <f>IFERROR(VLOOKUP(C2722,DATA!#REF!,2,FALSE),"")</f>
        <v/>
      </c>
    </row>
    <row r="2723" spans="3:4" s="237" customFormat="1">
      <c r="C2723" s="16" t="str">
        <f>IFERROR(VLOOKUP(DATA!#REF!,DATA!#REF!,1,FALSE),"")</f>
        <v/>
      </c>
      <c r="D2723" s="16" t="str">
        <f>IFERROR(VLOOKUP(C2723,DATA!#REF!,2,FALSE),"")</f>
        <v/>
      </c>
    </row>
    <row r="2724" spans="3:4" s="237" customFormat="1">
      <c r="C2724" s="16" t="str">
        <f>IFERROR(VLOOKUP(DATA!#REF!,DATA!#REF!,1,FALSE),"")</f>
        <v/>
      </c>
      <c r="D2724" s="16" t="str">
        <f>IFERROR(VLOOKUP(C2724,DATA!#REF!,2,FALSE),"")</f>
        <v/>
      </c>
    </row>
    <row r="2725" spans="3:4" s="237" customFormat="1">
      <c r="C2725" s="16" t="str">
        <f>IFERROR(VLOOKUP(DATA!#REF!,DATA!#REF!,1,FALSE),"")</f>
        <v/>
      </c>
      <c r="D2725" s="16" t="str">
        <f>IFERROR(VLOOKUP(C2725,DATA!#REF!,2,FALSE),"")</f>
        <v/>
      </c>
    </row>
    <row r="2726" spans="3:4" s="237" customFormat="1">
      <c r="C2726" s="16" t="str">
        <f>IFERROR(VLOOKUP(DATA!#REF!,DATA!#REF!,1,FALSE),"")</f>
        <v/>
      </c>
      <c r="D2726" s="16" t="str">
        <f>IFERROR(VLOOKUP(C2726,DATA!#REF!,2,FALSE),"")</f>
        <v/>
      </c>
    </row>
    <row r="2727" spans="3:4" s="237" customFormat="1">
      <c r="C2727" s="16" t="str">
        <f>IFERROR(VLOOKUP(DATA!#REF!,DATA!#REF!,1,FALSE),"")</f>
        <v/>
      </c>
      <c r="D2727" s="16" t="str">
        <f>IFERROR(VLOOKUP(C2727,DATA!#REF!,2,FALSE),"")</f>
        <v/>
      </c>
    </row>
    <row r="2728" spans="3:4" s="237" customFormat="1">
      <c r="C2728" s="16" t="str">
        <f>IFERROR(VLOOKUP(DATA!#REF!,DATA!#REF!,1,FALSE),"")</f>
        <v/>
      </c>
      <c r="D2728" s="16" t="str">
        <f>IFERROR(VLOOKUP(C2728,DATA!#REF!,2,FALSE),"")</f>
        <v/>
      </c>
    </row>
    <row r="2729" spans="3:4" s="237" customFormat="1">
      <c r="C2729" s="16" t="str">
        <f>IFERROR(VLOOKUP(DATA!#REF!,DATA!#REF!,1,FALSE),"")</f>
        <v/>
      </c>
      <c r="D2729" s="16" t="str">
        <f>IFERROR(VLOOKUP(C2729,DATA!#REF!,2,FALSE),"")</f>
        <v/>
      </c>
    </row>
    <row r="2730" spans="3:4" s="237" customFormat="1">
      <c r="C2730" s="16" t="str">
        <f>IFERROR(VLOOKUP(DATA!#REF!,DATA!#REF!,1,FALSE),"")</f>
        <v/>
      </c>
      <c r="D2730" s="16" t="str">
        <f>IFERROR(VLOOKUP(C2730,DATA!#REF!,2,FALSE),"")</f>
        <v/>
      </c>
    </row>
    <row r="2731" spans="3:4" s="237" customFormat="1">
      <c r="C2731" s="16" t="str">
        <f>IFERROR(VLOOKUP(DATA!#REF!,DATA!#REF!,1,FALSE),"")</f>
        <v/>
      </c>
      <c r="D2731" s="16" t="str">
        <f>IFERROR(VLOOKUP(C2731,DATA!#REF!,2,FALSE),"")</f>
        <v/>
      </c>
    </row>
    <row r="2732" spans="3:4" s="237" customFormat="1">
      <c r="C2732" s="16" t="str">
        <f>IFERROR(VLOOKUP(DATA!#REF!,DATA!#REF!,1,FALSE),"")</f>
        <v/>
      </c>
      <c r="D2732" s="16" t="str">
        <f>IFERROR(VLOOKUP(C2732,DATA!#REF!,2,FALSE),"")</f>
        <v/>
      </c>
    </row>
    <row r="2733" spans="3:4" s="237" customFormat="1">
      <c r="C2733" s="16" t="str">
        <f>IFERROR(VLOOKUP(DATA!#REF!,DATA!#REF!,1,FALSE),"")</f>
        <v/>
      </c>
      <c r="D2733" s="16" t="str">
        <f>IFERROR(VLOOKUP(C2733,DATA!#REF!,2,FALSE),"")</f>
        <v/>
      </c>
    </row>
    <row r="2734" spans="3:4" s="237" customFormat="1">
      <c r="C2734" s="16" t="str">
        <f>IFERROR(VLOOKUP(DATA!#REF!,DATA!#REF!,1,FALSE),"")</f>
        <v/>
      </c>
      <c r="D2734" s="16" t="str">
        <f>IFERROR(VLOOKUP(C2734,DATA!#REF!,2,FALSE),"")</f>
        <v/>
      </c>
    </row>
    <row r="2735" spans="3:4" s="237" customFormat="1">
      <c r="C2735" s="16" t="str">
        <f>IFERROR(VLOOKUP(DATA!#REF!,DATA!#REF!,1,FALSE),"")</f>
        <v/>
      </c>
      <c r="D2735" s="16" t="str">
        <f>IFERROR(VLOOKUP(C2735,DATA!#REF!,2,FALSE),"")</f>
        <v/>
      </c>
    </row>
    <row r="2736" spans="3:4" s="237" customFormat="1">
      <c r="C2736" s="16" t="str">
        <f>IFERROR(VLOOKUP(DATA!#REF!,DATA!#REF!,1,FALSE),"")</f>
        <v/>
      </c>
      <c r="D2736" s="16" t="str">
        <f>IFERROR(VLOOKUP(C2736,DATA!#REF!,2,FALSE),"")</f>
        <v/>
      </c>
    </row>
    <row r="2737" spans="3:4" s="237" customFormat="1">
      <c r="C2737" s="16" t="str">
        <f>IFERROR(VLOOKUP(DATA!#REF!,DATA!#REF!,1,FALSE),"")</f>
        <v/>
      </c>
      <c r="D2737" s="16" t="str">
        <f>IFERROR(VLOOKUP(C2737,DATA!#REF!,2,FALSE),"")</f>
        <v/>
      </c>
    </row>
    <row r="2738" spans="3:4" s="237" customFormat="1">
      <c r="C2738" s="16" t="str">
        <f>IFERROR(VLOOKUP(DATA!#REF!,DATA!#REF!,1,FALSE),"")</f>
        <v/>
      </c>
      <c r="D2738" s="16" t="str">
        <f>IFERROR(VLOOKUP(C2738,DATA!#REF!,2,FALSE),"")</f>
        <v/>
      </c>
    </row>
    <row r="2739" spans="3:4" s="237" customFormat="1">
      <c r="C2739" s="16" t="str">
        <f>IFERROR(VLOOKUP(DATA!#REF!,DATA!#REF!,1,FALSE),"")</f>
        <v/>
      </c>
      <c r="D2739" s="16" t="str">
        <f>IFERROR(VLOOKUP(C2739,DATA!#REF!,2,FALSE),"")</f>
        <v/>
      </c>
    </row>
    <row r="2740" spans="3:4" s="237" customFormat="1">
      <c r="C2740" s="16" t="str">
        <f>IFERROR(VLOOKUP(DATA!#REF!,DATA!#REF!,1,FALSE),"")</f>
        <v/>
      </c>
      <c r="D2740" s="16" t="str">
        <f>IFERROR(VLOOKUP(C2740,DATA!#REF!,2,FALSE),"")</f>
        <v/>
      </c>
    </row>
    <row r="2741" spans="3:4" s="237" customFormat="1">
      <c r="C2741" s="16" t="str">
        <f>IFERROR(VLOOKUP(DATA!#REF!,DATA!#REF!,1,FALSE),"")</f>
        <v/>
      </c>
      <c r="D2741" s="16" t="str">
        <f>IFERROR(VLOOKUP(C2741,DATA!#REF!,2,FALSE),"")</f>
        <v/>
      </c>
    </row>
    <row r="2742" spans="3:4" s="237" customFormat="1">
      <c r="C2742" s="16" t="str">
        <f>IFERROR(VLOOKUP(DATA!#REF!,DATA!#REF!,1,FALSE),"")</f>
        <v/>
      </c>
      <c r="D2742" s="16" t="str">
        <f>IFERROR(VLOOKUP(C2742,DATA!#REF!,2,FALSE),"")</f>
        <v/>
      </c>
    </row>
    <row r="2743" spans="3:4" s="237" customFormat="1">
      <c r="C2743" s="16" t="str">
        <f>IFERROR(VLOOKUP(DATA!#REF!,DATA!#REF!,1,FALSE),"")</f>
        <v/>
      </c>
      <c r="D2743" s="16" t="str">
        <f>IFERROR(VLOOKUP(C2743,DATA!#REF!,2,FALSE),"")</f>
        <v/>
      </c>
    </row>
    <row r="2744" spans="3:4" s="237" customFormat="1">
      <c r="C2744" s="16" t="str">
        <f>IFERROR(VLOOKUP(DATA!#REF!,DATA!#REF!,1,FALSE),"")</f>
        <v/>
      </c>
      <c r="D2744" s="16" t="str">
        <f>IFERROR(VLOOKUP(C2744,DATA!#REF!,2,FALSE),"")</f>
        <v/>
      </c>
    </row>
    <row r="2745" spans="3:4" s="237" customFormat="1">
      <c r="C2745" s="16" t="str">
        <f>IFERROR(VLOOKUP(DATA!#REF!,DATA!#REF!,1,FALSE),"")</f>
        <v/>
      </c>
      <c r="D2745" s="16" t="str">
        <f>IFERROR(VLOOKUP(C2745,DATA!#REF!,2,FALSE),"")</f>
        <v/>
      </c>
    </row>
    <row r="2746" spans="3:4" s="237" customFormat="1">
      <c r="C2746" s="16" t="str">
        <f>IFERROR(VLOOKUP(DATA!#REF!,DATA!#REF!,1,FALSE),"")</f>
        <v/>
      </c>
      <c r="D2746" s="16" t="str">
        <f>IFERROR(VLOOKUP(C2746,DATA!#REF!,2,FALSE),"")</f>
        <v/>
      </c>
    </row>
    <row r="2747" spans="3:4" s="237" customFormat="1">
      <c r="C2747" s="16" t="str">
        <f>IFERROR(VLOOKUP(DATA!#REF!,DATA!#REF!,1,FALSE),"")</f>
        <v/>
      </c>
      <c r="D2747" s="16" t="str">
        <f>IFERROR(VLOOKUP(C2747,DATA!#REF!,2,FALSE),"")</f>
        <v/>
      </c>
    </row>
    <row r="2748" spans="3:4" s="237" customFormat="1">
      <c r="C2748" s="16" t="str">
        <f>IFERROR(VLOOKUP(DATA!#REF!,DATA!#REF!,1,FALSE),"")</f>
        <v/>
      </c>
      <c r="D2748" s="16" t="str">
        <f>IFERROR(VLOOKUP(C2748,DATA!#REF!,2,FALSE),"")</f>
        <v/>
      </c>
    </row>
    <row r="2749" spans="3:4" s="237" customFormat="1">
      <c r="C2749" s="16" t="str">
        <f>IFERROR(VLOOKUP(DATA!#REF!,DATA!#REF!,1,FALSE),"")</f>
        <v/>
      </c>
      <c r="D2749" s="16" t="str">
        <f>IFERROR(VLOOKUP(C2749,DATA!#REF!,2,FALSE),"")</f>
        <v/>
      </c>
    </row>
    <row r="2750" spans="3:4" s="237" customFormat="1">
      <c r="C2750" s="16" t="str">
        <f>IFERROR(VLOOKUP(DATA!#REF!,DATA!#REF!,1,FALSE),"")</f>
        <v/>
      </c>
      <c r="D2750" s="16" t="str">
        <f>IFERROR(VLOOKUP(C2750,DATA!#REF!,2,FALSE),"")</f>
        <v/>
      </c>
    </row>
    <row r="2751" spans="3:4" s="237" customFormat="1">
      <c r="C2751" s="16" t="str">
        <f>IFERROR(VLOOKUP(DATA!#REF!,DATA!#REF!,1,FALSE),"")</f>
        <v/>
      </c>
      <c r="D2751" s="16" t="str">
        <f>IFERROR(VLOOKUP(C2751,DATA!#REF!,2,FALSE),"")</f>
        <v/>
      </c>
    </row>
    <row r="2752" spans="3:4" s="237" customFormat="1">
      <c r="C2752" s="16" t="str">
        <f>IFERROR(VLOOKUP(DATA!#REF!,DATA!#REF!,1,FALSE),"")</f>
        <v/>
      </c>
      <c r="D2752" s="16" t="str">
        <f>IFERROR(VLOOKUP(C2752,DATA!#REF!,2,FALSE),"")</f>
        <v/>
      </c>
    </row>
    <row r="2753" spans="3:4" s="237" customFormat="1">
      <c r="C2753" s="16" t="str">
        <f>IFERROR(VLOOKUP(DATA!#REF!,DATA!#REF!,1,FALSE),"")</f>
        <v/>
      </c>
      <c r="D2753" s="16" t="str">
        <f>IFERROR(VLOOKUP(C2753,DATA!#REF!,2,FALSE),"")</f>
        <v/>
      </c>
    </row>
    <row r="2754" spans="3:4" s="237" customFormat="1">
      <c r="C2754" s="16" t="str">
        <f>IFERROR(VLOOKUP(DATA!#REF!,DATA!#REF!,1,FALSE),"")</f>
        <v/>
      </c>
      <c r="D2754" s="16" t="str">
        <f>IFERROR(VLOOKUP(C2754,DATA!#REF!,2,FALSE),"")</f>
        <v/>
      </c>
    </row>
    <row r="2755" spans="3:4" s="237" customFormat="1">
      <c r="C2755" s="16" t="str">
        <f>IFERROR(VLOOKUP(DATA!#REF!,DATA!#REF!,1,FALSE),"")</f>
        <v/>
      </c>
      <c r="D2755" s="16" t="str">
        <f>IFERROR(VLOOKUP(C2755,DATA!#REF!,2,FALSE),"")</f>
        <v/>
      </c>
    </row>
    <row r="2756" spans="3:4" s="237" customFormat="1">
      <c r="C2756" s="16" t="str">
        <f>IFERROR(VLOOKUP(DATA!#REF!,DATA!#REF!,1,FALSE),"")</f>
        <v/>
      </c>
      <c r="D2756" s="16" t="str">
        <f>IFERROR(VLOOKUP(C2756,DATA!#REF!,2,FALSE),"")</f>
        <v/>
      </c>
    </row>
    <row r="2757" spans="3:4" s="237" customFormat="1">
      <c r="C2757" s="16" t="str">
        <f>IFERROR(VLOOKUP(DATA!#REF!,DATA!#REF!,1,FALSE),"")</f>
        <v/>
      </c>
      <c r="D2757" s="16" t="str">
        <f>IFERROR(VLOOKUP(C2757,DATA!#REF!,2,FALSE),"")</f>
        <v/>
      </c>
    </row>
    <row r="2758" spans="3:4" s="237" customFormat="1">
      <c r="C2758" s="16" t="str">
        <f>IFERROR(VLOOKUP(DATA!#REF!,DATA!#REF!,1,FALSE),"")</f>
        <v/>
      </c>
      <c r="D2758" s="16" t="str">
        <f>IFERROR(VLOOKUP(C2758,DATA!#REF!,2,FALSE),"")</f>
        <v/>
      </c>
    </row>
    <row r="2759" spans="3:4" s="237" customFormat="1">
      <c r="C2759" s="16" t="str">
        <f>IFERROR(VLOOKUP(DATA!#REF!,DATA!#REF!,1,FALSE),"")</f>
        <v/>
      </c>
      <c r="D2759" s="16" t="str">
        <f>IFERROR(VLOOKUP(C2759,DATA!#REF!,2,FALSE),"")</f>
        <v/>
      </c>
    </row>
    <row r="2760" spans="3:4" s="237" customFormat="1">
      <c r="C2760" s="16" t="str">
        <f>IFERROR(VLOOKUP(DATA!#REF!,DATA!#REF!,1,FALSE),"")</f>
        <v/>
      </c>
      <c r="D2760" s="16" t="str">
        <f>IFERROR(VLOOKUP(C2760,DATA!#REF!,2,FALSE),"")</f>
        <v/>
      </c>
    </row>
    <row r="2761" spans="3:4" s="237" customFormat="1">
      <c r="C2761" s="16" t="str">
        <f>IFERROR(VLOOKUP(DATA!#REF!,DATA!#REF!,1,FALSE),"")</f>
        <v/>
      </c>
      <c r="D2761" s="16" t="str">
        <f>IFERROR(VLOOKUP(C2761,DATA!#REF!,2,FALSE),"")</f>
        <v/>
      </c>
    </row>
    <row r="2762" spans="3:4" s="237" customFormat="1">
      <c r="C2762" s="16" t="str">
        <f>IFERROR(VLOOKUP(DATA!#REF!,DATA!#REF!,1,FALSE),"")</f>
        <v/>
      </c>
      <c r="D2762" s="16" t="str">
        <f>IFERROR(VLOOKUP(C2762,DATA!#REF!,2,FALSE),"")</f>
        <v/>
      </c>
    </row>
    <row r="2763" spans="3:4" s="237" customFormat="1">
      <c r="C2763" s="16" t="str">
        <f>IFERROR(VLOOKUP(DATA!#REF!,DATA!#REF!,1,FALSE),"")</f>
        <v/>
      </c>
      <c r="D2763" s="16" t="str">
        <f>IFERROR(VLOOKUP(C2763,DATA!#REF!,2,FALSE),"")</f>
        <v/>
      </c>
    </row>
    <row r="2764" spans="3:4" s="237" customFormat="1">
      <c r="C2764" s="16" t="str">
        <f>IFERROR(VLOOKUP(DATA!#REF!,DATA!#REF!,1,FALSE),"")</f>
        <v/>
      </c>
      <c r="D2764" s="16" t="str">
        <f>IFERROR(VLOOKUP(C2764,DATA!#REF!,2,FALSE),"")</f>
        <v/>
      </c>
    </row>
    <row r="2765" spans="3:4" s="237" customFormat="1">
      <c r="C2765" s="16" t="str">
        <f>IFERROR(VLOOKUP(DATA!#REF!,DATA!#REF!,1,FALSE),"")</f>
        <v/>
      </c>
      <c r="D2765" s="16" t="str">
        <f>IFERROR(VLOOKUP(C2765,DATA!#REF!,2,FALSE),"")</f>
        <v/>
      </c>
    </row>
    <row r="2766" spans="3:4" s="237" customFormat="1">
      <c r="C2766" s="16" t="str">
        <f>IFERROR(VLOOKUP(DATA!#REF!,DATA!#REF!,1,FALSE),"")</f>
        <v/>
      </c>
      <c r="D2766" s="16" t="str">
        <f>IFERROR(VLOOKUP(C2766,DATA!#REF!,2,FALSE),"")</f>
        <v/>
      </c>
    </row>
    <row r="2767" spans="3:4" s="237" customFormat="1">
      <c r="C2767" s="16" t="str">
        <f>IFERROR(VLOOKUP(DATA!#REF!,DATA!#REF!,1,FALSE),"")</f>
        <v/>
      </c>
      <c r="D2767" s="16" t="str">
        <f>IFERROR(VLOOKUP(C2767,DATA!#REF!,2,FALSE),"")</f>
        <v/>
      </c>
    </row>
    <row r="2768" spans="3:4" s="237" customFormat="1">
      <c r="C2768" s="16" t="str">
        <f>IFERROR(VLOOKUP(DATA!#REF!,DATA!#REF!,1,FALSE),"")</f>
        <v/>
      </c>
      <c r="D2768" s="16" t="str">
        <f>IFERROR(VLOOKUP(C2768,DATA!#REF!,2,FALSE),"")</f>
        <v/>
      </c>
    </row>
    <row r="2769" spans="3:4" s="237" customFormat="1">
      <c r="C2769" s="16" t="str">
        <f>IFERROR(VLOOKUP(DATA!#REF!,DATA!#REF!,1,FALSE),"")</f>
        <v/>
      </c>
      <c r="D2769" s="16" t="str">
        <f>IFERROR(VLOOKUP(C2769,DATA!#REF!,2,FALSE),"")</f>
        <v/>
      </c>
    </row>
    <row r="2770" spans="3:4" s="237" customFormat="1">
      <c r="C2770" s="16" t="str">
        <f>IFERROR(VLOOKUP(DATA!#REF!,DATA!#REF!,1,FALSE),"")</f>
        <v/>
      </c>
      <c r="D2770" s="16" t="str">
        <f>IFERROR(VLOOKUP(C2770,DATA!#REF!,2,FALSE),"")</f>
        <v/>
      </c>
    </row>
    <row r="2771" spans="3:4" s="237" customFormat="1">
      <c r="C2771" s="16" t="str">
        <f>IFERROR(VLOOKUP(DATA!#REF!,DATA!#REF!,1,FALSE),"")</f>
        <v/>
      </c>
      <c r="D2771" s="16" t="str">
        <f>IFERROR(VLOOKUP(C2771,DATA!#REF!,2,FALSE),"")</f>
        <v/>
      </c>
    </row>
    <row r="2772" spans="3:4" s="237" customFormat="1">
      <c r="C2772" s="16" t="str">
        <f>IFERROR(VLOOKUP(DATA!#REF!,DATA!#REF!,1,FALSE),"")</f>
        <v/>
      </c>
      <c r="D2772" s="16" t="str">
        <f>IFERROR(VLOOKUP(C2772,DATA!#REF!,2,FALSE),"")</f>
        <v/>
      </c>
    </row>
    <row r="2773" spans="3:4" s="237" customFormat="1">
      <c r="C2773" s="16" t="str">
        <f>IFERROR(VLOOKUP(DATA!#REF!,DATA!#REF!,1,FALSE),"")</f>
        <v/>
      </c>
      <c r="D2773" s="16" t="str">
        <f>IFERROR(VLOOKUP(C2773,DATA!#REF!,2,FALSE),"")</f>
        <v/>
      </c>
    </row>
    <row r="2774" spans="3:4" s="237" customFormat="1">
      <c r="C2774" s="16" t="str">
        <f>IFERROR(VLOOKUP(DATA!#REF!,DATA!#REF!,1,FALSE),"")</f>
        <v/>
      </c>
      <c r="D2774" s="16" t="str">
        <f>IFERROR(VLOOKUP(C2774,DATA!#REF!,2,FALSE),"")</f>
        <v/>
      </c>
    </row>
    <row r="2775" spans="3:4" s="237" customFormat="1">
      <c r="C2775" s="16" t="str">
        <f>IFERROR(VLOOKUP(DATA!#REF!,DATA!#REF!,1,FALSE),"")</f>
        <v/>
      </c>
      <c r="D2775" s="16" t="str">
        <f>IFERROR(VLOOKUP(C2775,DATA!#REF!,2,FALSE),"")</f>
        <v/>
      </c>
    </row>
    <row r="2776" spans="3:4" s="237" customFormat="1">
      <c r="C2776" s="16" t="str">
        <f>IFERROR(VLOOKUP(DATA!#REF!,DATA!#REF!,1,FALSE),"")</f>
        <v/>
      </c>
      <c r="D2776" s="16" t="str">
        <f>IFERROR(VLOOKUP(C2776,DATA!#REF!,2,FALSE),"")</f>
        <v/>
      </c>
    </row>
    <row r="2777" spans="3:4" s="237" customFormat="1">
      <c r="C2777" s="16" t="str">
        <f>IFERROR(VLOOKUP(DATA!#REF!,DATA!#REF!,1,FALSE),"")</f>
        <v/>
      </c>
      <c r="D2777" s="16" t="str">
        <f>IFERROR(VLOOKUP(C2777,DATA!#REF!,2,FALSE),"")</f>
        <v/>
      </c>
    </row>
    <row r="2778" spans="3:4" s="237" customFormat="1">
      <c r="C2778" s="16" t="str">
        <f>IFERROR(VLOOKUP(DATA!#REF!,DATA!#REF!,1,FALSE),"")</f>
        <v/>
      </c>
      <c r="D2778" s="16" t="str">
        <f>IFERROR(VLOOKUP(C2778,DATA!#REF!,2,FALSE),"")</f>
        <v/>
      </c>
    </row>
    <row r="2779" spans="3:4" s="237" customFormat="1">
      <c r="C2779" s="16" t="str">
        <f>IFERROR(VLOOKUP(DATA!#REF!,DATA!#REF!,1,FALSE),"")</f>
        <v/>
      </c>
      <c r="D2779" s="16" t="str">
        <f>IFERROR(VLOOKUP(C2779,DATA!#REF!,2,FALSE),"")</f>
        <v/>
      </c>
    </row>
    <row r="2780" spans="3:4" s="237" customFormat="1">
      <c r="C2780" s="16" t="str">
        <f>IFERROR(VLOOKUP(DATA!#REF!,DATA!#REF!,1,FALSE),"")</f>
        <v/>
      </c>
      <c r="D2780" s="16" t="str">
        <f>IFERROR(VLOOKUP(C2780,DATA!#REF!,2,FALSE),"")</f>
        <v/>
      </c>
    </row>
    <row r="2781" spans="3:4" s="237" customFormat="1">
      <c r="C2781" s="16" t="str">
        <f>IFERROR(VLOOKUP(DATA!#REF!,DATA!#REF!,1,FALSE),"")</f>
        <v/>
      </c>
      <c r="D2781" s="16" t="str">
        <f>IFERROR(VLOOKUP(C2781,DATA!#REF!,2,FALSE),"")</f>
        <v/>
      </c>
    </row>
    <row r="2782" spans="3:4" s="237" customFormat="1">
      <c r="C2782" s="16" t="str">
        <f>IFERROR(VLOOKUP(DATA!#REF!,DATA!#REF!,1,FALSE),"")</f>
        <v/>
      </c>
      <c r="D2782" s="16" t="str">
        <f>IFERROR(VLOOKUP(C2782,DATA!#REF!,2,FALSE),"")</f>
        <v/>
      </c>
    </row>
    <row r="2783" spans="3:4" s="237" customFormat="1">
      <c r="C2783" s="16" t="str">
        <f>IFERROR(VLOOKUP(DATA!#REF!,DATA!#REF!,1,FALSE),"")</f>
        <v/>
      </c>
      <c r="D2783" s="16" t="str">
        <f>IFERROR(VLOOKUP(C2783,DATA!#REF!,2,FALSE),"")</f>
        <v/>
      </c>
    </row>
    <row r="2784" spans="3:4" s="237" customFormat="1">
      <c r="C2784" s="16" t="str">
        <f>IFERROR(VLOOKUP(DATA!#REF!,DATA!#REF!,1,FALSE),"")</f>
        <v/>
      </c>
      <c r="D2784" s="16" t="str">
        <f>IFERROR(VLOOKUP(C2784,DATA!#REF!,2,FALSE),"")</f>
        <v/>
      </c>
    </row>
    <row r="2785" spans="3:4" s="237" customFormat="1">
      <c r="C2785" s="16" t="str">
        <f>IFERROR(VLOOKUP(DATA!#REF!,DATA!#REF!,1,FALSE),"")</f>
        <v/>
      </c>
      <c r="D2785" s="16" t="str">
        <f>IFERROR(VLOOKUP(C2785,DATA!#REF!,2,FALSE),"")</f>
        <v/>
      </c>
    </row>
    <row r="2786" spans="3:4" s="237" customFormat="1">
      <c r="C2786" s="16" t="str">
        <f>IFERROR(VLOOKUP(DATA!#REF!,DATA!#REF!,1,FALSE),"")</f>
        <v/>
      </c>
      <c r="D2786" s="16" t="str">
        <f>IFERROR(VLOOKUP(C2786,DATA!#REF!,2,FALSE),"")</f>
        <v/>
      </c>
    </row>
    <row r="2787" spans="3:4" s="237" customFormat="1">
      <c r="C2787" s="16" t="str">
        <f>IFERROR(VLOOKUP(DATA!#REF!,DATA!#REF!,1,FALSE),"")</f>
        <v/>
      </c>
      <c r="D2787" s="16" t="str">
        <f>IFERROR(VLOOKUP(C2787,DATA!#REF!,2,FALSE),"")</f>
        <v/>
      </c>
    </row>
    <row r="2788" spans="3:4" s="237" customFormat="1">
      <c r="C2788" s="16" t="str">
        <f>IFERROR(VLOOKUP(DATA!#REF!,DATA!#REF!,1,FALSE),"")</f>
        <v/>
      </c>
      <c r="D2788" s="16" t="str">
        <f>IFERROR(VLOOKUP(C2788,DATA!#REF!,2,FALSE),"")</f>
        <v/>
      </c>
    </row>
    <row r="2789" spans="3:4" s="237" customFormat="1">
      <c r="C2789" s="16" t="str">
        <f>IFERROR(VLOOKUP(DATA!#REF!,DATA!#REF!,1,FALSE),"")</f>
        <v/>
      </c>
      <c r="D2789" s="16" t="str">
        <f>IFERROR(VLOOKUP(C2789,DATA!#REF!,2,FALSE),"")</f>
        <v/>
      </c>
    </row>
    <row r="2790" spans="3:4" s="237" customFormat="1">
      <c r="C2790" s="16" t="str">
        <f>IFERROR(VLOOKUP(DATA!#REF!,DATA!#REF!,1,FALSE),"")</f>
        <v/>
      </c>
      <c r="D2790" s="16" t="str">
        <f>IFERROR(VLOOKUP(C2790,DATA!#REF!,2,FALSE),"")</f>
        <v/>
      </c>
    </row>
    <row r="2791" spans="3:4" s="237" customFormat="1">
      <c r="C2791" s="16" t="str">
        <f>IFERROR(VLOOKUP(DATA!#REF!,DATA!#REF!,1,FALSE),"")</f>
        <v/>
      </c>
      <c r="D2791" s="16" t="str">
        <f>IFERROR(VLOOKUP(C2791,DATA!#REF!,2,FALSE),"")</f>
        <v/>
      </c>
    </row>
    <row r="2792" spans="3:4" s="237" customFormat="1">
      <c r="C2792" s="16" t="str">
        <f>IFERROR(VLOOKUP(DATA!#REF!,DATA!#REF!,1,FALSE),"")</f>
        <v/>
      </c>
      <c r="D2792" s="16" t="str">
        <f>IFERROR(VLOOKUP(C2792,DATA!#REF!,2,FALSE),"")</f>
        <v/>
      </c>
    </row>
    <row r="2793" spans="3:4" s="237" customFormat="1">
      <c r="C2793" s="16" t="str">
        <f>IFERROR(VLOOKUP(DATA!#REF!,DATA!#REF!,1,FALSE),"")</f>
        <v/>
      </c>
      <c r="D2793" s="16" t="str">
        <f>IFERROR(VLOOKUP(C2793,DATA!#REF!,2,FALSE),"")</f>
        <v/>
      </c>
    </row>
    <row r="2794" spans="3:4" s="237" customFormat="1">
      <c r="C2794" s="16" t="str">
        <f>IFERROR(VLOOKUP(DATA!#REF!,DATA!#REF!,1,FALSE),"")</f>
        <v/>
      </c>
      <c r="D2794" s="16" t="str">
        <f>IFERROR(VLOOKUP(C2794,DATA!#REF!,2,FALSE),"")</f>
        <v/>
      </c>
    </row>
    <row r="2795" spans="3:4" s="237" customFormat="1">
      <c r="C2795" s="16" t="str">
        <f>IFERROR(VLOOKUP(DATA!#REF!,DATA!#REF!,1,FALSE),"")</f>
        <v/>
      </c>
      <c r="D2795" s="16" t="str">
        <f>IFERROR(VLOOKUP(C2795,DATA!#REF!,2,FALSE),"")</f>
        <v/>
      </c>
    </row>
    <row r="2796" spans="3:4" s="237" customFormat="1">
      <c r="C2796" s="16" t="str">
        <f>IFERROR(VLOOKUP(DATA!#REF!,DATA!#REF!,1,FALSE),"")</f>
        <v/>
      </c>
      <c r="D2796" s="16" t="str">
        <f>IFERROR(VLOOKUP(C2796,DATA!#REF!,2,FALSE),"")</f>
        <v/>
      </c>
    </row>
    <row r="2797" spans="3:4" s="237" customFormat="1">
      <c r="C2797" s="16" t="str">
        <f>IFERROR(VLOOKUP(DATA!#REF!,DATA!#REF!,1,FALSE),"")</f>
        <v/>
      </c>
      <c r="D2797" s="16" t="str">
        <f>IFERROR(VLOOKUP(C2797,DATA!#REF!,2,FALSE),"")</f>
        <v/>
      </c>
    </row>
    <row r="2798" spans="3:4" s="237" customFormat="1">
      <c r="C2798" s="16" t="str">
        <f>IFERROR(VLOOKUP(DATA!#REF!,DATA!#REF!,1,FALSE),"")</f>
        <v/>
      </c>
      <c r="D2798" s="16" t="str">
        <f>IFERROR(VLOOKUP(C2798,DATA!#REF!,2,FALSE),"")</f>
        <v/>
      </c>
    </row>
    <row r="2799" spans="3:4" s="237" customFormat="1">
      <c r="C2799" s="16" t="str">
        <f>IFERROR(VLOOKUP(DATA!#REF!,DATA!#REF!,1,FALSE),"")</f>
        <v/>
      </c>
      <c r="D2799" s="16" t="str">
        <f>IFERROR(VLOOKUP(C2799,DATA!#REF!,2,FALSE),"")</f>
        <v/>
      </c>
    </row>
    <row r="2800" spans="3:4" s="237" customFormat="1">
      <c r="C2800" s="16" t="str">
        <f>IFERROR(VLOOKUP(DATA!#REF!,DATA!#REF!,1,FALSE),"")</f>
        <v/>
      </c>
      <c r="D2800" s="16" t="str">
        <f>IFERROR(VLOOKUP(C2800,DATA!#REF!,2,FALSE),"")</f>
        <v/>
      </c>
    </row>
    <row r="2801" spans="3:4" s="237" customFormat="1">
      <c r="C2801" s="16" t="str">
        <f>IFERROR(VLOOKUP(DATA!#REF!,DATA!#REF!,1,FALSE),"")</f>
        <v/>
      </c>
      <c r="D2801" s="16" t="str">
        <f>IFERROR(VLOOKUP(C2801,DATA!#REF!,2,FALSE),"")</f>
        <v/>
      </c>
    </row>
    <row r="2802" spans="3:4" s="237" customFormat="1">
      <c r="C2802" s="16" t="str">
        <f>IFERROR(VLOOKUP(DATA!#REF!,DATA!#REF!,1,FALSE),"")</f>
        <v/>
      </c>
      <c r="D2802" s="16" t="str">
        <f>IFERROR(VLOOKUP(C2802,DATA!#REF!,2,FALSE),"")</f>
        <v/>
      </c>
    </row>
    <row r="2803" spans="3:4" s="237" customFormat="1">
      <c r="C2803" s="16" t="str">
        <f>IFERROR(VLOOKUP(DATA!#REF!,DATA!#REF!,1,FALSE),"")</f>
        <v/>
      </c>
      <c r="D2803" s="16" t="str">
        <f>IFERROR(VLOOKUP(C2803,DATA!#REF!,2,FALSE),"")</f>
        <v/>
      </c>
    </row>
    <row r="2804" spans="3:4" s="237" customFormat="1">
      <c r="C2804" s="16" t="str">
        <f>IFERROR(VLOOKUP(DATA!#REF!,DATA!#REF!,1,FALSE),"")</f>
        <v/>
      </c>
      <c r="D2804" s="16" t="str">
        <f>IFERROR(VLOOKUP(C2804,DATA!#REF!,2,FALSE),"")</f>
        <v/>
      </c>
    </row>
    <row r="2805" spans="3:4" s="237" customFormat="1">
      <c r="C2805" s="16" t="str">
        <f>IFERROR(VLOOKUP(DATA!#REF!,DATA!#REF!,1,FALSE),"")</f>
        <v/>
      </c>
      <c r="D2805" s="16" t="str">
        <f>IFERROR(VLOOKUP(C2805,DATA!#REF!,2,FALSE),"")</f>
        <v/>
      </c>
    </row>
    <row r="2806" spans="3:4" s="237" customFormat="1">
      <c r="C2806" s="16" t="str">
        <f>IFERROR(VLOOKUP(DATA!#REF!,DATA!#REF!,1,FALSE),"")</f>
        <v/>
      </c>
      <c r="D2806" s="16" t="str">
        <f>IFERROR(VLOOKUP(C2806,DATA!#REF!,2,FALSE),"")</f>
        <v/>
      </c>
    </row>
    <row r="2807" spans="3:4" s="237" customFormat="1">
      <c r="C2807" s="16" t="str">
        <f>IFERROR(VLOOKUP(DATA!#REF!,DATA!#REF!,1,FALSE),"")</f>
        <v/>
      </c>
      <c r="D2807" s="16" t="str">
        <f>IFERROR(VLOOKUP(C2807,DATA!#REF!,2,FALSE),"")</f>
        <v/>
      </c>
    </row>
    <row r="2808" spans="3:4" s="237" customFormat="1">
      <c r="C2808" s="16" t="str">
        <f>IFERROR(VLOOKUP(DATA!#REF!,DATA!#REF!,1,FALSE),"")</f>
        <v/>
      </c>
      <c r="D2808" s="16" t="str">
        <f>IFERROR(VLOOKUP(C2808,DATA!#REF!,2,FALSE),"")</f>
        <v/>
      </c>
    </row>
    <row r="2809" spans="3:4" s="237" customFormat="1">
      <c r="C2809" s="16" t="str">
        <f>IFERROR(VLOOKUP(DATA!#REF!,DATA!#REF!,1,FALSE),"")</f>
        <v/>
      </c>
      <c r="D2809" s="16" t="str">
        <f>IFERROR(VLOOKUP(C2809,DATA!#REF!,2,FALSE),"")</f>
        <v/>
      </c>
    </row>
    <row r="2810" spans="3:4" s="237" customFormat="1">
      <c r="C2810" s="16" t="str">
        <f>IFERROR(VLOOKUP(DATA!#REF!,DATA!#REF!,1,FALSE),"")</f>
        <v/>
      </c>
      <c r="D2810" s="16" t="str">
        <f>IFERROR(VLOOKUP(C2810,DATA!#REF!,2,FALSE),"")</f>
        <v/>
      </c>
    </row>
    <row r="2811" spans="3:4" s="237" customFormat="1">
      <c r="C2811" s="16" t="str">
        <f>IFERROR(VLOOKUP(DATA!#REF!,DATA!#REF!,1,FALSE),"")</f>
        <v/>
      </c>
      <c r="D2811" s="16" t="str">
        <f>IFERROR(VLOOKUP(C2811,DATA!#REF!,2,FALSE),"")</f>
        <v/>
      </c>
    </row>
    <row r="2812" spans="3:4" s="237" customFormat="1">
      <c r="C2812" s="16" t="str">
        <f>IFERROR(VLOOKUP(DATA!#REF!,DATA!#REF!,1,FALSE),"")</f>
        <v/>
      </c>
      <c r="D2812" s="16" t="str">
        <f>IFERROR(VLOOKUP(C2812,DATA!#REF!,2,FALSE),"")</f>
        <v/>
      </c>
    </row>
    <row r="2813" spans="3:4" s="237" customFormat="1">
      <c r="C2813" s="16" t="str">
        <f>IFERROR(VLOOKUP(DATA!#REF!,DATA!#REF!,1,FALSE),"")</f>
        <v/>
      </c>
      <c r="D2813" s="16" t="str">
        <f>IFERROR(VLOOKUP(C2813,DATA!#REF!,2,FALSE),"")</f>
        <v/>
      </c>
    </row>
    <row r="2814" spans="3:4" s="237" customFormat="1">
      <c r="C2814" s="16" t="str">
        <f>IFERROR(VLOOKUP(DATA!#REF!,DATA!#REF!,1,FALSE),"")</f>
        <v/>
      </c>
      <c r="D2814" s="16" t="str">
        <f>IFERROR(VLOOKUP(C2814,DATA!#REF!,2,FALSE),"")</f>
        <v/>
      </c>
    </row>
    <row r="2815" spans="3:4" s="237" customFormat="1">
      <c r="C2815" s="16" t="str">
        <f>IFERROR(VLOOKUP(DATA!#REF!,DATA!#REF!,1,FALSE),"")</f>
        <v/>
      </c>
      <c r="D2815" s="16" t="str">
        <f>IFERROR(VLOOKUP(C2815,DATA!#REF!,2,FALSE),"")</f>
        <v/>
      </c>
    </row>
    <row r="2816" spans="3:4" s="237" customFormat="1">
      <c r="C2816" s="16" t="str">
        <f>IFERROR(VLOOKUP(DATA!#REF!,DATA!#REF!,1,FALSE),"")</f>
        <v/>
      </c>
      <c r="D2816" s="16" t="str">
        <f>IFERROR(VLOOKUP(C2816,DATA!#REF!,2,FALSE),"")</f>
        <v/>
      </c>
    </row>
    <row r="2817" spans="3:4" s="237" customFormat="1">
      <c r="C2817" s="16" t="str">
        <f>IFERROR(VLOOKUP(DATA!#REF!,DATA!#REF!,1,FALSE),"")</f>
        <v/>
      </c>
      <c r="D2817" s="16" t="str">
        <f>IFERROR(VLOOKUP(C2817,DATA!#REF!,2,FALSE),"")</f>
        <v/>
      </c>
    </row>
    <row r="2818" spans="3:4" s="237" customFormat="1">
      <c r="C2818" s="16" t="str">
        <f>IFERROR(VLOOKUP(DATA!#REF!,DATA!#REF!,1,FALSE),"")</f>
        <v/>
      </c>
      <c r="D2818" s="16" t="str">
        <f>IFERROR(VLOOKUP(C2818,DATA!#REF!,2,FALSE),"")</f>
        <v/>
      </c>
    </row>
    <row r="2819" spans="3:4" s="237" customFormat="1">
      <c r="C2819" s="16" t="str">
        <f>IFERROR(VLOOKUP(DATA!#REF!,DATA!#REF!,1,FALSE),"")</f>
        <v/>
      </c>
      <c r="D2819" s="16" t="str">
        <f>IFERROR(VLOOKUP(C2819,DATA!#REF!,2,FALSE),"")</f>
        <v/>
      </c>
    </row>
    <row r="2820" spans="3:4" s="237" customFormat="1">
      <c r="C2820" s="16" t="str">
        <f>IFERROR(VLOOKUP(DATA!#REF!,DATA!#REF!,1,FALSE),"")</f>
        <v/>
      </c>
      <c r="D2820" s="16" t="str">
        <f>IFERROR(VLOOKUP(C2820,DATA!#REF!,2,FALSE),"")</f>
        <v/>
      </c>
    </row>
    <row r="2821" spans="3:4" s="237" customFormat="1">
      <c r="C2821" s="16" t="str">
        <f>IFERROR(VLOOKUP(DATA!#REF!,DATA!#REF!,1,FALSE),"")</f>
        <v/>
      </c>
      <c r="D2821" s="16" t="str">
        <f>IFERROR(VLOOKUP(C2821,DATA!#REF!,2,FALSE),"")</f>
        <v/>
      </c>
    </row>
    <row r="2822" spans="3:4" s="237" customFormat="1">
      <c r="C2822" s="16" t="str">
        <f>IFERROR(VLOOKUP(DATA!#REF!,DATA!#REF!,1,FALSE),"")</f>
        <v/>
      </c>
      <c r="D2822" s="16" t="str">
        <f>IFERROR(VLOOKUP(C2822,DATA!#REF!,2,FALSE),"")</f>
        <v/>
      </c>
    </row>
    <row r="2823" spans="3:4" s="237" customFormat="1">
      <c r="C2823" s="16" t="str">
        <f>IFERROR(VLOOKUP(DATA!#REF!,DATA!#REF!,1,FALSE),"")</f>
        <v/>
      </c>
      <c r="D2823" s="16" t="str">
        <f>IFERROR(VLOOKUP(C2823,DATA!#REF!,2,FALSE),"")</f>
        <v/>
      </c>
    </row>
    <row r="2824" spans="3:4" s="237" customFormat="1">
      <c r="C2824" s="16" t="str">
        <f>IFERROR(VLOOKUP(DATA!#REF!,DATA!#REF!,1,FALSE),"")</f>
        <v/>
      </c>
      <c r="D2824" s="16" t="str">
        <f>IFERROR(VLOOKUP(C2824,DATA!#REF!,2,FALSE),"")</f>
        <v/>
      </c>
    </row>
    <row r="2825" spans="3:4" s="237" customFormat="1">
      <c r="C2825" s="16" t="str">
        <f>IFERROR(VLOOKUP(DATA!#REF!,DATA!#REF!,1,FALSE),"")</f>
        <v/>
      </c>
      <c r="D2825" s="16" t="str">
        <f>IFERROR(VLOOKUP(C2825,DATA!#REF!,2,FALSE),"")</f>
        <v/>
      </c>
    </row>
    <row r="2826" spans="3:4" s="237" customFormat="1">
      <c r="C2826" s="16" t="str">
        <f>IFERROR(VLOOKUP(DATA!#REF!,DATA!#REF!,1,FALSE),"")</f>
        <v/>
      </c>
      <c r="D2826" s="16" t="str">
        <f>IFERROR(VLOOKUP(C2826,DATA!#REF!,2,FALSE),"")</f>
        <v/>
      </c>
    </row>
    <row r="2827" spans="3:4" s="237" customFormat="1">
      <c r="C2827" s="16" t="str">
        <f>IFERROR(VLOOKUP(DATA!#REF!,DATA!#REF!,1,FALSE),"")</f>
        <v/>
      </c>
      <c r="D2827" s="16" t="str">
        <f>IFERROR(VLOOKUP(C2827,DATA!#REF!,2,FALSE),"")</f>
        <v/>
      </c>
    </row>
    <row r="2828" spans="3:4" s="237" customFormat="1">
      <c r="C2828" s="16" t="str">
        <f>IFERROR(VLOOKUP(DATA!#REF!,DATA!#REF!,1,FALSE),"")</f>
        <v/>
      </c>
      <c r="D2828" s="16" t="str">
        <f>IFERROR(VLOOKUP(C2828,DATA!#REF!,2,FALSE),"")</f>
        <v/>
      </c>
    </row>
    <row r="2829" spans="3:4" s="237" customFormat="1">
      <c r="C2829" s="16" t="str">
        <f>IFERROR(VLOOKUP(DATA!#REF!,DATA!#REF!,1,FALSE),"")</f>
        <v/>
      </c>
      <c r="D2829" s="16" t="str">
        <f>IFERROR(VLOOKUP(C2829,DATA!#REF!,2,FALSE),"")</f>
        <v/>
      </c>
    </row>
    <row r="2830" spans="3:4" s="237" customFormat="1">
      <c r="C2830" s="16" t="str">
        <f>IFERROR(VLOOKUP(DATA!#REF!,DATA!#REF!,1,FALSE),"")</f>
        <v/>
      </c>
      <c r="D2830" s="16" t="str">
        <f>IFERROR(VLOOKUP(C2830,DATA!#REF!,2,FALSE),"")</f>
        <v/>
      </c>
    </row>
    <row r="2831" spans="3:4" s="237" customFormat="1">
      <c r="C2831" s="16" t="str">
        <f>IFERROR(VLOOKUP(DATA!#REF!,DATA!#REF!,1,FALSE),"")</f>
        <v/>
      </c>
      <c r="D2831" s="16" t="str">
        <f>IFERROR(VLOOKUP(C2831,DATA!#REF!,2,FALSE),"")</f>
        <v/>
      </c>
    </row>
    <row r="2832" spans="3:4" s="237" customFormat="1">
      <c r="C2832" s="16" t="str">
        <f>IFERROR(VLOOKUP(DATA!#REF!,DATA!#REF!,1,FALSE),"")</f>
        <v/>
      </c>
      <c r="D2832" s="16" t="str">
        <f>IFERROR(VLOOKUP(C2832,DATA!#REF!,2,FALSE),"")</f>
        <v/>
      </c>
    </row>
    <row r="2833" spans="3:4" s="237" customFormat="1">
      <c r="C2833" s="16" t="str">
        <f>IFERROR(VLOOKUP(DATA!#REF!,DATA!#REF!,1,FALSE),"")</f>
        <v/>
      </c>
      <c r="D2833" s="16" t="str">
        <f>IFERROR(VLOOKUP(C2833,DATA!#REF!,2,FALSE),"")</f>
        <v/>
      </c>
    </row>
    <row r="2834" spans="3:4" s="237" customFormat="1">
      <c r="C2834" s="16" t="str">
        <f>IFERROR(VLOOKUP(DATA!#REF!,DATA!#REF!,1,FALSE),"")</f>
        <v/>
      </c>
      <c r="D2834" s="16" t="str">
        <f>IFERROR(VLOOKUP(C2834,DATA!#REF!,2,FALSE),"")</f>
        <v/>
      </c>
    </row>
    <row r="2835" spans="3:4" s="237" customFormat="1">
      <c r="C2835" s="16" t="str">
        <f>IFERROR(VLOOKUP(DATA!#REF!,DATA!#REF!,1,FALSE),"")</f>
        <v/>
      </c>
      <c r="D2835" s="16" t="str">
        <f>IFERROR(VLOOKUP(C2835,DATA!#REF!,2,FALSE),"")</f>
        <v/>
      </c>
    </row>
    <row r="2836" spans="3:4" s="237" customFormat="1">
      <c r="C2836" s="16" t="str">
        <f>IFERROR(VLOOKUP(DATA!#REF!,DATA!#REF!,1,FALSE),"")</f>
        <v/>
      </c>
      <c r="D2836" s="16" t="str">
        <f>IFERROR(VLOOKUP(C2836,DATA!#REF!,2,FALSE),"")</f>
        <v/>
      </c>
    </row>
    <row r="2837" spans="3:4" s="237" customFormat="1">
      <c r="C2837" s="16" t="str">
        <f>IFERROR(VLOOKUP(DATA!#REF!,DATA!#REF!,1,FALSE),"")</f>
        <v/>
      </c>
      <c r="D2837" s="16" t="str">
        <f>IFERROR(VLOOKUP(C2837,DATA!#REF!,2,FALSE),"")</f>
        <v/>
      </c>
    </row>
    <row r="2838" spans="3:4" s="237" customFormat="1">
      <c r="C2838" s="16" t="str">
        <f>IFERROR(VLOOKUP(DATA!#REF!,DATA!#REF!,1,FALSE),"")</f>
        <v/>
      </c>
      <c r="D2838" s="16" t="str">
        <f>IFERROR(VLOOKUP(C2838,DATA!#REF!,2,FALSE),"")</f>
        <v/>
      </c>
    </row>
    <row r="2839" spans="3:4" s="237" customFormat="1">
      <c r="C2839" s="16" t="str">
        <f>IFERROR(VLOOKUP(DATA!#REF!,DATA!#REF!,1,FALSE),"")</f>
        <v/>
      </c>
      <c r="D2839" s="16" t="str">
        <f>IFERROR(VLOOKUP(C2839,DATA!#REF!,2,FALSE),"")</f>
        <v/>
      </c>
    </row>
    <row r="2840" spans="3:4" s="237" customFormat="1">
      <c r="C2840" s="16" t="str">
        <f>IFERROR(VLOOKUP(DATA!#REF!,DATA!#REF!,1,FALSE),"")</f>
        <v/>
      </c>
      <c r="D2840" s="16" t="str">
        <f>IFERROR(VLOOKUP(C2840,DATA!#REF!,2,FALSE),"")</f>
        <v/>
      </c>
    </row>
    <row r="2841" spans="3:4" s="237" customFormat="1">
      <c r="C2841" s="16" t="str">
        <f>IFERROR(VLOOKUP(DATA!#REF!,DATA!#REF!,1,FALSE),"")</f>
        <v/>
      </c>
      <c r="D2841" s="16" t="str">
        <f>IFERROR(VLOOKUP(C2841,DATA!#REF!,2,FALSE),"")</f>
        <v/>
      </c>
    </row>
    <row r="2842" spans="3:4" s="237" customFormat="1">
      <c r="C2842" s="16" t="str">
        <f>IFERROR(VLOOKUP(DATA!#REF!,DATA!#REF!,1,FALSE),"")</f>
        <v/>
      </c>
      <c r="D2842" s="16" t="str">
        <f>IFERROR(VLOOKUP(C2842,DATA!#REF!,2,FALSE),"")</f>
        <v/>
      </c>
    </row>
    <row r="2843" spans="3:4" s="237" customFormat="1">
      <c r="C2843" s="16" t="str">
        <f>IFERROR(VLOOKUP(DATA!#REF!,DATA!#REF!,1,FALSE),"")</f>
        <v/>
      </c>
      <c r="D2843" s="16" t="str">
        <f>IFERROR(VLOOKUP(C2843,DATA!#REF!,2,FALSE),"")</f>
        <v/>
      </c>
    </row>
    <row r="2844" spans="3:4" s="237" customFormat="1">
      <c r="C2844" s="16" t="str">
        <f>IFERROR(VLOOKUP(DATA!#REF!,DATA!#REF!,1,FALSE),"")</f>
        <v/>
      </c>
      <c r="D2844" s="16" t="str">
        <f>IFERROR(VLOOKUP(C2844,DATA!#REF!,2,FALSE),"")</f>
        <v/>
      </c>
    </row>
    <row r="2845" spans="3:4" s="237" customFormat="1">
      <c r="C2845" s="16" t="str">
        <f>IFERROR(VLOOKUP(DATA!#REF!,DATA!#REF!,1,FALSE),"")</f>
        <v/>
      </c>
      <c r="D2845" s="16" t="str">
        <f>IFERROR(VLOOKUP(C2845,DATA!#REF!,2,FALSE),"")</f>
        <v/>
      </c>
    </row>
    <row r="2846" spans="3:4" s="237" customFormat="1">
      <c r="C2846" s="16" t="str">
        <f>IFERROR(VLOOKUP(DATA!#REF!,DATA!#REF!,1,FALSE),"")</f>
        <v/>
      </c>
      <c r="D2846" s="16" t="str">
        <f>IFERROR(VLOOKUP(C2846,DATA!#REF!,2,FALSE),"")</f>
        <v/>
      </c>
    </row>
    <row r="2847" spans="3:4" s="237" customFormat="1">
      <c r="C2847" s="16" t="str">
        <f>IFERROR(VLOOKUP(DATA!#REF!,DATA!#REF!,1,FALSE),"")</f>
        <v/>
      </c>
      <c r="D2847" s="16" t="str">
        <f>IFERROR(VLOOKUP(C2847,DATA!#REF!,2,FALSE),"")</f>
        <v/>
      </c>
    </row>
    <row r="2848" spans="3:4" s="237" customFormat="1">
      <c r="C2848" s="16" t="str">
        <f>IFERROR(VLOOKUP(DATA!#REF!,DATA!#REF!,1,FALSE),"")</f>
        <v/>
      </c>
      <c r="D2848" s="16" t="str">
        <f>IFERROR(VLOOKUP(C2848,DATA!#REF!,2,FALSE),"")</f>
        <v/>
      </c>
    </row>
    <row r="2849" spans="3:4" s="237" customFormat="1">
      <c r="C2849" s="16" t="str">
        <f>IFERROR(VLOOKUP(DATA!#REF!,DATA!#REF!,1,FALSE),"")</f>
        <v/>
      </c>
      <c r="D2849" s="16" t="str">
        <f>IFERROR(VLOOKUP(C2849,DATA!#REF!,2,FALSE),"")</f>
        <v/>
      </c>
    </row>
    <row r="2850" spans="3:4" s="237" customFormat="1">
      <c r="C2850" s="16" t="str">
        <f>IFERROR(VLOOKUP(DATA!#REF!,DATA!#REF!,1,FALSE),"")</f>
        <v/>
      </c>
      <c r="D2850" s="16" t="str">
        <f>IFERROR(VLOOKUP(C2850,DATA!#REF!,2,FALSE),"")</f>
        <v/>
      </c>
    </row>
    <row r="2851" spans="3:4" s="237" customFormat="1">
      <c r="C2851" s="16" t="str">
        <f>IFERROR(VLOOKUP(DATA!#REF!,DATA!#REF!,1,FALSE),"")</f>
        <v/>
      </c>
      <c r="D2851" s="16" t="str">
        <f>IFERROR(VLOOKUP(C2851,DATA!#REF!,2,FALSE),"")</f>
        <v/>
      </c>
    </row>
    <row r="2852" spans="3:4" s="237" customFormat="1">
      <c r="C2852" s="16" t="str">
        <f>IFERROR(VLOOKUP(DATA!#REF!,DATA!#REF!,1,FALSE),"")</f>
        <v/>
      </c>
      <c r="D2852" s="16" t="str">
        <f>IFERROR(VLOOKUP(C2852,DATA!#REF!,2,FALSE),"")</f>
        <v/>
      </c>
    </row>
    <row r="2853" spans="3:4" s="237" customFormat="1">
      <c r="C2853" s="16" t="str">
        <f>IFERROR(VLOOKUP(DATA!#REF!,DATA!#REF!,1,FALSE),"")</f>
        <v/>
      </c>
      <c r="D2853" s="16" t="str">
        <f>IFERROR(VLOOKUP(C2853,DATA!#REF!,2,FALSE),"")</f>
        <v/>
      </c>
    </row>
    <row r="2854" spans="3:4" s="237" customFormat="1">
      <c r="C2854" s="16" t="str">
        <f>IFERROR(VLOOKUP(DATA!#REF!,DATA!#REF!,1,FALSE),"")</f>
        <v/>
      </c>
      <c r="D2854" s="16" t="str">
        <f>IFERROR(VLOOKUP(C2854,DATA!#REF!,2,FALSE),"")</f>
        <v/>
      </c>
    </row>
    <row r="2855" spans="3:4" s="237" customFormat="1">
      <c r="C2855" s="16" t="str">
        <f>IFERROR(VLOOKUP(DATA!#REF!,DATA!#REF!,1,FALSE),"")</f>
        <v/>
      </c>
      <c r="D2855" s="16" t="str">
        <f>IFERROR(VLOOKUP(C2855,DATA!#REF!,2,FALSE),"")</f>
        <v/>
      </c>
    </row>
    <row r="2856" spans="3:4" s="237" customFormat="1">
      <c r="C2856" s="16" t="str">
        <f>IFERROR(VLOOKUP(DATA!#REF!,DATA!#REF!,1,FALSE),"")</f>
        <v/>
      </c>
      <c r="D2856" s="16" t="str">
        <f>IFERROR(VLOOKUP(C2856,DATA!#REF!,2,FALSE),"")</f>
        <v/>
      </c>
    </row>
    <row r="2857" spans="3:4" s="237" customFormat="1">
      <c r="C2857" s="16" t="str">
        <f>IFERROR(VLOOKUP(DATA!#REF!,DATA!#REF!,1,FALSE),"")</f>
        <v/>
      </c>
      <c r="D2857" s="16" t="str">
        <f>IFERROR(VLOOKUP(C2857,DATA!#REF!,2,FALSE),"")</f>
        <v/>
      </c>
    </row>
    <row r="2858" spans="3:4" s="237" customFormat="1">
      <c r="C2858" s="16" t="str">
        <f>IFERROR(VLOOKUP(DATA!#REF!,DATA!#REF!,1,FALSE),"")</f>
        <v/>
      </c>
      <c r="D2858" s="16" t="str">
        <f>IFERROR(VLOOKUP(C2858,DATA!#REF!,2,FALSE),"")</f>
        <v/>
      </c>
    </row>
    <row r="2859" spans="3:4" s="237" customFormat="1">
      <c r="C2859" s="16" t="str">
        <f>IFERROR(VLOOKUP(DATA!#REF!,DATA!#REF!,1,FALSE),"")</f>
        <v/>
      </c>
      <c r="D2859" s="16" t="str">
        <f>IFERROR(VLOOKUP(C2859,DATA!#REF!,2,FALSE),"")</f>
        <v/>
      </c>
    </row>
    <row r="2860" spans="3:4" s="237" customFormat="1">
      <c r="C2860" s="16" t="str">
        <f>IFERROR(VLOOKUP(DATA!#REF!,DATA!#REF!,1,FALSE),"")</f>
        <v/>
      </c>
      <c r="D2860" s="16" t="str">
        <f>IFERROR(VLOOKUP(C2860,DATA!#REF!,2,FALSE),"")</f>
        <v/>
      </c>
    </row>
    <row r="2861" spans="3:4" s="237" customFormat="1">
      <c r="C2861" s="16" t="str">
        <f>IFERROR(VLOOKUP(DATA!#REF!,DATA!#REF!,1,FALSE),"")</f>
        <v/>
      </c>
      <c r="D2861" s="16" t="str">
        <f>IFERROR(VLOOKUP(C2861,DATA!#REF!,2,FALSE),"")</f>
        <v/>
      </c>
    </row>
    <row r="2862" spans="3:4" s="237" customFormat="1">
      <c r="C2862" s="16" t="str">
        <f>IFERROR(VLOOKUP(DATA!#REF!,DATA!#REF!,1,FALSE),"")</f>
        <v/>
      </c>
      <c r="D2862" s="16" t="str">
        <f>IFERROR(VLOOKUP(C2862,DATA!#REF!,2,FALSE),"")</f>
        <v/>
      </c>
    </row>
    <row r="2863" spans="3:4" s="237" customFormat="1">
      <c r="C2863" s="16" t="str">
        <f>IFERROR(VLOOKUP(DATA!#REF!,DATA!#REF!,1,FALSE),"")</f>
        <v/>
      </c>
      <c r="D2863" s="16" t="str">
        <f>IFERROR(VLOOKUP(C2863,DATA!#REF!,2,FALSE),"")</f>
        <v/>
      </c>
    </row>
    <row r="2864" spans="3:4" s="237" customFormat="1">
      <c r="C2864" s="16" t="str">
        <f>IFERROR(VLOOKUP(DATA!#REF!,DATA!#REF!,1,FALSE),"")</f>
        <v/>
      </c>
      <c r="D2864" s="16" t="str">
        <f>IFERROR(VLOOKUP(C2864,DATA!#REF!,2,FALSE),"")</f>
        <v/>
      </c>
    </row>
    <row r="2865" spans="3:4" s="237" customFormat="1">
      <c r="C2865" s="16" t="str">
        <f>IFERROR(VLOOKUP(DATA!#REF!,DATA!#REF!,1,FALSE),"")</f>
        <v/>
      </c>
      <c r="D2865" s="16" t="str">
        <f>IFERROR(VLOOKUP(C2865,DATA!#REF!,2,FALSE),"")</f>
        <v/>
      </c>
    </row>
    <row r="2866" spans="3:4" s="237" customFormat="1">
      <c r="C2866" s="16" t="str">
        <f>IFERROR(VLOOKUP(DATA!#REF!,DATA!#REF!,1,FALSE),"")</f>
        <v/>
      </c>
      <c r="D2866" s="16" t="str">
        <f>IFERROR(VLOOKUP(C2866,DATA!#REF!,2,FALSE),"")</f>
        <v/>
      </c>
    </row>
    <row r="2867" spans="3:4" s="237" customFormat="1">
      <c r="C2867" s="16" t="str">
        <f>IFERROR(VLOOKUP(DATA!#REF!,DATA!#REF!,1,FALSE),"")</f>
        <v/>
      </c>
      <c r="D2867" s="16" t="str">
        <f>IFERROR(VLOOKUP(C2867,DATA!#REF!,2,FALSE),"")</f>
        <v/>
      </c>
    </row>
    <row r="2868" spans="3:4" s="237" customFormat="1">
      <c r="C2868" s="16" t="str">
        <f>IFERROR(VLOOKUP(DATA!#REF!,DATA!#REF!,1,FALSE),"")</f>
        <v/>
      </c>
      <c r="D2868" s="16" t="str">
        <f>IFERROR(VLOOKUP(C2868,DATA!#REF!,2,FALSE),"")</f>
        <v/>
      </c>
    </row>
    <row r="2869" spans="3:4" s="237" customFormat="1">
      <c r="C2869" s="16" t="str">
        <f>IFERROR(VLOOKUP(DATA!#REF!,DATA!#REF!,1,FALSE),"")</f>
        <v/>
      </c>
      <c r="D2869" s="16" t="str">
        <f>IFERROR(VLOOKUP(C2869,DATA!#REF!,2,FALSE),"")</f>
        <v/>
      </c>
    </row>
    <row r="2870" spans="3:4" s="237" customFormat="1">
      <c r="C2870" s="16" t="str">
        <f>IFERROR(VLOOKUP(DATA!#REF!,DATA!#REF!,1,FALSE),"")</f>
        <v/>
      </c>
      <c r="D2870" s="16" t="str">
        <f>IFERROR(VLOOKUP(C2870,DATA!#REF!,2,FALSE),"")</f>
        <v/>
      </c>
    </row>
    <row r="2871" spans="3:4" s="237" customFormat="1">
      <c r="C2871" s="16" t="str">
        <f>IFERROR(VLOOKUP(DATA!#REF!,DATA!#REF!,1,FALSE),"")</f>
        <v/>
      </c>
      <c r="D2871" s="16" t="str">
        <f>IFERROR(VLOOKUP(C2871,DATA!#REF!,2,FALSE),"")</f>
        <v/>
      </c>
    </row>
    <row r="2872" spans="3:4" s="237" customFormat="1">
      <c r="C2872" s="16" t="str">
        <f>IFERROR(VLOOKUP(DATA!#REF!,DATA!#REF!,1,FALSE),"")</f>
        <v/>
      </c>
      <c r="D2872" s="16" t="str">
        <f>IFERROR(VLOOKUP(C2872,DATA!#REF!,2,FALSE),"")</f>
        <v/>
      </c>
    </row>
    <row r="2873" spans="3:4" s="237" customFormat="1">
      <c r="C2873" s="16" t="str">
        <f>IFERROR(VLOOKUP(DATA!#REF!,DATA!#REF!,1,FALSE),"")</f>
        <v/>
      </c>
      <c r="D2873" s="16" t="str">
        <f>IFERROR(VLOOKUP(C2873,DATA!#REF!,2,FALSE),"")</f>
        <v/>
      </c>
    </row>
    <row r="2874" spans="3:4" s="237" customFormat="1">
      <c r="C2874" s="16" t="str">
        <f>IFERROR(VLOOKUP(DATA!#REF!,DATA!#REF!,1,FALSE),"")</f>
        <v/>
      </c>
      <c r="D2874" s="16" t="str">
        <f>IFERROR(VLOOKUP(C2874,DATA!#REF!,2,FALSE),"")</f>
        <v/>
      </c>
    </row>
    <row r="2875" spans="3:4" s="237" customFormat="1">
      <c r="C2875" s="16" t="str">
        <f>IFERROR(VLOOKUP(DATA!#REF!,DATA!#REF!,1,FALSE),"")</f>
        <v/>
      </c>
      <c r="D2875" s="16" t="str">
        <f>IFERROR(VLOOKUP(C2875,DATA!#REF!,2,FALSE),"")</f>
        <v/>
      </c>
    </row>
    <row r="2876" spans="3:4" s="237" customFormat="1">
      <c r="C2876" s="16" t="str">
        <f>IFERROR(VLOOKUP(DATA!#REF!,DATA!#REF!,1,FALSE),"")</f>
        <v/>
      </c>
      <c r="D2876" s="16" t="str">
        <f>IFERROR(VLOOKUP(C2876,DATA!#REF!,2,FALSE),"")</f>
        <v/>
      </c>
    </row>
    <row r="2877" spans="3:4" s="237" customFormat="1">
      <c r="C2877" s="16" t="str">
        <f>IFERROR(VLOOKUP(DATA!#REF!,DATA!#REF!,1,FALSE),"")</f>
        <v/>
      </c>
      <c r="D2877" s="16" t="str">
        <f>IFERROR(VLOOKUP(C2877,DATA!#REF!,2,FALSE),"")</f>
        <v/>
      </c>
    </row>
    <row r="2878" spans="3:4" s="237" customFormat="1">
      <c r="C2878" s="16" t="str">
        <f>IFERROR(VLOOKUP(DATA!#REF!,DATA!#REF!,1,FALSE),"")</f>
        <v/>
      </c>
      <c r="D2878" s="16" t="str">
        <f>IFERROR(VLOOKUP(C2878,DATA!#REF!,2,FALSE),"")</f>
        <v/>
      </c>
    </row>
    <row r="2879" spans="3:4" s="237" customFormat="1">
      <c r="C2879" s="16" t="str">
        <f>IFERROR(VLOOKUP(DATA!#REF!,DATA!#REF!,1,FALSE),"")</f>
        <v/>
      </c>
      <c r="D2879" s="16" t="str">
        <f>IFERROR(VLOOKUP(C2879,DATA!#REF!,2,FALSE),"")</f>
        <v/>
      </c>
    </row>
    <row r="2880" spans="3:4" s="237" customFormat="1">
      <c r="C2880" s="16" t="str">
        <f>IFERROR(VLOOKUP(DATA!#REF!,DATA!#REF!,1,FALSE),"")</f>
        <v/>
      </c>
      <c r="D2880" s="16" t="str">
        <f>IFERROR(VLOOKUP(C2880,DATA!#REF!,2,FALSE),"")</f>
        <v/>
      </c>
    </row>
    <row r="2881" spans="3:4" s="237" customFormat="1">
      <c r="C2881" s="16" t="str">
        <f>IFERROR(VLOOKUP(DATA!#REF!,DATA!#REF!,1,FALSE),"")</f>
        <v/>
      </c>
      <c r="D2881" s="16" t="str">
        <f>IFERROR(VLOOKUP(C2881,DATA!#REF!,2,FALSE),"")</f>
        <v/>
      </c>
    </row>
    <row r="2882" spans="3:4" s="237" customFormat="1">
      <c r="C2882" s="16" t="str">
        <f>IFERROR(VLOOKUP(DATA!#REF!,DATA!#REF!,1,FALSE),"")</f>
        <v/>
      </c>
      <c r="D2882" s="16" t="str">
        <f>IFERROR(VLOOKUP(C2882,DATA!#REF!,2,FALSE),"")</f>
        <v/>
      </c>
    </row>
    <row r="2883" spans="3:4" s="237" customFormat="1">
      <c r="C2883" s="16" t="str">
        <f>IFERROR(VLOOKUP(DATA!#REF!,DATA!#REF!,1,FALSE),"")</f>
        <v/>
      </c>
      <c r="D2883" s="16" t="str">
        <f>IFERROR(VLOOKUP(C2883,DATA!#REF!,2,FALSE),"")</f>
        <v/>
      </c>
    </row>
    <row r="2884" spans="3:4" s="237" customFormat="1">
      <c r="C2884" s="16" t="str">
        <f>IFERROR(VLOOKUP(DATA!#REF!,DATA!#REF!,1,FALSE),"")</f>
        <v/>
      </c>
      <c r="D2884" s="16" t="str">
        <f>IFERROR(VLOOKUP(C2884,DATA!#REF!,2,FALSE),"")</f>
        <v/>
      </c>
    </row>
    <row r="2885" spans="3:4" s="237" customFormat="1">
      <c r="C2885" s="16" t="str">
        <f>IFERROR(VLOOKUP(DATA!#REF!,DATA!#REF!,1,FALSE),"")</f>
        <v/>
      </c>
      <c r="D2885" s="16" t="str">
        <f>IFERROR(VLOOKUP(C2885,DATA!#REF!,2,FALSE),"")</f>
        <v/>
      </c>
    </row>
    <row r="2886" spans="3:4" s="237" customFormat="1">
      <c r="C2886" s="16" t="str">
        <f>IFERROR(VLOOKUP(DATA!#REF!,DATA!#REF!,1,FALSE),"")</f>
        <v/>
      </c>
      <c r="D2886" s="16" t="str">
        <f>IFERROR(VLOOKUP(C2886,DATA!#REF!,2,FALSE),"")</f>
        <v/>
      </c>
    </row>
    <row r="2887" spans="3:4" s="237" customFormat="1">
      <c r="C2887" s="16" t="str">
        <f>IFERROR(VLOOKUP(DATA!#REF!,DATA!#REF!,1,FALSE),"")</f>
        <v/>
      </c>
      <c r="D2887" s="16" t="str">
        <f>IFERROR(VLOOKUP(C2887,DATA!#REF!,2,FALSE),"")</f>
        <v/>
      </c>
    </row>
    <row r="2888" spans="3:4" s="237" customFormat="1">
      <c r="C2888" s="16" t="str">
        <f>IFERROR(VLOOKUP(DATA!#REF!,DATA!#REF!,1,FALSE),"")</f>
        <v/>
      </c>
      <c r="D2888" s="16" t="str">
        <f>IFERROR(VLOOKUP(C2888,DATA!#REF!,2,FALSE),"")</f>
        <v/>
      </c>
    </row>
    <row r="2889" spans="3:4" s="237" customFormat="1">
      <c r="C2889" s="16" t="str">
        <f>IFERROR(VLOOKUP(DATA!#REF!,DATA!#REF!,1,FALSE),"")</f>
        <v/>
      </c>
      <c r="D2889" s="16" t="str">
        <f>IFERROR(VLOOKUP(C2889,DATA!#REF!,2,FALSE),"")</f>
        <v/>
      </c>
    </row>
    <row r="2890" spans="3:4" s="237" customFormat="1">
      <c r="C2890" s="16" t="str">
        <f>IFERROR(VLOOKUP(DATA!#REF!,DATA!#REF!,1,FALSE),"")</f>
        <v/>
      </c>
      <c r="D2890" s="16" t="str">
        <f>IFERROR(VLOOKUP(C2890,DATA!#REF!,2,FALSE),"")</f>
        <v/>
      </c>
    </row>
    <row r="2891" spans="3:4" s="237" customFormat="1">
      <c r="C2891" s="16" t="str">
        <f>IFERROR(VLOOKUP(DATA!#REF!,DATA!#REF!,1,FALSE),"")</f>
        <v/>
      </c>
      <c r="D2891" s="16" t="str">
        <f>IFERROR(VLOOKUP(C2891,DATA!#REF!,2,FALSE),"")</f>
        <v/>
      </c>
    </row>
    <row r="2892" spans="3:4" s="237" customFormat="1">
      <c r="C2892" s="16" t="str">
        <f>IFERROR(VLOOKUP(DATA!#REF!,DATA!#REF!,1,FALSE),"")</f>
        <v/>
      </c>
      <c r="D2892" s="16" t="str">
        <f>IFERROR(VLOOKUP(C2892,DATA!#REF!,2,FALSE),"")</f>
        <v/>
      </c>
    </row>
    <row r="2893" spans="3:4" s="237" customFormat="1">
      <c r="C2893" s="16" t="str">
        <f>IFERROR(VLOOKUP(DATA!#REF!,DATA!#REF!,1,FALSE),"")</f>
        <v/>
      </c>
      <c r="D2893" s="16" t="str">
        <f>IFERROR(VLOOKUP(C2893,DATA!#REF!,2,FALSE),"")</f>
        <v/>
      </c>
    </row>
    <row r="2894" spans="3:4" s="237" customFormat="1">
      <c r="C2894" s="16" t="str">
        <f>IFERROR(VLOOKUP(DATA!#REF!,DATA!#REF!,1,FALSE),"")</f>
        <v/>
      </c>
      <c r="D2894" s="16" t="str">
        <f>IFERROR(VLOOKUP(C2894,DATA!#REF!,2,FALSE),"")</f>
        <v/>
      </c>
    </row>
    <row r="2895" spans="3:4" s="237" customFormat="1">
      <c r="C2895" s="16" t="str">
        <f>IFERROR(VLOOKUP(DATA!#REF!,DATA!#REF!,1,FALSE),"")</f>
        <v/>
      </c>
      <c r="D2895" s="16" t="str">
        <f>IFERROR(VLOOKUP(C2895,DATA!#REF!,2,FALSE),"")</f>
        <v/>
      </c>
    </row>
    <row r="2896" spans="3:4" s="237" customFormat="1">
      <c r="C2896" s="16" t="str">
        <f>IFERROR(VLOOKUP(DATA!#REF!,DATA!#REF!,1,FALSE),"")</f>
        <v/>
      </c>
      <c r="D2896" s="16" t="str">
        <f>IFERROR(VLOOKUP(C2896,DATA!#REF!,2,FALSE),"")</f>
        <v/>
      </c>
    </row>
    <row r="2897" spans="3:4" s="237" customFormat="1">
      <c r="C2897" s="16" t="str">
        <f>IFERROR(VLOOKUP(DATA!#REF!,DATA!#REF!,1,FALSE),"")</f>
        <v/>
      </c>
      <c r="D2897" s="16" t="str">
        <f>IFERROR(VLOOKUP(C2897,DATA!#REF!,2,FALSE),"")</f>
        <v/>
      </c>
    </row>
    <row r="2898" spans="3:4" s="237" customFormat="1">
      <c r="C2898" s="16" t="str">
        <f>IFERROR(VLOOKUP(DATA!#REF!,DATA!#REF!,1,FALSE),"")</f>
        <v/>
      </c>
      <c r="D2898" s="16" t="str">
        <f>IFERROR(VLOOKUP(C2898,DATA!#REF!,2,FALSE),"")</f>
        <v/>
      </c>
    </row>
    <row r="2899" spans="3:4" s="237" customFormat="1">
      <c r="C2899" s="16" t="str">
        <f>IFERROR(VLOOKUP(DATA!#REF!,DATA!#REF!,1,FALSE),"")</f>
        <v/>
      </c>
      <c r="D2899" s="16" t="str">
        <f>IFERROR(VLOOKUP(C2899,DATA!#REF!,2,FALSE),"")</f>
        <v/>
      </c>
    </row>
    <row r="2900" spans="3:4" s="237" customFormat="1">
      <c r="C2900" s="16" t="str">
        <f>IFERROR(VLOOKUP(DATA!#REF!,DATA!#REF!,1,FALSE),"")</f>
        <v/>
      </c>
      <c r="D2900" s="16" t="str">
        <f>IFERROR(VLOOKUP(C2900,DATA!#REF!,2,FALSE),"")</f>
        <v/>
      </c>
    </row>
    <row r="2901" spans="3:4" s="237" customFormat="1">
      <c r="C2901" s="16" t="str">
        <f>IFERROR(VLOOKUP(DATA!#REF!,DATA!#REF!,1,FALSE),"")</f>
        <v/>
      </c>
      <c r="D2901" s="16" t="str">
        <f>IFERROR(VLOOKUP(C2901,DATA!#REF!,2,FALSE),"")</f>
        <v/>
      </c>
    </row>
    <row r="2902" spans="3:4" s="237" customFormat="1">
      <c r="C2902" s="16" t="str">
        <f>IFERROR(VLOOKUP(DATA!#REF!,DATA!#REF!,1,FALSE),"")</f>
        <v/>
      </c>
      <c r="D2902" s="16" t="str">
        <f>IFERROR(VLOOKUP(C2902,DATA!#REF!,2,FALSE),"")</f>
        <v/>
      </c>
    </row>
    <row r="2903" spans="3:4" s="237" customFormat="1">
      <c r="C2903" s="16" t="str">
        <f>IFERROR(VLOOKUP(DATA!#REF!,DATA!#REF!,1,FALSE),"")</f>
        <v/>
      </c>
      <c r="D2903" s="16" t="str">
        <f>IFERROR(VLOOKUP(C2903,DATA!#REF!,2,FALSE),"")</f>
        <v/>
      </c>
    </row>
    <row r="2904" spans="3:4" s="237" customFormat="1">
      <c r="C2904" s="16" t="str">
        <f>IFERROR(VLOOKUP(DATA!#REF!,DATA!#REF!,1,FALSE),"")</f>
        <v/>
      </c>
      <c r="D2904" s="16" t="str">
        <f>IFERROR(VLOOKUP(C2904,DATA!#REF!,2,FALSE),"")</f>
        <v/>
      </c>
    </row>
    <row r="2905" spans="3:4" s="237" customFormat="1">
      <c r="C2905" s="16" t="str">
        <f>IFERROR(VLOOKUP(DATA!#REF!,DATA!#REF!,1,FALSE),"")</f>
        <v/>
      </c>
      <c r="D2905" s="16" t="str">
        <f>IFERROR(VLOOKUP(C2905,DATA!#REF!,2,FALSE),"")</f>
        <v/>
      </c>
    </row>
    <row r="2906" spans="3:4" s="237" customFormat="1">
      <c r="C2906" s="16" t="str">
        <f>IFERROR(VLOOKUP(DATA!#REF!,DATA!#REF!,1,FALSE),"")</f>
        <v/>
      </c>
      <c r="D2906" s="16" t="str">
        <f>IFERROR(VLOOKUP(C2906,DATA!#REF!,2,FALSE),"")</f>
        <v/>
      </c>
    </row>
    <row r="2907" spans="3:4" s="237" customFormat="1">
      <c r="C2907" s="16" t="str">
        <f>IFERROR(VLOOKUP(DATA!#REF!,DATA!#REF!,1,FALSE),"")</f>
        <v/>
      </c>
      <c r="D2907" s="16" t="str">
        <f>IFERROR(VLOOKUP(C2907,DATA!#REF!,2,FALSE),"")</f>
        <v/>
      </c>
    </row>
    <row r="2908" spans="3:4" s="237" customFormat="1">
      <c r="C2908" s="16" t="str">
        <f>IFERROR(VLOOKUP(DATA!#REF!,DATA!#REF!,1,FALSE),"")</f>
        <v/>
      </c>
      <c r="D2908" s="16" t="str">
        <f>IFERROR(VLOOKUP(C2908,DATA!#REF!,2,FALSE),"")</f>
        <v/>
      </c>
    </row>
    <row r="2909" spans="3:4" s="237" customFormat="1">
      <c r="C2909" s="16" t="str">
        <f>IFERROR(VLOOKUP(DATA!#REF!,DATA!#REF!,1,FALSE),"")</f>
        <v/>
      </c>
      <c r="D2909" s="16" t="str">
        <f>IFERROR(VLOOKUP(C2909,DATA!#REF!,2,FALSE),"")</f>
        <v/>
      </c>
    </row>
    <row r="2910" spans="3:4" s="237" customFormat="1">
      <c r="C2910" s="16" t="str">
        <f>IFERROR(VLOOKUP(DATA!#REF!,DATA!#REF!,1,FALSE),"")</f>
        <v/>
      </c>
      <c r="D2910" s="16" t="str">
        <f>IFERROR(VLOOKUP(C2910,DATA!#REF!,2,FALSE),"")</f>
        <v/>
      </c>
    </row>
    <row r="2911" spans="3:4" s="237" customFormat="1">
      <c r="C2911" s="16" t="str">
        <f>IFERROR(VLOOKUP(DATA!#REF!,DATA!#REF!,1,FALSE),"")</f>
        <v/>
      </c>
      <c r="D2911" s="16" t="str">
        <f>IFERROR(VLOOKUP(C2911,DATA!#REF!,2,FALSE),"")</f>
        <v/>
      </c>
    </row>
    <row r="2912" spans="3:4" s="237" customFormat="1">
      <c r="C2912" s="16" t="str">
        <f>IFERROR(VLOOKUP(DATA!#REF!,DATA!#REF!,1,FALSE),"")</f>
        <v/>
      </c>
      <c r="D2912" s="16" t="str">
        <f>IFERROR(VLOOKUP(C2912,DATA!#REF!,2,FALSE),"")</f>
        <v/>
      </c>
    </row>
    <row r="2913" spans="3:4" s="237" customFormat="1">
      <c r="C2913" s="16" t="str">
        <f>IFERROR(VLOOKUP(DATA!#REF!,DATA!#REF!,1,FALSE),"")</f>
        <v/>
      </c>
      <c r="D2913" s="16" t="str">
        <f>IFERROR(VLOOKUP(C2913,DATA!#REF!,2,FALSE),"")</f>
        <v/>
      </c>
    </row>
    <row r="2914" spans="3:4" s="237" customFormat="1">
      <c r="C2914" s="16" t="str">
        <f>IFERROR(VLOOKUP(DATA!#REF!,DATA!#REF!,1,FALSE),"")</f>
        <v/>
      </c>
      <c r="D2914" s="16" t="str">
        <f>IFERROR(VLOOKUP(C2914,DATA!#REF!,2,FALSE),"")</f>
        <v/>
      </c>
    </row>
    <row r="2915" spans="3:4" s="237" customFormat="1">
      <c r="C2915" s="16" t="str">
        <f>IFERROR(VLOOKUP(DATA!#REF!,DATA!#REF!,1,FALSE),"")</f>
        <v/>
      </c>
      <c r="D2915" s="16" t="str">
        <f>IFERROR(VLOOKUP(C2915,DATA!#REF!,2,FALSE),"")</f>
        <v/>
      </c>
    </row>
    <row r="2916" spans="3:4" s="237" customFormat="1">
      <c r="C2916" s="16" t="str">
        <f>IFERROR(VLOOKUP(DATA!#REF!,DATA!#REF!,1,FALSE),"")</f>
        <v/>
      </c>
      <c r="D2916" s="16" t="str">
        <f>IFERROR(VLOOKUP(C2916,DATA!#REF!,2,FALSE),"")</f>
        <v/>
      </c>
    </row>
    <row r="2917" spans="3:4" s="237" customFormat="1">
      <c r="C2917" s="16" t="str">
        <f>IFERROR(VLOOKUP(DATA!#REF!,DATA!#REF!,1,FALSE),"")</f>
        <v/>
      </c>
      <c r="D2917" s="16" t="str">
        <f>IFERROR(VLOOKUP(C2917,DATA!#REF!,2,FALSE),"")</f>
        <v/>
      </c>
    </row>
    <row r="2918" spans="3:4" s="237" customFormat="1">
      <c r="C2918" s="16" t="str">
        <f>IFERROR(VLOOKUP(DATA!#REF!,DATA!#REF!,1,FALSE),"")</f>
        <v/>
      </c>
      <c r="D2918" s="16" t="str">
        <f>IFERROR(VLOOKUP(C2918,DATA!#REF!,2,FALSE),"")</f>
        <v/>
      </c>
    </row>
    <row r="2919" spans="3:4" s="237" customFormat="1">
      <c r="C2919" s="16" t="str">
        <f>IFERROR(VLOOKUP(DATA!#REF!,DATA!#REF!,1,FALSE),"")</f>
        <v/>
      </c>
      <c r="D2919" s="16" t="str">
        <f>IFERROR(VLOOKUP(C2919,DATA!#REF!,2,FALSE),"")</f>
        <v/>
      </c>
    </row>
    <row r="2920" spans="3:4" s="237" customFormat="1">
      <c r="C2920" s="16" t="str">
        <f>IFERROR(VLOOKUP(DATA!#REF!,DATA!#REF!,1,FALSE),"")</f>
        <v/>
      </c>
      <c r="D2920" s="16" t="str">
        <f>IFERROR(VLOOKUP(C2920,DATA!#REF!,2,FALSE),"")</f>
        <v/>
      </c>
    </row>
    <row r="2921" spans="3:4" s="237" customFormat="1">
      <c r="C2921" s="16" t="str">
        <f>IFERROR(VLOOKUP(DATA!#REF!,DATA!#REF!,1,FALSE),"")</f>
        <v/>
      </c>
      <c r="D2921" s="16" t="str">
        <f>IFERROR(VLOOKUP(C2921,DATA!#REF!,2,FALSE),"")</f>
        <v/>
      </c>
    </row>
    <row r="2922" spans="3:4" s="237" customFormat="1">
      <c r="C2922" s="16" t="str">
        <f>IFERROR(VLOOKUP(DATA!#REF!,DATA!#REF!,1,FALSE),"")</f>
        <v/>
      </c>
      <c r="D2922" s="16" t="str">
        <f>IFERROR(VLOOKUP(C2922,DATA!#REF!,2,FALSE),"")</f>
        <v/>
      </c>
    </row>
    <row r="2923" spans="3:4" s="237" customFormat="1">
      <c r="C2923" s="16" t="str">
        <f>IFERROR(VLOOKUP(DATA!#REF!,DATA!#REF!,1,FALSE),"")</f>
        <v/>
      </c>
      <c r="D2923" s="16" t="str">
        <f>IFERROR(VLOOKUP(C2923,DATA!#REF!,2,FALSE),"")</f>
        <v/>
      </c>
    </row>
    <row r="2924" spans="3:4" s="237" customFormat="1">
      <c r="C2924" s="16" t="str">
        <f>IFERROR(VLOOKUP(DATA!#REF!,DATA!#REF!,1,FALSE),"")</f>
        <v/>
      </c>
      <c r="D2924" s="16" t="str">
        <f>IFERROR(VLOOKUP(C2924,DATA!#REF!,2,FALSE),"")</f>
        <v/>
      </c>
    </row>
    <row r="2925" spans="3:4" s="237" customFormat="1">
      <c r="C2925" s="16" t="str">
        <f>IFERROR(VLOOKUP(DATA!#REF!,DATA!#REF!,1,FALSE),"")</f>
        <v/>
      </c>
      <c r="D2925" s="16" t="str">
        <f>IFERROR(VLOOKUP(C2925,DATA!#REF!,2,FALSE),"")</f>
        <v/>
      </c>
    </row>
    <row r="2926" spans="3:4" s="237" customFormat="1">
      <c r="C2926" s="16" t="str">
        <f>IFERROR(VLOOKUP(DATA!#REF!,DATA!#REF!,1,FALSE),"")</f>
        <v/>
      </c>
      <c r="D2926" s="16" t="str">
        <f>IFERROR(VLOOKUP(C2926,DATA!#REF!,2,FALSE),"")</f>
        <v/>
      </c>
    </row>
    <row r="2927" spans="3:4" s="237" customFormat="1">
      <c r="C2927" s="16" t="str">
        <f>IFERROR(VLOOKUP(DATA!#REF!,DATA!#REF!,1,FALSE),"")</f>
        <v/>
      </c>
      <c r="D2927" s="16" t="str">
        <f>IFERROR(VLOOKUP(C2927,DATA!#REF!,2,FALSE),"")</f>
        <v/>
      </c>
    </row>
    <row r="2928" spans="3:4" s="237" customFormat="1">
      <c r="C2928" s="16" t="str">
        <f>IFERROR(VLOOKUP(DATA!#REF!,DATA!#REF!,1,FALSE),"")</f>
        <v/>
      </c>
      <c r="D2928" s="16" t="str">
        <f>IFERROR(VLOOKUP(C2928,DATA!#REF!,2,FALSE),"")</f>
        <v/>
      </c>
    </row>
    <row r="2929" spans="3:4" s="237" customFormat="1">
      <c r="C2929" s="16" t="str">
        <f>IFERROR(VLOOKUP(DATA!#REF!,DATA!#REF!,1,FALSE),"")</f>
        <v/>
      </c>
      <c r="D2929" s="16" t="str">
        <f>IFERROR(VLOOKUP(C2929,DATA!#REF!,2,FALSE),"")</f>
        <v/>
      </c>
    </row>
    <row r="2930" spans="3:4" s="237" customFormat="1">
      <c r="C2930" s="16" t="str">
        <f>IFERROR(VLOOKUP(DATA!#REF!,DATA!#REF!,1,FALSE),"")</f>
        <v/>
      </c>
      <c r="D2930" s="16" t="str">
        <f>IFERROR(VLOOKUP(C2930,DATA!#REF!,2,FALSE),"")</f>
        <v/>
      </c>
    </row>
    <row r="2931" spans="3:4" s="237" customFormat="1">
      <c r="C2931" s="16" t="str">
        <f>IFERROR(VLOOKUP(DATA!#REF!,DATA!#REF!,1,FALSE),"")</f>
        <v/>
      </c>
      <c r="D2931" s="16" t="str">
        <f>IFERROR(VLOOKUP(C2931,DATA!#REF!,2,FALSE),"")</f>
        <v/>
      </c>
    </row>
    <row r="2932" spans="3:4" s="237" customFormat="1">
      <c r="C2932" s="16" t="str">
        <f>IFERROR(VLOOKUP(DATA!#REF!,DATA!#REF!,1,FALSE),"")</f>
        <v/>
      </c>
      <c r="D2932" s="16" t="str">
        <f>IFERROR(VLOOKUP(C2932,DATA!#REF!,2,FALSE),"")</f>
        <v/>
      </c>
    </row>
    <row r="2933" spans="3:4" s="237" customFormat="1">
      <c r="C2933" s="16" t="str">
        <f>IFERROR(VLOOKUP(DATA!#REF!,DATA!#REF!,1,FALSE),"")</f>
        <v/>
      </c>
      <c r="D2933" s="16" t="str">
        <f>IFERROR(VLOOKUP(C2933,DATA!#REF!,2,FALSE),"")</f>
        <v/>
      </c>
    </row>
    <row r="2934" spans="3:4" s="237" customFormat="1">
      <c r="C2934" s="16" t="str">
        <f>IFERROR(VLOOKUP(DATA!#REF!,DATA!#REF!,1,FALSE),"")</f>
        <v/>
      </c>
      <c r="D2934" s="16" t="str">
        <f>IFERROR(VLOOKUP(C2934,DATA!#REF!,2,FALSE),"")</f>
        <v/>
      </c>
    </row>
    <row r="2935" spans="3:4" s="237" customFormat="1">
      <c r="C2935" s="16" t="str">
        <f>IFERROR(VLOOKUP(DATA!#REF!,DATA!#REF!,1,FALSE),"")</f>
        <v/>
      </c>
      <c r="D2935" s="16" t="str">
        <f>IFERROR(VLOOKUP(C2935,DATA!#REF!,2,FALSE),"")</f>
        <v/>
      </c>
    </row>
    <row r="2936" spans="3:4" s="237" customFormat="1">
      <c r="C2936" s="16" t="str">
        <f>IFERROR(VLOOKUP(DATA!#REF!,DATA!#REF!,1,FALSE),"")</f>
        <v/>
      </c>
      <c r="D2936" s="16" t="str">
        <f>IFERROR(VLOOKUP(C2936,DATA!#REF!,2,FALSE),"")</f>
        <v/>
      </c>
    </row>
    <row r="2937" spans="3:4" s="237" customFormat="1">
      <c r="C2937" s="16" t="str">
        <f>IFERROR(VLOOKUP(DATA!#REF!,DATA!#REF!,1,FALSE),"")</f>
        <v/>
      </c>
      <c r="D2937" s="16" t="str">
        <f>IFERROR(VLOOKUP(C2937,DATA!#REF!,2,FALSE),"")</f>
        <v/>
      </c>
    </row>
    <row r="2938" spans="3:4" s="237" customFormat="1">
      <c r="C2938" s="16" t="str">
        <f>IFERROR(VLOOKUP(DATA!#REF!,DATA!#REF!,1,FALSE),"")</f>
        <v/>
      </c>
      <c r="D2938" s="16" t="str">
        <f>IFERROR(VLOOKUP(C2938,DATA!#REF!,2,FALSE),"")</f>
        <v/>
      </c>
    </row>
    <row r="2939" spans="3:4" s="237" customFormat="1">
      <c r="C2939" s="16" t="str">
        <f>IFERROR(VLOOKUP(DATA!#REF!,DATA!#REF!,1,FALSE),"")</f>
        <v/>
      </c>
      <c r="D2939" s="16" t="str">
        <f>IFERROR(VLOOKUP(C2939,DATA!#REF!,2,FALSE),"")</f>
        <v/>
      </c>
    </row>
    <row r="2940" spans="3:4" s="237" customFormat="1">
      <c r="C2940" s="16" t="str">
        <f>IFERROR(VLOOKUP(DATA!#REF!,DATA!#REF!,1,FALSE),"")</f>
        <v/>
      </c>
      <c r="D2940" s="16" t="str">
        <f>IFERROR(VLOOKUP(C2940,DATA!#REF!,2,FALSE),"")</f>
        <v/>
      </c>
    </row>
    <row r="2941" spans="3:4" s="237" customFormat="1">
      <c r="C2941" s="16" t="str">
        <f>IFERROR(VLOOKUP(DATA!#REF!,DATA!#REF!,1,FALSE),"")</f>
        <v/>
      </c>
      <c r="D2941" s="16" t="str">
        <f>IFERROR(VLOOKUP(C2941,DATA!#REF!,2,FALSE),"")</f>
        <v/>
      </c>
    </row>
    <row r="2942" spans="3:4" s="237" customFormat="1">
      <c r="C2942" s="16" t="str">
        <f>IFERROR(VLOOKUP(DATA!#REF!,DATA!#REF!,1,FALSE),"")</f>
        <v/>
      </c>
      <c r="D2942" s="16" t="str">
        <f>IFERROR(VLOOKUP(C2942,DATA!#REF!,2,FALSE),"")</f>
        <v/>
      </c>
    </row>
    <row r="2943" spans="3:4" s="237" customFormat="1">
      <c r="C2943" s="16" t="str">
        <f>IFERROR(VLOOKUP(DATA!#REF!,DATA!#REF!,1,FALSE),"")</f>
        <v/>
      </c>
      <c r="D2943" s="16" t="str">
        <f>IFERROR(VLOOKUP(C2943,DATA!#REF!,2,FALSE),"")</f>
        <v/>
      </c>
    </row>
    <row r="2944" spans="3:4" s="237" customFormat="1">
      <c r="C2944" s="16" t="str">
        <f>IFERROR(VLOOKUP(DATA!#REF!,DATA!#REF!,1,FALSE),"")</f>
        <v/>
      </c>
      <c r="D2944" s="16" t="str">
        <f>IFERROR(VLOOKUP(C2944,DATA!#REF!,2,FALSE),"")</f>
        <v/>
      </c>
    </row>
    <row r="2945" spans="3:4" s="237" customFormat="1">
      <c r="C2945" s="16" t="str">
        <f>IFERROR(VLOOKUP(DATA!#REF!,DATA!#REF!,1,FALSE),"")</f>
        <v/>
      </c>
      <c r="D2945" s="16" t="str">
        <f>IFERROR(VLOOKUP(C2945,DATA!#REF!,2,FALSE),"")</f>
        <v/>
      </c>
    </row>
    <row r="2946" spans="3:4" s="237" customFormat="1">
      <c r="C2946" s="16" t="str">
        <f>IFERROR(VLOOKUP(DATA!#REF!,DATA!#REF!,1,FALSE),"")</f>
        <v/>
      </c>
      <c r="D2946" s="16" t="str">
        <f>IFERROR(VLOOKUP(C2946,DATA!#REF!,2,FALSE),"")</f>
        <v/>
      </c>
    </row>
    <row r="2947" spans="3:4" s="237" customFormat="1">
      <c r="C2947" s="16" t="str">
        <f>IFERROR(VLOOKUP(DATA!#REF!,DATA!#REF!,1,FALSE),"")</f>
        <v/>
      </c>
      <c r="D2947" s="16" t="str">
        <f>IFERROR(VLOOKUP(C2947,DATA!#REF!,2,FALSE),"")</f>
        <v/>
      </c>
    </row>
    <row r="2948" spans="3:4" s="237" customFormat="1">
      <c r="C2948" s="16" t="str">
        <f>IFERROR(VLOOKUP(DATA!#REF!,DATA!#REF!,1,FALSE),"")</f>
        <v/>
      </c>
      <c r="D2948" s="16" t="str">
        <f>IFERROR(VLOOKUP(C2948,DATA!#REF!,2,FALSE),"")</f>
        <v/>
      </c>
    </row>
    <row r="2949" spans="3:4" s="237" customFormat="1">
      <c r="C2949" s="16" t="str">
        <f>IFERROR(VLOOKUP(DATA!#REF!,DATA!#REF!,1,FALSE),"")</f>
        <v/>
      </c>
      <c r="D2949" s="16" t="str">
        <f>IFERROR(VLOOKUP(C2949,DATA!#REF!,2,FALSE),"")</f>
        <v/>
      </c>
    </row>
    <row r="2950" spans="3:4" s="237" customFormat="1">
      <c r="C2950" s="16" t="str">
        <f>IFERROR(VLOOKUP(DATA!#REF!,DATA!#REF!,1,FALSE),"")</f>
        <v/>
      </c>
      <c r="D2950" s="16" t="str">
        <f>IFERROR(VLOOKUP(C2950,DATA!#REF!,2,FALSE),"")</f>
        <v/>
      </c>
    </row>
    <row r="2951" spans="3:4" s="237" customFormat="1">
      <c r="C2951" s="16" t="str">
        <f>IFERROR(VLOOKUP(DATA!#REF!,DATA!#REF!,1,FALSE),"")</f>
        <v/>
      </c>
      <c r="D2951" s="16" t="str">
        <f>IFERROR(VLOOKUP(C2951,DATA!#REF!,2,FALSE),"")</f>
        <v/>
      </c>
    </row>
    <row r="2952" spans="3:4" s="237" customFormat="1">
      <c r="C2952" s="16" t="str">
        <f>IFERROR(VLOOKUP(DATA!#REF!,DATA!#REF!,1,FALSE),"")</f>
        <v/>
      </c>
      <c r="D2952" s="16" t="str">
        <f>IFERROR(VLOOKUP(C2952,DATA!#REF!,2,FALSE),"")</f>
        <v/>
      </c>
    </row>
    <row r="2953" spans="3:4" s="237" customFormat="1">
      <c r="C2953" s="16" t="str">
        <f>IFERROR(VLOOKUP(DATA!#REF!,DATA!#REF!,1,FALSE),"")</f>
        <v/>
      </c>
      <c r="D2953" s="16" t="str">
        <f>IFERROR(VLOOKUP(C2953,DATA!#REF!,2,FALSE),"")</f>
        <v/>
      </c>
    </row>
    <row r="2954" spans="3:4" s="237" customFormat="1">
      <c r="C2954" s="16" t="str">
        <f>IFERROR(VLOOKUP(DATA!#REF!,DATA!#REF!,1,FALSE),"")</f>
        <v/>
      </c>
      <c r="D2954" s="16" t="str">
        <f>IFERROR(VLOOKUP(C2954,DATA!#REF!,2,FALSE),"")</f>
        <v/>
      </c>
    </row>
    <row r="2955" spans="3:4" s="237" customFormat="1">
      <c r="C2955" s="16" t="str">
        <f>IFERROR(VLOOKUP(DATA!#REF!,DATA!#REF!,1,FALSE),"")</f>
        <v/>
      </c>
      <c r="D2955" s="16" t="str">
        <f>IFERROR(VLOOKUP(C2955,DATA!#REF!,2,FALSE),"")</f>
        <v/>
      </c>
    </row>
    <row r="2956" spans="3:4" s="237" customFormat="1">
      <c r="C2956" s="16" t="str">
        <f>IFERROR(VLOOKUP(DATA!#REF!,DATA!#REF!,1,FALSE),"")</f>
        <v/>
      </c>
      <c r="D2956" s="16" t="str">
        <f>IFERROR(VLOOKUP(C2956,DATA!#REF!,2,FALSE),"")</f>
        <v/>
      </c>
    </row>
    <row r="2957" spans="3:4" s="237" customFormat="1">
      <c r="C2957" s="16" t="str">
        <f>IFERROR(VLOOKUP(DATA!#REF!,DATA!#REF!,1,FALSE),"")</f>
        <v/>
      </c>
      <c r="D2957" s="16" t="str">
        <f>IFERROR(VLOOKUP(C2957,DATA!#REF!,2,FALSE),"")</f>
        <v/>
      </c>
    </row>
    <row r="2958" spans="3:4" s="237" customFormat="1">
      <c r="C2958" s="16" t="str">
        <f>IFERROR(VLOOKUP(DATA!#REF!,DATA!#REF!,1,FALSE),"")</f>
        <v/>
      </c>
      <c r="D2958" s="16" t="str">
        <f>IFERROR(VLOOKUP(C2958,DATA!#REF!,2,FALSE),"")</f>
        <v/>
      </c>
    </row>
    <row r="2959" spans="3:4" s="237" customFormat="1">
      <c r="C2959" s="16" t="str">
        <f>IFERROR(VLOOKUP(DATA!#REF!,DATA!#REF!,1,FALSE),"")</f>
        <v/>
      </c>
      <c r="D2959" s="16" t="str">
        <f>IFERROR(VLOOKUP(C2959,DATA!#REF!,2,FALSE),"")</f>
        <v/>
      </c>
    </row>
    <row r="2960" spans="3:4" s="237" customFormat="1">
      <c r="C2960" s="16" t="str">
        <f>IFERROR(VLOOKUP(DATA!#REF!,DATA!#REF!,1,FALSE),"")</f>
        <v/>
      </c>
      <c r="D2960" s="16" t="str">
        <f>IFERROR(VLOOKUP(C2960,DATA!#REF!,2,FALSE),"")</f>
        <v/>
      </c>
    </row>
    <row r="2961" spans="3:4" s="237" customFormat="1">
      <c r="C2961" s="16" t="str">
        <f>IFERROR(VLOOKUP(DATA!#REF!,DATA!#REF!,1,FALSE),"")</f>
        <v/>
      </c>
      <c r="D2961" s="16" t="str">
        <f>IFERROR(VLOOKUP(C2961,DATA!#REF!,2,FALSE),"")</f>
        <v/>
      </c>
    </row>
    <row r="2962" spans="3:4" s="237" customFormat="1">
      <c r="C2962" s="16" t="str">
        <f>IFERROR(VLOOKUP(DATA!#REF!,DATA!#REF!,1,FALSE),"")</f>
        <v/>
      </c>
      <c r="D2962" s="16" t="str">
        <f>IFERROR(VLOOKUP(C2962,DATA!#REF!,2,FALSE),"")</f>
        <v/>
      </c>
    </row>
    <row r="2963" spans="3:4" s="237" customFormat="1">
      <c r="C2963" s="16" t="str">
        <f>IFERROR(VLOOKUP(DATA!#REF!,DATA!#REF!,1,FALSE),"")</f>
        <v/>
      </c>
      <c r="D2963" s="16" t="str">
        <f>IFERROR(VLOOKUP(C2963,DATA!#REF!,2,FALSE),"")</f>
        <v/>
      </c>
    </row>
    <row r="2964" spans="3:4" s="237" customFormat="1">
      <c r="C2964" s="16" t="str">
        <f>IFERROR(VLOOKUP(DATA!#REF!,DATA!#REF!,1,FALSE),"")</f>
        <v/>
      </c>
      <c r="D2964" s="16" t="str">
        <f>IFERROR(VLOOKUP(C2964,DATA!#REF!,2,FALSE),"")</f>
        <v/>
      </c>
    </row>
    <row r="2965" spans="3:4" s="237" customFormat="1">
      <c r="C2965" s="16" t="str">
        <f>IFERROR(VLOOKUP(DATA!#REF!,DATA!#REF!,1,FALSE),"")</f>
        <v/>
      </c>
      <c r="D2965" s="16" t="str">
        <f>IFERROR(VLOOKUP(C2965,DATA!#REF!,2,FALSE),"")</f>
        <v/>
      </c>
    </row>
    <row r="2966" spans="3:4" s="237" customFormat="1">
      <c r="C2966" s="16" t="str">
        <f>IFERROR(VLOOKUP(DATA!#REF!,DATA!#REF!,1,FALSE),"")</f>
        <v/>
      </c>
      <c r="D2966" s="16" t="str">
        <f>IFERROR(VLOOKUP(C2966,DATA!#REF!,2,FALSE),"")</f>
        <v/>
      </c>
    </row>
    <row r="2967" spans="3:4" s="237" customFormat="1">
      <c r="C2967" s="16" t="str">
        <f>IFERROR(VLOOKUP(DATA!#REF!,DATA!#REF!,1,FALSE),"")</f>
        <v/>
      </c>
      <c r="D2967" s="16" t="str">
        <f>IFERROR(VLOOKUP(C2967,DATA!#REF!,2,FALSE),"")</f>
        <v/>
      </c>
    </row>
    <row r="2968" spans="3:4" s="237" customFormat="1">
      <c r="C2968" s="16" t="str">
        <f>IFERROR(VLOOKUP(DATA!#REF!,DATA!#REF!,1,FALSE),"")</f>
        <v/>
      </c>
      <c r="D2968" s="16" t="str">
        <f>IFERROR(VLOOKUP(C2968,DATA!#REF!,2,FALSE),"")</f>
        <v/>
      </c>
    </row>
    <row r="2969" spans="3:4" s="237" customFormat="1">
      <c r="C2969" s="16" t="str">
        <f>IFERROR(VLOOKUP(DATA!#REF!,DATA!#REF!,1,FALSE),"")</f>
        <v/>
      </c>
      <c r="D2969" s="16" t="str">
        <f>IFERROR(VLOOKUP(C2969,DATA!#REF!,2,FALSE),"")</f>
        <v/>
      </c>
    </row>
    <row r="2970" spans="3:4" s="237" customFormat="1">
      <c r="C2970" s="16" t="str">
        <f>IFERROR(VLOOKUP(DATA!#REF!,DATA!#REF!,1,FALSE),"")</f>
        <v/>
      </c>
      <c r="D2970" s="16" t="str">
        <f>IFERROR(VLOOKUP(C2970,DATA!#REF!,2,FALSE),"")</f>
        <v/>
      </c>
    </row>
    <row r="2971" spans="3:4" s="237" customFormat="1">
      <c r="C2971" s="16" t="str">
        <f>IFERROR(VLOOKUP(DATA!#REF!,DATA!#REF!,1,FALSE),"")</f>
        <v/>
      </c>
      <c r="D2971" s="16" t="str">
        <f>IFERROR(VLOOKUP(C2971,DATA!#REF!,2,FALSE),"")</f>
        <v/>
      </c>
    </row>
    <row r="2972" spans="3:4" s="237" customFormat="1">
      <c r="C2972" s="16" t="str">
        <f>IFERROR(VLOOKUP(DATA!#REF!,DATA!#REF!,1,FALSE),"")</f>
        <v/>
      </c>
      <c r="D2972" s="16" t="str">
        <f>IFERROR(VLOOKUP(C2972,DATA!#REF!,2,FALSE),"")</f>
        <v/>
      </c>
    </row>
    <row r="2973" spans="3:4" s="237" customFormat="1">
      <c r="C2973" s="16" t="str">
        <f>IFERROR(VLOOKUP(DATA!#REF!,DATA!#REF!,1,FALSE),"")</f>
        <v/>
      </c>
      <c r="D2973" s="16" t="str">
        <f>IFERROR(VLOOKUP(C2973,DATA!#REF!,2,FALSE),"")</f>
        <v/>
      </c>
    </row>
    <row r="2974" spans="3:4" s="237" customFormat="1">
      <c r="C2974" s="16" t="str">
        <f>IFERROR(VLOOKUP(DATA!#REF!,DATA!#REF!,1,FALSE),"")</f>
        <v/>
      </c>
      <c r="D2974" s="16" t="str">
        <f>IFERROR(VLOOKUP(C2974,DATA!#REF!,2,FALSE),"")</f>
        <v/>
      </c>
    </row>
    <row r="2975" spans="3:4" s="237" customFormat="1">
      <c r="C2975" s="16" t="str">
        <f>IFERROR(VLOOKUP(DATA!#REF!,DATA!#REF!,1,FALSE),"")</f>
        <v/>
      </c>
      <c r="D2975" s="16" t="str">
        <f>IFERROR(VLOOKUP(C2975,DATA!#REF!,2,FALSE),"")</f>
        <v/>
      </c>
    </row>
    <row r="2976" spans="3:4" s="237" customFormat="1">
      <c r="C2976" s="16" t="str">
        <f>IFERROR(VLOOKUP(DATA!#REF!,DATA!#REF!,1,FALSE),"")</f>
        <v/>
      </c>
      <c r="D2976" s="16" t="str">
        <f>IFERROR(VLOOKUP(C2976,DATA!#REF!,2,FALSE),"")</f>
        <v/>
      </c>
    </row>
    <row r="2977" spans="3:4" s="237" customFormat="1">
      <c r="C2977" s="16" t="str">
        <f>IFERROR(VLOOKUP(DATA!#REF!,DATA!#REF!,1,FALSE),"")</f>
        <v/>
      </c>
      <c r="D2977" s="16" t="str">
        <f>IFERROR(VLOOKUP(C2977,DATA!#REF!,2,FALSE),"")</f>
        <v/>
      </c>
    </row>
    <row r="2978" spans="3:4" s="237" customFormat="1">
      <c r="C2978" s="16" t="str">
        <f>IFERROR(VLOOKUP(DATA!#REF!,DATA!#REF!,1,FALSE),"")</f>
        <v/>
      </c>
      <c r="D2978" s="16" t="str">
        <f>IFERROR(VLOOKUP(C2978,DATA!#REF!,2,FALSE),"")</f>
        <v/>
      </c>
    </row>
    <row r="2979" spans="3:4" s="237" customFormat="1">
      <c r="C2979" s="16" t="str">
        <f>IFERROR(VLOOKUP(DATA!#REF!,DATA!#REF!,1,FALSE),"")</f>
        <v/>
      </c>
      <c r="D2979" s="16" t="str">
        <f>IFERROR(VLOOKUP(C2979,DATA!#REF!,2,FALSE),"")</f>
        <v/>
      </c>
    </row>
    <row r="2980" spans="3:4" s="237" customFormat="1">
      <c r="C2980" s="16" t="str">
        <f>IFERROR(VLOOKUP(DATA!#REF!,DATA!#REF!,1,FALSE),"")</f>
        <v/>
      </c>
      <c r="D2980" s="16" t="str">
        <f>IFERROR(VLOOKUP(C2980,DATA!#REF!,2,FALSE),"")</f>
        <v/>
      </c>
    </row>
    <row r="2981" spans="3:4" s="237" customFormat="1">
      <c r="C2981" s="16" t="str">
        <f>IFERROR(VLOOKUP(DATA!#REF!,DATA!#REF!,1,FALSE),"")</f>
        <v/>
      </c>
      <c r="D2981" s="16" t="str">
        <f>IFERROR(VLOOKUP(C2981,DATA!#REF!,2,FALSE),"")</f>
        <v/>
      </c>
    </row>
    <row r="2982" spans="3:4" s="237" customFormat="1">
      <c r="C2982" s="16" t="str">
        <f>IFERROR(VLOOKUP(DATA!#REF!,DATA!#REF!,1,FALSE),"")</f>
        <v/>
      </c>
      <c r="D2982" s="16" t="str">
        <f>IFERROR(VLOOKUP(C2982,DATA!#REF!,2,FALSE),"")</f>
        <v/>
      </c>
    </row>
    <row r="2983" spans="3:4" s="237" customFormat="1">
      <c r="C2983" s="16" t="str">
        <f>IFERROR(VLOOKUP(DATA!#REF!,DATA!#REF!,1,FALSE),"")</f>
        <v/>
      </c>
      <c r="D2983" s="16" t="str">
        <f>IFERROR(VLOOKUP(C2983,DATA!#REF!,2,FALSE),"")</f>
        <v/>
      </c>
    </row>
    <row r="2984" spans="3:4" s="237" customFormat="1">
      <c r="C2984" s="16" t="str">
        <f>IFERROR(VLOOKUP(DATA!#REF!,DATA!#REF!,1,FALSE),"")</f>
        <v/>
      </c>
      <c r="D2984" s="16" t="str">
        <f>IFERROR(VLOOKUP(C2984,DATA!#REF!,2,FALSE),"")</f>
        <v/>
      </c>
    </row>
    <row r="2985" spans="3:4" s="237" customFormat="1">
      <c r="C2985" s="16" t="str">
        <f>IFERROR(VLOOKUP(DATA!#REF!,DATA!#REF!,1,FALSE),"")</f>
        <v/>
      </c>
      <c r="D2985" s="16" t="str">
        <f>IFERROR(VLOOKUP(C2985,DATA!#REF!,2,FALSE),"")</f>
        <v/>
      </c>
    </row>
    <row r="2986" spans="3:4" s="237" customFormat="1">
      <c r="C2986" s="16" t="str">
        <f>IFERROR(VLOOKUP(DATA!#REF!,DATA!#REF!,1,FALSE),"")</f>
        <v/>
      </c>
      <c r="D2986" s="16" t="str">
        <f>IFERROR(VLOOKUP(C2986,DATA!#REF!,2,FALSE),"")</f>
        <v/>
      </c>
    </row>
    <row r="2987" spans="3:4" s="237" customFormat="1">
      <c r="C2987" s="16" t="str">
        <f>IFERROR(VLOOKUP(DATA!#REF!,DATA!#REF!,1,FALSE),"")</f>
        <v/>
      </c>
      <c r="D2987" s="16" t="str">
        <f>IFERROR(VLOOKUP(C2987,DATA!#REF!,2,FALSE),"")</f>
        <v/>
      </c>
    </row>
    <row r="2988" spans="3:4" s="237" customFormat="1">
      <c r="C2988" s="16" t="str">
        <f>IFERROR(VLOOKUP(DATA!#REF!,DATA!#REF!,1,FALSE),"")</f>
        <v/>
      </c>
      <c r="D2988" s="16" t="str">
        <f>IFERROR(VLOOKUP(C2988,DATA!#REF!,2,FALSE),"")</f>
        <v/>
      </c>
    </row>
    <row r="2989" spans="3:4" s="237" customFormat="1">
      <c r="C2989" s="16" t="str">
        <f>IFERROR(VLOOKUP(DATA!#REF!,DATA!#REF!,1,FALSE),"")</f>
        <v/>
      </c>
      <c r="D2989" s="16" t="str">
        <f>IFERROR(VLOOKUP(C2989,DATA!#REF!,2,FALSE),"")</f>
        <v/>
      </c>
    </row>
    <row r="2990" spans="3:4" s="237" customFormat="1">
      <c r="C2990" s="16" t="str">
        <f>IFERROR(VLOOKUP(DATA!#REF!,DATA!#REF!,1,FALSE),"")</f>
        <v/>
      </c>
      <c r="D2990" s="16" t="str">
        <f>IFERROR(VLOOKUP(C2990,DATA!#REF!,2,FALSE),"")</f>
        <v/>
      </c>
    </row>
    <row r="2991" spans="3:4" s="237" customFormat="1">
      <c r="C2991" s="16" t="str">
        <f>IFERROR(VLOOKUP(DATA!#REF!,DATA!#REF!,1,FALSE),"")</f>
        <v/>
      </c>
      <c r="D2991" s="16" t="str">
        <f>IFERROR(VLOOKUP(C2991,DATA!#REF!,2,FALSE),"")</f>
        <v/>
      </c>
    </row>
    <row r="2992" spans="3:4" s="237" customFormat="1">
      <c r="C2992" s="16" t="str">
        <f>IFERROR(VLOOKUP(DATA!#REF!,DATA!#REF!,1,FALSE),"")</f>
        <v/>
      </c>
      <c r="D2992" s="16" t="str">
        <f>IFERROR(VLOOKUP(C2992,DATA!#REF!,2,FALSE),"")</f>
        <v/>
      </c>
    </row>
    <row r="2993" spans="3:4" s="237" customFormat="1">
      <c r="C2993" s="16" t="str">
        <f>IFERROR(VLOOKUP(DATA!#REF!,DATA!#REF!,1,FALSE),"")</f>
        <v/>
      </c>
      <c r="D2993" s="16" t="str">
        <f>IFERROR(VLOOKUP(C2993,DATA!#REF!,2,FALSE),"")</f>
        <v/>
      </c>
    </row>
    <row r="2994" spans="3:4" s="237" customFormat="1">
      <c r="C2994" s="16" t="str">
        <f>IFERROR(VLOOKUP(DATA!#REF!,DATA!#REF!,1,FALSE),"")</f>
        <v/>
      </c>
      <c r="D2994" s="16" t="str">
        <f>IFERROR(VLOOKUP(C2994,DATA!#REF!,2,FALSE),"")</f>
        <v/>
      </c>
    </row>
    <row r="2995" spans="3:4" s="237" customFormat="1">
      <c r="C2995" s="16" t="str">
        <f>IFERROR(VLOOKUP(DATA!#REF!,DATA!#REF!,1,FALSE),"")</f>
        <v/>
      </c>
      <c r="D2995" s="16" t="str">
        <f>IFERROR(VLOOKUP(C2995,DATA!#REF!,2,FALSE),"")</f>
        <v/>
      </c>
    </row>
    <row r="2996" spans="3:4" s="237" customFormat="1">
      <c r="C2996" s="16" t="str">
        <f>IFERROR(VLOOKUP(DATA!#REF!,DATA!#REF!,1,FALSE),"")</f>
        <v/>
      </c>
      <c r="D2996" s="16" t="str">
        <f>IFERROR(VLOOKUP(C2996,DATA!#REF!,2,FALSE),"")</f>
        <v/>
      </c>
    </row>
    <row r="2997" spans="3:4" s="237" customFormat="1">
      <c r="C2997" s="16" t="str">
        <f>IFERROR(VLOOKUP(DATA!#REF!,DATA!#REF!,1,FALSE),"")</f>
        <v/>
      </c>
      <c r="D2997" s="16" t="str">
        <f>IFERROR(VLOOKUP(C2997,DATA!#REF!,2,FALSE),"")</f>
        <v/>
      </c>
    </row>
    <row r="2998" spans="3:4" s="237" customFormat="1">
      <c r="C2998" s="16" t="str">
        <f>IFERROR(VLOOKUP(DATA!#REF!,DATA!#REF!,1,FALSE),"")</f>
        <v/>
      </c>
      <c r="D2998" s="16" t="str">
        <f>IFERROR(VLOOKUP(C2998,DATA!#REF!,2,FALSE),"")</f>
        <v/>
      </c>
    </row>
    <row r="2999" spans="3:4" s="237" customFormat="1">
      <c r="C2999" s="16" t="str">
        <f>IFERROR(VLOOKUP(DATA!#REF!,DATA!#REF!,1,FALSE),"")</f>
        <v/>
      </c>
      <c r="D2999" s="16" t="str">
        <f>IFERROR(VLOOKUP(C2999,DATA!#REF!,2,FALSE),"")</f>
        <v/>
      </c>
    </row>
    <row r="3000" spans="3:4" s="237" customFormat="1">
      <c r="C3000" s="16" t="str">
        <f>IFERROR(VLOOKUP(DATA!#REF!,DATA!#REF!,1,FALSE),"")</f>
        <v/>
      </c>
      <c r="D3000" s="16" t="str">
        <f>IFERROR(VLOOKUP(C3000,DATA!#REF!,2,FALSE),"")</f>
        <v/>
      </c>
    </row>
    <row r="3001" spans="3:4" s="237" customFormat="1">
      <c r="C3001" s="16" t="str">
        <f>IFERROR(VLOOKUP(DATA!#REF!,DATA!#REF!,1,FALSE),"")</f>
        <v/>
      </c>
      <c r="D3001" s="16" t="str">
        <f>IFERROR(VLOOKUP(C3001,DATA!#REF!,2,FALSE),"")</f>
        <v/>
      </c>
    </row>
    <row r="3002" spans="3:4" s="237" customFormat="1">
      <c r="C3002" s="16" t="str">
        <f>IFERROR(VLOOKUP(DATA!#REF!,DATA!#REF!,1,FALSE),"")</f>
        <v/>
      </c>
      <c r="D3002" s="16" t="str">
        <f>IFERROR(VLOOKUP(C3002,DATA!#REF!,2,FALSE),"")</f>
        <v/>
      </c>
    </row>
    <row r="3003" spans="3:4" s="237" customFormat="1">
      <c r="C3003" s="16" t="str">
        <f>IFERROR(VLOOKUP(DATA!#REF!,DATA!#REF!,1,FALSE),"")</f>
        <v/>
      </c>
      <c r="D3003" s="16" t="str">
        <f>IFERROR(VLOOKUP(C3003,DATA!#REF!,2,FALSE),"")</f>
        <v/>
      </c>
    </row>
    <row r="3004" spans="3:4" s="237" customFormat="1">
      <c r="C3004" s="16" t="str">
        <f>IFERROR(VLOOKUP(DATA!#REF!,DATA!#REF!,1,FALSE),"")</f>
        <v/>
      </c>
      <c r="D3004" s="16" t="str">
        <f>IFERROR(VLOOKUP(C3004,DATA!#REF!,2,FALSE),"")</f>
        <v/>
      </c>
    </row>
    <row r="3005" spans="3:4" s="237" customFormat="1">
      <c r="C3005" s="16" t="str">
        <f>IFERROR(VLOOKUP(DATA!#REF!,DATA!#REF!,1,FALSE),"")</f>
        <v/>
      </c>
      <c r="D3005" s="16" t="str">
        <f>IFERROR(VLOOKUP(C3005,DATA!#REF!,2,FALSE),"")</f>
        <v/>
      </c>
    </row>
    <row r="3006" spans="3:4" s="237" customFormat="1">
      <c r="C3006" s="16" t="str">
        <f>IFERROR(VLOOKUP(DATA!#REF!,DATA!#REF!,1,FALSE),"")</f>
        <v/>
      </c>
      <c r="D3006" s="16" t="str">
        <f>IFERROR(VLOOKUP(C3006,DATA!#REF!,2,FALSE),"")</f>
        <v/>
      </c>
    </row>
    <row r="3007" spans="3:4" s="237" customFormat="1">
      <c r="C3007" s="16" t="str">
        <f>IFERROR(VLOOKUP(DATA!#REF!,DATA!#REF!,1,FALSE),"")</f>
        <v/>
      </c>
      <c r="D3007" s="16" t="str">
        <f>IFERROR(VLOOKUP(C3007,DATA!#REF!,2,FALSE),"")</f>
        <v/>
      </c>
    </row>
    <row r="3008" spans="3:4" s="237" customFormat="1">
      <c r="C3008" s="16" t="str">
        <f>IFERROR(VLOOKUP(DATA!#REF!,DATA!#REF!,1,FALSE),"")</f>
        <v/>
      </c>
      <c r="D3008" s="16" t="str">
        <f>IFERROR(VLOOKUP(C3008,DATA!#REF!,2,FALSE),"")</f>
        <v/>
      </c>
    </row>
    <row r="3009" spans="3:4" s="237" customFormat="1">
      <c r="C3009" s="16" t="str">
        <f>IFERROR(VLOOKUP(DATA!#REF!,DATA!#REF!,1,FALSE),"")</f>
        <v/>
      </c>
      <c r="D3009" s="16" t="str">
        <f>IFERROR(VLOOKUP(C3009,DATA!#REF!,2,FALSE),"")</f>
        <v/>
      </c>
    </row>
    <row r="3010" spans="3:4" s="237" customFormat="1">
      <c r="C3010" s="16" t="str">
        <f>IFERROR(VLOOKUP(DATA!#REF!,DATA!#REF!,1,FALSE),"")</f>
        <v/>
      </c>
      <c r="D3010" s="16" t="str">
        <f>IFERROR(VLOOKUP(C3010,DATA!#REF!,2,FALSE),"")</f>
        <v/>
      </c>
    </row>
    <row r="3011" spans="3:4" s="237" customFormat="1">
      <c r="C3011" s="16" t="str">
        <f>IFERROR(VLOOKUP(DATA!#REF!,DATA!#REF!,1,FALSE),"")</f>
        <v/>
      </c>
      <c r="D3011" s="16" t="str">
        <f>IFERROR(VLOOKUP(C3011,DATA!#REF!,2,FALSE),"")</f>
        <v/>
      </c>
    </row>
    <row r="3012" spans="3:4" s="237" customFormat="1">
      <c r="C3012" s="16" t="str">
        <f>IFERROR(VLOOKUP(DATA!#REF!,DATA!#REF!,1,FALSE),"")</f>
        <v/>
      </c>
      <c r="D3012" s="16" t="str">
        <f>IFERROR(VLOOKUP(C3012,DATA!#REF!,2,FALSE),"")</f>
        <v/>
      </c>
    </row>
    <row r="3013" spans="3:4" s="237" customFormat="1">
      <c r="C3013" s="16" t="str">
        <f>IFERROR(VLOOKUP(DATA!#REF!,DATA!#REF!,1,FALSE),"")</f>
        <v/>
      </c>
      <c r="D3013" s="16" t="str">
        <f>IFERROR(VLOOKUP(C3013,DATA!#REF!,2,FALSE),"")</f>
        <v/>
      </c>
    </row>
    <row r="3014" spans="3:4" s="237" customFormat="1">
      <c r="C3014" s="16" t="str">
        <f>IFERROR(VLOOKUP(DATA!#REF!,DATA!#REF!,1,FALSE),"")</f>
        <v/>
      </c>
      <c r="D3014" s="16" t="str">
        <f>IFERROR(VLOOKUP(C3014,DATA!#REF!,2,FALSE),"")</f>
        <v/>
      </c>
    </row>
    <row r="3015" spans="3:4" s="237" customFormat="1">
      <c r="C3015" s="16" t="str">
        <f>IFERROR(VLOOKUP(DATA!#REF!,DATA!#REF!,1,FALSE),"")</f>
        <v/>
      </c>
      <c r="D3015" s="16" t="str">
        <f>IFERROR(VLOOKUP(C3015,DATA!#REF!,2,FALSE),"")</f>
        <v/>
      </c>
    </row>
    <row r="3016" spans="3:4" s="237" customFormat="1">
      <c r="C3016" s="16" t="str">
        <f>IFERROR(VLOOKUP(DATA!#REF!,DATA!#REF!,1,FALSE),"")</f>
        <v/>
      </c>
      <c r="D3016" s="16" t="str">
        <f>IFERROR(VLOOKUP(C3016,DATA!#REF!,2,FALSE),"")</f>
        <v/>
      </c>
    </row>
    <row r="3017" spans="3:4" s="237" customFormat="1">
      <c r="C3017" s="16" t="str">
        <f>IFERROR(VLOOKUP(DATA!#REF!,DATA!#REF!,1,FALSE),"")</f>
        <v/>
      </c>
      <c r="D3017" s="16" t="str">
        <f>IFERROR(VLOOKUP(C3017,DATA!#REF!,2,FALSE),"")</f>
        <v/>
      </c>
    </row>
    <row r="3018" spans="3:4" s="237" customFormat="1">
      <c r="C3018" s="16" t="str">
        <f>IFERROR(VLOOKUP(DATA!#REF!,DATA!#REF!,1,FALSE),"")</f>
        <v/>
      </c>
      <c r="D3018" s="16" t="str">
        <f>IFERROR(VLOOKUP(C3018,DATA!#REF!,2,FALSE),"")</f>
        <v/>
      </c>
    </row>
    <row r="3019" spans="3:4" s="237" customFormat="1">
      <c r="C3019" s="16" t="str">
        <f>IFERROR(VLOOKUP(DATA!#REF!,DATA!#REF!,1,FALSE),"")</f>
        <v/>
      </c>
      <c r="D3019" s="16" t="str">
        <f>IFERROR(VLOOKUP(C3019,DATA!#REF!,2,FALSE),"")</f>
        <v/>
      </c>
    </row>
    <row r="3020" spans="3:4" s="237" customFormat="1">
      <c r="C3020" s="16" t="str">
        <f>IFERROR(VLOOKUP(DATA!#REF!,DATA!#REF!,1,FALSE),"")</f>
        <v/>
      </c>
      <c r="D3020" s="16" t="str">
        <f>IFERROR(VLOOKUP(C3020,DATA!#REF!,2,FALSE),"")</f>
        <v/>
      </c>
    </row>
    <row r="3021" spans="3:4" s="237" customFormat="1">
      <c r="C3021" s="16" t="str">
        <f>IFERROR(VLOOKUP(DATA!#REF!,DATA!#REF!,1,FALSE),"")</f>
        <v/>
      </c>
      <c r="D3021" s="16" t="str">
        <f>IFERROR(VLOOKUP(C3021,DATA!#REF!,2,FALSE),"")</f>
        <v/>
      </c>
    </row>
    <row r="3022" spans="3:4" s="237" customFormat="1">
      <c r="C3022" s="16" t="str">
        <f>IFERROR(VLOOKUP(DATA!#REF!,DATA!#REF!,1,FALSE),"")</f>
        <v/>
      </c>
      <c r="D3022" s="16" t="str">
        <f>IFERROR(VLOOKUP(C3022,DATA!#REF!,2,FALSE),"")</f>
        <v/>
      </c>
    </row>
    <row r="3023" spans="3:4" s="237" customFormat="1">
      <c r="C3023" s="16" t="str">
        <f>IFERROR(VLOOKUP(DATA!#REF!,DATA!#REF!,1,FALSE),"")</f>
        <v/>
      </c>
      <c r="D3023" s="16" t="str">
        <f>IFERROR(VLOOKUP(C3023,DATA!#REF!,2,FALSE),"")</f>
        <v/>
      </c>
    </row>
    <row r="3024" spans="3:4" s="237" customFormat="1">
      <c r="C3024" s="16" t="str">
        <f>IFERROR(VLOOKUP(DATA!#REF!,DATA!#REF!,1,FALSE),"")</f>
        <v/>
      </c>
      <c r="D3024" s="16" t="str">
        <f>IFERROR(VLOOKUP(C3024,DATA!#REF!,2,FALSE),"")</f>
        <v/>
      </c>
    </row>
    <row r="3025" spans="3:4" s="237" customFormat="1">
      <c r="C3025" s="16" t="str">
        <f>IFERROR(VLOOKUP(DATA!#REF!,DATA!#REF!,1,FALSE),"")</f>
        <v/>
      </c>
      <c r="D3025" s="16" t="str">
        <f>IFERROR(VLOOKUP(C3025,DATA!#REF!,2,FALSE),"")</f>
        <v/>
      </c>
    </row>
    <row r="3026" spans="3:4" s="237" customFormat="1">
      <c r="C3026" s="16" t="str">
        <f>IFERROR(VLOOKUP(DATA!#REF!,DATA!#REF!,1,FALSE),"")</f>
        <v/>
      </c>
      <c r="D3026" s="16" t="str">
        <f>IFERROR(VLOOKUP(C3026,DATA!#REF!,2,FALSE),"")</f>
        <v/>
      </c>
    </row>
    <row r="3027" spans="3:4" s="237" customFormat="1">
      <c r="C3027" s="16" t="str">
        <f>IFERROR(VLOOKUP(DATA!#REF!,DATA!#REF!,1,FALSE),"")</f>
        <v/>
      </c>
      <c r="D3027" s="16" t="str">
        <f>IFERROR(VLOOKUP(C3027,DATA!#REF!,2,FALSE),"")</f>
        <v/>
      </c>
    </row>
    <row r="3028" spans="3:4" s="237" customFormat="1">
      <c r="C3028" s="16" t="str">
        <f>IFERROR(VLOOKUP(DATA!#REF!,DATA!#REF!,1,FALSE),"")</f>
        <v/>
      </c>
      <c r="D3028" s="16" t="str">
        <f>IFERROR(VLOOKUP(C3028,DATA!#REF!,2,FALSE),"")</f>
        <v/>
      </c>
    </row>
    <row r="3029" spans="3:4" s="237" customFormat="1">
      <c r="C3029" s="16" t="str">
        <f>IFERROR(VLOOKUP(DATA!#REF!,DATA!#REF!,1,FALSE),"")</f>
        <v/>
      </c>
      <c r="D3029" s="16" t="str">
        <f>IFERROR(VLOOKUP(C3029,DATA!#REF!,2,FALSE),"")</f>
        <v/>
      </c>
    </row>
    <row r="3030" spans="3:4" s="237" customFormat="1">
      <c r="C3030" s="16" t="str">
        <f>IFERROR(VLOOKUP(DATA!#REF!,DATA!#REF!,1,FALSE),"")</f>
        <v/>
      </c>
      <c r="D3030" s="16" t="str">
        <f>IFERROR(VLOOKUP(C3030,DATA!#REF!,2,FALSE),"")</f>
        <v/>
      </c>
    </row>
    <row r="3031" spans="3:4" s="237" customFormat="1">
      <c r="C3031" s="16" t="str">
        <f>IFERROR(VLOOKUP(DATA!#REF!,DATA!#REF!,1,FALSE),"")</f>
        <v/>
      </c>
      <c r="D3031" s="16" t="str">
        <f>IFERROR(VLOOKUP(C3031,DATA!#REF!,2,FALSE),"")</f>
        <v/>
      </c>
    </row>
    <row r="3032" spans="3:4" s="237" customFormat="1">
      <c r="C3032" s="16" t="str">
        <f>IFERROR(VLOOKUP(DATA!#REF!,DATA!#REF!,1,FALSE),"")</f>
        <v/>
      </c>
      <c r="D3032" s="16" t="str">
        <f>IFERROR(VLOOKUP(C3032,DATA!#REF!,2,FALSE),"")</f>
        <v/>
      </c>
    </row>
    <row r="3033" spans="3:4" s="237" customFormat="1">
      <c r="C3033" s="16" t="str">
        <f>IFERROR(VLOOKUP(DATA!#REF!,DATA!#REF!,1,FALSE),"")</f>
        <v/>
      </c>
      <c r="D3033" s="16" t="str">
        <f>IFERROR(VLOOKUP(C3033,DATA!#REF!,2,FALSE),"")</f>
        <v/>
      </c>
    </row>
    <row r="3034" spans="3:4" s="237" customFormat="1">
      <c r="C3034" s="16" t="str">
        <f>IFERROR(VLOOKUP(DATA!#REF!,DATA!#REF!,1,FALSE),"")</f>
        <v/>
      </c>
      <c r="D3034" s="16" t="str">
        <f>IFERROR(VLOOKUP(C3034,DATA!#REF!,2,FALSE),"")</f>
        <v/>
      </c>
    </row>
    <row r="3035" spans="3:4" s="237" customFormat="1">
      <c r="C3035" s="16" t="str">
        <f>IFERROR(VLOOKUP(DATA!#REF!,DATA!#REF!,1,FALSE),"")</f>
        <v/>
      </c>
      <c r="D3035" s="16" t="str">
        <f>IFERROR(VLOOKUP(C3035,DATA!#REF!,2,FALSE),"")</f>
        <v/>
      </c>
    </row>
    <row r="3036" spans="3:4" s="237" customFormat="1">
      <c r="C3036" s="16" t="str">
        <f>IFERROR(VLOOKUP(DATA!#REF!,DATA!#REF!,1,FALSE),"")</f>
        <v/>
      </c>
      <c r="D3036" s="16" t="str">
        <f>IFERROR(VLOOKUP(C3036,DATA!#REF!,2,FALSE),"")</f>
        <v/>
      </c>
    </row>
    <row r="3037" spans="3:4" s="237" customFormat="1">
      <c r="C3037" s="16" t="str">
        <f>IFERROR(VLOOKUP(DATA!#REF!,DATA!#REF!,1,FALSE),"")</f>
        <v/>
      </c>
      <c r="D3037" s="16" t="str">
        <f>IFERROR(VLOOKUP(C3037,DATA!#REF!,2,FALSE),"")</f>
        <v/>
      </c>
    </row>
    <row r="3038" spans="3:4" s="237" customFormat="1">
      <c r="C3038" s="16" t="str">
        <f>IFERROR(VLOOKUP(DATA!#REF!,DATA!#REF!,1,FALSE),"")</f>
        <v/>
      </c>
      <c r="D3038" s="16" t="str">
        <f>IFERROR(VLOOKUP(C3038,DATA!#REF!,2,FALSE),"")</f>
        <v/>
      </c>
    </row>
    <row r="3039" spans="3:4" s="237" customFormat="1">
      <c r="C3039" s="16" t="str">
        <f>IFERROR(VLOOKUP(DATA!#REF!,DATA!#REF!,1,FALSE),"")</f>
        <v/>
      </c>
      <c r="D3039" s="16" t="str">
        <f>IFERROR(VLOOKUP(C3039,DATA!#REF!,2,FALSE),"")</f>
        <v/>
      </c>
    </row>
    <row r="3040" spans="3:4" s="237" customFormat="1">
      <c r="C3040" s="16" t="str">
        <f>IFERROR(VLOOKUP(DATA!#REF!,DATA!#REF!,1,FALSE),"")</f>
        <v/>
      </c>
      <c r="D3040" s="16" t="str">
        <f>IFERROR(VLOOKUP(C3040,DATA!#REF!,2,FALSE),"")</f>
        <v/>
      </c>
    </row>
    <row r="3041" spans="3:4" s="237" customFormat="1">
      <c r="C3041" s="16" t="str">
        <f>IFERROR(VLOOKUP(DATA!#REF!,DATA!#REF!,1,FALSE),"")</f>
        <v/>
      </c>
      <c r="D3041" s="16" t="str">
        <f>IFERROR(VLOOKUP(C3041,DATA!#REF!,2,FALSE),"")</f>
        <v/>
      </c>
    </row>
    <row r="3042" spans="3:4" s="237" customFormat="1">
      <c r="C3042" s="16" t="str">
        <f>IFERROR(VLOOKUP(DATA!#REF!,DATA!#REF!,1,FALSE),"")</f>
        <v/>
      </c>
      <c r="D3042" s="16" t="str">
        <f>IFERROR(VLOOKUP(C3042,DATA!#REF!,2,FALSE),"")</f>
        <v/>
      </c>
    </row>
    <row r="3043" spans="3:4" s="237" customFormat="1">
      <c r="C3043" s="16" t="str">
        <f>IFERROR(VLOOKUP(DATA!#REF!,DATA!#REF!,1,FALSE),"")</f>
        <v/>
      </c>
      <c r="D3043" s="16" t="str">
        <f>IFERROR(VLOOKUP(C3043,DATA!#REF!,2,FALSE),"")</f>
        <v/>
      </c>
    </row>
    <row r="3044" spans="3:4" s="237" customFormat="1">
      <c r="C3044" s="16" t="str">
        <f>IFERROR(VLOOKUP(DATA!#REF!,DATA!#REF!,1,FALSE),"")</f>
        <v/>
      </c>
      <c r="D3044" s="16" t="str">
        <f>IFERROR(VLOOKUP(C3044,DATA!#REF!,2,FALSE),"")</f>
        <v/>
      </c>
    </row>
    <row r="3045" spans="3:4" s="237" customFormat="1">
      <c r="C3045" s="16" t="str">
        <f>IFERROR(VLOOKUP(DATA!#REF!,DATA!#REF!,1,FALSE),"")</f>
        <v/>
      </c>
      <c r="D3045" s="16" t="str">
        <f>IFERROR(VLOOKUP(C3045,DATA!#REF!,2,FALSE),"")</f>
        <v/>
      </c>
    </row>
    <row r="3046" spans="3:4" s="237" customFormat="1">
      <c r="C3046" s="16" t="str">
        <f>IFERROR(VLOOKUP(DATA!#REF!,DATA!#REF!,1,FALSE),"")</f>
        <v/>
      </c>
      <c r="D3046" s="16" t="str">
        <f>IFERROR(VLOOKUP(C3046,DATA!#REF!,2,FALSE),"")</f>
        <v/>
      </c>
    </row>
    <row r="3047" spans="3:4" s="237" customFormat="1">
      <c r="C3047" s="16" t="str">
        <f>IFERROR(VLOOKUP(DATA!#REF!,DATA!#REF!,1,FALSE),"")</f>
        <v/>
      </c>
      <c r="D3047" s="16" t="str">
        <f>IFERROR(VLOOKUP(C3047,DATA!#REF!,2,FALSE),"")</f>
        <v/>
      </c>
    </row>
    <row r="3048" spans="3:4" s="237" customFormat="1">
      <c r="C3048" s="16" t="str">
        <f>IFERROR(VLOOKUP(DATA!#REF!,DATA!#REF!,1,FALSE),"")</f>
        <v/>
      </c>
      <c r="D3048" s="16" t="str">
        <f>IFERROR(VLOOKUP(C3048,DATA!#REF!,2,FALSE),"")</f>
        <v/>
      </c>
    </row>
    <row r="3049" spans="3:4" s="237" customFormat="1">
      <c r="C3049" s="16" t="str">
        <f>IFERROR(VLOOKUP(DATA!#REF!,DATA!#REF!,1,FALSE),"")</f>
        <v/>
      </c>
      <c r="D3049" s="16" t="str">
        <f>IFERROR(VLOOKUP(C3049,DATA!#REF!,2,FALSE),"")</f>
        <v/>
      </c>
    </row>
    <row r="3050" spans="3:4" s="237" customFormat="1">
      <c r="C3050" s="16" t="str">
        <f>IFERROR(VLOOKUP(DATA!#REF!,DATA!#REF!,1,FALSE),"")</f>
        <v/>
      </c>
      <c r="D3050" s="16" t="str">
        <f>IFERROR(VLOOKUP(C3050,DATA!#REF!,2,FALSE),"")</f>
        <v/>
      </c>
    </row>
    <row r="3051" spans="3:4" s="237" customFormat="1">
      <c r="C3051" s="16" t="str">
        <f>IFERROR(VLOOKUP(DATA!#REF!,DATA!#REF!,1,FALSE),"")</f>
        <v/>
      </c>
      <c r="D3051" s="16" t="str">
        <f>IFERROR(VLOOKUP(C3051,DATA!#REF!,2,FALSE),"")</f>
        <v/>
      </c>
    </row>
    <row r="3052" spans="3:4" s="237" customFormat="1">
      <c r="C3052" s="16" t="str">
        <f>IFERROR(VLOOKUP(DATA!#REF!,DATA!#REF!,1,FALSE),"")</f>
        <v/>
      </c>
      <c r="D3052" s="16" t="str">
        <f>IFERROR(VLOOKUP(C3052,DATA!#REF!,2,FALSE),"")</f>
        <v/>
      </c>
    </row>
    <row r="3053" spans="3:4" s="237" customFormat="1">
      <c r="C3053" s="16" t="str">
        <f>IFERROR(VLOOKUP(DATA!#REF!,DATA!#REF!,1,FALSE),"")</f>
        <v/>
      </c>
      <c r="D3053" s="16" t="str">
        <f>IFERROR(VLOOKUP(C3053,DATA!#REF!,2,FALSE),"")</f>
        <v/>
      </c>
    </row>
    <row r="3054" spans="3:4" s="237" customFormat="1">
      <c r="C3054" s="16" t="str">
        <f>IFERROR(VLOOKUP(DATA!#REF!,DATA!#REF!,1,FALSE),"")</f>
        <v/>
      </c>
      <c r="D3054" s="16" t="str">
        <f>IFERROR(VLOOKUP(C3054,DATA!#REF!,2,FALSE),"")</f>
        <v/>
      </c>
    </row>
    <row r="3055" spans="3:4" s="237" customFormat="1">
      <c r="C3055" s="16" t="str">
        <f>IFERROR(VLOOKUP(DATA!#REF!,DATA!#REF!,1,FALSE),"")</f>
        <v/>
      </c>
      <c r="D3055" s="16" t="str">
        <f>IFERROR(VLOOKUP(C3055,DATA!#REF!,2,FALSE),"")</f>
        <v/>
      </c>
    </row>
    <row r="3056" spans="3:4" s="237" customFormat="1">
      <c r="C3056" s="16" t="str">
        <f>IFERROR(VLOOKUP(DATA!#REF!,DATA!#REF!,1,FALSE),"")</f>
        <v/>
      </c>
      <c r="D3056" s="16" t="str">
        <f>IFERROR(VLOOKUP(C3056,DATA!#REF!,2,FALSE),"")</f>
        <v/>
      </c>
    </row>
    <row r="3057" spans="3:4" s="237" customFormat="1">
      <c r="C3057" s="16" t="str">
        <f>IFERROR(VLOOKUP(DATA!#REF!,DATA!#REF!,1,FALSE),"")</f>
        <v/>
      </c>
      <c r="D3057" s="16" t="str">
        <f>IFERROR(VLOOKUP(C3057,DATA!#REF!,2,FALSE),"")</f>
        <v/>
      </c>
    </row>
    <row r="3058" spans="3:4" s="237" customFormat="1">
      <c r="C3058" s="16" t="str">
        <f>IFERROR(VLOOKUP(DATA!#REF!,DATA!#REF!,1,FALSE),"")</f>
        <v/>
      </c>
      <c r="D3058" s="16" t="str">
        <f>IFERROR(VLOOKUP(C3058,DATA!#REF!,2,FALSE),"")</f>
        <v/>
      </c>
    </row>
    <row r="3059" spans="3:4" s="237" customFormat="1">
      <c r="C3059" s="16" t="str">
        <f>IFERROR(VLOOKUP(DATA!#REF!,DATA!#REF!,1,FALSE),"")</f>
        <v/>
      </c>
      <c r="D3059" s="16" t="str">
        <f>IFERROR(VLOOKUP(C3059,DATA!#REF!,2,FALSE),"")</f>
        <v/>
      </c>
    </row>
    <row r="3060" spans="3:4" s="237" customFormat="1">
      <c r="C3060" s="16" t="str">
        <f>IFERROR(VLOOKUP(DATA!#REF!,DATA!#REF!,1,FALSE),"")</f>
        <v/>
      </c>
      <c r="D3060" s="16" t="str">
        <f>IFERROR(VLOOKUP(C3060,DATA!#REF!,2,FALSE),"")</f>
        <v/>
      </c>
    </row>
    <row r="3061" spans="3:4" s="237" customFormat="1">
      <c r="C3061" s="16" t="str">
        <f>IFERROR(VLOOKUP(DATA!#REF!,DATA!#REF!,1,FALSE),"")</f>
        <v/>
      </c>
      <c r="D3061" s="16" t="str">
        <f>IFERROR(VLOOKUP(C3061,DATA!#REF!,2,FALSE),"")</f>
        <v/>
      </c>
    </row>
    <row r="3062" spans="3:4" s="237" customFormat="1">
      <c r="C3062" s="16" t="str">
        <f>IFERROR(VLOOKUP(DATA!#REF!,DATA!#REF!,1,FALSE),"")</f>
        <v/>
      </c>
      <c r="D3062" s="16" t="str">
        <f>IFERROR(VLOOKUP(C3062,DATA!#REF!,2,FALSE),"")</f>
        <v/>
      </c>
    </row>
    <row r="3063" spans="3:4" s="237" customFormat="1">
      <c r="C3063" s="16" t="str">
        <f>IFERROR(VLOOKUP(DATA!#REF!,DATA!#REF!,1,FALSE),"")</f>
        <v/>
      </c>
      <c r="D3063" s="16" t="str">
        <f>IFERROR(VLOOKUP(C3063,DATA!#REF!,2,FALSE),"")</f>
        <v/>
      </c>
    </row>
    <row r="3064" spans="3:4" s="237" customFormat="1">
      <c r="C3064" s="16" t="str">
        <f>IFERROR(VLOOKUP(DATA!#REF!,DATA!#REF!,1,FALSE),"")</f>
        <v/>
      </c>
      <c r="D3064" s="16" t="str">
        <f>IFERROR(VLOOKUP(C3064,DATA!#REF!,2,FALSE),"")</f>
        <v/>
      </c>
    </row>
    <row r="3065" spans="3:4" s="237" customFormat="1">
      <c r="C3065" s="16" t="str">
        <f>IFERROR(VLOOKUP(DATA!#REF!,DATA!#REF!,1,FALSE),"")</f>
        <v/>
      </c>
      <c r="D3065" s="16" t="str">
        <f>IFERROR(VLOOKUP(C3065,DATA!#REF!,2,FALSE),"")</f>
        <v/>
      </c>
    </row>
    <row r="3066" spans="3:4" s="237" customFormat="1">
      <c r="C3066" s="16" t="str">
        <f>IFERROR(VLOOKUP(DATA!#REF!,DATA!#REF!,1,FALSE),"")</f>
        <v/>
      </c>
      <c r="D3066" s="16" t="str">
        <f>IFERROR(VLOOKUP(C3066,DATA!#REF!,2,FALSE),"")</f>
        <v/>
      </c>
    </row>
    <row r="3067" spans="3:4" s="237" customFormat="1">
      <c r="C3067" s="16" t="str">
        <f>IFERROR(VLOOKUP(DATA!#REF!,DATA!#REF!,1,FALSE),"")</f>
        <v/>
      </c>
      <c r="D3067" s="16" t="str">
        <f>IFERROR(VLOOKUP(C3067,DATA!#REF!,2,FALSE),"")</f>
        <v/>
      </c>
    </row>
    <row r="3068" spans="3:4" s="237" customFormat="1">
      <c r="C3068" s="16" t="str">
        <f>IFERROR(VLOOKUP(DATA!#REF!,DATA!#REF!,1,FALSE),"")</f>
        <v/>
      </c>
      <c r="D3068" s="16" t="str">
        <f>IFERROR(VLOOKUP(C3068,DATA!#REF!,2,FALSE),"")</f>
        <v/>
      </c>
    </row>
    <row r="3069" spans="3:4" s="237" customFormat="1">
      <c r="C3069" s="16" t="str">
        <f>IFERROR(VLOOKUP(DATA!#REF!,DATA!#REF!,1,FALSE),"")</f>
        <v/>
      </c>
      <c r="D3069" s="16" t="str">
        <f>IFERROR(VLOOKUP(C3069,DATA!#REF!,2,FALSE),"")</f>
        <v/>
      </c>
    </row>
    <row r="3070" spans="3:4" s="237" customFormat="1">
      <c r="C3070" s="16" t="str">
        <f>IFERROR(VLOOKUP(DATA!#REF!,DATA!#REF!,1,FALSE),"")</f>
        <v/>
      </c>
      <c r="D3070" s="16" t="str">
        <f>IFERROR(VLOOKUP(C3070,DATA!#REF!,2,FALSE),"")</f>
        <v/>
      </c>
    </row>
    <row r="3071" spans="3:4" s="237" customFormat="1">
      <c r="C3071" s="16" t="str">
        <f>IFERROR(VLOOKUP(DATA!#REF!,DATA!#REF!,1,FALSE),"")</f>
        <v/>
      </c>
      <c r="D3071" s="16" t="str">
        <f>IFERROR(VLOOKUP(C3071,DATA!#REF!,2,FALSE),"")</f>
        <v/>
      </c>
    </row>
    <row r="3072" spans="3:4" s="237" customFormat="1">
      <c r="C3072" s="16" t="str">
        <f>IFERROR(VLOOKUP(DATA!#REF!,DATA!#REF!,1,FALSE),"")</f>
        <v/>
      </c>
      <c r="D3072" s="16" t="str">
        <f>IFERROR(VLOOKUP(C3072,DATA!#REF!,2,FALSE),"")</f>
        <v/>
      </c>
    </row>
    <row r="3073" spans="3:4" s="237" customFormat="1">
      <c r="C3073" s="16" t="str">
        <f>IFERROR(VLOOKUP(DATA!#REF!,DATA!#REF!,1,FALSE),"")</f>
        <v/>
      </c>
      <c r="D3073" s="16" t="str">
        <f>IFERROR(VLOOKUP(C3073,DATA!#REF!,2,FALSE),"")</f>
        <v/>
      </c>
    </row>
    <row r="3074" spans="3:4" s="237" customFormat="1">
      <c r="C3074" s="16" t="str">
        <f>IFERROR(VLOOKUP(DATA!#REF!,DATA!#REF!,1,FALSE),"")</f>
        <v/>
      </c>
      <c r="D3074" s="16" t="str">
        <f>IFERROR(VLOOKUP(C3074,DATA!#REF!,2,FALSE),"")</f>
        <v/>
      </c>
    </row>
    <row r="3075" spans="3:4" s="237" customFormat="1">
      <c r="C3075" s="16" t="str">
        <f>IFERROR(VLOOKUP(DATA!#REF!,DATA!#REF!,1,FALSE),"")</f>
        <v/>
      </c>
      <c r="D3075" s="16" t="str">
        <f>IFERROR(VLOOKUP(C3075,DATA!#REF!,2,FALSE),"")</f>
        <v/>
      </c>
    </row>
    <row r="3076" spans="3:4" s="237" customFormat="1">
      <c r="C3076" s="16" t="str">
        <f>IFERROR(VLOOKUP(DATA!#REF!,DATA!#REF!,1,FALSE),"")</f>
        <v/>
      </c>
      <c r="D3076" s="16" t="str">
        <f>IFERROR(VLOOKUP(C3076,DATA!#REF!,2,FALSE),"")</f>
        <v/>
      </c>
    </row>
    <row r="3077" spans="3:4" s="237" customFormat="1">
      <c r="C3077" s="16" t="str">
        <f>IFERROR(VLOOKUP(DATA!#REF!,DATA!#REF!,1,FALSE),"")</f>
        <v/>
      </c>
      <c r="D3077" s="16" t="str">
        <f>IFERROR(VLOOKUP(C3077,DATA!#REF!,2,FALSE),"")</f>
        <v/>
      </c>
    </row>
    <row r="3078" spans="3:4" s="237" customFormat="1">
      <c r="C3078" s="16" t="str">
        <f>IFERROR(VLOOKUP(DATA!#REF!,DATA!#REF!,1,FALSE),"")</f>
        <v/>
      </c>
      <c r="D3078" s="16" t="str">
        <f>IFERROR(VLOOKUP(C3078,DATA!#REF!,2,FALSE),"")</f>
        <v/>
      </c>
    </row>
    <row r="3079" spans="3:4" s="237" customFormat="1">
      <c r="C3079" s="16" t="str">
        <f>IFERROR(VLOOKUP(DATA!#REF!,DATA!#REF!,1,FALSE),"")</f>
        <v/>
      </c>
      <c r="D3079" s="16" t="str">
        <f>IFERROR(VLOOKUP(C3079,DATA!#REF!,2,FALSE),"")</f>
        <v/>
      </c>
    </row>
    <row r="3080" spans="3:4" s="237" customFormat="1">
      <c r="C3080" s="16" t="str">
        <f>IFERROR(VLOOKUP(DATA!#REF!,DATA!#REF!,1,FALSE),"")</f>
        <v/>
      </c>
      <c r="D3080" s="16" t="str">
        <f>IFERROR(VLOOKUP(C3080,DATA!#REF!,2,FALSE),"")</f>
        <v/>
      </c>
    </row>
    <row r="3081" spans="3:4" s="237" customFormat="1">
      <c r="C3081" s="16" t="str">
        <f>IFERROR(VLOOKUP(DATA!#REF!,DATA!#REF!,1,FALSE),"")</f>
        <v/>
      </c>
      <c r="D3081" s="16" t="str">
        <f>IFERROR(VLOOKUP(C3081,DATA!#REF!,2,FALSE),"")</f>
        <v/>
      </c>
    </row>
    <row r="3082" spans="3:4" s="237" customFormat="1">
      <c r="C3082" s="16" t="str">
        <f>IFERROR(VLOOKUP(DATA!#REF!,DATA!#REF!,1,FALSE),"")</f>
        <v/>
      </c>
      <c r="D3082" s="16" t="str">
        <f>IFERROR(VLOOKUP(C3082,DATA!#REF!,2,FALSE),"")</f>
        <v/>
      </c>
    </row>
    <row r="3083" spans="3:4" s="237" customFormat="1">
      <c r="C3083" s="16" t="str">
        <f>IFERROR(VLOOKUP(DATA!#REF!,DATA!#REF!,1,FALSE),"")</f>
        <v/>
      </c>
      <c r="D3083" s="16" t="str">
        <f>IFERROR(VLOOKUP(C3083,DATA!#REF!,2,FALSE),"")</f>
        <v/>
      </c>
    </row>
    <row r="3084" spans="3:4" s="237" customFormat="1">
      <c r="C3084" s="16" t="str">
        <f>IFERROR(VLOOKUP(DATA!#REF!,DATA!#REF!,1,FALSE),"")</f>
        <v/>
      </c>
      <c r="D3084" s="16" t="str">
        <f>IFERROR(VLOOKUP(C3084,DATA!#REF!,2,FALSE),"")</f>
        <v/>
      </c>
    </row>
    <row r="3085" spans="3:4" s="237" customFormat="1">
      <c r="C3085" s="16" t="str">
        <f>IFERROR(VLOOKUP(DATA!#REF!,DATA!#REF!,1,FALSE),"")</f>
        <v/>
      </c>
      <c r="D3085" s="16" t="str">
        <f>IFERROR(VLOOKUP(C3085,DATA!#REF!,2,FALSE),"")</f>
        <v/>
      </c>
    </row>
    <row r="3086" spans="3:4" s="237" customFormat="1">
      <c r="C3086" s="16" t="str">
        <f>IFERROR(VLOOKUP(DATA!#REF!,DATA!#REF!,1,FALSE),"")</f>
        <v/>
      </c>
      <c r="D3086" s="16" t="str">
        <f>IFERROR(VLOOKUP(C3086,DATA!#REF!,2,FALSE),"")</f>
        <v/>
      </c>
    </row>
    <row r="3087" spans="3:4" s="237" customFormat="1">
      <c r="C3087" s="16" t="str">
        <f>IFERROR(VLOOKUP(DATA!#REF!,DATA!#REF!,1,FALSE),"")</f>
        <v/>
      </c>
      <c r="D3087" s="16" t="str">
        <f>IFERROR(VLOOKUP(C3087,DATA!#REF!,2,FALSE),"")</f>
        <v/>
      </c>
    </row>
    <row r="3088" spans="3:4" s="237" customFormat="1">
      <c r="C3088" s="16" t="str">
        <f>IFERROR(VLOOKUP(DATA!#REF!,DATA!#REF!,1,FALSE),"")</f>
        <v/>
      </c>
      <c r="D3088" s="16" t="str">
        <f>IFERROR(VLOOKUP(C3088,DATA!#REF!,2,FALSE),"")</f>
        <v/>
      </c>
    </row>
    <row r="3089" spans="3:4" s="237" customFormat="1">
      <c r="C3089" s="16" t="str">
        <f>IFERROR(VLOOKUP(DATA!#REF!,DATA!#REF!,1,FALSE),"")</f>
        <v/>
      </c>
      <c r="D3089" s="16" t="str">
        <f>IFERROR(VLOOKUP(C3089,DATA!#REF!,2,FALSE),"")</f>
        <v/>
      </c>
    </row>
    <row r="3090" spans="3:4" s="237" customFormat="1">
      <c r="C3090" s="16" t="str">
        <f>IFERROR(VLOOKUP(DATA!#REF!,DATA!#REF!,1,FALSE),"")</f>
        <v/>
      </c>
      <c r="D3090" s="16" t="str">
        <f>IFERROR(VLOOKUP(C3090,DATA!#REF!,2,FALSE),"")</f>
        <v/>
      </c>
    </row>
    <row r="3091" spans="3:4" s="237" customFormat="1">
      <c r="C3091" s="16" t="str">
        <f>IFERROR(VLOOKUP(DATA!#REF!,DATA!#REF!,1,FALSE),"")</f>
        <v/>
      </c>
      <c r="D3091" s="16" t="str">
        <f>IFERROR(VLOOKUP(C3091,DATA!#REF!,2,FALSE),"")</f>
        <v/>
      </c>
    </row>
    <row r="3092" spans="3:4" s="237" customFormat="1">
      <c r="C3092" s="16" t="str">
        <f>IFERROR(VLOOKUP(DATA!#REF!,DATA!#REF!,1,FALSE),"")</f>
        <v/>
      </c>
      <c r="D3092" s="16" t="str">
        <f>IFERROR(VLOOKUP(C3092,DATA!#REF!,2,FALSE),"")</f>
        <v/>
      </c>
    </row>
    <row r="3093" spans="3:4" s="237" customFormat="1">
      <c r="C3093" s="16" t="str">
        <f>IFERROR(VLOOKUP(DATA!#REF!,DATA!#REF!,1,FALSE),"")</f>
        <v/>
      </c>
      <c r="D3093" s="16" t="str">
        <f>IFERROR(VLOOKUP(C3093,DATA!#REF!,2,FALSE),"")</f>
        <v/>
      </c>
    </row>
    <row r="3094" spans="3:4" s="237" customFormat="1">
      <c r="C3094" s="16" t="str">
        <f>IFERROR(VLOOKUP(DATA!#REF!,DATA!#REF!,1,FALSE),"")</f>
        <v/>
      </c>
      <c r="D3094" s="16" t="str">
        <f>IFERROR(VLOOKUP(C3094,DATA!#REF!,2,FALSE),"")</f>
        <v/>
      </c>
    </row>
    <row r="3095" spans="3:4" s="237" customFormat="1">
      <c r="C3095" s="16" t="str">
        <f>IFERROR(VLOOKUP(DATA!#REF!,DATA!#REF!,1,FALSE),"")</f>
        <v/>
      </c>
      <c r="D3095" s="16" t="str">
        <f>IFERROR(VLOOKUP(C3095,DATA!#REF!,2,FALSE),"")</f>
        <v/>
      </c>
    </row>
    <row r="3096" spans="3:4" s="237" customFormat="1">
      <c r="C3096" s="16" t="str">
        <f>IFERROR(VLOOKUP(DATA!#REF!,DATA!#REF!,1,FALSE),"")</f>
        <v/>
      </c>
      <c r="D3096" s="16" t="str">
        <f>IFERROR(VLOOKUP(C3096,DATA!#REF!,2,FALSE),"")</f>
        <v/>
      </c>
    </row>
    <row r="3097" spans="3:4" s="237" customFormat="1">
      <c r="C3097" s="16" t="str">
        <f>IFERROR(VLOOKUP(DATA!#REF!,DATA!#REF!,1,FALSE),"")</f>
        <v/>
      </c>
      <c r="D3097" s="16" t="str">
        <f>IFERROR(VLOOKUP(C3097,DATA!#REF!,2,FALSE),"")</f>
        <v/>
      </c>
    </row>
    <row r="3098" spans="3:4" s="237" customFormat="1">
      <c r="C3098" s="16" t="str">
        <f>IFERROR(VLOOKUP(DATA!#REF!,DATA!#REF!,1,FALSE),"")</f>
        <v/>
      </c>
      <c r="D3098" s="16" t="str">
        <f>IFERROR(VLOOKUP(C3098,DATA!#REF!,2,FALSE),"")</f>
        <v/>
      </c>
    </row>
    <row r="3099" spans="3:4" s="237" customFormat="1">
      <c r="C3099" s="16" t="str">
        <f>IFERROR(VLOOKUP(DATA!#REF!,DATA!#REF!,1,FALSE),"")</f>
        <v/>
      </c>
      <c r="D3099" s="16" t="str">
        <f>IFERROR(VLOOKUP(C3099,DATA!#REF!,2,FALSE),"")</f>
        <v/>
      </c>
    </row>
    <row r="3100" spans="3:4" s="237" customFormat="1">
      <c r="C3100" s="16" t="str">
        <f>IFERROR(VLOOKUP(DATA!#REF!,DATA!#REF!,1,FALSE),"")</f>
        <v/>
      </c>
      <c r="D3100" s="16" t="str">
        <f>IFERROR(VLOOKUP(C3100,DATA!#REF!,2,FALSE),"")</f>
        <v/>
      </c>
    </row>
    <row r="3101" spans="3:4" s="237" customFormat="1">
      <c r="C3101" s="16" t="str">
        <f>IFERROR(VLOOKUP(DATA!#REF!,DATA!#REF!,1,FALSE),"")</f>
        <v/>
      </c>
      <c r="D3101" s="16" t="str">
        <f>IFERROR(VLOOKUP(C3101,DATA!#REF!,2,FALSE),"")</f>
        <v/>
      </c>
    </row>
    <row r="3102" spans="3:4" s="237" customFormat="1">
      <c r="C3102" s="16" t="str">
        <f>IFERROR(VLOOKUP(DATA!#REF!,DATA!#REF!,1,FALSE),"")</f>
        <v/>
      </c>
      <c r="D3102" s="16" t="str">
        <f>IFERROR(VLOOKUP(C3102,DATA!#REF!,2,FALSE),"")</f>
        <v/>
      </c>
    </row>
    <row r="3103" spans="3:4" s="237" customFormat="1">
      <c r="C3103" s="16" t="str">
        <f>IFERROR(VLOOKUP(DATA!#REF!,DATA!#REF!,1,FALSE),"")</f>
        <v/>
      </c>
      <c r="D3103" s="16" t="str">
        <f>IFERROR(VLOOKUP(C3103,DATA!#REF!,2,FALSE),"")</f>
        <v/>
      </c>
    </row>
    <row r="3104" spans="3:4" s="237" customFormat="1">
      <c r="C3104" s="16" t="str">
        <f>IFERROR(VLOOKUP(DATA!#REF!,DATA!#REF!,1,FALSE),"")</f>
        <v/>
      </c>
      <c r="D3104" s="16" t="str">
        <f>IFERROR(VLOOKUP(C3104,DATA!#REF!,2,FALSE),"")</f>
        <v/>
      </c>
    </row>
    <row r="3105" spans="3:4" s="237" customFormat="1">
      <c r="C3105" s="16" t="str">
        <f>IFERROR(VLOOKUP(DATA!#REF!,DATA!#REF!,1,FALSE),"")</f>
        <v/>
      </c>
      <c r="D3105" s="16" t="str">
        <f>IFERROR(VLOOKUP(C3105,DATA!#REF!,2,FALSE),"")</f>
        <v/>
      </c>
    </row>
    <row r="3106" spans="3:4" s="237" customFormat="1">
      <c r="C3106" s="16" t="str">
        <f>IFERROR(VLOOKUP(DATA!#REF!,DATA!#REF!,1,FALSE),"")</f>
        <v/>
      </c>
      <c r="D3106" s="16" t="str">
        <f>IFERROR(VLOOKUP(C3106,DATA!#REF!,2,FALSE),"")</f>
        <v/>
      </c>
    </row>
    <row r="3107" spans="3:4" s="237" customFormat="1">
      <c r="C3107" s="16" t="str">
        <f>IFERROR(VLOOKUP(DATA!#REF!,DATA!#REF!,1,FALSE),"")</f>
        <v/>
      </c>
      <c r="D3107" s="16" t="str">
        <f>IFERROR(VLOOKUP(C3107,DATA!#REF!,2,FALSE),"")</f>
        <v/>
      </c>
    </row>
    <row r="3108" spans="3:4" s="237" customFormat="1">
      <c r="C3108" s="16" t="str">
        <f>IFERROR(VLOOKUP(DATA!#REF!,DATA!#REF!,1,FALSE),"")</f>
        <v/>
      </c>
      <c r="D3108" s="16" t="str">
        <f>IFERROR(VLOOKUP(C3108,DATA!#REF!,2,FALSE),"")</f>
        <v/>
      </c>
    </row>
    <row r="3109" spans="3:4" s="237" customFormat="1">
      <c r="C3109" s="16" t="str">
        <f>IFERROR(VLOOKUP(DATA!#REF!,DATA!#REF!,1,FALSE),"")</f>
        <v/>
      </c>
      <c r="D3109" s="16" t="str">
        <f>IFERROR(VLOOKUP(C3109,DATA!#REF!,2,FALSE),"")</f>
        <v/>
      </c>
    </row>
    <row r="3110" spans="3:4" s="237" customFormat="1">
      <c r="C3110" s="16" t="str">
        <f>IFERROR(VLOOKUP(DATA!#REF!,DATA!#REF!,1,FALSE),"")</f>
        <v/>
      </c>
      <c r="D3110" s="16" t="str">
        <f>IFERROR(VLOOKUP(C3110,DATA!#REF!,2,FALSE),"")</f>
        <v/>
      </c>
    </row>
    <row r="3111" spans="3:4" s="237" customFormat="1">
      <c r="C3111" s="16" t="str">
        <f>IFERROR(VLOOKUP(DATA!#REF!,DATA!#REF!,1,FALSE),"")</f>
        <v/>
      </c>
      <c r="D3111" s="16" t="str">
        <f>IFERROR(VLOOKUP(C3111,DATA!#REF!,2,FALSE),"")</f>
        <v/>
      </c>
    </row>
    <row r="3112" spans="3:4" s="237" customFormat="1">
      <c r="C3112" s="16" t="str">
        <f>IFERROR(VLOOKUP(DATA!#REF!,DATA!#REF!,1,FALSE),"")</f>
        <v/>
      </c>
      <c r="D3112" s="16" t="str">
        <f>IFERROR(VLOOKUP(C3112,DATA!#REF!,2,FALSE),"")</f>
        <v/>
      </c>
    </row>
    <row r="3113" spans="3:4" s="237" customFormat="1">
      <c r="C3113" s="16" t="str">
        <f>IFERROR(VLOOKUP(DATA!#REF!,DATA!#REF!,1,FALSE),"")</f>
        <v/>
      </c>
      <c r="D3113" s="16" t="str">
        <f>IFERROR(VLOOKUP(C3113,DATA!#REF!,2,FALSE),"")</f>
        <v/>
      </c>
    </row>
    <row r="3114" spans="3:4" s="237" customFormat="1">
      <c r="C3114" s="16" t="str">
        <f>IFERROR(VLOOKUP(DATA!#REF!,DATA!#REF!,1,FALSE),"")</f>
        <v/>
      </c>
      <c r="D3114" s="16" t="str">
        <f>IFERROR(VLOOKUP(C3114,DATA!#REF!,2,FALSE),"")</f>
        <v/>
      </c>
    </row>
    <row r="3115" spans="3:4" s="237" customFormat="1">
      <c r="C3115" s="16" t="str">
        <f>IFERROR(VLOOKUP(DATA!#REF!,DATA!#REF!,1,FALSE),"")</f>
        <v/>
      </c>
      <c r="D3115" s="16" t="str">
        <f>IFERROR(VLOOKUP(C3115,DATA!#REF!,2,FALSE),"")</f>
        <v/>
      </c>
    </row>
    <row r="3116" spans="3:4" s="237" customFormat="1">
      <c r="C3116" s="16" t="str">
        <f>IFERROR(VLOOKUP(DATA!#REF!,DATA!#REF!,1,FALSE),"")</f>
        <v/>
      </c>
      <c r="D3116" s="16" t="str">
        <f>IFERROR(VLOOKUP(C3116,DATA!#REF!,2,FALSE),"")</f>
        <v/>
      </c>
    </row>
    <row r="3117" spans="3:4" s="237" customFormat="1">
      <c r="C3117" s="16" t="str">
        <f>IFERROR(VLOOKUP(DATA!#REF!,DATA!#REF!,1,FALSE),"")</f>
        <v/>
      </c>
      <c r="D3117" s="16" t="str">
        <f>IFERROR(VLOOKUP(C3117,DATA!#REF!,2,FALSE),"")</f>
        <v/>
      </c>
    </row>
    <row r="3118" spans="3:4" s="237" customFormat="1">
      <c r="C3118" s="16" t="str">
        <f>IFERROR(VLOOKUP(DATA!#REF!,DATA!#REF!,1,FALSE),"")</f>
        <v/>
      </c>
      <c r="D3118" s="16" t="str">
        <f>IFERROR(VLOOKUP(C3118,DATA!#REF!,2,FALSE),"")</f>
        <v/>
      </c>
    </row>
    <row r="3119" spans="3:4" s="237" customFormat="1">
      <c r="C3119" s="16" t="str">
        <f>IFERROR(VLOOKUP(DATA!#REF!,DATA!#REF!,1,FALSE),"")</f>
        <v/>
      </c>
      <c r="D3119" s="16" t="str">
        <f>IFERROR(VLOOKUP(C3119,DATA!#REF!,2,FALSE),"")</f>
        <v/>
      </c>
    </row>
    <row r="3120" spans="3:4" s="237" customFormat="1">
      <c r="C3120" s="16" t="str">
        <f>IFERROR(VLOOKUP(DATA!#REF!,DATA!#REF!,1,FALSE),"")</f>
        <v/>
      </c>
      <c r="D3120" s="16" t="str">
        <f>IFERROR(VLOOKUP(C3120,DATA!#REF!,2,FALSE),"")</f>
        <v/>
      </c>
    </row>
    <row r="3121" spans="3:4" s="237" customFormat="1">
      <c r="C3121" s="16" t="str">
        <f>IFERROR(VLOOKUP(DATA!#REF!,DATA!#REF!,1,FALSE),"")</f>
        <v/>
      </c>
      <c r="D3121" s="16" t="str">
        <f>IFERROR(VLOOKUP(C3121,DATA!#REF!,2,FALSE),"")</f>
        <v/>
      </c>
    </row>
    <row r="3122" spans="3:4" s="237" customFormat="1">
      <c r="C3122" s="16" t="str">
        <f>IFERROR(VLOOKUP(DATA!#REF!,DATA!#REF!,1,FALSE),"")</f>
        <v/>
      </c>
      <c r="D3122" s="16" t="str">
        <f>IFERROR(VLOOKUP(C3122,DATA!#REF!,2,FALSE),"")</f>
        <v/>
      </c>
    </row>
    <row r="3123" spans="3:4" s="237" customFormat="1">
      <c r="C3123" s="16" t="str">
        <f>IFERROR(VLOOKUP(DATA!#REF!,DATA!#REF!,1,FALSE),"")</f>
        <v/>
      </c>
      <c r="D3123" s="16" t="str">
        <f>IFERROR(VLOOKUP(C3123,DATA!#REF!,2,FALSE),"")</f>
        <v/>
      </c>
    </row>
    <row r="3124" spans="3:4" s="237" customFormat="1">
      <c r="C3124" s="16" t="str">
        <f>IFERROR(VLOOKUP(DATA!#REF!,DATA!#REF!,1,FALSE),"")</f>
        <v/>
      </c>
      <c r="D3124" s="16" t="str">
        <f>IFERROR(VLOOKUP(C3124,DATA!#REF!,2,FALSE),"")</f>
        <v/>
      </c>
    </row>
    <row r="3125" spans="3:4" s="237" customFormat="1">
      <c r="C3125" s="16" t="str">
        <f>IFERROR(VLOOKUP(DATA!#REF!,DATA!#REF!,1,FALSE),"")</f>
        <v/>
      </c>
      <c r="D3125" s="16" t="str">
        <f>IFERROR(VLOOKUP(C3125,DATA!#REF!,2,FALSE),"")</f>
        <v/>
      </c>
    </row>
    <row r="3126" spans="3:4" s="237" customFormat="1">
      <c r="C3126" s="16" t="str">
        <f>IFERROR(VLOOKUP(DATA!#REF!,DATA!#REF!,1,FALSE),"")</f>
        <v/>
      </c>
      <c r="D3126" s="16" t="str">
        <f>IFERROR(VLOOKUP(C3126,DATA!#REF!,2,FALSE),"")</f>
        <v/>
      </c>
    </row>
    <row r="3127" spans="3:4" s="237" customFormat="1">
      <c r="C3127" s="16" t="str">
        <f>IFERROR(VLOOKUP(DATA!#REF!,DATA!#REF!,1,FALSE),"")</f>
        <v/>
      </c>
      <c r="D3127" s="16" t="str">
        <f>IFERROR(VLOOKUP(C3127,DATA!#REF!,2,FALSE),"")</f>
        <v/>
      </c>
    </row>
    <row r="3128" spans="3:4" s="237" customFormat="1">
      <c r="C3128" s="16" t="str">
        <f>IFERROR(VLOOKUP(DATA!#REF!,DATA!#REF!,1,FALSE),"")</f>
        <v/>
      </c>
      <c r="D3128" s="16" t="str">
        <f>IFERROR(VLOOKUP(C3128,DATA!#REF!,2,FALSE),"")</f>
        <v/>
      </c>
    </row>
    <row r="3129" spans="3:4" s="237" customFormat="1">
      <c r="C3129" s="16" t="str">
        <f>IFERROR(VLOOKUP(DATA!#REF!,DATA!#REF!,1,FALSE),"")</f>
        <v/>
      </c>
      <c r="D3129" s="16" t="str">
        <f>IFERROR(VLOOKUP(C3129,DATA!#REF!,2,FALSE),"")</f>
        <v/>
      </c>
    </row>
    <row r="3130" spans="3:4" s="237" customFormat="1">
      <c r="C3130" s="16" t="str">
        <f>IFERROR(VLOOKUP(DATA!#REF!,DATA!#REF!,1,FALSE),"")</f>
        <v/>
      </c>
      <c r="D3130" s="16" t="str">
        <f>IFERROR(VLOOKUP(C3130,DATA!#REF!,2,FALSE),"")</f>
        <v/>
      </c>
    </row>
    <row r="3131" spans="3:4" s="237" customFormat="1">
      <c r="C3131" s="16" t="str">
        <f>IFERROR(VLOOKUP(DATA!#REF!,DATA!#REF!,1,FALSE),"")</f>
        <v/>
      </c>
      <c r="D3131" s="16" t="str">
        <f>IFERROR(VLOOKUP(C3131,DATA!#REF!,2,FALSE),"")</f>
        <v/>
      </c>
    </row>
    <row r="3132" spans="3:4" s="237" customFormat="1">
      <c r="C3132" s="16" t="str">
        <f>IFERROR(VLOOKUP(DATA!#REF!,DATA!#REF!,1,FALSE),"")</f>
        <v/>
      </c>
      <c r="D3132" s="16" t="str">
        <f>IFERROR(VLOOKUP(C3132,DATA!#REF!,2,FALSE),"")</f>
        <v/>
      </c>
    </row>
    <row r="3133" spans="3:4" s="237" customFormat="1">
      <c r="C3133" s="16" t="str">
        <f>IFERROR(VLOOKUP(DATA!#REF!,DATA!#REF!,1,FALSE),"")</f>
        <v/>
      </c>
      <c r="D3133" s="16" t="str">
        <f>IFERROR(VLOOKUP(C3133,DATA!#REF!,2,FALSE),"")</f>
        <v/>
      </c>
    </row>
    <row r="3134" spans="3:4" s="237" customFormat="1">
      <c r="C3134" s="16" t="str">
        <f>IFERROR(VLOOKUP(DATA!#REF!,DATA!#REF!,1,FALSE),"")</f>
        <v/>
      </c>
      <c r="D3134" s="16" t="str">
        <f>IFERROR(VLOOKUP(C3134,DATA!#REF!,2,FALSE),"")</f>
        <v/>
      </c>
    </row>
    <row r="3135" spans="3:4" s="237" customFormat="1">
      <c r="C3135" s="16" t="str">
        <f>IFERROR(VLOOKUP(DATA!#REF!,DATA!#REF!,1,FALSE),"")</f>
        <v/>
      </c>
      <c r="D3135" s="16" t="str">
        <f>IFERROR(VLOOKUP(C3135,DATA!#REF!,2,FALSE),"")</f>
        <v/>
      </c>
    </row>
    <row r="3136" spans="3:4" s="237" customFormat="1">
      <c r="C3136" s="16" t="str">
        <f>IFERROR(VLOOKUP(DATA!#REF!,DATA!#REF!,1,FALSE),"")</f>
        <v/>
      </c>
      <c r="D3136" s="16" t="str">
        <f>IFERROR(VLOOKUP(C3136,DATA!#REF!,2,FALSE),"")</f>
        <v/>
      </c>
    </row>
    <row r="3137" spans="3:4" s="237" customFormat="1">
      <c r="C3137" s="16" t="str">
        <f>IFERROR(VLOOKUP(DATA!#REF!,DATA!#REF!,1,FALSE),"")</f>
        <v/>
      </c>
      <c r="D3137" s="16" t="str">
        <f>IFERROR(VLOOKUP(C3137,DATA!#REF!,2,FALSE),"")</f>
        <v/>
      </c>
    </row>
    <row r="3138" spans="3:4" s="237" customFormat="1">
      <c r="C3138" s="16" t="str">
        <f>IFERROR(VLOOKUP(DATA!#REF!,DATA!#REF!,1,FALSE),"")</f>
        <v/>
      </c>
      <c r="D3138" s="16" t="str">
        <f>IFERROR(VLOOKUP(C3138,DATA!#REF!,2,FALSE),"")</f>
        <v/>
      </c>
    </row>
    <row r="3139" spans="3:4" s="237" customFormat="1">
      <c r="C3139" s="16" t="str">
        <f>IFERROR(VLOOKUP(DATA!#REF!,DATA!#REF!,1,FALSE),"")</f>
        <v/>
      </c>
      <c r="D3139" s="16" t="str">
        <f>IFERROR(VLOOKUP(C3139,DATA!#REF!,2,FALSE),"")</f>
        <v/>
      </c>
    </row>
    <row r="3140" spans="3:4" s="237" customFormat="1">
      <c r="C3140" s="16" t="str">
        <f>IFERROR(VLOOKUP(DATA!#REF!,DATA!#REF!,1,FALSE),"")</f>
        <v/>
      </c>
      <c r="D3140" s="16" t="str">
        <f>IFERROR(VLOOKUP(C3140,DATA!#REF!,2,FALSE),"")</f>
        <v/>
      </c>
    </row>
    <row r="3141" spans="3:4" s="237" customFormat="1">
      <c r="C3141" s="16" t="str">
        <f>IFERROR(VLOOKUP(DATA!#REF!,DATA!#REF!,1,FALSE),"")</f>
        <v/>
      </c>
      <c r="D3141" s="16" t="str">
        <f>IFERROR(VLOOKUP(C3141,DATA!#REF!,2,FALSE),"")</f>
        <v/>
      </c>
    </row>
    <row r="3142" spans="3:4" s="237" customFormat="1">
      <c r="C3142" s="16" t="str">
        <f>IFERROR(VLOOKUP(DATA!#REF!,DATA!#REF!,1,FALSE),"")</f>
        <v/>
      </c>
      <c r="D3142" s="16" t="str">
        <f>IFERROR(VLOOKUP(C3142,DATA!#REF!,2,FALSE),"")</f>
        <v/>
      </c>
    </row>
    <row r="3143" spans="3:4" s="237" customFormat="1">
      <c r="C3143" s="16" t="str">
        <f>IFERROR(VLOOKUP(DATA!#REF!,DATA!#REF!,1,FALSE),"")</f>
        <v/>
      </c>
      <c r="D3143" s="16" t="str">
        <f>IFERROR(VLOOKUP(C3143,DATA!#REF!,2,FALSE),"")</f>
        <v/>
      </c>
    </row>
    <row r="3144" spans="3:4" s="237" customFormat="1">
      <c r="C3144" s="16" t="str">
        <f>IFERROR(VLOOKUP(DATA!#REF!,DATA!#REF!,1,FALSE),"")</f>
        <v/>
      </c>
      <c r="D3144" s="16" t="str">
        <f>IFERROR(VLOOKUP(C3144,DATA!#REF!,2,FALSE),"")</f>
        <v/>
      </c>
    </row>
    <row r="3145" spans="3:4" s="237" customFormat="1">
      <c r="C3145" s="16" t="str">
        <f>IFERROR(VLOOKUP(DATA!#REF!,DATA!#REF!,1,FALSE),"")</f>
        <v/>
      </c>
      <c r="D3145" s="16" t="str">
        <f>IFERROR(VLOOKUP(C3145,DATA!#REF!,2,FALSE),"")</f>
        <v/>
      </c>
    </row>
    <row r="3146" spans="3:4" s="237" customFormat="1">
      <c r="C3146" s="16" t="str">
        <f>IFERROR(VLOOKUP(DATA!#REF!,DATA!#REF!,1,FALSE),"")</f>
        <v/>
      </c>
      <c r="D3146" s="16" t="str">
        <f>IFERROR(VLOOKUP(C3146,DATA!#REF!,2,FALSE),"")</f>
        <v/>
      </c>
    </row>
    <row r="3147" spans="3:4" s="237" customFormat="1">
      <c r="C3147" s="16" t="str">
        <f>IFERROR(VLOOKUP(DATA!#REF!,DATA!#REF!,1,FALSE),"")</f>
        <v/>
      </c>
      <c r="D3147" s="16" t="str">
        <f>IFERROR(VLOOKUP(C3147,DATA!#REF!,2,FALSE),"")</f>
        <v/>
      </c>
    </row>
    <row r="3148" spans="3:4" s="237" customFormat="1">
      <c r="C3148" s="16" t="str">
        <f>IFERROR(VLOOKUP(DATA!#REF!,DATA!#REF!,1,FALSE),"")</f>
        <v/>
      </c>
      <c r="D3148" s="16" t="str">
        <f>IFERROR(VLOOKUP(C3148,DATA!#REF!,2,FALSE),"")</f>
        <v/>
      </c>
    </row>
    <row r="3149" spans="3:4" s="237" customFormat="1">
      <c r="C3149" s="16" t="str">
        <f>IFERROR(VLOOKUP(DATA!#REF!,DATA!#REF!,1,FALSE),"")</f>
        <v/>
      </c>
      <c r="D3149" s="16" t="str">
        <f>IFERROR(VLOOKUP(C3149,DATA!#REF!,2,FALSE),"")</f>
        <v/>
      </c>
    </row>
    <row r="3150" spans="3:4" s="237" customFormat="1">
      <c r="C3150" s="16" t="str">
        <f>IFERROR(VLOOKUP(DATA!#REF!,DATA!#REF!,1,FALSE),"")</f>
        <v/>
      </c>
      <c r="D3150" s="16" t="str">
        <f>IFERROR(VLOOKUP(C3150,DATA!#REF!,2,FALSE),"")</f>
        <v/>
      </c>
    </row>
    <row r="3151" spans="3:4" s="237" customFormat="1">
      <c r="C3151" s="16" t="str">
        <f>IFERROR(VLOOKUP(DATA!#REF!,DATA!#REF!,1,FALSE),"")</f>
        <v/>
      </c>
      <c r="D3151" s="16" t="str">
        <f>IFERROR(VLOOKUP(C3151,DATA!#REF!,2,FALSE),"")</f>
        <v/>
      </c>
    </row>
    <row r="3152" spans="3:4" s="237" customFormat="1">
      <c r="C3152" s="16" t="str">
        <f>IFERROR(VLOOKUP(DATA!#REF!,DATA!#REF!,1,FALSE),"")</f>
        <v/>
      </c>
      <c r="D3152" s="16" t="str">
        <f>IFERROR(VLOOKUP(C3152,DATA!#REF!,2,FALSE),"")</f>
        <v/>
      </c>
    </row>
    <row r="3153" spans="3:4" s="237" customFormat="1">
      <c r="C3153" s="16" t="str">
        <f>IFERROR(VLOOKUP(DATA!#REF!,DATA!#REF!,1,FALSE),"")</f>
        <v/>
      </c>
      <c r="D3153" s="16" t="str">
        <f>IFERROR(VLOOKUP(C3153,DATA!#REF!,2,FALSE),"")</f>
        <v/>
      </c>
    </row>
    <row r="3154" spans="3:4" s="237" customFormat="1">
      <c r="C3154" s="16" t="str">
        <f>IFERROR(VLOOKUP(DATA!#REF!,DATA!#REF!,1,FALSE),"")</f>
        <v/>
      </c>
      <c r="D3154" s="16" t="str">
        <f>IFERROR(VLOOKUP(C3154,DATA!#REF!,2,FALSE),"")</f>
        <v/>
      </c>
    </row>
    <row r="3155" spans="3:4" s="237" customFormat="1">
      <c r="C3155" s="16" t="str">
        <f>IFERROR(VLOOKUP(DATA!#REF!,DATA!#REF!,1,FALSE),"")</f>
        <v/>
      </c>
      <c r="D3155" s="16" t="str">
        <f>IFERROR(VLOOKUP(C3155,DATA!#REF!,2,FALSE),"")</f>
        <v/>
      </c>
    </row>
    <row r="3156" spans="3:4" s="237" customFormat="1">
      <c r="C3156" s="16" t="str">
        <f>IFERROR(VLOOKUP(DATA!#REF!,DATA!#REF!,1,FALSE),"")</f>
        <v/>
      </c>
      <c r="D3156" s="16" t="str">
        <f>IFERROR(VLOOKUP(C3156,DATA!#REF!,2,FALSE),"")</f>
        <v/>
      </c>
    </row>
    <row r="3157" spans="3:4" s="237" customFormat="1">
      <c r="C3157" s="16" t="str">
        <f>IFERROR(VLOOKUP(DATA!#REF!,DATA!#REF!,1,FALSE),"")</f>
        <v/>
      </c>
      <c r="D3157" s="16" t="str">
        <f>IFERROR(VLOOKUP(C3157,DATA!#REF!,2,FALSE),"")</f>
        <v/>
      </c>
    </row>
    <row r="3158" spans="3:4" s="237" customFormat="1">
      <c r="C3158" s="16" t="str">
        <f>IFERROR(VLOOKUP(DATA!#REF!,DATA!#REF!,1,FALSE),"")</f>
        <v/>
      </c>
      <c r="D3158" s="16" t="str">
        <f>IFERROR(VLOOKUP(C3158,DATA!#REF!,2,FALSE),"")</f>
        <v/>
      </c>
    </row>
    <row r="3159" spans="3:4" s="237" customFormat="1">
      <c r="C3159" s="16" t="str">
        <f>IFERROR(VLOOKUP(DATA!#REF!,DATA!#REF!,1,FALSE),"")</f>
        <v/>
      </c>
      <c r="D3159" s="16" t="str">
        <f>IFERROR(VLOOKUP(C3159,DATA!#REF!,2,FALSE),"")</f>
        <v/>
      </c>
    </row>
    <row r="3160" spans="3:4" s="237" customFormat="1">
      <c r="C3160" s="16" t="str">
        <f>IFERROR(VLOOKUP(DATA!#REF!,DATA!#REF!,1,FALSE),"")</f>
        <v/>
      </c>
      <c r="D3160" s="16" t="str">
        <f>IFERROR(VLOOKUP(C3160,DATA!#REF!,2,FALSE),"")</f>
        <v/>
      </c>
    </row>
    <row r="3161" spans="3:4" s="237" customFormat="1">
      <c r="C3161" s="16" t="str">
        <f>IFERROR(VLOOKUP(DATA!#REF!,DATA!#REF!,1,FALSE),"")</f>
        <v/>
      </c>
      <c r="D3161" s="16" t="str">
        <f>IFERROR(VLOOKUP(C3161,DATA!#REF!,2,FALSE),"")</f>
        <v/>
      </c>
    </row>
    <row r="3162" spans="3:4" s="237" customFormat="1">
      <c r="C3162" s="16" t="str">
        <f>IFERROR(VLOOKUP(DATA!#REF!,DATA!#REF!,1,FALSE),"")</f>
        <v/>
      </c>
      <c r="D3162" s="16" t="str">
        <f>IFERROR(VLOOKUP(C3162,DATA!#REF!,2,FALSE),"")</f>
        <v/>
      </c>
    </row>
    <row r="3163" spans="3:4" s="237" customFormat="1">
      <c r="C3163" s="16" t="str">
        <f>IFERROR(VLOOKUP(DATA!#REF!,DATA!#REF!,1,FALSE),"")</f>
        <v/>
      </c>
      <c r="D3163" s="16" t="str">
        <f>IFERROR(VLOOKUP(C3163,DATA!#REF!,2,FALSE),"")</f>
        <v/>
      </c>
    </row>
    <row r="3164" spans="3:4" s="237" customFormat="1">
      <c r="C3164" s="16" t="str">
        <f>IFERROR(VLOOKUP(DATA!#REF!,DATA!#REF!,1,FALSE),"")</f>
        <v/>
      </c>
      <c r="D3164" s="16" t="str">
        <f>IFERROR(VLOOKUP(C3164,DATA!#REF!,2,FALSE),"")</f>
        <v/>
      </c>
    </row>
    <row r="3165" spans="3:4" s="237" customFormat="1">
      <c r="C3165" s="16" t="str">
        <f>IFERROR(VLOOKUP(DATA!#REF!,DATA!#REF!,1,FALSE),"")</f>
        <v/>
      </c>
      <c r="D3165" s="16" t="str">
        <f>IFERROR(VLOOKUP(C3165,DATA!#REF!,2,FALSE),"")</f>
        <v/>
      </c>
    </row>
    <row r="3166" spans="3:4" s="237" customFormat="1">
      <c r="C3166" s="16" t="str">
        <f>IFERROR(VLOOKUP(DATA!#REF!,DATA!#REF!,1,FALSE),"")</f>
        <v/>
      </c>
      <c r="D3166" s="16" t="str">
        <f>IFERROR(VLOOKUP(C3166,DATA!#REF!,2,FALSE),"")</f>
        <v/>
      </c>
    </row>
    <row r="3167" spans="3:4" s="237" customFormat="1">
      <c r="C3167" s="16" t="str">
        <f>IFERROR(VLOOKUP(DATA!#REF!,DATA!#REF!,1,FALSE),"")</f>
        <v/>
      </c>
      <c r="D3167" s="16" t="str">
        <f>IFERROR(VLOOKUP(C3167,DATA!#REF!,2,FALSE),"")</f>
        <v/>
      </c>
    </row>
    <row r="3168" spans="3:4" s="237" customFormat="1">
      <c r="C3168" s="16" t="str">
        <f>IFERROR(VLOOKUP(DATA!#REF!,DATA!#REF!,1,FALSE),"")</f>
        <v/>
      </c>
      <c r="D3168" s="16" t="str">
        <f>IFERROR(VLOOKUP(C3168,DATA!#REF!,2,FALSE),"")</f>
        <v/>
      </c>
    </row>
    <row r="3169" spans="3:4" s="237" customFormat="1">
      <c r="C3169" s="16" t="str">
        <f>IFERROR(VLOOKUP(DATA!#REF!,DATA!#REF!,1,FALSE),"")</f>
        <v/>
      </c>
      <c r="D3169" s="16" t="str">
        <f>IFERROR(VLOOKUP(C3169,DATA!#REF!,2,FALSE),"")</f>
        <v/>
      </c>
    </row>
    <row r="3170" spans="3:4" s="237" customFormat="1">
      <c r="C3170" s="16" t="str">
        <f>IFERROR(VLOOKUP(DATA!#REF!,DATA!#REF!,1,FALSE),"")</f>
        <v/>
      </c>
      <c r="D3170" s="16" t="str">
        <f>IFERROR(VLOOKUP(C3170,DATA!#REF!,2,FALSE),"")</f>
        <v/>
      </c>
    </row>
    <row r="3171" spans="3:4" s="237" customFormat="1">
      <c r="C3171" s="16" t="str">
        <f>IFERROR(VLOOKUP(DATA!#REF!,DATA!#REF!,1,FALSE),"")</f>
        <v/>
      </c>
      <c r="D3171" s="16" t="str">
        <f>IFERROR(VLOOKUP(C3171,DATA!#REF!,2,FALSE),"")</f>
        <v/>
      </c>
    </row>
    <row r="3172" spans="3:4" s="237" customFormat="1">
      <c r="C3172" s="16" t="str">
        <f>IFERROR(VLOOKUP(DATA!#REF!,DATA!#REF!,1,FALSE),"")</f>
        <v/>
      </c>
      <c r="D3172" s="16" t="str">
        <f>IFERROR(VLOOKUP(C3172,DATA!#REF!,2,FALSE),"")</f>
        <v/>
      </c>
    </row>
    <row r="3173" spans="3:4" s="237" customFormat="1">
      <c r="C3173" s="16" t="str">
        <f>IFERROR(VLOOKUP(DATA!#REF!,DATA!#REF!,1,FALSE),"")</f>
        <v/>
      </c>
      <c r="D3173" s="16" t="str">
        <f>IFERROR(VLOOKUP(C3173,DATA!#REF!,2,FALSE),"")</f>
        <v/>
      </c>
    </row>
    <row r="3174" spans="3:4" s="237" customFormat="1">
      <c r="C3174" s="16" t="str">
        <f>IFERROR(VLOOKUP(DATA!#REF!,DATA!#REF!,1,FALSE),"")</f>
        <v/>
      </c>
      <c r="D3174" s="16" t="str">
        <f>IFERROR(VLOOKUP(C3174,DATA!#REF!,2,FALSE),"")</f>
        <v/>
      </c>
    </row>
    <row r="3175" spans="3:4" s="237" customFormat="1">
      <c r="C3175" s="16" t="str">
        <f>IFERROR(VLOOKUP(DATA!#REF!,DATA!#REF!,1,FALSE),"")</f>
        <v/>
      </c>
      <c r="D3175" s="16" t="str">
        <f>IFERROR(VLOOKUP(C3175,DATA!#REF!,2,FALSE),"")</f>
        <v/>
      </c>
    </row>
    <row r="3176" spans="3:4" s="237" customFormat="1">
      <c r="C3176" s="16" t="str">
        <f>IFERROR(VLOOKUP(DATA!#REF!,DATA!#REF!,1,FALSE),"")</f>
        <v/>
      </c>
      <c r="D3176" s="16" t="str">
        <f>IFERROR(VLOOKUP(C3176,DATA!#REF!,2,FALSE),"")</f>
        <v/>
      </c>
    </row>
    <row r="3177" spans="3:4" s="237" customFormat="1">
      <c r="C3177" s="16" t="str">
        <f>IFERROR(VLOOKUP(DATA!#REF!,DATA!#REF!,1,FALSE),"")</f>
        <v/>
      </c>
      <c r="D3177" s="16" t="str">
        <f>IFERROR(VLOOKUP(C3177,DATA!#REF!,2,FALSE),"")</f>
        <v/>
      </c>
    </row>
    <row r="3178" spans="3:4" s="237" customFormat="1">
      <c r="C3178" s="16" t="str">
        <f>IFERROR(VLOOKUP(DATA!#REF!,DATA!#REF!,1,FALSE),"")</f>
        <v/>
      </c>
      <c r="D3178" s="16" t="str">
        <f>IFERROR(VLOOKUP(C3178,DATA!#REF!,2,FALSE),"")</f>
        <v/>
      </c>
    </row>
    <row r="3179" spans="3:4" s="237" customFormat="1">
      <c r="C3179" s="16" t="str">
        <f>IFERROR(VLOOKUP(DATA!#REF!,DATA!#REF!,1,FALSE),"")</f>
        <v/>
      </c>
      <c r="D3179" s="16" t="str">
        <f>IFERROR(VLOOKUP(C3179,DATA!#REF!,2,FALSE),"")</f>
        <v/>
      </c>
    </row>
    <row r="3180" spans="3:4" s="237" customFormat="1">
      <c r="C3180" s="16" t="str">
        <f>IFERROR(VLOOKUP(DATA!#REF!,DATA!#REF!,1,FALSE),"")</f>
        <v/>
      </c>
      <c r="D3180" s="16" t="str">
        <f>IFERROR(VLOOKUP(C3180,DATA!#REF!,2,FALSE),"")</f>
        <v/>
      </c>
    </row>
    <row r="3181" spans="3:4" s="237" customFormat="1">
      <c r="C3181" s="16" t="str">
        <f>IFERROR(VLOOKUP(DATA!#REF!,DATA!#REF!,1,FALSE),"")</f>
        <v/>
      </c>
      <c r="D3181" s="16" t="str">
        <f>IFERROR(VLOOKUP(C3181,DATA!#REF!,2,FALSE),"")</f>
        <v/>
      </c>
    </row>
    <row r="3182" spans="3:4" s="237" customFormat="1">
      <c r="C3182" s="16" t="str">
        <f>IFERROR(VLOOKUP(DATA!#REF!,DATA!#REF!,1,FALSE),"")</f>
        <v/>
      </c>
      <c r="D3182" s="16" t="str">
        <f>IFERROR(VLOOKUP(C3182,DATA!#REF!,2,FALSE),"")</f>
        <v/>
      </c>
    </row>
    <row r="3183" spans="3:4" s="237" customFormat="1">
      <c r="C3183" s="16" t="str">
        <f>IFERROR(VLOOKUP(DATA!#REF!,DATA!#REF!,1,FALSE),"")</f>
        <v/>
      </c>
      <c r="D3183" s="16" t="str">
        <f>IFERROR(VLOOKUP(C3183,DATA!#REF!,2,FALSE),"")</f>
        <v/>
      </c>
    </row>
    <row r="3184" spans="3:4" s="237" customFormat="1">
      <c r="C3184" s="16" t="str">
        <f>IFERROR(VLOOKUP(DATA!#REF!,DATA!#REF!,1,FALSE),"")</f>
        <v/>
      </c>
      <c r="D3184" s="16" t="str">
        <f>IFERROR(VLOOKUP(C3184,DATA!#REF!,2,FALSE),"")</f>
        <v/>
      </c>
    </row>
    <row r="3185" spans="3:4" s="237" customFormat="1">
      <c r="C3185" s="16" t="str">
        <f>IFERROR(VLOOKUP(DATA!#REF!,DATA!#REF!,1,FALSE),"")</f>
        <v/>
      </c>
      <c r="D3185" s="16" t="str">
        <f>IFERROR(VLOOKUP(C3185,DATA!#REF!,2,FALSE),"")</f>
        <v/>
      </c>
    </row>
    <row r="3186" spans="3:4" s="237" customFormat="1">
      <c r="C3186" s="16" t="str">
        <f>IFERROR(VLOOKUP(DATA!#REF!,DATA!#REF!,1,FALSE),"")</f>
        <v/>
      </c>
      <c r="D3186" s="16" t="str">
        <f>IFERROR(VLOOKUP(C3186,DATA!#REF!,2,FALSE),"")</f>
        <v/>
      </c>
    </row>
    <row r="3187" spans="3:4" s="237" customFormat="1">
      <c r="C3187" s="16" t="str">
        <f>IFERROR(VLOOKUP(DATA!#REF!,DATA!#REF!,1,FALSE),"")</f>
        <v/>
      </c>
      <c r="D3187" s="16" t="str">
        <f>IFERROR(VLOOKUP(C3187,DATA!#REF!,2,FALSE),"")</f>
        <v/>
      </c>
    </row>
    <row r="3188" spans="3:4" s="237" customFormat="1">
      <c r="C3188" s="16" t="str">
        <f>IFERROR(VLOOKUP(DATA!#REF!,DATA!#REF!,1,FALSE),"")</f>
        <v/>
      </c>
      <c r="D3188" s="16" t="str">
        <f>IFERROR(VLOOKUP(C3188,DATA!#REF!,2,FALSE),"")</f>
        <v/>
      </c>
    </row>
    <row r="3189" spans="3:4" s="237" customFormat="1">
      <c r="C3189" s="16" t="str">
        <f>IFERROR(VLOOKUP(DATA!#REF!,DATA!#REF!,1,FALSE),"")</f>
        <v/>
      </c>
      <c r="D3189" s="16" t="str">
        <f>IFERROR(VLOOKUP(C3189,DATA!#REF!,2,FALSE),"")</f>
        <v/>
      </c>
    </row>
    <row r="3190" spans="3:4" s="237" customFormat="1">
      <c r="C3190" s="16" t="str">
        <f>IFERROR(VLOOKUP(DATA!#REF!,DATA!#REF!,1,FALSE),"")</f>
        <v/>
      </c>
      <c r="D3190" s="16" t="str">
        <f>IFERROR(VLOOKUP(C3190,DATA!#REF!,2,FALSE),"")</f>
        <v/>
      </c>
    </row>
    <row r="3191" spans="3:4" s="237" customFormat="1">
      <c r="C3191" s="16" t="str">
        <f>IFERROR(VLOOKUP(DATA!#REF!,DATA!#REF!,1,FALSE),"")</f>
        <v/>
      </c>
      <c r="D3191" s="16" t="str">
        <f>IFERROR(VLOOKUP(C3191,DATA!#REF!,2,FALSE),"")</f>
        <v/>
      </c>
    </row>
    <row r="3192" spans="3:4" s="237" customFormat="1">
      <c r="C3192" s="16" t="str">
        <f>IFERROR(VLOOKUP(DATA!#REF!,DATA!#REF!,1,FALSE),"")</f>
        <v/>
      </c>
      <c r="D3192" s="16" t="str">
        <f>IFERROR(VLOOKUP(C3192,DATA!#REF!,2,FALSE),"")</f>
        <v/>
      </c>
    </row>
    <row r="3193" spans="3:4" s="237" customFormat="1">
      <c r="C3193" s="16" t="str">
        <f>IFERROR(VLOOKUP(DATA!#REF!,DATA!#REF!,1,FALSE),"")</f>
        <v/>
      </c>
      <c r="D3193" s="16" t="str">
        <f>IFERROR(VLOOKUP(C3193,DATA!#REF!,2,FALSE),"")</f>
        <v/>
      </c>
    </row>
    <row r="3194" spans="3:4" s="237" customFormat="1">
      <c r="C3194" s="16" t="str">
        <f>IFERROR(VLOOKUP(DATA!#REF!,DATA!#REF!,1,FALSE),"")</f>
        <v/>
      </c>
      <c r="D3194" s="16" t="str">
        <f>IFERROR(VLOOKUP(C3194,DATA!#REF!,2,FALSE),"")</f>
        <v/>
      </c>
    </row>
    <row r="3195" spans="3:4" s="237" customFormat="1">
      <c r="C3195" s="16" t="str">
        <f>IFERROR(VLOOKUP(DATA!#REF!,DATA!#REF!,1,FALSE),"")</f>
        <v/>
      </c>
      <c r="D3195" s="16" t="str">
        <f>IFERROR(VLOOKUP(C3195,DATA!#REF!,2,FALSE),"")</f>
        <v/>
      </c>
    </row>
    <row r="3196" spans="3:4" s="237" customFormat="1">
      <c r="C3196" s="16" t="str">
        <f>IFERROR(VLOOKUP(DATA!#REF!,DATA!#REF!,1,FALSE),"")</f>
        <v/>
      </c>
      <c r="D3196" s="16" t="str">
        <f>IFERROR(VLOOKUP(C3196,DATA!#REF!,2,FALSE),"")</f>
        <v/>
      </c>
    </row>
    <row r="3197" spans="3:4" s="237" customFormat="1">
      <c r="C3197" s="16" t="str">
        <f>IFERROR(VLOOKUP(DATA!#REF!,DATA!#REF!,1,FALSE),"")</f>
        <v/>
      </c>
      <c r="D3197" s="16" t="str">
        <f>IFERROR(VLOOKUP(C3197,DATA!#REF!,2,FALSE),"")</f>
        <v/>
      </c>
    </row>
    <row r="3198" spans="3:4" s="237" customFormat="1">
      <c r="C3198" s="16" t="str">
        <f>IFERROR(VLOOKUP(DATA!#REF!,DATA!#REF!,1,FALSE),"")</f>
        <v/>
      </c>
      <c r="D3198" s="16" t="str">
        <f>IFERROR(VLOOKUP(C3198,DATA!#REF!,2,FALSE),"")</f>
        <v/>
      </c>
    </row>
    <row r="3199" spans="3:4" s="237" customFormat="1">
      <c r="C3199" s="16" t="str">
        <f>IFERROR(VLOOKUP(DATA!#REF!,DATA!#REF!,1,FALSE),"")</f>
        <v/>
      </c>
      <c r="D3199" s="16" t="str">
        <f>IFERROR(VLOOKUP(C3199,DATA!#REF!,2,FALSE),"")</f>
        <v/>
      </c>
    </row>
    <row r="3200" spans="3:4" s="237" customFormat="1">
      <c r="C3200" s="16" t="str">
        <f>IFERROR(VLOOKUP(DATA!#REF!,DATA!#REF!,1,FALSE),"")</f>
        <v/>
      </c>
      <c r="D3200" s="16" t="str">
        <f>IFERROR(VLOOKUP(C3200,DATA!#REF!,2,FALSE),"")</f>
        <v/>
      </c>
    </row>
    <row r="3201" spans="3:4" s="237" customFormat="1">
      <c r="C3201" s="16" t="str">
        <f>IFERROR(VLOOKUP(DATA!#REF!,DATA!#REF!,1,FALSE),"")</f>
        <v/>
      </c>
      <c r="D3201" s="16" t="str">
        <f>IFERROR(VLOOKUP(C3201,DATA!#REF!,2,FALSE),"")</f>
        <v/>
      </c>
    </row>
    <row r="3202" spans="3:4" s="237" customFormat="1">
      <c r="C3202" s="16" t="str">
        <f>IFERROR(VLOOKUP(DATA!#REF!,DATA!#REF!,1,FALSE),"")</f>
        <v/>
      </c>
      <c r="D3202" s="16" t="str">
        <f>IFERROR(VLOOKUP(C3202,DATA!#REF!,2,FALSE),"")</f>
        <v/>
      </c>
    </row>
    <row r="3203" spans="3:4" s="237" customFormat="1">
      <c r="C3203" s="16" t="str">
        <f>IFERROR(VLOOKUP(DATA!#REF!,DATA!#REF!,1,FALSE),"")</f>
        <v/>
      </c>
      <c r="D3203" s="16" t="str">
        <f>IFERROR(VLOOKUP(C3203,DATA!#REF!,2,FALSE),"")</f>
        <v/>
      </c>
    </row>
    <row r="3204" spans="3:4" s="237" customFormat="1">
      <c r="C3204" s="16" t="str">
        <f>IFERROR(VLOOKUP(DATA!#REF!,DATA!#REF!,1,FALSE),"")</f>
        <v/>
      </c>
      <c r="D3204" s="16" t="str">
        <f>IFERROR(VLOOKUP(C3204,DATA!#REF!,2,FALSE),"")</f>
        <v/>
      </c>
    </row>
    <row r="3205" spans="3:4" s="237" customFormat="1">
      <c r="C3205" s="16" t="str">
        <f>IFERROR(VLOOKUP(DATA!#REF!,DATA!#REF!,1,FALSE),"")</f>
        <v/>
      </c>
      <c r="D3205" s="16" t="str">
        <f>IFERROR(VLOOKUP(C3205,DATA!#REF!,2,FALSE),"")</f>
        <v/>
      </c>
    </row>
    <row r="3206" spans="3:4" s="237" customFormat="1">
      <c r="C3206" s="16" t="str">
        <f>IFERROR(VLOOKUP(DATA!#REF!,DATA!#REF!,1,FALSE),"")</f>
        <v/>
      </c>
      <c r="D3206" s="16" t="str">
        <f>IFERROR(VLOOKUP(C3206,DATA!#REF!,2,FALSE),"")</f>
        <v/>
      </c>
    </row>
    <row r="3207" spans="3:4" s="237" customFormat="1">
      <c r="C3207" s="16" t="str">
        <f>IFERROR(VLOOKUP(DATA!#REF!,DATA!#REF!,1,FALSE),"")</f>
        <v/>
      </c>
      <c r="D3207" s="16" t="str">
        <f>IFERROR(VLOOKUP(C3207,DATA!#REF!,2,FALSE),"")</f>
        <v/>
      </c>
    </row>
    <row r="3208" spans="3:4" s="237" customFormat="1">
      <c r="C3208" s="16" t="str">
        <f>IFERROR(VLOOKUP(DATA!#REF!,DATA!#REF!,1,FALSE),"")</f>
        <v/>
      </c>
      <c r="D3208" s="16" t="str">
        <f>IFERROR(VLOOKUP(C3208,DATA!#REF!,2,FALSE),"")</f>
        <v/>
      </c>
    </row>
    <row r="3209" spans="3:4" s="237" customFormat="1">
      <c r="C3209" s="16" t="str">
        <f>IFERROR(VLOOKUP(DATA!#REF!,DATA!#REF!,1,FALSE),"")</f>
        <v/>
      </c>
      <c r="D3209" s="16" t="str">
        <f>IFERROR(VLOOKUP(C3209,DATA!#REF!,2,FALSE),"")</f>
        <v/>
      </c>
    </row>
    <row r="3210" spans="3:4" s="237" customFormat="1">
      <c r="C3210" s="16" t="str">
        <f>IFERROR(VLOOKUP(DATA!#REF!,DATA!#REF!,1,FALSE),"")</f>
        <v/>
      </c>
      <c r="D3210" s="16" t="str">
        <f>IFERROR(VLOOKUP(C3210,DATA!#REF!,2,FALSE),"")</f>
        <v/>
      </c>
    </row>
    <row r="3211" spans="3:4" s="237" customFormat="1">
      <c r="C3211" s="16" t="str">
        <f>IFERROR(VLOOKUP(DATA!#REF!,DATA!#REF!,1,FALSE),"")</f>
        <v/>
      </c>
      <c r="D3211" s="16" t="str">
        <f>IFERROR(VLOOKUP(C3211,DATA!#REF!,2,FALSE),"")</f>
        <v/>
      </c>
    </row>
    <row r="3212" spans="3:4" s="237" customFormat="1">
      <c r="C3212" s="16" t="str">
        <f>IFERROR(VLOOKUP(DATA!#REF!,DATA!#REF!,1,FALSE),"")</f>
        <v/>
      </c>
      <c r="D3212" s="16" t="str">
        <f>IFERROR(VLOOKUP(C3212,DATA!#REF!,2,FALSE),"")</f>
        <v/>
      </c>
    </row>
    <row r="3213" spans="3:4" s="237" customFormat="1">
      <c r="C3213" s="16" t="str">
        <f>IFERROR(VLOOKUP(DATA!#REF!,DATA!#REF!,1,FALSE),"")</f>
        <v/>
      </c>
      <c r="D3213" s="16" t="str">
        <f>IFERROR(VLOOKUP(C3213,DATA!#REF!,2,FALSE),"")</f>
        <v/>
      </c>
    </row>
    <row r="3214" spans="3:4" s="237" customFormat="1">
      <c r="C3214" s="16" t="str">
        <f>IFERROR(VLOOKUP(DATA!#REF!,DATA!#REF!,1,FALSE),"")</f>
        <v/>
      </c>
      <c r="D3214" s="16" t="str">
        <f>IFERROR(VLOOKUP(C3214,DATA!#REF!,2,FALSE),"")</f>
        <v/>
      </c>
    </row>
    <row r="3215" spans="3:4" s="237" customFormat="1">
      <c r="C3215" s="16" t="str">
        <f>IFERROR(VLOOKUP(DATA!#REF!,DATA!#REF!,1,FALSE),"")</f>
        <v/>
      </c>
      <c r="D3215" s="16" t="str">
        <f>IFERROR(VLOOKUP(C3215,DATA!#REF!,2,FALSE),"")</f>
        <v/>
      </c>
    </row>
    <row r="3216" spans="3:4" s="237" customFormat="1">
      <c r="C3216" s="16" t="str">
        <f>IFERROR(VLOOKUP(DATA!#REF!,DATA!#REF!,1,FALSE),"")</f>
        <v/>
      </c>
      <c r="D3216" s="16" t="str">
        <f>IFERROR(VLOOKUP(C3216,DATA!#REF!,2,FALSE),"")</f>
        <v/>
      </c>
    </row>
    <row r="3217" spans="3:4" s="237" customFormat="1">
      <c r="C3217" s="16" t="str">
        <f>IFERROR(VLOOKUP(DATA!#REF!,DATA!#REF!,1,FALSE),"")</f>
        <v/>
      </c>
      <c r="D3217" s="16" t="str">
        <f>IFERROR(VLOOKUP(C3217,DATA!#REF!,2,FALSE),"")</f>
        <v/>
      </c>
    </row>
    <row r="3218" spans="3:4" s="237" customFormat="1">
      <c r="C3218" s="16" t="str">
        <f>IFERROR(VLOOKUP(DATA!#REF!,DATA!#REF!,1,FALSE),"")</f>
        <v/>
      </c>
      <c r="D3218" s="16" t="str">
        <f>IFERROR(VLOOKUP(C3218,DATA!#REF!,2,FALSE),"")</f>
        <v/>
      </c>
    </row>
    <row r="3219" spans="3:4" s="237" customFormat="1">
      <c r="C3219" s="16" t="str">
        <f>IFERROR(VLOOKUP(DATA!#REF!,DATA!#REF!,1,FALSE),"")</f>
        <v/>
      </c>
      <c r="D3219" s="16" t="str">
        <f>IFERROR(VLOOKUP(C3219,DATA!#REF!,2,FALSE),"")</f>
        <v/>
      </c>
    </row>
    <row r="3220" spans="3:4" s="237" customFormat="1">
      <c r="C3220" s="16" t="str">
        <f>IFERROR(VLOOKUP(DATA!#REF!,DATA!#REF!,1,FALSE),"")</f>
        <v/>
      </c>
      <c r="D3220" s="16" t="str">
        <f>IFERROR(VLOOKUP(C3220,DATA!#REF!,2,FALSE),"")</f>
        <v/>
      </c>
    </row>
    <row r="3221" spans="3:4" s="237" customFormat="1">
      <c r="C3221" s="16" t="str">
        <f>IFERROR(VLOOKUP(DATA!#REF!,DATA!#REF!,1,FALSE),"")</f>
        <v/>
      </c>
      <c r="D3221" s="16" t="str">
        <f>IFERROR(VLOOKUP(C3221,DATA!#REF!,2,FALSE),"")</f>
        <v/>
      </c>
    </row>
    <row r="3222" spans="3:4" s="237" customFormat="1">
      <c r="C3222" s="16" t="str">
        <f>IFERROR(VLOOKUP(DATA!#REF!,DATA!#REF!,1,FALSE),"")</f>
        <v/>
      </c>
      <c r="D3222" s="16" t="str">
        <f>IFERROR(VLOOKUP(C3222,DATA!#REF!,2,FALSE),"")</f>
        <v/>
      </c>
    </row>
    <row r="3223" spans="3:4" s="237" customFormat="1">
      <c r="C3223" s="16" t="str">
        <f>IFERROR(VLOOKUP(DATA!#REF!,DATA!#REF!,1,FALSE),"")</f>
        <v/>
      </c>
      <c r="D3223" s="16" t="str">
        <f>IFERROR(VLOOKUP(C3223,DATA!#REF!,2,FALSE),"")</f>
        <v/>
      </c>
    </row>
    <row r="3224" spans="3:4" s="237" customFormat="1">
      <c r="C3224" s="16" t="str">
        <f>IFERROR(VLOOKUP(DATA!#REF!,DATA!#REF!,1,FALSE),"")</f>
        <v/>
      </c>
      <c r="D3224" s="16" t="str">
        <f>IFERROR(VLOOKUP(C3224,DATA!#REF!,2,FALSE),"")</f>
        <v/>
      </c>
    </row>
    <row r="3225" spans="3:4" s="237" customFormat="1">
      <c r="C3225" s="16" t="str">
        <f>IFERROR(VLOOKUP(DATA!#REF!,DATA!#REF!,1,FALSE),"")</f>
        <v/>
      </c>
      <c r="D3225" s="16" t="str">
        <f>IFERROR(VLOOKUP(C3225,DATA!#REF!,2,FALSE),"")</f>
        <v/>
      </c>
    </row>
    <row r="3226" spans="3:4" s="237" customFormat="1">
      <c r="C3226" s="16" t="str">
        <f>IFERROR(VLOOKUP(DATA!#REF!,DATA!#REF!,1,FALSE),"")</f>
        <v/>
      </c>
      <c r="D3226" s="16" t="str">
        <f>IFERROR(VLOOKUP(C3226,DATA!#REF!,2,FALSE),"")</f>
        <v/>
      </c>
    </row>
    <row r="3227" spans="3:4" s="237" customFormat="1">
      <c r="C3227" s="16" t="str">
        <f>IFERROR(VLOOKUP(DATA!#REF!,DATA!#REF!,1,FALSE),"")</f>
        <v/>
      </c>
      <c r="D3227" s="16" t="str">
        <f>IFERROR(VLOOKUP(C3227,DATA!#REF!,2,FALSE),"")</f>
        <v/>
      </c>
    </row>
    <row r="3228" spans="3:4" s="237" customFormat="1">
      <c r="C3228" s="16" t="str">
        <f>IFERROR(VLOOKUP(DATA!#REF!,DATA!#REF!,1,FALSE),"")</f>
        <v/>
      </c>
      <c r="D3228" s="16" t="str">
        <f>IFERROR(VLOOKUP(C3228,DATA!#REF!,2,FALSE),"")</f>
        <v/>
      </c>
    </row>
    <row r="3229" spans="3:4" s="237" customFormat="1">
      <c r="C3229" s="16" t="str">
        <f>IFERROR(VLOOKUP(DATA!#REF!,DATA!#REF!,1,FALSE),"")</f>
        <v/>
      </c>
      <c r="D3229" s="16" t="str">
        <f>IFERROR(VLOOKUP(C3229,DATA!#REF!,2,FALSE),"")</f>
        <v/>
      </c>
    </row>
    <row r="3230" spans="3:4" s="237" customFormat="1">
      <c r="C3230" s="16" t="str">
        <f>IFERROR(VLOOKUP(DATA!#REF!,DATA!#REF!,1,FALSE),"")</f>
        <v/>
      </c>
      <c r="D3230" s="16" t="str">
        <f>IFERROR(VLOOKUP(C3230,DATA!#REF!,2,FALSE),"")</f>
        <v/>
      </c>
    </row>
    <row r="3231" spans="3:4" s="237" customFormat="1">
      <c r="C3231" s="16" t="str">
        <f>IFERROR(VLOOKUP(DATA!#REF!,DATA!#REF!,1,FALSE),"")</f>
        <v/>
      </c>
      <c r="D3231" s="16" t="str">
        <f>IFERROR(VLOOKUP(C3231,DATA!#REF!,2,FALSE),"")</f>
        <v/>
      </c>
    </row>
    <row r="3232" spans="3:4" s="237" customFormat="1">
      <c r="C3232" s="16" t="str">
        <f>IFERROR(VLOOKUP(DATA!#REF!,DATA!#REF!,1,FALSE),"")</f>
        <v/>
      </c>
      <c r="D3232" s="16" t="str">
        <f>IFERROR(VLOOKUP(C3232,DATA!#REF!,2,FALSE),"")</f>
        <v/>
      </c>
    </row>
    <row r="3233" spans="3:4" s="237" customFormat="1">
      <c r="C3233" s="16" t="str">
        <f>IFERROR(VLOOKUP(DATA!#REF!,DATA!#REF!,1,FALSE),"")</f>
        <v/>
      </c>
      <c r="D3233" s="16" t="str">
        <f>IFERROR(VLOOKUP(C3233,DATA!#REF!,2,FALSE),"")</f>
        <v/>
      </c>
    </row>
    <row r="3234" spans="3:4" s="237" customFormat="1">
      <c r="C3234" s="16" t="str">
        <f>IFERROR(VLOOKUP(DATA!#REF!,DATA!#REF!,1,FALSE),"")</f>
        <v/>
      </c>
      <c r="D3234" s="16" t="str">
        <f>IFERROR(VLOOKUP(C3234,DATA!#REF!,2,FALSE),"")</f>
        <v/>
      </c>
    </row>
    <row r="3235" spans="3:4" s="237" customFormat="1">
      <c r="C3235" s="16" t="str">
        <f>IFERROR(VLOOKUP(DATA!#REF!,DATA!#REF!,1,FALSE),"")</f>
        <v/>
      </c>
      <c r="D3235" s="16" t="str">
        <f>IFERROR(VLOOKUP(C3235,DATA!#REF!,2,FALSE),"")</f>
        <v/>
      </c>
    </row>
    <row r="3236" spans="3:4" s="237" customFormat="1">
      <c r="C3236" s="16" t="str">
        <f>IFERROR(VLOOKUP(DATA!#REF!,DATA!#REF!,1,FALSE),"")</f>
        <v/>
      </c>
      <c r="D3236" s="16" t="str">
        <f>IFERROR(VLOOKUP(C3236,DATA!#REF!,2,FALSE),"")</f>
        <v/>
      </c>
    </row>
    <row r="3237" spans="3:4" s="237" customFormat="1">
      <c r="C3237" s="16" t="str">
        <f>IFERROR(VLOOKUP(DATA!#REF!,DATA!#REF!,1,FALSE),"")</f>
        <v/>
      </c>
      <c r="D3237" s="16" t="str">
        <f>IFERROR(VLOOKUP(C3237,DATA!#REF!,2,FALSE),"")</f>
        <v/>
      </c>
    </row>
    <row r="3238" spans="3:4" s="237" customFormat="1">
      <c r="C3238" s="16" t="str">
        <f>IFERROR(VLOOKUP(DATA!#REF!,DATA!#REF!,1,FALSE),"")</f>
        <v/>
      </c>
      <c r="D3238" s="16" t="str">
        <f>IFERROR(VLOOKUP(C3238,DATA!#REF!,2,FALSE),"")</f>
        <v/>
      </c>
    </row>
    <row r="3239" spans="3:4" s="237" customFormat="1">
      <c r="C3239" s="16" t="str">
        <f>IFERROR(VLOOKUP(DATA!#REF!,DATA!#REF!,1,FALSE),"")</f>
        <v/>
      </c>
      <c r="D3239" s="16" t="str">
        <f>IFERROR(VLOOKUP(C3239,DATA!#REF!,2,FALSE),"")</f>
        <v/>
      </c>
    </row>
    <row r="3240" spans="3:4" s="237" customFormat="1">
      <c r="C3240" s="16" t="str">
        <f>IFERROR(VLOOKUP(DATA!#REF!,DATA!#REF!,1,FALSE),"")</f>
        <v/>
      </c>
      <c r="D3240" s="16" t="str">
        <f>IFERROR(VLOOKUP(C3240,DATA!#REF!,2,FALSE),"")</f>
        <v/>
      </c>
    </row>
    <row r="3241" spans="3:4" s="237" customFormat="1">
      <c r="C3241" s="16" t="str">
        <f>IFERROR(VLOOKUP(DATA!#REF!,DATA!#REF!,1,FALSE),"")</f>
        <v/>
      </c>
      <c r="D3241" s="16" t="str">
        <f>IFERROR(VLOOKUP(C3241,DATA!#REF!,2,FALSE),"")</f>
        <v/>
      </c>
    </row>
    <row r="3242" spans="3:4" s="237" customFormat="1">
      <c r="C3242" s="16" t="str">
        <f>IFERROR(VLOOKUP(DATA!#REF!,DATA!#REF!,1,FALSE),"")</f>
        <v/>
      </c>
      <c r="D3242" s="16" t="str">
        <f>IFERROR(VLOOKUP(C3242,DATA!#REF!,2,FALSE),"")</f>
        <v/>
      </c>
    </row>
    <row r="3243" spans="3:4" s="237" customFormat="1">
      <c r="C3243" s="16" t="str">
        <f>IFERROR(VLOOKUP(DATA!#REF!,DATA!#REF!,1,FALSE),"")</f>
        <v/>
      </c>
      <c r="D3243" s="16" t="str">
        <f>IFERROR(VLOOKUP(C3243,DATA!#REF!,2,FALSE),"")</f>
        <v/>
      </c>
    </row>
    <row r="3244" spans="3:4" s="237" customFormat="1">
      <c r="C3244" s="16" t="str">
        <f>IFERROR(VLOOKUP(DATA!#REF!,DATA!#REF!,1,FALSE),"")</f>
        <v/>
      </c>
      <c r="D3244" s="16" t="str">
        <f>IFERROR(VLOOKUP(C3244,DATA!#REF!,2,FALSE),"")</f>
        <v/>
      </c>
    </row>
    <row r="3245" spans="3:4" s="237" customFormat="1">
      <c r="C3245" s="16" t="str">
        <f>IFERROR(VLOOKUP(DATA!#REF!,DATA!#REF!,1,FALSE),"")</f>
        <v/>
      </c>
      <c r="D3245" s="16" t="str">
        <f>IFERROR(VLOOKUP(C3245,DATA!#REF!,2,FALSE),"")</f>
        <v/>
      </c>
    </row>
    <row r="3246" spans="3:4" s="237" customFormat="1">
      <c r="C3246" s="16" t="str">
        <f>IFERROR(VLOOKUP(DATA!#REF!,DATA!#REF!,1,FALSE),"")</f>
        <v/>
      </c>
      <c r="D3246" s="16" t="str">
        <f>IFERROR(VLOOKUP(C3246,DATA!#REF!,2,FALSE),"")</f>
        <v/>
      </c>
    </row>
    <row r="3247" spans="3:4" s="237" customFormat="1">
      <c r="C3247" s="16" t="str">
        <f>IFERROR(VLOOKUP(DATA!#REF!,DATA!#REF!,1,FALSE),"")</f>
        <v/>
      </c>
      <c r="D3247" s="16" t="str">
        <f>IFERROR(VLOOKUP(C3247,DATA!#REF!,2,FALSE),"")</f>
        <v/>
      </c>
    </row>
    <row r="3248" spans="3:4" s="237" customFormat="1">
      <c r="C3248" s="16" t="str">
        <f>IFERROR(VLOOKUP(DATA!#REF!,DATA!#REF!,1,FALSE),"")</f>
        <v/>
      </c>
      <c r="D3248" s="16" t="str">
        <f>IFERROR(VLOOKUP(C3248,DATA!#REF!,2,FALSE),"")</f>
        <v/>
      </c>
    </row>
    <row r="3249" spans="3:4" s="237" customFormat="1">
      <c r="C3249" s="16" t="str">
        <f>IFERROR(VLOOKUP(DATA!#REF!,DATA!#REF!,1,FALSE),"")</f>
        <v/>
      </c>
      <c r="D3249" s="16" t="str">
        <f>IFERROR(VLOOKUP(C3249,DATA!#REF!,2,FALSE),"")</f>
        <v/>
      </c>
    </row>
    <row r="3250" spans="3:4" s="237" customFormat="1">
      <c r="C3250" s="16" t="str">
        <f>IFERROR(VLOOKUP(DATA!#REF!,DATA!#REF!,1,FALSE),"")</f>
        <v/>
      </c>
      <c r="D3250" s="16" t="str">
        <f>IFERROR(VLOOKUP(C3250,DATA!#REF!,2,FALSE),"")</f>
        <v/>
      </c>
    </row>
    <row r="3251" spans="3:4" s="237" customFormat="1">
      <c r="C3251" s="16" t="str">
        <f>IFERROR(VLOOKUP(DATA!#REF!,DATA!#REF!,1,FALSE),"")</f>
        <v/>
      </c>
      <c r="D3251" s="16" t="str">
        <f>IFERROR(VLOOKUP(C3251,DATA!#REF!,2,FALSE),"")</f>
        <v/>
      </c>
    </row>
    <row r="3252" spans="3:4" s="237" customFormat="1">
      <c r="C3252" s="16" t="str">
        <f>IFERROR(VLOOKUP(DATA!#REF!,DATA!#REF!,1,FALSE),"")</f>
        <v/>
      </c>
      <c r="D3252" s="16" t="str">
        <f>IFERROR(VLOOKUP(C3252,DATA!#REF!,2,FALSE),"")</f>
        <v/>
      </c>
    </row>
    <row r="3253" spans="3:4" s="237" customFormat="1">
      <c r="C3253" s="16" t="str">
        <f>IFERROR(VLOOKUP(DATA!#REF!,DATA!#REF!,1,FALSE),"")</f>
        <v/>
      </c>
      <c r="D3253" s="16" t="str">
        <f>IFERROR(VLOOKUP(C3253,DATA!#REF!,2,FALSE),"")</f>
        <v/>
      </c>
    </row>
    <row r="3254" spans="3:4" s="237" customFormat="1">
      <c r="C3254" s="16" t="str">
        <f>IFERROR(VLOOKUP(DATA!#REF!,DATA!#REF!,1,FALSE),"")</f>
        <v/>
      </c>
      <c r="D3254" s="16" t="str">
        <f>IFERROR(VLOOKUP(C3254,DATA!#REF!,2,FALSE),"")</f>
        <v/>
      </c>
    </row>
    <row r="3255" spans="3:4" s="237" customFormat="1">
      <c r="C3255" s="16" t="str">
        <f>IFERROR(VLOOKUP(DATA!#REF!,DATA!#REF!,1,FALSE),"")</f>
        <v/>
      </c>
      <c r="D3255" s="16" t="str">
        <f>IFERROR(VLOOKUP(C3255,DATA!#REF!,2,FALSE),"")</f>
        <v/>
      </c>
    </row>
    <row r="3256" spans="3:4" s="237" customFormat="1">
      <c r="C3256" s="16" t="str">
        <f>IFERROR(VLOOKUP(DATA!#REF!,DATA!#REF!,1,FALSE),"")</f>
        <v/>
      </c>
      <c r="D3256" s="16" t="str">
        <f>IFERROR(VLOOKUP(C3256,DATA!#REF!,2,FALSE),"")</f>
        <v/>
      </c>
    </row>
    <row r="3257" spans="3:4" s="237" customFormat="1">
      <c r="C3257" s="16" t="str">
        <f>IFERROR(VLOOKUP(DATA!#REF!,DATA!#REF!,1,FALSE),"")</f>
        <v/>
      </c>
      <c r="D3257" s="16" t="str">
        <f>IFERROR(VLOOKUP(C3257,DATA!#REF!,2,FALSE),"")</f>
        <v/>
      </c>
    </row>
    <row r="3258" spans="3:4" s="237" customFormat="1">
      <c r="C3258" s="16" t="str">
        <f>IFERROR(VLOOKUP(DATA!#REF!,DATA!#REF!,1,FALSE),"")</f>
        <v/>
      </c>
      <c r="D3258" s="16" t="str">
        <f>IFERROR(VLOOKUP(C3258,DATA!#REF!,2,FALSE),"")</f>
        <v/>
      </c>
    </row>
    <row r="3259" spans="3:4" s="237" customFormat="1">
      <c r="C3259" s="16" t="str">
        <f>IFERROR(VLOOKUP(DATA!#REF!,DATA!#REF!,1,FALSE),"")</f>
        <v/>
      </c>
      <c r="D3259" s="16" t="str">
        <f>IFERROR(VLOOKUP(C3259,DATA!#REF!,2,FALSE),"")</f>
        <v/>
      </c>
    </row>
    <row r="3260" spans="3:4" s="237" customFormat="1">
      <c r="C3260" s="16" t="str">
        <f>IFERROR(VLOOKUP(DATA!#REF!,DATA!#REF!,1,FALSE),"")</f>
        <v/>
      </c>
      <c r="D3260" s="16" t="str">
        <f>IFERROR(VLOOKUP(C3260,DATA!#REF!,2,FALSE),"")</f>
        <v/>
      </c>
    </row>
    <row r="3261" spans="3:4" s="237" customFormat="1">
      <c r="C3261" s="16" t="str">
        <f>IFERROR(VLOOKUP(DATA!#REF!,DATA!#REF!,1,FALSE),"")</f>
        <v/>
      </c>
      <c r="D3261" s="16" t="str">
        <f>IFERROR(VLOOKUP(C3261,DATA!#REF!,2,FALSE),"")</f>
        <v/>
      </c>
    </row>
    <row r="3262" spans="3:4" s="237" customFormat="1">
      <c r="C3262" s="16" t="str">
        <f>IFERROR(VLOOKUP(DATA!#REF!,DATA!#REF!,1,FALSE),"")</f>
        <v/>
      </c>
      <c r="D3262" s="16" t="str">
        <f>IFERROR(VLOOKUP(C3262,DATA!#REF!,2,FALSE),"")</f>
        <v/>
      </c>
    </row>
    <row r="3263" spans="3:4" s="237" customFormat="1">
      <c r="C3263" s="16" t="str">
        <f>IFERROR(VLOOKUP(DATA!#REF!,DATA!#REF!,1,FALSE),"")</f>
        <v/>
      </c>
      <c r="D3263" s="16" t="str">
        <f>IFERROR(VLOOKUP(C3263,DATA!#REF!,2,FALSE),"")</f>
        <v/>
      </c>
    </row>
    <row r="3264" spans="3:4" s="237" customFormat="1">
      <c r="C3264" s="16" t="str">
        <f>IFERROR(VLOOKUP(DATA!#REF!,DATA!#REF!,1,FALSE),"")</f>
        <v/>
      </c>
      <c r="D3264" s="16" t="str">
        <f>IFERROR(VLOOKUP(C3264,DATA!#REF!,2,FALSE),"")</f>
        <v/>
      </c>
    </row>
    <row r="3265" spans="3:4" s="237" customFormat="1">
      <c r="C3265" s="16" t="str">
        <f>IFERROR(VLOOKUP(DATA!#REF!,DATA!#REF!,1,FALSE),"")</f>
        <v/>
      </c>
      <c r="D3265" s="16" t="str">
        <f>IFERROR(VLOOKUP(C3265,DATA!#REF!,2,FALSE),"")</f>
        <v/>
      </c>
    </row>
    <row r="3266" spans="3:4" s="237" customFormat="1">
      <c r="C3266" s="16" t="str">
        <f>IFERROR(VLOOKUP(DATA!#REF!,DATA!#REF!,1,FALSE),"")</f>
        <v/>
      </c>
      <c r="D3266" s="16" t="str">
        <f>IFERROR(VLOOKUP(C3266,DATA!#REF!,2,FALSE),"")</f>
        <v/>
      </c>
    </row>
    <row r="3267" spans="3:4" s="237" customFormat="1">
      <c r="C3267" s="16" t="str">
        <f>IFERROR(VLOOKUP(DATA!#REF!,DATA!#REF!,1,FALSE),"")</f>
        <v/>
      </c>
      <c r="D3267" s="16" t="str">
        <f>IFERROR(VLOOKUP(C3267,DATA!#REF!,2,FALSE),"")</f>
        <v/>
      </c>
    </row>
    <row r="3268" spans="3:4" s="237" customFormat="1">
      <c r="C3268" s="16" t="str">
        <f>IFERROR(VLOOKUP(DATA!#REF!,DATA!#REF!,1,FALSE),"")</f>
        <v/>
      </c>
      <c r="D3268" s="16" t="str">
        <f>IFERROR(VLOOKUP(C3268,DATA!#REF!,2,FALSE),"")</f>
        <v/>
      </c>
    </row>
    <row r="3269" spans="3:4" s="237" customFormat="1">
      <c r="C3269" s="16" t="str">
        <f>IFERROR(VLOOKUP(DATA!#REF!,DATA!#REF!,1,FALSE),"")</f>
        <v/>
      </c>
      <c r="D3269" s="16" t="str">
        <f>IFERROR(VLOOKUP(C3269,DATA!#REF!,2,FALSE),"")</f>
        <v/>
      </c>
    </row>
    <row r="3270" spans="3:4" s="237" customFormat="1">
      <c r="C3270" s="16" t="str">
        <f>IFERROR(VLOOKUP(DATA!#REF!,DATA!#REF!,1,FALSE),"")</f>
        <v/>
      </c>
      <c r="D3270" s="16" t="str">
        <f>IFERROR(VLOOKUP(C3270,DATA!#REF!,2,FALSE),"")</f>
        <v/>
      </c>
    </row>
    <row r="3271" spans="3:4" s="237" customFormat="1">
      <c r="C3271" s="16" t="str">
        <f>IFERROR(VLOOKUP(DATA!#REF!,DATA!#REF!,1,FALSE),"")</f>
        <v/>
      </c>
      <c r="D3271" s="16" t="str">
        <f>IFERROR(VLOOKUP(C3271,DATA!#REF!,2,FALSE),"")</f>
        <v/>
      </c>
    </row>
    <row r="3272" spans="3:4" s="237" customFormat="1">
      <c r="C3272" s="16" t="str">
        <f>IFERROR(VLOOKUP(DATA!#REF!,DATA!#REF!,1,FALSE),"")</f>
        <v/>
      </c>
      <c r="D3272" s="16" t="str">
        <f>IFERROR(VLOOKUP(C3272,DATA!#REF!,2,FALSE),"")</f>
        <v/>
      </c>
    </row>
    <row r="3273" spans="3:4" s="237" customFormat="1">
      <c r="C3273" s="16" t="str">
        <f>IFERROR(VLOOKUP(DATA!#REF!,DATA!#REF!,1,FALSE),"")</f>
        <v/>
      </c>
      <c r="D3273" s="16" t="str">
        <f>IFERROR(VLOOKUP(C3273,DATA!#REF!,2,FALSE),"")</f>
        <v/>
      </c>
    </row>
    <row r="3274" spans="3:4" s="237" customFormat="1">
      <c r="C3274" s="16" t="str">
        <f>IFERROR(VLOOKUP(DATA!#REF!,DATA!#REF!,1,FALSE),"")</f>
        <v/>
      </c>
      <c r="D3274" s="16" t="str">
        <f>IFERROR(VLOOKUP(C3274,DATA!#REF!,2,FALSE),"")</f>
        <v/>
      </c>
    </row>
    <row r="3275" spans="3:4" s="237" customFormat="1">
      <c r="C3275" s="16" t="str">
        <f>IFERROR(VLOOKUP(DATA!#REF!,DATA!#REF!,1,FALSE),"")</f>
        <v/>
      </c>
      <c r="D3275" s="16" t="str">
        <f>IFERROR(VLOOKUP(C3275,DATA!#REF!,2,FALSE),"")</f>
        <v/>
      </c>
    </row>
    <row r="3276" spans="3:4" s="237" customFormat="1">
      <c r="C3276" s="16" t="str">
        <f>IFERROR(VLOOKUP(DATA!#REF!,DATA!#REF!,1,FALSE),"")</f>
        <v/>
      </c>
      <c r="D3276" s="16" t="str">
        <f>IFERROR(VLOOKUP(C3276,DATA!#REF!,2,FALSE),"")</f>
        <v/>
      </c>
    </row>
    <row r="3277" spans="3:4" s="237" customFormat="1">
      <c r="C3277" s="16" t="str">
        <f>IFERROR(VLOOKUP(DATA!#REF!,DATA!#REF!,1,FALSE),"")</f>
        <v/>
      </c>
      <c r="D3277" s="16" t="str">
        <f>IFERROR(VLOOKUP(C3277,DATA!#REF!,2,FALSE),"")</f>
        <v/>
      </c>
    </row>
    <row r="3278" spans="3:4" s="237" customFormat="1">
      <c r="C3278" s="16" t="str">
        <f>IFERROR(VLOOKUP(DATA!#REF!,DATA!#REF!,1,FALSE),"")</f>
        <v/>
      </c>
      <c r="D3278" s="16" t="str">
        <f>IFERROR(VLOOKUP(C3278,DATA!#REF!,2,FALSE),"")</f>
        <v/>
      </c>
    </row>
    <row r="3279" spans="3:4" s="237" customFormat="1">
      <c r="C3279" s="16" t="str">
        <f>IFERROR(VLOOKUP(DATA!#REF!,DATA!#REF!,1,FALSE),"")</f>
        <v/>
      </c>
      <c r="D3279" s="16" t="str">
        <f>IFERROR(VLOOKUP(C3279,DATA!#REF!,2,FALSE),"")</f>
        <v/>
      </c>
    </row>
    <row r="3280" spans="3:4" s="237" customFormat="1">
      <c r="C3280" s="16" t="str">
        <f>IFERROR(VLOOKUP(DATA!#REF!,DATA!#REF!,1,FALSE),"")</f>
        <v/>
      </c>
      <c r="D3280" s="16" t="str">
        <f>IFERROR(VLOOKUP(C3280,DATA!#REF!,2,FALSE),"")</f>
        <v/>
      </c>
    </row>
    <row r="3281" spans="3:4" s="237" customFormat="1">
      <c r="C3281" s="16" t="str">
        <f>IFERROR(VLOOKUP(DATA!#REF!,DATA!#REF!,1,FALSE),"")</f>
        <v/>
      </c>
      <c r="D3281" s="16" t="str">
        <f>IFERROR(VLOOKUP(C3281,DATA!#REF!,2,FALSE),"")</f>
        <v/>
      </c>
    </row>
    <row r="3282" spans="3:4" s="237" customFormat="1">
      <c r="C3282" s="16" t="str">
        <f>IFERROR(VLOOKUP(DATA!#REF!,DATA!#REF!,1,FALSE),"")</f>
        <v/>
      </c>
      <c r="D3282" s="16" t="str">
        <f>IFERROR(VLOOKUP(C3282,DATA!#REF!,2,FALSE),"")</f>
        <v/>
      </c>
    </row>
    <row r="3283" spans="3:4" s="237" customFormat="1">
      <c r="C3283" s="16" t="str">
        <f>IFERROR(VLOOKUP(DATA!#REF!,DATA!#REF!,1,FALSE),"")</f>
        <v/>
      </c>
      <c r="D3283" s="16" t="str">
        <f>IFERROR(VLOOKUP(C3283,DATA!#REF!,2,FALSE),"")</f>
        <v/>
      </c>
    </row>
    <row r="3284" spans="3:4" s="237" customFormat="1">
      <c r="C3284" s="16" t="str">
        <f>IFERROR(VLOOKUP(DATA!#REF!,DATA!#REF!,1,FALSE),"")</f>
        <v/>
      </c>
      <c r="D3284" s="16" t="str">
        <f>IFERROR(VLOOKUP(C3284,DATA!#REF!,2,FALSE),"")</f>
        <v/>
      </c>
    </row>
    <row r="3285" spans="3:4" s="237" customFormat="1">
      <c r="C3285" s="16" t="str">
        <f>IFERROR(VLOOKUP(DATA!#REF!,DATA!#REF!,1,FALSE),"")</f>
        <v/>
      </c>
      <c r="D3285" s="16" t="str">
        <f>IFERROR(VLOOKUP(C3285,DATA!#REF!,2,FALSE),"")</f>
        <v/>
      </c>
    </row>
    <row r="3286" spans="3:4" s="237" customFormat="1">
      <c r="C3286" s="16" t="str">
        <f>IFERROR(VLOOKUP(DATA!#REF!,DATA!#REF!,1,FALSE),"")</f>
        <v/>
      </c>
      <c r="D3286" s="16" t="str">
        <f>IFERROR(VLOOKUP(C3286,DATA!#REF!,2,FALSE),"")</f>
        <v/>
      </c>
    </row>
    <row r="3287" spans="3:4" s="237" customFormat="1">
      <c r="C3287" s="16" t="str">
        <f>IFERROR(VLOOKUP(DATA!#REF!,DATA!#REF!,1,FALSE),"")</f>
        <v/>
      </c>
      <c r="D3287" s="16" t="str">
        <f>IFERROR(VLOOKUP(C3287,DATA!#REF!,2,FALSE),"")</f>
        <v/>
      </c>
    </row>
    <row r="3288" spans="3:4" s="237" customFormat="1">
      <c r="C3288" s="16" t="str">
        <f>IFERROR(VLOOKUP(DATA!#REF!,DATA!#REF!,1,FALSE),"")</f>
        <v/>
      </c>
      <c r="D3288" s="16" t="str">
        <f>IFERROR(VLOOKUP(C3288,DATA!#REF!,2,FALSE),"")</f>
        <v/>
      </c>
    </row>
    <row r="3289" spans="3:4" s="237" customFormat="1">
      <c r="C3289" s="16" t="str">
        <f>IFERROR(VLOOKUP(DATA!#REF!,DATA!#REF!,1,FALSE),"")</f>
        <v/>
      </c>
      <c r="D3289" s="16" t="str">
        <f>IFERROR(VLOOKUP(C3289,DATA!#REF!,2,FALSE),"")</f>
        <v/>
      </c>
    </row>
    <row r="3290" spans="3:4" s="237" customFormat="1">
      <c r="C3290" s="16" t="str">
        <f>IFERROR(VLOOKUP(DATA!#REF!,DATA!#REF!,1,FALSE),"")</f>
        <v/>
      </c>
      <c r="D3290" s="16" t="str">
        <f>IFERROR(VLOOKUP(C3290,DATA!#REF!,2,FALSE),"")</f>
        <v/>
      </c>
    </row>
    <row r="3291" spans="3:4" s="237" customFormat="1">
      <c r="C3291" s="16" t="str">
        <f>IFERROR(VLOOKUP(DATA!#REF!,DATA!#REF!,1,FALSE),"")</f>
        <v/>
      </c>
      <c r="D3291" s="16" t="str">
        <f>IFERROR(VLOOKUP(C3291,DATA!#REF!,2,FALSE),"")</f>
        <v/>
      </c>
    </row>
    <row r="3292" spans="3:4" s="237" customFormat="1">
      <c r="C3292" s="16" t="str">
        <f>IFERROR(VLOOKUP(DATA!#REF!,DATA!#REF!,1,FALSE),"")</f>
        <v/>
      </c>
      <c r="D3292" s="16" t="str">
        <f>IFERROR(VLOOKUP(C3292,DATA!#REF!,2,FALSE),"")</f>
        <v/>
      </c>
    </row>
    <row r="3293" spans="3:4" s="237" customFormat="1">
      <c r="C3293" s="16" t="str">
        <f>IFERROR(VLOOKUP(DATA!#REF!,DATA!#REF!,1,FALSE),"")</f>
        <v/>
      </c>
      <c r="D3293" s="16" t="str">
        <f>IFERROR(VLOOKUP(C3293,DATA!#REF!,2,FALSE),"")</f>
        <v/>
      </c>
    </row>
    <row r="3294" spans="3:4" s="237" customFormat="1">
      <c r="C3294" s="16" t="str">
        <f>IFERROR(VLOOKUP(DATA!#REF!,DATA!#REF!,1,FALSE),"")</f>
        <v/>
      </c>
      <c r="D3294" s="16" t="str">
        <f>IFERROR(VLOOKUP(C3294,DATA!#REF!,2,FALSE),"")</f>
        <v/>
      </c>
    </row>
    <row r="3295" spans="3:4" s="237" customFormat="1">
      <c r="C3295" s="16" t="str">
        <f>IFERROR(VLOOKUP(DATA!#REF!,DATA!#REF!,1,FALSE),"")</f>
        <v/>
      </c>
      <c r="D3295" s="16" t="str">
        <f>IFERROR(VLOOKUP(C3295,DATA!#REF!,2,FALSE),"")</f>
        <v/>
      </c>
    </row>
    <row r="3296" spans="3:4" s="237" customFormat="1">
      <c r="C3296" s="16" t="str">
        <f>IFERROR(VLOOKUP(DATA!#REF!,DATA!#REF!,1,FALSE),"")</f>
        <v/>
      </c>
      <c r="D3296" s="16" t="str">
        <f>IFERROR(VLOOKUP(C3296,DATA!#REF!,2,FALSE),"")</f>
        <v/>
      </c>
    </row>
    <row r="3297" spans="3:4" s="237" customFormat="1">
      <c r="C3297" s="16" t="str">
        <f>IFERROR(VLOOKUP(DATA!#REF!,DATA!#REF!,1,FALSE),"")</f>
        <v/>
      </c>
      <c r="D3297" s="16" t="str">
        <f>IFERROR(VLOOKUP(C3297,DATA!#REF!,2,FALSE),"")</f>
        <v/>
      </c>
    </row>
    <row r="3298" spans="3:4" s="237" customFormat="1">
      <c r="C3298" s="16" t="str">
        <f>IFERROR(VLOOKUP(DATA!#REF!,DATA!#REF!,1,FALSE),"")</f>
        <v/>
      </c>
      <c r="D3298" s="16" t="str">
        <f>IFERROR(VLOOKUP(C3298,DATA!#REF!,2,FALSE),"")</f>
        <v/>
      </c>
    </row>
    <row r="3299" spans="3:4" s="237" customFormat="1">
      <c r="C3299" s="16" t="str">
        <f>IFERROR(VLOOKUP(DATA!#REF!,DATA!#REF!,1,FALSE),"")</f>
        <v/>
      </c>
      <c r="D3299" s="16" t="str">
        <f>IFERROR(VLOOKUP(C3299,DATA!#REF!,2,FALSE),"")</f>
        <v/>
      </c>
    </row>
    <row r="3300" spans="3:4" s="237" customFormat="1">
      <c r="C3300" s="16" t="str">
        <f>IFERROR(VLOOKUP(DATA!#REF!,DATA!#REF!,1,FALSE),"")</f>
        <v/>
      </c>
      <c r="D3300" s="16" t="str">
        <f>IFERROR(VLOOKUP(C3300,DATA!#REF!,2,FALSE),"")</f>
        <v/>
      </c>
    </row>
    <row r="3301" spans="3:4" s="237" customFormat="1">
      <c r="C3301" s="16" t="str">
        <f>IFERROR(VLOOKUP(DATA!#REF!,DATA!#REF!,1,FALSE),"")</f>
        <v/>
      </c>
      <c r="D3301" s="16" t="str">
        <f>IFERROR(VLOOKUP(C3301,DATA!#REF!,2,FALSE),"")</f>
        <v/>
      </c>
    </row>
    <row r="3302" spans="3:4" s="237" customFormat="1">
      <c r="C3302" s="16" t="str">
        <f>IFERROR(VLOOKUP(DATA!#REF!,DATA!#REF!,1,FALSE),"")</f>
        <v/>
      </c>
      <c r="D3302" s="16" t="str">
        <f>IFERROR(VLOOKUP(C3302,DATA!#REF!,2,FALSE),"")</f>
        <v/>
      </c>
    </row>
    <row r="3303" spans="3:4" s="237" customFormat="1">
      <c r="C3303" s="16" t="str">
        <f>IFERROR(VLOOKUP(DATA!#REF!,DATA!#REF!,1,FALSE),"")</f>
        <v/>
      </c>
      <c r="D3303" s="16" t="str">
        <f>IFERROR(VLOOKUP(C3303,DATA!#REF!,2,FALSE),"")</f>
        <v/>
      </c>
    </row>
    <row r="3304" spans="3:4" s="237" customFormat="1">
      <c r="C3304" s="16" t="str">
        <f>IFERROR(VLOOKUP(DATA!#REF!,DATA!#REF!,1,FALSE),"")</f>
        <v/>
      </c>
      <c r="D3304" s="16" t="str">
        <f>IFERROR(VLOOKUP(C3304,DATA!#REF!,2,FALSE),"")</f>
        <v/>
      </c>
    </row>
    <row r="3305" spans="3:4" s="237" customFormat="1">
      <c r="C3305" s="16" t="str">
        <f>IFERROR(VLOOKUP(DATA!#REF!,DATA!#REF!,1,FALSE),"")</f>
        <v/>
      </c>
      <c r="D3305" s="16" t="str">
        <f>IFERROR(VLOOKUP(C3305,DATA!#REF!,2,FALSE),"")</f>
        <v/>
      </c>
    </row>
    <row r="3306" spans="3:4" s="237" customFormat="1">
      <c r="C3306" s="16" t="str">
        <f>IFERROR(VLOOKUP(DATA!#REF!,DATA!#REF!,1,FALSE),"")</f>
        <v/>
      </c>
      <c r="D3306" s="16" t="str">
        <f>IFERROR(VLOOKUP(C3306,DATA!#REF!,2,FALSE),"")</f>
        <v/>
      </c>
    </row>
    <row r="3307" spans="3:4" s="237" customFormat="1">
      <c r="C3307" s="16" t="str">
        <f>IFERROR(VLOOKUP(DATA!#REF!,DATA!#REF!,1,FALSE),"")</f>
        <v/>
      </c>
      <c r="D3307" s="16" t="str">
        <f>IFERROR(VLOOKUP(C3307,DATA!#REF!,2,FALSE),"")</f>
        <v/>
      </c>
    </row>
    <row r="3308" spans="3:4" s="237" customFormat="1">
      <c r="C3308" s="16" t="str">
        <f>IFERROR(VLOOKUP(DATA!#REF!,DATA!#REF!,1,FALSE),"")</f>
        <v/>
      </c>
      <c r="D3308" s="16" t="str">
        <f>IFERROR(VLOOKUP(C3308,DATA!#REF!,2,FALSE),"")</f>
        <v/>
      </c>
    </row>
    <row r="3309" spans="3:4" s="237" customFormat="1">
      <c r="C3309" s="16" t="str">
        <f>IFERROR(VLOOKUP(DATA!#REF!,DATA!#REF!,1,FALSE),"")</f>
        <v/>
      </c>
      <c r="D3309" s="16" t="str">
        <f>IFERROR(VLOOKUP(C3309,DATA!#REF!,2,FALSE),"")</f>
        <v/>
      </c>
    </row>
    <row r="3310" spans="3:4" s="237" customFormat="1">
      <c r="C3310" s="16" t="str">
        <f>IFERROR(VLOOKUP(DATA!#REF!,DATA!#REF!,1,FALSE),"")</f>
        <v/>
      </c>
      <c r="D3310" s="16" t="str">
        <f>IFERROR(VLOOKUP(C3310,DATA!#REF!,2,FALSE),"")</f>
        <v/>
      </c>
    </row>
    <row r="3311" spans="3:4" s="237" customFormat="1">
      <c r="C3311" s="16" t="str">
        <f>IFERROR(VLOOKUP(DATA!#REF!,DATA!#REF!,1,FALSE),"")</f>
        <v/>
      </c>
      <c r="D3311" s="16" t="str">
        <f>IFERROR(VLOOKUP(C3311,DATA!#REF!,2,FALSE),"")</f>
        <v/>
      </c>
    </row>
    <row r="3312" spans="3:4" s="237" customFormat="1">
      <c r="C3312" s="16" t="str">
        <f>IFERROR(VLOOKUP(DATA!#REF!,DATA!#REF!,1,FALSE),"")</f>
        <v/>
      </c>
      <c r="D3312" s="16" t="str">
        <f>IFERROR(VLOOKUP(C3312,DATA!#REF!,2,FALSE),"")</f>
        <v/>
      </c>
    </row>
    <row r="3313" spans="3:4" s="237" customFormat="1">
      <c r="C3313" s="16" t="str">
        <f>IFERROR(VLOOKUP(DATA!#REF!,DATA!#REF!,1,FALSE),"")</f>
        <v/>
      </c>
      <c r="D3313" s="16" t="str">
        <f>IFERROR(VLOOKUP(C3313,DATA!#REF!,2,FALSE),"")</f>
        <v/>
      </c>
    </row>
    <row r="3314" spans="3:4" s="237" customFormat="1">
      <c r="C3314" s="16" t="str">
        <f>IFERROR(VLOOKUP(DATA!#REF!,DATA!#REF!,1,FALSE),"")</f>
        <v/>
      </c>
      <c r="D3314" s="16" t="str">
        <f>IFERROR(VLOOKUP(C3314,DATA!#REF!,2,FALSE),"")</f>
        <v/>
      </c>
    </row>
    <row r="3315" spans="3:4" s="237" customFormat="1">
      <c r="C3315" s="16" t="str">
        <f>IFERROR(VLOOKUP(DATA!#REF!,DATA!#REF!,1,FALSE),"")</f>
        <v/>
      </c>
      <c r="D3315" s="16" t="str">
        <f>IFERROR(VLOOKUP(C3315,DATA!#REF!,2,FALSE),"")</f>
        <v/>
      </c>
    </row>
    <row r="3316" spans="3:4" s="237" customFormat="1">
      <c r="C3316" s="16" t="str">
        <f>IFERROR(VLOOKUP(DATA!#REF!,DATA!#REF!,1,FALSE),"")</f>
        <v/>
      </c>
      <c r="D3316" s="16" t="str">
        <f>IFERROR(VLOOKUP(C3316,DATA!#REF!,2,FALSE),"")</f>
        <v/>
      </c>
    </row>
    <row r="3317" spans="3:4" s="237" customFormat="1">
      <c r="C3317" s="16" t="str">
        <f>IFERROR(VLOOKUP(DATA!#REF!,DATA!#REF!,1,FALSE),"")</f>
        <v/>
      </c>
      <c r="D3317" s="16" t="str">
        <f>IFERROR(VLOOKUP(C3317,DATA!#REF!,2,FALSE),"")</f>
        <v/>
      </c>
    </row>
    <row r="3318" spans="3:4" s="237" customFormat="1">
      <c r="C3318" s="16" t="str">
        <f>IFERROR(VLOOKUP(DATA!#REF!,DATA!#REF!,1,FALSE),"")</f>
        <v/>
      </c>
      <c r="D3318" s="16" t="str">
        <f>IFERROR(VLOOKUP(C3318,DATA!#REF!,2,FALSE),"")</f>
        <v/>
      </c>
    </row>
    <row r="3319" spans="3:4" s="237" customFormat="1">
      <c r="C3319" s="16" t="str">
        <f>IFERROR(VLOOKUP(DATA!#REF!,DATA!#REF!,1,FALSE),"")</f>
        <v/>
      </c>
      <c r="D3319" s="16" t="str">
        <f>IFERROR(VLOOKUP(C3319,DATA!#REF!,2,FALSE),"")</f>
        <v/>
      </c>
    </row>
    <row r="3320" spans="3:4" s="237" customFormat="1">
      <c r="C3320" s="16" t="str">
        <f>IFERROR(VLOOKUP(DATA!#REF!,DATA!#REF!,1,FALSE),"")</f>
        <v/>
      </c>
      <c r="D3320" s="16" t="str">
        <f>IFERROR(VLOOKUP(C3320,DATA!#REF!,2,FALSE),"")</f>
        <v/>
      </c>
    </row>
    <row r="3321" spans="3:4" s="237" customFormat="1">
      <c r="C3321" s="16" t="str">
        <f>IFERROR(VLOOKUP(DATA!#REF!,DATA!#REF!,1,FALSE),"")</f>
        <v/>
      </c>
      <c r="D3321" s="16" t="str">
        <f>IFERROR(VLOOKUP(C3321,DATA!#REF!,2,FALSE),"")</f>
        <v/>
      </c>
    </row>
    <row r="3322" spans="3:4" s="237" customFormat="1">
      <c r="C3322" s="16" t="str">
        <f>IFERROR(VLOOKUP(DATA!#REF!,DATA!#REF!,1,FALSE),"")</f>
        <v/>
      </c>
      <c r="D3322" s="16" t="str">
        <f>IFERROR(VLOOKUP(C3322,DATA!#REF!,2,FALSE),"")</f>
        <v/>
      </c>
    </row>
    <row r="3323" spans="3:4" s="237" customFormat="1">
      <c r="C3323" s="16" t="str">
        <f>IFERROR(VLOOKUP(DATA!#REF!,DATA!#REF!,1,FALSE),"")</f>
        <v/>
      </c>
      <c r="D3323" s="16" t="str">
        <f>IFERROR(VLOOKUP(C3323,DATA!#REF!,2,FALSE),"")</f>
        <v/>
      </c>
    </row>
    <row r="3324" spans="3:4" s="237" customFormat="1">
      <c r="C3324" s="16" t="str">
        <f>IFERROR(VLOOKUP(DATA!#REF!,DATA!#REF!,1,FALSE),"")</f>
        <v/>
      </c>
      <c r="D3324" s="16" t="str">
        <f>IFERROR(VLOOKUP(C3324,DATA!#REF!,2,FALSE),"")</f>
        <v/>
      </c>
    </row>
    <row r="3325" spans="3:4" s="237" customFormat="1">
      <c r="C3325" s="16" t="str">
        <f>IFERROR(VLOOKUP(DATA!#REF!,DATA!#REF!,1,FALSE),"")</f>
        <v/>
      </c>
      <c r="D3325" s="16" t="str">
        <f>IFERROR(VLOOKUP(C3325,DATA!#REF!,2,FALSE),"")</f>
        <v/>
      </c>
    </row>
    <row r="3326" spans="3:4" s="237" customFormat="1">
      <c r="C3326" s="16" t="str">
        <f>IFERROR(VLOOKUP(DATA!#REF!,DATA!#REF!,1,FALSE),"")</f>
        <v/>
      </c>
      <c r="D3326" s="16" t="str">
        <f>IFERROR(VLOOKUP(C3326,DATA!#REF!,2,FALSE),"")</f>
        <v/>
      </c>
    </row>
    <row r="3327" spans="3:4" s="237" customFormat="1">
      <c r="C3327" s="16" t="str">
        <f>IFERROR(VLOOKUP(DATA!#REF!,DATA!#REF!,1,FALSE),"")</f>
        <v/>
      </c>
      <c r="D3327" s="16" t="str">
        <f>IFERROR(VLOOKUP(C3327,DATA!#REF!,2,FALSE),"")</f>
        <v/>
      </c>
    </row>
    <row r="3328" spans="3:4" s="237" customFormat="1">
      <c r="C3328" s="16" t="str">
        <f>IFERROR(VLOOKUP(DATA!#REF!,DATA!#REF!,1,FALSE),"")</f>
        <v/>
      </c>
      <c r="D3328" s="16" t="str">
        <f>IFERROR(VLOOKUP(C3328,DATA!#REF!,2,FALSE),"")</f>
        <v/>
      </c>
    </row>
    <row r="3329" spans="3:4" s="237" customFormat="1">
      <c r="C3329" s="16" t="str">
        <f>IFERROR(VLOOKUP(DATA!#REF!,DATA!#REF!,1,FALSE),"")</f>
        <v/>
      </c>
      <c r="D3329" s="16" t="str">
        <f>IFERROR(VLOOKUP(C3329,DATA!#REF!,2,FALSE),"")</f>
        <v/>
      </c>
    </row>
    <row r="3330" spans="3:4" s="237" customFormat="1">
      <c r="C3330" s="16" t="str">
        <f>IFERROR(VLOOKUP(DATA!#REF!,DATA!#REF!,1,FALSE),"")</f>
        <v/>
      </c>
      <c r="D3330" s="16" t="str">
        <f>IFERROR(VLOOKUP(C3330,DATA!#REF!,2,FALSE),"")</f>
        <v/>
      </c>
    </row>
    <row r="3331" spans="3:4" s="237" customFormat="1">
      <c r="C3331" s="16" t="str">
        <f>IFERROR(VLOOKUP(DATA!#REF!,DATA!#REF!,1,FALSE),"")</f>
        <v/>
      </c>
      <c r="D3331" s="16" t="str">
        <f>IFERROR(VLOOKUP(C3331,DATA!#REF!,2,FALSE),"")</f>
        <v/>
      </c>
    </row>
    <row r="3332" spans="3:4" s="237" customFormat="1">
      <c r="C3332" s="16" t="str">
        <f>IFERROR(VLOOKUP(DATA!#REF!,DATA!#REF!,1,FALSE),"")</f>
        <v/>
      </c>
      <c r="D3332" s="16" t="str">
        <f>IFERROR(VLOOKUP(C3332,DATA!#REF!,2,FALSE),"")</f>
        <v/>
      </c>
    </row>
    <row r="3333" spans="3:4" s="237" customFormat="1">
      <c r="C3333" s="16" t="str">
        <f>IFERROR(VLOOKUP(DATA!#REF!,DATA!#REF!,1,FALSE),"")</f>
        <v/>
      </c>
      <c r="D3333" s="16" t="str">
        <f>IFERROR(VLOOKUP(C3333,DATA!#REF!,2,FALSE),"")</f>
        <v/>
      </c>
    </row>
    <row r="3334" spans="3:4" s="237" customFormat="1">
      <c r="C3334" s="16" t="str">
        <f>IFERROR(VLOOKUP(DATA!#REF!,DATA!#REF!,1,FALSE),"")</f>
        <v/>
      </c>
      <c r="D3334" s="16" t="str">
        <f>IFERROR(VLOOKUP(C3334,DATA!#REF!,2,FALSE),"")</f>
        <v/>
      </c>
    </row>
    <row r="3335" spans="3:4" s="237" customFormat="1">
      <c r="C3335" s="16" t="str">
        <f>IFERROR(VLOOKUP(DATA!#REF!,DATA!#REF!,1,FALSE),"")</f>
        <v/>
      </c>
      <c r="D3335" s="16" t="str">
        <f>IFERROR(VLOOKUP(C3335,DATA!#REF!,2,FALSE),"")</f>
        <v/>
      </c>
    </row>
    <row r="3336" spans="3:4" s="237" customFormat="1">
      <c r="C3336" s="16" t="str">
        <f>IFERROR(VLOOKUP(DATA!#REF!,DATA!#REF!,1,FALSE),"")</f>
        <v/>
      </c>
      <c r="D3336" s="16" t="str">
        <f>IFERROR(VLOOKUP(C3336,DATA!#REF!,2,FALSE),"")</f>
        <v/>
      </c>
    </row>
    <row r="3337" spans="3:4" s="237" customFormat="1">
      <c r="C3337" s="16" t="str">
        <f>IFERROR(VLOOKUP(DATA!#REF!,DATA!#REF!,1,FALSE),"")</f>
        <v/>
      </c>
      <c r="D3337" s="16" t="str">
        <f>IFERROR(VLOOKUP(C3337,DATA!#REF!,2,FALSE),"")</f>
        <v/>
      </c>
    </row>
    <row r="3338" spans="3:4" s="237" customFormat="1">
      <c r="C3338" s="16" t="str">
        <f>IFERROR(VLOOKUP(DATA!#REF!,DATA!#REF!,1,FALSE),"")</f>
        <v/>
      </c>
      <c r="D3338" s="16" t="str">
        <f>IFERROR(VLOOKUP(C3338,DATA!#REF!,2,FALSE),"")</f>
        <v/>
      </c>
    </row>
    <row r="3339" spans="3:4" s="237" customFormat="1">
      <c r="C3339" s="16" t="str">
        <f>IFERROR(VLOOKUP(DATA!#REF!,DATA!#REF!,1,FALSE),"")</f>
        <v/>
      </c>
      <c r="D3339" s="16" t="str">
        <f>IFERROR(VLOOKUP(C3339,DATA!#REF!,2,FALSE),"")</f>
        <v/>
      </c>
    </row>
    <row r="3340" spans="3:4" s="237" customFormat="1">
      <c r="C3340" s="16" t="str">
        <f>IFERROR(VLOOKUP(DATA!#REF!,DATA!#REF!,1,FALSE),"")</f>
        <v/>
      </c>
      <c r="D3340" s="16" t="str">
        <f>IFERROR(VLOOKUP(C3340,DATA!#REF!,2,FALSE),"")</f>
        <v/>
      </c>
    </row>
    <row r="3341" spans="3:4" s="237" customFormat="1">
      <c r="C3341" s="16" t="str">
        <f>IFERROR(VLOOKUP(DATA!#REF!,DATA!#REF!,1,FALSE),"")</f>
        <v/>
      </c>
      <c r="D3341" s="16" t="str">
        <f>IFERROR(VLOOKUP(C3341,DATA!#REF!,2,FALSE),"")</f>
        <v/>
      </c>
    </row>
    <row r="3342" spans="3:4" s="237" customFormat="1">
      <c r="C3342" s="16" t="str">
        <f>IFERROR(VLOOKUP(DATA!#REF!,DATA!#REF!,1,FALSE),"")</f>
        <v/>
      </c>
      <c r="D3342" s="16" t="str">
        <f>IFERROR(VLOOKUP(C3342,DATA!#REF!,2,FALSE),"")</f>
        <v/>
      </c>
    </row>
    <row r="3343" spans="3:4" s="237" customFormat="1">
      <c r="C3343" s="16" t="str">
        <f>IFERROR(VLOOKUP(DATA!#REF!,DATA!#REF!,1,FALSE),"")</f>
        <v/>
      </c>
      <c r="D3343" s="16" t="str">
        <f>IFERROR(VLOOKUP(C3343,DATA!#REF!,2,FALSE),"")</f>
        <v/>
      </c>
    </row>
    <row r="3344" spans="3:4" s="237" customFormat="1">
      <c r="C3344" s="16" t="str">
        <f>IFERROR(VLOOKUP(DATA!#REF!,DATA!#REF!,1,FALSE),"")</f>
        <v/>
      </c>
      <c r="D3344" s="16" t="str">
        <f>IFERROR(VLOOKUP(C3344,DATA!#REF!,2,FALSE),"")</f>
        <v/>
      </c>
    </row>
    <row r="3345" spans="3:4" s="237" customFormat="1">
      <c r="C3345" s="16" t="str">
        <f>IFERROR(VLOOKUP(DATA!#REF!,DATA!#REF!,1,FALSE),"")</f>
        <v/>
      </c>
      <c r="D3345" s="16" t="str">
        <f>IFERROR(VLOOKUP(C3345,DATA!#REF!,2,FALSE),"")</f>
        <v/>
      </c>
    </row>
    <row r="3346" spans="3:4" s="237" customFormat="1">
      <c r="C3346" s="16" t="str">
        <f>IFERROR(VLOOKUP(DATA!#REF!,DATA!#REF!,1,FALSE),"")</f>
        <v/>
      </c>
      <c r="D3346" s="16" t="str">
        <f>IFERROR(VLOOKUP(C3346,DATA!#REF!,2,FALSE),"")</f>
        <v/>
      </c>
    </row>
    <row r="3347" spans="3:4" s="237" customFormat="1">
      <c r="C3347" s="16" t="str">
        <f>IFERROR(VLOOKUP(DATA!#REF!,DATA!#REF!,1,FALSE),"")</f>
        <v/>
      </c>
      <c r="D3347" s="16" t="str">
        <f>IFERROR(VLOOKUP(C3347,DATA!#REF!,2,FALSE),"")</f>
        <v/>
      </c>
    </row>
    <row r="3348" spans="3:4" s="237" customFormat="1">
      <c r="C3348" s="16" t="str">
        <f>IFERROR(VLOOKUP(DATA!#REF!,DATA!#REF!,1,FALSE),"")</f>
        <v/>
      </c>
      <c r="D3348" s="16" t="str">
        <f>IFERROR(VLOOKUP(C3348,DATA!#REF!,2,FALSE),"")</f>
        <v/>
      </c>
    </row>
    <row r="3349" spans="3:4" s="237" customFormat="1">
      <c r="C3349" s="16" t="str">
        <f>IFERROR(VLOOKUP(DATA!#REF!,DATA!#REF!,1,FALSE),"")</f>
        <v/>
      </c>
      <c r="D3349" s="16" t="str">
        <f>IFERROR(VLOOKUP(C3349,DATA!#REF!,2,FALSE),"")</f>
        <v/>
      </c>
    </row>
    <row r="3350" spans="3:4" s="237" customFormat="1">
      <c r="C3350" s="16" t="str">
        <f>IFERROR(VLOOKUP(DATA!#REF!,DATA!#REF!,1,FALSE),"")</f>
        <v/>
      </c>
      <c r="D3350" s="16" t="str">
        <f>IFERROR(VLOOKUP(C3350,DATA!#REF!,2,FALSE),"")</f>
        <v/>
      </c>
    </row>
    <row r="3351" spans="3:4" s="237" customFormat="1">
      <c r="C3351" s="16" t="str">
        <f>IFERROR(VLOOKUP(DATA!#REF!,DATA!#REF!,1,FALSE),"")</f>
        <v/>
      </c>
      <c r="D3351" s="16" t="str">
        <f>IFERROR(VLOOKUP(C3351,DATA!#REF!,2,FALSE),"")</f>
        <v/>
      </c>
    </row>
    <row r="3352" spans="3:4" s="237" customFormat="1">
      <c r="C3352" s="16" t="str">
        <f>IFERROR(VLOOKUP(DATA!#REF!,DATA!#REF!,1,FALSE),"")</f>
        <v/>
      </c>
      <c r="D3352" s="16" t="str">
        <f>IFERROR(VLOOKUP(C3352,DATA!#REF!,2,FALSE),"")</f>
        <v/>
      </c>
    </row>
    <row r="3353" spans="3:4" s="237" customFormat="1">
      <c r="C3353" s="16" t="str">
        <f>IFERROR(VLOOKUP(DATA!#REF!,DATA!#REF!,1,FALSE),"")</f>
        <v/>
      </c>
      <c r="D3353" s="16" t="str">
        <f>IFERROR(VLOOKUP(C3353,DATA!#REF!,2,FALSE),"")</f>
        <v/>
      </c>
    </row>
    <row r="3354" spans="3:4" s="237" customFormat="1">
      <c r="C3354" s="16" t="str">
        <f>IFERROR(VLOOKUP(DATA!#REF!,DATA!#REF!,1,FALSE),"")</f>
        <v/>
      </c>
      <c r="D3354" s="16" t="str">
        <f>IFERROR(VLOOKUP(C3354,DATA!#REF!,2,FALSE),"")</f>
        <v/>
      </c>
    </row>
    <row r="3355" spans="3:4" s="237" customFormat="1">
      <c r="C3355" s="16" t="str">
        <f>IFERROR(VLOOKUP(DATA!#REF!,DATA!#REF!,1,FALSE),"")</f>
        <v/>
      </c>
      <c r="D3355" s="16" t="str">
        <f>IFERROR(VLOOKUP(C3355,DATA!#REF!,2,FALSE),"")</f>
        <v/>
      </c>
    </row>
    <row r="3356" spans="3:4" s="237" customFormat="1">
      <c r="C3356" s="16" t="str">
        <f>IFERROR(VLOOKUP(DATA!#REF!,DATA!#REF!,1,FALSE),"")</f>
        <v/>
      </c>
      <c r="D3356" s="16" t="str">
        <f>IFERROR(VLOOKUP(C3356,DATA!#REF!,2,FALSE),"")</f>
        <v/>
      </c>
    </row>
    <row r="3357" spans="3:4" s="237" customFormat="1">
      <c r="C3357" s="16" t="str">
        <f>IFERROR(VLOOKUP(DATA!#REF!,DATA!#REF!,1,FALSE),"")</f>
        <v/>
      </c>
      <c r="D3357" s="16" t="str">
        <f>IFERROR(VLOOKUP(C3357,DATA!#REF!,2,FALSE),"")</f>
        <v/>
      </c>
    </row>
    <row r="3358" spans="3:4" s="237" customFormat="1">
      <c r="C3358" s="16" t="str">
        <f>IFERROR(VLOOKUP(DATA!#REF!,DATA!#REF!,1,FALSE),"")</f>
        <v/>
      </c>
      <c r="D3358" s="16" t="str">
        <f>IFERROR(VLOOKUP(C3358,DATA!#REF!,2,FALSE),"")</f>
        <v/>
      </c>
    </row>
    <row r="3359" spans="3:4" s="237" customFormat="1">
      <c r="C3359" s="16" t="str">
        <f>IFERROR(VLOOKUP(DATA!#REF!,DATA!#REF!,1,FALSE),"")</f>
        <v/>
      </c>
      <c r="D3359" s="16" t="str">
        <f>IFERROR(VLOOKUP(C3359,DATA!#REF!,2,FALSE),"")</f>
        <v/>
      </c>
    </row>
    <row r="3360" spans="3:4" s="237" customFormat="1">
      <c r="C3360" s="16" t="str">
        <f>IFERROR(VLOOKUP(DATA!#REF!,DATA!#REF!,1,FALSE),"")</f>
        <v/>
      </c>
      <c r="D3360" s="16" t="str">
        <f>IFERROR(VLOOKUP(C3360,DATA!#REF!,2,FALSE),"")</f>
        <v/>
      </c>
    </row>
    <row r="3361" spans="3:4" s="237" customFormat="1">
      <c r="C3361" s="16" t="str">
        <f>IFERROR(VLOOKUP(DATA!#REF!,DATA!#REF!,1,FALSE),"")</f>
        <v/>
      </c>
      <c r="D3361" s="16" t="str">
        <f>IFERROR(VLOOKUP(C3361,DATA!#REF!,2,FALSE),"")</f>
        <v/>
      </c>
    </row>
    <row r="3362" spans="3:4" s="237" customFormat="1">
      <c r="C3362" s="16" t="str">
        <f>IFERROR(VLOOKUP(DATA!#REF!,DATA!#REF!,1,FALSE),"")</f>
        <v/>
      </c>
      <c r="D3362" s="16" t="str">
        <f>IFERROR(VLOOKUP(C3362,DATA!#REF!,2,FALSE),"")</f>
        <v/>
      </c>
    </row>
    <row r="3363" spans="3:4" s="237" customFormat="1">
      <c r="C3363" s="16" t="str">
        <f>IFERROR(VLOOKUP(DATA!#REF!,DATA!#REF!,1,FALSE),"")</f>
        <v/>
      </c>
      <c r="D3363" s="16" t="str">
        <f>IFERROR(VLOOKUP(C3363,DATA!#REF!,2,FALSE),"")</f>
        <v/>
      </c>
    </row>
    <row r="3364" spans="3:4" s="237" customFormat="1">
      <c r="C3364" s="16" t="str">
        <f>IFERROR(VLOOKUP(DATA!#REF!,DATA!#REF!,1,FALSE),"")</f>
        <v/>
      </c>
      <c r="D3364" s="16" t="str">
        <f>IFERROR(VLOOKUP(C3364,DATA!#REF!,2,FALSE),"")</f>
        <v/>
      </c>
    </row>
    <row r="3365" spans="3:4" s="237" customFormat="1">
      <c r="C3365" s="16" t="str">
        <f>IFERROR(VLOOKUP(DATA!#REF!,DATA!#REF!,1,FALSE),"")</f>
        <v/>
      </c>
      <c r="D3365" s="16" t="str">
        <f>IFERROR(VLOOKUP(C3365,DATA!#REF!,2,FALSE),"")</f>
        <v/>
      </c>
    </row>
    <row r="3366" spans="3:4" s="237" customFormat="1">
      <c r="C3366" s="16" t="str">
        <f>IFERROR(VLOOKUP(DATA!#REF!,DATA!#REF!,1,FALSE),"")</f>
        <v/>
      </c>
      <c r="D3366" s="16" t="str">
        <f>IFERROR(VLOOKUP(C3366,DATA!#REF!,2,FALSE),"")</f>
        <v/>
      </c>
    </row>
    <row r="3367" spans="3:4" s="237" customFormat="1">
      <c r="C3367" s="16" t="str">
        <f>IFERROR(VLOOKUP(DATA!#REF!,DATA!#REF!,1,FALSE),"")</f>
        <v/>
      </c>
      <c r="D3367" s="16" t="str">
        <f>IFERROR(VLOOKUP(C3367,DATA!#REF!,2,FALSE),"")</f>
        <v/>
      </c>
    </row>
    <row r="3368" spans="3:4" s="237" customFormat="1">
      <c r="C3368" s="16" t="str">
        <f>IFERROR(VLOOKUP(DATA!#REF!,DATA!#REF!,1,FALSE),"")</f>
        <v/>
      </c>
      <c r="D3368" s="16" t="str">
        <f>IFERROR(VLOOKUP(C3368,DATA!#REF!,2,FALSE),"")</f>
        <v/>
      </c>
    </row>
    <row r="3369" spans="3:4" s="237" customFormat="1">
      <c r="C3369" s="16" t="str">
        <f>IFERROR(VLOOKUP(DATA!#REF!,DATA!#REF!,1,FALSE),"")</f>
        <v/>
      </c>
      <c r="D3369" s="16" t="str">
        <f>IFERROR(VLOOKUP(C3369,DATA!#REF!,2,FALSE),"")</f>
        <v/>
      </c>
    </row>
    <row r="3370" spans="3:4" s="237" customFormat="1">
      <c r="C3370" s="16" t="str">
        <f>IFERROR(VLOOKUP(DATA!#REF!,DATA!#REF!,1,FALSE),"")</f>
        <v/>
      </c>
      <c r="D3370" s="16" t="str">
        <f>IFERROR(VLOOKUP(C3370,DATA!#REF!,2,FALSE),"")</f>
        <v/>
      </c>
    </row>
    <row r="3371" spans="3:4" s="237" customFormat="1">
      <c r="C3371" s="16" t="str">
        <f>IFERROR(VLOOKUP(DATA!#REF!,DATA!#REF!,1,FALSE),"")</f>
        <v/>
      </c>
      <c r="D3371" s="16" t="str">
        <f>IFERROR(VLOOKUP(C3371,DATA!#REF!,2,FALSE),"")</f>
        <v/>
      </c>
    </row>
    <row r="3372" spans="3:4" s="237" customFormat="1">
      <c r="C3372" s="16" t="str">
        <f>IFERROR(VLOOKUP(DATA!#REF!,DATA!#REF!,1,FALSE),"")</f>
        <v/>
      </c>
      <c r="D3372" s="16" t="str">
        <f>IFERROR(VLOOKUP(C3372,DATA!#REF!,2,FALSE),"")</f>
        <v/>
      </c>
    </row>
    <row r="3373" spans="3:4" s="237" customFormat="1">
      <c r="C3373" s="16" t="str">
        <f>IFERROR(VLOOKUP(DATA!#REF!,DATA!#REF!,1,FALSE),"")</f>
        <v/>
      </c>
      <c r="D3373" s="16" t="str">
        <f>IFERROR(VLOOKUP(C3373,DATA!#REF!,2,FALSE),"")</f>
        <v/>
      </c>
    </row>
    <row r="3374" spans="3:4" s="237" customFormat="1">
      <c r="C3374" s="16" t="str">
        <f>IFERROR(VLOOKUP(DATA!#REF!,DATA!#REF!,1,FALSE),"")</f>
        <v/>
      </c>
      <c r="D3374" s="16" t="str">
        <f>IFERROR(VLOOKUP(C3374,DATA!#REF!,2,FALSE),"")</f>
        <v/>
      </c>
    </row>
    <row r="3375" spans="3:4" s="237" customFormat="1">
      <c r="C3375" s="16" t="str">
        <f>IFERROR(VLOOKUP(DATA!#REF!,DATA!#REF!,1,FALSE),"")</f>
        <v/>
      </c>
      <c r="D3375" s="16" t="str">
        <f>IFERROR(VLOOKUP(C3375,DATA!#REF!,2,FALSE),"")</f>
        <v/>
      </c>
    </row>
    <row r="3376" spans="3:4" s="237" customFormat="1">
      <c r="C3376" s="16" t="str">
        <f>IFERROR(VLOOKUP(DATA!#REF!,DATA!#REF!,1,FALSE),"")</f>
        <v/>
      </c>
      <c r="D3376" s="16" t="str">
        <f>IFERROR(VLOOKUP(C3376,DATA!#REF!,2,FALSE),"")</f>
        <v/>
      </c>
    </row>
    <row r="3377" spans="3:4" s="237" customFormat="1">
      <c r="C3377" s="16" t="str">
        <f>IFERROR(VLOOKUP(DATA!#REF!,DATA!#REF!,1,FALSE),"")</f>
        <v/>
      </c>
      <c r="D3377" s="16" t="str">
        <f>IFERROR(VLOOKUP(C3377,DATA!#REF!,2,FALSE),"")</f>
        <v/>
      </c>
    </row>
    <row r="3378" spans="3:4" s="237" customFormat="1">
      <c r="C3378" s="16" t="str">
        <f>IFERROR(VLOOKUP(DATA!#REF!,DATA!#REF!,1,FALSE),"")</f>
        <v/>
      </c>
      <c r="D3378" s="16" t="str">
        <f>IFERROR(VLOOKUP(C3378,DATA!#REF!,2,FALSE),"")</f>
        <v/>
      </c>
    </row>
    <row r="3379" spans="3:4" s="237" customFormat="1">
      <c r="C3379" s="16" t="str">
        <f>IFERROR(VLOOKUP(DATA!#REF!,DATA!#REF!,1,FALSE),"")</f>
        <v/>
      </c>
      <c r="D3379" s="16" t="str">
        <f>IFERROR(VLOOKUP(C3379,DATA!#REF!,2,FALSE),"")</f>
        <v/>
      </c>
    </row>
    <row r="3380" spans="3:4" s="237" customFormat="1">
      <c r="C3380" s="16" t="str">
        <f>IFERROR(VLOOKUP(DATA!#REF!,DATA!#REF!,1,FALSE),"")</f>
        <v/>
      </c>
      <c r="D3380" s="16" t="str">
        <f>IFERROR(VLOOKUP(C3380,DATA!#REF!,2,FALSE),"")</f>
        <v/>
      </c>
    </row>
    <row r="3381" spans="3:4" s="237" customFormat="1">
      <c r="C3381" s="16" t="str">
        <f>IFERROR(VLOOKUP(DATA!#REF!,DATA!#REF!,1,FALSE),"")</f>
        <v/>
      </c>
      <c r="D3381" s="16" t="str">
        <f>IFERROR(VLOOKUP(C3381,DATA!#REF!,2,FALSE),"")</f>
        <v/>
      </c>
    </row>
    <row r="3382" spans="3:4" s="237" customFormat="1">
      <c r="C3382" s="16" t="str">
        <f>IFERROR(VLOOKUP(DATA!#REF!,DATA!#REF!,1,FALSE),"")</f>
        <v/>
      </c>
      <c r="D3382" s="16" t="str">
        <f>IFERROR(VLOOKUP(C3382,DATA!#REF!,2,FALSE),"")</f>
        <v/>
      </c>
    </row>
    <row r="3383" spans="3:4" s="237" customFormat="1">
      <c r="C3383" s="16" t="str">
        <f>IFERROR(VLOOKUP(DATA!#REF!,DATA!#REF!,1,FALSE),"")</f>
        <v/>
      </c>
      <c r="D3383" s="16" t="str">
        <f>IFERROR(VLOOKUP(C3383,DATA!#REF!,2,FALSE),"")</f>
        <v/>
      </c>
    </row>
    <row r="3384" spans="3:4" s="237" customFormat="1">
      <c r="C3384" s="16" t="str">
        <f>IFERROR(VLOOKUP(DATA!#REF!,DATA!#REF!,1,FALSE),"")</f>
        <v/>
      </c>
      <c r="D3384" s="16" t="str">
        <f>IFERROR(VLOOKUP(C3384,DATA!#REF!,2,FALSE),"")</f>
        <v/>
      </c>
    </row>
    <row r="3385" spans="3:4" s="237" customFormat="1">
      <c r="C3385" s="16" t="str">
        <f>IFERROR(VLOOKUP(DATA!#REF!,DATA!#REF!,1,FALSE),"")</f>
        <v/>
      </c>
      <c r="D3385" s="16" t="str">
        <f>IFERROR(VLOOKUP(C3385,DATA!#REF!,2,FALSE),"")</f>
        <v/>
      </c>
    </row>
    <row r="3386" spans="3:4" s="237" customFormat="1">
      <c r="C3386" s="16" t="str">
        <f>IFERROR(VLOOKUP(DATA!#REF!,DATA!#REF!,1,FALSE),"")</f>
        <v/>
      </c>
      <c r="D3386" s="16" t="str">
        <f>IFERROR(VLOOKUP(C3386,DATA!#REF!,2,FALSE),"")</f>
        <v/>
      </c>
    </row>
    <row r="3387" spans="3:4" s="237" customFormat="1">
      <c r="C3387" s="16" t="str">
        <f>IFERROR(VLOOKUP(DATA!#REF!,DATA!#REF!,1,FALSE),"")</f>
        <v/>
      </c>
      <c r="D3387" s="16" t="str">
        <f>IFERROR(VLOOKUP(C3387,DATA!#REF!,2,FALSE),"")</f>
        <v/>
      </c>
    </row>
    <row r="3388" spans="3:4" s="237" customFormat="1">
      <c r="C3388" s="16" t="str">
        <f>IFERROR(VLOOKUP(DATA!#REF!,DATA!#REF!,1,FALSE),"")</f>
        <v/>
      </c>
      <c r="D3388" s="16" t="str">
        <f>IFERROR(VLOOKUP(C3388,DATA!#REF!,2,FALSE),"")</f>
        <v/>
      </c>
    </row>
    <row r="3389" spans="3:4" s="237" customFormat="1">
      <c r="C3389" s="16" t="str">
        <f>IFERROR(VLOOKUP(DATA!#REF!,DATA!#REF!,1,FALSE),"")</f>
        <v/>
      </c>
      <c r="D3389" s="16" t="str">
        <f>IFERROR(VLOOKUP(C3389,DATA!#REF!,2,FALSE),"")</f>
        <v/>
      </c>
    </row>
    <row r="3390" spans="3:4" s="237" customFormat="1">
      <c r="C3390" s="16" t="str">
        <f>IFERROR(VLOOKUP(DATA!#REF!,DATA!#REF!,1,FALSE),"")</f>
        <v/>
      </c>
      <c r="D3390" s="16" t="str">
        <f>IFERROR(VLOOKUP(C3390,DATA!#REF!,2,FALSE),"")</f>
        <v/>
      </c>
    </row>
    <row r="3391" spans="3:4" s="237" customFormat="1">
      <c r="C3391" s="16" t="str">
        <f>IFERROR(VLOOKUP(DATA!#REF!,DATA!#REF!,1,FALSE),"")</f>
        <v/>
      </c>
      <c r="D3391" s="16" t="str">
        <f>IFERROR(VLOOKUP(C3391,DATA!#REF!,2,FALSE),"")</f>
        <v/>
      </c>
    </row>
    <row r="3392" spans="3:4" s="237" customFormat="1">
      <c r="C3392" s="16" t="str">
        <f>IFERROR(VLOOKUP(DATA!#REF!,DATA!#REF!,1,FALSE),"")</f>
        <v/>
      </c>
      <c r="D3392" s="16" t="str">
        <f>IFERROR(VLOOKUP(C3392,DATA!#REF!,2,FALSE),"")</f>
        <v/>
      </c>
    </row>
    <row r="3393" spans="3:4" s="237" customFormat="1">
      <c r="C3393" s="16" t="str">
        <f>IFERROR(VLOOKUP(DATA!#REF!,DATA!#REF!,1,FALSE),"")</f>
        <v/>
      </c>
      <c r="D3393" s="16" t="str">
        <f>IFERROR(VLOOKUP(C3393,DATA!#REF!,2,FALSE),"")</f>
        <v/>
      </c>
    </row>
    <row r="3394" spans="3:4" s="237" customFormat="1">
      <c r="C3394" s="16" t="str">
        <f>IFERROR(VLOOKUP(DATA!#REF!,DATA!#REF!,1,FALSE),"")</f>
        <v/>
      </c>
      <c r="D3394" s="16" t="str">
        <f>IFERROR(VLOOKUP(C3394,DATA!#REF!,2,FALSE),"")</f>
        <v/>
      </c>
    </row>
    <row r="3395" spans="3:4" s="237" customFormat="1">
      <c r="C3395" s="16" t="str">
        <f>IFERROR(VLOOKUP(DATA!#REF!,DATA!#REF!,1,FALSE),"")</f>
        <v/>
      </c>
      <c r="D3395" s="16" t="str">
        <f>IFERROR(VLOOKUP(C3395,DATA!#REF!,2,FALSE),"")</f>
        <v/>
      </c>
    </row>
    <row r="3396" spans="3:4" s="237" customFormat="1">
      <c r="C3396" s="16" t="str">
        <f>IFERROR(VLOOKUP(DATA!#REF!,DATA!#REF!,1,FALSE),"")</f>
        <v/>
      </c>
      <c r="D3396" s="16" t="str">
        <f>IFERROR(VLOOKUP(C3396,DATA!#REF!,2,FALSE),"")</f>
        <v/>
      </c>
    </row>
    <row r="3397" spans="3:4" s="237" customFormat="1">
      <c r="C3397" s="16" t="str">
        <f>IFERROR(VLOOKUP(DATA!#REF!,DATA!#REF!,1,FALSE),"")</f>
        <v/>
      </c>
      <c r="D3397" s="16" t="str">
        <f>IFERROR(VLOOKUP(C3397,DATA!#REF!,2,FALSE),"")</f>
        <v/>
      </c>
    </row>
    <row r="3398" spans="3:4" s="237" customFormat="1">
      <c r="C3398" s="16" t="str">
        <f>IFERROR(VLOOKUP(DATA!#REF!,DATA!#REF!,1,FALSE),"")</f>
        <v/>
      </c>
      <c r="D3398" s="16" t="str">
        <f>IFERROR(VLOOKUP(C3398,DATA!#REF!,2,FALSE),"")</f>
        <v/>
      </c>
    </row>
    <row r="3399" spans="3:4" s="237" customFormat="1">
      <c r="C3399" s="16" t="str">
        <f>IFERROR(VLOOKUP(DATA!#REF!,DATA!#REF!,1,FALSE),"")</f>
        <v/>
      </c>
      <c r="D3399" s="16" t="str">
        <f>IFERROR(VLOOKUP(C3399,DATA!#REF!,2,FALSE),"")</f>
        <v/>
      </c>
    </row>
    <row r="3400" spans="3:4" s="237" customFormat="1">
      <c r="C3400" s="16" t="str">
        <f>IFERROR(VLOOKUP(DATA!#REF!,DATA!#REF!,1,FALSE),"")</f>
        <v/>
      </c>
      <c r="D3400" s="16" t="str">
        <f>IFERROR(VLOOKUP(C3400,DATA!#REF!,2,FALSE),"")</f>
        <v/>
      </c>
    </row>
    <row r="3401" spans="3:4" s="237" customFormat="1">
      <c r="C3401" s="16" t="str">
        <f>IFERROR(VLOOKUP(DATA!#REF!,DATA!#REF!,1,FALSE),"")</f>
        <v/>
      </c>
      <c r="D3401" s="16" t="str">
        <f>IFERROR(VLOOKUP(C3401,DATA!#REF!,2,FALSE),"")</f>
        <v/>
      </c>
    </row>
    <row r="3402" spans="3:4" s="237" customFormat="1">
      <c r="C3402" s="16" t="str">
        <f>IFERROR(VLOOKUP(DATA!#REF!,DATA!#REF!,1,FALSE),"")</f>
        <v/>
      </c>
      <c r="D3402" s="16" t="str">
        <f>IFERROR(VLOOKUP(C3402,DATA!#REF!,2,FALSE),"")</f>
        <v/>
      </c>
    </row>
    <row r="3403" spans="3:4" s="237" customFormat="1">
      <c r="C3403" s="16" t="str">
        <f>IFERROR(VLOOKUP(DATA!#REF!,DATA!#REF!,1,FALSE),"")</f>
        <v/>
      </c>
      <c r="D3403" s="16" t="str">
        <f>IFERROR(VLOOKUP(C3403,DATA!#REF!,2,FALSE),"")</f>
        <v/>
      </c>
    </row>
    <row r="3404" spans="3:4" s="237" customFormat="1">
      <c r="C3404" s="16" t="str">
        <f>IFERROR(VLOOKUP(DATA!#REF!,DATA!#REF!,1,FALSE),"")</f>
        <v/>
      </c>
      <c r="D3404" s="16" t="str">
        <f>IFERROR(VLOOKUP(C3404,DATA!#REF!,2,FALSE),"")</f>
        <v/>
      </c>
    </row>
    <row r="3405" spans="3:4" s="237" customFormat="1">
      <c r="C3405" s="16" t="str">
        <f>IFERROR(VLOOKUP(DATA!#REF!,DATA!#REF!,1,FALSE),"")</f>
        <v/>
      </c>
      <c r="D3405" s="16" t="str">
        <f>IFERROR(VLOOKUP(C3405,DATA!#REF!,2,FALSE),"")</f>
        <v/>
      </c>
    </row>
    <row r="3406" spans="3:4" s="237" customFormat="1">
      <c r="C3406" s="16" t="str">
        <f>IFERROR(VLOOKUP(DATA!#REF!,DATA!#REF!,1,FALSE),"")</f>
        <v/>
      </c>
      <c r="D3406" s="16" t="str">
        <f>IFERROR(VLOOKUP(C3406,DATA!#REF!,2,FALSE),"")</f>
        <v/>
      </c>
    </row>
    <row r="3407" spans="3:4" s="237" customFormat="1">
      <c r="C3407" s="16" t="str">
        <f>IFERROR(VLOOKUP(DATA!#REF!,DATA!#REF!,1,FALSE),"")</f>
        <v/>
      </c>
      <c r="D3407" s="16" t="str">
        <f>IFERROR(VLOOKUP(C3407,DATA!#REF!,2,FALSE),"")</f>
        <v/>
      </c>
    </row>
    <row r="3408" spans="3:4" s="237" customFormat="1">
      <c r="C3408" s="16" t="str">
        <f>IFERROR(VLOOKUP(DATA!#REF!,DATA!#REF!,1,FALSE),"")</f>
        <v/>
      </c>
      <c r="D3408" s="16" t="str">
        <f>IFERROR(VLOOKUP(C3408,DATA!#REF!,2,FALSE),"")</f>
        <v/>
      </c>
    </row>
    <row r="3409" spans="3:4" s="237" customFormat="1">
      <c r="C3409" s="16" t="str">
        <f>IFERROR(VLOOKUP(DATA!#REF!,DATA!#REF!,1,FALSE),"")</f>
        <v/>
      </c>
      <c r="D3409" s="16" t="str">
        <f>IFERROR(VLOOKUP(C3409,DATA!#REF!,2,FALSE),"")</f>
        <v/>
      </c>
    </row>
    <row r="3410" spans="3:4" s="237" customFormat="1">
      <c r="C3410" s="16" t="str">
        <f>IFERROR(VLOOKUP(DATA!#REF!,DATA!#REF!,1,FALSE),"")</f>
        <v/>
      </c>
      <c r="D3410" s="16" t="str">
        <f>IFERROR(VLOOKUP(C3410,DATA!#REF!,2,FALSE),"")</f>
        <v/>
      </c>
    </row>
    <row r="3411" spans="3:4" s="237" customFormat="1">
      <c r="C3411" s="16" t="str">
        <f>IFERROR(VLOOKUP(DATA!#REF!,DATA!#REF!,1,FALSE),"")</f>
        <v/>
      </c>
      <c r="D3411" s="16" t="str">
        <f>IFERROR(VLOOKUP(C3411,DATA!#REF!,2,FALSE),"")</f>
        <v/>
      </c>
    </row>
    <row r="3412" spans="3:4" s="237" customFormat="1">
      <c r="C3412" s="16" t="str">
        <f>IFERROR(VLOOKUP(DATA!#REF!,DATA!#REF!,1,FALSE),"")</f>
        <v/>
      </c>
      <c r="D3412" s="16" t="str">
        <f>IFERROR(VLOOKUP(C3412,DATA!#REF!,2,FALSE),"")</f>
        <v/>
      </c>
    </row>
    <row r="3413" spans="3:4" s="237" customFormat="1">
      <c r="C3413" s="16" t="str">
        <f>IFERROR(VLOOKUP(DATA!#REF!,DATA!#REF!,1,FALSE),"")</f>
        <v/>
      </c>
      <c r="D3413" s="16" t="str">
        <f>IFERROR(VLOOKUP(C3413,DATA!#REF!,2,FALSE),"")</f>
        <v/>
      </c>
    </row>
    <row r="3414" spans="3:4" s="237" customFormat="1">
      <c r="C3414" s="16" t="str">
        <f>IFERROR(VLOOKUP(DATA!#REF!,DATA!#REF!,1,FALSE),"")</f>
        <v/>
      </c>
      <c r="D3414" s="16" t="str">
        <f>IFERROR(VLOOKUP(C3414,DATA!#REF!,2,FALSE),"")</f>
        <v/>
      </c>
    </row>
    <row r="3415" spans="3:4" s="237" customFormat="1">
      <c r="C3415" s="16" t="str">
        <f>IFERROR(VLOOKUP(DATA!#REF!,DATA!#REF!,1,FALSE),"")</f>
        <v/>
      </c>
      <c r="D3415" s="16" t="str">
        <f>IFERROR(VLOOKUP(C3415,DATA!#REF!,2,FALSE),"")</f>
        <v/>
      </c>
    </row>
    <row r="3416" spans="3:4" s="237" customFormat="1">
      <c r="C3416" s="16" t="str">
        <f>IFERROR(VLOOKUP(DATA!#REF!,DATA!#REF!,1,FALSE),"")</f>
        <v/>
      </c>
      <c r="D3416" s="16" t="str">
        <f>IFERROR(VLOOKUP(C3416,DATA!#REF!,2,FALSE),"")</f>
        <v/>
      </c>
    </row>
    <row r="3417" spans="3:4" s="237" customFormat="1">
      <c r="C3417" s="16" t="str">
        <f>IFERROR(VLOOKUP(DATA!#REF!,DATA!#REF!,1,FALSE),"")</f>
        <v/>
      </c>
      <c r="D3417" s="16" t="str">
        <f>IFERROR(VLOOKUP(C3417,DATA!#REF!,2,FALSE),"")</f>
        <v/>
      </c>
    </row>
    <row r="3418" spans="3:4" s="237" customFormat="1">
      <c r="C3418" s="16" t="str">
        <f>IFERROR(VLOOKUP(DATA!#REF!,DATA!#REF!,1,FALSE),"")</f>
        <v/>
      </c>
      <c r="D3418" s="16" t="str">
        <f>IFERROR(VLOOKUP(C3418,DATA!#REF!,2,FALSE),"")</f>
        <v/>
      </c>
    </row>
    <row r="3419" spans="3:4" s="237" customFormat="1">
      <c r="C3419" s="16" t="str">
        <f>IFERROR(VLOOKUP(DATA!#REF!,DATA!#REF!,1,FALSE),"")</f>
        <v/>
      </c>
      <c r="D3419" s="16" t="str">
        <f>IFERROR(VLOOKUP(C3419,DATA!#REF!,2,FALSE),"")</f>
        <v/>
      </c>
    </row>
    <row r="3420" spans="3:4" s="237" customFormat="1">
      <c r="C3420" s="16" t="str">
        <f>IFERROR(VLOOKUP(DATA!#REF!,DATA!#REF!,1,FALSE),"")</f>
        <v/>
      </c>
      <c r="D3420" s="16" t="str">
        <f>IFERROR(VLOOKUP(C3420,DATA!#REF!,2,FALSE),"")</f>
        <v/>
      </c>
    </row>
    <row r="3421" spans="3:4" s="237" customFormat="1">
      <c r="C3421" s="16" t="str">
        <f>IFERROR(VLOOKUP(DATA!#REF!,DATA!#REF!,1,FALSE),"")</f>
        <v/>
      </c>
      <c r="D3421" s="16" t="str">
        <f>IFERROR(VLOOKUP(C3421,DATA!#REF!,2,FALSE),"")</f>
        <v/>
      </c>
    </row>
    <row r="3422" spans="3:4" s="237" customFormat="1">
      <c r="C3422" s="16" t="str">
        <f>IFERROR(VLOOKUP(DATA!#REF!,DATA!#REF!,1,FALSE),"")</f>
        <v/>
      </c>
      <c r="D3422" s="16" t="str">
        <f>IFERROR(VLOOKUP(C3422,DATA!#REF!,2,FALSE),"")</f>
        <v/>
      </c>
    </row>
    <row r="3423" spans="3:4" s="237" customFormat="1">
      <c r="C3423" s="16" t="str">
        <f>IFERROR(VLOOKUP(DATA!#REF!,DATA!#REF!,1,FALSE),"")</f>
        <v/>
      </c>
      <c r="D3423" s="16" t="str">
        <f>IFERROR(VLOOKUP(C3423,DATA!#REF!,2,FALSE),"")</f>
        <v/>
      </c>
    </row>
    <row r="3424" spans="3:4" s="237" customFormat="1">
      <c r="C3424" s="16" t="str">
        <f>IFERROR(VLOOKUP(DATA!#REF!,DATA!#REF!,1,FALSE),"")</f>
        <v/>
      </c>
      <c r="D3424" s="16" t="str">
        <f>IFERROR(VLOOKUP(C3424,DATA!#REF!,2,FALSE),"")</f>
        <v/>
      </c>
    </row>
    <row r="3425" spans="3:4" s="237" customFormat="1">
      <c r="C3425" s="16" t="str">
        <f>IFERROR(VLOOKUP(DATA!#REF!,DATA!#REF!,1,FALSE),"")</f>
        <v/>
      </c>
      <c r="D3425" s="16" t="str">
        <f>IFERROR(VLOOKUP(C3425,DATA!#REF!,2,FALSE),"")</f>
        <v/>
      </c>
    </row>
    <row r="3426" spans="3:4" s="237" customFormat="1">
      <c r="C3426" s="16" t="str">
        <f>IFERROR(VLOOKUP(DATA!#REF!,DATA!#REF!,1,FALSE),"")</f>
        <v/>
      </c>
      <c r="D3426" s="16" t="str">
        <f>IFERROR(VLOOKUP(C3426,DATA!#REF!,2,FALSE),"")</f>
        <v/>
      </c>
    </row>
    <row r="3427" spans="3:4" s="237" customFormat="1">
      <c r="C3427" s="16" t="str">
        <f>IFERROR(VLOOKUP(DATA!#REF!,DATA!#REF!,1,FALSE),"")</f>
        <v/>
      </c>
      <c r="D3427" s="16" t="str">
        <f>IFERROR(VLOOKUP(C3427,DATA!#REF!,2,FALSE),"")</f>
        <v/>
      </c>
    </row>
    <row r="3428" spans="3:4" s="237" customFormat="1">
      <c r="C3428" s="16" t="str">
        <f>IFERROR(VLOOKUP(DATA!#REF!,DATA!#REF!,1,FALSE),"")</f>
        <v/>
      </c>
      <c r="D3428" s="16" t="str">
        <f>IFERROR(VLOOKUP(C3428,DATA!#REF!,2,FALSE),"")</f>
        <v/>
      </c>
    </row>
    <row r="3429" spans="3:4" s="237" customFormat="1">
      <c r="C3429" s="16" t="str">
        <f>IFERROR(VLOOKUP(DATA!#REF!,DATA!#REF!,1,FALSE),"")</f>
        <v/>
      </c>
      <c r="D3429" s="16" t="str">
        <f>IFERROR(VLOOKUP(C3429,DATA!#REF!,2,FALSE),"")</f>
        <v/>
      </c>
    </row>
    <row r="3430" spans="3:4" s="237" customFormat="1">
      <c r="C3430" s="16" t="str">
        <f>IFERROR(VLOOKUP(DATA!#REF!,DATA!#REF!,1,FALSE),"")</f>
        <v/>
      </c>
      <c r="D3430" s="16" t="str">
        <f>IFERROR(VLOOKUP(C3430,DATA!#REF!,2,FALSE),"")</f>
        <v/>
      </c>
    </row>
    <row r="3431" spans="3:4" s="237" customFormat="1">
      <c r="C3431" s="16" t="str">
        <f>IFERROR(VLOOKUP(DATA!#REF!,DATA!#REF!,1,FALSE),"")</f>
        <v/>
      </c>
      <c r="D3431" s="16" t="str">
        <f>IFERROR(VLOOKUP(C3431,DATA!#REF!,2,FALSE),"")</f>
        <v/>
      </c>
    </row>
    <row r="3432" spans="3:4" s="237" customFormat="1">
      <c r="C3432" s="16" t="str">
        <f>IFERROR(VLOOKUP(DATA!#REF!,DATA!#REF!,1,FALSE),"")</f>
        <v/>
      </c>
      <c r="D3432" s="16" t="str">
        <f>IFERROR(VLOOKUP(C3432,DATA!#REF!,2,FALSE),"")</f>
        <v/>
      </c>
    </row>
    <row r="3433" spans="3:4" s="237" customFormat="1">
      <c r="C3433" s="16" t="str">
        <f>IFERROR(VLOOKUP(DATA!#REF!,DATA!#REF!,1,FALSE),"")</f>
        <v/>
      </c>
      <c r="D3433" s="16" t="str">
        <f>IFERROR(VLOOKUP(C3433,DATA!#REF!,2,FALSE),"")</f>
        <v/>
      </c>
    </row>
    <row r="3434" spans="3:4" s="237" customFormat="1">
      <c r="C3434" s="16" t="str">
        <f>IFERROR(VLOOKUP(DATA!#REF!,DATA!#REF!,1,FALSE),"")</f>
        <v/>
      </c>
      <c r="D3434" s="16" t="str">
        <f>IFERROR(VLOOKUP(C3434,DATA!#REF!,2,FALSE),"")</f>
        <v/>
      </c>
    </row>
    <row r="3435" spans="3:4" s="237" customFormat="1">
      <c r="C3435" s="16" t="str">
        <f>IFERROR(VLOOKUP(DATA!#REF!,DATA!#REF!,1,FALSE),"")</f>
        <v/>
      </c>
      <c r="D3435" s="16" t="str">
        <f>IFERROR(VLOOKUP(C3435,DATA!#REF!,2,FALSE),"")</f>
        <v/>
      </c>
    </row>
    <row r="3436" spans="3:4" s="237" customFormat="1">
      <c r="C3436" s="16" t="str">
        <f>IFERROR(VLOOKUP(DATA!#REF!,DATA!#REF!,1,FALSE),"")</f>
        <v/>
      </c>
      <c r="D3436" s="16" t="str">
        <f>IFERROR(VLOOKUP(C3436,DATA!#REF!,2,FALSE),"")</f>
        <v/>
      </c>
    </row>
    <row r="3437" spans="3:4" s="237" customFormat="1">
      <c r="C3437" s="16" t="str">
        <f>IFERROR(VLOOKUP(DATA!#REF!,DATA!#REF!,1,FALSE),"")</f>
        <v/>
      </c>
      <c r="D3437" s="16" t="str">
        <f>IFERROR(VLOOKUP(C3437,DATA!#REF!,2,FALSE),"")</f>
        <v/>
      </c>
    </row>
    <row r="3438" spans="3:4" s="237" customFormat="1">
      <c r="C3438" s="16" t="str">
        <f>IFERROR(VLOOKUP(DATA!#REF!,DATA!#REF!,1,FALSE),"")</f>
        <v/>
      </c>
      <c r="D3438" s="16" t="str">
        <f>IFERROR(VLOOKUP(C3438,DATA!#REF!,2,FALSE),"")</f>
        <v/>
      </c>
    </row>
    <row r="3439" spans="3:4" s="237" customFormat="1">
      <c r="C3439" s="16" t="str">
        <f>IFERROR(VLOOKUP(DATA!#REF!,DATA!#REF!,1,FALSE),"")</f>
        <v/>
      </c>
      <c r="D3439" s="16" t="str">
        <f>IFERROR(VLOOKUP(C3439,DATA!#REF!,2,FALSE),"")</f>
        <v/>
      </c>
    </row>
    <row r="3440" spans="3:4" s="237" customFormat="1">
      <c r="C3440" s="16" t="str">
        <f>IFERROR(VLOOKUP(DATA!#REF!,DATA!#REF!,1,FALSE),"")</f>
        <v/>
      </c>
      <c r="D3440" s="16" t="str">
        <f>IFERROR(VLOOKUP(C3440,DATA!#REF!,2,FALSE),"")</f>
        <v/>
      </c>
    </row>
    <row r="3441" spans="3:4" s="237" customFormat="1">
      <c r="C3441" s="16" t="str">
        <f>IFERROR(VLOOKUP(DATA!#REF!,DATA!#REF!,1,FALSE),"")</f>
        <v/>
      </c>
      <c r="D3441" s="16" t="str">
        <f>IFERROR(VLOOKUP(C3441,DATA!#REF!,2,FALSE),"")</f>
        <v/>
      </c>
    </row>
    <row r="3442" spans="3:4" s="237" customFormat="1">
      <c r="C3442" s="16" t="str">
        <f>IFERROR(VLOOKUP(DATA!#REF!,DATA!#REF!,1,FALSE),"")</f>
        <v/>
      </c>
      <c r="D3442" s="16" t="str">
        <f>IFERROR(VLOOKUP(C3442,DATA!#REF!,2,FALSE),"")</f>
        <v/>
      </c>
    </row>
    <row r="3443" spans="3:4" s="237" customFormat="1">
      <c r="C3443" s="16" t="str">
        <f>IFERROR(VLOOKUP(DATA!#REF!,DATA!#REF!,1,FALSE),"")</f>
        <v/>
      </c>
      <c r="D3443" s="16" t="str">
        <f>IFERROR(VLOOKUP(C3443,DATA!#REF!,2,FALSE),"")</f>
        <v/>
      </c>
    </row>
    <row r="3444" spans="3:4" s="237" customFormat="1">
      <c r="C3444" s="16" t="str">
        <f>IFERROR(VLOOKUP(DATA!#REF!,DATA!#REF!,1,FALSE),"")</f>
        <v/>
      </c>
      <c r="D3444" s="16" t="str">
        <f>IFERROR(VLOOKUP(C3444,DATA!#REF!,2,FALSE),"")</f>
        <v/>
      </c>
    </row>
    <row r="3445" spans="3:4" s="237" customFormat="1">
      <c r="C3445" s="16" t="str">
        <f>IFERROR(VLOOKUP(DATA!#REF!,DATA!#REF!,1,FALSE),"")</f>
        <v/>
      </c>
      <c r="D3445" s="16" t="str">
        <f>IFERROR(VLOOKUP(C3445,DATA!#REF!,2,FALSE),"")</f>
        <v/>
      </c>
    </row>
    <row r="3446" spans="3:4" s="237" customFormat="1">
      <c r="C3446" s="16" t="str">
        <f>IFERROR(VLOOKUP(DATA!#REF!,DATA!#REF!,1,FALSE),"")</f>
        <v/>
      </c>
      <c r="D3446" s="16" t="str">
        <f>IFERROR(VLOOKUP(C3446,DATA!#REF!,2,FALSE),"")</f>
        <v/>
      </c>
    </row>
    <row r="3447" spans="3:4" s="237" customFormat="1">
      <c r="C3447" s="16" t="str">
        <f>IFERROR(VLOOKUP(DATA!#REF!,DATA!#REF!,1,FALSE),"")</f>
        <v/>
      </c>
      <c r="D3447" s="16" t="str">
        <f>IFERROR(VLOOKUP(C3447,DATA!#REF!,2,FALSE),"")</f>
        <v/>
      </c>
    </row>
    <row r="3448" spans="3:4" s="237" customFormat="1">
      <c r="C3448" s="16" t="str">
        <f>IFERROR(VLOOKUP(DATA!#REF!,DATA!#REF!,1,FALSE),"")</f>
        <v/>
      </c>
      <c r="D3448" s="16" t="str">
        <f>IFERROR(VLOOKUP(C3448,DATA!#REF!,2,FALSE),"")</f>
        <v/>
      </c>
    </row>
    <row r="3449" spans="3:4" s="237" customFormat="1">
      <c r="C3449" s="16" t="str">
        <f>IFERROR(VLOOKUP(DATA!#REF!,DATA!#REF!,1,FALSE),"")</f>
        <v/>
      </c>
      <c r="D3449" s="16" t="str">
        <f>IFERROR(VLOOKUP(C3449,DATA!#REF!,2,FALSE),"")</f>
        <v/>
      </c>
    </row>
    <row r="3450" spans="3:4" s="237" customFormat="1">
      <c r="C3450" s="16" t="str">
        <f>IFERROR(VLOOKUP(DATA!#REF!,DATA!#REF!,1,FALSE),"")</f>
        <v/>
      </c>
      <c r="D3450" s="16" t="str">
        <f>IFERROR(VLOOKUP(C3450,DATA!#REF!,2,FALSE),"")</f>
        <v/>
      </c>
    </row>
    <row r="3451" spans="3:4" s="237" customFormat="1">
      <c r="C3451" s="16" t="str">
        <f>IFERROR(VLOOKUP(DATA!#REF!,DATA!#REF!,1,FALSE),"")</f>
        <v/>
      </c>
      <c r="D3451" s="16" t="str">
        <f>IFERROR(VLOOKUP(C3451,DATA!#REF!,2,FALSE),"")</f>
        <v/>
      </c>
    </row>
    <row r="3452" spans="3:4" s="237" customFormat="1">
      <c r="C3452" s="16" t="str">
        <f>IFERROR(VLOOKUP(DATA!#REF!,DATA!#REF!,1,FALSE),"")</f>
        <v/>
      </c>
      <c r="D3452" s="16" t="str">
        <f>IFERROR(VLOOKUP(C3452,DATA!#REF!,2,FALSE),"")</f>
        <v/>
      </c>
    </row>
    <row r="3453" spans="3:4" s="237" customFormat="1">
      <c r="C3453" s="16" t="str">
        <f>IFERROR(VLOOKUP(DATA!#REF!,DATA!#REF!,1,FALSE),"")</f>
        <v/>
      </c>
      <c r="D3453" s="16" t="str">
        <f>IFERROR(VLOOKUP(C3453,DATA!#REF!,2,FALSE),"")</f>
        <v/>
      </c>
    </row>
    <row r="3454" spans="3:4" s="237" customFormat="1">
      <c r="C3454" s="16" t="str">
        <f>IFERROR(VLOOKUP(DATA!#REF!,DATA!#REF!,1,FALSE),"")</f>
        <v/>
      </c>
      <c r="D3454" s="16" t="str">
        <f>IFERROR(VLOOKUP(C3454,DATA!#REF!,2,FALSE),"")</f>
        <v/>
      </c>
    </row>
    <row r="3455" spans="3:4" s="237" customFormat="1">
      <c r="C3455" s="16" t="str">
        <f>IFERROR(VLOOKUP(DATA!#REF!,DATA!#REF!,1,FALSE),"")</f>
        <v/>
      </c>
      <c r="D3455" s="16" t="str">
        <f>IFERROR(VLOOKUP(C3455,DATA!#REF!,2,FALSE),"")</f>
        <v/>
      </c>
    </row>
    <row r="3456" spans="3:4" s="237" customFormat="1">
      <c r="C3456" s="16" t="str">
        <f>IFERROR(VLOOKUP(DATA!#REF!,DATA!#REF!,1,FALSE),"")</f>
        <v/>
      </c>
      <c r="D3456" s="16" t="str">
        <f>IFERROR(VLOOKUP(C3456,DATA!#REF!,2,FALSE),"")</f>
        <v/>
      </c>
    </row>
    <row r="3457" spans="3:4" s="237" customFormat="1">
      <c r="C3457" s="16" t="str">
        <f>IFERROR(VLOOKUP(DATA!#REF!,DATA!#REF!,1,FALSE),"")</f>
        <v/>
      </c>
      <c r="D3457" s="16" t="str">
        <f>IFERROR(VLOOKUP(C3457,DATA!#REF!,2,FALSE),"")</f>
        <v/>
      </c>
    </row>
    <row r="3458" spans="3:4" s="237" customFormat="1">
      <c r="C3458" s="16" t="str">
        <f>IFERROR(VLOOKUP(DATA!#REF!,DATA!#REF!,1,FALSE),"")</f>
        <v/>
      </c>
      <c r="D3458" s="16" t="str">
        <f>IFERROR(VLOOKUP(C3458,DATA!#REF!,2,FALSE),"")</f>
        <v/>
      </c>
    </row>
    <row r="3459" spans="3:4" s="237" customFormat="1">
      <c r="C3459" s="16" t="str">
        <f>IFERROR(VLOOKUP(DATA!#REF!,DATA!#REF!,1,FALSE),"")</f>
        <v/>
      </c>
      <c r="D3459" s="16" t="str">
        <f>IFERROR(VLOOKUP(C3459,DATA!#REF!,2,FALSE),"")</f>
        <v/>
      </c>
    </row>
    <row r="3460" spans="3:4" s="237" customFormat="1">
      <c r="C3460" s="16" t="str">
        <f>IFERROR(VLOOKUP(DATA!#REF!,DATA!#REF!,1,FALSE),"")</f>
        <v/>
      </c>
      <c r="D3460" s="16" t="str">
        <f>IFERROR(VLOOKUP(C3460,DATA!#REF!,2,FALSE),"")</f>
        <v/>
      </c>
    </row>
    <row r="3461" spans="3:4" s="237" customFormat="1">
      <c r="C3461" s="16" t="str">
        <f>IFERROR(VLOOKUP(DATA!#REF!,DATA!#REF!,1,FALSE),"")</f>
        <v/>
      </c>
      <c r="D3461" s="16" t="str">
        <f>IFERROR(VLOOKUP(C3461,DATA!#REF!,2,FALSE),"")</f>
        <v/>
      </c>
    </row>
    <row r="3462" spans="3:4" s="237" customFormat="1">
      <c r="C3462" s="16" t="str">
        <f>IFERROR(VLOOKUP(DATA!#REF!,DATA!#REF!,1,FALSE),"")</f>
        <v/>
      </c>
      <c r="D3462" s="16" t="str">
        <f>IFERROR(VLOOKUP(C3462,DATA!#REF!,2,FALSE),"")</f>
        <v/>
      </c>
    </row>
    <row r="3463" spans="3:4" s="237" customFormat="1">
      <c r="C3463" s="16" t="str">
        <f>IFERROR(VLOOKUP(DATA!#REF!,DATA!#REF!,1,FALSE),"")</f>
        <v/>
      </c>
      <c r="D3463" s="16" t="str">
        <f>IFERROR(VLOOKUP(C3463,DATA!#REF!,2,FALSE),"")</f>
        <v/>
      </c>
    </row>
    <row r="3464" spans="3:4" s="237" customFormat="1">
      <c r="C3464" s="16" t="str">
        <f>IFERROR(VLOOKUP(DATA!#REF!,DATA!#REF!,1,FALSE),"")</f>
        <v/>
      </c>
      <c r="D3464" s="16" t="str">
        <f>IFERROR(VLOOKUP(C3464,DATA!#REF!,2,FALSE),"")</f>
        <v/>
      </c>
    </row>
    <row r="3465" spans="3:4" s="237" customFormat="1">
      <c r="C3465" s="16" t="str">
        <f>IFERROR(VLOOKUP(DATA!#REF!,DATA!#REF!,1,FALSE),"")</f>
        <v/>
      </c>
      <c r="D3465" s="16" t="str">
        <f>IFERROR(VLOOKUP(C3465,DATA!#REF!,2,FALSE),"")</f>
        <v/>
      </c>
    </row>
    <row r="3466" spans="3:4" s="237" customFormat="1">
      <c r="C3466" s="16" t="str">
        <f>IFERROR(VLOOKUP(DATA!#REF!,DATA!#REF!,1,FALSE),"")</f>
        <v/>
      </c>
      <c r="D3466" s="16" t="str">
        <f>IFERROR(VLOOKUP(C3466,DATA!#REF!,2,FALSE),"")</f>
        <v/>
      </c>
    </row>
    <row r="3467" spans="3:4" s="237" customFormat="1">
      <c r="C3467" s="16" t="str">
        <f>IFERROR(VLOOKUP(DATA!#REF!,DATA!#REF!,1,FALSE),"")</f>
        <v/>
      </c>
      <c r="D3467" s="16" t="str">
        <f>IFERROR(VLOOKUP(C3467,DATA!#REF!,2,FALSE),"")</f>
        <v/>
      </c>
    </row>
    <row r="3468" spans="3:4" s="237" customFormat="1">
      <c r="C3468" s="16" t="str">
        <f>IFERROR(VLOOKUP(DATA!#REF!,DATA!#REF!,1,FALSE),"")</f>
        <v/>
      </c>
      <c r="D3468" s="16" t="str">
        <f>IFERROR(VLOOKUP(C3468,DATA!#REF!,2,FALSE),"")</f>
        <v/>
      </c>
    </row>
    <row r="3469" spans="3:4" s="237" customFormat="1">
      <c r="C3469" s="16" t="str">
        <f>IFERROR(VLOOKUP(DATA!#REF!,DATA!#REF!,1,FALSE),"")</f>
        <v/>
      </c>
      <c r="D3469" s="16" t="str">
        <f>IFERROR(VLOOKUP(C3469,DATA!#REF!,2,FALSE),"")</f>
        <v/>
      </c>
    </row>
    <row r="3470" spans="3:4" s="237" customFormat="1">
      <c r="C3470" s="16" t="str">
        <f>IFERROR(VLOOKUP(DATA!#REF!,DATA!#REF!,1,FALSE),"")</f>
        <v/>
      </c>
      <c r="D3470" s="16" t="str">
        <f>IFERROR(VLOOKUP(C3470,DATA!#REF!,2,FALSE),"")</f>
        <v/>
      </c>
    </row>
    <row r="3471" spans="3:4" s="237" customFormat="1">
      <c r="C3471" s="16" t="str">
        <f>IFERROR(VLOOKUP(DATA!#REF!,DATA!#REF!,1,FALSE),"")</f>
        <v/>
      </c>
      <c r="D3471" s="16" t="str">
        <f>IFERROR(VLOOKUP(C3471,DATA!#REF!,2,FALSE),"")</f>
        <v/>
      </c>
    </row>
    <row r="3472" spans="3:4" s="237" customFormat="1">
      <c r="C3472" s="16" t="str">
        <f>IFERROR(VLOOKUP(DATA!#REF!,DATA!#REF!,1,FALSE),"")</f>
        <v/>
      </c>
      <c r="D3472" s="16" t="str">
        <f>IFERROR(VLOOKUP(C3472,DATA!#REF!,2,FALSE),"")</f>
        <v/>
      </c>
    </row>
    <row r="3473" spans="3:4" s="237" customFormat="1">
      <c r="C3473" s="16" t="str">
        <f>IFERROR(VLOOKUP(DATA!#REF!,DATA!#REF!,1,FALSE),"")</f>
        <v/>
      </c>
      <c r="D3473" s="16" t="str">
        <f>IFERROR(VLOOKUP(C3473,DATA!#REF!,2,FALSE),"")</f>
        <v/>
      </c>
    </row>
    <row r="3474" spans="3:4" s="237" customFormat="1">
      <c r="C3474" s="16" t="str">
        <f>IFERROR(VLOOKUP(DATA!#REF!,DATA!#REF!,1,FALSE),"")</f>
        <v/>
      </c>
      <c r="D3474" s="16" t="str">
        <f>IFERROR(VLOOKUP(C3474,DATA!#REF!,2,FALSE),"")</f>
        <v/>
      </c>
    </row>
    <row r="3475" spans="3:4" s="237" customFormat="1">
      <c r="C3475" s="16" t="str">
        <f>IFERROR(VLOOKUP(DATA!#REF!,DATA!#REF!,1,FALSE),"")</f>
        <v/>
      </c>
      <c r="D3475" s="16" t="str">
        <f>IFERROR(VLOOKUP(C3475,DATA!#REF!,2,FALSE),"")</f>
        <v/>
      </c>
    </row>
    <row r="3476" spans="3:4" s="237" customFormat="1">
      <c r="C3476" s="16" t="str">
        <f>IFERROR(VLOOKUP(DATA!#REF!,DATA!#REF!,1,FALSE),"")</f>
        <v/>
      </c>
      <c r="D3476" s="16" t="str">
        <f>IFERROR(VLOOKUP(C3476,DATA!#REF!,2,FALSE),"")</f>
        <v/>
      </c>
    </row>
    <row r="3477" spans="3:4" s="237" customFormat="1">
      <c r="C3477" s="16" t="str">
        <f>IFERROR(VLOOKUP(DATA!#REF!,DATA!#REF!,1,FALSE),"")</f>
        <v/>
      </c>
      <c r="D3477" s="16" t="str">
        <f>IFERROR(VLOOKUP(C3477,DATA!#REF!,2,FALSE),"")</f>
        <v/>
      </c>
    </row>
    <row r="3478" spans="3:4" s="237" customFormat="1">
      <c r="C3478" s="16" t="str">
        <f>IFERROR(VLOOKUP(DATA!#REF!,DATA!#REF!,1,FALSE),"")</f>
        <v/>
      </c>
      <c r="D3478" s="16" t="str">
        <f>IFERROR(VLOOKUP(C3478,DATA!#REF!,2,FALSE),"")</f>
        <v/>
      </c>
    </row>
    <row r="3479" spans="3:4" s="237" customFormat="1">
      <c r="C3479" s="16" t="str">
        <f>IFERROR(VLOOKUP(DATA!#REF!,DATA!#REF!,1,FALSE),"")</f>
        <v/>
      </c>
      <c r="D3479" s="16" t="str">
        <f>IFERROR(VLOOKUP(C3479,DATA!#REF!,2,FALSE),"")</f>
        <v/>
      </c>
    </row>
    <row r="3480" spans="3:4" s="237" customFormat="1">
      <c r="C3480" s="16" t="str">
        <f>IFERROR(VLOOKUP(DATA!#REF!,DATA!#REF!,1,FALSE),"")</f>
        <v/>
      </c>
      <c r="D3480" s="16" t="str">
        <f>IFERROR(VLOOKUP(C3480,DATA!#REF!,2,FALSE),"")</f>
        <v/>
      </c>
    </row>
    <row r="3481" spans="3:4" s="237" customFormat="1">
      <c r="C3481" s="16" t="str">
        <f>IFERROR(VLOOKUP(DATA!#REF!,DATA!#REF!,1,FALSE),"")</f>
        <v/>
      </c>
      <c r="D3481" s="16" t="str">
        <f>IFERROR(VLOOKUP(C3481,DATA!#REF!,2,FALSE),"")</f>
        <v/>
      </c>
    </row>
    <row r="3482" spans="3:4" s="237" customFormat="1">
      <c r="C3482" s="16" t="str">
        <f>IFERROR(VLOOKUP(DATA!#REF!,DATA!#REF!,1,FALSE),"")</f>
        <v/>
      </c>
      <c r="D3482" s="16" t="str">
        <f>IFERROR(VLOOKUP(C3482,DATA!#REF!,2,FALSE),"")</f>
        <v/>
      </c>
    </row>
    <row r="3483" spans="3:4" s="237" customFormat="1">
      <c r="C3483" s="16" t="str">
        <f>IFERROR(VLOOKUP(DATA!#REF!,DATA!#REF!,1,FALSE),"")</f>
        <v/>
      </c>
      <c r="D3483" s="16" t="str">
        <f>IFERROR(VLOOKUP(C3483,DATA!#REF!,2,FALSE),"")</f>
        <v/>
      </c>
    </row>
    <row r="3484" spans="3:4" s="237" customFormat="1">
      <c r="C3484" s="16" t="str">
        <f>IFERROR(VLOOKUP(DATA!#REF!,DATA!#REF!,1,FALSE),"")</f>
        <v/>
      </c>
      <c r="D3484" s="16" t="str">
        <f>IFERROR(VLOOKUP(C3484,DATA!#REF!,2,FALSE),"")</f>
        <v/>
      </c>
    </row>
    <row r="3485" spans="3:4" s="237" customFormat="1">
      <c r="C3485" s="16" t="str">
        <f>IFERROR(VLOOKUP(DATA!#REF!,DATA!#REF!,1,FALSE),"")</f>
        <v/>
      </c>
      <c r="D3485" s="16" t="str">
        <f>IFERROR(VLOOKUP(C3485,DATA!#REF!,2,FALSE),"")</f>
        <v/>
      </c>
    </row>
    <row r="3486" spans="3:4" s="237" customFormat="1">
      <c r="C3486" s="16" t="str">
        <f>IFERROR(VLOOKUP(DATA!#REF!,DATA!#REF!,1,FALSE),"")</f>
        <v/>
      </c>
      <c r="D3486" s="16" t="str">
        <f>IFERROR(VLOOKUP(C3486,DATA!#REF!,2,FALSE),"")</f>
        <v/>
      </c>
    </row>
    <row r="3487" spans="3:4" s="237" customFormat="1">
      <c r="C3487" s="16" t="str">
        <f>IFERROR(VLOOKUP(DATA!#REF!,DATA!#REF!,1,FALSE),"")</f>
        <v/>
      </c>
      <c r="D3487" s="16" t="str">
        <f>IFERROR(VLOOKUP(C3487,DATA!#REF!,2,FALSE),"")</f>
        <v/>
      </c>
    </row>
    <row r="3488" spans="3:4" s="237" customFormat="1">
      <c r="C3488" s="16" t="str">
        <f>IFERROR(VLOOKUP(DATA!#REF!,DATA!#REF!,1,FALSE),"")</f>
        <v/>
      </c>
      <c r="D3488" s="16" t="str">
        <f>IFERROR(VLOOKUP(C3488,DATA!#REF!,2,FALSE),"")</f>
        <v/>
      </c>
    </row>
    <row r="3489" spans="3:4" s="237" customFormat="1">
      <c r="C3489" s="16" t="str">
        <f>IFERROR(VLOOKUP(DATA!#REF!,DATA!#REF!,1,FALSE),"")</f>
        <v/>
      </c>
      <c r="D3489" s="16" t="str">
        <f>IFERROR(VLOOKUP(C3489,DATA!#REF!,2,FALSE),"")</f>
        <v/>
      </c>
    </row>
    <row r="3490" spans="3:4" s="237" customFormat="1">
      <c r="C3490" s="16" t="str">
        <f>IFERROR(VLOOKUP(DATA!#REF!,DATA!#REF!,1,FALSE),"")</f>
        <v/>
      </c>
      <c r="D3490" s="16" t="str">
        <f>IFERROR(VLOOKUP(C3490,DATA!#REF!,2,FALSE),"")</f>
        <v/>
      </c>
    </row>
    <row r="3491" spans="3:4" s="237" customFormat="1">
      <c r="C3491" s="16" t="str">
        <f>IFERROR(VLOOKUP(DATA!#REF!,DATA!#REF!,1,FALSE),"")</f>
        <v/>
      </c>
      <c r="D3491" s="16" t="str">
        <f>IFERROR(VLOOKUP(C3491,DATA!#REF!,2,FALSE),"")</f>
        <v/>
      </c>
    </row>
    <row r="3492" spans="3:4" s="237" customFormat="1">
      <c r="C3492" s="16" t="str">
        <f>IFERROR(VLOOKUP(DATA!#REF!,DATA!#REF!,1,FALSE),"")</f>
        <v/>
      </c>
      <c r="D3492" s="16" t="str">
        <f>IFERROR(VLOOKUP(C3492,DATA!#REF!,2,FALSE),"")</f>
        <v/>
      </c>
    </row>
    <row r="3493" spans="3:4" s="237" customFormat="1">
      <c r="C3493" s="16" t="str">
        <f>IFERROR(VLOOKUP(DATA!#REF!,DATA!#REF!,1,FALSE),"")</f>
        <v/>
      </c>
      <c r="D3493" s="16" t="str">
        <f>IFERROR(VLOOKUP(C3493,DATA!#REF!,2,FALSE),"")</f>
        <v/>
      </c>
    </row>
    <row r="3494" spans="3:4" s="237" customFormat="1">
      <c r="C3494" s="16" t="str">
        <f>IFERROR(VLOOKUP(DATA!#REF!,DATA!#REF!,1,FALSE),"")</f>
        <v/>
      </c>
      <c r="D3494" s="16" t="str">
        <f>IFERROR(VLOOKUP(C3494,DATA!#REF!,2,FALSE),"")</f>
        <v/>
      </c>
    </row>
    <row r="3495" spans="3:4" s="237" customFormat="1">
      <c r="C3495" s="16" t="str">
        <f>IFERROR(VLOOKUP(DATA!#REF!,DATA!#REF!,1,FALSE),"")</f>
        <v/>
      </c>
      <c r="D3495" s="16" t="str">
        <f>IFERROR(VLOOKUP(C3495,DATA!#REF!,2,FALSE),"")</f>
        <v/>
      </c>
    </row>
    <row r="3496" spans="3:4" s="237" customFormat="1">
      <c r="C3496" s="16" t="str">
        <f>IFERROR(VLOOKUP(DATA!#REF!,DATA!#REF!,1,FALSE),"")</f>
        <v/>
      </c>
      <c r="D3496" s="16" t="str">
        <f>IFERROR(VLOOKUP(C3496,DATA!#REF!,2,FALSE),"")</f>
        <v/>
      </c>
    </row>
    <row r="3497" spans="3:4" s="237" customFormat="1">
      <c r="C3497" s="16" t="str">
        <f>IFERROR(VLOOKUP(DATA!#REF!,DATA!#REF!,1,FALSE),"")</f>
        <v/>
      </c>
      <c r="D3497" s="16" t="str">
        <f>IFERROR(VLOOKUP(C3497,DATA!#REF!,2,FALSE),"")</f>
        <v/>
      </c>
    </row>
    <row r="3498" spans="3:4" s="237" customFormat="1">
      <c r="C3498" s="16" t="str">
        <f>IFERROR(VLOOKUP(DATA!#REF!,DATA!#REF!,1,FALSE),"")</f>
        <v/>
      </c>
      <c r="D3498" s="16" t="str">
        <f>IFERROR(VLOOKUP(C3498,DATA!#REF!,2,FALSE),"")</f>
        <v/>
      </c>
    </row>
    <row r="3499" spans="3:4" s="237" customFormat="1">
      <c r="C3499" s="16" t="str">
        <f>IFERROR(VLOOKUP(DATA!#REF!,DATA!#REF!,1,FALSE),"")</f>
        <v/>
      </c>
      <c r="D3499" s="16" t="str">
        <f>IFERROR(VLOOKUP(C3499,DATA!#REF!,2,FALSE),"")</f>
        <v/>
      </c>
    </row>
    <row r="3500" spans="3:4" s="237" customFormat="1">
      <c r="C3500" s="16" t="str">
        <f>IFERROR(VLOOKUP(DATA!#REF!,DATA!#REF!,1,FALSE),"")</f>
        <v/>
      </c>
      <c r="D3500" s="16" t="str">
        <f>IFERROR(VLOOKUP(C3500,DATA!#REF!,2,FALSE),"")</f>
        <v/>
      </c>
    </row>
    <row r="3501" spans="3:4" s="237" customFormat="1">
      <c r="C3501" s="16" t="str">
        <f>IFERROR(VLOOKUP(DATA!#REF!,DATA!#REF!,1,FALSE),"")</f>
        <v/>
      </c>
      <c r="D3501" s="16" t="str">
        <f>IFERROR(VLOOKUP(C3501,DATA!#REF!,2,FALSE),"")</f>
        <v/>
      </c>
    </row>
    <row r="3502" spans="3:4" s="237" customFormat="1">
      <c r="C3502" s="16" t="str">
        <f>IFERROR(VLOOKUP(DATA!#REF!,DATA!#REF!,1,FALSE),"")</f>
        <v/>
      </c>
      <c r="D3502" s="16" t="str">
        <f>IFERROR(VLOOKUP(C3502,DATA!#REF!,2,FALSE),"")</f>
        <v/>
      </c>
    </row>
    <row r="3503" spans="3:4" s="237" customFormat="1">
      <c r="C3503" s="16" t="str">
        <f>IFERROR(VLOOKUP(DATA!#REF!,DATA!#REF!,1,FALSE),"")</f>
        <v/>
      </c>
      <c r="D3503" s="16" t="str">
        <f>IFERROR(VLOOKUP(C3503,DATA!#REF!,2,FALSE),"")</f>
        <v/>
      </c>
    </row>
    <row r="3504" spans="3:4" s="237" customFormat="1">
      <c r="C3504" s="16" t="str">
        <f>IFERROR(VLOOKUP(DATA!#REF!,DATA!#REF!,1,FALSE),"")</f>
        <v/>
      </c>
      <c r="D3504" s="16" t="str">
        <f>IFERROR(VLOOKUP(C3504,DATA!#REF!,2,FALSE),"")</f>
        <v/>
      </c>
    </row>
    <row r="3505" spans="3:4" s="237" customFormat="1">
      <c r="C3505" s="16" t="str">
        <f>IFERROR(VLOOKUP(DATA!#REF!,DATA!#REF!,1,FALSE),"")</f>
        <v/>
      </c>
      <c r="D3505" s="16" t="str">
        <f>IFERROR(VLOOKUP(C3505,DATA!#REF!,2,FALSE),"")</f>
        <v/>
      </c>
    </row>
    <row r="3506" spans="3:4" s="237" customFormat="1">
      <c r="C3506" s="16" t="str">
        <f>IFERROR(VLOOKUP(DATA!#REF!,DATA!#REF!,1,FALSE),"")</f>
        <v/>
      </c>
      <c r="D3506" s="16" t="str">
        <f>IFERROR(VLOOKUP(C3506,DATA!#REF!,2,FALSE),"")</f>
        <v/>
      </c>
    </row>
    <row r="3507" spans="3:4" s="237" customFormat="1">
      <c r="C3507" s="16" t="str">
        <f>IFERROR(VLOOKUP(DATA!#REF!,DATA!#REF!,1,FALSE),"")</f>
        <v/>
      </c>
      <c r="D3507" s="16" t="str">
        <f>IFERROR(VLOOKUP(C3507,DATA!#REF!,2,FALSE),"")</f>
        <v/>
      </c>
    </row>
    <row r="3508" spans="3:4" s="237" customFormat="1">
      <c r="C3508" s="16" t="str">
        <f>IFERROR(VLOOKUP(DATA!#REF!,DATA!#REF!,1,FALSE),"")</f>
        <v/>
      </c>
      <c r="D3508" s="16" t="str">
        <f>IFERROR(VLOOKUP(C3508,DATA!#REF!,2,FALSE),"")</f>
        <v/>
      </c>
    </row>
    <row r="3509" spans="3:4" s="237" customFormat="1">
      <c r="C3509" s="16" t="str">
        <f>IFERROR(VLOOKUP(DATA!#REF!,DATA!#REF!,1,FALSE),"")</f>
        <v/>
      </c>
      <c r="D3509" s="16" t="str">
        <f>IFERROR(VLOOKUP(C3509,DATA!#REF!,2,FALSE),"")</f>
        <v/>
      </c>
    </row>
    <row r="3510" spans="3:4" s="237" customFormat="1">
      <c r="C3510" s="16" t="str">
        <f>IFERROR(VLOOKUP(DATA!#REF!,DATA!#REF!,1,FALSE),"")</f>
        <v/>
      </c>
      <c r="D3510" s="16" t="str">
        <f>IFERROR(VLOOKUP(C3510,DATA!#REF!,2,FALSE),"")</f>
        <v/>
      </c>
    </row>
    <row r="3511" spans="3:4" s="237" customFormat="1">
      <c r="C3511" s="16" t="str">
        <f>IFERROR(VLOOKUP(DATA!#REF!,DATA!#REF!,1,FALSE),"")</f>
        <v/>
      </c>
      <c r="D3511" s="16" t="str">
        <f>IFERROR(VLOOKUP(C3511,DATA!#REF!,2,FALSE),"")</f>
        <v/>
      </c>
    </row>
    <row r="3512" spans="3:4" s="237" customFormat="1">
      <c r="C3512" s="16" t="str">
        <f>IFERROR(VLOOKUP(DATA!#REF!,DATA!#REF!,1,FALSE),"")</f>
        <v/>
      </c>
      <c r="D3512" s="16" t="str">
        <f>IFERROR(VLOOKUP(C3512,DATA!#REF!,2,FALSE),"")</f>
        <v/>
      </c>
    </row>
    <row r="3513" spans="3:4" s="237" customFormat="1">
      <c r="C3513" s="16" t="str">
        <f>IFERROR(VLOOKUP(DATA!#REF!,DATA!#REF!,1,FALSE),"")</f>
        <v/>
      </c>
      <c r="D3513" s="16" t="str">
        <f>IFERROR(VLOOKUP(C3513,DATA!#REF!,2,FALSE),"")</f>
        <v/>
      </c>
    </row>
    <row r="3514" spans="3:4" s="237" customFormat="1">
      <c r="C3514" s="16" t="str">
        <f>IFERROR(VLOOKUP(DATA!#REF!,DATA!#REF!,1,FALSE),"")</f>
        <v/>
      </c>
      <c r="D3514" s="16" t="str">
        <f>IFERROR(VLOOKUP(C3514,DATA!#REF!,2,FALSE),"")</f>
        <v/>
      </c>
    </row>
    <row r="3515" spans="3:4" s="237" customFormat="1">
      <c r="C3515" s="16" t="str">
        <f>IFERROR(VLOOKUP(DATA!#REF!,DATA!#REF!,1,FALSE),"")</f>
        <v/>
      </c>
      <c r="D3515" s="16" t="str">
        <f>IFERROR(VLOOKUP(C3515,DATA!#REF!,2,FALSE),"")</f>
        <v/>
      </c>
    </row>
    <row r="3516" spans="3:4" s="237" customFormat="1">
      <c r="C3516" s="16" t="str">
        <f>IFERROR(VLOOKUP(DATA!#REF!,DATA!#REF!,1,FALSE),"")</f>
        <v/>
      </c>
      <c r="D3516" s="16" t="str">
        <f>IFERROR(VLOOKUP(C3516,DATA!#REF!,2,FALSE),"")</f>
        <v/>
      </c>
    </row>
    <row r="3517" spans="3:4" s="237" customFormat="1">
      <c r="C3517" s="16" t="str">
        <f>IFERROR(VLOOKUP(DATA!#REF!,DATA!#REF!,1,FALSE),"")</f>
        <v/>
      </c>
      <c r="D3517" s="16" t="str">
        <f>IFERROR(VLOOKUP(C3517,DATA!#REF!,2,FALSE),"")</f>
        <v/>
      </c>
    </row>
    <row r="3518" spans="3:4" s="237" customFormat="1">
      <c r="C3518" s="16" t="str">
        <f>IFERROR(VLOOKUP(DATA!#REF!,DATA!#REF!,1,FALSE),"")</f>
        <v/>
      </c>
      <c r="D3518" s="16" t="str">
        <f>IFERROR(VLOOKUP(C3518,DATA!#REF!,2,FALSE),"")</f>
        <v/>
      </c>
    </row>
    <row r="3519" spans="3:4" s="237" customFormat="1">
      <c r="C3519" s="16" t="str">
        <f>IFERROR(VLOOKUP(DATA!#REF!,DATA!#REF!,1,FALSE),"")</f>
        <v/>
      </c>
      <c r="D3519" s="16" t="str">
        <f>IFERROR(VLOOKUP(C3519,DATA!#REF!,2,FALSE),"")</f>
        <v/>
      </c>
    </row>
    <row r="3520" spans="3:4" s="237" customFormat="1">
      <c r="C3520" s="16" t="str">
        <f>IFERROR(VLOOKUP(DATA!#REF!,DATA!#REF!,1,FALSE),"")</f>
        <v/>
      </c>
      <c r="D3520" s="16" t="str">
        <f>IFERROR(VLOOKUP(C3520,DATA!#REF!,2,FALSE),"")</f>
        <v/>
      </c>
    </row>
    <row r="3521" spans="3:4" s="237" customFormat="1">
      <c r="C3521" s="16" t="str">
        <f>IFERROR(VLOOKUP(DATA!#REF!,DATA!#REF!,1,FALSE),"")</f>
        <v/>
      </c>
      <c r="D3521" s="16" t="str">
        <f>IFERROR(VLOOKUP(C3521,DATA!#REF!,2,FALSE),"")</f>
        <v/>
      </c>
    </row>
    <row r="3522" spans="3:4" s="237" customFormat="1">
      <c r="C3522" s="16" t="str">
        <f>IFERROR(VLOOKUP(DATA!#REF!,DATA!#REF!,1,FALSE),"")</f>
        <v/>
      </c>
      <c r="D3522" s="16" t="str">
        <f>IFERROR(VLOOKUP(C3522,DATA!#REF!,2,FALSE),"")</f>
        <v/>
      </c>
    </row>
    <row r="3523" spans="3:4" s="237" customFormat="1">
      <c r="C3523" s="16" t="str">
        <f>IFERROR(VLOOKUP(DATA!#REF!,DATA!#REF!,1,FALSE),"")</f>
        <v/>
      </c>
      <c r="D3523" s="16" t="str">
        <f>IFERROR(VLOOKUP(C3523,DATA!#REF!,2,FALSE),"")</f>
        <v/>
      </c>
    </row>
    <row r="3524" spans="3:4" s="237" customFormat="1">
      <c r="C3524" s="16" t="str">
        <f>IFERROR(VLOOKUP(DATA!#REF!,DATA!#REF!,1,FALSE),"")</f>
        <v/>
      </c>
      <c r="D3524" s="16" t="str">
        <f>IFERROR(VLOOKUP(C3524,DATA!#REF!,2,FALSE),"")</f>
        <v/>
      </c>
    </row>
    <row r="3525" spans="3:4" s="237" customFormat="1">
      <c r="C3525" s="16" t="str">
        <f>IFERROR(VLOOKUP(DATA!#REF!,DATA!#REF!,1,FALSE),"")</f>
        <v/>
      </c>
      <c r="D3525" s="16" t="str">
        <f>IFERROR(VLOOKUP(C3525,DATA!#REF!,2,FALSE),"")</f>
        <v/>
      </c>
    </row>
    <row r="3526" spans="3:4" s="237" customFormat="1">
      <c r="C3526" s="16" t="str">
        <f>IFERROR(VLOOKUP(DATA!#REF!,DATA!#REF!,1,FALSE),"")</f>
        <v/>
      </c>
      <c r="D3526" s="16" t="str">
        <f>IFERROR(VLOOKUP(C3526,DATA!#REF!,2,FALSE),"")</f>
        <v/>
      </c>
    </row>
    <row r="3527" spans="3:4" s="237" customFormat="1">
      <c r="C3527" s="16" t="str">
        <f>IFERROR(VLOOKUP(DATA!#REF!,DATA!#REF!,1,FALSE),"")</f>
        <v/>
      </c>
      <c r="D3527" s="16" t="str">
        <f>IFERROR(VLOOKUP(C3527,DATA!#REF!,2,FALSE),"")</f>
        <v/>
      </c>
    </row>
    <row r="3528" spans="3:4" s="237" customFormat="1">
      <c r="C3528" s="16" t="str">
        <f>IFERROR(VLOOKUP(DATA!#REF!,DATA!#REF!,1,FALSE),"")</f>
        <v/>
      </c>
      <c r="D3528" s="16" t="str">
        <f>IFERROR(VLOOKUP(C3528,DATA!#REF!,2,FALSE),"")</f>
        <v/>
      </c>
    </row>
    <row r="3529" spans="3:4" s="237" customFormat="1">
      <c r="C3529" s="16" t="str">
        <f>IFERROR(VLOOKUP(DATA!#REF!,DATA!#REF!,1,FALSE),"")</f>
        <v/>
      </c>
      <c r="D3529" s="16" t="str">
        <f>IFERROR(VLOOKUP(C3529,DATA!#REF!,2,FALSE),"")</f>
        <v/>
      </c>
    </row>
    <row r="3530" spans="3:4" s="237" customFormat="1">
      <c r="C3530" s="16" t="str">
        <f>IFERROR(VLOOKUP(DATA!#REF!,DATA!#REF!,1,FALSE),"")</f>
        <v/>
      </c>
      <c r="D3530" s="16" t="str">
        <f>IFERROR(VLOOKUP(C3530,DATA!#REF!,2,FALSE),"")</f>
        <v/>
      </c>
    </row>
    <row r="3531" spans="3:4" s="237" customFormat="1">
      <c r="C3531" s="16" t="str">
        <f>IFERROR(VLOOKUP(DATA!#REF!,DATA!#REF!,1,FALSE),"")</f>
        <v/>
      </c>
      <c r="D3531" s="16" t="str">
        <f>IFERROR(VLOOKUP(C3531,DATA!#REF!,2,FALSE),"")</f>
        <v/>
      </c>
    </row>
    <row r="3532" spans="3:4" s="237" customFormat="1">
      <c r="C3532" s="16" t="str">
        <f>IFERROR(VLOOKUP(DATA!#REF!,DATA!#REF!,1,FALSE),"")</f>
        <v/>
      </c>
      <c r="D3532" s="16" t="str">
        <f>IFERROR(VLOOKUP(C3532,DATA!#REF!,2,FALSE),"")</f>
        <v/>
      </c>
    </row>
    <row r="3533" spans="3:4" s="237" customFormat="1">
      <c r="C3533" s="16" t="str">
        <f>IFERROR(VLOOKUP(DATA!#REF!,DATA!#REF!,1,FALSE),"")</f>
        <v/>
      </c>
      <c r="D3533" s="16" t="str">
        <f>IFERROR(VLOOKUP(C3533,DATA!#REF!,2,FALSE),"")</f>
        <v/>
      </c>
    </row>
    <row r="3534" spans="3:4" s="237" customFormat="1">
      <c r="C3534" s="16" t="str">
        <f>IFERROR(VLOOKUP(DATA!#REF!,DATA!#REF!,1,FALSE),"")</f>
        <v/>
      </c>
      <c r="D3534" s="16" t="str">
        <f>IFERROR(VLOOKUP(C3534,DATA!#REF!,2,FALSE),"")</f>
        <v/>
      </c>
    </row>
    <row r="3535" spans="3:4" s="237" customFormat="1">
      <c r="C3535" s="16" t="str">
        <f>IFERROR(VLOOKUP(DATA!#REF!,DATA!#REF!,1,FALSE),"")</f>
        <v/>
      </c>
      <c r="D3535" s="16" t="str">
        <f>IFERROR(VLOOKUP(C3535,DATA!#REF!,2,FALSE),"")</f>
        <v/>
      </c>
    </row>
    <row r="3536" spans="3:4" s="237" customFormat="1">
      <c r="C3536" s="16" t="str">
        <f>IFERROR(VLOOKUP(DATA!#REF!,DATA!#REF!,1,FALSE),"")</f>
        <v/>
      </c>
      <c r="D3536" s="16" t="str">
        <f>IFERROR(VLOOKUP(C3536,DATA!#REF!,2,FALSE),"")</f>
        <v/>
      </c>
    </row>
    <row r="3537" spans="3:4" s="237" customFormat="1">
      <c r="C3537" s="16" t="str">
        <f>IFERROR(VLOOKUP(DATA!#REF!,DATA!#REF!,1,FALSE),"")</f>
        <v/>
      </c>
      <c r="D3537" s="16" t="str">
        <f>IFERROR(VLOOKUP(C3537,DATA!#REF!,2,FALSE),"")</f>
        <v/>
      </c>
    </row>
    <row r="3538" spans="3:4" s="237" customFormat="1">
      <c r="C3538" s="16" t="str">
        <f>IFERROR(VLOOKUP(DATA!#REF!,DATA!#REF!,1,FALSE),"")</f>
        <v/>
      </c>
      <c r="D3538" s="16" t="str">
        <f>IFERROR(VLOOKUP(C3538,DATA!#REF!,2,FALSE),"")</f>
        <v/>
      </c>
    </row>
    <row r="3539" spans="3:4" s="237" customFormat="1">
      <c r="C3539" s="16" t="str">
        <f>IFERROR(VLOOKUP(DATA!#REF!,DATA!#REF!,1,FALSE),"")</f>
        <v/>
      </c>
      <c r="D3539" s="16" t="str">
        <f>IFERROR(VLOOKUP(C3539,DATA!#REF!,2,FALSE),"")</f>
        <v/>
      </c>
    </row>
    <row r="3540" spans="3:4" s="237" customFormat="1">
      <c r="C3540" s="16" t="str">
        <f>IFERROR(VLOOKUP(DATA!#REF!,DATA!#REF!,1,FALSE),"")</f>
        <v/>
      </c>
      <c r="D3540" s="16" t="str">
        <f>IFERROR(VLOOKUP(C3540,DATA!#REF!,2,FALSE),"")</f>
        <v/>
      </c>
    </row>
    <row r="3541" spans="3:4" s="237" customFormat="1">
      <c r="C3541" s="16" t="str">
        <f>IFERROR(VLOOKUP(DATA!#REF!,DATA!#REF!,1,FALSE),"")</f>
        <v/>
      </c>
      <c r="D3541" s="16" t="str">
        <f>IFERROR(VLOOKUP(C3541,DATA!#REF!,2,FALSE),"")</f>
        <v/>
      </c>
    </row>
    <row r="3542" spans="3:4" s="237" customFormat="1">
      <c r="C3542" s="16" t="str">
        <f>IFERROR(VLOOKUP(DATA!#REF!,DATA!#REF!,1,FALSE),"")</f>
        <v/>
      </c>
      <c r="D3542" s="16" t="str">
        <f>IFERROR(VLOOKUP(C3542,DATA!#REF!,2,FALSE),"")</f>
        <v/>
      </c>
    </row>
    <row r="3543" spans="3:4" s="237" customFormat="1">
      <c r="C3543" s="16" t="str">
        <f>IFERROR(VLOOKUP(DATA!#REF!,DATA!#REF!,1,FALSE),"")</f>
        <v/>
      </c>
      <c r="D3543" s="16" t="str">
        <f>IFERROR(VLOOKUP(C3543,DATA!#REF!,2,FALSE),"")</f>
        <v/>
      </c>
    </row>
    <row r="3544" spans="3:4" s="237" customFormat="1">
      <c r="C3544" s="16" t="str">
        <f>IFERROR(VLOOKUP(DATA!#REF!,DATA!#REF!,1,FALSE),"")</f>
        <v/>
      </c>
      <c r="D3544" s="16" t="str">
        <f>IFERROR(VLOOKUP(C3544,DATA!#REF!,2,FALSE),"")</f>
        <v/>
      </c>
    </row>
    <row r="3545" spans="3:4" s="237" customFormat="1">
      <c r="C3545" s="16" t="str">
        <f>IFERROR(VLOOKUP(DATA!#REF!,DATA!#REF!,1,FALSE),"")</f>
        <v/>
      </c>
      <c r="D3545" s="16" t="str">
        <f>IFERROR(VLOOKUP(C3545,DATA!#REF!,2,FALSE),"")</f>
        <v/>
      </c>
    </row>
    <row r="3546" spans="3:4" s="237" customFormat="1">
      <c r="C3546" s="16" t="str">
        <f>IFERROR(VLOOKUP(DATA!#REF!,DATA!#REF!,1,FALSE),"")</f>
        <v/>
      </c>
      <c r="D3546" s="16" t="str">
        <f>IFERROR(VLOOKUP(C3546,DATA!#REF!,2,FALSE),"")</f>
        <v/>
      </c>
    </row>
    <row r="3547" spans="3:4" s="237" customFormat="1">
      <c r="C3547" s="16" t="str">
        <f>IFERROR(VLOOKUP(DATA!#REF!,DATA!#REF!,1,FALSE),"")</f>
        <v/>
      </c>
      <c r="D3547" s="16" t="str">
        <f>IFERROR(VLOOKUP(C3547,DATA!#REF!,2,FALSE),"")</f>
        <v/>
      </c>
    </row>
    <row r="3548" spans="3:4" s="237" customFormat="1">
      <c r="C3548" s="16" t="str">
        <f>IFERROR(VLOOKUP(DATA!#REF!,DATA!#REF!,1,FALSE),"")</f>
        <v/>
      </c>
      <c r="D3548" s="16" t="str">
        <f>IFERROR(VLOOKUP(C3548,DATA!#REF!,2,FALSE),"")</f>
        <v/>
      </c>
    </row>
    <row r="3549" spans="3:4" s="237" customFormat="1">
      <c r="C3549" s="16" t="str">
        <f>IFERROR(VLOOKUP(DATA!#REF!,DATA!#REF!,1,FALSE),"")</f>
        <v/>
      </c>
      <c r="D3549" s="16" t="str">
        <f>IFERROR(VLOOKUP(C3549,DATA!#REF!,2,FALSE),"")</f>
        <v/>
      </c>
    </row>
    <row r="3550" spans="3:4" s="237" customFormat="1">
      <c r="C3550" s="16" t="str">
        <f>IFERROR(VLOOKUP(DATA!#REF!,DATA!#REF!,1,FALSE),"")</f>
        <v/>
      </c>
      <c r="D3550" s="16" t="str">
        <f>IFERROR(VLOOKUP(C3550,DATA!#REF!,2,FALSE),"")</f>
        <v/>
      </c>
    </row>
    <row r="3551" spans="3:4" s="237" customFormat="1">
      <c r="C3551" s="16" t="str">
        <f>IFERROR(VLOOKUP(DATA!#REF!,DATA!#REF!,1,FALSE),"")</f>
        <v/>
      </c>
      <c r="D3551" s="16" t="str">
        <f>IFERROR(VLOOKUP(C3551,DATA!#REF!,2,FALSE),"")</f>
        <v/>
      </c>
    </row>
    <row r="3552" spans="3:4" s="237" customFormat="1">
      <c r="C3552" s="16" t="str">
        <f>IFERROR(VLOOKUP(DATA!#REF!,DATA!#REF!,1,FALSE),"")</f>
        <v/>
      </c>
      <c r="D3552" s="16" t="str">
        <f>IFERROR(VLOOKUP(C3552,DATA!#REF!,2,FALSE),"")</f>
        <v/>
      </c>
    </row>
    <row r="3553" spans="3:4" s="237" customFormat="1">
      <c r="C3553" s="16" t="str">
        <f>IFERROR(VLOOKUP(DATA!#REF!,DATA!#REF!,1,FALSE),"")</f>
        <v/>
      </c>
      <c r="D3553" s="16" t="str">
        <f>IFERROR(VLOOKUP(C3553,DATA!#REF!,2,FALSE),"")</f>
        <v/>
      </c>
    </row>
    <row r="3554" spans="3:4" s="237" customFormat="1">
      <c r="C3554" s="16" t="str">
        <f>IFERROR(VLOOKUP(DATA!#REF!,DATA!#REF!,1,FALSE),"")</f>
        <v/>
      </c>
      <c r="D3554" s="16" t="str">
        <f>IFERROR(VLOOKUP(C3554,DATA!#REF!,2,FALSE),"")</f>
        <v/>
      </c>
    </row>
    <row r="3555" spans="3:4" s="237" customFormat="1">
      <c r="C3555" s="16" t="str">
        <f>IFERROR(VLOOKUP(DATA!#REF!,DATA!#REF!,1,FALSE),"")</f>
        <v/>
      </c>
      <c r="D3555" s="16" t="str">
        <f>IFERROR(VLOOKUP(C3555,DATA!#REF!,2,FALSE),"")</f>
        <v/>
      </c>
    </row>
    <row r="3556" spans="3:4" s="237" customFormat="1">
      <c r="C3556" s="16" t="str">
        <f>IFERROR(VLOOKUP(DATA!#REF!,DATA!#REF!,1,FALSE),"")</f>
        <v/>
      </c>
      <c r="D3556" s="16" t="str">
        <f>IFERROR(VLOOKUP(C3556,DATA!#REF!,2,FALSE),"")</f>
        <v/>
      </c>
    </row>
    <row r="3557" spans="3:4" s="237" customFormat="1">
      <c r="C3557" s="16" t="str">
        <f>IFERROR(VLOOKUP(DATA!#REF!,DATA!#REF!,1,FALSE),"")</f>
        <v/>
      </c>
      <c r="D3557" s="16" t="str">
        <f>IFERROR(VLOOKUP(C3557,DATA!#REF!,2,FALSE),"")</f>
        <v/>
      </c>
    </row>
    <row r="3558" spans="3:4" s="237" customFormat="1">
      <c r="C3558" s="16" t="str">
        <f>IFERROR(VLOOKUP(DATA!#REF!,DATA!#REF!,1,FALSE),"")</f>
        <v/>
      </c>
      <c r="D3558" s="16" t="str">
        <f>IFERROR(VLOOKUP(C3558,DATA!#REF!,2,FALSE),"")</f>
        <v/>
      </c>
    </row>
    <row r="3559" spans="3:4" s="237" customFormat="1">
      <c r="C3559" s="16" t="str">
        <f>IFERROR(VLOOKUP(DATA!#REF!,DATA!#REF!,1,FALSE),"")</f>
        <v/>
      </c>
      <c r="D3559" s="16" t="str">
        <f>IFERROR(VLOOKUP(C3559,DATA!#REF!,2,FALSE),"")</f>
        <v/>
      </c>
    </row>
    <row r="3560" spans="3:4" s="237" customFormat="1">
      <c r="C3560" s="16" t="str">
        <f>IFERROR(VLOOKUP(DATA!#REF!,DATA!#REF!,1,FALSE),"")</f>
        <v/>
      </c>
      <c r="D3560" s="16" t="str">
        <f>IFERROR(VLOOKUP(C3560,DATA!#REF!,2,FALSE),"")</f>
        <v/>
      </c>
    </row>
    <row r="3561" spans="3:4" s="237" customFormat="1">
      <c r="C3561" s="16" t="str">
        <f>IFERROR(VLOOKUP(DATA!#REF!,DATA!#REF!,1,FALSE),"")</f>
        <v/>
      </c>
      <c r="D3561" s="16" t="str">
        <f>IFERROR(VLOOKUP(C3561,DATA!#REF!,2,FALSE),"")</f>
        <v/>
      </c>
    </row>
    <row r="3562" spans="3:4" s="237" customFormat="1">
      <c r="C3562" s="16" t="str">
        <f>IFERROR(VLOOKUP(DATA!#REF!,DATA!#REF!,1,FALSE),"")</f>
        <v/>
      </c>
      <c r="D3562" s="16" t="str">
        <f>IFERROR(VLOOKUP(C3562,DATA!#REF!,2,FALSE),"")</f>
        <v/>
      </c>
    </row>
    <row r="3563" spans="3:4" s="237" customFormat="1">
      <c r="C3563" s="16" t="str">
        <f>IFERROR(VLOOKUP(DATA!#REF!,DATA!#REF!,1,FALSE),"")</f>
        <v/>
      </c>
      <c r="D3563" s="16" t="str">
        <f>IFERROR(VLOOKUP(C3563,DATA!#REF!,2,FALSE),"")</f>
        <v/>
      </c>
    </row>
    <row r="3564" spans="3:4" s="237" customFormat="1">
      <c r="C3564" s="16" t="str">
        <f>IFERROR(VLOOKUP(DATA!#REF!,DATA!#REF!,1,FALSE),"")</f>
        <v/>
      </c>
      <c r="D3564" s="16" t="str">
        <f>IFERROR(VLOOKUP(C3564,DATA!#REF!,2,FALSE),"")</f>
        <v/>
      </c>
    </row>
    <row r="3565" spans="3:4" s="237" customFormat="1">
      <c r="C3565" s="16" t="str">
        <f>IFERROR(VLOOKUP(DATA!#REF!,DATA!#REF!,1,FALSE),"")</f>
        <v/>
      </c>
      <c r="D3565" s="16" t="str">
        <f>IFERROR(VLOOKUP(C3565,DATA!#REF!,2,FALSE),"")</f>
        <v/>
      </c>
    </row>
    <row r="3566" spans="3:4" s="237" customFormat="1">
      <c r="C3566" s="16" t="str">
        <f>IFERROR(VLOOKUP(DATA!#REF!,DATA!#REF!,1,FALSE),"")</f>
        <v/>
      </c>
      <c r="D3566" s="16" t="str">
        <f>IFERROR(VLOOKUP(C3566,DATA!#REF!,2,FALSE),"")</f>
        <v/>
      </c>
    </row>
    <row r="3567" spans="3:4" s="237" customFormat="1">
      <c r="C3567" s="16" t="str">
        <f>IFERROR(VLOOKUP(DATA!#REF!,DATA!#REF!,1,FALSE),"")</f>
        <v/>
      </c>
      <c r="D3567" s="16" t="str">
        <f>IFERROR(VLOOKUP(C3567,DATA!#REF!,2,FALSE),"")</f>
        <v/>
      </c>
    </row>
    <row r="3568" spans="3:4" s="237" customFormat="1">
      <c r="C3568" s="16" t="str">
        <f>IFERROR(VLOOKUP(DATA!#REF!,DATA!#REF!,1,FALSE),"")</f>
        <v/>
      </c>
      <c r="D3568" s="16" t="str">
        <f>IFERROR(VLOOKUP(C3568,DATA!#REF!,2,FALSE),"")</f>
        <v/>
      </c>
    </row>
    <row r="3569" spans="3:4" s="237" customFormat="1">
      <c r="C3569" s="16" t="str">
        <f>IFERROR(VLOOKUP(DATA!#REF!,DATA!#REF!,1,FALSE),"")</f>
        <v/>
      </c>
      <c r="D3569" s="16" t="str">
        <f>IFERROR(VLOOKUP(C3569,DATA!#REF!,2,FALSE),"")</f>
        <v/>
      </c>
    </row>
    <row r="3570" spans="3:4" s="237" customFormat="1">
      <c r="C3570" s="16" t="str">
        <f>IFERROR(VLOOKUP(DATA!#REF!,DATA!#REF!,1,FALSE),"")</f>
        <v/>
      </c>
      <c r="D3570" s="16" t="str">
        <f>IFERROR(VLOOKUP(C3570,DATA!#REF!,2,FALSE),"")</f>
        <v/>
      </c>
    </row>
    <row r="3571" spans="3:4" s="237" customFormat="1">
      <c r="C3571" s="16" t="str">
        <f>IFERROR(VLOOKUP(DATA!#REF!,DATA!#REF!,1,FALSE),"")</f>
        <v/>
      </c>
      <c r="D3571" s="16" t="str">
        <f>IFERROR(VLOOKUP(C3571,DATA!#REF!,2,FALSE),"")</f>
        <v/>
      </c>
    </row>
    <row r="3572" spans="3:4" s="237" customFormat="1">
      <c r="C3572" s="16" t="str">
        <f>IFERROR(VLOOKUP(DATA!#REF!,DATA!#REF!,1,FALSE),"")</f>
        <v/>
      </c>
      <c r="D3572" s="16" t="str">
        <f>IFERROR(VLOOKUP(C3572,DATA!#REF!,2,FALSE),"")</f>
        <v/>
      </c>
    </row>
    <row r="3573" spans="3:4" s="237" customFormat="1">
      <c r="C3573" s="16" t="str">
        <f>IFERROR(VLOOKUP(DATA!#REF!,DATA!#REF!,1,FALSE),"")</f>
        <v/>
      </c>
      <c r="D3573" s="16" t="str">
        <f>IFERROR(VLOOKUP(C3573,DATA!#REF!,2,FALSE),"")</f>
        <v/>
      </c>
    </row>
    <row r="3574" spans="3:4" s="237" customFormat="1">
      <c r="C3574" s="16" t="str">
        <f>IFERROR(VLOOKUP(DATA!#REF!,DATA!#REF!,1,FALSE),"")</f>
        <v/>
      </c>
      <c r="D3574" s="16" t="str">
        <f>IFERROR(VLOOKUP(C3574,DATA!#REF!,2,FALSE),"")</f>
        <v/>
      </c>
    </row>
    <row r="3575" spans="3:4" s="237" customFormat="1">
      <c r="C3575" s="16" t="str">
        <f>IFERROR(VLOOKUP(DATA!#REF!,DATA!#REF!,1,FALSE),"")</f>
        <v/>
      </c>
      <c r="D3575" s="16" t="str">
        <f>IFERROR(VLOOKUP(C3575,DATA!#REF!,2,FALSE),"")</f>
        <v/>
      </c>
    </row>
    <row r="3576" spans="3:4" s="237" customFormat="1">
      <c r="C3576" s="16" t="str">
        <f>IFERROR(VLOOKUP(DATA!#REF!,DATA!#REF!,1,FALSE),"")</f>
        <v/>
      </c>
      <c r="D3576" s="16" t="str">
        <f>IFERROR(VLOOKUP(C3576,DATA!#REF!,2,FALSE),"")</f>
        <v/>
      </c>
    </row>
    <row r="3577" spans="3:4" s="237" customFormat="1">
      <c r="C3577" s="16" t="str">
        <f>IFERROR(VLOOKUP(DATA!#REF!,DATA!#REF!,1,FALSE),"")</f>
        <v/>
      </c>
      <c r="D3577" s="16" t="str">
        <f>IFERROR(VLOOKUP(C3577,DATA!#REF!,2,FALSE),"")</f>
        <v/>
      </c>
    </row>
    <row r="3578" spans="3:4" s="237" customFormat="1">
      <c r="C3578" s="16" t="str">
        <f>IFERROR(VLOOKUP(DATA!#REF!,DATA!#REF!,1,FALSE),"")</f>
        <v/>
      </c>
      <c r="D3578" s="16" t="str">
        <f>IFERROR(VLOOKUP(C3578,DATA!#REF!,2,FALSE),"")</f>
        <v/>
      </c>
    </row>
    <row r="3579" spans="3:4" s="237" customFormat="1">
      <c r="C3579" s="16" t="str">
        <f>IFERROR(VLOOKUP(DATA!#REF!,DATA!#REF!,1,FALSE),"")</f>
        <v/>
      </c>
      <c r="D3579" s="16" t="str">
        <f>IFERROR(VLOOKUP(C3579,DATA!#REF!,2,FALSE),"")</f>
        <v/>
      </c>
    </row>
    <row r="3580" spans="3:4" s="237" customFormat="1">
      <c r="C3580" s="16" t="str">
        <f>IFERROR(VLOOKUP(DATA!#REF!,DATA!#REF!,1,FALSE),"")</f>
        <v/>
      </c>
      <c r="D3580" s="16" t="str">
        <f>IFERROR(VLOOKUP(C3580,DATA!#REF!,2,FALSE),"")</f>
        <v/>
      </c>
    </row>
    <row r="3581" spans="3:4" s="237" customFormat="1">
      <c r="C3581" s="16" t="str">
        <f>IFERROR(VLOOKUP(DATA!#REF!,DATA!#REF!,1,FALSE),"")</f>
        <v/>
      </c>
      <c r="D3581" s="16" t="str">
        <f>IFERROR(VLOOKUP(C3581,DATA!#REF!,2,FALSE),"")</f>
        <v/>
      </c>
    </row>
    <row r="3582" spans="3:4" s="237" customFormat="1">
      <c r="C3582" s="16" t="str">
        <f>IFERROR(VLOOKUP(DATA!#REF!,DATA!#REF!,1,FALSE),"")</f>
        <v/>
      </c>
      <c r="D3582" s="16" t="str">
        <f>IFERROR(VLOOKUP(C3582,DATA!#REF!,2,FALSE),"")</f>
        <v/>
      </c>
    </row>
    <row r="3583" spans="3:4" s="237" customFormat="1">
      <c r="C3583" s="16" t="str">
        <f>IFERROR(VLOOKUP(DATA!#REF!,DATA!#REF!,1,FALSE),"")</f>
        <v/>
      </c>
      <c r="D3583" s="16" t="str">
        <f>IFERROR(VLOOKUP(C3583,DATA!#REF!,2,FALSE),"")</f>
        <v/>
      </c>
    </row>
    <row r="3584" spans="3:4" s="237" customFormat="1">
      <c r="C3584" s="16" t="str">
        <f>IFERROR(VLOOKUP(DATA!#REF!,DATA!#REF!,1,FALSE),"")</f>
        <v/>
      </c>
      <c r="D3584" s="16" t="str">
        <f>IFERROR(VLOOKUP(C3584,DATA!#REF!,2,FALSE),"")</f>
        <v/>
      </c>
    </row>
    <row r="3585" spans="3:4" s="237" customFormat="1">
      <c r="C3585" s="16" t="str">
        <f>IFERROR(VLOOKUP(DATA!#REF!,DATA!#REF!,1,FALSE),"")</f>
        <v/>
      </c>
      <c r="D3585" s="16" t="str">
        <f>IFERROR(VLOOKUP(C3585,DATA!#REF!,2,FALSE),"")</f>
        <v/>
      </c>
    </row>
    <row r="3586" spans="3:4" s="237" customFormat="1">
      <c r="C3586" s="16" t="str">
        <f>IFERROR(VLOOKUP(DATA!#REF!,DATA!#REF!,1,FALSE),"")</f>
        <v/>
      </c>
      <c r="D3586" s="16" t="str">
        <f>IFERROR(VLOOKUP(C3586,DATA!#REF!,2,FALSE),"")</f>
        <v/>
      </c>
    </row>
    <row r="3587" spans="3:4" s="237" customFormat="1">
      <c r="C3587" s="16" t="str">
        <f>IFERROR(VLOOKUP(DATA!#REF!,DATA!#REF!,1,FALSE),"")</f>
        <v/>
      </c>
      <c r="D3587" s="16" t="str">
        <f>IFERROR(VLOOKUP(C3587,DATA!#REF!,2,FALSE),"")</f>
        <v/>
      </c>
    </row>
    <row r="3588" spans="3:4" s="237" customFormat="1">
      <c r="C3588" s="16" t="str">
        <f>IFERROR(VLOOKUP(DATA!#REF!,DATA!#REF!,1,FALSE),"")</f>
        <v/>
      </c>
      <c r="D3588" s="16" t="str">
        <f>IFERROR(VLOOKUP(C3588,DATA!#REF!,2,FALSE),"")</f>
        <v/>
      </c>
    </row>
    <row r="3589" spans="3:4" s="237" customFormat="1">
      <c r="C3589" s="16" t="str">
        <f>IFERROR(VLOOKUP(DATA!#REF!,DATA!#REF!,1,FALSE),"")</f>
        <v/>
      </c>
      <c r="D3589" s="16" t="str">
        <f>IFERROR(VLOOKUP(C3589,DATA!#REF!,2,FALSE),"")</f>
        <v/>
      </c>
    </row>
    <row r="3590" spans="3:4" s="237" customFormat="1">
      <c r="C3590" s="16" t="str">
        <f>IFERROR(VLOOKUP(DATA!#REF!,DATA!#REF!,1,FALSE),"")</f>
        <v/>
      </c>
      <c r="D3590" s="16" t="str">
        <f>IFERROR(VLOOKUP(C3590,DATA!#REF!,2,FALSE),"")</f>
        <v/>
      </c>
    </row>
    <row r="3591" spans="3:4" s="237" customFormat="1">
      <c r="C3591" s="16" t="str">
        <f>IFERROR(VLOOKUP(DATA!#REF!,DATA!#REF!,1,FALSE),"")</f>
        <v/>
      </c>
      <c r="D3591" s="16" t="str">
        <f>IFERROR(VLOOKUP(C3591,DATA!#REF!,2,FALSE),"")</f>
        <v/>
      </c>
    </row>
    <row r="3592" spans="3:4" s="237" customFormat="1">
      <c r="C3592" s="16" t="str">
        <f>IFERROR(VLOOKUP(DATA!#REF!,DATA!#REF!,1,FALSE),"")</f>
        <v/>
      </c>
      <c r="D3592" s="16" t="str">
        <f>IFERROR(VLOOKUP(C3592,DATA!#REF!,2,FALSE),"")</f>
        <v/>
      </c>
    </row>
    <row r="3593" spans="3:4" s="237" customFormat="1">
      <c r="C3593" s="16" t="str">
        <f>IFERROR(VLOOKUP(DATA!#REF!,DATA!#REF!,1,FALSE),"")</f>
        <v/>
      </c>
      <c r="D3593" s="16" t="str">
        <f>IFERROR(VLOOKUP(C3593,DATA!#REF!,2,FALSE),"")</f>
        <v/>
      </c>
    </row>
    <row r="3594" spans="3:4" s="237" customFormat="1">
      <c r="C3594" s="16" t="str">
        <f>IFERROR(VLOOKUP(DATA!#REF!,DATA!#REF!,1,FALSE),"")</f>
        <v/>
      </c>
      <c r="D3594" s="16" t="str">
        <f>IFERROR(VLOOKUP(C3594,DATA!#REF!,2,FALSE),"")</f>
        <v/>
      </c>
    </row>
    <row r="3595" spans="3:4" s="237" customFormat="1">
      <c r="C3595" s="16" t="str">
        <f>IFERROR(VLOOKUP(DATA!#REF!,DATA!#REF!,1,FALSE),"")</f>
        <v/>
      </c>
      <c r="D3595" s="16" t="str">
        <f>IFERROR(VLOOKUP(C3595,DATA!#REF!,2,FALSE),"")</f>
        <v/>
      </c>
    </row>
    <row r="3596" spans="3:4" s="237" customFormat="1">
      <c r="C3596" s="16" t="str">
        <f>IFERROR(VLOOKUP(DATA!#REF!,DATA!#REF!,1,FALSE),"")</f>
        <v/>
      </c>
      <c r="D3596" s="16" t="str">
        <f>IFERROR(VLOOKUP(C3596,DATA!#REF!,2,FALSE),"")</f>
        <v/>
      </c>
    </row>
    <row r="3597" spans="3:4" s="237" customFormat="1">
      <c r="C3597" s="16" t="str">
        <f>IFERROR(VLOOKUP(DATA!#REF!,DATA!#REF!,1,FALSE),"")</f>
        <v/>
      </c>
      <c r="D3597" s="16" t="str">
        <f>IFERROR(VLOOKUP(C3597,DATA!#REF!,2,FALSE),"")</f>
        <v/>
      </c>
    </row>
    <row r="3598" spans="3:4" s="237" customFormat="1">
      <c r="C3598" s="16" t="str">
        <f>IFERROR(VLOOKUP(DATA!#REF!,DATA!#REF!,1,FALSE),"")</f>
        <v/>
      </c>
      <c r="D3598" s="16" t="str">
        <f>IFERROR(VLOOKUP(C3598,DATA!#REF!,2,FALSE),"")</f>
        <v/>
      </c>
    </row>
    <row r="3599" spans="3:4" s="237" customFormat="1">
      <c r="C3599" s="16" t="str">
        <f>IFERROR(VLOOKUP(DATA!#REF!,DATA!#REF!,1,FALSE),"")</f>
        <v/>
      </c>
      <c r="D3599" s="16" t="str">
        <f>IFERROR(VLOOKUP(C3599,DATA!#REF!,2,FALSE),"")</f>
        <v/>
      </c>
    </row>
    <row r="3600" spans="3:4" s="237" customFormat="1">
      <c r="C3600" s="16" t="str">
        <f>IFERROR(VLOOKUP(DATA!#REF!,DATA!#REF!,1,FALSE),"")</f>
        <v/>
      </c>
      <c r="D3600" s="16" t="str">
        <f>IFERROR(VLOOKUP(C3600,DATA!#REF!,2,FALSE),"")</f>
        <v/>
      </c>
    </row>
    <row r="3601" spans="3:4" s="237" customFormat="1">
      <c r="C3601" s="16" t="str">
        <f>IFERROR(VLOOKUP(DATA!#REF!,DATA!#REF!,1,FALSE),"")</f>
        <v/>
      </c>
      <c r="D3601" s="16" t="str">
        <f>IFERROR(VLOOKUP(C3601,DATA!#REF!,2,FALSE),"")</f>
        <v/>
      </c>
    </row>
    <row r="3602" spans="3:4" s="237" customFormat="1">
      <c r="C3602" s="16" t="str">
        <f>IFERROR(VLOOKUP(DATA!#REF!,DATA!#REF!,1,FALSE),"")</f>
        <v/>
      </c>
      <c r="D3602" s="16" t="str">
        <f>IFERROR(VLOOKUP(C3602,DATA!#REF!,2,FALSE),"")</f>
        <v/>
      </c>
    </row>
    <row r="3603" spans="3:4" s="237" customFormat="1">
      <c r="C3603" s="16" t="str">
        <f>IFERROR(VLOOKUP(DATA!#REF!,DATA!#REF!,1,FALSE),"")</f>
        <v/>
      </c>
      <c r="D3603" s="16" t="str">
        <f>IFERROR(VLOOKUP(C3603,DATA!#REF!,2,FALSE),"")</f>
        <v/>
      </c>
    </row>
    <row r="3604" spans="3:4" s="237" customFormat="1">
      <c r="C3604" s="16" t="str">
        <f>IFERROR(VLOOKUP(DATA!#REF!,DATA!#REF!,1,FALSE),"")</f>
        <v/>
      </c>
      <c r="D3604" s="16" t="str">
        <f>IFERROR(VLOOKUP(C3604,DATA!#REF!,2,FALSE),"")</f>
        <v/>
      </c>
    </row>
    <row r="3605" spans="3:4" s="237" customFormat="1">
      <c r="C3605" s="16" t="str">
        <f>IFERROR(VLOOKUP(DATA!#REF!,DATA!#REF!,1,FALSE),"")</f>
        <v/>
      </c>
      <c r="D3605" s="16" t="str">
        <f>IFERROR(VLOOKUP(C3605,DATA!#REF!,2,FALSE),"")</f>
        <v/>
      </c>
    </row>
    <row r="3606" spans="3:4" s="237" customFormat="1">
      <c r="C3606" s="16" t="str">
        <f>IFERROR(VLOOKUP(DATA!#REF!,DATA!#REF!,1,FALSE),"")</f>
        <v/>
      </c>
      <c r="D3606" s="16" t="str">
        <f>IFERROR(VLOOKUP(C3606,DATA!#REF!,2,FALSE),"")</f>
        <v/>
      </c>
    </row>
    <row r="3607" spans="3:4" s="237" customFormat="1">
      <c r="C3607" s="16" t="str">
        <f>IFERROR(VLOOKUP(DATA!#REF!,DATA!#REF!,1,FALSE),"")</f>
        <v/>
      </c>
      <c r="D3607" s="16" t="str">
        <f>IFERROR(VLOOKUP(C3607,DATA!#REF!,2,FALSE),"")</f>
        <v/>
      </c>
    </row>
    <row r="3608" spans="3:4" s="237" customFormat="1">
      <c r="C3608" s="16" t="str">
        <f>IFERROR(VLOOKUP(DATA!#REF!,DATA!#REF!,1,FALSE),"")</f>
        <v/>
      </c>
      <c r="D3608" s="16" t="str">
        <f>IFERROR(VLOOKUP(C3608,DATA!#REF!,2,FALSE),"")</f>
        <v/>
      </c>
    </row>
    <row r="3609" spans="3:4" s="237" customFormat="1">
      <c r="C3609" s="16" t="str">
        <f>IFERROR(VLOOKUP(DATA!#REF!,DATA!#REF!,1,FALSE),"")</f>
        <v/>
      </c>
      <c r="D3609" s="16" t="str">
        <f>IFERROR(VLOOKUP(C3609,DATA!#REF!,2,FALSE),"")</f>
        <v/>
      </c>
    </row>
    <row r="3610" spans="3:4" s="237" customFormat="1">
      <c r="C3610" s="16" t="str">
        <f>IFERROR(VLOOKUP(DATA!#REF!,DATA!#REF!,1,FALSE),"")</f>
        <v/>
      </c>
      <c r="D3610" s="16" t="str">
        <f>IFERROR(VLOOKUP(C3610,DATA!#REF!,2,FALSE),"")</f>
        <v/>
      </c>
    </row>
    <row r="3611" spans="3:4" s="237" customFormat="1">
      <c r="C3611" s="16" t="str">
        <f>IFERROR(VLOOKUP(DATA!#REF!,DATA!#REF!,1,FALSE),"")</f>
        <v/>
      </c>
      <c r="D3611" s="16" t="str">
        <f>IFERROR(VLOOKUP(C3611,DATA!#REF!,2,FALSE),"")</f>
        <v/>
      </c>
    </row>
    <row r="3612" spans="3:4" s="237" customFormat="1">
      <c r="C3612" s="16" t="str">
        <f>IFERROR(VLOOKUP(DATA!#REF!,DATA!#REF!,1,FALSE),"")</f>
        <v/>
      </c>
      <c r="D3612" s="16" t="str">
        <f>IFERROR(VLOOKUP(C3612,DATA!#REF!,2,FALSE),"")</f>
        <v/>
      </c>
    </row>
    <row r="3613" spans="3:4" s="237" customFormat="1">
      <c r="C3613" s="16" t="str">
        <f>IFERROR(VLOOKUP(DATA!#REF!,DATA!#REF!,1,FALSE),"")</f>
        <v/>
      </c>
      <c r="D3613" s="16" t="str">
        <f>IFERROR(VLOOKUP(C3613,DATA!#REF!,2,FALSE),"")</f>
        <v/>
      </c>
    </row>
    <row r="3614" spans="3:4" s="237" customFormat="1">
      <c r="C3614" s="16" t="str">
        <f>IFERROR(VLOOKUP(DATA!#REF!,DATA!#REF!,1,FALSE),"")</f>
        <v/>
      </c>
      <c r="D3614" s="16" t="str">
        <f>IFERROR(VLOOKUP(C3614,DATA!#REF!,2,FALSE),"")</f>
        <v/>
      </c>
    </row>
    <row r="3615" spans="3:4" s="237" customFormat="1">
      <c r="C3615" s="16" t="str">
        <f>IFERROR(VLOOKUP(DATA!#REF!,DATA!#REF!,1,FALSE),"")</f>
        <v/>
      </c>
      <c r="D3615" s="16" t="str">
        <f>IFERROR(VLOOKUP(C3615,DATA!#REF!,2,FALSE),"")</f>
        <v/>
      </c>
    </row>
    <row r="3616" spans="3:4" s="237" customFormat="1">
      <c r="C3616" s="16" t="str">
        <f>IFERROR(VLOOKUP(DATA!#REF!,DATA!#REF!,1,FALSE),"")</f>
        <v/>
      </c>
      <c r="D3616" s="16" t="str">
        <f>IFERROR(VLOOKUP(C3616,DATA!#REF!,2,FALSE),"")</f>
        <v/>
      </c>
    </row>
    <row r="3617" spans="3:4" s="237" customFormat="1">
      <c r="C3617" s="16" t="str">
        <f>IFERROR(VLOOKUP(DATA!#REF!,DATA!#REF!,1,FALSE),"")</f>
        <v/>
      </c>
      <c r="D3617" s="16" t="str">
        <f>IFERROR(VLOOKUP(C3617,DATA!#REF!,2,FALSE),"")</f>
        <v/>
      </c>
    </row>
    <row r="3618" spans="3:4" s="237" customFormat="1">
      <c r="C3618" s="16" t="str">
        <f>IFERROR(VLOOKUP(DATA!#REF!,DATA!#REF!,1,FALSE),"")</f>
        <v/>
      </c>
      <c r="D3618" s="16" t="str">
        <f>IFERROR(VLOOKUP(C3618,DATA!#REF!,2,FALSE),"")</f>
        <v/>
      </c>
    </row>
    <row r="3619" spans="3:4" s="237" customFormat="1">
      <c r="C3619" s="16" t="str">
        <f>IFERROR(VLOOKUP(DATA!#REF!,DATA!#REF!,1,FALSE),"")</f>
        <v/>
      </c>
      <c r="D3619" s="16" t="str">
        <f>IFERROR(VLOOKUP(C3619,DATA!#REF!,2,FALSE),"")</f>
        <v/>
      </c>
    </row>
    <row r="3620" spans="3:4" s="237" customFormat="1">
      <c r="C3620" s="16" t="str">
        <f>IFERROR(VLOOKUP(DATA!#REF!,DATA!#REF!,1,FALSE),"")</f>
        <v/>
      </c>
      <c r="D3620" s="16" t="str">
        <f>IFERROR(VLOOKUP(C3620,DATA!#REF!,2,FALSE),"")</f>
        <v/>
      </c>
    </row>
    <row r="3621" spans="3:4" s="237" customFormat="1">
      <c r="C3621" s="16" t="str">
        <f>IFERROR(VLOOKUP(DATA!#REF!,DATA!#REF!,1,FALSE),"")</f>
        <v/>
      </c>
      <c r="D3621" s="16" t="str">
        <f>IFERROR(VLOOKUP(C3621,DATA!#REF!,2,FALSE),"")</f>
        <v/>
      </c>
    </row>
    <row r="3622" spans="3:4" s="237" customFormat="1">
      <c r="C3622" s="16" t="str">
        <f>IFERROR(VLOOKUP(DATA!#REF!,DATA!#REF!,1,FALSE),"")</f>
        <v/>
      </c>
      <c r="D3622" s="16" t="str">
        <f>IFERROR(VLOOKUP(C3622,DATA!#REF!,2,FALSE),"")</f>
        <v/>
      </c>
    </row>
    <row r="3623" spans="3:4" s="237" customFormat="1">
      <c r="C3623" s="16" t="str">
        <f>IFERROR(VLOOKUP(DATA!#REF!,DATA!#REF!,1,FALSE),"")</f>
        <v/>
      </c>
      <c r="D3623" s="16" t="str">
        <f>IFERROR(VLOOKUP(C3623,DATA!#REF!,2,FALSE),"")</f>
        <v/>
      </c>
    </row>
    <row r="3624" spans="3:4" s="237" customFormat="1">
      <c r="C3624" s="16" t="str">
        <f>IFERROR(VLOOKUP(DATA!#REF!,DATA!#REF!,1,FALSE),"")</f>
        <v/>
      </c>
      <c r="D3624" s="16" t="str">
        <f>IFERROR(VLOOKUP(C3624,DATA!#REF!,2,FALSE),"")</f>
        <v/>
      </c>
    </row>
    <row r="3625" spans="3:4" s="237" customFormat="1">
      <c r="C3625" s="16" t="str">
        <f>IFERROR(VLOOKUP(DATA!#REF!,DATA!#REF!,1,FALSE),"")</f>
        <v/>
      </c>
      <c r="D3625" s="16" t="str">
        <f>IFERROR(VLOOKUP(C3625,DATA!#REF!,2,FALSE),"")</f>
        <v/>
      </c>
    </row>
    <row r="3626" spans="3:4" s="237" customFormat="1">
      <c r="C3626" s="16" t="str">
        <f>IFERROR(VLOOKUP(DATA!#REF!,DATA!#REF!,1,FALSE),"")</f>
        <v/>
      </c>
      <c r="D3626" s="16" t="str">
        <f>IFERROR(VLOOKUP(C3626,DATA!#REF!,2,FALSE),"")</f>
        <v/>
      </c>
    </row>
    <row r="3627" spans="3:4" s="237" customFormat="1">
      <c r="C3627" s="16" t="str">
        <f>IFERROR(VLOOKUP(DATA!#REF!,DATA!#REF!,1,FALSE),"")</f>
        <v/>
      </c>
      <c r="D3627" s="16" t="str">
        <f>IFERROR(VLOOKUP(C3627,DATA!#REF!,2,FALSE),"")</f>
        <v/>
      </c>
    </row>
    <row r="3628" spans="3:4" s="237" customFormat="1">
      <c r="C3628" s="16" t="str">
        <f>IFERROR(VLOOKUP(DATA!#REF!,DATA!#REF!,1,FALSE),"")</f>
        <v/>
      </c>
      <c r="D3628" s="16" t="str">
        <f>IFERROR(VLOOKUP(C3628,DATA!#REF!,2,FALSE),"")</f>
        <v/>
      </c>
    </row>
    <row r="3629" spans="3:4" s="237" customFormat="1">
      <c r="C3629" s="16" t="str">
        <f>IFERROR(VLOOKUP(DATA!#REF!,DATA!#REF!,1,FALSE),"")</f>
        <v/>
      </c>
      <c r="D3629" s="16" t="str">
        <f>IFERROR(VLOOKUP(C3629,DATA!#REF!,2,FALSE),"")</f>
        <v/>
      </c>
    </row>
    <row r="3630" spans="3:4" s="237" customFormat="1">
      <c r="C3630" s="16" t="str">
        <f>IFERROR(VLOOKUP(DATA!#REF!,DATA!#REF!,1,FALSE),"")</f>
        <v/>
      </c>
      <c r="D3630" s="16" t="str">
        <f>IFERROR(VLOOKUP(C3630,DATA!#REF!,2,FALSE),"")</f>
        <v/>
      </c>
    </row>
    <row r="3631" spans="3:4" s="237" customFormat="1">
      <c r="C3631" s="16" t="str">
        <f>IFERROR(VLOOKUP(DATA!#REF!,DATA!#REF!,1,FALSE),"")</f>
        <v/>
      </c>
      <c r="D3631" s="16" t="str">
        <f>IFERROR(VLOOKUP(C3631,DATA!#REF!,2,FALSE),"")</f>
        <v/>
      </c>
    </row>
    <row r="3632" spans="3:4" s="237" customFormat="1">
      <c r="C3632" s="16" t="str">
        <f>IFERROR(VLOOKUP(DATA!#REF!,DATA!#REF!,1,FALSE),"")</f>
        <v/>
      </c>
      <c r="D3632" s="16" t="str">
        <f>IFERROR(VLOOKUP(C3632,DATA!#REF!,2,FALSE),"")</f>
        <v/>
      </c>
    </row>
    <row r="3633" spans="3:4" s="237" customFormat="1">
      <c r="C3633" s="16" t="str">
        <f>IFERROR(VLOOKUP(DATA!#REF!,DATA!#REF!,1,FALSE),"")</f>
        <v/>
      </c>
      <c r="D3633" s="16" t="str">
        <f>IFERROR(VLOOKUP(C3633,DATA!#REF!,2,FALSE),"")</f>
        <v/>
      </c>
    </row>
    <row r="3634" spans="3:4" s="237" customFormat="1">
      <c r="C3634" s="16" t="str">
        <f>IFERROR(VLOOKUP(DATA!#REF!,DATA!#REF!,1,FALSE),"")</f>
        <v/>
      </c>
      <c r="D3634" s="16" t="str">
        <f>IFERROR(VLOOKUP(C3634,DATA!#REF!,2,FALSE),"")</f>
        <v/>
      </c>
    </row>
    <row r="3635" spans="3:4" s="237" customFormat="1">
      <c r="C3635" s="16" t="str">
        <f>IFERROR(VLOOKUP(DATA!#REF!,DATA!#REF!,1,FALSE),"")</f>
        <v/>
      </c>
      <c r="D3635" s="16" t="str">
        <f>IFERROR(VLOOKUP(C3635,DATA!#REF!,2,FALSE),"")</f>
        <v/>
      </c>
    </row>
    <row r="3636" spans="3:4" s="237" customFormat="1">
      <c r="C3636" s="16" t="str">
        <f>IFERROR(VLOOKUP(DATA!#REF!,DATA!#REF!,1,FALSE),"")</f>
        <v/>
      </c>
      <c r="D3636" s="16" t="str">
        <f>IFERROR(VLOOKUP(C3636,DATA!#REF!,2,FALSE),"")</f>
        <v/>
      </c>
    </row>
    <row r="3637" spans="3:4" s="237" customFormat="1">
      <c r="C3637" s="16" t="str">
        <f>IFERROR(VLOOKUP(DATA!#REF!,DATA!#REF!,1,FALSE),"")</f>
        <v/>
      </c>
      <c r="D3637" s="16" t="str">
        <f>IFERROR(VLOOKUP(C3637,DATA!#REF!,2,FALSE),"")</f>
        <v/>
      </c>
    </row>
    <row r="3638" spans="3:4" s="237" customFormat="1">
      <c r="C3638" s="16" t="str">
        <f>IFERROR(VLOOKUP(DATA!#REF!,DATA!#REF!,1,FALSE),"")</f>
        <v/>
      </c>
      <c r="D3638" s="16" t="str">
        <f>IFERROR(VLOOKUP(C3638,DATA!#REF!,2,FALSE),"")</f>
        <v/>
      </c>
    </row>
    <row r="3639" spans="3:4" s="237" customFormat="1">
      <c r="C3639" s="16" t="str">
        <f>IFERROR(VLOOKUP(DATA!#REF!,DATA!#REF!,1,FALSE),"")</f>
        <v/>
      </c>
      <c r="D3639" s="16" t="str">
        <f>IFERROR(VLOOKUP(C3639,DATA!#REF!,2,FALSE),"")</f>
        <v/>
      </c>
    </row>
    <row r="3640" spans="3:4" s="237" customFormat="1">
      <c r="C3640" s="16" t="str">
        <f>IFERROR(VLOOKUP(DATA!#REF!,DATA!#REF!,1,FALSE),"")</f>
        <v/>
      </c>
      <c r="D3640" s="16" t="str">
        <f>IFERROR(VLOOKUP(C3640,DATA!#REF!,2,FALSE),"")</f>
        <v/>
      </c>
    </row>
    <row r="3641" spans="3:4" s="237" customFormat="1">
      <c r="C3641" s="16" t="str">
        <f>IFERROR(VLOOKUP(DATA!#REF!,DATA!#REF!,1,FALSE),"")</f>
        <v/>
      </c>
      <c r="D3641" s="16" t="str">
        <f>IFERROR(VLOOKUP(C3641,DATA!#REF!,2,FALSE),"")</f>
        <v/>
      </c>
    </row>
    <row r="3642" spans="3:4" s="237" customFormat="1">
      <c r="C3642" s="16" t="str">
        <f>IFERROR(VLOOKUP(DATA!#REF!,DATA!#REF!,1,FALSE),"")</f>
        <v/>
      </c>
      <c r="D3642" s="16" t="str">
        <f>IFERROR(VLOOKUP(C3642,DATA!#REF!,2,FALSE),"")</f>
        <v/>
      </c>
    </row>
    <row r="3643" spans="3:4" s="237" customFormat="1">
      <c r="C3643" s="16" t="str">
        <f>IFERROR(VLOOKUP(DATA!#REF!,DATA!#REF!,1,FALSE),"")</f>
        <v/>
      </c>
      <c r="D3643" s="16" t="str">
        <f>IFERROR(VLOOKUP(C3643,DATA!#REF!,2,FALSE),"")</f>
        <v/>
      </c>
    </row>
    <row r="3644" spans="3:4" s="237" customFormat="1">
      <c r="C3644" s="16" t="str">
        <f>IFERROR(VLOOKUP(DATA!#REF!,DATA!#REF!,1,FALSE),"")</f>
        <v/>
      </c>
      <c r="D3644" s="16" t="str">
        <f>IFERROR(VLOOKUP(C3644,DATA!#REF!,2,FALSE),"")</f>
        <v/>
      </c>
    </row>
    <row r="3645" spans="3:4" s="237" customFormat="1">
      <c r="C3645" s="16" t="str">
        <f>IFERROR(VLOOKUP(DATA!#REF!,DATA!#REF!,1,FALSE),"")</f>
        <v/>
      </c>
      <c r="D3645" s="16" t="str">
        <f>IFERROR(VLOOKUP(C3645,DATA!#REF!,2,FALSE),"")</f>
        <v/>
      </c>
    </row>
    <row r="3646" spans="3:4" s="237" customFormat="1">
      <c r="C3646" s="16" t="str">
        <f>IFERROR(VLOOKUP(DATA!#REF!,DATA!#REF!,1,FALSE),"")</f>
        <v/>
      </c>
      <c r="D3646" s="16" t="str">
        <f>IFERROR(VLOOKUP(C3646,DATA!#REF!,2,FALSE),"")</f>
        <v/>
      </c>
    </row>
    <row r="3647" spans="3:4" s="237" customFormat="1">
      <c r="C3647" s="16" t="str">
        <f>IFERROR(VLOOKUP(DATA!#REF!,DATA!#REF!,1,FALSE),"")</f>
        <v/>
      </c>
      <c r="D3647" s="16" t="str">
        <f>IFERROR(VLOOKUP(C3647,DATA!#REF!,2,FALSE),"")</f>
        <v/>
      </c>
    </row>
    <row r="3648" spans="3:4" s="237" customFormat="1">
      <c r="C3648" s="16" t="str">
        <f>IFERROR(VLOOKUP(DATA!#REF!,DATA!#REF!,1,FALSE),"")</f>
        <v/>
      </c>
      <c r="D3648" s="16" t="str">
        <f>IFERROR(VLOOKUP(C3648,DATA!#REF!,2,FALSE),"")</f>
        <v/>
      </c>
    </row>
    <row r="3649" spans="3:4" s="237" customFormat="1">
      <c r="C3649" s="16" t="str">
        <f>IFERROR(VLOOKUP(DATA!#REF!,DATA!#REF!,1,FALSE),"")</f>
        <v/>
      </c>
      <c r="D3649" s="16" t="str">
        <f>IFERROR(VLOOKUP(C3649,DATA!#REF!,2,FALSE),"")</f>
        <v/>
      </c>
    </row>
    <row r="3650" spans="3:4" s="237" customFormat="1">
      <c r="C3650" s="16" t="str">
        <f>IFERROR(VLOOKUP(DATA!#REF!,DATA!#REF!,1,FALSE),"")</f>
        <v/>
      </c>
      <c r="D3650" s="16" t="str">
        <f>IFERROR(VLOOKUP(C3650,DATA!#REF!,2,FALSE),"")</f>
        <v/>
      </c>
    </row>
    <row r="3651" spans="3:4" s="237" customFormat="1">
      <c r="C3651" s="16" t="str">
        <f>IFERROR(VLOOKUP(DATA!#REF!,DATA!#REF!,1,FALSE),"")</f>
        <v/>
      </c>
      <c r="D3651" s="16" t="str">
        <f>IFERROR(VLOOKUP(C3651,DATA!#REF!,2,FALSE),"")</f>
        <v/>
      </c>
    </row>
    <row r="3652" spans="3:4" s="237" customFormat="1">
      <c r="C3652" s="16" t="str">
        <f>IFERROR(VLOOKUP(DATA!#REF!,DATA!#REF!,1,FALSE),"")</f>
        <v/>
      </c>
      <c r="D3652" s="16" t="str">
        <f>IFERROR(VLOOKUP(C3652,DATA!#REF!,2,FALSE),"")</f>
        <v/>
      </c>
    </row>
    <row r="3653" spans="3:4" s="237" customFormat="1">
      <c r="C3653" s="16" t="str">
        <f>IFERROR(VLOOKUP(DATA!#REF!,DATA!#REF!,1,FALSE),"")</f>
        <v/>
      </c>
      <c r="D3653" s="16" t="str">
        <f>IFERROR(VLOOKUP(C3653,DATA!#REF!,2,FALSE),"")</f>
        <v/>
      </c>
    </row>
    <row r="3654" spans="3:4" s="237" customFormat="1">
      <c r="C3654" s="16" t="str">
        <f>IFERROR(VLOOKUP(DATA!#REF!,DATA!#REF!,1,FALSE),"")</f>
        <v/>
      </c>
      <c r="D3654" s="16" t="str">
        <f>IFERROR(VLOOKUP(C3654,DATA!#REF!,2,FALSE),"")</f>
        <v/>
      </c>
    </row>
    <row r="3655" spans="3:4" s="237" customFormat="1">
      <c r="C3655" s="16" t="str">
        <f>IFERROR(VLOOKUP(DATA!#REF!,DATA!#REF!,1,FALSE),"")</f>
        <v/>
      </c>
      <c r="D3655" s="16" t="str">
        <f>IFERROR(VLOOKUP(C3655,DATA!#REF!,2,FALSE),"")</f>
        <v/>
      </c>
    </row>
    <row r="3656" spans="3:4" s="237" customFormat="1">
      <c r="C3656" s="16" t="str">
        <f>IFERROR(VLOOKUP(DATA!#REF!,DATA!#REF!,1,FALSE),"")</f>
        <v/>
      </c>
      <c r="D3656" s="16" t="str">
        <f>IFERROR(VLOOKUP(C3656,DATA!#REF!,2,FALSE),"")</f>
        <v/>
      </c>
    </row>
    <row r="3657" spans="3:4" s="237" customFormat="1">
      <c r="C3657" s="16" t="str">
        <f>IFERROR(VLOOKUP(DATA!#REF!,DATA!#REF!,1,FALSE),"")</f>
        <v/>
      </c>
      <c r="D3657" s="16" t="str">
        <f>IFERROR(VLOOKUP(C3657,DATA!#REF!,2,FALSE),"")</f>
        <v/>
      </c>
    </row>
    <row r="3658" spans="3:4" s="237" customFormat="1">
      <c r="C3658" s="16" t="str">
        <f>IFERROR(VLOOKUP(DATA!#REF!,DATA!#REF!,1,FALSE),"")</f>
        <v/>
      </c>
      <c r="D3658" s="16" t="str">
        <f>IFERROR(VLOOKUP(C3658,DATA!#REF!,2,FALSE),"")</f>
        <v/>
      </c>
    </row>
    <row r="3659" spans="3:4" s="237" customFormat="1">
      <c r="C3659" s="16" t="str">
        <f>IFERROR(VLOOKUP(DATA!#REF!,DATA!#REF!,1,FALSE),"")</f>
        <v/>
      </c>
      <c r="D3659" s="16" t="str">
        <f>IFERROR(VLOOKUP(C3659,DATA!#REF!,2,FALSE),"")</f>
        <v/>
      </c>
    </row>
    <row r="3660" spans="3:4" s="237" customFormat="1">
      <c r="C3660" s="16" t="str">
        <f>IFERROR(VLOOKUP(DATA!#REF!,DATA!#REF!,1,FALSE),"")</f>
        <v/>
      </c>
      <c r="D3660" s="16" t="str">
        <f>IFERROR(VLOOKUP(C3660,DATA!#REF!,2,FALSE),"")</f>
        <v/>
      </c>
    </row>
    <row r="3661" spans="3:4" s="237" customFormat="1">
      <c r="C3661" s="16" t="str">
        <f>IFERROR(VLOOKUP(DATA!#REF!,DATA!#REF!,1,FALSE),"")</f>
        <v/>
      </c>
      <c r="D3661" s="16" t="str">
        <f>IFERROR(VLOOKUP(C3661,DATA!#REF!,2,FALSE),"")</f>
        <v/>
      </c>
    </row>
    <row r="3662" spans="3:4" s="237" customFormat="1">
      <c r="C3662" s="16" t="str">
        <f>IFERROR(VLOOKUP(DATA!#REF!,DATA!#REF!,1,FALSE),"")</f>
        <v/>
      </c>
      <c r="D3662" s="16" t="str">
        <f>IFERROR(VLOOKUP(C3662,DATA!#REF!,2,FALSE),"")</f>
        <v/>
      </c>
    </row>
    <row r="3663" spans="3:4" s="237" customFormat="1">
      <c r="C3663" s="16" t="str">
        <f>IFERROR(VLOOKUP(DATA!#REF!,DATA!#REF!,1,FALSE),"")</f>
        <v/>
      </c>
      <c r="D3663" s="16" t="str">
        <f>IFERROR(VLOOKUP(C3663,DATA!#REF!,2,FALSE),"")</f>
        <v/>
      </c>
    </row>
    <row r="3664" spans="3:4" s="237" customFormat="1">
      <c r="C3664" s="16" t="str">
        <f>IFERROR(VLOOKUP(DATA!#REF!,DATA!#REF!,1,FALSE),"")</f>
        <v/>
      </c>
      <c r="D3664" s="16" t="str">
        <f>IFERROR(VLOOKUP(C3664,DATA!#REF!,2,FALSE),"")</f>
        <v/>
      </c>
    </row>
    <row r="3665" spans="3:4" s="237" customFormat="1">
      <c r="C3665" s="16" t="str">
        <f>IFERROR(VLOOKUP(DATA!#REF!,DATA!#REF!,1,FALSE),"")</f>
        <v/>
      </c>
      <c r="D3665" s="16" t="str">
        <f>IFERROR(VLOOKUP(C3665,DATA!#REF!,2,FALSE),"")</f>
        <v/>
      </c>
    </row>
    <row r="3666" spans="3:4" s="237" customFormat="1">
      <c r="C3666" s="16" t="str">
        <f>IFERROR(VLOOKUP(DATA!#REF!,DATA!#REF!,1,FALSE),"")</f>
        <v/>
      </c>
      <c r="D3666" s="16" t="str">
        <f>IFERROR(VLOOKUP(C3666,DATA!#REF!,2,FALSE),"")</f>
        <v/>
      </c>
    </row>
    <row r="3667" spans="3:4" s="237" customFormat="1">
      <c r="C3667" s="16" t="str">
        <f>IFERROR(VLOOKUP(DATA!#REF!,DATA!#REF!,1,FALSE),"")</f>
        <v/>
      </c>
      <c r="D3667" s="16" t="str">
        <f>IFERROR(VLOOKUP(C3667,DATA!#REF!,2,FALSE),"")</f>
        <v/>
      </c>
    </row>
    <row r="3668" spans="3:4" s="237" customFormat="1">
      <c r="C3668" s="16" t="str">
        <f>IFERROR(VLOOKUP(DATA!#REF!,DATA!#REF!,1,FALSE),"")</f>
        <v/>
      </c>
      <c r="D3668" s="16" t="str">
        <f>IFERROR(VLOOKUP(C3668,DATA!#REF!,2,FALSE),"")</f>
        <v/>
      </c>
    </row>
    <row r="3669" spans="3:4" s="237" customFormat="1">
      <c r="C3669" s="16" t="str">
        <f>IFERROR(VLOOKUP(DATA!#REF!,DATA!#REF!,1,FALSE),"")</f>
        <v/>
      </c>
      <c r="D3669" s="16" t="str">
        <f>IFERROR(VLOOKUP(C3669,DATA!#REF!,2,FALSE),"")</f>
        <v/>
      </c>
    </row>
    <row r="3670" spans="3:4" s="237" customFormat="1">
      <c r="C3670" s="16" t="str">
        <f>IFERROR(VLOOKUP(DATA!#REF!,DATA!#REF!,1,FALSE),"")</f>
        <v/>
      </c>
      <c r="D3670" s="16" t="str">
        <f>IFERROR(VLOOKUP(C3670,DATA!#REF!,2,FALSE),"")</f>
        <v/>
      </c>
    </row>
    <row r="3671" spans="3:4" s="237" customFormat="1">
      <c r="C3671" s="16" t="str">
        <f>IFERROR(VLOOKUP(DATA!#REF!,DATA!#REF!,1,FALSE),"")</f>
        <v/>
      </c>
      <c r="D3671" s="16" t="str">
        <f>IFERROR(VLOOKUP(C3671,DATA!#REF!,2,FALSE),"")</f>
        <v/>
      </c>
    </row>
    <row r="3672" spans="3:4" s="237" customFormat="1">
      <c r="C3672" s="16" t="str">
        <f>IFERROR(VLOOKUP(DATA!#REF!,DATA!#REF!,1,FALSE),"")</f>
        <v/>
      </c>
      <c r="D3672" s="16" t="str">
        <f>IFERROR(VLOOKUP(C3672,DATA!#REF!,2,FALSE),"")</f>
        <v/>
      </c>
    </row>
    <row r="3673" spans="3:4" s="237" customFormat="1">
      <c r="C3673" s="16" t="str">
        <f>IFERROR(VLOOKUP(DATA!#REF!,DATA!#REF!,1,FALSE),"")</f>
        <v/>
      </c>
      <c r="D3673" s="16" t="str">
        <f>IFERROR(VLOOKUP(C3673,DATA!#REF!,2,FALSE),"")</f>
        <v/>
      </c>
    </row>
    <row r="3674" spans="3:4" s="237" customFormat="1">
      <c r="C3674" s="16" t="str">
        <f>IFERROR(VLOOKUP(DATA!#REF!,DATA!#REF!,1,FALSE),"")</f>
        <v/>
      </c>
      <c r="D3674" s="16" t="str">
        <f>IFERROR(VLOOKUP(C3674,DATA!#REF!,2,FALSE),"")</f>
        <v/>
      </c>
    </row>
    <row r="3675" spans="3:4" s="237" customFormat="1">
      <c r="C3675" s="16" t="str">
        <f>IFERROR(VLOOKUP(DATA!#REF!,DATA!#REF!,1,FALSE),"")</f>
        <v/>
      </c>
      <c r="D3675" s="16" t="str">
        <f>IFERROR(VLOOKUP(C3675,DATA!#REF!,2,FALSE),"")</f>
        <v/>
      </c>
    </row>
    <row r="3676" spans="3:4" s="237" customFormat="1">
      <c r="C3676" s="16" t="str">
        <f>IFERROR(VLOOKUP(DATA!#REF!,DATA!#REF!,1,FALSE),"")</f>
        <v/>
      </c>
      <c r="D3676" s="16" t="str">
        <f>IFERROR(VLOOKUP(C3676,DATA!#REF!,2,FALSE),"")</f>
        <v/>
      </c>
    </row>
    <row r="3677" spans="3:4" s="237" customFormat="1">
      <c r="C3677" s="16" t="str">
        <f>IFERROR(VLOOKUP(DATA!#REF!,DATA!#REF!,1,FALSE),"")</f>
        <v/>
      </c>
      <c r="D3677" s="16" t="str">
        <f>IFERROR(VLOOKUP(C3677,DATA!#REF!,2,FALSE),"")</f>
        <v/>
      </c>
    </row>
    <row r="3678" spans="3:4" s="237" customFormat="1">
      <c r="C3678" s="16" t="str">
        <f>IFERROR(VLOOKUP(DATA!#REF!,DATA!#REF!,1,FALSE),"")</f>
        <v/>
      </c>
      <c r="D3678" s="16" t="str">
        <f>IFERROR(VLOOKUP(C3678,DATA!#REF!,2,FALSE),"")</f>
        <v/>
      </c>
    </row>
    <row r="3679" spans="3:4" s="237" customFormat="1">
      <c r="C3679" s="16" t="str">
        <f>IFERROR(VLOOKUP(DATA!#REF!,DATA!#REF!,1,FALSE),"")</f>
        <v/>
      </c>
      <c r="D3679" s="16" t="str">
        <f>IFERROR(VLOOKUP(C3679,DATA!#REF!,2,FALSE),"")</f>
        <v/>
      </c>
    </row>
    <row r="3680" spans="3:4" s="237" customFormat="1">
      <c r="C3680" s="16" t="str">
        <f>IFERROR(VLOOKUP(DATA!#REF!,DATA!#REF!,1,FALSE),"")</f>
        <v/>
      </c>
      <c r="D3680" s="16" t="str">
        <f>IFERROR(VLOOKUP(C3680,DATA!#REF!,2,FALSE),"")</f>
        <v/>
      </c>
    </row>
    <row r="3681" spans="3:4" s="237" customFormat="1">
      <c r="C3681" s="16" t="str">
        <f>IFERROR(VLOOKUP(DATA!#REF!,DATA!#REF!,1,FALSE),"")</f>
        <v/>
      </c>
      <c r="D3681" s="16" t="str">
        <f>IFERROR(VLOOKUP(C3681,DATA!#REF!,2,FALSE),"")</f>
        <v/>
      </c>
    </row>
    <row r="3682" spans="3:4" s="237" customFormat="1">
      <c r="C3682" s="16" t="str">
        <f>IFERROR(VLOOKUP(DATA!#REF!,DATA!#REF!,1,FALSE),"")</f>
        <v/>
      </c>
      <c r="D3682" s="16" t="str">
        <f>IFERROR(VLOOKUP(C3682,DATA!#REF!,2,FALSE),"")</f>
        <v/>
      </c>
    </row>
    <row r="3683" spans="3:4" s="237" customFormat="1">
      <c r="C3683" s="16" t="str">
        <f>IFERROR(VLOOKUP(DATA!#REF!,DATA!#REF!,1,FALSE),"")</f>
        <v/>
      </c>
      <c r="D3683" s="16" t="str">
        <f>IFERROR(VLOOKUP(C3683,DATA!#REF!,2,FALSE),"")</f>
        <v/>
      </c>
    </row>
    <row r="3684" spans="3:4" s="237" customFormat="1">
      <c r="C3684" s="16" t="str">
        <f>IFERROR(VLOOKUP(DATA!#REF!,DATA!#REF!,1,FALSE),"")</f>
        <v/>
      </c>
      <c r="D3684" s="16" t="str">
        <f>IFERROR(VLOOKUP(C3684,DATA!#REF!,2,FALSE),"")</f>
        <v/>
      </c>
    </row>
    <row r="3685" spans="3:4" s="237" customFormat="1">
      <c r="C3685" s="16" t="str">
        <f>IFERROR(VLOOKUP(DATA!#REF!,DATA!#REF!,1,FALSE),"")</f>
        <v/>
      </c>
      <c r="D3685" s="16" t="str">
        <f>IFERROR(VLOOKUP(C3685,DATA!#REF!,2,FALSE),"")</f>
        <v/>
      </c>
    </row>
    <row r="3686" spans="3:4" s="237" customFormat="1">
      <c r="C3686" s="16" t="str">
        <f>IFERROR(VLOOKUP(DATA!#REF!,DATA!#REF!,1,FALSE),"")</f>
        <v/>
      </c>
      <c r="D3686" s="16" t="str">
        <f>IFERROR(VLOOKUP(C3686,DATA!#REF!,2,FALSE),"")</f>
        <v/>
      </c>
    </row>
    <row r="3687" spans="3:4" s="237" customFormat="1">
      <c r="C3687" s="16" t="str">
        <f>IFERROR(VLOOKUP(DATA!#REF!,DATA!#REF!,1,FALSE),"")</f>
        <v/>
      </c>
      <c r="D3687" s="16" t="str">
        <f>IFERROR(VLOOKUP(C3687,DATA!#REF!,2,FALSE),"")</f>
        <v/>
      </c>
    </row>
    <row r="3688" spans="3:4" s="237" customFormat="1">
      <c r="C3688" s="16" t="str">
        <f>IFERROR(VLOOKUP(DATA!#REF!,DATA!#REF!,1,FALSE),"")</f>
        <v/>
      </c>
      <c r="D3688" s="16" t="str">
        <f>IFERROR(VLOOKUP(C3688,DATA!#REF!,2,FALSE),"")</f>
        <v/>
      </c>
    </row>
    <row r="3689" spans="3:4" s="237" customFormat="1">
      <c r="C3689" s="16" t="str">
        <f>IFERROR(VLOOKUP(DATA!#REF!,DATA!#REF!,1,FALSE),"")</f>
        <v/>
      </c>
      <c r="D3689" s="16" t="str">
        <f>IFERROR(VLOOKUP(C3689,DATA!#REF!,2,FALSE),"")</f>
        <v/>
      </c>
    </row>
    <row r="3690" spans="3:4" s="237" customFormat="1">
      <c r="C3690" s="16" t="str">
        <f>IFERROR(VLOOKUP(DATA!#REF!,DATA!#REF!,1,FALSE),"")</f>
        <v/>
      </c>
      <c r="D3690" s="16" t="str">
        <f>IFERROR(VLOOKUP(C3690,DATA!#REF!,2,FALSE),"")</f>
        <v/>
      </c>
    </row>
    <row r="3691" spans="3:4" s="237" customFormat="1">
      <c r="C3691" s="16" t="str">
        <f>IFERROR(VLOOKUP(DATA!#REF!,DATA!#REF!,1,FALSE),"")</f>
        <v/>
      </c>
      <c r="D3691" s="16" t="str">
        <f>IFERROR(VLOOKUP(C3691,DATA!#REF!,2,FALSE),"")</f>
        <v/>
      </c>
    </row>
    <row r="3692" spans="3:4" s="237" customFormat="1">
      <c r="C3692" s="16" t="str">
        <f>IFERROR(VLOOKUP(DATA!#REF!,DATA!#REF!,1,FALSE),"")</f>
        <v/>
      </c>
      <c r="D3692" s="16" t="str">
        <f>IFERROR(VLOOKUP(C3692,DATA!#REF!,2,FALSE),"")</f>
        <v/>
      </c>
    </row>
    <row r="3693" spans="3:4" s="237" customFormat="1">
      <c r="C3693" s="16" t="str">
        <f>IFERROR(VLOOKUP(DATA!#REF!,DATA!#REF!,1,FALSE),"")</f>
        <v/>
      </c>
      <c r="D3693" s="16" t="str">
        <f>IFERROR(VLOOKUP(C3693,DATA!#REF!,2,FALSE),"")</f>
        <v/>
      </c>
    </row>
    <row r="3694" spans="3:4" s="237" customFormat="1">
      <c r="C3694" s="16" t="str">
        <f>IFERROR(VLOOKUP(DATA!#REF!,DATA!#REF!,1,FALSE),"")</f>
        <v/>
      </c>
      <c r="D3694" s="16" t="str">
        <f>IFERROR(VLOOKUP(C3694,DATA!#REF!,2,FALSE),"")</f>
        <v/>
      </c>
    </row>
    <row r="3695" spans="3:4" s="237" customFormat="1">
      <c r="C3695" s="16" t="str">
        <f>IFERROR(VLOOKUP(DATA!#REF!,DATA!#REF!,1,FALSE),"")</f>
        <v/>
      </c>
      <c r="D3695" s="16" t="str">
        <f>IFERROR(VLOOKUP(C3695,DATA!#REF!,2,FALSE),"")</f>
        <v/>
      </c>
    </row>
    <row r="3696" spans="3:4" s="237" customFormat="1">
      <c r="C3696" s="16" t="str">
        <f>IFERROR(VLOOKUP(DATA!#REF!,DATA!#REF!,1,FALSE),"")</f>
        <v/>
      </c>
      <c r="D3696" s="16" t="str">
        <f>IFERROR(VLOOKUP(C3696,DATA!#REF!,2,FALSE),"")</f>
        <v/>
      </c>
    </row>
    <row r="3697" spans="3:4" s="237" customFormat="1">
      <c r="C3697" s="16" t="str">
        <f>IFERROR(VLOOKUP(DATA!#REF!,DATA!#REF!,1,FALSE),"")</f>
        <v/>
      </c>
      <c r="D3697" s="16" t="str">
        <f>IFERROR(VLOOKUP(C3697,DATA!#REF!,2,FALSE),"")</f>
        <v/>
      </c>
    </row>
    <row r="3698" spans="3:4" s="237" customFormat="1">
      <c r="C3698" s="16" t="str">
        <f>IFERROR(VLOOKUP(DATA!#REF!,DATA!#REF!,1,FALSE),"")</f>
        <v/>
      </c>
      <c r="D3698" s="16" t="str">
        <f>IFERROR(VLOOKUP(C3698,DATA!#REF!,2,FALSE),"")</f>
        <v/>
      </c>
    </row>
    <row r="3699" spans="3:4" s="237" customFormat="1">
      <c r="C3699" s="16" t="str">
        <f>IFERROR(VLOOKUP(DATA!#REF!,DATA!#REF!,1,FALSE),"")</f>
        <v/>
      </c>
      <c r="D3699" s="16" t="str">
        <f>IFERROR(VLOOKUP(C3699,DATA!#REF!,2,FALSE),"")</f>
        <v/>
      </c>
    </row>
    <row r="3700" spans="3:4" s="237" customFormat="1">
      <c r="C3700" s="16" t="str">
        <f>IFERROR(VLOOKUP(DATA!#REF!,DATA!#REF!,1,FALSE),"")</f>
        <v/>
      </c>
      <c r="D3700" s="16" t="str">
        <f>IFERROR(VLOOKUP(C3700,DATA!#REF!,2,FALSE),"")</f>
        <v/>
      </c>
    </row>
    <row r="3701" spans="3:4" s="237" customFormat="1">
      <c r="C3701" s="16" t="str">
        <f>IFERROR(VLOOKUP(DATA!#REF!,DATA!#REF!,1,FALSE),"")</f>
        <v/>
      </c>
      <c r="D3701" s="16" t="str">
        <f>IFERROR(VLOOKUP(C3701,DATA!#REF!,2,FALSE),"")</f>
        <v/>
      </c>
    </row>
    <row r="3702" spans="3:4" s="237" customFormat="1">
      <c r="C3702" s="16" t="str">
        <f>IFERROR(VLOOKUP(DATA!#REF!,DATA!#REF!,1,FALSE),"")</f>
        <v/>
      </c>
      <c r="D3702" s="16" t="str">
        <f>IFERROR(VLOOKUP(C3702,DATA!#REF!,2,FALSE),"")</f>
        <v/>
      </c>
    </row>
    <row r="3703" spans="3:4" s="237" customFormat="1">
      <c r="C3703" s="16" t="str">
        <f>IFERROR(VLOOKUP(DATA!#REF!,DATA!#REF!,1,FALSE),"")</f>
        <v/>
      </c>
      <c r="D3703" s="16" t="str">
        <f>IFERROR(VLOOKUP(C3703,DATA!#REF!,2,FALSE),"")</f>
        <v/>
      </c>
    </row>
    <row r="3704" spans="3:4" s="237" customFormat="1">
      <c r="C3704" s="16" t="str">
        <f>IFERROR(VLOOKUP(DATA!#REF!,DATA!#REF!,1,FALSE),"")</f>
        <v/>
      </c>
      <c r="D3704" s="16" t="str">
        <f>IFERROR(VLOOKUP(C3704,DATA!#REF!,2,FALSE),"")</f>
        <v/>
      </c>
    </row>
    <row r="3705" spans="3:4" s="237" customFormat="1">
      <c r="C3705" s="16" t="str">
        <f>IFERROR(VLOOKUP(DATA!#REF!,DATA!#REF!,1,FALSE),"")</f>
        <v/>
      </c>
      <c r="D3705" s="16" t="str">
        <f>IFERROR(VLOOKUP(C3705,DATA!#REF!,2,FALSE),"")</f>
        <v/>
      </c>
    </row>
    <row r="3706" spans="3:4" s="237" customFormat="1">
      <c r="C3706" s="16" t="str">
        <f>IFERROR(VLOOKUP(DATA!#REF!,DATA!#REF!,1,FALSE),"")</f>
        <v/>
      </c>
      <c r="D3706" s="16" t="str">
        <f>IFERROR(VLOOKUP(C3706,DATA!#REF!,2,FALSE),"")</f>
        <v/>
      </c>
    </row>
    <row r="3707" spans="3:4" s="237" customFormat="1">
      <c r="C3707" s="16" t="str">
        <f>IFERROR(VLOOKUP(DATA!#REF!,DATA!#REF!,1,FALSE),"")</f>
        <v/>
      </c>
      <c r="D3707" s="16" t="str">
        <f>IFERROR(VLOOKUP(C3707,DATA!#REF!,2,FALSE),"")</f>
        <v/>
      </c>
    </row>
    <row r="3708" spans="3:4" s="237" customFormat="1">
      <c r="C3708" s="16" t="str">
        <f>IFERROR(VLOOKUP(DATA!#REF!,DATA!#REF!,1,FALSE),"")</f>
        <v/>
      </c>
      <c r="D3708" s="16" t="str">
        <f>IFERROR(VLOOKUP(C3708,DATA!#REF!,2,FALSE),"")</f>
        <v/>
      </c>
    </row>
    <row r="3709" spans="3:4" s="237" customFormat="1">
      <c r="C3709" s="16" t="str">
        <f>IFERROR(VLOOKUP(DATA!#REF!,DATA!#REF!,1,FALSE),"")</f>
        <v/>
      </c>
      <c r="D3709" s="16" t="str">
        <f>IFERROR(VLOOKUP(C3709,DATA!#REF!,2,FALSE),"")</f>
        <v/>
      </c>
    </row>
    <row r="3710" spans="3:4" s="237" customFormat="1">
      <c r="C3710" s="16" t="str">
        <f>IFERROR(VLOOKUP(DATA!#REF!,DATA!#REF!,1,FALSE),"")</f>
        <v/>
      </c>
      <c r="D3710" s="16" t="str">
        <f>IFERROR(VLOOKUP(C3710,DATA!#REF!,2,FALSE),"")</f>
        <v/>
      </c>
    </row>
    <row r="3711" spans="3:4" s="237" customFormat="1">
      <c r="C3711" s="16" t="str">
        <f>IFERROR(VLOOKUP(DATA!#REF!,DATA!#REF!,1,FALSE),"")</f>
        <v/>
      </c>
      <c r="D3711" s="16" t="str">
        <f>IFERROR(VLOOKUP(C3711,DATA!#REF!,2,FALSE),"")</f>
        <v/>
      </c>
    </row>
    <row r="3712" spans="3:4" s="237" customFormat="1">
      <c r="C3712" s="16" t="str">
        <f>IFERROR(VLOOKUP(DATA!#REF!,DATA!#REF!,1,FALSE),"")</f>
        <v/>
      </c>
      <c r="D3712" s="16" t="str">
        <f>IFERROR(VLOOKUP(C3712,DATA!#REF!,2,FALSE),"")</f>
        <v/>
      </c>
    </row>
    <row r="3713" spans="3:4" s="237" customFormat="1">
      <c r="C3713" s="16" t="str">
        <f>IFERROR(VLOOKUP(DATA!#REF!,DATA!#REF!,1,FALSE),"")</f>
        <v/>
      </c>
      <c r="D3713" s="16" t="str">
        <f>IFERROR(VLOOKUP(C3713,DATA!#REF!,2,FALSE),"")</f>
        <v/>
      </c>
    </row>
    <row r="3714" spans="3:4" s="237" customFormat="1">
      <c r="C3714" s="16" t="str">
        <f>IFERROR(VLOOKUP(DATA!#REF!,DATA!#REF!,1,FALSE),"")</f>
        <v/>
      </c>
      <c r="D3714" s="16" t="str">
        <f>IFERROR(VLOOKUP(C3714,DATA!#REF!,2,FALSE),"")</f>
        <v/>
      </c>
    </row>
    <row r="3715" spans="3:4" s="237" customFormat="1">
      <c r="C3715" s="16" t="str">
        <f>IFERROR(VLOOKUP(DATA!#REF!,DATA!#REF!,1,FALSE),"")</f>
        <v/>
      </c>
      <c r="D3715" s="16" t="str">
        <f>IFERROR(VLOOKUP(C3715,DATA!#REF!,2,FALSE),"")</f>
        <v/>
      </c>
    </row>
    <row r="3716" spans="3:4" s="237" customFormat="1">
      <c r="C3716" s="16" t="str">
        <f>IFERROR(VLOOKUP(DATA!#REF!,DATA!#REF!,1,FALSE),"")</f>
        <v/>
      </c>
      <c r="D3716" s="16" t="str">
        <f>IFERROR(VLOOKUP(C3716,DATA!#REF!,2,FALSE),"")</f>
        <v/>
      </c>
    </row>
    <row r="3717" spans="3:4" s="237" customFormat="1">
      <c r="C3717" s="16" t="str">
        <f>IFERROR(VLOOKUP(DATA!#REF!,DATA!#REF!,1,FALSE),"")</f>
        <v/>
      </c>
      <c r="D3717" s="16" t="str">
        <f>IFERROR(VLOOKUP(C3717,DATA!#REF!,2,FALSE),"")</f>
        <v/>
      </c>
    </row>
    <row r="3718" spans="3:4" s="237" customFormat="1">
      <c r="C3718" s="16" t="str">
        <f>IFERROR(VLOOKUP(DATA!#REF!,DATA!#REF!,1,FALSE),"")</f>
        <v/>
      </c>
      <c r="D3718" s="16" t="str">
        <f>IFERROR(VLOOKUP(C3718,DATA!#REF!,2,FALSE),"")</f>
        <v/>
      </c>
    </row>
    <row r="3719" spans="3:4" s="237" customFormat="1">
      <c r="C3719" s="16" t="str">
        <f>IFERROR(VLOOKUP(DATA!#REF!,DATA!#REF!,1,FALSE),"")</f>
        <v/>
      </c>
      <c r="D3719" s="16" t="str">
        <f>IFERROR(VLOOKUP(C3719,DATA!#REF!,2,FALSE),"")</f>
        <v/>
      </c>
    </row>
    <row r="3720" spans="3:4" s="237" customFormat="1">
      <c r="C3720" s="16" t="str">
        <f>IFERROR(VLOOKUP(DATA!#REF!,DATA!#REF!,1,FALSE),"")</f>
        <v/>
      </c>
      <c r="D3720" s="16" t="str">
        <f>IFERROR(VLOOKUP(C3720,DATA!#REF!,2,FALSE),"")</f>
        <v/>
      </c>
    </row>
    <row r="3721" spans="3:4" s="237" customFormat="1">
      <c r="C3721" s="16" t="str">
        <f>IFERROR(VLOOKUP(DATA!#REF!,DATA!#REF!,1,FALSE),"")</f>
        <v/>
      </c>
      <c r="D3721" s="16" t="str">
        <f>IFERROR(VLOOKUP(C3721,DATA!#REF!,2,FALSE),"")</f>
        <v/>
      </c>
    </row>
    <row r="3722" spans="3:4" s="237" customFormat="1">
      <c r="C3722" s="16" t="str">
        <f>IFERROR(VLOOKUP(DATA!#REF!,DATA!#REF!,1,FALSE),"")</f>
        <v/>
      </c>
      <c r="D3722" s="16" t="str">
        <f>IFERROR(VLOOKUP(C3722,DATA!#REF!,2,FALSE),"")</f>
        <v/>
      </c>
    </row>
    <row r="3723" spans="3:4" s="237" customFormat="1">
      <c r="C3723" s="16" t="str">
        <f>IFERROR(VLOOKUP(DATA!#REF!,DATA!#REF!,1,FALSE),"")</f>
        <v/>
      </c>
      <c r="D3723" s="16" t="str">
        <f>IFERROR(VLOOKUP(C3723,DATA!#REF!,2,FALSE),"")</f>
        <v/>
      </c>
    </row>
    <row r="3724" spans="3:4" s="237" customFormat="1">
      <c r="C3724" s="16" t="str">
        <f>IFERROR(VLOOKUP(DATA!#REF!,DATA!#REF!,1,FALSE),"")</f>
        <v/>
      </c>
      <c r="D3724" s="16" t="str">
        <f>IFERROR(VLOOKUP(C3724,DATA!#REF!,2,FALSE),"")</f>
        <v/>
      </c>
    </row>
    <row r="3725" spans="3:4" s="237" customFormat="1">
      <c r="C3725" s="16" t="str">
        <f>IFERROR(VLOOKUP(DATA!#REF!,DATA!#REF!,1,FALSE),"")</f>
        <v/>
      </c>
      <c r="D3725" s="16" t="str">
        <f>IFERROR(VLOOKUP(C3725,DATA!#REF!,2,FALSE),"")</f>
        <v/>
      </c>
    </row>
    <row r="3726" spans="3:4" s="237" customFormat="1">
      <c r="C3726" s="16" t="str">
        <f>IFERROR(VLOOKUP(DATA!#REF!,DATA!#REF!,1,FALSE),"")</f>
        <v/>
      </c>
      <c r="D3726" s="16" t="str">
        <f>IFERROR(VLOOKUP(C3726,DATA!#REF!,2,FALSE),"")</f>
        <v/>
      </c>
    </row>
    <row r="3727" spans="3:4" s="237" customFormat="1">
      <c r="C3727" s="16" t="str">
        <f>IFERROR(VLOOKUP(DATA!#REF!,DATA!#REF!,1,FALSE),"")</f>
        <v/>
      </c>
      <c r="D3727" s="16" t="str">
        <f>IFERROR(VLOOKUP(C3727,DATA!#REF!,2,FALSE),"")</f>
        <v/>
      </c>
    </row>
    <row r="3728" spans="3:4" s="237" customFormat="1">
      <c r="C3728" s="16" t="str">
        <f>IFERROR(VLOOKUP(DATA!#REF!,DATA!#REF!,1,FALSE),"")</f>
        <v/>
      </c>
      <c r="D3728" s="16" t="str">
        <f>IFERROR(VLOOKUP(C3728,DATA!#REF!,2,FALSE),"")</f>
        <v/>
      </c>
    </row>
    <row r="3729" spans="3:4" s="237" customFormat="1">
      <c r="C3729" s="16" t="str">
        <f>IFERROR(VLOOKUP(DATA!#REF!,DATA!#REF!,1,FALSE),"")</f>
        <v/>
      </c>
      <c r="D3729" s="16" t="str">
        <f>IFERROR(VLOOKUP(C3729,DATA!#REF!,2,FALSE),"")</f>
        <v/>
      </c>
    </row>
    <row r="3730" spans="3:4" s="237" customFormat="1">
      <c r="C3730" s="16" t="str">
        <f>IFERROR(VLOOKUP(DATA!#REF!,DATA!#REF!,1,FALSE),"")</f>
        <v/>
      </c>
      <c r="D3730" s="16" t="str">
        <f>IFERROR(VLOOKUP(C3730,DATA!#REF!,2,FALSE),"")</f>
        <v/>
      </c>
    </row>
    <row r="3731" spans="3:4" s="237" customFormat="1">
      <c r="C3731" s="16" t="str">
        <f>IFERROR(VLOOKUP(DATA!#REF!,DATA!#REF!,1,FALSE),"")</f>
        <v/>
      </c>
      <c r="D3731" s="16" t="str">
        <f>IFERROR(VLOOKUP(C3731,DATA!#REF!,2,FALSE),"")</f>
        <v/>
      </c>
    </row>
    <row r="3732" spans="3:4" s="237" customFormat="1">
      <c r="C3732" s="16" t="str">
        <f>IFERROR(VLOOKUP(DATA!#REF!,DATA!#REF!,1,FALSE),"")</f>
        <v/>
      </c>
      <c r="D3732" s="16" t="str">
        <f>IFERROR(VLOOKUP(C3732,DATA!#REF!,2,FALSE),"")</f>
        <v/>
      </c>
    </row>
    <row r="3733" spans="3:4" s="237" customFormat="1">
      <c r="C3733" s="16" t="str">
        <f>IFERROR(VLOOKUP(DATA!#REF!,DATA!#REF!,1,FALSE),"")</f>
        <v/>
      </c>
      <c r="D3733" s="16" t="str">
        <f>IFERROR(VLOOKUP(C3733,DATA!#REF!,2,FALSE),"")</f>
        <v/>
      </c>
    </row>
    <row r="3734" spans="3:4" s="237" customFormat="1">
      <c r="C3734" s="16" t="str">
        <f>IFERROR(VLOOKUP(DATA!#REF!,DATA!#REF!,1,FALSE),"")</f>
        <v/>
      </c>
      <c r="D3734" s="16" t="str">
        <f>IFERROR(VLOOKUP(C3734,DATA!#REF!,2,FALSE),"")</f>
        <v/>
      </c>
    </row>
    <row r="3735" spans="3:4" s="237" customFormat="1">
      <c r="C3735" s="16" t="str">
        <f>IFERROR(VLOOKUP(DATA!#REF!,DATA!#REF!,1,FALSE),"")</f>
        <v/>
      </c>
      <c r="D3735" s="16" t="str">
        <f>IFERROR(VLOOKUP(C3735,DATA!#REF!,2,FALSE),"")</f>
        <v/>
      </c>
    </row>
    <row r="3736" spans="3:4" s="237" customFormat="1">
      <c r="C3736" s="16" t="str">
        <f>IFERROR(VLOOKUP(DATA!#REF!,DATA!#REF!,1,FALSE),"")</f>
        <v/>
      </c>
      <c r="D3736" s="16" t="str">
        <f>IFERROR(VLOOKUP(C3736,DATA!#REF!,2,FALSE),"")</f>
        <v/>
      </c>
    </row>
    <row r="3737" spans="3:4" s="237" customFormat="1">
      <c r="C3737" s="16" t="str">
        <f>IFERROR(VLOOKUP(DATA!#REF!,DATA!#REF!,1,FALSE),"")</f>
        <v/>
      </c>
      <c r="D3737" s="16" t="str">
        <f>IFERROR(VLOOKUP(C3737,DATA!#REF!,2,FALSE),"")</f>
        <v/>
      </c>
    </row>
    <row r="3738" spans="3:4" s="237" customFormat="1">
      <c r="C3738" s="16" t="str">
        <f>IFERROR(VLOOKUP(DATA!#REF!,DATA!#REF!,1,FALSE),"")</f>
        <v/>
      </c>
      <c r="D3738" s="16" t="str">
        <f>IFERROR(VLOOKUP(C3738,DATA!#REF!,2,FALSE),"")</f>
        <v/>
      </c>
    </row>
    <row r="3739" spans="3:4" s="237" customFormat="1">
      <c r="C3739" s="16" t="str">
        <f>IFERROR(VLOOKUP(DATA!#REF!,DATA!#REF!,1,FALSE),"")</f>
        <v/>
      </c>
      <c r="D3739" s="16" t="str">
        <f>IFERROR(VLOOKUP(C3739,DATA!#REF!,2,FALSE),"")</f>
        <v/>
      </c>
    </row>
    <row r="3740" spans="3:4" s="237" customFormat="1">
      <c r="C3740" s="16" t="str">
        <f>IFERROR(VLOOKUP(DATA!#REF!,DATA!#REF!,1,FALSE),"")</f>
        <v/>
      </c>
      <c r="D3740" s="16" t="str">
        <f>IFERROR(VLOOKUP(C3740,DATA!#REF!,2,FALSE),"")</f>
        <v/>
      </c>
    </row>
    <row r="3741" spans="3:4" s="237" customFormat="1">
      <c r="C3741" s="16" t="str">
        <f>IFERROR(VLOOKUP(DATA!#REF!,DATA!#REF!,1,FALSE),"")</f>
        <v/>
      </c>
      <c r="D3741" s="16" t="str">
        <f>IFERROR(VLOOKUP(C3741,DATA!#REF!,2,FALSE),"")</f>
        <v/>
      </c>
    </row>
    <row r="3742" spans="3:4" s="237" customFormat="1">
      <c r="C3742" s="16" t="str">
        <f>IFERROR(VLOOKUP(DATA!#REF!,DATA!#REF!,1,FALSE),"")</f>
        <v/>
      </c>
      <c r="D3742" s="16" t="str">
        <f>IFERROR(VLOOKUP(C3742,DATA!#REF!,2,FALSE),"")</f>
        <v/>
      </c>
    </row>
    <row r="3743" spans="3:4" s="237" customFormat="1">
      <c r="C3743" s="16" t="str">
        <f>IFERROR(VLOOKUP(DATA!#REF!,DATA!#REF!,1,FALSE),"")</f>
        <v/>
      </c>
      <c r="D3743" s="16" t="str">
        <f>IFERROR(VLOOKUP(C3743,DATA!#REF!,2,FALSE),"")</f>
        <v/>
      </c>
    </row>
    <row r="3744" spans="3:4" s="237" customFormat="1">
      <c r="C3744" s="16" t="str">
        <f>IFERROR(VLOOKUP(DATA!#REF!,DATA!#REF!,1,FALSE),"")</f>
        <v/>
      </c>
      <c r="D3744" s="16" t="str">
        <f>IFERROR(VLOOKUP(C3744,DATA!#REF!,2,FALSE),"")</f>
        <v/>
      </c>
    </row>
    <row r="3745" spans="3:4" s="237" customFormat="1">
      <c r="C3745" s="16" t="str">
        <f>IFERROR(VLOOKUP(DATA!#REF!,DATA!#REF!,1,FALSE),"")</f>
        <v/>
      </c>
      <c r="D3745" s="16" t="str">
        <f>IFERROR(VLOOKUP(C3745,DATA!#REF!,2,FALSE),"")</f>
        <v/>
      </c>
    </row>
    <row r="3746" spans="3:4" s="237" customFormat="1">
      <c r="C3746" s="16" t="str">
        <f>IFERROR(VLOOKUP(DATA!#REF!,DATA!#REF!,1,FALSE),"")</f>
        <v/>
      </c>
      <c r="D3746" s="16" t="str">
        <f>IFERROR(VLOOKUP(C3746,DATA!#REF!,2,FALSE),"")</f>
        <v/>
      </c>
    </row>
    <row r="3747" spans="3:4" s="237" customFormat="1">
      <c r="C3747" s="16" t="str">
        <f>IFERROR(VLOOKUP(DATA!#REF!,DATA!#REF!,1,FALSE),"")</f>
        <v/>
      </c>
      <c r="D3747" s="16" t="str">
        <f>IFERROR(VLOOKUP(C3747,DATA!#REF!,2,FALSE),"")</f>
        <v/>
      </c>
    </row>
    <row r="3748" spans="3:4" s="237" customFormat="1">
      <c r="C3748" s="16" t="str">
        <f>IFERROR(VLOOKUP(DATA!#REF!,DATA!#REF!,1,FALSE),"")</f>
        <v/>
      </c>
      <c r="D3748" s="16" t="str">
        <f>IFERROR(VLOOKUP(C3748,DATA!#REF!,2,FALSE),"")</f>
        <v/>
      </c>
    </row>
    <row r="3749" spans="3:4" s="237" customFormat="1">
      <c r="C3749" s="16" t="str">
        <f>IFERROR(VLOOKUP(DATA!#REF!,DATA!#REF!,1,FALSE),"")</f>
        <v/>
      </c>
      <c r="D3749" s="16" t="str">
        <f>IFERROR(VLOOKUP(C3749,DATA!#REF!,2,FALSE),"")</f>
        <v/>
      </c>
    </row>
    <row r="3750" spans="3:4" s="237" customFormat="1">
      <c r="C3750" s="16" t="str">
        <f>IFERROR(VLOOKUP(DATA!#REF!,DATA!#REF!,1,FALSE),"")</f>
        <v/>
      </c>
      <c r="D3750" s="16" t="str">
        <f>IFERROR(VLOOKUP(C3750,DATA!#REF!,2,FALSE),"")</f>
        <v/>
      </c>
    </row>
    <row r="3751" spans="3:4" s="237" customFormat="1">
      <c r="C3751" s="16" t="str">
        <f>IFERROR(VLOOKUP(DATA!#REF!,DATA!#REF!,1,FALSE),"")</f>
        <v/>
      </c>
      <c r="D3751" s="16" t="str">
        <f>IFERROR(VLOOKUP(C3751,DATA!#REF!,2,FALSE),"")</f>
        <v/>
      </c>
    </row>
    <row r="3752" spans="3:4" s="237" customFormat="1">
      <c r="C3752" s="16" t="str">
        <f>IFERROR(VLOOKUP(DATA!#REF!,DATA!#REF!,1,FALSE),"")</f>
        <v/>
      </c>
      <c r="D3752" s="16" t="str">
        <f>IFERROR(VLOOKUP(C3752,DATA!#REF!,2,FALSE),"")</f>
        <v/>
      </c>
    </row>
    <row r="3753" spans="3:4" s="237" customFormat="1">
      <c r="C3753" s="16" t="str">
        <f>IFERROR(VLOOKUP(DATA!#REF!,DATA!#REF!,1,FALSE),"")</f>
        <v/>
      </c>
      <c r="D3753" s="16" t="str">
        <f>IFERROR(VLOOKUP(C3753,DATA!#REF!,2,FALSE),"")</f>
        <v/>
      </c>
    </row>
    <row r="3754" spans="3:4" s="237" customFormat="1">
      <c r="C3754" s="16" t="str">
        <f>IFERROR(VLOOKUP(DATA!#REF!,DATA!#REF!,1,FALSE),"")</f>
        <v/>
      </c>
      <c r="D3754" s="16" t="str">
        <f>IFERROR(VLOOKUP(C3754,DATA!#REF!,2,FALSE),"")</f>
        <v/>
      </c>
    </row>
    <row r="3755" spans="3:4" s="237" customFormat="1">
      <c r="C3755" s="16" t="str">
        <f>IFERROR(VLOOKUP(DATA!#REF!,DATA!#REF!,1,FALSE),"")</f>
        <v/>
      </c>
      <c r="D3755" s="16" t="str">
        <f>IFERROR(VLOOKUP(C3755,DATA!#REF!,2,FALSE),"")</f>
        <v/>
      </c>
    </row>
    <row r="3756" spans="3:4" s="237" customFormat="1">
      <c r="C3756" s="16" t="str">
        <f>IFERROR(VLOOKUP(DATA!#REF!,DATA!#REF!,1,FALSE),"")</f>
        <v/>
      </c>
      <c r="D3756" s="16" t="str">
        <f>IFERROR(VLOOKUP(C3756,DATA!#REF!,2,FALSE),"")</f>
        <v/>
      </c>
    </row>
    <row r="3757" spans="3:4" s="237" customFormat="1">
      <c r="C3757" s="16" t="str">
        <f>IFERROR(VLOOKUP(DATA!#REF!,DATA!#REF!,1,FALSE),"")</f>
        <v/>
      </c>
      <c r="D3757" s="16" t="str">
        <f>IFERROR(VLOOKUP(C3757,DATA!#REF!,2,FALSE),"")</f>
        <v/>
      </c>
    </row>
    <row r="3758" spans="3:4" s="237" customFormat="1">
      <c r="C3758" s="16" t="str">
        <f>IFERROR(VLOOKUP(DATA!#REF!,DATA!#REF!,1,FALSE),"")</f>
        <v/>
      </c>
      <c r="D3758" s="16" t="str">
        <f>IFERROR(VLOOKUP(C3758,DATA!#REF!,2,FALSE),"")</f>
        <v/>
      </c>
    </row>
    <row r="3759" spans="3:4" s="237" customFormat="1">
      <c r="C3759" s="16" t="str">
        <f>IFERROR(VLOOKUP(DATA!#REF!,DATA!#REF!,1,FALSE),"")</f>
        <v/>
      </c>
      <c r="D3759" s="16" t="str">
        <f>IFERROR(VLOOKUP(C3759,DATA!#REF!,2,FALSE),"")</f>
        <v/>
      </c>
    </row>
    <row r="3760" spans="3:4" s="237" customFormat="1">
      <c r="C3760" s="16" t="str">
        <f>IFERROR(VLOOKUP(DATA!#REF!,DATA!#REF!,1,FALSE),"")</f>
        <v/>
      </c>
      <c r="D3760" s="16" t="str">
        <f>IFERROR(VLOOKUP(C3760,DATA!#REF!,2,FALSE),"")</f>
        <v/>
      </c>
    </row>
    <row r="3761" spans="3:4" s="237" customFormat="1">
      <c r="C3761" s="16" t="str">
        <f>IFERROR(VLOOKUP(DATA!#REF!,DATA!#REF!,1,FALSE),"")</f>
        <v/>
      </c>
      <c r="D3761" s="16" t="str">
        <f>IFERROR(VLOOKUP(C3761,DATA!#REF!,2,FALSE),"")</f>
        <v/>
      </c>
    </row>
    <row r="3762" spans="3:4" s="237" customFormat="1">
      <c r="C3762" s="16" t="str">
        <f>IFERROR(VLOOKUP(DATA!#REF!,DATA!#REF!,1,FALSE),"")</f>
        <v/>
      </c>
      <c r="D3762" s="16" t="str">
        <f>IFERROR(VLOOKUP(C3762,DATA!#REF!,2,FALSE),"")</f>
        <v/>
      </c>
    </row>
    <row r="3763" spans="3:4" s="237" customFormat="1">
      <c r="C3763" s="16" t="str">
        <f>IFERROR(VLOOKUP(DATA!#REF!,DATA!#REF!,1,FALSE),"")</f>
        <v/>
      </c>
      <c r="D3763" s="16" t="str">
        <f>IFERROR(VLOOKUP(C3763,DATA!#REF!,2,FALSE),"")</f>
        <v/>
      </c>
    </row>
    <row r="3764" spans="3:4" s="237" customFormat="1">
      <c r="C3764" s="16" t="str">
        <f>IFERROR(VLOOKUP(DATA!#REF!,DATA!#REF!,1,FALSE),"")</f>
        <v/>
      </c>
      <c r="D3764" s="16" t="str">
        <f>IFERROR(VLOOKUP(C3764,DATA!#REF!,2,FALSE),"")</f>
        <v/>
      </c>
    </row>
    <row r="3765" spans="3:4" s="237" customFormat="1">
      <c r="C3765" s="16" t="str">
        <f>IFERROR(VLOOKUP(DATA!#REF!,DATA!#REF!,1,FALSE),"")</f>
        <v/>
      </c>
      <c r="D3765" s="16" t="str">
        <f>IFERROR(VLOOKUP(C3765,DATA!#REF!,2,FALSE),"")</f>
        <v/>
      </c>
    </row>
    <row r="3766" spans="3:4" s="237" customFormat="1">
      <c r="C3766" s="16" t="str">
        <f>IFERROR(VLOOKUP(DATA!#REF!,DATA!#REF!,1,FALSE),"")</f>
        <v/>
      </c>
      <c r="D3766" s="16" t="str">
        <f>IFERROR(VLOOKUP(C3766,DATA!#REF!,2,FALSE),"")</f>
        <v/>
      </c>
    </row>
    <row r="3767" spans="3:4" s="237" customFormat="1">
      <c r="C3767" s="16" t="str">
        <f>IFERROR(VLOOKUP(DATA!#REF!,DATA!#REF!,1,FALSE),"")</f>
        <v/>
      </c>
      <c r="D3767" s="16" t="str">
        <f>IFERROR(VLOOKUP(C3767,DATA!#REF!,2,FALSE),"")</f>
        <v/>
      </c>
    </row>
    <row r="3768" spans="3:4" s="237" customFormat="1">
      <c r="C3768" s="16" t="str">
        <f>IFERROR(VLOOKUP(DATA!#REF!,DATA!#REF!,1,FALSE),"")</f>
        <v/>
      </c>
      <c r="D3768" s="16" t="str">
        <f>IFERROR(VLOOKUP(C3768,DATA!#REF!,2,FALSE),"")</f>
        <v/>
      </c>
    </row>
    <row r="3769" spans="3:4" s="237" customFormat="1">
      <c r="C3769" s="16" t="str">
        <f>IFERROR(VLOOKUP(DATA!#REF!,DATA!#REF!,1,FALSE),"")</f>
        <v/>
      </c>
      <c r="D3769" s="16" t="str">
        <f>IFERROR(VLOOKUP(C3769,DATA!#REF!,2,FALSE),"")</f>
        <v/>
      </c>
    </row>
    <row r="3770" spans="3:4" s="237" customFormat="1">
      <c r="C3770" s="16" t="str">
        <f>IFERROR(VLOOKUP(DATA!#REF!,DATA!#REF!,1,FALSE),"")</f>
        <v/>
      </c>
      <c r="D3770" s="16" t="str">
        <f>IFERROR(VLOOKUP(C3770,DATA!#REF!,2,FALSE),"")</f>
        <v/>
      </c>
    </row>
    <row r="3771" spans="3:4" s="237" customFormat="1">
      <c r="C3771" s="16" t="str">
        <f>IFERROR(VLOOKUP(DATA!#REF!,DATA!#REF!,1,FALSE),"")</f>
        <v/>
      </c>
      <c r="D3771" s="16" t="str">
        <f>IFERROR(VLOOKUP(C3771,DATA!#REF!,2,FALSE),"")</f>
        <v/>
      </c>
    </row>
    <row r="3772" spans="3:4" s="237" customFormat="1">
      <c r="C3772" s="16" t="str">
        <f>IFERROR(VLOOKUP(DATA!#REF!,DATA!#REF!,1,FALSE),"")</f>
        <v/>
      </c>
      <c r="D3772" s="16" t="str">
        <f>IFERROR(VLOOKUP(C3772,DATA!#REF!,2,FALSE),"")</f>
        <v/>
      </c>
    </row>
    <row r="3773" spans="3:4" s="237" customFormat="1">
      <c r="C3773" s="16" t="str">
        <f>IFERROR(VLOOKUP(DATA!#REF!,DATA!#REF!,1,FALSE),"")</f>
        <v/>
      </c>
      <c r="D3773" s="16" t="str">
        <f>IFERROR(VLOOKUP(C3773,DATA!#REF!,2,FALSE),"")</f>
        <v/>
      </c>
    </row>
    <row r="3774" spans="3:4" s="237" customFormat="1">
      <c r="C3774" s="16" t="str">
        <f>IFERROR(VLOOKUP(DATA!#REF!,DATA!#REF!,1,FALSE),"")</f>
        <v/>
      </c>
      <c r="D3774" s="16" t="str">
        <f>IFERROR(VLOOKUP(C3774,DATA!#REF!,2,FALSE),"")</f>
        <v/>
      </c>
    </row>
    <row r="3775" spans="3:4" s="237" customFormat="1">
      <c r="C3775" s="16" t="str">
        <f>IFERROR(VLOOKUP(DATA!#REF!,DATA!#REF!,1,FALSE),"")</f>
        <v/>
      </c>
      <c r="D3775" s="16" t="str">
        <f>IFERROR(VLOOKUP(C3775,DATA!#REF!,2,FALSE),"")</f>
        <v/>
      </c>
    </row>
    <row r="3776" spans="3:4" s="237" customFormat="1">
      <c r="C3776" s="16" t="str">
        <f>IFERROR(VLOOKUP(DATA!#REF!,DATA!#REF!,1,FALSE),"")</f>
        <v/>
      </c>
      <c r="D3776" s="16" t="str">
        <f>IFERROR(VLOOKUP(C3776,DATA!#REF!,2,FALSE),"")</f>
        <v/>
      </c>
    </row>
    <row r="3777" spans="3:4" s="237" customFormat="1">
      <c r="C3777" s="16" t="str">
        <f>IFERROR(VLOOKUP(DATA!#REF!,DATA!#REF!,1,FALSE),"")</f>
        <v/>
      </c>
      <c r="D3777" s="16" t="str">
        <f>IFERROR(VLOOKUP(C3777,DATA!#REF!,2,FALSE),"")</f>
        <v/>
      </c>
    </row>
    <row r="3778" spans="3:4" s="237" customFormat="1">
      <c r="C3778" s="16" t="str">
        <f>IFERROR(VLOOKUP(DATA!#REF!,DATA!#REF!,1,FALSE),"")</f>
        <v/>
      </c>
      <c r="D3778" s="16" t="str">
        <f>IFERROR(VLOOKUP(C3778,DATA!#REF!,2,FALSE),"")</f>
        <v/>
      </c>
    </row>
    <row r="3779" spans="3:4" s="237" customFormat="1">
      <c r="C3779" s="16" t="str">
        <f>IFERROR(VLOOKUP(DATA!#REF!,DATA!#REF!,1,FALSE),"")</f>
        <v/>
      </c>
      <c r="D3779" s="16" t="str">
        <f>IFERROR(VLOOKUP(C3779,DATA!#REF!,2,FALSE),"")</f>
        <v/>
      </c>
    </row>
    <row r="3780" spans="3:4" s="237" customFormat="1">
      <c r="C3780" s="16" t="str">
        <f>IFERROR(VLOOKUP(DATA!#REF!,DATA!#REF!,1,FALSE),"")</f>
        <v/>
      </c>
      <c r="D3780" s="16" t="str">
        <f>IFERROR(VLOOKUP(C3780,DATA!#REF!,2,FALSE),"")</f>
        <v/>
      </c>
    </row>
    <row r="3781" spans="3:4" s="237" customFormat="1">
      <c r="C3781" s="16" t="str">
        <f>IFERROR(VLOOKUP(DATA!#REF!,DATA!#REF!,1,FALSE),"")</f>
        <v/>
      </c>
      <c r="D3781" s="16" t="str">
        <f>IFERROR(VLOOKUP(C3781,DATA!#REF!,2,FALSE),"")</f>
        <v/>
      </c>
    </row>
    <row r="3782" spans="3:4" s="237" customFormat="1">
      <c r="C3782" s="16" t="str">
        <f>IFERROR(VLOOKUP(DATA!#REF!,DATA!#REF!,1,FALSE),"")</f>
        <v/>
      </c>
      <c r="D3782" s="16" t="str">
        <f>IFERROR(VLOOKUP(C3782,DATA!#REF!,2,FALSE),"")</f>
        <v/>
      </c>
    </row>
    <row r="3783" spans="3:4" s="237" customFormat="1">
      <c r="C3783" s="16" t="str">
        <f>IFERROR(VLOOKUP(DATA!#REF!,DATA!#REF!,1,FALSE),"")</f>
        <v/>
      </c>
      <c r="D3783" s="16" t="str">
        <f>IFERROR(VLOOKUP(C3783,DATA!#REF!,2,FALSE),"")</f>
        <v/>
      </c>
    </row>
    <row r="3784" spans="3:4" s="237" customFormat="1">
      <c r="C3784" s="16" t="str">
        <f>IFERROR(VLOOKUP(DATA!#REF!,DATA!#REF!,1,FALSE),"")</f>
        <v/>
      </c>
      <c r="D3784" s="16" t="str">
        <f>IFERROR(VLOOKUP(C3784,DATA!#REF!,2,FALSE),"")</f>
        <v/>
      </c>
    </row>
    <row r="3785" spans="3:4" s="237" customFormat="1">
      <c r="C3785" s="16" t="str">
        <f>IFERROR(VLOOKUP(DATA!#REF!,DATA!#REF!,1,FALSE),"")</f>
        <v/>
      </c>
      <c r="D3785" s="16" t="str">
        <f>IFERROR(VLOOKUP(C3785,DATA!#REF!,2,FALSE),"")</f>
        <v/>
      </c>
    </row>
    <row r="3786" spans="3:4" s="237" customFormat="1">
      <c r="C3786" s="16" t="str">
        <f>IFERROR(VLOOKUP(DATA!#REF!,DATA!#REF!,1,FALSE),"")</f>
        <v/>
      </c>
      <c r="D3786" s="16" t="str">
        <f>IFERROR(VLOOKUP(C3786,DATA!#REF!,2,FALSE),"")</f>
        <v/>
      </c>
    </row>
    <row r="3787" spans="3:4" s="237" customFormat="1">
      <c r="C3787" s="16" t="str">
        <f>IFERROR(VLOOKUP(DATA!#REF!,DATA!#REF!,1,FALSE),"")</f>
        <v/>
      </c>
      <c r="D3787" s="16" t="str">
        <f>IFERROR(VLOOKUP(C3787,DATA!#REF!,2,FALSE),"")</f>
        <v/>
      </c>
    </row>
    <row r="3788" spans="3:4" s="237" customFormat="1">
      <c r="C3788" s="16" t="str">
        <f>IFERROR(VLOOKUP(DATA!#REF!,DATA!#REF!,1,FALSE),"")</f>
        <v/>
      </c>
      <c r="D3788" s="16" t="str">
        <f>IFERROR(VLOOKUP(C3788,DATA!#REF!,2,FALSE),"")</f>
        <v/>
      </c>
    </row>
    <row r="3789" spans="3:4" s="237" customFormat="1">
      <c r="C3789" s="16" t="str">
        <f>IFERROR(VLOOKUP(DATA!#REF!,DATA!#REF!,1,FALSE),"")</f>
        <v/>
      </c>
      <c r="D3789" s="16" t="str">
        <f>IFERROR(VLOOKUP(C3789,DATA!#REF!,2,FALSE),"")</f>
        <v/>
      </c>
    </row>
    <row r="3790" spans="3:4" s="237" customFormat="1">
      <c r="C3790" s="16" t="str">
        <f>IFERROR(VLOOKUP(DATA!#REF!,DATA!#REF!,1,FALSE),"")</f>
        <v/>
      </c>
      <c r="D3790" s="16" t="str">
        <f>IFERROR(VLOOKUP(C3790,DATA!#REF!,2,FALSE),"")</f>
        <v/>
      </c>
    </row>
    <row r="3791" spans="3:4" s="237" customFormat="1">
      <c r="C3791" s="16" t="str">
        <f>IFERROR(VLOOKUP(DATA!#REF!,DATA!#REF!,1,FALSE),"")</f>
        <v/>
      </c>
      <c r="D3791" s="16" t="str">
        <f>IFERROR(VLOOKUP(C3791,DATA!#REF!,2,FALSE),"")</f>
        <v/>
      </c>
    </row>
    <row r="3792" spans="3:4" s="237" customFormat="1">
      <c r="C3792" s="16" t="str">
        <f>IFERROR(VLOOKUP(DATA!#REF!,DATA!#REF!,1,FALSE),"")</f>
        <v/>
      </c>
      <c r="D3792" s="16" t="str">
        <f>IFERROR(VLOOKUP(C3792,DATA!#REF!,2,FALSE),"")</f>
        <v/>
      </c>
    </row>
    <row r="3793" spans="3:4" s="237" customFormat="1">
      <c r="C3793" s="16" t="str">
        <f>IFERROR(VLOOKUP(DATA!#REF!,DATA!#REF!,1,FALSE),"")</f>
        <v/>
      </c>
      <c r="D3793" s="16" t="str">
        <f>IFERROR(VLOOKUP(C3793,DATA!#REF!,2,FALSE),"")</f>
        <v/>
      </c>
    </row>
    <row r="3794" spans="3:4" s="237" customFormat="1">
      <c r="C3794" s="16" t="str">
        <f>IFERROR(VLOOKUP(DATA!#REF!,DATA!#REF!,1,FALSE),"")</f>
        <v/>
      </c>
      <c r="D3794" s="16" t="str">
        <f>IFERROR(VLOOKUP(C3794,DATA!#REF!,2,FALSE),"")</f>
        <v/>
      </c>
    </row>
    <row r="3795" spans="3:4" s="237" customFormat="1">
      <c r="C3795" s="16" t="str">
        <f>IFERROR(VLOOKUP(DATA!#REF!,DATA!#REF!,1,FALSE),"")</f>
        <v/>
      </c>
      <c r="D3795" s="16" t="str">
        <f>IFERROR(VLOOKUP(C3795,DATA!#REF!,2,FALSE),"")</f>
        <v/>
      </c>
    </row>
    <row r="3796" spans="3:4" s="237" customFormat="1">
      <c r="C3796" s="16" t="str">
        <f>IFERROR(VLOOKUP(DATA!#REF!,DATA!#REF!,1,FALSE),"")</f>
        <v/>
      </c>
      <c r="D3796" s="16" t="str">
        <f>IFERROR(VLOOKUP(C3796,DATA!#REF!,2,FALSE),"")</f>
        <v/>
      </c>
    </row>
    <row r="3797" spans="3:4" s="237" customFormat="1">
      <c r="C3797" s="16" t="str">
        <f>IFERROR(VLOOKUP(DATA!#REF!,DATA!#REF!,1,FALSE),"")</f>
        <v/>
      </c>
      <c r="D3797" s="16" t="str">
        <f>IFERROR(VLOOKUP(C3797,DATA!#REF!,2,FALSE),"")</f>
        <v/>
      </c>
    </row>
    <row r="3798" spans="3:4" s="237" customFormat="1">
      <c r="C3798" s="16" t="str">
        <f>IFERROR(VLOOKUP(DATA!#REF!,DATA!#REF!,1,FALSE),"")</f>
        <v/>
      </c>
      <c r="D3798" s="16" t="str">
        <f>IFERROR(VLOOKUP(C3798,DATA!#REF!,2,FALSE),"")</f>
        <v/>
      </c>
    </row>
    <row r="3799" spans="3:4" s="237" customFormat="1">
      <c r="C3799" s="16" t="str">
        <f>IFERROR(VLOOKUP(DATA!#REF!,DATA!#REF!,1,FALSE),"")</f>
        <v/>
      </c>
      <c r="D3799" s="16" t="str">
        <f>IFERROR(VLOOKUP(C3799,DATA!#REF!,2,FALSE),"")</f>
        <v/>
      </c>
    </row>
    <row r="3800" spans="3:4" s="237" customFormat="1">
      <c r="C3800" s="16" t="str">
        <f>IFERROR(VLOOKUP(DATA!#REF!,DATA!#REF!,1,FALSE),"")</f>
        <v/>
      </c>
      <c r="D3800" s="16" t="str">
        <f>IFERROR(VLOOKUP(C3800,DATA!#REF!,2,FALSE),"")</f>
        <v/>
      </c>
    </row>
    <row r="3801" spans="3:4" s="237" customFormat="1">
      <c r="C3801" s="16" t="str">
        <f>IFERROR(VLOOKUP(DATA!#REF!,DATA!#REF!,1,FALSE),"")</f>
        <v/>
      </c>
      <c r="D3801" s="16" t="str">
        <f>IFERROR(VLOOKUP(C3801,DATA!#REF!,2,FALSE),"")</f>
        <v/>
      </c>
    </row>
    <row r="3802" spans="3:4" s="237" customFormat="1">
      <c r="C3802" s="16" t="str">
        <f>IFERROR(VLOOKUP(DATA!#REF!,DATA!#REF!,1,FALSE),"")</f>
        <v/>
      </c>
      <c r="D3802" s="16" t="str">
        <f>IFERROR(VLOOKUP(C3802,DATA!#REF!,2,FALSE),"")</f>
        <v/>
      </c>
    </row>
    <row r="3803" spans="3:4" s="237" customFormat="1">
      <c r="C3803" s="16" t="str">
        <f>IFERROR(VLOOKUP(DATA!#REF!,DATA!#REF!,1,FALSE),"")</f>
        <v/>
      </c>
      <c r="D3803" s="16" t="str">
        <f>IFERROR(VLOOKUP(C3803,DATA!#REF!,2,FALSE),"")</f>
        <v/>
      </c>
    </row>
    <row r="3804" spans="3:4" s="237" customFormat="1">
      <c r="C3804" s="16" t="str">
        <f>IFERROR(VLOOKUP(DATA!#REF!,DATA!#REF!,1,FALSE),"")</f>
        <v/>
      </c>
      <c r="D3804" s="16" t="str">
        <f>IFERROR(VLOOKUP(C3804,DATA!#REF!,2,FALSE),"")</f>
        <v/>
      </c>
    </row>
    <row r="3805" spans="3:4" s="237" customFormat="1">
      <c r="C3805" s="16" t="str">
        <f>IFERROR(VLOOKUP(DATA!#REF!,DATA!#REF!,1,FALSE),"")</f>
        <v/>
      </c>
      <c r="D3805" s="16" t="str">
        <f>IFERROR(VLOOKUP(C3805,DATA!#REF!,2,FALSE),"")</f>
        <v/>
      </c>
    </row>
    <row r="3806" spans="3:4" s="237" customFormat="1">
      <c r="C3806" s="16" t="str">
        <f>IFERROR(VLOOKUP(DATA!#REF!,DATA!#REF!,1,FALSE),"")</f>
        <v/>
      </c>
      <c r="D3806" s="16" t="str">
        <f>IFERROR(VLOOKUP(C3806,DATA!#REF!,2,FALSE),"")</f>
        <v/>
      </c>
    </row>
    <row r="3807" spans="3:4" s="237" customFormat="1">
      <c r="C3807" s="16" t="str">
        <f>IFERROR(VLOOKUP(DATA!#REF!,DATA!#REF!,1,FALSE),"")</f>
        <v/>
      </c>
      <c r="D3807" s="16" t="str">
        <f>IFERROR(VLOOKUP(C3807,DATA!#REF!,2,FALSE),"")</f>
        <v/>
      </c>
    </row>
    <row r="3808" spans="3:4" s="237" customFormat="1">
      <c r="C3808" s="16" t="str">
        <f>IFERROR(VLOOKUP(DATA!#REF!,DATA!#REF!,1,FALSE),"")</f>
        <v/>
      </c>
      <c r="D3808" s="16" t="str">
        <f>IFERROR(VLOOKUP(C3808,DATA!#REF!,2,FALSE),"")</f>
        <v/>
      </c>
    </row>
    <row r="3809" spans="3:4" s="237" customFormat="1">
      <c r="C3809" s="16" t="str">
        <f>IFERROR(VLOOKUP(DATA!#REF!,DATA!#REF!,1,FALSE),"")</f>
        <v/>
      </c>
      <c r="D3809" s="16" t="str">
        <f>IFERROR(VLOOKUP(C3809,DATA!#REF!,2,FALSE),"")</f>
        <v/>
      </c>
    </row>
    <row r="3810" spans="3:4" s="237" customFormat="1">
      <c r="C3810" s="16" t="str">
        <f>IFERROR(VLOOKUP(DATA!#REF!,DATA!#REF!,1,FALSE),"")</f>
        <v/>
      </c>
      <c r="D3810" s="16" t="str">
        <f>IFERROR(VLOOKUP(C3810,DATA!#REF!,2,FALSE),"")</f>
        <v/>
      </c>
    </row>
    <row r="3811" spans="3:4" s="237" customFormat="1">
      <c r="C3811" s="16" t="str">
        <f>IFERROR(VLOOKUP(DATA!#REF!,DATA!#REF!,1,FALSE),"")</f>
        <v/>
      </c>
      <c r="D3811" s="16" t="str">
        <f>IFERROR(VLOOKUP(C3811,DATA!#REF!,2,FALSE),"")</f>
        <v/>
      </c>
    </row>
    <row r="3812" spans="3:4" s="237" customFormat="1">
      <c r="C3812" s="16" t="str">
        <f>IFERROR(VLOOKUP(DATA!#REF!,DATA!#REF!,1,FALSE),"")</f>
        <v/>
      </c>
      <c r="D3812" s="16" t="str">
        <f>IFERROR(VLOOKUP(C3812,DATA!#REF!,2,FALSE),"")</f>
        <v/>
      </c>
    </row>
    <row r="3813" spans="3:4" s="237" customFormat="1">
      <c r="C3813" s="16" t="str">
        <f>IFERROR(VLOOKUP(DATA!#REF!,DATA!#REF!,1,FALSE),"")</f>
        <v/>
      </c>
      <c r="D3813" s="16" t="str">
        <f>IFERROR(VLOOKUP(C3813,DATA!#REF!,2,FALSE),"")</f>
        <v/>
      </c>
    </row>
    <row r="3814" spans="3:4" s="237" customFormat="1">
      <c r="C3814" s="16" t="str">
        <f>IFERROR(VLOOKUP(DATA!#REF!,DATA!#REF!,1,FALSE),"")</f>
        <v/>
      </c>
      <c r="D3814" s="16" t="str">
        <f>IFERROR(VLOOKUP(C3814,DATA!#REF!,2,FALSE),"")</f>
        <v/>
      </c>
    </row>
    <row r="3815" spans="3:4" s="237" customFormat="1">
      <c r="C3815" s="16" t="str">
        <f>IFERROR(VLOOKUP(DATA!#REF!,DATA!#REF!,1,FALSE),"")</f>
        <v/>
      </c>
      <c r="D3815" s="16" t="str">
        <f>IFERROR(VLOOKUP(C3815,DATA!#REF!,2,FALSE),"")</f>
        <v/>
      </c>
    </row>
    <row r="3816" spans="3:4" s="237" customFormat="1">
      <c r="C3816" s="16" t="str">
        <f>IFERROR(VLOOKUP(DATA!#REF!,DATA!#REF!,1,FALSE),"")</f>
        <v/>
      </c>
      <c r="D3816" s="16" t="str">
        <f>IFERROR(VLOOKUP(C3816,DATA!#REF!,2,FALSE),"")</f>
        <v/>
      </c>
    </row>
    <row r="3817" spans="3:4" s="237" customFormat="1">
      <c r="C3817" s="16" t="str">
        <f>IFERROR(VLOOKUP(DATA!#REF!,DATA!#REF!,1,FALSE),"")</f>
        <v/>
      </c>
      <c r="D3817" s="16" t="str">
        <f>IFERROR(VLOOKUP(C3817,DATA!#REF!,2,FALSE),"")</f>
        <v/>
      </c>
    </row>
    <row r="3818" spans="3:4" s="237" customFormat="1">
      <c r="C3818" s="16" t="str">
        <f>IFERROR(VLOOKUP(DATA!#REF!,DATA!#REF!,1,FALSE),"")</f>
        <v/>
      </c>
      <c r="D3818" s="16" t="str">
        <f>IFERROR(VLOOKUP(C3818,DATA!#REF!,2,FALSE),"")</f>
        <v/>
      </c>
    </row>
    <row r="3819" spans="3:4" s="237" customFormat="1">
      <c r="C3819" s="16" t="str">
        <f>IFERROR(VLOOKUP(DATA!#REF!,DATA!#REF!,1,FALSE),"")</f>
        <v/>
      </c>
      <c r="D3819" s="16" t="str">
        <f>IFERROR(VLOOKUP(C3819,DATA!#REF!,2,FALSE),"")</f>
        <v/>
      </c>
    </row>
    <row r="3820" spans="3:4" s="237" customFormat="1">
      <c r="C3820" s="16" t="str">
        <f>IFERROR(VLOOKUP(DATA!#REF!,DATA!#REF!,1,FALSE),"")</f>
        <v/>
      </c>
      <c r="D3820" s="16" t="str">
        <f>IFERROR(VLOOKUP(C3820,DATA!#REF!,2,FALSE),"")</f>
        <v/>
      </c>
    </row>
    <row r="3821" spans="3:4" s="237" customFormat="1">
      <c r="C3821" s="16" t="str">
        <f>IFERROR(VLOOKUP(DATA!#REF!,DATA!#REF!,1,FALSE),"")</f>
        <v/>
      </c>
      <c r="D3821" s="16" t="str">
        <f>IFERROR(VLOOKUP(C3821,DATA!#REF!,2,FALSE),"")</f>
        <v/>
      </c>
    </row>
    <row r="3822" spans="3:4" s="237" customFormat="1">
      <c r="C3822" s="16" t="str">
        <f>IFERROR(VLOOKUP(DATA!#REF!,DATA!#REF!,1,FALSE),"")</f>
        <v/>
      </c>
      <c r="D3822" s="16" t="str">
        <f>IFERROR(VLOOKUP(C3822,DATA!#REF!,2,FALSE),"")</f>
        <v/>
      </c>
    </row>
    <row r="3823" spans="3:4" s="237" customFormat="1">
      <c r="C3823" s="16" t="str">
        <f>IFERROR(VLOOKUP(DATA!#REF!,DATA!#REF!,1,FALSE),"")</f>
        <v/>
      </c>
      <c r="D3823" s="16" t="str">
        <f>IFERROR(VLOOKUP(C3823,DATA!#REF!,2,FALSE),"")</f>
        <v/>
      </c>
    </row>
    <row r="3824" spans="3:4" s="237" customFormat="1">
      <c r="C3824" s="16" t="str">
        <f>IFERROR(VLOOKUP(DATA!#REF!,DATA!#REF!,1,FALSE),"")</f>
        <v/>
      </c>
      <c r="D3824" s="16" t="str">
        <f>IFERROR(VLOOKUP(C3824,DATA!#REF!,2,FALSE),"")</f>
        <v/>
      </c>
    </row>
    <row r="3825" spans="3:4" s="237" customFormat="1">
      <c r="C3825" s="16" t="str">
        <f>IFERROR(VLOOKUP(DATA!#REF!,DATA!#REF!,1,FALSE),"")</f>
        <v/>
      </c>
      <c r="D3825" s="16" t="str">
        <f>IFERROR(VLOOKUP(C3825,DATA!#REF!,2,FALSE),"")</f>
        <v/>
      </c>
    </row>
    <row r="3826" spans="3:4" s="237" customFormat="1">
      <c r="C3826" s="16" t="str">
        <f>IFERROR(VLOOKUP(DATA!#REF!,DATA!#REF!,1,FALSE),"")</f>
        <v/>
      </c>
      <c r="D3826" s="16" t="str">
        <f>IFERROR(VLOOKUP(C3826,DATA!#REF!,2,FALSE),"")</f>
        <v/>
      </c>
    </row>
    <row r="3827" spans="3:4" s="237" customFormat="1">
      <c r="C3827" s="16" t="str">
        <f>IFERROR(VLOOKUP(DATA!#REF!,DATA!#REF!,1,FALSE),"")</f>
        <v/>
      </c>
      <c r="D3827" s="16" t="str">
        <f>IFERROR(VLOOKUP(C3827,DATA!#REF!,2,FALSE),"")</f>
        <v/>
      </c>
    </row>
    <row r="3828" spans="3:4" s="237" customFormat="1">
      <c r="C3828" s="16" t="str">
        <f>IFERROR(VLOOKUP(DATA!#REF!,DATA!#REF!,1,FALSE),"")</f>
        <v/>
      </c>
      <c r="D3828" s="16" t="str">
        <f>IFERROR(VLOOKUP(C3828,DATA!#REF!,2,FALSE),"")</f>
        <v/>
      </c>
    </row>
    <row r="3829" spans="3:4" s="237" customFormat="1">
      <c r="C3829" s="16" t="str">
        <f>IFERROR(VLOOKUP(DATA!#REF!,DATA!#REF!,1,FALSE),"")</f>
        <v/>
      </c>
      <c r="D3829" s="16" t="str">
        <f>IFERROR(VLOOKUP(C3829,DATA!#REF!,2,FALSE),"")</f>
        <v/>
      </c>
    </row>
    <row r="3830" spans="3:4" s="237" customFormat="1">
      <c r="C3830" s="16" t="str">
        <f>IFERROR(VLOOKUP(DATA!#REF!,DATA!#REF!,1,FALSE),"")</f>
        <v/>
      </c>
      <c r="D3830" s="16" t="str">
        <f>IFERROR(VLOOKUP(C3830,DATA!#REF!,2,FALSE),"")</f>
        <v/>
      </c>
    </row>
    <row r="3831" spans="3:4" s="237" customFormat="1">
      <c r="C3831" s="16" t="str">
        <f>IFERROR(VLOOKUP(DATA!#REF!,DATA!#REF!,1,FALSE),"")</f>
        <v/>
      </c>
      <c r="D3831" s="16" t="str">
        <f>IFERROR(VLOOKUP(C3831,DATA!#REF!,2,FALSE),"")</f>
        <v/>
      </c>
    </row>
    <row r="3832" spans="3:4" s="237" customFormat="1">
      <c r="C3832" s="16" t="str">
        <f>IFERROR(VLOOKUP(DATA!#REF!,DATA!#REF!,1,FALSE),"")</f>
        <v/>
      </c>
      <c r="D3832" s="16" t="str">
        <f>IFERROR(VLOOKUP(C3832,DATA!#REF!,2,FALSE),"")</f>
        <v/>
      </c>
    </row>
    <row r="3833" spans="3:4" s="237" customFormat="1">
      <c r="C3833" s="16" t="str">
        <f>IFERROR(VLOOKUP(DATA!#REF!,DATA!#REF!,1,FALSE),"")</f>
        <v/>
      </c>
      <c r="D3833" s="16" t="str">
        <f>IFERROR(VLOOKUP(C3833,DATA!#REF!,2,FALSE),"")</f>
        <v/>
      </c>
    </row>
    <row r="3834" spans="3:4" s="237" customFormat="1">
      <c r="C3834" s="16" t="str">
        <f>IFERROR(VLOOKUP(DATA!#REF!,DATA!#REF!,1,FALSE),"")</f>
        <v/>
      </c>
      <c r="D3834" s="16" t="str">
        <f>IFERROR(VLOOKUP(C3834,DATA!#REF!,2,FALSE),"")</f>
        <v/>
      </c>
    </row>
    <row r="3835" spans="3:4" s="237" customFormat="1">
      <c r="C3835" s="16" t="str">
        <f>IFERROR(VLOOKUP(DATA!#REF!,DATA!#REF!,1,FALSE),"")</f>
        <v/>
      </c>
      <c r="D3835" s="16" t="str">
        <f>IFERROR(VLOOKUP(C3835,DATA!#REF!,2,FALSE),"")</f>
        <v/>
      </c>
    </row>
    <row r="3836" spans="3:4" s="237" customFormat="1">
      <c r="C3836" s="16" t="str">
        <f>IFERROR(VLOOKUP(DATA!#REF!,DATA!#REF!,1,FALSE),"")</f>
        <v/>
      </c>
      <c r="D3836" s="16" t="str">
        <f>IFERROR(VLOOKUP(C3836,DATA!#REF!,2,FALSE),"")</f>
        <v/>
      </c>
    </row>
    <row r="3837" spans="3:4" s="237" customFormat="1">
      <c r="C3837" s="16" t="str">
        <f>IFERROR(VLOOKUP(DATA!#REF!,DATA!#REF!,1,FALSE),"")</f>
        <v/>
      </c>
      <c r="D3837" s="16" t="str">
        <f>IFERROR(VLOOKUP(C3837,DATA!#REF!,2,FALSE),"")</f>
        <v/>
      </c>
    </row>
    <row r="3838" spans="3:4" s="237" customFormat="1">
      <c r="C3838" s="16" t="str">
        <f>IFERROR(VLOOKUP(DATA!#REF!,DATA!#REF!,1,FALSE),"")</f>
        <v/>
      </c>
      <c r="D3838" s="16" t="str">
        <f>IFERROR(VLOOKUP(C3838,DATA!#REF!,2,FALSE),"")</f>
        <v/>
      </c>
    </row>
    <row r="3839" spans="3:4" s="237" customFormat="1">
      <c r="C3839" s="16" t="str">
        <f>IFERROR(VLOOKUP(DATA!#REF!,DATA!#REF!,1,FALSE),"")</f>
        <v/>
      </c>
      <c r="D3839" s="16" t="str">
        <f>IFERROR(VLOOKUP(C3839,DATA!#REF!,2,FALSE),"")</f>
        <v/>
      </c>
    </row>
    <row r="3840" spans="3:4" s="237" customFormat="1">
      <c r="C3840" s="16" t="str">
        <f>IFERROR(VLOOKUP(DATA!#REF!,DATA!#REF!,1,FALSE),"")</f>
        <v/>
      </c>
      <c r="D3840" s="16" t="str">
        <f>IFERROR(VLOOKUP(C3840,DATA!#REF!,2,FALSE),"")</f>
        <v/>
      </c>
    </row>
    <row r="3841" spans="3:4" s="237" customFormat="1">
      <c r="C3841" s="16" t="str">
        <f>IFERROR(VLOOKUP(DATA!#REF!,DATA!#REF!,1,FALSE),"")</f>
        <v/>
      </c>
      <c r="D3841" s="16" t="str">
        <f>IFERROR(VLOOKUP(C3841,DATA!#REF!,2,FALSE),"")</f>
        <v/>
      </c>
    </row>
    <row r="3842" spans="3:4" s="237" customFormat="1">
      <c r="C3842" s="16" t="str">
        <f>IFERROR(VLOOKUP(DATA!#REF!,DATA!#REF!,1,FALSE),"")</f>
        <v/>
      </c>
      <c r="D3842" s="16" t="str">
        <f>IFERROR(VLOOKUP(C3842,DATA!#REF!,2,FALSE),"")</f>
        <v/>
      </c>
    </row>
    <row r="3843" spans="3:4" s="237" customFormat="1">
      <c r="C3843" s="16" t="str">
        <f>IFERROR(VLOOKUP(DATA!#REF!,DATA!#REF!,1,FALSE),"")</f>
        <v/>
      </c>
      <c r="D3843" s="16" t="str">
        <f>IFERROR(VLOOKUP(C3843,DATA!#REF!,2,FALSE),"")</f>
        <v/>
      </c>
    </row>
    <row r="3844" spans="3:4" s="237" customFormat="1">
      <c r="C3844" s="16" t="str">
        <f>IFERROR(VLOOKUP(DATA!#REF!,DATA!#REF!,1,FALSE),"")</f>
        <v/>
      </c>
      <c r="D3844" s="16" t="str">
        <f>IFERROR(VLOOKUP(C3844,DATA!#REF!,2,FALSE),"")</f>
        <v/>
      </c>
    </row>
    <row r="3845" spans="3:4" s="237" customFormat="1">
      <c r="C3845" s="16" t="str">
        <f>IFERROR(VLOOKUP(DATA!#REF!,DATA!#REF!,1,FALSE),"")</f>
        <v/>
      </c>
      <c r="D3845" s="16" t="str">
        <f>IFERROR(VLOOKUP(C3845,DATA!#REF!,2,FALSE),"")</f>
        <v/>
      </c>
    </row>
    <row r="3846" spans="3:4" s="237" customFormat="1">
      <c r="C3846" s="16" t="str">
        <f>IFERROR(VLOOKUP(DATA!#REF!,DATA!#REF!,1,FALSE),"")</f>
        <v/>
      </c>
      <c r="D3846" s="16" t="str">
        <f>IFERROR(VLOOKUP(C3846,DATA!#REF!,2,FALSE),"")</f>
        <v/>
      </c>
    </row>
    <row r="3847" spans="3:4" s="237" customFormat="1">
      <c r="C3847" s="16" t="str">
        <f>IFERROR(VLOOKUP(DATA!#REF!,DATA!#REF!,1,FALSE),"")</f>
        <v/>
      </c>
      <c r="D3847" s="16" t="str">
        <f>IFERROR(VLOOKUP(C3847,DATA!#REF!,2,FALSE),"")</f>
        <v/>
      </c>
    </row>
    <row r="3848" spans="3:4" s="237" customFormat="1">
      <c r="C3848" s="16" t="str">
        <f>IFERROR(VLOOKUP(DATA!#REF!,DATA!#REF!,1,FALSE),"")</f>
        <v/>
      </c>
      <c r="D3848" s="16" t="str">
        <f>IFERROR(VLOOKUP(C3848,DATA!#REF!,2,FALSE),"")</f>
        <v/>
      </c>
    </row>
    <row r="3849" spans="3:4" s="237" customFormat="1">
      <c r="C3849" s="16" t="str">
        <f>IFERROR(VLOOKUP(DATA!#REF!,DATA!#REF!,1,FALSE),"")</f>
        <v/>
      </c>
      <c r="D3849" s="16" t="str">
        <f>IFERROR(VLOOKUP(C3849,DATA!#REF!,2,FALSE),"")</f>
        <v/>
      </c>
    </row>
    <row r="3850" spans="3:4" s="237" customFormat="1">
      <c r="C3850" s="16" t="str">
        <f>IFERROR(VLOOKUP(DATA!#REF!,DATA!#REF!,1,FALSE),"")</f>
        <v/>
      </c>
      <c r="D3850" s="16" t="str">
        <f>IFERROR(VLOOKUP(C3850,DATA!#REF!,2,FALSE),"")</f>
        <v/>
      </c>
    </row>
    <row r="3851" spans="3:4" s="237" customFormat="1">
      <c r="C3851" s="16" t="str">
        <f>IFERROR(VLOOKUP(DATA!#REF!,DATA!#REF!,1,FALSE),"")</f>
        <v/>
      </c>
      <c r="D3851" s="16" t="str">
        <f>IFERROR(VLOOKUP(C3851,DATA!#REF!,2,FALSE),"")</f>
        <v/>
      </c>
    </row>
    <row r="3852" spans="3:4" s="237" customFormat="1">
      <c r="C3852" s="16" t="str">
        <f>IFERROR(VLOOKUP(DATA!#REF!,DATA!#REF!,1,FALSE),"")</f>
        <v/>
      </c>
      <c r="D3852" s="16" t="str">
        <f>IFERROR(VLOOKUP(C3852,DATA!#REF!,2,FALSE),"")</f>
        <v/>
      </c>
    </row>
    <row r="3853" spans="3:4" s="237" customFormat="1">
      <c r="C3853" s="16" t="str">
        <f>IFERROR(VLOOKUP(DATA!#REF!,DATA!#REF!,1,FALSE),"")</f>
        <v/>
      </c>
      <c r="D3853" s="16" t="str">
        <f>IFERROR(VLOOKUP(C3853,DATA!#REF!,2,FALSE),"")</f>
        <v/>
      </c>
    </row>
    <row r="3854" spans="3:4" s="237" customFormat="1">
      <c r="C3854" s="16" t="str">
        <f>IFERROR(VLOOKUP(DATA!#REF!,DATA!#REF!,1,FALSE),"")</f>
        <v/>
      </c>
      <c r="D3854" s="16" t="str">
        <f>IFERROR(VLOOKUP(C3854,DATA!#REF!,2,FALSE),"")</f>
        <v/>
      </c>
    </row>
    <row r="3855" spans="3:4" s="237" customFormat="1">
      <c r="C3855" s="16" t="str">
        <f>IFERROR(VLOOKUP(DATA!#REF!,DATA!#REF!,1,FALSE),"")</f>
        <v/>
      </c>
      <c r="D3855" s="16" t="str">
        <f>IFERROR(VLOOKUP(C3855,DATA!#REF!,2,FALSE),"")</f>
        <v/>
      </c>
    </row>
    <row r="3856" spans="3:4" s="237" customFormat="1">
      <c r="C3856" s="16" t="str">
        <f>IFERROR(VLOOKUP(DATA!#REF!,DATA!#REF!,1,FALSE),"")</f>
        <v/>
      </c>
      <c r="D3856" s="16" t="str">
        <f>IFERROR(VLOOKUP(C3856,DATA!#REF!,2,FALSE),"")</f>
        <v/>
      </c>
    </row>
    <row r="3857" spans="3:4" s="237" customFormat="1">
      <c r="C3857" s="16" t="str">
        <f>IFERROR(VLOOKUP(DATA!#REF!,DATA!#REF!,1,FALSE),"")</f>
        <v/>
      </c>
      <c r="D3857" s="16" t="str">
        <f>IFERROR(VLOOKUP(C3857,DATA!#REF!,2,FALSE),"")</f>
        <v/>
      </c>
    </row>
    <row r="3858" spans="3:4" s="237" customFormat="1">
      <c r="C3858" s="16" t="str">
        <f>IFERROR(VLOOKUP(DATA!#REF!,DATA!#REF!,1,FALSE),"")</f>
        <v/>
      </c>
      <c r="D3858" s="16" t="str">
        <f>IFERROR(VLOOKUP(C3858,DATA!#REF!,2,FALSE),"")</f>
        <v/>
      </c>
    </row>
    <row r="3859" spans="3:4" s="237" customFormat="1">
      <c r="C3859" s="16" t="str">
        <f>IFERROR(VLOOKUP(DATA!#REF!,DATA!#REF!,1,FALSE),"")</f>
        <v/>
      </c>
      <c r="D3859" s="16" t="str">
        <f>IFERROR(VLOOKUP(C3859,DATA!#REF!,2,FALSE),"")</f>
        <v/>
      </c>
    </row>
    <row r="3860" spans="3:4" s="237" customFormat="1">
      <c r="C3860" s="16" t="str">
        <f>IFERROR(VLOOKUP(DATA!#REF!,DATA!#REF!,1,FALSE),"")</f>
        <v/>
      </c>
      <c r="D3860" s="16" t="str">
        <f>IFERROR(VLOOKUP(C3860,DATA!#REF!,2,FALSE),"")</f>
        <v/>
      </c>
    </row>
    <row r="3861" spans="3:4" s="237" customFormat="1">
      <c r="C3861" s="16" t="str">
        <f>IFERROR(VLOOKUP(DATA!#REF!,DATA!#REF!,1,FALSE),"")</f>
        <v/>
      </c>
      <c r="D3861" s="16" t="str">
        <f>IFERROR(VLOOKUP(C3861,DATA!#REF!,2,FALSE),"")</f>
        <v/>
      </c>
    </row>
    <row r="3862" spans="3:4" s="237" customFormat="1">
      <c r="C3862" s="16" t="str">
        <f>IFERROR(VLOOKUP(DATA!#REF!,DATA!#REF!,1,FALSE),"")</f>
        <v/>
      </c>
      <c r="D3862" s="16" t="str">
        <f>IFERROR(VLOOKUP(C3862,DATA!#REF!,2,FALSE),"")</f>
        <v/>
      </c>
    </row>
    <row r="3863" spans="3:4" s="237" customFormat="1">
      <c r="C3863" s="16" t="str">
        <f>IFERROR(VLOOKUP(DATA!#REF!,DATA!#REF!,1,FALSE),"")</f>
        <v/>
      </c>
      <c r="D3863" s="16" t="str">
        <f>IFERROR(VLOOKUP(C3863,DATA!#REF!,2,FALSE),"")</f>
        <v/>
      </c>
    </row>
    <row r="3864" spans="3:4" s="237" customFormat="1">
      <c r="C3864" s="16" t="str">
        <f>IFERROR(VLOOKUP(DATA!#REF!,DATA!#REF!,1,FALSE),"")</f>
        <v/>
      </c>
      <c r="D3864" s="16" t="str">
        <f>IFERROR(VLOOKUP(C3864,DATA!#REF!,2,FALSE),"")</f>
        <v/>
      </c>
    </row>
    <row r="3865" spans="3:4" s="237" customFormat="1">
      <c r="C3865" s="16" t="str">
        <f>IFERROR(VLOOKUP(DATA!#REF!,DATA!#REF!,1,FALSE),"")</f>
        <v/>
      </c>
      <c r="D3865" s="16" t="str">
        <f>IFERROR(VLOOKUP(C3865,DATA!#REF!,2,FALSE),"")</f>
        <v/>
      </c>
    </row>
    <row r="3866" spans="3:4" s="237" customFormat="1">
      <c r="C3866" s="16" t="str">
        <f>IFERROR(VLOOKUP(DATA!#REF!,DATA!#REF!,1,FALSE),"")</f>
        <v/>
      </c>
      <c r="D3866" s="16" t="str">
        <f>IFERROR(VLOOKUP(C3866,DATA!#REF!,2,FALSE),"")</f>
        <v/>
      </c>
    </row>
    <row r="3867" spans="3:4" s="237" customFormat="1">
      <c r="C3867" s="16" t="str">
        <f>IFERROR(VLOOKUP(DATA!#REF!,DATA!#REF!,1,FALSE),"")</f>
        <v/>
      </c>
      <c r="D3867" s="16" t="str">
        <f>IFERROR(VLOOKUP(C3867,DATA!#REF!,2,FALSE),"")</f>
        <v/>
      </c>
    </row>
    <row r="3868" spans="3:4" s="237" customFormat="1">
      <c r="C3868" s="16" t="str">
        <f>IFERROR(VLOOKUP(DATA!#REF!,DATA!#REF!,1,FALSE),"")</f>
        <v/>
      </c>
      <c r="D3868" s="16" t="str">
        <f>IFERROR(VLOOKUP(C3868,DATA!#REF!,2,FALSE),"")</f>
        <v/>
      </c>
    </row>
    <row r="3869" spans="3:4" s="237" customFormat="1">
      <c r="C3869" s="16" t="str">
        <f>IFERROR(VLOOKUP(DATA!#REF!,DATA!#REF!,1,FALSE),"")</f>
        <v/>
      </c>
      <c r="D3869" s="16" t="str">
        <f>IFERROR(VLOOKUP(C3869,DATA!#REF!,2,FALSE),"")</f>
        <v/>
      </c>
    </row>
    <row r="3870" spans="3:4" s="237" customFormat="1">
      <c r="C3870" s="16" t="str">
        <f>IFERROR(VLOOKUP(DATA!#REF!,DATA!#REF!,1,FALSE),"")</f>
        <v/>
      </c>
      <c r="D3870" s="16" t="str">
        <f>IFERROR(VLOOKUP(C3870,DATA!#REF!,2,FALSE),"")</f>
        <v/>
      </c>
    </row>
    <row r="3871" spans="3:4" s="237" customFormat="1">
      <c r="C3871" s="16" t="str">
        <f>IFERROR(VLOOKUP(DATA!#REF!,DATA!#REF!,1,FALSE),"")</f>
        <v/>
      </c>
      <c r="D3871" s="16" t="str">
        <f>IFERROR(VLOOKUP(C3871,DATA!#REF!,2,FALSE),"")</f>
        <v/>
      </c>
    </row>
    <row r="3872" spans="3:4" s="237" customFormat="1">
      <c r="C3872" s="16" t="str">
        <f>IFERROR(VLOOKUP(DATA!#REF!,DATA!#REF!,1,FALSE),"")</f>
        <v/>
      </c>
      <c r="D3872" s="16" t="str">
        <f>IFERROR(VLOOKUP(C3872,DATA!#REF!,2,FALSE),"")</f>
        <v/>
      </c>
    </row>
    <row r="3873" spans="3:4" s="237" customFormat="1">
      <c r="C3873" s="16" t="str">
        <f>IFERROR(VLOOKUP(DATA!#REF!,DATA!#REF!,1,FALSE),"")</f>
        <v/>
      </c>
      <c r="D3873" s="16" t="str">
        <f>IFERROR(VLOOKUP(C3873,DATA!#REF!,2,FALSE),"")</f>
        <v/>
      </c>
    </row>
    <row r="3874" spans="3:4" s="237" customFormat="1">
      <c r="C3874" s="16" t="str">
        <f>IFERROR(VLOOKUP(DATA!#REF!,DATA!#REF!,1,FALSE),"")</f>
        <v/>
      </c>
      <c r="D3874" s="16" t="str">
        <f>IFERROR(VLOOKUP(C3874,DATA!#REF!,2,FALSE),"")</f>
        <v/>
      </c>
    </row>
    <row r="3875" spans="3:4" s="237" customFormat="1">
      <c r="C3875" s="16" t="str">
        <f>IFERROR(VLOOKUP(DATA!#REF!,DATA!#REF!,1,FALSE),"")</f>
        <v/>
      </c>
      <c r="D3875" s="16" t="str">
        <f>IFERROR(VLOOKUP(C3875,DATA!#REF!,2,FALSE),"")</f>
        <v/>
      </c>
    </row>
    <row r="3876" spans="3:4" s="237" customFormat="1">
      <c r="C3876" s="16" t="str">
        <f>IFERROR(VLOOKUP(DATA!#REF!,DATA!#REF!,1,FALSE),"")</f>
        <v/>
      </c>
      <c r="D3876" s="16" t="str">
        <f>IFERROR(VLOOKUP(C3876,DATA!#REF!,2,FALSE),"")</f>
        <v/>
      </c>
    </row>
    <row r="3877" spans="3:4" s="237" customFormat="1">
      <c r="C3877" s="16" t="str">
        <f>IFERROR(VLOOKUP(DATA!#REF!,DATA!#REF!,1,FALSE),"")</f>
        <v/>
      </c>
      <c r="D3877" s="16" t="str">
        <f>IFERROR(VLOOKUP(C3877,DATA!#REF!,2,FALSE),"")</f>
        <v/>
      </c>
    </row>
    <row r="3878" spans="3:4" s="237" customFormat="1">
      <c r="C3878" s="16" t="str">
        <f>IFERROR(VLOOKUP(DATA!#REF!,DATA!#REF!,1,FALSE),"")</f>
        <v/>
      </c>
      <c r="D3878" s="16" t="str">
        <f>IFERROR(VLOOKUP(C3878,DATA!#REF!,2,FALSE),"")</f>
        <v/>
      </c>
    </row>
    <row r="3879" spans="3:4" s="237" customFormat="1">
      <c r="C3879" s="16" t="str">
        <f>IFERROR(VLOOKUP(DATA!#REF!,DATA!#REF!,1,FALSE),"")</f>
        <v/>
      </c>
      <c r="D3879" s="16" t="str">
        <f>IFERROR(VLOOKUP(C3879,DATA!#REF!,2,FALSE),"")</f>
        <v/>
      </c>
    </row>
    <row r="3880" spans="3:4" s="237" customFormat="1">
      <c r="C3880" s="16" t="str">
        <f>IFERROR(VLOOKUP(DATA!#REF!,DATA!#REF!,1,FALSE),"")</f>
        <v/>
      </c>
      <c r="D3880" s="16" t="str">
        <f>IFERROR(VLOOKUP(C3880,DATA!#REF!,2,FALSE),"")</f>
        <v/>
      </c>
    </row>
    <row r="3881" spans="3:4" s="237" customFormat="1">
      <c r="C3881" s="16" t="str">
        <f>IFERROR(VLOOKUP(DATA!#REF!,DATA!#REF!,1,FALSE),"")</f>
        <v/>
      </c>
      <c r="D3881" s="16" t="str">
        <f>IFERROR(VLOOKUP(C3881,DATA!#REF!,2,FALSE),"")</f>
        <v/>
      </c>
    </row>
    <row r="3882" spans="3:4" s="237" customFormat="1">
      <c r="C3882" s="16" t="str">
        <f>IFERROR(VLOOKUP(DATA!#REF!,DATA!#REF!,1,FALSE),"")</f>
        <v/>
      </c>
      <c r="D3882" s="16" t="str">
        <f>IFERROR(VLOOKUP(C3882,DATA!#REF!,2,FALSE),"")</f>
        <v/>
      </c>
    </row>
    <row r="3883" spans="3:4" s="237" customFormat="1">
      <c r="C3883" s="16" t="str">
        <f>IFERROR(VLOOKUP(DATA!#REF!,DATA!#REF!,1,FALSE),"")</f>
        <v/>
      </c>
      <c r="D3883" s="16" t="str">
        <f>IFERROR(VLOOKUP(C3883,DATA!#REF!,2,FALSE),"")</f>
        <v/>
      </c>
    </row>
    <row r="3884" spans="3:4" s="237" customFormat="1">
      <c r="C3884" s="16" t="str">
        <f>IFERROR(VLOOKUP(DATA!#REF!,DATA!#REF!,1,FALSE),"")</f>
        <v/>
      </c>
      <c r="D3884" s="16" t="str">
        <f>IFERROR(VLOOKUP(C3884,DATA!#REF!,2,FALSE),"")</f>
        <v/>
      </c>
    </row>
    <row r="3885" spans="3:4" s="237" customFormat="1">
      <c r="C3885" s="16" t="str">
        <f>IFERROR(VLOOKUP(DATA!#REF!,DATA!#REF!,1,FALSE),"")</f>
        <v/>
      </c>
      <c r="D3885" s="16" t="str">
        <f>IFERROR(VLOOKUP(C3885,DATA!#REF!,2,FALSE),"")</f>
        <v/>
      </c>
    </row>
    <row r="3886" spans="3:4" s="237" customFormat="1">
      <c r="C3886" s="16" t="str">
        <f>IFERROR(VLOOKUP(DATA!#REF!,DATA!#REF!,1,FALSE),"")</f>
        <v/>
      </c>
      <c r="D3886" s="16" t="str">
        <f>IFERROR(VLOOKUP(C3886,DATA!#REF!,2,FALSE),"")</f>
        <v/>
      </c>
    </row>
    <row r="3887" spans="3:4" s="237" customFormat="1">
      <c r="C3887" s="16" t="str">
        <f>IFERROR(VLOOKUP(DATA!#REF!,DATA!#REF!,1,FALSE),"")</f>
        <v/>
      </c>
      <c r="D3887" s="16" t="str">
        <f>IFERROR(VLOOKUP(C3887,DATA!#REF!,2,FALSE),"")</f>
        <v/>
      </c>
    </row>
    <row r="3888" spans="3:4" s="237" customFormat="1">
      <c r="C3888" s="16" t="str">
        <f>IFERROR(VLOOKUP(DATA!#REF!,DATA!#REF!,1,FALSE),"")</f>
        <v/>
      </c>
      <c r="D3888" s="16" t="str">
        <f>IFERROR(VLOOKUP(C3888,DATA!#REF!,2,FALSE),"")</f>
        <v/>
      </c>
    </row>
    <row r="3889" spans="3:4" s="237" customFormat="1">
      <c r="C3889" s="16" t="str">
        <f>IFERROR(VLOOKUP(DATA!#REF!,DATA!#REF!,1,FALSE),"")</f>
        <v/>
      </c>
      <c r="D3889" s="16" t="str">
        <f>IFERROR(VLOOKUP(C3889,DATA!#REF!,2,FALSE),"")</f>
        <v/>
      </c>
    </row>
    <row r="3890" spans="3:4" s="237" customFormat="1">
      <c r="C3890" s="16" t="str">
        <f>IFERROR(VLOOKUP(DATA!#REF!,DATA!#REF!,1,FALSE),"")</f>
        <v/>
      </c>
      <c r="D3890" s="16" t="str">
        <f>IFERROR(VLOOKUP(C3890,DATA!#REF!,2,FALSE),"")</f>
        <v/>
      </c>
    </row>
    <row r="3891" spans="3:4" s="237" customFormat="1">
      <c r="C3891" s="16" t="str">
        <f>IFERROR(VLOOKUP(DATA!#REF!,DATA!#REF!,1,FALSE),"")</f>
        <v/>
      </c>
      <c r="D3891" s="16" t="str">
        <f>IFERROR(VLOOKUP(C3891,DATA!#REF!,2,FALSE),"")</f>
        <v/>
      </c>
    </row>
    <row r="3892" spans="3:4" s="237" customFormat="1">
      <c r="C3892" s="16" t="str">
        <f>IFERROR(VLOOKUP(DATA!#REF!,DATA!#REF!,1,FALSE),"")</f>
        <v/>
      </c>
      <c r="D3892" s="16" t="str">
        <f>IFERROR(VLOOKUP(C3892,DATA!#REF!,2,FALSE),"")</f>
        <v/>
      </c>
    </row>
    <row r="3893" spans="3:4" s="237" customFormat="1">
      <c r="C3893" s="16" t="str">
        <f>IFERROR(VLOOKUP(DATA!#REF!,DATA!#REF!,1,FALSE),"")</f>
        <v/>
      </c>
      <c r="D3893" s="16" t="str">
        <f>IFERROR(VLOOKUP(C3893,DATA!#REF!,2,FALSE),"")</f>
        <v/>
      </c>
    </row>
    <row r="3894" spans="3:4" s="237" customFormat="1">
      <c r="C3894" s="16" t="str">
        <f>IFERROR(VLOOKUP(DATA!#REF!,DATA!#REF!,1,FALSE),"")</f>
        <v/>
      </c>
      <c r="D3894" s="16" t="str">
        <f>IFERROR(VLOOKUP(C3894,DATA!#REF!,2,FALSE),"")</f>
        <v/>
      </c>
    </row>
    <row r="3895" spans="3:4" s="237" customFormat="1">
      <c r="C3895" s="16" t="str">
        <f>IFERROR(VLOOKUP(DATA!#REF!,DATA!#REF!,1,FALSE),"")</f>
        <v/>
      </c>
      <c r="D3895" s="16" t="str">
        <f>IFERROR(VLOOKUP(C3895,DATA!#REF!,2,FALSE),"")</f>
        <v/>
      </c>
    </row>
    <row r="3896" spans="3:4" s="237" customFormat="1">
      <c r="C3896" s="16" t="str">
        <f>IFERROR(VLOOKUP(DATA!#REF!,DATA!#REF!,1,FALSE),"")</f>
        <v/>
      </c>
      <c r="D3896" s="16" t="str">
        <f>IFERROR(VLOOKUP(C3896,DATA!#REF!,2,FALSE),"")</f>
        <v/>
      </c>
    </row>
    <row r="3897" spans="3:4" s="237" customFormat="1">
      <c r="C3897" s="16" t="str">
        <f>IFERROR(VLOOKUP(DATA!#REF!,DATA!#REF!,1,FALSE),"")</f>
        <v/>
      </c>
      <c r="D3897" s="16" t="str">
        <f>IFERROR(VLOOKUP(C3897,DATA!#REF!,2,FALSE),"")</f>
        <v/>
      </c>
    </row>
    <row r="3898" spans="3:4" s="237" customFormat="1">
      <c r="C3898" s="16" t="str">
        <f>IFERROR(VLOOKUP(DATA!#REF!,DATA!#REF!,1,FALSE),"")</f>
        <v/>
      </c>
      <c r="D3898" s="16" t="str">
        <f>IFERROR(VLOOKUP(C3898,DATA!#REF!,2,FALSE),"")</f>
        <v/>
      </c>
    </row>
    <row r="3899" spans="3:4" s="237" customFormat="1">
      <c r="C3899" s="16" t="str">
        <f>IFERROR(VLOOKUP(DATA!#REF!,DATA!#REF!,1,FALSE),"")</f>
        <v/>
      </c>
      <c r="D3899" s="16" t="str">
        <f>IFERROR(VLOOKUP(C3899,DATA!#REF!,2,FALSE),"")</f>
        <v/>
      </c>
    </row>
    <row r="3900" spans="3:4" s="237" customFormat="1">
      <c r="C3900" s="16" t="str">
        <f>IFERROR(VLOOKUP(DATA!#REF!,DATA!#REF!,1,FALSE),"")</f>
        <v/>
      </c>
      <c r="D3900" s="16" t="str">
        <f>IFERROR(VLOOKUP(C3900,DATA!#REF!,2,FALSE),"")</f>
        <v/>
      </c>
    </row>
    <row r="3901" spans="3:4" s="237" customFormat="1">
      <c r="C3901" s="16" t="str">
        <f>IFERROR(VLOOKUP(DATA!#REF!,DATA!#REF!,1,FALSE),"")</f>
        <v/>
      </c>
      <c r="D3901" s="16" t="str">
        <f>IFERROR(VLOOKUP(C3901,DATA!#REF!,2,FALSE),"")</f>
        <v/>
      </c>
    </row>
    <row r="3902" spans="3:4" s="237" customFormat="1">
      <c r="C3902" s="16" t="str">
        <f>IFERROR(VLOOKUP(DATA!#REF!,DATA!#REF!,1,FALSE),"")</f>
        <v/>
      </c>
      <c r="D3902" s="16" t="str">
        <f>IFERROR(VLOOKUP(C3902,DATA!#REF!,2,FALSE),"")</f>
        <v/>
      </c>
    </row>
    <row r="3903" spans="3:4" s="237" customFormat="1">
      <c r="C3903" s="16" t="str">
        <f>IFERROR(VLOOKUP(DATA!#REF!,DATA!#REF!,1,FALSE),"")</f>
        <v/>
      </c>
      <c r="D3903" s="16" t="str">
        <f>IFERROR(VLOOKUP(C3903,DATA!#REF!,2,FALSE),"")</f>
        <v/>
      </c>
    </row>
    <row r="3904" spans="3:4" s="237" customFormat="1">
      <c r="C3904" s="16" t="str">
        <f>IFERROR(VLOOKUP(DATA!#REF!,DATA!#REF!,1,FALSE),"")</f>
        <v/>
      </c>
      <c r="D3904" s="16" t="str">
        <f>IFERROR(VLOOKUP(C3904,DATA!#REF!,2,FALSE),"")</f>
        <v/>
      </c>
    </row>
    <row r="3905" spans="3:4" s="237" customFormat="1">
      <c r="C3905" s="16" t="str">
        <f>IFERROR(VLOOKUP(DATA!#REF!,DATA!#REF!,1,FALSE),"")</f>
        <v/>
      </c>
      <c r="D3905" s="16" t="str">
        <f>IFERROR(VLOOKUP(C3905,DATA!#REF!,2,FALSE),"")</f>
        <v/>
      </c>
    </row>
    <row r="3906" spans="3:4" s="237" customFormat="1">
      <c r="C3906" s="16" t="str">
        <f>IFERROR(VLOOKUP(DATA!#REF!,DATA!#REF!,1,FALSE),"")</f>
        <v/>
      </c>
      <c r="D3906" s="16" t="str">
        <f>IFERROR(VLOOKUP(C3906,DATA!#REF!,2,FALSE),"")</f>
        <v/>
      </c>
    </row>
    <row r="3907" spans="3:4" s="237" customFormat="1">
      <c r="C3907" s="16" t="str">
        <f>IFERROR(VLOOKUP(DATA!#REF!,DATA!#REF!,1,FALSE),"")</f>
        <v/>
      </c>
      <c r="D3907" s="16" t="str">
        <f>IFERROR(VLOOKUP(C3907,DATA!#REF!,2,FALSE),"")</f>
        <v/>
      </c>
    </row>
    <row r="3908" spans="3:4" s="237" customFormat="1">
      <c r="C3908" s="16" t="str">
        <f>IFERROR(VLOOKUP(DATA!#REF!,DATA!#REF!,1,FALSE),"")</f>
        <v/>
      </c>
      <c r="D3908" s="16" t="str">
        <f>IFERROR(VLOOKUP(C3908,DATA!#REF!,2,FALSE),"")</f>
        <v/>
      </c>
    </row>
    <row r="3909" spans="3:4" s="237" customFormat="1">
      <c r="C3909" s="16" t="str">
        <f>IFERROR(VLOOKUP(DATA!#REF!,DATA!#REF!,1,FALSE),"")</f>
        <v/>
      </c>
      <c r="D3909" s="16" t="str">
        <f>IFERROR(VLOOKUP(C3909,DATA!#REF!,2,FALSE),"")</f>
        <v/>
      </c>
    </row>
    <row r="3910" spans="3:4" s="237" customFormat="1">
      <c r="C3910" s="16" t="str">
        <f>IFERROR(VLOOKUP(DATA!#REF!,DATA!#REF!,1,FALSE),"")</f>
        <v/>
      </c>
      <c r="D3910" s="16" t="str">
        <f>IFERROR(VLOOKUP(C3910,DATA!#REF!,2,FALSE),"")</f>
        <v/>
      </c>
    </row>
    <row r="3911" spans="3:4" s="237" customFormat="1">
      <c r="C3911" s="16" t="str">
        <f>IFERROR(VLOOKUP(DATA!#REF!,DATA!#REF!,1,FALSE),"")</f>
        <v/>
      </c>
      <c r="D3911" s="16" t="str">
        <f>IFERROR(VLOOKUP(C3911,DATA!#REF!,2,FALSE),"")</f>
        <v/>
      </c>
    </row>
    <row r="3912" spans="3:4" s="237" customFormat="1">
      <c r="C3912" s="16" t="str">
        <f>IFERROR(VLOOKUP(DATA!#REF!,DATA!#REF!,1,FALSE),"")</f>
        <v/>
      </c>
      <c r="D3912" s="16" t="str">
        <f>IFERROR(VLOOKUP(C3912,DATA!#REF!,2,FALSE),"")</f>
        <v/>
      </c>
    </row>
    <row r="3913" spans="3:4" s="237" customFormat="1">
      <c r="C3913" s="16" t="str">
        <f>IFERROR(VLOOKUP(DATA!#REF!,DATA!#REF!,1,FALSE),"")</f>
        <v/>
      </c>
      <c r="D3913" s="16" t="str">
        <f>IFERROR(VLOOKUP(C3913,DATA!#REF!,2,FALSE),"")</f>
        <v/>
      </c>
    </row>
    <row r="3914" spans="3:4" s="237" customFormat="1">
      <c r="C3914" s="16" t="str">
        <f>IFERROR(VLOOKUP(DATA!#REF!,DATA!#REF!,1,FALSE),"")</f>
        <v/>
      </c>
      <c r="D3914" s="16" t="str">
        <f>IFERROR(VLOOKUP(C3914,DATA!#REF!,2,FALSE),"")</f>
        <v/>
      </c>
    </row>
    <row r="3915" spans="3:4" s="237" customFormat="1">
      <c r="C3915" s="16" t="str">
        <f>IFERROR(VLOOKUP(DATA!#REF!,DATA!#REF!,1,FALSE),"")</f>
        <v/>
      </c>
      <c r="D3915" s="16" t="str">
        <f>IFERROR(VLOOKUP(C3915,DATA!#REF!,2,FALSE),"")</f>
        <v/>
      </c>
    </row>
    <row r="3916" spans="3:4" s="237" customFormat="1">
      <c r="C3916" s="16" t="str">
        <f>IFERROR(VLOOKUP(DATA!#REF!,DATA!#REF!,1,FALSE),"")</f>
        <v/>
      </c>
      <c r="D3916" s="16" t="str">
        <f>IFERROR(VLOOKUP(C3916,DATA!#REF!,2,FALSE),"")</f>
        <v/>
      </c>
    </row>
    <row r="3917" spans="3:4" s="237" customFormat="1">
      <c r="C3917" s="16" t="str">
        <f>IFERROR(VLOOKUP(DATA!#REF!,DATA!#REF!,1,FALSE),"")</f>
        <v/>
      </c>
      <c r="D3917" s="16" t="str">
        <f>IFERROR(VLOOKUP(C3917,DATA!#REF!,2,FALSE),"")</f>
        <v/>
      </c>
    </row>
    <row r="3918" spans="3:4" s="237" customFormat="1">
      <c r="C3918" s="16" t="str">
        <f>IFERROR(VLOOKUP(DATA!#REF!,DATA!#REF!,1,FALSE),"")</f>
        <v/>
      </c>
      <c r="D3918" s="16" t="str">
        <f>IFERROR(VLOOKUP(C3918,DATA!#REF!,2,FALSE),"")</f>
        <v/>
      </c>
    </row>
    <row r="3919" spans="3:4" s="237" customFormat="1">
      <c r="C3919" s="16" t="str">
        <f>IFERROR(VLOOKUP(DATA!#REF!,DATA!#REF!,1,FALSE),"")</f>
        <v/>
      </c>
      <c r="D3919" s="16" t="str">
        <f>IFERROR(VLOOKUP(C3919,DATA!#REF!,2,FALSE),"")</f>
        <v/>
      </c>
    </row>
    <row r="3920" spans="3:4" s="237" customFormat="1">
      <c r="C3920" s="16" t="str">
        <f>IFERROR(VLOOKUP(DATA!#REF!,DATA!#REF!,1,FALSE),"")</f>
        <v/>
      </c>
      <c r="D3920" s="16" t="str">
        <f>IFERROR(VLOOKUP(C3920,DATA!#REF!,2,FALSE),"")</f>
        <v/>
      </c>
    </row>
    <row r="3921" spans="3:4" s="237" customFormat="1">
      <c r="C3921" s="16" t="str">
        <f>IFERROR(VLOOKUP(DATA!#REF!,DATA!#REF!,1,FALSE),"")</f>
        <v/>
      </c>
      <c r="D3921" s="16" t="str">
        <f>IFERROR(VLOOKUP(C3921,DATA!#REF!,2,FALSE),"")</f>
        <v/>
      </c>
    </row>
    <row r="3922" spans="3:4" s="237" customFormat="1">
      <c r="C3922" s="16" t="str">
        <f>IFERROR(VLOOKUP(DATA!#REF!,DATA!#REF!,1,FALSE),"")</f>
        <v/>
      </c>
      <c r="D3922" s="16" t="str">
        <f>IFERROR(VLOOKUP(C3922,DATA!#REF!,2,FALSE),"")</f>
        <v/>
      </c>
    </row>
    <row r="3923" spans="3:4" s="237" customFormat="1">
      <c r="C3923" s="16" t="str">
        <f>IFERROR(VLOOKUP(DATA!#REF!,DATA!#REF!,1,FALSE),"")</f>
        <v/>
      </c>
      <c r="D3923" s="16" t="str">
        <f>IFERROR(VLOOKUP(C3923,DATA!#REF!,2,FALSE),"")</f>
        <v/>
      </c>
    </row>
    <row r="3924" spans="3:4" s="237" customFormat="1">
      <c r="C3924" s="16" t="str">
        <f>IFERROR(VLOOKUP(DATA!#REF!,DATA!#REF!,1,FALSE),"")</f>
        <v/>
      </c>
      <c r="D3924" s="16" t="str">
        <f>IFERROR(VLOOKUP(C3924,DATA!#REF!,2,FALSE),"")</f>
        <v/>
      </c>
    </row>
    <row r="3925" spans="3:4" s="237" customFormat="1">
      <c r="C3925" s="16" t="str">
        <f>IFERROR(VLOOKUP(DATA!#REF!,DATA!#REF!,1,FALSE),"")</f>
        <v/>
      </c>
      <c r="D3925" s="16" t="str">
        <f>IFERROR(VLOOKUP(C3925,DATA!#REF!,2,FALSE),"")</f>
        <v/>
      </c>
    </row>
    <row r="3926" spans="3:4" s="237" customFormat="1">
      <c r="C3926" s="16" t="str">
        <f>IFERROR(VLOOKUP(DATA!#REF!,DATA!#REF!,1,FALSE),"")</f>
        <v/>
      </c>
      <c r="D3926" s="16" t="str">
        <f>IFERROR(VLOOKUP(C3926,DATA!#REF!,2,FALSE),"")</f>
        <v/>
      </c>
    </row>
    <row r="3927" spans="3:4" s="237" customFormat="1">
      <c r="C3927" s="16" t="str">
        <f>IFERROR(VLOOKUP(DATA!#REF!,DATA!#REF!,1,FALSE),"")</f>
        <v/>
      </c>
      <c r="D3927" s="16" t="str">
        <f>IFERROR(VLOOKUP(C3927,DATA!#REF!,2,FALSE),"")</f>
        <v/>
      </c>
    </row>
    <row r="3928" spans="3:4" s="237" customFormat="1">
      <c r="C3928" s="16" t="str">
        <f>IFERROR(VLOOKUP(DATA!#REF!,DATA!#REF!,1,FALSE),"")</f>
        <v/>
      </c>
      <c r="D3928" s="16" t="str">
        <f>IFERROR(VLOOKUP(C3928,DATA!#REF!,2,FALSE),"")</f>
        <v/>
      </c>
    </row>
    <row r="3929" spans="3:4" s="237" customFormat="1">
      <c r="C3929" s="16" t="str">
        <f>IFERROR(VLOOKUP(DATA!#REF!,DATA!#REF!,1,FALSE),"")</f>
        <v/>
      </c>
      <c r="D3929" s="16" t="str">
        <f>IFERROR(VLOOKUP(C3929,DATA!#REF!,2,FALSE),"")</f>
        <v/>
      </c>
    </row>
    <row r="3930" spans="3:4" s="237" customFormat="1">
      <c r="C3930" s="16" t="str">
        <f>IFERROR(VLOOKUP(DATA!#REF!,DATA!#REF!,1,FALSE),"")</f>
        <v/>
      </c>
      <c r="D3930" s="16" t="str">
        <f>IFERROR(VLOOKUP(C3930,DATA!#REF!,2,FALSE),"")</f>
        <v/>
      </c>
    </row>
    <row r="3931" spans="3:4" s="237" customFormat="1">
      <c r="C3931" s="16" t="str">
        <f>IFERROR(VLOOKUP(DATA!#REF!,DATA!#REF!,1,FALSE),"")</f>
        <v/>
      </c>
      <c r="D3931" s="16" t="str">
        <f>IFERROR(VLOOKUP(C3931,DATA!#REF!,2,FALSE),"")</f>
        <v/>
      </c>
    </row>
    <row r="3932" spans="3:4" s="237" customFormat="1">
      <c r="C3932" s="16" t="str">
        <f>IFERROR(VLOOKUP(DATA!#REF!,DATA!#REF!,1,FALSE),"")</f>
        <v/>
      </c>
      <c r="D3932" s="16" t="str">
        <f>IFERROR(VLOOKUP(C3932,DATA!#REF!,2,FALSE),"")</f>
        <v/>
      </c>
    </row>
    <row r="3933" spans="3:4" s="237" customFormat="1">
      <c r="C3933" s="16" t="str">
        <f>IFERROR(VLOOKUP(DATA!#REF!,DATA!#REF!,1,FALSE),"")</f>
        <v/>
      </c>
      <c r="D3933" s="16" t="str">
        <f>IFERROR(VLOOKUP(C3933,DATA!#REF!,2,FALSE),"")</f>
        <v/>
      </c>
    </row>
    <row r="3934" spans="3:4" s="237" customFormat="1">
      <c r="C3934" s="16" t="str">
        <f>IFERROR(VLOOKUP(DATA!#REF!,DATA!#REF!,1,FALSE),"")</f>
        <v/>
      </c>
      <c r="D3934" s="16" t="str">
        <f>IFERROR(VLOOKUP(C3934,DATA!#REF!,2,FALSE),"")</f>
        <v/>
      </c>
    </row>
    <row r="3935" spans="3:4" s="237" customFormat="1">
      <c r="C3935" s="16" t="str">
        <f>IFERROR(VLOOKUP(DATA!#REF!,DATA!#REF!,1,FALSE),"")</f>
        <v/>
      </c>
      <c r="D3935" s="16" t="str">
        <f>IFERROR(VLOOKUP(C3935,DATA!#REF!,2,FALSE),"")</f>
        <v/>
      </c>
    </row>
    <row r="3936" spans="3:4" s="237" customFormat="1">
      <c r="C3936" s="16" t="str">
        <f>IFERROR(VLOOKUP(DATA!#REF!,DATA!#REF!,1,FALSE),"")</f>
        <v/>
      </c>
      <c r="D3936" s="16" t="str">
        <f>IFERROR(VLOOKUP(C3936,DATA!#REF!,2,FALSE),"")</f>
        <v/>
      </c>
    </row>
    <row r="3937" spans="3:4" s="237" customFormat="1">
      <c r="C3937" s="16" t="str">
        <f>IFERROR(VLOOKUP(DATA!#REF!,DATA!#REF!,1,FALSE),"")</f>
        <v/>
      </c>
      <c r="D3937" s="16" t="str">
        <f>IFERROR(VLOOKUP(C3937,DATA!#REF!,2,FALSE),"")</f>
        <v/>
      </c>
    </row>
    <row r="3938" spans="3:4" s="237" customFormat="1">
      <c r="C3938" s="16" t="str">
        <f>IFERROR(VLOOKUP(DATA!#REF!,DATA!#REF!,1,FALSE),"")</f>
        <v/>
      </c>
      <c r="D3938" s="16" t="str">
        <f>IFERROR(VLOOKUP(C3938,DATA!#REF!,2,FALSE),"")</f>
        <v/>
      </c>
    </row>
    <row r="3939" spans="3:4" s="237" customFormat="1">
      <c r="C3939" s="16" t="str">
        <f>IFERROR(VLOOKUP(DATA!#REF!,DATA!#REF!,1,FALSE),"")</f>
        <v/>
      </c>
      <c r="D3939" s="16" t="str">
        <f>IFERROR(VLOOKUP(C3939,DATA!#REF!,2,FALSE),"")</f>
        <v/>
      </c>
    </row>
    <row r="3940" spans="3:4" s="237" customFormat="1">
      <c r="C3940" s="16" t="str">
        <f>IFERROR(VLOOKUP(DATA!#REF!,DATA!#REF!,1,FALSE),"")</f>
        <v/>
      </c>
      <c r="D3940" s="16" t="str">
        <f>IFERROR(VLOOKUP(C3940,DATA!#REF!,2,FALSE),"")</f>
        <v/>
      </c>
    </row>
    <row r="3941" spans="3:4" s="237" customFormat="1">
      <c r="C3941" s="16" t="str">
        <f>IFERROR(VLOOKUP(DATA!#REF!,DATA!#REF!,1,FALSE),"")</f>
        <v/>
      </c>
      <c r="D3941" s="16" t="str">
        <f>IFERROR(VLOOKUP(C3941,DATA!#REF!,2,FALSE),"")</f>
        <v/>
      </c>
    </row>
    <row r="3942" spans="3:4" s="237" customFormat="1">
      <c r="C3942" s="16" t="str">
        <f>IFERROR(VLOOKUP(DATA!#REF!,DATA!#REF!,1,FALSE),"")</f>
        <v/>
      </c>
      <c r="D3942" s="16" t="str">
        <f>IFERROR(VLOOKUP(C3942,DATA!#REF!,2,FALSE),"")</f>
        <v/>
      </c>
    </row>
    <row r="3943" spans="3:4" s="237" customFormat="1">
      <c r="C3943" s="16" t="str">
        <f>IFERROR(VLOOKUP(DATA!#REF!,DATA!#REF!,1,FALSE),"")</f>
        <v/>
      </c>
      <c r="D3943" s="16" t="str">
        <f>IFERROR(VLOOKUP(C3943,DATA!#REF!,2,FALSE),"")</f>
        <v/>
      </c>
    </row>
    <row r="3944" spans="3:4" s="237" customFormat="1">
      <c r="C3944" s="16" t="str">
        <f>IFERROR(VLOOKUP(DATA!#REF!,DATA!#REF!,1,FALSE),"")</f>
        <v/>
      </c>
      <c r="D3944" s="16" t="str">
        <f>IFERROR(VLOOKUP(C3944,DATA!#REF!,2,FALSE),"")</f>
        <v/>
      </c>
    </row>
    <row r="3945" spans="3:4" s="237" customFormat="1">
      <c r="C3945" s="16" t="str">
        <f>IFERROR(VLOOKUP(DATA!#REF!,DATA!#REF!,1,FALSE),"")</f>
        <v/>
      </c>
      <c r="D3945" s="16" t="str">
        <f>IFERROR(VLOOKUP(C3945,DATA!#REF!,2,FALSE),"")</f>
        <v/>
      </c>
    </row>
    <row r="3946" spans="3:4" s="237" customFormat="1">
      <c r="C3946" s="16" t="str">
        <f>IFERROR(VLOOKUP(DATA!#REF!,DATA!#REF!,1,FALSE),"")</f>
        <v/>
      </c>
      <c r="D3946" s="16" t="str">
        <f>IFERROR(VLOOKUP(C3946,DATA!#REF!,2,FALSE),"")</f>
        <v/>
      </c>
    </row>
    <row r="3947" spans="3:4" s="237" customFormat="1">
      <c r="C3947" s="16" t="str">
        <f>IFERROR(VLOOKUP(DATA!#REF!,DATA!#REF!,1,FALSE),"")</f>
        <v/>
      </c>
      <c r="D3947" s="16" t="str">
        <f>IFERROR(VLOOKUP(C3947,DATA!#REF!,2,FALSE),"")</f>
        <v/>
      </c>
    </row>
    <row r="3948" spans="3:4" s="237" customFormat="1">
      <c r="C3948" s="16" t="str">
        <f>IFERROR(VLOOKUP(DATA!#REF!,DATA!#REF!,1,FALSE),"")</f>
        <v/>
      </c>
      <c r="D3948" s="16" t="str">
        <f>IFERROR(VLOOKUP(C3948,DATA!#REF!,2,FALSE),"")</f>
        <v/>
      </c>
    </row>
    <row r="3949" spans="3:4" s="237" customFormat="1">
      <c r="C3949" s="16" t="str">
        <f>IFERROR(VLOOKUP(DATA!#REF!,DATA!#REF!,1,FALSE),"")</f>
        <v/>
      </c>
      <c r="D3949" s="16" t="str">
        <f>IFERROR(VLOOKUP(C3949,DATA!#REF!,2,FALSE),"")</f>
        <v/>
      </c>
    </row>
    <row r="3950" spans="3:4" s="237" customFormat="1">
      <c r="C3950" s="16" t="str">
        <f>IFERROR(VLOOKUP(DATA!#REF!,DATA!#REF!,1,FALSE),"")</f>
        <v/>
      </c>
      <c r="D3950" s="16" t="str">
        <f>IFERROR(VLOOKUP(C3950,DATA!#REF!,2,FALSE),"")</f>
        <v/>
      </c>
    </row>
    <row r="3951" spans="3:4" s="237" customFormat="1">
      <c r="C3951" s="16" t="str">
        <f>IFERROR(VLOOKUP(DATA!#REF!,DATA!#REF!,1,FALSE),"")</f>
        <v/>
      </c>
      <c r="D3951" s="16" t="str">
        <f>IFERROR(VLOOKUP(C3951,DATA!#REF!,2,FALSE),"")</f>
        <v/>
      </c>
    </row>
    <row r="3952" spans="3:4" s="237" customFormat="1">
      <c r="C3952" s="16" t="str">
        <f>IFERROR(VLOOKUP(DATA!#REF!,DATA!#REF!,1,FALSE),"")</f>
        <v/>
      </c>
      <c r="D3952" s="16" t="str">
        <f>IFERROR(VLOOKUP(C3952,DATA!#REF!,2,FALSE),"")</f>
        <v/>
      </c>
    </row>
    <row r="3953" spans="3:4" s="237" customFormat="1">
      <c r="C3953" s="16" t="str">
        <f>IFERROR(VLOOKUP(DATA!#REF!,DATA!#REF!,1,FALSE),"")</f>
        <v/>
      </c>
      <c r="D3953" s="16" t="str">
        <f>IFERROR(VLOOKUP(C3953,DATA!#REF!,2,FALSE),"")</f>
        <v/>
      </c>
    </row>
    <row r="3954" spans="3:4" s="237" customFormat="1">
      <c r="C3954" s="16" t="str">
        <f>IFERROR(VLOOKUP(DATA!#REF!,DATA!#REF!,1,FALSE),"")</f>
        <v/>
      </c>
      <c r="D3954" s="16" t="str">
        <f>IFERROR(VLOOKUP(C3954,DATA!#REF!,2,FALSE),"")</f>
        <v/>
      </c>
    </row>
    <row r="3955" spans="3:4" s="237" customFormat="1">
      <c r="C3955" s="16" t="str">
        <f>IFERROR(VLOOKUP(DATA!#REF!,DATA!#REF!,1,FALSE),"")</f>
        <v/>
      </c>
      <c r="D3955" s="16" t="str">
        <f>IFERROR(VLOOKUP(C3955,DATA!#REF!,2,FALSE),"")</f>
        <v/>
      </c>
    </row>
    <row r="3956" spans="3:4" s="237" customFormat="1">
      <c r="C3956" s="16" t="str">
        <f>IFERROR(VLOOKUP(DATA!#REF!,DATA!#REF!,1,FALSE),"")</f>
        <v/>
      </c>
      <c r="D3956" s="16" t="str">
        <f>IFERROR(VLOOKUP(C3956,DATA!#REF!,2,FALSE),"")</f>
        <v/>
      </c>
    </row>
    <row r="3957" spans="3:4" s="237" customFormat="1">
      <c r="C3957" s="16" t="str">
        <f>IFERROR(VLOOKUP(DATA!#REF!,DATA!#REF!,1,FALSE),"")</f>
        <v/>
      </c>
      <c r="D3957" s="16" t="str">
        <f>IFERROR(VLOOKUP(C3957,DATA!#REF!,2,FALSE),"")</f>
        <v/>
      </c>
    </row>
    <row r="3958" spans="3:4" s="237" customFormat="1">
      <c r="C3958" s="16" t="str">
        <f>IFERROR(VLOOKUP(DATA!#REF!,DATA!#REF!,1,FALSE),"")</f>
        <v/>
      </c>
      <c r="D3958" s="16" t="str">
        <f>IFERROR(VLOOKUP(C3958,DATA!#REF!,2,FALSE),"")</f>
        <v/>
      </c>
    </row>
    <row r="3959" spans="3:4" s="237" customFormat="1">
      <c r="C3959" s="16" t="str">
        <f>IFERROR(VLOOKUP(DATA!#REF!,DATA!#REF!,1,FALSE),"")</f>
        <v/>
      </c>
      <c r="D3959" s="16" t="str">
        <f>IFERROR(VLOOKUP(C3959,DATA!#REF!,2,FALSE),"")</f>
        <v/>
      </c>
    </row>
    <row r="3960" spans="3:4" s="237" customFormat="1">
      <c r="C3960" s="16" t="str">
        <f>IFERROR(VLOOKUP(DATA!#REF!,DATA!#REF!,1,FALSE),"")</f>
        <v/>
      </c>
      <c r="D3960" s="16" t="str">
        <f>IFERROR(VLOOKUP(C3960,DATA!#REF!,2,FALSE),"")</f>
        <v/>
      </c>
    </row>
    <row r="3961" spans="3:4" s="237" customFormat="1">
      <c r="C3961" s="16" t="str">
        <f>IFERROR(VLOOKUP(DATA!#REF!,DATA!#REF!,1,FALSE),"")</f>
        <v/>
      </c>
      <c r="D3961" s="16" t="str">
        <f>IFERROR(VLOOKUP(C3961,DATA!#REF!,2,FALSE),"")</f>
        <v/>
      </c>
    </row>
    <row r="3962" spans="3:4" s="237" customFormat="1">
      <c r="C3962" s="16" t="str">
        <f>IFERROR(VLOOKUP(DATA!#REF!,DATA!#REF!,1,FALSE),"")</f>
        <v/>
      </c>
      <c r="D3962" s="16" t="str">
        <f>IFERROR(VLOOKUP(C3962,DATA!#REF!,2,FALSE),"")</f>
        <v/>
      </c>
    </row>
    <row r="3963" spans="3:4" s="237" customFormat="1">
      <c r="C3963" s="16" t="str">
        <f>IFERROR(VLOOKUP(DATA!#REF!,DATA!#REF!,1,FALSE),"")</f>
        <v/>
      </c>
      <c r="D3963" s="16" t="str">
        <f>IFERROR(VLOOKUP(C3963,DATA!#REF!,2,FALSE),"")</f>
        <v/>
      </c>
    </row>
    <row r="3964" spans="3:4" s="237" customFormat="1">
      <c r="C3964" s="16" t="str">
        <f>IFERROR(VLOOKUP(DATA!#REF!,DATA!#REF!,1,FALSE),"")</f>
        <v/>
      </c>
      <c r="D3964" s="16" t="str">
        <f>IFERROR(VLOOKUP(C3964,DATA!#REF!,2,FALSE),"")</f>
        <v/>
      </c>
    </row>
    <row r="3965" spans="3:4" s="237" customFormat="1">
      <c r="C3965" s="16" t="str">
        <f>IFERROR(VLOOKUP(DATA!#REF!,DATA!#REF!,1,FALSE),"")</f>
        <v/>
      </c>
      <c r="D3965" s="16" t="str">
        <f>IFERROR(VLOOKUP(C3965,DATA!#REF!,2,FALSE),"")</f>
        <v/>
      </c>
    </row>
    <row r="3966" spans="3:4" s="237" customFormat="1">
      <c r="C3966" s="16" t="str">
        <f>IFERROR(VLOOKUP(DATA!#REF!,DATA!#REF!,1,FALSE),"")</f>
        <v/>
      </c>
      <c r="D3966" s="16" t="str">
        <f>IFERROR(VLOOKUP(C3966,DATA!#REF!,2,FALSE),"")</f>
        <v/>
      </c>
    </row>
    <row r="3967" spans="3:4" s="237" customFormat="1">
      <c r="C3967" s="16" t="str">
        <f>IFERROR(VLOOKUP(DATA!#REF!,DATA!#REF!,1,FALSE),"")</f>
        <v/>
      </c>
      <c r="D3967" s="16" t="str">
        <f>IFERROR(VLOOKUP(C3967,DATA!#REF!,2,FALSE),"")</f>
        <v/>
      </c>
    </row>
    <row r="3968" spans="3:4" s="237" customFormat="1">
      <c r="C3968" s="16" t="str">
        <f>IFERROR(VLOOKUP(DATA!#REF!,DATA!#REF!,1,FALSE),"")</f>
        <v/>
      </c>
      <c r="D3968" s="16" t="str">
        <f>IFERROR(VLOOKUP(C3968,DATA!#REF!,2,FALSE),"")</f>
        <v/>
      </c>
    </row>
    <row r="3969" spans="3:4" s="237" customFormat="1">
      <c r="C3969" s="16" t="str">
        <f>IFERROR(VLOOKUP(DATA!#REF!,DATA!#REF!,1,FALSE),"")</f>
        <v/>
      </c>
      <c r="D3969" s="16" t="str">
        <f>IFERROR(VLOOKUP(C3969,DATA!#REF!,2,FALSE),"")</f>
        <v/>
      </c>
    </row>
    <row r="3970" spans="3:4" s="237" customFormat="1">
      <c r="C3970" s="16" t="str">
        <f>IFERROR(VLOOKUP(DATA!#REF!,DATA!#REF!,1,FALSE),"")</f>
        <v/>
      </c>
      <c r="D3970" s="16" t="str">
        <f>IFERROR(VLOOKUP(C3970,DATA!#REF!,2,FALSE),"")</f>
        <v/>
      </c>
    </row>
    <row r="3971" spans="3:4" s="237" customFormat="1">
      <c r="C3971" s="16" t="str">
        <f>IFERROR(VLOOKUP(DATA!#REF!,DATA!#REF!,1,FALSE),"")</f>
        <v/>
      </c>
      <c r="D3971" s="16" t="str">
        <f>IFERROR(VLOOKUP(C3971,DATA!#REF!,2,FALSE),"")</f>
        <v/>
      </c>
    </row>
    <row r="3972" spans="3:4" s="237" customFormat="1">
      <c r="C3972" s="16" t="str">
        <f>IFERROR(VLOOKUP(DATA!#REF!,DATA!#REF!,1,FALSE),"")</f>
        <v/>
      </c>
      <c r="D3972" s="16" t="str">
        <f>IFERROR(VLOOKUP(C3972,DATA!#REF!,2,FALSE),"")</f>
        <v/>
      </c>
    </row>
    <row r="3973" spans="3:4" s="237" customFormat="1">
      <c r="C3973" s="16" t="str">
        <f>IFERROR(VLOOKUP(DATA!#REF!,DATA!#REF!,1,FALSE),"")</f>
        <v/>
      </c>
      <c r="D3973" s="16" t="str">
        <f>IFERROR(VLOOKUP(C3973,DATA!#REF!,2,FALSE),"")</f>
        <v/>
      </c>
    </row>
    <row r="3974" spans="3:4" s="237" customFormat="1">
      <c r="C3974" s="16" t="str">
        <f>IFERROR(VLOOKUP(DATA!#REF!,DATA!#REF!,1,FALSE),"")</f>
        <v/>
      </c>
      <c r="D3974" s="16" t="str">
        <f>IFERROR(VLOOKUP(C3974,DATA!#REF!,2,FALSE),"")</f>
        <v/>
      </c>
    </row>
    <row r="3975" spans="3:4" s="237" customFormat="1">
      <c r="C3975" s="16" t="str">
        <f>IFERROR(VLOOKUP(DATA!#REF!,DATA!#REF!,1,FALSE),"")</f>
        <v/>
      </c>
      <c r="D3975" s="16" t="str">
        <f>IFERROR(VLOOKUP(C3975,DATA!#REF!,2,FALSE),"")</f>
        <v/>
      </c>
    </row>
    <row r="3976" spans="3:4" s="237" customFormat="1">
      <c r="C3976" s="16" t="str">
        <f>IFERROR(VLOOKUP(DATA!#REF!,DATA!#REF!,1,FALSE),"")</f>
        <v/>
      </c>
      <c r="D3976" s="16" t="str">
        <f>IFERROR(VLOOKUP(C3976,DATA!#REF!,2,FALSE),"")</f>
        <v/>
      </c>
    </row>
    <row r="3977" spans="3:4" s="237" customFormat="1">
      <c r="C3977" s="16" t="str">
        <f>IFERROR(VLOOKUP(DATA!#REF!,DATA!#REF!,1,FALSE),"")</f>
        <v/>
      </c>
      <c r="D3977" s="16" t="str">
        <f>IFERROR(VLOOKUP(C3977,DATA!#REF!,2,FALSE),"")</f>
        <v/>
      </c>
    </row>
    <row r="3978" spans="3:4" s="237" customFormat="1">
      <c r="C3978" s="16" t="str">
        <f>IFERROR(VLOOKUP(DATA!#REF!,DATA!#REF!,1,FALSE),"")</f>
        <v/>
      </c>
      <c r="D3978" s="16" t="str">
        <f>IFERROR(VLOOKUP(C3978,DATA!#REF!,2,FALSE),"")</f>
        <v/>
      </c>
    </row>
    <row r="3979" spans="3:4" s="237" customFormat="1">
      <c r="C3979" s="16" t="str">
        <f>IFERROR(VLOOKUP(DATA!#REF!,DATA!#REF!,1,FALSE),"")</f>
        <v/>
      </c>
      <c r="D3979" s="16" t="str">
        <f>IFERROR(VLOOKUP(C3979,DATA!#REF!,2,FALSE),"")</f>
        <v/>
      </c>
    </row>
    <row r="3980" spans="3:4" s="237" customFormat="1">
      <c r="C3980" s="16" t="str">
        <f>IFERROR(VLOOKUP(DATA!#REF!,DATA!#REF!,1,FALSE),"")</f>
        <v/>
      </c>
      <c r="D3980" s="16" t="str">
        <f>IFERROR(VLOOKUP(C3980,DATA!#REF!,2,FALSE),"")</f>
        <v/>
      </c>
    </row>
    <row r="3981" spans="3:4" s="237" customFormat="1">
      <c r="C3981" s="16" t="str">
        <f>IFERROR(VLOOKUP(DATA!#REF!,DATA!#REF!,1,FALSE),"")</f>
        <v/>
      </c>
      <c r="D3981" s="16" t="str">
        <f>IFERROR(VLOOKUP(C3981,DATA!#REF!,2,FALSE),"")</f>
        <v/>
      </c>
    </row>
    <row r="3982" spans="3:4" s="237" customFormat="1">
      <c r="C3982" s="16" t="str">
        <f>IFERROR(VLOOKUP(DATA!#REF!,DATA!#REF!,1,FALSE),"")</f>
        <v/>
      </c>
      <c r="D3982" s="16" t="str">
        <f>IFERROR(VLOOKUP(C3982,DATA!#REF!,2,FALSE),"")</f>
        <v/>
      </c>
    </row>
    <row r="3983" spans="3:4" s="237" customFormat="1">
      <c r="C3983" s="16" t="str">
        <f>IFERROR(VLOOKUP(DATA!#REF!,DATA!#REF!,1,FALSE),"")</f>
        <v/>
      </c>
      <c r="D3983" s="16" t="str">
        <f>IFERROR(VLOOKUP(C3983,DATA!#REF!,2,FALSE),"")</f>
        <v/>
      </c>
    </row>
    <row r="3984" spans="3:4" s="237" customFormat="1">
      <c r="C3984" s="16" t="str">
        <f>IFERROR(VLOOKUP(DATA!#REF!,DATA!#REF!,1,FALSE),"")</f>
        <v/>
      </c>
      <c r="D3984" s="16" t="str">
        <f>IFERROR(VLOOKUP(C3984,DATA!#REF!,2,FALSE),"")</f>
        <v/>
      </c>
    </row>
    <row r="3985" spans="3:4" s="237" customFormat="1">
      <c r="C3985" s="16" t="str">
        <f>IFERROR(VLOOKUP(DATA!#REF!,DATA!#REF!,1,FALSE),"")</f>
        <v/>
      </c>
      <c r="D3985" s="16" t="str">
        <f>IFERROR(VLOOKUP(C3985,DATA!#REF!,2,FALSE),"")</f>
        <v/>
      </c>
    </row>
    <row r="3986" spans="3:4" s="237" customFormat="1">
      <c r="C3986" s="16" t="str">
        <f>IFERROR(VLOOKUP(DATA!#REF!,DATA!#REF!,1,FALSE),"")</f>
        <v/>
      </c>
      <c r="D3986" s="16" t="str">
        <f>IFERROR(VLOOKUP(C3986,DATA!#REF!,2,FALSE),"")</f>
        <v/>
      </c>
    </row>
    <row r="3987" spans="3:4" s="237" customFormat="1">
      <c r="C3987" s="16" t="str">
        <f>IFERROR(VLOOKUP(DATA!#REF!,DATA!#REF!,1,FALSE),"")</f>
        <v/>
      </c>
      <c r="D3987" s="16" t="str">
        <f>IFERROR(VLOOKUP(C3987,DATA!#REF!,2,FALSE),"")</f>
        <v/>
      </c>
    </row>
    <row r="3988" spans="3:4" s="237" customFormat="1">
      <c r="C3988" s="16" t="str">
        <f>IFERROR(VLOOKUP(DATA!#REF!,DATA!#REF!,1,FALSE),"")</f>
        <v/>
      </c>
      <c r="D3988" s="16" t="str">
        <f>IFERROR(VLOOKUP(C3988,DATA!#REF!,2,FALSE),"")</f>
        <v/>
      </c>
    </row>
    <row r="3989" spans="3:4" s="237" customFormat="1">
      <c r="C3989" s="16" t="str">
        <f>IFERROR(VLOOKUP(DATA!#REF!,DATA!#REF!,1,FALSE),"")</f>
        <v/>
      </c>
      <c r="D3989" s="16" t="str">
        <f>IFERROR(VLOOKUP(C3989,DATA!#REF!,2,FALSE),"")</f>
        <v/>
      </c>
    </row>
    <row r="3990" spans="3:4" s="237" customFormat="1">
      <c r="C3990" s="16" t="str">
        <f>IFERROR(VLOOKUP(DATA!#REF!,DATA!#REF!,1,FALSE),"")</f>
        <v/>
      </c>
      <c r="D3990" s="16" t="str">
        <f>IFERROR(VLOOKUP(C3990,DATA!#REF!,2,FALSE),"")</f>
        <v/>
      </c>
    </row>
    <row r="3991" spans="3:4" s="237" customFormat="1">
      <c r="C3991" s="16" t="str">
        <f>IFERROR(VLOOKUP(DATA!#REF!,DATA!#REF!,1,FALSE),"")</f>
        <v/>
      </c>
      <c r="D3991" s="16" t="str">
        <f>IFERROR(VLOOKUP(C3991,DATA!#REF!,2,FALSE),"")</f>
        <v/>
      </c>
    </row>
    <row r="3992" spans="3:4" s="237" customFormat="1">
      <c r="C3992" s="16" t="str">
        <f>IFERROR(VLOOKUP(DATA!#REF!,DATA!#REF!,1,FALSE),"")</f>
        <v/>
      </c>
      <c r="D3992" s="16" t="str">
        <f>IFERROR(VLOOKUP(C3992,DATA!#REF!,2,FALSE),"")</f>
        <v/>
      </c>
    </row>
    <row r="3993" spans="3:4" s="237" customFormat="1">
      <c r="C3993" s="16" t="str">
        <f>IFERROR(VLOOKUP(DATA!#REF!,DATA!#REF!,1,FALSE),"")</f>
        <v/>
      </c>
      <c r="D3993" s="16" t="str">
        <f>IFERROR(VLOOKUP(C3993,DATA!#REF!,2,FALSE),"")</f>
        <v/>
      </c>
    </row>
    <row r="3994" spans="3:4" s="237" customFormat="1">
      <c r="C3994" s="16" t="str">
        <f>IFERROR(VLOOKUP(DATA!#REF!,DATA!#REF!,1,FALSE),"")</f>
        <v/>
      </c>
      <c r="D3994" s="16" t="str">
        <f>IFERROR(VLOOKUP(C3994,DATA!#REF!,2,FALSE),"")</f>
        <v/>
      </c>
    </row>
    <row r="3995" spans="3:4" s="237" customFormat="1">
      <c r="C3995" s="16" t="str">
        <f>IFERROR(VLOOKUP(DATA!#REF!,DATA!#REF!,1,FALSE),"")</f>
        <v/>
      </c>
      <c r="D3995" s="16" t="str">
        <f>IFERROR(VLOOKUP(C3995,DATA!#REF!,2,FALSE),"")</f>
        <v/>
      </c>
    </row>
    <row r="3996" spans="3:4" s="237" customFormat="1">
      <c r="C3996" s="16" t="str">
        <f>IFERROR(VLOOKUP(DATA!#REF!,DATA!#REF!,1,FALSE),"")</f>
        <v/>
      </c>
      <c r="D3996" s="16" t="str">
        <f>IFERROR(VLOOKUP(C3996,DATA!#REF!,2,FALSE),"")</f>
        <v/>
      </c>
    </row>
    <row r="3997" spans="3:4" s="237" customFormat="1">
      <c r="C3997" s="16" t="str">
        <f>IFERROR(VLOOKUP(DATA!#REF!,DATA!#REF!,1,FALSE),"")</f>
        <v/>
      </c>
      <c r="D3997" s="16" t="str">
        <f>IFERROR(VLOOKUP(C3997,DATA!#REF!,2,FALSE),"")</f>
        <v/>
      </c>
    </row>
    <row r="3998" spans="3:4" s="237" customFormat="1">
      <c r="C3998" s="16" t="str">
        <f>IFERROR(VLOOKUP(DATA!#REF!,DATA!#REF!,1,FALSE),"")</f>
        <v/>
      </c>
      <c r="D3998" s="16" t="str">
        <f>IFERROR(VLOOKUP(C3998,DATA!#REF!,2,FALSE),"")</f>
        <v/>
      </c>
    </row>
    <row r="3999" spans="3:4" s="237" customFormat="1">
      <c r="C3999" s="16" t="str">
        <f>IFERROR(VLOOKUP(DATA!#REF!,DATA!#REF!,1,FALSE),"")</f>
        <v/>
      </c>
      <c r="D3999" s="16" t="str">
        <f>IFERROR(VLOOKUP(C3999,DATA!#REF!,2,FALSE),"")</f>
        <v/>
      </c>
    </row>
    <row r="4000" spans="3:4" s="237" customFormat="1">
      <c r="C4000" s="16" t="str">
        <f>IFERROR(VLOOKUP(DATA!#REF!,DATA!#REF!,1,FALSE),"")</f>
        <v/>
      </c>
      <c r="D4000" s="16" t="str">
        <f>IFERROR(VLOOKUP(C4000,DATA!#REF!,2,FALSE),"")</f>
        <v/>
      </c>
    </row>
    <row r="4001" spans="3:4" s="237" customFormat="1">
      <c r="C4001" s="16" t="str">
        <f>IFERROR(VLOOKUP(DATA!#REF!,DATA!#REF!,1,FALSE),"")</f>
        <v/>
      </c>
      <c r="D4001" s="16" t="str">
        <f>IFERROR(VLOOKUP(C4001,DATA!#REF!,2,FALSE),"")</f>
        <v/>
      </c>
    </row>
    <row r="4002" spans="3:4" s="237" customFormat="1">
      <c r="C4002" s="16" t="str">
        <f>IFERROR(VLOOKUP(DATA!#REF!,DATA!#REF!,1,FALSE),"")</f>
        <v/>
      </c>
      <c r="D4002" s="16" t="str">
        <f>IFERROR(VLOOKUP(C4002,DATA!#REF!,2,FALSE),"")</f>
        <v/>
      </c>
    </row>
    <row r="4003" spans="3:4" s="237" customFormat="1">
      <c r="C4003" s="16" t="str">
        <f>IFERROR(VLOOKUP(DATA!#REF!,DATA!#REF!,1,FALSE),"")</f>
        <v/>
      </c>
      <c r="D4003" s="16" t="str">
        <f>IFERROR(VLOOKUP(C4003,DATA!#REF!,2,FALSE),"")</f>
        <v/>
      </c>
    </row>
    <row r="4004" spans="3:4" s="237" customFormat="1">
      <c r="C4004" s="16" t="str">
        <f>IFERROR(VLOOKUP(DATA!#REF!,DATA!#REF!,1,FALSE),"")</f>
        <v/>
      </c>
      <c r="D4004" s="16" t="str">
        <f>IFERROR(VLOOKUP(C4004,DATA!#REF!,2,FALSE),"")</f>
        <v/>
      </c>
    </row>
    <row r="4005" spans="3:4" s="237" customFormat="1">
      <c r="C4005" s="16" t="str">
        <f>IFERROR(VLOOKUP(DATA!#REF!,DATA!#REF!,1,FALSE),"")</f>
        <v/>
      </c>
      <c r="D4005" s="16" t="str">
        <f>IFERROR(VLOOKUP(C4005,DATA!#REF!,2,FALSE),"")</f>
        <v/>
      </c>
    </row>
    <row r="4006" spans="3:4" s="237" customFormat="1">
      <c r="C4006" s="16" t="str">
        <f>IFERROR(VLOOKUP(DATA!#REF!,DATA!#REF!,1,FALSE),"")</f>
        <v/>
      </c>
      <c r="D4006" s="16" t="str">
        <f>IFERROR(VLOOKUP(C4006,DATA!#REF!,2,FALSE),"")</f>
        <v/>
      </c>
    </row>
    <row r="4007" spans="3:4" s="237" customFormat="1">
      <c r="C4007" s="16" t="str">
        <f>IFERROR(VLOOKUP(DATA!#REF!,DATA!#REF!,1,FALSE),"")</f>
        <v/>
      </c>
      <c r="D4007" s="16" t="str">
        <f>IFERROR(VLOOKUP(C4007,DATA!#REF!,2,FALSE),"")</f>
        <v/>
      </c>
    </row>
    <row r="4008" spans="3:4" s="237" customFormat="1">
      <c r="C4008" s="16" t="str">
        <f>IFERROR(VLOOKUP(DATA!#REF!,DATA!#REF!,1,FALSE),"")</f>
        <v/>
      </c>
      <c r="D4008" s="16" t="str">
        <f>IFERROR(VLOOKUP(C4008,DATA!#REF!,2,FALSE),"")</f>
        <v/>
      </c>
    </row>
    <row r="4009" spans="3:4" s="237" customFormat="1">
      <c r="C4009" s="16" t="str">
        <f>IFERROR(VLOOKUP(DATA!#REF!,DATA!#REF!,1,FALSE),"")</f>
        <v/>
      </c>
      <c r="D4009" s="16" t="str">
        <f>IFERROR(VLOOKUP(C4009,DATA!#REF!,2,FALSE),"")</f>
        <v/>
      </c>
    </row>
    <row r="4010" spans="3:4" s="237" customFormat="1">
      <c r="C4010" s="16" t="str">
        <f>IFERROR(VLOOKUP(DATA!#REF!,DATA!#REF!,1,FALSE),"")</f>
        <v/>
      </c>
      <c r="D4010" s="16" t="str">
        <f>IFERROR(VLOOKUP(C4010,DATA!#REF!,2,FALSE),"")</f>
        <v/>
      </c>
    </row>
    <row r="4011" spans="3:4" s="237" customFormat="1">
      <c r="C4011" s="16" t="str">
        <f>IFERROR(VLOOKUP(DATA!#REF!,DATA!#REF!,1,FALSE),"")</f>
        <v/>
      </c>
      <c r="D4011" s="16" t="str">
        <f>IFERROR(VLOOKUP(C4011,DATA!#REF!,2,FALSE),"")</f>
        <v/>
      </c>
    </row>
    <row r="4012" spans="3:4" s="237" customFormat="1">
      <c r="C4012" s="16" t="str">
        <f>IFERROR(VLOOKUP(DATA!#REF!,DATA!#REF!,1,FALSE),"")</f>
        <v/>
      </c>
      <c r="D4012" s="16" t="str">
        <f>IFERROR(VLOOKUP(C4012,DATA!#REF!,2,FALSE),"")</f>
        <v/>
      </c>
    </row>
    <row r="4013" spans="3:4" s="237" customFormat="1">
      <c r="C4013" s="16" t="str">
        <f>IFERROR(VLOOKUP(DATA!#REF!,DATA!#REF!,1,FALSE),"")</f>
        <v/>
      </c>
      <c r="D4013" s="16" t="str">
        <f>IFERROR(VLOOKUP(C4013,DATA!#REF!,2,FALSE),"")</f>
        <v/>
      </c>
    </row>
    <row r="4014" spans="3:4" s="237" customFormat="1">
      <c r="C4014" s="16" t="str">
        <f>IFERROR(VLOOKUP(DATA!#REF!,DATA!#REF!,1,FALSE),"")</f>
        <v/>
      </c>
      <c r="D4014" s="16" t="str">
        <f>IFERROR(VLOOKUP(C4014,DATA!#REF!,2,FALSE),"")</f>
        <v/>
      </c>
    </row>
    <row r="4015" spans="3:4" s="237" customFormat="1">
      <c r="C4015" s="16" t="str">
        <f>IFERROR(VLOOKUP(DATA!#REF!,DATA!#REF!,1,FALSE),"")</f>
        <v/>
      </c>
      <c r="D4015" s="16" t="str">
        <f>IFERROR(VLOOKUP(C4015,DATA!#REF!,2,FALSE),"")</f>
        <v/>
      </c>
    </row>
    <row r="4016" spans="3:4" s="237" customFormat="1">
      <c r="C4016" s="16" t="str">
        <f>IFERROR(VLOOKUP(DATA!#REF!,DATA!#REF!,1,FALSE),"")</f>
        <v/>
      </c>
      <c r="D4016" s="16" t="str">
        <f>IFERROR(VLOOKUP(C4016,DATA!#REF!,2,FALSE),"")</f>
        <v/>
      </c>
    </row>
    <row r="4017" spans="3:4" s="237" customFormat="1">
      <c r="C4017" s="16" t="str">
        <f>IFERROR(VLOOKUP(DATA!#REF!,DATA!#REF!,1,FALSE),"")</f>
        <v/>
      </c>
      <c r="D4017" s="16" t="str">
        <f>IFERROR(VLOOKUP(C4017,DATA!#REF!,2,FALSE),"")</f>
        <v/>
      </c>
    </row>
    <row r="4018" spans="3:4" s="237" customFormat="1">
      <c r="C4018" s="16" t="str">
        <f>IFERROR(VLOOKUP(DATA!#REF!,DATA!#REF!,1,FALSE),"")</f>
        <v/>
      </c>
      <c r="D4018" s="16" t="str">
        <f>IFERROR(VLOOKUP(C4018,DATA!#REF!,2,FALSE),"")</f>
        <v/>
      </c>
    </row>
    <row r="4019" spans="3:4" s="237" customFormat="1">
      <c r="C4019" s="16" t="str">
        <f>IFERROR(VLOOKUP(DATA!#REF!,DATA!#REF!,1,FALSE),"")</f>
        <v/>
      </c>
      <c r="D4019" s="16" t="str">
        <f>IFERROR(VLOOKUP(C4019,DATA!#REF!,2,FALSE),"")</f>
        <v/>
      </c>
    </row>
    <row r="4020" spans="3:4" s="237" customFormat="1">
      <c r="C4020" s="16" t="str">
        <f>IFERROR(VLOOKUP(DATA!#REF!,DATA!#REF!,1,FALSE),"")</f>
        <v/>
      </c>
      <c r="D4020" s="16" t="str">
        <f>IFERROR(VLOOKUP(C4020,DATA!#REF!,2,FALSE),"")</f>
        <v/>
      </c>
    </row>
    <row r="4021" spans="3:4" s="237" customFormat="1">
      <c r="C4021" s="16" t="str">
        <f>IFERROR(VLOOKUP(DATA!#REF!,DATA!#REF!,1,FALSE),"")</f>
        <v/>
      </c>
      <c r="D4021" s="16" t="str">
        <f>IFERROR(VLOOKUP(C4021,DATA!#REF!,2,FALSE),"")</f>
        <v/>
      </c>
    </row>
    <row r="4022" spans="3:4" s="237" customFormat="1">
      <c r="C4022" s="16" t="str">
        <f>IFERROR(VLOOKUP(DATA!#REF!,DATA!#REF!,1,FALSE),"")</f>
        <v/>
      </c>
      <c r="D4022" s="16" t="str">
        <f>IFERROR(VLOOKUP(C4022,DATA!#REF!,2,FALSE),"")</f>
        <v/>
      </c>
    </row>
    <row r="4023" spans="3:4" s="237" customFormat="1">
      <c r="C4023" s="16" t="str">
        <f>IFERROR(VLOOKUP(DATA!#REF!,DATA!#REF!,1,FALSE),"")</f>
        <v/>
      </c>
      <c r="D4023" s="16" t="str">
        <f>IFERROR(VLOOKUP(C4023,DATA!#REF!,2,FALSE),"")</f>
        <v/>
      </c>
    </row>
    <row r="4024" spans="3:4" s="237" customFormat="1">
      <c r="C4024" s="16" t="str">
        <f>IFERROR(VLOOKUP(DATA!#REF!,DATA!#REF!,1,FALSE),"")</f>
        <v/>
      </c>
      <c r="D4024" s="16" t="str">
        <f>IFERROR(VLOOKUP(C4024,DATA!#REF!,2,FALSE),"")</f>
        <v/>
      </c>
    </row>
    <row r="4025" spans="3:4" s="237" customFormat="1">
      <c r="C4025" s="16" t="str">
        <f>IFERROR(VLOOKUP(DATA!#REF!,DATA!#REF!,1,FALSE),"")</f>
        <v/>
      </c>
      <c r="D4025" s="16" t="str">
        <f>IFERROR(VLOOKUP(C4025,DATA!#REF!,2,FALSE),"")</f>
        <v/>
      </c>
    </row>
    <row r="4026" spans="3:4" s="237" customFormat="1">
      <c r="C4026" s="16" t="str">
        <f>IFERROR(VLOOKUP(DATA!#REF!,DATA!#REF!,1,FALSE),"")</f>
        <v/>
      </c>
      <c r="D4026" s="16" t="str">
        <f>IFERROR(VLOOKUP(C4026,DATA!#REF!,2,FALSE),"")</f>
        <v/>
      </c>
    </row>
    <row r="4027" spans="3:4" s="237" customFormat="1">
      <c r="C4027" s="16" t="str">
        <f>IFERROR(VLOOKUP(DATA!#REF!,DATA!#REF!,1,FALSE),"")</f>
        <v/>
      </c>
      <c r="D4027" s="16" t="str">
        <f>IFERROR(VLOOKUP(C4027,DATA!#REF!,2,FALSE),"")</f>
        <v/>
      </c>
    </row>
    <row r="4028" spans="3:4" s="237" customFormat="1">
      <c r="C4028" s="16" t="str">
        <f>IFERROR(VLOOKUP(DATA!#REF!,DATA!#REF!,1,FALSE),"")</f>
        <v/>
      </c>
      <c r="D4028" s="16" t="str">
        <f>IFERROR(VLOOKUP(C4028,DATA!#REF!,2,FALSE),"")</f>
        <v/>
      </c>
    </row>
    <row r="4029" spans="3:4" s="237" customFormat="1">
      <c r="C4029" s="16" t="str">
        <f>IFERROR(VLOOKUP(DATA!#REF!,DATA!#REF!,1,FALSE),"")</f>
        <v/>
      </c>
      <c r="D4029" s="16" t="str">
        <f>IFERROR(VLOOKUP(C4029,DATA!#REF!,2,FALSE),"")</f>
        <v/>
      </c>
    </row>
    <row r="4030" spans="3:4" s="237" customFormat="1">
      <c r="C4030" s="16" t="str">
        <f>IFERROR(VLOOKUP(DATA!#REF!,DATA!#REF!,1,FALSE),"")</f>
        <v/>
      </c>
      <c r="D4030" s="16" t="str">
        <f>IFERROR(VLOOKUP(C4030,DATA!#REF!,2,FALSE),"")</f>
        <v/>
      </c>
    </row>
    <row r="4031" spans="3:4" s="237" customFormat="1">
      <c r="C4031" s="16" t="str">
        <f>IFERROR(VLOOKUP(DATA!#REF!,DATA!#REF!,1,FALSE),"")</f>
        <v/>
      </c>
      <c r="D4031" s="16" t="str">
        <f>IFERROR(VLOOKUP(C4031,DATA!#REF!,2,FALSE),"")</f>
        <v/>
      </c>
    </row>
    <row r="4032" spans="3:4" s="237" customFormat="1">
      <c r="C4032" s="16" t="str">
        <f>IFERROR(VLOOKUP(DATA!#REF!,DATA!#REF!,1,FALSE),"")</f>
        <v/>
      </c>
      <c r="D4032" s="16" t="str">
        <f>IFERROR(VLOOKUP(C4032,DATA!#REF!,2,FALSE),"")</f>
        <v/>
      </c>
    </row>
    <row r="4033" spans="3:4" s="237" customFormat="1">
      <c r="C4033" s="16" t="str">
        <f>IFERROR(VLOOKUP(DATA!#REF!,DATA!#REF!,1,FALSE),"")</f>
        <v/>
      </c>
      <c r="D4033" s="16" t="str">
        <f>IFERROR(VLOOKUP(C4033,DATA!#REF!,2,FALSE),"")</f>
        <v/>
      </c>
    </row>
    <row r="4034" spans="3:4" s="237" customFormat="1">
      <c r="C4034" s="16" t="str">
        <f>IFERROR(VLOOKUP(DATA!#REF!,DATA!#REF!,1,FALSE),"")</f>
        <v/>
      </c>
      <c r="D4034" s="16" t="str">
        <f>IFERROR(VLOOKUP(C4034,DATA!#REF!,2,FALSE),"")</f>
        <v/>
      </c>
    </row>
    <row r="4035" spans="3:4" s="237" customFormat="1">
      <c r="C4035" s="16" t="str">
        <f>IFERROR(VLOOKUP(DATA!#REF!,DATA!#REF!,1,FALSE),"")</f>
        <v/>
      </c>
      <c r="D4035" s="16" t="str">
        <f>IFERROR(VLOOKUP(C4035,DATA!#REF!,2,FALSE),"")</f>
        <v/>
      </c>
    </row>
    <row r="4036" spans="3:4" s="237" customFormat="1">
      <c r="C4036" s="16" t="str">
        <f>IFERROR(VLOOKUP(DATA!#REF!,DATA!#REF!,1,FALSE),"")</f>
        <v/>
      </c>
      <c r="D4036" s="16" t="str">
        <f>IFERROR(VLOOKUP(C4036,DATA!#REF!,2,FALSE),"")</f>
        <v/>
      </c>
    </row>
    <row r="4037" spans="3:4" s="237" customFormat="1">
      <c r="C4037" s="16" t="str">
        <f>IFERROR(VLOOKUP(DATA!#REF!,DATA!#REF!,1,FALSE),"")</f>
        <v/>
      </c>
      <c r="D4037" s="16" t="str">
        <f>IFERROR(VLOOKUP(C4037,DATA!#REF!,2,FALSE),"")</f>
        <v/>
      </c>
    </row>
    <row r="4038" spans="3:4" s="237" customFormat="1">
      <c r="C4038" s="16" t="str">
        <f>IFERROR(VLOOKUP(DATA!#REF!,DATA!#REF!,1,FALSE),"")</f>
        <v/>
      </c>
      <c r="D4038" s="16" t="str">
        <f>IFERROR(VLOOKUP(C4038,DATA!#REF!,2,FALSE),"")</f>
        <v/>
      </c>
    </row>
    <row r="4039" spans="3:4" s="237" customFormat="1">
      <c r="C4039" s="16" t="str">
        <f>IFERROR(VLOOKUP(DATA!#REF!,DATA!#REF!,1,FALSE),"")</f>
        <v/>
      </c>
      <c r="D4039" s="16" t="str">
        <f>IFERROR(VLOOKUP(C4039,DATA!#REF!,2,FALSE),"")</f>
        <v/>
      </c>
    </row>
    <row r="4040" spans="3:4" s="237" customFormat="1">
      <c r="C4040" s="16" t="str">
        <f>IFERROR(VLOOKUP(DATA!#REF!,DATA!#REF!,1,FALSE),"")</f>
        <v/>
      </c>
      <c r="D4040" s="16" t="str">
        <f>IFERROR(VLOOKUP(C4040,DATA!#REF!,2,FALSE),"")</f>
        <v/>
      </c>
    </row>
    <row r="4041" spans="3:4" s="237" customFormat="1">
      <c r="C4041" s="16" t="str">
        <f>IFERROR(VLOOKUP(DATA!#REF!,DATA!#REF!,1,FALSE),"")</f>
        <v/>
      </c>
      <c r="D4041" s="16" t="str">
        <f>IFERROR(VLOOKUP(C4041,DATA!#REF!,2,FALSE),"")</f>
        <v/>
      </c>
    </row>
    <row r="4042" spans="3:4" s="237" customFormat="1">
      <c r="C4042" s="16" t="str">
        <f>IFERROR(VLOOKUP(DATA!#REF!,DATA!#REF!,1,FALSE),"")</f>
        <v/>
      </c>
      <c r="D4042" s="16" t="str">
        <f>IFERROR(VLOOKUP(C4042,DATA!#REF!,2,FALSE),"")</f>
        <v/>
      </c>
    </row>
    <row r="4043" spans="3:4" s="237" customFormat="1">
      <c r="C4043" s="16" t="str">
        <f>IFERROR(VLOOKUP(DATA!#REF!,DATA!#REF!,1,FALSE),"")</f>
        <v/>
      </c>
      <c r="D4043" s="16" t="str">
        <f>IFERROR(VLOOKUP(C4043,DATA!#REF!,2,FALSE),"")</f>
        <v/>
      </c>
    </row>
    <row r="4044" spans="3:4" s="237" customFormat="1">
      <c r="C4044" s="16" t="str">
        <f>IFERROR(VLOOKUP(DATA!#REF!,DATA!#REF!,1,FALSE),"")</f>
        <v/>
      </c>
      <c r="D4044" s="16" t="str">
        <f>IFERROR(VLOOKUP(C4044,DATA!#REF!,2,FALSE),"")</f>
        <v/>
      </c>
    </row>
    <row r="4045" spans="3:4" s="237" customFormat="1">
      <c r="C4045" s="16" t="str">
        <f>IFERROR(VLOOKUP(DATA!#REF!,DATA!#REF!,1,FALSE),"")</f>
        <v/>
      </c>
      <c r="D4045" s="16" t="str">
        <f>IFERROR(VLOOKUP(C4045,DATA!#REF!,2,FALSE),"")</f>
        <v/>
      </c>
    </row>
    <row r="4046" spans="3:4" s="237" customFormat="1">
      <c r="C4046" s="16" t="str">
        <f>IFERROR(VLOOKUP(DATA!#REF!,DATA!#REF!,1,FALSE),"")</f>
        <v/>
      </c>
      <c r="D4046" s="16" t="str">
        <f>IFERROR(VLOOKUP(C4046,DATA!#REF!,2,FALSE),"")</f>
        <v/>
      </c>
    </row>
    <row r="4047" spans="3:4" s="237" customFormat="1">
      <c r="C4047" s="16" t="str">
        <f>IFERROR(VLOOKUP(DATA!#REF!,DATA!#REF!,1,FALSE),"")</f>
        <v/>
      </c>
      <c r="D4047" s="16" t="str">
        <f>IFERROR(VLOOKUP(C4047,DATA!#REF!,2,FALSE),"")</f>
        <v/>
      </c>
    </row>
    <row r="4048" spans="3:4" s="237" customFormat="1">
      <c r="C4048" s="16" t="str">
        <f>IFERROR(VLOOKUP(DATA!#REF!,DATA!#REF!,1,FALSE),"")</f>
        <v/>
      </c>
      <c r="D4048" s="16" t="str">
        <f>IFERROR(VLOOKUP(C4048,DATA!#REF!,2,FALSE),"")</f>
        <v/>
      </c>
    </row>
    <row r="4049" spans="3:4" s="237" customFormat="1">
      <c r="C4049" s="16" t="str">
        <f>IFERROR(VLOOKUP(DATA!#REF!,DATA!#REF!,1,FALSE),"")</f>
        <v/>
      </c>
      <c r="D4049" s="16" t="str">
        <f>IFERROR(VLOOKUP(C4049,DATA!#REF!,2,FALSE),"")</f>
        <v/>
      </c>
    </row>
    <row r="4050" spans="3:4" s="237" customFormat="1">
      <c r="C4050" s="16" t="str">
        <f>IFERROR(VLOOKUP(DATA!#REF!,DATA!#REF!,1,FALSE),"")</f>
        <v/>
      </c>
      <c r="D4050" s="16" t="str">
        <f>IFERROR(VLOOKUP(C4050,DATA!#REF!,2,FALSE),"")</f>
        <v/>
      </c>
    </row>
    <row r="4051" spans="3:4" s="237" customFormat="1">
      <c r="C4051" s="16" t="str">
        <f>IFERROR(VLOOKUP(DATA!#REF!,DATA!#REF!,1,FALSE),"")</f>
        <v/>
      </c>
      <c r="D4051" s="16" t="str">
        <f>IFERROR(VLOOKUP(C4051,DATA!#REF!,2,FALSE),"")</f>
        <v/>
      </c>
    </row>
    <row r="4052" spans="3:4" s="237" customFormat="1">
      <c r="C4052" s="16" t="str">
        <f>IFERROR(VLOOKUP(DATA!#REF!,DATA!#REF!,1,FALSE),"")</f>
        <v/>
      </c>
      <c r="D4052" s="16" t="str">
        <f>IFERROR(VLOOKUP(C4052,DATA!#REF!,2,FALSE),"")</f>
        <v/>
      </c>
    </row>
    <row r="4053" spans="3:4" s="237" customFormat="1">
      <c r="C4053" s="16" t="str">
        <f>IFERROR(VLOOKUP(DATA!#REF!,DATA!#REF!,1,FALSE),"")</f>
        <v/>
      </c>
      <c r="D4053" s="16" t="str">
        <f>IFERROR(VLOOKUP(C4053,DATA!#REF!,2,FALSE),"")</f>
        <v/>
      </c>
    </row>
    <row r="4054" spans="3:4" s="237" customFormat="1">
      <c r="C4054" s="16" t="str">
        <f>IFERROR(VLOOKUP(DATA!#REF!,DATA!#REF!,1,FALSE),"")</f>
        <v/>
      </c>
      <c r="D4054" s="16" t="str">
        <f>IFERROR(VLOOKUP(C4054,DATA!#REF!,2,FALSE),"")</f>
        <v/>
      </c>
    </row>
    <row r="4055" spans="3:4" s="237" customFormat="1">
      <c r="C4055" s="16" t="str">
        <f>IFERROR(VLOOKUP(DATA!#REF!,DATA!#REF!,1,FALSE),"")</f>
        <v/>
      </c>
      <c r="D4055" s="16" t="str">
        <f>IFERROR(VLOOKUP(C4055,DATA!#REF!,2,FALSE),"")</f>
        <v/>
      </c>
    </row>
    <row r="4056" spans="3:4" s="237" customFormat="1">
      <c r="C4056" s="16" t="str">
        <f>IFERROR(VLOOKUP(DATA!#REF!,DATA!#REF!,1,FALSE),"")</f>
        <v/>
      </c>
      <c r="D4056" s="16" t="str">
        <f>IFERROR(VLOOKUP(C4056,DATA!#REF!,2,FALSE),"")</f>
        <v/>
      </c>
    </row>
    <row r="4057" spans="3:4" s="237" customFormat="1">
      <c r="C4057" s="16" t="str">
        <f>IFERROR(VLOOKUP(DATA!#REF!,DATA!#REF!,1,FALSE),"")</f>
        <v/>
      </c>
      <c r="D4057" s="16" t="str">
        <f>IFERROR(VLOOKUP(C4057,DATA!#REF!,2,FALSE),"")</f>
        <v/>
      </c>
    </row>
    <row r="4058" spans="3:4" s="237" customFormat="1">
      <c r="C4058" s="16" t="str">
        <f>IFERROR(VLOOKUP(DATA!#REF!,DATA!#REF!,1,FALSE),"")</f>
        <v/>
      </c>
      <c r="D4058" s="16" t="str">
        <f>IFERROR(VLOOKUP(C4058,DATA!#REF!,2,FALSE),"")</f>
        <v/>
      </c>
    </row>
    <row r="4059" spans="3:4" s="237" customFormat="1">
      <c r="C4059" s="16" t="str">
        <f>IFERROR(VLOOKUP(DATA!#REF!,DATA!#REF!,1,FALSE),"")</f>
        <v/>
      </c>
      <c r="D4059" s="16" t="str">
        <f>IFERROR(VLOOKUP(C4059,DATA!#REF!,2,FALSE),"")</f>
        <v/>
      </c>
    </row>
    <row r="4060" spans="3:4" s="237" customFormat="1">
      <c r="C4060" s="16" t="str">
        <f>IFERROR(VLOOKUP(DATA!#REF!,DATA!#REF!,1,FALSE),"")</f>
        <v/>
      </c>
      <c r="D4060" s="16" t="str">
        <f>IFERROR(VLOOKUP(C4060,DATA!#REF!,2,FALSE),"")</f>
        <v/>
      </c>
    </row>
    <row r="4061" spans="3:4" s="237" customFormat="1">
      <c r="C4061" s="16" t="str">
        <f>IFERROR(VLOOKUP(DATA!#REF!,DATA!#REF!,1,FALSE),"")</f>
        <v/>
      </c>
      <c r="D4061" s="16" t="str">
        <f>IFERROR(VLOOKUP(C4061,DATA!#REF!,2,FALSE),"")</f>
        <v/>
      </c>
    </row>
    <row r="4062" spans="3:4" s="237" customFormat="1">
      <c r="C4062" s="16" t="str">
        <f>IFERROR(VLOOKUP(DATA!#REF!,DATA!#REF!,1,FALSE),"")</f>
        <v/>
      </c>
      <c r="D4062" s="16" t="str">
        <f>IFERROR(VLOOKUP(C4062,DATA!#REF!,2,FALSE),"")</f>
        <v/>
      </c>
    </row>
    <row r="4063" spans="3:4" s="237" customFormat="1">
      <c r="C4063" s="16" t="str">
        <f>IFERROR(VLOOKUP(DATA!#REF!,DATA!#REF!,1,FALSE),"")</f>
        <v/>
      </c>
      <c r="D4063" s="16" t="str">
        <f>IFERROR(VLOOKUP(C4063,DATA!#REF!,2,FALSE),"")</f>
        <v/>
      </c>
    </row>
    <row r="4064" spans="3:4" s="237" customFormat="1">
      <c r="C4064" s="16" t="str">
        <f>IFERROR(VLOOKUP(DATA!#REF!,DATA!#REF!,1,FALSE),"")</f>
        <v/>
      </c>
      <c r="D4064" s="16" t="str">
        <f>IFERROR(VLOOKUP(C4064,DATA!#REF!,2,FALSE),"")</f>
        <v/>
      </c>
    </row>
    <row r="4065" spans="3:4" s="237" customFormat="1">
      <c r="C4065" s="16" t="str">
        <f>IFERROR(VLOOKUP(DATA!#REF!,DATA!#REF!,1,FALSE),"")</f>
        <v/>
      </c>
      <c r="D4065" s="16" t="str">
        <f>IFERROR(VLOOKUP(C4065,DATA!#REF!,2,FALSE),"")</f>
        <v/>
      </c>
    </row>
    <row r="4066" spans="3:4" s="237" customFormat="1">
      <c r="C4066" s="16" t="str">
        <f>IFERROR(VLOOKUP(DATA!#REF!,DATA!#REF!,1,FALSE),"")</f>
        <v/>
      </c>
      <c r="D4066" s="16" t="str">
        <f>IFERROR(VLOOKUP(C4066,DATA!#REF!,2,FALSE),"")</f>
        <v/>
      </c>
    </row>
    <row r="4067" spans="3:4" s="237" customFormat="1">
      <c r="C4067" s="16" t="str">
        <f>IFERROR(VLOOKUP(DATA!#REF!,DATA!#REF!,1,FALSE),"")</f>
        <v/>
      </c>
      <c r="D4067" s="16" t="str">
        <f>IFERROR(VLOOKUP(C4067,DATA!#REF!,2,FALSE),"")</f>
        <v/>
      </c>
    </row>
    <row r="4068" spans="3:4" s="237" customFormat="1">
      <c r="C4068" s="16" t="str">
        <f>IFERROR(VLOOKUP(DATA!#REF!,DATA!#REF!,1,FALSE),"")</f>
        <v/>
      </c>
      <c r="D4068" s="16" t="str">
        <f>IFERROR(VLOOKUP(C4068,DATA!#REF!,2,FALSE),"")</f>
        <v/>
      </c>
    </row>
    <row r="4069" spans="3:4" s="237" customFormat="1">
      <c r="C4069" s="16" t="str">
        <f>IFERROR(VLOOKUP(DATA!#REF!,DATA!#REF!,1,FALSE),"")</f>
        <v/>
      </c>
      <c r="D4069" s="16" t="str">
        <f>IFERROR(VLOOKUP(C4069,DATA!#REF!,2,FALSE),"")</f>
        <v/>
      </c>
    </row>
    <row r="4070" spans="3:4" s="237" customFormat="1">
      <c r="C4070" s="16" t="str">
        <f>IFERROR(VLOOKUP(DATA!#REF!,DATA!#REF!,1,FALSE),"")</f>
        <v/>
      </c>
      <c r="D4070" s="16" t="str">
        <f>IFERROR(VLOOKUP(C4070,DATA!#REF!,2,FALSE),"")</f>
        <v/>
      </c>
    </row>
    <row r="4071" spans="3:4" s="237" customFormat="1">
      <c r="C4071" s="16" t="str">
        <f>IFERROR(VLOOKUP(DATA!#REF!,DATA!#REF!,1,FALSE),"")</f>
        <v/>
      </c>
      <c r="D4071" s="16" t="str">
        <f>IFERROR(VLOOKUP(C4071,DATA!#REF!,2,FALSE),"")</f>
        <v/>
      </c>
    </row>
    <row r="4072" spans="3:4" s="237" customFormat="1">
      <c r="C4072" s="16" t="str">
        <f>IFERROR(VLOOKUP(DATA!#REF!,DATA!#REF!,1,FALSE),"")</f>
        <v/>
      </c>
      <c r="D4072" s="16" t="str">
        <f>IFERROR(VLOOKUP(C4072,DATA!#REF!,2,FALSE),"")</f>
        <v/>
      </c>
    </row>
    <row r="4073" spans="3:4" s="237" customFormat="1">
      <c r="C4073" s="16" t="str">
        <f>IFERROR(VLOOKUP(DATA!#REF!,DATA!#REF!,1,FALSE),"")</f>
        <v/>
      </c>
      <c r="D4073" s="16" t="str">
        <f>IFERROR(VLOOKUP(C4073,DATA!#REF!,2,FALSE),"")</f>
        <v/>
      </c>
    </row>
    <row r="4074" spans="3:4" s="237" customFormat="1">
      <c r="C4074" s="16" t="str">
        <f>IFERROR(VLOOKUP(DATA!#REF!,DATA!#REF!,1,FALSE),"")</f>
        <v/>
      </c>
      <c r="D4074" s="16" t="str">
        <f>IFERROR(VLOOKUP(C4074,DATA!#REF!,2,FALSE),"")</f>
        <v/>
      </c>
    </row>
    <row r="4075" spans="3:4" s="237" customFormat="1">
      <c r="C4075" s="16" t="str">
        <f>IFERROR(VLOOKUP(DATA!#REF!,DATA!#REF!,1,FALSE),"")</f>
        <v/>
      </c>
      <c r="D4075" s="16" t="str">
        <f>IFERROR(VLOOKUP(C4075,DATA!#REF!,2,FALSE),"")</f>
        <v/>
      </c>
    </row>
    <row r="4076" spans="3:4" s="237" customFormat="1">
      <c r="C4076" s="16" t="str">
        <f>IFERROR(VLOOKUP(DATA!#REF!,DATA!#REF!,1,FALSE),"")</f>
        <v/>
      </c>
      <c r="D4076" s="16" t="str">
        <f>IFERROR(VLOOKUP(C4076,DATA!#REF!,2,FALSE),"")</f>
        <v/>
      </c>
    </row>
    <row r="4077" spans="3:4" s="237" customFormat="1">
      <c r="C4077" s="16" t="str">
        <f>IFERROR(VLOOKUP(DATA!#REF!,DATA!#REF!,1,FALSE),"")</f>
        <v/>
      </c>
      <c r="D4077" s="16" t="str">
        <f>IFERROR(VLOOKUP(C4077,DATA!#REF!,2,FALSE),"")</f>
        <v/>
      </c>
    </row>
    <row r="4078" spans="3:4" s="237" customFormat="1">
      <c r="C4078" s="16" t="str">
        <f>IFERROR(VLOOKUP(DATA!#REF!,DATA!#REF!,1,FALSE),"")</f>
        <v/>
      </c>
      <c r="D4078" s="16" t="str">
        <f>IFERROR(VLOOKUP(C4078,DATA!#REF!,2,FALSE),"")</f>
        <v/>
      </c>
    </row>
    <row r="4079" spans="3:4" s="237" customFormat="1">
      <c r="C4079" s="16" t="str">
        <f>IFERROR(VLOOKUP(DATA!#REF!,DATA!#REF!,1,FALSE),"")</f>
        <v/>
      </c>
      <c r="D4079" s="16" t="str">
        <f>IFERROR(VLOOKUP(C4079,DATA!#REF!,2,FALSE),"")</f>
        <v/>
      </c>
    </row>
    <row r="4080" spans="3:4" s="237" customFormat="1">
      <c r="C4080" s="16" t="str">
        <f>IFERROR(VLOOKUP(DATA!#REF!,DATA!#REF!,1,FALSE),"")</f>
        <v/>
      </c>
      <c r="D4080" s="16" t="str">
        <f>IFERROR(VLOOKUP(C4080,DATA!#REF!,2,FALSE),"")</f>
        <v/>
      </c>
    </row>
    <row r="4081" spans="3:4" s="237" customFormat="1">
      <c r="C4081" s="16" t="str">
        <f>IFERROR(VLOOKUP(DATA!#REF!,DATA!#REF!,1,FALSE),"")</f>
        <v/>
      </c>
      <c r="D4081" s="16" t="str">
        <f>IFERROR(VLOOKUP(C4081,DATA!#REF!,2,FALSE),"")</f>
        <v/>
      </c>
    </row>
    <row r="4082" spans="3:4" s="237" customFormat="1">
      <c r="C4082" s="16" t="str">
        <f>IFERROR(VLOOKUP(DATA!#REF!,DATA!#REF!,1,FALSE),"")</f>
        <v/>
      </c>
      <c r="D4082" s="16" t="str">
        <f>IFERROR(VLOOKUP(C4082,DATA!#REF!,2,FALSE),"")</f>
        <v/>
      </c>
    </row>
    <row r="4083" spans="3:4" s="237" customFormat="1">
      <c r="C4083" s="16" t="str">
        <f>IFERROR(VLOOKUP(DATA!#REF!,DATA!#REF!,1,FALSE),"")</f>
        <v/>
      </c>
      <c r="D4083" s="16" t="str">
        <f>IFERROR(VLOOKUP(C4083,DATA!#REF!,2,FALSE),"")</f>
        <v/>
      </c>
    </row>
    <row r="4084" spans="3:4" s="237" customFormat="1">
      <c r="C4084" s="16" t="str">
        <f>IFERROR(VLOOKUP(DATA!#REF!,DATA!#REF!,1,FALSE),"")</f>
        <v/>
      </c>
      <c r="D4084" s="16" t="str">
        <f>IFERROR(VLOOKUP(C4084,DATA!#REF!,2,FALSE),"")</f>
        <v/>
      </c>
    </row>
    <row r="4085" spans="3:4" s="237" customFormat="1">
      <c r="C4085" s="16" t="str">
        <f>IFERROR(VLOOKUP(DATA!#REF!,DATA!#REF!,1,FALSE),"")</f>
        <v/>
      </c>
      <c r="D4085" s="16" t="str">
        <f>IFERROR(VLOOKUP(C4085,DATA!#REF!,2,FALSE),"")</f>
        <v/>
      </c>
    </row>
    <row r="4086" spans="3:4" s="237" customFormat="1">
      <c r="C4086" s="16" t="str">
        <f>IFERROR(VLOOKUP(DATA!#REF!,DATA!#REF!,1,FALSE),"")</f>
        <v/>
      </c>
      <c r="D4086" s="16" t="str">
        <f>IFERROR(VLOOKUP(C4086,DATA!#REF!,2,FALSE),"")</f>
        <v/>
      </c>
    </row>
    <row r="4087" spans="3:4" s="237" customFormat="1">
      <c r="C4087" s="16" t="str">
        <f>IFERROR(VLOOKUP(DATA!#REF!,DATA!#REF!,1,FALSE),"")</f>
        <v/>
      </c>
      <c r="D4087" s="16" t="str">
        <f>IFERROR(VLOOKUP(C4087,DATA!#REF!,2,FALSE),"")</f>
        <v/>
      </c>
    </row>
    <row r="4088" spans="3:4" s="237" customFormat="1">
      <c r="C4088" s="16" t="str">
        <f>IFERROR(VLOOKUP(DATA!#REF!,DATA!#REF!,1,FALSE),"")</f>
        <v/>
      </c>
      <c r="D4088" s="16" t="str">
        <f>IFERROR(VLOOKUP(C4088,DATA!#REF!,2,FALSE),"")</f>
        <v/>
      </c>
    </row>
    <row r="4089" spans="3:4" s="237" customFormat="1">
      <c r="C4089" s="16" t="str">
        <f>IFERROR(VLOOKUP(DATA!#REF!,DATA!#REF!,1,FALSE),"")</f>
        <v/>
      </c>
      <c r="D4089" s="16" t="str">
        <f>IFERROR(VLOOKUP(C4089,DATA!#REF!,2,FALSE),"")</f>
        <v/>
      </c>
    </row>
    <row r="4090" spans="3:4" s="237" customFormat="1">
      <c r="C4090" s="16" t="str">
        <f>IFERROR(VLOOKUP(DATA!#REF!,DATA!#REF!,1,FALSE),"")</f>
        <v/>
      </c>
      <c r="D4090" s="16" t="str">
        <f>IFERROR(VLOOKUP(C4090,DATA!#REF!,2,FALSE),"")</f>
        <v/>
      </c>
    </row>
    <row r="4091" spans="3:4" s="237" customFormat="1">
      <c r="C4091" s="16" t="str">
        <f>IFERROR(VLOOKUP(DATA!#REF!,DATA!#REF!,1,FALSE),"")</f>
        <v/>
      </c>
      <c r="D4091" s="16" t="str">
        <f>IFERROR(VLOOKUP(C4091,DATA!#REF!,2,FALSE),"")</f>
        <v/>
      </c>
    </row>
    <row r="4092" spans="3:4" s="237" customFormat="1">
      <c r="C4092" s="16" t="str">
        <f>IFERROR(VLOOKUP(DATA!#REF!,DATA!#REF!,1,FALSE),"")</f>
        <v/>
      </c>
      <c r="D4092" s="16" t="str">
        <f>IFERROR(VLOOKUP(C4092,DATA!#REF!,2,FALSE),"")</f>
        <v/>
      </c>
    </row>
    <row r="4093" spans="3:4" s="237" customFormat="1">
      <c r="C4093" s="16" t="str">
        <f>IFERROR(VLOOKUP(DATA!#REF!,DATA!#REF!,1,FALSE),"")</f>
        <v/>
      </c>
      <c r="D4093" s="16" t="str">
        <f>IFERROR(VLOOKUP(C4093,DATA!#REF!,2,FALSE),"")</f>
        <v/>
      </c>
    </row>
    <row r="4094" spans="3:4" s="237" customFormat="1">
      <c r="C4094" s="16" t="str">
        <f>IFERROR(VLOOKUP(DATA!#REF!,DATA!#REF!,1,FALSE),"")</f>
        <v/>
      </c>
      <c r="D4094" s="16" t="str">
        <f>IFERROR(VLOOKUP(C4094,DATA!#REF!,2,FALSE),"")</f>
        <v/>
      </c>
    </row>
    <row r="4095" spans="3:4" s="237" customFormat="1">
      <c r="C4095" s="16" t="str">
        <f>IFERROR(VLOOKUP(DATA!#REF!,DATA!#REF!,1,FALSE),"")</f>
        <v/>
      </c>
      <c r="D4095" s="16" t="str">
        <f>IFERROR(VLOOKUP(C4095,DATA!#REF!,2,FALSE),"")</f>
        <v/>
      </c>
    </row>
    <row r="4096" spans="3:4" s="237" customFormat="1">
      <c r="C4096" s="16" t="str">
        <f>IFERROR(VLOOKUP(DATA!#REF!,DATA!#REF!,1,FALSE),"")</f>
        <v/>
      </c>
      <c r="D4096" s="16" t="str">
        <f>IFERROR(VLOOKUP(C4096,DATA!#REF!,2,FALSE),"")</f>
        <v/>
      </c>
    </row>
    <row r="4097" spans="3:4" s="237" customFormat="1">
      <c r="C4097" s="16" t="str">
        <f>IFERROR(VLOOKUP(DATA!#REF!,DATA!#REF!,1,FALSE),"")</f>
        <v/>
      </c>
      <c r="D4097" s="16" t="str">
        <f>IFERROR(VLOOKUP(C4097,DATA!#REF!,2,FALSE),"")</f>
        <v/>
      </c>
    </row>
    <row r="4098" spans="3:4" s="237" customFormat="1">
      <c r="C4098" s="16" t="str">
        <f>IFERROR(VLOOKUP(DATA!#REF!,DATA!#REF!,1,FALSE),"")</f>
        <v/>
      </c>
      <c r="D4098" s="16" t="str">
        <f>IFERROR(VLOOKUP(C4098,DATA!#REF!,2,FALSE),"")</f>
        <v/>
      </c>
    </row>
    <row r="4099" spans="3:4" s="237" customFormat="1">
      <c r="C4099" s="16" t="str">
        <f>IFERROR(VLOOKUP(DATA!#REF!,DATA!#REF!,1,FALSE),"")</f>
        <v/>
      </c>
      <c r="D4099" s="16" t="str">
        <f>IFERROR(VLOOKUP(C4099,DATA!#REF!,2,FALSE),"")</f>
        <v/>
      </c>
    </row>
    <row r="4100" spans="3:4" s="237" customFormat="1">
      <c r="C4100" s="16" t="str">
        <f>IFERROR(VLOOKUP(DATA!#REF!,DATA!#REF!,1,FALSE),"")</f>
        <v/>
      </c>
      <c r="D4100" s="16" t="str">
        <f>IFERROR(VLOOKUP(C4100,DATA!#REF!,2,FALSE),"")</f>
        <v/>
      </c>
    </row>
    <row r="4101" spans="3:4" s="237" customFormat="1">
      <c r="C4101" s="16" t="str">
        <f>IFERROR(VLOOKUP(DATA!#REF!,DATA!#REF!,1,FALSE),"")</f>
        <v/>
      </c>
      <c r="D4101" s="16" t="str">
        <f>IFERROR(VLOOKUP(C4101,DATA!#REF!,2,FALSE),"")</f>
        <v/>
      </c>
    </row>
    <row r="4102" spans="3:4" s="237" customFormat="1">
      <c r="C4102" s="16" t="str">
        <f>IFERROR(VLOOKUP(DATA!#REF!,DATA!#REF!,1,FALSE),"")</f>
        <v/>
      </c>
      <c r="D4102" s="16" t="str">
        <f>IFERROR(VLOOKUP(C4102,DATA!#REF!,2,FALSE),"")</f>
        <v/>
      </c>
    </row>
    <row r="4103" spans="3:4" s="237" customFormat="1">
      <c r="C4103" s="16" t="str">
        <f>IFERROR(VLOOKUP(DATA!#REF!,DATA!#REF!,1,FALSE),"")</f>
        <v/>
      </c>
      <c r="D4103" s="16" t="str">
        <f>IFERROR(VLOOKUP(C4103,DATA!#REF!,2,FALSE),"")</f>
        <v/>
      </c>
    </row>
    <row r="4104" spans="3:4" s="237" customFormat="1">
      <c r="C4104" s="16" t="str">
        <f>IFERROR(VLOOKUP(DATA!#REF!,DATA!#REF!,1,FALSE),"")</f>
        <v/>
      </c>
      <c r="D4104" s="16" t="str">
        <f>IFERROR(VLOOKUP(C4104,DATA!#REF!,2,FALSE),"")</f>
        <v/>
      </c>
    </row>
    <row r="4105" spans="3:4" s="237" customFormat="1">
      <c r="C4105" s="16" t="str">
        <f>IFERROR(VLOOKUP(DATA!#REF!,DATA!#REF!,1,FALSE),"")</f>
        <v/>
      </c>
      <c r="D4105" s="16" t="str">
        <f>IFERROR(VLOOKUP(C4105,DATA!#REF!,2,FALSE),"")</f>
        <v/>
      </c>
    </row>
    <row r="4106" spans="3:4" s="237" customFormat="1">
      <c r="C4106" s="16" t="str">
        <f>IFERROR(VLOOKUP(DATA!#REF!,DATA!#REF!,1,FALSE),"")</f>
        <v/>
      </c>
      <c r="D4106" s="16" t="str">
        <f>IFERROR(VLOOKUP(C4106,DATA!#REF!,2,FALSE),"")</f>
        <v/>
      </c>
    </row>
    <row r="4107" spans="3:4" s="237" customFormat="1">
      <c r="C4107" s="16" t="str">
        <f>IFERROR(VLOOKUP(DATA!#REF!,DATA!#REF!,1,FALSE),"")</f>
        <v/>
      </c>
      <c r="D4107" s="16" t="str">
        <f>IFERROR(VLOOKUP(C4107,DATA!#REF!,2,FALSE),"")</f>
        <v/>
      </c>
    </row>
    <row r="4108" spans="3:4" s="237" customFormat="1">
      <c r="C4108" s="16" t="str">
        <f>IFERROR(VLOOKUP(DATA!#REF!,DATA!#REF!,1,FALSE),"")</f>
        <v/>
      </c>
      <c r="D4108" s="16" t="str">
        <f>IFERROR(VLOOKUP(C4108,DATA!#REF!,2,FALSE),"")</f>
        <v/>
      </c>
    </row>
    <row r="4109" spans="3:4" s="237" customFormat="1">
      <c r="C4109" s="16" t="str">
        <f>IFERROR(VLOOKUP(DATA!#REF!,DATA!#REF!,1,FALSE),"")</f>
        <v/>
      </c>
      <c r="D4109" s="16" t="str">
        <f>IFERROR(VLOOKUP(C4109,DATA!#REF!,2,FALSE),"")</f>
        <v/>
      </c>
    </row>
    <row r="4110" spans="3:4" s="237" customFormat="1">
      <c r="C4110" s="16" t="str">
        <f>IFERROR(VLOOKUP(DATA!#REF!,DATA!#REF!,1,FALSE),"")</f>
        <v/>
      </c>
      <c r="D4110" s="16" t="str">
        <f>IFERROR(VLOOKUP(C4110,DATA!#REF!,2,FALSE),"")</f>
        <v/>
      </c>
    </row>
    <row r="4111" spans="3:4" s="237" customFormat="1">
      <c r="C4111" s="16" t="str">
        <f>IFERROR(VLOOKUP(DATA!#REF!,DATA!#REF!,1,FALSE),"")</f>
        <v/>
      </c>
      <c r="D4111" s="16" t="str">
        <f>IFERROR(VLOOKUP(C4111,DATA!#REF!,2,FALSE),"")</f>
        <v/>
      </c>
    </row>
    <row r="4112" spans="3:4" s="237" customFormat="1">
      <c r="C4112" s="16" t="str">
        <f>IFERROR(VLOOKUP(DATA!#REF!,DATA!#REF!,1,FALSE),"")</f>
        <v/>
      </c>
      <c r="D4112" s="16" t="str">
        <f>IFERROR(VLOOKUP(C4112,DATA!#REF!,2,FALSE),"")</f>
        <v/>
      </c>
    </row>
    <row r="4113" spans="3:4" s="237" customFormat="1">
      <c r="C4113" s="16" t="str">
        <f>IFERROR(VLOOKUP(DATA!#REF!,DATA!#REF!,1,FALSE),"")</f>
        <v/>
      </c>
      <c r="D4113" s="16" t="str">
        <f>IFERROR(VLOOKUP(C4113,DATA!#REF!,2,FALSE),"")</f>
        <v/>
      </c>
    </row>
    <row r="4114" spans="3:4" s="237" customFormat="1">
      <c r="C4114" s="16" t="str">
        <f>IFERROR(VLOOKUP(DATA!#REF!,DATA!#REF!,1,FALSE),"")</f>
        <v/>
      </c>
      <c r="D4114" s="16" t="str">
        <f>IFERROR(VLOOKUP(C4114,DATA!#REF!,2,FALSE),"")</f>
        <v/>
      </c>
    </row>
    <row r="4115" spans="3:4" s="237" customFormat="1">
      <c r="C4115" s="16" t="str">
        <f>IFERROR(VLOOKUP(DATA!#REF!,DATA!#REF!,1,FALSE),"")</f>
        <v/>
      </c>
      <c r="D4115" s="16" t="str">
        <f>IFERROR(VLOOKUP(C4115,DATA!#REF!,2,FALSE),"")</f>
        <v/>
      </c>
    </row>
    <row r="4116" spans="3:4" s="237" customFormat="1">
      <c r="C4116" s="16" t="str">
        <f>IFERROR(VLOOKUP(DATA!#REF!,DATA!#REF!,1,FALSE),"")</f>
        <v/>
      </c>
      <c r="D4116" s="16" t="str">
        <f>IFERROR(VLOOKUP(C4116,DATA!#REF!,2,FALSE),"")</f>
        <v/>
      </c>
    </row>
    <row r="4117" spans="3:4" s="237" customFormat="1">
      <c r="C4117" s="16" t="str">
        <f>IFERROR(VLOOKUP(DATA!#REF!,DATA!#REF!,1,FALSE),"")</f>
        <v/>
      </c>
      <c r="D4117" s="16" t="str">
        <f>IFERROR(VLOOKUP(C4117,DATA!#REF!,2,FALSE),"")</f>
        <v/>
      </c>
    </row>
    <row r="4118" spans="3:4" s="237" customFormat="1">
      <c r="C4118" s="16" t="str">
        <f>IFERROR(VLOOKUP(DATA!#REF!,DATA!#REF!,1,FALSE),"")</f>
        <v/>
      </c>
      <c r="D4118" s="16" t="str">
        <f>IFERROR(VLOOKUP(C4118,DATA!#REF!,2,FALSE),"")</f>
        <v/>
      </c>
    </row>
    <row r="4119" spans="3:4" s="237" customFormat="1">
      <c r="C4119" s="16" t="str">
        <f>IFERROR(VLOOKUP(DATA!#REF!,DATA!#REF!,1,FALSE),"")</f>
        <v/>
      </c>
      <c r="D4119" s="16" t="str">
        <f>IFERROR(VLOOKUP(C4119,DATA!#REF!,2,FALSE),"")</f>
        <v/>
      </c>
    </row>
    <row r="4120" spans="3:4" s="237" customFormat="1">
      <c r="C4120" s="16" t="str">
        <f>IFERROR(VLOOKUP(DATA!#REF!,DATA!#REF!,1,FALSE),"")</f>
        <v/>
      </c>
      <c r="D4120" s="16" t="str">
        <f>IFERROR(VLOOKUP(C4120,DATA!#REF!,2,FALSE),"")</f>
        <v/>
      </c>
    </row>
    <row r="4121" spans="3:4" s="237" customFormat="1">
      <c r="C4121" s="16" t="str">
        <f>IFERROR(VLOOKUP(DATA!#REF!,DATA!#REF!,1,FALSE),"")</f>
        <v/>
      </c>
      <c r="D4121" s="16" t="str">
        <f>IFERROR(VLOOKUP(C4121,DATA!#REF!,2,FALSE),"")</f>
        <v/>
      </c>
    </row>
    <row r="4122" spans="3:4" s="237" customFormat="1">
      <c r="C4122" s="16" t="str">
        <f>IFERROR(VLOOKUP(DATA!#REF!,DATA!#REF!,1,FALSE),"")</f>
        <v/>
      </c>
      <c r="D4122" s="16" t="str">
        <f>IFERROR(VLOOKUP(C4122,DATA!#REF!,2,FALSE),"")</f>
        <v/>
      </c>
    </row>
    <row r="4123" spans="3:4" s="237" customFormat="1">
      <c r="C4123" s="16" t="str">
        <f>IFERROR(VLOOKUP(DATA!#REF!,DATA!#REF!,1,FALSE),"")</f>
        <v/>
      </c>
      <c r="D4123" s="16" t="str">
        <f>IFERROR(VLOOKUP(C4123,DATA!#REF!,2,FALSE),"")</f>
        <v/>
      </c>
    </row>
    <row r="4124" spans="3:4" s="237" customFormat="1">
      <c r="C4124" s="16" t="str">
        <f>IFERROR(VLOOKUP(DATA!#REF!,DATA!#REF!,1,FALSE),"")</f>
        <v/>
      </c>
      <c r="D4124" s="16" t="str">
        <f>IFERROR(VLOOKUP(C4124,DATA!#REF!,2,FALSE),"")</f>
        <v/>
      </c>
    </row>
    <row r="4125" spans="3:4" s="237" customFormat="1">
      <c r="C4125" s="16" t="str">
        <f>IFERROR(VLOOKUP(DATA!#REF!,DATA!#REF!,1,FALSE),"")</f>
        <v/>
      </c>
      <c r="D4125" s="16" t="str">
        <f>IFERROR(VLOOKUP(C4125,DATA!#REF!,2,FALSE),"")</f>
        <v/>
      </c>
    </row>
    <row r="4126" spans="3:4" s="237" customFormat="1">
      <c r="C4126" s="16" t="str">
        <f>IFERROR(VLOOKUP(DATA!#REF!,DATA!#REF!,1,FALSE),"")</f>
        <v/>
      </c>
      <c r="D4126" s="16" t="str">
        <f>IFERROR(VLOOKUP(C4126,DATA!#REF!,2,FALSE),"")</f>
        <v/>
      </c>
    </row>
    <row r="4127" spans="3:4" s="237" customFormat="1">
      <c r="C4127" s="16" t="str">
        <f>IFERROR(VLOOKUP(DATA!#REF!,DATA!#REF!,1,FALSE),"")</f>
        <v/>
      </c>
      <c r="D4127" s="16" t="str">
        <f>IFERROR(VLOOKUP(C4127,DATA!#REF!,2,FALSE),"")</f>
        <v/>
      </c>
    </row>
    <row r="4128" spans="3:4" s="237" customFormat="1">
      <c r="C4128" s="16" t="str">
        <f>IFERROR(VLOOKUP(DATA!#REF!,DATA!#REF!,1,FALSE),"")</f>
        <v/>
      </c>
      <c r="D4128" s="16" t="str">
        <f>IFERROR(VLOOKUP(C4128,DATA!#REF!,2,FALSE),"")</f>
        <v/>
      </c>
    </row>
    <row r="4129" spans="3:4" s="237" customFormat="1">
      <c r="C4129" s="16" t="str">
        <f>IFERROR(VLOOKUP(DATA!#REF!,DATA!#REF!,1,FALSE),"")</f>
        <v/>
      </c>
      <c r="D4129" s="16" t="str">
        <f>IFERROR(VLOOKUP(C4129,DATA!#REF!,2,FALSE),"")</f>
        <v/>
      </c>
    </row>
    <row r="4130" spans="3:4" s="237" customFormat="1">
      <c r="C4130" s="16" t="str">
        <f>IFERROR(VLOOKUP(DATA!#REF!,DATA!#REF!,1,FALSE),"")</f>
        <v/>
      </c>
      <c r="D4130" s="16" t="str">
        <f>IFERROR(VLOOKUP(C4130,DATA!#REF!,2,FALSE),"")</f>
        <v/>
      </c>
    </row>
    <row r="4131" spans="3:4" s="237" customFormat="1">
      <c r="C4131" s="16" t="str">
        <f>IFERROR(VLOOKUP(DATA!#REF!,DATA!#REF!,1,FALSE),"")</f>
        <v/>
      </c>
      <c r="D4131" s="16" t="str">
        <f>IFERROR(VLOOKUP(C4131,DATA!#REF!,2,FALSE),"")</f>
        <v/>
      </c>
    </row>
    <row r="4132" spans="3:4" s="237" customFormat="1">
      <c r="C4132" s="16" t="str">
        <f>IFERROR(VLOOKUP(DATA!#REF!,DATA!#REF!,1,FALSE),"")</f>
        <v/>
      </c>
      <c r="D4132" s="16" t="str">
        <f>IFERROR(VLOOKUP(C4132,DATA!#REF!,2,FALSE),"")</f>
        <v/>
      </c>
    </row>
    <row r="4133" spans="3:4" s="237" customFormat="1">
      <c r="C4133" s="16" t="str">
        <f>IFERROR(VLOOKUP(DATA!#REF!,DATA!#REF!,1,FALSE),"")</f>
        <v/>
      </c>
      <c r="D4133" s="16" t="str">
        <f>IFERROR(VLOOKUP(C4133,DATA!#REF!,2,FALSE),"")</f>
        <v/>
      </c>
    </row>
    <row r="4134" spans="3:4" s="237" customFormat="1">
      <c r="C4134" s="16" t="str">
        <f>IFERROR(VLOOKUP(DATA!#REF!,DATA!#REF!,1,FALSE),"")</f>
        <v/>
      </c>
      <c r="D4134" s="16" t="str">
        <f>IFERROR(VLOOKUP(C4134,DATA!#REF!,2,FALSE),"")</f>
        <v/>
      </c>
    </row>
    <row r="4135" spans="3:4" s="237" customFormat="1">
      <c r="C4135" s="16" t="str">
        <f>IFERROR(VLOOKUP(DATA!#REF!,DATA!#REF!,1,FALSE),"")</f>
        <v/>
      </c>
      <c r="D4135" s="16" t="str">
        <f>IFERROR(VLOOKUP(C4135,DATA!#REF!,2,FALSE),"")</f>
        <v/>
      </c>
    </row>
    <row r="4136" spans="3:4" s="237" customFormat="1">
      <c r="C4136" s="16" t="str">
        <f>IFERROR(VLOOKUP(DATA!#REF!,DATA!#REF!,1,FALSE),"")</f>
        <v/>
      </c>
      <c r="D4136" s="16" t="str">
        <f>IFERROR(VLOOKUP(C4136,DATA!#REF!,2,FALSE),"")</f>
        <v/>
      </c>
    </row>
    <row r="4137" spans="3:4" s="237" customFormat="1">
      <c r="C4137" s="16" t="str">
        <f>IFERROR(VLOOKUP(DATA!#REF!,DATA!#REF!,1,FALSE),"")</f>
        <v/>
      </c>
      <c r="D4137" s="16" t="str">
        <f>IFERROR(VLOOKUP(C4137,DATA!#REF!,2,FALSE),"")</f>
        <v/>
      </c>
    </row>
    <row r="4138" spans="3:4" s="237" customFormat="1">
      <c r="C4138" s="16" t="str">
        <f>IFERROR(VLOOKUP(DATA!#REF!,DATA!#REF!,1,FALSE),"")</f>
        <v/>
      </c>
      <c r="D4138" s="16" t="str">
        <f>IFERROR(VLOOKUP(C4138,DATA!#REF!,2,FALSE),"")</f>
        <v/>
      </c>
    </row>
    <row r="4139" spans="3:4" s="237" customFormat="1">
      <c r="C4139" s="16" t="str">
        <f>IFERROR(VLOOKUP(DATA!#REF!,DATA!#REF!,1,FALSE),"")</f>
        <v/>
      </c>
      <c r="D4139" s="16" t="str">
        <f>IFERROR(VLOOKUP(C4139,DATA!#REF!,2,FALSE),"")</f>
        <v/>
      </c>
    </row>
    <row r="4140" spans="3:4" s="237" customFormat="1">
      <c r="C4140" s="16" t="str">
        <f>IFERROR(VLOOKUP(DATA!#REF!,DATA!#REF!,1,FALSE),"")</f>
        <v/>
      </c>
      <c r="D4140" s="16" t="str">
        <f>IFERROR(VLOOKUP(C4140,DATA!#REF!,2,FALSE),"")</f>
        <v/>
      </c>
    </row>
    <row r="4141" spans="3:4" s="237" customFormat="1">
      <c r="C4141" s="16" t="str">
        <f>IFERROR(VLOOKUP(DATA!#REF!,DATA!#REF!,1,FALSE),"")</f>
        <v/>
      </c>
      <c r="D4141" s="16" t="str">
        <f>IFERROR(VLOOKUP(C4141,DATA!#REF!,2,FALSE),"")</f>
        <v/>
      </c>
    </row>
    <row r="4142" spans="3:4" s="237" customFormat="1">
      <c r="C4142" s="16" t="str">
        <f>IFERROR(VLOOKUP(DATA!#REF!,DATA!#REF!,1,FALSE),"")</f>
        <v/>
      </c>
      <c r="D4142" s="16" t="str">
        <f>IFERROR(VLOOKUP(C4142,DATA!#REF!,2,FALSE),"")</f>
        <v/>
      </c>
    </row>
    <row r="4143" spans="3:4" s="237" customFormat="1">
      <c r="C4143" s="16" t="str">
        <f>IFERROR(VLOOKUP(DATA!#REF!,DATA!#REF!,1,FALSE),"")</f>
        <v/>
      </c>
      <c r="D4143" s="16" t="str">
        <f>IFERROR(VLOOKUP(C4143,DATA!#REF!,2,FALSE),"")</f>
        <v/>
      </c>
    </row>
    <row r="4144" spans="3:4" s="237" customFormat="1">
      <c r="C4144" s="16" t="str">
        <f>IFERROR(VLOOKUP(DATA!#REF!,DATA!#REF!,1,FALSE),"")</f>
        <v/>
      </c>
      <c r="D4144" s="16" t="str">
        <f>IFERROR(VLOOKUP(C4144,DATA!#REF!,2,FALSE),"")</f>
        <v/>
      </c>
    </row>
    <row r="4145" spans="3:4" s="237" customFormat="1">
      <c r="C4145" s="16" t="str">
        <f>IFERROR(VLOOKUP(DATA!#REF!,DATA!#REF!,1,FALSE),"")</f>
        <v/>
      </c>
      <c r="D4145" s="16" t="str">
        <f>IFERROR(VLOOKUP(C4145,DATA!#REF!,2,FALSE),"")</f>
        <v/>
      </c>
    </row>
    <row r="4146" spans="3:4" s="237" customFormat="1">
      <c r="C4146" s="16" t="str">
        <f>IFERROR(VLOOKUP(DATA!#REF!,DATA!#REF!,1,FALSE),"")</f>
        <v/>
      </c>
      <c r="D4146" s="16" t="str">
        <f>IFERROR(VLOOKUP(C4146,DATA!#REF!,2,FALSE),"")</f>
        <v/>
      </c>
    </row>
    <row r="4147" spans="3:4" s="237" customFormat="1">
      <c r="C4147" s="16" t="str">
        <f>IFERROR(VLOOKUP(DATA!#REF!,DATA!#REF!,1,FALSE),"")</f>
        <v/>
      </c>
      <c r="D4147" s="16" t="str">
        <f>IFERROR(VLOOKUP(C4147,DATA!#REF!,2,FALSE),"")</f>
        <v/>
      </c>
    </row>
    <row r="4148" spans="3:4" s="237" customFormat="1">
      <c r="C4148" s="16" t="str">
        <f>IFERROR(VLOOKUP(DATA!#REF!,DATA!#REF!,1,FALSE),"")</f>
        <v/>
      </c>
      <c r="D4148" s="16" t="str">
        <f>IFERROR(VLOOKUP(C4148,DATA!#REF!,2,FALSE),"")</f>
        <v/>
      </c>
    </row>
    <row r="4149" spans="3:4" s="237" customFormat="1">
      <c r="C4149" s="16" t="str">
        <f>IFERROR(VLOOKUP(DATA!#REF!,DATA!#REF!,1,FALSE),"")</f>
        <v/>
      </c>
      <c r="D4149" s="16" t="str">
        <f>IFERROR(VLOOKUP(C4149,DATA!#REF!,2,FALSE),"")</f>
        <v/>
      </c>
    </row>
    <row r="4150" spans="3:4" s="237" customFormat="1">
      <c r="C4150" s="16" t="str">
        <f>IFERROR(VLOOKUP(DATA!#REF!,DATA!#REF!,1,FALSE),"")</f>
        <v/>
      </c>
      <c r="D4150" s="16" t="str">
        <f>IFERROR(VLOOKUP(C4150,DATA!#REF!,2,FALSE),"")</f>
        <v/>
      </c>
    </row>
    <row r="4151" spans="3:4" s="237" customFormat="1">
      <c r="C4151" s="16" t="str">
        <f>IFERROR(VLOOKUP(DATA!#REF!,DATA!#REF!,1,FALSE),"")</f>
        <v/>
      </c>
      <c r="D4151" s="16" t="str">
        <f>IFERROR(VLOOKUP(C4151,DATA!#REF!,2,FALSE),"")</f>
        <v/>
      </c>
    </row>
    <row r="4152" spans="3:4" s="237" customFormat="1">
      <c r="C4152" s="16" t="str">
        <f>IFERROR(VLOOKUP(DATA!#REF!,DATA!#REF!,1,FALSE),"")</f>
        <v/>
      </c>
      <c r="D4152" s="16" t="str">
        <f>IFERROR(VLOOKUP(C4152,DATA!#REF!,2,FALSE),"")</f>
        <v/>
      </c>
    </row>
    <row r="4153" spans="3:4" s="237" customFormat="1">
      <c r="C4153" s="16" t="str">
        <f>IFERROR(VLOOKUP(DATA!#REF!,DATA!#REF!,1,FALSE),"")</f>
        <v/>
      </c>
      <c r="D4153" s="16" t="str">
        <f>IFERROR(VLOOKUP(C4153,DATA!#REF!,2,FALSE),"")</f>
        <v/>
      </c>
    </row>
    <row r="4154" spans="3:4" s="237" customFormat="1">
      <c r="C4154" s="16" t="str">
        <f>IFERROR(VLOOKUP(DATA!#REF!,DATA!#REF!,1,FALSE),"")</f>
        <v/>
      </c>
      <c r="D4154" s="16" t="str">
        <f>IFERROR(VLOOKUP(C4154,DATA!#REF!,2,FALSE),"")</f>
        <v/>
      </c>
    </row>
    <row r="4155" spans="3:4" s="237" customFormat="1">
      <c r="C4155" s="16" t="str">
        <f>IFERROR(VLOOKUP(DATA!#REF!,DATA!#REF!,1,FALSE),"")</f>
        <v/>
      </c>
      <c r="D4155" s="16" t="str">
        <f>IFERROR(VLOOKUP(C4155,DATA!#REF!,2,FALSE),"")</f>
        <v/>
      </c>
    </row>
    <row r="4156" spans="3:4" s="237" customFormat="1">
      <c r="C4156" s="16" t="str">
        <f>IFERROR(VLOOKUP(DATA!#REF!,DATA!#REF!,1,FALSE),"")</f>
        <v/>
      </c>
      <c r="D4156" s="16" t="str">
        <f>IFERROR(VLOOKUP(C4156,DATA!#REF!,2,FALSE),"")</f>
        <v/>
      </c>
    </row>
    <row r="4157" spans="3:4" s="237" customFormat="1">
      <c r="C4157" s="16" t="str">
        <f>IFERROR(VLOOKUP(DATA!#REF!,DATA!#REF!,1,FALSE),"")</f>
        <v/>
      </c>
      <c r="D4157" s="16" t="str">
        <f>IFERROR(VLOOKUP(C4157,DATA!#REF!,2,FALSE),"")</f>
        <v/>
      </c>
    </row>
    <row r="4158" spans="3:4" s="237" customFormat="1">
      <c r="C4158" s="16" t="str">
        <f>IFERROR(VLOOKUP(DATA!#REF!,DATA!#REF!,1,FALSE),"")</f>
        <v/>
      </c>
      <c r="D4158" s="16" t="str">
        <f>IFERROR(VLOOKUP(C4158,DATA!#REF!,2,FALSE),"")</f>
        <v/>
      </c>
    </row>
    <row r="4159" spans="3:4" s="237" customFormat="1">
      <c r="C4159" s="16" t="str">
        <f>IFERROR(VLOOKUP(DATA!#REF!,DATA!#REF!,1,FALSE),"")</f>
        <v/>
      </c>
      <c r="D4159" s="16" t="str">
        <f>IFERROR(VLOOKUP(C4159,DATA!#REF!,2,FALSE),"")</f>
        <v/>
      </c>
    </row>
    <row r="4160" spans="3:4" s="237" customFormat="1">
      <c r="C4160" s="16" t="str">
        <f>IFERROR(VLOOKUP(DATA!#REF!,DATA!#REF!,1,FALSE),"")</f>
        <v/>
      </c>
      <c r="D4160" s="16" t="str">
        <f>IFERROR(VLOOKUP(C4160,DATA!#REF!,2,FALSE),"")</f>
        <v/>
      </c>
    </row>
    <row r="4161" spans="3:4" s="237" customFormat="1">
      <c r="C4161" s="16" t="str">
        <f>IFERROR(VLOOKUP(DATA!#REF!,DATA!#REF!,1,FALSE),"")</f>
        <v/>
      </c>
      <c r="D4161" s="16" t="str">
        <f>IFERROR(VLOOKUP(C4161,DATA!#REF!,2,FALSE),"")</f>
        <v/>
      </c>
    </row>
    <row r="4162" spans="3:4" s="237" customFormat="1">
      <c r="C4162" s="16" t="str">
        <f>IFERROR(VLOOKUP(DATA!#REF!,DATA!#REF!,1,FALSE),"")</f>
        <v/>
      </c>
      <c r="D4162" s="16" t="str">
        <f>IFERROR(VLOOKUP(C4162,DATA!#REF!,2,FALSE),"")</f>
        <v/>
      </c>
    </row>
    <row r="4163" spans="3:4" s="237" customFormat="1">
      <c r="C4163" s="16" t="str">
        <f>IFERROR(VLOOKUP(DATA!#REF!,DATA!#REF!,1,FALSE),"")</f>
        <v/>
      </c>
      <c r="D4163" s="16" t="str">
        <f>IFERROR(VLOOKUP(C4163,DATA!#REF!,2,FALSE),"")</f>
        <v/>
      </c>
    </row>
    <row r="4164" spans="3:4" s="237" customFormat="1">
      <c r="C4164" s="16" t="str">
        <f>IFERROR(VLOOKUP(DATA!#REF!,DATA!#REF!,1,FALSE),"")</f>
        <v/>
      </c>
      <c r="D4164" s="16" t="str">
        <f>IFERROR(VLOOKUP(C4164,DATA!#REF!,2,FALSE),"")</f>
        <v/>
      </c>
    </row>
    <row r="4165" spans="3:4" s="237" customFormat="1">
      <c r="C4165" s="16" t="str">
        <f>IFERROR(VLOOKUP(DATA!#REF!,DATA!#REF!,1,FALSE),"")</f>
        <v/>
      </c>
      <c r="D4165" s="16" t="str">
        <f>IFERROR(VLOOKUP(C4165,DATA!#REF!,2,FALSE),"")</f>
        <v/>
      </c>
    </row>
    <row r="4166" spans="3:4" s="237" customFormat="1">
      <c r="C4166" s="16" t="str">
        <f>IFERROR(VLOOKUP(DATA!#REF!,DATA!#REF!,1,FALSE),"")</f>
        <v/>
      </c>
      <c r="D4166" s="16" t="str">
        <f>IFERROR(VLOOKUP(C4166,DATA!#REF!,2,FALSE),"")</f>
        <v/>
      </c>
    </row>
    <row r="4167" spans="3:4" s="237" customFormat="1">
      <c r="C4167" s="16" t="str">
        <f>IFERROR(VLOOKUP(DATA!#REF!,DATA!#REF!,1,FALSE),"")</f>
        <v/>
      </c>
      <c r="D4167" s="16" t="str">
        <f>IFERROR(VLOOKUP(C4167,DATA!#REF!,2,FALSE),"")</f>
        <v/>
      </c>
    </row>
    <row r="4168" spans="3:4" s="237" customFormat="1">
      <c r="C4168" s="16" t="str">
        <f>IFERROR(VLOOKUP(DATA!#REF!,DATA!#REF!,1,FALSE),"")</f>
        <v/>
      </c>
      <c r="D4168" s="16" t="str">
        <f>IFERROR(VLOOKUP(C4168,DATA!#REF!,2,FALSE),"")</f>
        <v/>
      </c>
    </row>
    <row r="4169" spans="3:4" s="237" customFormat="1">
      <c r="C4169" s="16" t="str">
        <f>IFERROR(VLOOKUP(DATA!#REF!,DATA!#REF!,1,FALSE),"")</f>
        <v/>
      </c>
      <c r="D4169" s="16" t="str">
        <f>IFERROR(VLOOKUP(C4169,DATA!#REF!,2,FALSE),"")</f>
        <v/>
      </c>
    </row>
    <row r="4170" spans="3:4" s="237" customFormat="1">
      <c r="C4170" s="16" t="str">
        <f>IFERROR(VLOOKUP(DATA!#REF!,DATA!#REF!,1,FALSE),"")</f>
        <v/>
      </c>
      <c r="D4170" s="16" t="str">
        <f>IFERROR(VLOOKUP(C4170,DATA!#REF!,2,FALSE),"")</f>
        <v/>
      </c>
    </row>
    <row r="4171" spans="3:4" s="237" customFormat="1">
      <c r="C4171" s="16" t="str">
        <f>IFERROR(VLOOKUP(DATA!#REF!,DATA!#REF!,1,FALSE),"")</f>
        <v/>
      </c>
      <c r="D4171" s="16" t="str">
        <f>IFERROR(VLOOKUP(C4171,DATA!#REF!,2,FALSE),"")</f>
        <v/>
      </c>
    </row>
    <row r="4172" spans="3:4" s="237" customFormat="1">
      <c r="C4172" s="16" t="str">
        <f>IFERROR(VLOOKUP(DATA!#REF!,DATA!#REF!,1,FALSE),"")</f>
        <v/>
      </c>
      <c r="D4172" s="16" t="str">
        <f>IFERROR(VLOOKUP(C4172,DATA!#REF!,2,FALSE),"")</f>
        <v/>
      </c>
    </row>
    <row r="4173" spans="3:4" s="237" customFormat="1">
      <c r="C4173" s="16" t="str">
        <f>IFERROR(VLOOKUP(DATA!#REF!,DATA!#REF!,1,FALSE),"")</f>
        <v/>
      </c>
      <c r="D4173" s="16" t="str">
        <f>IFERROR(VLOOKUP(C4173,DATA!#REF!,2,FALSE),"")</f>
        <v/>
      </c>
    </row>
    <row r="4174" spans="3:4" s="237" customFormat="1">
      <c r="C4174" s="16" t="str">
        <f>IFERROR(VLOOKUP(DATA!#REF!,DATA!#REF!,1,FALSE),"")</f>
        <v/>
      </c>
      <c r="D4174" s="16" t="str">
        <f>IFERROR(VLOOKUP(C4174,DATA!#REF!,2,FALSE),"")</f>
        <v/>
      </c>
    </row>
    <row r="4175" spans="3:4" s="237" customFormat="1">
      <c r="C4175" s="16" t="str">
        <f>IFERROR(VLOOKUP(DATA!#REF!,DATA!#REF!,1,FALSE),"")</f>
        <v/>
      </c>
      <c r="D4175" s="16" t="str">
        <f>IFERROR(VLOOKUP(C4175,DATA!#REF!,2,FALSE),"")</f>
        <v/>
      </c>
    </row>
    <row r="4176" spans="3:4" s="237" customFormat="1">
      <c r="C4176" s="16" t="str">
        <f>IFERROR(VLOOKUP(DATA!#REF!,DATA!#REF!,1,FALSE),"")</f>
        <v/>
      </c>
      <c r="D4176" s="16" t="str">
        <f>IFERROR(VLOOKUP(C4176,DATA!#REF!,2,FALSE),"")</f>
        <v/>
      </c>
    </row>
    <row r="4177" spans="3:4" s="237" customFormat="1">
      <c r="C4177" s="16" t="str">
        <f>IFERROR(VLOOKUP(DATA!#REF!,DATA!#REF!,1,FALSE),"")</f>
        <v/>
      </c>
      <c r="D4177" s="16" t="str">
        <f>IFERROR(VLOOKUP(C4177,DATA!#REF!,2,FALSE),"")</f>
        <v/>
      </c>
    </row>
    <row r="4178" spans="3:4" s="237" customFormat="1">
      <c r="C4178" s="16" t="str">
        <f>IFERROR(VLOOKUP(DATA!#REF!,DATA!#REF!,1,FALSE),"")</f>
        <v/>
      </c>
      <c r="D4178" s="16" t="str">
        <f>IFERROR(VLOOKUP(C4178,DATA!#REF!,2,FALSE),"")</f>
        <v/>
      </c>
    </row>
    <row r="4179" spans="3:4" s="237" customFormat="1">
      <c r="C4179" s="16" t="str">
        <f>IFERROR(VLOOKUP(DATA!#REF!,DATA!#REF!,1,FALSE),"")</f>
        <v/>
      </c>
      <c r="D4179" s="16" t="str">
        <f>IFERROR(VLOOKUP(C4179,DATA!#REF!,2,FALSE),"")</f>
        <v/>
      </c>
    </row>
    <row r="4180" spans="3:4" s="237" customFormat="1">
      <c r="C4180" s="16" t="str">
        <f>IFERROR(VLOOKUP(DATA!#REF!,DATA!#REF!,1,FALSE),"")</f>
        <v/>
      </c>
      <c r="D4180" s="16" t="str">
        <f>IFERROR(VLOOKUP(C4180,DATA!#REF!,2,FALSE),"")</f>
        <v/>
      </c>
    </row>
    <row r="4181" spans="3:4" s="237" customFormat="1">
      <c r="C4181" s="16" t="str">
        <f>IFERROR(VLOOKUP(DATA!#REF!,DATA!#REF!,1,FALSE),"")</f>
        <v/>
      </c>
      <c r="D4181" s="16" t="str">
        <f>IFERROR(VLOOKUP(C4181,DATA!#REF!,2,FALSE),"")</f>
        <v/>
      </c>
    </row>
    <row r="4182" spans="3:4" s="237" customFormat="1">
      <c r="C4182" s="16" t="str">
        <f>IFERROR(VLOOKUP(DATA!#REF!,DATA!#REF!,1,FALSE),"")</f>
        <v/>
      </c>
      <c r="D4182" s="16" t="str">
        <f>IFERROR(VLOOKUP(C4182,DATA!#REF!,2,FALSE),"")</f>
        <v/>
      </c>
    </row>
    <row r="4183" spans="3:4" s="237" customFormat="1">
      <c r="C4183" s="16" t="str">
        <f>IFERROR(VLOOKUP(DATA!#REF!,DATA!#REF!,1,FALSE),"")</f>
        <v/>
      </c>
      <c r="D4183" s="16" t="str">
        <f>IFERROR(VLOOKUP(C4183,DATA!#REF!,2,FALSE),"")</f>
        <v/>
      </c>
    </row>
    <row r="4184" spans="3:4" s="237" customFormat="1">
      <c r="C4184" s="16" t="str">
        <f>IFERROR(VLOOKUP(DATA!#REF!,DATA!#REF!,1,FALSE),"")</f>
        <v/>
      </c>
      <c r="D4184" s="16" t="str">
        <f>IFERROR(VLOOKUP(C4184,DATA!#REF!,2,FALSE),"")</f>
        <v/>
      </c>
    </row>
    <row r="4185" spans="3:4" s="237" customFormat="1">
      <c r="C4185" s="16" t="str">
        <f>IFERROR(VLOOKUP(DATA!#REF!,DATA!#REF!,1,FALSE),"")</f>
        <v/>
      </c>
      <c r="D4185" s="16" t="str">
        <f>IFERROR(VLOOKUP(C4185,DATA!#REF!,2,FALSE),"")</f>
        <v/>
      </c>
    </row>
    <row r="4186" spans="3:4" s="237" customFormat="1">
      <c r="C4186" s="16" t="str">
        <f>IFERROR(VLOOKUP(DATA!#REF!,DATA!#REF!,1,FALSE),"")</f>
        <v/>
      </c>
      <c r="D4186" s="16" t="str">
        <f>IFERROR(VLOOKUP(C4186,DATA!#REF!,2,FALSE),"")</f>
        <v/>
      </c>
    </row>
    <row r="4187" spans="3:4" s="237" customFormat="1">
      <c r="C4187" s="16" t="str">
        <f>IFERROR(VLOOKUP(DATA!#REF!,DATA!#REF!,1,FALSE),"")</f>
        <v/>
      </c>
      <c r="D4187" s="16" t="str">
        <f>IFERROR(VLOOKUP(C4187,DATA!#REF!,2,FALSE),"")</f>
        <v/>
      </c>
    </row>
    <row r="4188" spans="3:4" s="237" customFormat="1">
      <c r="C4188" s="16" t="str">
        <f>IFERROR(VLOOKUP(DATA!#REF!,DATA!#REF!,1,FALSE),"")</f>
        <v/>
      </c>
      <c r="D4188" s="16" t="str">
        <f>IFERROR(VLOOKUP(C4188,DATA!#REF!,2,FALSE),"")</f>
        <v/>
      </c>
    </row>
    <row r="4189" spans="3:4" s="237" customFormat="1">
      <c r="C4189" s="16" t="str">
        <f>IFERROR(VLOOKUP(DATA!#REF!,DATA!#REF!,1,FALSE),"")</f>
        <v/>
      </c>
      <c r="D4189" s="16" t="str">
        <f>IFERROR(VLOOKUP(C4189,DATA!#REF!,2,FALSE),"")</f>
        <v/>
      </c>
    </row>
    <row r="4190" spans="3:4" s="237" customFormat="1">
      <c r="C4190" s="16" t="str">
        <f>IFERROR(VLOOKUP(DATA!#REF!,DATA!#REF!,1,FALSE),"")</f>
        <v/>
      </c>
      <c r="D4190" s="16" t="str">
        <f>IFERROR(VLOOKUP(C4190,DATA!#REF!,2,FALSE),"")</f>
        <v/>
      </c>
    </row>
    <row r="4191" spans="3:4" s="237" customFormat="1">
      <c r="C4191" s="16" t="str">
        <f>IFERROR(VLOOKUP(DATA!#REF!,DATA!#REF!,1,FALSE),"")</f>
        <v/>
      </c>
      <c r="D4191" s="16" t="str">
        <f>IFERROR(VLOOKUP(C4191,DATA!#REF!,2,FALSE),"")</f>
        <v/>
      </c>
    </row>
    <row r="4192" spans="3:4" s="237" customFormat="1">
      <c r="C4192" s="16" t="str">
        <f>IFERROR(VLOOKUP(DATA!#REF!,DATA!#REF!,1,FALSE),"")</f>
        <v/>
      </c>
      <c r="D4192" s="16" t="str">
        <f>IFERROR(VLOOKUP(C4192,DATA!#REF!,2,FALSE),"")</f>
        <v/>
      </c>
    </row>
    <row r="4193" spans="3:4" s="237" customFormat="1">
      <c r="C4193" s="16" t="str">
        <f>IFERROR(VLOOKUP(DATA!#REF!,DATA!#REF!,1,FALSE),"")</f>
        <v/>
      </c>
      <c r="D4193" s="16" t="str">
        <f>IFERROR(VLOOKUP(C4193,DATA!#REF!,2,FALSE),"")</f>
        <v/>
      </c>
    </row>
    <row r="4194" spans="3:4" s="237" customFormat="1">
      <c r="C4194" s="16" t="str">
        <f>IFERROR(VLOOKUP(DATA!#REF!,DATA!#REF!,1,FALSE),"")</f>
        <v/>
      </c>
      <c r="D4194" s="16" t="str">
        <f>IFERROR(VLOOKUP(C4194,DATA!#REF!,2,FALSE),"")</f>
        <v/>
      </c>
    </row>
    <row r="4195" spans="3:4" s="237" customFormat="1">
      <c r="C4195" s="16" t="str">
        <f>IFERROR(VLOOKUP(DATA!#REF!,DATA!#REF!,1,FALSE),"")</f>
        <v/>
      </c>
      <c r="D4195" s="16" t="str">
        <f>IFERROR(VLOOKUP(C4195,DATA!#REF!,2,FALSE),"")</f>
        <v/>
      </c>
    </row>
    <row r="4196" spans="3:4" s="237" customFormat="1">
      <c r="C4196" s="16" t="str">
        <f>IFERROR(VLOOKUP(DATA!#REF!,DATA!#REF!,1,FALSE),"")</f>
        <v/>
      </c>
      <c r="D4196" s="16" t="str">
        <f>IFERROR(VLOOKUP(C4196,DATA!#REF!,2,FALSE),"")</f>
        <v/>
      </c>
    </row>
    <row r="4197" spans="3:4" s="237" customFormat="1">
      <c r="C4197" s="16" t="str">
        <f>IFERROR(VLOOKUP(DATA!#REF!,DATA!#REF!,1,FALSE),"")</f>
        <v/>
      </c>
      <c r="D4197" s="16" t="str">
        <f>IFERROR(VLOOKUP(C4197,DATA!#REF!,2,FALSE),"")</f>
        <v/>
      </c>
    </row>
    <row r="4198" spans="3:4" s="237" customFormat="1">
      <c r="C4198" s="16" t="str">
        <f>IFERROR(VLOOKUP(DATA!#REF!,DATA!#REF!,1,FALSE),"")</f>
        <v/>
      </c>
      <c r="D4198" s="16" t="str">
        <f>IFERROR(VLOOKUP(C4198,DATA!#REF!,2,FALSE),"")</f>
        <v/>
      </c>
    </row>
    <row r="4199" spans="3:4" s="237" customFormat="1">
      <c r="C4199" s="16" t="str">
        <f>IFERROR(VLOOKUP(DATA!#REF!,DATA!#REF!,1,FALSE),"")</f>
        <v/>
      </c>
      <c r="D4199" s="16" t="str">
        <f>IFERROR(VLOOKUP(C4199,DATA!#REF!,2,FALSE),"")</f>
        <v/>
      </c>
    </row>
    <row r="4200" spans="3:4" s="237" customFormat="1">
      <c r="C4200" s="16" t="str">
        <f>IFERROR(VLOOKUP(DATA!#REF!,DATA!#REF!,1,FALSE),"")</f>
        <v/>
      </c>
      <c r="D4200" s="16" t="str">
        <f>IFERROR(VLOOKUP(C4200,DATA!#REF!,2,FALSE),"")</f>
        <v/>
      </c>
    </row>
    <row r="4201" spans="3:4" s="237" customFormat="1">
      <c r="C4201" s="16" t="str">
        <f>IFERROR(VLOOKUP(DATA!#REF!,DATA!#REF!,1,FALSE),"")</f>
        <v/>
      </c>
      <c r="D4201" s="16" t="str">
        <f>IFERROR(VLOOKUP(C4201,DATA!#REF!,2,FALSE),"")</f>
        <v/>
      </c>
    </row>
    <row r="4202" spans="3:4" s="237" customFormat="1">
      <c r="C4202" s="16" t="str">
        <f>IFERROR(VLOOKUP(DATA!#REF!,DATA!#REF!,1,FALSE),"")</f>
        <v/>
      </c>
      <c r="D4202" s="16" t="str">
        <f>IFERROR(VLOOKUP(C4202,DATA!#REF!,2,FALSE),"")</f>
        <v/>
      </c>
    </row>
    <row r="4203" spans="3:4" s="237" customFormat="1">
      <c r="C4203" s="16" t="str">
        <f>IFERROR(VLOOKUP(DATA!#REF!,DATA!#REF!,1,FALSE),"")</f>
        <v/>
      </c>
      <c r="D4203" s="16" t="str">
        <f>IFERROR(VLOOKUP(C4203,DATA!#REF!,2,FALSE),"")</f>
        <v/>
      </c>
    </row>
    <row r="4204" spans="3:4" s="237" customFormat="1">
      <c r="C4204" s="16" t="str">
        <f>IFERROR(VLOOKUP(DATA!#REF!,DATA!#REF!,1,FALSE),"")</f>
        <v/>
      </c>
      <c r="D4204" s="16" t="str">
        <f>IFERROR(VLOOKUP(C4204,DATA!#REF!,2,FALSE),"")</f>
        <v/>
      </c>
    </row>
    <row r="4205" spans="3:4" s="237" customFormat="1">
      <c r="C4205" s="16" t="str">
        <f>IFERROR(VLOOKUP(DATA!#REF!,DATA!#REF!,1,FALSE),"")</f>
        <v/>
      </c>
      <c r="D4205" s="16" t="str">
        <f>IFERROR(VLOOKUP(C4205,DATA!#REF!,2,FALSE),"")</f>
        <v/>
      </c>
    </row>
    <row r="4206" spans="3:4" s="237" customFormat="1">
      <c r="C4206" s="16" t="str">
        <f>IFERROR(VLOOKUP(DATA!#REF!,DATA!#REF!,1,FALSE),"")</f>
        <v/>
      </c>
      <c r="D4206" s="16" t="str">
        <f>IFERROR(VLOOKUP(C4206,DATA!#REF!,2,FALSE),"")</f>
        <v/>
      </c>
    </row>
    <row r="4207" spans="3:4" s="237" customFormat="1">
      <c r="C4207" s="16" t="str">
        <f>IFERROR(VLOOKUP(DATA!#REF!,DATA!#REF!,1,FALSE),"")</f>
        <v/>
      </c>
      <c r="D4207" s="16" t="str">
        <f>IFERROR(VLOOKUP(C4207,DATA!#REF!,2,FALSE),"")</f>
        <v/>
      </c>
    </row>
    <row r="4208" spans="3:4" s="237" customFormat="1">
      <c r="C4208" s="16" t="str">
        <f>IFERROR(VLOOKUP(DATA!#REF!,DATA!#REF!,1,FALSE),"")</f>
        <v/>
      </c>
      <c r="D4208" s="16" t="str">
        <f>IFERROR(VLOOKUP(C4208,DATA!#REF!,2,FALSE),"")</f>
        <v/>
      </c>
    </row>
    <row r="4209" spans="3:4" s="237" customFormat="1">
      <c r="C4209" s="16" t="str">
        <f>IFERROR(VLOOKUP(DATA!#REF!,DATA!#REF!,1,FALSE),"")</f>
        <v/>
      </c>
      <c r="D4209" s="16" t="str">
        <f>IFERROR(VLOOKUP(C4209,DATA!#REF!,2,FALSE),"")</f>
        <v/>
      </c>
    </row>
    <row r="4210" spans="3:4" s="237" customFormat="1">
      <c r="C4210" s="16" t="str">
        <f>IFERROR(VLOOKUP(DATA!#REF!,DATA!#REF!,1,FALSE),"")</f>
        <v/>
      </c>
      <c r="D4210" s="16" t="str">
        <f>IFERROR(VLOOKUP(C4210,DATA!#REF!,2,FALSE),"")</f>
        <v/>
      </c>
    </row>
    <row r="4211" spans="3:4" s="237" customFormat="1">
      <c r="C4211" s="16" t="str">
        <f>IFERROR(VLOOKUP(DATA!#REF!,DATA!#REF!,1,FALSE),"")</f>
        <v/>
      </c>
      <c r="D4211" s="16" t="str">
        <f>IFERROR(VLOOKUP(C4211,DATA!#REF!,2,FALSE),"")</f>
        <v/>
      </c>
    </row>
    <row r="4212" spans="3:4" s="237" customFormat="1">
      <c r="C4212" s="16" t="str">
        <f>IFERROR(VLOOKUP(DATA!#REF!,DATA!#REF!,1,FALSE),"")</f>
        <v/>
      </c>
      <c r="D4212" s="16" t="str">
        <f>IFERROR(VLOOKUP(C4212,DATA!#REF!,2,FALSE),"")</f>
        <v/>
      </c>
    </row>
    <row r="4213" spans="3:4" s="237" customFormat="1">
      <c r="C4213" s="16" t="str">
        <f>IFERROR(VLOOKUP(DATA!#REF!,DATA!#REF!,1,FALSE),"")</f>
        <v/>
      </c>
      <c r="D4213" s="16" t="str">
        <f>IFERROR(VLOOKUP(C4213,DATA!#REF!,2,FALSE),"")</f>
        <v/>
      </c>
    </row>
    <row r="4214" spans="3:4" s="237" customFormat="1">
      <c r="C4214" s="16" t="str">
        <f>IFERROR(VLOOKUP(DATA!#REF!,DATA!#REF!,1,FALSE),"")</f>
        <v/>
      </c>
      <c r="D4214" s="16" t="str">
        <f>IFERROR(VLOOKUP(C4214,DATA!#REF!,2,FALSE),"")</f>
        <v/>
      </c>
    </row>
    <row r="4215" spans="3:4" s="237" customFormat="1">
      <c r="C4215" s="16" t="str">
        <f>IFERROR(VLOOKUP(DATA!#REF!,DATA!#REF!,1,FALSE),"")</f>
        <v/>
      </c>
      <c r="D4215" s="16" t="str">
        <f>IFERROR(VLOOKUP(C4215,DATA!#REF!,2,FALSE),"")</f>
        <v/>
      </c>
    </row>
    <row r="4216" spans="3:4" s="237" customFormat="1">
      <c r="C4216" s="16" t="str">
        <f>IFERROR(VLOOKUP(DATA!#REF!,DATA!#REF!,1,FALSE),"")</f>
        <v/>
      </c>
      <c r="D4216" s="16" t="str">
        <f>IFERROR(VLOOKUP(C4216,DATA!#REF!,2,FALSE),"")</f>
        <v/>
      </c>
    </row>
    <row r="4217" spans="3:4" s="237" customFormat="1">
      <c r="C4217" s="16" t="str">
        <f>IFERROR(VLOOKUP(DATA!#REF!,DATA!#REF!,1,FALSE),"")</f>
        <v/>
      </c>
      <c r="D4217" s="16" t="str">
        <f>IFERROR(VLOOKUP(C4217,DATA!#REF!,2,FALSE),"")</f>
        <v/>
      </c>
    </row>
    <row r="4218" spans="3:4" s="237" customFormat="1">
      <c r="C4218" s="16" t="str">
        <f>IFERROR(VLOOKUP(DATA!#REF!,DATA!#REF!,1,FALSE),"")</f>
        <v/>
      </c>
      <c r="D4218" s="16" t="str">
        <f>IFERROR(VLOOKUP(C4218,DATA!#REF!,2,FALSE),"")</f>
        <v/>
      </c>
    </row>
    <row r="4219" spans="3:4" s="237" customFormat="1">
      <c r="C4219" s="16" t="str">
        <f>IFERROR(VLOOKUP(DATA!#REF!,DATA!#REF!,1,FALSE),"")</f>
        <v/>
      </c>
      <c r="D4219" s="16" t="str">
        <f>IFERROR(VLOOKUP(C4219,DATA!#REF!,2,FALSE),"")</f>
        <v/>
      </c>
    </row>
    <row r="4220" spans="3:4" s="237" customFormat="1">
      <c r="C4220" s="16" t="str">
        <f>IFERROR(VLOOKUP(DATA!#REF!,DATA!#REF!,1,FALSE),"")</f>
        <v/>
      </c>
      <c r="D4220" s="16" t="str">
        <f>IFERROR(VLOOKUP(C4220,DATA!#REF!,2,FALSE),"")</f>
        <v/>
      </c>
    </row>
    <row r="4221" spans="3:4" s="237" customFormat="1">
      <c r="C4221" s="16" t="str">
        <f>IFERROR(VLOOKUP(DATA!#REF!,DATA!#REF!,1,FALSE),"")</f>
        <v/>
      </c>
      <c r="D4221" s="16" t="str">
        <f>IFERROR(VLOOKUP(C4221,DATA!#REF!,2,FALSE),"")</f>
        <v/>
      </c>
    </row>
    <row r="4222" spans="3:4" s="237" customFormat="1">
      <c r="C4222" s="16" t="str">
        <f>IFERROR(VLOOKUP(DATA!#REF!,DATA!#REF!,1,FALSE),"")</f>
        <v/>
      </c>
      <c r="D4222" s="16" t="str">
        <f>IFERROR(VLOOKUP(C4222,DATA!#REF!,2,FALSE),"")</f>
        <v/>
      </c>
    </row>
    <row r="4223" spans="3:4" s="237" customFormat="1">
      <c r="C4223" s="16" t="str">
        <f>IFERROR(VLOOKUP(DATA!#REF!,DATA!#REF!,1,FALSE),"")</f>
        <v/>
      </c>
      <c r="D4223" s="16" t="str">
        <f>IFERROR(VLOOKUP(C4223,DATA!#REF!,2,FALSE),"")</f>
        <v/>
      </c>
    </row>
    <row r="4224" spans="3:4" s="237" customFormat="1">
      <c r="C4224" s="16" t="str">
        <f>IFERROR(VLOOKUP(DATA!#REF!,DATA!#REF!,1,FALSE),"")</f>
        <v/>
      </c>
      <c r="D4224" s="16" t="str">
        <f>IFERROR(VLOOKUP(C4224,DATA!#REF!,2,FALSE),"")</f>
        <v/>
      </c>
    </row>
    <row r="4225" spans="3:4" s="237" customFormat="1">
      <c r="C4225" s="16" t="str">
        <f>IFERROR(VLOOKUP(DATA!#REF!,DATA!#REF!,1,FALSE),"")</f>
        <v/>
      </c>
      <c r="D4225" s="16" t="str">
        <f>IFERROR(VLOOKUP(C4225,DATA!#REF!,2,FALSE),"")</f>
        <v/>
      </c>
    </row>
    <row r="4226" spans="3:4" s="237" customFormat="1">
      <c r="C4226" s="16" t="str">
        <f>IFERROR(VLOOKUP(DATA!#REF!,DATA!#REF!,1,FALSE),"")</f>
        <v/>
      </c>
      <c r="D4226" s="16" t="str">
        <f>IFERROR(VLOOKUP(C4226,DATA!#REF!,2,FALSE),"")</f>
        <v/>
      </c>
    </row>
    <row r="4227" spans="3:4" s="237" customFormat="1">
      <c r="C4227" s="16" t="str">
        <f>IFERROR(VLOOKUP(DATA!#REF!,DATA!#REF!,1,FALSE),"")</f>
        <v/>
      </c>
      <c r="D4227" s="16" t="str">
        <f>IFERROR(VLOOKUP(C4227,DATA!#REF!,2,FALSE),"")</f>
        <v/>
      </c>
    </row>
    <row r="4228" spans="3:4" s="237" customFormat="1">
      <c r="C4228" s="16" t="str">
        <f>IFERROR(VLOOKUP(DATA!#REF!,DATA!#REF!,1,FALSE),"")</f>
        <v/>
      </c>
      <c r="D4228" s="16" t="str">
        <f>IFERROR(VLOOKUP(C4228,DATA!#REF!,2,FALSE),"")</f>
        <v/>
      </c>
    </row>
    <row r="4229" spans="3:4" s="237" customFormat="1">
      <c r="C4229" s="16" t="str">
        <f>IFERROR(VLOOKUP(DATA!#REF!,DATA!#REF!,1,FALSE),"")</f>
        <v/>
      </c>
      <c r="D4229" s="16" t="str">
        <f>IFERROR(VLOOKUP(C4229,DATA!#REF!,2,FALSE),"")</f>
        <v/>
      </c>
    </row>
    <row r="4230" spans="3:4" s="237" customFormat="1">
      <c r="C4230" s="16" t="str">
        <f>IFERROR(VLOOKUP(DATA!#REF!,DATA!#REF!,1,FALSE),"")</f>
        <v/>
      </c>
      <c r="D4230" s="16" t="str">
        <f>IFERROR(VLOOKUP(C4230,DATA!#REF!,2,FALSE),"")</f>
        <v/>
      </c>
    </row>
    <row r="4231" spans="3:4" s="237" customFormat="1">
      <c r="C4231" s="16" t="str">
        <f>IFERROR(VLOOKUP(DATA!#REF!,DATA!#REF!,1,FALSE),"")</f>
        <v/>
      </c>
      <c r="D4231" s="16" t="str">
        <f>IFERROR(VLOOKUP(C4231,DATA!#REF!,2,FALSE),"")</f>
        <v/>
      </c>
    </row>
    <row r="4232" spans="3:4" s="237" customFormat="1">
      <c r="C4232" s="16" t="str">
        <f>IFERROR(VLOOKUP(DATA!#REF!,DATA!#REF!,1,FALSE),"")</f>
        <v/>
      </c>
      <c r="D4232" s="16" t="str">
        <f>IFERROR(VLOOKUP(C4232,DATA!#REF!,2,FALSE),"")</f>
        <v/>
      </c>
    </row>
    <row r="4233" spans="3:4" s="237" customFormat="1">
      <c r="C4233" s="16" t="str">
        <f>IFERROR(VLOOKUP(DATA!#REF!,DATA!#REF!,1,FALSE),"")</f>
        <v/>
      </c>
      <c r="D4233" s="16" t="str">
        <f>IFERROR(VLOOKUP(C4233,DATA!#REF!,2,FALSE),"")</f>
        <v/>
      </c>
    </row>
    <row r="4234" spans="3:4" s="237" customFormat="1">
      <c r="C4234" s="16" t="str">
        <f>IFERROR(VLOOKUP(DATA!#REF!,DATA!#REF!,1,FALSE),"")</f>
        <v/>
      </c>
      <c r="D4234" s="16" t="str">
        <f>IFERROR(VLOOKUP(C4234,DATA!#REF!,2,FALSE),"")</f>
        <v/>
      </c>
    </row>
    <row r="4235" spans="3:4" s="237" customFormat="1">
      <c r="C4235" s="16" t="str">
        <f>IFERROR(VLOOKUP(DATA!#REF!,DATA!#REF!,1,FALSE),"")</f>
        <v/>
      </c>
      <c r="D4235" s="16" t="str">
        <f>IFERROR(VLOOKUP(C4235,DATA!#REF!,2,FALSE),"")</f>
        <v/>
      </c>
    </row>
    <row r="4236" spans="3:4" s="237" customFormat="1">
      <c r="C4236" s="16" t="str">
        <f>IFERROR(VLOOKUP(DATA!#REF!,DATA!#REF!,1,FALSE),"")</f>
        <v/>
      </c>
      <c r="D4236" s="16" t="str">
        <f>IFERROR(VLOOKUP(C4236,DATA!#REF!,2,FALSE),"")</f>
        <v/>
      </c>
    </row>
    <row r="4237" spans="3:4" s="237" customFormat="1">
      <c r="C4237" s="16" t="str">
        <f>IFERROR(VLOOKUP(DATA!#REF!,DATA!#REF!,1,FALSE),"")</f>
        <v/>
      </c>
      <c r="D4237" s="16" t="str">
        <f>IFERROR(VLOOKUP(C4237,DATA!#REF!,2,FALSE),"")</f>
        <v/>
      </c>
    </row>
    <row r="4238" spans="3:4" s="237" customFormat="1">
      <c r="C4238" s="16" t="str">
        <f>IFERROR(VLOOKUP(DATA!#REF!,DATA!#REF!,1,FALSE),"")</f>
        <v/>
      </c>
      <c r="D4238" s="16" t="str">
        <f>IFERROR(VLOOKUP(C4238,DATA!#REF!,2,FALSE),"")</f>
        <v/>
      </c>
    </row>
    <row r="4239" spans="3:4" s="237" customFormat="1">
      <c r="C4239" s="16" t="str">
        <f>IFERROR(VLOOKUP(DATA!#REF!,DATA!#REF!,1,FALSE),"")</f>
        <v/>
      </c>
      <c r="D4239" s="16" t="str">
        <f>IFERROR(VLOOKUP(C4239,DATA!#REF!,2,FALSE),"")</f>
        <v/>
      </c>
    </row>
    <row r="4240" spans="3:4" s="237" customFormat="1">
      <c r="C4240" s="16" t="str">
        <f>IFERROR(VLOOKUP(DATA!#REF!,DATA!#REF!,1,FALSE),"")</f>
        <v/>
      </c>
      <c r="D4240" s="16" t="str">
        <f>IFERROR(VLOOKUP(C4240,DATA!#REF!,2,FALSE),"")</f>
        <v/>
      </c>
    </row>
    <row r="4241" spans="3:4" s="237" customFormat="1">
      <c r="C4241" s="16" t="str">
        <f>IFERROR(VLOOKUP(DATA!#REF!,DATA!#REF!,1,FALSE),"")</f>
        <v/>
      </c>
      <c r="D4241" s="16" t="str">
        <f>IFERROR(VLOOKUP(C4241,DATA!#REF!,2,FALSE),"")</f>
        <v/>
      </c>
    </row>
    <row r="4242" spans="3:4" s="237" customFormat="1">
      <c r="C4242" s="16" t="str">
        <f>IFERROR(VLOOKUP(DATA!#REF!,DATA!#REF!,1,FALSE),"")</f>
        <v/>
      </c>
      <c r="D4242" s="16" t="str">
        <f>IFERROR(VLOOKUP(C4242,DATA!#REF!,2,FALSE),"")</f>
        <v/>
      </c>
    </row>
    <row r="4243" spans="3:4" s="237" customFormat="1">
      <c r="C4243" s="16" t="str">
        <f>IFERROR(VLOOKUP(DATA!#REF!,DATA!#REF!,1,FALSE),"")</f>
        <v/>
      </c>
      <c r="D4243" s="16" t="str">
        <f>IFERROR(VLOOKUP(C4243,DATA!#REF!,2,FALSE),"")</f>
        <v/>
      </c>
    </row>
    <row r="4244" spans="3:4" s="237" customFormat="1">
      <c r="C4244" s="16" t="str">
        <f>IFERROR(VLOOKUP(DATA!#REF!,DATA!#REF!,1,FALSE),"")</f>
        <v/>
      </c>
      <c r="D4244" s="16" t="str">
        <f>IFERROR(VLOOKUP(C4244,DATA!#REF!,2,FALSE),"")</f>
        <v/>
      </c>
    </row>
    <row r="4245" spans="3:4" s="237" customFormat="1">
      <c r="C4245" s="16" t="str">
        <f>IFERROR(VLOOKUP(DATA!#REF!,DATA!#REF!,1,FALSE),"")</f>
        <v/>
      </c>
      <c r="D4245" s="16" t="str">
        <f>IFERROR(VLOOKUP(C4245,DATA!#REF!,2,FALSE),"")</f>
        <v/>
      </c>
    </row>
    <row r="4246" spans="3:4" s="237" customFormat="1">
      <c r="C4246" s="16" t="str">
        <f>IFERROR(VLOOKUP(DATA!#REF!,DATA!#REF!,1,FALSE),"")</f>
        <v/>
      </c>
      <c r="D4246" s="16" t="str">
        <f>IFERROR(VLOOKUP(C4246,DATA!#REF!,2,FALSE),"")</f>
        <v/>
      </c>
    </row>
    <row r="4247" spans="3:4" s="237" customFormat="1">
      <c r="C4247" s="16" t="str">
        <f>IFERROR(VLOOKUP(DATA!#REF!,DATA!#REF!,1,FALSE),"")</f>
        <v/>
      </c>
      <c r="D4247" s="16" t="str">
        <f>IFERROR(VLOOKUP(C4247,DATA!#REF!,2,FALSE),"")</f>
        <v/>
      </c>
    </row>
    <row r="4248" spans="3:4" s="237" customFormat="1">
      <c r="C4248" s="16" t="str">
        <f>IFERROR(VLOOKUP(DATA!#REF!,DATA!#REF!,1,FALSE),"")</f>
        <v/>
      </c>
      <c r="D4248" s="16" t="str">
        <f>IFERROR(VLOOKUP(C4248,DATA!#REF!,2,FALSE),"")</f>
        <v/>
      </c>
    </row>
    <row r="4249" spans="3:4" s="237" customFormat="1">
      <c r="C4249" s="16" t="str">
        <f>IFERROR(VLOOKUP(DATA!#REF!,DATA!#REF!,1,FALSE),"")</f>
        <v/>
      </c>
      <c r="D4249" s="16" t="str">
        <f>IFERROR(VLOOKUP(C4249,DATA!#REF!,2,FALSE),"")</f>
        <v/>
      </c>
    </row>
    <row r="4250" spans="3:4" s="237" customFormat="1">
      <c r="C4250" s="16" t="str">
        <f>IFERROR(VLOOKUP(DATA!#REF!,DATA!#REF!,1,FALSE),"")</f>
        <v/>
      </c>
      <c r="D4250" s="16" t="str">
        <f>IFERROR(VLOOKUP(C4250,DATA!#REF!,2,FALSE),"")</f>
        <v/>
      </c>
    </row>
    <row r="4251" spans="3:4" s="237" customFormat="1">
      <c r="C4251" s="16" t="str">
        <f>IFERROR(VLOOKUP(DATA!#REF!,DATA!#REF!,1,FALSE),"")</f>
        <v/>
      </c>
      <c r="D4251" s="16" t="str">
        <f>IFERROR(VLOOKUP(C4251,DATA!#REF!,2,FALSE),"")</f>
        <v/>
      </c>
    </row>
    <row r="4252" spans="3:4" s="237" customFormat="1">
      <c r="C4252" s="16" t="str">
        <f>IFERROR(VLOOKUP(DATA!#REF!,DATA!#REF!,1,FALSE),"")</f>
        <v/>
      </c>
      <c r="D4252" s="16" t="str">
        <f>IFERROR(VLOOKUP(C4252,DATA!#REF!,2,FALSE),"")</f>
        <v/>
      </c>
    </row>
    <row r="4253" spans="3:4" s="237" customFormat="1">
      <c r="C4253" s="16" t="str">
        <f>IFERROR(VLOOKUP(DATA!#REF!,DATA!#REF!,1,FALSE),"")</f>
        <v/>
      </c>
      <c r="D4253" s="16" t="str">
        <f>IFERROR(VLOOKUP(C4253,DATA!#REF!,2,FALSE),"")</f>
        <v/>
      </c>
    </row>
    <row r="4254" spans="3:4" s="237" customFormat="1">
      <c r="C4254" s="16" t="str">
        <f>IFERROR(VLOOKUP(DATA!#REF!,DATA!#REF!,1,FALSE),"")</f>
        <v/>
      </c>
      <c r="D4254" s="16" t="str">
        <f>IFERROR(VLOOKUP(C4254,DATA!#REF!,2,FALSE),"")</f>
        <v/>
      </c>
    </row>
    <row r="4255" spans="3:4" s="237" customFormat="1">
      <c r="C4255" s="16" t="str">
        <f>IFERROR(VLOOKUP(DATA!#REF!,DATA!#REF!,1,FALSE),"")</f>
        <v/>
      </c>
      <c r="D4255" s="16" t="str">
        <f>IFERROR(VLOOKUP(C4255,DATA!#REF!,2,FALSE),"")</f>
        <v/>
      </c>
    </row>
    <row r="4256" spans="3:4" s="237" customFormat="1">
      <c r="C4256" s="16" t="str">
        <f>IFERROR(VLOOKUP(DATA!#REF!,DATA!#REF!,1,FALSE),"")</f>
        <v/>
      </c>
      <c r="D4256" s="16" t="str">
        <f>IFERROR(VLOOKUP(C4256,DATA!#REF!,2,FALSE),"")</f>
        <v/>
      </c>
    </row>
    <row r="4257" spans="3:4" s="237" customFormat="1">
      <c r="C4257" s="16" t="str">
        <f>IFERROR(VLOOKUP(DATA!#REF!,DATA!#REF!,1,FALSE),"")</f>
        <v/>
      </c>
      <c r="D4257" s="16" t="str">
        <f>IFERROR(VLOOKUP(C4257,DATA!#REF!,2,FALSE),"")</f>
        <v/>
      </c>
    </row>
    <row r="4258" spans="3:4" s="237" customFormat="1">
      <c r="C4258" s="16" t="str">
        <f>IFERROR(VLOOKUP(DATA!#REF!,DATA!#REF!,1,FALSE),"")</f>
        <v/>
      </c>
      <c r="D4258" s="16" t="str">
        <f>IFERROR(VLOOKUP(C4258,DATA!#REF!,2,FALSE),"")</f>
        <v/>
      </c>
    </row>
    <row r="4259" spans="3:4" s="237" customFormat="1">
      <c r="C4259" s="16" t="str">
        <f>IFERROR(VLOOKUP(DATA!#REF!,DATA!#REF!,1,FALSE),"")</f>
        <v/>
      </c>
      <c r="D4259" s="16" t="str">
        <f>IFERROR(VLOOKUP(C4259,DATA!#REF!,2,FALSE),"")</f>
        <v/>
      </c>
    </row>
    <row r="4260" spans="3:4" s="237" customFormat="1">
      <c r="C4260" s="16" t="str">
        <f>IFERROR(VLOOKUP(DATA!#REF!,DATA!#REF!,1,FALSE),"")</f>
        <v/>
      </c>
      <c r="D4260" s="16" t="str">
        <f>IFERROR(VLOOKUP(C4260,DATA!#REF!,2,FALSE),"")</f>
        <v/>
      </c>
    </row>
    <row r="4261" spans="3:4" s="237" customFormat="1">
      <c r="C4261" s="16" t="str">
        <f>IFERROR(VLOOKUP(DATA!#REF!,DATA!#REF!,1,FALSE),"")</f>
        <v/>
      </c>
      <c r="D4261" s="16" t="str">
        <f>IFERROR(VLOOKUP(C4261,DATA!#REF!,2,FALSE),"")</f>
        <v/>
      </c>
    </row>
    <row r="4262" spans="3:4" s="237" customFormat="1">
      <c r="C4262" s="16" t="str">
        <f>IFERROR(VLOOKUP(DATA!#REF!,DATA!#REF!,1,FALSE),"")</f>
        <v/>
      </c>
      <c r="D4262" s="16" t="str">
        <f>IFERROR(VLOOKUP(C4262,DATA!#REF!,2,FALSE),"")</f>
        <v/>
      </c>
    </row>
    <row r="4263" spans="3:4" s="237" customFormat="1">
      <c r="C4263" s="16" t="str">
        <f>IFERROR(VLOOKUP(DATA!#REF!,DATA!#REF!,1,FALSE),"")</f>
        <v/>
      </c>
      <c r="D4263" s="16" t="str">
        <f>IFERROR(VLOOKUP(C4263,DATA!#REF!,2,FALSE),"")</f>
        <v/>
      </c>
    </row>
    <row r="4264" spans="3:4" s="237" customFormat="1">
      <c r="C4264" s="16" t="str">
        <f>IFERROR(VLOOKUP(DATA!#REF!,DATA!#REF!,1,FALSE),"")</f>
        <v/>
      </c>
      <c r="D4264" s="16" t="str">
        <f>IFERROR(VLOOKUP(C4264,DATA!#REF!,2,FALSE),"")</f>
        <v/>
      </c>
    </row>
    <row r="4265" spans="3:4" s="237" customFormat="1">
      <c r="C4265" s="16" t="str">
        <f>IFERROR(VLOOKUP(DATA!#REF!,DATA!#REF!,1,FALSE),"")</f>
        <v/>
      </c>
      <c r="D4265" s="16" t="str">
        <f>IFERROR(VLOOKUP(C4265,DATA!#REF!,2,FALSE),"")</f>
        <v/>
      </c>
    </row>
    <row r="4266" spans="3:4" s="237" customFormat="1">
      <c r="C4266" s="16" t="str">
        <f>IFERROR(VLOOKUP(DATA!#REF!,DATA!#REF!,1,FALSE),"")</f>
        <v/>
      </c>
      <c r="D4266" s="16" t="str">
        <f>IFERROR(VLOOKUP(C4266,DATA!#REF!,2,FALSE),"")</f>
        <v/>
      </c>
    </row>
    <row r="4267" spans="3:4" s="237" customFormat="1">
      <c r="C4267" s="16" t="str">
        <f>IFERROR(VLOOKUP(DATA!#REF!,DATA!#REF!,1,FALSE),"")</f>
        <v/>
      </c>
      <c r="D4267" s="16" t="str">
        <f>IFERROR(VLOOKUP(C4267,DATA!#REF!,2,FALSE),"")</f>
        <v/>
      </c>
    </row>
    <row r="4268" spans="3:4" s="237" customFormat="1">
      <c r="C4268" s="16" t="str">
        <f>IFERROR(VLOOKUP(DATA!#REF!,DATA!#REF!,1,FALSE),"")</f>
        <v/>
      </c>
      <c r="D4268" s="16" t="str">
        <f>IFERROR(VLOOKUP(C4268,DATA!#REF!,2,FALSE),"")</f>
        <v/>
      </c>
    </row>
    <row r="4269" spans="3:4" s="237" customFormat="1">
      <c r="C4269" s="16" t="str">
        <f>IFERROR(VLOOKUP(DATA!#REF!,DATA!#REF!,1,FALSE),"")</f>
        <v/>
      </c>
      <c r="D4269" s="16" t="str">
        <f>IFERROR(VLOOKUP(C4269,DATA!#REF!,2,FALSE),"")</f>
        <v/>
      </c>
    </row>
    <row r="4270" spans="3:4" s="237" customFormat="1">
      <c r="C4270" s="16" t="str">
        <f>IFERROR(VLOOKUP(DATA!#REF!,DATA!#REF!,1,FALSE),"")</f>
        <v/>
      </c>
      <c r="D4270" s="16" t="str">
        <f>IFERROR(VLOOKUP(C4270,DATA!#REF!,2,FALSE),"")</f>
        <v/>
      </c>
    </row>
    <row r="4271" spans="3:4" s="237" customFormat="1">
      <c r="C4271" s="16" t="str">
        <f>IFERROR(VLOOKUP(DATA!#REF!,DATA!#REF!,1,FALSE),"")</f>
        <v/>
      </c>
      <c r="D4271" s="16" t="str">
        <f>IFERROR(VLOOKUP(C4271,DATA!#REF!,2,FALSE),"")</f>
        <v/>
      </c>
    </row>
    <row r="4272" spans="3:4" s="237" customFormat="1">
      <c r="C4272" s="16" t="str">
        <f>IFERROR(VLOOKUP(DATA!#REF!,DATA!#REF!,1,FALSE),"")</f>
        <v/>
      </c>
      <c r="D4272" s="16" t="str">
        <f>IFERROR(VLOOKUP(C4272,DATA!#REF!,2,FALSE),"")</f>
        <v/>
      </c>
    </row>
    <row r="4273" spans="3:4" s="237" customFormat="1">
      <c r="C4273" s="16" t="str">
        <f>IFERROR(VLOOKUP(DATA!#REF!,DATA!#REF!,1,FALSE),"")</f>
        <v/>
      </c>
      <c r="D4273" s="16" t="str">
        <f>IFERROR(VLOOKUP(C4273,DATA!#REF!,2,FALSE),"")</f>
        <v/>
      </c>
    </row>
    <row r="4274" spans="3:4" s="237" customFormat="1">
      <c r="C4274" s="16" t="str">
        <f>IFERROR(VLOOKUP(DATA!#REF!,DATA!#REF!,1,FALSE),"")</f>
        <v/>
      </c>
      <c r="D4274" s="16" t="str">
        <f>IFERROR(VLOOKUP(C4274,DATA!#REF!,2,FALSE),"")</f>
        <v/>
      </c>
    </row>
    <row r="4275" spans="3:4" s="237" customFormat="1">
      <c r="C4275" s="16" t="str">
        <f>IFERROR(VLOOKUP(DATA!#REF!,DATA!#REF!,1,FALSE),"")</f>
        <v/>
      </c>
      <c r="D4275" s="16" t="str">
        <f>IFERROR(VLOOKUP(C4275,DATA!#REF!,2,FALSE),"")</f>
        <v/>
      </c>
    </row>
    <row r="4276" spans="3:4" s="237" customFormat="1">
      <c r="C4276" s="16" t="str">
        <f>IFERROR(VLOOKUP(DATA!#REF!,DATA!#REF!,1,FALSE),"")</f>
        <v/>
      </c>
      <c r="D4276" s="16" t="str">
        <f>IFERROR(VLOOKUP(C4276,DATA!#REF!,2,FALSE),"")</f>
        <v/>
      </c>
    </row>
    <row r="4277" spans="3:4" s="237" customFormat="1">
      <c r="C4277" s="16" t="str">
        <f>IFERROR(VLOOKUP(DATA!#REF!,DATA!#REF!,1,FALSE),"")</f>
        <v/>
      </c>
      <c r="D4277" s="16" t="str">
        <f>IFERROR(VLOOKUP(C4277,DATA!#REF!,2,FALSE),"")</f>
        <v/>
      </c>
    </row>
    <row r="4278" spans="3:4" s="237" customFormat="1">
      <c r="C4278" s="16" t="str">
        <f>IFERROR(VLOOKUP(DATA!#REF!,DATA!#REF!,1,FALSE),"")</f>
        <v/>
      </c>
      <c r="D4278" s="16" t="str">
        <f>IFERROR(VLOOKUP(C4278,DATA!#REF!,2,FALSE),"")</f>
        <v/>
      </c>
    </row>
    <row r="4279" spans="3:4" s="237" customFormat="1">
      <c r="C4279" s="16" t="str">
        <f>IFERROR(VLOOKUP(DATA!#REF!,DATA!#REF!,1,FALSE),"")</f>
        <v/>
      </c>
      <c r="D4279" s="16" t="str">
        <f>IFERROR(VLOOKUP(C4279,DATA!#REF!,2,FALSE),"")</f>
        <v/>
      </c>
    </row>
    <row r="4280" spans="3:4" s="237" customFormat="1">
      <c r="C4280" s="16" t="str">
        <f>IFERROR(VLOOKUP(DATA!#REF!,DATA!#REF!,1,FALSE),"")</f>
        <v/>
      </c>
      <c r="D4280" s="16" t="str">
        <f>IFERROR(VLOOKUP(C4280,DATA!#REF!,2,FALSE),"")</f>
        <v/>
      </c>
    </row>
    <row r="4281" spans="3:4" s="237" customFormat="1">
      <c r="C4281" s="16" t="str">
        <f>IFERROR(VLOOKUP(DATA!#REF!,DATA!#REF!,1,FALSE),"")</f>
        <v/>
      </c>
      <c r="D4281" s="16" t="str">
        <f>IFERROR(VLOOKUP(C4281,DATA!#REF!,2,FALSE),"")</f>
        <v/>
      </c>
    </row>
    <row r="4282" spans="3:4" s="237" customFormat="1">
      <c r="C4282" s="16" t="str">
        <f>IFERROR(VLOOKUP(DATA!#REF!,DATA!#REF!,1,FALSE),"")</f>
        <v/>
      </c>
      <c r="D4282" s="16" t="str">
        <f>IFERROR(VLOOKUP(C4282,DATA!#REF!,2,FALSE),"")</f>
        <v/>
      </c>
    </row>
    <row r="4283" spans="3:4" s="237" customFormat="1">
      <c r="C4283" s="16" t="str">
        <f>IFERROR(VLOOKUP(DATA!#REF!,DATA!#REF!,1,FALSE),"")</f>
        <v/>
      </c>
      <c r="D4283" s="16" t="str">
        <f>IFERROR(VLOOKUP(C4283,DATA!#REF!,2,FALSE),"")</f>
        <v/>
      </c>
    </row>
    <row r="4284" spans="3:4" s="237" customFormat="1">
      <c r="C4284" s="16" t="str">
        <f>IFERROR(VLOOKUP(DATA!#REF!,DATA!#REF!,1,FALSE),"")</f>
        <v/>
      </c>
      <c r="D4284" s="16" t="str">
        <f>IFERROR(VLOOKUP(C4284,DATA!#REF!,2,FALSE),"")</f>
        <v/>
      </c>
    </row>
    <row r="4285" spans="3:4" s="237" customFormat="1">
      <c r="C4285" s="16" t="str">
        <f>IFERROR(VLOOKUP(DATA!#REF!,DATA!#REF!,1,FALSE),"")</f>
        <v/>
      </c>
      <c r="D4285" s="16" t="str">
        <f>IFERROR(VLOOKUP(C4285,DATA!#REF!,2,FALSE),"")</f>
        <v/>
      </c>
    </row>
    <row r="4286" spans="3:4" s="237" customFormat="1">
      <c r="C4286" s="16" t="str">
        <f>IFERROR(VLOOKUP(DATA!#REF!,DATA!#REF!,1,FALSE),"")</f>
        <v/>
      </c>
      <c r="D4286" s="16" t="str">
        <f>IFERROR(VLOOKUP(C4286,DATA!#REF!,2,FALSE),"")</f>
        <v/>
      </c>
    </row>
    <row r="4287" spans="3:4" s="237" customFormat="1">
      <c r="C4287" s="16" t="str">
        <f>IFERROR(VLOOKUP(DATA!#REF!,DATA!#REF!,1,FALSE),"")</f>
        <v/>
      </c>
      <c r="D4287" s="16" t="str">
        <f>IFERROR(VLOOKUP(C4287,DATA!#REF!,2,FALSE),"")</f>
        <v/>
      </c>
    </row>
    <row r="4288" spans="3:4" s="237" customFormat="1">
      <c r="C4288" s="16" t="str">
        <f>IFERROR(VLOOKUP(DATA!#REF!,DATA!#REF!,1,FALSE),"")</f>
        <v/>
      </c>
      <c r="D4288" s="16" t="str">
        <f>IFERROR(VLOOKUP(C4288,DATA!#REF!,2,FALSE),"")</f>
        <v/>
      </c>
    </row>
    <row r="4289" spans="3:4" s="237" customFormat="1">
      <c r="C4289" s="16" t="str">
        <f>IFERROR(VLOOKUP(DATA!#REF!,DATA!#REF!,1,FALSE),"")</f>
        <v/>
      </c>
      <c r="D4289" s="16" t="str">
        <f>IFERROR(VLOOKUP(C4289,DATA!#REF!,2,FALSE),"")</f>
        <v/>
      </c>
    </row>
    <row r="4290" spans="3:4" s="237" customFormat="1">
      <c r="C4290" s="16" t="str">
        <f>IFERROR(VLOOKUP(DATA!#REF!,DATA!#REF!,1,FALSE),"")</f>
        <v/>
      </c>
      <c r="D4290" s="16" t="str">
        <f>IFERROR(VLOOKUP(C4290,DATA!#REF!,2,FALSE),"")</f>
        <v/>
      </c>
    </row>
    <row r="4291" spans="3:4" s="237" customFormat="1">
      <c r="C4291" s="16" t="str">
        <f>IFERROR(VLOOKUP(DATA!#REF!,DATA!#REF!,1,FALSE),"")</f>
        <v/>
      </c>
      <c r="D4291" s="16" t="str">
        <f>IFERROR(VLOOKUP(C4291,DATA!#REF!,2,FALSE),"")</f>
        <v/>
      </c>
    </row>
    <row r="4292" spans="3:4" s="237" customFormat="1">
      <c r="C4292" s="16" t="str">
        <f>IFERROR(VLOOKUP(DATA!#REF!,DATA!#REF!,1,FALSE),"")</f>
        <v/>
      </c>
      <c r="D4292" s="16" t="str">
        <f>IFERROR(VLOOKUP(C4292,DATA!#REF!,2,FALSE),"")</f>
        <v/>
      </c>
    </row>
    <row r="4293" spans="3:4" s="237" customFormat="1">
      <c r="C4293" s="16" t="str">
        <f>IFERROR(VLOOKUP(DATA!#REF!,DATA!#REF!,1,FALSE),"")</f>
        <v/>
      </c>
      <c r="D4293" s="16" t="str">
        <f>IFERROR(VLOOKUP(C4293,DATA!#REF!,2,FALSE),"")</f>
        <v/>
      </c>
    </row>
    <row r="4294" spans="3:4" s="237" customFormat="1">
      <c r="C4294" s="16" t="str">
        <f>IFERROR(VLOOKUP(DATA!#REF!,DATA!#REF!,1,FALSE),"")</f>
        <v/>
      </c>
      <c r="D4294" s="16" t="str">
        <f>IFERROR(VLOOKUP(C4294,DATA!#REF!,2,FALSE),"")</f>
        <v/>
      </c>
    </row>
    <row r="4295" spans="3:4" s="237" customFormat="1">
      <c r="C4295" s="16" t="str">
        <f>IFERROR(VLOOKUP(DATA!#REF!,DATA!#REF!,1,FALSE),"")</f>
        <v/>
      </c>
      <c r="D4295" s="16" t="str">
        <f>IFERROR(VLOOKUP(C4295,DATA!#REF!,2,FALSE),"")</f>
        <v/>
      </c>
    </row>
    <row r="4296" spans="3:4" s="237" customFormat="1">
      <c r="C4296" s="16" t="str">
        <f>IFERROR(VLOOKUP(DATA!#REF!,DATA!#REF!,1,FALSE),"")</f>
        <v/>
      </c>
      <c r="D4296" s="16" t="str">
        <f>IFERROR(VLOOKUP(C4296,DATA!#REF!,2,FALSE),"")</f>
        <v/>
      </c>
    </row>
    <row r="4297" spans="3:4" s="237" customFormat="1">
      <c r="C4297" s="16" t="str">
        <f>IFERROR(VLOOKUP(DATA!#REF!,DATA!#REF!,1,FALSE),"")</f>
        <v/>
      </c>
      <c r="D4297" s="16" t="str">
        <f>IFERROR(VLOOKUP(C4297,DATA!#REF!,2,FALSE),"")</f>
        <v/>
      </c>
    </row>
    <row r="4298" spans="3:4" s="237" customFormat="1">
      <c r="C4298" s="16" t="str">
        <f>IFERROR(VLOOKUP(DATA!#REF!,DATA!#REF!,1,FALSE),"")</f>
        <v/>
      </c>
      <c r="D4298" s="16" t="str">
        <f>IFERROR(VLOOKUP(C4298,DATA!#REF!,2,FALSE),"")</f>
        <v/>
      </c>
    </row>
    <row r="4299" spans="3:4" s="237" customFormat="1">
      <c r="C4299" s="16" t="str">
        <f>IFERROR(VLOOKUP(DATA!#REF!,DATA!#REF!,1,FALSE),"")</f>
        <v/>
      </c>
      <c r="D4299" s="16" t="str">
        <f>IFERROR(VLOOKUP(C4299,DATA!#REF!,2,FALSE),"")</f>
        <v/>
      </c>
    </row>
    <row r="4300" spans="3:4" s="237" customFormat="1">
      <c r="C4300" s="16" t="str">
        <f>IFERROR(VLOOKUP(DATA!#REF!,DATA!#REF!,1,FALSE),"")</f>
        <v/>
      </c>
      <c r="D4300" s="16" t="str">
        <f>IFERROR(VLOOKUP(C4300,DATA!#REF!,2,FALSE),"")</f>
        <v/>
      </c>
    </row>
    <row r="4301" spans="3:4" s="237" customFormat="1">
      <c r="C4301" s="16" t="str">
        <f>IFERROR(VLOOKUP(DATA!#REF!,DATA!#REF!,1,FALSE),"")</f>
        <v/>
      </c>
      <c r="D4301" s="16" t="str">
        <f>IFERROR(VLOOKUP(C4301,DATA!#REF!,2,FALSE),"")</f>
        <v/>
      </c>
    </row>
    <row r="4302" spans="3:4" s="237" customFormat="1">
      <c r="C4302" s="16" t="str">
        <f>IFERROR(VLOOKUP(DATA!#REF!,DATA!#REF!,1,FALSE),"")</f>
        <v/>
      </c>
      <c r="D4302" s="16" t="str">
        <f>IFERROR(VLOOKUP(C4302,DATA!#REF!,2,FALSE),"")</f>
        <v/>
      </c>
    </row>
    <row r="4303" spans="3:4" s="237" customFormat="1">
      <c r="C4303" s="16" t="str">
        <f>IFERROR(VLOOKUP(DATA!#REF!,DATA!#REF!,1,FALSE),"")</f>
        <v/>
      </c>
      <c r="D4303" s="16" t="str">
        <f>IFERROR(VLOOKUP(C4303,DATA!#REF!,2,FALSE),"")</f>
        <v/>
      </c>
    </row>
    <row r="4304" spans="3:4" s="237" customFormat="1">
      <c r="C4304" s="16" t="str">
        <f>IFERROR(VLOOKUP(DATA!#REF!,DATA!#REF!,1,FALSE),"")</f>
        <v/>
      </c>
      <c r="D4304" s="16" t="str">
        <f>IFERROR(VLOOKUP(C4304,DATA!#REF!,2,FALSE),"")</f>
        <v/>
      </c>
    </row>
    <row r="4305" spans="3:4" s="237" customFormat="1">
      <c r="C4305" s="16" t="str">
        <f>IFERROR(VLOOKUP(DATA!#REF!,DATA!#REF!,1,FALSE),"")</f>
        <v/>
      </c>
      <c r="D4305" s="16" t="str">
        <f>IFERROR(VLOOKUP(C4305,DATA!#REF!,2,FALSE),"")</f>
        <v/>
      </c>
    </row>
    <row r="4306" spans="3:4" s="237" customFormat="1">
      <c r="C4306" s="16" t="str">
        <f>IFERROR(VLOOKUP(DATA!#REF!,DATA!#REF!,1,FALSE),"")</f>
        <v/>
      </c>
      <c r="D4306" s="16" t="str">
        <f>IFERROR(VLOOKUP(C4306,DATA!#REF!,2,FALSE),"")</f>
        <v/>
      </c>
    </row>
    <row r="4307" spans="3:4" s="237" customFormat="1">
      <c r="C4307" s="16" t="str">
        <f>IFERROR(VLOOKUP(DATA!#REF!,DATA!#REF!,1,FALSE),"")</f>
        <v/>
      </c>
      <c r="D4307" s="16" t="str">
        <f>IFERROR(VLOOKUP(C4307,DATA!#REF!,2,FALSE),"")</f>
        <v/>
      </c>
    </row>
    <row r="4308" spans="3:4" s="237" customFormat="1">
      <c r="C4308" s="16" t="str">
        <f>IFERROR(VLOOKUP(DATA!#REF!,DATA!#REF!,1,FALSE),"")</f>
        <v/>
      </c>
      <c r="D4308" s="16" t="str">
        <f>IFERROR(VLOOKUP(C4308,DATA!#REF!,2,FALSE),"")</f>
        <v/>
      </c>
    </row>
    <row r="4309" spans="3:4" s="237" customFormat="1">
      <c r="C4309" s="16" t="str">
        <f>IFERROR(VLOOKUP(DATA!#REF!,DATA!#REF!,1,FALSE),"")</f>
        <v/>
      </c>
      <c r="D4309" s="16" t="str">
        <f>IFERROR(VLOOKUP(C4309,DATA!#REF!,2,FALSE),"")</f>
        <v/>
      </c>
    </row>
    <row r="4310" spans="3:4" s="237" customFormat="1">
      <c r="C4310" s="16" t="str">
        <f>IFERROR(VLOOKUP(DATA!#REF!,DATA!#REF!,1,FALSE),"")</f>
        <v/>
      </c>
      <c r="D4310" s="16" t="str">
        <f>IFERROR(VLOOKUP(C4310,DATA!#REF!,2,FALSE),"")</f>
        <v/>
      </c>
    </row>
    <row r="4311" spans="3:4" s="237" customFormat="1">
      <c r="C4311" s="16" t="str">
        <f>IFERROR(VLOOKUP(DATA!#REF!,DATA!#REF!,1,FALSE),"")</f>
        <v/>
      </c>
      <c r="D4311" s="16" t="str">
        <f>IFERROR(VLOOKUP(C4311,DATA!#REF!,2,FALSE),"")</f>
        <v/>
      </c>
    </row>
    <row r="4312" spans="3:4" s="237" customFormat="1">
      <c r="C4312" s="16" t="str">
        <f>IFERROR(VLOOKUP(DATA!#REF!,DATA!#REF!,1,FALSE),"")</f>
        <v/>
      </c>
      <c r="D4312" s="16" t="str">
        <f>IFERROR(VLOOKUP(C4312,DATA!#REF!,2,FALSE),"")</f>
        <v/>
      </c>
    </row>
    <row r="4313" spans="3:4" s="237" customFormat="1">
      <c r="C4313" s="16" t="str">
        <f>IFERROR(VLOOKUP(DATA!#REF!,DATA!#REF!,1,FALSE),"")</f>
        <v/>
      </c>
      <c r="D4313" s="16" t="str">
        <f>IFERROR(VLOOKUP(C4313,DATA!#REF!,2,FALSE),"")</f>
        <v/>
      </c>
    </row>
    <row r="4314" spans="3:4" s="237" customFormat="1">
      <c r="C4314" s="16" t="str">
        <f>IFERROR(VLOOKUP(DATA!#REF!,DATA!#REF!,1,FALSE),"")</f>
        <v/>
      </c>
      <c r="D4314" s="16" t="str">
        <f>IFERROR(VLOOKUP(C4314,DATA!#REF!,2,FALSE),"")</f>
        <v/>
      </c>
    </row>
    <row r="4315" spans="3:4" s="237" customFormat="1">
      <c r="C4315" s="16" t="str">
        <f>IFERROR(VLOOKUP(DATA!#REF!,DATA!#REF!,1,FALSE),"")</f>
        <v/>
      </c>
      <c r="D4315" s="16" t="str">
        <f>IFERROR(VLOOKUP(C4315,DATA!#REF!,2,FALSE),"")</f>
        <v/>
      </c>
    </row>
    <row r="4316" spans="3:4" s="237" customFormat="1">
      <c r="C4316" s="16" t="str">
        <f>IFERROR(VLOOKUP(DATA!#REF!,DATA!#REF!,1,FALSE),"")</f>
        <v/>
      </c>
      <c r="D4316" s="16" t="str">
        <f>IFERROR(VLOOKUP(C4316,DATA!#REF!,2,FALSE),"")</f>
        <v/>
      </c>
    </row>
    <row r="4317" spans="3:4" s="237" customFormat="1">
      <c r="C4317" s="16" t="str">
        <f>IFERROR(VLOOKUP(DATA!#REF!,DATA!#REF!,1,FALSE),"")</f>
        <v/>
      </c>
      <c r="D4317" s="16" t="str">
        <f>IFERROR(VLOOKUP(C4317,DATA!#REF!,2,FALSE),"")</f>
        <v/>
      </c>
    </row>
    <row r="4318" spans="3:4" s="237" customFormat="1">
      <c r="C4318" s="16" t="str">
        <f>IFERROR(VLOOKUP(DATA!#REF!,DATA!#REF!,1,FALSE),"")</f>
        <v/>
      </c>
      <c r="D4318" s="16" t="str">
        <f>IFERROR(VLOOKUP(C4318,DATA!#REF!,2,FALSE),"")</f>
        <v/>
      </c>
    </row>
    <row r="4319" spans="3:4" s="237" customFormat="1">
      <c r="C4319" s="16" t="str">
        <f>IFERROR(VLOOKUP(DATA!#REF!,DATA!#REF!,1,FALSE),"")</f>
        <v/>
      </c>
      <c r="D4319" s="16" t="str">
        <f>IFERROR(VLOOKUP(C4319,DATA!#REF!,2,FALSE),"")</f>
        <v/>
      </c>
    </row>
    <row r="4320" spans="3:4" s="237" customFormat="1">
      <c r="C4320" s="16" t="str">
        <f>IFERROR(VLOOKUP(DATA!#REF!,DATA!#REF!,1,FALSE),"")</f>
        <v/>
      </c>
      <c r="D4320" s="16" t="str">
        <f>IFERROR(VLOOKUP(C4320,DATA!#REF!,2,FALSE),"")</f>
        <v/>
      </c>
    </row>
    <row r="4321" spans="3:4" s="237" customFormat="1">
      <c r="C4321" s="16" t="str">
        <f>IFERROR(VLOOKUP(DATA!#REF!,DATA!#REF!,1,FALSE),"")</f>
        <v/>
      </c>
      <c r="D4321" s="16" t="str">
        <f>IFERROR(VLOOKUP(C4321,DATA!#REF!,2,FALSE),"")</f>
        <v/>
      </c>
    </row>
    <row r="4322" spans="3:4" s="237" customFormat="1">
      <c r="C4322" s="16" t="str">
        <f>IFERROR(VLOOKUP(DATA!#REF!,DATA!#REF!,1,FALSE),"")</f>
        <v/>
      </c>
      <c r="D4322" s="16" t="str">
        <f>IFERROR(VLOOKUP(C4322,DATA!#REF!,2,FALSE),"")</f>
        <v/>
      </c>
    </row>
    <row r="4323" spans="3:4" s="237" customFormat="1">
      <c r="C4323" s="16" t="str">
        <f>IFERROR(VLOOKUP(DATA!#REF!,DATA!#REF!,1,FALSE),"")</f>
        <v/>
      </c>
      <c r="D4323" s="16" t="str">
        <f>IFERROR(VLOOKUP(C4323,DATA!#REF!,2,FALSE),"")</f>
        <v/>
      </c>
    </row>
    <row r="4324" spans="3:4" s="237" customFormat="1">
      <c r="C4324" s="16" t="str">
        <f>IFERROR(VLOOKUP(DATA!#REF!,DATA!#REF!,1,FALSE),"")</f>
        <v/>
      </c>
      <c r="D4324" s="16" t="str">
        <f>IFERROR(VLOOKUP(C4324,DATA!#REF!,2,FALSE),"")</f>
        <v/>
      </c>
    </row>
    <row r="4325" spans="3:4" s="237" customFormat="1">
      <c r="C4325" s="16" t="str">
        <f>IFERROR(VLOOKUP(DATA!#REF!,DATA!#REF!,1,FALSE),"")</f>
        <v/>
      </c>
      <c r="D4325" s="16" t="str">
        <f>IFERROR(VLOOKUP(C4325,DATA!#REF!,2,FALSE),"")</f>
        <v/>
      </c>
    </row>
    <row r="4326" spans="3:4" s="237" customFormat="1">
      <c r="C4326" s="16" t="str">
        <f>IFERROR(VLOOKUP(DATA!#REF!,DATA!#REF!,1,FALSE),"")</f>
        <v/>
      </c>
      <c r="D4326" s="16" t="str">
        <f>IFERROR(VLOOKUP(C4326,DATA!#REF!,2,FALSE),"")</f>
        <v/>
      </c>
    </row>
    <row r="4327" spans="3:4" s="237" customFormat="1">
      <c r="C4327" s="16" t="str">
        <f>IFERROR(VLOOKUP(DATA!#REF!,DATA!#REF!,1,FALSE),"")</f>
        <v/>
      </c>
      <c r="D4327" s="16" t="str">
        <f>IFERROR(VLOOKUP(C4327,DATA!#REF!,2,FALSE),"")</f>
        <v/>
      </c>
    </row>
    <row r="4328" spans="3:4" s="237" customFormat="1">
      <c r="C4328" s="16" t="str">
        <f>IFERROR(VLOOKUP(DATA!#REF!,DATA!#REF!,1,FALSE),"")</f>
        <v/>
      </c>
      <c r="D4328" s="16" t="str">
        <f>IFERROR(VLOOKUP(C4328,DATA!#REF!,2,FALSE),"")</f>
        <v/>
      </c>
    </row>
    <row r="4329" spans="3:4" s="237" customFormat="1">
      <c r="C4329" s="16" t="str">
        <f>IFERROR(VLOOKUP(DATA!#REF!,DATA!#REF!,1,FALSE),"")</f>
        <v/>
      </c>
      <c r="D4329" s="16" t="str">
        <f>IFERROR(VLOOKUP(C4329,DATA!#REF!,2,FALSE),"")</f>
        <v/>
      </c>
    </row>
    <row r="4330" spans="3:4" s="237" customFormat="1">
      <c r="C4330" s="16" t="str">
        <f>IFERROR(VLOOKUP(DATA!#REF!,DATA!#REF!,1,FALSE),"")</f>
        <v/>
      </c>
      <c r="D4330" s="16" t="str">
        <f>IFERROR(VLOOKUP(C4330,DATA!#REF!,2,FALSE),"")</f>
        <v/>
      </c>
    </row>
    <row r="4331" spans="3:4" s="237" customFormat="1">
      <c r="C4331" s="16" t="str">
        <f>IFERROR(VLOOKUP(DATA!#REF!,DATA!#REF!,1,FALSE),"")</f>
        <v/>
      </c>
      <c r="D4331" s="16" t="str">
        <f>IFERROR(VLOOKUP(C4331,DATA!#REF!,2,FALSE),"")</f>
        <v/>
      </c>
    </row>
    <row r="4332" spans="3:4" s="237" customFormat="1">
      <c r="C4332" s="16" t="str">
        <f>IFERROR(VLOOKUP(DATA!#REF!,DATA!#REF!,1,FALSE),"")</f>
        <v/>
      </c>
      <c r="D4332" s="16" t="str">
        <f>IFERROR(VLOOKUP(C4332,DATA!#REF!,2,FALSE),"")</f>
        <v/>
      </c>
    </row>
    <row r="4333" spans="3:4" s="237" customFormat="1">
      <c r="C4333" s="16" t="str">
        <f>IFERROR(VLOOKUP(DATA!#REF!,DATA!#REF!,1,FALSE),"")</f>
        <v/>
      </c>
      <c r="D4333" s="16" t="str">
        <f>IFERROR(VLOOKUP(C4333,DATA!#REF!,2,FALSE),"")</f>
        <v/>
      </c>
    </row>
    <row r="4334" spans="3:4" s="237" customFormat="1">
      <c r="C4334" s="16" t="str">
        <f>IFERROR(VLOOKUP(DATA!#REF!,DATA!#REF!,1,FALSE),"")</f>
        <v/>
      </c>
      <c r="D4334" s="16" t="str">
        <f>IFERROR(VLOOKUP(C4334,DATA!#REF!,2,FALSE),"")</f>
        <v/>
      </c>
    </row>
    <row r="4335" spans="3:4" s="237" customFormat="1">
      <c r="C4335" s="16" t="str">
        <f>IFERROR(VLOOKUP(DATA!#REF!,DATA!#REF!,1,FALSE),"")</f>
        <v/>
      </c>
      <c r="D4335" s="16" t="str">
        <f>IFERROR(VLOOKUP(C4335,DATA!#REF!,2,FALSE),"")</f>
        <v/>
      </c>
    </row>
    <row r="4336" spans="3:4" s="237" customFormat="1">
      <c r="C4336" s="16" t="str">
        <f>IFERROR(VLOOKUP(DATA!#REF!,DATA!#REF!,1,FALSE),"")</f>
        <v/>
      </c>
      <c r="D4336" s="16" t="str">
        <f>IFERROR(VLOOKUP(C4336,DATA!#REF!,2,FALSE),"")</f>
        <v/>
      </c>
    </row>
    <row r="4337" spans="3:4" s="237" customFormat="1">
      <c r="C4337" s="16" t="str">
        <f>IFERROR(VLOOKUP(DATA!#REF!,DATA!#REF!,1,FALSE),"")</f>
        <v/>
      </c>
      <c r="D4337" s="16" t="str">
        <f>IFERROR(VLOOKUP(C4337,DATA!#REF!,2,FALSE),"")</f>
        <v/>
      </c>
    </row>
    <row r="4338" spans="3:4" s="237" customFormat="1">
      <c r="C4338" s="16" t="str">
        <f>IFERROR(VLOOKUP(DATA!#REF!,DATA!#REF!,1,FALSE),"")</f>
        <v/>
      </c>
      <c r="D4338" s="16" t="str">
        <f>IFERROR(VLOOKUP(C4338,DATA!#REF!,2,FALSE),"")</f>
        <v/>
      </c>
    </row>
    <row r="4339" spans="3:4" s="237" customFormat="1">
      <c r="C4339" s="16" t="str">
        <f>IFERROR(VLOOKUP(DATA!#REF!,DATA!#REF!,1,FALSE),"")</f>
        <v/>
      </c>
      <c r="D4339" s="16" t="str">
        <f>IFERROR(VLOOKUP(C4339,DATA!#REF!,2,FALSE),"")</f>
        <v/>
      </c>
    </row>
    <row r="4340" spans="3:4" s="237" customFormat="1">
      <c r="C4340" s="16" t="str">
        <f>IFERROR(VLOOKUP(DATA!#REF!,DATA!#REF!,1,FALSE),"")</f>
        <v/>
      </c>
      <c r="D4340" s="16" t="str">
        <f>IFERROR(VLOOKUP(C4340,DATA!#REF!,2,FALSE),"")</f>
        <v/>
      </c>
    </row>
    <row r="4341" spans="3:4" s="237" customFormat="1">
      <c r="C4341" s="16" t="str">
        <f>IFERROR(VLOOKUP(DATA!#REF!,DATA!#REF!,1,FALSE),"")</f>
        <v/>
      </c>
      <c r="D4341" s="16" t="str">
        <f>IFERROR(VLOOKUP(C4341,DATA!#REF!,2,FALSE),"")</f>
        <v/>
      </c>
    </row>
    <row r="4342" spans="3:4" s="237" customFormat="1">
      <c r="C4342" s="16" t="str">
        <f>IFERROR(VLOOKUP(DATA!#REF!,DATA!#REF!,1,FALSE),"")</f>
        <v/>
      </c>
      <c r="D4342" s="16" t="str">
        <f>IFERROR(VLOOKUP(C4342,DATA!#REF!,2,FALSE),"")</f>
        <v/>
      </c>
    </row>
    <row r="4343" spans="3:4" s="237" customFormat="1">
      <c r="C4343" s="16" t="str">
        <f>IFERROR(VLOOKUP(DATA!#REF!,DATA!#REF!,1,FALSE),"")</f>
        <v/>
      </c>
      <c r="D4343" s="16" t="str">
        <f>IFERROR(VLOOKUP(C4343,DATA!#REF!,2,FALSE),"")</f>
        <v/>
      </c>
    </row>
    <row r="4344" spans="3:4" s="237" customFormat="1">
      <c r="C4344" s="16" t="str">
        <f>IFERROR(VLOOKUP(DATA!#REF!,DATA!#REF!,1,FALSE),"")</f>
        <v/>
      </c>
      <c r="D4344" s="16" t="str">
        <f>IFERROR(VLOOKUP(C4344,DATA!#REF!,2,FALSE),"")</f>
        <v/>
      </c>
    </row>
    <row r="4345" spans="3:4" s="237" customFormat="1">
      <c r="C4345" s="16" t="str">
        <f>IFERROR(VLOOKUP(DATA!#REF!,DATA!#REF!,1,FALSE),"")</f>
        <v/>
      </c>
      <c r="D4345" s="16" t="str">
        <f>IFERROR(VLOOKUP(C4345,DATA!#REF!,2,FALSE),"")</f>
        <v/>
      </c>
    </row>
    <row r="4346" spans="3:4" s="237" customFormat="1">
      <c r="C4346" s="16" t="str">
        <f>IFERROR(VLOOKUP(DATA!#REF!,DATA!#REF!,1,FALSE),"")</f>
        <v/>
      </c>
      <c r="D4346" s="16" t="str">
        <f>IFERROR(VLOOKUP(C4346,DATA!#REF!,2,FALSE),"")</f>
        <v/>
      </c>
    </row>
    <row r="4347" spans="3:4" s="237" customFormat="1">
      <c r="C4347" s="16" t="str">
        <f>IFERROR(VLOOKUP(DATA!#REF!,DATA!#REF!,1,FALSE),"")</f>
        <v/>
      </c>
      <c r="D4347" s="16" t="str">
        <f>IFERROR(VLOOKUP(C4347,DATA!#REF!,2,FALSE),"")</f>
        <v/>
      </c>
    </row>
    <row r="4348" spans="3:4" s="237" customFormat="1">
      <c r="C4348" s="16" t="str">
        <f>IFERROR(VLOOKUP(DATA!#REF!,DATA!#REF!,1,FALSE),"")</f>
        <v/>
      </c>
      <c r="D4348" s="16" t="str">
        <f>IFERROR(VLOOKUP(C4348,DATA!#REF!,2,FALSE),"")</f>
        <v/>
      </c>
    </row>
    <row r="4349" spans="3:4" s="237" customFormat="1">
      <c r="C4349" s="16" t="str">
        <f>IFERROR(VLOOKUP(DATA!#REF!,DATA!#REF!,1,FALSE),"")</f>
        <v/>
      </c>
      <c r="D4349" s="16" t="str">
        <f>IFERROR(VLOOKUP(C4349,DATA!#REF!,2,FALSE),"")</f>
        <v/>
      </c>
    </row>
    <row r="4350" spans="3:4" s="237" customFormat="1">
      <c r="C4350" s="16" t="str">
        <f>IFERROR(VLOOKUP(DATA!#REF!,DATA!#REF!,1,FALSE),"")</f>
        <v/>
      </c>
      <c r="D4350" s="16" t="str">
        <f>IFERROR(VLOOKUP(C4350,DATA!#REF!,2,FALSE),"")</f>
        <v/>
      </c>
    </row>
    <row r="4351" spans="3:4" s="237" customFormat="1">
      <c r="C4351" s="16" t="str">
        <f>IFERROR(VLOOKUP(DATA!#REF!,DATA!#REF!,1,FALSE),"")</f>
        <v/>
      </c>
      <c r="D4351" s="16" t="str">
        <f>IFERROR(VLOOKUP(C4351,DATA!#REF!,2,FALSE),"")</f>
        <v/>
      </c>
    </row>
    <row r="4352" spans="3:4" s="237" customFormat="1">
      <c r="C4352" s="16" t="str">
        <f>IFERROR(VLOOKUP(DATA!#REF!,DATA!#REF!,1,FALSE),"")</f>
        <v/>
      </c>
      <c r="D4352" s="16" t="str">
        <f>IFERROR(VLOOKUP(C4352,DATA!#REF!,2,FALSE),"")</f>
        <v/>
      </c>
    </row>
    <row r="4353" spans="3:4" s="237" customFormat="1">
      <c r="C4353" s="16" t="str">
        <f>IFERROR(VLOOKUP(DATA!#REF!,DATA!#REF!,1,FALSE),"")</f>
        <v/>
      </c>
      <c r="D4353" s="16" t="str">
        <f>IFERROR(VLOOKUP(C4353,DATA!#REF!,2,FALSE),"")</f>
        <v/>
      </c>
    </row>
    <row r="4354" spans="3:4" s="237" customFormat="1">
      <c r="C4354" s="16" t="str">
        <f>IFERROR(VLOOKUP(DATA!#REF!,DATA!#REF!,1,FALSE),"")</f>
        <v/>
      </c>
      <c r="D4354" s="16" t="str">
        <f>IFERROR(VLOOKUP(C4354,DATA!#REF!,2,FALSE),"")</f>
        <v/>
      </c>
    </row>
    <row r="4355" spans="3:4" s="237" customFormat="1">
      <c r="C4355" s="16" t="str">
        <f>IFERROR(VLOOKUP(DATA!#REF!,DATA!#REF!,1,FALSE),"")</f>
        <v/>
      </c>
      <c r="D4355" s="16" t="str">
        <f>IFERROR(VLOOKUP(C4355,DATA!#REF!,2,FALSE),"")</f>
        <v/>
      </c>
    </row>
    <row r="4356" spans="3:4" s="237" customFormat="1">
      <c r="C4356" s="16" t="str">
        <f>IFERROR(VLOOKUP(DATA!#REF!,DATA!#REF!,1,FALSE),"")</f>
        <v/>
      </c>
      <c r="D4356" s="16" t="str">
        <f>IFERROR(VLOOKUP(C4356,DATA!#REF!,2,FALSE),"")</f>
        <v/>
      </c>
    </row>
    <row r="4357" spans="3:4" s="237" customFormat="1">
      <c r="C4357" s="16" t="str">
        <f>IFERROR(VLOOKUP(DATA!#REF!,DATA!#REF!,1,FALSE),"")</f>
        <v/>
      </c>
      <c r="D4357" s="16" t="str">
        <f>IFERROR(VLOOKUP(C4357,DATA!#REF!,2,FALSE),"")</f>
        <v/>
      </c>
    </row>
    <row r="4358" spans="3:4" s="237" customFormat="1">
      <c r="C4358" s="16" t="str">
        <f>IFERROR(VLOOKUP(DATA!#REF!,DATA!#REF!,1,FALSE),"")</f>
        <v/>
      </c>
      <c r="D4358" s="16" t="str">
        <f>IFERROR(VLOOKUP(C4358,DATA!#REF!,2,FALSE),"")</f>
        <v/>
      </c>
    </row>
    <row r="4359" spans="3:4" s="237" customFormat="1">
      <c r="C4359" s="16" t="str">
        <f>IFERROR(VLOOKUP(DATA!#REF!,DATA!#REF!,1,FALSE),"")</f>
        <v/>
      </c>
      <c r="D4359" s="16" t="str">
        <f>IFERROR(VLOOKUP(C4359,DATA!#REF!,2,FALSE),"")</f>
        <v/>
      </c>
    </row>
    <row r="4360" spans="3:4" s="237" customFormat="1">
      <c r="C4360" s="16" t="str">
        <f>IFERROR(VLOOKUP(DATA!#REF!,DATA!#REF!,1,FALSE),"")</f>
        <v/>
      </c>
      <c r="D4360" s="16" t="str">
        <f>IFERROR(VLOOKUP(C4360,DATA!#REF!,2,FALSE),"")</f>
        <v/>
      </c>
    </row>
    <row r="4361" spans="3:4" s="237" customFormat="1">
      <c r="C4361" s="16" t="str">
        <f>IFERROR(VLOOKUP(DATA!#REF!,DATA!#REF!,1,FALSE),"")</f>
        <v/>
      </c>
      <c r="D4361" s="16" t="str">
        <f>IFERROR(VLOOKUP(C4361,DATA!#REF!,2,FALSE),"")</f>
        <v/>
      </c>
    </row>
    <row r="4362" spans="3:4" s="237" customFormat="1">
      <c r="C4362" s="16" t="str">
        <f>IFERROR(VLOOKUP(DATA!#REF!,DATA!#REF!,1,FALSE),"")</f>
        <v/>
      </c>
      <c r="D4362" s="16" t="str">
        <f>IFERROR(VLOOKUP(C4362,DATA!#REF!,2,FALSE),"")</f>
        <v/>
      </c>
    </row>
    <row r="4363" spans="3:4" s="237" customFormat="1">
      <c r="C4363" s="16" t="str">
        <f>IFERROR(VLOOKUP(DATA!#REF!,DATA!#REF!,1,FALSE),"")</f>
        <v/>
      </c>
      <c r="D4363" s="16" t="str">
        <f>IFERROR(VLOOKUP(C4363,DATA!#REF!,2,FALSE),"")</f>
        <v/>
      </c>
    </row>
    <row r="4364" spans="3:4" s="237" customFormat="1">
      <c r="C4364" s="16" t="str">
        <f>IFERROR(VLOOKUP(DATA!#REF!,DATA!#REF!,1,FALSE),"")</f>
        <v/>
      </c>
      <c r="D4364" s="16" t="str">
        <f>IFERROR(VLOOKUP(C4364,DATA!#REF!,2,FALSE),"")</f>
        <v/>
      </c>
    </row>
    <row r="4365" spans="3:4" s="237" customFormat="1">
      <c r="C4365" s="16" t="str">
        <f>IFERROR(VLOOKUP(DATA!#REF!,DATA!#REF!,1,FALSE),"")</f>
        <v/>
      </c>
      <c r="D4365" s="16" t="str">
        <f>IFERROR(VLOOKUP(C4365,DATA!#REF!,2,FALSE),"")</f>
        <v/>
      </c>
    </row>
    <row r="4366" spans="3:4" s="237" customFormat="1">
      <c r="C4366" s="16" t="str">
        <f>IFERROR(VLOOKUP(DATA!#REF!,DATA!#REF!,1,FALSE),"")</f>
        <v/>
      </c>
      <c r="D4366" s="16" t="str">
        <f>IFERROR(VLOOKUP(C4366,DATA!#REF!,2,FALSE),"")</f>
        <v/>
      </c>
    </row>
    <row r="4367" spans="3:4" s="237" customFormat="1">
      <c r="C4367" s="16" t="str">
        <f>IFERROR(VLOOKUP(DATA!#REF!,DATA!#REF!,1,FALSE),"")</f>
        <v/>
      </c>
      <c r="D4367" s="16" t="str">
        <f>IFERROR(VLOOKUP(C4367,DATA!#REF!,2,FALSE),"")</f>
        <v/>
      </c>
    </row>
    <row r="4368" spans="3:4" s="237" customFormat="1">
      <c r="C4368" s="16" t="str">
        <f>IFERROR(VLOOKUP(DATA!#REF!,DATA!#REF!,1,FALSE),"")</f>
        <v/>
      </c>
      <c r="D4368" s="16" t="str">
        <f>IFERROR(VLOOKUP(C4368,DATA!#REF!,2,FALSE),"")</f>
        <v/>
      </c>
    </row>
    <row r="4369" spans="3:4" s="237" customFormat="1">
      <c r="C4369" s="16" t="str">
        <f>IFERROR(VLOOKUP(DATA!#REF!,DATA!#REF!,1,FALSE),"")</f>
        <v/>
      </c>
      <c r="D4369" s="16" t="str">
        <f>IFERROR(VLOOKUP(C4369,DATA!#REF!,2,FALSE),"")</f>
        <v/>
      </c>
    </row>
    <row r="4370" spans="3:4" s="237" customFormat="1">
      <c r="C4370" s="16" t="str">
        <f>IFERROR(VLOOKUP(DATA!#REF!,DATA!#REF!,1,FALSE),"")</f>
        <v/>
      </c>
      <c r="D4370" s="16" t="str">
        <f>IFERROR(VLOOKUP(C4370,DATA!#REF!,2,FALSE),"")</f>
        <v/>
      </c>
    </row>
    <row r="4371" spans="3:4" s="237" customFormat="1">
      <c r="C4371" s="16" t="str">
        <f>IFERROR(VLOOKUP(DATA!#REF!,DATA!#REF!,1,FALSE),"")</f>
        <v/>
      </c>
      <c r="D4371" s="16" t="str">
        <f>IFERROR(VLOOKUP(C4371,DATA!#REF!,2,FALSE),"")</f>
        <v/>
      </c>
    </row>
    <row r="4372" spans="3:4" s="237" customFormat="1">
      <c r="C4372" s="16" t="str">
        <f>IFERROR(VLOOKUP(DATA!#REF!,DATA!#REF!,1,FALSE),"")</f>
        <v/>
      </c>
      <c r="D4372" s="16" t="str">
        <f>IFERROR(VLOOKUP(C4372,DATA!#REF!,2,FALSE),"")</f>
        <v/>
      </c>
    </row>
    <row r="4373" spans="3:4" s="237" customFormat="1">
      <c r="C4373" s="16" t="str">
        <f>IFERROR(VLOOKUP(DATA!#REF!,DATA!#REF!,1,FALSE),"")</f>
        <v/>
      </c>
      <c r="D4373" s="16" t="str">
        <f>IFERROR(VLOOKUP(C4373,DATA!#REF!,2,FALSE),"")</f>
        <v/>
      </c>
    </row>
    <row r="4374" spans="3:4" s="237" customFormat="1">
      <c r="C4374" s="16" t="str">
        <f>IFERROR(VLOOKUP(DATA!#REF!,DATA!#REF!,1,FALSE),"")</f>
        <v/>
      </c>
      <c r="D4374" s="16" t="str">
        <f>IFERROR(VLOOKUP(C4374,DATA!#REF!,2,FALSE),"")</f>
        <v/>
      </c>
    </row>
    <row r="4375" spans="3:4" s="237" customFormat="1">
      <c r="C4375" s="16" t="str">
        <f>IFERROR(VLOOKUP(DATA!#REF!,DATA!#REF!,1,FALSE),"")</f>
        <v/>
      </c>
      <c r="D4375" s="16" t="str">
        <f>IFERROR(VLOOKUP(C4375,DATA!#REF!,2,FALSE),"")</f>
        <v/>
      </c>
    </row>
    <row r="4376" spans="3:4" s="237" customFormat="1">
      <c r="C4376" s="16" t="str">
        <f>IFERROR(VLOOKUP(DATA!#REF!,DATA!#REF!,1,FALSE),"")</f>
        <v/>
      </c>
      <c r="D4376" s="16" t="str">
        <f>IFERROR(VLOOKUP(C4376,DATA!#REF!,2,FALSE),"")</f>
        <v/>
      </c>
    </row>
    <row r="4377" spans="3:4" s="237" customFormat="1">
      <c r="C4377" s="16" t="str">
        <f>IFERROR(VLOOKUP(DATA!#REF!,DATA!#REF!,1,FALSE),"")</f>
        <v/>
      </c>
      <c r="D4377" s="16" t="str">
        <f>IFERROR(VLOOKUP(C4377,DATA!#REF!,2,FALSE),"")</f>
        <v/>
      </c>
    </row>
    <row r="4378" spans="3:4" s="237" customFormat="1">
      <c r="C4378" s="16" t="str">
        <f>IFERROR(VLOOKUP(DATA!#REF!,DATA!#REF!,1,FALSE),"")</f>
        <v/>
      </c>
      <c r="D4378" s="16" t="str">
        <f>IFERROR(VLOOKUP(C4378,DATA!#REF!,2,FALSE),"")</f>
        <v/>
      </c>
    </row>
    <row r="4379" spans="3:4" s="237" customFormat="1">
      <c r="C4379" s="16" t="str">
        <f>IFERROR(VLOOKUP(DATA!#REF!,DATA!#REF!,1,FALSE),"")</f>
        <v/>
      </c>
      <c r="D4379" s="16" t="str">
        <f>IFERROR(VLOOKUP(C4379,DATA!#REF!,2,FALSE),"")</f>
        <v/>
      </c>
    </row>
    <row r="4380" spans="3:4" s="237" customFormat="1">
      <c r="C4380" s="16" t="str">
        <f>IFERROR(VLOOKUP(DATA!#REF!,DATA!#REF!,1,FALSE),"")</f>
        <v/>
      </c>
      <c r="D4380" s="16" t="str">
        <f>IFERROR(VLOOKUP(C4380,DATA!#REF!,2,FALSE),"")</f>
        <v/>
      </c>
    </row>
    <row r="4381" spans="3:4" s="237" customFormat="1">
      <c r="C4381" s="16" t="str">
        <f>IFERROR(VLOOKUP(DATA!#REF!,DATA!#REF!,1,FALSE),"")</f>
        <v/>
      </c>
      <c r="D4381" s="16" t="str">
        <f>IFERROR(VLOOKUP(C4381,DATA!#REF!,2,FALSE),"")</f>
        <v/>
      </c>
    </row>
    <row r="4382" spans="3:4" s="237" customFormat="1">
      <c r="C4382" s="16" t="str">
        <f>IFERROR(VLOOKUP(DATA!#REF!,DATA!#REF!,1,FALSE),"")</f>
        <v/>
      </c>
      <c r="D4382" s="16" t="str">
        <f>IFERROR(VLOOKUP(C4382,DATA!#REF!,2,FALSE),"")</f>
        <v/>
      </c>
    </row>
    <row r="4383" spans="3:4" s="237" customFormat="1">
      <c r="C4383" s="16" t="str">
        <f>IFERROR(VLOOKUP(DATA!#REF!,DATA!#REF!,1,FALSE),"")</f>
        <v/>
      </c>
      <c r="D4383" s="16" t="str">
        <f>IFERROR(VLOOKUP(C4383,DATA!#REF!,2,FALSE),"")</f>
        <v/>
      </c>
    </row>
    <row r="4384" spans="3:4" s="237" customFormat="1">
      <c r="C4384" s="16" t="str">
        <f>IFERROR(VLOOKUP(DATA!#REF!,DATA!#REF!,1,FALSE),"")</f>
        <v/>
      </c>
      <c r="D4384" s="16" t="str">
        <f>IFERROR(VLOOKUP(C4384,DATA!#REF!,2,FALSE),"")</f>
        <v/>
      </c>
    </row>
    <row r="4385" spans="3:4" s="237" customFormat="1">
      <c r="C4385" s="16" t="str">
        <f>IFERROR(VLOOKUP(DATA!#REF!,DATA!#REF!,1,FALSE),"")</f>
        <v/>
      </c>
      <c r="D4385" s="16" t="str">
        <f>IFERROR(VLOOKUP(C4385,DATA!#REF!,2,FALSE),"")</f>
        <v/>
      </c>
    </row>
    <row r="4386" spans="3:4" s="237" customFormat="1">
      <c r="C4386" s="16" t="str">
        <f>IFERROR(VLOOKUP(DATA!#REF!,DATA!#REF!,1,FALSE),"")</f>
        <v/>
      </c>
      <c r="D4386" s="16" t="str">
        <f>IFERROR(VLOOKUP(C4386,DATA!#REF!,2,FALSE),"")</f>
        <v/>
      </c>
    </row>
    <row r="4387" spans="3:4" s="237" customFormat="1">
      <c r="C4387" s="16" t="str">
        <f>IFERROR(VLOOKUP(DATA!#REF!,DATA!#REF!,1,FALSE),"")</f>
        <v/>
      </c>
      <c r="D4387" s="16" t="str">
        <f>IFERROR(VLOOKUP(C4387,DATA!#REF!,2,FALSE),"")</f>
        <v/>
      </c>
    </row>
    <row r="4388" spans="3:4" s="237" customFormat="1">
      <c r="C4388" s="16" t="str">
        <f>IFERROR(VLOOKUP(DATA!#REF!,DATA!#REF!,1,FALSE),"")</f>
        <v/>
      </c>
      <c r="D4388" s="16" t="str">
        <f>IFERROR(VLOOKUP(C4388,DATA!#REF!,2,FALSE),"")</f>
        <v/>
      </c>
    </row>
    <row r="4389" spans="3:4" s="237" customFormat="1">
      <c r="C4389" s="16" t="str">
        <f>IFERROR(VLOOKUP(DATA!#REF!,DATA!#REF!,1,FALSE),"")</f>
        <v/>
      </c>
      <c r="D4389" s="16" t="str">
        <f>IFERROR(VLOOKUP(C4389,DATA!#REF!,2,FALSE),"")</f>
        <v/>
      </c>
    </row>
    <row r="4390" spans="3:4" s="237" customFormat="1">
      <c r="C4390" s="16" t="str">
        <f>IFERROR(VLOOKUP(DATA!#REF!,DATA!#REF!,1,FALSE),"")</f>
        <v/>
      </c>
      <c r="D4390" s="16" t="str">
        <f>IFERROR(VLOOKUP(C4390,DATA!#REF!,2,FALSE),"")</f>
        <v/>
      </c>
    </row>
    <row r="4391" spans="3:4" s="237" customFormat="1">
      <c r="C4391" s="16" t="str">
        <f>IFERROR(VLOOKUP(DATA!#REF!,DATA!#REF!,1,FALSE),"")</f>
        <v/>
      </c>
      <c r="D4391" s="16" t="str">
        <f>IFERROR(VLOOKUP(C4391,DATA!#REF!,2,FALSE),"")</f>
        <v/>
      </c>
    </row>
    <row r="4392" spans="3:4" s="237" customFormat="1">
      <c r="C4392" s="16" t="str">
        <f>IFERROR(VLOOKUP(DATA!#REF!,DATA!#REF!,1,FALSE),"")</f>
        <v/>
      </c>
      <c r="D4392" s="16" t="str">
        <f>IFERROR(VLOOKUP(C4392,DATA!#REF!,2,FALSE),"")</f>
        <v/>
      </c>
    </row>
    <row r="4393" spans="3:4" s="237" customFormat="1">
      <c r="C4393" s="16" t="str">
        <f>IFERROR(VLOOKUP(DATA!#REF!,DATA!#REF!,1,FALSE),"")</f>
        <v/>
      </c>
      <c r="D4393" s="16" t="str">
        <f>IFERROR(VLOOKUP(C4393,DATA!#REF!,2,FALSE),"")</f>
        <v/>
      </c>
    </row>
    <row r="4394" spans="3:4" s="237" customFormat="1">
      <c r="C4394" s="16" t="str">
        <f>IFERROR(VLOOKUP(DATA!#REF!,DATA!#REF!,1,FALSE),"")</f>
        <v/>
      </c>
      <c r="D4394" s="16" t="str">
        <f>IFERROR(VLOOKUP(C4394,DATA!#REF!,2,FALSE),"")</f>
        <v/>
      </c>
    </row>
    <row r="4395" spans="3:4" s="237" customFormat="1">
      <c r="C4395" s="16" t="str">
        <f>IFERROR(VLOOKUP(DATA!#REF!,DATA!#REF!,1,FALSE),"")</f>
        <v/>
      </c>
      <c r="D4395" s="16" t="str">
        <f>IFERROR(VLOOKUP(C4395,DATA!#REF!,2,FALSE),"")</f>
        <v/>
      </c>
    </row>
    <row r="4396" spans="3:4" s="237" customFormat="1">
      <c r="C4396" s="16" t="str">
        <f>IFERROR(VLOOKUP(DATA!#REF!,DATA!#REF!,1,FALSE),"")</f>
        <v/>
      </c>
      <c r="D4396" s="16" t="str">
        <f>IFERROR(VLOOKUP(C4396,DATA!#REF!,2,FALSE),"")</f>
        <v/>
      </c>
    </row>
    <row r="4397" spans="3:4" s="237" customFormat="1">
      <c r="C4397" s="16" t="str">
        <f>IFERROR(VLOOKUP(DATA!#REF!,DATA!#REF!,1,FALSE),"")</f>
        <v/>
      </c>
      <c r="D4397" s="16" t="str">
        <f>IFERROR(VLOOKUP(C4397,DATA!#REF!,2,FALSE),"")</f>
        <v/>
      </c>
    </row>
    <row r="4398" spans="3:4" s="237" customFormat="1">
      <c r="C4398" s="16" t="str">
        <f>IFERROR(VLOOKUP(DATA!#REF!,DATA!#REF!,1,FALSE),"")</f>
        <v/>
      </c>
      <c r="D4398" s="16" t="str">
        <f>IFERROR(VLOOKUP(C4398,DATA!#REF!,2,FALSE),"")</f>
        <v/>
      </c>
    </row>
    <row r="4399" spans="3:4" s="237" customFormat="1">
      <c r="C4399" s="16" t="str">
        <f>IFERROR(VLOOKUP(DATA!#REF!,DATA!#REF!,1,FALSE),"")</f>
        <v/>
      </c>
      <c r="D4399" s="16" t="str">
        <f>IFERROR(VLOOKUP(C4399,DATA!#REF!,2,FALSE),"")</f>
        <v/>
      </c>
    </row>
    <row r="4400" spans="3:4" s="237" customFormat="1">
      <c r="C4400" s="16" t="str">
        <f>IFERROR(VLOOKUP(DATA!#REF!,DATA!#REF!,1,FALSE),"")</f>
        <v/>
      </c>
      <c r="D4400" s="16" t="str">
        <f>IFERROR(VLOOKUP(C4400,DATA!#REF!,2,FALSE),"")</f>
        <v/>
      </c>
    </row>
    <row r="4401" spans="3:4" s="237" customFormat="1">
      <c r="C4401" s="16" t="str">
        <f>IFERROR(VLOOKUP(DATA!#REF!,DATA!#REF!,1,FALSE),"")</f>
        <v/>
      </c>
      <c r="D4401" s="16" t="str">
        <f>IFERROR(VLOOKUP(C4401,DATA!#REF!,2,FALSE),"")</f>
        <v/>
      </c>
    </row>
    <row r="4402" spans="3:4" s="237" customFormat="1">
      <c r="C4402" s="16" t="str">
        <f>IFERROR(VLOOKUP(DATA!#REF!,DATA!#REF!,1,FALSE),"")</f>
        <v/>
      </c>
      <c r="D4402" s="16" t="str">
        <f>IFERROR(VLOOKUP(C4402,DATA!#REF!,2,FALSE),"")</f>
        <v/>
      </c>
    </row>
    <row r="4403" spans="3:4" s="237" customFormat="1">
      <c r="C4403" s="16" t="str">
        <f>IFERROR(VLOOKUP(DATA!#REF!,DATA!#REF!,1,FALSE),"")</f>
        <v/>
      </c>
      <c r="D4403" s="16" t="str">
        <f>IFERROR(VLOOKUP(C4403,DATA!#REF!,2,FALSE),"")</f>
        <v/>
      </c>
    </row>
    <row r="4404" spans="3:4" s="237" customFormat="1">
      <c r="C4404" s="16" t="str">
        <f>IFERROR(VLOOKUP(DATA!#REF!,DATA!#REF!,1,FALSE),"")</f>
        <v/>
      </c>
      <c r="D4404" s="16" t="str">
        <f>IFERROR(VLOOKUP(C4404,DATA!#REF!,2,FALSE),"")</f>
        <v/>
      </c>
    </row>
    <row r="4405" spans="3:4" s="237" customFormat="1">
      <c r="C4405" s="16" t="str">
        <f>IFERROR(VLOOKUP(DATA!#REF!,DATA!#REF!,1,FALSE),"")</f>
        <v/>
      </c>
      <c r="D4405" s="16" t="str">
        <f>IFERROR(VLOOKUP(C4405,DATA!#REF!,2,FALSE),"")</f>
        <v/>
      </c>
    </row>
    <row r="4406" spans="3:4" s="237" customFormat="1">
      <c r="C4406" s="16" t="str">
        <f>IFERROR(VLOOKUP(DATA!#REF!,DATA!#REF!,1,FALSE),"")</f>
        <v/>
      </c>
      <c r="D4406" s="16" t="str">
        <f>IFERROR(VLOOKUP(C4406,DATA!#REF!,2,FALSE),"")</f>
        <v/>
      </c>
    </row>
    <row r="4407" spans="3:4" s="237" customFormat="1">
      <c r="C4407" s="16" t="str">
        <f>IFERROR(VLOOKUP(DATA!#REF!,DATA!#REF!,1,FALSE),"")</f>
        <v/>
      </c>
      <c r="D4407" s="16" t="str">
        <f>IFERROR(VLOOKUP(C4407,DATA!#REF!,2,FALSE),"")</f>
        <v/>
      </c>
    </row>
    <row r="4408" spans="3:4" s="237" customFormat="1">
      <c r="C4408" s="16" t="str">
        <f>IFERROR(VLOOKUP(DATA!#REF!,DATA!#REF!,1,FALSE),"")</f>
        <v/>
      </c>
      <c r="D4408" s="16" t="str">
        <f>IFERROR(VLOOKUP(C4408,DATA!#REF!,2,FALSE),"")</f>
        <v/>
      </c>
    </row>
    <row r="4409" spans="3:4" s="237" customFormat="1">
      <c r="C4409" s="16" t="str">
        <f>IFERROR(VLOOKUP(DATA!#REF!,DATA!#REF!,1,FALSE),"")</f>
        <v/>
      </c>
      <c r="D4409" s="16" t="str">
        <f>IFERROR(VLOOKUP(C4409,DATA!#REF!,2,FALSE),"")</f>
        <v/>
      </c>
    </row>
    <row r="4410" spans="3:4" s="237" customFormat="1">
      <c r="C4410" s="16" t="str">
        <f>IFERROR(VLOOKUP(DATA!#REF!,DATA!#REF!,1,FALSE),"")</f>
        <v/>
      </c>
      <c r="D4410" s="16" t="str">
        <f>IFERROR(VLOOKUP(C4410,DATA!#REF!,2,FALSE),"")</f>
        <v/>
      </c>
    </row>
    <row r="4411" spans="3:4" s="237" customFormat="1">
      <c r="C4411" s="16" t="str">
        <f>IFERROR(VLOOKUP(DATA!#REF!,DATA!#REF!,1,FALSE),"")</f>
        <v/>
      </c>
      <c r="D4411" s="16" t="str">
        <f>IFERROR(VLOOKUP(C4411,DATA!#REF!,2,FALSE),"")</f>
        <v/>
      </c>
    </row>
    <row r="4412" spans="3:4" s="237" customFormat="1">
      <c r="C4412" s="16" t="str">
        <f>IFERROR(VLOOKUP(DATA!#REF!,DATA!#REF!,1,FALSE),"")</f>
        <v/>
      </c>
      <c r="D4412" s="16" t="str">
        <f>IFERROR(VLOOKUP(C4412,DATA!#REF!,2,FALSE),"")</f>
        <v/>
      </c>
    </row>
    <row r="4413" spans="3:4" s="237" customFormat="1">
      <c r="C4413" s="16" t="str">
        <f>IFERROR(VLOOKUP(DATA!#REF!,DATA!#REF!,1,FALSE),"")</f>
        <v/>
      </c>
      <c r="D4413" s="16" t="str">
        <f>IFERROR(VLOOKUP(C4413,DATA!#REF!,2,FALSE),"")</f>
        <v/>
      </c>
    </row>
    <row r="4414" spans="3:4" s="237" customFormat="1">
      <c r="C4414" s="16" t="str">
        <f>IFERROR(VLOOKUP(DATA!#REF!,DATA!#REF!,1,FALSE),"")</f>
        <v/>
      </c>
      <c r="D4414" s="16" t="str">
        <f>IFERROR(VLOOKUP(C4414,DATA!#REF!,2,FALSE),"")</f>
        <v/>
      </c>
    </row>
    <row r="4415" spans="3:4" s="237" customFormat="1">
      <c r="C4415" s="16" t="str">
        <f>IFERROR(VLOOKUP(DATA!#REF!,DATA!#REF!,1,FALSE),"")</f>
        <v/>
      </c>
      <c r="D4415" s="16" t="str">
        <f>IFERROR(VLOOKUP(C4415,DATA!#REF!,2,FALSE),"")</f>
        <v/>
      </c>
    </row>
    <row r="4416" spans="3:4" s="237" customFormat="1">
      <c r="C4416" s="16" t="str">
        <f>IFERROR(VLOOKUP(DATA!#REF!,DATA!#REF!,1,FALSE),"")</f>
        <v/>
      </c>
      <c r="D4416" s="16" t="str">
        <f>IFERROR(VLOOKUP(C4416,DATA!#REF!,2,FALSE),"")</f>
        <v/>
      </c>
    </row>
    <row r="4417" spans="3:4" s="237" customFormat="1">
      <c r="C4417" s="16" t="str">
        <f>IFERROR(VLOOKUP(DATA!#REF!,DATA!#REF!,1,FALSE),"")</f>
        <v/>
      </c>
      <c r="D4417" s="16" t="str">
        <f>IFERROR(VLOOKUP(C4417,DATA!#REF!,2,FALSE),"")</f>
        <v/>
      </c>
    </row>
    <row r="4418" spans="3:4" s="237" customFormat="1">
      <c r="C4418" s="16" t="str">
        <f>IFERROR(VLOOKUP(DATA!#REF!,DATA!#REF!,1,FALSE),"")</f>
        <v/>
      </c>
      <c r="D4418" s="16" t="str">
        <f>IFERROR(VLOOKUP(C4418,DATA!#REF!,2,FALSE),"")</f>
        <v/>
      </c>
    </row>
    <row r="4419" spans="3:4" s="237" customFormat="1">
      <c r="C4419" s="16" t="str">
        <f>IFERROR(VLOOKUP(DATA!#REF!,DATA!#REF!,1,FALSE),"")</f>
        <v/>
      </c>
      <c r="D4419" s="16" t="str">
        <f>IFERROR(VLOOKUP(C4419,DATA!#REF!,2,FALSE),"")</f>
        <v/>
      </c>
    </row>
    <row r="4420" spans="3:4" s="237" customFormat="1">
      <c r="C4420" s="16" t="str">
        <f>IFERROR(VLOOKUP(DATA!#REF!,DATA!#REF!,1,FALSE),"")</f>
        <v/>
      </c>
      <c r="D4420" s="16" t="str">
        <f>IFERROR(VLOOKUP(C4420,DATA!#REF!,2,FALSE),"")</f>
        <v/>
      </c>
    </row>
    <row r="4421" spans="3:4" s="237" customFormat="1">
      <c r="C4421" s="16" t="str">
        <f>IFERROR(VLOOKUP(DATA!#REF!,DATA!#REF!,1,FALSE),"")</f>
        <v/>
      </c>
      <c r="D4421" s="16" t="str">
        <f>IFERROR(VLOOKUP(C4421,DATA!#REF!,2,FALSE),"")</f>
        <v/>
      </c>
    </row>
    <row r="4422" spans="3:4" s="237" customFormat="1">
      <c r="C4422" s="16" t="str">
        <f>IFERROR(VLOOKUP(DATA!#REF!,DATA!#REF!,1,FALSE),"")</f>
        <v/>
      </c>
      <c r="D4422" s="16" t="str">
        <f>IFERROR(VLOOKUP(C4422,DATA!#REF!,2,FALSE),"")</f>
        <v/>
      </c>
    </row>
    <row r="4423" spans="3:4" s="237" customFormat="1">
      <c r="C4423" s="16" t="str">
        <f>IFERROR(VLOOKUP(DATA!#REF!,DATA!#REF!,1,FALSE),"")</f>
        <v/>
      </c>
      <c r="D4423" s="16" t="str">
        <f>IFERROR(VLOOKUP(C4423,DATA!#REF!,2,FALSE),"")</f>
        <v/>
      </c>
    </row>
    <row r="4424" spans="3:4" s="237" customFormat="1">
      <c r="C4424" s="16" t="str">
        <f>IFERROR(VLOOKUP(DATA!#REF!,DATA!#REF!,1,FALSE),"")</f>
        <v/>
      </c>
      <c r="D4424" s="16" t="str">
        <f>IFERROR(VLOOKUP(C4424,DATA!#REF!,2,FALSE),"")</f>
        <v/>
      </c>
    </row>
    <row r="4425" spans="3:4" s="237" customFormat="1">
      <c r="C4425" s="16" t="str">
        <f>IFERROR(VLOOKUP(DATA!#REF!,DATA!#REF!,1,FALSE),"")</f>
        <v/>
      </c>
      <c r="D4425" s="16" t="str">
        <f>IFERROR(VLOOKUP(C4425,DATA!#REF!,2,FALSE),"")</f>
        <v/>
      </c>
    </row>
    <row r="4426" spans="3:4" s="237" customFormat="1">
      <c r="C4426" s="16" t="str">
        <f>IFERROR(VLOOKUP(DATA!#REF!,DATA!#REF!,1,FALSE),"")</f>
        <v/>
      </c>
      <c r="D4426" s="16" t="str">
        <f>IFERROR(VLOOKUP(C4426,DATA!#REF!,2,FALSE),"")</f>
        <v/>
      </c>
    </row>
    <row r="4427" spans="3:4" s="237" customFormat="1">
      <c r="C4427" s="16" t="str">
        <f>IFERROR(VLOOKUP(DATA!#REF!,DATA!#REF!,1,FALSE),"")</f>
        <v/>
      </c>
      <c r="D4427" s="16" t="str">
        <f>IFERROR(VLOOKUP(C4427,DATA!#REF!,2,FALSE),"")</f>
        <v/>
      </c>
    </row>
    <row r="4428" spans="3:4" s="237" customFormat="1">
      <c r="C4428" s="16" t="str">
        <f>IFERROR(VLOOKUP(DATA!#REF!,DATA!#REF!,1,FALSE),"")</f>
        <v/>
      </c>
      <c r="D4428" s="16" t="str">
        <f>IFERROR(VLOOKUP(C4428,DATA!#REF!,2,FALSE),"")</f>
        <v/>
      </c>
    </row>
    <row r="4429" spans="3:4" s="237" customFormat="1">
      <c r="C4429" s="16" t="str">
        <f>IFERROR(VLOOKUP(DATA!#REF!,DATA!#REF!,1,FALSE),"")</f>
        <v/>
      </c>
      <c r="D4429" s="16" t="str">
        <f>IFERROR(VLOOKUP(C4429,DATA!#REF!,2,FALSE),"")</f>
        <v/>
      </c>
    </row>
    <row r="4430" spans="3:4" s="237" customFormat="1">
      <c r="C4430" s="16" t="str">
        <f>IFERROR(VLOOKUP(DATA!#REF!,DATA!#REF!,1,FALSE),"")</f>
        <v/>
      </c>
      <c r="D4430" s="16" t="str">
        <f>IFERROR(VLOOKUP(C4430,DATA!#REF!,2,FALSE),"")</f>
        <v/>
      </c>
    </row>
    <row r="4431" spans="3:4" s="237" customFormat="1">
      <c r="C4431" s="16" t="str">
        <f>IFERROR(VLOOKUP(DATA!#REF!,DATA!#REF!,1,FALSE),"")</f>
        <v/>
      </c>
      <c r="D4431" s="16" t="str">
        <f>IFERROR(VLOOKUP(C4431,DATA!#REF!,2,FALSE),"")</f>
        <v/>
      </c>
    </row>
    <row r="4432" spans="3:4" s="237" customFormat="1">
      <c r="C4432" s="16" t="str">
        <f>IFERROR(VLOOKUP(DATA!#REF!,DATA!#REF!,1,FALSE),"")</f>
        <v/>
      </c>
      <c r="D4432" s="16" t="str">
        <f>IFERROR(VLOOKUP(C4432,DATA!#REF!,2,FALSE),"")</f>
        <v/>
      </c>
    </row>
    <row r="4433" spans="3:4" s="237" customFormat="1">
      <c r="C4433" s="16" t="str">
        <f>IFERROR(VLOOKUP(DATA!#REF!,DATA!#REF!,1,FALSE),"")</f>
        <v/>
      </c>
      <c r="D4433" s="16" t="str">
        <f>IFERROR(VLOOKUP(C4433,DATA!#REF!,2,FALSE),"")</f>
        <v/>
      </c>
    </row>
    <row r="4434" spans="3:4" s="237" customFormat="1">
      <c r="C4434" s="16" t="str">
        <f>IFERROR(VLOOKUP(DATA!#REF!,DATA!#REF!,1,FALSE),"")</f>
        <v/>
      </c>
      <c r="D4434" s="16" t="str">
        <f>IFERROR(VLOOKUP(C4434,DATA!#REF!,2,FALSE),"")</f>
        <v/>
      </c>
    </row>
    <row r="4435" spans="3:4" s="237" customFormat="1">
      <c r="C4435" s="16" t="str">
        <f>IFERROR(VLOOKUP(DATA!#REF!,DATA!#REF!,1,FALSE),"")</f>
        <v/>
      </c>
      <c r="D4435" s="16" t="str">
        <f>IFERROR(VLOOKUP(C4435,DATA!#REF!,2,FALSE),"")</f>
        <v/>
      </c>
    </row>
    <row r="4436" spans="3:4" s="237" customFormat="1">
      <c r="C4436" s="16" t="str">
        <f>IFERROR(VLOOKUP(DATA!#REF!,DATA!#REF!,1,FALSE),"")</f>
        <v/>
      </c>
      <c r="D4436" s="16" t="str">
        <f>IFERROR(VLOOKUP(C4436,DATA!#REF!,2,FALSE),"")</f>
        <v/>
      </c>
    </row>
    <row r="4437" spans="3:4" s="237" customFormat="1">
      <c r="C4437" s="16" t="str">
        <f>IFERROR(VLOOKUP(DATA!#REF!,DATA!#REF!,1,FALSE),"")</f>
        <v/>
      </c>
      <c r="D4437" s="16" t="str">
        <f>IFERROR(VLOOKUP(C4437,DATA!#REF!,2,FALSE),"")</f>
        <v/>
      </c>
    </row>
    <row r="4438" spans="3:4" s="237" customFormat="1">
      <c r="C4438" s="16" t="str">
        <f>IFERROR(VLOOKUP(DATA!#REF!,DATA!#REF!,1,FALSE),"")</f>
        <v/>
      </c>
      <c r="D4438" s="16" t="str">
        <f>IFERROR(VLOOKUP(C4438,DATA!#REF!,2,FALSE),"")</f>
        <v/>
      </c>
    </row>
    <row r="4439" spans="3:4" s="237" customFormat="1">
      <c r="C4439" s="16" t="str">
        <f>IFERROR(VLOOKUP(DATA!#REF!,DATA!#REF!,1,FALSE),"")</f>
        <v/>
      </c>
      <c r="D4439" s="16" t="str">
        <f>IFERROR(VLOOKUP(C4439,DATA!#REF!,2,FALSE),"")</f>
        <v/>
      </c>
    </row>
    <row r="4440" spans="3:4" s="237" customFormat="1">
      <c r="C4440" s="16" t="str">
        <f>IFERROR(VLOOKUP(DATA!#REF!,DATA!#REF!,1,FALSE),"")</f>
        <v/>
      </c>
      <c r="D4440" s="16" t="str">
        <f>IFERROR(VLOOKUP(C4440,DATA!#REF!,2,FALSE),"")</f>
        <v/>
      </c>
    </row>
    <row r="4441" spans="3:4" s="237" customFormat="1">
      <c r="C4441" s="16" t="str">
        <f>IFERROR(VLOOKUP(DATA!#REF!,DATA!#REF!,1,FALSE),"")</f>
        <v/>
      </c>
      <c r="D4441" s="16" t="str">
        <f>IFERROR(VLOOKUP(C4441,DATA!#REF!,2,FALSE),"")</f>
        <v/>
      </c>
    </row>
    <row r="4442" spans="3:4" s="237" customFormat="1">
      <c r="C4442" s="16" t="str">
        <f>IFERROR(VLOOKUP(DATA!#REF!,DATA!#REF!,1,FALSE),"")</f>
        <v/>
      </c>
      <c r="D4442" s="16" t="str">
        <f>IFERROR(VLOOKUP(C4442,DATA!#REF!,2,FALSE),"")</f>
        <v/>
      </c>
    </row>
    <row r="4443" spans="3:4" s="237" customFormat="1">
      <c r="C4443" s="16" t="str">
        <f>IFERROR(VLOOKUP(DATA!#REF!,DATA!#REF!,1,FALSE),"")</f>
        <v/>
      </c>
      <c r="D4443" s="16" t="str">
        <f>IFERROR(VLOOKUP(C4443,DATA!#REF!,2,FALSE),"")</f>
        <v/>
      </c>
    </row>
    <row r="4444" spans="3:4" s="237" customFormat="1">
      <c r="C4444" s="16" t="str">
        <f>IFERROR(VLOOKUP(DATA!#REF!,DATA!#REF!,1,FALSE),"")</f>
        <v/>
      </c>
      <c r="D4444" s="16" t="str">
        <f>IFERROR(VLOOKUP(C4444,DATA!#REF!,2,FALSE),"")</f>
        <v/>
      </c>
    </row>
    <row r="4445" spans="3:4" s="237" customFormat="1">
      <c r="C4445" s="16" t="str">
        <f>IFERROR(VLOOKUP(DATA!#REF!,DATA!#REF!,1,FALSE),"")</f>
        <v/>
      </c>
      <c r="D4445" s="16" t="str">
        <f>IFERROR(VLOOKUP(C4445,DATA!#REF!,2,FALSE),"")</f>
        <v/>
      </c>
    </row>
    <row r="4446" spans="3:4" s="237" customFormat="1">
      <c r="C4446" s="16" t="str">
        <f>IFERROR(VLOOKUP(DATA!#REF!,DATA!#REF!,1,FALSE),"")</f>
        <v/>
      </c>
      <c r="D4446" s="16" t="str">
        <f>IFERROR(VLOOKUP(C4446,DATA!#REF!,2,FALSE),"")</f>
        <v/>
      </c>
    </row>
    <row r="4447" spans="3:4" s="237" customFormat="1">
      <c r="C4447" s="16" t="str">
        <f>IFERROR(VLOOKUP(DATA!#REF!,DATA!#REF!,1,FALSE),"")</f>
        <v/>
      </c>
      <c r="D4447" s="16" t="str">
        <f>IFERROR(VLOOKUP(C4447,DATA!#REF!,2,FALSE),"")</f>
        <v/>
      </c>
    </row>
    <row r="4448" spans="3:4" s="237" customFormat="1">
      <c r="C4448" s="16" t="str">
        <f>IFERROR(VLOOKUP(DATA!#REF!,DATA!#REF!,1,FALSE),"")</f>
        <v/>
      </c>
      <c r="D4448" s="16" t="str">
        <f>IFERROR(VLOOKUP(C4448,DATA!#REF!,2,FALSE),"")</f>
        <v/>
      </c>
    </row>
    <row r="4449" spans="3:4" s="237" customFormat="1">
      <c r="C4449" s="16" t="str">
        <f>IFERROR(VLOOKUP(DATA!#REF!,DATA!#REF!,1,FALSE),"")</f>
        <v/>
      </c>
      <c r="D4449" s="16" t="str">
        <f>IFERROR(VLOOKUP(C4449,DATA!#REF!,2,FALSE),"")</f>
        <v/>
      </c>
    </row>
    <row r="4450" spans="3:4" s="237" customFormat="1">
      <c r="C4450" s="16" t="str">
        <f>IFERROR(VLOOKUP(DATA!#REF!,DATA!#REF!,1,FALSE),"")</f>
        <v/>
      </c>
      <c r="D4450" s="16" t="str">
        <f>IFERROR(VLOOKUP(C4450,DATA!#REF!,2,FALSE),"")</f>
        <v/>
      </c>
    </row>
    <row r="4451" spans="3:4" s="237" customFormat="1">
      <c r="C4451" s="16" t="str">
        <f>IFERROR(VLOOKUP(DATA!#REF!,DATA!#REF!,1,FALSE),"")</f>
        <v/>
      </c>
      <c r="D4451" s="16" t="str">
        <f>IFERROR(VLOOKUP(C4451,DATA!#REF!,2,FALSE),"")</f>
        <v/>
      </c>
    </row>
    <row r="4452" spans="3:4" s="237" customFormat="1">
      <c r="C4452" s="16" t="str">
        <f>IFERROR(VLOOKUP(DATA!#REF!,DATA!#REF!,1,FALSE),"")</f>
        <v/>
      </c>
      <c r="D4452" s="16" t="str">
        <f>IFERROR(VLOOKUP(C4452,DATA!#REF!,2,FALSE),"")</f>
        <v/>
      </c>
    </row>
    <row r="4453" spans="3:4" s="237" customFormat="1">
      <c r="C4453" s="16" t="str">
        <f>IFERROR(VLOOKUP(DATA!#REF!,DATA!#REF!,1,FALSE),"")</f>
        <v/>
      </c>
      <c r="D4453" s="16" t="str">
        <f>IFERROR(VLOOKUP(C4453,DATA!#REF!,2,FALSE),"")</f>
        <v/>
      </c>
    </row>
    <row r="4454" spans="3:4" s="237" customFormat="1">
      <c r="C4454" s="16" t="str">
        <f>IFERROR(VLOOKUP(DATA!#REF!,DATA!#REF!,1,FALSE),"")</f>
        <v/>
      </c>
      <c r="D4454" s="16" t="str">
        <f>IFERROR(VLOOKUP(C4454,DATA!#REF!,2,FALSE),"")</f>
        <v/>
      </c>
    </row>
    <row r="4455" spans="3:4" s="237" customFormat="1">
      <c r="C4455" s="16" t="str">
        <f>IFERROR(VLOOKUP(DATA!#REF!,DATA!#REF!,1,FALSE),"")</f>
        <v/>
      </c>
      <c r="D4455" s="16" t="str">
        <f>IFERROR(VLOOKUP(C4455,DATA!#REF!,2,FALSE),"")</f>
        <v/>
      </c>
    </row>
    <row r="4456" spans="3:4" s="237" customFormat="1">
      <c r="C4456" s="16" t="str">
        <f>IFERROR(VLOOKUP(DATA!#REF!,DATA!#REF!,1,FALSE),"")</f>
        <v/>
      </c>
      <c r="D4456" s="16" t="str">
        <f>IFERROR(VLOOKUP(C4456,DATA!#REF!,2,FALSE),"")</f>
        <v/>
      </c>
    </row>
    <row r="4457" spans="3:4" s="237" customFormat="1">
      <c r="C4457" s="16" t="str">
        <f>IFERROR(VLOOKUP(DATA!#REF!,DATA!#REF!,1,FALSE),"")</f>
        <v/>
      </c>
      <c r="D4457" s="16" t="str">
        <f>IFERROR(VLOOKUP(C4457,DATA!#REF!,2,FALSE),"")</f>
        <v/>
      </c>
    </row>
    <row r="4458" spans="3:4" s="237" customFormat="1">
      <c r="C4458" s="16" t="str">
        <f>IFERROR(VLOOKUP(DATA!#REF!,DATA!#REF!,1,FALSE),"")</f>
        <v/>
      </c>
      <c r="D4458" s="16" t="str">
        <f>IFERROR(VLOOKUP(C4458,DATA!#REF!,2,FALSE),"")</f>
        <v/>
      </c>
    </row>
    <row r="4459" spans="3:4" s="237" customFormat="1">
      <c r="C4459" s="16" t="str">
        <f>IFERROR(VLOOKUP(DATA!#REF!,DATA!#REF!,1,FALSE),"")</f>
        <v/>
      </c>
      <c r="D4459" s="16" t="str">
        <f>IFERROR(VLOOKUP(C4459,DATA!#REF!,2,FALSE),"")</f>
        <v/>
      </c>
    </row>
    <row r="4460" spans="3:4" s="237" customFormat="1">
      <c r="C4460" s="16" t="str">
        <f>IFERROR(VLOOKUP(DATA!#REF!,DATA!#REF!,1,FALSE),"")</f>
        <v/>
      </c>
      <c r="D4460" s="16" t="str">
        <f>IFERROR(VLOOKUP(C4460,DATA!#REF!,2,FALSE),"")</f>
        <v/>
      </c>
    </row>
    <row r="4461" spans="3:4" s="237" customFormat="1">
      <c r="C4461" s="16" t="str">
        <f>IFERROR(VLOOKUP(DATA!#REF!,DATA!#REF!,1,FALSE),"")</f>
        <v/>
      </c>
      <c r="D4461" s="16" t="str">
        <f>IFERROR(VLOOKUP(C4461,DATA!#REF!,2,FALSE),"")</f>
        <v/>
      </c>
    </row>
    <row r="4462" spans="3:4" s="237" customFormat="1">
      <c r="C4462" s="16" t="str">
        <f>IFERROR(VLOOKUP(DATA!#REF!,DATA!#REF!,1,FALSE),"")</f>
        <v/>
      </c>
      <c r="D4462" s="16" t="str">
        <f>IFERROR(VLOOKUP(C4462,DATA!#REF!,2,FALSE),"")</f>
        <v/>
      </c>
    </row>
    <row r="4463" spans="3:4" s="237" customFormat="1">
      <c r="C4463" s="16" t="str">
        <f>IFERROR(VLOOKUP(DATA!#REF!,DATA!#REF!,1,FALSE),"")</f>
        <v/>
      </c>
      <c r="D4463" s="16" t="str">
        <f>IFERROR(VLOOKUP(C4463,DATA!#REF!,2,FALSE),"")</f>
        <v/>
      </c>
    </row>
    <row r="4464" spans="3:4" s="237" customFormat="1">
      <c r="C4464" s="16" t="str">
        <f>IFERROR(VLOOKUP(DATA!#REF!,DATA!#REF!,1,FALSE),"")</f>
        <v/>
      </c>
      <c r="D4464" s="16" t="str">
        <f>IFERROR(VLOOKUP(C4464,DATA!#REF!,2,FALSE),"")</f>
        <v/>
      </c>
    </row>
    <row r="4465" spans="3:4" s="237" customFormat="1">
      <c r="C4465" s="16" t="str">
        <f>IFERROR(VLOOKUP(DATA!#REF!,DATA!#REF!,1,FALSE),"")</f>
        <v/>
      </c>
      <c r="D4465" s="16" t="str">
        <f>IFERROR(VLOOKUP(C4465,DATA!#REF!,2,FALSE),"")</f>
        <v/>
      </c>
    </row>
    <row r="4466" spans="3:4" s="237" customFormat="1">
      <c r="C4466" s="16" t="str">
        <f>IFERROR(VLOOKUP(DATA!#REF!,DATA!#REF!,1,FALSE),"")</f>
        <v/>
      </c>
      <c r="D4466" s="16" t="str">
        <f>IFERROR(VLOOKUP(C4466,DATA!#REF!,2,FALSE),"")</f>
        <v/>
      </c>
    </row>
    <row r="4467" spans="3:4" s="237" customFormat="1">
      <c r="C4467" s="16" t="str">
        <f>IFERROR(VLOOKUP(DATA!#REF!,DATA!#REF!,1,FALSE),"")</f>
        <v/>
      </c>
      <c r="D4467" s="16" t="str">
        <f>IFERROR(VLOOKUP(C4467,DATA!#REF!,2,FALSE),"")</f>
        <v/>
      </c>
    </row>
    <row r="4468" spans="3:4" s="237" customFormat="1">
      <c r="C4468" s="16" t="str">
        <f>IFERROR(VLOOKUP(DATA!#REF!,DATA!#REF!,1,FALSE),"")</f>
        <v/>
      </c>
      <c r="D4468" s="16" t="str">
        <f>IFERROR(VLOOKUP(C4468,DATA!#REF!,2,FALSE),"")</f>
        <v/>
      </c>
    </row>
    <row r="4469" spans="3:4" s="237" customFormat="1">
      <c r="C4469" s="16" t="str">
        <f>IFERROR(VLOOKUP(DATA!#REF!,DATA!#REF!,1,FALSE),"")</f>
        <v/>
      </c>
      <c r="D4469" s="16" t="str">
        <f>IFERROR(VLOOKUP(C4469,DATA!#REF!,2,FALSE),"")</f>
        <v/>
      </c>
    </row>
    <row r="4470" spans="3:4" s="237" customFormat="1">
      <c r="C4470" s="16" t="str">
        <f>IFERROR(VLOOKUP(DATA!#REF!,DATA!#REF!,1,FALSE),"")</f>
        <v/>
      </c>
      <c r="D4470" s="16" t="str">
        <f>IFERROR(VLOOKUP(C4470,DATA!#REF!,2,FALSE),"")</f>
        <v/>
      </c>
    </row>
    <row r="4471" spans="3:4" s="237" customFormat="1">
      <c r="C4471" s="16" t="str">
        <f>IFERROR(VLOOKUP(DATA!#REF!,DATA!#REF!,1,FALSE),"")</f>
        <v/>
      </c>
      <c r="D4471" s="16" t="str">
        <f>IFERROR(VLOOKUP(C4471,DATA!#REF!,2,FALSE),"")</f>
        <v/>
      </c>
    </row>
    <row r="4472" spans="3:4" s="237" customFormat="1">
      <c r="C4472" s="16" t="str">
        <f>IFERROR(VLOOKUP(DATA!#REF!,DATA!#REF!,1,FALSE),"")</f>
        <v/>
      </c>
      <c r="D4472" s="16" t="str">
        <f>IFERROR(VLOOKUP(C4472,DATA!#REF!,2,FALSE),"")</f>
        <v/>
      </c>
    </row>
    <row r="4473" spans="3:4" s="237" customFormat="1">
      <c r="C4473" s="16" t="str">
        <f>IFERROR(VLOOKUP(DATA!#REF!,DATA!#REF!,1,FALSE),"")</f>
        <v/>
      </c>
      <c r="D4473" s="16" t="str">
        <f>IFERROR(VLOOKUP(C4473,DATA!#REF!,2,FALSE),"")</f>
        <v/>
      </c>
    </row>
    <row r="4474" spans="3:4" s="237" customFormat="1">
      <c r="C4474" s="16" t="str">
        <f>IFERROR(VLOOKUP(DATA!#REF!,DATA!#REF!,1,FALSE),"")</f>
        <v/>
      </c>
      <c r="D4474" s="16" t="str">
        <f>IFERROR(VLOOKUP(C4474,DATA!#REF!,2,FALSE),"")</f>
        <v/>
      </c>
    </row>
    <row r="4475" spans="3:4" s="237" customFormat="1">
      <c r="C4475" s="16" t="str">
        <f>IFERROR(VLOOKUP(DATA!#REF!,DATA!#REF!,1,FALSE),"")</f>
        <v/>
      </c>
      <c r="D4475" s="16" t="str">
        <f>IFERROR(VLOOKUP(C4475,DATA!#REF!,2,FALSE),"")</f>
        <v/>
      </c>
    </row>
    <row r="4476" spans="3:4" s="237" customFormat="1">
      <c r="C4476" s="16" t="str">
        <f>IFERROR(VLOOKUP(DATA!#REF!,DATA!#REF!,1,FALSE),"")</f>
        <v/>
      </c>
      <c r="D4476" s="16" t="str">
        <f>IFERROR(VLOOKUP(C4476,DATA!#REF!,2,FALSE),"")</f>
        <v/>
      </c>
    </row>
    <row r="4477" spans="3:4" s="237" customFormat="1">
      <c r="C4477" s="16" t="str">
        <f>IFERROR(VLOOKUP(DATA!#REF!,DATA!#REF!,1,FALSE),"")</f>
        <v/>
      </c>
      <c r="D4477" s="16" t="str">
        <f>IFERROR(VLOOKUP(C4477,DATA!#REF!,2,FALSE),"")</f>
        <v/>
      </c>
    </row>
    <row r="4478" spans="3:4" s="237" customFormat="1">
      <c r="C4478" s="16" t="str">
        <f>IFERROR(VLOOKUP(DATA!#REF!,DATA!#REF!,1,FALSE),"")</f>
        <v/>
      </c>
      <c r="D4478" s="16" t="str">
        <f>IFERROR(VLOOKUP(C4478,DATA!#REF!,2,FALSE),"")</f>
        <v/>
      </c>
    </row>
    <row r="4479" spans="3:4" s="237" customFormat="1">
      <c r="C4479" s="16" t="str">
        <f>IFERROR(VLOOKUP(DATA!#REF!,DATA!#REF!,1,FALSE),"")</f>
        <v/>
      </c>
      <c r="D4479" s="16" t="str">
        <f>IFERROR(VLOOKUP(C4479,DATA!#REF!,2,FALSE),"")</f>
        <v/>
      </c>
    </row>
    <row r="4480" spans="3:4" s="237" customFormat="1">
      <c r="C4480" s="16" t="str">
        <f>IFERROR(VLOOKUP(DATA!#REF!,DATA!#REF!,1,FALSE),"")</f>
        <v/>
      </c>
      <c r="D4480" s="16" t="str">
        <f>IFERROR(VLOOKUP(C4480,DATA!#REF!,2,FALSE),"")</f>
        <v/>
      </c>
    </row>
    <row r="4481" spans="3:4" s="237" customFormat="1">
      <c r="C4481" s="16" t="str">
        <f>IFERROR(VLOOKUP(DATA!#REF!,DATA!#REF!,1,FALSE),"")</f>
        <v/>
      </c>
      <c r="D4481" s="16" t="str">
        <f>IFERROR(VLOOKUP(C4481,DATA!#REF!,2,FALSE),"")</f>
        <v/>
      </c>
    </row>
    <row r="4482" spans="3:4" s="237" customFormat="1">
      <c r="C4482" s="16" t="str">
        <f>IFERROR(VLOOKUP(DATA!#REF!,DATA!#REF!,1,FALSE),"")</f>
        <v/>
      </c>
      <c r="D4482" s="16" t="str">
        <f>IFERROR(VLOOKUP(C4482,DATA!#REF!,2,FALSE),"")</f>
        <v/>
      </c>
    </row>
    <row r="4483" spans="3:4" s="237" customFormat="1">
      <c r="C4483" s="16" t="str">
        <f>IFERROR(VLOOKUP(DATA!#REF!,DATA!#REF!,1,FALSE),"")</f>
        <v/>
      </c>
      <c r="D4483" s="16" t="str">
        <f>IFERROR(VLOOKUP(C4483,DATA!#REF!,2,FALSE),"")</f>
        <v/>
      </c>
    </row>
    <row r="4484" spans="3:4" s="237" customFormat="1">
      <c r="C4484" s="16" t="str">
        <f>IFERROR(VLOOKUP(DATA!#REF!,DATA!#REF!,1,FALSE),"")</f>
        <v/>
      </c>
      <c r="D4484" s="16" t="str">
        <f>IFERROR(VLOOKUP(C4484,DATA!#REF!,2,FALSE),"")</f>
        <v/>
      </c>
    </row>
    <row r="4485" spans="3:4" s="237" customFormat="1">
      <c r="C4485" s="16" t="str">
        <f>IFERROR(VLOOKUP(DATA!#REF!,DATA!#REF!,1,FALSE),"")</f>
        <v/>
      </c>
      <c r="D4485" s="16" t="str">
        <f>IFERROR(VLOOKUP(C4485,DATA!#REF!,2,FALSE),"")</f>
        <v/>
      </c>
    </row>
    <row r="4486" spans="3:4" s="237" customFormat="1">
      <c r="C4486" s="16" t="str">
        <f>IFERROR(VLOOKUP(DATA!#REF!,DATA!#REF!,1,FALSE),"")</f>
        <v/>
      </c>
      <c r="D4486" s="16" t="str">
        <f>IFERROR(VLOOKUP(C4486,DATA!#REF!,2,FALSE),"")</f>
        <v/>
      </c>
    </row>
    <row r="4487" spans="3:4" s="237" customFormat="1">
      <c r="C4487" s="16" t="str">
        <f>IFERROR(VLOOKUP(DATA!#REF!,DATA!#REF!,1,FALSE),"")</f>
        <v/>
      </c>
      <c r="D4487" s="16" t="str">
        <f>IFERROR(VLOOKUP(C4487,DATA!#REF!,2,FALSE),"")</f>
        <v/>
      </c>
    </row>
    <row r="4488" spans="3:4" s="237" customFormat="1">
      <c r="C4488" s="16" t="str">
        <f>IFERROR(VLOOKUP(DATA!#REF!,DATA!#REF!,1,FALSE),"")</f>
        <v/>
      </c>
      <c r="D4488" s="16" t="str">
        <f>IFERROR(VLOOKUP(C4488,DATA!#REF!,2,FALSE),"")</f>
        <v/>
      </c>
    </row>
    <row r="4489" spans="3:4" s="237" customFormat="1">
      <c r="C4489" s="16" t="str">
        <f>IFERROR(VLOOKUP(DATA!#REF!,DATA!#REF!,1,FALSE),"")</f>
        <v/>
      </c>
      <c r="D4489" s="16" t="str">
        <f>IFERROR(VLOOKUP(C4489,DATA!#REF!,2,FALSE),"")</f>
        <v/>
      </c>
    </row>
    <row r="4490" spans="3:4" s="237" customFormat="1">
      <c r="C4490" s="16" t="str">
        <f>IFERROR(VLOOKUP(DATA!#REF!,DATA!#REF!,1,FALSE),"")</f>
        <v/>
      </c>
      <c r="D4490" s="16" t="str">
        <f>IFERROR(VLOOKUP(C4490,DATA!#REF!,2,FALSE),"")</f>
        <v/>
      </c>
    </row>
    <row r="4491" spans="3:4" s="237" customFormat="1">
      <c r="C4491" s="16" t="str">
        <f>IFERROR(VLOOKUP(DATA!#REF!,DATA!#REF!,1,FALSE),"")</f>
        <v/>
      </c>
      <c r="D4491" s="16" t="str">
        <f>IFERROR(VLOOKUP(C4491,DATA!#REF!,2,FALSE),"")</f>
        <v/>
      </c>
    </row>
    <row r="4492" spans="3:4" s="237" customFormat="1">
      <c r="C4492" s="16" t="str">
        <f>IFERROR(VLOOKUP(DATA!#REF!,DATA!#REF!,1,FALSE),"")</f>
        <v/>
      </c>
      <c r="D4492" s="16" t="str">
        <f>IFERROR(VLOOKUP(C4492,DATA!#REF!,2,FALSE),"")</f>
        <v/>
      </c>
    </row>
    <row r="4493" spans="3:4" s="237" customFormat="1">
      <c r="C4493" s="16" t="str">
        <f>IFERROR(VLOOKUP(DATA!#REF!,DATA!#REF!,1,FALSE),"")</f>
        <v/>
      </c>
      <c r="D4493" s="16" t="str">
        <f>IFERROR(VLOOKUP(C4493,DATA!#REF!,2,FALSE),"")</f>
        <v/>
      </c>
    </row>
    <row r="4494" spans="3:4" s="237" customFormat="1">
      <c r="C4494" s="16" t="str">
        <f>IFERROR(VLOOKUP(DATA!#REF!,DATA!#REF!,1,FALSE),"")</f>
        <v/>
      </c>
      <c r="D4494" s="16" t="str">
        <f>IFERROR(VLOOKUP(C4494,DATA!#REF!,2,FALSE),"")</f>
        <v/>
      </c>
    </row>
    <row r="4495" spans="3:4" s="237" customFormat="1">
      <c r="C4495" s="16" t="str">
        <f>IFERROR(VLOOKUP(DATA!#REF!,DATA!#REF!,1,FALSE),"")</f>
        <v/>
      </c>
      <c r="D4495" s="16" t="str">
        <f>IFERROR(VLOOKUP(C4495,DATA!#REF!,2,FALSE),"")</f>
        <v/>
      </c>
    </row>
    <row r="4496" spans="3:4" s="237" customFormat="1">
      <c r="C4496" s="16" t="str">
        <f>IFERROR(VLOOKUP(DATA!#REF!,DATA!#REF!,1,FALSE),"")</f>
        <v/>
      </c>
      <c r="D4496" s="16" t="str">
        <f>IFERROR(VLOOKUP(C4496,DATA!#REF!,2,FALSE),"")</f>
        <v/>
      </c>
    </row>
    <row r="4497" spans="3:4" s="237" customFormat="1">
      <c r="C4497" s="16" t="str">
        <f>IFERROR(VLOOKUP(DATA!#REF!,DATA!#REF!,1,FALSE),"")</f>
        <v/>
      </c>
      <c r="D4497" s="16" t="str">
        <f>IFERROR(VLOOKUP(C4497,DATA!#REF!,2,FALSE),"")</f>
        <v/>
      </c>
    </row>
    <row r="4498" spans="3:4" s="237" customFormat="1">
      <c r="C4498" s="16" t="str">
        <f>IFERROR(VLOOKUP(DATA!#REF!,DATA!#REF!,1,FALSE),"")</f>
        <v/>
      </c>
      <c r="D4498" s="16" t="str">
        <f>IFERROR(VLOOKUP(C4498,DATA!#REF!,2,FALSE),"")</f>
        <v/>
      </c>
    </row>
    <row r="4499" spans="3:4" s="237" customFormat="1">
      <c r="C4499" s="16" t="str">
        <f>IFERROR(VLOOKUP(DATA!#REF!,DATA!#REF!,1,FALSE),"")</f>
        <v/>
      </c>
      <c r="D4499" s="16" t="str">
        <f>IFERROR(VLOOKUP(C4499,DATA!#REF!,2,FALSE),"")</f>
        <v/>
      </c>
    </row>
    <row r="4500" spans="3:4" s="237" customFormat="1">
      <c r="C4500" s="16" t="str">
        <f>IFERROR(VLOOKUP(DATA!#REF!,DATA!#REF!,1,FALSE),"")</f>
        <v/>
      </c>
      <c r="D4500" s="16" t="str">
        <f>IFERROR(VLOOKUP(C4500,DATA!#REF!,2,FALSE),"")</f>
        <v/>
      </c>
    </row>
    <row r="4501" spans="3:4" s="237" customFormat="1">
      <c r="C4501" s="16" t="str">
        <f>IFERROR(VLOOKUP(DATA!#REF!,DATA!#REF!,1,FALSE),"")</f>
        <v/>
      </c>
      <c r="D4501" s="16" t="str">
        <f>IFERROR(VLOOKUP(C4501,DATA!#REF!,2,FALSE),"")</f>
        <v/>
      </c>
    </row>
    <row r="4502" spans="3:4" s="237" customFormat="1">
      <c r="C4502" s="16" t="str">
        <f>IFERROR(VLOOKUP(DATA!#REF!,DATA!#REF!,1,FALSE),"")</f>
        <v/>
      </c>
      <c r="D4502" s="16" t="str">
        <f>IFERROR(VLOOKUP(C4502,DATA!#REF!,2,FALSE),"")</f>
        <v/>
      </c>
    </row>
    <row r="4503" spans="3:4" s="237" customFormat="1">
      <c r="C4503" s="16" t="str">
        <f>IFERROR(VLOOKUP(DATA!#REF!,DATA!#REF!,1,FALSE),"")</f>
        <v/>
      </c>
      <c r="D4503" s="16" t="str">
        <f>IFERROR(VLOOKUP(C4503,DATA!#REF!,2,FALSE),"")</f>
        <v/>
      </c>
    </row>
    <row r="4504" spans="3:4" s="237" customFormat="1">
      <c r="C4504" s="16" t="str">
        <f>IFERROR(VLOOKUP(DATA!#REF!,DATA!#REF!,1,FALSE),"")</f>
        <v/>
      </c>
      <c r="D4504" s="16" t="str">
        <f>IFERROR(VLOOKUP(C4504,DATA!#REF!,2,FALSE),"")</f>
        <v/>
      </c>
    </row>
    <row r="4505" spans="3:4" s="237" customFormat="1">
      <c r="C4505" s="16" t="str">
        <f>IFERROR(VLOOKUP(DATA!#REF!,DATA!#REF!,1,FALSE),"")</f>
        <v/>
      </c>
      <c r="D4505" s="16" t="str">
        <f>IFERROR(VLOOKUP(C4505,DATA!#REF!,2,FALSE),"")</f>
        <v/>
      </c>
    </row>
    <row r="4506" spans="3:4" s="237" customFormat="1">
      <c r="C4506" s="16" t="str">
        <f>IFERROR(VLOOKUP(DATA!#REF!,DATA!#REF!,1,FALSE),"")</f>
        <v/>
      </c>
      <c r="D4506" s="16" t="str">
        <f>IFERROR(VLOOKUP(C4506,DATA!#REF!,2,FALSE),"")</f>
        <v/>
      </c>
    </row>
    <row r="4507" spans="3:4" s="237" customFormat="1">
      <c r="C4507" s="16" t="str">
        <f>IFERROR(VLOOKUP(DATA!#REF!,DATA!#REF!,1,FALSE),"")</f>
        <v/>
      </c>
      <c r="D4507" s="16" t="str">
        <f>IFERROR(VLOOKUP(C4507,DATA!#REF!,2,FALSE),"")</f>
        <v/>
      </c>
    </row>
    <row r="4508" spans="3:4" s="237" customFormat="1">
      <c r="C4508" s="16" t="str">
        <f>IFERROR(VLOOKUP(DATA!#REF!,DATA!#REF!,1,FALSE),"")</f>
        <v/>
      </c>
      <c r="D4508" s="16" t="str">
        <f>IFERROR(VLOOKUP(C4508,DATA!#REF!,2,FALSE),"")</f>
        <v/>
      </c>
    </row>
    <row r="4509" spans="3:4" s="237" customFormat="1">
      <c r="C4509" s="16" t="str">
        <f>IFERROR(VLOOKUP(DATA!#REF!,DATA!#REF!,1,FALSE),"")</f>
        <v/>
      </c>
      <c r="D4509" s="16" t="str">
        <f>IFERROR(VLOOKUP(C4509,DATA!#REF!,2,FALSE),"")</f>
        <v/>
      </c>
    </row>
    <row r="4510" spans="3:4" s="237" customFormat="1">
      <c r="C4510" s="16" t="str">
        <f>IFERROR(VLOOKUP(DATA!#REF!,DATA!#REF!,1,FALSE),"")</f>
        <v/>
      </c>
      <c r="D4510" s="16" t="str">
        <f>IFERROR(VLOOKUP(C4510,DATA!#REF!,2,FALSE),"")</f>
        <v/>
      </c>
    </row>
    <row r="4511" spans="3:4" s="237" customFormat="1">
      <c r="C4511" s="16" t="str">
        <f>IFERROR(VLOOKUP(DATA!#REF!,DATA!#REF!,1,FALSE),"")</f>
        <v/>
      </c>
      <c r="D4511" s="16" t="str">
        <f>IFERROR(VLOOKUP(C4511,DATA!#REF!,2,FALSE),"")</f>
        <v/>
      </c>
    </row>
    <row r="4512" spans="3:4" s="237" customFormat="1">
      <c r="C4512" s="16" t="str">
        <f>IFERROR(VLOOKUP(DATA!#REF!,DATA!#REF!,1,FALSE),"")</f>
        <v/>
      </c>
      <c r="D4512" s="16" t="str">
        <f>IFERROR(VLOOKUP(C4512,DATA!#REF!,2,FALSE),"")</f>
        <v/>
      </c>
    </row>
    <row r="4513" spans="3:4" s="237" customFormat="1">
      <c r="C4513" s="16" t="str">
        <f>IFERROR(VLOOKUP(DATA!#REF!,DATA!#REF!,1,FALSE),"")</f>
        <v/>
      </c>
      <c r="D4513" s="16" t="str">
        <f>IFERROR(VLOOKUP(C4513,DATA!#REF!,2,FALSE),"")</f>
        <v/>
      </c>
    </row>
    <row r="4514" spans="3:4" s="237" customFormat="1">
      <c r="C4514" s="16" t="str">
        <f>IFERROR(VLOOKUP(DATA!#REF!,DATA!#REF!,1,FALSE),"")</f>
        <v/>
      </c>
      <c r="D4514" s="16" t="str">
        <f>IFERROR(VLOOKUP(C4514,DATA!#REF!,2,FALSE),"")</f>
        <v/>
      </c>
    </row>
    <row r="4515" spans="3:4" s="237" customFormat="1">
      <c r="C4515" s="16" t="str">
        <f>IFERROR(VLOOKUP(DATA!#REF!,DATA!#REF!,1,FALSE),"")</f>
        <v/>
      </c>
      <c r="D4515" s="16" t="str">
        <f>IFERROR(VLOOKUP(C4515,DATA!#REF!,2,FALSE),"")</f>
        <v/>
      </c>
    </row>
    <row r="4516" spans="3:4" s="237" customFormat="1">
      <c r="C4516" s="16" t="str">
        <f>IFERROR(VLOOKUP(DATA!#REF!,DATA!#REF!,1,FALSE),"")</f>
        <v/>
      </c>
      <c r="D4516" s="16" t="str">
        <f>IFERROR(VLOOKUP(C4516,DATA!#REF!,2,FALSE),"")</f>
        <v/>
      </c>
    </row>
    <row r="4517" spans="3:4" s="237" customFormat="1">
      <c r="C4517" s="16" t="str">
        <f>IFERROR(VLOOKUP(DATA!#REF!,DATA!#REF!,1,FALSE),"")</f>
        <v/>
      </c>
      <c r="D4517" s="16" t="str">
        <f>IFERROR(VLOOKUP(C4517,DATA!#REF!,2,FALSE),"")</f>
        <v/>
      </c>
    </row>
    <row r="4518" spans="3:4" s="237" customFormat="1">
      <c r="C4518" s="16" t="str">
        <f>IFERROR(VLOOKUP(DATA!#REF!,DATA!#REF!,1,FALSE),"")</f>
        <v/>
      </c>
      <c r="D4518" s="16" t="str">
        <f>IFERROR(VLOOKUP(C4518,DATA!#REF!,2,FALSE),"")</f>
        <v/>
      </c>
    </row>
    <row r="4519" spans="3:4" s="237" customFormat="1">
      <c r="C4519" s="16" t="str">
        <f>IFERROR(VLOOKUP(DATA!#REF!,DATA!#REF!,1,FALSE),"")</f>
        <v/>
      </c>
      <c r="D4519" s="16" t="str">
        <f>IFERROR(VLOOKUP(C4519,DATA!#REF!,2,FALSE),"")</f>
        <v/>
      </c>
    </row>
    <row r="4520" spans="3:4" s="237" customFormat="1">
      <c r="C4520" s="16" t="str">
        <f>IFERROR(VLOOKUP(DATA!#REF!,DATA!#REF!,1,FALSE),"")</f>
        <v/>
      </c>
      <c r="D4520" s="16" t="str">
        <f>IFERROR(VLOOKUP(C4520,DATA!#REF!,2,FALSE),"")</f>
        <v/>
      </c>
    </row>
    <row r="4521" spans="3:4" s="237" customFormat="1">
      <c r="C4521" s="16" t="str">
        <f>IFERROR(VLOOKUP(DATA!#REF!,DATA!#REF!,1,FALSE),"")</f>
        <v/>
      </c>
      <c r="D4521" s="16" t="str">
        <f>IFERROR(VLOOKUP(C4521,DATA!#REF!,2,FALSE),"")</f>
        <v/>
      </c>
    </row>
    <row r="4522" spans="3:4" s="237" customFormat="1">
      <c r="C4522" s="16" t="str">
        <f>IFERROR(VLOOKUP(DATA!#REF!,DATA!#REF!,1,FALSE),"")</f>
        <v/>
      </c>
      <c r="D4522" s="16" t="str">
        <f>IFERROR(VLOOKUP(C4522,DATA!#REF!,2,FALSE),"")</f>
        <v/>
      </c>
    </row>
    <row r="4523" spans="3:4" s="237" customFormat="1">
      <c r="C4523" s="16" t="str">
        <f>IFERROR(VLOOKUP(DATA!#REF!,DATA!#REF!,1,FALSE),"")</f>
        <v/>
      </c>
      <c r="D4523" s="16" t="str">
        <f>IFERROR(VLOOKUP(C4523,DATA!#REF!,2,FALSE),"")</f>
        <v/>
      </c>
    </row>
    <row r="4524" spans="3:4" s="237" customFormat="1">
      <c r="C4524" s="16" t="str">
        <f>IFERROR(VLOOKUP(DATA!#REF!,DATA!#REF!,1,FALSE),"")</f>
        <v/>
      </c>
      <c r="D4524" s="16" t="str">
        <f>IFERROR(VLOOKUP(C4524,DATA!#REF!,2,FALSE),"")</f>
        <v/>
      </c>
    </row>
    <row r="4525" spans="3:4" s="237" customFormat="1">
      <c r="C4525" s="16" t="str">
        <f>IFERROR(VLOOKUP(DATA!#REF!,DATA!#REF!,1,FALSE),"")</f>
        <v/>
      </c>
      <c r="D4525" s="16" t="str">
        <f>IFERROR(VLOOKUP(C4525,DATA!#REF!,2,FALSE),"")</f>
        <v/>
      </c>
    </row>
    <row r="4526" spans="3:4" s="237" customFormat="1">
      <c r="C4526" s="16" t="str">
        <f>IFERROR(VLOOKUP(DATA!#REF!,DATA!#REF!,1,FALSE),"")</f>
        <v/>
      </c>
      <c r="D4526" s="16" t="str">
        <f>IFERROR(VLOOKUP(C4526,DATA!#REF!,2,FALSE),"")</f>
        <v/>
      </c>
    </row>
    <row r="4527" spans="3:4" s="237" customFormat="1">
      <c r="C4527" s="16" t="str">
        <f>IFERROR(VLOOKUP(DATA!#REF!,DATA!#REF!,1,FALSE),"")</f>
        <v/>
      </c>
      <c r="D4527" s="16" t="str">
        <f>IFERROR(VLOOKUP(C4527,DATA!#REF!,2,FALSE),"")</f>
        <v/>
      </c>
    </row>
    <row r="4528" spans="3:4" s="237" customFormat="1">
      <c r="C4528" s="16" t="str">
        <f>IFERROR(VLOOKUP(DATA!#REF!,DATA!#REF!,1,FALSE),"")</f>
        <v/>
      </c>
      <c r="D4528" s="16" t="str">
        <f>IFERROR(VLOOKUP(C4528,DATA!#REF!,2,FALSE),"")</f>
        <v/>
      </c>
    </row>
    <row r="4529" spans="3:4" s="237" customFormat="1">
      <c r="C4529" s="16" t="str">
        <f>IFERROR(VLOOKUP(DATA!#REF!,DATA!#REF!,1,FALSE),"")</f>
        <v/>
      </c>
      <c r="D4529" s="16" t="str">
        <f>IFERROR(VLOOKUP(C4529,DATA!#REF!,2,FALSE),"")</f>
        <v/>
      </c>
    </row>
    <row r="4530" spans="3:4" s="237" customFormat="1">
      <c r="C4530" s="16" t="str">
        <f>IFERROR(VLOOKUP(DATA!#REF!,DATA!#REF!,1,FALSE),"")</f>
        <v/>
      </c>
      <c r="D4530" s="16" t="str">
        <f>IFERROR(VLOOKUP(C4530,DATA!#REF!,2,FALSE),"")</f>
        <v/>
      </c>
    </row>
    <row r="4531" spans="3:4" s="237" customFormat="1">
      <c r="C4531" s="16" t="str">
        <f>IFERROR(VLOOKUP(DATA!#REF!,DATA!#REF!,1,FALSE),"")</f>
        <v/>
      </c>
      <c r="D4531" s="16" t="str">
        <f>IFERROR(VLOOKUP(C4531,DATA!#REF!,2,FALSE),"")</f>
        <v/>
      </c>
    </row>
    <row r="4532" spans="3:4" s="237" customFormat="1">
      <c r="C4532" s="16" t="str">
        <f>IFERROR(VLOOKUP(DATA!#REF!,DATA!#REF!,1,FALSE),"")</f>
        <v/>
      </c>
      <c r="D4532" s="16" t="str">
        <f>IFERROR(VLOOKUP(C4532,DATA!#REF!,2,FALSE),"")</f>
        <v/>
      </c>
    </row>
    <row r="4533" spans="3:4" s="237" customFormat="1">
      <c r="C4533" s="16" t="str">
        <f>IFERROR(VLOOKUP(DATA!#REF!,DATA!#REF!,1,FALSE),"")</f>
        <v/>
      </c>
      <c r="D4533" s="16" t="str">
        <f>IFERROR(VLOOKUP(C4533,DATA!#REF!,2,FALSE),"")</f>
        <v/>
      </c>
    </row>
    <row r="4534" spans="3:4" s="237" customFormat="1">
      <c r="C4534" s="16" t="str">
        <f>IFERROR(VLOOKUP(DATA!#REF!,DATA!#REF!,1,FALSE),"")</f>
        <v/>
      </c>
      <c r="D4534" s="16" t="str">
        <f>IFERROR(VLOOKUP(C4534,DATA!#REF!,2,FALSE),"")</f>
        <v/>
      </c>
    </row>
    <row r="4535" spans="3:4" s="237" customFormat="1">
      <c r="C4535" s="16" t="str">
        <f>IFERROR(VLOOKUP(DATA!#REF!,DATA!#REF!,1,FALSE),"")</f>
        <v/>
      </c>
      <c r="D4535" s="16" t="str">
        <f>IFERROR(VLOOKUP(C4535,DATA!#REF!,2,FALSE),"")</f>
        <v/>
      </c>
    </row>
    <row r="4536" spans="3:4" s="237" customFormat="1">
      <c r="C4536" s="16" t="str">
        <f>IFERROR(VLOOKUP(DATA!#REF!,DATA!#REF!,1,FALSE),"")</f>
        <v/>
      </c>
      <c r="D4536" s="16" t="str">
        <f>IFERROR(VLOOKUP(C4536,DATA!#REF!,2,FALSE),"")</f>
        <v/>
      </c>
    </row>
    <row r="4537" spans="3:4" s="237" customFormat="1">
      <c r="C4537" s="16" t="str">
        <f>IFERROR(VLOOKUP(DATA!#REF!,DATA!#REF!,1,FALSE),"")</f>
        <v/>
      </c>
      <c r="D4537" s="16" t="str">
        <f>IFERROR(VLOOKUP(C4537,DATA!#REF!,2,FALSE),"")</f>
        <v/>
      </c>
    </row>
    <row r="4538" spans="3:4" s="237" customFormat="1">
      <c r="C4538" s="16" t="str">
        <f>IFERROR(VLOOKUP(DATA!#REF!,DATA!#REF!,1,FALSE),"")</f>
        <v/>
      </c>
      <c r="D4538" s="16" t="str">
        <f>IFERROR(VLOOKUP(C4538,DATA!#REF!,2,FALSE),"")</f>
        <v/>
      </c>
    </row>
    <row r="4539" spans="3:4" s="237" customFormat="1">
      <c r="C4539" s="16" t="str">
        <f>IFERROR(VLOOKUP(DATA!#REF!,DATA!#REF!,1,FALSE),"")</f>
        <v/>
      </c>
      <c r="D4539" s="16" t="str">
        <f>IFERROR(VLOOKUP(C4539,DATA!#REF!,2,FALSE),"")</f>
        <v/>
      </c>
    </row>
    <row r="4540" spans="3:4" s="237" customFormat="1">
      <c r="C4540" s="16" t="str">
        <f>IFERROR(VLOOKUP(DATA!#REF!,DATA!#REF!,1,FALSE),"")</f>
        <v/>
      </c>
      <c r="D4540" s="16" t="str">
        <f>IFERROR(VLOOKUP(C4540,DATA!#REF!,2,FALSE),"")</f>
        <v/>
      </c>
    </row>
    <row r="4541" spans="3:4" s="237" customFormat="1">
      <c r="C4541" s="16" t="str">
        <f>IFERROR(VLOOKUP(DATA!#REF!,DATA!#REF!,1,FALSE),"")</f>
        <v/>
      </c>
      <c r="D4541" s="16" t="str">
        <f>IFERROR(VLOOKUP(C4541,DATA!#REF!,2,FALSE),"")</f>
        <v/>
      </c>
    </row>
    <row r="4542" spans="3:4" s="237" customFormat="1">
      <c r="C4542" s="16" t="str">
        <f>IFERROR(VLOOKUP(DATA!#REF!,DATA!#REF!,1,FALSE),"")</f>
        <v/>
      </c>
      <c r="D4542" s="16" t="str">
        <f>IFERROR(VLOOKUP(C4542,DATA!#REF!,2,FALSE),"")</f>
        <v/>
      </c>
    </row>
    <row r="4543" spans="3:4" s="237" customFormat="1">
      <c r="C4543" s="16" t="str">
        <f>IFERROR(VLOOKUP(DATA!#REF!,DATA!#REF!,1,FALSE),"")</f>
        <v/>
      </c>
      <c r="D4543" s="16" t="str">
        <f>IFERROR(VLOOKUP(C4543,DATA!#REF!,2,FALSE),"")</f>
        <v/>
      </c>
    </row>
    <row r="4544" spans="3:4" s="237" customFormat="1">
      <c r="C4544" s="16" t="str">
        <f>IFERROR(VLOOKUP(DATA!#REF!,DATA!#REF!,1,FALSE),"")</f>
        <v/>
      </c>
      <c r="D4544" s="16" t="str">
        <f>IFERROR(VLOOKUP(C4544,DATA!#REF!,2,FALSE),"")</f>
        <v/>
      </c>
    </row>
    <row r="4545" spans="3:4" s="237" customFormat="1">
      <c r="C4545" s="16" t="str">
        <f>IFERROR(VLOOKUP(DATA!#REF!,DATA!#REF!,1,FALSE),"")</f>
        <v/>
      </c>
      <c r="D4545" s="16" t="str">
        <f>IFERROR(VLOOKUP(C4545,DATA!#REF!,2,FALSE),"")</f>
        <v/>
      </c>
    </row>
    <row r="4546" spans="3:4" s="237" customFormat="1">
      <c r="C4546" s="16" t="str">
        <f>IFERROR(VLOOKUP(DATA!#REF!,DATA!#REF!,1,FALSE),"")</f>
        <v/>
      </c>
      <c r="D4546" s="16" t="str">
        <f>IFERROR(VLOOKUP(C4546,DATA!#REF!,2,FALSE),"")</f>
        <v/>
      </c>
    </row>
    <row r="4547" spans="3:4" s="237" customFormat="1">
      <c r="C4547" s="16" t="str">
        <f>IFERROR(VLOOKUP(DATA!#REF!,DATA!#REF!,1,FALSE),"")</f>
        <v/>
      </c>
      <c r="D4547" s="16" t="str">
        <f>IFERROR(VLOOKUP(C4547,DATA!#REF!,2,FALSE),"")</f>
        <v/>
      </c>
    </row>
    <row r="4548" spans="3:4" s="237" customFormat="1">
      <c r="C4548" s="16" t="str">
        <f>IFERROR(VLOOKUP(DATA!#REF!,DATA!#REF!,1,FALSE),"")</f>
        <v/>
      </c>
      <c r="D4548" s="16" t="str">
        <f>IFERROR(VLOOKUP(C4548,DATA!#REF!,2,FALSE),"")</f>
        <v/>
      </c>
    </row>
    <row r="4549" spans="3:4" s="237" customFormat="1">
      <c r="C4549" s="16" t="str">
        <f>IFERROR(VLOOKUP(DATA!#REF!,DATA!#REF!,1,FALSE),"")</f>
        <v/>
      </c>
      <c r="D4549" s="16" t="str">
        <f>IFERROR(VLOOKUP(C4549,DATA!#REF!,2,FALSE),"")</f>
        <v/>
      </c>
    </row>
    <row r="4550" spans="3:4" s="237" customFormat="1">
      <c r="C4550" s="16" t="str">
        <f>IFERROR(VLOOKUP(DATA!#REF!,DATA!#REF!,1,FALSE),"")</f>
        <v/>
      </c>
      <c r="D4550" s="16" t="str">
        <f>IFERROR(VLOOKUP(C4550,DATA!#REF!,2,FALSE),"")</f>
        <v/>
      </c>
    </row>
    <row r="4551" spans="3:4" s="237" customFormat="1">
      <c r="C4551" s="16" t="str">
        <f>IFERROR(VLOOKUP(DATA!#REF!,DATA!#REF!,1,FALSE),"")</f>
        <v/>
      </c>
      <c r="D4551" s="16" t="str">
        <f>IFERROR(VLOOKUP(C4551,DATA!#REF!,2,FALSE),"")</f>
        <v/>
      </c>
    </row>
    <row r="4552" spans="3:4" s="237" customFormat="1">
      <c r="C4552" s="16" t="str">
        <f>IFERROR(VLOOKUP(DATA!#REF!,DATA!#REF!,1,FALSE),"")</f>
        <v/>
      </c>
      <c r="D4552" s="16" t="str">
        <f>IFERROR(VLOOKUP(C4552,DATA!#REF!,2,FALSE),"")</f>
        <v/>
      </c>
    </row>
    <row r="4553" spans="3:4" s="237" customFormat="1">
      <c r="C4553" s="16" t="str">
        <f>IFERROR(VLOOKUP(DATA!#REF!,DATA!#REF!,1,FALSE),"")</f>
        <v/>
      </c>
      <c r="D4553" s="16" t="str">
        <f>IFERROR(VLOOKUP(C4553,DATA!#REF!,2,FALSE),"")</f>
        <v/>
      </c>
    </row>
    <row r="4554" spans="3:4" s="237" customFormat="1">
      <c r="C4554" s="16" t="str">
        <f>IFERROR(VLOOKUP(DATA!#REF!,DATA!#REF!,1,FALSE),"")</f>
        <v/>
      </c>
      <c r="D4554" s="16" t="str">
        <f>IFERROR(VLOOKUP(C4554,DATA!#REF!,2,FALSE),"")</f>
        <v/>
      </c>
    </row>
    <row r="4555" spans="3:4" s="237" customFormat="1">
      <c r="C4555" s="16" t="str">
        <f>IFERROR(VLOOKUP(DATA!#REF!,DATA!#REF!,1,FALSE),"")</f>
        <v/>
      </c>
      <c r="D4555" s="16" t="str">
        <f>IFERROR(VLOOKUP(C4555,DATA!#REF!,2,FALSE),"")</f>
        <v/>
      </c>
    </row>
    <row r="4556" spans="3:4" s="237" customFormat="1">
      <c r="C4556" s="16" t="str">
        <f>IFERROR(VLOOKUP(DATA!#REF!,DATA!#REF!,1,FALSE),"")</f>
        <v/>
      </c>
      <c r="D4556" s="16" t="str">
        <f>IFERROR(VLOOKUP(C4556,DATA!#REF!,2,FALSE),"")</f>
        <v/>
      </c>
    </row>
    <row r="4557" spans="3:4" s="237" customFormat="1">
      <c r="C4557" s="16" t="str">
        <f>IFERROR(VLOOKUP(DATA!#REF!,DATA!#REF!,1,FALSE),"")</f>
        <v/>
      </c>
      <c r="D4557" s="16" t="str">
        <f>IFERROR(VLOOKUP(C4557,DATA!#REF!,2,FALSE),"")</f>
        <v/>
      </c>
    </row>
    <row r="4558" spans="3:4" s="237" customFormat="1">
      <c r="C4558" s="16" t="str">
        <f>IFERROR(VLOOKUP(DATA!#REF!,DATA!#REF!,1,FALSE),"")</f>
        <v/>
      </c>
      <c r="D4558" s="16" t="str">
        <f>IFERROR(VLOOKUP(C4558,DATA!#REF!,2,FALSE),"")</f>
        <v/>
      </c>
    </row>
    <row r="4559" spans="3:4" s="237" customFormat="1">
      <c r="C4559" s="16" t="str">
        <f>IFERROR(VLOOKUP(DATA!#REF!,DATA!#REF!,1,FALSE),"")</f>
        <v/>
      </c>
      <c r="D4559" s="16" t="str">
        <f>IFERROR(VLOOKUP(C4559,DATA!#REF!,2,FALSE),"")</f>
        <v/>
      </c>
    </row>
    <row r="4560" spans="3:4" s="237" customFormat="1">
      <c r="C4560" s="16" t="str">
        <f>IFERROR(VLOOKUP(DATA!#REF!,DATA!#REF!,1,FALSE),"")</f>
        <v/>
      </c>
      <c r="D4560" s="16" t="str">
        <f>IFERROR(VLOOKUP(C4560,DATA!#REF!,2,FALSE),"")</f>
        <v/>
      </c>
    </row>
    <row r="4561" spans="3:4" s="237" customFormat="1">
      <c r="C4561" s="16" t="str">
        <f>IFERROR(VLOOKUP(DATA!#REF!,DATA!#REF!,1,FALSE),"")</f>
        <v/>
      </c>
      <c r="D4561" s="16" t="str">
        <f>IFERROR(VLOOKUP(C4561,DATA!#REF!,2,FALSE),"")</f>
        <v/>
      </c>
    </row>
    <row r="4562" spans="3:4" s="237" customFormat="1">
      <c r="C4562" s="16" t="str">
        <f>IFERROR(VLOOKUP(DATA!#REF!,DATA!#REF!,1,FALSE),"")</f>
        <v/>
      </c>
      <c r="D4562" s="16" t="str">
        <f>IFERROR(VLOOKUP(C4562,DATA!#REF!,2,FALSE),"")</f>
        <v/>
      </c>
    </row>
    <row r="4563" spans="3:4" s="237" customFormat="1">
      <c r="C4563" s="16" t="str">
        <f>IFERROR(VLOOKUP(DATA!#REF!,DATA!#REF!,1,FALSE),"")</f>
        <v/>
      </c>
      <c r="D4563" s="16" t="str">
        <f>IFERROR(VLOOKUP(C4563,DATA!#REF!,2,FALSE),"")</f>
        <v/>
      </c>
    </row>
    <row r="4564" spans="3:4" s="237" customFormat="1">
      <c r="C4564" s="16" t="str">
        <f>IFERROR(VLOOKUP(DATA!#REF!,DATA!#REF!,1,FALSE),"")</f>
        <v/>
      </c>
      <c r="D4564" s="16" t="str">
        <f>IFERROR(VLOOKUP(C4564,DATA!#REF!,2,FALSE),"")</f>
        <v/>
      </c>
    </row>
    <row r="4565" spans="3:4" s="237" customFormat="1">
      <c r="C4565" s="16" t="str">
        <f>IFERROR(VLOOKUP(DATA!#REF!,DATA!#REF!,1,FALSE),"")</f>
        <v/>
      </c>
      <c r="D4565" s="16" t="str">
        <f>IFERROR(VLOOKUP(C4565,DATA!#REF!,2,FALSE),"")</f>
        <v/>
      </c>
    </row>
    <row r="4566" spans="3:4" s="237" customFormat="1">
      <c r="C4566" s="16" t="str">
        <f>IFERROR(VLOOKUP(DATA!#REF!,DATA!#REF!,1,FALSE),"")</f>
        <v/>
      </c>
      <c r="D4566" s="16" t="str">
        <f>IFERROR(VLOOKUP(C4566,DATA!#REF!,2,FALSE),"")</f>
        <v/>
      </c>
    </row>
    <row r="4567" spans="3:4" s="237" customFormat="1">
      <c r="C4567" s="16" t="str">
        <f>IFERROR(VLOOKUP(DATA!#REF!,DATA!#REF!,1,FALSE),"")</f>
        <v/>
      </c>
      <c r="D4567" s="16" t="str">
        <f>IFERROR(VLOOKUP(C4567,DATA!#REF!,2,FALSE),"")</f>
        <v/>
      </c>
    </row>
    <row r="4568" spans="3:4" s="237" customFormat="1">
      <c r="C4568" s="16" t="str">
        <f>IFERROR(VLOOKUP(DATA!#REF!,DATA!#REF!,1,FALSE),"")</f>
        <v/>
      </c>
      <c r="D4568" s="16" t="str">
        <f>IFERROR(VLOOKUP(C4568,DATA!#REF!,2,FALSE),"")</f>
        <v/>
      </c>
    </row>
    <row r="4569" spans="3:4" s="237" customFormat="1">
      <c r="C4569" s="16" t="str">
        <f>IFERROR(VLOOKUP(DATA!#REF!,DATA!#REF!,1,FALSE),"")</f>
        <v/>
      </c>
      <c r="D4569" s="16" t="str">
        <f>IFERROR(VLOOKUP(C4569,DATA!#REF!,2,FALSE),"")</f>
        <v/>
      </c>
    </row>
    <row r="4570" spans="3:4" s="237" customFormat="1">
      <c r="C4570" s="16" t="str">
        <f>IFERROR(VLOOKUP(DATA!#REF!,DATA!#REF!,1,FALSE),"")</f>
        <v/>
      </c>
      <c r="D4570" s="16" t="str">
        <f>IFERROR(VLOOKUP(C4570,DATA!#REF!,2,FALSE),"")</f>
        <v/>
      </c>
    </row>
    <row r="4571" spans="3:4" s="237" customFormat="1">
      <c r="C4571" s="16" t="str">
        <f>IFERROR(VLOOKUP(DATA!#REF!,DATA!#REF!,1,FALSE),"")</f>
        <v/>
      </c>
      <c r="D4571" s="16" t="str">
        <f>IFERROR(VLOOKUP(C4571,DATA!#REF!,2,FALSE),"")</f>
        <v/>
      </c>
    </row>
    <row r="4572" spans="3:4" s="237" customFormat="1">
      <c r="C4572" s="16" t="str">
        <f>IFERROR(VLOOKUP(DATA!#REF!,DATA!#REF!,1,FALSE),"")</f>
        <v/>
      </c>
      <c r="D4572" s="16" t="str">
        <f>IFERROR(VLOOKUP(C4572,DATA!#REF!,2,FALSE),"")</f>
        <v/>
      </c>
    </row>
    <row r="4573" spans="3:4" s="237" customFormat="1">
      <c r="C4573" s="16" t="str">
        <f>IFERROR(VLOOKUP(DATA!#REF!,DATA!#REF!,1,FALSE),"")</f>
        <v/>
      </c>
      <c r="D4573" s="16" t="str">
        <f>IFERROR(VLOOKUP(C4573,DATA!#REF!,2,FALSE),"")</f>
        <v/>
      </c>
    </row>
    <row r="4574" spans="3:4" s="237" customFormat="1">
      <c r="C4574" s="16" t="str">
        <f>IFERROR(VLOOKUP(DATA!#REF!,DATA!#REF!,1,FALSE),"")</f>
        <v/>
      </c>
      <c r="D4574" s="16" t="str">
        <f>IFERROR(VLOOKUP(C4574,DATA!#REF!,2,FALSE),"")</f>
        <v/>
      </c>
    </row>
    <row r="4575" spans="3:4" s="237" customFormat="1">
      <c r="C4575" s="16" t="str">
        <f>IFERROR(VLOOKUP(DATA!#REF!,DATA!#REF!,1,FALSE),"")</f>
        <v/>
      </c>
      <c r="D4575" s="16" t="str">
        <f>IFERROR(VLOOKUP(C4575,DATA!#REF!,2,FALSE),"")</f>
        <v/>
      </c>
    </row>
    <row r="4576" spans="3:4" s="237" customFormat="1">
      <c r="C4576" s="16" t="str">
        <f>IFERROR(VLOOKUP(DATA!#REF!,DATA!#REF!,1,FALSE),"")</f>
        <v/>
      </c>
      <c r="D4576" s="16" t="str">
        <f>IFERROR(VLOOKUP(C4576,DATA!#REF!,2,FALSE),"")</f>
        <v/>
      </c>
    </row>
    <row r="4577" spans="3:4" s="237" customFormat="1">
      <c r="C4577" s="16" t="str">
        <f>IFERROR(VLOOKUP(DATA!#REF!,DATA!#REF!,1,FALSE),"")</f>
        <v/>
      </c>
      <c r="D4577" s="16" t="str">
        <f>IFERROR(VLOOKUP(C4577,DATA!#REF!,2,FALSE),"")</f>
        <v/>
      </c>
    </row>
    <row r="4578" spans="3:4" s="237" customFormat="1">
      <c r="C4578" s="16" t="str">
        <f>IFERROR(VLOOKUP(DATA!#REF!,DATA!#REF!,1,FALSE),"")</f>
        <v/>
      </c>
      <c r="D4578" s="16" t="str">
        <f>IFERROR(VLOOKUP(C4578,DATA!#REF!,2,FALSE),"")</f>
        <v/>
      </c>
    </row>
    <row r="4579" spans="3:4" s="237" customFormat="1">
      <c r="C4579" s="16" t="str">
        <f>IFERROR(VLOOKUP(DATA!#REF!,DATA!#REF!,1,FALSE),"")</f>
        <v/>
      </c>
      <c r="D4579" s="16" t="str">
        <f>IFERROR(VLOOKUP(C4579,DATA!#REF!,2,FALSE),"")</f>
        <v/>
      </c>
    </row>
    <row r="4580" spans="3:4" s="237" customFormat="1">
      <c r="C4580" s="16" t="str">
        <f>IFERROR(VLOOKUP(DATA!#REF!,DATA!#REF!,1,FALSE),"")</f>
        <v/>
      </c>
      <c r="D4580" s="16" t="str">
        <f>IFERROR(VLOOKUP(C4580,DATA!#REF!,2,FALSE),"")</f>
        <v/>
      </c>
    </row>
    <row r="4581" spans="3:4" s="237" customFormat="1">
      <c r="C4581" s="16" t="str">
        <f>IFERROR(VLOOKUP(DATA!#REF!,DATA!#REF!,1,FALSE),"")</f>
        <v/>
      </c>
      <c r="D4581" s="16" t="str">
        <f>IFERROR(VLOOKUP(C4581,DATA!#REF!,2,FALSE),"")</f>
        <v/>
      </c>
    </row>
    <row r="4582" spans="3:4" s="237" customFormat="1">
      <c r="C4582" s="16" t="str">
        <f>IFERROR(VLOOKUP(DATA!#REF!,DATA!#REF!,1,FALSE),"")</f>
        <v/>
      </c>
      <c r="D4582" s="16" t="str">
        <f>IFERROR(VLOOKUP(C4582,DATA!#REF!,2,FALSE),"")</f>
        <v/>
      </c>
    </row>
    <row r="4583" spans="3:4" s="237" customFormat="1">
      <c r="C4583" s="16" t="str">
        <f>IFERROR(VLOOKUP(DATA!#REF!,DATA!#REF!,1,FALSE),"")</f>
        <v/>
      </c>
      <c r="D4583" s="16" t="str">
        <f>IFERROR(VLOOKUP(C4583,DATA!#REF!,2,FALSE),"")</f>
        <v/>
      </c>
    </row>
    <row r="4584" spans="3:4" s="237" customFormat="1">
      <c r="C4584" s="16" t="str">
        <f>IFERROR(VLOOKUP(DATA!#REF!,DATA!#REF!,1,FALSE),"")</f>
        <v/>
      </c>
      <c r="D4584" s="16" t="str">
        <f>IFERROR(VLOOKUP(C4584,DATA!#REF!,2,FALSE),"")</f>
        <v/>
      </c>
    </row>
    <row r="4585" spans="3:4" s="237" customFormat="1">
      <c r="C4585" s="16" t="str">
        <f>IFERROR(VLOOKUP(DATA!#REF!,DATA!#REF!,1,FALSE),"")</f>
        <v/>
      </c>
      <c r="D4585" s="16" t="str">
        <f>IFERROR(VLOOKUP(C4585,DATA!#REF!,2,FALSE),"")</f>
        <v/>
      </c>
    </row>
    <row r="4586" spans="3:4" s="237" customFormat="1">
      <c r="C4586" s="16" t="str">
        <f>IFERROR(VLOOKUP(DATA!#REF!,DATA!#REF!,1,FALSE),"")</f>
        <v/>
      </c>
      <c r="D4586" s="16" t="str">
        <f>IFERROR(VLOOKUP(C4586,DATA!#REF!,2,FALSE),"")</f>
        <v/>
      </c>
    </row>
    <row r="4587" spans="3:4" s="237" customFormat="1">
      <c r="C4587" s="16" t="str">
        <f>IFERROR(VLOOKUP(DATA!#REF!,DATA!#REF!,1,FALSE),"")</f>
        <v/>
      </c>
      <c r="D4587" s="16" t="str">
        <f>IFERROR(VLOOKUP(C4587,DATA!#REF!,2,FALSE),"")</f>
        <v/>
      </c>
    </row>
    <row r="4588" spans="3:4" s="237" customFormat="1">
      <c r="C4588" s="16" t="str">
        <f>IFERROR(VLOOKUP(DATA!#REF!,DATA!#REF!,1,FALSE),"")</f>
        <v/>
      </c>
      <c r="D4588" s="16" t="str">
        <f>IFERROR(VLOOKUP(C4588,DATA!#REF!,2,FALSE),"")</f>
        <v/>
      </c>
    </row>
    <row r="4589" spans="3:4" s="237" customFormat="1">
      <c r="C4589" s="16" t="str">
        <f>IFERROR(VLOOKUP(DATA!#REF!,DATA!#REF!,1,FALSE),"")</f>
        <v/>
      </c>
      <c r="D4589" s="16" t="str">
        <f>IFERROR(VLOOKUP(C4589,DATA!#REF!,2,FALSE),"")</f>
        <v/>
      </c>
    </row>
    <row r="4590" spans="3:4" s="237" customFormat="1">
      <c r="C4590" s="16" t="str">
        <f>IFERROR(VLOOKUP(DATA!#REF!,DATA!#REF!,1,FALSE),"")</f>
        <v/>
      </c>
      <c r="D4590" s="16" t="str">
        <f>IFERROR(VLOOKUP(C4590,DATA!#REF!,2,FALSE),"")</f>
        <v/>
      </c>
    </row>
    <row r="4591" spans="3:4" s="237" customFormat="1">
      <c r="C4591" s="16" t="str">
        <f>IFERROR(VLOOKUP(DATA!#REF!,DATA!#REF!,1,FALSE),"")</f>
        <v/>
      </c>
      <c r="D4591" s="16" t="str">
        <f>IFERROR(VLOOKUP(C4591,DATA!#REF!,2,FALSE),"")</f>
        <v/>
      </c>
    </row>
    <row r="4592" spans="3:4" s="237" customFormat="1">
      <c r="C4592" s="16" t="str">
        <f>IFERROR(VLOOKUP(DATA!#REF!,DATA!#REF!,1,FALSE),"")</f>
        <v/>
      </c>
      <c r="D4592" s="16" t="str">
        <f>IFERROR(VLOOKUP(C4592,DATA!#REF!,2,FALSE),"")</f>
        <v/>
      </c>
    </row>
    <row r="4593" spans="3:4" s="237" customFormat="1">
      <c r="C4593" s="16" t="str">
        <f>IFERROR(VLOOKUP(DATA!#REF!,DATA!#REF!,1,FALSE),"")</f>
        <v/>
      </c>
      <c r="D4593" s="16" t="str">
        <f>IFERROR(VLOOKUP(C4593,DATA!#REF!,2,FALSE),"")</f>
        <v/>
      </c>
    </row>
    <row r="4594" spans="3:4" s="237" customFormat="1">
      <c r="C4594" s="16" t="str">
        <f>IFERROR(VLOOKUP(DATA!#REF!,DATA!#REF!,1,FALSE),"")</f>
        <v/>
      </c>
      <c r="D4594" s="16" t="str">
        <f>IFERROR(VLOOKUP(C4594,DATA!#REF!,2,FALSE),"")</f>
        <v/>
      </c>
    </row>
    <row r="4595" spans="3:4" s="237" customFormat="1">
      <c r="C4595" s="16" t="str">
        <f>IFERROR(VLOOKUP(DATA!#REF!,DATA!#REF!,1,FALSE),"")</f>
        <v/>
      </c>
      <c r="D4595" s="16" t="str">
        <f>IFERROR(VLOOKUP(C4595,DATA!#REF!,2,FALSE),"")</f>
        <v/>
      </c>
    </row>
    <row r="4596" spans="3:4" s="237" customFormat="1">
      <c r="C4596" s="16" t="str">
        <f>IFERROR(VLOOKUP(DATA!#REF!,DATA!#REF!,1,FALSE),"")</f>
        <v/>
      </c>
      <c r="D4596" s="16" t="str">
        <f>IFERROR(VLOOKUP(C4596,DATA!#REF!,2,FALSE),"")</f>
        <v/>
      </c>
    </row>
    <row r="4597" spans="3:4" s="237" customFormat="1">
      <c r="C4597" s="16" t="str">
        <f>IFERROR(VLOOKUP(DATA!#REF!,DATA!#REF!,1,FALSE),"")</f>
        <v/>
      </c>
      <c r="D4597" s="16" t="str">
        <f>IFERROR(VLOOKUP(C4597,DATA!#REF!,2,FALSE),"")</f>
        <v/>
      </c>
    </row>
    <row r="4598" spans="3:4" s="237" customFormat="1">
      <c r="C4598" s="16" t="str">
        <f>IFERROR(VLOOKUP(DATA!#REF!,DATA!#REF!,1,FALSE),"")</f>
        <v/>
      </c>
      <c r="D4598" s="16" t="str">
        <f>IFERROR(VLOOKUP(C4598,DATA!#REF!,2,FALSE),"")</f>
        <v/>
      </c>
    </row>
    <row r="4599" spans="3:4" s="237" customFormat="1">
      <c r="C4599" s="16" t="str">
        <f>IFERROR(VLOOKUP(DATA!#REF!,DATA!#REF!,1,FALSE),"")</f>
        <v/>
      </c>
      <c r="D4599" s="16" t="str">
        <f>IFERROR(VLOOKUP(C4599,DATA!#REF!,2,FALSE),"")</f>
        <v/>
      </c>
    </row>
    <row r="4600" spans="3:4" s="237" customFormat="1">
      <c r="C4600" s="16" t="str">
        <f>IFERROR(VLOOKUP(DATA!#REF!,DATA!#REF!,1,FALSE),"")</f>
        <v/>
      </c>
      <c r="D4600" s="16" t="str">
        <f>IFERROR(VLOOKUP(C4600,DATA!#REF!,2,FALSE),"")</f>
        <v/>
      </c>
    </row>
    <row r="4601" spans="3:4" s="237" customFormat="1">
      <c r="C4601" s="16" t="str">
        <f>IFERROR(VLOOKUP(DATA!#REF!,DATA!#REF!,1,FALSE),"")</f>
        <v/>
      </c>
      <c r="D4601" s="16" t="str">
        <f>IFERROR(VLOOKUP(C4601,DATA!#REF!,2,FALSE),"")</f>
        <v/>
      </c>
    </row>
    <row r="4602" spans="3:4" s="237" customFormat="1">
      <c r="C4602" s="16" t="str">
        <f>IFERROR(VLOOKUP(DATA!#REF!,DATA!#REF!,1,FALSE),"")</f>
        <v/>
      </c>
      <c r="D4602" s="16" t="str">
        <f>IFERROR(VLOOKUP(C4602,DATA!#REF!,2,FALSE),"")</f>
        <v/>
      </c>
    </row>
    <row r="4603" spans="3:4" s="237" customFormat="1">
      <c r="C4603" s="16" t="str">
        <f>IFERROR(VLOOKUP(DATA!#REF!,DATA!#REF!,1,FALSE),"")</f>
        <v/>
      </c>
      <c r="D4603" s="16" t="str">
        <f>IFERROR(VLOOKUP(C4603,DATA!#REF!,2,FALSE),"")</f>
        <v/>
      </c>
    </row>
    <row r="4604" spans="3:4" s="237" customFormat="1">
      <c r="C4604" s="16" t="str">
        <f>IFERROR(VLOOKUP(DATA!#REF!,DATA!#REF!,1,FALSE),"")</f>
        <v/>
      </c>
      <c r="D4604" s="16" t="str">
        <f>IFERROR(VLOOKUP(C4604,DATA!#REF!,2,FALSE),"")</f>
        <v/>
      </c>
    </row>
    <row r="4605" spans="3:4" s="237" customFormat="1">
      <c r="C4605" s="16" t="str">
        <f>IFERROR(VLOOKUP(DATA!#REF!,DATA!#REF!,1,FALSE),"")</f>
        <v/>
      </c>
      <c r="D4605" s="16" t="str">
        <f>IFERROR(VLOOKUP(C4605,DATA!#REF!,2,FALSE),"")</f>
        <v/>
      </c>
    </row>
    <row r="4606" spans="3:4" s="237" customFormat="1">
      <c r="C4606" s="16" t="str">
        <f>IFERROR(VLOOKUP(DATA!#REF!,DATA!#REF!,1,FALSE),"")</f>
        <v/>
      </c>
      <c r="D4606" s="16" t="str">
        <f>IFERROR(VLOOKUP(C4606,DATA!#REF!,2,FALSE),"")</f>
        <v/>
      </c>
    </row>
    <row r="4607" spans="3:4" s="237" customFormat="1">
      <c r="C4607" s="16" t="str">
        <f>IFERROR(VLOOKUP(DATA!#REF!,DATA!#REF!,1,FALSE),"")</f>
        <v/>
      </c>
      <c r="D4607" s="16" t="str">
        <f>IFERROR(VLOOKUP(C4607,DATA!#REF!,2,FALSE),"")</f>
        <v/>
      </c>
    </row>
    <row r="4608" spans="3:4" s="237" customFormat="1">
      <c r="C4608" s="16" t="str">
        <f>IFERROR(VLOOKUP(DATA!#REF!,DATA!#REF!,1,FALSE),"")</f>
        <v/>
      </c>
      <c r="D4608" s="16" t="str">
        <f>IFERROR(VLOOKUP(C4608,DATA!#REF!,2,FALSE),"")</f>
        <v/>
      </c>
    </row>
    <row r="4609" spans="3:4" s="237" customFormat="1">
      <c r="C4609" s="16" t="str">
        <f>IFERROR(VLOOKUP(DATA!#REF!,DATA!#REF!,1,FALSE),"")</f>
        <v/>
      </c>
      <c r="D4609" s="16" t="str">
        <f>IFERROR(VLOOKUP(C4609,DATA!#REF!,2,FALSE),"")</f>
        <v/>
      </c>
    </row>
    <row r="4610" spans="3:4" s="237" customFormat="1">
      <c r="C4610" s="16" t="str">
        <f>IFERROR(VLOOKUP(DATA!#REF!,DATA!#REF!,1,FALSE),"")</f>
        <v/>
      </c>
      <c r="D4610" s="16" t="str">
        <f>IFERROR(VLOOKUP(C4610,DATA!#REF!,2,FALSE),"")</f>
        <v/>
      </c>
    </row>
    <row r="4611" spans="3:4" s="237" customFormat="1">
      <c r="C4611" s="16" t="str">
        <f>IFERROR(VLOOKUP(DATA!#REF!,DATA!#REF!,1,FALSE),"")</f>
        <v/>
      </c>
      <c r="D4611" s="16" t="str">
        <f>IFERROR(VLOOKUP(C4611,DATA!#REF!,2,FALSE),"")</f>
        <v/>
      </c>
    </row>
    <row r="4612" spans="3:4" s="237" customFormat="1">
      <c r="C4612" s="16" t="str">
        <f>IFERROR(VLOOKUP(DATA!#REF!,DATA!#REF!,1,FALSE),"")</f>
        <v/>
      </c>
      <c r="D4612" s="16" t="str">
        <f>IFERROR(VLOOKUP(C4612,DATA!#REF!,2,FALSE),"")</f>
        <v/>
      </c>
    </row>
    <row r="4613" spans="3:4" s="237" customFormat="1">
      <c r="C4613" s="16" t="str">
        <f>IFERROR(VLOOKUP(DATA!#REF!,DATA!#REF!,1,FALSE),"")</f>
        <v/>
      </c>
      <c r="D4613" s="16" t="str">
        <f>IFERROR(VLOOKUP(C4613,DATA!#REF!,2,FALSE),"")</f>
        <v/>
      </c>
    </row>
    <row r="4614" spans="3:4" s="237" customFormat="1">
      <c r="C4614" s="16" t="str">
        <f>IFERROR(VLOOKUP(DATA!#REF!,DATA!#REF!,1,FALSE),"")</f>
        <v/>
      </c>
      <c r="D4614" s="16" t="str">
        <f>IFERROR(VLOOKUP(C4614,DATA!#REF!,2,FALSE),"")</f>
        <v/>
      </c>
    </row>
    <row r="4615" spans="3:4" s="237" customFormat="1">
      <c r="C4615" s="16" t="str">
        <f>IFERROR(VLOOKUP(DATA!#REF!,DATA!#REF!,1,FALSE),"")</f>
        <v/>
      </c>
      <c r="D4615" s="16" t="str">
        <f>IFERROR(VLOOKUP(C4615,DATA!#REF!,2,FALSE),"")</f>
        <v/>
      </c>
    </row>
    <row r="4616" spans="3:4" s="237" customFormat="1">
      <c r="C4616" s="16" t="str">
        <f>IFERROR(VLOOKUP(DATA!#REF!,DATA!#REF!,1,FALSE),"")</f>
        <v/>
      </c>
      <c r="D4616" s="16" t="str">
        <f>IFERROR(VLOOKUP(C4616,DATA!#REF!,2,FALSE),"")</f>
        <v/>
      </c>
    </row>
    <row r="4617" spans="3:4" s="237" customFormat="1">
      <c r="C4617" s="16" t="str">
        <f>IFERROR(VLOOKUP(DATA!#REF!,DATA!#REF!,1,FALSE),"")</f>
        <v/>
      </c>
      <c r="D4617" s="16" t="str">
        <f>IFERROR(VLOOKUP(C4617,DATA!#REF!,2,FALSE),"")</f>
        <v/>
      </c>
    </row>
    <row r="4618" spans="3:4" s="237" customFormat="1">
      <c r="C4618" s="16" t="str">
        <f>IFERROR(VLOOKUP(DATA!#REF!,DATA!#REF!,1,FALSE),"")</f>
        <v/>
      </c>
      <c r="D4618" s="16" t="str">
        <f>IFERROR(VLOOKUP(C4618,DATA!#REF!,2,FALSE),"")</f>
        <v/>
      </c>
    </row>
    <row r="4619" spans="3:4" s="237" customFormat="1">
      <c r="C4619" s="16" t="str">
        <f>IFERROR(VLOOKUP(DATA!#REF!,DATA!#REF!,1,FALSE),"")</f>
        <v/>
      </c>
      <c r="D4619" s="16" t="str">
        <f>IFERROR(VLOOKUP(C4619,DATA!#REF!,2,FALSE),"")</f>
        <v/>
      </c>
    </row>
    <row r="4620" spans="3:4" s="237" customFormat="1">
      <c r="C4620" s="16" t="str">
        <f>IFERROR(VLOOKUP(DATA!#REF!,DATA!#REF!,1,FALSE),"")</f>
        <v/>
      </c>
      <c r="D4620" s="16" t="str">
        <f>IFERROR(VLOOKUP(C4620,DATA!#REF!,2,FALSE),"")</f>
        <v/>
      </c>
    </row>
    <row r="4621" spans="3:4" s="237" customFormat="1">
      <c r="C4621" s="16" t="str">
        <f>IFERROR(VLOOKUP(DATA!#REF!,DATA!#REF!,1,FALSE),"")</f>
        <v/>
      </c>
      <c r="D4621" s="16" t="str">
        <f>IFERROR(VLOOKUP(C4621,DATA!#REF!,2,FALSE),"")</f>
        <v/>
      </c>
    </row>
    <row r="4622" spans="3:4" s="237" customFormat="1">
      <c r="C4622" s="16" t="str">
        <f>IFERROR(VLOOKUP(DATA!#REF!,DATA!#REF!,1,FALSE),"")</f>
        <v/>
      </c>
      <c r="D4622" s="16" t="str">
        <f>IFERROR(VLOOKUP(C4622,DATA!#REF!,2,FALSE),"")</f>
        <v/>
      </c>
    </row>
    <row r="4623" spans="3:4" s="237" customFormat="1">
      <c r="C4623" s="16" t="str">
        <f>IFERROR(VLOOKUP(DATA!#REF!,DATA!#REF!,1,FALSE),"")</f>
        <v/>
      </c>
      <c r="D4623" s="16" t="str">
        <f>IFERROR(VLOOKUP(C4623,DATA!#REF!,2,FALSE),"")</f>
        <v/>
      </c>
    </row>
    <row r="4624" spans="3:4" s="237" customFormat="1">
      <c r="C4624" s="16" t="str">
        <f>IFERROR(VLOOKUP(DATA!#REF!,DATA!#REF!,1,FALSE),"")</f>
        <v/>
      </c>
      <c r="D4624" s="16" t="str">
        <f>IFERROR(VLOOKUP(C4624,DATA!#REF!,2,FALSE),"")</f>
        <v/>
      </c>
    </row>
    <row r="4625" spans="3:4" s="237" customFormat="1">
      <c r="C4625" s="16" t="str">
        <f>IFERROR(VLOOKUP(DATA!#REF!,DATA!#REF!,1,FALSE),"")</f>
        <v/>
      </c>
      <c r="D4625" s="16" t="str">
        <f>IFERROR(VLOOKUP(C4625,DATA!#REF!,2,FALSE),"")</f>
        <v/>
      </c>
    </row>
    <row r="4626" spans="3:4" s="237" customFormat="1">
      <c r="C4626" s="16" t="str">
        <f>IFERROR(VLOOKUP(DATA!#REF!,DATA!#REF!,1,FALSE),"")</f>
        <v/>
      </c>
      <c r="D4626" s="16" t="str">
        <f>IFERROR(VLOOKUP(C4626,DATA!#REF!,2,FALSE),"")</f>
        <v/>
      </c>
    </row>
    <row r="4627" spans="3:4" s="237" customFormat="1">
      <c r="C4627" s="16" t="str">
        <f>IFERROR(VLOOKUP(DATA!#REF!,DATA!#REF!,1,FALSE),"")</f>
        <v/>
      </c>
      <c r="D4627" s="16" t="str">
        <f>IFERROR(VLOOKUP(C4627,DATA!#REF!,2,FALSE),"")</f>
        <v/>
      </c>
    </row>
    <row r="4628" spans="3:4" s="237" customFormat="1">
      <c r="C4628" s="16" t="str">
        <f>IFERROR(VLOOKUP(DATA!#REF!,DATA!#REF!,1,FALSE),"")</f>
        <v/>
      </c>
      <c r="D4628" s="16" t="str">
        <f>IFERROR(VLOOKUP(C4628,DATA!#REF!,2,FALSE),"")</f>
        <v/>
      </c>
    </row>
    <row r="4629" spans="3:4" s="237" customFormat="1">
      <c r="C4629" s="16" t="str">
        <f>IFERROR(VLOOKUP(DATA!#REF!,DATA!#REF!,1,FALSE),"")</f>
        <v/>
      </c>
      <c r="D4629" s="16" t="str">
        <f>IFERROR(VLOOKUP(C4629,DATA!#REF!,2,FALSE),"")</f>
        <v/>
      </c>
    </row>
    <row r="4630" spans="3:4" s="237" customFormat="1">
      <c r="C4630" s="16" t="str">
        <f>IFERROR(VLOOKUP(DATA!#REF!,DATA!#REF!,1,FALSE),"")</f>
        <v/>
      </c>
      <c r="D4630" s="16" t="str">
        <f>IFERROR(VLOOKUP(C4630,DATA!#REF!,2,FALSE),"")</f>
        <v/>
      </c>
    </row>
    <row r="4631" spans="3:4" s="237" customFormat="1">
      <c r="C4631" s="16" t="str">
        <f>IFERROR(VLOOKUP(DATA!#REF!,DATA!#REF!,1,FALSE),"")</f>
        <v/>
      </c>
      <c r="D4631" s="16" t="str">
        <f>IFERROR(VLOOKUP(C4631,DATA!#REF!,2,FALSE),"")</f>
        <v/>
      </c>
    </row>
    <row r="4632" spans="3:4" s="237" customFormat="1">
      <c r="C4632" s="16" t="str">
        <f>IFERROR(VLOOKUP(DATA!#REF!,DATA!#REF!,1,FALSE),"")</f>
        <v/>
      </c>
      <c r="D4632" s="16" t="str">
        <f>IFERROR(VLOOKUP(C4632,DATA!#REF!,2,FALSE),"")</f>
        <v/>
      </c>
    </row>
    <row r="4633" spans="3:4" s="237" customFormat="1">
      <c r="C4633" s="16" t="str">
        <f>IFERROR(VLOOKUP(DATA!#REF!,DATA!#REF!,1,FALSE),"")</f>
        <v/>
      </c>
      <c r="D4633" s="16" t="str">
        <f>IFERROR(VLOOKUP(C4633,DATA!#REF!,2,FALSE),"")</f>
        <v/>
      </c>
    </row>
    <row r="4634" spans="3:4" s="237" customFormat="1">
      <c r="C4634" s="16" t="str">
        <f>IFERROR(VLOOKUP(DATA!#REF!,DATA!#REF!,1,FALSE),"")</f>
        <v/>
      </c>
      <c r="D4634" s="16" t="str">
        <f>IFERROR(VLOOKUP(C4634,DATA!#REF!,2,FALSE),"")</f>
        <v/>
      </c>
    </row>
    <row r="4635" spans="3:4" s="237" customFormat="1">
      <c r="C4635" s="16" t="str">
        <f>IFERROR(VLOOKUP(DATA!#REF!,DATA!#REF!,1,FALSE),"")</f>
        <v/>
      </c>
      <c r="D4635" s="16" t="str">
        <f>IFERROR(VLOOKUP(C4635,DATA!#REF!,2,FALSE),"")</f>
        <v/>
      </c>
    </row>
    <row r="4636" spans="3:4" s="237" customFormat="1">
      <c r="C4636" s="16" t="str">
        <f>IFERROR(VLOOKUP(DATA!#REF!,DATA!#REF!,1,FALSE),"")</f>
        <v/>
      </c>
      <c r="D4636" s="16" t="str">
        <f>IFERROR(VLOOKUP(C4636,DATA!#REF!,2,FALSE),"")</f>
        <v/>
      </c>
    </row>
    <row r="4637" spans="3:4" s="237" customFormat="1">
      <c r="C4637" s="16" t="str">
        <f>IFERROR(VLOOKUP(DATA!#REF!,DATA!#REF!,1,FALSE),"")</f>
        <v/>
      </c>
      <c r="D4637" s="16" t="str">
        <f>IFERROR(VLOOKUP(C4637,DATA!#REF!,2,FALSE),"")</f>
        <v/>
      </c>
    </row>
    <row r="4638" spans="3:4" s="237" customFormat="1">
      <c r="C4638" s="16" t="str">
        <f>IFERROR(VLOOKUP(DATA!#REF!,DATA!#REF!,1,FALSE),"")</f>
        <v/>
      </c>
      <c r="D4638" s="16" t="str">
        <f>IFERROR(VLOOKUP(C4638,DATA!#REF!,2,FALSE),"")</f>
        <v/>
      </c>
    </row>
    <row r="4639" spans="3:4" s="237" customFormat="1">
      <c r="C4639" s="16" t="str">
        <f>IFERROR(VLOOKUP(DATA!#REF!,DATA!#REF!,1,FALSE),"")</f>
        <v/>
      </c>
      <c r="D4639" s="16" t="str">
        <f>IFERROR(VLOOKUP(C4639,DATA!#REF!,2,FALSE),"")</f>
        <v/>
      </c>
    </row>
    <row r="4640" spans="3:4" s="237" customFormat="1">
      <c r="C4640" s="16" t="str">
        <f>IFERROR(VLOOKUP(DATA!#REF!,DATA!#REF!,1,FALSE),"")</f>
        <v/>
      </c>
      <c r="D4640" s="16" t="str">
        <f>IFERROR(VLOOKUP(C4640,DATA!#REF!,2,FALSE),"")</f>
        <v/>
      </c>
    </row>
    <row r="4641" spans="3:4" s="237" customFormat="1">
      <c r="C4641" s="16" t="str">
        <f>IFERROR(VLOOKUP(DATA!#REF!,DATA!#REF!,1,FALSE),"")</f>
        <v/>
      </c>
      <c r="D4641" s="16" t="str">
        <f>IFERROR(VLOOKUP(C4641,DATA!#REF!,2,FALSE),"")</f>
        <v/>
      </c>
    </row>
    <row r="4642" spans="3:4" s="237" customFormat="1">
      <c r="C4642" s="16" t="str">
        <f>IFERROR(VLOOKUP(DATA!#REF!,DATA!#REF!,1,FALSE),"")</f>
        <v/>
      </c>
      <c r="D4642" s="16" t="str">
        <f>IFERROR(VLOOKUP(C4642,DATA!#REF!,2,FALSE),"")</f>
        <v/>
      </c>
    </row>
    <row r="4643" spans="3:4" s="237" customFormat="1">
      <c r="C4643" s="16" t="str">
        <f>IFERROR(VLOOKUP(DATA!#REF!,DATA!#REF!,1,FALSE),"")</f>
        <v/>
      </c>
      <c r="D4643" s="16" t="str">
        <f>IFERROR(VLOOKUP(C4643,DATA!#REF!,2,FALSE),"")</f>
        <v/>
      </c>
    </row>
    <row r="4644" spans="3:4" s="237" customFormat="1">
      <c r="C4644" s="16" t="str">
        <f>IFERROR(VLOOKUP(DATA!#REF!,DATA!#REF!,1,FALSE),"")</f>
        <v/>
      </c>
      <c r="D4644" s="16" t="str">
        <f>IFERROR(VLOOKUP(C4644,DATA!#REF!,2,FALSE),"")</f>
        <v/>
      </c>
    </row>
    <row r="4645" spans="3:4" s="237" customFormat="1">
      <c r="C4645" s="16" t="str">
        <f>IFERROR(VLOOKUP(DATA!#REF!,DATA!#REF!,1,FALSE),"")</f>
        <v/>
      </c>
      <c r="D4645" s="16" t="str">
        <f>IFERROR(VLOOKUP(C4645,DATA!#REF!,2,FALSE),"")</f>
        <v/>
      </c>
    </row>
    <row r="4646" spans="3:4" s="237" customFormat="1">
      <c r="C4646" s="16" t="str">
        <f>IFERROR(VLOOKUP(DATA!#REF!,DATA!#REF!,1,FALSE),"")</f>
        <v/>
      </c>
      <c r="D4646" s="16" t="str">
        <f>IFERROR(VLOOKUP(C4646,DATA!#REF!,2,FALSE),"")</f>
        <v/>
      </c>
    </row>
    <row r="4647" spans="3:4" s="237" customFormat="1">
      <c r="C4647" s="16" t="str">
        <f>IFERROR(VLOOKUP(DATA!#REF!,DATA!#REF!,1,FALSE),"")</f>
        <v/>
      </c>
      <c r="D4647" s="16" t="str">
        <f>IFERROR(VLOOKUP(C4647,DATA!#REF!,2,FALSE),"")</f>
        <v/>
      </c>
    </row>
    <row r="4648" spans="3:4" s="237" customFormat="1">
      <c r="C4648" s="16" t="str">
        <f>IFERROR(VLOOKUP(DATA!#REF!,DATA!#REF!,1,FALSE),"")</f>
        <v/>
      </c>
      <c r="D4648" s="16" t="str">
        <f>IFERROR(VLOOKUP(C4648,DATA!#REF!,2,FALSE),"")</f>
        <v/>
      </c>
    </row>
    <row r="4649" spans="3:4" s="237" customFormat="1">
      <c r="C4649" s="16" t="str">
        <f>IFERROR(VLOOKUP(DATA!#REF!,DATA!#REF!,1,FALSE),"")</f>
        <v/>
      </c>
      <c r="D4649" s="16" t="str">
        <f>IFERROR(VLOOKUP(C4649,DATA!#REF!,2,FALSE),"")</f>
        <v/>
      </c>
    </row>
    <row r="4650" spans="3:4" s="237" customFormat="1">
      <c r="C4650" s="16" t="str">
        <f>IFERROR(VLOOKUP(DATA!#REF!,DATA!#REF!,1,FALSE),"")</f>
        <v/>
      </c>
      <c r="D4650" s="16" t="str">
        <f>IFERROR(VLOOKUP(C4650,DATA!#REF!,2,FALSE),"")</f>
        <v/>
      </c>
    </row>
    <row r="4651" spans="3:4" s="237" customFormat="1">
      <c r="C4651" s="16" t="str">
        <f>IFERROR(VLOOKUP(DATA!#REF!,DATA!#REF!,1,FALSE),"")</f>
        <v/>
      </c>
      <c r="D4651" s="16" t="str">
        <f>IFERROR(VLOOKUP(C4651,DATA!#REF!,2,FALSE),"")</f>
        <v/>
      </c>
    </row>
    <row r="4652" spans="3:4" s="237" customFormat="1">
      <c r="C4652" s="16" t="str">
        <f>IFERROR(VLOOKUP(DATA!#REF!,DATA!#REF!,1,FALSE),"")</f>
        <v/>
      </c>
      <c r="D4652" s="16" t="str">
        <f>IFERROR(VLOOKUP(C4652,DATA!#REF!,2,FALSE),"")</f>
        <v/>
      </c>
    </row>
    <row r="4653" spans="3:4" s="237" customFormat="1">
      <c r="C4653" s="16" t="str">
        <f>IFERROR(VLOOKUP(DATA!#REF!,DATA!#REF!,1,FALSE),"")</f>
        <v/>
      </c>
      <c r="D4653" s="16" t="str">
        <f>IFERROR(VLOOKUP(C4653,DATA!#REF!,2,FALSE),"")</f>
        <v/>
      </c>
    </row>
    <row r="4654" spans="3:4" s="237" customFormat="1">
      <c r="C4654" s="16" t="str">
        <f>IFERROR(VLOOKUP(DATA!#REF!,DATA!#REF!,1,FALSE),"")</f>
        <v/>
      </c>
      <c r="D4654" s="16" t="str">
        <f>IFERROR(VLOOKUP(C4654,DATA!#REF!,2,FALSE),"")</f>
        <v/>
      </c>
    </row>
    <row r="4655" spans="3:4" s="237" customFormat="1">
      <c r="C4655" s="16" t="str">
        <f>IFERROR(VLOOKUP(DATA!#REF!,DATA!#REF!,1,FALSE),"")</f>
        <v/>
      </c>
      <c r="D4655" s="16" t="str">
        <f>IFERROR(VLOOKUP(C4655,DATA!#REF!,2,FALSE),"")</f>
        <v/>
      </c>
    </row>
    <row r="4656" spans="3:4" s="237" customFormat="1">
      <c r="C4656" s="16" t="str">
        <f>IFERROR(VLOOKUP(DATA!#REF!,DATA!#REF!,1,FALSE),"")</f>
        <v/>
      </c>
      <c r="D4656" s="16" t="str">
        <f>IFERROR(VLOOKUP(C4656,DATA!#REF!,2,FALSE),"")</f>
        <v/>
      </c>
    </row>
    <row r="4657" spans="3:4" s="237" customFormat="1">
      <c r="C4657" s="16" t="str">
        <f>IFERROR(VLOOKUP(DATA!#REF!,DATA!#REF!,1,FALSE),"")</f>
        <v/>
      </c>
      <c r="D4657" s="16" t="str">
        <f>IFERROR(VLOOKUP(C4657,DATA!#REF!,2,FALSE),"")</f>
        <v/>
      </c>
    </row>
    <row r="4658" spans="3:4" s="237" customFormat="1">
      <c r="C4658" s="16" t="str">
        <f>IFERROR(VLOOKUP(DATA!#REF!,DATA!#REF!,1,FALSE),"")</f>
        <v/>
      </c>
      <c r="D4658" s="16" t="str">
        <f>IFERROR(VLOOKUP(C4658,DATA!#REF!,2,FALSE),"")</f>
        <v/>
      </c>
    </row>
    <row r="4659" spans="3:4" s="237" customFormat="1">
      <c r="C4659" s="16" t="str">
        <f>IFERROR(VLOOKUP(DATA!#REF!,DATA!#REF!,1,FALSE),"")</f>
        <v/>
      </c>
      <c r="D4659" s="16" t="str">
        <f>IFERROR(VLOOKUP(C4659,DATA!#REF!,2,FALSE),"")</f>
        <v/>
      </c>
    </row>
    <row r="4660" spans="3:4" s="237" customFormat="1">
      <c r="C4660" s="16" t="str">
        <f>IFERROR(VLOOKUP(DATA!#REF!,DATA!#REF!,1,FALSE),"")</f>
        <v/>
      </c>
      <c r="D4660" s="16" t="str">
        <f>IFERROR(VLOOKUP(C4660,DATA!#REF!,2,FALSE),"")</f>
        <v/>
      </c>
    </row>
    <row r="4661" spans="3:4" s="237" customFormat="1">
      <c r="C4661" s="16" t="str">
        <f>IFERROR(VLOOKUP(DATA!#REF!,DATA!#REF!,1,FALSE),"")</f>
        <v/>
      </c>
      <c r="D4661" s="16" t="str">
        <f>IFERROR(VLOOKUP(C4661,DATA!#REF!,2,FALSE),"")</f>
        <v/>
      </c>
    </row>
    <row r="4662" spans="3:4" s="237" customFormat="1">
      <c r="C4662" s="16" t="str">
        <f>IFERROR(VLOOKUP(DATA!#REF!,DATA!#REF!,1,FALSE),"")</f>
        <v/>
      </c>
      <c r="D4662" s="16" t="str">
        <f>IFERROR(VLOOKUP(C4662,DATA!#REF!,2,FALSE),"")</f>
        <v/>
      </c>
    </row>
    <row r="4663" spans="3:4" s="237" customFormat="1">
      <c r="C4663" s="16" t="str">
        <f>IFERROR(VLOOKUP(DATA!#REF!,DATA!#REF!,1,FALSE),"")</f>
        <v/>
      </c>
      <c r="D4663" s="16" t="str">
        <f>IFERROR(VLOOKUP(C4663,DATA!#REF!,2,FALSE),"")</f>
        <v/>
      </c>
    </row>
    <row r="4664" spans="3:4" s="237" customFormat="1">
      <c r="C4664" s="16" t="str">
        <f>IFERROR(VLOOKUP(DATA!#REF!,DATA!#REF!,1,FALSE),"")</f>
        <v/>
      </c>
      <c r="D4664" s="16" t="str">
        <f>IFERROR(VLOOKUP(C4664,DATA!#REF!,2,FALSE),"")</f>
        <v/>
      </c>
    </row>
    <row r="4665" spans="3:4" s="237" customFormat="1">
      <c r="C4665" s="16" t="str">
        <f>IFERROR(VLOOKUP(DATA!#REF!,DATA!#REF!,1,FALSE),"")</f>
        <v/>
      </c>
      <c r="D4665" s="16" t="str">
        <f>IFERROR(VLOOKUP(C4665,DATA!#REF!,2,FALSE),"")</f>
        <v/>
      </c>
    </row>
    <row r="4666" spans="3:4" s="237" customFormat="1">
      <c r="C4666" s="16" t="str">
        <f>IFERROR(VLOOKUP(DATA!#REF!,DATA!#REF!,1,FALSE),"")</f>
        <v/>
      </c>
      <c r="D4666" s="16" t="str">
        <f>IFERROR(VLOOKUP(C4666,DATA!#REF!,2,FALSE),"")</f>
        <v/>
      </c>
    </row>
    <row r="4667" spans="3:4" s="237" customFormat="1">
      <c r="C4667" s="16" t="str">
        <f>IFERROR(VLOOKUP(DATA!#REF!,DATA!#REF!,1,FALSE),"")</f>
        <v/>
      </c>
      <c r="D4667" s="16" t="str">
        <f>IFERROR(VLOOKUP(C4667,DATA!#REF!,2,FALSE),"")</f>
        <v/>
      </c>
    </row>
    <row r="4668" spans="3:4" s="237" customFormat="1">
      <c r="C4668" s="16" t="str">
        <f>IFERROR(VLOOKUP(DATA!#REF!,DATA!#REF!,1,FALSE),"")</f>
        <v/>
      </c>
      <c r="D4668" s="16" t="str">
        <f>IFERROR(VLOOKUP(C4668,DATA!#REF!,2,FALSE),"")</f>
        <v/>
      </c>
    </row>
    <row r="4669" spans="3:4" s="237" customFormat="1">
      <c r="C4669" s="16" t="str">
        <f>IFERROR(VLOOKUP(DATA!#REF!,DATA!#REF!,1,FALSE),"")</f>
        <v/>
      </c>
      <c r="D4669" s="16" t="str">
        <f>IFERROR(VLOOKUP(C4669,DATA!#REF!,2,FALSE),"")</f>
        <v/>
      </c>
    </row>
    <row r="4670" spans="3:4" s="237" customFormat="1">
      <c r="C4670" s="16" t="str">
        <f>IFERROR(VLOOKUP(DATA!#REF!,DATA!#REF!,1,FALSE),"")</f>
        <v/>
      </c>
      <c r="D4670" s="16" t="str">
        <f>IFERROR(VLOOKUP(C4670,DATA!#REF!,2,FALSE),"")</f>
        <v/>
      </c>
    </row>
    <row r="4671" spans="3:4" s="237" customFormat="1">
      <c r="C4671" s="16" t="str">
        <f>IFERROR(VLOOKUP(DATA!#REF!,DATA!#REF!,1,FALSE),"")</f>
        <v/>
      </c>
      <c r="D4671" s="16" t="str">
        <f>IFERROR(VLOOKUP(C4671,DATA!#REF!,2,FALSE),"")</f>
        <v/>
      </c>
    </row>
    <row r="4672" spans="3:4" s="237" customFormat="1">
      <c r="C4672" s="16" t="str">
        <f>IFERROR(VLOOKUP(DATA!#REF!,DATA!#REF!,1,FALSE),"")</f>
        <v/>
      </c>
      <c r="D4672" s="16" t="str">
        <f>IFERROR(VLOOKUP(C4672,DATA!#REF!,2,FALSE),"")</f>
        <v/>
      </c>
    </row>
    <row r="4673" spans="3:4" s="237" customFormat="1">
      <c r="C4673" s="16" t="str">
        <f>IFERROR(VLOOKUP(DATA!#REF!,DATA!#REF!,1,FALSE),"")</f>
        <v/>
      </c>
      <c r="D4673" s="16" t="str">
        <f>IFERROR(VLOOKUP(C4673,DATA!#REF!,2,FALSE),"")</f>
        <v/>
      </c>
    </row>
    <row r="4674" spans="3:4" s="237" customFormat="1">
      <c r="C4674" s="16" t="str">
        <f>IFERROR(VLOOKUP(DATA!#REF!,DATA!#REF!,1,FALSE),"")</f>
        <v/>
      </c>
      <c r="D4674" s="16" t="str">
        <f>IFERROR(VLOOKUP(C4674,DATA!#REF!,2,FALSE),"")</f>
        <v/>
      </c>
    </row>
    <row r="4675" spans="3:4" s="237" customFormat="1">
      <c r="C4675" s="16" t="str">
        <f>IFERROR(VLOOKUP(DATA!#REF!,DATA!#REF!,1,FALSE),"")</f>
        <v/>
      </c>
      <c r="D4675" s="16" t="str">
        <f>IFERROR(VLOOKUP(C4675,DATA!#REF!,2,FALSE),"")</f>
        <v/>
      </c>
    </row>
    <row r="4676" spans="3:4" s="237" customFormat="1">
      <c r="C4676" s="16" t="str">
        <f>IFERROR(VLOOKUP(DATA!#REF!,DATA!#REF!,1,FALSE),"")</f>
        <v/>
      </c>
      <c r="D4676" s="16" t="str">
        <f>IFERROR(VLOOKUP(C4676,DATA!#REF!,2,FALSE),"")</f>
        <v/>
      </c>
    </row>
    <row r="4677" spans="3:4" s="237" customFormat="1">
      <c r="C4677" s="16" t="str">
        <f>IFERROR(VLOOKUP(DATA!#REF!,DATA!#REF!,1,FALSE),"")</f>
        <v/>
      </c>
      <c r="D4677" s="16" t="str">
        <f>IFERROR(VLOOKUP(C4677,DATA!#REF!,2,FALSE),"")</f>
        <v/>
      </c>
    </row>
    <row r="4678" spans="3:4" s="237" customFormat="1">
      <c r="C4678" s="16" t="str">
        <f>IFERROR(VLOOKUP(DATA!#REF!,DATA!#REF!,1,FALSE),"")</f>
        <v/>
      </c>
      <c r="D4678" s="16" t="str">
        <f>IFERROR(VLOOKUP(C4678,DATA!#REF!,2,FALSE),"")</f>
        <v/>
      </c>
    </row>
    <row r="4679" spans="3:4" s="237" customFormat="1">
      <c r="C4679" s="16" t="str">
        <f>IFERROR(VLOOKUP(DATA!#REF!,DATA!#REF!,1,FALSE),"")</f>
        <v/>
      </c>
      <c r="D4679" s="16" t="str">
        <f>IFERROR(VLOOKUP(C4679,DATA!#REF!,2,FALSE),"")</f>
        <v/>
      </c>
    </row>
    <row r="4680" spans="3:4" s="237" customFormat="1">
      <c r="C4680" s="16" t="str">
        <f>IFERROR(VLOOKUP(DATA!#REF!,DATA!#REF!,1,FALSE),"")</f>
        <v/>
      </c>
      <c r="D4680" s="16" t="str">
        <f>IFERROR(VLOOKUP(C4680,DATA!#REF!,2,FALSE),"")</f>
        <v/>
      </c>
    </row>
    <row r="4681" spans="3:4" s="237" customFormat="1">
      <c r="C4681" s="16" t="str">
        <f>IFERROR(VLOOKUP(DATA!#REF!,DATA!#REF!,1,FALSE),"")</f>
        <v/>
      </c>
      <c r="D4681" s="16" t="str">
        <f>IFERROR(VLOOKUP(C4681,DATA!#REF!,2,FALSE),"")</f>
        <v/>
      </c>
    </row>
    <row r="4682" spans="3:4" s="237" customFormat="1">
      <c r="C4682" s="16" t="str">
        <f>IFERROR(VLOOKUP(DATA!#REF!,DATA!#REF!,1,FALSE),"")</f>
        <v/>
      </c>
      <c r="D4682" s="16" t="str">
        <f>IFERROR(VLOOKUP(C4682,DATA!#REF!,2,FALSE),"")</f>
        <v/>
      </c>
    </row>
    <row r="4683" spans="3:4" s="237" customFormat="1">
      <c r="C4683" s="16" t="str">
        <f>IFERROR(VLOOKUP(DATA!#REF!,DATA!#REF!,1,FALSE),"")</f>
        <v/>
      </c>
      <c r="D4683" s="16" t="str">
        <f>IFERROR(VLOOKUP(C4683,DATA!#REF!,2,FALSE),"")</f>
        <v/>
      </c>
    </row>
    <row r="4684" spans="3:4" s="237" customFormat="1">
      <c r="C4684" s="16" t="str">
        <f>IFERROR(VLOOKUP(DATA!#REF!,DATA!#REF!,1,FALSE),"")</f>
        <v/>
      </c>
      <c r="D4684" s="16" t="str">
        <f>IFERROR(VLOOKUP(C4684,DATA!#REF!,2,FALSE),"")</f>
        <v/>
      </c>
    </row>
    <row r="4685" spans="3:4" s="237" customFormat="1">
      <c r="C4685" s="16" t="str">
        <f>IFERROR(VLOOKUP(DATA!#REF!,DATA!#REF!,1,FALSE),"")</f>
        <v/>
      </c>
      <c r="D4685" s="16" t="str">
        <f>IFERROR(VLOOKUP(C4685,DATA!#REF!,2,FALSE),"")</f>
        <v/>
      </c>
    </row>
    <row r="4686" spans="3:4" s="237" customFormat="1">
      <c r="C4686" s="16" t="str">
        <f>IFERROR(VLOOKUP(DATA!#REF!,DATA!#REF!,1,FALSE),"")</f>
        <v/>
      </c>
      <c r="D4686" s="16" t="str">
        <f>IFERROR(VLOOKUP(C4686,DATA!#REF!,2,FALSE),"")</f>
        <v/>
      </c>
    </row>
    <row r="4687" spans="3:4" s="237" customFormat="1">
      <c r="C4687" s="16" t="str">
        <f>IFERROR(VLOOKUP(DATA!#REF!,DATA!#REF!,1,FALSE),"")</f>
        <v/>
      </c>
      <c r="D4687" s="16" t="str">
        <f>IFERROR(VLOOKUP(C4687,DATA!#REF!,2,FALSE),"")</f>
        <v/>
      </c>
    </row>
    <row r="4688" spans="3:4" s="237" customFormat="1">
      <c r="C4688" s="16" t="str">
        <f>IFERROR(VLOOKUP(DATA!#REF!,DATA!#REF!,1,FALSE),"")</f>
        <v/>
      </c>
      <c r="D4688" s="16" t="str">
        <f>IFERROR(VLOOKUP(C4688,DATA!#REF!,2,FALSE),"")</f>
        <v/>
      </c>
    </row>
    <row r="4689" spans="3:4" s="237" customFormat="1">
      <c r="C4689" s="16" t="str">
        <f>IFERROR(VLOOKUP(DATA!#REF!,DATA!#REF!,1,FALSE),"")</f>
        <v/>
      </c>
      <c r="D4689" s="16" t="str">
        <f>IFERROR(VLOOKUP(C4689,DATA!#REF!,2,FALSE),"")</f>
        <v/>
      </c>
    </row>
    <row r="4690" spans="3:4" s="237" customFormat="1">
      <c r="C4690" s="16" t="str">
        <f>IFERROR(VLOOKUP(DATA!#REF!,DATA!#REF!,1,FALSE),"")</f>
        <v/>
      </c>
      <c r="D4690" s="16" t="str">
        <f>IFERROR(VLOOKUP(C4690,DATA!#REF!,2,FALSE),"")</f>
        <v/>
      </c>
    </row>
    <row r="4691" spans="3:4" s="237" customFormat="1">
      <c r="C4691" s="16" t="str">
        <f>IFERROR(VLOOKUP(DATA!#REF!,DATA!#REF!,1,FALSE),"")</f>
        <v/>
      </c>
      <c r="D4691" s="16" t="str">
        <f>IFERROR(VLOOKUP(C4691,DATA!#REF!,2,FALSE),"")</f>
        <v/>
      </c>
    </row>
    <row r="4692" spans="3:4" s="237" customFormat="1">
      <c r="C4692" s="16" t="str">
        <f>IFERROR(VLOOKUP(DATA!#REF!,DATA!#REF!,1,FALSE),"")</f>
        <v/>
      </c>
      <c r="D4692" s="16" t="str">
        <f>IFERROR(VLOOKUP(C4692,DATA!#REF!,2,FALSE),"")</f>
        <v/>
      </c>
    </row>
    <row r="4693" spans="3:4" s="237" customFormat="1">
      <c r="C4693" s="16" t="str">
        <f>IFERROR(VLOOKUP(DATA!#REF!,DATA!#REF!,1,FALSE),"")</f>
        <v/>
      </c>
      <c r="D4693" s="16" t="str">
        <f>IFERROR(VLOOKUP(C4693,DATA!#REF!,2,FALSE),"")</f>
        <v/>
      </c>
    </row>
    <row r="4694" spans="3:4" s="237" customFormat="1">
      <c r="C4694" s="16" t="str">
        <f>IFERROR(VLOOKUP(DATA!#REF!,DATA!#REF!,1,FALSE),"")</f>
        <v/>
      </c>
      <c r="D4694" s="16" t="str">
        <f>IFERROR(VLOOKUP(C4694,DATA!#REF!,2,FALSE),"")</f>
        <v/>
      </c>
    </row>
    <row r="4695" spans="3:4" s="237" customFormat="1">
      <c r="C4695" s="16" t="str">
        <f>IFERROR(VLOOKUP(DATA!#REF!,DATA!#REF!,1,FALSE),"")</f>
        <v/>
      </c>
      <c r="D4695" s="16" t="str">
        <f>IFERROR(VLOOKUP(C4695,DATA!#REF!,2,FALSE),"")</f>
        <v/>
      </c>
    </row>
    <row r="4696" spans="3:4" s="237" customFormat="1">
      <c r="C4696" s="16" t="str">
        <f>IFERROR(VLOOKUP(DATA!#REF!,DATA!#REF!,1,FALSE),"")</f>
        <v/>
      </c>
      <c r="D4696" s="16" t="str">
        <f>IFERROR(VLOOKUP(C4696,DATA!#REF!,2,FALSE),"")</f>
        <v/>
      </c>
    </row>
    <row r="4697" spans="3:4" s="237" customFormat="1">
      <c r="C4697" s="16" t="str">
        <f>IFERROR(VLOOKUP(DATA!#REF!,DATA!#REF!,1,FALSE),"")</f>
        <v/>
      </c>
      <c r="D4697" s="16" t="str">
        <f>IFERROR(VLOOKUP(C4697,DATA!#REF!,2,FALSE),"")</f>
        <v/>
      </c>
    </row>
    <row r="4698" spans="3:4" s="237" customFormat="1">
      <c r="C4698" s="16" t="str">
        <f>IFERROR(VLOOKUP(DATA!#REF!,DATA!#REF!,1,FALSE),"")</f>
        <v/>
      </c>
      <c r="D4698" s="16" t="str">
        <f>IFERROR(VLOOKUP(C4698,DATA!#REF!,2,FALSE),"")</f>
        <v/>
      </c>
    </row>
    <row r="4699" spans="3:4" s="237" customFormat="1">
      <c r="C4699" s="16" t="str">
        <f>IFERROR(VLOOKUP(DATA!#REF!,DATA!#REF!,1,FALSE),"")</f>
        <v/>
      </c>
      <c r="D4699" s="16" t="str">
        <f>IFERROR(VLOOKUP(C4699,DATA!#REF!,2,FALSE),"")</f>
        <v/>
      </c>
    </row>
    <row r="4700" spans="3:4" s="237" customFormat="1">
      <c r="C4700" s="16" t="str">
        <f>IFERROR(VLOOKUP(DATA!#REF!,DATA!#REF!,1,FALSE),"")</f>
        <v/>
      </c>
      <c r="D4700" s="16" t="str">
        <f>IFERROR(VLOOKUP(C4700,DATA!#REF!,2,FALSE),"")</f>
        <v/>
      </c>
    </row>
    <row r="4701" spans="3:4" s="237" customFormat="1">
      <c r="C4701" s="16" t="str">
        <f>IFERROR(VLOOKUP(DATA!#REF!,DATA!#REF!,1,FALSE),"")</f>
        <v/>
      </c>
      <c r="D4701" s="16" t="str">
        <f>IFERROR(VLOOKUP(C4701,DATA!#REF!,2,FALSE),"")</f>
        <v/>
      </c>
    </row>
    <row r="4702" spans="3:4" s="237" customFormat="1">
      <c r="C4702" s="16" t="str">
        <f>IFERROR(VLOOKUP(DATA!#REF!,DATA!#REF!,1,FALSE),"")</f>
        <v/>
      </c>
      <c r="D4702" s="16" t="str">
        <f>IFERROR(VLOOKUP(C4702,DATA!#REF!,2,FALSE),"")</f>
        <v/>
      </c>
    </row>
    <row r="4703" spans="3:4" s="237" customFormat="1">
      <c r="C4703" s="16" t="str">
        <f>IFERROR(VLOOKUP(DATA!#REF!,DATA!#REF!,1,FALSE),"")</f>
        <v/>
      </c>
      <c r="D4703" s="16" t="str">
        <f>IFERROR(VLOOKUP(C4703,DATA!#REF!,2,FALSE),"")</f>
        <v/>
      </c>
    </row>
    <row r="4704" spans="3:4" s="237" customFormat="1">
      <c r="C4704" s="16" t="str">
        <f>IFERROR(VLOOKUP(DATA!#REF!,DATA!#REF!,1,FALSE),"")</f>
        <v/>
      </c>
      <c r="D4704" s="16" t="str">
        <f>IFERROR(VLOOKUP(C4704,DATA!#REF!,2,FALSE),"")</f>
        <v/>
      </c>
    </row>
    <row r="4705" spans="3:4" s="237" customFormat="1">
      <c r="C4705" s="16" t="str">
        <f>IFERROR(VLOOKUP(DATA!#REF!,DATA!#REF!,1,FALSE),"")</f>
        <v/>
      </c>
      <c r="D4705" s="16" t="str">
        <f>IFERROR(VLOOKUP(C4705,DATA!#REF!,2,FALSE),"")</f>
        <v/>
      </c>
    </row>
    <row r="4706" spans="3:4" s="237" customFormat="1">
      <c r="C4706" s="16" t="str">
        <f>IFERROR(VLOOKUP(DATA!#REF!,DATA!#REF!,1,FALSE),"")</f>
        <v/>
      </c>
      <c r="D4706" s="16" t="str">
        <f>IFERROR(VLOOKUP(C4706,DATA!#REF!,2,FALSE),"")</f>
        <v/>
      </c>
    </row>
    <row r="4707" spans="3:4" s="237" customFormat="1">
      <c r="C4707" s="16" t="str">
        <f>IFERROR(VLOOKUP(DATA!#REF!,DATA!#REF!,1,FALSE),"")</f>
        <v/>
      </c>
      <c r="D4707" s="16" t="str">
        <f>IFERROR(VLOOKUP(C4707,DATA!#REF!,2,FALSE),"")</f>
        <v/>
      </c>
    </row>
    <row r="4708" spans="3:4" s="237" customFormat="1">
      <c r="C4708" s="16" t="str">
        <f>IFERROR(VLOOKUP(DATA!#REF!,DATA!#REF!,1,FALSE),"")</f>
        <v/>
      </c>
      <c r="D4708" s="16" t="str">
        <f>IFERROR(VLOOKUP(C4708,DATA!#REF!,2,FALSE),"")</f>
        <v/>
      </c>
    </row>
    <row r="4709" spans="3:4" s="237" customFormat="1">
      <c r="C4709" s="16" t="str">
        <f>IFERROR(VLOOKUP(DATA!#REF!,DATA!#REF!,1,FALSE),"")</f>
        <v/>
      </c>
      <c r="D4709" s="16" t="str">
        <f>IFERROR(VLOOKUP(C4709,DATA!#REF!,2,FALSE),"")</f>
        <v/>
      </c>
    </row>
    <row r="4710" spans="3:4" s="237" customFormat="1">
      <c r="C4710" s="16" t="str">
        <f>IFERROR(VLOOKUP(DATA!#REF!,DATA!#REF!,1,FALSE),"")</f>
        <v/>
      </c>
      <c r="D4710" s="16" t="str">
        <f>IFERROR(VLOOKUP(C4710,DATA!#REF!,2,FALSE),"")</f>
        <v/>
      </c>
    </row>
    <row r="4711" spans="3:4" s="237" customFormat="1">
      <c r="C4711" s="16" t="str">
        <f>IFERROR(VLOOKUP(DATA!#REF!,DATA!#REF!,1,FALSE),"")</f>
        <v/>
      </c>
      <c r="D4711" s="16" t="str">
        <f>IFERROR(VLOOKUP(C4711,DATA!#REF!,2,FALSE),"")</f>
        <v/>
      </c>
    </row>
    <row r="4712" spans="3:4" s="237" customFormat="1">
      <c r="C4712" s="16" t="str">
        <f>IFERROR(VLOOKUP(DATA!#REF!,DATA!#REF!,1,FALSE),"")</f>
        <v/>
      </c>
      <c r="D4712" s="16" t="str">
        <f>IFERROR(VLOOKUP(C4712,DATA!#REF!,2,FALSE),"")</f>
        <v/>
      </c>
    </row>
    <row r="4713" spans="3:4" s="237" customFormat="1">
      <c r="C4713" s="16" t="str">
        <f>IFERROR(VLOOKUP(DATA!#REF!,DATA!#REF!,1,FALSE),"")</f>
        <v/>
      </c>
      <c r="D4713" s="16" t="str">
        <f>IFERROR(VLOOKUP(C4713,DATA!#REF!,2,FALSE),"")</f>
        <v/>
      </c>
    </row>
    <row r="4714" spans="3:4" s="237" customFormat="1">
      <c r="C4714" s="16" t="str">
        <f>IFERROR(VLOOKUP(DATA!#REF!,DATA!#REF!,1,FALSE),"")</f>
        <v/>
      </c>
      <c r="D4714" s="16" t="str">
        <f>IFERROR(VLOOKUP(C4714,DATA!#REF!,2,FALSE),"")</f>
        <v/>
      </c>
    </row>
    <row r="4715" spans="3:4" s="237" customFormat="1">
      <c r="C4715" s="16" t="str">
        <f>IFERROR(VLOOKUP(DATA!#REF!,DATA!#REF!,1,FALSE),"")</f>
        <v/>
      </c>
      <c r="D4715" s="16" t="str">
        <f>IFERROR(VLOOKUP(C4715,DATA!#REF!,2,FALSE),"")</f>
        <v/>
      </c>
    </row>
    <row r="4716" spans="3:4" s="237" customFormat="1">
      <c r="C4716" s="16" t="str">
        <f>IFERROR(VLOOKUP(DATA!#REF!,DATA!#REF!,1,FALSE),"")</f>
        <v/>
      </c>
      <c r="D4716" s="16" t="str">
        <f>IFERROR(VLOOKUP(C4716,DATA!#REF!,2,FALSE),"")</f>
        <v/>
      </c>
    </row>
    <row r="4717" spans="3:4" s="237" customFormat="1">
      <c r="C4717" s="16" t="str">
        <f>IFERROR(VLOOKUP(DATA!#REF!,DATA!#REF!,1,FALSE),"")</f>
        <v/>
      </c>
      <c r="D4717" s="16" t="str">
        <f>IFERROR(VLOOKUP(C4717,DATA!#REF!,2,FALSE),"")</f>
        <v/>
      </c>
    </row>
    <row r="4718" spans="3:4" s="237" customFormat="1">
      <c r="C4718" s="16" t="str">
        <f>IFERROR(VLOOKUP(DATA!#REF!,DATA!#REF!,1,FALSE),"")</f>
        <v/>
      </c>
      <c r="D4718" s="16" t="str">
        <f>IFERROR(VLOOKUP(C4718,DATA!#REF!,2,FALSE),"")</f>
        <v/>
      </c>
    </row>
    <row r="4719" spans="3:4" s="237" customFormat="1">
      <c r="C4719" s="16" t="str">
        <f>IFERROR(VLOOKUP(DATA!#REF!,DATA!#REF!,1,FALSE),"")</f>
        <v/>
      </c>
      <c r="D4719" s="16" t="str">
        <f>IFERROR(VLOOKUP(C4719,DATA!#REF!,2,FALSE),"")</f>
        <v/>
      </c>
    </row>
    <row r="4720" spans="3:4" s="237" customFormat="1">
      <c r="C4720" s="16" t="str">
        <f>IFERROR(VLOOKUP(DATA!#REF!,DATA!#REF!,1,FALSE),"")</f>
        <v/>
      </c>
      <c r="D4720" s="16" t="str">
        <f>IFERROR(VLOOKUP(C4720,DATA!#REF!,2,FALSE),"")</f>
        <v/>
      </c>
    </row>
    <row r="4721" spans="3:4" s="237" customFormat="1">
      <c r="C4721" s="16" t="str">
        <f>IFERROR(VLOOKUP(DATA!#REF!,DATA!#REF!,1,FALSE),"")</f>
        <v/>
      </c>
      <c r="D4721" s="16" t="str">
        <f>IFERROR(VLOOKUP(C4721,DATA!#REF!,2,FALSE),"")</f>
        <v/>
      </c>
    </row>
    <row r="4722" spans="3:4" s="237" customFormat="1">
      <c r="C4722" s="16" t="str">
        <f>IFERROR(VLOOKUP(DATA!#REF!,DATA!#REF!,1,FALSE),"")</f>
        <v/>
      </c>
      <c r="D4722" s="16" t="str">
        <f>IFERROR(VLOOKUP(C4722,DATA!#REF!,2,FALSE),"")</f>
        <v/>
      </c>
    </row>
    <row r="4723" spans="3:4" s="237" customFormat="1">
      <c r="C4723" s="16" t="str">
        <f>IFERROR(VLOOKUP(DATA!#REF!,DATA!#REF!,1,FALSE),"")</f>
        <v/>
      </c>
      <c r="D4723" s="16" t="str">
        <f>IFERROR(VLOOKUP(C4723,DATA!#REF!,2,FALSE),"")</f>
        <v/>
      </c>
    </row>
    <row r="4724" spans="3:4" s="237" customFormat="1">
      <c r="C4724" s="16" t="str">
        <f>IFERROR(VLOOKUP(DATA!#REF!,DATA!#REF!,1,FALSE),"")</f>
        <v/>
      </c>
      <c r="D4724" s="16" t="str">
        <f>IFERROR(VLOOKUP(C4724,DATA!#REF!,2,FALSE),"")</f>
        <v/>
      </c>
    </row>
    <row r="4725" spans="3:4" s="237" customFormat="1">
      <c r="C4725" s="16" t="str">
        <f>IFERROR(VLOOKUP(DATA!#REF!,DATA!#REF!,1,FALSE),"")</f>
        <v/>
      </c>
      <c r="D4725" s="16" t="str">
        <f>IFERROR(VLOOKUP(C4725,DATA!#REF!,2,FALSE),"")</f>
        <v/>
      </c>
    </row>
    <row r="4726" spans="3:4" s="237" customFormat="1">
      <c r="C4726" s="16" t="str">
        <f>IFERROR(VLOOKUP(DATA!#REF!,DATA!#REF!,1,FALSE),"")</f>
        <v/>
      </c>
      <c r="D4726" s="16" t="str">
        <f>IFERROR(VLOOKUP(C4726,DATA!#REF!,2,FALSE),"")</f>
        <v/>
      </c>
    </row>
    <row r="4727" spans="3:4" s="237" customFormat="1">
      <c r="C4727" s="16" t="str">
        <f>IFERROR(VLOOKUP(DATA!#REF!,DATA!#REF!,1,FALSE),"")</f>
        <v/>
      </c>
      <c r="D4727" s="16" t="str">
        <f>IFERROR(VLOOKUP(C4727,DATA!#REF!,2,FALSE),"")</f>
        <v/>
      </c>
    </row>
    <row r="4728" spans="3:4" s="237" customFormat="1">
      <c r="C4728" s="16" t="str">
        <f>IFERROR(VLOOKUP(DATA!#REF!,DATA!#REF!,1,FALSE),"")</f>
        <v/>
      </c>
      <c r="D4728" s="16" t="str">
        <f>IFERROR(VLOOKUP(C4728,DATA!#REF!,2,FALSE),"")</f>
        <v/>
      </c>
    </row>
    <row r="4729" spans="3:4" s="237" customFormat="1">
      <c r="C4729" s="16" t="str">
        <f>IFERROR(VLOOKUP(DATA!#REF!,DATA!#REF!,1,FALSE),"")</f>
        <v/>
      </c>
      <c r="D4729" s="16" t="str">
        <f>IFERROR(VLOOKUP(C4729,DATA!#REF!,2,FALSE),"")</f>
        <v/>
      </c>
    </row>
    <row r="4730" spans="3:4" s="237" customFormat="1">
      <c r="C4730" s="16" t="str">
        <f>IFERROR(VLOOKUP(DATA!#REF!,DATA!#REF!,1,FALSE),"")</f>
        <v/>
      </c>
      <c r="D4730" s="16" t="str">
        <f>IFERROR(VLOOKUP(C4730,DATA!#REF!,2,FALSE),"")</f>
        <v/>
      </c>
    </row>
    <row r="4731" spans="3:4" s="237" customFormat="1">
      <c r="C4731" s="16" t="str">
        <f>IFERROR(VLOOKUP(DATA!#REF!,DATA!#REF!,1,FALSE),"")</f>
        <v/>
      </c>
      <c r="D4731" s="16" t="str">
        <f>IFERROR(VLOOKUP(C4731,DATA!#REF!,2,FALSE),"")</f>
        <v/>
      </c>
    </row>
    <row r="4732" spans="3:4" s="237" customFormat="1">
      <c r="C4732" s="16" t="str">
        <f>IFERROR(VLOOKUP(DATA!#REF!,DATA!#REF!,1,FALSE),"")</f>
        <v/>
      </c>
      <c r="D4732" s="16" t="str">
        <f>IFERROR(VLOOKUP(C4732,DATA!#REF!,2,FALSE),"")</f>
        <v/>
      </c>
    </row>
    <row r="4733" spans="3:4" s="237" customFormat="1">
      <c r="C4733" s="16" t="str">
        <f>IFERROR(VLOOKUP(DATA!#REF!,DATA!#REF!,1,FALSE),"")</f>
        <v/>
      </c>
      <c r="D4733" s="16" t="str">
        <f>IFERROR(VLOOKUP(C4733,DATA!#REF!,2,FALSE),"")</f>
        <v/>
      </c>
    </row>
    <row r="4734" spans="3:4" s="237" customFormat="1">
      <c r="C4734" s="16" t="str">
        <f>IFERROR(VLOOKUP(DATA!#REF!,DATA!#REF!,1,FALSE),"")</f>
        <v/>
      </c>
      <c r="D4734" s="16" t="str">
        <f>IFERROR(VLOOKUP(C4734,DATA!#REF!,2,FALSE),"")</f>
        <v/>
      </c>
    </row>
    <row r="4735" spans="3:4" s="237" customFormat="1">
      <c r="C4735" s="16" t="str">
        <f>IFERROR(VLOOKUP(DATA!#REF!,DATA!#REF!,1,FALSE),"")</f>
        <v/>
      </c>
      <c r="D4735" s="16" t="str">
        <f>IFERROR(VLOOKUP(C4735,DATA!#REF!,2,FALSE),"")</f>
        <v/>
      </c>
    </row>
    <row r="4736" spans="3:4" s="237" customFormat="1">
      <c r="C4736" s="16" t="str">
        <f>IFERROR(VLOOKUP(DATA!#REF!,DATA!#REF!,1,FALSE),"")</f>
        <v/>
      </c>
      <c r="D4736" s="16" t="str">
        <f>IFERROR(VLOOKUP(C4736,DATA!#REF!,2,FALSE),"")</f>
        <v/>
      </c>
    </row>
    <row r="4737" spans="3:4" s="237" customFormat="1">
      <c r="C4737" s="16" t="str">
        <f>IFERROR(VLOOKUP(DATA!#REF!,DATA!#REF!,1,FALSE),"")</f>
        <v/>
      </c>
      <c r="D4737" s="16" t="str">
        <f>IFERROR(VLOOKUP(C4737,DATA!#REF!,2,FALSE),"")</f>
        <v/>
      </c>
    </row>
    <row r="4738" spans="3:4" s="237" customFormat="1">
      <c r="C4738" s="16" t="str">
        <f>IFERROR(VLOOKUP(DATA!#REF!,DATA!#REF!,1,FALSE),"")</f>
        <v/>
      </c>
      <c r="D4738" s="16" t="str">
        <f>IFERROR(VLOOKUP(C4738,DATA!#REF!,2,FALSE),"")</f>
        <v/>
      </c>
    </row>
    <row r="4739" spans="3:4" s="237" customFormat="1">
      <c r="C4739" s="16" t="str">
        <f>IFERROR(VLOOKUP(DATA!#REF!,DATA!#REF!,1,FALSE),"")</f>
        <v/>
      </c>
      <c r="D4739" s="16" t="str">
        <f>IFERROR(VLOOKUP(C4739,DATA!#REF!,2,FALSE),"")</f>
        <v/>
      </c>
    </row>
    <row r="4740" spans="3:4" s="237" customFormat="1">
      <c r="C4740" s="16" t="str">
        <f>IFERROR(VLOOKUP(DATA!#REF!,DATA!#REF!,1,FALSE),"")</f>
        <v/>
      </c>
      <c r="D4740" s="16" t="str">
        <f>IFERROR(VLOOKUP(C4740,DATA!#REF!,2,FALSE),"")</f>
        <v/>
      </c>
    </row>
    <row r="4741" spans="3:4" s="237" customFormat="1">
      <c r="C4741" s="16" t="str">
        <f>IFERROR(VLOOKUP(DATA!#REF!,DATA!#REF!,1,FALSE),"")</f>
        <v/>
      </c>
      <c r="D4741" s="16" t="str">
        <f>IFERROR(VLOOKUP(C4741,DATA!#REF!,2,FALSE),"")</f>
        <v/>
      </c>
    </row>
    <row r="4742" spans="3:4" s="237" customFormat="1">
      <c r="C4742" s="16" t="str">
        <f>IFERROR(VLOOKUP(DATA!#REF!,DATA!#REF!,1,FALSE),"")</f>
        <v/>
      </c>
      <c r="D4742" s="16" t="str">
        <f>IFERROR(VLOOKUP(C4742,DATA!#REF!,2,FALSE),"")</f>
        <v/>
      </c>
    </row>
    <row r="4743" spans="3:4" s="237" customFormat="1">
      <c r="C4743" s="16" t="str">
        <f>IFERROR(VLOOKUP(DATA!#REF!,DATA!#REF!,1,FALSE),"")</f>
        <v/>
      </c>
      <c r="D4743" s="16" t="str">
        <f>IFERROR(VLOOKUP(C4743,DATA!#REF!,2,FALSE),"")</f>
        <v/>
      </c>
    </row>
    <row r="4744" spans="3:4" s="237" customFormat="1">
      <c r="C4744" s="16" t="str">
        <f>IFERROR(VLOOKUP(DATA!#REF!,DATA!#REF!,1,FALSE),"")</f>
        <v/>
      </c>
      <c r="D4744" s="16" t="str">
        <f>IFERROR(VLOOKUP(C4744,DATA!#REF!,2,FALSE),"")</f>
        <v/>
      </c>
    </row>
    <row r="4745" spans="3:4" s="237" customFormat="1">
      <c r="C4745" s="16" t="str">
        <f>IFERROR(VLOOKUP(DATA!#REF!,DATA!#REF!,1,FALSE),"")</f>
        <v/>
      </c>
      <c r="D4745" s="16" t="str">
        <f>IFERROR(VLOOKUP(C4745,DATA!#REF!,2,FALSE),"")</f>
        <v/>
      </c>
    </row>
    <row r="4746" spans="3:4" s="237" customFormat="1">
      <c r="C4746" s="16" t="str">
        <f>IFERROR(VLOOKUP(DATA!#REF!,DATA!#REF!,1,FALSE),"")</f>
        <v/>
      </c>
      <c r="D4746" s="16" t="str">
        <f>IFERROR(VLOOKUP(C4746,DATA!#REF!,2,FALSE),"")</f>
        <v/>
      </c>
    </row>
    <row r="4747" spans="3:4" s="237" customFormat="1">
      <c r="C4747" s="16" t="str">
        <f>IFERROR(VLOOKUP(DATA!#REF!,DATA!#REF!,1,FALSE),"")</f>
        <v/>
      </c>
      <c r="D4747" s="16" t="str">
        <f>IFERROR(VLOOKUP(C4747,DATA!#REF!,2,FALSE),"")</f>
        <v/>
      </c>
    </row>
    <row r="4748" spans="3:4" s="237" customFormat="1">
      <c r="C4748" s="16" t="str">
        <f>IFERROR(VLOOKUP(DATA!#REF!,DATA!#REF!,1,FALSE),"")</f>
        <v/>
      </c>
      <c r="D4748" s="16" t="str">
        <f>IFERROR(VLOOKUP(C4748,DATA!#REF!,2,FALSE),"")</f>
        <v/>
      </c>
    </row>
    <row r="4749" spans="3:4" s="237" customFormat="1">
      <c r="C4749" s="16" t="str">
        <f>IFERROR(VLOOKUP(DATA!#REF!,DATA!#REF!,1,FALSE),"")</f>
        <v/>
      </c>
      <c r="D4749" s="16" t="str">
        <f>IFERROR(VLOOKUP(C4749,DATA!#REF!,2,FALSE),"")</f>
        <v/>
      </c>
    </row>
    <row r="4750" spans="3:4" s="237" customFormat="1">
      <c r="C4750" s="16" t="str">
        <f>IFERROR(VLOOKUP(DATA!#REF!,DATA!#REF!,1,FALSE),"")</f>
        <v/>
      </c>
      <c r="D4750" s="16" t="str">
        <f>IFERROR(VLOOKUP(C4750,DATA!#REF!,2,FALSE),"")</f>
        <v/>
      </c>
    </row>
    <row r="4751" spans="3:4" s="237" customFormat="1">
      <c r="C4751" s="16" t="str">
        <f>IFERROR(VLOOKUP(DATA!#REF!,DATA!#REF!,1,FALSE),"")</f>
        <v/>
      </c>
      <c r="D4751" s="16" t="str">
        <f>IFERROR(VLOOKUP(C4751,DATA!#REF!,2,FALSE),"")</f>
        <v/>
      </c>
    </row>
    <row r="4752" spans="3:4" s="237" customFormat="1">
      <c r="C4752" s="16" t="str">
        <f>IFERROR(VLOOKUP(DATA!#REF!,DATA!#REF!,1,FALSE),"")</f>
        <v/>
      </c>
      <c r="D4752" s="16" t="str">
        <f>IFERROR(VLOOKUP(C4752,DATA!#REF!,2,FALSE),"")</f>
        <v/>
      </c>
    </row>
    <row r="4753" spans="3:4" s="237" customFormat="1">
      <c r="C4753" s="16" t="str">
        <f>IFERROR(VLOOKUP(DATA!#REF!,DATA!#REF!,1,FALSE),"")</f>
        <v/>
      </c>
      <c r="D4753" s="16" t="str">
        <f>IFERROR(VLOOKUP(C4753,DATA!#REF!,2,FALSE),"")</f>
        <v/>
      </c>
    </row>
    <row r="4754" spans="3:4" s="237" customFormat="1">
      <c r="C4754" s="16" t="str">
        <f>IFERROR(VLOOKUP(DATA!#REF!,DATA!#REF!,1,FALSE),"")</f>
        <v/>
      </c>
      <c r="D4754" s="16" t="str">
        <f>IFERROR(VLOOKUP(C4754,DATA!#REF!,2,FALSE),"")</f>
        <v/>
      </c>
    </row>
    <row r="4755" spans="3:4" s="237" customFormat="1">
      <c r="C4755" s="16" t="str">
        <f>IFERROR(VLOOKUP(DATA!#REF!,DATA!#REF!,1,FALSE),"")</f>
        <v/>
      </c>
      <c r="D4755" s="16" t="str">
        <f>IFERROR(VLOOKUP(C4755,DATA!#REF!,2,FALSE),"")</f>
        <v/>
      </c>
    </row>
    <row r="4756" spans="3:4" s="237" customFormat="1">
      <c r="C4756" s="16" t="str">
        <f>IFERROR(VLOOKUP(DATA!#REF!,DATA!#REF!,1,FALSE),"")</f>
        <v/>
      </c>
      <c r="D4756" s="16" t="str">
        <f>IFERROR(VLOOKUP(C4756,DATA!#REF!,2,FALSE),"")</f>
        <v/>
      </c>
    </row>
    <row r="4757" spans="3:4" s="237" customFormat="1">
      <c r="C4757" s="16" t="str">
        <f>IFERROR(VLOOKUP(DATA!#REF!,DATA!#REF!,1,FALSE),"")</f>
        <v/>
      </c>
      <c r="D4757" s="16" t="str">
        <f>IFERROR(VLOOKUP(C4757,DATA!#REF!,2,FALSE),"")</f>
        <v/>
      </c>
    </row>
    <row r="4758" spans="3:4" s="237" customFormat="1">
      <c r="C4758" s="16" t="str">
        <f>IFERROR(VLOOKUP(DATA!#REF!,DATA!#REF!,1,FALSE),"")</f>
        <v/>
      </c>
      <c r="D4758" s="16" t="str">
        <f>IFERROR(VLOOKUP(C4758,DATA!#REF!,2,FALSE),"")</f>
        <v/>
      </c>
    </row>
    <row r="4759" spans="3:4" s="237" customFormat="1">
      <c r="C4759" s="16" t="str">
        <f>IFERROR(VLOOKUP(DATA!#REF!,DATA!#REF!,1,FALSE),"")</f>
        <v/>
      </c>
      <c r="D4759" s="16" t="str">
        <f>IFERROR(VLOOKUP(C4759,DATA!#REF!,2,FALSE),"")</f>
        <v/>
      </c>
    </row>
    <row r="4760" spans="3:4" s="237" customFormat="1">
      <c r="C4760" s="16" t="str">
        <f>IFERROR(VLOOKUP(DATA!#REF!,DATA!#REF!,1,FALSE),"")</f>
        <v/>
      </c>
      <c r="D4760" s="16" t="str">
        <f>IFERROR(VLOOKUP(C4760,DATA!#REF!,2,FALSE),"")</f>
        <v/>
      </c>
    </row>
    <row r="4761" spans="3:4" s="237" customFormat="1">
      <c r="C4761" s="16" t="str">
        <f>IFERROR(VLOOKUP(DATA!#REF!,DATA!#REF!,1,FALSE),"")</f>
        <v/>
      </c>
      <c r="D4761" s="16" t="str">
        <f>IFERROR(VLOOKUP(C4761,DATA!#REF!,2,FALSE),"")</f>
        <v/>
      </c>
    </row>
    <row r="4762" spans="3:4" s="237" customFormat="1">
      <c r="C4762" s="16" t="str">
        <f>IFERROR(VLOOKUP(DATA!#REF!,DATA!#REF!,1,FALSE),"")</f>
        <v/>
      </c>
      <c r="D4762" s="16" t="str">
        <f>IFERROR(VLOOKUP(C4762,DATA!#REF!,2,FALSE),"")</f>
        <v/>
      </c>
    </row>
    <row r="4763" spans="3:4" s="237" customFormat="1">
      <c r="C4763" s="16" t="str">
        <f>IFERROR(VLOOKUP(DATA!#REF!,DATA!#REF!,1,FALSE),"")</f>
        <v/>
      </c>
      <c r="D4763" s="16" t="str">
        <f>IFERROR(VLOOKUP(C4763,DATA!#REF!,2,FALSE),"")</f>
        <v/>
      </c>
    </row>
    <row r="4764" spans="3:4" s="237" customFormat="1">
      <c r="C4764" s="16" t="str">
        <f>IFERROR(VLOOKUP(DATA!#REF!,DATA!#REF!,1,FALSE),"")</f>
        <v/>
      </c>
      <c r="D4764" s="16" t="str">
        <f>IFERROR(VLOOKUP(C4764,DATA!#REF!,2,FALSE),"")</f>
        <v/>
      </c>
    </row>
    <row r="4765" spans="3:4" s="237" customFormat="1">
      <c r="C4765" s="16" t="str">
        <f>IFERROR(VLOOKUP(DATA!#REF!,DATA!#REF!,1,FALSE),"")</f>
        <v/>
      </c>
      <c r="D4765" s="16" t="str">
        <f>IFERROR(VLOOKUP(C4765,DATA!#REF!,2,FALSE),"")</f>
        <v/>
      </c>
    </row>
    <row r="4766" spans="3:4" s="237" customFormat="1">
      <c r="C4766" s="16" t="str">
        <f>IFERROR(VLOOKUP(DATA!#REF!,DATA!#REF!,1,FALSE),"")</f>
        <v/>
      </c>
      <c r="D4766" s="16" t="str">
        <f>IFERROR(VLOOKUP(C4766,DATA!#REF!,2,FALSE),"")</f>
        <v/>
      </c>
    </row>
    <row r="4767" spans="3:4" s="237" customFormat="1">
      <c r="C4767" s="16" t="str">
        <f>IFERROR(VLOOKUP(DATA!#REF!,DATA!#REF!,1,FALSE),"")</f>
        <v/>
      </c>
      <c r="D4767" s="16" t="str">
        <f>IFERROR(VLOOKUP(C4767,DATA!#REF!,2,FALSE),"")</f>
        <v/>
      </c>
    </row>
    <row r="4768" spans="3:4" s="237" customFormat="1">
      <c r="C4768" s="16" t="str">
        <f>IFERROR(VLOOKUP(DATA!#REF!,DATA!#REF!,1,FALSE),"")</f>
        <v/>
      </c>
      <c r="D4768" s="16" t="str">
        <f>IFERROR(VLOOKUP(C4768,DATA!#REF!,2,FALSE),"")</f>
        <v/>
      </c>
    </row>
    <row r="4769" spans="3:4" s="237" customFormat="1">
      <c r="C4769" s="16" t="str">
        <f>IFERROR(VLOOKUP(DATA!#REF!,DATA!#REF!,1,FALSE),"")</f>
        <v/>
      </c>
      <c r="D4769" s="16" t="str">
        <f>IFERROR(VLOOKUP(C4769,DATA!#REF!,2,FALSE),"")</f>
        <v/>
      </c>
    </row>
    <row r="4770" spans="3:4" s="237" customFormat="1">
      <c r="C4770" s="16" t="str">
        <f>IFERROR(VLOOKUP(DATA!#REF!,DATA!#REF!,1,FALSE),"")</f>
        <v/>
      </c>
      <c r="D4770" s="16" t="str">
        <f>IFERROR(VLOOKUP(C4770,DATA!#REF!,2,FALSE),"")</f>
        <v/>
      </c>
    </row>
    <row r="4771" spans="3:4" s="237" customFormat="1">
      <c r="C4771" s="16" t="str">
        <f>IFERROR(VLOOKUP(DATA!#REF!,DATA!#REF!,1,FALSE),"")</f>
        <v/>
      </c>
      <c r="D4771" s="16" t="str">
        <f>IFERROR(VLOOKUP(C4771,DATA!#REF!,2,FALSE),"")</f>
        <v/>
      </c>
    </row>
    <row r="4772" spans="3:4" s="237" customFormat="1">
      <c r="C4772" s="16" t="str">
        <f>IFERROR(VLOOKUP(DATA!#REF!,DATA!#REF!,1,FALSE),"")</f>
        <v/>
      </c>
      <c r="D4772" s="16" t="str">
        <f>IFERROR(VLOOKUP(C4772,DATA!#REF!,2,FALSE),"")</f>
        <v/>
      </c>
    </row>
    <row r="4773" spans="3:4" s="237" customFormat="1">
      <c r="C4773" s="16" t="str">
        <f>IFERROR(VLOOKUP(DATA!#REF!,DATA!#REF!,1,FALSE),"")</f>
        <v/>
      </c>
      <c r="D4773" s="16" t="str">
        <f>IFERROR(VLOOKUP(C4773,DATA!#REF!,2,FALSE),"")</f>
        <v/>
      </c>
    </row>
    <row r="4774" spans="3:4" s="237" customFormat="1">
      <c r="C4774" s="16" t="str">
        <f>IFERROR(VLOOKUP(DATA!#REF!,DATA!#REF!,1,FALSE),"")</f>
        <v/>
      </c>
      <c r="D4774" s="16" t="str">
        <f>IFERROR(VLOOKUP(C4774,DATA!#REF!,2,FALSE),"")</f>
        <v/>
      </c>
    </row>
    <row r="4775" spans="3:4" s="237" customFormat="1">
      <c r="C4775" s="16" t="str">
        <f>IFERROR(VLOOKUP(DATA!#REF!,DATA!#REF!,1,FALSE),"")</f>
        <v/>
      </c>
      <c r="D4775" s="16" t="str">
        <f>IFERROR(VLOOKUP(C4775,DATA!#REF!,2,FALSE),"")</f>
        <v/>
      </c>
    </row>
    <row r="4776" spans="3:4" s="237" customFormat="1">
      <c r="C4776" s="16" t="str">
        <f>IFERROR(VLOOKUP(DATA!#REF!,DATA!#REF!,1,FALSE),"")</f>
        <v/>
      </c>
      <c r="D4776" s="16" t="str">
        <f>IFERROR(VLOOKUP(C4776,DATA!#REF!,2,FALSE),"")</f>
        <v/>
      </c>
    </row>
    <row r="4777" spans="3:4" s="237" customFormat="1">
      <c r="C4777" s="16" t="str">
        <f>IFERROR(VLOOKUP(DATA!#REF!,DATA!#REF!,1,FALSE),"")</f>
        <v/>
      </c>
      <c r="D4777" s="16" t="str">
        <f>IFERROR(VLOOKUP(C4777,DATA!#REF!,2,FALSE),"")</f>
        <v/>
      </c>
    </row>
    <row r="4778" spans="3:4" s="237" customFormat="1">
      <c r="C4778" s="16" t="str">
        <f>IFERROR(VLOOKUP(DATA!#REF!,DATA!#REF!,1,FALSE),"")</f>
        <v/>
      </c>
      <c r="D4778" s="16" t="str">
        <f>IFERROR(VLOOKUP(C4778,DATA!#REF!,2,FALSE),"")</f>
        <v/>
      </c>
    </row>
    <row r="4779" spans="3:4" s="237" customFormat="1">
      <c r="C4779" s="16" t="str">
        <f>IFERROR(VLOOKUP(DATA!#REF!,DATA!#REF!,1,FALSE),"")</f>
        <v/>
      </c>
      <c r="D4779" s="16" t="str">
        <f>IFERROR(VLOOKUP(C4779,DATA!#REF!,2,FALSE),"")</f>
        <v/>
      </c>
    </row>
    <row r="4780" spans="3:4" s="237" customFormat="1">
      <c r="C4780" s="16" t="str">
        <f>IFERROR(VLOOKUP(DATA!#REF!,DATA!#REF!,1,FALSE),"")</f>
        <v/>
      </c>
      <c r="D4780" s="16" t="str">
        <f>IFERROR(VLOOKUP(C4780,DATA!#REF!,2,FALSE),"")</f>
        <v/>
      </c>
    </row>
    <row r="4781" spans="3:4" s="237" customFormat="1">
      <c r="C4781" s="16" t="str">
        <f>IFERROR(VLOOKUP(DATA!#REF!,DATA!#REF!,1,FALSE),"")</f>
        <v/>
      </c>
      <c r="D4781" s="16" t="str">
        <f>IFERROR(VLOOKUP(C4781,DATA!#REF!,2,FALSE),"")</f>
        <v/>
      </c>
    </row>
    <row r="4782" spans="3:4" s="237" customFormat="1">
      <c r="C4782" s="16" t="str">
        <f>IFERROR(VLOOKUP(DATA!#REF!,DATA!#REF!,1,FALSE),"")</f>
        <v/>
      </c>
      <c r="D4782" s="16" t="str">
        <f>IFERROR(VLOOKUP(C4782,DATA!#REF!,2,FALSE),"")</f>
        <v/>
      </c>
    </row>
    <row r="4783" spans="3:4" s="237" customFormat="1">
      <c r="C4783" s="16" t="str">
        <f>IFERROR(VLOOKUP(DATA!#REF!,DATA!#REF!,1,FALSE),"")</f>
        <v/>
      </c>
      <c r="D4783" s="16" t="str">
        <f>IFERROR(VLOOKUP(C4783,DATA!#REF!,2,FALSE),"")</f>
        <v/>
      </c>
    </row>
    <row r="4784" spans="3:4" s="237" customFormat="1">
      <c r="C4784" s="16" t="str">
        <f>IFERROR(VLOOKUP(DATA!#REF!,DATA!#REF!,1,FALSE),"")</f>
        <v/>
      </c>
      <c r="D4784" s="16" t="str">
        <f>IFERROR(VLOOKUP(C4784,DATA!#REF!,2,FALSE),"")</f>
        <v/>
      </c>
    </row>
    <row r="4785" spans="3:4" s="237" customFormat="1">
      <c r="C4785" s="16" t="str">
        <f>IFERROR(VLOOKUP(DATA!#REF!,DATA!#REF!,1,FALSE),"")</f>
        <v/>
      </c>
      <c r="D4785" s="16" t="str">
        <f>IFERROR(VLOOKUP(C4785,DATA!#REF!,2,FALSE),"")</f>
        <v/>
      </c>
    </row>
    <row r="4786" spans="3:4" s="237" customFormat="1">
      <c r="C4786" s="16" t="str">
        <f>IFERROR(VLOOKUP(DATA!#REF!,DATA!#REF!,1,FALSE),"")</f>
        <v/>
      </c>
      <c r="D4786" s="16" t="str">
        <f>IFERROR(VLOOKUP(C4786,DATA!#REF!,2,FALSE),"")</f>
        <v/>
      </c>
    </row>
    <row r="4787" spans="3:4" s="237" customFormat="1">
      <c r="C4787" s="16" t="str">
        <f>IFERROR(VLOOKUP(DATA!#REF!,DATA!#REF!,1,FALSE),"")</f>
        <v/>
      </c>
      <c r="D4787" s="16" t="str">
        <f>IFERROR(VLOOKUP(C4787,DATA!#REF!,2,FALSE),"")</f>
        <v/>
      </c>
    </row>
    <row r="4788" spans="3:4" s="237" customFormat="1">
      <c r="C4788" s="16" t="str">
        <f>IFERROR(VLOOKUP(DATA!#REF!,DATA!#REF!,1,FALSE),"")</f>
        <v/>
      </c>
      <c r="D4788" s="16" t="str">
        <f>IFERROR(VLOOKUP(C4788,DATA!#REF!,2,FALSE),"")</f>
        <v/>
      </c>
    </row>
    <row r="4789" spans="3:4" s="237" customFormat="1">
      <c r="C4789" s="16" t="str">
        <f>IFERROR(VLOOKUP(DATA!#REF!,DATA!#REF!,1,FALSE),"")</f>
        <v/>
      </c>
      <c r="D4789" s="16" t="str">
        <f>IFERROR(VLOOKUP(C4789,DATA!#REF!,2,FALSE),"")</f>
        <v/>
      </c>
    </row>
    <row r="4790" spans="3:4" s="237" customFormat="1">
      <c r="C4790" s="16" t="str">
        <f>IFERROR(VLOOKUP(DATA!#REF!,DATA!#REF!,1,FALSE),"")</f>
        <v/>
      </c>
      <c r="D4790" s="16" t="str">
        <f>IFERROR(VLOOKUP(C4790,DATA!#REF!,2,FALSE),"")</f>
        <v/>
      </c>
    </row>
    <row r="4791" spans="3:4" s="237" customFormat="1">
      <c r="C4791" s="16" t="str">
        <f>IFERROR(VLOOKUP(DATA!#REF!,DATA!#REF!,1,FALSE),"")</f>
        <v/>
      </c>
      <c r="D4791" s="16" t="str">
        <f>IFERROR(VLOOKUP(C4791,DATA!#REF!,2,FALSE),"")</f>
        <v/>
      </c>
    </row>
    <row r="4792" spans="3:4" s="237" customFormat="1">
      <c r="C4792" s="16" t="str">
        <f>IFERROR(VLOOKUP(DATA!#REF!,DATA!#REF!,1,FALSE),"")</f>
        <v/>
      </c>
      <c r="D4792" s="16" t="str">
        <f>IFERROR(VLOOKUP(C4792,DATA!#REF!,2,FALSE),"")</f>
        <v/>
      </c>
    </row>
    <row r="4793" spans="3:4" s="237" customFormat="1">
      <c r="C4793" s="16" t="str">
        <f>IFERROR(VLOOKUP(DATA!#REF!,DATA!#REF!,1,FALSE),"")</f>
        <v/>
      </c>
      <c r="D4793" s="16" t="str">
        <f>IFERROR(VLOOKUP(C4793,DATA!#REF!,2,FALSE),"")</f>
        <v/>
      </c>
    </row>
    <row r="4794" spans="3:4" s="237" customFormat="1">
      <c r="C4794" s="16" t="str">
        <f>IFERROR(VLOOKUP(DATA!#REF!,DATA!#REF!,1,FALSE),"")</f>
        <v/>
      </c>
      <c r="D4794" s="16" t="str">
        <f>IFERROR(VLOOKUP(C4794,DATA!#REF!,2,FALSE),"")</f>
        <v/>
      </c>
    </row>
    <row r="4795" spans="3:4" s="237" customFormat="1">
      <c r="C4795" s="16" t="str">
        <f>IFERROR(VLOOKUP(DATA!#REF!,DATA!#REF!,1,FALSE),"")</f>
        <v/>
      </c>
      <c r="D4795" s="16" t="str">
        <f>IFERROR(VLOOKUP(C4795,DATA!#REF!,2,FALSE),"")</f>
        <v/>
      </c>
    </row>
    <row r="4796" spans="3:4" s="237" customFormat="1">
      <c r="C4796" s="16" t="str">
        <f>IFERROR(VLOOKUP(DATA!#REF!,DATA!#REF!,1,FALSE),"")</f>
        <v/>
      </c>
      <c r="D4796" s="16" t="str">
        <f>IFERROR(VLOOKUP(C4796,DATA!#REF!,2,FALSE),"")</f>
        <v/>
      </c>
    </row>
    <row r="4797" spans="3:4" s="237" customFormat="1">
      <c r="C4797" s="16" t="str">
        <f>IFERROR(VLOOKUP(DATA!#REF!,DATA!#REF!,1,FALSE),"")</f>
        <v/>
      </c>
      <c r="D4797" s="16" t="str">
        <f>IFERROR(VLOOKUP(C4797,DATA!#REF!,2,FALSE),"")</f>
        <v/>
      </c>
    </row>
    <row r="4798" spans="3:4" s="237" customFormat="1">
      <c r="C4798" s="16" t="str">
        <f>IFERROR(VLOOKUP(DATA!#REF!,DATA!#REF!,1,FALSE),"")</f>
        <v/>
      </c>
      <c r="D4798" s="16" t="str">
        <f>IFERROR(VLOOKUP(C4798,DATA!#REF!,2,FALSE),"")</f>
        <v/>
      </c>
    </row>
    <row r="4799" spans="3:4" s="237" customFormat="1">
      <c r="C4799" s="16" t="str">
        <f>IFERROR(VLOOKUP(DATA!#REF!,DATA!#REF!,1,FALSE),"")</f>
        <v/>
      </c>
      <c r="D4799" s="16" t="str">
        <f>IFERROR(VLOOKUP(C4799,DATA!#REF!,2,FALSE),"")</f>
        <v/>
      </c>
    </row>
    <row r="4800" spans="3:4" s="237" customFormat="1">
      <c r="C4800" s="16" t="str">
        <f>IFERROR(VLOOKUP(DATA!#REF!,DATA!#REF!,1,FALSE),"")</f>
        <v/>
      </c>
      <c r="D4800" s="16" t="str">
        <f>IFERROR(VLOOKUP(C4800,DATA!#REF!,2,FALSE),"")</f>
        <v/>
      </c>
    </row>
    <row r="4801" spans="3:4" s="237" customFormat="1">
      <c r="C4801" s="16" t="str">
        <f>IFERROR(VLOOKUP(DATA!#REF!,DATA!#REF!,1,FALSE),"")</f>
        <v/>
      </c>
      <c r="D4801" s="16" t="str">
        <f>IFERROR(VLOOKUP(C4801,DATA!#REF!,2,FALSE),"")</f>
        <v/>
      </c>
    </row>
    <row r="4802" spans="3:4" s="237" customFormat="1">
      <c r="C4802" s="16" t="str">
        <f>IFERROR(VLOOKUP(DATA!#REF!,DATA!#REF!,1,FALSE),"")</f>
        <v/>
      </c>
      <c r="D4802" s="16" t="str">
        <f>IFERROR(VLOOKUP(C4802,DATA!#REF!,2,FALSE),"")</f>
        <v/>
      </c>
    </row>
    <row r="4803" spans="3:4" s="237" customFormat="1">
      <c r="C4803" s="16" t="str">
        <f>IFERROR(VLOOKUP(DATA!#REF!,DATA!#REF!,1,FALSE),"")</f>
        <v/>
      </c>
      <c r="D4803" s="16" t="str">
        <f>IFERROR(VLOOKUP(C4803,DATA!#REF!,2,FALSE),"")</f>
        <v/>
      </c>
    </row>
    <row r="4804" spans="3:4" s="237" customFormat="1">
      <c r="C4804" s="16" t="str">
        <f>IFERROR(VLOOKUP(DATA!#REF!,DATA!#REF!,1,FALSE),"")</f>
        <v/>
      </c>
      <c r="D4804" s="16" t="str">
        <f>IFERROR(VLOOKUP(C4804,DATA!#REF!,2,FALSE),"")</f>
        <v/>
      </c>
    </row>
    <row r="4805" spans="3:4" s="237" customFormat="1">
      <c r="C4805" s="16" t="str">
        <f>IFERROR(VLOOKUP(DATA!#REF!,DATA!#REF!,1,FALSE),"")</f>
        <v/>
      </c>
      <c r="D4805" s="16" t="str">
        <f>IFERROR(VLOOKUP(C4805,DATA!#REF!,2,FALSE),"")</f>
        <v/>
      </c>
    </row>
    <row r="4806" spans="3:4" s="237" customFormat="1">
      <c r="C4806" s="16" t="str">
        <f>IFERROR(VLOOKUP(DATA!#REF!,DATA!#REF!,1,FALSE),"")</f>
        <v/>
      </c>
      <c r="D4806" s="16" t="str">
        <f>IFERROR(VLOOKUP(C4806,DATA!#REF!,2,FALSE),"")</f>
        <v/>
      </c>
    </row>
    <row r="4807" spans="3:4" s="237" customFormat="1">
      <c r="C4807" s="16" t="str">
        <f>IFERROR(VLOOKUP(DATA!#REF!,DATA!#REF!,1,FALSE),"")</f>
        <v/>
      </c>
      <c r="D4807" s="16" t="str">
        <f>IFERROR(VLOOKUP(C4807,DATA!#REF!,2,FALSE),"")</f>
        <v/>
      </c>
    </row>
    <row r="4808" spans="3:4" s="237" customFormat="1">
      <c r="C4808" s="16" t="str">
        <f>IFERROR(VLOOKUP(DATA!#REF!,DATA!#REF!,1,FALSE),"")</f>
        <v/>
      </c>
      <c r="D4808" s="16" t="str">
        <f>IFERROR(VLOOKUP(C4808,DATA!#REF!,2,FALSE),"")</f>
        <v/>
      </c>
    </row>
    <row r="4809" spans="3:4" s="237" customFormat="1">
      <c r="C4809" s="16" t="str">
        <f>IFERROR(VLOOKUP(DATA!#REF!,DATA!#REF!,1,FALSE),"")</f>
        <v/>
      </c>
      <c r="D4809" s="16" t="str">
        <f>IFERROR(VLOOKUP(C4809,DATA!#REF!,2,FALSE),"")</f>
        <v/>
      </c>
    </row>
    <row r="4810" spans="3:4" s="237" customFormat="1">
      <c r="C4810" s="16" t="str">
        <f>IFERROR(VLOOKUP(DATA!#REF!,DATA!#REF!,1,FALSE),"")</f>
        <v/>
      </c>
      <c r="D4810" s="16" t="str">
        <f>IFERROR(VLOOKUP(C4810,DATA!#REF!,2,FALSE),"")</f>
        <v/>
      </c>
    </row>
    <row r="4811" spans="3:4" s="237" customFormat="1">
      <c r="C4811" s="16" t="str">
        <f>IFERROR(VLOOKUP(DATA!#REF!,DATA!#REF!,1,FALSE),"")</f>
        <v/>
      </c>
      <c r="D4811" s="16" t="str">
        <f>IFERROR(VLOOKUP(C4811,DATA!#REF!,2,FALSE),"")</f>
        <v/>
      </c>
    </row>
    <row r="4812" spans="3:4" s="237" customFormat="1">
      <c r="C4812" s="16" t="str">
        <f>IFERROR(VLOOKUP(DATA!#REF!,DATA!#REF!,1,FALSE),"")</f>
        <v/>
      </c>
      <c r="D4812" s="16" t="str">
        <f>IFERROR(VLOOKUP(C4812,DATA!#REF!,2,FALSE),"")</f>
        <v/>
      </c>
    </row>
    <row r="4813" spans="3:4" s="237" customFormat="1">
      <c r="C4813" s="16" t="str">
        <f>IFERROR(VLOOKUP(DATA!#REF!,DATA!#REF!,1,FALSE),"")</f>
        <v/>
      </c>
      <c r="D4813" s="16" t="str">
        <f>IFERROR(VLOOKUP(C4813,DATA!#REF!,2,FALSE),"")</f>
        <v/>
      </c>
    </row>
    <row r="4814" spans="3:4" s="237" customFormat="1">
      <c r="C4814" s="16" t="str">
        <f>IFERROR(VLOOKUP(DATA!#REF!,DATA!#REF!,1,FALSE),"")</f>
        <v/>
      </c>
      <c r="D4814" s="16" t="str">
        <f>IFERROR(VLOOKUP(C4814,DATA!#REF!,2,FALSE),"")</f>
        <v/>
      </c>
    </row>
    <row r="4815" spans="3:4" s="237" customFormat="1">
      <c r="C4815" s="16" t="str">
        <f>IFERROR(VLOOKUP(DATA!#REF!,DATA!#REF!,1,FALSE),"")</f>
        <v/>
      </c>
      <c r="D4815" s="16" t="str">
        <f>IFERROR(VLOOKUP(C4815,DATA!#REF!,2,FALSE),"")</f>
        <v/>
      </c>
    </row>
    <row r="4816" spans="3:4" s="237" customFormat="1">
      <c r="C4816" s="16" t="str">
        <f>IFERROR(VLOOKUP(DATA!#REF!,DATA!#REF!,1,FALSE),"")</f>
        <v/>
      </c>
      <c r="D4816" s="16" t="str">
        <f>IFERROR(VLOOKUP(C4816,DATA!#REF!,2,FALSE),"")</f>
        <v/>
      </c>
    </row>
    <row r="4817" spans="3:4" s="237" customFormat="1">
      <c r="C4817" s="16" t="str">
        <f>IFERROR(VLOOKUP(DATA!#REF!,DATA!#REF!,1,FALSE),"")</f>
        <v/>
      </c>
      <c r="D4817" s="16" t="str">
        <f>IFERROR(VLOOKUP(C4817,DATA!#REF!,2,FALSE),"")</f>
        <v/>
      </c>
    </row>
    <row r="4818" spans="3:4" s="237" customFormat="1">
      <c r="C4818" s="16" t="str">
        <f>IFERROR(VLOOKUP(DATA!#REF!,DATA!#REF!,1,FALSE),"")</f>
        <v/>
      </c>
      <c r="D4818" s="16" t="str">
        <f>IFERROR(VLOOKUP(C4818,DATA!#REF!,2,FALSE),"")</f>
        <v/>
      </c>
    </row>
    <row r="4819" spans="3:4" s="237" customFormat="1">
      <c r="C4819" s="16" t="str">
        <f>IFERROR(VLOOKUP(DATA!#REF!,DATA!#REF!,1,FALSE),"")</f>
        <v/>
      </c>
      <c r="D4819" s="16" t="str">
        <f>IFERROR(VLOOKUP(C4819,DATA!#REF!,2,FALSE),"")</f>
        <v/>
      </c>
    </row>
    <row r="4820" spans="3:4" s="237" customFormat="1">
      <c r="C4820" s="16" t="str">
        <f>IFERROR(VLOOKUP(DATA!#REF!,DATA!#REF!,1,FALSE),"")</f>
        <v/>
      </c>
      <c r="D4820" s="16" t="str">
        <f>IFERROR(VLOOKUP(C4820,DATA!#REF!,2,FALSE),"")</f>
        <v/>
      </c>
    </row>
    <row r="4821" spans="3:4" s="237" customFormat="1">
      <c r="C4821" s="16" t="str">
        <f>IFERROR(VLOOKUP(DATA!#REF!,DATA!#REF!,1,FALSE),"")</f>
        <v/>
      </c>
      <c r="D4821" s="16" t="str">
        <f>IFERROR(VLOOKUP(C4821,DATA!#REF!,2,FALSE),"")</f>
        <v/>
      </c>
    </row>
    <row r="4822" spans="3:4" s="237" customFormat="1">
      <c r="C4822" s="16" t="str">
        <f>IFERROR(VLOOKUP(DATA!#REF!,DATA!#REF!,1,FALSE),"")</f>
        <v/>
      </c>
      <c r="D4822" s="16" t="str">
        <f>IFERROR(VLOOKUP(C4822,DATA!#REF!,2,FALSE),"")</f>
        <v/>
      </c>
    </row>
    <row r="4823" spans="3:4" s="237" customFormat="1">
      <c r="C4823" s="16" t="str">
        <f>IFERROR(VLOOKUP(DATA!#REF!,DATA!#REF!,1,FALSE),"")</f>
        <v/>
      </c>
      <c r="D4823" s="16" t="str">
        <f>IFERROR(VLOOKUP(C4823,DATA!#REF!,2,FALSE),"")</f>
        <v/>
      </c>
    </row>
    <row r="4824" spans="3:4" s="237" customFormat="1">
      <c r="C4824" s="16" t="str">
        <f>IFERROR(VLOOKUP(DATA!#REF!,DATA!#REF!,1,FALSE),"")</f>
        <v/>
      </c>
      <c r="D4824" s="16" t="str">
        <f>IFERROR(VLOOKUP(C4824,DATA!#REF!,2,FALSE),"")</f>
        <v/>
      </c>
    </row>
    <row r="4825" spans="3:4" s="237" customFormat="1">
      <c r="C4825" s="16" t="str">
        <f>IFERROR(VLOOKUP(DATA!#REF!,DATA!#REF!,1,FALSE),"")</f>
        <v/>
      </c>
      <c r="D4825" s="16" t="str">
        <f>IFERROR(VLOOKUP(C4825,DATA!#REF!,2,FALSE),"")</f>
        <v/>
      </c>
    </row>
    <row r="4826" spans="3:4" s="237" customFormat="1">
      <c r="C4826" s="16" t="str">
        <f>IFERROR(VLOOKUP(DATA!#REF!,DATA!#REF!,1,FALSE),"")</f>
        <v/>
      </c>
      <c r="D4826" s="16" t="str">
        <f>IFERROR(VLOOKUP(C4826,DATA!#REF!,2,FALSE),"")</f>
        <v/>
      </c>
    </row>
    <row r="4827" spans="3:4" s="237" customFormat="1">
      <c r="C4827" s="16" t="str">
        <f>IFERROR(VLOOKUP(DATA!#REF!,DATA!#REF!,1,FALSE),"")</f>
        <v/>
      </c>
      <c r="D4827" s="16" t="str">
        <f>IFERROR(VLOOKUP(C4827,DATA!#REF!,2,FALSE),"")</f>
        <v/>
      </c>
    </row>
    <row r="4828" spans="3:4" s="237" customFormat="1">
      <c r="C4828" s="16" t="str">
        <f>IFERROR(VLOOKUP(DATA!#REF!,DATA!#REF!,1,FALSE),"")</f>
        <v/>
      </c>
      <c r="D4828" s="16" t="str">
        <f>IFERROR(VLOOKUP(C4828,DATA!#REF!,2,FALSE),"")</f>
        <v/>
      </c>
    </row>
    <row r="4829" spans="3:4" s="237" customFormat="1">
      <c r="C4829" s="16" t="str">
        <f>IFERROR(VLOOKUP(DATA!#REF!,DATA!#REF!,1,FALSE),"")</f>
        <v/>
      </c>
      <c r="D4829" s="16" t="str">
        <f>IFERROR(VLOOKUP(C4829,DATA!#REF!,2,FALSE),"")</f>
        <v/>
      </c>
    </row>
    <row r="4830" spans="3:4" s="237" customFormat="1">
      <c r="C4830" s="16" t="str">
        <f>IFERROR(VLOOKUP(DATA!#REF!,DATA!#REF!,1,FALSE),"")</f>
        <v/>
      </c>
      <c r="D4830" s="16" t="str">
        <f>IFERROR(VLOOKUP(C4830,DATA!#REF!,2,FALSE),"")</f>
        <v/>
      </c>
    </row>
    <row r="4831" spans="3:4" s="237" customFormat="1">
      <c r="C4831" s="16" t="str">
        <f>IFERROR(VLOOKUP(DATA!#REF!,DATA!#REF!,1,FALSE),"")</f>
        <v/>
      </c>
      <c r="D4831" s="16" t="str">
        <f>IFERROR(VLOOKUP(C4831,DATA!#REF!,2,FALSE),"")</f>
        <v/>
      </c>
    </row>
    <row r="4832" spans="3:4" s="237" customFormat="1">
      <c r="C4832" s="16" t="str">
        <f>IFERROR(VLOOKUP(DATA!#REF!,DATA!#REF!,1,FALSE),"")</f>
        <v/>
      </c>
      <c r="D4832" s="16" t="str">
        <f>IFERROR(VLOOKUP(C4832,DATA!#REF!,2,FALSE),"")</f>
        <v/>
      </c>
    </row>
    <row r="4833" spans="3:4" s="237" customFormat="1">
      <c r="C4833" s="16" t="str">
        <f>IFERROR(VLOOKUP(DATA!#REF!,DATA!#REF!,1,FALSE),"")</f>
        <v/>
      </c>
      <c r="D4833" s="16" t="str">
        <f>IFERROR(VLOOKUP(C4833,DATA!#REF!,2,FALSE),"")</f>
        <v/>
      </c>
    </row>
    <row r="4834" spans="3:4" s="237" customFormat="1">
      <c r="C4834" s="16" t="str">
        <f>IFERROR(VLOOKUP(DATA!#REF!,DATA!#REF!,1,FALSE),"")</f>
        <v/>
      </c>
      <c r="D4834" s="16" t="str">
        <f>IFERROR(VLOOKUP(C4834,DATA!#REF!,2,FALSE),"")</f>
        <v/>
      </c>
    </row>
    <row r="4835" spans="3:4" s="237" customFormat="1">
      <c r="C4835" s="16" t="str">
        <f>IFERROR(VLOOKUP(DATA!#REF!,DATA!#REF!,1,FALSE),"")</f>
        <v/>
      </c>
      <c r="D4835" s="16" t="str">
        <f>IFERROR(VLOOKUP(C4835,DATA!#REF!,2,FALSE),"")</f>
        <v/>
      </c>
    </row>
    <row r="4836" spans="3:4" s="237" customFormat="1">
      <c r="C4836" s="16" t="str">
        <f>IFERROR(VLOOKUP(DATA!#REF!,DATA!#REF!,1,FALSE),"")</f>
        <v/>
      </c>
      <c r="D4836" s="16" t="str">
        <f>IFERROR(VLOOKUP(C4836,DATA!#REF!,2,FALSE),"")</f>
        <v/>
      </c>
    </row>
    <row r="4837" spans="3:4" s="237" customFormat="1">
      <c r="C4837" s="16" t="str">
        <f>IFERROR(VLOOKUP(DATA!#REF!,DATA!#REF!,1,FALSE),"")</f>
        <v/>
      </c>
      <c r="D4837" s="16" t="str">
        <f>IFERROR(VLOOKUP(C4837,DATA!#REF!,2,FALSE),"")</f>
        <v/>
      </c>
    </row>
    <row r="4838" spans="3:4" s="237" customFormat="1">
      <c r="C4838" s="16" t="str">
        <f>IFERROR(VLOOKUP(DATA!#REF!,DATA!#REF!,1,FALSE),"")</f>
        <v/>
      </c>
      <c r="D4838" s="16" t="str">
        <f>IFERROR(VLOOKUP(C4838,DATA!#REF!,2,FALSE),"")</f>
        <v/>
      </c>
    </row>
    <row r="4839" spans="3:4" s="237" customFormat="1">
      <c r="C4839" s="16" t="str">
        <f>IFERROR(VLOOKUP(DATA!#REF!,DATA!#REF!,1,FALSE),"")</f>
        <v/>
      </c>
      <c r="D4839" s="16" t="str">
        <f>IFERROR(VLOOKUP(C4839,DATA!#REF!,2,FALSE),"")</f>
        <v/>
      </c>
    </row>
    <row r="4840" spans="3:4" s="237" customFormat="1">
      <c r="C4840" s="16" t="str">
        <f>IFERROR(VLOOKUP(DATA!#REF!,DATA!#REF!,1,FALSE),"")</f>
        <v/>
      </c>
      <c r="D4840" s="16" t="str">
        <f>IFERROR(VLOOKUP(C4840,DATA!#REF!,2,FALSE),"")</f>
        <v/>
      </c>
    </row>
    <row r="4841" spans="3:4" s="237" customFormat="1">
      <c r="C4841" s="16" t="str">
        <f>IFERROR(VLOOKUP(DATA!#REF!,DATA!#REF!,1,FALSE),"")</f>
        <v/>
      </c>
      <c r="D4841" s="16" t="str">
        <f>IFERROR(VLOOKUP(C4841,DATA!#REF!,2,FALSE),"")</f>
        <v/>
      </c>
    </row>
    <row r="4842" spans="3:4" s="237" customFormat="1">
      <c r="C4842" s="16" t="str">
        <f>IFERROR(VLOOKUP(DATA!#REF!,DATA!#REF!,1,FALSE),"")</f>
        <v/>
      </c>
      <c r="D4842" s="16" t="str">
        <f>IFERROR(VLOOKUP(C4842,DATA!#REF!,2,FALSE),"")</f>
        <v/>
      </c>
    </row>
    <row r="4843" spans="3:4" s="237" customFormat="1">
      <c r="C4843" s="16" t="str">
        <f>IFERROR(VLOOKUP(DATA!#REF!,DATA!#REF!,1,FALSE),"")</f>
        <v/>
      </c>
      <c r="D4843" s="16" t="str">
        <f>IFERROR(VLOOKUP(C4843,DATA!#REF!,2,FALSE),"")</f>
        <v/>
      </c>
    </row>
    <row r="4844" spans="3:4" s="237" customFormat="1">
      <c r="C4844" s="16" t="str">
        <f>IFERROR(VLOOKUP(DATA!#REF!,DATA!#REF!,1,FALSE),"")</f>
        <v/>
      </c>
      <c r="D4844" s="16" t="str">
        <f>IFERROR(VLOOKUP(C4844,DATA!#REF!,2,FALSE),"")</f>
        <v/>
      </c>
    </row>
    <row r="4845" spans="3:4" s="237" customFormat="1">
      <c r="C4845" s="16" t="str">
        <f>IFERROR(VLOOKUP(DATA!#REF!,DATA!#REF!,1,FALSE),"")</f>
        <v/>
      </c>
      <c r="D4845" s="16" t="str">
        <f>IFERROR(VLOOKUP(C4845,DATA!#REF!,2,FALSE),"")</f>
        <v/>
      </c>
    </row>
    <row r="4846" spans="3:4" s="237" customFormat="1">
      <c r="C4846" s="16" t="str">
        <f>IFERROR(VLOOKUP(DATA!#REF!,DATA!#REF!,1,FALSE),"")</f>
        <v/>
      </c>
      <c r="D4846" s="16" t="str">
        <f>IFERROR(VLOOKUP(C4846,DATA!#REF!,2,FALSE),"")</f>
        <v/>
      </c>
    </row>
    <row r="4847" spans="3:4" s="237" customFormat="1">
      <c r="C4847" s="16" t="str">
        <f>IFERROR(VLOOKUP(DATA!#REF!,DATA!#REF!,1,FALSE),"")</f>
        <v/>
      </c>
      <c r="D4847" s="16" t="str">
        <f>IFERROR(VLOOKUP(C4847,DATA!#REF!,2,FALSE),"")</f>
        <v/>
      </c>
    </row>
    <row r="4848" spans="3:4" s="237" customFormat="1">
      <c r="C4848" s="16" t="str">
        <f>IFERROR(VLOOKUP(DATA!#REF!,DATA!#REF!,1,FALSE),"")</f>
        <v/>
      </c>
      <c r="D4848" s="16" t="str">
        <f>IFERROR(VLOOKUP(C4848,DATA!#REF!,2,FALSE),"")</f>
        <v/>
      </c>
    </row>
    <row r="4849" spans="3:4" s="237" customFormat="1">
      <c r="C4849" s="16" t="str">
        <f>IFERROR(VLOOKUP(DATA!#REF!,DATA!#REF!,1,FALSE),"")</f>
        <v/>
      </c>
      <c r="D4849" s="16" t="str">
        <f>IFERROR(VLOOKUP(C4849,DATA!#REF!,2,FALSE),"")</f>
        <v/>
      </c>
    </row>
    <row r="4850" spans="3:4" s="237" customFormat="1">
      <c r="C4850" s="16" t="str">
        <f>IFERROR(VLOOKUP(DATA!#REF!,DATA!#REF!,1,FALSE),"")</f>
        <v/>
      </c>
      <c r="D4850" s="16" t="str">
        <f>IFERROR(VLOOKUP(C4850,DATA!#REF!,2,FALSE),"")</f>
        <v/>
      </c>
    </row>
    <row r="4851" spans="3:4" s="237" customFormat="1">
      <c r="C4851" s="16" t="str">
        <f>IFERROR(VLOOKUP(DATA!#REF!,DATA!#REF!,1,FALSE),"")</f>
        <v/>
      </c>
      <c r="D4851" s="16" t="str">
        <f>IFERROR(VLOOKUP(C4851,DATA!#REF!,2,FALSE),"")</f>
        <v/>
      </c>
    </row>
    <row r="4852" spans="3:4" s="237" customFormat="1">
      <c r="C4852" s="16" t="str">
        <f>IFERROR(VLOOKUP(DATA!#REF!,DATA!#REF!,1,FALSE),"")</f>
        <v/>
      </c>
      <c r="D4852" s="16" t="str">
        <f>IFERROR(VLOOKUP(C4852,DATA!#REF!,2,FALSE),"")</f>
        <v/>
      </c>
    </row>
    <row r="4853" spans="3:4" s="237" customFormat="1">
      <c r="C4853" s="16" t="str">
        <f>IFERROR(VLOOKUP(DATA!#REF!,DATA!#REF!,1,FALSE),"")</f>
        <v/>
      </c>
      <c r="D4853" s="16" t="str">
        <f>IFERROR(VLOOKUP(C4853,DATA!#REF!,2,FALSE),"")</f>
        <v/>
      </c>
    </row>
    <row r="4854" spans="3:4" s="237" customFormat="1">
      <c r="C4854" s="16" t="str">
        <f>IFERROR(VLOOKUP(DATA!#REF!,DATA!#REF!,1,FALSE),"")</f>
        <v/>
      </c>
      <c r="D4854" s="16" t="str">
        <f>IFERROR(VLOOKUP(C4854,DATA!#REF!,2,FALSE),"")</f>
        <v/>
      </c>
    </row>
    <row r="4855" spans="3:4" s="237" customFormat="1">
      <c r="C4855" s="16" t="str">
        <f>IFERROR(VLOOKUP(DATA!#REF!,DATA!#REF!,1,FALSE),"")</f>
        <v/>
      </c>
      <c r="D4855" s="16" t="str">
        <f>IFERROR(VLOOKUP(C4855,DATA!#REF!,2,FALSE),"")</f>
        <v/>
      </c>
    </row>
    <row r="4856" spans="3:4" s="237" customFormat="1">
      <c r="C4856" s="16" t="str">
        <f>IFERROR(VLOOKUP(DATA!#REF!,DATA!#REF!,1,FALSE),"")</f>
        <v/>
      </c>
      <c r="D4856" s="16" t="str">
        <f>IFERROR(VLOOKUP(C4856,DATA!#REF!,2,FALSE),"")</f>
        <v/>
      </c>
    </row>
    <row r="4857" spans="3:4" s="237" customFormat="1">
      <c r="C4857" s="16" t="str">
        <f>IFERROR(VLOOKUP(DATA!#REF!,DATA!#REF!,1,FALSE),"")</f>
        <v/>
      </c>
      <c r="D4857" s="16" t="str">
        <f>IFERROR(VLOOKUP(C4857,DATA!#REF!,2,FALSE),"")</f>
        <v/>
      </c>
    </row>
    <row r="4858" spans="3:4" s="237" customFormat="1">
      <c r="C4858" s="16" t="str">
        <f>IFERROR(VLOOKUP(DATA!#REF!,DATA!#REF!,1,FALSE),"")</f>
        <v/>
      </c>
      <c r="D4858" s="16" t="str">
        <f>IFERROR(VLOOKUP(C4858,DATA!#REF!,2,FALSE),"")</f>
        <v/>
      </c>
    </row>
    <row r="4859" spans="3:4" s="237" customFormat="1">
      <c r="C4859" s="16" t="str">
        <f>IFERROR(VLOOKUP(DATA!#REF!,DATA!#REF!,1,FALSE),"")</f>
        <v/>
      </c>
      <c r="D4859" s="16" t="str">
        <f>IFERROR(VLOOKUP(C4859,DATA!#REF!,2,FALSE),"")</f>
        <v/>
      </c>
    </row>
    <row r="4860" spans="3:4" s="237" customFormat="1">
      <c r="C4860" s="16" t="str">
        <f>IFERROR(VLOOKUP(DATA!#REF!,DATA!#REF!,1,FALSE),"")</f>
        <v/>
      </c>
      <c r="D4860" s="16" t="str">
        <f>IFERROR(VLOOKUP(C4860,DATA!#REF!,2,FALSE),"")</f>
        <v/>
      </c>
    </row>
    <row r="4861" spans="3:4" s="237" customFormat="1">
      <c r="C4861" s="16" t="str">
        <f>IFERROR(VLOOKUP(DATA!#REF!,DATA!#REF!,1,FALSE),"")</f>
        <v/>
      </c>
      <c r="D4861" s="16" t="str">
        <f>IFERROR(VLOOKUP(C4861,DATA!#REF!,2,FALSE),"")</f>
        <v/>
      </c>
    </row>
    <row r="4862" spans="3:4" s="237" customFormat="1">
      <c r="C4862" s="16" t="str">
        <f>IFERROR(VLOOKUP(DATA!#REF!,DATA!#REF!,1,FALSE),"")</f>
        <v/>
      </c>
      <c r="D4862" s="16" t="str">
        <f>IFERROR(VLOOKUP(C4862,DATA!#REF!,2,FALSE),"")</f>
        <v/>
      </c>
    </row>
    <row r="4863" spans="3:4" s="237" customFormat="1">
      <c r="C4863" s="16" t="str">
        <f>IFERROR(VLOOKUP(DATA!#REF!,DATA!#REF!,1,FALSE),"")</f>
        <v/>
      </c>
      <c r="D4863" s="16" t="str">
        <f>IFERROR(VLOOKUP(C4863,DATA!#REF!,2,FALSE),"")</f>
        <v/>
      </c>
    </row>
    <row r="4864" spans="3:4" s="237" customFormat="1">
      <c r="C4864" s="16" t="str">
        <f>IFERROR(VLOOKUP(DATA!#REF!,DATA!#REF!,1,FALSE),"")</f>
        <v/>
      </c>
      <c r="D4864" s="16" t="str">
        <f>IFERROR(VLOOKUP(C4864,DATA!#REF!,2,FALSE),"")</f>
        <v/>
      </c>
    </row>
    <row r="4865" spans="3:4" s="237" customFormat="1">
      <c r="C4865" s="16" t="str">
        <f>IFERROR(VLOOKUP(DATA!#REF!,DATA!#REF!,1,FALSE),"")</f>
        <v/>
      </c>
      <c r="D4865" s="16" t="str">
        <f>IFERROR(VLOOKUP(C4865,DATA!#REF!,2,FALSE),"")</f>
        <v/>
      </c>
    </row>
    <row r="4866" spans="3:4" s="237" customFormat="1">
      <c r="C4866" s="16" t="str">
        <f>IFERROR(VLOOKUP(DATA!#REF!,DATA!#REF!,1,FALSE),"")</f>
        <v/>
      </c>
      <c r="D4866" s="16" t="str">
        <f>IFERROR(VLOOKUP(C4866,DATA!#REF!,2,FALSE),"")</f>
        <v/>
      </c>
    </row>
    <row r="4867" spans="3:4" s="237" customFormat="1">
      <c r="C4867" s="16" t="str">
        <f>IFERROR(VLOOKUP(DATA!#REF!,DATA!#REF!,1,FALSE),"")</f>
        <v/>
      </c>
      <c r="D4867" s="16" t="str">
        <f>IFERROR(VLOOKUP(C4867,DATA!#REF!,2,FALSE),"")</f>
        <v/>
      </c>
    </row>
    <row r="4868" spans="3:4" s="237" customFormat="1">
      <c r="C4868" s="16" t="str">
        <f>IFERROR(VLOOKUP(DATA!#REF!,DATA!#REF!,1,FALSE),"")</f>
        <v/>
      </c>
      <c r="D4868" s="16" t="str">
        <f>IFERROR(VLOOKUP(C4868,DATA!#REF!,2,FALSE),"")</f>
        <v/>
      </c>
    </row>
    <row r="4869" spans="3:4" s="237" customFormat="1">
      <c r="C4869" s="16" t="str">
        <f>IFERROR(VLOOKUP(DATA!#REF!,DATA!#REF!,1,FALSE),"")</f>
        <v/>
      </c>
      <c r="D4869" s="16" t="str">
        <f>IFERROR(VLOOKUP(C4869,DATA!#REF!,2,FALSE),"")</f>
        <v/>
      </c>
    </row>
    <row r="4870" spans="3:4" s="237" customFormat="1">
      <c r="C4870" s="16" t="str">
        <f>IFERROR(VLOOKUP(DATA!#REF!,DATA!#REF!,1,FALSE),"")</f>
        <v/>
      </c>
      <c r="D4870" s="16" t="str">
        <f>IFERROR(VLOOKUP(C4870,DATA!#REF!,2,FALSE),"")</f>
        <v/>
      </c>
    </row>
    <row r="4871" spans="3:4" s="237" customFormat="1">
      <c r="C4871" s="16" t="str">
        <f>IFERROR(VLOOKUP(DATA!#REF!,DATA!#REF!,1,FALSE),"")</f>
        <v/>
      </c>
      <c r="D4871" s="16" t="str">
        <f>IFERROR(VLOOKUP(C4871,DATA!#REF!,2,FALSE),"")</f>
        <v/>
      </c>
    </row>
    <row r="4872" spans="3:4" s="237" customFormat="1">
      <c r="C4872" s="16" t="str">
        <f>IFERROR(VLOOKUP(DATA!#REF!,DATA!#REF!,1,FALSE),"")</f>
        <v/>
      </c>
      <c r="D4872" s="16" t="str">
        <f>IFERROR(VLOOKUP(C4872,DATA!#REF!,2,FALSE),"")</f>
        <v/>
      </c>
    </row>
    <row r="4873" spans="3:4" s="237" customFormat="1">
      <c r="C4873" s="16" t="str">
        <f>IFERROR(VLOOKUP(DATA!#REF!,DATA!#REF!,1,FALSE),"")</f>
        <v/>
      </c>
      <c r="D4873" s="16" t="str">
        <f>IFERROR(VLOOKUP(C4873,DATA!#REF!,2,FALSE),"")</f>
        <v/>
      </c>
    </row>
    <row r="4874" spans="3:4" s="237" customFormat="1">
      <c r="C4874" s="16" t="str">
        <f>IFERROR(VLOOKUP(DATA!#REF!,DATA!#REF!,1,FALSE),"")</f>
        <v/>
      </c>
      <c r="D4874" s="16" t="str">
        <f>IFERROR(VLOOKUP(C4874,DATA!#REF!,2,FALSE),"")</f>
        <v/>
      </c>
    </row>
    <row r="4875" spans="3:4" s="237" customFormat="1">
      <c r="C4875" s="16" t="str">
        <f>IFERROR(VLOOKUP(DATA!#REF!,DATA!#REF!,1,FALSE),"")</f>
        <v/>
      </c>
      <c r="D4875" s="16" t="str">
        <f>IFERROR(VLOOKUP(C4875,DATA!#REF!,2,FALSE),"")</f>
        <v/>
      </c>
    </row>
    <row r="4876" spans="3:4" s="237" customFormat="1">
      <c r="C4876" s="16" t="str">
        <f>IFERROR(VLOOKUP(DATA!#REF!,DATA!#REF!,1,FALSE),"")</f>
        <v/>
      </c>
      <c r="D4876" s="16" t="str">
        <f>IFERROR(VLOOKUP(C4876,DATA!#REF!,2,FALSE),"")</f>
        <v/>
      </c>
    </row>
    <row r="4877" spans="3:4" s="237" customFormat="1">
      <c r="C4877" s="16" t="str">
        <f>IFERROR(VLOOKUP(DATA!#REF!,DATA!#REF!,1,FALSE),"")</f>
        <v/>
      </c>
      <c r="D4877" s="16" t="str">
        <f>IFERROR(VLOOKUP(C4877,DATA!#REF!,2,FALSE),"")</f>
        <v/>
      </c>
    </row>
    <row r="4878" spans="3:4" s="237" customFormat="1">
      <c r="C4878" s="16" t="str">
        <f>IFERROR(VLOOKUP(DATA!#REF!,DATA!#REF!,1,FALSE),"")</f>
        <v/>
      </c>
      <c r="D4878" s="16" t="str">
        <f>IFERROR(VLOOKUP(C4878,DATA!#REF!,2,FALSE),"")</f>
        <v/>
      </c>
    </row>
    <row r="4879" spans="3:4" s="237" customFormat="1">
      <c r="C4879" s="16" t="str">
        <f>IFERROR(VLOOKUP(DATA!#REF!,DATA!#REF!,1,FALSE),"")</f>
        <v/>
      </c>
      <c r="D4879" s="16" t="str">
        <f>IFERROR(VLOOKUP(C4879,DATA!#REF!,2,FALSE),"")</f>
        <v/>
      </c>
    </row>
    <row r="4880" spans="3:4" s="237" customFormat="1">
      <c r="C4880" s="16" t="str">
        <f>IFERROR(VLOOKUP(DATA!#REF!,DATA!#REF!,1,FALSE),"")</f>
        <v/>
      </c>
      <c r="D4880" s="16" t="str">
        <f>IFERROR(VLOOKUP(C4880,DATA!#REF!,2,FALSE),"")</f>
        <v/>
      </c>
    </row>
    <row r="4881" spans="3:4" s="237" customFormat="1">
      <c r="C4881" s="16" t="str">
        <f>IFERROR(VLOOKUP(DATA!#REF!,DATA!#REF!,1,FALSE),"")</f>
        <v/>
      </c>
      <c r="D4881" s="16" t="str">
        <f>IFERROR(VLOOKUP(C4881,DATA!#REF!,2,FALSE),"")</f>
        <v/>
      </c>
    </row>
    <row r="4882" spans="3:4" s="237" customFormat="1">
      <c r="C4882" s="16" t="str">
        <f>IFERROR(VLOOKUP(DATA!#REF!,DATA!#REF!,1,FALSE),"")</f>
        <v/>
      </c>
      <c r="D4882" s="16" t="str">
        <f>IFERROR(VLOOKUP(C4882,DATA!#REF!,2,FALSE),"")</f>
        <v/>
      </c>
    </row>
    <row r="4883" spans="3:4" s="237" customFormat="1">
      <c r="C4883" s="16" t="str">
        <f>IFERROR(VLOOKUP(DATA!#REF!,DATA!#REF!,1,FALSE),"")</f>
        <v/>
      </c>
      <c r="D4883" s="16" t="str">
        <f>IFERROR(VLOOKUP(C4883,DATA!#REF!,2,FALSE),"")</f>
        <v/>
      </c>
    </row>
    <row r="4884" spans="3:4" s="237" customFormat="1">
      <c r="C4884" s="16" t="str">
        <f>IFERROR(VLOOKUP(DATA!#REF!,DATA!#REF!,1,FALSE),"")</f>
        <v/>
      </c>
      <c r="D4884" s="16" t="str">
        <f>IFERROR(VLOOKUP(C4884,DATA!#REF!,2,FALSE),"")</f>
        <v/>
      </c>
    </row>
    <row r="4885" spans="3:4" s="237" customFormat="1">
      <c r="C4885" s="16" t="str">
        <f>IFERROR(VLOOKUP(DATA!#REF!,DATA!#REF!,1,FALSE),"")</f>
        <v/>
      </c>
      <c r="D4885" s="16" t="str">
        <f>IFERROR(VLOOKUP(C4885,DATA!#REF!,2,FALSE),"")</f>
        <v/>
      </c>
    </row>
    <row r="4886" spans="3:4" s="237" customFormat="1">
      <c r="C4886" s="16" t="str">
        <f>IFERROR(VLOOKUP(DATA!#REF!,DATA!#REF!,1,FALSE),"")</f>
        <v/>
      </c>
      <c r="D4886" s="16" t="str">
        <f>IFERROR(VLOOKUP(C4886,DATA!#REF!,2,FALSE),"")</f>
        <v/>
      </c>
    </row>
    <row r="4887" spans="3:4" s="237" customFormat="1">
      <c r="C4887" s="16" t="str">
        <f>IFERROR(VLOOKUP(DATA!#REF!,DATA!#REF!,1,FALSE),"")</f>
        <v/>
      </c>
      <c r="D4887" s="16" t="str">
        <f>IFERROR(VLOOKUP(C4887,DATA!#REF!,2,FALSE),"")</f>
        <v/>
      </c>
    </row>
    <row r="4888" spans="3:4" s="237" customFormat="1">
      <c r="C4888" s="16" t="str">
        <f>IFERROR(VLOOKUP(DATA!#REF!,DATA!#REF!,1,FALSE),"")</f>
        <v/>
      </c>
      <c r="D4888" s="16" t="str">
        <f>IFERROR(VLOOKUP(C4888,DATA!#REF!,2,FALSE),"")</f>
        <v/>
      </c>
    </row>
    <row r="4889" spans="3:4" s="237" customFormat="1">
      <c r="C4889" s="16" t="str">
        <f>IFERROR(VLOOKUP(DATA!#REF!,DATA!#REF!,1,FALSE),"")</f>
        <v/>
      </c>
      <c r="D4889" s="16" t="str">
        <f>IFERROR(VLOOKUP(C4889,DATA!#REF!,2,FALSE),"")</f>
        <v/>
      </c>
    </row>
    <row r="4890" spans="3:4" s="237" customFormat="1">
      <c r="C4890" s="16" t="str">
        <f>IFERROR(VLOOKUP(DATA!#REF!,DATA!#REF!,1,FALSE),"")</f>
        <v/>
      </c>
      <c r="D4890" s="16" t="str">
        <f>IFERROR(VLOOKUP(C4890,DATA!#REF!,2,FALSE),"")</f>
        <v/>
      </c>
    </row>
    <row r="4891" spans="3:4" s="237" customFormat="1">
      <c r="C4891" s="16" t="str">
        <f>IFERROR(VLOOKUP(DATA!#REF!,DATA!#REF!,1,FALSE),"")</f>
        <v/>
      </c>
      <c r="D4891" s="16" t="str">
        <f>IFERROR(VLOOKUP(C4891,DATA!#REF!,2,FALSE),"")</f>
        <v/>
      </c>
    </row>
    <row r="4892" spans="3:4" s="237" customFormat="1">
      <c r="C4892" s="16" t="str">
        <f>IFERROR(VLOOKUP(DATA!#REF!,DATA!#REF!,1,FALSE),"")</f>
        <v/>
      </c>
      <c r="D4892" s="16" t="str">
        <f>IFERROR(VLOOKUP(C4892,DATA!#REF!,2,FALSE),"")</f>
        <v/>
      </c>
    </row>
    <row r="4893" spans="3:4" s="237" customFormat="1">
      <c r="C4893" s="16" t="str">
        <f>IFERROR(VLOOKUP(DATA!#REF!,DATA!#REF!,1,FALSE),"")</f>
        <v/>
      </c>
      <c r="D4893" s="16" t="str">
        <f>IFERROR(VLOOKUP(C4893,DATA!#REF!,2,FALSE),"")</f>
        <v/>
      </c>
    </row>
    <row r="4894" spans="3:4" s="237" customFormat="1">
      <c r="C4894" s="16" t="str">
        <f>IFERROR(VLOOKUP(DATA!#REF!,DATA!#REF!,1,FALSE),"")</f>
        <v/>
      </c>
      <c r="D4894" s="16" t="str">
        <f>IFERROR(VLOOKUP(C4894,DATA!#REF!,2,FALSE),"")</f>
        <v/>
      </c>
    </row>
    <row r="4895" spans="3:4" s="237" customFormat="1">
      <c r="C4895" s="16" t="str">
        <f>IFERROR(VLOOKUP(DATA!#REF!,DATA!#REF!,1,FALSE),"")</f>
        <v/>
      </c>
      <c r="D4895" s="16" t="str">
        <f>IFERROR(VLOOKUP(C4895,DATA!#REF!,2,FALSE),"")</f>
        <v/>
      </c>
    </row>
    <row r="4896" spans="3:4" s="237" customFormat="1">
      <c r="C4896" s="16" t="str">
        <f>IFERROR(VLOOKUP(DATA!#REF!,DATA!#REF!,1,FALSE),"")</f>
        <v/>
      </c>
      <c r="D4896" s="16" t="str">
        <f>IFERROR(VLOOKUP(C4896,DATA!#REF!,2,FALSE),"")</f>
        <v/>
      </c>
    </row>
    <row r="4897" spans="3:4" s="237" customFormat="1">
      <c r="C4897" s="16" t="str">
        <f>IFERROR(VLOOKUP(DATA!#REF!,DATA!#REF!,1,FALSE),"")</f>
        <v/>
      </c>
      <c r="D4897" s="16" t="str">
        <f>IFERROR(VLOOKUP(C4897,DATA!#REF!,2,FALSE),"")</f>
        <v/>
      </c>
    </row>
    <row r="4898" spans="3:4" s="237" customFormat="1">
      <c r="C4898" s="16" t="str">
        <f>IFERROR(VLOOKUP(DATA!#REF!,DATA!#REF!,1,FALSE),"")</f>
        <v/>
      </c>
      <c r="D4898" s="16" t="str">
        <f>IFERROR(VLOOKUP(C4898,DATA!#REF!,2,FALSE),"")</f>
        <v/>
      </c>
    </row>
    <row r="4899" spans="3:4" s="237" customFormat="1">
      <c r="C4899" s="16" t="str">
        <f>IFERROR(VLOOKUP(DATA!#REF!,DATA!#REF!,1,FALSE),"")</f>
        <v/>
      </c>
      <c r="D4899" s="16" t="str">
        <f>IFERROR(VLOOKUP(C4899,DATA!#REF!,2,FALSE),"")</f>
        <v/>
      </c>
    </row>
    <row r="4900" spans="3:4" s="237" customFormat="1">
      <c r="C4900" s="16" t="str">
        <f>IFERROR(VLOOKUP(DATA!#REF!,DATA!#REF!,1,FALSE),"")</f>
        <v/>
      </c>
      <c r="D4900" s="16" t="str">
        <f>IFERROR(VLOOKUP(C4900,DATA!#REF!,2,FALSE),"")</f>
        <v/>
      </c>
    </row>
    <row r="4901" spans="3:4" s="237" customFormat="1">
      <c r="C4901" s="16" t="str">
        <f>IFERROR(VLOOKUP(DATA!#REF!,DATA!#REF!,1,FALSE),"")</f>
        <v/>
      </c>
      <c r="D4901" s="16" t="str">
        <f>IFERROR(VLOOKUP(C4901,DATA!#REF!,2,FALSE),"")</f>
        <v/>
      </c>
    </row>
    <row r="4902" spans="3:4" s="237" customFormat="1">
      <c r="C4902" s="16" t="str">
        <f>IFERROR(VLOOKUP(DATA!#REF!,DATA!#REF!,1,FALSE),"")</f>
        <v/>
      </c>
      <c r="D4902" s="16" t="str">
        <f>IFERROR(VLOOKUP(C4902,DATA!#REF!,2,FALSE),"")</f>
        <v/>
      </c>
    </row>
    <row r="4903" spans="3:4" s="237" customFormat="1">
      <c r="C4903" s="16" t="str">
        <f>IFERROR(VLOOKUP(DATA!#REF!,DATA!#REF!,1,FALSE),"")</f>
        <v/>
      </c>
      <c r="D4903" s="16" t="str">
        <f>IFERROR(VLOOKUP(C4903,DATA!#REF!,2,FALSE),"")</f>
        <v/>
      </c>
    </row>
    <row r="4904" spans="3:4" s="237" customFormat="1">
      <c r="C4904" s="16" t="str">
        <f>IFERROR(VLOOKUP(DATA!#REF!,DATA!#REF!,1,FALSE),"")</f>
        <v/>
      </c>
      <c r="D4904" s="16" t="str">
        <f>IFERROR(VLOOKUP(C4904,DATA!#REF!,2,FALSE),"")</f>
        <v/>
      </c>
    </row>
    <row r="4905" spans="3:4" s="237" customFormat="1">
      <c r="C4905" s="16" t="str">
        <f>IFERROR(VLOOKUP(DATA!#REF!,DATA!#REF!,1,FALSE),"")</f>
        <v/>
      </c>
      <c r="D4905" s="16" t="str">
        <f>IFERROR(VLOOKUP(C4905,DATA!#REF!,2,FALSE),"")</f>
        <v/>
      </c>
    </row>
    <row r="4906" spans="3:4" s="237" customFormat="1">
      <c r="C4906" s="16" t="str">
        <f>IFERROR(VLOOKUP(DATA!#REF!,DATA!#REF!,1,FALSE),"")</f>
        <v/>
      </c>
      <c r="D4906" s="16" t="str">
        <f>IFERROR(VLOOKUP(C4906,DATA!#REF!,2,FALSE),"")</f>
        <v/>
      </c>
    </row>
    <row r="4907" spans="3:4" s="237" customFormat="1">
      <c r="C4907" s="16" t="str">
        <f>IFERROR(VLOOKUP(DATA!#REF!,DATA!#REF!,1,FALSE),"")</f>
        <v/>
      </c>
      <c r="D4907" s="16" t="str">
        <f>IFERROR(VLOOKUP(C4907,DATA!#REF!,2,FALSE),"")</f>
        <v/>
      </c>
    </row>
    <row r="4908" spans="3:4" s="237" customFormat="1">
      <c r="C4908" s="16" t="str">
        <f>IFERROR(VLOOKUP(DATA!#REF!,DATA!#REF!,1,FALSE),"")</f>
        <v/>
      </c>
      <c r="D4908" s="16" t="str">
        <f>IFERROR(VLOOKUP(C4908,DATA!#REF!,2,FALSE),"")</f>
        <v/>
      </c>
    </row>
    <row r="4909" spans="3:4" s="237" customFormat="1">
      <c r="C4909" s="16" t="str">
        <f>IFERROR(VLOOKUP(DATA!#REF!,DATA!#REF!,1,FALSE),"")</f>
        <v/>
      </c>
      <c r="D4909" s="16" t="str">
        <f>IFERROR(VLOOKUP(C4909,DATA!#REF!,2,FALSE),"")</f>
        <v/>
      </c>
    </row>
    <row r="4910" spans="3:4" s="237" customFormat="1">
      <c r="C4910" s="16" t="str">
        <f>IFERROR(VLOOKUP(DATA!#REF!,DATA!#REF!,1,FALSE),"")</f>
        <v/>
      </c>
      <c r="D4910" s="16" t="str">
        <f>IFERROR(VLOOKUP(C4910,DATA!#REF!,2,FALSE),"")</f>
        <v/>
      </c>
    </row>
    <row r="4911" spans="3:4" s="237" customFormat="1">
      <c r="C4911" s="16" t="str">
        <f>IFERROR(VLOOKUP(DATA!#REF!,DATA!#REF!,1,FALSE),"")</f>
        <v/>
      </c>
      <c r="D4911" s="16" t="str">
        <f>IFERROR(VLOOKUP(C4911,DATA!#REF!,2,FALSE),"")</f>
        <v/>
      </c>
    </row>
    <row r="4912" spans="3:4" s="237" customFormat="1">
      <c r="C4912" s="16" t="str">
        <f>IFERROR(VLOOKUP(DATA!#REF!,DATA!#REF!,1,FALSE),"")</f>
        <v/>
      </c>
      <c r="D4912" s="16" t="str">
        <f>IFERROR(VLOOKUP(C4912,DATA!#REF!,2,FALSE),"")</f>
        <v/>
      </c>
    </row>
    <row r="4913" spans="3:4" s="237" customFormat="1">
      <c r="C4913" s="16" t="str">
        <f>IFERROR(VLOOKUP(DATA!#REF!,DATA!#REF!,1,FALSE),"")</f>
        <v/>
      </c>
      <c r="D4913" s="16" t="str">
        <f>IFERROR(VLOOKUP(C4913,DATA!#REF!,2,FALSE),"")</f>
        <v/>
      </c>
    </row>
    <row r="4914" spans="3:4" s="237" customFormat="1">
      <c r="C4914" s="16" t="str">
        <f>IFERROR(VLOOKUP(DATA!#REF!,DATA!#REF!,1,FALSE),"")</f>
        <v/>
      </c>
      <c r="D4914" s="16" t="str">
        <f>IFERROR(VLOOKUP(C4914,DATA!#REF!,2,FALSE),"")</f>
        <v/>
      </c>
    </row>
    <row r="4915" spans="3:4" s="237" customFormat="1">
      <c r="C4915" s="16" t="str">
        <f>IFERROR(VLOOKUP(DATA!#REF!,DATA!#REF!,1,FALSE),"")</f>
        <v/>
      </c>
      <c r="D4915" s="16" t="str">
        <f>IFERROR(VLOOKUP(C4915,DATA!#REF!,2,FALSE),"")</f>
        <v/>
      </c>
    </row>
    <row r="4916" spans="3:4" s="237" customFormat="1">
      <c r="C4916" s="16" t="str">
        <f>IFERROR(VLOOKUP(DATA!#REF!,DATA!#REF!,1,FALSE),"")</f>
        <v/>
      </c>
      <c r="D4916" s="16" t="str">
        <f>IFERROR(VLOOKUP(C4916,DATA!#REF!,2,FALSE),"")</f>
        <v/>
      </c>
    </row>
    <row r="4917" spans="3:4" s="237" customFormat="1">
      <c r="C4917" s="16" t="str">
        <f>IFERROR(VLOOKUP(DATA!#REF!,DATA!#REF!,1,FALSE),"")</f>
        <v/>
      </c>
      <c r="D4917" s="16" t="str">
        <f>IFERROR(VLOOKUP(C4917,DATA!#REF!,2,FALSE),"")</f>
        <v/>
      </c>
    </row>
    <row r="4918" spans="3:4" s="237" customFormat="1">
      <c r="C4918" s="16" t="str">
        <f>IFERROR(VLOOKUP(DATA!#REF!,DATA!#REF!,1,FALSE),"")</f>
        <v/>
      </c>
      <c r="D4918" s="16" t="str">
        <f>IFERROR(VLOOKUP(C4918,DATA!#REF!,2,FALSE),"")</f>
        <v/>
      </c>
    </row>
    <row r="4919" spans="3:4" s="237" customFormat="1">
      <c r="C4919" s="16" t="str">
        <f>IFERROR(VLOOKUP(DATA!#REF!,DATA!#REF!,1,FALSE),"")</f>
        <v/>
      </c>
      <c r="D4919" s="16" t="str">
        <f>IFERROR(VLOOKUP(C4919,DATA!#REF!,2,FALSE),"")</f>
        <v/>
      </c>
    </row>
    <row r="4920" spans="3:4" s="237" customFormat="1">
      <c r="C4920" s="16" t="str">
        <f>IFERROR(VLOOKUP(DATA!#REF!,DATA!#REF!,1,FALSE),"")</f>
        <v/>
      </c>
      <c r="D4920" s="16" t="str">
        <f>IFERROR(VLOOKUP(C4920,DATA!#REF!,2,FALSE),"")</f>
        <v/>
      </c>
    </row>
    <row r="4921" spans="3:4" s="237" customFormat="1">
      <c r="C4921" s="16" t="str">
        <f>IFERROR(VLOOKUP(DATA!#REF!,DATA!#REF!,1,FALSE),"")</f>
        <v/>
      </c>
      <c r="D4921" s="16" t="str">
        <f>IFERROR(VLOOKUP(C4921,DATA!#REF!,2,FALSE),"")</f>
        <v/>
      </c>
    </row>
    <row r="4922" spans="3:4" s="237" customFormat="1">
      <c r="C4922" s="16" t="str">
        <f>IFERROR(VLOOKUP(DATA!#REF!,DATA!#REF!,1,FALSE),"")</f>
        <v/>
      </c>
      <c r="D4922" s="16" t="str">
        <f>IFERROR(VLOOKUP(C4922,DATA!#REF!,2,FALSE),"")</f>
        <v/>
      </c>
    </row>
    <row r="4923" spans="3:4" s="237" customFormat="1">
      <c r="C4923" s="16" t="str">
        <f>IFERROR(VLOOKUP(DATA!#REF!,DATA!#REF!,1,FALSE),"")</f>
        <v/>
      </c>
      <c r="D4923" s="16" t="str">
        <f>IFERROR(VLOOKUP(C4923,DATA!#REF!,2,FALSE),"")</f>
        <v/>
      </c>
    </row>
    <row r="4924" spans="3:4" s="237" customFormat="1">
      <c r="C4924" s="16" t="str">
        <f>IFERROR(VLOOKUP(DATA!#REF!,DATA!#REF!,1,FALSE),"")</f>
        <v/>
      </c>
      <c r="D4924" s="16" t="str">
        <f>IFERROR(VLOOKUP(C4924,DATA!#REF!,2,FALSE),"")</f>
        <v/>
      </c>
    </row>
    <row r="4925" spans="3:4" s="237" customFormat="1">
      <c r="C4925" s="16" t="str">
        <f>IFERROR(VLOOKUP(DATA!#REF!,DATA!#REF!,1,FALSE),"")</f>
        <v/>
      </c>
      <c r="D4925" s="16" t="str">
        <f>IFERROR(VLOOKUP(C4925,DATA!#REF!,2,FALSE),"")</f>
        <v/>
      </c>
    </row>
    <row r="4926" spans="3:4" s="237" customFormat="1">
      <c r="C4926" s="16" t="str">
        <f>IFERROR(VLOOKUP(DATA!#REF!,DATA!#REF!,1,FALSE),"")</f>
        <v/>
      </c>
      <c r="D4926" s="16" t="str">
        <f>IFERROR(VLOOKUP(C4926,DATA!#REF!,2,FALSE),"")</f>
        <v/>
      </c>
    </row>
    <row r="4927" spans="3:4" s="237" customFormat="1">
      <c r="C4927" s="16" t="str">
        <f>IFERROR(VLOOKUP(DATA!#REF!,DATA!#REF!,1,FALSE),"")</f>
        <v/>
      </c>
      <c r="D4927" s="16" t="str">
        <f>IFERROR(VLOOKUP(C4927,DATA!#REF!,2,FALSE),"")</f>
        <v/>
      </c>
    </row>
    <row r="4928" spans="3:4" s="237" customFormat="1">
      <c r="C4928" s="16" t="str">
        <f>IFERROR(VLOOKUP(DATA!#REF!,DATA!#REF!,1,FALSE),"")</f>
        <v/>
      </c>
      <c r="D4928" s="16" t="str">
        <f>IFERROR(VLOOKUP(C4928,DATA!#REF!,2,FALSE),"")</f>
        <v/>
      </c>
    </row>
    <row r="4929" spans="3:4" s="237" customFormat="1">
      <c r="C4929" s="16" t="str">
        <f>IFERROR(VLOOKUP(DATA!#REF!,DATA!#REF!,1,FALSE),"")</f>
        <v/>
      </c>
      <c r="D4929" s="16" t="str">
        <f>IFERROR(VLOOKUP(C4929,DATA!#REF!,2,FALSE),"")</f>
        <v/>
      </c>
    </row>
    <row r="4930" spans="3:4" s="237" customFormat="1">
      <c r="C4930" s="16" t="str">
        <f>IFERROR(VLOOKUP(DATA!#REF!,DATA!#REF!,1,FALSE),"")</f>
        <v/>
      </c>
      <c r="D4930" s="16" t="str">
        <f>IFERROR(VLOOKUP(C4930,DATA!#REF!,2,FALSE),"")</f>
        <v/>
      </c>
    </row>
    <row r="4931" spans="3:4" s="237" customFormat="1">
      <c r="C4931" s="16" t="str">
        <f>IFERROR(VLOOKUP(DATA!#REF!,DATA!#REF!,1,FALSE),"")</f>
        <v/>
      </c>
      <c r="D4931" s="16" t="str">
        <f>IFERROR(VLOOKUP(C4931,DATA!#REF!,2,FALSE),"")</f>
        <v/>
      </c>
    </row>
    <row r="4932" spans="3:4" s="237" customFormat="1">
      <c r="C4932" s="16" t="str">
        <f>IFERROR(VLOOKUP(DATA!#REF!,DATA!#REF!,1,FALSE),"")</f>
        <v/>
      </c>
      <c r="D4932" s="16" t="str">
        <f>IFERROR(VLOOKUP(C4932,DATA!#REF!,2,FALSE),"")</f>
        <v/>
      </c>
    </row>
    <row r="4933" spans="3:4" s="237" customFormat="1">
      <c r="C4933" s="16" t="str">
        <f>IFERROR(VLOOKUP(DATA!#REF!,DATA!#REF!,1,FALSE),"")</f>
        <v/>
      </c>
      <c r="D4933" s="16" t="str">
        <f>IFERROR(VLOOKUP(C4933,DATA!#REF!,2,FALSE),"")</f>
        <v/>
      </c>
    </row>
    <row r="4934" spans="3:4" s="237" customFormat="1">
      <c r="C4934" s="16" t="str">
        <f>IFERROR(VLOOKUP(DATA!#REF!,DATA!#REF!,1,FALSE),"")</f>
        <v/>
      </c>
      <c r="D4934" s="16" t="str">
        <f>IFERROR(VLOOKUP(C4934,DATA!#REF!,2,FALSE),"")</f>
        <v/>
      </c>
    </row>
    <row r="4935" spans="3:4" s="237" customFormat="1">
      <c r="C4935" s="16" t="str">
        <f>IFERROR(VLOOKUP(DATA!#REF!,DATA!#REF!,1,FALSE),"")</f>
        <v/>
      </c>
      <c r="D4935" s="16" t="str">
        <f>IFERROR(VLOOKUP(C4935,DATA!#REF!,2,FALSE),"")</f>
        <v/>
      </c>
    </row>
    <row r="4936" spans="3:4" s="237" customFormat="1">
      <c r="C4936" s="16" t="str">
        <f>IFERROR(VLOOKUP(DATA!#REF!,DATA!#REF!,1,FALSE),"")</f>
        <v/>
      </c>
      <c r="D4936" s="16" t="str">
        <f>IFERROR(VLOOKUP(C4936,DATA!#REF!,2,FALSE),"")</f>
        <v/>
      </c>
    </row>
    <row r="4937" spans="3:4" s="237" customFormat="1">
      <c r="C4937" s="16" t="str">
        <f>IFERROR(VLOOKUP(DATA!#REF!,DATA!#REF!,1,FALSE),"")</f>
        <v/>
      </c>
      <c r="D4937" s="16" t="str">
        <f>IFERROR(VLOOKUP(C4937,DATA!#REF!,2,FALSE),"")</f>
        <v/>
      </c>
    </row>
    <row r="4938" spans="3:4" s="237" customFormat="1">
      <c r="C4938" s="16" t="str">
        <f>IFERROR(VLOOKUP(DATA!#REF!,DATA!#REF!,1,FALSE),"")</f>
        <v/>
      </c>
      <c r="D4938" s="16" t="str">
        <f>IFERROR(VLOOKUP(C4938,DATA!#REF!,2,FALSE),"")</f>
        <v/>
      </c>
    </row>
    <row r="4939" spans="3:4" s="237" customFormat="1">
      <c r="C4939" s="16" t="str">
        <f>IFERROR(VLOOKUP(DATA!#REF!,DATA!#REF!,1,FALSE),"")</f>
        <v/>
      </c>
      <c r="D4939" s="16" t="str">
        <f>IFERROR(VLOOKUP(C4939,DATA!#REF!,2,FALSE),"")</f>
        <v/>
      </c>
    </row>
    <row r="4940" spans="3:4" s="237" customFormat="1">
      <c r="C4940" s="16" t="str">
        <f>IFERROR(VLOOKUP(DATA!#REF!,DATA!#REF!,1,FALSE),"")</f>
        <v/>
      </c>
      <c r="D4940" s="16" t="str">
        <f>IFERROR(VLOOKUP(C4940,DATA!#REF!,2,FALSE),"")</f>
        <v/>
      </c>
    </row>
    <row r="4941" spans="3:4" s="237" customFormat="1">
      <c r="C4941" s="16" t="str">
        <f>IFERROR(VLOOKUP(DATA!#REF!,DATA!#REF!,1,FALSE),"")</f>
        <v/>
      </c>
      <c r="D4941" s="16" t="str">
        <f>IFERROR(VLOOKUP(C4941,DATA!#REF!,2,FALSE),"")</f>
        <v/>
      </c>
    </row>
    <row r="4942" spans="3:4" s="237" customFormat="1">
      <c r="C4942" s="16" t="str">
        <f>IFERROR(VLOOKUP(DATA!#REF!,DATA!#REF!,1,FALSE),"")</f>
        <v/>
      </c>
      <c r="D4942" s="16" t="str">
        <f>IFERROR(VLOOKUP(C4942,DATA!#REF!,2,FALSE),"")</f>
        <v/>
      </c>
    </row>
    <row r="4943" spans="3:4" s="237" customFormat="1">
      <c r="C4943" s="16" t="str">
        <f>IFERROR(VLOOKUP(DATA!#REF!,DATA!#REF!,1,FALSE),"")</f>
        <v/>
      </c>
      <c r="D4943" s="16" t="str">
        <f>IFERROR(VLOOKUP(C4943,DATA!#REF!,2,FALSE),"")</f>
        <v/>
      </c>
    </row>
    <row r="4944" spans="3:4" s="237" customFormat="1">
      <c r="C4944" s="16" t="str">
        <f>IFERROR(VLOOKUP(DATA!#REF!,DATA!#REF!,1,FALSE),"")</f>
        <v/>
      </c>
      <c r="D4944" s="16" t="str">
        <f>IFERROR(VLOOKUP(C4944,DATA!#REF!,2,FALSE),"")</f>
        <v/>
      </c>
    </row>
    <row r="4945" spans="3:4" s="237" customFormat="1">
      <c r="C4945" s="16" t="str">
        <f>IFERROR(VLOOKUP(DATA!#REF!,DATA!#REF!,1,FALSE),"")</f>
        <v/>
      </c>
      <c r="D4945" s="16" t="str">
        <f>IFERROR(VLOOKUP(C4945,DATA!#REF!,2,FALSE),"")</f>
        <v/>
      </c>
    </row>
    <row r="4946" spans="3:4" s="237" customFormat="1">
      <c r="C4946" s="16" t="str">
        <f>IFERROR(VLOOKUP(DATA!#REF!,DATA!#REF!,1,FALSE),"")</f>
        <v/>
      </c>
      <c r="D4946" s="16" t="str">
        <f>IFERROR(VLOOKUP(C4946,DATA!#REF!,2,FALSE),"")</f>
        <v/>
      </c>
    </row>
    <row r="4947" spans="3:4" s="237" customFormat="1">
      <c r="C4947" s="16" t="str">
        <f>IFERROR(VLOOKUP(DATA!#REF!,DATA!#REF!,1,FALSE),"")</f>
        <v/>
      </c>
      <c r="D4947" s="16" t="str">
        <f>IFERROR(VLOOKUP(C4947,DATA!#REF!,2,FALSE),"")</f>
        <v/>
      </c>
    </row>
    <row r="4948" spans="3:4" s="237" customFormat="1">
      <c r="C4948" s="16" t="str">
        <f>IFERROR(VLOOKUP(DATA!#REF!,DATA!#REF!,1,FALSE),"")</f>
        <v/>
      </c>
      <c r="D4948" s="16" t="str">
        <f>IFERROR(VLOOKUP(C4948,DATA!#REF!,2,FALSE),"")</f>
        <v/>
      </c>
    </row>
    <row r="4949" spans="3:4" s="237" customFormat="1">
      <c r="C4949" s="16" t="str">
        <f>IFERROR(VLOOKUP(DATA!#REF!,DATA!#REF!,1,FALSE),"")</f>
        <v/>
      </c>
      <c r="D4949" s="16" t="str">
        <f>IFERROR(VLOOKUP(C4949,DATA!#REF!,2,FALSE),"")</f>
        <v/>
      </c>
    </row>
    <row r="4950" spans="3:4" s="237" customFormat="1">
      <c r="C4950" s="16" t="str">
        <f>IFERROR(VLOOKUP(DATA!#REF!,DATA!#REF!,1,FALSE),"")</f>
        <v/>
      </c>
      <c r="D4950" s="16" t="str">
        <f>IFERROR(VLOOKUP(C4950,DATA!#REF!,2,FALSE),"")</f>
        <v/>
      </c>
    </row>
    <row r="4951" spans="3:4" s="237" customFormat="1">
      <c r="C4951" s="16" t="str">
        <f>IFERROR(VLOOKUP(DATA!#REF!,DATA!#REF!,1,FALSE),"")</f>
        <v/>
      </c>
      <c r="D4951" s="16" t="str">
        <f>IFERROR(VLOOKUP(C4951,DATA!#REF!,2,FALSE),"")</f>
        <v/>
      </c>
    </row>
    <row r="4952" spans="3:4" s="237" customFormat="1">
      <c r="C4952" s="16" t="str">
        <f>IFERROR(VLOOKUP(DATA!#REF!,DATA!#REF!,1,FALSE),"")</f>
        <v/>
      </c>
      <c r="D4952" s="16" t="str">
        <f>IFERROR(VLOOKUP(C4952,DATA!#REF!,2,FALSE),"")</f>
        <v/>
      </c>
    </row>
    <row r="4953" spans="3:4" s="237" customFormat="1">
      <c r="C4953" s="16" t="str">
        <f>IFERROR(VLOOKUP(DATA!#REF!,DATA!#REF!,1,FALSE),"")</f>
        <v/>
      </c>
      <c r="D4953" s="16" t="str">
        <f>IFERROR(VLOOKUP(C4953,DATA!#REF!,2,FALSE),"")</f>
        <v/>
      </c>
    </row>
    <row r="4954" spans="3:4" s="237" customFormat="1">
      <c r="C4954" s="16" t="str">
        <f>IFERROR(VLOOKUP(DATA!#REF!,DATA!#REF!,1,FALSE),"")</f>
        <v/>
      </c>
      <c r="D4954" s="16" t="str">
        <f>IFERROR(VLOOKUP(C4954,DATA!#REF!,2,FALSE),"")</f>
        <v/>
      </c>
    </row>
    <row r="4955" spans="3:4" s="237" customFormat="1">
      <c r="C4955" s="16" t="str">
        <f>IFERROR(VLOOKUP(DATA!#REF!,DATA!#REF!,1,FALSE),"")</f>
        <v/>
      </c>
      <c r="D4955" s="16" t="str">
        <f>IFERROR(VLOOKUP(C4955,DATA!#REF!,2,FALSE),"")</f>
        <v/>
      </c>
    </row>
    <row r="4956" spans="3:4" s="237" customFormat="1">
      <c r="C4956" s="16" t="str">
        <f>IFERROR(VLOOKUP(DATA!#REF!,DATA!#REF!,1,FALSE),"")</f>
        <v/>
      </c>
      <c r="D4956" s="16" t="str">
        <f>IFERROR(VLOOKUP(C4956,DATA!#REF!,2,FALSE),"")</f>
        <v/>
      </c>
    </row>
    <row r="4957" spans="3:4" s="237" customFormat="1">
      <c r="C4957" s="16" t="str">
        <f>IFERROR(VLOOKUP(DATA!#REF!,DATA!#REF!,1,FALSE),"")</f>
        <v/>
      </c>
      <c r="D4957" s="16" t="str">
        <f>IFERROR(VLOOKUP(C4957,DATA!#REF!,2,FALSE),"")</f>
        <v/>
      </c>
    </row>
    <row r="4958" spans="3:4" s="237" customFormat="1">
      <c r="C4958" s="16" t="str">
        <f>IFERROR(VLOOKUP(DATA!#REF!,DATA!#REF!,1,FALSE),"")</f>
        <v/>
      </c>
      <c r="D4958" s="16" t="str">
        <f>IFERROR(VLOOKUP(C4958,DATA!#REF!,2,FALSE),"")</f>
        <v/>
      </c>
    </row>
    <row r="4959" spans="3:4" s="237" customFormat="1">
      <c r="C4959" s="16" t="str">
        <f>IFERROR(VLOOKUP(DATA!#REF!,DATA!#REF!,1,FALSE),"")</f>
        <v/>
      </c>
      <c r="D4959" s="16" t="str">
        <f>IFERROR(VLOOKUP(C4959,DATA!#REF!,2,FALSE),"")</f>
        <v/>
      </c>
    </row>
    <row r="4960" spans="3:4" s="237" customFormat="1">
      <c r="C4960" s="16" t="str">
        <f>IFERROR(VLOOKUP(DATA!#REF!,DATA!#REF!,1,FALSE),"")</f>
        <v/>
      </c>
      <c r="D4960" s="16" t="str">
        <f>IFERROR(VLOOKUP(C4960,DATA!#REF!,2,FALSE),"")</f>
        <v/>
      </c>
    </row>
    <row r="4961" spans="3:4" s="237" customFormat="1">
      <c r="C4961" s="16" t="str">
        <f>IFERROR(VLOOKUP(DATA!#REF!,DATA!#REF!,1,FALSE),"")</f>
        <v/>
      </c>
      <c r="D4961" s="16" t="str">
        <f>IFERROR(VLOOKUP(C4961,DATA!#REF!,2,FALSE),"")</f>
        <v/>
      </c>
    </row>
    <row r="4962" spans="3:4" s="237" customFormat="1">
      <c r="C4962" s="16" t="str">
        <f>IFERROR(VLOOKUP(DATA!#REF!,DATA!#REF!,1,FALSE),"")</f>
        <v/>
      </c>
      <c r="D4962" s="16" t="str">
        <f>IFERROR(VLOOKUP(C4962,DATA!#REF!,2,FALSE),"")</f>
        <v/>
      </c>
    </row>
    <row r="4963" spans="3:4" s="237" customFormat="1">
      <c r="C4963" s="16" t="str">
        <f>IFERROR(VLOOKUP(DATA!#REF!,DATA!#REF!,1,FALSE),"")</f>
        <v/>
      </c>
      <c r="D4963" s="16" t="str">
        <f>IFERROR(VLOOKUP(C4963,DATA!#REF!,2,FALSE),"")</f>
        <v/>
      </c>
    </row>
    <row r="4964" spans="3:4" s="237" customFormat="1">
      <c r="C4964" s="16" t="str">
        <f>IFERROR(VLOOKUP(DATA!#REF!,DATA!#REF!,1,FALSE),"")</f>
        <v/>
      </c>
      <c r="D4964" s="16" t="str">
        <f>IFERROR(VLOOKUP(C4964,DATA!#REF!,2,FALSE),"")</f>
        <v/>
      </c>
    </row>
    <row r="4965" spans="3:4" s="237" customFormat="1">
      <c r="C4965" s="16" t="str">
        <f>IFERROR(VLOOKUP(DATA!#REF!,DATA!#REF!,1,FALSE),"")</f>
        <v/>
      </c>
      <c r="D4965" s="16" t="str">
        <f>IFERROR(VLOOKUP(C4965,DATA!#REF!,2,FALSE),"")</f>
        <v/>
      </c>
    </row>
    <row r="4966" spans="3:4" s="237" customFormat="1">
      <c r="C4966" s="16" t="str">
        <f>IFERROR(VLOOKUP(DATA!#REF!,DATA!#REF!,1,FALSE),"")</f>
        <v/>
      </c>
      <c r="D4966" s="16" t="str">
        <f>IFERROR(VLOOKUP(C4966,DATA!#REF!,2,FALSE),"")</f>
        <v/>
      </c>
    </row>
    <row r="4967" spans="3:4" s="237" customFormat="1">
      <c r="C4967" s="16" t="str">
        <f>IFERROR(VLOOKUP(DATA!#REF!,DATA!#REF!,1,FALSE),"")</f>
        <v/>
      </c>
      <c r="D4967" s="16" t="str">
        <f>IFERROR(VLOOKUP(C4967,DATA!#REF!,2,FALSE),"")</f>
        <v/>
      </c>
    </row>
    <row r="4968" spans="3:4" s="237" customFormat="1">
      <c r="C4968" s="16" t="str">
        <f>IFERROR(VLOOKUP(DATA!#REF!,DATA!#REF!,1,FALSE),"")</f>
        <v/>
      </c>
      <c r="D4968" s="16" t="str">
        <f>IFERROR(VLOOKUP(C4968,DATA!#REF!,2,FALSE),"")</f>
        <v/>
      </c>
    </row>
    <row r="4969" spans="3:4" s="237" customFormat="1">
      <c r="C4969" s="16" t="str">
        <f>IFERROR(VLOOKUP(DATA!#REF!,DATA!#REF!,1,FALSE),"")</f>
        <v/>
      </c>
      <c r="D4969" s="16" t="str">
        <f>IFERROR(VLOOKUP(C4969,DATA!#REF!,2,FALSE),"")</f>
        <v/>
      </c>
    </row>
    <row r="4970" spans="3:4" s="237" customFormat="1">
      <c r="C4970" s="16" t="str">
        <f>IFERROR(VLOOKUP(DATA!#REF!,DATA!#REF!,1,FALSE),"")</f>
        <v/>
      </c>
      <c r="D4970" s="16" t="str">
        <f>IFERROR(VLOOKUP(C4970,DATA!#REF!,2,FALSE),"")</f>
        <v/>
      </c>
    </row>
    <row r="4971" spans="3:4" s="237" customFormat="1">
      <c r="C4971" s="16" t="str">
        <f>IFERROR(VLOOKUP(DATA!#REF!,DATA!#REF!,1,FALSE),"")</f>
        <v/>
      </c>
      <c r="D4971" s="16" t="str">
        <f>IFERROR(VLOOKUP(C4971,DATA!#REF!,2,FALSE),"")</f>
        <v/>
      </c>
    </row>
    <row r="4972" spans="3:4" s="237" customFormat="1">
      <c r="C4972" s="16" t="str">
        <f>IFERROR(VLOOKUP(DATA!#REF!,DATA!#REF!,1,FALSE),"")</f>
        <v/>
      </c>
      <c r="D4972" s="16" t="str">
        <f>IFERROR(VLOOKUP(C4972,DATA!#REF!,2,FALSE),"")</f>
        <v/>
      </c>
    </row>
    <row r="4973" spans="3:4" s="237" customFormat="1">
      <c r="C4973" s="16" t="str">
        <f>IFERROR(VLOOKUP(DATA!#REF!,DATA!#REF!,1,FALSE),"")</f>
        <v/>
      </c>
      <c r="D4973" s="16" t="str">
        <f>IFERROR(VLOOKUP(C4973,DATA!#REF!,2,FALSE),"")</f>
        <v/>
      </c>
    </row>
    <row r="4974" spans="3:4" s="237" customFormat="1">
      <c r="C4974" s="16" t="str">
        <f>IFERROR(VLOOKUP(DATA!#REF!,DATA!#REF!,1,FALSE),"")</f>
        <v/>
      </c>
      <c r="D4974" s="16" t="str">
        <f>IFERROR(VLOOKUP(C4974,DATA!#REF!,2,FALSE),"")</f>
        <v/>
      </c>
    </row>
    <row r="4975" spans="3:4" s="237" customFormat="1">
      <c r="C4975" s="16" t="str">
        <f>IFERROR(VLOOKUP(DATA!#REF!,DATA!#REF!,1,FALSE),"")</f>
        <v/>
      </c>
      <c r="D4975" s="16" t="str">
        <f>IFERROR(VLOOKUP(C4975,DATA!#REF!,2,FALSE),"")</f>
        <v/>
      </c>
    </row>
    <row r="4976" spans="3:4" s="237" customFormat="1">
      <c r="C4976" s="16" t="str">
        <f>IFERROR(VLOOKUP(DATA!#REF!,DATA!#REF!,1,FALSE),"")</f>
        <v/>
      </c>
      <c r="D4976" s="16" t="str">
        <f>IFERROR(VLOOKUP(C4976,DATA!#REF!,2,FALSE),"")</f>
        <v/>
      </c>
    </row>
    <row r="4977" spans="3:4" s="237" customFormat="1">
      <c r="C4977" s="16" t="str">
        <f>IFERROR(VLOOKUP(DATA!#REF!,DATA!#REF!,1,FALSE),"")</f>
        <v/>
      </c>
      <c r="D4977" s="16" t="str">
        <f>IFERROR(VLOOKUP(C4977,DATA!#REF!,2,FALSE),"")</f>
        <v/>
      </c>
    </row>
    <row r="4978" spans="3:4" s="237" customFormat="1">
      <c r="C4978" s="16" t="str">
        <f>IFERROR(VLOOKUP(DATA!#REF!,DATA!#REF!,1,FALSE),"")</f>
        <v/>
      </c>
      <c r="D4978" s="16" t="str">
        <f>IFERROR(VLOOKUP(C4978,DATA!#REF!,2,FALSE),"")</f>
        <v/>
      </c>
    </row>
    <row r="4979" spans="3:4" s="237" customFormat="1">
      <c r="C4979" s="16" t="str">
        <f>IFERROR(VLOOKUP(DATA!#REF!,DATA!#REF!,1,FALSE),"")</f>
        <v/>
      </c>
      <c r="D4979" s="16" t="str">
        <f>IFERROR(VLOOKUP(C4979,DATA!#REF!,2,FALSE),"")</f>
        <v/>
      </c>
    </row>
    <row r="4980" spans="3:4" s="237" customFormat="1">
      <c r="C4980" s="16" t="str">
        <f>IFERROR(VLOOKUP(DATA!#REF!,DATA!#REF!,1,FALSE),"")</f>
        <v/>
      </c>
      <c r="D4980" s="16" t="str">
        <f>IFERROR(VLOOKUP(C4980,DATA!#REF!,2,FALSE),"")</f>
        <v/>
      </c>
    </row>
    <row r="4981" spans="3:4" s="237" customFormat="1">
      <c r="C4981" s="16" t="str">
        <f>IFERROR(VLOOKUP(DATA!#REF!,DATA!#REF!,1,FALSE),"")</f>
        <v/>
      </c>
      <c r="D4981" s="16" t="str">
        <f>IFERROR(VLOOKUP(C4981,DATA!#REF!,2,FALSE),"")</f>
        <v/>
      </c>
    </row>
    <row r="4982" spans="3:4" s="237" customFormat="1">
      <c r="C4982" s="16" t="str">
        <f>IFERROR(VLOOKUP(DATA!#REF!,DATA!#REF!,1,FALSE),"")</f>
        <v/>
      </c>
      <c r="D4982" s="16" t="str">
        <f>IFERROR(VLOOKUP(C4982,DATA!#REF!,2,FALSE),"")</f>
        <v/>
      </c>
    </row>
    <row r="4983" spans="3:4" s="237" customFormat="1">
      <c r="C4983" s="16" t="str">
        <f>IFERROR(VLOOKUP(DATA!#REF!,DATA!#REF!,1,FALSE),"")</f>
        <v/>
      </c>
      <c r="D4983" s="16" t="str">
        <f>IFERROR(VLOOKUP(C4983,DATA!#REF!,2,FALSE),"")</f>
        <v/>
      </c>
    </row>
    <row r="4984" spans="3:4" s="237" customFormat="1">
      <c r="C4984" s="16" t="str">
        <f>IFERROR(VLOOKUP(DATA!#REF!,DATA!#REF!,1,FALSE),"")</f>
        <v/>
      </c>
      <c r="D4984" s="16" t="str">
        <f>IFERROR(VLOOKUP(C4984,DATA!#REF!,2,FALSE),"")</f>
        <v/>
      </c>
    </row>
    <row r="4985" spans="3:4" s="237" customFormat="1">
      <c r="C4985" s="16" t="str">
        <f>IFERROR(VLOOKUP(DATA!#REF!,DATA!#REF!,1,FALSE),"")</f>
        <v/>
      </c>
      <c r="D4985" s="16" t="str">
        <f>IFERROR(VLOOKUP(C4985,DATA!#REF!,2,FALSE),"")</f>
        <v/>
      </c>
    </row>
    <row r="4986" spans="3:4" s="237" customFormat="1">
      <c r="C4986" s="16" t="str">
        <f>IFERROR(VLOOKUP(DATA!#REF!,DATA!#REF!,1,FALSE),"")</f>
        <v/>
      </c>
      <c r="D4986" s="16" t="str">
        <f>IFERROR(VLOOKUP(C4986,DATA!#REF!,2,FALSE),"")</f>
        <v/>
      </c>
    </row>
    <row r="4987" spans="3:4" s="237" customFormat="1">
      <c r="C4987" s="16" t="str">
        <f>IFERROR(VLOOKUP(DATA!#REF!,DATA!#REF!,1,FALSE),"")</f>
        <v/>
      </c>
      <c r="D4987" s="16" t="str">
        <f>IFERROR(VLOOKUP(C4987,DATA!#REF!,2,FALSE),"")</f>
        <v/>
      </c>
    </row>
    <row r="4988" spans="3:4" s="237" customFormat="1">
      <c r="C4988" s="16" t="str">
        <f>IFERROR(VLOOKUP(DATA!#REF!,DATA!#REF!,1,FALSE),"")</f>
        <v/>
      </c>
      <c r="D4988" s="16" t="str">
        <f>IFERROR(VLOOKUP(C4988,DATA!#REF!,2,FALSE),"")</f>
        <v/>
      </c>
    </row>
    <row r="4989" spans="3:4" s="237" customFormat="1">
      <c r="C4989" s="16" t="str">
        <f>IFERROR(VLOOKUP(DATA!#REF!,DATA!#REF!,1,FALSE),"")</f>
        <v/>
      </c>
      <c r="D4989" s="16" t="str">
        <f>IFERROR(VLOOKUP(C4989,DATA!#REF!,2,FALSE),"")</f>
        <v/>
      </c>
    </row>
    <row r="4990" spans="3:4" s="237" customFormat="1">
      <c r="C4990" s="16" t="str">
        <f>IFERROR(VLOOKUP(DATA!#REF!,DATA!#REF!,1,FALSE),"")</f>
        <v/>
      </c>
      <c r="D4990" s="16" t="str">
        <f>IFERROR(VLOOKUP(C4990,DATA!#REF!,2,FALSE),"")</f>
        <v/>
      </c>
    </row>
    <row r="4991" spans="3:4" s="237" customFormat="1">
      <c r="C4991" s="16" t="str">
        <f>IFERROR(VLOOKUP(DATA!#REF!,DATA!#REF!,1,FALSE),"")</f>
        <v/>
      </c>
      <c r="D4991" s="16" t="str">
        <f>IFERROR(VLOOKUP(C4991,DATA!#REF!,2,FALSE),"")</f>
        <v/>
      </c>
    </row>
    <row r="4992" spans="3:4" s="237" customFormat="1">
      <c r="C4992" s="16" t="str">
        <f>IFERROR(VLOOKUP(DATA!#REF!,DATA!#REF!,1,FALSE),"")</f>
        <v/>
      </c>
      <c r="D4992" s="16" t="str">
        <f>IFERROR(VLOOKUP(C4992,DATA!#REF!,2,FALSE),"")</f>
        <v/>
      </c>
    </row>
    <row r="4993" spans="3:4" s="237" customFormat="1">
      <c r="C4993" s="16" t="str">
        <f>IFERROR(VLOOKUP(DATA!#REF!,DATA!#REF!,1,FALSE),"")</f>
        <v/>
      </c>
      <c r="D4993" s="16" t="str">
        <f>IFERROR(VLOOKUP(C4993,DATA!#REF!,2,FALSE),"")</f>
        <v/>
      </c>
    </row>
    <row r="4994" spans="3:4" s="237" customFormat="1">
      <c r="C4994" s="16" t="str">
        <f>IFERROR(VLOOKUP(DATA!#REF!,DATA!#REF!,1,FALSE),"")</f>
        <v/>
      </c>
      <c r="D4994" s="16" t="str">
        <f>IFERROR(VLOOKUP(C4994,DATA!#REF!,2,FALSE),"")</f>
        <v/>
      </c>
    </row>
    <row r="4995" spans="3:4" s="237" customFormat="1">
      <c r="C4995" s="16" t="str">
        <f>IFERROR(VLOOKUP(DATA!#REF!,DATA!#REF!,1,FALSE),"")</f>
        <v/>
      </c>
      <c r="D4995" s="16" t="str">
        <f>IFERROR(VLOOKUP(C4995,DATA!#REF!,2,FALSE),"")</f>
        <v/>
      </c>
    </row>
    <row r="4996" spans="3:4" s="237" customFormat="1">
      <c r="C4996" s="16" t="str">
        <f>IFERROR(VLOOKUP(DATA!#REF!,DATA!#REF!,1,FALSE),"")</f>
        <v/>
      </c>
      <c r="D4996" s="16" t="str">
        <f>IFERROR(VLOOKUP(C4996,DATA!#REF!,2,FALSE),"")</f>
        <v/>
      </c>
    </row>
    <row r="4997" spans="3:4" s="237" customFormat="1">
      <c r="C4997" s="16" t="str">
        <f>IFERROR(VLOOKUP(DATA!#REF!,DATA!#REF!,1,FALSE),"")</f>
        <v/>
      </c>
      <c r="D4997" s="16" t="str">
        <f>IFERROR(VLOOKUP(C4997,DATA!#REF!,2,FALSE),"")</f>
        <v/>
      </c>
    </row>
    <row r="4998" spans="3:4" s="237" customFormat="1">
      <c r="C4998" s="16" t="str">
        <f>IFERROR(VLOOKUP(DATA!#REF!,DATA!#REF!,1,FALSE),"")</f>
        <v/>
      </c>
      <c r="D4998" s="16" t="str">
        <f>IFERROR(VLOOKUP(C4998,DATA!#REF!,2,FALSE),"")</f>
        <v/>
      </c>
    </row>
    <row r="4999" spans="3:4" s="237" customFormat="1">
      <c r="C4999" s="16" t="str">
        <f>IFERROR(VLOOKUP(DATA!#REF!,DATA!#REF!,1,FALSE),"")</f>
        <v/>
      </c>
      <c r="D4999" s="16" t="str">
        <f>IFERROR(VLOOKUP(C4999,DATA!#REF!,2,FALSE),"")</f>
        <v/>
      </c>
    </row>
    <row r="5000" spans="3:4" s="237" customFormat="1">
      <c r="C5000" s="16" t="str">
        <f>IFERROR(VLOOKUP(DATA!#REF!,DATA!#REF!,1,FALSE),"")</f>
        <v/>
      </c>
      <c r="D5000" s="16" t="str">
        <f>IFERROR(VLOOKUP(C5000,DATA!#REF!,2,FALSE),"")</f>
        <v/>
      </c>
    </row>
    <row r="5001" spans="3:4" s="237" customFormat="1">
      <c r="C5001" s="16" t="str">
        <f>IFERROR(VLOOKUP(DATA!#REF!,DATA!#REF!,1,FALSE),"")</f>
        <v/>
      </c>
      <c r="D5001" s="16" t="str">
        <f>IFERROR(VLOOKUP(C5001,DATA!#REF!,2,FALSE),"")</f>
        <v/>
      </c>
    </row>
    <row r="5002" spans="3:4" s="237" customFormat="1">
      <c r="C5002" s="16" t="str">
        <f>IFERROR(VLOOKUP(DATA!#REF!,DATA!#REF!,1,FALSE),"")</f>
        <v/>
      </c>
      <c r="D5002" s="16" t="str">
        <f>IFERROR(VLOOKUP(C5002,DATA!#REF!,2,FALSE),"")</f>
        <v/>
      </c>
    </row>
    <row r="5003" spans="3:4" s="237" customFormat="1">
      <c r="C5003" s="16" t="str">
        <f>IFERROR(VLOOKUP(DATA!#REF!,DATA!#REF!,1,FALSE),"")</f>
        <v/>
      </c>
      <c r="D5003" s="16" t="str">
        <f>IFERROR(VLOOKUP(C5003,DATA!#REF!,2,FALSE),"")</f>
        <v/>
      </c>
    </row>
    <row r="5004" spans="3:4" s="237" customFormat="1">
      <c r="C5004" s="16" t="str">
        <f>IFERROR(VLOOKUP(DATA!#REF!,DATA!#REF!,1,FALSE),"")</f>
        <v/>
      </c>
      <c r="D5004" s="16" t="str">
        <f>IFERROR(VLOOKUP(C5004,DATA!#REF!,2,FALSE),"")</f>
        <v/>
      </c>
    </row>
    <row r="5005" spans="3:4" s="237" customFormat="1">
      <c r="C5005" s="16" t="str">
        <f>IFERROR(VLOOKUP(DATA!#REF!,DATA!#REF!,1,FALSE),"")</f>
        <v/>
      </c>
      <c r="D5005" s="16" t="str">
        <f>IFERROR(VLOOKUP(C5005,DATA!#REF!,2,FALSE),"")</f>
        <v/>
      </c>
    </row>
    <row r="5006" spans="3:4" s="237" customFormat="1">
      <c r="C5006" s="16" t="str">
        <f>IFERROR(VLOOKUP(DATA!#REF!,DATA!#REF!,1,FALSE),"")</f>
        <v/>
      </c>
      <c r="D5006" s="16" t="str">
        <f>IFERROR(VLOOKUP(C5006,DATA!#REF!,2,FALSE),"")</f>
        <v/>
      </c>
    </row>
    <row r="5007" spans="3:4" s="237" customFormat="1">
      <c r="C5007" s="16" t="str">
        <f>IFERROR(VLOOKUP(DATA!#REF!,DATA!#REF!,1,FALSE),"")</f>
        <v/>
      </c>
      <c r="D5007" s="16" t="str">
        <f>IFERROR(VLOOKUP(C5007,DATA!#REF!,2,FALSE),"")</f>
        <v/>
      </c>
    </row>
    <row r="5008" spans="3:4" s="237" customFormat="1">
      <c r="C5008" s="16" t="str">
        <f>IFERROR(VLOOKUP(DATA!#REF!,DATA!#REF!,1,FALSE),"")</f>
        <v/>
      </c>
      <c r="D5008" s="16" t="str">
        <f>IFERROR(VLOOKUP(C5008,DATA!#REF!,2,FALSE),"")</f>
        <v/>
      </c>
    </row>
    <row r="5009" spans="3:4" s="237" customFormat="1">
      <c r="C5009" s="16" t="str">
        <f>IFERROR(VLOOKUP(DATA!#REF!,DATA!#REF!,1,FALSE),"")</f>
        <v/>
      </c>
      <c r="D5009" s="16" t="str">
        <f>IFERROR(VLOOKUP(C5009,DATA!#REF!,2,FALSE),"")</f>
        <v/>
      </c>
    </row>
    <row r="5010" spans="3:4" s="237" customFormat="1">
      <c r="C5010" s="16" t="str">
        <f>IFERROR(VLOOKUP(DATA!#REF!,DATA!#REF!,1,FALSE),"")</f>
        <v/>
      </c>
      <c r="D5010" s="16" t="str">
        <f>IFERROR(VLOOKUP(C5010,DATA!#REF!,2,FALSE),"")</f>
        <v/>
      </c>
    </row>
    <row r="5011" spans="3:4" s="237" customFormat="1">
      <c r="C5011" s="16" t="str">
        <f>IFERROR(VLOOKUP(DATA!#REF!,DATA!#REF!,1,FALSE),"")</f>
        <v/>
      </c>
      <c r="D5011" s="16" t="str">
        <f>IFERROR(VLOOKUP(C5011,DATA!#REF!,2,FALSE),"")</f>
        <v/>
      </c>
    </row>
    <row r="5012" spans="3:4" s="237" customFormat="1">
      <c r="C5012" s="16" t="str">
        <f>IFERROR(VLOOKUP(DATA!#REF!,DATA!#REF!,1,FALSE),"")</f>
        <v/>
      </c>
      <c r="D5012" s="16" t="str">
        <f>IFERROR(VLOOKUP(C5012,DATA!#REF!,2,FALSE),"")</f>
        <v/>
      </c>
    </row>
    <row r="5013" spans="3:4" s="237" customFormat="1">
      <c r="C5013" s="16" t="str">
        <f>IFERROR(VLOOKUP(DATA!#REF!,DATA!#REF!,1,FALSE),"")</f>
        <v/>
      </c>
      <c r="D5013" s="16" t="str">
        <f>IFERROR(VLOOKUP(C5013,DATA!#REF!,2,FALSE),"")</f>
        <v/>
      </c>
    </row>
    <row r="5014" spans="3:4" s="237" customFormat="1">
      <c r="C5014" s="16" t="str">
        <f>IFERROR(VLOOKUP(DATA!#REF!,DATA!#REF!,1,FALSE),"")</f>
        <v/>
      </c>
      <c r="D5014" s="16" t="str">
        <f>IFERROR(VLOOKUP(C5014,DATA!#REF!,2,FALSE),"")</f>
        <v/>
      </c>
    </row>
    <row r="5015" spans="3:4" s="237" customFormat="1">
      <c r="C5015" s="16" t="str">
        <f>IFERROR(VLOOKUP(DATA!#REF!,DATA!#REF!,1,FALSE),"")</f>
        <v/>
      </c>
      <c r="D5015" s="16" t="str">
        <f>IFERROR(VLOOKUP(C5015,DATA!#REF!,2,FALSE),"")</f>
        <v/>
      </c>
    </row>
    <row r="5016" spans="3:4" s="237" customFormat="1">
      <c r="C5016" s="16" t="str">
        <f>IFERROR(VLOOKUP(DATA!#REF!,DATA!#REF!,1,FALSE),"")</f>
        <v/>
      </c>
      <c r="D5016" s="16" t="str">
        <f>IFERROR(VLOOKUP(C5016,DATA!#REF!,2,FALSE),"")</f>
        <v/>
      </c>
    </row>
    <row r="5017" spans="3:4" s="237" customFormat="1">
      <c r="C5017" s="16" t="str">
        <f>IFERROR(VLOOKUP(DATA!#REF!,DATA!#REF!,1,FALSE),"")</f>
        <v/>
      </c>
      <c r="D5017" s="16" t="str">
        <f>IFERROR(VLOOKUP(C5017,DATA!#REF!,2,FALSE),"")</f>
        <v/>
      </c>
    </row>
    <row r="5018" spans="3:4" s="237" customFormat="1">
      <c r="C5018" s="16" t="str">
        <f>IFERROR(VLOOKUP(DATA!#REF!,DATA!#REF!,1,FALSE),"")</f>
        <v/>
      </c>
      <c r="D5018" s="16" t="str">
        <f>IFERROR(VLOOKUP(C5018,DATA!#REF!,2,FALSE),"")</f>
        <v/>
      </c>
    </row>
    <row r="5019" spans="3:4" s="237" customFormat="1">
      <c r="C5019" s="16" t="str">
        <f>IFERROR(VLOOKUP(DATA!#REF!,DATA!#REF!,1,FALSE),"")</f>
        <v/>
      </c>
      <c r="D5019" s="16" t="str">
        <f>IFERROR(VLOOKUP(C5019,DATA!#REF!,2,FALSE),"")</f>
        <v/>
      </c>
    </row>
    <row r="5020" spans="3:4" s="237" customFormat="1">
      <c r="C5020" s="16" t="str">
        <f>IFERROR(VLOOKUP(DATA!#REF!,DATA!#REF!,1,FALSE),"")</f>
        <v/>
      </c>
      <c r="D5020" s="16" t="str">
        <f>IFERROR(VLOOKUP(C5020,DATA!#REF!,2,FALSE),"")</f>
        <v/>
      </c>
    </row>
    <row r="5021" spans="3:4" s="237" customFormat="1">
      <c r="C5021" s="16" t="str">
        <f>IFERROR(VLOOKUP(DATA!#REF!,DATA!#REF!,1,FALSE),"")</f>
        <v/>
      </c>
      <c r="D5021" s="16" t="str">
        <f>IFERROR(VLOOKUP(C5021,DATA!#REF!,2,FALSE),"")</f>
        <v/>
      </c>
    </row>
    <row r="5022" spans="3:4" s="237" customFormat="1">
      <c r="C5022" s="16" t="str">
        <f>IFERROR(VLOOKUP(DATA!#REF!,DATA!#REF!,1,FALSE),"")</f>
        <v/>
      </c>
      <c r="D5022" s="16" t="str">
        <f>IFERROR(VLOOKUP(C5022,DATA!#REF!,2,FALSE),"")</f>
        <v/>
      </c>
    </row>
    <row r="5023" spans="3:4" s="237" customFormat="1">
      <c r="C5023" s="16" t="str">
        <f>IFERROR(VLOOKUP(DATA!#REF!,DATA!#REF!,1,FALSE),"")</f>
        <v/>
      </c>
      <c r="D5023" s="16" t="str">
        <f>IFERROR(VLOOKUP(C5023,DATA!#REF!,2,FALSE),"")</f>
        <v/>
      </c>
    </row>
    <row r="5024" spans="3:4" s="237" customFormat="1">
      <c r="C5024" s="16" t="str">
        <f>IFERROR(VLOOKUP(DATA!#REF!,DATA!#REF!,1,FALSE),"")</f>
        <v/>
      </c>
      <c r="D5024" s="16" t="str">
        <f>IFERROR(VLOOKUP(C5024,DATA!#REF!,2,FALSE),"")</f>
        <v/>
      </c>
    </row>
    <row r="5025" spans="3:4" s="237" customFormat="1">
      <c r="C5025" s="16" t="str">
        <f>IFERROR(VLOOKUP(DATA!#REF!,DATA!#REF!,1,FALSE),"")</f>
        <v/>
      </c>
      <c r="D5025" s="16" t="str">
        <f>IFERROR(VLOOKUP(C5025,DATA!#REF!,2,FALSE),"")</f>
        <v/>
      </c>
    </row>
    <row r="5026" spans="3:4" s="237" customFormat="1">
      <c r="C5026" s="16" t="str">
        <f>IFERROR(VLOOKUP(DATA!#REF!,DATA!#REF!,1,FALSE),"")</f>
        <v/>
      </c>
      <c r="D5026" s="16" t="str">
        <f>IFERROR(VLOOKUP(C5026,DATA!#REF!,2,FALSE),"")</f>
        <v/>
      </c>
    </row>
    <row r="5027" spans="3:4" s="237" customFormat="1">
      <c r="C5027" s="16" t="str">
        <f>IFERROR(VLOOKUP(DATA!#REF!,DATA!#REF!,1,FALSE),"")</f>
        <v/>
      </c>
      <c r="D5027" s="16" t="str">
        <f>IFERROR(VLOOKUP(C5027,DATA!#REF!,2,FALSE),"")</f>
        <v/>
      </c>
    </row>
    <row r="5028" spans="3:4" s="237" customFormat="1">
      <c r="C5028" s="16" t="str">
        <f>IFERROR(VLOOKUP(DATA!#REF!,DATA!#REF!,1,FALSE),"")</f>
        <v/>
      </c>
      <c r="D5028" s="16" t="str">
        <f>IFERROR(VLOOKUP(C5028,DATA!#REF!,2,FALSE),"")</f>
        <v/>
      </c>
    </row>
    <row r="5029" spans="3:4" s="237" customFormat="1">
      <c r="C5029" s="16" t="str">
        <f>IFERROR(VLOOKUP(DATA!#REF!,DATA!#REF!,1,FALSE),"")</f>
        <v/>
      </c>
      <c r="D5029" s="16" t="str">
        <f>IFERROR(VLOOKUP(C5029,DATA!#REF!,2,FALSE),"")</f>
        <v/>
      </c>
    </row>
    <row r="5030" spans="3:4" s="237" customFormat="1">
      <c r="C5030" s="16" t="str">
        <f>IFERROR(VLOOKUP(DATA!#REF!,DATA!#REF!,1,FALSE),"")</f>
        <v/>
      </c>
      <c r="D5030" s="16" t="str">
        <f>IFERROR(VLOOKUP(C5030,DATA!#REF!,2,FALSE),"")</f>
        <v/>
      </c>
    </row>
    <row r="5031" spans="3:4" s="237" customFormat="1">
      <c r="C5031" s="16" t="str">
        <f>IFERROR(VLOOKUP(DATA!#REF!,DATA!#REF!,1,FALSE),"")</f>
        <v/>
      </c>
      <c r="D5031" s="16" t="str">
        <f>IFERROR(VLOOKUP(C5031,DATA!#REF!,2,FALSE),"")</f>
        <v/>
      </c>
    </row>
    <row r="5032" spans="3:4" s="237" customFormat="1">
      <c r="C5032" s="16" t="str">
        <f>IFERROR(VLOOKUP(DATA!#REF!,DATA!#REF!,1,FALSE),"")</f>
        <v/>
      </c>
      <c r="D5032" s="16" t="str">
        <f>IFERROR(VLOOKUP(C5032,DATA!#REF!,2,FALSE),"")</f>
        <v/>
      </c>
    </row>
    <row r="5033" spans="3:4" s="237" customFormat="1">
      <c r="C5033" s="16" t="str">
        <f>IFERROR(VLOOKUP(DATA!#REF!,DATA!#REF!,1,FALSE),"")</f>
        <v/>
      </c>
      <c r="D5033" s="16" t="str">
        <f>IFERROR(VLOOKUP(C5033,DATA!#REF!,2,FALSE),"")</f>
        <v/>
      </c>
    </row>
    <row r="5034" spans="3:4" s="237" customFormat="1">
      <c r="C5034" s="16" t="str">
        <f>IFERROR(VLOOKUP(DATA!#REF!,DATA!#REF!,1,FALSE),"")</f>
        <v/>
      </c>
      <c r="D5034" s="16" t="str">
        <f>IFERROR(VLOOKUP(C5034,DATA!#REF!,2,FALSE),"")</f>
        <v/>
      </c>
    </row>
    <row r="5035" spans="3:4" s="237" customFormat="1">
      <c r="C5035" s="16" t="str">
        <f>IFERROR(VLOOKUP(DATA!#REF!,DATA!#REF!,1,FALSE),"")</f>
        <v/>
      </c>
      <c r="D5035" s="16" t="str">
        <f>IFERROR(VLOOKUP(C5035,DATA!#REF!,2,FALSE),"")</f>
        <v/>
      </c>
    </row>
    <row r="5036" spans="3:4" s="237" customFormat="1">
      <c r="C5036" s="16" t="str">
        <f>IFERROR(VLOOKUP(DATA!#REF!,DATA!#REF!,1,FALSE),"")</f>
        <v/>
      </c>
      <c r="D5036" s="16" t="str">
        <f>IFERROR(VLOOKUP(C5036,DATA!#REF!,2,FALSE),"")</f>
        <v/>
      </c>
    </row>
    <row r="5037" spans="3:4" s="237" customFormat="1">
      <c r="C5037" s="16" t="str">
        <f>IFERROR(VLOOKUP(DATA!#REF!,DATA!#REF!,1,FALSE),"")</f>
        <v/>
      </c>
      <c r="D5037" s="16" t="str">
        <f>IFERROR(VLOOKUP(C5037,DATA!#REF!,2,FALSE),"")</f>
        <v/>
      </c>
    </row>
    <row r="5038" spans="3:4" s="237" customFormat="1">
      <c r="C5038" s="16" t="str">
        <f>IFERROR(VLOOKUP(DATA!#REF!,DATA!#REF!,1,FALSE),"")</f>
        <v/>
      </c>
      <c r="D5038" s="16" t="str">
        <f>IFERROR(VLOOKUP(C5038,DATA!#REF!,2,FALSE),"")</f>
        <v/>
      </c>
    </row>
    <row r="5039" spans="3:4" s="237" customFormat="1">
      <c r="C5039" s="16" t="str">
        <f>IFERROR(VLOOKUP(DATA!#REF!,DATA!#REF!,1,FALSE),"")</f>
        <v/>
      </c>
      <c r="D5039" s="16" t="str">
        <f>IFERROR(VLOOKUP(C5039,DATA!#REF!,2,FALSE),"")</f>
        <v/>
      </c>
    </row>
    <row r="5040" spans="3:4" s="237" customFormat="1">
      <c r="C5040" s="16" t="str">
        <f>IFERROR(VLOOKUP(DATA!#REF!,DATA!#REF!,1,FALSE),"")</f>
        <v/>
      </c>
      <c r="D5040" s="16" t="str">
        <f>IFERROR(VLOOKUP(C5040,DATA!#REF!,2,FALSE),"")</f>
        <v/>
      </c>
    </row>
    <row r="5041" spans="3:4" s="237" customFormat="1">
      <c r="C5041" s="16" t="str">
        <f>IFERROR(VLOOKUP(DATA!#REF!,DATA!#REF!,1,FALSE),"")</f>
        <v/>
      </c>
      <c r="D5041" s="16" t="str">
        <f>IFERROR(VLOOKUP(C5041,DATA!#REF!,2,FALSE),"")</f>
        <v/>
      </c>
    </row>
    <row r="5042" spans="3:4" s="237" customFormat="1">
      <c r="C5042" s="16" t="str">
        <f>IFERROR(VLOOKUP(DATA!#REF!,DATA!#REF!,1,FALSE),"")</f>
        <v/>
      </c>
      <c r="D5042" s="16" t="str">
        <f>IFERROR(VLOOKUP(C5042,DATA!#REF!,2,FALSE),"")</f>
        <v/>
      </c>
    </row>
    <row r="5043" spans="3:4" s="237" customFormat="1">
      <c r="C5043" s="16" t="str">
        <f>IFERROR(VLOOKUP(DATA!#REF!,DATA!#REF!,1,FALSE),"")</f>
        <v/>
      </c>
      <c r="D5043" s="16" t="str">
        <f>IFERROR(VLOOKUP(C5043,DATA!#REF!,2,FALSE),"")</f>
        <v/>
      </c>
    </row>
    <row r="5044" spans="3:4" s="237" customFormat="1">
      <c r="C5044" s="16" t="str">
        <f>IFERROR(VLOOKUP(DATA!#REF!,DATA!#REF!,1,FALSE),"")</f>
        <v/>
      </c>
      <c r="D5044" s="16" t="str">
        <f>IFERROR(VLOOKUP(C5044,DATA!#REF!,2,FALSE),"")</f>
        <v/>
      </c>
    </row>
    <row r="5045" spans="3:4" s="237" customFormat="1">
      <c r="C5045" s="16" t="str">
        <f>IFERROR(VLOOKUP(DATA!#REF!,DATA!#REF!,1,FALSE),"")</f>
        <v/>
      </c>
      <c r="D5045" s="16" t="str">
        <f>IFERROR(VLOOKUP(C5045,DATA!#REF!,2,FALSE),"")</f>
        <v/>
      </c>
    </row>
    <row r="5046" spans="3:4" s="237" customFormat="1">
      <c r="C5046" s="16" t="str">
        <f>IFERROR(VLOOKUP(DATA!#REF!,DATA!#REF!,1,FALSE),"")</f>
        <v/>
      </c>
      <c r="D5046" s="16" t="str">
        <f>IFERROR(VLOOKUP(C5046,DATA!#REF!,2,FALSE),"")</f>
        <v/>
      </c>
    </row>
    <row r="5047" spans="3:4" s="237" customFormat="1">
      <c r="C5047" s="16" t="str">
        <f>IFERROR(VLOOKUP(DATA!#REF!,DATA!#REF!,1,FALSE),"")</f>
        <v/>
      </c>
      <c r="D5047" s="16" t="str">
        <f>IFERROR(VLOOKUP(C5047,DATA!#REF!,2,FALSE),"")</f>
        <v/>
      </c>
    </row>
    <row r="5048" spans="3:4" s="237" customFormat="1">
      <c r="C5048" s="16" t="str">
        <f>IFERROR(VLOOKUP(DATA!#REF!,DATA!#REF!,1,FALSE),"")</f>
        <v/>
      </c>
      <c r="D5048" s="16" t="str">
        <f>IFERROR(VLOOKUP(C5048,DATA!#REF!,2,FALSE),"")</f>
        <v/>
      </c>
    </row>
    <row r="5049" spans="3:4" s="237" customFormat="1">
      <c r="C5049" s="16" t="str">
        <f>IFERROR(VLOOKUP(DATA!#REF!,DATA!#REF!,1,FALSE),"")</f>
        <v/>
      </c>
      <c r="D5049" s="16" t="str">
        <f>IFERROR(VLOOKUP(C5049,DATA!#REF!,2,FALSE),"")</f>
        <v/>
      </c>
    </row>
    <row r="5050" spans="3:4" s="237" customFormat="1">
      <c r="C5050" s="16" t="str">
        <f>IFERROR(VLOOKUP(DATA!#REF!,DATA!#REF!,1,FALSE),"")</f>
        <v/>
      </c>
      <c r="D5050" s="16" t="str">
        <f>IFERROR(VLOOKUP(C5050,DATA!#REF!,2,FALSE),"")</f>
        <v/>
      </c>
    </row>
    <row r="5051" spans="3:4" s="237" customFormat="1">
      <c r="C5051" s="16" t="str">
        <f>IFERROR(VLOOKUP(DATA!#REF!,DATA!#REF!,1,FALSE),"")</f>
        <v/>
      </c>
      <c r="D5051" s="16" t="str">
        <f>IFERROR(VLOOKUP(C5051,DATA!#REF!,2,FALSE),"")</f>
        <v/>
      </c>
    </row>
    <row r="5052" spans="3:4" s="237" customFormat="1">
      <c r="C5052" s="16" t="str">
        <f>IFERROR(VLOOKUP(DATA!#REF!,DATA!#REF!,1,FALSE),"")</f>
        <v/>
      </c>
      <c r="D5052" s="16" t="str">
        <f>IFERROR(VLOOKUP(C5052,DATA!#REF!,2,FALSE),"")</f>
        <v/>
      </c>
    </row>
    <row r="5053" spans="3:4" s="237" customFormat="1">
      <c r="C5053" s="16" t="str">
        <f>IFERROR(VLOOKUP(DATA!#REF!,DATA!#REF!,1,FALSE),"")</f>
        <v/>
      </c>
      <c r="D5053" s="16" t="str">
        <f>IFERROR(VLOOKUP(C5053,DATA!#REF!,2,FALSE),"")</f>
        <v/>
      </c>
    </row>
    <row r="5054" spans="3:4" s="237" customFormat="1">
      <c r="C5054" s="16" t="str">
        <f>IFERROR(VLOOKUP(DATA!#REF!,DATA!#REF!,1,FALSE),"")</f>
        <v/>
      </c>
      <c r="D5054" s="16" t="str">
        <f>IFERROR(VLOOKUP(C5054,DATA!#REF!,2,FALSE),"")</f>
        <v/>
      </c>
    </row>
    <row r="5055" spans="3:4" s="237" customFormat="1">
      <c r="C5055" s="16" t="str">
        <f>IFERROR(VLOOKUP(DATA!#REF!,DATA!#REF!,1,FALSE),"")</f>
        <v/>
      </c>
      <c r="D5055" s="16" t="str">
        <f>IFERROR(VLOOKUP(C5055,DATA!#REF!,2,FALSE),"")</f>
        <v/>
      </c>
    </row>
    <row r="5056" spans="3:4" s="237" customFormat="1">
      <c r="C5056" s="16" t="str">
        <f>IFERROR(VLOOKUP(DATA!#REF!,DATA!#REF!,1,FALSE),"")</f>
        <v/>
      </c>
      <c r="D5056" s="16" t="str">
        <f>IFERROR(VLOOKUP(C5056,DATA!#REF!,2,FALSE),"")</f>
        <v/>
      </c>
    </row>
    <row r="5057" spans="3:4" s="237" customFormat="1">
      <c r="C5057" s="16" t="str">
        <f>IFERROR(VLOOKUP(DATA!#REF!,DATA!#REF!,1,FALSE),"")</f>
        <v/>
      </c>
      <c r="D5057" s="16" t="str">
        <f>IFERROR(VLOOKUP(C5057,DATA!#REF!,2,FALSE),"")</f>
        <v/>
      </c>
    </row>
    <row r="5058" spans="3:4" s="237" customFormat="1">
      <c r="C5058" s="16" t="str">
        <f>IFERROR(VLOOKUP(DATA!#REF!,DATA!#REF!,1,FALSE),"")</f>
        <v/>
      </c>
      <c r="D5058" s="16" t="str">
        <f>IFERROR(VLOOKUP(C5058,DATA!#REF!,2,FALSE),"")</f>
        <v/>
      </c>
    </row>
    <row r="5059" spans="3:4" s="237" customFormat="1">
      <c r="C5059" s="16" t="str">
        <f>IFERROR(VLOOKUP(DATA!#REF!,DATA!#REF!,1,FALSE),"")</f>
        <v/>
      </c>
      <c r="D5059" s="16" t="str">
        <f>IFERROR(VLOOKUP(C5059,DATA!#REF!,2,FALSE),"")</f>
        <v/>
      </c>
    </row>
    <row r="5060" spans="3:4" s="237" customFormat="1">
      <c r="C5060" s="16" t="str">
        <f>IFERROR(VLOOKUP(DATA!#REF!,DATA!#REF!,1,FALSE),"")</f>
        <v/>
      </c>
      <c r="D5060" s="16" t="str">
        <f>IFERROR(VLOOKUP(C5060,DATA!#REF!,2,FALSE),"")</f>
        <v/>
      </c>
    </row>
    <row r="5061" spans="3:4" s="237" customFormat="1">
      <c r="C5061" s="16" t="str">
        <f>IFERROR(VLOOKUP(DATA!#REF!,DATA!#REF!,1,FALSE),"")</f>
        <v/>
      </c>
      <c r="D5061" s="16" t="str">
        <f>IFERROR(VLOOKUP(C5061,DATA!#REF!,2,FALSE),"")</f>
        <v/>
      </c>
    </row>
    <row r="5062" spans="3:4" s="237" customFormat="1">
      <c r="C5062" s="16" t="str">
        <f>IFERROR(VLOOKUP(DATA!#REF!,DATA!#REF!,1,FALSE),"")</f>
        <v/>
      </c>
      <c r="D5062" s="16" t="str">
        <f>IFERROR(VLOOKUP(C5062,DATA!#REF!,2,FALSE),"")</f>
        <v/>
      </c>
    </row>
    <row r="5063" spans="3:4" s="237" customFormat="1">
      <c r="C5063" s="16" t="str">
        <f>IFERROR(VLOOKUP(DATA!#REF!,DATA!#REF!,1,FALSE),"")</f>
        <v/>
      </c>
      <c r="D5063" s="16" t="str">
        <f>IFERROR(VLOOKUP(C5063,DATA!#REF!,2,FALSE),"")</f>
        <v/>
      </c>
    </row>
    <row r="5064" spans="3:4" s="237" customFormat="1">
      <c r="C5064" s="16" t="str">
        <f>IFERROR(VLOOKUP(DATA!#REF!,DATA!#REF!,1,FALSE),"")</f>
        <v/>
      </c>
      <c r="D5064" s="16" t="str">
        <f>IFERROR(VLOOKUP(C5064,DATA!#REF!,2,FALSE),"")</f>
        <v/>
      </c>
    </row>
    <row r="5065" spans="3:4" s="237" customFormat="1">
      <c r="C5065" s="16" t="str">
        <f>IFERROR(VLOOKUP(DATA!#REF!,DATA!#REF!,1,FALSE),"")</f>
        <v/>
      </c>
      <c r="D5065" s="16" t="str">
        <f>IFERROR(VLOOKUP(C5065,DATA!#REF!,2,FALSE),"")</f>
        <v/>
      </c>
    </row>
    <row r="5066" spans="3:4" s="237" customFormat="1">
      <c r="C5066" s="16" t="str">
        <f>IFERROR(VLOOKUP(DATA!#REF!,DATA!#REF!,1,FALSE),"")</f>
        <v/>
      </c>
      <c r="D5066" s="16" t="str">
        <f>IFERROR(VLOOKUP(C5066,DATA!#REF!,2,FALSE),"")</f>
        <v/>
      </c>
    </row>
    <row r="5067" spans="3:4" s="237" customFormat="1">
      <c r="C5067" s="16" t="str">
        <f>IFERROR(VLOOKUP(DATA!#REF!,DATA!#REF!,1,FALSE),"")</f>
        <v/>
      </c>
      <c r="D5067" s="16" t="str">
        <f>IFERROR(VLOOKUP(C5067,DATA!#REF!,2,FALSE),"")</f>
        <v/>
      </c>
    </row>
    <row r="5068" spans="3:4" s="237" customFormat="1">
      <c r="C5068" s="16" t="str">
        <f>IFERROR(VLOOKUP(DATA!#REF!,DATA!#REF!,1,FALSE),"")</f>
        <v/>
      </c>
      <c r="D5068" s="16" t="str">
        <f>IFERROR(VLOOKUP(C5068,DATA!#REF!,2,FALSE),"")</f>
        <v/>
      </c>
    </row>
    <row r="5069" spans="3:4" s="237" customFormat="1">
      <c r="C5069" s="16" t="str">
        <f>IFERROR(VLOOKUP(DATA!#REF!,DATA!#REF!,1,FALSE),"")</f>
        <v/>
      </c>
      <c r="D5069" s="16" t="str">
        <f>IFERROR(VLOOKUP(C5069,DATA!#REF!,2,FALSE),"")</f>
        <v/>
      </c>
    </row>
    <row r="5070" spans="3:4" s="237" customFormat="1">
      <c r="C5070" s="16" t="str">
        <f>IFERROR(VLOOKUP(DATA!#REF!,DATA!#REF!,1,FALSE),"")</f>
        <v/>
      </c>
      <c r="D5070" s="16" t="str">
        <f>IFERROR(VLOOKUP(C5070,DATA!#REF!,2,FALSE),"")</f>
        <v/>
      </c>
    </row>
    <row r="5071" spans="3:4" s="237" customFormat="1">
      <c r="C5071" s="16" t="str">
        <f>IFERROR(VLOOKUP(DATA!#REF!,DATA!#REF!,1,FALSE),"")</f>
        <v/>
      </c>
      <c r="D5071" s="16" t="str">
        <f>IFERROR(VLOOKUP(C5071,DATA!#REF!,2,FALSE),"")</f>
        <v/>
      </c>
    </row>
    <row r="5072" spans="3:4" s="237" customFormat="1">
      <c r="C5072" s="16" t="str">
        <f>IFERROR(VLOOKUP(DATA!#REF!,DATA!#REF!,1,FALSE),"")</f>
        <v/>
      </c>
      <c r="D5072" s="16" t="str">
        <f>IFERROR(VLOOKUP(C5072,DATA!#REF!,2,FALSE),"")</f>
        <v/>
      </c>
    </row>
    <row r="5073" spans="3:4" s="237" customFormat="1">
      <c r="C5073" s="16" t="str">
        <f>IFERROR(VLOOKUP(DATA!#REF!,DATA!#REF!,1,FALSE),"")</f>
        <v/>
      </c>
      <c r="D5073" s="16" t="str">
        <f>IFERROR(VLOOKUP(C5073,DATA!#REF!,2,FALSE),"")</f>
        <v/>
      </c>
    </row>
    <row r="5074" spans="3:4" s="237" customFormat="1">
      <c r="C5074" s="16" t="str">
        <f>IFERROR(VLOOKUP(DATA!#REF!,DATA!#REF!,1,FALSE),"")</f>
        <v/>
      </c>
      <c r="D5074" s="16" t="str">
        <f>IFERROR(VLOOKUP(C5074,DATA!#REF!,2,FALSE),"")</f>
        <v/>
      </c>
    </row>
    <row r="5075" spans="3:4" s="237" customFormat="1">
      <c r="C5075" s="16" t="str">
        <f>IFERROR(VLOOKUP(DATA!#REF!,DATA!#REF!,1,FALSE),"")</f>
        <v/>
      </c>
      <c r="D5075" s="16" t="str">
        <f>IFERROR(VLOOKUP(C5075,DATA!#REF!,2,FALSE),"")</f>
        <v/>
      </c>
    </row>
    <row r="5076" spans="3:4" s="237" customFormat="1">
      <c r="C5076" s="16" t="str">
        <f>IFERROR(VLOOKUP(DATA!#REF!,DATA!#REF!,1,FALSE),"")</f>
        <v/>
      </c>
      <c r="D5076" s="16" t="str">
        <f>IFERROR(VLOOKUP(C5076,DATA!#REF!,2,FALSE),"")</f>
        <v/>
      </c>
    </row>
    <row r="5077" spans="3:4" s="237" customFormat="1">
      <c r="C5077" s="16" t="str">
        <f>IFERROR(VLOOKUP(DATA!#REF!,DATA!#REF!,1,FALSE),"")</f>
        <v/>
      </c>
      <c r="D5077" s="16" t="str">
        <f>IFERROR(VLOOKUP(C5077,DATA!#REF!,2,FALSE),"")</f>
        <v/>
      </c>
    </row>
    <row r="5078" spans="3:4" s="237" customFormat="1">
      <c r="C5078" s="16" t="str">
        <f>IFERROR(VLOOKUP(DATA!#REF!,DATA!#REF!,1,FALSE),"")</f>
        <v/>
      </c>
      <c r="D5078" s="16" t="str">
        <f>IFERROR(VLOOKUP(C5078,DATA!#REF!,2,FALSE),"")</f>
        <v/>
      </c>
    </row>
    <row r="5079" spans="3:4" s="237" customFormat="1">
      <c r="C5079" s="16" t="str">
        <f>IFERROR(VLOOKUP(DATA!#REF!,DATA!#REF!,1,FALSE),"")</f>
        <v/>
      </c>
      <c r="D5079" s="16" t="str">
        <f>IFERROR(VLOOKUP(C5079,DATA!#REF!,2,FALSE),"")</f>
        <v/>
      </c>
    </row>
    <row r="5080" spans="3:4" s="237" customFormat="1">
      <c r="C5080" s="16" t="str">
        <f>IFERROR(VLOOKUP(DATA!#REF!,DATA!#REF!,1,FALSE),"")</f>
        <v/>
      </c>
      <c r="D5080" s="16" t="str">
        <f>IFERROR(VLOOKUP(C5080,DATA!#REF!,2,FALSE),"")</f>
        <v/>
      </c>
    </row>
    <row r="5081" spans="3:4" s="237" customFormat="1">
      <c r="C5081" s="16" t="str">
        <f>IFERROR(VLOOKUP(DATA!#REF!,DATA!#REF!,1,FALSE),"")</f>
        <v/>
      </c>
      <c r="D5081" s="16" t="str">
        <f>IFERROR(VLOOKUP(C5081,DATA!#REF!,2,FALSE),"")</f>
        <v/>
      </c>
    </row>
    <row r="5082" spans="3:4" s="237" customFormat="1">
      <c r="C5082" s="16" t="str">
        <f>IFERROR(VLOOKUP(DATA!#REF!,DATA!#REF!,1,FALSE),"")</f>
        <v/>
      </c>
      <c r="D5082" s="16" t="str">
        <f>IFERROR(VLOOKUP(C5082,DATA!#REF!,2,FALSE),"")</f>
        <v/>
      </c>
    </row>
    <row r="5083" spans="3:4" s="237" customFormat="1">
      <c r="C5083" s="16" t="str">
        <f>IFERROR(VLOOKUP(DATA!#REF!,DATA!#REF!,1,FALSE),"")</f>
        <v/>
      </c>
      <c r="D5083" s="16" t="str">
        <f>IFERROR(VLOOKUP(C5083,DATA!#REF!,2,FALSE),"")</f>
        <v/>
      </c>
    </row>
    <row r="5084" spans="3:4" s="237" customFormat="1">
      <c r="C5084" s="16" t="str">
        <f>IFERROR(VLOOKUP(DATA!#REF!,DATA!#REF!,1,FALSE),"")</f>
        <v/>
      </c>
      <c r="D5084" s="16" t="str">
        <f>IFERROR(VLOOKUP(C5084,DATA!#REF!,2,FALSE),"")</f>
        <v/>
      </c>
    </row>
    <row r="5085" spans="3:4" s="237" customFormat="1">
      <c r="C5085" s="16" t="str">
        <f>IFERROR(VLOOKUP(DATA!#REF!,DATA!#REF!,1,FALSE),"")</f>
        <v/>
      </c>
      <c r="D5085" s="16" t="str">
        <f>IFERROR(VLOOKUP(C5085,DATA!#REF!,2,FALSE),"")</f>
        <v/>
      </c>
    </row>
    <row r="5086" spans="3:4" s="237" customFormat="1">
      <c r="C5086" s="16" t="str">
        <f>IFERROR(VLOOKUP(DATA!#REF!,DATA!#REF!,1,FALSE),"")</f>
        <v/>
      </c>
      <c r="D5086" s="16" t="str">
        <f>IFERROR(VLOOKUP(C5086,DATA!#REF!,2,FALSE),"")</f>
        <v/>
      </c>
    </row>
    <row r="5087" spans="3:4" s="237" customFormat="1">
      <c r="C5087" s="16" t="str">
        <f>IFERROR(VLOOKUP(DATA!#REF!,DATA!#REF!,1,FALSE),"")</f>
        <v/>
      </c>
      <c r="D5087" s="16" t="str">
        <f>IFERROR(VLOOKUP(C5087,DATA!#REF!,2,FALSE),"")</f>
        <v/>
      </c>
    </row>
    <row r="5088" spans="3:4" s="237" customFormat="1">
      <c r="C5088" s="16" t="str">
        <f>IFERROR(VLOOKUP(DATA!#REF!,DATA!#REF!,1,FALSE),"")</f>
        <v/>
      </c>
      <c r="D5088" s="16" t="str">
        <f>IFERROR(VLOOKUP(C5088,DATA!#REF!,2,FALSE),"")</f>
        <v/>
      </c>
    </row>
    <row r="5089" spans="3:4" s="237" customFormat="1">
      <c r="C5089" s="16" t="str">
        <f>IFERROR(VLOOKUP(DATA!#REF!,DATA!#REF!,1,FALSE),"")</f>
        <v/>
      </c>
      <c r="D5089" s="16" t="str">
        <f>IFERROR(VLOOKUP(C5089,DATA!#REF!,2,FALSE),"")</f>
        <v/>
      </c>
    </row>
    <row r="5090" spans="3:4" s="237" customFormat="1">
      <c r="C5090" s="16" t="str">
        <f>IFERROR(VLOOKUP(DATA!#REF!,DATA!#REF!,1,FALSE),"")</f>
        <v/>
      </c>
      <c r="D5090" s="16" t="str">
        <f>IFERROR(VLOOKUP(C5090,DATA!#REF!,2,FALSE),"")</f>
        <v/>
      </c>
    </row>
    <row r="5091" spans="3:4" s="237" customFormat="1">
      <c r="C5091" s="16" t="str">
        <f>IFERROR(VLOOKUP(DATA!#REF!,DATA!#REF!,1,FALSE),"")</f>
        <v/>
      </c>
      <c r="D5091" s="16" t="str">
        <f>IFERROR(VLOOKUP(C5091,DATA!#REF!,2,FALSE),"")</f>
        <v/>
      </c>
    </row>
    <row r="5092" spans="3:4" s="237" customFormat="1">
      <c r="C5092" s="16" t="str">
        <f>IFERROR(VLOOKUP(DATA!#REF!,DATA!#REF!,1,FALSE),"")</f>
        <v/>
      </c>
      <c r="D5092" s="16" t="str">
        <f>IFERROR(VLOOKUP(C5092,DATA!#REF!,2,FALSE),"")</f>
        <v/>
      </c>
    </row>
    <row r="5093" spans="3:4" s="237" customFormat="1">
      <c r="C5093" s="16" t="str">
        <f>IFERROR(VLOOKUP(DATA!#REF!,DATA!#REF!,1,FALSE),"")</f>
        <v/>
      </c>
      <c r="D5093" s="16" t="str">
        <f>IFERROR(VLOOKUP(C5093,DATA!#REF!,2,FALSE),"")</f>
        <v/>
      </c>
    </row>
    <row r="5094" spans="3:4" s="237" customFormat="1">
      <c r="C5094" s="16" t="str">
        <f>IFERROR(VLOOKUP(DATA!#REF!,DATA!#REF!,1,FALSE),"")</f>
        <v/>
      </c>
      <c r="D5094" s="16" t="str">
        <f>IFERROR(VLOOKUP(C5094,DATA!#REF!,2,FALSE),"")</f>
        <v/>
      </c>
    </row>
    <row r="5095" spans="3:4" s="237" customFormat="1">
      <c r="C5095" s="16" t="str">
        <f>IFERROR(VLOOKUP(DATA!#REF!,DATA!#REF!,1,FALSE),"")</f>
        <v/>
      </c>
      <c r="D5095" s="16" t="str">
        <f>IFERROR(VLOOKUP(C5095,DATA!#REF!,2,FALSE),"")</f>
        <v/>
      </c>
    </row>
    <row r="5096" spans="3:4" s="237" customFormat="1">
      <c r="C5096" s="16" t="str">
        <f>IFERROR(VLOOKUP(DATA!#REF!,DATA!#REF!,1,FALSE),"")</f>
        <v/>
      </c>
      <c r="D5096" s="16" t="str">
        <f>IFERROR(VLOOKUP(C5096,DATA!#REF!,2,FALSE),"")</f>
        <v/>
      </c>
    </row>
    <row r="5097" spans="3:4" s="237" customFormat="1">
      <c r="C5097" s="16" t="str">
        <f>IFERROR(VLOOKUP(DATA!#REF!,DATA!#REF!,1,FALSE),"")</f>
        <v/>
      </c>
      <c r="D5097" s="16" t="str">
        <f>IFERROR(VLOOKUP(C5097,DATA!#REF!,2,FALSE),"")</f>
        <v/>
      </c>
    </row>
    <row r="5098" spans="3:4" s="237" customFormat="1">
      <c r="C5098" s="16" t="str">
        <f>IFERROR(VLOOKUP(DATA!#REF!,DATA!#REF!,1,FALSE),"")</f>
        <v/>
      </c>
      <c r="D5098" s="16" t="str">
        <f>IFERROR(VLOOKUP(C5098,DATA!#REF!,2,FALSE),"")</f>
        <v/>
      </c>
    </row>
    <row r="5099" spans="3:4" s="237" customFormat="1">
      <c r="C5099" s="16" t="str">
        <f>IFERROR(VLOOKUP(DATA!#REF!,DATA!#REF!,1,FALSE),"")</f>
        <v/>
      </c>
      <c r="D5099" s="16" t="str">
        <f>IFERROR(VLOOKUP(C5099,DATA!#REF!,2,FALSE),"")</f>
        <v/>
      </c>
    </row>
    <row r="5100" spans="3:4" s="237" customFormat="1">
      <c r="C5100" s="16" t="str">
        <f>IFERROR(VLOOKUP(DATA!#REF!,DATA!#REF!,1,FALSE),"")</f>
        <v/>
      </c>
      <c r="D5100" s="16" t="str">
        <f>IFERROR(VLOOKUP(C5100,DATA!#REF!,2,FALSE),"")</f>
        <v/>
      </c>
    </row>
    <row r="5101" spans="3:4" s="237" customFormat="1">
      <c r="C5101" s="16" t="str">
        <f>IFERROR(VLOOKUP(DATA!#REF!,DATA!#REF!,1,FALSE),"")</f>
        <v/>
      </c>
      <c r="D5101" s="16" t="str">
        <f>IFERROR(VLOOKUP(C5101,DATA!#REF!,2,FALSE),"")</f>
        <v/>
      </c>
    </row>
    <row r="5102" spans="3:4" s="237" customFormat="1">
      <c r="C5102" s="16" t="str">
        <f>IFERROR(VLOOKUP(DATA!#REF!,DATA!#REF!,1,FALSE),"")</f>
        <v/>
      </c>
      <c r="D5102" s="16" t="str">
        <f>IFERROR(VLOOKUP(C5102,DATA!#REF!,2,FALSE),"")</f>
        <v/>
      </c>
    </row>
    <row r="5103" spans="3:4" s="237" customFormat="1">
      <c r="C5103" s="16" t="str">
        <f>IFERROR(VLOOKUP(DATA!#REF!,DATA!#REF!,1,FALSE),"")</f>
        <v/>
      </c>
      <c r="D5103" s="16" t="str">
        <f>IFERROR(VLOOKUP(C5103,DATA!#REF!,2,FALSE),"")</f>
        <v/>
      </c>
    </row>
    <row r="5104" spans="3:4" s="237" customFormat="1">
      <c r="C5104" s="16" t="str">
        <f>IFERROR(VLOOKUP(DATA!#REF!,DATA!#REF!,1,FALSE),"")</f>
        <v/>
      </c>
      <c r="D5104" s="16" t="str">
        <f>IFERROR(VLOOKUP(C5104,DATA!#REF!,2,FALSE),"")</f>
        <v/>
      </c>
    </row>
    <row r="5105" spans="3:4" s="237" customFormat="1">
      <c r="C5105" s="16" t="str">
        <f>IFERROR(VLOOKUP(DATA!#REF!,DATA!#REF!,1,FALSE),"")</f>
        <v/>
      </c>
      <c r="D5105" s="16" t="str">
        <f>IFERROR(VLOOKUP(C5105,DATA!#REF!,2,FALSE),"")</f>
        <v/>
      </c>
    </row>
    <row r="5106" spans="3:4" s="237" customFormat="1">
      <c r="C5106" s="16" t="str">
        <f>IFERROR(VLOOKUP(DATA!#REF!,DATA!#REF!,1,FALSE),"")</f>
        <v/>
      </c>
      <c r="D5106" s="16" t="str">
        <f>IFERROR(VLOOKUP(C5106,DATA!#REF!,2,FALSE),"")</f>
        <v/>
      </c>
    </row>
    <row r="5107" spans="3:4" s="237" customFormat="1">
      <c r="C5107" s="16" t="str">
        <f>IFERROR(VLOOKUP(DATA!#REF!,DATA!#REF!,1,FALSE),"")</f>
        <v/>
      </c>
      <c r="D5107" s="16" t="str">
        <f>IFERROR(VLOOKUP(C5107,DATA!#REF!,2,FALSE),"")</f>
        <v/>
      </c>
    </row>
    <row r="5108" spans="3:4" s="237" customFormat="1">
      <c r="C5108" s="16" t="str">
        <f>IFERROR(VLOOKUP(DATA!#REF!,DATA!#REF!,1,FALSE),"")</f>
        <v/>
      </c>
      <c r="D5108" s="16" t="str">
        <f>IFERROR(VLOOKUP(C5108,DATA!#REF!,2,FALSE),"")</f>
        <v/>
      </c>
    </row>
    <row r="5109" spans="3:4" s="237" customFormat="1">
      <c r="C5109" s="16" t="str">
        <f>IFERROR(VLOOKUP(DATA!#REF!,DATA!#REF!,1,FALSE),"")</f>
        <v/>
      </c>
      <c r="D5109" s="16" t="str">
        <f>IFERROR(VLOOKUP(C5109,DATA!#REF!,2,FALSE),"")</f>
        <v/>
      </c>
    </row>
    <row r="5110" spans="3:4" s="237" customFormat="1">
      <c r="C5110" s="16" t="str">
        <f>IFERROR(VLOOKUP(DATA!#REF!,DATA!#REF!,1,FALSE),"")</f>
        <v/>
      </c>
      <c r="D5110" s="16" t="str">
        <f>IFERROR(VLOOKUP(C5110,DATA!#REF!,2,FALSE),"")</f>
        <v/>
      </c>
    </row>
    <row r="5111" spans="3:4" s="237" customFormat="1">
      <c r="C5111" s="16" t="str">
        <f>IFERROR(VLOOKUP(DATA!#REF!,DATA!#REF!,1,FALSE),"")</f>
        <v/>
      </c>
      <c r="D5111" s="16" t="str">
        <f>IFERROR(VLOOKUP(C5111,DATA!#REF!,2,FALSE),"")</f>
        <v/>
      </c>
    </row>
    <row r="5112" spans="3:4" s="237" customFormat="1">
      <c r="C5112" s="16" t="str">
        <f>IFERROR(VLOOKUP(DATA!#REF!,DATA!#REF!,1,FALSE),"")</f>
        <v/>
      </c>
      <c r="D5112" s="16" t="str">
        <f>IFERROR(VLOOKUP(C5112,DATA!#REF!,2,FALSE),"")</f>
        <v/>
      </c>
    </row>
    <row r="5113" spans="3:4" s="237" customFormat="1">
      <c r="C5113" s="16" t="str">
        <f>IFERROR(VLOOKUP(DATA!#REF!,DATA!#REF!,1,FALSE),"")</f>
        <v/>
      </c>
      <c r="D5113" s="16" t="str">
        <f>IFERROR(VLOOKUP(C5113,DATA!#REF!,2,FALSE),"")</f>
        <v/>
      </c>
    </row>
    <row r="5114" spans="3:4" s="237" customFormat="1">
      <c r="C5114" s="16" t="str">
        <f>IFERROR(VLOOKUP(DATA!#REF!,DATA!#REF!,1,FALSE),"")</f>
        <v/>
      </c>
      <c r="D5114" s="16" t="str">
        <f>IFERROR(VLOOKUP(C5114,DATA!#REF!,2,FALSE),"")</f>
        <v/>
      </c>
    </row>
    <row r="5115" spans="3:4" s="237" customFormat="1">
      <c r="C5115" s="16" t="str">
        <f>IFERROR(VLOOKUP(DATA!#REF!,DATA!#REF!,1,FALSE),"")</f>
        <v/>
      </c>
      <c r="D5115" s="16" t="str">
        <f>IFERROR(VLOOKUP(C5115,DATA!#REF!,2,FALSE),"")</f>
        <v/>
      </c>
    </row>
    <row r="5116" spans="3:4" s="237" customFormat="1">
      <c r="C5116" s="16" t="str">
        <f>IFERROR(VLOOKUP(DATA!#REF!,DATA!#REF!,1,FALSE),"")</f>
        <v/>
      </c>
      <c r="D5116" s="16" t="str">
        <f>IFERROR(VLOOKUP(C5116,DATA!#REF!,2,FALSE),"")</f>
        <v/>
      </c>
    </row>
    <row r="5117" spans="3:4" s="237" customFormat="1">
      <c r="C5117" s="16" t="str">
        <f>IFERROR(VLOOKUP(DATA!#REF!,DATA!#REF!,1,FALSE),"")</f>
        <v/>
      </c>
      <c r="D5117" s="16" t="str">
        <f>IFERROR(VLOOKUP(C5117,DATA!#REF!,2,FALSE),"")</f>
        <v/>
      </c>
    </row>
    <row r="5118" spans="3:4" s="237" customFormat="1">
      <c r="C5118" s="16" t="str">
        <f>IFERROR(VLOOKUP(DATA!#REF!,DATA!#REF!,1,FALSE),"")</f>
        <v/>
      </c>
      <c r="D5118" s="16" t="str">
        <f>IFERROR(VLOOKUP(C5118,DATA!#REF!,2,FALSE),"")</f>
        <v/>
      </c>
    </row>
    <row r="5119" spans="3:4" s="237" customFormat="1">
      <c r="C5119" s="16" t="str">
        <f>IFERROR(VLOOKUP(DATA!#REF!,DATA!#REF!,1,FALSE),"")</f>
        <v/>
      </c>
      <c r="D5119" s="16" t="str">
        <f>IFERROR(VLOOKUP(C5119,DATA!#REF!,2,FALSE),"")</f>
        <v/>
      </c>
    </row>
    <row r="5120" spans="3:4" s="237" customFormat="1">
      <c r="C5120" s="16" t="str">
        <f>IFERROR(VLOOKUP(DATA!#REF!,DATA!#REF!,1,FALSE),"")</f>
        <v/>
      </c>
      <c r="D5120" s="16" t="str">
        <f>IFERROR(VLOOKUP(C5120,DATA!#REF!,2,FALSE),"")</f>
        <v/>
      </c>
    </row>
    <row r="5121" spans="3:4" s="237" customFormat="1">
      <c r="C5121" s="16" t="str">
        <f>IFERROR(VLOOKUP(DATA!#REF!,DATA!#REF!,1,FALSE),"")</f>
        <v/>
      </c>
      <c r="D5121" s="16" t="str">
        <f>IFERROR(VLOOKUP(C5121,DATA!#REF!,2,FALSE),"")</f>
        <v/>
      </c>
    </row>
    <row r="5122" spans="3:4" s="237" customFormat="1">
      <c r="C5122" s="16" t="str">
        <f>IFERROR(VLOOKUP(DATA!#REF!,DATA!#REF!,1,FALSE),"")</f>
        <v/>
      </c>
      <c r="D5122" s="16" t="str">
        <f>IFERROR(VLOOKUP(C5122,DATA!#REF!,2,FALSE),"")</f>
        <v/>
      </c>
    </row>
    <row r="5123" spans="3:4" s="237" customFormat="1">
      <c r="C5123" s="16" t="str">
        <f>IFERROR(VLOOKUP(DATA!#REF!,DATA!#REF!,1,FALSE),"")</f>
        <v/>
      </c>
      <c r="D5123" s="16" t="str">
        <f>IFERROR(VLOOKUP(C5123,DATA!#REF!,2,FALSE),"")</f>
        <v/>
      </c>
    </row>
    <row r="5124" spans="3:4" s="237" customFormat="1">
      <c r="C5124" s="16" t="str">
        <f>IFERROR(VLOOKUP(DATA!#REF!,DATA!#REF!,1,FALSE),"")</f>
        <v/>
      </c>
      <c r="D5124" s="16" t="str">
        <f>IFERROR(VLOOKUP(C5124,DATA!#REF!,2,FALSE),"")</f>
        <v/>
      </c>
    </row>
    <row r="5125" spans="3:4" s="237" customFormat="1">
      <c r="C5125" s="16" t="str">
        <f>IFERROR(VLOOKUP(DATA!#REF!,DATA!#REF!,1,FALSE),"")</f>
        <v/>
      </c>
      <c r="D5125" s="16" t="str">
        <f>IFERROR(VLOOKUP(C5125,DATA!#REF!,2,FALSE),"")</f>
        <v/>
      </c>
    </row>
    <row r="5126" spans="3:4" s="237" customFormat="1">
      <c r="C5126" s="16" t="str">
        <f>IFERROR(VLOOKUP(DATA!#REF!,DATA!#REF!,1,FALSE),"")</f>
        <v/>
      </c>
      <c r="D5126" s="16" t="str">
        <f>IFERROR(VLOOKUP(C5126,DATA!#REF!,2,FALSE),"")</f>
        <v/>
      </c>
    </row>
    <row r="5127" spans="3:4" s="237" customFormat="1">
      <c r="C5127" s="16" t="str">
        <f>IFERROR(VLOOKUP(DATA!#REF!,DATA!#REF!,1,FALSE),"")</f>
        <v/>
      </c>
      <c r="D5127" s="16" t="str">
        <f>IFERROR(VLOOKUP(C5127,DATA!#REF!,2,FALSE),"")</f>
        <v/>
      </c>
    </row>
    <row r="5128" spans="3:4" s="237" customFormat="1">
      <c r="C5128" s="16" t="str">
        <f>IFERROR(VLOOKUP(DATA!#REF!,DATA!#REF!,1,FALSE),"")</f>
        <v/>
      </c>
      <c r="D5128" s="16" t="str">
        <f>IFERROR(VLOOKUP(C5128,DATA!#REF!,2,FALSE),"")</f>
        <v/>
      </c>
    </row>
    <row r="5129" spans="3:4" s="237" customFormat="1">
      <c r="C5129" s="16" t="str">
        <f>IFERROR(VLOOKUP(DATA!#REF!,DATA!#REF!,1,FALSE),"")</f>
        <v/>
      </c>
      <c r="D5129" s="16" t="str">
        <f>IFERROR(VLOOKUP(C5129,DATA!#REF!,2,FALSE),"")</f>
        <v/>
      </c>
    </row>
    <row r="5130" spans="3:4" s="237" customFormat="1">
      <c r="C5130" s="16" t="str">
        <f>IFERROR(VLOOKUP(DATA!#REF!,DATA!#REF!,1,FALSE),"")</f>
        <v/>
      </c>
      <c r="D5130" s="16" t="str">
        <f>IFERROR(VLOOKUP(C5130,DATA!#REF!,2,FALSE),"")</f>
        <v/>
      </c>
    </row>
    <row r="5131" spans="3:4" s="237" customFormat="1">
      <c r="C5131" s="16" t="str">
        <f>IFERROR(VLOOKUP(DATA!#REF!,DATA!#REF!,1,FALSE),"")</f>
        <v/>
      </c>
      <c r="D5131" s="16" t="str">
        <f>IFERROR(VLOOKUP(C5131,DATA!#REF!,2,FALSE),"")</f>
        <v/>
      </c>
    </row>
    <row r="5132" spans="3:4" s="237" customFormat="1">
      <c r="C5132" s="16" t="str">
        <f>IFERROR(VLOOKUP(DATA!#REF!,DATA!#REF!,1,FALSE),"")</f>
        <v/>
      </c>
      <c r="D5132" s="16" t="str">
        <f>IFERROR(VLOOKUP(C5132,DATA!#REF!,2,FALSE),"")</f>
        <v/>
      </c>
    </row>
    <row r="5133" spans="3:4" s="237" customFormat="1">
      <c r="C5133" s="16" t="str">
        <f>IFERROR(VLOOKUP(DATA!#REF!,DATA!#REF!,1,FALSE),"")</f>
        <v/>
      </c>
      <c r="D5133" s="16" t="str">
        <f>IFERROR(VLOOKUP(C5133,DATA!#REF!,2,FALSE),"")</f>
        <v/>
      </c>
    </row>
    <row r="5134" spans="3:4" s="237" customFormat="1">
      <c r="C5134" s="16" t="str">
        <f>IFERROR(VLOOKUP(DATA!#REF!,DATA!#REF!,1,FALSE),"")</f>
        <v/>
      </c>
      <c r="D5134" s="16" t="str">
        <f>IFERROR(VLOOKUP(C5134,DATA!#REF!,2,FALSE),"")</f>
        <v/>
      </c>
    </row>
    <row r="5135" spans="3:4" s="237" customFormat="1">
      <c r="C5135" s="16" t="str">
        <f>IFERROR(VLOOKUP(DATA!#REF!,DATA!#REF!,1,FALSE),"")</f>
        <v/>
      </c>
      <c r="D5135" s="16" t="str">
        <f>IFERROR(VLOOKUP(C5135,DATA!#REF!,2,FALSE),"")</f>
        <v/>
      </c>
    </row>
    <row r="5136" spans="3:4" s="237" customFormat="1">
      <c r="C5136" s="16" t="str">
        <f>IFERROR(VLOOKUP(DATA!#REF!,DATA!#REF!,1,FALSE),"")</f>
        <v/>
      </c>
      <c r="D5136" s="16" t="str">
        <f>IFERROR(VLOOKUP(C5136,DATA!#REF!,2,FALSE),"")</f>
        <v/>
      </c>
    </row>
    <row r="5137" spans="3:4" s="237" customFormat="1">
      <c r="C5137" s="16" t="str">
        <f>IFERROR(VLOOKUP(DATA!#REF!,DATA!#REF!,1,FALSE),"")</f>
        <v/>
      </c>
      <c r="D5137" s="16" t="str">
        <f>IFERROR(VLOOKUP(C5137,DATA!#REF!,2,FALSE),"")</f>
        <v/>
      </c>
    </row>
    <row r="5138" spans="3:4" s="237" customFormat="1">
      <c r="C5138" s="16" t="str">
        <f>IFERROR(VLOOKUP(DATA!#REF!,DATA!#REF!,1,FALSE),"")</f>
        <v/>
      </c>
      <c r="D5138" s="16" t="str">
        <f>IFERROR(VLOOKUP(C5138,DATA!#REF!,2,FALSE),"")</f>
        <v/>
      </c>
    </row>
    <row r="5139" spans="3:4" s="237" customFormat="1">
      <c r="C5139" s="16" t="str">
        <f>IFERROR(VLOOKUP(DATA!#REF!,DATA!#REF!,1,FALSE),"")</f>
        <v/>
      </c>
      <c r="D5139" s="16" t="str">
        <f>IFERROR(VLOOKUP(C5139,DATA!#REF!,2,FALSE),"")</f>
        <v/>
      </c>
    </row>
    <row r="5140" spans="3:4" s="237" customFormat="1">
      <c r="C5140" s="16" t="str">
        <f>IFERROR(VLOOKUP(DATA!#REF!,DATA!#REF!,1,FALSE),"")</f>
        <v/>
      </c>
      <c r="D5140" s="16" t="str">
        <f>IFERROR(VLOOKUP(C5140,DATA!#REF!,2,FALSE),"")</f>
        <v/>
      </c>
    </row>
    <row r="5141" spans="3:4" s="237" customFormat="1">
      <c r="C5141" s="16" t="str">
        <f>IFERROR(VLOOKUP(DATA!#REF!,DATA!#REF!,1,FALSE),"")</f>
        <v/>
      </c>
      <c r="D5141" s="16" t="str">
        <f>IFERROR(VLOOKUP(C5141,DATA!#REF!,2,FALSE),"")</f>
        <v/>
      </c>
    </row>
    <row r="5142" spans="3:4" s="237" customFormat="1">
      <c r="C5142" s="16" t="str">
        <f>IFERROR(VLOOKUP(DATA!#REF!,DATA!#REF!,1,FALSE),"")</f>
        <v/>
      </c>
      <c r="D5142" s="16" t="str">
        <f>IFERROR(VLOOKUP(C5142,DATA!#REF!,2,FALSE),"")</f>
        <v/>
      </c>
    </row>
    <row r="5143" spans="3:4" s="237" customFormat="1">
      <c r="C5143" s="16" t="str">
        <f>IFERROR(VLOOKUP(DATA!#REF!,DATA!#REF!,1,FALSE),"")</f>
        <v/>
      </c>
      <c r="D5143" s="16" t="str">
        <f>IFERROR(VLOOKUP(C5143,DATA!#REF!,2,FALSE),"")</f>
        <v/>
      </c>
    </row>
    <row r="5144" spans="3:4" s="237" customFormat="1">
      <c r="C5144" s="16" t="str">
        <f>IFERROR(VLOOKUP(DATA!#REF!,DATA!#REF!,1,FALSE),"")</f>
        <v/>
      </c>
      <c r="D5144" s="16" t="str">
        <f>IFERROR(VLOOKUP(C5144,DATA!#REF!,2,FALSE),"")</f>
        <v/>
      </c>
    </row>
    <row r="5145" spans="3:4" s="237" customFormat="1">
      <c r="C5145" s="16" t="str">
        <f>IFERROR(VLOOKUP(DATA!#REF!,DATA!#REF!,1,FALSE),"")</f>
        <v/>
      </c>
      <c r="D5145" s="16" t="str">
        <f>IFERROR(VLOOKUP(C5145,DATA!#REF!,2,FALSE),"")</f>
        <v/>
      </c>
    </row>
    <row r="5146" spans="3:4" s="237" customFormat="1">
      <c r="C5146" s="16" t="str">
        <f>IFERROR(VLOOKUP(DATA!#REF!,DATA!#REF!,1,FALSE),"")</f>
        <v/>
      </c>
      <c r="D5146" s="16" t="str">
        <f>IFERROR(VLOOKUP(C5146,DATA!#REF!,2,FALSE),"")</f>
        <v/>
      </c>
    </row>
    <row r="5147" spans="3:4" s="237" customFormat="1">
      <c r="C5147" s="16" t="str">
        <f>IFERROR(VLOOKUP(DATA!#REF!,DATA!#REF!,1,FALSE),"")</f>
        <v/>
      </c>
      <c r="D5147" s="16" t="str">
        <f>IFERROR(VLOOKUP(C5147,DATA!#REF!,2,FALSE),"")</f>
        <v/>
      </c>
    </row>
    <row r="5148" spans="3:4" s="237" customFormat="1">
      <c r="C5148" s="16" t="str">
        <f>IFERROR(VLOOKUP(DATA!#REF!,DATA!#REF!,1,FALSE),"")</f>
        <v/>
      </c>
      <c r="D5148" s="16" t="str">
        <f>IFERROR(VLOOKUP(C5148,DATA!#REF!,2,FALSE),"")</f>
        <v/>
      </c>
    </row>
    <row r="5149" spans="3:4" s="237" customFormat="1">
      <c r="C5149" s="16" t="str">
        <f>IFERROR(VLOOKUP(DATA!#REF!,DATA!#REF!,1,FALSE),"")</f>
        <v/>
      </c>
      <c r="D5149" s="16" t="str">
        <f>IFERROR(VLOOKUP(C5149,DATA!#REF!,2,FALSE),"")</f>
        <v/>
      </c>
    </row>
    <row r="5150" spans="3:4" s="237" customFormat="1">
      <c r="C5150" s="16" t="str">
        <f>IFERROR(VLOOKUP(DATA!#REF!,DATA!#REF!,1,FALSE),"")</f>
        <v/>
      </c>
      <c r="D5150" s="16" t="str">
        <f>IFERROR(VLOOKUP(C5150,DATA!#REF!,2,FALSE),"")</f>
        <v/>
      </c>
    </row>
    <row r="5151" spans="3:4" s="237" customFormat="1">
      <c r="C5151" s="16" t="str">
        <f>IFERROR(VLOOKUP(DATA!#REF!,DATA!#REF!,1,FALSE),"")</f>
        <v/>
      </c>
      <c r="D5151" s="16" t="str">
        <f>IFERROR(VLOOKUP(C5151,DATA!#REF!,2,FALSE),"")</f>
        <v/>
      </c>
    </row>
    <row r="5152" spans="3:4" s="237" customFormat="1">
      <c r="C5152" s="16" t="str">
        <f>IFERROR(VLOOKUP(DATA!#REF!,DATA!#REF!,1,FALSE),"")</f>
        <v/>
      </c>
      <c r="D5152" s="16" t="str">
        <f>IFERROR(VLOOKUP(C5152,DATA!#REF!,2,FALSE),"")</f>
        <v/>
      </c>
    </row>
    <row r="5153" spans="3:4" s="237" customFormat="1">
      <c r="C5153" s="16" t="str">
        <f>IFERROR(VLOOKUP(DATA!#REF!,DATA!#REF!,1,FALSE),"")</f>
        <v/>
      </c>
      <c r="D5153" s="16" t="str">
        <f>IFERROR(VLOOKUP(C5153,DATA!#REF!,2,FALSE),"")</f>
        <v/>
      </c>
    </row>
    <row r="5154" spans="3:4" s="237" customFormat="1">
      <c r="C5154" s="16" t="str">
        <f>IFERROR(VLOOKUP(DATA!#REF!,DATA!#REF!,1,FALSE),"")</f>
        <v/>
      </c>
      <c r="D5154" s="16" t="str">
        <f>IFERROR(VLOOKUP(C5154,DATA!#REF!,2,FALSE),"")</f>
        <v/>
      </c>
    </row>
    <row r="5155" spans="3:4" s="237" customFormat="1">
      <c r="C5155" s="16" t="str">
        <f>IFERROR(VLOOKUP(DATA!#REF!,DATA!#REF!,1,FALSE),"")</f>
        <v/>
      </c>
      <c r="D5155" s="16" t="str">
        <f>IFERROR(VLOOKUP(C5155,DATA!#REF!,2,FALSE),"")</f>
        <v/>
      </c>
    </row>
    <row r="5156" spans="3:4" s="237" customFormat="1">
      <c r="C5156" s="16" t="str">
        <f>IFERROR(VLOOKUP(DATA!#REF!,DATA!#REF!,1,FALSE),"")</f>
        <v/>
      </c>
      <c r="D5156" s="16" t="str">
        <f>IFERROR(VLOOKUP(C5156,DATA!#REF!,2,FALSE),"")</f>
        <v/>
      </c>
    </row>
    <row r="5157" spans="3:4" s="237" customFormat="1">
      <c r="C5157" s="16" t="str">
        <f>IFERROR(VLOOKUP(DATA!#REF!,DATA!#REF!,1,FALSE),"")</f>
        <v/>
      </c>
      <c r="D5157" s="16" t="str">
        <f>IFERROR(VLOOKUP(C5157,DATA!#REF!,2,FALSE),"")</f>
        <v/>
      </c>
    </row>
    <row r="5158" spans="3:4" s="237" customFormat="1">
      <c r="C5158" s="16" t="str">
        <f>IFERROR(VLOOKUP(DATA!#REF!,DATA!#REF!,1,FALSE),"")</f>
        <v/>
      </c>
      <c r="D5158" s="16" t="str">
        <f>IFERROR(VLOOKUP(C5158,DATA!#REF!,2,FALSE),"")</f>
        <v/>
      </c>
    </row>
    <row r="5159" spans="3:4" s="237" customFormat="1">
      <c r="C5159" s="16" t="str">
        <f>IFERROR(VLOOKUP(DATA!#REF!,DATA!#REF!,1,FALSE),"")</f>
        <v/>
      </c>
      <c r="D5159" s="16" t="str">
        <f>IFERROR(VLOOKUP(C5159,DATA!#REF!,2,FALSE),"")</f>
        <v/>
      </c>
    </row>
    <row r="5160" spans="3:4" s="237" customFormat="1">
      <c r="C5160" s="16" t="str">
        <f>IFERROR(VLOOKUP(DATA!#REF!,DATA!#REF!,1,FALSE),"")</f>
        <v/>
      </c>
      <c r="D5160" s="16" t="str">
        <f>IFERROR(VLOOKUP(C5160,DATA!#REF!,2,FALSE),"")</f>
        <v/>
      </c>
    </row>
    <row r="5161" spans="3:4" s="237" customFormat="1">
      <c r="C5161" s="16" t="str">
        <f>IFERROR(VLOOKUP(DATA!#REF!,DATA!#REF!,1,FALSE),"")</f>
        <v/>
      </c>
      <c r="D5161" s="16" t="str">
        <f>IFERROR(VLOOKUP(C5161,DATA!#REF!,2,FALSE),"")</f>
        <v/>
      </c>
    </row>
    <row r="5162" spans="3:4" s="237" customFormat="1">
      <c r="C5162" s="16" t="str">
        <f>IFERROR(VLOOKUP(DATA!#REF!,DATA!#REF!,1,FALSE),"")</f>
        <v/>
      </c>
      <c r="D5162" s="16" t="str">
        <f>IFERROR(VLOOKUP(C5162,DATA!#REF!,2,FALSE),"")</f>
        <v/>
      </c>
    </row>
    <row r="5163" spans="3:4" s="237" customFormat="1">
      <c r="C5163" s="16" t="str">
        <f>IFERROR(VLOOKUP(DATA!#REF!,DATA!#REF!,1,FALSE),"")</f>
        <v/>
      </c>
      <c r="D5163" s="16" t="str">
        <f>IFERROR(VLOOKUP(C5163,DATA!#REF!,2,FALSE),"")</f>
        <v/>
      </c>
    </row>
    <row r="5164" spans="3:4" s="237" customFormat="1">
      <c r="C5164" s="16" t="str">
        <f>IFERROR(VLOOKUP(DATA!#REF!,DATA!#REF!,1,FALSE),"")</f>
        <v/>
      </c>
      <c r="D5164" s="16" t="str">
        <f>IFERROR(VLOOKUP(C5164,DATA!#REF!,2,FALSE),"")</f>
        <v/>
      </c>
    </row>
    <row r="5165" spans="3:4" s="237" customFormat="1">
      <c r="C5165" s="16" t="str">
        <f>IFERROR(VLOOKUP(DATA!#REF!,DATA!#REF!,1,FALSE),"")</f>
        <v/>
      </c>
      <c r="D5165" s="16" t="str">
        <f>IFERROR(VLOOKUP(C5165,DATA!#REF!,2,FALSE),"")</f>
        <v/>
      </c>
    </row>
    <row r="5166" spans="3:4" s="237" customFormat="1">
      <c r="C5166" s="16" t="str">
        <f>IFERROR(VLOOKUP(DATA!#REF!,DATA!#REF!,1,FALSE),"")</f>
        <v/>
      </c>
      <c r="D5166" s="16" t="str">
        <f>IFERROR(VLOOKUP(C5166,DATA!#REF!,2,FALSE),"")</f>
        <v/>
      </c>
    </row>
    <row r="5167" spans="3:4" s="237" customFormat="1">
      <c r="C5167" s="16" t="str">
        <f>IFERROR(VLOOKUP(DATA!#REF!,DATA!#REF!,1,FALSE),"")</f>
        <v/>
      </c>
      <c r="D5167" s="16" t="str">
        <f>IFERROR(VLOOKUP(C5167,DATA!#REF!,2,FALSE),"")</f>
        <v/>
      </c>
    </row>
    <row r="5168" spans="3:4" s="237" customFormat="1">
      <c r="C5168" s="16" t="str">
        <f>IFERROR(VLOOKUP(DATA!#REF!,DATA!#REF!,1,FALSE),"")</f>
        <v/>
      </c>
      <c r="D5168" s="16" t="str">
        <f>IFERROR(VLOOKUP(C5168,DATA!#REF!,2,FALSE),"")</f>
        <v/>
      </c>
    </row>
    <row r="5169" spans="3:4" s="237" customFormat="1">
      <c r="C5169" s="16" t="str">
        <f>IFERROR(VLOOKUP(DATA!#REF!,DATA!#REF!,1,FALSE),"")</f>
        <v/>
      </c>
      <c r="D5169" s="16" t="str">
        <f>IFERROR(VLOOKUP(C5169,DATA!#REF!,2,FALSE),"")</f>
        <v/>
      </c>
    </row>
    <row r="5170" spans="3:4" s="237" customFormat="1">
      <c r="C5170" s="16" t="str">
        <f>IFERROR(VLOOKUP(DATA!#REF!,DATA!#REF!,1,FALSE),"")</f>
        <v/>
      </c>
      <c r="D5170" s="16" t="str">
        <f>IFERROR(VLOOKUP(C5170,DATA!#REF!,2,FALSE),"")</f>
        <v/>
      </c>
    </row>
    <row r="5171" spans="3:4" s="237" customFormat="1">
      <c r="C5171" s="16" t="str">
        <f>IFERROR(VLOOKUP(DATA!#REF!,DATA!#REF!,1,FALSE),"")</f>
        <v/>
      </c>
      <c r="D5171" s="16" t="str">
        <f>IFERROR(VLOOKUP(C5171,DATA!#REF!,2,FALSE),"")</f>
        <v/>
      </c>
    </row>
    <row r="5172" spans="3:4" s="237" customFormat="1">
      <c r="C5172" s="16" t="str">
        <f>IFERROR(VLOOKUP(DATA!#REF!,DATA!#REF!,1,FALSE),"")</f>
        <v/>
      </c>
      <c r="D5172" s="16" t="str">
        <f>IFERROR(VLOOKUP(C5172,DATA!#REF!,2,FALSE),"")</f>
        <v/>
      </c>
    </row>
    <row r="5173" spans="3:4" s="237" customFormat="1">
      <c r="C5173" s="16" t="str">
        <f>IFERROR(VLOOKUP(DATA!#REF!,DATA!#REF!,1,FALSE),"")</f>
        <v/>
      </c>
      <c r="D5173" s="16" t="str">
        <f>IFERROR(VLOOKUP(C5173,DATA!#REF!,2,FALSE),"")</f>
        <v/>
      </c>
    </row>
    <row r="5174" spans="3:4" s="237" customFormat="1">
      <c r="C5174" s="16" t="str">
        <f>IFERROR(VLOOKUP(DATA!#REF!,DATA!#REF!,1,FALSE),"")</f>
        <v/>
      </c>
      <c r="D5174" s="16" t="str">
        <f>IFERROR(VLOOKUP(C5174,DATA!#REF!,2,FALSE),"")</f>
        <v/>
      </c>
    </row>
    <row r="5175" spans="3:4" s="237" customFormat="1">
      <c r="C5175" s="16" t="str">
        <f>IFERROR(VLOOKUP(DATA!#REF!,DATA!#REF!,1,FALSE),"")</f>
        <v/>
      </c>
      <c r="D5175" s="16" t="str">
        <f>IFERROR(VLOOKUP(C5175,DATA!#REF!,2,FALSE),"")</f>
        <v/>
      </c>
    </row>
    <row r="5176" spans="3:4" s="237" customFormat="1">
      <c r="C5176" s="16" t="str">
        <f>IFERROR(VLOOKUP(DATA!#REF!,DATA!#REF!,1,FALSE),"")</f>
        <v/>
      </c>
      <c r="D5176" s="16" t="str">
        <f>IFERROR(VLOOKUP(C5176,DATA!#REF!,2,FALSE),"")</f>
        <v/>
      </c>
    </row>
    <row r="5177" spans="3:4" s="237" customFormat="1">
      <c r="C5177" s="16" t="str">
        <f>IFERROR(VLOOKUP(DATA!#REF!,DATA!#REF!,1,FALSE),"")</f>
        <v/>
      </c>
      <c r="D5177" s="16" t="str">
        <f>IFERROR(VLOOKUP(C5177,DATA!#REF!,2,FALSE),"")</f>
        <v/>
      </c>
    </row>
    <row r="5178" spans="3:4" s="237" customFormat="1">
      <c r="C5178" s="16" t="str">
        <f>IFERROR(VLOOKUP(DATA!#REF!,DATA!#REF!,1,FALSE),"")</f>
        <v/>
      </c>
      <c r="D5178" s="16" t="str">
        <f>IFERROR(VLOOKUP(C5178,DATA!#REF!,2,FALSE),"")</f>
        <v/>
      </c>
    </row>
    <row r="5179" spans="3:4" s="237" customFormat="1">
      <c r="C5179" s="16" t="str">
        <f>IFERROR(VLOOKUP(DATA!#REF!,DATA!#REF!,1,FALSE),"")</f>
        <v/>
      </c>
      <c r="D5179" s="16" t="str">
        <f>IFERROR(VLOOKUP(C5179,DATA!#REF!,2,FALSE),"")</f>
        <v/>
      </c>
    </row>
    <row r="5180" spans="3:4" s="237" customFormat="1">
      <c r="C5180" s="16" t="str">
        <f>IFERROR(VLOOKUP(DATA!#REF!,DATA!#REF!,1,FALSE),"")</f>
        <v/>
      </c>
      <c r="D5180" s="16" t="str">
        <f>IFERROR(VLOOKUP(C5180,DATA!#REF!,2,FALSE),"")</f>
        <v/>
      </c>
    </row>
    <row r="5181" spans="3:4" s="237" customFormat="1">
      <c r="C5181" s="16" t="str">
        <f>IFERROR(VLOOKUP(DATA!#REF!,DATA!#REF!,1,FALSE),"")</f>
        <v/>
      </c>
      <c r="D5181" s="16" t="str">
        <f>IFERROR(VLOOKUP(C5181,DATA!#REF!,2,FALSE),"")</f>
        <v/>
      </c>
    </row>
    <row r="5182" spans="3:4" s="237" customFormat="1">
      <c r="C5182" s="16" t="str">
        <f>IFERROR(VLOOKUP(DATA!#REF!,DATA!#REF!,1,FALSE),"")</f>
        <v/>
      </c>
      <c r="D5182" s="16" t="str">
        <f>IFERROR(VLOOKUP(C5182,DATA!#REF!,2,FALSE),"")</f>
        <v/>
      </c>
    </row>
    <row r="5183" spans="3:4" s="237" customFormat="1">
      <c r="C5183" s="16" t="str">
        <f>IFERROR(VLOOKUP(DATA!#REF!,DATA!#REF!,1,FALSE),"")</f>
        <v/>
      </c>
      <c r="D5183" s="16" t="str">
        <f>IFERROR(VLOOKUP(C5183,DATA!#REF!,2,FALSE),"")</f>
        <v/>
      </c>
    </row>
    <row r="5184" spans="3:4" s="237" customFormat="1">
      <c r="C5184" s="16" t="str">
        <f>IFERROR(VLOOKUP(DATA!#REF!,DATA!#REF!,1,FALSE),"")</f>
        <v/>
      </c>
      <c r="D5184" s="16" t="str">
        <f>IFERROR(VLOOKUP(C5184,DATA!#REF!,2,FALSE),"")</f>
        <v/>
      </c>
    </row>
    <row r="5185" spans="3:4" s="237" customFormat="1">
      <c r="C5185" s="16" t="str">
        <f>IFERROR(VLOOKUP(DATA!#REF!,DATA!#REF!,1,FALSE),"")</f>
        <v/>
      </c>
      <c r="D5185" s="16" t="str">
        <f>IFERROR(VLOOKUP(C5185,DATA!#REF!,2,FALSE),"")</f>
        <v/>
      </c>
    </row>
    <row r="5186" spans="3:4" s="237" customFormat="1">
      <c r="C5186" s="16" t="str">
        <f>IFERROR(VLOOKUP(DATA!#REF!,DATA!#REF!,1,FALSE),"")</f>
        <v/>
      </c>
      <c r="D5186" s="16" t="str">
        <f>IFERROR(VLOOKUP(C5186,DATA!#REF!,2,FALSE),"")</f>
        <v/>
      </c>
    </row>
    <row r="5187" spans="3:4" s="237" customFormat="1">
      <c r="C5187" s="16" t="str">
        <f>IFERROR(VLOOKUP(DATA!#REF!,DATA!#REF!,1,FALSE),"")</f>
        <v/>
      </c>
      <c r="D5187" s="16" t="str">
        <f>IFERROR(VLOOKUP(C5187,DATA!#REF!,2,FALSE),"")</f>
        <v/>
      </c>
    </row>
    <row r="5188" spans="3:4" s="237" customFormat="1">
      <c r="C5188" s="16" t="str">
        <f>IFERROR(VLOOKUP(DATA!#REF!,DATA!#REF!,1,FALSE),"")</f>
        <v/>
      </c>
      <c r="D5188" s="16" t="str">
        <f>IFERROR(VLOOKUP(C5188,DATA!#REF!,2,FALSE),"")</f>
        <v/>
      </c>
    </row>
    <row r="5189" spans="3:4" s="237" customFormat="1">
      <c r="C5189" s="16" t="str">
        <f>IFERROR(VLOOKUP(DATA!#REF!,DATA!#REF!,1,FALSE),"")</f>
        <v/>
      </c>
      <c r="D5189" s="16" t="str">
        <f>IFERROR(VLOOKUP(C5189,DATA!#REF!,2,FALSE),"")</f>
        <v/>
      </c>
    </row>
    <row r="5190" spans="3:4" s="237" customFormat="1">
      <c r="C5190" s="16" t="str">
        <f>IFERROR(VLOOKUP(DATA!#REF!,DATA!#REF!,1,FALSE),"")</f>
        <v/>
      </c>
      <c r="D5190" s="16" t="str">
        <f>IFERROR(VLOOKUP(C5190,DATA!#REF!,2,FALSE),"")</f>
        <v/>
      </c>
    </row>
    <row r="5191" spans="3:4" s="237" customFormat="1">
      <c r="C5191" s="16" t="str">
        <f>IFERROR(VLOOKUP(DATA!#REF!,DATA!#REF!,1,FALSE),"")</f>
        <v/>
      </c>
      <c r="D5191" s="16" t="str">
        <f>IFERROR(VLOOKUP(C5191,DATA!#REF!,2,FALSE),"")</f>
        <v/>
      </c>
    </row>
    <row r="5192" spans="3:4" s="237" customFormat="1">
      <c r="C5192" s="16" t="str">
        <f>IFERROR(VLOOKUP(DATA!#REF!,DATA!#REF!,1,FALSE),"")</f>
        <v/>
      </c>
      <c r="D5192" s="16" t="str">
        <f>IFERROR(VLOOKUP(C5192,DATA!#REF!,2,FALSE),"")</f>
        <v/>
      </c>
    </row>
    <row r="5193" spans="3:4" s="237" customFormat="1">
      <c r="C5193" s="16" t="str">
        <f>IFERROR(VLOOKUP(DATA!#REF!,DATA!#REF!,1,FALSE),"")</f>
        <v/>
      </c>
      <c r="D5193" s="16" t="str">
        <f>IFERROR(VLOOKUP(C5193,DATA!#REF!,2,FALSE),"")</f>
        <v/>
      </c>
    </row>
    <row r="5194" spans="3:4" s="237" customFormat="1">
      <c r="C5194" s="16" t="str">
        <f>IFERROR(VLOOKUP(DATA!#REF!,DATA!#REF!,1,FALSE),"")</f>
        <v/>
      </c>
      <c r="D5194" s="16" t="str">
        <f>IFERROR(VLOOKUP(C5194,DATA!#REF!,2,FALSE),"")</f>
        <v/>
      </c>
    </row>
    <row r="5195" spans="3:4" s="237" customFormat="1">
      <c r="C5195" s="16" t="str">
        <f>IFERROR(VLOOKUP(DATA!#REF!,DATA!#REF!,1,FALSE),"")</f>
        <v/>
      </c>
      <c r="D5195" s="16" t="str">
        <f>IFERROR(VLOOKUP(C5195,DATA!#REF!,2,FALSE),"")</f>
        <v/>
      </c>
    </row>
    <row r="5196" spans="3:4" s="237" customFormat="1">
      <c r="C5196" s="16" t="str">
        <f>IFERROR(VLOOKUP(DATA!#REF!,DATA!#REF!,1,FALSE),"")</f>
        <v/>
      </c>
      <c r="D5196" s="16" t="str">
        <f>IFERROR(VLOOKUP(C5196,DATA!#REF!,2,FALSE),"")</f>
        <v/>
      </c>
    </row>
    <row r="5197" spans="3:4" s="237" customFormat="1">
      <c r="C5197" s="16" t="str">
        <f>IFERROR(VLOOKUP(DATA!#REF!,DATA!#REF!,1,FALSE),"")</f>
        <v/>
      </c>
      <c r="D5197" s="16" t="str">
        <f>IFERROR(VLOOKUP(C5197,DATA!#REF!,2,FALSE),"")</f>
        <v/>
      </c>
    </row>
    <row r="5198" spans="3:4" s="237" customFormat="1">
      <c r="C5198" s="16" t="str">
        <f>IFERROR(VLOOKUP(DATA!#REF!,DATA!#REF!,1,FALSE),"")</f>
        <v/>
      </c>
      <c r="D5198" s="16" t="str">
        <f>IFERROR(VLOOKUP(C5198,DATA!#REF!,2,FALSE),"")</f>
        <v/>
      </c>
    </row>
    <row r="5199" spans="3:4" s="237" customFormat="1">
      <c r="C5199" s="16" t="str">
        <f>IFERROR(VLOOKUP(DATA!#REF!,DATA!#REF!,1,FALSE),"")</f>
        <v/>
      </c>
      <c r="D5199" s="16" t="str">
        <f>IFERROR(VLOOKUP(C5199,DATA!#REF!,2,FALSE),"")</f>
        <v/>
      </c>
    </row>
    <row r="5200" spans="3:4" s="237" customFormat="1">
      <c r="C5200" s="16" t="str">
        <f>IFERROR(VLOOKUP(DATA!#REF!,DATA!#REF!,1,FALSE),"")</f>
        <v/>
      </c>
      <c r="D5200" s="16" t="str">
        <f>IFERROR(VLOOKUP(C5200,DATA!#REF!,2,FALSE),"")</f>
        <v/>
      </c>
    </row>
    <row r="5201" spans="3:4" s="237" customFormat="1">
      <c r="C5201" s="16" t="str">
        <f>IFERROR(VLOOKUP(DATA!#REF!,DATA!#REF!,1,FALSE),"")</f>
        <v/>
      </c>
      <c r="D5201" s="16" t="str">
        <f>IFERROR(VLOOKUP(C5201,DATA!#REF!,2,FALSE),"")</f>
        <v/>
      </c>
    </row>
    <row r="5202" spans="3:4" s="237" customFormat="1">
      <c r="C5202" s="16" t="str">
        <f>IFERROR(VLOOKUP(DATA!#REF!,DATA!#REF!,1,FALSE),"")</f>
        <v/>
      </c>
      <c r="D5202" s="16" t="str">
        <f>IFERROR(VLOOKUP(C5202,DATA!#REF!,2,FALSE),"")</f>
        <v/>
      </c>
    </row>
    <row r="5203" spans="3:4" s="237" customFormat="1">
      <c r="C5203" s="16" t="str">
        <f>IFERROR(VLOOKUP(DATA!#REF!,DATA!#REF!,1,FALSE),"")</f>
        <v/>
      </c>
      <c r="D5203" s="16" t="str">
        <f>IFERROR(VLOOKUP(C5203,DATA!#REF!,2,FALSE),"")</f>
        <v/>
      </c>
    </row>
    <row r="5204" spans="3:4" s="237" customFormat="1">
      <c r="C5204" s="16" t="str">
        <f>IFERROR(VLOOKUP(DATA!#REF!,DATA!#REF!,1,FALSE),"")</f>
        <v/>
      </c>
      <c r="D5204" s="16" t="str">
        <f>IFERROR(VLOOKUP(C5204,DATA!#REF!,2,FALSE),"")</f>
        <v/>
      </c>
    </row>
    <row r="5205" spans="3:4" s="237" customFormat="1">
      <c r="C5205" s="16" t="str">
        <f>IFERROR(VLOOKUP(DATA!#REF!,DATA!#REF!,1,FALSE),"")</f>
        <v/>
      </c>
      <c r="D5205" s="16" t="str">
        <f>IFERROR(VLOOKUP(C5205,DATA!#REF!,2,FALSE),"")</f>
        <v/>
      </c>
    </row>
    <row r="5206" spans="3:4" s="237" customFormat="1">
      <c r="C5206" s="16" t="str">
        <f>IFERROR(VLOOKUP(DATA!#REF!,DATA!#REF!,1,FALSE),"")</f>
        <v/>
      </c>
      <c r="D5206" s="16" t="str">
        <f>IFERROR(VLOOKUP(C5206,DATA!#REF!,2,FALSE),"")</f>
        <v/>
      </c>
    </row>
    <row r="5207" spans="3:4" s="237" customFormat="1">
      <c r="C5207" s="16" t="str">
        <f>IFERROR(VLOOKUP(DATA!#REF!,DATA!#REF!,1,FALSE),"")</f>
        <v/>
      </c>
      <c r="D5207" s="16" t="str">
        <f>IFERROR(VLOOKUP(C5207,DATA!#REF!,2,FALSE),"")</f>
        <v/>
      </c>
    </row>
    <row r="5208" spans="3:4" s="237" customFormat="1">
      <c r="C5208" s="16" t="str">
        <f>IFERROR(VLOOKUP(DATA!#REF!,DATA!#REF!,1,FALSE),"")</f>
        <v/>
      </c>
      <c r="D5208" s="16" t="str">
        <f>IFERROR(VLOOKUP(C5208,DATA!#REF!,2,FALSE),"")</f>
        <v/>
      </c>
    </row>
    <row r="5209" spans="3:4" s="237" customFormat="1">
      <c r="C5209" s="16" t="str">
        <f>IFERROR(VLOOKUP(DATA!#REF!,DATA!#REF!,1,FALSE),"")</f>
        <v/>
      </c>
      <c r="D5209" s="16" t="str">
        <f>IFERROR(VLOOKUP(C5209,DATA!#REF!,2,FALSE),"")</f>
        <v/>
      </c>
    </row>
    <row r="5210" spans="3:4" s="237" customFormat="1">
      <c r="C5210" s="16" t="str">
        <f>IFERROR(VLOOKUP(DATA!#REF!,DATA!#REF!,1,FALSE),"")</f>
        <v/>
      </c>
      <c r="D5210" s="16" t="str">
        <f>IFERROR(VLOOKUP(C5210,DATA!#REF!,2,FALSE),"")</f>
        <v/>
      </c>
    </row>
    <row r="5211" spans="3:4" s="237" customFormat="1">
      <c r="C5211" s="16" t="str">
        <f>IFERROR(VLOOKUP(DATA!#REF!,DATA!#REF!,1,FALSE),"")</f>
        <v/>
      </c>
      <c r="D5211" s="16" t="str">
        <f>IFERROR(VLOOKUP(C5211,DATA!#REF!,2,FALSE),"")</f>
        <v/>
      </c>
    </row>
    <row r="5212" spans="3:4" s="237" customFormat="1">
      <c r="C5212" s="16" t="str">
        <f>IFERROR(VLOOKUP(DATA!#REF!,DATA!#REF!,1,FALSE),"")</f>
        <v/>
      </c>
      <c r="D5212" s="16" t="str">
        <f>IFERROR(VLOOKUP(C5212,DATA!#REF!,2,FALSE),"")</f>
        <v/>
      </c>
    </row>
    <row r="5213" spans="3:4" s="237" customFormat="1">
      <c r="C5213" s="16" t="str">
        <f>IFERROR(VLOOKUP(DATA!#REF!,DATA!#REF!,1,FALSE),"")</f>
        <v/>
      </c>
      <c r="D5213" s="16" t="str">
        <f>IFERROR(VLOOKUP(C5213,DATA!#REF!,2,FALSE),"")</f>
        <v/>
      </c>
    </row>
    <row r="5214" spans="3:4" s="237" customFormat="1">
      <c r="C5214" s="16" t="str">
        <f>IFERROR(VLOOKUP(DATA!#REF!,DATA!#REF!,1,FALSE),"")</f>
        <v/>
      </c>
      <c r="D5214" s="16" t="str">
        <f>IFERROR(VLOOKUP(C5214,DATA!#REF!,2,FALSE),"")</f>
        <v/>
      </c>
    </row>
    <row r="5215" spans="3:4" s="237" customFormat="1">
      <c r="C5215" s="16" t="str">
        <f>IFERROR(VLOOKUP(DATA!#REF!,DATA!#REF!,1,FALSE),"")</f>
        <v/>
      </c>
      <c r="D5215" s="16" t="str">
        <f>IFERROR(VLOOKUP(C5215,DATA!#REF!,2,FALSE),"")</f>
        <v/>
      </c>
    </row>
    <row r="5216" spans="3:4" s="237" customFormat="1">
      <c r="C5216" s="16" t="str">
        <f>IFERROR(VLOOKUP(DATA!#REF!,DATA!#REF!,1,FALSE),"")</f>
        <v/>
      </c>
      <c r="D5216" s="16" t="str">
        <f>IFERROR(VLOOKUP(C5216,DATA!#REF!,2,FALSE),"")</f>
        <v/>
      </c>
    </row>
    <row r="5217" spans="3:4" s="237" customFormat="1">
      <c r="C5217" s="16" t="str">
        <f>IFERROR(VLOOKUP(DATA!#REF!,DATA!#REF!,1,FALSE),"")</f>
        <v/>
      </c>
      <c r="D5217" s="16" t="str">
        <f>IFERROR(VLOOKUP(C5217,DATA!#REF!,2,FALSE),"")</f>
        <v/>
      </c>
    </row>
    <row r="5218" spans="3:4" s="237" customFormat="1">
      <c r="C5218" s="16" t="str">
        <f>IFERROR(VLOOKUP(DATA!#REF!,DATA!#REF!,1,FALSE),"")</f>
        <v/>
      </c>
      <c r="D5218" s="16" t="str">
        <f>IFERROR(VLOOKUP(C5218,DATA!#REF!,2,FALSE),"")</f>
        <v/>
      </c>
    </row>
    <row r="5219" spans="3:4" s="237" customFormat="1">
      <c r="C5219" s="16" t="str">
        <f>IFERROR(VLOOKUP(DATA!#REF!,DATA!#REF!,1,FALSE),"")</f>
        <v/>
      </c>
      <c r="D5219" s="16" t="str">
        <f>IFERROR(VLOOKUP(C5219,DATA!#REF!,2,FALSE),"")</f>
        <v/>
      </c>
    </row>
    <row r="5220" spans="3:4" s="237" customFormat="1">
      <c r="C5220" s="16" t="str">
        <f>IFERROR(VLOOKUP(DATA!#REF!,DATA!#REF!,1,FALSE),"")</f>
        <v/>
      </c>
      <c r="D5220" s="16" t="str">
        <f>IFERROR(VLOOKUP(C5220,DATA!#REF!,2,FALSE),"")</f>
        <v/>
      </c>
    </row>
    <row r="5221" spans="3:4" s="237" customFormat="1">
      <c r="C5221" s="16" t="str">
        <f>IFERROR(VLOOKUP(DATA!#REF!,DATA!#REF!,1,FALSE),"")</f>
        <v/>
      </c>
      <c r="D5221" s="16" t="str">
        <f>IFERROR(VLOOKUP(C5221,DATA!#REF!,2,FALSE),"")</f>
        <v/>
      </c>
    </row>
    <row r="5222" spans="3:4" s="237" customFormat="1">
      <c r="C5222" s="16" t="str">
        <f>IFERROR(VLOOKUP(DATA!#REF!,DATA!#REF!,1,FALSE),"")</f>
        <v/>
      </c>
      <c r="D5222" s="16" t="str">
        <f>IFERROR(VLOOKUP(C5222,DATA!#REF!,2,FALSE),"")</f>
        <v/>
      </c>
    </row>
    <row r="5223" spans="3:4" s="237" customFormat="1">
      <c r="C5223" s="16" t="str">
        <f>IFERROR(VLOOKUP(DATA!#REF!,DATA!#REF!,1,FALSE),"")</f>
        <v/>
      </c>
      <c r="D5223" s="16" t="str">
        <f>IFERROR(VLOOKUP(C5223,DATA!#REF!,2,FALSE),"")</f>
        <v/>
      </c>
    </row>
    <row r="5224" spans="3:4" s="237" customFormat="1">
      <c r="C5224" s="16" t="str">
        <f>IFERROR(VLOOKUP(DATA!#REF!,DATA!#REF!,1,FALSE),"")</f>
        <v/>
      </c>
      <c r="D5224" s="16" t="str">
        <f>IFERROR(VLOOKUP(C5224,DATA!#REF!,2,FALSE),"")</f>
        <v/>
      </c>
    </row>
    <row r="5225" spans="3:4" s="237" customFormat="1">
      <c r="C5225" s="16" t="str">
        <f>IFERROR(VLOOKUP(DATA!#REF!,DATA!#REF!,1,FALSE),"")</f>
        <v/>
      </c>
      <c r="D5225" s="16" t="str">
        <f>IFERROR(VLOOKUP(C5225,DATA!#REF!,2,FALSE),"")</f>
        <v/>
      </c>
    </row>
    <row r="5226" spans="3:4" s="237" customFormat="1">
      <c r="C5226" s="16" t="str">
        <f>IFERROR(VLOOKUP(DATA!#REF!,DATA!#REF!,1,FALSE),"")</f>
        <v/>
      </c>
      <c r="D5226" s="16" t="str">
        <f>IFERROR(VLOOKUP(C5226,DATA!#REF!,2,FALSE),"")</f>
        <v/>
      </c>
    </row>
    <row r="5227" spans="3:4" s="237" customFormat="1">
      <c r="C5227" s="16" t="str">
        <f>IFERROR(VLOOKUP(DATA!#REF!,DATA!#REF!,1,FALSE),"")</f>
        <v/>
      </c>
      <c r="D5227" s="16" t="str">
        <f>IFERROR(VLOOKUP(C5227,DATA!#REF!,2,FALSE),"")</f>
        <v/>
      </c>
    </row>
    <row r="5228" spans="3:4" s="237" customFormat="1">
      <c r="C5228" s="16" t="str">
        <f>IFERROR(VLOOKUP(DATA!#REF!,DATA!#REF!,1,FALSE),"")</f>
        <v/>
      </c>
      <c r="D5228" s="16" t="str">
        <f>IFERROR(VLOOKUP(C5228,DATA!#REF!,2,FALSE),"")</f>
        <v/>
      </c>
    </row>
    <row r="5229" spans="3:4" s="237" customFormat="1">
      <c r="C5229" s="16" t="str">
        <f>IFERROR(VLOOKUP(DATA!#REF!,DATA!#REF!,1,FALSE),"")</f>
        <v/>
      </c>
      <c r="D5229" s="16" t="str">
        <f>IFERROR(VLOOKUP(C5229,DATA!#REF!,2,FALSE),"")</f>
        <v/>
      </c>
    </row>
    <row r="5230" spans="3:4" s="237" customFormat="1">
      <c r="C5230" s="16" t="str">
        <f>IFERROR(VLOOKUP(DATA!#REF!,DATA!#REF!,1,FALSE),"")</f>
        <v/>
      </c>
      <c r="D5230" s="16" t="str">
        <f>IFERROR(VLOOKUP(C5230,DATA!#REF!,2,FALSE),"")</f>
        <v/>
      </c>
    </row>
    <row r="5231" spans="3:4" s="237" customFormat="1">
      <c r="C5231" s="16" t="str">
        <f>IFERROR(VLOOKUP(DATA!#REF!,DATA!#REF!,1,FALSE),"")</f>
        <v/>
      </c>
      <c r="D5231" s="16" t="str">
        <f>IFERROR(VLOOKUP(C5231,DATA!#REF!,2,FALSE),"")</f>
        <v/>
      </c>
    </row>
    <row r="5232" spans="3:4" s="237" customFormat="1">
      <c r="C5232" s="16" t="str">
        <f>IFERROR(VLOOKUP(DATA!#REF!,DATA!#REF!,1,FALSE),"")</f>
        <v/>
      </c>
      <c r="D5232" s="16" t="str">
        <f>IFERROR(VLOOKUP(C5232,DATA!#REF!,2,FALSE),"")</f>
        <v/>
      </c>
    </row>
    <row r="5233" spans="3:4" s="237" customFormat="1">
      <c r="C5233" s="16" t="str">
        <f>IFERROR(VLOOKUP(DATA!#REF!,DATA!#REF!,1,FALSE),"")</f>
        <v/>
      </c>
      <c r="D5233" s="16" t="str">
        <f>IFERROR(VLOOKUP(C5233,DATA!#REF!,2,FALSE),"")</f>
        <v/>
      </c>
    </row>
    <row r="5234" spans="3:4" s="237" customFormat="1">
      <c r="C5234" s="16" t="str">
        <f>IFERROR(VLOOKUP(DATA!#REF!,DATA!#REF!,1,FALSE),"")</f>
        <v/>
      </c>
      <c r="D5234" s="16" t="str">
        <f>IFERROR(VLOOKUP(C5234,DATA!#REF!,2,FALSE),"")</f>
        <v/>
      </c>
    </row>
    <row r="5235" spans="3:4" s="237" customFormat="1">
      <c r="C5235" s="16" t="str">
        <f>IFERROR(VLOOKUP(DATA!#REF!,DATA!#REF!,1,FALSE),"")</f>
        <v/>
      </c>
      <c r="D5235" s="16" t="str">
        <f>IFERROR(VLOOKUP(C5235,DATA!#REF!,2,FALSE),"")</f>
        <v/>
      </c>
    </row>
    <row r="5236" spans="3:4" s="237" customFormat="1">
      <c r="C5236" s="16" t="str">
        <f>IFERROR(VLOOKUP(DATA!#REF!,DATA!#REF!,1,FALSE),"")</f>
        <v/>
      </c>
      <c r="D5236" s="16" t="str">
        <f>IFERROR(VLOOKUP(C5236,DATA!#REF!,2,FALSE),"")</f>
        <v/>
      </c>
    </row>
    <row r="5237" spans="3:4" s="237" customFormat="1">
      <c r="C5237" s="16" t="str">
        <f>IFERROR(VLOOKUP(DATA!#REF!,DATA!#REF!,1,FALSE),"")</f>
        <v/>
      </c>
      <c r="D5237" s="16" t="str">
        <f>IFERROR(VLOOKUP(C5237,DATA!#REF!,2,FALSE),"")</f>
        <v/>
      </c>
    </row>
    <row r="5238" spans="3:4" s="237" customFormat="1">
      <c r="C5238" s="16" t="str">
        <f>IFERROR(VLOOKUP(DATA!#REF!,DATA!#REF!,1,FALSE),"")</f>
        <v/>
      </c>
      <c r="D5238" s="16" t="str">
        <f>IFERROR(VLOOKUP(C5238,DATA!#REF!,2,FALSE),"")</f>
        <v/>
      </c>
    </row>
    <row r="5239" spans="3:4" s="237" customFormat="1">
      <c r="C5239" s="16" t="str">
        <f>IFERROR(VLOOKUP(DATA!#REF!,DATA!#REF!,1,FALSE),"")</f>
        <v/>
      </c>
      <c r="D5239" s="16" t="str">
        <f>IFERROR(VLOOKUP(C5239,DATA!#REF!,2,FALSE),"")</f>
        <v/>
      </c>
    </row>
    <row r="5240" spans="3:4" s="237" customFormat="1">
      <c r="C5240" s="16" t="str">
        <f>IFERROR(VLOOKUP(DATA!#REF!,DATA!#REF!,1,FALSE),"")</f>
        <v/>
      </c>
      <c r="D5240" s="16" t="str">
        <f>IFERROR(VLOOKUP(C5240,DATA!#REF!,2,FALSE),"")</f>
        <v/>
      </c>
    </row>
    <row r="5241" spans="3:4" s="237" customFormat="1">
      <c r="C5241" s="16" t="str">
        <f>IFERROR(VLOOKUP(DATA!#REF!,DATA!#REF!,1,FALSE),"")</f>
        <v/>
      </c>
      <c r="D5241" s="16" t="str">
        <f>IFERROR(VLOOKUP(C5241,DATA!#REF!,2,FALSE),"")</f>
        <v/>
      </c>
    </row>
    <row r="5242" spans="3:4" s="237" customFormat="1">
      <c r="C5242" s="16" t="str">
        <f>IFERROR(VLOOKUP(DATA!#REF!,DATA!#REF!,1,FALSE),"")</f>
        <v/>
      </c>
      <c r="D5242" s="16" t="str">
        <f>IFERROR(VLOOKUP(C5242,DATA!#REF!,2,FALSE),"")</f>
        <v/>
      </c>
    </row>
    <row r="5243" spans="3:4" s="237" customFormat="1">
      <c r="C5243" s="16" t="str">
        <f>IFERROR(VLOOKUP(DATA!#REF!,DATA!#REF!,1,FALSE),"")</f>
        <v/>
      </c>
      <c r="D5243" s="16" t="str">
        <f>IFERROR(VLOOKUP(C5243,DATA!#REF!,2,FALSE),"")</f>
        <v/>
      </c>
    </row>
    <row r="5244" spans="3:4" s="237" customFormat="1">
      <c r="C5244" s="16" t="str">
        <f>IFERROR(VLOOKUP(DATA!#REF!,DATA!#REF!,1,FALSE),"")</f>
        <v/>
      </c>
      <c r="D5244" s="16" t="str">
        <f>IFERROR(VLOOKUP(C5244,DATA!#REF!,2,FALSE),"")</f>
        <v/>
      </c>
    </row>
    <row r="5245" spans="3:4" s="237" customFormat="1">
      <c r="C5245" s="16" t="str">
        <f>IFERROR(VLOOKUP(DATA!#REF!,DATA!#REF!,1,FALSE),"")</f>
        <v/>
      </c>
      <c r="D5245" s="16" t="str">
        <f>IFERROR(VLOOKUP(C5245,DATA!#REF!,2,FALSE),"")</f>
        <v/>
      </c>
    </row>
    <row r="5246" spans="3:4" s="237" customFormat="1">
      <c r="C5246" s="16" t="str">
        <f>IFERROR(VLOOKUP(DATA!#REF!,DATA!#REF!,1,FALSE),"")</f>
        <v/>
      </c>
      <c r="D5246" s="16" t="str">
        <f>IFERROR(VLOOKUP(C5246,DATA!#REF!,2,FALSE),"")</f>
        <v/>
      </c>
    </row>
    <row r="5247" spans="3:4" s="237" customFormat="1">
      <c r="C5247" s="16" t="str">
        <f>IFERROR(VLOOKUP(DATA!#REF!,DATA!#REF!,1,FALSE),"")</f>
        <v/>
      </c>
      <c r="D5247" s="16" t="str">
        <f>IFERROR(VLOOKUP(C5247,DATA!#REF!,2,FALSE),"")</f>
        <v/>
      </c>
    </row>
    <row r="5248" spans="3:4" s="237" customFormat="1">
      <c r="C5248" s="16" t="str">
        <f>IFERROR(VLOOKUP(DATA!#REF!,DATA!#REF!,1,FALSE),"")</f>
        <v/>
      </c>
      <c r="D5248" s="16" t="str">
        <f>IFERROR(VLOOKUP(C5248,DATA!#REF!,2,FALSE),"")</f>
        <v/>
      </c>
    </row>
    <row r="5249" spans="3:4" s="237" customFormat="1">
      <c r="C5249" s="16" t="str">
        <f>IFERROR(VLOOKUP(DATA!#REF!,DATA!#REF!,1,FALSE),"")</f>
        <v/>
      </c>
      <c r="D5249" s="16" t="str">
        <f>IFERROR(VLOOKUP(C5249,DATA!#REF!,2,FALSE),"")</f>
        <v/>
      </c>
    </row>
    <row r="5250" spans="3:4" s="237" customFormat="1">
      <c r="C5250" s="16" t="str">
        <f>IFERROR(VLOOKUP(DATA!#REF!,DATA!#REF!,1,FALSE),"")</f>
        <v/>
      </c>
      <c r="D5250" s="16" t="str">
        <f>IFERROR(VLOOKUP(C5250,DATA!#REF!,2,FALSE),"")</f>
        <v/>
      </c>
    </row>
    <row r="5251" spans="3:4" s="237" customFormat="1">
      <c r="C5251" s="16" t="str">
        <f>IFERROR(VLOOKUP(DATA!#REF!,DATA!#REF!,1,FALSE),"")</f>
        <v/>
      </c>
      <c r="D5251" s="16" t="str">
        <f>IFERROR(VLOOKUP(C5251,DATA!#REF!,2,FALSE),"")</f>
        <v/>
      </c>
    </row>
    <row r="5252" spans="3:4" s="237" customFormat="1">
      <c r="C5252" s="16" t="str">
        <f>IFERROR(VLOOKUP(DATA!#REF!,DATA!#REF!,1,FALSE),"")</f>
        <v/>
      </c>
      <c r="D5252" s="16" t="str">
        <f>IFERROR(VLOOKUP(C5252,DATA!#REF!,2,FALSE),"")</f>
        <v/>
      </c>
    </row>
    <row r="5253" spans="3:4" s="237" customFormat="1">
      <c r="C5253" s="16" t="str">
        <f>IFERROR(VLOOKUP(DATA!#REF!,DATA!#REF!,1,FALSE),"")</f>
        <v/>
      </c>
      <c r="D5253" s="16" t="str">
        <f>IFERROR(VLOOKUP(C5253,DATA!#REF!,2,FALSE),"")</f>
        <v/>
      </c>
    </row>
    <row r="5254" spans="3:4" s="237" customFormat="1">
      <c r="C5254" s="16" t="str">
        <f>IFERROR(VLOOKUP(DATA!#REF!,DATA!#REF!,1,FALSE),"")</f>
        <v/>
      </c>
      <c r="D5254" s="16" t="str">
        <f>IFERROR(VLOOKUP(C5254,DATA!#REF!,2,FALSE),"")</f>
        <v/>
      </c>
    </row>
    <row r="5255" spans="3:4" s="237" customFormat="1">
      <c r="C5255" s="16" t="str">
        <f>IFERROR(VLOOKUP(DATA!#REF!,DATA!#REF!,1,FALSE),"")</f>
        <v/>
      </c>
      <c r="D5255" s="16" t="str">
        <f>IFERROR(VLOOKUP(C5255,DATA!#REF!,2,FALSE),"")</f>
        <v/>
      </c>
    </row>
    <row r="5256" spans="3:4" s="237" customFormat="1">
      <c r="C5256" s="16" t="str">
        <f>IFERROR(VLOOKUP(DATA!#REF!,DATA!#REF!,1,FALSE),"")</f>
        <v/>
      </c>
      <c r="D5256" s="16" t="str">
        <f>IFERROR(VLOOKUP(C5256,DATA!#REF!,2,FALSE),"")</f>
        <v/>
      </c>
    </row>
    <row r="5257" spans="3:4" s="237" customFormat="1">
      <c r="C5257" s="16" t="str">
        <f>IFERROR(VLOOKUP(DATA!#REF!,DATA!#REF!,1,FALSE),"")</f>
        <v/>
      </c>
      <c r="D5257" s="16" t="str">
        <f>IFERROR(VLOOKUP(C5257,DATA!#REF!,2,FALSE),"")</f>
        <v/>
      </c>
    </row>
    <row r="5258" spans="3:4" s="237" customFormat="1">
      <c r="C5258" s="16" t="str">
        <f>IFERROR(VLOOKUP(DATA!#REF!,DATA!#REF!,1,FALSE),"")</f>
        <v/>
      </c>
      <c r="D5258" s="16" t="str">
        <f>IFERROR(VLOOKUP(C5258,DATA!#REF!,2,FALSE),"")</f>
        <v/>
      </c>
    </row>
    <row r="5259" spans="3:4" s="237" customFormat="1">
      <c r="C5259" s="16" t="str">
        <f>IFERROR(VLOOKUP(DATA!#REF!,DATA!#REF!,1,FALSE),"")</f>
        <v/>
      </c>
      <c r="D5259" s="16" t="str">
        <f>IFERROR(VLOOKUP(C5259,DATA!#REF!,2,FALSE),"")</f>
        <v/>
      </c>
    </row>
    <row r="5260" spans="3:4" s="237" customFormat="1">
      <c r="C5260" s="16" t="str">
        <f>IFERROR(VLOOKUP(DATA!#REF!,DATA!#REF!,1,FALSE),"")</f>
        <v/>
      </c>
      <c r="D5260" s="16" t="str">
        <f>IFERROR(VLOOKUP(C5260,DATA!#REF!,2,FALSE),"")</f>
        <v/>
      </c>
    </row>
    <row r="5261" spans="3:4" s="237" customFormat="1">
      <c r="C5261" s="16" t="str">
        <f>IFERROR(VLOOKUP(DATA!#REF!,DATA!#REF!,1,FALSE),"")</f>
        <v/>
      </c>
      <c r="D5261" s="16" t="str">
        <f>IFERROR(VLOOKUP(C5261,DATA!#REF!,2,FALSE),"")</f>
        <v/>
      </c>
    </row>
    <row r="5262" spans="3:4" s="237" customFormat="1">
      <c r="C5262" s="16" t="str">
        <f>IFERROR(VLOOKUP(DATA!#REF!,DATA!#REF!,1,FALSE),"")</f>
        <v/>
      </c>
      <c r="D5262" s="16" t="str">
        <f>IFERROR(VLOOKUP(C5262,DATA!#REF!,2,FALSE),"")</f>
        <v/>
      </c>
    </row>
    <row r="5263" spans="3:4" s="237" customFormat="1">
      <c r="C5263" s="16" t="str">
        <f>IFERROR(VLOOKUP(DATA!#REF!,DATA!#REF!,1,FALSE),"")</f>
        <v/>
      </c>
      <c r="D5263" s="16" t="str">
        <f>IFERROR(VLOOKUP(C5263,DATA!#REF!,2,FALSE),"")</f>
        <v/>
      </c>
    </row>
    <row r="5264" spans="3:4" s="237" customFormat="1">
      <c r="C5264" s="16" t="str">
        <f>IFERROR(VLOOKUP(DATA!#REF!,DATA!#REF!,1,FALSE),"")</f>
        <v/>
      </c>
      <c r="D5264" s="16" t="str">
        <f>IFERROR(VLOOKUP(C5264,DATA!#REF!,2,FALSE),"")</f>
        <v/>
      </c>
    </row>
    <row r="5265" spans="3:4" s="237" customFormat="1">
      <c r="C5265" s="16" t="str">
        <f>IFERROR(VLOOKUP(DATA!#REF!,DATA!#REF!,1,FALSE),"")</f>
        <v/>
      </c>
      <c r="D5265" s="16" t="str">
        <f>IFERROR(VLOOKUP(C5265,DATA!#REF!,2,FALSE),"")</f>
        <v/>
      </c>
    </row>
    <row r="5266" spans="3:4" s="237" customFormat="1">
      <c r="C5266" s="16" t="str">
        <f>IFERROR(VLOOKUP(DATA!#REF!,DATA!#REF!,1,FALSE),"")</f>
        <v/>
      </c>
      <c r="D5266" s="16" t="str">
        <f>IFERROR(VLOOKUP(C5266,DATA!#REF!,2,FALSE),"")</f>
        <v/>
      </c>
    </row>
    <row r="5267" spans="3:4" s="237" customFormat="1">
      <c r="C5267" s="16" t="str">
        <f>IFERROR(VLOOKUP(DATA!#REF!,DATA!#REF!,1,FALSE),"")</f>
        <v/>
      </c>
      <c r="D5267" s="16" t="str">
        <f>IFERROR(VLOOKUP(C5267,DATA!#REF!,2,FALSE),"")</f>
        <v/>
      </c>
    </row>
    <row r="5268" spans="3:4" s="237" customFormat="1">
      <c r="C5268" s="16" t="str">
        <f>IFERROR(VLOOKUP(DATA!#REF!,DATA!#REF!,1,FALSE),"")</f>
        <v/>
      </c>
      <c r="D5268" s="16" t="str">
        <f>IFERROR(VLOOKUP(C5268,DATA!#REF!,2,FALSE),"")</f>
        <v/>
      </c>
    </row>
    <row r="5269" spans="3:4" s="237" customFormat="1">
      <c r="C5269" s="16" t="str">
        <f>IFERROR(VLOOKUP(DATA!#REF!,DATA!#REF!,1,FALSE),"")</f>
        <v/>
      </c>
      <c r="D5269" s="16" t="str">
        <f>IFERROR(VLOOKUP(C5269,DATA!#REF!,2,FALSE),"")</f>
        <v/>
      </c>
    </row>
    <row r="5270" spans="3:4" s="237" customFormat="1">
      <c r="C5270" s="16" t="str">
        <f>IFERROR(VLOOKUP(DATA!#REF!,DATA!#REF!,1,FALSE),"")</f>
        <v/>
      </c>
      <c r="D5270" s="16" t="str">
        <f>IFERROR(VLOOKUP(C5270,DATA!#REF!,2,FALSE),"")</f>
        <v/>
      </c>
    </row>
    <row r="5271" spans="3:4" s="237" customFormat="1">
      <c r="C5271" s="16" t="str">
        <f>IFERROR(VLOOKUP(DATA!#REF!,DATA!#REF!,1,FALSE),"")</f>
        <v/>
      </c>
      <c r="D5271" s="16" t="str">
        <f>IFERROR(VLOOKUP(C5271,DATA!#REF!,2,FALSE),"")</f>
        <v/>
      </c>
    </row>
    <row r="5272" spans="3:4" s="237" customFormat="1">
      <c r="C5272" s="16" t="str">
        <f>IFERROR(VLOOKUP(DATA!#REF!,DATA!#REF!,1,FALSE),"")</f>
        <v/>
      </c>
      <c r="D5272" s="16" t="str">
        <f>IFERROR(VLOOKUP(C5272,DATA!#REF!,2,FALSE),"")</f>
        <v/>
      </c>
    </row>
    <row r="5273" spans="3:4" s="237" customFormat="1">
      <c r="C5273" s="16" t="str">
        <f>IFERROR(VLOOKUP(DATA!#REF!,DATA!#REF!,1,FALSE),"")</f>
        <v/>
      </c>
      <c r="D5273" s="16" t="str">
        <f>IFERROR(VLOOKUP(C5273,DATA!#REF!,2,FALSE),"")</f>
        <v/>
      </c>
    </row>
    <row r="5274" spans="3:4" s="237" customFormat="1">
      <c r="C5274" s="16" t="str">
        <f>IFERROR(VLOOKUP(DATA!#REF!,DATA!#REF!,1,FALSE),"")</f>
        <v/>
      </c>
      <c r="D5274" s="16" t="str">
        <f>IFERROR(VLOOKUP(C5274,DATA!#REF!,2,FALSE),"")</f>
        <v/>
      </c>
    </row>
    <row r="5275" spans="3:4" s="237" customFormat="1">
      <c r="C5275" s="16" t="str">
        <f>IFERROR(VLOOKUP(DATA!#REF!,DATA!#REF!,1,FALSE),"")</f>
        <v/>
      </c>
      <c r="D5275" s="16" t="str">
        <f>IFERROR(VLOOKUP(C5275,DATA!#REF!,2,FALSE),"")</f>
        <v/>
      </c>
    </row>
    <row r="5276" spans="3:4" s="237" customFormat="1">
      <c r="C5276" s="16" t="str">
        <f>IFERROR(VLOOKUP(DATA!#REF!,DATA!#REF!,1,FALSE),"")</f>
        <v/>
      </c>
      <c r="D5276" s="16" t="str">
        <f>IFERROR(VLOOKUP(C5276,DATA!#REF!,2,FALSE),"")</f>
        <v/>
      </c>
    </row>
    <row r="5277" spans="3:4" s="237" customFormat="1">
      <c r="C5277" s="16" t="str">
        <f>IFERROR(VLOOKUP(DATA!#REF!,DATA!#REF!,1,FALSE),"")</f>
        <v/>
      </c>
      <c r="D5277" s="16" t="str">
        <f>IFERROR(VLOOKUP(C5277,DATA!#REF!,2,FALSE),"")</f>
        <v/>
      </c>
    </row>
    <row r="5278" spans="3:4" s="237" customFormat="1">
      <c r="C5278" s="16" t="str">
        <f>IFERROR(VLOOKUP(DATA!#REF!,DATA!#REF!,1,FALSE),"")</f>
        <v/>
      </c>
      <c r="D5278" s="16" t="str">
        <f>IFERROR(VLOOKUP(C5278,DATA!#REF!,2,FALSE),"")</f>
        <v/>
      </c>
    </row>
    <row r="5279" spans="3:4" s="237" customFormat="1">
      <c r="C5279" s="16" t="str">
        <f>IFERROR(VLOOKUP(DATA!#REF!,DATA!#REF!,1,FALSE),"")</f>
        <v/>
      </c>
      <c r="D5279" s="16" t="str">
        <f>IFERROR(VLOOKUP(C5279,DATA!#REF!,2,FALSE),"")</f>
        <v/>
      </c>
    </row>
    <row r="5280" spans="3:4" s="237" customFormat="1">
      <c r="C5280" s="16" t="str">
        <f>IFERROR(VLOOKUP(DATA!#REF!,DATA!#REF!,1,FALSE),"")</f>
        <v/>
      </c>
      <c r="D5280" s="16" t="str">
        <f>IFERROR(VLOOKUP(C5280,DATA!#REF!,2,FALSE),"")</f>
        <v/>
      </c>
    </row>
    <row r="5281" spans="3:4" s="237" customFormat="1">
      <c r="C5281" s="16" t="str">
        <f>IFERROR(VLOOKUP(DATA!#REF!,DATA!#REF!,1,FALSE),"")</f>
        <v/>
      </c>
      <c r="D5281" s="16" t="str">
        <f>IFERROR(VLOOKUP(C5281,DATA!#REF!,2,FALSE),"")</f>
        <v/>
      </c>
    </row>
    <row r="5282" spans="3:4" s="237" customFormat="1">
      <c r="C5282" s="16" t="str">
        <f>IFERROR(VLOOKUP(DATA!#REF!,DATA!#REF!,1,FALSE),"")</f>
        <v/>
      </c>
      <c r="D5282" s="16" t="str">
        <f>IFERROR(VLOOKUP(C5282,DATA!#REF!,2,FALSE),"")</f>
        <v/>
      </c>
    </row>
    <row r="5283" spans="3:4" s="237" customFormat="1">
      <c r="C5283" s="16" t="str">
        <f>IFERROR(VLOOKUP(DATA!#REF!,DATA!#REF!,1,FALSE),"")</f>
        <v/>
      </c>
      <c r="D5283" s="16" t="str">
        <f>IFERROR(VLOOKUP(C5283,DATA!#REF!,2,FALSE),"")</f>
        <v/>
      </c>
    </row>
    <row r="5284" spans="3:4" s="237" customFormat="1">
      <c r="C5284" s="16" t="str">
        <f>IFERROR(VLOOKUP(DATA!#REF!,DATA!#REF!,1,FALSE),"")</f>
        <v/>
      </c>
      <c r="D5284" s="16" t="str">
        <f>IFERROR(VLOOKUP(C5284,DATA!#REF!,2,FALSE),"")</f>
        <v/>
      </c>
    </row>
    <row r="5285" spans="3:4" s="237" customFormat="1">
      <c r="C5285" s="16" t="str">
        <f>IFERROR(VLOOKUP(DATA!#REF!,DATA!#REF!,1,FALSE),"")</f>
        <v/>
      </c>
      <c r="D5285" s="16" t="str">
        <f>IFERROR(VLOOKUP(C5285,DATA!#REF!,2,FALSE),"")</f>
        <v/>
      </c>
    </row>
    <row r="5286" spans="3:4" s="237" customFormat="1">
      <c r="C5286" s="16" t="str">
        <f>IFERROR(VLOOKUP(DATA!#REF!,DATA!#REF!,1,FALSE),"")</f>
        <v/>
      </c>
      <c r="D5286" s="16" t="str">
        <f>IFERROR(VLOOKUP(C5286,DATA!#REF!,2,FALSE),"")</f>
        <v/>
      </c>
    </row>
    <row r="5287" spans="3:4" s="237" customFormat="1">
      <c r="C5287" s="16" t="str">
        <f>IFERROR(VLOOKUP(DATA!#REF!,DATA!#REF!,1,FALSE),"")</f>
        <v/>
      </c>
      <c r="D5287" s="16" t="str">
        <f>IFERROR(VLOOKUP(C5287,DATA!#REF!,2,FALSE),"")</f>
        <v/>
      </c>
    </row>
    <row r="5288" spans="3:4" s="237" customFormat="1">
      <c r="C5288" s="16" t="str">
        <f>IFERROR(VLOOKUP(DATA!#REF!,DATA!#REF!,1,FALSE),"")</f>
        <v/>
      </c>
      <c r="D5288" s="16" t="str">
        <f>IFERROR(VLOOKUP(C5288,DATA!#REF!,2,FALSE),"")</f>
        <v/>
      </c>
    </row>
    <row r="5289" spans="3:4" s="237" customFormat="1">
      <c r="C5289" s="16" t="str">
        <f>IFERROR(VLOOKUP(DATA!#REF!,DATA!#REF!,1,FALSE),"")</f>
        <v/>
      </c>
      <c r="D5289" s="16" t="str">
        <f>IFERROR(VLOOKUP(C5289,DATA!#REF!,2,FALSE),"")</f>
        <v/>
      </c>
    </row>
    <row r="5290" spans="3:4" s="237" customFormat="1">
      <c r="C5290" s="16" t="str">
        <f>IFERROR(VLOOKUP(DATA!#REF!,DATA!#REF!,1,FALSE),"")</f>
        <v/>
      </c>
      <c r="D5290" s="16" t="str">
        <f>IFERROR(VLOOKUP(C5290,DATA!#REF!,2,FALSE),"")</f>
        <v/>
      </c>
    </row>
    <row r="5291" spans="3:4" s="237" customFormat="1">
      <c r="C5291" s="16" t="str">
        <f>IFERROR(VLOOKUP(DATA!#REF!,DATA!#REF!,1,FALSE),"")</f>
        <v/>
      </c>
      <c r="D5291" s="16" t="str">
        <f>IFERROR(VLOOKUP(C5291,DATA!#REF!,2,FALSE),"")</f>
        <v/>
      </c>
    </row>
    <row r="5292" spans="3:4" s="237" customFormat="1">
      <c r="C5292" s="16" t="str">
        <f>IFERROR(VLOOKUP(DATA!#REF!,DATA!#REF!,1,FALSE),"")</f>
        <v/>
      </c>
      <c r="D5292" s="16" t="str">
        <f>IFERROR(VLOOKUP(C5292,DATA!#REF!,2,FALSE),"")</f>
        <v/>
      </c>
    </row>
    <row r="5293" spans="3:4" s="237" customFormat="1">
      <c r="C5293" s="16" t="str">
        <f>IFERROR(VLOOKUP(DATA!#REF!,DATA!#REF!,1,FALSE),"")</f>
        <v/>
      </c>
      <c r="D5293" s="16" t="str">
        <f>IFERROR(VLOOKUP(C5293,DATA!#REF!,2,FALSE),"")</f>
        <v/>
      </c>
    </row>
    <row r="5294" spans="3:4" s="237" customFormat="1">
      <c r="C5294" s="16" t="str">
        <f>IFERROR(VLOOKUP(DATA!#REF!,DATA!#REF!,1,FALSE),"")</f>
        <v/>
      </c>
      <c r="D5294" s="16" t="str">
        <f>IFERROR(VLOOKUP(C5294,DATA!#REF!,2,FALSE),"")</f>
        <v/>
      </c>
    </row>
    <row r="5295" spans="3:4" s="237" customFormat="1">
      <c r="C5295" s="16" t="str">
        <f>IFERROR(VLOOKUP(DATA!#REF!,DATA!#REF!,1,FALSE),"")</f>
        <v/>
      </c>
      <c r="D5295" s="16" t="str">
        <f>IFERROR(VLOOKUP(C5295,DATA!#REF!,2,FALSE),"")</f>
        <v/>
      </c>
    </row>
    <row r="5296" spans="3:4" s="237" customFormat="1">
      <c r="C5296" s="16" t="str">
        <f>IFERROR(VLOOKUP(DATA!#REF!,DATA!#REF!,1,FALSE),"")</f>
        <v/>
      </c>
      <c r="D5296" s="16" t="str">
        <f>IFERROR(VLOOKUP(C5296,DATA!#REF!,2,FALSE),"")</f>
        <v/>
      </c>
    </row>
    <row r="5297" spans="3:4" s="237" customFormat="1">
      <c r="C5297" s="16" t="str">
        <f>IFERROR(VLOOKUP(DATA!#REF!,DATA!#REF!,1,FALSE),"")</f>
        <v/>
      </c>
      <c r="D5297" s="16" t="str">
        <f>IFERROR(VLOOKUP(C5297,DATA!#REF!,2,FALSE),"")</f>
        <v/>
      </c>
    </row>
    <row r="5298" spans="3:4" s="237" customFormat="1">
      <c r="C5298" s="16" t="str">
        <f>IFERROR(VLOOKUP(DATA!#REF!,DATA!#REF!,1,FALSE),"")</f>
        <v/>
      </c>
      <c r="D5298" s="16" t="str">
        <f>IFERROR(VLOOKUP(C5298,DATA!#REF!,2,FALSE),"")</f>
        <v/>
      </c>
    </row>
    <row r="5299" spans="3:4" s="237" customFormat="1">
      <c r="C5299" s="16" t="str">
        <f>IFERROR(VLOOKUP(DATA!#REF!,DATA!#REF!,1,FALSE),"")</f>
        <v/>
      </c>
      <c r="D5299" s="16" t="str">
        <f>IFERROR(VLOOKUP(C5299,DATA!#REF!,2,FALSE),"")</f>
        <v/>
      </c>
    </row>
    <row r="5300" spans="3:4" s="237" customFormat="1">
      <c r="C5300" s="16" t="str">
        <f>IFERROR(VLOOKUP(DATA!#REF!,DATA!#REF!,1,FALSE),"")</f>
        <v/>
      </c>
      <c r="D5300" s="16" t="str">
        <f>IFERROR(VLOOKUP(C5300,DATA!#REF!,2,FALSE),"")</f>
        <v/>
      </c>
    </row>
    <row r="5301" spans="3:4" s="237" customFormat="1">
      <c r="C5301" s="16" t="str">
        <f>IFERROR(VLOOKUP(DATA!#REF!,DATA!#REF!,1,FALSE),"")</f>
        <v/>
      </c>
      <c r="D5301" s="16" t="str">
        <f>IFERROR(VLOOKUP(C5301,DATA!#REF!,2,FALSE),"")</f>
        <v/>
      </c>
    </row>
    <row r="5302" spans="3:4" s="237" customFormat="1">
      <c r="C5302" s="16" t="str">
        <f>IFERROR(VLOOKUP(DATA!#REF!,DATA!#REF!,1,FALSE),"")</f>
        <v/>
      </c>
      <c r="D5302" s="16" t="str">
        <f>IFERROR(VLOOKUP(C5302,DATA!#REF!,2,FALSE),"")</f>
        <v/>
      </c>
    </row>
    <row r="5303" spans="3:4" s="237" customFormat="1">
      <c r="C5303" s="16" t="str">
        <f>IFERROR(VLOOKUP(DATA!#REF!,DATA!#REF!,1,FALSE),"")</f>
        <v/>
      </c>
      <c r="D5303" s="16" t="str">
        <f>IFERROR(VLOOKUP(C5303,DATA!#REF!,2,FALSE),"")</f>
        <v/>
      </c>
    </row>
    <row r="5304" spans="3:4" s="237" customFormat="1">
      <c r="C5304" s="16" t="str">
        <f>IFERROR(VLOOKUP(DATA!#REF!,DATA!#REF!,1,FALSE),"")</f>
        <v/>
      </c>
      <c r="D5304" s="16" t="str">
        <f>IFERROR(VLOOKUP(C5304,DATA!#REF!,2,FALSE),"")</f>
        <v/>
      </c>
    </row>
    <row r="5305" spans="3:4" s="237" customFormat="1">
      <c r="C5305" s="16" t="str">
        <f>IFERROR(VLOOKUP(DATA!#REF!,DATA!#REF!,1,FALSE),"")</f>
        <v/>
      </c>
      <c r="D5305" s="16" t="str">
        <f>IFERROR(VLOOKUP(C5305,DATA!#REF!,2,FALSE),"")</f>
        <v/>
      </c>
    </row>
    <row r="5306" spans="3:4" s="237" customFormat="1">
      <c r="C5306" s="16" t="str">
        <f>IFERROR(VLOOKUP(DATA!#REF!,DATA!#REF!,1,FALSE),"")</f>
        <v/>
      </c>
      <c r="D5306" s="16" t="str">
        <f>IFERROR(VLOOKUP(C5306,DATA!#REF!,2,FALSE),"")</f>
        <v/>
      </c>
    </row>
    <row r="5307" spans="3:4" s="237" customFormat="1">
      <c r="C5307" s="16" t="str">
        <f>IFERROR(VLOOKUP(DATA!#REF!,DATA!#REF!,1,FALSE),"")</f>
        <v/>
      </c>
      <c r="D5307" s="16" t="str">
        <f>IFERROR(VLOOKUP(C5307,DATA!#REF!,2,FALSE),"")</f>
        <v/>
      </c>
    </row>
    <row r="5308" spans="3:4" s="237" customFormat="1">
      <c r="C5308" s="16" t="str">
        <f>IFERROR(VLOOKUP(DATA!#REF!,DATA!#REF!,1,FALSE),"")</f>
        <v/>
      </c>
      <c r="D5308" s="16" t="str">
        <f>IFERROR(VLOOKUP(C5308,DATA!#REF!,2,FALSE),"")</f>
        <v/>
      </c>
    </row>
    <row r="5309" spans="3:4" s="237" customFormat="1">
      <c r="C5309" s="16" t="str">
        <f>IFERROR(VLOOKUP(DATA!#REF!,DATA!#REF!,1,FALSE),"")</f>
        <v/>
      </c>
      <c r="D5309" s="16" t="str">
        <f>IFERROR(VLOOKUP(C5309,DATA!#REF!,2,FALSE),"")</f>
        <v/>
      </c>
    </row>
    <row r="5310" spans="3:4" s="237" customFormat="1">
      <c r="C5310" s="16" t="str">
        <f>IFERROR(VLOOKUP(DATA!#REF!,DATA!#REF!,1,FALSE),"")</f>
        <v/>
      </c>
      <c r="D5310" s="16" t="str">
        <f>IFERROR(VLOOKUP(C5310,DATA!#REF!,2,FALSE),"")</f>
        <v/>
      </c>
    </row>
    <row r="5311" spans="3:4" s="237" customFormat="1">
      <c r="C5311" s="16" t="str">
        <f>IFERROR(VLOOKUP(DATA!#REF!,DATA!#REF!,1,FALSE),"")</f>
        <v/>
      </c>
      <c r="D5311" s="16" t="str">
        <f>IFERROR(VLOOKUP(C5311,DATA!#REF!,2,FALSE),"")</f>
        <v/>
      </c>
    </row>
    <row r="5312" spans="3:4" s="237" customFormat="1">
      <c r="C5312" s="16" t="str">
        <f>IFERROR(VLOOKUP(DATA!#REF!,DATA!#REF!,1,FALSE),"")</f>
        <v/>
      </c>
      <c r="D5312" s="16" t="str">
        <f>IFERROR(VLOOKUP(C5312,DATA!#REF!,2,FALSE),"")</f>
        <v/>
      </c>
    </row>
    <row r="5313" spans="3:4" s="237" customFormat="1">
      <c r="C5313" s="16" t="str">
        <f>IFERROR(VLOOKUP(DATA!#REF!,DATA!#REF!,1,FALSE),"")</f>
        <v/>
      </c>
      <c r="D5313" s="16" t="str">
        <f>IFERROR(VLOOKUP(C5313,DATA!#REF!,2,FALSE),"")</f>
        <v/>
      </c>
    </row>
    <row r="5314" spans="3:4" s="237" customFormat="1">
      <c r="C5314" s="16" t="str">
        <f>IFERROR(VLOOKUP(DATA!#REF!,DATA!#REF!,1,FALSE),"")</f>
        <v/>
      </c>
      <c r="D5314" s="16" t="str">
        <f>IFERROR(VLOOKUP(C5314,DATA!#REF!,2,FALSE),"")</f>
        <v/>
      </c>
    </row>
    <row r="5315" spans="3:4" s="237" customFormat="1">
      <c r="C5315" s="16" t="str">
        <f>IFERROR(VLOOKUP(DATA!#REF!,DATA!#REF!,1,FALSE),"")</f>
        <v/>
      </c>
      <c r="D5315" s="16" t="str">
        <f>IFERROR(VLOOKUP(C5315,DATA!#REF!,2,FALSE),"")</f>
        <v/>
      </c>
    </row>
    <row r="5316" spans="3:4" s="237" customFormat="1">
      <c r="C5316" s="16" t="str">
        <f>IFERROR(VLOOKUP(DATA!#REF!,DATA!#REF!,1,FALSE),"")</f>
        <v/>
      </c>
      <c r="D5316" s="16" t="str">
        <f>IFERROR(VLOOKUP(C5316,DATA!#REF!,2,FALSE),"")</f>
        <v/>
      </c>
    </row>
    <row r="5317" spans="3:4" s="237" customFormat="1">
      <c r="C5317" s="16" t="str">
        <f>IFERROR(VLOOKUP(DATA!#REF!,DATA!#REF!,1,FALSE),"")</f>
        <v/>
      </c>
      <c r="D5317" s="16" t="str">
        <f>IFERROR(VLOOKUP(C5317,DATA!#REF!,2,FALSE),"")</f>
        <v/>
      </c>
    </row>
    <row r="5318" spans="3:4" s="237" customFormat="1">
      <c r="C5318" s="16" t="str">
        <f>IFERROR(VLOOKUP(DATA!#REF!,DATA!#REF!,1,FALSE),"")</f>
        <v/>
      </c>
      <c r="D5318" s="16" t="str">
        <f>IFERROR(VLOOKUP(C5318,DATA!#REF!,2,FALSE),"")</f>
        <v/>
      </c>
    </row>
    <row r="5319" spans="3:4" s="237" customFormat="1">
      <c r="C5319" s="16" t="str">
        <f>IFERROR(VLOOKUP(DATA!#REF!,DATA!#REF!,1,FALSE),"")</f>
        <v/>
      </c>
      <c r="D5319" s="16" t="str">
        <f>IFERROR(VLOOKUP(C5319,DATA!#REF!,2,FALSE),"")</f>
        <v/>
      </c>
    </row>
    <row r="5320" spans="3:4" s="237" customFormat="1">
      <c r="C5320" s="16" t="str">
        <f>IFERROR(VLOOKUP(DATA!#REF!,DATA!#REF!,1,FALSE),"")</f>
        <v/>
      </c>
      <c r="D5320" s="16" t="str">
        <f>IFERROR(VLOOKUP(C5320,DATA!#REF!,2,FALSE),"")</f>
        <v/>
      </c>
    </row>
    <row r="5321" spans="3:4" s="237" customFormat="1">
      <c r="C5321" s="16" t="str">
        <f>IFERROR(VLOOKUP(DATA!#REF!,DATA!#REF!,1,FALSE),"")</f>
        <v/>
      </c>
      <c r="D5321" s="16" t="str">
        <f>IFERROR(VLOOKUP(C5321,DATA!#REF!,2,FALSE),"")</f>
        <v/>
      </c>
    </row>
    <row r="5322" spans="3:4" s="237" customFormat="1">
      <c r="C5322" s="16" t="str">
        <f>IFERROR(VLOOKUP(DATA!#REF!,DATA!#REF!,1,FALSE),"")</f>
        <v/>
      </c>
      <c r="D5322" s="16" t="str">
        <f>IFERROR(VLOOKUP(C5322,DATA!#REF!,2,FALSE),"")</f>
        <v/>
      </c>
    </row>
    <row r="5323" spans="3:4" s="237" customFormat="1">
      <c r="C5323" s="16" t="str">
        <f>IFERROR(VLOOKUP(DATA!#REF!,DATA!#REF!,1,FALSE),"")</f>
        <v/>
      </c>
      <c r="D5323" s="16" t="str">
        <f>IFERROR(VLOOKUP(C5323,DATA!#REF!,2,FALSE),"")</f>
        <v/>
      </c>
    </row>
    <row r="5324" spans="3:4" s="237" customFormat="1">
      <c r="C5324" s="16" t="str">
        <f>IFERROR(VLOOKUP(DATA!#REF!,DATA!#REF!,1,FALSE),"")</f>
        <v/>
      </c>
      <c r="D5324" s="16" t="str">
        <f>IFERROR(VLOOKUP(C5324,DATA!#REF!,2,FALSE),"")</f>
        <v/>
      </c>
    </row>
    <row r="5325" spans="3:4" s="237" customFormat="1">
      <c r="C5325" s="16" t="str">
        <f>IFERROR(VLOOKUP(DATA!#REF!,DATA!#REF!,1,FALSE),"")</f>
        <v/>
      </c>
      <c r="D5325" s="16" t="str">
        <f>IFERROR(VLOOKUP(C5325,DATA!#REF!,2,FALSE),"")</f>
        <v/>
      </c>
    </row>
    <row r="5326" spans="3:4" s="237" customFormat="1">
      <c r="C5326" s="16" t="str">
        <f>IFERROR(VLOOKUP(DATA!#REF!,DATA!#REF!,1,FALSE),"")</f>
        <v/>
      </c>
      <c r="D5326" s="16" t="str">
        <f>IFERROR(VLOOKUP(C5326,DATA!#REF!,2,FALSE),"")</f>
        <v/>
      </c>
    </row>
    <row r="5327" spans="3:4" s="237" customFormat="1">
      <c r="C5327" s="16" t="str">
        <f>IFERROR(VLOOKUP(DATA!#REF!,DATA!#REF!,1,FALSE),"")</f>
        <v/>
      </c>
      <c r="D5327" s="16" t="str">
        <f>IFERROR(VLOOKUP(C5327,DATA!#REF!,2,FALSE),"")</f>
        <v/>
      </c>
    </row>
    <row r="5328" spans="3:4" s="237" customFormat="1">
      <c r="C5328" s="16" t="str">
        <f>IFERROR(VLOOKUP(DATA!#REF!,DATA!#REF!,1,FALSE),"")</f>
        <v/>
      </c>
      <c r="D5328" s="16" t="str">
        <f>IFERROR(VLOOKUP(C5328,DATA!#REF!,2,FALSE),"")</f>
        <v/>
      </c>
    </row>
    <row r="5329" spans="3:4" s="237" customFormat="1">
      <c r="C5329" s="16" t="str">
        <f>IFERROR(VLOOKUP(DATA!#REF!,DATA!#REF!,1,FALSE),"")</f>
        <v/>
      </c>
      <c r="D5329" s="16" t="str">
        <f>IFERROR(VLOOKUP(C5329,DATA!#REF!,2,FALSE),"")</f>
        <v/>
      </c>
    </row>
    <row r="5330" spans="3:4" s="237" customFormat="1">
      <c r="C5330" s="16" t="str">
        <f>IFERROR(VLOOKUP(DATA!#REF!,DATA!#REF!,1,FALSE),"")</f>
        <v/>
      </c>
      <c r="D5330" s="16" t="str">
        <f>IFERROR(VLOOKUP(C5330,DATA!#REF!,2,FALSE),"")</f>
        <v/>
      </c>
    </row>
    <row r="5331" spans="3:4" s="237" customFormat="1">
      <c r="C5331" s="16" t="str">
        <f>IFERROR(VLOOKUP(DATA!#REF!,DATA!#REF!,1,FALSE),"")</f>
        <v/>
      </c>
      <c r="D5331" s="16" t="str">
        <f>IFERROR(VLOOKUP(C5331,DATA!#REF!,2,FALSE),"")</f>
        <v/>
      </c>
    </row>
    <row r="5332" spans="3:4" s="237" customFormat="1">
      <c r="C5332" s="16" t="str">
        <f>IFERROR(VLOOKUP(DATA!#REF!,DATA!#REF!,1,FALSE),"")</f>
        <v/>
      </c>
      <c r="D5332" s="16" t="str">
        <f>IFERROR(VLOOKUP(C5332,DATA!#REF!,2,FALSE),"")</f>
        <v/>
      </c>
    </row>
    <row r="5333" spans="3:4" s="237" customFormat="1">
      <c r="C5333" s="16" t="str">
        <f>IFERROR(VLOOKUP(DATA!#REF!,DATA!#REF!,1,FALSE),"")</f>
        <v/>
      </c>
      <c r="D5333" s="16" t="str">
        <f>IFERROR(VLOOKUP(C5333,DATA!#REF!,2,FALSE),"")</f>
        <v/>
      </c>
    </row>
    <row r="5334" spans="3:4" s="237" customFormat="1">
      <c r="C5334" s="16" t="str">
        <f>IFERROR(VLOOKUP(DATA!#REF!,DATA!#REF!,1,FALSE),"")</f>
        <v/>
      </c>
      <c r="D5334" s="16" t="str">
        <f>IFERROR(VLOOKUP(C5334,DATA!#REF!,2,FALSE),"")</f>
        <v/>
      </c>
    </row>
    <row r="5335" spans="3:4" s="237" customFormat="1">
      <c r="C5335" s="16" t="str">
        <f>IFERROR(VLOOKUP(DATA!#REF!,DATA!#REF!,1,FALSE),"")</f>
        <v/>
      </c>
      <c r="D5335" s="16" t="str">
        <f>IFERROR(VLOOKUP(C5335,DATA!#REF!,2,FALSE),"")</f>
        <v/>
      </c>
    </row>
    <row r="5336" spans="3:4" s="237" customFormat="1">
      <c r="C5336" s="16" t="str">
        <f>IFERROR(VLOOKUP(DATA!#REF!,DATA!#REF!,1,FALSE),"")</f>
        <v/>
      </c>
      <c r="D5336" s="16" t="str">
        <f>IFERROR(VLOOKUP(C5336,DATA!#REF!,2,FALSE),"")</f>
        <v/>
      </c>
    </row>
    <row r="5337" spans="3:4" s="237" customFormat="1">
      <c r="C5337" s="16" t="str">
        <f>IFERROR(VLOOKUP(DATA!#REF!,DATA!#REF!,1,FALSE),"")</f>
        <v/>
      </c>
      <c r="D5337" s="16" t="str">
        <f>IFERROR(VLOOKUP(C5337,DATA!#REF!,2,FALSE),"")</f>
        <v/>
      </c>
    </row>
    <row r="5338" spans="3:4" s="237" customFormat="1">
      <c r="C5338" s="16" t="str">
        <f>IFERROR(VLOOKUP(DATA!#REF!,DATA!#REF!,1,FALSE),"")</f>
        <v/>
      </c>
      <c r="D5338" s="16" t="str">
        <f>IFERROR(VLOOKUP(C5338,DATA!#REF!,2,FALSE),"")</f>
        <v/>
      </c>
    </row>
    <row r="5339" spans="3:4" s="237" customFormat="1">
      <c r="C5339" s="16" t="str">
        <f>IFERROR(VLOOKUP(DATA!#REF!,DATA!#REF!,1,FALSE),"")</f>
        <v/>
      </c>
      <c r="D5339" s="16" t="str">
        <f>IFERROR(VLOOKUP(C5339,DATA!#REF!,2,FALSE),"")</f>
        <v/>
      </c>
    </row>
    <row r="5340" spans="3:4" s="237" customFormat="1">
      <c r="C5340" s="16" t="str">
        <f>IFERROR(VLOOKUP(DATA!#REF!,DATA!#REF!,1,FALSE),"")</f>
        <v/>
      </c>
      <c r="D5340" s="16" t="str">
        <f>IFERROR(VLOOKUP(C5340,DATA!#REF!,2,FALSE),"")</f>
        <v/>
      </c>
    </row>
    <row r="5341" spans="3:4" s="237" customFormat="1">
      <c r="C5341" s="16" t="str">
        <f>IFERROR(VLOOKUP(DATA!#REF!,DATA!#REF!,1,FALSE),"")</f>
        <v/>
      </c>
      <c r="D5341" s="16" t="str">
        <f>IFERROR(VLOOKUP(C5341,DATA!#REF!,2,FALSE),"")</f>
        <v/>
      </c>
    </row>
    <row r="5342" spans="3:4" s="237" customFormat="1">
      <c r="C5342" s="16" t="str">
        <f>IFERROR(VLOOKUP(DATA!#REF!,DATA!#REF!,1,FALSE),"")</f>
        <v/>
      </c>
      <c r="D5342" s="16" t="str">
        <f>IFERROR(VLOOKUP(C5342,DATA!#REF!,2,FALSE),"")</f>
        <v/>
      </c>
    </row>
    <row r="5343" spans="3:4" s="237" customFormat="1">
      <c r="C5343" s="16" t="str">
        <f>IFERROR(VLOOKUP(DATA!#REF!,DATA!#REF!,1,FALSE),"")</f>
        <v/>
      </c>
      <c r="D5343" s="16" t="str">
        <f>IFERROR(VLOOKUP(C5343,DATA!#REF!,2,FALSE),"")</f>
        <v/>
      </c>
    </row>
    <row r="5344" spans="3:4" s="237" customFormat="1">
      <c r="C5344" s="16" t="str">
        <f>IFERROR(VLOOKUP(DATA!#REF!,DATA!#REF!,1,FALSE),"")</f>
        <v/>
      </c>
      <c r="D5344" s="16" t="str">
        <f>IFERROR(VLOOKUP(C5344,DATA!#REF!,2,FALSE),"")</f>
        <v/>
      </c>
    </row>
    <row r="5345" spans="3:4" s="237" customFormat="1">
      <c r="C5345" s="16" t="str">
        <f>IFERROR(VLOOKUP(DATA!#REF!,DATA!#REF!,1,FALSE),"")</f>
        <v/>
      </c>
      <c r="D5345" s="16" t="str">
        <f>IFERROR(VLOOKUP(C5345,DATA!#REF!,2,FALSE),"")</f>
        <v/>
      </c>
    </row>
    <row r="5346" spans="3:4" s="237" customFormat="1">
      <c r="C5346" s="16" t="str">
        <f>IFERROR(VLOOKUP(DATA!#REF!,DATA!#REF!,1,FALSE),"")</f>
        <v/>
      </c>
      <c r="D5346" s="16" t="str">
        <f>IFERROR(VLOOKUP(C5346,DATA!#REF!,2,FALSE),"")</f>
        <v/>
      </c>
    </row>
    <row r="5347" spans="3:4" s="237" customFormat="1">
      <c r="C5347" s="16" t="str">
        <f>IFERROR(VLOOKUP(DATA!#REF!,DATA!#REF!,1,FALSE),"")</f>
        <v/>
      </c>
      <c r="D5347" s="16" t="str">
        <f>IFERROR(VLOOKUP(C5347,DATA!#REF!,2,FALSE),"")</f>
        <v/>
      </c>
    </row>
    <row r="5348" spans="3:4" s="237" customFormat="1">
      <c r="C5348" s="16" t="str">
        <f>IFERROR(VLOOKUP(DATA!#REF!,DATA!#REF!,1,FALSE),"")</f>
        <v/>
      </c>
      <c r="D5348" s="16" t="str">
        <f>IFERROR(VLOOKUP(C5348,DATA!#REF!,2,FALSE),"")</f>
        <v/>
      </c>
    </row>
    <row r="5349" spans="3:4" s="237" customFormat="1">
      <c r="C5349" s="16" t="str">
        <f>IFERROR(VLOOKUP(DATA!#REF!,DATA!#REF!,1,FALSE),"")</f>
        <v/>
      </c>
      <c r="D5349" s="16" t="str">
        <f>IFERROR(VLOOKUP(C5349,DATA!#REF!,2,FALSE),"")</f>
        <v/>
      </c>
    </row>
    <row r="5350" spans="3:4" s="237" customFormat="1">
      <c r="C5350" s="16" t="str">
        <f>IFERROR(VLOOKUP(DATA!#REF!,DATA!#REF!,1,FALSE),"")</f>
        <v/>
      </c>
      <c r="D5350" s="16" t="str">
        <f>IFERROR(VLOOKUP(C5350,DATA!#REF!,2,FALSE),"")</f>
        <v/>
      </c>
    </row>
    <row r="5351" spans="3:4" s="237" customFormat="1">
      <c r="C5351" s="16" t="str">
        <f>IFERROR(VLOOKUP(DATA!#REF!,DATA!#REF!,1,FALSE),"")</f>
        <v/>
      </c>
      <c r="D5351" s="16" t="str">
        <f>IFERROR(VLOOKUP(C5351,DATA!#REF!,2,FALSE),"")</f>
        <v/>
      </c>
    </row>
    <row r="5352" spans="3:4" s="237" customFormat="1">
      <c r="C5352" s="16" t="str">
        <f>IFERROR(VLOOKUP(DATA!#REF!,DATA!#REF!,1,FALSE),"")</f>
        <v/>
      </c>
      <c r="D5352" s="16" t="str">
        <f>IFERROR(VLOOKUP(C5352,DATA!#REF!,2,FALSE),"")</f>
        <v/>
      </c>
    </row>
    <row r="5353" spans="3:4" s="237" customFormat="1">
      <c r="C5353" s="16" t="str">
        <f>IFERROR(VLOOKUP(DATA!#REF!,DATA!#REF!,1,FALSE),"")</f>
        <v/>
      </c>
      <c r="D5353" s="16" t="str">
        <f>IFERROR(VLOOKUP(C5353,DATA!#REF!,2,FALSE),"")</f>
        <v/>
      </c>
    </row>
    <row r="5354" spans="3:4" s="237" customFormat="1">
      <c r="C5354" s="16" t="str">
        <f>IFERROR(VLOOKUP(DATA!#REF!,DATA!#REF!,1,FALSE),"")</f>
        <v/>
      </c>
      <c r="D5354" s="16" t="str">
        <f>IFERROR(VLOOKUP(C5354,DATA!#REF!,2,FALSE),"")</f>
        <v/>
      </c>
    </row>
    <row r="5355" spans="3:4" s="237" customFormat="1">
      <c r="C5355" s="16" t="str">
        <f>IFERROR(VLOOKUP(DATA!#REF!,DATA!#REF!,1,FALSE),"")</f>
        <v/>
      </c>
      <c r="D5355" s="16" t="str">
        <f>IFERROR(VLOOKUP(C5355,DATA!#REF!,2,FALSE),"")</f>
        <v/>
      </c>
    </row>
    <row r="5356" spans="3:4" s="237" customFormat="1">
      <c r="C5356" s="16" t="str">
        <f>IFERROR(VLOOKUP(DATA!#REF!,DATA!#REF!,1,FALSE),"")</f>
        <v/>
      </c>
      <c r="D5356" s="16" t="str">
        <f>IFERROR(VLOOKUP(C5356,DATA!#REF!,2,FALSE),"")</f>
        <v/>
      </c>
    </row>
    <row r="5357" spans="3:4" s="237" customFormat="1">
      <c r="C5357" s="16" t="str">
        <f>IFERROR(VLOOKUP(DATA!#REF!,DATA!#REF!,1,FALSE),"")</f>
        <v/>
      </c>
      <c r="D5357" s="16" t="str">
        <f>IFERROR(VLOOKUP(C5357,DATA!#REF!,2,FALSE),"")</f>
        <v/>
      </c>
    </row>
    <row r="5358" spans="3:4" s="237" customFormat="1">
      <c r="C5358" s="16" t="str">
        <f>IFERROR(VLOOKUP(DATA!#REF!,DATA!#REF!,1,FALSE),"")</f>
        <v/>
      </c>
      <c r="D5358" s="16" t="str">
        <f>IFERROR(VLOOKUP(C5358,DATA!#REF!,2,FALSE),"")</f>
        <v/>
      </c>
    </row>
    <row r="5359" spans="3:4" s="237" customFormat="1">
      <c r="C5359" s="16" t="str">
        <f>IFERROR(VLOOKUP(DATA!#REF!,DATA!#REF!,1,FALSE),"")</f>
        <v/>
      </c>
      <c r="D5359" s="16" t="str">
        <f>IFERROR(VLOOKUP(C5359,DATA!#REF!,2,FALSE),"")</f>
        <v/>
      </c>
    </row>
    <row r="5360" spans="3:4" s="237" customFormat="1">
      <c r="C5360" s="16" t="str">
        <f>IFERROR(VLOOKUP(DATA!#REF!,DATA!#REF!,1,FALSE),"")</f>
        <v/>
      </c>
      <c r="D5360" s="16" t="str">
        <f>IFERROR(VLOOKUP(C5360,DATA!#REF!,2,FALSE),"")</f>
        <v/>
      </c>
    </row>
    <row r="5361" spans="3:4" s="237" customFormat="1">
      <c r="C5361" s="16" t="str">
        <f>IFERROR(VLOOKUP(DATA!#REF!,DATA!#REF!,1,FALSE),"")</f>
        <v/>
      </c>
      <c r="D5361" s="16" t="str">
        <f>IFERROR(VLOOKUP(C5361,DATA!#REF!,2,FALSE),"")</f>
        <v/>
      </c>
    </row>
    <row r="5362" spans="3:4" s="237" customFormat="1">
      <c r="C5362" s="16" t="str">
        <f>IFERROR(VLOOKUP(DATA!#REF!,DATA!#REF!,1,FALSE),"")</f>
        <v/>
      </c>
      <c r="D5362" s="16" t="str">
        <f>IFERROR(VLOOKUP(C5362,DATA!#REF!,2,FALSE),"")</f>
        <v/>
      </c>
    </row>
    <row r="5363" spans="3:4" s="237" customFormat="1">
      <c r="C5363" s="16" t="str">
        <f>IFERROR(VLOOKUP(DATA!#REF!,DATA!#REF!,1,FALSE),"")</f>
        <v/>
      </c>
      <c r="D5363" s="16" t="str">
        <f>IFERROR(VLOOKUP(C5363,DATA!#REF!,2,FALSE),"")</f>
        <v/>
      </c>
    </row>
    <row r="5364" spans="3:4" s="237" customFormat="1">
      <c r="C5364" s="16" t="str">
        <f>IFERROR(VLOOKUP(DATA!#REF!,DATA!#REF!,1,FALSE),"")</f>
        <v/>
      </c>
      <c r="D5364" s="16" t="str">
        <f>IFERROR(VLOOKUP(C5364,DATA!#REF!,2,FALSE),"")</f>
        <v/>
      </c>
    </row>
    <row r="5365" spans="3:4" s="237" customFormat="1">
      <c r="C5365" s="16" t="str">
        <f>IFERROR(VLOOKUP(DATA!#REF!,DATA!#REF!,1,FALSE),"")</f>
        <v/>
      </c>
      <c r="D5365" s="16" t="str">
        <f>IFERROR(VLOOKUP(C5365,DATA!#REF!,2,FALSE),"")</f>
        <v/>
      </c>
    </row>
    <row r="5366" spans="3:4" s="237" customFormat="1">
      <c r="C5366" s="16" t="str">
        <f>IFERROR(VLOOKUP(DATA!#REF!,DATA!#REF!,1,FALSE),"")</f>
        <v/>
      </c>
      <c r="D5366" s="16" t="str">
        <f>IFERROR(VLOOKUP(C5366,DATA!#REF!,2,FALSE),"")</f>
        <v/>
      </c>
    </row>
    <row r="5367" spans="3:4" s="237" customFormat="1">
      <c r="C5367" s="16" t="str">
        <f>IFERROR(VLOOKUP(DATA!#REF!,DATA!#REF!,1,FALSE),"")</f>
        <v/>
      </c>
      <c r="D5367" s="16" t="str">
        <f>IFERROR(VLOOKUP(C5367,DATA!#REF!,2,FALSE),"")</f>
        <v/>
      </c>
    </row>
    <row r="5368" spans="3:4" s="237" customFormat="1">
      <c r="C5368" s="16" t="str">
        <f>IFERROR(VLOOKUP(DATA!#REF!,DATA!#REF!,1,FALSE),"")</f>
        <v/>
      </c>
      <c r="D5368" s="16" t="str">
        <f>IFERROR(VLOOKUP(C5368,DATA!#REF!,2,FALSE),"")</f>
        <v/>
      </c>
    </row>
    <row r="5369" spans="3:4" s="237" customFormat="1">
      <c r="C5369" s="16" t="str">
        <f>IFERROR(VLOOKUP(DATA!#REF!,DATA!#REF!,1,FALSE),"")</f>
        <v/>
      </c>
      <c r="D5369" s="16" t="str">
        <f>IFERROR(VLOOKUP(C5369,DATA!#REF!,2,FALSE),"")</f>
        <v/>
      </c>
    </row>
    <row r="5370" spans="3:4" s="237" customFormat="1">
      <c r="C5370" s="16" t="str">
        <f>IFERROR(VLOOKUP(DATA!#REF!,DATA!#REF!,1,FALSE),"")</f>
        <v/>
      </c>
      <c r="D5370" s="16" t="str">
        <f>IFERROR(VLOOKUP(C5370,DATA!#REF!,2,FALSE),"")</f>
        <v/>
      </c>
    </row>
    <row r="5371" spans="3:4" s="237" customFormat="1">
      <c r="C5371" s="16" t="str">
        <f>IFERROR(VLOOKUP(DATA!#REF!,DATA!#REF!,1,FALSE),"")</f>
        <v/>
      </c>
      <c r="D5371" s="16" t="str">
        <f>IFERROR(VLOOKUP(C5371,DATA!#REF!,2,FALSE),"")</f>
        <v/>
      </c>
    </row>
    <row r="5372" spans="3:4" s="237" customFormat="1">
      <c r="C5372" s="16" t="str">
        <f>IFERROR(VLOOKUP(DATA!#REF!,DATA!#REF!,1,FALSE),"")</f>
        <v/>
      </c>
      <c r="D5372" s="16" t="str">
        <f>IFERROR(VLOOKUP(C5372,DATA!#REF!,2,FALSE),"")</f>
        <v/>
      </c>
    </row>
    <row r="5373" spans="3:4" s="237" customFormat="1">
      <c r="C5373" s="16" t="str">
        <f>IFERROR(VLOOKUP(DATA!#REF!,DATA!#REF!,1,FALSE),"")</f>
        <v/>
      </c>
      <c r="D5373" s="16" t="str">
        <f>IFERROR(VLOOKUP(C5373,DATA!#REF!,2,FALSE),"")</f>
        <v/>
      </c>
    </row>
    <row r="5374" spans="3:4" s="237" customFormat="1">
      <c r="C5374" s="16" t="str">
        <f>IFERROR(VLOOKUP(DATA!#REF!,DATA!#REF!,1,FALSE),"")</f>
        <v/>
      </c>
      <c r="D5374" s="16" t="str">
        <f>IFERROR(VLOOKUP(C5374,DATA!#REF!,2,FALSE),"")</f>
        <v/>
      </c>
    </row>
    <row r="5375" spans="3:4" s="237" customFormat="1">
      <c r="C5375" s="16" t="str">
        <f>IFERROR(VLOOKUP(DATA!#REF!,DATA!#REF!,1,FALSE),"")</f>
        <v/>
      </c>
      <c r="D5375" s="16" t="str">
        <f>IFERROR(VLOOKUP(C5375,DATA!#REF!,2,FALSE),"")</f>
        <v/>
      </c>
    </row>
    <row r="5376" spans="3:4" s="237" customFormat="1">
      <c r="C5376" s="16" t="str">
        <f>IFERROR(VLOOKUP(DATA!#REF!,DATA!#REF!,1,FALSE),"")</f>
        <v/>
      </c>
      <c r="D5376" s="16" t="str">
        <f>IFERROR(VLOOKUP(C5376,DATA!#REF!,2,FALSE),"")</f>
        <v/>
      </c>
    </row>
    <row r="5377" spans="3:4" s="237" customFormat="1">
      <c r="C5377" s="16" t="str">
        <f>IFERROR(VLOOKUP(DATA!#REF!,DATA!#REF!,1,FALSE),"")</f>
        <v/>
      </c>
      <c r="D5377" s="16" t="str">
        <f>IFERROR(VLOOKUP(C5377,DATA!#REF!,2,FALSE),"")</f>
        <v/>
      </c>
    </row>
    <row r="5378" spans="3:4" s="237" customFormat="1">
      <c r="C5378" s="16" t="str">
        <f>IFERROR(VLOOKUP(DATA!#REF!,DATA!#REF!,1,FALSE),"")</f>
        <v/>
      </c>
      <c r="D5378" s="16" t="str">
        <f>IFERROR(VLOOKUP(C5378,DATA!#REF!,2,FALSE),"")</f>
        <v/>
      </c>
    </row>
    <row r="5379" spans="3:4" s="237" customFormat="1">
      <c r="C5379" s="16" t="str">
        <f>IFERROR(VLOOKUP(DATA!#REF!,DATA!#REF!,1,FALSE),"")</f>
        <v/>
      </c>
      <c r="D5379" s="16" t="str">
        <f>IFERROR(VLOOKUP(C5379,DATA!#REF!,2,FALSE),"")</f>
        <v/>
      </c>
    </row>
    <row r="5380" spans="3:4" s="237" customFormat="1">
      <c r="C5380" s="16" t="str">
        <f>IFERROR(VLOOKUP(DATA!#REF!,DATA!#REF!,1,FALSE),"")</f>
        <v/>
      </c>
      <c r="D5380" s="16" t="str">
        <f>IFERROR(VLOOKUP(C5380,DATA!#REF!,2,FALSE),"")</f>
        <v/>
      </c>
    </row>
    <row r="5381" spans="3:4" s="237" customFormat="1">
      <c r="C5381" s="16" t="str">
        <f>IFERROR(VLOOKUP(DATA!#REF!,DATA!#REF!,1,FALSE),"")</f>
        <v/>
      </c>
      <c r="D5381" s="16" t="str">
        <f>IFERROR(VLOOKUP(C5381,DATA!#REF!,2,FALSE),"")</f>
        <v/>
      </c>
    </row>
    <row r="5382" spans="3:4" s="237" customFormat="1">
      <c r="C5382" s="16" t="str">
        <f>IFERROR(VLOOKUP(DATA!#REF!,DATA!#REF!,1,FALSE),"")</f>
        <v/>
      </c>
      <c r="D5382" s="16" t="str">
        <f>IFERROR(VLOOKUP(C5382,DATA!#REF!,2,FALSE),"")</f>
        <v/>
      </c>
    </row>
    <row r="5383" spans="3:4" s="237" customFormat="1">
      <c r="C5383" s="16" t="str">
        <f>IFERROR(VLOOKUP(DATA!#REF!,DATA!#REF!,1,FALSE),"")</f>
        <v/>
      </c>
      <c r="D5383" s="16" t="str">
        <f>IFERROR(VLOOKUP(C5383,DATA!#REF!,2,FALSE),"")</f>
        <v/>
      </c>
    </row>
    <row r="5384" spans="3:4" s="237" customFormat="1">
      <c r="C5384" s="16" t="str">
        <f>IFERROR(VLOOKUP(DATA!#REF!,DATA!#REF!,1,FALSE),"")</f>
        <v/>
      </c>
      <c r="D5384" s="16" t="str">
        <f>IFERROR(VLOOKUP(C5384,DATA!#REF!,2,FALSE),"")</f>
        <v/>
      </c>
    </row>
    <row r="5385" spans="3:4" s="237" customFormat="1">
      <c r="C5385" s="16" t="str">
        <f>IFERROR(VLOOKUP(DATA!#REF!,DATA!#REF!,1,FALSE),"")</f>
        <v/>
      </c>
      <c r="D5385" s="16" t="str">
        <f>IFERROR(VLOOKUP(C5385,DATA!#REF!,2,FALSE),"")</f>
        <v/>
      </c>
    </row>
    <row r="5386" spans="3:4" s="237" customFormat="1">
      <c r="C5386" s="16" t="str">
        <f>IFERROR(VLOOKUP(DATA!#REF!,DATA!#REF!,1,FALSE),"")</f>
        <v/>
      </c>
      <c r="D5386" s="16" t="str">
        <f>IFERROR(VLOOKUP(C5386,DATA!#REF!,2,FALSE),"")</f>
        <v/>
      </c>
    </row>
    <row r="5387" spans="3:4" s="237" customFormat="1">
      <c r="C5387" s="16" t="str">
        <f>IFERROR(VLOOKUP(DATA!#REF!,DATA!#REF!,1,FALSE),"")</f>
        <v/>
      </c>
      <c r="D5387" s="16" t="str">
        <f>IFERROR(VLOOKUP(C5387,DATA!#REF!,2,FALSE),"")</f>
        <v/>
      </c>
    </row>
    <row r="5388" spans="3:4" s="237" customFormat="1">
      <c r="C5388" s="16" t="str">
        <f>IFERROR(VLOOKUP(DATA!#REF!,DATA!#REF!,1,FALSE),"")</f>
        <v/>
      </c>
      <c r="D5388" s="16" t="str">
        <f>IFERROR(VLOOKUP(C5388,DATA!#REF!,2,FALSE),"")</f>
        <v/>
      </c>
    </row>
    <row r="5389" spans="3:4" s="237" customFormat="1">
      <c r="C5389" s="16" t="str">
        <f>IFERROR(VLOOKUP(DATA!#REF!,DATA!#REF!,1,FALSE),"")</f>
        <v/>
      </c>
      <c r="D5389" s="16" t="str">
        <f>IFERROR(VLOOKUP(C5389,DATA!#REF!,2,FALSE),"")</f>
        <v/>
      </c>
    </row>
    <row r="5390" spans="3:4" s="237" customFormat="1">
      <c r="C5390" s="16" t="str">
        <f>IFERROR(VLOOKUP(DATA!#REF!,DATA!#REF!,1,FALSE),"")</f>
        <v/>
      </c>
      <c r="D5390" s="16" t="str">
        <f>IFERROR(VLOOKUP(C5390,DATA!#REF!,2,FALSE),"")</f>
        <v/>
      </c>
    </row>
    <row r="5391" spans="3:4" s="237" customFormat="1">
      <c r="C5391" s="16" t="str">
        <f>IFERROR(VLOOKUP(DATA!#REF!,DATA!#REF!,1,FALSE),"")</f>
        <v/>
      </c>
      <c r="D5391" s="16" t="str">
        <f>IFERROR(VLOOKUP(C5391,DATA!#REF!,2,FALSE),"")</f>
        <v/>
      </c>
    </row>
    <row r="5392" spans="3:4" s="237" customFormat="1">
      <c r="C5392" s="16" t="str">
        <f>IFERROR(VLOOKUP(DATA!#REF!,DATA!#REF!,1,FALSE),"")</f>
        <v/>
      </c>
      <c r="D5392" s="16" t="str">
        <f>IFERROR(VLOOKUP(C5392,DATA!#REF!,2,FALSE),"")</f>
        <v/>
      </c>
    </row>
    <row r="5393" spans="3:4" s="237" customFormat="1">
      <c r="C5393" s="16" t="str">
        <f>IFERROR(VLOOKUP(DATA!#REF!,DATA!#REF!,1,FALSE),"")</f>
        <v/>
      </c>
      <c r="D5393" s="16" t="str">
        <f>IFERROR(VLOOKUP(C5393,DATA!#REF!,2,FALSE),"")</f>
        <v/>
      </c>
    </row>
    <row r="5394" spans="3:4" s="237" customFormat="1">
      <c r="C5394" s="16" t="str">
        <f>IFERROR(VLOOKUP(DATA!#REF!,DATA!#REF!,1,FALSE),"")</f>
        <v/>
      </c>
      <c r="D5394" s="16" t="str">
        <f>IFERROR(VLOOKUP(C5394,DATA!#REF!,2,FALSE),"")</f>
        <v/>
      </c>
    </row>
    <row r="5395" spans="3:4" s="237" customFormat="1">
      <c r="C5395" s="16" t="str">
        <f>IFERROR(VLOOKUP(DATA!#REF!,DATA!#REF!,1,FALSE),"")</f>
        <v/>
      </c>
      <c r="D5395" s="16" t="str">
        <f>IFERROR(VLOOKUP(C5395,DATA!#REF!,2,FALSE),"")</f>
        <v/>
      </c>
    </row>
    <row r="5396" spans="3:4" s="237" customFormat="1">
      <c r="C5396" s="16" t="str">
        <f>IFERROR(VLOOKUP(DATA!#REF!,DATA!#REF!,1,FALSE),"")</f>
        <v/>
      </c>
      <c r="D5396" s="16" t="str">
        <f>IFERROR(VLOOKUP(C5396,DATA!#REF!,2,FALSE),"")</f>
        <v/>
      </c>
    </row>
    <row r="5397" spans="3:4" s="237" customFormat="1">
      <c r="C5397" s="16" t="str">
        <f>IFERROR(VLOOKUP(DATA!#REF!,DATA!#REF!,1,FALSE),"")</f>
        <v/>
      </c>
      <c r="D5397" s="16" t="str">
        <f>IFERROR(VLOOKUP(C5397,DATA!#REF!,2,FALSE),"")</f>
        <v/>
      </c>
    </row>
    <row r="5398" spans="3:4" s="237" customFormat="1">
      <c r="C5398" s="16" t="str">
        <f>IFERROR(VLOOKUP(DATA!#REF!,DATA!#REF!,1,FALSE),"")</f>
        <v/>
      </c>
      <c r="D5398" s="16" t="str">
        <f>IFERROR(VLOOKUP(C5398,DATA!#REF!,2,FALSE),"")</f>
        <v/>
      </c>
    </row>
    <row r="5399" spans="3:4" s="237" customFormat="1">
      <c r="C5399" s="16" t="str">
        <f>IFERROR(VLOOKUP(DATA!#REF!,DATA!#REF!,1,FALSE),"")</f>
        <v/>
      </c>
      <c r="D5399" s="16" t="str">
        <f>IFERROR(VLOOKUP(C5399,DATA!#REF!,2,FALSE),"")</f>
        <v/>
      </c>
    </row>
    <row r="5400" spans="3:4" s="237" customFormat="1">
      <c r="C5400" s="16" t="str">
        <f>IFERROR(VLOOKUP(DATA!#REF!,DATA!#REF!,1,FALSE),"")</f>
        <v/>
      </c>
      <c r="D5400" s="16" t="str">
        <f>IFERROR(VLOOKUP(C5400,DATA!#REF!,2,FALSE),"")</f>
        <v/>
      </c>
    </row>
    <row r="5401" spans="3:4" s="237" customFormat="1">
      <c r="C5401" s="16" t="str">
        <f>IFERROR(VLOOKUP(DATA!#REF!,DATA!#REF!,1,FALSE),"")</f>
        <v/>
      </c>
      <c r="D5401" s="16" t="str">
        <f>IFERROR(VLOOKUP(C5401,DATA!#REF!,2,FALSE),"")</f>
        <v/>
      </c>
    </row>
    <row r="5402" spans="3:4" s="237" customFormat="1">
      <c r="C5402" s="16" t="str">
        <f>IFERROR(VLOOKUP(DATA!#REF!,DATA!#REF!,1,FALSE),"")</f>
        <v/>
      </c>
      <c r="D5402" s="16" t="str">
        <f>IFERROR(VLOOKUP(C5402,DATA!#REF!,2,FALSE),"")</f>
        <v/>
      </c>
    </row>
    <row r="5403" spans="3:4" s="237" customFormat="1">
      <c r="C5403" s="16" t="str">
        <f>IFERROR(VLOOKUP(DATA!#REF!,DATA!#REF!,1,FALSE),"")</f>
        <v/>
      </c>
      <c r="D5403" s="16" t="str">
        <f>IFERROR(VLOOKUP(C5403,DATA!#REF!,2,FALSE),"")</f>
        <v/>
      </c>
    </row>
    <row r="5404" spans="3:4" s="237" customFormat="1">
      <c r="C5404" s="16" t="str">
        <f>IFERROR(VLOOKUP(DATA!#REF!,DATA!#REF!,1,FALSE),"")</f>
        <v/>
      </c>
      <c r="D5404" s="16" t="str">
        <f>IFERROR(VLOOKUP(C5404,DATA!#REF!,2,FALSE),"")</f>
        <v/>
      </c>
    </row>
    <row r="5405" spans="3:4" s="237" customFormat="1">
      <c r="C5405" s="16" t="str">
        <f>IFERROR(VLOOKUP(DATA!#REF!,DATA!#REF!,1,FALSE),"")</f>
        <v/>
      </c>
      <c r="D5405" s="16" t="str">
        <f>IFERROR(VLOOKUP(C5405,DATA!#REF!,2,FALSE),"")</f>
        <v/>
      </c>
    </row>
    <row r="5406" spans="3:4" s="237" customFormat="1">
      <c r="C5406" s="16" t="str">
        <f>IFERROR(VLOOKUP(DATA!#REF!,DATA!#REF!,1,FALSE),"")</f>
        <v/>
      </c>
      <c r="D5406" s="16" t="str">
        <f>IFERROR(VLOOKUP(C5406,DATA!#REF!,2,FALSE),"")</f>
        <v/>
      </c>
    </row>
    <row r="5407" spans="3:4" s="237" customFormat="1">
      <c r="C5407" s="16" t="str">
        <f>IFERROR(VLOOKUP(DATA!#REF!,DATA!#REF!,1,FALSE),"")</f>
        <v/>
      </c>
      <c r="D5407" s="16" t="str">
        <f>IFERROR(VLOOKUP(C5407,DATA!#REF!,2,FALSE),"")</f>
        <v/>
      </c>
    </row>
    <row r="5408" spans="3:4" s="237" customFormat="1">
      <c r="C5408" s="16" t="str">
        <f>IFERROR(VLOOKUP(DATA!#REF!,DATA!#REF!,1,FALSE),"")</f>
        <v/>
      </c>
      <c r="D5408" s="16" t="str">
        <f>IFERROR(VLOOKUP(C5408,DATA!#REF!,2,FALSE),"")</f>
        <v/>
      </c>
    </row>
    <row r="5409" spans="3:4" s="237" customFormat="1">
      <c r="C5409" s="16" t="str">
        <f>IFERROR(VLOOKUP(DATA!#REF!,DATA!#REF!,1,FALSE),"")</f>
        <v/>
      </c>
      <c r="D5409" s="16" t="str">
        <f>IFERROR(VLOOKUP(C5409,DATA!#REF!,2,FALSE),"")</f>
        <v/>
      </c>
    </row>
    <row r="5410" spans="3:4" s="237" customFormat="1">
      <c r="C5410" s="16" t="str">
        <f>IFERROR(VLOOKUP(DATA!#REF!,DATA!#REF!,1,FALSE),"")</f>
        <v/>
      </c>
      <c r="D5410" s="16" t="str">
        <f>IFERROR(VLOOKUP(C5410,DATA!#REF!,2,FALSE),"")</f>
        <v/>
      </c>
    </row>
    <row r="5411" spans="3:4" s="237" customFormat="1">
      <c r="C5411" s="16" t="str">
        <f>IFERROR(VLOOKUP(DATA!#REF!,DATA!#REF!,1,FALSE),"")</f>
        <v/>
      </c>
      <c r="D5411" s="16" t="str">
        <f>IFERROR(VLOOKUP(C5411,DATA!#REF!,2,FALSE),"")</f>
        <v/>
      </c>
    </row>
    <row r="5412" spans="3:4" s="237" customFormat="1">
      <c r="C5412" s="16" t="str">
        <f>IFERROR(VLOOKUP(DATA!#REF!,DATA!#REF!,1,FALSE),"")</f>
        <v/>
      </c>
      <c r="D5412" s="16" t="str">
        <f>IFERROR(VLOOKUP(C5412,DATA!#REF!,2,FALSE),"")</f>
        <v/>
      </c>
    </row>
    <row r="5413" spans="3:4" s="237" customFormat="1">
      <c r="C5413" s="16" t="str">
        <f>IFERROR(VLOOKUP(DATA!#REF!,DATA!#REF!,1,FALSE),"")</f>
        <v/>
      </c>
      <c r="D5413" s="16" t="str">
        <f>IFERROR(VLOOKUP(C5413,DATA!#REF!,2,FALSE),"")</f>
        <v/>
      </c>
    </row>
    <row r="5414" spans="3:4" s="237" customFormat="1">
      <c r="C5414" s="16" t="str">
        <f>IFERROR(VLOOKUP(DATA!#REF!,DATA!#REF!,1,FALSE),"")</f>
        <v/>
      </c>
      <c r="D5414" s="16" t="str">
        <f>IFERROR(VLOOKUP(C5414,DATA!#REF!,2,FALSE),"")</f>
        <v/>
      </c>
    </row>
    <row r="5415" spans="3:4" s="237" customFormat="1">
      <c r="C5415" s="16" t="str">
        <f>IFERROR(VLOOKUP(DATA!#REF!,DATA!#REF!,1,FALSE),"")</f>
        <v/>
      </c>
      <c r="D5415" s="16" t="str">
        <f>IFERROR(VLOOKUP(C5415,DATA!#REF!,2,FALSE),"")</f>
        <v/>
      </c>
    </row>
    <row r="5416" spans="3:4" s="237" customFormat="1">
      <c r="C5416" s="16" t="str">
        <f>IFERROR(VLOOKUP(DATA!#REF!,DATA!#REF!,1,FALSE),"")</f>
        <v/>
      </c>
      <c r="D5416" s="16" t="str">
        <f>IFERROR(VLOOKUP(C5416,DATA!#REF!,2,FALSE),"")</f>
        <v/>
      </c>
    </row>
    <row r="5417" spans="3:4" s="237" customFormat="1">
      <c r="C5417" s="16" t="str">
        <f>IFERROR(VLOOKUP(DATA!#REF!,DATA!#REF!,1,FALSE),"")</f>
        <v/>
      </c>
      <c r="D5417" s="16" t="str">
        <f>IFERROR(VLOOKUP(C5417,DATA!#REF!,2,FALSE),"")</f>
        <v/>
      </c>
    </row>
    <row r="5418" spans="3:4" s="237" customFormat="1">
      <c r="C5418" s="16" t="str">
        <f>IFERROR(VLOOKUP(DATA!#REF!,DATA!#REF!,1,FALSE),"")</f>
        <v/>
      </c>
      <c r="D5418" s="16" t="str">
        <f>IFERROR(VLOOKUP(C5418,DATA!#REF!,2,FALSE),"")</f>
        <v/>
      </c>
    </row>
    <row r="5419" spans="3:4" s="237" customFormat="1">
      <c r="C5419" s="16" t="str">
        <f>IFERROR(VLOOKUP(DATA!#REF!,DATA!#REF!,1,FALSE),"")</f>
        <v/>
      </c>
      <c r="D5419" s="16" t="str">
        <f>IFERROR(VLOOKUP(C5419,DATA!#REF!,2,FALSE),"")</f>
        <v/>
      </c>
    </row>
    <row r="5420" spans="3:4" s="237" customFormat="1">
      <c r="C5420" s="16" t="str">
        <f>IFERROR(VLOOKUP(DATA!#REF!,DATA!#REF!,1,FALSE),"")</f>
        <v/>
      </c>
      <c r="D5420" s="16" t="str">
        <f>IFERROR(VLOOKUP(C5420,DATA!#REF!,2,FALSE),"")</f>
        <v/>
      </c>
    </row>
    <row r="5421" spans="3:4" s="237" customFormat="1">
      <c r="C5421" s="16" t="str">
        <f>IFERROR(VLOOKUP(DATA!#REF!,DATA!#REF!,1,FALSE),"")</f>
        <v/>
      </c>
      <c r="D5421" s="16" t="str">
        <f>IFERROR(VLOOKUP(C5421,DATA!#REF!,2,FALSE),"")</f>
        <v/>
      </c>
    </row>
    <row r="5422" spans="3:4" s="237" customFormat="1">
      <c r="C5422" s="16" t="str">
        <f>IFERROR(VLOOKUP(DATA!#REF!,DATA!#REF!,1,FALSE),"")</f>
        <v/>
      </c>
      <c r="D5422" s="16" t="str">
        <f>IFERROR(VLOOKUP(C5422,DATA!#REF!,2,FALSE),"")</f>
        <v/>
      </c>
    </row>
    <row r="5423" spans="3:4" s="237" customFormat="1">
      <c r="C5423" s="16" t="str">
        <f>IFERROR(VLOOKUP(DATA!#REF!,DATA!#REF!,1,FALSE),"")</f>
        <v/>
      </c>
      <c r="D5423" s="16" t="str">
        <f>IFERROR(VLOOKUP(C5423,DATA!#REF!,2,FALSE),"")</f>
        <v/>
      </c>
    </row>
    <row r="5424" spans="3:4" s="237" customFormat="1">
      <c r="C5424" s="16" t="str">
        <f>IFERROR(VLOOKUP(DATA!#REF!,DATA!#REF!,1,FALSE),"")</f>
        <v/>
      </c>
      <c r="D5424" s="16" t="str">
        <f>IFERROR(VLOOKUP(C5424,DATA!#REF!,2,FALSE),"")</f>
        <v/>
      </c>
    </row>
    <row r="5425" spans="3:4" s="237" customFormat="1">
      <c r="C5425" s="16" t="str">
        <f>IFERROR(VLOOKUP(DATA!#REF!,DATA!#REF!,1,FALSE),"")</f>
        <v/>
      </c>
      <c r="D5425" s="16" t="str">
        <f>IFERROR(VLOOKUP(C5425,DATA!#REF!,2,FALSE),"")</f>
        <v/>
      </c>
    </row>
    <row r="5426" spans="3:4" s="237" customFormat="1">
      <c r="C5426" s="16" t="str">
        <f>IFERROR(VLOOKUP(DATA!#REF!,DATA!#REF!,1,FALSE),"")</f>
        <v/>
      </c>
      <c r="D5426" s="16" t="str">
        <f>IFERROR(VLOOKUP(C5426,DATA!#REF!,2,FALSE),"")</f>
        <v/>
      </c>
    </row>
    <row r="5427" spans="3:4" s="237" customFormat="1">
      <c r="C5427" s="16" t="str">
        <f>IFERROR(VLOOKUP(DATA!#REF!,DATA!#REF!,1,FALSE),"")</f>
        <v/>
      </c>
      <c r="D5427" s="16" t="str">
        <f>IFERROR(VLOOKUP(C5427,DATA!#REF!,2,FALSE),"")</f>
        <v/>
      </c>
    </row>
    <row r="5428" spans="3:4" s="237" customFormat="1">
      <c r="C5428" s="16" t="str">
        <f>IFERROR(VLOOKUP(DATA!#REF!,DATA!#REF!,1,FALSE),"")</f>
        <v/>
      </c>
      <c r="D5428" s="16" t="str">
        <f>IFERROR(VLOOKUP(C5428,DATA!#REF!,2,FALSE),"")</f>
        <v/>
      </c>
    </row>
    <row r="5429" spans="3:4" s="237" customFormat="1">
      <c r="C5429" s="16" t="str">
        <f>IFERROR(VLOOKUP(DATA!#REF!,DATA!#REF!,1,FALSE),"")</f>
        <v/>
      </c>
      <c r="D5429" s="16" t="str">
        <f>IFERROR(VLOOKUP(C5429,DATA!#REF!,2,FALSE),"")</f>
        <v/>
      </c>
    </row>
    <row r="5430" spans="3:4" s="237" customFormat="1">
      <c r="C5430" s="16" t="str">
        <f>IFERROR(VLOOKUP(DATA!#REF!,DATA!#REF!,1,FALSE),"")</f>
        <v/>
      </c>
      <c r="D5430" s="16" t="str">
        <f>IFERROR(VLOOKUP(C5430,DATA!#REF!,2,FALSE),"")</f>
        <v/>
      </c>
    </row>
    <row r="5431" spans="3:4" s="237" customFormat="1">
      <c r="C5431" s="16" t="str">
        <f>IFERROR(VLOOKUP(DATA!#REF!,DATA!#REF!,1,FALSE),"")</f>
        <v/>
      </c>
      <c r="D5431" s="16" t="str">
        <f>IFERROR(VLOOKUP(C5431,DATA!#REF!,2,FALSE),"")</f>
        <v/>
      </c>
    </row>
    <row r="5432" spans="3:4" s="237" customFormat="1">
      <c r="C5432" s="16" t="str">
        <f>IFERROR(VLOOKUP(DATA!#REF!,DATA!#REF!,1,FALSE),"")</f>
        <v/>
      </c>
      <c r="D5432" s="16" t="str">
        <f>IFERROR(VLOOKUP(C5432,DATA!#REF!,2,FALSE),"")</f>
        <v/>
      </c>
    </row>
    <row r="5433" spans="3:4" s="237" customFormat="1">
      <c r="C5433" s="16" t="str">
        <f>IFERROR(VLOOKUP(DATA!#REF!,DATA!#REF!,1,FALSE),"")</f>
        <v/>
      </c>
      <c r="D5433" s="16" t="str">
        <f>IFERROR(VLOOKUP(C5433,DATA!#REF!,2,FALSE),"")</f>
        <v/>
      </c>
    </row>
    <row r="5434" spans="3:4" s="237" customFormat="1">
      <c r="C5434" s="16" t="str">
        <f>IFERROR(VLOOKUP(DATA!#REF!,DATA!#REF!,1,FALSE),"")</f>
        <v/>
      </c>
      <c r="D5434" s="16" t="str">
        <f>IFERROR(VLOOKUP(C5434,DATA!#REF!,2,FALSE),"")</f>
        <v/>
      </c>
    </row>
    <row r="5435" spans="3:4" s="237" customFormat="1">
      <c r="C5435" s="16" t="str">
        <f>IFERROR(VLOOKUP(DATA!#REF!,DATA!#REF!,1,FALSE),"")</f>
        <v/>
      </c>
      <c r="D5435" s="16" t="str">
        <f>IFERROR(VLOOKUP(C5435,DATA!#REF!,2,FALSE),"")</f>
        <v/>
      </c>
    </row>
    <row r="5436" spans="3:4" s="237" customFormat="1">
      <c r="C5436" s="16" t="str">
        <f>IFERROR(VLOOKUP(DATA!#REF!,DATA!#REF!,1,FALSE),"")</f>
        <v/>
      </c>
      <c r="D5436" s="16" t="str">
        <f>IFERROR(VLOOKUP(C5436,DATA!#REF!,2,FALSE),"")</f>
        <v/>
      </c>
    </row>
    <row r="5437" spans="3:4" s="237" customFormat="1">
      <c r="C5437" s="16" t="str">
        <f>IFERROR(VLOOKUP(DATA!#REF!,DATA!#REF!,1,FALSE),"")</f>
        <v/>
      </c>
      <c r="D5437" s="16" t="str">
        <f>IFERROR(VLOOKUP(C5437,DATA!#REF!,2,FALSE),"")</f>
        <v/>
      </c>
    </row>
    <row r="5438" spans="3:4" s="237" customFormat="1">
      <c r="C5438" s="16" t="str">
        <f>IFERROR(VLOOKUP(DATA!#REF!,DATA!#REF!,1,FALSE),"")</f>
        <v/>
      </c>
      <c r="D5438" s="16" t="str">
        <f>IFERROR(VLOOKUP(C5438,DATA!#REF!,2,FALSE),"")</f>
        <v/>
      </c>
    </row>
    <row r="5439" spans="3:4" s="237" customFormat="1">
      <c r="C5439" s="16" t="str">
        <f>IFERROR(VLOOKUP(DATA!#REF!,DATA!#REF!,1,FALSE),"")</f>
        <v/>
      </c>
      <c r="D5439" s="16" t="str">
        <f>IFERROR(VLOOKUP(C5439,DATA!#REF!,2,FALSE),"")</f>
        <v/>
      </c>
    </row>
    <row r="5440" spans="3:4" s="237" customFormat="1">
      <c r="C5440" s="16" t="str">
        <f>IFERROR(VLOOKUP(DATA!#REF!,DATA!#REF!,1,FALSE),"")</f>
        <v/>
      </c>
      <c r="D5440" s="16" t="str">
        <f>IFERROR(VLOOKUP(C5440,DATA!#REF!,2,FALSE),"")</f>
        <v/>
      </c>
    </row>
    <row r="5441" spans="3:4" s="237" customFormat="1">
      <c r="C5441" s="16" t="str">
        <f>IFERROR(VLOOKUP(DATA!#REF!,DATA!#REF!,1,FALSE),"")</f>
        <v/>
      </c>
      <c r="D5441" s="16" t="str">
        <f>IFERROR(VLOOKUP(C5441,DATA!#REF!,2,FALSE),"")</f>
        <v/>
      </c>
    </row>
    <row r="5442" spans="3:4" s="237" customFormat="1">
      <c r="C5442" s="16" t="str">
        <f>IFERROR(VLOOKUP(DATA!#REF!,DATA!#REF!,1,FALSE),"")</f>
        <v/>
      </c>
      <c r="D5442" s="16" t="str">
        <f>IFERROR(VLOOKUP(C5442,DATA!#REF!,2,FALSE),"")</f>
        <v/>
      </c>
    </row>
    <row r="5443" spans="3:4" s="237" customFormat="1">
      <c r="C5443" s="16" t="str">
        <f>IFERROR(VLOOKUP(DATA!#REF!,DATA!#REF!,1,FALSE),"")</f>
        <v/>
      </c>
      <c r="D5443" s="16" t="str">
        <f>IFERROR(VLOOKUP(C5443,DATA!#REF!,2,FALSE),"")</f>
        <v/>
      </c>
    </row>
    <row r="5444" spans="3:4" s="237" customFormat="1">
      <c r="C5444" s="16" t="str">
        <f>IFERROR(VLOOKUP(DATA!#REF!,DATA!#REF!,1,FALSE),"")</f>
        <v/>
      </c>
      <c r="D5444" s="16" t="str">
        <f>IFERROR(VLOOKUP(C5444,DATA!#REF!,2,FALSE),"")</f>
        <v/>
      </c>
    </row>
    <row r="5445" spans="3:4" s="237" customFormat="1">
      <c r="C5445" s="16" t="str">
        <f>IFERROR(VLOOKUP(DATA!#REF!,DATA!#REF!,1,FALSE),"")</f>
        <v/>
      </c>
      <c r="D5445" s="16" t="str">
        <f>IFERROR(VLOOKUP(C5445,DATA!#REF!,2,FALSE),"")</f>
        <v/>
      </c>
    </row>
    <row r="5446" spans="3:4" s="237" customFormat="1">
      <c r="C5446" s="16" t="str">
        <f>IFERROR(VLOOKUP(DATA!#REF!,DATA!#REF!,1,FALSE),"")</f>
        <v/>
      </c>
      <c r="D5446" s="16" t="str">
        <f>IFERROR(VLOOKUP(C5446,DATA!#REF!,2,FALSE),"")</f>
        <v/>
      </c>
    </row>
    <row r="5447" spans="3:4" s="237" customFormat="1">
      <c r="C5447" s="16" t="str">
        <f>IFERROR(VLOOKUP(DATA!#REF!,DATA!#REF!,1,FALSE),"")</f>
        <v/>
      </c>
      <c r="D5447" s="16" t="str">
        <f>IFERROR(VLOOKUP(C5447,DATA!#REF!,2,FALSE),"")</f>
        <v/>
      </c>
    </row>
    <row r="5448" spans="3:4" s="237" customFormat="1">
      <c r="C5448" s="16" t="str">
        <f>IFERROR(VLOOKUP(DATA!#REF!,DATA!#REF!,1,FALSE),"")</f>
        <v/>
      </c>
      <c r="D5448" s="16" t="str">
        <f>IFERROR(VLOOKUP(C5448,DATA!#REF!,2,FALSE),"")</f>
        <v/>
      </c>
    </row>
    <row r="5449" spans="3:4" s="237" customFormat="1">
      <c r="C5449" s="16" t="str">
        <f>IFERROR(VLOOKUP(DATA!#REF!,DATA!#REF!,1,FALSE),"")</f>
        <v/>
      </c>
      <c r="D5449" s="16" t="str">
        <f>IFERROR(VLOOKUP(C5449,DATA!#REF!,2,FALSE),"")</f>
        <v/>
      </c>
    </row>
    <row r="5450" spans="3:4" s="237" customFormat="1">
      <c r="C5450" s="16" t="str">
        <f>IFERROR(VLOOKUP(DATA!#REF!,DATA!#REF!,1,FALSE),"")</f>
        <v/>
      </c>
      <c r="D5450" s="16" t="str">
        <f>IFERROR(VLOOKUP(C5450,DATA!#REF!,2,FALSE),"")</f>
        <v/>
      </c>
    </row>
    <row r="5451" spans="3:4" s="237" customFormat="1">
      <c r="C5451" s="16" t="str">
        <f>IFERROR(VLOOKUP(DATA!#REF!,DATA!#REF!,1,FALSE),"")</f>
        <v/>
      </c>
      <c r="D5451" s="16" t="str">
        <f>IFERROR(VLOOKUP(C5451,DATA!#REF!,2,FALSE),"")</f>
        <v/>
      </c>
    </row>
    <row r="5452" spans="3:4" s="237" customFormat="1">
      <c r="C5452" s="16" t="str">
        <f>IFERROR(VLOOKUP(DATA!#REF!,DATA!#REF!,1,FALSE),"")</f>
        <v/>
      </c>
      <c r="D5452" s="16" t="str">
        <f>IFERROR(VLOOKUP(C5452,DATA!#REF!,2,FALSE),"")</f>
        <v/>
      </c>
    </row>
    <row r="5453" spans="3:4" s="237" customFormat="1">
      <c r="C5453" s="16" t="str">
        <f>IFERROR(VLOOKUP(DATA!#REF!,DATA!#REF!,1,FALSE),"")</f>
        <v/>
      </c>
      <c r="D5453" s="16" t="str">
        <f>IFERROR(VLOOKUP(C5453,DATA!#REF!,2,FALSE),"")</f>
        <v/>
      </c>
    </row>
    <row r="5454" spans="3:4" s="237" customFormat="1">
      <c r="C5454" s="16" t="str">
        <f>IFERROR(VLOOKUP(DATA!#REF!,DATA!#REF!,1,FALSE),"")</f>
        <v/>
      </c>
      <c r="D5454" s="16" t="str">
        <f>IFERROR(VLOOKUP(C5454,DATA!#REF!,2,FALSE),"")</f>
        <v/>
      </c>
    </row>
    <row r="5455" spans="3:4" s="237" customFormat="1">
      <c r="C5455" s="16" t="str">
        <f>IFERROR(VLOOKUP(DATA!#REF!,DATA!#REF!,1,FALSE),"")</f>
        <v/>
      </c>
      <c r="D5455" s="16" t="str">
        <f>IFERROR(VLOOKUP(C5455,DATA!#REF!,2,FALSE),"")</f>
        <v/>
      </c>
    </row>
    <row r="5456" spans="3:4" s="237" customFormat="1">
      <c r="C5456" s="16" t="str">
        <f>IFERROR(VLOOKUP(DATA!#REF!,DATA!#REF!,1,FALSE),"")</f>
        <v/>
      </c>
      <c r="D5456" s="16" t="str">
        <f>IFERROR(VLOOKUP(C5456,DATA!#REF!,2,FALSE),"")</f>
        <v/>
      </c>
    </row>
    <row r="5457" spans="3:4" s="237" customFormat="1">
      <c r="C5457" s="16" t="str">
        <f>IFERROR(VLOOKUP(DATA!#REF!,DATA!#REF!,1,FALSE),"")</f>
        <v/>
      </c>
      <c r="D5457" s="16" t="str">
        <f>IFERROR(VLOOKUP(C5457,DATA!#REF!,2,FALSE),"")</f>
        <v/>
      </c>
    </row>
    <row r="5458" spans="3:4" s="237" customFormat="1">
      <c r="C5458" s="16" t="str">
        <f>IFERROR(VLOOKUP(DATA!#REF!,DATA!#REF!,1,FALSE),"")</f>
        <v/>
      </c>
      <c r="D5458" s="16" t="str">
        <f>IFERROR(VLOOKUP(C5458,DATA!#REF!,2,FALSE),"")</f>
        <v/>
      </c>
    </row>
    <row r="5459" spans="3:4" s="237" customFormat="1">
      <c r="C5459" s="16" t="str">
        <f>IFERROR(VLOOKUP(DATA!#REF!,DATA!#REF!,1,FALSE),"")</f>
        <v/>
      </c>
      <c r="D5459" s="16" t="str">
        <f>IFERROR(VLOOKUP(C5459,DATA!#REF!,2,FALSE),"")</f>
        <v/>
      </c>
    </row>
    <row r="5460" spans="3:4" s="237" customFormat="1">
      <c r="C5460" s="16" t="str">
        <f>IFERROR(VLOOKUP(DATA!#REF!,DATA!#REF!,1,FALSE),"")</f>
        <v/>
      </c>
      <c r="D5460" s="16" t="str">
        <f>IFERROR(VLOOKUP(C5460,DATA!#REF!,2,FALSE),"")</f>
        <v/>
      </c>
    </row>
    <row r="5461" spans="3:4" s="237" customFormat="1">
      <c r="C5461" s="16" t="str">
        <f>IFERROR(VLOOKUP(DATA!#REF!,DATA!#REF!,1,FALSE),"")</f>
        <v/>
      </c>
      <c r="D5461" s="16" t="str">
        <f>IFERROR(VLOOKUP(C5461,DATA!#REF!,2,FALSE),"")</f>
        <v/>
      </c>
    </row>
    <row r="5462" spans="3:4" s="237" customFormat="1">
      <c r="C5462" s="16" t="str">
        <f>IFERROR(VLOOKUP(DATA!#REF!,DATA!#REF!,1,FALSE),"")</f>
        <v/>
      </c>
      <c r="D5462" s="16" t="str">
        <f>IFERROR(VLOOKUP(C5462,DATA!#REF!,2,FALSE),"")</f>
        <v/>
      </c>
    </row>
    <row r="5463" spans="3:4" s="237" customFormat="1">
      <c r="C5463" s="16" t="str">
        <f>IFERROR(VLOOKUP(DATA!#REF!,DATA!#REF!,1,FALSE),"")</f>
        <v/>
      </c>
      <c r="D5463" s="16" t="str">
        <f>IFERROR(VLOOKUP(C5463,DATA!#REF!,2,FALSE),"")</f>
        <v/>
      </c>
    </row>
    <row r="5464" spans="3:4" s="237" customFormat="1">
      <c r="C5464" s="16" t="str">
        <f>IFERROR(VLOOKUP(DATA!#REF!,DATA!#REF!,1,FALSE),"")</f>
        <v/>
      </c>
      <c r="D5464" s="16" t="str">
        <f>IFERROR(VLOOKUP(C5464,DATA!#REF!,2,FALSE),"")</f>
        <v/>
      </c>
    </row>
    <row r="5465" spans="3:4" s="237" customFormat="1">
      <c r="C5465" s="16" t="str">
        <f>IFERROR(VLOOKUP(DATA!#REF!,DATA!#REF!,1,FALSE),"")</f>
        <v/>
      </c>
      <c r="D5465" s="16" t="str">
        <f>IFERROR(VLOOKUP(C5465,DATA!#REF!,2,FALSE),"")</f>
        <v/>
      </c>
    </row>
    <row r="5466" spans="3:4" s="237" customFormat="1">
      <c r="C5466" s="16" t="str">
        <f>IFERROR(VLOOKUP(DATA!#REF!,DATA!#REF!,1,FALSE),"")</f>
        <v/>
      </c>
      <c r="D5466" s="16" t="str">
        <f>IFERROR(VLOOKUP(C5466,DATA!#REF!,2,FALSE),"")</f>
        <v/>
      </c>
    </row>
    <row r="5467" spans="3:4" s="237" customFormat="1">
      <c r="C5467" s="16" t="str">
        <f>IFERROR(VLOOKUP(DATA!#REF!,DATA!#REF!,1,FALSE),"")</f>
        <v/>
      </c>
      <c r="D5467" s="16" t="str">
        <f>IFERROR(VLOOKUP(C5467,DATA!#REF!,2,FALSE),"")</f>
        <v/>
      </c>
    </row>
    <row r="5468" spans="3:4" s="237" customFormat="1">
      <c r="C5468" s="16" t="str">
        <f>IFERROR(VLOOKUP(DATA!#REF!,DATA!#REF!,1,FALSE),"")</f>
        <v/>
      </c>
      <c r="D5468" s="16" t="str">
        <f>IFERROR(VLOOKUP(C5468,DATA!#REF!,2,FALSE),"")</f>
        <v/>
      </c>
    </row>
    <row r="5469" spans="3:4" s="237" customFormat="1">
      <c r="C5469" s="16" t="str">
        <f>IFERROR(VLOOKUP(DATA!#REF!,DATA!#REF!,1,FALSE),"")</f>
        <v/>
      </c>
      <c r="D5469" s="16" t="str">
        <f>IFERROR(VLOOKUP(C5469,DATA!#REF!,2,FALSE),"")</f>
        <v/>
      </c>
    </row>
    <row r="5470" spans="3:4" s="237" customFormat="1">
      <c r="C5470" s="16" t="str">
        <f>IFERROR(VLOOKUP(DATA!#REF!,DATA!#REF!,1,FALSE),"")</f>
        <v/>
      </c>
      <c r="D5470" s="16" t="str">
        <f>IFERROR(VLOOKUP(C5470,DATA!#REF!,2,FALSE),"")</f>
        <v/>
      </c>
    </row>
    <row r="5471" spans="3:4" s="237" customFormat="1">
      <c r="C5471" s="16" t="str">
        <f>IFERROR(VLOOKUP(DATA!#REF!,DATA!#REF!,1,FALSE),"")</f>
        <v/>
      </c>
      <c r="D5471" s="16" t="str">
        <f>IFERROR(VLOOKUP(C5471,DATA!#REF!,2,FALSE),"")</f>
        <v/>
      </c>
    </row>
    <row r="5472" spans="3:4" s="237" customFormat="1">
      <c r="C5472" s="16" t="str">
        <f>IFERROR(VLOOKUP(DATA!#REF!,DATA!#REF!,1,FALSE),"")</f>
        <v/>
      </c>
      <c r="D5472" s="16" t="str">
        <f>IFERROR(VLOOKUP(C5472,DATA!#REF!,2,FALSE),"")</f>
        <v/>
      </c>
    </row>
    <row r="5473" spans="3:4" s="237" customFormat="1">
      <c r="C5473" s="16" t="str">
        <f>IFERROR(VLOOKUP(DATA!#REF!,DATA!#REF!,1,FALSE),"")</f>
        <v/>
      </c>
      <c r="D5473" s="16" t="str">
        <f>IFERROR(VLOOKUP(C5473,DATA!#REF!,2,FALSE),"")</f>
        <v/>
      </c>
    </row>
    <row r="5474" spans="3:4" s="237" customFormat="1">
      <c r="C5474" s="16" t="str">
        <f>IFERROR(VLOOKUP(DATA!#REF!,DATA!#REF!,1,FALSE),"")</f>
        <v/>
      </c>
      <c r="D5474" s="16" t="str">
        <f>IFERROR(VLOOKUP(C5474,DATA!#REF!,2,FALSE),"")</f>
        <v/>
      </c>
    </row>
    <row r="5475" spans="3:4" s="237" customFormat="1">
      <c r="C5475" s="16" t="str">
        <f>IFERROR(VLOOKUP(DATA!#REF!,DATA!#REF!,1,FALSE),"")</f>
        <v/>
      </c>
      <c r="D5475" s="16" t="str">
        <f>IFERROR(VLOOKUP(C5475,DATA!#REF!,2,FALSE),"")</f>
        <v/>
      </c>
    </row>
    <row r="5476" spans="3:4" s="237" customFormat="1">
      <c r="C5476" s="16" t="str">
        <f>IFERROR(VLOOKUP(DATA!#REF!,DATA!#REF!,1,FALSE),"")</f>
        <v/>
      </c>
      <c r="D5476" s="16" t="str">
        <f>IFERROR(VLOOKUP(C5476,DATA!#REF!,2,FALSE),"")</f>
        <v/>
      </c>
    </row>
    <row r="5477" spans="3:4" s="237" customFormat="1">
      <c r="C5477" s="16" t="str">
        <f>IFERROR(VLOOKUP(DATA!#REF!,DATA!#REF!,1,FALSE),"")</f>
        <v/>
      </c>
      <c r="D5477" s="16" t="str">
        <f>IFERROR(VLOOKUP(C5477,DATA!#REF!,2,FALSE),"")</f>
        <v/>
      </c>
    </row>
    <row r="5478" spans="3:4" s="237" customFormat="1">
      <c r="C5478" s="16" t="str">
        <f>IFERROR(VLOOKUP(DATA!#REF!,DATA!#REF!,1,FALSE),"")</f>
        <v/>
      </c>
      <c r="D5478" s="16" t="str">
        <f>IFERROR(VLOOKUP(C5478,DATA!#REF!,2,FALSE),"")</f>
        <v/>
      </c>
    </row>
    <row r="5479" spans="3:4" s="237" customFormat="1">
      <c r="C5479" s="16" t="str">
        <f>IFERROR(VLOOKUP(DATA!#REF!,DATA!#REF!,1,FALSE),"")</f>
        <v/>
      </c>
      <c r="D5479" s="16" t="str">
        <f>IFERROR(VLOOKUP(C5479,DATA!#REF!,2,FALSE),"")</f>
        <v/>
      </c>
    </row>
    <row r="5480" spans="3:4" s="237" customFormat="1">
      <c r="C5480" s="16" t="str">
        <f>IFERROR(VLOOKUP(DATA!#REF!,DATA!#REF!,1,FALSE),"")</f>
        <v/>
      </c>
      <c r="D5480" s="16" t="str">
        <f>IFERROR(VLOOKUP(C5480,DATA!#REF!,2,FALSE),"")</f>
        <v/>
      </c>
    </row>
    <row r="5481" spans="3:4" s="237" customFormat="1">
      <c r="C5481" s="16" t="str">
        <f>IFERROR(VLOOKUP(DATA!#REF!,DATA!#REF!,1,FALSE),"")</f>
        <v/>
      </c>
      <c r="D5481" s="16" t="str">
        <f>IFERROR(VLOOKUP(C5481,DATA!#REF!,2,FALSE),"")</f>
        <v/>
      </c>
    </row>
    <row r="5482" spans="3:4" s="237" customFormat="1">
      <c r="C5482" s="16" t="str">
        <f>IFERROR(VLOOKUP(DATA!#REF!,DATA!#REF!,1,FALSE),"")</f>
        <v/>
      </c>
      <c r="D5482" s="16" t="str">
        <f>IFERROR(VLOOKUP(C5482,DATA!#REF!,2,FALSE),"")</f>
        <v/>
      </c>
    </row>
    <row r="5483" spans="3:4" s="237" customFormat="1">
      <c r="C5483" s="16" t="str">
        <f>IFERROR(VLOOKUP(DATA!#REF!,DATA!#REF!,1,FALSE),"")</f>
        <v/>
      </c>
      <c r="D5483" s="16" t="str">
        <f>IFERROR(VLOOKUP(C5483,DATA!#REF!,2,FALSE),"")</f>
        <v/>
      </c>
    </row>
    <row r="5484" spans="3:4" s="237" customFormat="1">
      <c r="C5484" s="16" t="str">
        <f>IFERROR(VLOOKUP(DATA!#REF!,DATA!#REF!,1,FALSE),"")</f>
        <v/>
      </c>
      <c r="D5484" s="16" t="str">
        <f>IFERROR(VLOOKUP(C5484,DATA!#REF!,2,FALSE),"")</f>
        <v/>
      </c>
    </row>
    <row r="5485" spans="3:4" s="237" customFormat="1">
      <c r="C5485" s="16" t="str">
        <f>IFERROR(VLOOKUP(DATA!#REF!,DATA!#REF!,1,FALSE),"")</f>
        <v/>
      </c>
      <c r="D5485" s="16" t="str">
        <f>IFERROR(VLOOKUP(C5485,DATA!#REF!,2,FALSE),"")</f>
        <v/>
      </c>
    </row>
    <row r="5486" spans="3:4" s="237" customFormat="1">
      <c r="C5486" s="16" t="str">
        <f>IFERROR(VLOOKUP(DATA!#REF!,DATA!#REF!,1,FALSE),"")</f>
        <v/>
      </c>
      <c r="D5486" s="16" t="str">
        <f>IFERROR(VLOOKUP(C5486,DATA!#REF!,2,FALSE),"")</f>
        <v/>
      </c>
    </row>
    <row r="5487" spans="3:4" s="237" customFormat="1">
      <c r="C5487" s="16" t="str">
        <f>IFERROR(VLOOKUP(DATA!#REF!,DATA!#REF!,1,FALSE),"")</f>
        <v/>
      </c>
      <c r="D5487" s="16" t="str">
        <f>IFERROR(VLOOKUP(C5487,DATA!#REF!,2,FALSE),"")</f>
        <v/>
      </c>
    </row>
    <row r="5488" spans="3:4" s="237" customFormat="1">
      <c r="C5488" s="16" t="str">
        <f>IFERROR(VLOOKUP(DATA!#REF!,DATA!#REF!,1,FALSE),"")</f>
        <v/>
      </c>
      <c r="D5488" s="16" t="str">
        <f>IFERROR(VLOOKUP(C5488,DATA!#REF!,2,FALSE),"")</f>
        <v/>
      </c>
    </row>
    <row r="5489" spans="3:4" s="237" customFormat="1">
      <c r="C5489" s="16" t="str">
        <f>IFERROR(VLOOKUP(DATA!#REF!,DATA!#REF!,1,FALSE),"")</f>
        <v/>
      </c>
      <c r="D5489" s="16" t="str">
        <f>IFERROR(VLOOKUP(C5489,DATA!#REF!,2,FALSE),"")</f>
        <v/>
      </c>
    </row>
    <row r="5490" spans="3:4" s="237" customFormat="1">
      <c r="C5490" s="16" t="str">
        <f>IFERROR(VLOOKUP(DATA!#REF!,DATA!#REF!,1,FALSE),"")</f>
        <v/>
      </c>
      <c r="D5490" s="16" t="str">
        <f>IFERROR(VLOOKUP(C5490,DATA!#REF!,2,FALSE),"")</f>
        <v/>
      </c>
    </row>
    <row r="5491" spans="3:4" s="237" customFormat="1">
      <c r="C5491" s="16" t="str">
        <f>IFERROR(VLOOKUP(DATA!#REF!,DATA!#REF!,1,FALSE),"")</f>
        <v/>
      </c>
      <c r="D5491" s="16" t="str">
        <f>IFERROR(VLOOKUP(C5491,DATA!#REF!,2,FALSE),"")</f>
        <v/>
      </c>
    </row>
    <row r="5492" spans="3:4" s="237" customFormat="1">
      <c r="C5492" s="16" t="str">
        <f>IFERROR(VLOOKUP(DATA!#REF!,DATA!#REF!,1,FALSE),"")</f>
        <v/>
      </c>
      <c r="D5492" s="16" t="str">
        <f>IFERROR(VLOOKUP(C5492,DATA!#REF!,2,FALSE),"")</f>
        <v/>
      </c>
    </row>
    <row r="5493" spans="3:4" s="237" customFormat="1">
      <c r="C5493" s="16" t="str">
        <f>IFERROR(VLOOKUP(DATA!#REF!,DATA!#REF!,1,FALSE),"")</f>
        <v/>
      </c>
      <c r="D5493" s="16" t="str">
        <f>IFERROR(VLOOKUP(C5493,DATA!#REF!,2,FALSE),"")</f>
        <v/>
      </c>
    </row>
    <row r="5494" spans="3:4" s="237" customFormat="1">
      <c r="C5494" s="16" t="str">
        <f>IFERROR(VLOOKUP(DATA!#REF!,DATA!#REF!,1,FALSE),"")</f>
        <v/>
      </c>
      <c r="D5494" s="16" t="str">
        <f>IFERROR(VLOOKUP(C5494,DATA!#REF!,2,FALSE),"")</f>
        <v/>
      </c>
    </row>
    <row r="5495" spans="3:4" s="237" customFormat="1">
      <c r="C5495" s="16" t="str">
        <f>IFERROR(VLOOKUP(DATA!#REF!,DATA!#REF!,1,FALSE),"")</f>
        <v/>
      </c>
      <c r="D5495" s="16" t="str">
        <f>IFERROR(VLOOKUP(C5495,DATA!#REF!,2,FALSE),"")</f>
        <v/>
      </c>
    </row>
    <row r="5496" spans="3:4" s="237" customFormat="1">
      <c r="C5496" s="16" t="str">
        <f>IFERROR(VLOOKUP(DATA!#REF!,DATA!#REF!,1,FALSE),"")</f>
        <v/>
      </c>
      <c r="D5496" s="16" t="str">
        <f>IFERROR(VLOOKUP(C5496,DATA!#REF!,2,FALSE),"")</f>
        <v/>
      </c>
    </row>
    <row r="5497" spans="3:4" s="237" customFormat="1">
      <c r="C5497" s="16" t="str">
        <f>IFERROR(VLOOKUP(DATA!#REF!,DATA!#REF!,1,FALSE),"")</f>
        <v/>
      </c>
      <c r="D5497" s="16" t="str">
        <f>IFERROR(VLOOKUP(C5497,DATA!#REF!,2,FALSE),"")</f>
        <v/>
      </c>
    </row>
    <row r="5498" spans="3:4" s="237" customFormat="1">
      <c r="C5498" s="16" t="str">
        <f>IFERROR(VLOOKUP(DATA!#REF!,DATA!#REF!,1,FALSE),"")</f>
        <v/>
      </c>
      <c r="D5498" s="16" t="str">
        <f>IFERROR(VLOOKUP(C5498,DATA!#REF!,2,FALSE),"")</f>
        <v/>
      </c>
    </row>
    <row r="5499" spans="3:4" s="237" customFormat="1">
      <c r="C5499" s="16" t="str">
        <f>IFERROR(VLOOKUP(DATA!#REF!,DATA!#REF!,1,FALSE),"")</f>
        <v/>
      </c>
      <c r="D5499" s="16" t="str">
        <f>IFERROR(VLOOKUP(C5499,DATA!#REF!,2,FALSE),"")</f>
        <v/>
      </c>
    </row>
    <row r="5500" spans="3:4" s="237" customFormat="1">
      <c r="C5500" s="16" t="str">
        <f>IFERROR(VLOOKUP(DATA!#REF!,DATA!#REF!,1,FALSE),"")</f>
        <v/>
      </c>
      <c r="D5500" s="16" t="str">
        <f>IFERROR(VLOOKUP(C5500,DATA!#REF!,2,FALSE),"")</f>
        <v/>
      </c>
    </row>
    <row r="5501" spans="3:4" s="237" customFormat="1">
      <c r="C5501" s="16" t="str">
        <f>IFERROR(VLOOKUP(DATA!#REF!,DATA!#REF!,1,FALSE),"")</f>
        <v/>
      </c>
      <c r="D5501" s="16" t="str">
        <f>IFERROR(VLOOKUP(C5501,DATA!#REF!,2,FALSE),"")</f>
        <v/>
      </c>
    </row>
    <row r="5502" spans="3:4" s="237" customFormat="1">
      <c r="C5502" s="16" t="str">
        <f>IFERROR(VLOOKUP(DATA!#REF!,DATA!#REF!,1,FALSE),"")</f>
        <v/>
      </c>
      <c r="D5502" s="16" t="str">
        <f>IFERROR(VLOOKUP(C5502,DATA!#REF!,2,FALSE),"")</f>
        <v/>
      </c>
    </row>
    <row r="5503" spans="3:4" s="237" customFormat="1">
      <c r="C5503" s="16" t="str">
        <f>IFERROR(VLOOKUP(DATA!#REF!,DATA!#REF!,1,FALSE),"")</f>
        <v/>
      </c>
      <c r="D5503" s="16" t="str">
        <f>IFERROR(VLOOKUP(C5503,DATA!#REF!,2,FALSE),"")</f>
        <v/>
      </c>
    </row>
    <row r="5504" spans="3:4" s="237" customFormat="1">
      <c r="C5504" s="16" t="str">
        <f>IFERROR(VLOOKUP(DATA!#REF!,DATA!#REF!,1,FALSE),"")</f>
        <v/>
      </c>
      <c r="D5504" s="16" t="str">
        <f>IFERROR(VLOOKUP(C5504,DATA!#REF!,2,FALSE),"")</f>
        <v/>
      </c>
    </row>
    <row r="5505" spans="3:4" s="237" customFormat="1">
      <c r="C5505" s="16" t="str">
        <f>IFERROR(VLOOKUP(DATA!#REF!,DATA!#REF!,1,FALSE),"")</f>
        <v/>
      </c>
      <c r="D5505" s="16" t="str">
        <f>IFERROR(VLOOKUP(C5505,DATA!#REF!,2,FALSE),"")</f>
        <v/>
      </c>
    </row>
    <row r="5506" spans="3:4" s="237" customFormat="1">
      <c r="C5506" s="16" t="str">
        <f>IFERROR(VLOOKUP(DATA!#REF!,DATA!#REF!,1,FALSE),"")</f>
        <v/>
      </c>
      <c r="D5506" s="16" t="str">
        <f>IFERROR(VLOOKUP(C5506,DATA!#REF!,2,FALSE),"")</f>
        <v/>
      </c>
    </row>
    <row r="5507" spans="3:4" s="237" customFormat="1">
      <c r="C5507" s="16" t="str">
        <f>IFERROR(VLOOKUP(DATA!#REF!,DATA!#REF!,1,FALSE),"")</f>
        <v/>
      </c>
      <c r="D5507" s="16" t="str">
        <f>IFERROR(VLOOKUP(C5507,DATA!#REF!,2,FALSE),"")</f>
        <v/>
      </c>
    </row>
    <row r="5508" spans="3:4" s="237" customFormat="1">
      <c r="C5508" s="16" t="str">
        <f>IFERROR(VLOOKUP(DATA!#REF!,DATA!#REF!,1,FALSE),"")</f>
        <v/>
      </c>
      <c r="D5508" s="16" t="str">
        <f>IFERROR(VLOOKUP(C5508,DATA!#REF!,2,FALSE),"")</f>
        <v/>
      </c>
    </row>
    <row r="5509" spans="3:4" s="237" customFormat="1">
      <c r="C5509" s="16" t="str">
        <f>IFERROR(VLOOKUP(DATA!#REF!,DATA!#REF!,1,FALSE),"")</f>
        <v/>
      </c>
      <c r="D5509" s="16" t="str">
        <f>IFERROR(VLOOKUP(C5509,DATA!#REF!,2,FALSE),"")</f>
        <v/>
      </c>
    </row>
    <row r="5510" spans="3:4" s="237" customFormat="1">
      <c r="C5510" s="16" t="str">
        <f>IFERROR(VLOOKUP(DATA!#REF!,DATA!#REF!,1,FALSE),"")</f>
        <v/>
      </c>
      <c r="D5510" s="16" t="str">
        <f>IFERROR(VLOOKUP(C5510,DATA!#REF!,2,FALSE),"")</f>
        <v/>
      </c>
    </row>
    <row r="5511" spans="3:4" s="237" customFormat="1">
      <c r="C5511" s="16" t="str">
        <f>IFERROR(VLOOKUP(DATA!#REF!,DATA!#REF!,1,FALSE),"")</f>
        <v/>
      </c>
      <c r="D5511" s="16" t="str">
        <f>IFERROR(VLOOKUP(C5511,DATA!#REF!,2,FALSE),"")</f>
        <v/>
      </c>
    </row>
    <row r="5512" spans="3:4" s="237" customFormat="1">
      <c r="C5512" s="16" t="str">
        <f>IFERROR(VLOOKUP(DATA!#REF!,DATA!#REF!,1,FALSE),"")</f>
        <v/>
      </c>
      <c r="D5512" s="16" t="str">
        <f>IFERROR(VLOOKUP(C5512,DATA!#REF!,2,FALSE),"")</f>
        <v/>
      </c>
    </row>
    <row r="5513" spans="3:4" s="237" customFormat="1">
      <c r="C5513" s="16" t="str">
        <f>IFERROR(VLOOKUP(DATA!#REF!,DATA!#REF!,1,FALSE),"")</f>
        <v/>
      </c>
      <c r="D5513" s="16" t="str">
        <f>IFERROR(VLOOKUP(C5513,DATA!#REF!,2,FALSE),"")</f>
        <v/>
      </c>
    </row>
    <row r="5514" spans="3:4" s="237" customFormat="1">
      <c r="C5514" s="16" t="str">
        <f>IFERROR(VLOOKUP(DATA!#REF!,DATA!#REF!,1,FALSE),"")</f>
        <v/>
      </c>
      <c r="D5514" s="16" t="str">
        <f>IFERROR(VLOOKUP(C5514,DATA!#REF!,2,FALSE),"")</f>
        <v/>
      </c>
    </row>
    <row r="5515" spans="3:4" s="237" customFormat="1">
      <c r="C5515" s="16" t="str">
        <f>IFERROR(VLOOKUP(DATA!#REF!,DATA!#REF!,1,FALSE),"")</f>
        <v/>
      </c>
      <c r="D5515" s="16" t="str">
        <f>IFERROR(VLOOKUP(C5515,DATA!#REF!,2,FALSE),"")</f>
        <v/>
      </c>
    </row>
    <row r="5516" spans="3:4" s="237" customFormat="1">
      <c r="C5516" s="16" t="str">
        <f>IFERROR(VLOOKUP(DATA!#REF!,DATA!#REF!,1,FALSE),"")</f>
        <v/>
      </c>
      <c r="D5516" s="16" t="str">
        <f>IFERROR(VLOOKUP(C5516,DATA!#REF!,2,FALSE),"")</f>
        <v/>
      </c>
    </row>
    <row r="5517" spans="3:4" s="237" customFormat="1">
      <c r="C5517" s="16" t="str">
        <f>IFERROR(VLOOKUP(DATA!#REF!,DATA!#REF!,1,FALSE),"")</f>
        <v/>
      </c>
      <c r="D5517" s="16" t="str">
        <f>IFERROR(VLOOKUP(C5517,DATA!#REF!,2,FALSE),"")</f>
        <v/>
      </c>
    </row>
    <row r="5518" spans="3:4" s="237" customFormat="1">
      <c r="C5518" s="16" t="str">
        <f>IFERROR(VLOOKUP(DATA!#REF!,DATA!#REF!,1,FALSE),"")</f>
        <v/>
      </c>
      <c r="D5518" s="16" t="str">
        <f>IFERROR(VLOOKUP(C5518,DATA!#REF!,2,FALSE),"")</f>
        <v/>
      </c>
    </row>
    <row r="5519" spans="3:4" s="237" customFormat="1">
      <c r="C5519" s="16" t="str">
        <f>IFERROR(VLOOKUP(DATA!#REF!,DATA!#REF!,1,FALSE),"")</f>
        <v/>
      </c>
      <c r="D5519" s="16" t="str">
        <f>IFERROR(VLOOKUP(C5519,DATA!#REF!,2,FALSE),"")</f>
        <v/>
      </c>
    </row>
    <row r="5520" spans="3:4" s="237" customFormat="1">
      <c r="C5520" s="16" t="str">
        <f>IFERROR(VLOOKUP(DATA!#REF!,DATA!#REF!,1,FALSE),"")</f>
        <v/>
      </c>
      <c r="D5520" s="16" t="str">
        <f>IFERROR(VLOOKUP(C5520,DATA!#REF!,2,FALSE),"")</f>
        <v/>
      </c>
    </row>
    <row r="5521" spans="3:4" s="237" customFormat="1">
      <c r="C5521" s="16" t="str">
        <f>IFERROR(VLOOKUP(DATA!#REF!,DATA!#REF!,1,FALSE),"")</f>
        <v/>
      </c>
      <c r="D5521" s="16" t="str">
        <f>IFERROR(VLOOKUP(C5521,DATA!#REF!,2,FALSE),"")</f>
        <v/>
      </c>
    </row>
    <row r="5522" spans="3:4" s="237" customFormat="1">
      <c r="C5522" s="16" t="str">
        <f>IFERROR(VLOOKUP(DATA!#REF!,DATA!#REF!,1,FALSE),"")</f>
        <v/>
      </c>
      <c r="D5522" s="16" t="str">
        <f>IFERROR(VLOOKUP(C5522,DATA!#REF!,2,FALSE),"")</f>
        <v/>
      </c>
    </row>
    <row r="5523" spans="3:4" s="237" customFormat="1">
      <c r="C5523" s="16" t="str">
        <f>IFERROR(VLOOKUP(DATA!#REF!,DATA!#REF!,1,FALSE),"")</f>
        <v/>
      </c>
      <c r="D5523" s="16" t="str">
        <f>IFERROR(VLOOKUP(C5523,DATA!#REF!,2,FALSE),"")</f>
        <v/>
      </c>
    </row>
    <row r="5524" spans="3:4" s="237" customFormat="1">
      <c r="C5524" s="16" t="str">
        <f>IFERROR(VLOOKUP(DATA!#REF!,DATA!#REF!,1,FALSE),"")</f>
        <v/>
      </c>
      <c r="D5524" s="16" t="str">
        <f>IFERROR(VLOOKUP(C5524,DATA!#REF!,2,FALSE),"")</f>
        <v/>
      </c>
    </row>
    <row r="5525" spans="3:4" s="237" customFormat="1">
      <c r="C5525" s="16" t="str">
        <f>IFERROR(VLOOKUP(DATA!#REF!,DATA!#REF!,1,FALSE),"")</f>
        <v/>
      </c>
      <c r="D5525" s="16" t="str">
        <f>IFERROR(VLOOKUP(C5525,DATA!#REF!,2,FALSE),"")</f>
        <v/>
      </c>
    </row>
    <row r="5526" spans="3:4" s="237" customFormat="1">
      <c r="C5526" s="16" t="str">
        <f>IFERROR(VLOOKUP(DATA!#REF!,DATA!#REF!,1,FALSE),"")</f>
        <v/>
      </c>
      <c r="D5526" s="16" t="str">
        <f>IFERROR(VLOOKUP(C5526,DATA!#REF!,2,FALSE),"")</f>
        <v/>
      </c>
    </row>
    <row r="5527" spans="3:4" s="237" customFormat="1">
      <c r="C5527" s="16" t="str">
        <f>IFERROR(VLOOKUP(DATA!#REF!,DATA!#REF!,1,FALSE),"")</f>
        <v/>
      </c>
      <c r="D5527" s="16" t="str">
        <f>IFERROR(VLOOKUP(C5527,DATA!#REF!,2,FALSE),"")</f>
        <v/>
      </c>
    </row>
    <row r="5528" spans="3:4" s="237" customFormat="1">
      <c r="C5528" s="16" t="str">
        <f>IFERROR(VLOOKUP(DATA!#REF!,DATA!#REF!,1,FALSE),"")</f>
        <v/>
      </c>
      <c r="D5528" s="16" t="str">
        <f>IFERROR(VLOOKUP(C5528,DATA!#REF!,2,FALSE),"")</f>
        <v/>
      </c>
    </row>
    <row r="5529" spans="3:4" s="237" customFormat="1">
      <c r="C5529" s="16" t="str">
        <f>IFERROR(VLOOKUP(DATA!#REF!,DATA!#REF!,1,FALSE),"")</f>
        <v/>
      </c>
      <c r="D5529" s="16" t="str">
        <f>IFERROR(VLOOKUP(C5529,DATA!#REF!,2,FALSE),"")</f>
        <v/>
      </c>
    </row>
    <row r="5530" spans="3:4" s="237" customFormat="1">
      <c r="C5530" s="16" t="str">
        <f>IFERROR(VLOOKUP(DATA!#REF!,DATA!#REF!,1,FALSE),"")</f>
        <v/>
      </c>
      <c r="D5530" s="16" t="str">
        <f>IFERROR(VLOOKUP(C5530,DATA!#REF!,2,FALSE),"")</f>
        <v/>
      </c>
    </row>
    <row r="5531" spans="3:4" s="237" customFormat="1">
      <c r="C5531" s="16" t="str">
        <f>IFERROR(VLOOKUP(DATA!#REF!,DATA!#REF!,1,FALSE),"")</f>
        <v/>
      </c>
      <c r="D5531" s="16" t="str">
        <f>IFERROR(VLOOKUP(C5531,DATA!#REF!,2,FALSE),"")</f>
        <v/>
      </c>
    </row>
    <row r="5532" spans="3:4" s="237" customFormat="1">
      <c r="C5532" s="16" t="str">
        <f>IFERROR(VLOOKUP(DATA!#REF!,DATA!#REF!,1,FALSE),"")</f>
        <v/>
      </c>
      <c r="D5532" s="16" t="str">
        <f>IFERROR(VLOOKUP(C5532,DATA!#REF!,2,FALSE),"")</f>
        <v/>
      </c>
    </row>
    <row r="5533" spans="3:4" s="237" customFormat="1">
      <c r="C5533" s="16" t="str">
        <f>IFERROR(VLOOKUP(DATA!#REF!,DATA!#REF!,1,FALSE),"")</f>
        <v/>
      </c>
      <c r="D5533" s="16" t="str">
        <f>IFERROR(VLOOKUP(C5533,DATA!#REF!,2,FALSE),"")</f>
        <v/>
      </c>
    </row>
    <row r="5534" spans="3:4" s="237" customFormat="1">
      <c r="C5534" s="16" t="str">
        <f>IFERROR(VLOOKUP(DATA!#REF!,DATA!#REF!,1,FALSE),"")</f>
        <v/>
      </c>
      <c r="D5534" s="16" t="str">
        <f>IFERROR(VLOOKUP(C5534,DATA!#REF!,2,FALSE),"")</f>
        <v/>
      </c>
    </row>
    <row r="5535" spans="3:4" s="237" customFormat="1">
      <c r="C5535" s="16" t="str">
        <f>IFERROR(VLOOKUP(DATA!#REF!,DATA!#REF!,1,FALSE),"")</f>
        <v/>
      </c>
      <c r="D5535" s="16" t="str">
        <f>IFERROR(VLOOKUP(C5535,DATA!#REF!,2,FALSE),"")</f>
        <v/>
      </c>
    </row>
    <row r="5536" spans="3:4" s="237" customFormat="1">
      <c r="C5536" s="16" t="str">
        <f>IFERROR(VLOOKUP(DATA!#REF!,DATA!#REF!,1,FALSE),"")</f>
        <v/>
      </c>
      <c r="D5536" s="16" t="str">
        <f>IFERROR(VLOOKUP(C5536,DATA!#REF!,2,FALSE),"")</f>
        <v/>
      </c>
    </row>
    <row r="5537" spans="3:4" s="237" customFormat="1">
      <c r="C5537" s="16" t="str">
        <f>IFERROR(VLOOKUP(DATA!#REF!,DATA!#REF!,1,FALSE),"")</f>
        <v/>
      </c>
      <c r="D5537" s="16" t="str">
        <f>IFERROR(VLOOKUP(C5537,DATA!#REF!,2,FALSE),"")</f>
        <v/>
      </c>
    </row>
    <row r="5538" spans="3:4" s="237" customFormat="1">
      <c r="C5538" s="16" t="str">
        <f>IFERROR(VLOOKUP(DATA!#REF!,DATA!#REF!,1,FALSE),"")</f>
        <v/>
      </c>
      <c r="D5538" s="16" t="str">
        <f>IFERROR(VLOOKUP(C5538,DATA!#REF!,2,FALSE),"")</f>
        <v/>
      </c>
    </row>
    <row r="5539" spans="3:4" s="237" customFormat="1">
      <c r="C5539" s="16" t="str">
        <f>IFERROR(VLOOKUP(DATA!#REF!,DATA!#REF!,1,FALSE),"")</f>
        <v/>
      </c>
      <c r="D5539" s="16" t="str">
        <f>IFERROR(VLOOKUP(C5539,DATA!#REF!,2,FALSE),"")</f>
        <v/>
      </c>
    </row>
    <row r="5540" spans="3:4" s="237" customFormat="1">
      <c r="C5540" s="16" t="str">
        <f>IFERROR(VLOOKUP(DATA!#REF!,DATA!#REF!,1,FALSE),"")</f>
        <v/>
      </c>
      <c r="D5540" s="16" t="str">
        <f>IFERROR(VLOOKUP(C5540,DATA!#REF!,2,FALSE),"")</f>
        <v/>
      </c>
    </row>
    <row r="5541" spans="3:4" s="237" customFormat="1">
      <c r="C5541" s="16" t="str">
        <f>IFERROR(VLOOKUP(DATA!#REF!,DATA!#REF!,1,FALSE),"")</f>
        <v/>
      </c>
      <c r="D5541" s="16" t="str">
        <f>IFERROR(VLOOKUP(C5541,DATA!#REF!,2,FALSE),"")</f>
        <v/>
      </c>
    </row>
    <row r="5542" spans="3:4" s="237" customFormat="1">
      <c r="C5542" s="16" t="str">
        <f>IFERROR(VLOOKUP(DATA!#REF!,DATA!#REF!,1,FALSE),"")</f>
        <v/>
      </c>
      <c r="D5542" s="16" t="str">
        <f>IFERROR(VLOOKUP(C5542,DATA!#REF!,2,FALSE),"")</f>
        <v/>
      </c>
    </row>
    <row r="5543" spans="3:4" s="237" customFormat="1">
      <c r="C5543" s="16" t="str">
        <f>IFERROR(VLOOKUP(DATA!#REF!,DATA!#REF!,1,FALSE),"")</f>
        <v/>
      </c>
      <c r="D5543" s="16" t="str">
        <f>IFERROR(VLOOKUP(C5543,DATA!#REF!,2,FALSE),"")</f>
        <v/>
      </c>
    </row>
    <row r="5544" spans="3:4" s="237" customFormat="1">
      <c r="C5544" s="16" t="str">
        <f>IFERROR(VLOOKUP(DATA!#REF!,DATA!#REF!,1,FALSE),"")</f>
        <v/>
      </c>
      <c r="D5544" s="16" t="str">
        <f>IFERROR(VLOOKUP(C5544,DATA!#REF!,2,FALSE),"")</f>
        <v/>
      </c>
    </row>
    <row r="5545" spans="3:4" s="237" customFormat="1">
      <c r="C5545" s="16" t="str">
        <f>IFERROR(VLOOKUP(DATA!#REF!,DATA!#REF!,1,FALSE),"")</f>
        <v/>
      </c>
      <c r="D5545" s="16" t="str">
        <f>IFERROR(VLOOKUP(C5545,DATA!#REF!,2,FALSE),"")</f>
        <v/>
      </c>
    </row>
    <row r="5546" spans="3:4" s="237" customFormat="1">
      <c r="C5546" s="16" t="str">
        <f>IFERROR(VLOOKUP(DATA!#REF!,DATA!#REF!,1,FALSE),"")</f>
        <v/>
      </c>
      <c r="D5546" s="16" t="str">
        <f>IFERROR(VLOOKUP(C5546,DATA!#REF!,2,FALSE),"")</f>
        <v/>
      </c>
    </row>
    <row r="5547" spans="3:4" s="237" customFormat="1">
      <c r="C5547" s="16" t="str">
        <f>IFERROR(VLOOKUP(DATA!#REF!,DATA!#REF!,1,FALSE),"")</f>
        <v/>
      </c>
      <c r="D5547" s="16" t="str">
        <f>IFERROR(VLOOKUP(C5547,DATA!#REF!,2,FALSE),"")</f>
        <v/>
      </c>
    </row>
    <row r="5548" spans="3:4" s="237" customFormat="1">
      <c r="C5548" s="16" t="str">
        <f>IFERROR(VLOOKUP(DATA!#REF!,DATA!#REF!,1,FALSE),"")</f>
        <v/>
      </c>
      <c r="D5548" s="16" t="str">
        <f>IFERROR(VLOOKUP(C5548,DATA!#REF!,2,FALSE),"")</f>
        <v/>
      </c>
    </row>
    <row r="5549" spans="3:4" s="237" customFormat="1">
      <c r="C5549" s="16" t="str">
        <f>IFERROR(VLOOKUP(DATA!#REF!,DATA!#REF!,1,FALSE),"")</f>
        <v/>
      </c>
      <c r="D5549" s="16" t="str">
        <f>IFERROR(VLOOKUP(C5549,DATA!#REF!,2,FALSE),"")</f>
        <v/>
      </c>
    </row>
    <row r="5550" spans="3:4" s="237" customFormat="1">
      <c r="C5550" s="16" t="str">
        <f>IFERROR(VLOOKUP(DATA!#REF!,DATA!#REF!,1,FALSE),"")</f>
        <v/>
      </c>
      <c r="D5550" s="16" t="str">
        <f>IFERROR(VLOOKUP(C5550,DATA!#REF!,2,FALSE),"")</f>
        <v/>
      </c>
    </row>
    <row r="5551" spans="3:4" s="237" customFormat="1">
      <c r="C5551" s="16" t="str">
        <f>IFERROR(VLOOKUP(DATA!#REF!,DATA!#REF!,1,FALSE),"")</f>
        <v/>
      </c>
      <c r="D5551" s="16" t="str">
        <f>IFERROR(VLOOKUP(C5551,DATA!#REF!,2,FALSE),"")</f>
        <v/>
      </c>
    </row>
    <row r="5552" spans="3:4" s="237" customFormat="1">
      <c r="C5552" s="16" t="str">
        <f>IFERROR(VLOOKUP(DATA!#REF!,DATA!#REF!,1,FALSE),"")</f>
        <v/>
      </c>
      <c r="D5552" s="16" t="str">
        <f>IFERROR(VLOOKUP(C5552,DATA!#REF!,2,FALSE),"")</f>
        <v/>
      </c>
    </row>
    <row r="5553" spans="3:4" s="237" customFormat="1">
      <c r="C5553" s="16" t="str">
        <f>IFERROR(VLOOKUP(DATA!#REF!,DATA!#REF!,1,FALSE),"")</f>
        <v/>
      </c>
      <c r="D5553" s="16" t="str">
        <f>IFERROR(VLOOKUP(C5553,DATA!#REF!,2,FALSE),"")</f>
        <v/>
      </c>
    </row>
    <row r="5554" spans="3:4" s="237" customFormat="1">
      <c r="C5554" s="16" t="str">
        <f>IFERROR(VLOOKUP(DATA!#REF!,DATA!#REF!,1,FALSE),"")</f>
        <v/>
      </c>
      <c r="D5554" s="16" t="str">
        <f>IFERROR(VLOOKUP(C5554,DATA!#REF!,2,FALSE),"")</f>
        <v/>
      </c>
    </row>
    <row r="5555" spans="3:4" s="237" customFormat="1">
      <c r="C5555" s="16" t="str">
        <f>IFERROR(VLOOKUP(DATA!#REF!,DATA!#REF!,1,FALSE),"")</f>
        <v/>
      </c>
      <c r="D5555" s="16" t="str">
        <f>IFERROR(VLOOKUP(C5555,DATA!#REF!,2,FALSE),"")</f>
        <v/>
      </c>
    </row>
    <row r="5556" spans="3:4" s="237" customFormat="1">
      <c r="C5556" s="16" t="str">
        <f>IFERROR(VLOOKUP(DATA!#REF!,DATA!#REF!,1,FALSE),"")</f>
        <v/>
      </c>
      <c r="D5556" s="16" t="str">
        <f>IFERROR(VLOOKUP(C5556,DATA!#REF!,2,FALSE),"")</f>
        <v/>
      </c>
    </row>
    <row r="5557" spans="3:4" s="237" customFormat="1">
      <c r="C5557" s="16" t="str">
        <f>IFERROR(VLOOKUP(DATA!#REF!,DATA!#REF!,1,FALSE),"")</f>
        <v/>
      </c>
      <c r="D5557" s="16" t="str">
        <f>IFERROR(VLOOKUP(C5557,DATA!#REF!,2,FALSE),"")</f>
        <v/>
      </c>
    </row>
    <row r="5558" spans="3:4" s="237" customFormat="1">
      <c r="C5558" s="16" t="str">
        <f>IFERROR(VLOOKUP(DATA!#REF!,DATA!#REF!,1,FALSE),"")</f>
        <v/>
      </c>
      <c r="D5558" s="16" t="str">
        <f>IFERROR(VLOOKUP(C5558,DATA!#REF!,2,FALSE),"")</f>
        <v/>
      </c>
    </row>
    <row r="5559" spans="3:4" s="237" customFormat="1">
      <c r="C5559" s="16" t="str">
        <f>IFERROR(VLOOKUP(DATA!#REF!,DATA!#REF!,1,FALSE),"")</f>
        <v/>
      </c>
      <c r="D5559" s="16" t="str">
        <f>IFERROR(VLOOKUP(C5559,DATA!#REF!,2,FALSE),"")</f>
        <v/>
      </c>
    </row>
    <row r="5560" spans="3:4" s="237" customFormat="1">
      <c r="C5560" s="16" t="str">
        <f>IFERROR(VLOOKUP(DATA!#REF!,DATA!#REF!,1,FALSE),"")</f>
        <v/>
      </c>
      <c r="D5560" s="16" t="str">
        <f>IFERROR(VLOOKUP(C5560,DATA!#REF!,2,FALSE),"")</f>
        <v/>
      </c>
    </row>
    <row r="5561" spans="3:4" s="237" customFormat="1">
      <c r="C5561" s="16" t="str">
        <f>IFERROR(VLOOKUP(DATA!#REF!,DATA!#REF!,1,FALSE),"")</f>
        <v/>
      </c>
      <c r="D5561" s="16" t="str">
        <f>IFERROR(VLOOKUP(C5561,DATA!#REF!,2,FALSE),"")</f>
        <v/>
      </c>
    </row>
    <row r="5562" spans="3:4" s="237" customFormat="1">
      <c r="C5562" s="16" t="str">
        <f>IFERROR(VLOOKUP(DATA!#REF!,DATA!#REF!,1,FALSE),"")</f>
        <v/>
      </c>
      <c r="D5562" s="16" t="str">
        <f>IFERROR(VLOOKUP(C5562,DATA!#REF!,2,FALSE),"")</f>
        <v/>
      </c>
    </row>
    <row r="5563" spans="3:4" s="237" customFormat="1">
      <c r="C5563" s="16" t="str">
        <f>IFERROR(VLOOKUP(DATA!#REF!,DATA!#REF!,1,FALSE),"")</f>
        <v/>
      </c>
      <c r="D5563" s="16" t="str">
        <f>IFERROR(VLOOKUP(C5563,DATA!#REF!,2,FALSE),"")</f>
        <v/>
      </c>
    </row>
    <row r="5564" spans="3:4" s="237" customFormat="1">
      <c r="C5564" s="16" t="str">
        <f>IFERROR(VLOOKUP(DATA!#REF!,DATA!#REF!,1,FALSE),"")</f>
        <v/>
      </c>
      <c r="D5564" s="16" t="str">
        <f>IFERROR(VLOOKUP(C5564,DATA!#REF!,2,FALSE),"")</f>
        <v/>
      </c>
    </row>
    <row r="5565" spans="3:4" s="237" customFormat="1">
      <c r="C5565" s="16" t="str">
        <f>IFERROR(VLOOKUP(DATA!#REF!,DATA!#REF!,1,FALSE),"")</f>
        <v/>
      </c>
      <c r="D5565" s="16" t="str">
        <f>IFERROR(VLOOKUP(C5565,DATA!#REF!,2,FALSE),"")</f>
        <v/>
      </c>
    </row>
    <row r="5566" spans="3:4" s="237" customFormat="1">
      <c r="C5566" s="16" t="str">
        <f>IFERROR(VLOOKUP(DATA!#REF!,DATA!#REF!,1,FALSE),"")</f>
        <v/>
      </c>
      <c r="D5566" s="16" t="str">
        <f>IFERROR(VLOOKUP(C5566,DATA!#REF!,2,FALSE),"")</f>
        <v/>
      </c>
    </row>
    <row r="5567" spans="3:4" s="237" customFormat="1">
      <c r="C5567" s="16" t="str">
        <f>IFERROR(VLOOKUP(DATA!#REF!,DATA!#REF!,1,FALSE),"")</f>
        <v/>
      </c>
      <c r="D5567" s="16" t="str">
        <f>IFERROR(VLOOKUP(C5567,DATA!#REF!,2,FALSE),"")</f>
        <v/>
      </c>
    </row>
    <row r="5568" spans="3:4" s="237" customFormat="1">
      <c r="C5568" s="16" t="str">
        <f>IFERROR(VLOOKUP(DATA!#REF!,DATA!#REF!,1,FALSE),"")</f>
        <v/>
      </c>
      <c r="D5568" s="16" t="str">
        <f>IFERROR(VLOOKUP(C5568,DATA!#REF!,2,FALSE),"")</f>
        <v/>
      </c>
    </row>
    <row r="5569" spans="3:4" s="237" customFormat="1">
      <c r="C5569" s="16" t="str">
        <f>IFERROR(VLOOKUP(DATA!#REF!,DATA!#REF!,1,FALSE),"")</f>
        <v/>
      </c>
      <c r="D5569" s="16" t="str">
        <f>IFERROR(VLOOKUP(C5569,DATA!#REF!,2,FALSE),"")</f>
        <v/>
      </c>
    </row>
    <row r="5570" spans="3:4" s="237" customFormat="1">
      <c r="C5570" s="16" t="str">
        <f>IFERROR(VLOOKUP(DATA!#REF!,DATA!#REF!,1,FALSE),"")</f>
        <v/>
      </c>
      <c r="D5570" s="16" t="str">
        <f>IFERROR(VLOOKUP(C5570,DATA!#REF!,2,FALSE),"")</f>
        <v/>
      </c>
    </row>
    <row r="5571" spans="3:4" s="237" customFormat="1">
      <c r="C5571" s="16" t="str">
        <f>IFERROR(VLOOKUP(DATA!#REF!,DATA!#REF!,1,FALSE),"")</f>
        <v/>
      </c>
      <c r="D5571" s="16" t="str">
        <f>IFERROR(VLOOKUP(C5571,DATA!#REF!,2,FALSE),"")</f>
        <v/>
      </c>
    </row>
    <row r="5572" spans="3:4" s="237" customFormat="1">
      <c r="C5572" s="16" t="str">
        <f>IFERROR(VLOOKUP(DATA!#REF!,DATA!#REF!,1,FALSE),"")</f>
        <v/>
      </c>
      <c r="D5572" s="16" t="str">
        <f>IFERROR(VLOOKUP(C5572,DATA!#REF!,2,FALSE),"")</f>
        <v/>
      </c>
    </row>
    <row r="5573" spans="3:4" s="237" customFormat="1">
      <c r="C5573" s="16" t="str">
        <f>IFERROR(VLOOKUP(DATA!#REF!,DATA!#REF!,1,FALSE),"")</f>
        <v/>
      </c>
      <c r="D5573" s="16" t="str">
        <f>IFERROR(VLOOKUP(C5573,DATA!#REF!,2,FALSE),"")</f>
        <v/>
      </c>
    </row>
    <row r="5574" spans="3:4" s="237" customFormat="1">
      <c r="C5574" s="16" t="str">
        <f>IFERROR(VLOOKUP(DATA!#REF!,DATA!#REF!,1,FALSE),"")</f>
        <v/>
      </c>
      <c r="D5574" s="16" t="str">
        <f>IFERROR(VLOOKUP(C5574,DATA!#REF!,2,FALSE),"")</f>
        <v/>
      </c>
    </row>
    <row r="5575" spans="3:4" s="237" customFormat="1">
      <c r="C5575" s="16" t="str">
        <f>IFERROR(VLOOKUP(DATA!#REF!,DATA!#REF!,1,FALSE),"")</f>
        <v/>
      </c>
      <c r="D5575" s="16" t="str">
        <f>IFERROR(VLOOKUP(C5575,DATA!#REF!,2,FALSE),"")</f>
        <v/>
      </c>
    </row>
    <row r="5576" spans="3:4" s="237" customFormat="1">
      <c r="C5576" s="16" t="str">
        <f>IFERROR(VLOOKUP(DATA!#REF!,DATA!#REF!,1,FALSE),"")</f>
        <v/>
      </c>
      <c r="D5576" s="16" t="str">
        <f>IFERROR(VLOOKUP(C5576,DATA!#REF!,2,FALSE),"")</f>
        <v/>
      </c>
    </row>
    <row r="5577" spans="3:4" s="237" customFormat="1">
      <c r="C5577" s="16" t="str">
        <f>IFERROR(VLOOKUP(DATA!#REF!,DATA!#REF!,1,FALSE),"")</f>
        <v/>
      </c>
      <c r="D5577" s="16" t="str">
        <f>IFERROR(VLOOKUP(C5577,DATA!#REF!,2,FALSE),"")</f>
        <v/>
      </c>
    </row>
    <row r="5578" spans="3:4" s="237" customFormat="1">
      <c r="C5578" s="16" t="str">
        <f>IFERROR(VLOOKUP(DATA!#REF!,DATA!#REF!,1,FALSE),"")</f>
        <v/>
      </c>
      <c r="D5578" s="16" t="str">
        <f>IFERROR(VLOOKUP(C5578,DATA!#REF!,2,FALSE),"")</f>
        <v/>
      </c>
    </row>
    <row r="5579" spans="3:4" s="237" customFormat="1">
      <c r="C5579" s="16" t="str">
        <f>IFERROR(VLOOKUP(DATA!#REF!,DATA!#REF!,1,FALSE),"")</f>
        <v/>
      </c>
      <c r="D5579" s="16" t="str">
        <f>IFERROR(VLOOKUP(C5579,DATA!#REF!,2,FALSE),"")</f>
        <v/>
      </c>
    </row>
    <row r="5580" spans="3:4" s="237" customFormat="1">
      <c r="C5580" s="16" t="str">
        <f>IFERROR(VLOOKUP(DATA!#REF!,DATA!#REF!,1,FALSE),"")</f>
        <v/>
      </c>
      <c r="D5580" s="16" t="str">
        <f>IFERROR(VLOOKUP(C5580,DATA!#REF!,2,FALSE),"")</f>
        <v/>
      </c>
    </row>
    <row r="5581" spans="3:4" s="237" customFormat="1">
      <c r="C5581" s="16" t="str">
        <f>IFERROR(VLOOKUP(DATA!#REF!,DATA!#REF!,1,FALSE),"")</f>
        <v/>
      </c>
      <c r="D5581" s="16" t="str">
        <f>IFERROR(VLOOKUP(C5581,DATA!#REF!,2,FALSE),"")</f>
        <v/>
      </c>
    </row>
    <row r="5582" spans="3:4" s="237" customFormat="1">
      <c r="C5582" s="16" t="str">
        <f>IFERROR(VLOOKUP(DATA!#REF!,DATA!#REF!,1,FALSE),"")</f>
        <v/>
      </c>
      <c r="D5582" s="16" t="str">
        <f>IFERROR(VLOOKUP(C5582,DATA!#REF!,2,FALSE),"")</f>
        <v/>
      </c>
    </row>
    <row r="5583" spans="3:4" s="237" customFormat="1">
      <c r="C5583" s="16" t="str">
        <f>IFERROR(VLOOKUP(DATA!#REF!,DATA!#REF!,1,FALSE),"")</f>
        <v/>
      </c>
      <c r="D5583" s="16" t="str">
        <f>IFERROR(VLOOKUP(C5583,DATA!#REF!,2,FALSE),"")</f>
        <v/>
      </c>
    </row>
    <row r="5584" spans="3:4" s="237" customFormat="1">
      <c r="C5584" s="16" t="str">
        <f>IFERROR(VLOOKUP(DATA!#REF!,DATA!#REF!,1,FALSE),"")</f>
        <v/>
      </c>
      <c r="D5584" s="16" t="str">
        <f>IFERROR(VLOOKUP(C5584,DATA!#REF!,2,FALSE),"")</f>
        <v/>
      </c>
    </row>
    <row r="5585" spans="3:4" s="237" customFormat="1">
      <c r="C5585" s="16" t="str">
        <f>IFERROR(VLOOKUP(DATA!#REF!,DATA!#REF!,1,FALSE),"")</f>
        <v/>
      </c>
      <c r="D5585" s="16" t="str">
        <f>IFERROR(VLOOKUP(C5585,DATA!#REF!,2,FALSE),"")</f>
        <v/>
      </c>
    </row>
    <row r="5586" spans="3:4" s="237" customFormat="1">
      <c r="C5586" s="16" t="str">
        <f>IFERROR(VLOOKUP(DATA!#REF!,DATA!#REF!,1,FALSE),"")</f>
        <v/>
      </c>
      <c r="D5586" s="16" t="str">
        <f>IFERROR(VLOOKUP(C5586,DATA!#REF!,2,FALSE),"")</f>
        <v/>
      </c>
    </row>
    <row r="5587" spans="3:4" s="237" customFormat="1">
      <c r="C5587" s="16" t="str">
        <f>IFERROR(VLOOKUP(DATA!#REF!,DATA!#REF!,1,FALSE),"")</f>
        <v/>
      </c>
      <c r="D5587" s="16" t="str">
        <f>IFERROR(VLOOKUP(C5587,DATA!#REF!,2,FALSE),"")</f>
        <v/>
      </c>
    </row>
    <row r="5588" spans="3:4" s="237" customFormat="1">
      <c r="C5588" s="16" t="str">
        <f>IFERROR(VLOOKUP(DATA!#REF!,DATA!#REF!,1,FALSE),"")</f>
        <v/>
      </c>
      <c r="D5588" s="16" t="str">
        <f>IFERROR(VLOOKUP(C5588,DATA!#REF!,2,FALSE),"")</f>
        <v/>
      </c>
    </row>
    <row r="5589" spans="3:4" s="237" customFormat="1">
      <c r="C5589" s="16" t="str">
        <f>IFERROR(VLOOKUP(DATA!#REF!,DATA!#REF!,1,FALSE),"")</f>
        <v/>
      </c>
      <c r="D5589" s="16" t="str">
        <f>IFERROR(VLOOKUP(C5589,DATA!#REF!,2,FALSE),"")</f>
        <v/>
      </c>
    </row>
    <row r="5590" spans="3:4" s="237" customFormat="1">
      <c r="C5590" s="16" t="str">
        <f>IFERROR(VLOOKUP(DATA!#REF!,DATA!#REF!,1,FALSE),"")</f>
        <v/>
      </c>
      <c r="D5590" s="16" t="str">
        <f>IFERROR(VLOOKUP(C5590,DATA!#REF!,2,FALSE),"")</f>
        <v/>
      </c>
    </row>
    <row r="5591" spans="3:4" s="237" customFormat="1">
      <c r="C5591" s="16" t="str">
        <f>IFERROR(VLOOKUP(DATA!#REF!,DATA!#REF!,1,FALSE),"")</f>
        <v/>
      </c>
      <c r="D5591" s="16" t="str">
        <f>IFERROR(VLOOKUP(C5591,DATA!#REF!,2,FALSE),"")</f>
        <v/>
      </c>
    </row>
    <row r="5592" spans="3:4" s="237" customFormat="1">
      <c r="C5592" s="16" t="str">
        <f>IFERROR(VLOOKUP(DATA!#REF!,DATA!#REF!,1,FALSE),"")</f>
        <v/>
      </c>
      <c r="D5592" s="16" t="str">
        <f>IFERROR(VLOOKUP(C5592,DATA!#REF!,2,FALSE),"")</f>
        <v/>
      </c>
    </row>
    <row r="5593" spans="3:4" s="237" customFormat="1">
      <c r="C5593" s="16" t="str">
        <f>IFERROR(VLOOKUP(DATA!#REF!,DATA!#REF!,1,FALSE),"")</f>
        <v/>
      </c>
      <c r="D5593" s="16" t="str">
        <f>IFERROR(VLOOKUP(C5593,DATA!#REF!,2,FALSE),"")</f>
        <v/>
      </c>
    </row>
    <row r="5594" spans="3:4" s="237" customFormat="1">
      <c r="C5594" s="16" t="str">
        <f>IFERROR(VLOOKUP(DATA!#REF!,DATA!#REF!,1,FALSE),"")</f>
        <v/>
      </c>
      <c r="D5594" s="16" t="str">
        <f>IFERROR(VLOOKUP(C5594,DATA!#REF!,2,FALSE),"")</f>
        <v/>
      </c>
    </row>
    <row r="5595" spans="3:4" s="237" customFormat="1">
      <c r="C5595" s="16" t="str">
        <f>IFERROR(VLOOKUP(DATA!#REF!,DATA!#REF!,1,FALSE),"")</f>
        <v/>
      </c>
      <c r="D5595" s="16" t="str">
        <f>IFERROR(VLOOKUP(C5595,DATA!#REF!,2,FALSE),"")</f>
        <v/>
      </c>
    </row>
    <row r="5596" spans="3:4" s="237" customFormat="1">
      <c r="C5596" s="16" t="str">
        <f>IFERROR(VLOOKUP(DATA!#REF!,DATA!#REF!,1,FALSE),"")</f>
        <v/>
      </c>
      <c r="D5596" s="16" t="str">
        <f>IFERROR(VLOOKUP(C5596,DATA!#REF!,2,FALSE),"")</f>
        <v/>
      </c>
    </row>
    <row r="5597" spans="3:4" s="237" customFormat="1">
      <c r="C5597" s="16" t="str">
        <f>IFERROR(VLOOKUP(DATA!#REF!,DATA!#REF!,1,FALSE),"")</f>
        <v/>
      </c>
      <c r="D5597" s="16" t="str">
        <f>IFERROR(VLOOKUP(C5597,DATA!#REF!,2,FALSE),"")</f>
        <v/>
      </c>
    </row>
    <row r="5598" spans="3:4" s="237" customFormat="1">
      <c r="C5598" s="16" t="str">
        <f>IFERROR(VLOOKUP(DATA!#REF!,DATA!#REF!,1,FALSE),"")</f>
        <v/>
      </c>
      <c r="D5598" s="16" t="str">
        <f>IFERROR(VLOOKUP(C5598,DATA!#REF!,2,FALSE),"")</f>
        <v/>
      </c>
    </row>
    <row r="5599" spans="3:4" s="237" customFormat="1">
      <c r="C5599" s="16" t="str">
        <f>IFERROR(VLOOKUP(DATA!#REF!,DATA!#REF!,1,FALSE),"")</f>
        <v/>
      </c>
      <c r="D5599" s="16" t="str">
        <f>IFERROR(VLOOKUP(C5599,DATA!#REF!,2,FALSE),"")</f>
        <v/>
      </c>
    </row>
    <row r="5600" spans="3:4" s="237" customFormat="1">
      <c r="C5600" s="16" t="str">
        <f>IFERROR(VLOOKUP(DATA!#REF!,DATA!#REF!,1,FALSE),"")</f>
        <v/>
      </c>
      <c r="D5600" s="16" t="str">
        <f>IFERROR(VLOOKUP(C5600,DATA!#REF!,2,FALSE),"")</f>
        <v/>
      </c>
    </row>
    <row r="5601" spans="3:4" s="237" customFormat="1">
      <c r="C5601" s="16" t="str">
        <f>IFERROR(VLOOKUP(DATA!#REF!,DATA!#REF!,1,FALSE),"")</f>
        <v/>
      </c>
      <c r="D5601" s="16" t="str">
        <f>IFERROR(VLOOKUP(C5601,DATA!#REF!,2,FALSE),"")</f>
        <v/>
      </c>
    </row>
    <row r="5602" spans="3:4" s="237" customFormat="1">
      <c r="C5602" s="16" t="str">
        <f>IFERROR(VLOOKUP(DATA!#REF!,DATA!#REF!,1,FALSE),"")</f>
        <v/>
      </c>
      <c r="D5602" s="16" t="str">
        <f>IFERROR(VLOOKUP(C5602,DATA!#REF!,2,FALSE),"")</f>
        <v/>
      </c>
    </row>
    <row r="5603" spans="3:4" s="237" customFormat="1">
      <c r="C5603" s="16" t="str">
        <f>IFERROR(VLOOKUP(DATA!#REF!,DATA!#REF!,1,FALSE),"")</f>
        <v/>
      </c>
      <c r="D5603" s="16" t="str">
        <f>IFERROR(VLOOKUP(C5603,DATA!#REF!,2,FALSE),"")</f>
        <v/>
      </c>
    </row>
    <row r="5604" spans="3:4" s="237" customFormat="1">
      <c r="C5604" s="16" t="str">
        <f>IFERROR(VLOOKUP(DATA!#REF!,DATA!#REF!,1,FALSE),"")</f>
        <v/>
      </c>
      <c r="D5604" s="16" t="str">
        <f>IFERROR(VLOOKUP(C5604,DATA!#REF!,2,FALSE),"")</f>
        <v/>
      </c>
    </row>
    <row r="5605" spans="3:4" s="237" customFormat="1">
      <c r="C5605" s="16" t="str">
        <f>IFERROR(VLOOKUP(DATA!#REF!,DATA!#REF!,1,FALSE),"")</f>
        <v/>
      </c>
      <c r="D5605" s="16" t="str">
        <f>IFERROR(VLOOKUP(C5605,DATA!#REF!,2,FALSE),"")</f>
        <v/>
      </c>
    </row>
    <row r="5606" spans="3:4" s="237" customFormat="1">
      <c r="C5606" s="16" t="str">
        <f>IFERROR(VLOOKUP(DATA!#REF!,DATA!#REF!,1,FALSE),"")</f>
        <v/>
      </c>
      <c r="D5606" s="16" t="str">
        <f>IFERROR(VLOOKUP(C5606,DATA!#REF!,2,FALSE),"")</f>
        <v/>
      </c>
    </row>
    <row r="5607" spans="3:4" s="237" customFormat="1">
      <c r="C5607" s="16" t="str">
        <f>IFERROR(VLOOKUP(DATA!#REF!,DATA!#REF!,1,FALSE),"")</f>
        <v/>
      </c>
      <c r="D5607" s="16" t="str">
        <f>IFERROR(VLOOKUP(C5607,DATA!#REF!,2,FALSE),"")</f>
        <v/>
      </c>
    </row>
    <row r="5608" spans="3:4" s="237" customFormat="1">
      <c r="C5608" s="16" t="str">
        <f>IFERROR(VLOOKUP(DATA!#REF!,DATA!#REF!,1,FALSE),"")</f>
        <v/>
      </c>
      <c r="D5608" s="16" t="str">
        <f>IFERROR(VLOOKUP(C5608,DATA!#REF!,2,FALSE),"")</f>
        <v/>
      </c>
    </row>
    <row r="5609" spans="3:4" s="237" customFormat="1">
      <c r="C5609" s="16" t="str">
        <f>IFERROR(VLOOKUP(DATA!#REF!,DATA!#REF!,1,FALSE),"")</f>
        <v/>
      </c>
      <c r="D5609" s="16" t="str">
        <f>IFERROR(VLOOKUP(C5609,DATA!#REF!,2,FALSE),"")</f>
        <v/>
      </c>
    </row>
    <row r="5610" spans="3:4" s="237" customFormat="1">
      <c r="C5610" s="16" t="str">
        <f>IFERROR(VLOOKUP(DATA!#REF!,DATA!#REF!,1,FALSE),"")</f>
        <v/>
      </c>
      <c r="D5610" s="16" t="str">
        <f>IFERROR(VLOOKUP(C5610,DATA!#REF!,2,FALSE),"")</f>
        <v/>
      </c>
    </row>
    <row r="5611" spans="3:4" s="237" customFormat="1">
      <c r="C5611" s="16" t="str">
        <f>IFERROR(VLOOKUP(DATA!#REF!,DATA!#REF!,1,FALSE),"")</f>
        <v/>
      </c>
      <c r="D5611" s="16" t="str">
        <f>IFERROR(VLOOKUP(C5611,DATA!#REF!,2,FALSE),"")</f>
        <v/>
      </c>
    </row>
    <row r="5612" spans="3:4" s="237" customFormat="1">
      <c r="C5612" s="16" t="str">
        <f>IFERROR(VLOOKUP(DATA!#REF!,DATA!#REF!,1,FALSE),"")</f>
        <v/>
      </c>
      <c r="D5612" s="16" t="str">
        <f>IFERROR(VLOOKUP(C5612,DATA!#REF!,2,FALSE),"")</f>
        <v/>
      </c>
    </row>
    <row r="5613" spans="3:4" s="237" customFormat="1">
      <c r="C5613" s="16" t="str">
        <f>IFERROR(VLOOKUP(DATA!#REF!,DATA!#REF!,1,FALSE),"")</f>
        <v/>
      </c>
      <c r="D5613" s="16" t="str">
        <f>IFERROR(VLOOKUP(C5613,DATA!#REF!,2,FALSE),"")</f>
        <v/>
      </c>
    </row>
    <row r="5614" spans="3:4" s="237" customFormat="1">
      <c r="C5614" s="16" t="str">
        <f>IFERROR(VLOOKUP(DATA!#REF!,DATA!#REF!,1,FALSE),"")</f>
        <v/>
      </c>
      <c r="D5614" s="16" t="str">
        <f>IFERROR(VLOOKUP(C5614,DATA!#REF!,2,FALSE),"")</f>
        <v/>
      </c>
    </row>
    <row r="5615" spans="3:4" s="237" customFormat="1">
      <c r="C5615" s="16" t="str">
        <f>IFERROR(VLOOKUP(DATA!#REF!,DATA!#REF!,1,FALSE),"")</f>
        <v/>
      </c>
      <c r="D5615" s="16" t="str">
        <f>IFERROR(VLOOKUP(C5615,DATA!#REF!,2,FALSE),"")</f>
        <v/>
      </c>
    </row>
    <row r="5616" spans="3:4" s="237" customFormat="1">
      <c r="C5616" s="16" t="str">
        <f>IFERROR(VLOOKUP(DATA!#REF!,DATA!#REF!,1,FALSE),"")</f>
        <v/>
      </c>
      <c r="D5616" s="16" t="str">
        <f>IFERROR(VLOOKUP(C5616,DATA!#REF!,2,FALSE),"")</f>
        <v/>
      </c>
    </row>
    <row r="5617" spans="3:4" s="237" customFormat="1">
      <c r="C5617" s="16" t="str">
        <f>IFERROR(VLOOKUP(DATA!#REF!,DATA!#REF!,1,FALSE),"")</f>
        <v/>
      </c>
      <c r="D5617" s="16" t="str">
        <f>IFERROR(VLOOKUP(C5617,DATA!#REF!,2,FALSE),"")</f>
        <v/>
      </c>
    </row>
    <row r="5618" spans="3:4" s="237" customFormat="1">
      <c r="C5618" s="16" t="str">
        <f>IFERROR(VLOOKUP(DATA!#REF!,DATA!#REF!,1,FALSE),"")</f>
        <v/>
      </c>
      <c r="D5618" s="16" t="str">
        <f>IFERROR(VLOOKUP(C5618,DATA!#REF!,2,FALSE),"")</f>
        <v/>
      </c>
    </row>
    <row r="5619" spans="3:4" s="237" customFormat="1">
      <c r="C5619" s="16" t="str">
        <f>IFERROR(VLOOKUP(DATA!#REF!,DATA!#REF!,1,FALSE),"")</f>
        <v/>
      </c>
      <c r="D5619" s="16" t="str">
        <f>IFERROR(VLOOKUP(C5619,DATA!#REF!,2,FALSE),"")</f>
        <v/>
      </c>
    </row>
    <row r="5620" spans="3:4" s="237" customFormat="1">
      <c r="C5620" s="16" t="str">
        <f>IFERROR(VLOOKUP(DATA!#REF!,DATA!#REF!,1,FALSE),"")</f>
        <v/>
      </c>
      <c r="D5620" s="16" t="str">
        <f>IFERROR(VLOOKUP(C5620,DATA!#REF!,2,FALSE),"")</f>
        <v/>
      </c>
    </row>
    <row r="5621" spans="3:4" s="237" customFormat="1">
      <c r="C5621" s="16" t="str">
        <f>IFERROR(VLOOKUP(DATA!#REF!,DATA!#REF!,1,FALSE),"")</f>
        <v/>
      </c>
      <c r="D5621" s="16" t="str">
        <f>IFERROR(VLOOKUP(C5621,DATA!#REF!,2,FALSE),"")</f>
        <v/>
      </c>
    </row>
    <row r="5622" spans="3:4" s="237" customFormat="1">
      <c r="C5622" s="16" t="str">
        <f>IFERROR(VLOOKUP(DATA!#REF!,DATA!#REF!,1,FALSE),"")</f>
        <v/>
      </c>
      <c r="D5622" s="16" t="str">
        <f>IFERROR(VLOOKUP(C5622,DATA!#REF!,2,FALSE),"")</f>
        <v/>
      </c>
    </row>
    <row r="5623" spans="3:4" s="237" customFormat="1">
      <c r="C5623" s="16" t="str">
        <f>IFERROR(VLOOKUP(DATA!#REF!,DATA!#REF!,1,FALSE),"")</f>
        <v/>
      </c>
      <c r="D5623" s="16" t="str">
        <f>IFERROR(VLOOKUP(C5623,DATA!#REF!,2,FALSE),"")</f>
        <v/>
      </c>
    </row>
    <row r="5624" spans="3:4" s="237" customFormat="1">
      <c r="C5624" s="16" t="str">
        <f>IFERROR(VLOOKUP(DATA!#REF!,DATA!#REF!,1,FALSE),"")</f>
        <v/>
      </c>
      <c r="D5624" s="16" t="str">
        <f>IFERROR(VLOOKUP(C5624,DATA!#REF!,2,FALSE),"")</f>
        <v/>
      </c>
    </row>
    <row r="5625" spans="3:4" s="237" customFormat="1">
      <c r="C5625" s="16" t="str">
        <f>IFERROR(VLOOKUP(DATA!#REF!,DATA!#REF!,1,FALSE),"")</f>
        <v/>
      </c>
      <c r="D5625" s="16" t="str">
        <f>IFERROR(VLOOKUP(C5625,DATA!#REF!,2,FALSE),"")</f>
        <v/>
      </c>
    </row>
    <row r="5626" spans="3:4" s="237" customFormat="1">
      <c r="C5626" s="16" t="str">
        <f>IFERROR(VLOOKUP(DATA!#REF!,DATA!#REF!,1,FALSE),"")</f>
        <v/>
      </c>
      <c r="D5626" s="16" t="str">
        <f>IFERROR(VLOOKUP(C5626,DATA!#REF!,2,FALSE),"")</f>
        <v/>
      </c>
    </row>
    <row r="5627" spans="3:4" s="237" customFormat="1">
      <c r="C5627" s="16" t="str">
        <f>IFERROR(VLOOKUP(DATA!#REF!,DATA!#REF!,1,FALSE),"")</f>
        <v/>
      </c>
      <c r="D5627" s="16" t="str">
        <f>IFERROR(VLOOKUP(C5627,DATA!#REF!,2,FALSE),"")</f>
        <v/>
      </c>
    </row>
    <row r="5628" spans="3:4" s="237" customFormat="1">
      <c r="C5628" s="16" t="str">
        <f>IFERROR(VLOOKUP(DATA!#REF!,DATA!#REF!,1,FALSE),"")</f>
        <v/>
      </c>
      <c r="D5628" s="16" t="str">
        <f>IFERROR(VLOOKUP(C5628,DATA!#REF!,2,FALSE),"")</f>
        <v/>
      </c>
    </row>
    <row r="5629" spans="3:4" s="237" customFormat="1">
      <c r="C5629" s="16" t="str">
        <f>IFERROR(VLOOKUP(DATA!#REF!,DATA!#REF!,1,FALSE),"")</f>
        <v/>
      </c>
      <c r="D5629" s="16" t="str">
        <f>IFERROR(VLOOKUP(C5629,DATA!#REF!,2,FALSE),"")</f>
        <v/>
      </c>
    </row>
    <row r="5630" spans="3:4" s="237" customFormat="1">
      <c r="C5630" s="16" t="str">
        <f>IFERROR(VLOOKUP(DATA!#REF!,DATA!#REF!,1,FALSE),"")</f>
        <v/>
      </c>
      <c r="D5630" s="16" t="str">
        <f>IFERROR(VLOOKUP(C5630,DATA!#REF!,2,FALSE),"")</f>
        <v/>
      </c>
    </row>
    <row r="5631" spans="3:4" s="237" customFormat="1">
      <c r="C5631" s="16" t="str">
        <f>IFERROR(VLOOKUP(DATA!#REF!,DATA!#REF!,1,FALSE),"")</f>
        <v/>
      </c>
      <c r="D5631" s="16" t="str">
        <f>IFERROR(VLOOKUP(C5631,DATA!#REF!,2,FALSE),"")</f>
        <v/>
      </c>
    </row>
    <row r="5632" spans="3:4" s="237" customFormat="1">
      <c r="C5632" s="16" t="str">
        <f>IFERROR(VLOOKUP(DATA!#REF!,DATA!#REF!,1,FALSE),"")</f>
        <v/>
      </c>
      <c r="D5632" s="16" t="str">
        <f>IFERROR(VLOOKUP(C5632,DATA!#REF!,2,FALSE),"")</f>
        <v/>
      </c>
    </row>
    <row r="5633" spans="3:4" s="237" customFormat="1">
      <c r="C5633" s="16" t="str">
        <f>IFERROR(VLOOKUP(DATA!#REF!,DATA!#REF!,1,FALSE),"")</f>
        <v/>
      </c>
      <c r="D5633" s="16" t="str">
        <f>IFERROR(VLOOKUP(C5633,DATA!#REF!,2,FALSE),"")</f>
        <v/>
      </c>
    </row>
    <row r="5634" spans="3:4" s="237" customFormat="1">
      <c r="C5634" s="16" t="str">
        <f>IFERROR(VLOOKUP(DATA!#REF!,DATA!#REF!,1,FALSE),"")</f>
        <v/>
      </c>
      <c r="D5634" s="16" t="str">
        <f>IFERROR(VLOOKUP(C5634,DATA!#REF!,2,FALSE),"")</f>
        <v/>
      </c>
    </row>
    <row r="5635" spans="3:4" s="237" customFormat="1">
      <c r="C5635" s="16" t="str">
        <f>IFERROR(VLOOKUP(DATA!#REF!,DATA!#REF!,1,FALSE),"")</f>
        <v/>
      </c>
      <c r="D5635" s="16" t="str">
        <f>IFERROR(VLOOKUP(C5635,DATA!#REF!,2,FALSE),"")</f>
        <v/>
      </c>
    </row>
    <row r="5636" spans="3:4" s="237" customFormat="1">
      <c r="C5636" s="16" t="str">
        <f>IFERROR(VLOOKUP(DATA!#REF!,DATA!#REF!,1,FALSE),"")</f>
        <v/>
      </c>
      <c r="D5636" s="16" t="str">
        <f>IFERROR(VLOOKUP(C5636,DATA!#REF!,2,FALSE),"")</f>
        <v/>
      </c>
    </row>
    <row r="5637" spans="3:4" s="237" customFormat="1">
      <c r="C5637" s="16" t="str">
        <f>IFERROR(VLOOKUP(DATA!#REF!,DATA!#REF!,1,FALSE),"")</f>
        <v/>
      </c>
      <c r="D5637" s="16" t="str">
        <f>IFERROR(VLOOKUP(C5637,DATA!#REF!,2,FALSE),"")</f>
        <v/>
      </c>
    </row>
    <row r="5638" spans="3:4" s="237" customFormat="1">
      <c r="C5638" s="16" t="str">
        <f>IFERROR(VLOOKUP(DATA!#REF!,DATA!#REF!,1,FALSE),"")</f>
        <v/>
      </c>
      <c r="D5638" s="16" t="str">
        <f>IFERROR(VLOOKUP(C5638,DATA!#REF!,2,FALSE),"")</f>
        <v/>
      </c>
    </row>
    <row r="5639" spans="3:4" s="237" customFormat="1">
      <c r="C5639" s="16" t="str">
        <f>IFERROR(VLOOKUP(DATA!#REF!,DATA!#REF!,1,FALSE),"")</f>
        <v/>
      </c>
      <c r="D5639" s="16" t="str">
        <f>IFERROR(VLOOKUP(C5639,DATA!#REF!,2,FALSE),"")</f>
        <v/>
      </c>
    </row>
    <row r="5640" spans="3:4" s="237" customFormat="1">
      <c r="C5640" s="16" t="str">
        <f>IFERROR(VLOOKUP(DATA!#REF!,DATA!#REF!,1,FALSE),"")</f>
        <v/>
      </c>
      <c r="D5640" s="16" t="str">
        <f>IFERROR(VLOOKUP(C5640,DATA!#REF!,2,FALSE),"")</f>
        <v/>
      </c>
    </row>
    <row r="5641" spans="3:4" s="237" customFormat="1">
      <c r="C5641" s="16" t="str">
        <f>IFERROR(VLOOKUP(DATA!#REF!,DATA!#REF!,1,FALSE),"")</f>
        <v/>
      </c>
      <c r="D5641" s="16" t="str">
        <f>IFERROR(VLOOKUP(C5641,DATA!#REF!,2,FALSE),"")</f>
        <v/>
      </c>
    </row>
    <row r="5642" spans="3:4" s="237" customFormat="1">
      <c r="C5642" s="16" t="str">
        <f>IFERROR(VLOOKUP(DATA!#REF!,DATA!#REF!,1,FALSE),"")</f>
        <v/>
      </c>
      <c r="D5642" s="16" t="str">
        <f>IFERROR(VLOOKUP(C5642,DATA!#REF!,2,FALSE),"")</f>
        <v/>
      </c>
    </row>
    <row r="5643" spans="3:4" s="237" customFormat="1">
      <c r="C5643" s="16" t="str">
        <f>IFERROR(VLOOKUP(DATA!#REF!,DATA!#REF!,1,FALSE),"")</f>
        <v/>
      </c>
      <c r="D5643" s="16" t="str">
        <f>IFERROR(VLOOKUP(C5643,DATA!#REF!,2,FALSE),"")</f>
        <v/>
      </c>
    </row>
    <row r="5644" spans="3:4" s="237" customFormat="1">
      <c r="C5644" s="16" t="str">
        <f>IFERROR(VLOOKUP(DATA!#REF!,DATA!#REF!,1,FALSE),"")</f>
        <v/>
      </c>
      <c r="D5644" s="16" t="str">
        <f>IFERROR(VLOOKUP(C5644,DATA!#REF!,2,FALSE),"")</f>
        <v/>
      </c>
    </row>
    <row r="5645" spans="3:4" s="237" customFormat="1">
      <c r="C5645" s="16" t="str">
        <f>IFERROR(VLOOKUP(DATA!#REF!,DATA!#REF!,1,FALSE),"")</f>
        <v/>
      </c>
      <c r="D5645" s="16" t="str">
        <f>IFERROR(VLOOKUP(C5645,DATA!#REF!,2,FALSE),"")</f>
        <v/>
      </c>
    </row>
    <row r="5646" spans="3:4" s="237" customFormat="1">
      <c r="C5646" s="16" t="str">
        <f>IFERROR(VLOOKUP(DATA!#REF!,DATA!#REF!,1,FALSE),"")</f>
        <v/>
      </c>
      <c r="D5646" s="16" t="str">
        <f>IFERROR(VLOOKUP(C5646,DATA!#REF!,2,FALSE),"")</f>
        <v/>
      </c>
    </row>
    <row r="5647" spans="3:4" s="237" customFormat="1">
      <c r="C5647" s="16" t="str">
        <f>IFERROR(VLOOKUP(DATA!#REF!,DATA!#REF!,1,FALSE),"")</f>
        <v/>
      </c>
      <c r="D5647" s="16" t="str">
        <f>IFERROR(VLOOKUP(C5647,DATA!#REF!,2,FALSE),"")</f>
        <v/>
      </c>
    </row>
    <row r="5648" spans="3:4" s="237" customFormat="1">
      <c r="C5648" s="16" t="str">
        <f>IFERROR(VLOOKUP(DATA!#REF!,DATA!#REF!,1,FALSE),"")</f>
        <v/>
      </c>
      <c r="D5648" s="16" t="str">
        <f>IFERROR(VLOOKUP(C5648,DATA!#REF!,2,FALSE),"")</f>
        <v/>
      </c>
    </row>
    <row r="5649" spans="3:4" s="237" customFormat="1">
      <c r="C5649" s="16" t="str">
        <f>IFERROR(VLOOKUP(DATA!#REF!,DATA!#REF!,1,FALSE),"")</f>
        <v/>
      </c>
      <c r="D5649" s="16" t="str">
        <f>IFERROR(VLOOKUP(C5649,DATA!#REF!,2,FALSE),"")</f>
        <v/>
      </c>
    </row>
    <row r="5650" spans="3:4" s="237" customFormat="1">
      <c r="C5650" s="16" t="str">
        <f>IFERROR(VLOOKUP(DATA!#REF!,DATA!#REF!,1,FALSE),"")</f>
        <v/>
      </c>
      <c r="D5650" s="16" t="str">
        <f>IFERROR(VLOOKUP(C5650,DATA!#REF!,2,FALSE),"")</f>
        <v/>
      </c>
    </row>
    <row r="5651" spans="3:4" s="237" customFormat="1">
      <c r="C5651" s="16" t="str">
        <f>IFERROR(VLOOKUP(DATA!#REF!,DATA!#REF!,1,FALSE),"")</f>
        <v/>
      </c>
      <c r="D5651" s="16" t="str">
        <f>IFERROR(VLOOKUP(C5651,DATA!#REF!,2,FALSE),"")</f>
        <v/>
      </c>
    </row>
    <row r="5652" spans="3:4" s="237" customFormat="1">
      <c r="C5652" s="16" t="str">
        <f>IFERROR(VLOOKUP(DATA!#REF!,DATA!#REF!,1,FALSE),"")</f>
        <v/>
      </c>
      <c r="D5652" s="16" t="str">
        <f>IFERROR(VLOOKUP(C5652,DATA!#REF!,2,FALSE),"")</f>
        <v/>
      </c>
    </row>
    <row r="5653" spans="3:4" s="237" customFormat="1">
      <c r="C5653" s="16" t="str">
        <f>IFERROR(VLOOKUP(DATA!#REF!,DATA!#REF!,1,FALSE),"")</f>
        <v/>
      </c>
      <c r="D5653" s="16" t="str">
        <f>IFERROR(VLOOKUP(C5653,DATA!#REF!,2,FALSE),"")</f>
        <v/>
      </c>
    </row>
    <row r="5654" spans="3:4" s="237" customFormat="1">
      <c r="C5654" s="16" t="str">
        <f>IFERROR(VLOOKUP(DATA!#REF!,DATA!#REF!,1,FALSE),"")</f>
        <v/>
      </c>
      <c r="D5654" s="16" t="str">
        <f>IFERROR(VLOOKUP(C5654,DATA!#REF!,2,FALSE),"")</f>
        <v/>
      </c>
    </row>
    <row r="5655" spans="3:4" s="237" customFormat="1">
      <c r="C5655" s="16" t="str">
        <f>IFERROR(VLOOKUP(DATA!#REF!,DATA!#REF!,1,FALSE),"")</f>
        <v/>
      </c>
      <c r="D5655" s="16" t="str">
        <f>IFERROR(VLOOKUP(C5655,DATA!#REF!,2,FALSE),"")</f>
        <v/>
      </c>
    </row>
    <row r="5656" spans="3:4" s="237" customFormat="1">
      <c r="C5656" s="16" t="str">
        <f>IFERROR(VLOOKUP(DATA!#REF!,DATA!#REF!,1,FALSE),"")</f>
        <v/>
      </c>
      <c r="D5656" s="16" t="str">
        <f>IFERROR(VLOOKUP(C5656,DATA!#REF!,2,FALSE),"")</f>
        <v/>
      </c>
    </row>
    <row r="5657" spans="3:4" s="237" customFormat="1">
      <c r="C5657" s="16" t="str">
        <f>IFERROR(VLOOKUP(DATA!#REF!,DATA!#REF!,1,FALSE),"")</f>
        <v/>
      </c>
      <c r="D5657" s="16" t="str">
        <f>IFERROR(VLOOKUP(C5657,DATA!#REF!,2,FALSE),"")</f>
        <v/>
      </c>
    </row>
    <row r="5658" spans="3:4" s="237" customFormat="1">
      <c r="C5658" s="16" t="str">
        <f>IFERROR(VLOOKUP(DATA!#REF!,DATA!#REF!,1,FALSE),"")</f>
        <v/>
      </c>
      <c r="D5658" s="16" t="str">
        <f>IFERROR(VLOOKUP(C5658,DATA!#REF!,2,FALSE),"")</f>
        <v/>
      </c>
    </row>
    <row r="5659" spans="3:4" s="237" customFormat="1">
      <c r="C5659" s="16" t="str">
        <f>IFERROR(VLOOKUP(DATA!#REF!,DATA!#REF!,1,FALSE),"")</f>
        <v/>
      </c>
      <c r="D5659" s="16" t="str">
        <f>IFERROR(VLOOKUP(C5659,DATA!#REF!,2,FALSE),"")</f>
        <v/>
      </c>
    </row>
    <row r="5660" spans="3:4" s="237" customFormat="1">
      <c r="C5660" s="16" t="str">
        <f>IFERROR(VLOOKUP(DATA!#REF!,DATA!#REF!,1,FALSE),"")</f>
        <v/>
      </c>
      <c r="D5660" s="16" t="str">
        <f>IFERROR(VLOOKUP(C5660,DATA!#REF!,2,FALSE),"")</f>
        <v/>
      </c>
    </row>
    <row r="5661" spans="3:4" s="237" customFormat="1">
      <c r="C5661" s="16" t="str">
        <f>IFERROR(VLOOKUP(DATA!#REF!,DATA!#REF!,1,FALSE),"")</f>
        <v/>
      </c>
      <c r="D5661" s="16" t="str">
        <f>IFERROR(VLOOKUP(C5661,DATA!#REF!,2,FALSE),"")</f>
        <v/>
      </c>
    </row>
    <row r="5662" spans="3:4" s="237" customFormat="1">
      <c r="C5662" s="16" t="str">
        <f>IFERROR(VLOOKUP(DATA!#REF!,DATA!#REF!,1,FALSE),"")</f>
        <v/>
      </c>
      <c r="D5662" s="16" t="str">
        <f>IFERROR(VLOOKUP(C5662,DATA!#REF!,2,FALSE),"")</f>
        <v/>
      </c>
    </row>
    <row r="5663" spans="3:4" s="237" customFormat="1">
      <c r="C5663" s="16" t="str">
        <f>IFERROR(VLOOKUP(DATA!#REF!,DATA!#REF!,1,FALSE),"")</f>
        <v/>
      </c>
      <c r="D5663" s="16" t="str">
        <f>IFERROR(VLOOKUP(C5663,DATA!#REF!,2,FALSE),"")</f>
        <v/>
      </c>
    </row>
    <row r="5664" spans="3:4" s="237" customFormat="1">
      <c r="C5664" s="16" t="str">
        <f>IFERROR(VLOOKUP(DATA!#REF!,DATA!#REF!,1,FALSE),"")</f>
        <v/>
      </c>
      <c r="D5664" s="16" t="str">
        <f>IFERROR(VLOOKUP(C5664,DATA!#REF!,2,FALSE),"")</f>
        <v/>
      </c>
    </row>
    <row r="5665" spans="3:4" s="237" customFormat="1">
      <c r="C5665" s="16" t="str">
        <f>IFERROR(VLOOKUP(DATA!#REF!,DATA!#REF!,1,FALSE),"")</f>
        <v/>
      </c>
      <c r="D5665" s="16" t="str">
        <f>IFERROR(VLOOKUP(C5665,DATA!#REF!,2,FALSE),"")</f>
        <v/>
      </c>
    </row>
    <row r="5666" spans="3:4" s="237" customFormat="1">
      <c r="C5666" s="16" t="str">
        <f>IFERROR(VLOOKUP(DATA!#REF!,DATA!#REF!,1,FALSE),"")</f>
        <v/>
      </c>
      <c r="D5666" s="16" t="str">
        <f>IFERROR(VLOOKUP(C5666,DATA!#REF!,2,FALSE),"")</f>
        <v/>
      </c>
    </row>
    <row r="5667" spans="3:4" s="237" customFormat="1">
      <c r="C5667" s="16" t="str">
        <f>IFERROR(VLOOKUP(DATA!#REF!,DATA!#REF!,1,FALSE),"")</f>
        <v/>
      </c>
      <c r="D5667" s="16" t="str">
        <f>IFERROR(VLOOKUP(C5667,DATA!#REF!,2,FALSE),"")</f>
        <v/>
      </c>
    </row>
    <row r="5668" spans="3:4" s="237" customFormat="1">
      <c r="C5668" s="16" t="str">
        <f>IFERROR(VLOOKUP(DATA!#REF!,DATA!#REF!,1,FALSE),"")</f>
        <v/>
      </c>
      <c r="D5668" s="16" t="str">
        <f>IFERROR(VLOOKUP(C5668,DATA!#REF!,2,FALSE),"")</f>
        <v/>
      </c>
    </row>
    <row r="5669" spans="3:4" s="237" customFormat="1">
      <c r="C5669" s="16" t="str">
        <f>IFERROR(VLOOKUP(DATA!#REF!,DATA!#REF!,1,FALSE),"")</f>
        <v/>
      </c>
      <c r="D5669" s="16" t="str">
        <f>IFERROR(VLOOKUP(C5669,DATA!#REF!,2,FALSE),"")</f>
        <v/>
      </c>
    </row>
    <row r="5670" spans="3:4" s="237" customFormat="1">
      <c r="C5670" s="16" t="str">
        <f>IFERROR(VLOOKUP(DATA!#REF!,DATA!#REF!,1,FALSE),"")</f>
        <v/>
      </c>
      <c r="D5670" s="16" t="str">
        <f>IFERROR(VLOOKUP(C5670,DATA!#REF!,2,FALSE),"")</f>
        <v/>
      </c>
    </row>
    <row r="5671" spans="3:4" s="237" customFormat="1">
      <c r="C5671" s="16" t="str">
        <f>IFERROR(VLOOKUP(DATA!#REF!,DATA!#REF!,1,FALSE),"")</f>
        <v/>
      </c>
      <c r="D5671" s="16" t="str">
        <f>IFERROR(VLOOKUP(C5671,DATA!#REF!,2,FALSE),"")</f>
        <v/>
      </c>
    </row>
    <row r="5672" spans="3:4" s="237" customFormat="1">
      <c r="C5672" s="16" t="str">
        <f>IFERROR(VLOOKUP(DATA!#REF!,DATA!#REF!,1,FALSE),"")</f>
        <v/>
      </c>
      <c r="D5672" s="16" t="str">
        <f>IFERROR(VLOOKUP(C5672,DATA!#REF!,2,FALSE),"")</f>
        <v/>
      </c>
    </row>
    <row r="5673" spans="3:4" s="237" customFormat="1">
      <c r="C5673" s="16" t="str">
        <f>IFERROR(VLOOKUP(DATA!#REF!,DATA!#REF!,1,FALSE),"")</f>
        <v/>
      </c>
      <c r="D5673" s="16" t="str">
        <f>IFERROR(VLOOKUP(C5673,DATA!#REF!,2,FALSE),"")</f>
        <v/>
      </c>
    </row>
    <row r="5674" spans="3:4" s="237" customFormat="1">
      <c r="C5674" s="16" t="str">
        <f>IFERROR(VLOOKUP(DATA!#REF!,DATA!#REF!,1,FALSE),"")</f>
        <v/>
      </c>
      <c r="D5674" s="16" t="str">
        <f>IFERROR(VLOOKUP(C5674,DATA!#REF!,2,FALSE),"")</f>
        <v/>
      </c>
    </row>
    <row r="5675" spans="3:4" s="237" customFormat="1">
      <c r="C5675" s="16" t="str">
        <f>IFERROR(VLOOKUP(DATA!#REF!,DATA!#REF!,1,FALSE),"")</f>
        <v/>
      </c>
      <c r="D5675" s="16" t="str">
        <f>IFERROR(VLOOKUP(C5675,DATA!#REF!,2,FALSE),"")</f>
        <v/>
      </c>
    </row>
    <row r="5676" spans="3:4" s="237" customFormat="1">
      <c r="C5676" s="16" t="str">
        <f>IFERROR(VLOOKUP(DATA!#REF!,DATA!#REF!,1,FALSE),"")</f>
        <v/>
      </c>
      <c r="D5676" s="16" t="str">
        <f>IFERROR(VLOOKUP(C5676,DATA!#REF!,2,FALSE),"")</f>
        <v/>
      </c>
    </row>
    <row r="5677" spans="3:4" s="237" customFormat="1">
      <c r="C5677" s="16" t="str">
        <f>IFERROR(VLOOKUP(DATA!#REF!,DATA!#REF!,1,FALSE),"")</f>
        <v/>
      </c>
      <c r="D5677" s="16" t="str">
        <f>IFERROR(VLOOKUP(C5677,DATA!#REF!,2,FALSE),"")</f>
        <v/>
      </c>
    </row>
    <row r="5678" spans="3:4" s="237" customFormat="1">
      <c r="C5678" s="16" t="str">
        <f>IFERROR(VLOOKUP(DATA!#REF!,DATA!#REF!,1,FALSE),"")</f>
        <v/>
      </c>
      <c r="D5678" s="16" t="str">
        <f>IFERROR(VLOOKUP(C5678,DATA!#REF!,2,FALSE),"")</f>
        <v/>
      </c>
    </row>
    <row r="5679" spans="3:4" s="237" customFormat="1">
      <c r="C5679" s="16" t="str">
        <f>IFERROR(VLOOKUP(DATA!#REF!,DATA!#REF!,1,FALSE),"")</f>
        <v/>
      </c>
      <c r="D5679" s="16" t="str">
        <f>IFERROR(VLOOKUP(C5679,DATA!#REF!,2,FALSE),"")</f>
        <v/>
      </c>
    </row>
    <row r="5680" spans="3:4" s="237" customFormat="1">
      <c r="C5680" s="16" t="str">
        <f>IFERROR(VLOOKUP(DATA!#REF!,DATA!#REF!,1,FALSE),"")</f>
        <v/>
      </c>
      <c r="D5680" s="16" t="str">
        <f>IFERROR(VLOOKUP(C5680,DATA!#REF!,2,FALSE),"")</f>
        <v/>
      </c>
    </row>
    <row r="5681" spans="3:4" s="237" customFormat="1">
      <c r="C5681" s="16" t="str">
        <f>IFERROR(VLOOKUP(DATA!#REF!,DATA!#REF!,1,FALSE),"")</f>
        <v/>
      </c>
      <c r="D5681" s="16" t="str">
        <f>IFERROR(VLOOKUP(C5681,DATA!#REF!,2,FALSE),"")</f>
        <v/>
      </c>
    </row>
    <row r="5682" spans="3:4" s="237" customFormat="1">
      <c r="C5682" s="16" t="str">
        <f>IFERROR(VLOOKUP(DATA!#REF!,DATA!#REF!,1,FALSE),"")</f>
        <v/>
      </c>
      <c r="D5682" s="16" t="str">
        <f>IFERROR(VLOOKUP(C5682,DATA!#REF!,2,FALSE),"")</f>
        <v/>
      </c>
    </row>
    <row r="5683" spans="3:4" s="237" customFormat="1">
      <c r="C5683" s="16" t="str">
        <f>IFERROR(VLOOKUP(DATA!#REF!,DATA!#REF!,1,FALSE),"")</f>
        <v/>
      </c>
      <c r="D5683" s="16" t="str">
        <f>IFERROR(VLOOKUP(C5683,DATA!#REF!,2,FALSE),"")</f>
        <v/>
      </c>
    </row>
  </sheetData>
  <mergeCells count="2">
    <mergeCell ref="F4:I4"/>
    <mergeCell ref="K4:N4"/>
  </mergeCells>
  <conditionalFormatting sqref="B9:B2197 F6:N162 B6:D162 C9:D5683 E9:N204">
    <cfRule type="expression" dxfId="10943" priority="52">
      <formula>"$c6&lt;&gt;,"""""</formula>
    </cfRule>
  </conditionalFormatting>
  <conditionalFormatting sqref="B9:B2367 F6:N162 B6:D162 C9:D5683 E9:N2367">
    <cfRule type="expression" dxfId="10942" priority="51">
      <formula>"$C6&lt;&gt;"""""</formula>
    </cfRule>
  </conditionalFormatting>
  <conditionalFormatting sqref="B6:D162 F6:N162 B9:N14120">
    <cfRule type="expression" dxfId="10941" priority="50">
      <formula>$C6&lt;&gt;""</formula>
    </cfRule>
  </conditionalFormatting>
  <conditionalFormatting sqref="E6:E165">
    <cfRule type="expression" dxfId="10940" priority="49">
      <formula>"$c6&lt;&gt;,"""""</formula>
    </cfRule>
  </conditionalFormatting>
  <conditionalFormatting sqref="E6:E165">
    <cfRule type="expression" dxfId="10939" priority="48">
      <formula>"$C6&lt;&gt;"""""</formula>
    </cfRule>
  </conditionalFormatting>
  <conditionalFormatting sqref="E6:E165">
    <cfRule type="expression" dxfId="10938" priority="47">
      <formula>$C6&lt;&gt;""</formula>
    </cfRule>
  </conditionalFormatting>
  <conditionalFormatting sqref="F6:N123 F59:F155">
    <cfRule type="expression" dxfId="10937" priority="44">
      <formula>"$c6&lt;&gt;,"""""</formula>
    </cfRule>
  </conditionalFormatting>
  <conditionalFormatting sqref="F6:N123 F59:F155">
    <cfRule type="expression" dxfId="10936" priority="43">
      <formula>"$C6&lt;&gt;"""""</formula>
    </cfRule>
  </conditionalFormatting>
  <conditionalFormatting sqref="F6:N123 F59:F155">
    <cfRule type="expression" dxfId="10935" priority="42">
      <formula>$C6&lt;&gt;""</formula>
    </cfRule>
  </conditionalFormatting>
  <conditionalFormatting sqref="F124:N155">
    <cfRule type="expression" dxfId="10934" priority="39">
      <formula>"$c6&lt;&gt;,"""""</formula>
    </cfRule>
  </conditionalFormatting>
  <conditionalFormatting sqref="F124:N155">
    <cfRule type="expression" dxfId="10933" priority="38">
      <formula>"$C6&lt;&gt;"""""</formula>
    </cfRule>
  </conditionalFormatting>
  <conditionalFormatting sqref="F124:N155">
    <cfRule type="expression" dxfId="10932" priority="37">
      <formula>$C124&lt;&gt;""</formula>
    </cfRule>
  </conditionalFormatting>
  <conditionalFormatting sqref="J146:J155">
    <cfRule type="expression" dxfId="10931" priority="36">
      <formula>"$c6&lt;&gt;,"""""</formula>
    </cfRule>
  </conditionalFormatting>
  <conditionalFormatting sqref="J146:J155">
    <cfRule type="expression" dxfId="10930" priority="35">
      <formula>"$C6&lt;&gt;"""""</formula>
    </cfRule>
  </conditionalFormatting>
  <conditionalFormatting sqref="J146:J155">
    <cfRule type="expression" dxfId="10929" priority="34">
      <formula>$C146&lt;&gt;""</formula>
    </cfRule>
  </conditionalFormatting>
  <conditionalFormatting sqref="F156:F165">
    <cfRule type="expression" dxfId="10928" priority="33">
      <formula>"$c6&lt;&gt;,"""""</formula>
    </cfRule>
  </conditionalFormatting>
  <conditionalFormatting sqref="F156:F165">
    <cfRule type="expression" dxfId="10927" priority="32">
      <formula>"$C6&lt;&gt;"""""</formula>
    </cfRule>
  </conditionalFormatting>
  <conditionalFormatting sqref="F156:F165">
    <cfRule type="expression" dxfId="10926" priority="31">
      <formula>$C156&lt;&gt;""</formula>
    </cfRule>
  </conditionalFormatting>
  <conditionalFormatting sqref="F156:N165">
    <cfRule type="expression" dxfId="10925" priority="30">
      <formula>"$c6&lt;&gt;,"""""</formula>
    </cfRule>
  </conditionalFormatting>
  <conditionalFormatting sqref="F156:N165">
    <cfRule type="expression" dxfId="10924" priority="29">
      <formula>"$C6&lt;&gt;"""""</formula>
    </cfRule>
  </conditionalFormatting>
  <conditionalFormatting sqref="F156:N165">
    <cfRule type="expression" dxfId="10923" priority="28">
      <formula>$C156&lt;&gt;""</formula>
    </cfRule>
  </conditionalFormatting>
  <conditionalFormatting sqref="J156:J165">
    <cfRule type="expression" dxfId="10922" priority="27">
      <formula>"$c6&lt;&gt;,"""""</formula>
    </cfRule>
  </conditionalFormatting>
  <conditionalFormatting sqref="J156:J165">
    <cfRule type="expression" dxfId="10921" priority="26">
      <formula>"$C6&lt;&gt;"""""</formula>
    </cfRule>
  </conditionalFormatting>
  <conditionalFormatting sqref="J156:J165">
    <cfRule type="expression" dxfId="10920" priority="25">
      <formula>$C156&lt;&gt;""</formula>
    </cfRule>
  </conditionalFormatting>
  <conditionalFormatting sqref="E166">
    <cfRule type="expression" dxfId="10919" priority="24">
      <formula>"$c6&lt;&gt;,"""""</formula>
    </cfRule>
  </conditionalFormatting>
  <conditionalFormatting sqref="E166">
    <cfRule type="expression" dxfId="10918" priority="23">
      <formula>"$C6&lt;&gt;"""""</formula>
    </cfRule>
  </conditionalFormatting>
  <conditionalFormatting sqref="E166">
    <cfRule type="expression" dxfId="10917" priority="22">
      <formula>$C166&lt;&gt;""</formula>
    </cfRule>
  </conditionalFormatting>
  <conditionalFormatting sqref="F166">
    <cfRule type="expression" dxfId="10916" priority="21">
      <formula>"$c6&lt;&gt;,"""""</formula>
    </cfRule>
  </conditionalFormatting>
  <conditionalFormatting sqref="F166">
    <cfRule type="expression" dxfId="10915" priority="20">
      <formula>"$C6&lt;&gt;"""""</formula>
    </cfRule>
  </conditionalFormatting>
  <conditionalFormatting sqref="F166">
    <cfRule type="expression" dxfId="10914" priority="19">
      <formula>$C166&lt;&gt;""</formula>
    </cfRule>
  </conditionalFormatting>
  <conditionalFormatting sqref="F166:N166">
    <cfRule type="expression" dxfId="10913" priority="18">
      <formula>"$c6&lt;&gt;,"""""</formula>
    </cfRule>
  </conditionalFormatting>
  <conditionalFormatting sqref="F166:N166">
    <cfRule type="expression" dxfId="10912" priority="17">
      <formula>"$C6&lt;&gt;"""""</formula>
    </cfRule>
  </conditionalFormatting>
  <conditionalFormatting sqref="F166:N166">
    <cfRule type="expression" dxfId="10911" priority="16">
      <formula>$C166&lt;&gt;""</formula>
    </cfRule>
  </conditionalFormatting>
  <conditionalFormatting sqref="J166">
    <cfRule type="expression" dxfId="10910" priority="15">
      <formula>"$c6&lt;&gt;,"""""</formula>
    </cfRule>
  </conditionalFormatting>
  <conditionalFormatting sqref="J166">
    <cfRule type="expression" dxfId="10909" priority="14">
      <formula>"$C6&lt;&gt;"""""</formula>
    </cfRule>
  </conditionalFormatting>
  <conditionalFormatting sqref="J166">
    <cfRule type="expression" dxfId="10908" priority="13">
      <formula>$C166&lt;&gt;""</formula>
    </cfRule>
  </conditionalFormatting>
  <conditionalFormatting sqref="E167">
    <cfRule type="expression" dxfId="10907" priority="12">
      <formula>"$c6&lt;&gt;,"""""</formula>
    </cfRule>
  </conditionalFormatting>
  <conditionalFormatting sqref="E167">
    <cfRule type="expression" dxfId="10906" priority="11">
      <formula>"$C6&lt;&gt;"""""</formula>
    </cfRule>
  </conditionalFormatting>
  <conditionalFormatting sqref="E167">
    <cfRule type="expression" dxfId="10905" priority="10">
      <formula>$C167&lt;&gt;""</formula>
    </cfRule>
  </conditionalFormatting>
  <conditionalFormatting sqref="F167">
    <cfRule type="expression" dxfId="10904" priority="9">
      <formula>"$c6&lt;&gt;,"""""</formula>
    </cfRule>
  </conditionalFormatting>
  <conditionalFormatting sqref="F167">
    <cfRule type="expression" dxfId="10903" priority="8">
      <formula>"$C6&lt;&gt;"""""</formula>
    </cfRule>
  </conditionalFormatting>
  <conditionalFormatting sqref="F167">
    <cfRule type="expression" dxfId="10902" priority="7">
      <formula>$C167&lt;&gt;""</formula>
    </cfRule>
  </conditionalFormatting>
  <conditionalFormatting sqref="F167:N167">
    <cfRule type="expression" dxfId="10901" priority="6">
      <formula>"$c6&lt;&gt;,"""""</formula>
    </cfRule>
  </conditionalFormatting>
  <conditionalFormatting sqref="F167:N167">
    <cfRule type="expression" dxfId="10900" priority="5">
      <formula>"$C6&lt;&gt;"""""</formula>
    </cfRule>
  </conditionalFormatting>
  <conditionalFormatting sqref="F167:N167">
    <cfRule type="expression" dxfId="10899" priority="4">
      <formula>$C167&lt;&gt;""</formula>
    </cfRule>
  </conditionalFormatting>
  <conditionalFormatting sqref="J167">
    <cfRule type="expression" dxfId="10898" priority="3">
      <formula>"$c6&lt;&gt;,"""""</formula>
    </cfRule>
  </conditionalFormatting>
  <conditionalFormatting sqref="J167">
    <cfRule type="expression" dxfId="10897" priority="2">
      <formula>"$C6&lt;&gt;"""""</formula>
    </cfRule>
  </conditionalFormatting>
  <conditionalFormatting sqref="J167">
    <cfRule type="expression" dxfId="10896" priority="1">
      <formula>$C167&lt;&gt;""</formula>
    </cfRule>
  </conditionalFormatting>
  <pageMargins left="0.7" right="0.7" top="0.75" bottom="0.75" header="0.3" footer="0.3"/>
  <pageSetup scale="58" fitToHeight="0" orientation="landscape" horizontalDpi="0" verticalDpi="0" r:id="rId1"/>
</worksheet>
</file>

<file path=xl/worksheets/sheet6.xml><?xml version="1.0" encoding="utf-8"?>
<worksheet xmlns="http://schemas.openxmlformats.org/spreadsheetml/2006/main" xmlns:r="http://schemas.openxmlformats.org/officeDocument/2006/relationships">
  <sheetPr>
    <pageSetUpPr fitToPage="1"/>
  </sheetPr>
  <dimension ref="B1:R5683"/>
  <sheetViews>
    <sheetView workbookViewId="0">
      <pane xSplit="5" ySplit="5" topLeftCell="I24" activePane="bottomRight" state="frozen"/>
      <selection pane="topRight" activeCell="F1" sqref="F1"/>
      <selection pane="bottomLeft" activeCell="A6" sqref="A6"/>
      <selection pane="bottomRight" activeCell="O29" sqref="O29"/>
    </sheetView>
  </sheetViews>
  <sheetFormatPr defaultRowHeight="12.75"/>
  <cols>
    <col min="1" max="1" width="9.85546875" style="237" bestFit="1" customWidth="1"/>
    <col min="2" max="2" width="5.28515625" style="15" customWidth="1"/>
    <col min="3" max="3" width="5.5703125" style="16" customWidth="1"/>
    <col min="4" max="4" width="28.85546875" style="237" bestFit="1" customWidth="1"/>
    <col min="5" max="5" width="7.5703125" style="237" customWidth="1"/>
    <col min="6" max="6" width="12.7109375" style="237" customWidth="1"/>
    <col min="7" max="7" width="14.140625" style="237" customWidth="1"/>
    <col min="8" max="8" width="15.140625" style="237" customWidth="1"/>
    <col min="9" max="9" width="14.28515625" style="18" customWidth="1"/>
    <col min="10" max="10" width="7.42578125" style="16" customWidth="1"/>
    <col min="11" max="11" width="13" style="237" customWidth="1"/>
    <col min="12" max="12" width="15.140625" style="237" customWidth="1"/>
    <col min="13" max="13" width="15.85546875" style="237" customWidth="1"/>
    <col min="14" max="14" width="13.5703125" style="237" bestFit="1" customWidth="1"/>
    <col min="15" max="15" width="12.5703125" style="237" bestFit="1" customWidth="1"/>
    <col min="16" max="16" width="11.42578125" style="16" bestFit="1" customWidth="1"/>
    <col min="17" max="17" width="6.5703125" style="16" customWidth="1"/>
    <col min="18" max="18" width="7.28515625" style="237" customWidth="1"/>
    <col min="19" max="19" width="12" style="237" bestFit="1" customWidth="1"/>
    <col min="20" max="16384" width="9.140625" style="237"/>
  </cols>
  <sheetData>
    <row r="1" spans="2:18">
      <c r="B1" s="76" t="s">
        <v>1327</v>
      </c>
      <c r="C1" s="76"/>
      <c r="D1" s="76"/>
      <c r="E1" s="76" t="s">
        <v>260</v>
      </c>
      <c r="F1" s="77">
        <f>SUM(F6:F200)</f>
        <v>8</v>
      </c>
      <c r="G1" s="77">
        <f>SUM(G6:G200)</f>
        <v>0</v>
      </c>
      <c r="H1" s="77">
        <f>SUM(H6:H200)</f>
        <v>8</v>
      </c>
      <c r="I1" s="77">
        <f>SUM(I6:I200)</f>
        <v>0</v>
      </c>
      <c r="J1" s="76" t="s">
        <v>260</v>
      </c>
      <c r="K1" s="77">
        <f>SUM(K6:K200)</f>
        <v>118147724.09</v>
      </c>
      <c r="L1" s="77">
        <f>SUM(L6:L200)</f>
        <v>581771519.99875295</v>
      </c>
      <c r="M1" s="77">
        <f>SUM(M6:M200)</f>
        <v>599779020</v>
      </c>
      <c r="N1" s="77">
        <f>SUM(N6:N200)</f>
        <v>136155224.09124702</v>
      </c>
      <c r="O1" s="77">
        <f>SUM(O6:O200)</f>
        <v>-1.1000000813510269E-4</v>
      </c>
      <c r="P1" s="183"/>
    </row>
    <row r="2" spans="2:18">
      <c r="E2" s="16" t="s">
        <v>1333</v>
      </c>
      <c r="F2" s="237">
        <f>+STAT1!H32</f>
        <v>8</v>
      </c>
      <c r="G2" s="237">
        <f>+STAT1!J32+STAT2!J32+STAT3!J32</f>
        <v>0</v>
      </c>
      <c r="H2" s="237">
        <f>+STAT3!K32+STAT2!K32+STAT1!K32</f>
        <v>8</v>
      </c>
      <c r="I2" s="237">
        <f>+STAT1!V32</f>
        <v>0</v>
      </c>
      <c r="J2" s="16" t="s">
        <v>1333</v>
      </c>
      <c r="K2" s="237">
        <f>+STAT1!I125</f>
        <v>118147724.09</v>
      </c>
      <c r="L2" s="237">
        <f>+L1-STAT2!J125-STAT1!J125-STAT3!J125-STAT4!J125</f>
        <v>0</v>
      </c>
      <c r="M2" s="237">
        <f>+M1-STAT2!K125-STAT1!K125-STAT3!K125-STAT4!K125</f>
        <v>0</v>
      </c>
      <c r="N2" s="237">
        <f>+N1-STAT4!W125</f>
        <v>0</v>
      </c>
    </row>
    <row r="3" spans="2:18">
      <c r="B3" s="15">
        <f>+COUNT(B6:B5697)</f>
        <v>162</v>
      </c>
      <c r="F3" s="237">
        <f>+F1-F2</f>
        <v>0</v>
      </c>
      <c r="G3" s="237">
        <f>+G2-G1</f>
        <v>0</v>
      </c>
      <c r="H3" s="237">
        <f>+H2-H1</f>
        <v>0</v>
      </c>
      <c r="I3" s="237">
        <f>+I2-I1</f>
        <v>0</v>
      </c>
      <c r="K3" s="237">
        <f>+K2-K1</f>
        <v>0</v>
      </c>
      <c r="L3" s="111" t="s">
        <v>323</v>
      </c>
      <c r="M3" s="112">
        <v>43101</v>
      </c>
      <c r="N3" s="112">
        <v>43465</v>
      </c>
    </row>
    <row r="4" spans="2:18" ht="15" customHeight="1">
      <c r="B4" s="56" t="s">
        <v>1</v>
      </c>
      <c r="C4" s="57" t="s">
        <v>0</v>
      </c>
      <c r="D4" s="58" t="s">
        <v>296</v>
      </c>
      <c r="E4" s="57" t="s">
        <v>293</v>
      </c>
      <c r="F4" s="992" t="s">
        <v>41</v>
      </c>
      <c r="G4" s="992"/>
      <c r="H4" s="992"/>
      <c r="I4" s="992"/>
      <c r="J4" s="57" t="s">
        <v>293</v>
      </c>
      <c r="K4" s="992" t="s">
        <v>42</v>
      </c>
      <c r="L4" s="992"/>
      <c r="M4" s="992"/>
      <c r="N4" s="992"/>
      <c r="O4" s="84" t="s">
        <v>321</v>
      </c>
      <c r="P4" s="184"/>
    </row>
    <row r="5" spans="2:18">
      <c r="B5" s="56"/>
      <c r="C5" s="57"/>
      <c r="D5" s="58"/>
      <c r="E5" s="74" t="s">
        <v>294</v>
      </c>
      <c r="F5" s="59" t="s">
        <v>40</v>
      </c>
      <c r="G5" s="59" t="s">
        <v>3</v>
      </c>
      <c r="H5" s="59" t="s">
        <v>4</v>
      </c>
      <c r="I5" s="75" t="s">
        <v>295</v>
      </c>
      <c r="J5" s="74" t="s">
        <v>294</v>
      </c>
      <c r="K5" s="59" t="s">
        <v>40</v>
      </c>
      <c r="L5" s="59" t="s">
        <v>3</v>
      </c>
      <c r="M5" s="59" t="s">
        <v>4</v>
      </c>
      <c r="N5" s="337" t="s">
        <v>295</v>
      </c>
      <c r="O5" s="82" t="s">
        <v>322</v>
      </c>
      <c r="P5" s="140" t="s">
        <v>261</v>
      </c>
      <c r="Q5" s="16" t="s">
        <v>262</v>
      </c>
    </row>
    <row r="6" spans="2:18">
      <c r="B6" s="15">
        <f>+IF(C6="","",ROW()-5)</f>
        <v>1</v>
      </c>
      <c r="C6" s="16">
        <f>IFERROR(VLOOKUP(DATA!G4,DATA!$G$4:$J$2149,1,FALSE),"")</f>
        <v>1001</v>
      </c>
      <c r="D6" s="16" t="str">
        <f>+IFERROR(VLOOKUP(C6,DATA!$G$4:$H$2000,2,FALSE),"")</f>
        <v xml:space="preserve">Энхбат </v>
      </c>
      <c r="E6" s="16">
        <v>122000</v>
      </c>
      <c r="F6" s="237">
        <v>0</v>
      </c>
      <c r="G6" s="237">
        <f>+SUMIFS(JURNAL!G:G,JURNAL!E:E,E6,JURNAL!L:L,$C6,JURNAL!C:C,"&gt;="&amp;$M$3,JURNAL!C:C,"&lt;="&amp;$N$3)</f>
        <v>0</v>
      </c>
      <c r="H6" s="19">
        <f>+SUMIFS(JURNAL!H:H,JURNAL!E:E,E6,JURNAL!L:L,$C6,JURNAL!C:C,"&gt;="&amp;$M$3,JURNAL!C:C,"&lt;="&amp;$N$3)</f>
        <v>0</v>
      </c>
      <c r="I6" s="237">
        <f>+F6+G6-H6</f>
        <v>0</v>
      </c>
      <c r="J6" s="16">
        <v>320100</v>
      </c>
      <c r="K6" s="237">
        <v>0</v>
      </c>
      <c r="L6" s="237">
        <f>+SUMIFS(JURNAL!G:G,JURNAL!E:E,J6,JURNAL!L:L,$C6,JURNAL!C:C,"&gt;="&amp;$M$3,JURNAL!C:C,"&lt;="&amp;$N$3)</f>
        <v>0</v>
      </c>
      <c r="M6" s="19">
        <f>+SUMIFS(JURNAL!H:H,JURNAL!E:E,J6,JURNAL!L:L,$C6,JURNAL!C:C,"&gt;="&amp;$M$3,JURNAL!C:C,"&lt;="&amp;$N$3)</f>
        <v>0</v>
      </c>
      <c r="N6" s="20">
        <f>+K6+M6-L6</f>
        <v>0</v>
      </c>
      <c r="O6" s="237">
        <f>+IF(I6&lt;N6,I6,N6)</f>
        <v>0</v>
      </c>
      <c r="P6" s="16">
        <f>+J6</f>
        <v>320100</v>
      </c>
      <c r="Q6" s="16">
        <f>+E6</f>
        <v>122000</v>
      </c>
      <c r="R6" s="237">
        <f>+IF(O6,1,0)</f>
        <v>0</v>
      </c>
    </row>
    <row r="7" spans="2:18">
      <c r="B7" s="15">
        <f t="shared" ref="B7:B51" si="0">+IF(C7="","",ROW()-5)</f>
        <v>2</v>
      </c>
      <c r="C7" s="16">
        <f>IFERROR(VLOOKUP(DATA!G5,DATA!$G$4:$J$2149,1,FALSE),"")</f>
        <v>1002</v>
      </c>
      <c r="D7" s="16" t="str">
        <f>+IFERROR(VLOOKUP(C7,DATA!$G$4:$H$2000,2,FALSE),"")</f>
        <v>Бурмаа</v>
      </c>
      <c r="E7" s="16">
        <v>122000</v>
      </c>
      <c r="F7" s="237">
        <v>0</v>
      </c>
      <c r="G7" s="237">
        <f>+SUMIFS(JURNAL!G:G,JURNAL!E:E,E7,JURNAL!L:L,$C7,JURNAL!C:C,"&gt;="&amp;$M$3,JURNAL!C:C,"&lt;="&amp;$N$3)</f>
        <v>0</v>
      </c>
      <c r="H7" s="19">
        <f>+SUMIFS(JURNAL!H:H,JURNAL!E:E,E7,JURNAL!L:L,$C7,JURNAL!C:C,"&gt;="&amp;$M$3,JURNAL!C:C,"&lt;="&amp;$N$3)</f>
        <v>0</v>
      </c>
      <c r="I7" s="237">
        <f t="shared" ref="I7:I70" si="1">+F7+G7-H7</f>
        <v>0</v>
      </c>
      <c r="J7" s="16">
        <v>320100</v>
      </c>
      <c r="K7" s="237">
        <v>0</v>
      </c>
      <c r="L7" s="237">
        <f>+SUMIFS(JURNAL!G:G,JURNAL!E:E,J7,JURNAL!L:L,$C7,JURNAL!C:C,"&gt;="&amp;$M$3,JURNAL!C:C,"&lt;="&amp;$N$3)</f>
        <v>0</v>
      </c>
      <c r="M7" s="19">
        <f>+SUMIFS(JURNAL!H:H,JURNAL!E:E,J7,JURNAL!L:L,$C7,JURNAL!C:C,"&gt;="&amp;$M$3,JURNAL!C:C,"&lt;="&amp;$N$3)</f>
        <v>0</v>
      </c>
      <c r="N7" s="20">
        <f t="shared" ref="N7:N70" si="2">+K7+M7-L7</f>
        <v>0</v>
      </c>
      <c r="O7" s="237">
        <f t="shared" ref="O7:O70" si="3">+IF(I7&lt;N7,I7,N7)</f>
        <v>0</v>
      </c>
      <c r="P7" s="16">
        <f t="shared" ref="P7:P70" si="4">+J7</f>
        <v>320100</v>
      </c>
      <c r="Q7" s="16">
        <f t="shared" ref="Q7:Q70" si="5">+E7</f>
        <v>122000</v>
      </c>
      <c r="R7" s="237">
        <f t="shared" ref="R7:R70" si="6">+IF(O7,1,0)</f>
        <v>0</v>
      </c>
    </row>
    <row r="8" spans="2:18">
      <c r="B8" s="15">
        <f t="shared" si="0"/>
        <v>3</v>
      </c>
      <c r="C8" s="16">
        <f>IFERROR(VLOOKUP(DATA!G6,DATA!$G$4:$J$2149,1,FALSE),"")</f>
        <v>1003</v>
      </c>
      <c r="D8" s="16" t="str">
        <f>+IFERROR(VLOOKUP(C8,DATA!$G$4:$H$2000,2,FALSE),"")</f>
        <v>Бахдамдэмбэрэл</v>
      </c>
      <c r="E8" s="16">
        <v>122000</v>
      </c>
      <c r="F8" s="237">
        <v>0</v>
      </c>
      <c r="G8" s="237">
        <f>+SUMIFS(JURNAL!G:G,JURNAL!E:E,E8,JURNAL!L:L,$C8,JURNAL!C:C,"&gt;="&amp;$M$3,JURNAL!C:C,"&lt;="&amp;$N$3)</f>
        <v>0</v>
      </c>
      <c r="H8" s="19">
        <f>+SUMIFS(JURNAL!H:H,JURNAL!E:E,E8,JURNAL!L:L,$C8,JURNAL!C:C,"&gt;="&amp;$M$3,JURNAL!C:C,"&lt;="&amp;$N$3)</f>
        <v>0</v>
      </c>
      <c r="I8" s="237">
        <f t="shared" si="1"/>
        <v>0</v>
      </c>
      <c r="J8" s="16">
        <v>320100</v>
      </c>
      <c r="K8" s="237">
        <v>0</v>
      </c>
      <c r="L8" s="237">
        <f>+SUMIFS(JURNAL!G:G,JURNAL!E:E,J8,JURNAL!L:L,$C8,JURNAL!C:C,"&gt;="&amp;$M$3,JURNAL!C:C,"&lt;="&amp;$N$3)</f>
        <v>0</v>
      </c>
      <c r="M8" s="19">
        <f>+SUMIFS(JURNAL!H:H,JURNAL!E:E,J8,JURNAL!L:L,$C8,JURNAL!C:C,"&gt;="&amp;$M$3,JURNAL!C:C,"&lt;="&amp;$N$3)</f>
        <v>0</v>
      </c>
      <c r="N8" s="20">
        <f t="shared" si="2"/>
        <v>0</v>
      </c>
      <c r="O8" s="237">
        <f t="shared" si="3"/>
        <v>0</v>
      </c>
      <c r="P8" s="16">
        <f t="shared" si="4"/>
        <v>320100</v>
      </c>
      <c r="Q8" s="16">
        <f t="shared" si="5"/>
        <v>122000</v>
      </c>
      <c r="R8" s="237">
        <f t="shared" si="6"/>
        <v>0</v>
      </c>
    </row>
    <row r="9" spans="2:18">
      <c r="B9" s="15">
        <f t="shared" si="0"/>
        <v>4</v>
      </c>
      <c r="C9" s="16">
        <f>IFERROR(VLOOKUP(DATA!G7,DATA!$G$4:$J$2149,1,FALSE),"")</f>
        <v>1004</v>
      </c>
      <c r="D9" s="16" t="str">
        <f>+IFERROR(VLOOKUP(C9,DATA!$G$4:$H$2000,2,FALSE),"")</f>
        <v xml:space="preserve">Түмэндэлгэр </v>
      </c>
      <c r="E9" s="16">
        <v>122000</v>
      </c>
      <c r="F9" s="237">
        <v>0</v>
      </c>
      <c r="G9" s="237">
        <f>+SUMIFS(JURNAL!G:G,JURNAL!E:E,E9,JURNAL!L:L,$C9,JURNAL!C:C,"&gt;="&amp;$M$3,JURNAL!C:C,"&lt;="&amp;$N$3)</f>
        <v>0</v>
      </c>
      <c r="H9" s="19">
        <f>+SUMIFS(JURNAL!H:H,JURNAL!E:E,E9,JURNAL!L:L,$C9,JURNAL!C:C,"&gt;="&amp;$M$3,JURNAL!C:C,"&lt;="&amp;$N$3)</f>
        <v>0</v>
      </c>
      <c r="I9" s="237">
        <f t="shared" si="1"/>
        <v>0</v>
      </c>
      <c r="J9" s="16">
        <v>320100</v>
      </c>
      <c r="K9" s="237">
        <v>0</v>
      </c>
      <c r="L9" s="237">
        <f>+SUMIFS(JURNAL!G:G,JURNAL!E:E,J9,JURNAL!L:L,$C9,JURNAL!C:C,"&gt;="&amp;$M$3,JURNAL!C:C,"&lt;="&amp;$N$3)</f>
        <v>0</v>
      </c>
      <c r="M9" s="19">
        <f>+SUMIFS(JURNAL!H:H,JURNAL!E:E,J9,JURNAL!L:L,$C9,JURNAL!C:C,"&gt;="&amp;$M$3,JURNAL!C:C,"&lt;="&amp;$N$3)</f>
        <v>0</v>
      </c>
      <c r="N9" s="20">
        <f t="shared" si="2"/>
        <v>0</v>
      </c>
      <c r="O9" s="237">
        <f t="shared" si="3"/>
        <v>0</v>
      </c>
      <c r="P9" s="16">
        <f t="shared" si="4"/>
        <v>320100</v>
      </c>
      <c r="Q9" s="16">
        <f t="shared" si="5"/>
        <v>122000</v>
      </c>
      <c r="R9" s="237">
        <f t="shared" si="6"/>
        <v>0</v>
      </c>
    </row>
    <row r="10" spans="2:18">
      <c r="B10" s="15">
        <f t="shared" si="0"/>
        <v>5</v>
      </c>
      <c r="C10" s="16">
        <f>IFERROR(VLOOKUP(DATA!G8,DATA!$G$4:$J$2149,1,FALSE),"")</f>
        <v>1005</v>
      </c>
      <c r="D10" s="16" t="str">
        <f>+IFERROR(VLOOKUP(C10,DATA!$G$4:$H$2000,2,FALSE),"")</f>
        <v>Золжаргал</v>
      </c>
      <c r="E10" s="16">
        <v>122000</v>
      </c>
      <c r="F10" s="237">
        <v>0</v>
      </c>
      <c r="G10" s="237">
        <f>+SUMIFS(JURNAL!G:G,JURNAL!E:E,E10,JURNAL!L:L,$C10,JURNAL!C:C,"&gt;="&amp;$M$3,JURNAL!C:C,"&lt;="&amp;$N$3)</f>
        <v>0</v>
      </c>
      <c r="H10" s="19">
        <f>+SUMIFS(JURNAL!H:H,JURNAL!E:E,E10,JURNAL!L:L,$C10,JURNAL!C:C,"&gt;="&amp;$M$3,JURNAL!C:C,"&lt;="&amp;$N$3)</f>
        <v>0</v>
      </c>
      <c r="I10" s="237">
        <f t="shared" si="1"/>
        <v>0</v>
      </c>
      <c r="J10" s="16">
        <v>320100</v>
      </c>
      <c r="K10" s="237">
        <v>0</v>
      </c>
      <c r="L10" s="237">
        <f>+SUMIFS(JURNAL!G:G,JURNAL!E:E,J10,JURNAL!L:L,$C10,JURNAL!C:C,"&gt;="&amp;$M$3,JURNAL!C:C,"&lt;="&amp;$N$3)</f>
        <v>374000</v>
      </c>
      <c r="M10" s="19">
        <f>+SUMIFS(JURNAL!H:H,JURNAL!E:E,J10,JURNAL!L:L,$C10,JURNAL!C:C,"&gt;="&amp;$M$3,JURNAL!C:C,"&lt;="&amp;$N$3)</f>
        <v>374000</v>
      </c>
      <c r="N10" s="20">
        <f t="shared" si="2"/>
        <v>0</v>
      </c>
      <c r="O10" s="237">
        <f t="shared" si="3"/>
        <v>0</v>
      </c>
      <c r="P10" s="16">
        <f t="shared" si="4"/>
        <v>320100</v>
      </c>
      <c r="Q10" s="16">
        <f t="shared" si="5"/>
        <v>122000</v>
      </c>
      <c r="R10" s="237">
        <f t="shared" si="6"/>
        <v>0</v>
      </c>
    </row>
    <row r="11" spans="2:18">
      <c r="B11" s="15">
        <f t="shared" si="0"/>
        <v>6</v>
      </c>
      <c r="C11" s="16">
        <f>IFERROR(VLOOKUP(DATA!G9,DATA!$G$4:$J$2149,1,FALSE),"")</f>
        <v>1006</v>
      </c>
      <c r="D11" s="16" t="str">
        <f>+IFERROR(VLOOKUP(C11,DATA!$G$4:$H$2000,2,FALSE),"")</f>
        <v>Оюундэлгэр /нярав/</v>
      </c>
      <c r="E11" s="16">
        <v>122000</v>
      </c>
      <c r="F11" s="237">
        <v>0</v>
      </c>
      <c r="G11" s="237">
        <f>+SUMIFS(JURNAL!G:G,JURNAL!E:E,E11,JURNAL!L:L,$C11,JURNAL!C:C,"&gt;="&amp;$M$3,JURNAL!C:C,"&lt;="&amp;$N$3)</f>
        <v>0</v>
      </c>
      <c r="H11" s="19">
        <f>+SUMIFS(JURNAL!H:H,JURNAL!E:E,E11,JURNAL!L:L,$C11,JURNAL!C:C,"&gt;="&amp;$M$3,JURNAL!C:C,"&lt;="&amp;$N$3)</f>
        <v>0</v>
      </c>
      <c r="I11" s="237">
        <f t="shared" si="1"/>
        <v>0</v>
      </c>
      <c r="J11" s="16">
        <v>320100</v>
      </c>
      <c r="K11" s="237">
        <v>0</v>
      </c>
      <c r="L11" s="237">
        <f>+SUMIFS(JURNAL!G:G,JURNAL!E:E,J11,JURNAL!L:L,$C11,JURNAL!C:C,"&gt;="&amp;$M$3,JURNAL!C:C,"&lt;="&amp;$N$3)</f>
        <v>0</v>
      </c>
      <c r="M11" s="19">
        <f>+SUMIFS(JURNAL!H:H,JURNAL!E:E,J11,JURNAL!L:L,$C11,JURNAL!C:C,"&gt;="&amp;$M$3,JURNAL!C:C,"&lt;="&amp;$N$3)</f>
        <v>0</v>
      </c>
      <c r="N11" s="20">
        <f t="shared" si="2"/>
        <v>0</v>
      </c>
      <c r="O11" s="237">
        <f t="shared" si="3"/>
        <v>0</v>
      </c>
      <c r="P11" s="16">
        <f t="shared" si="4"/>
        <v>320100</v>
      </c>
      <c r="Q11" s="16">
        <f t="shared" si="5"/>
        <v>122000</v>
      </c>
      <c r="R11" s="237">
        <f t="shared" si="6"/>
        <v>0</v>
      </c>
    </row>
    <row r="12" spans="2:18">
      <c r="B12" s="15">
        <f t="shared" si="0"/>
        <v>7</v>
      </c>
      <c r="C12" s="16">
        <f>IFERROR(VLOOKUP(DATA!G10,DATA!$G$4:$J$2149,1,FALSE),"")</f>
        <v>1007</v>
      </c>
      <c r="D12" s="16" t="str">
        <f>+IFERROR(VLOOKUP(C12,DATA!$G$4:$H$2000,2,FALSE),"")</f>
        <v xml:space="preserve">Нэргүй </v>
      </c>
      <c r="E12" s="16">
        <v>122000</v>
      </c>
      <c r="F12" s="237">
        <v>0</v>
      </c>
      <c r="G12" s="237">
        <f>+SUMIFS(JURNAL!G:G,JURNAL!E:E,E12,JURNAL!L:L,$C12,JURNAL!C:C,"&gt;="&amp;$M$3,JURNAL!C:C,"&lt;="&amp;$N$3)</f>
        <v>0</v>
      </c>
      <c r="H12" s="19">
        <f>+SUMIFS(JURNAL!H:H,JURNAL!E:E,E12,JURNAL!L:L,$C12,JURNAL!C:C,"&gt;="&amp;$M$3,JURNAL!C:C,"&lt;="&amp;$N$3)</f>
        <v>0</v>
      </c>
      <c r="I12" s="237">
        <f t="shared" si="1"/>
        <v>0</v>
      </c>
      <c r="J12" s="16">
        <v>320100</v>
      </c>
      <c r="K12" s="237">
        <v>0</v>
      </c>
      <c r="L12" s="237">
        <f>+SUMIFS(JURNAL!G:G,JURNAL!E:E,J12,JURNAL!L:L,$C12,JURNAL!C:C,"&gt;="&amp;$M$3,JURNAL!C:C,"&lt;="&amp;$N$3)</f>
        <v>0</v>
      </c>
      <c r="M12" s="19">
        <f>+SUMIFS(JURNAL!H:H,JURNAL!E:E,J12,JURNAL!L:L,$C12,JURNAL!C:C,"&gt;="&amp;$M$3,JURNAL!C:C,"&lt;="&amp;$N$3)</f>
        <v>0</v>
      </c>
      <c r="N12" s="20">
        <f t="shared" si="2"/>
        <v>0</v>
      </c>
      <c r="O12" s="237">
        <f t="shared" si="3"/>
        <v>0</v>
      </c>
      <c r="P12" s="16">
        <f t="shared" si="4"/>
        <v>320100</v>
      </c>
      <c r="Q12" s="16">
        <f t="shared" si="5"/>
        <v>122000</v>
      </c>
      <c r="R12" s="237">
        <f t="shared" si="6"/>
        <v>0</v>
      </c>
    </row>
    <row r="13" spans="2:18">
      <c r="B13" s="15">
        <f t="shared" si="0"/>
        <v>8</v>
      </c>
      <c r="C13" s="16">
        <f>IFERROR(VLOOKUP(DATA!G11,DATA!$G$4:$J$2149,1,FALSE),"")</f>
        <v>1008</v>
      </c>
      <c r="D13" s="16" t="str">
        <f>+IFERROR(VLOOKUP(C13,DATA!$G$4:$H$2000,2,FALSE),"")</f>
        <v xml:space="preserve">Оюунтүлхүүр </v>
      </c>
      <c r="E13" s="16">
        <v>122000</v>
      </c>
      <c r="F13" s="237">
        <v>0</v>
      </c>
      <c r="G13" s="237">
        <f>+SUMIFS(JURNAL!G:G,JURNAL!E:E,E13,JURNAL!L:L,$C13,JURNAL!C:C,"&gt;="&amp;$M$3,JURNAL!C:C,"&lt;="&amp;$N$3)</f>
        <v>0</v>
      </c>
      <c r="H13" s="19">
        <f>+SUMIFS(JURNAL!H:H,JURNAL!E:E,E13,JURNAL!L:L,$C13,JURNAL!C:C,"&gt;="&amp;$M$3,JURNAL!C:C,"&lt;="&amp;$N$3)</f>
        <v>0</v>
      </c>
      <c r="I13" s="237">
        <f t="shared" si="1"/>
        <v>0</v>
      </c>
      <c r="J13" s="16">
        <v>320100</v>
      </c>
      <c r="K13" s="237">
        <v>0</v>
      </c>
      <c r="L13" s="237">
        <f>+SUMIFS(JURNAL!G:G,JURNAL!E:E,J13,JURNAL!L:L,$C13,JURNAL!C:C,"&gt;="&amp;$M$3,JURNAL!C:C,"&lt;="&amp;$N$3)</f>
        <v>0</v>
      </c>
      <c r="M13" s="19">
        <f>+SUMIFS(JURNAL!H:H,JURNAL!E:E,J13,JURNAL!L:L,$C13,JURNAL!C:C,"&gt;="&amp;$M$3,JURNAL!C:C,"&lt;="&amp;$N$3)</f>
        <v>0</v>
      </c>
      <c r="N13" s="20">
        <f t="shared" si="2"/>
        <v>0</v>
      </c>
      <c r="O13" s="237">
        <f t="shared" si="3"/>
        <v>0</v>
      </c>
      <c r="P13" s="16">
        <f t="shared" si="4"/>
        <v>320100</v>
      </c>
      <c r="Q13" s="16">
        <f t="shared" si="5"/>
        <v>122000</v>
      </c>
      <c r="R13" s="237">
        <f t="shared" si="6"/>
        <v>0</v>
      </c>
    </row>
    <row r="14" spans="2:18">
      <c r="B14" s="15">
        <f t="shared" si="0"/>
        <v>9</v>
      </c>
      <c r="C14" s="16">
        <f>IFERROR(VLOOKUP(DATA!G12,DATA!$G$4:$J$2149,1,FALSE),"")</f>
        <v>2001</v>
      </c>
      <c r="D14" s="16" t="str">
        <f>+IFERROR(VLOOKUP(C14,DATA!$G$4:$H$2000,2,FALSE),"")</f>
        <v>ХУД-н ТАТВАРЫН ХЭЛТЭС</v>
      </c>
      <c r="E14" s="16">
        <v>122000</v>
      </c>
      <c r="F14" s="237">
        <v>0</v>
      </c>
      <c r="G14" s="237">
        <f>+SUMIFS(JURNAL!G:G,JURNAL!E:E,E14,JURNAL!L:L,$C14,JURNAL!C:C,"&gt;="&amp;$M$3,JURNAL!C:C,"&lt;="&amp;$N$3)</f>
        <v>0</v>
      </c>
      <c r="H14" s="19">
        <f>+SUMIFS(JURNAL!H:H,JURNAL!E:E,E14,JURNAL!L:L,$C14,JURNAL!C:C,"&gt;="&amp;$M$3,JURNAL!C:C,"&lt;="&amp;$N$3)</f>
        <v>0</v>
      </c>
      <c r="I14" s="237">
        <f t="shared" si="1"/>
        <v>0</v>
      </c>
      <c r="J14" s="16">
        <v>320100</v>
      </c>
      <c r="K14" s="237">
        <v>0</v>
      </c>
      <c r="L14" s="237">
        <f>+SUMIFS(JURNAL!G:G,JURNAL!E:E,J14,JURNAL!L:L,$C14,JURNAL!C:C,"&gt;="&amp;$M$3,JURNAL!C:C,"&lt;="&amp;$N$3)</f>
        <v>0</v>
      </c>
      <c r="M14" s="19">
        <f>+SUMIFS(JURNAL!H:H,JURNAL!E:E,J14,JURNAL!L:L,$C14,JURNAL!C:C,"&gt;="&amp;$M$3,JURNAL!C:C,"&lt;="&amp;$N$3)</f>
        <v>0</v>
      </c>
      <c r="N14" s="20">
        <f t="shared" si="2"/>
        <v>0</v>
      </c>
      <c r="O14" s="237">
        <f t="shared" si="3"/>
        <v>0</v>
      </c>
      <c r="P14" s="16">
        <f t="shared" si="4"/>
        <v>320100</v>
      </c>
      <c r="Q14" s="16">
        <f t="shared" si="5"/>
        <v>122000</v>
      </c>
      <c r="R14" s="237">
        <f t="shared" si="6"/>
        <v>0</v>
      </c>
    </row>
    <row r="15" spans="2:18">
      <c r="B15" s="15">
        <f t="shared" si="0"/>
        <v>10</v>
      </c>
      <c r="C15" s="16">
        <f>IFERROR(VLOOKUP(DATA!G13,DATA!$G$4:$J$2149,1,FALSE),"")</f>
        <v>2002</v>
      </c>
      <c r="D15" s="16" t="str">
        <f>+IFERROR(VLOOKUP(C15,DATA!$G$4:$H$2000,2,FALSE),"")</f>
        <v xml:space="preserve">ХУД-н ЭМНД ХЭЛТЭС </v>
      </c>
      <c r="E15" s="16">
        <v>122000</v>
      </c>
      <c r="F15" s="237">
        <v>0</v>
      </c>
      <c r="G15" s="237">
        <f>+SUMIFS(JURNAL!G:G,JURNAL!E:E,E15,JURNAL!L:L,$C15,JURNAL!C:C,"&gt;="&amp;$M$3,JURNAL!C:C,"&lt;="&amp;$N$3)</f>
        <v>0</v>
      </c>
      <c r="H15" s="19">
        <f>+SUMIFS(JURNAL!H:H,JURNAL!E:E,E15,JURNAL!L:L,$C15,JURNAL!C:C,"&gt;="&amp;$M$3,JURNAL!C:C,"&lt;="&amp;$N$3)</f>
        <v>0</v>
      </c>
      <c r="I15" s="237">
        <f t="shared" si="1"/>
        <v>0</v>
      </c>
      <c r="J15" s="16">
        <v>320100</v>
      </c>
      <c r="K15" s="237">
        <v>0</v>
      </c>
      <c r="L15" s="237">
        <f>+SUMIFS(JURNAL!G:G,JURNAL!E:E,J15,JURNAL!L:L,$C15,JURNAL!C:C,"&gt;="&amp;$M$3,JURNAL!C:C,"&lt;="&amp;$N$3)</f>
        <v>0</v>
      </c>
      <c r="M15" s="19">
        <f>+SUMIFS(JURNAL!H:H,JURNAL!E:E,J15,JURNAL!L:L,$C15,JURNAL!C:C,"&gt;="&amp;$M$3,JURNAL!C:C,"&lt;="&amp;$N$3)</f>
        <v>0</v>
      </c>
      <c r="N15" s="20">
        <f t="shared" si="2"/>
        <v>0</v>
      </c>
      <c r="O15" s="237">
        <f t="shared" si="3"/>
        <v>0</v>
      </c>
      <c r="P15" s="16">
        <f t="shared" si="4"/>
        <v>320100</v>
      </c>
      <c r="Q15" s="16">
        <f t="shared" si="5"/>
        <v>122000</v>
      </c>
      <c r="R15" s="237">
        <f t="shared" si="6"/>
        <v>0</v>
      </c>
    </row>
    <row r="16" spans="2:18">
      <c r="B16" s="15">
        <f t="shared" si="0"/>
        <v>11</v>
      </c>
      <c r="C16" s="16">
        <f>IFERROR(VLOOKUP(DATA!G14,DATA!$G$4:$J$2149,1,FALSE),"")</f>
        <v>2003</v>
      </c>
      <c r="D16" s="16" t="str">
        <f>+IFERROR(VLOOKUP(C16,DATA!$G$4:$H$2000,2,FALSE),"")</f>
        <v xml:space="preserve">УБЦТС ТӨХК </v>
      </c>
      <c r="E16" s="16">
        <v>122000</v>
      </c>
      <c r="F16" s="237">
        <v>0</v>
      </c>
      <c r="G16" s="237">
        <f>+SUMIFS(JURNAL!G:G,JURNAL!E:E,E16,JURNAL!L:L,$C16,JURNAL!C:C,"&gt;="&amp;$M$3,JURNAL!C:C,"&lt;="&amp;$N$3)</f>
        <v>0</v>
      </c>
      <c r="H16" s="19">
        <f>+SUMIFS(JURNAL!H:H,JURNAL!E:E,E16,JURNAL!L:L,$C16,JURNAL!C:C,"&gt;="&amp;$M$3,JURNAL!C:C,"&lt;="&amp;$N$3)</f>
        <v>0</v>
      </c>
      <c r="I16" s="237">
        <f t="shared" si="1"/>
        <v>0</v>
      </c>
      <c r="J16" s="16">
        <v>320100</v>
      </c>
      <c r="K16" s="237">
        <v>0</v>
      </c>
      <c r="L16" s="237">
        <f>+SUMIFS(JURNAL!G:G,JURNAL!E:E,J16,JURNAL!L:L,$C16,JURNAL!C:C,"&gt;="&amp;$M$3,JURNAL!C:C,"&lt;="&amp;$N$3)</f>
        <v>528000</v>
      </c>
      <c r="M16" s="19">
        <f>+SUMIFS(JURNAL!H:H,JURNAL!E:E,J16,JURNAL!L:L,$C16,JURNAL!C:C,"&gt;="&amp;$M$3,JURNAL!C:C,"&lt;="&amp;$N$3)</f>
        <v>528000</v>
      </c>
      <c r="N16" s="20">
        <f t="shared" si="2"/>
        <v>0</v>
      </c>
      <c r="O16" s="237">
        <f t="shared" si="3"/>
        <v>0</v>
      </c>
      <c r="P16" s="16">
        <f t="shared" si="4"/>
        <v>320100</v>
      </c>
      <c r="Q16" s="16">
        <f t="shared" si="5"/>
        <v>122000</v>
      </c>
      <c r="R16" s="237">
        <f t="shared" si="6"/>
        <v>0</v>
      </c>
    </row>
    <row r="17" spans="2:18">
      <c r="B17" s="15">
        <f t="shared" si="0"/>
        <v>12</v>
      </c>
      <c r="C17" s="16">
        <f>IFERROR(VLOOKUP(DATA!G15,DATA!$G$4:$J$2149,1,FALSE),"")</f>
        <v>2004</v>
      </c>
      <c r="D17" s="16" t="str">
        <f>+IFERROR(VLOOKUP(C17,DATA!$G$4:$H$2000,2,FALSE),"")</f>
        <v xml:space="preserve">ДЦС-3 ТӨХК </v>
      </c>
      <c r="E17" s="16">
        <v>122000</v>
      </c>
      <c r="F17" s="237">
        <v>0</v>
      </c>
      <c r="G17" s="237">
        <f>+SUMIFS(JURNAL!G:G,JURNAL!E:E,E17,JURNAL!L:L,$C17,JURNAL!C:C,"&gt;="&amp;$M$3,JURNAL!C:C,"&lt;="&amp;$N$3)</f>
        <v>0</v>
      </c>
      <c r="H17" s="19">
        <f>+SUMIFS(JURNAL!H:H,JURNAL!E:E,E17,JURNAL!L:L,$C17,JURNAL!C:C,"&gt;="&amp;$M$3,JURNAL!C:C,"&lt;="&amp;$N$3)</f>
        <v>0</v>
      </c>
      <c r="I17" s="237">
        <f t="shared" si="1"/>
        <v>0</v>
      </c>
      <c r="J17" s="16">
        <v>320100</v>
      </c>
      <c r="K17" s="237">
        <v>0</v>
      </c>
      <c r="L17" s="237">
        <f>+SUMIFS(JURNAL!G:G,JURNAL!E:E,J17,JURNAL!L:L,$C17,JURNAL!C:C,"&gt;="&amp;$M$3,JURNAL!C:C,"&lt;="&amp;$N$3)</f>
        <v>0</v>
      </c>
      <c r="M17" s="19">
        <f>+SUMIFS(JURNAL!H:H,JURNAL!E:E,J17,JURNAL!L:L,$C17,JURNAL!C:C,"&gt;="&amp;$M$3,JURNAL!C:C,"&lt;="&amp;$N$3)</f>
        <v>0</v>
      </c>
      <c r="N17" s="20">
        <f t="shared" si="2"/>
        <v>0</v>
      </c>
      <c r="O17" s="237">
        <f>+IF(I17&lt;N17,I17,N17)</f>
        <v>0</v>
      </c>
      <c r="P17" s="16">
        <f t="shared" si="4"/>
        <v>320100</v>
      </c>
      <c r="Q17" s="16">
        <f t="shared" si="5"/>
        <v>122000</v>
      </c>
      <c r="R17" s="237">
        <f>+IF(O17,1,0)</f>
        <v>0</v>
      </c>
    </row>
    <row r="18" spans="2:18">
      <c r="B18" s="15">
        <f t="shared" si="0"/>
        <v>13</v>
      </c>
      <c r="C18" s="16">
        <f>IFERROR(VLOOKUP(DATA!G16,DATA!$G$4:$J$2149,1,FALSE),"")</f>
        <v>2005</v>
      </c>
      <c r="D18" s="16" t="str">
        <f>+IFERROR(VLOOKUP(C18,DATA!$G$4:$H$2000,2,FALSE),"")</f>
        <v xml:space="preserve">УСУГ ТӨХК </v>
      </c>
      <c r="E18" s="16">
        <v>122000</v>
      </c>
      <c r="F18" s="237">
        <v>0</v>
      </c>
      <c r="G18" s="237">
        <f>+SUMIFS(JURNAL!G:G,JURNAL!E:E,E18,JURNAL!L:L,$C18,JURNAL!C:C,"&gt;="&amp;$M$3,JURNAL!C:C,"&lt;="&amp;$N$3)</f>
        <v>0</v>
      </c>
      <c r="H18" s="19">
        <f>+SUMIFS(JURNAL!H:H,JURNAL!E:E,E18,JURNAL!L:L,$C18,JURNAL!C:C,"&gt;="&amp;$M$3,JURNAL!C:C,"&lt;="&amp;$N$3)</f>
        <v>0</v>
      </c>
      <c r="I18" s="237">
        <f t="shared" si="1"/>
        <v>0</v>
      </c>
      <c r="J18" s="16">
        <v>320100</v>
      </c>
      <c r="K18" s="237">
        <v>0</v>
      </c>
      <c r="L18" s="237">
        <f>+SUMIFS(JURNAL!G:G,JURNAL!E:E,J18,JURNAL!L:L,$C18,JURNAL!C:C,"&gt;="&amp;$M$3,JURNAL!C:C,"&lt;="&amp;$N$3)</f>
        <v>0</v>
      </c>
      <c r="M18" s="19">
        <f>+SUMIFS(JURNAL!H:H,JURNAL!E:E,J18,JURNAL!L:L,$C18,JURNAL!C:C,"&gt;="&amp;$M$3,JURNAL!C:C,"&lt;="&amp;$N$3)</f>
        <v>0</v>
      </c>
      <c r="N18" s="20">
        <f t="shared" si="2"/>
        <v>0</v>
      </c>
      <c r="O18" s="237">
        <f t="shared" si="3"/>
        <v>0</v>
      </c>
      <c r="P18" s="16">
        <f t="shared" si="4"/>
        <v>320100</v>
      </c>
      <c r="Q18" s="16">
        <f t="shared" si="5"/>
        <v>122000</v>
      </c>
      <c r="R18" s="237">
        <f t="shared" si="6"/>
        <v>0</v>
      </c>
    </row>
    <row r="19" spans="2:18">
      <c r="B19" s="15">
        <f t="shared" si="0"/>
        <v>14</v>
      </c>
      <c r="C19" s="16">
        <f>IFERROR(VLOOKUP(DATA!G17,DATA!$G$4:$J$2149,1,FALSE),"")</f>
        <v>2006</v>
      </c>
      <c r="D19" s="16" t="str">
        <f>+IFERROR(VLOOKUP(C19,DATA!$G$4:$H$2000,2,FALSE),"")</f>
        <v xml:space="preserve">МЦХОЛБОО </v>
      </c>
      <c r="E19" s="16">
        <v>122000</v>
      </c>
      <c r="F19" s="237">
        <v>0</v>
      </c>
      <c r="G19" s="237">
        <f>+SUMIFS(JURNAL!G:G,JURNAL!E:E,E19,JURNAL!L:L,$C19,JURNAL!C:C,"&gt;="&amp;$M$3,JURNAL!C:C,"&lt;="&amp;$N$3)</f>
        <v>0</v>
      </c>
      <c r="H19" s="19">
        <f>+SUMIFS(JURNAL!H:H,JURNAL!E:E,E19,JURNAL!L:L,$C19,JURNAL!C:C,"&gt;="&amp;$M$3,JURNAL!C:C,"&lt;="&amp;$N$3)</f>
        <v>0</v>
      </c>
      <c r="I19" s="237">
        <f t="shared" si="1"/>
        <v>0</v>
      </c>
      <c r="J19" s="16">
        <v>320100</v>
      </c>
      <c r="K19" s="237">
        <v>0</v>
      </c>
      <c r="L19" s="237">
        <f>+SUMIFS(JURNAL!G:G,JURNAL!E:E,J19,JURNAL!L:L,$C19,JURNAL!C:C,"&gt;="&amp;$M$3,JURNAL!C:C,"&lt;="&amp;$N$3)</f>
        <v>0</v>
      </c>
      <c r="M19" s="19">
        <f>+SUMIFS(JURNAL!H:H,JURNAL!E:E,J19,JURNAL!L:L,$C19,JURNAL!C:C,"&gt;="&amp;$M$3,JURNAL!C:C,"&lt;="&amp;$N$3)</f>
        <v>0</v>
      </c>
      <c r="N19" s="20">
        <f t="shared" si="2"/>
        <v>0</v>
      </c>
      <c r="O19" s="237">
        <f t="shared" si="3"/>
        <v>0</v>
      </c>
      <c r="P19" s="16">
        <f t="shared" si="4"/>
        <v>320100</v>
      </c>
      <c r="Q19" s="16">
        <f t="shared" si="5"/>
        <v>122000</v>
      </c>
      <c r="R19" s="237">
        <f t="shared" si="6"/>
        <v>0</v>
      </c>
    </row>
    <row r="20" spans="2:18">
      <c r="B20" s="15">
        <f t="shared" si="0"/>
        <v>15</v>
      </c>
      <c r="C20" s="16">
        <f>IFERROR(VLOOKUP(DATA!G18,DATA!$G$4:$J$2149,1,FALSE),"")</f>
        <v>2007</v>
      </c>
      <c r="D20" s="16" t="str">
        <f>+IFERROR(VLOOKUP(C20,DATA!$G$4:$H$2000,2,FALSE),"")</f>
        <v xml:space="preserve">МХБИРЖ -ТӨХК </v>
      </c>
      <c r="E20" s="16">
        <v>122000</v>
      </c>
      <c r="F20" s="237">
        <v>0</v>
      </c>
      <c r="G20" s="237">
        <f>+SUMIFS(JURNAL!G:G,JURNAL!E:E,E20,JURNAL!L:L,$C20,JURNAL!C:C,"&gt;="&amp;$M$3,JURNAL!C:C,"&lt;="&amp;$N$3)</f>
        <v>0</v>
      </c>
      <c r="H20" s="19">
        <f>+SUMIFS(JURNAL!H:H,JURNAL!E:E,E20,JURNAL!L:L,$C20,JURNAL!C:C,"&gt;="&amp;$M$3,JURNAL!C:C,"&lt;="&amp;$N$3)</f>
        <v>0</v>
      </c>
      <c r="I20" s="237">
        <f t="shared" si="1"/>
        <v>0</v>
      </c>
      <c r="J20" s="16">
        <v>320100</v>
      </c>
      <c r="K20" s="237">
        <v>0</v>
      </c>
      <c r="L20" s="237">
        <f>+SUMIFS(JURNAL!G:G,JURNAL!E:E,J20,JURNAL!L:L,$C20,JURNAL!C:C,"&gt;="&amp;$M$3,JURNAL!C:C,"&lt;="&amp;$N$3)</f>
        <v>0</v>
      </c>
      <c r="M20" s="19">
        <f>+SUMIFS(JURNAL!H:H,JURNAL!E:E,J20,JURNAL!L:L,$C20,JURNAL!C:C,"&gt;="&amp;$M$3,JURNAL!C:C,"&lt;="&amp;$N$3)</f>
        <v>0</v>
      </c>
      <c r="N20" s="20">
        <f t="shared" si="2"/>
        <v>0</v>
      </c>
      <c r="O20" s="237">
        <f t="shared" si="3"/>
        <v>0</v>
      </c>
      <c r="P20" s="16">
        <f t="shared" si="4"/>
        <v>320100</v>
      </c>
      <c r="Q20" s="16">
        <f t="shared" si="5"/>
        <v>122000</v>
      </c>
      <c r="R20" s="237">
        <f t="shared" si="6"/>
        <v>0</v>
      </c>
    </row>
    <row r="21" spans="2:18">
      <c r="B21" s="15">
        <f t="shared" si="0"/>
        <v>16</v>
      </c>
      <c r="C21" s="16">
        <f>IFERROR(VLOOKUP(DATA!G19,DATA!$G$4:$J$2149,1,FALSE),"")</f>
        <v>2008</v>
      </c>
      <c r="D21" s="16" t="str">
        <f>+IFERROR(VLOOKUP(C21,DATA!$G$4:$H$2000,2,FALSE),"")</f>
        <v xml:space="preserve">САНХҮҮГИЙН ЗОХИЦУУЛАХ ХОРОО </v>
      </c>
      <c r="E21" s="16">
        <v>122000</v>
      </c>
      <c r="F21" s="237">
        <v>0</v>
      </c>
      <c r="G21" s="237">
        <f>+SUMIFS(JURNAL!G:G,JURNAL!E:E,E21,JURNAL!L:L,$C21,JURNAL!C:C,"&gt;="&amp;$M$3,JURNAL!C:C,"&lt;="&amp;$N$3)</f>
        <v>0</v>
      </c>
      <c r="H21" s="19">
        <f>+SUMIFS(JURNAL!H:H,JURNAL!E:E,E21,JURNAL!L:L,$C21,JURNAL!C:C,"&gt;="&amp;$M$3,JURNAL!C:C,"&lt;="&amp;$N$3)</f>
        <v>0</v>
      </c>
      <c r="I21" s="237">
        <f t="shared" si="1"/>
        <v>0</v>
      </c>
      <c r="J21" s="16">
        <v>320100</v>
      </c>
      <c r="K21" s="237">
        <v>0</v>
      </c>
      <c r="L21" s="237">
        <f>+SUMIFS(JURNAL!G:G,JURNAL!E:E,J21,JURNAL!L:L,$C21,JURNAL!C:C,"&gt;="&amp;$M$3,JURNAL!C:C,"&lt;="&amp;$N$3)</f>
        <v>0</v>
      </c>
      <c r="M21" s="19">
        <f>+SUMIFS(JURNAL!H:H,JURNAL!E:E,J21,JURNAL!L:L,$C21,JURNAL!C:C,"&gt;="&amp;$M$3,JURNAL!C:C,"&lt;="&amp;$N$3)</f>
        <v>0</v>
      </c>
      <c r="N21" s="20">
        <f t="shared" si="2"/>
        <v>0</v>
      </c>
      <c r="O21" s="237">
        <f t="shared" si="3"/>
        <v>0</v>
      </c>
      <c r="P21" s="16">
        <f t="shared" si="4"/>
        <v>320100</v>
      </c>
      <c r="Q21" s="16">
        <f t="shared" si="5"/>
        <v>122000</v>
      </c>
      <c r="R21" s="237">
        <f t="shared" si="6"/>
        <v>0</v>
      </c>
    </row>
    <row r="22" spans="2:18">
      <c r="B22" s="15">
        <f t="shared" si="0"/>
        <v>17</v>
      </c>
      <c r="C22" s="16">
        <f>IFERROR(VLOOKUP(DATA!G20,DATA!$G$4:$J$2149,1,FALSE),"")</f>
        <v>2009</v>
      </c>
      <c r="D22" s="16" t="str">
        <f>+IFERROR(VLOOKUP(C22,DATA!$G$4:$H$2000,2,FALSE),"")</f>
        <v>ХААН БАНК</v>
      </c>
      <c r="E22" s="16">
        <v>122000</v>
      </c>
      <c r="F22" s="237">
        <v>0</v>
      </c>
      <c r="G22" s="237">
        <f>+SUMIFS(JURNAL!G:G,JURNAL!E:E,E22,JURNAL!L:L,$C22,JURNAL!C:C,"&gt;="&amp;$M$3,JURNAL!C:C,"&lt;="&amp;$N$3)</f>
        <v>0</v>
      </c>
      <c r="H22" s="19">
        <f>+SUMIFS(JURNAL!H:H,JURNAL!E:E,E22,JURNAL!L:L,$C22,JURNAL!C:C,"&gt;="&amp;$M$3,JURNAL!C:C,"&lt;="&amp;$N$3)</f>
        <v>0</v>
      </c>
      <c r="I22" s="237">
        <f t="shared" si="1"/>
        <v>0</v>
      </c>
      <c r="J22" s="16">
        <v>320100</v>
      </c>
      <c r="K22" s="237">
        <v>0</v>
      </c>
      <c r="L22" s="237">
        <f>+SUMIFS(JURNAL!G:G,JURNAL!E:E,J22,JURNAL!L:L,$C22,JURNAL!C:C,"&gt;="&amp;$M$3,JURNAL!C:C,"&lt;="&amp;$N$3)</f>
        <v>0</v>
      </c>
      <c r="M22" s="19">
        <f>+SUMIFS(JURNAL!H:H,JURNAL!E:E,J22,JURNAL!L:L,$C22,JURNAL!C:C,"&gt;="&amp;$M$3,JURNAL!C:C,"&lt;="&amp;$N$3)</f>
        <v>0</v>
      </c>
      <c r="N22" s="20">
        <f t="shared" si="2"/>
        <v>0</v>
      </c>
      <c r="O22" s="237">
        <f t="shared" si="3"/>
        <v>0</v>
      </c>
      <c r="P22" s="16">
        <f t="shared" si="4"/>
        <v>320100</v>
      </c>
      <c r="Q22" s="16">
        <f t="shared" si="5"/>
        <v>122000</v>
      </c>
      <c r="R22" s="237">
        <f t="shared" si="6"/>
        <v>0</v>
      </c>
    </row>
    <row r="23" spans="2:18">
      <c r="B23" s="15">
        <f t="shared" si="0"/>
        <v>18</v>
      </c>
      <c r="C23" s="16">
        <f>IFERROR(VLOOKUP(DATA!G21,DATA!$G$4:$J$2149,1,FALSE),"")</f>
        <v>2010</v>
      </c>
      <c r="D23" s="16" t="str">
        <f>+IFERROR(VLOOKUP(C23,DATA!$G$4:$H$2000,2,FALSE),"")</f>
        <v>ХХБАНК</v>
      </c>
      <c r="E23" s="16">
        <v>122000</v>
      </c>
      <c r="F23" s="237">
        <v>0</v>
      </c>
      <c r="G23" s="237">
        <f>+SUMIFS(JURNAL!G:G,JURNAL!E:E,E23,JURNAL!L:L,$C23,JURNAL!C:C,"&gt;="&amp;$M$3,JURNAL!C:C,"&lt;="&amp;$N$3)</f>
        <v>0</v>
      </c>
      <c r="H23" s="19">
        <f>+SUMIFS(JURNAL!H:H,JURNAL!E:E,E23,JURNAL!L:L,$C23,JURNAL!C:C,"&gt;="&amp;$M$3,JURNAL!C:C,"&lt;="&amp;$N$3)</f>
        <v>0</v>
      </c>
      <c r="I23" s="237">
        <f t="shared" si="1"/>
        <v>0</v>
      </c>
      <c r="J23" s="16">
        <v>320100</v>
      </c>
      <c r="K23" s="237">
        <v>0</v>
      </c>
      <c r="L23" s="237">
        <f>+SUMIFS(JURNAL!G:G,JURNAL!E:E,J23,JURNAL!L:L,$C23,JURNAL!C:C,"&gt;="&amp;$M$3,JURNAL!C:C,"&lt;="&amp;$N$3)</f>
        <v>0</v>
      </c>
      <c r="M23" s="19">
        <f>+SUMIFS(JURNAL!H:H,JURNAL!E:E,J23,JURNAL!L:L,$C23,JURNAL!C:C,"&gt;="&amp;$M$3,JURNAL!C:C,"&lt;="&amp;$N$3)</f>
        <v>0</v>
      </c>
      <c r="N23" s="20">
        <f t="shared" si="2"/>
        <v>0</v>
      </c>
      <c r="O23" s="237">
        <f t="shared" si="3"/>
        <v>0</v>
      </c>
      <c r="P23" s="16">
        <f t="shared" si="4"/>
        <v>320100</v>
      </c>
      <c r="Q23" s="16">
        <f t="shared" si="5"/>
        <v>122000</v>
      </c>
      <c r="R23" s="237">
        <f t="shared" si="6"/>
        <v>0</v>
      </c>
    </row>
    <row r="24" spans="2:18">
      <c r="B24" s="15">
        <f t="shared" si="0"/>
        <v>19</v>
      </c>
      <c r="C24" s="16">
        <f>IFERROR(VLOOKUP(DATA!G22,DATA!$G$4:$J$2149,1,FALSE),"")</f>
        <v>2011</v>
      </c>
      <c r="D24" s="16" t="str">
        <f>+IFERROR(VLOOKUP(C24,DATA!$G$4:$H$2000,2,FALSE),"")</f>
        <v xml:space="preserve">ГОЛОМТ БАНК </v>
      </c>
      <c r="E24" s="16">
        <v>122000</v>
      </c>
      <c r="F24" s="237">
        <v>0</v>
      </c>
      <c r="G24" s="237">
        <f>+SUMIFS(JURNAL!G:G,JURNAL!E:E,E24,JURNAL!L:L,$C24,JURNAL!C:C,"&gt;="&amp;$M$3,JURNAL!C:C,"&lt;="&amp;$N$3)</f>
        <v>0</v>
      </c>
      <c r="H24" s="19">
        <f>+SUMIFS(JURNAL!H:H,JURNAL!E:E,E24,JURNAL!L:L,$C24,JURNAL!C:C,"&gt;="&amp;$M$3,JURNAL!C:C,"&lt;="&amp;$N$3)</f>
        <v>0</v>
      </c>
      <c r="I24" s="237">
        <f t="shared" si="1"/>
        <v>0</v>
      </c>
      <c r="J24" s="16">
        <v>320100</v>
      </c>
      <c r="K24" s="237">
        <v>0</v>
      </c>
      <c r="L24" s="237">
        <f>+SUMIFS(JURNAL!G:G,JURNAL!E:E,J24,JURNAL!L:L,$C24,JURNAL!C:C,"&gt;="&amp;$M$3,JURNAL!C:C,"&lt;="&amp;$N$3)</f>
        <v>0</v>
      </c>
      <c r="M24" s="19">
        <f>+SUMIFS(JURNAL!H:H,JURNAL!E:E,J24,JURNAL!L:L,$C24,JURNAL!C:C,"&gt;="&amp;$M$3,JURNAL!C:C,"&lt;="&amp;$N$3)</f>
        <v>0</v>
      </c>
      <c r="N24" s="20">
        <f t="shared" si="2"/>
        <v>0</v>
      </c>
      <c r="O24" s="237">
        <f t="shared" si="3"/>
        <v>0</v>
      </c>
      <c r="P24" s="16">
        <f t="shared" si="4"/>
        <v>320100</v>
      </c>
      <c r="Q24" s="16">
        <f t="shared" si="5"/>
        <v>122000</v>
      </c>
      <c r="R24" s="237">
        <f t="shared" si="6"/>
        <v>0</v>
      </c>
    </row>
    <row r="25" spans="2:18">
      <c r="B25" s="15">
        <f t="shared" si="0"/>
        <v>20</v>
      </c>
      <c r="C25" s="16">
        <f>IFERROR(VLOOKUP(DATA!G23,DATA!$G$4:$J$2149,1,FALSE),"")</f>
        <v>2012</v>
      </c>
      <c r="D25" s="16" t="str">
        <f>+IFERROR(VLOOKUP(C25,DATA!$G$4:$H$2000,2,FALSE),"")</f>
        <v>ИХ ТУГЧ ХХК</v>
      </c>
      <c r="E25" s="16">
        <v>122000</v>
      </c>
      <c r="F25" s="237">
        <v>0</v>
      </c>
      <c r="G25" s="237">
        <f>+SUMIFS(JURNAL!G:G,JURNAL!E:E,E25,JURNAL!L:L,$C25,JURNAL!C:C,"&gt;="&amp;$M$3,JURNAL!C:C,"&lt;="&amp;$N$3)</f>
        <v>0</v>
      </c>
      <c r="H25" s="19">
        <f>+SUMIFS(JURNAL!H:H,JURNAL!E:E,E25,JURNAL!L:L,$C25,JURNAL!C:C,"&gt;="&amp;$M$3,JURNAL!C:C,"&lt;="&amp;$N$3)</f>
        <v>0</v>
      </c>
      <c r="I25" s="237">
        <f t="shared" si="1"/>
        <v>0</v>
      </c>
      <c r="J25" s="16">
        <v>320100</v>
      </c>
      <c r="K25" s="237">
        <v>0</v>
      </c>
      <c r="L25" s="237">
        <f>+SUMIFS(JURNAL!G:G,JURNAL!E:E,J25,JURNAL!L:L,$C25,JURNAL!C:C,"&gt;="&amp;$M$3,JURNAL!C:C,"&lt;="&amp;$N$3)</f>
        <v>0</v>
      </c>
      <c r="M25" s="19">
        <f>+SUMIFS(JURNAL!H:H,JURNAL!E:E,J25,JURNAL!L:L,$C25,JURNAL!C:C,"&gt;="&amp;$M$3,JURNAL!C:C,"&lt;="&amp;$N$3)</f>
        <v>0</v>
      </c>
      <c r="N25" s="20">
        <f t="shared" si="2"/>
        <v>0</v>
      </c>
      <c r="O25" s="237">
        <f t="shared" si="3"/>
        <v>0</v>
      </c>
      <c r="P25" s="16">
        <f t="shared" si="4"/>
        <v>320100</v>
      </c>
      <c r="Q25" s="16">
        <f t="shared" si="5"/>
        <v>122000</v>
      </c>
      <c r="R25" s="237">
        <f t="shared" si="6"/>
        <v>0</v>
      </c>
    </row>
    <row r="26" spans="2:18">
      <c r="B26" s="15">
        <f t="shared" si="0"/>
        <v>21</v>
      </c>
      <c r="C26" s="16">
        <f>IFERROR(VLOOKUP(DATA!G24,DATA!$G$4:$J$2149,1,FALSE),"")</f>
        <v>2013</v>
      </c>
      <c r="D26" s="16" t="str">
        <f>+IFERROR(VLOOKUP(C26,DATA!$G$4:$H$2000,2,FALSE),"")</f>
        <v>УБДС ТӨХК</v>
      </c>
      <c r="E26" s="16">
        <v>122000</v>
      </c>
      <c r="F26" s="237">
        <v>0</v>
      </c>
      <c r="G26" s="237">
        <f>+SUMIFS(JURNAL!G:G,JURNAL!E:E,E26,JURNAL!L:L,$C26,JURNAL!C:C,"&gt;="&amp;$M$3,JURNAL!C:C,"&lt;="&amp;$N$3)</f>
        <v>0</v>
      </c>
      <c r="H26" s="19">
        <f>+SUMIFS(JURNAL!H:H,JURNAL!E:E,E26,JURNAL!L:L,$C26,JURNAL!C:C,"&gt;="&amp;$M$3,JURNAL!C:C,"&lt;="&amp;$N$3)</f>
        <v>0</v>
      </c>
      <c r="I26" s="237">
        <f t="shared" si="1"/>
        <v>0</v>
      </c>
      <c r="J26" s="16">
        <v>320100</v>
      </c>
      <c r="K26" s="237">
        <v>0</v>
      </c>
      <c r="L26" s="237">
        <f>+SUMIFS(JURNAL!G:G,JURNAL!E:E,J26,JURNAL!L:L,$C26,JURNAL!C:C,"&gt;="&amp;$M$3,JURNAL!C:C,"&lt;="&amp;$N$3)</f>
        <v>0</v>
      </c>
      <c r="M26" s="19">
        <f>+SUMIFS(JURNAL!H:H,JURNAL!E:E,J26,JURNAL!L:L,$C26,JURNAL!C:C,"&gt;="&amp;$M$3,JURNAL!C:C,"&lt;="&amp;$N$3)</f>
        <v>0</v>
      </c>
      <c r="N26" s="20">
        <f t="shared" si="2"/>
        <v>0</v>
      </c>
      <c r="O26" s="237">
        <f t="shared" si="3"/>
        <v>0</v>
      </c>
      <c r="P26" s="16">
        <f t="shared" si="4"/>
        <v>320100</v>
      </c>
      <c r="Q26" s="16">
        <f t="shared" si="5"/>
        <v>122000</v>
      </c>
      <c r="R26" s="237">
        <f t="shared" si="6"/>
        <v>0</v>
      </c>
    </row>
    <row r="27" spans="2:18">
      <c r="B27" s="15">
        <f t="shared" si="0"/>
        <v>22</v>
      </c>
      <c r="C27" s="16">
        <f>IFERROR(VLOOKUP(DATA!G25,DATA!$G$4:$J$2149,1,FALSE),"")</f>
        <v>3001</v>
      </c>
      <c r="D27" s="16" t="str">
        <f>+IFERROR(VLOOKUP(C27,DATA!$G$4:$H$2000,2,FALSE),"")</f>
        <v>ХУРД ГРУПП ХХК</v>
      </c>
      <c r="E27" s="16">
        <v>122000</v>
      </c>
      <c r="F27" s="237">
        <v>0</v>
      </c>
      <c r="G27" s="237">
        <f>+SUMIFS(JURNAL!G:G,JURNAL!E:E,E27,JURNAL!L:L,$C27,JURNAL!C:C,"&gt;="&amp;$M$3,JURNAL!C:C,"&lt;="&amp;$N$3)</f>
        <v>0</v>
      </c>
      <c r="H27" s="19">
        <f>+SUMIFS(JURNAL!H:H,JURNAL!E:E,E27,JURNAL!L:L,$C27,JURNAL!C:C,"&gt;="&amp;$M$3,JURNAL!C:C,"&lt;="&amp;$N$3)</f>
        <v>0</v>
      </c>
      <c r="I27" s="237">
        <f t="shared" si="1"/>
        <v>0</v>
      </c>
      <c r="J27" s="16">
        <v>320100</v>
      </c>
      <c r="K27" s="237">
        <v>0</v>
      </c>
      <c r="L27" s="237">
        <f>+SUMIFS(JURNAL!G:G,JURNAL!E:E,J27,JURNAL!L:L,$C27,JURNAL!C:C,"&gt;="&amp;$M$3,JURNAL!C:C,"&lt;="&amp;$N$3)</f>
        <v>484000000</v>
      </c>
      <c r="M27" s="19">
        <f>+SUMIFS(JURNAL!H:H,JURNAL!E:E,J27,JURNAL!L:L,$C27,JURNAL!C:C,"&gt;="&amp;$M$3,JURNAL!C:C,"&lt;="&amp;$N$3)</f>
        <v>484000000</v>
      </c>
      <c r="N27" s="20">
        <f t="shared" si="2"/>
        <v>0</v>
      </c>
      <c r="O27" s="237">
        <f t="shared" si="3"/>
        <v>0</v>
      </c>
      <c r="P27" s="16">
        <f t="shared" si="4"/>
        <v>320100</v>
      </c>
      <c r="Q27" s="16">
        <f t="shared" si="5"/>
        <v>122000</v>
      </c>
      <c r="R27" s="237">
        <f t="shared" si="6"/>
        <v>0</v>
      </c>
    </row>
    <row r="28" spans="2:18">
      <c r="B28" s="15">
        <f t="shared" si="0"/>
        <v>23</v>
      </c>
      <c r="C28" s="16">
        <f>IFERROR(VLOOKUP(DATA!G26,DATA!$G$4:$J$2149,1,FALSE),"")</f>
        <v>3002</v>
      </c>
      <c r="D28" s="16" t="str">
        <f>+IFERROR(VLOOKUP(C28,DATA!$G$4:$H$2000,2,FALSE),"")</f>
        <v>ЭКО КОНСТРАКШН ХХК</v>
      </c>
      <c r="E28" s="16">
        <v>122000</v>
      </c>
      <c r="F28" s="237">
        <v>8</v>
      </c>
      <c r="G28" s="237">
        <f>+SUMIFS(JURNAL!G:G,JURNAL!E:E,E28,JURNAL!L:L,$C28,JURNAL!C:C,"&gt;="&amp;$M$3,JURNAL!C:C,"&lt;="&amp;$N$3)</f>
        <v>0</v>
      </c>
      <c r="H28" s="19">
        <f>+SUMIFS(JURNAL!H:H,JURNAL!E:E,E28,JURNAL!L:L,$C28,JURNAL!C:C,"&gt;="&amp;$M$3,JURNAL!C:C,"&lt;="&amp;$N$3)</f>
        <v>8</v>
      </c>
      <c r="I28" s="237">
        <f t="shared" si="1"/>
        <v>0</v>
      </c>
      <c r="J28" s="16">
        <v>320100</v>
      </c>
      <c r="K28" s="237">
        <v>0</v>
      </c>
      <c r="L28" s="237">
        <f>+SUMIFS(JURNAL!G:G,JURNAL!E:E,J28,JURNAL!L:L,$C28,JURNAL!C:C,"&gt;="&amp;$M$3,JURNAL!C:C,"&lt;="&amp;$N$3)</f>
        <v>10084510</v>
      </c>
      <c r="M28" s="19">
        <f>+SUMIFS(JURNAL!H:H,JURNAL!E:E,J28,JURNAL!L:L,$C28,JURNAL!C:C,"&gt;="&amp;$M$3,JURNAL!C:C,"&lt;="&amp;$N$3)</f>
        <v>10084510</v>
      </c>
      <c r="N28" s="20">
        <f t="shared" si="2"/>
        <v>0</v>
      </c>
      <c r="O28" s="237">
        <f t="shared" si="3"/>
        <v>0</v>
      </c>
      <c r="P28" s="16">
        <f t="shared" si="4"/>
        <v>320100</v>
      </c>
      <c r="Q28" s="16">
        <f t="shared" si="5"/>
        <v>122000</v>
      </c>
      <c r="R28" s="237">
        <f t="shared" si="6"/>
        <v>0</v>
      </c>
    </row>
    <row r="29" spans="2:18">
      <c r="B29" s="15">
        <f t="shared" si="0"/>
        <v>24</v>
      </c>
      <c r="C29" s="16">
        <f>IFERROR(VLOOKUP(DATA!G27,DATA!$G$4:$J$2149,1,FALSE),"")</f>
        <v>3003</v>
      </c>
      <c r="D29" s="16" t="str">
        <f>+IFERROR(VLOOKUP(C29,DATA!$G$4:$H$2000,2,FALSE),"")</f>
        <v xml:space="preserve">МУХИА ХХК </v>
      </c>
      <c r="E29" s="16">
        <v>122000</v>
      </c>
      <c r="F29" s="237">
        <v>0</v>
      </c>
      <c r="G29" s="237">
        <f>+SUMIFS(JURNAL!G:G,JURNAL!E:E,E29,JURNAL!L:L,$C29,JURNAL!C:C,"&gt;="&amp;$M$3,JURNAL!C:C,"&lt;="&amp;$N$3)</f>
        <v>0</v>
      </c>
      <c r="H29" s="19">
        <f>+SUMIFS(JURNAL!H:H,JURNAL!E:E,E29,JURNAL!L:L,$C29,JURNAL!C:C,"&gt;="&amp;$M$3,JURNAL!C:C,"&lt;="&amp;$N$3)</f>
        <v>0</v>
      </c>
      <c r="I29" s="237">
        <f t="shared" si="1"/>
        <v>0</v>
      </c>
      <c r="J29" s="16">
        <v>320100</v>
      </c>
      <c r="K29" s="237">
        <v>0</v>
      </c>
      <c r="L29" s="237">
        <f>+SUMIFS(JURNAL!G:G,JURNAL!E:E,J29,JURNAL!L:L,$C29,JURNAL!C:C,"&gt;="&amp;$M$3,JURNAL!C:C,"&lt;="&amp;$N$3)</f>
        <v>3020009.9986429997</v>
      </c>
      <c r="M29" s="19">
        <f>+SUMIFS(JURNAL!H:H,JURNAL!E:E,J29,JURNAL!L:L,$C29,JURNAL!C:C,"&gt;="&amp;$M$3,JURNAL!C:C,"&lt;="&amp;$N$3)</f>
        <v>3020010</v>
      </c>
      <c r="N29" s="20">
        <f t="shared" si="2"/>
        <v>1.357000321149826E-3</v>
      </c>
      <c r="O29" s="237">
        <f t="shared" si="3"/>
        <v>0</v>
      </c>
      <c r="P29" s="16">
        <f t="shared" si="4"/>
        <v>320100</v>
      </c>
      <c r="Q29" s="16">
        <f t="shared" si="5"/>
        <v>122000</v>
      </c>
      <c r="R29" s="237">
        <f t="shared" si="6"/>
        <v>0</v>
      </c>
    </row>
    <row r="30" spans="2:18">
      <c r="B30" s="15">
        <f t="shared" si="0"/>
        <v>25</v>
      </c>
      <c r="C30" s="16">
        <f>IFERROR(VLOOKUP(DATA!G28,DATA!$G$4:$J$2149,1,FALSE),"")</f>
        <v>3004</v>
      </c>
      <c r="D30" s="16" t="str">
        <f>+IFERROR(VLOOKUP(C30,DATA!$G$4:$H$2000,2,FALSE),"")</f>
        <v xml:space="preserve">ИЭСОМ ХХК </v>
      </c>
      <c r="E30" s="16">
        <v>122000</v>
      </c>
      <c r="F30" s="237">
        <v>0</v>
      </c>
      <c r="G30" s="237">
        <f>+SUMIFS(JURNAL!G:G,JURNAL!E:E,E30,JURNAL!L:L,$C30,JURNAL!C:C,"&gt;="&amp;$M$3,JURNAL!C:C,"&lt;="&amp;$N$3)</f>
        <v>0</v>
      </c>
      <c r="H30" s="19">
        <f>+SUMIFS(JURNAL!H:H,JURNAL!E:E,E30,JURNAL!L:L,$C30,JURNAL!C:C,"&gt;="&amp;$M$3,JURNAL!C:C,"&lt;="&amp;$N$3)</f>
        <v>0</v>
      </c>
      <c r="I30" s="237">
        <f t="shared" si="1"/>
        <v>0</v>
      </c>
      <c r="J30" s="16">
        <v>320100</v>
      </c>
      <c r="K30" s="237">
        <v>438900</v>
      </c>
      <c r="L30" s="237">
        <f>+SUMIFS(JURNAL!G:G,JURNAL!E:E,J30,JURNAL!L:L,$C30,JURNAL!C:C,"&gt;="&amp;$M$3,JURNAL!C:C,"&lt;="&amp;$N$3)</f>
        <v>0</v>
      </c>
      <c r="M30" s="19">
        <f>+SUMIFS(JURNAL!H:H,JURNAL!E:E,J30,JURNAL!L:L,$C30,JURNAL!C:C,"&gt;="&amp;$M$3,JURNAL!C:C,"&lt;="&amp;$N$3)</f>
        <v>0</v>
      </c>
      <c r="N30" s="20">
        <f t="shared" si="2"/>
        <v>438900</v>
      </c>
      <c r="O30" s="237">
        <f t="shared" si="3"/>
        <v>0</v>
      </c>
      <c r="P30" s="16">
        <f t="shared" si="4"/>
        <v>320100</v>
      </c>
      <c r="Q30" s="16">
        <f t="shared" si="5"/>
        <v>122000</v>
      </c>
      <c r="R30" s="237">
        <f t="shared" si="6"/>
        <v>0</v>
      </c>
    </row>
    <row r="31" spans="2:18">
      <c r="B31" s="15">
        <f t="shared" si="0"/>
        <v>26</v>
      </c>
      <c r="C31" s="16">
        <f>IFERROR(VLOOKUP(DATA!G29,DATA!$G$4:$J$2149,1,FALSE),"")</f>
        <v>3005</v>
      </c>
      <c r="D31" s="16" t="str">
        <f>+IFERROR(VLOOKUP(C31,DATA!$G$4:$H$2000,2,FALSE),"")</f>
        <v xml:space="preserve">ОРГИЛ ХҮНС ХХК </v>
      </c>
      <c r="E31" s="16">
        <v>122000</v>
      </c>
      <c r="F31" s="237">
        <v>0</v>
      </c>
      <c r="G31" s="237">
        <f>+SUMIFS(JURNAL!G:G,JURNAL!E:E,E31,JURNAL!L:L,$C31,JURNAL!C:C,"&gt;="&amp;$M$3,JURNAL!C:C,"&lt;="&amp;$N$3)</f>
        <v>0</v>
      </c>
      <c r="H31" s="19">
        <f>+SUMIFS(JURNAL!H:H,JURNAL!E:E,E31,JURNAL!L:L,$C31,JURNAL!C:C,"&gt;="&amp;$M$3,JURNAL!C:C,"&lt;="&amp;$N$3)</f>
        <v>0</v>
      </c>
      <c r="I31" s="237">
        <f t="shared" si="1"/>
        <v>0</v>
      </c>
      <c r="J31" s="16">
        <v>320100</v>
      </c>
      <c r="K31" s="237">
        <v>0</v>
      </c>
      <c r="L31" s="237">
        <f>+SUMIFS(JURNAL!G:G,JURNAL!E:E,J31,JURNAL!L:L,$C31,JURNAL!C:C,"&gt;="&amp;$M$3,JURNAL!C:C,"&lt;="&amp;$N$3)</f>
        <v>0</v>
      </c>
      <c r="M31" s="19">
        <f>+SUMIFS(JURNAL!H:H,JURNAL!E:E,J31,JURNAL!L:L,$C31,JURNAL!C:C,"&gt;="&amp;$M$3,JURNAL!C:C,"&lt;="&amp;$N$3)</f>
        <v>0</v>
      </c>
      <c r="N31" s="20">
        <f t="shared" si="2"/>
        <v>0</v>
      </c>
      <c r="O31" s="237">
        <f t="shared" si="3"/>
        <v>0</v>
      </c>
      <c r="P31" s="16">
        <f t="shared" si="4"/>
        <v>320100</v>
      </c>
      <c r="Q31" s="16">
        <f t="shared" si="5"/>
        <v>122000</v>
      </c>
      <c r="R31" s="237">
        <f t="shared" si="6"/>
        <v>0</v>
      </c>
    </row>
    <row r="32" spans="2:18">
      <c r="B32" s="15">
        <f t="shared" si="0"/>
        <v>27</v>
      </c>
      <c r="C32" s="16">
        <f>IFERROR(VLOOKUP(DATA!G30,DATA!$G$4:$J$2149,1,FALSE),"")</f>
        <v>3006</v>
      </c>
      <c r="D32" s="16" t="str">
        <f>+IFERROR(VLOOKUP(C32,DATA!$G$4:$H$2000,2,FALSE),"")</f>
        <v xml:space="preserve">ПАЙОНЕРИНГ ИНТЕРНЭШНЛ ХХК </v>
      </c>
      <c r="E32" s="16">
        <v>122000</v>
      </c>
      <c r="F32" s="237">
        <v>0</v>
      </c>
      <c r="G32" s="237">
        <f>+SUMIFS(JURNAL!G:G,JURNAL!E:E,E32,JURNAL!L:L,$C32,JURNAL!C:C,"&gt;="&amp;$M$3,JURNAL!C:C,"&lt;="&amp;$N$3)</f>
        <v>0</v>
      </c>
      <c r="H32" s="19">
        <f>+SUMIFS(JURNAL!H:H,JURNAL!E:E,E32,JURNAL!L:L,$C32,JURNAL!C:C,"&gt;="&amp;$M$3,JURNAL!C:C,"&lt;="&amp;$N$3)</f>
        <v>0</v>
      </c>
      <c r="I32" s="237">
        <f t="shared" si="1"/>
        <v>0</v>
      </c>
      <c r="J32" s="16">
        <v>320100</v>
      </c>
      <c r="K32" s="237">
        <v>0</v>
      </c>
      <c r="L32" s="237">
        <f>+SUMIFS(JURNAL!G:G,JURNAL!E:E,J32,JURNAL!L:L,$C32,JURNAL!C:C,"&gt;="&amp;$M$3,JURNAL!C:C,"&lt;="&amp;$N$3)</f>
        <v>191400</v>
      </c>
      <c r="M32" s="19">
        <f>+SUMIFS(JURNAL!H:H,JURNAL!E:E,J32,JURNAL!L:L,$C32,JURNAL!C:C,"&gt;="&amp;$M$3,JURNAL!C:C,"&lt;="&amp;$N$3)</f>
        <v>191400</v>
      </c>
      <c r="N32" s="20">
        <f t="shared" si="2"/>
        <v>0</v>
      </c>
      <c r="O32" s="237">
        <f t="shared" si="3"/>
        <v>0</v>
      </c>
      <c r="P32" s="16">
        <f t="shared" si="4"/>
        <v>320100</v>
      </c>
      <c r="Q32" s="16">
        <f t="shared" si="5"/>
        <v>122000</v>
      </c>
      <c r="R32" s="237">
        <f t="shared" si="6"/>
        <v>0</v>
      </c>
    </row>
    <row r="33" spans="2:18">
      <c r="B33" s="15">
        <f t="shared" si="0"/>
        <v>28</v>
      </c>
      <c r="C33" s="16">
        <f>IFERROR(VLOOKUP(DATA!G31,DATA!$G$4:$J$2149,1,FALSE),"")</f>
        <v>3007</v>
      </c>
      <c r="D33" s="16" t="str">
        <f>+IFERROR(VLOOKUP(C33,DATA!$G$4:$H$2000,2,FALSE),"")</f>
        <v xml:space="preserve">АЯНЧИН АУТФИТТЕРС ХХК </v>
      </c>
      <c r="E33" s="16">
        <v>122000</v>
      </c>
      <c r="F33" s="237">
        <v>0</v>
      </c>
      <c r="G33" s="237">
        <f>+SUMIFS(JURNAL!G:G,JURNAL!E:E,E33,JURNAL!L:L,$C33,JURNAL!C:C,"&gt;="&amp;$M$3,JURNAL!C:C,"&lt;="&amp;$N$3)</f>
        <v>0</v>
      </c>
      <c r="H33" s="19">
        <f>+SUMIFS(JURNAL!H:H,JURNAL!E:E,E33,JURNAL!L:L,$C33,JURNAL!C:C,"&gt;="&amp;$M$3,JURNAL!C:C,"&lt;="&amp;$N$3)</f>
        <v>0</v>
      </c>
      <c r="I33" s="237">
        <f t="shared" si="1"/>
        <v>0</v>
      </c>
      <c r="J33" s="16">
        <v>320100</v>
      </c>
      <c r="K33" s="237">
        <v>0</v>
      </c>
      <c r="L33" s="237">
        <f>+SUMIFS(JURNAL!G:G,JURNAL!E:E,J33,JURNAL!L:L,$C33,JURNAL!C:C,"&gt;="&amp;$M$3,JURNAL!C:C,"&lt;="&amp;$N$3)</f>
        <v>431200</v>
      </c>
      <c r="M33" s="19">
        <f>+SUMIFS(JURNAL!H:H,JURNAL!E:E,J33,JURNAL!L:L,$C33,JURNAL!C:C,"&gt;="&amp;$M$3,JURNAL!C:C,"&lt;="&amp;$N$3)</f>
        <v>431200</v>
      </c>
      <c r="N33" s="20">
        <f t="shared" si="2"/>
        <v>0</v>
      </c>
      <c r="O33" s="237">
        <f t="shared" si="3"/>
        <v>0</v>
      </c>
      <c r="P33" s="16">
        <f t="shared" si="4"/>
        <v>320100</v>
      </c>
      <c r="Q33" s="16">
        <f t="shared" si="5"/>
        <v>122000</v>
      </c>
      <c r="R33" s="237">
        <f t="shared" si="6"/>
        <v>0</v>
      </c>
    </row>
    <row r="34" spans="2:18">
      <c r="B34" s="15">
        <f t="shared" si="0"/>
        <v>29</v>
      </c>
      <c r="C34" s="16">
        <f>IFERROR(VLOOKUP(DATA!G32,DATA!$G$4:$J$2149,1,FALSE),"")</f>
        <v>3008</v>
      </c>
      <c r="D34" s="16" t="str">
        <f>+IFERROR(VLOOKUP(C34,DATA!$G$4:$H$2000,2,FALSE),"")</f>
        <v xml:space="preserve">ГЭГЭЭН ДАЛАЙ ХХК </v>
      </c>
      <c r="E34" s="16">
        <v>122000</v>
      </c>
      <c r="F34" s="237">
        <v>0</v>
      </c>
      <c r="G34" s="237">
        <f>+SUMIFS(JURNAL!G:G,JURNAL!E:E,E34,JURNAL!L:L,$C34,JURNAL!C:C,"&gt;="&amp;$M$3,JURNAL!C:C,"&lt;="&amp;$N$3)</f>
        <v>0</v>
      </c>
      <c r="H34" s="19">
        <f>+SUMIFS(JURNAL!H:H,JURNAL!E:E,E34,JURNAL!L:L,$C34,JURNAL!C:C,"&gt;="&amp;$M$3,JURNAL!C:C,"&lt;="&amp;$N$3)</f>
        <v>0</v>
      </c>
      <c r="I34" s="237">
        <f t="shared" si="1"/>
        <v>0</v>
      </c>
      <c r="J34" s="16">
        <v>320100</v>
      </c>
      <c r="K34" s="237">
        <v>0</v>
      </c>
      <c r="L34" s="237">
        <f>+SUMIFS(JURNAL!G:G,JURNAL!E:E,J34,JURNAL!L:L,$C34,JURNAL!C:C,"&gt;="&amp;$M$3,JURNAL!C:C,"&lt;="&amp;$N$3)</f>
        <v>0</v>
      </c>
      <c r="M34" s="19">
        <f>+SUMIFS(JURNAL!H:H,JURNAL!E:E,J34,JURNAL!L:L,$C34,JURNAL!C:C,"&gt;="&amp;$M$3,JURNAL!C:C,"&lt;="&amp;$N$3)</f>
        <v>0</v>
      </c>
      <c r="N34" s="20">
        <f t="shared" si="2"/>
        <v>0</v>
      </c>
      <c r="O34" s="237">
        <f t="shared" si="3"/>
        <v>0</v>
      </c>
      <c r="P34" s="16">
        <f t="shared" si="4"/>
        <v>320100</v>
      </c>
      <c r="Q34" s="16">
        <f t="shared" si="5"/>
        <v>122000</v>
      </c>
      <c r="R34" s="237">
        <f t="shared" si="6"/>
        <v>0</v>
      </c>
    </row>
    <row r="35" spans="2:18">
      <c r="B35" s="15">
        <f t="shared" si="0"/>
        <v>30</v>
      </c>
      <c r="C35" s="16">
        <f>IFERROR(VLOOKUP(DATA!G33,DATA!$G$4:$J$2149,1,FALSE),"")</f>
        <v>3009</v>
      </c>
      <c r="D35" s="16" t="str">
        <f>+IFERROR(VLOOKUP(C35,DATA!$G$4:$H$2000,2,FALSE),"")</f>
        <v xml:space="preserve">СЭРҮҮН ХАРААТ ХХК </v>
      </c>
      <c r="E35" s="16">
        <v>122000</v>
      </c>
      <c r="F35" s="237">
        <v>0</v>
      </c>
      <c r="G35" s="237">
        <f>+SUMIFS(JURNAL!G:G,JURNAL!E:E,E35,JURNAL!L:L,$C35,JURNAL!C:C,"&gt;="&amp;$M$3,JURNAL!C:C,"&lt;="&amp;$N$3)</f>
        <v>0</v>
      </c>
      <c r="H35" s="19">
        <f>+SUMIFS(JURNAL!H:H,JURNAL!E:E,E35,JURNAL!L:L,$C35,JURNAL!C:C,"&gt;="&amp;$M$3,JURNAL!C:C,"&lt;="&amp;$N$3)</f>
        <v>0</v>
      </c>
      <c r="I35" s="237">
        <f t="shared" si="1"/>
        <v>0</v>
      </c>
      <c r="J35" s="16">
        <v>320100</v>
      </c>
      <c r="K35" s="237">
        <v>0</v>
      </c>
      <c r="L35" s="237">
        <f>+SUMIFS(JURNAL!G:G,JURNAL!E:E,J35,JURNAL!L:L,$C35,JURNAL!C:C,"&gt;="&amp;$M$3,JURNAL!C:C,"&lt;="&amp;$N$3)</f>
        <v>0</v>
      </c>
      <c r="M35" s="19">
        <f>+SUMIFS(JURNAL!H:H,JURNAL!E:E,J35,JURNAL!L:L,$C35,JURNAL!C:C,"&gt;="&amp;$M$3,JURNAL!C:C,"&lt;="&amp;$N$3)</f>
        <v>0</v>
      </c>
      <c r="N35" s="20">
        <f t="shared" si="2"/>
        <v>0</v>
      </c>
      <c r="O35" s="237">
        <f t="shared" si="3"/>
        <v>0</v>
      </c>
      <c r="P35" s="16">
        <f t="shared" si="4"/>
        <v>320100</v>
      </c>
      <c r="Q35" s="16">
        <f t="shared" si="5"/>
        <v>122000</v>
      </c>
      <c r="R35" s="237">
        <f t="shared" si="6"/>
        <v>0</v>
      </c>
    </row>
    <row r="36" spans="2:18">
      <c r="B36" s="15">
        <f t="shared" si="0"/>
        <v>31</v>
      </c>
      <c r="C36" s="16">
        <f>IFERROR(VLOOKUP(DATA!G34,DATA!$G$4:$J$2149,1,FALSE),"")</f>
        <v>3010</v>
      </c>
      <c r="D36" s="16" t="str">
        <f>+IFERROR(VLOOKUP(C36,DATA!$G$4:$H$2000,2,FALSE),"")</f>
        <v xml:space="preserve">РЕНДЕР ХХК </v>
      </c>
      <c r="E36" s="16">
        <v>122000</v>
      </c>
      <c r="F36" s="237">
        <v>0</v>
      </c>
      <c r="G36" s="237">
        <f>+SUMIFS(JURNAL!G:G,JURNAL!E:E,E36,JURNAL!L:L,$C36,JURNAL!C:C,"&gt;="&amp;$M$3,JURNAL!C:C,"&lt;="&amp;$N$3)</f>
        <v>0</v>
      </c>
      <c r="H36" s="19">
        <f>+SUMIFS(JURNAL!H:H,JURNAL!E:E,E36,JURNAL!L:L,$C36,JURNAL!C:C,"&gt;="&amp;$M$3,JURNAL!C:C,"&lt;="&amp;$N$3)</f>
        <v>0</v>
      </c>
      <c r="I36" s="237">
        <f t="shared" si="1"/>
        <v>0</v>
      </c>
      <c r="J36" s="16">
        <v>320100</v>
      </c>
      <c r="K36" s="237">
        <v>0</v>
      </c>
      <c r="L36" s="237">
        <f>+SUMIFS(JURNAL!G:G,JURNAL!E:E,J36,JURNAL!L:L,$C36,JURNAL!C:C,"&gt;="&amp;$M$3,JURNAL!C:C,"&lt;="&amp;$N$3)</f>
        <v>0</v>
      </c>
      <c r="M36" s="19">
        <f>+SUMIFS(JURNAL!H:H,JURNAL!E:E,J36,JURNAL!L:L,$C36,JURNAL!C:C,"&gt;="&amp;$M$3,JURNAL!C:C,"&lt;="&amp;$N$3)</f>
        <v>0</v>
      </c>
      <c r="N36" s="20">
        <f t="shared" si="2"/>
        <v>0</v>
      </c>
      <c r="O36" s="237">
        <f t="shared" si="3"/>
        <v>0</v>
      </c>
      <c r="P36" s="16">
        <f t="shared" si="4"/>
        <v>320100</v>
      </c>
      <c r="Q36" s="16">
        <f t="shared" si="5"/>
        <v>122000</v>
      </c>
      <c r="R36" s="237">
        <f t="shared" si="6"/>
        <v>0</v>
      </c>
    </row>
    <row r="37" spans="2:18">
      <c r="B37" s="15">
        <f t="shared" si="0"/>
        <v>32</v>
      </c>
      <c r="C37" s="16">
        <f>IFERROR(VLOOKUP(DATA!G35,DATA!$G$4:$J$2149,1,FALSE),"")</f>
        <v>3011</v>
      </c>
      <c r="D37" s="16" t="str">
        <f>+IFERROR(VLOOKUP(C37,DATA!$G$4:$H$2000,2,FALSE),"")</f>
        <v xml:space="preserve">САКУРА КОНСТРАКШН ХХК </v>
      </c>
      <c r="E37" s="16">
        <v>122000</v>
      </c>
      <c r="F37" s="237">
        <v>0</v>
      </c>
      <c r="G37" s="237">
        <f>+SUMIFS(JURNAL!G:G,JURNAL!E:E,E37,JURNAL!L:L,$C37,JURNAL!C:C,"&gt;="&amp;$M$3,JURNAL!C:C,"&lt;="&amp;$N$3)</f>
        <v>0</v>
      </c>
      <c r="H37" s="19">
        <f>+SUMIFS(JURNAL!H:H,JURNAL!E:E,E37,JURNAL!L:L,$C37,JURNAL!C:C,"&gt;="&amp;$M$3,JURNAL!C:C,"&lt;="&amp;$N$3)</f>
        <v>0</v>
      </c>
      <c r="I37" s="237">
        <f t="shared" si="1"/>
        <v>0</v>
      </c>
      <c r="J37" s="16">
        <v>320100</v>
      </c>
      <c r="K37" s="237">
        <v>0</v>
      </c>
      <c r="L37" s="237">
        <f>+SUMIFS(JURNAL!G:G,JURNAL!E:E,J37,JURNAL!L:L,$C37,JURNAL!C:C,"&gt;="&amp;$M$3,JURNAL!C:C,"&lt;="&amp;$N$3)</f>
        <v>0</v>
      </c>
      <c r="M37" s="19">
        <f>+SUMIFS(JURNAL!H:H,JURNAL!E:E,J37,JURNAL!L:L,$C37,JURNAL!C:C,"&gt;="&amp;$M$3,JURNAL!C:C,"&lt;="&amp;$N$3)</f>
        <v>0</v>
      </c>
      <c r="N37" s="20">
        <f t="shared" si="2"/>
        <v>0</v>
      </c>
      <c r="O37" s="237">
        <f t="shared" si="3"/>
        <v>0</v>
      </c>
      <c r="P37" s="16">
        <f t="shared" si="4"/>
        <v>320100</v>
      </c>
      <c r="Q37" s="16">
        <f t="shared" si="5"/>
        <v>122000</v>
      </c>
      <c r="R37" s="237">
        <f t="shared" si="6"/>
        <v>0</v>
      </c>
    </row>
    <row r="38" spans="2:18">
      <c r="B38" s="15">
        <f t="shared" si="0"/>
        <v>33</v>
      </c>
      <c r="C38" s="16">
        <f>IFERROR(VLOOKUP(DATA!G36,DATA!$G$4:$J$2149,1,FALSE),"")</f>
        <v>3012</v>
      </c>
      <c r="D38" s="16" t="str">
        <f>+IFERROR(VLOOKUP(C38,DATA!$G$4:$H$2000,2,FALSE),"")</f>
        <v xml:space="preserve">УБПК ХХК </v>
      </c>
      <c r="E38" s="16">
        <v>122000</v>
      </c>
      <c r="F38" s="237">
        <v>0</v>
      </c>
      <c r="G38" s="237">
        <f>+SUMIFS(JURNAL!G:G,JURNAL!E:E,E38,JURNAL!L:L,$C38,JURNAL!C:C,"&gt;="&amp;$M$3,JURNAL!C:C,"&lt;="&amp;$N$3)</f>
        <v>0</v>
      </c>
      <c r="H38" s="19">
        <f>+SUMIFS(JURNAL!H:H,JURNAL!E:E,E38,JURNAL!L:L,$C38,JURNAL!C:C,"&gt;="&amp;$M$3,JURNAL!C:C,"&lt;="&amp;$N$3)</f>
        <v>0</v>
      </c>
      <c r="I38" s="237">
        <f t="shared" si="1"/>
        <v>0</v>
      </c>
      <c r="J38" s="16">
        <v>320100</v>
      </c>
      <c r="K38" s="237">
        <v>0</v>
      </c>
      <c r="L38" s="237">
        <f>+SUMIFS(JURNAL!G:G,JURNAL!E:E,J38,JURNAL!L:L,$C38,JURNAL!C:C,"&gt;="&amp;$M$3,JURNAL!C:C,"&lt;="&amp;$N$3)</f>
        <v>0</v>
      </c>
      <c r="M38" s="19">
        <f>+SUMIFS(JURNAL!H:H,JURNAL!E:E,J38,JURNAL!L:L,$C38,JURNAL!C:C,"&gt;="&amp;$M$3,JURNAL!C:C,"&lt;="&amp;$N$3)</f>
        <v>0</v>
      </c>
      <c r="N38" s="20">
        <f t="shared" si="2"/>
        <v>0</v>
      </c>
      <c r="O38" s="237">
        <f t="shared" si="3"/>
        <v>0</v>
      </c>
      <c r="P38" s="16">
        <f t="shared" si="4"/>
        <v>320100</v>
      </c>
      <c r="Q38" s="16">
        <f t="shared" si="5"/>
        <v>122000</v>
      </c>
      <c r="R38" s="237">
        <f t="shared" si="6"/>
        <v>0</v>
      </c>
    </row>
    <row r="39" spans="2:18">
      <c r="B39" s="15">
        <f t="shared" si="0"/>
        <v>34</v>
      </c>
      <c r="C39" s="16">
        <f>IFERROR(VLOOKUP(DATA!G37,DATA!$G$4:$J$2149,1,FALSE),"")</f>
        <v>3013</v>
      </c>
      <c r="D39" s="16" t="str">
        <f>+IFERROR(VLOOKUP(C39,DATA!$G$4:$H$2000,2,FALSE),"")</f>
        <v xml:space="preserve">МИАТ ХК </v>
      </c>
      <c r="E39" s="16">
        <v>122000</v>
      </c>
      <c r="F39" s="237">
        <v>0</v>
      </c>
      <c r="G39" s="237">
        <f>+SUMIFS(JURNAL!G:G,JURNAL!E:E,E39,JURNAL!L:L,$C39,JURNAL!C:C,"&gt;="&amp;$M$3,JURNAL!C:C,"&lt;="&amp;$N$3)</f>
        <v>0</v>
      </c>
      <c r="H39" s="19">
        <f>+SUMIFS(JURNAL!H:H,JURNAL!E:E,E39,JURNAL!L:L,$C39,JURNAL!C:C,"&gt;="&amp;$M$3,JURNAL!C:C,"&lt;="&amp;$N$3)</f>
        <v>0</v>
      </c>
      <c r="I39" s="237">
        <f t="shared" si="1"/>
        <v>0</v>
      </c>
      <c r="J39" s="16">
        <v>320100</v>
      </c>
      <c r="K39" s="237">
        <v>0</v>
      </c>
      <c r="L39" s="237">
        <f>+SUMIFS(JURNAL!G:G,JURNAL!E:E,J39,JURNAL!L:L,$C39,JURNAL!C:C,"&gt;="&amp;$M$3,JURNAL!C:C,"&lt;="&amp;$N$3)</f>
        <v>0</v>
      </c>
      <c r="M39" s="19">
        <f>+SUMIFS(JURNAL!H:H,JURNAL!E:E,J39,JURNAL!L:L,$C39,JURNAL!C:C,"&gt;="&amp;$M$3,JURNAL!C:C,"&lt;="&amp;$N$3)</f>
        <v>0</v>
      </c>
      <c r="N39" s="20">
        <f t="shared" si="2"/>
        <v>0</v>
      </c>
      <c r="O39" s="237">
        <f t="shared" si="3"/>
        <v>0</v>
      </c>
      <c r="P39" s="16">
        <f t="shared" si="4"/>
        <v>320100</v>
      </c>
      <c r="Q39" s="16">
        <f t="shared" si="5"/>
        <v>122000</v>
      </c>
      <c r="R39" s="237">
        <f t="shared" si="6"/>
        <v>0</v>
      </c>
    </row>
    <row r="40" spans="2:18">
      <c r="B40" s="15">
        <f t="shared" si="0"/>
        <v>35</v>
      </c>
      <c r="C40" s="16">
        <f>IFERROR(VLOOKUP(DATA!G38,DATA!$G$4:$J$2149,1,FALSE),"")</f>
        <v>3014</v>
      </c>
      <c r="D40" s="16" t="str">
        <f>+IFERROR(VLOOKUP(C40,DATA!$G$4:$H$2000,2,FALSE),"")</f>
        <v xml:space="preserve">БОЛОР ШИЛЭН ТОЛЬ ХХК </v>
      </c>
      <c r="E40" s="16">
        <v>122000</v>
      </c>
      <c r="F40" s="237">
        <v>0</v>
      </c>
      <c r="G40" s="237">
        <f>+SUMIFS(JURNAL!G:G,JURNAL!E:E,E40,JURNAL!L:L,$C40,JURNAL!C:C,"&gt;="&amp;$M$3,JURNAL!C:C,"&lt;="&amp;$N$3)</f>
        <v>0</v>
      </c>
      <c r="H40" s="19">
        <f>+SUMIFS(JURNAL!H:H,JURNAL!E:E,E40,JURNAL!L:L,$C40,JURNAL!C:C,"&gt;="&amp;$M$3,JURNAL!C:C,"&lt;="&amp;$N$3)</f>
        <v>0</v>
      </c>
      <c r="I40" s="237">
        <f t="shared" si="1"/>
        <v>0</v>
      </c>
      <c r="J40" s="16">
        <v>320100</v>
      </c>
      <c r="K40" s="237">
        <v>0</v>
      </c>
      <c r="L40" s="237">
        <f>+SUMIFS(JURNAL!G:G,JURNAL!E:E,J40,JURNAL!L:L,$C40,JURNAL!C:C,"&gt;="&amp;$M$3,JURNAL!C:C,"&lt;="&amp;$N$3)</f>
        <v>0</v>
      </c>
      <c r="M40" s="19">
        <f>+SUMIFS(JURNAL!H:H,JURNAL!E:E,J40,JURNAL!L:L,$C40,JURNAL!C:C,"&gt;="&amp;$M$3,JURNAL!C:C,"&lt;="&amp;$N$3)</f>
        <v>0</v>
      </c>
      <c r="N40" s="20">
        <f t="shared" si="2"/>
        <v>0</v>
      </c>
      <c r="O40" s="237">
        <f t="shared" si="3"/>
        <v>0</v>
      </c>
      <c r="P40" s="16">
        <f t="shared" si="4"/>
        <v>320100</v>
      </c>
      <c r="Q40" s="16">
        <f t="shared" si="5"/>
        <v>122000</v>
      </c>
      <c r="R40" s="237">
        <f t="shared" si="6"/>
        <v>0</v>
      </c>
    </row>
    <row r="41" spans="2:18">
      <c r="B41" s="15">
        <f t="shared" si="0"/>
        <v>36</v>
      </c>
      <c r="C41" s="16">
        <f>IFERROR(VLOOKUP(DATA!G39,DATA!$G$4:$J$2149,1,FALSE),"")</f>
        <v>3015</v>
      </c>
      <c r="D41" s="16" t="str">
        <f>+IFERROR(VLOOKUP(C41,DATA!$G$4:$H$2000,2,FALSE),"")</f>
        <v xml:space="preserve">АТМОР ГРУПП ХХК </v>
      </c>
      <c r="E41" s="16">
        <v>122000</v>
      </c>
      <c r="F41" s="237">
        <v>0</v>
      </c>
      <c r="G41" s="237">
        <f>+SUMIFS(JURNAL!G:G,JURNAL!E:E,E41,JURNAL!L:L,$C41,JURNAL!C:C,"&gt;="&amp;$M$3,JURNAL!C:C,"&lt;="&amp;$N$3)</f>
        <v>0</v>
      </c>
      <c r="H41" s="19">
        <f>+SUMIFS(JURNAL!H:H,JURNAL!E:E,E41,JURNAL!L:L,$C41,JURNAL!C:C,"&gt;="&amp;$M$3,JURNAL!C:C,"&lt;="&amp;$N$3)</f>
        <v>0</v>
      </c>
      <c r="I41" s="237">
        <f t="shared" si="1"/>
        <v>0</v>
      </c>
      <c r="J41" s="16">
        <v>320100</v>
      </c>
      <c r="K41" s="237">
        <v>0</v>
      </c>
      <c r="L41" s="237">
        <f>+SUMIFS(JURNAL!G:G,JURNAL!E:E,J41,JURNAL!L:L,$C41,JURNAL!C:C,"&gt;="&amp;$M$3,JURNAL!C:C,"&lt;="&amp;$N$3)</f>
        <v>0</v>
      </c>
      <c r="M41" s="19">
        <f>+SUMIFS(JURNAL!H:H,JURNAL!E:E,J41,JURNAL!L:L,$C41,JURNAL!C:C,"&gt;="&amp;$M$3,JURNAL!C:C,"&lt;="&amp;$N$3)</f>
        <v>0</v>
      </c>
      <c r="N41" s="20">
        <f t="shared" si="2"/>
        <v>0</v>
      </c>
      <c r="O41" s="237">
        <f t="shared" si="3"/>
        <v>0</v>
      </c>
      <c r="P41" s="16">
        <f t="shared" si="4"/>
        <v>320100</v>
      </c>
      <c r="Q41" s="16">
        <f t="shared" si="5"/>
        <v>122000</v>
      </c>
      <c r="R41" s="237">
        <f t="shared" si="6"/>
        <v>0</v>
      </c>
    </row>
    <row r="42" spans="2:18">
      <c r="B42" s="15">
        <f t="shared" si="0"/>
        <v>37</v>
      </c>
      <c r="C42" s="16">
        <f>IFERROR(VLOOKUP(DATA!G40,DATA!$G$4:$J$2149,1,FALSE),"")</f>
        <v>3016</v>
      </c>
      <c r="D42" s="16" t="str">
        <f>+IFERROR(VLOOKUP(C42,DATA!$G$4:$H$2000,2,FALSE),"")</f>
        <v xml:space="preserve">СТИЙЛ АРТ ХХК </v>
      </c>
      <c r="E42" s="16">
        <v>122000</v>
      </c>
      <c r="F42" s="237">
        <v>0</v>
      </c>
      <c r="G42" s="237">
        <f>+SUMIFS(JURNAL!G:G,JURNAL!E:E,E42,JURNAL!L:L,$C42,JURNAL!C:C,"&gt;="&amp;$M$3,JURNAL!C:C,"&lt;="&amp;$N$3)</f>
        <v>0</v>
      </c>
      <c r="H42" s="19">
        <f>+SUMIFS(JURNAL!H:H,JURNAL!E:E,E42,JURNAL!L:L,$C42,JURNAL!C:C,"&gt;="&amp;$M$3,JURNAL!C:C,"&lt;="&amp;$N$3)</f>
        <v>0</v>
      </c>
      <c r="I42" s="237">
        <f t="shared" si="1"/>
        <v>0</v>
      </c>
      <c r="J42" s="16">
        <v>320100</v>
      </c>
      <c r="K42" s="237">
        <v>0</v>
      </c>
      <c r="L42" s="237">
        <f>+SUMIFS(JURNAL!G:G,JURNAL!E:E,J42,JURNAL!L:L,$C42,JURNAL!C:C,"&gt;="&amp;$M$3,JURNAL!C:C,"&lt;="&amp;$N$3)</f>
        <v>0</v>
      </c>
      <c r="M42" s="19">
        <f>+SUMIFS(JURNAL!H:H,JURNAL!E:E,J42,JURNAL!L:L,$C42,JURNAL!C:C,"&gt;="&amp;$M$3,JURNAL!C:C,"&lt;="&amp;$N$3)</f>
        <v>0</v>
      </c>
      <c r="N42" s="20">
        <f t="shared" si="2"/>
        <v>0</v>
      </c>
      <c r="O42" s="237">
        <f t="shared" si="3"/>
        <v>0</v>
      </c>
      <c r="P42" s="16">
        <f t="shared" si="4"/>
        <v>320100</v>
      </c>
      <c r="Q42" s="16">
        <f t="shared" si="5"/>
        <v>122000</v>
      </c>
      <c r="R42" s="237">
        <f t="shared" si="6"/>
        <v>0</v>
      </c>
    </row>
    <row r="43" spans="2:18">
      <c r="B43" s="15">
        <f t="shared" si="0"/>
        <v>38</v>
      </c>
      <c r="C43" s="16">
        <f>IFERROR(VLOOKUP(DATA!G41,DATA!$G$4:$J$2149,1,FALSE),"")</f>
        <v>3017</v>
      </c>
      <c r="D43" s="16" t="str">
        <f>+IFERROR(VLOOKUP(C43,DATA!$G$4:$H$2000,2,FALSE),"")</f>
        <v xml:space="preserve">ВОС ХХК </v>
      </c>
      <c r="E43" s="16">
        <v>122000</v>
      </c>
      <c r="F43" s="237">
        <v>0</v>
      </c>
      <c r="G43" s="237">
        <f>+SUMIFS(JURNAL!G:G,JURNAL!E:E,E43,JURNAL!L:L,$C43,JURNAL!C:C,"&gt;="&amp;$M$3,JURNAL!C:C,"&lt;="&amp;$N$3)</f>
        <v>0</v>
      </c>
      <c r="H43" s="19">
        <f>+SUMIFS(JURNAL!H:H,JURNAL!E:E,E43,JURNAL!L:L,$C43,JURNAL!C:C,"&gt;="&amp;$M$3,JURNAL!C:C,"&lt;="&amp;$N$3)</f>
        <v>0</v>
      </c>
      <c r="I43" s="237">
        <f t="shared" si="1"/>
        <v>0</v>
      </c>
      <c r="J43" s="16">
        <v>320100</v>
      </c>
      <c r="K43" s="237">
        <v>0</v>
      </c>
      <c r="L43" s="237">
        <f>+SUMIFS(JURNAL!G:G,JURNAL!E:E,J43,JURNAL!L:L,$C43,JURNAL!C:C,"&gt;="&amp;$M$3,JURNAL!C:C,"&lt;="&amp;$N$3)</f>
        <v>0</v>
      </c>
      <c r="M43" s="19">
        <f>+SUMIFS(JURNAL!H:H,JURNAL!E:E,J43,JURNAL!L:L,$C43,JURNAL!C:C,"&gt;="&amp;$M$3,JURNAL!C:C,"&lt;="&amp;$N$3)</f>
        <v>0</v>
      </c>
      <c r="N43" s="20">
        <f t="shared" si="2"/>
        <v>0</v>
      </c>
      <c r="O43" s="237">
        <f t="shared" si="3"/>
        <v>0</v>
      </c>
      <c r="P43" s="16">
        <f t="shared" si="4"/>
        <v>320100</v>
      </c>
      <c r="Q43" s="16">
        <f t="shared" si="5"/>
        <v>122000</v>
      </c>
      <c r="R43" s="237">
        <f t="shared" si="6"/>
        <v>0</v>
      </c>
    </row>
    <row r="44" spans="2:18">
      <c r="B44" s="15">
        <f t="shared" si="0"/>
        <v>39</v>
      </c>
      <c r="C44" s="16">
        <f>IFERROR(VLOOKUP(DATA!G42,DATA!$G$4:$J$2149,1,FALSE),"")</f>
        <v>3018</v>
      </c>
      <c r="D44" s="16" t="str">
        <f>+IFERROR(VLOOKUP(C44,DATA!$G$4:$H$2000,2,FALSE),"")</f>
        <v xml:space="preserve">ВЮРТ МОНГОЛИЯ ХХК </v>
      </c>
      <c r="E44" s="16">
        <v>122000</v>
      </c>
      <c r="F44" s="237">
        <v>0</v>
      </c>
      <c r="G44" s="237">
        <f>+SUMIFS(JURNAL!G:G,JURNAL!E:E,E44,JURNAL!L:L,$C44,JURNAL!C:C,"&gt;="&amp;$M$3,JURNAL!C:C,"&lt;="&amp;$N$3)</f>
        <v>0</v>
      </c>
      <c r="H44" s="19">
        <f>+SUMIFS(JURNAL!H:H,JURNAL!E:E,E44,JURNAL!L:L,$C44,JURNAL!C:C,"&gt;="&amp;$M$3,JURNAL!C:C,"&lt;="&amp;$N$3)</f>
        <v>0</v>
      </c>
      <c r="I44" s="237">
        <f t="shared" si="1"/>
        <v>0</v>
      </c>
      <c r="J44" s="16">
        <v>320100</v>
      </c>
      <c r="K44" s="237">
        <v>0</v>
      </c>
      <c r="L44" s="237">
        <f>+SUMIFS(JURNAL!G:G,JURNAL!E:E,J44,JURNAL!L:L,$C44,JURNAL!C:C,"&gt;="&amp;$M$3,JURNAL!C:C,"&lt;="&amp;$N$3)</f>
        <v>0</v>
      </c>
      <c r="M44" s="19">
        <f>+SUMIFS(JURNAL!H:H,JURNAL!E:E,J44,JURNAL!L:L,$C44,JURNAL!C:C,"&gt;="&amp;$M$3,JURNAL!C:C,"&lt;="&amp;$N$3)</f>
        <v>0</v>
      </c>
      <c r="N44" s="20">
        <f t="shared" si="2"/>
        <v>0</v>
      </c>
      <c r="O44" s="237">
        <f t="shared" si="3"/>
        <v>0</v>
      </c>
      <c r="P44" s="16">
        <f t="shared" si="4"/>
        <v>320100</v>
      </c>
      <c r="Q44" s="16">
        <f t="shared" si="5"/>
        <v>122000</v>
      </c>
      <c r="R44" s="237">
        <f t="shared" si="6"/>
        <v>0</v>
      </c>
    </row>
    <row r="45" spans="2:18">
      <c r="B45" s="15">
        <f t="shared" si="0"/>
        <v>40</v>
      </c>
      <c r="C45" s="16">
        <f>IFERROR(VLOOKUP(DATA!G43,DATA!$G$4:$J$2149,1,FALSE),"")</f>
        <v>3019</v>
      </c>
      <c r="D45" s="16" t="str">
        <f>+IFERROR(VLOOKUP(C45,DATA!$G$4:$H$2000,2,FALSE),"")</f>
        <v xml:space="preserve">ГЭСЭР БИЛЭГ ХХК </v>
      </c>
      <c r="E45" s="16">
        <v>122000</v>
      </c>
      <c r="F45" s="237">
        <v>0</v>
      </c>
      <c r="G45" s="237">
        <f>+SUMIFS(JURNAL!G:G,JURNAL!E:E,E45,JURNAL!L:L,$C45,JURNAL!C:C,"&gt;="&amp;$M$3,JURNAL!C:C,"&lt;="&amp;$N$3)</f>
        <v>0</v>
      </c>
      <c r="H45" s="19">
        <f>+SUMIFS(JURNAL!H:H,JURNAL!E:E,E45,JURNAL!L:L,$C45,JURNAL!C:C,"&gt;="&amp;$M$3,JURNAL!C:C,"&lt;="&amp;$N$3)</f>
        <v>0</v>
      </c>
      <c r="I45" s="237">
        <f t="shared" si="1"/>
        <v>0</v>
      </c>
      <c r="J45" s="16">
        <v>320100</v>
      </c>
      <c r="K45" s="237">
        <v>0</v>
      </c>
      <c r="L45" s="237">
        <f>+SUMIFS(JURNAL!G:G,JURNAL!E:E,J45,JURNAL!L:L,$C45,JURNAL!C:C,"&gt;="&amp;$M$3,JURNAL!C:C,"&lt;="&amp;$N$3)</f>
        <v>0</v>
      </c>
      <c r="M45" s="19">
        <f>+SUMIFS(JURNAL!H:H,JURNAL!E:E,J45,JURNAL!L:L,$C45,JURNAL!C:C,"&gt;="&amp;$M$3,JURNAL!C:C,"&lt;="&amp;$N$3)</f>
        <v>0</v>
      </c>
      <c r="N45" s="20">
        <f t="shared" si="2"/>
        <v>0</v>
      </c>
      <c r="O45" s="237">
        <f t="shared" si="3"/>
        <v>0</v>
      </c>
      <c r="P45" s="16">
        <f t="shared" si="4"/>
        <v>320100</v>
      </c>
      <c r="Q45" s="16">
        <f t="shared" si="5"/>
        <v>122000</v>
      </c>
      <c r="R45" s="237">
        <f t="shared" si="6"/>
        <v>0</v>
      </c>
    </row>
    <row r="46" spans="2:18">
      <c r="B46" s="15">
        <f t="shared" si="0"/>
        <v>41</v>
      </c>
      <c r="C46" s="16">
        <f>IFERROR(VLOOKUP(DATA!G44,DATA!$G$4:$J$2149,1,FALSE),"")</f>
        <v>3020</v>
      </c>
      <c r="D46" s="16" t="str">
        <f>+IFERROR(VLOOKUP(C46,DATA!$G$4:$H$2000,2,FALSE),"")</f>
        <v xml:space="preserve">ЖЭЙ ЭЛ КЭЙ ЭМ ХХК </v>
      </c>
      <c r="E46" s="16">
        <v>122000</v>
      </c>
      <c r="F46" s="237">
        <v>0</v>
      </c>
      <c r="G46" s="237">
        <f>+SUMIFS(JURNAL!G:G,JURNAL!E:E,E46,JURNAL!L:L,$C46,JURNAL!C:C,"&gt;="&amp;$M$3,JURNAL!C:C,"&lt;="&amp;$N$3)</f>
        <v>0</v>
      </c>
      <c r="H46" s="19">
        <f>+SUMIFS(JURNAL!H:H,JURNAL!E:E,E46,JURNAL!L:L,$C46,JURNAL!C:C,"&gt;="&amp;$M$3,JURNAL!C:C,"&lt;="&amp;$N$3)</f>
        <v>0</v>
      </c>
      <c r="I46" s="237">
        <f t="shared" si="1"/>
        <v>0</v>
      </c>
      <c r="J46" s="16">
        <v>320100</v>
      </c>
      <c r="K46" s="237">
        <v>0</v>
      </c>
      <c r="L46" s="237">
        <f>+SUMIFS(JURNAL!G:G,JURNAL!E:E,J46,JURNAL!L:L,$C46,JURNAL!C:C,"&gt;="&amp;$M$3,JURNAL!C:C,"&lt;="&amp;$N$3)</f>
        <v>0</v>
      </c>
      <c r="M46" s="19">
        <f>+SUMIFS(JURNAL!H:H,JURNAL!E:E,J46,JURNAL!L:L,$C46,JURNAL!C:C,"&gt;="&amp;$M$3,JURNAL!C:C,"&lt;="&amp;$N$3)</f>
        <v>0</v>
      </c>
      <c r="N46" s="20">
        <f t="shared" si="2"/>
        <v>0</v>
      </c>
      <c r="O46" s="237">
        <f t="shared" si="3"/>
        <v>0</v>
      </c>
      <c r="P46" s="16">
        <f t="shared" si="4"/>
        <v>320100</v>
      </c>
      <c r="Q46" s="16">
        <f t="shared" si="5"/>
        <v>122000</v>
      </c>
      <c r="R46" s="237">
        <f t="shared" si="6"/>
        <v>0</v>
      </c>
    </row>
    <row r="47" spans="2:18">
      <c r="B47" s="15">
        <f t="shared" si="0"/>
        <v>42</v>
      </c>
      <c r="C47" s="16">
        <f>IFERROR(VLOOKUP(DATA!G45,DATA!$G$4:$J$2149,1,FALSE),"")</f>
        <v>3021</v>
      </c>
      <c r="D47" s="16" t="str">
        <f>+IFERROR(VLOOKUP(C47,DATA!$G$4:$H$2000,2,FALSE),"")</f>
        <v>БАНДИА ХХК</v>
      </c>
      <c r="E47" s="16">
        <v>122000</v>
      </c>
      <c r="F47" s="237">
        <v>0</v>
      </c>
      <c r="G47" s="237">
        <f>+SUMIFS(JURNAL!G:G,JURNAL!E:E,E47,JURNAL!L:L,$C47,JURNAL!C:C,"&gt;="&amp;$M$3,JURNAL!C:C,"&lt;="&amp;$N$3)</f>
        <v>0</v>
      </c>
      <c r="H47" s="19">
        <f>+SUMIFS(JURNAL!H:H,JURNAL!E:E,E47,JURNAL!L:L,$C47,JURNAL!C:C,"&gt;="&amp;$M$3,JURNAL!C:C,"&lt;="&amp;$N$3)</f>
        <v>0</v>
      </c>
      <c r="I47" s="237">
        <f t="shared" si="1"/>
        <v>0</v>
      </c>
      <c r="J47" s="16">
        <v>320100</v>
      </c>
      <c r="K47" s="237">
        <v>0</v>
      </c>
      <c r="L47" s="237">
        <f>+SUMIFS(JURNAL!G:G,JURNAL!E:E,J47,JURNAL!L:L,$C47,JURNAL!C:C,"&gt;="&amp;$M$3,JURNAL!C:C,"&lt;="&amp;$N$3)</f>
        <v>2049300</v>
      </c>
      <c r="M47" s="19">
        <f>+SUMIFS(JURNAL!H:H,JURNAL!E:E,J47,JURNAL!L:L,$C47,JURNAL!C:C,"&gt;="&amp;$M$3,JURNAL!C:C,"&lt;="&amp;$N$3)</f>
        <v>2049300</v>
      </c>
      <c r="N47" s="20">
        <f t="shared" si="2"/>
        <v>0</v>
      </c>
      <c r="O47" s="237">
        <f t="shared" si="3"/>
        <v>0</v>
      </c>
      <c r="P47" s="16">
        <f t="shared" si="4"/>
        <v>320100</v>
      </c>
      <c r="Q47" s="16">
        <f t="shared" si="5"/>
        <v>122000</v>
      </c>
      <c r="R47" s="237">
        <f t="shared" si="6"/>
        <v>0</v>
      </c>
    </row>
    <row r="48" spans="2:18">
      <c r="B48" s="15">
        <f t="shared" si="0"/>
        <v>43</v>
      </c>
      <c r="C48" s="16">
        <f>IFERROR(VLOOKUP(DATA!G46,DATA!$G$4:$J$2149,1,FALSE),"")</f>
        <v>3022</v>
      </c>
      <c r="D48" s="16" t="str">
        <f>+IFERROR(VLOOKUP(C48,DATA!$G$4:$H$2000,2,FALSE),"")</f>
        <v xml:space="preserve">ИННОМН ХХК </v>
      </c>
      <c r="E48" s="16">
        <v>122000</v>
      </c>
      <c r="F48" s="237">
        <v>0</v>
      </c>
      <c r="G48" s="237">
        <f>+SUMIFS(JURNAL!G:G,JURNAL!E:E,E48,JURNAL!L:L,$C48,JURNAL!C:C,"&gt;="&amp;$M$3,JURNAL!C:C,"&lt;="&amp;$N$3)</f>
        <v>0</v>
      </c>
      <c r="H48" s="19">
        <f>+SUMIFS(JURNAL!H:H,JURNAL!E:E,E48,JURNAL!L:L,$C48,JURNAL!C:C,"&gt;="&amp;$M$3,JURNAL!C:C,"&lt;="&amp;$N$3)</f>
        <v>0</v>
      </c>
      <c r="I48" s="237">
        <f t="shared" si="1"/>
        <v>0</v>
      </c>
      <c r="J48" s="16">
        <v>320100</v>
      </c>
      <c r="K48" s="237">
        <v>0</v>
      </c>
      <c r="L48" s="237">
        <f>+SUMIFS(JURNAL!G:G,JURNAL!E:E,J48,JURNAL!L:L,$C48,JURNAL!C:C,"&gt;="&amp;$M$3,JURNAL!C:C,"&lt;="&amp;$N$3)</f>
        <v>0</v>
      </c>
      <c r="M48" s="19">
        <f>+SUMIFS(JURNAL!H:H,JURNAL!E:E,J48,JURNAL!L:L,$C48,JURNAL!C:C,"&gt;="&amp;$M$3,JURNAL!C:C,"&lt;="&amp;$N$3)</f>
        <v>0</v>
      </c>
      <c r="N48" s="20">
        <f t="shared" si="2"/>
        <v>0</v>
      </c>
      <c r="O48" s="237">
        <f t="shared" si="3"/>
        <v>0</v>
      </c>
      <c r="P48" s="16">
        <f t="shared" si="4"/>
        <v>320100</v>
      </c>
      <c r="Q48" s="16">
        <f t="shared" si="5"/>
        <v>122000</v>
      </c>
      <c r="R48" s="237">
        <f t="shared" si="6"/>
        <v>0</v>
      </c>
    </row>
    <row r="49" spans="2:18">
      <c r="B49" s="15">
        <f t="shared" si="0"/>
        <v>44</v>
      </c>
      <c r="C49" s="16">
        <f>IFERROR(VLOOKUP(DATA!G47,DATA!$G$4:$J$2149,1,FALSE),"")</f>
        <v>3023</v>
      </c>
      <c r="D49" s="16" t="str">
        <f>+IFERROR(VLOOKUP(C49,DATA!$G$4:$H$2000,2,FALSE),"")</f>
        <v>ЭГЭЛ ХХК</v>
      </c>
      <c r="E49" s="16">
        <v>122000</v>
      </c>
      <c r="F49" s="237">
        <v>0</v>
      </c>
      <c r="G49" s="237">
        <f>+SUMIFS(JURNAL!G:G,JURNAL!E:E,E49,JURNAL!L:L,$C49,JURNAL!C:C,"&gt;="&amp;$M$3,JURNAL!C:C,"&lt;="&amp;$N$3)</f>
        <v>0</v>
      </c>
      <c r="H49" s="19">
        <f>+SUMIFS(JURNAL!H:H,JURNAL!E:E,E49,JURNAL!L:L,$C49,JURNAL!C:C,"&gt;="&amp;$M$3,JURNAL!C:C,"&lt;="&amp;$N$3)</f>
        <v>0</v>
      </c>
      <c r="I49" s="237">
        <f t="shared" si="1"/>
        <v>0</v>
      </c>
      <c r="J49" s="16">
        <v>320100</v>
      </c>
      <c r="K49" s="237">
        <v>0</v>
      </c>
      <c r="L49" s="237">
        <f>+SUMIFS(JURNAL!G:G,JURNAL!E:E,J49,JURNAL!L:L,$C49,JURNAL!C:C,"&gt;="&amp;$M$3,JURNAL!C:C,"&lt;="&amp;$N$3)</f>
        <v>0</v>
      </c>
      <c r="M49" s="19">
        <f>+SUMIFS(JURNAL!H:H,JURNAL!E:E,J49,JURNAL!L:L,$C49,JURNAL!C:C,"&gt;="&amp;$M$3,JURNAL!C:C,"&lt;="&amp;$N$3)</f>
        <v>0</v>
      </c>
      <c r="N49" s="20">
        <f t="shared" si="2"/>
        <v>0</v>
      </c>
      <c r="O49" s="237">
        <f t="shared" si="3"/>
        <v>0</v>
      </c>
      <c r="P49" s="16">
        <f t="shared" si="4"/>
        <v>320100</v>
      </c>
      <c r="Q49" s="16">
        <f t="shared" si="5"/>
        <v>122000</v>
      </c>
      <c r="R49" s="237">
        <f t="shared" si="6"/>
        <v>0</v>
      </c>
    </row>
    <row r="50" spans="2:18">
      <c r="B50" s="15">
        <f t="shared" si="0"/>
        <v>45</v>
      </c>
      <c r="C50" s="16">
        <f>IFERROR(VLOOKUP(DATA!G48,DATA!$G$4:$J$2149,1,FALSE),"")</f>
        <v>3024</v>
      </c>
      <c r="D50" s="16" t="str">
        <f>+IFERROR(VLOOKUP(C50,DATA!$G$4:$H$2000,2,FALSE),"")</f>
        <v xml:space="preserve">ЭМБАССИ РЭЗИДЭНС ХХК </v>
      </c>
      <c r="E50" s="16">
        <v>122000</v>
      </c>
      <c r="F50" s="237">
        <v>0</v>
      </c>
      <c r="G50" s="237">
        <f>+SUMIFS(JURNAL!G:G,JURNAL!E:E,E50,JURNAL!L:L,$C50,JURNAL!C:C,"&gt;="&amp;$M$3,JURNAL!C:C,"&lt;="&amp;$N$3)</f>
        <v>0</v>
      </c>
      <c r="H50" s="19">
        <f>+SUMIFS(JURNAL!H:H,JURNAL!E:E,E50,JURNAL!L:L,$C50,JURNAL!C:C,"&gt;="&amp;$M$3,JURNAL!C:C,"&lt;="&amp;$N$3)</f>
        <v>0</v>
      </c>
      <c r="I50" s="237">
        <f t="shared" si="1"/>
        <v>0</v>
      </c>
      <c r="J50" s="16">
        <v>320100</v>
      </c>
      <c r="K50" s="237">
        <v>0</v>
      </c>
      <c r="L50" s="237">
        <f>+SUMIFS(JURNAL!G:G,JURNAL!E:E,J50,JURNAL!L:L,$C50,JURNAL!C:C,"&gt;="&amp;$M$3,JURNAL!C:C,"&lt;="&amp;$N$3)</f>
        <v>0</v>
      </c>
      <c r="M50" s="19">
        <f>+SUMIFS(JURNAL!H:H,JURNAL!E:E,J50,JURNAL!L:L,$C50,JURNAL!C:C,"&gt;="&amp;$M$3,JURNAL!C:C,"&lt;="&amp;$N$3)</f>
        <v>0</v>
      </c>
      <c r="N50" s="20">
        <f t="shared" si="2"/>
        <v>0</v>
      </c>
      <c r="O50" s="237">
        <f t="shared" si="3"/>
        <v>0</v>
      </c>
      <c r="P50" s="16">
        <f t="shared" si="4"/>
        <v>320100</v>
      </c>
      <c r="Q50" s="16">
        <f t="shared" si="5"/>
        <v>122000</v>
      </c>
      <c r="R50" s="237">
        <f t="shared" si="6"/>
        <v>0</v>
      </c>
    </row>
    <row r="51" spans="2:18">
      <c r="B51" s="15">
        <f t="shared" si="0"/>
        <v>46</v>
      </c>
      <c r="C51" s="16">
        <f>IFERROR(VLOOKUP(DATA!G49,DATA!$G$4:$J$2149,1,FALSE),"")</f>
        <v>3025</v>
      </c>
      <c r="D51" s="16" t="str">
        <f>+IFERROR(VLOOKUP(C51,DATA!$G$4:$H$2000,2,FALSE),"")</f>
        <v xml:space="preserve">ТОСОН ВҮҮД ХХК </v>
      </c>
      <c r="E51" s="16">
        <v>122000</v>
      </c>
      <c r="F51" s="237">
        <v>0</v>
      </c>
      <c r="G51" s="237">
        <f>+SUMIFS(JURNAL!G:G,JURNAL!E:E,E51,JURNAL!L:L,$C51,JURNAL!C:C,"&gt;="&amp;$M$3,JURNAL!C:C,"&lt;="&amp;$N$3)</f>
        <v>0</v>
      </c>
      <c r="H51" s="19">
        <f>+SUMIFS(JURNAL!H:H,JURNAL!E:E,E51,JURNAL!L:L,$C51,JURNAL!C:C,"&gt;="&amp;$M$3,JURNAL!C:C,"&lt;="&amp;$N$3)</f>
        <v>0</v>
      </c>
      <c r="I51" s="237">
        <f t="shared" si="1"/>
        <v>0</v>
      </c>
      <c r="J51" s="16">
        <v>320100</v>
      </c>
      <c r="K51" s="237">
        <v>0</v>
      </c>
      <c r="L51" s="237">
        <f>+SUMIFS(JURNAL!G:G,JURNAL!E:E,J51,JURNAL!L:L,$C51,JURNAL!C:C,"&gt;="&amp;$M$3,JURNAL!C:C,"&lt;="&amp;$N$3)</f>
        <v>0</v>
      </c>
      <c r="M51" s="19">
        <f>+SUMIFS(JURNAL!H:H,JURNAL!E:E,J51,JURNAL!L:L,$C51,JURNAL!C:C,"&gt;="&amp;$M$3,JURNAL!C:C,"&lt;="&amp;$N$3)</f>
        <v>0</v>
      </c>
      <c r="N51" s="20">
        <f t="shared" si="2"/>
        <v>0</v>
      </c>
      <c r="O51" s="237">
        <f t="shared" si="3"/>
        <v>0</v>
      </c>
      <c r="P51" s="16">
        <f t="shared" si="4"/>
        <v>320100</v>
      </c>
      <c r="Q51" s="16">
        <f t="shared" si="5"/>
        <v>122000</v>
      </c>
      <c r="R51" s="237">
        <f t="shared" si="6"/>
        <v>0</v>
      </c>
    </row>
    <row r="52" spans="2:18">
      <c r="B52" s="15">
        <f t="shared" ref="B52:B71" si="7">+IF(C52="","",ROW()-5)</f>
        <v>47</v>
      </c>
      <c r="C52" s="16">
        <f>IFERROR(VLOOKUP(DATA!G50,DATA!$G$4:$J$2149,1,FALSE),"")</f>
        <v>3026</v>
      </c>
      <c r="D52" s="16" t="str">
        <f>+IFERROR(VLOOKUP(C52,DATA!$G$4:$H$2000,2,FALSE),"")</f>
        <v xml:space="preserve">ВОРЛДНЬЮ МЕДИА ХХК </v>
      </c>
      <c r="E52" s="16">
        <v>122000</v>
      </c>
      <c r="F52" s="237">
        <v>0</v>
      </c>
      <c r="G52" s="237">
        <f>+SUMIFS(JURNAL!G:G,JURNAL!E:E,E52,JURNAL!L:L,$C52,JURNAL!C:C,"&gt;="&amp;$M$3,JURNAL!C:C,"&lt;="&amp;$N$3)</f>
        <v>0</v>
      </c>
      <c r="H52" s="19">
        <f>+SUMIFS(JURNAL!H:H,JURNAL!E:E,E52,JURNAL!L:L,$C52,JURNAL!C:C,"&gt;="&amp;$M$3,JURNAL!C:C,"&lt;="&amp;$N$3)</f>
        <v>0</v>
      </c>
      <c r="I52" s="237">
        <f t="shared" si="1"/>
        <v>0</v>
      </c>
      <c r="J52" s="16">
        <v>320100</v>
      </c>
      <c r="K52" s="237">
        <v>0</v>
      </c>
      <c r="L52" s="237">
        <f>+SUMIFS(JURNAL!G:G,JURNAL!E:E,J52,JURNAL!L:L,$C52,JURNAL!C:C,"&gt;="&amp;$M$3,JURNAL!C:C,"&lt;="&amp;$N$3)</f>
        <v>0</v>
      </c>
      <c r="M52" s="19">
        <f>+SUMIFS(JURNAL!H:H,JURNAL!E:E,J52,JURNAL!L:L,$C52,JURNAL!C:C,"&gt;="&amp;$M$3,JURNAL!C:C,"&lt;="&amp;$N$3)</f>
        <v>0</v>
      </c>
      <c r="N52" s="20">
        <f t="shared" si="2"/>
        <v>0</v>
      </c>
      <c r="O52" s="237">
        <f t="shared" si="3"/>
        <v>0</v>
      </c>
      <c r="P52" s="16">
        <f t="shared" si="4"/>
        <v>320100</v>
      </c>
      <c r="Q52" s="16">
        <f t="shared" si="5"/>
        <v>122000</v>
      </c>
      <c r="R52" s="237">
        <f t="shared" si="6"/>
        <v>0</v>
      </c>
    </row>
    <row r="53" spans="2:18">
      <c r="B53" s="15">
        <f t="shared" si="7"/>
        <v>48</v>
      </c>
      <c r="C53" s="16">
        <f>IFERROR(VLOOKUP(DATA!G51,DATA!$G$4:$J$2149,1,FALSE),"")</f>
        <v>3027</v>
      </c>
      <c r="D53" s="16" t="str">
        <f>+IFERROR(VLOOKUP(C53,DATA!$G$4:$H$2000,2,FALSE),"")</f>
        <v xml:space="preserve">МОНГОЛЫН ХҮҮХДИЙН САН </v>
      </c>
      <c r="E53" s="16">
        <v>122000</v>
      </c>
      <c r="F53" s="237">
        <v>0</v>
      </c>
      <c r="G53" s="237">
        <f>+SUMIFS(JURNAL!G:G,JURNAL!E:E,E53,JURNAL!L:L,$C53,JURNAL!C:C,"&gt;="&amp;$M$3,JURNAL!C:C,"&lt;="&amp;$N$3)</f>
        <v>0</v>
      </c>
      <c r="H53" s="19">
        <f>+SUMIFS(JURNAL!H:H,JURNAL!E:E,E53,JURNAL!L:L,$C53,JURNAL!C:C,"&gt;="&amp;$M$3,JURNAL!C:C,"&lt;="&amp;$N$3)</f>
        <v>0</v>
      </c>
      <c r="I53" s="237">
        <f t="shared" si="1"/>
        <v>0</v>
      </c>
      <c r="J53" s="16">
        <v>320100</v>
      </c>
      <c r="K53" s="237">
        <v>0</v>
      </c>
      <c r="L53" s="237">
        <f>+SUMIFS(JURNAL!G:G,JURNAL!E:E,J53,JURNAL!L:L,$C53,JURNAL!C:C,"&gt;="&amp;$M$3,JURNAL!C:C,"&lt;="&amp;$N$3)</f>
        <v>0</v>
      </c>
      <c r="M53" s="19">
        <f>+SUMIFS(JURNAL!H:H,JURNAL!E:E,J53,JURNAL!L:L,$C53,JURNAL!C:C,"&gt;="&amp;$M$3,JURNAL!C:C,"&lt;="&amp;$N$3)</f>
        <v>0</v>
      </c>
      <c r="N53" s="20">
        <f t="shared" si="2"/>
        <v>0</v>
      </c>
      <c r="O53" s="237">
        <f t="shared" si="3"/>
        <v>0</v>
      </c>
      <c r="P53" s="16">
        <f t="shared" si="4"/>
        <v>320100</v>
      </c>
      <c r="Q53" s="16">
        <f t="shared" si="5"/>
        <v>122000</v>
      </c>
      <c r="R53" s="237">
        <f t="shared" si="6"/>
        <v>0</v>
      </c>
    </row>
    <row r="54" spans="2:18">
      <c r="B54" s="15">
        <f t="shared" si="7"/>
        <v>49</v>
      </c>
      <c r="C54" s="16">
        <f>IFERROR(VLOOKUP(DATA!G52,DATA!$G$4:$J$2149,1,FALSE),"")</f>
        <v>3028</v>
      </c>
      <c r="D54" s="16" t="str">
        <f>+IFERROR(VLOOKUP(C54,DATA!$G$4:$H$2000,2,FALSE),"")</f>
        <v>УБТЗам БОС1-р анги</v>
      </c>
      <c r="E54" s="16">
        <v>122000</v>
      </c>
      <c r="F54" s="237">
        <v>0</v>
      </c>
      <c r="G54" s="237">
        <f>+SUMIFS(JURNAL!G:G,JURNAL!E:E,E54,JURNAL!L:L,$C54,JURNAL!C:C,"&gt;="&amp;$M$3,JURNAL!C:C,"&lt;="&amp;$N$3)</f>
        <v>0</v>
      </c>
      <c r="H54" s="19">
        <f>+SUMIFS(JURNAL!H:H,JURNAL!E:E,E54,JURNAL!L:L,$C54,JURNAL!C:C,"&gt;="&amp;$M$3,JURNAL!C:C,"&lt;="&amp;$N$3)</f>
        <v>0</v>
      </c>
      <c r="I54" s="237">
        <f t="shared" si="1"/>
        <v>0</v>
      </c>
      <c r="J54" s="16">
        <v>320100</v>
      </c>
      <c r="K54" s="237">
        <v>53977895</v>
      </c>
      <c r="L54" s="237">
        <f>+SUMIFS(JURNAL!G:G,JURNAL!E:E,J54,JURNAL!L:L,$C54,JURNAL!C:C,"&gt;="&amp;$M$3,JURNAL!C:C,"&lt;="&amp;$N$3)</f>
        <v>0</v>
      </c>
      <c r="M54" s="19">
        <f>+SUMIFS(JURNAL!H:H,JURNAL!E:E,J54,JURNAL!L:L,$C54,JURNAL!C:C,"&gt;="&amp;$M$3,JURNAL!C:C,"&lt;="&amp;$N$3)</f>
        <v>0</v>
      </c>
      <c r="N54" s="20">
        <f t="shared" si="2"/>
        <v>53977895</v>
      </c>
      <c r="O54" s="237">
        <f t="shared" si="3"/>
        <v>0</v>
      </c>
      <c r="P54" s="16">
        <f t="shared" si="4"/>
        <v>320100</v>
      </c>
      <c r="Q54" s="16">
        <f t="shared" si="5"/>
        <v>122000</v>
      </c>
      <c r="R54" s="237">
        <f t="shared" si="6"/>
        <v>0</v>
      </c>
    </row>
    <row r="55" spans="2:18">
      <c r="B55" s="15">
        <f t="shared" si="7"/>
        <v>50</v>
      </c>
      <c r="C55" s="16">
        <f>IFERROR(VLOOKUP(DATA!G53,DATA!$G$4:$J$2149,1,FALSE),"")</f>
        <v>3029</v>
      </c>
      <c r="D55" s="16" t="str">
        <f>+IFERROR(VLOOKUP(C55,DATA!$G$4:$H$2000,2,FALSE),"")</f>
        <v xml:space="preserve">ДУГАН ХАД ЖУУЛЧИН ХХК </v>
      </c>
      <c r="E55" s="16">
        <v>122000</v>
      </c>
      <c r="F55" s="237">
        <v>0</v>
      </c>
      <c r="G55" s="237">
        <f>+SUMIFS(JURNAL!G:G,JURNAL!E:E,E55,JURNAL!L:L,$C55,JURNAL!C:C,"&gt;="&amp;$M$3,JURNAL!C:C,"&lt;="&amp;$N$3)</f>
        <v>0</v>
      </c>
      <c r="H55" s="19">
        <f>+SUMIFS(JURNAL!H:H,JURNAL!E:E,E55,JURNAL!L:L,$C55,JURNAL!C:C,"&gt;="&amp;$M$3,JURNAL!C:C,"&lt;="&amp;$N$3)</f>
        <v>0</v>
      </c>
      <c r="I55" s="237">
        <f t="shared" si="1"/>
        <v>0</v>
      </c>
      <c r="J55" s="16">
        <v>320100</v>
      </c>
      <c r="K55" s="237">
        <v>53707030</v>
      </c>
      <c r="L55" s="237">
        <f>+SUMIFS(JURNAL!G:G,JURNAL!E:E,J55,JURNAL!L:L,$C55,JURNAL!C:C,"&gt;="&amp;$M$3,JURNAL!C:C,"&lt;="&amp;$N$3)</f>
        <v>0</v>
      </c>
      <c r="M55" s="19">
        <f>+SUMIFS(JURNAL!H:H,JURNAL!E:E,J55,JURNAL!L:L,$C55,JURNAL!C:C,"&gt;="&amp;$M$3,JURNAL!C:C,"&lt;="&amp;$N$3)</f>
        <v>0</v>
      </c>
      <c r="N55" s="20">
        <f t="shared" si="2"/>
        <v>53707030</v>
      </c>
      <c r="O55" s="237">
        <f t="shared" si="3"/>
        <v>0</v>
      </c>
      <c r="P55" s="16">
        <f t="shared" si="4"/>
        <v>320100</v>
      </c>
      <c r="Q55" s="16">
        <f t="shared" si="5"/>
        <v>122000</v>
      </c>
      <c r="R55" s="237">
        <f t="shared" si="6"/>
        <v>0</v>
      </c>
    </row>
    <row r="56" spans="2:18">
      <c r="B56" s="15">
        <f t="shared" si="7"/>
        <v>51</v>
      </c>
      <c r="C56" s="16">
        <f>IFERROR(VLOOKUP(DATA!G54,DATA!$G$4:$J$2149,1,FALSE),"")</f>
        <v>3030</v>
      </c>
      <c r="D56" s="16" t="str">
        <f>+IFERROR(VLOOKUP(C56,DATA!$G$4:$H$2000,2,FALSE),"")</f>
        <v xml:space="preserve">МОНГОЛ ГЛОБАЛ ХХК </v>
      </c>
      <c r="E56" s="16">
        <v>122000</v>
      </c>
      <c r="F56" s="237">
        <v>0</v>
      </c>
      <c r="G56" s="237">
        <f>+SUMIFS(JURNAL!G:G,JURNAL!E:E,E56,JURNAL!L:L,$C56,JURNAL!C:C,"&gt;="&amp;$M$3,JURNAL!C:C,"&lt;="&amp;$N$3)</f>
        <v>0</v>
      </c>
      <c r="H56" s="19">
        <f>+SUMIFS(JURNAL!H:H,JURNAL!E:E,E56,JURNAL!L:L,$C56,JURNAL!C:C,"&gt;="&amp;$M$3,JURNAL!C:C,"&lt;="&amp;$N$3)</f>
        <v>0</v>
      </c>
      <c r="I56" s="237">
        <f t="shared" si="1"/>
        <v>0</v>
      </c>
      <c r="J56" s="16">
        <v>320100</v>
      </c>
      <c r="K56" s="237">
        <v>360000</v>
      </c>
      <c r="L56" s="237">
        <f>+SUMIFS(JURNAL!G:G,JURNAL!E:E,J56,JURNAL!L:L,$C56,JURNAL!C:C,"&gt;="&amp;$M$3,JURNAL!C:C,"&lt;="&amp;$N$3)</f>
        <v>0</v>
      </c>
      <c r="M56" s="19">
        <f>+SUMIFS(JURNAL!H:H,JURNAL!E:E,J56,JURNAL!L:L,$C56,JURNAL!C:C,"&gt;="&amp;$M$3,JURNAL!C:C,"&lt;="&amp;$N$3)</f>
        <v>0</v>
      </c>
      <c r="N56" s="20">
        <f t="shared" si="2"/>
        <v>360000</v>
      </c>
      <c r="O56" s="237">
        <f t="shared" si="3"/>
        <v>0</v>
      </c>
      <c r="P56" s="16">
        <f t="shared" si="4"/>
        <v>320100</v>
      </c>
      <c r="Q56" s="16">
        <f t="shared" si="5"/>
        <v>122000</v>
      </c>
      <c r="R56" s="237">
        <f t="shared" si="6"/>
        <v>0</v>
      </c>
    </row>
    <row r="57" spans="2:18">
      <c r="B57" s="15">
        <f t="shared" si="7"/>
        <v>52</v>
      </c>
      <c r="C57" s="16">
        <f>IFERROR(VLOOKUP(DATA!G55,DATA!$G$4:$J$2149,1,FALSE),"")</f>
        <v>3031</v>
      </c>
      <c r="D57" s="16" t="str">
        <f>+IFERROR(VLOOKUP(C57,DATA!$G$4:$H$2000,2,FALSE),"")</f>
        <v xml:space="preserve">ГРИЙН АРТ ПАРК ХХК </v>
      </c>
      <c r="E57" s="16">
        <v>122000</v>
      </c>
      <c r="F57" s="237">
        <v>0</v>
      </c>
      <c r="G57" s="237">
        <f>+SUMIFS(JURNAL!G:G,JURNAL!E:E,E57,JURNAL!L:L,$C57,JURNAL!C:C,"&gt;="&amp;$M$3,JURNAL!C:C,"&lt;="&amp;$N$3)</f>
        <v>0</v>
      </c>
      <c r="H57" s="19">
        <f>+SUMIFS(JURNAL!H:H,JURNAL!E:E,E57,JURNAL!L:L,$C57,JURNAL!C:C,"&gt;="&amp;$M$3,JURNAL!C:C,"&lt;="&amp;$N$3)</f>
        <v>0</v>
      </c>
      <c r="I57" s="237">
        <f t="shared" si="1"/>
        <v>0</v>
      </c>
      <c r="J57" s="16">
        <v>320100</v>
      </c>
      <c r="K57" s="237">
        <v>2250000</v>
      </c>
      <c r="L57" s="237">
        <f>+SUMIFS(JURNAL!G:G,JURNAL!E:E,J57,JURNAL!L:L,$C57,JURNAL!C:C,"&gt;="&amp;$M$3,JURNAL!C:C,"&lt;="&amp;$N$3)</f>
        <v>0</v>
      </c>
      <c r="M57" s="19">
        <f>+SUMIFS(JURNAL!H:H,JURNAL!E:E,J57,JURNAL!L:L,$C57,JURNAL!C:C,"&gt;="&amp;$M$3,JURNAL!C:C,"&lt;="&amp;$N$3)</f>
        <v>0</v>
      </c>
      <c r="N57" s="20">
        <f t="shared" si="2"/>
        <v>2250000</v>
      </c>
      <c r="O57" s="237">
        <f t="shared" si="3"/>
        <v>0</v>
      </c>
      <c r="P57" s="16">
        <f t="shared" si="4"/>
        <v>320100</v>
      </c>
      <c r="Q57" s="16">
        <f t="shared" si="5"/>
        <v>122000</v>
      </c>
      <c r="R57" s="237">
        <f t="shared" si="6"/>
        <v>0</v>
      </c>
    </row>
    <row r="58" spans="2:18">
      <c r="B58" s="15">
        <f t="shared" si="7"/>
        <v>53</v>
      </c>
      <c r="C58" s="16">
        <f>IFERROR(VLOOKUP(DATA!G56,DATA!$G$4:$J$2149,1,FALSE),"")</f>
        <v>3032</v>
      </c>
      <c r="D58" s="16" t="str">
        <f>+IFERROR(VLOOKUP(C58,DATA!$G$4:$H$2000,2,FALSE),"")</f>
        <v xml:space="preserve">БОДЬ ЦАМХАГ ХХК </v>
      </c>
      <c r="E58" s="16">
        <v>122000</v>
      </c>
      <c r="F58" s="237">
        <v>0</v>
      </c>
      <c r="G58" s="237">
        <f>+SUMIFS(JURNAL!G:G,JURNAL!E:E,E58,JURNAL!L:L,$C58,JURNAL!C:C,"&gt;="&amp;$M$3,JURNAL!C:C,"&lt;="&amp;$N$3)</f>
        <v>0</v>
      </c>
      <c r="H58" s="19">
        <f>+SUMIFS(JURNAL!H:H,JURNAL!E:E,E58,JURNAL!L:L,$C58,JURNAL!C:C,"&gt;="&amp;$M$3,JURNAL!C:C,"&lt;="&amp;$N$3)</f>
        <v>0</v>
      </c>
      <c r="I58" s="237">
        <f t="shared" si="1"/>
        <v>0</v>
      </c>
      <c r="J58" s="16">
        <v>320100</v>
      </c>
      <c r="K58" s="237">
        <v>119400</v>
      </c>
      <c r="L58" s="237">
        <f>+SUMIFS(JURNAL!G:G,JURNAL!E:E,J58,JURNAL!L:L,$C58,JURNAL!C:C,"&gt;="&amp;$M$3,JURNAL!C:C,"&lt;="&amp;$N$3)</f>
        <v>0</v>
      </c>
      <c r="M58" s="19">
        <f>+SUMIFS(JURNAL!H:H,JURNAL!E:E,J58,JURNAL!L:L,$C58,JURNAL!C:C,"&gt;="&amp;$M$3,JURNAL!C:C,"&lt;="&amp;$N$3)</f>
        <v>0</v>
      </c>
      <c r="N58" s="20">
        <f t="shared" si="2"/>
        <v>119400</v>
      </c>
      <c r="O58" s="237">
        <f t="shared" si="3"/>
        <v>0</v>
      </c>
      <c r="P58" s="16">
        <f t="shared" si="4"/>
        <v>320100</v>
      </c>
      <c r="Q58" s="16">
        <f t="shared" si="5"/>
        <v>122000</v>
      </c>
      <c r="R58" s="237">
        <f t="shared" si="6"/>
        <v>0</v>
      </c>
    </row>
    <row r="59" spans="2:18">
      <c r="B59" s="15">
        <f t="shared" si="7"/>
        <v>54</v>
      </c>
      <c r="C59" s="16">
        <f>IFERROR(VLOOKUP(DATA!G57,DATA!$G$4:$J$2149,1,FALSE),"")</f>
        <v>3033</v>
      </c>
      <c r="D59" s="16" t="str">
        <f>+IFERROR(VLOOKUP(C59,DATA!$G$4:$H$2000,2,FALSE),"")</f>
        <v xml:space="preserve">МАКС АГРО ХХК </v>
      </c>
      <c r="E59" s="16">
        <v>122000</v>
      </c>
      <c r="F59" s="237">
        <v>0</v>
      </c>
      <c r="G59" s="237">
        <f>+SUMIFS(JURNAL!G:G,JURNAL!E:E,E59,JURNAL!L:L,$C59,JURNAL!C:C,"&gt;="&amp;$M$3,JURNAL!C:C,"&lt;="&amp;$N$3)</f>
        <v>0</v>
      </c>
      <c r="H59" s="19">
        <f>+SUMIFS(JURNAL!H:H,JURNAL!E:E,E59,JURNAL!L:L,$C59,JURNAL!C:C,"&gt;="&amp;$M$3,JURNAL!C:C,"&lt;="&amp;$N$3)</f>
        <v>0</v>
      </c>
      <c r="I59" s="237">
        <f t="shared" si="1"/>
        <v>0</v>
      </c>
      <c r="J59" s="16">
        <v>320100</v>
      </c>
      <c r="K59" s="237">
        <v>3900000</v>
      </c>
      <c r="L59" s="237">
        <f>+SUMIFS(JURNAL!G:G,JURNAL!E:E,J59,JURNAL!L:L,$C59,JURNAL!C:C,"&gt;="&amp;$M$3,JURNAL!C:C,"&lt;="&amp;$N$3)</f>
        <v>0</v>
      </c>
      <c r="M59" s="19">
        <f>+SUMIFS(JURNAL!H:H,JURNAL!E:E,J59,JURNAL!L:L,$C59,JURNAL!C:C,"&gt;="&amp;$M$3,JURNAL!C:C,"&lt;="&amp;$N$3)</f>
        <v>0</v>
      </c>
      <c r="N59" s="20">
        <f t="shared" si="2"/>
        <v>3900000</v>
      </c>
      <c r="O59" s="237">
        <f t="shared" si="3"/>
        <v>0</v>
      </c>
      <c r="P59" s="16">
        <f t="shared" si="4"/>
        <v>320100</v>
      </c>
      <c r="Q59" s="16">
        <f t="shared" si="5"/>
        <v>122000</v>
      </c>
      <c r="R59" s="237">
        <f t="shared" si="6"/>
        <v>0</v>
      </c>
    </row>
    <row r="60" spans="2:18">
      <c r="B60" s="15">
        <f t="shared" si="7"/>
        <v>55</v>
      </c>
      <c r="C60" s="16">
        <f>IFERROR(VLOOKUP(DATA!G58,DATA!$G$4:$J$2149,1,FALSE),"")</f>
        <v>3034</v>
      </c>
      <c r="D60" s="16" t="str">
        <f>+IFERROR(VLOOKUP(C60,DATA!$G$4:$H$2000,2,FALSE),"")</f>
        <v xml:space="preserve">ЭН ТИ ЭМ ХХК </v>
      </c>
      <c r="E60" s="16">
        <v>122000</v>
      </c>
      <c r="F60" s="237">
        <v>0</v>
      </c>
      <c r="G60" s="237">
        <f>+SUMIFS(JURNAL!G:G,JURNAL!E:E,E60,JURNAL!L:L,$C60,JURNAL!C:C,"&gt;="&amp;$M$3,JURNAL!C:C,"&lt;="&amp;$N$3)</f>
        <v>0</v>
      </c>
      <c r="H60" s="19">
        <f>+SUMIFS(JURNAL!H:H,JURNAL!E:E,E60,JURNAL!L:L,$C60,JURNAL!C:C,"&gt;="&amp;$M$3,JURNAL!C:C,"&lt;="&amp;$N$3)</f>
        <v>0</v>
      </c>
      <c r="I60" s="237">
        <f t="shared" si="1"/>
        <v>0</v>
      </c>
      <c r="J60" s="16">
        <v>320100</v>
      </c>
      <c r="K60" s="237">
        <v>2831489</v>
      </c>
      <c r="L60" s="237">
        <f>+SUMIFS(JURNAL!G:G,JURNAL!E:E,J60,JURNAL!L:L,$C60,JURNAL!C:C,"&gt;="&amp;$M$3,JURNAL!C:C,"&lt;="&amp;$N$3)</f>
        <v>0</v>
      </c>
      <c r="M60" s="19">
        <f>+SUMIFS(JURNAL!H:H,JURNAL!E:E,J60,JURNAL!L:L,$C60,JURNAL!C:C,"&gt;="&amp;$M$3,JURNAL!C:C,"&lt;="&amp;$N$3)</f>
        <v>0</v>
      </c>
      <c r="N60" s="20">
        <f t="shared" si="2"/>
        <v>2831489</v>
      </c>
      <c r="O60" s="237">
        <f t="shared" si="3"/>
        <v>0</v>
      </c>
      <c r="P60" s="16">
        <f t="shared" si="4"/>
        <v>320100</v>
      </c>
      <c r="Q60" s="16">
        <f t="shared" si="5"/>
        <v>122000</v>
      </c>
      <c r="R60" s="237">
        <f t="shared" si="6"/>
        <v>0</v>
      </c>
    </row>
    <row r="61" spans="2:18">
      <c r="B61" s="15">
        <f t="shared" si="7"/>
        <v>56</v>
      </c>
      <c r="C61" s="16">
        <f>IFERROR(VLOOKUP(DATA!G59,DATA!$G$4:$J$2149,1,FALSE),"")</f>
        <v>3035</v>
      </c>
      <c r="D61" s="16" t="str">
        <f>+IFERROR(VLOOKUP(C61,DATA!$G$4:$H$2000,2,FALSE),"")</f>
        <v xml:space="preserve">ГОЛДЕН ЖИМ ХХК </v>
      </c>
      <c r="E61" s="16">
        <v>122000</v>
      </c>
      <c r="F61" s="237">
        <v>0</v>
      </c>
      <c r="G61" s="237">
        <f>+SUMIFS(JURNAL!G:G,JURNAL!E:E,E61,JURNAL!L:L,$C61,JURNAL!C:C,"&gt;="&amp;$M$3,JURNAL!C:C,"&lt;="&amp;$N$3)</f>
        <v>0</v>
      </c>
      <c r="H61" s="19">
        <f>+SUMIFS(JURNAL!H:H,JURNAL!E:E,E61,JURNAL!L:L,$C61,JURNAL!C:C,"&gt;="&amp;$M$3,JURNAL!C:C,"&lt;="&amp;$N$3)</f>
        <v>0</v>
      </c>
      <c r="I61" s="237">
        <f t="shared" si="1"/>
        <v>0</v>
      </c>
      <c r="J61" s="16">
        <v>320100</v>
      </c>
      <c r="K61" s="237">
        <v>163730</v>
      </c>
      <c r="L61" s="237">
        <f>+SUMIFS(JURNAL!G:G,JURNAL!E:E,J61,JURNAL!L:L,$C61,JURNAL!C:C,"&gt;="&amp;$M$3,JURNAL!C:C,"&lt;="&amp;$N$3)</f>
        <v>0</v>
      </c>
      <c r="M61" s="19">
        <f>+SUMIFS(JURNAL!H:H,JURNAL!E:E,J61,JURNAL!L:L,$C61,JURNAL!C:C,"&gt;="&amp;$M$3,JURNAL!C:C,"&lt;="&amp;$N$3)</f>
        <v>0</v>
      </c>
      <c r="N61" s="20">
        <f t="shared" si="2"/>
        <v>163730</v>
      </c>
      <c r="O61" s="237">
        <f t="shared" si="3"/>
        <v>0</v>
      </c>
      <c r="P61" s="16">
        <f t="shared" si="4"/>
        <v>320100</v>
      </c>
      <c r="Q61" s="16">
        <f t="shared" si="5"/>
        <v>122000</v>
      </c>
      <c r="R61" s="237">
        <f t="shared" si="6"/>
        <v>0</v>
      </c>
    </row>
    <row r="62" spans="2:18">
      <c r="B62" s="15">
        <f t="shared" si="7"/>
        <v>57</v>
      </c>
      <c r="C62" s="16">
        <f>IFERROR(VLOOKUP(DATA!G60,DATA!$G$4:$J$2149,1,FALSE),"")</f>
        <v>3036</v>
      </c>
      <c r="D62" s="16" t="str">
        <f>+IFERROR(VLOOKUP(C62,DATA!$G$4:$H$2000,2,FALSE),"")</f>
        <v>ИХ БАГА ХОНГОР ХХК</v>
      </c>
      <c r="E62" s="16">
        <v>122000</v>
      </c>
      <c r="F62" s="237">
        <v>0</v>
      </c>
      <c r="G62" s="237">
        <f>+SUMIFS(JURNAL!G:G,JURNAL!E:E,E62,JURNAL!L:L,$C62,JURNAL!C:C,"&gt;="&amp;$M$3,JURNAL!C:C,"&lt;="&amp;$N$3)</f>
        <v>0</v>
      </c>
      <c r="H62" s="19">
        <f>+SUMIFS(JURNAL!H:H,JURNAL!E:E,E62,JURNAL!L:L,$C62,JURNAL!C:C,"&gt;="&amp;$M$3,JURNAL!C:C,"&lt;="&amp;$N$3)</f>
        <v>0</v>
      </c>
      <c r="I62" s="237">
        <f t="shared" si="1"/>
        <v>0</v>
      </c>
      <c r="J62" s="16">
        <v>320100</v>
      </c>
      <c r="K62" s="237">
        <v>399280.09</v>
      </c>
      <c r="L62" s="237">
        <f>+SUMIFS(JURNAL!G:G,JURNAL!E:E,J62,JURNAL!L:L,$C62,JURNAL!C:C,"&gt;="&amp;$M$3,JURNAL!C:C,"&lt;="&amp;$N$3)</f>
        <v>0</v>
      </c>
      <c r="M62" s="19">
        <f>+SUMIFS(JURNAL!H:H,JURNAL!E:E,J62,JURNAL!L:L,$C62,JURNAL!C:C,"&gt;="&amp;$M$3,JURNAL!C:C,"&lt;="&amp;$N$3)</f>
        <v>0</v>
      </c>
      <c r="N62" s="20">
        <f t="shared" si="2"/>
        <v>399280.09</v>
      </c>
      <c r="O62" s="237">
        <f t="shared" si="3"/>
        <v>0</v>
      </c>
      <c r="P62" s="16">
        <f t="shared" si="4"/>
        <v>320100</v>
      </c>
      <c r="Q62" s="16">
        <f t="shared" si="5"/>
        <v>122000</v>
      </c>
      <c r="R62" s="237">
        <f t="shared" si="6"/>
        <v>0</v>
      </c>
    </row>
    <row r="63" spans="2:18">
      <c r="B63" s="15">
        <f t="shared" si="7"/>
        <v>58</v>
      </c>
      <c r="C63" s="16">
        <f>IFERROR(VLOOKUP(DATA!G61,DATA!$G$4:$J$2149,1,FALSE),"")</f>
        <v>3037</v>
      </c>
      <c r="D63" s="16" t="str">
        <f>+IFERROR(VLOOKUP(C63,DATA!$G$4:$H$2000,2,FALSE),"")</f>
        <v xml:space="preserve">ЯВУУ ИМПЕКС ХХК </v>
      </c>
      <c r="E63" s="16">
        <v>122000</v>
      </c>
      <c r="F63" s="237">
        <v>0</v>
      </c>
      <c r="G63" s="237">
        <f>+SUMIFS(JURNAL!G:G,JURNAL!E:E,E63,JURNAL!L:L,$C63,JURNAL!C:C,"&gt;="&amp;$M$3,JURNAL!C:C,"&lt;="&amp;$N$3)</f>
        <v>0</v>
      </c>
      <c r="H63" s="19">
        <f>+SUMIFS(JURNAL!H:H,JURNAL!E:E,E63,JURNAL!L:L,$C63,JURNAL!C:C,"&gt;="&amp;$M$3,JURNAL!C:C,"&lt;="&amp;$N$3)</f>
        <v>0</v>
      </c>
      <c r="I63" s="237">
        <f t="shared" si="1"/>
        <v>0</v>
      </c>
      <c r="J63" s="16">
        <v>320100</v>
      </c>
      <c r="K63" s="237">
        <v>0</v>
      </c>
      <c r="L63" s="237">
        <f>+SUMIFS(JURNAL!G:G,JURNAL!E:E,J63,JURNAL!L:L,$C63,JURNAL!C:C,"&gt;="&amp;$M$3,JURNAL!C:C,"&lt;="&amp;$N$3)</f>
        <v>0</v>
      </c>
      <c r="M63" s="19">
        <f>+SUMIFS(JURNAL!H:H,JURNAL!E:E,J63,JURNAL!L:L,$C63,JURNAL!C:C,"&gt;="&amp;$M$3,JURNAL!C:C,"&lt;="&amp;$N$3)</f>
        <v>0</v>
      </c>
      <c r="N63" s="20">
        <f t="shared" si="2"/>
        <v>0</v>
      </c>
      <c r="O63" s="237">
        <f t="shared" si="3"/>
        <v>0</v>
      </c>
      <c r="P63" s="16">
        <f t="shared" si="4"/>
        <v>320100</v>
      </c>
      <c r="Q63" s="16">
        <f t="shared" si="5"/>
        <v>122000</v>
      </c>
      <c r="R63" s="237">
        <f t="shared" si="6"/>
        <v>0</v>
      </c>
    </row>
    <row r="64" spans="2:18">
      <c r="B64" s="15">
        <f t="shared" si="7"/>
        <v>59</v>
      </c>
      <c r="C64" s="16">
        <f>IFERROR(VLOOKUP(DATA!G62,DATA!$G$4:$J$2149,1,FALSE),"")</f>
        <v>3038</v>
      </c>
      <c r="D64" s="16" t="str">
        <f>+IFERROR(VLOOKUP(C64,DATA!$G$4:$H$2000,2,FALSE),"")</f>
        <v xml:space="preserve">ТЭХ БАРИЛГЫН МАТЕРИАЛЫН ДЭЛГҮҮР </v>
      </c>
      <c r="E64" s="16">
        <v>122000</v>
      </c>
      <c r="F64" s="237">
        <v>0</v>
      </c>
      <c r="G64" s="237">
        <f>+SUMIFS(JURNAL!G:G,JURNAL!E:E,E64,JURNAL!L:L,$C64,JURNAL!C:C,"&gt;="&amp;$M$3,JURNAL!C:C,"&lt;="&amp;$N$3)</f>
        <v>0</v>
      </c>
      <c r="H64" s="19">
        <f>+SUMIFS(JURNAL!H:H,JURNAL!E:E,E64,JURNAL!L:L,$C64,JURNAL!C:C,"&gt;="&amp;$M$3,JURNAL!C:C,"&lt;="&amp;$N$3)</f>
        <v>0</v>
      </c>
      <c r="I64" s="237">
        <f t="shared" si="1"/>
        <v>0</v>
      </c>
      <c r="J64" s="16">
        <v>320100</v>
      </c>
      <c r="K64" s="237">
        <v>0</v>
      </c>
      <c r="L64" s="237">
        <f>+SUMIFS(JURNAL!G:G,JURNAL!E:E,J64,JURNAL!L:L,$C64,JURNAL!C:C,"&gt;="&amp;$M$3,JURNAL!C:C,"&lt;="&amp;$N$3)</f>
        <v>0</v>
      </c>
      <c r="M64" s="19">
        <f>+SUMIFS(JURNAL!H:H,JURNAL!E:E,J64,JURNAL!L:L,$C64,JURNAL!C:C,"&gt;="&amp;$M$3,JURNAL!C:C,"&lt;="&amp;$N$3)</f>
        <v>0</v>
      </c>
      <c r="N64" s="20">
        <f t="shared" si="2"/>
        <v>0</v>
      </c>
      <c r="O64" s="237">
        <f t="shared" si="3"/>
        <v>0</v>
      </c>
      <c r="P64" s="16">
        <f t="shared" si="4"/>
        <v>320100</v>
      </c>
      <c r="Q64" s="16">
        <f t="shared" si="5"/>
        <v>122000</v>
      </c>
      <c r="R64" s="237">
        <f t="shared" si="6"/>
        <v>0</v>
      </c>
    </row>
    <row r="65" spans="2:18">
      <c r="B65" s="15">
        <f t="shared" si="7"/>
        <v>60</v>
      </c>
      <c r="C65" s="16">
        <f>IFERROR(VLOOKUP(DATA!G63,DATA!$G$4:$J$2149,1,FALSE),"")</f>
        <v>3039</v>
      </c>
      <c r="D65" s="16" t="str">
        <f>+IFERROR(VLOOKUP(C65,DATA!$G$4:$H$2000,2,FALSE),"")</f>
        <v xml:space="preserve">САССИР ХХК </v>
      </c>
      <c r="E65" s="16">
        <v>122000</v>
      </c>
      <c r="F65" s="237">
        <v>0</v>
      </c>
      <c r="G65" s="237">
        <f>+SUMIFS(JURNAL!G:G,JURNAL!E:E,E65,JURNAL!L:L,$C65,JURNAL!C:C,"&gt;="&amp;$M$3,JURNAL!C:C,"&lt;="&amp;$N$3)</f>
        <v>0</v>
      </c>
      <c r="H65" s="19">
        <f>+SUMIFS(JURNAL!H:H,JURNAL!E:E,E65,JURNAL!L:L,$C65,JURNAL!C:C,"&gt;="&amp;$M$3,JURNAL!C:C,"&lt;="&amp;$N$3)</f>
        <v>0</v>
      </c>
      <c r="I65" s="237">
        <f t="shared" si="1"/>
        <v>0</v>
      </c>
      <c r="J65" s="16">
        <v>320100</v>
      </c>
      <c r="K65" s="237">
        <v>0</v>
      </c>
      <c r="L65" s="237">
        <f>+SUMIFS(JURNAL!G:G,JURNAL!E:E,J65,JURNAL!L:L,$C65,JURNAL!C:C,"&gt;="&amp;$M$3,JURNAL!C:C,"&lt;="&amp;$N$3)</f>
        <v>901576</v>
      </c>
      <c r="M65" s="19">
        <f>+SUMIFS(JURNAL!H:H,JURNAL!E:E,J65,JURNAL!L:L,$C65,JURNAL!C:C,"&gt;="&amp;$M$3,JURNAL!C:C,"&lt;="&amp;$N$3)</f>
        <v>901576</v>
      </c>
      <c r="N65" s="20">
        <f t="shared" si="2"/>
        <v>0</v>
      </c>
      <c r="O65" s="237">
        <f t="shared" si="3"/>
        <v>0</v>
      </c>
      <c r="P65" s="16">
        <f t="shared" si="4"/>
        <v>320100</v>
      </c>
      <c r="Q65" s="16">
        <f t="shared" si="5"/>
        <v>122000</v>
      </c>
      <c r="R65" s="237">
        <f t="shared" si="6"/>
        <v>0</v>
      </c>
    </row>
    <row r="66" spans="2:18">
      <c r="B66" s="15">
        <f t="shared" si="7"/>
        <v>61</v>
      </c>
      <c r="C66" s="16">
        <f>IFERROR(VLOOKUP(DATA!G64,DATA!$G$4:$J$2149,1,FALSE),"")</f>
        <v>3040</v>
      </c>
      <c r="D66" s="16" t="str">
        <f>+IFERROR(VLOOKUP(C66,DATA!$G$4:$H$2000,2,FALSE),"")</f>
        <v xml:space="preserve">АР ПИ ДИ ХХК </v>
      </c>
      <c r="E66" s="16">
        <v>122000</v>
      </c>
      <c r="F66" s="237">
        <v>0</v>
      </c>
      <c r="G66" s="237">
        <f>+SUMIFS(JURNAL!G:G,JURNAL!E:E,E66,JURNAL!L:L,$C66,JURNAL!C:C,"&gt;="&amp;$M$3,JURNAL!C:C,"&lt;="&amp;$N$3)</f>
        <v>0</v>
      </c>
      <c r="H66" s="19">
        <f>+SUMIFS(JURNAL!H:H,JURNAL!E:E,E66,JURNAL!L:L,$C66,JURNAL!C:C,"&gt;="&amp;$M$3,JURNAL!C:C,"&lt;="&amp;$N$3)</f>
        <v>0</v>
      </c>
      <c r="I66" s="237">
        <f t="shared" si="1"/>
        <v>0</v>
      </c>
      <c r="J66" s="16">
        <v>320100</v>
      </c>
      <c r="K66" s="237">
        <v>0</v>
      </c>
      <c r="L66" s="237">
        <f>+SUMIFS(JURNAL!G:G,JURNAL!E:E,J66,JURNAL!L:L,$C66,JURNAL!C:C,"&gt;="&amp;$M$3,JURNAL!C:C,"&lt;="&amp;$N$3)</f>
        <v>0</v>
      </c>
      <c r="M66" s="19">
        <f>+SUMIFS(JURNAL!H:H,JURNAL!E:E,J66,JURNAL!L:L,$C66,JURNAL!C:C,"&gt;="&amp;$M$3,JURNAL!C:C,"&lt;="&amp;$N$3)</f>
        <v>0</v>
      </c>
      <c r="N66" s="20">
        <f t="shared" si="2"/>
        <v>0</v>
      </c>
      <c r="O66" s="237">
        <f t="shared" si="3"/>
        <v>0</v>
      </c>
      <c r="P66" s="16">
        <f t="shared" si="4"/>
        <v>320100</v>
      </c>
      <c r="Q66" s="16">
        <f t="shared" si="5"/>
        <v>122000</v>
      </c>
      <c r="R66" s="237">
        <f t="shared" si="6"/>
        <v>0</v>
      </c>
    </row>
    <row r="67" spans="2:18">
      <c r="B67" s="15">
        <f t="shared" si="7"/>
        <v>62</v>
      </c>
      <c r="C67" s="16">
        <f>IFERROR(VLOOKUP(DATA!G65,DATA!$G$4:$J$2149,1,FALSE),"")</f>
        <v>3041</v>
      </c>
      <c r="D67" s="16" t="str">
        <f>+IFERROR(VLOOKUP(C67,DATA!$G$4:$H$2000,2,FALSE),"")</f>
        <v>БҮТЭЭГЧ ХХК</v>
      </c>
      <c r="E67" s="16">
        <v>122000</v>
      </c>
      <c r="F67" s="237">
        <v>0</v>
      </c>
      <c r="G67" s="237">
        <f>+SUMIFS(JURNAL!G:G,JURNAL!E:E,E67,JURNAL!L:L,$C67,JURNAL!C:C,"&gt;="&amp;$M$3,JURNAL!C:C,"&lt;="&amp;$N$3)</f>
        <v>0</v>
      </c>
      <c r="H67" s="19">
        <f>+SUMIFS(JURNAL!H:H,JURNAL!E:E,E67,JURNAL!L:L,$C67,JURNAL!C:C,"&gt;="&amp;$M$3,JURNAL!C:C,"&lt;="&amp;$N$3)</f>
        <v>0</v>
      </c>
      <c r="I67" s="237">
        <f t="shared" si="1"/>
        <v>0</v>
      </c>
      <c r="J67" s="16">
        <v>320100</v>
      </c>
      <c r="K67" s="237">
        <v>0</v>
      </c>
      <c r="L67" s="237">
        <f>+SUMIFS(JURNAL!G:G,JURNAL!E:E,J67,JURNAL!L:L,$C67,JURNAL!C:C,"&gt;="&amp;$M$3,JURNAL!C:C,"&lt;="&amp;$N$3)</f>
        <v>0</v>
      </c>
      <c r="M67" s="19">
        <f>+SUMIFS(JURNAL!H:H,JURNAL!E:E,J67,JURNAL!L:L,$C67,JURNAL!C:C,"&gt;="&amp;$M$3,JURNAL!C:C,"&lt;="&amp;$N$3)</f>
        <v>0</v>
      </c>
      <c r="N67" s="20">
        <f t="shared" si="2"/>
        <v>0</v>
      </c>
      <c r="O67" s="237">
        <f t="shared" si="3"/>
        <v>0</v>
      </c>
      <c r="P67" s="16">
        <f t="shared" si="4"/>
        <v>320100</v>
      </c>
      <c r="Q67" s="16">
        <f t="shared" si="5"/>
        <v>122000</v>
      </c>
      <c r="R67" s="237">
        <f t="shared" si="6"/>
        <v>0</v>
      </c>
    </row>
    <row r="68" spans="2:18">
      <c r="B68" s="15">
        <f t="shared" si="7"/>
        <v>63</v>
      </c>
      <c r="C68" s="16">
        <f>IFERROR(VLOOKUP(DATA!G66,DATA!$G$4:$J$2149,1,FALSE),"")</f>
        <v>3042</v>
      </c>
      <c r="D68" s="16" t="str">
        <f>+IFERROR(VLOOKUP(C68,DATA!$G$4:$H$2000,2,FALSE),"")</f>
        <v xml:space="preserve">ЖУРМАК ХХК </v>
      </c>
      <c r="E68" s="16">
        <v>122000</v>
      </c>
      <c r="F68" s="237">
        <v>0</v>
      </c>
      <c r="G68" s="237">
        <f>+SUMIFS(JURNAL!G:G,JURNAL!E:E,E68,JURNAL!L:L,$C68,JURNAL!C:C,"&gt;="&amp;$M$3,JURNAL!C:C,"&lt;="&amp;$N$3)</f>
        <v>0</v>
      </c>
      <c r="H68" s="19">
        <f>+SUMIFS(JURNAL!H:H,JURNAL!E:E,E68,JURNAL!L:L,$C68,JURNAL!C:C,"&gt;="&amp;$M$3,JURNAL!C:C,"&lt;="&amp;$N$3)</f>
        <v>0</v>
      </c>
      <c r="I68" s="237">
        <f t="shared" si="1"/>
        <v>0</v>
      </c>
      <c r="J68" s="16">
        <v>320100</v>
      </c>
      <c r="K68" s="237">
        <v>0</v>
      </c>
      <c r="L68" s="237">
        <f>+SUMIFS(JURNAL!G:G,JURNAL!E:E,J68,JURNAL!L:L,$C68,JURNAL!C:C,"&gt;="&amp;$M$3,JURNAL!C:C,"&lt;="&amp;$N$3)</f>
        <v>0</v>
      </c>
      <c r="M68" s="19">
        <f>+SUMIFS(JURNAL!H:H,JURNAL!E:E,J68,JURNAL!L:L,$C68,JURNAL!C:C,"&gt;="&amp;$M$3,JURNAL!C:C,"&lt;="&amp;$N$3)</f>
        <v>0</v>
      </c>
      <c r="N68" s="20">
        <f t="shared" si="2"/>
        <v>0</v>
      </c>
      <c r="O68" s="237">
        <f t="shared" si="3"/>
        <v>0</v>
      </c>
      <c r="P68" s="16">
        <f t="shared" si="4"/>
        <v>320100</v>
      </c>
      <c r="Q68" s="16">
        <f t="shared" si="5"/>
        <v>122000</v>
      </c>
      <c r="R68" s="237">
        <f t="shared" si="6"/>
        <v>0</v>
      </c>
    </row>
    <row r="69" spans="2:18">
      <c r="B69" s="15">
        <f t="shared" si="7"/>
        <v>64</v>
      </c>
      <c r="C69" s="16">
        <f>IFERROR(VLOOKUP(DATA!G67,DATA!$G$4:$J$2149,1,FALSE),"")</f>
        <v>3043</v>
      </c>
      <c r="D69" s="16" t="str">
        <f>+IFERROR(VLOOKUP(C69,DATA!$G$4:$H$2000,2,FALSE),"")</f>
        <v xml:space="preserve">ДЕКОР ВҮҮД ХХК </v>
      </c>
      <c r="E69" s="16">
        <v>122000</v>
      </c>
      <c r="F69" s="237">
        <v>0</v>
      </c>
      <c r="G69" s="237">
        <f>+SUMIFS(JURNAL!G:G,JURNAL!E:E,E69,JURNAL!L:L,$C69,JURNAL!C:C,"&gt;="&amp;$M$3,JURNAL!C:C,"&lt;="&amp;$N$3)</f>
        <v>0</v>
      </c>
      <c r="H69" s="19">
        <f>+SUMIFS(JURNAL!H:H,JURNAL!E:E,E69,JURNAL!L:L,$C69,JURNAL!C:C,"&gt;="&amp;$M$3,JURNAL!C:C,"&lt;="&amp;$N$3)</f>
        <v>0</v>
      </c>
      <c r="I69" s="237">
        <f t="shared" si="1"/>
        <v>0</v>
      </c>
      <c r="J69" s="16">
        <v>320100</v>
      </c>
      <c r="K69" s="237">
        <v>0</v>
      </c>
      <c r="L69" s="237">
        <f>+SUMIFS(JURNAL!G:G,JURNAL!E:E,J69,JURNAL!L:L,$C69,JURNAL!C:C,"&gt;="&amp;$M$3,JURNAL!C:C,"&lt;="&amp;$N$3)</f>
        <v>0</v>
      </c>
      <c r="M69" s="19">
        <f>+SUMIFS(JURNAL!H:H,JURNAL!E:E,J69,JURNAL!L:L,$C69,JURNAL!C:C,"&gt;="&amp;$M$3,JURNAL!C:C,"&lt;="&amp;$N$3)</f>
        <v>0</v>
      </c>
      <c r="N69" s="20">
        <f t="shared" si="2"/>
        <v>0</v>
      </c>
      <c r="O69" s="237">
        <f t="shared" si="3"/>
        <v>0</v>
      </c>
      <c r="P69" s="16">
        <f t="shared" si="4"/>
        <v>320100</v>
      </c>
      <c r="Q69" s="16">
        <f t="shared" si="5"/>
        <v>122000</v>
      </c>
      <c r="R69" s="237">
        <f t="shared" si="6"/>
        <v>0</v>
      </c>
    </row>
    <row r="70" spans="2:18">
      <c r="B70" s="15">
        <f t="shared" si="7"/>
        <v>65</v>
      </c>
      <c r="C70" s="16">
        <f>IFERROR(VLOOKUP(DATA!G68,DATA!$G$4:$J$2149,1,FALSE),"")</f>
        <v>3044</v>
      </c>
      <c r="D70" s="16" t="str">
        <f>+IFERROR(VLOOKUP(C70,DATA!$G$4:$H$2000,2,FALSE),"")</f>
        <v>ЛАНС КОНСТРАКШН ХХК</v>
      </c>
      <c r="E70" s="16">
        <v>122000</v>
      </c>
      <c r="F70" s="237">
        <v>0</v>
      </c>
      <c r="G70" s="237">
        <f>+SUMIFS(JURNAL!G:G,JURNAL!E:E,E70,JURNAL!L:L,$C70,JURNAL!C:C,"&gt;="&amp;$M$3,JURNAL!C:C,"&lt;="&amp;$N$3)</f>
        <v>0</v>
      </c>
      <c r="H70" s="19">
        <f>+SUMIFS(JURNAL!H:H,JURNAL!E:E,E70,JURNAL!L:L,$C70,JURNAL!C:C,"&gt;="&amp;$M$3,JURNAL!C:C,"&lt;="&amp;$N$3)</f>
        <v>0</v>
      </c>
      <c r="I70" s="237">
        <f t="shared" si="1"/>
        <v>0</v>
      </c>
      <c r="J70" s="16">
        <v>320100</v>
      </c>
      <c r="K70" s="237">
        <v>0</v>
      </c>
      <c r="L70" s="237">
        <f>+SUMIFS(JURNAL!G:G,JURNAL!E:E,J70,JURNAL!L:L,$C70,JURNAL!C:C,"&gt;="&amp;$M$3,JURNAL!C:C,"&lt;="&amp;$N$3)</f>
        <v>0</v>
      </c>
      <c r="M70" s="19">
        <f>+SUMIFS(JURNAL!H:H,JURNAL!E:E,J70,JURNAL!L:L,$C70,JURNAL!C:C,"&gt;="&amp;$M$3,JURNAL!C:C,"&lt;="&amp;$N$3)</f>
        <v>0</v>
      </c>
      <c r="N70" s="20">
        <f t="shared" si="2"/>
        <v>0</v>
      </c>
      <c r="O70" s="237">
        <f t="shared" si="3"/>
        <v>0</v>
      </c>
      <c r="P70" s="16">
        <f t="shared" si="4"/>
        <v>320100</v>
      </c>
      <c r="Q70" s="16">
        <f t="shared" si="5"/>
        <v>122000</v>
      </c>
      <c r="R70" s="237">
        <f t="shared" si="6"/>
        <v>0</v>
      </c>
    </row>
    <row r="71" spans="2:18">
      <c r="B71" s="15">
        <f t="shared" si="7"/>
        <v>66</v>
      </c>
      <c r="C71" s="16">
        <f>IFERROR(VLOOKUP(DATA!G69,DATA!$G$4:$J$2149,1,FALSE),"")</f>
        <v>3045</v>
      </c>
      <c r="D71" s="16" t="str">
        <f>+IFERROR(VLOOKUP(C71,DATA!$G$4:$H$2000,2,FALSE),"")</f>
        <v xml:space="preserve">МОНГОЛ ИДЕАЛ ХХК </v>
      </c>
      <c r="E71" s="16">
        <v>122000</v>
      </c>
      <c r="F71" s="237">
        <v>0</v>
      </c>
      <c r="G71" s="237">
        <f>+SUMIFS(JURNAL!G:G,JURNAL!E:E,E71,JURNAL!L:L,$C71,JURNAL!C:C,"&gt;="&amp;$M$3,JURNAL!C:C,"&lt;="&amp;$N$3)</f>
        <v>0</v>
      </c>
      <c r="H71" s="19">
        <f>+SUMIFS(JURNAL!H:H,JURNAL!E:E,E71,JURNAL!L:L,$C71,JURNAL!C:C,"&gt;="&amp;$M$3,JURNAL!C:C,"&lt;="&amp;$N$3)</f>
        <v>0</v>
      </c>
      <c r="I71" s="237">
        <f t="shared" ref="I71:I125" si="8">+F71+G71-H71</f>
        <v>0</v>
      </c>
      <c r="J71" s="16">
        <v>320100</v>
      </c>
      <c r="K71" s="237">
        <v>0</v>
      </c>
      <c r="L71" s="237">
        <f>+SUMIFS(JURNAL!G:G,JURNAL!E:E,J71,JURNAL!L:L,$C71,JURNAL!C:C,"&gt;="&amp;$M$3,JURNAL!C:C,"&lt;="&amp;$N$3)</f>
        <v>88000.000110000008</v>
      </c>
      <c r="M71" s="19">
        <f>+SUMIFS(JURNAL!H:H,JURNAL!E:E,J71,JURNAL!L:L,$C71,JURNAL!C:C,"&gt;="&amp;$M$3,JURNAL!C:C,"&lt;="&amp;$N$3)</f>
        <v>88000</v>
      </c>
      <c r="N71" s="20">
        <f t="shared" ref="N71:N125" si="9">+K71+M71-L71</f>
        <v>-1.1000000813510269E-4</v>
      </c>
      <c r="O71" s="237">
        <f t="shared" ref="O71:O125" si="10">+IF(I71&lt;N71,I71,N71)</f>
        <v>-1.1000000813510269E-4</v>
      </c>
      <c r="P71" s="16">
        <f t="shared" ref="P71:P125" si="11">+J71</f>
        <v>320100</v>
      </c>
      <c r="Q71" s="16">
        <f t="shared" ref="Q71:Q125" si="12">+E71</f>
        <v>122000</v>
      </c>
      <c r="R71" s="237">
        <f t="shared" ref="R71:R125" si="13">+IF(O71,1,0)</f>
        <v>1</v>
      </c>
    </row>
    <row r="72" spans="2:18">
      <c r="B72" s="15">
        <f t="shared" ref="B72:B91" si="14">+IF(C72="","",ROW()-5)</f>
        <v>67</v>
      </c>
      <c r="C72" s="16">
        <f>IFERROR(VLOOKUP(DATA!G70,DATA!$G$4:$J$2149,1,FALSE),"")</f>
        <v>3046</v>
      </c>
      <c r="D72" s="16" t="str">
        <f>+IFERROR(VLOOKUP(C72,DATA!$G$4:$H$2000,2,FALSE),"")</f>
        <v xml:space="preserve">ТЭГШРЭХ ГУРВАН ЭРДЭНЭ ХХК </v>
      </c>
      <c r="E72" s="16">
        <v>122000</v>
      </c>
      <c r="F72" s="237">
        <v>0</v>
      </c>
      <c r="G72" s="237">
        <f>+SUMIFS(JURNAL!G:G,JURNAL!E:E,E72,JURNAL!L:L,$C72,JURNAL!C:C,"&gt;="&amp;$M$3,JURNAL!C:C,"&lt;="&amp;$N$3)</f>
        <v>0</v>
      </c>
      <c r="H72" s="19">
        <f>+SUMIFS(JURNAL!H:H,JURNAL!E:E,E72,JURNAL!L:L,$C72,JURNAL!C:C,"&gt;="&amp;$M$3,JURNAL!C:C,"&lt;="&amp;$N$3)</f>
        <v>0</v>
      </c>
      <c r="I72" s="237">
        <f t="shared" si="8"/>
        <v>0</v>
      </c>
      <c r="J72" s="16">
        <v>320100</v>
      </c>
      <c r="K72" s="237">
        <v>0</v>
      </c>
      <c r="L72" s="237">
        <f>+SUMIFS(JURNAL!G:G,JURNAL!E:E,J72,JURNAL!L:L,$C72,JURNAL!C:C,"&gt;="&amp;$M$3,JURNAL!C:C,"&lt;="&amp;$N$3)</f>
        <v>0</v>
      </c>
      <c r="M72" s="19">
        <f>+SUMIFS(JURNAL!H:H,JURNAL!E:E,J72,JURNAL!L:L,$C72,JURNAL!C:C,"&gt;="&amp;$M$3,JURNAL!C:C,"&lt;="&amp;$N$3)</f>
        <v>0</v>
      </c>
      <c r="N72" s="20">
        <f t="shared" si="9"/>
        <v>0</v>
      </c>
      <c r="O72" s="237">
        <f t="shared" si="10"/>
        <v>0</v>
      </c>
      <c r="P72" s="16">
        <f t="shared" si="11"/>
        <v>320100</v>
      </c>
      <c r="Q72" s="16">
        <f t="shared" si="12"/>
        <v>122000</v>
      </c>
      <c r="R72" s="237">
        <f t="shared" si="13"/>
        <v>0</v>
      </c>
    </row>
    <row r="73" spans="2:18">
      <c r="B73" s="15">
        <f t="shared" si="14"/>
        <v>68</v>
      </c>
      <c r="C73" s="16">
        <f>IFERROR(VLOOKUP(DATA!G71,DATA!$G$4:$J$2149,1,FALSE),"")</f>
        <v>3047</v>
      </c>
      <c r="D73" s="16" t="str">
        <f>+IFERROR(VLOOKUP(C73,DATA!$G$4:$H$2000,2,FALSE),"")</f>
        <v>ГЛОБАЛ ГАЗАР ХХК</v>
      </c>
      <c r="E73" s="16">
        <v>122000</v>
      </c>
      <c r="F73" s="237">
        <v>0</v>
      </c>
      <c r="G73" s="237">
        <f>+SUMIFS(JURNAL!G:G,JURNAL!E:E,E73,JURNAL!L:L,$C73,JURNAL!C:C,"&gt;="&amp;$M$3,JURNAL!C:C,"&lt;="&amp;$N$3)</f>
        <v>0</v>
      </c>
      <c r="H73" s="19">
        <f>+SUMIFS(JURNAL!H:H,JURNAL!E:E,E73,JURNAL!L:L,$C73,JURNAL!C:C,"&gt;="&amp;$M$3,JURNAL!C:C,"&lt;="&amp;$N$3)</f>
        <v>0</v>
      </c>
      <c r="I73" s="237">
        <f t="shared" si="8"/>
        <v>0</v>
      </c>
      <c r="J73" s="16">
        <v>320100</v>
      </c>
      <c r="K73" s="237">
        <v>0</v>
      </c>
      <c r="L73" s="237">
        <f>+SUMIFS(JURNAL!G:G,JURNAL!E:E,J73,JURNAL!L:L,$C73,JURNAL!C:C,"&gt;="&amp;$M$3,JURNAL!C:C,"&lt;="&amp;$N$3)</f>
        <v>0</v>
      </c>
      <c r="M73" s="19">
        <f>+SUMIFS(JURNAL!H:H,JURNAL!E:E,J73,JURNAL!L:L,$C73,JURNAL!C:C,"&gt;="&amp;$M$3,JURNAL!C:C,"&lt;="&amp;$N$3)</f>
        <v>0</v>
      </c>
      <c r="N73" s="20">
        <f t="shared" si="9"/>
        <v>0</v>
      </c>
      <c r="O73" s="237">
        <f t="shared" si="10"/>
        <v>0</v>
      </c>
      <c r="P73" s="16">
        <f t="shared" si="11"/>
        <v>320100</v>
      </c>
      <c r="Q73" s="16">
        <f t="shared" si="12"/>
        <v>122000</v>
      </c>
      <c r="R73" s="237">
        <f t="shared" si="13"/>
        <v>0</v>
      </c>
    </row>
    <row r="74" spans="2:18">
      <c r="B74" s="15">
        <f t="shared" si="14"/>
        <v>69</v>
      </c>
      <c r="C74" s="16">
        <f>IFERROR(VLOOKUP(DATA!G72,DATA!$G$4:$J$2149,1,FALSE),"")</f>
        <v>3048</v>
      </c>
      <c r="D74" s="16" t="str">
        <f>+IFERROR(VLOOKUP(C74,DATA!$G$4:$H$2000,2,FALSE),"")</f>
        <v xml:space="preserve">МАК ХХК </v>
      </c>
      <c r="E74" s="16">
        <v>122000</v>
      </c>
      <c r="F74" s="237">
        <v>0</v>
      </c>
      <c r="G74" s="237">
        <f>+SUMIFS(JURNAL!G:G,JURNAL!E:E,E74,JURNAL!L:L,$C74,JURNAL!C:C,"&gt;="&amp;$M$3,JURNAL!C:C,"&lt;="&amp;$N$3)</f>
        <v>0</v>
      </c>
      <c r="H74" s="19">
        <f>+SUMIFS(JURNAL!H:H,JURNAL!E:E,E74,JURNAL!L:L,$C74,JURNAL!C:C,"&gt;="&amp;$M$3,JURNAL!C:C,"&lt;="&amp;$N$3)</f>
        <v>0</v>
      </c>
      <c r="I74" s="237">
        <f t="shared" si="8"/>
        <v>0</v>
      </c>
      <c r="J74" s="16">
        <v>320100</v>
      </c>
      <c r="K74" s="237">
        <v>0</v>
      </c>
      <c r="L74" s="237">
        <f>+SUMIFS(JURNAL!G:G,JURNAL!E:E,J74,JURNAL!L:L,$C74,JURNAL!C:C,"&gt;="&amp;$M$3,JURNAL!C:C,"&lt;="&amp;$N$3)</f>
        <v>0</v>
      </c>
      <c r="M74" s="19">
        <f>+SUMIFS(JURNAL!H:H,JURNAL!E:E,J74,JURNAL!L:L,$C74,JURNAL!C:C,"&gt;="&amp;$M$3,JURNAL!C:C,"&lt;="&amp;$N$3)</f>
        <v>0</v>
      </c>
      <c r="N74" s="20">
        <f t="shared" si="9"/>
        <v>0</v>
      </c>
      <c r="O74" s="237">
        <f t="shared" si="10"/>
        <v>0</v>
      </c>
      <c r="P74" s="16">
        <f t="shared" si="11"/>
        <v>320100</v>
      </c>
      <c r="Q74" s="16">
        <f t="shared" si="12"/>
        <v>122000</v>
      </c>
      <c r="R74" s="237">
        <f t="shared" si="13"/>
        <v>0</v>
      </c>
    </row>
    <row r="75" spans="2:18">
      <c r="B75" s="15">
        <f t="shared" si="14"/>
        <v>70</v>
      </c>
      <c r="C75" s="16">
        <f>IFERROR(VLOOKUP(DATA!G73,DATA!$G$4:$J$2149,1,FALSE),"")</f>
        <v>3049</v>
      </c>
      <c r="D75" s="16" t="str">
        <f>+IFERROR(VLOOKUP(C75,DATA!$G$4:$H$2000,2,FALSE),"")</f>
        <v xml:space="preserve">НОЁН ХХК </v>
      </c>
      <c r="E75" s="16">
        <v>122000</v>
      </c>
      <c r="F75" s="237">
        <v>0</v>
      </c>
      <c r="G75" s="237">
        <f>+SUMIFS(JURNAL!G:G,JURNAL!E:E,E75,JURNAL!L:L,$C75,JURNAL!C:C,"&gt;="&amp;$M$3,JURNAL!C:C,"&lt;="&amp;$N$3)</f>
        <v>0</v>
      </c>
      <c r="H75" s="19">
        <f>+SUMIFS(JURNAL!H:H,JURNAL!E:E,E75,JURNAL!L:L,$C75,JURNAL!C:C,"&gt;="&amp;$M$3,JURNAL!C:C,"&lt;="&amp;$N$3)</f>
        <v>0</v>
      </c>
      <c r="I75" s="237">
        <f t="shared" si="8"/>
        <v>0</v>
      </c>
      <c r="J75" s="16">
        <v>320100</v>
      </c>
      <c r="K75" s="237">
        <v>0</v>
      </c>
      <c r="L75" s="237">
        <f>+SUMIFS(JURNAL!G:G,JURNAL!E:E,J75,JURNAL!L:L,$C75,JURNAL!C:C,"&gt;="&amp;$M$3,JURNAL!C:C,"&lt;="&amp;$N$3)</f>
        <v>0</v>
      </c>
      <c r="M75" s="19">
        <f>+SUMIFS(JURNAL!H:H,JURNAL!E:E,J75,JURNAL!L:L,$C75,JURNAL!C:C,"&gt;="&amp;$M$3,JURNAL!C:C,"&lt;="&amp;$N$3)</f>
        <v>0</v>
      </c>
      <c r="N75" s="20">
        <f t="shared" si="9"/>
        <v>0</v>
      </c>
      <c r="O75" s="237">
        <f t="shared" si="10"/>
        <v>0</v>
      </c>
      <c r="P75" s="16">
        <f t="shared" si="11"/>
        <v>320100</v>
      </c>
      <c r="Q75" s="16">
        <f t="shared" si="12"/>
        <v>122000</v>
      </c>
      <c r="R75" s="237">
        <f t="shared" si="13"/>
        <v>0</v>
      </c>
    </row>
    <row r="76" spans="2:18">
      <c r="B76" s="15">
        <f t="shared" si="14"/>
        <v>71</v>
      </c>
      <c r="C76" s="16">
        <f>IFERROR(VLOOKUP(DATA!G74,DATA!$G$4:$J$2149,1,FALSE),"")</f>
        <v>3050</v>
      </c>
      <c r="D76" s="16" t="str">
        <f>+IFERROR(VLOOKUP(C76,DATA!$G$4:$H$2000,2,FALSE),"")</f>
        <v>БАЯЛАГ ОД ХХК</v>
      </c>
      <c r="E76" s="16">
        <v>122000</v>
      </c>
      <c r="F76" s="237">
        <v>0</v>
      </c>
      <c r="G76" s="237">
        <f>+SUMIFS(JURNAL!G:G,JURNAL!E:E,E76,JURNAL!L:L,$C76,JURNAL!C:C,"&gt;="&amp;$M$3,JURNAL!C:C,"&lt;="&amp;$N$3)</f>
        <v>0</v>
      </c>
      <c r="H76" s="19">
        <f>+SUMIFS(JURNAL!H:H,JURNAL!E:E,E76,JURNAL!L:L,$C76,JURNAL!C:C,"&gt;="&amp;$M$3,JURNAL!C:C,"&lt;="&amp;$N$3)</f>
        <v>0</v>
      </c>
      <c r="I76" s="237">
        <f t="shared" si="8"/>
        <v>0</v>
      </c>
      <c r="J76" s="16">
        <v>320100</v>
      </c>
      <c r="K76" s="237">
        <v>0</v>
      </c>
      <c r="L76" s="237">
        <f>+SUMIFS(JURNAL!G:G,JURNAL!E:E,J76,JURNAL!L:L,$C76,JURNAL!C:C,"&gt;="&amp;$M$3,JURNAL!C:C,"&lt;="&amp;$N$3)</f>
        <v>0</v>
      </c>
      <c r="M76" s="19">
        <f>+SUMIFS(JURNAL!H:H,JURNAL!E:E,J76,JURNAL!L:L,$C76,JURNAL!C:C,"&gt;="&amp;$M$3,JURNAL!C:C,"&lt;="&amp;$N$3)</f>
        <v>0</v>
      </c>
      <c r="N76" s="20">
        <f t="shared" si="9"/>
        <v>0</v>
      </c>
      <c r="O76" s="237">
        <f t="shared" si="10"/>
        <v>0</v>
      </c>
      <c r="P76" s="16">
        <f t="shared" si="11"/>
        <v>320100</v>
      </c>
      <c r="Q76" s="16">
        <f t="shared" si="12"/>
        <v>122000</v>
      </c>
      <c r="R76" s="237">
        <f t="shared" si="13"/>
        <v>0</v>
      </c>
    </row>
    <row r="77" spans="2:18">
      <c r="B77" s="15">
        <f t="shared" si="14"/>
        <v>72</v>
      </c>
      <c r="C77" s="16">
        <f>IFERROR(VLOOKUP(DATA!G75,DATA!$G$4:$J$2149,1,FALSE),"")</f>
        <v>3051</v>
      </c>
      <c r="D77" s="16" t="str">
        <f>+IFERROR(VLOOKUP(C77,DATA!$G$4:$H$2000,2,FALSE),"")</f>
        <v xml:space="preserve">НОМАДС ТУР ХХК </v>
      </c>
      <c r="E77" s="16">
        <v>122000</v>
      </c>
      <c r="F77" s="237">
        <v>0</v>
      </c>
      <c r="G77" s="237">
        <f>+SUMIFS(JURNAL!G:G,JURNAL!E:E,E77,JURNAL!L:L,$C77,JURNAL!C:C,"&gt;="&amp;$M$3,JURNAL!C:C,"&lt;="&amp;$N$3)</f>
        <v>0</v>
      </c>
      <c r="H77" s="19">
        <f>+SUMIFS(JURNAL!H:H,JURNAL!E:E,E77,JURNAL!L:L,$C77,JURNAL!C:C,"&gt;="&amp;$M$3,JURNAL!C:C,"&lt;="&amp;$N$3)</f>
        <v>0</v>
      </c>
      <c r="I77" s="237">
        <f t="shared" si="8"/>
        <v>0</v>
      </c>
      <c r="J77" s="16">
        <v>320100</v>
      </c>
      <c r="K77" s="237">
        <v>0</v>
      </c>
      <c r="L77" s="237">
        <f>+SUMIFS(JURNAL!G:G,JURNAL!E:E,J77,JURNAL!L:L,$C77,JURNAL!C:C,"&gt;="&amp;$M$3,JURNAL!C:C,"&lt;="&amp;$N$3)</f>
        <v>143640</v>
      </c>
      <c r="M77" s="19">
        <f>+SUMIFS(JURNAL!H:H,JURNAL!E:E,J77,JURNAL!L:L,$C77,JURNAL!C:C,"&gt;="&amp;$M$3,JURNAL!C:C,"&lt;="&amp;$N$3)</f>
        <v>143640</v>
      </c>
      <c r="N77" s="20">
        <f t="shared" si="9"/>
        <v>0</v>
      </c>
      <c r="O77" s="237">
        <f t="shared" si="10"/>
        <v>0</v>
      </c>
      <c r="P77" s="16">
        <f t="shared" si="11"/>
        <v>320100</v>
      </c>
      <c r="Q77" s="16">
        <f t="shared" si="12"/>
        <v>122000</v>
      </c>
      <c r="R77" s="237">
        <f t="shared" si="13"/>
        <v>0</v>
      </c>
    </row>
    <row r="78" spans="2:18">
      <c r="B78" s="15">
        <f t="shared" si="14"/>
        <v>73</v>
      </c>
      <c r="C78" s="16">
        <f>IFERROR(VLOOKUP(DATA!G76,DATA!$G$4:$J$2149,1,FALSE),"")</f>
        <v>3052</v>
      </c>
      <c r="D78" s="16" t="str">
        <f>+IFERROR(VLOOKUP(C78,DATA!$G$4:$H$2000,2,FALSE),"")</f>
        <v>ШИНЭ ОРОН СУУЦ ХХК</v>
      </c>
      <c r="E78" s="16">
        <v>122000</v>
      </c>
      <c r="F78" s="237">
        <v>0</v>
      </c>
      <c r="G78" s="237">
        <f>+SUMIFS(JURNAL!G:G,JURNAL!E:E,E78,JURNAL!L:L,$C78,JURNAL!C:C,"&gt;="&amp;$M$3,JURNAL!C:C,"&lt;="&amp;$N$3)</f>
        <v>0</v>
      </c>
      <c r="H78" s="19">
        <f>+SUMIFS(JURNAL!H:H,JURNAL!E:E,E78,JURNAL!L:L,$C78,JURNAL!C:C,"&gt;="&amp;$M$3,JURNAL!C:C,"&lt;="&amp;$N$3)</f>
        <v>0</v>
      </c>
      <c r="I78" s="237">
        <f t="shared" si="8"/>
        <v>0</v>
      </c>
      <c r="J78" s="16">
        <v>320100</v>
      </c>
      <c r="K78" s="237">
        <v>0</v>
      </c>
      <c r="L78" s="237">
        <f>+SUMIFS(JURNAL!G:G,JURNAL!E:E,J78,JURNAL!L:L,$C78,JURNAL!C:C,"&gt;="&amp;$M$3,JURNAL!C:C,"&lt;="&amp;$N$3)</f>
        <v>693000</v>
      </c>
      <c r="M78" s="19">
        <f>+SUMIFS(JURNAL!H:H,JURNAL!E:E,J78,JURNAL!L:L,$C78,JURNAL!C:C,"&gt;="&amp;$M$3,JURNAL!C:C,"&lt;="&amp;$N$3)</f>
        <v>693000</v>
      </c>
      <c r="N78" s="20">
        <f t="shared" si="9"/>
        <v>0</v>
      </c>
      <c r="O78" s="237">
        <f t="shared" si="10"/>
        <v>0</v>
      </c>
      <c r="P78" s="16">
        <f t="shared" si="11"/>
        <v>320100</v>
      </c>
      <c r="Q78" s="16">
        <f t="shared" si="12"/>
        <v>122000</v>
      </c>
      <c r="R78" s="237">
        <f t="shared" si="13"/>
        <v>0</v>
      </c>
    </row>
    <row r="79" spans="2:18">
      <c r="B79" s="15">
        <f t="shared" si="14"/>
        <v>74</v>
      </c>
      <c r="C79" s="16">
        <f>IFERROR(VLOOKUP(DATA!G77,DATA!$G$4:$J$2149,1,FALSE),"")</f>
        <v>3053</v>
      </c>
      <c r="D79" s="16" t="str">
        <f>+IFERROR(VLOOKUP(C79,DATA!$G$4:$H$2000,2,FALSE),"")</f>
        <v>ЧИНГИС ТРЕЙД ХХК</v>
      </c>
      <c r="E79" s="16">
        <v>122000</v>
      </c>
      <c r="F79" s="237">
        <v>0</v>
      </c>
      <c r="G79" s="237">
        <f>+SUMIFS(JURNAL!G:G,JURNAL!E:E,E79,JURNAL!L:L,$C79,JURNAL!C:C,"&gt;="&amp;$M$3,JURNAL!C:C,"&lt;="&amp;$N$3)</f>
        <v>0</v>
      </c>
      <c r="H79" s="19">
        <f>+SUMIFS(JURNAL!H:H,JURNAL!E:E,E79,JURNAL!L:L,$C79,JURNAL!C:C,"&gt;="&amp;$M$3,JURNAL!C:C,"&lt;="&amp;$N$3)</f>
        <v>0</v>
      </c>
      <c r="I79" s="237">
        <f t="shared" si="8"/>
        <v>0</v>
      </c>
      <c r="J79" s="16">
        <v>320100</v>
      </c>
      <c r="K79" s="237">
        <v>0</v>
      </c>
      <c r="L79" s="237">
        <f>+SUMIFS(JURNAL!G:G,JURNAL!E:E,J79,JURNAL!L:L,$C79,JURNAL!C:C,"&gt;="&amp;$M$3,JURNAL!C:C,"&lt;="&amp;$N$3)</f>
        <v>0</v>
      </c>
      <c r="M79" s="19">
        <f>+SUMIFS(JURNAL!H:H,JURNAL!E:E,J79,JURNAL!L:L,$C79,JURNAL!C:C,"&gt;="&amp;$M$3,JURNAL!C:C,"&lt;="&amp;$N$3)</f>
        <v>0</v>
      </c>
      <c r="N79" s="20">
        <f t="shared" si="9"/>
        <v>0</v>
      </c>
      <c r="O79" s="237">
        <f t="shared" si="10"/>
        <v>0</v>
      </c>
      <c r="P79" s="16">
        <f t="shared" si="11"/>
        <v>320100</v>
      </c>
      <c r="Q79" s="16">
        <f t="shared" si="12"/>
        <v>122000</v>
      </c>
      <c r="R79" s="237">
        <f t="shared" si="13"/>
        <v>0</v>
      </c>
    </row>
    <row r="80" spans="2:18">
      <c r="B80" s="15">
        <f t="shared" si="14"/>
        <v>75</v>
      </c>
      <c r="C80" s="16">
        <f>IFERROR(VLOOKUP(DATA!G78,DATA!$G$4:$J$2149,1,FALSE),"")</f>
        <v>3054</v>
      </c>
      <c r="D80" s="16" t="str">
        <f>+IFERROR(VLOOKUP(C80,DATA!$G$4:$H$2000,2,FALSE),"")</f>
        <v>3 МЕН ХХК</v>
      </c>
      <c r="E80" s="16">
        <v>122000</v>
      </c>
      <c r="F80" s="237">
        <v>0</v>
      </c>
      <c r="G80" s="237">
        <f>+SUMIFS(JURNAL!G:G,JURNAL!E:E,E80,JURNAL!L:L,$C80,JURNAL!C:C,"&gt;="&amp;$M$3,JURNAL!C:C,"&lt;="&amp;$N$3)</f>
        <v>0</v>
      </c>
      <c r="H80" s="19">
        <f>+SUMIFS(JURNAL!H:H,JURNAL!E:E,E80,JURNAL!L:L,$C80,JURNAL!C:C,"&gt;="&amp;$M$3,JURNAL!C:C,"&lt;="&amp;$N$3)</f>
        <v>0</v>
      </c>
      <c r="I80" s="237">
        <f t="shared" si="8"/>
        <v>0</v>
      </c>
      <c r="J80" s="16">
        <v>320100</v>
      </c>
      <c r="K80" s="237">
        <v>0</v>
      </c>
      <c r="L80" s="237">
        <f>+SUMIFS(JURNAL!G:G,JURNAL!E:E,J80,JURNAL!L:L,$C80,JURNAL!C:C,"&gt;="&amp;$M$3,JURNAL!C:C,"&lt;="&amp;$N$3)</f>
        <v>0</v>
      </c>
      <c r="M80" s="19">
        <f>+SUMIFS(JURNAL!H:H,JURNAL!E:E,J80,JURNAL!L:L,$C80,JURNAL!C:C,"&gt;="&amp;$M$3,JURNAL!C:C,"&lt;="&amp;$N$3)</f>
        <v>0</v>
      </c>
      <c r="N80" s="20">
        <f t="shared" si="9"/>
        <v>0</v>
      </c>
      <c r="O80" s="237">
        <f t="shared" si="10"/>
        <v>0</v>
      </c>
      <c r="P80" s="16">
        <f t="shared" si="11"/>
        <v>320100</v>
      </c>
      <c r="Q80" s="16">
        <f t="shared" si="12"/>
        <v>122000</v>
      </c>
      <c r="R80" s="237">
        <f t="shared" si="13"/>
        <v>0</v>
      </c>
    </row>
    <row r="81" spans="2:18">
      <c r="B81" s="15">
        <f t="shared" si="14"/>
        <v>76</v>
      </c>
      <c r="C81" s="16">
        <f>IFERROR(VLOOKUP(DATA!G79,DATA!$G$4:$J$2149,1,FALSE),"")</f>
        <v>3055</v>
      </c>
      <c r="D81" s="16" t="str">
        <f>+IFERROR(VLOOKUP(C81,DATA!$G$4:$H$2000,2,FALSE),"")</f>
        <v xml:space="preserve">МЧБС ХХК </v>
      </c>
      <c r="E81" s="16">
        <v>122000</v>
      </c>
      <c r="F81" s="237">
        <v>0</v>
      </c>
      <c r="G81" s="237">
        <f>+SUMIFS(JURNAL!G:G,JURNAL!E:E,E81,JURNAL!L:L,$C81,JURNAL!C:C,"&gt;="&amp;$M$3,JURNAL!C:C,"&lt;="&amp;$N$3)</f>
        <v>0</v>
      </c>
      <c r="H81" s="19">
        <f>+SUMIFS(JURNAL!H:H,JURNAL!E:E,E81,JURNAL!L:L,$C81,JURNAL!C:C,"&gt;="&amp;$M$3,JURNAL!C:C,"&lt;="&amp;$N$3)</f>
        <v>0</v>
      </c>
      <c r="I81" s="237">
        <f t="shared" si="8"/>
        <v>0</v>
      </c>
      <c r="J81" s="16">
        <v>320100</v>
      </c>
      <c r="K81" s="237">
        <v>0</v>
      </c>
      <c r="L81" s="237">
        <f>+SUMIFS(JURNAL!G:G,JURNAL!E:E,J81,JURNAL!L:L,$C81,JURNAL!C:C,"&gt;="&amp;$M$3,JURNAL!C:C,"&lt;="&amp;$N$3)</f>
        <v>397300</v>
      </c>
      <c r="M81" s="19">
        <f>+SUMIFS(JURNAL!H:H,JURNAL!E:E,J81,JURNAL!L:L,$C81,JURNAL!C:C,"&gt;="&amp;$M$3,JURNAL!C:C,"&lt;="&amp;$N$3)</f>
        <v>397300</v>
      </c>
      <c r="N81" s="20">
        <f t="shared" si="9"/>
        <v>0</v>
      </c>
      <c r="O81" s="237">
        <f t="shared" si="10"/>
        <v>0</v>
      </c>
      <c r="P81" s="16">
        <f t="shared" si="11"/>
        <v>320100</v>
      </c>
      <c r="Q81" s="16">
        <f t="shared" si="12"/>
        <v>122000</v>
      </c>
      <c r="R81" s="237">
        <f t="shared" si="13"/>
        <v>0</v>
      </c>
    </row>
    <row r="82" spans="2:18">
      <c r="B82" s="15">
        <f t="shared" si="14"/>
        <v>77</v>
      </c>
      <c r="C82" s="16">
        <f>IFERROR(VLOOKUP(DATA!G80,DATA!$G$4:$J$2149,1,FALSE),"")</f>
        <v>3056</v>
      </c>
      <c r="D82" s="16" t="str">
        <f>+IFERROR(VLOOKUP(C82,DATA!$G$4:$H$2000,2,FALSE),"")</f>
        <v xml:space="preserve">САНТ-АСАР ХХК </v>
      </c>
      <c r="E82" s="16">
        <v>122000</v>
      </c>
      <c r="F82" s="237">
        <v>0</v>
      </c>
      <c r="G82" s="237">
        <f>+SUMIFS(JURNAL!G:G,JURNAL!E:E,E82,JURNAL!L:L,$C82,JURNAL!C:C,"&gt;="&amp;$M$3,JURNAL!C:C,"&lt;="&amp;$N$3)</f>
        <v>0</v>
      </c>
      <c r="H82" s="19">
        <f>+SUMIFS(JURNAL!H:H,JURNAL!E:E,E82,JURNAL!L:L,$C82,JURNAL!C:C,"&gt;="&amp;$M$3,JURNAL!C:C,"&lt;="&amp;$N$3)</f>
        <v>0</v>
      </c>
      <c r="I82" s="237">
        <f t="shared" si="8"/>
        <v>0</v>
      </c>
      <c r="J82" s="16">
        <v>320100</v>
      </c>
      <c r="K82" s="237">
        <v>0</v>
      </c>
      <c r="L82" s="237">
        <f>+SUMIFS(JURNAL!G:G,JURNAL!E:E,J82,JURNAL!L:L,$C82,JURNAL!C:C,"&gt;="&amp;$M$3,JURNAL!C:C,"&lt;="&amp;$N$3)</f>
        <v>0</v>
      </c>
      <c r="M82" s="19">
        <f>+SUMIFS(JURNAL!H:H,JURNAL!E:E,J82,JURNAL!L:L,$C82,JURNAL!C:C,"&gt;="&amp;$M$3,JURNAL!C:C,"&lt;="&amp;$N$3)</f>
        <v>0</v>
      </c>
      <c r="N82" s="20">
        <f t="shared" si="9"/>
        <v>0</v>
      </c>
      <c r="O82" s="237">
        <f t="shared" si="10"/>
        <v>0</v>
      </c>
      <c r="P82" s="16">
        <f t="shared" si="11"/>
        <v>320100</v>
      </c>
      <c r="Q82" s="16">
        <f t="shared" si="12"/>
        <v>122000</v>
      </c>
      <c r="R82" s="237">
        <f t="shared" si="13"/>
        <v>0</v>
      </c>
    </row>
    <row r="83" spans="2:18">
      <c r="B83" s="15">
        <f t="shared" si="14"/>
        <v>78</v>
      </c>
      <c r="C83" s="16">
        <f>IFERROR(VLOOKUP(DATA!G81,DATA!$G$4:$J$2149,1,FALSE),"")</f>
        <v>3057</v>
      </c>
      <c r="D83" s="16" t="str">
        <f>+IFERROR(VLOOKUP(C83,DATA!$G$4:$H$2000,2,FALSE),"")</f>
        <v>ЕНТҮМ ТРЭЙВЭЛ ХХК</v>
      </c>
      <c r="E83" s="16">
        <v>122000</v>
      </c>
      <c r="F83" s="237">
        <v>0</v>
      </c>
      <c r="G83" s="237">
        <f>+SUMIFS(JURNAL!G:G,JURNAL!E:E,E83,JURNAL!L:L,$C83,JURNAL!C:C,"&gt;="&amp;$M$3,JURNAL!C:C,"&lt;="&amp;$N$3)</f>
        <v>0</v>
      </c>
      <c r="H83" s="19">
        <f>+SUMIFS(JURNAL!H:H,JURNAL!E:E,E83,JURNAL!L:L,$C83,JURNAL!C:C,"&gt;="&amp;$M$3,JURNAL!C:C,"&lt;="&amp;$N$3)</f>
        <v>0</v>
      </c>
      <c r="I83" s="237">
        <f t="shared" si="8"/>
        <v>0</v>
      </c>
      <c r="J83" s="16">
        <v>320100</v>
      </c>
      <c r="K83" s="237">
        <v>0</v>
      </c>
      <c r="L83" s="237">
        <f>+SUMIFS(JURNAL!G:G,JURNAL!E:E,J83,JURNAL!L:L,$C83,JURNAL!C:C,"&gt;="&amp;$M$3,JURNAL!C:C,"&lt;="&amp;$N$3)</f>
        <v>0</v>
      </c>
      <c r="M83" s="19">
        <f>+SUMIFS(JURNAL!H:H,JURNAL!E:E,J83,JURNAL!L:L,$C83,JURNAL!C:C,"&gt;="&amp;$M$3,JURNAL!C:C,"&lt;="&amp;$N$3)</f>
        <v>0</v>
      </c>
      <c r="N83" s="20">
        <f t="shared" si="9"/>
        <v>0</v>
      </c>
      <c r="O83" s="237">
        <f t="shared" si="10"/>
        <v>0</v>
      </c>
      <c r="P83" s="16">
        <f t="shared" si="11"/>
        <v>320100</v>
      </c>
      <c r="Q83" s="16">
        <f t="shared" si="12"/>
        <v>122000</v>
      </c>
      <c r="R83" s="237">
        <f t="shared" si="13"/>
        <v>0</v>
      </c>
    </row>
    <row r="84" spans="2:18">
      <c r="B84" s="15">
        <f t="shared" si="14"/>
        <v>79</v>
      </c>
      <c r="C84" s="16">
        <f>IFERROR(VLOOKUP(DATA!G82,DATA!$G$4:$J$2149,1,FALSE),"")</f>
        <v>3058</v>
      </c>
      <c r="D84" s="16" t="str">
        <f>+IFERROR(VLOOKUP(C84,DATA!$G$4:$H$2000,2,FALSE),"")</f>
        <v>БЕСТ СТАЙЛ ХХК</v>
      </c>
      <c r="E84" s="16">
        <v>122000</v>
      </c>
      <c r="F84" s="237">
        <v>0</v>
      </c>
      <c r="G84" s="237">
        <f>+SUMIFS(JURNAL!G:G,JURNAL!E:E,E84,JURNAL!L:L,$C84,JURNAL!C:C,"&gt;="&amp;$M$3,JURNAL!C:C,"&lt;="&amp;$N$3)</f>
        <v>0</v>
      </c>
      <c r="H84" s="19">
        <f>+SUMIFS(JURNAL!H:H,JURNAL!E:E,E84,JURNAL!L:L,$C84,JURNAL!C:C,"&gt;="&amp;$M$3,JURNAL!C:C,"&lt;="&amp;$N$3)</f>
        <v>0</v>
      </c>
      <c r="I84" s="237">
        <f t="shared" si="8"/>
        <v>0</v>
      </c>
      <c r="J84" s="16">
        <v>320100</v>
      </c>
      <c r="K84" s="237">
        <v>0</v>
      </c>
      <c r="L84" s="237">
        <f>+SUMIFS(JURNAL!G:G,JURNAL!E:E,J84,JURNAL!L:L,$C84,JURNAL!C:C,"&gt;="&amp;$M$3,JURNAL!C:C,"&lt;="&amp;$N$3)</f>
        <v>0</v>
      </c>
      <c r="M84" s="19">
        <f>+SUMIFS(JURNAL!H:H,JURNAL!E:E,J84,JURNAL!L:L,$C84,JURNAL!C:C,"&gt;="&amp;$M$3,JURNAL!C:C,"&lt;="&amp;$N$3)</f>
        <v>0</v>
      </c>
      <c r="N84" s="20">
        <f t="shared" si="9"/>
        <v>0</v>
      </c>
      <c r="O84" s="237">
        <f t="shared" si="10"/>
        <v>0</v>
      </c>
      <c r="P84" s="16">
        <f t="shared" si="11"/>
        <v>320100</v>
      </c>
      <c r="Q84" s="16">
        <f t="shared" si="12"/>
        <v>122000</v>
      </c>
      <c r="R84" s="237">
        <f t="shared" si="13"/>
        <v>0</v>
      </c>
    </row>
    <row r="85" spans="2:18">
      <c r="B85" s="15">
        <f t="shared" si="14"/>
        <v>80</v>
      </c>
      <c r="C85" s="16">
        <f>IFERROR(VLOOKUP(DATA!G83,DATA!$G$4:$J$2149,1,FALSE),"")</f>
        <v>3059</v>
      </c>
      <c r="D85" s="16" t="str">
        <f>+IFERROR(VLOOKUP(C85,DATA!$G$4:$H$2000,2,FALSE),"")</f>
        <v>ЦАМХАГТ АСАР КОНСТРАКШН ХХК</v>
      </c>
      <c r="E85" s="16">
        <v>122000</v>
      </c>
      <c r="F85" s="237">
        <v>0</v>
      </c>
      <c r="G85" s="237">
        <f>+SUMIFS(JURNAL!G:G,JURNAL!E:E,E85,JURNAL!L:L,$C85,JURNAL!C:C,"&gt;="&amp;$M$3,JURNAL!C:C,"&lt;="&amp;$N$3)</f>
        <v>0</v>
      </c>
      <c r="H85" s="19">
        <f>+SUMIFS(JURNAL!H:H,JURNAL!E:E,E85,JURNAL!L:L,$C85,JURNAL!C:C,"&gt;="&amp;$M$3,JURNAL!C:C,"&lt;="&amp;$N$3)</f>
        <v>0</v>
      </c>
      <c r="I85" s="237">
        <f t="shared" si="8"/>
        <v>0</v>
      </c>
      <c r="J85" s="16">
        <v>320100</v>
      </c>
      <c r="K85" s="237">
        <v>0</v>
      </c>
      <c r="L85" s="237">
        <f>+SUMIFS(JURNAL!G:G,JURNAL!E:E,J85,JURNAL!L:L,$C85,JURNAL!C:C,"&gt;="&amp;$M$3,JURNAL!C:C,"&lt;="&amp;$N$3)</f>
        <v>601920</v>
      </c>
      <c r="M85" s="19">
        <f>+SUMIFS(JURNAL!H:H,JURNAL!E:E,J85,JURNAL!L:L,$C85,JURNAL!C:C,"&gt;="&amp;$M$3,JURNAL!C:C,"&lt;="&amp;$N$3)</f>
        <v>601920</v>
      </c>
      <c r="N85" s="20">
        <f t="shared" si="9"/>
        <v>0</v>
      </c>
      <c r="O85" s="237">
        <f t="shared" si="10"/>
        <v>0</v>
      </c>
      <c r="P85" s="16">
        <f t="shared" si="11"/>
        <v>320100</v>
      </c>
      <c r="Q85" s="16">
        <f t="shared" si="12"/>
        <v>122000</v>
      </c>
      <c r="R85" s="237">
        <f t="shared" si="13"/>
        <v>0</v>
      </c>
    </row>
    <row r="86" spans="2:18">
      <c r="B86" s="15">
        <f t="shared" si="14"/>
        <v>81</v>
      </c>
      <c r="C86" s="16">
        <f>IFERROR(VLOOKUP(DATA!G84,DATA!$G$4:$J$2149,1,FALSE),"")</f>
        <v>3060</v>
      </c>
      <c r="D86" s="16" t="str">
        <f>+IFERROR(VLOOKUP(C86,DATA!$G$4:$H$2000,2,FALSE),"")</f>
        <v>САУНД ОФ МОНГОЛИЯ ХХК</v>
      </c>
      <c r="E86" s="16">
        <v>122000</v>
      </c>
      <c r="F86" s="237">
        <v>0</v>
      </c>
      <c r="G86" s="237">
        <f>+SUMIFS(JURNAL!G:G,JURNAL!E:E,E86,JURNAL!L:L,$C86,JURNAL!C:C,"&gt;="&amp;$M$3,JURNAL!C:C,"&lt;="&amp;$N$3)</f>
        <v>0</v>
      </c>
      <c r="H86" s="19">
        <f>+SUMIFS(JURNAL!H:H,JURNAL!E:E,E86,JURNAL!L:L,$C86,JURNAL!C:C,"&gt;="&amp;$M$3,JURNAL!C:C,"&lt;="&amp;$N$3)</f>
        <v>0</v>
      </c>
      <c r="I86" s="237">
        <f t="shared" si="8"/>
        <v>0</v>
      </c>
      <c r="J86" s="16">
        <v>320100</v>
      </c>
      <c r="K86" s="237">
        <v>0</v>
      </c>
      <c r="L86" s="237">
        <f>+SUMIFS(JURNAL!G:G,JURNAL!E:E,J86,JURNAL!L:L,$C86,JURNAL!C:C,"&gt;="&amp;$M$3,JURNAL!C:C,"&lt;="&amp;$N$3)</f>
        <v>0</v>
      </c>
      <c r="M86" s="19">
        <f>+SUMIFS(JURNAL!H:H,JURNAL!E:E,J86,JURNAL!L:L,$C86,JURNAL!C:C,"&gt;="&amp;$M$3,JURNAL!C:C,"&lt;="&amp;$N$3)</f>
        <v>0</v>
      </c>
      <c r="N86" s="20">
        <f t="shared" si="9"/>
        <v>0</v>
      </c>
      <c r="O86" s="237">
        <f t="shared" si="10"/>
        <v>0</v>
      </c>
      <c r="P86" s="16">
        <f t="shared" si="11"/>
        <v>320100</v>
      </c>
      <c r="Q86" s="16">
        <f t="shared" si="12"/>
        <v>122000</v>
      </c>
      <c r="R86" s="237">
        <f t="shared" si="13"/>
        <v>0</v>
      </c>
    </row>
    <row r="87" spans="2:18">
      <c r="B87" s="15">
        <f t="shared" si="14"/>
        <v>82</v>
      </c>
      <c r="C87" s="16">
        <f>IFERROR(VLOOKUP(DATA!G85,DATA!$G$4:$J$2149,1,FALSE),"")</f>
        <v>3061</v>
      </c>
      <c r="D87" s="16" t="str">
        <f>+IFERROR(VLOOKUP(C87,DATA!$G$4:$H$2000,2,FALSE),"")</f>
        <v>СТИМО ХХК</v>
      </c>
      <c r="E87" s="16">
        <v>122000</v>
      </c>
      <c r="F87" s="237">
        <v>0</v>
      </c>
      <c r="G87" s="237">
        <f>+SUMIFS(JURNAL!G:G,JURNAL!E:E,E87,JURNAL!L:L,$C87,JURNAL!C:C,"&gt;="&amp;$M$3,JURNAL!C:C,"&lt;="&amp;$N$3)</f>
        <v>0</v>
      </c>
      <c r="H87" s="19">
        <f>+SUMIFS(JURNAL!H:H,JURNAL!E:E,E87,JURNAL!L:L,$C87,JURNAL!C:C,"&gt;="&amp;$M$3,JURNAL!C:C,"&lt;="&amp;$N$3)</f>
        <v>0</v>
      </c>
      <c r="I87" s="237">
        <f t="shared" si="8"/>
        <v>0</v>
      </c>
      <c r="J87" s="16">
        <v>320100</v>
      </c>
      <c r="K87" s="237">
        <v>0</v>
      </c>
      <c r="L87" s="237">
        <f>+SUMIFS(JURNAL!G:G,JURNAL!E:E,J87,JURNAL!L:L,$C87,JURNAL!C:C,"&gt;="&amp;$M$3,JURNAL!C:C,"&lt;="&amp;$N$3)</f>
        <v>899250</v>
      </c>
      <c r="M87" s="19">
        <f>+SUMIFS(JURNAL!H:H,JURNAL!E:E,J87,JURNAL!L:L,$C87,JURNAL!C:C,"&gt;="&amp;$M$3,JURNAL!C:C,"&lt;="&amp;$N$3)</f>
        <v>899250</v>
      </c>
      <c r="N87" s="20">
        <f t="shared" si="9"/>
        <v>0</v>
      </c>
      <c r="O87" s="237">
        <f t="shared" si="10"/>
        <v>0</v>
      </c>
      <c r="P87" s="16">
        <f t="shared" si="11"/>
        <v>320100</v>
      </c>
      <c r="Q87" s="16">
        <f t="shared" si="12"/>
        <v>122000</v>
      </c>
      <c r="R87" s="237">
        <f t="shared" si="13"/>
        <v>0</v>
      </c>
    </row>
    <row r="88" spans="2:18">
      <c r="B88" s="15">
        <f t="shared" si="14"/>
        <v>83</v>
      </c>
      <c r="C88" s="16">
        <f>IFERROR(VLOOKUP(DATA!G86,DATA!$G$4:$J$2149,1,FALSE),"")</f>
        <v>3062</v>
      </c>
      <c r="D88" s="16" t="str">
        <f>+IFERROR(VLOOKUP(C88,DATA!$G$4:$H$2000,2,FALSE),"")</f>
        <v>УНДРУУЛАН ФҮҮД ХХК</v>
      </c>
      <c r="E88" s="16">
        <v>122000</v>
      </c>
      <c r="F88" s="237">
        <v>0</v>
      </c>
      <c r="G88" s="237">
        <f>+SUMIFS(JURNAL!G:G,JURNAL!E:E,E88,JURNAL!L:L,$C88,JURNAL!C:C,"&gt;="&amp;$M$3,JURNAL!C:C,"&lt;="&amp;$N$3)</f>
        <v>0</v>
      </c>
      <c r="H88" s="19">
        <f>+SUMIFS(JURNAL!H:H,JURNAL!E:E,E88,JURNAL!L:L,$C88,JURNAL!C:C,"&gt;="&amp;$M$3,JURNAL!C:C,"&lt;="&amp;$N$3)</f>
        <v>0</v>
      </c>
      <c r="I88" s="237">
        <f t="shared" si="8"/>
        <v>0</v>
      </c>
      <c r="J88" s="16">
        <v>320100</v>
      </c>
      <c r="K88" s="237">
        <v>0</v>
      </c>
      <c r="L88" s="237">
        <f>+SUMIFS(JURNAL!G:G,JURNAL!E:E,J88,JURNAL!L:L,$C88,JURNAL!C:C,"&gt;="&amp;$M$3,JURNAL!C:C,"&lt;="&amp;$N$3)</f>
        <v>0</v>
      </c>
      <c r="M88" s="19">
        <f>+SUMIFS(JURNAL!H:H,JURNAL!E:E,J88,JURNAL!L:L,$C88,JURNAL!C:C,"&gt;="&amp;$M$3,JURNAL!C:C,"&lt;="&amp;$N$3)</f>
        <v>0</v>
      </c>
      <c r="N88" s="20">
        <f t="shared" si="9"/>
        <v>0</v>
      </c>
      <c r="O88" s="237">
        <f t="shared" si="10"/>
        <v>0</v>
      </c>
      <c r="P88" s="16">
        <f t="shared" si="11"/>
        <v>320100</v>
      </c>
      <c r="Q88" s="16">
        <f t="shared" si="12"/>
        <v>122000</v>
      </c>
      <c r="R88" s="237">
        <f t="shared" si="13"/>
        <v>0</v>
      </c>
    </row>
    <row r="89" spans="2:18">
      <c r="B89" s="15">
        <f t="shared" si="14"/>
        <v>84</v>
      </c>
      <c r="C89" s="16">
        <f>IFERROR(VLOOKUP(DATA!G87,DATA!$G$4:$J$2149,1,FALSE),"")</f>
        <v>3063</v>
      </c>
      <c r="D89" s="16" t="str">
        <f>+IFERROR(VLOOKUP(C89,DATA!$G$4:$H$2000,2,FALSE),"")</f>
        <v>МЭЖИК ДООР ХХК</v>
      </c>
      <c r="E89" s="16">
        <v>122000</v>
      </c>
      <c r="F89" s="237">
        <v>0</v>
      </c>
      <c r="G89" s="237">
        <f>+SUMIFS(JURNAL!G:G,JURNAL!E:E,E89,JURNAL!L:L,$C89,JURNAL!C:C,"&gt;="&amp;$M$3,JURNAL!C:C,"&lt;="&amp;$N$3)</f>
        <v>0</v>
      </c>
      <c r="H89" s="19">
        <f>+SUMIFS(JURNAL!H:H,JURNAL!E:E,E89,JURNAL!L:L,$C89,JURNAL!C:C,"&gt;="&amp;$M$3,JURNAL!C:C,"&lt;="&amp;$N$3)</f>
        <v>0</v>
      </c>
      <c r="I89" s="237">
        <f t="shared" si="8"/>
        <v>0</v>
      </c>
      <c r="J89" s="16">
        <v>320100</v>
      </c>
      <c r="K89" s="237">
        <v>0</v>
      </c>
      <c r="L89" s="237">
        <f>+SUMIFS(JURNAL!G:G,JURNAL!E:E,J89,JURNAL!L:L,$C89,JURNAL!C:C,"&gt;="&amp;$M$3,JURNAL!C:C,"&lt;="&amp;$N$3)</f>
        <v>0</v>
      </c>
      <c r="M89" s="19">
        <f>+SUMIFS(JURNAL!H:H,JURNAL!E:E,J89,JURNAL!L:L,$C89,JURNAL!C:C,"&gt;="&amp;$M$3,JURNAL!C:C,"&lt;="&amp;$N$3)</f>
        <v>0</v>
      </c>
      <c r="N89" s="20">
        <f t="shared" si="9"/>
        <v>0</v>
      </c>
      <c r="O89" s="237">
        <f t="shared" si="10"/>
        <v>0</v>
      </c>
      <c r="P89" s="16">
        <f t="shared" si="11"/>
        <v>320100</v>
      </c>
      <c r="Q89" s="16">
        <f t="shared" si="12"/>
        <v>122000</v>
      </c>
      <c r="R89" s="237">
        <f t="shared" si="13"/>
        <v>0</v>
      </c>
    </row>
    <row r="90" spans="2:18">
      <c r="B90" s="15">
        <f t="shared" si="14"/>
        <v>85</v>
      </c>
      <c r="C90" s="16">
        <f>IFERROR(VLOOKUP(DATA!G88,DATA!$G$4:$J$2149,1,FALSE),"")</f>
        <v>3064</v>
      </c>
      <c r="D90" s="16" t="str">
        <f>+IFERROR(VLOOKUP(C90,DATA!$G$4:$H$2000,2,FALSE),"")</f>
        <v xml:space="preserve">МИОТ ХХ </v>
      </c>
      <c r="E90" s="16">
        <v>122000</v>
      </c>
      <c r="F90" s="237">
        <v>0</v>
      </c>
      <c r="G90" s="237">
        <f>+SUMIFS(JURNAL!G:G,JURNAL!E:E,E90,JURNAL!L:L,$C90,JURNAL!C:C,"&gt;="&amp;$M$3,JURNAL!C:C,"&lt;="&amp;$N$3)</f>
        <v>0</v>
      </c>
      <c r="H90" s="19">
        <f>+SUMIFS(JURNAL!H:H,JURNAL!E:E,E90,JURNAL!L:L,$C90,JURNAL!C:C,"&gt;="&amp;$M$3,JURNAL!C:C,"&lt;="&amp;$N$3)</f>
        <v>0</v>
      </c>
      <c r="I90" s="237">
        <f t="shared" si="8"/>
        <v>0</v>
      </c>
      <c r="J90" s="16">
        <v>320100</v>
      </c>
      <c r="K90" s="237">
        <v>0</v>
      </c>
      <c r="L90" s="237">
        <f>+SUMIFS(JURNAL!G:G,JURNAL!E:E,J90,JURNAL!L:L,$C90,JURNAL!C:C,"&gt;="&amp;$M$3,JURNAL!C:C,"&lt;="&amp;$N$3)</f>
        <v>0</v>
      </c>
      <c r="M90" s="19">
        <f>+SUMIFS(JURNAL!H:H,JURNAL!E:E,J90,JURNAL!L:L,$C90,JURNAL!C:C,"&gt;="&amp;$M$3,JURNAL!C:C,"&lt;="&amp;$N$3)</f>
        <v>0</v>
      </c>
      <c r="N90" s="20">
        <f t="shared" si="9"/>
        <v>0</v>
      </c>
      <c r="O90" s="237">
        <f t="shared" si="10"/>
        <v>0</v>
      </c>
      <c r="P90" s="16">
        <f t="shared" si="11"/>
        <v>320100</v>
      </c>
      <c r="Q90" s="16">
        <f t="shared" si="12"/>
        <v>122000</v>
      </c>
      <c r="R90" s="237">
        <f t="shared" si="13"/>
        <v>0</v>
      </c>
    </row>
    <row r="91" spans="2:18">
      <c r="B91" s="15">
        <f t="shared" si="14"/>
        <v>86</v>
      </c>
      <c r="C91" s="16">
        <f>IFERROR(VLOOKUP(DATA!G89,DATA!$G$4:$J$2149,1,FALSE),"")</f>
        <v>3065</v>
      </c>
      <c r="D91" s="16" t="str">
        <f>+IFERROR(VLOOKUP(C91,DATA!$G$4:$H$2000,2,FALSE),"")</f>
        <v>СИТИ ПАЛАС ХХК</v>
      </c>
      <c r="E91" s="16">
        <v>122000</v>
      </c>
      <c r="F91" s="237">
        <v>0</v>
      </c>
      <c r="G91" s="237">
        <f>+SUMIFS(JURNAL!G:G,JURNAL!E:E,E91,JURNAL!L:L,$C91,JURNAL!C:C,"&gt;="&amp;$M$3,JURNAL!C:C,"&lt;="&amp;$N$3)</f>
        <v>0</v>
      </c>
      <c r="H91" s="19">
        <f>+SUMIFS(JURNAL!H:H,JURNAL!E:E,E91,JURNAL!L:L,$C91,JURNAL!C:C,"&gt;="&amp;$M$3,JURNAL!C:C,"&lt;="&amp;$N$3)</f>
        <v>0</v>
      </c>
      <c r="I91" s="237">
        <f t="shared" si="8"/>
        <v>0</v>
      </c>
      <c r="J91" s="16">
        <v>320100</v>
      </c>
      <c r="K91" s="237">
        <v>0</v>
      </c>
      <c r="L91" s="237">
        <f>+SUMIFS(JURNAL!G:G,JURNAL!E:E,J91,JURNAL!L:L,$C91,JURNAL!C:C,"&gt;="&amp;$M$3,JURNAL!C:C,"&lt;="&amp;$N$3)</f>
        <v>0</v>
      </c>
      <c r="M91" s="19">
        <f>+SUMIFS(JURNAL!H:H,JURNAL!E:E,J91,JURNAL!L:L,$C91,JURNAL!C:C,"&gt;="&amp;$M$3,JURNAL!C:C,"&lt;="&amp;$N$3)</f>
        <v>0</v>
      </c>
      <c r="N91" s="20">
        <f t="shared" si="9"/>
        <v>0</v>
      </c>
      <c r="O91" s="237">
        <f t="shared" si="10"/>
        <v>0</v>
      </c>
      <c r="P91" s="16">
        <f t="shared" si="11"/>
        <v>320100</v>
      </c>
      <c r="Q91" s="16">
        <f t="shared" si="12"/>
        <v>122000</v>
      </c>
      <c r="R91" s="237">
        <f t="shared" si="13"/>
        <v>0</v>
      </c>
    </row>
    <row r="92" spans="2:18">
      <c r="B92" s="15">
        <f t="shared" ref="B92:B125" si="15">+IF(C92="","",ROW()-5)</f>
        <v>87</v>
      </c>
      <c r="C92" s="16">
        <f>IFERROR(VLOOKUP(DATA!G90,DATA!$G$4:$J$2149,1,FALSE),"")</f>
        <v>3066</v>
      </c>
      <c r="D92" s="16" t="str">
        <f>+IFERROR(VLOOKUP(C92,DATA!$G$4:$H$2000,2,FALSE),"")</f>
        <v>МСҮТөв</v>
      </c>
      <c r="E92" s="16">
        <v>122000</v>
      </c>
      <c r="F92" s="237">
        <v>0</v>
      </c>
      <c r="G92" s="237">
        <f>+SUMIFS(JURNAL!G:G,JURNAL!E:E,E92,JURNAL!L:L,$C92,JURNAL!C:C,"&gt;="&amp;$M$3,JURNAL!C:C,"&lt;="&amp;$N$3)</f>
        <v>0</v>
      </c>
      <c r="H92" s="19">
        <f>+SUMIFS(JURNAL!H:H,JURNAL!E:E,E92,JURNAL!L:L,$C92,JURNAL!C:C,"&gt;="&amp;$M$3,JURNAL!C:C,"&lt;="&amp;$N$3)</f>
        <v>0</v>
      </c>
      <c r="I92" s="237">
        <f t="shared" si="8"/>
        <v>0</v>
      </c>
      <c r="J92" s="16">
        <v>320100</v>
      </c>
      <c r="K92" s="237">
        <v>0</v>
      </c>
      <c r="L92" s="237">
        <f>+SUMIFS(JURNAL!G:G,JURNAL!E:E,J92,JURNAL!L:L,$C92,JURNAL!C:C,"&gt;="&amp;$M$3,JURNAL!C:C,"&lt;="&amp;$N$3)</f>
        <v>0</v>
      </c>
      <c r="M92" s="19">
        <f>+SUMIFS(JURNAL!H:H,JURNAL!E:E,J92,JURNAL!L:L,$C92,JURNAL!C:C,"&gt;="&amp;$M$3,JURNAL!C:C,"&lt;="&amp;$N$3)</f>
        <v>0</v>
      </c>
      <c r="N92" s="20">
        <f t="shared" si="9"/>
        <v>0</v>
      </c>
      <c r="O92" s="237">
        <f t="shared" si="10"/>
        <v>0</v>
      </c>
      <c r="P92" s="16">
        <f t="shared" si="11"/>
        <v>320100</v>
      </c>
      <c r="Q92" s="16">
        <f t="shared" si="12"/>
        <v>122000</v>
      </c>
      <c r="R92" s="237">
        <f t="shared" si="13"/>
        <v>0</v>
      </c>
    </row>
    <row r="93" spans="2:18">
      <c r="B93" s="15">
        <f t="shared" si="15"/>
        <v>88</v>
      </c>
      <c r="C93" s="16">
        <f>IFERROR(VLOOKUP(DATA!G91,DATA!$G$4:$J$2149,1,FALSE),"")</f>
        <v>3067</v>
      </c>
      <c r="D93" s="16" t="str">
        <f>+IFERROR(VLOOKUP(C93,DATA!$G$4:$H$2000,2,FALSE),"")</f>
        <v>ЦЭЦЭН УРЧУУД ХХК</v>
      </c>
      <c r="E93" s="16">
        <v>122000</v>
      </c>
      <c r="F93" s="237">
        <v>0</v>
      </c>
      <c r="G93" s="237">
        <f>+SUMIFS(JURNAL!G:G,JURNAL!E:E,E93,JURNAL!L:L,$C93,JURNAL!C:C,"&gt;="&amp;$M$3,JURNAL!C:C,"&lt;="&amp;$N$3)</f>
        <v>0</v>
      </c>
      <c r="H93" s="19">
        <f>+SUMIFS(JURNAL!H:H,JURNAL!E:E,E93,JURNAL!L:L,$C93,JURNAL!C:C,"&gt;="&amp;$M$3,JURNAL!C:C,"&lt;="&amp;$N$3)</f>
        <v>0</v>
      </c>
      <c r="I93" s="237">
        <f t="shared" si="8"/>
        <v>0</v>
      </c>
      <c r="J93" s="16">
        <v>320100</v>
      </c>
      <c r="K93" s="237">
        <v>0</v>
      </c>
      <c r="L93" s="237">
        <f>+SUMIFS(JURNAL!G:G,JURNAL!E:E,J93,JURNAL!L:L,$C93,JURNAL!C:C,"&gt;="&amp;$M$3,JURNAL!C:C,"&lt;="&amp;$N$3)</f>
        <v>0</v>
      </c>
      <c r="M93" s="19">
        <f>+SUMIFS(JURNAL!H:H,JURNAL!E:E,J93,JURNAL!L:L,$C93,JURNAL!C:C,"&gt;="&amp;$M$3,JURNAL!C:C,"&lt;="&amp;$N$3)</f>
        <v>0</v>
      </c>
      <c r="N93" s="20">
        <f t="shared" si="9"/>
        <v>0</v>
      </c>
      <c r="O93" s="237">
        <f t="shared" si="10"/>
        <v>0</v>
      </c>
      <c r="P93" s="16">
        <f t="shared" si="11"/>
        <v>320100</v>
      </c>
      <c r="Q93" s="16">
        <f t="shared" si="12"/>
        <v>122000</v>
      </c>
      <c r="R93" s="237">
        <f t="shared" si="13"/>
        <v>0</v>
      </c>
    </row>
    <row r="94" spans="2:18">
      <c r="B94" s="15">
        <f t="shared" si="15"/>
        <v>89</v>
      </c>
      <c r="C94" s="16">
        <f>IFERROR(VLOOKUP(DATA!G92,DATA!$G$4:$J$2149,1,FALSE),"")</f>
        <v>3068</v>
      </c>
      <c r="D94" s="16" t="str">
        <f>+IFERROR(VLOOKUP(C94,DATA!$G$4:$H$2000,2,FALSE),"")</f>
        <v>ҮЛЭМЖИТ ХХК</v>
      </c>
      <c r="E94" s="16">
        <v>122000</v>
      </c>
      <c r="F94" s="237">
        <v>0</v>
      </c>
      <c r="G94" s="237">
        <f>+SUMIFS(JURNAL!G:G,JURNAL!E:E,E94,JURNAL!L:L,$C94,JURNAL!C:C,"&gt;="&amp;$M$3,JURNAL!C:C,"&lt;="&amp;$N$3)</f>
        <v>0</v>
      </c>
      <c r="H94" s="19">
        <f>+SUMIFS(JURNAL!H:H,JURNAL!E:E,E94,JURNAL!L:L,$C94,JURNAL!C:C,"&gt;="&amp;$M$3,JURNAL!C:C,"&lt;="&amp;$N$3)</f>
        <v>0</v>
      </c>
      <c r="I94" s="237">
        <f t="shared" si="8"/>
        <v>0</v>
      </c>
      <c r="J94" s="16">
        <v>320100</v>
      </c>
      <c r="K94" s="237">
        <v>0</v>
      </c>
      <c r="L94" s="237">
        <f>+SUMIFS(JURNAL!G:G,JURNAL!E:E,J94,JURNAL!L:L,$C94,JURNAL!C:C,"&gt;="&amp;$M$3,JURNAL!C:C,"&lt;="&amp;$N$3)</f>
        <v>0</v>
      </c>
      <c r="M94" s="19">
        <f>+SUMIFS(JURNAL!H:H,JURNAL!E:E,J94,JURNAL!L:L,$C94,JURNAL!C:C,"&gt;="&amp;$M$3,JURNAL!C:C,"&lt;="&amp;$N$3)</f>
        <v>0</v>
      </c>
      <c r="N94" s="20">
        <f t="shared" si="9"/>
        <v>0</v>
      </c>
      <c r="O94" s="237">
        <f t="shared" si="10"/>
        <v>0</v>
      </c>
      <c r="P94" s="16">
        <f t="shared" si="11"/>
        <v>320100</v>
      </c>
      <c r="Q94" s="16">
        <f t="shared" si="12"/>
        <v>122000</v>
      </c>
      <c r="R94" s="237">
        <f t="shared" si="13"/>
        <v>0</v>
      </c>
    </row>
    <row r="95" spans="2:18">
      <c r="B95" s="15">
        <f t="shared" si="15"/>
        <v>90</v>
      </c>
      <c r="C95" s="16">
        <f>IFERROR(VLOOKUP(DATA!G93,DATA!$G$4:$J$2149,1,FALSE),"")</f>
        <v>3069</v>
      </c>
      <c r="D95" s="16" t="str">
        <f>+IFERROR(VLOOKUP(C95,DATA!$G$4:$H$2000,2,FALSE),"")</f>
        <v>УУЛЫН ЗАМ ХХК</v>
      </c>
      <c r="E95" s="16">
        <v>122000</v>
      </c>
      <c r="F95" s="237">
        <v>0</v>
      </c>
      <c r="G95" s="237">
        <f>+SUMIFS(JURNAL!G:G,JURNAL!E:E,E95,JURNAL!L:L,$C95,JURNAL!C:C,"&gt;="&amp;$M$3,JURNAL!C:C,"&lt;="&amp;$N$3)</f>
        <v>0</v>
      </c>
      <c r="H95" s="19">
        <f>+SUMIFS(JURNAL!H:H,JURNAL!E:E,E95,JURNAL!L:L,$C95,JURNAL!C:C,"&gt;="&amp;$M$3,JURNAL!C:C,"&lt;="&amp;$N$3)</f>
        <v>0</v>
      </c>
      <c r="I95" s="237">
        <f t="shared" si="8"/>
        <v>0</v>
      </c>
      <c r="J95" s="16">
        <v>320100</v>
      </c>
      <c r="K95" s="237">
        <v>0</v>
      </c>
      <c r="L95" s="237">
        <f>+SUMIFS(JURNAL!G:G,JURNAL!E:E,J95,JURNAL!L:L,$C95,JURNAL!C:C,"&gt;="&amp;$M$3,JURNAL!C:C,"&lt;="&amp;$N$3)</f>
        <v>0</v>
      </c>
      <c r="M95" s="19">
        <f>+SUMIFS(JURNAL!H:H,JURNAL!E:E,J95,JURNAL!L:L,$C95,JURNAL!C:C,"&gt;="&amp;$M$3,JURNAL!C:C,"&lt;="&amp;$N$3)</f>
        <v>0</v>
      </c>
      <c r="N95" s="20">
        <f t="shared" si="9"/>
        <v>0</v>
      </c>
      <c r="O95" s="237">
        <f t="shared" si="10"/>
        <v>0</v>
      </c>
      <c r="P95" s="16">
        <f t="shared" si="11"/>
        <v>320100</v>
      </c>
      <c r="Q95" s="16">
        <f t="shared" si="12"/>
        <v>122000</v>
      </c>
      <c r="R95" s="237">
        <f t="shared" si="13"/>
        <v>0</v>
      </c>
    </row>
    <row r="96" spans="2:18">
      <c r="B96" s="15">
        <f t="shared" si="15"/>
        <v>91</v>
      </c>
      <c r="C96" s="16">
        <f>IFERROR(VLOOKUP(DATA!G94,DATA!$G$4:$J$2149,1,FALSE),"")</f>
        <v>3070</v>
      </c>
      <c r="D96" s="16" t="str">
        <f>+IFERROR(VLOOKUP(C96,DATA!$G$4:$H$2000,2,FALSE),"")</f>
        <v>ВОТЕР ФОРД КАСТОМ ХӨҮМ ХХК</v>
      </c>
      <c r="E96" s="16">
        <v>122000</v>
      </c>
      <c r="F96" s="237">
        <v>0</v>
      </c>
      <c r="G96" s="237">
        <f>+SUMIFS(JURNAL!G:G,JURNAL!E:E,E96,JURNAL!L:L,$C96,JURNAL!C:C,"&gt;="&amp;$M$3,JURNAL!C:C,"&lt;="&amp;$N$3)</f>
        <v>0</v>
      </c>
      <c r="H96" s="19">
        <f>+SUMIFS(JURNAL!H:H,JURNAL!E:E,E96,JURNAL!L:L,$C96,JURNAL!C:C,"&gt;="&amp;$M$3,JURNAL!C:C,"&lt;="&amp;$N$3)</f>
        <v>0</v>
      </c>
      <c r="I96" s="237">
        <f t="shared" si="8"/>
        <v>0</v>
      </c>
      <c r="J96" s="16">
        <v>320100</v>
      </c>
      <c r="K96" s="237">
        <v>0</v>
      </c>
      <c r="L96" s="237">
        <f>+SUMIFS(JURNAL!G:G,JURNAL!E:E,J96,JURNAL!L:L,$C96,JURNAL!C:C,"&gt;="&amp;$M$3,JURNAL!C:C,"&lt;="&amp;$N$3)</f>
        <v>0</v>
      </c>
      <c r="M96" s="19">
        <f>+SUMIFS(JURNAL!H:H,JURNAL!E:E,J96,JURNAL!L:L,$C96,JURNAL!C:C,"&gt;="&amp;$M$3,JURNAL!C:C,"&lt;="&amp;$N$3)</f>
        <v>0</v>
      </c>
      <c r="N96" s="20">
        <f t="shared" si="9"/>
        <v>0</v>
      </c>
      <c r="O96" s="237">
        <f t="shared" si="10"/>
        <v>0</v>
      </c>
      <c r="P96" s="16">
        <f t="shared" si="11"/>
        <v>320100</v>
      </c>
      <c r="Q96" s="16">
        <f t="shared" si="12"/>
        <v>122000</v>
      </c>
      <c r="R96" s="237">
        <f t="shared" si="13"/>
        <v>0</v>
      </c>
    </row>
    <row r="97" spans="2:18">
      <c r="B97" s="15">
        <f t="shared" si="15"/>
        <v>92</v>
      </c>
      <c r="C97" s="16">
        <f>IFERROR(VLOOKUP(DATA!G95,DATA!$G$4:$J$2149,1,FALSE),"")</f>
        <v>3071</v>
      </c>
      <c r="D97" s="16" t="str">
        <f>+IFERROR(VLOOKUP(C97,DATA!$G$4:$H$2000,2,FALSE),"")</f>
        <v>ЭЛ ВИ ЭЙС ХХК</v>
      </c>
      <c r="E97" s="16">
        <v>122000</v>
      </c>
      <c r="F97" s="237">
        <v>0</v>
      </c>
      <c r="G97" s="237">
        <f>+SUMIFS(JURNAL!G:G,JURNAL!E:E,E97,JURNAL!L:L,$C97,JURNAL!C:C,"&gt;="&amp;$M$3,JURNAL!C:C,"&lt;="&amp;$N$3)</f>
        <v>0</v>
      </c>
      <c r="H97" s="19">
        <f>+SUMIFS(JURNAL!H:H,JURNAL!E:E,E97,JURNAL!L:L,$C97,JURNAL!C:C,"&gt;="&amp;$M$3,JURNAL!C:C,"&lt;="&amp;$N$3)</f>
        <v>0</v>
      </c>
      <c r="I97" s="237">
        <f t="shared" si="8"/>
        <v>0</v>
      </c>
      <c r="J97" s="16">
        <v>320100</v>
      </c>
      <c r="K97" s="237">
        <v>0</v>
      </c>
      <c r="L97" s="237">
        <f>+SUMIFS(JURNAL!G:G,JURNAL!E:E,J97,JURNAL!L:L,$C97,JURNAL!C:C,"&gt;="&amp;$M$3,JURNAL!C:C,"&lt;="&amp;$N$3)</f>
        <v>0</v>
      </c>
      <c r="M97" s="19">
        <f>+SUMIFS(JURNAL!H:H,JURNAL!E:E,J97,JURNAL!L:L,$C97,JURNAL!C:C,"&gt;="&amp;$M$3,JURNAL!C:C,"&lt;="&amp;$N$3)</f>
        <v>0</v>
      </c>
      <c r="N97" s="20">
        <f t="shared" si="9"/>
        <v>0</v>
      </c>
      <c r="O97" s="237">
        <f t="shared" si="10"/>
        <v>0</v>
      </c>
      <c r="P97" s="16">
        <f t="shared" si="11"/>
        <v>320100</v>
      </c>
      <c r="Q97" s="16">
        <f t="shared" si="12"/>
        <v>122000</v>
      </c>
      <c r="R97" s="237">
        <f t="shared" si="13"/>
        <v>0</v>
      </c>
    </row>
    <row r="98" spans="2:18">
      <c r="B98" s="15">
        <f t="shared" si="15"/>
        <v>93</v>
      </c>
      <c r="C98" s="16">
        <f>IFERROR(VLOOKUP(DATA!G96,DATA!$G$4:$J$2149,1,FALSE),"")</f>
        <v>3072</v>
      </c>
      <c r="D98" s="16" t="str">
        <f>+IFERROR(VLOOKUP(C98,DATA!$G$4:$H$2000,2,FALSE),"")</f>
        <v>МЕТАЛ ХАУС ХХК</v>
      </c>
      <c r="E98" s="16">
        <v>122000</v>
      </c>
      <c r="F98" s="237">
        <v>0</v>
      </c>
      <c r="G98" s="237">
        <f>+SUMIFS(JURNAL!G:G,JURNAL!E:E,E98,JURNAL!L:L,$C98,JURNAL!C:C,"&gt;="&amp;$M$3,JURNAL!C:C,"&lt;="&amp;$N$3)</f>
        <v>0</v>
      </c>
      <c r="H98" s="19">
        <f>+SUMIFS(JURNAL!H:H,JURNAL!E:E,E98,JURNAL!L:L,$C98,JURNAL!C:C,"&gt;="&amp;$M$3,JURNAL!C:C,"&lt;="&amp;$N$3)</f>
        <v>0</v>
      </c>
      <c r="I98" s="237">
        <f t="shared" si="8"/>
        <v>0</v>
      </c>
      <c r="J98" s="16">
        <v>320100</v>
      </c>
      <c r="K98" s="237">
        <v>0</v>
      </c>
      <c r="L98" s="237">
        <f>+SUMIFS(JURNAL!G:G,JURNAL!E:E,J98,JURNAL!L:L,$C98,JURNAL!C:C,"&gt;="&amp;$M$3,JURNAL!C:C,"&lt;="&amp;$N$3)</f>
        <v>0</v>
      </c>
      <c r="M98" s="19">
        <f>+SUMIFS(JURNAL!H:H,JURNAL!E:E,J98,JURNAL!L:L,$C98,JURNAL!C:C,"&gt;="&amp;$M$3,JURNAL!C:C,"&lt;="&amp;$N$3)</f>
        <v>0</v>
      </c>
      <c r="N98" s="20">
        <f t="shared" si="9"/>
        <v>0</v>
      </c>
      <c r="O98" s="237">
        <f t="shared" si="10"/>
        <v>0</v>
      </c>
      <c r="P98" s="16">
        <f t="shared" si="11"/>
        <v>320100</v>
      </c>
      <c r="Q98" s="16">
        <f t="shared" si="12"/>
        <v>122000</v>
      </c>
      <c r="R98" s="237">
        <f t="shared" si="13"/>
        <v>0</v>
      </c>
    </row>
    <row r="99" spans="2:18">
      <c r="B99" s="15">
        <f t="shared" si="15"/>
        <v>94</v>
      </c>
      <c r="C99" s="16">
        <f>IFERROR(VLOOKUP(DATA!G97,DATA!$G$4:$J$2149,1,FALSE),"")</f>
        <v>3073</v>
      </c>
      <c r="D99" s="16" t="str">
        <f>+IFERROR(VLOOKUP(C99,DATA!$G$4:$H$2000,2,FALSE),"")</f>
        <v>ХАНГАЛ КОНСТРАКШН ХХК</v>
      </c>
      <c r="E99" s="16">
        <v>122000</v>
      </c>
      <c r="F99" s="237">
        <v>0</v>
      </c>
      <c r="G99" s="237">
        <f>+SUMIFS(JURNAL!G:G,JURNAL!E:E,E99,JURNAL!L:L,$C99,JURNAL!C:C,"&gt;="&amp;$M$3,JURNAL!C:C,"&lt;="&amp;$N$3)</f>
        <v>0</v>
      </c>
      <c r="H99" s="19">
        <f>+SUMIFS(JURNAL!H:H,JURNAL!E:E,E99,JURNAL!L:L,$C99,JURNAL!C:C,"&gt;="&amp;$M$3,JURNAL!C:C,"&lt;="&amp;$N$3)</f>
        <v>0</v>
      </c>
      <c r="I99" s="237">
        <f t="shared" si="8"/>
        <v>0</v>
      </c>
      <c r="J99" s="16">
        <v>320100</v>
      </c>
      <c r="K99" s="237">
        <v>0</v>
      </c>
      <c r="L99" s="237">
        <f>+SUMIFS(JURNAL!G:G,JURNAL!E:E,J99,JURNAL!L:L,$C99,JURNAL!C:C,"&gt;="&amp;$M$3,JURNAL!C:C,"&lt;="&amp;$N$3)</f>
        <v>0</v>
      </c>
      <c r="M99" s="19">
        <f>+SUMIFS(JURNAL!H:H,JURNAL!E:E,J99,JURNAL!L:L,$C99,JURNAL!C:C,"&gt;="&amp;$M$3,JURNAL!C:C,"&lt;="&amp;$N$3)</f>
        <v>0</v>
      </c>
      <c r="N99" s="20">
        <f t="shared" si="9"/>
        <v>0</v>
      </c>
      <c r="O99" s="237">
        <f t="shared" si="10"/>
        <v>0</v>
      </c>
      <c r="P99" s="16">
        <f t="shared" si="11"/>
        <v>320100</v>
      </c>
      <c r="Q99" s="16">
        <f t="shared" si="12"/>
        <v>122000</v>
      </c>
      <c r="R99" s="237">
        <f t="shared" si="13"/>
        <v>0</v>
      </c>
    </row>
    <row r="100" spans="2:18">
      <c r="B100" s="15">
        <f t="shared" si="15"/>
        <v>95</v>
      </c>
      <c r="C100" s="16">
        <f>IFERROR(VLOOKUP(DATA!G98,DATA!$G$4:$J$2149,1,FALSE),"")</f>
        <v>3074</v>
      </c>
      <c r="D100" s="16" t="str">
        <f>+IFERROR(VLOOKUP(C100,DATA!$G$4:$H$2000,2,FALSE),"")</f>
        <v>КАМДЕР ХХК</v>
      </c>
      <c r="E100" s="16">
        <v>122000</v>
      </c>
      <c r="F100" s="237">
        <v>0</v>
      </c>
      <c r="G100" s="237">
        <f>+SUMIFS(JURNAL!G:G,JURNAL!E:E,E100,JURNAL!L:L,$C100,JURNAL!C:C,"&gt;="&amp;$M$3,JURNAL!C:C,"&lt;="&amp;$N$3)</f>
        <v>0</v>
      </c>
      <c r="H100" s="19">
        <f>+SUMIFS(JURNAL!H:H,JURNAL!E:E,E100,JURNAL!L:L,$C100,JURNAL!C:C,"&gt;="&amp;$M$3,JURNAL!C:C,"&lt;="&amp;$N$3)</f>
        <v>0</v>
      </c>
      <c r="I100" s="237">
        <f t="shared" si="8"/>
        <v>0</v>
      </c>
      <c r="J100" s="16">
        <v>320100</v>
      </c>
      <c r="K100" s="237">
        <v>0</v>
      </c>
      <c r="L100" s="237">
        <f>+SUMIFS(JURNAL!G:G,JURNAL!E:E,J100,JURNAL!L:L,$C100,JURNAL!C:C,"&gt;="&amp;$M$3,JURNAL!C:C,"&lt;="&amp;$N$3)</f>
        <v>0</v>
      </c>
      <c r="M100" s="19">
        <f>+SUMIFS(JURNAL!H:H,JURNAL!E:E,J100,JURNAL!L:L,$C100,JURNAL!C:C,"&gt;="&amp;$M$3,JURNAL!C:C,"&lt;="&amp;$N$3)</f>
        <v>0</v>
      </c>
      <c r="N100" s="20">
        <f t="shared" si="9"/>
        <v>0</v>
      </c>
      <c r="O100" s="237">
        <f t="shared" si="10"/>
        <v>0</v>
      </c>
      <c r="P100" s="16">
        <f t="shared" si="11"/>
        <v>320100</v>
      </c>
      <c r="Q100" s="16">
        <f t="shared" si="12"/>
        <v>122000</v>
      </c>
      <c r="R100" s="237">
        <f t="shared" si="13"/>
        <v>0</v>
      </c>
    </row>
    <row r="101" spans="2:18">
      <c r="B101" s="15">
        <f t="shared" si="15"/>
        <v>96</v>
      </c>
      <c r="C101" s="16">
        <f>IFERROR(VLOOKUP(DATA!G99,DATA!$G$4:$J$2149,1,FALSE),"")</f>
        <v>3075</v>
      </c>
      <c r="D101" s="16" t="str">
        <f>+IFERROR(VLOOKUP(C101,DATA!$G$4:$H$2000,2,FALSE),"")</f>
        <v>СИ АЙ ТИ ХХК</v>
      </c>
      <c r="E101" s="16">
        <v>122000</v>
      </c>
      <c r="F101" s="237">
        <v>0</v>
      </c>
      <c r="G101" s="237">
        <f>+SUMIFS(JURNAL!G:G,JURNAL!E:E,E101,JURNAL!L:L,$C101,JURNAL!C:C,"&gt;="&amp;$M$3,JURNAL!C:C,"&lt;="&amp;$N$3)</f>
        <v>0</v>
      </c>
      <c r="H101" s="19">
        <f>+SUMIFS(JURNAL!H:H,JURNAL!E:E,E101,JURNAL!L:L,$C101,JURNAL!C:C,"&gt;="&amp;$M$3,JURNAL!C:C,"&lt;="&amp;$N$3)</f>
        <v>0</v>
      </c>
      <c r="I101" s="237">
        <f t="shared" si="8"/>
        <v>0</v>
      </c>
      <c r="J101" s="16">
        <v>320100</v>
      </c>
      <c r="K101" s="237">
        <v>0</v>
      </c>
      <c r="L101" s="237">
        <f>+SUMIFS(JURNAL!G:G,JURNAL!E:E,J101,JURNAL!L:L,$C101,JURNAL!C:C,"&gt;="&amp;$M$3,JURNAL!C:C,"&lt;="&amp;$N$3)</f>
        <v>0</v>
      </c>
      <c r="M101" s="19">
        <f>+SUMIFS(JURNAL!H:H,JURNAL!E:E,J101,JURNAL!L:L,$C101,JURNAL!C:C,"&gt;="&amp;$M$3,JURNAL!C:C,"&lt;="&amp;$N$3)</f>
        <v>0</v>
      </c>
      <c r="N101" s="20">
        <f t="shared" si="9"/>
        <v>0</v>
      </c>
      <c r="O101" s="237">
        <f t="shared" si="10"/>
        <v>0</v>
      </c>
      <c r="P101" s="16">
        <f t="shared" si="11"/>
        <v>320100</v>
      </c>
      <c r="Q101" s="16">
        <f t="shared" si="12"/>
        <v>122000</v>
      </c>
      <c r="R101" s="237">
        <f t="shared" si="13"/>
        <v>0</v>
      </c>
    </row>
    <row r="102" spans="2:18">
      <c r="B102" s="15">
        <f t="shared" si="15"/>
        <v>97</v>
      </c>
      <c r="C102" s="16">
        <f>IFERROR(VLOOKUP(DATA!G100,DATA!$G$4:$J$2149,1,FALSE),"")</f>
        <v>3076</v>
      </c>
      <c r="D102" s="16" t="str">
        <f>+IFERROR(VLOOKUP(C102,DATA!$G$4:$H$2000,2,FALSE),"")</f>
        <v>ЖИ ЭЙ БИ ӨҮ ТИ ХХК</v>
      </c>
      <c r="E102" s="16">
        <v>122000</v>
      </c>
      <c r="F102" s="237">
        <v>0</v>
      </c>
      <c r="G102" s="237">
        <f>+SUMIFS(JURNAL!G:G,JURNAL!E:E,E102,JURNAL!L:L,$C102,JURNAL!C:C,"&gt;="&amp;$M$3,JURNAL!C:C,"&lt;="&amp;$N$3)</f>
        <v>0</v>
      </c>
      <c r="H102" s="19">
        <f>+SUMIFS(JURNAL!H:H,JURNAL!E:E,E102,JURNAL!L:L,$C102,JURNAL!C:C,"&gt;="&amp;$M$3,JURNAL!C:C,"&lt;="&amp;$N$3)</f>
        <v>0</v>
      </c>
      <c r="I102" s="237">
        <f t="shared" si="8"/>
        <v>0</v>
      </c>
      <c r="J102" s="16">
        <v>320100</v>
      </c>
      <c r="K102" s="237">
        <v>0</v>
      </c>
      <c r="L102" s="237">
        <f>+SUMIFS(JURNAL!G:G,JURNAL!E:E,J102,JURNAL!L:L,$C102,JURNAL!C:C,"&gt;="&amp;$M$3,JURNAL!C:C,"&lt;="&amp;$N$3)</f>
        <v>0</v>
      </c>
      <c r="M102" s="19">
        <f>+SUMIFS(JURNAL!H:H,JURNAL!E:E,J102,JURNAL!L:L,$C102,JURNAL!C:C,"&gt;="&amp;$M$3,JURNAL!C:C,"&lt;="&amp;$N$3)</f>
        <v>0</v>
      </c>
      <c r="N102" s="20">
        <f t="shared" si="9"/>
        <v>0</v>
      </c>
      <c r="O102" s="237">
        <f t="shared" si="10"/>
        <v>0</v>
      </c>
      <c r="P102" s="16">
        <f t="shared" si="11"/>
        <v>320100</v>
      </c>
      <c r="Q102" s="16">
        <f t="shared" si="12"/>
        <v>122000</v>
      </c>
      <c r="R102" s="237">
        <f t="shared" si="13"/>
        <v>0</v>
      </c>
    </row>
    <row r="103" spans="2:18">
      <c r="B103" s="15">
        <f t="shared" si="15"/>
        <v>98</v>
      </c>
      <c r="C103" s="16">
        <f>IFERROR(VLOOKUP(DATA!G101,DATA!$G$4:$J$2149,1,FALSE),"")</f>
        <v>3077</v>
      </c>
      <c r="D103" s="16" t="str">
        <f>+IFERROR(VLOOKUP(C103,DATA!$G$4:$H$2000,2,FALSE),"")</f>
        <v>КАРАНДАШ ХХК</v>
      </c>
      <c r="E103" s="16">
        <v>122000</v>
      </c>
      <c r="F103" s="237">
        <v>0</v>
      </c>
      <c r="G103" s="237">
        <f>+SUMIFS(JURNAL!G:G,JURNAL!E:E,E103,JURNAL!L:L,$C103,JURNAL!C:C,"&gt;="&amp;$M$3,JURNAL!C:C,"&lt;="&amp;$N$3)</f>
        <v>0</v>
      </c>
      <c r="H103" s="19">
        <f>+SUMIFS(JURNAL!H:H,JURNAL!E:E,E103,JURNAL!L:L,$C103,JURNAL!C:C,"&gt;="&amp;$M$3,JURNAL!C:C,"&lt;="&amp;$N$3)</f>
        <v>0</v>
      </c>
      <c r="I103" s="237">
        <f t="shared" si="8"/>
        <v>0</v>
      </c>
      <c r="J103" s="16">
        <v>320100</v>
      </c>
      <c r="K103" s="237">
        <v>0</v>
      </c>
      <c r="L103" s="237">
        <f>+SUMIFS(JURNAL!G:G,JURNAL!E:E,J103,JURNAL!L:L,$C103,JURNAL!C:C,"&gt;="&amp;$M$3,JURNAL!C:C,"&lt;="&amp;$N$3)</f>
        <v>0</v>
      </c>
      <c r="M103" s="19">
        <f>+SUMIFS(JURNAL!H:H,JURNAL!E:E,J103,JURNAL!L:L,$C103,JURNAL!C:C,"&gt;="&amp;$M$3,JURNAL!C:C,"&lt;="&amp;$N$3)</f>
        <v>0</v>
      </c>
      <c r="N103" s="20">
        <f t="shared" si="9"/>
        <v>0</v>
      </c>
      <c r="O103" s="237">
        <f t="shared" si="10"/>
        <v>0</v>
      </c>
      <c r="P103" s="16">
        <f t="shared" si="11"/>
        <v>320100</v>
      </c>
      <c r="Q103" s="16">
        <f t="shared" si="12"/>
        <v>122000</v>
      </c>
      <c r="R103" s="237">
        <f t="shared" si="13"/>
        <v>0</v>
      </c>
    </row>
    <row r="104" spans="2:18">
      <c r="B104" s="15">
        <f t="shared" si="15"/>
        <v>99</v>
      </c>
      <c r="C104" s="16">
        <f>IFERROR(VLOOKUP(DATA!G102,DATA!$G$4:$J$2149,1,FALSE),"")</f>
        <v>3078</v>
      </c>
      <c r="D104" s="16" t="str">
        <f>+IFERROR(VLOOKUP(C104,DATA!$G$4:$H$2000,2,FALSE),"")</f>
        <v>МӨНХ ЭНХРИЙ ХХК</v>
      </c>
      <c r="E104" s="16">
        <v>122000</v>
      </c>
      <c r="F104" s="237">
        <v>0</v>
      </c>
      <c r="G104" s="237">
        <f>+SUMIFS(JURNAL!G:G,JURNAL!E:E,E104,JURNAL!L:L,$C104,JURNAL!C:C,"&gt;="&amp;$M$3,JURNAL!C:C,"&lt;="&amp;$N$3)</f>
        <v>0</v>
      </c>
      <c r="H104" s="19">
        <f>+SUMIFS(JURNAL!H:H,JURNAL!E:E,E104,JURNAL!L:L,$C104,JURNAL!C:C,"&gt;="&amp;$M$3,JURNAL!C:C,"&lt;="&amp;$N$3)</f>
        <v>0</v>
      </c>
      <c r="I104" s="237">
        <f t="shared" si="8"/>
        <v>0</v>
      </c>
      <c r="J104" s="16">
        <v>320100</v>
      </c>
      <c r="K104" s="237">
        <v>0</v>
      </c>
      <c r="L104" s="237">
        <f>+SUMIFS(JURNAL!G:G,JURNAL!E:E,J104,JURNAL!L:L,$C104,JURNAL!C:C,"&gt;="&amp;$M$3,JURNAL!C:C,"&lt;="&amp;$N$3)</f>
        <v>0</v>
      </c>
      <c r="M104" s="19">
        <f>+SUMIFS(JURNAL!H:H,JURNAL!E:E,J104,JURNAL!L:L,$C104,JURNAL!C:C,"&gt;="&amp;$M$3,JURNAL!C:C,"&lt;="&amp;$N$3)</f>
        <v>0</v>
      </c>
      <c r="N104" s="20">
        <f t="shared" si="9"/>
        <v>0</v>
      </c>
      <c r="O104" s="237">
        <f t="shared" si="10"/>
        <v>0</v>
      </c>
      <c r="P104" s="16">
        <f t="shared" si="11"/>
        <v>320100</v>
      </c>
      <c r="Q104" s="16">
        <f t="shared" si="12"/>
        <v>122000</v>
      </c>
      <c r="R104" s="237">
        <f t="shared" si="13"/>
        <v>0</v>
      </c>
    </row>
    <row r="105" spans="2:18">
      <c r="B105" s="15">
        <f t="shared" si="15"/>
        <v>100</v>
      </c>
      <c r="C105" s="16">
        <f>IFERROR(VLOOKUP(DATA!G103,DATA!$G$4:$J$2149,1,FALSE),"")</f>
        <v>3079</v>
      </c>
      <c r="D105" s="16" t="str">
        <f>+IFERROR(VLOOKUP(C105,DATA!$G$4:$H$2000,2,FALSE),"")</f>
        <v>ДА ХОТ ХХК</v>
      </c>
      <c r="E105" s="16">
        <v>122000</v>
      </c>
      <c r="F105" s="237">
        <v>0</v>
      </c>
      <c r="G105" s="237">
        <f>+SUMIFS(JURNAL!G:G,JURNAL!E:E,E105,JURNAL!L:L,$C105,JURNAL!C:C,"&gt;="&amp;$M$3,JURNAL!C:C,"&lt;="&amp;$N$3)</f>
        <v>0</v>
      </c>
      <c r="H105" s="19">
        <f>+SUMIFS(JURNAL!H:H,JURNAL!E:E,E105,JURNAL!L:L,$C105,JURNAL!C:C,"&gt;="&amp;$M$3,JURNAL!C:C,"&lt;="&amp;$N$3)</f>
        <v>0</v>
      </c>
      <c r="I105" s="237">
        <f t="shared" si="8"/>
        <v>0</v>
      </c>
      <c r="J105" s="16">
        <v>320100</v>
      </c>
      <c r="K105" s="237">
        <v>0</v>
      </c>
      <c r="L105" s="237">
        <f>+SUMIFS(JURNAL!G:G,JURNAL!E:E,J105,JURNAL!L:L,$C105,JURNAL!C:C,"&gt;="&amp;$M$3,JURNAL!C:C,"&lt;="&amp;$N$3)</f>
        <v>0</v>
      </c>
      <c r="M105" s="19">
        <f>+SUMIFS(JURNAL!H:H,JURNAL!E:E,J105,JURNAL!L:L,$C105,JURNAL!C:C,"&gt;="&amp;$M$3,JURNAL!C:C,"&lt;="&amp;$N$3)</f>
        <v>0</v>
      </c>
      <c r="N105" s="20">
        <f t="shared" si="9"/>
        <v>0</v>
      </c>
      <c r="O105" s="237">
        <f t="shared" si="10"/>
        <v>0</v>
      </c>
      <c r="P105" s="16">
        <f t="shared" si="11"/>
        <v>320100</v>
      </c>
      <c r="Q105" s="16">
        <f t="shared" si="12"/>
        <v>122000</v>
      </c>
      <c r="R105" s="237">
        <f t="shared" si="13"/>
        <v>0</v>
      </c>
    </row>
    <row r="106" spans="2:18">
      <c r="B106" s="15">
        <f t="shared" si="15"/>
        <v>101</v>
      </c>
      <c r="C106" s="16">
        <f>IFERROR(VLOOKUP(DATA!G104,DATA!$G$4:$J$2149,1,FALSE),"")</f>
        <v>3080</v>
      </c>
      <c r="D106" s="16" t="str">
        <f>+IFERROR(VLOOKUP(C106,DATA!$G$4:$H$2000,2,FALSE),"")</f>
        <v>ДИ ЭЙЧ ЭЛ ГЭЙТВЭЙ ХХК</v>
      </c>
      <c r="E106" s="16">
        <v>122000</v>
      </c>
      <c r="F106" s="237">
        <v>0</v>
      </c>
      <c r="G106" s="237">
        <f>+SUMIFS(JURNAL!G:G,JURNAL!E:E,E106,JURNAL!L:L,$C106,JURNAL!C:C,"&gt;="&amp;$M$3,JURNAL!C:C,"&lt;="&amp;$N$3)</f>
        <v>0</v>
      </c>
      <c r="H106" s="19">
        <f>+SUMIFS(JURNAL!H:H,JURNAL!E:E,E106,JURNAL!L:L,$C106,JURNAL!C:C,"&gt;="&amp;$M$3,JURNAL!C:C,"&lt;="&amp;$N$3)</f>
        <v>0</v>
      </c>
      <c r="I106" s="237">
        <f t="shared" si="8"/>
        <v>0</v>
      </c>
      <c r="J106" s="16">
        <v>320100</v>
      </c>
      <c r="K106" s="237">
        <v>0</v>
      </c>
      <c r="L106" s="237">
        <f>+SUMIFS(JURNAL!G:G,JURNAL!E:E,J106,JURNAL!L:L,$C106,JURNAL!C:C,"&gt;="&amp;$M$3,JURNAL!C:C,"&lt;="&amp;$N$3)</f>
        <v>0</v>
      </c>
      <c r="M106" s="19">
        <f>+SUMIFS(JURNAL!H:H,JURNAL!E:E,J106,JURNAL!L:L,$C106,JURNAL!C:C,"&gt;="&amp;$M$3,JURNAL!C:C,"&lt;="&amp;$N$3)</f>
        <v>0</v>
      </c>
      <c r="N106" s="20">
        <f t="shared" si="9"/>
        <v>0</v>
      </c>
      <c r="O106" s="237">
        <f t="shared" si="10"/>
        <v>0</v>
      </c>
      <c r="P106" s="16">
        <f t="shared" si="11"/>
        <v>320100</v>
      </c>
      <c r="Q106" s="16">
        <f t="shared" si="12"/>
        <v>122000</v>
      </c>
      <c r="R106" s="237">
        <f t="shared" si="13"/>
        <v>0</v>
      </c>
    </row>
    <row r="107" spans="2:18">
      <c r="B107" s="15">
        <f t="shared" si="15"/>
        <v>102</v>
      </c>
      <c r="C107" s="16">
        <f>IFERROR(VLOOKUP(DATA!G105,DATA!$G$4:$J$2149,1,FALSE),"")</f>
        <v>3081</v>
      </c>
      <c r="D107" s="16" t="str">
        <f>+IFERROR(VLOOKUP(C107,DATA!$G$4:$H$2000,2,FALSE),"")</f>
        <v>ПИ АЙ ЭМ ЭМ ХХК</v>
      </c>
      <c r="E107" s="16">
        <v>122000</v>
      </c>
      <c r="F107" s="237">
        <v>0</v>
      </c>
      <c r="G107" s="237">
        <f>+SUMIFS(JURNAL!G:G,JURNAL!E:E,E107,JURNAL!L:L,$C107,JURNAL!C:C,"&gt;="&amp;$M$3,JURNAL!C:C,"&lt;="&amp;$N$3)</f>
        <v>0</v>
      </c>
      <c r="H107" s="19">
        <f>+SUMIFS(JURNAL!H:H,JURNAL!E:E,E107,JURNAL!L:L,$C107,JURNAL!C:C,"&gt;="&amp;$M$3,JURNAL!C:C,"&lt;="&amp;$N$3)</f>
        <v>0</v>
      </c>
      <c r="I107" s="237">
        <f t="shared" si="8"/>
        <v>0</v>
      </c>
      <c r="J107" s="16">
        <v>320100</v>
      </c>
      <c r="K107" s="237">
        <v>0</v>
      </c>
      <c r="L107" s="237">
        <f>+SUMIFS(JURNAL!G:G,JURNAL!E:E,J107,JURNAL!L:L,$C107,JURNAL!C:C,"&gt;="&amp;$M$3,JURNAL!C:C,"&lt;="&amp;$N$3)</f>
        <v>0</v>
      </c>
      <c r="M107" s="19">
        <f>+SUMIFS(JURNAL!H:H,JURNAL!E:E,J107,JURNAL!L:L,$C107,JURNAL!C:C,"&gt;="&amp;$M$3,JURNAL!C:C,"&lt;="&amp;$N$3)</f>
        <v>0</v>
      </c>
      <c r="N107" s="20">
        <f t="shared" si="9"/>
        <v>0</v>
      </c>
      <c r="O107" s="237">
        <f t="shared" si="10"/>
        <v>0</v>
      </c>
      <c r="P107" s="16">
        <f t="shared" si="11"/>
        <v>320100</v>
      </c>
      <c r="Q107" s="16">
        <f t="shared" si="12"/>
        <v>122000</v>
      </c>
      <c r="R107" s="237">
        <f t="shared" si="13"/>
        <v>0</v>
      </c>
    </row>
    <row r="108" spans="2:18">
      <c r="B108" s="15">
        <f t="shared" si="15"/>
        <v>103</v>
      </c>
      <c r="C108" s="16">
        <f>IFERROR(VLOOKUP(DATA!G106,DATA!$G$4:$J$2149,1,FALSE),"")</f>
        <v>3082</v>
      </c>
      <c r="D108" s="16" t="str">
        <f>+IFERROR(VLOOKUP(C108,DATA!$G$4:$H$2000,2,FALSE),"")</f>
        <v xml:space="preserve">ӨСӨХ БЭЙС ХХК </v>
      </c>
      <c r="E108" s="16">
        <v>122000</v>
      </c>
      <c r="F108" s="237">
        <v>0</v>
      </c>
      <c r="G108" s="237">
        <f>+SUMIFS(JURNAL!G:G,JURNAL!E:E,E108,JURNAL!L:L,$C108,JURNAL!C:C,"&gt;="&amp;$M$3,JURNAL!C:C,"&lt;="&amp;$N$3)</f>
        <v>0</v>
      </c>
      <c r="H108" s="19">
        <f>+SUMIFS(JURNAL!H:H,JURNAL!E:E,E108,JURNAL!L:L,$C108,JURNAL!C:C,"&gt;="&amp;$M$3,JURNAL!C:C,"&lt;="&amp;$N$3)</f>
        <v>0</v>
      </c>
      <c r="I108" s="237">
        <f t="shared" si="8"/>
        <v>0</v>
      </c>
      <c r="J108" s="16">
        <v>320100</v>
      </c>
      <c r="K108" s="237">
        <v>0</v>
      </c>
      <c r="L108" s="237">
        <f>+SUMIFS(JURNAL!G:G,JURNAL!E:E,J108,JURNAL!L:L,$C108,JURNAL!C:C,"&gt;="&amp;$M$3,JURNAL!C:C,"&lt;="&amp;$N$3)</f>
        <v>0</v>
      </c>
      <c r="M108" s="19">
        <f>+SUMIFS(JURNAL!H:H,JURNAL!E:E,J108,JURNAL!L:L,$C108,JURNAL!C:C,"&gt;="&amp;$M$3,JURNAL!C:C,"&lt;="&amp;$N$3)</f>
        <v>0</v>
      </c>
      <c r="N108" s="20">
        <f t="shared" si="9"/>
        <v>0</v>
      </c>
      <c r="O108" s="237">
        <f t="shared" si="10"/>
        <v>0</v>
      </c>
      <c r="P108" s="16">
        <f t="shared" si="11"/>
        <v>320100</v>
      </c>
      <c r="Q108" s="16">
        <f t="shared" si="12"/>
        <v>122000</v>
      </c>
      <c r="R108" s="237">
        <f t="shared" si="13"/>
        <v>0</v>
      </c>
    </row>
    <row r="109" spans="2:18">
      <c r="B109" s="15">
        <f t="shared" si="15"/>
        <v>104</v>
      </c>
      <c r="C109" s="16">
        <f>IFERROR(VLOOKUP(DATA!G107,DATA!$G$4:$J$2149,1,FALSE),"")</f>
        <v>3083</v>
      </c>
      <c r="D109" s="16" t="str">
        <f>+IFERROR(VLOOKUP(C109,DATA!$G$4:$H$2000,2,FALSE),"")</f>
        <v xml:space="preserve">БЧГ ХХК </v>
      </c>
      <c r="E109" s="16">
        <v>122000</v>
      </c>
      <c r="F109" s="237">
        <v>0</v>
      </c>
      <c r="G109" s="237">
        <f>+SUMIFS(JURNAL!G:G,JURNAL!E:E,E109,JURNAL!L:L,$C109,JURNAL!C:C,"&gt;="&amp;$M$3,JURNAL!C:C,"&lt;="&amp;$N$3)</f>
        <v>0</v>
      </c>
      <c r="H109" s="19">
        <f>+SUMIFS(JURNAL!H:H,JURNAL!E:E,E109,JURNAL!L:L,$C109,JURNAL!C:C,"&gt;="&amp;$M$3,JURNAL!C:C,"&lt;="&amp;$N$3)</f>
        <v>0</v>
      </c>
      <c r="I109" s="237">
        <f t="shared" si="8"/>
        <v>0</v>
      </c>
      <c r="J109" s="16">
        <v>320100</v>
      </c>
      <c r="K109" s="237">
        <v>0</v>
      </c>
      <c r="L109" s="237">
        <f>+SUMIFS(JURNAL!G:G,JURNAL!E:E,J109,JURNAL!L:L,$C109,JURNAL!C:C,"&gt;="&amp;$M$3,JURNAL!C:C,"&lt;="&amp;$N$3)</f>
        <v>0</v>
      </c>
      <c r="M109" s="19">
        <f>+SUMIFS(JURNAL!H:H,JURNAL!E:E,J109,JURNAL!L:L,$C109,JURNAL!C:C,"&gt;="&amp;$M$3,JURNAL!C:C,"&lt;="&amp;$N$3)</f>
        <v>0</v>
      </c>
      <c r="N109" s="20">
        <f t="shared" si="9"/>
        <v>0</v>
      </c>
      <c r="O109" s="237">
        <f t="shared" si="10"/>
        <v>0</v>
      </c>
      <c r="P109" s="16">
        <f t="shared" si="11"/>
        <v>320100</v>
      </c>
      <c r="Q109" s="16">
        <f t="shared" si="12"/>
        <v>122000</v>
      </c>
      <c r="R109" s="237">
        <f t="shared" si="13"/>
        <v>0</v>
      </c>
    </row>
    <row r="110" spans="2:18">
      <c r="B110" s="15">
        <f t="shared" si="15"/>
        <v>105</v>
      </c>
      <c r="C110" s="16">
        <f>IFERROR(VLOOKUP(DATA!G108,DATA!$G$4:$J$2149,1,FALSE),"")</f>
        <v>3084</v>
      </c>
      <c r="D110" s="16" t="str">
        <f>+IFERROR(VLOOKUP(C110,DATA!$G$4:$H$2000,2,FALSE),"")</f>
        <v xml:space="preserve">ТОРГО ЗАГВАР </v>
      </c>
      <c r="E110" s="16">
        <v>122000</v>
      </c>
      <c r="F110" s="237">
        <v>0</v>
      </c>
      <c r="G110" s="237">
        <f>+SUMIFS(JURNAL!G:G,JURNAL!E:E,E110,JURNAL!L:L,$C110,JURNAL!C:C,"&gt;="&amp;$M$3,JURNAL!C:C,"&lt;="&amp;$N$3)</f>
        <v>0</v>
      </c>
      <c r="H110" s="19">
        <f>+SUMIFS(JURNAL!H:H,JURNAL!E:E,E110,JURNAL!L:L,$C110,JURNAL!C:C,"&gt;="&amp;$M$3,JURNAL!C:C,"&lt;="&amp;$N$3)</f>
        <v>0</v>
      </c>
      <c r="I110" s="237">
        <f t="shared" si="8"/>
        <v>0</v>
      </c>
      <c r="J110" s="16">
        <v>320100</v>
      </c>
      <c r="K110" s="237">
        <v>0</v>
      </c>
      <c r="L110" s="237">
        <f>+SUMIFS(JURNAL!G:G,JURNAL!E:E,J110,JURNAL!L:L,$C110,JURNAL!C:C,"&gt;="&amp;$M$3,JURNAL!C:C,"&lt;="&amp;$N$3)</f>
        <v>0</v>
      </c>
      <c r="M110" s="19">
        <f>+SUMIFS(JURNAL!H:H,JURNAL!E:E,J110,JURNAL!L:L,$C110,JURNAL!C:C,"&gt;="&amp;$M$3,JURNAL!C:C,"&lt;="&amp;$N$3)</f>
        <v>0</v>
      </c>
      <c r="N110" s="20">
        <f t="shared" si="9"/>
        <v>0</v>
      </c>
      <c r="O110" s="237">
        <f t="shared" si="10"/>
        <v>0</v>
      </c>
      <c r="P110" s="16">
        <f t="shared" si="11"/>
        <v>320100</v>
      </c>
      <c r="Q110" s="16">
        <f t="shared" si="12"/>
        <v>122000</v>
      </c>
      <c r="R110" s="237">
        <f t="shared" si="13"/>
        <v>0</v>
      </c>
    </row>
    <row r="111" spans="2:18">
      <c r="B111" s="15">
        <f t="shared" si="15"/>
        <v>106</v>
      </c>
      <c r="C111" s="16">
        <f>IFERROR(VLOOKUP(DATA!G109,DATA!$G$4:$J$2149,1,FALSE),"")</f>
        <v>3085</v>
      </c>
      <c r="D111" s="16" t="str">
        <f>+IFERROR(VLOOKUP(C111,DATA!$G$4:$H$2000,2,FALSE),"")</f>
        <v>УС ЭЛЕКТРО МОНТАЖ ХХК</v>
      </c>
      <c r="E111" s="16">
        <v>122000</v>
      </c>
      <c r="F111" s="237">
        <v>0</v>
      </c>
      <c r="G111" s="237">
        <f>+SUMIFS(JURNAL!G:G,JURNAL!E:E,E111,JURNAL!L:L,$C111,JURNAL!C:C,"&gt;="&amp;$M$3,JURNAL!C:C,"&lt;="&amp;$N$3)</f>
        <v>0</v>
      </c>
      <c r="H111" s="19">
        <f>+SUMIFS(JURNAL!H:H,JURNAL!E:E,E111,JURNAL!L:L,$C111,JURNAL!C:C,"&gt;="&amp;$M$3,JURNAL!C:C,"&lt;="&amp;$N$3)</f>
        <v>0</v>
      </c>
      <c r="I111" s="237">
        <f t="shared" si="8"/>
        <v>0</v>
      </c>
      <c r="J111" s="16">
        <v>320100</v>
      </c>
      <c r="K111" s="237">
        <v>0</v>
      </c>
      <c r="L111" s="237">
        <f>+SUMIFS(JURNAL!G:G,JURNAL!E:E,J111,JURNAL!L:L,$C111,JURNAL!C:C,"&gt;="&amp;$M$3,JURNAL!C:C,"&lt;="&amp;$N$3)</f>
        <v>0</v>
      </c>
      <c r="M111" s="19">
        <f>+SUMIFS(JURNAL!H:H,JURNAL!E:E,J111,JURNAL!L:L,$C111,JURNAL!C:C,"&gt;="&amp;$M$3,JURNAL!C:C,"&lt;="&amp;$N$3)</f>
        <v>0</v>
      </c>
      <c r="N111" s="20">
        <f t="shared" si="9"/>
        <v>0</v>
      </c>
      <c r="O111" s="237">
        <f t="shared" si="10"/>
        <v>0</v>
      </c>
      <c r="P111" s="16">
        <f t="shared" si="11"/>
        <v>320100</v>
      </c>
      <c r="Q111" s="16">
        <f t="shared" si="12"/>
        <v>122000</v>
      </c>
      <c r="R111" s="237">
        <f t="shared" si="13"/>
        <v>0</v>
      </c>
    </row>
    <row r="112" spans="2:18">
      <c r="B112" s="15">
        <f t="shared" si="15"/>
        <v>107</v>
      </c>
      <c r="C112" s="16">
        <f>IFERROR(VLOOKUP(DATA!G110,DATA!$G$4:$J$2149,1,FALSE),"")</f>
        <v>3086</v>
      </c>
      <c r="D112" s="16" t="str">
        <f>+IFERROR(VLOOKUP(C112,DATA!$G$4:$H$2000,2,FALSE),"")</f>
        <v xml:space="preserve">УНИВЕРСАЛ АВТО КОМПЛЕКС ХХК </v>
      </c>
      <c r="E112" s="16">
        <v>122000</v>
      </c>
      <c r="F112" s="237">
        <v>0</v>
      </c>
      <c r="G112" s="237">
        <f>+SUMIFS(JURNAL!G:G,JURNAL!E:E,E112,JURNAL!L:L,$C112,JURNAL!C:C,"&gt;="&amp;$M$3,JURNAL!C:C,"&lt;="&amp;$N$3)</f>
        <v>0</v>
      </c>
      <c r="H112" s="19">
        <f>+SUMIFS(JURNAL!H:H,JURNAL!E:E,E112,JURNAL!L:L,$C112,JURNAL!C:C,"&gt;="&amp;$M$3,JURNAL!C:C,"&lt;="&amp;$N$3)</f>
        <v>0</v>
      </c>
      <c r="I112" s="237">
        <f t="shared" si="8"/>
        <v>0</v>
      </c>
      <c r="J112" s="16">
        <v>320100</v>
      </c>
      <c r="K112" s="237">
        <v>0</v>
      </c>
      <c r="L112" s="237">
        <f>+SUMIFS(JURNAL!G:G,JURNAL!E:E,J112,JURNAL!L:L,$C112,JURNAL!C:C,"&gt;="&amp;$M$3,JURNAL!C:C,"&lt;="&amp;$N$3)</f>
        <v>0</v>
      </c>
      <c r="M112" s="19">
        <f>+SUMIFS(JURNAL!H:H,JURNAL!E:E,J112,JURNAL!L:L,$C112,JURNAL!C:C,"&gt;="&amp;$M$3,JURNAL!C:C,"&lt;="&amp;$N$3)</f>
        <v>0</v>
      </c>
      <c r="N112" s="20">
        <f t="shared" si="9"/>
        <v>0</v>
      </c>
      <c r="O112" s="237">
        <f t="shared" si="10"/>
        <v>0</v>
      </c>
      <c r="P112" s="16">
        <f t="shared" si="11"/>
        <v>320100</v>
      </c>
      <c r="Q112" s="16">
        <f t="shared" si="12"/>
        <v>122000</v>
      </c>
      <c r="R112" s="237">
        <f t="shared" si="13"/>
        <v>0</v>
      </c>
    </row>
    <row r="113" spans="2:18">
      <c r="B113" s="15">
        <f t="shared" si="15"/>
        <v>108</v>
      </c>
      <c r="C113" s="16">
        <f>IFERROR(VLOOKUP(DATA!G111,DATA!$G$4:$J$2149,1,FALSE),"")</f>
        <v>3087</v>
      </c>
      <c r="D113" s="16" t="str">
        <f>+IFERROR(VLOOKUP(C113,DATA!$G$4:$H$2000,2,FALSE),"")</f>
        <v xml:space="preserve">ОРГИЛ ХАУС ХХК </v>
      </c>
      <c r="E113" s="16">
        <v>122000</v>
      </c>
      <c r="F113" s="237">
        <v>0</v>
      </c>
      <c r="G113" s="237">
        <f>+SUMIFS(JURNAL!G:G,JURNAL!E:E,E113,JURNAL!L:L,$C113,JURNAL!C:C,"&gt;="&amp;$M$3,JURNAL!C:C,"&lt;="&amp;$N$3)</f>
        <v>0</v>
      </c>
      <c r="H113" s="19">
        <f>+SUMIFS(JURNAL!H:H,JURNAL!E:E,E113,JURNAL!L:L,$C113,JURNAL!C:C,"&gt;="&amp;$M$3,JURNAL!C:C,"&lt;="&amp;$N$3)</f>
        <v>0</v>
      </c>
      <c r="I113" s="237">
        <f t="shared" si="8"/>
        <v>0</v>
      </c>
      <c r="J113" s="16">
        <v>320100</v>
      </c>
      <c r="K113" s="237">
        <v>0</v>
      </c>
      <c r="L113" s="237">
        <f>+SUMIFS(JURNAL!G:G,JURNAL!E:E,J113,JURNAL!L:L,$C113,JURNAL!C:C,"&gt;="&amp;$M$3,JURNAL!C:C,"&lt;="&amp;$N$3)</f>
        <v>0</v>
      </c>
      <c r="M113" s="19">
        <f>+SUMIFS(JURNAL!H:H,JURNAL!E:E,J113,JURNAL!L:L,$C113,JURNAL!C:C,"&gt;="&amp;$M$3,JURNAL!C:C,"&lt;="&amp;$N$3)</f>
        <v>0</v>
      </c>
      <c r="N113" s="20">
        <f t="shared" si="9"/>
        <v>0</v>
      </c>
      <c r="O113" s="237">
        <f t="shared" si="10"/>
        <v>0</v>
      </c>
      <c r="P113" s="16">
        <f t="shared" si="11"/>
        <v>320100</v>
      </c>
      <c r="Q113" s="16">
        <f t="shared" si="12"/>
        <v>122000</v>
      </c>
      <c r="R113" s="237">
        <f t="shared" si="13"/>
        <v>0</v>
      </c>
    </row>
    <row r="114" spans="2:18">
      <c r="B114" s="15">
        <f t="shared" si="15"/>
        <v>109</v>
      </c>
      <c r="C114" s="16">
        <f>IFERROR(VLOOKUP(DATA!G112,DATA!$G$4:$J$2149,1,FALSE),"")</f>
        <v>3088</v>
      </c>
      <c r="D114" s="16" t="str">
        <f>+IFERROR(VLOOKUP(C114,DATA!$G$4:$H$2000,2,FALSE),"")</f>
        <v xml:space="preserve">ОГТОРГУЙН ХУДАГ ХХК </v>
      </c>
      <c r="E114" s="16">
        <v>122000</v>
      </c>
      <c r="F114" s="237">
        <v>0</v>
      </c>
      <c r="G114" s="237">
        <f>+SUMIFS(JURNAL!G:G,JURNAL!E:E,E114,JURNAL!L:L,$C114,JURNAL!C:C,"&gt;="&amp;$M$3,JURNAL!C:C,"&lt;="&amp;$N$3)</f>
        <v>0</v>
      </c>
      <c r="H114" s="19">
        <f>+SUMIFS(JURNAL!H:H,JURNAL!E:E,E114,JURNAL!L:L,$C114,JURNAL!C:C,"&gt;="&amp;$M$3,JURNAL!C:C,"&lt;="&amp;$N$3)</f>
        <v>0</v>
      </c>
      <c r="I114" s="237">
        <f t="shared" si="8"/>
        <v>0</v>
      </c>
      <c r="J114" s="16">
        <v>320100</v>
      </c>
      <c r="K114" s="237">
        <v>0</v>
      </c>
      <c r="L114" s="237">
        <f>+SUMIFS(JURNAL!G:G,JURNAL!E:E,J114,JURNAL!L:L,$C114,JURNAL!C:C,"&gt;="&amp;$M$3,JURNAL!C:C,"&lt;="&amp;$N$3)</f>
        <v>0</v>
      </c>
      <c r="M114" s="19">
        <f>+SUMIFS(JURNAL!H:H,JURNAL!E:E,J114,JURNAL!L:L,$C114,JURNAL!C:C,"&gt;="&amp;$M$3,JURNAL!C:C,"&lt;="&amp;$N$3)</f>
        <v>0</v>
      </c>
      <c r="N114" s="20">
        <f t="shared" si="9"/>
        <v>0</v>
      </c>
      <c r="O114" s="237">
        <f t="shared" si="10"/>
        <v>0</v>
      </c>
      <c r="P114" s="16">
        <f t="shared" si="11"/>
        <v>320100</v>
      </c>
      <c r="Q114" s="16">
        <f t="shared" si="12"/>
        <v>122000</v>
      </c>
      <c r="R114" s="237">
        <f t="shared" si="13"/>
        <v>0</v>
      </c>
    </row>
    <row r="115" spans="2:18">
      <c r="B115" s="15">
        <f t="shared" si="15"/>
        <v>110</v>
      </c>
      <c r="C115" s="16">
        <f>IFERROR(VLOOKUP(DATA!G113,DATA!$G$4:$J$2149,1,FALSE),"")</f>
        <v>3089</v>
      </c>
      <c r="D115" s="16" t="str">
        <f>+IFERROR(VLOOKUP(C115,DATA!$G$4:$H$2000,2,FALSE),"")</f>
        <v>ГУУЛИЙН ДӨШ ХХК</v>
      </c>
      <c r="E115" s="16">
        <v>122000</v>
      </c>
      <c r="F115" s="237">
        <v>0</v>
      </c>
      <c r="G115" s="237">
        <f>+SUMIFS(JURNAL!G:G,JURNAL!E:E,E115,JURNAL!L:L,$C115,JURNAL!C:C,"&gt;="&amp;$M$3,JURNAL!C:C,"&lt;="&amp;$N$3)</f>
        <v>0</v>
      </c>
      <c r="H115" s="19">
        <f>+SUMIFS(JURNAL!H:H,JURNAL!E:E,E115,JURNAL!L:L,$C115,JURNAL!C:C,"&gt;="&amp;$M$3,JURNAL!C:C,"&lt;="&amp;$N$3)</f>
        <v>0</v>
      </c>
      <c r="I115" s="237">
        <f t="shared" si="8"/>
        <v>0</v>
      </c>
      <c r="J115" s="16">
        <v>320100</v>
      </c>
      <c r="K115" s="237">
        <v>0</v>
      </c>
      <c r="L115" s="237">
        <f>+SUMIFS(JURNAL!G:G,JURNAL!E:E,J115,JURNAL!L:L,$C115,JURNAL!C:C,"&gt;="&amp;$M$3,JURNAL!C:C,"&lt;="&amp;$N$3)</f>
        <v>156750</v>
      </c>
      <c r="M115" s="19">
        <f>+SUMIFS(JURNAL!H:H,JURNAL!E:E,J115,JURNAL!L:L,$C115,JURNAL!C:C,"&gt;="&amp;$M$3,JURNAL!C:C,"&lt;="&amp;$N$3)</f>
        <v>156750</v>
      </c>
      <c r="N115" s="20">
        <f t="shared" si="9"/>
        <v>0</v>
      </c>
      <c r="O115" s="237">
        <f t="shared" si="10"/>
        <v>0</v>
      </c>
      <c r="P115" s="16">
        <f t="shared" si="11"/>
        <v>320100</v>
      </c>
      <c r="Q115" s="16">
        <f t="shared" si="12"/>
        <v>122000</v>
      </c>
      <c r="R115" s="237">
        <f t="shared" si="13"/>
        <v>0</v>
      </c>
    </row>
    <row r="116" spans="2:18">
      <c r="B116" s="15">
        <f t="shared" si="15"/>
        <v>111</v>
      </c>
      <c r="C116" s="16">
        <f>IFERROR(VLOOKUP(DATA!G114,DATA!$G$4:$J$2149,1,FALSE),"")</f>
        <v>3090</v>
      </c>
      <c r="D116" s="16" t="str">
        <f>+IFERROR(VLOOKUP(C116,DATA!$G$4:$H$2000,2,FALSE),"")</f>
        <v>ЭНХ ЭРХЭС ХХК</v>
      </c>
      <c r="E116" s="16">
        <v>122000</v>
      </c>
      <c r="F116" s="237">
        <v>0</v>
      </c>
      <c r="G116" s="237">
        <f>+SUMIFS(JURNAL!G:G,JURNAL!E:E,E116,JURNAL!L:L,$C116,JURNAL!C:C,"&gt;="&amp;$M$3,JURNAL!C:C,"&lt;="&amp;$N$3)</f>
        <v>0</v>
      </c>
      <c r="H116" s="19">
        <f>+SUMIFS(JURNAL!H:H,JURNAL!E:E,E116,JURNAL!L:L,$C116,JURNAL!C:C,"&gt;="&amp;$M$3,JURNAL!C:C,"&lt;="&amp;$N$3)</f>
        <v>0</v>
      </c>
      <c r="I116" s="237">
        <f t="shared" si="8"/>
        <v>0</v>
      </c>
      <c r="J116" s="16">
        <v>320100</v>
      </c>
      <c r="K116" s="237">
        <v>0</v>
      </c>
      <c r="L116" s="237">
        <f>+SUMIFS(JURNAL!G:G,JURNAL!E:E,J116,JURNAL!L:L,$C116,JURNAL!C:C,"&gt;="&amp;$M$3,JURNAL!C:C,"&lt;="&amp;$N$3)</f>
        <v>0</v>
      </c>
      <c r="M116" s="19">
        <f>+SUMIFS(JURNAL!H:H,JURNAL!E:E,J116,JURNAL!L:L,$C116,JURNAL!C:C,"&gt;="&amp;$M$3,JURNAL!C:C,"&lt;="&amp;$N$3)</f>
        <v>0</v>
      </c>
      <c r="N116" s="20">
        <f t="shared" si="9"/>
        <v>0</v>
      </c>
      <c r="O116" s="237">
        <f t="shared" si="10"/>
        <v>0</v>
      </c>
      <c r="P116" s="16">
        <f t="shared" si="11"/>
        <v>320100</v>
      </c>
      <c r="Q116" s="16">
        <f t="shared" si="12"/>
        <v>122000</v>
      </c>
      <c r="R116" s="237">
        <f t="shared" si="13"/>
        <v>0</v>
      </c>
    </row>
    <row r="117" spans="2:18">
      <c r="B117" s="15">
        <f t="shared" si="15"/>
        <v>112</v>
      </c>
      <c r="C117" s="16">
        <f>IFERROR(VLOOKUP(DATA!G115,DATA!$G$4:$J$2149,1,FALSE),"")</f>
        <v>3091</v>
      </c>
      <c r="D117" s="16" t="str">
        <f>+IFERROR(VLOOKUP(C117,DATA!$G$4:$H$2000,2,FALSE),"")</f>
        <v xml:space="preserve">ДЭРСТЭЙ ТАВАН САЛАА ХХК </v>
      </c>
      <c r="E117" s="16">
        <v>122000</v>
      </c>
      <c r="F117" s="237">
        <v>0</v>
      </c>
      <c r="G117" s="237">
        <f>+SUMIFS(JURNAL!G:G,JURNAL!E:E,E117,JURNAL!L:L,$C117,JURNAL!C:C,"&gt;="&amp;$M$3,JURNAL!C:C,"&lt;="&amp;$N$3)</f>
        <v>0</v>
      </c>
      <c r="H117" s="19">
        <f>+SUMIFS(JURNAL!H:H,JURNAL!E:E,E117,JURNAL!L:L,$C117,JURNAL!C:C,"&gt;="&amp;$M$3,JURNAL!C:C,"&lt;="&amp;$N$3)</f>
        <v>0</v>
      </c>
      <c r="I117" s="237">
        <f t="shared" si="8"/>
        <v>0</v>
      </c>
      <c r="J117" s="16">
        <v>320100</v>
      </c>
      <c r="K117" s="237">
        <v>0</v>
      </c>
      <c r="L117" s="237">
        <f>+SUMIFS(JURNAL!G:G,JURNAL!E:E,J117,JURNAL!L:L,$C117,JURNAL!C:C,"&gt;="&amp;$M$3,JURNAL!C:C,"&lt;="&amp;$N$3)</f>
        <v>0</v>
      </c>
      <c r="M117" s="19">
        <f>+SUMIFS(JURNAL!H:H,JURNAL!E:E,J117,JURNAL!L:L,$C117,JURNAL!C:C,"&gt;="&amp;$M$3,JURNAL!C:C,"&lt;="&amp;$N$3)</f>
        <v>0</v>
      </c>
      <c r="N117" s="20">
        <f t="shared" si="9"/>
        <v>0</v>
      </c>
      <c r="O117" s="237">
        <f t="shared" si="10"/>
        <v>0</v>
      </c>
      <c r="P117" s="16">
        <f t="shared" si="11"/>
        <v>320100</v>
      </c>
      <c r="Q117" s="16">
        <f t="shared" si="12"/>
        <v>122000</v>
      </c>
      <c r="R117" s="237">
        <f t="shared" si="13"/>
        <v>0</v>
      </c>
    </row>
    <row r="118" spans="2:18">
      <c r="B118" s="15">
        <f t="shared" si="15"/>
        <v>113</v>
      </c>
      <c r="C118" s="16">
        <f>IFERROR(VLOOKUP(DATA!G116,DATA!$G$4:$J$2149,1,FALSE),"")</f>
        <v>3092</v>
      </c>
      <c r="D118" s="16" t="str">
        <f>+IFERROR(VLOOKUP(C118,DATA!$G$4:$H$2000,2,FALSE),"")</f>
        <v>МӨНХ ВҮҮД ХХК</v>
      </c>
      <c r="E118" s="16">
        <v>122000</v>
      </c>
      <c r="F118" s="237">
        <v>0</v>
      </c>
      <c r="G118" s="237">
        <f>+SUMIFS(JURNAL!G:G,JURNAL!E:E,E118,JURNAL!L:L,$C118,JURNAL!C:C,"&gt;="&amp;$M$3,JURNAL!C:C,"&lt;="&amp;$N$3)</f>
        <v>0</v>
      </c>
      <c r="H118" s="19">
        <f>+SUMIFS(JURNAL!H:H,JURNAL!E:E,E118,JURNAL!L:L,$C118,JURNAL!C:C,"&gt;="&amp;$M$3,JURNAL!C:C,"&lt;="&amp;$N$3)</f>
        <v>0</v>
      </c>
      <c r="I118" s="237">
        <f t="shared" si="8"/>
        <v>0</v>
      </c>
      <c r="J118" s="16">
        <v>320100</v>
      </c>
      <c r="K118" s="237">
        <v>0</v>
      </c>
      <c r="L118" s="237">
        <f>+SUMIFS(JURNAL!G:G,JURNAL!E:E,J118,JURNAL!L:L,$C118,JURNAL!C:C,"&gt;="&amp;$M$3,JURNAL!C:C,"&lt;="&amp;$N$3)</f>
        <v>0</v>
      </c>
      <c r="M118" s="19">
        <f>+SUMIFS(JURNAL!H:H,JURNAL!E:E,J118,JURNAL!L:L,$C118,JURNAL!C:C,"&gt;="&amp;$M$3,JURNAL!C:C,"&lt;="&amp;$N$3)</f>
        <v>0</v>
      </c>
      <c r="N118" s="20">
        <f t="shared" si="9"/>
        <v>0</v>
      </c>
      <c r="O118" s="237">
        <f t="shared" si="10"/>
        <v>0</v>
      </c>
      <c r="P118" s="16">
        <f t="shared" si="11"/>
        <v>320100</v>
      </c>
      <c r="Q118" s="16">
        <f t="shared" si="12"/>
        <v>122000</v>
      </c>
      <c r="R118" s="237">
        <f t="shared" si="13"/>
        <v>0</v>
      </c>
    </row>
    <row r="119" spans="2:18">
      <c r="B119" s="15">
        <f t="shared" si="15"/>
        <v>114</v>
      </c>
      <c r="C119" s="16">
        <f>IFERROR(VLOOKUP(DATA!G117,DATA!$G$4:$J$2149,1,FALSE),"")</f>
        <v>3093</v>
      </c>
      <c r="D119" s="16" t="str">
        <f>+IFERROR(VLOOKUP(C119,DATA!$G$4:$H$2000,2,FALSE),"")</f>
        <v xml:space="preserve">НЬЮ ЭРА ТУР МОНГОЛИА ХХК </v>
      </c>
      <c r="E119" s="16">
        <v>122000</v>
      </c>
      <c r="F119" s="237">
        <v>0</v>
      </c>
      <c r="G119" s="237">
        <f>+SUMIFS(JURNAL!G:G,JURNAL!E:E,E119,JURNAL!L:L,$C119,JURNAL!C:C,"&gt;="&amp;$M$3,JURNAL!C:C,"&lt;="&amp;$N$3)</f>
        <v>0</v>
      </c>
      <c r="H119" s="19">
        <f>+SUMIFS(JURNAL!H:H,JURNAL!E:E,E119,JURNAL!L:L,$C119,JURNAL!C:C,"&gt;="&amp;$M$3,JURNAL!C:C,"&lt;="&amp;$N$3)</f>
        <v>0</v>
      </c>
      <c r="I119" s="237">
        <f t="shared" si="8"/>
        <v>0</v>
      </c>
      <c r="J119" s="16">
        <v>320100</v>
      </c>
      <c r="K119" s="237">
        <v>0</v>
      </c>
      <c r="L119" s="237">
        <f>+SUMIFS(JURNAL!G:G,JURNAL!E:E,J119,JURNAL!L:L,$C119,JURNAL!C:C,"&gt;="&amp;$M$3,JURNAL!C:C,"&lt;="&amp;$N$3)</f>
        <v>0</v>
      </c>
      <c r="M119" s="19">
        <f>+SUMIFS(JURNAL!H:H,JURNAL!E:E,J119,JURNAL!L:L,$C119,JURNAL!C:C,"&gt;="&amp;$M$3,JURNAL!C:C,"&lt;="&amp;$N$3)</f>
        <v>0</v>
      </c>
      <c r="N119" s="20">
        <f t="shared" si="9"/>
        <v>0</v>
      </c>
      <c r="O119" s="237">
        <f t="shared" si="10"/>
        <v>0</v>
      </c>
      <c r="P119" s="16">
        <f t="shared" si="11"/>
        <v>320100</v>
      </c>
      <c r="Q119" s="16">
        <f t="shared" si="12"/>
        <v>122000</v>
      </c>
      <c r="R119" s="237">
        <f t="shared" si="13"/>
        <v>0</v>
      </c>
    </row>
    <row r="120" spans="2:18">
      <c r="B120" s="15">
        <f t="shared" si="15"/>
        <v>115</v>
      </c>
      <c r="C120" s="16">
        <f>IFERROR(VLOOKUP(DATA!G118,DATA!$G$4:$J$2149,1,FALSE),"")</f>
        <v>3094</v>
      </c>
      <c r="D120" s="16" t="str">
        <f>+IFERROR(VLOOKUP(C120,DATA!$G$4:$H$2000,2,FALSE),"")</f>
        <v xml:space="preserve">ТОД УНДАРГА ХХК </v>
      </c>
      <c r="E120" s="16">
        <v>122000</v>
      </c>
      <c r="F120" s="237">
        <v>0</v>
      </c>
      <c r="G120" s="237">
        <f>+SUMIFS(JURNAL!G:G,JURNAL!E:E,E120,JURNAL!L:L,$C120,JURNAL!C:C,"&gt;="&amp;$M$3,JURNAL!C:C,"&lt;="&amp;$N$3)</f>
        <v>0</v>
      </c>
      <c r="H120" s="19">
        <f>+SUMIFS(JURNAL!H:H,JURNAL!E:E,E120,JURNAL!L:L,$C120,JURNAL!C:C,"&gt;="&amp;$M$3,JURNAL!C:C,"&lt;="&amp;$N$3)</f>
        <v>0</v>
      </c>
      <c r="I120" s="237">
        <f t="shared" si="8"/>
        <v>0</v>
      </c>
      <c r="J120" s="16">
        <v>320100</v>
      </c>
      <c r="K120" s="237">
        <v>0</v>
      </c>
      <c r="L120" s="237">
        <f>+SUMIFS(JURNAL!G:G,JURNAL!E:E,J120,JURNAL!L:L,$C120,JURNAL!C:C,"&gt;="&amp;$M$3,JURNAL!C:C,"&lt;="&amp;$N$3)</f>
        <v>0</v>
      </c>
      <c r="M120" s="19">
        <f>+SUMIFS(JURNAL!H:H,JURNAL!E:E,J120,JURNAL!L:L,$C120,JURNAL!C:C,"&gt;="&amp;$M$3,JURNAL!C:C,"&lt;="&amp;$N$3)</f>
        <v>0</v>
      </c>
      <c r="N120" s="20">
        <f t="shared" si="9"/>
        <v>0</v>
      </c>
      <c r="O120" s="237">
        <f t="shared" si="10"/>
        <v>0</v>
      </c>
      <c r="P120" s="16">
        <f t="shared" si="11"/>
        <v>320100</v>
      </c>
      <c r="Q120" s="16">
        <f t="shared" si="12"/>
        <v>122000</v>
      </c>
      <c r="R120" s="237">
        <f t="shared" si="13"/>
        <v>0</v>
      </c>
    </row>
    <row r="121" spans="2:18">
      <c r="B121" s="15">
        <f t="shared" si="15"/>
        <v>116</v>
      </c>
      <c r="C121" s="16">
        <f>IFERROR(VLOOKUP(DATA!G119,DATA!$G$4:$J$2149,1,FALSE),"")</f>
        <v>3095</v>
      </c>
      <c r="D121" s="16" t="str">
        <f>+IFERROR(VLOOKUP(C121,DATA!$G$4:$H$2000,2,FALSE),"")</f>
        <v xml:space="preserve">БАТС ӨРГӨӨ ХХК </v>
      </c>
      <c r="E121" s="16">
        <v>122000</v>
      </c>
      <c r="F121" s="237">
        <v>0</v>
      </c>
      <c r="G121" s="237">
        <f>+SUMIFS(JURNAL!G:G,JURNAL!E:E,E121,JURNAL!L:L,$C121,JURNAL!C:C,"&gt;="&amp;$M$3,JURNAL!C:C,"&lt;="&amp;$N$3)</f>
        <v>0</v>
      </c>
      <c r="H121" s="19">
        <f>+SUMIFS(JURNAL!H:H,JURNAL!E:E,E121,JURNAL!L:L,$C121,JURNAL!C:C,"&gt;="&amp;$M$3,JURNAL!C:C,"&lt;="&amp;$N$3)</f>
        <v>0</v>
      </c>
      <c r="I121" s="237">
        <f t="shared" si="8"/>
        <v>0</v>
      </c>
      <c r="J121" s="16">
        <v>320100</v>
      </c>
      <c r="K121" s="237">
        <v>0</v>
      </c>
      <c r="L121" s="237">
        <f>+SUMIFS(JURNAL!G:G,JURNAL!E:E,J121,JURNAL!L:L,$C121,JURNAL!C:C,"&gt;="&amp;$M$3,JURNAL!C:C,"&lt;="&amp;$N$3)</f>
        <v>0</v>
      </c>
      <c r="M121" s="19">
        <f>+SUMIFS(JURNAL!H:H,JURNAL!E:E,J121,JURNAL!L:L,$C121,JURNAL!C:C,"&gt;="&amp;$M$3,JURNAL!C:C,"&lt;="&amp;$N$3)</f>
        <v>0</v>
      </c>
      <c r="N121" s="20">
        <f t="shared" si="9"/>
        <v>0</v>
      </c>
      <c r="O121" s="237">
        <f t="shared" si="10"/>
        <v>0</v>
      </c>
      <c r="P121" s="16">
        <f t="shared" si="11"/>
        <v>320100</v>
      </c>
      <c r="Q121" s="16">
        <f t="shared" si="12"/>
        <v>122000</v>
      </c>
      <c r="R121" s="237">
        <f t="shared" si="13"/>
        <v>0</v>
      </c>
    </row>
    <row r="122" spans="2:18">
      <c r="B122" s="15">
        <f t="shared" si="15"/>
        <v>117</v>
      </c>
      <c r="C122" s="16">
        <f>IFERROR(VLOOKUP(DATA!G120,DATA!$G$4:$J$2149,1,FALSE),"")</f>
        <v>3096</v>
      </c>
      <c r="D122" s="16" t="str">
        <f>+IFERROR(VLOOKUP(C122,DATA!$G$4:$H$2000,2,FALSE),"")</f>
        <v>ЭРДЭНЭДРИЙЛИНГ ХХК</v>
      </c>
      <c r="E122" s="16">
        <v>122000</v>
      </c>
      <c r="F122" s="237">
        <v>0</v>
      </c>
      <c r="G122" s="237">
        <f>+SUMIFS(JURNAL!G:G,JURNAL!E:E,E122,JURNAL!L:L,$C122,JURNAL!C:C,"&gt;="&amp;$M$3,JURNAL!C:C,"&lt;="&amp;$N$3)</f>
        <v>0</v>
      </c>
      <c r="H122" s="19">
        <f>+SUMIFS(JURNAL!H:H,JURNAL!E:E,E122,JURNAL!L:L,$C122,JURNAL!C:C,"&gt;="&amp;$M$3,JURNAL!C:C,"&lt;="&amp;$N$3)</f>
        <v>0</v>
      </c>
      <c r="I122" s="237">
        <f t="shared" si="8"/>
        <v>0</v>
      </c>
      <c r="J122" s="16">
        <v>320100</v>
      </c>
      <c r="K122" s="237">
        <v>0</v>
      </c>
      <c r="L122" s="237">
        <f>+SUMIFS(JURNAL!G:G,JURNAL!E:E,J122,JURNAL!L:L,$C122,JURNAL!C:C,"&gt;="&amp;$M$3,JURNAL!C:C,"&lt;="&amp;$N$3)</f>
        <v>0</v>
      </c>
      <c r="M122" s="19">
        <f>+SUMIFS(JURNAL!H:H,JURNAL!E:E,J122,JURNAL!L:L,$C122,JURNAL!C:C,"&gt;="&amp;$M$3,JURNAL!C:C,"&lt;="&amp;$N$3)</f>
        <v>0</v>
      </c>
      <c r="N122" s="20">
        <f t="shared" si="9"/>
        <v>0</v>
      </c>
      <c r="O122" s="237">
        <f t="shared" si="10"/>
        <v>0</v>
      </c>
      <c r="P122" s="16">
        <f t="shared" si="11"/>
        <v>320100</v>
      </c>
      <c r="Q122" s="16">
        <f t="shared" si="12"/>
        <v>122000</v>
      </c>
      <c r="R122" s="237">
        <f t="shared" si="13"/>
        <v>0</v>
      </c>
    </row>
    <row r="123" spans="2:18">
      <c r="B123" s="15">
        <f t="shared" si="15"/>
        <v>118</v>
      </c>
      <c r="C123" s="16">
        <f>IFERROR(VLOOKUP(DATA!G121,DATA!$G$4:$J$2149,1,FALSE),"")</f>
        <v>3097</v>
      </c>
      <c r="D123" s="16" t="str">
        <f>+IFERROR(VLOOKUP(C123,DATA!$G$4:$H$2000,2,FALSE),"")</f>
        <v xml:space="preserve">ХӨВСГӨЛ ТРЕЙВЛ ХХК </v>
      </c>
      <c r="E123" s="16">
        <v>122000</v>
      </c>
      <c r="F123" s="237">
        <v>0</v>
      </c>
      <c r="G123" s="237">
        <f>+SUMIFS(JURNAL!G:G,JURNAL!E:E,E123,JURNAL!L:L,$C123,JURNAL!C:C,"&gt;="&amp;$M$3,JURNAL!C:C,"&lt;="&amp;$N$3)</f>
        <v>0</v>
      </c>
      <c r="H123" s="19">
        <f>+SUMIFS(JURNAL!H:H,JURNAL!E:E,E123,JURNAL!L:L,$C123,JURNAL!C:C,"&gt;="&amp;$M$3,JURNAL!C:C,"&lt;="&amp;$N$3)</f>
        <v>0</v>
      </c>
      <c r="I123" s="237">
        <f t="shared" si="8"/>
        <v>0</v>
      </c>
      <c r="J123" s="16">
        <v>320100</v>
      </c>
      <c r="K123" s="237">
        <v>0</v>
      </c>
      <c r="L123" s="237">
        <f>+SUMIFS(JURNAL!G:G,JURNAL!E:E,J123,JURNAL!L:L,$C123,JURNAL!C:C,"&gt;="&amp;$M$3,JURNAL!C:C,"&lt;="&amp;$N$3)</f>
        <v>0</v>
      </c>
      <c r="M123" s="19">
        <f>+SUMIFS(JURNAL!H:H,JURNAL!E:E,J123,JURNAL!L:L,$C123,JURNAL!C:C,"&gt;="&amp;$M$3,JURNAL!C:C,"&lt;="&amp;$N$3)</f>
        <v>0</v>
      </c>
      <c r="N123" s="20">
        <f t="shared" si="9"/>
        <v>0</v>
      </c>
      <c r="O123" s="237">
        <f t="shared" si="10"/>
        <v>0</v>
      </c>
      <c r="P123" s="16">
        <f t="shared" si="11"/>
        <v>320100</v>
      </c>
      <c r="Q123" s="16">
        <f t="shared" si="12"/>
        <v>122000</v>
      </c>
      <c r="R123" s="237">
        <f t="shared" si="13"/>
        <v>0</v>
      </c>
    </row>
    <row r="124" spans="2:18">
      <c r="B124" s="15">
        <f t="shared" si="15"/>
        <v>119</v>
      </c>
      <c r="C124" s="16">
        <f>IFERROR(VLOOKUP(DATA!G122,DATA!$G$4:$J$2149,1,FALSE),"")</f>
        <v>3098</v>
      </c>
      <c r="D124" s="16" t="str">
        <f>+IFERROR(VLOOKUP(C124,DATA!$G$4:$H$2000,2,FALSE),"")</f>
        <v xml:space="preserve">ЭБСО ХХК </v>
      </c>
      <c r="E124" s="16">
        <v>122000</v>
      </c>
      <c r="F124" s="237">
        <v>0</v>
      </c>
      <c r="G124" s="237">
        <f>+SUMIFS(JURNAL!G:G,JURNAL!E:E,E124,JURNAL!L:L,$C124,JURNAL!C:C,"&gt;="&amp;$M$3,JURNAL!C:C,"&lt;="&amp;$N$3)</f>
        <v>0</v>
      </c>
      <c r="H124" s="19">
        <f>+SUMIFS(JURNAL!H:H,JURNAL!E:E,E124,JURNAL!L:L,$C124,JURNAL!C:C,"&gt;="&amp;$M$3,JURNAL!C:C,"&lt;="&amp;$N$3)</f>
        <v>0</v>
      </c>
      <c r="I124" s="237">
        <f t="shared" si="8"/>
        <v>0</v>
      </c>
      <c r="J124" s="16">
        <v>320100</v>
      </c>
      <c r="K124" s="237">
        <v>0</v>
      </c>
      <c r="L124" s="237">
        <f>+SUMIFS(JURNAL!G:G,JURNAL!E:E,J124,JURNAL!L:L,$C124,JURNAL!C:C,"&gt;="&amp;$M$3,JURNAL!C:C,"&lt;="&amp;$N$3)</f>
        <v>0</v>
      </c>
      <c r="M124" s="19">
        <f>+SUMIFS(JURNAL!H:H,JURNAL!E:E,J124,JURNAL!L:L,$C124,JURNAL!C:C,"&gt;="&amp;$M$3,JURNAL!C:C,"&lt;="&amp;$N$3)</f>
        <v>0</v>
      </c>
      <c r="N124" s="20">
        <f t="shared" si="9"/>
        <v>0</v>
      </c>
      <c r="O124" s="237">
        <f t="shared" si="10"/>
        <v>0</v>
      </c>
      <c r="P124" s="16">
        <f t="shared" si="11"/>
        <v>320100</v>
      </c>
      <c r="Q124" s="16">
        <f t="shared" si="12"/>
        <v>122000</v>
      </c>
      <c r="R124" s="237">
        <f t="shared" si="13"/>
        <v>0</v>
      </c>
    </row>
    <row r="125" spans="2:18">
      <c r="B125" s="15">
        <f t="shared" si="15"/>
        <v>120</v>
      </c>
      <c r="C125" s="16">
        <f>IFERROR(VLOOKUP(DATA!G123,DATA!$G$4:$J$2149,1,FALSE),"")</f>
        <v>3099</v>
      </c>
      <c r="D125" s="16" t="str">
        <f>+IFERROR(VLOOKUP(C125,DATA!$G$4:$H$2000,2,FALSE),"")</f>
        <v xml:space="preserve">ГРАНД СЛАБ ХХК </v>
      </c>
      <c r="E125" s="16">
        <v>122000</v>
      </c>
      <c r="F125" s="237">
        <v>0</v>
      </c>
      <c r="G125" s="237">
        <f>+SUMIFS(JURNAL!G:G,JURNAL!E:E,E125,JURNAL!L:L,$C125,JURNAL!C:C,"&gt;="&amp;$M$3,JURNAL!C:C,"&lt;="&amp;$N$3)</f>
        <v>0</v>
      </c>
      <c r="H125" s="19">
        <f>+SUMIFS(JURNAL!H:H,JURNAL!E:E,E125,JURNAL!L:L,$C125,JURNAL!C:C,"&gt;="&amp;$M$3,JURNAL!C:C,"&lt;="&amp;$N$3)</f>
        <v>0</v>
      </c>
      <c r="I125" s="237">
        <f t="shared" si="8"/>
        <v>0</v>
      </c>
      <c r="J125" s="16">
        <v>320100</v>
      </c>
      <c r="K125" s="237">
        <v>0</v>
      </c>
      <c r="L125" s="237">
        <f>+SUMIFS(JURNAL!G:G,JURNAL!E:E,J125,JURNAL!L:L,$C125,JURNAL!C:C,"&gt;="&amp;$M$3,JURNAL!C:C,"&lt;="&amp;$N$3)</f>
        <v>0</v>
      </c>
      <c r="M125" s="19">
        <f>+SUMIFS(JURNAL!H:H,JURNAL!E:E,J125,JURNAL!L:L,$C125,JURNAL!C:C,"&gt;="&amp;$M$3,JURNAL!C:C,"&lt;="&amp;$N$3)</f>
        <v>0</v>
      </c>
      <c r="N125" s="20">
        <f t="shared" si="9"/>
        <v>0</v>
      </c>
      <c r="O125" s="237">
        <f t="shared" si="10"/>
        <v>0</v>
      </c>
      <c r="P125" s="16">
        <f t="shared" si="11"/>
        <v>320100</v>
      </c>
      <c r="Q125" s="16">
        <f t="shared" si="12"/>
        <v>122000</v>
      </c>
      <c r="R125" s="237">
        <f t="shared" si="13"/>
        <v>0</v>
      </c>
    </row>
    <row r="126" spans="2:18">
      <c r="B126" s="15">
        <f t="shared" ref="B126:B133" si="16">+IF(C126="","",ROW()-5)</f>
        <v>121</v>
      </c>
      <c r="C126" s="16">
        <f>IFERROR(VLOOKUP(DATA!G124,DATA!$G$4:$J$2149,1,FALSE),"")</f>
        <v>3100</v>
      </c>
      <c r="D126" s="16" t="str">
        <f>+IFERROR(VLOOKUP(C126,DATA!$G$4:$H$2000,2,FALSE),"")</f>
        <v xml:space="preserve">УЛЬТРАСОНИК ХХК </v>
      </c>
      <c r="E126" s="16">
        <v>122000</v>
      </c>
      <c r="F126" s="237">
        <v>0</v>
      </c>
      <c r="G126" s="237">
        <f>+SUMIFS(JURNAL!G:G,JURNAL!E:E,E126,JURNAL!L:L,$C126,JURNAL!C:C,"&gt;="&amp;$M$3,JURNAL!C:C,"&lt;="&amp;$N$3)</f>
        <v>0</v>
      </c>
      <c r="H126" s="19">
        <f>+SUMIFS(JURNAL!H:H,JURNAL!E:E,E126,JURNAL!L:L,$C126,JURNAL!C:C,"&gt;="&amp;$M$3,JURNAL!C:C,"&lt;="&amp;$N$3)</f>
        <v>0</v>
      </c>
      <c r="I126" s="237">
        <f t="shared" ref="I126:I137" si="17">+F126+G126-H126</f>
        <v>0</v>
      </c>
      <c r="J126" s="16">
        <v>320100</v>
      </c>
      <c r="K126" s="237">
        <v>0</v>
      </c>
      <c r="L126" s="237">
        <f>+SUMIFS(JURNAL!G:G,JURNAL!E:E,J126,JURNAL!L:L,$C126,JURNAL!C:C,"&gt;="&amp;$M$3,JURNAL!C:C,"&lt;="&amp;$N$3)</f>
        <v>0</v>
      </c>
      <c r="M126" s="19">
        <f>+SUMIFS(JURNAL!H:H,JURNAL!E:E,J126,JURNAL!L:L,$C126,JURNAL!C:C,"&gt;="&amp;$M$3,JURNAL!C:C,"&lt;="&amp;$N$3)</f>
        <v>0</v>
      </c>
      <c r="N126" s="20">
        <f t="shared" ref="N126:N137" si="18">+K126+M126-L126</f>
        <v>0</v>
      </c>
      <c r="O126" s="237">
        <f t="shared" ref="O126:O137" si="19">+IF(I126&lt;N126,I126,N126)</f>
        <v>0</v>
      </c>
      <c r="P126" s="16">
        <f t="shared" ref="P126:P137" si="20">+J126</f>
        <v>320100</v>
      </c>
      <c r="Q126" s="16">
        <f t="shared" ref="Q126:Q137" si="21">+E126</f>
        <v>122000</v>
      </c>
      <c r="R126" s="237">
        <f t="shared" ref="R126:R137" si="22">+IF(O126,1,0)</f>
        <v>0</v>
      </c>
    </row>
    <row r="127" spans="2:18">
      <c r="B127" s="15">
        <f t="shared" si="16"/>
        <v>122</v>
      </c>
      <c r="C127" s="16">
        <f>IFERROR(VLOOKUP(DATA!G125,DATA!$G$4:$J$2149,1,FALSE),"")</f>
        <v>3101</v>
      </c>
      <c r="D127" s="16" t="str">
        <f>+IFERROR(VLOOKUP(C127,DATA!$G$4:$H$2000,2,FALSE),"")</f>
        <v xml:space="preserve">АЛТАН ТАРИА ХХК </v>
      </c>
      <c r="E127" s="16">
        <v>122000</v>
      </c>
      <c r="F127" s="237">
        <v>0</v>
      </c>
      <c r="G127" s="237">
        <f>+SUMIFS(JURNAL!G:G,JURNAL!E:E,E127,JURNAL!L:L,$C127,JURNAL!C:C,"&gt;="&amp;$M$3,JURNAL!C:C,"&lt;="&amp;$N$3)</f>
        <v>0</v>
      </c>
      <c r="H127" s="19">
        <f>+SUMIFS(JURNAL!H:H,JURNAL!E:E,E127,JURNAL!L:L,$C127,JURNAL!C:C,"&gt;="&amp;$M$3,JURNAL!C:C,"&lt;="&amp;$N$3)</f>
        <v>0</v>
      </c>
      <c r="I127" s="237">
        <f t="shared" si="17"/>
        <v>0</v>
      </c>
      <c r="J127" s="16">
        <v>320100</v>
      </c>
      <c r="K127" s="237">
        <v>0</v>
      </c>
      <c r="L127" s="237">
        <f>+SUMIFS(JURNAL!G:G,JURNAL!E:E,J127,JURNAL!L:L,$C127,JURNAL!C:C,"&gt;="&amp;$M$3,JURNAL!C:C,"&lt;="&amp;$N$3)</f>
        <v>0</v>
      </c>
      <c r="M127" s="19">
        <f>+SUMIFS(JURNAL!H:H,JURNAL!E:E,J127,JURNAL!L:L,$C127,JURNAL!C:C,"&gt;="&amp;$M$3,JURNAL!C:C,"&lt;="&amp;$N$3)</f>
        <v>0</v>
      </c>
      <c r="N127" s="20">
        <f t="shared" si="18"/>
        <v>0</v>
      </c>
      <c r="O127" s="237">
        <f t="shared" si="19"/>
        <v>0</v>
      </c>
      <c r="P127" s="16">
        <f t="shared" si="20"/>
        <v>320100</v>
      </c>
      <c r="Q127" s="16">
        <f t="shared" si="21"/>
        <v>122000</v>
      </c>
      <c r="R127" s="237">
        <f t="shared" si="22"/>
        <v>0</v>
      </c>
    </row>
    <row r="128" spans="2:18">
      <c r="B128" s="15">
        <f t="shared" si="16"/>
        <v>123</v>
      </c>
      <c r="C128" s="16">
        <f>IFERROR(VLOOKUP(DATA!G126,DATA!$G$4:$J$2149,1,FALSE),"")</f>
        <v>3102</v>
      </c>
      <c r="D128" s="16" t="str">
        <f>+IFERROR(VLOOKUP(C128,DATA!$G$4:$H$2000,2,FALSE),"")</f>
        <v xml:space="preserve">ВОРК ШОП ХХК </v>
      </c>
      <c r="E128" s="16">
        <v>122000</v>
      </c>
      <c r="F128" s="237">
        <v>0</v>
      </c>
      <c r="G128" s="237">
        <f>+SUMIFS(JURNAL!G:G,JURNAL!E:E,E128,JURNAL!L:L,$C128,JURNAL!C:C,"&gt;="&amp;$M$3,JURNAL!C:C,"&lt;="&amp;$N$3)</f>
        <v>0</v>
      </c>
      <c r="H128" s="19">
        <f>+SUMIFS(JURNAL!H:H,JURNAL!E:E,E128,JURNAL!L:L,$C128,JURNAL!C:C,"&gt;="&amp;$M$3,JURNAL!C:C,"&lt;="&amp;$N$3)</f>
        <v>0</v>
      </c>
      <c r="I128" s="237">
        <f t="shared" si="17"/>
        <v>0</v>
      </c>
      <c r="J128" s="16">
        <v>320100</v>
      </c>
      <c r="K128" s="237">
        <v>0</v>
      </c>
      <c r="L128" s="237">
        <f>+SUMIFS(JURNAL!G:G,JURNAL!E:E,J128,JURNAL!L:L,$C128,JURNAL!C:C,"&gt;="&amp;$M$3,JURNAL!C:C,"&lt;="&amp;$N$3)</f>
        <v>264000</v>
      </c>
      <c r="M128" s="19">
        <f>+SUMIFS(JURNAL!H:H,JURNAL!E:E,J128,JURNAL!L:L,$C128,JURNAL!C:C,"&gt;="&amp;$M$3,JURNAL!C:C,"&lt;="&amp;$N$3)</f>
        <v>264000</v>
      </c>
      <c r="N128" s="20">
        <f t="shared" si="18"/>
        <v>0</v>
      </c>
      <c r="O128" s="237">
        <f t="shared" si="19"/>
        <v>0</v>
      </c>
      <c r="P128" s="16">
        <f t="shared" si="20"/>
        <v>320100</v>
      </c>
      <c r="Q128" s="16">
        <f t="shared" si="21"/>
        <v>122000</v>
      </c>
      <c r="R128" s="237">
        <f t="shared" si="22"/>
        <v>0</v>
      </c>
    </row>
    <row r="129" spans="2:18">
      <c r="B129" s="15">
        <f t="shared" si="16"/>
        <v>124</v>
      </c>
      <c r="C129" s="16">
        <f>IFERROR(VLOOKUP(DATA!G127,DATA!$G$4:$J$2149,1,FALSE),"")</f>
        <v>3103</v>
      </c>
      <c r="D129" s="16" t="str">
        <f>+IFERROR(VLOOKUP(C129,DATA!$G$4:$H$2000,2,FALSE),"")</f>
        <v xml:space="preserve">СКАЙ ФОРТУН ХХК </v>
      </c>
      <c r="E129" s="16">
        <v>122000</v>
      </c>
      <c r="F129" s="237">
        <v>0</v>
      </c>
      <c r="G129" s="237">
        <f>+SUMIFS(JURNAL!G:G,JURNAL!E:E,E129,JURNAL!L:L,$C129,JURNAL!C:C,"&gt;="&amp;$M$3,JURNAL!C:C,"&lt;="&amp;$N$3)</f>
        <v>0</v>
      </c>
      <c r="H129" s="19">
        <f>+SUMIFS(JURNAL!H:H,JURNAL!E:E,E129,JURNAL!L:L,$C129,JURNAL!C:C,"&gt;="&amp;$M$3,JURNAL!C:C,"&lt;="&amp;$N$3)</f>
        <v>0</v>
      </c>
      <c r="I129" s="237">
        <f t="shared" si="17"/>
        <v>0</v>
      </c>
      <c r="J129" s="16">
        <v>320100</v>
      </c>
      <c r="K129" s="237">
        <v>0</v>
      </c>
      <c r="L129" s="237">
        <f>+SUMIFS(JURNAL!G:G,JURNAL!E:E,J129,JURNAL!L:L,$C129,JURNAL!C:C,"&gt;="&amp;$M$3,JURNAL!C:C,"&lt;="&amp;$N$3)</f>
        <v>0</v>
      </c>
      <c r="M129" s="19">
        <f>+SUMIFS(JURNAL!H:H,JURNAL!E:E,J129,JURNAL!L:L,$C129,JURNAL!C:C,"&gt;="&amp;$M$3,JURNAL!C:C,"&lt;="&amp;$N$3)</f>
        <v>0</v>
      </c>
      <c r="N129" s="20">
        <f t="shared" si="18"/>
        <v>0</v>
      </c>
      <c r="O129" s="237">
        <f t="shared" si="19"/>
        <v>0</v>
      </c>
      <c r="P129" s="16">
        <f t="shared" si="20"/>
        <v>320100</v>
      </c>
      <c r="Q129" s="16">
        <f t="shared" si="21"/>
        <v>122000</v>
      </c>
      <c r="R129" s="237">
        <f t="shared" si="22"/>
        <v>0</v>
      </c>
    </row>
    <row r="130" spans="2:18">
      <c r="B130" s="15">
        <f t="shared" si="16"/>
        <v>125</v>
      </c>
      <c r="C130" s="16">
        <f>IFERROR(VLOOKUP(DATA!G128,DATA!$G$4:$J$2149,1,FALSE),"")</f>
        <v>3104</v>
      </c>
      <c r="D130" s="16" t="str">
        <f>+IFERROR(VLOOKUP(C130,DATA!$G$4:$H$2000,2,FALSE),"")</f>
        <v>ХҮРЭЭ ЦАМХАГ ХХК</v>
      </c>
      <c r="E130" s="16">
        <v>122000</v>
      </c>
      <c r="F130" s="237">
        <v>0</v>
      </c>
      <c r="G130" s="237">
        <f>+SUMIFS(JURNAL!G:G,JURNAL!E:E,E130,JURNAL!L:L,$C130,JURNAL!C:C,"&gt;="&amp;$M$3,JURNAL!C:C,"&lt;="&amp;$N$3)</f>
        <v>0</v>
      </c>
      <c r="H130" s="19">
        <f>+SUMIFS(JURNAL!H:H,JURNAL!E:E,E130,JURNAL!L:L,$C130,JURNAL!C:C,"&gt;="&amp;$M$3,JURNAL!C:C,"&lt;="&amp;$N$3)</f>
        <v>0</v>
      </c>
      <c r="I130" s="237">
        <f t="shared" si="17"/>
        <v>0</v>
      </c>
      <c r="J130" s="16">
        <v>320100</v>
      </c>
      <c r="K130" s="237">
        <v>0</v>
      </c>
      <c r="L130" s="237">
        <f>+SUMIFS(JURNAL!G:G,JURNAL!E:E,J130,JURNAL!L:L,$C130,JURNAL!C:C,"&gt;="&amp;$M$3,JURNAL!C:C,"&lt;="&amp;$N$3)</f>
        <v>908496</v>
      </c>
      <c r="M130" s="19">
        <f>+SUMIFS(JURNAL!H:H,JURNAL!E:E,J130,JURNAL!L:L,$C130,JURNAL!C:C,"&gt;="&amp;$M$3,JURNAL!C:C,"&lt;="&amp;$N$3)</f>
        <v>908496</v>
      </c>
      <c r="N130" s="20">
        <f t="shared" si="18"/>
        <v>0</v>
      </c>
      <c r="O130" s="237">
        <f t="shared" si="19"/>
        <v>0</v>
      </c>
      <c r="P130" s="16">
        <f t="shared" si="20"/>
        <v>320100</v>
      </c>
      <c r="Q130" s="16">
        <f t="shared" si="21"/>
        <v>122000</v>
      </c>
      <c r="R130" s="237">
        <f t="shared" si="22"/>
        <v>0</v>
      </c>
    </row>
    <row r="131" spans="2:18">
      <c r="B131" s="15">
        <f t="shared" si="16"/>
        <v>126</v>
      </c>
      <c r="C131" s="16">
        <f>IFERROR(VLOOKUP(DATA!G129,DATA!$G$4:$J$2149,1,FALSE),"")</f>
        <v>3105</v>
      </c>
      <c r="D131" s="16" t="str">
        <f>+IFERROR(VLOOKUP(C131,DATA!$G$4:$H$2000,2,FALSE),"")</f>
        <v>ЖИНС ХАЙРХАН ХХК</v>
      </c>
      <c r="E131" s="16">
        <v>122000</v>
      </c>
      <c r="F131" s="237">
        <v>0</v>
      </c>
      <c r="G131" s="237">
        <f>+SUMIFS(JURNAL!G:G,JURNAL!E:E,E131,JURNAL!L:L,$C131,JURNAL!C:C,"&gt;="&amp;$M$3,JURNAL!C:C,"&lt;="&amp;$N$3)</f>
        <v>0</v>
      </c>
      <c r="H131" s="19">
        <f>+SUMIFS(JURNAL!H:H,JURNAL!E:E,E131,JURNAL!L:L,$C131,JURNAL!C:C,"&gt;="&amp;$M$3,JURNAL!C:C,"&lt;="&amp;$N$3)</f>
        <v>0</v>
      </c>
      <c r="I131" s="237">
        <f t="shared" si="17"/>
        <v>0</v>
      </c>
      <c r="J131" s="16">
        <v>320100</v>
      </c>
      <c r="K131" s="237">
        <v>0</v>
      </c>
      <c r="L131" s="237">
        <f>+SUMIFS(JURNAL!G:G,JURNAL!E:E,J131,JURNAL!L:L,$C131,JURNAL!C:C,"&gt;="&amp;$M$3,JURNAL!C:C,"&lt;="&amp;$N$3)</f>
        <v>0</v>
      </c>
      <c r="M131" s="19">
        <f>+SUMIFS(JURNAL!H:H,JURNAL!E:E,J131,JURNAL!L:L,$C131,JURNAL!C:C,"&gt;="&amp;$M$3,JURNAL!C:C,"&lt;="&amp;$N$3)</f>
        <v>0</v>
      </c>
      <c r="N131" s="20">
        <f t="shared" si="18"/>
        <v>0</v>
      </c>
      <c r="O131" s="237">
        <f t="shared" si="19"/>
        <v>0</v>
      </c>
      <c r="P131" s="16">
        <f t="shared" si="20"/>
        <v>320100</v>
      </c>
      <c r="Q131" s="16">
        <f t="shared" si="21"/>
        <v>122000</v>
      </c>
      <c r="R131" s="237">
        <f t="shared" si="22"/>
        <v>0</v>
      </c>
    </row>
    <row r="132" spans="2:18">
      <c r="B132" s="15">
        <f t="shared" si="16"/>
        <v>127</v>
      </c>
      <c r="C132" s="16">
        <f>IFERROR(VLOOKUP(DATA!G130,DATA!$G$4:$J$2149,1,FALSE),"")</f>
        <v>3106</v>
      </c>
      <c r="D132" s="16" t="str">
        <f>+IFERROR(VLOOKUP(C132,DATA!$G$4:$H$2000,2,FALSE),"")</f>
        <v xml:space="preserve">ГАН ЗОСОН КОНСТРАКШН ХХК </v>
      </c>
      <c r="E132" s="16">
        <v>122000</v>
      </c>
      <c r="F132" s="237">
        <v>0</v>
      </c>
      <c r="G132" s="237">
        <f>+SUMIFS(JURNAL!G:G,JURNAL!E:E,E132,JURNAL!L:L,$C132,JURNAL!C:C,"&gt;="&amp;$M$3,JURNAL!C:C,"&lt;="&amp;$N$3)</f>
        <v>0</v>
      </c>
      <c r="H132" s="19">
        <f>+SUMIFS(JURNAL!H:H,JURNAL!E:E,E132,JURNAL!L:L,$C132,JURNAL!C:C,"&gt;="&amp;$M$3,JURNAL!C:C,"&lt;="&amp;$N$3)</f>
        <v>0</v>
      </c>
      <c r="I132" s="237">
        <f t="shared" si="17"/>
        <v>0</v>
      </c>
      <c r="J132" s="16">
        <v>320100</v>
      </c>
      <c r="K132" s="237">
        <v>0</v>
      </c>
      <c r="L132" s="237">
        <f>+SUMIFS(JURNAL!G:G,JURNAL!E:E,J132,JURNAL!L:L,$C132,JURNAL!C:C,"&gt;="&amp;$M$3,JURNAL!C:C,"&lt;="&amp;$N$3)</f>
        <v>0</v>
      </c>
      <c r="M132" s="19">
        <f>+SUMIFS(JURNAL!H:H,JURNAL!E:E,J132,JURNAL!L:L,$C132,JURNAL!C:C,"&gt;="&amp;$M$3,JURNAL!C:C,"&lt;="&amp;$N$3)</f>
        <v>0</v>
      </c>
      <c r="N132" s="20">
        <f t="shared" si="18"/>
        <v>0</v>
      </c>
      <c r="O132" s="237">
        <f t="shared" si="19"/>
        <v>0</v>
      </c>
      <c r="P132" s="16">
        <f t="shared" si="20"/>
        <v>320100</v>
      </c>
      <c r="Q132" s="16">
        <f t="shared" si="21"/>
        <v>122000</v>
      </c>
      <c r="R132" s="237">
        <f t="shared" si="22"/>
        <v>0</v>
      </c>
    </row>
    <row r="133" spans="2:18">
      <c r="B133" s="15">
        <f t="shared" si="16"/>
        <v>128</v>
      </c>
      <c r="C133" s="16">
        <f>IFERROR(VLOOKUP(DATA!G131,DATA!$G$4:$J$2149,1,FALSE),"")</f>
        <v>3107</v>
      </c>
      <c r="D133" s="16" t="str">
        <f>+IFERROR(VLOOKUP(C133,DATA!$G$4:$H$2000,2,FALSE),"")</f>
        <v>СЭФИЛО ХХК</v>
      </c>
      <c r="E133" s="16">
        <v>122000</v>
      </c>
      <c r="F133" s="237">
        <v>0</v>
      </c>
      <c r="G133" s="237">
        <f>+SUMIFS(JURNAL!G:G,JURNAL!E:E,E133,JURNAL!L:L,$C133,JURNAL!C:C,"&gt;="&amp;$M$3,JURNAL!C:C,"&lt;="&amp;$N$3)</f>
        <v>0</v>
      </c>
      <c r="H133" s="19">
        <f>+SUMIFS(JURNAL!H:H,JURNAL!E:E,E133,JURNAL!L:L,$C133,JURNAL!C:C,"&gt;="&amp;$M$3,JURNAL!C:C,"&lt;="&amp;$N$3)</f>
        <v>0</v>
      </c>
      <c r="I133" s="237">
        <f t="shared" si="17"/>
        <v>0</v>
      </c>
      <c r="J133" s="16">
        <v>320100</v>
      </c>
      <c r="K133" s="237">
        <v>0</v>
      </c>
      <c r="L133" s="237">
        <f>+SUMIFS(JURNAL!G:G,JURNAL!E:E,J133,JURNAL!L:L,$C133,JURNAL!C:C,"&gt;="&amp;$M$3,JURNAL!C:C,"&lt;="&amp;$N$3)</f>
        <v>0</v>
      </c>
      <c r="M133" s="19">
        <f>+SUMIFS(JURNAL!H:H,JURNAL!E:E,J133,JURNAL!L:L,$C133,JURNAL!C:C,"&gt;="&amp;$M$3,JURNAL!C:C,"&lt;="&amp;$N$3)</f>
        <v>0</v>
      </c>
      <c r="N133" s="20">
        <f t="shared" si="18"/>
        <v>0</v>
      </c>
      <c r="O133" s="237">
        <f t="shared" si="19"/>
        <v>0</v>
      </c>
      <c r="P133" s="16">
        <f t="shared" si="20"/>
        <v>320100</v>
      </c>
      <c r="Q133" s="16">
        <f t="shared" si="21"/>
        <v>122000</v>
      </c>
      <c r="R133" s="237">
        <f t="shared" si="22"/>
        <v>0</v>
      </c>
    </row>
    <row r="134" spans="2:18">
      <c r="B134" s="15">
        <f t="shared" ref="B134:B197" si="23">+IF(C134="","",ROW()-5)</f>
        <v>129</v>
      </c>
      <c r="C134" s="16">
        <f>IFERROR(VLOOKUP(DATA!G132,DATA!$G$4:$J$2149,1,FALSE),"")</f>
        <v>3108</v>
      </c>
      <c r="D134" s="16" t="str">
        <f>+IFERROR(VLOOKUP(C134,DATA!$G$4:$H$2000,2,FALSE),"")</f>
        <v>ИХ ГОВИЙН ЭРЧИМ ХУРД ХХК</v>
      </c>
      <c r="E134" s="16">
        <v>122000</v>
      </c>
      <c r="F134" s="237">
        <v>0</v>
      </c>
      <c r="G134" s="237">
        <f>+SUMIFS(JURNAL!G:G,JURNAL!E:E,E134,JURNAL!L:L,$C134,JURNAL!C:C,"&gt;="&amp;$M$3,JURNAL!C:C,"&lt;="&amp;$N$3)</f>
        <v>0</v>
      </c>
      <c r="H134" s="19">
        <f>+SUMIFS(JURNAL!H:H,JURNAL!E:E,E134,JURNAL!L:L,$C134,JURNAL!C:C,"&gt;="&amp;$M$3,JURNAL!C:C,"&lt;="&amp;$N$3)</f>
        <v>0</v>
      </c>
      <c r="I134" s="237">
        <f t="shared" si="17"/>
        <v>0</v>
      </c>
      <c r="J134" s="16">
        <v>320100</v>
      </c>
      <c r="K134" s="237">
        <v>0</v>
      </c>
      <c r="L134" s="237">
        <f>+SUMIFS(JURNAL!G:G,JURNAL!E:E,J134,JURNAL!L:L,$C134,JURNAL!C:C,"&gt;="&amp;$M$3,JURNAL!C:C,"&lt;="&amp;$N$3)</f>
        <v>0</v>
      </c>
      <c r="M134" s="19">
        <f>+SUMIFS(JURNAL!H:H,JURNAL!E:E,J134,JURNAL!L:L,$C134,JURNAL!C:C,"&gt;="&amp;$M$3,JURNAL!C:C,"&lt;="&amp;$N$3)</f>
        <v>0</v>
      </c>
      <c r="N134" s="20">
        <f t="shared" si="18"/>
        <v>0</v>
      </c>
      <c r="O134" s="237">
        <f t="shared" si="19"/>
        <v>0</v>
      </c>
      <c r="P134" s="16">
        <f t="shared" si="20"/>
        <v>320100</v>
      </c>
      <c r="Q134" s="16">
        <f t="shared" si="21"/>
        <v>122000</v>
      </c>
      <c r="R134" s="237">
        <f t="shared" si="22"/>
        <v>0</v>
      </c>
    </row>
    <row r="135" spans="2:18">
      <c r="B135" s="15">
        <f t="shared" si="23"/>
        <v>130</v>
      </c>
      <c r="C135" s="16">
        <f>IFERROR(VLOOKUP(DATA!G133,DATA!$G$4:$J$2149,1,FALSE),"")</f>
        <v>3109</v>
      </c>
      <c r="D135" s="16" t="str">
        <f>+IFERROR(VLOOKUP(C135,DATA!$G$4:$H$2000,2,FALSE),"")</f>
        <v xml:space="preserve">СИЛК РӨҮТ ТЕКСТИЛЬ ХХК </v>
      </c>
      <c r="E135" s="16">
        <v>122000</v>
      </c>
      <c r="F135" s="237">
        <v>0</v>
      </c>
      <c r="G135" s="237">
        <f>+SUMIFS(JURNAL!G:G,JURNAL!E:E,E135,JURNAL!L:L,$C135,JURNAL!C:C,"&gt;="&amp;$M$3,JURNAL!C:C,"&lt;="&amp;$N$3)</f>
        <v>0</v>
      </c>
      <c r="H135" s="19">
        <f>+SUMIFS(JURNAL!H:H,JURNAL!E:E,E135,JURNAL!L:L,$C135,JURNAL!C:C,"&gt;="&amp;$M$3,JURNAL!C:C,"&lt;="&amp;$N$3)</f>
        <v>0</v>
      </c>
      <c r="I135" s="237">
        <f t="shared" si="17"/>
        <v>0</v>
      </c>
      <c r="J135" s="16">
        <v>320100</v>
      </c>
      <c r="K135" s="237">
        <v>0</v>
      </c>
      <c r="L135" s="237">
        <f>+SUMIFS(JURNAL!G:G,JURNAL!E:E,J135,JURNAL!L:L,$C135,JURNAL!C:C,"&gt;="&amp;$M$3,JURNAL!C:C,"&lt;="&amp;$N$3)</f>
        <v>1384700</v>
      </c>
      <c r="M135" s="19">
        <f>+SUMIFS(JURNAL!H:H,JURNAL!E:E,J135,JURNAL!L:L,$C135,JURNAL!C:C,"&gt;="&amp;$M$3,JURNAL!C:C,"&lt;="&amp;$N$3)</f>
        <v>1384700</v>
      </c>
      <c r="N135" s="20">
        <f t="shared" si="18"/>
        <v>0</v>
      </c>
      <c r="O135" s="237">
        <f t="shared" si="19"/>
        <v>0</v>
      </c>
      <c r="P135" s="16">
        <f t="shared" si="20"/>
        <v>320100</v>
      </c>
      <c r="Q135" s="16">
        <f t="shared" si="21"/>
        <v>122000</v>
      </c>
      <c r="R135" s="237">
        <f t="shared" si="22"/>
        <v>0</v>
      </c>
    </row>
    <row r="136" spans="2:18">
      <c r="B136" s="15">
        <f t="shared" si="23"/>
        <v>131</v>
      </c>
      <c r="C136" s="16">
        <f>IFERROR(VLOOKUP(DATA!G134,DATA!$G$4:$J$2149,1,FALSE),"")</f>
        <v>3110</v>
      </c>
      <c r="D136" s="16" t="str">
        <f>+IFERROR(VLOOKUP(C136,DATA!$G$4:$H$2000,2,FALSE),"")</f>
        <v xml:space="preserve">СҮЙХЭНТ ХХК </v>
      </c>
      <c r="E136" s="16">
        <v>122000</v>
      </c>
      <c r="F136" s="237">
        <v>0</v>
      </c>
      <c r="G136" s="237">
        <f>+SUMIFS(JURNAL!G:G,JURNAL!E:E,E136,JURNAL!L:L,$C136,JURNAL!C:C,"&gt;="&amp;$M$3,JURNAL!C:C,"&lt;="&amp;$N$3)</f>
        <v>0</v>
      </c>
      <c r="H136" s="19">
        <f>+SUMIFS(JURNAL!H:H,JURNAL!E:E,E136,JURNAL!L:L,$C136,JURNAL!C:C,"&gt;="&amp;$M$3,JURNAL!C:C,"&lt;="&amp;$N$3)</f>
        <v>0</v>
      </c>
      <c r="I136" s="237">
        <f t="shared" si="17"/>
        <v>0</v>
      </c>
      <c r="J136" s="16">
        <v>320100</v>
      </c>
      <c r="K136" s="237">
        <v>0</v>
      </c>
      <c r="L136" s="237">
        <f>+SUMIFS(JURNAL!G:G,JURNAL!E:E,J136,JURNAL!L:L,$C136,JURNAL!C:C,"&gt;="&amp;$M$3,JURNAL!C:C,"&lt;="&amp;$N$3)</f>
        <v>217200</v>
      </c>
      <c r="M136" s="19">
        <f>+SUMIFS(JURNAL!H:H,JURNAL!E:E,J136,JURNAL!L:L,$C136,JURNAL!C:C,"&gt;="&amp;$M$3,JURNAL!C:C,"&lt;="&amp;$N$3)</f>
        <v>217200</v>
      </c>
      <c r="N136" s="20">
        <f t="shared" si="18"/>
        <v>0</v>
      </c>
      <c r="O136" s="237">
        <f t="shared" si="19"/>
        <v>0</v>
      </c>
      <c r="P136" s="16">
        <f t="shared" si="20"/>
        <v>320100</v>
      </c>
      <c r="Q136" s="16">
        <f t="shared" si="21"/>
        <v>122000</v>
      </c>
      <c r="R136" s="237">
        <f t="shared" si="22"/>
        <v>0</v>
      </c>
    </row>
    <row r="137" spans="2:18">
      <c r="B137" s="15">
        <f t="shared" si="23"/>
        <v>132</v>
      </c>
      <c r="C137" s="16">
        <f>IFERROR(VLOOKUP(DATA!G135,DATA!$G$4:$J$2149,1,FALSE),"")</f>
        <v>3111</v>
      </c>
      <c r="D137" s="16" t="str">
        <f>+IFERROR(VLOOKUP(C137,DATA!$G$4:$H$2000,2,FALSE),"")</f>
        <v xml:space="preserve">ЗУЛЗАГАН ДӨЛ ХХК </v>
      </c>
      <c r="E137" s="16">
        <v>122000</v>
      </c>
      <c r="F137" s="237">
        <v>0</v>
      </c>
      <c r="G137" s="237">
        <f>+SUMIFS(JURNAL!G:G,JURNAL!E:E,E137,JURNAL!L:L,$C137,JURNAL!C:C,"&gt;="&amp;$M$3,JURNAL!C:C,"&lt;="&amp;$N$3)</f>
        <v>0</v>
      </c>
      <c r="H137" s="19">
        <f>+SUMIFS(JURNAL!H:H,JURNAL!E:E,E137,JURNAL!L:L,$C137,JURNAL!C:C,"&gt;="&amp;$M$3,JURNAL!C:C,"&lt;="&amp;$N$3)</f>
        <v>0</v>
      </c>
      <c r="I137" s="237">
        <f t="shared" si="17"/>
        <v>0</v>
      </c>
      <c r="J137" s="16">
        <v>320100</v>
      </c>
      <c r="K137" s="237">
        <v>0</v>
      </c>
      <c r="L137" s="237">
        <f>+SUMIFS(JURNAL!G:G,JURNAL!E:E,J137,JURNAL!L:L,$C137,JURNAL!C:C,"&gt;="&amp;$M$3,JURNAL!C:C,"&lt;="&amp;$N$3)</f>
        <v>39600</v>
      </c>
      <c r="M137" s="19">
        <f>+SUMIFS(JURNAL!H:H,JURNAL!E:E,J137,JURNAL!L:L,$C137,JURNAL!C:C,"&gt;="&amp;$M$3,JURNAL!C:C,"&lt;="&amp;$N$3)</f>
        <v>39600</v>
      </c>
      <c r="N137" s="20">
        <f t="shared" si="18"/>
        <v>0</v>
      </c>
      <c r="O137" s="237">
        <f t="shared" si="19"/>
        <v>0</v>
      </c>
      <c r="P137" s="16">
        <f t="shared" si="20"/>
        <v>320100</v>
      </c>
      <c r="Q137" s="16">
        <f t="shared" si="21"/>
        <v>122000</v>
      </c>
      <c r="R137" s="237">
        <f t="shared" si="22"/>
        <v>0</v>
      </c>
    </row>
    <row r="138" spans="2:18">
      <c r="B138" s="15">
        <f t="shared" si="23"/>
        <v>133</v>
      </c>
      <c r="C138" s="16">
        <f>IFERROR(VLOOKUP(DATA!G136,DATA!$G$4:$J$2149,1,FALSE),"")</f>
        <v>3112</v>
      </c>
      <c r="D138" s="16" t="str">
        <f>+IFERROR(VLOOKUP(C138,DATA!$G$4:$H$2000,2,FALSE),"")</f>
        <v>АЛИА ДАРХАН ХХК</v>
      </c>
      <c r="E138" s="16">
        <v>122000</v>
      </c>
      <c r="F138" s="237">
        <v>0</v>
      </c>
      <c r="G138" s="237">
        <f>+SUMIFS(JURNAL!G:G,JURNAL!E:E,E138,JURNAL!L:L,$C138,JURNAL!C:C,"&gt;="&amp;$M$3,JURNAL!C:C,"&lt;="&amp;$N$3)</f>
        <v>0</v>
      </c>
      <c r="H138" s="19">
        <f>+SUMIFS(JURNAL!H:H,JURNAL!E:E,E138,JURNAL!L:L,$C138,JURNAL!C:C,"&gt;="&amp;$M$3,JURNAL!C:C,"&lt;="&amp;$N$3)</f>
        <v>0</v>
      </c>
      <c r="I138" s="237">
        <f t="shared" ref="I138:I155" si="24">+F138+G138-H138</f>
        <v>0</v>
      </c>
      <c r="J138" s="16">
        <v>320100</v>
      </c>
      <c r="K138" s="237">
        <v>0</v>
      </c>
      <c r="L138" s="237">
        <f>+SUMIFS(JURNAL!G:G,JURNAL!E:E,J138,JURNAL!L:L,$C138,JURNAL!C:C,"&gt;="&amp;$M$3,JURNAL!C:C,"&lt;="&amp;$N$3)</f>
        <v>0</v>
      </c>
      <c r="M138" s="19">
        <f>+SUMIFS(JURNAL!H:H,JURNAL!E:E,J138,JURNAL!L:L,$C138,JURNAL!C:C,"&gt;="&amp;$M$3,JURNAL!C:C,"&lt;="&amp;$N$3)</f>
        <v>0</v>
      </c>
      <c r="N138" s="20">
        <f t="shared" ref="N138:N143" si="25">+K138+M138-L138</f>
        <v>0</v>
      </c>
      <c r="O138" s="237">
        <f t="shared" ref="O138:O146" si="26">+IF(I138&lt;N138,I138,N138)</f>
        <v>0</v>
      </c>
      <c r="P138" s="16">
        <f t="shared" ref="P138:P143" si="27">+J138</f>
        <v>320100</v>
      </c>
      <c r="Q138" s="16">
        <f t="shared" ref="Q138:Q143" si="28">+E138</f>
        <v>122000</v>
      </c>
      <c r="R138" s="237">
        <f t="shared" ref="R138:R143" si="29">+IF(O138,1,0)</f>
        <v>0</v>
      </c>
    </row>
    <row r="139" spans="2:18">
      <c r="B139" s="15">
        <f t="shared" si="23"/>
        <v>134</v>
      </c>
      <c r="C139" s="16">
        <f>IFERROR(VLOOKUP(DATA!G137,DATA!$G$4:$J$2149,1,FALSE),"")</f>
        <v>3113</v>
      </c>
      <c r="D139" s="16" t="str">
        <f>+IFERROR(VLOOKUP(C139,DATA!$G$4:$H$2000,2,FALSE),"")</f>
        <v xml:space="preserve">ХАВТГАЙН ГОЛ ХХК </v>
      </c>
      <c r="E139" s="16">
        <v>122000</v>
      </c>
      <c r="F139" s="237">
        <v>0</v>
      </c>
      <c r="G139" s="237">
        <f>+SUMIFS(JURNAL!G:G,JURNAL!E:E,E139,JURNAL!L:L,$C139,JURNAL!C:C,"&gt;="&amp;$M$3,JURNAL!C:C,"&lt;="&amp;$N$3)</f>
        <v>0</v>
      </c>
      <c r="H139" s="19">
        <f>+SUMIFS(JURNAL!H:H,JURNAL!E:E,E139,JURNAL!L:L,$C139,JURNAL!C:C,"&gt;="&amp;$M$3,JURNAL!C:C,"&lt;="&amp;$N$3)</f>
        <v>0</v>
      </c>
      <c r="I139" s="237">
        <f t="shared" si="24"/>
        <v>0</v>
      </c>
      <c r="J139" s="16">
        <v>320100</v>
      </c>
      <c r="K139" s="237">
        <v>0</v>
      </c>
      <c r="L139" s="237">
        <f>+SUMIFS(JURNAL!G:G,JURNAL!E:E,J139,JURNAL!L:L,$C139,JURNAL!C:C,"&gt;="&amp;$M$3,JURNAL!C:C,"&lt;="&amp;$N$3)</f>
        <v>0</v>
      </c>
      <c r="M139" s="19">
        <f>+SUMIFS(JURNAL!H:H,JURNAL!E:E,J139,JURNAL!L:L,$C139,JURNAL!C:C,"&gt;="&amp;$M$3,JURNAL!C:C,"&lt;="&amp;$N$3)</f>
        <v>0</v>
      </c>
      <c r="N139" s="20">
        <f t="shared" si="25"/>
        <v>0</v>
      </c>
      <c r="O139" s="237">
        <f t="shared" si="26"/>
        <v>0</v>
      </c>
      <c r="P139" s="16">
        <f t="shared" si="27"/>
        <v>320100</v>
      </c>
      <c r="Q139" s="16">
        <f t="shared" si="28"/>
        <v>122000</v>
      </c>
      <c r="R139" s="237">
        <f t="shared" si="29"/>
        <v>0</v>
      </c>
    </row>
    <row r="140" spans="2:18">
      <c r="B140" s="15">
        <f t="shared" si="23"/>
        <v>135</v>
      </c>
      <c r="C140" s="16">
        <f>IFERROR(VLOOKUP(DATA!G138,DATA!$G$4:$J$2149,1,FALSE),"")</f>
        <v>3114</v>
      </c>
      <c r="D140" s="16" t="str">
        <f>+IFERROR(VLOOKUP(C140,DATA!$G$4:$H$2000,2,FALSE),"")</f>
        <v>ИЛД БАМБАЙ ХХК</v>
      </c>
      <c r="E140" s="16">
        <v>122000</v>
      </c>
      <c r="F140" s="237">
        <v>0</v>
      </c>
      <c r="G140" s="237">
        <f>+SUMIFS(JURNAL!G:G,JURNAL!E:E,E140,JURNAL!L:L,$C140,JURNAL!C:C,"&gt;="&amp;$M$3,JURNAL!C:C,"&lt;="&amp;$N$3)</f>
        <v>0</v>
      </c>
      <c r="H140" s="19">
        <f>+SUMIFS(JURNAL!H:H,JURNAL!E:E,E140,JURNAL!L:L,$C140,JURNAL!C:C,"&gt;="&amp;$M$3,JURNAL!C:C,"&lt;="&amp;$N$3)</f>
        <v>0</v>
      </c>
      <c r="I140" s="237">
        <f t="shared" si="24"/>
        <v>0</v>
      </c>
      <c r="J140" s="16">
        <v>320100</v>
      </c>
      <c r="K140" s="237">
        <v>0</v>
      </c>
      <c r="L140" s="237">
        <f>+SUMIFS(JURNAL!G:G,JURNAL!E:E,J140,JURNAL!L:L,$C140,JURNAL!C:C,"&gt;="&amp;$M$3,JURNAL!C:C,"&lt;="&amp;$N$3)</f>
        <v>125400</v>
      </c>
      <c r="M140" s="19">
        <f>+SUMIFS(JURNAL!H:H,JURNAL!E:E,J140,JURNAL!L:L,$C140,JURNAL!C:C,"&gt;="&amp;$M$3,JURNAL!C:C,"&lt;="&amp;$N$3)</f>
        <v>125400</v>
      </c>
      <c r="N140" s="20">
        <f t="shared" si="25"/>
        <v>0</v>
      </c>
      <c r="O140" s="237">
        <f t="shared" si="26"/>
        <v>0</v>
      </c>
      <c r="P140" s="16">
        <f t="shared" si="27"/>
        <v>320100</v>
      </c>
      <c r="Q140" s="16">
        <f t="shared" si="28"/>
        <v>122000</v>
      </c>
      <c r="R140" s="237">
        <f t="shared" si="29"/>
        <v>0</v>
      </c>
    </row>
    <row r="141" spans="2:18">
      <c r="B141" s="15">
        <f t="shared" si="23"/>
        <v>136</v>
      </c>
      <c r="C141" s="16">
        <f>IFERROR(VLOOKUP(DATA!G139,DATA!$G$4:$J$2149,1,FALSE),"")</f>
        <v>3115</v>
      </c>
      <c r="D141" s="16" t="str">
        <f>+IFERROR(VLOOKUP(C141,DATA!$G$4:$H$2000,2,FALSE),"")</f>
        <v>АЛАГ УУЛ ФИНАНС АУДИТ ХХК</v>
      </c>
      <c r="E141" s="16">
        <v>122000</v>
      </c>
      <c r="F141" s="237">
        <v>0</v>
      </c>
      <c r="G141" s="237">
        <f>+SUMIFS(JURNAL!G:G,JURNAL!E:E,E141,JURNAL!L:L,$C141,JURNAL!C:C,"&gt;="&amp;$M$3,JURNAL!C:C,"&lt;="&amp;$N$3)</f>
        <v>0</v>
      </c>
      <c r="H141" s="19">
        <f>+SUMIFS(JURNAL!H:H,JURNAL!E:E,E141,JURNAL!L:L,$C141,JURNAL!C:C,"&gt;="&amp;$M$3,JURNAL!C:C,"&lt;="&amp;$N$3)</f>
        <v>0</v>
      </c>
      <c r="I141" s="237">
        <f t="shared" si="24"/>
        <v>0</v>
      </c>
      <c r="J141" s="16">
        <v>320100</v>
      </c>
      <c r="K141" s="237">
        <v>0</v>
      </c>
      <c r="L141" s="237">
        <f>+SUMIFS(JURNAL!G:G,JURNAL!E:E,J141,JURNAL!L:L,$C141,JURNAL!C:C,"&gt;="&amp;$M$3,JURNAL!C:C,"&lt;="&amp;$N$3)</f>
        <v>0</v>
      </c>
      <c r="M141" s="19">
        <f>+SUMIFS(JURNAL!H:H,JURNAL!E:E,J141,JURNAL!L:L,$C141,JURNAL!C:C,"&gt;="&amp;$M$3,JURNAL!C:C,"&lt;="&amp;$N$3)</f>
        <v>0</v>
      </c>
      <c r="N141" s="20">
        <f t="shared" si="25"/>
        <v>0</v>
      </c>
      <c r="O141" s="237">
        <f t="shared" si="26"/>
        <v>0</v>
      </c>
      <c r="P141" s="16">
        <f t="shared" si="27"/>
        <v>320100</v>
      </c>
      <c r="Q141" s="16">
        <f t="shared" si="28"/>
        <v>122000</v>
      </c>
      <c r="R141" s="237">
        <f t="shared" si="29"/>
        <v>0</v>
      </c>
    </row>
    <row r="142" spans="2:18">
      <c r="B142" s="15">
        <f t="shared" si="23"/>
        <v>137</v>
      </c>
      <c r="C142" s="16">
        <f>IFERROR(VLOOKUP(DATA!G140,DATA!$G$4:$J$2149,1,FALSE),"")</f>
        <v>4001</v>
      </c>
      <c r="D142" s="16" t="str">
        <f>+IFERROR(VLOOKUP(C142,DATA!$G$4:$H$2000,2,FALSE),"")</f>
        <v>Сайннямбуу</v>
      </c>
      <c r="E142" s="16">
        <v>122000</v>
      </c>
      <c r="F142" s="237">
        <v>0</v>
      </c>
      <c r="G142" s="237">
        <f>+SUMIFS(JURNAL!G:G,JURNAL!E:E,E142,JURNAL!L:L,$C142,JURNAL!C:C,"&gt;="&amp;$M$3,JURNAL!C:C,"&lt;="&amp;$N$3)</f>
        <v>0</v>
      </c>
      <c r="H142" s="19">
        <f>+SUMIFS(JURNAL!H:H,JURNAL!E:E,E142,JURNAL!L:L,$C142,JURNAL!C:C,"&gt;="&amp;$M$3,JURNAL!C:C,"&lt;="&amp;$N$3)</f>
        <v>0</v>
      </c>
      <c r="I142" s="237">
        <f t="shared" si="24"/>
        <v>0</v>
      </c>
      <c r="J142" s="16">
        <v>320100</v>
      </c>
      <c r="K142" s="237">
        <v>0</v>
      </c>
      <c r="L142" s="237">
        <f>+SUMIFS(JURNAL!G:G,JURNAL!E:E,J142,JURNAL!L:L,$C142,JURNAL!C:C,"&gt;="&amp;$M$3,JURNAL!C:C,"&lt;="&amp;$N$3)</f>
        <v>1557600</v>
      </c>
      <c r="M142" s="19">
        <f>+SUMIFS(JURNAL!H:H,JURNAL!E:E,J142,JURNAL!L:L,$C142,JURNAL!C:C,"&gt;="&amp;$M$3,JURNAL!C:C,"&lt;="&amp;$N$3)</f>
        <v>1557600</v>
      </c>
      <c r="N142" s="20">
        <f t="shared" si="25"/>
        <v>0</v>
      </c>
      <c r="O142" s="237">
        <f t="shared" si="26"/>
        <v>0</v>
      </c>
      <c r="P142" s="16">
        <f t="shared" si="27"/>
        <v>320100</v>
      </c>
      <c r="Q142" s="16">
        <f t="shared" si="28"/>
        <v>122000</v>
      </c>
      <c r="R142" s="237">
        <f t="shared" si="29"/>
        <v>0</v>
      </c>
    </row>
    <row r="143" spans="2:18">
      <c r="B143" s="15">
        <f t="shared" si="23"/>
        <v>138</v>
      </c>
      <c r="C143" s="16">
        <f>IFERROR(VLOOKUP(DATA!G141,DATA!$G$4:$J$2149,1,FALSE),"")</f>
        <v>4002</v>
      </c>
      <c r="D143" s="16" t="str">
        <f>+IFERROR(VLOOKUP(C143,DATA!$G$4:$H$2000,2,FALSE),"")</f>
        <v xml:space="preserve">Хувь хүн </v>
      </c>
      <c r="E143" s="16">
        <v>122000</v>
      </c>
      <c r="F143" s="237">
        <v>0</v>
      </c>
      <c r="G143" s="237">
        <f>+SUMIFS(JURNAL!G:G,JURNAL!E:E,E143,JURNAL!L:L,$C143,JURNAL!C:C,"&gt;="&amp;$M$3,JURNAL!C:C,"&lt;="&amp;$N$3)</f>
        <v>0</v>
      </c>
      <c r="H143" s="19">
        <f>+SUMIFS(JURNAL!H:H,JURNAL!E:E,E143,JURNAL!L:L,$C143,JURNAL!C:C,"&gt;="&amp;$M$3,JURNAL!C:C,"&lt;="&amp;$N$3)</f>
        <v>0</v>
      </c>
      <c r="I143" s="237">
        <f t="shared" si="24"/>
        <v>0</v>
      </c>
      <c r="J143" s="16">
        <v>320100</v>
      </c>
      <c r="K143" s="237">
        <v>0</v>
      </c>
      <c r="L143" s="237">
        <f>+SUMIFS(JURNAL!G:G,JURNAL!E:E,J143,JURNAL!L:L,$C143,JURNAL!C:C,"&gt;="&amp;$M$3,JURNAL!C:C,"&lt;="&amp;$N$3)</f>
        <v>2213663</v>
      </c>
      <c r="M143" s="19">
        <f>+SUMIFS(JURNAL!H:H,JURNAL!E:E,J143,JURNAL!L:L,$C143,JURNAL!C:C,"&gt;="&amp;$M$3,JURNAL!C:C,"&lt;="&amp;$N$3)</f>
        <v>2213663</v>
      </c>
      <c r="N143" s="20">
        <f t="shared" si="25"/>
        <v>0</v>
      </c>
      <c r="O143" s="237">
        <f t="shared" si="26"/>
        <v>0</v>
      </c>
      <c r="P143" s="16">
        <f t="shared" si="27"/>
        <v>320100</v>
      </c>
      <c r="Q143" s="16">
        <f t="shared" si="28"/>
        <v>122000</v>
      </c>
      <c r="R143" s="237">
        <f t="shared" si="29"/>
        <v>0</v>
      </c>
    </row>
    <row r="144" spans="2:18">
      <c r="B144" s="15">
        <f t="shared" si="23"/>
        <v>139</v>
      </c>
      <c r="C144" s="16">
        <f>IFERROR(VLOOKUP(DATA!G142,DATA!$G$4:$J$2149,1,FALSE),"")</f>
        <v>3116</v>
      </c>
      <c r="D144" s="16" t="str">
        <f>+IFERROR(VLOOKUP(C144,DATA!$G$4:$H$2000,2,FALSE),"")</f>
        <v xml:space="preserve">ЮМИКА ХХК </v>
      </c>
      <c r="E144" s="16">
        <v>122000</v>
      </c>
      <c r="F144" s="237">
        <v>0</v>
      </c>
      <c r="G144" s="237">
        <f>+SUMIFS(JURNAL!G:G,JURNAL!E:E,E144,JURNAL!L:L,$C144,JURNAL!C:C,"&gt;="&amp;$M$3,JURNAL!C:C,"&lt;="&amp;$N$3)</f>
        <v>0</v>
      </c>
      <c r="H144" s="19">
        <f>+SUMIFS(JURNAL!H:H,JURNAL!E:E,E144,JURNAL!L:L,$C144,JURNAL!C:C,"&gt;="&amp;$M$3,JURNAL!C:C,"&lt;="&amp;$N$3)</f>
        <v>0</v>
      </c>
      <c r="I144" s="237">
        <f t="shared" si="24"/>
        <v>0</v>
      </c>
      <c r="J144" s="16">
        <v>320100</v>
      </c>
      <c r="K144" s="237">
        <v>0</v>
      </c>
      <c r="L144" s="237">
        <f>+SUMIFS(JURNAL!G:G,JURNAL!E:E,J144,JURNAL!L:L,$C144,JURNAL!C:C,"&gt;="&amp;$M$3,JURNAL!C:C,"&lt;="&amp;$N$3)</f>
        <v>1826240</v>
      </c>
      <c r="M144" s="19">
        <f>+SUMIFS(JURNAL!H:H,JURNAL!E:E,J144,JURNAL!L:L,$C144,JURNAL!C:C,"&gt;="&amp;$M$3,JURNAL!C:C,"&lt;="&amp;$N$3)</f>
        <v>1826240</v>
      </c>
      <c r="N144" s="20">
        <f t="shared" ref="N144:N155" si="30">+K144+M144-L144</f>
        <v>0</v>
      </c>
      <c r="O144" s="237">
        <f t="shared" si="26"/>
        <v>0</v>
      </c>
      <c r="P144" s="16">
        <f t="shared" ref="P144:P155" si="31">+J144</f>
        <v>320100</v>
      </c>
      <c r="Q144" s="16">
        <f t="shared" ref="Q144:Q155" si="32">+E144</f>
        <v>122000</v>
      </c>
      <c r="R144" s="237">
        <f t="shared" ref="R144:R155" si="33">+IF(O144,1,0)</f>
        <v>0</v>
      </c>
    </row>
    <row r="145" spans="2:18">
      <c r="B145" s="15">
        <f t="shared" si="23"/>
        <v>140</v>
      </c>
      <c r="C145" s="16">
        <f>IFERROR(VLOOKUP(DATA!G143,DATA!$G$4:$J$2149,1,FALSE),"")</f>
        <v>3117</v>
      </c>
      <c r="D145" s="16" t="str">
        <f>+IFERROR(VLOOKUP(C145,DATA!$G$4:$H$2000,2,FALSE),"")</f>
        <v>БРИЛЛИАНТ ХАВТАН ХХК</v>
      </c>
      <c r="E145" s="16">
        <v>122000</v>
      </c>
      <c r="F145" s="237">
        <v>0</v>
      </c>
      <c r="G145" s="237">
        <f>+SUMIFS(JURNAL!G:G,JURNAL!E:E,E145,JURNAL!L:L,$C145,JURNAL!C:C,"&gt;="&amp;$M$3,JURNAL!C:C,"&lt;="&amp;$N$3)</f>
        <v>0</v>
      </c>
      <c r="H145" s="19">
        <f>+SUMIFS(JURNAL!H:H,JURNAL!E:E,E145,JURNAL!L:L,$C145,JURNAL!C:C,"&gt;="&amp;$M$3,JURNAL!C:C,"&lt;="&amp;$N$3)</f>
        <v>0</v>
      </c>
      <c r="I145" s="237">
        <f t="shared" si="24"/>
        <v>0</v>
      </c>
      <c r="J145" s="16">
        <v>320100</v>
      </c>
      <c r="K145" s="237">
        <v>0</v>
      </c>
      <c r="L145" s="237">
        <f>+SUMIFS(JURNAL!G:G,JURNAL!E:E,J145,JURNAL!L:L,$C145,JURNAL!C:C,"&gt;="&amp;$M$3,JURNAL!C:C,"&lt;="&amp;$N$3)</f>
        <v>1548107</v>
      </c>
      <c r="M145" s="19">
        <f>+SUMIFS(JURNAL!H:H,JURNAL!E:E,J145,JURNAL!L:L,$C145,JURNAL!C:C,"&gt;="&amp;$M$3,JURNAL!C:C,"&lt;="&amp;$N$3)</f>
        <v>1548107</v>
      </c>
      <c r="N145" s="20">
        <f t="shared" si="30"/>
        <v>0</v>
      </c>
      <c r="O145" s="237">
        <f t="shared" si="26"/>
        <v>0</v>
      </c>
      <c r="P145" s="16">
        <f t="shared" si="31"/>
        <v>320100</v>
      </c>
      <c r="Q145" s="16">
        <f t="shared" si="32"/>
        <v>122000</v>
      </c>
      <c r="R145" s="237">
        <f t="shared" si="33"/>
        <v>0</v>
      </c>
    </row>
    <row r="146" spans="2:18">
      <c r="B146" s="15">
        <f t="shared" si="23"/>
        <v>141</v>
      </c>
      <c r="C146" s="16">
        <f>IFERROR(VLOOKUP(DATA!G144,DATA!$G$4:$J$2149,1,FALSE),"")</f>
        <v>3118</v>
      </c>
      <c r="D146" s="16" t="str">
        <f>+IFERROR(VLOOKUP(C146,DATA!$G$4:$H$2000,2,FALSE),"")</f>
        <v>САММИТ ТЕХ КОМ ХХК</v>
      </c>
      <c r="E146" s="16">
        <v>122000</v>
      </c>
      <c r="F146" s="237">
        <v>0</v>
      </c>
      <c r="G146" s="237">
        <f>+SUMIFS(JURNAL!G:G,JURNAL!E:E,E146,JURNAL!L:L,$C146,JURNAL!C:C,"&gt;="&amp;$M$3,JURNAL!C:C,"&lt;="&amp;$N$3)</f>
        <v>0</v>
      </c>
      <c r="H146" s="19">
        <f>+SUMIFS(JURNAL!H:H,JURNAL!E:E,E146,JURNAL!L:L,$C146,JURNAL!C:C,"&gt;="&amp;$M$3,JURNAL!C:C,"&lt;="&amp;$N$3)</f>
        <v>0</v>
      </c>
      <c r="I146" s="237">
        <f t="shared" si="24"/>
        <v>0</v>
      </c>
      <c r="J146" s="16">
        <v>320100</v>
      </c>
      <c r="K146" s="237">
        <v>0</v>
      </c>
      <c r="L146" s="237">
        <f>+SUMIFS(JURNAL!G:G,JURNAL!E:E,J146,JURNAL!L:L,$C146,JURNAL!C:C,"&gt;="&amp;$M$3,JURNAL!C:C,"&lt;="&amp;$N$3)</f>
        <v>23978000</v>
      </c>
      <c r="M146" s="19">
        <f>+SUMIFS(JURNAL!H:H,JURNAL!E:E,J146,JURNAL!L:L,$C146,JURNAL!C:C,"&gt;="&amp;$M$3,JURNAL!C:C,"&lt;="&amp;$N$3)</f>
        <v>23978000</v>
      </c>
      <c r="N146" s="20">
        <f t="shared" si="30"/>
        <v>0</v>
      </c>
      <c r="O146" s="237">
        <f t="shared" si="26"/>
        <v>0</v>
      </c>
      <c r="P146" s="16">
        <f t="shared" si="31"/>
        <v>320100</v>
      </c>
      <c r="Q146" s="16">
        <f t="shared" si="32"/>
        <v>122000</v>
      </c>
      <c r="R146" s="237">
        <f t="shared" si="33"/>
        <v>0</v>
      </c>
    </row>
    <row r="147" spans="2:18">
      <c r="B147" s="15">
        <f t="shared" si="23"/>
        <v>142</v>
      </c>
      <c r="C147" s="16">
        <f>IFERROR(VLOOKUP(DATA!G145,DATA!$G$4:$J$2149,1,FALSE),"")</f>
        <v>3119</v>
      </c>
      <c r="D147" s="16" t="str">
        <f>+IFERROR(VLOOKUP(C147,DATA!$G$4:$H$2000,2,FALSE),"")</f>
        <v>ЭС ТИ СЕРВИС ХХК</v>
      </c>
      <c r="E147" s="16">
        <v>122000</v>
      </c>
      <c r="F147" s="237">
        <v>0</v>
      </c>
      <c r="G147" s="237">
        <f>+SUMIFS(JURNAL!G:G,JURNAL!E:E,E147,JURNAL!L:L,$C147,JURNAL!C:C,"&gt;="&amp;$M$3,JURNAL!C:C,"&lt;="&amp;$N$3)</f>
        <v>0</v>
      </c>
      <c r="H147" s="19">
        <f>+SUMIFS(JURNAL!H:H,JURNAL!E:E,E147,JURNAL!L:L,$C147,JURNAL!C:C,"&gt;="&amp;$M$3,JURNAL!C:C,"&lt;="&amp;$N$3)</f>
        <v>0</v>
      </c>
      <c r="I147" s="237">
        <f t="shared" si="24"/>
        <v>0</v>
      </c>
      <c r="J147" s="16">
        <v>320100</v>
      </c>
      <c r="K147" s="237">
        <v>0</v>
      </c>
      <c r="L147" s="237">
        <f>+SUMIFS(JURNAL!G:G,JURNAL!E:E,J147,JURNAL!L:L,$C147,JURNAL!C:C,"&gt;="&amp;$M$3,JURNAL!C:C,"&lt;="&amp;$N$3)</f>
        <v>102600</v>
      </c>
      <c r="M147" s="19">
        <f>+SUMIFS(JURNAL!H:H,JURNAL!E:E,J147,JURNAL!L:L,$C147,JURNAL!C:C,"&gt;="&amp;$M$3,JURNAL!C:C,"&lt;="&amp;$N$3)</f>
        <v>102600</v>
      </c>
      <c r="N147" s="20">
        <f t="shared" si="30"/>
        <v>0</v>
      </c>
      <c r="O147" s="237">
        <f t="shared" ref="O147:O155" si="34">+IF(I147&lt;N147,I147,N147)</f>
        <v>0</v>
      </c>
      <c r="P147" s="16">
        <f t="shared" si="31"/>
        <v>320100</v>
      </c>
      <c r="Q147" s="16">
        <f t="shared" si="32"/>
        <v>122000</v>
      </c>
      <c r="R147" s="237">
        <f t="shared" si="33"/>
        <v>0</v>
      </c>
    </row>
    <row r="148" spans="2:18">
      <c r="B148" s="15">
        <f t="shared" si="23"/>
        <v>143</v>
      </c>
      <c r="C148" s="16">
        <f>IFERROR(VLOOKUP(DATA!G146,DATA!$G$4:$J$2149,1,FALSE),"")</f>
        <v>3120</v>
      </c>
      <c r="D148" s="16" t="str">
        <f>+IFERROR(VLOOKUP(C148,DATA!$G$4:$H$2000,2,FALSE),"")</f>
        <v>АКВАПЛАСТ МОНГОЛ ХХК</v>
      </c>
      <c r="E148" s="16">
        <v>122000</v>
      </c>
      <c r="F148" s="237">
        <v>0</v>
      </c>
      <c r="G148" s="237">
        <f>+SUMIFS(JURNAL!G:G,JURNAL!E:E,E148,JURNAL!L:L,$C148,JURNAL!C:C,"&gt;="&amp;$M$3,JURNAL!C:C,"&lt;="&amp;$N$3)</f>
        <v>0</v>
      </c>
      <c r="H148" s="19">
        <f>+SUMIFS(JURNAL!H:H,JURNAL!E:E,E148,JURNAL!L:L,$C148,JURNAL!C:C,"&gt;="&amp;$M$3,JURNAL!C:C,"&lt;="&amp;$N$3)</f>
        <v>0</v>
      </c>
      <c r="I148" s="237">
        <f t="shared" si="24"/>
        <v>0</v>
      </c>
      <c r="J148" s="16">
        <v>320100</v>
      </c>
      <c r="K148" s="237">
        <v>0</v>
      </c>
      <c r="L148" s="237">
        <f>+SUMIFS(JURNAL!G:G,JURNAL!E:E,J148,JURNAL!L:L,$C148,JURNAL!C:C,"&gt;="&amp;$M$3,JURNAL!C:C,"&lt;="&amp;$N$3)</f>
        <v>0</v>
      </c>
      <c r="M148" s="19">
        <f>+SUMIFS(JURNAL!H:H,JURNAL!E:E,J148,JURNAL!L:L,$C148,JURNAL!C:C,"&gt;="&amp;$M$3,JURNAL!C:C,"&lt;="&amp;$N$3)</f>
        <v>0</v>
      </c>
      <c r="N148" s="20">
        <f t="shared" si="30"/>
        <v>0</v>
      </c>
      <c r="O148" s="237">
        <f t="shared" si="34"/>
        <v>0</v>
      </c>
      <c r="P148" s="16">
        <f t="shared" si="31"/>
        <v>320100</v>
      </c>
      <c r="Q148" s="16">
        <f t="shared" si="32"/>
        <v>122000</v>
      </c>
      <c r="R148" s="237">
        <f t="shared" si="33"/>
        <v>0</v>
      </c>
    </row>
    <row r="149" spans="2:18">
      <c r="B149" s="15">
        <f t="shared" si="23"/>
        <v>144</v>
      </c>
      <c r="C149" s="16">
        <f>IFERROR(VLOOKUP(DATA!G147,DATA!$G$4:$J$2149,1,FALSE),"")</f>
        <v>3121</v>
      </c>
      <c r="D149" s="16" t="str">
        <f>+IFERROR(VLOOKUP(C149,DATA!$G$4:$H$2000,2,FALSE),"")</f>
        <v xml:space="preserve">КОМ ТАВИЛГА ХХК </v>
      </c>
      <c r="E149" s="16">
        <v>122000</v>
      </c>
      <c r="F149" s="237">
        <v>0</v>
      </c>
      <c r="G149" s="237">
        <f>+SUMIFS(JURNAL!G:G,JURNAL!E:E,E149,JURNAL!L:L,$C149,JURNAL!C:C,"&gt;="&amp;$M$3,JURNAL!C:C,"&lt;="&amp;$N$3)</f>
        <v>0</v>
      </c>
      <c r="H149" s="19">
        <f>+SUMIFS(JURNAL!H:H,JURNAL!E:E,E149,JURNAL!L:L,$C149,JURNAL!C:C,"&gt;="&amp;$M$3,JURNAL!C:C,"&lt;="&amp;$N$3)</f>
        <v>0</v>
      </c>
      <c r="I149" s="237">
        <f t="shared" si="24"/>
        <v>0</v>
      </c>
      <c r="J149" s="16">
        <v>320100</v>
      </c>
      <c r="K149" s="237">
        <v>0</v>
      </c>
      <c r="L149" s="237">
        <f>+SUMIFS(JURNAL!G:G,JURNAL!E:E,J149,JURNAL!L:L,$C149,JURNAL!C:C,"&gt;="&amp;$M$3,JURNAL!C:C,"&lt;="&amp;$N$3)</f>
        <v>365070</v>
      </c>
      <c r="M149" s="19">
        <f>+SUMIFS(JURNAL!H:H,JURNAL!E:E,J149,JURNAL!L:L,$C149,JURNAL!C:C,"&gt;="&amp;$M$3,JURNAL!C:C,"&lt;="&amp;$N$3)</f>
        <v>365070</v>
      </c>
      <c r="N149" s="20">
        <f t="shared" si="30"/>
        <v>0</v>
      </c>
      <c r="O149" s="237">
        <f t="shared" si="34"/>
        <v>0</v>
      </c>
      <c r="P149" s="16">
        <f t="shared" si="31"/>
        <v>320100</v>
      </c>
      <c r="Q149" s="16">
        <f t="shared" si="32"/>
        <v>122000</v>
      </c>
      <c r="R149" s="237">
        <f t="shared" si="33"/>
        <v>0</v>
      </c>
    </row>
    <row r="150" spans="2:18">
      <c r="B150" s="15">
        <f t="shared" si="23"/>
        <v>145</v>
      </c>
      <c r="C150" s="16">
        <f>IFERROR(VLOOKUP(DATA!G148,DATA!$G$4:$J$2149,1,FALSE),"")</f>
        <v>3122</v>
      </c>
      <c r="D150" s="16" t="str">
        <f>+IFERROR(VLOOKUP(C150,DATA!$G$4:$H$2000,2,FALSE),"")</f>
        <v xml:space="preserve">РАДД ХХК </v>
      </c>
      <c r="E150" s="16">
        <v>122000</v>
      </c>
      <c r="F150" s="237">
        <v>0</v>
      </c>
      <c r="G150" s="237">
        <f>+SUMIFS(JURNAL!G:G,JURNAL!E:E,E150,JURNAL!L:L,$C150,JURNAL!C:C,"&gt;="&amp;$M$3,JURNAL!C:C,"&lt;="&amp;$N$3)</f>
        <v>0</v>
      </c>
      <c r="H150" s="19">
        <f>+SUMIFS(JURNAL!H:H,JURNAL!E:E,E150,JURNAL!L:L,$C150,JURNAL!C:C,"&gt;="&amp;$M$3,JURNAL!C:C,"&lt;="&amp;$N$3)</f>
        <v>0</v>
      </c>
      <c r="I150" s="237">
        <f t="shared" si="24"/>
        <v>0</v>
      </c>
      <c r="J150" s="16">
        <v>320100</v>
      </c>
      <c r="K150" s="237">
        <v>0</v>
      </c>
      <c r="L150" s="237">
        <f>+SUMIFS(JURNAL!G:G,JURNAL!E:E,J150,JURNAL!L:L,$C150,JURNAL!C:C,"&gt;="&amp;$M$3,JURNAL!C:C,"&lt;="&amp;$N$3)</f>
        <v>168550</v>
      </c>
      <c r="M150" s="19">
        <f>+SUMIFS(JURNAL!H:H,JURNAL!E:E,J150,JURNAL!L:L,$C150,JURNAL!C:C,"&gt;="&amp;$M$3,JURNAL!C:C,"&lt;="&amp;$N$3)</f>
        <v>168550</v>
      </c>
      <c r="N150" s="20">
        <f t="shared" si="30"/>
        <v>0</v>
      </c>
      <c r="O150" s="237">
        <f t="shared" si="34"/>
        <v>0</v>
      </c>
      <c r="P150" s="16">
        <f t="shared" si="31"/>
        <v>320100</v>
      </c>
      <c r="Q150" s="16">
        <f t="shared" si="32"/>
        <v>122000</v>
      </c>
      <c r="R150" s="237">
        <f t="shared" si="33"/>
        <v>0</v>
      </c>
    </row>
    <row r="151" spans="2:18">
      <c r="B151" s="15">
        <f t="shared" si="23"/>
        <v>146</v>
      </c>
      <c r="C151" s="16">
        <f>IFERROR(VLOOKUP(DATA!G149,DATA!$G$4:$J$2149,1,FALSE),"")</f>
        <v>3123</v>
      </c>
      <c r="D151" s="16" t="str">
        <f>+IFERROR(VLOOKUP(C151,DATA!$G$4:$H$2000,2,FALSE),"")</f>
        <v>ЭКОСКҮҮЛ ГАРДЕН ХХК</v>
      </c>
      <c r="E151" s="16">
        <v>122000</v>
      </c>
      <c r="F151" s="237">
        <v>0</v>
      </c>
      <c r="G151" s="237">
        <f>+SUMIFS(JURNAL!G:G,JURNAL!E:E,E151,JURNAL!L:L,$C151,JURNAL!C:C,"&gt;="&amp;$M$3,JURNAL!C:C,"&lt;="&amp;$N$3)</f>
        <v>0</v>
      </c>
      <c r="H151" s="19">
        <f>+SUMIFS(JURNAL!H:H,JURNAL!E:E,E151,JURNAL!L:L,$C151,JURNAL!C:C,"&gt;="&amp;$M$3,JURNAL!C:C,"&lt;="&amp;$N$3)</f>
        <v>0</v>
      </c>
      <c r="I151" s="237">
        <f t="shared" si="24"/>
        <v>0</v>
      </c>
      <c r="J151" s="16">
        <v>320100</v>
      </c>
      <c r="K151" s="237">
        <v>0</v>
      </c>
      <c r="L151" s="237">
        <f>+SUMIFS(JURNAL!G:G,JURNAL!E:E,J151,JURNAL!L:L,$C151,JURNAL!C:C,"&gt;="&amp;$M$3,JURNAL!C:C,"&lt;="&amp;$N$3)</f>
        <v>221375</v>
      </c>
      <c r="M151" s="19">
        <f>+SUMIFS(JURNAL!H:H,JURNAL!E:E,J151,JURNAL!L:L,$C151,JURNAL!C:C,"&gt;="&amp;$M$3,JURNAL!C:C,"&lt;="&amp;$N$3)</f>
        <v>221375</v>
      </c>
      <c r="N151" s="20">
        <f t="shared" si="30"/>
        <v>0</v>
      </c>
      <c r="O151" s="237">
        <f t="shared" si="34"/>
        <v>0</v>
      </c>
      <c r="P151" s="16">
        <f t="shared" si="31"/>
        <v>320100</v>
      </c>
      <c r="Q151" s="16">
        <f t="shared" si="32"/>
        <v>122000</v>
      </c>
      <c r="R151" s="237">
        <f t="shared" si="33"/>
        <v>0</v>
      </c>
    </row>
    <row r="152" spans="2:18">
      <c r="B152" s="15">
        <f t="shared" si="23"/>
        <v>147</v>
      </c>
      <c r="C152" s="16">
        <f>IFERROR(VLOOKUP(DATA!G150,DATA!$G$4:$J$2149,1,FALSE),"")</f>
        <v>3124</v>
      </c>
      <c r="D152" s="16" t="str">
        <f>+IFERROR(VLOOKUP(C152,DATA!$G$4:$H$2000,2,FALSE),"")</f>
        <v xml:space="preserve">ШИНЭЛЭГ СУУЦ ХХК </v>
      </c>
      <c r="E152" s="16">
        <v>122000</v>
      </c>
      <c r="F152" s="237">
        <v>0</v>
      </c>
      <c r="G152" s="237">
        <f>+SUMIFS(JURNAL!G:G,JURNAL!E:E,E152,JURNAL!L:L,$C152,JURNAL!C:C,"&gt;="&amp;$M$3,JURNAL!C:C,"&lt;="&amp;$N$3)</f>
        <v>0</v>
      </c>
      <c r="H152" s="19">
        <f>+SUMIFS(JURNAL!H:H,JURNAL!E:E,E152,JURNAL!L:L,$C152,JURNAL!C:C,"&gt;="&amp;$M$3,JURNAL!C:C,"&lt;="&amp;$N$3)</f>
        <v>0</v>
      </c>
      <c r="I152" s="237">
        <f t="shared" si="24"/>
        <v>0</v>
      </c>
      <c r="J152" s="16">
        <v>320100</v>
      </c>
      <c r="K152" s="237">
        <v>0</v>
      </c>
      <c r="L152" s="237">
        <f>+SUMIFS(JURNAL!G:G,JURNAL!E:E,J152,JURNAL!L:L,$C152,JURNAL!C:C,"&gt;="&amp;$M$3,JURNAL!C:C,"&lt;="&amp;$N$3)</f>
        <v>3132740</v>
      </c>
      <c r="M152" s="19">
        <f>+SUMIFS(JURNAL!H:H,JURNAL!E:E,J152,JURNAL!L:L,$C152,JURNAL!C:C,"&gt;="&amp;$M$3,JURNAL!C:C,"&lt;="&amp;$N$3)</f>
        <v>3132740</v>
      </c>
      <c r="N152" s="20">
        <f t="shared" si="30"/>
        <v>0</v>
      </c>
      <c r="O152" s="237">
        <f t="shared" si="34"/>
        <v>0</v>
      </c>
      <c r="P152" s="16">
        <f t="shared" si="31"/>
        <v>320100</v>
      </c>
      <c r="Q152" s="16">
        <f t="shared" si="32"/>
        <v>122000</v>
      </c>
      <c r="R152" s="237">
        <f t="shared" si="33"/>
        <v>0</v>
      </c>
    </row>
    <row r="153" spans="2:18">
      <c r="B153" s="15">
        <f t="shared" si="23"/>
        <v>148</v>
      </c>
      <c r="C153" s="16">
        <f>IFERROR(VLOOKUP(DATA!G151,DATA!$G$4:$J$2149,1,FALSE),"")</f>
        <v>3125</v>
      </c>
      <c r="D153" s="16" t="str">
        <f>+IFERROR(VLOOKUP(C153,DATA!$G$4:$H$2000,2,FALSE),"")</f>
        <v xml:space="preserve">ХАНИР ТЭНГЭР ХХК </v>
      </c>
      <c r="E153" s="16">
        <v>122000</v>
      </c>
      <c r="F153" s="237">
        <v>0</v>
      </c>
      <c r="G153" s="237">
        <f>+SUMIFS(JURNAL!G:G,JURNAL!E:E,E153,JURNAL!L:L,$C153,JURNAL!C:C,"&gt;="&amp;$M$3,JURNAL!C:C,"&lt;="&amp;$N$3)</f>
        <v>0</v>
      </c>
      <c r="H153" s="19">
        <f>+SUMIFS(JURNAL!H:H,JURNAL!E:E,E153,JURNAL!L:L,$C153,JURNAL!C:C,"&gt;="&amp;$M$3,JURNAL!C:C,"&lt;="&amp;$N$3)</f>
        <v>0</v>
      </c>
      <c r="I153" s="237">
        <f t="shared" si="24"/>
        <v>0</v>
      </c>
      <c r="J153" s="16">
        <v>320100</v>
      </c>
      <c r="K153" s="237">
        <v>0</v>
      </c>
      <c r="L153" s="237">
        <f>+SUMIFS(JURNAL!G:G,JURNAL!E:E,J153,JURNAL!L:L,$C153,JURNAL!C:C,"&gt;="&amp;$M$3,JURNAL!C:C,"&lt;="&amp;$N$3)</f>
        <v>906300</v>
      </c>
      <c r="M153" s="19">
        <f>+SUMIFS(JURNAL!H:H,JURNAL!E:E,J153,JURNAL!L:L,$C153,JURNAL!C:C,"&gt;="&amp;$M$3,JURNAL!C:C,"&lt;="&amp;$N$3)</f>
        <v>906300</v>
      </c>
      <c r="N153" s="20">
        <f t="shared" si="30"/>
        <v>0</v>
      </c>
      <c r="O153" s="237">
        <f t="shared" si="34"/>
        <v>0</v>
      </c>
      <c r="P153" s="16">
        <f t="shared" si="31"/>
        <v>320100</v>
      </c>
      <c r="Q153" s="16">
        <f t="shared" si="32"/>
        <v>122000</v>
      </c>
      <c r="R153" s="237">
        <f t="shared" si="33"/>
        <v>0</v>
      </c>
    </row>
    <row r="154" spans="2:18">
      <c r="B154" s="15">
        <f t="shared" si="23"/>
        <v>149</v>
      </c>
      <c r="C154" s="16">
        <f>IFERROR(VLOOKUP(DATA!G152,DATA!$G$4:$J$2149,1,FALSE),"")</f>
        <v>3126</v>
      </c>
      <c r="D154" s="16" t="str">
        <f>+IFERROR(VLOOKUP(C154,DATA!$G$4:$H$2000,2,FALSE),"")</f>
        <v>МАТРИКС</v>
      </c>
      <c r="E154" s="16">
        <v>122000</v>
      </c>
      <c r="F154" s="237">
        <v>0</v>
      </c>
      <c r="G154" s="237">
        <f>+SUMIFS(JURNAL!G:G,JURNAL!E:E,E154,JURNAL!L:L,$C154,JURNAL!C:C,"&gt;="&amp;$M$3,JURNAL!C:C,"&lt;="&amp;$N$3)</f>
        <v>0</v>
      </c>
      <c r="H154" s="19">
        <f>+SUMIFS(JURNAL!H:H,JURNAL!E:E,E154,JURNAL!L:L,$C154,JURNAL!C:C,"&gt;="&amp;$M$3,JURNAL!C:C,"&lt;="&amp;$N$3)</f>
        <v>0</v>
      </c>
      <c r="I154" s="237">
        <f t="shared" si="24"/>
        <v>0</v>
      </c>
      <c r="J154" s="16">
        <v>320100</v>
      </c>
      <c r="K154" s="237">
        <v>0</v>
      </c>
      <c r="L154" s="237">
        <f>+SUMIFS(JURNAL!G:G,JURNAL!E:E,J154,JURNAL!L:L,$C154,JURNAL!C:C,"&gt;="&amp;$M$3,JURNAL!C:C,"&lt;="&amp;$N$3)</f>
        <v>6419523</v>
      </c>
      <c r="M154" s="19">
        <f>+SUMIFS(JURNAL!H:H,JURNAL!E:E,J154,JURNAL!L:L,$C154,JURNAL!C:C,"&gt;="&amp;$M$3,JURNAL!C:C,"&lt;="&amp;$N$3)</f>
        <v>6419523</v>
      </c>
      <c r="N154" s="20">
        <f t="shared" si="30"/>
        <v>0</v>
      </c>
      <c r="O154" s="237">
        <f t="shared" si="34"/>
        <v>0</v>
      </c>
      <c r="P154" s="16">
        <f t="shared" si="31"/>
        <v>320100</v>
      </c>
      <c r="Q154" s="16">
        <f t="shared" si="32"/>
        <v>122000</v>
      </c>
      <c r="R154" s="237">
        <f t="shared" si="33"/>
        <v>0</v>
      </c>
    </row>
    <row r="155" spans="2:18">
      <c r="B155" s="15">
        <f t="shared" si="23"/>
        <v>150</v>
      </c>
      <c r="C155" s="16">
        <f>IFERROR(VLOOKUP(DATA!G153,DATA!$G$4:$J$2149,1,FALSE),"")</f>
        <v>3127</v>
      </c>
      <c r="D155" s="16" t="str">
        <f>+IFERROR(VLOOKUP(C155,DATA!$G$4:$H$2000,2,FALSE),"")</f>
        <v>ОРЧЛОН КОНСТРАКШН ХХК</v>
      </c>
      <c r="E155" s="16">
        <v>122000</v>
      </c>
      <c r="F155" s="237">
        <v>0</v>
      </c>
      <c r="G155" s="237">
        <f>+SUMIFS(JURNAL!G:G,JURNAL!E:E,E155,JURNAL!L:L,$C155,JURNAL!C:C,"&gt;="&amp;$M$3,JURNAL!C:C,"&lt;="&amp;$N$3)</f>
        <v>0</v>
      </c>
      <c r="H155" s="19">
        <f>+SUMIFS(JURNAL!H:H,JURNAL!E:E,E155,JURNAL!L:L,$C155,JURNAL!C:C,"&gt;="&amp;$M$3,JURNAL!C:C,"&lt;="&amp;$N$3)</f>
        <v>0</v>
      </c>
      <c r="I155" s="237">
        <f t="shared" si="24"/>
        <v>0</v>
      </c>
      <c r="J155" s="16">
        <v>320100</v>
      </c>
      <c r="K155" s="237">
        <v>0</v>
      </c>
      <c r="L155" s="237">
        <f>+SUMIFS(JURNAL!G:G,JURNAL!E:E,J155,JURNAL!L:L,$C155,JURNAL!C:C,"&gt;="&amp;$M$3,JURNAL!C:C,"&lt;="&amp;$N$3)</f>
        <v>0</v>
      </c>
      <c r="M155" s="19">
        <f>+SUMIFS(JURNAL!H:H,JURNAL!E:E,J155,JURNAL!L:L,$C155,JURNAL!C:C,"&gt;="&amp;$M$3,JURNAL!C:C,"&lt;="&amp;$N$3)</f>
        <v>0</v>
      </c>
      <c r="N155" s="20">
        <f t="shared" si="30"/>
        <v>0</v>
      </c>
      <c r="O155" s="237">
        <f t="shared" si="34"/>
        <v>0</v>
      </c>
      <c r="P155" s="16">
        <f t="shared" si="31"/>
        <v>320100</v>
      </c>
      <c r="Q155" s="16">
        <f t="shared" si="32"/>
        <v>122000</v>
      </c>
      <c r="R155" s="237">
        <f t="shared" si="33"/>
        <v>0</v>
      </c>
    </row>
    <row r="156" spans="2:18">
      <c r="B156" s="15">
        <f t="shared" si="23"/>
        <v>151</v>
      </c>
      <c r="C156" s="16">
        <f>IFERROR(VLOOKUP(DATA!G154,DATA!$G$4:$J$2149,1,FALSE),"")</f>
        <v>3128</v>
      </c>
      <c r="D156" s="16" t="str">
        <f>+IFERROR(VLOOKUP(C156,DATA!$G$4:$H$2000,2,FALSE),"")</f>
        <v>ЦАСТБААТАР ЦАМХАГ ХХК</v>
      </c>
      <c r="E156" s="16">
        <v>122000</v>
      </c>
      <c r="F156" s="237">
        <v>0</v>
      </c>
      <c r="G156" s="237">
        <f>+SUMIFS(JURNAL!G:G,JURNAL!E:E,E156,JURNAL!L:L,$C156,JURNAL!C:C,"&gt;="&amp;$M$3,JURNAL!C:C,"&lt;="&amp;$N$3)</f>
        <v>0</v>
      </c>
      <c r="H156" s="19">
        <f>+SUMIFS(JURNAL!H:H,JURNAL!E:E,E156,JURNAL!L:L,$C156,JURNAL!C:C,"&gt;="&amp;$M$3,JURNAL!C:C,"&lt;="&amp;$N$3)</f>
        <v>0</v>
      </c>
      <c r="I156" s="237">
        <f t="shared" ref="I156:I167" si="35">+F156+G156-H156</f>
        <v>0</v>
      </c>
      <c r="J156" s="16">
        <v>320100</v>
      </c>
      <c r="K156" s="237">
        <v>0</v>
      </c>
      <c r="L156" s="237">
        <f>+SUMIFS(JURNAL!G:G,JURNAL!E:E,J156,JURNAL!L:L,$C156,JURNAL!C:C,"&gt;="&amp;$M$3,JURNAL!C:C,"&lt;="&amp;$N$3)</f>
        <v>398000</v>
      </c>
      <c r="M156" s="19">
        <f>+SUMIFS(JURNAL!H:H,JURNAL!E:E,J156,JURNAL!L:L,$C156,JURNAL!C:C,"&gt;="&amp;$M$3,JURNAL!C:C,"&lt;="&amp;$N$3)</f>
        <v>398000</v>
      </c>
      <c r="N156" s="20">
        <f t="shared" ref="N156:N167" si="36">+K156+M156-L156</f>
        <v>0</v>
      </c>
      <c r="O156" s="237">
        <f t="shared" ref="O156:O167" si="37">+IF(I156&lt;N156,I156,N156)</f>
        <v>0</v>
      </c>
      <c r="P156" s="16">
        <f t="shared" ref="P156:P167" si="38">+J156</f>
        <v>320100</v>
      </c>
      <c r="Q156" s="16">
        <f t="shared" ref="Q156:Q167" si="39">+E156</f>
        <v>122000</v>
      </c>
      <c r="R156" s="237">
        <f t="shared" ref="R156:R167" si="40">+IF(O156,1,0)</f>
        <v>0</v>
      </c>
    </row>
    <row r="157" spans="2:18">
      <c r="B157" s="15">
        <f t="shared" si="23"/>
        <v>152</v>
      </c>
      <c r="C157" s="16">
        <f>IFERROR(VLOOKUP(DATA!G155,DATA!$G$4:$J$2149,1,FALSE),"")</f>
        <v>3129</v>
      </c>
      <c r="D157" s="16" t="str">
        <f>+IFERROR(VLOOKUP(C157,DATA!$G$4:$H$2000,2,FALSE),"")</f>
        <v>МЕТРИК ДИЗАЙН ХХК</v>
      </c>
      <c r="E157" s="16">
        <v>122000</v>
      </c>
      <c r="F157" s="237">
        <v>0</v>
      </c>
      <c r="G157" s="237">
        <f>+SUMIFS(JURNAL!G:G,JURNAL!E:E,E157,JURNAL!L:L,$C157,JURNAL!C:C,"&gt;="&amp;$M$3,JURNAL!C:C,"&lt;="&amp;$N$3)</f>
        <v>0</v>
      </c>
      <c r="H157" s="19">
        <f>+SUMIFS(JURNAL!H:H,JURNAL!E:E,E157,JURNAL!L:L,$C157,JURNAL!C:C,"&gt;="&amp;$M$3,JURNAL!C:C,"&lt;="&amp;$N$3)</f>
        <v>0</v>
      </c>
      <c r="I157" s="237">
        <f t="shared" si="35"/>
        <v>0</v>
      </c>
      <c r="J157" s="16">
        <v>320100</v>
      </c>
      <c r="K157" s="237">
        <v>0</v>
      </c>
      <c r="L157" s="237">
        <f>+SUMIFS(JURNAL!G:G,JURNAL!E:E,J157,JURNAL!L:L,$C157,JURNAL!C:C,"&gt;="&amp;$M$3,JURNAL!C:C,"&lt;="&amp;$N$3)</f>
        <v>1650000</v>
      </c>
      <c r="M157" s="19">
        <f>+SUMIFS(JURNAL!H:H,JURNAL!E:E,J157,JURNAL!L:L,$C157,JURNAL!C:C,"&gt;="&amp;$M$3,JURNAL!C:C,"&lt;="&amp;$N$3)</f>
        <v>1650000</v>
      </c>
      <c r="N157" s="20">
        <f t="shared" si="36"/>
        <v>0</v>
      </c>
      <c r="O157" s="237">
        <f t="shared" si="37"/>
        <v>0</v>
      </c>
      <c r="P157" s="16">
        <f t="shared" si="38"/>
        <v>320100</v>
      </c>
      <c r="Q157" s="16">
        <f t="shared" si="39"/>
        <v>122000</v>
      </c>
      <c r="R157" s="237">
        <f t="shared" si="40"/>
        <v>0</v>
      </c>
    </row>
    <row r="158" spans="2:18">
      <c r="B158" s="15">
        <f t="shared" si="23"/>
        <v>153</v>
      </c>
      <c r="C158" s="16">
        <f>IFERROR(VLOOKUP(DATA!G156,DATA!$G$4:$J$2149,1,FALSE),"")</f>
        <v>3130</v>
      </c>
      <c r="D158" s="16" t="str">
        <f>+IFERROR(VLOOKUP(C158,DATA!$G$4:$H$2000,2,FALSE),"")</f>
        <v>АРУМА ХХК</v>
      </c>
      <c r="E158" s="16">
        <v>122000</v>
      </c>
      <c r="F158" s="237">
        <v>0</v>
      </c>
      <c r="G158" s="237">
        <f>+SUMIFS(JURNAL!G:G,JURNAL!E:E,E158,JURNAL!L:L,$C158,JURNAL!C:C,"&gt;="&amp;$M$3,JURNAL!C:C,"&lt;="&amp;$N$3)</f>
        <v>0</v>
      </c>
      <c r="H158" s="19">
        <f>+SUMIFS(JURNAL!H:H,JURNAL!E:E,E158,JURNAL!L:L,$C158,JURNAL!C:C,"&gt;="&amp;$M$3,JURNAL!C:C,"&lt;="&amp;$N$3)</f>
        <v>0</v>
      </c>
      <c r="I158" s="237">
        <f t="shared" si="35"/>
        <v>0</v>
      </c>
      <c r="J158" s="16">
        <v>320100</v>
      </c>
      <c r="K158" s="237">
        <v>0</v>
      </c>
      <c r="L158" s="237">
        <f>+SUMIFS(JURNAL!G:G,JURNAL!E:E,J158,JURNAL!L:L,$C158,JURNAL!C:C,"&gt;="&amp;$M$3,JURNAL!C:C,"&lt;="&amp;$N$3)</f>
        <v>2757450</v>
      </c>
      <c r="M158" s="19">
        <f>+SUMIFS(JURNAL!H:H,JURNAL!E:E,J158,JURNAL!L:L,$C158,JURNAL!C:C,"&gt;="&amp;$M$3,JURNAL!C:C,"&lt;="&amp;$N$3)</f>
        <v>2757450</v>
      </c>
      <c r="N158" s="20">
        <f t="shared" si="36"/>
        <v>0</v>
      </c>
      <c r="O158" s="237">
        <f t="shared" si="37"/>
        <v>0</v>
      </c>
      <c r="P158" s="16">
        <f t="shared" si="38"/>
        <v>320100</v>
      </c>
      <c r="Q158" s="16">
        <f t="shared" si="39"/>
        <v>122000</v>
      </c>
      <c r="R158" s="237">
        <f t="shared" si="40"/>
        <v>0</v>
      </c>
    </row>
    <row r="159" spans="2:18">
      <c r="B159" s="15">
        <f t="shared" si="23"/>
        <v>154</v>
      </c>
      <c r="C159" s="16">
        <f>IFERROR(VLOOKUP(DATA!G157,DATA!$G$4:$J$2149,1,FALSE),"")</f>
        <v>3131</v>
      </c>
      <c r="D159" s="16" t="str">
        <f>+IFERROR(VLOOKUP(C159,DATA!$G$4:$H$2000,2,FALSE),"")</f>
        <v>ДЕЛЬТА КОНСТРАКШН ХХК</v>
      </c>
      <c r="E159" s="16">
        <v>122000</v>
      </c>
      <c r="F159" s="237">
        <v>0</v>
      </c>
      <c r="G159" s="237">
        <f>+SUMIFS(JURNAL!G:G,JURNAL!E:E,E159,JURNAL!L:L,$C159,JURNAL!C:C,"&gt;="&amp;$M$3,JURNAL!C:C,"&lt;="&amp;$N$3)</f>
        <v>0</v>
      </c>
      <c r="H159" s="19">
        <f>+SUMIFS(JURNAL!H:H,JURNAL!E:E,E159,JURNAL!L:L,$C159,JURNAL!C:C,"&gt;="&amp;$M$3,JURNAL!C:C,"&lt;="&amp;$N$3)</f>
        <v>0</v>
      </c>
      <c r="I159" s="237">
        <f t="shared" si="35"/>
        <v>0</v>
      </c>
      <c r="J159" s="16">
        <v>320100</v>
      </c>
      <c r="K159" s="237">
        <v>0</v>
      </c>
      <c r="L159" s="237">
        <f>+SUMIFS(JURNAL!G:G,JURNAL!E:E,J159,JURNAL!L:L,$C159,JURNAL!C:C,"&gt;="&amp;$M$3,JURNAL!C:C,"&lt;="&amp;$N$3)</f>
        <v>10445760</v>
      </c>
      <c r="M159" s="19">
        <f>+SUMIFS(JURNAL!H:H,JURNAL!E:E,J159,JURNAL!L:L,$C159,JURNAL!C:C,"&gt;="&amp;$M$3,JURNAL!C:C,"&lt;="&amp;$N$3)</f>
        <v>10445760</v>
      </c>
      <c r="N159" s="20">
        <f t="shared" si="36"/>
        <v>0</v>
      </c>
      <c r="O159" s="237">
        <f t="shared" si="37"/>
        <v>0</v>
      </c>
      <c r="P159" s="16">
        <f t="shared" si="38"/>
        <v>320100</v>
      </c>
      <c r="Q159" s="16">
        <f t="shared" si="39"/>
        <v>122000</v>
      </c>
      <c r="R159" s="237">
        <f t="shared" si="40"/>
        <v>0</v>
      </c>
    </row>
    <row r="160" spans="2:18">
      <c r="B160" s="15">
        <f t="shared" si="23"/>
        <v>155</v>
      </c>
      <c r="C160" s="16">
        <f>IFERROR(VLOOKUP(DATA!G158,DATA!$G$4:$J$2149,1,FALSE),"")</f>
        <v>3132</v>
      </c>
      <c r="D160" s="16" t="str">
        <f>+IFERROR(VLOOKUP(C160,DATA!$G$4:$H$2000,2,FALSE),"")</f>
        <v xml:space="preserve">СЭКҮ ХХК </v>
      </c>
      <c r="E160" s="16">
        <v>122000</v>
      </c>
      <c r="F160" s="237">
        <v>0</v>
      </c>
      <c r="G160" s="237">
        <f>+SUMIFS(JURNAL!G:G,JURNAL!E:E,E160,JURNAL!L:L,$C160,JURNAL!C:C,"&gt;="&amp;$M$3,JURNAL!C:C,"&lt;="&amp;$N$3)</f>
        <v>0</v>
      </c>
      <c r="H160" s="19">
        <f>+SUMIFS(JURNAL!H:H,JURNAL!E:E,E160,JURNAL!L:L,$C160,JURNAL!C:C,"&gt;="&amp;$M$3,JURNAL!C:C,"&lt;="&amp;$N$3)</f>
        <v>0</v>
      </c>
      <c r="I160" s="237">
        <f t="shared" si="35"/>
        <v>0</v>
      </c>
      <c r="J160" s="16">
        <v>320100</v>
      </c>
      <c r="K160" s="237">
        <v>0</v>
      </c>
      <c r="L160" s="237">
        <f>+SUMIFS(JURNAL!G:G,JURNAL!E:E,J160,JURNAL!L:L,$C160,JURNAL!C:C,"&gt;="&amp;$M$3,JURNAL!C:C,"&lt;="&amp;$N$3)</f>
        <v>47880</v>
      </c>
      <c r="M160" s="19">
        <f>+SUMIFS(JURNAL!H:H,JURNAL!E:E,J160,JURNAL!L:L,$C160,JURNAL!C:C,"&gt;="&amp;$M$3,JURNAL!C:C,"&lt;="&amp;$N$3)</f>
        <v>47880</v>
      </c>
      <c r="N160" s="20">
        <f t="shared" si="36"/>
        <v>0</v>
      </c>
      <c r="O160" s="237">
        <f t="shared" si="37"/>
        <v>0</v>
      </c>
      <c r="P160" s="16">
        <f t="shared" si="38"/>
        <v>320100</v>
      </c>
      <c r="Q160" s="16">
        <f t="shared" si="39"/>
        <v>122000</v>
      </c>
      <c r="R160" s="237">
        <f t="shared" si="40"/>
        <v>0</v>
      </c>
    </row>
    <row r="161" spans="2:18">
      <c r="B161" s="15">
        <f t="shared" si="23"/>
        <v>156</v>
      </c>
      <c r="C161" s="16">
        <f>IFERROR(VLOOKUP(DATA!G159,DATA!$G$4:$J$2149,1,FALSE),"")</f>
        <v>3133</v>
      </c>
      <c r="D161" s="16" t="str">
        <f>+IFERROR(VLOOKUP(C161,DATA!$G$4:$H$2000,2,FALSE),"")</f>
        <v xml:space="preserve">ДЭВЖИХ ЭРДЭНЭ ХХК </v>
      </c>
      <c r="E161" s="16">
        <v>122000</v>
      </c>
      <c r="F161" s="237">
        <v>0</v>
      </c>
      <c r="G161" s="237">
        <f>+SUMIFS(JURNAL!G:G,JURNAL!E:E,E161,JURNAL!L:L,$C161,JURNAL!C:C,"&gt;="&amp;$M$3,JURNAL!C:C,"&lt;="&amp;$N$3)</f>
        <v>0</v>
      </c>
      <c r="H161" s="19">
        <f>+SUMIFS(JURNAL!H:H,JURNAL!E:E,E161,JURNAL!L:L,$C161,JURNAL!C:C,"&gt;="&amp;$M$3,JURNAL!C:C,"&lt;="&amp;$N$3)</f>
        <v>0</v>
      </c>
      <c r="I161" s="237">
        <f t="shared" si="35"/>
        <v>0</v>
      </c>
      <c r="J161" s="16">
        <v>320100</v>
      </c>
      <c r="K161" s="237">
        <v>0</v>
      </c>
      <c r="L161" s="237">
        <f>+SUMIFS(JURNAL!G:G,JURNAL!E:E,J161,JURNAL!L:L,$C161,JURNAL!C:C,"&gt;="&amp;$M$3,JURNAL!C:C,"&lt;="&amp;$N$3)</f>
        <v>0</v>
      </c>
      <c r="M161" s="19">
        <f>+SUMIFS(JURNAL!H:H,JURNAL!E:E,J161,JURNAL!L:L,$C161,JURNAL!C:C,"&gt;="&amp;$M$3,JURNAL!C:C,"&lt;="&amp;$N$3)</f>
        <v>18007500</v>
      </c>
      <c r="N161" s="20">
        <f t="shared" si="36"/>
        <v>18007500</v>
      </c>
      <c r="O161" s="237">
        <f t="shared" si="37"/>
        <v>0</v>
      </c>
      <c r="P161" s="16">
        <f t="shared" si="38"/>
        <v>320100</v>
      </c>
      <c r="Q161" s="16">
        <f t="shared" si="39"/>
        <v>122000</v>
      </c>
      <c r="R161" s="237">
        <f t="shared" si="40"/>
        <v>0</v>
      </c>
    </row>
    <row r="162" spans="2:18">
      <c r="B162" s="15">
        <f t="shared" si="23"/>
        <v>157</v>
      </c>
      <c r="C162" s="16">
        <f>IFERROR(VLOOKUP(DATA!G160,DATA!$G$4:$J$2149,1,FALSE),"")</f>
        <v>3134</v>
      </c>
      <c r="D162" s="16" t="str">
        <f>+IFERROR(VLOOKUP(C162,DATA!$G$4:$H$2000,2,FALSE),"")</f>
        <v xml:space="preserve">ЖИ МОБАЙЛ </v>
      </c>
      <c r="E162" s="16">
        <v>122000</v>
      </c>
      <c r="F162" s="237">
        <v>0</v>
      </c>
      <c r="G162" s="237">
        <f>+SUMIFS(JURNAL!G:G,JURNAL!E:E,E162,JURNAL!L:L,$C162,JURNAL!C:C,"&gt;="&amp;$M$3,JURNAL!C:C,"&lt;="&amp;$N$3)</f>
        <v>0</v>
      </c>
      <c r="H162" s="19">
        <f>+SUMIFS(JURNAL!H:H,JURNAL!E:E,E162,JURNAL!L:L,$C162,JURNAL!C:C,"&gt;="&amp;$M$3,JURNAL!C:C,"&lt;="&amp;$N$3)</f>
        <v>0</v>
      </c>
      <c r="I162" s="237">
        <f t="shared" si="35"/>
        <v>0</v>
      </c>
      <c r="J162" s="16">
        <v>320100</v>
      </c>
      <c r="K162" s="237">
        <v>0</v>
      </c>
      <c r="L162" s="237">
        <f>+SUMIFS(JURNAL!G:G,JURNAL!E:E,J162,JURNAL!L:L,$C162,JURNAL!C:C,"&gt;="&amp;$M$3,JURNAL!C:C,"&lt;="&amp;$N$3)</f>
        <v>0</v>
      </c>
      <c r="M162" s="19">
        <f>+SUMIFS(JURNAL!H:H,JURNAL!E:E,J162,JURNAL!L:L,$C162,JURNAL!C:C,"&gt;="&amp;$M$3,JURNAL!C:C,"&lt;="&amp;$N$3)</f>
        <v>0</v>
      </c>
      <c r="N162" s="20">
        <f t="shared" si="36"/>
        <v>0</v>
      </c>
      <c r="O162" s="237">
        <f t="shared" si="37"/>
        <v>0</v>
      </c>
      <c r="P162" s="16">
        <f t="shared" si="38"/>
        <v>320100</v>
      </c>
      <c r="Q162" s="16">
        <f t="shared" si="39"/>
        <v>122000</v>
      </c>
      <c r="R162" s="237">
        <f t="shared" si="40"/>
        <v>0</v>
      </c>
    </row>
    <row r="163" spans="2:18">
      <c r="B163" s="15">
        <f t="shared" si="23"/>
        <v>158</v>
      </c>
      <c r="C163" s="16">
        <f>IFERROR(VLOOKUP(DATA!G161,DATA!$G$4:$J$2149,1,FALSE),"")</f>
        <v>3135</v>
      </c>
      <c r="D163" s="16" t="str">
        <f>+IFERROR(VLOOKUP(C163,DATA!$G$4:$H$2000,2,FALSE),"")</f>
        <v xml:space="preserve">ЛИДЕР БУЯНТ ХОЛДИНГ </v>
      </c>
      <c r="E163" s="16">
        <v>122000</v>
      </c>
      <c r="F163" s="237">
        <v>0</v>
      </c>
      <c r="G163" s="237">
        <f>+SUMIFS(JURNAL!G:G,JURNAL!E:E,E163,JURNAL!L:L,$C163,JURNAL!C:C,"&gt;="&amp;$M$3,JURNAL!C:C,"&lt;="&amp;$N$3)</f>
        <v>0</v>
      </c>
      <c r="H163" s="19">
        <f>+SUMIFS(JURNAL!H:H,JURNAL!E:E,E163,JURNAL!L:L,$C163,JURNAL!C:C,"&gt;="&amp;$M$3,JURNAL!C:C,"&lt;="&amp;$N$3)</f>
        <v>0</v>
      </c>
      <c r="I163" s="237">
        <f t="shared" si="35"/>
        <v>0</v>
      </c>
      <c r="J163" s="16">
        <v>320100</v>
      </c>
      <c r="K163" s="237">
        <v>0</v>
      </c>
      <c r="L163" s="237">
        <f>+SUMIFS(JURNAL!G:G,JURNAL!E:E,J163,JURNAL!L:L,$C163,JURNAL!C:C,"&gt;="&amp;$M$3,JURNAL!C:C,"&lt;="&amp;$N$3)</f>
        <v>11232000</v>
      </c>
      <c r="M163" s="19">
        <f>+SUMIFS(JURNAL!H:H,JURNAL!E:E,J163,JURNAL!L:L,$C163,JURNAL!C:C,"&gt;="&amp;$M$3,JURNAL!C:C,"&lt;="&amp;$N$3)</f>
        <v>11232000</v>
      </c>
      <c r="N163" s="20">
        <f t="shared" si="36"/>
        <v>0</v>
      </c>
      <c r="O163" s="237">
        <f t="shared" si="37"/>
        <v>0</v>
      </c>
      <c r="P163" s="16">
        <f t="shared" si="38"/>
        <v>320100</v>
      </c>
      <c r="Q163" s="16">
        <f t="shared" si="39"/>
        <v>122000</v>
      </c>
      <c r="R163" s="237">
        <f t="shared" si="40"/>
        <v>0</v>
      </c>
    </row>
    <row r="164" spans="2:18">
      <c r="B164" s="15">
        <f t="shared" si="23"/>
        <v>159</v>
      </c>
      <c r="C164" s="16">
        <f>IFERROR(VLOOKUP(DATA!G162,DATA!$G$4:$J$2149,1,FALSE),"")</f>
        <v>3136</v>
      </c>
      <c r="D164" s="16" t="str">
        <f>+IFERROR(VLOOKUP(C164,DATA!$G$4:$H$2000,2,FALSE),"")</f>
        <v xml:space="preserve">ЭМ ЭС ЭН ЭС ХХК </v>
      </c>
      <c r="E164" s="16">
        <v>122000</v>
      </c>
      <c r="F164" s="237">
        <v>0</v>
      </c>
      <c r="G164" s="237">
        <f>+SUMIFS(JURNAL!G:G,JURNAL!E:E,E164,JURNAL!L:L,$C164,JURNAL!C:C,"&gt;="&amp;$M$3,JURNAL!C:C,"&lt;="&amp;$N$3)</f>
        <v>0</v>
      </c>
      <c r="H164" s="19">
        <f>+SUMIFS(JURNAL!H:H,JURNAL!E:E,E164,JURNAL!L:L,$C164,JURNAL!C:C,"&gt;="&amp;$M$3,JURNAL!C:C,"&lt;="&amp;$N$3)</f>
        <v>0</v>
      </c>
      <c r="I164" s="237">
        <f t="shared" si="35"/>
        <v>0</v>
      </c>
      <c r="J164" s="16">
        <v>320100</v>
      </c>
      <c r="K164" s="237">
        <v>0</v>
      </c>
      <c r="L164" s="237">
        <f>+SUMIFS(JURNAL!G:G,JURNAL!E:E,J164,JURNAL!L:L,$C164,JURNAL!C:C,"&gt;="&amp;$M$3,JURNAL!C:C,"&lt;="&amp;$N$3)</f>
        <v>5025000</v>
      </c>
      <c r="M164" s="19">
        <f>+SUMIFS(JURNAL!H:H,JURNAL!E:E,J164,JURNAL!L:L,$C164,JURNAL!C:C,"&gt;="&amp;$M$3,JURNAL!C:C,"&lt;="&amp;$N$3)</f>
        <v>5025000</v>
      </c>
      <c r="N164" s="20">
        <f t="shared" si="36"/>
        <v>0</v>
      </c>
      <c r="O164" s="237">
        <f t="shared" si="37"/>
        <v>0</v>
      </c>
      <c r="P164" s="16">
        <f t="shared" si="38"/>
        <v>320100</v>
      </c>
      <c r="Q164" s="16">
        <f t="shared" si="39"/>
        <v>122000</v>
      </c>
      <c r="R164" s="237">
        <f t="shared" si="40"/>
        <v>0</v>
      </c>
    </row>
    <row r="165" spans="2:18">
      <c r="B165" s="15">
        <f t="shared" si="23"/>
        <v>160</v>
      </c>
      <c r="C165" s="16">
        <f>IFERROR(VLOOKUP(DATA!G163,DATA!$G$4:$J$2149,1,FALSE),"")</f>
        <v>3137</v>
      </c>
      <c r="D165" s="16" t="str">
        <f>+IFERROR(VLOOKUP(C165,DATA!$G$4:$H$2000,2,FALSE),"")</f>
        <v xml:space="preserve">ЭМХХ ХХК </v>
      </c>
      <c r="E165" s="16">
        <v>122000</v>
      </c>
      <c r="F165" s="237">
        <v>0</v>
      </c>
      <c r="G165" s="237">
        <f>+SUMIFS(JURNAL!G:G,JURNAL!E:E,E165,JURNAL!L:L,$C165,JURNAL!C:C,"&gt;="&amp;$M$3,JURNAL!C:C,"&lt;="&amp;$N$3)</f>
        <v>0</v>
      </c>
      <c r="H165" s="19">
        <f>+SUMIFS(JURNAL!H:H,JURNAL!E:E,E165,JURNAL!L:L,$C165,JURNAL!C:C,"&gt;="&amp;$M$3,JURNAL!C:C,"&lt;="&amp;$N$3)</f>
        <v>0</v>
      </c>
      <c r="I165" s="237">
        <f t="shared" si="35"/>
        <v>0</v>
      </c>
      <c r="J165" s="16">
        <v>320100</v>
      </c>
      <c r="K165" s="237">
        <v>0</v>
      </c>
      <c r="L165" s="237">
        <f>+SUMIFS(JURNAL!G:G,JURNAL!E:E,J165,JURNAL!L:L,$C165,JURNAL!C:C,"&gt;="&amp;$M$3,JURNAL!C:C,"&lt;="&amp;$N$3)</f>
        <v>108110</v>
      </c>
      <c r="M165" s="19">
        <f>+SUMIFS(JURNAL!H:H,JURNAL!E:E,J165,JURNAL!L:L,$C165,JURNAL!C:C,"&gt;="&amp;$M$3,JURNAL!C:C,"&lt;="&amp;$N$3)</f>
        <v>108110</v>
      </c>
      <c r="N165" s="20">
        <f t="shared" si="36"/>
        <v>0</v>
      </c>
      <c r="O165" s="237">
        <f t="shared" si="37"/>
        <v>0</v>
      </c>
      <c r="P165" s="16">
        <f t="shared" si="38"/>
        <v>320100</v>
      </c>
      <c r="Q165" s="16">
        <f t="shared" si="39"/>
        <v>122000</v>
      </c>
      <c r="R165" s="237">
        <f t="shared" si="40"/>
        <v>0</v>
      </c>
    </row>
    <row r="166" spans="2:18">
      <c r="B166" s="15">
        <f t="shared" si="23"/>
        <v>161</v>
      </c>
      <c r="C166" s="16">
        <f>IFERROR(VLOOKUP(DATA!G164,DATA!$G$4:$J$2149,1,FALSE),"")</f>
        <v>3138</v>
      </c>
      <c r="D166" s="16" t="str">
        <f>+IFERROR(VLOOKUP(C166,DATA!$G$4:$H$2000,2,FALSE),"")</f>
        <v>ХӨХ БҮРДНИЙ ЭХ ХХК</v>
      </c>
      <c r="E166" s="16">
        <v>122000</v>
      </c>
      <c r="F166" s="237">
        <v>0</v>
      </c>
      <c r="G166" s="237">
        <f>+SUMIFS(JURNAL!G:G,JURNAL!E:E,E166,JURNAL!L:L,$C166,JURNAL!C:C,"&gt;="&amp;$M$3,JURNAL!C:C,"&lt;="&amp;$N$3)</f>
        <v>0</v>
      </c>
      <c r="H166" s="19">
        <f>+SUMIFS(JURNAL!H:H,JURNAL!E:E,E166,JURNAL!L:L,$C166,JURNAL!C:C,"&gt;="&amp;$M$3,JURNAL!C:C,"&lt;="&amp;$N$3)</f>
        <v>0</v>
      </c>
      <c r="I166" s="237">
        <f t="shared" si="35"/>
        <v>0</v>
      </c>
      <c r="J166" s="16">
        <v>320100</v>
      </c>
      <c r="K166" s="237">
        <v>0</v>
      </c>
      <c r="L166" s="237">
        <f>+SUMIFS(JURNAL!G:G,JURNAL!E:E,J166,JURNAL!L:L,$C166,JURNAL!C:C,"&gt;="&amp;$M$3,JURNAL!C:C,"&lt;="&amp;$N$3)</f>
        <v>168300</v>
      </c>
      <c r="M166" s="19">
        <f>+SUMIFS(JURNAL!H:H,JURNAL!E:E,J166,JURNAL!L:L,$C166,JURNAL!C:C,"&gt;="&amp;$M$3,JURNAL!C:C,"&lt;="&amp;$N$3)</f>
        <v>168300</v>
      </c>
      <c r="N166" s="20">
        <f t="shared" si="36"/>
        <v>0</v>
      </c>
      <c r="O166" s="237">
        <f t="shared" si="37"/>
        <v>0</v>
      </c>
      <c r="P166" s="16">
        <f t="shared" si="38"/>
        <v>320100</v>
      </c>
      <c r="Q166" s="16">
        <f t="shared" si="39"/>
        <v>122000</v>
      </c>
      <c r="R166" s="237">
        <f t="shared" si="40"/>
        <v>0</v>
      </c>
    </row>
    <row r="167" spans="2:18">
      <c r="B167" s="15">
        <f t="shared" si="23"/>
        <v>162</v>
      </c>
      <c r="C167" s="16">
        <f>IFERROR(VLOOKUP(DATA!G165,DATA!$G$4:$J$2149,1,FALSE),"")</f>
        <v>3139</v>
      </c>
      <c r="D167" s="16" t="str">
        <f>+IFERROR(VLOOKUP(C167,DATA!$G$4:$H$2000,2,FALSE),"")</f>
        <v xml:space="preserve">БУЯН ОД ХХК </v>
      </c>
      <c r="E167" s="16">
        <v>122000</v>
      </c>
      <c r="F167" s="237">
        <v>0</v>
      </c>
      <c r="G167" s="237">
        <f>+SUMIFS(JURNAL!G:G,JURNAL!E:E,E167,JURNAL!L:L,$C167,JURNAL!C:C,"&gt;="&amp;$M$3,JURNAL!C:C,"&lt;="&amp;$N$3)</f>
        <v>0</v>
      </c>
      <c r="H167" s="19">
        <f>+SUMIFS(JURNAL!H:H,JURNAL!E:E,E167,JURNAL!L:L,$C167,JURNAL!C:C,"&gt;="&amp;$M$3,JURNAL!C:C,"&lt;="&amp;$N$3)</f>
        <v>0</v>
      </c>
      <c r="I167" s="237">
        <f t="shared" si="35"/>
        <v>0</v>
      </c>
      <c r="J167" s="16">
        <v>320100</v>
      </c>
      <c r="K167" s="237">
        <v>0</v>
      </c>
      <c r="L167" s="237">
        <f>+SUMIFS(JURNAL!G:G,JURNAL!E:E,J167,JURNAL!L:L,$C167,JURNAL!C:C,"&gt;="&amp;$M$3,JURNAL!C:C,"&lt;="&amp;$N$3)</f>
        <v>0</v>
      </c>
      <c r="M167" s="19">
        <f>+SUMIFS(JURNAL!H:H,JURNAL!E:E,J167,JURNAL!L:L,$C167,JURNAL!C:C,"&gt;="&amp;$M$3,JURNAL!C:C,"&lt;="&amp;$N$3)</f>
        <v>0</v>
      </c>
      <c r="N167" s="20">
        <f t="shared" si="36"/>
        <v>0</v>
      </c>
      <c r="O167" s="237">
        <f t="shared" si="37"/>
        <v>0</v>
      </c>
      <c r="P167" s="16">
        <f t="shared" si="38"/>
        <v>320100</v>
      </c>
      <c r="Q167" s="16">
        <f t="shared" si="39"/>
        <v>122000</v>
      </c>
      <c r="R167" s="237">
        <f t="shared" si="40"/>
        <v>0</v>
      </c>
    </row>
    <row r="168" spans="2:18">
      <c r="B168" s="15" t="str">
        <f t="shared" si="23"/>
        <v/>
      </c>
      <c r="C168" s="16" t="str">
        <f>IFERROR(VLOOKUP(DATA!G166,DATA!$G$4:$J$2149,1,FALSE),"")</f>
        <v/>
      </c>
      <c r="D168" s="16" t="str">
        <f>+IFERROR(VLOOKUP(C168,DATA!$G$4:$H$2000,2,FALSE),"")</f>
        <v/>
      </c>
      <c r="I168" s="237"/>
      <c r="J168" s="237"/>
      <c r="P168" s="237"/>
      <c r="Q168" s="237"/>
    </row>
    <row r="169" spans="2:18">
      <c r="B169" s="15" t="str">
        <f t="shared" si="23"/>
        <v/>
      </c>
      <c r="C169" s="16" t="str">
        <f>IFERROR(VLOOKUP(DATA!G167,DATA!$G$4:$J$2149,1,FALSE),"")</f>
        <v/>
      </c>
      <c r="D169" s="16" t="str">
        <f>+IFERROR(VLOOKUP(C169,DATA!$G$4:$H$2000,2,FALSE),"")</f>
        <v/>
      </c>
      <c r="I169" s="237"/>
      <c r="J169" s="237"/>
      <c r="P169" s="237"/>
      <c r="Q169" s="237"/>
    </row>
    <row r="170" spans="2:18">
      <c r="B170" s="15" t="str">
        <f t="shared" si="23"/>
        <v/>
      </c>
      <c r="C170" s="16" t="str">
        <f>IFERROR(VLOOKUP(DATA!G168,DATA!$G$4:$J$2149,1,FALSE),"")</f>
        <v/>
      </c>
      <c r="D170" s="16" t="str">
        <f>+IFERROR(VLOOKUP(C170,DATA!$G$4:$H$2000,2,FALSE),"")</f>
        <v/>
      </c>
      <c r="I170" s="237"/>
      <c r="J170" s="237"/>
      <c r="P170" s="237"/>
      <c r="Q170" s="237"/>
    </row>
    <row r="171" spans="2:18">
      <c r="B171" s="15" t="str">
        <f t="shared" si="23"/>
        <v/>
      </c>
      <c r="C171" s="16" t="str">
        <f>IFERROR(VLOOKUP(DATA!G169,DATA!$G$4:$J$2149,1,FALSE),"")</f>
        <v/>
      </c>
      <c r="D171" s="16" t="str">
        <f>+IFERROR(VLOOKUP(C171,DATA!$G$4:$H$2000,2,FALSE),"")</f>
        <v/>
      </c>
      <c r="I171" s="237"/>
      <c r="J171" s="237"/>
      <c r="P171" s="237"/>
      <c r="Q171" s="237"/>
    </row>
    <row r="172" spans="2:18">
      <c r="B172" s="15" t="str">
        <f t="shared" si="23"/>
        <v/>
      </c>
      <c r="C172" s="16" t="str">
        <f>IFERROR(VLOOKUP(DATA!G170,DATA!$G$4:$J$2149,1,FALSE),"")</f>
        <v/>
      </c>
      <c r="D172" s="16" t="str">
        <f>+IFERROR(VLOOKUP(C172,DATA!$G$4:$H$2000,2,FALSE),"")</f>
        <v/>
      </c>
      <c r="I172" s="237"/>
      <c r="J172" s="237"/>
      <c r="P172" s="237"/>
      <c r="Q172" s="237"/>
    </row>
    <row r="173" spans="2:18">
      <c r="B173" s="15" t="str">
        <f t="shared" si="23"/>
        <v/>
      </c>
      <c r="C173" s="16" t="str">
        <f>IFERROR(VLOOKUP(DATA!G171,DATA!$G$4:$J$2149,1,FALSE),"")</f>
        <v/>
      </c>
      <c r="D173" s="16" t="str">
        <f>+IFERROR(VLOOKUP(C173,DATA!$G$4:$H$2000,2,FALSE),"")</f>
        <v/>
      </c>
      <c r="I173" s="237"/>
      <c r="J173" s="237"/>
      <c r="P173" s="237"/>
      <c r="Q173" s="237"/>
    </row>
    <row r="174" spans="2:18">
      <c r="B174" s="15" t="str">
        <f t="shared" si="23"/>
        <v/>
      </c>
      <c r="C174" s="16" t="str">
        <f>IFERROR(VLOOKUP(DATA!G172,DATA!$G$4:$J$2149,1,FALSE),"")</f>
        <v/>
      </c>
      <c r="D174" s="16" t="str">
        <f>+IFERROR(VLOOKUP(C174,DATA!$G$4:$H$2000,2,FALSE),"")</f>
        <v/>
      </c>
      <c r="I174" s="237"/>
      <c r="J174" s="237"/>
      <c r="P174" s="237"/>
      <c r="Q174" s="237"/>
    </row>
    <row r="175" spans="2:18">
      <c r="B175" s="15" t="str">
        <f t="shared" si="23"/>
        <v/>
      </c>
      <c r="C175" s="16" t="str">
        <f>IFERROR(VLOOKUP(DATA!G173,DATA!$G$4:$J$2149,1,FALSE),"")</f>
        <v/>
      </c>
      <c r="D175" s="16" t="str">
        <f>+IFERROR(VLOOKUP(C175,DATA!$G$4:$H$2000,2,FALSE),"")</f>
        <v/>
      </c>
      <c r="I175" s="237"/>
      <c r="J175" s="237"/>
      <c r="P175" s="237"/>
      <c r="Q175" s="237"/>
    </row>
    <row r="176" spans="2:18">
      <c r="B176" s="15" t="str">
        <f t="shared" si="23"/>
        <v/>
      </c>
      <c r="C176" s="16" t="str">
        <f>IFERROR(VLOOKUP(DATA!G174,DATA!$G$4:$J$2149,1,FALSE),"")</f>
        <v/>
      </c>
      <c r="D176" s="16" t="str">
        <f>+IFERROR(VLOOKUP(C176,DATA!$G$4:$H$2000,2,FALSE),"")</f>
        <v/>
      </c>
      <c r="I176" s="237"/>
      <c r="J176" s="237"/>
      <c r="P176" s="237"/>
      <c r="Q176" s="237"/>
    </row>
    <row r="177" spans="2:4" s="237" customFormat="1">
      <c r="B177" s="15" t="str">
        <f t="shared" si="23"/>
        <v/>
      </c>
      <c r="C177" s="16" t="str">
        <f>IFERROR(VLOOKUP(DATA!G175,DATA!$G$4:$J$2149,1,FALSE),"")</f>
        <v/>
      </c>
      <c r="D177" s="16" t="str">
        <f>+IFERROR(VLOOKUP(C177,DATA!$G$4:$H$2000,2,FALSE),"")</f>
        <v/>
      </c>
    </row>
    <row r="178" spans="2:4" s="237" customFormat="1">
      <c r="B178" s="15" t="str">
        <f t="shared" si="23"/>
        <v/>
      </c>
      <c r="C178" s="16" t="str">
        <f>IFERROR(VLOOKUP(DATA!G176,DATA!$G$4:$J$2149,1,FALSE),"")</f>
        <v/>
      </c>
      <c r="D178" s="16" t="str">
        <f>+IFERROR(VLOOKUP(C178,DATA!$G$4:$H$2000,2,FALSE),"")</f>
        <v/>
      </c>
    </row>
    <row r="179" spans="2:4" s="237" customFormat="1">
      <c r="B179" s="15" t="str">
        <f t="shared" si="23"/>
        <v/>
      </c>
      <c r="C179" s="16" t="str">
        <f>IFERROR(VLOOKUP(DATA!G177,DATA!$G$4:$J$2149,1,FALSE),"")</f>
        <v/>
      </c>
      <c r="D179" s="16" t="str">
        <f>+IFERROR(VLOOKUP(C179,DATA!$G$4:$H$2000,2,FALSE),"")</f>
        <v/>
      </c>
    </row>
    <row r="180" spans="2:4" s="237" customFormat="1">
      <c r="B180" s="15" t="str">
        <f t="shared" si="23"/>
        <v/>
      </c>
      <c r="C180" s="16" t="str">
        <f>IFERROR(VLOOKUP(DATA!G178,DATA!$G$4:$J$2149,1,FALSE),"")</f>
        <v/>
      </c>
      <c r="D180" s="16" t="str">
        <f>+IFERROR(VLOOKUP(C180,DATA!$G$4:$H$2000,2,FALSE),"")</f>
        <v/>
      </c>
    </row>
    <row r="181" spans="2:4" s="237" customFormat="1">
      <c r="B181" s="15" t="str">
        <f t="shared" si="23"/>
        <v/>
      </c>
      <c r="C181" s="16" t="str">
        <f>IFERROR(VLOOKUP(DATA!G179,DATA!$G$4:$J$2149,1,FALSE),"")</f>
        <v/>
      </c>
      <c r="D181" s="16" t="str">
        <f>+IFERROR(VLOOKUP(C181,DATA!$G$4:$H$2000,2,FALSE),"")</f>
        <v/>
      </c>
    </row>
    <row r="182" spans="2:4" s="237" customFormat="1">
      <c r="B182" s="15" t="str">
        <f t="shared" si="23"/>
        <v/>
      </c>
      <c r="C182" s="16" t="str">
        <f>IFERROR(VLOOKUP(DATA!G180,DATA!$G$4:$J$2149,1,FALSE),"")</f>
        <v/>
      </c>
      <c r="D182" s="16" t="str">
        <f>+IFERROR(VLOOKUP(C182,DATA!$G$4:$H$2000,2,FALSE),"")</f>
        <v/>
      </c>
    </row>
    <row r="183" spans="2:4" s="237" customFormat="1">
      <c r="B183" s="15" t="str">
        <f t="shared" si="23"/>
        <v/>
      </c>
      <c r="C183" s="16" t="str">
        <f>IFERROR(VLOOKUP(DATA!G181,DATA!$G$4:$J$2149,1,FALSE),"")</f>
        <v/>
      </c>
      <c r="D183" s="16" t="str">
        <f>+IFERROR(VLOOKUP(C183,DATA!$G$4:$H$2000,2,FALSE),"")</f>
        <v/>
      </c>
    </row>
    <row r="184" spans="2:4" s="237" customFormat="1">
      <c r="B184" s="15" t="str">
        <f t="shared" si="23"/>
        <v/>
      </c>
      <c r="C184" s="16" t="str">
        <f>IFERROR(VLOOKUP(DATA!G182,DATA!$G$4:$J$2149,1,FALSE),"")</f>
        <v/>
      </c>
      <c r="D184" s="16" t="str">
        <f>+IFERROR(VLOOKUP(C184,DATA!$G$4:$H$2000,2,FALSE),"")</f>
        <v/>
      </c>
    </row>
    <row r="185" spans="2:4" s="237" customFormat="1">
      <c r="B185" s="15" t="str">
        <f t="shared" si="23"/>
        <v/>
      </c>
      <c r="C185" s="16" t="str">
        <f>IFERROR(VLOOKUP(DATA!G183,DATA!$G$4:$J$2149,1,FALSE),"")</f>
        <v/>
      </c>
      <c r="D185" s="16" t="str">
        <f>+IFERROR(VLOOKUP(C185,DATA!$G$4:$H$2000,2,FALSE),"")</f>
        <v/>
      </c>
    </row>
    <row r="186" spans="2:4" s="237" customFormat="1">
      <c r="B186" s="15" t="str">
        <f t="shared" si="23"/>
        <v/>
      </c>
      <c r="C186" s="16" t="str">
        <f>IFERROR(VLOOKUP(DATA!G184,DATA!$G$4:$J$2149,1,FALSE),"")</f>
        <v/>
      </c>
      <c r="D186" s="16" t="str">
        <f>+IFERROR(VLOOKUP(C186,DATA!$G$4:$H$2000,2,FALSE),"")</f>
        <v/>
      </c>
    </row>
    <row r="187" spans="2:4" s="237" customFormat="1">
      <c r="B187" s="15" t="str">
        <f t="shared" si="23"/>
        <v/>
      </c>
      <c r="C187" s="16" t="str">
        <f>IFERROR(VLOOKUP(DATA!G185,DATA!$G$4:$J$2149,1,FALSE),"")</f>
        <v/>
      </c>
      <c r="D187" s="16" t="str">
        <f>+IFERROR(VLOOKUP(C187,DATA!$G$4:$H$2000,2,FALSE),"")</f>
        <v/>
      </c>
    </row>
    <row r="188" spans="2:4" s="237" customFormat="1">
      <c r="B188" s="15" t="str">
        <f t="shared" si="23"/>
        <v/>
      </c>
      <c r="C188" s="16" t="str">
        <f>IFERROR(VLOOKUP(DATA!G186,DATA!$G$4:$J$2149,1,FALSE),"")</f>
        <v/>
      </c>
      <c r="D188" s="16" t="str">
        <f>+IFERROR(VLOOKUP(C188,DATA!$G$4:$H$2000,2,FALSE),"")</f>
        <v/>
      </c>
    </row>
    <row r="189" spans="2:4" s="237" customFormat="1">
      <c r="B189" s="15" t="str">
        <f t="shared" si="23"/>
        <v/>
      </c>
      <c r="C189" s="16" t="str">
        <f>IFERROR(VLOOKUP(DATA!G187,DATA!$G$4:$J$2149,1,FALSE),"")</f>
        <v/>
      </c>
      <c r="D189" s="16" t="str">
        <f>+IFERROR(VLOOKUP(C189,DATA!$G$4:$H$2000,2,FALSE),"")</f>
        <v/>
      </c>
    </row>
    <row r="190" spans="2:4" s="237" customFormat="1">
      <c r="B190" s="15" t="str">
        <f t="shared" si="23"/>
        <v/>
      </c>
      <c r="C190" s="16" t="str">
        <f>IFERROR(VLOOKUP(DATA!G188,DATA!$G$4:$J$2149,1,FALSE),"")</f>
        <v/>
      </c>
      <c r="D190" s="16" t="str">
        <f>+IFERROR(VLOOKUP(C190,DATA!$G$4:$H$2000,2,FALSE),"")</f>
        <v/>
      </c>
    </row>
    <row r="191" spans="2:4" s="237" customFormat="1">
      <c r="B191" s="15" t="str">
        <f t="shared" si="23"/>
        <v/>
      </c>
      <c r="C191" s="16" t="str">
        <f>IFERROR(VLOOKUP(DATA!G189,DATA!$G$4:$J$2149,1,FALSE),"")</f>
        <v/>
      </c>
      <c r="D191" s="16" t="str">
        <f>+IFERROR(VLOOKUP(C191,DATA!$G$4:$H$2000,2,FALSE),"")</f>
        <v/>
      </c>
    </row>
    <row r="192" spans="2:4" s="237" customFormat="1">
      <c r="B192" s="15" t="str">
        <f t="shared" si="23"/>
        <v/>
      </c>
      <c r="C192" s="16" t="str">
        <f>IFERROR(VLOOKUP(DATA!G190,DATA!$G$4:$J$2149,1,FALSE),"")</f>
        <v/>
      </c>
      <c r="D192" s="16" t="str">
        <f>+IFERROR(VLOOKUP(C192,DATA!$G$4:$H$2000,2,FALSE),"")</f>
        <v/>
      </c>
    </row>
    <row r="193" spans="2:4" s="237" customFormat="1">
      <c r="B193" s="15" t="str">
        <f t="shared" si="23"/>
        <v/>
      </c>
      <c r="C193" s="16" t="str">
        <f>IFERROR(VLOOKUP(DATA!G191,DATA!$G$4:$J$2149,1,FALSE),"")</f>
        <v/>
      </c>
      <c r="D193" s="16" t="str">
        <f>+IFERROR(VLOOKUP(C193,DATA!$G$4:$H$2000,2,FALSE),"")</f>
        <v/>
      </c>
    </row>
    <row r="194" spans="2:4" s="237" customFormat="1">
      <c r="B194" s="15" t="str">
        <f t="shared" si="23"/>
        <v/>
      </c>
      <c r="C194" s="16" t="str">
        <f>IFERROR(VLOOKUP(DATA!G192,DATA!$G$4:$J$2149,1,FALSE),"")</f>
        <v/>
      </c>
      <c r="D194" s="16" t="str">
        <f>+IFERROR(VLOOKUP(C194,DATA!$G$4:$H$2000,2,FALSE),"")</f>
        <v/>
      </c>
    </row>
    <row r="195" spans="2:4" s="237" customFormat="1">
      <c r="B195" s="15" t="str">
        <f t="shared" si="23"/>
        <v/>
      </c>
      <c r="C195" s="16" t="str">
        <f>IFERROR(VLOOKUP(DATA!G193,DATA!$G$4:$J$2149,1,FALSE),"")</f>
        <v/>
      </c>
      <c r="D195" s="16" t="str">
        <f>+IFERROR(VLOOKUP(C195,DATA!$G$4:$H$2000,2,FALSE),"")</f>
        <v/>
      </c>
    </row>
    <row r="196" spans="2:4" s="237" customFormat="1">
      <c r="B196" s="15" t="str">
        <f t="shared" si="23"/>
        <v/>
      </c>
      <c r="C196" s="16" t="str">
        <f>IFERROR(VLOOKUP(DATA!G194,DATA!$G$4:$J$2149,1,FALSE),"")</f>
        <v/>
      </c>
      <c r="D196" s="16" t="str">
        <f>+IFERROR(VLOOKUP(C196,DATA!$G$4:$H$2000,2,FALSE),"")</f>
        <v/>
      </c>
    </row>
    <row r="197" spans="2:4" s="237" customFormat="1">
      <c r="B197" s="15" t="str">
        <f t="shared" si="23"/>
        <v/>
      </c>
      <c r="C197" s="16" t="str">
        <f>IFERROR(VLOOKUP(DATA!G195,DATA!$G$4:$J$2149,1,FALSE),"")</f>
        <v/>
      </c>
      <c r="D197" s="16" t="str">
        <f>+IFERROR(VLOOKUP(C197,DATA!$G$4:$H$2000,2,FALSE),"")</f>
        <v/>
      </c>
    </row>
    <row r="198" spans="2:4" s="237" customFormat="1">
      <c r="B198" s="15" t="str">
        <f t="shared" ref="B198:B260" si="41">+IF(C198="","",ROW()-5)</f>
        <v/>
      </c>
      <c r="C198" s="16" t="str">
        <f>IFERROR(VLOOKUP(DATA!G196,DATA!$G$4:$J$2149,1,FALSE),"")</f>
        <v/>
      </c>
      <c r="D198" s="16" t="str">
        <f>+IFERROR(VLOOKUP(C198,DATA!$G$4:$H$2000,2,FALSE),"")</f>
        <v/>
      </c>
    </row>
    <row r="199" spans="2:4" s="237" customFormat="1">
      <c r="B199" s="15" t="str">
        <f t="shared" si="41"/>
        <v/>
      </c>
      <c r="C199" s="16" t="str">
        <f>IFERROR(VLOOKUP(DATA!G197,DATA!$G$4:$J$2149,1,FALSE),"")</f>
        <v/>
      </c>
      <c r="D199" s="16" t="str">
        <f>+IFERROR(VLOOKUP(C199,DATA!$G$4:$H$2000,2,FALSE),"")</f>
        <v/>
      </c>
    </row>
    <row r="200" spans="2:4" s="237" customFormat="1">
      <c r="B200" s="15" t="str">
        <f t="shared" si="41"/>
        <v/>
      </c>
      <c r="C200" s="16" t="str">
        <f>IFERROR(VLOOKUP(DATA!G198,DATA!$G$4:$J$2149,1,FALSE),"")</f>
        <v/>
      </c>
      <c r="D200" s="16" t="str">
        <f>+IFERROR(VLOOKUP(C200,DATA!$G$4:$H$2000,2,FALSE),"")</f>
        <v/>
      </c>
    </row>
    <row r="201" spans="2:4" s="237" customFormat="1">
      <c r="B201" s="15" t="str">
        <f t="shared" si="41"/>
        <v/>
      </c>
      <c r="C201" s="16" t="str">
        <f>IFERROR(VLOOKUP(DATA!G199,DATA!$G$4:$J$2149,1,FALSE),"")</f>
        <v/>
      </c>
      <c r="D201" s="16" t="str">
        <f>+IFERROR(VLOOKUP(C201,DATA!$G$4:$H$2000,2,FALSE),"")</f>
        <v/>
      </c>
    </row>
    <row r="202" spans="2:4" s="237" customFormat="1">
      <c r="B202" s="15" t="str">
        <f t="shared" si="41"/>
        <v/>
      </c>
      <c r="C202" s="16" t="str">
        <f>IFERROR(VLOOKUP(DATA!G200,DATA!$G$4:$J$2149,1,FALSE),"")</f>
        <v/>
      </c>
      <c r="D202" s="16" t="str">
        <f>+IFERROR(VLOOKUP(C202,DATA!$G$4:$H$2000,2,FALSE),"")</f>
        <v/>
      </c>
    </row>
    <row r="203" spans="2:4" s="237" customFormat="1">
      <c r="B203" s="15" t="str">
        <f t="shared" si="41"/>
        <v/>
      </c>
      <c r="C203" s="16" t="str">
        <f>IFERROR(VLOOKUP(DATA!G201,DATA!$G$4:$J$2149,1,FALSE),"")</f>
        <v/>
      </c>
      <c r="D203" s="16" t="str">
        <f>+IFERROR(VLOOKUP(C203,DATA!$G$4:$H$2000,2,FALSE),"")</f>
        <v/>
      </c>
    </row>
    <row r="204" spans="2:4" s="237" customFormat="1">
      <c r="B204" s="15" t="str">
        <f t="shared" si="41"/>
        <v/>
      </c>
      <c r="C204" s="16" t="str">
        <f>IFERROR(VLOOKUP(DATA!G202,DATA!$G$4:$J$2149,1,FALSE),"")</f>
        <v/>
      </c>
      <c r="D204" s="16" t="str">
        <f>+IFERROR(VLOOKUP(C204,DATA!$G$4:$H$2000,2,FALSE),"")</f>
        <v/>
      </c>
    </row>
    <row r="205" spans="2:4" s="237" customFormat="1">
      <c r="B205" s="15" t="str">
        <f t="shared" si="41"/>
        <v/>
      </c>
      <c r="C205" s="16" t="str">
        <f>IFERROR(VLOOKUP(DATA!G203,DATA!$G$4:$J$2149,1,FALSE),"")</f>
        <v/>
      </c>
      <c r="D205" s="16" t="str">
        <f>+IFERROR(VLOOKUP(C205,DATA!$G$4:$H$2000,2,FALSE),"")</f>
        <v/>
      </c>
    </row>
    <row r="206" spans="2:4" s="237" customFormat="1">
      <c r="B206" s="15" t="str">
        <f t="shared" si="41"/>
        <v/>
      </c>
      <c r="C206" s="16" t="str">
        <f>IFERROR(VLOOKUP(DATA!G204,DATA!$G$4:$J$2149,1,FALSE),"")</f>
        <v/>
      </c>
      <c r="D206" s="16" t="str">
        <f>+IFERROR(VLOOKUP(C206,DATA!$G$4:$H$2000,2,FALSE),"")</f>
        <v/>
      </c>
    </row>
    <row r="207" spans="2:4" s="237" customFormat="1">
      <c r="B207" s="15" t="str">
        <f t="shared" si="41"/>
        <v/>
      </c>
      <c r="C207" s="16" t="str">
        <f>IFERROR(VLOOKUP(DATA!G205,DATA!$G$4:$J$2149,1,FALSE),"")</f>
        <v/>
      </c>
      <c r="D207" s="16" t="str">
        <f>+IFERROR(VLOOKUP(C207,DATA!$G$4:$H$2000,2,FALSE),"")</f>
        <v/>
      </c>
    </row>
    <row r="208" spans="2:4" s="237" customFormat="1">
      <c r="B208" s="15" t="str">
        <f t="shared" si="41"/>
        <v/>
      </c>
      <c r="C208" s="16" t="str">
        <f>IFERROR(VLOOKUP(DATA!G206,DATA!$G$4:$J$2149,1,FALSE),"")</f>
        <v/>
      </c>
      <c r="D208" s="16" t="str">
        <f>+IFERROR(VLOOKUP(C208,DATA!$G$4:$H$2000,2,FALSE),"")</f>
        <v/>
      </c>
    </row>
    <row r="209" spans="2:4" s="237" customFormat="1">
      <c r="B209" s="15" t="str">
        <f t="shared" si="41"/>
        <v/>
      </c>
      <c r="C209" s="16" t="str">
        <f>IFERROR(VLOOKUP(DATA!G207,DATA!$G$4:$J$2149,1,FALSE),"")</f>
        <v/>
      </c>
      <c r="D209" s="16" t="str">
        <f>+IFERROR(VLOOKUP(C209,DATA!$G$4:$H$2000,2,FALSE),"")</f>
        <v/>
      </c>
    </row>
    <row r="210" spans="2:4" s="237" customFormat="1">
      <c r="B210" s="15" t="str">
        <f t="shared" si="41"/>
        <v/>
      </c>
      <c r="C210" s="16" t="str">
        <f>IFERROR(VLOOKUP(DATA!G208,DATA!$G$4:$J$2149,1,FALSE),"")</f>
        <v/>
      </c>
      <c r="D210" s="16" t="str">
        <f>+IFERROR(VLOOKUP(C210,DATA!$G$4:$H$2000,2,FALSE),"")</f>
        <v/>
      </c>
    </row>
    <row r="211" spans="2:4" s="237" customFormat="1">
      <c r="B211" s="15" t="str">
        <f t="shared" si="41"/>
        <v/>
      </c>
      <c r="C211" s="16" t="str">
        <f>IFERROR(VLOOKUP(DATA!G209,DATA!$G$4:$J$2149,1,FALSE),"")</f>
        <v/>
      </c>
      <c r="D211" s="16" t="str">
        <f>+IFERROR(VLOOKUP(C211,DATA!$G$4:$H$2000,2,FALSE),"")</f>
        <v/>
      </c>
    </row>
    <row r="212" spans="2:4" s="237" customFormat="1">
      <c r="B212" s="15" t="str">
        <f t="shared" si="41"/>
        <v/>
      </c>
      <c r="C212" s="16" t="str">
        <f>IFERROR(VLOOKUP(DATA!G210,DATA!$G$4:$J$2149,1,FALSE),"")</f>
        <v/>
      </c>
      <c r="D212" s="16" t="str">
        <f>+IFERROR(VLOOKUP(C212,DATA!$G$4:$H$2000,2,FALSE),"")</f>
        <v/>
      </c>
    </row>
    <row r="213" spans="2:4" s="237" customFormat="1">
      <c r="B213" s="15" t="str">
        <f t="shared" si="41"/>
        <v/>
      </c>
      <c r="C213" s="16" t="str">
        <f>IFERROR(VLOOKUP(DATA!G211,DATA!$G$4:$J$2149,1,FALSE),"")</f>
        <v/>
      </c>
      <c r="D213" s="16" t="str">
        <f>+IFERROR(VLOOKUP(C213,DATA!$G$4:$H$2000,2,FALSE),"")</f>
        <v/>
      </c>
    </row>
    <row r="214" spans="2:4" s="237" customFormat="1">
      <c r="B214" s="15" t="str">
        <f t="shared" si="41"/>
        <v/>
      </c>
      <c r="C214" s="16" t="str">
        <f>IFERROR(VLOOKUP(DATA!G212,DATA!$G$4:$J$2149,1,FALSE),"")</f>
        <v/>
      </c>
      <c r="D214" s="16" t="str">
        <f>+IFERROR(VLOOKUP(C214,DATA!$G$4:$H$2000,2,FALSE),"")</f>
        <v/>
      </c>
    </row>
    <row r="215" spans="2:4" s="237" customFormat="1">
      <c r="B215" s="15" t="str">
        <f t="shared" si="41"/>
        <v/>
      </c>
      <c r="C215" s="16" t="str">
        <f>IFERROR(VLOOKUP(DATA!G213,DATA!$G$4:$J$2149,1,FALSE),"")</f>
        <v/>
      </c>
      <c r="D215" s="16" t="str">
        <f>+IFERROR(VLOOKUP(C215,DATA!$G$4:$H$2000,2,FALSE),"")</f>
        <v/>
      </c>
    </row>
    <row r="216" spans="2:4" s="237" customFormat="1">
      <c r="B216" s="15" t="str">
        <f t="shared" si="41"/>
        <v/>
      </c>
      <c r="C216" s="16" t="str">
        <f>IFERROR(VLOOKUP(DATA!G214,DATA!$G$4:$J$2149,1,FALSE),"")</f>
        <v/>
      </c>
      <c r="D216" s="16" t="str">
        <f>+IFERROR(VLOOKUP(C216,DATA!$G$4:$H$2000,2,FALSE),"")</f>
        <v/>
      </c>
    </row>
    <row r="217" spans="2:4" s="237" customFormat="1">
      <c r="B217" s="15" t="str">
        <f t="shared" si="41"/>
        <v/>
      </c>
      <c r="C217" s="16" t="str">
        <f>IFERROR(VLOOKUP(DATA!G215,DATA!$G$4:$J$2149,1,FALSE),"")</f>
        <v/>
      </c>
      <c r="D217" s="16" t="str">
        <f>+IFERROR(VLOOKUP(C217,DATA!$G$4:$H$2000,2,FALSE),"")</f>
        <v/>
      </c>
    </row>
    <row r="218" spans="2:4" s="237" customFormat="1">
      <c r="B218" s="15" t="str">
        <f t="shared" si="41"/>
        <v/>
      </c>
      <c r="C218" s="16" t="str">
        <f>IFERROR(VLOOKUP(DATA!G216,DATA!$G$4:$J$2149,1,FALSE),"")</f>
        <v/>
      </c>
      <c r="D218" s="16" t="str">
        <f>+IFERROR(VLOOKUP(C218,DATA!$G$4:$H$2000,2,FALSE),"")</f>
        <v/>
      </c>
    </row>
    <row r="219" spans="2:4" s="237" customFormat="1">
      <c r="B219" s="15" t="str">
        <f t="shared" si="41"/>
        <v/>
      </c>
      <c r="C219" s="16" t="str">
        <f>IFERROR(VLOOKUP(DATA!G217,DATA!$G$4:$J$2149,1,FALSE),"")</f>
        <v/>
      </c>
      <c r="D219" s="16" t="str">
        <f>+IFERROR(VLOOKUP(C219,DATA!$G$4:$H$2000,2,FALSE),"")</f>
        <v/>
      </c>
    </row>
    <row r="220" spans="2:4" s="237" customFormat="1">
      <c r="B220" s="15" t="str">
        <f t="shared" si="41"/>
        <v/>
      </c>
      <c r="C220" s="16" t="str">
        <f>IFERROR(VLOOKUP(DATA!G218,DATA!$G$4:$J$2149,1,FALSE),"")</f>
        <v/>
      </c>
      <c r="D220" s="16" t="str">
        <f>+IFERROR(VLOOKUP(C220,DATA!$G$4:$H$2000,2,FALSE),"")</f>
        <v/>
      </c>
    </row>
    <row r="221" spans="2:4" s="237" customFormat="1">
      <c r="B221" s="15" t="str">
        <f t="shared" si="41"/>
        <v/>
      </c>
      <c r="C221" s="16" t="str">
        <f>IFERROR(VLOOKUP(DATA!G219,DATA!$G$4:$J$2149,1,FALSE),"")</f>
        <v/>
      </c>
      <c r="D221" s="16" t="str">
        <f>+IFERROR(VLOOKUP(C221,DATA!$G$4:$H$2000,2,FALSE),"")</f>
        <v/>
      </c>
    </row>
    <row r="222" spans="2:4" s="237" customFormat="1">
      <c r="B222" s="15" t="str">
        <f t="shared" si="41"/>
        <v/>
      </c>
      <c r="C222" s="16" t="str">
        <f>IFERROR(VLOOKUP(DATA!G220,DATA!$G$4:$J$2149,1,FALSE),"")</f>
        <v/>
      </c>
      <c r="D222" s="16" t="str">
        <f>+IFERROR(VLOOKUP(C222,DATA!$G$4:$H$2000,2,FALSE),"")</f>
        <v/>
      </c>
    </row>
    <row r="223" spans="2:4" s="237" customFormat="1">
      <c r="B223" s="15" t="str">
        <f t="shared" si="41"/>
        <v/>
      </c>
      <c r="C223" s="16" t="str">
        <f>IFERROR(VLOOKUP(DATA!G221,DATA!$G$4:$J$2149,1,FALSE),"")</f>
        <v/>
      </c>
      <c r="D223" s="16" t="str">
        <f>+IFERROR(VLOOKUP(C223,DATA!$G$4:$H$2000,2,FALSE),"")</f>
        <v/>
      </c>
    </row>
    <row r="224" spans="2:4" s="237" customFormat="1">
      <c r="B224" s="15" t="str">
        <f t="shared" si="41"/>
        <v/>
      </c>
      <c r="C224" s="16" t="str">
        <f>IFERROR(VLOOKUP(DATA!G222,DATA!$G$4:$J$2149,1,FALSE),"")</f>
        <v/>
      </c>
      <c r="D224" s="16" t="str">
        <f>+IFERROR(VLOOKUP(C224,DATA!$G$4:$H$2000,2,FALSE),"")</f>
        <v/>
      </c>
    </row>
    <row r="225" spans="2:4" s="237" customFormat="1">
      <c r="B225" s="15" t="str">
        <f t="shared" si="41"/>
        <v/>
      </c>
      <c r="C225" s="16" t="str">
        <f>IFERROR(VLOOKUP(DATA!G223,DATA!$G$4:$J$2149,1,FALSE),"")</f>
        <v/>
      </c>
      <c r="D225" s="16" t="str">
        <f>+IFERROR(VLOOKUP(C225,DATA!$G$4:$H$2000,2,FALSE),"")</f>
        <v/>
      </c>
    </row>
    <row r="226" spans="2:4" s="237" customFormat="1">
      <c r="B226" s="15" t="str">
        <f t="shared" si="41"/>
        <v/>
      </c>
      <c r="C226" s="16" t="str">
        <f>IFERROR(VLOOKUP(DATA!G224,DATA!$G$4:$J$2149,1,FALSE),"")</f>
        <v/>
      </c>
      <c r="D226" s="16" t="str">
        <f>+IFERROR(VLOOKUP(C226,DATA!$G$4:$H$2000,2,FALSE),"")</f>
        <v/>
      </c>
    </row>
    <row r="227" spans="2:4" s="237" customFormat="1">
      <c r="B227" s="15" t="str">
        <f t="shared" si="41"/>
        <v/>
      </c>
      <c r="C227" s="16" t="str">
        <f>IFERROR(VLOOKUP(DATA!G225,DATA!$G$4:$J$2149,1,FALSE),"")</f>
        <v/>
      </c>
      <c r="D227" s="16" t="str">
        <f>+IFERROR(VLOOKUP(C227,DATA!$G$4:$H$2000,2,FALSE),"")</f>
        <v/>
      </c>
    </row>
    <row r="228" spans="2:4" s="237" customFormat="1">
      <c r="B228" s="15" t="str">
        <f t="shared" si="41"/>
        <v/>
      </c>
      <c r="C228" s="16" t="str">
        <f>IFERROR(VLOOKUP(DATA!G226,DATA!$G$4:$J$2149,1,FALSE),"")</f>
        <v/>
      </c>
      <c r="D228" s="16" t="str">
        <f>+IFERROR(VLOOKUP(C228,DATA!$G$4:$H$2000,2,FALSE),"")</f>
        <v/>
      </c>
    </row>
    <row r="229" spans="2:4" s="237" customFormat="1">
      <c r="B229" s="15" t="str">
        <f t="shared" si="41"/>
        <v/>
      </c>
      <c r="C229" s="16" t="str">
        <f>IFERROR(VLOOKUP(DATA!G227,DATA!$G$4:$J$2149,1,FALSE),"")</f>
        <v/>
      </c>
      <c r="D229" s="16" t="str">
        <f>+IFERROR(VLOOKUP(C229,DATA!$G$4:$H$2000,2,FALSE),"")</f>
        <v/>
      </c>
    </row>
    <row r="230" spans="2:4" s="237" customFormat="1">
      <c r="B230" s="15" t="str">
        <f t="shared" si="41"/>
        <v/>
      </c>
      <c r="C230" s="16" t="str">
        <f>IFERROR(VLOOKUP(DATA!G228,DATA!$G$4:$J$2149,1,FALSE),"")</f>
        <v/>
      </c>
      <c r="D230" s="16" t="str">
        <f>+IFERROR(VLOOKUP(C230,DATA!$G$4:$H$2000,2,FALSE),"")</f>
        <v/>
      </c>
    </row>
    <row r="231" spans="2:4" s="237" customFormat="1">
      <c r="B231" s="15" t="str">
        <f t="shared" si="41"/>
        <v/>
      </c>
      <c r="C231" s="16" t="str">
        <f>IFERROR(VLOOKUP(DATA!G229,DATA!$G$4:$J$2149,1,FALSE),"")</f>
        <v/>
      </c>
      <c r="D231" s="16" t="str">
        <f>+IFERROR(VLOOKUP(C231,DATA!$G$4:$H$2000,2,FALSE),"")</f>
        <v/>
      </c>
    </row>
    <row r="232" spans="2:4" s="237" customFormat="1">
      <c r="B232" s="15" t="str">
        <f t="shared" si="41"/>
        <v/>
      </c>
      <c r="C232" s="16" t="str">
        <f>IFERROR(VLOOKUP(DATA!G230,DATA!$G$4:$J$2149,1,FALSE),"")</f>
        <v/>
      </c>
      <c r="D232" s="16" t="str">
        <f>+IFERROR(VLOOKUP(C232,DATA!$G$4:$H$2000,2,FALSE),"")</f>
        <v/>
      </c>
    </row>
    <row r="233" spans="2:4" s="237" customFormat="1">
      <c r="B233" s="15" t="str">
        <f t="shared" si="41"/>
        <v/>
      </c>
      <c r="C233" s="16" t="str">
        <f>IFERROR(VLOOKUP(DATA!G231,DATA!$G$4:$J$2149,1,FALSE),"")</f>
        <v/>
      </c>
      <c r="D233" s="16" t="str">
        <f>+IFERROR(VLOOKUP(C233,DATA!$G$4:$H$2000,2,FALSE),"")</f>
        <v/>
      </c>
    </row>
    <row r="234" spans="2:4" s="237" customFormat="1">
      <c r="B234" s="15" t="str">
        <f t="shared" si="41"/>
        <v/>
      </c>
      <c r="C234" s="16" t="str">
        <f>IFERROR(VLOOKUP(DATA!G232,DATA!$G$4:$J$2149,1,FALSE),"")</f>
        <v/>
      </c>
      <c r="D234" s="16" t="str">
        <f>+IFERROR(VLOOKUP(C234,DATA!$G$4:$H$2000,2,FALSE),"")</f>
        <v/>
      </c>
    </row>
    <row r="235" spans="2:4" s="237" customFormat="1">
      <c r="B235" s="15" t="str">
        <f t="shared" si="41"/>
        <v/>
      </c>
      <c r="C235" s="16" t="str">
        <f>IFERROR(VLOOKUP(DATA!G233,DATA!$G$4:$J$2149,1,FALSE),"")</f>
        <v/>
      </c>
      <c r="D235" s="16" t="str">
        <f>+IFERROR(VLOOKUP(C235,DATA!$G$4:$H$2000,2,FALSE),"")</f>
        <v/>
      </c>
    </row>
    <row r="236" spans="2:4" s="237" customFormat="1">
      <c r="B236" s="15" t="str">
        <f t="shared" si="41"/>
        <v/>
      </c>
      <c r="C236" s="16" t="str">
        <f>IFERROR(VLOOKUP(DATA!G234,DATA!$G$4:$J$2149,1,FALSE),"")</f>
        <v/>
      </c>
      <c r="D236" s="16" t="str">
        <f>+IFERROR(VLOOKUP(C236,DATA!$G$4:$H$2000,2,FALSE),"")</f>
        <v/>
      </c>
    </row>
    <row r="237" spans="2:4" s="237" customFormat="1">
      <c r="B237" s="15" t="str">
        <f t="shared" si="41"/>
        <v/>
      </c>
      <c r="C237" s="16" t="str">
        <f>IFERROR(VLOOKUP(DATA!G235,DATA!$G$4:$J$2149,1,FALSE),"")</f>
        <v/>
      </c>
      <c r="D237" s="16" t="str">
        <f>+IFERROR(VLOOKUP(C237,DATA!$G$4:$H$2000,2,FALSE),"")</f>
        <v/>
      </c>
    </row>
    <row r="238" spans="2:4" s="237" customFormat="1">
      <c r="B238" s="15" t="str">
        <f t="shared" si="41"/>
        <v/>
      </c>
      <c r="C238" s="16" t="str">
        <f>IFERROR(VLOOKUP(DATA!G236,DATA!$G$4:$J$2149,1,FALSE),"")</f>
        <v/>
      </c>
      <c r="D238" s="16" t="str">
        <f>+IFERROR(VLOOKUP(C238,DATA!$G$4:$H$2000,2,FALSE),"")</f>
        <v/>
      </c>
    </row>
    <row r="239" spans="2:4" s="237" customFormat="1">
      <c r="B239" s="15" t="str">
        <f t="shared" si="41"/>
        <v/>
      </c>
      <c r="C239" s="16" t="str">
        <f>IFERROR(VLOOKUP(DATA!G237,DATA!$G$4:$J$2149,1,FALSE),"")</f>
        <v/>
      </c>
      <c r="D239" s="16" t="str">
        <f>+IFERROR(VLOOKUP(C239,DATA!$G$4:$H$2000,2,FALSE),"")</f>
        <v/>
      </c>
    </row>
    <row r="240" spans="2:4" s="237" customFormat="1">
      <c r="B240" s="15" t="str">
        <f t="shared" si="41"/>
        <v/>
      </c>
      <c r="C240" s="16" t="str">
        <f>IFERROR(VLOOKUP(DATA!G238,DATA!$G$4:$J$2149,1,FALSE),"")</f>
        <v/>
      </c>
      <c r="D240" s="16" t="str">
        <f>+IFERROR(VLOOKUP(C240,DATA!$G$4:$H$2000,2,FALSE),"")</f>
        <v/>
      </c>
    </row>
    <row r="241" spans="2:4" s="237" customFormat="1">
      <c r="B241" s="15" t="str">
        <f t="shared" si="41"/>
        <v/>
      </c>
      <c r="C241" s="16" t="str">
        <f>IFERROR(VLOOKUP(DATA!G239,DATA!$G$4:$J$2149,1,FALSE),"")</f>
        <v/>
      </c>
      <c r="D241" s="16" t="str">
        <f>+IFERROR(VLOOKUP(C241,DATA!$G$4:$H$2000,2,FALSE),"")</f>
        <v/>
      </c>
    </row>
    <row r="242" spans="2:4" s="237" customFormat="1">
      <c r="B242" s="15" t="str">
        <f t="shared" si="41"/>
        <v/>
      </c>
      <c r="C242" s="16" t="str">
        <f>IFERROR(VLOOKUP(DATA!G240,DATA!$G$4:$J$2149,1,FALSE),"")</f>
        <v/>
      </c>
      <c r="D242" s="16" t="str">
        <f>+IFERROR(VLOOKUP(C242,DATA!$G$4:$H$2000,2,FALSE),"")</f>
        <v/>
      </c>
    </row>
    <row r="243" spans="2:4" s="237" customFormat="1">
      <c r="B243" s="15" t="str">
        <f t="shared" si="41"/>
        <v/>
      </c>
      <c r="C243" s="16" t="str">
        <f>IFERROR(VLOOKUP(DATA!G241,DATA!$G$4:$J$2149,1,FALSE),"")</f>
        <v/>
      </c>
      <c r="D243" s="16" t="str">
        <f>+IFERROR(VLOOKUP(C243,DATA!$G$4:$H$2000,2,FALSE),"")</f>
        <v/>
      </c>
    </row>
    <row r="244" spans="2:4" s="237" customFormat="1">
      <c r="B244" s="15" t="str">
        <f t="shared" si="41"/>
        <v/>
      </c>
      <c r="C244" s="16" t="str">
        <f>IFERROR(VLOOKUP(DATA!G242,DATA!$G$4:$J$2149,1,FALSE),"")</f>
        <v/>
      </c>
      <c r="D244" s="16" t="str">
        <f>+IFERROR(VLOOKUP(C244,DATA!$G$4:$H$2000,2,FALSE),"")</f>
        <v/>
      </c>
    </row>
    <row r="245" spans="2:4" s="237" customFormat="1">
      <c r="B245" s="15" t="str">
        <f t="shared" si="41"/>
        <v/>
      </c>
      <c r="C245" s="16" t="str">
        <f>IFERROR(VLOOKUP(DATA!G243,DATA!$G$4:$J$2149,1,FALSE),"")</f>
        <v/>
      </c>
      <c r="D245" s="16" t="str">
        <f>+IFERROR(VLOOKUP(C245,DATA!$G$4:$H$2000,2,FALSE),"")</f>
        <v/>
      </c>
    </row>
    <row r="246" spans="2:4" s="237" customFormat="1">
      <c r="B246" s="15" t="str">
        <f t="shared" si="41"/>
        <v/>
      </c>
      <c r="C246" s="16" t="str">
        <f>IFERROR(VLOOKUP(DATA!G244,DATA!$G$4:$J$2149,1,FALSE),"")</f>
        <v/>
      </c>
      <c r="D246" s="16" t="str">
        <f>+IFERROR(VLOOKUP(C246,DATA!$G$4:$H$2000,2,FALSE),"")</f>
        <v/>
      </c>
    </row>
    <row r="247" spans="2:4" s="237" customFormat="1">
      <c r="B247" s="15" t="str">
        <f t="shared" si="41"/>
        <v/>
      </c>
      <c r="C247" s="16" t="str">
        <f>IFERROR(VLOOKUP(DATA!G245,DATA!$G$4:$J$2149,1,FALSE),"")</f>
        <v/>
      </c>
      <c r="D247" s="16" t="str">
        <f>+IFERROR(VLOOKUP(C247,DATA!$G$4:$H$2000,2,FALSE),"")</f>
        <v/>
      </c>
    </row>
    <row r="248" spans="2:4" s="237" customFormat="1">
      <c r="B248" s="15" t="str">
        <f t="shared" si="41"/>
        <v/>
      </c>
      <c r="C248" s="16" t="str">
        <f>IFERROR(VLOOKUP(DATA!G246,DATA!$G$4:$J$2149,1,FALSE),"")</f>
        <v/>
      </c>
      <c r="D248" s="16" t="str">
        <f>+IFERROR(VLOOKUP(C248,DATA!$G$4:$H$2000,2,FALSE),"")</f>
        <v/>
      </c>
    </row>
    <row r="249" spans="2:4" s="237" customFormat="1">
      <c r="B249" s="15" t="str">
        <f t="shared" si="41"/>
        <v/>
      </c>
      <c r="C249" s="16" t="str">
        <f>IFERROR(VLOOKUP(DATA!G247,DATA!$G$4:$J$2149,1,FALSE),"")</f>
        <v/>
      </c>
      <c r="D249" s="16" t="str">
        <f>+IFERROR(VLOOKUP(C249,DATA!$G$4:$H$2000,2,FALSE),"")</f>
        <v/>
      </c>
    </row>
    <row r="250" spans="2:4" s="237" customFormat="1">
      <c r="B250" s="15" t="str">
        <f t="shared" si="41"/>
        <v/>
      </c>
      <c r="C250" s="16" t="str">
        <f>IFERROR(VLOOKUP(DATA!G248,DATA!$G$4:$J$2149,1,FALSE),"")</f>
        <v/>
      </c>
      <c r="D250" s="16" t="str">
        <f>+IFERROR(VLOOKUP(C250,DATA!$G$4:$H$2000,2,FALSE),"")</f>
        <v/>
      </c>
    </row>
    <row r="251" spans="2:4" s="237" customFormat="1">
      <c r="B251" s="15" t="str">
        <f t="shared" si="41"/>
        <v/>
      </c>
      <c r="C251" s="16" t="str">
        <f>IFERROR(VLOOKUP(DATA!G249,DATA!$G$4:$J$2149,1,FALSE),"")</f>
        <v/>
      </c>
      <c r="D251" s="16" t="str">
        <f>+IFERROR(VLOOKUP(C251,DATA!$G$4:$H$2000,2,FALSE),"")</f>
        <v/>
      </c>
    </row>
    <row r="252" spans="2:4" s="237" customFormat="1">
      <c r="B252" s="15" t="str">
        <f t="shared" si="41"/>
        <v/>
      </c>
      <c r="C252" s="16" t="str">
        <f>IFERROR(VLOOKUP(DATA!G250,DATA!$G$4:$J$2149,1,FALSE),"")</f>
        <v/>
      </c>
      <c r="D252" s="16" t="str">
        <f>+IFERROR(VLOOKUP(C252,DATA!$G$4:$H$2000,2,FALSE),"")</f>
        <v/>
      </c>
    </row>
    <row r="253" spans="2:4" s="237" customFormat="1">
      <c r="B253" s="15" t="str">
        <f t="shared" si="41"/>
        <v/>
      </c>
      <c r="C253" s="16" t="str">
        <f>IFERROR(VLOOKUP(DATA!G251,DATA!$G$4:$J$2149,1,FALSE),"")</f>
        <v/>
      </c>
      <c r="D253" s="16" t="str">
        <f>+IFERROR(VLOOKUP(C253,DATA!$G$4:$H$2000,2,FALSE),"")</f>
        <v/>
      </c>
    </row>
    <row r="254" spans="2:4" s="237" customFormat="1">
      <c r="B254" s="15" t="str">
        <f t="shared" si="41"/>
        <v/>
      </c>
      <c r="C254" s="16" t="str">
        <f>IFERROR(VLOOKUP(DATA!G252,DATA!$G$4:$J$2149,1,FALSE),"")</f>
        <v/>
      </c>
      <c r="D254" s="16" t="str">
        <f>+IFERROR(VLOOKUP(C254,DATA!$G$4:$H$2000,2,FALSE),"")</f>
        <v/>
      </c>
    </row>
    <row r="255" spans="2:4" s="237" customFormat="1">
      <c r="B255" s="15" t="str">
        <f t="shared" si="41"/>
        <v/>
      </c>
      <c r="C255" s="16" t="str">
        <f>IFERROR(VLOOKUP(DATA!G253,DATA!$G$4:$J$2149,1,FALSE),"")</f>
        <v/>
      </c>
      <c r="D255" s="16" t="str">
        <f>+IFERROR(VLOOKUP(C255,DATA!$G$4:$H$2000,2,FALSE),"")</f>
        <v/>
      </c>
    </row>
    <row r="256" spans="2:4" s="237" customFormat="1">
      <c r="B256" s="15" t="str">
        <f t="shared" si="41"/>
        <v/>
      </c>
      <c r="C256" s="16" t="str">
        <f>IFERROR(VLOOKUP(DATA!G254,DATA!$G$4:$J$2149,1,FALSE),"")</f>
        <v/>
      </c>
      <c r="D256" s="16" t="str">
        <f>+IFERROR(VLOOKUP(C256,DATA!$G$4:$H$2000,2,FALSE),"")</f>
        <v/>
      </c>
    </row>
    <row r="257" spans="2:4" s="237" customFormat="1">
      <c r="B257" s="15" t="str">
        <f t="shared" si="41"/>
        <v/>
      </c>
      <c r="C257" s="16" t="str">
        <f>IFERROR(VLOOKUP(DATA!G255,DATA!$G$4:$J$2149,1,FALSE),"")</f>
        <v/>
      </c>
      <c r="D257" s="16" t="str">
        <f>+IFERROR(VLOOKUP(C257,DATA!$G$4:$H$2000,2,FALSE),"")</f>
        <v/>
      </c>
    </row>
    <row r="258" spans="2:4" s="237" customFormat="1">
      <c r="B258" s="15" t="str">
        <f t="shared" si="41"/>
        <v/>
      </c>
      <c r="C258" s="16" t="str">
        <f>IFERROR(VLOOKUP(DATA!G256,DATA!$G$4:$J$2149,1,FALSE),"")</f>
        <v/>
      </c>
      <c r="D258" s="16" t="str">
        <f>+IFERROR(VLOOKUP(C258,DATA!$G$4:$H$2000,2,FALSE),"")</f>
        <v/>
      </c>
    </row>
    <row r="259" spans="2:4" s="237" customFormat="1">
      <c r="B259" s="15" t="str">
        <f t="shared" si="41"/>
        <v/>
      </c>
      <c r="C259" s="16" t="str">
        <f>IFERROR(VLOOKUP(DATA!G257,DATA!$G$4:$J$2149,1,FALSE),"")</f>
        <v/>
      </c>
      <c r="D259" s="16" t="str">
        <f>+IFERROR(VLOOKUP(C259,DATA!$G$4:$H$2000,2,FALSE),"")</f>
        <v/>
      </c>
    </row>
    <row r="260" spans="2:4" s="237" customFormat="1">
      <c r="B260" s="15" t="str">
        <f t="shared" si="41"/>
        <v/>
      </c>
      <c r="C260" s="16" t="str">
        <f>IFERROR(VLOOKUP(DATA!G258,DATA!$G$4:$J$2149,1,FALSE),"")</f>
        <v/>
      </c>
      <c r="D260" s="16" t="str">
        <f>+IFERROR(VLOOKUP(C260,DATA!$G$4:$H$2000,2,FALSE),"")</f>
        <v/>
      </c>
    </row>
    <row r="261" spans="2:4" s="237" customFormat="1">
      <c r="B261" s="15" t="str">
        <f>+IF(C261="","",ROW()-5)</f>
        <v/>
      </c>
      <c r="C261" s="16" t="str">
        <f>IFERROR(VLOOKUP(DATA!G259,DATA!$G$4:$J$2149,1,FALSE),"")</f>
        <v/>
      </c>
      <c r="D261" s="16" t="str">
        <f>+IFERROR(VLOOKUP(C261,DATA!$G$4:$H$2000,2,FALSE),"")</f>
        <v/>
      </c>
    </row>
    <row r="262" spans="2:4" s="237" customFormat="1">
      <c r="B262" s="15" t="str">
        <f t="shared" ref="B262:B325" si="42">+IF(C262="","",ROW()-5)</f>
        <v/>
      </c>
      <c r="C262" s="16" t="str">
        <f>IFERROR(VLOOKUP(DATA!G260,DATA!$G$4:$J$2149,1,FALSE),"")</f>
        <v/>
      </c>
      <c r="D262" s="16" t="str">
        <f>+IFERROR(VLOOKUP(C262,DATA!$G$4:$H$2000,2,FALSE),"")</f>
        <v/>
      </c>
    </row>
    <row r="263" spans="2:4" s="237" customFormat="1">
      <c r="B263" s="15" t="str">
        <f t="shared" si="42"/>
        <v/>
      </c>
      <c r="C263" s="16" t="str">
        <f>IFERROR(VLOOKUP(DATA!G261,DATA!$G$4:$J$2149,1,FALSE),"")</f>
        <v/>
      </c>
      <c r="D263" s="16" t="str">
        <f>+IFERROR(VLOOKUP(C263,DATA!$G$4:$H$2000,2,FALSE),"")</f>
        <v/>
      </c>
    </row>
    <row r="264" spans="2:4" s="237" customFormat="1">
      <c r="B264" s="15" t="str">
        <f t="shared" si="42"/>
        <v/>
      </c>
      <c r="C264" s="16" t="str">
        <f>IFERROR(VLOOKUP(DATA!G262,DATA!$G$4:$J$2149,1,FALSE),"")</f>
        <v/>
      </c>
      <c r="D264" s="16" t="str">
        <f>+IFERROR(VLOOKUP(C264,DATA!$G$4:$H$2000,2,FALSE),"")</f>
        <v/>
      </c>
    </row>
    <row r="265" spans="2:4" s="237" customFormat="1">
      <c r="B265" s="15" t="str">
        <f t="shared" si="42"/>
        <v/>
      </c>
      <c r="C265" s="16" t="str">
        <f>IFERROR(VLOOKUP(DATA!G263,DATA!$G$4:$J$2149,1,FALSE),"")</f>
        <v/>
      </c>
      <c r="D265" s="16" t="str">
        <f>+IFERROR(VLOOKUP(C265,DATA!$G$4:$H$2000,2,FALSE),"")</f>
        <v/>
      </c>
    </row>
    <row r="266" spans="2:4" s="237" customFormat="1">
      <c r="B266" s="15" t="str">
        <f t="shared" si="42"/>
        <v/>
      </c>
      <c r="C266" s="16" t="str">
        <f>IFERROR(VLOOKUP(DATA!G264,DATA!$G$4:$J$2149,1,FALSE),"")</f>
        <v/>
      </c>
      <c r="D266" s="16" t="str">
        <f>+IFERROR(VLOOKUP(C266,DATA!$G$4:$H$2000,2,FALSE),"")</f>
        <v/>
      </c>
    </row>
    <row r="267" spans="2:4" s="237" customFormat="1">
      <c r="B267" s="15" t="str">
        <f t="shared" si="42"/>
        <v/>
      </c>
      <c r="C267" s="16" t="str">
        <f>IFERROR(VLOOKUP(DATA!G265,DATA!$G$4:$J$2149,1,FALSE),"")</f>
        <v/>
      </c>
      <c r="D267" s="16" t="str">
        <f>+IFERROR(VLOOKUP(C267,DATA!$G$4:$H$2000,2,FALSE),"")</f>
        <v/>
      </c>
    </row>
    <row r="268" spans="2:4" s="237" customFormat="1">
      <c r="B268" s="15" t="str">
        <f t="shared" si="42"/>
        <v/>
      </c>
      <c r="C268" s="16" t="str">
        <f>IFERROR(VLOOKUP(DATA!G266,DATA!$G$4:$J$2149,1,FALSE),"")</f>
        <v/>
      </c>
      <c r="D268" s="16" t="str">
        <f>+IFERROR(VLOOKUP(C268,DATA!$G$4:$H$2000,2,FALSE),"")</f>
        <v/>
      </c>
    </row>
    <row r="269" spans="2:4" s="237" customFormat="1">
      <c r="B269" s="15" t="str">
        <f t="shared" si="42"/>
        <v/>
      </c>
      <c r="C269" s="16" t="str">
        <f>IFERROR(VLOOKUP(DATA!G267,DATA!$G$4:$J$2149,1,FALSE),"")</f>
        <v/>
      </c>
      <c r="D269" s="16" t="str">
        <f>+IFERROR(VLOOKUP(C269,DATA!$G$4:$H$2000,2,FALSE),"")</f>
        <v/>
      </c>
    </row>
    <row r="270" spans="2:4" s="237" customFormat="1">
      <c r="B270" s="15" t="str">
        <f t="shared" si="42"/>
        <v/>
      </c>
      <c r="C270" s="16" t="str">
        <f>IFERROR(VLOOKUP(DATA!G268,DATA!$G$4:$J$2149,1,FALSE),"")</f>
        <v/>
      </c>
      <c r="D270" s="16" t="str">
        <f>+IFERROR(VLOOKUP(C270,DATA!$G$4:$H$2000,2,FALSE),"")</f>
        <v/>
      </c>
    </row>
    <row r="271" spans="2:4" s="237" customFormat="1">
      <c r="B271" s="15" t="str">
        <f t="shared" si="42"/>
        <v/>
      </c>
      <c r="C271" s="16" t="str">
        <f>IFERROR(VLOOKUP(DATA!G269,DATA!$G$4:$J$2149,1,FALSE),"")</f>
        <v/>
      </c>
      <c r="D271" s="16" t="str">
        <f>+IFERROR(VLOOKUP(C271,DATA!$G$4:$H$2000,2,FALSE),"")</f>
        <v/>
      </c>
    </row>
    <row r="272" spans="2:4" s="237" customFormat="1">
      <c r="B272" s="15" t="str">
        <f t="shared" si="42"/>
        <v/>
      </c>
      <c r="C272" s="16" t="str">
        <f>IFERROR(VLOOKUP(DATA!G270,DATA!$G$4:$J$2149,1,FALSE),"")</f>
        <v/>
      </c>
      <c r="D272" s="16" t="str">
        <f>+IFERROR(VLOOKUP(C272,DATA!$G$4:$H$2000,2,FALSE),"")</f>
        <v/>
      </c>
    </row>
    <row r="273" spans="2:4" s="237" customFormat="1">
      <c r="B273" s="15" t="str">
        <f t="shared" si="42"/>
        <v/>
      </c>
      <c r="C273" s="16" t="str">
        <f>IFERROR(VLOOKUP(DATA!G271,DATA!$G$4:$J$2149,1,FALSE),"")</f>
        <v/>
      </c>
      <c r="D273" s="16" t="str">
        <f>+IFERROR(VLOOKUP(C273,DATA!$G$4:$H$2000,2,FALSE),"")</f>
        <v/>
      </c>
    </row>
    <row r="274" spans="2:4" s="237" customFormat="1">
      <c r="B274" s="15" t="str">
        <f t="shared" si="42"/>
        <v/>
      </c>
      <c r="C274" s="16" t="str">
        <f>IFERROR(VLOOKUP(DATA!G272,DATA!$G$4:$J$2149,1,FALSE),"")</f>
        <v/>
      </c>
      <c r="D274" s="16" t="str">
        <f>+IFERROR(VLOOKUP(C274,DATA!$G$4:$H$2000,2,FALSE),"")</f>
        <v/>
      </c>
    </row>
    <row r="275" spans="2:4" s="237" customFormat="1">
      <c r="B275" s="15" t="str">
        <f t="shared" si="42"/>
        <v/>
      </c>
      <c r="C275" s="16" t="str">
        <f>IFERROR(VLOOKUP(DATA!G273,DATA!$G$4:$J$2149,1,FALSE),"")</f>
        <v/>
      </c>
      <c r="D275" s="16" t="str">
        <f>+IFERROR(VLOOKUP(C275,DATA!$G$4:$H$2000,2,FALSE),"")</f>
        <v/>
      </c>
    </row>
    <row r="276" spans="2:4" s="237" customFormat="1">
      <c r="B276" s="15" t="str">
        <f t="shared" si="42"/>
        <v/>
      </c>
      <c r="C276" s="16" t="str">
        <f>IFERROR(VLOOKUP(DATA!G274,DATA!$G$4:$J$2149,1,FALSE),"")</f>
        <v/>
      </c>
      <c r="D276" s="16" t="str">
        <f>+IFERROR(VLOOKUP(C276,DATA!$G$4:$H$2000,2,FALSE),"")</f>
        <v/>
      </c>
    </row>
    <row r="277" spans="2:4" s="237" customFormat="1">
      <c r="B277" s="15" t="str">
        <f t="shared" si="42"/>
        <v/>
      </c>
      <c r="C277" s="16" t="str">
        <f>IFERROR(VLOOKUP(DATA!G275,DATA!$G$4:$J$2149,1,FALSE),"")</f>
        <v/>
      </c>
      <c r="D277" s="16" t="str">
        <f>+IFERROR(VLOOKUP(C277,DATA!$G$4:$H$2000,2,FALSE),"")</f>
        <v/>
      </c>
    </row>
    <row r="278" spans="2:4" s="237" customFormat="1">
      <c r="B278" s="15" t="str">
        <f t="shared" si="42"/>
        <v/>
      </c>
      <c r="C278" s="16" t="str">
        <f>IFERROR(VLOOKUP(DATA!G276,DATA!$G$4:$J$2149,1,FALSE),"")</f>
        <v/>
      </c>
      <c r="D278" s="16" t="str">
        <f>+IFERROR(VLOOKUP(C278,DATA!$G$4:$H$2000,2,FALSE),"")</f>
        <v/>
      </c>
    </row>
    <row r="279" spans="2:4" s="237" customFormat="1">
      <c r="B279" s="15" t="str">
        <f t="shared" si="42"/>
        <v/>
      </c>
      <c r="C279" s="16" t="str">
        <f>IFERROR(VLOOKUP(DATA!G277,DATA!$G$4:$J$2149,1,FALSE),"")</f>
        <v/>
      </c>
      <c r="D279" s="16" t="str">
        <f>+IFERROR(VLOOKUP(C279,DATA!$G$4:$H$2000,2,FALSE),"")</f>
        <v/>
      </c>
    </row>
    <row r="280" spans="2:4" s="237" customFormat="1">
      <c r="B280" s="15" t="str">
        <f t="shared" si="42"/>
        <v/>
      </c>
      <c r="C280" s="16" t="str">
        <f>IFERROR(VLOOKUP(DATA!G278,DATA!$G$4:$J$2149,1,FALSE),"")</f>
        <v/>
      </c>
      <c r="D280" s="16" t="str">
        <f>+IFERROR(VLOOKUP(C280,DATA!$G$4:$H$2000,2,FALSE),"")</f>
        <v/>
      </c>
    </row>
    <row r="281" spans="2:4" s="237" customFormat="1">
      <c r="B281" s="15" t="str">
        <f t="shared" si="42"/>
        <v/>
      </c>
      <c r="C281" s="16" t="str">
        <f>IFERROR(VLOOKUP(DATA!G279,DATA!$G$4:$J$2149,1,FALSE),"")</f>
        <v/>
      </c>
      <c r="D281" s="16" t="str">
        <f>+IFERROR(VLOOKUP(C281,DATA!$G$4:$H$2000,2,FALSE),"")</f>
        <v/>
      </c>
    </row>
    <row r="282" spans="2:4" s="237" customFormat="1">
      <c r="B282" s="15" t="str">
        <f t="shared" si="42"/>
        <v/>
      </c>
      <c r="C282" s="16" t="str">
        <f>IFERROR(VLOOKUP(DATA!G280,DATA!$G$4:$J$2149,1,FALSE),"")</f>
        <v/>
      </c>
      <c r="D282" s="16" t="str">
        <f>+IFERROR(VLOOKUP(C282,DATA!$G$4:$H$2000,2,FALSE),"")</f>
        <v/>
      </c>
    </row>
    <row r="283" spans="2:4" s="237" customFormat="1">
      <c r="B283" s="15" t="str">
        <f t="shared" si="42"/>
        <v/>
      </c>
      <c r="C283" s="16" t="str">
        <f>IFERROR(VLOOKUP(DATA!G281,DATA!$G$4:$J$2149,1,FALSE),"")</f>
        <v/>
      </c>
      <c r="D283" s="16" t="str">
        <f>+IFERROR(VLOOKUP(C283,DATA!$G$4:$H$2000,2,FALSE),"")</f>
        <v/>
      </c>
    </row>
    <row r="284" spans="2:4" s="237" customFormat="1">
      <c r="B284" s="15" t="str">
        <f t="shared" si="42"/>
        <v/>
      </c>
      <c r="C284" s="16" t="str">
        <f>IFERROR(VLOOKUP(DATA!G282,DATA!$G$4:$J$2149,1,FALSE),"")</f>
        <v/>
      </c>
      <c r="D284" s="16" t="str">
        <f>+IFERROR(VLOOKUP(C284,DATA!$G$4:$H$2000,2,FALSE),"")</f>
        <v/>
      </c>
    </row>
    <row r="285" spans="2:4" s="237" customFormat="1">
      <c r="B285" s="15" t="str">
        <f t="shared" si="42"/>
        <v/>
      </c>
      <c r="C285" s="16" t="str">
        <f>IFERROR(VLOOKUP(DATA!G283,DATA!$G$4:$J$2149,1,FALSE),"")</f>
        <v/>
      </c>
      <c r="D285" s="16" t="str">
        <f>+IFERROR(VLOOKUP(C285,DATA!$G$4:$H$2000,2,FALSE),"")</f>
        <v/>
      </c>
    </row>
    <row r="286" spans="2:4" s="237" customFormat="1">
      <c r="B286" s="15" t="str">
        <f t="shared" si="42"/>
        <v/>
      </c>
      <c r="C286" s="16" t="str">
        <f>IFERROR(VLOOKUP(DATA!G284,DATA!$G$4:$J$2149,1,FALSE),"")</f>
        <v/>
      </c>
      <c r="D286" s="16" t="str">
        <f>+IFERROR(VLOOKUP(C286,DATA!$G$4:$H$2000,2,FALSE),"")</f>
        <v/>
      </c>
    </row>
    <row r="287" spans="2:4" s="237" customFormat="1">
      <c r="B287" s="15" t="str">
        <f t="shared" si="42"/>
        <v/>
      </c>
      <c r="C287" s="16" t="str">
        <f>IFERROR(VLOOKUP(DATA!G285,DATA!$G$4:$J$2149,1,FALSE),"")</f>
        <v/>
      </c>
      <c r="D287" s="16" t="str">
        <f>+IFERROR(VLOOKUP(C287,DATA!$G$4:$H$2000,2,FALSE),"")</f>
        <v/>
      </c>
    </row>
    <row r="288" spans="2:4" s="237" customFormat="1">
      <c r="B288" s="15" t="str">
        <f t="shared" si="42"/>
        <v/>
      </c>
      <c r="C288" s="16" t="str">
        <f>IFERROR(VLOOKUP(DATA!G286,DATA!$G$4:$J$2149,1,FALSE),"")</f>
        <v/>
      </c>
      <c r="D288" s="16" t="str">
        <f>+IFERROR(VLOOKUP(C288,DATA!$G$4:$H$2000,2,FALSE),"")</f>
        <v/>
      </c>
    </row>
    <row r="289" spans="2:4" s="237" customFormat="1">
      <c r="B289" s="15" t="str">
        <f t="shared" si="42"/>
        <v/>
      </c>
      <c r="C289" s="16" t="str">
        <f>IFERROR(VLOOKUP(DATA!G287,DATA!$G$4:$J$2149,1,FALSE),"")</f>
        <v/>
      </c>
      <c r="D289" s="16" t="str">
        <f>+IFERROR(VLOOKUP(C289,DATA!$G$4:$H$2000,2,FALSE),"")</f>
        <v/>
      </c>
    </row>
    <row r="290" spans="2:4" s="237" customFormat="1">
      <c r="B290" s="15" t="str">
        <f t="shared" si="42"/>
        <v/>
      </c>
      <c r="C290" s="16" t="str">
        <f>IFERROR(VLOOKUP(DATA!G288,DATA!$G$4:$J$2149,1,FALSE),"")</f>
        <v/>
      </c>
      <c r="D290" s="16" t="str">
        <f>+IFERROR(VLOOKUP(C290,DATA!$G$4:$H$2000,2,FALSE),"")</f>
        <v/>
      </c>
    </row>
    <row r="291" spans="2:4" s="237" customFormat="1">
      <c r="B291" s="15" t="str">
        <f t="shared" si="42"/>
        <v/>
      </c>
      <c r="C291" s="16" t="str">
        <f>IFERROR(VLOOKUP(DATA!G289,DATA!$G$4:$J$2149,1,FALSE),"")</f>
        <v/>
      </c>
      <c r="D291" s="16" t="str">
        <f>+IFERROR(VLOOKUP(C291,DATA!$G$4:$H$2000,2,FALSE),"")</f>
        <v/>
      </c>
    </row>
    <row r="292" spans="2:4" s="237" customFormat="1">
      <c r="B292" s="15" t="str">
        <f t="shared" si="42"/>
        <v/>
      </c>
      <c r="C292" s="16" t="str">
        <f>IFERROR(VLOOKUP(DATA!G290,DATA!$G$4:$J$2149,1,FALSE),"")</f>
        <v/>
      </c>
      <c r="D292" s="16" t="str">
        <f>+IFERROR(VLOOKUP(C292,DATA!$G$4:$H$2000,2,FALSE),"")</f>
        <v/>
      </c>
    </row>
    <row r="293" spans="2:4" s="237" customFormat="1">
      <c r="B293" s="15" t="str">
        <f t="shared" si="42"/>
        <v/>
      </c>
      <c r="C293" s="16" t="str">
        <f>IFERROR(VLOOKUP(DATA!G291,DATA!$G$4:$J$2149,1,FALSE),"")</f>
        <v/>
      </c>
      <c r="D293" s="16" t="str">
        <f>+IFERROR(VLOOKUP(C293,DATA!$G$4:$H$2000,2,FALSE),"")</f>
        <v/>
      </c>
    </row>
    <row r="294" spans="2:4" s="237" customFormat="1">
      <c r="B294" s="15" t="str">
        <f t="shared" si="42"/>
        <v/>
      </c>
      <c r="C294" s="16" t="str">
        <f>IFERROR(VLOOKUP(DATA!G292,DATA!$G$4:$J$2149,1,FALSE),"")</f>
        <v/>
      </c>
      <c r="D294" s="16" t="str">
        <f>+IFERROR(VLOOKUP(C294,DATA!$G$4:$H$2000,2,FALSE),"")</f>
        <v/>
      </c>
    </row>
    <row r="295" spans="2:4" s="237" customFormat="1">
      <c r="B295" s="15" t="str">
        <f t="shared" si="42"/>
        <v/>
      </c>
      <c r="C295" s="16" t="str">
        <f>IFERROR(VLOOKUP(DATA!G293,DATA!$G$4:$J$2149,1,FALSE),"")</f>
        <v/>
      </c>
      <c r="D295" s="16" t="str">
        <f>+IFERROR(VLOOKUP(C295,DATA!$G$4:$H$2000,2,FALSE),"")</f>
        <v/>
      </c>
    </row>
    <row r="296" spans="2:4" s="237" customFormat="1">
      <c r="B296" s="15" t="str">
        <f t="shared" si="42"/>
        <v/>
      </c>
      <c r="C296" s="16" t="str">
        <f>IFERROR(VLOOKUP(DATA!G294,DATA!$G$4:$J$2149,1,FALSE),"")</f>
        <v/>
      </c>
      <c r="D296" s="16" t="str">
        <f>+IFERROR(VLOOKUP(C296,DATA!$G$4:$H$2000,2,FALSE),"")</f>
        <v/>
      </c>
    </row>
    <row r="297" spans="2:4" s="237" customFormat="1">
      <c r="B297" s="15" t="str">
        <f t="shared" si="42"/>
        <v/>
      </c>
      <c r="C297" s="16" t="str">
        <f>IFERROR(VLOOKUP(DATA!G295,DATA!$G$4:$J$2149,1,FALSE),"")</f>
        <v/>
      </c>
      <c r="D297" s="16" t="str">
        <f>+IFERROR(VLOOKUP(C297,DATA!$G$4:$H$2000,2,FALSE),"")</f>
        <v/>
      </c>
    </row>
    <row r="298" spans="2:4" s="237" customFormat="1">
      <c r="B298" s="15" t="str">
        <f t="shared" si="42"/>
        <v/>
      </c>
      <c r="C298" s="16" t="str">
        <f>IFERROR(VLOOKUP(DATA!#REF!,DATA!#REF!,1,FALSE),"")</f>
        <v/>
      </c>
      <c r="D298" s="16" t="str">
        <f>+IFERROR(VLOOKUP(C298,DATA!$G$4:$H$2000,2,FALSE),"")</f>
        <v/>
      </c>
    </row>
    <row r="299" spans="2:4" s="237" customFormat="1">
      <c r="B299" s="15" t="str">
        <f t="shared" si="42"/>
        <v/>
      </c>
      <c r="C299" s="16" t="str">
        <f>IFERROR(VLOOKUP(DATA!#REF!,DATA!#REF!,1,FALSE),"")</f>
        <v/>
      </c>
      <c r="D299" s="16" t="str">
        <f>+IFERROR(VLOOKUP(C299,DATA!$G$4:$H$2000,2,FALSE),"")</f>
        <v/>
      </c>
    </row>
    <row r="300" spans="2:4" s="237" customFormat="1">
      <c r="B300" s="15" t="str">
        <f t="shared" si="42"/>
        <v/>
      </c>
      <c r="C300" s="16" t="str">
        <f>IFERROR(VLOOKUP(DATA!#REF!,DATA!#REF!,1,FALSE),"")</f>
        <v/>
      </c>
      <c r="D300" s="16" t="str">
        <f>+IFERROR(VLOOKUP(C300,DATA!$G$4:$H$2000,2,FALSE),"")</f>
        <v/>
      </c>
    </row>
    <row r="301" spans="2:4" s="237" customFormat="1">
      <c r="B301" s="15" t="str">
        <f t="shared" si="42"/>
        <v/>
      </c>
      <c r="C301" s="16" t="str">
        <f>IFERROR(VLOOKUP(DATA!#REF!,DATA!#REF!,1,FALSE),"")</f>
        <v/>
      </c>
      <c r="D301" s="16" t="str">
        <f>+IFERROR(VLOOKUP(C301,DATA!$G$4:$H$2000,2,FALSE),"")</f>
        <v/>
      </c>
    </row>
    <row r="302" spans="2:4" s="237" customFormat="1">
      <c r="B302" s="15" t="str">
        <f t="shared" si="42"/>
        <v/>
      </c>
      <c r="C302" s="16" t="str">
        <f>IFERROR(VLOOKUP(DATA!#REF!,DATA!#REF!,1,FALSE),"")</f>
        <v/>
      </c>
      <c r="D302" s="16" t="str">
        <f>+IFERROR(VLOOKUP(C302,DATA!$G$4:$H$2000,2,FALSE),"")</f>
        <v/>
      </c>
    </row>
    <row r="303" spans="2:4" s="237" customFormat="1">
      <c r="B303" s="15" t="str">
        <f t="shared" si="42"/>
        <v/>
      </c>
      <c r="C303" s="16" t="str">
        <f>IFERROR(VLOOKUP(DATA!#REF!,DATA!#REF!,1,FALSE),"")</f>
        <v/>
      </c>
      <c r="D303" s="16" t="str">
        <f>IFERROR(VLOOKUP(C303,DATA!#REF!,2,FALSE),"")</f>
        <v/>
      </c>
    </row>
    <row r="304" spans="2:4" s="237" customFormat="1">
      <c r="B304" s="15" t="str">
        <f t="shared" si="42"/>
        <v/>
      </c>
      <c r="C304" s="16" t="str">
        <f>IFERROR(VLOOKUP(DATA!#REF!,DATA!#REF!,1,FALSE),"")</f>
        <v/>
      </c>
      <c r="D304" s="16" t="str">
        <f>IFERROR(VLOOKUP(C304,DATA!#REF!,2,FALSE),"")</f>
        <v/>
      </c>
    </row>
    <row r="305" spans="2:4" s="237" customFormat="1">
      <c r="B305" s="15" t="str">
        <f t="shared" si="42"/>
        <v/>
      </c>
      <c r="C305" s="16" t="str">
        <f>IFERROR(VLOOKUP(DATA!#REF!,DATA!#REF!,1,FALSE),"")</f>
        <v/>
      </c>
      <c r="D305" s="16" t="str">
        <f>IFERROR(VLOOKUP(C305,DATA!#REF!,2,FALSE),"")</f>
        <v/>
      </c>
    </row>
    <row r="306" spans="2:4" s="237" customFormat="1">
      <c r="B306" s="15" t="str">
        <f t="shared" si="42"/>
        <v/>
      </c>
      <c r="C306" s="16" t="str">
        <f>IFERROR(VLOOKUP(DATA!#REF!,DATA!#REF!,1,FALSE),"")</f>
        <v/>
      </c>
      <c r="D306" s="16" t="str">
        <f>IFERROR(VLOOKUP(C306,DATA!#REF!,2,FALSE),"")</f>
        <v/>
      </c>
    </row>
    <row r="307" spans="2:4" s="237" customFormat="1">
      <c r="B307" s="15" t="str">
        <f t="shared" si="42"/>
        <v/>
      </c>
      <c r="C307" s="16" t="str">
        <f>IFERROR(VLOOKUP(DATA!#REF!,DATA!#REF!,1,FALSE),"")</f>
        <v/>
      </c>
      <c r="D307" s="16" t="str">
        <f>IFERROR(VLOOKUP(C307,DATA!#REF!,2,FALSE),"")</f>
        <v/>
      </c>
    </row>
    <row r="308" spans="2:4" s="237" customFormat="1">
      <c r="B308" s="15" t="str">
        <f t="shared" si="42"/>
        <v/>
      </c>
      <c r="C308" s="16" t="str">
        <f>IFERROR(VLOOKUP(DATA!#REF!,DATA!#REF!,1,FALSE),"")</f>
        <v/>
      </c>
      <c r="D308" s="16" t="str">
        <f>IFERROR(VLOOKUP(C308,DATA!#REF!,2,FALSE),"")</f>
        <v/>
      </c>
    </row>
    <row r="309" spans="2:4" s="237" customFormat="1">
      <c r="B309" s="15" t="str">
        <f t="shared" si="42"/>
        <v/>
      </c>
      <c r="C309" s="16" t="str">
        <f>IFERROR(VLOOKUP(DATA!#REF!,DATA!#REF!,1,FALSE),"")</f>
        <v/>
      </c>
      <c r="D309" s="16" t="str">
        <f>IFERROR(VLOOKUP(C309,DATA!#REF!,2,FALSE),"")</f>
        <v/>
      </c>
    </row>
    <row r="310" spans="2:4" s="237" customFormat="1">
      <c r="B310" s="15" t="str">
        <f t="shared" si="42"/>
        <v/>
      </c>
      <c r="C310" s="16" t="str">
        <f>IFERROR(VLOOKUP(DATA!#REF!,DATA!#REF!,1,FALSE),"")</f>
        <v/>
      </c>
      <c r="D310" s="16" t="str">
        <f>IFERROR(VLOOKUP(C310,DATA!#REF!,2,FALSE),"")</f>
        <v/>
      </c>
    </row>
    <row r="311" spans="2:4" s="237" customFormat="1">
      <c r="B311" s="15" t="str">
        <f t="shared" si="42"/>
        <v/>
      </c>
      <c r="C311" s="16" t="str">
        <f>IFERROR(VLOOKUP(DATA!#REF!,DATA!#REF!,1,FALSE),"")</f>
        <v/>
      </c>
      <c r="D311" s="16" t="str">
        <f>IFERROR(VLOOKUP(C311,DATA!#REF!,2,FALSE),"")</f>
        <v/>
      </c>
    </row>
    <row r="312" spans="2:4" s="237" customFormat="1">
      <c r="B312" s="15" t="str">
        <f t="shared" si="42"/>
        <v/>
      </c>
      <c r="C312" s="16" t="str">
        <f>IFERROR(VLOOKUP(DATA!#REF!,DATA!#REF!,1,FALSE),"")</f>
        <v/>
      </c>
      <c r="D312" s="16" t="str">
        <f>IFERROR(VLOOKUP(C312,DATA!#REF!,2,FALSE),"")</f>
        <v/>
      </c>
    </row>
    <row r="313" spans="2:4" s="237" customFormat="1">
      <c r="B313" s="15" t="str">
        <f t="shared" si="42"/>
        <v/>
      </c>
      <c r="C313" s="16" t="str">
        <f>IFERROR(VLOOKUP(DATA!#REF!,DATA!#REF!,1,FALSE),"")</f>
        <v/>
      </c>
      <c r="D313" s="16" t="str">
        <f>IFERROR(VLOOKUP(C313,DATA!#REF!,2,FALSE),"")</f>
        <v/>
      </c>
    </row>
    <row r="314" spans="2:4" s="237" customFormat="1">
      <c r="B314" s="15" t="str">
        <f t="shared" si="42"/>
        <v/>
      </c>
      <c r="C314" s="16" t="str">
        <f>IFERROR(VLOOKUP(DATA!#REF!,DATA!#REF!,1,FALSE),"")</f>
        <v/>
      </c>
      <c r="D314" s="16" t="str">
        <f>IFERROR(VLOOKUP(C314,DATA!#REF!,2,FALSE),"")</f>
        <v/>
      </c>
    </row>
    <row r="315" spans="2:4" s="237" customFormat="1">
      <c r="B315" s="15" t="str">
        <f t="shared" si="42"/>
        <v/>
      </c>
      <c r="C315" s="16" t="str">
        <f>IFERROR(VLOOKUP(DATA!#REF!,DATA!#REF!,1,FALSE),"")</f>
        <v/>
      </c>
      <c r="D315" s="16" t="str">
        <f>IFERROR(VLOOKUP(C315,DATA!#REF!,2,FALSE),"")</f>
        <v/>
      </c>
    </row>
    <row r="316" spans="2:4" s="237" customFormat="1">
      <c r="B316" s="15" t="str">
        <f t="shared" si="42"/>
        <v/>
      </c>
      <c r="C316" s="16" t="str">
        <f>IFERROR(VLOOKUP(DATA!#REF!,DATA!#REF!,1,FALSE),"")</f>
        <v/>
      </c>
      <c r="D316" s="16" t="str">
        <f>IFERROR(VLOOKUP(C316,DATA!#REF!,2,FALSE),"")</f>
        <v/>
      </c>
    </row>
    <row r="317" spans="2:4" s="237" customFormat="1">
      <c r="B317" s="15" t="str">
        <f t="shared" si="42"/>
        <v/>
      </c>
      <c r="C317" s="16" t="str">
        <f>IFERROR(VLOOKUP(DATA!#REF!,DATA!#REF!,1,FALSE),"")</f>
        <v/>
      </c>
      <c r="D317" s="16" t="str">
        <f>IFERROR(VLOOKUP(C317,DATA!#REF!,2,FALSE),"")</f>
        <v/>
      </c>
    </row>
    <row r="318" spans="2:4" s="237" customFormat="1">
      <c r="B318" s="15" t="str">
        <f t="shared" si="42"/>
        <v/>
      </c>
      <c r="C318" s="16" t="str">
        <f>IFERROR(VLOOKUP(DATA!#REF!,DATA!#REF!,1,FALSE),"")</f>
        <v/>
      </c>
      <c r="D318" s="16" t="str">
        <f>IFERROR(VLOOKUP(C318,DATA!#REF!,2,FALSE),"")</f>
        <v/>
      </c>
    </row>
    <row r="319" spans="2:4" s="237" customFormat="1">
      <c r="B319" s="15" t="str">
        <f t="shared" si="42"/>
        <v/>
      </c>
      <c r="C319" s="16" t="str">
        <f>IFERROR(VLOOKUP(DATA!#REF!,DATA!#REF!,1,FALSE),"")</f>
        <v/>
      </c>
      <c r="D319" s="16" t="str">
        <f>IFERROR(VLOOKUP(C319,DATA!#REF!,2,FALSE),"")</f>
        <v/>
      </c>
    </row>
    <row r="320" spans="2:4" s="237" customFormat="1">
      <c r="B320" s="15" t="str">
        <f t="shared" si="42"/>
        <v/>
      </c>
      <c r="C320" s="16" t="str">
        <f>IFERROR(VLOOKUP(DATA!#REF!,DATA!#REF!,1,FALSE),"")</f>
        <v/>
      </c>
      <c r="D320" s="16" t="str">
        <f>IFERROR(VLOOKUP(C320,DATA!#REF!,2,FALSE),"")</f>
        <v/>
      </c>
    </row>
    <row r="321" spans="2:4" s="237" customFormat="1">
      <c r="B321" s="15" t="str">
        <f t="shared" si="42"/>
        <v/>
      </c>
      <c r="C321" s="16" t="str">
        <f>IFERROR(VLOOKUP(DATA!#REF!,DATA!#REF!,1,FALSE),"")</f>
        <v/>
      </c>
      <c r="D321" s="16" t="str">
        <f>IFERROR(VLOOKUP(C321,DATA!#REF!,2,FALSE),"")</f>
        <v/>
      </c>
    </row>
    <row r="322" spans="2:4" s="237" customFormat="1">
      <c r="B322" s="15" t="str">
        <f t="shared" si="42"/>
        <v/>
      </c>
      <c r="C322" s="16" t="str">
        <f>IFERROR(VLOOKUP(DATA!#REF!,DATA!#REF!,1,FALSE),"")</f>
        <v/>
      </c>
      <c r="D322" s="16" t="str">
        <f>IFERROR(VLOOKUP(C322,DATA!#REF!,2,FALSE),"")</f>
        <v/>
      </c>
    </row>
    <row r="323" spans="2:4" s="237" customFormat="1">
      <c r="B323" s="15" t="str">
        <f t="shared" si="42"/>
        <v/>
      </c>
      <c r="C323" s="16" t="str">
        <f>IFERROR(VLOOKUP(DATA!#REF!,DATA!#REF!,1,FALSE),"")</f>
        <v/>
      </c>
      <c r="D323" s="16" t="str">
        <f>IFERROR(VLOOKUP(C323,DATA!#REF!,2,FALSE),"")</f>
        <v/>
      </c>
    </row>
    <row r="324" spans="2:4" s="237" customFormat="1">
      <c r="B324" s="15" t="str">
        <f t="shared" si="42"/>
        <v/>
      </c>
      <c r="C324" s="16" t="str">
        <f>IFERROR(VLOOKUP(DATA!#REF!,DATA!#REF!,1,FALSE),"")</f>
        <v/>
      </c>
      <c r="D324" s="16" t="str">
        <f>IFERROR(VLOOKUP(C324,DATA!#REF!,2,FALSE),"")</f>
        <v/>
      </c>
    </row>
    <row r="325" spans="2:4" s="237" customFormat="1">
      <c r="B325" s="15" t="str">
        <f t="shared" si="42"/>
        <v/>
      </c>
      <c r="C325" s="16" t="str">
        <f>IFERROR(VLOOKUP(DATA!#REF!,DATA!#REF!,1,FALSE),"")</f>
        <v/>
      </c>
      <c r="D325" s="16" t="str">
        <f>IFERROR(VLOOKUP(C325,DATA!#REF!,2,FALSE),"")</f>
        <v/>
      </c>
    </row>
    <row r="326" spans="2:4" s="237" customFormat="1">
      <c r="B326" s="15" t="str">
        <f t="shared" ref="B326:B389" si="43">+IF(C326="","",ROW()-5)</f>
        <v/>
      </c>
      <c r="C326" s="16" t="str">
        <f>IFERROR(VLOOKUP(DATA!#REF!,DATA!#REF!,1,FALSE),"")</f>
        <v/>
      </c>
      <c r="D326" s="16" t="str">
        <f>IFERROR(VLOOKUP(C326,DATA!#REF!,2,FALSE),"")</f>
        <v/>
      </c>
    </row>
    <row r="327" spans="2:4" s="237" customFormat="1">
      <c r="B327" s="15" t="str">
        <f t="shared" si="43"/>
        <v/>
      </c>
      <c r="C327" s="16" t="str">
        <f>IFERROR(VLOOKUP(DATA!#REF!,DATA!#REF!,1,FALSE),"")</f>
        <v/>
      </c>
      <c r="D327" s="16" t="str">
        <f>IFERROR(VLOOKUP(C327,DATA!#REF!,2,FALSE),"")</f>
        <v/>
      </c>
    </row>
    <row r="328" spans="2:4" s="237" customFormat="1">
      <c r="B328" s="15" t="str">
        <f t="shared" si="43"/>
        <v/>
      </c>
      <c r="C328" s="16" t="str">
        <f>IFERROR(VLOOKUP(DATA!#REF!,DATA!#REF!,1,FALSE),"")</f>
        <v/>
      </c>
      <c r="D328" s="16" t="str">
        <f>IFERROR(VLOOKUP(C328,DATA!#REF!,2,FALSE),"")</f>
        <v/>
      </c>
    </row>
    <row r="329" spans="2:4" s="237" customFormat="1">
      <c r="B329" s="15" t="str">
        <f t="shared" si="43"/>
        <v/>
      </c>
      <c r="C329" s="16" t="str">
        <f>IFERROR(VLOOKUP(DATA!#REF!,DATA!#REF!,1,FALSE),"")</f>
        <v/>
      </c>
      <c r="D329" s="16" t="str">
        <f>IFERROR(VLOOKUP(C329,DATA!#REF!,2,FALSE),"")</f>
        <v/>
      </c>
    </row>
    <row r="330" spans="2:4" s="237" customFormat="1">
      <c r="B330" s="15" t="str">
        <f t="shared" si="43"/>
        <v/>
      </c>
      <c r="C330" s="16" t="str">
        <f>IFERROR(VLOOKUP(DATA!#REF!,DATA!#REF!,1,FALSE),"")</f>
        <v/>
      </c>
      <c r="D330" s="16" t="str">
        <f>IFERROR(VLOOKUP(C330,DATA!#REF!,2,FALSE),"")</f>
        <v/>
      </c>
    </row>
    <row r="331" spans="2:4" s="237" customFormat="1">
      <c r="B331" s="15" t="str">
        <f t="shared" si="43"/>
        <v/>
      </c>
      <c r="C331" s="16" t="str">
        <f>IFERROR(VLOOKUP(DATA!#REF!,DATA!#REF!,1,FALSE),"")</f>
        <v/>
      </c>
      <c r="D331" s="16" t="str">
        <f>IFERROR(VLOOKUP(C331,DATA!#REF!,2,FALSE),"")</f>
        <v/>
      </c>
    </row>
    <row r="332" spans="2:4" s="237" customFormat="1">
      <c r="B332" s="15" t="str">
        <f t="shared" si="43"/>
        <v/>
      </c>
      <c r="C332" s="16" t="str">
        <f>IFERROR(VLOOKUP(DATA!#REF!,DATA!#REF!,1,FALSE),"")</f>
        <v/>
      </c>
      <c r="D332" s="16" t="str">
        <f>IFERROR(VLOOKUP(C332,DATA!#REF!,2,FALSE),"")</f>
        <v/>
      </c>
    </row>
    <row r="333" spans="2:4" s="237" customFormat="1">
      <c r="B333" s="15" t="str">
        <f t="shared" si="43"/>
        <v/>
      </c>
      <c r="C333" s="16" t="str">
        <f>IFERROR(VLOOKUP(DATA!#REF!,DATA!#REF!,1,FALSE),"")</f>
        <v/>
      </c>
      <c r="D333" s="16" t="str">
        <f>IFERROR(VLOOKUP(C333,DATA!#REF!,2,FALSE),"")</f>
        <v/>
      </c>
    </row>
    <row r="334" spans="2:4" s="237" customFormat="1">
      <c r="B334" s="15" t="str">
        <f t="shared" si="43"/>
        <v/>
      </c>
      <c r="C334" s="16" t="str">
        <f>IFERROR(VLOOKUP(DATA!#REF!,DATA!#REF!,1,FALSE),"")</f>
        <v/>
      </c>
      <c r="D334" s="16" t="str">
        <f>IFERROR(VLOOKUP(C334,DATA!#REF!,2,FALSE),"")</f>
        <v/>
      </c>
    </row>
    <row r="335" spans="2:4" s="237" customFormat="1">
      <c r="B335" s="15" t="str">
        <f t="shared" si="43"/>
        <v/>
      </c>
      <c r="C335" s="16" t="str">
        <f>IFERROR(VLOOKUP(DATA!#REF!,DATA!#REF!,1,FALSE),"")</f>
        <v/>
      </c>
      <c r="D335" s="16" t="str">
        <f>IFERROR(VLOOKUP(C335,DATA!#REF!,2,FALSE),"")</f>
        <v/>
      </c>
    </row>
    <row r="336" spans="2:4" s="237" customFormat="1">
      <c r="B336" s="15" t="str">
        <f t="shared" si="43"/>
        <v/>
      </c>
      <c r="C336" s="16" t="str">
        <f>IFERROR(VLOOKUP(DATA!#REF!,DATA!#REF!,1,FALSE),"")</f>
        <v/>
      </c>
      <c r="D336" s="16" t="str">
        <f>IFERROR(VLOOKUP(C336,DATA!#REF!,2,FALSE),"")</f>
        <v/>
      </c>
    </row>
    <row r="337" spans="2:4" s="237" customFormat="1">
      <c r="B337" s="15" t="str">
        <f t="shared" si="43"/>
        <v/>
      </c>
      <c r="C337" s="16" t="str">
        <f>IFERROR(VLOOKUP(DATA!#REF!,DATA!#REF!,1,FALSE),"")</f>
        <v/>
      </c>
      <c r="D337" s="16" t="str">
        <f>IFERROR(VLOOKUP(C337,DATA!#REF!,2,FALSE),"")</f>
        <v/>
      </c>
    </row>
    <row r="338" spans="2:4" s="237" customFormat="1">
      <c r="B338" s="15" t="str">
        <f t="shared" si="43"/>
        <v/>
      </c>
      <c r="C338" s="16" t="str">
        <f>IFERROR(VLOOKUP(DATA!#REF!,DATA!#REF!,1,FALSE),"")</f>
        <v/>
      </c>
      <c r="D338" s="16" t="str">
        <f>IFERROR(VLOOKUP(C338,DATA!#REF!,2,FALSE),"")</f>
        <v/>
      </c>
    </row>
    <row r="339" spans="2:4" s="237" customFormat="1">
      <c r="B339" s="15" t="str">
        <f t="shared" si="43"/>
        <v/>
      </c>
      <c r="C339" s="16" t="str">
        <f>IFERROR(VLOOKUP(DATA!#REF!,DATA!#REF!,1,FALSE),"")</f>
        <v/>
      </c>
      <c r="D339" s="16" t="str">
        <f>IFERROR(VLOOKUP(C339,DATA!#REF!,2,FALSE),"")</f>
        <v/>
      </c>
    </row>
    <row r="340" spans="2:4" s="237" customFormat="1">
      <c r="B340" s="15" t="str">
        <f t="shared" si="43"/>
        <v/>
      </c>
      <c r="C340" s="16" t="str">
        <f>IFERROR(VLOOKUP(DATA!#REF!,DATA!#REF!,1,FALSE),"")</f>
        <v/>
      </c>
      <c r="D340" s="16" t="str">
        <f>IFERROR(VLOOKUP(C340,DATA!#REF!,2,FALSE),"")</f>
        <v/>
      </c>
    </row>
    <row r="341" spans="2:4" s="237" customFormat="1">
      <c r="B341" s="15" t="str">
        <f t="shared" si="43"/>
        <v/>
      </c>
      <c r="C341" s="16" t="str">
        <f>IFERROR(VLOOKUP(DATA!#REF!,DATA!#REF!,1,FALSE),"")</f>
        <v/>
      </c>
      <c r="D341" s="16" t="str">
        <f>IFERROR(VLOOKUP(C341,DATA!#REF!,2,FALSE),"")</f>
        <v/>
      </c>
    </row>
    <row r="342" spans="2:4" s="237" customFormat="1">
      <c r="B342" s="15" t="str">
        <f t="shared" si="43"/>
        <v/>
      </c>
      <c r="C342" s="16" t="str">
        <f>IFERROR(VLOOKUP(DATA!#REF!,DATA!#REF!,1,FALSE),"")</f>
        <v/>
      </c>
      <c r="D342" s="16" t="str">
        <f>IFERROR(VLOOKUP(C342,DATA!#REF!,2,FALSE),"")</f>
        <v/>
      </c>
    </row>
    <row r="343" spans="2:4" s="237" customFormat="1">
      <c r="B343" s="15" t="str">
        <f t="shared" si="43"/>
        <v/>
      </c>
      <c r="C343" s="16" t="str">
        <f>IFERROR(VLOOKUP(DATA!#REF!,DATA!#REF!,1,FALSE),"")</f>
        <v/>
      </c>
      <c r="D343" s="16" t="str">
        <f>IFERROR(VLOOKUP(C343,DATA!#REF!,2,FALSE),"")</f>
        <v/>
      </c>
    </row>
    <row r="344" spans="2:4" s="237" customFormat="1">
      <c r="B344" s="15" t="str">
        <f t="shared" si="43"/>
        <v/>
      </c>
      <c r="C344" s="16" t="str">
        <f>IFERROR(VLOOKUP(DATA!#REF!,DATA!#REF!,1,FALSE),"")</f>
        <v/>
      </c>
      <c r="D344" s="16" t="str">
        <f>IFERROR(VLOOKUP(C344,DATA!#REF!,2,FALSE),"")</f>
        <v/>
      </c>
    </row>
    <row r="345" spans="2:4" s="237" customFormat="1">
      <c r="B345" s="15" t="str">
        <f t="shared" si="43"/>
        <v/>
      </c>
      <c r="C345" s="16" t="str">
        <f>IFERROR(VLOOKUP(DATA!#REF!,DATA!#REF!,1,FALSE),"")</f>
        <v/>
      </c>
      <c r="D345" s="16" t="str">
        <f>IFERROR(VLOOKUP(C345,DATA!#REF!,2,FALSE),"")</f>
        <v/>
      </c>
    </row>
    <row r="346" spans="2:4" s="237" customFormat="1">
      <c r="B346" s="15" t="str">
        <f t="shared" si="43"/>
        <v/>
      </c>
      <c r="C346" s="16" t="str">
        <f>IFERROR(VLOOKUP(DATA!#REF!,DATA!#REF!,1,FALSE),"")</f>
        <v/>
      </c>
      <c r="D346" s="16" t="str">
        <f>IFERROR(VLOOKUP(C346,DATA!#REF!,2,FALSE),"")</f>
        <v/>
      </c>
    </row>
    <row r="347" spans="2:4" s="237" customFormat="1">
      <c r="B347" s="15" t="str">
        <f t="shared" si="43"/>
        <v/>
      </c>
      <c r="C347" s="16" t="str">
        <f>IFERROR(VLOOKUP(DATA!#REF!,DATA!#REF!,1,FALSE),"")</f>
        <v/>
      </c>
      <c r="D347" s="16" t="str">
        <f>IFERROR(VLOOKUP(C347,DATA!#REF!,2,FALSE),"")</f>
        <v/>
      </c>
    </row>
    <row r="348" spans="2:4" s="237" customFormat="1">
      <c r="B348" s="15" t="str">
        <f t="shared" si="43"/>
        <v/>
      </c>
      <c r="C348" s="16" t="str">
        <f>IFERROR(VLOOKUP(DATA!#REF!,DATA!#REF!,1,FALSE),"")</f>
        <v/>
      </c>
      <c r="D348" s="16" t="str">
        <f>IFERROR(VLOOKUP(C348,DATA!#REF!,2,FALSE),"")</f>
        <v/>
      </c>
    </row>
    <row r="349" spans="2:4" s="237" customFormat="1">
      <c r="B349" s="15" t="str">
        <f t="shared" si="43"/>
        <v/>
      </c>
      <c r="C349" s="16" t="str">
        <f>IFERROR(VLOOKUP(DATA!#REF!,DATA!#REF!,1,FALSE),"")</f>
        <v/>
      </c>
      <c r="D349" s="16" t="str">
        <f>IFERROR(VLOOKUP(C349,DATA!#REF!,2,FALSE),"")</f>
        <v/>
      </c>
    </row>
    <row r="350" spans="2:4" s="237" customFormat="1">
      <c r="B350" s="15" t="str">
        <f t="shared" si="43"/>
        <v/>
      </c>
      <c r="C350" s="16" t="str">
        <f>IFERROR(VLOOKUP(DATA!#REF!,DATA!#REF!,1,FALSE),"")</f>
        <v/>
      </c>
      <c r="D350" s="16" t="str">
        <f>IFERROR(VLOOKUP(C350,DATA!#REF!,2,FALSE),"")</f>
        <v/>
      </c>
    </row>
    <row r="351" spans="2:4" s="237" customFormat="1">
      <c r="B351" s="15" t="str">
        <f t="shared" si="43"/>
        <v/>
      </c>
      <c r="C351" s="16" t="str">
        <f>IFERROR(VLOOKUP(DATA!#REF!,DATA!#REF!,1,FALSE),"")</f>
        <v/>
      </c>
      <c r="D351" s="16" t="str">
        <f>IFERROR(VLOOKUP(C351,DATA!#REF!,2,FALSE),"")</f>
        <v/>
      </c>
    </row>
    <row r="352" spans="2:4" s="237" customFormat="1">
      <c r="B352" s="15" t="str">
        <f t="shared" si="43"/>
        <v/>
      </c>
      <c r="C352" s="16" t="str">
        <f>IFERROR(VLOOKUP(DATA!#REF!,DATA!#REF!,1,FALSE),"")</f>
        <v/>
      </c>
      <c r="D352" s="16" t="str">
        <f>IFERROR(VLOOKUP(C352,DATA!#REF!,2,FALSE),"")</f>
        <v/>
      </c>
    </row>
    <row r="353" spans="2:4" s="237" customFormat="1">
      <c r="B353" s="15" t="str">
        <f t="shared" si="43"/>
        <v/>
      </c>
      <c r="C353" s="16" t="str">
        <f>IFERROR(VLOOKUP(DATA!#REF!,DATA!#REF!,1,FALSE),"")</f>
        <v/>
      </c>
      <c r="D353" s="16" t="str">
        <f>IFERROR(VLOOKUP(C353,DATA!#REF!,2,FALSE),"")</f>
        <v/>
      </c>
    </row>
    <row r="354" spans="2:4" s="237" customFormat="1">
      <c r="B354" s="15" t="str">
        <f t="shared" si="43"/>
        <v/>
      </c>
      <c r="C354" s="16" t="str">
        <f>IFERROR(VLOOKUP(DATA!#REF!,DATA!#REF!,1,FALSE),"")</f>
        <v/>
      </c>
      <c r="D354" s="16" t="str">
        <f>IFERROR(VLOOKUP(C354,DATA!#REF!,2,FALSE),"")</f>
        <v/>
      </c>
    </row>
    <row r="355" spans="2:4" s="237" customFormat="1">
      <c r="B355" s="15" t="str">
        <f t="shared" si="43"/>
        <v/>
      </c>
      <c r="C355" s="16" t="str">
        <f>IFERROR(VLOOKUP(DATA!#REF!,DATA!#REF!,1,FALSE),"")</f>
        <v/>
      </c>
      <c r="D355" s="16" t="str">
        <f>IFERROR(VLOOKUP(C355,DATA!#REF!,2,FALSE),"")</f>
        <v/>
      </c>
    </row>
    <row r="356" spans="2:4" s="237" customFormat="1">
      <c r="B356" s="15" t="str">
        <f t="shared" si="43"/>
        <v/>
      </c>
      <c r="C356" s="16" t="str">
        <f>IFERROR(VLOOKUP(DATA!#REF!,DATA!#REF!,1,FALSE),"")</f>
        <v/>
      </c>
      <c r="D356" s="16" t="str">
        <f>IFERROR(VLOOKUP(C356,DATA!#REF!,2,FALSE),"")</f>
        <v/>
      </c>
    </row>
    <row r="357" spans="2:4" s="237" customFormat="1">
      <c r="B357" s="15" t="str">
        <f t="shared" si="43"/>
        <v/>
      </c>
      <c r="C357" s="16" t="str">
        <f>IFERROR(VLOOKUP(DATA!#REF!,DATA!#REF!,1,FALSE),"")</f>
        <v/>
      </c>
      <c r="D357" s="16" t="str">
        <f>IFERROR(VLOOKUP(C357,DATA!#REF!,2,FALSE),"")</f>
        <v/>
      </c>
    </row>
    <row r="358" spans="2:4" s="237" customFormat="1">
      <c r="B358" s="15" t="str">
        <f t="shared" si="43"/>
        <v/>
      </c>
      <c r="C358" s="16" t="str">
        <f>IFERROR(VLOOKUP(DATA!#REF!,DATA!#REF!,1,FALSE),"")</f>
        <v/>
      </c>
      <c r="D358" s="16" t="str">
        <f>IFERROR(VLOOKUP(C358,DATA!#REF!,2,FALSE),"")</f>
        <v/>
      </c>
    </row>
    <row r="359" spans="2:4" s="237" customFormat="1">
      <c r="B359" s="15" t="str">
        <f t="shared" si="43"/>
        <v/>
      </c>
      <c r="C359" s="16" t="str">
        <f>IFERROR(VLOOKUP(DATA!#REF!,DATA!#REF!,1,FALSE),"")</f>
        <v/>
      </c>
      <c r="D359" s="16" t="str">
        <f>IFERROR(VLOOKUP(C359,DATA!#REF!,2,FALSE),"")</f>
        <v/>
      </c>
    </row>
    <row r="360" spans="2:4" s="237" customFormat="1">
      <c r="B360" s="15" t="str">
        <f t="shared" si="43"/>
        <v/>
      </c>
      <c r="C360" s="16" t="str">
        <f>IFERROR(VLOOKUP(DATA!#REF!,DATA!#REF!,1,FALSE),"")</f>
        <v/>
      </c>
      <c r="D360" s="16" t="str">
        <f>IFERROR(VLOOKUP(C360,DATA!#REF!,2,FALSE),"")</f>
        <v/>
      </c>
    </row>
    <row r="361" spans="2:4" s="237" customFormat="1">
      <c r="B361" s="15" t="str">
        <f t="shared" si="43"/>
        <v/>
      </c>
      <c r="C361" s="16" t="str">
        <f>IFERROR(VLOOKUP(DATA!#REF!,DATA!#REF!,1,FALSE),"")</f>
        <v/>
      </c>
      <c r="D361" s="16" t="str">
        <f>IFERROR(VLOOKUP(C361,DATA!#REF!,2,FALSE),"")</f>
        <v/>
      </c>
    </row>
    <row r="362" spans="2:4" s="237" customFormat="1">
      <c r="B362" s="15" t="str">
        <f t="shared" si="43"/>
        <v/>
      </c>
      <c r="C362" s="16" t="str">
        <f>IFERROR(VLOOKUP(DATA!#REF!,DATA!#REF!,1,FALSE),"")</f>
        <v/>
      </c>
      <c r="D362" s="16" t="str">
        <f>IFERROR(VLOOKUP(C362,DATA!#REF!,2,FALSE),"")</f>
        <v/>
      </c>
    </row>
    <row r="363" spans="2:4" s="237" customFormat="1">
      <c r="B363" s="15" t="str">
        <f t="shared" si="43"/>
        <v/>
      </c>
      <c r="C363" s="16" t="str">
        <f>IFERROR(VLOOKUP(DATA!#REF!,DATA!#REF!,1,FALSE),"")</f>
        <v/>
      </c>
      <c r="D363" s="16" t="str">
        <f>IFERROR(VLOOKUP(C363,DATA!#REF!,2,FALSE),"")</f>
        <v/>
      </c>
    </row>
    <row r="364" spans="2:4" s="237" customFormat="1">
      <c r="B364" s="15" t="str">
        <f t="shared" si="43"/>
        <v/>
      </c>
      <c r="C364" s="16" t="str">
        <f>IFERROR(VLOOKUP(DATA!#REF!,DATA!#REF!,1,FALSE),"")</f>
        <v/>
      </c>
      <c r="D364" s="16" t="str">
        <f>IFERROR(VLOOKUP(C364,DATA!#REF!,2,FALSE),"")</f>
        <v/>
      </c>
    </row>
    <row r="365" spans="2:4" s="237" customFormat="1">
      <c r="B365" s="15" t="str">
        <f t="shared" si="43"/>
        <v/>
      </c>
      <c r="C365" s="16" t="str">
        <f>IFERROR(VLOOKUP(DATA!#REF!,DATA!#REF!,1,FALSE),"")</f>
        <v/>
      </c>
      <c r="D365" s="16" t="str">
        <f>IFERROR(VLOOKUP(C365,DATA!#REF!,2,FALSE),"")</f>
        <v/>
      </c>
    </row>
    <row r="366" spans="2:4" s="237" customFormat="1">
      <c r="B366" s="15" t="str">
        <f t="shared" si="43"/>
        <v/>
      </c>
      <c r="C366" s="16" t="str">
        <f>IFERROR(VLOOKUP(DATA!#REF!,DATA!#REF!,1,FALSE),"")</f>
        <v/>
      </c>
      <c r="D366" s="16" t="str">
        <f>IFERROR(VLOOKUP(C366,DATA!#REF!,2,FALSE),"")</f>
        <v/>
      </c>
    </row>
    <row r="367" spans="2:4" s="237" customFormat="1">
      <c r="B367" s="15" t="str">
        <f t="shared" si="43"/>
        <v/>
      </c>
      <c r="C367" s="16" t="str">
        <f>IFERROR(VLOOKUP(DATA!#REF!,DATA!#REF!,1,FALSE),"")</f>
        <v/>
      </c>
      <c r="D367" s="16" t="str">
        <f>IFERROR(VLOOKUP(C367,DATA!#REF!,2,FALSE),"")</f>
        <v/>
      </c>
    </row>
    <row r="368" spans="2:4" s="237" customFormat="1">
      <c r="B368" s="15" t="str">
        <f t="shared" si="43"/>
        <v/>
      </c>
      <c r="C368" s="16" t="str">
        <f>IFERROR(VLOOKUP(DATA!#REF!,DATA!#REF!,1,FALSE),"")</f>
        <v/>
      </c>
      <c r="D368" s="16" t="str">
        <f>IFERROR(VLOOKUP(C368,DATA!#REF!,2,FALSE),"")</f>
        <v/>
      </c>
    </row>
    <row r="369" spans="2:4" s="237" customFormat="1">
      <c r="B369" s="15" t="str">
        <f t="shared" si="43"/>
        <v/>
      </c>
      <c r="C369" s="16" t="str">
        <f>IFERROR(VLOOKUP(DATA!#REF!,DATA!#REF!,1,FALSE),"")</f>
        <v/>
      </c>
      <c r="D369" s="16" t="str">
        <f>IFERROR(VLOOKUP(C369,DATA!#REF!,2,FALSE),"")</f>
        <v/>
      </c>
    </row>
    <row r="370" spans="2:4" s="237" customFormat="1">
      <c r="B370" s="15" t="str">
        <f t="shared" si="43"/>
        <v/>
      </c>
      <c r="C370" s="16" t="str">
        <f>IFERROR(VLOOKUP(DATA!#REF!,DATA!#REF!,1,FALSE),"")</f>
        <v/>
      </c>
      <c r="D370" s="16" t="str">
        <f>IFERROR(VLOOKUP(C370,DATA!#REF!,2,FALSE),"")</f>
        <v/>
      </c>
    </row>
    <row r="371" spans="2:4" s="237" customFormat="1">
      <c r="B371" s="15" t="str">
        <f t="shared" si="43"/>
        <v/>
      </c>
      <c r="C371" s="16" t="str">
        <f>IFERROR(VLOOKUP(DATA!#REF!,DATA!#REF!,1,FALSE),"")</f>
        <v/>
      </c>
      <c r="D371" s="16" t="str">
        <f>IFERROR(VLOOKUP(C371,DATA!#REF!,2,FALSE),"")</f>
        <v/>
      </c>
    </row>
    <row r="372" spans="2:4" s="237" customFormat="1">
      <c r="B372" s="15" t="str">
        <f t="shared" si="43"/>
        <v/>
      </c>
      <c r="C372" s="16" t="str">
        <f>IFERROR(VLOOKUP(DATA!#REF!,DATA!#REF!,1,FALSE),"")</f>
        <v/>
      </c>
      <c r="D372" s="16" t="str">
        <f>IFERROR(VLOOKUP(C372,DATA!#REF!,2,FALSE),"")</f>
        <v/>
      </c>
    </row>
    <row r="373" spans="2:4" s="237" customFormat="1">
      <c r="B373" s="15" t="str">
        <f t="shared" si="43"/>
        <v/>
      </c>
      <c r="C373" s="16" t="str">
        <f>IFERROR(VLOOKUP(DATA!#REF!,DATA!#REF!,1,FALSE),"")</f>
        <v/>
      </c>
      <c r="D373" s="16" t="str">
        <f>IFERROR(VLOOKUP(C373,DATA!#REF!,2,FALSE),"")</f>
        <v/>
      </c>
    </row>
    <row r="374" spans="2:4" s="237" customFormat="1">
      <c r="B374" s="15" t="str">
        <f t="shared" si="43"/>
        <v/>
      </c>
      <c r="C374" s="16" t="str">
        <f>IFERROR(VLOOKUP(DATA!#REF!,DATA!#REF!,1,FALSE),"")</f>
        <v/>
      </c>
      <c r="D374" s="16" t="str">
        <f>IFERROR(VLOOKUP(C374,DATA!#REF!,2,FALSE),"")</f>
        <v/>
      </c>
    </row>
    <row r="375" spans="2:4" s="237" customFormat="1">
      <c r="B375" s="15" t="str">
        <f t="shared" si="43"/>
        <v/>
      </c>
      <c r="C375" s="16" t="str">
        <f>IFERROR(VLOOKUP(DATA!#REF!,DATA!#REF!,1,FALSE),"")</f>
        <v/>
      </c>
      <c r="D375" s="16" t="str">
        <f>IFERROR(VLOOKUP(C375,DATA!#REF!,2,FALSE),"")</f>
        <v/>
      </c>
    </row>
    <row r="376" spans="2:4" s="237" customFormat="1">
      <c r="B376" s="15" t="str">
        <f t="shared" si="43"/>
        <v/>
      </c>
      <c r="C376" s="16" t="str">
        <f>IFERROR(VLOOKUP(DATA!#REF!,DATA!#REF!,1,FALSE),"")</f>
        <v/>
      </c>
      <c r="D376" s="16" t="str">
        <f>IFERROR(VLOOKUP(C376,DATA!#REF!,2,FALSE),"")</f>
        <v/>
      </c>
    </row>
    <row r="377" spans="2:4" s="237" customFormat="1">
      <c r="B377" s="15" t="str">
        <f t="shared" si="43"/>
        <v/>
      </c>
      <c r="C377" s="16" t="str">
        <f>IFERROR(VLOOKUP(DATA!#REF!,DATA!#REF!,1,FALSE),"")</f>
        <v/>
      </c>
      <c r="D377" s="16" t="str">
        <f>IFERROR(VLOOKUP(C377,DATA!#REF!,2,FALSE),"")</f>
        <v/>
      </c>
    </row>
    <row r="378" spans="2:4" s="237" customFormat="1">
      <c r="B378" s="15" t="str">
        <f t="shared" si="43"/>
        <v/>
      </c>
      <c r="C378" s="16" t="str">
        <f>IFERROR(VLOOKUP(DATA!#REF!,DATA!#REF!,1,FALSE),"")</f>
        <v/>
      </c>
      <c r="D378" s="16" t="str">
        <f>IFERROR(VLOOKUP(C378,DATA!#REF!,2,FALSE),"")</f>
        <v/>
      </c>
    </row>
    <row r="379" spans="2:4" s="237" customFormat="1">
      <c r="B379" s="15" t="str">
        <f t="shared" si="43"/>
        <v/>
      </c>
      <c r="C379" s="16" t="str">
        <f>IFERROR(VLOOKUP(DATA!#REF!,DATA!#REF!,1,FALSE),"")</f>
        <v/>
      </c>
      <c r="D379" s="16" t="str">
        <f>IFERROR(VLOOKUP(C379,DATA!#REF!,2,FALSE),"")</f>
        <v/>
      </c>
    </row>
    <row r="380" spans="2:4" s="237" customFormat="1">
      <c r="B380" s="15" t="str">
        <f t="shared" si="43"/>
        <v/>
      </c>
      <c r="C380" s="16" t="str">
        <f>IFERROR(VLOOKUP(DATA!#REF!,DATA!#REF!,1,FALSE),"")</f>
        <v/>
      </c>
      <c r="D380" s="16" t="str">
        <f>IFERROR(VLOOKUP(C380,DATA!#REF!,2,FALSE),"")</f>
        <v/>
      </c>
    </row>
    <row r="381" spans="2:4" s="237" customFormat="1">
      <c r="B381" s="15" t="str">
        <f t="shared" si="43"/>
        <v/>
      </c>
      <c r="C381" s="16" t="str">
        <f>IFERROR(VLOOKUP(DATA!#REF!,DATA!#REF!,1,FALSE),"")</f>
        <v/>
      </c>
      <c r="D381" s="16" t="str">
        <f>IFERROR(VLOOKUP(C381,DATA!#REF!,2,FALSE),"")</f>
        <v/>
      </c>
    </row>
    <row r="382" spans="2:4" s="237" customFormat="1">
      <c r="B382" s="15" t="str">
        <f t="shared" si="43"/>
        <v/>
      </c>
      <c r="C382" s="16" t="str">
        <f>IFERROR(VLOOKUP(DATA!#REF!,DATA!#REF!,1,FALSE),"")</f>
        <v/>
      </c>
      <c r="D382" s="16" t="str">
        <f>IFERROR(VLOOKUP(C382,DATA!#REF!,2,FALSE),"")</f>
        <v/>
      </c>
    </row>
    <row r="383" spans="2:4" s="237" customFormat="1">
      <c r="B383" s="15" t="str">
        <f t="shared" si="43"/>
        <v/>
      </c>
      <c r="C383" s="16" t="str">
        <f>IFERROR(VLOOKUP(DATA!#REF!,DATA!#REF!,1,FALSE),"")</f>
        <v/>
      </c>
      <c r="D383" s="16" t="str">
        <f>IFERROR(VLOOKUP(C383,DATA!#REF!,2,FALSE),"")</f>
        <v/>
      </c>
    </row>
    <row r="384" spans="2:4" s="237" customFormat="1">
      <c r="B384" s="15" t="str">
        <f t="shared" si="43"/>
        <v/>
      </c>
      <c r="C384" s="16" t="str">
        <f>IFERROR(VLOOKUP(DATA!#REF!,DATA!#REF!,1,FALSE),"")</f>
        <v/>
      </c>
      <c r="D384" s="16" t="str">
        <f>IFERROR(VLOOKUP(C384,DATA!#REF!,2,FALSE),"")</f>
        <v/>
      </c>
    </row>
    <row r="385" spans="2:4" s="237" customFormat="1">
      <c r="B385" s="15" t="str">
        <f t="shared" si="43"/>
        <v/>
      </c>
      <c r="C385" s="16" t="str">
        <f>IFERROR(VLOOKUP(DATA!#REF!,DATA!#REF!,1,FALSE),"")</f>
        <v/>
      </c>
      <c r="D385" s="16" t="str">
        <f>IFERROR(VLOOKUP(C385,DATA!#REF!,2,FALSE),"")</f>
        <v/>
      </c>
    </row>
    <row r="386" spans="2:4" s="237" customFormat="1">
      <c r="B386" s="15" t="str">
        <f t="shared" si="43"/>
        <v/>
      </c>
      <c r="C386" s="16" t="str">
        <f>IFERROR(VLOOKUP(DATA!#REF!,DATA!#REF!,1,FALSE),"")</f>
        <v/>
      </c>
      <c r="D386" s="16" t="str">
        <f>IFERROR(VLOOKUP(C386,DATA!#REF!,2,FALSE),"")</f>
        <v/>
      </c>
    </row>
    <row r="387" spans="2:4" s="237" customFormat="1">
      <c r="B387" s="15" t="str">
        <f t="shared" si="43"/>
        <v/>
      </c>
      <c r="C387" s="16" t="str">
        <f>IFERROR(VLOOKUP(DATA!#REF!,DATA!#REF!,1,FALSE),"")</f>
        <v/>
      </c>
      <c r="D387" s="16" t="str">
        <f>IFERROR(VLOOKUP(C387,DATA!#REF!,2,FALSE),"")</f>
        <v/>
      </c>
    </row>
    <row r="388" spans="2:4" s="237" customFormat="1">
      <c r="B388" s="15" t="str">
        <f t="shared" si="43"/>
        <v/>
      </c>
      <c r="C388" s="16" t="str">
        <f>IFERROR(VLOOKUP(DATA!#REF!,DATA!#REF!,1,FALSE),"")</f>
        <v/>
      </c>
      <c r="D388" s="16" t="str">
        <f>IFERROR(VLOOKUP(C388,DATA!#REF!,2,FALSE),"")</f>
        <v/>
      </c>
    </row>
    <row r="389" spans="2:4" s="237" customFormat="1">
      <c r="B389" s="15" t="str">
        <f t="shared" si="43"/>
        <v/>
      </c>
      <c r="C389" s="16" t="str">
        <f>IFERROR(VLOOKUP(DATA!#REF!,DATA!#REF!,1,FALSE),"")</f>
        <v/>
      </c>
      <c r="D389" s="16" t="str">
        <f>IFERROR(VLOOKUP(C389,DATA!#REF!,2,FALSE),"")</f>
        <v/>
      </c>
    </row>
    <row r="390" spans="2:4" s="237" customFormat="1">
      <c r="B390" s="15" t="str">
        <f t="shared" ref="B390:B453" si="44">+IF(C390="","",ROW()-5)</f>
        <v/>
      </c>
      <c r="C390" s="16" t="str">
        <f>IFERROR(VLOOKUP(DATA!#REF!,DATA!#REF!,1,FALSE),"")</f>
        <v/>
      </c>
      <c r="D390" s="16" t="str">
        <f>IFERROR(VLOOKUP(C390,DATA!#REF!,2,FALSE),"")</f>
        <v/>
      </c>
    </row>
    <row r="391" spans="2:4" s="237" customFormat="1">
      <c r="B391" s="15" t="str">
        <f t="shared" si="44"/>
        <v/>
      </c>
      <c r="C391" s="16" t="str">
        <f>IFERROR(VLOOKUP(DATA!#REF!,DATA!#REF!,1,FALSE),"")</f>
        <v/>
      </c>
      <c r="D391" s="16" t="str">
        <f>IFERROR(VLOOKUP(C391,DATA!#REF!,2,FALSE),"")</f>
        <v/>
      </c>
    </row>
    <row r="392" spans="2:4" s="237" customFormat="1">
      <c r="B392" s="15" t="str">
        <f t="shared" si="44"/>
        <v/>
      </c>
      <c r="C392" s="16" t="str">
        <f>IFERROR(VLOOKUP(DATA!#REF!,DATA!#REF!,1,FALSE),"")</f>
        <v/>
      </c>
      <c r="D392" s="16" t="str">
        <f>IFERROR(VLOOKUP(C392,DATA!#REF!,2,FALSE),"")</f>
        <v/>
      </c>
    </row>
    <row r="393" spans="2:4" s="237" customFormat="1">
      <c r="B393" s="15" t="str">
        <f t="shared" si="44"/>
        <v/>
      </c>
      <c r="C393" s="16" t="str">
        <f>IFERROR(VLOOKUP(DATA!#REF!,DATA!#REF!,1,FALSE),"")</f>
        <v/>
      </c>
      <c r="D393" s="16" t="str">
        <f>IFERROR(VLOOKUP(C393,DATA!#REF!,2,FALSE),"")</f>
        <v/>
      </c>
    </row>
    <row r="394" spans="2:4" s="237" customFormat="1">
      <c r="B394" s="15" t="str">
        <f t="shared" si="44"/>
        <v/>
      </c>
      <c r="C394" s="16" t="str">
        <f>IFERROR(VLOOKUP(DATA!#REF!,DATA!#REF!,1,FALSE),"")</f>
        <v/>
      </c>
      <c r="D394" s="16" t="str">
        <f>IFERROR(VLOOKUP(C394,DATA!#REF!,2,FALSE),"")</f>
        <v/>
      </c>
    </row>
    <row r="395" spans="2:4" s="237" customFormat="1">
      <c r="B395" s="15" t="str">
        <f t="shared" si="44"/>
        <v/>
      </c>
      <c r="C395" s="16" t="str">
        <f>IFERROR(VLOOKUP(DATA!#REF!,DATA!#REF!,1,FALSE),"")</f>
        <v/>
      </c>
      <c r="D395" s="16" t="str">
        <f>IFERROR(VLOOKUP(C395,DATA!#REF!,2,FALSE),"")</f>
        <v/>
      </c>
    </row>
    <row r="396" spans="2:4" s="237" customFormat="1">
      <c r="B396" s="15" t="str">
        <f t="shared" si="44"/>
        <v/>
      </c>
      <c r="C396" s="16" t="str">
        <f>IFERROR(VLOOKUP(DATA!#REF!,DATA!#REF!,1,FALSE),"")</f>
        <v/>
      </c>
      <c r="D396" s="16" t="str">
        <f>IFERROR(VLOOKUP(C396,DATA!#REF!,2,FALSE),"")</f>
        <v/>
      </c>
    </row>
    <row r="397" spans="2:4" s="237" customFormat="1">
      <c r="B397" s="15" t="str">
        <f t="shared" si="44"/>
        <v/>
      </c>
      <c r="C397" s="16" t="str">
        <f>IFERROR(VLOOKUP(DATA!#REF!,DATA!#REF!,1,FALSE),"")</f>
        <v/>
      </c>
      <c r="D397" s="16" t="str">
        <f>IFERROR(VLOOKUP(C397,DATA!#REF!,2,FALSE),"")</f>
        <v/>
      </c>
    </row>
    <row r="398" spans="2:4" s="237" customFormat="1">
      <c r="B398" s="15" t="str">
        <f t="shared" si="44"/>
        <v/>
      </c>
      <c r="C398" s="16" t="str">
        <f>IFERROR(VLOOKUP(DATA!#REF!,DATA!#REF!,1,FALSE),"")</f>
        <v/>
      </c>
      <c r="D398" s="16" t="str">
        <f>IFERROR(VLOOKUP(C398,DATA!#REF!,2,FALSE),"")</f>
        <v/>
      </c>
    </row>
    <row r="399" spans="2:4" s="237" customFormat="1">
      <c r="B399" s="15" t="str">
        <f t="shared" si="44"/>
        <v/>
      </c>
      <c r="C399" s="16" t="str">
        <f>IFERROR(VLOOKUP(DATA!#REF!,DATA!#REF!,1,FALSE),"")</f>
        <v/>
      </c>
      <c r="D399" s="16" t="str">
        <f>IFERROR(VLOOKUP(C399,DATA!#REF!,2,FALSE),"")</f>
        <v/>
      </c>
    </row>
    <row r="400" spans="2:4" s="237" customFormat="1">
      <c r="B400" s="15" t="str">
        <f t="shared" si="44"/>
        <v/>
      </c>
      <c r="C400" s="16" t="str">
        <f>IFERROR(VLOOKUP(DATA!#REF!,DATA!#REF!,1,FALSE),"")</f>
        <v/>
      </c>
      <c r="D400" s="16" t="str">
        <f>IFERROR(VLOOKUP(C400,DATA!#REF!,2,FALSE),"")</f>
        <v/>
      </c>
    </row>
    <row r="401" spans="2:4" s="237" customFormat="1">
      <c r="B401" s="15" t="str">
        <f t="shared" si="44"/>
        <v/>
      </c>
      <c r="C401" s="16" t="str">
        <f>IFERROR(VLOOKUP(DATA!#REF!,DATA!#REF!,1,FALSE),"")</f>
        <v/>
      </c>
      <c r="D401" s="16" t="str">
        <f>IFERROR(VLOOKUP(C401,DATA!#REF!,2,FALSE),"")</f>
        <v/>
      </c>
    </row>
    <row r="402" spans="2:4" s="237" customFormat="1">
      <c r="B402" s="15" t="str">
        <f t="shared" si="44"/>
        <v/>
      </c>
      <c r="C402" s="16" t="str">
        <f>IFERROR(VLOOKUP(DATA!#REF!,DATA!#REF!,1,FALSE),"")</f>
        <v/>
      </c>
      <c r="D402" s="16" t="str">
        <f>IFERROR(VLOOKUP(C402,DATA!#REF!,2,FALSE),"")</f>
        <v/>
      </c>
    </row>
    <row r="403" spans="2:4" s="237" customFormat="1">
      <c r="B403" s="15" t="str">
        <f t="shared" si="44"/>
        <v/>
      </c>
      <c r="C403" s="16" t="str">
        <f>IFERROR(VLOOKUP(DATA!#REF!,DATA!#REF!,1,FALSE),"")</f>
        <v/>
      </c>
      <c r="D403" s="16" t="str">
        <f>IFERROR(VLOOKUP(C403,DATA!#REF!,2,FALSE),"")</f>
        <v/>
      </c>
    </row>
    <row r="404" spans="2:4" s="237" customFormat="1">
      <c r="B404" s="15" t="str">
        <f t="shared" si="44"/>
        <v/>
      </c>
      <c r="C404" s="16" t="str">
        <f>IFERROR(VLOOKUP(DATA!#REF!,DATA!#REF!,1,FALSE),"")</f>
        <v/>
      </c>
      <c r="D404" s="16" t="str">
        <f>IFERROR(VLOOKUP(C404,DATA!#REF!,2,FALSE),"")</f>
        <v/>
      </c>
    </row>
    <row r="405" spans="2:4" s="237" customFormat="1">
      <c r="B405" s="15" t="str">
        <f t="shared" si="44"/>
        <v/>
      </c>
      <c r="C405" s="16" t="str">
        <f>IFERROR(VLOOKUP(DATA!#REF!,DATA!#REF!,1,FALSE),"")</f>
        <v/>
      </c>
      <c r="D405" s="16" t="str">
        <f>IFERROR(VLOOKUP(C405,DATA!#REF!,2,FALSE),"")</f>
        <v/>
      </c>
    </row>
    <row r="406" spans="2:4" s="237" customFormat="1">
      <c r="B406" s="15" t="str">
        <f t="shared" si="44"/>
        <v/>
      </c>
      <c r="C406" s="16" t="str">
        <f>IFERROR(VLOOKUP(DATA!#REF!,DATA!#REF!,1,FALSE),"")</f>
        <v/>
      </c>
      <c r="D406" s="16" t="str">
        <f>IFERROR(VLOOKUP(C406,DATA!#REF!,2,FALSE),"")</f>
        <v/>
      </c>
    </row>
    <row r="407" spans="2:4" s="237" customFormat="1">
      <c r="B407" s="15" t="str">
        <f t="shared" si="44"/>
        <v/>
      </c>
      <c r="C407" s="16" t="str">
        <f>IFERROR(VLOOKUP(DATA!#REF!,DATA!#REF!,1,FALSE),"")</f>
        <v/>
      </c>
      <c r="D407" s="16" t="str">
        <f>IFERROR(VLOOKUP(C407,DATA!#REF!,2,FALSE),"")</f>
        <v/>
      </c>
    </row>
    <row r="408" spans="2:4" s="237" customFormat="1">
      <c r="B408" s="15" t="str">
        <f t="shared" si="44"/>
        <v/>
      </c>
      <c r="C408" s="16" t="str">
        <f>IFERROR(VLOOKUP(DATA!#REF!,DATA!#REF!,1,FALSE),"")</f>
        <v/>
      </c>
      <c r="D408" s="16" t="str">
        <f>IFERROR(VLOOKUP(C408,DATA!#REF!,2,FALSE),"")</f>
        <v/>
      </c>
    </row>
    <row r="409" spans="2:4" s="237" customFormat="1">
      <c r="B409" s="15" t="str">
        <f t="shared" si="44"/>
        <v/>
      </c>
      <c r="C409" s="16" t="str">
        <f>IFERROR(VLOOKUP(DATA!#REF!,DATA!#REF!,1,FALSE),"")</f>
        <v/>
      </c>
      <c r="D409" s="16" t="str">
        <f>IFERROR(VLOOKUP(C409,DATA!#REF!,2,FALSE),"")</f>
        <v/>
      </c>
    </row>
    <row r="410" spans="2:4" s="237" customFormat="1">
      <c r="B410" s="15" t="str">
        <f t="shared" si="44"/>
        <v/>
      </c>
      <c r="C410" s="16" t="str">
        <f>IFERROR(VLOOKUP(DATA!#REF!,DATA!#REF!,1,FALSE),"")</f>
        <v/>
      </c>
      <c r="D410" s="16" t="str">
        <f>IFERROR(VLOOKUP(C410,DATA!#REF!,2,FALSE),"")</f>
        <v/>
      </c>
    </row>
    <row r="411" spans="2:4" s="237" customFormat="1">
      <c r="B411" s="15" t="str">
        <f t="shared" si="44"/>
        <v/>
      </c>
      <c r="C411" s="16" t="str">
        <f>IFERROR(VLOOKUP(DATA!#REF!,DATA!#REF!,1,FALSE),"")</f>
        <v/>
      </c>
      <c r="D411" s="16" t="str">
        <f>IFERROR(VLOOKUP(C411,DATA!#REF!,2,FALSE),"")</f>
        <v/>
      </c>
    </row>
    <row r="412" spans="2:4" s="237" customFormat="1">
      <c r="B412" s="15" t="str">
        <f t="shared" si="44"/>
        <v/>
      </c>
      <c r="C412" s="16" t="str">
        <f>IFERROR(VLOOKUP(DATA!#REF!,DATA!#REF!,1,FALSE),"")</f>
        <v/>
      </c>
      <c r="D412" s="16" t="str">
        <f>IFERROR(VLOOKUP(C412,DATA!#REF!,2,FALSE),"")</f>
        <v/>
      </c>
    </row>
    <row r="413" spans="2:4" s="237" customFormat="1">
      <c r="B413" s="15" t="str">
        <f t="shared" si="44"/>
        <v/>
      </c>
      <c r="C413" s="16" t="str">
        <f>IFERROR(VLOOKUP(DATA!#REF!,DATA!#REF!,1,FALSE),"")</f>
        <v/>
      </c>
      <c r="D413" s="16" t="str">
        <f>IFERROR(VLOOKUP(C413,DATA!#REF!,2,FALSE),"")</f>
        <v/>
      </c>
    </row>
    <row r="414" spans="2:4" s="237" customFormat="1">
      <c r="B414" s="15" t="str">
        <f t="shared" si="44"/>
        <v/>
      </c>
      <c r="C414" s="16" t="str">
        <f>IFERROR(VLOOKUP(DATA!#REF!,DATA!#REF!,1,FALSE),"")</f>
        <v/>
      </c>
      <c r="D414" s="16" t="str">
        <f>IFERROR(VLOOKUP(C414,DATA!#REF!,2,FALSE),"")</f>
        <v/>
      </c>
    </row>
    <row r="415" spans="2:4" s="237" customFormat="1">
      <c r="B415" s="15" t="str">
        <f t="shared" si="44"/>
        <v/>
      </c>
      <c r="C415" s="16" t="str">
        <f>IFERROR(VLOOKUP(DATA!#REF!,DATA!#REF!,1,FALSE),"")</f>
        <v/>
      </c>
      <c r="D415" s="16" t="str">
        <f>IFERROR(VLOOKUP(C415,DATA!#REF!,2,FALSE),"")</f>
        <v/>
      </c>
    </row>
    <row r="416" spans="2:4" s="237" customFormat="1">
      <c r="B416" s="15" t="str">
        <f t="shared" si="44"/>
        <v/>
      </c>
      <c r="C416" s="16" t="str">
        <f>IFERROR(VLOOKUP(DATA!#REF!,DATA!#REF!,1,FALSE),"")</f>
        <v/>
      </c>
      <c r="D416" s="16" t="str">
        <f>IFERROR(VLOOKUP(C416,DATA!#REF!,2,FALSE),"")</f>
        <v/>
      </c>
    </row>
    <row r="417" spans="2:4" s="237" customFormat="1">
      <c r="B417" s="15" t="str">
        <f t="shared" si="44"/>
        <v/>
      </c>
      <c r="C417" s="16" t="str">
        <f>IFERROR(VLOOKUP(DATA!#REF!,DATA!#REF!,1,FALSE),"")</f>
        <v/>
      </c>
      <c r="D417" s="16" t="str">
        <f>IFERROR(VLOOKUP(C417,DATA!#REF!,2,FALSE),"")</f>
        <v/>
      </c>
    </row>
    <row r="418" spans="2:4" s="237" customFormat="1">
      <c r="B418" s="15" t="str">
        <f t="shared" si="44"/>
        <v/>
      </c>
      <c r="C418" s="16" t="str">
        <f>IFERROR(VLOOKUP(DATA!#REF!,DATA!#REF!,1,FALSE),"")</f>
        <v/>
      </c>
      <c r="D418" s="16" t="str">
        <f>IFERROR(VLOOKUP(C418,DATA!#REF!,2,FALSE),"")</f>
        <v/>
      </c>
    </row>
    <row r="419" spans="2:4" s="237" customFormat="1">
      <c r="B419" s="15" t="str">
        <f t="shared" si="44"/>
        <v/>
      </c>
      <c r="C419" s="16" t="str">
        <f>IFERROR(VLOOKUP(DATA!#REF!,DATA!#REF!,1,FALSE),"")</f>
        <v/>
      </c>
      <c r="D419" s="16" t="str">
        <f>IFERROR(VLOOKUP(C419,DATA!#REF!,2,FALSE),"")</f>
        <v/>
      </c>
    </row>
    <row r="420" spans="2:4" s="237" customFormat="1">
      <c r="B420" s="15" t="str">
        <f t="shared" si="44"/>
        <v/>
      </c>
      <c r="C420" s="16" t="str">
        <f>IFERROR(VLOOKUP(DATA!#REF!,DATA!#REF!,1,FALSE),"")</f>
        <v/>
      </c>
      <c r="D420" s="16" t="str">
        <f>IFERROR(VLOOKUP(C420,DATA!#REF!,2,FALSE),"")</f>
        <v/>
      </c>
    </row>
    <row r="421" spans="2:4" s="237" customFormat="1">
      <c r="B421" s="15" t="str">
        <f t="shared" si="44"/>
        <v/>
      </c>
      <c r="C421" s="16" t="str">
        <f>IFERROR(VLOOKUP(DATA!#REF!,DATA!#REF!,1,FALSE),"")</f>
        <v/>
      </c>
      <c r="D421" s="16" t="str">
        <f>IFERROR(VLOOKUP(C421,DATA!#REF!,2,FALSE),"")</f>
        <v/>
      </c>
    </row>
    <row r="422" spans="2:4" s="237" customFormat="1">
      <c r="B422" s="15" t="str">
        <f t="shared" si="44"/>
        <v/>
      </c>
      <c r="C422" s="16" t="str">
        <f>IFERROR(VLOOKUP(DATA!#REF!,DATA!#REF!,1,FALSE),"")</f>
        <v/>
      </c>
      <c r="D422" s="16" t="str">
        <f>IFERROR(VLOOKUP(C422,DATA!#REF!,2,FALSE),"")</f>
        <v/>
      </c>
    </row>
    <row r="423" spans="2:4" s="237" customFormat="1">
      <c r="B423" s="15" t="str">
        <f t="shared" si="44"/>
        <v/>
      </c>
      <c r="C423" s="16" t="str">
        <f>IFERROR(VLOOKUP(DATA!#REF!,DATA!#REF!,1,FALSE),"")</f>
        <v/>
      </c>
      <c r="D423" s="16" t="str">
        <f>IFERROR(VLOOKUP(C423,DATA!#REF!,2,FALSE),"")</f>
        <v/>
      </c>
    </row>
    <row r="424" spans="2:4" s="237" customFormat="1">
      <c r="B424" s="15" t="str">
        <f t="shared" si="44"/>
        <v/>
      </c>
      <c r="C424" s="16" t="str">
        <f>IFERROR(VLOOKUP(DATA!#REF!,DATA!#REF!,1,FALSE),"")</f>
        <v/>
      </c>
      <c r="D424" s="16" t="str">
        <f>IFERROR(VLOOKUP(C424,DATA!#REF!,2,FALSE),"")</f>
        <v/>
      </c>
    </row>
    <row r="425" spans="2:4" s="237" customFormat="1">
      <c r="B425" s="15" t="str">
        <f t="shared" si="44"/>
        <v/>
      </c>
      <c r="C425" s="16" t="str">
        <f>IFERROR(VLOOKUP(DATA!#REF!,DATA!#REF!,1,FALSE),"")</f>
        <v/>
      </c>
      <c r="D425" s="16" t="str">
        <f>IFERROR(VLOOKUP(C425,DATA!#REF!,2,FALSE),"")</f>
        <v/>
      </c>
    </row>
    <row r="426" spans="2:4" s="237" customFormat="1">
      <c r="B426" s="15" t="str">
        <f t="shared" si="44"/>
        <v/>
      </c>
      <c r="C426" s="16" t="str">
        <f>IFERROR(VLOOKUP(DATA!#REF!,DATA!#REF!,1,FALSE),"")</f>
        <v/>
      </c>
      <c r="D426" s="16" t="str">
        <f>IFERROR(VLOOKUP(C426,DATA!#REF!,2,FALSE),"")</f>
        <v/>
      </c>
    </row>
    <row r="427" spans="2:4" s="237" customFormat="1">
      <c r="B427" s="15" t="str">
        <f t="shared" si="44"/>
        <v/>
      </c>
      <c r="C427" s="16" t="str">
        <f>IFERROR(VLOOKUP(DATA!#REF!,DATA!#REF!,1,FALSE),"")</f>
        <v/>
      </c>
      <c r="D427" s="16" t="str">
        <f>IFERROR(VLOOKUP(C427,DATA!#REF!,2,FALSE),"")</f>
        <v/>
      </c>
    </row>
    <row r="428" spans="2:4" s="237" customFormat="1">
      <c r="B428" s="15" t="str">
        <f t="shared" si="44"/>
        <v/>
      </c>
      <c r="C428" s="16" t="str">
        <f>IFERROR(VLOOKUP(DATA!#REF!,DATA!#REF!,1,FALSE),"")</f>
        <v/>
      </c>
      <c r="D428" s="16" t="str">
        <f>IFERROR(VLOOKUP(C428,DATA!#REF!,2,FALSE),"")</f>
        <v/>
      </c>
    </row>
    <row r="429" spans="2:4" s="237" customFormat="1">
      <c r="B429" s="15" t="str">
        <f t="shared" si="44"/>
        <v/>
      </c>
      <c r="C429" s="16" t="str">
        <f>IFERROR(VLOOKUP(DATA!#REF!,DATA!#REF!,1,FALSE),"")</f>
        <v/>
      </c>
      <c r="D429" s="16" t="str">
        <f>IFERROR(VLOOKUP(C429,DATA!#REF!,2,FALSE),"")</f>
        <v/>
      </c>
    </row>
    <row r="430" spans="2:4" s="237" customFormat="1">
      <c r="B430" s="15" t="str">
        <f t="shared" si="44"/>
        <v/>
      </c>
      <c r="C430" s="16" t="str">
        <f>IFERROR(VLOOKUP(DATA!#REF!,DATA!#REF!,1,FALSE),"")</f>
        <v/>
      </c>
      <c r="D430" s="16" t="str">
        <f>IFERROR(VLOOKUP(C430,DATA!#REF!,2,FALSE),"")</f>
        <v/>
      </c>
    </row>
    <row r="431" spans="2:4" s="237" customFormat="1">
      <c r="B431" s="15" t="str">
        <f t="shared" si="44"/>
        <v/>
      </c>
      <c r="C431" s="16" t="str">
        <f>IFERROR(VLOOKUP(DATA!#REF!,DATA!#REF!,1,FALSE),"")</f>
        <v/>
      </c>
      <c r="D431" s="16" t="str">
        <f>IFERROR(VLOOKUP(C431,DATA!#REF!,2,FALSE),"")</f>
        <v/>
      </c>
    </row>
    <row r="432" spans="2:4" s="237" customFormat="1">
      <c r="B432" s="15" t="str">
        <f t="shared" si="44"/>
        <v/>
      </c>
      <c r="C432" s="16" t="str">
        <f>IFERROR(VLOOKUP(DATA!#REF!,DATA!#REF!,1,FALSE),"")</f>
        <v/>
      </c>
      <c r="D432" s="16" t="str">
        <f>IFERROR(VLOOKUP(C432,DATA!#REF!,2,FALSE),"")</f>
        <v/>
      </c>
    </row>
    <row r="433" spans="2:4" s="237" customFormat="1">
      <c r="B433" s="15" t="str">
        <f t="shared" si="44"/>
        <v/>
      </c>
      <c r="C433" s="16" t="str">
        <f>IFERROR(VLOOKUP(DATA!#REF!,DATA!#REF!,1,FALSE),"")</f>
        <v/>
      </c>
      <c r="D433" s="16" t="str">
        <f>IFERROR(VLOOKUP(C433,DATA!#REF!,2,FALSE),"")</f>
        <v/>
      </c>
    </row>
    <row r="434" spans="2:4" s="237" customFormat="1">
      <c r="B434" s="15" t="str">
        <f t="shared" si="44"/>
        <v/>
      </c>
      <c r="C434" s="16" t="str">
        <f>IFERROR(VLOOKUP(DATA!#REF!,DATA!#REF!,1,FALSE),"")</f>
        <v/>
      </c>
      <c r="D434" s="16" t="str">
        <f>IFERROR(VLOOKUP(C434,DATA!#REF!,2,FALSE),"")</f>
        <v/>
      </c>
    </row>
    <row r="435" spans="2:4" s="237" customFormat="1">
      <c r="B435" s="15" t="str">
        <f t="shared" si="44"/>
        <v/>
      </c>
      <c r="C435" s="16" t="str">
        <f>IFERROR(VLOOKUP(DATA!#REF!,DATA!#REF!,1,FALSE),"")</f>
        <v/>
      </c>
      <c r="D435" s="16" t="str">
        <f>IFERROR(VLOOKUP(C435,DATA!#REF!,2,FALSE),"")</f>
        <v/>
      </c>
    </row>
    <row r="436" spans="2:4" s="237" customFormat="1">
      <c r="B436" s="15" t="str">
        <f t="shared" si="44"/>
        <v/>
      </c>
      <c r="C436" s="16" t="str">
        <f>IFERROR(VLOOKUP(DATA!#REF!,DATA!#REF!,1,FALSE),"")</f>
        <v/>
      </c>
      <c r="D436" s="16" t="str">
        <f>IFERROR(VLOOKUP(C436,DATA!#REF!,2,FALSE),"")</f>
        <v/>
      </c>
    </row>
    <row r="437" spans="2:4" s="237" customFormat="1">
      <c r="B437" s="15" t="str">
        <f t="shared" si="44"/>
        <v/>
      </c>
      <c r="C437" s="16" t="str">
        <f>IFERROR(VLOOKUP(DATA!#REF!,DATA!#REF!,1,FALSE),"")</f>
        <v/>
      </c>
      <c r="D437" s="16" t="str">
        <f>IFERROR(VLOOKUP(C437,DATA!#REF!,2,FALSE),"")</f>
        <v/>
      </c>
    </row>
    <row r="438" spans="2:4" s="237" customFormat="1">
      <c r="B438" s="15" t="str">
        <f t="shared" si="44"/>
        <v/>
      </c>
      <c r="C438" s="16" t="str">
        <f>IFERROR(VLOOKUP(DATA!#REF!,DATA!#REF!,1,FALSE),"")</f>
        <v/>
      </c>
      <c r="D438" s="16" t="str">
        <f>IFERROR(VLOOKUP(C438,DATA!#REF!,2,FALSE),"")</f>
        <v/>
      </c>
    </row>
    <row r="439" spans="2:4" s="237" customFormat="1">
      <c r="B439" s="15" t="str">
        <f t="shared" si="44"/>
        <v/>
      </c>
      <c r="C439" s="16" t="str">
        <f>IFERROR(VLOOKUP(DATA!#REF!,DATA!#REF!,1,FALSE),"")</f>
        <v/>
      </c>
      <c r="D439" s="16" t="str">
        <f>IFERROR(VLOOKUP(C439,DATA!#REF!,2,FALSE),"")</f>
        <v/>
      </c>
    </row>
    <row r="440" spans="2:4" s="237" customFormat="1">
      <c r="B440" s="15" t="str">
        <f t="shared" si="44"/>
        <v/>
      </c>
      <c r="C440" s="16" t="str">
        <f>IFERROR(VLOOKUP(DATA!#REF!,DATA!#REF!,1,FALSE),"")</f>
        <v/>
      </c>
      <c r="D440" s="16" t="str">
        <f>IFERROR(VLOOKUP(C440,DATA!#REF!,2,FALSE),"")</f>
        <v/>
      </c>
    </row>
    <row r="441" spans="2:4" s="237" customFormat="1">
      <c r="B441" s="15" t="str">
        <f t="shared" si="44"/>
        <v/>
      </c>
      <c r="C441" s="16" t="str">
        <f>IFERROR(VLOOKUP(DATA!#REF!,DATA!#REF!,1,FALSE),"")</f>
        <v/>
      </c>
      <c r="D441" s="16" t="str">
        <f>IFERROR(VLOOKUP(C441,DATA!#REF!,2,FALSE),"")</f>
        <v/>
      </c>
    </row>
    <row r="442" spans="2:4" s="237" customFormat="1">
      <c r="B442" s="15" t="str">
        <f t="shared" si="44"/>
        <v/>
      </c>
      <c r="C442" s="16" t="str">
        <f>IFERROR(VLOOKUP(DATA!#REF!,DATA!#REF!,1,FALSE),"")</f>
        <v/>
      </c>
      <c r="D442" s="16" t="str">
        <f>IFERROR(VLOOKUP(C442,DATA!#REF!,2,FALSE),"")</f>
        <v/>
      </c>
    </row>
    <row r="443" spans="2:4" s="237" customFormat="1">
      <c r="B443" s="15" t="str">
        <f t="shared" si="44"/>
        <v/>
      </c>
      <c r="C443" s="16" t="str">
        <f>IFERROR(VLOOKUP(DATA!#REF!,DATA!#REF!,1,FALSE),"")</f>
        <v/>
      </c>
      <c r="D443" s="16" t="str">
        <f>IFERROR(VLOOKUP(C443,DATA!#REF!,2,FALSE),"")</f>
        <v/>
      </c>
    </row>
    <row r="444" spans="2:4" s="237" customFormat="1">
      <c r="B444" s="15" t="str">
        <f t="shared" si="44"/>
        <v/>
      </c>
      <c r="C444" s="16" t="str">
        <f>IFERROR(VLOOKUP(DATA!#REF!,DATA!#REF!,1,FALSE),"")</f>
        <v/>
      </c>
      <c r="D444" s="16" t="str">
        <f>IFERROR(VLOOKUP(C444,DATA!#REF!,2,FALSE),"")</f>
        <v/>
      </c>
    </row>
    <row r="445" spans="2:4" s="237" customFormat="1">
      <c r="B445" s="15" t="str">
        <f t="shared" si="44"/>
        <v/>
      </c>
      <c r="C445" s="16" t="str">
        <f>IFERROR(VLOOKUP(DATA!#REF!,DATA!#REF!,1,FALSE),"")</f>
        <v/>
      </c>
      <c r="D445" s="16" t="str">
        <f>IFERROR(VLOOKUP(C445,DATA!#REF!,2,FALSE),"")</f>
        <v/>
      </c>
    </row>
    <row r="446" spans="2:4" s="237" customFormat="1">
      <c r="B446" s="15" t="str">
        <f t="shared" si="44"/>
        <v/>
      </c>
      <c r="C446" s="16" t="str">
        <f>IFERROR(VLOOKUP(DATA!#REF!,DATA!#REF!,1,FALSE),"")</f>
        <v/>
      </c>
      <c r="D446" s="16" t="str">
        <f>IFERROR(VLOOKUP(C446,DATA!#REF!,2,FALSE),"")</f>
        <v/>
      </c>
    </row>
    <row r="447" spans="2:4" s="237" customFormat="1">
      <c r="B447" s="15" t="str">
        <f t="shared" si="44"/>
        <v/>
      </c>
      <c r="C447" s="16" t="str">
        <f>IFERROR(VLOOKUP(DATA!#REF!,DATA!#REF!,1,FALSE),"")</f>
        <v/>
      </c>
      <c r="D447" s="16" t="str">
        <f>IFERROR(VLOOKUP(C447,DATA!#REF!,2,FALSE),"")</f>
        <v/>
      </c>
    </row>
    <row r="448" spans="2:4" s="237" customFormat="1">
      <c r="B448" s="15" t="str">
        <f t="shared" si="44"/>
        <v/>
      </c>
      <c r="C448" s="16" t="str">
        <f>IFERROR(VLOOKUP(DATA!#REF!,DATA!#REF!,1,FALSE),"")</f>
        <v/>
      </c>
      <c r="D448" s="16" t="str">
        <f>IFERROR(VLOOKUP(C448,DATA!#REF!,2,FALSE),"")</f>
        <v/>
      </c>
    </row>
    <row r="449" spans="2:4" s="237" customFormat="1">
      <c r="B449" s="15" t="str">
        <f t="shared" si="44"/>
        <v/>
      </c>
      <c r="C449" s="16" t="str">
        <f>IFERROR(VLOOKUP(DATA!#REF!,DATA!#REF!,1,FALSE),"")</f>
        <v/>
      </c>
      <c r="D449" s="16" t="str">
        <f>IFERROR(VLOOKUP(C449,DATA!#REF!,2,FALSE),"")</f>
        <v/>
      </c>
    </row>
    <row r="450" spans="2:4" s="237" customFormat="1">
      <c r="B450" s="15" t="str">
        <f t="shared" si="44"/>
        <v/>
      </c>
      <c r="C450" s="16" t="str">
        <f>IFERROR(VLOOKUP(DATA!#REF!,DATA!#REF!,1,FALSE),"")</f>
        <v/>
      </c>
      <c r="D450" s="16" t="str">
        <f>IFERROR(VLOOKUP(C450,DATA!#REF!,2,FALSE),"")</f>
        <v/>
      </c>
    </row>
    <row r="451" spans="2:4" s="237" customFormat="1">
      <c r="B451" s="15" t="str">
        <f t="shared" si="44"/>
        <v/>
      </c>
      <c r="C451" s="16" t="str">
        <f>IFERROR(VLOOKUP(DATA!#REF!,DATA!#REF!,1,FALSE),"")</f>
        <v/>
      </c>
      <c r="D451" s="16" t="str">
        <f>IFERROR(VLOOKUP(C451,DATA!#REF!,2,FALSE),"")</f>
        <v/>
      </c>
    </row>
    <row r="452" spans="2:4" s="237" customFormat="1">
      <c r="B452" s="15" t="str">
        <f t="shared" si="44"/>
        <v/>
      </c>
      <c r="C452" s="16" t="str">
        <f>IFERROR(VLOOKUP(DATA!#REF!,DATA!#REF!,1,FALSE),"")</f>
        <v/>
      </c>
      <c r="D452" s="16" t="str">
        <f>IFERROR(VLOOKUP(C452,DATA!#REF!,2,FALSE),"")</f>
        <v/>
      </c>
    </row>
    <row r="453" spans="2:4" s="237" customFormat="1">
      <c r="B453" s="15" t="str">
        <f t="shared" si="44"/>
        <v/>
      </c>
      <c r="C453" s="16" t="str">
        <f>IFERROR(VLOOKUP(DATA!#REF!,DATA!#REF!,1,FALSE),"")</f>
        <v/>
      </c>
      <c r="D453" s="16" t="str">
        <f>IFERROR(VLOOKUP(C453,DATA!#REF!,2,FALSE),"")</f>
        <v/>
      </c>
    </row>
    <row r="454" spans="2:4" s="237" customFormat="1">
      <c r="B454" s="15" t="str">
        <f t="shared" ref="B454:B517" si="45">+IF(C454="","",ROW()-5)</f>
        <v/>
      </c>
      <c r="C454" s="16" t="str">
        <f>IFERROR(VLOOKUP(DATA!#REF!,DATA!#REF!,1,FALSE),"")</f>
        <v/>
      </c>
      <c r="D454" s="16" t="str">
        <f>IFERROR(VLOOKUP(C454,DATA!#REF!,2,FALSE),"")</f>
        <v/>
      </c>
    </row>
    <row r="455" spans="2:4" s="237" customFormat="1">
      <c r="B455" s="15" t="str">
        <f t="shared" si="45"/>
        <v/>
      </c>
      <c r="C455" s="16" t="str">
        <f>IFERROR(VLOOKUP(DATA!#REF!,DATA!#REF!,1,FALSE),"")</f>
        <v/>
      </c>
      <c r="D455" s="16" t="str">
        <f>IFERROR(VLOOKUP(C455,DATA!#REF!,2,FALSE),"")</f>
        <v/>
      </c>
    </row>
    <row r="456" spans="2:4" s="237" customFormat="1">
      <c r="B456" s="15" t="str">
        <f t="shared" si="45"/>
        <v/>
      </c>
      <c r="C456" s="16" t="str">
        <f>IFERROR(VLOOKUP(DATA!#REF!,DATA!#REF!,1,FALSE),"")</f>
        <v/>
      </c>
      <c r="D456" s="16" t="str">
        <f>IFERROR(VLOOKUP(C456,DATA!#REF!,2,FALSE),"")</f>
        <v/>
      </c>
    </row>
    <row r="457" spans="2:4" s="237" customFormat="1">
      <c r="B457" s="15" t="str">
        <f t="shared" si="45"/>
        <v/>
      </c>
      <c r="C457" s="16" t="str">
        <f>IFERROR(VLOOKUP(DATA!#REF!,DATA!#REF!,1,FALSE),"")</f>
        <v/>
      </c>
      <c r="D457" s="16" t="str">
        <f>IFERROR(VLOOKUP(C457,DATA!#REF!,2,FALSE),"")</f>
        <v/>
      </c>
    </row>
    <row r="458" spans="2:4" s="237" customFormat="1">
      <c r="B458" s="15" t="str">
        <f t="shared" si="45"/>
        <v/>
      </c>
      <c r="C458" s="16" t="str">
        <f>IFERROR(VLOOKUP(DATA!#REF!,DATA!#REF!,1,FALSE),"")</f>
        <v/>
      </c>
      <c r="D458" s="16" t="str">
        <f>IFERROR(VLOOKUP(C458,DATA!#REF!,2,FALSE),"")</f>
        <v/>
      </c>
    </row>
    <row r="459" spans="2:4" s="237" customFormat="1">
      <c r="B459" s="15" t="str">
        <f t="shared" si="45"/>
        <v/>
      </c>
      <c r="C459" s="16" t="str">
        <f>IFERROR(VLOOKUP(DATA!#REF!,DATA!#REF!,1,FALSE),"")</f>
        <v/>
      </c>
      <c r="D459" s="16" t="str">
        <f>IFERROR(VLOOKUP(C459,DATA!#REF!,2,FALSE),"")</f>
        <v/>
      </c>
    </row>
    <row r="460" spans="2:4" s="237" customFormat="1">
      <c r="B460" s="15" t="str">
        <f t="shared" si="45"/>
        <v/>
      </c>
      <c r="C460" s="16" t="str">
        <f>IFERROR(VLOOKUP(DATA!#REF!,DATA!#REF!,1,FALSE),"")</f>
        <v/>
      </c>
      <c r="D460" s="16" t="str">
        <f>IFERROR(VLOOKUP(C460,DATA!#REF!,2,FALSE),"")</f>
        <v/>
      </c>
    </row>
    <row r="461" spans="2:4" s="237" customFormat="1">
      <c r="B461" s="15" t="str">
        <f t="shared" si="45"/>
        <v/>
      </c>
      <c r="C461" s="16" t="str">
        <f>IFERROR(VLOOKUP(DATA!#REF!,DATA!#REF!,1,FALSE),"")</f>
        <v/>
      </c>
      <c r="D461" s="16" t="str">
        <f>IFERROR(VLOOKUP(C461,DATA!#REF!,2,FALSE),"")</f>
        <v/>
      </c>
    </row>
    <row r="462" spans="2:4" s="237" customFormat="1">
      <c r="B462" s="15" t="str">
        <f t="shared" si="45"/>
        <v/>
      </c>
      <c r="C462" s="16" t="str">
        <f>IFERROR(VLOOKUP(DATA!#REF!,DATA!#REF!,1,FALSE),"")</f>
        <v/>
      </c>
      <c r="D462" s="16" t="str">
        <f>IFERROR(VLOOKUP(C462,DATA!#REF!,2,FALSE),"")</f>
        <v/>
      </c>
    </row>
    <row r="463" spans="2:4" s="237" customFormat="1">
      <c r="B463" s="15" t="str">
        <f t="shared" si="45"/>
        <v/>
      </c>
      <c r="C463" s="16" t="str">
        <f>IFERROR(VLOOKUP(DATA!#REF!,DATA!#REF!,1,FALSE),"")</f>
        <v/>
      </c>
      <c r="D463" s="16" t="str">
        <f>IFERROR(VLOOKUP(C463,DATA!#REF!,2,FALSE),"")</f>
        <v/>
      </c>
    </row>
    <row r="464" spans="2:4" s="237" customFormat="1">
      <c r="B464" s="15" t="str">
        <f t="shared" si="45"/>
        <v/>
      </c>
      <c r="C464" s="16" t="str">
        <f>IFERROR(VLOOKUP(DATA!#REF!,DATA!#REF!,1,FALSE),"")</f>
        <v/>
      </c>
      <c r="D464" s="16" t="str">
        <f>IFERROR(VLOOKUP(C464,DATA!#REF!,2,FALSE),"")</f>
        <v/>
      </c>
    </row>
    <row r="465" spans="2:4" s="237" customFormat="1">
      <c r="B465" s="15" t="str">
        <f t="shared" si="45"/>
        <v/>
      </c>
      <c r="C465" s="16" t="str">
        <f>IFERROR(VLOOKUP(DATA!#REF!,DATA!#REF!,1,FALSE),"")</f>
        <v/>
      </c>
      <c r="D465" s="16" t="str">
        <f>IFERROR(VLOOKUP(C465,DATA!#REF!,2,FALSE),"")</f>
        <v/>
      </c>
    </row>
    <row r="466" spans="2:4" s="237" customFormat="1">
      <c r="B466" s="15" t="str">
        <f t="shared" si="45"/>
        <v/>
      </c>
      <c r="C466" s="16" t="str">
        <f>IFERROR(VLOOKUP(DATA!#REF!,DATA!#REF!,1,FALSE),"")</f>
        <v/>
      </c>
      <c r="D466" s="16" t="str">
        <f>IFERROR(VLOOKUP(C466,DATA!#REF!,2,FALSE),"")</f>
        <v/>
      </c>
    </row>
    <row r="467" spans="2:4" s="237" customFormat="1">
      <c r="B467" s="15" t="str">
        <f t="shared" si="45"/>
        <v/>
      </c>
      <c r="C467" s="16" t="str">
        <f>IFERROR(VLOOKUP(DATA!#REF!,DATA!#REF!,1,FALSE),"")</f>
        <v/>
      </c>
      <c r="D467" s="16" t="str">
        <f>IFERROR(VLOOKUP(C467,DATA!#REF!,2,FALSE),"")</f>
        <v/>
      </c>
    </row>
    <row r="468" spans="2:4" s="237" customFormat="1">
      <c r="B468" s="15" t="str">
        <f t="shared" si="45"/>
        <v/>
      </c>
      <c r="C468" s="16" t="str">
        <f>IFERROR(VLOOKUP(DATA!#REF!,DATA!#REF!,1,FALSE),"")</f>
        <v/>
      </c>
      <c r="D468" s="16" t="str">
        <f>IFERROR(VLOOKUP(C468,DATA!#REF!,2,FALSE),"")</f>
        <v/>
      </c>
    </row>
    <row r="469" spans="2:4" s="237" customFormat="1">
      <c r="B469" s="15" t="str">
        <f t="shared" si="45"/>
        <v/>
      </c>
      <c r="C469" s="16" t="str">
        <f>IFERROR(VLOOKUP(DATA!#REF!,DATA!#REF!,1,FALSE),"")</f>
        <v/>
      </c>
      <c r="D469" s="16" t="str">
        <f>IFERROR(VLOOKUP(C469,DATA!#REF!,2,FALSE),"")</f>
        <v/>
      </c>
    </row>
    <row r="470" spans="2:4" s="237" customFormat="1">
      <c r="B470" s="15" t="str">
        <f t="shared" si="45"/>
        <v/>
      </c>
      <c r="C470" s="16" t="str">
        <f>IFERROR(VLOOKUP(DATA!#REF!,DATA!#REF!,1,FALSE),"")</f>
        <v/>
      </c>
      <c r="D470" s="16" t="str">
        <f>IFERROR(VLOOKUP(C470,DATA!#REF!,2,FALSE),"")</f>
        <v/>
      </c>
    </row>
    <row r="471" spans="2:4" s="237" customFormat="1">
      <c r="B471" s="15" t="str">
        <f t="shared" si="45"/>
        <v/>
      </c>
      <c r="C471" s="16" t="str">
        <f>IFERROR(VLOOKUP(DATA!#REF!,DATA!#REF!,1,FALSE),"")</f>
        <v/>
      </c>
      <c r="D471" s="16" t="str">
        <f>IFERROR(VLOOKUP(C471,DATA!#REF!,2,FALSE),"")</f>
        <v/>
      </c>
    </row>
    <row r="472" spans="2:4" s="237" customFormat="1">
      <c r="B472" s="15" t="str">
        <f t="shared" si="45"/>
        <v/>
      </c>
      <c r="C472" s="16" t="str">
        <f>IFERROR(VLOOKUP(DATA!#REF!,DATA!#REF!,1,FALSE),"")</f>
        <v/>
      </c>
      <c r="D472" s="16" t="str">
        <f>IFERROR(VLOOKUP(C472,DATA!#REF!,2,FALSE),"")</f>
        <v/>
      </c>
    </row>
    <row r="473" spans="2:4" s="237" customFormat="1">
      <c r="B473" s="15" t="str">
        <f t="shared" si="45"/>
        <v/>
      </c>
      <c r="C473" s="16" t="str">
        <f>IFERROR(VLOOKUP(DATA!#REF!,DATA!#REF!,1,FALSE),"")</f>
        <v/>
      </c>
      <c r="D473" s="16" t="str">
        <f>IFERROR(VLOOKUP(C473,DATA!#REF!,2,FALSE),"")</f>
        <v/>
      </c>
    </row>
    <row r="474" spans="2:4" s="237" customFormat="1">
      <c r="B474" s="15" t="str">
        <f t="shared" si="45"/>
        <v/>
      </c>
      <c r="C474" s="16" t="str">
        <f>IFERROR(VLOOKUP(DATA!#REF!,DATA!#REF!,1,FALSE),"")</f>
        <v/>
      </c>
      <c r="D474" s="16" t="str">
        <f>IFERROR(VLOOKUP(C474,DATA!#REF!,2,FALSE),"")</f>
        <v/>
      </c>
    </row>
    <row r="475" spans="2:4" s="237" customFormat="1">
      <c r="B475" s="15" t="str">
        <f t="shared" si="45"/>
        <v/>
      </c>
      <c r="C475" s="16" t="str">
        <f>IFERROR(VLOOKUP(DATA!#REF!,DATA!#REF!,1,FALSE),"")</f>
        <v/>
      </c>
      <c r="D475" s="16" t="str">
        <f>IFERROR(VLOOKUP(C475,DATA!#REF!,2,FALSE),"")</f>
        <v/>
      </c>
    </row>
    <row r="476" spans="2:4" s="237" customFormat="1">
      <c r="B476" s="15" t="str">
        <f t="shared" si="45"/>
        <v/>
      </c>
      <c r="C476" s="16" t="str">
        <f>IFERROR(VLOOKUP(DATA!#REF!,DATA!#REF!,1,FALSE),"")</f>
        <v/>
      </c>
      <c r="D476" s="16" t="str">
        <f>IFERROR(VLOOKUP(C476,DATA!#REF!,2,FALSE),"")</f>
        <v/>
      </c>
    </row>
    <row r="477" spans="2:4" s="237" customFormat="1">
      <c r="B477" s="15" t="str">
        <f t="shared" si="45"/>
        <v/>
      </c>
      <c r="C477" s="16" t="str">
        <f>IFERROR(VLOOKUP(DATA!#REF!,DATA!#REF!,1,FALSE),"")</f>
        <v/>
      </c>
      <c r="D477" s="16" t="str">
        <f>IFERROR(VLOOKUP(C477,DATA!#REF!,2,FALSE),"")</f>
        <v/>
      </c>
    </row>
    <row r="478" spans="2:4" s="237" customFormat="1">
      <c r="B478" s="15" t="str">
        <f t="shared" si="45"/>
        <v/>
      </c>
      <c r="C478" s="16" t="str">
        <f>IFERROR(VLOOKUP(DATA!#REF!,DATA!#REF!,1,FALSE),"")</f>
        <v/>
      </c>
      <c r="D478" s="16" t="str">
        <f>IFERROR(VLOOKUP(C478,DATA!#REF!,2,FALSE),"")</f>
        <v/>
      </c>
    </row>
    <row r="479" spans="2:4" s="237" customFormat="1">
      <c r="B479" s="15" t="str">
        <f t="shared" si="45"/>
        <v/>
      </c>
      <c r="C479" s="16" t="str">
        <f>IFERROR(VLOOKUP(DATA!#REF!,DATA!#REF!,1,FALSE),"")</f>
        <v/>
      </c>
      <c r="D479" s="16" t="str">
        <f>IFERROR(VLOOKUP(C479,DATA!#REF!,2,FALSE),"")</f>
        <v/>
      </c>
    </row>
    <row r="480" spans="2:4" s="237" customFormat="1">
      <c r="B480" s="15" t="str">
        <f t="shared" si="45"/>
        <v/>
      </c>
      <c r="C480" s="16" t="str">
        <f>IFERROR(VLOOKUP(DATA!#REF!,DATA!#REF!,1,FALSE),"")</f>
        <v/>
      </c>
      <c r="D480" s="16" t="str">
        <f>IFERROR(VLOOKUP(C480,DATA!#REF!,2,FALSE),"")</f>
        <v/>
      </c>
    </row>
    <row r="481" spans="2:4" s="237" customFormat="1">
      <c r="B481" s="15" t="str">
        <f t="shared" si="45"/>
        <v/>
      </c>
      <c r="C481" s="16" t="str">
        <f>IFERROR(VLOOKUP(DATA!#REF!,DATA!#REF!,1,FALSE),"")</f>
        <v/>
      </c>
      <c r="D481" s="16" t="str">
        <f>IFERROR(VLOOKUP(C481,DATA!#REF!,2,FALSE),"")</f>
        <v/>
      </c>
    </row>
    <row r="482" spans="2:4" s="237" customFormat="1">
      <c r="B482" s="15" t="str">
        <f t="shared" si="45"/>
        <v/>
      </c>
      <c r="C482" s="16" t="str">
        <f>IFERROR(VLOOKUP(DATA!#REF!,DATA!#REF!,1,FALSE),"")</f>
        <v/>
      </c>
      <c r="D482" s="16" t="str">
        <f>IFERROR(VLOOKUP(C482,DATA!#REF!,2,FALSE),"")</f>
        <v/>
      </c>
    </row>
    <row r="483" spans="2:4" s="237" customFormat="1">
      <c r="B483" s="15" t="str">
        <f t="shared" si="45"/>
        <v/>
      </c>
      <c r="C483" s="16" t="str">
        <f>IFERROR(VLOOKUP(DATA!#REF!,DATA!#REF!,1,FALSE),"")</f>
        <v/>
      </c>
      <c r="D483" s="16" t="str">
        <f>IFERROR(VLOOKUP(C483,DATA!#REF!,2,FALSE),"")</f>
        <v/>
      </c>
    </row>
    <row r="484" spans="2:4" s="237" customFormat="1">
      <c r="B484" s="15" t="str">
        <f t="shared" si="45"/>
        <v/>
      </c>
      <c r="C484" s="16" t="str">
        <f>IFERROR(VLOOKUP(DATA!#REF!,DATA!#REF!,1,FALSE),"")</f>
        <v/>
      </c>
      <c r="D484" s="16" t="str">
        <f>IFERROR(VLOOKUP(C484,DATA!#REF!,2,FALSE),"")</f>
        <v/>
      </c>
    </row>
    <row r="485" spans="2:4" s="237" customFormat="1">
      <c r="B485" s="15" t="str">
        <f t="shared" si="45"/>
        <v/>
      </c>
      <c r="C485" s="16" t="str">
        <f>IFERROR(VLOOKUP(DATA!#REF!,DATA!#REF!,1,FALSE),"")</f>
        <v/>
      </c>
      <c r="D485" s="16" t="str">
        <f>IFERROR(VLOOKUP(C485,DATA!#REF!,2,FALSE),"")</f>
        <v/>
      </c>
    </row>
    <row r="486" spans="2:4" s="237" customFormat="1">
      <c r="B486" s="15" t="str">
        <f t="shared" si="45"/>
        <v/>
      </c>
      <c r="C486" s="16" t="str">
        <f>IFERROR(VLOOKUP(DATA!#REF!,DATA!#REF!,1,FALSE),"")</f>
        <v/>
      </c>
      <c r="D486" s="16" t="str">
        <f>IFERROR(VLOOKUP(C486,DATA!#REF!,2,FALSE),"")</f>
        <v/>
      </c>
    </row>
    <row r="487" spans="2:4" s="237" customFormat="1">
      <c r="B487" s="15" t="str">
        <f t="shared" si="45"/>
        <v/>
      </c>
      <c r="C487" s="16" t="str">
        <f>IFERROR(VLOOKUP(DATA!#REF!,DATA!#REF!,1,FALSE),"")</f>
        <v/>
      </c>
      <c r="D487" s="16" t="str">
        <f>IFERROR(VLOOKUP(C487,DATA!#REF!,2,FALSE),"")</f>
        <v/>
      </c>
    </row>
    <row r="488" spans="2:4" s="237" customFormat="1">
      <c r="B488" s="15" t="str">
        <f t="shared" si="45"/>
        <v/>
      </c>
      <c r="C488" s="16" t="str">
        <f>IFERROR(VLOOKUP(DATA!#REF!,DATA!#REF!,1,FALSE),"")</f>
        <v/>
      </c>
      <c r="D488" s="16" t="str">
        <f>IFERROR(VLOOKUP(C488,DATA!#REF!,2,FALSE),"")</f>
        <v/>
      </c>
    </row>
    <row r="489" spans="2:4" s="237" customFormat="1">
      <c r="B489" s="15" t="str">
        <f t="shared" si="45"/>
        <v/>
      </c>
      <c r="C489" s="16" t="str">
        <f>IFERROR(VLOOKUP(DATA!#REF!,DATA!#REF!,1,FALSE),"")</f>
        <v/>
      </c>
      <c r="D489" s="16" t="str">
        <f>IFERROR(VLOOKUP(C489,DATA!#REF!,2,FALSE),"")</f>
        <v/>
      </c>
    </row>
    <row r="490" spans="2:4" s="237" customFormat="1">
      <c r="B490" s="15" t="str">
        <f t="shared" si="45"/>
        <v/>
      </c>
      <c r="C490" s="16" t="str">
        <f>IFERROR(VLOOKUP(DATA!#REF!,DATA!#REF!,1,FALSE),"")</f>
        <v/>
      </c>
      <c r="D490" s="16" t="str">
        <f>IFERROR(VLOOKUP(C490,DATA!#REF!,2,FALSE),"")</f>
        <v/>
      </c>
    </row>
    <row r="491" spans="2:4" s="237" customFormat="1">
      <c r="B491" s="15" t="str">
        <f t="shared" si="45"/>
        <v/>
      </c>
      <c r="C491" s="16" t="str">
        <f>IFERROR(VLOOKUP(DATA!#REF!,DATA!#REF!,1,FALSE),"")</f>
        <v/>
      </c>
      <c r="D491" s="16" t="str">
        <f>IFERROR(VLOOKUP(C491,DATA!#REF!,2,FALSE),"")</f>
        <v/>
      </c>
    </row>
    <row r="492" spans="2:4" s="237" customFormat="1">
      <c r="B492" s="15" t="str">
        <f t="shared" si="45"/>
        <v/>
      </c>
      <c r="C492" s="16" t="str">
        <f>IFERROR(VLOOKUP(DATA!#REF!,DATA!#REF!,1,FALSE),"")</f>
        <v/>
      </c>
      <c r="D492" s="16" t="str">
        <f>IFERROR(VLOOKUP(C492,DATA!#REF!,2,FALSE),"")</f>
        <v/>
      </c>
    </row>
    <row r="493" spans="2:4" s="237" customFormat="1">
      <c r="B493" s="15" t="str">
        <f t="shared" si="45"/>
        <v/>
      </c>
      <c r="C493" s="16" t="str">
        <f>IFERROR(VLOOKUP(DATA!#REF!,DATA!#REF!,1,FALSE),"")</f>
        <v/>
      </c>
      <c r="D493" s="16" t="str">
        <f>IFERROR(VLOOKUP(C493,DATA!#REF!,2,FALSE),"")</f>
        <v/>
      </c>
    </row>
    <row r="494" spans="2:4" s="237" customFormat="1">
      <c r="B494" s="15" t="str">
        <f t="shared" si="45"/>
        <v/>
      </c>
      <c r="C494" s="16" t="str">
        <f>IFERROR(VLOOKUP(DATA!#REF!,DATA!#REF!,1,FALSE),"")</f>
        <v/>
      </c>
      <c r="D494" s="16" t="str">
        <f>IFERROR(VLOOKUP(C494,DATA!#REF!,2,FALSE),"")</f>
        <v/>
      </c>
    </row>
    <row r="495" spans="2:4" s="237" customFormat="1">
      <c r="B495" s="15" t="str">
        <f t="shared" si="45"/>
        <v/>
      </c>
      <c r="C495" s="16" t="str">
        <f>IFERROR(VLOOKUP(DATA!#REF!,DATA!#REF!,1,FALSE),"")</f>
        <v/>
      </c>
      <c r="D495" s="16" t="str">
        <f>IFERROR(VLOOKUP(C495,DATA!#REF!,2,FALSE),"")</f>
        <v/>
      </c>
    </row>
    <row r="496" spans="2:4" s="237" customFormat="1">
      <c r="B496" s="15" t="str">
        <f t="shared" si="45"/>
        <v/>
      </c>
      <c r="C496" s="16" t="str">
        <f>IFERROR(VLOOKUP(DATA!#REF!,DATA!#REF!,1,FALSE),"")</f>
        <v/>
      </c>
      <c r="D496" s="16" t="str">
        <f>IFERROR(VLOOKUP(C496,DATA!#REF!,2,FALSE),"")</f>
        <v/>
      </c>
    </row>
    <row r="497" spans="2:4" s="237" customFormat="1">
      <c r="B497" s="15" t="str">
        <f t="shared" si="45"/>
        <v/>
      </c>
      <c r="C497" s="16" t="str">
        <f>IFERROR(VLOOKUP(DATA!#REF!,DATA!#REF!,1,FALSE),"")</f>
        <v/>
      </c>
      <c r="D497" s="16" t="str">
        <f>IFERROR(VLOOKUP(C497,DATA!#REF!,2,FALSE),"")</f>
        <v/>
      </c>
    </row>
    <row r="498" spans="2:4" s="237" customFormat="1">
      <c r="B498" s="15" t="str">
        <f t="shared" si="45"/>
        <v/>
      </c>
      <c r="C498" s="16" t="str">
        <f>IFERROR(VLOOKUP(DATA!#REF!,DATA!#REF!,1,FALSE),"")</f>
        <v/>
      </c>
      <c r="D498" s="16" t="str">
        <f>IFERROR(VLOOKUP(C498,DATA!#REF!,2,FALSE),"")</f>
        <v/>
      </c>
    </row>
    <row r="499" spans="2:4" s="237" customFormat="1">
      <c r="B499" s="15" t="str">
        <f t="shared" si="45"/>
        <v/>
      </c>
      <c r="C499" s="16" t="str">
        <f>IFERROR(VLOOKUP(DATA!#REF!,DATA!#REF!,1,FALSE),"")</f>
        <v/>
      </c>
      <c r="D499" s="16" t="str">
        <f>IFERROR(VLOOKUP(C499,DATA!#REF!,2,FALSE),"")</f>
        <v/>
      </c>
    </row>
    <row r="500" spans="2:4" s="237" customFormat="1">
      <c r="B500" s="15" t="str">
        <f t="shared" si="45"/>
        <v/>
      </c>
      <c r="C500" s="16" t="str">
        <f>IFERROR(VLOOKUP(DATA!#REF!,DATA!#REF!,1,FALSE),"")</f>
        <v/>
      </c>
      <c r="D500" s="16" t="str">
        <f>IFERROR(VLOOKUP(C500,DATA!#REF!,2,FALSE),"")</f>
        <v/>
      </c>
    </row>
    <row r="501" spans="2:4" s="237" customFormat="1">
      <c r="B501" s="15" t="str">
        <f t="shared" si="45"/>
        <v/>
      </c>
      <c r="C501" s="16" t="str">
        <f>IFERROR(VLOOKUP(DATA!#REF!,DATA!#REF!,1,FALSE),"")</f>
        <v/>
      </c>
      <c r="D501" s="16" t="str">
        <f>IFERROR(VLOOKUP(C501,DATA!#REF!,2,FALSE),"")</f>
        <v/>
      </c>
    </row>
    <row r="502" spans="2:4" s="237" customFormat="1">
      <c r="B502" s="15" t="str">
        <f t="shared" si="45"/>
        <v/>
      </c>
      <c r="C502" s="16" t="str">
        <f>IFERROR(VLOOKUP(DATA!#REF!,DATA!#REF!,1,FALSE),"")</f>
        <v/>
      </c>
      <c r="D502" s="16" t="str">
        <f>IFERROR(VLOOKUP(C502,DATA!#REF!,2,FALSE),"")</f>
        <v/>
      </c>
    </row>
    <row r="503" spans="2:4" s="237" customFormat="1">
      <c r="B503" s="15" t="str">
        <f t="shared" si="45"/>
        <v/>
      </c>
      <c r="C503" s="16" t="str">
        <f>IFERROR(VLOOKUP(DATA!#REF!,DATA!#REF!,1,FALSE),"")</f>
        <v/>
      </c>
      <c r="D503" s="16" t="str">
        <f>IFERROR(VLOOKUP(C503,DATA!#REF!,2,FALSE),"")</f>
        <v/>
      </c>
    </row>
    <row r="504" spans="2:4" s="237" customFormat="1">
      <c r="B504" s="15" t="str">
        <f t="shared" si="45"/>
        <v/>
      </c>
      <c r="C504" s="16" t="str">
        <f>IFERROR(VLOOKUP(DATA!#REF!,DATA!#REF!,1,FALSE),"")</f>
        <v/>
      </c>
      <c r="D504" s="16" t="str">
        <f>IFERROR(VLOOKUP(C504,DATA!#REF!,2,FALSE),"")</f>
        <v/>
      </c>
    </row>
    <row r="505" spans="2:4" s="237" customFormat="1">
      <c r="B505" s="15" t="str">
        <f t="shared" si="45"/>
        <v/>
      </c>
      <c r="C505" s="16" t="str">
        <f>IFERROR(VLOOKUP(DATA!#REF!,DATA!#REF!,1,FALSE),"")</f>
        <v/>
      </c>
      <c r="D505" s="16" t="str">
        <f>IFERROR(VLOOKUP(C505,DATA!#REF!,2,FALSE),"")</f>
        <v/>
      </c>
    </row>
    <row r="506" spans="2:4" s="237" customFormat="1">
      <c r="B506" s="15" t="str">
        <f t="shared" si="45"/>
        <v/>
      </c>
      <c r="C506" s="16" t="str">
        <f>IFERROR(VLOOKUP(DATA!#REF!,DATA!#REF!,1,FALSE),"")</f>
        <v/>
      </c>
      <c r="D506" s="16" t="str">
        <f>IFERROR(VLOOKUP(C506,DATA!#REF!,2,FALSE),"")</f>
        <v/>
      </c>
    </row>
    <row r="507" spans="2:4" s="237" customFormat="1">
      <c r="B507" s="15" t="str">
        <f t="shared" si="45"/>
        <v/>
      </c>
      <c r="C507" s="16" t="str">
        <f>IFERROR(VLOOKUP(DATA!#REF!,DATA!#REF!,1,FALSE),"")</f>
        <v/>
      </c>
      <c r="D507" s="16" t="str">
        <f>IFERROR(VLOOKUP(C507,DATA!#REF!,2,FALSE),"")</f>
        <v/>
      </c>
    </row>
    <row r="508" spans="2:4" s="237" customFormat="1">
      <c r="B508" s="15" t="str">
        <f t="shared" si="45"/>
        <v/>
      </c>
      <c r="C508" s="16" t="str">
        <f>IFERROR(VLOOKUP(DATA!#REF!,DATA!#REF!,1,FALSE),"")</f>
        <v/>
      </c>
      <c r="D508" s="16" t="str">
        <f>IFERROR(VLOOKUP(C508,DATA!#REF!,2,FALSE),"")</f>
        <v/>
      </c>
    </row>
    <row r="509" spans="2:4" s="237" customFormat="1">
      <c r="B509" s="15" t="str">
        <f t="shared" si="45"/>
        <v/>
      </c>
      <c r="C509" s="16" t="str">
        <f>IFERROR(VLOOKUP(DATA!#REF!,DATA!#REF!,1,FALSE),"")</f>
        <v/>
      </c>
      <c r="D509" s="16" t="str">
        <f>IFERROR(VLOOKUP(C509,DATA!#REF!,2,FALSE),"")</f>
        <v/>
      </c>
    </row>
    <row r="510" spans="2:4" s="237" customFormat="1">
      <c r="B510" s="15" t="str">
        <f t="shared" si="45"/>
        <v/>
      </c>
      <c r="C510" s="16" t="str">
        <f>IFERROR(VLOOKUP(DATA!#REF!,DATA!#REF!,1,FALSE),"")</f>
        <v/>
      </c>
      <c r="D510" s="16" t="str">
        <f>IFERROR(VLOOKUP(C510,DATA!#REF!,2,FALSE),"")</f>
        <v/>
      </c>
    </row>
    <row r="511" spans="2:4" s="237" customFormat="1">
      <c r="B511" s="15" t="str">
        <f t="shared" si="45"/>
        <v/>
      </c>
      <c r="C511" s="16" t="str">
        <f>IFERROR(VLOOKUP(DATA!#REF!,DATA!#REF!,1,FALSE),"")</f>
        <v/>
      </c>
      <c r="D511" s="16" t="str">
        <f>IFERROR(VLOOKUP(C511,DATA!#REF!,2,FALSE),"")</f>
        <v/>
      </c>
    </row>
    <row r="512" spans="2:4" s="237" customFormat="1">
      <c r="B512" s="15" t="str">
        <f t="shared" si="45"/>
        <v/>
      </c>
      <c r="C512" s="16" t="str">
        <f>IFERROR(VLOOKUP(DATA!#REF!,DATA!#REF!,1,FALSE),"")</f>
        <v/>
      </c>
      <c r="D512" s="16" t="str">
        <f>IFERROR(VLOOKUP(C512,DATA!#REF!,2,FALSE),"")</f>
        <v/>
      </c>
    </row>
    <row r="513" spans="2:4" s="237" customFormat="1">
      <c r="B513" s="15" t="str">
        <f t="shared" si="45"/>
        <v/>
      </c>
      <c r="C513" s="16" t="str">
        <f>IFERROR(VLOOKUP(DATA!#REF!,DATA!#REF!,1,FALSE),"")</f>
        <v/>
      </c>
      <c r="D513" s="16" t="str">
        <f>IFERROR(VLOOKUP(C513,DATA!#REF!,2,FALSE),"")</f>
        <v/>
      </c>
    </row>
    <row r="514" spans="2:4" s="237" customFormat="1">
      <c r="B514" s="15" t="str">
        <f t="shared" si="45"/>
        <v/>
      </c>
      <c r="C514" s="16" t="str">
        <f>IFERROR(VLOOKUP(DATA!#REF!,DATA!#REF!,1,FALSE),"")</f>
        <v/>
      </c>
      <c r="D514" s="16" t="str">
        <f>IFERROR(VLOOKUP(C514,DATA!#REF!,2,FALSE),"")</f>
        <v/>
      </c>
    </row>
    <row r="515" spans="2:4" s="237" customFormat="1">
      <c r="B515" s="15" t="str">
        <f t="shared" si="45"/>
        <v/>
      </c>
      <c r="C515" s="16" t="str">
        <f>IFERROR(VLOOKUP(DATA!#REF!,DATA!#REF!,1,FALSE),"")</f>
        <v/>
      </c>
      <c r="D515" s="16" t="str">
        <f>IFERROR(VLOOKUP(C515,DATA!#REF!,2,FALSE),"")</f>
        <v/>
      </c>
    </row>
    <row r="516" spans="2:4" s="237" customFormat="1">
      <c r="B516" s="15" t="str">
        <f t="shared" si="45"/>
        <v/>
      </c>
      <c r="C516" s="16" t="str">
        <f>IFERROR(VLOOKUP(DATA!#REF!,DATA!#REF!,1,FALSE),"")</f>
        <v/>
      </c>
      <c r="D516" s="16" t="str">
        <f>IFERROR(VLOOKUP(C516,DATA!#REF!,2,FALSE),"")</f>
        <v/>
      </c>
    </row>
    <row r="517" spans="2:4" s="237" customFormat="1">
      <c r="B517" s="15" t="str">
        <f t="shared" si="45"/>
        <v/>
      </c>
      <c r="C517" s="16" t="str">
        <f>IFERROR(VLOOKUP(DATA!#REF!,DATA!#REF!,1,FALSE),"")</f>
        <v/>
      </c>
      <c r="D517" s="16" t="str">
        <f>IFERROR(VLOOKUP(C517,DATA!#REF!,2,FALSE),"")</f>
        <v/>
      </c>
    </row>
    <row r="518" spans="2:4" s="237" customFormat="1">
      <c r="B518" s="15" t="str">
        <f t="shared" ref="B518:B581" si="46">+IF(C518="","",ROW()-5)</f>
        <v/>
      </c>
      <c r="C518" s="16" t="str">
        <f>IFERROR(VLOOKUP(DATA!#REF!,DATA!#REF!,1,FALSE),"")</f>
        <v/>
      </c>
      <c r="D518" s="16" t="str">
        <f>IFERROR(VLOOKUP(C518,DATA!#REF!,2,FALSE),"")</f>
        <v/>
      </c>
    </row>
    <row r="519" spans="2:4" s="237" customFormat="1">
      <c r="B519" s="15" t="str">
        <f t="shared" si="46"/>
        <v/>
      </c>
      <c r="C519" s="16" t="str">
        <f>IFERROR(VLOOKUP(DATA!#REF!,DATA!#REF!,1,FALSE),"")</f>
        <v/>
      </c>
      <c r="D519" s="16" t="str">
        <f>IFERROR(VLOOKUP(C519,DATA!#REF!,2,FALSE),"")</f>
        <v/>
      </c>
    </row>
    <row r="520" spans="2:4" s="237" customFormat="1">
      <c r="B520" s="15" t="str">
        <f t="shared" si="46"/>
        <v/>
      </c>
      <c r="C520" s="16" t="str">
        <f>IFERROR(VLOOKUP(DATA!#REF!,DATA!#REF!,1,FALSE),"")</f>
        <v/>
      </c>
      <c r="D520" s="16" t="str">
        <f>IFERROR(VLOOKUP(C520,DATA!#REF!,2,FALSE),"")</f>
        <v/>
      </c>
    </row>
    <row r="521" spans="2:4" s="237" customFormat="1">
      <c r="B521" s="15" t="str">
        <f t="shared" si="46"/>
        <v/>
      </c>
      <c r="C521" s="16" t="str">
        <f>IFERROR(VLOOKUP(DATA!#REF!,DATA!#REF!,1,FALSE),"")</f>
        <v/>
      </c>
      <c r="D521" s="16" t="str">
        <f>IFERROR(VLOOKUP(C521,DATA!#REF!,2,FALSE),"")</f>
        <v/>
      </c>
    </row>
    <row r="522" spans="2:4" s="237" customFormat="1">
      <c r="B522" s="15" t="str">
        <f t="shared" si="46"/>
        <v/>
      </c>
      <c r="C522" s="16" t="str">
        <f>IFERROR(VLOOKUP(DATA!#REF!,DATA!#REF!,1,FALSE),"")</f>
        <v/>
      </c>
      <c r="D522" s="16" t="str">
        <f>IFERROR(VLOOKUP(C522,DATA!#REF!,2,FALSE),"")</f>
        <v/>
      </c>
    </row>
    <row r="523" spans="2:4" s="237" customFormat="1">
      <c r="B523" s="15" t="str">
        <f t="shared" si="46"/>
        <v/>
      </c>
      <c r="C523" s="16" t="str">
        <f>IFERROR(VLOOKUP(DATA!#REF!,DATA!#REF!,1,FALSE),"")</f>
        <v/>
      </c>
      <c r="D523" s="16" t="str">
        <f>IFERROR(VLOOKUP(C523,DATA!#REF!,2,FALSE),"")</f>
        <v/>
      </c>
    </row>
    <row r="524" spans="2:4" s="237" customFormat="1">
      <c r="B524" s="15" t="str">
        <f t="shared" si="46"/>
        <v/>
      </c>
      <c r="C524" s="16" t="str">
        <f>IFERROR(VLOOKUP(DATA!#REF!,DATA!#REF!,1,FALSE),"")</f>
        <v/>
      </c>
      <c r="D524" s="16" t="str">
        <f>IFERROR(VLOOKUP(C524,DATA!#REF!,2,FALSE),"")</f>
        <v/>
      </c>
    </row>
    <row r="525" spans="2:4" s="237" customFormat="1">
      <c r="B525" s="15" t="str">
        <f t="shared" si="46"/>
        <v/>
      </c>
      <c r="C525" s="16" t="str">
        <f>IFERROR(VLOOKUP(DATA!#REF!,DATA!#REF!,1,FALSE),"")</f>
        <v/>
      </c>
      <c r="D525" s="16" t="str">
        <f>IFERROR(VLOOKUP(C525,DATA!#REF!,2,FALSE),"")</f>
        <v/>
      </c>
    </row>
    <row r="526" spans="2:4" s="237" customFormat="1">
      <c r="B526" s="15" t="str">
        <f t="shared" si="46"/>
        <v/>
      </c>
      <c r="C526" s="16" t="str">
        <f>IFERROR(VLOOKUP(DATA!#REF!,DATA!#REF!,1,FALSE),"")</f>
        <v/>
      </c>
      <c r="D526" s="16" t="str">
        <f>IFERROR(VLOOKUP(C526,DATA!#REF!,2,FALSE),"")</f>
        <v/>
      </c>
    </row>
    <row r="527" spans="2:4" s="237" customFormat="1">
      <c r="B527" s="15" t="str">
        <f t="shared" si="46"/>
        <v/>
      </c>
      <c r="C527" s="16" t="str">
        <f>IFERROR(VLOOKUP(DATA!#REF!,DATA!#REF!,1,FALSE),"")</f>
        <v/>
      </c>
      <c r="D527" s="16" t="str">
        <f>IFERROR(VLOOKUP(C527,DATA!#REF!,2,FALSE),"")</f>
        <v/>
      </c>
    </row>
    <row r="528" spans="2:4" s="237" customFormat="1">
      <c r="B528" s="15" t="str">
        <f t="shared" si="46"/>
        <v/>
      </c>
      <c r="C528" s="16" t="str">
        <f>IFERROR(VLOOKUP(DATA!#REF!,DATA!#REF!,1,FALSE),"")</f>
        <v/>
      </c>
      <c r="D528" s="16" t="str">
        <f>IFERROR(VLOOKUP(C528,DATA!#REF!,2,FALSE),"")</f>
        <v/>
      </c>
    </row>
    <row r="529" spans="2:4" s="237" customFormat="1">
      <c r="B529" s="15" t="str">
        <f t="shared" si="46"/>
        <v/>
      </c>
      <c r="C529" s="16" t="str">
        <f>IFERROR(VLOOKUP(DATA!#REF!,DATA!#REF!,1,FALSE),"")</f>
        <v/>
      </c>
      <c r="D529" s="16" t="str">
        <f>IFERROR(VLOOKUP(C529,DATA!#REF!,2,FALSE),"")</f>
        <v/>
      </c>
    </row>
    <row r="530" spans="2:4" s="237" customFormat="1">
      <c r="B530" s="15" t="str">
        <f t="shared" si="46"/>
        <v/>
      </c>
      <c r="C530" s="16" t="str">
        <f>IFERROR(VLOOKUP(DATA!#REF!,DATA!#REF!,1,FALSE),"")</f>
        <v/>
      </c>
      <c r="D530" s="16" t="str">
        <f>IFERROR(VLOOKUP(C530,DATA!#REF!,2,FALSE),"")</f>
        <v/>
      </c>
    </row>
    <row r="531" spans="2:4" s="237" customFormat="1">
      <c r="B531" s="15" t="str">
        <f t="shared" si="46"/>
        <v/>
      </c>
      <c r="C531" s="16" t="str">
        <f>IFERROR(VLOOKUP(DATA!#REF!,DATA!#REF!,1,FALSE),"")</f>
        <v/>
      </c>
      <c r="D531" s="16" t="str">
        <f>IFERROR(VLOOKUP(C531,DATA!#REF!,2,FALSE),"")</f>
        <v/>
      </c>
    </row>
    <row r="532" spans="2:4" s="237" customFormat="1">
      <c r="B532" s="15" t="str">
        <f t="shared" si="46"/>
        <v/>
      </c>
      <c r="C532" s="16" t="str">
        <f>IFERROR(VLOOKUP(DATA!#REF!,DATA!#REF!,1,FALSE),"")</f>
        <v/>
      </c>
      <c r="D532" s="16" t="str">
        <f>IFERROR(VLOOKUP(C532,DATA!#REF!,2,FALSE),"")</f>
        <v/>
      </c>
    </row>
    <row r="533" spans="2:4" s="237" customFormat="1">
      <c r="B533" s="15" t="str">
        <f t="shared" si="46"/>
        <v/>
      </c>
      <c r="C533" s="16" t="str">
        <f>IFERROR(VLOOKUP(DATA!#REF!,DATA!#REF!,1,FALSE),"")</f>
        <v/>
      </c>
      <c r="D533" s="16" t="str">
        <f>IFERROR(VLOOKUP(C533,DATA!#REF!,2,FALSE),"")</f>
        <v/>
      </c>
    </row>
    <row r="534" spans="2:4" s="237" customFormat="1">
      <c r="B534" s="15" t="str">
        <f t="shared" si="46"/>
        <v/>
      </c>
      <c r="C534" s="16" t="str">
        <f>IFERROR(VLOOKUP(DATA!#REF!,DATA!#REF!,1,FALSE),"")</f>
        <v/>
      </c>
      <c r="D534" s="16" t="str">
        <f>IFERROR(VLOOKUP(C534,DATA!#REF!,2,FALSE),"")</f>
        <v/>
      </c>
    </row>
    <row r="535" spans="2:4" s="237" customFormat="1">
      <c r="B535" s="15" t="str">
        <f t="shared" si="46"/>
        <v/>
      </c>
      <c r="C535" s="16" t="str">
        <f>IFERROR(VLOOKUP(DATA!#REF!,DATA!#REF!,1,FALSE),"")</f>
        <v/>
      </c>
      <c r="D535" s="16" t="str">
        <f>IFERROR(VLOOKUP(C535,DATA!#REF!,2,FALSE),"")</f>
        <v/>
      </c>
    </row>
    <row r="536" spans="2:4" s="237" customFormat="1">
      <c r="B536" s="15" t="str">
        <f t="shared" si="46"/>
        <v/>
      </c>
      <c r="C536" s="16" t="str">
        <f>IFERROR(VLOOKUP(DATA!#REF!,DATA!#REF!,1,FALSE),"")</f>
        <v/>
      </c>
      <c r="D536" s="16" t="str">
        <f>IFERROR(VLOOKUP(C536,DATA!#REF!,2,FALSE),"")</f>
        <v/>
      </c>
    </row>
    <row r="537" spans="2:4" s="237" customFormat="1">
      <c r="B537" s="15" t="str">
        <f t="shared" si="46"/>
        <v/>
      </c>
      <c r="C537" s="16" t="str">
        <f>IFERROR(VLOOKUP(DATA!#REF!,DATA!#REF!,1,FALSE),"")</f>
        <v/>
      </c>
      <c r="D537" s="16" t="str">
        <f>IFERROR(VLOOKUP(C537,DATA!#REF!,2,FALSE),"")</f>
        <v/>
      </c>
    </row>
    <row r="538" spans="2:4" s="237" customFormat="1">
      <c r="B538" s="15" t="str">
        <f t="shared" si="46"/>
        <v/>
      </c>
      <c r="C538" s="16" t="str">
        <f>IFERROR(VLOOKUP(DATA!#REF!,DATA!#REF!,1,FALSE),"")</f>
        <v/>
      </c>
      <c r="D538" s="16" t="str">
        <f>IFERROR(VLOOKUP(C538,DATA!#REF!,2,FALSE),"")</f>
        <v/>
      </c>
    </row>
    <row r="539" spans="2:4" s="237" customFormat="1">
      <c r="B539" s="15" t="str">
        <f t="shared" si="46"/>
        <v/>
      </c>
      <c r="C539" s="16" t="str">
        <f>IFERROR(VLOOKUP(DATA!#REF!,DATA!#REF!,1,FALSE),"")</f>
        <v/>
      </c>
      <c r="D539" s="16" t="str">
        <f>IFERROR(VLOOKUP(C539,DATA!#REF!,2,FALSE),"")</f>
        <v/>
      </c>
    </row>
    <row r="540" spans="2:4" s="237" customFormat="1">
      <c r="B540" s="15" t="str">
        <f t="shared" si="46"/>
        <v/>
      </c>
      <c r="C540" s="16" t="str">
        <f>IFERROR(VLOOKUP(DATA!#REF!,DATA!#REF!,1,FALSE),"")</f>
        <v/>
      </c>
      <c r="D540" s="16" t="str">
        <f>IFERROR(VLOOKUP(C540,DATA!#REF!,2,FALSE),"")</f>
        <v/>
      </c>
    </row>
    <row r="541" spans="2:4" s="237" customFormat="1">
      <c r="B541" s="15" t="str">
        <f t="shared" si="46"/>
        <v/>
      </c>
      <c r="C541" s="16" t="str">
        <f>IFERROR(VLOOKUP(DATA!#REF!,DATA!#REF!,1,FALSE),"")</f>
        <v/>
      </c>
      <c r="D541" s="16" t="str">
        <f>IFERROR(VLOOKUP(C541,DATA!#REF!,2,FALSE),"")</f>
        <v/>
      </c>
    </row>
    <row r="542" spans="2:4" s="237" customFormat="1">
      <c r="B542" s="15" t="str">
        <f t="shared" si="46"/>
        <v/>
      </c>
      <c r="C542" s="16" t="str">
        <f>IFERROR(VLOOKUP(DATA!#REF!,DATA!#REF!,1,FALSE),"")</f>
        <v/>
      </c>
      <c r="D542" s="16" t="str">
        <f>IFERROR(VLOOKUP(C542,DATA!#REF!,2,FALSE),"")</f>
        <v/>
      </c>
    </row>
    <row r="543" spans="2:4" s="237" customFormat="1">
      <c r="B543" s="15" t="str">
        <f t="shared" si="46"/>
        <v/>
      </c>
      <c r="C543" s="16" t="str">
        <f>IFERROR(VLOOKUP(DATA!#REF!,DATA!#REF!,1,FALSE),"")</f>
        <v/>
      </c>
      <c r="D543" s="16" t="str">
        <f>IFERROR(VLOOKUP(C543,DATA!#REF!,2,FALSE),"")</f>
        <v/>
      </c>
    </row>
    <row r="544" spans="2:4" s="237" customFormat="1">
      <c r="B544" s="15" t="str">
        <f t="shared" si="46"/>
        <v/>
      </c>
      <c r="C544" s="16" t="str">
        <f>IFERROR(VLOOKUP(DATA!#REF!,DATA!#REF!,1,FALSE),"")</f>
        <v/>
      </c>
      <c r="D544" s="16" t="str">
        <f>IFERROR(VLOOKUP(C544,DATA!#REF!,2,FALSE),"")</f>
        <v/>
      </c>
    </row>
    <row r="545" spans="2:4" s="237" customFormat="1">
      <c r="B545" s="15" t="str">
        <f t="shared" si="46"/>
        <v/>
      </c>
      <c r="C545" s="16" t="str">
        <f>IFERROR(VLOOKUP(DATA!#REF!,DATA!#REF!,1,FALSE),"")</f>
        <v/>
      </c>
      <c r="D545" s="16" t="str">
        <f>IFERROR(VLOOKUP(C545,DATA!#REF!,2,FALSE),"")</f>
        <v/>
      </c>
    </row>
    <row r="546" spans="2:4" s="237" customFormat="1">
      <c r="B546" s="15" t="str">
        <f t="shared" si="46"/>
        <v/>
      </c>
      <c r="C546" s="16" t="str">
        <f>IFERROR(VLOOKUP(DATA!#REF!,DATA!#REF!,1,FALSE),"")</f>
        <v/>
      </c>
      <c r="D546" s="16" t="str">
        <f>IFERROR(VLOOKUP(C546,DATA!#REF!,2,FALSE),"")</f>
        <v/>
      </c>
    </row>
    <row r="547" spans="2:4" s="237" customFormat="1">
      <c r="B547" s="15" t="str">
        <f t="shared" si="46"/>
        <v/>
      </c>
      <c r="C547" s="16" t="str">
        <f>IFERROR(VLOOKUP(DATA!#REF!,DATA!#REF!,1,FALSE),"")</f>
        <v/>
      </c>
      <c r="D547" s="16" t="str">
        <f>IFERROR(VLOOKUP(C547,DATA!#REF!,2,FALSE),"")</f>
        <v/>
      </c>
    </row>
    <row r="548" spans="2:4" s="237" customFormat="1">
      <c r="B548" s="15" t="str">
        <f t="shared" si="46"/>
        <v/>
      </c>
      <c r="C548" s="16" t="str">
        <f>IFERROR(VLOOKUP(DATA!#REF!,DATA!#REF!,1,FALSE),"")</f>
        <v/>
      </c>
      <c r="D548" s="16" t="str">
        <f>IFERROR(VLOOKUP(C548,DATA!#REF!,2,FALSE),"")</f>
        <v/>
      </c>
    </row>
    <row r="549" spans="2:4" s="237" customFormat="1">
      <c r="B549" s="15" t="str">
        <f t="shared" si="46"/>
        <v/>
      </c>
      <c r="C549" s="16" t="str">
        <f>IFERROR(VLOOKUP(DATA!#REF!,DATA!#REF!,1,FALSE),"")</f>
        <v/>
      </c>
      <c r="D549" s="16" t="str">
        <f>IFERROR(VLOOKUP(C549,DATA!#REF!,2,FALSE),"")</f>
        <v/>
      </c>
    </row>
    <row r="550" spans="2:4" s="237" customFormat="1">
      <c r="B550" s="15" t="str">
        <f t="shared" si="46"/>
        <v/>
      </c>
      <c r="C550" s="16" t="str">
        <f>IFERROR(VLOOKUP(DATA!#REF!,DATA!#REF!,1,FALSE),"")</f>
        <v/>
      </c>
      <c r="D550" s="16" t="str">
        <f>IFERROR(VLOOKUP(C550,DATA!#REF!,2,FALSE),"")</f>
        <v/>
      </c>
    </row>
    <row r="551" spans="2:4" s="237" customFormat="1">
      <c r="B551" s="15" t="str">
        <f t="shared" si="46"/>
        <v/>
      </c>
      <c r="C551" s="16" t="str">
        <f>IFERROR(VLOOKUP(DATA!#REF!,DATA!#REF!,1,FALSE),"")</f>
        <v/>
      </c>
      <c r="D551" s="16" t="str">
        <f>IFERROR(VLOOKUP(C551,DATA!#REF!,2,FALSE),"")</f>
        <v/>
      </c>
    </row>
    <row r="552" spans="2:4" s="237" customFormat="1">
      <c r="B552" s="15" t="str">
        <f t="shared" si="46"/>
        <v/>
      </c>
      <c r="C552" s="16" t="str">
        <f>IFERROR(VLOOKUP(DATA!#REF!,DATA!#REF!,1,FALSE),"")</f>
        <v/>
      </c>
      <c r="D552" s="16" t="str">
        <f>IFERROR(VLOOKUP(C552,DATA!#REF!,2,FALSE),"")</f>
        <v/>
      </c>
    </row>
    <row r="553" spans="2:4" s="237" customFormat="1">
      <c r="B553" s="15" t="str">
        <f t="shared" si="46"/>
        <v/>
      </c>
      <c r="C553" s="16" t="str">
        <f>IFERROR(VLOOKUP(DATA!#REF!,DATA!#REF!,1,FALSE),"")</f>
        <v/>
      </c>
      <c r="D553" s="16" t="str">
        <f>IFERROR(VLOOKUP(C553,DATA!#REF!,2,FALSE),"")</f>
        <v/>
      </c>
    </row>
    <row r="554" spans="2:4" s="237" customFormat="1">
      <c r="B554" s="15" t="str">
        <f t="shared" si="46"/>
        <v/>
      </c>
      <c r="C554" s="16" t="str">
        <f>IFERROR(VLOOKUP(DATA!#REF!,DATA!#REF!,1,FALSE),"")</f>
        <v/>
      </c>
      <c r="D554" s="16" t="str">
        <f>IFERROR(VLOOKUP(C554,DATA!#REF!,2,FALSE),"")</f>
        <v/>
      </c>
    </row>
    <row r="555" spans="2:4" s="237" customFormat="1">
      <c r="B555" s="15" t="str">
        <f t="shared" si="46"/>
        <v/>
      </c>
      <c r="C555" s="16" t="str">
        <f>IFERROR(VLOOKUP(DATA!#REF!,DATA!#REF!,1,FALSE),"")</f>
        <v/>
      </c>
      <c r="D555" s="16" t="str">
        <f>IFERROR(VLOOKUP(C555,DATA!#REF!,2,FALSE),"")</f>
        <v/>
      </c>
    </row>
    <row r="556" spans="2:4" s="237" customFormat="1">
      <c r="B556" s="15" t="str">
        <f t="shared" si="46"/>
        <v/>
      </c>
      <c r="C556" s="16" t="str">
        <f>IFERROR(VLOOKUP(DATA!#REF!,DATA!#REF!,1,FALSE),"")</f>
        <v/>
      </c>
      <c r="D556" s="16" t="str">
        <f>IFERROR(VLOOKUP(C556,DATA!#REF!,2,FALSE),"")</f>
        <v/>
      </c>
    </row>
    <row r="557" spans="2:4" s="237" customFormat="1">
      <c r="B557" s="15" t="str">
        <f t="shared" si="46"/>
        <v/>
      </c>
      <c r="C557" s="16" t="str">
        <f>IFERROR(VLOOKUP(DATA!#REF!,DATA!#REF!,1,FALSE),"")</f>
        <v/>
      </c>
      <c r="D557" s="16" t="str">
        <f>IFERROR(VLOOKUP(C557,DATA!#REF!,2,FALSE),"")</f>
        <v/>
      </c>
    </row>
    <row r="558" spans="2:4" s="237" customFormat="1">
      <c r="B558" s="15" t="str">
        <f t="shared" si="46"/>
        <v/>
      </c>
      <c r="C558" s="16" t="str">
        <f>IFERROR(VLOOKUP(DATA!#REF!,DATA!#REF!,1,FALSE),"")</f>
        <v/>
      </c>
      <c r="D558" s="16" t="str">
        <f>IFERROR(VLOOKUP(C558,DATA!#REF!,2,FALSE),"")</f>
        <v/>
      </c>
    </row>
    <row r="559" spans="2:4" s="237" customFormat="1">
      <c r="B559" s="15" t="str">
        <f t="shared" si="46"/>
        <v/>
      </c>
      <c r="C559" s="16" t="str">
        <f>IFERROR(VLOOKUP(DATA!#REF!,DATA!#REF!,1,FALSE),"")</f>
        <v/>
      </c>
      <c r="D559" s="16" t="str">
        <f>IFERROR(VLOOKUP(C559,DATA!#REF!,2,FALSE),"")</f>
        <v/>
      </c>
    </row>
    <row r="560" spans="2:4" s="237" customFormat="1">
      <c r="B560" s="15" t="str">
        <f t="shared" si="46"/>
        <v/>
      </c>
      <c r="C560" s="16" t="str">
        <f>IFERROR(VLOOKUP(DATA!#REF!,DATA!#REF!,1,FALSE),"")</f>
        <v/>
      </c>
      <c r="D560" s="16" t="str">
        <f>IFERROR(VLOOKUP(C560,DATA!#REF!,2,FALSE),"")</f>
        <v/>
      </c>
    </row>
    <row r="561" spans="2:4" s="237" customFormat="1">
      <c r="B561" s="15" t="str">
        <f t="shared" si="46"/>
        <v/>
      </c>
      <c r="C561" s="16" t="str">
        <f>IFERROR(VLOOKUP(DATA!#REF!,DATA!#REF!,1,FALSE),"")</f>
        <v/>
      </c>
      <c r="D561" s="16" t="str">
        <f>IFERROR(VLOOKUP(C561,DATA!#REF!,2,FALSE),"")</f>
        <v/>
      </c>
    </row>
    <row r="562" spans="2:4" s="237" customFormat="1">
      <c r="B562" s="15" t="str">
        <f t="shared" si="46"/>
        <v/>
      </c>
      <c r="C562" s="16" t="str">
        <f>IFERROR(VLOOKUP(DATA!#REF!,DATA!#REF!,1,FALSE),"")</f>
        <v/>
      </c>
      <c r="D562" s="16" t="str">
        <f>IFERROR(VLOOKUP(C562,DATA!#REF!,2,FALSE),"")</f>
        <v/>
      </c>
    </row>
    <row r="563" spans="2:4" s="237" customFormat="1">
      <c r="B563" s="15" t="str">
        <f t="shared" si="46"/>
        <v/>
      </c>
      <c r="C563" s="16" t="str">
        <f>IFERROR(VLOOKUP(DATA!#REF!,DATA!#REF!,1,FALSE),"")</f>
        <v/>
      </c>
      <c r="D563" s="16" t="str">
        <f>IFERROR(VLOOKUP(C563,DATA!#REF!,2,FALSE),"")</f>
        <v/>
      </c>
    </row>
    <row r="564" spans="2:4" s="237" customFormat="1">
      <c r="B564" s="15" t="str">
        <f t="shared" si="46"/>
        <v/>
      </c>
      <c r="C564" s="16" t="str">
        <f>IFERROR(VLOOKUP(DATA!#REF!,DATA!#REF!,1,FALSE),"")</f>
        <v/>
      </c>
      <c r="D564" s="16" t="str">
        <f>IFERROR(VLOOKUP(C564,DATA!#REF!,2,FALSE),"")</f>
        <v/>
      </c>
    </row>
    <row r="565" spans="2:4" s="237" customFormat="1">
      <c r="B565" s="15" t="str">
        <f t="shared" si="46"/>
        <v/>
      </c>
      <c r="C565" s="16" t="str">
        <f>IFERROR(VLOOKUP(DATA!#REF!,DATA!#REF!,1,FALSE),"")</f>
        <v/>
      </c>
      <c r="D565" s="16" t="str">
        <f>IFERROR(VLOOKUP(C565,DATA!#REF!,2,FALSE),"")</f>
        <v/>
      </c>
    </row>
    <row r="566" spans="2:4" s="237" customFormat="1">
      <c r="B566" s="15" t="str">
        <f t="shared" si="46"/>
        <v/>
      </c>
      <c r="C566" s="16" t="str">
        <f>IFERROR(VLOOKUP(DATA!#REF!,DATA!#REF!,1,FALSE),"")</f>
        <v/>
      </c>
      <c r="D566" s="16" t="str">
        <f>IFERROR(VLOOKUP(C566,DATA!#REF!,2,FALSE),"")</f>
        <v/>
      </c>
    </row>
    <row r="567" spans="2:4" s="237" customFormat="1">
      <c r="B567" s="15" t="str">
        <f t="shared" si="46"/>
        <v/>
      </c>
      <c r="C567" s="16" t="str">
        <f>IFERROR(VLOOKUP(DATA!#REF!,DATA!#REF!,1,FALSE),"")</f>
        <v/>
      </c>
      <c r="D567" s="16" t="str">
        <f>IFERROR(VLOOKUP(C567,DATA!#REF!,2,FALSE),"")</f>
        <v/>
      </c>
    </row>
    <row r="568" spans="2:4" s="237" customFormat="1">
      <c r="B568" s="15" t="str">
        <f t="shared" si="46"/>
        <v/>
      </c>
      <c r="C568" s="16" t="str">
        <f>IFERROR(VLOOKUP(DATA!#REF!,DATA!#REF!,1,FALSE),"")</f>
        <v/>
      </c>
      <c r="D568" s="16" t="str">
        <f>IFERROR(VLOOKUP(C568,DATA!#REF!,2,FALSE),"")</f>
        <v/>
      </c>
    </row>
    <row r="569" spans="2:4" s="237" customFormat="1">
      <c r="B569" s="15" t="str">
        <f t="shared" si="46"/>
        <v/>
      </c>
      <c r="C569" s="16" t="str">
        <f>IFERROR(VLOOKUP(DATA!#REF!,DATA!#REF!,1,FALSE),"")</f>
        <v/>
      </c>
      <c r="D569" s="16" t="str">
        <f>IFERROR(VLOOKUP(C569,DATA!#REF!,2,FALSE),"")</f>
        <v/>
      </c>
    </row>
    <row r="570" spans="2:4" s="237" customFormat="1">
      <c r="B570" s="15" t="str">
        <f t="shared" si="46"/>
        <v/>
      </c>
      <c r="C570" s="16" t="str">
        <f>IFERROR(VLOOKUP(DATA!#REF!,DATA!#REF!,1,FALSE),"")</f>
        <v/>
      </c>
      <c r="D570" s="16" t="str">
        <f>IFERROR(VLOOKUP(C570,DATA!#REF!,2,FALSE),"")</f>
        <v/>
      </c>
    </row>
    <row r="571" spans="2:4" s="237" customFormat="1">
      <c r="B571" s="15" t="str">
        <f t="shared" si="46"/>
        <v/>
      </c>
      <c r="C571" s="16" t="str">
        <f>IFERROR(VLOOKUP(DATA!#REF!,DATA!#REF!,1,FALSE),"")</f>
        <v/>
      </c>
      <c r="D571" s="16" t="str">
        <f>IFERROR(VLOOKUP(C571,DATA!#REF!,2,FALSE),"")</f>
        <v/>
      </c>
    </row>
    <row r="572" spans="2:4" s="237" customFormat="1">
      <c r="B572" s="15" t="str">
        <f t="shared" si="46"/>
        <v/>
      </c>
      <c r="C572" s="16" t="str">
        <f>IFERROR(VLOOKUP(DATA!#REF!,DATA!#REF!,1,FALSE),"")</f>
        <v/>
      </c>
      <c r="D572" s="16" t="str">
        <f>IFERROR(VLOOKUP(C572,DATA!#REF!,2,FALSE),"")</f>
        <v/>
      </c>
    </row>
    <row r="573" spans="2:4" s="237" customFormat="1">
      <c r="B573" s="15" t="str">
        <f t="shared" si="46"/>
        <v/>
      </c>
      <c r="C573" s="16" t="str">
        <f>IFERROR(VLOOKUP(DATA!#REF!,DATA!#REF!,1,FALSE),"")</f>
        <v/>
      </c>
      <c r="D573" s="16" t="str">
        <f>IFERROR(VLOOKUP(C573,DATA!#REF!,2,FALSE),"")</f>
        <v/>
      </c>
    </row>
    <row r="574" spans="2:4" s="237" customFormat="1">
      <c r="B574" s="15" t="str">
        <f t="shared" si="46"/>
        <v/>
      </c>
      <c r="C574" s="16" t="str">
        <f>IFERROR(VLOOKUP(DATA!#REF!,DATA!#REF!,1,FALSE),"")</f>
        <v/>
      </c>
      <c r="D574" s="16" t="str">
        <f>IFERROR(VLOOKUP(C574,DATA!#REF!,2,FALSE),"")</f>
        <v/>
      </c>
    </row>
    <row r="575" spans="2:4" s="237" customFormat="1">
      <c r="B575" s="15" t="str">
        <f t="shared" si="46"/>
        <v/>
      </c>
      <c r="C575" s="16" t="str">
        <f>IFERROR(VLOOKUP(DATA!#REF!,DATA!#REF!,1,FALSE),"")</f>
        <v/>
      </c>
      <c r="D575" s="16" t="str">
        <f>IFERROR(VLOOKUP(C575,DATA!#REF!,2,FALSE),"")</f>
        <v/>
      </c>
    </row>
    <row r="576" spans="2:4" s="237" customFormat="1">
      <c r="B576" s="15" t="str">
        <f t="shared" si="46"/>
        <v/>
      </c>
      <c r="C576" s="16" t="str">
        <f>IFERROR(VLOOKUP(DATA!#REF!,DATA!#REF!,1,FALSE),"")</f>
        <v/>
      </c>
      <c r="D576" s="16" t="str">
        <f>IFERROR(VLOOKUP(C576,DATA!#REF!,2,FALSE),"")</f>
        <v/>
      </c>
    </row>
    <row r="577" spans="2:4" s="237" customFormat="1">
      <c r="B577" s="15" t="str">
        <f t="shared" si="46"/>
        <v/>
      </c>
      <c r="C577" s="16" t="str">
        <f>IFERROR(VLOOKUP(DATA!#REF!,DATA!#REF!,1,FALSE),"")</f>
        <v/>
      </c>
      <c r="D577" s="16" t="str">
        <f>IFERROR(VLOOKUP(C577,DATA!#REF!,2,FALSE),"")</f>
        <v/>
      </c>
    </row>
    <row r="578" spans="2:4" s="237" customFormat="1">
      <c r="B578" s="15" t="str">
        <f t="shared" si="46"/>
        <v/>
      </c>
      <c r="C578" s="16" t="str">
        <f>IFERROR(VLOOKUP(DATA!#REF!,DATA!#REF!,1,FALSE),"")</f>
        <v/>
      </c>
      <c r="D578" s="16" t="str">
        <f>IFERROR(VLOOKUP(C578,DATA!#REF!,2,FALSE),"")</f>
        <v/>
      </c>
    </row>
    <row r="579" spans="2:4" s="237" customFormat="1">
      <c r="B579" s="15" t="str">
        <f t="shared" si="46"/>
        <v/>
      </c>
      <c r="C579" s="16" t="str">
        <f>IFERROR(VLOOKUP(DATA!#REF!,DATA!#REF!,1,FALSE),"")</f>
        <v/>
      </c>
      <c r="D579" s="16" t="str">
        <f>IFERROR(VLOOKUP(C579,DATA!#REF!,2,FALSE),"")</f>
        <v/>
      </c>
    </row>
    <row r="580" spans="2:4" s="237" customFormat="1">
      <c r="B580" s="15" t="str">
        <f t="shared" si="46"/>
        <v/>
      </c>
      <c r="C580" s="16" t="str">
        <f>IFERROR(VLOOKUP(DATA!#REF!,DATA!#REF!,1,FALSE),"")</f>
        <v/>
      </c>
      <c r="D580" s="16" t="str">
        <f>IFERROR(VLOOKUP(C580,DATA!#REF!,2,FALSE),"")</f>
        <v/>
      </c>
    </row>
    <row r="581" spans="2:4" s="237" customFormat="1">
      <c r="B581" s="15" t="str">
        <f t="shared" si="46"/>
        <v/>
      </c>
      <c r="C581" s="16" t="str">
        <f>IFERROR(VLOOKUP(DATA!#REF!,DATA!#REF!,1,FALSE),"")</f>
        <v/>
      </c>
      <c r="D581" s="16" t="str">
        <f>IFERROR(VLOOKUP(C581,DATA!#REF!,2,FALSE),"")</f>
        <v/>
      </c>
    </row>
    <row r="582" spans="2:4" s="237" customFormat="1">
      <c r="B582" s="15" t="str">
        <f t="shared" ref="B582:B645" si="47">+IF(C582="","",ROW()-5)</f>
        <v/>
      </c>
      <c r="C582" s="16" t="str">
        <f>IFERROR(VLOOKUP(DATA!#REF!,DATA!#REF!,1,FALSE),"")</f>
        <v/>
      </c>
      <c r="D582" s="16" t="str">
        <f>IFERROR(VLOOKUP(C582,DATA!#REF!,2,FALSE),"")</f>
        <v/>
      </c>
    </row>
    <row r="583" spans="2:4" s="237" customFormat="1">
      <c r="B583" s="15" t="str">
        <f t="shared" si="47"/>
        <v/>
      </c>
      <c r="C583" s="16" t="str">
        <f>IFERROR(VLOOKUP(DATA!#REF!,DATA!#REF!,1,FALSE),"")</f>
        <v/>
      </c>
      <c r="D583" s="16" t="str">
        <f>IFERROR(VLOOKUP(C583,DATA!#REF!,2,FALSE),"")</f>
        <v/>
      </c>
    </row>
    <row r="584" spans="2:4" s="237" customFormat="1">
      <c r="B584" s="15" t="str">
        <f t="shared" si="47"/>
        <v/>
      </c>
      <c r="C584" s="16" t="str">
        <f>IFERROR(VLOOKUP(DATA!#REF!,DATA!#REF!,1,FALSE),"")</f>
        <v/>
      </c>
      <c r="D584" s="16" t="str">
        <f>IFERROR(VLOOKUP(C584,DATA!#REF!,2,FALSE),"")</f>
        <v/>
      </c>
    </row>
    <row r="585" spans="2:4" s="237" customFormat="1">
      <c r="B585" s="15" t="str">
        <f t="shared" si="47"/>
        <v/>
      </c>
      <c r="C585" s="16" t="str">
        <f>IFERROR(VLOOKUP(DATA!#REF!,DATA!#REF!,1,FALSE),"")</f>
        <v/>
      </c>
      <c r="D585" s="16" t="str">
        <f>IFERROR(VLOOKUP(C585,DATA!#REF!,2,FALSE),"")</f>
        <v/>
      </c>
    </row>
    <row r="586" spans="2:4" s="237" customFormat="1">
      <c r="B586" s="15" t="str">
        <f t="shared" si="47"/>
        <v/>
      </c>
      <c r="C586" s="16" t="str">
        <f>IFERROR(VLOOKUP(DATA!#REF!,DATA!#REF!,1,FALSE),"")</f>
        <v/>
      </c>
      <c r="D586" s="16" t="str">
        <f>IFERROR(VLOOKUP(C586,DATA!#REF!,2,FALSE),"")</f>
        <v/>
      </c>
    </row>
    <row r="587" spans="2:4" s="237" customFormat="1">
      <c r="B587" s="15" t="str">
        <f t="shared" si="47"/>
        <v/>
      </c>
      <c r="C587" s="16" t="str">
        <f>IFERROR(VLOOKUP(DATA!#REF!,DATA!#REF!,1,FALSE),"")</f>
        <v/>
      </c>
      <c r="D587" s="16" t="str">
        <f>IFERROR(VLOOKUP(C587,DATA!#REF!,2,FALSE),"")</f>
        <v/>
      </c>
    </row>
    <row r="588" spans="2:4" s="237" customFormat="1">
      <c r="B588" s="15" t="str">
        <f t="shared" si="47"/>
        <v/>
      </c>
      <c r="C588" s="16" t="str">
        <f>IFERROR(VLOOKUP(DATA!#REF!,DATA!#REF!,1,FALSE),"")</f>
        <v/>
      </c>
      <c r="D588" s="16" t="str">
        <f>IFERROR(VLOOKUP(C588,DATA!#REF!,2,FALSE),"")</f>
        <v/>
      </c>
    </row>
    <row r="589" spans="2:4" s="237" customFormat="1">
      <c r="B589" s="15" t="str">
        <f t="shared" si="47"/>
        <v/>
      </c>
      <c r="C589" s="16" t="str">
        <f>IFERROR(VLOOKUP(DATA!#REF!,DATA!#REF!,1,FALSE),"")</f>
        <v/>
      </c>
      <c r="D589" s="16" t="str">
        <f>IFERROR(VLOOKUP(C589,DATA!#REF!,2,FALSE),"")</f>
        <v/>
      </c>
    </row>
    <row r="590" spans="2:4" s="237" customFormat="1">
      <c r="B590" s="15" t="str">
        <f t="shared" si="47"/>
        <v/>
      </c>
      <c r="C590" s="16" t="str">
        <f>IFERROR(VLOOKUP(DATA!#REF!,DATA!#REF!,1,FALSE),"")</f>
        <v/>
      </c>
      <c r="D590" s="16" t="str">
        <f>IFERROR(VLOOKUP(C590,DATA!#REF!,2,FALSE),"")</f>
        <v/>
      </c>
    </row>
    <row r="591" spans="2:4" s="237" customFormat="1">
      <c r="B591" s="15" t="str">
        <f t="shared" si="47"/>
        <v/>
      </c>
      <c r="C591" s="16" t="str">
        <f>IFERROR(VLOOKUP(DATA!#REF!,DATA!#REF!,1,FALSE),"")</f>
        <v/>
      </c>
      <c r="D591" s="16" t="str">
        <f>IFERROR(VLOOKUP(C591,DATA!#REF!,2,FALSE),"")</f>
        <v/>
      </c>
    </row>
    <row r="592" spans="2:4" s="237" customFormat="1">
      <c r="B592" s="15" t="str">
        <f t="shared" si="47"/>
        <v/>
      </c>
      <c r="C592" s="16" t="str">
        <f>IFERROR(VLOOKUP(DATA!#REF!,DATA!#REF!,1,FALSE),"")</f>
        <v/>
      </c>
      <c r="D592" s="16" t="str">
        <f>IFERROR(VLOOKUP(C592,DATA!#REF!,2,FALSE),"")</f>
        <v/>
      </c>
    </row>
    <row r="593" spans="2:4" s="237" customFormat="1">
      <c r="B593" s="15" t="str">
        <f t="shared" si="47"/>
        <v/>
      </c>
      <c r="C593" s="16" t="str">
        <f>IFERROR(VLOOKUP(DATA!#REF!,DATA!#REF!,1,FALSE),"")</f>
        <v/>
      </c>
      <c r="D593" s="16" t="str">
        <f>IFERROR(VLOOKUP(C593,DATA!#REF!,2,FALSE),"")</f>
        <v/>
      </c>
    </row>
    <row r="594" spans="2:4" s="237" customFormat="1">
      <c r="B594" s="15" t="str">
        <f t="shared" si="47"/>
        <v/>
      </c>
      <c r="C594" s="16" t="str">
        <f>IFERROR(VLOOKUP(DATA!#REF!,DATA!#REF!,1,FALSE),"")</f>
        <v/>
      </c>
      <c r="D594" s="16" t="str">
        <f>IFERROR(VLOOKUP(C594,DATA!#REF!,2,FALSE),"")</f>
        <v/>
      </c>
    </row>
    <row r="595" spans="2:4" s="237" customFormat="1">
      <c r="B595" s="15" t="str">
        <f t="shared" si="47"/>
        <v/>
      </c>
      <c r="C595" s="16" t="str">
        <f>IFERROR(VLOOKUP(DATA!#REF!,DATA!#REF!,1,FALSE),"")</f>
        <v/>
      </c>
      <c r="D595" s="16" t="str">
        <f>IFERROR(VLOOKUP(C595,DATA!#REF!,2,FALSE),"")</f>
        <v/>
      </c>
    </row>
    <row r="596" spans="2:4" s="237" customFormat="1">
      <c r="B596" s="15" t="str">
        <f t="shared" si="47"/>
        <v/>
      </c>
      <c r="C596" s="16" t="str">
        <f>IFERROR(VLOOKUP(DATA!#REF!,DATA!#REF!,1,FALSE),"")</f>
        <v/>
      </c>
      <c r="D596" s="16" t="str">
        <f>IFERROR(VLOOKUP(C596,DATA!#REF!,2,FALSE),"")</f>
        <v/>
      </c>
    </row>
    <row r="597" spans="2:4" s="237" customFormat="1">
      <c r="B597" s="15" t="str">
        <f t="shared" si="47"/>
        <v/>
      </c>
      <c r="C597" s="16" t="str">
        <f>IFERROR(VLOOKUP(DATA!#REF!,DATA!#REF!,1,FALSE),"")</f>
        <v/>
      </c>
      <c r="D597" s="16" t="str">
        <f>IFERROR(VLOOKUP(C597,DATA!#REF!,2,FALSE),"")</f>
        <v/>
      </c>
    </row>
    <row r="598" spans="2:4" s="237" customFormat="1">
      <c r="B598" s="15" t="str">
        <f t="shared" si="47"/>
        <v/>
      </c>
      <c r="C598" s="16" t="str">
        <f>IFERROR(VLOOKUP(DATA!#REF!,DATA!#REF!,1,FALSE),"")</f>
        <v/>
      </c>
      <c r="D598" s="16" t="str">
        <f>IFERROR(VLOOKUP(C598,DATA!#REF!,2,FALSE),"")</f>
        <v/>
      </c>
    </row>
    <row r="599" spans="2:4" s="237" customFormat="1">
      <c r="B599" s="15" t="str">
        <f t="shared" si="47"/>
        <v/>
      </c>
      <c r="C599" s="16" t="str">
        <f>IFERROR(VLOOKUP(DATA!#REF!,DATA!#REF!,1,FALSE),"")</f>
        <v/>
      </c>
      <c r="D599" s="16" t="str">
        <f>IFERROR(VLOOKUP(C599,DATA!#REF!,2,FALSE),"")</f>
        <v/>
      </c>
    </row>
    <row r="600" spans="2:4" s="237" customFormat="1">
      <c r="B600" s="15" t="str">
        <f t="shared" si="47"/>
        <v/>
      </c>
      <c r="C600" s="16" t="str">
        <f>IFERROR(VLOOKUP(DATA!#REF!,DATA!#REF!,1,FALSE),"")</f>
        <v/>
      </c>
      <c r="D600" s="16" t="str">
        <f>IFERROR(VLOOKUP(C600,DATA!#REF!,2,FALSE),"")</f>
        <v/>
      </c>
    </row>
    <row r="601" spans="2:4" s="237" customFormat="1">
      <c r="B601" s="15" t="str">
        <f t="shared" si="47"/>
        <v/>
      </c>
      <c r="C601" s="16" t="str">
        <f>IFERROR(VLOOKUP(DATA!#REF!,DATA!#REF!,1,FALSE),"")</f>
        <v/>
      </c>
      <c r="D601" s="16" t="str">
        <f>IFERROR(VLOOKUP(C601,DATA!#REF!,2,FALSE),"")</f>
        <v/>
      </c>
    </row>
    <row r="602" spans="2:4" s="237" customFormat="1">
      <c r="B602" s="15" t="str">
        <f t="shared" si="47"/>
        <v/>
      </c>
      <c r="C602" s="16" t="str">
        <f>IFERROR(VLOOKUP(DATA!#REF!,DATA!#REF!,1,FALSE),"")</f>
        <v/>
      </c>
      <c r="D602" s="16" t="str">
        <f>IFERROR(VLOOKUP(C602,DATA!#REF!,2,FALSE),"")</f>
        <v/>
      </c>
    </row>
    <row r="603" spans="2:4" s="237" customFormat="1">
      <c r="B603" s="15" t="str">
        <f t="shared" si="47"/>
        <v/>
      </c>
      <c r="C603" s="16" t="str">
        <f>IFERROR(VLOOKUP(DATA!#REF!,DATA!#REF!,1,FALSE),"")</f>
        <v/>
      </c>
      <c r="D603" s="16" t="str">
        <f>IFERROR(VLOOKUP(C603,DATA!#REF!,2,FALSE),"")</f>
        <v/>
      </c>
    </row>
    <row r="604" spans="2:4" s="237" customFormat="1">
      <c r="B604" s="15" t="str">
        <f t="shared" si="47"/>
        <v/>
      </c>
      <c r="C604" s="16" t="str">
        <f>IFERROR(VLOOKUP(DATA!#REF!,DATA!#REF!,1,FALSE),"")</f>
        <v/>
      </c>
      <c r="D604" s="16" t="str">
        <f>IFERROR(VLOOKUP(C604,DATA!#REF!,2,FALSE),"")</f>
        <v/>
      </c>
    </row>
    <row r="605" spans="2:4" s="237" customFormat="1">
      <c r="B605" s="15" t="str">
        <f t="shared" si="47"/>
        <v/>
      </c>
      <c r="C605" s="16" t="str">
        <f>IFERROR(VLOOKUP(DATA!#REF!,DATA!#REF!,1,FALSE),"")</f>
        <v/>
      </c>
      <c r="D605" s="16" t="str">
        <f>IFERROR(VLOOKUP(C605,DATA!#REF!,2,FALSE),"")</f>
        <v/>
      </c>
    </row>
    <row r="606" spans="2:4" s="237" customFormat="1">
      <c r="B606" s="15" t="str">
        <f t="shared" si="47"/>
        <v/>
      </c>
      <c r="C606" s="16" t="str">
        <f>IFERROR(VLOOKUP(DATA!#REF!,DATA!#REF!,1,FALSE),"")</f>
        <v/>
      </c>
      <c r="D606" s="16" t="str">
        <f>IFERROR(VLOOKUP(C606,DATA!#REF!,2,FALSE),"")</f>
        <v/>
      </c>
    </row>
    <row r="607" spans="2:4" s="237" customFormat="1">
      <c r="B607" s="15" t="str">
        <f t="shared" si="47"/>
        <v/>
      </c>
      <c r="C607" s="16" t="str">
        <f>IFERROR(VLOOKUP(DATA!#REF!,DATA!#REF!,1,FALSE),"")</f>
        <v/>
      </c>
      <c r="D607" s="16" t="str">
        <f>IFERROR(VLOOKUP(C607,DATA!#REF!,2,FALSE),"")</f>
        <v/>
      </c>
    </row>
    <row r="608" spans="2:4" s="237" customFormat="1">
      <c r="B608" s="15" t="str">
        <f t="shared" si="47"/>
        <v/>
      </c>
      <c r="C608" s="16" t="str">
        <f>IFERROR(VLOOKUP(DATA!#REF!,DATA!#REF!,1,FALSE),"")</f>
        <v/>
      </c>
      <c r="D608" s="16" t="str">
        <f>IFERROR(VLOOKUP(C608,DATA!#REF!,2,FALSE),"")</f>
        <v/>
      </c>
    </row>
    <row r="609" spans="2:4" s="237" customFormat="1">
      <c r="B609" s="15" t="str">
        <f t="shared" si="47"/>
        <v/>
      </c>
      <c r="C609" s="16" t="str">
        <f>IFERROR(VLOOKUP(DATA!#REF!,DATA!#REF!,1,FALSE),"")</f>
        <v/>
      </c>
      <c r="D609" s="16" t="str">
        <f>IFERROR(VLOOKUP(C609,DATA!#REF!,2,FALSE),"")</f>
        <v/>
      </c>
    </row>
    <row r="610" spans="2:4" s="237" customFormat="1">
      <c r="B610" s="15" t="str">
        <f t="shared" si="47"/>
        <v/>
      </c>
      <c r="C610" s="16" t="str">
        <f>IFERROR(VLOOKUP(DATA!#REF!,DATA!#REF!,1,FALSE),"")</f>
        <v/>
      </c>
      <c r="D610" s="16" t="str">
        <f>IFERROR(VLOOKUP(C610,DATA!#REF!,2,FALSE),"")</f>
        <v/>
      </c>
    </row>
    <row r="611" spans="2:4" s="237" customFormat="1">
      <c r="B611" s="15" t="str">
        <f t="shared" si="47"/>
        <v/>
      </c>
      <c r="C611" s="16" t="str">
        <f>IFERROR(VLOOKUP(DATA!#REF!,DATA!#REF!,1,FALSE),"")</f>
        <v/>
      </c>
      <c r="D611" s="16" t="str">
        <f>IFERROR(VLOOKUP(C611,DATA!#REF!,2,FALSE),"")</f>
        <v/>
      </c>
    </row>
    <row r="612" spans="2:4" s="237" customFormat="1">
      <c r="B612" s="15" t="str">
        <f t="shared" si="47"/>
        <v/>
      </c>
      <c r="C612" s="16" t="str">
        <f>IFERROR(VLOOKUP(DATA!#REF!,DATA!#REF!,1,FALSE),"")</f>
        <v/>
      </c>
      <c r="D612" s="16" t="str">
        <f>IFERROR(VLOOKUP(C612,DATA!#REF!,2,FALSE),"")</f>
        <v/>
      </c>
    </row>
    <row r="613" spans="2:4" s="237" customFormat="1">
      <c r="B613" s="15" t="str">
        <f t="shared" si="47"/>
        <v/>
      </c>
      <c r="C613" s="16" t="str">
        <f>IFERROR(VLOOKUP(DATA!#REF!,DATA!#REF!,1,FALSE),"")</f>
        <v/>
      </c>
      <c r="D613" s="16" t="str">
        <f>IFERROR(VLOOKUP(C613,DATA!#REF!,2,FALSE),"")</f>
        <v/>
      </c>
    </row>
    <row r="614" spans="2:4" s="237" customFormat="1">
      <c r="B614" s="15" t="str">
        <f t="shared" si="47"/>
        <v/>
      </c>
      <c r="C614" s="16" t="str">
        <f>IFERROR(VLOOKUP(DATA!#REF!,DATA!#REF!,1,FALSE),"")</f>
        <v/>
      </c>
      <c r="D614" s="16" t="str">
        <f>IFERROR(VLOOKUP(C614,DATA!#REF!,2,FALSE),"")</f>
        <v/>
      </c>
    </row>
    <row r="615" spans="2:4" s="237" customFormat="1">
      <c r="B615" s="15" t="str">
        <f t="shared" si="47"/>
        <v/>
      </c>
      <c r="C615" s="16" t="str">
        <f>IFERROR(VLOOKUP(DATA!#REF!,DATA!#REF!,1,FALSE),"")</f>
        <v/>
      </c>
      <c r="D615" s="16" t="str">
        <f>IFERROR(VLOOKUP(C615,DATA!#REF!,2,FALSE),"")</f>
        <v/>
      </c>
    </row>
    <row r="616" spans="2:4" s="237" customFormat="1">
      <c r="B616" s="15" t="str">
        <f t="shared" si="47"/>
        <v/>
      </c>
      <c r="C616" s="16" t="str">
        <f>IFERROR(VLOOKUP(DATA!#REF!,DATA!#REF!,1,FALSE),"")</f>
        <v/>
      </c>
      <c r="D616" s="16" t="str">
        <f>IFERROR(VLOOKUP(C616,DATA!#REF!,2,FALSE),"")</f>
        <v/>
      </c>
    </row>
    <row r="617" spans="2:4" s="237" customFormat="1">
      <c r="B617" s="15" t="str">
        <f t="shared" si="47"/>
        <v/>
      </c>
      <c r="C617" s="16" t="str">
        <f>IFERROR(VLOOKUP(DATA!#REF!,DATA!#REF!,1,FALSE),"")</f>
        <v/>
      </c>
      <c r="D617" s="16" t="str">
        <f>IFERROR(VLOOKUP(C617,DATA!#REF!,2,FALSE),"")</f>
        <v/>
      </c>
    </row>
    <row r="618" spans="2:4" s="237" customFormat="1">
      <c r="B618" s="15" t="str">
        <f t="shared" si="47"/>
        <v/>
      </c>
      <c r="C618" s="16" t="str">
        <f>IFERROR(VLOOKUP(DATA!#REF!,DATA!#REF!,1,FALSE),"")</f>
        <v/>
      </c>
      <c r="D618" s="16" t="str">
        <f>IFERROR(VLOOKUP(C618,DATA!#REF!,2,FALSE),"")</f>
        <v/>
      </c>
    </row>
    <row r="619" spans="2:4" s="237" customFormat="1">
      <c r="B619" s="15" t="str">
        <f t="shared" si="47"/>
        <v/>
      </c>
      <c r="C619" s="16" t="str">
        <f>IFERROR(VLOOKUP(DATA!#REF!,DATA!#REF!,1,FALSE),"")</f>
        <v/>
      </c>
      <c r="D619" s="16" t="str">
        <f>IFERROR(VLOOKUP(C619,DATA!#REF!,2,FALSE),"")</f>
        <v/>
      </c>
    </row>
    <row r="620" spans="2:4" s="237" customFormat="1">
      <c r="B620" s="15" t="str">
        <f t="shared" si="47"/>
        <v/>
      </c>
      <c r="C620" s="16" t="str">
        <f>IFERROR(VLOOKUP(DATA!#REF!,DATA!#REF!,1,FALSE),"")</f>
        <v/>
      </c>
      <c r="D620" s="16" t="str">
        <f>IFERROR(VLOOKUP(C620,DATA!#REF!,2,FALSE),"")</f>
        <v/>
      </c>
    </row>
    <row r="621" spans="2:4" s="237" customFormat="1">
      <c r="B621" s="15" t="str">
        <f t="shared" si="47"/>
        <v/>
      </c>
      <c r="C621" s="16" t="str">
        <f>IFERROR(VLOOKUP(DATA!#REF!,DATA!#REF!,1,FALSE),"")</f>
        <v/>
      </c>
      <c r="D621" s="16" t="str">
        <f>IFERROR(VLOOKUP(C621,DATA!#REF!,2,FALSE),"")</f>
        <v/>
      </c>
    </row>
    <row r="622" spans="2:4" s="237" customFormat="1">
      <c r="B622" s="15" t="str">
        <f t="shared" si="47"/>
        <v/>
      </c>
      <c r="C622" s="16" t="str">
        <f>IFERROR(VLOOKUP(DATA!#REF!,DATA!#REF!,1,FALSE),"")</f>
        <v/>
      </c>
      <c r="D622" s="16" t="str">
        <f>IFERROR(VLOOKUP(C622,DATA!#REF!,2,FALSE),"")</f>
        <v/>
      </c>
    </row>
    <row r="623" spans="2:4" s="237" customFormat="1">
      <c r="B623" s="15" t="str">
        <f t="shared" si="47"/>
        <v/>
      </c>
      <c r="C623" s="16" t="str">
        <f>IFERROR(VLOOKUP(DATA!#REF!,DATA!#REF!,1,FALSE),"")</f>
        <v/>
      </c>
      <c r="D623" s="16" t="str">
        <f>IFERROR(VLOOKUP(C623,DATA!#REF!,2,FALSE),"")</f>
        <v/>
      </c>
    </row>
    <row r="624" spans="2:4" s="237" customFormat="1">
      <c r="B624" s="15" t="str">
        <f t="shared" si="47"/>
        <v/>
      </c>
      <c r="C624" s="16" t="str">
        <f>IFERROR(VLOOKUP(DATA!#REF!,DATA!#REF!,1,FALSE),"")</f>
        <v/>
      </c>
      <c r="D624" s="16" t="str">
        <f>IFERROR(VLOOKUP(C624,DATA!#REF!,2,FALSE),"")</f>
        <v/>
      </c>
    </row>
    <row r="625" spans="2:4" s="237" customFormat="1">
      <c r="B625" s="15" t="str">
        <f t="shared" si="47"/>
        <v/>
      </c>
      <c r="C625" s="16" t="str">
        <f>IFERROR(VLOOKUP(DATA!#REF!,DATA!#REF!,1,FALSE),"")</f>
        <v/>
      </c>
      <c r="D625" s="16" t="str">
        <f>IFERROR(VLOOKUP(C625,DATA!#REF!,2,FALSE),"")</f>
        <v/>
      </c>
    </row>
    <row r="626" spans="2:4" s="237" customFormat="1">
      <c r="B626" s="15" t="str">
        <f t="shared" si="47"/>
        <v/>
      </c>
      <c r="C626" s="16" t="str">
        <f>IFERROR(VLOOKUP(DATA!#REF!,DATA!#REF!,1,FALSE),"")</f>
        <v/>
      </c>
      <c r="D626" s="16" t="str">
        <f>IFERROR(VLOOKUP(C626,DATA!#REF!,2,FALSE),"")</f>
        <v/>
      </c>
    </row>
    <row r="627" spans="2:4" s="237" customFormat="1">
      <c r="B627" s="15" t="str">
        <f t="shared" si="47"/>
        <v/>
      </c>
      <c r="C627" s="16" t="str">
        <f>IFERROR(VLOOKUP(DATA!#REF!,DATA!#REF!,1,FALSE),"")</f>
        <v/>
      </c>
      <c r="D627" s="16" t="str">
        <f>IFERROR(VLOOKUP(C627,DATA!#REF!,2,FALSE),"")</f>
        <v/>
      </c>
    </row>
    <row r="628" spans="2:4" s="237" customFormat="1">
      <c r="B628" s="15" t="str">
        <f t="shared" si="47"/>
        <v/>
      </c>
      <c r="C628" s="16" t="str">
        <f>IFERROR(VLOOKUP(DATA!#REF!,DATA!#REF!,1,FALSE),"")</f>
        <v/>
      </c>
      <c r="D628" s="16" t="str">
        <f>IFERROR(VLOOKUP(C628,DATA!#REF!,2,FALSE),"")</f>
        <v/>
      </c>
    </row>
    <row r="629" spans="2:4" s="237" customFormat="1">
      <c r="B629" s="15" t="str">
        <f t="shared" si="47"/>
        <v/>
      </c>
      <c r="C629" s="16" t="str">
        <f>IFERROR(VLOOKUP(DATA!#REF!,DATA!#REF!,1,FALSE),"")</f>
        <v/>
      </c>
      <c r="D629" s="16" t="str">
        <f>IFERROR(VLOOKUP(C629,DATA!#REF!,2,FALSE),"")</f>
        <v/>
      </c>
    </row>
    <row r="630" spans="2:4" s="237" customFormat="1">
      <c r="B630" s="15" t="str">
        <f t="shared" si="47"/>
        <v/>
      </c>
      <c r="C630" s="16" t="str">
        <f>IFERROR(VLOOKUP(DATA!#REF!,DATA!#REF!,1,FALSE),"")</f>
        <v/>
      </c>
      <c r="D630" s="16" t="str">
        <f>IFERROR(VLOOKUP(C630,DATA!#REF!,2,FALSE),"")</f>
        <v/>
      </c>
    </row>
    <row r="631" spans="2:4" s="237" customFormat="1">
      <c r="B631" s="15" t="str">
        <f t="shared" si="47"/>
        <v/>
      </c>
      <c r="C631" s="16" t="str">
        <f>IFERROR(VLOOKUP(DATA!#REF!,DATA!#REF!,1,FALSE),"")</f>
        <v/>
      </c>
      <c r="D631" s="16" t="str">
        <f>IFERROR(VLOOKUP(C631,DATA!#REF!,2,FALSE),"")</f>
        <v/>
      </c>
    </row>
    <row r="632" spans="2:4" s="237" customFormat="1">
      <c r="B632" s="15" t="str">
        <f t="shared" si="47"/>
        <v/>
      </c>
      <c r="C632" s="16" t="str">
        <f>IFERROR(VLOOKUP(DATA!#REF!,DATA!#REF!,1,FALSE),"")</f>
        <v/>
      </c>
      <c r="D632" s="16" t="str">
        <f>IFERROR(VLOOKUP(C632,DATA!#REF!,2,FALSE),"")</f>
        <v/>
      </c>
    </row>
    <row r="633" spans="2:4" s="237" customFormat="1">
      <c r="B633" s="15" t="str">
        <f t="shared" si="47"/>
        <v/>
      </c>
      <c r="C633" s="16" t="str">
        <f>IFERROR(VLOOKUP(DATA!#REF!,DATA!#REF!,1,FALSE),"")</f>
        <v/>
      </c>
      <c r="D633" s="16" t="str">
        <f>IFERROR(VLOOKUP(C633,DATA!#REF!,2,FALSE),"")</f>
        <v/>
      </c>
    </row>
    <row r="634" spans="2:4" s="237" customFormat="1">
      <c r="B634" s="15" t="str">
        <f t="shared" si="47"/>
        <v/>
      </c>
      <c r="C634" s="16" t="str">
        <f>IFERROR(VLOOKUP(DATA!#REF!,DATA!#REF!,1,FALSE),"")</f>
        <v/>
      </c>
      <c r="D634" s="16" t="str">
        <f>IFERROR(VLOOKUP(C634,DATA!#REF!,2,FALSE),"")</f>
        <v/>
      </c>
    </row>
    <row r="635" spans="2:4" s="237" customFormat="1">
      <c r="B635" s="15" t="str">
        <f t="shared" si="47"/>
        <v/>
      </c>
      <c r="C635" s="16" t="str">
        <f>IFERROR(VLOOKUP(DATA!#REF!,DATA!#REF!,1,FALSE),"")</f>
        <v/>
      </c>
      <c r="D635" s="16" t="str">
        <f>IFERROR(VLOOKUP(C635,DATA!#REF!,2,FALSE),"")</f>
        <v/>
      </c>
    </row>
    <row r="636" spans="2:4" s="237" customFormat="1">
      <c r="B636" s="15" t="str">
        <f t="shared" si="47"/>
        <v/>
      </c>
      <c r="C636" s="16" t="str">
        <f>IFERROR(VLOOKUP(DATA!#REF!,DATA!#REF!,1,FALSE),"")</f>
        <v/>
      </c>
      <c r="D636" s="16" t="str">
        <f>IFERROR(VLOOKUP(C636,DATA!#REF!,2,FALSE),"")</f>
        <v/>
      </c>
    </row>
    <row r="637" spans="2:4" s="237" customFormat="1">
      <c r="B637" s="15" t="str">
        <f t="shared" si="47"/>
        <v/>
      </c>
      <c r="C637" s="16" t="str">
        <f>IFERROR(VLOOKUP(DATA!#REF!,DATA!#REF!,1,FALSE),"")</f>
        <v/>
      </c>
      <c r="D637" s="16" t="str">
        <f>IFERROR(VLOOKUP(C637,DATA!#REF!,2,FALSE),"")</f>
        <v/>
      </c>
    </row>
    <row r="638" spans="2:4" s="237" customFormat="1">
      <c r="B638" s="15" t="str">
        <f t="shared" si="47"/>
        <v/>
      </c>
      <c r="C638" s="16" t="str">
        <f>IFERROR(VLOOKUP(DATA!#REF!,DATA!#REF!,1,FALSE),"")</f>
        <v/>
      </c>
      <c r="D638" s="16" t="str">
        <f>IFERROR(VLOOKUP(C638,DATA!#REF!,2,FALSE),"")</f>
        <v/>
      </c>
    </row>
    <row r="639" spans="2:4" s="237" customFormat="1">
      <c r="B639" s="15" t="str">
        <f t="shared" si="47"/>
        <v/>
      </c>
      <c r="C639" s="16" t="str">
        <f>IFERROR(VLOOKUP(DATA!#REF!,DATA!#REF!,1,FALSE),"")</f>
        <v/>
      </c>
      <c r="D639" s="16" t="str">
        <f>IFERROR(VLOOKUP(C639,DATA!#REF!,2,FALSE),"")</f>
        <v/>
      </c>
    </row>
    <row r="640" spans="2:4" s="237" customFormat="1">
      <c r="B640" s="15" t="str">
        <f t="shared" si="47"/>
        <v/>
      </c>
      <c r="C640" s="16" t="str">
        <f>IFERROR(VLOOKUP(DATA!#REF!,DATA!#REF!,1,FALSE),"")</f>
        <v/>
      </c>
      <c r="D640" s="16" t="str">
        <f>IFERROR(VLOOKUP(C640,DATA!#REF!,2,FALSE),"")</f>
        <v/>
      </c>
    </row>
    <row r="641" spans="2:4" s="237" customFormat="1">
      <c r="B641" s="15" t="str">
        <f t="shared" si="47"/>
        <v/>
      </c>
      <c r="C641" s="16" t="str">
        <f>IFERROR(VLOOKUP(DATA!#REF!,DATA!#REF!,1,FALSE),"")</f>
        <v/>
      </c>
      <c r="D641" s="16" t="str">
        <f>IFERROR(VLOOKUP(C641,DATA!#REF!,2,FALSE),"")</f>
        <v/>
      </c>
    </row>
    <row r="642" spans="2:4" s="237" customFormat="1">
      <c r="B642" s="15" t="str">
        <f t="shared" si="47"/>
        <v/>
      </c>
      <c r="C642" s="16" t="str">
        <f>IFERROR(VLOOKUP(DATA!#REF!,DATA!#REF!,1,FALSE),"")</f>
        <v/>
      </c>
      <c r="D642" s="16" t="str">
        <f>IFERROR(VLOOKUP(C642,DATA!#REF!,2,FALSE),"")</f>
        <v/>
      </c>
    </row>
    <row r="643" spans="2:4" s="237" customFormat="1">
      <c r="B643" s="15" t="str">
        <f t="shared" si="47"/>
        <v/>
      </c>
      <c r="C643" s="16" t="str">
        <f>IFERROR(VLOOKUP(DATA!#REF!,DATA!#REF!,1,FALSE),"")</f>
        <v/>
      </c>
      <c r="D643" s="16" t="str">
        <f>IFERROR(VLOOKUP(C643,DATA!#REF!,2,FALSE),"")</f>
        <v/>
      </c>
    </row>
    <row r="644" spans="2:4" s="237" customFormat="1">
      <c r="B644" s="15" t="str">
        <f t="shared" si="47"/>
        <v/>
      </c>
      <c r="C644" s="16" t="str">
        <f>IFERROR(VLOOKUP(DATA!#REF!,DATA!#REF!,1,FALSE),"")</f>
        <v/>
      </c>
      <c r="D644" s="16" t="str">
        <f>IFERROR(VLOOKUP(C644,DATA!#REF!,2,FALSE),"")</f>
        <v/>
      </c>
    </row>
    <row r="645" spans="2:4" s="237" customFormat="1">
      <c r="B645" s="15" t="str">
        <f t="shared" si="47"/>
        <v/>
      </c>
      <c r="C645" s="16" t="str">
        <f>IFERROR(VLOOKUP(DATA!#REF!,DATA!#REF!,1,FALSE),"")</f>
        <v/>
      </c>
      <c r="D645" s="16" t="str">
        <f>IFERROR(VLOOKUP(C645,DATA!#REF!,2,FALSE),"")</f>
        <v/>
      </c>
    </row>
    <row r="646" spans="2:4" s="237" customFormat="1">
      <c r="B646" s="15" t="str">
        <f t="shared" ref="B646:B709" si="48">+IF(C646="","",ROW()-5)</f>
        <v/>
      </c>
      <c r="C646" s="16" t="str">
        <f>IFERROR(VLOOKUP(DATA!#REF!,DATA!#REF!,1,FALSE),"")</f>
        <v/>
      </c>
      <c r="D646" s="16" t="str">
        <f>IFERROR(VLOOKUP(C646,DATA!#REF!,2,FALSE),"")</f>
        <v/>
      </c>
    </row>
    <row r="647" spans="2:4" s="237" customFormat="1">
      <c r="B647" s="15" t="str">
        <f t="shared" si="48"/>
        <v/>
      </c>
      <c r="C647" s="16" t="str">
        <f>IFERROR(VLOOKUP(DATA!#REF!,DATA!#REF!,1,FALSE),"")</f>
        <v/>
      </c>
      <c r="D647" s="16" t="str">
        <f>IFERROR(VLOOKUP(C647,DATA!#REF!,2,FALSE),"")</f>
        <v/>
      </c>
    </row>
    <row r="648" spans="2:4" s="237" customFormat="1">
      <c r="B648" s="15" t="str">
        <f t="shared" si="48"/>
        <v/>
      </c>
      <c r="C648" s="16" t="str">
        <f>IFERROR(VLOOKUP(DATA!#REF!,DATA!#REF!,1,FALSE),"")</f>
        <v/>
      </c>
      <c r="D648" s="16" t="str">
        <f>IFERROR(VLOOKUP(C648,DATA!#REF!,2,FALSE),"")</f>
        <v/>
      </c>
    </row>
    <row r="649" spans="2:4" s="237" customFormat="1">
      <c r="B649" s="15" t="str">
        <f t="shared" si="48"/>
        <v/>
      </c>
      <c r="C649" s="16" t="str">
        <f>IFERROR(VLOOKUP(DATA!#REF!,DATA!#REF!,1,FALSE),"")</f>
        <v/>
      </c>
      <c r="D649" s="16" t="str">
        <f>IFERROR(VLOOKUP(C649,DATA!#REF!,2,FALSE),"")</f>
        <v/>
      </c>
    </row>
    <row r="650" spans="2:4" s="237" customFormat="1">
      <c r="B650" s="15" t="str">
        <f t="shared" si="48"/>
        <v/>
      </c>
      <c r="C650" s="16" t="str">
        <f>IFERROR(VLOOKUP(DATA!#REF!,DATA!#REF!,1,FALSE),"")</f>
        <v/>
      </c>
      <c r="D650" s="16" t="str">
        <f>IFERROR(VLOOKUP(C650,DATA!#REF!,2,FALSE),"")</f>
        <v/>
      </c>
    </row>
    <row r="651" spans="2:4" s="237" customFormat="1">
      <c r="B651" s="15" t="str">
        <f t="shared" si="48"/>
        <v/>
      </c>
      <c r="C651" s="16" t="str">
        <f>IFERROR(VLOOKUP(DATA!#REF!,DATA!#REF!,1,FALSE),"")</f>
        <v/>
      </c>
      <c r="D651" s="16" t="str">
        <f>IFERROR(VLOOKUP(C651,DATA!#REF!,2,FALSE),"")</f>
        <v/>
      </c>
    </row>
    <row r="652" spans="2:4" s="237" customFormat="1">
      <c r="B652" s="15" t="str">
        <f t="shared" si="48"/>
        <v/>
      </c>
      <c r="C652" s="16" t="str">
        <f>IFERROR(VLOOKUP(DATA!#REF!,DATA!#REF!,1,FALSE),"")</f>
        <v/>
      </c>
      <c r="D652" s="16" t="str">
        <f>IFERROR(VLOOKUP(C652,DATA!#REF!,2,FALSE),"")</f>
        <v/>
      </c>
    </row>
    <row r="653" spans="2:4" s="237" customFormat="1">
      <c r="B653" s="15" t="str">
        <f t="shared" si="48"/>
        <v/>
      </c>
      <c r="C653" s="16" t="str">
        <f>IFERROR(VLOOKUP(DATA!#REF!,DATA!#REF!,1,FALSE),"")</f>
        <v/>
      </c>
      <c r="D653" s="16" t="str">
        <f>IFERROR(VLOOKUP(C653,DATA!#REF!,2,FALSE),"")</f>
        <v/>
      </c>
    </row>
    <row r="654" spans="2:4" s="237" customFormat="1">
      <c r="B654" s="15" t="str">
        <f t="shared" si="48"/>
        <v/>
      </c>
      <c r="C654" s="16" t="str">
        <f>IFERROR(VLOOKUP(DATA!#REF!,DATA!#REF!,1,FALSE),"")</f>
        <v/>
      </c>
      <c r="D654" s="16" t="str">
        <f>IFERROR(VLOOKUP(C654,DATA!#REF!,2,FALSE),"")</f>
        <v/>
      </c>
    </row>
    <row r="655" spans="2:4" s="237" customFormat="1">
      <c r="B655" s="15" t="str">
        <f t="shared" si="48"/>
        <v/>
      </c>
      <c r="C655" s="16" t="str">
        <f>IFERROR(VLOOKUP(DATA!#REF!,DATA!#REF!,1,FALSE),"")</f>
        <v/>
      </c>
      <c r="D655" s="16" t="str">
        <f>IFERROR(VLOOKUP(C655,DATA!#REF!,2,FALSE),"")</f>
        <v/>
      </c>
    </row>
    <row r="656" spans="2:4" s="237" customFormat="1">
      <c r="B656" s="15" t="str">
        <f t="shared" si="48"/>
        <v/>
      </c>
      <c r="C656" s="16" t="str">
        <f>IFERROR(VLOOKUP(DATA!#REF!,DATA!#REF!,1,FALSE),"")</f>
        <v/>
      </c>
      <c r="D656" s="16" t="str">
        <f>IFERROR(VLOOKUP(C656,DATA!#REF!,2,FALSE),"")</f>
        <v/>
      </c>
    </row>
    <row r="657" spans="2:4" s="237" customFormat="1">
      <c r="B657" s="15" t="str">
        <f t="shared" si="48"/>
        <v/>
      </c>
      <c r="C657" s="16" t="str">
        <f>IFERROR(VLOOKUP(DATA!#REF!,DATA!#REF!,1,FALSE),"")</f>
        <v/>
      </c>
      <c r="D657" s="16" t="str">
        <f>IFERROR(VLOOKUP(C657,DATA!#REF!,2,FALSE),"")</f>
        <v/>
      </c>
    </row>
    <row r="658" spans="2:4" s="237" customFormat="1">
      <c r="B658" s="15" t="str">
        <f t="shared" si="48"/>
        <v/>
      </c>
      <c r="C658" s="16" t="str">
        <f>IFERROR(VLOOKUP(DATA!#REF!,DATA!#REF!,1,FALSE),"")</f>
        <v/>
      </c>
      <c r="D658" s="16" t="str">
        <f>IFERROR(VLOOKUP(C658,DATA!#REF!,2,FALSE),"")</f>
        <v/>
      </c>
    </row>
    <row r="659" spans="2:4" s="237" customFormat="1">
      <c r="B659" s="15" t="str">
        <f t="shared" si="48"/>
        <v/>
      </c>
      <c r="C659" s="16" t="str">
        <f>IFERROR(VLOOKUP(DATA!#REF!,DATA!#REF!,1,FALSE),"")</f>
        <v/>
      </c>
      <c r="D659" s="16" t="str">
        <f>IFERROR(VLOOKUP(C659,DATA!#REF!,2,FALSE),"")</f>
        <v/>
      </c>
    </row>
    <row r="660" spans="2:4" s="237" customFormat="1">
      <c r="B660" s="15" t="str">
        <f t="shared" si="48"/>
        <v/>
      </c>
      <c r="C660" s="16" t="str">
        <f>IFERROR(VLOOKUP(DATA!#REF!,DATA!#REF!,1,FALSE),"")</f>
        <v/>
      </c>
      <c r="D660" s="16" t="str">
        <f>IFERROR(VLOOKUP(C660,DATA!#REF!,2,FALSE),"")</f>
        <v/>
      </c>
    </row>
    <row r="661" spans="2:4" s="237" customFormat="1">
      <c r="B661" s="15" t="str">
        <f t="shared" si="48"/>
        <v/>
      </c>
      <c r="C661" s="16" t="str">
        <f>IFERROR(VLOOKUP(DATA!#REF!,DATA!#REF!,1,FALSE),"")</f>
        <v/>
      </c>
      <c r="D661" s="16" t="str">
        <f>IFERROR(VLOOKUP(C661,DATA!#REF!,2,FALSE),"")</f>
        <v/>
      </c>
    </row>
    <row r="662" spans="2:4" s="237" customFormat="1">
      <c r="B662" s="15" t="str">
        <f t="shared" si="48"/>
        <v/>
      </c>
      <c r="C662" s="16" t="str">
        <f>IFERROR(VLOOKUP(DATA!#REF!,DATA!#REF!,1,FALSE),"")</f>
        <v/>
      </c>
      <c r="D662" s="16" t="str">
        <f>IFERROR(VLOOKUP(C662,DATA!#REF!,2,FALSE),"")</f>
        <v/>
      </c>
    </row>
    <row r="663" spans="2:4" s="237" customFormat="1">
      <c r="B663" s="15" t="str">
        <f t="shared" si="48"/>
        <v/>
      </c>
      <c r="C663" s="16" t="str">
        <f>IFERROR(VLOOKUP(DATA!#REF!,DATA!#REF!,1,FALSE),"")</f>
        <v/>
      </c>
      <c r="D663" s="16" t="str">
        <f>IFERROR(VLOOKUP(C663,DATA!#REF!,2,FALSE),"")</f>
        <v/>
      </c>
    </row>
    <row r="664" spans="2:4" s="237" customFormat="1">
      <c r="B664" s="15" t="str">
        <f t="shared" si="48"/>
        <v/>
      </c>
      <c r="C664" s="16" t="str">
        <f>IFERROR(VLOOKUP(DATA!#REF!,DATA!#REF!,1,FALSE),"")</f>
        <v/>
      </c>
      <c r="D664" s="16" t="str">
        <f>IFERROR(VLOOKUP(C664,DATA!#REF!,2,FALSE),"")</f>
        <v/>
      </c>
    </row>
    <row r="665" spans="2:4" s="237" customFormat="1">
      <c r="B665" s="15" t="str">
        <f t="shared" si="48"/>
        <v/>
      </c>
      <c r="C665" s="16" t="str">
        <f>IFERROR(VLOOKUP(DATA!#REF!,DATA!#REF!,1,FALSE),"")</f>
        <v/>
      </c>
      <c r="D665" s="16" t="str">
        <f>IFERROR(VLOOKUP(C665,DATA!#REF!,2,FALSE),"")</f>
        <v/>
      </c>
    </row>
    <row r="666" spans="2:4" s="237" customFormat="1">
      <c r="B666" s="15" t="str">
        <f t="shared" si="48"/>
        <v/>
      </c>
      <c r="C666" s="16" t="str">
        <f>IFERROR(VLOOKUP(DATA!#REF!,DATA!#REF!,1,FALSE),"")</f>
        <v/>
      </c>
      <c r="D666" s="16" t="str">
        <f>IFERROR(VLOOKUP(C666,DATA!#REF!,2,FALSE),"")</f>
        <v/>
      </c>
    </row>
    <row r="667" spans="2:4" s="237" customFormat="1">
      <c r="B667" s="15" t="str">
        <f t="shared" si="48"/>
        <v/>
      </c>
      <c r="C667" s="16" t="str">
        <f>IFERROR(VLOOKUP(DATA!#REF!,DATA!#REF!,1,FALSE),"")</f>
        <v/>
      </c>
      <c r="D667" s="16" t="str">
        <f>IFERROR(VLOOKUP(C667,DATA!#REF!,2,FALSE),"")</f>
        <v/>
      </c>
    </row>
    <row r="668" spans="2:4" s="237" customFormat="1">
      <c r="B668" s="15" t="str">
        <f t="shared" si="48"/>
        <v/>
      </c>
      <c r="C668" s="16" t="str">
        <f>IFERROR(VLOOKUP(DATA!#REF!,DATA!#REF!,1,FALSE),"")</f>
        <v/>
      </c>
      <c r="D668" s="16" t="str">
        <f>IFERROR(VLOOKUP(C668,DATA!#REF!,2,FALSE),"")</f>
        <v/>
      </c>
    </row>
    <row r="669" spans="2:4" s="237" customFormat="1">
      <c r="B669" s="15" t="str">
        <f t="shared" si="48"/>
        <v/>
      </c>
      <c r="C669" s="16" t="str">
        <f>IFERROR(VLOOKUP(DATA!#REF!,DATA!#REF!,1,FALSE),"")</f>
        <v/>
      </c>
      <c r="D669" s="16" t="str">
        <f>IFERROR(VLOOKUP(C669,DATA!#REF!,2,FALSE),"")</f>
        <v/>
      </c>
    </row>
    <row r="670" spans="2:4" s="237" customFormat="1">
      <c r="B670" s="15" t="str">
        <f t="shared" si="48"/>
        <v/>
      </c>
      <c r="C670" s="16" t="str">
        <f>IFERROR(VLOOKUP(DATA!#REF!,DATA!#REF!,1,FALSE),"")</f>
        <v/>
      </c>
      <c r="D670" s="16" t="str">
        <f>IFERROR(VLOOKUP(C670,DATA!#REF!,2,FALSE),"")</f>
        <v/>
      </c>
    </row>
    <row r="671" spans="2:4" s="237" customFormat="1">
      <c r="B671" s="15" t="str">
        <f t="shared" si="48"/>
        <v/>
      </c>
      <c r="C671" s="16" t="str">
        <f>IFERROR(VLOOKUP(DATA!#REF!,DATA!#REF!,1,FALSE),"")</f>
        <v/>
      </c>
      <c r="D671" s="16" t="str">
        <f>IFERROR(VLOOKUP(C671,DATA!#REF!,2,FALSE),"")</f>
        <v/>
      </c>
    </row>
    <row r="672" spans="2:4" s="237" customFormat="1">
      <c r="B672" s="15" t="str">
        <f t="shared" si="48"/>
        <v/>
      </c>
      <c r="C672" s="16" t="str">
        <f>IFERROR(VLOOKUP(DATA!#REF!,DATA!#REF!,1,FALSE),"")</f>
        <v/>
      </c>
      <c r="D672" s="16" t="str">
        <f>IFERROR(VLOOKUP(C672,DATA!#REF!,2,FALSE),"")</f>
        <v/>
      </c>
    </row>
    <row r="673" spans="2:4" s="237" customFormat="1">
      <c r="B673" s="15" t="str">
        <f t="shared" si="48"/>
        <v/>
      </c>
      <c r="C673" s="16" t="str">
        <f>IFERROR(VLOOKUP(DATA!#REF!,DATA!#REF!,1,FALSE),"")</f>
        <v/>
      </c>
      <c r="D673" s="16" t="str">
        <f>IFERROR(VLOOKUP(C673,DATA!#REF!,2,FALSE),"")</f>
        <v/>
      </c>
    </row>
    <row r="674" spans="2:4" s="237" customFormat="1">
      <c r="B674" s="15" t="str">
        <f t="shared" si="48"/>
        <v/>
      </c>
      <c r="C674" s="16" t="str">
        <f>IFERROR(VLOOKUP(DATA!#REF!,DATA!#REF!,1,FALSE),"")</f>
        <v/>
      </c>
      <c r="D674" s="16" t="str">
        <f>IFERROR(VLOOKUP(C674,DATA!#REF!,2,FALSE),"")</f>
        <v/>
      </c>
    </row>
    <row r="675" spans="2:4" s="237" customFormat="1">
      <c r="B675" s="15" t="str">
        <f t="shared" si="48"/>
        <v/>
      </c>
      <c r="C675" s="16" t="str">
        <f>IFERROR(VLOOKUP(DATA!#REF!,DATA!#REF!,1,FALSE),"")</f>
        <v/>
      </c>
      <c r="D675" s="16" t="str">
        <f>IFERROR(VLOOKUP(C675,DATA!#REF!,2,FALSE),"")</f>
        <v/>
      </c>
    </row>
    <row r="676" spans="2:4" s="237" customFormat="1">
      <c r="B676" s="15" t="str">
        <f t="shared" si="48"/>
        <v/>
      </c>
      <c r="C676" s="16" t="str">
        <f>IFERROR(VLOOKUP(DATA!#REF!,DATA!#REF!,1,FALSE),"")</f>
        <v/>
      </c>
      <c r="D676" s="16" t="str">
        <f>IFERROR(VLOOKUP(C676,DATA!#REF!,2,FALSE),"")</f>
        <v/>
      </c>
    </row>
    <row r="677" spans="2:4" s="237" customFormat="1">
      <c r="B677" s="15" t="str">
        <f t="shared" si="48"/>
        <v/>
      </c>
      <c r="C677" s="16" t="str">
        <f>IFERROR(VLOOKUP(DATA!#REF!,DATA!#REF!,1,FALSE),"")</f>
        <v/>
      </c>
      <c r="D677" s="16" t="str">
        <f>IFERROR(VLOOKUP(C677,DATA!#REF!,2,FALSE),"")</f>
        <v/>
      </c>
    </row>
    <row r="678" spans="2:4" s="237" customFormat="1">
      <c r="B678" s="15" t="str">
        <f t="shared" si="48"/>
        <v/>
      </c>
      <c r="C678" s="16" t="str">
        <f>IFERROR(VLOOKUP(DATA!#REF!,DATA!#REF!,1,FALSE),"")</f>
        <v/>
      </c>
      <c r="D678" s="16" t="str">
        <f>IFERROR(VLOOKUP(C678,DATA!#REF!,2,FALSE),"")</f>
        <v/>
      </c>
    </row>
    <row r="679" spans="2:4" s="237" customFormat="1">
      <c r="B679" s="15" t="str">
        <f t="shared" si="48"/>
        <v/>
      </c>
      <c r="C679" s="16" t="str">
        <f>IFERROR(VLOOKUP(DATA!#REF!,DATA!#REF!,1,FALSE),"")</f>
        <v/>
      </c>
      <c r="D679" s="16" t="str">
        <f>IFERROR(VLOOKUP(C679,DATA!#REF!,2,FALSE),"")</f>
        <v/>
      </c>
    </row>
    <row r="680" spans="2:4" s="237" customFormat="1">
      <c r="B680" s="15" t="str">
        <f t="shared" si="48"/>
        <v/>
      </c>
      <c r="C680" s="16" t="str">
        <f>IFERROR(VLOOKUP(DATA!#REF!,DATA!#REF!,1,FALSE),"")</f>
        <v/>
      </c>
      <c r="D680" s="16" t="str">
        <f>IFERROR(VLOOKUP(C680,DATA!#REF!,2,FALSE),"")</f>
        <v/>
      </c>
    </row>
    <row r="681" spans="2:4" s="237" customFormat="1">
      <c r="B681" s="15" t="str">
        <f t="shared" si="48"/>
        <v/>
      </c>
      <c r="C681" s="16" t="str">
        <f>IFERROR(VLOOKUP(DATA!#REF!,DATA!#REF!,1,FALSE),"")</f>
        <v/>
      </c>
      <c r="D681" s="16" t="str">
        <f>IFERROR(VLOOKUP(C681,DATA!#REF!,2,FALSE),"")</f>
        <v/>
      </c>
    </row>
    <row r="682" spans="2:4" s="237" customFormat="1">
      <c r="B682" s="15" t="str">
        <f t="shared" si="48"/>
        <v/>
      </c>
      <c r="C682" s="16" t="str">
        <f>IFERROR(VLOOKUP(DATA!#REF!,DATA!#REF!,1,FALSE),"")</f>
        <v/>
      </c>
      <c r="D682" s="16" t="str">
        <f>IFERROR(VLOOKUP(C682,DATA!#REF!,2,FALSE),"")</f>
        <v/>
      </c>
    </row>
    <row r="683" spans="2:4" s="237" customFormat="1">
      <c r="B683" s="15" t="str">
        <f t="shared" si="48"/>
        <v/>
      </c>
      <c r="C683" s="16" t="str">
        <f>IFERROR(VLOOKUP(DATA!#REF!,DATA!#REF!,1,FALSE),"")</f>
        <v/>
      </c>
      <c r="D683" s="16" t="str">
        <f>IFERROR(VLOOKUP(C683,DATA!#REF!,2,FALSE),"")</f>
        <v/>
      </c>
    </row>
    <row r="684" spans="2:4" s="237" customFormat="1">
      <c r="B684" s="15" t="str">
        <f t="shared" si="48"/>
        <v/>
      </c>
      <c r="C684" s="16" t="str">
        <f>IFERROR(VLOOKUP(DATA!#REF!,DATA!#REF!,1,FALSE),"")</f>
        <v/>
      </c>
      <c r="D684" s="16" t="str">
        <f>IFERROR(VLOOKUP(C684,DATA!#REF!,2,FALSE),"")</f>
        <v/>
      </c>
    </row>
    <row r="685" spans="2:4" s="237" customFormat="1">
      <c r="B685" s="15" t="str">
        <f t="shared" si="48"/>
        <v/>
      </c>
      <c r="C685" s="16" t="str">
        <f>IFERROR(VLOOKUP(DATA!#REF!,DATA!#REF!,1,FALSE),"")</f>
        <v/>
      </c>
      <c r="D685" s="16" t="str">
        <f>IFERROR(VLOOKUP(C685,DATA!#REF!,2,FALSE),"")</f>
        <v/>
      </c>
    </row>
    <row r="686" spans="2:4" s="237" customFormat="1">
      <c r="B686" s="15" t="str">
        <f t="shared" si="48"/>
        <v/>
      </c>
      <c r="C686" s="16" t="str">
        <f>IFERROR(VLOOKUP(DATA!#REF!,DATA!#REF!,1,FALSE),"")</f>
        <v/>
      </c>
      <c r="D686" s="16" t="str">
        <f>IFERROR(VLOOKUP(C686,DATA!#REF!,2,FALSE),"")</f>
        <v/>
      </c>
    </row>
    <row r="687" spans="2:4" s="237" customFormat="1">
      <c r="B687" s="15" t="str">
        <f t="shared" si="48"/>
        <v/>
      </c>
      <c r="C687" s="16" t="str">
        <f>IFERROR(VLOOKUP(DATA!#REF!,DATA!#REF!,1,FALSE),"")</f>
        <v/>
      </c>
      <c r="D687" s="16" t="str">
        <f>IFERROR(VLOOKUP(C687,DATA!#REF!,2,FALSE),"")</f>
        <v/>
      </c>
    </row>
    <row r="688" spans="2:4" s="237" customFormat="1">
      <c r="B688" s="15" t="str">
        <f t="shared" si="48"/>
        <v/>
      </c>
      <c r="C688" s="16" t="str">
        <f>IFERROR(VLOOKUP(DATA!#REF!,DATA!#REF!,1,FALSE),"")</f>
        <v/>
      </c>
      <c r="D688" s="16" t="str">
        <f>IFERROR(VLOOKUP(C688,DATA!#REF!,2,FALSE),"")</f>
        <v/>
      </c>
    </row>
    <row r="689" spans="2:4" s="237" customFormat="1">
      <c r="B689" s="15" t="str">
        <f t="shared" si="48"/>
        <v/>
      </c>
      <c r="C689" s="16" t="str">
        <f>IFERROR(VLOOKUP(DATA!#REF!,DATA!#REF!,1,FALSE),"")</f>
        <v/>
      </c>
      <c r="D689" s="16" t="str">
        <f>IFERROR(VLOOKUP(C689,DATA!#REF!,2,FALSE),"")</f>
        <v/>
      </c>
    </row>
    <row r="690" spans="2:4" s="237" customFormat="1">
      <c r="B690" s="15" t="str">
        <f t="shared" si="48"/>
        <v/>
      </c>
      <c r="C690" s="16" t="str">
        <f>IFERROR(VLOOKUP(DATA!#REF!,DATA!#REF!,1,FALSE),"")</f>
        <v/>
      </c>
      <c r="D690" s="16" t="str">
        <f>IFERROR(VLOOKUP(C690,DATA!#REF!,2,FALSE),"")</f>
        <v/>
      </c>
    </row>
    <row r="691" spans="2:4" s="237" customFormat="1">
      <c r="B691" s="15" t="str">
        <f t="shared" si="48"/>
        <v/>
      </c>
      <c r="C691" s="16" t="str">
        <f>IFERROR(VLOOKUP(DATA!#REF!,DATA!#REF!,1,FALSE),"")</f>
        <v/>
      </c>
      <c r="D691" s="16" t="str">
        <f>IFERROR(VLOOKUP(C691,DATA!#REF!,2,FALSE),"")</f>
        <v/>
      </c>
    </row>
    <row r="692" spans="2:4" s="237" customFormat="1">
      <c r="B692" s="15" t="str">
        <f t="shared" si="48"/>
        <v/>
      </c>
      <c r="C692" s="16" t="str">
        <f>IFERROR(VLOOKUP(DATA!#REF!,DATA!#REF!,1,FALSE),"")</f>
        <v/>
      </c>
      <c r="D692" s="16" t="str">
        <f>IFERROR(VLOOKUP(C692,DATA!#REF!,2,FALSE),"")</f>
        <v/>
      </c>
    </row>
    <row r="693" spans="2:4" s="237" customFormat="1">
      <c r="B693" s="15" t="str">
        <f t="shared" si="48"/>
        <v/>
      </c>
      <c r="C693" s="16" t="str">
        <f>IFERROR(VLOOKUP(DATA!#REF!,DATA!#REF!,1,FALSE),"")</f>
        <v/>
      </c>
      <c r="D693" s="16" t="str">
        <f>IFERROR(VLOOKUP(C693,DATA!#REF!,2,FALSE),"")</f>
        <v/>
      </c>
    </row>
    <row r="694" spans="2:4" s="237" customFormat="1">
      <c r="B694" s="15" t="str">
        <f t="shared" si="48"/>
        <v/>
      </c>
      <c r="C694" s="16" t="str">
        <f>IFERROR(VLOOKUP(DATA!#REF!,DATA!#REF!,1,FALSE),"")</f>
        <v/>
      </c>
      <c r="D694" s="16" t="str">
        <f>IFERROR(VLOOKUP(C694,DATA!#REF!,2,FALSE),"")</f>
        <v/>
      </c>
    </row>
    <row r="695" spans="2:4" s="237" customFormat="1">
      <c r="B695" s="15" t="str">
        <f t="shared" si="48"/>
        <v/>
      </c>
      <c r="C695" s="16" t="str">
        <f>IFERROR(VLOOKUP(DATA!#REF!,DATA!#REF!,1,FALSE),"")</f>
        <v/>
      </c>
      <c r="D695" s="16" t="str">
        <f>IFERROR(VLOOKUP(C695,DATA!#REF!,2,FALSE),"")</f>
        <v/>
      </c>
    </row>
    <row r="696" spans="2:4" s="237" customFormat="1">
      <c r="B696" s="15" t="str">
        <f t="shared" si="48"/>
        <v/>
      </c>
      <c r="C696" s="16" t="str">
        <f>IFERROR(VLOOKUP(DATA!#REF!,DATA!#REF!,1,FALSE),"")</f>
        <v/>
      </c>
      <c r="D696" s="16" t="str">
        <f>IFERROR(VLOOKUP(C696,DATA!#REF!,2,FALSE),"")</f>
        <v/>
      </c>
    </row>
    <row r="697" spans="2:4" s="237" customFormat="1">
      <c r="B697" s="15" t="str">
        <f t="shared" si="48"/>
        <v/>
      </c>
      <c r="C697" s="16" t="str">
        <f>IFERROR(VLOOKUP(DATA!#REF!,DATA!#REF!,1,FALSE),"")</f>
        <v/>
      </c>
      <c r="D697" s="16" t="str">
        <f>IFERROR(VLOOKUP(C697,DATA!#REF!,2,FALSE),"")</f>
        <v/>
      </c>
    </row>
    <row r="698" spans="2:4" s="237" customFormat="1">
      <c r="B698" s="15" t="str">
        <f t="shared" si="48"/>
        <v/>
      </c>
      <c r="C698" s="16" t="str">
        <f>IFERROR(VLOOKUP(DATA!#REF!,DATA!#REF!,1,FALSE),"")</f>
        <v/>
      </c>
      <c r="D698" s="16" t="str">
        <f>IFERROR(VLOOKUP(C698,DATA!#REF!,2,FALSE),"")</f>
        <v/>
      </c>
    </row>
    <row r="699" spans="2:4" s="237" customFormat="1">
      <c r="B699" s="15" t="str">
        <f t="shared" si="48"/>
        <v/>
      </c>
      <c r="C699" s="16" t="str">
        <f>IFERROR(VLOOKUP(DATA!#REF!,DATA!#REF!,1,FALSE),"")</f>
        <v/>
      </c>
      <c r="D699" s="16" t="str">
        <f>IFERROR(VLOOKUP(C699,DATA!#REF!,2,FALSE),"")</f>
        <v/>
      </c>
    </row>
    <row r="700" spans="2:4" s="237" customFormat="1">
      <c r="B700" s="15" t="str">
        <f t="shared" si="48"/>
        <v/>
      </c>
      <c r="C700" s="16" t="str">
        <f>IFERROR(VLOOKUP(DATA!#REF!,DATA!#REF!,1,FALSE),"")</f>
        <v/>
      </c>
      <c r="D700" s="16" t="str">
        <f>IFERROR(VLOOKUP(C700,DATA!#REF!,2,FALSE),"")</f>
        <v/>
      </c>
    </row>
    <row r="701" spans="2:4" s="237" customFormat="1">
      <c r="B701" s="15" t="str">
        <f t="shared" si="48"/>
        <v/>
      </c>
      <c r="C701" s="16" t="str">
        <f>IFERROR(VLOOKUP(DATA!#REF!,DATA!#REF!,1,FALSE),"")</f>
        <v/>
      </c>
      <c r="D701" s="16" t="str">
        <f>IFERROR(VLOOKUP(C701,DATA!#REF!,2,FALSE),"")</f>
        <v/>
      </c>
    </row>
    <row r="702" spans="2:4" s="237" customFormat="1">
      <c r="B702" s="15" t="str">
        <f t="shared" si="48"/>
        <v/>
      </c>
      <c r="C702" s="16" t="str">
        <f>IFERROR(VLOOKUP(DATA!#REF!,DATA!#REF!,1,FALSE),"")</f>
        <v/>
      </c>
      <c r="D702" s="16" t="str">
        <f>IFERROR(VLOOKUP(C702,DATA!#REF!,2,FALSE),"")</f>
        <v/>
      </c>
    </row>
    <row r="703" spans="2:4" s="237" customFormat="1">
      <c r="B703" s="15" t="str">
        <f t="shared" si="48"/>
        <v/>
      </c>
      <c r="C703" s="16" t="str">
        <f>IFERROR(VLOOKUP(DATA!#REF!,DATA!#REF!,1,FALSE),"")</f>
        <v/>
      </c>
      <c r="D703" s="16" t="str">
        <f>IFERROR(VLOOKUP(C703,DATA!#REF!,2,FALSE),"")</f>
        <v/>
      </c>
    </row>
    <row r="704" spans="2:4" s="237" customFormat="1">
      <c r="B704" s="15" t="str">
        <f t="shared" si="48"/>
        <v/>
      </c>
      <c r="C704" s="16" t="str">
        <f>IFERROR(VLOOKUP(DATA!#REF!,DATA!#REF!,1,FALSE),"")</f>
        <v/>
      </c>
      <c r="D704" s="16" t="str">
        <f>IFERROR(VLOOKUP(C704,DATA!#REF!,2,FALSE),"")</f>
        <v/>
      </c>
    </row>
    <row r="705" spans="2:4" s="237" customFormat="1">
      <c r="B705" s="15" t="str">
        <f t="shared" si="48"/>
        <v/>
      </c>
      <c r="C705" s="16" t="str">
        <f>IFERROR(VLOOKUP(DATA!#REF!,DATA!#REF!,1,FALSE),"")</f>
        <v/>
      </c>
      <c r="D705" s="16" t="str">
        <f>IFERROR(VLOOKUP(C705,DATA!#REF!,2,FALSE),"")</f>
        <v/>
      </c>
    </row>
    <row r="706" spans="2:4" s="237" customFormat="1">
      <c r="B706" s="15" t="str">
        <f t="shared" si="48"/>
        <v/>
      </c>
      <c r="C706" s="16" t="str">
        <f>IFERROR(VLOOKUP(DATA!#REF!,DATA!#REF!,1,FALSE),"")</f>
        <v/>
      </c>
      <c r="D706" s="16" t="str">
        <f>IFERROR(VLOOKUP(C706,DATA!#REF!,2,FALSE),"")</f>
        <v/>
      </c>
    </row>
    <row r="707" spans="2:4" s="237" customFormat="1">
      <c r="B707" s="15" t="str">
        <f t="shared" si="48"/>
        <v/>
      </c>
      <c r="C707" s="16" t="str">
        <f>IFERROR(VLOOKUP(DATA!#REF!,DATA!#REF!,1,FALSE),"")</f>
        <v/>
      </c>
      <c r="D707" s="16" t="str">
        <f>IFERROR(VLOOKUP(C707,DATA!#REF!,2,FALSE),"")</f>
        <v/>
      </c>
    </row>
    <row r="708" spans="2:4" s="237" customFormat="1">
      <c r="B708" s="15" t="str">
        <f t="shared" si="48"/>
        <v/>
      </c>
      <c r="C708" s="16" t="str">
        <f>IFERROR(VLOOKUP(DATA!#REF!,DATA!#REF!,1,FALSE),"")</f>
        <v/>
      </c>
      <c r="D708" s="16" t="str">
        <f>IFERROR(VLOOKUP(C708,DATA!#REF!,2,FALSE),"")</f>
        <v/>
      </c>
    </row>
    <row r="709" spans="2:4" s="237" customFormat="1">
      <c r="B709" s="15" t="str">
        <f t="shared" si="48"/>
        <v/>
      </c>
      <c r="C709" s="16" t="str">
        <f>IFERROR(VLOOKUP(DATA!#REF!,DATA!#REF!,1,FALSE),"")</f>
        <v/>
      </c>
      <c r="D709" s="16" t="str">
        <f>IFERROR(VLOOKUP(C709,DATA!#REF!,2,FALSE),"")</f>
        <v/>
      </c>
    </row>
    <row r="710" spans="2:4" s="237" customFormat="1">
      <c r="B710" s="15" t="str">
        <f t="shared" ref="B710:B773" si="49">+IF(C710="","",ROW()-5)</f>
        <v/>
      </c>
      <c r="C710" s="16" t="str">
        <f>IFERROR(VLOOKUP(DATA!#REF!,DATA!#REF!,1,FALSE),"")</f>
        <v/>
      </c>
      <c r="D710" s="16" t="str">
        <f>IFERROR(VLOOKUP(C710,DATA!#REF!,2,FALSE),"")</f>
        <v/>
      </c>
    </row>
    <row r="711" spans="2:4" s="237" customFormat="1">
      <c r="B711" s="15" t="str">
        <f t="shared" si="49"/>
        <v/>
      </c>
      <c r="C711" s="16" t="str">
        <f>IFERROR(VLOOKUP(DATA!#REF!,DATA!#REF!,1,FALSE),"")</f>
        <v/>
      </c>
      <c r="D711" s="16" t="str">
        <f>IFERROR(VLOOKUP(C711,DATA!#REF!,2,FALSE),"")</f>
        <v/>
      </c>
    </row>
    <row r="712" spans="2:4" s="237" customFormat="1">
      <c r="B712" s="15" t="str">
        <f t="shared" si="49"/>
        <v/>
      </c>
      <c r="C712" s="16" t="str">
        <f>IFERROR(VLOOKUP(DATA!#REF!,DATA!#REF!,1,FALSE),"")</f>
        <v/>
      </c>
      <c r="D712" s="16" t="str">
        <f>IFERROR(VLOOKUP(C712,DATA!#REF!,2,FALSE),"")</f>
        <v/>
      </c>
    </row>
    <row r="713" spans="2:4" s="237" customFormat="1">
      <c r="B713" s="15" t="str">
        <f t="shared" si="49"/>
        <v/>
      </c>
      <c r="C713" s="16" t="str">
        <f>IFERROR(VLOOKUP(DATA!#REF!,DATA!#REF!,1,FALSE),"")</f>
        <v/>
      </c>
      <c r="D713" s="16" t="str">
        <f>IFERROR(VLOOKUP(C713,DATA!#REF!,2,FALSE),"")</f>
        <v/>
      </c>
    </row>
    <row r="714" spans="2:4" s="237" customFormat="1">
      <c r="B714" s="15" t="str">
        <f t="shared" si="49"/>
        <v/>
      </c>
      <c r="C714" s="16" t="str">
        <f>IFERROR(VLOOKUP(DATA!#REF!,DATA!#REF!,1,FALSE),"")</f>
        <v/>
      </c>
      <c r="D714" s="16" t="str">
        <f>IFERROR(VLOOKUP(C714,DATA!#REF!,2,FALSE),"")</f>
        <v/>
      </c>
    </row>
    <row r="715" spans="2:4" s="237" customFormat="1">
      <c r="B715" s="15" t="str">
        <f t="shared" si="49"/>
        <v/>
      </c>
      <c r="C715" s="16" t="str">
        <f>IFERROR(VLOOKUP(DATA!#REF!,DATA!#REF!,1,FALSE),"")</f>
        <v/>
      </c>
      <c r="D715" s="16" t="str">
        <f>IFERROR(VLOOKUP(C715,DATA!#REF!,2,FALSE),"")</f>
        <v/>
      </c>
    </row>
    <row r="716" spans="2:4" s="237" customFormat="1">
      <c r="B716" s="15" t="str">
        <f t="shared" si="49"/>
        <v/>
      </c>
      <c r="C716" s="16" t="str">
        <f>IFERROR(VLOOKUP(DATA!#REF!,DATA!#REF!,1,FALSE),"")</f>
        <v/>
      </c>
      <c r="D716" s="16" t="str">
        <f>IFERROR(VLOOKUP(C716,DATA!#REF!,2,FALSE),"")</f>
        <v/>
      </c>
    </row>
    <row r="717" spans="2:4" s="237" customFormat="1">
      <c r="B717" s="15" t="str">
        <f t="shared" si="49"/>
        <v/>
      </c>
      <c r="C717" s="16" t="str">
        <f>IFERROR(VLOOKUP(DATA!#REF!,DATA!#REF!,1,FALSE),"")</f>
        <v/>
      </c>
      <c r="D717" s="16" t="str">
        <f>IFERROR(VLOOKUP(C717,DATA!#REF!,2,FALSE),"")</f>
        <v/>
      </c>
    </row>
    <row r="718" spans="2:4" s="237" customFormat="1">
      <c r="B718" s="15" t="str">
        <f t="shared" si="49"/>
        <v/>
      </c>
      <c r="C718" s="16" t="str">
        <f>IFERROR(VLOOKUP(DATA!#REF!,DATA!#REF!,1,FALSE),"")</f>
        <v/>
      </c>
      <c r="D718" s="16" t="str">
        <f>IFERROR(VLOOKUP(C718,DATA!#REF!,2,FALSE),"")</f>
        <v/>
      </c>
    </row>
    <row r="719" spans="2:4" s="237" customFormat="1">
      <c r="B719" s="15" t="str">
        <f t="shared" si="49"/>
        <v/>
      </c>
      <c r="C719" s="16" t="str">
        <f>IFERROR(VLOOKUP(DATA!#REF!,DATA!#REF!,1,FALSE),"")</f>
        <v/>
      </c>
      <c r="D719" s="16" t="str">
        <f>IFERROR(VLOOKUP(C719,DATA!#REF!,2,FALSE),"")</f>
        <v/>
      </c>
    </row>
    <row r="720" spans="2:4" s="237" customFormat="1">
      <c r="B720" s="15" t="str">
        <f t="shared" si="49"/>
        <v/>
      </c>
      <c r="C720" s="16" t="str">
        <f>IFERROR(VLOOKUP(DATA!#REF!,DATA!#REF!,1,FALSE),"")</f>
        <v/>
      </c>
      <c r="D720" s="16" t="str">
        <f>IFERROR(VLOOKUP(C720,DATA!#REF!,2,FALSE),"")</f>
        <v/>
      </c>
    </row>
    <row r="721" spans="2:4" s="237" customFormat="1">
      <c r="B721" s="15" t="str">
        <f t="shared" si="49"/>
        <v/>
      </c>
      <c r="C721" s="16" t="str">
        <f>IFERROR(VLOOKUP(DATA!#REF!,DATA!#REF!,1,FALSE),"")</f>
        <v/>
      </c>
      <c r="D721" s="16" t="str">
        <f>IFERROR(VLOOKUP(C721,DATA!#REF!,2,FALSE),"")</f>
        <v/>
      </c>
    </row>
    <row r="722" spans="2:4" s="237" customFormat="1">
      <c r="B722" s="15" t="str">
        <f t="shared" si="49"/>
        <v/>
      </c>
      <c r="C722" s="16" t="str">
        <f>IFERROR(VLOOKUP(DATA!#REF!,DATA!#REF!,1,FALSE),"")</f>
        <v/>
      </c>
      <c r="D722" s="16" t="str">
        <f>IFERROR(VLOOKUP(C722,DATA!#REF!,2,FALSE),"")</f>
        <v/>
      </c>
    </row>
    <row r="723" spans="2:4" s="237" customFormat="1">
      <c r="B723" s="15" t="str">
        <f t="shared" si="49"/>
        <v/>
      </c>
      <c r="C723" s="16" t="str">
        <f>IFERROR(VLOOKUP(DATA!#REF!,DATA!#REF!,1,FALSE),"")</f>
        <v/>
      </c>
      <c r="D723" s="16" t="str">
        <f>IFERROR(VLOOKUP(C723,DATA!#REF!,2,FALSE),"")</f>
        <v/>
      </c>
    </row>
    <row r="724" spans="2:4" s="237" customFormat="1">
      <c r="B724" s="15" t="str">
        <f t="shared" si="49"/>
        <v/>
      </c>
      <c r="C724" s="16" t="str">
        <f>IFERROR(VLOOKUP(DATA!#REF!,DATA!#REF!,1,FALSE),"")</f>
        <v/>
      </c>
      <c r="D724" s="16" t="str">
        <f>IFERROR(VLOOKUP(C724,DATA!#REF!,2,FALSE),"")</f>
        <v/>
      </c>
    </row>
    <row r="725" spans="2:4" s="237" customFormat="1">
      <c r="B725" s="15" t="str">
        <f t="shared" si="49"/>
        <v/>
      </c>
      <c r="C725" s="16" t="str">
        <f>IFERROR(VLOOKUP(DATA!#REF!,DATA!#REF!,1,FALSE),"")</f>
        <v/>
      </c>
      <c r="D725" s="16" t="str">
        <f>IFERROR(VLOOKUP(C725,DATA!#REF!,2,FALSE),"")</f>
        <v/>
      </c>
    </row>
    <row r="726" spans="2:4" s="237" customFormat="1">
      <c r="B726" s="15" t="str">
        <f t="shared" si="49"/>
        <v/>
      </c>
      <c r="C726" s="16" t="str">
        <f>IFERROR(VLOOKUP(DATA!#REF!,DATA!#REF!,1,FALSE),"")</f>
        <v/>
      </c>
      <c r="D726" s="16" t="str">
        <f>IFERROR(VLOOKUP(C726,DATA!#REF!,2,FALSE),"")</f>
        <v/>
      </c>
    </row>
    <row r="727" spans="2:4" s="237" customFormat="1">
      <c r="B727" s="15" t="str">
        <f t="shared" si="49"/>
        <v/>
      </c>
      <c r="C727" s="16" t="str">
        <f>IFERROR(VLOOKUP(DATA!#REF!,DATA!#REF!,1,FALSE),"")</f>
        <v/>
      </c>
      <c r="D727" s="16" t="str">
        <f>IFERROR(VLOOKUP(C727,DATA!#REF!,2,FALSE),"")</f>
        <v/>
      </c>
    </row>
    <row r="728" spans="2:4" s="237" customFormat="1">
      <c r="B728" s="15" t="str">
        <f t="shared" si="49"/>
        <v/>
      </c>
      <c r="C728" s="16" t="str">
        <f>IFERROR(VLOOKUP(DATA!#REF!,DATA!#REF!,1,FALSE),"")</f>
        <v/>
      </c>
      <c r="D728" s="16" t="str">
        <f>IFERROR(VLOOKUP(C728,DATA!#REF!,2,FALSE),"")</f>
        <v/>
      </c>
    </row>
    <row r="729" spans="2:4" s="237" customFormat="1">
      <c r="B729" s="15" t="str">
        <f t="shared" si="49"/>
        <v/>
      </c>
      <c r="C729" s="16" t="str">
        <f>IFERROR(VLOOKUP(DATA!#REF!,DATA!#REF!,1,FALSE),"")</f>
        <v/>
      </c>
      <c r="D729" s="16" t="str">
        <f>IFERROR(VLOOKUP(C729,DATA!#REF!,2,FALSE),"")</f>
        <v/>
      </c>
    </row>
    <row r="730" spans="2:4" s="237" customFormat="1">
      <c r="B730" s="15" t="str">
        <f t="shared" si="49"/>
        <v/>
      </c>
      <c r="C730" s="16" t="str">
        <f>IFERROR(VLOOKUP(DATA!#REF!,DATA!#REF!,1,FALSE),"")</f>
        <v/>
      </c>
      <c r="D730" s="16" t="str">
        <f>IFERROR(VLOOKUP(C730,DATA!#REF!,2,FALSE),"")</f>
        <v/>
      </c>
    </row>
    <row r="731" spans="2:4" s="237" customFormat="1">
      <c r="B731" s="15" t="str">
        <f t="shared" si="49"/>
        <v/>
      </c>
      <c r="C731" s="16" t="str">
        <f>IFERROR(VLOOKUP(DATA!#REF!,DATA!#REF!,1,FALSE),"")</f>
        <v/>
      </c>
      <c r="D731" s="16" t="str">
        <f>IFERROR(VLOOKUP(C731,DATA!#REF!,2,FALSE),"")</f>
        <v/>
      </c>
    </row>
    <row r="732" spans="2:4" s="237" customFormat="1">
      <c r="B732" s="15" t="str">
        <f t="shared" si="49"/>
        <v/>
      </c>
      <c r="C732" s="16" t="str">
        <f>IFERROR(VLOOKUP(DATA!#REF!,DATA!#REF!,1,FALSE),"")</f>
        <v/>
      </c>
      <c r="D732" s="16" t="str">
        <f>IFERROR(VLOOKUP(C732,DATA!#REF!,2,FALSE),"")</f>
        <v/>
      </c>
    </row>
    <row r="733" spans="2:4" s="237" customFormat="1">
      <c r="B733" s="15" t="str">
        <f t="shared" si="49"/>
        <v/>
      </c>
      <c r="C733" s="16" t="str">
        <f>IFERROR(VLOOKUP(DATA!#REF!,DATA!#REF!,1,FALSE),"")</f>
        <v/>
      </c>
      <c r="D733" s="16" t="str">
        <f>IFERROR(VLOOKUP(C733,DATA!#REF!,2,FALSE),"")</f>
        <v/>
      </c>
    </row>
    <row r="734" spans="2:4" s="237" customFormat="1">
      <c r="B734" s="15" t="str">
        <f t="shared" si="49"/>
        <v/>
      </c>
      <c r="C734" s="16" t="str">
        <f>IFERROR(VLOOKUP(DATA!#REF!,DATA!#REF!,1,FALSE),"")</f>
        <v/>
      </c>
      <c r="D734" s="16" t="str">
        <f>IFERROR(VLOOKUP(C734,DATA!#REF!,2,FALSE),"")</f>
        <v/>
      </c>
    </row>
    <row r="735" spans="2:4" s="237" customFormat="1">
      <c r="B735" s="15" t="str">
        <f t="shared" si="49"/>
        <v/>
      </c>
      <c r="C735" s="16" t="str">
        <f>IFERROR(VLOOKUP(DATA!#REF!,DATA!#REF!,1,FALSE),"")</f>
        <v/>
      </c>
      <c r="D735" s="16" t="str">
        <f>IFERROR(VLOOKUP(C735,DATA!#REF!,2,FALSE),"")</f>
        <v/>
      </c>
    </row>
    <row r="736" spans="2:4" s="237" customFormat="1">
      <c r="B736" s="15" t="str">
        <f t="shared" si="49"/>
        <v/>
      </c>
      <c r="C736" s="16" t="str">
        <f>IFERROR(VLOOKUP(DATA!#REF!,DATA!#REF!,1,FALSE),"")</f>
        <v/>
      </c>
      <c r="D736" s="16" t="str">
        <f>IFERROR(VLOOKUP(C736,DATA!#REF!,2,FALSE),"")</f>
        <v/>
      </c>
    </row>
    <row r="737" spans="2:4" s="237" customFormat="1">
      <c r="B737" s="15" t="str">
        <f t="shared" si="49"/>
        <v/>
      </c>
      <c r="C737" s="16" t="str">
        <f>IFERROR(VLOOKUP(DATA!#REF!,DATA!#REF!,1,FALSE),"")</f>
        <v/>
      </c>
      <c r="D737" s="16" t="str">
        <f>IFERROR(VLOOKUP(C737,DATA!#REF!,2,FALSE),"")</f>
        <v/>
      </c>
    </row>
    <row r="738" spans="2:4" s="237" customFormat="1">
      <c r="B738" s="15" t="str">
        <f t="shared" si="49"/>
        <v/>
      </c>
      <c r="C738" s="16" t="str">
        <f>IFERROR(VLOOKUP(DATA!#REF!,DATA!#REF!,1,FALSE),"")</f>
        <v/>
      </c>
      <c r="D738" s="16" t="str">
        <f>IFERROR(VLOOKUP(C738,DATA!#REF!,2,FALSE),"")</f>
        <v/>
      </c>
    </row>
    <row r="739" spans="2:4" s="237" customFormat="1">
      <c r="B739" s="15" t="str">
        <f t="shared" si="49"/>
        <v/>
      </c>
      <c r="C739" s="16" t="str">
        <f>IFERROR(VLOOKUP(DATA!#REF!,DATA!#REF!,1,FALSE),"")</f>
        <v/>
      </c>
      <c r="D739" s="16" t="str">
        <f>IFERROR(VLOOKUP(C739,DATA!#REF!,2,FALSE),"")</f>
        <v/>
      </c>
    </row>
    <row r="740" spans="2:4" s="237" customFormat="1">
      <c r="B740" s="15" t="str">
        <f t="shared" si="49"/>
        <v/>
      </c>
      <c r="C740" s="16" t="str">
        <f>IFERROR(VLOOKUP(DATA!#REF!,DATA!#REF!,1,FALSE),"")</f>
        <v/>
      </c>
      <c r="D740" s="16" t="str">
        <f>IFERROR(VLOOKUP(C740,DATA!#REF!,2,FALSE),"")</f>
        <v/>
      </c>
    </row>
    <row r="741" spans="2:4" s="237" customFormat="1">
      <c r="B741" s="15" t="str">
        <f t="shared" si="49"/>
        <v/>
      </c>
      <c r="C741" s="16" t="str">
        <f>IFERROR(VLOOKUP(DATA!#REF!,DATA!#REF!,1,FALSE),"")</f>
        <v/>
      </c>
      <c r="D741" s="16" t="str">
        <f>IFERROR(VLOOKUP(C741,DATA!#REF!,2,FALSE),"")</f>
        <v/>
      </c>
    </row>
    <row r="742" spans="2:4" s="237" customFormat="1">
      <c r="B742" s="15" t="str">
        <f t="shared" si="49"/>
        <v/>
      </c>
      <c r="C742" s="16" t="str">
        <f>IFERROR(VLOOKUP(DATA!#REF!,DATA!#REF!,1,FALSE),"")</f>
        <v/>
      </c>
      <c r="D742" s="16" t="str">
        <f>IFERROR(VLOOKUP(C742,DATA!#REF!,2,FALSE),"")</f>
        <v/>
      </c>
    </row>
    <row r="743" spans="2:4" s="237" customFormat="1">
      <c r="B743" s="15" t="str">
        <f t="shared" si="49"/>
        <v/>
      </c>
      <c r="C743" s="16" t="str">
        <f>IFERROR(VLOOKUP(DATA!#REF!,DATA!#REF!,1,FALSE),"")</f>
        <v/>
      </c>
      <c r="D743" s="16" t="str">
        <f>IFERROR(VLOOKUP(C743,DATA!#REF!,2,FALSE),"")</f>
        <v/>
      </c>
    </row>
    <row r="744" spans="2:4" s="237" customFormat="1">
      <c r="B744" s="15" t="str">
        <f t="shared" si="49"/>
        <v/>
      </c>
      <c r="C744" s="16" t="str">
        <f>IFERROR(VLOOKUP(DATA!#REF!,DATA!#REF!,1,FALSE),"")</f>
        <v/>
      </c>
      <c r="D744" s="16" t="str">
        <f>IFERROR(VLOOKUP(C744,DATA!#REF!,2,FALSE),"")</f>
        <v/>
      </c>
    </row>
    <row r="745" spans="2:4" s="237" customFormat="1">
      <c r="B745" s="15" t="str">
        <f t="shared" si="49"/>
        <v/>
      </c>
      <c r="C745" s="16" t="str">
        <f>IFERROR(VLOOKUP(DATA!#REF!,DATA!#REF!,1,FALSE),"")</f>
        <v/>
      </c>
      <c r="D745" s="16" t="str">
        <f>IFERROR(VLOOKUP(C745,DATA!#REF!,2,FALSE),"")</f>
        <v/>
      </c>
    </row>
    <row r="746" spans="2:4" s="237" customFormat="1">
      <c r="B746" s="15" t="str">
        <f t="shared" si="49"/>
        <v/>
      </c>
      <c r="C746" s="16" t="str">
        <f>IFERROR(VLOOKUP(DATA!#REF!,DATA!#REF!,1,FALSE),"")</f>
        <v/>
      </c>
      <c r="D746" s="16" t="str">
        <f>IFERROR(VLOOKUP(C746,DATA!#REF!,2,FALSE),"")</f>
        <v/>
      </c>
    </row>
    <row r="747" spans="2:4" s="237" customFormat="1">
      <c r="B747" s="15" t="str">
        <f t="shared" si="49"/>
        <v/>
      </c>
      <c r="C747" s="16" t="str">
        <f>IFERROR(VLOOKUP(DATA!#REF!,DATA!#REF!,1,FALSE),"")</f>
        <v/>
      </c>
      <c r="D747" s="16" t="str">
        <f>IFERROR(VLOOKUP(C747,DATA!#REF!,2,FALSE),"")</f>
        <v/>
      </c>
    </row>
    <row r="748" spans="2:4" s="237" customFormat="1">
      <c r="B748" s="15" t="str">
        <f t="shared" si="49"/>
        <v/>
      </c>
      <c r="C748" s="16" t="str">
        <f>IFERROR(VLOOKUP(DATA!#REF!,DATA!#REF!,1,FALSE),"")</f>
        <v/>
      </c>
      <c r="D748" s="16" t="str">
        <f>IFERROR(VLOOKUP(C748,DATA!#REF!,2,FALSE),"")</f>
        <v/>
      </c>
    </row>
    <row r="749" spans="2:4" s="237" customFormat="1">
      <c r="B749" s="15" t="str">
        <f t="shared" si="49"/>
        <v/>
      </c>
      <c r="C749" s="16" t="str">
        <f>IFERROR(VLOOKUP(DATA!#REF!,DATA!#REF!,1,FALSE),"")</f>
        <v/>
      </c>
      <c r="D749" s="16" t="str">
        <f>IFERROR(VLOOKUP(C749,DATA!#REF!,2,FALSE),"")</f>
        <v/>
      </c>
    </row>
    <row r="750" spans="2:4" s="237" customFormat="1">
      <c r="B750" s="15" t="str">
        <f t="shared" si="49"/>
        <v/>
      </c>
      <c r="C750" s="16" t="str">
        <f>IFERROR(VLOOKUP(DATA!#REF!,DATA!#REF!,1,FALSE),"")</f>
        <v/>
      </c>
      <c r="D750" s="16" t="str">
        <f>IFERROR(VLOOKUP(C750,DATA!#REF!,2,FALSE),"")</f>
        <v/>
      </c>
    </row>
    <row r="751" spans="2:4" s="237" customFormat="1">
      <c r="B751" s="15" t="str">
        <f t="shared" si="49"/>
        <v/>
      </c>
      <c r="C751" s="16" t="str">
        <f>IFERROR(VLOOKUP(DATA!#REF!,DATA!#REF!,1,FALSE),"")</f>
        <v/>
      </c>
      <c r="D751" s="16" t="str">
        <f>IFERROR(VLOOKUP(C751,DATA!#REF!,2,FALSE),"")</f>
        <v/>
      </c>
    </row>
    <row r="752" spans="2:4" s="237" customFormat="1">
      <c r="B752" s="15" t="str">
        <f t="shared" si="49"/>
        <v/>
      </c>
      <c r="C752" s="16" t="str">
        <f>IFERROR(VLOOKUP(DATA!#REF!,DATA!#REF!,1,FALSE),"")</f>
        <v/>
      </c>
      <c r="D752" s="16" t="str">
        <f>IFERROR(VLOOKUP(C752,DATA!#REF!,2,FALSE),"")</f>
        <v/>
      </c>
    </row>
    <row r="753" spans="2:4" s="237" customFormat="1">
      <c r="B753" s="15" t="str">
        <f t="shared" si="49"/>
        <v/>
      </c>
      <c r="C753" s="16" t="str">
        <f>IFERROR(VLOOKUP(DATA!#REF!,DATA!#REF!,1,FALSE),"")</f>
        <v/>
      </c>
      <c r="D753" s="16" t="str">
        <f>IFERROR(VLOOKUP(C753,DATA!#REF!,2,FALSE),"")</f>
        <v/>
      </c>
    </row>
    <row r="754" spans="2:4" s="237" customFormat="1">
      <c r="B754" s="15" t="str">
        <f t="shared" si="49"/>
        <v/>
      </c>
      <c r="C754" s="16" t="str">
        <f>IFERROR(VLOOKUP(DATA!#REF!,DATA!#REF!,1,FALSE),"")</f>
        <v/>
      </c>
      <c r="D754" s="16" t="str">
        <f>IFERROR(VLOOKUP(C754,DATA!#REF!,2,FALSE),"")</f>
        <v/>
      </c>
    </row>
    <row r="755" spans="2:4" s="237" customFormat="1">
      <c r="B755" s="15" t="str">
        <f t="shared" si="49"/>
        <v/>
      </c>
      <c r="C755" s="16" t="str">
        <f>IFERROR(VLOOKUP(DATA!#REF!,DATA!#REF!,1,FALSE),"")</f>
        <v/>
      </c>
      <c r="D755" s="16" t="str">
        <f>IFERROR(VLOOKUP(C755,DATA!#REF!,2,FALSE),"")</f>
        <v/>
      </c>
    </row>
    <row r="756" spans="2:4" s="237" customFormat="1">
      <c r="B756" s="15" t="str">
        <f t="shared" si="49"/>
        <v/>
      </c>
      <c r="C756" s="16" t="str">
        <f>IFERROR(VLOOKUP(DATA!#REF!,DATA!#REF!,1,FALSE),"")</f>
        <v/>
      </c>
      <c r="D756" s="16" t="str">
        <f>IFERROR(VLOOKUP(C756,DATA!#REF!,2,FALSE),"")</f>
        <v/>
      </c>
    </row>
    <row r="757" spans="2:4" s="237" customFormat="1">
      <c r="B757" s="15" t="str">
        <f t="shared" si="49"/>
        <v/>
      </c>
      <c r="C757" s="16" t="str">
        <f>IFERROR(VLOOKUP(DATA!#REF!,DATA!#REF!,1,FALSE),"")</f>
        <v/>
      </c>
      <c r="D757" s="16" t="str">
        <f>IFERROR(VLOOKUP(C757,DATA!#REF!,2,FALSE),"")</f>
        <v/>
      </c>
    </row>
    <row r="758" spans="2:4" s="237" customFormat="1">
      <c r="B758" s="15" t="str">
        <f t="shared" si="49"/>
        <v/>
      </c>
      <c r="C758" s="16" t="str">
        <f>IFERROR(VLOOKUP(DATA!#REF!,DATA!#REF!,1,FALSE),"")</f>
        <v/>
      </c>
      <c r="D758" s="16" t="str">
        <f>IFERROR(VLOOKUP(C758,DATA!#REF!,2,FALSE),"")</f>
        <v/>
      </c>
    </row>
    <row r="759" spans="2:4" s="237" customFormat="1">
      <c r="B759" s="15" t="str">
        <f t="shared" si="49"/>
        <v/>
      </c>
      <c r="C759" s="16" t="str">
        <f>IFERROR(VLOOKUP(DATA!#REF!,DATA!#REF!,1,FALSE),"")</f>
        <v/>
      </c>
      <c r="D759" s="16" t="str">
        <f>IFERROR(VLOOKUP(C759,DATA!#REF!,2,FALSE),"")</f>
        <v/>
      </c>
    </row>
    <row r="760" spans="2:4" s="237" customFormat="1">
      <c r="B760" s="15" t="str">
        <f t="shared" si="49"/>
        <v/>
      </c>
      <c r="C760" s="16" t="str">
        <f>IFERROR(VLOOKUP(DATA!#REF!,DATA!#REF!,1,FALSE),"")</f>
        <v/>
      </c>
      <c r="D760" s="16" t="str">
        <f>IFERROR(VLOOKUP(C760,DATA!#REF!,2,FALSE),"")</f>
        <v/>
      </c>
    </row>
    <row r="761" spans="2:4" s="237" customFormat="1">
      <c r="B761" s="15" t="str">
        <f t="shared" si="49"/>
        <v/>
      </c>
      <c r="C761" s="16" t="str">
        <f>IFERROR(VLOOKUP(DATA!#REF!,DATA!#REF!,1,FALSE),"")</f>
        <v/>
      </c>
      <c r="D761" s="16" t="str">
        <f>IFERROR(VLOOKUP(C761,DATA!#REF!,2,FALSE),"")</f>
        <v/>
      </c>
    </row>
    <row r="762" spans="2:4" s="237" customFormat="1">
      <c r="B762" s="15" t="str">
        <f t="shared" si="49"/>
        <v/>
      </c>
      <c r="C762" s="16" t="str">
        <f>IFERROR(VLOOKUP(DATA!#REF!,DATA!#REF!,1,FALSE),"")</f>
        <v/>
      </c>
      <c r="D762" s="16" t="str">
        <f>IFERROR(VLOOKUP(C762,DATA!#REF!,2,FALSE),"")</f>
        <v/>
      </c>
    </row>
    <row r="763" spans="2:4" s="237" customFormat="1">
      <c r="B763" s="15" t="str">
        <f t="shared" si="49"/>
        <v/>
      </c>
      <c r="C763" s="16" t="str">
        <f>IFERROR(VLOOKUP(DATA!#REF!,DATA!#REF!,1,FALSE),"")</f>
        <v/>
      </c>
      <c r="D763" s="16" t="str">
        <f>IFERROR(VLOOKUP(C763,DATA!#REF!,2,FALSE),"")</f>
        <v/>
      </c>
    </row>
    <row r="764" spans="2:4" s="237" customFormat="1">
      <c r="B764" s="15" t="str">
        <f t="shared" si="49"/>
        <v/>
      </c>
      <c r="C764" s="16" t="str">
        <f>IFERROR(VLOOKUP(DATA!#REF!,DATA!#REF!,1,FALSE),"")</f>
        <v/>
      </c>
      <c r="D764" s="16" t="str">
        <f>IFERROR(VLOOKUP(C764,DATA!#REF!,2,FALSE),"")</f>
        <v/>
      </c>
    </row>
    <row r="765" spans="2:4" s="237" customFormat="1">
      <c r="B765" s="15" t="str">
        <f t="shared" si="49"/>
        <v/>
      </c>
      <c r="C765" s="16" t="str">
        <f>IFERROR(VLOOKUP(DATA!#REF!,DATA!#REF!,1,FALSE),"")</f>
        <v/>
      </c>
      <c r="D765" s="16" t="str">
        <f>IFERROR(VLOOKUP(C765,DATA!#REF!,2,FALSE),"")</f>
        <v/>
      </c>
    </row>
    <row r="766" spans="2:4" s="237" customFormat="1">
      <c r="B766" s="15" t="str">
        <f t="shared" si="49"/>
        <v/>
      </c>
      <c r="C766" s="16" t="str">
        <f>IFERROR(VLOOKUP(DATA!#REF!,DATA!#REF!,1,FALSE),"")</f>
        <v/>
      </c>
      <c r="D766" s="16" t="str">
        <f>IFERROR(VLOOKUP(C766,DATA!#REF!,2,FALSE),"")</f>
        <v/>
      </c>
    </row>
    <row r="767" spans="2:4" s="237" customFormat="1">
      <c r="B767" s="15" t="str">
        <f t="shared" si="49"/>
        <v/>
      </c>
      <c r="C767" s="16" t="str">
        <f>IFERROR(VLOOKUP(DATA!#REF!,DATA!#REF!,1,FALSE),"")</f>
        <v/>
      </c>
      <c r="D767" s="16" t="str">
        <f>IFERROR(VLOOKUP(C767,DATA!#REF!,2,FALSE),"")</f>
        <v/>
      </c>
    </row>
    <row r="768" spans="2:4" s="237" customFormat="1">
      <c r="B768" s="15" t="str">
        <f t="shared" si="49"/>
        <v/>
      </c>
      <c r="C768" s="16" t="str">
        <f>IFERROR(VLOOKUP(DATA!#REF!,DATA!#REF!,1,FALSE),"")</f>
        <v/>
      </c>
      <c r="D768" s="16" t="str">
        <f>IFERROR(VLOOKUP(C768,DATA!#REF!,2,FALSE),"")</f>
        <v/>
      </c>
    </row>
    <row r="769" spans="2:4" s="237" customFormat="1">
      <c r="B769" s="15" t="str">
        <f t="shared" si="49"/>
        <v/>
      </c>
      <c r="C769" s="16" t="str">
        <f>IFERROR(VLOOKUP(DATA!#REF!,DATA!#REF!,1,FALSE),"")</f>
        <v/>
      </c>
      <c r="D769" s="16" t="str">
        <f>IFERROR(VLOOKUP(C769,DATA!#REF!,2,FALSE),"")</f>
        <v/>
      </c>
    </row>
    <row r="770" spans="2:4" s="237" customFormat="1">
      <c r="B770" s="15" t="str">
        <f t="shared" si="49"/>
        <v/>
      </c>
      <c r="C770" s="16" t="str">
        <f>IFERROR(VLOOKUP(DATA!#REF!,DATA!#REF!,1,FALSE),"")</f>
        <v/>
      </c>
      <c r="D770" s="16" t="str">
        <f>IFERROR(VLOOKUP(C770,DATA!#REF!,2,FALSE),"")</f>
        <v/>
      </c>
    </row>
    <row r="771" spans="2:4" s="237" customFormat="1">
      <c r="B771" s="15" t="str">
        <f t="shared" si="49"/>
        <v/>
      </c>
      <c r="C771" s="16" t="str">
        <f>IFERROR(VLOOKUP(DATA!#REF!,DATA!#REF!,1,FALSE),"")</f>
        <v/>
      </c>
      <c r="D771" s="16" t="str">
        <f>IFERROR(VLOOKUP(C771,DATA!#REF!,2,FALSE),"")</f>
        <v/>
      </c>
    </row>
    <row r="772" spans="2:4" s="237" customFormat="1">
      <c r="B772" s="15" t="str">
        <f t="shared" si="49"/>
        <v/>
      </c>
      <c r="C772" s="16" t="str">
        <f>IFERROR(VLOOKUP(DATA!#REF!,DATA!#REF!,1,FALSE),"")</f>
        <v/>
      </c>
      <c r="D772" s="16" t="str">
        <f>IFERROR(VLOOKUP(C772,DATA!#REF!,2,FALSE),"")</f>
        <v/>
      </c>
    </row>
    <row r="773" spans="2:4" s="237" customFormat="1">
      <c r="B773" s="15" t="str">
        <f t="shared" si="49"/>
        <v/>
      </c>
      <c r="C773" s="16" t="str">
        <f>IFERROR(VLOOKUP(DATA!#REF!,DATA!#REF!,1,FALSE),"")</f>
        <v/>
      </c>
      <c r="D773" s="16" t="str">
        <f>IFERROR(VLOOKUP(C773,DATA!#REF!,2,FALSE),"")</f>
        <v/>
      </c>
    </row>
    <row r="774" spans="2:4" s="237" customFormat="1">
      <c r="B774" s="15" t="str">
        <f t="shared" ref="B774:B837" si="50">+IF(C774="","",ROW()-5)</f>
        <v/>
      </c>
      <c r="C774" s="16" t="str">
        <f>IFERROR(VLOOKUP(DATA!#REF!,DATA!#REF!,1,FALSE),"")</f>
        <v/>
      </c>
      <c r="D774" s="16" t="str">
        <f>IFERROR(VLOOKUP(C774,DATA!#REF!,2,FALSE),"")</f>
        <v/>
      </c>
    </row>
    <row r="775" spans="2:4" s="237" customFormat="1">
      <c r="B775" s="15" t="str">
        <f t="shared" si="50"/>
        <v/>
      </c>
      <c r="C775" s="16" t="str">
        <f>IFERROR(VLOOKUP(DATA!#REF!,DATA!#REF!,1,FALSE),"")</f>
        <v/>
      </c>
      <c r="D775" s="16" t="str">
        <f>IFERROR(VLOOKUP(C775,DATA!#REF!,2,FALSE),"")</f>
        <v/>
      </c>
    </row>
    <row r="776" spans="2:4" s="237" customFormat="1">
      <c r="B776" s="15" t="str">
        <f t="shared" si="50"/>
        <v/>
      </c>
      <c r="C776" s="16" t="str">
        <f>IFERROR(VLOOKUP(DATA!#REF!,DATA!#REF!,1,FALSE),"")</f>
        <v/>
      </c>
      <c r="D776" s="16" t="str">
        <f>IFERROR(VLOOKUP(C776,DATA!#REF!,2,FALSE),"")</f>
        <v/>
      </c>
    </row>
    <row r="777" spans="2:4" s="237" customFormat="1">
      <c r="B777" s="15" t="str">
        <f t="shared" si="50"/>
        <v/>
      </c>
      <c r="C777" s="16" t="str">
        <f>IFERROR(VLOOKUP(DATA!#REF!,DATA!#REF!,1,FALSE),"")</f>
        <v/>
      </c>
      <c r="D777" s="16" t="str">
        <f>IFERROR(VLOOKUP(C777,DATA!#REF!,2,FALSE),"")</f>
        <v/>
      </c>
    </row>
    <row r="778" spans="2:4" s="237" customFormat="1">
      <c r="B778" s="15" t="str">
        <f t="shared" si="50"/>
        <v/>
      </c>
      <c r="C778" s="16" t="str">
        <f>IFERROR(VLOOKUP(DATA!#REF!,DATA!#REF!,1,FALSE),"")</f>
        <v/>
      </c>
      <c r="D778" s="16" t="str">
        <f>IFERROR(VLOOKUP(C778,DATA!#REF!,2,FALSE),"")</f>
        <v/>
      </c>
    </row>
    <row r="779" spans="2:4" s="237" customFormat="1">
      <c r="B779" s="15" t="str">
        <f t="shared" si="50"/>
        <v/>
      </c>
      <c r="C779" s="16" t="str">
        <f>IFERROR(VLOOKUP(DATA!#REF!,DATA!#REF!,1,FALSE),"")</f>
        <v/>
      </c>
      <c r="D779" s="16" t="str">
        <f>IFERROR(VLOOKUP(C779,DATA!#REF!,2,FALSE),"")</f>
        <v/>
      </c>
    </row>
    <row r="780" spans="2:4" s="237" customFormat="1">
      <c r="B780" s="15" t="str">
        <f t="shared" si="50"/>
        <v/>
      </c>
      <c r="C780" s="16" t="str">
        <f>IFERROR(VLOOKUP(DATA!#REF!,DATA!#REF!,1,FALSE),"")</f>
        <v/>
      </c>
      <c r="D780" s="16" t="str">
        <f>IFERROR(VLOOKUP(C780,DATA!#REF!,2,FALSE),"")</f>
        <v/>
      </c>
    </row>
    <row r="781" spans="2:4" s="237" customFormat="1">
      <c r="B781" s="15" t="str">
        <f t="shared" si="50"/>
        <v/>
      </c>
      <c r="C781" s="16" t="str">
        <f>IFERROR(VLOOKUP(DATA!#REF!,DATA!#REF!,1,FALSE),"")</f>
        <v/>
      </c>
      <c r="D781" s="16" t="str">
        <f>IFERROR(VLOOKUP(C781,DATA!#REF!,2,FALSE),"")</f>
        <v/>
      </c>
    </row>
    <row r="782" spans="2:4" s="237" customFormat="1">
      <c r="B782" s="15" t="str">
        <f t="shared" si="50"/>
        <v/>
      </c>
      <c r="C782" s="16" t="str">
        <f>IFERROR(VLOOKUP(DATA!#REF!,DATA!#REF!,1,FALSE),"")</f>
        <v/>
      </c>
      <c r="D782" s="16" t="str">
        <f>IFERROR(VLOOKUP(C782,DATA!#REF!,2,FALSE),"")</f>
        <v/>
      </c>
    </row>
    <row r="783" spans="2:4" s="237" customFormat="1">
      <c r="B783" s="15" t="str">
        <f t="shared" si="50"/>
        <v/>
      </c>
      <c r="C783" s="16" t="str">
        <f>IFERROR(VLOOKUP(DATA!#REF!,DATA!#REF!,1,FALSE),"")</f>
        <v/>
      </c>
      <c r="D783" s="16" t="str">
        <f>IFERROR(VLOOKUP(C783,DATA!#REF!,2,FALSE),"")</f>
        <v/>
      </c>
    </row>
    <row r="784" spans="2:4" s="237" customFormat="1">
      <c r="B784" s="15" t="str">
        <f t="shared" si="50"/>
        <v/>
      </c>
      <c r="C784" s="16" t="str">
        <f>IFERROR(VLOOKUP(DATA!#REF!,DATA!#REF!,1,FALSE),"")</f>
        <v/>
      </c>
      <c r="D784" s="16" t="str">
        <f>IFERROR(VLOOKUP(C784,DATA!#REF!,2,FALSE),"")</f>
        <v/>
      </c>
    </row>
    <row r="785" spans="2:4" s="237" customFormat="1">
      <c r="B785" s="15" t="str">
        <f t="shared" si="50"/>
        <v/>
      </c>
      <c r="C785" s="16" t="str">
        <f>IFERROR(VLOOKUP(DATA!#REF!,DATA!#REF!,1,FALSE),"")</f>
        <v/>
      </c>
      <c r="D785" s="16" t="str">
        <f>IFERROR(VLOOKUP(C785,DATA!#REF!,2,FALSE),"")</f>
        <v/>
      </c>
    </row>
    <row r="786" spans="2:4" s="237" customFormat="1">
      <c r="B786" s="15" t="str">
        <f t="shared" si="50"/>
        <v/>
      </c>
      <c r="C786" s="16" t="str">
        <f>IFERROR(VLOOKUP(DATA!#REF!,DATA!#REF!,1,FALSE),"")</f>
        <v/>
      </c>
      <c r="D786" s="16" t="str">
        <f>IFERROR(VLOOKUP(C786,DATA!#REF!,2,FALSE),"")</f>
        <v/>
      </c>
    </row>
    <row r="787" spans="2:4" s="237" customFormat="1">
      <c r="B787" s="15" t="str">
        <f t="shared" si="50"/>
        <v/>
      </c>
      <c r="C787" s="16" t="str">
        <f>IFERROR(VLOOKUP(DATA!#REF!,DATA!#REF!,1,FALSE),"")</f>
        <v/>
      </c>
      <c r="D787" s="16" t="str">
        <f>IFERROR(VLOOKUP(C787,DATA!#REF!,2,FALSE),"")</f>
        <v/>
      </c>
    </row>
    <row r="788" spans="2:4" s="237" customFormat="1">
      <c r="B788" s="15" t="str">
        <f t="shared" si="50"/>
        <v/>
      </c>
      <c r="C788" s="16" t="str">
        <f>IFERROR(VLOOKUP(DATA!#REF!,DATA!#REF!,1,FALSE),"")</f>
        <v/>
      </c>
      <c r="D788" s="16" t="str">
        <f>IFERROR(VLOOKUP(C788,DATA!#REF!,2,FALSE),"")</f>
        <v/>
      </c>
    </row>
    <row r="789" spans="2:4" s="237" customFormat="1">
      <c r="B789" s="15" t="str">
        <f t="shared" si="50"/>
        <v/>
      </c>
      <c r="C789" s="16" t="str">
        <f>IFERROR(VLOOKUP(DATA!#REF!,DATA!#REF!,1,FALSE),"")</f>
        <v/>
      </c>
      <c r="D789" s="16" t="str">
        <f>IFERROR(VLOOKUP(C789,DATA!#REF!,2,FALSE),"")</f>
        <v/>
      </c>
    </row>
    <row r="790" spans="2:4" s="237" customFormat="1">
      <c r="B790" s="15" t="str">
        <f t="shared" si="50"/>
        <v/>
      </c>
      <c r="C790" s="16" t="str">
        <f>IFERROR(VLOOKUP(DATA!#REF!,DATA!#REF!,1,FALSE),"")</f>
        <v/>
      </c>
      <c r="D790" s="16" t="str">
        <f>IFERROR(VLOOKUP(C790,DATA!#REF!,2,FALSE),"")</f>
        <v/>
      </c>
    </row>
    <row r="791" spans="2:4" s="237" customFormat="1">
      <c r="B791" s="15" t="str">
        <f t="shared" si="50"/>
        <v/>
      </c>
      <c r="C791" s="16" t="str">
        <f>IFERROR(VLOOKUP(DATA!#REF!,DATA!#REF!,1,FALSE),"")</f>
        <v/>
      </c>
      <c r="D791" s="16" t="str">
        <f>IFERROR(VLOOKUP(C791,DATA!#REF!,2,FALSE),"")</f>
        <v/>
      </c>
    </row>
    <row r="792" spans="2:4" s="237" customFormat="1">
      <c r="B792" s="15" t="str">
        <f t="shared" si="50"/>
        <v/>
      </c>
      <c r="C792" s="16" t="str">
        <f>IFERROR(VLOOKUP(DATA!#REF!,DATA!#REF!,1,FALSE),"")</f>
        <v/>
      </c>
      <c r="D792" s="16" t="str">
        <f>IFERROR(VLOOKUP(C792,DATA!#REF!,2,FALSE),"")</f>
        <v/>
      </c>
    </row>
    <row r="793" spans="2:4" s="237" customFormat="1">
      <c r="B793" s="15" t="str">
        <f t="shared" si="50"/>
        <v/>
      </c>
      <c r="C793" s="16" t="str">
        <f>IFERROR(VLOOKUP(DATA!#REF!,DATA!#REF!,1,FALSE),"")</f>
        <v/>
      </c>
      <c r="D793" s="16" t="str">
        <f>IFERROR(VLOOKUP(C793,DATA!#REF!,2,FALSE),"")</f>
        <v/>
      </c>
    </row>
    <row r="794" spans="2:4" s="237" customFormat="1">
      <c r="B794" s="15" t="str">
        <f t="shared" si="50"/>
        <v/>
      </c>
      <c r="C794" s="16" t="str">
        <f>IFERROR(VLOOKUP(DATA!#REF!,DATA!#REF!,1,FALSE),"")</f>
        <v/>
      </c>
      <c r="D794" s="16" t="str">
        <f>IFERROR(VLOOKUP(C794,DATA!#REF!,2,FALSE),"")</f>
        <v/>
      </c>
    </row>
    <row r="795" spans="2:4" s="237" customFormat="1">
      <c r="B795" s="15" t="str">
        <f t="shared" si="50"/>
        <v/>
      </c>
      <c r="C795" s="16" t="str">
        <f>IFERROR(VLOOKUP(DATA!#REF!,DATA!#REF!,1,FALSE),"")</f>
        <v/>
      </c>
      <c r="D795" s="16" t="str">
        <f>IFERROR(VLOOKUP(C795,DATA!#REF!,2,FALSE),"")</f>
        <v/>
      </c>
    </row>
    <row r="796" spans="2:4" s="237" customFormat="1">
      <c r="B796" s="15" t="str">
        <f t="shared" si="50"/>
        <v/>
      </c>
      <c r="C796" s="16" t="str">
        <f>IFERROR(VLOOKUP(DATA!#REF!,DATA!#REF!,1,FALSE),"")</f>
        <v/>
      </c>
      <c r="D796" s="16" t="str">
        <f>IFERROR(VLOOKUP(C796,DATA!#REF!,2,FALSE),"")</f>
        <v/>
      </c>
    </row>
    <row r="797" spans="2:4" s="237" customFormat="1">
      <c r="B797" s="15" t="str">
        <f t="shared" si="50"/>
        <v/>
      </c>
      <c r="C797" s="16" t="str">
        <f>IFERROR(VLOOKUP(DATA!#REF!,DATA!#REF!,1,FALSE),"")</f>
        <v/>
      </c>
      <c r="D797" s="16" t="str">
        <f>IFERROR(VLOOKUP(C797,DATA!#REF!,2,FALSE),"")</f>
        <v/>
      </c>
    </row>
    <row r="798" spans="2:4" s="237" customFormat="1">
      <c r="B798" s="15" t="str">
        <f t="shared" si="50"/>
        <v/>
      </c>
      <c r="C798" s="16" t="str">
        <f>IFERROR(VLOOKUP(DATA!#REF!,DATA!#REF!,1,FALSE),"")</f>
        <v/>
      </c>
      <c r="D798" s="16" t="str">
        <f>IFERROR(VLOOKUP(C798,DATA!#REF!,2,FALSE),"")</f>
        <v/>
      </c>
    </row>
    <row r="799" spans="2:4" s="237" customFormat="1">
      <c r="B799" s="15" t="str">
        <f t="shared" si="50"/>
        <v/>
      </c>
      <c r="C799" s="16" t="str">
        <f>IFERROR(VLOOKUP(DATA!#REF!,DATA!#REF!,1,FALSE),"")</f>
        <v/>
      </c>
      <c r="D799" s="16" t="str">
        <f>IFERROR(VLOOKUP(C799,DATA!#REF!,2,FALSE),"")</f>
        <v/>
      </c>
    </row>
    <row r="800" spans="2:4" s="237" customFormat="1">
      <c r="B800" s="15" t="str">
        <f t="shared" si="50"/>
        <v/>
      </c>
      <c r="C800" s="16" t="str">
        <f>IFERROR(VLOOKUP(DATA!#REF!,DATA!#REF!,1,FALSE),"")</f>
        <v/>
      </c>
      <c r="D800" s="16" t="str">
        <f>IFERROR(VLOOKUP(C800,DATA!#REF!,2,FALSE),"")</f>
        <v/>
      </c>
    </row>
    <row r="801" spans="2:4" s="237" customFormat="1">
      <c r="B801" s="15" t="str">
        <f t="shared" si="50"/>
        <v/>
      </c>
      <c r="C801" s="16" t="str">
        <f>IFERROR(VLOOKUP(DATA!#REF!,DATA!#REF!,1,FALSE),"")</f>
        <v/>
      </c>
      <c r="D801" s="16" t="str">
        <f>IFERROR(VLOOKUP(C801,DATA!#REF!,2,FALSE),"")</f>
        <v/>
      </c>
    </row>
    <row r="802" spans="2:4" s="237" customFormat="1">
      <c r="B802" s="15" t="str">
        <f t="shared" si="50"/>
        <v/>
      </c>
      <c r="C802" s="16" t="str">
        <f>IFERROR(VLOOKUP(DATA!#REF!,DATA!#REF!,1,FALSE),"")</f>
        <v/>
      </c>
      <c r="D802" s="16" t="str">
        <f>IFERROR(VLOOKUP(C802,DATA!#REF!,2,FALSE),"")</f>
        <v/>
      </c>
    </row>
    <row r="803" spans="2:4" s="237" customFormat="1">
      <c r="B803" s="15" t="str">
        <f t="shared" si="50"/>
        <v/>
      </c>
      <c r="C803" s="16" t="str">
        <f>IFERROR(VLOOKUP(DATA!#REF!,DATA!#REF!,1,FALSE),"")</f>
        <v/>
      </c>
      <c r="D803" s="16" t="str">
        <f>IFERROR(VLOOKUP(C803,DATA!#REF!,2,FALSE),"")</f>
        <v/>
      </c>
    </row>
    <row r="804" spans="2:4" s="237" customFormat="1">
      <c r="B804" s="15" t="str">
        <f t="shared" si="50"/>
        <v/>
      </c>
      <c r="C804" s="16" t="str">
        <f>IFERROR(VLOOKUP(DATA!#REF!,DATA!#REF!,1,FALSE),"")</f>
        <v/>
      </c>
      <c r="D804" s="16" t="str">
        <f>IFERROR(VLOOKUP(C804,DATA!#REF!,2,FALSE),"")</f>
        <v/>
      </c>
    </row>
    <row r="805" spans="2:4" s="237" customFormat="1">
      <c r="B805" s="15" t="str">
        <f t="shared" si="50"/>
        <v/>
      </c>
      <c r="C805" s="16" t="str">
        <f>IFERROR(VLOOKUP(DATA!#REF!,DATA!#REF!,1,FALSE),"")</f>
        <v/>
      </c>
      <c r="D805" s="16" t="str">
        <f>IFERROR(VLOOKUP(C805,DATA!#REF!,2,FALSE),"")</f>
        <v/>
      </c>
    </row>
    <row r="806" spans="2:4" s="237" customFormat="1">
      <c r="B806" s="15" t="str">
        <f t="shared" si="50"/>
        <v/>
      </c>
      <c r="C806" s="16" t="str">
        <f>IFERROR(VLOOKUP(DATA!#REF!,DATA!#REF!,1,FALSE),"")</f>
        <v/>
      </c>
      <c r="D806" s="16" t="str">
        <f>IFERROR(VLOOKUP(C806,DATA!#REF!,2,FALSE),"")</f>
        <v/>
      </c>
    </row>
    <row r="807" spans="2:4" s="237" customFormat="1">
      <c r="B807" s="15" t="str">
        <f t="shared" si="50"/>
        <v/>
      </c>
      <c r="C807" s="16" t="str">
        <f>IFERROR(VLOOKUP(DATA!#REF!,DATA!#REF!,1,FALSE),"")</f>
        <v/>
      </c>
      <c r="D807" s="16" t="str">
        <f>IFERROR(VLOOKUP(C807,DATA!#REF!,2,FALSE),"")</f>
        <v/>
      </c>
    </row>
    <row r="808" spans="2:4" s="237" customFormat="1">
      <c r="B808" s="15" t="str">
        <f t="shared" si="50"/>
        <v/>
      </c>
      <c r="C808" s="16" t="str">
        <f>IFERROR(VLOOKUP(DATA!#REF!,DATA!#REF!,1,FALSE),"")</f>
        <v/>
      </c>
      <c r="D808" s="16" t="str">
        <f>IFERROR(VLOOKUP(C808,DATA!#REF!,2,FALSE),"")</f>
        <v/>
      </c>
    </row>
    <row r="809" spans="2:4" s="237" customFormat="1">
      <c r="B809" s="15" t="str">
        <f t="shared" si="50"/>
        <v/>
      </c>
      <c r="C809" s="16" t="str">
        <f>IFERROR(VLOOKUP(DATA!#REF!,DATA!#REF!,1,FALSE),"")</f>
        <v/>
      </c>
      <c r="D809" s="16" t="str">
        <f>IFERROR(VLOOKUP(C809,DATA!#REF!,2,FALSE),"")</f>
        <v/>
      </c>
    </row>
    <row r="810" spans="2:4" s="237" customFormat="1">
      <c r="B810" s="15" t="str">
        <f t="shared" si="50"/>
        <v/>
      </c>
      <c r="C810" s="16" t="str">
        <f>IFERROR(VLOOKUP(DATA!#REF!,DATA!#REF!,1,FALSE),"")</f>
        <v/>
      </c>
      <c r="D810" s="16" t="str">
        <f>IFERROR(VLOOKUP(C810,DATA!#REF!,2,FALSE),"")</f>
        <v/>
      </c>
    </row>
    <row r="811" spans="2:4" s="237" customFormat="1">
      <c r="B811" s="15" t="str">
        <f t="shared" si="50"/>
        <v/>
      </c>
      <c r="C811" s="16" t="str">
        <f>IFERROR(VLOOKUP(DATA!#REF!,DATA!#REF!,1,FALSE),"")</f>
        <v/>
      </c>
      <c r="D811" s="16" t="str">
        <f>IFERROR(VLOOKUP(C811,DATA!#REF!,2,FALSE),"")</f>
        <v/>
      </c>
    </row>
    <row r="812" spans="2:4" s="237" customFormat="1">
      <c r="B812" s="15" t="str">
        <f t="shared" si="50"/>
        <v/>
      </c>
      <c r="C812" s="16" t="str">
        <f>IFERROR(VLOOKUP(DATA!#REF!,DATA!#REF!,1,FALSE),"")</f>
        <v/>
      </c>
      <c r="D812" s="16" t="str">
        <f>IFERROR(VLOOKUP(C812,DATA!#REF!,2,FALSE),"")</f>
        <v/>
      </c>
    </row>
    <row r="813" spans="2:4" s="237" customFormat="1">
      <c r="B813" s="15" t="str">
        <f t="shared" si="50"/>
        <v/>
      </c>
      <c r="C813" s="16" t="str">
        <f>IFERROR(VLOOKUP(DATA!#REF!,DATA!#REF!,1,FALSE),"")</f>
        <v/>
      </c>
      <c r="D813" s="16" t="str">
        <f>IFERROR(VLOOKUP(C813,DATA!#REF!,2,FALSE),"")</f>
        <v/>
      </c>
    </row>
    <row r="814" spans="2:4" s="237" customFormat="1">
      <c r="B814" s="15" t="str">
        <f t="shared" si="50"/>
        <v/>
      </c>
      <c r="C814" s="16" t="str">
        <f>IFERROR(VLOOKUP(DATA!#REF!,DATA!#REF!,1,FALSE),"")</f>
        <v/>
      </c>
      <c r="D814" s="16" t="str">
        <f>IFERROR(VLOOKUP(C814,DATA!#REF!,2,FALSE),"")</f>
        <v/>
      </c>
    </row>
    <row r="815" spans="2:4" s="237" customFormat="1">
      <c r="B815" s="15" t="str">
        <f t="shared" si="50"/>
        <v/>
      </c>
      <c r="C815" s="16" t="str">
        <f>IFERROR(VLOOKUP(DATA!#REF!,DATA!#REF!,1,FALSE),"")</f>
        <v/>
      </c>
      <c r="D815" s="16" t="str">
        <f>IFERROR(VLOOKUP(C815,DATA!#REF!,2,FALSE),"")</f>
        <v/>
      </c>
    </row>
    <row r="816" spans="2:4" s="237" customFormat="1">
      <c r="B816" s="15" t="str">
        <f t="shared" si="50"/>
        <v/>
      </c>
      <c r="C816" s="16" t="str">
        <f>IFERROR(VLOOKUP(DATA!#REF!,DATA!#REF!,1,FALSE),"")</f>
        <v/>
      </c>
      <c r="D816" s="16" t="str">
        <f>IFERROR(VLOOKUP(C816,DATA!#REF!,2,FALSE),"")</f>
        <v/>
      </c>
    </row>
    <row r="817" spans="2:4" s="237" customFormat="1">
      <c r="B817" s="15" t="str">
        <f t="shared" si="50"/>
        <v/>
      </c>
      <c r="C817" s="16" t="str">
        <f>IFERROR(VLOOKUP(DATA!#REF!,DATA!#REF!,1,FALSE),"")</f>
        <v/>
      </c>
      <c r="D817" s="16" t="str">
        <f>IFERROR(VLOOKUP(C817,DATA!#REF!,2,FALSE),"")</f>
        <v/>
      </c>
    </row>
    <row r="818" spans="2:4" s="237" customFormat="1">
      <c r="B818" s="15" t="str">
        <f t="shared" si="50"/>
        <v/>
      </c>
      <c r="C818" s="16" t="str">
        <f>IFERROR(VLOOKUP(DATA!#REF!,DATA!#REF!,1,FALSE),"")</f>
        <v/>
      </c>
      <c r="D818" s="16" t="str">
        <f>IFERROR(VLOOKUP(C818,DATA!#REF!,2,FALSE),"")</f>
        <v/>
      </c>
    </row>
    <row r="819" spans="2:4" s="237" customFormat="1">
      <c r="B819" s="15" t="str">
        <f t="shared" si="50"/>
        <v/>
      </c>
      <c r="C819" s="16" t="str">
        <f>IFERROR(VLOOKUP(DATA!#REF!,DATA!#REF!,1,FALSE),"")</f>
        <v/>
      </c>
      <c r="D819" s="16" t="str">
        <f>IFERROR(VLOOKUP(C819,DATA!#REF!,2,FALSE),"")</f>
        <v/>
      </c>
    </row>
    <row r="820" spans="2:4" s="237" customFormat="1">
      <c r="B820" s="15" t="str">
        <f t="shared" si="50"/>
        <v/>
      </c>
      <c r="C820" s="16" t="str">
        <f>IFERROR(VLOOKUP(DATA!#REF!,DATA!#REF!,1,FALSE),"")</f>
        <v/>
      </c>
      <c r="D820" s="16" t="str">
        <f>IFERROR(VLOOKUP(C820,DATA!#REF!,2,FALSE),"")</f>
        <v/>
      </c>
    </row>
    <row r="821" spans="2:4" s="237" customFormat="1">
      <c r="B821" s="15" t="str">
        <f t="shared" si="50"/>
        <v/>
      </c>
      <c r="C821" s="16" t="str">
        <f>IFERROR(VLOOKUP(DATA!#REF!,DATA!#REF!,1,FALSE),"")</f>
        <v/>
      </c>
      <c r="D821" s="16" t="str">
        <f>IFERROR(VLOOKUP(C821,DATA!#REF!,2,FALSE),"")</f>
        <v/>
      </c>
    </row>
    <row r="822" spans="2:4" s="237" customFormat="1">
      <c r="B822" s="15" t="str">
        <f t="shared" si="50"/>
        <v/>
      </c>
      <c r="C822" s="16" t="str">
        <f>IFERROR(VLOOKUP(DATA!#REF!,DATA!#REF!,1,FALSE),"")</f>
        <v/>
      </c>
      <c r="D822" s="16" t="str">
        <f>IFERROR(VLOOKUP(C822,DATA!#REF!,2,FALSE),"")</f>
        <v/>
      </c>
    </row>
    <row r="823" spans="2:4" s="237" customFormat="1">
      <c r="B823" s="15" t="str">
        <f t="shared" si="50"/>
        <v/>
      </c>
      <c r="C823" s="16" t="str">
        <f>IFERROR(VLOOKUP(DATA!#REF!,DATA!#REF!,1,FALSE),"")</f>
        <v/>
      </c>
      <c r="D823" s="16" t="str">
        <f>IFERROR(VLOOKUP(C823,DATA!#REF!,2,FALSE),"")</f>
        <v/>
      </c>
    </row>
    <row r="824" spans="2:4" s="237" customFormat="1">
      <c r="B824" s="15" t="str">
        <f t="shared" si="50"/>
        <v/>
      </c>
      <c r="C824" s="16" t="str">
        <f>IFERROR(VLOOKUP(DATA!#REF!,DATA!#REF!,1,FALSE),"")</f>
        <v/>
      </c>
      <c r="D824" s="16" t="str">
        <f>IFERROR(VLOOKUP(C824,DATA!#REF!,2,FALSE),"")</f>
        <v/>
      </c>
    </row>
    <row r="825" spans="2:4" s="237" customFormat="1">
      <c r="B825" s="15" t="str">
        <f t="shared" si="50"/>
        <v/>
      </c>
      <c r="C825" s="16" t="str">
        <f>IFERROR(VLOOKUP(DATA!#REF!,DATA!#REF!,1,FALSE),"")</f>
        <v/>
      </c>
      <c r="D825" s="16" t="str">
        <f>IFERROR(VLOOKUP(C825,DATA!#REF!,2,FALSE),"")</f>
        <v/>
      </c>
    </row>
    <row r="826" spans="2:4" s="237" customFormat="1">
      <c r="B826" s="15" t="str">
        <f t="shared" si="50"/>
        <v/>
      </c>
      <c r="C826" s="16" t="str">
        <f>IFERROR(VLOOKUP(DATA!#REF!,DATA!#REF!,1,FALSE),"")</f>
        <v/>
      </c>
      <c r="D826" s="16" t="str">
        <f>IFERROR(VLOOKUP(C826,DATA!#REF!,2,FALSE),"")</f>
        <v/>
      </c>
    </row>
    <row r="827" spans="2:4" s="237" customFormat="1">
      <c r="B827" s="15" t="str">
        <f t="shared" si="50"/>
        <v/>
      </c>
      <c r="C827" s="16" t="str">
        <f>IFERROR(VLOOKUP(DATA!#REF!,DATA!#REF!,1,FALSE),"")</f>
        <v/>
      </c>
      <c r="D827" s="16" t="str">
        <f>IFERROR(VLOOKUP(C827,DATA!#REF!,2,FALSE),"")</f>
        <v/>
      </c>
    </row>
    <row r="828" spans="2:4" s="237" customFormat="1">
      <c r="B828" s="15" t="str">
        <f t="shared" si="50"/>
        <v/>
      </c>
      <c r="C828" s="16" t="str">
        <f>IFERROR(VLOOKUP(DATA!#REF!,DATA!#REF!,1,FALSE),"")</f>
        <v/>
      </c>
      <c r="D828" s="16" t="str">
        <f>IFERROR(VLOOKUP(C828,DATA!#REF!,2,FALSE),"")</f>
        <v/>
      </c>
    </row>
    <row r="829" spans="2:4" s="237" customFormat="1">
      <c r="B829" s="15" t="str">
        <f t="shared" si="50"/>
        <v/>
      </c>
      <c r="C829" s="16" t="str">
        <f>IFERROR(VLOOKUP(DATA!#REF!,DATA!#REF!,1,FALSE),"")</f>
        <v/>
      </c>
      <c r="D829" s="16" t="str">
        <f>IFERROR(VLOOKUP(C829,DATA!#REF!,2,FALSE),"")</f>
        <v/>
      </c>
    </row>
    <row r="830" spans="2:4" s="237" customFormat="1">
      <c r="B830" s="15" t="str">
        <f t="shared" si="50"/>
        <v/>
      </c>
      <c r="C830" s="16" t="str">
        <f>IFERROR(VLOOKUP(DATA!#REF!,DATA!#REF!,1,FALSE),"")</f>
        <v/>
      </c>
      <c r="D830" s="16" t="str">
        <f>IFERROR(VLOOKUP(C830,DATA!#REF!,2,FALSE),"")</f>
        <v/>
      </c>
    </row>
    <row r="831" spans="2:4" s="237" customFormat="1">
      <c r="B831" s="15" t="str">
        <f t="shared" si="50"/>
        <v/>
      </c>
      <c r="C831" s="16" t="str">
        <f>IFERROR(VLOOKUP(DATA!#REF!,DATA!#REF!,1,FALSE),"")</f>
        <v/>
      </c>
      <c r="D831" s="16" t="str">
        <f>IFERROR(VLOOKUP(C831,DATA!#REF!,2,FALSE),"")</f>
        <v/>
      </c>
    </row>
    <row r="832" spans="2:4" s="237" customFormat="1">
      <c r="B832" s="15" t="str">
        <f t="shared" si="50"/>
        <v/>
      </c>
      <c r="C832" s="16" t="str">
        <f>IFERROR(VLOOKUP(DATA!#REF!,DATA!#REF!,1,FALSE),"")</f>
        <v/>
      </c>
      <c r="D832" s="16" t="str">
        <f>IFERROR(VLOOKUP(C832,DATA!#REF!,2,FALSE),"")</f>
        <v/>
      </c>
    </row>
    <row r="833" spans="2:4" s="237" customFormat="1">
      <c r="B833" s="15" t="str">
        <f t="shared" si="50"/>
        <v/>
      </c>
      <c r="C833" s="16" t="str">
        <f>IFERROR(VLOOKUP(DATA!#REF!,DATA!#REF!,1,FALSE),"")</f>
        <v/>
      </c>
      <c r="D833" s="16" t="str">
        <f>IFERROR(VLOOKUP(C833,DATA!#REF!,2,FALSE),"")</f>
        <v/>
      </c>
    </row>
    <row r="834" spans="2:4" s="237" customFormat="1">
      <c r="B834" s="15" t="str">
        <f t="shared" si="50"/>
        <v/>
      </c>
      <c r="C834" s="16" t="str">
        <f>IFERROR(VLOOKUP(DATA!#REF!,DATA!#REF!,1,FALSE),"")</f>
        <v/>
      </c>
      <c r="D834" s="16" t="str">
        <f>IFERROR(VLOOKUP(C834,DATA!#REF!,2,FALSE),"")</f>
        <v/>
      </c>
    </row>
    <row r="835" spans="2:4" s="237" customFormat="1">
      <c r="B835" s="15" t="str">
        <f t="shared" si="50"/>
        <v/>
      </c>
      <c r="C835" s="16" t="str">
        <f>IFERROR(VLOOKUP(DATA!#REF!,DATA!#REF!,1,FALSE),"")</f>
        <v/>
      </c>
      <c r="D835" s="16" t="str">
        <f>IFERROR(VLOOKUP(C835,DATA!#REF!,2,FALSE),"")</f>
        <v/>
      </c>
    </row>
    <row r="836" spans="2:4" s="237" customFormat="1">
      <c r="B836" s="15" t="str">
        <f t="shared" si="50"/>
        <v/>
      </c>
      <c r="C836" s="16" t="str">
        <f>IFERROR(VLOOKUP(DATA!#REF!,DATA!#REF!,1,FALSE),"")</f>
        <v/>
      </c>
      <c r="D836" s="16" t="str">
        <f>IFERROR(VLOOKUP(C836,DATA!#REF!,2,FALSE),"")</f>
        <v/>
      </c>
    </row>
    <row r="837" spans="2:4" s="237" customFormat="1">
      <c r="B837" s="15" t="str">
        <f t="shared" si="50"/>
        <v/>
      </c>
      <c r="C837" s="16" t="str">
        <f>IFERROR(VLOOKUP(DATA!#REF!,DATA!#REF!,1,FALSE),"")</f>
        <v/>
      </c>
      <c r="D837" s="16" t="str">
        <f>IFERROR(VLOOKUP(C837,DATA!#REF!,2,FALSE),"")</f>
        <v/>
      </c>
    </row>
    <row r="838" spans="2:4" s="237" customFormat="1">
      <c r="B838" s="15" t="str">
        <f t="shared" ref="B838:B901" si="51">+IF(C838="","",ROW()-5)</f>
        <v/>
      </c>
      <c r="C838" s="16" t="str">
        <f>IFERROR(VLOOKUP(DATA!#REF!,DATA!#REF!,1,FALSE),"")</f>
        <v/>
      </c>
      <c r="D838" s="16" t="str">
        <f>IFERROR(VLOOKUP(C838,DATA!#REF!,2,FALSE),"")</f>
        <v/>
      </c>
    </row>
    <row r="839" spans="2:4" s="237" customFormat="1">
      <c r="B839" s="15" t="str">
        <f t="shared" si="51"/>
        <v/>
      </c>
      <c r="C839" s="16" t="str">
        <f>IFERROR(VLOOKUP(DATA!#REF!,DATA!#REF!,1,FALSE),"")</f>
        <v/>
      </c>
      <c r="D839" s="16" t="str">
        <f>IFERROR(VLOOKUP(C839,DATA!#REF!,2,FALSE),"")</f>
        <v/>
      </c>
    </row>
    <row r="840" spans="2:4" s="237" customFormat="1">
      <c r="B840" s="15" t="str">
        <f t="shared" si="51"/>
        <v/>
      </c>
      <c r="C840" s="16" t="str">
        <f>IFERROR(VLOOKUP(DATA!#REF!,DATA!#REF!,1,FALSE),"")</f>
        <v/>
      </c>
      <c r="D840" s="16" t="str">
        <f>IFERROR(VLOOKUP(C840,DATA!#REF!,2,FALSE),"")</f>
        <v/>
      </c>
    </row>
    <row r="841" spans="2:4" s="237" customFormat="1">
      <c r="B841" s="15" t="str">
        <f t="shared" si="51"/>
        <v/>
      </c>
      <c r="C841" s="16" t="str">
        <f>IFERROR(VLOOKUP(DATA!#REF!,DATA!#REF!,1,FALSE),"")</f>
        <v/>
      </c>
      <c r="D841" s="16" t="str">
        <f>IFERROR(VLOOKUP(C841,DATA!#REF!,2,FALSE),"")</f>
        <v/>
      </c>
    </row>
    <row r="842" spans="2:4" s="237" customFormat="1">
      <c r="B842" s="15" t="str">
        <f t="shared" si="51"/>
        <v/>
      </c>
      <c r="C842" s="16" t="str">
        <f>IFERROR(VLOOKUP(DATA!#REF!,DATA!#REF!,1,FALSE),"")</f>
        <v/>
      </c>
      <c r="D842" s="16" t="str">
        <f>IFERROR(VLOOKUP(C842,DATA!#REF!,2,FALSE),"")</f>
        <v/>
      </c>
    </row>
    <row r="843" spans="2:4" s="237" customFormat="1">
      <c r="B843" s="15" t="str">
        <f t="shared" si="51"/>
        <v/>
      </c>
      <c r="C843" s="16" t="str">
        <f>IFERROR(VLOOKUP(DATA!#REF!,DATA!#REF!,1,FALSE),"")</f>
        <v/>
      </c>
      <c r="D843" s="16" t="str">
        <f>IFERROR(VLOOKUP(C843,DATA!#REF!,2,FALSE),"")</f>
        <v/>
      </c>
    </row>
    <row r="844" spans="2:4" s="237" customFormat="1">
      <c r="B844" s="15" t="str">
        <f t="shared" si="51"/>
        <v/>
      </c>
      <c r="C844" s="16" t="str">
        <f>IFERROR(VLOOKUP(DATA!#REF!,DATA!#REF!,1,FALSE),"")</f>
        <v/>
      </c>
      <c r="D844" s="16" t="str">
        <f>IFERROR(VLOOKUP(C844,DATA!#REF!,2,FALSE),"")</f>
        <v/>
      </c>
    </row>
    <row r="845" spans="2:4" s="237" customFormat="1">
      <c r="B845" s="15" t="str">
        <f t="shared" si="51"/>
        <v/>
      </c>
      <c r="C845" s="16" t="str">
        <f>IFERROR(VLOOKUP(DATA!#REF!,DATA!#REF!,1,FALSE),"")</f>
        <v/>
      </c>
      <c r="D845" s="16" t="str">
        <f>IFERROR(VLOOKUP(C845,DATA!#REF!,2,FALSE),"")</f>
        <v/>
      </c>
    </row>
    <row r="846" spans="2:4" s="237" customFormat="1">
      <c r="B846" s="15" t="str">
        <f t="shared" si="51"/>
        <v/>
      </c>
      <c r="C846" s="16" t="str">
        <f>IFERROR(VLOOKUP(DATA!#REF!,DATA!#REF!,1,FALSE),"")</f>
        <v/>
      </c>
      <c r="D846" s="16" t="str">
        <f>IFERROR(VLOOKUP(C846,DATA!#REF!,2,FALSE),"")</f>
        <v/>
      </c>
    </row>
    <row r="847" spans="2:4" s="237" customFormat="1">
      <c r="B847" s="15" t="str">
        <f t="shared" si="51"/>
        <v/>
      </c>
      <c r="C847" s="16" t="str">
        <f>IFERROR(VLOOKUP(DATA!#REF!,DATA!#REF!,1,FALSE),"")</f>
        <v/>
      </c>
      <c r="D847" s="16" t="str">
        <f>IFERROR(VLOOKUP(C847,DATA!#REF!,2,FALSE),"")</f>
        <v/>
      </c>
    </row>
    <row r="848" spans="2:4" s="237" customFormat="1">
      <c r="B848" s="15" t="str">
        <f t="shared" si="51"/>
        <v/>
      </c>
      <c r="C848" s="16" t="str">
        <f>IFERROR(VLOOKUP(DATA!#REF!,DATA!#REF!,1,FALSE),"")</f>
        <v/>
      </c>
      <c r="D848" s="16" t="str">
        <f>IFERROR(VLOOKUP(C848,DATA!#REF!,2,FALSE),"")</f>
        <v/>
      </c>
    </row>
    <row r="849" spans="2:4" s="237" customFormat="1">
      <c r="B849" s="15" t="str">
        <f t="shared" si="51"/>
        <v/>
      </c>
      <c r="C849" s="16" t="str">
        <f>IFERROR(VLOOKUP(DATA!#REF!,DATA!#REF!,1,FALSE),"")</f>
        <v/>
      </c>
      <c r="D849" s="16" t="str">
        <f>IFERROR(VLOOKUP(C849,DATA!#REF!,2,FALSE),"")</f>
        <v/>
      </c>
    </row>
    <row r="850" spans="2:4" s="237" customFormat="1">
      <c r="B850" s="15" t="str">
        <f t="shared" si="51"/>
        <v/>
      </c>
      <c r="C850" s="16" t="str">
        <f>IFERROR(VLOOKUP(DATA!#REF!,DATA!#REF!,1,FALSE),"")</f>
        <v/>
      </c>
      <c r="D850" s="16" t="str">
        <f>IFERROR(VLOOKUP(C850,DATA!#REF!,2,FALSE),"")</f>
        <v/>
      </c>
    </row>
    <row r="851" spans="2:4" s="237" customFormat="1">
      <c r="B851" s="15" t="str">
        <f t="shared" si="51"/>
        <v/>
      </c>
      <c r="C851" s="16" t="str">
        <f>IFERROR(VLOOKUP(DATA!#REF!,DATA!#REF!,1,FALSE),"")</f>
        <v/>
      </c>
      <c r="D851" s="16" t="str">
        <f>IFERROR(VLOOKUP(C851,DATA!#REF!,2,FALSE),"")</f>
        <v/>
      </c>
    </row>
    <row r="852" spans="2:4" s="237" customFormat="1">
      <c r="B852" s="15" t="str">
        <f t="shared" si="51"/>
        <v/>
      </c>
      <c r="C852" s="16" t="str">
        <f>IFERROR(VLOOKUP(DATA!#REF!,DATA!#REF!,1,FALSE),"")</f>
        <v/>
      </c>
      <c r="D852" s="16" t="str">
        <f>IFERROR(VLOOKUP(C852,DATA!#REF!,2,FALSE),"")</f>
        <v/>
      </c>
    </row>
    <row r="853" spans="2:4" s="237" customFormat="1">
      <c r="B853" s="15" t="str">
        <f t="shared" si="51"/>
        <v/>
      </c>
      <c r="C853" s="16" t="str">
        <f>IFERROR(VLOOKUP(DATA!#REF!,DATA!#REF!,1,FALSE),"")</f>
        <v/>
      </c>
      <c r="D853" s="16" t="str">
        <f>IFERROR(VLOOKUP(C853,DATA!#REF!,2,FALSE),"")</f>
        <v/>
      </c>
    </row>
    <row r="854" spans="2:4" s="237" customFormat="1">
      <c r="B854" s="15" t="str">
        <f t="shared" si="51"/>
        <v/>
      </c>
      <c r="C854" s="16" t="str">
        <f>IFERROR(VLOOKUP(DATA!#REF!,DATA!#REF!,1,FALSE),"")</f>
        <v/>
      </c>
      <c r="D854" s="16" t="str">
        <f>IFERROR(VLOOKUP(C854,DATA!#REF!,2,FALSE),"")</f>
        <v/>
      </c>
    </row>
    <row r="855" spans="2:4" s="237" customFormat="1">
      <c r="B855" s="15" t="str">
        <f t="shared" si="51"/>
        <v/>
      </c>
      <c r="C855" s="16" t="str">
        <f>IFERROR(VLOOKUP(DATA!#REF!,DATA!#REF!,1,FALSE),"")</f>
        <v/>
      </c>
      <c r="D855" s="16" t="str">
        <f>IFERROR(VLOOKUP(C855,DATA!#REF!,2,FALSE),"")</f>
        <v/>
      </c>
    </row>
    <row r="856" spans="2:4" s="237" customFormat="1">
      <c r="B856" s="15" t="str">
        <f t="shared" si="51"/>
        <v/>
      </c>
      <c r="C856" s="16" t="str">
        <f>IFERROR(VLOOKUP(DATA!#REF!,DATA!#REF!,1,FALSE),"")</f>
        <v/>
      </c>
      <c r="D856" s="16" t="str">
        <f>IFERROR(VLOOKUP(C856,DATA!#REF!,2,FALSE),"")</f>
        <v/>
      </c>
    </row>
    <row r="857" spans="2:4" s="237" customFormat="1">
      <c r="B857" s="15" t="str">
        <f t="shared" si="51"/>
        <v/>
      </c>
      <c r="C857" s="16" t="str">
        <f>IFERROR(VLOOKUP(DATA!#REF!,DATA!#REF!,1,FALSE),"")</f>
        <v/>
      </c>
      <c r="D857" s="16" t="str">
        <f>IFERROR(VLOOKUP(C857,DATA!#REF!,2,FALSE),"")</f>
        <v/>
      </c>
    </row>
    <row r="858" spans="2:4" s="237" customFormat="1">
      <c r="B858" s="15" t="str">
        <f t="shared" si="51"/>
        <v/>
      </c>
      <c r="C858" s="16" t="str">
        <f>IFERROR(VLOOKUP(DATA!#REF!,DATA!#REF!,1,FALSE),"")</f>
        <v/>
      </c>
      <c r="D858" s="16" t="str">
        <f>IFERROR(VLOOKUP(C858,DATA!#REF!,2,FALSE),"")</f>
        <v/>
      </c>
    </row>
    <row r="859" spans="2:4" s="237" customFormat="1">
      <c r="B859" s="15" t="str">
        <f t="shared" si="51"/>
        <v/>
      </c>
      <c r="C859" s="16" t="str">
        <f>IFERROR(VLOOKUP(DATA!#REF!,DATA!#REF!,1,FALSE),"")</f>
        <v/>
      </c>
      <c r="D859" s="16" t="str">
        <f>IFERROR(VLOOKUP(C859,DATA!#REF!,2,FALSE),"")</f>
        <v/>
      </c>
    </row>
    <row r="860" spans="2:4" s="237" customFormat="1">
      <c r="B860" s="15" t="str">
        <f t="shared" si="51"/>
        <v/>
      </c>
      <c r="C860" s="16" t="str">
        <f>IFERROR(VLOOKUP(DATA!#REF!,DATA!#REF!,1,FALSE),"")</f>
        <v/>
      </c>
      <c r="D860" s="16" t="str">
        <f>IFERROR(VLOOKUP(C860,DATA!#REF!,2,FALSE),"")</f>
        <v/>
      </c>
    </row>
    <row r="861" spans="2:4" s="237" customFormat="1">
      <c r="B861" s="15" t="str">
        <f t="shared" si="51"/>
        <v/>
      </c>
      <c r="C861" s="16" t="str">
        <f>IFERROR(VLOOKUP(DATA!#REF!,DATA!#REF!,1,FALSE),"")</f>
        <v/>
      </c>
      <c r="D861" s="16" t="str">
        <f>IFERROR(VLOOKUP(C861,DATA!#REF!,2,FALSE),"")</f>
        <v/>
      </c>
    </row>
    <row r="862" spans="2:4" s="237" customFormat="1">
      <c r="B862" s="15" t="str">
        <f t="shared" si="51"/>
        <v/>
      </c>
      <c r="C862" s="16" t="str">
        <f>IFERROR(VLOOKUP(DATA!#REF!,DATA!#REF!,1,FALSE),"")</f>
        <v/>
      </c>
      <c r="D862" s="16" t="str">
        <f>IFERROR(VLOOKUP(C862,DATA!#REF!,2,FALSE),"")</f>
        <v/>
      </c>
    </row>
    <row r="863" spans="2:4" s="237" customFormat="1">
      <c r="B863" s="15" t="str">
        <f t="shared" si="51"/>
        <v/>
      </c>
      <c r="C863" s="16" t="str">
        <f>IFERROR(VLOOKUP(DATA!#REF!,DATA!#REF!,1,FALSE),"")</f>
        <v/>
      </c>
      <c r="D863" s="16" t="str">
        <f>IFERROR(VLOOKUP(C863,DATA!#REF!,2,FALSE),"")</f>
        <v/>
      </c>
    </row>
    <row r="864" spans="2:4" s="237" customFormat="1">
      <c r="B864" s="15" t="str">
        <f t="shared" si="51"/>
        <v/>
      </c>
      <c r="C864" s="16" t="str">
        <f>IFERROR(VLOOKUP(DATA!#REF!,DATA!#REF!,1,FALSE),"")</f>
        <v/>
      </c>
      <c r="D864" s="16" t="str">
        <f>IFERROR(VLOOKUP(C864,DATA!#REF!,2,FALSE),"")</f>
        <v/>
      </c>
    </row>
    <row r="865" spans="2:4" s="237" customFormat="1">
      <c r="B865" s="15" t="str">
        <f t="shared" si="51"/>
        <v/>
      </c>
      <c r="C865" s="16" t="str">
        <f>IFERROR(VLOOKUP(DATA!#REF!,DATA!#REF!,1,FALSE),"")</f>
        <v/>
      </c>
      <c r="D865" s="16" t="str">
        <f>IFERROR(VLOOKUP(C865,DATA!#REF!,2,FALSE),"")</f>
        <v/>
      </c>
    </row>
    <row r="866" spans="2:4" s="237" customFormat="1">
      <c r="B866" s="15" t="str">
        <f t="shared" si="51"/>
        <v/>
      </c>
      <c r="C866" s="16" t="str">
        <f>IFERROR(VLOOKUP(DATA!#REF!,DATA!#REF!,1,FALSE),"")</f>
        <v/>
      </c>
      <c r="D866" s="16" t="str">
        <f>IFERROR(VLOOKUP(C866,DATA!#REF!,2,FALSE),"")</f>
        <v/>
      </c>
    </row>
    <row r="867" spans="2:4" s="237" customFormat="1">
      <c r="B867" s="15" t="str">
        <f t="shared" si="51"/>
        <v/>
      </c>
      <c r="C867" s="16" t="str">
        <f>IFERROR(VLOOKUP(DATA!#REF!,DATA!#REF!,1,FALSE),"")</f>
        <v/>
      </c>
      <c r="D867" s="16" t="str">
        <f>IFERROR(VLOOKUP(C867,DATA!#REF!,2,FALSE),"")</f>
        <v/>
      </c>
    </row>
    <row r="868" spans="2:4" s="237" customFormat="1">
      <c r="B868" s="15" t="str">
        <f t="shared" si="51"/>
        <v/>
      </c>
      <c r="C868" s="16" t="str">
        <f>IFERROR(VLOOKUP(DATA!#REF!,DATA!#REF!,1,FALSE),"")</f>
        <v/>
      </c>
      <c r="D868" s="16" t="str">
        <f>IFERROR(VLOOKUP(C868,DATA!#REF!,2,FALSE),"")</f>
        <v/>
      </c>
    </row>
    <row r="869" spans="2:4" s="237" customFormat="1">
      <c r="B869" s="15" t="str">
        <f t="shared" si="51"/>
        <v/>
      </c>
      <c r="C869" s="16" t="str">
        <f>IFERROR(VLOOKUP(DATA!#REF!,DATA!#REF!,1,FALSE),"")</f>
        <v/>
      </c>
      <c r="D869" s="16" t="str">
        <f>IFERROR(VLOOKUP(C869,DATA!#REF!,2,FALSE),"")</f>
        <v/>
      </c>
    </row>
    <row r="870" spans="2:4" s="237" customFormat="1">
      <c r="B870" s="15" t="str">
        <f t="shared" si="51"/>
        <v/>
      </c>
      <c r="C870" s="16" t="str">
        <f>IFERROR(VLOOKUP(DATA!#REF!,DATA!#REF!,1,FALSE),"")</f>
        <v/>
      </c>
      <c r="D870" s="16" t="str">
        <f>IFERROR(VLOOKUP(C870,DATA!#REF!,2,FALSE),"")</f>
        <v/>
      </c>
    </row>
    <row r="871" spans="2:4" s="237" customFormat="1">
      <c r="B871" s="15" t="str">
        <f t="shared" si="51"/>
        <v/>
      </c>
      <c r="C871" s="16" t="str">
        <f>IFERROR(VLOOKUP(DATA!#REF!,DATA!#REF!,1,FALSE),"")</f>
        <v/>
      </c>
      <c r="D871" s="16" t="str">
        <f>IFERROR(VLOOKUP(C871,DATA!#REF!,2,FALSE),"")</f>
        <v/>
      </c>
    </row>
    <row r="872" spans="2:4" s="237" customFormat="1">
      <c r="B872" s="15" t="str">
        <f t="shared" si="51"/>
        <v/>
      </c>
      <c r="C872" s="16" t="str">
        <f>IFERROR(VLOOKUP(DATA!#REF!,DATA!#REF!,1,FALSE),"")</f>
        <v/>
      </c>
      <c r="D872" s="16" t="str">
        <f>IFERROR(VLOOKUP(C872,DATA!#REF!,2,FALSE),"")</f>
        <v/>
      </c>
    </row>
    <row r="873" spans="2:4" s="237" customFormat="1">
      <c r="B873" s="15" t="str">
        <f t="shared" si="51"/>
        <v/>
      </c>
      <c r="C873" s="16" t="str">
        <f>IFERROR(VLOOKUP(DATA!#REF!,DATA!#REF!,1,FALSE),"")</f>
        <v/>
      </c>
      <c r="D873" s="16" t="str">
        <f>IFERROR(VLOOKUP(C873,DATA!#REF!,2,FALSE),"")</f>
        <v/>
      </c>
    </row>
    <row r="874" spans="2:4" s="237" customFormat="1">
      <c r="B874" s="15" t="str">
        <f t="shared" si="51"/>
        <v/>
      </c>
      <c r="C874" s="16" t="str">
        <f>IFERROR(VLOOKUP(DATA!#REF!,DATA!#REF!,1,FALSE),"")</f>
        <v/>
      </c>
      <c r="D874" s="16" t="str">
        <f>IFERROR(VLOOKUP(C874,DATA!#REF!,2,FALSE),"")</f>
        <v/>
      </c>
    </row>
    <row r="875" spans="2:4" s="237" customFormat="1">
      <c r="B875" s="15" t="str">
        <f t="shared" si="51"/>
        <v/>
      </c>
      <c r="C875" s="16" t="str">
        <f>IFERROR(VLOOKUP(DATA!#REF!,DATA!#REF!,1,FALSE),"")</f>
        <v/>
      </c>
      <c r="D875" s="16" t="str">
        <f>IFERROR(VLOOKUP(C875,DATA!#REF!,2,FALSE),"")</f>
        <v/>
      </c>
    </row>
    <row r="876" spans="2:4" s="237" customFormat="1">
      <c r="B876" s="15" t="str">
        <f t="shared" si="51"/>
        <v/>
      </c>
      <c r="C876" s="16" t="str">
        <f>IFERROR(VLOOKUP(DATA!#REF!,DATA!#REF!,1,FALSE),"")</f>
        <v/>
      </c>
      <c r="D876" s="16" t="str">
        <f>IFERROR(VLOOKUP(C876,DATA!#REF!,2,FALSE),"")</f>
        <v/>
      </c>
    </row>
    <row r="877" spans="2:4" s="237" customFormat="1">
      <c r="B877" s="15" t="str">
        <f t="shared" si="51"/>
        <v/>
      </c>
      <c r="C877" s="16" t="str">
        <f>IFERROR(VLOOKUP(DATA!#REF!,DATA!#REF!,1,FALSE),"")</f>
        <v/>
      </c>
      <c r="D877" s="16" t="str">
        <f>IFERROR(VLOOKUP(C877,DATA!#REF!,2,FALSE),"")</f>
        <v/>
      </c>
    </row>
    <row r="878" spans="2:4" s="237" customFormat="1">
      <c r="B878" s="15" t="str">
        <f t="shared" si="51"/>
        <v/>
      </c>
      <c r="C878" s="16" t="str">
        <f>IFERROR(VLOOKUP(DATA!#REF!,DATA!#REF!,1,FALSE),"")</f>
        <v/>
      </c>
      <c r="D878" s="16" t="str">
        <f>IFERROR(VLOOKUP(C878,DATA!#REF!,2,FALSE),"")</f>
        <v/>
      </c>
    </row>
    <row r="879" spans="2:4" s="237" customFormat="1">
      <c r="B879" s="15" t="str">
        <f t="shared" si="51"/>
        <v/>
      </c>
      <c r="C879" s="16" t="str">
        <f>IFERROR(VLOOKUP(DATA!#REF!,DATA!#REF!,1,FALSE),"")</f>
        <v/>
      </c>
      <c r="D879" s="16" t="str">
        <f>IFERROR(VLOOKUP(C879,DATA!#REF!,2,FALSE),"")</f>
        <v/>
      </c>
    </row>
    <row r="880" spans="2:4" s="237" customFormat="1">
      <c r="B880" s="15" t="str">
        <f t="shared" si="51"/>
        <v/>
      </c>
      <c r="C880" s="16" t="str">
        <f>IFERROR(VLOOKUP(DATA!#REF!,DATA!#REF!,1,FALSE),"")</f>
        <v/>
      </c>
      <c r="D880" s="16" t="str">
        <f>IFERROR(VLOOKUP(C880,DATA!#REF!,2,FALSE),"")</f>
        <v/>
      </c>
    </row>
    <row r="881" spans="2:4" s="237" customFormat="1">
      <c r="B881" s="15" t="str">
        <f t="shared" si="51"/>
        <v/>
      </c>
      <c r="C881" s="16" t="str">
        <f>IFERROR(VLOOKUP(DATA!#REF!,DATA!#REF!,1,FALSE),"")</f>
        <v/>
      </c>
      <c r="D881" s="16" t="str">
        <f>IFERROR(VLOOKUP(C881,DATA!#REF!,2,FALSE),"")</f>
        <v/>
      </c>
    </row>
    <row r="882" spans="2:4" s="237" customFormat="1">
      <c r="B882" s="15" t="str">
        <f t="shared" si="51"/>
        <v/>
      </c>
      <c r="C882" s="16" t="str">
        <f>IFERROR(VLOOKUP(DATA!#REF!,DATA!#REF!,1,FALSE),"")</f>
        <v/>
      </c>
      <c r="D882" s="16" t="str">
        <f>IFERROR(VLOOKUP(C882,DATA!#REF!,2,FALSE),"")</f>
        <v/>
      </c>
    </row>
    <row r="883" spans="2:4" s="237" customFormat="1">
      <c r="B883" s="15" t="str">
        <f t="shared" si="51"/>
        <v/>
      </c>
      <c r="C883" s="16" t="str">
        <f>IFERROR(VLOOKUP(DATA!#REF!,DATA!#REF!,1,FALSE),"")</f>
        <v/>
      </c>
      <c r="D883" s="16" t="str">
        <f>IFERROR(VLOOKUP(C883,DATA!#REF!,2,FALSE),"")</f>
        <v/>
      </c>
    </row>
    <row r="884" spans="2:4" s="237" customFormat="1">
      <c r="B884" s="15" t="str">
        <f t="shared" si="51"/>
        <v/>
      </c>
      <c r="C884" s="16" t="str">
        <f>IFERROR(VLOOKUP(DATA!#REF!,DATA!#REF!,1,FALSE),"")</f>
        <v/>
      </c>
      <c r="D884" s="16" t="str">
        <f>IFERROR(VLOOKUP(C884,DATA!#REF!,2,FALSE),"")</f>
        <v/>
      </c>
    </row>
    <row r="885" spans="2:4" s="237" customFormat="1">
      <c r="B885" s="15" t="str">
        <f t="shared" si="51"/>
        <v/>
      </c>
      <c r="C885" s="16" t="str">
        <f>IFERROR(VLOOKUP(DATA!#REF!,DATA!#REF!,1,FALSE),"")</f>
        <v/>
      </c>
      <c r="D885" s="16" t="str">
        <f>IFERROR(VLOOKUP(C885,DATA!#REF!,2,FALSE),"")</f>
        <v/>
      </c>
    </row>
    <row r="886" spans="2:4" s="237" customFormat="1">
      <c r="B886" s="15" t="str">
        <f t="shared" si="51"/>
        <v/>
      </c>
      <c r="C886" s="16" t="str">
        <f>IFERROR(VLOOKUP(DATA!#REF!,DATA!#REF!,1,FALSE),"")</f>
        <v/>
      </c>
      <c r="D886" s="16" t="str">
        <f>IFERROR(VLOOKUP(C886,DATA!#REF!,2,FALSE),"")</f>
        <v/>
      </c>
    </row>
    <row r="887" spans="2:4" s="237" customFormat="1">
      <c r="B887" s="15" t="str">
        <f t="shared" si="51"/>
        <v/>
      </c>
      <c r="C887" s="16" t="str">
        <f>IFERROR(VLOOKUP(DATA!#REF!,DATA!#REF!,1,FALSE),"")</f>
        <v/>
      </c>
      <c r="D887" s="16" t="str">
        <f>IFERROR(VLOOKUP(C887,DATA!#REF!,2,FALSE),"")</f>
        <v/>
      </c>
    </row>
    <row r="888" spans="2:4" s="237" customFormat="1">
      <c r="B888" s="15" t="str">
        <f t="shared" si="51"/>
        <v/>
      </c>
      <c r="C888" s="16" t="str">
        <f>IFERROR(VLOOKUP(DATA!#REF!,DATA!#REF!,1,FALSE),"")</f>
        <v/>
      </c>
      <c r="D888" s="16" t="str">
        <f>IFERROR(VLOOKUP(C888,DATA!#REF!,2,FALSE),"")</f>
        <v/>
      </c>
    </row>
    <row r="889" spans="2:4" s="237" customFormat="1">
      <c r="B889" s="15" t="str">
        <f t="shared" si="51"/>
        <v/>
      </c>
      <c r="C889" s="16" t="str">
        <f>IFERROR(VLOOKUP(DATA!#REF!,DATA!#REF!,1,FALSE),"")</f>
        <v/>
      </c>
      <c r="D889" s="16" t="str">
        <f>IFERROR(VLOOKUP(C889,DATA!#REF!,2,FALSE),"")</f>
        <v/>
      </c>
    </row>
    <row r="890" spans="2:4" s="237" customFormat="1">
      <c r="B890" s="15" t="str">
        <f t="shared" si="51"/>
        <v/>
      </c>
      <c r="C890" s="16" t="str">
        <f>IFERROR(VLOOKUP(DATA!#REF!,DATA!#REF!,1,FALSE),"")</f>
        <v/>
      </c>
      <c r="D890" s="16" t="str">
        <f>IFERROR(VLOOKUP(C890,DATA!#REF!,2,FALSE),"")</f>
        <v/>
      </c>
    </row>
    <row r="891" spans="2:4" s="237" customFormat="1">
      <c r="B891" s="15" t="str">
        <f t="shared" si="51"/>
        <v/>
      </c>
      <c r="C891" s="16" t="str">
        <f>IFERROR(VLOOKUP(DATA!#REF!,DATA!#REF!,1,FALSE),"")</f>
        <v/>
      </c>
      <c r="D891" s="16" t="str">
        <f>IFERROR(VLOOKUP(C891,DATA!#REF!,2,FALSE),"")</f>
        <v/>
      </c>
    </row>
    <row r="892" spans="2:4" s="237" customFormat="1">
      <c r="B892" s="15" t="str">
        <f t="shared" si="51"/>
        <v/>
      </c>
      <c r="C892" s="16" t="str">
        <f>IFERROR(VLOOKUP(DATA!#REF!,DATA!#REF!,1,FALSE),"")</f>
        <v/>
      </c>
      <c r="D892" s="16" t="str">
        <f>IFERROR(VLOOKUP(C892,DATA!#REF!,2,FALSE),"")</f>
        <v/>
      </c>
    </row>
    <row r="893" spans="2:4" s="237" customFormat="1">
      <c r="B893" s="15" t="str">
        <f t="shared" si="51"/>
        <v/>
      </c>
      <c r="C893" s="16" t="str">
        <f>IFERROR(VLOOKUP(DATA!#REF!,DATA!#REF!,1,FALSE),"")</f>
        <v/>
      </c>
      <c r="D893" s="16" t="str">
        <f>IFERROR(VLOOKUP(C893,DATA!#REF!,2,FALSE),"")</f>
        <v/>
      </c>
    </row>
    <row r="894" spans="2:4" s="237" customFormat="1">
      <c r="B894" s="15" t="str">
        <f t="shared" si="51"/>
        <v/>
      </c>
      <c r="C894" s="16" t="str">
        <f>IFERROR(VLOOKUP(DATA!#REF!,DATA!#REF!,1,FALSE),"")</f>
        <v/>
      </c>
      <c r="D894" s="16" t="str">
        <f>IFERROR(VLOOKUP(C894,DATA!#REF!,2,FALSE),"")</f>
        <v/>
      </c>
    </row>
    <row r="895" spans="2:4" s="237" customFormat="1">
      <c r="B895" s="15" t="str">
        <f t="shared" si="51"/>
        <v/>
      </c>
      <c r="C895" s="16" t="str">
        <f>IFERROR(VLOOKUP(DATA!#REF!,DATA!#REF!,1,FALSE),"")</f>
        <v/>
      </c>
      <c r="D895" s="16" t="str">
        <f>IFERROR(VLOOKUP(C895,DATA!#REF!,2,FALSE),"")</f>
        <v/>
      </c>
    </row>
    <row r="896" spans="2:4" s="237" customFormat="1">
      <c r="B896" s="15" t="str">
        <f t="shared" si="51"/>
        <v/>
      </c>
      <c r="C896" s="16" t="str">
        <f>IFERROR(VLOOKUP(DATA!#REF!,DATA!#REF!,1,FALSE),"")</f>
        <v/>
      </c>
      <c r="D896" s="16" t="str">
        <f>IFERROR(VLOOKUP(C896,DATA!#REF!,2,FALSE),"")</f>
        <v/>
      </c>
    </row>
    <row r="897" spans="2:4" s="237" customFormat="1">
      <c r="B897" s="15" t="str">
        <f t="shared" si="51"/>
        <v/>
      </c>
      <c r="C897" s="16" t="str">
        <f>IFERROR(VLOOKUP(DATA!#REF!,DATA!#REF!,1,FALSE),"")</f>
        <v/>
      </c>
      <c r="D897" s="16" t="str">
        <f>IFERROR(VLOOKUP(C897,DATA!#REF!,2,FALSE),"")</f>
        <v/>
      </c>
    </row>
    <row r="898" spans="2:4" s="237" customFormat="1">
      <c r="B898" s="15" t="str">
        <f t="shared" si="51"/>
        <v/>
      </c>
      <c r="C898" s="16" t="str">
        <f>IFERROR(VLOOKUP(DATA!#REF!,DATA!#REF!,1,FALSE),"")</f>
        <v/>
      </c>
      <c r="D898" s="16" t="str">
        <f>IFERROR(VLOOKUP(C898,DATA!#REF!,2,FALSE),"")</f>
        <v/>
      </c>
    </row>
    <row r="899" spans="2:4" s="237" customFormat="1">
      <c r="B899" s="15" t="str">
        <f t="shared" si="51"/>
        <v/>
      </c>
      <c r="C899" s="16" t="str">
        <f>IFERROR(VLOOKUP(DATA!#REF!,DATA!#REF!,1,FALSE),"")</f>
        <v/>
      </c>
      <c r="D899" s="16" t="str">
        <f>IFERROR(VLOOKUP(C899,DATA!#REF!,2,FALSE),"")</f>
        <v/>
      </c>
    </row>
    <row r="900" spans="2:4" s="237" customFormat="1">
      <c r="B900" s="15" t="str">
        <f t="shared" si="51"/>
        <v/>
      </c>
      <c r="C900" s="16" t="str">
        <f>IFERROR(VLOOKUP(DATA!#REF!,DATA!#REF!,1,FALSE),"")</f>
        <v/>
      </c>
      <c r="D900" s="16" t="str">
        <f>IFERROR(VLOOKUP(C900,DATA!#REF!,2,FALSE),"")</f>
        <v/>
      </c>
    </row>
    <row r="901" spans="2:4" s="237" customFormat="1">
      <c r="B901" s="15" t="str">
        <f t="shared" si="51"/>
        <v/>
      </c>
      <c r="C901" s="16" t="str">
        <f>IFERROR(VLOOKUP(DATA!#REF!,DATA!#REF!,1,FALSE),"")</f>
        <v/>
      </c>
      <c r="D901" s="16" t="str">
        <f>IFERROR(VLOOKUP(C901,DATA!#REF!,2,FALSE),"")</f>
        <v/>
      </c>
    </row>
    <row r="902" spans="2:4" s="237" customFormat="1">
      <c r="B902" s="15" t="str">
        <f t="shared" ref="B902:B965" si="52">+IF(C902="","",ROW()-5)</f>
        <v/>
      </c>
      <c r="C902" s="16" t="str">
        <f>IFERROR(VLOOKUP(DATA!#REF!,DATA!#REF!,1,FALSE),"")</f>
        <v/>
      </c>
      <c r="D902" s="16" t="str">
        <f>IFERROR(VLOOKUP(C902,DATA!#REF!,2,FALSE),"")</f>
        <v/>
      </c>
    </row>
    <row r="903" spans="2:4" s="237" customFormat="1">
      <c r="B903" s="15" t="str">
        <f t="shared" si="52"/>
        <v/>
      </c>
      <c r="C903" s="16" t="str">
        <f>IFERROR(VLOOKUP(DATA!#REF!,DATA!#REF!,1,FALSE),"")</f>
        <v/>
      </c>
      <c r="D903" s="16" t="str">
        <f>IFERROR(VLOOKUP(C903,DATA!#REF!,2,FALSE),"")</f>
        <v/>
      </c>
    </row>
    <row r="904" spans="2:4" s="237" customFormat="1">
      <c r="B904" s="15" t="str">
        <f t="shared" si="52"/>
        <v/>
      </c>
      <c r="C904" s="16" t="str">
        <f>IFERROR(VLOOKUP(DATA!#REF!,DATA!#REF!,1,FALSE),"")</f>
        <v/>
      </c>
      <c r="D904" s="16" t="str">
        <f>IFERROR(VLOOKUP(C904,DATA!#REF!,2,FALSE),"")</f>
        <v/>
      </c>
    </row>
    <row r="905" spans="2:4" s="237" customFormat="1">
      <c r="B905" s="15" t="str">
        <f t="shared" si="52"/>
        <v/>
      </c>
      <c r="C905" s="16" t="str">
        <f>IFERROR(VLOOKUP(DATA!#REF!,DATA!#REF!,1,FALSE),"")</f>
        <v/>
      </c>
      <c r="D905" s="16" t="str">
        <f>IFERROR(VLOOKUP(C905,DATA!#REF!,2,FALSE),"")</f>
        <v/>
      </c>
    </row>
    <row r="906" spans="2:4" s="237" customFormat="1">
      <c r="B906" s="15" t="str">
        <f t="shared" si="52"/>
        <v/>
      </c>
      <c r="C906" s="16" t="str">
        <f>IFERROR(VLOOKUP(DATA!#REF!,DATA!#REF!,1,FALSE),"")</f>
        <v/>
      </c>
      <c r="D906" s="16" t="str">
        <f>IFERROR(VLOOKUP(C906,DATA!#REF!,2,FALSE),"")</f>
        <v/>
      </c>
    </row>
    <row r="907" spans="2:4" s="237" customFormat="1">
      <c r="B907" s="15" t="str">
        <f t="shared" si="52"/>
        <v/>
      </c>
      <c r="C907" s="16" t="str">
        <f>IFERROR(VLOOKUP(DATA!#REF!,DATA!#REF!,1,FALSE),"")</f>
        <v/>
      </c>
      <c r="D907" s="16" t="str">
        <f>IFERROR(VLOOKUP(C907,DATA!#REF!,2,FALSE),"")</f>
        <v/>
      </c>
    </row>
    <row r="908" spans="2:4" s="237" customFormat="1">
      <c r="B908" s="15" t="str">
        <f t="shared" si="52"/>
        <v/>
      </c>
      <c r="C908" s="16" t="str">
        <f>IFERROR(VLOOKUP(DATA!#REF!,DATA!#REF!,1,FALSE),"")</f>
        <v/>
      </c>
      <c r="D908" s="16" t="str">
        <f>IFERROR(VLOOKUP(C908,DATA!#REF!,2,FALSE),"")</f>
        <v/>
      </c>
    </row>
    <row r="909" spans="2:4" s="237" customFormat="1">
      <c r="B909" s="15" t="str">
        <f t="shared" si="52"/>
        <v/>
      </c>
      <c r="C909" s="16" t="str">
        <f>IFERROR(VLOOKUP(DATA!#REF!,DATA!#REF!,1,FALSE),"")</f>
        <v/>
      </c>
      <c r="D909" s="16" t="str">
        <f>IFERROR(VLOOKUP(C909,DATA!#REF!,2,FALSE),"")</f>
        <v/>
      </c>
    </row>
    <row r="910" spans="2:4" s="237" customFormat="1">
      <c r="B910" s="15" t="str">
        <f t="shared" si="52"/>
        <v/>
      </c>
      <c r="C910" s="16" t="str">
        <f>IFERROR(VLOOKUP(DATA!#REF!,DATA!#REF!,1,FALSE),"")</f>
        <v/>
      </c>
      <c r="D910" s="16" t="str">
        <f>IFERROR(VLOOKUP(C910,DATA!#REF!,2,FALSE),"")</f>
        <v/>
      </c>
    </row>
    <row r="911" spans="2:4" s="237" customFormat="1">
      <c r="B911" s="15" t="str">
        <f t="shared" si="52"/>
        <v/>
      </c>
      <c r="C911" s="16" t="str">
        <f>IFERROR(VLOOKUP(DATA!#REF!,DATA!#REF!,1,FALSE),"")</f>
        <v/>
      </c>
      <c r="D911" s="16" t="str">
        <f>IFERROR(VLOOKUP(C911,DATA!#REF!,2,FALSE),"")</f>
        <v/>
      </c>
    </row>
    <row r="912" spans="2:4" s="237" customFormat="1">
      <c r="B912" s="15" t="str">
        <f t="shared" si="52"/>
        <v/>
      </c>
      <c r="C912" s="16" t="str">
        <f>IFERROR(VLOOKUP(DATA!#REF!,DATA!#REF!,1,FALSE),"")</f>
        <v/>
      </c>
      <c r="D912" s="16" t="str">
        <f>IFERROR(VLOOKUP(C912,DATA!#REF!,2,FALSE),"")</f>
        <v/>
      </c>
    </row>
    <row r="913" spans="2:4" s="237" customFormat="1">
      <c r="B913" s="15" t="str">
        <f t="shared" si="52"/>
        <v/>
      </c>
      <c r="C913" s="16" t="str">
        <f>IFERROR(VLOOKUP(DATA!#REF!,DATA!#REF!,1,FALSE),"")</f>
        <v/>
      </c>
      <c r="D913" s="16" t="str">
        <f>IFERROR(VLOOKUP(C913,DATA!#REF!,2,FALSE),"")</f>
        <v/>
      </c>
    </row>
    <row r="914" spans="2:4" s="237" customFormat="1">
      <c r="B914" s="15" t="str">
        <f t="shared" si="52"/>
        <v/>
      </c>
      <c r="C914" s="16" t="str">
        <f>IFERROR(VLOOKUP(DATA!#REF!,DATA!#REF!,1,FALSE),"")</f>
        <v/>
      </c>
      <c r="D914" s="16" t="str">
        <f>IFERROR(VLOOKUP(C914,DATA!#REF!,2,FALSE),"")</f>
        <v/>
      </c>
    </row>
    <row r="915" spans="2:4" s="237" customFormat="1">
      <c r="B915" s="15" t="str">
        <f t="shared" si="52"/>
        <v/>
      </c>
      <c r="C915" s="16" t="str">
        <f>IFERROR(VLOOKUP(DATA!#REF!,DATA!#REF!,1,FALSE),"")</f>
        <v/>
      </c>
      <c r="D915" s="16" t="str">
        <f>IFERROR(VLOOKUP(C915,DATA!#REF!,2,FALSE),"")</f>
        <v/>
      </c>
    </row>
    <row r="916" spans="2:4" s="237" customFormat="1">
      <c r="B916" s="15" t="str">
        <f t="shared" si="52"/>
        <v/>
      </c>
      <c r="C916" s="16" t="str">
        <f>IFERROR(VLOOKUP(DATA!#REF!,DATA!#REF!,1,FALSE),"")</f>
        <v/>
      </c>
      <c r="D916" s="16" t="str">
        <f>IFERROR(VLOOKUP(C916,DATA!#REF!,2,FALSE),"")</f>
        <v/>
      </c>
    </row>
    <row r="917" spans="2:4" s="237" customFormat="1">
      <c r="B917" s="15" t="str">
        <f t="shared" si="52"/>
        <v/>
      </c>
      <c r="C917" s="16" t="str">
        <f>IFERROR(VLOOKUP(DATA!#REF!,DATA!#REF!,1,FALSE),"")</f>
        <v/>
      </c>
      <c r="D917" s="16" t="str">
        <f>IFERROR(VLOOKUP(C917,DATA!#REF!,2,FALSE),"")</f>
        <v/>
      </c>
    </row>
    <row r="918" spans="2:4" s="237" customFormat="1">
      <c r="B918" s="15" t="str">
        <f t="shared" si="52"/>
        <v/>
      </c>
      <c r="C918" s="16" t="str">
        <f>IFERROR(VLOOKUP(DATA!#REF!,DATA!#REF!,1,FALSE),"")</f>
        <v/>
      </c>
      <c r="D918" s="16" t="str">
        <f>IFERROR(VLOOKUP(C918,DATA!#REF!,2,FALSE),"")</f>
        <v/>
      </c>
    </row>
    <row r="919" spans="2:4" s="237" customFormat="1">
      <c r="B919" s="15" t="str">
        <f t="shared" si="52"/>
        <v/>
      </c>
      <c r="C919" s="16" t="str">
        <f>IFERROR(VLOOKUP(DATA!#REF!,DATA!#REF!,1,FALSE),"")</f>
        <v/>
      </c>
      <c r="D919" s="16" t="str">
        <f>IFERROR(VLOOKUP(C919,DATA!#REF!,2,FALSE),"")</f>
        <v/>
      </c>
    </row>
    <row r="920" spans="2:4" s="237" customFormat="1">
      <c r="B920" s="15" t="str">
        <f t="shared" si="52"/>
        <v/>
      </c>
      <c r="C920" s="16" t="str">
        <f>IFERROR(VLOOKUP(DATA!#REF!,DATA!#REF!,1,FALSE),"")</f>
        <v/>
      </c>
      <c r="D920" s="16" t="str">
        <f>IFERROR(VLOOKUP(C920,DATA!#REF!,2,FALSE),"")</f>
        <v/>
      </c>
    </row>
    <row r="921" spans="2:4" s="237" customFormat="1">
      <c r="B921" s="15" t="str">
        <f t="shared" si="52"/>
        <v/>
      </c>
      <c r="C921" s="16" t="str">
        <f>IFERROR(VLOOKUP(DATA!#REF!,DATA!#REF!,1,FALSE),"")</f>
        <v/>
      </c>
      <c r="D921" s="16" t="str">
        <f>IFERROR(VLOOKUP(C921,DATA!#REF!,2,FALSE),"")</f>
        <v/>
      </c>
    </row>
    <row r="922" spans="2:4" s="237" customFormat="1">
      <c r="B922" s="15" t="str">
        <f t="shared" si="52"/>
        <v/>
      </c>
      <c r="C922" s="16" t="str">
        <f>IFERROR(VLOOKUP(DATA!#REF!,DATA!#REF!,1,FALSE),"")</f>
        <v/>
      </c>
      <c r="D922" s="16" t="str">
        <f>IFERROR(VLOOKUP(C922,DATA!#REF!,2,FALSE),"")</f>
        <v/>
      </c>
    </row>
    <row r="923" spans="2:4" s="237" customFormat="1">
      <c r="B923" s="15" t="str">
        <f t="shared" si="52"/>
        <v/>
      </c>
      <c r="C923" s="16" t="str">
        <f>IFERROR(VLOOKUP(DATA!#REF!,DATA!#REF!,1,FALSE),"")</f>
        <v/>
      </c>
      <c r="D923" s="16" t="str">
        <f>IFERROR(VLOOKUP(C923,DATA!#REF!,2,FALSE),"")</f>
        <v/>
      </c>
    </row>
    <row r="924" spans="2:4" s="237" customFormat="1">
      <c r="B924" s="15" t="str">
        <f t="shared" si="52"/>
        <v/>
      </c>
      <c r="C924" s="16" t="str">
        <f>IFERROR(VLOOKUP(DATA!#REF!,DATA!#REF!,1,FALSE),"")</f>
        <v/>
      </c>
      <c r="D924" s="16" t="str">
        <f>IFERROR(VLOOKUP(C924,DATA!#REF!,2,FALSE),"")</f>
        <v/>
      </c>
    </row>
    <row r="925" spans="2:4" s="237" customFormat="1">
      <c r="B925" s="15" t="str">
        <f t="shared" si="52"/>
        <v/>
      </c>
      <c r="C925" s="16" t="str">
        <f>IFERROR(VLOOKUP(DATA!#REF!,DATA!#REF!,1,FALSE),"")</f>
        <v/>
      </c>
      <c r="D925" s="16" t="str">
        <f>IFERROR(VLOOKUP(C925,DATA!#REF!,2,FALSE),"")</f>
        <v/>
      </c>
    </row>
    <row r="926" spans="2:4" s="237" customFormat="1">
      <c r="B926" s="15" t="str">
        <f t="shared" si="52"/>
        <v/>
      </c>
      <c r="C926" s="16" t="str">
        <f>IFERROR(VLOOKUP(DATA!#REF!,DATA!#REF!,1,FALSE),"")</f>
        <v/>
      </c>
      <c r="D926" s="16" t="str">
        <f>IFERROR(VLOOKUP(C926,DATA!#REF!,2,FALSE),"")</f>
        <v/>
      </c>
    </row>
    <row r="927" spans="2:4" s="237" customFormat="1">
      <c r="B927" s="15" t="str">
        <f t="shared" si="52"/>
        <v/>
      </c>
      <c r="C927" s="16" t="str">
        <f>IFERROR(VLOOKUP(DATA!#REF!,DATA!#REF!,1,FALSE),"")</f>
        <v/>
      </c>
      <c r="D927" s="16" t="str">
        <f>IFERROR(VLOOKUP(C927,DATA!#REF!,2,FALSE),"")</f>
        <v/>
      </c>
    </row>
    <row r="928" spans="2:4" s="237" customFormat="1">
      <c r="B928" s="15" t="str">
        <f t="shared" si="52"/>
        <v/>
      </c>
      <c r="C928" s="16" t="str">
        <f>IFERROR(VLOOKUP(DATA!#REF!,DATA!#REF!,1,FALSE),"")</f>
        <v/>
      </c>
      <c r="D928" s="16" t="str">
        <f>IFERROR(VLOOKUP(C928,DATA!#REF!,2,FALSE),"")</f>
        <v/>
      </c>
    </row>
    <row r="929" spans="2:4" s="237" customFormat="1">
      <c r="B929" s="15" t="str">
        <f t="shared" si="52"/>
        <v/>
      </c>
      <c r="C929" s="16" t="str">
        <f>IFERROR(VLOOKUP(DATA!#REF!,DATA!#REF!,1,FALSE),"")</f>
        <v/>
      </c>
      <c r="D929" s="16" t="str">
        <f>IFERROR(VLOOKUP(C929,DATA!#REF!,2,FALSE),"")</f>
        <v/>
      </c>
    </row>
    <row r="930" spans="2:4" s="237" customFormat="1">
      <c r="B930" s="15" t="str">
        <f t="shared" si="52"/>
        <v/>
      </c>
      <c r="C930" s="16" t="str">
        <f>IFERROR(VLOOKUP(DATA!#REF!,DATA!#REF!,1,FALSE),"")</f>
        <v/>
      </c>
      <c r="D930" s="16" t="str">
        <f>IFERROR(VLOOKUP(C930,DATA!#REF!,2,FALSE),"")</f>
        <v/>
      </c>
    </row>
    <row r="931" spans="2:4" s="237" customFormat="1">
      <c r="B931" s="15" t="str">
        <f t="shared" si="52"/>
        <v/>
      </c>
      <c r="C931" s="16" t="str">
        <f>IFERROR(VLOOKUP(DATA!#REF!,DATA!#REF!,1,FALSE),"")</f>
        <v/>
      </c>
      <c r="D931" s="16" t="str">
        <f>IFERROR(VLOOKUP(C931,DATA!#REF!,2,FALSE),"")</f>
        <v/>
      </c>
    </row>
    <row r="932" spans="2:4" s="237" customFormat="1">
      <c r="B932" s="15" t="str">
        <f t="shared" si="52"/>
        <v/>
      </c>
      <c r="C932" s="16" t="str">
        <f>IFERROR(VLOOKUP(DATA!#REF!,DATA!#REF!,1,FALSE),"")</f>
        <v/>
      </c>
      <c r="D932" s="16" t="str">
        <f>IFERROR(VLOOKUP(C932,DATA!#REF!,2,FALSE),"")</f>
        <v/>
      </c>
    </row>
    <row r="933" spans="2:4" s="237" customFormat="1">
      <c r="B933" s="15" t="str">
        <f t="shared" si="52"/>
        <v/>
      </c>
      <c r="C933" s="16" t="str">
        <f>IFERROR(VLOOKUP(DATA!#REF!,DATA!#REF!,1,FALSE),"")</f>
        <v/>
      </c>
      <c r="D933" s="16" t="str">
        <f>IFERROR(VLOOKUP(C933,DATA!#REF!,2,FALSE),"")</f>
        <v/>
      </c>
    </row>
    <row r="934" spans="2:4" s="237" customFormat="1">
      <c r="B934" s="15" t="str">
        <f t="shared" si="52"/>
        <v/>
      </c>
      <c r="C934" s="16" t="str">
        <f>IFERROR(VLOOKUP(DATA!#REF!,DATA!#REF!,1,FALSE),"")</f>
        <v/>
      </c>
      <c r="D934" s="16" t="str">
        <f>IFERROR(VLOOKUP(C934,DATA!#REF!,2,FALSE),"")</f>
        <v/>
      </c>
    </row>
    <row r="935" spans="2:4" s="237" customFormat="1">
      <c r="B935" s="15" t="str">
        <f t="shared" si="52"/>
        <v/>
      </c>
      <c r="C935" s="16" t="str">
        <f>IFERROR(VLOOKUP(DATA!#REF!,DATA!#REF!,1,FALSE),"")</f>
        <v/>
      </c>
      <c r="D935" s="16" t="str">
        <f>IFERROR(VLOOKUP(C935,DATA!#REF!,2,FALSE),"")</f>
        <v/>
      </c>
    </row>
    <row r="936" spans="2:4" s="237" customFormat="1">
      <c r="B936" s="15" t="str">
        <f t="shared" si="52"/>
        <v/>
      </c>
      <c r="C936" s="16" t="str">
        <f>IFERROR(VLOOKUP(DATA!#REF!,DATA!#REF!,1,FALSE),"")</f>
        <v/>
      </c>
      <c r="D936" s="16" t="str">
        <f>IFERROR(VLOOKUP(C936,DATA!#REF!,2,FALSE),"")</f>
        <v/>
      </c>
    </row>
    <row r="937" spans="2:4" s="237" customFormat="1">
      <c r="B937" s="15" t="str">
        <f t="shared" si="52"/>
        <v/>
      </c>
      <c r="C937" s="16" t="str">
        <f>IFERROR(VLOOKUP(DATA!#REF!,DATA!#REF!,1,FALSE),"")</f>
        <v/>
      </c>
      <c r="D937" s="16" t="str">
        <f>IFERROR(VLOOKUP(C937,DATA!#REF!,2,FALSE),"")</f>
        <v/>
      </c>
    </row>
    <row r="938" spans="2:4" s="237" customFormat="1">
      <c r="B938" s="15" t="str">
        <f t="shared" si="52"/>
        <v/>
      </c>
      <c r="C938" s="16" t="str">
        <f>IFERROR(VLOOKUP(DATA!#REF!,DATA!#REF!,1,FALSE),"")</f>
        <v/>
      </c>
      <c r="D938" s="16" t="str">
        <f>IFERROR(VLOOKUP(C938,DATA!#REF!,2,FALSE),"")</f>
        <v/>
      </c>
    </row>
    <row r="939" spans="2:4" s="237" customFormat="1">
      <c r="B939" s="15" t="str">
        <f t="shared" si="52"/>
        <v/>
      </c>
      <c r="C939" s="16" t="str">
        <f>IFERROR(VLOOKUP(DATA!#REF!,DATA!#REF!,1,FALSE),"")</f>
        <v/>
      </c>
      <c r="D939" s="16" t="str">
        <f>IFERROR(VLOOKUP(C939,DATA!#REF!,2,FALSE),"")</f>
        <v/>
      </c>
    </row>
    <row r="940" spans="2:4" s="237" customFormat="1">
      <c r="B940" s="15" t="str">
        <f t="shared" si="52"/>
        <v/>
      </c>
      <c r="C940" s="16" t="str">
        <f>IFERROR(VLOOKUP(DATA!#REF!,DATA!#REF!,1,FALSE),"")</f>
        <v/>
      </c>
      <c r="D940" s="16" t="str">
        <f>IFERROR(VLOOKUP(C940,DATA!#REF!,2,FALSE),"")</f>
        <v/>
      </c>
    </row>
    <row r="941" spans="2:4" s="237" customFormat="1">
      <c r="B941" s="15" t="str">
        <f t="shared" si="52"/>
        <v/>
      </c>
      <c r="C941" s="16" t="str">
        <f>IFERROR(VLOOKUP(DATA!#REF!,DATA!#REF!,1,FALSE),"")</f>
        <v/>
      </c>
      <c r="D941" s="16" t="str">
        <f>IFERROR(VLOOKUP(C941,DATA!#REF!,2,FALSE),"")</f>
        <v/>
      </c>
    </row>
    <row r="942" spans="2:4" s="237" customFormat="1">
      <c r="B942" s="15" t="str">
        <f t="shared" si="52"/>
        <v/>
      </c>
      <c r="C942" s="16" t="str">
        <f>IFERROR(VLOOKUP(DATA!#REF!,DATA!#REF!,1,FALSE),"")</f>
        <v/>
      </c>
      <c r="D942" s="16" t="str">
        <f>IFERROR(VLOOKUP(C942,DATA!#REF!,2,FALSE),"")</f>
        <v/>
      </c>
    </row>
    <row r="943" spans="2:4" s="237" customFormat="1">
      <c r="B943" s="15" t="str">
        <f t="shared" si="52"/>
        <v/>
      </c>
      <c r="C943" s="16" t="str">
        <f>IFERROR(VLOOKUP(DATA!#REF!,DATA!#REF!,1,FALSE),"")</f>
        <v/>
      </c>
      <c r="D943" s="16" t="str">
        <f>IFERROR(VLOOKUP(C943,DATA!#REF!,2,FALSE),"")</f>
        <v/>
      </c>
    </row>
    <row r="944" spans="2:4" s="237" customFormat="1">
      <c r="B944" s="15" t="str">
        <f t="shared" si="52"/>
        <v/>
      </c>
      <c r="C944" s="16" t="str">
        <f>IFERROR(VLOOKUP(DATA!#REF!,DATA!#REF!,1,FALSE),"")</f>
        <v/>
      </c>
      <c r="D944" s="16" t="str">
        <f>IFERROR(VLOOKUP(C944,DATA!#REF!,2,FALSE),"")</f>
        <v/>
      </c>
    </row>
    <row r="945" spans="2:4" s="237" customFormat="1">
      <c r="B945" s="15" t="str">
        <f t="shared" si="52"/>
        <v/>
      </c>
      <c r="C945" s="16" t="str">
        <f>IFERROR(VLOOKUP(DATA!#REF!,DATA!#REF!,1,FALSE),"")</f>
        <v/>
      </c>
      <c r="D945" s="16" t="str">
        <f>IFERROR(VLOOKUP(C945,DATA!#REF!,2,FALSE),"")</f>
        <v/>
      </c>
    </row>
    <row r="946" spans="2:4" s="237" customFormat="1">
      <c r="B946" s="15" t="str">
        <f t="shared" si="52"/>
        <v/>
      </c>
      <c r="C946" s="16" t="str">
        <f>IFERROR(VLOOKUP(DATA!#REF!,DATA!#REF!,1,FALSE),"")</f>
        <v/>
      </c>
      <c r="D946" s="16" t="str">
        <f>IFERROR(VLOOKUP(C946,DATA!#REF!,2,FALSE),"")</f>
        <v/>
      </c>
    </row>
    <row r="947" spans="2:4" s="237" customFormat="1">
      <c r="B947" s="15" t="str">
        <f t="shared" si="52"/>
        <v/>
      </c>
      <c r="C947" s="16" t="str">
        <f>IFERROR(VLOOKUP(DATA!#REF!,DATA!#REF!,1,FALSE),"")</f>
        <v/>
      </c>
      <c r="D947" s="16" t="str">
        <f>IFERROR(VLOOKUP(C947,DATA!#REF!,2,FALSE),"")</f>
        <v/>
      </c>
    </row>
    <row r="948" spans="2:4" s="237" customFormat="1">
      <c r="B948" s="15" t="str">
        <f t="shared" si="52"/>
        <v/>
      </c>
      <c r="C948" s="16" t="str">
        <f>IFERROR(VLOOKUP(DATA!#REF!,DATA!#REF!,1,FALSE),"")</f>
        <v/>
      </c>
      <c r="D948" s="16" t="str">
        <f>IFERROR(VLOOKUP(C948,DATA!#REF!,2,FALSE),"")</f>
        <v/>
      </c>
    </row>
    <row r="949" spans="2:4" s="237" customFormat="1">
      <c r="B949" s="15" t="str">
        <f t="shared" si="52"/>
        <v/>
      </c>
      <c r="C949" s="16" t="str">
        <f>IFERROR(VLOOKUP(DATA!#REF!,DATA!#REF!,1,FALSE),"")</f>
        <v/>
      </c>
      <c r="D949" s="16" t="str">
        <f>IFERROR(VLOOKUP(C949,DATA!#REF!,2,FALSE),"")</f>
        <v/>
      </c>
    </row>
    <row r="950" spans="2:4" s="237" customFormat="1">
      <c r="B950" s="15" t="str">
        <f t="shared" si="52"/>
        <v/>
      </c>
      <c r="C950" s="16" t="str">
        <f>IFERROR(VLOOKUP(DATA!#REF!,DATA!#REF!,1,FALSE),"")</f>
        <v/>
      </c>
      <c r="D950" s="16" t="str">
        <f>IFERROR(VLOOKUP(C950,DATA!#REF!,2,FALSE),"")</f>
        <v/>
      </c>
    </row>
    <row r="951" spans="2:4" s="237" customFormat="1">
      <c r="B951" s="15" t="str">
        <f t="shared" si="52"/>
        <v/>
      </c>
      <c r="C951" s="16" t="str">
        <f>IFERROR(VLOOKUP(DATA!#REF!,DATA!#REF!,1,FALSE),"")</f>
        <v/>
      </c>
      <c r="D951" s="16" t="str">
        <f>IFERROR(VLOOKUP(C951,DATA!#REF!,2,FALSE),"")</f>
        <v/>
      </c>
    </row>
    <row r="952" spans="2:4" s="237" customFormat="1">
      <c r="B952" s="15" t="str">
        <f t="shared" si="52"/>
        <v/>
      </c>
      <c r="C952" s="16" t="str">
        <f>IFERROR(VLOOKUP(DATA!#REF!,DATA!#REF!,1,FALSE),"")</f>
        <v/>
      </c>
      <c r="D952" s="16" t="str">
        <f>IFERROR(VLOOKUP(C952,DATA!#REF!,2,FALSE),"")</f>
        <v/>
      </c>
    </row>
    <row r="953" spans="2:4" s="237" customFormat="1">
      <c r="B953" s="15" t="str">
        <f t="shared" si="52"/>
        <v/>
      </c>
      <c r="C953" s="16" t="str">
        <f>IFERROR(VLOOKUP(DATA!#REF!,DATA!#REF!,1,FALSE),"")</f>
        <v/>
      </c>
      <c r="D953" s="16" t="str">
        <f>IFERROR(VLOOKUP(C953,DATA!#REF!,2,FALSE),"")</f>
        <v/>
      </c>
    </row>
    <row r="954" spans="2:4" s="237" customFormat="1">
      <c r="B954" s="15" t="str">
        <f t="shared" si="52"/>
        <v/>
      </c>
      <c r="C954" s="16" t="str">
        <f>IFERROR(VLOOKUP(DATA!#REF!,DATA!#REF!,1,FALSE),"")</f>
        <v/>
      </c>
      <c r="D954" s="16" t="str">
        <f>IFERROR(VLOOKUP(C954,DATA!#REF!,2,FALSE),"")</f>
        <v/>
      </c>
    </row>
    <row r="955" spans="2:4" s="237" customFormat="1">
      <c r="B955" s="15" t="str">
        <f t="shared" si="52"/>
        <v/>
      </c>
      <c r="C955" s="16" t="str">
        <f>IFERROR(VLOOKUP(DATA!#REF!,DATA!#REF!,1,FALSE),"")</f>
        <v/>
      </c>
      <c r="D955" s="16" t="str">
        <f>IFERROR(VLOOKUP(C955,DATA!#REF!,2,FALSE),"")</f>
        <v/>
      </c>
    </row>
    <row r="956" spans="2:4" s="237" customFormat="1">
      <c r="B956" s="15" t="str">
        <f t="shared" si="52"/>
        <v/>
      </c>
      <c r="C956" s="16" t="str">
        <f>IFERROR(VLOOKUP(DATA!#REF!,DATA!#REF!,1,FALSE),"")</f>
        <v/>
      </c>
      <c r="D956" s="16" t="str">
        <f>IFERROR(VLOOKUP(C956,DATA!#REF!,2,FALSE),"")</f>
        <v/>
      </c>
    </row>
    <row r="957" spans="2:4" s="237" customFormat="1">
      <c r="B957" s="15" t="str">
        <f t="shared" si="52"/>
        <v/>
      </c>
      <c r="C957" s="16" t="str">
        <f>IFERROR(VLOOKUP(DATA!#REF!,DATA!#REF!,1,FALSE),"")</f>
        <v/>
      </c>
      <c r="D957" s="16" t="str">
        <f>IFERROR(VLOOKUP(C957,DATA!#REF!,2,FALSE),"")</f>
        <v/>
      </c>
    </row>
    <row r="958" spans="2:4" s="237" customFormat="1">
      <c r="B958" s="15" t="str">
        <f t="shared" si="52"/>
        <v/>
      </c>
      <c r="C958" s="16" t="str">
        <f>IFERROR(VLOOKUP(DATA!#REF!,DATA!#REF!,1,FALSE),"")</f>
        <v/>
      </c>
      <c r="D958" s="16" t="str">
        <f>IFERROR(VLOOKUP(C958,DATA!#REF!,2,FALSE),"")</f>
        <v/>
      </c>
    </row>
    <row r="959" spans="2:4" s="237" customFormat="1">
      <c r="B959" s="15" t="str">
        <f t="shared" si="52"/>
        <v/>
      </c>
      <c r="C959" s="16" t="str">
        <f>IFERROR(VLOOKUP(DATA!#REF!,DATA!#REF!,1,FALSE),"")</f>
        <v/>
      </c>
      <c r="D959" s="16" t="str">
        <f>IFERROR(VLOOKUP(C959,DATA!#REF!,2,FALSE),"")</f>
        <v/>
      </c>
    </row>
    <row r="960" spans="2:4" s="237" customFormat="1">
      <c r="B960" s="15" t="str">
        <f t="shared" si="52"/>
        <v/>
      </c>
      <c r="C960" s="16" t="str">
        <f>IFERROR(VLOOKUP(DATA!#REF!,DATA!#REF!,1,FALSE),"")</f>
        <v/>
      </c>
      <c r="D960" s="16" t="str">
        <f>IFERROR(VLOOKUP(C960,DATA!#REF!,2,FALSE),"")</f>
        <v/>
      </c>
    </row>
    <row r="961" spans="2:4" s="237" customFormat="1">
      <c r="B961" s="15" t="str">
        <f t="shared" si="52"/>
        <v/>
      </c>
      <c r="C961" s="16" t="str">
        <f>IFERROR(VLOOKUP(DATA!#REF!,DATA!#REF!,1,FALSE),"")</f>
        <v/>
      </c>
      <c r="D961" s="16" t="str">
        <f>IFERROR(VLOOKUP(C961,DATA!#REF!,2,FALSE),"")</f>
        <v/>
      </c>
    </row>
    <row r="962" spans="2:4" s="237" customFormat="1">
      <c r="B962" s="15" t="str">
        <f t="shared" si="52"/>
        <v/>
      </c>
      <c r="C962" s="16" t="str">
        <f>IFERROR(VLOOKUP(DATA!#REF!,DATA!#REF!,1,FALSE),"")</f>
        <v/>
      </c>
      <c r="D962" s="16" t="str">
        <f>IFERROR(VLOOKUP(C962,DATA!#REF!,2,FALSE),"")</f>
        <v/>
      </c>
    </row>
    <row r="963" spans="2:4" s="237" customFormat="1">
      <c r="B963" s="15" t="str">
        <f t="shared" si="52"/>
        <v/>
      </c>
      <c r="C963" s="16" t="str">
        <f>IFERROR(VLOOKUP(DATA!#REF!,DATA!#REF!,1,FALSE),"")</f>
        <v/>
      </c>
      <c r="D963" s="16" t="str">
        <f>IFERROR(VLOOKUP(C963,DATA!#REF!,2,FALSE),"")</f>
        <v/>
      </c>
    </row>
    <row r="964" spans="2:4" s="237" customFormat="1">
      <c r="B964" s="15" t="str">
        <f t="shared" si="52"/>
        <v/>
      </c>
      <c r="C964" s="16" t="str">
        <f>IFERROR(VLOOKUP(DATA!#REF!,DATA!#REF!,1,FALSE),"")</f>
        <v/>
      </c>
      <c r="D964" s="16" t="str">
        <f>IFERROR(VLOOKUP(C964,DATA!#REF!,2,FALSE),"")</f>
        <v/>
      </c>
    </row>
    <row r="965" spans="2:4" s="237" customFormat="1">
      <c r="B965" s="15" t="str">
        <f t="shared" si="52"/>
        <v/>
      </c>
      <c r="C965" s="16" t="str">
        <f>IFERROR(VLOOKUP(DATA!#REF!,DATA!#REF!,1,FALSE),"")</f>
        <v/>
      </c>
      <c r="D965" s="16" t="str">
        <f>IFERROR(VLOOKUP(C965,DATA!#REF!,2,FALSE),"")</f>
        <v/>
      </c>
    </row>
    <row r="966" spans="2:4" s="237" customFormat="1">
      <c r="B966" s="15" t="str">
        <f t="shared" ref="B966:B1029" si="53">+IF(C966="","",ROW()-5)</f>
        <v/>
      </c>
      <c r="C966" s="16" t="str">
        <f>IFERROR(VLOOKUP(DATA!#REF!,DATA!#REF!,1,FALSE),"")</f>
        <v/>
      </c>
      <c r="D966" s="16" t="str">
        <f>IFERROR(VLOOKUP(C966,DATA!#REF!,2,FALSE),"")</f>
        <v/>
      </c>
    </row>
    <row r="967" spans="2:4" s="237" customFormat="1">
      <c r="B967" s="15" t="str">
        <f t="shared" si="53"/>
        <v/>
      </c>
      <c r="C967" s="16" t="str">
        <f>IFERROR(VLOOKUP(DATA!#REF!,DATA!#REF!,1,FALSE),"")</f>
        <v/>
      </c>
      <c r="D967" s="16" t="str">
        <f>IFERROR(VLOOKUP(C967,DATA!#REF!,2,FALSE),"")</f>
        <v/>
      </c>
    </row>
    <row r="968" spans="2:4" s="237" customFormat="1">
      <c r="B968" s="15" t="str">
        <f t="shared" si="53"/>
        <v/>
      </c>
      <c r="C968" s="16" t="str">
        <f>IFERROR(VLOOKUP(DATA!#REF!,DATA!#REF!,1,FALSE),"")</f>
        <v/>
      </c>
      <c r="D968" s="16" t="str">
        <f>IFERROR(VLOOKUP(C968,DATA!#REF!,2,FALSE),"")</f>
        <v/>
      </c>
    </row>
    <row r="969" spans="2:4" s="237" customFormat="1">
      <c r="B969" s="15" t="str">
        <f t="shared" si="53"/>
        <v/>
      </c>
      <c r="C969" s="16" t="str">
        <f>IFERROR(VLOOKUP(DATA!#REF!,DATA!#REF!,1,FALSE),"")</f>
        <v/>
      </c>
      <c r="D969" s="16" t="str">
        <f>IFERROR(VLOOKUP(C969,DATA!#REF!,2,FALSE),"")</f>
        <v/>
      </c>
    </row>
    <row r="970" spans="2:4" s="237" customFormat="1">
      <c r="B970" s="15" t="str">
        <f t="shared" si="53"/>
        <v/>
      </c>
      <c r="C970" s="16" t="str">
        <f>IFERROR(VLOOKUP(DATA!#REF!,DATA!#REF!,1,FALSE),"")</f>
        <v/>
      </c>
      <c r="D970" s="16" t="str">
        <f>IFERROR(VLOOKUP(C970,DATA!#REF!,2,FALSE),"")</f>
        <v/>
      </c>
    </row>
    <row r="971" spans="2:4" s="237" customFormat="1">
      <c r="B971" s="15" t="str">
        <f t="shared" si="53"/>
        <v/>
      </c>
      <c r="C971" s="16" t="str">
        <f>IFERROR(VLOOKUP(DATA!#REF!,DATA!#REF!,1,FALSE),"")</f>
        <v/>
      </c>
      <c r="D971" s="16" t="str">
        <f>IFERROR(VLOOKUP(C971,DATA!#REF!,2,FALSE),"")</f>
        <v/>
      </c>
    </row>
    <row r="972" spans="2:4" s="237" customFormat="1">
      <c r="B972" s="15" t="str">
        <f t="shared" si="53"/>
        <v/>
      </c>
      <c r="C972" s="16" t="str">
        <f>IFERROR(VLOOKUP(DATA!#REF!,DATA!#REF!,1,FALSE),"")</f>
        <v/>
      </c>
      <c r="D972" s="16" t="str">
        <f>IFERROR(VLOOKUP(C972,DATA!#REF!,2,FALSE),"")</f>
        <v/>
      </c>
    </row>
    <row r="973" spans="2:4" s="237" customFormat="1">
      <c r="B973" s="15" t="str">
        <f t="shared" si="53"/>
        <v/>
      </c>
      <c r="C973" s="16" t="str">
        <f>IFERROR(VLOOKUP(DATA!#REF!,DATA!#REF!,1,FALSE),"")</f>
        <v/>
      </c>
      <c r="D973" s="16" t="str">
        <f>IFERROR(VLOOKUP(C973,DATA!#REF!,2,FALSE),"")</f>
        <v/>
      </c>
    </row>
    <row r="974" spans="2:4" s="237" customFormat="1">
      <c r="B974" s="15" t="str">
        <f t="shared" si="53"/>
        <v/>
      </c>
      <c r="C974" s="16" t="str">
        <f>IFERROR(VLOOKUP(DATA!#REF!,DATA!#REF!,1,FALSE),"")</f>
        <v/>
      </c>
      <c r="D974" s="16" t="str">
        <f>IFERROR(VLOOKUP(C974,DATA!#REF!,2,FALSE),"")</f>
        <v/>
      </c>
    </row>
    <row r="975" spans="2:4" s="237" customFormat="1">
      <c r="B975" s="15" t="str">
        <f t="shared" si="53"/>
        <v/>
      </c>
      <c r="C975" s="16" t="str">
        <f>IFERROR(VLOOKUP(DATA!#REF!,DATA!#REF!,1,FALSE),"")</f>
        <v/>
      </c>
      <c r="D975" s="16" t="str">
        <f>IFERROR(VLOOKUP(C975,DATA!#REF!,2,FALSE),"")</f>
        <v/>
      </c>
    </row>
    <row r="976" spans="2:4" s="237" customFormat="1">
      <c r="B976" s="15" t="str">
        <f t="shared" si="53"/>
        <v/>
      </c>
      <c r="C976" s="16" t="str">
        <f>IFERROR(VLOOKUP(DATA!#REF!,DATA!#REF!,1,FALSE),"")</f>
        <v/>
      </c>
      <c r="D976" s="16" t="str">
        <f>IFERROR(VLOOKUP(C976,DATA!#REF!,2,FALSE),"")</f>
        <v/>
      </c>
    </row>
    <row r="977" spans="2:4" s="237" customFormat="1">
      <c r="B977" s="15" t="str">
        <f t="shared" si="53"/>
        <v/>
      </c>
      <c r="C977" s="16" t="str">
        <f>IFERROR(VLOOKUP(DATA!#REF!,DATA!#REF!,1,FALSE),"")</f>
        <v/>
      </c>
      <c r="D977" s="16" t="str">
        <f>IFERROR(VLOOKUP(C977,DATA!#REF!,2,FALSE),"")</f>
        <v/>
      </c>
    </row>
    <row r="978" spans="2:4" s="237" customFormat="1">
      <c r="B978" s="15" t="str">
        <f t="shared" si="53"/>
        <v/>
      </c>
      <c r="C978" s="16" t="str">
        <f>IFERROR(VLOOKUP(DATA!#REF!,DATA!#REF!,1,FALSE),"")</f>
        <v/>
      </c>
      <c r="D978" s="16" t="str">
        <f>IFERROR(VLOOKUP(C978,DATA!#REF!,2,FALSE),"")</f>
        <v/>
      </c>
    </row>
    <row r="979" spans="2:4" s="237" customFormat="1">
      <c r="B979" s="15" t="str">
        <f t="shared" si="53"/>
        <v/>
      </c>
      <c r="C979" s="16" t="str">
        <f>IFERROR(VLOOKUP(DATA!#REF!,DATA!#REF!,1,FALSE),"")</f>
        <v/>
      </c>
      <c r="D979" s="16" t="str">
        <f>IFERROR(VLOOKUP(C979,DATA!#REF!,2,FALSE),"")</f>
        <v/>
      </c>
    </row>
    <row r="980" spans="2:4" s="237" customFormat="1">
      <c r="B980" s="15" t="str">
        <f t="shared" si="53"/>
        <v/>
      </c>
      <c r="C980" s="16" t="str">
        <f>IFERROR(VLOOKUP(DATA!#REF!,DATA!#REF!,1,FALSE),"")</f>
        <v/>
      </c>
      <c r="D980" s="16" t="str">
        <f>IFERROR(VLOOKUP(C980,DATA!#REF!,2,FALSE),"")</f>
        <v/>
      </c>
    </row>
    <row r="981" spans="2:4" s="237" customFormat="1">
      <c r="B981" s="15" t="str">
        <f t="shared" si="53"/>
        <v/>
      </c>
      <c r="C981" s="16" t="str">
        <f>IFERROR(VLOOKUP(DATA!#REF!,DATA!#REF!,1,FALSE),"")</f>
        <v/>
      </c>
      <c r="D981" s="16" t="str">
        <f>IFERROR(VLOOKUP(C981,DATA!#REF!,2,FALSE),"")</f>
        <v/>
      </c>
    </row>
    <row r="982" spans="2:4" s="237" customFormat="1">
      <c r="B982" s="15" t="str">
        <f t="shared" si="53"/>
        <v/>
      </c>
      <c r="C982" s="16" t="str">
        <f>IFERROR(VLOOKUP(DATA!#REF!,DATA!#REF!,1,FALSE),"")</f>
        <v/>
      </c>
      <c r="D982" s="16" t="str">
        <f>IFERROR(VLOOKUP(C982,DATA!#REF!,2,FALSE),"")</f>
        <v/>
      </c>
    </row>
    <row r="983" spans="2:4" s="237" customFormat="1">
      <c r="B983" s="15" t="str">
        <f t="shared" si="53"/>
        <v/>
      </c>
      <c r="C983" s="16" t="str">
        <f>IFERROR(VLOOKUP(DATA!#REF!,DATA!#REF!,1,FALSE),"")</f>
        <v/>
      </c>
      <c r="D983" s="16" t="str">
        <f>IFERROR(VLOOKUP(C983,DATA!#REF!,2,FALSE),"")</f>
        <v/>
      </c>
    </row>
    <row r="984" spans="2:4" s="237" customFormat="1">
      <c r="B984" s="15" t="str">
        <f t="shared" si="53"/>
        <v/>
      </c>
      <c r="C984" s="16" t="str">
        <f>IFERROR(VLOOKUP(DATA!#REF!,DATA!#REF!,1,FALSE),"")</f>
        <v/>
      </c>
      <c r="D984" s="16" t="str">
        <f>IFERROR(VLOOKUP(C984,DATA!#REF!,2,FALSE),"")</f>
        <v/>
      </c>
    </row>
    <row r="985" spans="2:4" s="237" customFormat="1">
      <c r="B985" s="15" t="str">
        <f t="shared" si="53"/>
        <v/>
      </c>
      <c r="C985" s="16" t="str">
        <f>IFERROR(VLOOKUP(DATA!#REF!,DATA!#REF!,1,FALSE),"")</f>
        <v/>
      </c>
      <c r="D985" s="16" t="str">
        <f>IFERROR(VLOOKUP(C985,DATA!#REF!,2,FALSE),"")</f>
        <v/>
      </c>
    </row>
    <row r="986" spans="2:4" s="237" customFormat="1">
      <c r="B986" s="15" t="str">
        <f t="shared" si="53"/>
        <v/>
      </c>
      <c r="C986" s="16" t="str">
        <f>IFERROR(VLOOKUP(DATA!#REF!,DATA!#REF!,1,FALSE),"")</f>
        <v/>
      </c>
      <c r="D986" s="16" t="str">
        <f>IFERROR(VLOOKUP(C986,DATA!#REF!,2,FALSE),"")</f>
        <v/>
      </c>
    </row>
    <row r="987" spans="2:4" s="237" customFormat="1">
      <c r="B987" s="15" t="str">
        <f t="shared" si="53"/>
        <v/>
      </c>
      <c r="C987" s="16" t="str">
        <f>IFERROR(VLOOKUP(DATA!#REF!,DATA!#REF!,1,FALSE),"")</f>
        <v/>
      </c>
      <c r="D987" s="16" t="str">
        <f>IFERROR(VLOOKUP(C987,DATA!#REF!,2,FALSE),"")</f>
        <v/>
      </c>
    </row>
    <row r="988" spans="2:4" s="237" customFormat="1">
      <c r="B988" s="15" t="str">
        <f t="shared" si="53"/>
        <v/>
      </c>
      <c r="C988" s="16" t="str">
        <f>IFERROR(VLOOKUP(DATA!#REF!,DATA!#REF!,1,FALSE),"")</f>
        <v/>
      </c>
      <c r="D988" s="16" t="str">
        <f>IFERROR(VLOOKUP(C988,DATA!#REF!,2,FALSE),"")</f>
        <v/>
      </c>
    </row>
    <row r="989" spans="2:4" s="237" customFormat="1">
      <c r="B989" s="15" t="str">
        <f t="shared" si="53"/>
        <v/>
      </c>
      <c r="C989" s="16" t="str">
        <f>IFERROR(VLOOKUP(DATA!#REF!,DATA!#REF!,1,FALSE),"")</f>
        <v/>
      </c>
      <c r="D989" s="16" t="str">
        <f>IFERROR(VLOOKUP(C989,DATA!#REF!,2,FALSE),"")</f>
        <v/>
      </c>
    </row>
    <row r="990" spans="2:4" s="237" customFormat="1">
      <c r="B990" s="15" t="str">
        <f t="shared" si="53"/>
        <v/>
      </c>
      <c r="C990" s="16" t="str">
        <f>IFERROR(VLOOKUP(DATA!#REF!,DATA!#REF!,1,FALSE),"")</f>
        <v/>
      </c>
      <c r="D990" s="16" t="str">
        <f>IFERROR(VLOOKUP(C990,DATA!#REF!,2,FALSE),"")</f>
        <v/>
      </c>
    </row>
    <row r="991" spans="2:4" s="237" customFormat="1">
      <c r="B991" s="15" t="str">
        <f t="shared" si="53"/>
        <v/>
      </c>
      <c r="C991" s="16" t="str">
        <f>IFERROR(VLOOKUP(DATA!#REF!,DATA!#REF!,1,FALSE),"")</f>
        <v/>
      </c>
      <c r="D991" s="16" t="str">
        <f>IFERROR(VLOOKUP(C991,DATA!#REF!,2,FALSE),"")</f>
        <v/>
      </c>
    </row>
    <row r="992" spans="2:4" s="237" customFormat="1">
      <c r="B992" s="15" t="str">
        <f t="shared" si="53"/>
        <v/>
      </c>
      <c r="C992" s="16" t="str">
        <f>IFERROR(VLOOKUP(DATA!#REF!,DATA!#REF!,1,FALSE),"")</f>
        <v/>
      </c>
      <c r="D992" s="16" t="str">
        <f>IFERROR(VLOOKUP(C992,DATA!#REF!,2,FALSE),"")</f>
        <v/>
      </c>
    </row>
    <row r="993" spans="2:4" s="237" customFormat="1">
      <c r="B993" s="15" t="str">
        <f t="shared" si="53"/>
        <v/>
      </c>
      <c r="C993" s="16" t="str">
        <f>IFERROR(VLOOKUP(DATA!#REF!,DATA!#REF!,1,FALSE),"")</f>
        <v/>
      </c>
      <c r="D993" s="16" t="str">
        <f>IFERROR(VLOOKUP(C993,DATA!#REF!,2,FALSE),"")</f>
        <v/>
      </c>
    </row>
    <row r="994" spans="2:4" s="237" customFormat="1">
      <c r="B994" s="15" t="str">
        <f t="shared" si="53"/>
        <v/>
      </c>
      <c r="C994" s="16" t="str">
        <f>IFERROR(VLOOKUP(DATA!#REF!,DATA!#REF!,1,FALSE),"")</f>
        <v/>
      </c>
      <c r="D994" s="16" t="str">
        <f>IFERROR(VLOOKUP(C994,DATA!#REF!,2,FALSE),"")</f>
        <v/>
      </c>
    </row>
    <row r="995" spans="2:4" s="237" customFormat="1">
      <c r="B995" s="15" t="str">
        <f t="shared" si="53"/>
        <v/>
      </c>
      <c r="C995" s="16" t="str">
        <f>IFERROR(VLOOKUP(DATA!#REF!,DATA!#REF!,1,FALSE),"")</f>
        <v/>
      </c>
      <c r="D995" s="16" t="str">
        <f>IFERROR(VLOOKUP(C995,DATA!#REF!,2,FALSE),"")</f>
        <v/>
      </c>
    </row>
    <row r="996" spans="2:4" s="237" customFormat="1">
      <c r="B996" s="15" t="str">
        <f t="shared" si="53"/>
        <v/>
      </c>
      <c r="C996" s="16" t="str">
        <f>IFERROR(VLOOKUP(DATA!#REF!,DATA!#REF!,1,FALSE),"")</f>
        <v/>
      </c>
      <c r="D996" s="16" t="str">
        <f>IFERROR(VLOOKUP(C996,DATA!#REF!,2,FALSE),"")</f>
        <v/>
      </c>
    </row>
    <row r="997" spans="2:4" s="237" customFormat="1">
      <c r="B997" s="15" t="str">
        <f t="shared" si="53"/>
        <v/>
      </c>
      <c r="C997" s="16" t="str">
        <f>IFERROR(VLOOKUP(DATA!#REF!,DATA!#REF!,1,FALSE),"")</f>
        <v/>
      </c>
      <c r="D997" s="16" t="str">
        <f>IFERROR(VLOOKUP(C997,DATA!#REF!,2,FALSE),"")</f>
        <v/>
      </c>
    </row>
    <row r="998" spans="2:4" s="237" customFormat="1">
      <c r="B998" s="15" t="str">
        <f t="shared" si="53"/>
        <v/>
      </c>
      <c r="C998" s="16" t="str">
        <f>IFERROR(VLOOKUP(DATA!#REF!,DATA!#REF!,1,FALSE),"")</f>
        <v/>
      </c>
      <c r="D998" s="16" t="str">
        <f>IFERROR(VLOOKUP(C998,DATA!#REF!,2,FALSE),"")</f>
        <v/>
      </c>
    </row>
    <row r="999" spans="2:4" s="237" customFormat="1">
      <c r="B999" s="15" t="str">
        <f t="shared" si="53"/>
        <v/>
      </c>
      <c r="C999" s="16" t="str">
        <f>IFERROR(VLOOKUP(DATA!#REF!,DATA!#REF!,1,FALSE),"")</f>
        <v/>
      </c>
      <c r="D999" s="16" t="str">
        <f>IFERROR(VLOOKUP(C999,DATA!#REF!,2,FALSE),"")</f>
        <v/>
      </c>
    </row>
    <row r="1000" spans="2:4" s="237" customFormat="1">
      <c r="B1000" s="15" t="str">
        <f t="shared" si="53"/>
        <v/>
      </c>
      <c r="C1000" s="16" t="str">
        <f>IFERROR(VLOOKUP(DATA!#REF!,DATA!#REF!,1,FALSE),"")</f>
        <v/>
      </c>
      <c r="D1000" s="16" t="str">
        <f>IFERROR(VLOOKUP(C1000,DATA!#REF!,2,FALSE),"")</f>
        <v/>
      </c>
    </row>
    <row r="1001" spans="2:4" s="237" customFormat="1">
      <c r="B1001" s="15" t="str">
        <f t="shared" si="53"/>
        <v/>
      </c>
      <c r="C1001" s="16" t="str">
        <f>IFERROR(VLOOKUP(DATA!#REF!,DATA!#REF!,1,FALSE),"")</f>
        <v/>
      </c>
      <c r="D1001" s="16" t="str">
        <f>IFERROR(VLOOKUP(C1001,DATA!#REF!,2,FALSE),"")</f>
        <v/>
      </c>
    </row>
    <row r="1002" spans="2:4" s="237" customFormat="1">
      <c r="B1002" s="15" t="str">
        <f t="shared" si="53"/>
        <v/>
      </c>
      <c r="C1002" s="16" t="str">
        <f>IFERROR(VLOOKUP(DATA!#REF!,DATA!#REF!,1,FALSE),"")</f>
        <v/>
      </c>
      <c r="D1002" s="16" t="str">
        <f>IFERROR(VLOOKUP(C1002,DATA!#REF!,2,FALSE),"")</f>
        <v/>
      </c>
    </row>
    <row r="1003" spans="2:4" s="237" customFormat="1">
      <c r="B1003" s="15" t="str">
        <f t="shared" si="53"/>
        <v/>
      </c>
      <c r="C1003" s="16" t="str">
        <f>IFERROR(VLOOKUP(DATA!#REF!,DATA!#REF!,1,FALSE),"")</f>
        <v/>
      </c>
      <c r="D1003" s="16" t="str">
        <f>IFERROR(VLOOKUP(C1003,DATA!#REF!,2,FALSE),"")</f>
        <v/>
      </c>
    </row>
    <row r="1004" spans="2:4" s="237" customFormat="1">
      <c r="B1004" s="15" t="str">
        <f t="shared" si="53"/>
        <v/>
      </c>
      <c r="C1004" s="16" t="str">
        <f>IFERROR(VLOOKUP(DATA!#REF!,DATA!#REF!,1,FALSE),"")</f>
        <v/>
      </c>
      <c r="D1004" s="16" t="str">
        <f>IFERROR(VLOOKUP(C1004,DATA!#REF!,2,FALSE),"")</f>
        <v/>
      </c>
    </row>
    <row r="1005" spans="2:4" s="237" customFormat="1">
      <c r="B1005" s="15" t="str">
        <f t="shared" si="53"/>
        <v/>
      </c>
      <c r="C1005" s="16" t="str">
        <f>IFERROR(VLOOKUP(DATA!#REF!,DATA!#REF!,1,FALSE),"")</f>
        <v/>
      </c>
      <c r="D1005" s="16" t="str">
        <f>IFERROR(VLOOKUP(C1005,DATA!#REF!,2,FALSE),"")</f>
        <v/>
      </c>
    </row>
    <row r="1006" spans="2:4" s="237" customFormat="1">
      <c r="B1006" s="15" t="str">
        <f t="shared" si="53"/>
        <v/>
      </c>
      <c r="C1006" s="16" t="str">
        <f>IFERROR(VLOOKUP(DATA!#REF!,DATA!#REF!,1,FALSE),"")</f>
        <v/>
      </c>
      <c r="D1006" s="16" t="str">
        <f>IFERROR(VLOOKUP(C1006,DATA!#REF!,2,FALSE),"")</f>
        <v/>
      </c>
    </row>
    <row r="1007" spans="2:4" s="237" customFormat="1">
      <c r="B1007" s="15" t="str">
        <f t="shared" si="53"/>
        <v/>
      </c>
      <c r="C1007" s="16" t="str">
        <f>IFERROR(VLOOKUP(DATA!#REF!,DATA!#REF!,1,FALSE),"")</f>
        <v/>
      </c>
      <c r="D1007" s="16" t="str">
        <f>IFERROR(VLOOKUP(C1007,DATA!#REF!,2,FALSE),"")</f>
        <v/>
      </c>
    </row>
    <row r="1008" spans="2:4" s="237" customFormat="1">
      <c r="B1008" s="15" t="str">
        <f t="shared" si="53"/>
        <v/>
      </c>
      <c r="C1008" s="16" t="str">
        <f>IFERROR(VLOOKUP(DATA!#REF!,DATA!#REF!,1,FALSE),"")</f>
        <v/>
      </c>
      <c r="D1008" s="16" t="str">
        <f>IFERROR(VLOOKUP(C1008,DATA!#REF!,2,FALSE),"")</f>
        <v/>
      </c>
    </row>
    <row r="1009" spans="2:4" s="237" customFormat="1">
      <c r="B1009" s="15" t="str">
        <f t="shared" si="53"/>
        <v/>
      </c>
      <c r="C1009" s="16" t="str">
        <f>IFERROR(VLOOKUP(DATA!#REF!,DATA!#REF!,1,FALSE),"")</f>
        <v/>
      </c>
      <c r="D1009" s="16" t="str">
        <f>IFERROR(VLOOKUP(C1009,DATA!#REF!,2,FALSE),"")</f>
        <v/>
      </c>
    </row>
    <row r="1010" spans="2:4" s="237" customFormat="1">
      <c r="B1010" s="15" t="str">
        <f t="shared" si="53"/>
        <v/>
      </c>
      <c r="C1010" s="16" t="str">
        <f>IFERROR(VLOOKUP(DATA!#REF!,DATA!#REF!,1,FALSE),"")</f>
        <v/>
      </c>
      <c r="D1010" s="16" t="str">
        <f>IFERROR(VLOOKUP(C1010,DATA!#REF!,2,FALSE),"")</f>
        <v/>
      </c>
    </row>
    <row r="1011" spans="2:4" s="237" customFormat="1">
      <c r="B1011" s="15" t="str">
        <f t="shared" si="53"/>
        <v/>
      </c>
      <c r="C1011" s="16" t="str">
        <f>IFERROR(VLOOKUP(DATA!#REF!,DATA!#REF!,1,FALSE),"")</f>
        <v/>
      </c>
      <c r="D1011" s="16" t="str">
        <f>IFERROR(VLOOKUP(C1011,DATA!#REF!,2,FALSE),"")</f>
        <v/>
      </c>
    </row>
    <row r="1012" spans="2:4" s="237" customFormat="1">
      <c r="B1012" s="15" t="str">
        <f t="shared" si="53"/>
        <v/>
      </c>
      <c r="C1012" s="16" t="str">
        <f>IFERROR(VLOOKUP(DATA!#REF!,DATA!#REF!,1,FALSE),"")</f>
        <v/>
      </c>
      <c r="D1012" s="16" t="str">
        <f>IFERROR(VLOOKUP(C1012,DATA!#REF!,2,FALSE),"")</f>
        <v/>
      </c>
    </row>
    <row r="1013" spans="2:4" s="237" customFormat="1">
      <c r="B1013" s="15" t="str">
        <f t="shared" si="53"/>
        <v/>
      </c>
      <c r="C1013" s="16" t="str">
        <f>IFERROR(VLOOKUP(DATA!#REF!,DATA!#REF!,1,FALSE),"")</f>
        <v/>
      </c>
      <c r="D1013" s="16" t="str">
        <f>IFERROR(VLOOKUP(C1013,DATA!#REF!,2,FALSE),"")</f>
        <v/>
      </c>
    </row>
    <row r="1014" spans="2:4" s="237" customFormat="1">
      <c r="B1014" s="15" t="str">
        <f t="shared" si="53"/>
        <v/>
      </c>
      <c r="C1014" s="16" t="str">
        <f>IFERROR(VLOOKUP(DATA!#REF!,DATA!#REF!,1,FALSE),"")</f>
        <v/>
      </c>
      <c r="D1014" s="16" t="str">
        <f>IFERROR(VLOOKUP(C1014,DATA!#REF!,2,FALSE),"")</f>
        <v/>
      </c>
    </row>
    <row r="1015" spans="2:4" s="237" customFormat="1">
      <c r="B1015" s="15" t="str">
        <f t="shared" si="53"/>
        <v/>
      </c>
      <c r="C1015" s="16" t="str">
        <f>IFERROR(VLOOKUP(DATA!#REF!,DATA!#REF!,1,FALSE),"")</f>
        <v/>
      </c>
      <c r="D1015" s="16" t="str">
        <f>IFERROR(VLOOKUP(C1015,DATA!#REF!,2,FALSE),"")</f>
        <v/>
      </c>
    </row>
    <row r="1016" spans="2:4" s="237" customFormat="1">
      <c r="B1016" s="15" t="str">
        <f t="shared" si="53"/>
        <v/>
      </c>
      <c r="C1016" s="16" t="str">
        <f>IFERROR(VLOOKUP(DATA!#REF!,DATA!#REF!,1,FALSE),"")</f>
        <v/>
      </c>
      <c r="D1016" s="16" t="str">
        <f>IFERROR(VLOOKUP(C1016,DATA!#REF!,2,FALSE),"")</f>
        <v/>
      </c>
    </row>
    <row r="1017" spans="2:4" s="237" customFormat="1">
      <c r="B1017" s="15" t="str">
        <f t="shared" si="53"/>
        <v/>
      </c>
      <c r="C1017" s="16" t="str">
        <f>IFERROR(VLOOKUP(DATA!#REF!,DATA!#REF!,1,FALSE),"")</f>
        <v/>
      </c>
      <c r="D1017" s="16" t="str">
        <f>IFERROR(VLOOKUP(C1017,DATA!#REF!,2,FALSE),"")</f>
        <v/>
      </c>
    </row>
    <row r="1018" spans="2:4" s="237" customFormat="1">
      <c r="B1018" s="15" t="str">
        <f t="shared" si="53"/>
        <v/>
      </c>
      <c r="C1018" s="16" t="str">
        <f>IFERROR(VLOOKUP(DATA!#REF!,DATA!#REF!,1,FALSE),"")</f>
        <v/>
      </c>
      <c r="D1018" s="16" t="str">
        <f>IFERROR(VLOOKUP(C1018,DATA!#REF!,2,FALSE),"")</f>
        <v/>
      </c>
    </row>
    <row r="1019" spans="2:4" s="237" customFormat="1">
      <c r="B1019" s="15" t="str">
        <f t="shared" si="53"/>
        <v/>
      </c>
      <c r="C1019" s="16" t="str">
        <f>IFERROR(VLOOKUP(DATA!#REF!,DATA!#REF!,1,FALSE),"")</f>
        <v/>
      </c>
      <c r="D1019" s="16" t="str">
        <f>IFERROR(VLOOKUP(C1019,DATA!#REF!,2,FALSE),"")</f>
        <v/>
      </c>
    </row>
    <row r="1020" spans="2:4" s="237" customFormat="1">
      <c r="B1020" s="15" t="str">
        <f t="shared" si="53"/>
        <v/>
      </c>
      <c r="C1020" s="16" t="str">
        <f>IFERROR(VLOOKUP(DATA!#REF!,DATA!#REF!,1,FALSE),"")</f>
        <v/>
      </c>
      <c r="D1020" s="16" t="str">
        <f>IFERROR(VLOOKUP(C1020,DATA!#REF!,2,FALSE),"")</f>
        <v/>
      </c>
    </row>
    <row r="1021" spans="2:4" s="237" customFormat="1">
      <c r="B1021" s="15" t="str">
        <f t="shared" si="53"/>
        <v/>
      </c>
      <c r="C1021" s="16" t="str">
        <f>IFERROR(VLOOKUP(DATA!#REF!,DATA!#REF!,1,FALSE),"")</f>
        <v/>
      </c>
      <c r="D1021" s="16" t="str">
        <f>IFERROR(VLOOKUP(C1021,DATA!#REF!,2,FALSE),"")</f>
        <v/>
      </c>
    </row>
    <row r="1022" spans="2:4" s="237" customFormat="1">
      <c r="B1022" s="15" t="str">
        <f t="shared" si="53"/>
        <v/>
      </c>
      <c r="C1022" s="16" t="str">
        <f>IFERROR(VLOOKUP(DATA!#REF!,DATA!#REF!,1,FALSE),"")</f>
        <v/>
      </c>
      <c r="D1022" s="16" t="str">
        <f>IFERROR(VLOOKUP(C1022,DATA!#REF!,2,FALSE),"")</f>
        <v/>
      </c>
    </row>
    <row r="1023" spans="2:4" s="237" customFormat="1">
      <c r="B1023" s="15" t="str">
        <f t="shared" si="53"/>
        <v/>
      </c>
      <c r="C1023" s="16" t="str">
        <f>IFERROR(VLOOKUP(DATA!#REF!,DATA!#REF!,1,FALSE),"")</f>
        <v/>
      </c>
      <c r="D1023" s="16" t="str">
        <f>IFERROR(VLOOKUP(C1023,DATA!#REF!,2,FALSE),"")</f>
        <v/>
      </c>
    </row>
    <row r="1024" spans="2:4" s="237" customFormat="1">
      <c r="B1024" s="15" t="str">
        <f t="shared" si="53"/>
        <v/>
      </c>
      <c r="C1024" s="16" t="str">
        <f>IFERROR(VLOOKUP(DATA!#REF!,DATA!#REF!,1,FALSE),"")</f>
        <v/>
      </c>
      <c r="D1024" s="16" t="str">
        <f>IFERROR(VLOOKUP(C1024,DATA!#REF!,2,FALSE),"")</f>
        <v/>
      </c>
    </row>
    <row r="1025" spans="2:4" s="237" customFormat="1">
      <c r="B1025" s="15" t="str">
        <f t="shared" si="53"/>
        <v/>
      </c>
      <c r="C1025" s="16" t="str">
        <f>IFERROR(VLOOKUP(DATA!#REF!,DATA!#REF!,1,FALSE),"")</f>
        <v/>
      </c>
      <c r="D1025" s="16" t="str">
        <f>IFERROR(VLOOKUP(C1025,DATA!#REF!,2,FALSE),"")</f>
        <v/>
      </c>
    </row>
    <row r="1026" spans="2:4" s="237" customFormat="1">
      <c r="B1026" s="15" t="str">
        <f t="shared" si="53"/>
        <v/>
      </c>
      <c r="C1026" s="16" t="str">
        <f>IFERROR(VLOOKUP(DATA!#REF!,DATA!#REF!,1,FALSE),"")</f>
        <v/>
      </c>
      <c r="D1026" s="16" t="str">
        <f>IFERROR(VLOOKUP(C1026,DATA!#REF!,2,FALSE),"")</f>
        <v/>
      </c>
    </row>
    <row r="1027" spans="2:4" s="237" customFormat="1">
      <c r="B1027" s="15" t="str">
        <f t="shared" si="53"/>
        <v/>
      </c>
      <c r="C1027" s="16" t="str">
        <f>IFERROR(VLOOKUP(DATA!#REF!,DATA!#REF!,1,FALSE),"")</f>
        <v/>
      </c>
      <c r="D1027" s="16" t="str">
        <f>IFERROR(VLOOKUP(C1027,DATA!#REF!,2,FALSE),"")</f>
        <v/>
      </c>
    </row>
    <row r="1028" spans="2:4" s="237" customFormat="1">
      <c r="B1028" s="15" t="str">
        <f t="shared" si="53"/>
        <v/>
      </c>
      <c r="C1028" s="16" t="str">
        <f>IFERROR(VLOOKUP(DATA!#REF!,DATA!#REF!,1,FALSE),"")</f>
        <v/>
      </c>
      <c r="D1028" s="16" t="str">
        <f>IFERROR(VLOOKUP(C1028,DATA!#REF!,2,FALSE),"")</f>
        <v/>
      </c>
    </row>
    <row r="1029" spans="2:4" s="237" customFormat="1">
      <c r="B1029" s="15" t="str">
        <f t="shared" si="53"/>
        <v/>
      </c>
      <c r="C1029" s="16" t="str">
        <f>IFERROR(VLOOKUP(DATA!#REF!,DATA!#REF!,1,FALSE),"")</f>
        <v/>
      </c>
      <c r="D1029" s="16" t="str">
        <f>IFERROR(VLOOKUP(C1029,DATA!#REF!,2,FALSE),"")</f>
        <v/>
      </c>
    </row>
    <row r="1030" spans="2:4" s="237" customFormat="1">
      <c r="B1030" s="15" t="str">
        <f t="shared" ref="B1030:B1093" si="54">+IF(C1030="","",ROW()-5)</f>
        <v/>
      </c>
      <c r="C1030" s="16" t="str">
        <f>IFERROR(VLOOKUP(DATA!#REF!,DATA!#REF!,1,FALSE),"")</f>
        <v/>
      </c>
      <c r="D1030" s="16" t="str">
        <f>IFERROR(VLOOKUP(C1030,DATA!#REF!,2,FALSE),"")</f>
        <v/>
      </c>
    </row>
    <row r="1031" spans="2:4" s="237" customFormat="1">
      <c r="B1031" s="15" t="str">
        <f t="shared" si="54"/>
        <v/>
      </c>
      <c r="C1031" s="16" t="str">
        <f>IFERROR(VLOOKUP(DATA!#REF!,DATA!#REF!,1,FALSE),"")</f>
        <v/>
      </c>
      <c r="D1031" s="16" t="str">
        <f>IFERROR(VLOOKUP(C1031,DATA!#REF!,2,FALSE),"")</f>
        <v/>
      </c>
    </row>
    <row r="1032" spans="2:4" s="237" customFormat="1">
      <c r="B1032" s="15" t="str">
        <f t="shared" si="54"/>
        <v/>
      </c>
      <c r="C1032" s="16" t="str">
        <f>IFERROR(VLOOKUP(DATA!#REF!,DATA!#REF!,1,FALSE),"")</f>
        <v/>
      </c>
      <c r="D1032" s="16" t="str">
        <f>IFERROR(VLOOKUP(C1032,DATA!#REF!,2,FALSE),"")</f>
        <v/>
      </c>
    </row>
    <row r="1033" spans="2:4" s="237" customFormat="1">
      <c r="B1033" s="15" t="str">
        <f t="shared" si="54"/>
        <v/>
      </c>
      <c r="C1033" s="16" t="str">
        <f>IFERROR(VLOOKUP(DATA!#REF!,DATA!#REF!,1,FALSE),"")</f>
        <v/>
      </c>
      <c r="D1033" s="16" t="str">
        <f>IFERROR(VLOOKUP(C1033,DATA!#REF!,2,FALSE),"")</f>
        <v/>
      </c>
    </row>
    <row r="1034" spans="2:4" s="237" customFormat="1">
      <c r="B1034" s="15" t="str">
        <f t="shared" si="54"/>
        <v/>
      </c>
      <c r="C1034" s="16" t="str">
        <f>IFERROR(VLOOKUP(DATA!#REF!,DATA!#REF!,1,FALSE),"")</f>
        <v/>
      </c>
      <c r="D1034" s="16" t="str">
        <f>IFERROR(VLOOKUP(C1034,DATA!#REF!,2,FALSE),"")</f>
        <v/>
      </c>
    </row>
    <row r="1035" spans="2:4" s="237" customFormat="1">
      <c r="B1035" s="15" t="str">
        <f t="shared" si="54"/>
        <v/>
      </c>
      <c r="C1035" s="16" t="str">
        <f>IFERROR(VLOOKUP(DATA!#REF!,DATA!#REF!,1,FALSE),"")</f>
        <v/>
      </c>
      <c r="D1035" s="16" t="str">
        <f>IFERROR(VLOOKUP(C1035,DATA!#REF!,2,FALSE),"")</f>
        <v/>
      </c>
    </row>
    <row r="1036" spans="2:4" s="237" customFormat="1">
      <c r="B1036" s="15" t="str">
        <f t="shared" si="54"/>
        <v/>
      </c>
      <c r="C1036" s="16" t="str">
        <f>IFERROR(VLOOKUP(DATA!#REF!,DATA!#REF!,1,FALSE),"")</f>
        <v/>
      </c>
      <c r="D1036" s="16" t="str">
        <f>IFERROR(VLOOKUP(C1036,DATA!#REF!,2,FALSE),"")</f>
        <v/>
      </c>
    </row>
    <row r="1037" spans="2:4" s="237" customFormat="1">
      <c r="B1037" s="15" t="str">
        <f t="shared" si="54"/>
        <v/>
      </c>
      <c r="C1037" s="16" t="str">
        <f>IFERROR(VLOOKUP(DATA!#REF!,DATA!#REF!,1,FALSE),"")</f>
        <v/>
      </c>
      <c r="D1037" s="16" t="str">
        <f>IFERROR(VLOOKUP(C1037,DATA!#REF!,2,FALSE),"")</f>
        <v/>
      </c>
    </row>
    <row r="1038" spans="2:4" s="237" customFormat="1">
      <c r="B1038" s="15" t="str">
        <f t="shared" si="54"/>
        <v/>
      </c>
      <c r="C1038" s="16" t="str">
        <f>IFERROR(VLOOKUP(DATA!#REF!,DATA!#REF!,1,FALSE),"")</f>
        <v/>
      </c>
      <c r="D1038" s="16" t="str">
        <f>IFERROR(VLOOKUP(C1038,DATA!#REF!,2,FALSE),"")</f>
        <v/>
      </c>
    </row>
    <row r="1039" spans="2:4" s="237" customFormat="1">
      <c r="B1039" s="15" t="str">
        <f t="shared" si="54"/>
        <v/>
      </c>
      <c r="C1039" s="16" t="str">
        <f>IFERROR(VLOOKUP(DATA!#REF!,DATA!#REF!,1,FALSE),"")</f>
        <v/>
      </c>
      <c r="D1039" s="16" t="str">
        <f>IFERROR(VLOOKUP(C1039,DATA!#REF!,2,FALSE),"")</f>
        <v/>
      </c>
    </row>
    <row r="1040" spans="2:4" s="237" customFormat="1">
      <c r="B1040" s="15" t="str">
        <f t="shared" si="54"/>
        <v/>
      </c>
      <c r="C1040" s="16" t="str">
        <f>IFERROR(VLOOKUP(DATA!#REF!,DATA!#REF!,1,FALSE),"")</f>
        <v/>
      </c>
      <c r="D1040" s="16" t="str">
        <f>IFERROR(VLOOKUP(C1040,DATA!#REF!,2,FALSE),"")</f>
        <v/>
      </c>
    </row>
    <row r="1041" spans="2:4" s="237" customFormat="1">
      <c r="B1041" s="15" t="str">
        <f t="shared" si="54"/>
        <v/>
      </c>
      <c r="C1041" s="16" t="str">
        <f>IFERROR(VLOOKUP(DATA!#REF!,DATA!#REF!,1,FALSE),"")</f>
        <v/>
      </c>
      <c r="D1041" s="16" t="str">
        <f>IFERROR(VLOOKUP(C1041,DATA!#REF!,2,FALSE),"")</f>
        <v/>
      </c>
    </row>
    <row r="1042" spans="2:4" s="237" customFormat="1">
      <c r="B1042" s="15" t="str">
        <f t="shared" si="54"/>
        <v/>
      </c>
      <c r="C1042" s="16" t="str">
        <f>IFERROR(VLOOKUP(DATA!#REF!,DATA!#REF!,1,FALSE),"")</f>
        <v/>
      </c>
      <c r="D1042" s="16" t="str">
        <f>IFERROR(VLOOKUP(C1042,DATA!#REF!,2,FALSE),"")</f>
        <v/>
      </c>
    </row>
    <row r="1043" spans="2:4" s="237" customFormat="1">
      <c r="B1043" s="15" t="str">
        <f t="shared" si="54"/>
        <v/>
      </c>
      <c r="C1043" s="16" t="str">
        <f>IFERROR(VLOOKUP(DATA!#REF!,DATA!#REF!,1,FALSE),"")</f>
        <v/>
      </c>
      <c r="D1043" s="16" t="str">
        <f>IFERROR(VLOOKUP(C1043,DATA!#REF!,2,FALSE),"")</f>
        <v/>
      </c>
    </row>
    <row r="1044" spans="2:4" s="237" customFormat="1">
      <c r="B1044" s="15" t="str">
        <f t="shared" si="54"/>
        <v/>
      </c>
      <c r="C1044" s="16" t="str">
        <f>IFERROR(VLOOKUP(DATA!#REF!,DATA!#REF!,1,FALSE),"")</f>
        <v/>
      </c>
      <c r="D1044" s="16" t="str">
        <f>IFERROR(VLOOKUP(C1044,DATA!#REF!,2,FALSE),"")</f>
        <v/>
      </c>
    </row>
    <row r="1045" spans="2:4" s="237" customFormat="1">
      <c r="B1045" s="15" t="str">
        <f t="shared" si="54"/>
        <v/>
      </c>
      <c r="C1045" s="16" t="str">
        <f>IFERROR(VLOOKUP(DATA!#REF!,DATA!#REF!,1,FALSE),"")</f>
        <v/>
      </c>
      <c r="D1045" s="16" t="str">
        <f>IFERROR(VLOOKUP(C1045,DATA!#REF!,2,FALSE),"")</f>
        <v/>
      </c>
    </row>
    <row r="1046" spans="2:4" s="237" customFormat="1">
      <c r="B1046" s="15" t="str">
        <f t="shared" si="54"/>
        <v/>
      </c>
      <c r="C1046" s="16" t="str">
        <f>IFERROR(VLOOKUP(DATA!#REF!,DATA!#REF!,1,FALSE),"")</f>
        <v/>
      </c>
      <c r="D1046" s="16" t="str">
        <f>IFERROR(VLOOKUP(C1046,DATA!#REF!,2,FALSE),"")</f>
        <v/>
      </c>
    </row>
    <row r="1047" spans="2:4" s="237" customFormat="1">
      <c r="B1047" s="15" t="str">
        <f t="shared" si="54"/>
        <v/>
      </c>
      <c r="C1047" s="16" t="str">
        <f>IFERROR(VLOOKUP(DATA!#REF!,DATA!#REF!,1,FALSE),"")</f>
        <v/>
      </c>
      <c r="D1047" s="16" t="str">
        <f>IFERROR(VLOOKUP(C1047,DATA!#REF!,2,FALSE),"")</f>
        <v/>
      </c>
    </row>
    <row r="1048" spans="2:4" s="237" customFormat="1">
      <c r="B1048" s="15" t="str">
        <f t="shared" si="54"/>
        <v/>
      </c>
      <c r="C1048" s="16" t="str">
        <f>IFERROR(VLOOKUP(DATA!#REF!,DATA!#REF!,1,FALSE),"")</f>
        <v/>
      </c>
      <c r="D1048" s="16" t="str">
        <f>IFERROR(VLOOKUP(C1048,DATA!#REF!,2,FALSE),"")</f>
        <v/>
      </c>
    </row>
    <row r="1049" spans="2:4" s="237" customFormat="1">
      <c r="B1049" s="15" t="str">
        <f t="shared" si="54"/>
        <v/>
      </c>
      <c r="C1049" s="16" t="str">
        <f>IFERROR(VLOOKUP(DATA!#REF!,DATA!#REF!,1,FALSE),"")</f>
        <v/>
      </c>
      <c r="D1049" s="16" t="str">
        <f>IFERROR(VLOOKUP(C1049,DATA!#REF!,2,FALSE),"")</f>
        <v/>
      </c>
    </row>
    <row r="1050" spans="2:4" s="237" customFormat="1">
      <c r="B1050" s="15" t="str">
        <f t="shared" si="54"/>
        <v/>
      </c>
      <c r="C1050" s="16" t="str">
        <f>IFERROR(VLOOKUP(DATA!#REF!,DATA!#REF!,1,FALSE),"")</f>
        <v/>
      </c>
      <c r="D1050" s="16" t="str">
        <f>IFERROR(VLOOKUP(C1050,DATA!#REF!,2,FALSE),"")</f>
        <v/>
      </c>
    </row>
    <row r="1051" spans="2:4" s="237" customFormat="1">
      <c r="B1051" s="15" t="str">
        <f t="shared" si="54"/>
        <v/>
      </c>
      <c r="C1051" s="16" t="str">
        <f>IFERROR(VLOOKUP(DATA!#REF!,DATA!#REF!,1,FALSE),"")</f>
        <v/>
      </c>
      <c r="D1051" s="16" t="str">
        <f>IFERROR(VLOOKUP(C1051,DATA!#REF!,2,FALSE),"")</f>
        <v/>
      </c>
    </row>
    <row r="1052" spans="2:4" s="237" customFormat="1">
      <c r="B1052" s="15" t="str">
        <f t="shared" si="54"/>
        <v/>
      </c>
      <c r="C1052" s="16" t="str">
        <f>IFERROR(VLOOKUP(DATA!#REF!,DATA!#REF!,1,FALSE),"")</f>
        <v/>
      </c>
      <c r="D1052" s="16" t="str">
        <f>IFERROR(VLOOKUP(C1052,DATA!#REF!,2,FALSE),"")</f>
        <v/>
      </c>
    </row>
    <row r="1053" spans="2:4" s="237" customFormat="1">
      <c r="B1053" s="15" t="str">
        <f t="shared" si="54"/>
        <v/>
      </c>
      <c r="C1053" s="16" t="str">
        <f>IFERROR(VLOOKUP(DATA!#REF!,DATA!#REF!,1,FALSE),"")</f>
        <v/>
      </c>
      <c r="D1053" s="16" t="str">
        <f>IFERROR(VLOOKUP(C1053,DATA!#REF!,2,FALSE),"")</f>
        <v/>
      </c>
    </row>
    <row r="1054" spans="2:4" s="237" customFormat="1">
      <c r="B1054" s="15" t="str">
        <f t="shared" si="54"/>
        <v/>
      </c>
      <c r="C1054" s="16" t="str">
        <f>IFERROR(VLOOKUP(DATA!#REF!,DATA!#REF!,1,FALSE),"")</f>
        <v/>
      </c>
      <c r="D1054" s="16" t="str">
        <f>IFERROR(VLOOKUP(C1054,DATA!#REF!,2,FALSE),"")</f>
        <v/>
      </c>
    </row>
    <row r="1055" spans="2:4" s="237" customFormat="1">
      <c r="B1055" s="15" t="str">
        <f t="shared" si="54"/>
        <v/>
      </c>
      <c r="C1055" s="16" t="str">
        <f>IFERROR(VLOOKUP(DATA!#REF!,DATA!#REF!,1,FALSE),"")</f>
        <v/>
      </c>
      <c r="D1055" s="16" t="str">
        <f>IFERROR(VLOOKUP(C1055,DATA!#REF!,2,FALSE),"")</f>
        <v/>
      </c>
    </row>
    <row r="1056" spans="2:4" s="237" customFormat="1">
      <c r="B1056" s="15" t="str">
        <f t="shared" si="54"/>
        <v/>
      </c>
      <c r="C1056" s="16" t="str">
        <f>IFERROR(VLOOKUP(DATA!#REF!,DATA!#REF!,1,FALSE),"")</f>
        <v/>
      </c>
      <c r="D1056" s="16" t="str">
        <f>IFERROR(VLOOKUP(C1056,DATA!#REF!,2,FALSE),"")</f>
        <v/>
      </c>
    </row>
    <row r="1057" spans="2:4" s="237" customFormat="1">
      <c r="B1057" s="15" t="str">
        <f t="shared" si="54"/>
        <v/>
      </c>
      <c r="C1057" s="16" t="str">
        <f>IFERROR(VLOOKUP(DATA!#REF!,DATA!#REF!,1,FALSE),"")</f>
        <v/>
      </c>
      <c r="D1057" s="16" t="str">
        <f>IFERROR(VLOOKUP(C1057,DATA!#REF!,2,FALSE),"")</f>
        <v/>
      </c>
    </row>
    <row r="1058" spans="2:4" s="237" customFormat="1">
      <c r="B1058" s="15" t="str">
        <f t="shared" si="54"/>
        <v/>
      </c>
      <c r="C1058" s="16" t="str">
        <f>IFERROR(VLOOKUP(DATA!#REF!,DATA!#REF!,1,FALSE),"")</f>
        <v/>
      </c>
      <c r="D1058" s="16" t="str">
        <f>IFERROR(VLOOKUP(C1058,DATA!#REF!,2,FALSE),"")</f>
        <v/>
      </c>
    </row>
    <row r="1059" spans="2:4" s="237" customFormat="1">
      <c r="B1059" s="15" t="str">
        <f t="shared" si="54"/>
        <v/>
      </c>
      <c r="C1059" s="16" t="str">
        <f>IFERROR(VLOOKUP(DATA!#REF!,DATA!#REF!,1,FALSE),"")</f>
        <v/>
      </c>
      <c r="D1059" s="16" t="str">
        <f>IFERROR(VLOOKUP(C1059,DATA!#REF!,2,FALSE),"")</f>
        <v/>
      </c>
    </row>
    <row r="1060" spans="2:4" s="237" customFormat="1">
      <c r="B1060" s="15" t="str">
        <f t="shared" si="54"/>
        <v/>
      </c>
      <c r="C1060" s="16" t="str">
        <f>IFERROR(VLOOKUP(DATA!#REF!,DATA!#REF!,1,FALSE),"")</f>
        <v/>
      </c>
      <c r="D1060" s="16" t="str">
        <f>IFERROR(VLOOKUP(C1060,DATA!#REF!,2,FALSE),"")</f>
        <v/>
      </c>
    </row>
    <row r="1061" spans="2:4" s="237" customFormat="1">
      <c r="B1061" s="15" t="str">
        <f t="shared" si="54"/>
        <v/>
      </c>
      <c r="C1061" s="16" t="str">
        <f>IFERROR(VLOOKUP(DATA!#REF!,DATA!#REF!,1,FALSE),"")</f>
        <v/>
      </c>
      <c r="D1061" s="16" t="str">
        <f>IFERROR(VLOOKUP(C1061,DATA!#REF!,2,FALSE),"")</f>
        <v/>
      </c>
    </row>
    <row r="1062" spans="2:4" s="237" customFormat="1">
      <c r="B1062" s="15" t="str">
        <f t="shared" si="54"/>
        <v/>
      </c>
      <c r="C1062" s="16" t="str">
        <f>IFERROR(VLOOKUP(DATA!#REF!,DATA!#REF!,1,FALSE),"")</f>
        <v/>
      </c>
      <c r="D1062" s="16" t="str">
        <f>IFERROR(VLOOKUP(C1062,DATA!#REF!,2,FALSE),"")</f>
        <v/>
      </c>
    </row>
    <row r="1063" spans="2:4" s="237" customFormat="1">
      <c r="B1063" s="15" t="str">
        <f t="shared" si="54"/>
        <v/>
      </c>
      <c r="C1063" s="16" t="str">
        <f>IFERROR(VLOOKUP(DATA!#REF!,DATA!#REF!,1,FALSE),"")</f>
        <v/>
      </c>
      <c r="D1063" s="16" t="str">
        <f>IFERROR(VLOOKUP(C1063,DATA!#REF!,2,FALSE),"")</f>
        <v/>
      </c>
    </row>
    <row r="1064" spans="2:4" s="237" customFormat="1">
      <c r="B1064" s="15" t="str">
        <f t="shared" si="54"/>
        <v/>
      </c>
      <c r="C1064" s="16" t="str">
        <f>IFERROR(VLOOKUP(DATA!#REF!,DATA!#REF!,1,FALSE),"")</f>
        <v/>
      </c>
      <c r="D1064" s="16" t="str">
        <f>IFERROR(VLOOKUP(C1064,DATA!#REF!,2,FALSE),"")</f>
        <v/>
      </c>
    </row>
    <row r="1065" spans="2:4" s="237" customFormat="1">
      <c r="B1065" s="15" t="str">
        <f t="shared" si="54"/>
        <v/>
      </c>
      <c r="C1065" s="16" t="str">
        <f>IFERROR(VLOOKUP(DATA!#REF!,DATA!#REF!,1,FALSE),"")</f>
        <v/>
      </c>
      <c r="D1065" s="16" t="str">
        <f>IFERROR(VLOOKUP(C1065,DATA!#REF!,2,FALSE),"")</f>
        <v/>
      </c>
    </row>
    <row r="1066" spans="2:4" s="237" customFormat="1">
      <c r="B1066" s="15" t="str">
        <f t="shared" si="54"/>
        <v/>
      </c>
      <c r="C1066" s="16" t="str">
        <f>IFERROR(VLOOKUP(DATA!#REF!,DATA!#REF!,1,FALSE),"")</f>
        <v/>
      </c>
      <c r="D1066" s="16" t="str">
        <f>IFERROR(VLOOKUP(C1066,DATA!#REF!,2,FALSE),"")</f>
        <v/>
      </c>
    </row>
    <row r="1067" spans="2:4" s="237" customFormat="1">
      <c r="B1067" s="15" t="str">
        <f t="shared" si="54"/>
        <v/>
      </c>
      <c r="C1067" s="16" t="str">
        <f>IFERROR(VLOOKUP(DATA!#REF!,DATA!#REF!,1,FALSE),"")</f>
        <v/>
      </c>
      <c r="D1067" s="16" t="str">
        <f>IFERROR(VLOOKUP(C1067,DATA!#REF!,2,FALSE),"")</f>
        <v/>
      </c>
    </row>
    <row r="1068" spans="2:4" s="237" customFormat="1">
      <c r="B1068" s="15" t="str">
        <f t="shared" si="54"/>
        <v/>
      </c>
      <c r="C1068" s="16" t="str">
        <f>IFERROR(VLOOKUP(DATA!#REF!,DATA!#REF!,1,FALSE),"")</f>
        <v/>
      </c>
      <c r="D1068" s="16" t="str">
        <f>IFERROR(VLOOKUP(C1068,DATA!#REF!,2,FALSE),"")</f>
        <v/>
      </c>
    </row>
    <row r="1069" spans="2:4" s="237" customFormat="1">
      <c r="B1069" s="15" t="str">
        <f t="shared" si="54"/>
        <v/>
      </c>
      <c r="C1069" s="16" t="str">
        <f>IFERROR(VLOOKUP(DATA!#REF!,DATA!#REF!,1,FALSE),"")</f>
        <v/>
      </c>
      <c r="D1069" s="16" t="str">
        <f>IFERROR(VLOOKUP(C1069,DATA!#REF!,2,FALSE),"")</f>
        <v/>
      </c>
    </row>
    <row r="1070" spans="2:4" s="237" customFormat="1">
      <c r="B1070" s="15" t="str">
        <f t="shared" si="54"/>
        <v/>
      </c>
      <c r="C1070" s="16" t="str">
        <f>IFERROR(VLOOKUP(DATA!#REF!,DATA!#REF!,1,FALSE),"")</f>
        <v/>
      </c>
      <c r="D1070" s="16" t="str">
        <f>IFERROR(VLOOKUP(C1070,DATA!#REF!,2,FALSE),"")</f>
        <v/>
      </c>
    </row>
    <row r="1071" spans="2:4" s="237" customFormat="1">
      <c r="B1071" s="15" t="str">
        <f t="shared" si="54"/>
        <v/>
      </c>
      <c r="C1071" s="16" t="str">
        <f>IFERROR(VLOOKUP(DATA!#REF!,DATA!#REF!,1,FALSE),"")</f>
        <v/>
      </c>
      <c r="D1071" s="16" t="str">
        <f>IFERROR(VLOOKUP(C1071,DATA!#REF!,2,FALSE),"")</f>
        <v/>
      </c>
    </row>
    <row r="1072" spans="2:4" s="237" customFormat="1">
      <c r="B1072" s="15" t="str">
        <f t="shared" si="54"/>
        <v/>
      </c>
      <c r="C1072" s="16" t="str">
        <f>IFERROR(VLOOKUP(DATA!#REF!,DATA!#REF!,1,FALSE),"")</f>
        <v/>
      </c>
      <c r="D1072" s="16" t="str">
        <f>IFERROR(VLOOKUP(C1072,DATA!#REF!,2,FALSE),"")</f>
        <v/>
      </c>
    </row>
    <row r="1073" spans="2:4" s="237" customFormat="1">
      <c r="B1073" s="15" t="str">
        <f t="shared" si="54"/>
        <v/>
      </c>
      <c r="C1073" s="16" t="str">
        <f>IFERROR(VLOOKUP(DATA!#REF!,DATA!#REF!,1,FALSE),"")</f>
        <v/>
      </c>
      <c r="D1073" s="16" t="str">
        <f>IFERROR(VLOOKUP(C1073,DATA!#REF!,2,FALSE),"")</f>
        <v/>
      </c>
    </row>
    <row r="1074" spans="2:4" s="237" customFormat="1">
      <c r="B1074" s="15" t="str">
        <f t="shared" si="54"/>
        <v/>
      </c>
      <c r="C1074" s="16" t="str">
        <f>IFERROR(VLOOKUP(DATA!#REF!,DATA!#REF!,1,FALSE),"")</f>
        <v/>
      </c>
      <c r="D1074" s="16" t="str">
        <f>IFERROR(VLOOKUP(C1074,DATA!#REF!,2,FALSE),"")</f>
        <v/>
      </c>
    </row>
    <row r="1075" spans="2:4" s="237" customFormat="1">
      <c r="B1075" s="15" t="str">
        <f t="shared" si="54"/>
        <v/>
      </c>
      <c r="C1075" s="16" t="str">
        <f>IFERROR(VLOOKUP(DATA!#REF!,DATA!#REF!,1,FALSE),"")</f>
        <v/>
      </c>
      <c r="D1075" s="16" t="str">
        <f>IFERROR(VLOOKUP(C1075,DATA!#REF!,2,FALSE),"")</f>
        <v/>
      </c>
    </row>
    <row r="1076" spans="2:4" s="237" customFormat="1">
      <c r="B1076" s="15" t="str">
        <f t="shared" si="54"/>
        <v/>
      </c>
      <c r="C1076" s="16" t="str">
        <f>IFERROR(VLOOKUP(DATA!#REF!,DATA!#REF!,1,FALSE),"")</f>
        <v/>
      </c>
      <c r="D1076" s="16" t="str">
        <f>IFERROR(VLOOKUP(C1076,DATA!#REF!,2,FALSE),"")</f>
        <v/>
      </c>
    </row>
    <row r="1077" spans="2:4" s="237" customFormat="1">
      <c r="B1077" s="15" t="str">
        <f t="shared" si="54"/>
        <v/>
      </c>
      <c r="C1077" s="16" t="str">
        <f>IFERROR(VLOOKUP(DATA!#REF!,DATA!#REF!,1,FALSE),"")</f>
        <v/>
      </c>
      <c r="D1077" s="16" t="str">
        <f>IFERROR(VLOOKUP(C1077,DATA!#REF!,2,FALSE),"")</f>
        <v/>
      </c>
    </row>
    <row r="1078" spans="2:4" s="237" customFormat="1">
      <c r="B1078" s="15" t="str">
        <f t="shared" si="54"/>
        <v/>
      </c>
      <c r="C1078" s="16" t="str">
        <f>IFERROR(VLOOKUP(DATA!#REF!,DATA!#REF!,1,FALSE),"")</f>
        <v/>
      </c>
      <c r="D1078" s="16" t="str">
        <f>IFERROR(VLOOKUP(C1078,DATA!#REF!,2,FALSE),"")</f>
        <v/>
      </c>
    </row>
    <row r="1079" spans="2:4" s="237" customFormat="1">
      <c r="B1079" s="15" t="str">
        <f t="shared" si="54"/>
        <v/>
      </c>
      <c r="C1079" s="16" t="str">
        <f>IFERROR(VLOOKUP(DATA!#REF!,DATA!#REF!,1,FALSE),"")</f>
        <v/>
      </c>
      <c r="D1079" s="16" t="str">
        <f>IFERROR(VLOOKUP(C1079,DATA!#REF!,2,FALSE),"")</f>
        <v/>
      </c>
    </row>
    <row r="1080" spans="2:4" s="237" customFormat="1">
      <c r="B1080" s="15" t="str">
        <f t="shared" si="54"/>
        <v/>
      </c>
      <c r="C1080" s="16" t="str">
        <f>IFERROR(VLOOKUP(DATA!#REF!,DATA!#REF!,1,FALSE),"")</f>
        <v/>
      </c>
      <c r="D1080" s="16" t="str">
        <f>IFERROR(VLOOKUP(C1080,DATA!#REF!,2,FALSE),"")</f>
        <v/>
      </c>
    </row>
    <row r="1081" spans="2:4" s="237" customFormat="1">
      <c r="B1081" s="15" t="str">
        <f t="shared" si="54"/>
        <v/>
      </c>
      <c r="C1081" s="16" t="str">
        <f>IFERROR(VLOOKUP(DATA!#REF!,DATA!#REF!,1,FALSE),"")</f>
        <v/>
      </c>
      <c r="D1081" s="16" t="str">
        <f>IFERROR(VLOOKUP(C1081,DATA!#REF!,2,FALSE),"")</f>
        <v/>
      </c>
    </row>
    <row r="1082" spans="2:4" s="237" customFormat="1">
      <c r="B1082" s="15" t="str">
        <f t="shared" si="54"/>
        <v/>
      </c>
      <c r="C1082" s="16" t="str">
        <f>IFERROR(VLOOKUP(DATA!#REF!,DATA!#REF!,1,FALSE),"")</f>
        <v/>
      </c>
      <c r="D1082" s="16" t="str">
        <f>IFERROR(VLOOKUP(C1082,DATA!#REF!,2,FALSE),"")</f>
        <v/>
      </c>
    </row>
    <row r="1083" spans="2:4" s="237" customFormat="1">
      <c r="B1083" s="15" t="str">
        <f t="shared" si="54"/>
        <v/>
      </c>
      <c r="C1083" s="16" t="str">
        <f>IFERROR(VLOOKUP(DATA!#REF!,DATA!#REF!,1,FALSE),"")</f>
        <v/>
      </c>
      <c r="D1083" s="16" t="str">
        <f>IFERROR(VLOOKUP(C1083,DATA!#REF!,2,FALSE),"")</f>
        <v/>
      </c>
    </row>
    <row r="1084" spans="2:4" s="237" customFormat="1">
      <c r="B1084" s="15" t="str">
        <f t="shared" si="54"/>
        <v/>
      </c>
      <c r="C1084" s="16" t="str">
        <f>IFERROR(VLOOKUP(DATA!#REF!,DATA!#REF!,1,FALSE),"")</f>
        <v/>
      </c>
      <c r="D1084" s="16" t="str">
        <f>IFERROR(VLOOKUP(C1084,DATA!#REF!,2,FALSE),"")</f>
        <v/>
      </c>
    </row>
    <row r="1085" spans="2:4" s="237" customFormat="1">
      <c r="B1085" s="15" t="str">
        <f t="shared" si="54"/>
        <v/>
      </c>
      <c r="C1085" s="16" t="str">
        <f>IFERROR(VLOOKUP(DATA!#REF!,DATA!#REF!,1,FALSE),"")</f>
        <v/>
      </c>
      <c r="D1085" s="16" t="str">
        <f>IFERROR(VLOOKUP(C1085,DATA!#REF!,2,FALSE),"")</f>
        <v/>
      </c>
    </row>
    <row r="1086" spans="2:4" s="237" customFormat="1">
      <c r="B1086" s="15" t="str">
        <f t="shared" si="54"/>
        <v/>
      </c>
      <c r="C1086" s="16" t="str">
        <f>IFERROR(VLOOKUP(DATA!#REF!,DATA!#REF!,1,FALSE),"")</f>
        <v/>
      </c>
      <c r="D1086" s="16" t="str">
        <f>IFERROR(VLOOKUP(C1086,DATA!#REF!,2,FALSE),"")</f>
        <v/>
      </c>
    </row>
    <row r="1087" spans="2:4" s="237" customFormat="1">
      <c r="B1087" s="15" t="str">
        <f t="shared" si="54"/>
        <v/>
      </c>
      <c r="C1087" s="16" t="str">
        <f>IFERROR(VLOOKUP(DATA!#REF!,DATA!#REF!,1,FALSE),"")</f>
        <v/>
      </c>
      <c r="D1087" s="16" t="str">
        <f>IFERROR(VLOOKUP(C1087,DATA!#REF!,2,FALSE),"")</f>
        <v/>
      </c>
    </row>
    <row r="1088" spans="2:4" s="237" customFormat="1">
      <c r="B1088" s="15" t="str">
        <f t="shared" si="54"/>
        <v/>
      </c>
      <c r="C1088" s="16" t="str">
        <f>IFERROR(VLOOKUP(DATA!#REF!,DATA!#REF!,1,FALSE),"")</f>
        <v/>
      </c>
      <c r="D1088" s="16" t="str">
        <f>IFERROR(VLOOKUP(C1088,DATA!#REF!,2,FALSE),"")</f>
        <v/>
      </c>
    </row>
    <row r="1089" spans="2:4" s="237" customFormat="1">
      <c r="B1089" s="15" t="str">
        <f t="shared" si="54"/>
        <v/>
      </c>
      <c r="C1089" s="16" t="str">
        <f>IFERROR(VLOOKUP(DATA!#REF!,DATA!#REF!,1,FALSE),"")</f>
        <v/>
      </c>
      <c r="D1089" s="16" t="str">
        <f>IFERROR(VLOOKUP(C1089,DATA!#REF!,2,FALSE),"")</f>
        <v/>
      </c>
    </row>
    <row r="1090" spans="2:4" s="237" customFormat="1">
      <c r="B1090" s="15" t="str">
        <f t="shared" si="54"/>
        <v/>
      </c>
      <c r="C1090" s="16" t="str">
        <f>IFERROR(VLOOKUP(DATA!#REF!,DATA!#REF!,1,FALSE),"")</f>
        <v/>
      </c>
      <c r="D1090" s="16" t="str">
        <f>IFERROR(VLOOKUP(C1090,DATA!#REF!,2,FALSE),"")</f>
        <v/>
      </c>
    </row>
    <row r="1091" spans="2:4" s="237" customFormat="1">
      <c r="B1091" s="15" t="str">
        <f t="shared" si="54"/>
        <v/>
      </c>
      <c r="C1091" s="16" t="str">
        <f>IFERROR(VLOOKUP(DATA!#REF!,DATA!#REF!,1,FALSE),"")</f>
        <v/>
      </c>
      <c r="D1091" s="16" t="str">
        <f>IFERROR(VLOOKUP(C1091,DATA!#REF!,2,FALSE),"")</f>
        <v/>
      </c>
    </row>
    <row r="1092" spans="2:4" s="237" customFormat="1">
      <c r="B1092" s="15" t="str">
        <f t="shared" si="54"/>
        <v/>
      </c>
      <c r="C1092" s="16" t="str">
        <f>IFERROR(VLOOKUP(DATA!#REF!,DATA!#REF!,1,FALSE),"")</f>
        <v/>
      </c>
      <c r="D1092" s="16" t="str">
        <f>IFERROR(VLOOKUP(C1092,DATA!#REF!,2,FALSE),"")</f>
        <v/>
      </c>
    </row>
    <row r="1093" spans="2:4" s="237" customFormat="1">
      <c r="B1093" s="15" t="str">
        <f t="shared" si="54"/>
        <v/>
      </c>
      <c r="C1093" s="16" t="str">
        <f>IFERROR(VLOOKUP(DATA!#REF!,DATA!#REF!,1,FALSE),"")</f>
        <v/>
      </c>
      <c r="D1093" s="16" t="str">
        <f>IFERROR(VLOOKUP(C1093,DATA!#REF!,2,FALSE),"")</f>
        <v/>
      </c>
    </row>
    <row r="1094" spans="2:4" s="237" customFormat="1">
      <c r="B1094" s="15" t="str">
        <f t="shared" ref="B1094:B1157" si="55">+IF(C1094="","",ROW()-5)</f>
        <v/>
      </c>
      <c r="C1094" s="16" t="str">
        <f>IFERROR(VLOOKUP(DATA!#REF!,DATA!#REF!,1,FALSE),"")</f>
        <v/>
      </c>
      <c r="D1094" s="16" t="str">
        <f>IFERROR(VLOOKUP(C1094,DATA!#REF!,2,FALSE),"")</f>
        <v/>
      </c>
    </row>
    <row r="1095" spans="2:4" s="237" customFormat="1">
      <c r="B1095" s="15" t="str">
        <f t="shared" si="55"/>
        <v/>
      </c>
      <c r="C1095" s="16" t="str">
        <f>IFERROR(VLOOKUP(DATA!#REF!,DATA!#REF!,1,FALSE),"")</f>
        <v/>
      </c>
      <c r="D1095" s="16" t="str">
        <f>IFERROR(VLOOKUP(C1095,DATA!#REF!,2,FALSE),"")</f>
        <v/>
      </c>
    </row>
    <row r="1096" spans="2:4" s="237" customFormat="1">
      <c r="B1096" s="15" t="str">
        <f t="shared" si="55"/>
        <v/>
      </c>
      <c r="C1096" s="16" t="str">
        <f>IFERROR(VLOOKUP(DATA!#REF!,DATA!#REF!,1,FALSE),"")</f>
        <v/>
      </c>
      <c r="D1096" s="16" t="str">
        <f>IFERROR(VLOOKUP(C1096,DATA!#REF!,2,FALSE),"")</f>
        <v/>
      </c>
    </row>
    <row r="1097" spans="2:4" s="237" customFormat="1">
      <c r="B1097" s="15" t="str">
        <f t="shared" si="55"/>
        <v/>
      </c>
      <c r="C1097" s="16" t="str">
        <f>IFERROR(VLOOKUP(DATA!#REF!,DATA!#REF!,1,FALSE),"")</f>
        <v/>
      </c>
      <c r="D1097" s="16" t="str">
        <f>IFERROR(VLOOKUP(C1097,DATA!#REF!,2,FALSE),"")</f>
        <v/>
      </c>
    </row>
    <row r="1098" spans="2:4" s="237" customFormat="1">
      <c r="B1098" s="15" t="str">
        <f t="shared" si="55"/>
        <v/>
      </c>
      <c r="C1098" s="16" t="str">
        <f>IFERROR(VLOOKUP(DATA!#REF!,DATA!#REF!,1,FALSE),"")</f>
        <v/>
      </c>
      <c r="D1098" s="16" t="str">
        <f>IFERROR(VLOOKUP(C1098,DATA!#REF!,2,FALSE),"")</f>
        <v/>
      </c>
    </row>
    <row r="1099" spans="2:4" s="237" customFormat="1">
      <c r="B1099" s="15" t="str">
        <f t="shared" si="55"/>
        <v/>
      </c>
      <c r="C1099" s="16" t="str">
        <f>IFERROR(VLOOKUP(DATA!#REF!,DATA!#REF!,1,FALSE),"")</f>
        <v/>
      </c>
      <c r="D1099" s="16" t="str">
        <f>IFERROR(VLOOKUP(C1099,DATA!#REF!,2,FALSE),"")</f>
        <v/>
      </c>
    </row>
    <row r="1100" spans="2:4" s="237" customFormat="1">
      <c r="B1100" s="15" t="str">
        <f t="shared" si="55"/>
        <v/>
      </c>
      <c r="C1100" s="16" t="str">
        <f>IFERROR(VLOOKUP(DATA!#REF!,DATA!#REF!,1,FALSE),"")</f>
        <v/>
      </c>
      <c r="D1100" s="16" t="str">
        <f>IFERROR(VLOOKUP(C1100,DATA!#REF!,2,FALSE),"")</f>
        <v/>
      </c>
    </row>
    <row r="1101" spans="2:4" s="237" customFormat="1">
      <c r="B1101" s="15" t="str">
        <f t="shared" si="55"/>
        <v/>
      </c>
      <c r="C1101" s="16" t="str">
        <f>IFERROR(VLOOKUP(DATA!#REF!,DATA!#REF!,1,FALSE),"")</f>
        <v/>
      </c>
      <c r="D1101" s="16" t="str">
        <f>IFERROR(VLOOKUP(C1101,DATA!#REF!,2,FALSE),"")</f>
        <v/>
      </c>
    </row>
    <row r="1102" spans="2:4" s="237" customFormat="1">
      <c r="B1102" s="15" t="str">
        <f t="shared" si="55"/>
        <v/>
      </c>
      <c r="C1102" s="16" t="str">
        <f>IFERROR(VLOOKUP(DATA!#REF!,DATA!#REF!,1,FALSE),"")</f>
        <v/>
      </c>
      <c r="D1102" s="16" t="str">
        <f>IFERROR(VLOOKUP(C1102,DATA!#REF!,2,FALSE),"")</f>
        <v/>
      </c>
    </row>
    <row r="1103" spans="2:4" s="237" customFormat="1">
      <c r="B1103" s="15" t="str">
        <f t="shared" si="55"/>
        <v/>
      </c>
      <c r="C1103" s="16" t="str">
        <f>IFERROR(VLOOKUP(DATA!#REF!,DATA!#REF!,1,FALSE),"")</f>
        <v/>
      </c>
      <c r="D1103" s="16" t="str">
        <f>IFERROR(VLOOKUP(C1103,DATA!#REF!,2,FALSE),"")</f>
        <v/>
      </c>
    </row>
    <row r="1104" spans="2:4" s="237" customFormat="1">
      <c r="B1104" s="15" t="str">
        <f t="shared" si="55"/>
        <v/>
      </c>
      <c r="C1104" s="16" t="str">
        <f>IFERROR(VLOOKUP(DATA!#REF!,DATA!#REF!,1,FALSE),"")</f>
        <v/>
      </c>
      <c r="D1104" s="16" t="str">
        <f>IFERROR(VLOOKUP(C1104,DATA!#REF!,2,FALSE),"")</f>
        <v/>
      </c>
    </row>
    <row r="1105" spans="2:4" s="237" customFormat="1">
      <c r="B1105" s="15" t="str">
        <f t="shared" si="55"/>
        <v/>
      </c>
      <c r="C1105" s="16" t="str">
        <f>IFERROR(VLOOKUP(DATA!#REF!,DATA!#REF!,1,FALSE),"")</f>
        <v/>
      </c>
      <c r="D1105" s="16" t="str">
        <f>IFERROR(VLOOKUP(C1105,DATA!#REF!,2,FALSE),"")</f>
        <v/>
      </c>
    </row>
    <row r="1106" spans="2:4" s="237" customFormat="1">
      <c r="B1106" s="15" t="str">
        <f t="shared" si="55"/>
        <v/>
      </c>
      <c r="C1106" s="16" t="str">
        <f>IFERROR(VLOOKUP(DATA!#REF!,DATA!#REF!,1,FALSE),"")</f>
        <v/>
      </c>
      <c r="D1106" s="16" t="str">
        <f>IFERROR(VLOOKUP(C1106,DATA!#REF!,2,FALSE),"")</f>
        <v/>
      </c>
    </row>
    <row r="1107" spans="2:4" s="237" customFormat="1">
      <c r="B1107" s="15" t="str">
        <f t="shared" si="55"/>
        <v/>
      </c>
      <c r="C1107" s="16" t="str">
        <f>IFERROR(VLOOKUP(DATA!#REF!,DATA!#REF!,1,FALSE),"")</f>
        <v/>
      </c>
      <c r="D1107" s="16" t="str">
        <f>IFERROR(VLOOKUP(C1107,DATA!#REF!,2,FALSE),"")</f>
        <v/>
      </c>
    </row>
    <row r="1108" spans="2:4" s="237" customFormat="1">
      <c r="B1108" s="15" t="str">
        <f t="shared" si="55"/>
        <v/>
      </c>
      <c r="C1108" s="16" t="str">
        <f>IFERROR(VLOOKUP(DATA!#REF!,DATA!#REF!,1,FALSE),"")</f>
        <v/>
      </c>
      <c r="D1108" s="16" t="str">
        <f>IFERROR(VLOOKUP(C1108,DATA!#REF!,2,FALSE),"")</f>
        <v/>
      </c>
    </row>
    <row r="1109" spans="2:4" s="237" customFormat="1">
      <c r="B1109" s="15" t="str">
        <f t="shared" si="55"/>
        <v/>
      </c>
      <c r="C1109" s="16" t="str">
        <f>IFERROR(VLOOKUP(DATA!#REF!,DATA!#REF!,1,FALSE),"")</f>
        <v/>
      </c>
      <c r="D1109" s="16" t="str">
        <f>IFERROR(VLOOKUP(C1109,DATA!#REF!,2,FALSE),"")</f>
        <v/>
      </c>
    </row>
    <row r="1110" spans="2:4" s="237" customFormat="1">
      <c r="B1110" s="15" t="str">
        <f t="shared" si="55"/>
        <v/>
      </c>
      <c r="C1110" s="16" t="str">
        <f>IFERROR(VLOOKUP(DATA!#REF!,DATA!#REF!,1,FALSE),"")</f>
        <v/>
      </c>
      <c r="D1110" s="16" t="str">
        <f>IFERROR(VLOOKUP(C1110,DATA!#REF!,2,FALSE),"")</f>
        <v/>
      </c>
    </row>
    <row r="1111" spans="2:4" s="237" customFormat="1">
      <c r="B1111" s="15" t="str">
        <f t="shared" si="55"/>
        <v/>
      </c>
      <c r="C1111" s="16" t="str">
        <f>IFERROR(VLOOKUP(DATA!#REF!,DATA!#REF!,1,FALSE),"")</f>
        <v/>
      </c>
      <c r="D1111" s="16" t="str">
        <f>IFERROR(VLOOKUP(C1111,DATA!#REF!,2,FALSE),"")</f>
        <v/>
      </c>
    </row>
    <row r="1112" spans="2:4" s="237" customFormat="1">
      <c r="B1112" s="15" t="str">
        <f t="shared" si="55"/>
        <v/>
      </c>
      <c r="C1112" s="16" t="str">
        <f>IFERROR(VLOOKUP(DATA!#REF!,DATA!#REF!,1,FALSE),"")</f>
        <v/>
      </c>
      <c r="D1112" s="16" t="str">
        <f>IFERROR(VLOOKUP(C1112,DATA!#REF!,2,FALSE),"")</f>
        <v/>
      </c>
    </row>
    <row r="1113" spans="2:4" s="237" customFormat="1">
      <c r="B1113" s="15" t="str">
        <f t="shared" si="55"/>
        <v/>
      </c>
      <c r="C1113" s="16" t="str">
        <f>IFERROR(VLOOKUP(DATA!#REF!,DATA!#REF!,1,FALSE),"")</f>
        <v/>
      </c>
      <c r="D1113" s="16" t="str">
        <f>IFERROR(VLOOKUP(C1113,DATA!#REF!,2,FALSE),"")</f>
        <v/>
      </c>
    </row>
    <row r="1114" spans="2:4" s="237" customFormat="1">
      <c r="B1114" s="15" t="str">
        <f t="shared" si="55"/>
        <v/>
      </c>
      <c r="C1114" s="16" t="str">
        <f>IFERROR(VLOOKUP(DATA!#REF!,DATA!#REF!,1,FALSE),"")</f>
        <v/>
      </c>
      <c r="D1114" s="16" t="str">
        <f>IFERROR(VLOOKUP(C1114,DATA!#REF!,2,FALSE),"")</f>
        <v/>
      </c>
    </row>
    <row r="1115" spans="2:4" s="237" customFormat="1">
      <c r="B1115" s="15" t="str">
        <f t="shared" si="55"/>
        <v/>
      </c>
      <c r="C1115" s="16" t="str">
        <f>IFERROR(VLOOKUP(DATA!#REF!,DATA!#REF!,1,FALSE),"")</f>
        <v/>
      </c>
      <c r="D1115" s="16" t="str">
        <f>IFERROR(VLOOKUP(C1115,DATA!#REF!,2,FALSE),"")</f>
        <v/>
      </c>
    </row>
    <row r="1116" spans="2:4" s="237" customFormat="1">
      <c r="B1116" s="15" t="str">
        <f t="shared" si="55"/>
        <v/>
      </c>
      <c r="C1116" s="16" t="str">
        <f>IFERROR(VLOOKUP(DATA!#REF!,DATA!#REF!,1,FALSE),"")</f>
        <v/>
      </c>
      <c r="D1116" s="16" t="str">
        <f>IFERROR(VLOOKUP(C1116,DATA!#REF!,2,FALSE),"")</f>
        <v/>
      </c>
    </row>
    <row r="1117" spans="2:4" s="237" customFormat="1">
      <c r="B1117" s="15" t="str">
        <f t="shared" si="55"/>
        <v/>
      </c>
      <c r="C1117" s="16" t="str">
        <f>IFERROR(VLOOKUP(DATA!#REF!,DATA!#REF!,1,FALSE),"")</f>
        <v/>
      </c>
      <c r="D1117" s="16" t="str">
        <f>IFERROR(VLOOKUP(C1117,DATA!#REF!,2,FALSE),"")</f>
        <v/>
      </c>
    </row>
    <row r="1118" spans="2:4" s="237" customFormat="1">
      <c r="B1118" s="15" t="str">
        <f t="shared" si="55"/>
        <v/>
      </c>
      <c r="C1118" s="16" t="str">
        <f>IFERROR(VLOOKUP(DATA!#REF!,DATA!#REF!,1,FALSE),"")</f>
        <v/>
      </c>
      <c r="D1118" s="16" t="str">
        <f>IFERROR(VLOOKUP(C1118,DATA!#REF!,2,FALSE),"")</f>
        <v/>
      </c>
    </row>
    <row r="1119" spans="2:4" s="237" customFormat="1">
      <c r="B1119" s="15" t="str">
        <f t="shared" si="55"/>
        <v/>
      </c>
      <c r="C1119" s="16" t="str">
        <f>IFERROR(VLOOKUP(DATA!#REF!,DATA!#REF!,1,FALSE),"")</f>
        <v/>
      </c>
      <c r="D1119" s="16" t="str">
        <f>IFERROR(VLOOKUP(C1119,DATA!#REF!,2,FALSE),"")</f>
        <v/>
      </c>
    </row>
    <row r="1120" spans="2:4" s="237" customFormat="1">
      <c r="B1120" s="15" t="str">
        <f t="shared" si="55"/>
        <v/>
      </c>
      <c r="C1120" s="16" t="str">
        <f>IFERROR(VLOOKUP(DATA!#REF!,DATA!#REF!,1,FALSE),"")</f>
        <v/>
      </c>
      <c r="D1120" s="16" t="str">
        <f>IFERROR(VLOOKUP(C1120,DATA!#REF!,2,FALSE),"")</f>
        <v/>
      </c>
    </row>
    <row r="1121" spans="2:4" s="237" customFormat="1">
      <c r="B1121" s="15" t="str">
        <f t="shared" si="55"/>
        <v/>
      </c>
      <c r="C1121" s="16" t="str">
        <f>IFERROR(VLOOKUP(DATA!#REF!,DATA!#REF!,1,FALSE),"")</f>
        <v/>
      </c>
      <c r="D1121" s="16" t="str">
        <f>IFERROR(VLOOKUP(C1121,DATA!#REF!,2,FALSE),"")</f>
        <v/>
      </c>
    </row>
    <row r="1122" spans="2:4" s="237" customFormat="1">
      <c r="B1122" s="15" t="str">
        <f t="shared" si="55"/>
        <v/>
      </c>
      <c r="C1122" s="16" t="str">
        <f>IFERROR(VLOOKUP(DATA!#REF!,DATA!#REF!,1,FALSE),"")</f>
        <v/>
      </c>
      <c r="D1122" s="16" t="str">
        <f>IFERROR(VLOOKUP(C1122,DATA!#REF!,2,FALSE),"")</f>
        <v/>
      </c>
    </row>
    <row r="1123" spans="2:4" s="237" customFormat="1">
      <c r="B1123" s="15" t="str">
        <f t="shared" si="55"/>
        <v/>
      </c>
      <c r="C1123" s="16" t="str">
        <f>IFERROR(VLOOKUP(DATA!#REF!,DATA!#REF!,1,FALSE),"")</f>
        <v/>
      </c>
      <c r="D1123" s="16" t="str">
        <f>IFERROR(VLOOKUP(C1123,DATA!#REF!,2,FALSE),"")</f>
        <v/>
      </c>
    </row>
    <row r="1124" spans="2:4" s="237" customFormat="1">
      <c r="B1124" s="15" t="str">
        <f t="shared" si="55"/>
        <v/>
      </c>
      <c r="C1124" s="16" t="str">
        <f>IFERROR(VLOOKUP(DATA!#REF!,DATA!#REF!,1,FALSE),"")</f>
        <v/>
      </c>
      <c r="D1124" s="16" t="str">
        <f>IFERROR(VLOOKUP(C1124,DATA!#REF!,2,FALSE),"")</f>
        <v/>
      </c>
    </row>
    <row r="1125" spans="2:4" s="237" customFormat="1">
      <c r="B1125" s="15" t="str">
        <f t="shared" si="55"/>
        <v/>
      </c>
      <c r="C1125" s="16" t="str">
        <f>IFERROR(VLOOKUP(DATA!#REF!,DATA!#REF!,1,FALSE),"")</f>
        <v/>
      </c>
      <c r="D1125" s="16" t="str">
        <f>IFERROR(VLOOKUP(C1125,DATA!#REF!,2,FALSE),"")</f>
        <v/>
      </c>
    </row>
    <row r="1126" spans="2:4" s="237" customFormat="1">
      <c r="B1126" s="15" t="str">
        <f t="shared" si="55"/>
        <v/>
      </c>
      <c r="C1126" s="16" t="str">
        <f>IFERROR(VLOOKUP(DATA!#REF!,DATA!#REF!,1,FALSE),"")</f>
        <v/>
      </c>
      <c r="D1126" s="16" t="str">
        <f>IFERROR(VLOOKUP(C1126,DATA!#REF!,2,FALSE),"")</f>
        <v/>
      </c>
    </row>
    <row r="1127" spans="2:4" s="237" customFormat="1">
      <c r="B1127" s="15" t="str">
        <f t="shared" si="55"/>
        <v/>
      </c>
      <c r="C1127" s="16" t="str">
        <f>IFERROR(VLOOKUP(DATA!#REF!,DATA!#REF!,1,FALSE),"")</f>
        <v/>
      </c>
      <c r="D1127" s="16" t="str">
        <f>IFERROR(VLOOKUP(C1127,DATA!#REF!,2,FALSE),"")</f>
        <v/>
      </c>
    </row>
    <row r="1128" spans="2:4" s="237" customFormat="1">
      <c r="B1128" s="15" t="str">
        <f t="shared" si="55"/>
        <v/>
      </c>
      <c r="C1128" s="16" t="str">
        <f>IFERROR(VLOOKUP(DATA!#REF!,DATA!#REF!,1,FALSE),"")</f>
        <v/>
      </c>
      <c r="D1128" s="16" t="str">
        <f>IFERROR(VLOOKUP(C1128,DATA!#REF!,2,FALSE),"")</f>
        <v/>
      </c>
    </row>
    <row r="1129" spans="2:4" s="237" customFormat="1">
      <c r="B1129" s="15" t="str">
        <f t="shared" si="55"/>
        <v/>
      </c>
      <c r="C1129" s="16" t="str">
        <f>IFERROR(VLOOKUP(DATA!#REF!,DATA!#REF!,1,FALSE),"")</f>
        <v/>
      </c>
      <c r="D1129" s="16" t="str">
        <f>IFERROR(VLOOKUP(C1129,DATA!#REF!,2,FALSE),"")</f>
        <v/>
      </c>
    </row>
    <row r="1130" spans="2:4" s="237" customFormat="1">
      <c r="B1130" s="15" t="str">
        <f t="shared" si="55"/>
        <v/>
      </c>
      <c r="C1130" s="16" t="str">
        <f>IFERROR(VLOOKUP(DATA!#REF!,DATA!#REF!,1,FALSE),"")</f>
        <v/>
      </c>
      <c r="D1130" s="16" t="str">
        <f>IFERROR(VLOOKUP(C1130,DATA!#REF!,2,FALSE),"")</f>
        <v/>
      </c>
    </row>
    <row r="1131" spans="2:4" s="237" customFormat="1">
      <c r="B1131" s="15" t="str">
        <f t="shared" si="55"/>
        <v/>
      </c>
      <c r="C1131" s="16" t="str">
        <f>IFERROR(VLOOKUP(DATA!#REF!,DATA!#REF!,1,FALSE),"")</f>
        <v/>
      </c>
      <c r="D1131" s="16" t="str">
        <f>IFERROR(VLOOKUP(C1131,DATA!#REF!,2,FALSE),"")</f>
        <v/>
      </c>
    </row>
    <row r="1132" spans="2:4" s="237" customFormat="1">
      <c r="B1132" s="15" t="str">
        <f t="shared" si="55"/>
        <v/>
      </c>
      <c r="C1132" s="16" t="str">
        <f>IFERROR(VLOOKUP(DATA!#REF!,DATA!#REF!,1,FALSE),"")</f>
        <v/>
      </c>
      <c r="D1132" s="16" t="str">
        <f>IFERROR(VLOOKUP(C1132,DATA!#REF!,2,FALSE),"")</f>
        <v/>
      </c>
    </row>
    <row r="1133" spans="2:4" s="237" customFormat="1">
      <c r="B1133" s="15" t="str">
        <f t="shared" si="55"/>
        <v/>
      </c>
      <c r="C1133" s="16" t="str">
        <f>IFERROR(VLOOKUP(DATA!#REF!,DATA!#REF!,1,FALSE),"")</f>
        <v/>
      </c>
      <c r="D1133" s="16" t="str">
        <f>IFERROR(VLOOKUP(C1133,DATA!#REF!,2,FALSE),"")</f>
        <v/>
      </c>
    </row>
    <row r="1134" spans="2:4" s="237" customFormat="1">
      <c r="B1134" s="15" t="str">
        <f t="shared" si="55"/>
        <v/>
      </c>
      <c r="C1134" s="16" t="str">
        <f>IFERROR(VLOOKUP(DATA!#REF!,DATA!#REF!,1,FALSE),"")</f>
        <v/>
      </c>
      <c r="D1134" s="16" t="str">
        <f>IFERROR(VLOOKUP(C1134,DATA!#REF!,2,FALSE),"")</f>
        <v/>
      </c>
    </row>
    <row r="1135" spans="2:4" s="237" customFormat="1">
      <c r="B1135" s="15" t="str">
        <f t="shared" si="55"/>
        <v/>
      </c>
      <c r="C1135" s="16" t="str">
        <f>IFERROR(VLOOKUP(DATA!#REF!,DATA!#REF!,1,FALSE),"")</f>
        <v/>
      </c>
      <c r="D1135" s="16" t="str">
        <f>IFERROR(VLOOKUP(C1135,DATA!#REF!,2,FALSE),"")</f>
        <v/>
      </c>
    </row>
    <row r="1136" spans="2:4" s="237" customFormat="1">
      <c r="B1136" s="15" t="str">
        <f t="shared" si="55"/>
        <v/>
      </c>
      <c r="C1136" s="16" t="str">
        <f>IFERROR(VLOOKUP(DATA!#REF!,DATA!#REF!,1,FALSE),"")</f>
        <v/>
      </c>
      <c r="D1136" s="16" t="str">
        <f>IFERROR(VLOOKUP(C1136,DATA!#REF!,2,FALSE),"")</f>
        <v/>
      </c>
    </row>
    <row r="1137" spans="2:4" s="237" customFormat="1">
      <c r="B1137" s="15" t="str">
        <f t="shared" si="55"/>
        <v/>
      </c>
      <c r="C1137" s="16" t="str">
        <f>IFERROR(VLOOKUP(DATA!#REF!,DATA!#REF!,1,FALSE),"")</f>
        <v/>
      </c>
      <c r="D1137" s="16" t="str">
        <f>IFERROR(VLOOKUP(C1137,DATA!#REF!,2,FALSE),"")</f>
        <v/>
      </c>
    </row>
    <row r="1138" spans="2:4" s="237" customFormat="1">
      <c r="B1138" s="15" t="str">
        <f t="shared" si="55"/>
        <v/>
      </c>
      <c r="C1138" s="16" t="str">
        <f>IFERROR(VLOOKUP(DATA!#REF!,DATA!#REF!,1,FALSE),"")</f>
        <v/>
      </c>
      <c r="D1138" s="16" t="str">
        <f>IFERROR(VLOOKUP(C1138,DATA!#REF!,2,FALSE),"")</f>
        <v/>
      </c>
    </row>
    <row r="1139" spans="2:4" s="237" customFormat="1">
      <c r="B1139" s="15" t="str">
        <f t="shared" si="55"/>
        <v/>
      </c>
      <c r="C1139" s="16" t="str">
        <f>IFERROR(VLOOKUP(DATA!#REF!,DATA!#REF!,1,FALSE),"")</f>
        <v/>
      </c>
      <c r="D1139" s="16" t="str">
        <f>IFERROR(VLOOKUP(C1139,DATA!#REF!,2,FALSE),"")</f>
        <v/>
      </c>
    </row>
    <row r="1140" spans="2:4" s="237" customFormat="1">
      <c r="B1140" s="15" t="str">
        <f t="shared" si="55"/>
        <v/>
      </c>
      <c r="C1140" s="16" t="str">
        <f>IFERROR(VLOOKUP(DATA!#REF!,DATA!#REF!,1,FALSE),"")</f>
        <v/>
      </c>
      <c r="D1140" s="16" t="str">
        <f>IFERROR(VLOOKUP(C1140,DATA!#REF!,2,FALSE),"")</f>
        <v/>
      </c>
    </row>
    <row r="1141" spans="2:4" s="237" customFormat="1">
      <c r="B1141" s="15" t="str">
        <f t="shared" si="55"/>
        <v/>
      </c>
      <c r="C1141" s="16" t="str">
        <f>IFERROR(VLOOKUP(DATA!#REF!,DATA!#REF!,1,FALSE),"")</f>
        <v/>
      </c>
      <c r="D1141" s="16" t="str">
        <f>IFERROR(VLOOKUP(C1141,DATA!#REF!,2,FALSE),"")</f>
        <v/>
      </c>
    </row>
    <row r="1142" spans="2:4" s="237" customFormat="1">
      <c r="B1142" s="15" t="str">
        <f t="shared" si="55"/>
        <v/>
      </c>
      <c r="C1142" s="16" t="str">
        <f>IFERROR(VLOOKUP(DATA!#REF!,DATA!#REF!,1,FALSE),"")</f>
        <v/>
      </c>
      <c r="D1142" s="16" t="str">
        <f>IFERROR(VLOOKUP(C1142,DATA!#REF!,2,FALSE),"")</f>
        <v/>
      </c>
    </row>
    <row r="1143" spans="2:4" s="237" customFormat="1">
      <c r="B1143" s="15" t="str">
        <f t="shared" si="55"/>
        <v/>
      </c>
      <c r="C1143" s="16" t="str">
        <f>IFERROR(VLOOKUP(DATA!#REF!,DATA!#REF!,1,FALSE),"")</f>
        <v/>
      </c>
      <c r="D1143" s="16" t="str">
        <f>IFERROR(VLOOKUP(C1143,DATA!#REF!,2,FALSE),"")</f>
        <v/>
      </c>
    </row>
    <row r="1144" spans="2:4" s="237" customFormat="1">
      <c r="B1144" s="15" t="str">
        <f t="shared" si="55"/>
        <v/>
      </c>
      <c r="C1144" s="16" t="str">
        <f>IFERROR(VLOOKUP(DATA!#REF!,DATA!#REF!,1,FALSE),"")</f>
        <v/>
      </c>
      <c r="D1144" s="16" t="str">
        <f>IFERROR(VLOOKUP(C1144,DATA!#REF!,2,FALSE),"")</f>
        <v/>
      </c>
    </row>
    <row r="1145" spans="2:4" s="237" customFormat="1">
      <c r="B1145" s="15" t="str">
        <f t="shared" si="55"/>
        <v/>
      </c>
      <c r="C1145" s="16" t="str">
        <f>IFERROR(VLOOKUP(DATA!#REF!,DATA!#REF!,1,FALSE),"")</f>
        <v/>
      </c>
      <c r="D1145" s="16" t="str">
        <f>IFERROR(VLOOKUP(C1145,DATA!#REF!,2,FALSE),"")</f>
        <v/>
      </c>
    </row>
    <row r="1146" spans="2:4" s="237" customFormat="1">
      <c r="B1146" s="15" t="str">
        <f t="shared" si="55"/>
        <v/>
      </c>
      <c r="C1146" s="16" t="str">
        <f>IFERROR(VLOOKUP(DATA!#REF!,DATA!#REF!,1,FALSE),"")</f>
        <v/>
      </c>
      <c r="D1146" s="16" t="str">
        <f>IFERROR(VLOOKUP(C1146,DATA!#REF!,2,FALSE),"")</f>
        <v/>
      </c>
    </row>
    <row r="1147" spans="2:4" s="237" customFormat="1">
      <c r="B1147" s="15" t="str">
        <f t="shared" si="55"/>
        <v/>
      </c>
      <c r="C1147" s="16" t="str">
        <f>IFERROR(VLOOKUP(DATA!#REF!,DATA!#REF!,1,FALSE),"")</f>
        <v/>
      </c>
      <c r="D1147" s="16" t="str">
        <f>IFERROR(VLOOKUP(C1147,DATA!#REF!,2,FALSE),"")</f>
        <v/>
      </c>
    </row>
    <row r="1148" spans="2:4" s="237" customFormat="1">
      <c r="B1148" s="15" t="str">
        <f t="shared" si="55"/>
        <v/>
      </c>
      <c r="C1148" s="16" t="str">
        <f>IFERROR(VLOOKUP(DATA!#REF!,DATA!#REF!,1,FALSE),"")</f>
        <v/>
      </c>
      <c r="D1148" s="16" t="str">
        <f>IFERROR(VLOOKUP(C1148,DATA!#REF!,2,FALSE),"")</f>
        <v/>
      </c>
    </row>
    <row r="1149" spans="2:4" s="237" customFormat="1">
      <c r="B1149" s="15" t="str">
        <f t="shared" si="55"/>
        <v/>
      </c>
      <c r="C1149" s="16" t="str">
        <f>IFERROR(VLOOKUP(DATA!#REF!,DATA!#REF!,1,FALSE),"")</f>
        <v/>
      </c>
      <c r="D1149" s="16" t="str">
        <f>IFERROR(VLOOKUP(C1149,DATA!#REF!,2,FALSE),"")</f>
        <v/>
      </c>
    </row>
    <row r="1150" spans="2:4" s="237" customFormat="1">
      <c r="B1150" s="15" t="str">
        <f t="shared" si="55"/>
        <v/>
      </c>
      <c r="C1150" s="16" t="str">
        <f>IFERROR(VLOOKUP(DATA!#REF!,DATA!#REF!,1,FALSE),"")</f>
        <v/>
      </c>
      <c r="D1150" s="16" t="str">
        <f>IFERROR(VLOOKUP(C1150,DATA!#REF!,2,FALSE),"")</f>
        <v/>
      </c>
    </row>
    <row r="1151" spans="2:4" s="237" customFormat="1">
      <c r="B1151" s="15" t="str">
        <f t="shared" si="55"/>
        <v/>
      </c>
      <c r="C1151" s="16" t="str">
        <f>IFERROR(VLOOKUP(DATA!#REF!,DATA!#REF!,1,FALSE),"")</f>
        <v/>
      </c>
      <c r="D1151" s="16" t="str">
        <f>IFERROR(VLOOKUP(C1151,DATA!#REF!,2,FALSE),"")</f>
        <v/>
      </c>
    </row>
    <row r="1152" spans="2:4" s="237" customFormat="1">
      <c r="B1152" s="15" t="str">
        <f t="shared" si="55"/>
        <v/>
      </c>
      <c r="C1152" s="16" t="str">
        <f>IFERROR(VLOOKUP(DATA!#REF!,DATA!#REF!,1,FALSE),"")</f>
        <v/>
      </c>
      <c r="D1152" s="16" t="str">
        <f>IFERROR(VLOOKUP(C1152,DATA!#REF!,2,FALSE),"")</f>
        <v/>
      </c>
    </row>
    <row r="1153" spans="2:4" s="237" customFormat="1">
      <c r="B1153" s="15" t="str">
        <f t="shared" si="55"/>
        <v/>
      </c>
      <c r="C1153" s="16" t="str">
        <f>IFERROR(VLOOKUP(DATA!#REF!,DATA!#REF!,1,FALSE),"")</f>
        <v/>
      </c>
      <c r="D1153" s="16" t="str">
        <f>IFERROR(VLOOKUP(C1153,DATA!#REF!,2,FALSE),"")</f>
        <v/>
      </c>
    </row>
    <row r="1154" spans="2:4" s="237" customFormat="1">
      <c r="B1154" s="15" t="str">
        <f t="shared" si="55"/>
        <v/>
      </c>
      <c r="C1154" s="16" t="str">
        <f>IFERROR(VLOOKUP(DATA!#REF!,DATA!#REF!,1,FALSE),"")</f>
        <v/>
      </c>
      <c r="D1154" s="16" t="str">
        <f>IFERROR(VLOOKUP(C1154,DATA!#REF!,2,FALSE),"")</f>
        <v/>
      </c>
    </row>
    <row r="1155" spans="2:4" s="237" customFormat="1">
      <c r="B1155" s="15" t="str">
        <f t="shared" si="55"/>
        <v/>
      </c>
      <c r="C1155" s="16" t="str">
        <f>IFERROR(VLOOKUP(DATA!#REF!,DATA!#REF!,1,FALSE),"")</f>
        <v/>
      </c>
      <c r="D1155" s="16" t="str">
        <f>IFERROR(VLOOKUP(C1155,DATA!#REF!,2,FALSE),"")</f>
        <v/>
      </c>
    </row>
    <row r="1156" spans="2:4" s="237" customFormat="1">
      <c r="B1156" s="15" t="str">
        <f t="shared" si="55"/>
        <v/>
      </c>
      <c r="C1156" s="16" t="str">
        <f>IFERROR(VLOOKUP(DATA!#REF!,DATA!#REF!,1,FALSE),"")</f>
        <v/>
      </c>
      <c r="D1156" s="16" t="str">
        <f>IFERROR(VLOOKUP(C1156,DATA!#REF!,2,FALSE),"")</f>
        <v/>
      </c>
    </row>
    <row r="1157" spans="2:4" s="237" customFormat="1">
      <c r="B1157" s="15" t="str">
        <f t="shared" si="55"/>
        <v/>
      </c>
      <c r="C1157" s="16" t="str">
        <f>IFERROR(VLOOKUP(DATA!#REF!,DATA!#REF!,1,FALSE),"")</f>
        <v/>
      </c>
      <c r="D1157" s="16" t="str">
        <f>IFERROR(VLOOKUP(C1157,DATA!#REF!,2,FALSE),"")</f>
        <v/>
      </c>
    </row>
    <row r="1158" spans="2:4" s="237" customFormat="1">
      <c r="B1158" s="15" t="str">
        <f t="shared" ref="B1158:B1221" si="56">+IF(C1158="","",ROW()-5)</f>
        <v/>
      </c>
      <c r="C1158" s="16" t="str">
        <f>IFERROR(VLOOKUP(DATA!#REF!,DATA!#REF!,1,FALSE),"")</f>
        <v/>
      </c>
      <c r="D1158" s="16" t="str">
        <f>IFERROR(VLOOKUP(C1158,DATA!#REF!,2,FALSE),"")</f>
        <v/>
      </c>
    </row>
    <row r="1159" spans="2:4" s="237" customFormat="1">
      <c r="B1159" s="15" t="str">
        <f t="shared" si="56"/>
        <v/>
      </c>
      <c r="C1159" s="16" t="str">
        <f>IFERROR(VLOOKUP(DATA!#REF!,DATA!#REF!,1,FALSE),"")</f>
        <v/>
      </c>
      <c r="D1159" s="16" t="str">
        <f>IFERROR(VLOOKUP(C1159,DATA!#REF!,2,FALSE),"")</f>
        <v/>
      </c>
    </row>
    <row r="1160" spans="2:4" s="237" customFormat="1">
      <c r="B1160" s="15" t="str">
        <f t="shared" si="56"/>
        <v/>
      </c>
      <c r="C1160" s="16" t="str">
        <f>IFERROR(VLOOKUP(DATA!#REF!,DATA!#REF!,1,FALSE),"")</f>
        <v/>
      </c>
      <c r="D1160" s="16" t="str">
        <f>IFERROR(VLOOKUP(C1160,DATA!#REF!,2,FALSE),"")</f>
        <v/>
      </c>
    </row>
    <row r="1161" spans="2:4" s="237" customFormat="1">
      <c r="B1161" s="15" t="str">
        <f t="shared" si="56"/>
        <v/>
      </c>
      <c r="C1161" s="16" t="str">
        <f>IFERROR(VLOOKUP(DATA!#REF!,DATA!#REF!,1,FALSE),"")</f>
        <v/>
      </c>
      <c r="D1161" s="16" t="str">
        <f>IFERROR(VLOOKUP(C1161,DATA!#REF!,2,FALSE),"")</f>
        <v/>
      </c>
    </row>
    <row r="1162" spans="2:4" s="237" customFormat="1">
      <c r="B1162" s="15" t="str">
        <f t="shared" si="56"/>
        <v/>
      </c>
      <c r="C1162" s="16" t="str">
        <f>IFERROR(VLOOKUP(DATA!#REF!,DATA!#REF!,1,FALSE),"")</f>
        <v/>
      </c>
      <c r="D1162" s="16" t="str">
        <f>IFERROR(VLOOKUP(C1162,DATA!#REF!,2,FALSE),"")</f>
        <v/>
      </c>
    </row>
    <row r="1163" spans="2:4" s="237" customFormat="1">
      <c r="B1163" s="15" t="str">
        <f t="shared" si="56"/>
        <v/>
      </c>
      <c r="C1163" s="16" t="str">
        <f>IFERROR(VLOOKUP(DATA!#REF!,DATA!#REF!,1,FALSE),"")</f>
        <v/>
      </c>
      <c r="D1163" s="16" t="str">
        <f>IFERROR(VLOOKUP(C1163,DATA!#REF!,2,FALSE),"")</f>
        <v/>
      </c>
    </row>
    <row r="1164" spans="2:4" s="237" customFormat="1">
      <c r="B1164" s="15" t="str">
        <f t="shared" si="56"/>
        <v/>
      </c>
      <c r="C1164" s="16" t="str">
        <f>IFERROR(VLOOKUP(DATA!#REF!,DATA!#REF!,1,FALSE),"")</f>
        <v/>
      </c>
      <c r="D1164" s="16" t="str">
        <f>IFERROR(VLOOKUP(C1164,DATA!#REF!,2,FALSE),"")</f>
        <v/>
      </c>
    </row>
    <row r="1165" spans="2:4" s="237" customFormat="1">
      <c r="B1165" s="15" t="str">
        <f t="shared" si="56"/>
        <v/>
      </c>
      <c r="C1165" s="16" t="str">
        <f>IFERROR(VLOOKUP(DATA!#REF!,DATA!#REF!,1,FALSE),"")</f>
        <v/>
      </c>
      <c r="D1165" s="16" t="str">
        <f>IFERROR(VLOOKUP(C1165,DATA!#REF!,2,FALSE),"")</f>
        <v/>
      </c>
    </row>
    <row r="1166" spans="2:4" s="237" customFormat="1">
      <c r="B1166" s="15" t="str">
        <f t="shared" si="56"/>
        <v/>
      </c>
      <c r="C1166" s="16" t="str">
        <f>IFERROR(VLOOKUP(DATA!#REF!,DATA!#REF!,1,FALSE),"")</f>
        <v/>
      </c>
      <c r="D1166" s="16" t="str">
        <f>IFERROR(VLOOKUP(C1166,DATA!#REF!,2,FALSE),"")</f>
        <v/>
      </c>
    </row>
    <row r="1167" spans="2:4" s="237" customFormat="1">
      <c r="B1167" s="15" t="str">
        <f t="shared" si="56"/>
        <v/>
      </c>
      <c r="C1167" s="16" t="str">
        <f>IFERROR(VLOOKUP(DATA!#REF!,DATA!#REF!,1,FALSE),"")</f>
        <v/>
      </c>
      <c r="D1167" s="16" t="str">
        <f>IFERROR(VLOOKUP(C1167,DATA!#REF!,2,FALSE),"")</f>
        <v/>
      </c>
    </row>
    <row r="1168" spans="2:4" s="237" customFormat="1">
      <c r="B1168" s="15" t="str">
        <f t="shared" si="56"/>
        <v/>
      </c>
      <c r="C1168" s="16" t="str">
        <f>IFERROR(VLOOKUP(DATA!#REF!,DATA!#REF!,1,FALSE),"")</f>
        <v/>
      </c>
      <c r="D1168" s="16" t="str">
        <f>IFERROR(VLOOKUP(C1168,DATA!#REF!,2,FALSE),"")</f>
        <v/>
      </c>
    </row>
    <row r="1169" spans="2:4" s="237" customFormat="1">
      <c r="B1169" s="15" t="str">
        <f t="shared" si="56"/>
        <v/>
      </c>
      <c r="C1169" s="16" t="str">
        <f>IFERROR(VLOOKUP(DATA!#REF!,DATA!#REF!,1,FALSE),"")</f>
        <v/>
      </c>
      <c r="D1169" s="16" t="str">
        <f>IFERROR(VLOOKUP(C1169,DATA!#REF!,2,FALSE),"")</f>
        <v/>
      </c>
    </row>
    <row r="1170" spans="2:4" s="237" customFormat="1">
      <c r="B1170" s="15" t="str">
        <f t="shared" si="56"/>
        <v/>
      </c>
      <c r="C1170" s="16" t="str">
        <f>IFERROR(VLOOKUP(DATA!#REF!,DATA!#REF!,1,FALSE),"")</f>
        <v/>
      </c>
      <c r="D1170" s="16" t="str">
        <f>IFERROR(VLOOKUP(C1170,DATA!#REF!,2,FALSE),"")</f>
        <v/>
      </c>
    </row>
    <row r="1171" spans="2:4" s="237" customFormat="1">
      <c r="B1171" s="15" t="str">
        <f t="shared" si="56"/>
        <v/>
      </c>
      <c r="C1171" s="16" t="str">
        <f>IFERROR(VLOOKUP(DATA!#REF!,DATA!#REF!,1,FALSE),"")</f>
        <v/>
      </c>
      <c r="D1171" s="16" t="str">
        <f>IFERROR(VLOOKUP(C1171,DATA!#REF!,2,FALSE),"")</f>
        <v/>
      </c>
    </row>
    <row r="1172" spans="2:4" s="237" customFormat="1">
      <c r="B1172" s="15" t="str">
        <f t="shared" si="56"/>
        <v/>
      </c>
      <c r="C1172" s="16" t="str">
        <f>IFERROR(VLOOKUP(DATA!#REF!,DATA!#REF!,1,FALSE),"")</f>
        <v/>
      </c>
      <c r="D1172" s="16" t="str">
        <f>IFERROR(VLOOKUP(C1172,DATA!#REF!,2,FALSE),"")</f>
        <v/>
      </c>
    </row>
    <row r="1173" spans="2:4" s="237" customFormat="1">
      <c r="B1173" s="15" t="str">
        <f t="shared" si="56"/>
        <v/>
      </c>
      <c r="C1173" s="16" t="str">
        <f>IFERROR(VLOOKUP(DATA!#REF!,DATA!#REF!,1,FALSE),"")</f>
        <v/>
      </c>
      <c r="D1173" s="16" t="str">
        <f>IFERROR(VLOOKUP(C1173,DATA!#REF!,2,FALSE),"")</f>
        <v/>
      </c>
    </row>
    <row r="1174" spans="2:4" s="237" customFormat="1">
      <c r="B1174" s="15" t="str">
        <f t="shared" si="56"/>
        <v/>
      </c>
      <c r="C1174" s="16" t="str">
        <f>IFERROR(VLOOKUP(DATA!#REF!,DATA!#REF!,1,FALSE),"")</f>
        <v/>
      </c>
      <c r="D1174" s="16" t="str">
        <f>IFERROR(VLOOKUP(C1174,DATA!#REF!,2,FALSE),"")</f>
        <v/>
      </c>
    </row>
    <row r="1175" spans="2:4" s="237" customFormat="1">
      <c r="B1175" s="15" t="str">
        <f t="shared" si="56"/>
        <v/>
      </c>
      <c r="C1175" s="16" t="str">
        <f>IFERROR(VLOOKUP(DATA!#REF!,DATA!#REF!,1,FALSE),"")</f>
        <v/>
      </c>
      <c r="D1175" s="16" t="str">
        <f>IFERROR(VLOOKUP(C1175,DATA!#REF!,2,FALSE),"")</f>
        <v/>
      </c>
    </row>
    <row r="1176" spans="2:4" s="237" customFormat="1">
      <c r="B1176" s="15" t="str">
        <f t="shared" si="56"/>
        <v/>
      </c>
      <c r="C1176" s="16" t="str">
        <f>IFERROR(VLOOKUP(DATA!#REF!,DATA!#REF!,1,FALSE),"")</f>
        <v/>
      </c>
      <c r="D1176" s="16" t="str">
        <f>IFERROR(VLOOKUP(C1176,DATA!#REF!,2,FALSE),"")</f>
        <v/>
      </c>
    </row>
    <row r="1177" spans="2:4" s="237" customFormat="1">
      <c r="B1177" s="15" t="str">
        <f t="shared" si="56"/>
        <v/>
      </c>
      <c r="C1177" s="16" t="str">
        <f>IFERROR(VLOOKUP(DATA!#REF!,DATA!#REF!,1,FALSE),"")</f>
        <v/>
      </c>
      <c r="D1177" s="16" t="str">
        <f>IFERROR(VLOOKUP(C1177,DATA!#REF!,2,FALSE),"")</f>
        <v/>
      </c>
    </row>
    <row r="1178" spans="2:4" s="237" customFormat="1">
      <c r="B1178" s="15" t="str">
        <f t="shared" si="56"/>
        <v/>
      </c>
      <c r="C1178" s="16" t="str">
        <f>IFERROR(VLOOKUP(DATA!#REF!,DATA!#REF!,1,FALSE),"")</f>
        <v/>
      </c>
      <c r="D1178" s="16" t="str">
        <f>IFERROR(VLOOKUP(C1178,DATA!#REF!,2,FALSE),"")</f>
        <v/>
      </c>
    </row>
    <row r="1179" spans="2:4" s="237" customFormat="1">
      <c r="B1179" s="15" t="str">
        <f t="shared" si="56"/>
        <v/>
      </c>
      <c r="C1179" s="16" t="str">
        <f>IFERROR(VLOOKUP(DATA!#REF!,DATA!#REF!,1,FALSE),"")</f>
        <v/>
      </c>
      <c r="D1179" s="16" t="str">
        <f>IFERROR(VLOOKUP(C1179,DATA!#REF!,2,FALSE),"")</f>
        <v/>
      </c>
    </row>
    <row r="1180" spans="2:4" s="237" customFormat="1">
      <c r="B1180" s="15" t="str">
        <f t="shared" si="56"/>
        <v/>
      </c>
      <c r="C1180" s="16" t="str">
        <f>IFERROR(VLOOKUP(DATA!#REF!,DATA!#REF!,1,FALSE),"")</f>
        <v/>
      </c>
      <c r="D1180" s="16" t="str">
        <f>IFERROR(VLOOKUP(C1180,DATA!#REF!,2,FALSE),"")</f>
        <v/>
      </c>
    </row>
    <row r="1181" spans="2:4" s="237" customFormat="1">
      <c r="B1181" s="15" t="str">
        <f t="shared" si="56"/>
        <v/>
      </c>
      <c r="C1181" s="16" t="str">
        <f>IFERROR(VLOOKUP(DATA!#REF!,DATA!#REF!,1,FALSE),"")</f>
        <v/>
      </c>
      <c r="D1181" s="16" t="str">
        <f>IFERROR(VLOOKUP(C1181,DATA!#REF!,2,FALSE),"")</f>
        <v/>
      </c>
    </row>
    <row r="1182" spans="2:4" s="237" customFormat="1">
      <c r="B1182" s="15" t="str">
        <f t="shared" si="56"/>
        <v/>
      </c>
      <c r="C1182" s="16" t="str">
        <f>IFERROR(VLOOKUP(DATA!#REF!,DATA!#REF!,1,FALSE),"")</f>
        <v/>
      </c>
      <c r="D1182" s="16" t="str">
        <f>IFERROR(VLOOKUP(C1182,DATA!#REF!,2,FALSE),"")</f>
        <v/>
      </c>
    </row>
    <row r="1183" spans="2:4" s="237" customFormat="1">
      <c r="B1183" s="15" t="str">
        <f t="shared" si="56"/>
        <v/>
      </c>
      <c r="C1183" s="16" t="str">
        <f>IFERROR(VLOOKUP(DATA!#REF!,DATA!#REF!,1,FALSE),"")</f>
        <v/>
      </c>
      <c r="D1183" s="16" t="str">
        <f>IFERROR(VLOOKUP(C1183,DATA!#REF!,2,FALSE),"")</f>
        <v/>
      </c>
    </row>
    <row r="1184" spans="2:4" s="237" customFormat="1">
      <c r="B1184" s="15" t="str">
        <f t="shared" si="56"/>
        <v/>
      </c>
      <c r="C1184" s="16" t="str">
        <f>IFERROR(VLOOKUP(DATA!#REF!,DATA!#REF!,1,FALSE),"")</f>
        <v/>
      </c>
      <c r="D1184" s="16" t="str">
        <f>IFERROR(VLOOKUP(C1184,DATA!#REF!,2,FALSE),"")</f>
        <v/>
      </c>
    </row>
    <row r="1185" spans="2:4" s="237" customFormat="1">
      <c r="B1185" s="15" t="str">
        <f t="shared" si="56"/>
        <v/>
      </c>
      <c r="C1185" s="16" t="str">
        <f>IFERROR(VLOOKUP(DATA!#REF!,DATA!#REF!,1,FALSE),"")</f>
        <v/>
      </c>
      <c r="D1185" s="16" t="str">
        <f>IFERROR(VLOOKUP(C1185,DATA!#REF!,2,FALSE),"")</f>
        <v/>
      </c>
    </row>
    <row r="1186" spans="2:4" s="237" customFormat="1">
      <c r="B1186" s="15" t="str">
        <f t="shared" si="56"/>
        <v/>
      </c>
      <c r="C1186" s="16" t="str">
        <f>IFERROR(VLOOKUP(DATA!#REF!,DATA!#REF!,1,FALSE),"")</f>
        <v/>
      </c>
      <c r="D1186" s="16" t="str">
        <f>IFERROR(VLOOKUP(C1186,DATA!#REF!,2,FALSE),"")</f>
        <v/>
      </c>
    </row>
    <row r="1187" spans="2:4" s="237" customFormat="1">
      <c r="B1187" s="15" t="str">
        <f t="shared" si="56"/>
        <v/>
      </c>
      <c r="C1187" s="16" t="str">
        <f>IFERROR(VLOOKUP(DATA!#REF!,DATA!#REF!,1,FALSE),"")</f>
        <v/>
      </c>
      <c r="D1187" s="16" t="str">
        <f>IFERROR(VLOOKUP(C1187,DATA!#REF!,2,FALSE),"")</f>
        <v/>
      </c>
    </row>
    <row r="1188" spans="2:4" s="237" customFormat="1">
      <c r="B1188" s="15" t="str">
        <f t="shared" si="56"/>
        <v/>
      </c>
      <c r="C1188" s="16" t="str">
        <f>IFERROR(VLOOKUP(DATA!#REF!,DATA!#REF!,1,FALSE),"")</f>
        <v/>
      </c>
      <c r="D1188" s="16" t="str">
        <f>IFERROR(VLOOKUP(C1188,DATA!#REF!,2,FALSE),"")</f>
        <v/>
      </c>
    </row>
    <row r="1189" spans="2:4" s="237" customFormat="1">
      <c r="B1189" s="15" t="str">
        <f t="shared" si="56"/>
        <v/>
      </c>
      <c r="C1189" s="16" t="str">
        <f>IFERROR(VLOOKUP(DATA!#REF!,DATA!#REF!,1,FALSE),"")</f>
        <v/>
      </c>
      <c r="D1189" s="16" t="str">
        <f>IFERROR(VLOOKUP(C1189,DATA!#REF!,2,FALSE),"")</f>
        <v/>
      </c>
    </row>
    <row r="1190" spans="2:4" s="237" customFormat="1">
      <c r="B1190" s="15" t="str">
        <f t="shared" si="56"/>
        <v/>
      </c>
      <c r="C1190" s="16" t="str">
        <f>IFERROR(VLOOKUP(DATA!#REF!,DATA!#REF!,1,FALSE),"")</f>
        <v/>
      </c>
      <c r="D1190" s="16" t="str">
        <f>IFERROR(VLOOKUP(C1190,DATA!#REF!,2,FALSE),"")</f>
        <v/>
      </c>
    </row>
    <row r="1191" spans="2:4" s="237" customFormat="1">
      <c r="B1191" s="15" t="str">
        <f t="shared" si="56"/>
        <v/>
      </c>
      <c r="C1191" s="16" t="str">
        <f>IFERROR(VLOOKUP(DATA!#REF!,DATA!#REF!,1,FALSE),"")</f>
        <v/>
      </c>
      <c r="D1191" s="16" t="str">
        <f>IFERROR(VLOOKUP(C1191,DATA!#REF!,2,FALSE),"")</f>
        <v/>
      </c>
    </row>
    <row r="1192" spans="2:4" s="237" customFormat="1">
      <c r="B1192" s="15" t="str">
        <f t="shared" si="56"/>
        <v/>
      </c>
      <c r="C1192" s="16" t="str">
        <f>IFERROR(VLOOKUP(DATA!#REF!,DATA!#REF!,1,FALSE),"")</f>
        <v/>
      </c>
      <c r="D1192" s="16" t="str">
        <f>IFERROR(VLOOKUP(C1192,DATA!#REF!,2,FALSE),"")</f>
        <v/>
      </c>
    </row>
    <row r="1193" spans="2:4" s="237" customFormat="1">
      <c r="B1193" s="15" t="str">
        <f t="shared" si="56"/>
        <v/>
      </c>
      <c r="C1193" s="16" t="str">
        <f>IFERROR(VLOOKUP(DATA!#REF!,DATA!#REF!,1,FALSE),"")</f>
        <v/>
      </c>
      <c r="D1193" s="16" t="str">
        <f>IFERROR(VLOOKUP(C1193,DATA!#REF!,2,FALSE),"")</f>
        <v/>
      </c>
    </row>
    <row r="1194" spans="2:4" s="237" customFormat="1">
      <c r="B1194" s="15" t="str">
        <f t="shared" si="56"/>
        <v/>
      </c>
      <c r="C1194" s="16" t="str">
        <f>IFERROR(VLOOKUP(DATA!#REF!,DATA!#REF!,1,FALSE),"")</f>
        <v/>
      </c>
      <c r="D1194" s="16" t="str">
        <f>IFERROR(VLOOKUP(C1194,DATA!#REF!,2,FALSE),"")</f>
        <v/>
      </c>
    </row>
    <row r="1195" spans="2:4" s="237" customFormat="1">
      <c r="B1195" s="15" t="str">
        <f t="shared" si="56"/>
        <v/>
      </c>
      <c r="C1195" s="16" t="str">
        <f>IFERROR(VLOOKUP(DATA!#REF!,DATA!#REF!,1,FALSE),"")</f>
        <v/>
      </c>
      <c r="D1195" s="16" t="str">
        <f>IFERROR(VLOOKUP(C1195,DATA!#REF!,2,FALSE),"")</f>
        <v/>
      </c>
    </row>
    <row r="1196" spans="2:4" s="237" customFormat="1">
      <c r="B1196" s="15" t="str">
        <f t="shared" si="56"/>
        <v/>
      </c>
      <c r="C1196" s="16" t="str">
        <f>IFERROR(VLOOKUP(DATA!#REF!,DATA!#REF!,1,FALSE),"")</f>
        <v/>
      </c>
      <c r="D1196" s="16" t="str">
        <f>IFERROR(VLOOKUP(C1196,DATA!#REF!,2,FALSE),"")</f>
        <v/>
      </c>
    </row>
    <row r="1197" spans="2:4" s="237" customFormat="1">
      <c r="B1197" s="15" t="str">
        <f t="shared" si="56"/>
        <v/>
      </c>
      <c r="C1197" s="16" t="str">
        <f>IFERROR(VLOOKUP(DATA!#REF!,DATA!#REF!,1,FALSE),"")</f>
        <v/>
      </c>
      <c r="D1197" s="16" t="str">
        <f>IFERROR(VLOOKUP(C1197,DATA!#REF!,2,FALSE),"")</f>
        <v/>
      </c>
    </row>
    <row r="1198" spans="2:4" s="237" customFormat="1">
      <c r="B1198" s="15" t="str">
        <f t="shared" si="56"/>
        <v/>
      </c>
      <c r="C1198" s="16" t="str">
        <f>IFERROR(VLOOKUP(DATA!#REF!,DATA!#REF!,1,FALSE),"")</f>
        <v/>
      </c>
      <c r="D1198" s="16" t="str">
        <f>IFERROR(VLOOKUP(C1198,DATA!#REF!,2,FALSE),"")</f>
        <v/>
      </c>
    </row>
    <row r="1199" spans="2:4" s="237" customFormat="1">
      <c r="B1199" s="15" t="str">
        <f t="shared" si="56"/>
        <v/>
      </c>
      <c r="C1199" s="16" t="str">
        <f>IFERROR(VLOOKUP(DATA!#REF!,DATA!#REF!,1,FALSE),"")</f>
        <v/>
      </c>
      <c r="D1199" s="16" t="str">
        <f>IFERROR(VLOOKUP(C1199,DATA!#REF!,2,FALSE),"")</f>
        <v/>
      </c>
    </row>
    <row r="1200" spans="2:4" s="237" customFormat="1">
      <c r="B1200" s="15" t="str">
        <f t="shared" si="56"/>
        <v/>
      </c>
      <c r="C1200" s="16" t="str">
        <f>IFERROR(VLOOKUP(DATA!#REF!,DATA!#REF!,1,FALSE),"")</f>
        <v/>
      </c>
      <c r="D1200" s="16" t="str">
        <f>IFERROR(VLOOKUP(C1200,DATA!#REF!,2,FALSE),"")</f>
        <v/>
      </c>
    </row>
    <row r="1201" spans="2:4" s="237" customFormat="1">
      <c r="B1201" s="15" t="str">
        <f t="shared" si="56"/>
        <v/>
      </c>
      <c r="C1201" s="16" t="str">
        <f>IFERROR(VLOOKUP(DATA!#REF!,DATA!#REF!,1,FALSE),"")</f>
        <v/>
      </c>
      <c r="D1201" s="16" t="str">
        <f>IFERROR(VLOOKUP(C1201,DATA!#REF!,2,FALSE),"")</f>
        <v/>
      </c>
    </row>
    <row r="1202" spans="2:4" s="237" customFormat="1">
      <c r="B1202" s="15" t="str">
        <f t="shared" si="56"/>
        <v/>
      </c>
      <c r="C1202" s="16" t="str">
        <f>IFERROR(VLOOKUP(DATA!#REF!,DATA!#REF!,1,FALSE),"")</f>
        <v/>
      </c>
      <c r="D1202" s="16" t="str">
        <f>IFERROR(VLOOKUP(C1202,DATA!#REF!,2,FALSE),"")</f>
        <v/>
      </c>
    </row>
    <row r="1203" spans="2:4" s="237" customFormat="1">
      <c r="B1203" s="15" t="str">
        <f t="shared" si="56"/>
        <v/>
      </c>
      <c r="C1203" s="16" t="str">
        <f>IFERROR(VLOOKUP(DATA!#REF!,DATA!#REF!,1,FALSE),"")</f>
        <v/>
      </c>
      <c r="D1203" s="16" t="str">
        <f>IFERROR(VLOOKUP(C1203,DATA!#REF!,2,FALSE),"")</f>
        <v/>
      </c>
    </row>
    <row r="1204" spans="2:4" s="237" customFormat="1">
      <c r="B1204" s="15" t="str">
        <f t="shared" si="56"/>
        <v/>
      </c>
      <c r="C1204" s="16" t="str">
        <f>IFERROR(VLOOKUP(DATA!#REF!,DATA!#REF!,1,FALSE),"")</f>
        <v/>
      </c>
      <c r="D1204" s="16" t="str">
        <f>IFERROR(VLOOKUP(C1204,DATA!#REF!,2,FALSE),"")</f>
        <v/>
      </c>
    </row>
    <row r="1205" spans="2:4" s="237" customFormat="1">
      <c r="B1205" s="15" t="str">
        <f t="shared" si="56"/>
        <v/>
      </c>
      <c r="C1205" s="16" t="str">
        <f>IFERROR(VLOOKUP(DATA!#REF!,DATA!#REF!,1,FALSE),"")</f>
        <v/>
      </c>
      <c r="D1205" s="16" t="str">
        <f>IFERROR(VLOOKUP(C1205,DATA!#REF!,2,FALSE),"")</f>
        <v/>
      </c>
    </row>
    <row r="1206" spans="2:4" s="237" customFormat="1">
      <c r="B1206" s="15" t="str">
        <f t="shared" si="56"/>
        <v/>
      </c>
      <c r="C1206" s="16" t="str">
        <f>IFERROR(VLOOKUP(DATA!#REF!,DATA!#REF!,1,FALSE),"")</f>
        <v/>
      </c>
      <c r="D1206" s="16" t="str">
        <f>IFERROR(VLOOKUP(C1206,DATA!#REF!,2,FALSE),"")</f>
        <v/>
      </c>
    </row>
    <row r="1207" spans="2:4" s="237" customFormat="1">
      <c r="B1207" s="15" t="str">
        <f t="shared" si="56"/>
        <v/>
      </c>
      <c r="C1207" s="16" t="str">
        <f>IFERROR(VLOOKUP(DATA!#REF!,DATA!#REF!,1,FALSE),"")</f>
        <v/>
      </c>
      <c r="D1207" s="16" t="str">
        <f>IFERROR(VLOOKUP(C1207,DATA!#REF!,2,FALSE),"")</f>
        <v/>
      </c>
    </row>
    <row r="1208" spans="2:4" s="237" customFormat="1">
      <c r="B1208" s="15" t="str">
        <f t="shared" si="56"/>
        <v/>
      </c>
      <c r="C1208" s="16" t="str">
        <f>IFERROR(VLOOKUP(DATA!#REF!,DATA!#REF!,1,FALSE),"")</f>
        <v/>
      </c>
      <c r="D1208" s="16" t="str">
        <f>IFERROR(VLOOKUP(C1208,DATA!#REF!,2,FALSE),"")</f>
        <v/>
      </c>
    </row>
    <row r="1209" spans="2:4" s="237" customFormat="1">
      <c r="B1209" s="15" t="str">
        <f t="shared" si="56"/>
        <v/>
      </c>
      <c r="C1209" s="16" t="str">
        <f>IFERROR(VLOOKUP(DATA!#REF!,DATA!#REF!,1,FALSE),"")</f>
        <v/>
      </c>
      <c r="D1209" s="16" t="str">
        <f>IFERROR(VLOOKUP(C1209,DATA!#REF!,2,FALSE),"")</f>
        <v/>
      </c>
    </row>
    <row r="1210" spans="2:4" s="237" customFormat="1">
      <c r="B1210" s="15" t="str">
        <f t="shared" si="56"/>
        <v/>
      </c>
      <c r="C1210" s="16" t="str">
        <f>IFERROR(VLOOKUP(DATA!#REF!,DATA!#REF!,1,FALSE),"")</f>
        <v/>
      </c>
      <c r="D1210" s="16" t="str">
        <f>IFERROR(VLOOKUP(C1210,DATA!#REF!,2,FALSE),"")</f>
        <v/>
      </c>
    </row>
    <row r="1211" spans="2:4" s="237" customFormat="1">
      <c r="B1211" s="15" t="str">
        <f t="shared" si="56"/>
        <v/>
      </c>
      <c r="C1211" s="16" t="str">
        <f>IFERROR(VLOOKUP(DATA!#REF!,DATA!#REF!,1,FALSE),"")</f>
        <v/>
      </c>
      <c r="D1211" s="16" t="str">
        <f>IFERROR(VLOOKUP(C1211,DATA!#REF!,2,FALSE),"")</f>
        <v/>
      </c>
    </row>
    <row r="1212" spans="2:4" s="237" customFormat="1">
      <c r="B1212" s="15" t="str">
        <f t="shared" si="56"/>
        <v/>
      </c>
      <c r="C1212" s="16" t="str">
        <f>IFERROR(VLOOKUP(DATA!#REF!,DATA!#REF!,1,FALSE),"")</f>
        <v/>
      </c>
      <c r="D1212" s="16" t="str">
        <f>IFERROR(VLOOKUP(C1212,DATA!#REF!,2,FALSE),"")</f>
        <v/>
      </c>
    </row>
    <row r="1213" spans="2:4" s="237" customFormat="1">
      <c r="B1213" s="15" t="str">
        <f t="shared" si="56"/>
        <v/>
      </c>
      <c r="C1213" s="16" t="str">
        <f>IFERROR(VLOOKUP(DATA!#REF!,DATA!#REF!,1,FALSE),"")</f>
        <v/>
      </c>
      <c r="D1213" s="16" t="str">
        <f>IFERROR(VLOOKUP(C1213,DATA!#REF!,2,FALSE),"")</f>
        <v/>
      </c>
    </row>
    <row r="1214" spans="2:4" s="237" customFormat="1">
      <c r="B1214" s="15" t="str">
        <f t="shared" si="56"/>
        <v/>
      </c>
      <c r="C1214" s="16" t="str">
        <f>IFERROR(VLOOKUP(DATA!#REF!,DATA!#REF!,1,FALSE),"")</f>
        <v/>
      </c>
      <c r="D1214" s="16" t="str">
        <f>IFERROR(VLOOKUP(C1214,DATA!#REF!,2,FALSE),"")</f>
        <v/>
      </c>
    </row>
    <row r="1215" spans="2:4" s="237" customFormat="1">
      <c r="B1215" s="15" t="str">
        <f t="shared" si="56"/>
        <v/>
      </c>
      <c r="C1215" s="16" t="str">
        <f>IFERROR(VLOOKUP(DATA!#REF!,DATA!#REF!,1,FALSE),"")</f>
        <v/>
      </c>
      <c r="D1215" s="16" t="str">
        <f>IFERROR(VLOOKUP(C1215,DATA!#REF!,2,FALSE),"")</f>
        <v/>
      </c>
    </row>
    <row r="1216" spans="2:4" s="237" customFormat="1">
      <c r="B1216" s="15" t="str">
        <f t="shared" si="56"/>
        <v/>
      </c>
      <c r="C1216" s="16" t="str">
        <f>IFERROR(VLOOKUP(DATA!#REF!,DATA!#REF!,1,FALSE),"")</f>
        <v/>
      </c>
      <c r="D1216" s="16" t="str">
        <f>IFERROR(VLOOKUP(C1216,DATA!#REF!,2,FALSE),"")</f>
        <v/>
      </c>
    </row>
    <row r="1217" spans="2:4" s="237" customFormat="1">
      <c r="B1217" s="15" t="str">
        <f t="shared" si="56"/>
        <v/>
      </c>
      <c r="C1217" s="16" t="str">
        <f>IFERROR(VLOOKUP(DATA!#REF!,DATA!#REF!,1,FALSE),"")</f>
        <v/>
      </c>
      <c r="D1217" s="16" t="str">
        <f>IFERROR(VLOOKUP(C1217,DATA!#REF!,2,FALSE),"")</f>
        <v/>
      </c>
    </row>
    <row r="1218" spans="2:4" s="237" customFormat="1">
      <c r="B1218" s="15" t="str">
        <f t="shared" si="56"/>
        <v/>
      </c>
      <c r="C1218" s="16" t="str">
        <f>IFERROR(VLOOKUP(DATA!#REF!,DATA!#REF!,1,FALSE),"")</f>
        <v/>
      </c>
      <c r="D1218" s="16" t="str">
        <f>IFERROR(VLOOKUP(C1218,DATA!#REF!,2,FALSE),"")</f>
        <v/>
      </c>
    </row>
    <row r="1219" spans="2:4" s="237" customFormat="1">
      <c r="B1219" s="15" t="str">
        <f t="shared" si="56"/>
        <v/>
      </c>
      <c r="C1219" s="16" t="str">
        <f>IFERROR(VLOOKUP(DATA!#REF!,DATA!#REF!,1,FALSE),"")</f>
        <v/>
      </c>
      <c r="D1219" s="16" t="str">
        <f>IFERROR(VLOOKUP(C1219,DATA!#REF!,2,FALSE),"")</f>
        <v/>
      </c>
    </row>
    <row r="1220" spans="2:4" s="237" customFormat="1">
      <c r="B1220" s="15" t="str">
        <f t="shared" si="56"/>
        <v/>
      </c>
      <c r="C1220" s="16" t="str">
        <f>IFERROR(VLOOKUP(DATA!#REF!,DATA!#REF!,1,FALSE),"")</f>
        <v/>
      </c>
      <c r="D1220" s="16" t="str">
        <f>IFERROR(VLOOKUP(C1220,DATA!#REF!,2,FALSE),"")</f>
        <v/>
      </c>
    </row>
    <row r="1221" spans="2:4" s="237" customFormat="1">
      <c r="B1221" s="15" t="str">
        <f t="shared" si="56"/>
        <v/>
      </c>
      <c r="C1221" s="16" t="str">
        <f>IFERROR(VLOOKUP(DATA!#REF!,DATA!#REF!,1,FALSE),"")</f>
        <v/>
      </c>
      <c r="D1221" s="16" t="str">
        <f>IFERROR(VLOOKUP(C1221,DATA!#REF!,2,FALSE),"")</f>
        <v/>
      </c>
    </row>
    <row r="1222" spans="2:4" s="237" customFormat="1">
      <c r="B1222" s="15" t="str">
        <f t="shared" ref="B1222:B1285" si="57">+IF(C1222="","",ROW()-5)</f>
        <v/>
      </c>
      <c r="C1222" s="16" t="str">
        <f>IFERROR(VLOOKUP(DATA!#REF!,DATA!#REF!,1,FALSE),"")</f>
        <v/>
      </c>
      <c r="D1222" s="16" t="str">
        <f>IFERROR(VLOOKUP(C1222,DATA!#REF!,2,FALSE),"")</f>
        <v/>
      </c>
    </row>
    <row r="1223" spans="2:4" s="237" customFormat="1">
      <c r="B1223" s="15" t="str">
        <f t="shared" si="57"/>
        <v/>
      </c>
      <c r="C1223" s="16" t="str">
        <f>IFERROR(VLOOKUP(DATA!#REF!,DATA!#REF!,1,FALSE),"")</f>
        <v/>
      </c>
      <c r="D1223" s="16" t="str">
        <f>IFERROR(VLOOKUP(C1223,DATA!#REF!,2,FALSE),"")</f>
        <v/>
      </c>
    </row>
    <row r="1224" spans="2:4" s="237" customFormat="1">
      <c r="B1224" s="15" t="str">
        <f t="shared" si="57"/>
        <v/>
      </c>
      <c r="C1224" s="16" t="str">
        <f>IFERROR(VLOOKUP(DATA!#REF!,DATA!#REF!,1,FALSE),"")</f>
        <v/>
      </c>
      <c r="D1224" s="16" t="str">
        <f>IFERROR(VLOOKUP(C1224,DATA!#REF!,2,FALSE),"")</f>
        <v/>
      </c>
    </row>
    <row r="1225" spans="2:4" s="237" customFormat="1">
      <c r="B1225" s="15" t="str">
        <f t="shared" si="57"/>
        <v/>
      </c>
      <c r="C1225" s="16" t="str">
        <f>IFERROR(VLOOKUP(DATA!#REF!,DATA!#REF!,1,FALSE),"")</f>
        <v/>
      </c>
      <c r="D1225" s="16" t="str">
        <f>IFERROR(VLOOKUP(C1225,DATA!#REF!,2,FALSE),"")</f>
        <v/>
      </c>
    </row>
    <row r="1226" spans="2:4" s="237" customFormat="1">
      <c r="B1226" s="15" t="str">
        <f t="shared" si="57"/>
        <v/>
      </c>
      <c r="C1226" s="16" t="str">
        <f>IFERROR(VLOOKUP(DATA!#REF!,DATA!#REF!,1,FALSE),"")</f>
        <v/>
      </c>
      <c r="D1226" s="16" t="str">
        <f>IFERROR(VLOOKUP(C1226,DATA!#REF!,2,FALSE),"")</f>
        <v/>
      </c>
    </row>
    <row r="1227" spans="2:4" s="237" customFormat="1">
      <c r="B1227" s="15" t="str">
        <f t="shared" si="57"/>
        <v/>
      </c>
      <c r="C1227" s="16" t="str">
        <f>IFERROR(VLOOKUP(DATA!#REF!,DATA!#REF!,1,FALSE),"")</f>
        <v/>
      </c>
      <c r="D1227" s="16" t="str">
        <f>IFERROR(VLOOKUP(C1227,DATA!#REF!,2,FALSE),"")</f>
        <v/>
      </c>
    </row>
    <row r="1228" spans="2:4" s="237" customFormat="1">
      <c r="B1228" s="15" t="str">
        <f t="shared" si="57"/>
        <v/>
      </c>
      <c r="C1228" s="16" t="str">
        <f>IFERROR(VLOOKUP(DATA!#REF!,DATA!#REF!,1,FALSE),"")</f>
        <v/>
      </c>
      <c r="D1228" s="16" t="str">
        <f>IFERROR(VLOOKUP(C1228,DATA!#REF!,2,FALSE),"")</f>
        <v/>
      </c>
    </row>
    <row r="1229" spans="2:4" s="237" customFormat="1">
      <c r="B1229" s="15" t="str">
        <f t="shared" si="57"/>
        <v/>
      </c>
      <c r="C1229" s="16" t="str">
        <f>IFERROR(VLOOKUP(DATA!#REF!,DATA!#REF!,1,FALSE),"")</f>
        <v/>
      </c>
      <c r="D1229" s="16" t="str">
        <f>IFERROR(VLOOKUP(C1229,DATA!#REF!,2,FALSE),"")</f>
        <v/>
      </c>
    </row>
    <row r="1230" spans="2:4" s="237" customFormat="1">
      <c r="B1230" s="15" t="str">
        <f t="shared" si="57"/>
        <v/>
      </c>
      <c r="C1230" s="16" t="str">
        <f>IFERROR(VLOOKUP(DATA!#REF!,DATA!#REF!,1,FALSE),"")</f>
        <v/>
      </c>
      <c r="D1230" s="16" t="str">
        <f>IFERROR(VLOOKUP(C1230,DATA!#REF!,2,FALSE),"")</f>
        <v/>
      </c>
    </row>
    <row r="1231" spans="2:4" s="237" customFormat="1">
      <c r="B1231" s="15" t="str">
        <f t="shared" si="57"/>
        <v/>
      </c>
      <c r="C1231" s="16" t="str">
        <f>IFERROR(VLOOKUP(DATA!#REF!,DATA!#REF!,1,FALSE),"")</f>
        <v/>
      </c>
      <c r="D1231" s="16" t="str">
        <f>IFERROR(VLOOKUP(C1231,DATA!#REF!,2,FALSE),"")</f>
        <v/>
      </c>
    </row>
    <row r="1232" spans="2:4" s="237" customFormat="1">
      <c r="B1232" s="15" t="str">
        <f t="shared" si="57"/>
        <v/>
      </c>
      <c r="C1232" s="16" t="str">
        <f>IFERROR(VLOOKUP(DATA!#REF!,DATA!#REF!,1,FALSE),"")</f>
        <v/>
      </c>
      <c r="D1232" s="16" t="str">
        <f>IFERROR(VLOOKUP(C1232,DATA!#REF!,2,FALSE),"")</f>
        <v/>
      </c>
    </row>
    <row r="1233" spans="2:4" s="237" customFormat="1">
      <c r="B1233" s="15" t="str">
        <f t="shared" si="57"/>
        <v/>
      </c>
      <c r="C1233" s="16" t="str">
        <f>IFERROR(VLOOKUP(DATA!#REF!,DATA!#REF!,1,FALSE),"")</f>
        <v/>
      </c>
      <c r="D1233" s="16" t="str">
        <f>IFERROR(VLOOKUP(C1233,DATA!#REF!,2,FALSE),"")</f>
        <v/>
      </c>
    </row>
    <row r="1234" spans="2:4" s="237" customFormat="1">
      <c r="B1234" s="15" t="str">
        <f t="shared" si="57"/>
        <v/>
      </c>
      <c r="C1234" s="16" t="str">
        <f>IFERROR(VLOOKUP(DATA!#REF!,DATA!#REF!,1,FALSE),"")</f>
        <v/>
      </c>
      <c r="D1234" s="16" t="str">
        <f>IFERROR(VLOOKUP(C1234,DATA!#REF!,2,FALSE),"")</f>
        <v/>
      </c>
    </row>
    <row r="1235" spans="2:4" s="237" customFormat="1">
      <c r="B1235" s="15" t="str">
        <f t="shared" si="57"/>
        <v/>
      </c>
      <c r="C1235" s="16" t="str">
        <f>IFERROR(VLOOKUP(DATA!#REF!,DATA!#REF!,1,FALSE),"")</f>
        <v/>
      </c>
      <c r="D1235" s="16" t="str">
        <f>IFERROR(VLOOKUP(C1235,DATA!#REF!,2,FALSE),"")</f>
        <v/>
      </c>
    </row>
    <row r="1236" spans="2:4" s="237" customFormat="1">
      <c r="B1236" s="15" t="str">
        <f t="shared" si="57"/>
        <v/>
      </c>
      <c r="C1236" s="16" t="str">
        <f>IFERROR(VLOOKUP(DATA!#REF!,DATA!#REF!,1,FALSE),"")</f>
        <v/>
      </c>
      <c r="D1236" s="16" t="str">
        <f>IFERROR(VLOOKUP(C1236,DATA!#REF!,2,FALSE),"")</f>
        <v/>
      </c>
    </row>
    <row r="1237" spans="2:4" s="237" customFormat="1">
      <c r="B1237" s="15" t="str">
        <f t="shared" si="57"/>
        <v/>
      </c>
      <c r="C1237" s="16" t="str">
        <f>IFERROR(VLOOKUP(DATA!#REF!,DATA!#REF!,1,FALSE),"")</f>
        <v/>
      </c>
      <c r="D1237" s="16" t="str">
        <f>IFERROR(VLOOKUP(C1237,DATA!#REF!,2,FALSE),"")</f>
        <v/>
      </c>
    </row>
    <row r="1238" spans="2:4" s="237" customFormat="1">
      <c r="B1238" s="15" t="str">
        <f t="shared" si="57"/>
        <v/>
      </c>
      <c r="C1238" s="16" t="str">
        <f>IFERROR(VLOOKUP(DATA!#REF!,DATA!#REF!,1,FALSE),"")</f>
        <v/>
      </c>
      <c r="D1238" s="16" t="str">
        <f>IFERROR(VLOOKUP(C1238,DATA!#REF!,2,FALSE),"")</f>
        <v/>
      </c>
    </row>
    <row r="1239" spans="2:4" s="237" customFormat="1">
      <c r="B1239" s="15" t="str">
        <f t="shared" si="57"/>
        <v/>
      </c>
      <c r="C1239" s="16" t="str">
        <f>IFERROR(VLOOKUP(DATA!#REF!,DATA!#REF!,1,FALSE),"")</f>
        <v/>
      </c>
      <c r="D1239" s="16" t="str">
        <f>IFERROR(VLOOKUP(C1239,DATA!#REF!,2,FALSE),"")</f>
        <v/>
      </c>
    </row>
    <row r="1240" spans="2:4" s="237" customFormat="1">
      <c r="B1240" s="15" t="str">
        <f t="shared" si="57"/>
        <v/>
      </c>
      <c r="C1240" s="16" t="str">
        <f>IFERROR(VLOOKUP(DATA!#REF!,DATA!#REF!,1,FALSE),"")</f>
        <v/>
      </c>
      <c r="D1240" s="16" t="str">
        <f>IFERROR(VLOOKUP(C1240,DATA!#REF!,2,FALSE),"")</f>
        <v/>
      </c>
    </row>
    <row r="1241" spans="2:4" s="237" customFormat="1">
      <c r="B1241" s="15" t="str">
        <f t="shared" si="57"/>
        <v/>
      </c>
      <c r="C1241" s="16" t="str">
        <f>IFERROR(VLOOKUP(DATA!#REF!,DATA!#REF!,1,FALSE),"")</f>
        <v/>
      </c>
      <c r="D1241" s="16" t="str">
        <f>IFERROR(VLOOKUP(C1241,DATA!#REF!,2,FALSE),"")</f>
        <v/>
      </c>
    </row>
    <row r="1242" spans="2:4" s="237" customFormat="1">
      <c r="B1242" s="15" t="str">
        <f t="shared" si="57"/>
        <v/>
      </c>
      <c r="C1242" s="16" t="str">
        <f>IFERROR(VLOOKUP(DATA!#REF!,DATA!#REF!,1,FALSE),"")</f>
        <v/>
      </c>
      <c r="D1242" s="16" t="str">
        <f>IFERROR(VLOOKUP(C1242,DATA!#REF!,2,FALSE),"")</f>
        <v/>
      </c>
    </row>
    <row r="1243" spans="2:4" s="237" customFormat="1">
      <c r="B1243" s="15" t="str">
        <f t="shared" si="57"/>
        <v/>
      </c>
      <c r="C1243" s="16" t="str">
        <f>IFERROR(VLOOKUP(DATA!#REF!,DATA!#REF!,1,FALSE),"")</f>
        <v/>
      </c>
      <c r="D1243" s="16" t="str">
        <f>IFERROR(VLOOKUP(C1243,DATA!#REF!,2,FALSE),"")</f>
        <v/>
      </c>
    </row>
    <row r="1244" spans="2:4" s="237" customFormat="1">
      <c r="B1244" s="15" t="str">
        <f t="shared" si="57"/>
        <v/>
      </c>
      <c r="C1244" s="16" t="str">
        <f>IFERROR(VLOOKUP(DATA!#REF!,DATA!#REF!,1,FALSE),"")</f>
        <v/>
      </c>
      <c r="D1244" s="16" t="str">
        <f>IFERROR(VLOOKUP(C1244,DATA!#REF!,2,FALSE),"")</f>
        <v/>
      </c>
    </row>
    <row r="1245" spans="2:4" s="237" customFormat="1">
      <c r="B1245" s="15" t="str">
        <f t="shared" si="57"/>
        <v/>
      </c>
      <c r="C1245" s="16" t="str">
        <f>IFERROR(VLOOKUP(DATA!#REF!,DATA!#REF!,1,FALSE),"")</f>
        <v/>
      </c>
      <c r="D1245" s="16" t="str">
        <f>IFERROR(VLOOKUP(C1245,DATA!#REF!,2,FALSE),"")</f>
        <v/>
      </c>
    </row>
    <row r="1246" spans="2:4" s="237" customFormat="1">
      <c r="B1246" s="15" t="str">
        <f t="shared" si="57"/>
        <v/>
      </c>
      <c r="C1246" s="16" t="str">
        <f>IFERROR(VLOOKUP(DATA!#REF!,DATA!#REF!,1,FALSE),"")</f>
        <v/>
      </c>
      <c r="D1246" s="16" t="str">
        <f>IFERROR(VLOOKUP(C1246,DATA!#REF!,2,FALSE),"")</f>
        <v/>
      </c>
    </row>
    <row r="1247" spans="2:4" s="237" customFormat="1">
      <c r="B1247" s="15" t="str">
        <f t="shared" si="57"/>
        <v/>
      </c>
      <c r="C1247" s="16" t="str">
        <f>IFERROR(VLOOKUP(DATA!#REF!,DATA!#REF!,1,FALSE),"")</f>
        <v/>
      </c>
      <c r="D1247" s="16" t="str">
        <f>IFERROR(VLOOKUP(C1247,DATA!#REF!,2,FALSE),"")</f>
        <v/>
      </c>
    </row>
    <row r="1248" spans="2:4" s="237" customFormat="1">
      <c r="B1248" s="15" t="str">
        <f t="shared" si="57"/>
        <v/>
      </c>
      <c r="C1248" s="16" t="str">
        <f>IFERROR(VLOOKUP(DATA!#REF!,DATA!#REF!,1,FALSE),"")</f>
        <v/>
      </c>
      <c r="D1248" s="16" t="str">
        <f>IFERROR(VLOOKUP(C1248,DATA!#REF!,2,FALSE),"")</f>
        <v/>
      </c>
    </row>
    <row r="1249" spans="2:4" s="237" customFormat="1">
      <c r="B1249" s="15" t="str">
        <f t="shared" si="57"/>
        <v/>
      </c>
      <c r="C1249" s="16" t="str">
        <f>IFERROR(VLOOKUP(DATA!#REF!,DATA!#REF!,1,FALSE),"")</f>
        <v/>
      </c>
      <c r="D1249" s="16" t="str">
        <f>IFERROR(VLOOKUP(C1249,DATA!#REF!,2,FALSE),"")</f>
        <v/>
      </c>
    </row>
    <row r="1250" spans="2:4" s="237" customFormat="1">
      <c r="B1250" s="15" t="str">
        <f t="shared" si="57"/>
        <v/>
      </c>
      <c r="C1250" s="16" t="str">
        <f>IFERROR(VLOOKUP(DATA!#REF!,DATA!#REF!,1,FALSE),"")</f>
        <v/>
      </c>
      <c r="D1250" s="16" t="str">
        <f>IFERROR(VLOOKUP(C1250,DATA!#REF!,2,FALSE),"")</f>
        <v/>
      </c>
    </row>
    <row r="1251" spans="2:4" s="237" customFormat="1">
      <c r="B1251" s="15" t="str">
        <f t="shared" si="57"/>
        <v/>
      </c>
      <c r="C1251" s="16" t="str">
        <f>IFERROR(VLOOKUP(DATA!#REF!,DATA!#REF!,1,FALSE),"")</f>
        <v/>
      </c>
      <c r="D1251" s="16" t="str">
        <f>IFERROR(VLOOKUP(C1251,DATA!#REF!,2,FALSE),"")</f>
        <v/>
      </c>
    </row>
    <row r="1252" spans="2:4" s="237" customFormat="1">
      <c r="B1252" s="15" t="str">
        <f t="shared" si="57"/>
        <v/>
      </c>
      <c r="C1252" s="16" t="str">
        <f>IFERROR(VLOOKUP(DATA!#REF!,DATA!#REF!,1,FALSE),"")</f>
        <v/>
      </c>
      <c r="D1252" s="16" t="str">
        <f>IFERROR(VLOOKUP(C1252,DATA!#REF!,2,FALSE),"")</f>
        <v/>
      </c>
    </row>
    <row r="1253" spans="2:4" s="237" customFormat="1">
      <c r="B1253" s="15" t="str">
        <f t="shared" si="57"/>
        <v/>
      </c>
      <c r="C1253" s="16" t="str">
        <f>IFERROR(VLOOKUP(DATA!#REF!,DATA!#REF!,1,FALSE),"")</f>
        <v/>
      </c>
      <c r="D1253" s="16" t="str">
        <f>IFERROR(VLOOKUP(C1253,DATA!#REF!,2,FALSE),"")</f>
        <v/>
      </c>
    </row>
    <row r="1254" spans="2:4" s="237" customFormat="1">
      <c r="B1254" s="15" t="str">
        <f t="shared" si="57"/>
        <v/>
      </c>
      <c r="C1254" s="16" t="str">
        <f>IFERROR(VLOOKUP(DATA!#REF!,DATA!#REF!,1,FALSE),"")</f>
        <v/>
      </c>
      <c r="D1254" s="16" t="str">
        <f>IFERROR(VLOOKUP(C1254,DATA!#REF!,2,FALSE),"")</f>
        <v/>
      </c>
    </row>
    <row r="1255" spans="2:4" s="237" customFormat="1">
      <c r="B1255" s="15" t="str">
        <f t="shared" si="57"/>
        <v/>
      </c>
      <c r="C1255" s="16" t="str">
        <f>IFERROR(VLOOKUP(DATA!#REF!,DATA!#REF!,1,FALSE),"")</f>
        <v/>
      </c>
      <c r="D1255" s="16" t="str">
        <f>IFERROR(VLOOKUP(C1255,DATA!#REF!,2,FALSE),"")</f>
        <v/>
      </c>
    </row>
    <row r="1256" spans="2:4" s="237" customFormat="1">
      <c r="B1256" s="15" t="str">
        <f t="shared" si="57"/>
        <v/>
      </c>
      <c r="C1256" s="16" t="str">
        <f>IFERROR(VLOOKUP(DATA!#REF!,DATA!#REF!,1,FALSE),"")</f>
        <v/>
      </c>
      <c r="D1256" s="16" t="str">
        <f>IFERROR(VLOOKUP(C1256,DATA!#REF!,2,FALSE),"")</f>
        <v/>
      </c>
    </row>
    <row r="1257" spans="2:4" s="237" customFormat="1">
      <c r="B1257" s="15" t="str">
        <f t="shared" si="57"/>
        <v/>
      </c>
      <c r="C1257" s="16" t="str">
        <f>IFERROR(VLOOKUP(DATA!#REF!,DATA!#REF!,1,FALSE),"")</f>
        <v/>
      </c>
      <c r="D1257" s="16" t="str">
        <f>IFERROR(VLOOKUP(C1257,DATA!#REF!,2,FALSE),"")</f>
        <v/>
      </c>
    </row>
    <row r="1258" spans="2:4" s="237" customFormat="1">
      <c r="B1258" s="15" t="str">
        <f t="shared" si="57"/>
        <v/>
      </c>
      <c r="C1258" s="16" t="str">
        <f>IFERROR(VLOOKUP(DATA!#REF!,DATA!#REF!,1,FALSE),"")</f>
        <v/>
      </c>
      <c r="D1258" s="16" t="str">
        <f>IFERROR(VLOOKUP(C1258,DATA!#REF!,2,FALSE),"")</f>
        <v/>
      </c>
    </row>
    <row r="1259" spans="2:4" s="237" customFormat="1">
      <c r="B1259" s="15" t="str">
        <f t="shared" si="57"/>
        <v/>
      </c>
      <c r="C1259" s="16" t="str">
        <f>IFERROR(VLOOKUP(DATA!#REF!,DATA!#REF!,1,FALSE),"")</f>
        <v/>
      </c>
      <c r="D1259" s="16" t="str">
        <f>IFERROR(VLOOKUP(C1259,DATA!#REF!,2,FALSE),"")</f>
        <v/>
      </c>
    </row>
    <row r="1260" spans="2:4" s="237" customFormat="1">
      <c r="B1260" s="15" t="str">
        <f t="shared" si="57"/>
        <v/>
      </c>
      <c r="C1260" s="16" t="str">
        <f>IFERROR(VLOOKUP(DATA!#REF!,DATA!#REF!,1,FALSE),"")</f>
        <v/>
      </c>
      <c r="D1260" s="16" t="str">
        <f>IFERROR(VLOOKUP(C1260,DATA!#REF!,2,FALSE),"")</f>
        <v/>
      </c>
    </row>
    <row r="1261" spans="2:4" s="237" customFormat="1">
      <c r="B1261" s="15" t="str">
        <f t="shared" si="57"/>
        <v/>
      </c>
      <c r="C1261" s="16" t="str">
        <f>IFERROR(VLOOKUP(DATA!#REF!,DATA!#REF!,1,FALSE),"")</f>
        <v/>
      </c>
      <c r="D1261" s="16" t="str">
        <f>IFERROR(VLOOKUP(C1261,DATA!#REF!,2,FALSE),"")</f>
        <v/>
      </c>
    </row>
    <row r="1262" spans="2:4" s="237" customFormat="1">
      <c r="B1262" s="15" t="str">
        <f t="shared" si="57"/>
        <v/>
      </c>
      <c r="C1262" s="16" t="str">
        <f>IFERROR(VLOOKUP(DATA!#REF!,DATA!#REF!,1,FALSE),"")</f>
        <v/>
      </c>
      <c r="D1262" s="16" t="str">
        <f>IFERROR(VLOOKUP(C1262,DATA!#REF!,2,FALSE),"")</f>
        <v/>
      </c>
    </row>
    <row r="1263" spans="2:4" s="237" customFormat="1">
      <c r="B1263" s="15" t="str">
        <f t="shared" si="57"/>
        <v/>
      </c>
      <c r="C1263" s="16" t="str">
        <f>IFERROR(VLOOKUP(DATA!#REF!,DATA!#REF!,1,FALSE),"")</f>
        <v/>
      </c>
      <c r="D1263" s="16" t="str">
        <f>IFERROR(VLOOKUP(C1263,DATA!#REF!,2,FALSE),"")</f>
        <v/>
      </c>
    </row>
    <row r="1264" spans="2:4" s="237" customFormat="1">
      <c r="B1264" s="15" t="str">
        <f t="shared" si="57"/>
        <v/>
      </c>
      <c r="C1264" s="16" t="str">
        <f>IFERROR(VLOOKUP(DATA!#REF!,DATA!#REF!,1,FALSE),"")</f>
        <v/>
      </c>
      <c r="D1264" s="16" t="str">
        <f>IFERROR(VLOOKUP(C1264,DATA!#REF!,2,FALSE),"")</f>
        <v/>
      </c>
    </row>
    <row r="1265" spans="2:4" s="237" customFormat="1">
      <c r="B1265" s="15" t="str">
        <f t="shared" si="57"/>
        <v/>
      </c>
      <c r="C1265" s="16" t="str">
        <f>IFERROR(VLOOKUP(DATA!#REF!,DATA!#REF!,1,FALSE),"")</f>
        <v/>
      </c>
      <c r="D1265" s="16" t="str">
        <f>IFERROR(VLOOKUP(C1265,DATA!#REF!,2,FALSE),"")</f>
        <v/>
      </c>
    </row>
    <row r="1266" spans="2:4" s="237" customFormat="1">
      <c r="B1266" s="15" t="str">
        <f t="shared" si="57"/>
        <v/>
      </c>
      <c r="C1266" s="16" t="str">
        <f>IFERROR(VLOOKUP(DATA!#REF!,DATA!#REF!,1,FALSE),"")</f>
        <v/>
      </c>
      <c r="D1266" s="16" t="str">
        <f>IFERROR(VLOOKUP(C1266,DATA!#REF!,2,FALSE),"")</f>
        <v/>
      </c>
    </row>
    <row r="1267" spans="2:4" s="237" customFormat="1">
      <c r="B1267" s="15" t="str">
        <f t="shared" si="57"/>
        <v/>
      </c>
      <c r="C1267" s="16" t="str">
        <f>IFERROR(VLOOKUP(DATA!#REF!,DATA!#REF!,1,FALSE),"")</f>
        <v/>
      </c>
      <c r="D1267" s="16" t="str">
        <f>IFERROR(VLOOKUP(C1267,DATA!#REF!,2,FALSE),"")</f>
        <v/>
      </c>
    </row>
    <row r="1268" spans="2:4" s="237" customFormat="1">
      <c r="B1268" s="15" t="str">
        <f t="shared" si="57"/>
        <v/>
      </c>
      <c r="C1268" s="16" t="str">
        <f>IFERROR(VLOOKUP(DATA!#REF!,DATA!#REF!,1,FALSE),"")</f>
        <v/>
      </c>
      <c r="D1268" s="16" t="str">
        <f>IFERROR(VLOOKUP(C1268,DATA!#REF!,2,FALSE),"")</f>
        <v/>
      </c>
    </row>
    <row r="1269" spans="2:4" s="237" customFormat="1">
      <c r="B1269" s="15" t="str">
        <f t="shared" si="57"/>
        <v/>
      </c>
      <c r="C1269" s="16" t="str">
        <f>IFERROR(VLOOKUP(DATA!#REF!,DATA!#REF!,1,FALSE),"")</f>
        <v/>
      </c>
      <c r="D1269" s="16" t="str">
        <f>IFERROR(VLOOKUP(C1269,DATA!#REF!,2,FALSE),"")</f>
        <v/>
      </c>
    </row>
    <row r="1270" spans="2:4" s="237" customFormat="1">
      <c r="B1270" s="15" t="str">
        <f t="shared" si="57"/>
        <v/>
      </c>
      <c r="C1270" s="16" t="str">
        <f>IFERROR(VLOOKUP(DATA!#REF!,DATA!#REF!,1,FALSE),"")</f>
        <v/>
      </c>
      <c r="D1270" s="16" t="str">
        <f>IFERROR(VLOOKUP(C1270,DATA!#REF!,2,FALSE),"")</f>
        <v/>
      </c>
    </row>
    <row r="1271" spans="2:4" s="237" customFormat="1">
      <c r="B1271" s="15" t="str">
        <f t="shared" si="57"/>
        <v/>
      </c>
      <c r="C1271" s="16" t="str">
        <f>IFERROR(VLOOKUP(DATA!#REF!,DATA!#REF!,1,FALSE),"")</f>
        <v/>
      </c>
      <c r="D1271" s="16" t="str">
        <f>IFERROR(VLOOKUP(C1271,DATA!#REF!,2,FALSE),"")</f>
        <v/>
      </c>
    </row>
    <row r="1272" spans="2:4" s="237" customFormat="1">
      <c r="B1272" s="15" t="str">
        <f t="shared" si="57"/>
        <v/>
      </c>
      <c r="C1272" s="16" t="str">
        <f>IFERROR(VLOOKUP(DATA!#REF!,DATA!#REF!,1,FALSE),"")</f>
        <v/>
      </c>
      <c r="D1272" s="16" t="str">
        <f>IFERROR(VLOOKUP(C1272,DATA!#REF!,2,FALSE),"")</f>
        <v/>
      </c>
    </row>
    <row r="1273" spans="2:4" s="237" customFormat="1">
      <c r="B1273" s="15" t="str">
        <f t="shared" si="57"/>
        <v/>
      </c>
      <c r="C1273" s="16" t="str">
        <f>IFERROR(VLOOKUP(DATA!#REF!,DATA!#REF!,1,FALSE),"")</f>
        <v/>
      </c>
      <c r="D1273" s="16" t="str">
        <f>IFERROR(VLOOKUP(C1273,DATA!#REF!,2,FALSE),"")</f>
        <v/>
      </c>
    </row>
    <row r="1274" spans="2:4" s="237" customFormat="1">
      <c r="B1274" s="15" t="str">
        <f t="shared" si="57"/>
        <v/>
      </c>
      <c r="C1274" s="16" t="str">
        <f>IFERROR(VLOOKUP(DATA!#REF!,DATA!#REF!,1,FALSE),"")</f>
        <v/>
      </c>
      <c r="D1274" s="16" t="str">
        <f>IFERROR(VLOOKUP(C1274,DATA!#REF!,2,FALSE),"")</f>
        <v/>
      </c>
    </row>
    <row r="1275" spans="2:4" s="237" customFormat="1">
      <c r="B1275" s="15" t="str">
        <f t="shared" si="57"/>
        <v/>
      </c>
      <c r="C1275" s="16" t="str">
        <f>IFERROR(VLOOKUP(DATA!#REF!,DATA!#REF!,1,FALSE),"")</f>
        <v/>
      </c>
      <c r="D1275" s="16" t="str">
        <f>IFERROR(VLOOKUP(C1275,DATA!#REF!,2,FALSE),"")</f>
        <v/>
      </c>
    </row>
    <row r="1276" spans="2:4" s="237" customFormat="1">
      <c r="B1276" s="15" t="str">
        <f t="shared" si="57"/>
        <v/>
      </c>
      <c r="C1276" s="16" t="str">
        <f>IFERROR(VLOOKUP(DATA!#REF!,DATA!#REF!,1,FALSE),"")</f>
        <v/>
      </c>
      <c r="D1276" s="16" t="str">
        <f>IFERROR(VLOOKUP(C1276,DATA!#REF!,2,FALSE),"")</f>
        <v/>
      </c>
    </row>
    <row r="1277" spans="2:4" s="237" customFormat="1">
      <c r="B1277" s="15" t="str">
        <f t="shared" si="57"/>
        <v/>
      </c>
      <c r="C1277" s="16" t="str">
        <f>IFERROR(VLOOKUP(DATA!#REF!,DATA!#REF!,1,FALSE),"")</f>
        <v/>
      </c>
      <c r="D1277" s="16" t="str">
        <f>IFERROR(VLOOKUP(C1277,DATA!#REF!,2,FALSE),"")</f>
        <v/>
      </c>
    </row>
    <row r="1278" spans="2:4" s="237" customFormat="1">
      <c r="B1278" s="15" t="str">
        <f t="shared" si="57"/>
        <v/>
      </c>
      <c r="C1278" s="16" t="str">
        <f>IFERROR(VLOOKUP(DATA!#REF!,DATA!#REF!,1,FALSE),"")</f>
        <v/>
      </c>
      <c r="D1278" s="16" t="str">
        <f>IFERROR(VLOOKUP(C1278,DATA!#REF!,2,FALSE),"")</f>
        <v/>
      </c>
    </row>
    <row r="1279" spans="2:4" s="237" customFormat="1">
      <c r="B1279" s="15" t="str">
        <f t="shared" si="57"/>
        <v/>
      </c>
      <c r="C1279" s="16" t="str">
        <f>IFERROR(VLOOKUP(DATA!#REF!,DATA!#REF!,1,FALSE),"")</f>
        <v/>
      </c>
      <c r="D1279" s="16" t="str">
        <f>IFERROR(VLOOKUP(C1279,DATA!#REF!,2,FALSE),"")</f>
        <v/>
      </c>
    </row>
    <row r="1280" spans="2:4" s="237" customFormat="1">
      <c r="B1280" s="15" t="str">
        <f t="shared" si="57"/>
        <v/>
      </c>
      <c r="C1280" s="16" t="str">
        <f>IFERROR(VLOOKUP(DATA!#REF!,DATA!#REF!,1,FALSE),"")</f>
        <v/>
      </c>
      <c r="D1280" s="16" t="str">
        <f>IFERROR(VLOOKUP(C1280,DATA!#REF!,2,FALSE),"")</f>
        <v/>
      </c>
    </row>
    <row r="1281" spans="2:4" s="237" customFormat="1">
      <c r="B1281" s="15" t="str">
        <f t="shared" si="57"/>
        <v/>
      </c>
      <c r="C1281" s="16" t="str">
        <f>IFERROR(VLOOKUP(DATA!#REF!,DATA!#REF!,1,FALSE),"")</f>
        <v/>
      </c>
      <c r="D1281" s="16" t="str">
        <f>IFERROR(VLOOKUP(C1281,DATA!#REF!,2,FALSE),"")</f>
        <v/>
      </c>
    </row>
    <row r="1282" spans="2:4" s="237" customFormat="1">
      <c r="B1282" s="15" t="str">
        <f t="shared" si="57"/>
        <v/>
      </c>
      <c r="C1282" s="16" t="str">
        <f>IFERROR(VLOOKUP(DATA!#REF!,DATA!#REF!,1,FALSE),"")</f>
        <v/>
      </c>
      <c r="D1282" s="16" t="str">
        <f>IFERROR(VLOOKUP(C1282,DATA!#REF!,2,FALSE),"")</f>
        <v/>
      </c>
    </row>
    <row r="1283" spans="2:4" s="237" customFormat="1">
      <c r="B1283" s="15" t="str">
        <f t="shared" si="57"/>
        <v/>
      </c>
      <c r="C1283" s="16" t="str">
        <f>IFERROR(VLOOKUP(DATA!#REF!,DATA!#REF!,1,FALSE),"")</f>
        <v/>
      </c>
      <c r="D1283" s="16" t="str">
        <f>IFERROR(VLOOKUP(C1283,DATA!#REF!,2,FALSE),"")</f>
        <v/>
      </c>
    </row>
    <row r="1284" spans="2:4" s="237" customFormat="1">
      <c r="B1284" s="15" t="str">
        <f t="shared" si="57"/>
        <v/>
      </c>
      <c r="C1284" s="16" t="str">
        <f>IFERROR(VLOOKUP(DATA!#REF!,DATA!#REF!,1,FALSE),"")</f>
        <v/>
      </c>
      <c r="D1284" s="16" t="str">
        <f>IFERROR(VLOOKUP(C1284,DATA!#REF!,2,FALSE),"")</f>
        <v/>
      </c>
    </row>
    <row r="1285" spans="2:4" s="237" customFormat="1">
      <c r="B1285" s="15" t="str">
        <f t="shared" si="57"/>
        <v/>
      </c>
      <c r="C1285" s="16" t="str">
        <f>IFERROR(VLOOKUP(DATA!#REF!,DATA!#REF!,1,FALSE),"")</f>
        <v/>
      </c>
      <c r="D1285" s="16" t="str">
        <f>IFERROR(VLOOKUP(C1285,DATA!#REF!,2,FALSE),"")</f>
        <v/>
      </c>
    </row>
    <row r="1286" spans="2:4" s="237" customFormat="1">
      <c r="B1286" s="15" t="str">
        <f t="shared" ref="B1286:B1349" si="58">+IF(C1286="","",ROW()-5)</f>
        <v/>
      </c>
      <c r="C1286" s="16" t="str">
        <f>IFERROR(VLOOKUP(DATA!#REF!,DATA!#REF!,1,FALSE),"")</f>
        <v/>
      </c>
      <c r="D1286" s="16" t="str">
        <f>IFERROR(VLOOKUP(C1286,DATA!#REF!,2,FALSE),"")</f>
        <v/>
      </c>
    </row>
    <row r="1287" spans="2:4" s="237" customFormat="1">
      <c r="B1287" s="15" t="str">
        <f t="shared" si="58"/>
        <v/>
      </c>
      <c r="C1287" s="16" t="str">
        <f>IFERROR(VLOOKUP(DATA!#REF!,DATA!#REF!,1,FALSE),"")</f>
        <v/>
      </c>
      <c r="D1287" s="16" t="str">
        <f>IFERROR(VLOOKUP(C1287,DATA!#REF!,2,FALSE),"")</f>
        <v/>
      </c>
    </row>
    <row r="1288" spans="2:4" s="237" customFormat="1">
      <c r="B1288" s="15" t="str">
        <f t="shared" si="58"/>
        <v/>
      </c>
      <c r="C1288" s="16" t="str">
        <f>IFERROR(VLOOKUP(DATA!#REF!,DATA!#REF!,1,FALSE),"")</f>
        <v/>
      </c>
      <c r="D1288" s="16" t="str">
        <f>IFERROR(VLOOKUP(C1288,DATA!#REF!,2,FALSE),"")</f>
        <v/>
      </c>
    </row>
    <row r="1289" spans="2:4" s="237" customFormat="1">
      <c r="B1289" s="15" t="str">
        <f t="shared" si="58"/>
        <v/>
      </c>
      <c r="C1289" s="16" t="str">
        <f>IFERROR(VLOOKUP(DATA!#REF!,DATA!#REF!,1,FALSE),"")</f>
        <v/>
      </c>
      <c r="D1289" s="16" t="str">
        <f>IFERROR(VLOOKUP(C1289,DATA!#REF!,2,FALSE),"")</f>
        <v/>
      </c>
    </row>
    <row r="1290" spans="2:4" s="237" customFormat="1">
      <c r="B1290" s="15" t="str">
        <f t="shared" si="58"/>
        <v/>
      </c>
      <c r="C1290" s="16" t="str">
        <f>IFERROR(VLOOKUP(DATA!#REF!,DATA!#REF!,1,FALSE),"")</f>
        <v/>
      </c>
      <c r="D1290" s="16" t="str">
        <f>IFERROR(VLOOKUP(C1290,DATA!#REF!,2,FALSE),"")</f>
        <v/>
      </c>
    </row>
    <row r="1291" spans="2:4" s="237" customFormat="1">
      <c r="B1291" s="15" t="str">
        <f t="shared" si="58"/>
        <v/>
      </c>
      <c r="C1291" s="16" t="str">
        <f>IFERROR(VLOOKUP(DATA!#REF!,DATA!#REF!,1,FALSE),"")</f>
        <v/>
      </c>
      <c r="D1291" s="16" t="str">
        <f>IFERROR(VLOOKUP(C1291,DATA!#REF!,2,FALSE),"")</f>
        <v/>
      </c>
    </row>
    <row r="1292" spans="2:4" s="237" customFormat="1">
      <c r="B1292" s="15" t="str">
        <f t="shared" si="58"/>
        <v/>
      </c>
      <c r="C1292" s="16" t="str">
        <f>IFERROR(VLOOKUP(DATA!#REF!,DATA!#REF!,1,FALSE),"")</f>
        <v/>
      </c>
      <c r="D1292" s="16" t="str">
        <f>IFERROR(VLOOKUP(C1292,DATA!#REF!,2,FALSE),"")</f>
        <v/>
      </c>
    </row>
    <row r="1293" spans="2:4" s="237" customFormat="1">
      <c r="B1293" s="15" t="str">
        <f t="shared" si="58"/>
        <v/>
      </c>
      <c r="C1293" s="16" t="str">
        <f>IFERROR(VLOOKUP(DATA!#REF!,DATA!#REF!,1,FALSE),"")</f>
        <v/>
      </c>
      <c r="D1293" s="16" t="str">
        <f>IFERROR(VLOOKUP(C1293,DATA!#REF!,2,FALSE),"")</f>
        <v/>
      </c>
    </row>
    <row r="1294" spans="2:4" s="237" customFormat="1">
      <c r="B1294" s="15" t="str">
        <f t="shared" si="58"/>
        <v/>
      </c>
      <c r="C1294" s="16" t="str">
        <f>IFERROR(VLOOKUP(DATA!#REF!,DATA!#REF!,1,FALSE),"")</f>
        <v/>
      </c>
      <c r="D1294" s="16" t="str">
        <f>IFERROR(VLOOKUP(C1294,DATA!#REF!,2,FALSE),"")</f>
        <v/>
      </c>
    </row>
    <row r="1295" spans="2:4" s="237" customFormat="1">
      <c r="B1295" s="15" t="str">
        <f t="shared" si="58"/>
        <v/>
      </c>
      <c r="C1295" s="16" t="str">
        <f>IFERROR(VLOOKUP(DATA!#REF!,DATA!#REF!,1,FALSE),"")</f>
        <v/>
      </c>
      <c r="D1295" s="16" t="str">
        <f>IFERROR(VLOOKUP(C1295,DATA!#REF!,2,FALSE),"")</f>
        <v/>
      </c>
    </row>
    <row r="1296" spans="2:4" s="237" customFormat="1">
      <c r="B1296" s="15" t="str">
        <f t="shared" si="58"/>
        <v/>
      </c>
      <c r="C1296" s="16" t="str">
        <f>IFERROR(VLOOKUP(DATA!#REF!,DATA!#REF!,1,FALSE),"")</f>
        <v/>
      </c>
      <c r="D1296" s="16" t="str">
        <f>IFERROR(VLOOKUP(C1296,DATA!#REF!,2,FALSE),"")</f>
        <v/>
      </c>
    </row>
    <row r="1297" spans="2:4" s="237" customFormat="1">
      <c r="B1297" s="15" t="str">
        <f t="shared" si="58"/>
        <v/>
      </c>
      <c r="C1297" s="16" t="str">
        <f>IFERROR(VLOOKUP(DATA!#REF!,DATA!#REF!,1,FALSE),"")</f>
        <v/>
      </c>
      <c r="D1297" s="16" t="str">
        <f>IFERROR(VLOOKUP(C1297,DATA!#REF!,2,FALSE),"")</f>
        <v/>
      </c>
    </row>
    <row r="1298" spans="2:4" s="237" customFormat="1">
      <c r="B1298" s="15" t="str">
        <f t="shared" si="58"/>
        <v/>
      </c>
      <c r="C1298" s="16" t="str">
        <f>IFERROR(VLOOKUP(DATA!#REF!,DATA!#REF!,1,FALSE),"")</f>
        <v/>
      </c>
      <c r="D1298" s="16" t="str">
        <f>IFERROR(VLOOKUP(C1298,DATA!#REF!,2,FALSE),"")</f>
        <v/>
      </c>
    </row>
    <row r="1299" spans="2:4" s="237" customFormat="1">
      <c r="B1299" s="15" t="str">
        <f t="shared" si="58"/>
        <v/>
      </c>
      <c r="C1299" s="16" t="str">
        <f>IFERROR(VLOOKUP(DATA!#REF!,DATA!#REF!,1,FALSE),"")</f>
        <v/>
      </c>
      <c r="D1299" s="16" t="str">
        <f>IFERROR(VLOOKUP(C1299,DATA!#REF!,2,FALSE),"")</f>
        <v/>
      </c>
    </row>
    <row r="1300" spans="2:4" s="237" customFormat="1">
      <c r="B1300" s="15" t="str">
        <f t="shared" si="58"/>
        <v/>
      </c>
      <c r="C1300" s="16" t="str">
        <f>IFERROR(VLOOKUP(DATA!#REF!,DATA!#REF!,1,FALSE),"")</f>
        <v/>
      </c>
      <c r="D1300" s="16" t="str">
        <f>IFERROR(VLOOKUP(C1300,DATA!#REF!,2,FALSE),"")</f>
        <v/>
      </c>
    </row>
    <row r="1301" spans="2:4" s="237" customFormat="1">
      <c r="B1301" s="15" t="str">
        <f t="shared" si="58"/>
        <v/>
      </c>
      <c r="C1301" s="16" t="str">
        <f>IFERROR(VLOOKUP(DATA!#REF!,DATA!#REF!,1,FALSE),"")</f>
        <v/>
      </c>
      <c r="D1301" s="16" t="str">
        <f>IFERROR(VLOOKUP(C1301,DATA!#REF!,2,FALSE),"")</f>
        <v/>
      </c>
    </row>
    <row r="1302" spans="2:4" s="237" customFormat="1">
      <c r="B1302" s="15" t="str">
        <f t="shared" si="58"/>
        <v/>
      </c>
      <c r="C1302" s="16" t="str">
        <f>IFERROR(VLOOKUP(DATA!#REF!,DATA!#REF!,1,FALSE),"")</f>
        <v/>
      </c>
      <c r="D1302" s="16" t="str">
        <f>IFERROR(VLOOKUP(C1302,DATA!#REF!,2,FALSE),"")</f>
        <v/>
      </c>
    </row>
    <row r="1303" spans="2:4" s="237" customFormat="1">
      <c r="B1303" s="15" t="str">
        <f t="shared" si="58"/>
        <v/>
      </c>
      <c r="C1303" s="16" t="str">
        <f>IFERROR(VLOOKUP(DATA!#REF!,DATA!#REF!,1,FALSE),"")</f>
        <v/>
      </c>
      <c r="D1303" s="16" t="str">
        <f>IFERROR(VLOOKUP(C1303,DATA!#REF!,2,FALSE),"")</f>
        <v/>
      </c>
    </row>
    <row r="1304" spans="2:4" s="237" customFormat="1">
      <c r="B1304" s="15" t="str">
        <f t="shared" si="58"/>
        <v/>
      </c>
      <c r="C1304" s="16" t="str">
        <f>IFERROR(VLOOKUP(DATA!#REF!,DATA!#REF!,1,FALSE),"")</f>
        <v/>
      </c>
      <c r="D1304" s="16" t="str">
        <f>IFERROR(VLOOKUP(C1304,DATA!#REF!,2,FALSE),"")</f>
        <v/>
      </c>
    </row>
    <row r="1305" spans="2:4" s="237" customFormat="1">
      <c r="B1305" s="15" t="str">
        <f t="shared" si="58"/>
        <v/>
      </c>
      <c r="C1305" s="16" t="str">
        <f>IFERROR(VLOOKUP(DATA!#REF!,DATA!#REF!,1,FALSE),"")</f>
        <v/>
      </c>
      <c r="D1305" s="16" t="str">
        <f>IFERROR(VLOOKUP(C1305,DATA!#REF!,2,FALSE),"")</f>
        <v/>
      </c>
    </row>
    <row r="1306" spans="2:4" s="237" customFormat="1">
      <c r="B1306" s="15" t="str">
        <f t="shared" si="58"/>
        <v/>
      </c>
      <c r="C1306" s="16" t="str">
        <f>IFERROR(VLOOKUP(DATA!#REF!,DATA!#REF!,1,FALSE),"")</f>
        <v/>
      </c>
      <c r="D1306" s="16" t="str">
        <f>IFERROR(VLOOKUP(C1306,DATA!#REF!,2,FALSE),"")</f>
        <v/>
      </c>
    </row>
    <row r="1307" spans="2:4" s="237" customFormat="1">
      <c r="B1307" s="15" t="str">
        <f t="shared" si="58"/>
        <v/>
      </c>
      <c r="C1307" s="16" t="str">
        <f>IFERROR(VLOOKUP(DATA!#REF!,DATA!#REF!,1,FALSE),"")</f>
        <v/>
      </c>
      <c r="D1307" s="16" t="str">
        <f>IFERROR(VLOOKUP(C1307,DATA!#REF!,2,FALSE),"")</f>
        <v/>
      </c>
    </row>
    <row r="1308" spans="2:4" s="237" customFormat="1">
      <c r="B1308" s="15" t="str">
        <f t="shared" si="58"/>
        <v/>
      </c>
      <c r="C1308" s="16" t="str">
        <f>IFERROR(VLOOKUP(DATA!#REF!,DATA!#REF!,1,FALSE),"")</f>
        <v/>
      </c>
      <c r="D1308" s="16" t="str">
        <f>IFERROR(VLOOKUP(C1308,DATA!#REF!,2,FALSE),"")</f>
        <v/>
      </c>
    </row>
    <row r="1309" spans="2:4" s="237" customFormat="1">
      <c r="B1309" s="15" t="str">
        <f t="shared" si="58"/>
        <v/>
      </c>
      <c r="C1309" s="16" t="str">
        <f>IFERROR(VLOOKUP(DATA!#REF!,DATA!#REF!,1,FALSE),"")</f>
        <v/>
      </c>
      <c r="D1309" s="16" t="str">
        <f>IFERROR(VLOOKUP(C1309,DATA!#REF!,2,FALSE),"")</f>
        <v/>
      </c>
    </row>
    <row r="1310" spans="2:4" s="237" customFormat="1">
      <c r="B1310" s="15" t="str">
        <f t="shared" si="58"/>
        <v/>
      </c>
      <c r="C1310" s="16" t="str">
        <f>IFERROR(VLOOKUP(DATA!#REF!,DATA!#REF!,1,FALSE),"")</f>
        <v/>
      </c>
      <c r="D1310" s="16" t="str">
        <f>IFERROR(VLOOKUP(C1310,DATA!#REF!,2,FALSE),"")</f>
        <v/>
      </c>
    </row>
    <row r="1311" spans="2:4" s="237" customFormat="1">
      <c r="B1311" s="15" t="str">
        <f t="shared" si="58"/>
        <v/>
      </c>
      <c r="C1311" s="16" t="str">
        <f>IFERROR(VLOOKUP(DATA!#REF!,DATA!#REF!,1,FALSE),"")</f>
        <v/>
      </c>
      <c r="D1311" s="16" t="str">
        <f>IFERROR(VLOOKUP(C1311,DATA!#REF!,2,FALSE),"")</f>
        <v/>
      </c>
    </row>
    <row r="1312" spans="2:4" s="237" customFormat="1">
      <c r="B1312" s="15" t="str">
        <f t="shared" si="58"/>
        <v/>
      </c>
      <c r="C1312" s="16" t="str">
        <f>IFERROR(VLOOKUP(DATA!#REF!,DATA!#REF!,1,FALSE),"")</f>
        <v/>
      </c>
      <c r="D1312" s="16" t="str">
        <f>IFERROR(VLOOKUP(C1312,DATA!#REF!,2,FALSE),"")</f>
        <v/>
      </c>
    </row>
    <row r="1313" spans="2:4" s="237" customFormat="1">
      <c r="B1313" s="15" t="str">
        <f t="shared" si="58"/>
        <v/>
      </c>
      <c r="C1313" s="16" t="str">
        <f>IFERROR(VLOOKUP(DATA!#REF!,DATA!#REF!,1,FALSE),"")</f>
        <v/>
      </c>
      <c r="D1313" s="16" t="str">
        <f>IFERROR(VLOOKUP(C1313,DATA!#REF!,2,FALSE),"")</f>
        <v/>
      </c>
    </row>
    <row r="1314" spans="2:4" s="237" customFormat="1">
      <c r="B1314" s="15" t="str">
        <f t="shared" si="58"/>
        <v/>
      </c>
      <c r="C1314" s="16" t="str">
        <f>IFERROR(VLOOKUP(DATA!#REF!,DATA!#REF!,1,FALSE),"")</f>
        <v/>
      </c>
      <c r="D1314" s="16" t="str">
        <f>IFERROR(VLOOKUP(C1314,DATA!#REF!,2,FALSE),"")</f>
        <v/>
      </c>
    </row>
    <row r="1315" spans="2:4" s="237" customFormat="1">
      <c r="B1315" s="15" t="str">
        <f t="shared" si="58"/>
        <v/>
      </c>
      <c r="C1315" s="16" t="str">
        <f>IFERROR(VLOOKUP(DATA!#REF!,DATA!#REF!,1,FALSE),"")</f>
        <v/>
      </c>
      <c r="D1315" s="16" t="str">
        <f>IFERROR(VLOOKUP(C1315,DATA!#REF!,2,FALSE),"")</f>
        <v/>
      </c>
    </row>
    <row r="1316" spans="2:4" s="237" customFormat="1">
      <c r="B1316" s="15" t="str">
        <f t="shared" si="58"/>
        <v/>
      </c>
      <c r="C1316" s="16" t="str">
        <f>IFERROR(VLOOKUP(DATA!#REF!,DATA!#REF!,1,FALSE),"")</f>
        <v/>
      </c>
      <c r="D1316" s="16" t="str">
        <f>IFERROR(VLOOKUP(C1316,DATA!#REF!,2,FALSE),"")</f>
        <v/>
      </c>
    </row>
    <row r="1317" spans="2:4" s="237" customFormat="1">
      <c r="B1317" s="15" t="str">
        <f t="shared" si="58"/>
        <v/>
      </c>
      <c r="C1317" s="16" t="str">
        <f>IFERROR(VLOOKUP(DATA!#REF!,DATA!#REF!,1,FALSE),"")</f>
        <v/>
      </c>
      <c r="D1317" s="16" t="str">
        <f>IFERROR(VLOOKUP(C1317,DATA!#REF!,2,FALSE),"")</f>
        <v/>
      </c>
    </row>
    <row r="1318" spans="2:4" s="237" customFormat="1">
      <c r="B1318" s="15" t="str">
        <f t="shared" si="58"/>
        <v/>
      </c>
      <c r="C1318" s="16" t="str">
        <f>IFERROR(VLOOKUP(DATA!#REF!,DATA!#REF!,1,FALSE),"")</f>
        <v/>
      </c>
      <c r="D1318" s="16" t="str">
        <f>IFERROR(VLOOKUP(C1318,DATA!#REF!,2,FALSE),"")</f>
        <v/>
      </c>
    </row>
    <row r="1319" spans="2:4" s="237" customFormat="1">
      <c r="B1319" s="15" t="str">
        <f t="shared" si="58"/>
        <v/>
      </c>
      <c r="C1319" s="16" t="str">
        <f>IFERROR(VLOOKUP(DATA!#REF!,DATA!#REF!,1,FALSE),"")</f>
        <v/>
      </c>
      <c r="D1319" s="16" t="str">
        <f>IFERROR(VLOOKUP(C1319,DATA!#REF!,2,FALSE),"")</f>
        <v/>
      </c>
    </row>
    <row r="1320" spans="2:4" s="237" customFormat="1">
      <c r="B1320" s="15" t="str">
        <f t="shared" si="58"/>
        <v/>
      </c>
      <c r="C1320" s="16" t="str">
        <f>IFERROR(VLOOKUP(DATA!#REF!,DATA!#REF!,1,FALSE),"")</f>
        <v/>
      </c>
      <c r="D1320" s="16" t="str">
        <f>IFERROR(VLOOKUP(C1320,DATA!#REF!,2,FALSE),"")</f>
        <v/>
      </c>
    </row>
    <row r="1321" spans="2:4" s="237" customFormat="1">
      <c r="B1321" s="15" t="str">
        <f t="shared" si="58"/>
        <v/>
      </c>
      <c r="C1321" s="16" t="str">
        <f>IFERROR(VLOOKUP(DATA!#REF!,DATA!#REF!,1,FALSE),"")</f>
        <v/>
      </c>
      <c r="D1321" s="16" t="str">
        <f>IFERROR(VLOOKUP(C1321,DATA!#REF!,2,FALSE),"")</f>
        <v/>
      </c>
    </row>
    <row r="1322" spans="2:4" s="237" customFormat="1">
      <c r="B1322" s="15" t="str">
        <f t="shared" si="58"/>
        <v/>
      </c>
      <c r="C1322" s="16" t="str">
        <f>IFERROR(VLOOKUP(DATA!#REF!,DATA!#REF!,1,FALSE),"")</f>
        <v/>
      </c>
      <c r="D1322" s="16" t="str">
        <f>IFERROR(VLOOKUP(C1322,DATA!#REF!,2,FALSE),"")</f>
        <v/>
      </c>
    </row>
    <row r="1323" spans="2:4" s="237" customFormat="1">
      <c r="B1323" s="15" t="str">
        <f t="shared" si="58"/>
        <v/>
      </c>
      <c r="C1323" s="16" t="str">
        <f>IFERROR(VLOOKUP(DATA!#REF!,DATA!#REF!,1,FALSE),"")</f>
        <v/>
      </c>
      <c r="D1323" s="16" t="str">
        <f>IFERROR(VLOOKUP(C1323,DATA!#REF!,2,FALSE),"")</f>
        <v/>
      </c>
    </row>
    <row r="1324" spans="2:4" s="237" customFormat="1">
      <c r="B1324" s="15" t="str">
        <f t="shared" si="58"/>
        <v/>
      </c>
      <c r="C1324" s="16" t="str">
        <f>IFERROR(VLOOKUP(DATA!#REF!,DATA!#REF!,1,FALSE),"")</f>
        <v/>
      </c>
      <c r="D1324" s="16" t="str">
        <f>IFERROR(VLOOKUP(C1324,DATA!#REF!,2,FALSE),"")</f>
        <v/>
      </c>
    </row>
    <row r="1325" spans="2:4" s="237" customFormat="1">
      <c r="B1325" s="15" t="str">
        <f t="shared" si="58"/>
        <v/>
      </c>
      <c r="C1325" s="16" t="str">
        <f>IFERROR(VLOOKUP(DATA!#REF!,DATA!#REF!,1,FALSE),"")</f>
        <v/>
      </c>
      <c r="D1325" s="16" t="str">
        <f>IFERROR(VLOOKUP(C1325,DATA!#REF!,2,FALSE),"")</f>
        <v/>
      </c>
    </row>
    <row r="1326" spans="2:4" s="237" customFormat="1">
      <c r="B1326" s="15" t="str">
        <f t="shared" si="58"/>
        <v/>
      </c>
      <c r="C1326" s="16" t="str">
        <f>IFERROR(VLOOKUP(DATA!#REF!,DATA!#REF!,1,FALSE),"")</f>
        <v/>
      </c>
      <c r="D1326" s="16" t="str">
        <f>IFERROR(VLOOKUP(C1326,DATA!#REF!,2,FALSE),"")</f>
        <v/>
      </c>
    </row>
    <row r="1327" spans="2:4" s="237" customFormat="1">
      <c r="B1327" s="15" t="str">
        <f t="shared" si="58"/>
        <v/>
      </c>
      <c r="C1327" s="16" t="str">
        <f>IFERROR(VLOOKUP(DATA!#REF!,DATA!#REF!,1,FALSE),"")</f>
        <v/>
      </c>
      <c r="D1327" s="16" t="str">
        <f>IFERROR(VLOOKUP(C1327,DATA!#REF!,2,FALSE),"")</f>
        <v/>
      </c>
    </row>
    <row r="1328" spans="2:4" s="237" customFormat="1">
      <c r="B1328" s="15" t="str">
        <f t="shared" si="58"/>
        <v/>
      </c>
      <c r="C1328" s="16" t="str">
        <f>IFERROR(VLOOKUP(DATA!#REF!,DATA!#REF!,1,FALSE),"")</f>
        <v/>
      </c>
      <c r="D1328" s="16" t="str">
        <f>IFERROR(VLOOKUP(C1328,DATA!#REF!,2,FALSE),"")</f>
        <v/>
      </c>
    </row>
    <row r="1329" spans="2:4" s="237" customFormat="1">
      <c r="B1329" s="15" t="str">
        <f t="shared" si="58"/>
        <v/>
      </c>
      <c r="C1329" s="16" t="str">
        <f>IFERROR(VLOOKUP(DATA!#REF!,DATA!#REF!,1,FALSE),"")</f>
        <v/>
      </c>
      <c r="D1329" s="16" t="str">
        <f>IFERROR(VLOOKUP(C1329,DATA!#REF!,2,FALSE),"")</f>
        <v/>
      </c>
    </row>
    <row r="1330" spans="2:4" s="237" customFormat="1">
      <c r="B1330" s="15" t="str">
        <f t="shared" si="58"/>
        <v/>
      </c>
      <c r="C1330" s="16" t="str">
        <f>IFERROR(VLOOKUP(DATA!#REF!,DATA!#REF!,1,FALSE),"")</f>
        <v/>
      </c>
      <c r="D1330" s="16" t="str">
        <f>IFERROR(VLOOKUP(C1330,DATA!#REF!,2,FALSE),"")</f>
        <v/>
      </c>
    </row>
    <row r="1331" spans="2:4" s="237" customFormat="1">
      <c r="B1331" s="15" t="str">
        <f t="shared" si="58"/>
        <v/>
      </c>
      <c r="C1331" s="16" t="str">
        <f>IFERROR(VLOOKUP(DATA!#REF!,DATA!#REF!,1,FALSE),"")</f>
        <v/>
      </c>
      <c r="D1331" s="16" t="str">
        <f>IFERROR(VLOOKUP(C1331,DATA!#REF!,2,FALSE),"")</f>
        <v/>
      </c>
    </row>
    <row r="1332" spans="2:4" s="237" customFormat="1">
      <c r="B1332" s="15" t="str">
        <f t="shared" si="58"/>
        <v/>
      </c>
      <c r="C1332" s="16" t="str">
        <f>IFERROR(VLOOKUP(DATA!#REF!,DATA!#REF!,1,FALSE),"")</f>
        <v/>
      </c>
      <c r="D1332" s="16" t="str">
        <f>IFERROR(VLOOKUP(C1332,DATA!#REF!,2,FALSE),"")</f>
        <v/>
      </c>
    </row>
    <row r="1333" spans="2:4" s="237" customFormat="1">
      <c r="B1333" s="15" t="str">
        <f t="shared" si="58"/>
        <v/>
      </c>
      <c r="C1333" s="16" t="str">
        <f>IFERROR(VLOOKUP(DATA!#REF!,DATA!#REF!,1,FALSE),"")</f>
        <v/>
      </c>
      <c r="D1333" s="16" t="str">
        <f>IFERROR(VLOOKUP(C1333,DATA!#REF!,2,FALSE),"")</f>
        <v/>
      </c>
    </row>
    <row r="1334" spans="2:4" s="237" customFormat="1">
      <c r="B1334" s="15" t="str">
        <f t="shared" si="58"/>
        <v/>
      </c>
      <c r="C1334" s="16" t="str">
        <f>IFERROR(VLOOKUP(DATA!#REF!,DATA!#REF!,1,FALSE),"")</f>
        <v/>
      </c>
      <c r="D1334" s="16" t="str">
        <f>IFERROR(VLOOKUP(C1334,DATA!#REF!,2,FALSE),"")</f>
        <v/>
      </c>
    </row>
    <row r="1335" spans="2:4" s="237" customFormat="1">
      <c r="B1335" s="15" t="str">
        <f t="shared" si="58"/>
        <v/>
      </c>
      <c r="C1335" s="16" t="str">
        <f>IFERROR(VLOOKUP(DATA!#REF!,DATA!#REF!,1,FALSE),"")</f>
        <v/>
      </c>
      <c r="D1335" s="16" t="str">
        <f>IFERROR(VLOOKUP(C1335,DATA!#REF!,2,FALSE),"")</f>
        <v/>
      </c>
    </row>
    <row r="1336" spans="2:4" s="237" customFormat="1">
      <c r="B1336" s="15" t="str">
        <f t="shared" si="58"/>
        <v/>
      </c>
      <c r="C1336" s="16" t="str">
        <f>IFERROR(VLOOKUP(DATA!#REF!,DATA!#REF!,1,FALSE),"")</f>
        <v/>
      </c>
      <c r="D1336" s="16" t="str">
        <f>IFERROR(VLOOKUP(C1336,DATA!#REF!,2,FALSE),"")</f>
        <v/>
      </c>
    </row>
    <row r="1337" spans="2:4" s="237" customFormat="1">
      <c r="B1337" s="15" t="str">
        <f t="shared" si="58"/>
        <v/>
      </c>
      <c r="C1337" s="16" t="str">
        <f>IFERROR(VLOOKUP(DATA!#REF!,DATA!#REF!,1,FALSE),"")</f>
        <v/>
      </c>
      <c r="D1337" s="16" t="str">
        <f>IFERROR(VLOOKUP(C1337,DATA!#REF!,2,FALSE),"")</f>
        <v/>
      </c>
    </row>
    <row r="1338" spans="2:4" s="237" customFormat="1">
      <c r="B1338" s="15" t="str">
        <f t="shared" si="58"/>
        <v/>
      </c>
      <c r="C1338" s="16" t="str">
        <f>IFERROR(VLOOKUP(DATA!#REF!,DATA!#REF!,1,FALSE),"")</f>
        <v/>
      </c>
      <c r="D1338" s="16" t="str">
        <f>IFERROR(VLOOKUP(C1338,DATA!#REF!,2,FALSE),"")</f>
        <v/>
      </c>
    </row>
    <row r="1339" spans="2:4" s="237" customFormat="1">
      <c r="B1339" s="15" t="str">
        <f t="shared" si="58"/>
        <v/>
      </c>
      <c r="C1339" s="16" t="str">
        <f>IFERROR(VLOOKUP(DATA!#REF!,DATA!#REF!,1,FALSE),"")</f>
        <v/>
      </c>
      <c r="D1339" s="16" t="str">
        <f>IFERROR(VLOOKUP(C1339,DATA!#REF!,2,FALSE),"")</f>
        <v/>
      </c>
    </row>
    <row r="1340" spans="2:4" s="237" customFormat="1">
      <c r="B1340" s="15" t="str">
        <f t="shared" si="58"/>
        <v/>
      </c>
      <c r="C1340" s="16" t="str">
        <f>IFERROR(VLOOKUP(DATA!#REF!,DATA!#REF!,1,FALSE),"")</f>
        <v/>
      </c>
      <c r="D1340" s="16" t="str">
        <f>IFERROR(VLOOKUP(C1340,DATA!#REF!,2,FALSE),"")</f>
        <v/>
      </c>
    </row>
    <row r="1341" spans="2:4" s="237" customFormat="1">
      <c r="B1341" s="15" t="str">
        <f t="shared" si="58"/>
        <v/>
      </c>
      <c r="C1341" s="16" t="str">
        <f>IFERROR(VLOOKUP(DATA!#REF!,DATA!#REF!,1,FALSE),"")</f>
        <v/>
      </c>
      <c r="D1341" s="16" t="str">
        <f>IFERROR(VLOOKUP(C1341,DATA!#REF!,2,FALSE),"")</f>
        <v/>
      </c>
    </row>
    <row r="1342" spans="2:4" s="237" customFormat="1">
      <c r="B1342" s="15" t="str">
        <f t="shared" si="58"/>
        <v/>
      </c>
      <c r="C1342" s="16" t="str">
        <f>IFERROR(VLOOKUP(DATA!#REF!,DATA!#REF!,1,FALSE),"")</f>
        <v/>
      </c>
      <c r="D1342" s="16" t="str">
        <f>IFERROR(VLOOKUP(C1342,DATA!#REF!,2,FALSE),"")</f>
        <v/>
      </c>
    </row>
    <row r="1343" spans="2:4" s="237" customFormat="1">
      <c r="B1343" s="15" t="str">
        <f t="shared" si="58"/>
        <v/>
      </c>
      <c r="C1343" s="16" t="str">
        <f>IFERROR(VLOOKUP(DATA!#REF!,DATA!#REF!,1,FALSE),"")</f>
        <v/>
      </c>
      <c r="D1343" s="16" t="str">
        <f>IFERROR(VLOOKUP(C1343,DATA!#REF!,2,FALSE),"")</f>
        <v/>
      </c>
    </row>
    <row r="1344" spans="2:4" s="237" customFormat="1">
      <c r="B1344" s="15" t="str">
        <f t="shared" si="58"/>
        <v/>
      </c>
      <c r="C1344" s="16" t="str">
        <f>IFERROR(VLOOKUP(DATA!#REF!,DATA!#REF!,1,FALSE),"")</f>
        <v/>
      </c>
      <c r="D1344" s="16" t="str">
        <f>IFERROR(VLOOKUP(C1344,DATA!#REF!,2,FALSE),"")</f>
        <v/>
      </c>
    </row>
    <row r="1345" spans="2:4" s="237" customFormat="1">
      <c r="B1345" s="15" t="str">
        <f t="shared" si="58"/>
        <v/>
      </c>
      <c r="C1345" s="16" t="str">
        <f>IFERROR(VLOOKUP(DATA!#REF!,DATA!#REF!,1,FALSE),"")</f>
        <v/>
      </c>
      <c r="D1345" s="16" t="str">
        <f>IFERROR(VLOOKUP(C1345,DATA!#REF!,2,FALSE),"")</f>
        <v/>
      </c>
    </row>
    <row r="1346" spans="2:4" s="237" customFormat="1">
      <c r="B1346" s="15" t="str">
        <f t="shared" si="58"/>
        <v/>
      </c>
      <c r="C1346" s="16" t="str">
        <f>IFERROR(VLOOKUP(DATA!#REF!,DATA!#REF!,1,FALSE),"")</f>
        <v/>
      </c>
      <c r="D1346" s="16" t="str">
        <f>IFERROR(VLOOKUP(C1346,DATA!#REF!,2,FALSE),"")</f>
        <v/>
      </c>
    </row>
    <row r="1347" spans="2:4" s="237" customFormat="1">
      <c r="B1347" s="15" t="str">
        <f t="shared" si="58"/>
        <v/>
      </c>
      <c r="C1347" s="16" t="str">
        <f>IFERROR(VLOOKUP(DATA!#REF!,DATA!#REF!,1,FALSE),"")</f>
        <v/>
      </c>
      <c r="D1347" s="16" t="str">
        <f>IFERROR(VLOOKUP(C1347,DATA!#REF!,2,FALSE),"")</f>
        <v/>
      </c>
    </row>
    <row r="1348" spans="2:4" s="237" customFormat="1">
      <c r="B1348" s="15" t="str">
        <f t="shared" si="58"/>
        <v/>
      </c>
      <c r="C1348" s="16" t="str">
        <f>IFERROR(VLOOKUP(DATA!#REF!,DATA!#REF!,1,FALSE),"")</f>
        <v/>
      </c>
      <c r="D1348" s="16" t="str">
        <f>IFERROR(VLOOKUP(C1348,DATA!#REF!,2,FALSE),"")</f>
        <v/>
      </c>
    </row>
    <row r="1349" spans="2:4" s="237" customFormat="1">
      <c r="B1349" s="15" t="str">
        <f t="shared" si="58"/>
        <v/>
      </c>
      <c r="C1349" s="16" t="str">
        <f>IFERROR(VLOOKUP(DATA!#REF!,DATA!#REF!,1,FALSE),"")</f>
        <v/>
      </c>
      <c r="D1349" s="16" t="str">
        <f>IFERROR(VLOOKUP(C1349,DATA!#REF!,2,FALSE),"")</f>
        <v/>
      </c>
    </row>
    <row r="1350" spans="2:4" s="237" customFormat="1">
      <c r="B1350" s="15" t="str">
        <f t="shared" ref="B1350:B1413" si="59">+IF(C1350="","",ROW()-5)</f>
        <v/>
      </c>
      <c r="C1350" s="16" t="str">
        <f>IFERROR(VLOOKUP(DATA!#REF!,DATA!#REF!,1,FALSE),"")</f>
        <v/>
      </c>
      <c r="D1350" s="16" t="str">
        <f>IFERROR(VLOOKUP(C1350,DATA!#REF!,2,FALSE),"")</f>
        <v/>
      </c>
    </row>
    <row r="1351" spans="2:4" s="237" customFormat="1">
      <c r="B1351" s="15" t="str">
        <f t="shared" si="59"/>
        <v/>
      </c>
      <c r="C1351" s="16" t="str">
        <f>IFERROR(VLOOKUP(DATA!#REF!,DATA!#REF!,1,FALSE),"")</f>
        <v/>
      </c>
      <c r="D1351" s="16" t="str">
        <f>IFERROR(VLOOKUP(C1351,DATA!#REF!,2,FALSE),"")</f>
        <v/>
      </c>
    </row>
    <row r="1352" spans="2:4" s="237" customFormat="1">
      <c r="B1352" s="15" t="str">
        <f t="shared" si="59"/>
        <v/>
      </c>
      <c r="C1352" s="16" t="str">
        <f>IFERROR(VLOOKUP(DATA!#REF!,DATA!#REF!,1,FALSE),"")</f>
        <v/>
      </c>
      <c r="D1352" s="16" t="str">
        <f>IFERROR(VLOOKUP(C1352,DATA!#REF!,2,FALSE),"")</f>
        <v/>
      </c>
    </row>
    <row r="1353" spans="2:4" s="237" customFormat="1">
      <c r="B1353" s="15" t="str">
        <f t="shared" si="59"/>
        <v/>
      </c>
      <c r="C1353" s="16" t="str">
        <f>IFERROR(VLOOKUP(DATA!#REF!,DATA!#REF!,1,FALSE),"")</f>
        <v/>
      </c>
      <c r="D1353" s="16" t="str">
        <f>IFERROR(VLOOKUP(C1353,DATA!#REF!,2,FALSE),"")</f>
        <v/>
      </c>
    </row>
    <row r="1354" spans="2:4" s="237" customFormat="1">
      <c r="B1354" s="15" t="str">
        <f t="shared" si="59"/>
        <v/>
      </c>
      <c r="C1354" s="16" t="str">
        <f>IFERROR(VLOOKUP(DATA!#REF!,DATA!#REF!,1,FALSE),"")</f>
        <v/>
      </c>
      <c r="D1354" s="16" t="str">
        <f>IFERROR(VLOOKUP(C1354,DATA!#REF!,2,FALSE),"")</f>
        <v/>
      </c>
    </row>
    <row r="1355" spans="2:4" s="237" customFormat="1">
      <c r="B1355" s="15" t="str">
        <f t="shared" si="59"/>
        <v/>
      </c>
      <c r="C1355" s="16" t="str">
        <f>IFERROR(VLOOKUP(DATA!#REF!,DATA!#REF!,1,FALSE),"")</f>
        <v/>
      </c>
      <c r="D1355" s="16" t="str">
        <f>IFERROR(VLOOKUP(C1355,DATA!#REF!,2,FALSE),"")</f>
        <v/>
      </c>
    </row>
    <row r="1356" spans="2:4" s="237" customFormat="1">
      <c r="B1356" s="15" t="str">
        <f t="shared" si="59"/>
        <v/>
      </c>
      <c r="C1356" s="16" t="str">
        <f>IFERROR(VLOOKUP(DATA!#REF!,DATA!#REF!,1,FALSE),"")</f>
        <v/>
      </c>
      <c r="D1356" s="16" t="str">
        <f>IFERROR(VLOOKUP(C1356,DATA!#REF!,2,FALSE),"")</f>
        <v/>
      </c>
    </row>
    <row r="1357" spans="2:4" s="237" customFormat="1">
      <c r="B1357" s="15" t="str">
        <f t="shared" si="59"/>
        <v/>
      </c>
      <c r="C1357" s="16" t="str">
        <f>IFERROR(VLOOKUP(DATA!#REF!,DATA!#REF!,1,FALSE),"")</f>
        <v/>
      </c>
      <c r="D1357" s="16" t="str">
        <f>IFERROR(VLOOKUP(C1357,DATA!#REF!,2,FALSE),"")</f>
        <v/>
      </c>
    </row>
    <row r="1358" spans="2:4" s="237" customFormat="1">
      <c r="B1358" s="15" t="str">
        <f t="shared" si="59"/>
        <v/>
      </c>
      <c r="C1358" s="16" t="str">
        <f>IFERROR(VLOOKUP(DATA!#REF!,DATA!#REF!,1,FALSE),"")</f>
        <v/>
      </c>
      <c r="D1358" s="16" t="str">
        <f>IFERROR(VLOOKUP(C1358,DATA!#REF!,2,FALSE),"")</f>
        <v/>
      </c>
    </row>
    <row r="1359" spans="2:4" s="237" customFormat="1">
      <c r="B1359" s="15" t="str">
        <f t="shared" si="59"/>
        <v/>
      </c>
      <c r="C1359" s="16" t="str">
        <f>IFERROR(VLOOKUP(DATA!#REF!,DATA!#REF!,1,FALSE),"")</f>
        <v/>
      </c>
      <c r="D1359" s="16" t="str">
        <f>IFERROR(VLOOKUP(C1359,DATA!#REF!,2,FALSE),"")</f>
        <v/>
      </c>
    </row>
    <row r="1360" spans="2:4" s="237" customFormat="1">
      <c r="B1360" s="15" t="str">
        <f t="shared" si="59"/>
        <v/>
      </c>
      <c r="C1360" s="16" t="str">
        <f>IFERROR(VLOOKUP(DATA!#REF!,DATA!#REF!,1,FALSE),"")</f>
        <v/>
      </c>
      <c r="D1360" s="16" t="str">
        <f>IFERROR(VLOOKUP(C1360,DATA!#REF!,2,FALSE),"")</f>
        <v/>
      </c>
    </row>
    <row r="1361" spans="2:4" s="237" customFormat="1">
      <c r="B1361" s="15" t="str">
        <f t="shared" si="59"/>
        <v/>
      </c>
      <c r="C1361" s="16" t="str">
        <f>IFERROR(VLOOKUP(DATA!#REF!,DATA!#REF!,1,FALSE),"")</f>
        <v/>
      </c>
      <c r="D1361" s="16" t="str">
        <f>IFERROR(VLOOKUP(C1361,DATA!#REF!,2,FALSE),"")</f>
        <v/>
      </c>
    </row>
    <row r="1362" spans="2:4" s="237" customFormat="1">
      <c r="B1362" s="15" t="str">
        <f t="shared" si="59"/>
        <v/>
      </c>
      <c r="C1362" s="16" t="str">
        <f>IFERROR(VLOOKUP(DATA!#REF!,DATA!#REF!,1,FALSE),"")</f>
        <v/>
      </c>
      <c r="D1362" s="16" t="str">
        <f>IFERROR(VLOOKUP(C1362,DATA!#REF!,2,FALSE),"")</f>
        <v/>
      </c>
    </row>
    <row r="1363" spans="2:4" s="237" customFormat="1">
      <c r="B1363" s="15" t="str">
        <f t="shared" si="59"/>
        <v/>
      </c>
      <c r="C1363" s="16" t="str">
        <f>IFERROR(VLOOKUP(DATA!#REF!,DATA!#REF!,1,FALSE),"")</f>
        <v/>
      </c>
      <c r="D1363" s="16" t="str">
        <f>IFERROR(VLOOKUP(C1363,DATA!#REF!,2,FALSE),"")</f>
        <v/>
      </c>
    </row>
    <row r="1364" spans="2:4" s="237" customFormat="1">
      <c r="B1364" s="15" t="str">
        <f t="shared" si="59"/>
        <v/>
      </c>
      <c r="C1364" s="16" t="str">
        <f>IFERROR(VLOOKUP(DATA!#REF!,DATA!#REF!,1,FALSE),"")</f>
        <v/>
      </c>
      <c r="D1364" s="16" t="str">
        <f>IFERROR(VLOOKUP(C1364,DATA!#REF!,2,FALSE),"")</f>
        <v/>
      </c>
    </row>
    <row r="1365" spans="2:4" s="237" customFormat="1">
      <c r="B1365" s="15" t="str">
        <f t="shared" si="59"/>
        <v/>
      </c>
      <c r="C1365" s="16" t="str">
        <f>IFERROR(VLOOKUP(DATA!#REF!,DATA!#REF!,1,FALSE),"")</f>
        <v/>
      </c>
      <c r="D1365" s="16" t="str">
        <f>IFERROR(VLOOKUP(C1365,DATA!#REF!,2,FALSE),"")</f>
        <v/>
      </c>
    </row>
    <row r="1366" spans="2:4" s="237" customFormat="1">
      <c r="B1366" s="15" t="str">
        <f t="shared" si="59"/>
        <v/>
      </c>
      <c r="C1366" s="16" t="str">
        <f>IFERROR(VLOOKUP(DATA!#REF!,DATA!#REF!,1,FALSE),"")</f>
        <v/>
      </c>
      <c r="D1366" s="16" t="str">
        <f>IFERROR(VLOOKUP(C1366,DATA!#REF!,2,FALSE),"")</f>
        <v/>
      </c>
    </row>
    <row r="1367" spans="2:4" s="237" customFormat="1">
      <c r="B1367" s="15" t="str">
        <f t="shared" si="59"/>
        <v/>
      </c>
      <c r="C1367" s="16" t="str">
        <f>IFERROR(VLOOKUP(DATA!#REF!,DATA!#REF!,1,FALSE),"")</f>
        <v/>
      </c>
      <c r="D1367" s="16" t="str">
        <f>IFERROR(VLOOKUP(C1367,DATA!#REF!,2,FALSE),"")</f>
        <v/>
      </c>
    </row>
    <row r="1368" spans="2:4" s="237" customFormat="1">
      <c r="B1368" s="15" t="str">
        <f t="shared" si="59"/>
        <v/>
      </c>
      <c r="C1368" s="16" t="str">
        <f>IFERROR(VLOOKUP(DATA!#REF!,DATA!#REF!,1,FALSE),"")</f>
        <v/>
      </c>
      <c r="D1368" s="16" t="str">
        <f>IFERROR(VLOOKUP(C1368,DATA!#REF!,2,FALSE),"")</f>
        <v/>
      </c>
    </row>
    <row r="1369" spans="2:4" s="237" customFormat="1">
      <c r="B1369" s="15" t="str">
        <f t="shared" si="59"/>
        <v/>
      </c>
      <c r="C1369" s="16" t="str">
        <f>IFERROR(VLOOKUP(DATA!#REF!,DATA!#REF!,1,FALSE),"")</f>
        <v/>
      </c>
      <c r="D1369" s="16" t="str">
        <f>IFERROR(VLOOKUP(C1369,DATA!#REF!,2,FALSE),"")</f>
        <v/>
      </c>
    </row>
    <row r="1370" spans="2:4" s="237" customFormat="1">
      <c r="B1370" s="15" t="str">
        <f t="shared" si="59"/>
        <v/>
      </c>
      <c r="C1370" s="16" t="str">
        <f>IFERROR(VLOOKUP(DATA!#REF!,DATA!#REF!,1,FALSE),"")</f>
        <v/>
      </c>
      <c r="D1370" s="16" t="str">
        <f>IFERROR(VLOOKUP(C1370,DATA!#REF!,2,FALSE),"")</f>
        <v/>
      </c>
    </row>
    <row r="1371" spans="2:4" s="237" customFormat="1">
      <c r="B1371" s="15" t="str">
        <f t="shared" si="59"/>
        <v/>
      </c>
      <c r="C1371" s="16" t="str">
        <f>IFERROR(VLOOKUP(DATA!#REF!,DATA!#REF!,1,FALSE),"")</f>
        <v/>
      </c>
      <c r="D1371" s="16" t="str">
        <f>IFERROR(VLOOKUP(C1371,DATA!#REF!,2,FALSE),"")</f>
        <v/>
      </c>
    </row>
    <row r="1372" spans="2:4" s="237" customFormat="1">
      <c r="B1372" s="15" t="str">
        <f t="shared" si="59"/>
        <v/>
      </c>
      <c r="C1372" s="16" t="str">
        <f>IFERROR(VLOOKUP(DATA!#REF!,DATA!#REF!,1,FALSE),"")</f>
        <v/>
      </c>
      <c r="D1372" s="16" t="str">
        <f>IFERROR(VLOOKUP(C1372,DATA!#REF!,2,FALSE),"")</f>
        <v/>
      </c>
    </row>
    <row r="1373" spans="2:4" s="237" customFormat="1">
      <c r="B1373" s="15" t="str">
        <f t="shared" si="59"/>
        <v/>
      </c>
      <c r="C1373" s="16" t="str">
        <f>IFERROR(VLOOKUP(DATA!#REF!,DATA!#REF!,1,FALSE),"")</f>
        <v/>
      </c>
      <c r="D1373" s="16" t="str">
        <f>IFERROR(VLOOKUP(C1373,DATA!#REF!,2,FALSE),"")</f>
        <v/>
      </c>
    </row>
    <row r="1374" spans="2:4" s="237" customFormat="1">
      <c r="B1374" s="15" t="str">
        <f t="shared" si="59"/>
        <v/>
      </c>
      <c r="C1374" s="16" t="str">
        <f>IFERROR(VLOOKUP(DATA!#REF!,DATA!#REF!,1,FALSE),"")</f>
        <v/>
      </c>
      <c r="D1374" s="16" t="str">
        <f>IFERROR(VLOOKUP(C1374,DATA!#REF!,2,FALSE),"")</f>
        <v/>
      </c>
    </row>
    <row r="1375" spans="2:4" s="237" customFormat="1">
      <c r="B1375" s="15" t="str">
        <f t="shared" si="59"/>
        <v/>
      </c>
      <c r="C1375" s="16" t="str">
        <f>IFERROR(VLOOKUP(DATA!#REF!,DATA!#REF!,1,FALSE),"")</f>
        <v/>
      </c>
      <c r="D1375" s="16" t="str">
        <f>IFERROR(VLOOKUP(C1375,DATA!#REF!,2,FALSE),"")</f>
        <v/>
      </c>
    </row>
    <row r="1376" spans="2:4" s="237" customFormat="1">
      <c r="B1376" s="15" t="str">
        <f t="shared" si="59"/>
        <v/>
      </c>
      <c r="C1376" s="16" t="str">
        <f>IFERROR(VLOOKUP(DATA!#REF!,DATA!#REF!,1,FALSE),"")</f>
        <v/>
      </c>
      <c r="D1376" s="16" t="str">
        <f>IFERROR(VLOOKUP(C1376,DATA!#REF!,2,FALSE),"")</f>
        <v/>
      </c>
    </row>
    <row r="1377" spans="2:4" s="237" customFormat="1">
      <c r="B1377" s="15" t="str">
        <f t="shared" si="59"/>
        <v/>
      </c>
      <c r="C1377" s="16" t="str">
        <f>IFERROR(VLOOKUP(DATA!#REF!,DATA!#REF!,1,FALSE),"")</f>
        <v/>
      </c>
      <c r="D1377" s="16" t="str">
        <f>IFERROR(VLOOKUP(C1377,DATA!#REF!,2,FALSE),"")</f>
        <v/>
      </c>
    </row>
    <row r="1378" spans="2:4" s="237" customFormat="1">
      <c r="B1378" s="15" t="str">
        <f t="shared" si="59"/>
        <v/>
      </c>
      <c r="C1378" s="16" t="str">
        <f>IFERROR(VLOOKUP(DATA!#REF!,DATA!#REF!,1,FALSE),"")</f>
        <v/>
      </c>
      <c r="D1378" s="16" t="str">
        <f>IFERROR(VLOOKUP(C1378,DATA!#REF!,2,FALSE),"")</f>
        <v/>
      </c>
    </row>
    <row r="1379" spans="2:4" s="237" customFormat="1">
      <c r="B1379" s="15" t="str">
        <f t="shared" si="59"/>
        <v/>
      </c>
      <c r="C1379" s="16" t="str">
        <f>IFERROR(VLOOKUP(DATA!#REF!,DATA!#REF!,1,FALSE),"")</f>
        <v/>
      </c>
      <c r="D1379" s="16" t="str">
        <f>IFERROR(VLOOKUP(C1379,DATA!#REF!,2,FALSE),"")</f>
        <v/>
      </c>
    </row>
    <row r="1380" spans="2:4" s="237" customFormat="1">
      <c r="B1380" s="15" t="str">
        <f t="shared" si="59"/>
        <v/>
      </c>
      <c r="C1380" s="16" t="str">
        <f>IFERROR(VLOOKUP(DATA!#REF!,DATA!#REF!,1,FALSE),"")</f>
        <v/>
      </c>
      <c r="D1380" s="16" t="str">
        <f>IFERROR(VLOOKUP(C1380,DATA!#REF!,2,FALSE),"")</f>
        <v/>
      </c>
    </row>
    <row r="1381" spans="2:4" s="237" customFormat="1">
      <c r="B1381" s="15" t="str">
        <f t="shared" si="59"/>
        <v/>
      </c>
      <c r="C1381" s="16" t="str">
        <f>IFERROR(VLOOKUP(DATA!#REF!,DATA!#REF!,1,FALSE),"")</f>
        <v/>
      </c>
      <c r="D1381" s="16" t="str">
        <f>IFERROR(VLOOKUP(C1381,DATA!#REF!,2,FALSE),"")</f>
        <v/>
      </c>
    </row>
    <row r="1382" spans="2:4" s="237" customFormat="1">
      <c r="B1382" s="15" t="str">
        <f t="shared" si="59"/>
        <v/>
      </c>
      <c r="C1382" s="16" t="str">
        <f>IFERROR(VLOOKUP(DATA!#REF!,DATA!#REF!,1,FALSE),"")</f>
        <v/>
      </c>
      <c r="D1382" s="16" t="str">
        <f>IFERROR(VLOOKUP(C1382,DATA!#REF!,2,FALSE),"")</f>
        <v/>
      </c>
    </row>
    <row r="1383" spans="2:4" s="237" customFormat="1">
      <c r="B1383" s="15" t="str">
        <f t="shared" si="59"/>
        <v/>
      </c>
      <c r="C1383" s="16" t="str">
        <f>IFERROR(VLOOKUP(DATA!#REF!,DATA!#REF!,1,FALSE),"")</f>
        <v/>
      </c>
      <c r="D1383" s="16" t="str">
        <f>IFERROR(VLOOKUP(C1383,DATA!#REF!,2,FALSE),"")</f>
        <v/>
      </c>
    </row>
    <row r="1384" spans="2:4" s="237" customFormat="1">
      <c r="B1384" s="15" t="str">
        <f t="shared" si="59"/>
        <v/>
      </c>
      <c r="C1384" s="16" t="str">
        <f>IFERROR(VLOOKUP(DATA!#REF!,DATA!#REF!,1,FALSE),"")</f>
        <v/>
      </c>
      <c r="D1384" s="16" t="str">
        <f>IFERROR(VLOOKUP(C1384,DATA!#REF!,2,FALSE),"")</f>
        <v/>
      </c>
    </row>
    <row r="1385" spans="2:4" s="237" customFormat="1">
      <c r="B1385" s="15" t="str">
        <f t="shared" si="59"/>
        <v/>
      </c>
      <c r="C1385" s="16" t="str">
        <f>IFERROR(VLOOKUP(DATA!#REF!,DATA!#REF!,1,FALSE),"")</f>
        <v/>
      </c>
      <c r="D1385" s="16" t="str">
        <f>IFERROR(VLOOKUP(C1385,DATA!#REF!,2,FALSE),"")</f>
        <v/>
      </c>
    </row>
    <row r="1386" spans="2:4" s="237" customFormat="1">
      <c r="B1386" s="15" t="str">
        <f t="shared" si="59"/>
        <v/>
      </c>
      <c r="C1386" s="16" t="str">
        <f>IFERROR(VLOOKUP(DATA!#REF!,DATA!#REF!,1,FALSE),"")</f>
        <v/>
      </c>
      <c r="D1386" s="16" t="str">
        <f>IFERROR(VLOOKUP(C1386,DATA!#REF!,2,FALSE),"")</f>
        <v/>
      </c>
    </row>
    <row r="1387" spans="2:4" s="237" customFormat="1">
      <c r="B1387" s="15" t="str">
        <f t="shared" si="59"/>
        <v/>
      </c>
      <c r="C1387" s="16" t="str">
        <f>IFERROR(VLOOKUP(DATA!#REF!,DATA!#REF!,1,FALSE),"")</f>
        <v/>
      </c>
      <c r="D1387" s="16" t="str">
        <f>IFERROR(VLOOKUP(C1387,DATA!#REF!,2,FALSE),"")</f>
        <v/>
      </c>
    </row>
    <row r="1388" spans="2:4" s="237" customFormat="1">
      <c r="B1388" s="15" t="str">
        <f t="shared" si="59"/>
        <v/>
      </c>
      <c r="C1388" s="16" t="str">
        <f>IFERROR(VLOOKUP(DATA!#REF!,DATA!#REF!,1,FALSE),"")</f>
        <v/>
      </c>
      <c r="D1388" s="16" t="str">
        <f>IFERROR(VLOOKUP(C1388,DATA!#REF!,2,FALSE),"")</f>
        <v/>
      </c>
    </row>
    <row r="1389" spans="2:4" s="237" customFormat="1">
      <c r="B1389" s="15" t="str">
        <f t="shared" si="59"/>
        <v/>
      </c>
      <c r="C1389" s="16" t="str">
        <f>IFERROR(VLOOKUP(DATA!#REF!,DATA!#REF!,1,FALSE),"")</f>
        <v/>
      </c>
      <c r="D1389" s="16" t="str">
        <f>IFERROR(VLOOKUP(C1389,DATA!#REF!,2,FALSE),"")</f>
        <v/>
      </c>
    </row>
    <row r="1390" spans="2:4" s="237" customFormat="1">
      <c r="B1390" s="15" t="str">
        <f t="shared" si="59"/>
        <v/>
      </c>
      <c r="C1390" s="16" t="str">
        <f>IFERROR(VLOOKUP(DATA!#REF!,DATA!#REF!,1,FALSE),"")</f>
        <v/>
      </c>
      <c r="D1390" s="16" t="str">
        <f>IFERROR(VLOOKUP(C1390,DATA!#REF!,2,FALSE),"")</f>
        <v/>
      </c>
    </row>
    <row r="1391" spans="2:4" s="237" customFormat="1">
      <c r="B1391" s="15" t="str">
        <f t="shared" si="59"/>
        <v/>
      </c>
      <c r="C1391" s="16" t="str">
        <f>IFERROR(VLOOKUP(DATA!#REF!,DATA!#REF!,1,FALSE),"")</f>
        <v/>
      </c>
      <c r="D1391" s="16" t="str">
        <f>IFERROR(VLOOKUP(C1391,DATA!#REF!,2,FALSE),"")</f>
        <v/>
      </c>
    </row>
    <row r="1392" spans="2:4" s="237" customFormat="1">
      <c r="B1392" s="15" t="str">
        <f t="shared" si="59"/>
        <v/>
      </c>
      <c r="C1392" s="16" t="str">
        <f>IFERROR(VLOOKUP(DATA!#REF!,DATA!#REF!,1,FALSE),"")</f>
        <v/>
      </c>
      <c r="D1392" s="16" t="str">
        <f>IFERROR(VLOOKUP(C1392,DATA!#REF!,2,FALSE),"")</f>
        <v/>
      </c>
    </row>
    <row r="1393" spans="2:4" s="237" customFormat="1">
      <c r="B1393" s="15" t="str">
        <f t="shared" si="59"/>
        <v/>
      </c>
      <c r="C1393" s="16" t="str">
        <f>IFERROR(VLOOKUP(DATA!#REF!,DATA!#REF!,1,FALSE),"")</f>
        <v/>
      </c>
      <c r="D1393" s="16" t="str">
        <f>IFERROR(VLOOKUP(C1393,DATA!#REF!,2,FALSE),"")</f>
        <v/>
      </c>
    </row>
    <row r="1394" spans="2:4" s="237" customFormat="1">
      <c r="B1394" s="15" t="str">
        <f t="shared" si="59"/>
        <v/>
      </c>
      <c r="C1394" s="16" t="str">
        <f>IFERROR(VLOOKUP(DATA!#REF!,DATA!#REF!,1,FALSE),"")</f>
        <v/>
      </c>
      <c r="D1394" s="16" t="str">
        <f>IFERROR(VLOOKUP(C1394,DATA!#REF!,2,FALSE),"")</f>
        <v/>
      </c>
    </row>
    <row r="1395" spans="2:4" s="237" customFormat="1">
      <c r="B1395" s="15" t="str">
        <f t="shared" si="59"/>
        <v/>
      </c>
      <c r="C1395" s="16" t="str">
        <f>IFERROR(VLOOKUP(DATA!#REF!,DATA!#REF!,1,FALSE),"")</f>
        <v/>
      </c>
      <c r="D1395" s="16" t="str">
        <f>IFERROR(VLOOKUP(C1395,DATA!#REF!,2,FALSE),"")</f>
        <v/>
      </c>
    </row>
    <row r="1396" spans="2:4" s="237" customFormat="1">
      <c r="B1396" s="15" t="str">
        <f t="shared" si="59"/>
        <v/>
      </c>
      <c r="C1396" s="16" t="str">
        <f>IFERROR(VLOOKUP(DATA!#REF!,DATA!#REF!,1,FALSE),"")</f>
        <v/>
      </c>
      <c r="D1396" s="16" t="str">
        <f>IFERROR(VLOOKUP(C1396,DATA!#REF!,2,FALSE),"")</f>
        <v/>
      </c>
    </row>
    <row r="1397" spans="2:4" s="237" customFormat="1">
      <c r="B1397" s="15" t="str">
        <f t="shared" si="59"/>
        <v/>
      </c>
      <c r="C1397" s="16" t="str">
        <f>IFERROR(VLOOKUP(DATA!#REF!,DATA!#REF!,1,FALSE),"")</f>
        <v/>
      </c>
      <c r="D1397" s="16" t="str">
        <f>IFERROR(VLOOKUP(C1397,DATA!#REF!,2,FALSE),"")</f>
        <v/>
      </c>
    </row>
    <row r="1398" spans="2:4" s="237" customFormat="1">
      <c r="B1398" s="15" t="str">
        <f t="shared" si="59"/>
        <v/>
      </c>
      <c r="C1398" s="16" t="str">
        <f>IFERROR(VLOOKUP(DATA!#REF!,DATA!#REF!,1,FALSE),"")</f>
        <v/>
      </c>
      <c r="D1398" s="16" t="str">
        <f>IFERROR(VLOOKUP(C1398,DATA!#REF!,2,FALSE),"")</f>
        <v/>
      </c>
    </row>
    <row r="1399" spans="2:4" s="237" customFormat="1">
      <c r="B1399" s="15" t="str">
        <f t="shared" si="59"/>
        <v/>
      </c>
      <c r="C1399" s="16" t="str">
        <f>IFERROR(VLOOKUP(DATA!#REF!,DATA!#REF!,1,FALSE),"")</f>
        <v/>
      </c>
      <c r="D1399" s="16" t="str">
        <f>IFERROR(VLOOKUP(C1399,DATA!#REF!,2,FALSE),"")</f>
        <v/>
      </c>
    </row>
    <row r="1400" spans="2:4" s="237" customFormat="1">
      <c r="B1400" s="15" t="str">
        <f t="shared" si="59"/>
        <v/>
      </c>
      <c r="C1400" s="16" t="str">
        <f>IFERROR(VLOOKUP(DATA!#REF!,DATA!#REF!,1,FALSE),"")</f>
        <v/>
      </c>
      <c r="D1400" s="16" t="str">
        <f>IFERROR(VLOOKUP(C1400,DATA!#REF!,2,FALSE),"")</f>
        <v/>
      </c>
    </row>
    <row r="1401" spans="2:4" s="237" customFormat="1">
      <c r="B1401" s="15" t="str">
        <f t="shared" si="59"/>
        <v/>
      </c>
      <c r="C1401" s="16" t="str">
        <f>IFERROR(VLOOKUP(DATA!#REF!,DATA!#REF!,1,FALSE),"")</f>
        <v/>
      </c>
      <c r="D1401" s="16" t="str">
        <f>IFERROR(VLOOKUP(C1401,DATA!#REF!,2,FALSE),"")</f>
        <v/>
      </c>
    </row>
    <row r="1402" spans="2:4" s="237" customFormat="1">
      <c r="B1402" s="15" t="str">
        <f t="shared" si="59"/>
        <v/>
      </c>
      <c r="C1402" s="16" t="str">
        <f>IFERROR(VLOOKUP(DATA!#REF!,DATA!#REF!,1,FALSE),"")</f>
        <v/>
      </c>
      <c r="D1402" s="16" t="str">
        <f>IFERROR(VLOOKUP(C1402,DATA!#REF!,2,FALSE),"")</f>
        <v/>
      </c>
    </row>
    <row r="1403" spans="2:4" s="237" customFormat="1">
      <c r="B1403" s="15" t="str">
        <f t="shared" si="59"/>
        <v/>
      </c>
      <c r="C1403" s="16" t="str">
        <f>IFERROR(VLOOKUP(DATA!#REF!,DATA!#REF!,1,FALSE),"")</f>
        <v/>
      </c>
      <c r="D1403" s="16" t="str">
        <f>IFERROR(VLOOKUP(C1403,DATA!#REF!,2,FALSE),"")</f>
        <v/>
      </c>
    </row>
    <row r="1404" spans="2:4" s="237" customFormat="1">
      <c r="B1404" s="15" t="str">
        <f t="shared" si="59"/>
        <v/>
      </c>
      <c r="C1404" s="16" t="str">
        <f>IFERROR(VLOOKUP(DATA!#REF!,DATA!#REF!,1,FALSE),"")</f>
        <v/>
      </c>
      <c r="D1404" s="16" t="str">
        <f>IFERROR(VLOOKUP(C1404,DATA!#REF!,2,FALSE),"")</f>
        <v/>
      </c>
    </row>
    <row r="1405" spans="2:4" s="237" customFormat="1">
      <c r="B1405" s="15" t="str">
        <f t="shared" si="59"/>
        <v/>
      </c>
      <c r="C1405" s="16" t="str">
        <f>IFERROR(VLOOKUP(DATA!#REF!,DATA!#REF!,1,FALSE),"")</f>
        <v/>
      </c>
      <c r="D1405" s="16" t="str">
        <f>IFERROR(VLOOKUP(C1405,DATA!#REF!,2,FALSE),"")</f>
        <v/>
      </c>
    </row>
    <row r="1406" spans="2:4" s="237" customFormat="1">
      <c r="B1406" s="15" t="str">
        <f t="shared" si="59"/>
        <v/>
      </c>
      <c r="C1406" s="16" t="str">
        <f>IFERROR(VLOOKUP(DATA!#REF!,DATA!#REF!,1,FALSE),"")</f>
        <v/>
      </c>
      <c r="D1406" s="16" t="str">
        <f>IFERROR(VLOOKUP(C1406,DATA!#REF!,2,FALSE),"")</f>
        <v/>
      </c>
    </row>
    <row r="1407" spans="2:4" s="237" customFormat="1">
      <c r="B1407" s="15" t="str">
        <f t="shared" si="59"/>
        <v/>
      </c>
      <c r="C1407" s="16" t="str">
        <f>IFERROR(VLOOKUP(DATA!#REF!,DATA!#REF!,1,FALSE),"")</f>
        <v/>
      </c>
      <c r="D1407" s="16" t="str">
        <f>IFERROR(VLOOKUP(C1407,DATA!#REF!,2,FALSE),"")</f>
        <v/>
      </c>
    </row>
    <row r="1408" spans="2:4" s="237" customFormat="1">
      <c r="B1408" s="15" t="str">
        <f t="shared" si="59"/>
        <v/>
      </c>
      <c r="C1408" s="16" t="str">
        <f>IFERROR(VLOOKUP(DATA!#REF!,DATA!#REF!,1,FALSE),"")</f>
        <v/>
      </c>
      <c r="D1408" s="16" t="str">
        <f>IFERROR(VLOOKUP(C1408,DATA!#REF!,2,FALSE),"")</f>
        <v/>
      </c>
    </row>
    <row r="1409" spans="2:4" s="237" customFormat="1">
      <c r="B1409" s="15" t="str">
        <f t="shared" si="59"/>
        <v/>
      </c>
      <c r="C1409" s="16" t="str">
        <f>IFERROR(VLOOKUP(DATA!#REF!,DATA!#REF!,1,FALSE),"")</f>
        <v/>
      </c>
      <c r="D1409" s="16" t="str">
        <f>IFERROR(VLOOKUP(C1409,DATA!#REF!,2,FALSE),"")</f>
        <v/>
      </c>
    </row>
    <row r="1410" spans="2:4" s="237" customFormat="1">
      <c r="B1410" s="15" t="str">
        <f t="shared" si="59"/>
        <v/>
      </c>
      <c r="C1410" s="16" t="str">
        <f>IFERROR(VLOOKUP(DATA!#REF!,DATA!#REF!,1,FALSE),"")</f>
        <v/>
      </c>
      <c r="D1410" s="16" t="str">
        <f>IFERROR(VLOOKUP(C1410,DATA!#REF!,2,FALSE),"")</f>
        <v/>
      </c>
    </row>
    <row r="1411" spans="2:4" s="237" customFormat="1">
      <c r="B1411" s="15" t="str">
        <f t="shared" si="59"/>
        <v/>
      </c>
      <c r="C1411" s="16" t="str">
        <f>IFERROR(VLOOKUP(DATA!#REF!,DATA!#REF!,1,FALSE),"")</f>
        <v/>
      </c>
      <c r="D1411" s="16" t="str">
        <f>IFERROR(VLOOKUP(C1411,DATA!#REF!,2,FALSE),"")</f>
        <v/>
      </c>
    </row>
    <row r="1412" spans="2:4" s="237" customFormat="1">
      <c r="B1412" s="15" t="str">
        <f t="shared" si="59"/>
        <v/>
      </c>
      <c r="C1412" s="16" t="str">
        <f>IFERROR(VLOOKUP(DATA!#REF!,DATA!#REF!,1,FALSE),"")</f>
        <v/>
      </c>
      <c r="D1412" s="16" t="str">
        <f>IFERROR(VLOOKUP(C1412,DATA!#REF!,2,FALSE),"")</f>
        <v/>
      </c>
    </row>
    <row r="1413" spans="2:4" s="237" customFormat="1">
      <c r="B1413" s="15" t="str">
        <f t="shared" si="59"/>
        <v/>
      </c>
      <c r="C1413" s="16" t="str">
        <f>IFERROR(VLOOKUP(DATA!#REF!,DATA!#REF!,1,FALSE),"")</f>
        <v/>
      </c>
      <c r="D1413" s="16" t="str">
        <f>IFERROR(VLOOKUP(C1413,DATA!#REF!,2,FALSE),"")</f>
        <v/>
      </c>
    </row>
    <row r="1414" spans="2:4" s="237" customFormat="1">
      <c r="B1414" s="15" t="str">
        <f t="shared" ref="B1414:B1477" si="60">+IF(C1414="","",ROW()-5)</f>
        <v/>
      </c>
      <c r="C1414" s="16" t="str">
        <f>IFERROR(VLOOKUP(DATA!#REF!,DATA!#REF!,1,FALSE),"")</f>
        <v/>
      </c>
      <c r="D1414" s="16" t="str">
        <f>IFERROR(VLOOKUP(C1414,DATA!#REF!,2,FALSE),"")</f>
        <v/>
      </c>
    </row>
    <row r="1415" spans="2:4" s="237" customFormat="1">
      <c r="B1415" s="15" t="str">
        <f t="shared" si="60"/>
        <v/>
      </c>
      <c r="C1415" s="16" t="str">
        <f>IFERROR(VLOOKUP(DATA!#REF!,DATA!#REF!,1,FALSE),"")</f>
        <v/>
      </c>
      <c r="D1415" s="16" t="str">
        <f>IFERROR(VLOOKUP(C1415,DATA!#REF!,2,FALSE),"")</f>
        <v/>
      </c>
    </row>
    <row r="1416" spans="2:4" s="237" customFormat="1">
      <c r="B1416" s="15" t="str">
        <f t="shared" si="60"/>
        <v/>
      </c>
      <c r="C1416" s="16" t="str">
        <f>IFERROR(VLOOKUP(DATA!#REF!,DATA!#REF!,1,FALSE),"")</f>
        <v/>
      </c>
      <c r="D1416" s="16" t="str">
        <f>IFERROR(VLOOKUP(C1416,DATA!#REF!,2,FALSE),"")</f>
        <v/>
      </c>
    </row>
    <row r="1417" spans="2:4" s="237" customFormat="1">
      <c r="B1417" s="15" t="str">
        <f t="shared" si="60"/>
        <v/>
      </c>
      <c r="C1417" s="16" t="str">
        <f>IFERROR(VLOOKUP(DATA!#REF!,DATA!#REF!,1,FALSE),"")</f>
        <v/>
      </c>
      <c r="D1417" s="16" t="str">
        <f>IFERROR(VLOOKUP(C1417,DATA!#REF!,2,FALSE),"")</f>
        <v/>
      </c>
    </row>
    <row r="1418" spans="2:4" s="237" customFormat="1">
      <c r="B1418" s="15" t="str">
        <f t="shared" si="60"/>
        <v/>
      </c>
      <c r="C1418" s="16" t="str">
        <f>IFERROR(VLOOKUP(DATA!#REF!,DATA!#REF!,1,FALSE),"")</f>
        <v/>
      </c>
      <c r="D1418" s="16" t="str">
        <f>IFERROR(VLOOKUP(C1418,DATA!#REF!,2,FALSE),"")</f>
        <v/>
      </c>
    </row>
    <row r="1419" spans="2:4" s="237" customFormat="1">
      <c r="B1419" s="15" t="str">
        <f t="shared" si="60"/>
        <v/>
      </c>
      <c r="C1419" s="16" t="str">
        <f>IFERROR(VLOOKUP(DATA!#REF!,DATA!#REF!,1,FALSE),"")</f>
        <v/>
      </c>
      <c r="D1419" s="16" t="str">
        <f>IFERROR(VLOOKUP(C1419,DATA!#REF!,2,FALSE),"")</f>
        <v/>
      </c>
    </row>
    <row r="1420" spans="2:4" s="237" customFormat="1">
      <c r="B1420" s="15" t="str">
        <f t="shared" si="60"/>
        <v/>
      </c>
      <c r="C1420" s="16" t="str">
        <f>IFERROR(VLOOKUP(DATA!#REF!,DATA!#REF!,1,FALSE),"")</f>
        <v/>
      </c>
      <c r="D1420" s="16" t="str">
        <f>IFERROR(VLOOKUP(C1420,DATA!#REF!,2,FALSE),"")</f>
        <v/>
      </c>
    </row>
    <row r="1421" spans="2:4" s="237" customFormat="1">
      <c r="B1421" s="15" t="str">
        <f t="shared" si="60"/>
        <v/>
      </c>
      <c r="C1421" s="16" t="str">
        <f>IFERROR(VLOOKUP(DATA!#REF!,DATA!#REF!,1,FALSE),"")</f>
        <v/>
      </c>
      <c r="D1421" s="16" t="str">
        <f>IFERROR(VLOOKUP(C1421,DATA!#REF!,2,FALSE),"")</f>
        <v/>
      </c>
    </row>
    <row r="1422" spans="2:4" s="237" customFormat="1">
      <c r="B1422" s="15" t="str">
        <f t="shared" si="60"/>
        <v/>
      </c>
      <c r="C1422" s="16" t="str">
        <f>IFERROR(VLOOKUP(DATA!#REF!,DATA!#REF!,1,FALSE),"")</f>
        <v/>
      </c>
      <c r="D1422" s="16" t="str">
        <f>IFERROR(VLOOKUP(C1422,DATA!#REF!,2,FALSE),"")</f>
        <v/>
      </c>
    </row>
    <row r="1423" spans="2:4" s="237" customFormat="1">
      <c r="B1423" s="15" t="str">
        <f t="shared" si="60"/>
        <v/>
      </c>
      <c r="C1423" s="16" t="str">
        <f>IFERROR(VLOOKUP(DATA!#REF!,DATA!#REF!,1,FALSE),"")</f>
        <v/>
      </c>
      <c r="D1423" s="16" t="str">
        <f>IFERROR(VLOOKUP(C1423,DATA!#REF!,2,FALSE),"")</f>
        <v/>
      </c>
    </row>
    <row r="1424" spans="2:4" s="237" customFormat="1">
      <c r="B1424" s="15" t="str">
        <f t="shared" si="60"/>
        <v/>
      </c>
      <c r="C1424" s="16" t="str">
        <f>IFERROR(VLOOKUP(DATA!#REF!,DATA!#REF!,1,FALSE),"")</f>
        <v/>
      </c>
      <c r="D1424" s="16" t="str">
        <f>IFERROR(VLOOKUP(C1424,DATA!#REF!,2,FALSE),"")</f>
        <v/>
      </c>
    </row>
    <row r="1425" spans="2:4" s="237" customFormat="1">
      <c r="B1425" s="15" t="str">
        <f t="shared" si="60"/>
        <v/>
      </c>
      <c r="C1425" s="16" t="str">
        <f>IFERROR(VLOOKUP(DATA!#REF!,DATA!#REF!,1,FALSE),"")</f>
        <v/>
      </c>
      <c r="D1425" s="16" t="str">
        <f>IFERROR(VLOOKUP(C1425,DATA!#REF!,2,FALSE),"")</f>
        <v/>
      </c>
    </row>
    <row r="1426" spans="2:4" s="237" customFormat="1">
      <c r="B1426" s="15" t="str">
        <f t="shared" si="60"/>
        <v/>
      </c>
      <c r="C1426" s="16" t="str">
        <f>IFERROR(VLOOKUP(DATA!#REF!,DATA!#REF!,1,FALSE),"")</f>
        <v/>
      </c>
      <c r="D1426" s="16" t="str">
        <f>IFERROR(VLOOKUP(C1426,DATA!#REF!,2,FALSE),"")</f>
        <v/>
      </c>
    </row>
    <row r="1427" spans="2:4" s="237" customFormat="1">
      <c r="B1427" s="15" t="str">
        <f t="shared" si="60"/>
        <v/>
      </c>
      <c r="C1427" s="16" t="str">
        <f>IFERROR(VLOOKUP(DATA!#REF!,DATA!#REF!,1,FALSE),"")</f>
        <v/>
      </c>
      <c r="D1427" s="16" t="str">
        <f>IFERROR(VLOOKUP(C1427,DATA!#REF!,2,FALSE),"")</f>
        <v/>
      </c>
    </row>
    <row r="1428" spans="2:4" s="237" customFormat="1">
      <c r="B1428" s="15" t="str">
        <f t="shared" si="60"/>
        <v/>
      </c>
      <c r="C1428" s="16" t="str">
        <f>IFERROR(VLOOKUP(DATA!#REF!,DATA!#REF!,1,FALSE),"")</f>
        <v/>
      </c>
      <c r="D1428" s="16" t="str">
        <f>IFERROR(VLOOKUP(C1428,DATA!#REF!,2,FALSE),"")</f>
        <v/>
      </c>
    </row>
    <row r="1429" spans="2:4" s="237" customFormat="1">
      <c r="B1429" s="15" t="str">
        <f t="shared" si="60"/>
        <v/>
      </c>
      <c r="C1429" s="16" t="str">
        <f>IFERROR(VLOOKUP(DATA!#REF!,DATA!#REF!,1,FALSE),"")</f>
        <v/>
      </c>
      <c r="D1429" s="16" t="str">
        <f>IFERROR(VLOOKUP(C1429,DATA!#REF!,2,FALSE),"")</f>
        <v/>
      </c>
    </row>
    <row r="1430" spans="2:4" s="237" customFormat="1">
      <c r="B1430" s="15" t="str">
        <f t="shared" si="60"/>
        <v/>
      </c>
      <c r="C1430" s="16" t="str">
        <f>IFERROR(VLOOKUP(DATA!#REF!,DATA!#REF!,1,FALSE),"")</f>
        <v/>
      </c>
      <c r="D1430" s="16" t="str">
        <f>IFERROR(VLOOKUP(C1430,DATA!#REF!,2,FALSE),"")</f>
        <v/>
      </c>
    </row>
    <row r="1431" spans="2:4" s="237" customFormat="1">
      <c r="B1431" s="15" t="str">
        <f t="shared" si="60"/>
        <v/>
      </c>
      <c r="C1431" s="16" t="str">
        <f>IFERROR(VLOOKUP(DATA!#REF!,DATA!#REF!,1,FALSE),"")</f>
        <v/>
      </c>
      <c r="D1431" s="16" t="str">
        <f>IFERROR(VLOOKUP(C1431,DATA!#REF!,2,FALSE),"")</f>
        <v/>
      </c>
    </row>
    <row r="1432" spans="2:4" s="237" customFormat="1">
      <c r="B1432" s="15" t="str">
        <f t="shared" si="60"/>
        <v/>
      </c>
      <c r="C1432" s="16" t="str">
        <f>IFERROR(VLOOKUP(DATA!#REF!,DATA!#REF!,1,FALSE),"")</f>
        <v/>
      </c>
      <c r="D1432" s="16" t="str">
        <f>IFERROR(VLOOKUP(C1432,DATA!#REF!,2,FALSE),"")</f>
        <v/>
      </c>
    </row>
    <row r="1433" spans="2:4" s="237" customFormat="1">
      <c r="B1433" s="15" t="str">
        <f t="shared" si="60"/>
        <v/>
      </c>
      <c r="C1433" s="16" t="str">
        <f>IFERROR(VLOOKUP(DATA!#REF!,DATA!#REF!,1,FALSE),"")</f>
        <v/>
      </c>
      <c r="D1433" s="16" t="str">
        <f>IFERROR(VLOOKUP(C1433,DATA!#REF!,2,FALSE),"")</f>
        <v/>
      </c>
    </row>
    <row r="1434" spans="2:4" s="237" customFormat="1">
      <c r="B1434" s="15" t="str">
        <f t="shared" si="60"/>
        <v/>
      </c>
      <c r="C1434" s="16" t="str">
        <f>IFERROR(VLOOKUP(DATA!#REF!,DATA!#REF!,1,FALSE),"")</f>
        <v/>
      </c>
      <c r="D1434" s="16" t="str">
        <f>IFERROR(VLOOKUP(C1434,DATA!#REF!,2,FALSE),"")</f>
        <v/>
      </c>
    </row>
    <row r="1435" spans="2:4" s="237" customFormat="1">
      <c r="B1435" s="15" t="str">
        <f t="shared" si="60"/>
        <v/>
      </c>
      <c r="C1435" s="16" t="str">
        <f>IFERROR(VLOOKUP(DATA!#REF!,DATA!#REF!,1,FALSE),"")</f>
        <v/>
      </c>
      <c r="D1435" s="16" t="str">
        <f>IFERROR(VLOOKUP(C1435,DATA!#REF!,2,FALSE),"")</f>
        <v/>
      </c>
    </row>
    <row r="1436" spans="2:4" s="237" customFormat="1">
      <c r="B1436" s="15" t="str">
        <f t="shared" si="60"/>
        <v/>
      </c>
      <c r="C1436" s="16" t="str">
        <f>IFERROR(VLOOKUP(DATA!#REF!,DATA!#REF!,1,FALSE),"")</f>
        <v/>
      </c>
      <c r="D1436" s="16" t="str">
        <f>IFERROR(VLOOKUP(C1436,DATA!#REF!,2,FALSE),"")</f>
        <v/>
      </c>
    </row>
    <row r="1437" spans="2:4" s="237" customFormat="1">
      <c r="B1437" s="15" t="str">
        <f t="shared" si="60"/>
        <v/>
      </c>
      <c r="C1437" s="16" t="str">
        <f>IFERROR(VLOOKUP(DATA!#REF!,DATA!#REF!,1,FALSE),"")</f>
        <v/>
      </c>
      <c r="D1437" s="16" t="str">
        <f>IFERROR(VLOOKUP(C1437,DATA!#REF!,2,FALSE),"")</f>
        <v/>
      </c>
    </row>
    <row r="1438" spans="2:4" s="237" customFormat="1">
      <c r="B1438" s="15" t="str">
        <f t="shared" si="60"/>
        <v/>
      </c>
      <c r="C1438" s="16" t="str">
        <f>IFERROR(VLOOKUP(DATA!#REF!,DATA!#REF!,1,FALSE),"")</f>
        <v/>
      </c>
      <c r="D1438" s="16" t="str">
        <f>IFERROR(VLOOKUP(C1438,DATA!#REF!,2,FALSE),"")</f>
        <v/>
      </c>
    </row>
    <row r="1439" spans="2:4" s="237" customFormat="1">
      <c r="B1439" s="15" t="str">
        <f t="shared" si="60"/>
        <v/>
      </c>
      <c r="C1439" s="16" t="str">
        <f>IFERROR(VLOOKUP(DATA!#REF!,DATA!#REF!,1,FALSE),"")</f>
        <v/>
      </c>
      <c r="D1439" s="16" t="str">
        <f>IFERROR(VLOOKUP(C1439,DATA!#REF!,2,FALSE),"")</f>
        <v/>
      </c>
    </row>
    <row r="1440" spans="2:4" s="237" customFormat="1">
      <c r="B1440" s="15" t="str">
        <f t="shared" si="60"/>
        <v/>
      </c>
      <c r="C1440" s="16" t="str">
        <f>IFERROR(VLOOKUP(DATA!#REF!,DATA!#REF!,1,FALSE),"")</f>
        <v/>
      </c>
      <c r="D1440" s="16" t="str">
        <f>IFERROR(VLOOKUP(C1440,DATA!#REF!,2,FALSE),"")</f>
        <v/>
      </c>
    </row>
    <row r="1441" spans="2:4" s="237" customFormat="1">
      <c r="B1441" s="15" t="str">
        <f t="shared" si="60"/>
        <v/>
      </c>
      <c r="C1441" s="16" t="str">
        <f>IFERROR(VLOOKUP(DATA!#REF!,DATA!#REF!,1,FALSE),"")</f>
        <v/>
      </c>
      <c r="D1441" s="16" t="str">
        <f>IFERROR(VLOOKUP(C1441,DATA!#REF!,2,FALSE),"")</f>
        <v/>
      </c>
    </row>
    <row r="1442" spans="2:4" s="237" customFormat="1">
      <c r="B1442" s="15" t="str">
        <f t="shared" si="60"/>
        <v/>
      </c>
      <c r="C1442" s="16" t="str">
        <f>IFERROR(VLOOKUP(DATA!#REF!,DATA!#REF!,1,FALSE),"")</f>
        <v/>
      </c>
      <c r="D1442" s="16" t="str">
        <f>IFERROR(VLOOKUP(C1442,DATA!#REF!,2,FALSE),"")</f>
        <v/>
      </c>
    </row>
    <row r="1443" spans="2:4" s="237" customFormat="1">
      <c r="B1443" s="15" t="str">
        <f t="shared" si="60"/>
        <v/>
      </c>
      <c r="C1443" s="16" t="str">
        <f>IFERROR(VLOOKUP(DATA!#REF!,DATA!#REF!,1,FALSE),"")</f>
        <v/>
      </c>
      <c r="D1443" s="16" t="str">
        <f>IFERROR(VLOOKUP(C1443,DATA!#REF!,2,FALSE),"")</f>
        <v/>
      </c>
    </row>
    <row r="1444" spans="2:4" s="237" customFormat="1">
      <c r="B1444" s="15" t="str">
        <f t="shared" si="60"/>
        <v/>
      </c>
      <c r="C1444" s="16" t="str">
        <f>IFERROR(VLOOKUP(DATA!#REF!,DATA!#REF!,1,FALSE),"")</f>
        <v/>
      </c>
      <c r="D1444" s="16" t="str">
        <f>IFERROR(VLOOKUP(C1444,DATA!#REF!,2,FALSE),"")</f>
        <v/>
      </c>
    </row>
    <row r="1445" spans="2:4" s="237" customFormat="1">
      <c r="B1445" s="15" t="str">
        <f t="shared" si="60"/>
        <v/>
      </c>
      <c r="C1445" s="16" t="str">
        <f>IFERROR(VLOOKUP(DATA!#REF!,DATA!#REF!,1,FALSE),"")</f>
        <v/>
      </c>
      <c r="D1445" s="16" t="str">
        <f>IFERROR(VLOOKUP(C1445,DATA!#REF!,2,FALSE),"")</f>
        <v/>
      </c>
    </row>
    <row r="1446" spans="2:4" s="237" customFormat="1">
      <c r="B1446" s="15" t="str">
        <f t="shared" si="60"/>
        <v/>
      </c>
      <c r="C1446" s="16" t="str">
        <f>IFERROR(VLOOKUP(DATA!#REF!,DATA!#REF!,1,FALSE),"")</f>
        <v/>
      </c>
      <c r="D1446" s="16" t="str">
        <f>IFERROR(VLOOKUP(C1446,DATA!#REF!,2,FALSE),"")</f>
        <v/>
      </c>
    </row>
    <row r="1447" spans="2:4" s="237" customFormat="1">
      <c r="B1447" s="15" t="str">
        <f t="shared" si="60"/>
        <v/>
      </c>
      <c r="C1447" s="16" t="str">
        <f>IFERROR(VLOOKUP(DATA!#REF!,DATA!#REF!,1,FALSE),"")</f>
        <v/>
      </c>
      <c r="D1447" s="16" t="str">
        <f>IFERROR(VLOOKUP(C1447,DATA!#REF!,2,FALSE),"")</f>
        <v/>
      </c>
    </row>
    <row r="1448" spans="2:4" s="237" customFormat="1">
      <c r="B1448" s="15" t="str">
        <f t="shared" si="60"/>
        <v/>
      </c>
      <c r="C1448" s="16" t="str">
        <f>IFERROR(VLOOKUP(DATA!#REF!,DATA!#REF!,1,FALSE),"")</f>
        <v/>
      </c>
      <c r="D1448" s="16" t="str">
        <f>IFERROR(VLOOKUP(C1448,DATA!#REF!,2,FALSE),"")</f>
        <v/>
      </c>
    </row>
    <row r="1449" spans="2:4" s="237" customFormat="1">
      <c r="B1449" s="15" t="str">
        <f t="shared" si="60"/>
        <v/>
      </c>
      <c r="C1449" s="16" t="str">
        <f>IFERROR(VLOOKUP(DATA!#REF!,DATA!#REF!,1,FALSE),"")</f>
        <v/>
      </c>
      <c r="D1449" s="16" t="str">
        <f>IFERROR(VLOOKUP(C1449,DATA!#REF!,2,FALSE),"")</f>
        <v/>
      </c>
    </row>
    <row r="1450" spans="2:4" s="237" customFormat="1">
      <c r="B1450" s="15" t="str">
        <f t="shared" si="60"/>
        <v/>
      </c>
      <c r="C1450" s="16" t="str">
        <f>IFERROR(VLOOKUP(DATA!#REF!,DATA!#REF!,1,FALSE),"")</f>
        <v/>
      </c>
      <c r="D1450" s="16" t="str">
        <f>IFERROR(VLOOKUP(C1450,DATA!#REF!,2,FALSE),"")</f>
        <v/>
      </c>
    </row>
    <row r="1451" spans="2:4" s="237" customFormat="1">
      <c r="B1451" s="15" t="str">
        <f t="shared" si="60"/>
        <v/>
      </c>
      <c r="C1451" s="16" t="str">
        <f>IFERROR(VLOOKUP(DATA!#REF!,DATA!#REF!,1,FALSE),"")</f>
        <v/>
      </c>
      <c r="D1451" s="16" t="str">
        <f>IFERROR(VLOOKUP(C1451,DATA!#REF!,2,FALSE),"")</f>
        <v/>
      </c>
    </row>
    <row r="1452" spans="2:4" s="237" customFormat="1">
      <c r="B1452" s="15" t="str">
        <f t="shared" si="60"/>
        <v/>
      </c>
      <c r="C1452" s="16" t="str">
        <f>IFERROR(VLOOKUP(DATA!#REF!,DATA!#REF!,1,FALSE),"")</f>
        <v/>
      </c>
      <c r="D1452" s="16" t="str">
        <f>IFERROR(VLOOKUP(C1452,DATA!#REF!,2,FALSE),"")</f>
        <v/>
      </c>
    </row>
    <row r="1453" spans="2:4" s="237" customFormat="1">
      <c r="B1453" s="15" t="str">
        <f t="shared" si="60"/>
        <v/>
      </c>
      <c r="C1453" s="16" t="str">
        <f>IFERROR(VLOOKUP(DATA!#REF!,DATA!#REF!,1,FALSE),"")</f>
        <v/>
      </c>
      <c r="D1453" s="16" t="str">
        <f>IFERROR(VLOOKUP(C1453,DATA!#REF!,2,FALSE),"")</f>
        <v/>
      </c>
    </row>
    <row r="1454" spans="2:4" s="237" customFormat="1">
      <c r="B1454" s="15" t="str">
        <f t="shared" si="60"/>
        <v/>
      </c>
      <c r="C1454" s="16" t="str">
        <f>IFERROR(VLOOKUP(DATA!#REF!,DATA!#REF!,1,FALSE),"")</f>
        <v/>
      </c>
      <c r="D1454" s="16" t="str">
        <f>IFERROR(VLOOKUP(C1454,DATA!#REF!,2,FALSE),"")</f>
        <v/>
      </c>
    </row>
    <row r="1455" spans="2:4" s="237" customFormat="1">
      <c r="B1455" s="15" t="str">
        <f t="shared" si="60"/>
        <v/>
      </c>
      <c r="C1455" s="16" t="str">
        <f>IFERROR(VLOOKUP(DATA!#REF!,DATA!#REF!,1,FALSE),"")</f>
        <v/>
      </c>
      <c r="D1455" s="16" t="str">
        <f>IFERROR(VLOOKUP(C1455,DATA!#REF!,2,FALSE),"")</f>
        <v/>
      </c>
    </row>
    <row r="1456" spans="2:4" s="237" customFormat="1">
      <c r="B1456" s="15" t="str">
        <f t="shared" si="60"/>
        <v/>
      </c>
      <c r="C1456" s="16" t="str">
        <f>IFERROR(VLOOKUP(DATA!#REF!,DATA!#REF!,1,FALSE),"")</f>
        <v/>
      </c>
      <c r="D1456" s="16" t="str">
        <f>IFERROR(VLOOKUP(C1456,DATA!#REF!,2,FALSE),"")</f>
        <v/>
      </c>
    </row>
    <row r="1457" spans="2:4" s="237" customFormat="1">
      <c r="B1457" s="15" t="str">
        <f t="shared" si="60"/>
        <v/>
      </c>
      <c r="C1457" s="16" t="str">
        <f>IFERROR(VLOOKUP(DATA!#REF!,DATA!#REF!,1,FALSE),"")</f>
        <v/>
      </c>
      <c r="D1457" s="16" t="str">
        <f>IFERROR(VLOOKUP(C1457,DATA!#REF!,2,FALSE),"")</f>
        <v/>
      </c>
    </row>
    <row r="1458" spans="2:4" s="237" customFormat="1">
      <c r="B1458" s="15" t="str">
        <f t="shared" si="60"/>
        <v/>
      </c>
      <c r="C1458" s="16" t="str">
        <f>IFERROR(VLOOKUP(DATA!#REF!,DATA!#REF!,1,FALSE),"")</f>
        <v/>
      </c>
      <c r="D1458" s="16" t="str">
        <f>IFERROR(VLOOKUP(C1458,DATA!#REF!,2,FALSE),"")</f>
        <v/>
      </c>
    </row>
    <row r="1459" spans="2:4" s="237" customFormat="1">
      <c r="B1459" s="15" t="str">
        <f t="shared" si="60"/>
        <v/>
      </c>
      <c r="C1459" s="16" t="str">
        <f>IFERROR(VLOOKUP(DATA!#REF!,DATA!#REF!,1,FALSE),"")</f>
        <v/>
      </c>
      <c r="D1459" s="16" t="str">
        <f>IFERROR(VLOOKUP(C1459,DATA!#REF!,2,FALSE),"")</f>
        <v/>
      </c>
    </row>
    <row r="1460" spans="2:4" s="237" customFormat="1">
      <c r="B1460" s="15" t="str">
        <f t="shared" si="60"/>
        <v/>
      </c>
      <c r="C1460" s="16" t="str">
        <f>IFERROR(VLOOKUP(DATA!#REF!,DATA!#REF!,1,FALSE),"")</f>
        <v/>
      </c>
      <c r="D1460" s="16" t="str">
        <f>IFERROR(VLOOKUP(C1460,DATA!#REF!,2,FALSE),"")</f>
        <v/>
      </c>
    </row>
    <row r="1461" spans="2:4" s="237" customFormat="1">
      <c r="B1461" s="15" t="str">
        <f t="shared" si="60"/>
        <v/>
      </c>
      <c r="C1461" s="16" t="str">
        <f>IFERROR(VLOOKUP(DATA!#REF!,DATA!#REF!,1,FALSE),"")</f>
        <v/>
      </c>
      <c r="D1461" s="16" t="str">
        <f>IFERROR(VLOOKUP(C1461,DATA!#REF!,2,FALSE),"")</f>
        <v/>
      </c>
    </row>
    <row r="1462" spans="2:4" s="237" customFormat="1">
      <c r="B1462" s="15" t="str">
        <f t="shared" si="60"/>
        <v/>
      </c>
      <c r="C1462" s="16" t="str">
        <f>IFERROR(VLOOKUP(DATA!#REF!,DATA!#REF!,1,FALSE),"")</f>
        <v/>
      </c>
      <c r="D1462" s="16" t="str">
        <f>IFERROR(VLOOKUP(C1462,DATA!#REF!,2,FALSE),"")</f>
        <v/>
      </c>
    </row>
    <row r="1463" spans="2:4" s="237" customFormat="1">
      <c r="B1463" s="15" t="str">
        <f t="shared" si="60"/>
        <v/>
      </c>
      <c r="C1463" s="16" t="str">
        <f>IFERROR(VLOOKUP(DATA!#REF!,DATA!#REF!,1,FALSE),"")</f>
        <v/>
      </c>
      <c r="D1463" s="16" t="str">
        <f>IFERROR(VLOOKUP(C1463,DATA!#REF!,2,FALSE),"")</f>
        <v/>
      </c>
    </row>
    <row r="1464" spans="2:4" s="237" customFormat="1">
      <c r="B1464" s="15" t="str">
        <f t="shared" si="60"/>
        <v/>
      </c>
      <c r="C1464" s="16" t="str">
        <f>IFERROR(VLOOKUP(DATA!#REF!,DATA!#REF!,1,FALSE),"")</f>
        <v/>
      </c>
      <c r="D1464" s="16" t="str">
        <f>IFERROR(VLOOKUP(C1464,DATA!#REF!,2,FALSE),"")</f>
        <v/>
      </c>
    </row>
    <row r="1465" spans="2:4" s="237" customFormat="1">
      <c r="B1465" s="15" t="str">
        <f t="shared" si="60"/>
        <v/>
      </c>
      <c r="C1465" s="16" t="str">
        <f>IFERROR(VLOOKUP(DATA!#REF!,DATA!#REF!,1,FALSE),"")</f>
        <v/>
      </c>
      <c r="D1465" s="16" t="str">
        <f>IFERROR(VLOOKUP(C1465,DATA!#REF!,2,FALSE),"")</f>
        <v/>
      </c>
    </row>
    <row r="1466" spans="2:4" s="237" customFormat="1">
      <c r="B1466" s="15" t="str">
        <f t="shared" si="60"/>
        <v/>
      </c>
      <c r="C1466" s="16" t="str">
        <f>IFERROR(VLOOKUP(DATA!#REF!,DATA!#REF!,1,FALSE),"")</f>
        <v/>
      </c>
      <c r="D1466" s="16" t="str">
        <f>IFERROR(VLOOKUP(C1466,DATA!#REF!,2,FALSE),"")</f>
        <v/>
      </c>
    </row>
    <row r="1467" spans="2:4" s="237" customFormat="1">
      <c r="B1467" s="15" t="str">
        <f t="shared" si="60"/>
        <v/>
      </c>
      <c r="C1467" s="16" t="str">
        <f>IFERROR(VLOOKUP(DATA!#REF!,DATA!#REF!,1,FALSE),"")</f>
        <v/>
      </c>
      <c r="D1467" s="16" t="str">
        <f>IFERROR(VLOOKUP(C1467,DATA!#REF!,2,FALSE),"")</f>
        <v/>
      </c>
    </row>
    <row r="1468" spans="2:4" s="237" customFormat="1">
      <c r="B1468" s="15" t="str">
        <f t="shared" si="60"/>
        <v/>
      </c>
      <c r="C1468" s="16" t="str">
        <f>IFERROR(VLOOKUP(DATA!#REF!,DATA!#REF!,1,FALSE),"")</f>
        <v/>
      </c>
      <c r="D1468" s="16" t="str">
        <f>IFERROR(VLOOKUP(C1468,DATA!#REF!,2,FALSE),"")</f>
        <v/>
      </c>
    </row>
    <row r="1469" spans="2:4" s="237" customFormat="1">
      <c r="B1469" s="15" t="str">
        <f t="shared" si="60"/>
        <v/>
      </c>
      <c r="C1469" s="16" t="str">
        <f>IFERROR(VLOOKUP(DATA!#REF!,DATA!#REF!,1,FALSE),"")</f>
        <v/>
      </c>
      <c r="D1469" s="16" t="str">
        <f>IFERROR(VLOOKUP(C1469,DATA!#REF!,2,FALSE),"")</f>
        <v/>
      </c>
    </row>
    <row r="1470" spans="2:4" s="237" customFormat="1">
      <c r="B1470" s="15" t="str">
        <f t="shared" si="60"/>
        <v/>
      </c>
      <c r="C1470" s="16" t="str">
        <f>IFERROR(VLOOKUP(DATA!#REF!,DATA!#REF!,1,FALSE),"")</f>
        <v/>
      </c>
      <c r="D1470" s="16" t="str">
        <f>IFERROR(VLOOKUP(C1470,DATA!#REF!,2,FALSE),"")</f>
        <v/>
      </c>
    </row>
    <row r="1471" spans="2:4" s="237" customFormat="1">
      <c r="B1471" s="15" t="str">
        <f t="shared" si="60"/>
        <v/>
      </c>
      <c r="C1471" s="16" t="str">
        <f>IFERROR(VLOOKUP(DATA!#REF!,DATA!#REF!,1,FALSE),"")</f>
        <v/>
      </c>
      <c r="D1471" s="16" t="str">
        <f>IFERROR(VLOOKUP(C1471,DATA!#REF!,2,FALSE),"")</f>
        <v/>
      </c>
    </row>
    <row r="1472" spans="2:4" s="237" customFormat="1">
      <c r="B1472" s="15" t="str">
        <f t="shared" si="60"/>
        <v/>
      </c>
      <c r="C1472" s="16" t="str">
        <f>IFERROR(VLOOKUP(DATA!#REF!,DATA!#REF!,1,FALSE),"")</f>
        <v/>
      </c>
      <c r="D1472" s="16" t="str">
        <f>IFERROR(VLOOKUP(C1472,DATA!#REF!,2,FALSE),"")</f>
        <v/>
      </c>
    </row>
    <row r="1473" spans="2:4" s="237" customFormat="1">
      <c r="B1473" s="15" t="str">
        <f t="shared" si="60"/>
        <v/>
      </c>
      <c r="C1473" s="16" t="str">
        <f>IFERROR(VLOOKUP(DATA!#REF!,DATA!#REF!,1,FALSE),"")</f>
        <v/>
      </c>
      <c r="D1473" s="16" t="str">
        <f>IFERROR(VLOOKUP(C1473,DATA!#REF!,2,FALSE),"")</f>
        <v/>
      </c>
    </row>
    <row r="1474" spans="2:4" s="237" customFormat="1">
      <c r="B1474" s="15" t="str">
        <f t="shared" si="60"/>
        <v/>
      </c>
      <c r="C1474" s="16" t="str">
        <f>IFERROR(VLOOKUP(DATA!#REF!,DATA!#REF!,1,FALSE),"")</f>
        <v/>
      </c>
      <c r="D1474" s="16" t="str">
        <f>IFERROR(VLOOKUP(C1474,DATA!#REF!,2,FALSE),"")</f>
        <v/>
      </c>
    </row>
    <row r="1475" spans="2:4" s="237" customFormat="1">
      <c r="B1475" s="15" t="str">
        <f t="shared" si="60"/>
        <v/>
      </c>
      <c r="C1475" s="16" t="str">
        <f>IFERROR(VLOOKUP(DATA!#REF!,DATA!#REF!,1,FALSE),"")</f>
        <v/>
      </c>
      <c r="D1475" s="16" t="str">
        <f>IFERROR(VLOOKUP(C1475,DATA!#REF!,2,FALSE),"")</f>
        <v/>
      </c>
    </row>
    <row r="1476" spans="2:4" s="237" customFormat="1">
      <c r="B1476" s="15" t="str">
        <f t="shared" si="60"/>
        <v/>
      </c>
      <c r="C1476" s="16" t="str">
        <f>IFERROR(VLOOKUP(DATA!#REF!,DATA!#REF!,1,FALSE),"")</f>
        <v/>
      </c>
      <c r="D1476" s="16" t="str">
        <f>IFERROR(VLOOKUP(C1476,DATA!#REF!,2,FALSE),"")</f>
        <v/>
      </c>
    </row>
    <row r="1477" spans="2:4" s="237" customFormat="1">
      <c r="B1477" s="15" t="str">
        <f t="shared" si="60"/>
        <v/>
      </c>
      <c r="C1477" s="16" t="str">
        <f>IFERROR(VLOOKUP(DATA!#REF!,DATA!#REF!,1,FALSE),"")</f>
        <v/>
      </c>
      <c r="D1477" s="16" t="str">
        <f>IFERROR(VLOOKUP(C1477,DATA!#REF!,2,FALSE),"")</f>
        <v/>
      </c>
    </row>
    <row r="1478" spans="2:4" s="237" customFormat="1">
      <c r="B1478" s="15" t="str">
        <f t="shared" ref="B1478:B1541" si="61">+IF(C1478="","",ROW()-5)</f>
        <v/>
      </c>
      <c r="C1478" s="16" t="str">
        <f>IFERROR(VLOOKUP(DATA!#REF!,DATA!#REF!,1,FALSE),"")</f>
        <v/>
      </c>
      <c r="D1478" s="16" t="str">
        <f>IFERROR(VLOOKUP(C1478,DATA!#REF!,2,FALSE),"")</f>
        <v/>
      </c>
    </row>
    <row r="1479" spans="2:4" s="237" customFormat="1">
      <c r="B1479" s="15" t="str">
        <f t="shared" si="61"/>
        <v/>
      </c>
      <c r="C1479" s="16" t="str">
        <f>IFERROR(VLOOKUP(DATA!#REF!,DATA!#REF!,1,FALSE),"")</f>
        <v/>
      </c>
      <c r="D1479" s="16" t="str">
        <f>IFERROR(VLOOKUP(C1479,DATA!#REF!,2,FALSE),"")</f>
        <v/>
      </c>
    </row>
    <row r="1480" spans="2:4" s="237" customFormat="1">
      <c r="B1480" s="15" t="str">
        <f t="shared" si="61"/>
        <v/>
      </c>
      <c r="C1480" s="16" t="str">
        <f>IFERROR(VLOOKUP(DATA!#REF!,DATA!#REF!,1,FALSE),"")</f>
        <v/>
      </c>
      <c r="D1480" s="16" t="str">
        <f>IFERROR(VLOOKUP(C1480,DATA!#REF!,2,FALSE),"")</f>
        <v/>
      </c>
    </row>
    <row r="1481" spans="2:4" s="237" customFormat="1">
      <c r="B1481" s="15" t="str">
        <f t="shared" si="61"/>
        <v/>
      </c>
      <c r="C1481" s="16" t="str">
        <f>IFERROR(VLOOKUP(DATA!#REF!,DATA!#REF!,1,FALSE),"")</f>
        <v/>
      </c>
      <c r="D1481" s="16" t="str">
        <f>IFERROR(VLOOKUP(C1481,DATA!#REF!,2,FALSE),"")</f>
        <v/>
      </c>
    </row>
    <row r="1482" spans="2:4" s="237" customFormat="1">
      <c r="B1482" s="15" t="str">
        <f t="shared" si="61"/>
        <v/>
      </c>
      <c r="C1482" s="16" t="str">
        <f>IFERROR(VLOOKUP(DATA!#REF!,DATA!#REF!,1,FALSE),"")</f>
        <v/>
      </c>
      <c r="D1482" s="16" t="str">
        <f>IFERROR(VLOOKUP(C1482,DATA!#REF!,2,FALSE),"")</f>
        <v/>
      </c>
    </row>
    <row r="1483" spans="2:4" s="237" customFormat="1">
      <c r="B1483" s="15" t="str">
        <f t="shared" si="61"/>
        <v/>
      </c>
      <c r="C1483" s="16" t="str">
        <f>IFERROR(VLOOKUP(DATA!#REF!,DATA!#REF!,1,FALSE),"")</f>
        <v/>
      </c>
      <c r="D1483" s="16" t="str">
        <f>IFERROR(VLOOKUP(C1483,DATA!#REF!,2,FALSE),"")</f>
        <v/>
      </c>
    </row>
    <row r="1484" spans="2:4" s="237" customFormat="1">
      <c r="B1484" s="15" t="str">
        <f t="shared" si="61"/>
        <v/>
      </c>
      <c r="C1484" s="16" t="str">
        <f>IFERROR(VLOOKUP(DATA!#REF!,DATA!#REF!,1,FALSE),"")</f>
        <v/>
      </c>
      <c r="D1484" s="16" t="str">
        <f>IFERROR(VLOOKUP(C1484,DATA!#REF!,2,FALSE),"")</f>
        <v/>
      </c>
    </row>
    <row r="1485" spans="2:4" s="237" customFormat="1">
      <c r="B1485" s="15" t="str">
        <f t="shared" si="61"/>
        <v/>
      </c>
      <c r="C1485" s="16" t="str">
        <f>IFERROR(VLOOKUP(DATA!#REF!,DATA!#REF!,1,FALSE),"")</f>
        <v/>
      </c>
      <c r="D1485" s="16" t="str">
        <f>IFERROR(VLOOKUP(C1485,DATA!#REF!,2,FALSE),"")</f>
        <v/>
      </c>
    </row>
    <row r="1486" spans="2:4" s="237" customFormat="1">
      <c r="B1486" s="15" t="str">
        <f t="shared" si="61"/>
        <v/>
      </c>
      <c r="C1486" s="16" t="str">
        <f>IFERROR(VLOOKUP(DATA!#REF!,DATA!#REF!,1,FALSE),"")</f>
        <v/>
      </c>
      <c r="D1486" s="16" t="str">
        <f>IFERROR(VLOOKUP(C1486,DATA!#REF!,2,FALSE),"")</f>
        <v/>
      </c>
    </row>
    <row r="1487" spans="2:4" s="237" customFormat="1">
      <c r="B1487" s="15" t="str">
        <f t="shared" si="61"/>
        <v/>
      </c>
      <c r="C1487" s="16" t="str">
        <f>IFERROR(VLOOKUP(DATA!#REF!,DATA!#REF!,1,FALSE),"")</f>
        <v/>
      </c>
      <c r="D1487" s="16" t="str">
        <f>IFERROR(VLOOKUP(C1487,DATA!#REF!,2,FALSE),"")</f>
        <v/>
      </c>
    </row>
    <row r="1488" spans="2:4" s="237" customFormat="1">
      <c r="B1488" s="15" t="str">
        <f t="shared" si="61"/>
        <v/>
      </c>
      <c r="C1488" s="16" t="str">
        <f>IFERROR(VLOOKUP(DATA!#REF!,DATA!#REF!,1,FALSE),"")</f>
        <v/>
      </c>
      <c r="D1488" s="16" t="str">
        <f>IFERROR(VLOOKUP(C1488,DATA!#REF!,2,FALSE),"")</f>
        <v/>
      </c>
    </row>
    <row r="1489" spans="2:4" s="237" customFormat="1">
      <c r="B1489" s="15" t="str">
        <f t="shared" si="61"/>
        <v/>
      </c>
      <c r="C1489" s="16" t="str">
        <f>IFERROR(VLOOKUP(DATA!#REF!,DATA!#REF!,1,FALSE),"")</f>
        <v/>
      </c>
      <c r="D1489" s="16" t="str">
        <f>IFERROR(VLOOKUP(C1489,DATA!#REF!,2,FALSE),"")</f>
        <v/>
      </c>
    </row>
    <row r="1490" spans="2:4" s="237" customFormat="1">
      <c r="B1490" s="15" t="str">
        <f t="shared" si="61"/>
        <v/>
      </c>
      <c r="C1490" s="16" t="str">
        <f>IFERROR(VLOOKUP(DATA!#REF!,DATA!#REF!,1,FALSE),"")</f>
        <v/>
      </c>
      <c r="D1490" s="16" t="str">
        <f>IFERROR(VLOOKUP(C1490,DATA!#REF!,2,FALSE),"")</f>
        <v/>
      </c>
    </row>
    <row r="1491" spans="2:4" s="237" customFormat="1">
      <c r="B1491" s="15" t="str">
        <f t="shared" si="61"/>
        <v/>
      </c>
      <c r="C1491" s="16" t="str">
        <f>IFERROR(VLOOKUP(DATA!#REF!,DATA!#REF!,1,FALSE),"")</f>
        <v/>
      </c>
      <c r="D1491" s="16" t="str">
        <f>IFERROR(VLOOKUP(C1491,DATA!#REF!,2,FALSE),"")</f>
        <v/>
      </c>
    </row>
    <row r="1492" spans="2:4" s="237" customFormat="1">
      <c r="B1492" s="15" t="str">
        <f t="shared" si="61"/>
        <v/>
      </c>
      <c r="C1492" s="16" t="str">
        <f>IFERROR(VLOOKUP(DATA!#REF!,DATA!#REF!,1,FALSE),"")</f>
        <v/>
      </c>
      <c r="D1492" s="16" t="str">
        <f>IFERROR(VLOOKUP(C1492,DATA!#REF!,2,FALSE),"")</f>
        <v/>
      </c>
    </row>
    <row r="1493" spans="2:4" s="237" customFormat="1">
      <c r="B1493" s="15" t="str">
        <f t="shared" si="61"/>
        <v/>
      </c>
      <c r="C1493" s="16" t="str">
        <f>IFERROR(VLOOKUP(DATA!#REF!,DATA!#REF!,1,FALSE),"")</f>
        <v/>
      </c>
      <c r="D1493" s="16" t="str">
        <f>IFERROR(VLOOKUP(C1493,DATA!#REF!,2,FALSE),"")</f>
        <v/>
      </c>
    </row>
    <row r="1494" spans="2:4" s="237" customFormat="1">
      <c r="B1494" s="15" t="str">
        <f t="shared" si="61"/>
        <v/>
      </c>
      <c r="C1494" s="16" t="str">
        <f>IFERROR(VLOOKUP(DATA!#REF!,DATA!#REF!,1,FALSE),"")</f>
        <v/>
      </c>
      <c r="D1494" s="16" t="str">
        <f>IFERROR(VLOOKUP(C1494,DATA!#REF!,2,FALSE),"")</f>
        <v/>
      </c>
    </row>
    <row r="1495" spans="2:4" s="237" customFormat="1">
      <c r="B1495" s="15" t="str">
        <f t="shared" si="61"/>
        <v/>
      </c>
      <c r="C1495" s="16" t="str">
        <f>IFERROR(VLOOKUP(DATA!#REF!,DATA!#REF!,1,FALSE),"")</f>
        <v/>
      </c>
      <c r="D1495" s="16" t="str">
        <f>IFERROR(VLOOKUP(C1495,DATA!#REF!,2,FALSE),"")</f>
        <v/>
      </c>
    </row>
    <row r="1496" spans="2:4" s="237" customFormat="1">
      <c r="B1496" s="15" t="str">
        <f t="shared" si="61"/>
        <v/>
      </c>
      <c r="C1496" s="16" t="str">
        <f>IFERROR(VLOOKUP(DATA!#REF!,DATA!#REF!,1,FALSE),"")</f>
        <v/>
      </c>
      <c r="D1496" s="16" t="str">
        <f>IFERROR(VLOOKUP(C1496,DATA!#REF!,2,FALSE),"")</f>
        <v/>
      </c>
    </row>
    <row r="1497" spans="2:4" s="237" customFormat="1">
      <c r="B1497" s="15" t="str">
        <f t="shared" si="61"/>
        <v/>
      </c>
      <c r="C1497" s="16" t="str">
        <f>IFERROR(VLOOKUP(DATA!#REF!,DATA!#REF!,1,FALSE),"")</f>
        <v/>
      </c>
      <c r="D1497" s="16" t="str">
        <f>IFERROR(VLOOKUP(C1497,DATA!#REF!,2,FALSE),"")</f>
        <v/>
      </c>
    </row>
    <row r="1498" spans="2:4" s="237" customFormat="1">
      <c r="B1498" s="15" t="str">
        <f t="shared" si="61"/>
        <v/>
      </c>
      <c r="C1498" s="16" t="str">
        <f>IFERROR(VLOOKUP(DATA!#REF!,DATA!#REF!,1,FALSE),"")</f>
        <v/>
      </c>
      <c r="D1498" s="16" t="str">
        <f>IFERROR(VLOOKUP(C1498,DATA!#REF!,2,FALSE),"")</f>
        <v/>
      </c>
    </row>
    <row r="1499" spans="2:4" s="237" customFormat="1">
      <c r="B1499" s="15" t="str">
        <f t="shared" si="61"/>
        <v/>
      </c>
      <c r="C1499" s="16" t="str">
        <f>IFERROR(VLOOKUP(DATA!#REF!,DATA!#REF!,1,FALSE),"")</f>
        <v/>
      </c>
      <c r="D1499" s="16" t="str">
        <f>IFERROR(VLOOKUP(C1499,DATA!#REF!,2,FALSE),"")</f>
        <v/>
      </c>
    </row>
    <row r="1500" spans="2:4" s="237" customFormat="1">
      <c r="B1500" s="15" t="str">
        <f t="shared" si="61"/>
        <v/>
      </c>
      <c r="C1500" s="16" t="str">
        <f>IFERROR(VLOOKUP(DATA!#REF!,DATA!#REF!,1,FALSE),"")</f>
        <v/>
      </c>
      <c r="D1500" s="16" t="str">
        <f>IFERROR(VLOOKUP(C1500,DATA!#REF!,2,FALSE),"")</f>
        <v/>
      </c>
    </row>
    <row r="1501" spans="2:4" s="237" customFormat="1">
      <c r="B1501" s="15" t="str">
        <f t="shared" si="61"/>
        <v/>
      </c>
      <c r="C1501" s="16" t="str">
        <f>IFERROR(VLOOKUP(DATA!#REF!,DATA!#REF!,1,FALSE),"")</f>
        <v/>
      </c>
      <c r="D1501" s="16" t="str">
        <f>IFERROR(VLOOKUP(C1501,DATA!#REF!,2,FALSE),"")</f>
        <v/>
      </c>
    </row>
    <row r="1502" spans="2:4" s="237" customFormat="1">
      <c r="B1502" s="15" t="str">
        <f t="shared" si="61"/>
        <v/>
      </c>
      <c r="C1502" s="16" t="str">
        <f>IFERROR(VLOOKUP(DATA!#REF!,DATA!#REF!,1,FALSE),"")</f>
        <v/>
      </c>
      <c r="D1502" s="16" t="str">
        <f>IFERROR(VLOOKUP(C1502,DATA!#REF!,2,FALSE),"")</f>
        <v/>
      </c>
    </row>
    <row r="1503" spans="2:4" s="237" customFormat="1">
      <c r="B1503" s="15" t="str">
        <f t="shared" si="61"/>
        <v/>
      </c>
      <c r="C1503" s="16" t="str">
        <f>IFERROR(VLOOKUP(DATA!#REF!,DATA!#REF!,1,FALSE),"")</f>
        <v/>
      </c>
      <c r="D1503" s="16" t="str">
        <f>IFERROR(VLOOKUP(C1503,DATA!#REF!,2,FALSE),"")</f>
        <v/>
      </c>
    </row>
    <row r="1504" spans="2:4" s="237" customFormat="1">
      <c r="B1504" s="15" t="str">
        <f t="shared" si="61"/>
        <v/>
      </c>
      <c r="C1504" s="16" t="str">
        <f>IFERROR(VLOOKUP(DATA!#REF!,DATA!#REF!,1,FALSE),"")</f>
        <v/>
      </c>
      <c r="D1504" s="16" t="str">
        <f>IFERROR(VLOOKUP(C1504,DATA!#REF!,2,FALSE),"")</f>
        <v/>
      </c>
    </row>
    <row r="1505" spans="2:4" s="237" customFormat="1">
      <c r="B1505" s="15" t="str">
        <f t="shared" si="61"/>
        <v/>
      </c>
      <c r="C1505" s="16" t="str">
        <f>IFERROR(VLOOKUP(DATA!#REF!,DATA!#REF!,1,FALSE),"")</f>
        <v/>
      </c>
      <c r="D1505" s="16" t="str">
        <f>IFERROR(VLOOKUP(C1505,DATA!#REF!,2,FALSE),"")</f>
        <v/>
      </c>
    </row>
    <row r="1506" spans="2:4" s="237" customFormat="1">
      <c r="B1506" s="15" t="str">
        <f t="shared" si="61"/>
        <v/>
      </c>
      <c r="C1506" s="16" t="str">
        <f>IFERROR(VLOOKUP(DATA!#REF!,DATA!#REF!,1,FALSE),"")</f>
        <v/>
      </c>
      <c r="D1506" s="16" t="str">
        <f>IFERROR(VLOOKUP(C1506,DATA!#REF!,2,FALSE),"")</f>
        <v/>
      </c>
    </row>
    <row r="1507" spans="2:4" s="237" customFormat="1">
      <c r="B1507" s="15" t="str">
        <f t="shared" si="61"/>
        <v/>
      </c>
      <c r="C1507" s="16" t="str">
        <f>IFERROR(VLOOKUP(DATA!#REF!,DATA!#REF!,1,FALSE),"")</f>
        <v/>
      </c>
      <c r="D1507" s="16" t="str">
        <f>IFERROR(VLOOKUP(C1507,DATA!#REF!,2,FALSE),"")</f>
        <v/>
      </c>
    </row>
    <row r="1508" spans="2:4" s="237" customFormat="1">
      <c r="B1508" s="15" t="str">
        <f t="shared" si="61"/>
        <v/>
      </c>
      <c r="C1508" s="16" t="str">
        <f>IFERROR(VLOOKUP(DATA!#REF!,DATA!#REF!,1,FALSE),"")</f>
        <v/>
      </c>
      <c r="D1508" s="16" t="str">
        <f>IFERROR(VLOOKUP(C1508,DATA!#REF!,2,FALSE),"")</f>
        <v/>
      </c>
    </row>
    <row r="1509" spans="2:4" s="237" customFormat="1">
      <c r="B1509" s="15" t="str">
        <f t="shared" si="61"/>
        <v/>
      </c>
      <c r="C1509" s="16" t="str">
        <f>IFERROR(VLOOKUP(DATA!#REF!,DATA!#REF!,1,FALSE),"")</f>
        <v/>
      </c>
      <c r="D1509" s="16" t="str">
        <f>IFERROR(VLOOKUP(C1509,DATA!#REF!,2,FALSE),"")</f>
        <v/>
      </c>
    </row>
    <row r="1510" spans="2:4" s="237" customFormat="1">
      <c r="B1510" s="15" t="str">
        <f t="shared" si="61"/>
        <v/>
      </c>
      <c r="C1510" s="16" t="str">
        <f>IFERROR(VLOOKUP(DATA!#REF!,DATA!#REF!,1,FALSE),"")</f>
        <v/>
      </c>
      <c r="D1510" s="16" t="str">
        <f>IFERROR(VLOOKUP(C1510,DATA!#REF!,2,FALSE),"")</f>
        <v/>
      </c>
    </row>
    <row r="1511" spans="2:4" s="237" customFormat="1">
      <c r="B1511" s="15" t="str">
        <f t="shared" si="61"/>
        <v/>
      </c>
      <c r="C1511" s="16" t="str">
        <f>IFERROR(VLOOKUP(DATA!#REF!,DATA!#REF!,1,FALSE),"")</f>
        <v/>
      </c>
      <c r="D1511" s="16" t="str">
        <f>IFERROR(VLOOKUP(C1511,DATA!#REF!,2,FALSE),"")</f>
        <v/>
      </c>
    </row>
    <row r="1512" spans="2:4" s="237" customFormat="1">
      <c r="B1512" s="15" t="str">
        <f t="shared" si="61"/>
        <v/>
      </c>
      <c r="C1512" s="16" t="str">
        <f>IFERROR(VLOOKUP(DATA!#REF!,DATA!#REF!,1,FALSE),"")</f>
        <v/>
      </c>
      <c r="D1512" s="16" t="str">
        <f>IFERROR(VLOOKUP(C1512,DATA!#REF!,2,FALSE),"")</f>
        <v/>
      </c>
    </row>
    <row r="1513" spans="2:4" s="237" customFormat="1">
      <c r="B1513" s="15" t="str">
        <f t="shared" si="61"/>
        <v/>
      </c>
      <c r="C1513" s="16" t="str">
        <f>IFERROR(VLOOKUP(DATA!#REF!,DATA!#REF!,1,FALSE),"")</f>
        <v/>
      </c>
      <c r="D1513" s="16" t="str">
        <f>IFERROR(VLOOKUP(C1513,DATA!#REF!,2,FALSE),"")</f>
        <v/>
      </c>
    </row>
    <row r="1514" spans="2:4" s="237" customFormat="1">
      <c r="B1514" s="15" t="str">
        <f t="shared" si="61"/>
        <v/>
      </c>
      <c r="C1514" s="16" t="str">
        <f>IFERROR(VLOOKUP(DATA!#REF!,DATA!#REF!,1,FALSE),"")</f>
        <v/>
      </c>
      <c r="D1514" s="16" t="str">
        <f>IFERROR(VLOOKUP(C1514,DATA!#REF!,2,FALSE),"")</f>
        <v/>
      </c>
    </row>
    <row r="1515" spans="2:4" s="237" customFormat="1">
      <c r="B1515" s="15" t="str">
        <f t="shared" si="61"/>
        <v/>
      </c>
      <c r="C1515" s="16" t="str">
        <f>IFERROR(VLOOKUP(DATA!#REF!,DATA!#REF!,1,FALSE),"")</f>
        <v/>
      </c>
      <c r="D1515" s="16" t="str">
        <f>IFERROR(VLOOKUP(C1515,DATA!#REF!,2,FALSE),"")</f>
        <v/>
      </c>
    </row>
    <row r="1516" spans="2:4" s="237" customFormat="1">
      <c r="B1516" s="15" t="str">
        <f t="shared" si="61"/>
        <v/>
      </c>
      <c r="C1516" s="16" t="str">
        <f>IFERROR(VLOOKUP(DATA!#REF!,DATA!#REF!,1,FALSE),"")</f>
        <v/>
      </c>
      <c r="D1516" s="16" t="str">
        <f>IFERROR(VLOOKUP(C1516,DATA!#REF!,2,FALSE),"")</f>
        <v/>
      </c>
    </row>
    <row r="1517" spans="2:4" s="237" customFormat="1">
      <c r="B1517" s="15" t="str">
        <f t="shared" si="61"/>
        <v/>
      </c>
      <c r="C1517" s="16" t="str">
        <f>IFERROR(VLOOKUP(DATA!#REF!,DATA!#REF!,1,FALSE),"")</f>
        <v/>
      </c>
      <c r="D1517" s="16" t="str">
        <f>IFERROR(VLOOKUP(C1517,DATA!#REF!,2,FALSE),"")</f>
        <v/>
      </c>
    </row>
    <row r="1518" spans="2:4" s="237" customFormat="1">
      <c r="B1518" s="15" t="str">
        <f t="shared" si="61"/>
        <v/>
      </c>
      <c r="C1518" s="16" t="str">
        <f>IFERROR(VLOOKUP(DATA!#REF!,DATA!#REF!,1,FALSE),"")</f>
        <v/>
      </c>
      <c r="D1518" s="16" t="str">
        <f>IFERROR(VLOOKUP(C1518,DATA!#REF!,2,FALSE),"")</f>
        <v/>
      </c>
    </row>
    <row r="1519" spans="2:4" s="237" customFormat="1">
      <c r="B1519" s="15" t="str">
        <f t="shared" si="61"/>
        <v/>
      </c>
      <c r="C1519" s="16" t="str">
        <f>IFERROR(VLOOKUP(DATA!#REF!,DATA!#REF!,1,FALSE),"")</f>
        <v/>
      </c>
      <c r="D1519" s="16" t="str">
        <f>IFERROR(VLOOKUP(C1519,DATA!#REF!,2,FALSE),"")</f>
        <v/>
      </c>
    </row>
    <row r="1520" spans="2:4" s="237" customFormat="1">
      <c r="B1520" s="15" t="str">
        <f t="shared" si="61"/>
        <v/>
      </c>
      <c r="C1520" s="16" t="str">
        <f>IFERROR(VLOOKUP(DATA!#REF!,DATA!#REF!,1,FALSE),"")</f>
        <v/>
      </c>
      <c r="D1520" s="16" t="str">
        <f>IFERROR(VLOOKUP(C1520,DATA!#REF!,2,FALSE),"")</f>
        <v/>
      </c>
    </row>
    <row r="1521" spans="2:4" s="237" customFormat="1">
      <c r="B1521" s="15" t="str">
        <f t="shared" si="61"/>
        <v/>
      </c>
      <c r="C1521" s="16" t="str">
        <f>IFERROR(VLOOKUP(DATA!#REF!,DATA!#REF!,1,FALSE),"")</f>
        <v/>
      </c>
      <c r="D1521" s="16" t="str">
        <f>IFERROR(VLOOKUP(C1521,DATA!#REF!,2,FALSE),"")</f>
        <v/>
      </c>
    </row>
    <row r="1522" spans="2:4" s="237" customFormat="1">
      <c r="B1522" s="15" t="str">
        <f t="shared" si="61"/>
        <v/>
      </c>
      <c r="C1522" s="16" t="str">
        <f>IFERROR(VLOOKUP(DATA!#REF!,DATA!#REF!,1,FALSE),"")</f>
        <v/>
      </c>
      <c r="D1522" s="16" t="str">
        <f>IFERROR(VLOOKUP(C1522,DATA!#REF!,2,FALSE),"")</f>
        <v/>
      </c>
    </row>
    <row r="1523" spans="2:4" s="237" customFormat="1">
      <c r="B1523" s="15" t="str">
        <f t="shared" si="61"/>
        <v/>
      </c>
      <c r="C1523" s="16" t="str">
        <f>IFERROR(VLOOKUP(DATA!#REF!,DATA!#REF!,1,FALSE),"")</f>
        <v/>
      </c>
      <c r="D1523" s="16" t="str">
        <f>IFERROR(VLOOKUP(C1523,DATA!#REF!,2,FALSE),"")</f>
        <v/>
      </c>
    </row>
    <row r="1524" spans="2:4" s="237" customFormat="1">
      <c r="B1524" s="15" t="str">
        <f t="shared" si="61"/>
        <v/>
      </c>
      <c r="C1524" s="16" t="str">
        <f>IFERROR(VLOOKUP(DATA!#REF!,DATA!#REF!,1,FALSE),"")</f>
        <v/>
      </c>
      <c r="D1524" s="16" t="str">
        <f>IFERROR(VLOOKUP(C1524,DATA!#REF!,2,FALSE),"")</f>
        <v/>
      </c>
    </row>
    <row r="1525" spans="2:4" s="237" customFormat="1">
      <c r="B1525" s="15" t="str">
        <f t="shared" si="61"/>
        <v/>
      </c>
      <c r="C1525" s="16" t="str">
        <f>IFERROR(VLOOKUP(DATA!#REF!,DATA!#REF!,1,FALSE),"")</f>
        <v/>
      </c>
      <c r="D1525" s="16" t="str">
        <f>IFERROR(VLOOKUP(C1525,DATA!#REF!,2,FALSE),"")</f>
        <v/>
      </c>
    </row>
    <row r="1526" spans="2:4" s="237" customFormat="1">
      <c r="B1526" s="15" t="str">
        <f t="shared" si="61"/>
        <v/>
      </c>
      <c r="C1526" s="16" t="str">
        <f>IFERROR(VLOOKUP(DATA!#REF!,DATA!#REF!,1,FALSE),"")</f>
        <v/>
      </c>
      <c r="D1526" s="16" t="str">
        <f>IFERROR(VLOOKUP(C1526,DATA!#REF!,2,FALSE),"")</f>
        <v/>
      </c>
    </row>
    <row r="1527" spans="2:4" s="237" customFormat="1">
      <c r="B1527" s="15" t="str">
        <f t="shared" si="61"/>
        <v/>
      </c>
      <c r="C1527" s="16" t="str">
        <f>IFERROR(VLOOKUP(DATA!#REF!,DATA!#REF!,1,FALSE),"")</f>
        <v/>
      </c>
      <c r="D1527" s="16" t="str">
        <f>IFERROR(VLOOKUP(C1527,DATA!#REF!,2,FALSE),"")</f>
        <v/>
      </c>
    </row>
    <row r="1528" spans="2:4" s="237" customFormat="1">
      <c r="B1528" s="15" t="str">
        <f t="shared" si="61"/>
        <v/>
      </c>
      <c r="C1528" s="16" t="str">
        <f>IFERROR(VLOOKUP(DATA!#REF!,DATA!#REF!,1,FALSE),"")</f>
        <v/>
      </c>
      <c r="D1528" s="16" t="str">
        <f>IFERROR(VLOOKUP(C1528,DATA!#REF!,2,FALSE),"")</f>
        <v/>
      </c>
    </row>
    <row r="1529" spans="2:4" s="237" customFormat="1">
      <c r="B1529" s="15" t="str">
        <f t="shared" si="61"/>
        <v/>
      </c>
      <c r="C1529" s="16" t="str">
        <f>IFERROR(VLOOKUP(DATA!#REF!,DATA!#REF!,1,FALSE),"")</f>
        <v/>
      </c>
      <c r="D1529" s="16" t="str">
        <f>IFERROR(VLOOKUP(C1529,DATA!#REF!,2,FALSE),"")</f>
        <v/>
      </c>
    </row>
    <row r="1530" spans="2:4" s="237" customFormat="1">
      <c r="B1530" s="15" t="str">
        <f t="shared" si="61"/>
        <v/>
      </c>
      <c r="C1530" s="16" t="str">
        <f>IFERROR(VLOOKUP(DATA!#REF!,DATA!#REF!,1,FALSE),"")</f>
        <v/>
      </c>
      <c r="D1530" s="16" t="str">
        <f>IFERROR(VLOOKUP(C1530,DATA!#REF!,2,FALSE),"")</f>
        <v/>
      </c>
    </row>
    <row r="1531" spans="2:4" s="237" customFormat="1">
      <c r="B1531" s="15" t="str">
        <f t="shared" si="61"/>
        <v/>
      </c>
      <c r="C1531" s="16" t="str">
        <f>IFERROR(VLOOKUP(DATA!#REF!,DATA!#REF!,1,FALSE),"")</f>
        <v/>
      </c>
      <c r="D1531" s="16" t="str">
        <f>IFERROR(VLOOKUP(C1531,DATA!#REF!,2,FALSE),"")</f>
        <v/>
      </c>
    </row>
    <row r="1532" spans="2:4" s="237" customFormat="1">
      <c r="B1532" s="15" t="str">
        <f t="shared" si="61"/>
        <v/>
      </c>
      <c r="C1532" s="16" t="str">
        <f>IFERROR(VLOOKUP(DATA!#REF!,DATA!#REF!,1,FALSE),"")</f>
        <v/>
      </c>
      <c r="D1532" s="16" t="str">
        <f>IFERROR(VLOOKUP(C1532,DATA!#REF!,2,FALSE),"")</f>
        <v/>
      </c>
    </row>
    <row r="1533" spans="2:4" s="237" customFormat="1">
      <c r="B1533" s="15" t="str">
        <f t="shared" si="61"/>
        <v/>
      </c>
      <c r="C1533" s="16" t="str">
        <f>IFERROR(VLOOKUP(DATA!#REF!,DATA!#REF!,1,FALSE),"")</f>
        <v/>
      </c>
      <c r="D1533" s="16" t="str">
        <f>IFERROR(VLOOKUP(C1533,DATA!#REF!,2,FALSE),"")</f>
        <v/>
      </c>
    </row>
    <row r="1534" spans="2:4" s="237" customFormat="1">
      <c r="B1534" s="15" t="str">
        <f t="shared" si="61"/>
        <v/>
      </c>
      <c r="C1534" s="16" t="str">
        <f>IFERROR(VLOOKUP(DATA!#REF!,DATA!#REF!,1,FALSE),"")</f>
        <v/>
      </c>
      <c r="D1534" s="16" t="str">
        <f>IFERROR(VLOOKUP(C1534,DATA!#REF!,2,FALSE),"")</f>
        <v/>
      </c>
    </row>
    <row r="1535" spans="2:4" s="237" customFormat="1">
      <c r="B1535" s="15" t="str">
        <f t="shared" si="61"/>
        <v/>
      </c>
      <c r="C1535" s="16" t="str">
        <f>IFERROR(VLOOKUP(DATA!#REF!,DATA!#REF!,1,FALSE),"")</f>
        <v/>
      </c>
      <c r="D1535" s="16" t="str">
        <f>IFERROR(VLOOKUP(C1535,DATA!#REF!,2,FALSE),"")</f>
        <v/>
      </c>
    </row>
    <row r="1536" spans="2:4" s="237" customFormat="1">
      <c r="B1536" s="15" t="str">
        <f t="shared" si="61"/>
        <v/>
      </c>
      <c r="C1536" s="16" t="str">
        <f>IFERROR(VLOOKUP(DATA!#REF!,DATA!#REF!,1,FALSE),"")</f>
        <v/>
      </c>
      <c r="D1536" s="16" t="str">
        <f>IFERROR(VLOOKUP(C1536,DATA!#REF!,2,FALSE),"")</f>
        <v/>
      </c>
    </row>
    <row r="1537" spans="2:4" s="237" customFormat="1">
      <c r="B1537" s="15" t="str">
        <f t="shared" si="61"/>
        <v/>
      </c>
      <c r="C1537" s="16" t="str">
        <f>IFERROR(VLOOKUP(DATA!#REF!,DATA!#REF!,1,FALSE),"")</f>
        <v/>
      </c>
      <c r="D1537" s="16" t="str">
        <f>IFERROR(VLOOKUP(C1537,DATA!#REF!,2,FALSE),"")</f>
        <v/>
      </c>
    </row>
    <row r="1538" spans="2:4" s="237" customFormat="1">
      <c r="B1538" s="15" t="str">
        <f t="shared" si="61"/>
        <v/>
      </c>
      <c r="C1538" s="16" t="str">
        <f>IFERROR(VLOOKUP(DATA!#REF!,DATA!#REF!,1,FALSE),"")</f>
        <v/>
      </c>
      <c r="D1538" s="16" t="str">
        <f>IFERROR(VLOOKUP(C1538,DATA!#REF!,2,FALSE),"")</f>
        <v/>
      </c>
    </row>
    <row r="1539" spans="2:4" s="237" customFormat="1">
      <c r="B1539" s="15" t="str">
        <f t="shared" si="61"/>
        <v/>
      </c>
      <c r="C1539" s="16" t="str">
        <f>IFERROR(VLOOKUP(DATA!#REF!,DATA!#REF!,1,FALSE),"")</f>
        <v/>
      </c>
      <c r="D1539" s="16" t="str">
        <f>IFERROR(VLOOKUP(C1539,DATA!#REF!,2,FALSE),"")</f>
        <v/>
      </c>
    </row>
    <row r="1540" spans="2:4" s="237" customFormat="1">
      <c r="B1540" s="15" t="str">
        <f t="shared" si="61"/>
        <v/>
      </c>
      <c r="C1540" s="16" t="str">
        <f>IFERROR(VLOOKUP(DATA!#REF!,DATA!#REF!,1,FALSE),"")</f>
        <v/>
      </c>
      <c r="D1540" s="16" t="str">
        <f>IFERROR(VLOOKUP(C1540,DATA!#REF!,2,FALSE),"")</f>
        <v/>
      </c>
    </row>
    <row r="1541" spans="2:4" s="237" customFormat="1">
      <c r="B1541" s="15" t="str">
        <f t="shared" si="61"/>
        <v/>
      </c>
      <c r="C1541" s="16" t="str">
        <f>IFERROR(VLOOKUP(DATA!#REF!,DATA!#REF!,1,FALSE),"")</f>
        <v/>
      </c>
      <c r="D1541" s="16" t="str">
        <f>IFERROR(VLOOKUP(C1541,DATA!#REF!,2,FALSE),"")</f>
        <v/>
      </c>
    </row>
    <row r="1542" spans="2:4" s="237" customFormat="1">
      <c r="B1542" s="15" t="str">
        <f t="shared" ref="B1542:B1605" si="62">+IF(C1542="","",ROW()-5)</f>
        <v/>
      </c>
      <c r="C1542" s="16" t="str">
        <f>IFERROR(VLOOKUP(DATA!#REF!,DATA!#REF!,1,FALSE),"")</f>
        <v/>
      </c>
      <c r="D1542" s="16" t="str">
        <f>IFERROR(VLOOKUP(C1542,DATA!#REF!,2,FALSE),"")</f>
        <v/>
      </c>
    </row>
    <row r="1543" spans="2:4" s="237" customFormat="1">
      <c r="B1543" s="15" t="str">
        <f t="shared" si="62"/>
        <v/>
      </c>
      <c r="C1543" s="16" t="str">
        <f>IFERROR(VLOOKUP(DATA!#REF!,DATA!#REF!,1,FALSE),"")</f>
        <v/>
      </c>
      <c r="D1543" s="16" t="str">
        <f>IFERROR(VLOOKUP(C1543,DATA!#REF!,2,FALSE),"")</f>
        <v/>
      </c>
    </row>
    <row r="1544" spans="2:4" s="237" customFormat="1">
      <c r="B1544" s="15" t="str">
        <f t="shared" si="62"/>
        <v/>
      </c>
      <c r="C1544" s="16" t="str">
        <f>IFERROR(VLOOKUP(DATA!#REF!,DATA!#REF!,1,FALSE),"")</f>
        <v/>
      </c>
      <c r="D1544" s="16" t="str">
        <f>IFERROR(VLOOKUP(C1544,DATA!#REF!,2,FALSE),"")</f>
        <v/>
      </c>
    </row>
    <row r="1545" spans="2:4" s="237" customFormat="1">
      <c r="B1545" s="15" t="str">
        <f t="shared" si="62"/>
        <v/>
      </c>
      <c r="C1545" s="16" t="str">
        <f>IFERROR(VLOOKUP(DATA!#REF!,DATA!#REF!,1,FALSE),"")</f>
        <v/>
      </c>
      <c r="D1545" s="16" t="str">
        <f>IFERROR(VLOOKUP(C1545,DATA!#REF!,2,FALSE),"")</f>
        <v/>
      </c>
    </row>
    <row r="1546" spans="2:4" s="237" customFormat="1">
      <c r="B1546" s="15" t="str">
        <f t="shared" si="62"/>
        <v/>
      </c>
      <c r="C1546" s="16" t="str">
        <f>IFERROR(VLOOKUP(DATA!#REF!,DATA!#REF!,1,FALSE),"")</f>
        <v/>
      </c>
      <c r="D1546" s="16" t="str">
        <f>IFERROR(VLOOKUP(C1546,DATA!#REF!,2,FALSE),"")</f>
        <v/>
      </c>
    </row>
    <row r="1547" spans="2:4" s="237" customFormat="1">
      <c r="B1547" s="15" t="str">
        <f t="shared" si="62"/>
        <v/>
      </c>
      <c r="C1547" s="16" t="str">
        <f>IFERROR(VLOOKUP(DATA!#REF!,DATA!#REF!,1,FALSE),"")</f>
        <v/>
      </c>
      <c r="D1547" s="16" t="str">
        <f>IFERROR(VLOOKUP(C1547,DATA!#REF!,2,FALSE),"")</f>
        <v/>
      </c>
    </row>
    <row r="1548" spans="2:4" s="237" customFormat="1">
      <c r="B1548" s="15" t="str">
        <f t="shared" si="62"/>
        <v/>
      </c>
      <c r="C1548" s="16" t="str">
        <f>IFERROR(VLOOKUP(DATA!#REF!,DATA!#REF!,1,FALSE),"")</f>
        <v/>
      </c>
      <c r="D1548" s="16" t="str">
        <f>IFERROR(VLOOKUP(C1548,DATA!#REF!,2,FALSE),"")</f>
        <v/>
      </c>
    </row>
    <row r="1549" spans="2:4" s="237" customFormat="1">
      <c r="B1549" s="15" t="str">
        <f t="shared" si="62"/>
        <v/>
      </c>
      <c r="C1549" s="16" t="str">
        <f>IFERROR(VLOOKUP(DATA!#REF!,DATA!#REF!,1,FALSE),"")</f>
        <v/>
      </c>
      <c r="D1549" s="16" t="str">
        <f>IFERROR(VLOOKUP(C1549,DATA!#REF!,2,FALSE),"")</f>
        <v/>
      </c>
    </row>
    <row r="1550" spans="2:4" s="237" customFormat="1">
      <c r="B1550" s="15" t="str">
        <f t="shared" si="62"/>
        <v/>
      </c>
      <c r="C1550" s="16" t="str">
        <f>IFERROR(VLOOKUP(DATA!#REF!,DATA!#REF!,1,FALSE),"")</f>
        <v/>
      </c>
      <c r="D1550" s="16" t="str">
        <f>IFERROR(VLOOKUP(C1550,DATA!#REF!,2,FALSE),"")</f>
        <v/>
      </c>
    </row>
    <row r="1551" spans="2:4" s="237" customFormat="1">
      <c r="B1551" s="15" t="str">
        <f t="shared" si="62"/>
        <v/>
      </c>
      <c r="C1551" s="16" t="str">
        <f>IFERROR(VLOOKUP(DATA!#REF!,DATA!#REF!,1,FALSE),"")</f>
        <v/>
      </c>
      <c r="D1551" s="16" t="str">
        <f>IFERROR(VLOOKUP(C1551,DATA!#REF!,2,FALSE),"")</f>
        <v/>
      </c>
    </row>
    <row r="1552" spans="2:4" s="237" customFormat="1">
      <c r="B1552" s="15" t="str">
        <f t="shared" si="62"/>
        <v/>
      </c>
      <c r="C1552" s="16" t="str">
        <f>IFERROR(VLOOKUP(DATA!#REF!,DATA!#REF!,1,FALSE),"")</f>
        <v/>
      </c>
      <c r="D1552" s="16" t="str">
        <f>IFERROR(VLOOKUP(C1552,DATA!#REF!,2,FALSE),"")</f>
        <v/>
      </c>
    </row>
    <row r="1553" spans="2:4" s="237" customFormat="1">
      <c r="B1553" s="15" t="str">
        <f t="shared" si="62"/>
        <v/>
      </c>
      <c r="C1553" s="16" t="str">
        <f>IFERROR(VLOOKUP(DATA!#REF!,DATA!#REF!,1,FALSE),"")</f>
        <v/>
      </c>
      <c r="D1553" s="16" t="str">
        <f>IFERROR(VLOOKUP(C1553,DATA!#REF!,2,FALSE),"")</f>
        <v/>
      </c>
    </row>
    <row r="1554" spans="2:4" s="237" customFormat="1">
      <c r="B1554" s="15" t="str">
        <f t="shared" si="62"/>
        <v/>
      </c>
      <c r="C1554" s="16" t="str">
        <f>IFERROR(VLOOKUP(DATA!#REF!,DATA!#REF!,1,FALSE),"")</f>
        <v/>
      </c>
      <c r="D1554" s="16" t="str">
        <f>IFERROR(VLOOKUP(C1554,DATA!#REF!,2,FALSE),"")</f>
        <v/>
      </c>
    </row>
    <row r="1555" spans="2:4" s="237" customFormat="1">
      <c r="B1555" s="15" t="str">
        <f t="shared" si="62"/>
        <v/>
      </c>
      <c r="C1555" s="16" t="str">
        <f>IFERROR(VLOOKUP(DATA!#REF!,DATA!#REF!,1,FALSE),"")</f>
        <v/>
      </c>
      <c r="D1555" s="16" t="str">
        <f>IFERROR(VLOOKUP(C1555,DATA!#REF!,2,FALSE),"")</f>
        <v/>
      </c>
    </row>
    <row r="1556" spans="2:4" s="237" customFormat="1">
      <c r="B1556" s="15" t="str">
        <f t="shared" si="62"/>
        <v/>
      </c>
      <c r="C1556" s="16" t="str">
        <f>IFERROR(VLOOKUP(DATA!#REF!,DATA!#REF!,1,FALSE),"")</f>
        <v/>
      </c>
      <c r="D1556" s="16" t="str">
        <f>IFERROR(VLOOKUP(C1556,DATA!#REF!,2,FALSE),"")</f>
        <v/>
      </c>
    </row>
    <row r="1557" spans="2:4" s="237" customFormat="1">
      <c r="B1557" s="15" t="str">
        <f t="shared" si="62"/>
        <v/>
      </c>
      <c r="C1557" s="16" t="str">
        <f>IFERROR(VLOOKUP(DATA!#REF!,DATA!#REF!,1,FALSE),"")</f>
        <v/>
      </c>
      <c r="D1557" s="16" t="str">
        <f>IFERROR(VLOOKUP(C1557,DATA!#REF!,2,FALSE),"")</f>
        <v/>
      </c>
    </row>
    <row r="1558" spans="2:4" s="237" customFormat="1">
      <c r="B1558" s="15" t="str">
        <f t="shared" si="62"/>
        <v/>
      </c>
      <c r="C1558" s="16" t="str">
        <f>IFERROR(VLOOKUP(DATA!#REF!,DATA!#REF!,1,FALSE),"")</f>
        <v/>
      </c>
      <c r="D1558" s="16" t="str">
        <f>IFERROR(VLOOKUP(C1558,DATA!#REF!,2,FALSE),"")</f>
        <v/>
      </c>
    </row>
    <row r="1559" spans="2:4" s="237" customFormat="1">
      <c r="B1559" s="15" t="str">
        <f t="shared" si="62"/>
        <v/>
      </c>
      <c r="C1559" s="16" t="str">
        <f>IFERROR(VLOOKUP(DATA!#REF!,DATA!#REF!,1,FALSE),"")</f>
        <v/>
      </c>
      <c r="D1559" s="16" t="str">
        <f>IFERROR(VLOOKUP(C1559,DATA!#REF!,2,FALSE),"")</f>
        <v/>
      </c>
    </row>
    <row r="1560" spans="2:4" s="237" customFormat="1">
      <c r="B1560" s="15" t="str">
        <f t="shared" si="62"/>
        <v/>
      </c>
      <c r="C1560" s="16" t="str">
        <f>IFERROR(VLOOKUP(DATA!#REF!,DATA!#REF!,1,FALSE),"")</f>
        <v/>
      </c>
      <c r="D1560" s="16" t="str">
        <f>IFERROR(VLOOKUP(C1560,DATA!#REF!,2,FALSE),"")</f>
        <v/>
      </c>
    </row>
    <row r="1561" spans="2:4" s="237" customFormat="1">
      <c r="B1561" s="15" t="str">
        <f t="shared" si="62"/>
        <v/>
      </c>
      <c r="C1561" s="16" t="str">
        <f>IFERROR(VLOOKUP(DATA!#REF!,DATA!#REF!,1,FALSE),"")</f>
        <v/>
      </c>
      <c r="D1561" s="16" t="str">
        <f>IFERROR(VLOOKUP(C1561,DATA!#REF!,2,FALSE),"")</f>
        <v/>
      </c>
    </row>
    <row r="1562" spans="2:4" s="237" customFormat="1">
      <c r="B1562" s="15" t="str">
        <f t="shared" si="62"/>
        <v/>
      </c>
      <c r="C1562" s="16" t="str">
        <f>IFERROR(VLOOKUP(DATA!#REF!,DATA!#REF!,1,FALSE),"")</f>
        <v/>
      </c>
      <c r="D1562" s="16" t="str">
        <f>IFERROR(VLOOKUP(C1562,DATA!#REF!,2,FALSE),"")</f>
        <v/>
      </c>
    </row>
    <row r="1563" spans="2:4" s="237" customFormat="1">
      <c r="B1563" s="15" t="str">
        <f t="shared" si="62"/>
        <v/>
      </c>
      <c r="C1563" s="16" t="str">
        <f>IFERROR(VLOOKUP(DATA!#REF!,DATA!#REF!,1,FALSE),"")</f>
        <v/>
      </c>
      <c r="D1563" s="16" t="str">
        <f>IFERROR(VLOOKUP(C1563,DATA!#REF!,2,FALSE),"")</f>
        <v/>
      </c>
    </row>
    <row r="1564" spans="2:4" s="237" customFormat="1">
      <c r="B1564" s="15" t="str">
        <f t="shared" si="62"/>
        <v/>
      </c>
      <c r="C1564" s="16" t="str">
        <f>IFERROR(VLOOKUP(DATA!#REF!,DATA!#REF!,1,FALSE),"")</f>
        <v/>
      </c>
      <c r="D1564" s="16" t="str">
        <f>IFERROR(VLOOKUP(C1564,DATA!#REF!,2,FALSE),"")</f>
        <v/>
      </c>
    </row>
    <row r="1565" spans="2:4" s="237" customFormat="1">
      <c r="B1565" s="15" t="str">
        <f t="shared" si="62"/>
        <v/>
      </c>
      <c r="C1565" s="16" t="str">
        <f>IFERROR(VLOOKUP(DATA!#REF!,DATA!#REF!,1,FALSE),"")</f>
        <v/>
      </c>
      <c r="D1565" s="16" t="str">
        <f>IFERROR(VLOOKUP(C1565,DATA!#REF!,2,FALSE),"")</f>
        <v/>
      </c>
    </row>
    <row r="1566" spans="2:4" s="237" customFormat="1">
      <c r="B1566" s="15" t="str">
        <f t="shared" si="62"/>
        <v/>
      </c>
      <c r="C1566" s="16" t="str">
        <f>IFERROR(VLOOKUP(DATA!#REF!,DATA!#REF!,1,FALSE),"")</f>
        <v/>
      </c>
      <c r="D1566" s="16" t="str">
        <f>IFERROR(VLOOKUP(C1566,DATA!#REF!,2,FALSE),"")</f>
        <v/>
      </c>
    </row>
    <row r="1567" spans="2:4" s="237" customFormat="1">
      <c r="B1567" s="15" t="str">
        <f t="shared" si="62"/>
        <v/>
      </c>
      <c r="C1567" s="16" t="str">
        <f>IFERROR(VLOOKUP(DATA!#REF!,DATA!#REF!,1,FALSE),"")</f>
        <v/>
      </c>
      <c r="D1567" s="16" t="str">
        <f>IFERROR(VLOOKUP(C1567,DATA!#REF!,2,FALSE),"")</f>
        <v/>
      </c>
    </row>
    <row r="1568" spans="2:4" s="237" customFormat="1">
      <c r="B1568" s="15" t="str">
        <f t="shared" si="62"/>
        <v/>
      </c>
      <c r="C1568" s="16" t="str">
        <f>IFERROR(VLOOKUP(DATA!#REF!,DATA!#REF!,1,FALSE),"")</f>
        <v/>
      </c>
      <c r="D1568" s="16" t="str">
        <f>IFERROR(VLOOKUP(C1568,DATA!#REF!,2,FALSE),"")</f>
        <v/>
      </c>
    </row>
    <row r="1569" spans="2:4" s="237" customFormat="1">
      <c r="B1569" s="15" t="str">
        <f t="shared" si="62"/>
        <v/>
      </c>
      <c r="C1569" s="16" t="str">
        <f>IFERROR(VLOOKUP(DATA!#REF!,DATA!#REF!,1,FALSE),"")</f>
        <v/>
      </c>
      <c r="D1569" s="16" t="str">
        <f>IFERROR(VLOOKUP(C1569,DATA!#REF!,2,FALSE),"")</f>
        <v/>
      </c>
    </row>
    <row r="1570" spans="2:4" s="237" customFormat="1">
      <c r="B1570" s="15" t="str">
        <f t="shared" si="62"/>
        <v/>
      </c>
      <c r="C1570" s="16" t="str">
        <f>IFERROR(VLOOKUP(DATA!#REF!,DATA!#REF!,1,FALSE),"")</f>
        <v/>
      </c>
      <c r="D1570" s="16" t="str">
        <f>IFERROR(VLOOKUP(C1570,DATA!#REF!,2,FALSE),"")</f>
        <v/>
      </c>
    </row>
    <row r="1571" spans="2:4" s="237" customFormat="1">
      <c r="B1571" s="15" t="str">
        <f t="shared" si="62"/>
        <v/>
      </c>
      <c r="C1571" s="16" t="str">
        <f>IFERROR(VLOOKUP(DATA!#REF!,DATA!#REF!,1,FALSE),"")</f>
        <v/>
      </c>
      <c r="D1571" s="16" t="str">
        <f>IFERROR(VLOOKUP(C1571,DATA!#REF!,2,FALSE),"")</f>
        <v/>
      </c>
    </row>
    <row r="1572" spans="2:4" s="237" customFormat="1">
      <c r="B1572" s="15" t="str">
        <f t="shared" si="62"/>
        <v/>
      </c>
      <c r="C1572" s="16" t="str">
        <f>IFERROR(VLOOKUP(DATA!#REF!,DATA!#REF!,1,FALSE),"")</f>
        <v/>
      </c>
      <c r="D1572" s="16" t="str">
        <f>IFERROR(VLOOKUP(C1572,DATA!#REF!,2,FALSE),"")</f>
        <v/>
      </c>
    </row>
    <row r="1573" spans="2:4" s="237" customFormat="1">
      <c r="B1573" s="15" t="str">
        <f t="shared" si="62"/>
        <v/>
      </c>
      <c r="C1573" s="16" t="str">
        <f>IFERROR(VLOOKUP(DATA!#REF!,DATA!#REF!,1,FALSE),"")</f>
        <v/>
      </c>
      <c r="D1573" s="16" t="str">
        <f>IFERROR(VLOOKUP(C1573,DATA!#REF!,2,FALSE),"")</f>
        <v/>
      </c>
    </row>
    <row r="1574" spans="2:4" s="237" customFormat="1">
      <c r="B1574" s="15" t="str">
        <f t="shared" si="62"/>
        <v/>
      </c>
      <c r="C1574" s="16" t="str">
        <f>IFERROR(VLOOKUP(DATA!#REF!,DATA!#REF!,1,FALSE),"")</f>
        <v/>
      </c>
      <c r="D1574" s="16" t="str">
        <f>IFERROR(VLOOKUP(C1574,DATA!#REF!,2,FALSE),"")</f>
        <v/>
      </c>
    </row>
    <row r="1575" spans="2:4" s="237" customFormat="1">
      <c r="B1575" s="15" t="str">
        <f t="shared" si="62"/>
        <v/>
      </c>
      <c r="C1575" s="16" t="str">
        <f>IFERROR(VLOOKUP(DATA!#REF!,DATA!#REF!,1,FALSE),"")</f>
        <v/>
      </c>
      <c r="D1575" s="16" t="str">
        <f>IFERROR(VLOOKUP(C1575,DATA!#REF!,2,FALSE),"")</f>
        <v/>
      </c>
    </row>
    <row r="1576" spans="2:4" s="237" customFormat="1">
      <c r="B1576" s="15" t="str">
        <f t="shared" si="62"/>
        <v/>
      </c>
      <c r="C1576" s="16" t="str">
        <f>IFERROR(VLOOKUP(DATA!#REF!,DATA!#REF!,1,FALSE),"")</f>
        <v/>
      </c>
      <c r="D1576" s="16" t="str">
        <f>IFERROR(VLOOKUP(C1576,DATA!#REF!,2,FALSE),"")</f>
        <v/>
      </c>
    </row>
    <row r="1577" spans="2:4" s="237" customFormat="1">
      <c r="B1577" s="15" t="str">
        <f t="shared" si="62"/>
        <v/>
      </c>
      <c r="C1577" s="16" t="str">
        <f>IFERROR(VLOOKUP(DATA!#REF!,DATA!#REF!,1,FALSE),"")</f>
        <v/>
      </c>
      <c r="D1577" s="16" t="str">
        <f>IFERROR(VLOOKUP(C1577,DATA!#REF!,2,FALSE),"")</f>
        <v/>
      </c>
    </row>
    <row r="1578" spans="2:4" s="237" customFormat="1">
      <c r="B1578" s="15" t="str">
        <f t="shared" si="62"/>
        <v/>
      </c>
      <c r="C1578" s="16" t="str">
        <f>IFERROR(VLOOKUP(DATA!#REF!,DATA!#REF!,1,FALSE),"")</f>
        <v/>
      </c>
      <c r="D1578" s="16" t="str">
        <f>IFERROR(VLOOKUP(C1578,DATA!#REF!,2,FALSE),"")</f>
        <v/>
      </c>
    </row>
    <row r="1579" spans="2:4" s="237" customFormat="1">
      <c r="B1579" s="15" t="str">
        <f t="shared" si="62"/>
        <v/>
      </c>
      <c r="C1579" s="16" t="str">
        <f>IFERROR(VLOOKUP(DATA!#REF!,DATA!#REF!,1,FALSE),"")</f>
        <v/>
      </c>
      <c r="D1579" s="16" t="str">
        <f>IFERROR(VLOOKUP(C1579,DATA!#REF!,2,FALSE),"")</f>
        <v/>
      </c>
    </row>
    <row r="1580" spans="2:4" s="237" customFormat="1">
      <c r="B1580" s="15" t="str">
        <f t="shared" si="62"/>
        <v/>
      </c>
      <c r="C1580" s="16" t="str">
        <f>IFERROR(VLOOKUP(DATA!#REF!,DATA!#REF!,1,FALSE),"")</f>
        <v/>
      </c>
      <c r="D1580" s="16" t="str">
        <f>IFERROR(VLOOKUP(C1580,DATA!#REF!,2,FALSE),"")</f>
        <v/>
      </c>
    </row>
    <row r="1581" spans="2:4" s="237" customFormat="1">
      <c r="B1581" s="15" t="str">
        <f t="shared" si="62"/>
        <v/>
      </c>
      <c r="C1581" s="16" t="str">
        <f>IFERROR(VLOOKUP(DATA!#REF!,DATA!#REF!,1,FALSE),"")</f>
        <v/>
      </c>
      <c r="D1581" s="16" t="str">
        <f>IFERROR(VLOOKUP(C1581,DATA!#REF!,2,FALSE),"")</f>
        <v/>
      </c>
    </row>
    <row r="1582" spans="2:4" s="237" customFormat="1">
      <c r="B1582" s="15" t="str">
        <f t="shared" si="62"/>
        <v/>
      </c>
      <c r="C1582" s="16" t="str">
        <f>IFERROR(VLOOKUP(DATA!#REF!,DATA!#REF!,1,FALSE),"")</f>
        <v/>
      </c>
      <c r="D1582" s="16" t="str">
        <f>IFERROR(VLOOKUP(C1582,DATA!#REF!,2,FALSE),"")</f>
        <v/>
      </c>
    </row>
    <row r="1583" spans="2:4" s="237" customFormat="1">
      <c r="B1583" s="15" t="str">
        <f t="shared" si="62"/>
        <v/>
      </c>
      <c r="C1583" s="16" t="str">
        <f>IFERROR(VLOOKUP(DATA!#REF!,DATA!#REF!,1,FALSE),"")</f>
        <v/>
      </c>
      <c r="D1583" s="16" t="str">
        <f>IFERROR(VLOOKUP(C1583,DATA!#REF!,2,FALSE),"")</f>
        <v/>
      </c>
    </row>
    <row r="1584" spans="2:4" s="237" customFormat="1">
      <c r="B1584" s="15" t="str">
        <f t="shared" si="62"/>
        <v/>
      </c>
      <c r="C1584" s="16" t="str">
        <f>IFERROR(VLOOKUP(DATA!#REF!,DATA!#REF!,1,FALSE),"")</f>
        <v/>
      </c>
      <c r="D1584" s="16" t="str">
        <f>IFERROR(VLOOKUP(C1584,DATA!#REF!,2,FALSE),"")</f>
        <v/>
      </c>
    </row>
    <row r="1585" spans="2:4" s="237" customFormat="1">
      <c r="B1585" s="15" t="str">
        <f t="shared" si="62"/>
        <v/>
      </c>
      <c r="C1585" s="16" t="str">
        <f>IFERROR(VLOOKUP(DATA!#REF!,DATA!#REF!,1,FALSE),"")</f>
        <v/>
      </c>
      <c r="D1585" s="16" t="str">
        <f>IFERROR(VLOOKUP(C1585,DATA!#REF!,2,FALSE),"")</f>
        <v/>
      </c>
    </row>
    <row r="1586" spans="2:4" s="237" customFormat="1">
      <c r="B1586" s="15" t="str">
        <f t="shared" si="62"/>
        <v/>
      </c>
      <c r="C1586" s="16" t="str">
        <f>IFERROR(VLOOKUP(DATA!#REF!,DATA!#REF!,1,FALSE),"")</f>
        <v/>
      </c>
      <c r="D1586" s="16" t="str">
        <f>IFERROR(VLOOKUP(C1586,DATA!#REF!,2,FALSE),"")</f>
        <v/>
      </c>
    </row>
    <row r="1587" spans="2:4" s="237" customFormat="1">
      <c r="B1587" s="15" t="str">
        <f t="shared" si="62"/>
        <v/>
      </c>
      <c r="C1587" s="16" t="str">
        <f>IFERROR(VLOOKUP(DATA!#REF!,DATA!#REF!,1,FALSE),"")</f>
        <v/>
      </c>
      <c r="D1587" s="16" t="str">
        <f>IFERROR(VLOOKUP(C1587,DATA!#REF!,2,FALSE),"")</f>
        <v/>
      </c>
    </row>
    <row r="1588" spans="2:4" s="237" customFormat="1">
      <c r="B1588" s="15" t="str">
        <f t="shared" si="62"/>
        <v/>
      </c>
      <c r="C1588" s="16" t="str">
        <f>IFERROR(VLOOKUP(DATA!#REF!,DATA!#REF!,1,FALSE),"")</f>
        <v/>
      </c>
      <c r="D1588" s="16" t="str">
        <f>IFERROR(VLOOKUP(C1588,DATA!#REF!,2,FALSE),"")</f>
        <v/>
      </c>
    </row>
    <row r="1589" spans="2:4" s="237" customFormat="1">
      <c r="B1589" s="15" t="str">
        <f t="shared" si="62"/>
        <v/>
      </c>
      <c r="C1589" s="16" t="str">
        <f>IFERROR(VLOOKUP(DATA!#REF!,DATA!#REF!,1,FALSE),"")</f>
        <v/>
      </c>
      <c r="D1589" s="16" t="str">
        <f>IFERROR(VLOOKUP(C1589,DATA!#REF!,2,FALSE),"")</f>
        <v/>
      </c>
    </row>
    <row r="1590" spans="2:4" s="237" customFormat="1">
      <c r="B1590" s="15" t="str">
        <f t="shared" si="62"/>
        <v/>
      </c>
      <c r="C1590" s="16" t="str">
        <f>IFERROR(VLOOKUP(DATA!#REF!,DATA!#REF!,1,FALSE),"")</f>
        <v/>
      </c>
      <c r="D1590" s="16" t="str">
        <f>IFERROR(VLOOKUP(C1590,DATA!#REF!,2,FALSE),"")</f>
        <v/>
      </c>
    </row>
    <row r="1591" spans="2:4" s="237" customFormat="1">
      <c r="B1591" s="15" t="str">
        <f t="shared" si="62"/>
        <v/>
      </c>
      <c r="C1591" s="16" t="str">
        <f>IFERROR(VLOOKUP(DATA!#REF!,DATA!#REF!,1,FALSE),"")</f>
        <v/>
      </c>
      <c r="D1591" s="16" t="str">
        <f>IFERROR(VLOOKUP(C1591,DATA!#REF!,2,FALSE),"")</f>
        <v/>
      </c>
    </row>
    <row r="1592" spans="2:4" s="237" customFormat="1">
      <c r="B1592" s="15" t="str">
        <f t="shared" si="62"/>
        <v/>
      </c>
      <c r="C1592" s="16" t="str">
        <f>IFERROR(VLOOKUP(DATA!#REF!,DATA!#REF!,1,FALSE),"")</f>
        <v/>
      </c>
      <c r="D1592" s="16" t="str">
        <f>IFERROR(VLOOKUP(C1592,DATA!#REF!,2,FALSE),"")</f>
        <v/>
      </c>
    </row>
    <row r="1593" spans="2:4" s="237" customFormat="1">
      <c r="B1593" s="15" t="str">
        <f t="shared" si="62"/>
        <v/>
      </c>
      <c r="C1593" s="16" t="str">
        <f>IFERROR(VLOOKUP(DATA!#REF!,DATA!#REF!,1,FALSE),"")</f>
        <v/>
      </c>
      <c r="D1593" s="16" t="str">
        <f>IFERROR(VLOOKUP(C1593,DATA!#REF!,2,FALSE),"")</f>
        <v/>
      </c>
    </row>
    <row r="1594" spans="2:4" s="237" customFormat="1">
      <c r="B1594" s="15" t="str">
        <f t="shared" si="62"/>
        <v/>
      </c>
      <c r="C1594" s="16" t="str">
        <f>IFERROR(VLOOKUP(DATA!#REF!,DATA!#REF!,1,FALSE),"")</f>
        <v/>
      </c>
      <c r="D1594" s="16" t="str">
        <f>IFERROR(VLOOKUP(C1594,DATA!#REF!,2,FALSE),"")</f>
        <v/>
      </c>
    </row>
    <row r="1595" spans="2:4" s="237" customFormat="1">
      <c r="B1595" s="15" t="str">
        <f t="shared" si="62"/>
        <v/>
      </c>
      <c r="C1595" s="16" t="str">
        <f>IFERROR(VLOOKUP(DATA!#REF!,DATA!#REF!,1,FALSE),"")</f>
        <v/>
      </c>
      <c r="D1595" s="16" t="str">
        <f>IFERROR(VLOOKUP(C1595,DATA!#REF!,2,FALSE),"")</f>
        <v/>
      </c>
    </row>
    <row r="1596" spans="2:4" s="237" customFormat="1">
      <c r="B1596" s="15" t="str">
        <f t="shared" si="62"/>
        <v/>
      </c>
      <c r="C1596" s="16" t="str">
        <f>IFERROR(VLOOKUP(DATA!#REF!,DATA!#REF!,1,FALSE),"")</f>
        <v/>
      </c>
      <c r="D1596" s="16" t="str">
        <f>IFERROR(VLOOKUP(C1596,DATA!#REF!,2,FALSE),"")</f>
        <v/>
      </c>
    </row>
    <row r="1597" spans="2:4" s="237" customFormat="1">
      <c r="B1597" s="15" t="str">
        <f t="shared" si="62"/>
        <v/>
      </c>
      <c r="C1597" s="16" t="str">
        <f>IFERROR(VLOOKUP(DATA!#REF!,DATA!#REF!,1,FALSE),"")</f>
        <v/>
      </c>
      <c r="D1597" s="16" t="str">
        <f>IFERROR(VLOOKUP(C1597,DATA!#REF!,2,FALSE),"")</f>
        <v/>
      </c>
    </row>
    <row r="1598" spans="2:4" s="237" customFormat="1">
      <c r="B1598" s="15" t="str">
        <f t="shared" si="62"/>
        <v/>
      </c>
      <c r="C1598" s="16" t="str">
        <f>IFERROR(VLOOKUP(DATA!#REF!,DATA!#REF!,1,FALSE),"")</f>
        <v/>
      </c>
      <c r="D1598" s="16" t="str">
        <f>IFERROR(VLOOKUP(C1598,DATA!#REF!,2,FALSE),"")</f>
        <v/>
      </c>
    </row>
    <row r="1599" spans="2:4" s="237" customFormat="1">
      <c r="B1599" s="15" t="str">
        <f t="shared" si="62"/>
        <v/>
      </c>
      <c r="C1599" s="16" t="str">
        <f>IFERROR(VLOOKUP(DATA!#REF!,DATA!#REF!,1,FALSE),"")</f>
        <v/>
      </c>
      <c r="D1599" s="16" t="str">
        <f>IFERROR(VLOOKUP(C1599,DATA!#REF!,2,FALSE),"")</f>
        <v/>
      </c>
    </row>
    <row r="1600" spans="2:4" s="237" customFormat="1">
      <c r="B1600" s="15" t="str">
        <f t="shared" si="62"/>
        <v/>
      </c>
      <c r="C1600" s="16" t="str">
        <f>IFERROR(VLOOKUP(DATA!#REF!,DATA!#REF!,1,FALSE),"")</f>
        <v/>
      </c>
      <c r="D1600" s="16" t="str">
        <f>IFERROR(VLOOKUP(C1600,DATA!#REF!,2,FALSE),"")</f>
        <v/>
      </c>
    </row>
    <row r="1601" spans="2:4" s="237" customFormat="1">
      <c r="B1601" s="15" t="str">
        <f t="shared" si="62"/>
        <v/>
      </c>
      <c r="C1601" s="16" t="str">
        <f>IFERROR(VLOOKUP(DATA!#REF!,DATA!#REF!,1,FALSE),"")</f>
        <v/>
      </c>
      <c r="D1601" s="16" t="str">
        <f>IFERROR(VLOOKUP(C1601,DATA!#REF!,2,FALSE),"")</f>
        <v/>
      </c>
    </row>
    <row r="1602" spans="2:4" s="237" customFormat="1">
      <c r="B1602" s="15" t="str">
        <f t="shared" si="62"/>
        <v/>
      </c>
      <c r="C1602" s="16" t="str">
        <f>IFERROR(VLOOKUP(DATA!#REF!,DATA!#REF!,1,FALSE),"")</f>
        <v/>
      </c>
      <c r="D1602" s="16" t="str">
        <f>IFERROR(VLOOKUP(C1602,DATA!#REF!,2,FALSE),"")</f>
        <v/>
      </c>
    </row>
    <row r="1603" spans="2:4" s="237" customFormat="1">
      <c r="B1603" s="15" t="str">
        <f t="shared" si="62"/>
        <v/>
      </c>
      <c r="C1603" s="16" t="str">
        <f>IFERROR(VLOOKUP(DATA!#REF!,DATA!#REF!,1,FALSE),"")</f>
        <v/>
      </c>
      <c r="D1603" s="16" t="str">
        <f>IFERROR(VLOOKUP(C1603,DATA!#REF!,2,FALSE),"")</f>
        <v/>
      </c>
    </row>
    <row r="1604" spans="2:4" s="237" customFormat="1">
      <c r="B1604" s="15" t="str">
        <f t="shared" si="62"/>
        <v/>
      </c>
      <c r="C1604" s="16" t="str">
        <f>IFERROR(VLOOKUP(DATA!#REF!,DATA!#REF!,1,FALSE),"")</f>
        <v/>
      </c>
      <c r="D1604" s="16" t="str">
        <f>IFERROR(VLOOKUP(C1604,DATA!#REF!,2,FALSE),"")</f>
        <v/>
      </c>
    </row>
    <row r="1605" spans="2:4" s="237" customFormat="1">
      <c r="B1605" s="15" t="str">
        <f t="shared" si="62"/>
        <v/>
      </c>
      <c r="C1605" s="16" t="str">
        <f>IFERROR(VLOOKUP(DATA!#REF!,DATA!#REF!,1,FALSE),"")</f>
        <v/>
      </c>
      <c r="D1605" s="16" t="str">
        <f>IFERROR(VLOOKUP(C1605,DATA!#REF!,2,FALSE),"")</f>
        <v/>
      </c>
    </row>
    <row r="1606" spans="2:4" s="237" customFormat="1">
      <c r="B1606" s="15" t="str">
        <f t="shared" ref="B1606:B1669" si="63">+IF(C1606="","",ROW()-5)</f>
        <v/>
      </c>
      <c r="C1606" s="16" t="str">
        <f>IFERROR(VLOOKUP(DATA!#REF!,DATA!#REF!,1,FALSE),"")</f>
        <v/>
      </c>
      <c r="D1606" s="16" t="str">
        <f>IFERROR(VLOOKUP(C1606,DATA!#REF!,2,FALSE),"")</f>
        <v/>
      </c>
    </row>
    <row r="1607" spans="2:4" s="237" customFormat="1">
      <c r="B1607" s="15" t="str">
        <f t="shared" si="63"/>
        <v/>
      </c>
      <c r="C1607" s="16" t="str">
        <f>IFERROR(VLOOKUP(DATA!#REF!,DATA!#REF!,1,FALSE),"")</f>
        <v/>
      </c>
      <c r="D1607" s="16" t="str">
        <f>IFERROR(VLOOKUP(C1607,DATA!#REF!,2,FALSE),"")</f>
        <v/>
      </c>
    </row>
    <row r="1608" spans="2:4" s="237" customFormat="1">
      <c r="B1608" s="15" t="str">
        <f t="shared" si="63"/>
        <v/>
      </c>
      <c r="C1608" s="16" t="str">
        <f>IFERROR(VLOOKUP(DATA!#REF!,DATA!#REF!,1,FALSE),"")</f>
        <v/>
      </c>
      <c r="D1608" s="16" t="str">
        <f>IFERROR(VLOOKUP(C1608,DATA!#REF!,2,FALSE),"")</f>
        <v/>
      </c>
    </row>
    <row r="1609" spans="2:4" s="237" customFormat="1">
      <c r="B1609" s="15" t="str">
        <f t="shared" si="63"/>
        <v/>
      </c>
      <c r="C1609" s="16" t="str">
        <f>IFERROR(VLOOKUP(DATA!#REF!,DATA!#REF!,1,FALSE),"")</f>
        <v/>
      </c>
      <c r="D1609" s="16" t="str">
        <f>IFERROR(VLOOKUP(C1609,DATA!#REF!,2,FALSE),"")</f>
        <v/>
      </c>
    </row>
    <row r="1610" spans="2:4" s="237" customFormat="1">
      <c r="B1610" s="15" t="str">
        <f t="shared" si="63"/>
        <v/>
      </c>
      <c r="C1610" s="16" t="str">
        <f>IFERROR(VLOOKUP(DATA!#REF!,DATA!#REF!,1,FALSE),"")</f>
        <v/>
      </c>
      <c r="D1610" s="16" t="str">
        <f>IFERROR(VLOOKUP(C1610,DATA!#REF!,2,FALSE),"")</f>
        <v/>
      </c>
    </row>
    <row r="1611" spans="2:4" s="237" customFormat="1">
      <c r="B1611" s="15" t="str">
        <f t="shared" si="63"/>
        <v/>
      </c>
      <c r="C1611" s="16" t="str">
        <f>IFERROR(VLOOKUP(DATA!#REF!,DATA!#REF!,1,FALSE),"")</f>
        <v/>
      </c>
      <c r="D1611" s="16" t="str">
        <f>IFERROR(VLOOKUP(C1611,DATA!#REF!,2,FALSE),"")</f>
        <v/>
      </c>
    </row>
    <row r="1612" spans="2:4" s="237" customFormat="1">
      <c r="B1612" s="15" t="str">
        <f t="shared" si="63"/>
        <v/>
      </c>
      <c r="C1612" s="16" t="str">
        <f>IFERROR(VLOOKUP(DATA!#REF!,DATA!#REF!,1,FALSE),"")</f>
        <v/>
      </c>
      <c r="D1612" s="16" t="str">
        <f>IFERROR(VLOOKUP(C1612,DATA!#REF!,2,FALSE),"")</f>
        <v/>
      </c>
    </row>
    <row r="1613" spans="2:4" s="237" customFormat="1">
      <c r="B1613" s="15" t="str">
        <f t="shared" si="63"/>
        <v/>
      </c>
      <c r="C1613" s="16" t="str">
        <f>IFERROR(VLOOKUP(DATA!#REF!,DATA!#REF!,1,FALSE),"")</f>
        <v/>
      </c>
      <c r="D1613" s="16" t="str">
        <f>IFERROR(VLOOKUP(C1613,DATA!#REF!,2,FALSE),"")</f>
        <v/>
      </c>
    </row>
    <row r="1614" spans="2:4" s="237" customFormat="1">
      <c r="B1614" s="15" t="str">
        <f t="shared" si="63"/>
        <v/>
      </c>
      <c r="C1614" s="16" t="str">
        <f>IFERROR(VLOOKUP(DATA!#REF!,DATA!#REF!,1,FALSE),"")</f>
        <v/>
      </c>
      <c r="D1614" s="16" t="str">
        <f>IFERROR(VLOOKUP(C1614,DATA!#REF!,2,FALSE),"")</f>
        <v/>
      </c>
    </row>
    <row r="1615" spans="2:4" s="237" customFormat="1">
      <c r="B1615" s="15" t="str">
        <f t="shared" si="63"/>
        <v/>
      </c>
      <c r="C1615" s="16" t="str">
        <f>IFERROR(VLOOKUP(DATA!#REF!,DATA!#REF!,1,FALSE),"")</f>
        <v/>
      </c>
      <c r="D1615" s="16" t="str">
        <f>IFERROR(VLOOKUP(C1615,DATA!#REF!,2,FALSE),"")</f>
        <v/>
      </c>
    </row>
    <row r="1616" spans="2:4" s="237" customFormat="1">
      <c r="B1616" s="15" t="str">
        <f t="shared" si="63"/>
        <v/>
      </c>
      <c r="C1616" s="16" t="str">
        <f>IFERROR(VLOOKUP(DATA!#REF!,DATA!#REF!,1,FALSE),"")</f>
        <v/>
      </c>
      <c r="D1616" s="16" t="str">
        <f>IFERROR(VLOOKUP(C1616,DATA!#REF!,2,FALSE),"")</f>
        <v/>
      </c>
    </row>
    <row r="1617" spans="2:4" s="237" customFormat="1">
      <c r="B1617" s="15" t="str">
        <f t="shared" si="63"/>
        <v/>
      </c>
      <c r="C1617" s="16" t="str">
        <f>IFERROR(VLOOKUP(DATA!#REF!,DATA!#REF!,1,FALSE),"")</f>
        <v/>
      </c>
      <c r="D1617" s="16" t="str">
        <f>IFERROR(VLOOKUP(C1617,DATA!#REF!,2,FALSE),"")</f>
        <v/>
      </c>
    </row>
    <row r="1618" spans="2:4" s="237" customFormat="1">
      <c r="B1618" s="15" t="str">
        <f t="shared" si="63"/>
        <v/>
      </c>
      <c r="C1618" s="16" t="str">
        <f>IFERROR(VLOOKUP(DATA!#REF!,DATA!#REF!,1,FALSE),"")</f>
        <v/>
      </c>
      <c r="D1618" s="16" t="str">
        <f>IFERROR(VLOOKUP(C1618,DATA!#REF!,2,FALSE),"")</f>
        <v/>
      </c>
    </row>
    <row r="1619" spans="2:4" s="237" customFormat="1">
      <c r="B1619" s="15" t="str">
        <f t="shared" si="63"/>
        <v/>
      </c>
      <c r="C1619" s="16" t="str">
        <f>IFERROR(VLOOKUP(DATA!#REF!,DATA!#REF!,1,FALSE),"")</f>
        <v/>
      </c>
      <c r="D1619" s="16" t="str">
        <f>IFERROR(VLOOKUP(C1619,DATA!#REF!,2,FALSE),"")</f>
        <v/>
      </c>
    </row>
    <row r="1620" spans="2:4" s="237" customFormat="1">
      <c r="B1620" s="15" t="str">
        <f t="shared" si="63"/>
        <v/>
      </c>
      <c r="C1620" s="16" t="str">
        <f>IFERROR(VLOOKUP(DATA!#REF!,DATA!#REF!,1,FALSE),"")</f>
        <v/>
      </c>
      <c r="D1620" s="16" t="str">
        <f>IFERROR(VLOOKUP(C1620,DATA!#REF!,2,FALSE),"")</f>
        <v/>
      </c>
    </row>
    <row r="1621" spans="2:4" s="237" customFormat="1">
      <c r="B1621" s="15" t="str">
        <f t="shared" si="63"/>
        <v/>
      </c>
      <c r="C1621" s="16" t="str">
        <f>IFERROR(VLOOKUP(DATA!#REF!,DATA!#REF!,1,FALSE),"")</f>
        <v/>
      </c>
      <c r="D1621" s="16" t="str">
        <f>IFERROR(VLOOKUP(C1621,DATA!#REF!,2,FALSE),"")</f>
        <v/>
      </c>
    </row>
    <row r="1622" spans="2:4" s="237" customFormat="1">
      <c r="B1622" s="15" t="str">
        <f t="shared" si="63"/>
        <v/>
      </c>
      <c r="C1622" s="16" t="str">
        <f>IFERROR(VLOOKUP(DATA!#REF!,DATA!#REF!,1,FALSE),"")</f>
        <v/>
      </c>
      <c r="D1622" s="16" t="str">
        <f>IFERROR(VLOOKUP(C1622,DATA!#REF!,2,FALSE),"")</f>
        <v/>
      </c>
    </row>
    <row r="1623" spans="2:4" s="237" customFormat="1">
      <c r="B1623" s="15" t="str">
        <f t="shared" si="63"/>
        <v/>
      </c>
      <c r="C1623" s="16" t="str">
        <f>IFERROR(VLOOKUP(DATA!#REF!,DATA!#REF!,1,FALSE),"")</f>
        <v/>
      </c>
      <c r="D1623" s="16" t="str">
        <f>IFERROR(VLOOKUP(C1623,DATA!#REF!,2,FALSE),"")</f>
        <v/>
      </c>
    </row>
    <row r="1624" spans="2:4" s="237" customFormat="1">
      <c r="B1624" s="15" t="str">
        <f t="shared" si="63"/>
        <v/>
      </c>
      <c r="C1624" s="16" t="str">
        <f>IFERROR(VLOOKUP(DATA!#REF!,DATA!#REF!,1,FALSE),"")</f>
        <v/>
      </c>
      <c r="D1624" s="16" t="str">
        <f>IFERROR(VLOOKUP(C1624,DATA!#REF!,2,FALSE),"")</f>
        <v/>
      </c>
    </row>
    <row r="1625" spans="2:4" s="237" customFormat="1">
      <c r="B1625" s="15" t="str">
        <f t="shared" si="63"/>
        <v/>
      </c>
      <c r="C1625" s="16" t="str">
        <f>IFERROR(VLOOKUP(DATA!#REF!,DATA!#REF!,1,FALSE),"")</f>
        <v/>
      </c>
      <c r="D1625" s="16" t="str">
        <f>IFERROR(VLOOKUP(C1625,DATA!#REF!,2,FALSE),"")</f>
        <v/>
      </c>
    </row>
    <row r="1626" spans="2:4" s="237" customFormat="1">
      <c r="B1626" s="15" t="str">
        <f t="shared" si="63"/>
        <v/>
      </c>
      <c r="C1626" s="16" t="str">
        <f>IFERROR(VLOOKUP(DATA!#REF!,DATA!#REF!,1,FALSE),"")</f>
        <v/>
      </c>
      <c r="D1626" s="16" t="str">
        <f>IFERROR(VLOOKUP(C1626,DATA!#REF!,2,FALSE),"")</f>
        <v/>
      </c>
    </row>
    <row r="1627" spans="2:4" s="237" customFormat="1">
      <c r="B1627" s="15" t="str">
        <f t="shared" si="63"/>
        <v/>
      </c>
      <c r="C1627" s="16" t="str">
        <f>IFERROR(VLOOKUP(DATA!#REF!,DATA!#REF!,1,FALSE),"")</f>
        <v/>
      </c>
      <c r="D1627" s="16" t="str">
        <f>IFERROR(VLOOKUP(C1627,DATA!#REF!,2,FALSE),"")</f>
        <v/>
      </c>
    </row>
    <row r="1628" spans="2:4" s="237" customFormat="1">
      <c r="B1628" s="15" t="str">
        <f t="shared" si="63"/>
        <v/>
      </c>
      <c r="C1628" s="16" t="str">
        <f>IFERROR(VLOOKUP(DATA!#REF!,DATA!#REF!,1,FALSE),"")</f>
        <v/>
      </c>
      <c r="D1628" s="16" t="str">
        <f>IFERROR(VLOOKUP(C1628,DATA!#REF!,2,FALSE),"")</f>
        <v/>
      </c>
    </row>
    <row r="1629" spans="2:4" s="237" customFormat="1">
      <c r="B1629" s="15" t="str">
        <f t="shared" si="63"/>
        <v/>
      </c>
      <c r="C1629" s="16" t="str">
        <f>IFERROR(VLOOKUP(DATA!#REF!,DATA!#REF!,1,FALSE),"")</f>
        <v/>
      </c>
      <c r="D1629" s="16" t="str">
        <f>IFERROR(VLOOKUP(C1629,DATA!#REF!,2,FALSE),"")</f>
        <v/>
      </c>
    </row>
    <row r="1630" spans="2:4" s="237" customFormat="1">
      <c r="B1630" s="15" t="str">
        <f t="shared" si="63"/>
        <v/>
      </c>
      <c r="C1630" s="16" t="str">
        <f>IFERROR(VLOOKUP(DATA!#REF!,DATA!#REF!,1,FALSE),"")</f>
        <v/>
      </c>
      <c r="D1630" s="16" t="str">
        <f>IFERROR(VLOOKUP(C1630,DATA!#REF!,2,FALSE),"")</f>
        <v/>
      </c>
    </row>
    <row r="1631" spans="2:4" s="237" customFormat="1">
      <c r="B1631" s="15" t="str">
        <f t="shared" si="63"/>
        <v/>
      </c>
      <c r="C1631" s="16" t="str">
        <f>IFERROR(VLOOKUP(DATA!#REF!,DATA!#REF!,1,FALSE),"")</f>
        <v/>
      </c>
      <c r="D1631" s="16" t="str">
        <f>IFERROR(VLOOKUP(C1631,DATA!#REF!,2,FALSE),"")</f>
        <v/>
      </c>
    </row>
    <row r="1632" spans="2:4" s="237" customFormat="1">
      <c r="B1632" s="15" t="str">
        <f t="shared" si="63"/>
        <v/>
      </c>
      <c r="C1632" s="16" t="str">
        <f>IFERROR(VLOOKUP(DATA!#REF!,DATA!#REF!,1,FALSE),"")</f>
        <v/>
      </c>
      <c r="D1632" s="16" t="str">
        <f>IFERROR(VLOOKUP(C1632,DATA!#REF!,2,FALSE),"")</f>
        <v/>
      </c>
    </row>
    <row r="1633" spans="2:4" s="237" customFormat="1">
      <c r="B1633" s="15" t="str">
        <f t="shared" si="63"/>
        <v/>
      </c>
      <c r="C1633" s="16" t="str">
        <f>IFERROR(VLOOKUP(DATA!#REF!,DATA!#REF!,1,FALSE),"")</f>
        <v/>
      </c>
      <c r="D1633" s="16" t="str">
        <f>IFERROR(VLOOKUP(C1633,DATA!#REF!,2,FALSE),"")</f>
        <v/>
      </c>
    </row>
    <row r="1634" spans="2:4" s="237" customFormat="1">
      <c r="B1634" s="15" t="str">
        <f t="shared" si="63"/>
        <v/>
      </c>
      <c r="C1634" s="16" t="str">
        <f>IFERROR(VLOOKUP(DATA!#REF!,DATA!#REF!,1,FALSE),"")</f>
        <v/>
      </c>
      <c r="D1634" s="16" t="str">
        <f>IFERROR(VLOOKUP(C1634,DATA!#REF!,2,FALSE),"")</f>
        <v/>
      </c>
    </row>
    <row r="1635" spans="2:4" s="237" customFormat="1">
      <c r="B1635" s="15" t="str">
        <f t="shared" si="63"/>
        <v/>
      </c>
      <c r="C1635" s="16" t="str">
        <f>IFERROR(VLOOKUP(DATA!#REF!,DATA!#REF!,1,FALSE),"")</f>
        <v/>
      </c>
      <c r="D1635" s="16" t="str">
        <f>IFERROR(VLOOKUP(C1635,DATA!#REF!,2,FALSE),"")</f>
        <v/>
      </c>
    </row>
    <row r="1636" spans="2:4" s="237" customFormat="1">
      <c r="B1636" s="15" t="str">
        <f t="shared" si="63"/>
        <v/>
      </c>
      <c r="C1636" s="16" t="str">
        <f>IFERROR(VLOOKUP(DATA!#REF!,DATA!#REF!,1,FALSE),"")</f>
        <v/>
      </c>
      <c r="D1636" s="16" t="str">
        <f>IFERROR(VLOOKUP(C1636,DATA!#REF!,2,FALSE),"")</f>
        <v/>
      </c>
    </row>
    <row r="1637" spans="2:4" s="237" customFormat="1">
      <c r="B1637" s="15" t="str">
        <f t="shared" si="63"/>
        <v/>
      </c>
      <c r="C1637" s="16" t="str">
        <f>IFERROR(VLOOKUP(DATA!#REF!,DATA!#REF!,1,FALSE),"")</f>
        <v/>
      </c>
      <c r="D1637" s="16" t="str">
        <f>IFERROR(VLOOKUP(C1637,DATA!#REF!,2,FALSE),"")</f>
        <v/>
      </c>
    </row>
    <row r="1638" spans="2:4" s="237" customFormat="1">
      <c r="B1638" s="15" t="str">
        <f t="shared" si="63"/>
        <v/>
      </c>
      <c r="C1638" s="16" t="str">
        <f>IFERROR(VLOOKUP(DATA!#REF!,DATA!#REF!,1,FALSE),"")</f>
        <v/>
      </c>
      <c r="D1638" s="16" t="str">
        <f>IFERROR(VLOOKUP(C1638,DATA!#REF!,2,FALSE),"")</f>
        <v/>
      </c>
    </row>
    <row r="1639" spans="2:4" s="237" customFormat="1">
      <c r="B1639" s="15" t="str">
        <f t="shared" si="63"/>
        <v/>
      </c>
      <c r="C1639" s="16" t="str">
        <f>IFERROR(VLOOKUP(DATA!#REF!,DATA!#REF!,1,FALSE),"")</f>
        <v/>
      </c>
      <c r="D1639" s="16" t="str">
        <f>IFERROR(VLOOKUP(C1639,DATA!#REF!,2,FALSE),"")</f>
        <v/>
      </c>
    </row>
    <row r="1640" spans="2:4" s="237" customFormat="1">
      <c r="B1640" s="15" t="str">
        <f t="shared" si="63"/>
        <v/>
      </c>
      <c r="C1640" s="16" t="str">
        <f>IFERROR(VLOOKUP(DATA!#REF!,DATA!#REF!,1,FALSE),"")</f>
        <v/>
      </c>
      <c r="D1640" s="16" t="str">
        <f>IFERROR(VLOOKUP(C1640,DATA!#REF!,2,FALSE),"")</f>
        <v/>
      </c>
    </row>
    <row r="1641" spans="2:4" s="237" customFormat="1">
      <c r="B1641" s="15" t="str">
        <f t="shared" si="63"/>
        <v/>
      </c>
      <c r="C1641" s="16" t="str">
        <f>IFERROR(VLOOKUP(DATA!#REF!,DATA!#REF!,1,FALSE),"")</f>
        <v/>
      </c>
      <c r="D1641" s="16" t="str">
        <f>IFERROR(VLOOKUP(C1641,DATA!#REF!,2,FALSE),"")</f>
        <v/>
      </c>
    </row>
    <row r="1642" spans="2:4" s="237" customFormat="1">
      <c r="B1642" s="15" t="str">
        <f t="shared" si="63"/>
        <v/>
      </c>
      <c r="C1642" s="16" t="str">
        <f>IFERROR(VLOOKUP(DATA!#REF!,DATA!#REF!,1,FALSE),"")</f>
        <v/>
      </c>
      <c r="D1642" s="16" t="str">
        <f>IFERROR(VLOOKUP(C1642,DATA!#REF!,2,FALSE),"")</f>
        <v/>
      </c>
    </row>
    <row r="1643" spans="2:4" s="237" customFormat="1">
      <c r="B1643" s="15" t="str">
        <f t="shared" si="63"/>
        <v/>
      </c>
      <c r="C1643" s="16" t="str">
        <f>IFERROR(VLOOKUP(DATA!#REF!,DATA!#REF!,1,FALSE),"")</f>
        <v/>
      </c>
      <c r="D1643" s="16" t="str">
        <f>IFERROR(VLOOKUP(C1643,DATA!#REF!,2,FALSE),"")</f>
        <v/>
      </c>
    </row>
    <row r="1644" spans="2:4" s="237" customFormat="1">
      <c r="B1644" s="15" t="str">
        <f t="shared" si="63"/>
        <v/>
      </c>
      <c r="C1644" s="16" t="str">
        <f>IFERROR(VLOOKUP(DATA!#REF!,DATA!#REF!,1,FALSE),"")</f>
        <v/>
      </c>
      <c r="D1644" s="16" t="str">
        <f>IFERROR(VLOOKUP(C1644,DATA!#REF!,2,FALSE),"")</f>
        <v/>
      </c>
    </row>
    <row r="1645" spans="2:4" s="237" customFormat="1">
      <c r="B1645" s="15" t="str">
        <f t="shared" si="63"/>
        <v/>
      </c>
      <c r="C1645" s="16" t="str">
        <f>IFERROR(VLOOKUP(DATA!#REF!,DATA!#REF!,1,FALSE),"")</f>
        <v/>
      </c>
      <c r="D1645" s="16" t="str">
        <f>IFERROR(VLOOKUP(C1645,DATA!#REF!,2,FALSE),"")</f>
        <v/>
      </c>
    </row>
    <row r="1646" spans="2:4" s="237" customFormat="1">
      <c r="B1646" s="15" t="str">
        <f t="shared" si="63"/>
        <v/>
      </c>
      <c r="C1646" s="16" t="str">
        <f>IFERROR(VLOOKUP(DATA!#REF!,DATA!#REF!,1,FALSE),"")</f>
        <v/>
      </c>
      <c r="D1646" s="16" t="str">
        <f>IFERROR(VLOOKUP(C1646,DATA!#REF!,2,FALSE),"")</f>
        <v/>
      </c>
    </row>
    <row r="1647" spans="2:4" s="237" customFormat="1">
      <c r="B1647" s="15" t="str">
        <f t="shared" si="63"/>
        <v/>
      </c>
      <c r="C1647" s="16" t="str">
        <f>IFERROR(VLOOKUP(DATA!#REF!,DATA!#REF!,1,FALSE),"")</f>
        <v/>
      </c>
      <c r="D1647" s="16" t="str">
        <f>IFERROR(VLOOKUP(C1647,DATA!#REF!,2,FALSE),"")</f>
        <v/>
      </c>
    </row>
    <row r="1648" spans="2:4" s="237" customFormat="1">
      <c r="B1648" s="15" t="str">
        <f t="shared" si="63"/>
        <v/>
      </c>
      <c r="C1648" s="16" t="str">
        <f>IFERROR(VLOOKUP(DATA!#REF!,DATA!#REF!,1,FALSE),"")</f>
        <v/>
      </c>
      <c r="D1648" s="16" t="str">
        <f>IFERROR(VLOOKUP(C1648,DATA!#REF!,2,FALSE),"")</f>
        <v/>
      </c>
    </row>
    <row r="1649" spans="2:4" s="237" customFormat="1">
      <c r="B1649" s="15" t="str">
        <f t="shared" si="63"/>
        <v/>
      </c>
      <c r="C1649" s="16" t="str">
        <f>IFERROR(VLOOKUP(DATA!#REF!,DATA!#REF!,1,FALSE),"")</f>
        <v/>
      </c>
      <c r="D1649" s="16" t="str">
        <f>IFERROR(VLOOKUP(C1649,DATA!#REF!,2,FALSE),"")</f>
        <v/>
      </c>
    </row>
    <row r="1650" spans="2:4" s="237" customFormat="1">
      <c r="B1650" s="15" t="str">
        <f t="shared" si="63"/>
        <v/>
      </c>
      <c r="C1650" s="16" t="str">
        <f>IFERROR(VLOOKUP(DATA!#REF!,DATA!#REF!,1,FALSE),"")</f>
        <v/>
      </c>
      <c r="D1650" s="16" t="str">
        <f>IFERROR(VLOOKUP(C1650,DATA!#REF!,2,FALSE),"")</f>
        <v/>
      </c>
    </row>
    <row r="1651" spans="2:4" s="237" customFormat="1">
      <c r="B1651" s="15" t="str">
        <f t="shared" si="63"/>
        <v/>
      </c>
      <c r="C1651" s="16" t="str">
        <f>IFERROR(VLOOKUP(DATA!#REF!,DATA!#REF!,1,FALSE),"")</f>
        <v/>
      </c>
      <c r="D1651" s="16" t="str">
        <f>IFERROR(VLOOKUP(C1651,DATA!#REF!,2,FALSE),"")</f>
        <v/>
      </c>
    </row>
    <row r="1652" spans="2:4" s="237" customFormat="1">
      <c r="B1652" s="15" t="str">
        <f t="shared" si="63"/>
        <v/>
      </c>
      <c r="C1652" s="16" t="str">
        <f>IFERROR(VLOOKUP(DATA!#REF!,DATA!#REF!,1,FALSE),"")</f>
        <v/>
      </c>
      <c r="D1652" s="16" t="str">
        <f>IFERROR(VLOOKUP(C1652,DATA!#REF!,2,FALSE),"")</f>
        <v/>
      </c>
    </row>
    <row r="1653" spans="2:4" s="237" customFormat="1">
      <c r="B1653" s="15" t="str">
        <f t="shared" si="63"/>
        <v/>
      </c>
      <c r="C1653" s="16" t="str">
        <f>IFERROR(VLOOKUP(DATA!#REF!,DATA!#REF!,1,FALSE),"")</f>
        <v/>
      </c>
      <c r="D1653" s="16" t="str">
        <f>IFERROR(VLOOKUP(C1653,DATA!#REF!,2,FALSE),"")</f>
        <v/>
      </c>
    </row>
    <row r="1654" spans="2:4" s="237" customFormat="1">
      <c r="B1654" s="15" t="str">
        <f t="shared" si="63"/>
        <v/>
      </c>
      <c r="C1654" s="16" t="str">
        <f>IFERROR(VLOOKUP(DATA!#REF!,DATA!#REF!,1,FALSE),"")</f>
        <v/>
      </c>
      <c r="D1654" s="16" t="str">
        <f>IFERROR(VLOOKUP(C1654,DATA!#REF!,2,FALSE),"")</f>
        <v/>
      </c>
    </row>
    <row r="1655" spans="2:4" s="237" customFormat="1">
      <c r="B1655" s="15" t="str">
        <f t="shared" si="63"/>
        <v/>
      </c>
      <c r="C1655" s="16" t="str">
        <f>IFERROR(VLOOKUP(DATA!#REF!,DATA!#REF!,1,FALSE),"")</f>
        <v/>
      </c>
      <c r="D1655" s="16" t="str">
        <f>IFERROR(VLOOKUP(C1655,DATA!#REF!,2,FALSE),"")</f>
        <v/>
      </c>
    </row>
    <row r="1656" spans="2:4" s="237" customFormat="1">
      <c r="B1656" s="15" t="str">
        <f t="shared" si="63"/>
        <v/>
      </c>
      <c r="C1656" s="16" t="str">
        <f>IFERROR(VLOOKUP(DATA!#REF!,DATA!#REF!,1,FALSE),"")</f>
        <v/>
      </c>
      <c r="D1656" s="16" t="str">
        <f>IFERROR(VLOOKUP(C1656,DATA!#REF!,2,FALSE),"")</f>
        <v/>
      </c>
    </row>
    <row r="1657" spans="2:4" s="237" customFormat="1">
      <c r="B1657" s="15" t="str">
        <f t="shared" si="63"/>
        <v/>
      </c>
      <c r="C1657" s="16" t="str">
        <f>IFERROR(VLOOKUP(DATA!#REF!,DATA!#REF!,1,FALSE),"")</f>
        <v/>
      </c>
      <c r="D1657" s="16" t="str">
        <f>IFERROR(VLOOKUP(C1657,DATA!#REF!,2,FALSE),"")</f>
        <v/>
      </c>
    </row>
    <row r="1658" spans="2:4" s="237" customFormat="1">
      <c r="B1658" s="15" t="str">
        <f t="shared" si="63"/>
        <v/>
      </c>
      <c r="C1658" s="16" t="str">
        <f>IFERROR(VLOOKUP(DATA!#REF!,DATA!#REF!,1,FALSE),"")</f>
        <v/>
      </c>
      <c r="D1658" s="16" t="str">
        <f>IFERROR(VLOOKUP(C1658,DATA!#REF!,2,FALSE),"")</f>
        <v/>
      </c>
    </row>
    <row r="1659" spans="2:4" s="237" customFormat="1">
      <c r="B1659" s="15" t="str">
        <f t="shared" si="63"/>
        <v/>
      </c>
      <c r="C1659" s="16" t="str">
        <f>IFERROR(VLOOKUP(DATA!#REF!,DATA!#REF!,1,FALSE),"")</f>
        <v/>
      </c>
      <c r="D1659" s="16" t="str">
        <f>IFERROR(VLOOKUP(C1659,DATA!#REF!,2,FALSE),"")</f>
        <v/>
      </c>
    </row>
    <row r="1660" spans="2:4" s="237" customFormat="1">
      <c r="B1660" s="15" t="str">
        <f t="shared" si="63"/>
        <v/>
      </c>
      <c r="C1660" s="16" t="str">
        <f>IFERROR(VLOOKUP(DATA!#REF!,DATA!#REF!,1,FALSE),"")</f>
        <v/>
      </c>
      <c r="D1660" s="16" t="str">
        <f>IFERROR(VLOOKUP(C1660,DATA!#REF!,2,FALSE),"")</f>
        <v/>
      </c>
    </row>
    <row r="1661" spans="2:4" s="237" customFormat="1">
      <c r="B1661" s="15" t="str">
        <f t="shared" si="63"/>
        <v/>
      </c>
      <c r="C1661" s="16" t="str">
        <f>IFERROR(VLOOKUP(DATA!#REF!,DATA!#REF!,1,FALSE),"")</f>
        <v/>
      </c>
      <c r="D1661" s="16" t="str">
        <f>IFERROR(VLOOKUP(C1661,DATA!#REF!,2,FALSE),"")</f>
        <v/>
      </c>
    </row>
    <row r="1662" spans="2:4" s="237" customFormat="1">
      <c r="B1662" s="15" t="str">
        <f t="shared" si="63"/>
        <v/>
      </c>
      <c r="C1662" s="16" t="str">
        <f>IFERROR(VLOOKUP(DATA!#REF!,DATA!#REF!,1,FALSE),"")</f>
        <v/>
      </c>
      <c r="D1662" s="16" t="str">
        <f>IFERROR(VLOOKUP(C1662,DATA!#REF!,2,FALSE),"")</f>
        <v/>
      </c>
    </row>
    <row r="1663" spans="2:4" s="237" customFormat="1">
      <c r="B1663" s="15" t="str">
        <f t="shared" si="63"/>
        <v/>
      </c>
      <c r="C1663" s="16" t="str">
        <f>IFERROR(VLOOKUP(DATA!#REF!,DATA!#REF!,1,FALSE),"")</f>
        <v/>
      </c>
      <c r="D1663" s="16" t="str">
        <f>IFERROR(VLOOKUP(C1663,DATA!#REF!,2,FALSE),"")</f>
        <v/>
      </c>
    </row>
    <row r="1664" spans="2:4" s="237" customFormat="1">
      <c r="B1664" s="15" t="str">
        <f t="shared" si="63"/>
        <v/>
      </c>
      <c r="C1664" s="16" t="str">
        <f>IFERROR(VLOOKUP(DATA!#REF!,DATA!#REF!,1,FALSE),"")</f>
        <v/>
      </c>
      <c r="D1664" s="16" t="str">
        <f>IFERROR(VLOOKUP(C1664,DATA!#REF!,2,FALSE),"")</f>
        <v/>
      </c>
    </row>
    <row r="1665" spans="2:4" s="237" customFormat="1">
      <c r="B1665" s="15" t="str">
        <f t="shared" si="63"/>
        <v/>
      </c>
      <c r="C1665" s="16" t="str">
        <f>IFERROR(VLOOKUP(DATA!#REF!,DATA!#REF!,1,FALSE),"")</f>
        <v/>
      </c>
      <c r="D1665" s="16" t="str">
        <f>IFERROR(VLOOKUP(C1665,DATA!#REF!,2,FALSE),"")</f>
        <v/>
      </c>
    </row>
    <row r="1666" spans="2:4" s="237" customFormat="1">
      <c r="B1666" s="15" t="str">
        <f t="shared" si="63"/>
        <v/>
      </c>
      <c r="C1666" s="16" t="str">
        <f>IFERROR(VLOOKUP(DATA!#REF!,DATA!#REF!,1,FALSE),"")</f>
        <v/>
      </c>
      <c r="D1666" s="16" t="str">
        <f>IFERROR(VLOOKUP(C1666,DATA!#REF!,2,FALSE),"")</f>
        <v/>
      </c>
    </row>
    <row r="1667" spans="2:4" s="237" customFormat="1">
      <c r="B1667" s="15" t="str">
        <f t="shared" si="63"/>
        <v/>
      </c>
      <c r="C1667" s="16" t="str">
        <f>IFERROR(VLOOKUP(DATA!#REF!,DATA!#REF!,1,FALSE),"")</f>
        <v/>
      </c>
      <c r="D1667" s="16" t="str">
        <f>IFERROR(VLOOKUP(C1667,DATA!#REF!,2,FALSE),"")</f>
        <v/>
      </c>
    </row>
    <row r="1668" spans="2:4" s="237" customFormat="1">
      <c r="B1668" s="15" t="str">
        <f t="shared" si="63"/>
        <v/>
      </c>
      <c r="C1668" s="16" t="str">
        <f>IFERROR(VLOOKUP(DATA!#REF!,DATA!#REF!,1,FALSE),"")</f>
        <v/>
      </c>
      <c r="D1668" s="16" t="str">
        <f>IFERROR(VLOOKUP(C1668,DATA!#REF!,2,FALSE),"")</f>
        <v/>
      </c>
    </row>
    <row r="1669" spans="2:4" s="237" customFormat="1">
      <c r="B1669" s="15" t="str">
        <f t="shared" si="63"/>
        <v/>
      </c>
      <c r="C1669" s="16" t="str">
        <f>IFERROR(VLOOKUP(DATA!#REF!,DATA!#REF!,1,FALSE),"")</f>
        <v/>
      </c>
      <c r="D1669" s="16" t="str">
        <f>IFERROR(VLOOKUP(C1669,DATA!#REF!,2,FALSE),"")</f>
        <v/>
      </c>
    </row>
    <row r="1670" spans="2:4" s="237" customFormat="1">
      <c r="B1670" s="15" t="str">
        <f t="shared" ref="B1670:B1733" si="64">+IF(C1670="","",ROW()-5)</f>
        <v/>
      </c>
      <c r="C1670" s="16" t="str">
        <f>IFERROR(VLOOKUP(DATA!#REF!,DATA!#REF!,1,FALSE),"")</f>
        <v/>
      </c>
      <c r="D1670" s="16" t="str">
        <f>IFERROR(VLOOKUP(C1670,DATA!#REF!,2,FALSE),"")</f>
        <v/>
      </c>
    </row>
    <row r="1671" spans="2:4" s="237" customFormat="1">
      <c r="B1671" s="15" t="str">
        <f t="shared" si="64"/>
        <v/>
      </c>
      <c r="C1671" s="16" t="str">
        <f>IFERROR(VLOOKUP(DATA!#REF!,DATA!#REF!,1,FALSE),"")</f>
        <v/>
      </c>
      <c r="D1671" s="16" t="str">
        <f>IFERROR(VLOOKUP(C1671,DATA!#REF!,2,FALSE),"")</f>
        <v/>
      </c>
    </row>
    <row r="1672" spans="2:4" s="237" customFormat="1">
      <c r="B1672" s="15" t="str">
        <f t="shared" si="64"/>
        <v/>
      </c>
      <c r="C1672" s="16" t="str">
        <f>IFERROR(VLOOKUP(DATA!#REF!,DATA!#REF!,1,FALSE),"")</f>
        <v/>
      </c>
      <c r="D1672" s="16" t="str">
        <f>IFERROR(VLOOKUP(C1672,DATA!#REF!,2,FALSE),"")</f>
        <v/>
      </c>
    </row>
    <row r="1673" spans="2:4" s="237" customFormat="1">
      <c r="B1673" s="15" t="str">
        <f t="shared" si="64"/>
        <v/>
      </c>
      <c r="C1673" s="16" t="str">
        <f>IFERROR(VLOOKUP(DATA!#REF!,DATA!#REF!,1,FALSE),"")</f>
        <v/>
      </c>
      <c r="D1673" s="16" t="str">
        <f>IFERROR(VLOOKUP(C1673,DATA!#REF!,2,FALSE),"")</f>
        <v/>
      </c>
    </row>
    <row r="1674" spans="2:4" s="237" customFormat="1">
      <c r="B1674" s="15" t="str">
        <f t="shared" si="64"/>
        <v/>
      </c>
      <c r="C1674" s="16" t="str">
        <f>IFERROR(VLOOKUP(DATA!#REF!,DATA!#REF!,1,FALSE),"")</f>
        <v/>
      </c>
      <c r="D1674" s="16" t="str">
        <f>IFERROR(VLOOKUP(C1674,DATA!#REF!,2,FALSE),"")</f>
        <v/>
      </c>
    </row>
    <row r="1675" spans="2:4" s="237" customFormat="1">
      <c r="B1675" s="15" t="str">
        <f t="shared" si="64"/>
        <v/>
      </c>
      <c r="C1675" s="16" t="str">
        <f>IFERROR(VLOOKUP(DATA!#REF!,DATA!#REF!,1,FALSE),"")</f>
        <v/>
      </c>
      <c r="D1675" s="16" t="str">
        <f>IFERROR(VLOOKUP(C1675,DATA!#REF!,2,FALSE),"")</f>
        <v/>
      </c>
    </row>
    <row r="1676" spans="2:4" s="237" customFormat="1">
      <c r="B1676" s="15" t="str">
        <f t="shared" si="64"/>
        <v/>
      </c>
      <c r="C1676" s="16" t="str">
        <f>IFERROR(VLOOKUP(DATA!#REF!,DATA!#REF!,1,FALSE),"")</f>
        <v/>
      </c>
      <c r="D1676" s="16" t="str">
        <f>IFERROR(VLOOKUP(C1676,DATA!#REF!,2,FALSE),"")</f>
        <v/>
      </c>
    </row>
    <row r="1677" spans="2:4" s="237" customFormat="1">
      <c r="B1677" s="15" t="str">
        <f t="shared" si="64"/>
        <v/>
      </c>
      <c r="C1677" s="16" t="str">
        <f>IFERROR(VLOOKUP(DATA!#REF!,DATA!#REF!,1,FALSE),"")</f>
        <v/>
      </c>
      <c r="D1677" s="16" t="str">
        <f>IFERROR(VLOOKUP(C1677,DATA!#REF!,2,FALSE),"")</f>
        <v/>
      </c>
    </row>
    <row r="1678" spans="2:4" s="237" customFormat="1">
      <c r="B1678" s="15" t="str">
        <f t="shared" si="64"/>
        <v/>
      </c>
      <c r="C1678" s="16" t="str">
        <f>IFERROR(VLOOKUP(DATA!#REF!,DATA!#REF!,1,FALSE),"")</f>
        <v/>
      </c>
      <c r="D1678" s="16" t="str">
        <f>IFERROR(VLOOKUP(C1678,DATA!#REF!,2,FALSE),"")</f>
        <v/>
      </c>
    </row>
    <row r="1679" spans="2:4" s="237" customFormat="1">
      <c r="B1679" s="15" t="str">
        <f t="shared" si="64"/>
        <v/>
      </c>
      <c r="C1679" s="16" t="str">
        <f>IFERROR(VLOOKUP(DATA!#REF!,DATA!#REF!,1,FALSE),"")</f>
        <v/>
      </c>
      <c r="D1679" s="16" t="str">
        <f>IFERROR(VLOOKUP(C1679,DATA!#REF!,2,FALSE),"")</f>
        <v/>
      </c>
    </row>
    <row r="1680" spans="2:4" s="237" customFormat="1">
      <c r="B1680" s="15" t="str">
        <f t="shared" si="64"/>
        <v/>
      </c>
      <c r="C1680" s="16" t="str">
        <f>IFERROR(VLOOKUP(DATA!#REF!,DATA!#REF!,1,FALSE),"")</f>
        <v/>
      </c>
      <c r="D1680" s="16" t="str">
        <f>IFERROR(VLOOKUP(C1680,DATA!#REF!,2,FALSE),"")</f>
        <v/>
      </c>
    </row>
    <row r="1681" spans="2:4" s="237" customFormat="1">
      <c r="B1681" s="15" t="str">
        <f t="shared" si="64"/>
        <v/>
      </c>
      <c r="C1681" s="16" t="str">
        <f>IFERROR(VLOOKUP(DATA!#REF!,DATA!#REF!,1,FALSE),"")</f>
        <v/>
      </c>
      <c r="D1681" s="16" t="str">
        <f>IFERROR(VLOOKUP(C1681,DATA!#REF!,2,FALSE),"")</f>
        <v/>
      </c>
    </row>
    <row r="1682" spans="2:4" s="237" customFormat="1">
      <c r="B1682" s="15" t="str">
        <f t="shared" si="64"/>
        <v/>
      </c>
      <c r="C1682" s="16" t="str">
        <f>IFERROR(VLOOKUP(DATA!#REF!,DATA!#REF!,1,FALSE),"")</f>
        <v/>
      </c>
      <c r="D1682" s="16" t="str">
        <f>IFERROR(VLOOKUP(C1682,DATA!#REF!,2,FALSE),"")</f>
        <v/>
      </c>
    </row>
    <row r="1683" spans="2:4" s="237" customFormat="1">
      <c r="B1683" s="15" t="str">
        <f t="shared" si="64"/>
        <v/>
      </c>
      <c r="C1683" s="16" t="str">
        <f>IFERROR(VLOOKUP(DATA!#REF!,DATA!#REF!,1,FALSE),"")</f>
        <v/>
      </c>
      <c r="D1683" s="16" t="str">
        <f>IFERROR(VLOOKUP(C1683,DATA!#REF!,2,FALSE),"")</f>
        <v/>
      </c>
    </row>
    <row r="1684" spans="2:4" s="237" customFormat="1">
      <c r="B1684" s="15" t="str">
        <f t="shared" si="64"/>
        <v/>
      </c>
      <c r="C1684" s="16" t="str">
        <f>IFERROR(VLOOKUP(DATA!#REF!,DATA!#REF!,1,FALSE),"")</f>
        <v/>
      </c>
      <c r="D1684" s="16" t="str">
        <f>IFERROR(VLOOKUP(C1684,DATA!#REF!,2,FALSE),"")</f>
        <v/>
      </c>
    </row>
    <row r="1685" spans="2:4" s="237" customFormat="1">
      <c r="B1685" s="15" t="str">
        <f t="shared" si="64"/>
        <v/>
      </c>
      <c r="C1685" s="16" t="str">
        <f>IFERROR(VLOOKUP(DATA!#REF!,DATA!#REF!,1,FALSE),"")</f>
        <v/>
      </c>
      <c r="D1685" s="16" t="str">
        <f>IFERROR(VLOOKUP(C1685,DATA!#REF!,2,FALSE),"")</f>
        <v/>
      </c>
    </row>
    <row r="1686" spans="2:4" s="237" customFormat="1">
      <c r="B1686" s="15" t="str">
        <f t="shared" si="64"/>
        <v/>
      </c>
      <c r="C1686" s="16" t="str">
        <f>IFERROR(VLOOKUP(DATA!#REF!,DATA!#REF!,1,FALSE),"")</f>
        <v/>
      </c>
      <c r="D1686" s="16" t="str">
        <f>IFERROR(VLOOKUP(C1686,DATA!#REF!,2,FALSE),"")</f>
        <v/>
      </c>
    </row>
    <row r="1687" spans="2:4" s="237" customFormat="1">
      <c r="B1687" s="15" t="str">
        <f t="shared" si="64"/>
        <v/>
      </c>
      <c r="C1687" s="16" t="str">
        <f>IFERROR(VLOOKUP(DATA!#REF!,DATA!#REF!,1,FALSE),"")</f>
        <v/>
      </c>
      <c r="D1687" s="16" t="str">
        <f>IFERROR(VLOOKUP(C1687,DATA!#REF!,2,FALSE),"")</f>
        <v/>
      </c>
    </row>
    <row r="1688" spans="2:4" s="237" customFormat="1">
      <c r="B1688" s="15" t="str">
        <f t="shared" si="64"/>
        <v/>
      </c>
      <c r="C1688" s="16" t="str">
        <f>IFERROR(VLOOKUP(DATA!#REF!,DATA!#REF!,1,FALSE),"")</f>
        <v/>
      </c>
      <c r="D1688" s="16" t="str">
        <f>IFERROR(VLOOKUP(C1688,DATA!#REF!,2,FALSE),"")</f>
        <v/>
      </c>
    </row>
    <row r="1689" spans="2:4" s="237" customFormat="1">
      <c r="B1689" s="15" t="str">
        <f t="shared" si="64"/>
        <v/>
      </c>
      <c r="C1689" s="16" t="str">
        <f>IFERROR(VLOOKUP(DATA!#REF!,DATA!#REF!,1,FALSE),"")</f>
        <v/>
      </c>
      <c r="D1689" s="16" t="str">
        <f>IFERROR(VLOOKUP(C1689,DATA!#REF!,2,FALSE),"")</f>
        <v/>
      </c>
    </row>
    <row r="1690" spans="2:4" s="237" customFormat="1">
      <c r="B1690" s="15" t="str">
        <f t="shared" si="64"/>
        <v/>
      </c>
      <c r="C1690" s="16" t="str">
        <f>IFERROR(VLOOKUP(DATA!#REF!,DATA!#REF!,1,FALSE),"")</f>
        <v/>
      </c>
      <c r="D1690" s="16" t="str">
        <f>IFERROR(VLOOKUP(C1690,DATA!#REF!,2,FALSE),"")</f>
        <v/>
      </c>
    </row>
    <row r="1691" spans="2:4" s="237" customFormat="1">
      <c r="B1691" s="15" t="str">
        <f t="shared" si="64"/>
        <v/>
      </c>
      <c r="C1691" s="16" t="str">
        <f>IFERROR(VLOOKUP(DATA!#REF!,DATA!#REF!,1,FALSE),"")</f>
        <v/>
      </c>
      <c r="D1691" s="16" t="str">
        <f>IFERROR(VLOOKUP(C1691,DATA!#REF!,2,FALSE),"")</f>
        <v/>
      </c>
    </row>
    <row r="1692" spans="2:4" s="237" customFormat="1">
      <c r="B1692" s="15" t="str">
        <f t="shared" si="64"/>
        <v/>
      </c>
      <c r="C1692" s="16" t="str">
        <f>IFERROR(VLOOKUP(DATA!#REF!,DATA!#REF!,1,FALSE),"")</f>
        <v/>
      </c>
      <c r="D1692" s="16" t="str">
        <f>IFERROR(VLOOKUP(C1692,DATA!#REF!,2,FALSE),"")</f>
        <v/>
      </c>
    </row>
    <row r="1693" spans="2:4" s="237" customFormat="1">
      <c r="B1693" s="15" t="str">
        <f t="shared" si="64"/>
        <v/>
      </c>
      <c r="C1693" s="16" t="str">
        <f>IFERROR(VLOOKUP(DATA!#REF!,DATA!#REF!,1,FALSE),"")</f>
        <v/>
      </c>
      <c r="D1693" s="16" t="str">
        <f>IFERROR(VLOOKUP(C1693,DATA!#REF!,2,FALSE),"")</f>
        <v/>
      </c>
    </row>
    <row r="1694" spans="2:4" s="237" customFormat="1">
      <c r="B1694" s="15" t="str">
        <f t="shared" si="64"/>
        <v/>
      </c>
      <c r="C1694" s="16" t="str">
        <f>IFERROR(VLOOKUP(DATA!#REF!,DATA!#REF!,1,FALSE),"")</f>
        <v/>
      </c>
      <c r="D1694" s="16" t="str">
        <f>IFERROR(VLOOKUP(C1694,DATA!#REF!,2,FALSE),"")</f>
        <v/>
      </c>
    </row>
    <row r="1695" spans="2:4" s="237" customFormat="1">
      <c r="B1695" s="15" t="str">
        <f t="shared" si="64"/>
        <v/>
      </c>
      <c r="C1695" s="16" t="str">
        <f>IFERROR(VLOOKUP(DATA!#REF!,DATA!#REF!,1,FALSE),"")</f>
        <v/>
      </c>
      <c r="D1695" s="16" t="str">
        <f>IFERROR(VLOOKUP(C1695,DATA!#REF!,2,FALSE),"")</f>
        <v/>
      </c>
    </row>
    <row r="1696" spans="2:4" s="237" customFormat="1">
      <c r="B1696" s="15" t="str">
        <f t="shared" si="64"/>
        <v/>
      </c>
      <c r="C1696" s="16" t="str">
        <f>IFERROR(VLOOKUP(DATA!#REF!,DATA!#REF!,1,FALSE),"")</f>
        <v/>
      </c>
      <c r="D1696" s="16" t="str">
        <f>IFERROR(VLOOKUP(C1696,DATA!#REF!,2,FALSE),"")</f>
        <v/>
      </c>
    </row>
    <row r="1697" spans="2:4" s="237" customFormat="1">
      <c r="B1697" s="15" t="str">
        <f t="shared" si="64"/>
        <v/>
      </c>
      <c r="C1697" s="16" t="str">
        <f>IFERROR(VLOOKUP(DATA!#REF!,DATA!#REF!,1,FALSE),"")</f>
        <v/>
      </c>
      <c r="D1697" s="16" t="str">
        <f>IFERROR(VLOOKUP(C1697,DATA!#REF!,2,FALSE),"")</f>
        <v/>
      </c>
    </row>
    <row r="1698" spans="2:4" s="237" customFormat="1">
      <c r="B1698" s="15" t="str">
        <f t="shared" si="64"/>
        <v/>
      </c>
      <c r="C1698" s="16" t="str">
        <f>IFERROR(VLOOKUP(DATA!#REF!,DATA!#REF!,1,FALSE),"")</f>
        <v/>
      </c>
      <c r="D1698" s="16" t="str">
        <f>IFERROR(VLOOKUP(C1698,DATA!#REF!,2,FALSE),"")</f>
        <v/>
      </c>
    </row>
    <row r="1699" spans="2:4" s="237" customFormat="1">
      <c r="B1699" s="15" t="str">
        <f t="shared" si="64"/>
        <v/>
      </c>
      <c r="C1699" s="16" t="str">
        <f>IFERROR(VLOOKUP(DATA!#REF!,DATA!#REF!,1,FALSE),"")</f>
        <v/>
      </c>
      <c r="D1699" s="16" t="str">
        <f>IFERROR(VLOOKUP(C1699,DATA!#REF!,2,FALSE),"")</f>
        <v/>
      </c>
    </row>
    <row r="1700" spans="2:4" s="237" customFormat="1">
      <c r="B1700" s="15" t="str">
        <f t="shared" si="64"/>
        <v/>
      </c>
      <c r="C1700" s="16" t="str">
        <f>IFERROR(VLOOKUP(DATA!#REF!,DATA!#REF!,1,FALSE),"")</f>
        <v/>
      </c>
      <c r="D1700" s="16" t="str">
        <f>IFERROR(VLOOKUP(C1700,DATA!#REF!,2,FALSE),"")</f>
        <v/>
      </c>
    </row>
    <row r="1701" spans="2:4" s="237" customFormat="1">
      <c r="B1701" s="15" t="str">
        <f t="shared" si="64"/>
        <v/>
      </c>
      <c r="C1701" s="16" t="str">
        <f>IFERROR(VLOOKUP(DATA!#REF!,DATA!#REF!,1,FALSE),"")</f>
        <v/>
      </c>
      <c r="D1701" s="16" t="str">
        <f>IFERROR(VLOOKUP(C1701,DATA!#REF!,2,FALSE),"")</f>
        <v/>
      </c>
    </row>
    <row r="1702" spans="2:4" s="237" customFormat="1">
      <c r="B1702" s="15" t="str">
        <f t="shared" si="64"/>
        <v/>
      </c>
      <c r="C1702" s="16" t="str">
        <f>IFERROR(VLOOKUP(DATA!#REF!,DATA!#REF!,1,FALSE),"")</f>
        <v/>
      </c>
      <c r="D1702" s="16" t="str">
        <f>IFERROR(VLOOKUP(C1702,DATA!#REF!,2,FALSE),"")</f>
        <v/>
      </c>
    </row>
    <row r="1703" spans="2:4" s="237" customFormat="1">
      <c r="B1703" s="15" t="str">
        <f t="shared" si="64"/>
        <v/>
      </c>
      <c r="C1703" s="16" t="str">
        <f>IFERROR(VLOOKUP(DATA!#REF!,DATA!#REF!,1,FALSE),"")</f>
        <v/>
      </c>
      <c r="D1703" s="16" t="str">
        <f>IFERROR(VLOOKUP(C1703,DATA!#REF!,2,FALSE),"")</f>
        <v/>
      </c>
    </row>
    <row r="1704" spans="2:4" s="237" customFormat="1">
      <c r="B1704" s="15" t="str">
        <f t="shared" si="64"/>
        <v/>
      </c>
      <c r="C1704" s="16" t="str">
        <f>IFERROR(VLOOKUP(DATA!#REF!,DATA!#REF!,1,FALSE),"")</f>
        <v/>
      </c>
      <c r="D1704" s="16" t="str">
        <f>IFERROR(VLOOKUP(C1704,DATA!#REF!,2,FALSE),"")</f>
        <v/>
      </c>
    </row>
    <row r="1705" spans="2:4" s="237" customFormat="1">
      <c r="B1705" s="15" t="str">
        <f t="shared" si="64"/>
        <v/>
      </c>
      <c r="C1705" s="16" t="str">
        <f>IFERROR(VLOOKUP(DATA!#REF!,DATA!#REF!,1,FALSE),"")</f>
        <v/>
      </c>
      <c r="D1705" s="16" t="str">
        <f>IFERROR(VLOOKUP(C1705,DATA!#REF!,2,FALSE),"")</f>
        <v/>
      </c>
    </row>
    <row r="1706" spans="2:4" s="237" customFormat="1">
      <c r="B1706" s="15" t="str">
        <f t="shared" si="64"/>
        <v/>
      </c>
      <c r="C1706" s="16" t="str">
        <f>IFERROR(VLOOKUP(DATA!#REF!,DATA!#REF!,1,FALSE),"")</f>
        <v/>
      </c>
      <c r="D1706" s="16" t="str">
        <f>IFERROR(VLOOKUP(C1706,DATA!#REF!,2,FALSE),"")</f>
        <v/>
      </c>
    </row>
    <row r="1707" spans="2:4" s="237" customFormat="1">
      <c r="B1707" s="15" t="str">
        <f t="shared" si="64"/>
        <v/>
      </c>
      <c r="C1707" s="16" t="str">
        <f>IFERROR(VLOOKUP(DATA!#REF!,DATA!#REF!,1,FALSE),"")</f>
        <v/>
      </c>
      <c r="D1707" s="16" t="str">
        <f>IFERROR(VLOOKUP(C1707,DATA!#REF!,2,FALSE),"")</f>
        <v/>
      </c>
    </row>
    <row r="1708" spans="2:4" s="237" customFormat="1">
      <c r="B1708" s="15" t="str">
        <f t="shared" si="64"/>
        <v/>
      </c>
      <c r="C1708" s="16" t="str">
        <f>IFERROR(VLOOKUP(DATA!#REF!,DATA!#REF!,1,FALSE),"")</f>
        <v/>
      </c>
      <c r="D1708" s="16" t="str">
        <f>IFERROR(VLOOKUP(C1708,DATA!#REF!,2,FALSE),"")</f>
        <v/>
      </c>
    </row>
    <row r="1709" spans="2:4" s="237" customFormat="1">
      <c r="B1709" s="15" t="str">
        <f t="shared" si="64"/>
        <v/>
      </c>
      <c r="C1709" s="16" t="str">
        <f>IFERROR(VLOOKUP(DATA!#REF!,DATA!#REF!,1,FALSE),"")</f>
        <v/>
      </c>
      <c r="D1709" s="16" t="str">
        <f>IFERROR(VLOOKUP(C1709,DATA!#REF!,2,FALSE),"")</f>
        <v/>
      </c>
    </row>
    <row r="1710" spans="2:4" s="237" customFormat="1">
      <c r="B1710" s="15" t="str">
        <f t="shared" si="64"/>
        <v/>
      </c>
      <c r="C1710" s="16" t="str">
        <f>IFERROR(VLOOKUP(DATA!#REF!,DATA!#REF!,1,FALSE),"")</f>
        <v/>
      </c>
      <c r="D1710" s="16" t="str">
        <f>IFERROR(VLOOKUP(C1710,DATA!#REF!,2,FALSE),"")</f>
        <v/>
      </c>
    </row>
    <row r="1711" spans="2:4" s="237" customFormat="1">
      <c r="B1711" s="15" t="str">
        <f t="shared" si="64"/>
        <v/>
      </c>
      <c r="C1711" s="16" t="str">
        <f>IFERROR(VLOOKUP(DATA!#REF!,DATA!#REF!,1,FALSE),"")</f>
        <v/>
      </c>
      <c r="D1711" s="16" t="str">
        <f>IFERROR(VLOOKUP(C1711,DATA!#REF!,2,FALSE),"")</f>
        <v/>
      </c>
    </row>
    <row r="1712" spans="2:4" s="237" customFormat="1">
      <c r="B1712" s="15" t="str">
        <f t="shared" si="64"/>
        <v/>
      </c>
      <c r="C1712" s="16" t="str">
        <f>IFERROR(VLOOKUP(DATA!#REF!,DATA!#REF!,1,FALSE),"")</f>
        <v/>
      </c>
      <c r="D1712" s="16" t="str">
        <f>IFERROR(VLOOKUP(C1712,DATA!#REF!,2,FALSE),"")</f>
        <v/>
      </c>
    </row>
    <row r="1713" spans="2:4" s="237" customFormat="1">
      <c r="B1713" s="15" t="str">
        <f t="shared" si="64"/>
        <v/>
      </c>
      <c r="C1713" s="16" t="str">
        <f>IFERROR(VLOOKUP(DATA!#REF!,DATA!#REF!,1,FALSE),"")</f>
        <v/>
      </c>
      <c r="D1713" s="16" t="str">
        <f>IFERROR(VLOOKUP(C1713,DATA!#REF!,2,FALSE),"")</f>
        <v/>
      </c>
    </row>
    <row r="1714" spans="2:4" s="237" customFormat="1">
      <c r="B1714" s="15" t="str">
        <f t="shared" si="64"/>
        <v/>
      </c>
      <c r="C1714" s="16" t="str">
        <f>IFERROR(VLOOKUP(DATA!#REF!,DATA!#REF!,1,FALSE),"")</f>
        <v/>
      </c>
      <c r="D1714" s="16" t="str">
        <f>IFERROR(VLOOKUP(C1714,DATA!#REF!,2,FALSE),"")</f>
        <v/>
      </c>
    </row>
    <row r="1715" spans="2:4" s="237" customFormat="1">
      <c r="B1715" s="15" t="str">
        <f t="shared" si="64"/>
        <v/>
      </c>
      <c r="C1715" s="16" t="str">
        <f>IFERROR(VLOOKUP(DATA!#REF!,DATA!#REF!,1,FALSE),"")</f>
        <v/>
      </c>
      <c r="D1715" s="16" t="str">
        <f>IFERROR(VLOOKUP(C1715,DATA!#REF!,2,FALSE),"")</f>
        <v/>
      </c>
    </row>
    <row r="1716" spans="2:4" s="237" customFormat="1">
      <c r="B1716" s="15" t="str">
        <f t="shared" si="64"/>
        <v/>
      </c>
      <c r="C1716" s="16" t="str">
        <f>IFERROR(VLOOKUP(DATA!#REF!,DATA!#REF!,1,FALSE),"")</f>
        <v/>
      </c>
      <c r="D1716" s="16" t="str">
        <f>IFERROR(VLOOKUP(C1716,DATA!#REF!,2,FALSE),"")</f>
        <v/>
      </c>
    </row>
    <row r="1717" spans="2:4" s="237" customFormat="1">
      <c r="B1717" s="15" t="str">
        <f t="shared" si="64"/>
        <v/>
      </c>
      <c r="C1717" s="16" t="str">
        <f>IFERROR(VLOOKUP(DATA!#REF!,DATA!#REF!,1,FALSE),"")</f>
        <v/>
      </c>
      <c r="D1717" s="16" t="str">
        <f>IFERROR(VLOOKUP(C1717,DATA!#REF!,2,FALSE),"")</f>
        <v/>
      </c>
    </row>
    <row r="1718" spans="2:4" s="237" customFormat="1">
      <c r="B1718" s="15" t="str">
        <f t="shared" si="64"/>
        <v/>
      </c>
      <c r="C1718" s="16" t="str">
        <f>IFERROR(VLOOKUP(DATA!#REF!,DATA!#REF!,1,FALSE),"")</f>
        <v/>
      </c>
      <c r="D1718" s="16" t="str">
        <f>IFERROR(VLOOKUP(C1718,DATA!#REF!,2,FALSE),"")</f>
        <v/>
      </c>
    </row>
    <row r="1719" spans="2:4" s="237" customFormat="1">
      <c r="B1719" s="15" t="str">
        <f t="shared" si="64"/>
        <v/>
      </c>
      <c r="C1719" s="16" t="str">
        <f>IFERROR(VLOOKUP(DATA!#REF!,DATA!#REF!,1,FALSE),"")</f>
        <v/>
      </c>
      <c r="D1719" s="16" t="str">
        <f>IFERROR(VLOOKUP(C1719,DATA!#REF!,2,FALSE),"")</f>
        <v/>
      </c>
    </row>
    <row r="1720" spans="2:4" s="237" customFormat="1">
      <c r="B1720" s="15" t="str">
        <f t="shared" si="64"/>
        <v/>
      </c>
      <c r="C1720" s="16" t="str">
        <f>IFERROR(VLOOKUP(DATA!#REF!,DATA!#REF!,1,FALSE),"")</f>
        <v/>
      </c>
      <c r="D1720" s="16" t="str">
        <f>IFERROR(VLOOKUP(C1720,DATA!#REF!,2,FALSE),"")</f>
        <v/>
      </c>
    </row>
    <row r="1721" spans="2:4" s="237" customFormat="1">
      <c r="B1721" s="15" t="str">
        <f t="shared" si="64"/>
        <v/>
      </c>
      <c r="C1721" s="16" t="str">
        <f>IFERROR(VLOOKUP(DATA!#REF!,DATA!#REF!,1,FALSE),"")</f>
        <v/>
      </c>
      <c r="D1721" s="16" t="str">
        <f>IFERROR(VLOOKUP(C1721,DATA!#REF!,2,FALSE),"")</f>
        <v/>
      </c>
    </row>
    <row r="1722" spans="2:4" s="237" customFormat="1">
      <c r="B1722" s="15" t="str">
        <f t="shared" si="64"/>
        <v/>
      </c>
      <c r="C1722" s="16" t="str">
        <f>IFERROR(VLOOKUP(DATA!#REF!,DATA!#REF!,1,FALSE),"")</f>
        <v/>
      </c>
      <c r="D1722" s="16" t="str">
        <f>IFERROR(VLOOKUP(C1722,DATA!#REF!,2,FALSE),"")</f>
        <v/>
      </c>
    </row>
    <row r="1723" spans="2:4" s="237" customFormat="1">
      <c r="B1723" s="15" t="str">
        <f t="shared" si="64"/>
        <v/>
      </c>
      <c r="C1723" s="16" t="str">
        <f>IFERROR(VLOOKUP(DATA!#REF!,DATA!#REF!,1,FALSE),"")</f>
        <v/>
      </c>
      <c r="D1723" s="16" t="str">
        <f>IFERROR(VLOOKUP(C1723,DATA!#REF!,2,FALSE),"")</f>
        <v/>
      </c>
    </row>
    <row r="1724" spans="2:4" s="237" customFormat="1">
      <c r="B1724" s="15" t="str">
        <f t="shared" si="64"/>
        <v/>
      </c>
      <c r="C1724" s="16" t="str">
        <f>IFERROR(VLOOKUP(DATA!#REF!,DATA!#REF!,1,FALSE),"")</f>
        <v/>
      </c>
      <c r="D1724" s="16" t="str">
        <f>IFERROR(VLOOKUP(C1724,DATA!#REF!,2,FALSE),"")</f>
        <v/>
      </c>
    </row>
    <row r="1725" spans="2:4" s="237" customFormat="1">
      <c r="B1725" s="15" t="str">
        <f t="shared" si="64"/>
        <v/>
      </c>
      <c r="C1725" s="16" t="str">
        <f>IFERROR(VLOOKUP(DATA!#REF!,DATA!#REF!,1,FALSE),"")</f>
        <v/>
      </c>
      <c r="D1725" s="16" t="str">
        <f>IFERROR(VLOOKUP(C1725,DATA!#REF!,2,FALSE),"")</f>
        <v/>
      </c>
    </row>
    <row r="1726" spans="2:4" s="237" customFormat="1">
      <c r="B1726" s="15" t="str">
        <f t="shared" si="64"/>
        <v/>
      </c>
      <c r="C1726" s="16" t="str">
        <f>IFERROR(VLOOKUP(DATA!#REF!,DATA!#REF!,1,FALSE),"")</f>
        <v/>
      </c>
      <c r="D1726" s="16" t="str">
        <f>IFERROR(VLOOKUP(C1726,DATA!#REF!,2,FALSE),"")</f>
        <v/>
      </c>
    </row>
    <row r="1727" spans="2:4" s="237" customFormat="1">
      <c r="B1727" s="15" t="str">
        <f t="shared" si="64"/>
        <v/>
      </c>
      <c r="C1727" s="16" t="str">
        <f>IFERROR(VLOOKUP(DATA!#REF!,DATA!#REF!,1,FALSE),"")</f>
        <v/>
      </c>
      <c r="D1727" s="16" t="str">
        <f>IFERROR(VLOOKUP(C1727,DATA!#REF!,2,FALSE),"")</f>
        <v/>
      </c>
    </row>
    <row r="1728" spans="2:4" s="237" customFormat="1">
      <c r="B1728" s="15" t="str">
        <f t="shared" si="64"/>
        <v/>
      </c>
      <c r="C1728" s="16" t="str">
        <f>IFERROR(VLOOKUP(DATA!#REF!,DATA!#REF!,1,FALSE),"")</f>
        <v/>
      </c>
      <c r="D1728" s="16" t="str">
        <f>IFERROR(VLOOKUP(C1728,DATA!#REF!,2,FALSE),"")</f>
        <v/>
      </c>
    </row>
    <row r="1729" spans="2:4" s="237" customFormat="1">
      <c r="B1729" s="15" t="str">
        <f t="shared" si="64"/>
        <v/>
      </c>
      <c r="C1729" s="16" t="str">
        <f>IFERROR(VLOOKUP(DATA!#REF!,DATA!#REF!,1,FALSE),"")</f>
        <v/>
      </c>
      <c r="D1729" s="16" t="str">
        <f>IFERROR(VLOOKUP(C1729,DATA!#REF!,2,FALSE),"")</f>
        <v/>
      </c>
    </row>
    <row r="1730" spans="2:4" s="237" customFormat="1">
      <c r="B1730" s="15" t="str">
        <f t="shared" si="64"/>
        <v/>
      </c>
      <c r="C1730" s="16" t="str">
        <f>IFERROR(VLOOKUP(DATA!#REF!,DATA!#REF!,1,FALSE),"")</f>
        <v/>
      </c>
      <c r="D1730" s="16" t="str">
        <f>IFERROR(VLOOKUP(C1730,DATA!#REF!,2,FALSE),"")</f>
        <v/>
      </c>
    </row>
    <row r="1731" spans="2:4" s="237" customFormat="1">
      <c r="B1731" s="15" t="str">
        <f t="shared" si="64"/>
        <v/>
      </c>
      <c r="C1731" s="16" t="str">
        <f>IFERROR(VLOOKUP(DATA!#REF!,DATA!#REF!,1,FALSE),"")</f>
        <v/>
      </c>
      <c r="D1731" s="16" t="str">
        <f>IFERROR(VLOOKUP(C1731,DATA!#REF!,2,FALSE),"")</f>
        <v/>
      </c>
    </row>
    <row r="1732" spans="2:4" s="237" customFormat="1">
      <c r="B1732" s="15" t="str">
        <f t="shared" si="64"/>
        <v/>
      </c>
      <c r="C1732" s="16" t="str">
        <f>IFERROR(VLOOKUP(DATA!#REF!,DATA!#REF!,1,FALSE),"")</f>
        <v/>
      </c>
      <c r="D1732" s="16" t="str">
        <f>IFERROR(VLOOKUP(C1732,DATA!#REF!,2,FALSE),"")</f>
        <v/>
      </c>
    </row>
    <row r="1733" spans="2:4" s="237" customFormat="1">
      <c r="B1733" s="15" t="str">
        <f t="shared" si="64"/>
        <v/>
      </c>
      <c r="C1733" s="16" t="str">
        <f>IFERROR(VLOOKUP(DATA!#REF!,DATA!#REF!,1,FALSE),"")</f>
        <v/>
      </c>
      <c r="D1733" s="16" t="str">
        <f>IFERROR(VLOOKUP(C1733,DATA!#REF!,2,FALSE),"")</f>
        <v/>
      </c>
    </row>
    <row r="1734" spans="2:4" s="237" customFormat="1">
      <c r="B1734" s="15" t="str">
        <f t="shared" ref="B1734:B1797" si="65">+IF(C1734="","",ROW()-5)</f>
        <v/>
      </c>
      <c r="C1734" s="16" t="str">
        <f>IFERROR(VLOOKUP(DATA!#REF!,DATA!#REF!,1,FALSE),"")</f>
        <v/>
      </c>
      <c r="D1734" s="16" t="str">
        <f>IFERROR(VLOOKUP(C1734,DATA!#REF!,2,FALSE),"")</f>
        <v/>
      </c>
    </row>
    <row r="1735" spans="2:4" s="237" customFormat="1">
      <c r="B1735" s="15" t="str">
        <f t="shared" si="65"/>
        <v/>
      </c>
      <c r="C1735" s="16" t="str">
        <f>IFERROR(VLOOKUP(DATA!#REF!,DATA!#REF!,1,FALSE),"")</f>
        <v/>
      </c>
      <c r="D1735" s="16" t="str">
        <f>IFERROR(VLOOKUP(C1735,DATA!#REF!,2,FALSE),"")</f>
        <v/>
      </c>
    </row>
    <row r="1736" spans="2:4" s="237" customFormat="1">
      <c r="B1736" s="15" t="str">
        <f t="shared" si="65"/>
        <v/>
      </c>
      <c r="C1736" s="16" t="str">
        <f>IFERROR(VLOOKUP(DATA!#REF!,DATA!#REF!,1,FALSE),"")</f>
        <v/>
      </c>
      <c r="D1736" s="16" t="str">
        <f>IFERROR(VLOOKUP(C1736,DATA!#REF!,2,FALSE),"")</f>
        <v/>
      </c>
    </row>
    <row r="1737" spans="2:4" s="237" customFormat="1">
      <c r="B1737" s="15" t="str">
        <f t="shared" si="65"/>
        <v/>
      </c>
      <c r="C1737" s="16" t="str">
        <f>IFERROR(VLOOKUP(DATA!#REF!,DATA!#REF!,1,FALSE),"")</f>
        <v/>
      </c>
      <c r="D1737" s="16" t="str">
        <f>IFERROR(VLOOKUP(C1737,DATA!#REF!,2,FALSE),"")</f>
        <v/>
      </c>
    </row>
    <row r="1738" spans="2:4" s="237" customFormat="1">
      <c r="B1738" s="15" t="str">
        <f t="shared" si="65"/>
        <v/>
      </c>
      <c r="C1738" s="16" t="str">
        <f>IFERROR(VLOOKUP(DATA!#REF!,DATA!#REF!,1,FALSE),"")</f>
        <v/>
      </c>
      <c r="D1738" s="16" t="str">
        <f>IFERROR(VLOOKUP(C1738,DATA!#REF!,2,FALSE),"")</f>
        <v/>
      </c>
    </row>
    <row r="1739" spans="2:4" s="237" customFormat="1">
      <c r="B1739" s="15" t="str">
        <f t="shared" si="65"/>
        <v/>
      </c>
      <c r="C1739" s="16" t="str">
        <f>IFERROR(VLOOKUP(DATA!#REF!,DATA!#REF!,1,FALSE),"")</f>
        <v/>
      </c>
      <c r="D1739" s="16" t="str">
        <f>IFERROR(VLOOKUP(C1739,DATA!#REF!,2,FALSE),"")</f>
        <v/>
      </c>
    </row>
    <row r="1740" spans="2:4" s="237" customFormat="1">
      <c r="B1740" s="15" t="str">
        <f t="shared" si="65"/>
        <v/>
      </c>
      <c r="C1740" s="16" t="str">
        <f>IFERROR(VLOOKUP(DATA!#REF!,DATA!#REF!,1,FALSE),"")</f>
        <v/>
      </c>
      <c r="D1740" s="16" t="str">
        <f>IFERROR(VLOOKUP(C1740,DATA!#REF!,2,FALSE),"")</f>
        <v/>
      </c>
    </row>
    <row r="1741" spans="2:4" s="237" customFormat="1">
      <c r="B1741" s="15" t="str">
        <f t="shared" si="65"/>
        <v/>
      </c>
      <c r="C1741" s="16" t="str">
        <f>IFERROR(VLOOKUP(DATA!#REF!,DATA!#REF!,1,FALSE),"")</f>
        <v/>
      </c>
      <c r="D1741" s="16" t="str">
        <f>IFERROR(VLOOKUP(C1741,DATA!#REF!,2,FALSE),"")</f>
        <v/>
      </c>
    </row>
    <row r="1742" spans="2:4" s="237" customFormat="1">
      <c r="B1742" s="15" t="str">
        <f t="shared" si="65"/>
        <v/>
      </c>
      <c r="C1742" s="16" t="str">
        <f>IFERROR(VLOOKUP(DATA!#REF!,DATA!#REF!,1,FALSE),"")</f>
        <v/>
      </c>
      <c r="D1742" s="16" t="str">
        <f>IFERROR(VLOOKUP(C1742,DATA!#REF!,2,FALSE),"")</f>
        <v/>
      </c>
    </row>
    <row r="1743" spans="2:4" s="237" customFormat="1">
      <c r="B1743" s="15" t="str">
        <f t="shared" si="65"/>
        <v/>
      </c>
      <c r="C1743" s="16" t="str">
        <f>IFERROR(VLOOKUP(DATA!#REF!,DATA!#REF!,1,FALSE),"")</f>
        <v/>
      </c>
      <c r="D1743" s="16" t="str">
        <f>IFERROR(VLOOKUP(C1743,DATA!#REF!,2,FALSE),"")</f>
        <v/>
      </c>
    </row>
    <row r="1744" spans="2:4" s="237" customFormat="1">
      <c r="B1744" s="15" t="str">
        <f t="shared" si="65"/>
        <v/>
      </c>
      <c r="C1744" s="16" t="str">
        <f>IFERROR(VLOOKUP(DATA!#REF!,DATA!#REF!,1,FALSE),"")</f>
        <v/>
      </c>
      <c r="D1744" s="16" t="str">
        <f>IFERROR(VLOOKUP(C1744,DATA!#REF!,2,FALSE),"")</f>
        <v/>
      </c>
    </row>
    <row r="1745" spans="2:4" s="237" customFormat="1">
      <c r="B1745" s="15" t="str">
        <f t="shared" si="65"/>
        <v/>
      </c>
      <c r="C1745" s="16" t="str">
        <f>IFERROR(VLOOKUP(DATA!#REF!,DATA!#REF!,1,FALSE),"")</f>
        <v/>
      </c>
      <c r="D1745" s="16" t="str">
        <f>IFERROR(VLOOKUP(C1745,DATA!#REF!,2,FALSE),"")</f>
        <v/>
      </c>
    </row>
    <row r="1746" spans="2:4" s="237" customFormat="1">
      <c r="B1746" s="15" t="str">
        <f t="shared" si="65"/>
        <v/>
      </c>
      <c r="C1746" s="16" t="str">
        <f>IFERROR(VLOOKUP(DATA!#REF!,DATA!#REF!,1,FALSE),"")</f>
        <v/>
      </c>
      <c r="D1746" s="16" t="str">
        <f>IFERROR(VLOOKUP(C1746,DATA!#REF!,2,FALSE),"")</f>
        <v/>
      </c>
    </row>
    <row r="1747" spans="2:4" s="237" customFormat="1">
      <c r="B1747" s="15" t="str">
        <f t="shared" si="65"/>
        <v/>
      </c>
      <c r="C1747" s="16" t="str">
        <f>IFERROR(VLOOKUP(DATA!#REF!,DATA!#REF!,1,FALSE),"")</f>
        <v/>
      </c>
      <c r="D1747" s="16" t="str">
        <f>IFERROR(VLOOKUP(C1747,DATA!#REF!,2,FALSE),"")</f>
        <v/>
      </c>
    </row>
    <row r="1748" spans="2:4" s="237" customFormat="1">
      <c r="B1748" s="15" t="str">
        <f t="shared" si="65"/>
        <v/>
      </c>
      <c r="C1748" s="16" t="str">
        <f>IFERROR(VLOOKUP(DATA!#REF!,DATA!#REF!,1,FALSE),"")</f>
        <v/>
      </c>
      <c r="D1748" s="16" t="str">
        <f>IFERROR(VLOOKUP(C1748,DATA!#REF!,2,FALSE),"")</f>
        <v/>
      </c>
    </row>
    <row r="1749" spans="2:4" s="237" customFormat="1">
      <c r="B1749" s="15" t="str">
        <f t="shared" si="65"/>
        <v/>
      </c>
      <c r="C1749" s="16" t="str">
        <f>IFERROR(VLOOKUP(DATA!#REF!,DATA!#REF!,1,FALSE),"")</f>
        <v/>
      </c>
      <c r="D1749" s="16" t="str">
        <f>IFERROR(VLOOKUP(C1749,DATA!#REF!,2,FALSE),"")</f>
        <v/>
      </c>
    </row>
    <row r="1750" spans="2:4" s="237" customFormat="1">
      <c r="B1750" s="15" t="str">
        <f t="shared" si="65"/>
        <v/>
      </c>
      <c r="C1750" s="16" t="str">
        <f>IFERROR(VLOOKUP(DATA!#REF!,DATA!#REF!,1,FALSE),"")</f>
        <v/>
      </c>
      <c r="D1750" s="16" t="str">
        <f>IFERROR(VLOOKUP(C1750,DATA!#REF!,2,FALSE),"")</f>
        <v/>
      </c>
    </row>
    <row r="1751" spans="2:4" s="237" customFormat="1">
      <c r="B1751" s="15" t="str">
        <f t="shared" si="65"/>
        <v/>
      </c>
      <c r="C1751" s="16" t="str">
        <f>IFERROR(VLOOKUP(DATA!#REF!,DATA!#REF!,1,FALSE),"")</f>
        <v/>
      </c>
      <c r="D1751" s="16" t="str">
        <f>IFERROR(VLOOKUP(C1751,DATA!#REF!,2,FALSE),"")</f>
        <v/>
      </c>
    </row>
    <row r="1752" spans="2:4" s="237" customFormat="1">
      <c r="B1752" s="15" t="str">
        <f t="shared" si="65"/>
        <v/>
      </c>
      <c r="C1752" s="16" t="str">
        <f>IFERROR(VLOOKUP(DATA!#REF!,DATA!#REF!,1,FALSE),"")</f>
        <v/>
      </c>
      <c r="D1752" s="16" t="str">
        <f>IFERROR(VLOOKUP(C1752,DATA!#REF!,2,FALSE),"")</f>
        <v/>
      </c>
    </row>
    <row r="1753" spans="2:4" s="237" customFormat="1">
      <c r="B1753" s="15" t="str">
        <f t="shared" si="65"/>
        <v/>
      </c>
      <c r="C1753" s="16" t="str">
        <f>IFERROR(VLOOKUP(DATA!#REF!,DATA!#REF!,1,FALSE),"")</f>
        <v/>
      </c>
      <c r="D1753" s="16" t="str">
        <f>IFERROR(VLOOKUP(C1753,DATA!#REF!,2,FALSE),"")</f>
        <v/>
      </c>
    </row>
    <row r="1754" spans="2:4" s="237" customFormat="1">
      <c r="B1754" s="15" t="str">
        <f t="shared" si="65"/>
        <v/>
      </c>
      <c r="C1754" s="16" t="str">
        <f>IFERROR(VLOOKUP(DATA!#REF!,DATA!#REF!,1,FALSE),"")</f>
        <v/>
      </c>
      <c r="D1754" s="16" t="str">
        <f>IFERROR(VLOOKUP(C1754,DATA!#REF!,2,FALSE),"")</f>
        <v/>
      </c>
    </row>
    <row r="1755" spans="2:4" s="237" customFormat="1">
      <c r="B1755" s="15" t="str">
        <f t="shared" si="65"/>
        <v/>
      </c>
      <c r="C1755" s="16" t="str">
        <f>IFERROR(VLOOKUP(DATA!#REF!,DATA!#REF!,1,FALSE),"")</f>
        <v/>
      </c>
      <c r="D1755" s="16" t="str">
        <f>IFERROR(VLOOKUP(C1755,DATA!#REF!,2,FALSE),"")</f>
        <v/>
      </c>
    </row>
    <row r="1756" spans="2:4" s="237" customFormat="1">
      <c r="B1756" s="15" t="str">
        <f t="shared" si="65"/>
        <v/>
      </c>
      <c r="C1756" s="16" t="str">
        <f>IFERROR(VLOOKUP(DATA!#REF!,DATA!#REF!,1,FALSE),"")</f>
        <v/>
      </c>
      <c r="D1756" s="16" t="str">
        <f>IFERROR(VLOOKUP(C1756,DATA!#REF!,2,FALSE),"")</f>
        <v/>
      </c>
    </row>
    <row r="1757" spans="2:4" s="237" customFormat="1">
      <c r="B1757" s="15" t="str">
        <f t="shared" si="65"/>
        <v/>
      </c>
      <c r="C1757" s="16" t="str">
        <f>IFERROR(VLOOKUP(DATA!#REF!,DATA!#REF!,1,FALSE),"")</f>
        <v/>
      </c>
      <c r="D1757" s="16" t="str">
        <f>IFERROR(VLOOKUP(C1757,DATA!#REF!,2,FALSE),"")</f>
        <v/>
      </c>
    </row>
    <row r="1758" spans="2:4" s="237" customFormat="1">
      <c r="B1758" s="15" t="str">
        <f t="shared" si="65"/>
        <v/>
      </c>
      <c r="C1758" s="16" t="str">
        <f>IFERROR(VLOOKUP(DATA!#REF!,DATA!#REF!,1,FALSE),"")</f>
        <v/>
      </c>
      <c r="D1758" s="16" t="str">
        <f>IFERROR(VLOOKUP(C1758,DATA!#REF!,2,FALSE),"")</f>
        <v/>
      </c>
    </row>
    <row r="1759" spans="2:4" s="237" customFormat="1">
      <c r="B1759" s="15" t="str">
        <f t="shared" si="65"/>
        <v/>
      </c>
      <c r="C1759" s="16" t="str">
        <f>IFERROR(VLOOKUP(DATA!#REF!,DATA!#REF!,1,FALSE),"")</f>
        <v/>
      </c>
      <c r="D1759" s="16" t="str">
        <f>IFERROR(VLOOKUP(C1759,DATA!#REF!,2,FALSE),"")</f>
        <v/>
      </c>
    </row>
    <row r="1760" spans="2:4" s="237" customFormat="1">
      <c r="B1760" s="15" t="str">
        <f t="shared" si="65"/>
        <v/>
      </c>
      <c r="C1760" s="16" t="str">
        <f>IFERROR(VLOOKUP(DATA!#REF!,DATA!#REF!,1,FALSE),"")</f>
        <v/>
      </c>
      <c r="D1760" s="16" t="str">
        <f>IFERROR(VLOOKUP(C1760,DATA!#REF!,2,FALSE),"")</f>
        <v/>
      </c>
    </row>
    <row r="1761" spans="2:4" s="237" customFormat="1">
      <c r="B1761" s="15" t="str">
        <f t="shared" si="65"/>
        <v/>
      </c>
      <c r="C1761" s="16" t="str">
        <f>IFERROR(VLOOKUP(DATA!#REF!,DATA!#REF!,1,FALSE),"")</f>
        <v/>
      </c>
      <c r="D1761" s="16" t="str">
        <f>IFERROR(VLOOKUP(C1761,DATA!#REF!,2,FALSE),"")</f>
        <v/>
      </c>
    </row>
    <row r="1762" spans="2:4" s="237" customFormat="1">
      <c r="B1762" s="15" t="str">
        <f t="shared" si="65"/>
        <v/>
      </c>
      <c r="C1762" s="16" t="str">
        <f>IFERROR(VLOOKUP(DATA!#REF!,DATA!#REF!,1,FALSE),"")</f>
        <v/>
      </c>
      <c r="D1762" s="16" t="str">
        <f>IFERROR(VLOOKUP(C1762,DATA!#REF!,2,FALSE),"")</f>
        <v/>
      </c>
    </row>
    <row r="1763" spans="2:4" s="237" customFormat="1">
      <c r="B1763" s="15" t="str">
        <f t="shared" si="65"/>
        <v/>
      </c>
      <c r="C1763" s="16" t="str">
        <f>IFERROR(VLOOKUP(DATA!#REF!,DATA!#REF!,1,FALSE),"")</f>
        <v/>
      </c>
      <c r="D1763" s="16" t="str">
        <f>IFERROR(VLOOKUP(C1763,DATA!#REF!,2,FALSE),"")</f>
        <v/>
      </c>
    </row>
    <row r="1764" spans="2:4" s="237" customFormat="1">
      <c r="B1764" s="15" t="str">
        <f t="shared" si="65"/>
        <v/>
      </c>
      <c r="C1764" s="16" t="str">
        <f>IFERROR(VLOOKUP(DATA!#REF!,DATA!#REF!,1,FALSE),"")</f>
        <v/>
      </c>
      <c r="D1764" s="16" t="str">
        <f>IFERROR(VLOOKUP(C1764,DATA!#REF!,2,FALSE),"")</f>
        <v/>
      </c>
    </row>
    <row r="1765" spans="2:4" s="237" customFormat="1">
      <c r="B1765" s="15" t="str">
        <f t="shared" si="65"/>
        <v/>
      </c>
      <c r="C1765" s="16" t="str">
        <f>IFERROR(VLOOKUP(DATA!#REF!,DATA!#REF!,1,FALSE),"")</f>
        <v/>
      </c>
      <c r="D1765" s="16" t="str">
        <f>IFERROR(VLOOKUP(C1765,DATA!#REF!,2,FALSE),"")</f>
        <v/>
      </c>
    </row>
    <row r="1766" spans="2:4" s="237" customFormat="1">
      <c r="B1766" s="15" t="str">
        <f t="shared" si="65"/>
        <v/>
      </c>
      <c r="C1766" s="16" t="str">
        <f>IFERROR(VLOOKUP(DATA!#REF!,DATA!#REF!,1,FALSE),"")</f>
        <v/>
      </c>
      <c r="D1766" s="16" t="str">
        <f>IFERROR(VLOOKUP(C1766,DATA!#REF!,2,FALSE),"")</f>
        <v/>
      </c>
    </row>
    <row r="1767" spans="2:4" s="237" customFormat="1">
      <c r="B1767" s="15" t="str">
        <f t="shared" si="65"/>
        <v/>
      </c>
      <c r="C1767" s="16" t="str">
        <f>IFERROR(VLOOKUP(DATA!#REF!,DATA!#REF!,1,FALSE),"")</f>
        <v/>
      </c>
      <c r="D1767" s="16" t="str">
        <f>IFERROR(VLOOKUP(C1767,DATA!#REF!,2,FALSE),"")</f>
        <v/>
      </c>
    </row>
    <row r="1768" spans="2:4" s="237" customFormat="1">
      <c r="B1768" s="15" t="str">
        <f t="shared" si="65"/>
        <v/>
      </c>
      <c r="C1768" s="16" t="str">
        <f>IFERROR(VLOOKUP(DATA!#REF!,DATA!#REF!,1,FALSE),"")</f>
        <v/>
      </c>
      <c r="D1768" s="16" t="str">
        <f>IFERROR(VLOOKUP(C1768,DATA!#REF!,2,FALSE),"")</f>
        <v/>
      </c>
    </row>
    <row r="1769" spans="2:4" s="237" customFormat="1">
      <c r="B1769" s="15" t="str">
        <f t="shared" si="65"/>
        <v/>
      </c>
      <c r="C1769" s="16" t="str">
        <f>IFERROR(VLOOKUP(DATA!#REF!,DATA!#REF!,1,FALSE),"")</f>
        <v/>
      </c>
      <c r="D1769" s="16" t="str">
        <f>IFERROR(VLOOKUP(C1769,DATA!#REF!,2,FALSE),"")</f>
        <v/>
      </c>
    </row>
    <row r="1770" spans="2:4" s="237" customFormat="1">
      <c r="B1770" s="15" t="str">
        <f t="shared" si="65"/>
        <v/>
      </c>
      <c r="C1770" s="16" t="str">
        <f>IFERROR(VLOOKUP(DATA!#REF!,DATA!#REF!,1,FALSE),"")</f>
        <v/>
      </c>
      <c r="D1770" s="16" t="str">
        <f>IFERROR(VLOOKUP(C1770,DATA!#REF!,2,FALSE),"")</f>
        <v/>
      </c>
    </row>
    <row r="1771" spans="2:4" s="237" customFormat="1">
      <c r="B1771" s="15" t="str">
        <f t="shared" si="65"/>
        <v/>
      </c>
      <c r="C1771" s="16" t="str">
        <f>IFERROR(VLOOKUP(DATA!#REF!,DATA!#REF!,1,FALSE),"")</f>
        <v/>
      </c>
      <c r="D1771" s="16" t="str">
        <f>IFERROR(VLOOKUP(C1771,DATA!#REF!,2,FALSE),"")</f>
        <v/>
      </c>
    </row>
    <row r="1772" spans="2:4" s="237" customFormat="1">
      <c r="B1772" s="15" t="str">
        <f t="shared" si="65"/>
        <v/>
      </c>
      <c r="C1772" s="16" t="str">
        <f>IFERROR(VLOOKUP(DATA!#REF!,DATA!#REF!,1,FALSE),"")</f>
        <v/>
      </c>
      <c r="D1772" s="16" t="str">
        <f>IFERROR(VLOOKUP(C1772,DATA!#REF!,2,FALSE),"")</f>
        <v/>
      </c>
    </row>
    <row r="1773" spans="2:4" s="237" customFormat="1">
      <c r="B1773" s="15" t="str">
        <f t="shared" si="65"/>
        <v/>
      </c>
      <c r="C1773" s="16" t="str">
        <f>IFERROR(VLOOKUP(DATA!#REF!,DATA!#REF!,1,FALSE),"")</f>
        <v/>
      </c>
      <c r="D1773" s="16" t="str">
        <f>IFERROR(VLOOKUP(C1773,DATA!#REF!,2,FALSE),"")</f>
        <v/>
      </c>
    </row>
    <row r="1774" spans="2:4" s="237" customFormat="1">
      <c r="B1774" s="15" t="str">
        <f t="shared" si="65"/>
        <v/>
      </c>
      <c r="C1774" s="16" t="str">
        <f>IFERROR(VLOOKUP(DATA!#REF!,DATA!#REF!,1,FALSE),"")</f>
        <v/>
      </c>
      <c r="D1774" s="16" t="str">
        <f>IFERROR(VLOOKUP(C1774,DATA!#REF!,2,FALSE),"")</f>
        <v/>
      </c>
    </row>
    <row r="1775" spans="2:4" s="237" customFormat="1">
      <c r="B1775" s="15" t="str">
        <f t="shared" si="65"/>
        <v/>
      </c>
      <c r="C1775" s="16" t="str">
        <f>IFERROR(VLOOKUP(DATA!#REF!,DATA!#REF!,1,FALSE),"")</f>
        <v/>
      </c>
      <c r="D1775" s="16" t="str">
        <f>IFERROR(VLOOKUP(C1775,DATA!#REF!,2,FALSE),"")</f>
        <v/>
      </c>
    </row>
    <row r="1776" spans="2:4" s="237" customFormat="1">
      <c r="B1776" s="15" t="str">
        <f t="shared" si="65"/>
        <v/>
      </c>
      <c r="C1776" s="16" t="str">
        <f>IFERROR(VLOOKUP(DATA!#REF!,DATA!#REF!,1,FALSE),"")</f>
        <v/>
      </c>
      <c r="D1776" s="16" t="str">
        <f>IFERROR(VLOOKUP(C1776,DATA!#REF!,2,FALSE),"")</f>
        <v/>
      </c>
    </row>
    <row r="1777" spans="2:4" s="237" customFormat="1">
      <c r="B1777" s="15" t="str">
        <f t="shared" si="65"/>
        <v/>
      </c>
      <c r="C1777" s="16" t="str">
        <f>IFERROR(VLOOKUP(DATA!#REF!,DATA!#REF!,1,FALSE),"")</f>
        <v/>
      </c>
      <c r="D1777" s="16" t="str">
        <f>IFERROR(VLOOKUP(C1777,DATA!#REF!,2,FALSE),"")</f>
        <v/>
      </c>
    </row>
    <row r="1778" spans="2:4" s="237" customFormat="1">
      <c r="B1778" s="15" t="str">
        <f t="shared" si="65"/>
        <v/>
      </c>
      <c r="C1778" s="16" t="str">
        <f>IFERROR(VLOOKUP(DATA!#REF!,DATA!#REF!,1,FALSE),"")</f>
        <v/>
      </c>
      <c r="D1778" s="16" t="str">
        <f>IFERROR(VLOOKUP(C1778,DATA!#REF!,2,FALSE),"")</f>
        <v/>
      </c>
    </row>
    <row r="1779" spans="2:4" s="237" customFormat="1">
      <c r="B1779" s="15" t="str">
        <f t="shared" si="65"/>
        <v/>
      </c>
      <c r="C1779" s="16" t="str">
        <f>IFERROR(VLOOKUP(DATA!#REF!,DATA!#REF!,1,FALSE),"")</f>
        <v/>
      </c>
      <c r="D1779" s="16" t="str">
        <f>IFERROR(VLOOKUP(C1779,DATA!#REF!,2,FALSE),"")</f>
        <v/>
      </c>
    </row>
    <row r="1780" spans="2:4" s="237" customFormat="1">
      <c r="B1780" s="15" t="str">
        <f t="shared" si="65"/>
        <v/>
      </c>
      <c r="C1780" s="16" t="str">
        <f>IFERROR(VLOOKUP(DATA!#REF!,DATA!#REF!,1,FALSE),"")</f>
        <v/>
      </c>
      <c r="D1780" s="16" t="str">
        <f>IFERROR(VLOOKUP(C1780,DATA!#REF!,2,FALSE),"")</f>
        <v/>
      </c>
    </row>
    <row r="1781" spans="2:4" s="237" customFormat="1">
      <c r="B1781" s="15" t="str">
        <f t="shared" si="65"/>
        <v/>
      </c>
      <c r="C1781" s="16" t="str">
        <f>IFERROR(VLOOKUP(DATA!#REF!,DATA!#REF!,1,FALSE),"")</f>
        <v/>
      </c>
      <c r="D1781" s="16" t="str">
        <f>IFERROR(VLOOKUP(C1781,DATA!#REF!,2,FALSE),"")</f>
        <v/>
      </c>
    </row>
    <row r="1782" spans="2:4" s="237" customFormat="1">
      <c r="B1782" s="15" t="str">
        <f t="shared" si="65"/>
        <v/>
      </c>
      <c r="C1782" s="16" t="str">
        <f>IFERROR(VLOOKUP(DATA!#REF!,DATA!#REF!,1,FALSE),"")</f>
        <v/>
      </c>
      <c r="D1782" s="16" t="str">
        <f>IFERROR(VLOOKUP(C1782,DATA!#REF!,2,FALSE),"")</f>
        <v/>
      </c>
    </row>
    <row r="1783" spans="2:4" s="237" customFormat="1">
      <c r="B1783" s="15" t="str">
        <f t="shared" si="65"/>
        <v/>
      </c>
      <c r="C1783" s="16" t="str">
        <f>IFERROR(VLOOKUP(DATA!#REF!,DATA!#REF!,1,FALSE),"")</f>
        <v/>
      </c>
      <c r="D1783" s="16" t="str">
        <f>IFERROR(VLOOKUP(C1783,DATA!#REF!,2,FALSE),"")</f>
        <v/>
      </c>
    </row>
    <row r="1784" spans="2:4" s="237" customFormat="1">
      <c r="B1784" s="15" t="str">
        <f t="shared" si="65"/>
        <v/>
      </c>
      <c r="C1784" s="16" t="str">
        <f>IFERROR(VLOOKUP(DATA!#REF!,DATA!#REF!,1,FALSE),"")</f>
        <v/>
      </c>
      <c r="D1784" s="16" t="str">
        <f>IFERROR(VLOOKUP(C1784,DATA!#REF!,2,FALSE),"")</f>
        <v/>
      </c>
    </row>
    <row r="1785" spans="2:4" s="237" customFormat="1">
      <c r="B1785" s="15" t="str">
        <f t="shared" si="65"/>
        <v/>
      </c>
      <c r="C1785" s="16" t="str">
        <f>IFERROR(VLOOKUP(DATA!#REF!,DATA!#REF!,1,FALSE),"")</f>
        <v/>
      </c>
      <c r="D1785" s="16" t="str">
        <f>IFERROR(VLOOKUP(C1785,DATA!#REF!,2,FALSE),"")</f>
        <v/>
      </c>
    </row>
    <row r="1786" spans="2:4" s="237" customFormat="1">
      <c r="B1786" s="15" t="str">
        <f t="shared" si="65"/>
        <v/>
      </c>
      <c r="C1786" s="16" t="str">
        <f>IFERROR(VLOOKUP(DATA!#REF!,DATA!#REF!,1,FALSE),"")</f>
        <v/>
      </c>
      <c r="D1786" s="16" t="str">
        <f>IFERROR(VLOOKUP(C1786,DATA!#REF!,2,FALSE),"")</f>
        <v/>
      </c>
    </row>
    <row r="1787" spans="2:4" s="237" customFormat="1">
      <c r="B1787" s="15" t="str">
        <f t="shared" si="65"/>
        <v/>
      </c>
      <c r="C1787" s="16" t="str">
        <f>IFERROR(VLOOKUP(DATA!#REF!,DATA!#REF!,1,FALSE),"")</f>
        <v/>
      </c>
      <c r="D1787" s="16" t="str">
        <f>IFERROR(VLOOKUP(C1787,DATA!#REF!,2,FALSE),"")</f>
        <v/>
      </c>
    </row>
    <row r="1788" spans="2:4" s="237" customFormat="1">
      <c r="B1788" s="15" t="str">
        <f t="shared" si="65"/>
        <v/>
      </c>
      <c r="C1788" s="16" t="str">
        <f>IFERROR(VLOOKUP(DATA!#REF!,DATA!#REF!,1,FALSE),"")</f>
        <v/>
      </c>
      <c r="D1788" s="16" t="str">
        <f>IFERROR(VLOOKUP(C1788,DATA!#REF!,2,FALSE),"")</f>
        <v/>
      </c>
    </row>
    <row r="1789" spans="2:4" s="237" customFormat="1">
      <c r="B1789" s="15" t="str">
        <f t="shared" si="65"/>
        <v/>
      </c>
      <c r="C1789" s="16" t="str">
        <f>IFERROR(VLOOKUP(DATA!#REF!,DATA!#REF!,1,FALSE),"")</f>
        <v/>
      </c>
      <c r="D1789" s="16" t="str">
        <f>IFERROR(VLOOKUP(C1789,DATA!#REF!,2,FALSE),"")</f>
        <v/>
      </c>
    </row>
    <row r="1790" spans="2:4" s="237" customFormat="1">
      <c r="B1790" s="15" t="str">
        <f t="shared" si="65"/>
        <v/>
      </c>
      <c r="C1790" s="16" t="str">
        <f>IFERROR(VLOOKUP(DATA!#REF!,DATA!#REF!,1,FALSE),"")</f>
        <v/>
      </c>
      <c r="D1790" s="16" t="str">
        <f>IFERROR(VLOOKUP(C1790,DATA!#REF!,2,FALSE),"")</f>
        <v/>
      </c>
    </row>
    <row r="1791" spans="2:4" s="237" customFormat="1">
      <c r="B1791" s="15" t="str">
        <f t="shared" si="65"/>
        <v/>
      </c>
      <c r="C1791" s="16" t="str">
        <f>IFERROR(VLOOKUP(DATA!#REF!,DATA!#REF!,1,FALSE),"")</f>
        <v/>
      </c>
      <c r="D1791" s="16" t="str">
        <f>IFERROR(VLOOKUP(C1791,DATA!#REF!,2,FALSE),"")</f>
        <v/>
      </c>
    </row>
    <row r="1792" spans="2:4" s="237" customFormat="1">
      <c r="B1792" s="15" t="str">
        <f t="shared" si="65"/>
        <v/>
      </c>
      <c r="C1792" s="16" t="str">
        <f>IFERROR(VLOOKUP(DATA!#REF!,DATA!#REF!,1,FALSE),"")</f>
        <v/>
      </c>
      <c r="D1792" s="16" t="str">
        <f>IFERROR(VLOOKUP(C1792,DATA!#REF!,2,FALSE),"")</f>
        <v/>
      </c>
    </row>
    <row r="1793" spans="2:4" s="237" customFormat="1">
      <c r="B1793" s="15" t="str">
        <f t="shared" si="65"/>
        <v/>
      </c>
      <c r="C1793" s="16" t="str">
        <f>IFERROR(VLOOKUP(DATA!#REF!,DATA!#REF!,1,FALSE),"")</f>
        <v/>
      </c>
      <c r="D1793" s="16" t="str">
        <f>IFERROR(VLOOKUP(C1793,DATA!#REF!,2,FALSE),"")</f>
        <v/>
      </c>
    </row>
    <row r="1794" spans="2:4" s="237" customFormat="1">
      <c r="B1794" s="15" t="str">
        <f t="shared" si="65"/>
        <v/>
      </c>
      <c r="C1794" s="16" t="str">
        <f>IFERROR(VLOOKUP(DATA!#REF!,DATA!#REF!,1,FALSE),"")</f>
        <v/>
      </c>
      <c r="D1794" s="16" t="str">
        <f>IFERROR(VLOOKUP(C1794,DATA!#REF!,2,FALSE),"")</f>
        <v/>
      </c>
    </row>
    <row r="1795" spans="2:4" s="237" customFormat="1">
      <c r="B1795" s="15" t="str">
        <f t="shared" si="65"/>
        <v/>
      </c>
      <c r="C1795" s="16" t="str">
        <f>IFERROR(VLOOKUP(DATA!#REF!,DATA!#REF!,1,FALSE),"")</f>
        <v/>
      </c>
      <c r="D1795" s="16" t="str">
        <f>IFERROR(VLOOKUP(C1795,DATA!#REF!,2,FALSE),"")</f>
        <v/>
      </c>
    </row>
    <row r="1796" spans="2:4" s="237" customFormat="1">
      <c r="B1796" s="15" t="str">
        <f t="shared" si="65"/>
        <v/>
      </c>
      <c r="C1796" s="16" t="str">
        <f>IFERROR(VLOOKUP(DATA!#REF!,DATA!#REF!,1,FALSE),"")</f>
        <v/>
      </c>
      <c r="D1796" s="16" t="str">
        <f>IFERROR(VLOOKUP(C1796,DATA!#REF!,2,FALSE),"")</f>
        <v/>
      </c>
    </row>
    <row r="1797" spans="2:4" s="237" customFormat="1">
      <c r="B1797" s="15" t="str">
        <f t="shared" si="65"/>
        <v/>
      </c>
      <c r="C1797" s="16" t="str">
        <f>IFERROR(VLOOKUP(DATA!#REF!,DATA!#REF!,1,FALSE),"")</f>
        <v/>
      </c>
      <c r="D1797" s="16" t="str">
        <f>IFERROR(VLOOKUP(C1797,DATA!#REF!,2,FALSE),"")</f>
        <v/>
      </c>
    </row>
    <row r="1798" spans="2:4" s="237" customFormat="1">
      <c r="B1798" s="15" t="str">
        <f t="shared" ref="B1798:B1861" si="66">+IF(C1798="","",ROW()-5)</f>
        <v/>
      </c>
      <c r="C1798" s="16" t="str">
        <f>IFERROR(VLOOKUP(DATA!#REF!,DATA!#REF!,1,FALSE),"")</f>
        <v/>
      </c>
      <c r="D1798" s="16" t="str">
        <f>IFERROR(VLOOKUP(C1798,DATA!#REF!,2,FALSE),"")</f>
        <v/>
      </c>
    </row>
    <row r="1799" spans="2:4" s="237" customFormat="1">
      <c r="B1799" s="15" t="str">
        <f t="shared" si="66"/>
        <v/>
      </c>
      <c r="C1799" s="16" t="str">
        <f>IFERROR(VLOOKUP(DATA!#REF!,DATA!#REF!,1,FALSE),"")</f>
        <v/>
      </c>
      <c r="D1799" s="16" t="str">
        <f>IFERROR(VLOOKUP(C1799,DATA!#REF!,2,FALSE),"")</f>
        <v/>
      </c>
    </row>
    <row r="1800" spans="2:4" s="237" customFormat="1">
      <c r="B1800" s="15" t="str">
        <f t="shared" si="66"/>
        <v/>
      </c>
      <c r="C1800" s="16" t="str">
        <f>IFERROR(VLOOKUP(DATA!#REF!,DATA!#REF!,1,FALSE),"")</f>
        <v/>
      </c>
      <c r="D1800" s="16" t="str">
        <f>IFERROR(VLOOKUP(C1800,DATA!#REF!,2,FALSE),"")</f>
        <v/>
      </c>
    </row>
    <row r="1801" spans="2:4" s="237" customFormat="1">
      <c r="B1801" s="15" t="str">
        <f t="shared" si="66"/>
        <v/>
      </c>
      <c r="C1801" s="16" t="str">
        <f>IFERROR(VLOOKUP(DATA!#REF!,DATA!#REF!,1,FALSE),"")</f>
        <v/>
      </c>
      <c r="D1801" s="16" t="str">
        <f>IFERROR(VLOOKUP(C1801,DATA!#REF!,2,FALSE),"")</f>
        <v/>
      </c>
    </row>
    <row r="1802" spans="2:4" s="237" customFormat="1">
      <c r="B1802" s="15" t="str">
        <f t="shared" si="66"/>
        <v/>
      </c>
      <c r="C1802" s="16" t="str">
        <f>IFERROR(VLOOKUP(DATA!#REF!,DATA!#REF!,1,FALSE),"")</f>
        <v/>
      </c>
      <c r="D1802" s="16" t="str">
        <f>IFERROR(VLOOKUP(C1802,DATA!#REF!,2,FALSE),"")</f>
        <v/>
      </c>
    </row>
    <row r="1803" spans="2:4" s="237" customFormat="1">
      <c r="B1803" s="15" t="str">
        <f t="shared" si="66"/>
        <v/>
      </c>
      <c r="C1803" s="16" t="str">
        <f>IFERROR(VLOOKUP(DATA!#REF!,DATA!#REF!,1,FALSE),"")</f>
        <v/>
      </c>
      <c r="D1803" s="16" t="str">
        <f>IFERROR(VLOOKUP(C1803,DATA!#REF!,2,FALSE),"")</f>
        <v/>
      </c>
    </row>
    <row r="1804" spans="2:4" s="237" customFormat="1">
      <c r="B1804" s="15" t="str">
        <f t="shared" si="66"/>
        <v/>
      </c>
      <c r="C1804" s="16" t="str">
        <f>IFERROR(VLOOKUP(DATA!#REF!,DATA!#REF!,1,FALSE),"")</f>
        <v/>
      </c>
      <c r="D1804" s="16" t="str">
        <f>IFERROR(VLOOKUP(C1804,DATA!#REF!,2,FALSE),"")</f>
        <v/>
      </c>
    </row>
    <row r="1805" spans="2:4" s="237" customFormat="1">
      <c r="B1805" s="15" t="str">
        <f t="shared" si="66"/>
        <v/>
      </c>
      <c r="C1805" s="16" t="str">
        <f>IFERROR(VLOOKUP(DATA!#REF!,DATA!#REF!,1,FALSE),"")</f>
        <v/>
      </c>
      <c r="D1805" s="16" t="str">
        <f>IFERROR(VLOOKUP(C1805,DATA!#REF!,2,FALSE),"")</f>
        <v/>
      </c>
    </row>
    <row r="1806" spans="2:4" s="237" customFormat="1">
      <c r="B1806" s="15" t="str">
        <f t="shared" si="66"/>
        <v/>
      </c>
      <c r="C1806" s="16" t="str">
        <f>IFERROR(VLOOKUP(DATA!#REF!,DATA!#REF!,1,FALSE),"")</f>
        <v/>
      </c>
      <c r="D1806" s="16" t="str">
        <f>IFERROR(VLOOKUP(C1806,DATA!#REF!,2,FALSE),"")</f>
        <v/>
      </c>
    </row>
    <row r="1807" spans="2:4" s="237" customFormat="1">
      <c r="B1807" s="15" t="str">
        <f t="shared" si="66"/>
        <v/>
      </c>
      <c r="C1807" s="16" t="str">
        <f>IFERROR(VLOOKUP(DATA!#REF!,DATA!#REF!,1,FALSE),"")</f>
        <v/>
      </c>
      <c r="D1807" s="16" t="str">
        <f>IFERROR(VLOOKUP(C1807,DATA!#REF!,2,FALSE),"")</f>
        <v/>
      </c>
    </row>
    <row r="1808" spans="2:4" s="237" customFormat="1">
      <c r="B1808" s="15" t="str">
        <f t="shared" si="66"/>
        <v/>
      </c>
      <c r="C1808" s="16" t="str">
        <f>IFERROR(VLOOKUP(DATA!#REF!,DATA!#REF!,1,FALSE),"")</f>
        <v/>
      </c>
      <c r="D1808" s="16" t="str">
        <f>IFERROR(VLOOKUP(C1808,DATA!#REF!,2,FALSE),"")</f>
        <v/>
      </c>
    </row>
    <row r="1809" spans="2:4" s="237" customFormat="1">
      <c r="B1809" s="15" t="str">
        <f t="shared" si="66"/>
        <v/>
      </c>
      <c r="C1809" s="16" t="str">
        <f>IFERROR(VLOOKUP(DATA!#REF!,DATA!#REF!,1,FALSE),"")</f>
        <v/>
      </c>
      <c r="D1809" s="16" t="str">
        <f>IFERROR(VLOOKUP(C1809,DATA!#REF!,2,FALSE),"")</f>
        <v/>
      </c>
    </row>
    <row r="1810" spans="2:4" s="237" customFormat="1">
      <c r="B1810" s="15" t="str">
        <f t="shared" si="66"/>
        <v/>
      </c>
      <c r="C1810" s="16" t="str">
        <f>IFERROR(VLOOKUP(DATA!#REF!,DATA!#REF!,1,FALSE),"")</f>
        <v/>
      </c>
      <c r="D1810" s="16" t="str">
        <f>IFERROR(VLOOKUP(C1810,DATA!#REF!,2,FALSE),"")</f>
        <v/>
      </c>
    </row>
    <row r="1811" spans="2:4" s="237" customFormat="1">
      <c r="B1811" s="15" t="str">
        <f t="shared" si="66"/>
        <v/>
      </c>
      <c r="C1811" s="16" t="str">
        <f>IFERROR(VLOOKUP(DATA!#REF!,DATA!#REF!,1,FALSE),"")</f>
        <v/>
      </c>
      <c r="D1811" s="16" t="str">
        <f>IFERROR(VLOOKUP(C1811,DATA!#REF!,2,FALSE),"")</f>
        <v/>
      </c>
    </row>
    <row r="1812" spans="2:4" s="237" customFormat="1">
      <c r="B1812" s="15" t="str">
        <f t="shared" si="66"/>
        <v/>
      </c>
      <c r="C1812" s="16" t="str">
        <f>IFERROR(VLOOKUP(DATA!#REF!,DATA!#REF!,1,FALSE),"")</f>
        <v/>
      </c>
      <c r="D1812" s="16" t="str">
        <f>IFERROR(VLOOKUP(C1812,DATA!#REF!,2,FALSE),"")</f>
        <v/>
      </c>
    </row>
    <row r="1813" spans="2:4" s="237" customFormat="1">
      <c r="B1813" s="15" t="str">
        <f t="shared" si="66"/>
        <v/>
      </c>
      <c r="C1813" s="16" t="str">
        <f>IFERROR(VLOOKUP(DATA!#REF!,DATA!#REF!,1,FALSE),"")</f>
        <v/>
      </c>
      <c r="D1813" s="16" t="str">
        <f>IFERROR(VLOOKUP(C1813,DATA!#REF!,2,FALSE),"")</f>
        <v/>
      </c>
    </row>
    <row r="1814" spans="2:4" s="237" customFormat="1">
      <c r="B1814" s="15" t="str">
        <f t="shared" si="66"/>
        <v/>
      </c>
      <c r="C1814" s="16" t="str">
        <f>IFERROR(VLOOKUP(DATA!#REF!,DATA!#REF!,1,FALSE),"")</f>
        <v/>
      </c>
      <c r="D1814" s="16" t="str">
        <f>IFERROR(VLOOKUP(C1814,DATA!#REF!,2,FALSE),"")</f>
        <v/>
      </c>
    </row>
    <row r="1815" spans="2:4" s="237" customFormat="1">
      <c r="B1815" s="15" t="str">
        <f t="shared" si="66"/>
        <v/>
      </c>
      <c r="C1815" s="16" t="str">
        <f>IFERROR(VLOOKUP(DATA!#REF!,DATA!#REF!,1,FALSE),"")</f>
        <v/>
      </c>
      <c r="D1815" s="16" t="str">
        <f>IFERROR(VLOOKUP(C1815,DATA!#REF!,2,FALSE),"")</f>
        <v/>
      </c>
    </row>
    <row r="1816" spans="2:4" s="237" customFormat="1">
      <c r="B1816" s="15" t="str">
        <f t="shared" si="66"/>
        <v/>
      </c>
      <c r="C1816" s="16" t="str">
        <f>IFERROR(VLOOKUP(DATA!#REF!,DATA!#REF!,1,FALSE),"")</f>
        <v/>
      </c>
      <c r="D1816" s="16" t="str">
        <f>IFERROR(VLOOKUP(C1816,DATA!#REF!,2,FALSE),"")</f>
        <v/>
      </c>
    </row>
    <row r="1817" spans="2:4" s="237" customFormat="1">
      <c r="B1817" s="15" t="str">
        <f t="shared" si="66"/>
        <v/>
      </c>
      <c r="C1817" s="16" t="str">
        <f>IFERROR(VLOOKUP(DATA!#REF!,DATA!#REF!,1,FALSE),"")</f>
        <v/>
      </c>
      <c r="D1817" s="16" t="str">
        <f>IFERROR(VLOOKUP(C1817,DATA!#REF!,2,FALSE),"")</f>
        <v/>
      </c>
    </row>
    <row r="1818" spans="2:4" s="237" customFormat="1">
      <c r="B1818" s="15" t="str">
        <f t="shared" si="66"/>
        <v/>
      </c>
      <c r="C1818" s="16" t="str">
        <f>IFERROR(VLOOKUP(DATA!#REF!,DATA!#REF!,1,FALSE),"")</f>
        <v/>
      </c>
      <c r="D1818" s="16" t="str">
        <f>IFERROR(VLOOKUP(C1818,DATA!#REF!,2,FALSE),"")</f>
        <v/>
      </c>
    </row>
    <row r="1819" spans="2:4" s="237" customFormat="1">
      <c r="B1819" s="15" t="str">
        <f t="shared" si="66"/>
        <v/>
      </c>
      <c r="C1819" s="16" t="str">
        <f>IFERROR(VLOOKUP(DATA!#REF!,DATA!#REF!,1,FALSE),"")</f>
        <v/>
      </c>
      <c r="D1819" s="16" t="str">
        <f>IFERROR(VLOOKUP(C1819,DATA!#REF!,2,FALSE),"")</f>
        <v/>
      </c>
    </row>
    <row r="1820" spans="2:4" s="237" customFormat="1">
      <c r="B1820" s="15" t="str">
        <f t="shared" si="66"/>
        <v/>
      </c>
      <c r="C1820" s="16" t="str">
        <f>IFERROR(VLOOKUP(DATA!#REF!,DATA!#REF!,1,FALSE),"")</f>
        <v/>
      </c>
      <c r="D1820" s="16" t="str">
        <f>IFERROR(VLOOKUP(C1820,DATA!#REF!,2,FALSE),"")</f>
        <v/>
      </c>
    </row>
    <row r="1821" spans="2:4" s="237" customFormat="1">
      <c r="B1821" s="15" t="str">
        <f t="shared" si="66"/>
        <v/>
      </c>
      <c r="C1821" s="16" t="str">
        <f>IFERROR(VLOOKUP(DATA!#REF!,DATA!#REF!,1,FALSE),"")</f>
        <v/>
      </c>
      <c r="D1821" s="16" t="str">
        <f>IFERROR(VLOOKUP(C1821,DATA!#REF!,2,FALSE),"")</f>
        <v/>
      </c>
    </row>
    <row r="1822" spans="2:4" s="237" customFormat="1">
      <c r="B1822" s="15" t="str">
        <f t="shared" si="66"/>
        <v/>
      </c>
      <c r="C1822" s="16" t="str">
        <f>IFERROR(VLOOKUP(DATA!#REF!,DATA!#REF!,1,FALSE),"")</f>
        <v/>
      </c>
      <c r="D1822" s="16" t="str">
        <f>IFERROR(VLOOKUP(C1822,DATA!#REF!,2,FALSE),"")</f>
        <v/>
      </c>
    </row>
    <row r="1823" spans="2:4" s="237" customFormat="1">
      <c r="B1823" s="15" t="str">
        <f t="shared" si="66"/>
        <v/>
      </c>
      <c r="C1823" s="16" t="str">
        <f>IFERROR(VLOOKUP(DATA!#REF!,DATA!#REF!,1,FALSE),"")</f>
        <v/>
      </c>
      <c r="D1823" s="16" t="str">
        <f>IFERROR(VLOOKUP(C1823,DATA!#REF!,2,FALSE),"")</f>
        <v/>
      </c>
    </row>
    <row r="1824" spans="2:4" s="237" customFormat="1">
      <c r="B1824" s="15" t="str">
        <f t="shared" si="66"/>
        <v/>
      </c>
      <c r="C1824" s="16" t="str">
        <f>IFERROR(VLOOKUP(DATA!#REF!,DATA!#REF!,1,FALSE),"")</f>
        <v/>
      </c>
      <c r="D1824" s="16" t="str">
        <f>IFERROR(VLOOKUP(C1824,DATA!#REF!,2,FALSE),"")</f>
        <v/>
      </c>
    </row>
    <row r="1825" spans="2:4" s="237" customFormat="1">
      <c r="B1825" s="15" t="str">
        <f t="shared" si="66"/>
        <v/>
      </c>
      <c r="C1825" s="16" t="str">
        <f>IFERROR(VLOOKUP(DATA!#REF!,DATA!#REF!,1,FALSE),"")</f>
        <v/>
      </c>
      <c r="D1825" s="16" t="str">
        <f>IFERROR(VLOOKUP(C1825,DATA!#REF!,2,FALSE),"")</f>
        <v/>
      </c>
    </row>
    <row r="1826" spans="2:4" s="237" customFormat="1">
      <c r="B1826" s="15" t="str">
        <f t="shared" si="66"/>
        <v/>
      </c>
      <c r="C1826" s="16" t="str">
        <f>IFERROR(VLOOKUP(DATA!#REF!,DATA!#REF!,1,FALSE),"")</f>
        <v/>
      </c>
      <c r="D1826" s="16" t="str">
        <f>IFERROR(VLOOKUP(C1826,DATA!#REF!,2,FALSE),"")</f>
        <v/>
      </c>
    </row>
    <row r="1827" spans="2:4" s="237" customFormat="1">
      <c r="B1827" s="15" t="str">
        <f t="shared" si="66"/>
        <v/>
      </c>
      <c r="C1827" s="16" t="str">
        <f>IFERROR(VLOOKUP(DATA!#REF!,DATA!#REF!,1,FALSE),"")</f>
        <v/>
      </c>
      <c r="D1827" s="16" t="str">
        <f>IFERROR(VLOOKUP(C1827,DATA!#REF!,2,FALSE),"")</f>
        <v/>
      </c>
    </row>
    <row r="1828" spans="2:4" s="237" customFormat="1">
      <c r="B1828" s="15" t="str">
        <f t="shared" si="66"/>
        <v/>
      </c>
      <c r="C1828" s="16" t="str">
        <f>IFERROR(VLOOKUP(DATA!#REF!,DATA!#REF!,1,FALSE),"")</f>
        <v/>
      </c>
      <c r="D1828" s="16" t="str">
        <f>IFERROR(VLOOKUP(C1828,DATA!#REF!,2,FALSE),"")</f>
        <v/>
      </c>
    </row>
    <row r="1829" spans="2:4" s="237" customFormat="1">
      <c r="B1829" s="15" t="str">
        <f t="shared" si="66"/>
        <v/>
      </c>
      <c r="C1829" s="16" t="str">
        <f>IFERROR(VLOOKUP(DATA!#REF!,DATA!#REF!,1,FALSE),"")</f>
        <v/>
      </c>
      <c r="D1829" s="16" t="str">
        <f>IFERROR(VLOOKUP(C1829,DATA!#REF!,2,FALSE),"")</f>
        <v/>
      </c>
    </row>
    <row r="1830" spans="2:4" s="237" customFormat="1">
      <c r="B1830" s="15" t="str">
        <f t="shared" si="66"/>
        <v/>
      </c>
      <c r="C1830" s="16" t="str">
        <f>IFERROR(VLOOKUP(DATA!#REF!,DATA!#REF!,1,FALSE),"")</f>
        <v/>
      </c>
      <c r="D1830" s="16" t="str">
        <f>IFERROR(VLOOKUP(C1830,DATA!#REF!,2,FALSE),"")</f>
        <v/>
      </c>
    </row>
    <row r="1831" spans="2:4" s="237" customFormat="1">
      <c r="B1831" s="15" t="str">
        <f t="shared" si="66"/>
        <v/>
      </c>
      <c r="C1831" s="16" t="str">
        <f>IFERROR(VLOOKUP(DATA!#REF!,DATA!#REF!,1,FALSE),"")</f>
        <v/>
      </c>
      <c r="D1831" s="16" t="str">
        <f>IFERROR(VLOOKUP(C1831,DATA!#REF!,2,FALSE),"")</f>
        <v/>
      </c>
    </row>
    <row r="1832" spans="2:4" s="237" customFormat="1">
      <c r="B1832" s="15" t="str">
        <f t="shared" si="66"/>
        <v/>
      </c>
      <c r="C1832" s="16" t="str">
        <f>IFERROR(VLOOKUP(DATA!#REF!,DATA!#REF!,1,FALSE),"")</f>
        <v/>
      </c>
      <c r="D1832" s="16" t="str">
        <f>IFERROR(VLOOKUP(C1832,DATA!#REF!,2,FALSE),"")</f>
        <v/>
      </c>
    </row>
    <row r="1833" spans="2:4" s="237" customFormat="1">
      <c r="B1833" s="15" t="str">
        <f t="shared" si="66"/>
        <v/>
      </c>
      <c r="C1833" s="16" t="str">
        <f>IFERROR(VLOOKUP(DATA!#REF!,DATA!#REF!,1,FALSE),"")</f>
        <v/>
      </c>
      <c r="D1833" s="16" t="str">
        <f>IFERROR(VLOOKUP(C1833,DATA!#REF!,2,FALSE),"")</f>
        <v/>
      </c>
    </row>
    <row r="1834" spans="2:4" s="237" customFormat="1">
      <c r="B1834" s="15" t="str">
        <f t="shared" si="66"/>
        <v/>
      </c>
      <c r="C1834" s="16" t="str">
        <f>IFERROR(VLOOKUP(DATA!#REF!,DATA!#REF!,1,FALSE),"")</f>
        <v/>
      </c>
      <c r="D1834" s="16" t="str">
        <f>IFERROR(VLOOKUP(C1834,DATA!#REF!,2,FALSE),"")</f>
        <v/>
      </c>
    </row>
    <row r="1835" spans="2:4" s="237" customFormat="1">
      <c r="B1835" s="15" t="str">
        <f t="shared" si="66"/>
        <v/>
      </c>
      <c r="C1835" s="16" t="str">
        <f>IFERROR(VLOOKUP(DATA!#REF!,DATA!#REF!,1,FALSE),"")</f>
        <v/>
      </c>
      <c r="D1835" s="16" t="str">
        <f>IFERROR(VLOOKUP(C1835,DATA!#REF!,2,FALSE),"")</f>
        <v/>
      </c>
    </row>
    <row r="1836" spans="2:4" s="237" customFormat="1">
      <c r="B1836" s="15" t="str">
        <f t="shared" si="66"/>
        <v/>
      </c>
      <c r="C1836" s="16" t="str">
        <f>IFERROR(VLOOKUP(DATA!#REF!,DATA!#REF!,1,FALSE),"")</f>
        <v/>
      </c>
      <c r="D1836" s="16" t="str">
        <f>IFERROR(VLOOKUP(C1836,DATA!#REF!,2,FALSE),"")</f>
        <v/>
      </c>
    </row>
    <row r="1837" spans="2:4" s="237" customFormat="1">
      <c r="B1837" s="15" t="str">
        <f t="shared" si="66"/>
        <v/>
      </c>
      <c r="C1837" s="16" t="str">
        <f>IFERROR(VLOOKUP(DATA!#REF!,DATA!#REF!,1,FALSE),"")</f>
        <v/>
      </c>
      <c r="D1837" s="16" t="str">
        <f>IFERROR(VLOOKUP(C1837,DATA!#REF!,2,FALSE),"")</f>
        <v/>
      </c>
    </row>
    <row r="1838" spans="2:4" s="237" customFormat="1">
      <c r="B1838" s="15" t="str">
        <f t="shared" si="66"/>
        <v/>
      </c>
      <c r="C1838" s="16" t="str">
        <f>IFERROR(VLOOKUP(DATA!#REF!,DATA!#REF!,1,FALSE),"")</f>
        <v/>
      </c>
      <c r="D1838" s="16" t="str">
        <f>IFERROR(VLOOKUP(C1838,DATA!#REF!,2,FALSE),"")</f>
        <v/>
      </c>
    </row>
    <row r="1839" spans="2:4" s="237" customFormat="1">
      <c r="B1839" s="15" t="str">
        <f t="shared" si="66"/>
        <v/>
      </c>
      <c r="C1839" s="16" t="str">
        <f>IFERROR(VLOOKUP(DATA!#REF!,DATA!#REF!,1,FALSE),"")</f>
        <v/>
      </c>
      <c r="D1839" s="16" t="str">
        <f>IFERROR(VLOOKUP(C1839,DATA!#REF!,2,FALSE),"")</f>
        <v/>
      </c>
    </row>
    <row r="1840" spans="2:4" s="237" customFormat="1">
      <c r="B1840" s="15" t="str">
        <f t="shared" si="66"/>
        <v/>
      </c>
      <c r="C1840" s="16" t="str">
        <f>IFERROR(VLOOKUP(DATA!#REF!,DATA!#REF!,1,FALSE),"")</f>
        <v/>
      </c>
      <c r="D1840" s="16" t="str">
        <f>IFERROR(VLOOKUP(C1840,DATA!#REF!,2,FALSE),"")</f>
        <v/>
      </c>
    </row>
    <row r="1841" spans="2:4" s="237" customFormat="1">
      <c r="B1841" s="15" t="str">
        <f t="shared" si="66"/>
        <v/>
      </c>
      <c r="C1841" s="16" t="str">
        <f>IFERROR(VLOOKUP(DATA!#REF!,DATA!#REF!,1,FALSE),"")</f>
        <v/>
      </c>
      <c r="D1841" s="16" t="str">
        <f>IFERROR(VLOOKUP(C1841,DATA!#REF!,2,FALSE),"")</f>
        <v/>
      </c>
    </row>
    <row r="1842" spans="2:4" s="237" customFormat="1">
      <c r="B1842" s="15" t="str">
        <f t="shared" si="66"/>
        <v/>
      </c>
      <c r="C1842" s="16" t="str">
        <f>IFERROR(VLOOKUP(DATA!#REF!,DATA!#REF!,1,FALSE),"")</f>
        <v/>
      </c>
      <c r="D1842" s="16" t="str">
        <f>IFERROR(VLOOKUP(C1842,DATA!#REF!,2,FALSE),"")</f>
        <v/>
      </c>
    </row>
    <row r="1843" spans="2:4" s="237" customFormat="1">
      <c r="B1843" s="15" t="str">
        <f t="shared" si="66"/>
        <v/>
      </c>
      <c r="C1843" s="16" t="str">
        <f>IFERROR(VLOOKUP(DATA!#REF!,DATA!#REF!,1,FALSE),"")</f>
        <v/>
      </c>
      <c r="D1843" s="16" t="str">
        <f>IFERROR(VLOOKUP(C1843,DATA!#REF!,2,FALSE),"")</f>
        <v/>
      </c>
    </row>
    <row r="1844" spans="2:4" s="237" customFormat="1">
      <c r="B1844" s="15" t="str">
        <f t="shared" si="66"/>
        <v/>
      </c>
      <c r="C1844" s="16" t="str">
        <f>IFERROR(VLOOKUP(DATA!#REF!,DATA!#REF!,1,FALSE),"")</f>
        <v/>
      </c>
      <c r="D1844" s="16" t="str">
        <f>IFERROR(VLOOKUP(C1844,DATA!#REF!,2,FALSE),"")</f>
        <v/>
      </c>
    </row>
    <row r="1845" spans="2:4" s="237" customFormat="1">
      <c r="B1845" s="15" t="str">
        <f t="shared" si="66"/>
        <v/>
      </c>
      <c r="C1845" s="16" t="str">
        <f>IFERROR(VLOOKUP(DATA!#REF!,DATA!#REF!,1,FALSE),"")</f>
        <v/>
      </c>
      <c r="D1845" s="16" t="str">
        <f>IFERROR(VLOOKUP(C1845,DATA!#REF!,2,FALSE),"")</f>
        <v/>
      </c>
    </row>
    <row r="1846" spans="2:4" s="237" customFormat="1">
      <c r="B1846" s="15" t="str">
        <f t="shared" si="66"/>
        <v/>
      </c>
      <c r="C1846" s="16" t="str">
        <f>IFERROR(VLOOKUP(DATA!#REF!,DATA!#REF!,1,FALSE),"")</f>
        <v/>
      </c>
      <c r="D1846" s="16" t="str">
        <f>IFERROR(VLOOKUP(C1846,DATA!#REF!,2,FALSE),"")</f>
        <v/>
      </c>
    </row>
    <row r="1847" spans="2:4" s="237" customFormat="1">
      <c r="B1847" s="15" t="str">
        <f t="shared" si="66"/>
        <v/>
      </c>
      <c r="C1847" s="16" t="str">
        <f>IFERROR(VLOOKUP(DATA!#REF!,DATA!#REF!,1,FALSE),"")</f>
        <v/>
      </c>
      <c r="D1847" s="16" t="str">
        <f>IFERROR(VLOOKUP(C1847,DATA!#REF!,2,FALSE),"")</f>
        <v/>
      </c>
    </row>
    <row r="1848" spans="2:4" s="237" customFormat="1">
      <c r="B1848" s="15" t="str">
        <f t="shared" si="66"/>
        <v/>
      </c>
      <c r="C1848" s="16" t="str">
        <f>IFERROR(VLOOKUP(DATA!#REF!,DATA!#REF!,1,FALSE),"")</f>
        <v/>
      </c>
      <c r="D1848" s="16" t="str">
        <f>IFERROR(VLOOKUP(C1848,DATA!#REF!,2,FALSE),"")</f>
        <v/>
      </c>
    </row>
    <row r="1849" spans="2:4" s="237" customFormat="1">
      <c r="B1849" s="15" t="str">
        <f t="shared" si="66"/>
        <v/>
      </c>
      <c r="C1849" s="16" t="str">
        <f>IFERROR(VLOOKUP(DATA!#REF!,DATA!#REF!,1,FALSE),"")</f>
        <v/>
      </c>
      <c r="D1849" s="16" t="str">
        <f>IFERROR(VLOOKUP(C1849,DATA!#REF!,2,FALSE),"")</f>
        <v/>
      </c>
    </row>
    <row r="1850" spans="2:4" s="237" customFormat="1">
      <c r="B1850" s="15" t="str">
        <f t="shared" si="66"/>
        <v/>
      </c>
      <c r="C1850" s="16" t="str">
        <f>IFERROR(VLOOKUP(DATA!#REF!,DATA!#REF!,1,FALSE),"")</f>
        <v/>
      </c>
      <c r="D1850" s="16" t="str">
        <f>IFERROR(VLOOKUP(C1850,DATA!#REF!,2,FALSE),"")</f>
        <v/>
      </c>
    </row>
    <row r="1851" spans="2:4" s="237" customFormat="1">
      <c r="B1851" s="15" t="str">
        <f t="shared" si="66"/>
        <v/>
      </c>
      <c r="C1851" s="16" t="str">
        <f>IFERROR(VLOOKUP(DATA!#REF!,DATA!#REF!,1,FALSE),"")</f>
        <v/>
      </c>
      <c r="D1851" s="16" t="str">
        <f>IFERROR(VLOOKUP(C1851,DATA!#REF!,2,FALSE),"")</f>
        <v/>
      </c>
    </row>
    <row r="1852" spans="2:4" s="237" customFormat="1">
      <c r="B1852" s="15" t="str">
        <f t="shared" si="66"/>
        <v/>
      </c>
      <c r="C1852" s="16" t="str">
        <f>IFERROR(VLOOKUP(DATA!#REF!,DATA!#REF!,1,FALSE),"")</f>
        <v/>
      </c>
      <c r="D1852" s="16" t="str">
        <f>IFERROR(VLOOKUP(C1852,DATA!#REF!,2,FALSE),"")</f>
        <v/>
      </c>
    </row>
    <row r="1853" spans="2:4" s="237" customFormat="1">
      <c r="B1853" s="15" t="str">
        <f t="shared" si="66"/>
        <v/>
      </c>
      <c r="C1853" s="16" t="str">
        <f>IFERROR(VLOOKUP(DATA!#REF!,DATA!#REF!,1,FALSE),"")</f>
        <v/>
      </c>
      <c r="D1853" s="16" t="str">
        <f>IFERROR(VLOOKUP(C1853,DATA!#REF!,2,FALSE),"")</f>
        <v/>
      </c>
    </row>
    <row r="1854" spans="2:4" s="237" customFormat="1">
      <c r="B1854" s="15" t="str">
        <f t="shared" si="66"/>
        <v/>
      </c>
      <c r="C1854" s="16" t="str">
        <f>IFERROR(VLOOKUP(DATA!#REF!,DATA!#REF!,1,FALSE),"")</f>
        <v/>
      </c>
      <c r="D1854" s="16" t="str">
        <f>IFERROR(VLOOKUP(C1854,DATA!#REF!,2,FALSE),"")</f>
        <v/>
      </c>
    </row>
    <row r="1855" spans="2:4" s="237" customFormat="1">
      <c r="B1855" s="15" t="str">
        <f t="shared" si="66"/>
        <v/>
      </c>
      <c r="C1855" s="16" t="str">
        <f>IFERROR(VLOOKUP(DATA!#REF!,DATA!#REF!,1,FALSE),"")</f>
        <v/>
      </c>
      <c r="D1855" s="16" t="str">
        <f>IFERROR(VLOOKUP(C1855,DATA!#REF!,2,FALSE),"")</f>
        <v/>
      </c>
    </row>
    <row r="1856" spans="2:4" s="237" customFormat="1">
      <c r="B1856" s="15" t="str">
        <f t="shared" si="66"/>
        <v/>
      </c>
      <c r="C1856" s="16" t="str">
        <f>IFERROR(VLOOKUP(DATA!#REF!,DATA!#REF!,1,FALSE),"")</f>
        <v/>
      </c>
      <c r="D1856" s="16" t="str">
        <f>IFERROR(VLOOKUP(C1856,DATA!#REF!,2,FALSE),"")</f>
        <v/>
      </c>
    </row>
    <row r="1857" spans="2:4" s="237" customFormat="1">
      <c r="B1857" s="15" t="str">
        <f t="shared" si="66"/>
        <v/>
      </c>
      <c r="C1857" s="16" t="str">
        <f>IFERROR(VLOOKUP(DATA!#REF!,DATA!#REF!,1,FALSE),"")</f>
        <v/>
      </c>
      <c r="D1857" s="16" t="str">
        <f>IFERROR(VLOOKUP(C1857,DATA!#REF!,2,FALSE),"")</f>
        <v/>
      </c>
    </row>
    <row r="1858" spans="2:4" s="237" customFormat="1">
      <c r="B1858" s="15" t="str">
        <f t="shared" si="66"/>
        <v/>
      </c>
      <c r="C1858" s="16" t="str">
        <f>IFERROR(VLOOKUP(DATA!#REF!,DATA!#REF!,1,FALSE),"")</f>
        <v/>
      </c>
      <c r="D1858" s="16" t="str">
        <f>IFERROR(VLOOKUP(C1858,DATA!#REF!,2,FALSE),"")</f>
        <v/>
      </c>
    </row>
    <row r="1859" spans="2:4" s="237" customFormat="1">
      <c r="B1859" s="15" t="str">
        <f t="shared" si="66"/>
        <v/>
      </c>
      <c r="C1859" s="16" t="str">
        <f>IFERROR(VLOOKUP(DATA!#REF!,DATA!#REF!,1,FALSE),"")</f>
        <v/>
      </c>
      <c r="D1859" s="16" t="str">
        <f>IFERROR(VLOOKUP(C1859,DATA!#REF!,2,FALSE),"")</f>
        <v/>
      </c>
    </row>
    <row r="1860" spans="2:4" s="237" customFormat="1">
      <c r="B1860" s="15" t="str">
        <f t="shared" si="66"/>
        <v/>
      </c>
      <c r="C1860" s="16" t="str">
        <f>IFERROR(VLOOKUP(DATA!#REF!,DATA!#REF!,1,FALSE),"")</f>
        <v/>
      </c>
      <c r="D1860" s="16" t="str">
        <f>IFERROR(VLOOKUP(C1860,DATA!#REF!,2,FALSE),"")</f>
        <v/>
      </c>
    </row>
    <row r="1861" spans="2:4" s="237" customFormat="1">
      <c r="B1861" s="15" t="str">
        <f t="shared" si="66"/>
        <v/>
      </c>
      <c r="C1861" s="16" t="str">
        <f>IFERROR(VLOOKUP(DATA!#REF!,DATA!#REF!,1,FALSE),"")</f>
        <v/>
      </c>
      <c r="D1861" s="16" t="str">
        <f>IFERROR(VLOOKUP(C1861,DATA!#REF!,2,FALSE),"")</f>
        <v/>
      </c>
    </row>
    <row r="1862" spans="2:4" s="237" customFormat="1">
      <c r="B1862" s="15" t="str">
        <f t="shared" ref="B1862:B1925" si="67">+IF(C1862="","",ROW()-5)</f>
        <v/>
      </c>
      <c r="C1862" s="16" t="str">
        <f>IFERROR(VLOOKUP(DATA!#REF!,DATA!#REF!,1,FALSE),"")</f>
        <v/>
      </c>
      <c r="D1862" s="16" t="str">
        <f>IFERROR(VLOOKUP(C1862,DATA!#REF!,2,FALSE),"")</f>
        <v/>
      </c>
    </row>
    <row r="1863" spans="2:4" s="237" customFormat="1">
      <c r="B1863" s="15" t="str">
        <f t="shared" si="67"/>
        <v/>
      </c>
      <c r="C1863" s="16" t="str">
        <f>IFERROR(VLOOKUP(DATA!#REF!,DATA!#REF!,1,FALSE),"")</f>
        <v/>
      </c>
      <c r="D1863" s="16" t="str">
        <f>IFERROR(VLOOKUP(C1863,DATA!#REF!,2,FALSE),"")</f>
        <v/>
      </c>
    </row>
    <row r="1864" spans="2:4" s="237" customFormat="1">
      <c r="B1864" s="15" t="str">
        <f t="shared" si="67"/>
        <v/>
      </c>
      <c r="C1864" s="16" t="str">
        <f>IFERROR(VLOOKUP(DATA!#REF!,DATA!#REF!,1,FALSE),"")</f>
        <v/>
      </c>
      <c r="D1864" s="16" t="str">
        <f>IFERROR(VLOOKUP(C1864,DATA!#REF!,2,FALSE),"")</f>
        <v/>
      </c>
    </row>
    <row r="1865" spans="2:4" s="237" customFormat="1">
      <c r="B1865" s="15" t="str">
        <f t="shared" si="67"/>
        <v/>
      </c>
      <c r="C1865" s="16" t="str">
        <f>IFERROR(VLOOKUP(DATA!#REF!,DATA!#REF!,1,FALSE),"")</f>
        <v/>
      </c>
      <c r="D1865" s="16" t="str">
        <f>IFERROR(VLOOKUP(C1865,DATA!#REF!,2,FALSE),"")</f>
        <v/>
      </c>
    </row>
    <row r="1866" spans="2:4" s="237" customFormat="1">
      <c r="B1866" s="15" t="str">
        <f t="shared" si="67"/>
        <v/>
      </c>
      <c r="C1866" s="16" t="str">
        <f>IFERROR(VLOOKUP(DATA!#REF!,DATA!#REF!,1,FALSE),"")</f>
        <v/>
      </c>
      <c r="D1866" s="16" t="str">
        <f>IFERROR(VLOOKUP(C1866,DATA!#REF!,2,FALSE),"")</f>
        <v/>
      </c>
    </row>
    <row r="1867" spans="2:4" s="237" customFormat="1">
      <c r="B1867" s="15" t="str">
        <f t="shared" si="67"/>
        <v/>
      </c>
      <c r="C1867" s="16" t="str">
        <f>IFERROR(VLOOKUP(DATA!#REF!,DATA!#REF!,1,FALSE),"")</f>
        <v/>
      </c>
      <c r="D1867" s="16" t="str">
        <f>IFERROR(VLOOKUP(C1867,DATA!#REF!,2,FALSE),"")</f>
        <v/>
      </c>
    </row>
    <row r="1868" spans="2:4" s="237" customFormat="1">
      <c r="B1868" s="15" t="str">
        <f t="shared" si="67"/>
        <v/>
      </c>
      <c r="C1868" s="16" t="str">
        <f>IFERROR(VLOOKUP(DATA!#REF!,DATA!#REF!,1,FALSE),"")</f>
        <v/>
      </c>
      <c r="D1868" s="16" t="str">
        <f>IFERROR(VLOOKUP(C1868,DATA!#REF!,2,FALSE),"")</f>
        <v/>
      </c>
    </row>
    <row r="1869" spans="2:4" s="237" customFormat="1">
      <c r="B1869" s="15" t="str">
        <f t="shared" si="67"/>
        <v/>
      </c>
      <c r="C1869" s="16" t="str">
        <f>IFERROR(VLOOKUP(DATA!#REF!,DATA!#REF!,1,FALSE),"")</f>
        <v/>
      </c>
      <c r="D1869" s="16" t="str">
        <f>IFERROR(VLOOKUP(C1869,DATA!#REF!,2,FALSE),"")</f>
        <v/>
      </c>
    </row>
    <row r="1870" spans="2:4" s="237" customFormat="1">
      <c r="B1870" s="15" t="str">
        <f t="shared" si="67"/>
        <v/>
      </c>
      <c r="C1870" s="16" t="str">
        <f>IFERROR(VLOOKUP(DATA!#REF!,DATA!#REF!,1,FALSE),"")</f>
        <v/>
      </c>
      <c r="D1870" s="16" t="str">
        <f>IFERROR(VLOOKUP(C1870,DATA!#REF!,2,FALSE),"")</f>
        <v/>
      </c>
    </row>
    <row r="1871" spans="2:4" s="237" customFormat="1">
      <c r="B1871" s="15" t="str">
        <f t="shared" si="67"/>
        <v/>
      </c>
      <c r="C1871" s="16" t="str">
        <f>IFERROR(VLOOKUP(DATA!#REF!,DATA!#REF!,1,FALSE),"")</f>
        <v/>
      </c>
      <c r="D1871" s="16" t="str">
        <f>IFERROR(VLOOKUP(C1871,DATA!#REF!,2,FALSE),"")</f>
        <v/>
      </c>
    </row>
    <row r="1872" spans="2:4" s="237" customFormat="1">
      <c r="B1872" s="15" t="str">
        <f t="shared" si="67"/>
        <v/>
      </c>
      <c r="C1872" s="16" t="str">
        <f>IFERROR(VLOOKUP(DATA!#REF!,DATA!#REF!,1,FALSE),"")</f>
        <v/>
      </c>
      <c r="D1872" s="16" t="str">
        <f>IFERROR(VLOOKUP(C1872,DATA!#REF!,2,FALSE),"")</f>
        <v/>
      </c>
    </row>
    <row r="1873" spans="2:4" s="237" customFormat="1">
      <c r="B1873" s="15" t="str">
        <f t="shared" si="67"/>
        <v/>
      </c>
      <c r="C1873" s="16" t="str">
        <f>IFERROR(VLOOKUP(DATA!#REF!,DATA!#REF!,1,FALSE),"")</f>
        <v/>
      </c>
      <c r="D1873" s="16" t="str">
        <f>IFERROR(VLOOKUP(C1873,DATA!#REF!,2,FALSE),"")</f>
        <v/>
      </c>
    </row>
    <row r="1874" spans="2:4" s="237" customFormat="1">
      <c r="B1874" s="15" t="str">
        <f t="shared" si="67"/>
        <v/>
      </c>
      <c r="C1874" s="16" t="str">
        <f>IFERROR(VLOOKUP(DATA!#REF!,DATA!#REF!,1,FALSE),"")</f>
        <v/>
      </c>
      <c r="D1874" s="16" t="str">
        <f>IFERROR(VLOOKUP(C1874,DATA!#REF!,2,FALSE),"")</f>
        <v/>
      </c>
    </row>
    <row r="1875" spans="2:4" s="237" customFormat="1">
      <c r="B1875" s="15" t="str">
        <f t="shared" si="67"/>
        <v/>
      </c>
      <c r="C1875" s="16" t="str">
        <f>IFERROR(VLOOKUP(DATA!#REF!,DATA!#REF!,1,FALSE),"")</f>
        <v/>
      </c>
      <c r="D1875" s="16" t="str">
        <f>IFERROR(VLOOKUP(C1875,DATA!#REF!,2,FALSE),"")</f>
        <v/>
      </c>
    </row>
    <row r="1876" spans="2:4" s="237" customFormat="1">
      <c r="B1876" s="15" t="str">
        <f t="shared" si="67"/>
        <v/>
      </c>
      <c r="C1876" s="16" t="str">
        <f>IFERROR(VLOOKUP(DATA!#REF!,DATA!#REF!,1,FALSE),"")</f>
        <v/>
      </c>
      <c r="D1876" s="16" t="str">
        <f>IFERROR(VLOOKUP(C1876,DATA!#REF!,2,FALSE),"")</f>
        <v/>
      </c>
    </row>
    <row r="1877" spans="2:4" s="237" customFormat="1">
      <c r="B1877" s="15" t="str">
        <f t="shared" si="67"/>
        <v/>
      </c>
      <c r="C1877" s="16" t="str">
        <f>IFERROR(VLOOKUP(DATA!#REF!,DATA!#REF!,1,FALSE),"")</f>
        <v/>
      </c>
      <c r="D1877" s="16" t="str">
        <f>IFERROR(VLOOKUP(C1877,DATA!#REF!,2,FALSE),"")</f>
        <v/>
      </c>
    </row>
    <row r="1878" spans="2:4" s="237" customFormat="1">
      <c r="B1878" s="15" t="str">
        <f t="shared" si="67"/>
        <v/>
      </c>
      <c r="C1878" s="16" t="str">
        <f>IFERROR(VLOOKUP(DATA!#REF!,DATA!#REF!,1,FALSE),"")</f>
        <v/>
      </c>
      <c r="D1878" s="16" t="str">
        <f>IFERROR(VLOOKUP(C1878,DATA!#REF!,2,FALSE),"")</f>
        <v/>
      </c>
    </row>
    <row r="1879" spans="2:4" s="237" customFormat="1">
      <c r="B1879" s="15" t="str">
        <f t="shared" si="67"/>
        <v/>
      </c>
      <c r="C1879" s="16" t="str">
        <f>IFERROR(VLOOKUP(DATA!#REF!,DATA!#REF!,1,FALSE),"")</f>
        <v/>
      </c>
      <c r="D1879" s="16" t="str">
        <f>IFERROR(VLOOKUP(C1879,DATA!#REF!,2,FALSE),"")</f>
        <v/>
      </c>
    </row>
    <row r="1880" spans="2:4" s="237" customFormat="1">
      <c r="B1880" s="15" t="str">
        <f t="shared" si="67"/>
        <v/>
      </c>
      <c r="C1880" s="16" t="str">
        <f>IFERROR(VLOOKUP(DATA!#REF!,DATA!#REF!,1,FALSE),"")</f>
        <v/>
      </c>
      <c r="D1880" s="16" t="str">
        <f>IFERROR(VLOOKUP(C1880,DATA!#REF!,2,FALSE),"")</f>
        <v/>
      </c>
    </row>
    <row r="1881" spans="2:4" s="237" customFormat="1">
      <c r="B1881" s="15" t="str">
        <f t="shared" si="67"/>
        <v/>
      </c>
      <c r="C1881" s="16" t="str">
        <f>IFERROR(VLOOKUP(DATA!#REF!,DATA!#REF!,1,FALSE),"")</f>
        <v/>
      </c>
      <c r="D1881" s="16" t="str">
        <f>IFERROR(VLOOKUP(C1881,DATA!#REF!,2,FALSE),"")</f>
        <v/>
      </c>
    </row>
    <row r="1882" spans="2:4" s="237" customFormat="1">
      <c r="B1882" s="15" t="str">
        <f t="shared" si="67"/>
        <v/>
      </c>
      <c r="C1882" s="16" t="str">
        <f>IFERROR(VLOOKUP(DATA!#REF!,DATA!#REF!,1,FALSE),"")</f>
        <v/>
      </c>
      <c r="D1882" s="16" t="str">
        <f>IFERROR(VLOOKUP(C1882,DATA!#REF!,2,FALSE),"")</f>
        <v/>
      </c>
    </row>
    <row r="1883" spans="2:4" s="237" customFormat="1">
      <c r="B1883" s="15" t="str">
        <f t="shared" si="67"/>
        <v/>
      </c>
      <c r="C1883" s="16" t="str">
        <f>IFERROR(VLOOKUP(DATA!#REF!,DATA!#REF!,1,FALSE),"")</f>
        <v/>
      </c>
      <c r="D1883" s="16" t="str">
        <f>IFERROR(VLOOKUP(C1883,DATA!#REF!,2,FALSE),"")</f>
        <v/>
      </c>
    </row>
    <row r="1884" spans="2:4" s="237" customFormat="1">
      <c r="B1884" s="15" t="str">
        <f t="shared" si="67"/>
        <v/>
      </c>
      <c r="C1884" s="16" t="str">
        <f>IFERROR(VLOOKUP(DATA!#REF!,DATA!#REF!,1,FALSE),"")</f>
        <v/>
      </c>
      <c r="D1884" s="16" t="str">
        <f>IFERROR(VLOOKUP(C1884,DATA!#REF!,2,FALSE),"")</f>
        <v/>
      </c>
    </row>
    <row r="1885" spans="2:4" s="237" customFormat="1">
      <c r="B1885" s="15" t="str">
        <f t="shared" si="67"/>
        <v/>
      </c>
      <c r="C1885" s="16" t="str">
        <f>IFERROR(VLOOKUP(DATA!#REF!,DATA!#REF!,1,FALSE),"")</f>
        <v/>
      </c>
      <c r="D1885" s="16" t="str">
        <f>IFERROR(VLOOKUP(C1885,DATA!#REF!,2,FALSE),"")</f>
        <v/>
      </c>
    </row>
    <row r="1886" spans="2:4" s="237" customFormat="1">
      <c r="B1886" s="15" t="str">
        <f t="shared" si="67"/>
        <v/>
      </c>
      <c r="C1886" s="16" t="str">
        <f>IFERROR(VLOOKUP(DATA!#REF!,DATA!#REF!,1,FALSE),"")</f>
        <v/>
      </c>
      <c r="D1886" s="16" t="str">
        <f>IFERROR(VLOOKUP(C1886,DATA!#REF!,2,FALSE),"")</f>
        <v/>
      </c>
    </row>
    <row r="1887" spans="2:4" s="237" customFormat="1">
      <c r="B1887" s="15" t="str">
        <f t="shared" si="67"/>
        <v/>
      </c>
      <c r="C1887" s="16" t="str">
        <f>IFERROR(VLOOKUP(DATA!#REF!,DATA!#REF!,1,FALSE),"")</f>
        <v/>
      </c>
      <c r="D1887" s="16" t="str">
        <f>IFERROR(VLOOKUP(C1887,DATA!#REF!,2,FALSE),"")</f>
        <v/>
      </c>
    </row>
    <row r="1888" spans="2:4" s="237" customFormat="1">
      <c r="B1888" s="15" t="str">
        <f t="shared" si="67"/>
        <v/>
      </c>
      <c r="C1888" s="16" t="str">
        <f>IFERROR(VLOOKUP(DATA!#REF!,DATA!#REF!,1,FALSE),"")</f>
        <v/>
      </c>
      <c r="D1888" s="16" t="str">
        <f>IFERROR(VLOOKUP(C1888,DATA!#REF!,2,FALSE),"")</f>
        <v/>
      </c>
    </row>
    <row r="1889" spans="2:4" s="237" customFormat="1">
      <c r="B1889" s="15" t="str">
        <f t="shared" si="67"/>
        <v/>
      </c>
      <c r="C1889" s="16" t="str">
        <f>IFERROR(VLOOKUP(DATA!#REF!,DATA!#REF!,1,FALSE),"")</f>
        <v/>
      </c>
      <c r="D1889" s="16" t="str">
        <f>IFERROR(VLOOKUP(C1889,DATA!#REF!,2,FALSE),"")</f>
        <v/>
      </c>
    </row>
    <row r="1890" spans="2:4" s="237" customFormat="1">
      <c r="B1890" s="15" t="str">
        <f t="shared" si="67"/>
        <v/>
      </c>
      <c r="C1890" s="16" t="str">
        <f>IFERROR(VLOOKUP(DATA!#REF!,DATA!#REF!,1,FALSE),"")</f>
        <v/>
      </c>
      <c r="D1890" s="16" t="str">
        <f>IFERROR(VLOOKUP(C1890,DATA!#REF!,2,FALSE),"")</f>
        <v/>
      </c>
    </row>
    <row r="1891" spans="2:4" s="237" customFormat="1">
      <c r="B1891" s="15" t="str">
        <f t="shared" si="67"/>
        <v/>
      </c>
      <c r="C1891" s="16" t="str">
        <f>IFERROR(VLOOKUP(DATA!#REF!,DATA!#REF!,1,FALSE),"")</f>
        <v/>
      </c>
      <c r="D1891" s="16" t="str">
        <f>IFERROR(VLOOKUP(C1891,DATA!#REF!,2,FALSE),"")</f>
        <v/>
      </c>
    </row>
    <row r="1892" spans="2:4" s="237" customFormat="1">
      <c r="B1892" s="15" t="str">
        <f t="shared" si="67"/>
        <v/>
      </c>
      <c r="C1892" s="16" t="str">
        <f>IFERROR(VLOOKUP(DATA!#REF!,DATA!#REF!,1,FALSE),"")</f>
        <v/>
      </c>
      <c r="D1892" s="16" t="str">
        <f>IFERROR(VLOOKUP(C1892,DATA!#REF!,2,FALSE),"")</f>
        <v/>
      </c>
    </row>
    <row r="1893" spans="2:4" s="237" customFormat="1">
      <c r="B1893" s="15" t="str">
        <f t="shared" si="67"/>
        <v/>
      </c>
      <c r="C1893" s="16" t="str">
        <f>IFERROR(VLOOKUP(DATA!#REF!,DATA!#REF!,1,FALSE),"")</f>
        <v/>
      </c>
      <c r="D1893" s="16" t="str">
        <f>IFERROR(VLOOKUP(C1893,DATA!#REF!,2,FALSE),"")</f>
        <v/>
      </c>
    </row>
    <row r="1894" spans="2:4" s="237" customFormat="1">
      <c r="B1894" s="15" t="str">
        <f t="shared" si="67"/>
        <v/>
      </c>
      <c r="C1894" s="16" t="str">
        <f>IFERROR(VLOOKUP(DATA!#REF!,DATA!#REF!,1,FALSE),"")</f>
        <v/>
      </c>
      <c r="D1894" s="16" t="str">
        <f>IFERROR(VLOOKUP(C1894,DATA!#REF!,2,FALSE),"")</f>
        <v/>
      </c>
    </row>
    <row r="1895" spans="2:4" s="237" customFormat="1">
      <c r="B1895" s="15" t="str">
        <f t="shared" si="67"/>
        <v/>
      </c>
      <c r="C1895" s="16" t="str">
        <f>IFERROR(VLOOKUP(DATA!#REF!,DATA!#REF!,1,FALSE),"")</f>
        <v/>
      </c>
      <c r="D1895" s="16" t="str">
        <f>IFERROR(VLOOKUP(C1895,DATA!#REF!,2,FALSE),"")</f>
        <v/>
      </c>
    </row>
    <row r="1896" spans="2:4" s="237" customFormat="1">
      <c r="B1896" s="15" t="str">
        <f t="shared" si="67"/>
        <v/>
      </c>
      <c r="C1896" s="16" t="str">
        <f>IFERROR(VLOOKUP(DATA!#REF!,DATA!#REF!,1,FALSE),"")</f>
        <v/>
      </c>
      <c r="D1896" s="16" t="str">
        <f>IFERROR(VLOOKUP(C1896,DATA!#REF!,2,FALSE),"")</f>
        <v/>
      </c>
    </row>
    <row r="1897" spans="2:4" s="237" customFormat="1">
      <c r="B1897" s="15" t="str">
        <f t="shared" si="67"/>
        <v/>
      </c>
      <c r="C1897" s="16" t="str">
        <f>IFERROR(VLOOKUP(DATA!#REF!,DATA!#REF!,1,FALSE),"")</f>
        <v/>
      </c>
      <c r="D1897" s="16" t="str">
        <f>IFERROR(VLOOKUP(C1897,DATA!#REF!,2,FALSE),"")</f>
        <v/>
      </c>
    </row>
    <row r="1898" spans="2:4" s="237" customFormat="1">
      <c r="B1898" s="15" t="str">
        <f t="shared" si="67"/>
        <v/>
      </c>
      <c r="C1898" s="16" t="str">
        <f>IFERROR(VLOOKUP(DATA!#REF!,DATA!#REF!,1,FALSE),"")</f>
        <v/>
      </c>
      <c r="D1898" s="16" t="str">
        <f>IFERROR(VLOOKUP(C1898,DATA!#REF!,2,FALSE),"")</f>
        <v/>
      </c>
    </row>
    <row r="1899" spans="2:4" s="237" customFormat="1">
      <c r="B1899" s="15" t="str">
        <f t="shared" si="67"/>
        <v/>
      </c>
      <c r="C1899" s="16" t="str">
        <f>IFERROR(VLOOKUP(DATA!#REF!,DATA!#REF!,1,FALSE),"")</f>
        <v/>
      </c>
      <c r="D1899" s="16" t="str">
        <f>IFERROR(VLOOKUP(C1899,DATA!#REF!,2,FALSE),"")</f>
        <v/>
      </c>
    </row>
    <row r="1900" spans="2:4" s="237" customFormat="1">
      <c r="B1900" s="15" t="str">
        <f t="shared" si="67"/>
        <v/>
      </c>
      <c r="C1900" s="16" t="str">
        <f>IFERROR(VLOOKUP(DATA!#REF!,DATA!#REF!,1,FALSE),"")</f>
        <v/>
      </c>
      <c r="D1900" s="16" t="str">
        <f>IFERROR(VLOOKUP(C1900,DATA!#REF!,2,FALSE),"")</f>
        <v/>
      </c>
    </row>
    <row r="1901" spans="2:4" s="237" customFormat="1">
      <c r="B1901" s="15" t="str">
        <f t="shared" si="67"/>
        <v/>
      </c>
      <c r="C1901" s="16" t="str">
        <f>IFERROR(VLOOKUP(DATA!#REF!,DATA!#REF!,1,FALSE),"")</f>
        <v/>
      </c>
      <c r="D1901" s="16" t="str">
        <f>IFERROR(VLOOKUP(C1901,DATA!#REF!,2,FALSE),"")</f>
        <v/>
      </c>
    </row>
    <row r="1902" spans="2:4" s="237" customFormat="1">
      <c r="B1902" s="15" t="str">
        <f t="shared" si="67"/>
        <v/>
      </c>
      <c r="C1902" s="16" t="str">
        <f>IFERROR(VLOOKUP(DATA!#REF!,DATA!#REF!,1,FALSE),"")</f>
        <v/>
      </c>
      <c r="D1902" s="16" t="str">
        <f>IFERROR(VLOOKUP(C1902,DATA!#REF!,2,FALSE),"")</f>
        <v/>
      </c>
    </row>
    <row r="1903" spans="2:4" s="237" customFormat="1">
      <c r="B1903" s="15" t="str">
        <f t="shared" si="67"/>
        <v/>
      </c>
      <c r="C1903" s="16" t="str">
        <f>IFERROR(VLOOKUP(DATA!#REF!,DATA!#REF!,1,FALSE),"")</f>
        <v/>
      </c>
      <c r="D1903" s="16" t="str">
        <f>IFERROR(VLOOKUP(C1903,DATA!#REF!,2,FALSE),"")</f>
        <v/>
      </c>
    </row>
    <row r="1904" spans="2:4" s="237" customFormat="1">
      <c r="B1904" s="15" t="str">
        <f t="shared" si="67"/>
        <v/>
      </c>
      <c r="C1904" s="16" t="str">
        <f>IFERROR(VLOOKUP(DATA!#REF!,DATA!#REF!,1,FALSE),"")</f>
        <v/>
      </c>
      <c r="D1904" s="16" t="str">
        <f>IFERROR(VLOOKUP(C1904,DATA!#REF!,2,FALSE),"")</f>
        <v/>
      </c>
    </row>
    <row r="1905" spans="2:4" s="237" customFormat="1">
      <c r="B1905" s="15" t="str">
        <f t="shared" si="67"/>
        <v/>
      </c>
      <c r="C1905" s="16" t="str">
        <f>IFERROR(VLOOKUP(DATA!#REF!,DATA!#REF!,1,FALSE),"")</f>
        <v/>
      </c>
      <c r="D1905" s="16" t="str">
        <f>IFERROR(VLOOKUP(C1905,DATA!#REF!,2,FALSE),"")</f>
        <v/>
      </c>
    </row>
    <row r="1906" spans="2:4" s="237" customFormat="1">
      <c r="B1906" s="15" t="str">
        <f t="shared" si="67"/>
        <v/>
      </c>
      <c r="C1906" s="16" t="str">
        <f>IFERROR(VLOOKUP(DATA!#REF!,DATA!#REF!,1,FALSE),"")</f>
        <v/>
      </c>
      <c r="D1906" s="16" t="str">
        <f>IFERROR(VLOOKUP(C1906,DATA!#REF!,2,FALSE),"")</f>
        <v/>
      </c>
    </row>
    <row r="1907" spans="2:4" s="237" customFormat="1">
      <c r="B1907" s="15" t="str">
        <f t="shared" si="67"/>
        <v/>
      </c>
      <c r="C1907" s="16" t="str">
        <f>IFERROR(VLOOKUP(DATA!#REF!,DATA!#REF!,1,FALSE),"")</f>
        <v/>
      </c>
      <c r="D1907" s="16" t="str">
        <f>IFERROR(VLOOKUP(C1907,DATA!#REF!,2,FALSE),"")</f>
        <v/>
      </c>
    </row>
    <row r="1908" spans="2:4" s="237" customFormat="1">
      <c r="B1908" s="15" t="str">
        <f t="shared" si="67"/>
        <v/>
      </c>
      <c r="C1908" s="16" t="str">
        <f>IFERROR(VLOOKUP(DATA!#REF!,DATA!#REF!,1,FALSE),"")</f>
        <v/>
      </c>
      <c r="D1908" s="16" t="str">
        <f>IFERROR(VLOOKUP(C1908,DATA!#REF!,2,FALSE),"")</f>
        <v/>
      </c>
    </row>
    <row r="1909" spans="2:4" s="237" customFormat="1">
      <c r="B1909" s="15" t="str">
        <f t="shared" si="67"/>
        <v/>
      </c>
      <c r="C1909" s="16" t="str">
        <f>IFERROR(VLOOKUP(DATA!#REF!,DATA!#REF!,1,FALSE),"")</f>
        <v/>
      </c>
      <c r="D1909" s="16" t="str">
        <f>IFERROR(VLOOKUP(C1909,DATA!#REF!,2,FALSE),"")</f>
        <v/>
      </c>
    </row>
    <row r="1910" spans="2:4" s="237" customFormat="1">
      <c r="B1910" s="15" t="str">
        <f t="shared" si="67"/>
        <v/>
      </c>
      <c r="C1910" s="16" t="str">
        <f>IFERROR(VLOOKUP(DATA!#REF!,DATA!#REF!,1,FALSE),"")</f>
        <v/>
      </c>
      <c r="D1910" s="16" t="str">
        <f>IFERROR(VLOOKUP(C1910,DATA!#REF!,2,FALSE),"")</f>
        <v/>
      </c>
    </row>
    <row r="1911" spans="2:4" s="237" customFormat="1">
      <c r="B1911" s="15" t="str">
        <f t="shared" si="67"/>
        <v/>
      </c>
      <c r="C1911" s="16" t="str">
        <f>IFERROR(VLOOKUP(DATA!#REF!,DATA!#REF!,1,FALSE),"")</f>
        <v/>
      </c>
      <c r="D1911" s="16" t="str">
        <f>IFERROR(VLOOKUP(C1911,DATA!#REF!,2,FALSE),"")</f>
        <v/>
      </c>
    </row>
    <row r="1912" spans="2:4" s="237" customFormat="1">
      <c r="B1912" s="15" t="str">
        <f t="shared" si="67"/>
        <v/>
      </c>
      <c r="C1912" s="16" t="str">
        <f>IFERROR(VLOOKUP(DATA!#REF!,DATA!#REF!,1,FALSE),"")</f>
        <v/>
      </c>
      <c r="D1912" s="16" t="str">
        <f>IFERROR(VLOOKUP(C1912,DATA!#REF!,2,FALSE),"")</f>
        <v/>
      </c>
    </row>
    <row r="1913" spans="2:4" s="237" customFormat="1">
      <c r="B1913" s="15" t="str">
        <f t="shared" si="67"/>
        <v/>
      </c>
      <c r="C1913" s="16" t="str">
        <f>IFERROR(VLOOKUP(DATA!#REF!,DATA!#REF!,1,FALSE),"")</f>
        <v/>
      </c>
      <c r="D1913" s="16" t="str">
        <f>IFERROR(VLOOKUP(C1913,DATA!#REF!,2,FALSE),"")</f>
        <v/>
      </c>
    </row>
    <row r="1914" spans="2:4" s="237" customFormat="1">
      <c r="B1914" s="15" t="str">
        <f t="shared" si="67"/>
        <v/>
      </c>
      <c r="C1914" s="16" t="str">
        <f>IFERROR(VLOOKUP(DATA!#REF!,DATA!#REF!,1,FALSE),"")</f>
        <v/>
      </c>
      <c r="D1914" s="16" t="str">
        <f>IFERROR(VLOOKUP(C1914,DATA!#REF!,2,FALSE),"")</f>
        <v/>
      </c>
    </row>
    <row r="1915" spans="2:4" s="237" customFormat="1">
      <c r="B1915" s="15" t="str">
        <f t="shared" si="67"/>
        <v/>
      </c>
      <c r="C1915" s="16" t="str">
        <f>IFERROR(VLOOKUP(DATA!#REF!,DATA!#REF!,1,FALSE),"")</f>
        <v/>
      </c>
      <c r="D1915" s="16" t="str">
        <f>IFERROR(VLOOKUP(C1915,DATA!#REF!,2,FALSE),"")</f>
        <v/>
      </c>
    </row>
    <row r="1916" spans="2:4" s="237" customFormat="1">
      <c r="B1916" s="15" t="str">
        <f t="shared" si="67"/>
        <v/>
      </c>
      <c r="C1916" s="16" t="str">
        <f>IFERROR(VLOOKUP(DATA!#REF!,DATA!#REF!,1,FALSE),"")</f>
        <v/>
      </c>
      <c r="D1916" s="16" t="str">
        <f>IFERROR(VLOOKUP(C1916,DATA!#REF!,2,FALSE),"")</f>
        <v/>
      </c>
    </row>
    <row r="1917" spans="2:4" s="237" customFormat="1">
      <c r="B1917" s="15" t="str">
        <f t="shared" si="67"/>
        <v/>
      </c>
      <c r="C1917" s="16" t="str">
        <f>IFERROR(VLOOKUP(DATA!#REF!,DATA!#REF!,1,FALSE),"")</f>
        <v/>
      </c>
      <c r="D1917" s="16" t="str">
        <f>IFERROR(VLOOKUP(C1917,DATA!#REF!,2,FALSE),"")</f>
        <v/>
      </c>
    </row>
    <row r="1918" spans="2:4" s="237" customFormat="1">
      <c r="B1918" s="15" t="str">
        <f t="shared" si="67"/>
        <v/>
      </c>
      <c r="C1918" s="16" t="str">
        <f>IFERROR(VLOOKUP(DATA!#REF!,DATA!#REF!,1,FALSE),"")</f>
        <v/>
      </c>
      <c r="D1918" s="16" t="str">
        <f>IFERROR(VLOOKUP(C1918,DATA!#REF!,2,FALSE),"")</f>
        <v/>
      </c>
    </row>
    <row r="1919" spans="2:4" s="237" customFormat="1">
      <c r="B1919" s="15" t="str">
        <f t="shared" si="67"/>
        <v/>
      </c>
      <c r="C1919" s="16" t="str">
        <f>IFERROR(VLOOKUP(DATA!#REF!,DATA!#REF!,1,FALSE),"")</f>
        <v/>
      </c>
      <c r="D1919" s="16" t="str">
        <f>IFERROR(VLOOKUP(C1919,DATA!#REF!,2,FALSE),"")</f>
        <v/>
      </c>
    </row>
    <row r="1920" spans="2:4" s="237" customFormat="1">
      <c r="B1920" s="15" t="str">
        <f t="shared" si="67"/>
        <v/>
      </c>
      <c r="C1920" s="16" t="str">
        <f>IFERROR(VLOOKUP(DATA!#REF!,DATA!#REF!,1,FALSE),"")</f>
        <v/>
      </c>
      <c r="D1920" s="16" t="str">
        <f>IFERROR(VLOOKUP(C1920,DATA!#REF!,2,FALSE),"")</f>
        <v/>
      </c>
    </row>
    <row r="1921" spans="2:4" s="237" customFormat="1">
      <c r="B1921" s="15" t="str">
        <f t="shared" si="67"/>
        <v/>
      </c>
      <c r="C1921" s="16" t="str">
        <f>IFERROR(VLOOKUP(DATA!#REF!,DATA!#REF!,1,FALSE),"")</f>
        <v/>
      </c>
      <c r="D1921" s="16" t="str">
        <f>IFERROR(VLOOKUP(C1921,DATA!#REF!,2,FALSE),"")</f>
        <v/>
      </c>
    </row>
    <row r="1922" spans="2:4" s="237" customFormat="1">
      <c r="B1922" s="15" t="str">
        <f t="shared" si="67"/>
        <v/>
      </c>
      <c r="C1922" s="16" t="str">
        <f>IFERROR(VLOOKUP(DATA!#REF!,DATA!#REF!,1,FALSE),"")</f>
        <v/>
      </c>
      <c r="D1922" s="16" t="str">
        <f>IFERROR(VLOOKUP(C1922,DATA!#REF!,2,FALSE),"")</f>
        <v/>
      </c>
    </row>
    <row r="1923" spans="2:4" s="237" customFormat="1">
      <c r="B1923" s="15" t="str">
        <f t="shared" si="67"/>
        <v/>
      </c>
      <c r="C1923" s="16" t="str">
        <f>IFERROR(VLOOKUP(DATA!#REF!,DATA!#REF!,1,FALSE),"")</f>
        <v/>
      </c>
      <c r="D1923" s="16" t="str">
        <f>IFERROR(VLOOKUP(C1923,DATA!#REF!,2,FALSE),"")</f>
        <v/>
      </c>
    </row>
    <row r="1924" spans="2:4" s="237" customFormat="1">
      <c r="B1924" s="15" t="str">
        <f t="shared" si="67"/>
        <v/>
      </c>
      <c r="C1924" s="16" t="str">
        <f>IFERROR(VLOOKUP(DATA!#REF!,DATA!#REF!,1,FALSE),"")</f>
        <v/>
      </c>
      <c r="D1924" s="16" t="str">
        <f>IFERROR(VLOOKUP(C1924,DATA!#REF!,2,FALSE),"")</f>
        <v/>
      </c>
    </row>
    <row r="1925" spans="2:4" s="237" customFormat="1">
      <c r="B1925" s="15" t="str">
        <f t="shared" si="67"/>
        <v/>
      </c>
      <c r="C1925" s="16" t="str">
        <f>IFERROR(VLOOKUP(DATA!#REF!,DATA!#REF!,1,FALSE),"")</f>
        <v/>
      </c>
      <c r="D1925" s="16" t="str">
        <f>IFERROR(VLOOKUP(C1925,DATA!#REF!,2,FALSE),"")</f>
        <v/>
      </c>
    </row>
    <row r="1926" spans="2:4" s="237" customFormat="1">
      <c r="B1926" s="15" t="str">
        <f t="shared" ref="B1926:B1989" si="68">+IF(C1926="","",ROW()-5)</f>
        <v/>
      </c>
      <c r="C1926" s="16" t="str">
        <f>IFERROR(VLOOKUP(DATA!#REF!,DATA!#REF!,1,FALSE),"")</f>
        <v/>
      </c>
      <c r="D1926" s="16" t="str">
        <f>IFERROR(VLOOKUP(C1926,DATA!#REF!,2,FALSE),"")</f>
        <v/>
      </c>
    </row>
    <row r="1927" spans="2:4" s="237" customFormat="1">
      <c r="B1927" s="15" t="str">
        <f t="shared" si="68"/>
        <v/>
      </c>
      <c r="C1927" s="16" t="str">
        <f>IFERROR(VLOOKUP(DATA!#REF!,DATA!#REF!,1,FALSE),"")</f>
        <v/>
      </c>
      <c r="D1927" s="16" t="str">
        <f>IFERROR(VLOOKUP(C1927,DATA!#REF!,2,FALSE),"")</f>
        <v/>
      </c>
    </row>
    <row r="1928" spans="2:4" s="237" customFormat="1">
      <c r="B1928" s="15" t="str">
        <f t="shared" si="68"/>
        <v/>
      </c>
      <c r="C1928" s="16" t="str">
        <f>IFERROR(VLOOKUP(DATA!#REF!,DATA!#REF!,1,FALSE),"")</f>
        <v/>
      </c>
      <c r="D1928" s="16" t="str">
        <f>IFERROR(VLOOKUP(C1928,DATA!#REF!,2,FALSE),"")</f>
        <v/>
      </c>
    </row>
    <row r="1929" spans="2:4" s="237" customFormat="1">
      <c r="B1929" s="15" t="str">
        <f t="shared" si="68"/>
        <v/>
      </c>
      <c r="C1929" s="16" t="str">
        <f>IFERROR(VLOOKUP(DATA!#REF!,DATA!#REF!,1,FALSE),"")</f>
        <v/>
      </c>
      <c r="D1929" s="16" t="str">
        <f>IFERROR(VLOOKUP(C1929,DATA!#REF!,2,FALSE),"")</f>
        <v/>
      </c>
    </row>
    <row r="1930" spans="2:4" s="237" customFormat="1">
      <c r="B1930" s="15" t="str">
        <f t="shared" si="68"/>
        <v/>
      </c>
      <c r="C1930" s="16" t="str">
        <f>IFERROR(VLOOKUP(DATA!#REF!,DATA!#REF!,1,FALSE),"")</f>
        <v/>
      </c>
      <c r="D1930" s="16" t="str">
        <f>IFERROR(VLOOKUP(C1930,DATA!#REF!,2,FALSE),"")</f>
        <v/>
      </c>
    </row>
    <row r="1931" spans="2:4" s="237" customFormat="1">
      <c r="B1931" s="15" t="str">
        <f t="shared" si="68"/>
        <v/>
      </c>
      <c r="C1931" s="16" t="str">
        <f>IFERROR(VLOOKUP(DATA!#REF!,DATA!#REF!,1,FALSE),"")</f>
        <v/>
      </c>
      <c r="D1931" s="16" t="str">
        <f>IFERROR(VLOOKUP(C1931,DATA!#REF!,2,FALSE),"")</f>
        <v/>
      </c>
    </row>
    <row r="1932" spans="2:4" s="237" customFormat="1">
      <c r="B1932" s="15" t="str">
        <f t="shared" si="68"/>
        <v/>
      </c>
      <c r="C1932" s="16" t="str">
        <f>IFERROR(VLOOKUP(DATA!#REF!,DATA!#REF!,1,FALSE),"")</f>
        <v/>
      </c>
      <c r="D1932" s="16" t="str">
        <f>IFERROR(VLOOKUP(C1932,DATA!#REF!,2,FALSE),"")</f>
        <v/>
      </c>
    </row>
    <row r="1933" spans="2:4" s="237" customFormat="1">
      <c r="B1933" s="15" t="str">
        <f t="shared" si="68"/>
        <v/>
      </c>
      <c r="C1933" s="16" t="str">
        <f>IFERROR(VLOOKUP(DATA!#REF!,DATA!#REF!,1,FALSE),"")</f>
        <v/>
      </c>
      <c r="D1933" s="16" t="str">
        <f>IFERROR(VLOOKUP(C1933,DATA!#REF!,2,FALSE),"")</f>
        <v/>
      </c>
    </row>
    <row r="1934" spans="2:4" s="237" customFormat="1">
      <c r="B1934" s="15" t="str">
        <f t="shared" si="68"/>
        <v/>
      </c>
      <c r="C1934" s="16" t="str">
        <f>IFERROR(VLOOKUP(DATA!#REF!,DATA!#REF!,1,FALSE),"")</f>
        <v/>
      </c>
      <c r="D1934" s="16" t="str">
        <f>IFERROR(VLOOKUP(C1934,DATA!#REF!,2,FALSE),"")</f>
        <v/>
      </c>
    </row>
    <row r="1935" spans="2:4" s="237" customFormat="1">
      <c r="B1935" s="15" t="str">
        <f t="shared" si="68"/>
        <v/>
      </c>
      <c r="C1935" s="16" t="str">
        <f>IFERROR(VLOOKUP(DATA!#REF!,DATA!#REF!,1,FALSE),"")</f>
        <v/>
      </c>
      <c r="D1935" s="16" t="str">
        <f>IFERROR(VLOOKUP(C1935,DATA!#REF!,2,FALSE),"")</f>
        <v/>
      </c>
    </row>
    <row r="1936" spans="2:4" s="237" customFormat="1">
      <c r="B1936" s="15" t="str">
        <f t="shared" si="68"/>
        <v/>
      </c>
      <c r="C1936" s="16" t="str">
        <f>IFERROR(VLOOKUP(DATA!#REF!,DATA!#REF!,1,FALSE),"")</f>
        <v/>
      </c>
      <c r="D1936" s="16" t="str">
        <f>IFERROR(VLOOKUP(C1936,DATA!#REF!,2,FALSE),"")</f>
        <v/>
      </c>
    </row>
    <row r="1937" spans="2:4" s="237" customFormat="1">
      <c r="B1937" s="15" t="str">
        <f t="shared" si="68"/>
        <v/>
      </c>
      <c r="C1937" s="16" t="str">
        <f>IFERROR(VLOOKUP(DATA!#REF!,DATA!#REF!,1,FALSE),"")</f>
        <v/>
      </c>
      <c r="D1937" s="16" t="str">
        <f>IFERROR(VLOOKUP(C1937,DATA!#REF!,2,FALSE),"")</f>
        <v/>
      </c>
    </row>
    <row r="1938" spans="2:4" s="237" customFormat="1">
      <c r="B1938" s="15" t="str">
        <f t="shared" si="68"/>
        <v/>
      </c>
      <c r="C1938" s="16" t="str">
        <f>IFERROR(VLOOKUP(DATA!#REF!,DATA!#REF!,1,FALSE),"")</f>
        <v/>
      </c>
      <c r="D1938" s="16" t="str">
        <f>IFERROR(VLOOKUP(C1938,DATA!#REF!,2,FALSE),"")</f>
        <v/>
      </c>
    </row>
    <row r="1939" spans="2:4" s="237" customFormat="1">
      <c r="B1939" s="15" t="str">
        <f t="shared" si="68"/>
        <v/>
      </c>
      <c r="C1939" s="16" t="str">
        <f>IFERROR(VLOOKUP(DATA!#REF!,DATA!#REF!,1,FALSE),"")</f>
        <v/>
      </c>
      <c r="D1939" s="16" t="str">
        <f>IFERROR(VLOOKUP(C1939,DATA!#REF!,2,FALSE),"")</f>
        <v/>
      </c>
    </row>
    <row r="1940" spans="2:4" s="237" customFormat="1">
      <c r="B1940" s="15" t="str">
        <f t="shared" si="68"/>
        <v/>
      </c>
      <c r="C1940" s="16" t="str">
        <f>IFERROR(VLOOKUP(DATA!#REF!,DATA!#REF!,1,FALSE),"")</f>
        <v/>
      </c>
      <c r="D1940" s="16" t="str">
        <f>IFERROR(VLOOKUP(C1940,DATA!#REF!,2,FALSE),"")</f>
        <v/>
      </c>
    </row>
    <row r="1941" spans="2:4" s="237" customFormat="1">
      <c r="B1941" s="15" t="str">
        <f t="shared" si="68"/>
        <v/>
      </c>
      <c r="C1941" s="16" t="str">
        <f>IFERROR(VLOOKUP(DATA!#REF!,DATA!#REF!,1,FALSE),"")</f>
        <v/>
      </c>
      <c r="D1941" s="16" t="str">
        <f>IFERROR(VLOOKUP(C1941,DATA!#REF!,2,FALSE),"")</f>
        <v/>
      </c>
    </row>
    <row r="1942" spans="2:4" s="237" customFormat="1">
      <c r="B1942" s="15" t="str">
        <f t="shared" si="68"/>
        <v/>
      </c>
      <c r="C1942" s="16" t="str">
        <f>IFERROR(VLOOKUP(DATA!#REF!,DATA!#REF!,1,FALSE),"")</f>
        <v/>
      </c>
      <c r="D1942" s="16" t="str">
        <f>IFERROR(VLOOKUP(C1942,DATA!#REF!,2,FALSE),"")</f>
        <v/>
      </c>
    </row>
    <row r="1943" spans="2:4" s="237" customFormat="1">
      <c r="B1943" s="15" t="str">
        <f t="shared" si="68"/>
        <v/>
      </c>
      <c r="C1943" s="16" t="str">
        <f>IFERROR(VLOOKUP(DATA!#REF!,DATA!#REF!,1,FALSE),"")</f>
        <v/>
      </c>
      <c r="D1943" s="16" t="str">
        <f>IFERROR(VLOOKUP(C1943,DATA!#REF!,2,FALSE),"")</f>
        <v/>
      </c>
    </row>
    <row r="1944" spans="2:4" s="237" customFormat="1">
      <c r="B1944" s="15" t="str">
        <f t="shared" si="68"/>
        <v/>
      </c>
      <c r="C1944" s="16" t="str">
        <f>IFERROR(VLOOKUP(DATA!#REF!,DATA!#REF!,1,FALSE),"")</f>
        <v/>
      </c>
      <c r="D1944" s="16" t="str">
        <f>IFERROR(VLOOKUP(C1944,DATA!#REF!,2,FALSE),"")</f>
        <v/>
      </c>
    </row>
    <row r="1945" spans="2:4" s="237" customFormat="1">
      <c r="B1945" s="15" t="str">
        <f t="shared" si="68"/>
        <v/>
      </c>
      <c r="C1945" s="16" t="str">
        <f>IFERROR(VLOOKUP(DATA!#REF!,DATA!#REF!,1,FALSE),"")</f>
        <v/>
      </c>
      <c r="D1945" s="16" t="str">
        <f>IFERROR(VLOOKUP(C1945,DATA!#REF!,2,FALSE),"")</f>
        <v/>
      </c>
    </row>
    <row r="1946" spans="2:4" s="237" customFormat="1">
      <c r="B1946" s="15" t="str">
        <f t="shared" si="68"/>
        <v/>
      </c>
      <c r="C1946" s="16" t="str">
        <f>IFERROR(VLOOKUP(DATA!#REF!,DATA!#REF!,1,FALSE),"")</f>
        <v/>
      </c>
      <c r="D1946" s="16" t="str">
        <f>IFERROR(VLOOKUP(C1946,DATA!#REF!,2,FALSE),"")</f>
        <v/>
      </c>
    </row>
    <row r="1947" spans="2:4" s="237" customFormat="1">
      <c r="B1947" s="15" t="str">
        <f t="shared" si="68"/>
        <v/>
      </c>
      <c r="C1947" s="16" t="str">
        <f>IFERROR(VLOOKUP(DATA!#REF!,DATA!#REF!,1,FALSE),"")</f>
        <v/>
      </c>
      <c r="D1947" s="16" t="str">
        <f>IFERROR(VLOOKUP(C1947,DATA!#REF!,2,FALSE),"")</f>
        <v/>
      </c>
    </row>
    <row r="1948" spans="2:4" s="237" customFormat="1">
      <c r="B1948" s="15" t="str">
        <f t="shared" si="68"/>
        <v/>
      </c>
      <c r="C1948" s="16" t="str">
        <f>IFERROR(VLOOKUP(DATA!#REF!,DATA!#REF!,1,FALSE),"")</f>
        <v/>
      </c>
      <c r="D1948" s="16" t="str">
        <f>IFERROR(VLOOKUP(C1948,DATA!#REF!,2,FALSE),"")</f>
        <v/>
      </c>
    </row>
    <row r="1949" spans="2:4" s="237" customFormat="1">
      <c r="B1949" s="15" t="str">
        <f t="shared" si="68"/>
        <v/>
      </c>
      <c r="C1949" s="16" t="str">
        <f>IFERROR(VLOOKUP(DATA!#REF!,DATA!#REF!,1,FALSE),"")</f>
        <v/>
      </c>
      <c r="D1949" s="16" t="str">
        <f>IFERROR(VLOOKUP(C1949,DATA!#REF!,2,FALSE),"")</f>
        <v/>
      </c>
    </row>
    <row r="1950" spans="2:4" s="237" customFormat="1">
      <c r="B1950" s="15" t="str">
        <f t="shared" si="68"/>
        <v/>
      </c>
      <c r="C1950" s="16" t="str">
        <f>IFERROR(VLOOKUP(DATA!#REF!,DATA!#REF!,1,FALSE),"")</f>
        <v/>
      </c>
      <c r="D1950" s="16" t="str">
        <f>IFERROR(VLOOKUP(C1950,DATA!#REF!,2,FALSE),"")</f>
        <v/>
      </c>
    </row>
    <row r="1951" spans="2:4" s="237" customFormat="1">
      <c r="B1951" s="15" t="str">
        <f t="shared" si="68"/>
        <v/>
      </c>
      <c r="C1951" s="16" t="str">
        <f>IFERROR(VLOOKUP(DATA!#REF!,DATA!#REF!,1,FALSE),"")</f>
        <v/>
      </c>
      <c r="D1951" s="16" t="str">
        <f>IFERROR(VLOOKUP(C1951,DATA!#REF!,2,FALSE),"")</f>
        <v/>
      </c>
    </row>
    <row r="1952" spans="2:4" s="237" customFormat="1">
      <c r="B1952" s="15" t="str">
        <f t="shared" si="68"/>
        <v/>
      </c>
      <c r="C1952" s="16" t="str">
        <f>IFERROR(VLOOKUP(DATA!#REF!,DATA!#REF!,1,FALSE),"")</f>
        <v/>
      </c>
      <c r="D1952" s="16" t="str">
        <f>IFERROR(VLOOKUP(C1952,DATA!#REF!,2,FALSE),"")</f>
        <v/>
      </c>
    </row>
    <row r="1953" spans="2:4" s="237" customFormat="1">
      <c r="B1953" s="15" t="str">
        <f t="shared" si="68"/>
        <v/>
      </c>
      <c r="C1953" s="16" t="str">
        <f>IFERROR(VLOOKUP(DATA!#REF!,DATA!#REF!,1,FALSE),"")</f>
        <v/>
      </c>
      <c r="D1953" s="16" t="str">
        <f>IFERROR(VLOOKUP(C1953,DATA!#REF!,2,FALSE),"")</f>
        <v/>
      </c>
    </row>
    <row r="1954" spans="2:4" s="237" customFormat="1">
      <c r="B1954" s="15" t="str">
        <f t="shared" si="68"/>
        <v/>
      </c>
      <c r="C1954" s="16" t="str">
        <f>IFERROR(VLOOKUP(DATA!#REF!,DATA!#REF!,1,FALSE),"")</f>
        <v/>
      </c>
      <c r="D1954" s="16" t="str">
        <f>IFERROR(VLOOKUP(C1954,DATA!#REF!,2,FALSE),"")</f>
        <v/>
      </c>
    </row>
    <row r="1955" spans="2:4" s="237" customFormat="1">
      <c r="B1955" s="15" t="str">
        <f t="shared" si="68"/>
        <v/>
      </c>
      <c r="C1955" s="16" t="str">
        <f>IFERROR(VLOOKUP(DATA!#REF!,DATA!#REF!,1,FALSE),"")</f>
        <v/>
      </c>
      <c r="D1955" s="16" t="str">
        <f>IFERROR(VLOOKUP(C1955,DATA!#REF!,2,FALSE),"")</f>
        <v/>
      </c>
    </row>
    <row r="1956" spans="2:4" s="237" customFormat="1">
      <c r="B1956" s="15" t="str">
        <f t="shared" si="68"/>
        <v/>
      </c>
      <c r="C1956" s="16" t="str">
        <f>IFERROR(VLOOKUP(DATA!#REF!,DATA!#REF!,1,FALSE),"")</f>
        <v/>
      </c>
      <c r="D1956" s="16" t="str">
        <f>IFERROR(VLOOKUP(C1956,DATA!#REF!,2,FALSE),"")</f>
        <v/>
      </c>
    </row>
    <row r="1957" spans="2:4" s="237" customFormat="1">
      <c r="B1957" s="15" t="str">
        <f t="shared" si="68"/>
        <v/>
      </c>
      <c r="C1957" s="16" t="str">
        <f>IFERROR(VLOOKUP(DATA!#REF!,DATA!#REF!,1,FALSE),"")</f>
        <v/>
      </c>
      <c r="D1957" s="16" t="str">
        <f>IFERROR(VLOOKUP(C1957,DATA!#REF!,2,FALSE),"")</f>
        <v/>
      </c>
    </row>
    <row r="1958" spans="2:4" s="237" customFormat="1">
      <c r="B1958" s="15" t="str">
        <f t="shared" si="68"/>
        <v/>
      </c>
      <c r="C1958" s="16" t="str">
        <f>IFERROR(VLOOKUP(DATA!#REF!,DATA!#REF!,1,FALSE),"")</f>
        <v/>
      </c>
      <c r="D1958" s="16" t="str">
        <f>IFERROR(VLOOKUP(C1958,DATA!#REF!,2,FALSE),"")</f>
        <v/>
      </c>
    </row>
    <row r="1959" spans="2:4" s="237" customFormat="1">
      <c r="B1959" s="15" t="str">
        <f t="shared" si="68"/>
        <v/>
      </c>
      <c r="C1959" s="16" t="str">
        <f>IFERROR(VLOOKUP(DATA!#REF!,DATA!#REF!,1,FALSE),"")</f>
        <v/>
      </c>
      <c r="D1959" s="16" t="str">
        <f>IFERROR(VLOOKUP(C1959,DATA!#REF!,2,FALSE),"")</f>
        <v/>
      </c>
    </row>
    <row r="1960" spans="2:4" s="237" customFormat="1">
      <c r="B1960" s="15" t="str">
        <f t="shared" si="68"/>
        <v/>
      </c>
      <c r="C1960" s="16" t="str">
        <f>IFERROR(VLOOKUP(DATA!#REF!,DATA!#REF!,1,FALSE),"")</f>
        <v/>
      </c>
      <c r="D1960" s="16" t="str">
        <f>IFERROR(VLOOKUP(C1960,DATA!#REF!,2,FALSE),"")</f>
        <v/>
      </c>
    </row>
    <row r="1961" spans="2:4" s="237" customFormat="1">
      <c r="B1961" s="15" t="str">
        <f t="shared" si="68"/>
        <v/>
      </c>
      <c r="C1961" s="16" t="str">
        <f>IFERROR(VLOOKUP(DATA!#REF!,DATA!#REF!,1,FALSE),"")</f>
        <v/>
      </c>
      <c r="D1961" s="16" t="str">
        <f>IFERROR(VLOOKUP(C1961,DATA!#REF!,2,FALSE),"")</f>
        <v/>
      </c>
    </row>
    <row r="1962" spans="2:4" s="237" customFormat="1">
      <c r="B1962" s="15" t="str">
        <f t="shared" si="68"/>
        <v/>
      </c>
      <c r="C1962" s="16" t="str">
        <f>IFERROR(VLOOKUP(DATA!#REF!,DATA!#REF!,1,FALSE),"")</f>
        <v/>
      </c>
      <c r="D1962" s="16" t="str">
        <f>IFERROR(VLOOKUP(C1962,DATA!#REF!,2,FALSE),"")</f>
        <v/>
      </c>
    </row>
    <row r="1963" spans="2:4" s="237" customFormat="1">
      <c r="B1963" s="15" t="str">
        <f t="shared" si="68"/>
        <v/>
      </c>
      <c r="C1963" s="16" t="str">
        <f>IFERROR(VLOOKUP(DATA!#REF!,DATA!#REF!,1,FALSE),"")</f>
        <v/>
      </c>
      <c r="D1963" s="16" t="str">
        <f>IFERROR(VLOOKUP(C1963,DATA!#REF!,2,FALSE),"")</f>
        <v/>
      </c>
    </row>
    <row r="1964" spans="2:4" s="237" customFormat="1">
      <c r="B1964" s="15" t="str">
        <f t="shared" si="68"/>
        <v/>
      </c>
      <c r="C1964" s="16" t="str">
        <f>IFERROR(VLOOKUP(DATA!#REF!,DATA!#REF!,1,FALSE),"")</f>
        <v/>
      </c>
      <c r="D1964" s="16" t="str">
        <f>IFERROR(VLOOKUP(C1964,DATA!#REF!,2,FALSE),"")</f>
        <v/>
      </c>
    </row>
    <row r="1965" spans="2:4" s="237" customFormat="1">
      <c r="B1965" s="15" t="str">
        <f t="shared" si="68"/>
        <v/>
      </c>
      <c r="C1965" s="16" t="str">
        <f>IFERROR(VLOOKUP(DATA!#REF!,DATA!#REF!,1,FALSE),"")</f>
        <v/>
      </c>
      <c r="D1965" s="16" t="str">
        <f>IFERROR(VLOOKUP(C1965,DATA!#REF!,2,FALSE),"")</f>
        <v/>
      </c>
    </row>
    <row r="1966" spans="2:4" s="237" customFormat="1">
      <c r="B1966" s="15" t="str">
        <f t="shared" si="68"/>
        <v/>
      </c>
      <c r="C1966" s="16" t="str">
        <f>IFERROR(VLOOKUP(DATA!#REF!,DATA!#REF!,1,FALSE),"")</f>
        <v/>
      </c>
      <c r="D1966" s="16" t="str">
        <f>IFERROR(VLOOKUP(C1966,DATA!#REF!,2,FALSE),"")</f>
        <v/>
      </c>
    </row>
    <row r="1967" spans="2:4" s="237" customFormat="1">
      <c r="B1967" s="15" t="str">
        <f t="shared" si="68"/>
        <v/>
      </c>
      <c r="C1967" s="16" t="str">
        <f>IFERROR(VLOOKUP(DATA!#REF!,DATA!#REF!,1,FALSE),"")</f>
        <v/>
      </c>
      <c r="D1967" s="16" t="str">
        <f>IFERROR(VLOOKUP(C1967,DATA!#REF!,2,FALSE),"")</f>
        <v/>
      </c>
    </row>
    <row r="1968" spans="2:4" s="237" customFormat="1">
      <c r="B1968" s="15" t="str">
        <f t="shared" si="68"/>
        <v/>
      </c>
      <c r="C1968" s="16" t="str">
        <f>IFERROR(VLOOKUP(DATA!#REF!,DATA!#REF!,1,FALSE),"")</f>
        <v/>
      </c>
      <c r="D1968" s="16" t="str">
        <f>IFERROR(VLOOKUP(C1968,DATA!#REF!,2,FALSE),"")</f>
        <v/>
      </c>
    </row>
    <row r="1969" spans="2:4" s="237" customFormat="1">
      <c r="B1969" s="15" t="str">
        <f t="shared" si="68"/>
        <v/>
      </c>
      <c r="C1969" s="16" t="str">
        <f>IFERROR(VLOOKUP(DATA!#REF!,DATA!#REF!,1,FALSE),"")</f>
        <v/>
      </c>
      <c r="D1969" s="16" t="str">
        <f>IFERROR(VLOOKUP(C1969,DATA!#REF!,2,FALSE),"")</f>
        <v/>
      </c>
    </row>
    <row r="1970" spans="2:4" s="237" customFormat="1">
      <c r="B1970" s="15" t="str">
        <f t="shared" si="68"/>
        <v/>
      </c>
      <c r="C1970" s="16" t="str">
        <f>IFERROR(VLOOKUP(DATA!#REF!,DATA!#REF!,1,FALSE),"")</f>
        <v/>
      </c>
      <c r="D1970" s="16" t="str">
        <f>IFERROR(VLOOKUP(C1970,DATA!#REF!,2,FALSE),"")</f>
        <v/>
      </c>
    </row>
    <row r="1971" spans="2:4" s="237" customFormat="1">
      <c r="B1971" s="15" t="str">
        <f t="shared" si="68"/>
        <v/>
      </c>
      <c r="C1971" s="16" t="str">
        <f>IFERROR(VLOOKUP(DATA!#REF!,DATA!#REF!,1,FALSE),"")</f>
        <v/>
      </c>
      <c r="D1971" s="16" t="str">
        <f>IFERROR(VLOOKUP(C1971,DATA!#REF!,2,FALSE),"")</f>
        <v/>
      </c>
    </row>
    <row r="1972" spans="2:4" s="237" customFormat="1">
      <c r="B1972" s="15" t="str">
        <f t="shared" si="68"/>
        <v/>
      </c>
      <c r="C1972" s="16" t="str">
        <f>IFERROR(VLOOKUP(DATA!#REF!,DATA!#REF!,1,FALSE),"")</f>
        <v/>
      </c>
      <c r="D1972" s="16" t="str">
        <f>IFERROR(VLOOKUP(C1972,DATA!#REF!,2,FALSE),"")</f>
        <v/>
      </c>
    </row>
    <row r="1973" spans="2:4" s="237" customFormat="1">
      <c r="B1973" s="15" t="str">
        <f t="shared" si="68"/>
        <v/>
      </c>
      <c r="C1973" s="16" t="str">
        <f>IFERROR(VLOOKUP(DATA!#REF!,DATA!#REF!,1,FALSE),"")</f>
        <v/>
      </c>
      <c r="D1973" s="16" t="str">
        <f>IFERROR(VLOOKUP(C1973,DATA!#REF!,2,FALSE),"")</f>
        <v/>
      </c>
    </row>
    <row r="1974" spans="2:4" s="237" customFormat="1">
      <c r="B1974" s="15" t="str">
        <f t="shared" si="68"/>
        <v/>
      </c>
      <c r="C1974" s="16" t="str">
        <f>IFERROR(VLOOKUP(DATA!#REF!,DATA!#REF!,1,FALSE),"")</f>
        <v/>
      </c>
      <c r="D1974" s="16" t="str">
        <f>IFERROR(VLOOKUP(C1974,DATA!#REF!,2,FALSE),"")</f>
        <v/>
      </c>
    </row>
    <row r="1975" spans="2:4" s="237" customFormat="1">
      <c r="B1975" s="15" t="str">
        <f t="shared" si="68"/>
        <v/>
      </c>
      <c r="C1975" s="16" t="str">
        <f>IFERROR(VLOOKUP(DATA!#REF!,DATA!#REF!,1,FALSE),"")</f>
        <v/>
      </c>
      <c r="D1975" s="16" t="str">
        <f>IFERROR(VLOOKUP(C1975,DATA!#REF!,2,FALSE),"")</f>
        <v/>
      </c>
    </row>
    <row r="1976" spans="2:4" s="237" customFormat="1">
      <c r="B1976" s="15" t="str">
        <f t="shared" si="68"/>
        <v/>
      </c>
      <c r="C1976" s="16" t="str">
        <f>IFERROR(VLOOKUP(DATA!#REF!,DATA!#REF!,1,FALSE),"")</f>
        <v/>
      </c>
      <c r="D1976" s="16" t="str">
        <f>IFERROR(VLOOKUP(C1976,DATA!#REF!,2,FALSE),"")</f>
        <v/>
      </c>
    </row>
    <row r="1977" spans="2:4" s="237" customFormat="1">
      <c r="B1977" s="15" t="str">
        <f t="shared" si="68"/>
        <v/>
      </c>
      <c r="C1977" s="16" t="str">
        <f>IFERROR(VLOOKUP(DATA!#REF!,DATA!#REF!,1,FALSE),"")</f>
        <v/>
      </c>
      <c r="D1977" s="16" t="str">
        <f>IFERROR(VLOOKUP(C1977,DATA!#REF!,2,FALSE),"")</f>
        <v/>
      </c>
    </row>
    <row r="1978" spans="2:4" s="237" customFormat="1">
      <c r="B1978" s="15" t="str">
        <f t="shared" si="68"/>
        <v/>
      </c>
      <c r="C1978" s="16" t="str">
        <f>IFERROR(VLOOKUP(DATA!#REF!,DATA!#REF!,1,FALSE),"")</f>
        <v/>
      </c>
      <c r="D1978" s="16" t="str">
        <f>IFERROR(VLOOKUP(C1978,DATA!#REF!,2,FALSE),"")</f>
        <v/>
      </c>
    </row>
    <row r="1979" spans="2:4" s="237" customFormat="1">
      <c r="B1979" s="15" t="str">
        <f t="shared" si="68"/>
        <v/>
      </c>
      <c r="C1979" s="16" t="str">
        <f>IFERROR(VLOOKUP(DATA!#REF!,DATA!#REF!,1,FALSE),"")</f>
        <v/>
      </c>
      <c r="D1979" s="16" t="str">
        <f>IFERROR(VLOOKUP(C1979,DATA!#REF!,2,FALSE),"")</f>
        <v/>
      </c>
    </row>
    <row r="1980" spans="2:4" s="237" customFormat="1">
      <c r="B1980" s="15" t="str">
        <f t="shared" si="68"/>
        <v/>
      </c>
      <c r="C1980" s="16" t="str">
        <f>IFERROR(VLOOKUP(DATA!#REF!,DATA!#REF!,1,FALSE),"")</f>
        <v/>
      </c>
      <c r="D1980" s="16" t="str">
        <f>IFERROR(VLOOKUP(C1980,DATA!#REF!,2,FALSE),"")</f>
        <v/>
      </c>
    </row>
    <row r="1981" spans="2:4" s="237" customFormat="1">
      <c r="B1981" s="15" t="str">
        <f t="shared" si="68"/>
        <v/>
      </c>
      <c r="C1981" s="16" t="str">
        <f>IFERROR(VLOOKUP(DATA!#REF!,DATA!#REF!,1,FALSE),"")</f>
        <v/>
      </c>
      <c r="D1981" s="16" t="str">
        <f>IFERROR(VLOOKUP(C1981,DATA!#REF!,2,FALSE),"")</f>
        <v/>
      </c>
    </row>
    <row r="1982" spans="2:4" s="237" customFormat="1">
      <c r="B1982" s="15" t="str">
        <f t="shared" si="68"/>
        <v/>
      </c>
      <c r="C1982" s="16" t="str">
        <f>IFERROR(VLOOKUP(DATA!#REF!,DATA!#REF!,1,FALSE),"")</f>
        <v/>
      </c>
      <c r="D1982" s="16" t="str">
        <f>IFERROR(VLOOKUP(C1982,DATA!#REF!,2,FALSE),"")</f>
        <v/>
      </c>
    </row>
    <row r="1983" spans="2:4" s="237" customFormat="1">
      <c r="B1983" s="15" t="str">
        <f t="shared" si="68"/>
        <v/>
      </c>
      <c r="C1983" s="16" t="str">
        <f>IFERROR(VLOOKUP(DATA!#REF!,DATA!#REF!,1,FALSE),"")</f>
        <v/>
      </c>
      <c r="D1983" s="16" t="str">
        <f>IFERROR(VLOOKUP(C1983,DATA!#REF!,2,FALSE),"")</f>
        <v/>
      </c>
    </row>
    <row r="1984" spans="2:4" s="237" customFormat="1">
      <c r="B1984" s="15" t="str">
        <f t="shared" si="68"/>
        <v/>
      </c>
      <c r="C1984" s="16" t="str">
        <f>IFERROR(VLOOKUP(DATA!#REF!,DATA!#REF!,1,FALSE),"")</f>
        <v/>
      </c>
      <c r="D1984" s="16" t="str">
        <f>IFERROR(VLOOKUP(C1984,DATA!#REF!,2,FALSE),"")</f>
        <v/>
      </c>
    </row>
    <row r="1985" spans="2:4" s="237" customFormat="1">
      <c r="B1985" s="15" t="str">
        <f t="shared" si="68"/>
        <v/>
      </c>
      <c r="C1985" s="16" t="str">
        <f>IFERROR(VLOOKUP(DATA!#REF!,DATA!#REF!,1,FALSE),"")</f>
        <v/>
      </c>
      <c r="D1985" s="16" t="str">
        <f>IFERROR(VLOOKUP(C1985,DATA!#REF!,2,FALSE),"")</f>
        <v/>
      </c>
    </row>
    <row r="1986" spans="2:4" s="237" customFormat="1">
      <c r="B1986" s="15" t="str">
        <f t="shared" si="68"/>
        <v/>
      </c>
      <c r="C1986" s="16" t="str">
        <f>IFERROR(VLOOKUP(DATA!#REF!,DATA!#REF!,1,FALSE),"")</f>
        <v/>
      </c>
      <c r="D1986" s="16" t="str">
        <f>IFERROR(VLOOKUP(C1986,DATA!#REF!,2,FALSE),"")</f>
        <v/>
      </c>
    </row>
    <row r="1987" spans="2:4" s="237" customFormat="1">
      <c r="B1987" s="15" t="str">
        <f t="shared" si="68"/>
        <v/>
      </c>
      <c r="C1987" s="16" t="str">
        <f>IFERROR(VLOOKUP(DATA!#REF!,DATA!#REF!,1,FALSE),"")</f>
        <v/>
      </c>
      <c r="D1987" s="16" t="str">
        <f>IFERROR(VLOOKUP(C1987,DATA!#REF!,2,FALSE),"")</f>
        <v/>
      </c>
    </row>
    <row r="1988" spans="2:4" s="237" customFormat="1">
      <c r="B1988" s="15" t="str">
        <f t="shared" si="68"/>
        <v/>
      </c>
      <c r="C1988" s="16" t="str">
        <f>IFERROR(VLOOKUP(DATA!#REF!,DATA!#REF!,1,FALSE),"")</f>
        <v/>
      </c>
      <c r="D1988" s="16" t="str">
        <f>IFERROR(VLOOKUP(C1988,DATA!#REF!,2,FALSE),"")</f>
        <v/>
      </c>
    </row>
    <row r="1989" spans="2:4" s="237" customFormat="1">
      <c r="B1989" s="15" t="str">
        <f t="shared" si="68"/>
        <v/>
      </c>
      <c r="C1989" s="16" t="str">
        <f>IFERROR(VLOOKUP(DATA!#REF!,DATA!#REF!,1,FALSE),"")</f>
        <v/>
      </c>
      <c r="D1989" s="16" t="str">
        <f>IFERROR(VLOOKUP(C1989,DATA!#REF!,2,FALSE),"")</f>
        <v/>
      </c>
    </row>
    <row r="1990" spans="2:4" s="237" customFormat="1">
      <c r="B1990" s="15" t="str">
        <f t="shared" ref="B1990:B2053" si="69">+IF(C1990="","",ROW()-5)</f>
        <v/>
      </c>
      <c r="C1990" s="16" t="str">
        <f>IFERROR(VLOOKUP(DATA!#REF!,DATA!#REF!,1,FALSE),"")</f>
        <v/>
      </c>
      <c r="D1990" s="16" t="str">
        <f>IFERROR(VLOOKUP(C1990,DATA!#REF!,2,FALSE),"")</f>
        <v/>
      </c>
    </row>
    <row r="1991" spans="2:4" s="237" customFormat="1">
      <c r="B1991" s="15" t="str">
        <f t="shared" si="69"/>
        <v/>
      </c>
      <c r="C1991" s="16" t="str">
        <f>IFERROR(VLOOKUP(DATA!#REF!,DATA!#REF!,1,FALSE),"")</f>
        <v/>
      </c>
      <c r="D1991" s="16" t="str">
        <f>IFERROR(VLOOKUP(C1991,DATA!#REF!,2,FALSE),"")</f>
        <v/>
      </c>
    </row>
    <row r="1992" spans="2:4" s="237" customFormat="1">
      <c r="B1992" s="15" t="str">
        <f t="shared" si="69"/>
        <v/>
      </c>
      <c r="C1992" s="16" t="str">
        <f>IFERROR(VLOOKUP(DATA!#REF!,DATA!#REF!,1,FALSE),"")</f>
        <v/>
      </c>
      <c r="D1992" s="16" t="str">
        <f>IFERROR(VLOOKUP(C1992,DATA!#REF!,2,FALSE),"")</f>
        <v/>
      </c>
    </row>
    <row r="1993" spans="2:4" s="237" customFormat="1">
      <c r="B1993" s="15" t="str">
        <f t="shared" si="69"/>
        <v/>
      </c>
      <c r="C1993" s="16" t="str">
        <f>IFERROR(VLOOKUP(DATA!#REF!,DATA!#REF!,1,FALSE),"")</f>
        <v/>
      </c>
      <c r="D1993" s="16" t="str">
        <f>IFERROR(VLOOKUP(C1993,DATA!#REF!,2,FALSE),"")</f>
        <v/>
      </c>
    </row>
    <row r="1994" spans="2:4" s="237" customFormat="1">
      <c r="B1994" s="15" t="str">
        <f t="shared" si="69"/>
        <v/>
      </c>
      <c r="C1994" s="16" t="str">
        <f>IFERROR(VLOOKUP(DATA!#REF!,DATA!#REF!,1,FALSE),"")</f>
        <v/>
      </c>
      <c r="D1994" s="16" t="str">
        <f>IFERROR(VLOOKUP(C1994,DATA!#REF!,2,FALSE),"")</f>
        <v/>
      </c>
    </row>
    <row r="1995" spans="2:4" s="237" customFormat="1">
      <c r="B1995" s="15" t="str">
        <f t="shared" si="69"/>
        <v/>
      </c>
      <c r="C1995" s="16" t="str">
        <f>IFERROR(VLOOKUP(DATA!#REF!,DATA!#REF!,1,FALSE),"")</f>
        <v/>
      </c>
      <c r="D1995" s="16" t="str">
        <f>IFERROR(VLOOKUP(C1995,DATA!#REF!,2,FALSE),"")</f>
        <v/>
      </c>
    </row>
    <row r="1996" spans="2:4" s="237" customFormat="1">
      <c r="B1996" s="15" t="str">
        <f t="shared" si="69"/>
        <v/>
      </c>
      <c r="C1996" s="16" t="str">
        <f>IFERROR(VLOOKUP(DATA!#REF!,DATA!#REF!,1,FALSE),"")</f>
        <v/>
      </c>
      <c r="D1996" s="16" t="str">
        <f>IFERROR(VLOOKUP(C1996,DATA!#REF!,2,FALSE),"")</f>
        <v/>
      </c>
    </row>
    <row r="1997" spans="2:4" s="237" customFormat="1">
      <c r="B1997" s="15" t="str">
        <f t="shared" si="69"/>
        <v/>
      </c>
      <c r="C1997" s="16" t="str">
        <f>IFERROR(VLOOKUP(DATA!#REF!,DATA!#REF!,1,FALSE),"")</f>
        <v/>
      </c>
      <c r="D1997" s="16" t="str">
        <f>IFERROR(VLOOKUP(C1997,DATA!#REF!,2,FALSE),"")</f>
        <v/>
      </c>
    </row>
    <row r="1998" spans="2:4" s="237" customFormat="1">
      <c r="B1998" s="15" t="str">
        <f t="shared" si="69"/>
        <v/>
      </c>
      <c r="C1998" s="16" t="str">
        <f>IFERROR(VLOOKUP(DATA!#REF!,DATA!#REF!,1,FALSE),"")</f>
        <v/>
      </c>
      <c r="D1998" s="16" t="str">
        <f>IFERROR(VLOOKUP(C1998,DATA!#REF!,2,FALSE),"")</f>
        <v/>
      </c>
    </row>
    <row r="1999" spans="2:4" s="237" customFormat="1">
      <c r="B1999" s="15" t="str">
        <f t="shared" si="69"/>
        <v/>
      </c>
      <c r="C1999" s="16" t="str">
        <f>IFERROR(VLOOKUP(DATA!#REF!,DATA!#REF!,1,FALSE),"")</f>
        <v/>
      </c>
      <c r="D1999" s="16" t="str">
        <f>IFERROR(VLOOKUP(C1999,DATA!#REF!,2,FALSE),"")</f>
        <v/>
      </c>
    </row>
    <row r="2000" spans="2:4" s="237" customFormat="1">
      <c r="B2000" s="15" t="str">
        <f t="shared" si="69"/>
        <v/>
      </c>
      <c r="C2000" s="16" t="str">
        <f>IFERROR(VLOOKUP(DATA!#REF!,DATA!#REF!,1,FALSE),"")</f>
        <v/>
      </c>
      <c r="D2000" s="16" t="str">
        <f>IFERROR(VLOOKUP(C2000,DATA!#REF!,2,FALSE),"")</f>
        <v/>
      </c>
    </row>
    <row r="2001" spans="2:4" s="237" customFormat="1">
      <c r="B2001" s="15" t="str">
        <f t="shared" si="69"/>
        <v/>
      </c>
      <c r="C2001" s="16" t="str">
        <f>IFERROR(VLOOKUP(DATA!#REF!,DATA!#REF!,1,FALSE),"")</f>
        <v/>
      </c>
      <c r="D2001" s="16" t="str">
        <f>IFERROR(VLOOKUP(C2001,DATA!#REF!,2,FALSE),"")</f>
        <v/>
      </c>
    </row>
    <row r="2002" spans="2:4" s="237" customFormat="1">
      <c r="B2002" s="15" t="str">
        <f t="shared" si="69"/>
        <v/>
      </c>
      <c r="C2002" s="16" t="str">
        <f>IFERROR(VLOOKUP(DATA!#REF!,DATA!#REF!,1,FALSE),"")</f>
        <v/>
      </c>
      <c r="D2002" s="16" t="str">
        <f>IFERROR(VLOOKUP(C2002,DATA!#REF!,2,FALSE),"")</f>
        <v/>
      </c>
    </row>
    <row r="2003" spans="2:4" s="237" customFormat="1">
      <c r="B2003" s="15" t="str">
        <f t="shared" si="69"/>
        <v/>
      </c>
      <c r="C2003" s="16" t="str">
        <f>IFERROR(VLOOKUP(DATA!#REF!,DATA!#REF!,1,FALSE),"")</f>
        <v/>
      </c>
      <c r="D2003" s="16" t="str">
        <f>IFERROR(VLOOKUP(C2003,DATA!#REF!,2,FALSE),"")</f>
        <v/>
      </c>
    </row>
    <row r="2004" spans="2:4" s="237" customFormat="1">
      <c r="B2004" s="15" t="str">
        <f t="shared" si="69"/>
        <v/>
      </c>
      <c r="C2004" s="16" t="str">
        <f>IFERROR(VLOOKUP(DATA!#REF!,DATA!#REF!,1,FALSE),"")</f>
        <v/>
      </c>
      <c r="D2004" s="16" t="str">
        <f>IFERROR(VLOOKUP(C2004,DATA!#REF!,2,FALSE),"")</f>
        <v/>
      </c>
    </row>
    <row r="2005" spans="2:4" s="237" customFormat="1">
      <c r="B2005" s="15" t="str">
        <f t="shared" si="69"/>
        <v/>
      </c>
      <c r="C2005" s="16" t="str">
        <f>IFERROR(VLOOKUP(DATA!#REF!,DATA!#REF!,1,FALSE),"")</f>
        <v/>
      </c>
      <c r="D2005" s="16" t="str">
        <f>IFERROR(VLOOKUP(C2005,DATA!#REF!,2,FALSE),"")</f>
        <v/>
      </c>
    </row>
    <row r="2006" spans="2:4" s="237" customFormat="1">
      <c r="B2006" s="15" t="str">
        <f t="shared" si="69"/>
        <v/>
      </c>
      <c r="C2006" s="16" t="str">
        <f>IFERROR(VLOOKUP(DATA!#REF!,DATA!#REF!,1,FALSE),"")</f>
        <v/>
      </c>
      <c r="D2006" s="16" t="str">
        <f>IFERROR(VLOOKUP(C2006,DATA!#REF!,2,FALSE),"")</f>
        <v/>
      </c>
    </row>
    <row r="2007" spans="2:4" s="237" customFormat="1">
      <c r="B2007" s="15" t="str">
        <f t="shared" si="69"/>
        <v/>
      </c>
      <c r="C2007" s="16" t="str">
        <f>IFERROR(VLOOKUP(DATA!#REF!,DATA!#REF!,1,FALSE),"")</f>
        <v/>
      </c>
      <c r="D2007" s="16" t="str">
        <f>IFERROR(VLOOKUP(C2007,DATA!#REF!,2,FALSE),"")</f>
        <v/>
      </c>
    </row>
    <row r="2008" spans="2:4" s="237" customFormat="1">
      <c r="B2008" s="15" t="str">
        <f t="shared" si="69"/>
        <v/>
      </c>
      <c r="C2008" s="16" t="str">
        <f>IFERROR(VLOOKUP(DATA!#REF!,DATA!#REF!,1,FALSE),"")</f>
        <v/>
      </c>
      <c r="D2008" s="16" t="str">
        <f>IFERROR(VLOOKUP(C2008,DATA!#REF!,2,FALSE),"")</f>
        <v/>
      </c>
    </row>
    <row r="2009" spans="2:4" s="237" customFormat="1">
      <c r="B2009" s="15" t="str">
        <f t="shared" si="69"/>
        <v/>
      </c>
      <c r="C2009" s="16" t="str">
        <f>IFERROR(VLOOKUP(DATA!#REF!,DATA!#REF!,1,FALSE),"")</f>
        <v/>
      </c>
      <c r="D2009" s="16" t="str">
        <f>IFERROR(VLOOKUP(C2009,DATA!#REF!,2,FALSE),"")</f>
        <v/>
      </c>
    </row>
    <row r="2010" spans="2:4" s="237" customFormat="1">
      <c r="B2010" s="15" t="str">
        <f t="shared" si="69"/>
        <v/>
      </c>
      <c r="C2010" s="16" t="str">
        <f>IFERROR(VLOOKUP(DATA!#REF!,DATA!#REF!,1,FALSE),"")</f>
        <v/>
      </c>
      <c r="D2010" s="16" t="str">
        <f>IFERROR(VLOOKUP(C2010,DATA!#REF!,2,FALSE),"")</f>
        <v/>
      </c>
    </row>
    <row r="2011" spans="2:4" s="237" customFormat="1">
      <c r="B2011" s="15" t="str">
        <f t="shared" si="69"/>
        <v/>
      </c>
      <c r="C2011" s="16" t="str">
        <f>IFERROR(VLOOKUP(DATA!#REF!,DATA!#REF!,1,FALSE),"")</f>
        <v/>
      </c>
      <c r="D2011" s="16" t="str">
        <f>IFERROR(VLOOKUP(C2011,DATA!#REF!,2,FALSE),"")</f>
        <v/>
      </c>
    </row>
    <row r="2012" spans="2:4" s="237" customFormat="1">
      <c r="B2012" s="15" t="str">
        <f t="shared" si="69"/>
        <v/>
      </c>
      <c r="C2012" s="16" t="str">
        <f>IFERROR(VLOOKUP(DATA!#REF!,DATA!#REF!,1,FALSE),"")</f>
        <v/>
      </c>
      <c r="D2012" s="16" t="str">
        <f>IFERROR(VLOOKUP(C2012,DATA!#REF!,2,FALSE),"")</f>
        <v/>
      </c>
    </row>
    <row r="2013" spans="2:4" s="237" customFormat="1">
      <c r="B2013" s="15" t="str">
        <f t="shared" si="69"/>
        <v/>
      </c>
      <c r="C2013" s="16" t="str">
        <f>IFERROR(VLOOKUP(DATA!#REF!,DATA!#REF!,1,FALSE),"")</f>
        <v/>
      </c>
      <c r="D2013" s="16" t="str">
        <f>IFERROR(VLOOKUP(C2013,DATA!#REF!,2,FALSE),"")</f>
        <v/>
      </c>
    </row>
    <row r="2014" spans="2:4" s="237" customFormat="1">
      <c r="B2014" s="15" t="str">
        <f t="shared" si="69"/>
        <v/>
      </c>
      <c r="C2014" s="16" t="str">
        <f>IFERROR(VLOOKUP(DATA!#REF!,DATA!#REF!,1,FALSE),"")</f>
        <v/>
      </c>
      <c r="D2014" s="16" t="str">
        <f>IFERROR(VLOOKUP(C2014,DATA!#REF!,2,FALSE),"")</f>
        <v/>
      </c>
    </row>
    <row r="2015" spans="2:4" s="237" customFormat="1">
      <c r="B2015" s="15" t="str">
        <f t="shared" si="69"/>
        <v/>
      </c>
      <c r="C2015" s="16" t="str">
        <f>IFERROR(VLOOKUP(DATA!#REF!,DATA!#REF!,1,FALSE),"")</f>
        <v/>
      </c>
      <c r="D2015" s="16" t="str">
        <f>IFERROR(VLOOKUP(C2015,DATA!#REF!,2,FALSE),"")</f>
        <v/>
      </c>
    </row>
    <row r="2016" spans="2:4" s="237" customFormat="1">
      <c r="B2016" s="15" t="str">
        <f t="shared" si="69"/>
        <v/>
      </c>
      <c r="C2016" s="16" t="str">
        <f>IFERROR(VLOOKUP(DATA!#REF!,DATA!#REF!,1,FALSE),"")</f>
        <v/>
      </c>
      <c r="D2016" s="16" t="str">
        <f>IFERROR(VLOOKUP(C2016,DATA!#REF!,2,FALSE),"")</f>
        <v/>
      </c>
    </row>
    <row r="2017" spans="2:4" s="237" customFormat="1">
      <c r="B2017" s="15" t="str">
        <f t="shared" si="69"/>
        <v/>
      </c>
      <c r="C2017" s="16" t="str">
        <f>IFERROR(VLOOKUP(DATA!#REF!,DATA!#REF!,1,FALSE),"")</f>
        <v/>
      </c>
      <c r="D2017" s="16" t="str">
        <f>IFERROR(VLOOKUP(C2017,DATA!#REF!,2,FALSE),"")</f>
        <v/>
      </c>
    </row>
    <row r="2018" spans="2:4" s="237" customFormat="1">
      <c r="B2018" s="15" t="str">
        <f t="shared" si="69"/>
        <v/>
      </c>
      <c r="C2018" s="16" t="str">
        <f>IFERROR(VLOOKUP(DATA!#REF!,DATA!#REF!,1,FALSE),"")</f>
        <v/>
      </c>
      <c r="D2018" s="16" t="str">
        <f>IFERROR(VLOOKUP(C2018,DATA!#REF!,2,FALSE),"")</f>
        <v/>
      </c>
    </row>
    <row r="2019" spans="2:4" s="237" customFormat="1">
      <c r="B2019" s="15" t="str">
        <f t="shared" si="69"/>
        <v/>
      </c>
      <c r="C2019" s="16" t="str">
        <f>IFERROR(VLOOKUP(DATA!#REF!,DATA!#REF!,1,FALSE),"")</f>
        <v/>
      </c>
      <c r="D2019" s="16" t="str">
        <f>IFERROR(VLOOKUP(C2019,DATA!#REF!,2,FALSE),"")</f>
        <v/>
      </c>
    </row>
    <row r="2020" spans="2:4" s="237" customFormat="1">
      <c r="B2020" s="15" t="str">
        <f t="shared" si="69"/>
        <v/>
      </c>
      <c r="C2020" s="16" t="str">
        <f>IFERROR(VLOOKUP(DATA!#REF!,DATA!#REF!,1,FALSE),"")</f>
        <v/>
      </c>
      <c r="D2020" s="16" t="str">
        <f>IFERROR(VLOOKUP(C2020,DATA!#REF!,2,FALSE),"")</f>
        <v/>
      </c>
    </row>
    <row r="2021" spans="2:4" s="237" customFormat="1">
      <c r="B2021" s="15" t="str">
        <f t="shared" si="69"/>
        <v/>
      </c>
      <c r="C2021" s="16" t="str">
        <f>IFERROR(VLOOKUP(DATA!#REF!,DATA!#REF!,1,FALSE),"")</f>
        <v/>
      </c>
      <c r="D2021" s="16" t="str">
        <f>IFERROR(VLOOKUP(C2021,DATA!#REF!,2,FALSE),"")</f>
        <v/>
      </c>
    </row>
    <row r="2022" spans="2:4" s="237" customFormat="1">
      <c r="B2022" s="15" t="str">
        <f t="shared" si="69"/>
        <v/>
      </c>
      <c r="C2022" s="16" t="str">
        <f>IFERROR(VLOOKUP(DATA!#REF!,DATA!#REF!,1,FALSE),"")</f>
        <v/>
      </c>
      <c r="D2022" s="16" t="str">
        <f>IFERROR(VLOOKUP(C2022,DATA!#REF!,2,FALSE),"")</f>
        <v/>
      </c>
    </row>
    <row r="2023" spans="2:4" s="237" customFormat="1">
      <c r="B2023" s="15" t="str">
        <f t="shared" si="69"/>
        <v/>
      </c>
      <c r="C2023" s="16" t="str">
        <f>IFERROR(VLOOKUP(DATA!#REF!,DATA!#REF!,1,FALSE),"")</f>
        <v/>
      </c>
      <c r="D2023" s="16" t="str">
        <f>IFERROR(VLOOKUP(C2023,DATA!#REF!,2,FALSE),"")</f>
        <v/>
      </c>
    </row>
    <row r="2024" spans="2:4" s="237" customFormat="1">
      <c r="B2024" s="15" t="str">
        <f t="shared" si="69"/>
        <v/>
      </c>
      <c r="C2024" s="16" t="str">
        <f>IFERROR(VLOOKUP(DATA!#REF!,DATA!#REF!,1,FALSE),"")</f>
        <v/>
      </c>
      <c r="D2024" s="16" t="str">
        <f>IFERROR(VLOOKUP(C2024,DATA!#REF!,2,FALSE),"")</f>
        <v/>
      </c>
    </row>
    <row r="2025" spans="2:4" s="237" customFormat="1">
      <c r="B2025" s="15" t="str">
        <f t="shared" si="69"/>
        <v/>
      </c>
      <c r="C2025" s="16" t="str">
        <f>IFERROR(VLOOKUP(DATA!#REF!,DATA!#REF!,1,FALSE),"")</f>
        <v/>
      </c>
      <c r="D2025" s="16" t="str">
        <f>IFERROR(VLOOKUP(C2025,DATA!#REF!,2,FALSE),"")</f>
        <v/>
      </c>
    </row>
    <row r="2026" spans="2:4" s="237" customFormat="1">
      <c r="B2026" s="15" t="str">
        <f t="shared" si="69"/>
        <v/>
      </c>
      <c r="C2026" s="16" t="str">
        <f>IFERROR(VLOOKUP(DATA!#REF!,DATA!#REF!,1,FALSE),"")</f>
        <v/>
      </c>
      <c r="D2026" s="16" t="str">
        <f>IFERROR(VLOOKUP(C2026,DATA!#REF!,2,FALSE),"")</f>
        <v/>
      </c>
    </row>
    <row r="2027" spans="2:4" s="237" customFormat="1">
      <c r="B2027" s="15" t="str">
        <f t="shared" si="69"/>
        <v/>
      </c>
      <c r="C2027" s="16" t="str">
        <f>IFERROR(VLOOKUP(DATA!#REF!,DATA!#REF!,1,FALSE),"")</f>
        <v/>
      </c>
      <c r="D2027" s="16" t="str">
        <f>IFERROR(VLOOKUP(C2027,DATA!#REF!,2,FALSE),"")</f>
        <v/>
      </c>
    </row>
    <row r="2028" spans="2:4" s="237" customFormat="1">
      <c r="B2028" s="15" t="str">
        <f t="shared" si="69"/>
        <v/>
      </c>
      <c r="C2028" s="16" t="str">
        <f>IFERROR(VLOOKUP(DATA!#REF!,DATA!#REF!,1,FALSE),"")</f>
        <v/>
      </c>
      <c r="D2028" s="16" t="str">
        <f>IFERROR(VLOOKUP(C2028,DATA!#REF!,2,FALSE),"")</f>
        <v/>
      </c>
    </row>
    <row r="2029" spans="2:4" s="237" customFormat="1">
      <c r="B2029" s="15" t="str">
        <f t="shared" si="69"/>
        <v/>
      </c>
      <c r="C2029" s="16" t="str">
        <f>IFERROR(VLOOKUP(DATA!#REF!,DATA!#REF!,1,FALSE),"")</f>
        <v/>
      </c>
      <c r="D2029" s="16" t="str">
        <f>IFERROR(VLOOKUP(C2029,DATA!#REF!,2,FALSE),"")</f>
        <v/>
      </c>
    </row>
    <row r="2030" spans="2:4" s="237" customFormat="1">
      <c r="B2030" s="15" t="str">
        <f t="shared" si="69"/>
        <v/>
      </c>
      <c r="C2030" s="16" t="str">
        <f>IFERROR(VLOOKUP(DATA!#REF!,DATA!#REF!,1,FALSE),"")</f>
        <v/>
      </c>
      <c r="D2030" s="16" t="str">
        <f>IFERROR(VLOOKUP(C2030,DATA!#REF!,2,FALSE),"")</f>
        <v/>
      </c>
    </row>
    <row r="2031" spans="2:4" s="237" customFormat="1">
      <c r="B2031" s="15" t="str">
        <f t="shared" si="69"/>
        <v/>
      </c>
      <c r="C2031" s="16" t="str">
        <f>IFERROR(VLOOKUP(DATA!#REF!,DATA!#REF!,1,FALSE),"")</f>
        <v/>
      </c>
      <c r="D2031" s="16" t="str">
        <f>IFERROR(VLOOKUP(C2031,DATA!#REF!,2,FALSE),"")</f>
        <v/>
      </c>
    </row>
    <row r="2032" spans="2:4" s="237" customFormat="1">
      <c r="B2032" s="15" t="str">
        <f t="shared" si="69"/>
        <v/>
      </c>
      <c r="C2032" s="16" t="str">
        <f>IFERROR(VLOOKUP(DATA!#REF!,DATA!#REF!,1,FALSE),"")</f>
        <v/>
      </c>
      <c r="D2032" s="16" t="str">
        <f>IFERROR(VLOOKUP(C2032,DATA!#REF!,2,FALSE),"")</f>
        <v/>
      </c>
    </row>
    <row r="2033" spans="2:4" s="237" customFormat="1">
      <c r="B2033" s="15" t="str">
        <f t="shared" si="69"/>
        <v/>
      </c>
      <c r="C2033" s="16" t="str">
        <f>IFERROR(VLOOKUP(DATA!#REF!,DATA!#REF!,1,FALSE),"")</f>
        <v/>
      </c>
      <c r="D2033" s="16" t="str">
        <f>IFERROR(VLOOKUP(C2033,DATA!#REF!,2,FALSE),"")</f>
        <v/>
      </c>
    </row>
    <row r="2034" spans="2:4" s="237" customFormat="1">
      <c r="B2034" s="15" t="str">
        <f t="shared" si="69"/>
        <v/>
      </c>
      <c r="C2034" s="16" t="str">
        <f>IFERROR(VLOOKUP(DATA!#REF!,DATA!#REF!,1,FALSE),"")</f>
        <v/>
      </c>
      <c r="D2034" s="16" t="str">
        <f>IFERROR(VLOOKUP(C2034,DATA!#REF!,2,FALSE),"")</f>
        <v/>
      </c>
    </row>
    <row r="2035" spans="2:4" s="237" customFormat="1">
      <c r="B2035" s="15" t="str">
        <f t="shared" si="69"/>
        <v/>
      </c>
      <c r="C2035" s="16" t="str">
        <f>IFERROR(VLOOKUP(DATA!#REF!,DATA!#REF!,1,FALSE),"")</f>
        <v/>
      </c>
      <c r="D2035" s="16" t="str">
        <f>IFERROR(VLOOKUP(C2035,DATA!#REF!,2,FALSE),"")</f>
        <v/>
      </c>
    </row>
    <row r="2036" spans="2:4" s="237" customFormat="1">
      <c r="B2036" s="15" t="str">
        <f t="shared" si="69"/>
        <v/>
      </c>
      <c r="C2036" s="16" t="str">
        <f>IFERROR(VLOOKUP(DATA!#REF!,DATA!#REF!,1,FALSE),"")</f>
        <v/>
      </c>
      <c r="D2036" s="16" t="str">
        <f>IFERROR(VLOOKUP(C2036,DATA!#REF!,2,FALSE),"")</f>
        <v/>
      </c>
    </row>
    <row r="2037" spans="2:4" s="237" customFormat="1">
      <c r="B2037" s="15" t="str">
        <f t="shared" si="69"/>
        <v/>
      </c>
      <c r="C2037" s="16" t="str">
        <f>IFERROR(VLOOKUP(DATA!#REF!,DATA!#REF!,1,FALSE),"")</f>
        <v/>
      </c>
      <c r="D2037" s="16" t="str">
        <f>IFERROR(VLOOKUP(C2037,DATA!#REF!,2,FALSE),"")</f>
        <v/>
      </c>
    </row>
    <row r="2038" spans="2:4" s="237" customFormat="1">
      <c r="B2038" s="15" t="str">
        <f t="shared" si="69"/>
        <v/>
      </c>
      <c r="C2038" s="16" t="str">
        <f>IFERROR(VLOOKUP(DATA!#REF!,DATA!#REF!,1,FALSE),"")</f>
        <v/>
      </c>
      <c r="D2038" s="16" t="str">
        <f>IFERROR(VLOOKUP(C2038,DATA!#REF!,2,FALSE),"")</f>
        <v/>
      </c>
    </row>
    <row r="2039" spans="2:4" s="237" customFormat="1">
      <c r="B2039" s="15" t="str">
        <f t="shared" si="69"/>
        <v/>
      </c>
      <c r="C2039" s="16" t="str">
        <f>IFERROR(VLOOKUP(DATA!#REF!,DATA!#REF!,1,FALSE),"")</f>
        <v/>
      </c>
      <c r="D2039" s="16" t="str">
        <f>IFERROR(VLOOKUP(C2039,DATA!#REF!,2,FALSE),"")</f>
        <v/>
      </c>
    </row>
    <row r="2040" spans="2:4" s="237" customFormat="1">
      <c r="B2040" s="15" t="str">
        <f t="shared" si="69"/>
        <v/>
      </c>
      <c r="C2040" s="16" t="str">
        <f>IFERROR(VLOOKUP(DATA!#REF!,DATA!#REF!,1,FALSE),"")</f>
        <v/>
      </c>
      <c r="D2040" s="16" t="str">
        <f>IFERROR(VLOOKUP(C2040,DATA!#REF!,2,FALSE),"")</f>
        <v/>
      </c>
    </row>
    <row r="2041" spans="2:4" s="237" customFormat="1">
      <c r="B2041" s="15" t="str">
        <f t="shared" si="69"/>
        <v/>
      </c>
      <c r="C2041" s="16" t="str">
        <f>IFERROR(VLOOKUP(DATA!#REF!,DATA!#REF!,1,FALSE),"")</f>
        <v/>
      </c>
      <c r="D2041" s="16" t="str">
        <f>IFERROR(VLOOKUP(C2041,DATA!#REF!,2,FALSE),"")</f>
        <v/>
      </c>
    </row>
    <row r="2042" spans="2:4" s="237" customFormat="1">
      <c r="B2042" s="15" t="str">
        <f t="shared" si="69"/>
        <v/>
      </c>
      <c r="C2042" s="16" t="str">
        <f>IFERROR(VLOOKUP(DATA!#REF!,DATA!#REF!,1,FALSE),"")</f>
        <v/>
      </c>
      <c r="D2042" s="16" t="str">
        <f>IFERROR(VLOOKUP(C2042,DATA!#REF!,2,FALSE),"")</f>
        <v/>
      </c>
    </row>
    <row r="2043" spans="2:4" s="237" customFormat="1">
      <c r="B2043" s="15" t="str">
        <f t="shared" si="69"/>
        <v/>
      </c>
      <c r="C2043" s="16" t="str">
        <f>IFERROR(VLOOKUP(DATA!#REF!,DATA!#REF!,1,FALSE),"")</f>
        <v/>
      </c>
      <c r="D2043" s="16" t="str">
        <f>IFERROR(VLOOKUP(C2043,DATA!#REF!,2,FALSE),"")</f>
        <v/>
      </c>
    </row>
    <row r="2044" spans="2:4" s="237" customFormat="1">
      <c r="B2044" s="15" t="str">
        <f t="shared" si="69"/>
        <v/>
      </c>
      <c r="C2044" s="16" t="str">
        <f>IFERROR(VLOOKUP(DATA!#REF!,DATA!#REF!,1,FALSE),"")</f>
        <v/>
      </c>
      <c r="D2044" s="16" t="str">
        <f>IFERROR(VLOOKUP(C2044,DATA!#REF!,2,FALSE),"")</f>
        <v/>
      </c>
    </row>
    <row r="2045" spans="2:4" s="237" customFormat="1">
      <c r="B2045" s="15" t="str">
        <f t="shared" si="69"/>
        <v/>
      </c>
      <c r="C2045" s="16" t="str">
        <f>IFERROR(VLOOKUP(DATA!#REF!,DATA!#REF!,1,FALSE),"")</f>
        <v/>
      </c>
      <c r="D2045" s="16" t="str">
        <f>IFERROR(VLOOKUP(C2045,DATA!#REF!,2,FALSE),"")</f>
        <v/>
      </c>
    </row>
    <row r="2046" spans="2:4" s="237" customFormat="1">
      <c r="B2046" s="15" t="str">
        <f t="shared" si="69"/>
        <v/>
      </c>
      <c r="C2046" s="16" t="str">
        <f>IFERROR(VLOOKUP(DATA!#REF!,DATA!#REF!,1,FALSE),"")</f>
        <v/>
      </c>
      <c r="D2046" s="16" t="str">
        <f>IFERROR(VLOOKUP(C2046,DATA!#REF!,2,FALSE),"")</f>
        <v/>
      </c>
    </row>
    <row r="2047" spans="2:4" s="237" customFormat="1">
      <c r="B2047" s="15" t="str">
        <f t="shared" si="69"/>
        <v/>
      </c>
      <c r="C2047" s="16" t="str">
        <f>IFERROR(VLOOKUP(DATA!#REF!,DATA!#REF!,1,FALSE),"")</f>
        <v/>
      </c>
      <c r="D2047" s="16" t="str">
        <f>IFERROR(VLOOKUP(C2047,DATA!#REF!,2,FALSE),"")</f>
        <v/>
      </c>
    </row>
    <row r="2048" spans="2:4" s="237" customFormat="1">
      <c r="B2048" s="15" t="str">
        <f t="shared" si="69"/>
        <v/>
      </c>
      <c r="C2048" s="16" t="str">
        <f>IFERROR(VLOOKUP(DATA!#REF!,DATA!#REF!,1,FALSE),"")</f>
        <v/>
      </c>
      <c r="D2048" s="16" t="str">
        <f>IFERROR(VLOOKUP(C2048,DATA!#REF!,2,FALSE),"")</f>
        <v/>
      </c>
    </row>
    <row r="2049" spans="2:4" s="237" customFormat="1">
      <c r="B2049" s="15" t="str">
        <f t="shared" si="69"/>
        <v/>
      </c>
      <c r="C2049" s="16" t="str">
        <f>IFERROR(VLOOKUP(DATA!#REF!,DATA!#REF!,1,FALSE),"")</f>
        <v/>
      </c>
      <c r="D2049" s="16" t="str">
        <f>IFERROR(VLOOKUP(C2049,DATA!#REF!,2,FALSE),"")</f>
        <v/>
      </c>
    </row>
    <row r="2050" spans="2:4" s="237" customFormat="1">
      <c r="B2050" s="15" t="str">
        <f t="shared" si="69"/>
        <v/>
      </c>
      <c r="C2050" s="16" t="str">
        <f>IFERROR(VLOOKUP(DATA!#REF!,DATA!#REF!,1,FALSE),"")</f>
        <v/>
      </c>
      <c r="D2050" s="16" t="str">
        <f>IFERROR(VLOOKUP(C2050,DATA!#REF!,2,FALSE),"")</f>
        <v/>
      </c>
    </row>
    <row r="2051" spans="2:4" s="237" customFormat="1">
      <c r="B2051" s="15" t="str">
        <f t="shared" si="69"/>
        <v/>
      </c>
      <c r="C2051" s="16" t="str">
        <f>IFERROR(VLOOKUP(DATA!#REF!,DATA!#REF!,1,FALSE),"")</f>
        <v/>
      </c>
      <c r="D2051" s="16" t="str">
        <f>IFERROR(VLOOKUP(C2051,DATA!#REF!,2,FALSE),"")</f>
        <v/>
      </c>
    </row>
    <row r="2052" spans="2:4" s="237" customFormat="1">
      <c r="B2052" s="15" t="str">
        <f t="shared" si="69"/>
        <v/>
      </c>
      <c r="C2052" s="16" t="str">
        <f>IFERROR(VLOOKUP(DATA!#REF!,DATA!#REF!,1,FALSE),"")</f>
        <v/>
      </c>
      <c r="D2052" s="16" t="str">
        <f>IFERROR(VLOOKUP(C2052,DATA!#REF!,2,FALSE),"")</f>
        <v/>
      </c>
    </row>
    <row r="2053" spans="2:4" s="237" customFormat="1">
      <c r="B2053" s="15" t="str">
        <f t="shared" si="69"/>
        <v/>
      </c>
      <c r="C2053" s="16" t="str">
        <f>IFERROR(VLOOKUP(DATA!#REF!,DATA!#REF!,1,FALSE),"")</f>
        <v/>
      </c>
      <c r="D2053" s="16" t="str">
        <f>IFERROR(VLOOKUP(C2053,DATA!#REF!,2,FALSE),"")</f>
        <v/>
      </c>
    </row>
    <row r="2054" spans="2:4" s="237" customFormat="1">
      <c r="B2054" s="15" t="str">
        <f t="shared" ref="B2054:B2117" si="70">+IF(C2054="","",ROW()-5)</f>
        <v/>
      </c>
      <c r="C2054" s="16" t="str">
        <f>IFERROR(VLOOKUP(DATA!#REF!,DATA!#REF!,1,FALSE),"")</f>
        <v/>
      </c>
      <c r="D2054" s="16" t="str">
        <f>IFERROR(VLOOKUP(C2054,DATA!#REF!,2,FALSE),"")</f>
        <v/>
      </c>
    </row>
    <row r="2055" spans="2:4" s="237" customFormat="1">
      <c r="B2055" s="15" t="str">
        <f t="shared" si="70"/>
        <v/>
      </c>
      <c r="C2055" s="16" t="str">
        <f>IFERROR(VLOOKUP(DATA!#REF!,DATA!#REF!,1,FALSE),"")</f>
        <v/>
      </c>
      <c r="D2055" s="16" t="str">
        <f>IFERROR(VLOOKUP(C2055,DATA!#REF!,2,FALSE),"")</f>
        <v/>
      </c>
    </row>
    <row r="2056" spans="2:4" s="237" customFormat="1">
      <c r="B2056" s="15" t="str">
        <f t="shared" si="70"/>
        <v/>
      </c>
      <c r="C2056" s="16" t="str">
        <f>IFERROR(VLOOKUP(DATA!#REF!,DATA!#REF!,1,FALSE),"")</f>
        <v/>
      </c>
      <c r="D2056" s="16" t="str">
        <f>IFERROR(VLOOKUP(C2056,DATA!#REF!,2,FALSE),"")</f>
        <v/>
      </c>
    </row>
    <row r="2057" spans="2:4" s="237" customFormat="1">
      <c r="B2057" s="15" t="str">
        <f t="shared" si="70"/>
        <v/>
      </c>
      <c r="C2057" s="16" t="str">
        <f>IFERROR(VLOOKUP(DATA!#REF!,DATA!#REF!,1,FALSE),"")</f>
        <v/>
      </c>
      <c r="D2057" s="16" t="str">
        <f>IFERROR(VLOOKUP(C2057,DATA!#REF!,2,FALSE),"")</f>
        <v/>
      </c>
    </row>
    <row r="2058" spans="2:4" s="237" customFormat="1">
      <c r="B2058" s="15" t="str">
        <f t="shared" si="70"/>
        <v/>
      </c>
      <c r="C2058" s="16" t="str">
        <f>IFERROR(VLOOKUP(DATA!#REF!,DATA!#REF!,1,FALSE),"")</f>
        <v/>
      </c>
      <c r="D2058" s="16" t="str">
        <f>IFERROR(VLOOKUP(C2058,DATA!#REF!,2,FALSE),"")</f>
        <v/>
      </c>
    </row>
    <row r="2059" spans="2:4" s="237" customFormat="1">
      <c r="B2059" s="15" t="str">
        <f t="shared" si="70"/>
        <v/>
      </c>
      <c r="C2059" s="16" t="str">
        <f>IFERROR(VLOOKUP(DATA!#REF!,DATA!#REF!,1,FALSE),"")</f>
        <v/>
      </c>
      <c r="D2059" s="16" t="str">
        <f>IFERROR(VLOOKUP(C2059,DATA!#REF!,2,FALSE),"")</f>
        <v/>
      </c>
    </row>
    <row r="2060" spans="2:4" s="237" customFormat="1">
      <c r="B2060" s="15" t="str">
        <f t="shared" si="70"/>
        <v/>
      </c>
      <c r="C2060" s="16" t="str">
        <f>IFERROR(VLOOKUP(DATA!#REF!,DATA!#REF!,1,FALSE),"")</f>
        <v/>
      </c>
      <c r="D2060" s="16" t="str">
        <f>IFERROR(VLOOKUP(C2060,DATA!#REF!,2,FALSE),"")</f>
        <v/>
      </c>
    </row>
    <row r="2061" spans="2:4" s="237" customFormat="1">
      <c r="B2061" s="15" t="str">
        <f t="shared" si="70"/>
        <v/>
      </c>
      <c r="C2061" s="16" t="str">
        <f>IFERROR(VLOOKUP(DATA!#REF!,DATA!#REF!,1,FALSE),"")</f>
        <v/>
      </c>
      <c r="D2061" s="16" t="str">
        <f>IFERROR(VLOOKUP(C2061,DATA!#REF!,2,FALSE),"")</f>
        <v/>
      </c>
    </row>
    <row r="2062" spans="2:4" s="237" customFormat="1">
      <c r="B2062" s="15" t="str">
        <f t="shared" si="70"/>
        <v/>
      </c>
      <c r="C2062" s="16" t="str">
        <f>IFERROR(VLOOKUP(DATA!#REF!,DATA!#REF!,1,FALSE),"")</f>
        <v/>
      </c>
      <c r="D2062" s="16" t="str">
        <f>IFERROR(VLOOKUP(C2062,DATA!#REF!,2,FALSE),"")</f>
        <v/>
      </c>
    </row>
    <row r="2063" spans="2:4" s="237" customFormat="1">
      <c r="B2063" s="15" t="str">
        <f t="shared" si="70"/>
        <v/>
      </c>
      <c r="C2063" s="16" t="str">
        <f>IFERROR(VLOOKUP(DATA!#REF!,DATA!#REF!,1,FALSE),"")</f>
        <v/>
      </c>
      <c r="D2063" s="16" t="str">
        <f>IFERROR(VLOOKUP(C2063,DATA!#REF!,2,FALSE),"")</f>
        <v/>
      </c>
    </row>
    <row r="2064" spans="2:4" s="237" customFormat="1">
      <c r="B2064" s="15" t="str">
        <f t="shared" si="70"/>
        <v/>
      </c>
      <c r="C2064" s="16" t="str">
        <f>IFERROR(VLOOKUP(DATA!#REF!,DATA!#REF!,1,FALSE),"")</f>
        <v/>
      </c>
      <c r="D2064" s="16" t="str">
        <f>IFERROR(VLOOKUP(C2064,DATA!#REF!,2,FALSE),"")</f>
        <v/>
      </c>
    </row>
    <row r="2065" spans="2:4" s="237" customFormat="1">
      <c r="B2065" s="15" t="str">
        <f t="shared" si="70"/>
        <v/>
      </c>
      <c r="C2065" s="16" t="str">
        <f>IFERROR(VLOOKUP(DATA!#REF!,DATA!#REF!,1,FALSE),"")</f>
        <v/>
      </c>
      <c r="D2065" s="16" t="str">
        <f>IFERROR(VLOOKUP(C2065,DATA!#REF!,2,FALSE),"")</f>
        <v/>
      </c>
    </row>
    <row r="2066" spans="2:4" s="237" customFormat="1">
      <c r="B2066" s="15" t="str">
        <f t="shared" si="70"/>
        <v/>
      </c>
      <c r="C2066" s="16" t="str">
        <f>IFERROR(VLOOKUP(DATA!#REF!,DATA!#REF!,1,FALSE),"")</f>
        <v/>
      </c>
      <c r="D2066" s="16" t="str">
        <f>IFERROR(VLOOKUP(C2066,DATA!#REF!,2,FALSE),"")</f>
        <v/>
      </c>
    </row>
    <row r="2067" spans="2:4" s="237" customFormat="1">
      <c r="B2067" s="15" t="str">
        <f t="shared" si="70"/>
        <v/>
      </c>
      <c r="C2067" s="16" t="str">
        <f>IFERROR(VLOOKUP(DATA!#REF!,DATA!#REF!,1,FALSE),"")</f>
        <v/>
      </c>
      <c r="D2067" s="16" t="str">
        <f>IFERROR(VLOOKUP(C2067,DATA!#REF!,2,FALSE),"")</f>
        <v/>
      </c>
    </row>
    <row r="2068" spans="2:4" s="237" customFormat="1">
      <c r="B2068" s="15" t="str">
        <f t="shared" si="70"/>
        <v/>
      </c>
      <c r="C2068" s="16" t="str">
        <f>IFERROR(VLOOKUP(DATA!#REF!,DATA!#REF!,1,FALSE),"")</f>
        <v/>
      </c>
      <c r="D2068" s="16" t="str">
        <f>IFERROR(VLOOKUP(C2068,DATA!#REF!,2,FALSE),"")</f>
        <v/>
      </c>
    </row>
    <row r="2069" spans="2:4" s="237" customFormat="1">
      <c r="B2069" s="15" t="str">
        <f t="shared" si="70"/>
        <v/>
      </c>
      <c r="C2069" s="16" t="str">
        <f>IFERROR(VLOOKUP(DATA!#REF!,DATA!#REF!,1,FALSE),"")</f>
        <v/>
      </c>
      <c r="D2069" s="16" t="str">
        <f>IFERROR(VLOOKUP(C2069,DATA!#REF!,2,FALSE),"")</f>
        <v/>
      </c>
    </row>
    <row r="2070" spans="2:4" s="237" customFormat="1">
      <c r="B2070" s="15" t="str">
        <f t="shared" si="70"/>
        <v/>
      </c>
      <c r="C2070" s="16" t="str">
        <f>IFERROR(VLOOKUP(DATA!#REF!,DATA!#REF!,1,FALSE),"")</f>
        <v/>
      </c>
      <c r="D2070" s="16" t="str">
        <f>IFERROR(VLOOKUP(C2070,DATA!#REF!,2,FALSE),"")</f>
        <v/>
      </c>
    </row>
    <row r="2071" spans="2:4" s="237" customFormat="1">
      <c r="B2071" s="15" t="str">
        <f t="shared" si="70"/>
        <v/>
      </c>
      <c r="C2071" s="16" t="str">
        <f>IFERROR(VLOOKUP(DATA!#REF!,DATA!#REF!,1,FALSE),"")</f>
        <v/>
      </c>
      <c r="D2071" s="16" t="str">
        <f>IFERROR(VLOOKUP(C2071,DATA!#REF!,2,FALSE),"")</f>
        <v/>
      </c>
    </row>
    <row r="2072" spans="2:4" s="237" customFormat="1">
      <c r="B2072" s="15" t="str">
        <f t="shared" si="70"/>
        <v/>
      </c>
      <c r="C2072" s="16" t="str">
        <f>IFERROR(VLOOKUP(DATA!#REF!,DATA!#REF!,1,FALSE),"")</f>
        <v/>
      </c>
      <c r="D2072" s="16" t="str">
        <f>IFERROR(VLOOKUP(C2072,DATA!#REF!,2,FALSE),"")</f>
        <v/>
      </c>
    </row>
    <row r="2073" spans="2:4" s="237" customFormat="1">
      <c r="B2073" s="15" t="str">
        <f t="shared" si="70"/>
        <v/>
      </c>
      <c r="C2073" s="16" t="str">
        <f>IFERROR(VLOOKUP(DATA!#REF!,DATA!#REF!,1,FALSE),"")</f>
        <v/>
      </c>
      <c r="D2073" s="16" t="str">
        <f>IFERROR(VLOOKUP(C2073,DATA!#REF!,2,FALSE),"")</f>
        <v/>
      </c>
    </row>
    <row r="2074" spans="2:4" s="237" customFormat="1">
      <c r="B2074" s="15" t="str">
        <f t="shared" si="70"/>
        <v/>
      </c>
      <c r="C2074" s="16" t="str">
        <f>IFERROR(VLOOKUP(DATA!#REF!,DATA!#REF!,1,FALSE),"")</f>
        <v/>
      </c>
      <c r="D2074" s="16" t="str">
        <f>IFERROR(VLOOKUP(C2074,DATA!#REF!,2,FALSE),"")</f>
        <v/>
      </c>
    </row>
    <row r="2075" spans="2:4" s="237" customFormat="1">
      <c r="B2075" s="15" t="str">
        <f t="shared" si="70"/>
        <v/>
      </c>
      <c r="C2075" s="16" t="str">
        <f>IFERROR(VLOOKUP(DATA!#REF!,DATA!#REF!,1,FALSE),"")</f>
        <v/>
      </c>
      <c r="D2075" s="16" t="str">
        <f>IFERROR(VLOOKUP(C2075,DATA!#REF!,2,FALSE),"")</f>
        <v/>
      </c>
    </row>
    <row r="2076" spans="2:4" s="237" customFormat="1">
      <c r="B2076" s="15" t="str">
        <f t="shared" si="70"/>
        <v/>
      </c>
      <c r="C2076" s="16" t="str">
        <f>IFERROR(VLOOKUP(DATA!#REF!,DATA!#REF!,1,FALSE),"")</f>
        <v/>
      </c>
      <c r="D2076" s="16" t="str">
        <f>IFERROR(VLOOKUP(C2076,DATA!#REF!,2,FALSE),"")</f>
        <v/>
      </c>
    </row>
    <row r="2077" spans="2:4" s="237" customFormat="1">
      <c r="B2077" s="15" t="str">
        <f t="shared" si="70"/>
        <v/>
      </c>
      <c r="C2077" s="16" t="str">
        <f>IFERROR(VLOOKUP(DATA!#REF!,DATA!#REF!,1,FALSE),"")</f>
        <v/>
      </c>
      <c r="D2077" s="16" t="str">
        <f>IFERROR(VLOOKUP(C2077,DATA!#REF!,2,FALSE),"")</f>
        <v/>
      </c>
    </row>
    <row r="2078" spans="2:4" s="237" customFormat="1">
      <c r="B2078" s="15" t="str">
        <f t="shared" si="70"/>
        <v/>
      </c>
      <c r="C2078" s="16" t="str">
        <f>IFERROR(VLOOKUP(DATA!#REF!,DATA!#REF!,1,FALSE),"")</f>
        <v/>
      </c>
      <c r="D2078" s="16" t="str">
        <f>IFERROR(VLOOKUP(C2078,DATA!#REF!,2,FALSE),"")</f>
        <v/>
      </c>
    </row>
    <row r="2079" spans="2:4" s="237" customFormat="1">
      <c r="B2079" s="15" t="str">
        <f t="shared" si="70"/>
        <v/>
      </c>
      <c r="C2079" s="16" t="str">
        <f>IFERROR(VLOOKUP(DATA!#REF!,DATA!#REF!,1,FALSE),"")</f>
        <v/>
      </c>
      <c r="D2079" s="16" t="str">
        <f>IFERROR(VLOOKUP(C2079,DATA!#REF!,2,FALSE),"")</f>
        <v/>
      </c>
    </row>
    <row r="2080" spans="2:4" s="237" customFormat="1">
      <c r="B2080" s="15" t="str">
        <f t="shared" si="70"/>
        <v/>
      </c>
      <c r="C2080" s="16" t="str">
        <f>IFERROR(VLOOKUP(DATA!#REF!,DATA!#REF!,1,FALSE),"")</f>
        <v/>
      </c>
      <c r="D2080" s="16" t="str">
        <f>IFERROR(VLOOKUP(C2080,DATA!#REF!,2,FALSE),"")</f>
        <v/>
      </c>
    </row>
    <row r="2081" spans="2:4" s="237" customFormat="1">
      <c r="B2081" s="15" t="str">
        <f t="shared" si="70"/>
        <v/>
      </c>
      <c r="C2081" s="16" t="str">
        <f>IFERROR(VLOOKUP(DATA!#REF!,DATA!#REF!,1,FALSE),"")</f>
        <v/>
      </c>
      <c r="D2081" s="16" t="str">
        <f>IFERROR(VLOOKUP(C2081,DATA!#REF!,2,FALSE),"")</f>
        <v/>
      </c>
    </row>
    <row r="2082" spans="2:4" s="237" customFormat="1">
      <c r="B2082" s="15" t="str">
        <f t="shared" si="70"/>
        <v/>
      </c>
      <c r="C2082" s="16" t="str">
        <f>IFERROR(VLOOKUP(DATA!#REF!,DATA!#REF!,1,FALSE),"")</f>
        <v/>
      </c>
      <c r="D2082" s="16" t="str">
        <f>IFERROR(VLOOKUP(C2082,DATA!#REF!,2,FALSE),"")</f>
        <v/>
      </c>
    </row>
    <row r="2083" spans="2:4" s="237" customFormat="1">
      <c r="B2083" s="15" t="str">
        <f t="shared" si="70"/>
        <v/>
      </c>
      <c r="C2083" s="16" t="str">
        <f>IFERROR(VLOOKUP(DATA!#REF!,DATA!#REF!,1,FALSE),"")</f>
        <v/>
      </c>
      <c r="D2083" s="16" t="str">
        <f>IFERROR(VLOOKUP(C2083,DATA!#REF!,2,FALSE),"")</f>
        <v/>
      </c>
    </row>
    <row r="2084" spans="2:4" s="237" customFormat="1">
      <c r="B2084" s="15" t="str">
        <f t="shared" si="70"/>
        <v/>
      </c>
      <c r="C2084" s="16" t="str">
        <f>IFERROR(VLOOKUP(DATA!#REF!,DATA!#REF!,1,FALSE),"")</f>
        <v/>
      </c>
      <c r="D2084" s="16" t="str">
        <f>IFERROR(VLOOKUP(C2084,DATA!#REF!,2,FALSE),"")</f>
        <v/>
      </c>
    </row>
    <row r="2085" spans="2:4" s="237" customFormat="1">
      <c r="B2085" s="15" t="str">
        <f t="shared" si="70"/>
        <v/>
      </c>
      <c r="C2085" s="16" t="str">
        <f>IFERROR(VLOOKUP(DATA!#REF!,DATA!#REF!,1,FALSE),"")</f>
        <v/>
      </c>
      <c r="D2085" s="16" t="str">
        <f>IFERROR(VLOOKUP(C2085,DATA!#REF!,2,FALSE),"")</f>
        <v/>
      </c>
    </row>
    <row r="2086" spans="2:4" s="237" customFormat="1">
      <c r="B2086" s="15" t="str">
        <f t="shared" si="70"/>
        <v/>
      </c>
      <c r="C2086" s="16" t="str">
        <f>IFERROR(VLOOKUP(DATA!#REF!,DATA!#REF!,1,FALSE),"")</f>
        <v/>
      </c>
      <c r="D2086" s="16" t="str">
        <f>IFERROR(VLOOKUP(C2086,DATA!#REF!,2,FALSE),"")</f>
        <v/>
      </c>
    </row>
    <row r="2087" spans="2:4" s="237" customFormat="1">
      <c r="B2087" s="15" t="str">
        <f t="shared" si="70"/>
        <v/>
      </c>
      <c r="C2087" s="16" t="str">
        <f>IFERROR(VLOOKUP(DATA!#REF!,DATA!#REF!,1,FALSE),"")</f>
        <v/>
      </c>
      <c r="D2087" s="16" t="str">
        <f>IFERROR(VLOOKUP(C2087,DATA!#REF!,2,FALSE),"")</f>
        <v/>
      </c>
    </row>
    <row r="2088" spans="2:4" s="237" customFormat="1">
      <c r="B2088" s="15" t="str">
        <f t="shared" si="70"/>
        <v/>
      </c>
      <c r="C2088" s="16" t="str">
        <f>IFERROR(VLOOKUP(DATA!#REF!,DATA!#REF!,1,FALSE),"")</f>
        <v/>
      </c>
      <c r="D2088" s="16" t="str">
        <f>IFERROR(VLOOKUP(C2088,DATA!#REF!,2,FALSE),"")</f>
        <v/>
      </c>
    </row>
    <row r="2089" spans="2:4" s="237" customFormat="1">
      <c r="B2089" s="15" t="str">
        <f t="shared" si="70"/>
        <v/>
      </c>
      <c r="C2089" s="16" t="str">
        <f>IFERROR(VLOOKUP(DATA!#REF!,DATA!#REF!,1,FALSE),"")</f>
        <v/>
      </c>
      <c r="D2089" s="16" t="str">
        <f>IFERROR(VLOOKUP(C2089,DATA!#REF!,2,FALSE),"")</f>
        <v/>
      </c>
    </row>
    <row r="2090" spans="2:4" s="237" customFormat="1">
      <c r="B2090" s="15" t="str">
        <f t="shared" si="70"/>
        <v/>
      </c>
      <c r="C2090" s="16" t="str">
        <f>IFERROR(VLOOKUP(DATA!#REF!,DATA!#REF!,1,FALSE),"")</f>
        <v/>
      </c>
      <c r="D2090" s="16" t="str">
        <f>IFERROR(VLOOKUP(C2090,DATA!#REF!,2,FALSE),"")</f>
        <v/>
      </c>
    </row>
    <row r="2091" spans="2:4" s="237" customFormat="1">
      <c r="B2091" s="15" t="str">
        <f t="shared" si="70"/>
        <v/>
      </c>
      <c r="C2091" s="16" t="str">
        <f>IFERROR(VLOOKUP(DATA!#REF!,DATA!#REF!,1,FALSE),"")</f>
        <v/>
      </c>
      <c r="D2091" s="16" t="str">
        <f>IFERROR(VLOOKUP(C2091,DATA!#REF!,2,FALSE),"")</f>
        <v/>
      </c>
    </row>
    <row r="2092" spans="2:4" s="237" customFormat="1">
      <c r="B2092" s="15" t="str">
        <f t="shared" si="70"/>
        <v/>
      </c>
      <c r="C2092" s="16" t="str">
        <f>IFERROR(VLOOKUP(DATA!#REF!,DATA!#REF!,1,FALSE),"")</f>
        <v/>
      </c>
      <c r="D2092" s="16" t="str">
        <f>IFERROR(VLOOKUP(C2092,DATA!#REF!,2,FALSE),"")</f>
        <v/>
      </c>
    </row>
    <row r="2093" spans="2:4" s="237" customFormat="1">
      <c r="B2093" s="15" t="str">
        <f t="shared" si="70"/>
        <v/>
      </c>
      <c r="C2093" s="16" t="str">
        <f>IFERROR(VLOOKUP(DATA!#REF!,DATA!#REF!,1,FALSE),"")</f>
        <v/>
      </c>
      <c r="D2093" s="16" t="str">
        <f>IFERROR(VLOOKUP(C2093,DATA!#REF!,2,FALSE),"")</f>
        <v/>
      </c>
    </row>
    <row r="2094" spans="2:4" s="237" customFormat="1">
      <c r="B2094" s="15" t="str">
        <f t="shared" si="70"/>
        <v/>
      </c>
      <c r="C2094" s="16" t="str">
        <f>IFERROR(VLOOKUP(DATA!#REF!,DATA!#REF!,1,FALSE),"")</f>
        <v/>
      </c>
      <c r="D2094" s="16" t="str">
        <f>IFERROR(VLOOKUP(C2094,DATA!#REF!,2,FALSE),"")</f>
        <v/>
      </c>
    </row>
    <row r="2095" spans="2:4" s="237" customFormat="1">
      <c r="B2095" s="15" t="str">
        <f t="shared" si="70"/>
        <v/>
      </c>
      <c r="C2095" s="16" t="str">
        <f>IFERROR(VLOOKUP(DATA!#REF!,DATA!#REF!,1,FALSE),"")</f>
        <v/>
      </c>
      <c r="D2095" s="16" t="str">
        <f>IFERROR(VLOOKUP(C2095,DATA!#REF!,2,FALSE),"")</f>
        <v/>
      </c>
    </row>
    <row r="2096" spans="2:4" s="237" customFormat="1">
      <c r="B2096" s="15" t="str">
        <f t="shared" si="70"/>
        <v/>
      </c>
      <c r="C2096" s="16" t="str">
        <f>IFERROR(VLOOKUP(DATA!#REF!,DATA!#REF!,1,FALSE),"")</f>
        <v/>
      </c>
      <c r="D2096" s="16" t="str">
        <f>IFERROR(VLOOKUP(C2096,DATA!#REF!,2,FALSE),"")</f>
        <v/>
      </c>
    </row>
    <row r="2097" spans="2:4" s="237" customFormat="1">
      <c r="B2097" s="15" t="str">
        <f t="shared" si="70"/>
        <v/>
      </c>
      <c r="C2097" s="16" t="str">
        <f>IFERROR(VLOOKUP(DATA!#REF!,DATA!#REF!,1,FALSE),"")</f>
        <v/>
      </c>
      <c r="D2097" s="16" t="str">
        <f>IFERROR(VLOOKUP(C2097,DATA!#REF!,2,FALSE),"")</f>
        <v/>
      </c>
    </row>
    <row r="2098" spans="2:4" s="237" customFormat="1">
      <c r="B2098" s="15" t="str">
        <f t="shared" si="70"/>
        <v/>
      </c>
      <c r="C2098" s="16" t="str">
        <f>IFERROR(VLOOKUP(DATA!#REF!,DATA!#REF!,1,FALSE),"")</f>
        <v/>
      </c>
      <c r="D2098" s="16" t="str">
        <f>IFERROR(VLOOKUP(C2098,DATA!#REF!,2,FALSE),"")</f>
        <v/>
      </c>
    </row>
    <row r="2099" spans="2:4" s="237" customFormat="1">
      <c r="B2099" s="15" t="str">
        <f t="shared" si="70"/>
        <v/>
      </c>
      <c r="C2099" s="16" t="str">
        <f>IFERROR(VLOOKUP(DATA!#REF!,DATA!#REF!,1,FALSE),"")</f>
        <v/>
      </c>
      <c r="D2099" s="16" t="str">
        <f>IFERROR(VLOOKUP(C2099,DATA!#REF!,2,FALSE),"")</f>
        <v/>
      </c>
    </row>
    <row r="2100" spans="2:4" s="237" customFormat="1">
      <c r="B2100" s="15" t="str">
        <f t="shared" si="70"/>
        <v/>
      </c>
      <c r="C2100" s="16" t="str">
        <f>IFERROR(VLOOKUP(DATA!#REF!,DATA!#REF!,1,FALSE),"")</f>
        <v/>
      </c>
      <c r="D2100" s="16" t="str">
        <f>IFERROR(VLOOKUP(C2100,DATA!#REF!,2,FALSE),"")</f>
        <v/>
      </c>
    </row>
    <row r="2101" spans="2:4" s="237" customFormat="1">
      <c r="B2101" s="15" t="str">
        <f t="shared" si="70"/>
        <v/>
      </c>
      <c r="C2101" s="16" t="str">
        <f>IFERROR(VLOOKUP(DATA!#REF!,DATA!#REF!,1,FALSE),"")</f>
        <v/>
      </c>
      <c r="D2101" s="16" t="str">
        <f>IFERROR(VLOOKUP(C2101,DATA!#REF!,2,FALSE),"")</f>
        <v/>
      </c>
    </row>
    <row r="2102" spans="2:4" s="237" customFormat="1">
      <c r="B2102" s="15" t="str">
        <f t="shared" si="70"/>
        <v/>
      </c>
      <c r="C2102" s="16" t="str">
        <f>IFERROR(VLOOKUP(DATA!#REF!,DATA!#REF!,1,FALSE),"")</f>
        <v/>
      </c>
      <c r="D2102" s="16" t="str">
        <f>IFERROR(VLOOKUP(C2102,DATA!#REF!,2,FALSE),"")</f>
        <v/>
      </c>
    </row>
    <row r="2103" spans="2:4" s="237" customFormat="1">
      <c r="B2103" s="15" t="str">
        <f t="shared" si="70"/>
        <v/>
      </c>
      <c r="C2103" s="16" t="str">
        <f>IFERROR(VLOOKUP(DATA!#REF!,DATA!#REF!,1,FALSE),"")</f>
        <v/>
      </c>
      <c r="D2103" s="16" t="str">
        <f>IFERROR(VLOOKUP(C2103,DATA!#REF!,2,FALSE),"")</f>
        <v/>
      </c>
    </row>
    <row r="2104" spans="2:4" s="237" customFormat="1">
      <c r="B2104" s="15" t="str">
        <f t="shared" si="70"/>
        <v/>
      </c>
      <c r="C2104" s="16" t="str">
        <f>IFERROR(VLOOKUP(DATA!#REF!,DATA!#REF!,1,FALSE),"")</f>
        <v/>
      </c>
      <c r="D2104" s="16" t="str">
        <f>IFERROR(VLOOKUP(C2104,DATA!#REF!,2,FALSE),"")</f>
        <v/>
      </c>
    </row>
    <row r="2105" spans="2:4" s="237" customFormat="1">
      <c r="B2105" s="15" t="str">
        <f t="shared" si="70"/>
        <v/>
      </c>
      <c r="C2105" s="16" t="str">
        <f>IFERROR(VLOOKUP(DATA!#REF!,DATA!#REF!,1,FALSE),"")</f>
        <v/>
      </c>
      <c r="D2105" s="16" t="str">
        <f>IFERROR(VLOOKUP(C2105,DATA!#REF!,2,FALSE),"")</f>
        <v/>
      </c>
    </row>
    <row r="2106" spans="2:4" s="237" customFormat="1">
      <c r="B2106" s="15" t="str">
        <f t="shared" si="70"/>
        <v/>
      </c>
      <c r="C2106" s="16" t="str">
        <f>IFERROR(VLOOKUP(DATA!#REF!,DATA!#REF!,1,FALSE),"")</f>
        <v/>
      </c>
      <c r="D2106" s="16" t="str">
        <f>IFERROR(VLOOKUP(C2106,DATA!#REF!,2,FALSE),"")</f>
        <v/>
      </c>
    </row>
    <row r="2107" spans="2:4" s="237" customFormat="1">
      <c r="B2107" s="15" t="str">
        <f t="shared" si="70"/>
        <v/>
      </c>
      <c r="C2107" s="16" t="str">
        <f>IFERROR(VLOOKUP(DATA!#REF!,DATA!#REF!,1,FALSE),"")</f>
        <v/>
      </c>
      <c r="D2107" s="16" t="str">
        <f>IFERROR(VLOOKUP(C2107,DATA!#REF!,2,FALSE),"")</f>
        <v/>
      </c>
    </row>
    <row r="2108" spans="2:4" s="237" customFormat="1">
      <c r="B2108" s="15" t="str">
        <f t="shared" si="70"/>
        <v/>
      </c>
      <c r="C2108" s="16" t="str">
        <f>IFERROR(VLOOKUP(DATA!#REF!,DATA!#REF!,1,FALSE),"")</f>
        <v/>
      </c>
      <c r="D2108" s="16" t="str">
        <f>IFERROR(VLOOKUP(C2108,DATA!#REF!,2,FALSE),"")</f>
        <v/>
      </c>
    </row>
    <row r="2109" spans="2:4" s="237" customFormat="1">
      <c r="B2109" s="15" t="str">
        <f t="shared" si="70"/>
        <v/>
      </c>
      <c r="C2109" s="16" t="str">
        <f>IFERROR(VLOOKUP(DATA!#REF!,DATA!#REF!,1,FALSE),"")</f>
        <v/>
      </c>
      <c r="D2109" s="16" t="str">
        <f>IFERROR(VLOOKUP(C2109,DATA!#REF!,2,FALSE),"")</f>
        <v/>
      </c>
    </row>
    <row r="2110" spans="2:4" s="237" customFormat="1">
      <c r="B2110" s="15" t="str">
        <f t="shared" si="70"/>
        <v/>
      </c>
      <c r="C2110" s="16" t="str">
        <f>IFERROR(VLOOKUP(DATA!#REF!,DATA!#REF!,1,FALSE),"")</f>
        <v/>
      </c>
      <c r="D2110" s="16" t="str">
        <f>IFERROR(VLOOKUP(C2110,DATA!#REF!,2,FALSE),"")</f>
        <v/>
      </c>
    </row>
    <row r="2111" spans="2:4" s="237" customFormat="1">
      <c r="B2111" s="15" t="str">
        <f t="shared" si="70"/>
        <v/>
      </c>
      <c r="C2111" s="16" t="str">
        <f>IFERROR(VLOOKUP(DATA!#REF!,DATA!#REF!,1,FALSE),"")</f>
        <v/>
      </c>
      <c r="D2111" s="16" t="str">
        <f>IFERROR(VLOOKUP(C2111,DATA!#REF!,2,FALSE),"")</f>
        <v/>
      </c>
    </row>
    <row r="2112" spans="2:4" s="237" customFormat="1">
      <c r="B2112" s="15" t="str">
        <f t="shared" si="70"/>
        <v/>
      </c>
      <c r="C2112" s="16" t="str">
        <f>IFERROR(VLOOKUP(DATA!#REF!,DATA!#REF!,1,FALSE),"")</f>
        <v/>
      </c>
      <c r="D2112" s="16" t="str">
        <f>IFERROR(VLOOKUP(C2112,DATA!#REF!,2,FALSE),"")</f>
        <v/>
      </c>
    </row>
    <row r="2113" spans="2:4" s="237" customFormat="1">
      <c r="B2113" s="15" t="str">
        <f t="shared" si="70"/>
        <v/>
      </c>
      <c r="C2113" s="16" t="str">
        <f>IFERROR(VLOOKUP(DATA!#REF!,DATA!#REF!,1,FALSE),"")</f>
        <v/>
      </c>
      <c r="D2113" s="16" t="str">
        <f>IFERROR(VLOOKUP(C2113,DATA!#REF!,2,FALSE),"")</f>
        <v/>
      </c>
    </row>
    <row r="2114" spans="2:4" s="237" customFormat="1">
      <c r="B2114" s="15" t="str">
        <f t="shared" si="70"/>
        <v/>
      </c>
      <c r="C2114" s="16" t="str">
        <f>IFERROR(VLOOKUP(DATA!#REF!,DATA!#REF!,1,FALSE),"")</f>
        <v/>
      </c>
      <c r="D2114" s="16" t="str">
        <f>IFERROR(VLOOKUP(C2114,DATA!#REF!,2,FALSE),"")</f>
        <v/>
      </c>
    </row>
    <row r="2115" spans="2:4" s="237" customFormat="1">
      <c r="B2115" s="15" t="str">
        <f t="shared" si="70"/>
        <v/>
      </c>
      <c r="C2115" s="16" t="str">
        <f>IFERROR(VLOOKUP(DATA!#REF!,DATA!#REF!,1,FALSE),"")</f>
        <v/>
      </c>
      <c r="D2115" s="16" t="str">
        <f>IFERROR(VLOOKUP(C2115,DATA!#REF!,2,FALSE),"")</f>
        <v/>
      </c>
    </row>
    <row r="2116" spans="2:4" s="237" customFormat="1">
      <c r="B2116" s="15" t="str">
        <f t="shared" si="70"/>
        <v/>
      </c>
      <c r="C2116" s="16" t="str">
        <f>IFERROR(VLOOKUP(DATA!#REF!,DATA!#REF!,1,FALSE),"")</f>
        <v/>
      </c>
      <c r="D2116" s="16" t="str">
        <f>IFERROR(VLOOKUP(C2116,DATA!#REF!,2,FALSE),"")</f>
        <v/>
      </c>
    </row>
    <row r="2117" spans="2:4" s="237" customFormat="1">
      <c r="B2117" s="15" t="str">
        <f t="shared" si="70"/>
        <v/>
      </c>
      <c r="C2117" s="16" t="str">
        <f>IFERROR(VLOOKUP(DATA!#REF!,DATA!#REF!,1,FALSE),"")</f>
        <v/>
      </c>
      <c r="D2117" s="16" t="str">
        <f>IFERROR(VLOOKUP(C2117,DATA!#REF!,2,FALSE),"")</f>
        <v/>
      </c>
    </row>
    <row r="2118" spans="2:4" s="237" customFormat="1">
      <c r="B2118" s="15" t="str">
        <f t="shared" ref="B2118:B2181" si="71">+IF(C2118="","",ROW()-5)</f>
        <v/>
      </c>
      <c r="C2118" s="16" t="str">
        <f>IFERROR(VLOOKUP(DATA!#REF!,DATA!#REF!,1,FALSE),"")</f>
        <v/>
      </c>
      <c r="D2118" s="16" t="str">
        <f>IFERROR(VLOOKUP(C2118,DATA!#REF!,2,FALSE),"")</f>
        <v/>
      </c>
    </row>
    <row r="2119" spans="2:4" s="237" customFormat="1">
      <c r="B2119" s="15" t="str">
        <f t="shared" si="71"/>
        <v/>
      </c>
      <c r="C2119" s="16" t="str">
        <f>IFERROR(VLOOKUP(DATA!#REF!,DATA!#REF!,1,FALSE),"")</f>
        <v/>
      </c>
      <c r="D2119" s="16" t="str">
        <f>IFERROR(VLOOKUP(C2119,DATA!#REF!,2,FALSE),"")</f>
        <v/>
      </c>
    </row>
    <row r="2120" spans="2:4" s="237" customFormat="1">
      <c r="B2120" s="15" t="str">
        <f t="shared" si="71"/>
        <v/>
      </c>
      <c r="C2120" s="16" t="str">
        <f>IFERROR(VLOOKUP(DATA!#REF!,DATA!#REF!,1,FALSE),"")</f>
        <v/>
      </c>
      <c r="D2120" s="16" t="str">
        <f>IFERROR(VLOOKUP(C2120,DATA!#REF!,2,FALSE),"")</f>
        <v/>
      </c>
    </row>
    <row r="2121" spans="2:4" s="237" customFormat="1">
      <c r="B2121" s="15" t="str">
        <f t="shared" si="71"/>
        <v/>
      </c>
      <c r="C2121" s="16" t="str">
        <f>IFERROR(VLOOKUP(DATA!#REF!,DATA!#REF!,1,FALSE),"")</f>
        <v/>
      </c>
      <c r="D2121" s="16" t="str">
        <f>IFERROR(VLOOKUP(C2121,DATA!#REF!,2,FALSE),"")</f>
        <v/>
      </c>
    </row>
    <row r="2122" spans="2:4" s="237" customFormat="1">
      <c r="B2122" s="15" t="str">
        <f t="shared" si="71"/>
        <v/>
      </c>
      <c r="C2122" s="16" t="str">
        <f>IFERROR(VLOOKUP(DATA!#REF!,DATA!#REF!,1,FALSE),"")</f>
        <v/>
      </c>
      <c r="D2122" s="16" t="str">
        <f>IFERROR(VLOOKUP(C2122,DATA!#REF!,2,FALSE),"")</f>
        <v/>
      </c>
    </row>
    <row r="2123" spans="2:4" s="237" customFormat="1">
      <c r="B2123" s="15" t="str">
        <f t="shared" si="71"/>
        <v/>
      </c>
      <c r="C2123" s="16" t="str">
        <f>IFERROR(VLOOKUP(DATA!#REF!,DATA!#REF!,1,FALSE),"")</f>
        <v/>
      </c>
      <c r="D2123" s="16" t="str">
        <f>IFERROR(VLOOKUP(C2123,DATA!#REF!,2,FALSE),"")</f>
        <v/>
      </c>
    </row>
    <row r="2124" spans="2:4" s="237" customFormat="1">
      <c r="B2124" s="15" t="str">
        <f t="shared" si="71"/>
        <v/>
      </c>
      <c r="C2124" s="16" t="str">
        <f>IFERROR(VLOOKUP(DATA!#REF!,DATA!#REF!,1,FALSE),"")</f>
        <v/>
      </c>
      <c r="D2124" s="16" t="str">
        <f>IFERROR(VLOOKUP(C2124,DATA!#REF!,2,FALSE),"")</f>
        <v/>
      </c>
    </row>
    <row r="2125" spans="2:4" s="237" customFormat="1">
      <c r="B2125" s="15" t="str">
        <f t="shared" si="71"/>
        <v/>
      </c>
      <c r="C2125" s="16" t="str">
        <f>IFERROR(VLOOKUP(DATA!#REF!,DATA!#REF!,1,FALSE),"")</f>
        <v/>
      </c>
      <c r="D2125" s="16" t="str">
        <f>IFERROR(VLOOKUP(C2125,DATA!#REF!,2,FALSE),"")</f>
        <v/>
      </c>
    </row>
    <row r="2126" spans="2:4" s="237" customFormat="1">
      <c r="B2126" s="15" t="str">
        <f t="shared" si="71"/>
        <v/>
      </c>
      <c r="C2126" s="16" t="str">
        <f>IFERROR(VLOOKUP(DATA!#REF!,DATA!#REF!,1,FALSE),"")</f>
        <v/>
      </c>
      <c r="D2126" s="16" t="str">
        <f>IFERROR(VLOOKUP(C2126,DATA!#REF!,2,FALSE),"")</f>
        <v/>
      </c>
    </row>
    <row r="2127" spans="2:4" s="237" customFormat="1">
      <c r="B2127" s="15" t="str">
        <f t="shared" si="71"/>
        <v/>
      </c>
      <c r="C2127" s="16" t="str">
        <f>IFERROR(VLOOKUP(DATA!#REF!,DATA!#REF!,1,FALSE),"")</f>
        <v/>
      </c>
      <c r="D2127" s="16" t="str">
        <f>IFERROR(VLOOKUP(C2127,DATA!#REF!,2,FALSE),"")</f>
        <v/>
      </c>
    </row>
    <row r="2128" spans="2:4" s="237" customFormat="1">
      <c r="B2128" s="15" t="str">
        <f t="shared" si="71"/>
        <v/>
      </c>
      <c r="C2128" s="16" t="str">
        <f>IFERROR(VLOOKUP(DATA!#REF!,DATA!#REF!,1,FALSE),"")</f>
        <v/>
      </c>
      <c r="D2128" s="16" t="str">
        <f>IFERROR(VLOOKUP(C2128,DATA!#REF!,2,FALSE),"")</f>
        <v/>
      </c>
    </row>
    <row r="2129" spans="2:4" s="237" customFormat="1">
      <c r="B2129" s="15" t="str">
        <f t="shared" si="71"/>
        <v/>
      </c>
      <c r="C2129" s="16" t="str">
        <f>IFERROR(VLOOKUP(DATA!#REF!,DATA!#REF!,1,FALSE),"")</f>
        <v/>
      </c>
      <c r="D2129" s="16" t="str">
        <f>IFERROR(VLOOKUP(C2129,DATA!#REF!,2,FALSE),"")</f>
        <v/>
      </c>
    </row>
    <row r="2130" spans="2:4" s="237" customFormat="1">
      <c r="B2130" s="15" t="str">
        <f t="shared" si="71"/>
        <v/>
      </c>
      <c r="C2130" s="16" t="str">
        <f>IFERROR(VLOOKUP(DATA!#REF!,DATA!#REF!,1,FALSE),"")</f>
        <v/>
      </c>
      <c r="D2130" s="16" t="str">
        <f>IFERROR(VLOOKUP(C2130,DATA!#REF!,2,FALSE),"")</f>
        <v/>
      </c>
    </row>
    <row r="2131" spans="2:4" s="237" customFormat="1">
      <c r="B2131" s="15" t="str">
        <f t="shared" si="71"/>
        <v/>
      </c>
      <c r="C2131" s="16" t="str">
        <f>IFERROR(VLOOKUP(DATA!#REF!,DATA!#REF!,1,FALSE),"")</f>
        <v/>
      </c>
      <c r="D2131" s="16" t="str">
        <f>IFERROR(VLOOKUP(C2131,DATA!#REF!,2,FALSE),"")</f>
        <v/>
      </c>
    </row>
    <row r="2132" spans="2:4" s="237" customFormat="1">
      <c r="B2132" s="15" t="str">
        <f t="shared" si="71"/>
        <v/>
      </c>
      <c r="C2132" s="16" t="str">
        <f>IFERROR(VLOOKUP(DATA!#REF!,DATA!#REF!,1,FALSE),"")</f>
        <v/>
      </c>
      <c r="D2132" s="16" t="str">
        <f>IFERROR(VLOOKUP(C2132,DATA!#REF!,2,FALSE),"")</f>
        <v/>
      </c>
    </row>
    <row r="2133" spans="2:4" s="237" customFormat="1">
      <c r="B2133" s="15" t="str">
        <f t="shared" si="71"/>
        <v/>
      </c>
      <c r="C2133" s="16" t="str">
        <f>IFERROR(VLOOKUP(DATA!#REF!,DATA!#REF!,1,FALSE),"")</f>
        <v/>
      </c>
      <c r="D2133" s="16" t="str">
        <f>IFERROR(VLOOKUP(C2133,DATA!#REF!,2,FALSE),"")</f>
        <v/>
      </c>
    </row>
    <row r="2134" spans="2:4" s="237" customFormat="1">
      <c r="B2134" s="15" t="str">
        <f t="shared" si="71"/>
        <v/>
      </c>
      <c r="C2134" s="16" t="str">
        <f>IFERROR(VLOOKUP(DATA!#REF!,DATA!#REF!,1,FALSE),"")</f>
        <v/>
      </c>
      <c r="D2134" s="16" t="str">
        <f>IFERROR(VLOOKUP(C2134,DATA!#REF!,2,FALSE),"")</f>
        <v/>
      </c>
    </row>
    <row r="2135" spans="2:4" s="237" customFormat="1">
      <c r="B2135" s="15" t="str">
        <f t="shared" si="71"/>
        <v/>
      </c>
      <c r="C2135" s="16" t="str">
        <f>IFERROR(VLOOKUP(DATA!#REF!,DATA!#REF!,1,FALSE),"")</f>
        <v/>
      </c>
      <c r="D2135" s="16" t="str">
        <f>IFERROR(VLOOKUP(C2135,DATA!#REF!,2,FALSE),"")</f>
        <v/>
      </c>
    </row>
    <row r="2136" spans="2:4" s="237" customFormat="1">
      <c r="B2136" s="15" t="str">
        <f t="shared" si="71"/>
        <v/>
      </c>
      <c r="C2136" s="16" t="str">
        <f>IFERROR(VLOOKUP(DATA!#REF!,DATA!#REF!,1,FALSE),"")</f>
        <v/>
      </c>
      <c r="D2136" s="16" t="str">
        <f>IFERROR(VLOOKUP(C2136,DATA!#REF!,2,FALSE),"")</f>
        <v/>
      </c>
    </row>
    <row r="2137" spans="2:4" s="237" customFormat="1">
      <c r="B2137" s="15" t="str">
        <f t="shared" si="71"/>
        <v/>
      </c>
      <c r="C2137" s="16" t="str">
        <f>IFERROR(VLOOKUP(DATA!#REF!,DATA!#REF!,1,FALSE),"")</f>
        <v/>
      </c>
      <c r="D2137" s="16" t="str">
        <f>IFERROR(VLOOKUP(C2137,DATA!#REF!,2,FALSE),"")</f>
        <v/>
      </c>
    </row>
    <row r="2138" spans="2:4" s="237" customFormat="1">
      <c r="B2138" s="15" t="str">
        <f t="shared" si="71"/>
        <v/>
      </c>
      <c r="C2138" s="16" t="str">
        <f>IFERROR(VLOOKUP(DATA!#REF!,DATA!#REF!,1,FALSE),"")</f>
        <v/>
      </c>
      <c r="D2138" s="16" t="str">
        <f>IFERROR(VLOOKUP(C2138,DATA!#REF!,2,FALSE),"")</f>
        <v/>
      </c>
    </row>
    <row r="2139" spans="2:4" s="237" customFormat="1">
      <c r="B2139" s="15" t="str">
        <f t="shared" si="71"/>
        <v/>
      </c>
      <c r="C2139" s="16" t="str">
        <f>IFERROR(VLOOKUP(DATA!#REF!,DATA!#REF!,1,FALSE),"")</f>
        <v/>
      </c>
      <c r="D2139" s="16" t="str">
        <f>IFERROR(VLOOKUP(C2139,DATA!#REF!,2,FALSE),"")</f>
        <v/>
      </c>
    </row>
    <row r="2140" spans="2:4" s="237" customFormat="1">
      <c r="B2140" s="15" t="str">
        <f t="shared" si="71"/>
        <v/>
      </c>
      <c r="C2140" s="16" t="str">
        <f>IFERROR(VLOOKUP(DATA!#REF!,DATA!#REF!,1,FALSE),"")</f>
        <v/>
      </c>
      <c r="D2140" s="16" t="str">
        <f>IFERROR(VLOOKUP(C2140,DATA!#REF!,2,FALSE),"")</f>
        <v/>
      </c>
    </row>
    <row r="2141" spans="2:4" s="237" customFormat="1">
      <c r="B2141" s="15" t="str">
        <f t="shared" si="71"/>
        <v/>
      </c>
      <c r="C2141" s="16" t="str">
        <f>IFERROR(VLOOKUP(DATA!#REF!,DATA!#REF!,1,FALSE),"")</f>
        <v/>
      </c>
      <c r="D2141" s="16" t="str">
        <f>IFERROR(VLOOKUP(C2141,DATA!#REF!,2,FALSE),"")</f>
        <v/>
      </c>
    </row>
    <row r="2142" spans="2:4" s="237" customFormat="1">
      <c r="B2142" s="15" t="str">
        <f t="shared" si="71"/>
        <v/>
      </c>
      <c r="C2142" s="16" t="str">
        <f>IFERROR(VLOOKUP(DATA!#REF!,DATA!#REF!,1,FALSE),"")</f>
        <v/>
      </c>
      <c r="D2142" s="16" t="str">
        <f>IFERROR(VLOOKUP(C2142,DATA!#REF!,2,FALSE),"")</f>
        <v/>
      </c>
    </row>
    <row r="2143" spans="2:4" s="237" customFormat="1">
      <c r="B2143" s="15" t="str">
        <f t="shared" si="71"/>
        <v/>
      </c>
      <c r="C2143" s="16" t="str">
        <f>IFERROR(VLOOKUP(DATA!#REF!,DATA!#REF!,1,FALSE),"")</f>
        <v/>
      </c>
      <c r="D2143" s="16" t="str">
        <f>IFERROR(VLOOKUP(C2143,DATA!#REF!,2,FALSE),"")</f>
        <v/>
      </c>
    </row>
    <row r="2144" spans="2:4" s="237" customFormat="1">
      <c r="B2144" s="15" t="str">
        <f t="shared" si="71"/>
        <v/>
      </c>
      <c r="C2144" s="16" t="str">
        <f>IFERROR(VLOOKUP(DATA!#REF!,DATA!#REF!,1,FALSE),"")</f>
        <v/>
      </c>
      <c r="D2144" s="16" t="str">
        <f>IFERROR(VLOOKUP(C2144,DATA!#REF!,2,FALSE),"")</f>
        <v/>
      </c>
    </row>
    <row r="2145" spans="2:4" s="237" customFormat="1">
      <c r="B2145" s="15" t="str">
        <f t="shared" si="71"/>
        <v/>
      </c>
      <c r="C2145" s="16" t="str">
        <f>IFERROR(VLOOKUP(DATA!#REF!,DATA!#REF!,1,FALSE),"")</f>
        <v/>
      </c>
      <c r="D2145" s="16" t="str">
        <f>IFERROR(VLOOKUP(C2145,DATA!#REF!,2,FALSE),"")</f>
        <v/>
      </c>
    </row>
    <row r="2146" spans="2:4" s="237" customFormat="1">
      <c r="B2146" s="15" t="str">
        <f t="shared" si="71"/>
        <v/>
      </c>
      <c r="C2146" s="16" t="str">
        <f>IFERROR(VLOOKUP(DATA!#REF!,DATA!#REF!,1,FALSE),"")</f>
        <v/>
      </c>
      <c r="D2146" s="16" t="str">
        <f>IFERROR(VLOOKUP(C2146,DATA!#REF!,2,FALSE),"")</f>
        <v/>
      </c>
    </row>
    <row r="2147" spans="2:4" s="237" customFormat="1">
      <c r="B2147" s="15" t="str">
        <f t="shared" si="71"/>
        <v/>
      </c>
      <c r="C2147" s="16" t="str">
        <f>IFERROR(VLOOKUP(DATA!#REF!,DATA!#REF!,1,FALSE),"")</f>
        <v/>
      </c>
      <c r="D2147" s="16" t="str">
        <f>IFERROR(VLOOKUP(C2147,DATA!#REF!,2,FALSE),"")</f>
        <v/>
      </c>
    </row>
    <row r="2148" spans="2:4" s="237" customFormat="1">
      <c r="B2148" s="15" t="str">
        <f t="shared" si="71"/>
        <v/>
      </c>
      <c r="C2148" s="16" t="str">
        <f>IFERROR(VLOOKUP(DATA!#REF!,DATA!#REF!,1,FALSE),"")</f>
        <v/>
      </c>
      <c r="D2148" s="16" t="str">
        <f>IFERROR(VLOOKUP(C2148,DATA!#REF!,2,FALSE),"")</f>
        <v/>
      </c>
    </row>
    <row r="2149" spans="2:4" s="237" customFormat="1">
      <c r="B2149" s="15" t="str">
        <f t="shared" si="71"/>
        <v/>
      </c>
      <c r="C2149" s="16" t="str">
        <f>IFERROR(VLOOKUP(DATA!#REF!,DATA!#REF!,1,FALSE),"")</f>
        <v/>
      </c>
      <c r="D2149" s="16" t="str">
        <f>IFERROR(VLOOKUP(C2149,DATA!#REF!,2,FALSE),"")</f>
        <v/>
      </c>
    </row>
    <row r="2150" spans="2:4" s="237" customFormat="1">
      <c r="B2150" s="15" t="str">
        <f t="shared" si="71"/>
        <v/>
      </c>
      <c r="C2150" s="16" t="str">
        <f>IFERROR(VLOOKUP(DATA!#REF!,DATA!#REF!,1,FALSE),"")</f>
        <v/>
      </c>
      <c r="D2150" s="16" t="str">
        <f>IFERROR(VLOOKUP(C2150,DATA!#REF!,2,FALSE),"")</f>
        <v/>
      </c>
    </row>
    <row r="2151" spans="2:4" s="237" customFormat="1">
      <c r="B2151" s="15" t="str">
        <f t="shared" si="71"/>
        <v/>
      </c>
      <c r="C2151" s="16" t="str">
        <f>IFERROR(VLOOKUP(DATA!#REF!,DATA!#REF!,1,FALSE),"")</f>
        <v/>
      </c>
      <c r="D2151" s="16" t="str">
        <f>IFERROR(VLOOKUP(C2151,DATA!#REF!,2,FALSE),"")</f>
        <v/>
      </c>
    </row>
    <row r="2152" spans="2:4" s="237" customFormat="1">
      <c r="B2152" s="15" t="str">
        <f t="shared" si="71"/>
        <v/>
      </c>
      <c r="C2152" s="16" t="str">
        <f>IFERROR(VLOOKUP(DATA!#REF!,DATA!#REF!,1,FALSE),"")</f>
        <v/>
      </c>
      <c r="D2152" s="16" t="str">
        <f>IFERROR(VLOOKUP(C2152,DATA!#REF!,2,FALSE),"")</f>
        <v/>
      </c>
    </row>
    <row r="2153" spans="2:4" s="237" customFormat="1">
      <c r="B2153" s="15" t="str">
        <f t="shared" si="71"/>
        <v/>
      </c>
      <c r="C2153" s="16" t="str">
        <f>IFERROR(VLOOKUP(DATA!#REF!,DATA!#REF!,1,FALSE),"")</f>
        <v/>
      </c>
      <c r="D2153" s="16" t="str">
        <f>IFERROR(VLOOKUP(C2153,DATA!#REF!,2,FALSE),"")</f>
        <v/>
      </c>
    </row>
    <row r="2154" spans="2:4" s="237" customFormat="1">
      <c r="B2154" s="15" t="str">
        <f t="shared" si="71"/>
        <v/>
      </c>
      <c r="C2154" s="16" t="str">
        <f>IFERROR(VLOOKUP(DATA!#REF!,DATA!#REF!,1,FALSE),"")</f>
        <v/>
      </c>
      <c r="D2154" s="16" t="str">
        <f>IFERROR(VLOOKUP(C2154,DATA!#REF!,2,FALSE),"")</f>
        <v/>
      </c>
    </row>
    <row r="2155" spans="2:4" s="237" customFormat="1">
      <c r="B2155" s="15" t="str">
        <f t="shared" si="71"/>
        <v/>
      </c>
      <c r="C2155" s="16" t="str">
        <f>IFERROR(VLOOKUP(DATA!#REF!,DATA!#REF!,1,FALSE),"")</f>
        <v/>
      </c>
      <c r="D2155" s="16" t="str">
        <f>IFERROR(VLOOKUP(C2155,DATA!#REF!,2,FALSE),"")</f>
        <v/>
      </c>
    </row>
    <row r="2156" spans="2:4" s="237" customFormat="1">
      <c r="B2156" s="15" t="str">
        <f t="shared" si="71"/>
        <v/>
      </c>
      <c r="C2156" s="16" t="str">
        <f>IFERROR(VLOOKUP(DATA!#REF!,DATA!#REF!,1,FALSE),"")</f>
        <v/>
      </c>
      <c r="D2156" s="16" t="str">
        <f>IFERROR(VLOOKUP(C2156,DATA!#REF!,2,FALSE),"")</f>
        <v/>
      </c>
    </row>
    <row r="2157" spans="2:4" s="237" customFormat="1">
      <c r="B2157" s="15" t="str">
        <f t="shared" si="71"/>
        <v/>
      </c>
      <c r="C2157" s="16" t="str">
        <f>IFERROR(VLOOKUP(DATA!#REF!,DATA!#REF!,1,FALSE),"")</f>
        <v/>
      </c>
      <c r="D2157" s="16" t="str">
        <f>IFERROR(VLOOKUP(C2157,DATA!#REF!,2,FALSE),"")</f>
        <v/>
      </c>
    </row>
    <row r="2158" spans="2:4" s="237" customFormat="1">
      <c r="B2158" s="15" t="str">
        <f t="shared" si="71"/>
        <v/>
      </c>
      <c r="C2158" s="16" t="str">
        <f>IFERROR(VLOOKUP(DATA!#REF!,DATA!#REF!,1,FALSE),"")</f>
        <v/>
      </c>
      <c r="D2158" s="16" t="str">
        <f>IFERROR(VLOOKUP(C2158,DATA!#REF!,2,FALSE),"")</f>
        <v/>
      </c>
    </row>
    <row r="2159" spans="2:4" s="237" customFormat="1">
      <c r="B2159" s="15" t="str">
        <f t="shared" si="71"/>
        <v/>
      </c>
      <c r="C2159" s="16" t="str">
        <f>IFERROR(VLOOKUP(DATA!#REF!,DATA!#REF!,1,FALSE),"")</f>
        <v/>
      </c>
      <c r="D2159" s="16" t="str">
        <f>IFERROR(VLOOKUP(C2159,DATA!#REF!,2,FALSE),"")</f>
        <v/>
      </c>
    </row>
    <row r="2160" spans="2:4" s="237" customFormat="1">
      <c r="B2160" s="15" t="str">
        <f t="shared" si="71"/>
        <v/>
      </c>
      <c r="C2160" s="16" t="str">
        <f>IFERROR(VLOOKUP(DATA!#REF!,DATA!#REF!,1,FALSE),"")</f>
        <v/>
      </c>
      <c r="D2160" s="16" t="str">
        <f>IFERROR(VLOOKUP(C2160,DATA!#REF!,2,FALSE),"")</f>
        <v/>
      </c>
    </row>
    <row r="2161" spans="2:4" s="237" customFormat="1">
      <c r="B2161" s="15" t="str">
        <f t="shared" si="71"/>
        <v/>
      </c>
      <c r="C2161" s="16" t="str">
        <f>IFERROR(VLOOKUP(DATA!#REF!,DATA!#REF!,1,FALSE),"")</f>
        <v/>
      </c>
      <c r="D2161" s="16" t="str">
        <f>IFERROR(VLOOKUP(C2161,DATA!#REF!,2,FALSE),"")</f>
        <v/>
      </c>
    </row>
    <row r="2162" spans="2:4" s="237" customFormat="1">
      <c r="B2162" s="15" t="str">
        <f t="shared" si="71"/>
        <v/>
      </c>
      <c r="C2162" s="16" t="str">
        <f>IFERROR(VLOOKUP(DATA!#REF!,DATA!#REF!,1,FALSE),"")</f>
        <v/>
      </c>
      <c r="D2162" s="16" t="str">
        <f>IFERROR(VLOOKUP(C2162,DATA!#REF!,2,FALSE),"")</f>
        <v/>
      </c>
    </row>
    <row r="2163" spans="2:4" s="237" customFormat="1">
      <c r="B2163" s="15" t="str">
        <f t="shared" si="71"/>
        <v/>
      </c>
      <c r="C2163" s="16" t="str">
        <f>IFERROR(VLOOKUP(DATA!#REF!,DATA!#REF!,1,FALSE),"")</f>
        <v/>
      </c>
      <c r="D2163" s="16" t="str">
        <f>IFERROR(VLOOKUP(C2163,DATA!#REF!,2,FALSE),"")</f>
        <v/>
      </c>
    </row>
    <row r="2164" spans="2:4" s="237" customFormat="1">
      <c r="B2164" s="15" t="str">
        <f t="shared" si="71"/>
        <v/>
      </c>
      <c r="C2164" s="16" t="str">
        <f>IFERROR(VLOOKUP(DATA!#REF!,DATA!#REF!,1,FALSE),"")</f>
        <v/>
      </c>
      <c r="D2164" s="16" t="str">
        <f>IFERROR(VLOOKUP(C2164,DATA!#REF!,2,FALSE),"")</f>
        <v/>
      </c>
    </row>
    <row r="2165" spans="2:4" s="237" customFormat="1">
      <c r="B2165" s="15" t="str">
        <f t="shared" si="71"/>
        <v/>
      </c>
      <c r="C2165" s="16" t="str">
        <f>IFERROR(VLOOKUP(DATA!#REF!,DATA!#REF!,1,FALSE),"")</f>
        <v/>
      </c>
      <c r="D2165" s="16" t="str">
        <f>IFERROR(VLOOKUP(C2165,DATA!#REF!,2,FALSE),"")</f>
        <v/>
      </c>
    </row>
    <row r="2166" spans="2:4" s="237" customFormat="1">
      <c r="B2166" s="15" t="str">
        <f t="shared" si="71"/>
        <v/>
      </c>
      <c r="C2166" s="16" t="str">
        <f>IFERROR(VLOOKUP(DATA!#REF!,DATA!#REF!,1,FALSE),"")</f>
        <v/>
      </c>
      <c r="D2166" s="16" t="str">
        <f>IFERROR(VLOOKUP(C2166,DATA!#REF!,2,FALSE),"")</f>
        <v/>
      </c>
    </row>
    <row r="2167" spans="2:4" s="237" customFormat="1">
      <c r="B2167" s="15" t="str">
        <f t="shared" si="71"/>
        <v/>
      </c>
      <c r="C2167" s="16" t="str">
        <f>IFERROR(VLOOKUP(DATA!#REF!,DATA!#REF!,1,FALSE),"")</f>
        <v/>
      </c>
      <c r="D2167" s="16" t="str">
        <f>IFERROR(VLOOKUP(C2167,DATA!#REF!,2,FALSE),"")</f>
        <v/>
      </c>
    </row>
    <row r="2168" spans="2:4" s="237" customFormat="1">
      <c r="B2168" s="15" t="str">
        <f t="shared" si="71"/>
        <v/>
      </c>
      <c r="C2168" s="16" t="str">
        <f>IFERROR(VLOOKUP(DATA!#REF!,DATA!#REF!,1,FALSE),"")</f>
        <v/>
      </c>
      <c r="D2168" s="16" t="str">
        <f>IFERROR(VLOOKUP(C2168,DATA!#REF!,2,FALSE),"")</f>
        <v/>
      </c>
    </row>
    <row r="2169" spans="2:4" s="237" customFormat="1">
      <c r="B2169" s="15" t="str">
        <f t="shared" si="71"/>
        <v/>
      </c>
      <c r="C2169" s="16" t="str">
        <f>IFERROR(VLOOKUP(DATA!#REF!,DATA!#REF!,1,FALSE),"")</f>
        <v/>
      </c>
      <c r="D2169" s="16" t="str">
        <f>IFERROR(VLOOKUP(C2169,DATA!#REF!,2,FALSE),"")</f>
        <v/>
      </c>
    </row>
    <row r="2170" spans="2:4" s="237" customFormat="1">
      <c r="B2170" s="15" t="str">
        <f t="shared" si="71"/>
        <v/>
      </c>
      <c r="C2170" s="16" t="str">
        <f>IFERROR(VLOOKUP(DATA!#REF!,DATA!#REF!,1,FALSE),"")</f>
        <v/>
      </c>
      <c r="D2170" s="16" t="str">
        <f>IFERROR(VLOOKUP(C2170,DATA!#REF!,2,FALSE),"")</f>
        <v/>
      </c>
    </row>
    <row r="2171" spans="2:4" s="237" customFormat="1">
      <c r="B2171" s="15" t="str">
        <f t="shared" si="71"/>
        <v/>
      </c>
      <c r="C2171" s="16" t="str">
        <f>IFERROR(VLOOKUP(DATA!#REF!,DATA!#REF!,1,FALSE),"")</f>
        <v/>
      </c>
      <c r="D2171" s="16" t="str">
        <f>IFERROR(VLOOKUP(C2171,DATA!#REF!,2,FALSE),"")</f>
        <v/>
      </c>
    </row>
    <row r="2172" spans="2:4" s="237" customFormat="1">
      <c r="B2172" s="15" t="str">
        <f t="shared" si="71"/>
        <v/>
      </c>
      <c r="C2172" s="16" t="str">
        <f>IFERROR(VLOOKUP(DATA!#REF!,DATA!#REF!,1,FALSE),"")</f>
        <v/>
      </c>
      <c r="D2172" s="16" t="str">
        <f>IFERROR(VLOOKUP(C2172,DATA!#REF!,2,FALSE),"")</f>
        <v/>
      </c>
    </row>
    <row r="2173" spans="2:4" s="237" customFormat="1">
      <c r="B2173" s="15" t="str">
        <f t="shared" si="71"/>
        <v/>
      </c>
      <c r="C2173" s="16" t="str">
        <f>IFERROR(VLOOKUP(DATA!#REF!,DATA!#REF!,1,FALSE),"")</f>
        <v/>
      </c>
      <c r="D2173" s="16" t="str">
        <f>IFERROR(VLOOKUP(C2173,DATA!#REF!,2,FALSE),"")</f>
        <v/>
      </c>
    </row>
    <row r="2174" spans="2:4" s="237" customFormat="1">
      <c r="B2174" s="15" t="str">
        <f t="shared" si="71"/>
        <v/>
      </c>
      <c r="C2174" s="16" t="str">
        <f>IFERROR(VLOOKUP(DATA!#REF!,DATA!#REF!,1,FALSE),"")</f>
        <v/>
      </c>
      <c r="D2174" s="16" t="str">
        <f>IFERROR(VLOOKUP(C2174,DATA!#REF!,2,FALSE),"")</f>
        <v/>
      </c>
    </row>
    <row r="2175" spans="2:4" s="237" customFormat="1">
      <c r="B2175" s="15" t="str">
        <f t="shared" si="71"/>
        <v/>
      </c>
      <c r="C2175" s="16" t="str">
        <f>IFERROR(VLOOKUP(DATA!#REF!,DATA!#REF!,1,FALSE),"")</f>
        <v/>
      </c>
      <c r="D2175" s="16" t="str">
        <f>IFERROR(VLOOKUP(C2175,DATA!#REF!,2,FALSE),"")</f>
        <v/>
      </c>
    </row>
    <row r="2176" spans="2:4" s="237" customFormat="1">
      <c r="B2176" s="15" t="str">
        <f t="shared" si="71"/>
        <v/>
      </c>
      <c r="C2176" s="16" t="str">
        <f>IFERROR(VLOOKUP(DATA!#REF!,DATA!#REF!,1,FALSE),"")</f>
        <v/>
      </c>
      <c r="D2176" s="16" t="str">
        <f>IFERROR(VLOOKUP(C2176,DATA!#REF!,2,FALSE),"")</f>
        <v/>
      </c>
    </row>
    <row r="2177" spans="2:4" s="237" customFormat="1">
      <c r="B2177" s="15" t="str">
        <f t="shared" si="71"/>
        <v/>
      </c>
      <c r="C2177" s="16" t="str">
        <f>IFERROR(VLOOKUP(DATA!#REF!,DATA!#REF!,1,FALSE),"")</f>
        <v/>
      </c>
      <c r="D2177" s="16" t="str">
        <f>IFERROR(VLOOKUP(C2177,DATA!#REF!,2,FALSE),"")</f>
        <v/>
      </c>
    </row>
    <row r="2178" spans="2:4" s="237" customFormat="1">
      <c r="B2178" s="15" t="str">
        <f t="shared" si="71"/>
        <v/>
      </c>
      <c r="C2178" s="16" t="str">
        <f>IFERROR(VLOOKUP(DATA!#REF!,DATA!#REF!,1,FALSE),"")</f>
        <v/>
      </c>
      <c r="D2178" s="16" t="str">
        <f>IFERROR(VLOOKUP(C2178,DATA!#REF!,2,FALSE),"")</f>
        <v/>
      </c>
    </row>
    <row r="2179" spans="2:4" s="237" customFormat="1">
      <c r="B2179" s="15" t="str">
        <f t="shared" si="71"/>
        <v/>
      </c>
      <c r="C2179" s="16" t="str">
        <f>IFERROR(VLOOKUP(DATA!#REF!,DATA!#REF!,1,FALSE),"")</f>
        <v/>
      </c>
      <c r="D2179" s="16" t="str">
        <f>IFERROR(VLOOKUP(C2179,DATA!#REF!,2,FALSE),"")</f>
        <v/>
      </c>
    </row>
    <row r="2180" spans="2:4" s="237" customFormat="1">
      <c r="B2180" s="15" t="str">
        <f t="shared" si="71"/>
        <v/>
      </c>
      <c r="C2180" s="16" t="str">
        <f>IFERROR(VLOOKUP(DATA!#REF!,DATA!#REF!,1,FALSE),"")</f>
        <v/>
      </c>
      <c r="D2180" s="16" t="str">
        <f>IFERROR(VLOOKUP(C2180,DATA!#REF!,2,FALSE),"")</f>
        <v/>
      </c>
    </row>
    <row r="2181" spans="2:4" s="237" customFormat="1">
      <c r="B2181" s="15" t="str">
        <f t="shared" si="71"/>
        <v/>
      </c>
      <c r="C2181" s="16" t="str">
        <f>IFERROR(VLOOKUP(DATA!#REF!,DATA!#REF!,1,FALSE),"")</f>
        <v/>
      </c>
      <c r="D2181" s="16" t="str">
        <f>IFERROR(VLOOKUP(C2181,DATA!#REF!,2,FALSE),"")</f>
        <v/>
      </c>
    </row>
    <row r="2182" spans="2:4" s="237" customFormat="1">
      <c r="B2182" s="15" t="str">
        <f t="shared" ref="B2182:B2197" si="72">+IF(C2182="","",ROW()-5)</f>
        <v/>
      </c>
      <c r="C2182" s="16" t="str">
        <f>IFERROR(VLOOKUP(DATA!#REF!,DATA!#REF!,1,FALSE),"")</f>
        <v/>
      </c>
      <c r="D2182" s="16" t="str">
        <f>IFERROR(VLOOKUP(C2182,DATA!#REF!,2,FALSE),"")</f>
        <v/>
      </c>
    </row>
    <row r="2183" spans="2:4" s="237" customFormat="1">
      <c r="B2183" s="15" t="str">
        <f t="shared" si="72"/>
        <v/>
      </c>
      <c r="C2183" s="16" t="str">
        <f>IFERROR(VLOOKUP(DATA!#REF!,DATA!#REF!,1,FALSE),"")</f>
        <v/>
      </c>
      <c r="D2183" s="16" t="str">
        <f>IFERROR(VLOOKUP(C2183,DATA!#REF!,2,FALSE),"")</f>
        <v/>
      </c>
    </row>
    <row r="2184" spans="2:4" s="237" customFormat="1">
      <c r="B2184" s="15" t="str">
        <f t="shared" si="72"/>
        <v/>
      </c>
      <c r="C2184" s="16" t="str">
        <f>IFERROR(VLOOKUP(DATA!#REF!,DATA!#REF!,1,FALSE),"")</f>
        <v/>
      </c>
      <c r="D2184" s="16" t="str">
        <f>IFERROR(VLOOKUP(C2184,DATA!#REF!,2,FALSE),"")</f>
        <v/>
      </c>
    </row>
    <row r="2185" spans="2:4" s="237" customFormat="1">
      <c r="B2185" s="15" t="str">
        <f t="shared" si="72"/>
        <v/>
      </c>
      <c r="C2185" s="16" t="str">
        <f>IFERROR(VLOOKUP(DATA!#REF!,DATA!#REF!,1,FALSE),"")</f>
        <v/>
      </c>
      <c r="D2185" s="16" t="str">
        <f>IFERROR(VLOOKUP(C2185,DATA!#REF!,2,FALSE),"")</f>
        <v/>
      </c>
    </row>
    <row r="2186" spans="2:4" s="237" customFormat="1">
      <c r="B2186" s="15" t="str">
        <f t="shared" si="72"/>
        <v/>
      </c>
      <c r="C2186" s="16" t="str">
        <f>IFERROR(VLOOKUP(DATA!#REF!,DATA!#REF!,1,FALSE),"")</f>
        <v/>
      </c>
      <c r="D2186" s="16" t="str">
        <f>IFERROR(VLOOKUP(C2186,DATA!#REF!,2,FALSE),"")</f>
        <v/>
      </c>
    </row>
    <row r="2187" spans="2:4" s="237" customFormat="1">
      <c r="B2187" s="15" t="str">
        <f t="shared" si="72"/>
        <v/>
      </c>
      <c r="C2187" s="16" t="str">
        <f>IFERROR(VLOOKUP(DATA!#REF!,DATA!#REF!,1,FALSE),"")</f>
        <v/>
      </c>
      <c r="D2187" s="16" t="str">
        <f>IFERROR(VLOOKUP(C2187,DATA!#REF!,2,FALSE),"")</f>
        <v/>
      </c>
    </row>
    <row r="2188" spans="2:4" s="237" customFormat="1">
      <c r="B2188" s="15" t="str">
        <f t="shared" si="72"/>
        <v/>
      </c>
      <c r="C2188" s="16" t="str">
        <f>IFERROR(VLOOKUP(DATA!#REF!,DATA!#REF!,1,FALSE),"")</f>
        <v/>
      </c>
      <c r="D2188" s="16" t="str">
        <f>IFERROR(VLOOKUP(C2188,DATA!#REF!,2,FALSE),"")</f>
        <v/>
      </c>
    </row>
    <row r="2189" spans="2:4" s="237" customFormat="1">
      <c r="B2189" s="15" t="str">
        <f t="shared" si="72"/>
        <v/>
      </c>
      <c r="C2189" s="16" t="str">
        <f>IFERROR(VLOOKUP(DATA!#REF!,DATA!#REF!,1,FALSE),"")</f>
        <v/>
      </c>
      <c r="D2189" s="16" t="str">
        <f>IFERROR(VLOOKUP(C2189,DATA!#REF!,2,FALSE),"")</f>
        <v/>
      </c>
    </row>
    <row r="2190" spans="2:4" s="237" customFormat="1">
      <c r="B2190" s="15" t="str">
        <f t="shared" si="72"/>
        <v/>
      </c>
      <c r="C2190" s="16" t="str">
        <f>IFERROR(VLOOKUP(DATA!#REF!,DATA!#REF!,1,FALSE),"")</f>
        <v/>
      </c>
      <c r="D2190" s="16" t="str">
        <f>IFERROR(VLOOKUP(C2190,DATA!#REF!,2,FALSE),"")</f>
        <v/>
      </c>
    </row>
    <row r="2191" spans="2:4" s="237" customFormat="1">
      <c r="B2191" s="15" t="str">
        <f t="shared" si="72"/>
        <v/>
      </c>
      <c r="C2191" s="16" t="str">
        <f>IFERROR(VLOOKUP(DATA!#REF!,DATA!#REF!,1,FALSE),"")</f>
        <v/>
      </c>
      <c r="D2191" s="16" t="str">
        <f>IFERROR(VLOOKUP(C2191,DATA!#REF!,2,FALSE),"")</f>
        <v/>
      </c>
    </row>
    <row r="2192" spans="2:4" s="237" customFormat="1">
      <c r="B2192" s="15" t="str">
        <f t="shared" si="72"/>
        <v/>
      </c>
      <c r="C2192" s="16" t="str">
        <f>IFERROR(VLOOKUP(DATA!#REF!,DATA!#REF!,1,FALSE),"")</f>
        <v/>
      </c>
      <c r="D2192" s="16" t="str">
        <f>IFERROR(VLOOKUP(C2192,DATA!#REF!,2,FALSE),"")</f>
        <v/>
      </c>
    </row>
    <row r="2193" spans="2:4" s="237" customFormat="1">
      <c r="B2193" s="15" t="str">
        <f t="shared" si="72"/>
        <v/>
      </c>
      <c r="C2193" s="16" t="str">
        <f>IFERROR(VLOOKUP(DATA!#REF!,DATA!#REF!,1,FALSE),"")</f>
        <v/>
      </c>
      <c r="D2193" s="16" t="str">
        <f>IFERROR(VLOOKUP(C2193,DATA!#REF!,2,FALSE),"")</f>
        <v/>
      </c>
    </row>
    <row r="2194" spans="2:4" s="237" customFormat="1">
      <c r="B2194" s="15" t="str">
        <f t="shared" si="72"/>
        <v/>
      </c>
      <c r="C2194" s="16" t="str">
        <f>IFERROR(VLOOKUP(DATA!#REF!,DATA!#REF!,1,FALSE),"")</f>
        <v/>
      </c>
      <c r="D2194" s="16" t="str">
        <f>IFERROR(VLOOKUP(C2194,DATA!#REF!,2,FALSE),"")</f>
        <v/>
      </c>
    </row>
    <row r="2195" spans="2:4" s="237" customFormat="1">
      <c r="B2195" s="15" t="str">
        <f t="shared" si="72"/>
        <v/>
      </c>
      <c r="C2195" s="16" t="str">
        <f>IFERROR(VLOOKUP(DATA!#REF!,DATA!#REF!,1,FALSE),"")</f>
        <v/>
      </c>
      <c r="D2195" s="16" t="str">
        <f>IFERROR(VLOOKUP(C2195,DATA!#REF!,2,FALSE),"")</f>
        <v/>
      </c>
    </row>
    <row r="2196" spans="2:4" s="237" customFormat="1">
      <c r="B2196" s="15" t="str">
        <f t="shared" si="72"/>
        <v/>
      </c>
      <c r="C2196" s="16" t="str">
        <f>IFERROR(VLOOKUP(DATA!#REF!,DATA!#REF!,1,FALSE),"")</f>
        <v/>
      </c>
      <c r="D2196" s="16" t="str">
        <f>IFERROR(VLOOKUP(C2196,DATA!#REF!,2,FALSE),"")</f>
        <v/>
      </c>
    </row>
    <row r="2197" spans="2:4" s="237" customFormat="1">
      <c r="B2197" s="15" t="str">
        <f t="shared" si="72"/>
        <v/>
      </c>
      <c r="C2197" s="16" t="str">
        <f>IFERROR(VLOOKUP(DATA!#REF!,DATA!#REF!,1,FALSE),"")</f>
        <v/>
      </c>
      <c r="D2197" s="16" t="str">
        <f>IFERROR(VLOOKUP(C2197,DATA!#REF!,2,FALSE),"")</f>
        <v/>
      </c>
    </row>
    <row r="2198" spans="2:4" s="237" customFormat="1">
      <c r="B2198" s="15"/>
      <c r="C2198" s="16" t="str">
        <f>IFERROR(VLOOKUP(DATA!#REF!,DATA!#REF!,1,FALSE),"")</f>
        <v/>
      </c>
      <c r="D2198" s="16" t="str">
        <f>IFERROR(VLOOKUP(C2198,DATA!#REF!,2,FALSE),"")</f>
        <v/>
      </c>
    </row>
    <row r="2199" spans="2:4" s="237" customFormat="1">
      <c r="B2199" s="15"/>
      <c r="C2199" s="16" t="str">
        <f>IFERROR(VLOOKUP(DATA!#REF!,DATA!#REF!,1,FALSE),"")</f>
        <v/>
      </c>
      <c r="D2199" s="16" t="str">
        <f>IFERROR(VLOOKUP(C2199,DATA!#REF!,2,FALSE),"")</f>
        <v/>
      </c>
    </row>
    <row r="2200" spans="2:4" s="237" customFormat="1">
      <c r="B2200" s="15"/>
      <c r="C2200" s="16" t="str">
        <f>IFERROR(VLOOKUP(DATA!#REF!,DATA!#REF!,1,FALSE),"")</f>
        <v/>
      </c>
      <c r="D2200" s="16" t="str">
        <f>IFERROR(VLOOKUP(C2200,DATA!#REF!,2,FALSE),"")</f>
        <v/>
      </c>
    </row>
    <row r="2201" spans="2:4" s="237" customFormat="1">
      <c r="B2201" s="15"/>
      <c r="C2201" s="16" t="str">
        <f>IFERROR(VLOOKUP(DATA!#REF!,DATA!#REF!,1,FALSE),"")</f>
        <v/>
      </c>
      <c r="D2201" s="16" t="str">
        <f>IFERROR(VLOOKUP(C2201,DATA!#REF!,2,FALSE),"")</f>
        <v/>
      </c>
    </row>
    <row r="2202" spans="2:4" s="237" customFormat="1">
      <c r="B2202" s="15"/>
      <c r="C2202" s="16" t="str">
        <f>IFERROR(VLOOKUP(DATA!#REF!,DATA!#REF!,1,FALSE),"")</f>
        <v/>
      </c>
      <c r="D2202" s="16" t="str">
        <f>IFERROR(VLOOKUP(C2202,DATA!#REF!,2,FALSE),"")</f>
        <v/>
      </c>
    </row>
    <row r="2203" spans="2:4" s="237" customFormat="1">
      <c r="B2203" s="15"/>
      <c r="C2203" s="16" t="str">
        <f>IFERROR(VLOOKUP(DATA!#REF!,DATA!#REF!,1,FALSE),"")</f>
        <v/>
      </c>
      <c r="D2203" s="16" t="str">
        <f>IFERROR(VLOOKUP(C2203,DATA!#REF!,2,FALSE),"")</f>
        <v/>
      </c>
    </row>
    <row r="2204" spans="2:4" s="237" customFormat="1">
      <c r="B2204" s="15"/>
      <c r="C2204" s="16" t="str">
        <f>IFERROR(VLOOKUP(DATA!#REF!,DATA!#REF!,1,FALSE),"")</f>
        <v/>
      </c>
      <c r="D2204" s="16" t="str">
        <f>IFERROR(VLOOKUP(C2204,DATA!#REF!,2,FALSE),"")</f>
        <v/>
      </c>
    </row>
    <row r="2205" spans="2:4" s="237" customFormat="1">
      <c r="B2205" s="15"/>
      <c r="C2205" s="16" t="str">
        <f>IFERROR(VLOOKUP(DATA!#REF!,DATA!#REF!,1,FALSE),"")</f>
        <v/>
      </c>
      <c r="D2205" s="16" t="str">
        <f>IFERROR(VLOOKUP(C2205,DATA!#REF!,2,FALSE),"")</f>
        <v/>
      </c>
    </row>
    <row r="2206" spans="2:4" s="237" customFormat="1">
      <c r="B2206" s="15"/>
      <c r="C2206" s="16" t="str">
        <f>IFERROR(VLOOKUP(DATA!#REF!,DATA!#REF!,1,FALSE),"")</f>
        <v/>
      </c>
      <c r="D2206" s="16" t="str">
        <f>IFERROR(VLOOKUP(C2206,DATA!#REF!,2,FALSE),"")</f>
        <v/>
      </c>
    </row>
    <row r="2207" spans="2:4" s="237" customFormat="1">
      <c r="B2207" s="15"/>
      <c r="C2207" s="16" t="str">
        <f>IFERROR(VLOOKUP(DATA!#REF!,DATA!#REF!,1,FALSE),"")</f>
        <v/>
      </c>
      <c r="D2207" s="16" t="str">
        <f>IFERROR(VLOOKUP(C2207,DATA!#REF!,2,FALSE),"")</f>
        <v/>
      </c>
    </row>
    <row r="2208" spans="2:4" s="237" customFormat="1">
      <c r="B2208" s="15"/>
      <c r="C2208" s="16" t="str">
        <f>IFERROR(VLOOKUP(DATA!#REF!,DATA!#REF!,1,FALSE),"")</f>
        <v/>
      </c>
      <c r="D2208" s="16" t="str">
        <f>IFERROR(VLOOKUP(C2208,DATA!#REF!,2,FALSE),"")</f>
        <v/>
      </c>
    </row>
    <row r="2209" spans="3:4" s="237" customFormat="1">
      <c r="C2209" s="16" t="str">
        <f>IFERROR(VLOOKUP(DATA!#REF!,DATA!#REF!,1,FALSE),"")</f>
        <v/>
      </c>
      <c r="D2209" s="16" t="str">
        <f>IFERROR(VLOOKUP(C2209,DATA!#REF!,2,FALSE),"")</f>
        <v/>
      </c>
    </row>
    <row r="2210" spans="3:4" s="237" customFormat="1">
      <c r="C2210" s="16" t="str">
        <f>IFERROR(VLOOKUP(DATA!#REF!,DATA!#REF!,1,FALSE),"")</f>
        <v/>
      </c>
      <c r="D2210" s="16" t="str">
        <f>IFERROR(VLOOKUP(C2210,DATA!#REF!,2,FALSE),"")</f>
        <v/>
      </c>
    </row>
    <row r="2211" spans="3:4" s="237" customFormat="1">
      <c r="C2211" s="16" t="str">
        <f>IFERROR(VLOOKUP(DATA!#REF!,DATA!#REF!,1,FALSE),"")</f>
        <v/>
      </c>
      <c r="D2211" s="16" t="str">
        <f>IFERROR(VLOOKUP(C2211,DATA!#REF!,2,FALSE),"")</f>
        <v/>
      </c>
    </row>
    <row r="2212" spans="3:4" s="237" customFormat="1">
      <c r="C2212" s="16" t="str">
        <f>IFERROR(VLOOKUP(DATA!#REF!,DATA!#REF!,1,FALSE),"")</f>
        <v/>
      </c>
      <c r="D2212" s="16" t="str">
        <f>IFERROR(VLOOKUP(C2212,DATA!#REF!,2,FALSE),"")</f>
        <v/>
      </c>
    </row>
    <row r="2213" spans="3:4" s="237" customFormat="1">
      <c r="C2213" s="16" t="str">
        <f>IFERROR(VLOOKUP(DATA!#REF!,DATA!#REF!,1,FALSE),"")</f>
        <v/>
      </c>
      <c r="D2213" s="16" t="str">
        <f>IFERROR(VLOOKUP(C2213,DATA!#REF!,2,FALSE),"")</f>
        <v/>
      </c>
    </row>
    <row r="2214" spans="3:4" s="237" customFormat="1">
      <c r="C2214" s="16" t="str">
        <f>IFERROR(VLOOKUP(DATA!#REF!,DATA!#REF!,1,FALSE),"")</f>
        <v/>
      </c>
      <c r="D2214" s="16" t="str">
        <f>IFERROR(VLOOKUP(C2214,DATA!#REF!,2,FALSE),"")</f>
        <v/>
      </c>
    </row>
    <row r="2215" spans="3:4" s="237" customFormat="1">
      <c r="C2215" s="16" t="str">
        <f>IFERROR(VLOOKUP(DATA!#REF!,DATA!#REF!,1,FALSE),"")</f>
        <v/>
      </c>
      <c r="D2215" s="16" t="str">
        <f>IFERROR(VLOOKUP(C2215,DATA!#REF!,2,FALSE),"")</f>
        <v/>
      </c>
    </row>
    <row r="2216" spans="3:4" s="237" customFormat="1">
      <c r="C2216" s="16" t="str">
        <f>IFERROR(VLOOKUP(DATA!#REF!,DATA!#REF!,1,FALSE),"")</f>
        <v/>
      </c>
      <c r="D2216" s="16" t="str">
        <f>IFERROR(VLOOKUP(C2216,DATA!#REF!,2,FALSE),"")</f>
        <v/>
      </c>
    </row>
    <row r="2217" spans="3:4" s="237" customFormat="1">
      <c r="C2217" s="16" t="str">
        <f>IFERROR(VLOOKUP(DATA!#REF!,DATA!#REF!,1,FALSE),"")</f>
        <v/>
      </c>
      <c r="D2217" s="16" t="str">
        <f>IFERROR(VLOOKUP(C2217,DATA!#REF!,2,FALSE),"")</f>
        <v/>
      </c>
    </row>
    <row r="2218" spans="3:4" s="237" customFormat="1">
      <c r="C2218" s="16" t="str">
        <f>IFERROR(VLOOKUP(DATA!#REF!,DATA!#REF!,1,FALSE),"")</f>
        <v/>
      </c>
      <c r="D2218" s="16" t="str">
        <f>IFERROR(VLOOKUP(C2218,DATA!#REF!,2,FALSE),"")</f>
        <v/>
      </c>
    </row>
    <row r="2219" spans="3:4" s="237" customFormat="1">
      <c r="C2219" s="16" t="str">
        <f>IFERROR(VLOOKUP(DATA!#REF!,DATA!#REF!,1,FALSE),"")</f>
        <v/>
      </c>
      <c r="D2219" s="16" t="str">
        <f>IFERROR(VLOOKUP(C2219,DATA!#REF!,2,FALSE),"")</f>
        <v/>
      </c>
    </row>
    <row r="2220" spans="3:4" s="237" customFormat="1">
      <c r="C2220" s="16" t="str">
        <f>IFERROR(VLOOKUP(DATA!#REF!,DATA!#REF!,1,FALSE),"")</f>
        <v/>
      </c>
      <c r="D2220" s="16" t="str">
        <f>IFERROR(VLOOKUP(C2220,DATA!#REF!,2,FALSE),"")</f>
        <v/>
      </c>
    </row>
    <row r="2221" spans="3:4" s="237" customFormat="1">
      <c r="C2221" s="16" t="str">
        <f>IFERROR(VLOOKUP(DATA!#REF!,DATA!#REF!,1,FALSE),"")</f>
        <v/>
      </c>
      <c r="D2221" s="16" t="str">
        <f>IFERROR(VLOOKUP(C2221,DATA!#REF!,2,FALSE),"")</f>
        <v/>
      </c>
    </row>
    <row r="2222" spans="3:4" s="237" customFormat="1">
      <c r="C2222" s="16" t="str">
        <f>IFERROR(VLOOKUP(DATA!#REF!,DATA!#REF!,1,FALSE),"")</f>
        <v/>
      </c>
      <c r="D2222" s="16" t="str">
        <f>IFERROR(VLOOKUP(C2222,DATA!#REF!,2,FALSE),"")</f>
        <v/>
      </c>
    </row>
    <row r="2223" spans="3:4" s="237" customFormat="1">
      <c r="C2223" s="16" t="str">
        <f>IFERROR(VLOOKUP(DATA!#REF!,DATA!#REF!,1,FALSE),"")</f>
        <v/>
      </c>
      <c r="D2223" s="16" t="str">
        <f>IFERROR(VLOOKUP(C2223,DATA!#REF!,2,FALSE),"")</f>
        <v/>
      </c>
    </row>
    <row r="2224" spans="3:4" s="237" customFormat="1">
      <c r="C2224" s="16" t="str">
        <f>IFERROR(VLOOKUP(DATA!#REF!,DATA!#REF!,1,FALSE),"")</f>
        <v/>
      </c>
      <c r="D2224" s="16" t="str">
        <f>IFERROR(VLOOKUP(C2224,DATA!#REF!,2,FALSE),"")</f>
        <v/>
      </c>
    </row>
    <row r="2225" spans="3:4" s="237" customFormat="1">
      <c r="C2225" s="16" t="str">
        <f>IFERROR(VLOOKUP(DATA!#REF!,DATA!#REF!,1,FALSE),"")</f>
        <v/>
      </c>
      <c r="D2225" s="16" t="str">
        <f>IFERROR(VLOOKUP(C2225,DATA!#REF!,2,FALSE),"")</f>
        <v/>
      </c>
    </row>
    <row r="2226" spans="3:4" s="237" customFormat="1">
      <c r="C2226" s="16" t="str">
        <f>IFERROR(VLOOKUP(DATA!#REF!,DATA!#REF!,1,FALSE),"")</f>
        <v/>
      </c>
      <c r="D2226" s="16" t="str">
        <f>IFERROR(VLOOKUP(C2226,DATA!#REF!,2,FALSE),"")</f>
        <v/>
      </c>
    </row>
    <row r="2227" spans="3:4" s="237" customFormat="1">
      <c r="C2227" s="16" t="str">
        <f>IFERROR(VLOOKUP(DATA!#REF!,DATA!#REF!,1,FALSE),"")</f>
        <v/>
      </c>
      <c r="D2227" s="16" t="str">
        <f>IFERROR(VLOOKUP(C2227,DATA!#REF!,2,FALSE),"")</f>
        <v/>
      </c>
    </row>
    <row r="2228" spans="3:4" s="237" customFormat="1">
      <c r="C2228" s="16" t="str">
        <f>IFERROR(VLOOKUP(DATA!#REF!,DATA!#REF!,1,FALSE),"")</f>
        <v/>
      </c>
      <c r="D2228" s="16" t="str">
        <f>IFERROR(VLOOKUP(C2228,DATA!#REF!,2,FALSE),"")</f>
        <v/>
      </c>
    </row>
    <row r="2229" spans="3:4" s="237" customFormat="1">
      <c r="C2229" s="16" t="str">
        <f>IFERROR(VLOOKUP(DATA!#REF!,DATA!#REF!,1,FALSE),"")</f>
        <v/>
      </c>
      <c r="D2229" s="16" t="str">
        <f>IFERROR(VLOOKUP(C2229,DATA!#REF!,2,FALSE),"")</f>
        <v/>
      </c>
    </row>
    <row r="2230" spans="3:4" s="237" customFormat="1">
      <c r="C2230" s="16" t="str">
        <f>IFERROR(VLOOKUP(DATA!#REF!,DATA!#REF!,1,FALSE),"")</f>
        <v/>
      </c>
      <c r="D2230" s="16" t="str">
        <f>IFERROR(VLOOKUP(C2230,DATA!#REF!,2,FALSE),"")</f>
        <v/>
      </c>
    </row>
    <row r="2231" spans="3:4" s="237" customFormat="1">
      <c r="C2231" s="16" t="str">
        <f>IFERROR(VLOOKUP(DATA!#REF!,DATA!#REF!,1,FALSE),"")</f>
        <v/>
      </c>
      <c r="D2231" s="16" t="str">
        <f>IFERROR(VLOOKUP(C2231,DATA!#REF!,2,FALSE),"")</f>
        <v/>
      </c>
    </row>
    <row r="2232" spans="3:4" s="237" customFormat="1">
      <c r="C2232" s="16" t="str">
        <f>IFERROR(VLOOKUP(DATA!#REF!,DATA!#REF!,1,FALSE),"")</f>
        <v/>
      </c>
      <c r="D2232" s="16" t="str">
        <f>IFERROR(VLOOKUP(C2232,DATA!#REF!,2,FALSE),"")</f>
        <v/>
      </c>
    </row>
    <row r="2233" spans="3:4" s="237" customFormat="1">
      <c r="C2233" s="16" t="str">
        <f>IFERROR(VLOOKUP(DATA!#REF!,DATA!#REF!,1,FALSE),"")</f>
        <v/>
      </c>
      <c r="D2233" s="16" t="str">
        <f>IFERROR(VLOOKUP(C2233,DATA!#REF!,2,FALSE),"")</f>
        <v/>
      </c>
    </row>
    <row r="2234" spans="3:4" s="237" customFormat="1">
      <c r="C2234" s="16" t="str">
        <f>IFERROR(VLOOKUP(DATA!#REF!,DATA!#REF!,1,FALSE),"")</f>
        <v/>
      </c>
      <c r="D2234" s="16" t="str">
        <f>IFERROR(VLOOKUP(C2234,DATA!#REF!,2,FALSE),"")</f>
        <v/>
      </c>
    </row>
    <row r="2235" spans="3:4" s="237" customFormat="1">
      <c r="C2235" s="16" t="str">
        <f>IFERROR(VLOOKUP(DATA!#REF!,DATA!#REF!,1,FALSE),"")</f>
        <v/>
      </c>
      <c r="D2235" s="16" t="str">
        <f>IFERROR(VLOOKUP(C2235,DATA!#REF!,2,FALSE),"")</f>
        <v/>
      </c>
    </row>
    <row r="2236" spans="3:4" s="237" customFormat="1">
      <c r="C2236" s="16" t="str">
        <f>IFERROR(VLOOKUP(DATA!#REF!,DATA!#REF!,1,FALSE),"")</f>
        <v/>
      </c>
      <c r="D2236" s="16" t="str">
        <f>IFERROR(VLOOKUP(C2236,DATA!#REF!,2,FALSE),"")</f>
        <v/>
      </c>
    </row>
    <row r="2237" spans="3:4" s="237" customFormat="1">
      <c r="C2237" s="16" t="str">
        <f>IFERROR(VLOOKUP(DATA!#REF!,DATA!#REF!,1,FALSE),"")</f>
        <v/>
      </c>
      <c r="D2237" s="16" t="str">
        <f>IFERROR(VLOOKUP(C2237,DATA!#REF!,2,FALSE),"")</f>
        <v/>
      </c>
    </row>
    <row r="2238" spans="3:4" s="237" customFormat="1">
      <c r="C2238" s="16" t="str">
        <f>IFERROR(VLOOKUP(DATA!#REF!,DATA!#REF!,1,FALSE),"")</f>
        <v/>
      </c>
      <c r="D2238" s="16" t="str">
        <f>IFERROR(VLOOKUP(C2238,DATA!#REF!,2,FALSE),"")</f>
        <v/>
      </c>
    </row>
    <row r="2239" spans="3:4" s="237" customFormat="1">
      <c r="C2239" s="16" t="str">
        <f>IFERROR(VLOOKUP(DATA!#REF!,DATA!#REF!,1,FALSE),"")</f>
        <v/>
      </c>
      <c r="D2239" s="16" t="str">
        <f>IFERROR(VLOOKUP(C2239,DATA!#REF!,2,FALSE),"")</f>
        <v/>
      </c>
    </row>
    <row r="2240" spans="3:4" s="237" customFormat="1">
      <c r="C2240" s="16" t="str">
        <f>IFERROR(VLOOKUP(DATA!#REF!,DATA!#REF!,1,FALSE),"")</f>
        <v/>
      </c>
      <c r="D2240" s="16" t="str">
        <f>IFERROR(VLOOKUP(C2240,DATA!#REF!,2,FALSE),"")</f>
        <v/>
      </c>
    </row>
    <row r="2241" spans="3:4" s="237" customFormat="1">
      <c r="C2241" s="16" t="str">
        <f>IFERROR(VLOOKUP(DATA!#REF!,DATA!#REF!,1,FALSE),"")</f>
        <v/>
      </c>
      <c r="D2241" s="16" t="str">
        <f>IFERROR(VLOOKUP(C2241,DATA!#REF!,2,FALSE),"")</f>
        <v/>
      </c>
    </row>
    <row r="2242" spans="3:4" s="237" customFormat="1">
      <c r="C2242" s="16" t="str">
        <f>IFERROR(VLOOKUP(DATA!#REF!,DATA!#REF!,1,FALSE),"")</f>
        <v/>
      </c>
      <c r="D2242" s="16" t="str">
        <f>IFERROR(VLOOKUP(C2242,DATA!#REF!,2,FALSE),"")</f>
        <v/>
      </c>
    </row>
    <row r="2243" spans="3:4" s="237" customFormat="1">
      <c r="C2243" s="16" t="str">
        <f>IFERROR(VLOOKUP(DATA!#REF!,DATA!#REF!,1,FALSE),"")</f>
        <v/>
      </c>
      <c r="D2243" s="16" t="str">
        <f>IFERROR(VLOOKUP(C2243,DATA!#REF!,2,FALSE),"")</f>
        <v/>
      </c>
    </row>
    <row r="2244" spans="3:4" s="237" customFormat="1">
      <c r="C2244" s="16" t="str">
        <f>IFERROR(VLOOKUP(DATA!#REF!,DATA!#REF!,1,FALSE),"")</f>
        <v/>
      </c>
      <c r="D2244" s="16" t="str">
        <f>IFERROR(VLOOKUP(C2244,DATA!#REF!,2,FALSE),"")</f>
        <v/>
      </c>
    </row>
    <row r="2245" spans="3:4" s="237" customFormat="1">
      <c r="C2245" s="16" t="str">
        <f>IFERROR(VLOOKUP(DATA!#REF!,DATA!#REF!,1,FALSE),"")</f>
        <v/>
      </c>
      <c r="D2245" s="16" t="str">
        <f>IFERROR(VLOOKUP(C2245,DATA!#REF!,2,FALSE),"")</f>
        <v/>
      </c>
    </row>
    <row r="2246" spans="3:4" s="237" customFormat="1">
      <c r="C2246" s="16" t="str">
        <f>IFERROR(VLOOKUP(DATA!#REF!,DATA!#REF!,1,FALSE),"")</f>
        <v/>
      </c>
      <c r="D2246" s="16" t="str">
        <f>IFERROR(VLOOKUP(C2246,DATA!#REF!,2,FALSE),"")</f>
        <v/>
      </c>
    </row>
    <row r="2247" spans="3:4" s="237" customFormat="1">
      <c r="C2247" s="16" t="str">
        <f>IFERROR(VLOOKUP(DATA!#REF!,DATA!#REF!,1,FALSE),"")</f>
        <v/>
      </c>
      <c r="D2247" s="16" t="str">
        <f>IFERROR(VLOOKUP(C2247,DATA!#REF!,2,FALSE),"")</f>
        <v/>
      </c>
    </row>
    <row r="2248" spans="3:4" s="237" customFormat="1">
      <c r="C2248" s="16" t="str">
        <f>IFERROR(VLOOKUP(DATA!#REF!,DATA!#REF!,1,FALSE),"")</f>
        <v/>
      </c>
      <c r="D2248" s="16" t="str">
        <f>IFERROR(VLOOKUP(C2248,DATA!#REF!,2,FALSE),"")</f>
        <v/>
      </c>
    </row>
    <row r="2249" spans="3:4" s="237" customFormat="1">
      <c r="C2249" s="16" t="str">
        <f>IFERROR(VLOOKUP(DATA!#REF!,DATA!#REF!,1,FALSE),"")</f>
        <v/>
      </c>
      <c r="D2249" s="16" t="str">
        <f>IFERROR(VLOOKUP(C2249,DATA!#REF!,2,FALSE),"")</f>
        <v/>
      </c>
    </row>
    <row r="2250" spans="3:4" s="237" customFormat="1">
      <c r="C2250" s="16" t="str">
        <f>IFERROR(VLOOKUP(DATA!#REF!,DATA!#REF!,1,FALSE),"")</f>
        <v/>
      </c>
      <c r="D2250" s="16" t="str">
        <f>IFERROR(VLOOKUP(C2250,DATA!#REF!,2,FALSE),"")</f>
        <v/>
      </c>
    </row>
    <row r="2251" spans="3:4" s="237" customFormat="1">
      <c r="C2251" s="16" t="str">
        <f>IFERROR(VLOOKUP(DATA!#REF!,DATA!#REF!,1,FALSE),"")</f>
        <v/>
      </c>
      <c r="D2251" s="16" t="str">
        <f>IFERROR(VLOOKUP(C2251,DATA!#REF!,2,FALSE),"")</f>
        <v/>
      </c>
    </row>
    <row r="2252" spans="3:4" s="237" customFormat="1">
      <c r="C2252" s="16" t="str">
        <f>IFERROR(VLOOKUP(DATA!#REF!,DATA!#REF!,1,FALSE),"")</f>
        <v/>
      </c>
      <c r="D2252" s="16" t="str">
        <f>IFERROR(VLOOKUP(C2252,DATA!#REF!,2,FALSE),"")</f>
        <v/>
      </c>
    </row>
    <row r="2253" spans="3:4" s="237" customFormat="1">
      <c r="C2253" s="16" t="str">
        <f>IFERROR(VLOOKUP(DATA!#REF!,DATA!#REF!,1,FALSE),"")</f>
        <v/>
      </c>
      <c r="D2253" s="16" t="str">
        <f>IFERROR(VLOOKUP(C2253,DATA!#REF!,2,FALSE),"")</f>
        <v/>
      </c>
    </row>
    <row r="2254" spans="3:4" s="237" customFormat="1">
      <c r="C2254" s="16" t="str">
        <f>IFERROR(VLOOKUP(DATA!#REF!,DATA!#REF!,1,FALSE),"")</f>
        <v/>
      </c>
      <c r="D2254" s="16" t="str">
        <f>IFERROR(VLOOKUP(C2254,DATA!#REF!,2,FALSE),"")</f>
        <v/>
      </c>
    </row>
    <row r="2255" spans="3:4" s="237" customFormat="1">
      <c r="C2255" s="16" t="str">
        <f>IFERROR(VLOOKUP(DATA!#REF!,DATA!#REF!,1,FALSE),"")</f>
        <v/>
      </c>
      <c r="D2255" s="16" t="str">
        <f>IFERROR(VLOOKUP(C2255,DATA!#REF!,2,FALSE),"")</f>
        <v/>
      </c>
    </row>
    <row r="2256" spans="3:4" s="237" customFormat="1">
      <c r="C2256" s="16" t="str">
        <f>IFERROR(VLOOKUP(DATA!#REF!,DATA!#REF!,1,FALSE),"")</f>
        <v/>
      </c>
      <c r="D2256" s="16" t="str">
        <f>IFERROR(VLOOKUP(C2256,DATA!#REF!,2,FALSE),"")</f>
        <v/>
      </c>
    </row>
    <row r="2257" spans="3:4" s="237" customFormat="1">
      <c r="C2257" s="16" t="str">
        <f>IFERROR(VLOOKUP(DATA!#REF!,DATA!#REF!,1,FALSE),"")</f>
        <v/>
      </c>
      <c r="D2257" s="16" t="str">
        <f>IFERROR(VLOOKUP(C2257,DATA!#REF!,2,FALSE),"")</f>
        <v/>
      </c>
    </row>
    <row r="2258" spans="3:4" s="237" customFormat="1">
      <c r="C2258" s="16" t="str">
        <f>IFERROR(VLOOKUP(DATA!#REF!,DATA!#REF!,1,FALSE),"")</f>
        <v/>
      </c>
      <c r="D2258" s="16" t="str">
        <f>IFERROR(VLOOKUP(C2258,DATA!#REF!,2,FALSE),"")</f>
        <v/>
      </c>
    </row>
    <row r="2259" spans="3:4" s="237" customFormat="1">
      <c r="C2259" s="16" t="str">
        <f>IFERROR(VLOOKUP(DATA!#REF!,DATA!#REF!,1,FALSE),"")</f>
        <v/>
      </c>
      <c r="D2259" s="16" t="str">
        <f>IFERROR(VLOOKUP(C2259,DATA!#REF!,2,FALSE),"")</f>
        <v/>
      </c>
    </row>
    <row r="2260" spans="3:4" s="237" customFormat="1">
      <c r="C2260" s="16" t="str">
        <f>IFERROR(VLOOKUP(DATA!#REF!,DATA!#REF!,1,FALSE),"")</f>
        <v/>
      </c>
      <c r="D2260" s="16" t="str">
        <f>IFERROR(VLOOKUP(C2260,DATA!#REF!,2,FALSE),"")</f>
        <v/>
      </c>
    </row>
    <row r="2261" spans="3:4" s="237" customFormat="1">
      <c r="C2261" s="16" t="str">
        <f>IFERROR(VLOOKUP(DATA!#REF!,DATA!#REF!,1,FALSE),"")</f>
        <v/>
      </c>
      <c r="D2261" s="16" t="str">
        <f>IFERROR(VLOOKUP(C2261,DATA!#REF!,2,FALSE),"")</f>
        <v/>
      </c>
    </row>
    <row r="2262" spans="3:4" s="237" customFormat="1">
      <c r="C2262" s="16" t="str">
        <f>IFERROR(VLOOKUP(DATA!#REF!,DATA!#REF!,1,FALSE),"")</f>
        <v/>
      </c>
      <c r="D2262" s="16" t="str">
        <f>IFERROR(VLOOKUP(C2262,DATA!#REF!,2,FALSE),"")</f>
        <v/>
      </c>
    </row>
    <row r="2263" spans="3:4" s="237" customFormat="1">
      <c r="C2263" s="16" t="str">
        <f>IFERROR(VLOOKUP(DATA!#REF!,DATA!#REF!,1,FALSE),"")</f>
        <v/>
      </c>
      <c r="D2263" s="16" t="str">
        <f>IFERROR(VLOOKUP(C2263,DATA!#REF!,2,FALSE),"")</f>
        <v/>
      </c>
    </row>
    <row r="2264" spans="3:4" s="237" customFormat="1">
      <c r="C2264" s="16" t="str">
        <f>IFERROR(VLOOKUP(DATA!#REF!,DATA!#REF!,1,FALSE),"")</f>
        <v/>
      </c>
      <c r="D2264" s="16" t="str">
        <f>IFERROR(VLOOKUP(C2264,DATA!#REF!,2,FALSE),"")</f>
        <v/>
      </c>
    </row>
    <row r="2265" spans="3:4" s="237" customFormat="1">
      <c r="C2265" s="16" t="str">
        <f>IFERROR(VLOOKUP(DATA!#REF!,DATA!#REF!,1,FALSE),"")</f>
        <v/>
      </c>
      <c r="D2265" s="16" t="str">
        <f>IFERROR(VLOOKUP(C2265,DATA!#REF!,2,FALSE),"")</f>
        <v/>
      </c>
    </row>
    <row r="2266" spans="3:4" s="237" customFormat="1">
      <c r="C2266" s="16" t="str">
        <f>IFERROR(VLOOKUP(DATA!#REF!,DATA!#REF!,1,FALSE),"")</f>
        <v/>
      </c>
      <c r="D2266" s="16" t="str">
        <f>IFERROR(VLOOKUP(C2266,DATA!#REF!,2,FALSE),"")</f>
        <v/>
      </c>
    </row>
    <row r="2267" spans="3:4" s="237" customFormat="1">
      <c r="C2267" s="16" t="str">
        <f>IFERROR(VLOOKUP(DATA!#REF!,DATA!#REF!,1,FALSE),"")</f>
        <v/>
      </c>
      <c r="D2267" s="16" t="str">
        <f>IFERROR(VLOOKUP(C2267,DATA!#REF!,2,FALSE),"")</f>
        <v/>
      </c>
    </row>
    <row r="2268" spans="3:4" s="237" customFormat="1">
      <c r="C2268" s="16" t="str">
        <f>IFERROR(VLOOKUP(DATA!#REF!,DATA!#REF!,1,FALSE),"")</f>
        <v/>
      </c>
      <c r="D2268" s="16" t="str">
        <f>IFERROR(VLOOKUP(C2268,DATA!#REF!,2,FALSE),"")</f>
        <v/>
      </c>
    </row>
    <row r="2269" spans="3:4" s="237" customFormat="1">
      <c r="C2269" s="16" t="str">
        <f>IFERROR(VLOOKUP(DATA!#REF!,DATA!#REF!,1,FALSE),"")</f>
        <v/>
      </c>
      <c r="D2269" s="16" t="str">
        <f>IFERROR(VLOOKUP(C2269,DATA!#REF!,2,FALSE),"")</f>
        <v/>
      </c>
    </row>
    <row r="2270" spans="3:4" s="237" customFormat="1">
      <c r="C2270" s="16" t="str">
        <f>IFERROR(VLOOKUP(DATA!#REF!,DATA!#REF!,1,FALSE),"")</f>
        <v/>
      </c>
      <c r="D2270" s="16" t="str">
        <f>IFERROR(VLOOKUP(C2270,DATA!#REF!,2,FALSE),"")</f>
        <v/>
      </c>
    </row>
    <row r="2271" spans="3:4" s="237" customFormat="1">
      <c r="C2271" s="16" t="str">
        <f>IFERROR(VLOOKUP(DATA!#REF!,DATA!#REF!,1,FALSE),"")</f>
        <v/>
      </c>
      <c r="D2271" s="16" t="str">
        <f>IFERROR(VLOOKUP(C2271,DATA!#REF!,2,FALSE),"")</f>
        <v/>
      </c>
    </row>
    <row r="2272" spans="3:4" s="237" customFormat="1">
      <c r="C2272" s="16" t="str">
        <f>IFERROR(VLOOKUP(DATA!#REF!,DATA!#REF!,1,FALSE),"")</f>
        <v/>
      </c>
      <c r="D2272" s="16" t="str">
        <f>IFERROR(VLOOKUP(C2272,DATA!#REF!,2,FALSE),"")</f>
        <v/>
      </c>
    </row>
    <row r="2273" spans="3:4" s="237" customFormat="1">
      <c r="C2273" s="16" t="str">
        <f>IFERROR(VLOOKUP(DATA!#REF!,DATA!#REF!,1,FALSE),"")</f>
        <v/>
      </c>
      <c r="D2273" s="16" t="str">
        <f>IFERROR(VLOOKUP(C2273,DATA!#REF!,2,FALSE),"")</f>
        <v/>
      </c>
    </row>
    <row r="2274" spans="3:4" s="237" customFormat="1">
      <c r="C2274" s="16" t="str">
        <f>IFERROR(VLOOKUP(DATA!#REF!,DATA!#REF!,1,FALSE),"")</f>
        <v/>
      </c>
      <c r="D2274" s="16" t="str">
        <f>IFERROR(VLOOKUP(C2274,DATA!#REF!,2,FALSE),"")</f>
        <v/>
      </c>
    </row>
    <row r="2275" spans="3:4" s="237" customFormat="1">
      <c r="C2275" s="16" t="str">
        <f>IFERROR(VLOOKUP(DATA!#REF!,DATA!#REF!,1,FALSE),"")</f>
        <v/>
      </c>
      <c r="D2275" s="16" t="str">
        <f>IFERROR(VLOOKUP(C2275,DATA!#REF!,2,FALSE),"")</f>
        <v/>
      </c>
    </row>
    <row r="2276" spans="3:4" s="237" customFormat="1">
      <c r="C2276" s="16" t="str">
        <f>IFERROR(VLOOKUP(DATA!#REF!,DATA!#REF!,1,FALSE),"")</f>
        <v/>
      </c>
      <c r="D2276" s="16" t="str">
        <f>IFERROR(VLOOKUP(C2276,DATA!#REF!,2,FALSE),"")</f>
        <v/>
      </c>
    </row>
    <row r="2277" spans="3:4" s="237" customFormat="1">
      <c r="C2277" s="16" t="str">
        <f>IFERROR(VLOOKUP(DATA!#REF!,DATA!#REF!,1,FALSE),"")</f>
        <v/>
      </c>
      <c r="D2277" s="16" t="str">
        <f>IFERROR(VLOOKUP(C2277,DATA!#REF!,2,FALSE),"")</f>
        <v/>
      </c>
    </row>
    <row r="2278" spans="3:4" s="237" customFormat="1">
      <c r="C2278" s="16" t="str">
        <f>IFERROR(VLOOKUP(DATA!#REF!,DATA!#REF!,1,FALSE),"")</f>
        <v/>
      </c>
      <c r="D2278" s="16" t="str">
        <f>IFERROR(VLOOKUP(C2278,DATA!#REF!,2,FALSE),"")</f>
        <v/>
      </c>
    </row>
    <row r="2279" spans="3:4" s="237" customFormat="1">
      <c r="C2279" s="16" t="str">
        <f>IFERROR(VLOOKUP(DATA!#REF!,DATA!#REF!,1,FALSE),"")</f>
        <v/>
      </c>
      <c r="D2279" s="16" t="str">
        <f>IFERROR(VLOOKUP(C2279,DATA!#REF!,2,FALSE),"")</f>
        <v/>
      </c>
    </row>
    <row r="2280" spans="3:4" s="237" customFormat="1">
      <c r="C2280" s="16" t="str">
        <f>IFERROR(VLOOKUP(DATA!#REF!,DATA!#REF!,1,FALSE),"")</f>
        <v/>
      </c>
      <c r="D2280" s="16" t="str">
        <f>IFERROR(VLOOKUP(C2280,DATA!#REF!,2,FALSE),"")</f>
        <v/>
      </c>
    </row>
    <row r="2281" spans="3:4" s="237" customFormat="1">
      <c r="C2281" s="16" t="str">
        <f>IFERROR(VLOOKUP(DATA!#REF!,DATA!#REF!,1,FALSE),"")</f>
        <v/>
      </c>
      <c r="D2281" s="16" t="str">
        <f>IFERROR(VLOOKUP(C2281,DATA!#REF!,2,FALSE),"")</f>
        <v/>
      </c>
    </row>
    <row r="2282" spans="3:4" s="237" customFormat="1">
      <c r="C2282" s="16" t="str">
        <f>IFERROR(VLOOKUP(DATA!#REF!,DATA!#REF!,1,FALSE),"")</f>
        <v/>
      </c>
      <c r="D2282" s="16" t="str">
        <f>IFERROR(VLOOKUP(C2282,DATA!#REF!,2,FALSE),"")</f>
        <v/>
      </c>
    </row>
    <row r="2283" spans="3:4" s="237" customFormat="1">
      <c r="C2283" s="16" t="str">
        <f>IFERROR(VLOOKUP(DATA!#REF!,DATA!#REF!,1,FALSE),"")</f>
        <v/>
      </c>
      <c r="D2283" s="16" t="str">
        <f>IFERROR(VLOOKUP(C2283,DATA!#REF!,2,FALSE),"")</f>
        <v/>
      </c>
    </row>
    <row r="2284" spans="3:4" s="237" customFormat="1">
      <c r="C2284" s="16" t="str">
        <f>IFERROR(VLOOKUP(DATA!#REF!,DATA!#REF!,1,FALSE),"")</f>
        <v/>
      </c>
      <c r="D2284" s="16" t="str">
        <f>IFERROR(VLOOKUP(C2284,DATA!#REF!,2,FALSE),"")</f>
        <v/>
      </c>
    </row>
    <row r="2285" spans="3:4" s="237" customFormat="1">
      <c r="C2285" s="16" t="str">
        <f>IFERROR(VLOOKUP(DATA!#REF!,DATA!#REF!,1,FALSE),"")</f>
        <v/>
      </c>
      <c r="D2285" s="16" t="str">
        <f>IFERROR(VLOOKUP(C2285,DATA!#REF!,2,FALSE),"")</f>
        <v/>
      </c>
    </row>
    <row r="2286" spans="3:4" s="237" customFormat="1">
      <c r="C2286" s="16" t="str">
        <f>IFERROR(VLOOKUP(DATA!#REF!,DATA!#REF!,1,FALSE),"")</f>
        <v/>
      </c>
      <c r="D2286" s="16" t="str">
        <f>IFERROR(VLOOKUP(C2286,DATA!#REF!,2,FALSE),"")</f>
        <v/>
      </c>
    </row>
    <row r="2287" spans="3:4" s="237" customFormat="1">
      <c r="C2287" s="16" t="str">
        <f>IFERROR(VLOOKUP(DATA!#REF!,DATA!#REF!,1,FALSE),"")</f>
        <v/>
      </c>
      <c r="D2287" s="16" t="str">
        <f>IFERROR(VLOOKUP(C2287,DATA!#REF!,2,FALSE),"")</f>
        <v/>
      </c>
    </row>
    <row r="2288" spans="3:4" s="237" customFormat="1">
      <c r="C2288" s="16" t="str">
        <f>IFERROR(VLOOKUP(DATA!#REF!,DATA!#REF!,1,FALSE),"")</f>
        <v/>
      </c>
      <c r="D2288" s="16" t="str">
        <f>IFERROR(VLOOKUP(C2288,DATA!#REF!,2,FALSE),"")</f>
        <v/>
      </c>
    </row>
    <row r="2289" spans="3:4" s="237" customFormat="1">
      <c r="C2289" s="16" t="str">
        <f>IFERROR(VLOOKUP(DATA!#REF!,DATA!#REF!,1,FALSE),"")</f>
        <v/>
      </c>
      <c r="D2289" s="16" t="str">
        <f>IFERROR(VLOOKUP(C2289,DATA!#REF!,2,FALSE),"")</f>
        <v/>
      </c>
    </row>
    <row r="2290" spans="3:4" s="237" customFormat="1">
      <c r="C2290" s="16" t="str">
        <f>IFERROR(VLOOKUP(DATA!#REF!,DATA!#REF!,1,FALSE),"")</f>
        <v/>
      </c>
      <c r="D2290" s="16" t="str">
        <f>IFERROR(VLOOKUP(C2290,DATA!#REF!,2,FALSE),"")</f>
        <v/>
      </c>
    </row>
    <row r="2291" spans="3:4" s="237" customFormat="1">
      <c r="C2291" s="16" t="str">
        <f>IFERROR(VLOOKUP(DATA!#REF!,DATA!#REF!,1,FALSE),"")</f>
        <v/>
      </c>
      <c r="D2291" s="16" t="str">
        <f>IFERROR(VLOOKUP(C2291,DATA!#REF!,2,FALSE),"")</f>
        <v/>
      </c>
    </row>
    <row r="2292" spans="3:4" s="237" customFormat="1">
      <c r="C2292" s="16" t="str">
        <f>IFERROR(VLOOKUP(DATA!#REF!,DATA!#REF!,1,FALSE),"")</f>
        <v/>
      </c>
      <c r="D2292" s="16" t="str">
        <f>IFERROR(VLOOKUP(C2292,DATA!#REF!,2,FALSE),"")</f>
        <v/>
      </c>
    </row>
    <row r="2293" spans="3:4" s="237" customFormat="1">
      <c r="C2293" s="16" t="str">
        <f>IFERROR(VLOOKUP(DATA!#REF!,DATA!#REF!,1,FALSE),"")</f>
        <v/>
      </c>
      <c r="D2293" s="16" t="str">
        <f>IFERROR(VLOOKUP(C2293,DATA!#REF!,2,FALSE),"")</f>
        <v/>
      </c>
    </row>
    <row r="2294" spans="3:4" s="237" customFormat="1">
      <c r="C2294" s="16" t="str">
        <f>IFERROR(VLOOKUP(DATA!#REF!,DATA!#REF!,1,FALSE),"")</f>
        <v/>
      </c>
      <c r="D2294" s="16" t="str">
        <f>IFERROR(VLOOKUP(C2294,DATA!#REF!,2,FALSE),"")</f>
        <v/>
      </c>
    </row>
    <row r="2295" spans="3:4" s="237" customFormat="1">
      <c r="C2295" s="16" t="str">
        <f>IFERROR(VLOOKUP(DATA!#REF!,DATA!#REF!,1,FALSE),"")</f>
        <v/>
      </c>
      <c r="D2295" s="16" t="str">
        <f>IFERROR(VLOOKUP(C2295,DATA!#REF!,2,FALSE),"")</f>
        <v/>
      </c>
    </row>
    <row r="2296" spans="3:4" s="237" customFormat="1">
      <c r="C2296" s="16" t="str">
        <f>IFERROR(VLOOKUP(DATA!#REF!,DATA!#REF!,1,FALSE),"")</f>
        <v/>
      </c>
      <c r="D2296" s="16" t="str">
        <f>IFERROR(VLOOKUP(C2296,DATA!#REF!,2,FALSE),"")</f>
        <v/>
      </c>
    </row>
    <row r="2297" spans="3:4" s="237" customFormat="1">
      <c r="C2297" s="16" t="str">
        <f>IFERROR(VLOOKUP(DATA!#REF!,DATA!#REF!,1,FALSE),"")</f>
        <v/>
      </c>
      <c r="D2297" s="16" t="str">
        <f>IFERROR(VLOOKUP(C2297,DATA!#REF!,2,FALSE),"")</f>
        <v/>
      </c>
    </row>
    <row r="2298" spans="3:4" s="237" customFormat="1">
      <c r="C2298" s="16" t="str">
        <f>IFERROR(VLOOKUP(DATA!#REF!,DATA!#REF!,1,FALSE),"")</f>
        <v/>
      </c>
      <c r="D2298" s="16" t="str">
        <f>IFERROR(VLOOKUP(C2298,DATA!#REF!,2,FALSE),"")</f>
        <v/>
      </c>
    </row>
    <row r="2299" spans="3:4" s="237" customFormat="1">
      <c r="C2299" s="16" t="str">
        <f>IFERROR(VLOOKUP(DATA!#REF!,DATA!#REF!,1,FALSE),"")</f>
        <v/>
      </c>
      <c r="D2299" s="16" t="str">
        <f>IFERROR(VLOOKUP(C2299,DATA!#REF!,2,FALSE),"")</f>
        <v/>
      </c>
    </row>
    <row r="2300" spans="3:4" s="237" customFormat="1">
      <c r="C2300" s="16" t="str">
        <f>IFERROR(VLOOKUP(DATA!#REF!,DATA!#REF!,1,FALSE),"")</f>
        <v/>
      </c>
      <c r="D2300" s="16" t="str">
        <f>IFERROR(VLOOKUP(C2300,DATA!#REF!,2,FALSE),"")</f>
        <v/>
      </c>
    </row>
    <row r="2301" spans="3:4" s="237" customFormat="1">
      <c r="C2301" s="16" t="str">
        <f>IFERROR(VLOOKUP(DATA!#REF!,DATA!#REF!,1,FALSE),"")</f>
        <v/>
      </c>
      <c r="D2301" s="16" t="str">
        <f>IFERROR(VLOOKUP(C2301,DATA!#REF!,2,FALSE),"")</f>
        <v/>
      </c>
    </row>
    <row r="2302" spans="3:4" s="237" customFormat="1">
      <c r="C2302" s="16" t="str">
        <f>IFERROR(VLOOKUP(DATA!#REF!,DATA!#REF!,1,FALSE),"")</f>
        <v/>
      </c>
      <c r="D2302" s="16" t="str">
        <f>IFERROR(VLOOKUP(C2302,DATA!#REF!,2,FALSE),"")</f>
        <v/>
      </c>
    </row>
    <row r="2303" spans="3:4" s="237" customFormat="1">
      <c r="C2303" s="16" t="str">
        <f>IFERROR(VLOOKUP(DATA!#REF!,DATA!#REF!,1,FALSE),"")</f>
        <v/>
      </c>
      <c r="D2303" s="16" t="str">
        <f>IFERROR(VLOOKUP(C2303,DATA!#REF!,2,FALSE),"")</f>
        <v/>
      </c>
    </row>
    <row r="2304" spans="3:4" s="237" customFormat="1">
      <c r="C2304" s="16" t="str">
        <f>IFERROR(VLOOKUP(DATA!#REF!,DATA!#REF!,1,FALSE),"")</f>
        <v/>
      </c>
      <c r="D2304" s="16" t="str">
        <f>IFERROR(VLOOKUP(C2304,DATA!#REF!,2,FALSE),"")</f>
        <v/>
      </c>
    </row>
    <row r="2305" spans="3:4" s="237" customFormat="1">
      <c r="C2305" s="16" t="str">
        <f>IFERROR(VLOOKUP(DATA!#REF!,DATA!#REF!,1,FALSE),"")</f>
        <v/>
      </c>
      <c r="D2305" s="16" t="str">
        <f>IFERROR(VLOOKUP(C2305,DATA!#REF!,2,FALSE),"")</f>
        <v/>
      </c>
    </row>
    <row r="2306" spans="3:4" s="237" customFormat="1">
      <c r="C2306" s="16" t="str">
        <f>IFERROR(VLOOKUP(DATA!#REF!,DATA!#REF!,1,FALSE),"")</f>
        <v/>
      </c>
      <c r="D2306" s="16" t="str">
        <f>IFERROR(VLOOKUP(C2306,DATA!#REF!,2,FALSE),"")</f>
        <v/>
      </c>
    </row>
    <row r="2307" spans="3:4" s="237" customFormat="1">
      <c r="C2307" s="16" t="str">
        <f>IFERROR(VLOOKUP(DATA!#REF!,DATA!#REF!,1,FALSE),"")</f>
        <v/>
      </c>
      <c r="D2307" s="16" t="str">
        <f>IFERROR(VLOOKUP(C2307,DATA!#REF!,2,FALSE),"")</f>
        <v/>
      </c>
    </row>
    <row r="2308" spans="3:4" s="237" customFormat="1">
      <c r="C2308" s="16" t="str">
        <f>IFERROR(VLOOKUP(DATA!#REF!,DATA!#REF!,1,FALSE),"")</f>
        <v/>
      </c>
      <c r="D2308" s="16" t="str">
        <f>IFERROR(VLOOKUP(C2308,DATA!#REF!,2,FALSE),"")</f>
        <v/>
      </c>
    </row>
    <row r="2309" spans="3:4" s="237" customFormat="1">
      <c r="C2309" s="16" t="str">
        <f>IFERROR(VLOOKUP(DATA!#REF!,DATA!#REF!,1,FALSE),"")</f>
        <v/>
      </c>
      <c r="D2309" s="16" t="str">
        <f>IFERROR(VLOOKUP(C2309,DATA!#REF!,2,FALSE),"")</f>
        <v/>
      </c>
    </row>
    <row r="2310" spans="3:4" s="237" customFormat="1">
      <c r="C2310" s="16" t="str">
        <f>IFERROR(VLOOKUP(DATA!#REF!,DATA!#REF!,1,FALSE),"")</f>
        <v/>
      </c>
      <c r="D2310" s="16" t="str">
        <f>IFERROR(VLOOKUP(C2310,DATA!#REF!,2,FALSE),"")</f>
        <v/>
      </c>
    </row>
    <row r="2311" spans="3:4" s="237" customFormat="1">
      <c r="C2311" s="16" t="str">
        <f>IFERROR(VLOOKUP(DATA!#REF!,DATA!#REF!,1,FALSE),"")</f>
        <v/>
      </c>
      <c r="D2311" s="16" t="str">
        <f>IFERROR(VLOOKUP(C2311,DATA!#REF!,2,FALSE),"")</f>
        <v/>
      </c>
    </row>
    <row r="2312" spans="3:4" s="237" customFormat="1">
      <c r="C2312" s="16" t="str">
        <f>IFERROR(VLOOKUP(DATA!#REF!,DATA!#REF!,1,FALSE),"")</f>
        <v/>
      </c>
      <c r="D2312" s="16" t="str">
        <f>IFERROR(VLOOKUP(C2312,DATA!#REF!,2,FALSE),"")</f>
        <v/>
      </c>
    </row>
    <row r="2313" spans="3:4" s="237" customFormat="1">
      <c r="C2313" s="16" t="str">
        <f>IFERROR(VLOOKUP(DATA!#REF!,DATA!#REF!,1,FALSE),"")</f>
        <v/>
      </c>
      <c r="D2313" s="16" t="str">
        <f>IFERROR(VLOOKUP(C2313,DATA!#REF!,2,FALSE),"")</f>
        <v/>
      </c>
    </row>
    <row r="2314" spans="3:4" s="237" customFormat="1">
      <c r="C2314" s="16" t="str">
        <f>IFERROR(VLOOKUP(DATA!#REF!,DATA!#REF!,1,FALSE),"")</f>
        <v/>
      </c>
      <c r="D2314" s="16" t="str">
        <f>IFERROR(VLOOKUP(C2314,DATA!#REF!,2,FALSE),"")</f>
        <v/>
      </c>
    </row>
    <row r="2315" spans="3:4" s="237" customFormat="1">
      <c r="C2315" s="16" t="str">
        <f>IFERROR(VLOOKUP(DATA!#REF!,DATA!#REF!,1,FALSE),"")</f>
        <v/>
      </c>
      <c r="D2315" s="16" t="str">
        <f>IFERROR(VLOOKUP(C2315,DATA!#REF!,2,FALSE),"")</f>
        <v/>
      </c>
    </row>
    <row r="2316" spans="3:4" s="237" customFormat="1">
      <c r="C2316" s="16" t="str">
        <f>IFERROR(VLOOKUP(DATA!#REF!,DATA!#REF!,1,FALSE),"")</f>
        <v/>
      </c>
      <c r="D2316" s="16" t="str">
        <f>IFERROR(VLOOKUP(C2316,DATA!#REF!,2,FALSE),"")</f>
        <v/>
      </c>
    </row>
    <row r="2317" spans="3:4" s="237" customFormat="1">
      <c r="C2317" s="16" t="str">
        <f>IFERROR(VLOOKUP(DATA!#REF!,DATA!#REF!,1,FALSE),"")</f>
        <v/>
      </c>
      <c r="D2317" s="16" t="str">
        <f>IFERROR(VLOOKUP(C2317,DATA!#REF!,2,FALSE),"")</f>
        <v/>
      </c>
    </row>
    <row r="2318" spans="3:4" s="237" customFormat="1">
      <c r="C2318" s="16" t="str">
        <f>IFERROR(VLOOKUP(DATA!#REF!,DATA!#REF!,1,FALSE),"")</f>
        <v/>
      </c>
      <c r="D2318" s="16" t="str">
        <f>IFERROR(VLOOKUP(C2318,DATA!#REF!,2,FALSE),"")</f>
        <v/>
      </c>
    </row>
    <row r="2319" spans="3:4" s="237" customFormat="1">
      <c r="C2319" s="16" t="str">
        <f>IFERROR(VLOOKUP(DATA!#REF!,DATA!#REF!,1,FALSE),"")</f>
        <v/>
      </c>
      <c r="D2319" s="16" t="str">
        <f>IFERROR(VLOOKUP(C2319,DATA!#REF!,2,FALSE),"")</f>
        <v/>
      </c>
    </row>
    <row r="2320" spans="3:4" s="237" customFormat="1">
      <c r="C2320" s="16" t="str">
        <f>IFERROR(VLOOKUP(DATA!#REF!,DATA!#REF!,1,FALSE),"")</f>
        <v/>
      </c>
      <c r="D2320" s="16" t="str">
        <f>IFERROR(VLOOKUP(C2320,DATA!#REF!,2,FALSE),"")</f>
        <v/>
      </c>
    </row>
    <row r="2321" spans="3:4" s="237" customFormat="1">
      <c r="C2321" s="16" t="str">
        <f>IFERROR(VLOOKUP(DATA!#REF!,DATA!#REF!,1,FALSE),"")</f>
        <v/>
      </c>
      <c r="D2321" s="16" t="str">
        <f>IFERROR(VLOOKUP(C2321,DATA!#REF!,2,FALSE),"")</f>
        <v/>
      </c>
    </row>
    <row r="2322" spans="3:4" s="237" customFormat="1">
      <c r="C2322" s="16" t="str">
        <f>IFERROR(VLOOKUP(DATA!#REF!,DATA!#REF!,1,FALSE),"")</f>
        <v/>
      </c>
      <c r="D2322" s="16" t="str">
        <f>IFERROR(VLOOKUP(C2322,DATA!#REF!,2,FALSE),"")</f>
        <v/>
      </c>
    </row>
    <row r="2323" spans="3:4" s="237" customFormat="1">
      <c r="C2323" s="16" t="str">
        <f>IFERROR(VLOOKUP(DATA!#REF!,DATA!#REF!,1,FALSE),"")</f>
        <v/>
      </c>
      <c r="D2323" s="16" t="str">
        <f>IFERROR(VLOOKUP(C2323,DATA!#REF!,2,FALSE),"")</f>
        <v/>
      </c>
    </row>
    <row r="2324" spans="3:4" s="237" customFormat="1">
      <c r="C2324" s="16" t="str">
        <f>IFERROR(VLOOKUP(DATA!#REF!,DATA!#REF!,1,FALSE),"")</f>
        <v/>
      </c>
      <c r="D2324" s="16" t="str">
        <f>IFERROR(VLOOKUP(C2324,DATA!#REF!,2,FALSE),"")</f>
        <v/>
      </c>
    </row>
    <row r="2325" spans="3:4" s="237" customFormat="1">
      <c r="C2325" s="16" t="str">
        <f>IFERROR(VLOOKUP(DATA!#REF!,DATA!#REF!,1,FALSE),"")</f>
        <v/>
      </c>
      <c r="D2325" s="16" t="str">
        <f>IFERROR(VLOOKUP(C2325,DATA!#REF!,2,FALSE),"")</f>
        <v/>
      </c>
    </row>
    <row r="2326" spans="3:4" s="237" customFormat="1">
      <c r="C2326" s="16" t="str">
        <f>IFERROR(VLOOKUP(DATA!#REF!,DATA!#REF!,1,FALSE),"")</f>
        <v/>
      </c>
      <c r="D2326" s="16" t="str">
        <f>IFERROR(VLOOKUP(C2326,DATA!#REF!,2,FALSE),"")</f>
        <v/>
      </c>
    </row>
    <row r="2327" spans="3:4" s="237" customFormat="1">
      <c r="C2327" s="16" t="str">
        <f>IFERROR(VLOOKUP(DATA!#REF!,DATA!#REF!,1,FALSE),"")</f>
        <v/>
      </c>
      <c r="D2327" s="16" t="str">
        <f>IFERROR(VLOOKUP(C2327,DATA!#REF!,2,FALSE),"")</f>
        <v/>
      </c>
    </row>
    <row r="2328" spans="3:4" s="237" customFormat="1">
      <c r="C2328" s="16" t="str">
        <f>IFERROR(VLOOKUP(DATA!#REF!,DATA!#REF!,1,FALSE),"")</f>
        <v/>
      </c>
      <c r="D2328" s="16" t="str">
        <f>IFERROR(VLOOKUP(C2328,DATA!#REF!,2,FALSE),"")</f>
        <v/>
      </c>
    </row>
    <row r="2329" spans="3:4" s="237" customFormat="1">
      <c r="C2329" s="16" t="str">
        <f>IFERROR(VLOOKUP(DATA!#REF!,DATA!#REF!,1,FALSE),"")</f>
        <v/>
      </c>
      <c r="D2329" s="16" t="str">
        <f>IFERROR(VLOOKUP(C2329,DATA!#REF!,2,FALSE),"")</f>
        <v/>
      </c>
    </row>
    <row r="2330" spans="3:4" s="237" customFormat="1">
      <c r="C2330" s="16" t="str">
        <f>IFERROR(VLOOKUP(DATA!#REF!,DATA!#REF!,1,FALSE),"")</f>
        <v/>
      </c>
      <c r="D2330" s="16" t="str">
        <f>IFERROR(VLOOKUP(C2330,DATA!#REF!,2,FALSE),"")</f>
        <v/>
      </c>
    </row>
    <row r="2331" spans="3:4" s="237" customFormat="1">
      <c r="C2331" s="16" t="str">
        <f>IFERROR(VLOOKUP(DATA!#REF!,DATA!#REF!,1,FALSE),"")</f>
        <v/>
      </c>
      <c r="D2331" s="16" t="str">
        <f>IFERROR(VLOOKUP(C2331,DATA!#REF!,2,FALSE),"")</f>
        <v/>
      </c>
    </row>
    <row r="2332" spans="3:4" s="237" customFormat="1">
      <c r="C2332" s="16" t="str">
        <f>IFERROR(VLOOKUP(DATA!#REF!,DATA!#REF!,1,FALSE),"")</f>
        <v/>
      </c>
      <c r="D2332" s="16" t="str">
        <f>IFERROR(VLOOKUP(C2332,DATA!#REF!,2,FALSE),"")</f>
        <v/>
      </c>
    </row>
    <row r="2333" spans="3:4" s="237" customFormat="1">
      <c r="C2333" s="16" t="str">
        <f>IFERROR(VLOOKUP(DATA!#REF!,DATA!#REF!,1,FALSE),"")</f>
        <v/>
      </c>
      <c r="D2333" s="16" t="str">
        <f>IFERROR(VLOOKUP(C2333,DATA!#REF!,2,FALSE),"")</f>
        <v/>
      </c>
    </row>
    <row r="2334" spans="3:4" s="237" customFormat="1">
      <c r="C2334" s="16" t="str">
        <f>IFERROR(VLOOKUP(DATA!#REF!,DATA!#REF!,1,FALSE),"")</f>
        <v/>
      </c>
      <c r="D2334" s="16" t="str">
        <f>IFERROR(VLOOKUP(C2334,DATA!#REF!,2,FALSE),"")</f>
        <v/>
      </c>
    </row>
    <row r="2335" spans="3:4" s="237" customFormat="1">
      <c r="C2335" s="16" t="str">
        <f>IFERROR(VLOOKUP(DATA!#REF!,DATA!#REF!,1,FALSE),"")</f>
        <v/>
      </c>
      <c r="D2335" s="16" t="str">
        <f>IFERROR(VLOOKUP(C2335,DATA!#REF!,2,FALSE),"")</f>
        <v/>
      </c>
    </row>
    <row r="2336" spans="3:4" s="237" customFormat="1">
      <c r="C2336" s="16" t="str">
        <f>IFERROR(VLOOKUP(DATA!#REF!,DATA!#REF!,1,FALSE),"")</f>
        <v/>
      </c>
      <c r="D2336" s="16" t="str">
        <f>IFERROR(VLOOKUP(C2336,DATA!#REF!,2,FALSE),"")</f>
        <v/>
      </c>
    </row>
    <row r="2337" spans="3:4" s="237" customFormat="1">
      <c r="C2337" s="16" t="str">
        <f>IFERROR(VLOOKUP(DATA!#REF!,DATA!#REF!,1,FALSE),"")</f>
        <v/>
      </c>
      <c r="D2337" s="16" t="str">
        <f>IFERROR(VLOOKUP(C2337,DATA!#REF!,2,FALSE),"")</f>
        <v/>
      </c>
    </row>
    <row r="2338" spans="3:4" s="237" customFormat="1">
      <c r="C2338" s="16" t="str">
        <f>IFERROR(VLOOKUP(DATA!#REF!,DATA!#REF!,1,FALSE),"")</f>
        <v/>
      </c>
      <c r="D2338" s="16" t="str">
        <f>IFERROR(VLOOKUP(C2338,DATA!#REF!,2,FALSE),"")</f>
        <v/>
      </c>
    </row>
    <row r="2339" spans="3:4" s="237" customFormat="1">
      <c r="C2339" s="16" t="str">
        <f>IFERROR(VLOOKUP(DATA!#REF!,DATA!#REF!,1,FALSE),"")</f>
        <v/>
      </c>
      <c r="D2339" s="16" t="str">
        <f>IFERROR(VLOOKUP(C2339,DATA!#REF!,2,FALSE),"")</f>
        <v/>
      </c>
    </row>
    <row r="2340" spans="3:4" s="237" customFormat="1">
      <c r="C2340" s="16" t="str">
        <f>IFERROR(VLOOKUP(DATA!#REF!,DATA!#REF!,1,FALSE),"")</f>
        <v/>
      </c>
      <c r="D2340" s="16" t="str">
        <f>IFERROR(VLOOKUP(C2340,DATA!#REF!,2,FALSE),"")</f>
        <v/>
      </c>
    </row>
    <row r="2341" spans="3:4" s="237" customFormat="1">
      <c r="C2341" s="16" t="str">
        <f>IFERROR(VLOOKUP(DATA!#REF!,DATA!#REF!,1,FALSE),"")</f>
        <v/>
      </c>
      <c r="D2341" s="16" t="str">
        <f>IFERROR(VLOOKUP(C2341,DATA!#REF!,2,FALSE),"")</f>
        <v/>
      </c>
    </row>
    <row r="2342" spans="3:4" s="237" customFormat="1">
      <c r="C2342" s="16" t="str">
        <f>IFERROR(VLOOKUP(DATA!#REF!,DATA!#REF!,1,FALSE),"")</f>
        <v/>
      </c>
      <c r="D2342" s="16" t="str">
        <f>IFERROR(VLOOKUP(C2342,DATA!#REF!,2,FALSE),"")</f>
        <v/>
      </c>
    </row>
    <row r="2343" spans="3:4" s="237" customFormat="1">
      <c r="C2343" s="16" t="str">
        <f>IFERROR(VLOOKUP(DATA!#REF!,DATA!#REF!,1,FALSE),"")</f>
        <v/>
      </c>
      <c r="D2343" s="16" t="str">
        <f>IFERROR(VLOOKUP(C2343,DATA!#REF!,2,FALSE),"")</f>
        <v/>
      </c>
    </row>
    <row r="2344" spans="3:4" s="237" customFormat="1">
      <c r="C2344" s="16" t="str">
        <f>IFERROR(VLOOKUP(DATA!#REF!,DATA!#REF!,1,FALSE),"")</f>
        <v/>
      </c>
      <c r="D2344" s="16" t="str">
        <f>IFERROR(VLOOKUP(C2344,DATA!#REF!,2,FALSE),"")</f>
        <v/>
      </c>
    </row>
    <row r="2345" spans="3:4" s="237" customFormat="1">
      <c r="C2345" s="16" t="str">
        <f>IFERROR(VLOOKUP(DATA!#REF!,DATA!#REF!,1,FALSE),"")</f>
        <v/>
      </c>
      <c r="D2345" s="16" t="str">
        <f>IFERROR(VLOOKUP(C2345,DATA!#REF!,2,FALSE),"")</f>
        <v/>
      </c>
    </row>
    <row r="2346" spans="3:4" s="237" customFormat="1">
      <c r="C2346" s="16" t="str">
        <f>IFERROR(VLOOKUP(DATA!#REF!,DATA!#REF!,1,FALSE),"")</f>
        <v/>
      </c>
      <c r="D2346" s="16" t="str">
        <f>IFERROR(VLOOKUP(C2346,DATA!#REF!,2,FALSE),"")</f>
        <v/>
      </c>
    </row>
    <row r="2347" spans="3:4" s="237" customFormat="1">
      <c r="C2347" s="16" t="str">
        <f>IFERROR(VLOOKUP(DATA!#REF!,DATA!#REF!,1,FALSE),"")</f>
        <v/>
      </c>
      <c r="D2347" s="16" t="str">
        <f>IFERROR(VLOOKUP(C2347,DATA!#REF!,2,FALSE),"")</f>
        <v/>
      </c>
    </row>
    <row r="2348" spans="3:4" s="237" customFormat="1">
      <c r="C2348" s="16" t="str">
        <f>IFERROR(VLOOKUP(DATA!#REF!,DATA!#REF!,1,FALSE),"")</f>
        <v/>
      </c>
      <c r="D2348" s="16" t="str">
        <f>IFERROR(VLOOKUP(C2348,DATA!#REF!,2,FALSE),"")</f>
        <v/>
      </c>
    </row>
    <row r="2349" spans="3:4" s="237" customFormat="1">
      <c r="C2349" s="16" t="str">
        <f>IFERROR(VLOOKUP(DATA!#REF!,DATA!#REF!,1,FALSE),"")</f>
        <v/>
      </c>
      <c r="D2349" s="16" t="str">
        <f>IFERROR(VLOOKUP(C2349,DATA!#REF!,2,FALSE),"")</f>
        <v/>
      </c>
    </row>
    <row r="2350" spans="3:4" s="237" customFormat="1">
      <c r="C2350" s="16" t="str">
        <f>IFERROR(VLOOKUP(DATA!#REF!,DATA!#REF!,1,FALSE),"")</f>
        <v/>
      </c>
      <c r="D2350" s="16" t="str">
        <f>IFERROR(VLOOKUP(C2350,DATA!#REF!,2,FALSE),"")</f>
        <v/>
      </c>
    </row>
    <row r="2351" spans="3:4" s="237" customFormat="1">
      <c r="C2351" s="16" t="str">
        <f>IFERROR(VLOOKUP(DATA!#REF!,DATA!#REF!,1,FALSE),"")</f>
        <v/>
      </c>
      <c r="D2351" s="16" t="str">
        <f>IFERROR(VLOOKUP(C2351,DATA!#REF!,2,FALSE),"")</f>
        <v/>
      </c>
    </row>
    <row r="2352" spans="3:4" s="237" customFormat="1">
      <c r="C2352" s="16" t="str">
        <f>IFERROR(VLOOKUP(DATA!#REF!,DATA!#REF!,1,FALSE),"")</f>
        <v/>
      </c>
      <c r="D2352" s="16" t="str">
        <f>IFERROR(VLOOKUP(C2352,DATA!#REF!,2,FALSE),"")</f>
        <v/>
      </c>
    </row>
    <row r="2353" spans="3:4" s="237" customFormat="1">
      <c r="C2353" s="16" t="str">
        <f>IFERROR(VLOOKUP(DATA!#REF!,DATA!#REF!,1,FALSE),"")</f>
        <v/>
      </c>
      <c r="D2353" s="16" t="str">
        <f>IFERROR(VLOOKUP(C2353,DATA!#REF!,2,FALSE),"")</f>
        <v/>
      </c>
    </row>
    <row r="2354" spans="3:4" s="237" customFormat="1">
      <c r="C2354" s="16" t="str">
        <f>IFERROR(VLOOKUP(DATA!#REF!,DATA!#REF!,1,FALSE),"")</f>
        <v/>
      </c>
      <c r="D2354" s="16" t="str">
        <f>IFERROR(VLOOKUP(C2354,DATA!#REF!,2,FALSE),"")</f>
        <v/>
      </c>
    </row>
    <row r="2355" spans="3:4" s="237" customFormat="1">
      <c r="C2355" s="16" t="str">
        <f>IFERROR(VLOOKUP(DATA!#REF!,DATA!#REF!,1,FALSE),"")</f>
        <v/>
      </c>
      <c r="D2355" s="16" t="str">
        <f>IFERROR(VLOOKUP(C2355,DATA!#REF!,2,FALSE),"")</f>
        <v/>
      </c>
    </row>
    <row r="2356" spans="3:4" s="237" customFormat="1">
      <c r="C2356" s="16" t="str">
        <f>IFERROR(VLOOKUP(DATA!#REF!,DATA!#REF!,1,FALSE),"")</f>
        <v/>
      </c>
      <c r="D2356" s="16" t="str">
        <f>IFERROR(VLOOKUP(C2356,DATA!#REF!,2,FALSE),"")</f>
        <v/>
      </c>
    </row>
    <row r="2357" spans="3:4" s="237" customFormat="1">
      <c r="C2357" s="16" t="str">
        <f>IFERROR(VLOOKUP(DATA!#REF!,DATA!#REF!,1,FALSE),"")</f>
        <v/>
      </c>
      <c r="D2357" s="16" t="str">
        <f>IFERROR(VLOOKUP(C2357,DATA!#REF!,2,FALSE),"")</f>
        <v/>
      </c>
    </row>
    <row r="2358" spans="3:4" s="237" customFormat="1">
      <c r="C2358" s="16" t="str">
        <f>IFERROR(VLOOKUP(DATA!#REF!,DATA!#REF!,1,FALSE),"")</f>
        <v/>
      </c>
      <c r="D2358" s="16" t="str">
        <f>IFERROR(VLOOKUP(C2358,DATA!#REF!,2,FALSE),"")</f>
        <v/>
      </c>
    </row>
    <row r="2359" spans="3:4" s="237" customFormat="1">
      <c r="C2359" s="16" t="str">
        <f>IFERROR(VLOOKUP(DATA!#REF!,DATA!#REF!,1,FALSE),"")</f>
        <v/>
      </c>
      <c r="D2359" s="16" t="str">
        <f>IFERROR(VLOOKUP(C2359,DATA!#REF!,2,FALSE),"")</f>
        <v/>
      </c>
    </row>
    <row r="2360" spans="3:4" s="237" customFormat="1">
      <c r="C2360" s="16" t="str">
        <f>IFERROR(VLOOKUP(DATA!#REF!,DATA!#REF!,1,FALSE),"")</f>
        <v/>
      </c>
      <c r="D2360" s="16" t="str">
        <f>IFERROR(VLOOKUP(C2360,DATA!#REF!,2,FALSE),"")</f>
        <v/>
      </c>
    </row>
    <row r="2361" spans="3:4" s="237" customFormat="1">
      <c r="C2361" s="16" t="str">
        <f>IFERROR(VLOOKUP(DATA!#REF!,DATA!#REF!,1,FALSE),"")</f>
        <v/>
      </c>
      <c r="D2361" s="16" t="str">
        <f>IFERROR(VLOOKUP(C2361,DATA!#REF!,2,FALSE),"")</f>
        <v/>
      </c>
    </row>
    <row r="2362" spans="3:4" s="237" customFormat="1">
      <c r="C2362" s="16" t="str">
        <f>IFERROR(VLOOKUP(DATA!#REF!,DATA!#REF!,1,FALSE),"")</f>
        <v/>
      </c>
      <c r="D2362" s="16" t="str">
        <f>IFERROR(VLOOKUP(C2362,DATA!#REF!,2,FALSE),"")</f>
        <v/>
      </c>
    </row>
    <row r="2363" spans="3:4" s="237" customFormat="1">
      <c r="C2363" s="16" t="str">
        <f>IFERROR(VLOOKUP(DATA!#REF!,DATA!#REF!,1,FALSE),"")</f>
        <v/>
      </c>
      <c r="D2363" s="16" t="str">
        <f>IFERROR(VLOOKUP(C2363,DATA!#REF!,2,FALSE),"")</f>
        <v/>
      </c>
    </row>
    <row r="2364" spans="3:4" s="237" customFormat="1">
      <c r="C2364" s="16" t="str">
        <f>IFERROR(VLOOKUP(DATA!#REF!,DATA!#REF!,1,FALSE),"")</f>
        <v/>
      </c>
      <c r="D2364" s="16" t="str">
        <f>IFERROR(VLOOKUP(C2364,DATA!#REF!,2,FALSE),"")</f>
        <v/>
      </c>
    </row>
    <row r="2365" spans="3:4" s="237" customFormat="1">
      <c r="C2365" s="16" t="str">
        <f>IFERROR(VLOOKUP(DATA!#REF!,DATA!#REF!,1,FALSE),"")</f>
        <v/>
      </c>
      <c r="D2365" s="16" t="str">
        <f>IFERROR(VLOOKUP(C2365,DATA!#REF!,2,FALSE),"")</f>
        <v/>
      </c>
    </row>
    <row r="2366" spans="3:4" s="237" customFormat="1">
      <c r="C2366" s="16" t="str">
        <f>IFERROR(VLOOKUP(DATA!#REF!,DATA!#REF!,1,FALSE),"")</f>
        <v/>
      </c>
      <c r="D2366" s="16" t="str">
        <f>IFERROR(VLOOKUP(C2366,DATA!#REF!,2,FALSE),"")</f>
        <v/>
      </c>
    </row>
    <row r="2367" spans="3:4" s="237" customFormat="1">
      <c r="C2367" s="16" t="str">
        <f>IFERROR(VLOOKUP(DATA!#REF!,DATA!#REF!,1,FALSE),"")</f>
        <v/>
      </c>
      <c r="D2367" s="16" t="str">
        <f>IFERROR(VLOOKUP(C2367,DATA!#REF!,2,FALSE),"")</f>
        <v/>
      </c>
    </row>
    <row r="2368" spans="3:4" s="237" customFormat="1">
      <c r="C2368" s="16" t="str">
        <f>IFERROR(VLOOKUP(DATA!#REF!,DATA!#REF!,1,FALSE),"")</f>
        <v/>
      </c>
      <c r="D2368" s="16" t="str">
        <f>IFERROR(VLOOKUP(C2368,DATA!#REF!,2,FALSE),"")</f>
        <v/>
      </c>
    </row>
    <row r="2369" spans="3:4" s="237" customFormat="1">
      <c r="C2369" s="16" t="str">
        <f>IFERROR(VLOOKUP(DATA!#REF!,DATA!#REF!,1,FALSE),"")</f>
        <v/>
      </c>
      <c r="D2369" s="16" t="str">
        <f>IFERROR(VLOOKUP(C2369,DATA!#REF!,2,FALSE),"")</f>
        <v/>
      </c>
    </row>
    <row r="2370" spans="3:4" s="237" customFormat="1">
      <c r="C2370" s="16" t="str">
        <f>IFERROR(VLOOKUP(DATA!#REF!,DATA!#REF!,1,FALSE),"")</f>
        <v/>
      </c>
      <c r="D2370" s="16" t="str">
        <f>IFERROR(VLOOKUP(C2370,DATA!#REF!,2,FALSE),"")</f>
        <v/>
      </c>
    </row>
    <row r="2371" spans="3:4" s="237" customFormat="1">
      <c r="C2371" s="16" t="str">
        <f>IFERROR(VLOOKUP(DATA!#REF!,DATA!#REF!,1,FALSE),"")</f>
        <v/>
      </c>
      <c r="D2371" s="16" t="str">
        <f>IFERROR(VLOOKUP(C2371,DATA!#REF!,2,FALSE),"")</f>
        <v/>
      </c>
    </row>
    <row r="2372" spans="3:4" s="237" customFormat="1">
      <c r="C2372" s="16" t="str">
        <f>IFERROR(VLOOKUP(DATA!#REF!,DATA!#REF!,1,FALSE),"")</f>
        <v/>
      </c>
      <c r="D2372" s="16" t="str">
        <f>IFERROR(VLOOKUP(C2372,DATA!#REF!,2,FALSE),"")</f>
        <v/>
      </c>
    </row>
    <row r="2373" spans="3:4" s="237" customFormat="1">
      <c r="C2373" s="16" t="str">
        <f>IFERROR(VLOOKUP(DATA!#REF!,DATA!#REF!,1,FALSE),"")</f>
        <v/>
      </c>
      <c r="D2373" s="16" t="str">
        <f>IFERROR(VLOOKUP(C2373,DATA!#REF!,2,FALSE),"")</f>
        <v/>
      </c>
    </row>
    <row r="2374" spans="3:4" s="237" customFormat="1">
      <c r="C2374" s="16" t="str">
        <f>IFERROR(VLOOKUP(DATA!#REF!,DATA!#REF!,1,FALSE),"")</f>
        <v/>
      </c>
      <c r="D2374" s="16" t="str">
        <f>IFERROR(VLOOKUP(C2374,DATA!#REF!,2,FALSE),"")</f>
        <v/>
      </c>
    </row>
    <row r="2375" spans="3:4" s="237" customFormat="1">
      <c r="C2375" s="16" t="str">
        <f>IFERROR(VLOOKUP(DATA!#REF!,DATA!#REF!,1,FALSE),"")</f>
        <v/>
      </c>
      <c r="D2375" s="16" t="str">
        <f>IFERROR(VLOOKUP(C2375,DATA!#REF!,2,FALSE),"")</f>
        <v/>
      </c>
    </row>
    <row r="2376" spans="3:4" s="237" customFormat="1">
      <c r="C2376" s="16" t="str">
        <f>IFERROR(VLOOKUP(DATA!#REF!,DATA!#REF!,1,FALSE),"")</f>
        <v/>
      </c>
      <c r="D2376" s="16" t="str">
        <f>IFERROR(VLOOKUP(C2376,DATA!#REF!,2,FALSE),"")</f>
        <v/>
      </c>
    </row>
    <row r="2377" spans="3:4" s="237" customFormat="1">
      <c r="C2377" s="16" t="str">
        <f>IFERROR(VLOOKUP(DATA!#REF!,DATA!#REF!,1,FALSE),"")</f>
        <v/>
      </c>
      <c r="D2377" s="16" t="str">
        <f>IFERROR(VLOOKUP(C2377,DATA!#REF!,2,FALSE),"")</f>
        <v/>
      </c>
    </row>
    <row r="2378" spans="3:4" s="237" customFormat="1">
      <c r="C2378" s="16" t="str">
        <f>IFERROR(VLOOKUP(DATA!#REF!,DATA!#REF!,1,FALSE),"")</f>
        <v/>
      </c>
      <c r="D2378" s="16" t="str">
        <f>IFERROR(VLOOKUP(C2378,DATA!#REF!,2,FALSE),"")</f>
        <v/>
      </c>
    </row>
    <row r="2379" spans="3:4" s="237" customFormat="1">
      <c r="C2379" s="16" t="str">
        <f>IFERROR(VLOOKUP(DATA!#REF!,DATA!#REF!,1,FALSE),"")</f>
        <v/>
      </c>
      <c r="D2379" s="16" t="str">
        <f>IFERROR(VLOOKUP(C2379,DATA!#REF!,2,FALSE),"")</f>
        <v/>
      </c>
    </row>
    <row r="2380" spans="3:4" s="237" customFormat="1">
      <c r="C2380" s="16" t="str">
        <f>IFERROR(VLOOKUP(DATA!#REF!,DATA!#REF!,1,FALSE),"")</f>
        <v/>
      </c>
      <c r="D2380" s="16" t="str">
        <f>IFERROR(VLOOKUP(C2380,DATA!#REF!,2,FALSE),"")</f>
        <v/>
      </c>
    </row>
    <row r="2381" spans="3:4" s="237" customFormat="1">
      <c r="C2381" s="16" t="str">
        <f>IFERROR(VLOOKUP(DATA!#REF!,DATA!#REF!,1,FALSE),"")</f>
        <v/>
      </c>
      <c r="D2381" s="16" t="str">
        <f>IFERROR(VLOOKUP(C2381,DATA!#REF!,2,FALSE),"")</f>
        <v/>
      </c>
    </row>
    <row r="2382" spans="3:4" s="237" customFormat="1">
      <c r="C2382" s="16" t="str">
        <f>IFERROR(VLOOKUP(DATA!#REF!,DATA!#REF!,1,FALSE),"")</f>
        <v/>
      </c>
      <c r="D2382" s="16" t="str">
        <f>IFERROR(VLOOKUP(C2382,DATA!#REF!,2,FALSE),"")</f>
        <v/>
      </c>
    </row>
    <row r="2383" spans="3:4" s="237" customFormat="1">
      <c r="C2383" s="16" t="str">
        <f>IFERROR(VLOOKUP(DATA!#REF!,DATA!#REF!,1,FALSE),"")</f>
        <v/>
      </c>
      <c r="D2383" s="16" t="str">
        <f>IFERROR(VLOOKUP(C2383,DATA!#REF!,2,FALSE),"")</f>
        <v/>
      </c>
    </row>
    <row r="2384" spans="3:4" s="237" customFormat="1">
      <c r="C2384" s="16" t="str">
        <f>IFERROR(VLOOKUP(DATA!#REF!,DATA!#REF!,1,FALSE),"")</f>
        <v/>
      </c>
      <c r="D2384" s="16" t="str">
        <f>IFERROR(VLOOKUP(C2384,DATA!#REF!,2,FALSE),"")</f>
        <v/>
      </c>
    </row>
    <row r="2385" spans="3:4" s="237" customFormat="1">
      <c r="C2385" s="16" t="str">
        <f>IFERROR(VLOOKUP(DATA!#REF!,DATA!#REF!,1,FALSE),"")</f>
        <v/>
      </c>
      <c r="D2385" s="16" t="str">
        <f>IFERROR(VLOOKUP(C2385,DATA!#REF!,2,FALSE),"")</f>
        <v/>
      </c>
    </row>
    <row r="2386" spans="3:4" s="237" customFormat="1">
      <c r="C2386" s="16" t="str">
        <f>IFERROR(VLOOKUP(DATA!#REF!,DATA!#REF!,1,FALSE),"")</f>
        <v/>
      </c>
      <c r="D2386" s="16" t="str">
        <f>IFERROR(VLOOKUP(C2386,DATA!#REF!,2,FALSE),"")</f>
        <v/>
      </c>
    </row>
    <row r="2387" spans="3:4" s="237" customFormat="1">
      <c r="C2387" s="16" t="str">
        <f>IFERROR(VLOOKUP(DATA!#REF!,DATA!#REF!,1,FALSE),"")</f>
        <v/>
      </c>
      <c r="D2387" s="16" t="str">
        <f>IFERROR(VLOOKUP(C2387,DATA!#REF!,2,FALSE),"")</f>
        <v/>
      </c>
    </row>
    <row r="2388" spans="3:4" s="237" customFormat="1">
      <c r="C2388" s="16" t="str">
        <f>IFERROR(VLOOKUP(DATA!#REF!,DATA!#REF!,1,FALSE),"")</f>
        <v/>
      </c>
      <c r="D2388" s="16" t="str">
        <f>IFERROR(VLOOKUP(C2388,DATA!#REF!,2,FALSE),"")</f>
        <v/>
      </c>
    </row>
    <row r="2389" spans="3:4" s="237" customFormat="1">
      <c r="C2389" s="16" t="str">
        <f>IFERROR(VLOOKUP(DATA!#REF!,DATA!#REF!,1,FALSE),"")</f>
        <v/>
      </c>
      <c r="D2389" s="16" t="str">
        <f>IFERROR(VLOOKUP(C2389,DATA!#REF!,2,FALSE),"")</f>
        <v/>
      </c>
    </row>
    <row r="2390" spans="3:4" s="237" customFormat="1">
      <c r="C2390" s="16" t="str">
        <f>IFERROR(VLOOKUP(DATA!#REF!,DATA!#REF!,1,FALSE),"")</f>
        <v/>
      </c>
      <c r="D2390" s="16" t="str">
        <f>IFERROR(VLOOKUP(C2390,DATA!#REF!,2,FALSE),"")</f>
        <v/>
      </c>
    </row>
    <row r="2391" spans="3:4" s="237" customFormat="1">
      <c r="C2391" s="16" t="str">
        <f>IFERROR(VLOOKUP(DATA!#REF!,DATA!#REF!,1,FALSE),"")</f>
        <v/>
      </c>
      <c r="D2391" s="16" t="str">
        <f>IFERROR(VLOOKUP(C2391,DATA!#REF!,2,FALSE),"")</f>
        <v/>
      </c>
    </row>
    <row r="2392" spans="3:4" s="237" customFormat="1">
      <c r="C2392" s="16" t="str">
        <f>IFERROR(VLOOKUP(DATA!#REF!,DATA!#REF!,1,FALSE),"")</f>
        <v/>
      </c>
      <c r="D2392" s="16" t="str">
        <f>IFERROR(VLOOKUP(C2392,DATA!#REF!,2,FALSE),"")</f>
        <v/>
      </c>
    </row>
    <row r="2393" spans="3:4" s="237" customFormat="1">
      <c r="C2393" s="16" t="str">
        <f>IFERROR(VLOOKUP(DATA!#REF!,DATA!#REF!,1,FALSE),"")</f>
        <v/>
      </c>
      <c r="D2393" s="16" t="str">
        <f>IFERROR(VLOOKUP(C2393,DATA!#REF!,2,FALSE),"")</f>
        <v/>
      </c>
    </row>
    <row r="2394" spans="3:4" s="237" customFormat="1">
      <c r="C2394" s="16" t="str">
        <f>IFERROR(VLOOKUP(DATA!#REF!,DATA!#REF!,1,FALSE),"")</f>
        <v/>
      </c>
      <c r="D2394" s="16" t="str">
        <f>IFERROR(VLOOKUP(C2394,DATA!#REF!,2,FALSE),"")</f>
        <v/>
      </c>
    </row>
    <row r="2395" spans="3:4" s="237" customFormat="1">
      <c r="C2395" s="16" t="str">
        <f>IFERROR(VLOOKUP(DATA!#REF!,DATA!#REF!,1,FALSE),"")</f>
        <v/>
      </c>
      <c r="D2395" s="16" t="str">
        <f>IFERROR(VLOOKUP(C2395,DATA!#REF!,2,FALSE),"")</f>
        <v/>
      </c>
    </row>
    <row r="2396" spans="3:4" s="237" customFormat="1">
      <c r="C2396" s="16" t="str">
        <f>IFERROR(VLOOKUP(DATA!#REF!,DATA!#REF!,1,FALSE),"")</f>
        <v/>
      </c>
      <c r="D2396" s="16" t="str">
        <f>IFERROR(VLOOKUP(C2396,DATA!#REF!,2,FALSE),"")</f>
        <v/>
      </c>
    </row>
    <row r="2397" spans="3:4" s="237" customFormat="1">
      <c r="C2397" s="16" t="str">
        <f>IFERROR(VLOOKUP(DATA!#REF!,DATA!#REF!,1,FALSE),"")</f>
        <v/>
      </c>
      <c r="D2397" s="16" t="str">
        <f>IFERROR(VLOOKUP(C2397,DATA!#REF!,2,FALSE),"")</f>
        <v/>
      </c>
    </row>
    <row r="2398" spans="3:4" s="237" customFormat="1">
      <c r="C2398" s="16" t="str">
        <f>IFERROR(VLOOKUP(DATA!#REF!,DATA!#REF!,1,FALSE),"")</f>
        <v/>
      </c>
      <c r="D2398" s="16" t="str">
        <f>IFERROR(VLOOKUP(C2398,DATA!#REF!,2,FALSE),"")</f>
        <v/>
      </c>
    </row>
    <row r="2399" spans="3:4" s="237" customFormat="1">
      <c r="C2399" s="16" t="str">
        <f>IFERROR(VLOOKUP(DATA!#REF!,DATA!#REF!,1,FALSE),"")</f>
        <v/>
      </c>
      <c r="D2399" s="16" t="str">
        <f>IFERROR(VLOOKUP(C2399,DATA!#REF!,2,FALSE),"")</f>
        <v/>
      </c>
    </row>
    <row r="2400" spans="3:4" s="237" customFormat="1">
      <c r="C2400" s="16" t="str">
        <f>IFERROR(VLOOKUP(DATA!#REF!,DATA!#REF!,1,FALSE),"")</f>
        <v/>
      </c>
      <c r="D2400" s="16" t="str">
        <f>IFERROR(VLOOKUP(C2400,DATA!#REF!,2,FALSE),"")</f>
        <v/>
      </c>
    </row>
    <row r="2401" spans="3:4" s="237" customFormat="1">
      <c r="C2401" s="16" t="str">
        <f>IFERROR(VLOOKUP(DATA!#REF!,DATA!#REF!,1,FALSE),"")</f>
        <v/>
      </c>
      <c r="D2401" s="16" t="str">
        <f>IFERROR(VLOOKUP(C2401,DATA!#REF!,2,FALSE),"")</f>
        <v/>
      </c>
    </row>
    <row r="2402" spans="3:4" s="237" customFormat="1">
      <c r="C2402" s="16" t="str">
        <f>IFERROR(VLOOKUP(DATA!#REF!,DATA!#REF!,1,FALSE),"")</f>
        <v/>
      </c>
      <c r="D2402" s="16" t="str">
        <f>IFERROR(VLOOKUP(C2402,DATA!#REF!,2,FALSE),"")</f>
        <v/>
      </c>
    </row>
    <row r="2403" spans="3:4" s="237" customFormat="1">
      <c r="C2403" s="16" t="str">
        <f>IFERROR(VLOOKUP(DATA!#REF!,DATA!#REF!,1,FALSE),"")</f>
        <v/>
      </c>
      <c r="D2403" s="16" t="str">
        <f>IFERROR(VLOOKUP(C2403,DATA!#REF!,2,FALSE),"")</f>
        <v/>
      </c>
    </row>
    <row r="2404" spans="3:4" s="237" customFormat="1">
      <c r="C2404" s="16" t="str">
        <f>IFERROR(VLOOKUP(DATA!#REF!,DATA!#REF!,1,FALSE),"")</f>
        <v/>
      </c>
      <c r="D2404" s="16" t="str">
        <f>IFERROR(VLOOKUP(C2404,DATA!#REF!,2,FALSE),"")</f>
        <v/>
      </c>
    </row>
    <row r="2405" spans="3:4" s="237" customFormat="1">
      <c r="C2405" s="16" t="str">
        <f>IFERROR(VLOOKUP(DATA!#REF!,DATA!#REF!,1,FALSE),"")</f>
        <v/>
      </c>
      <c r="D2405" s="16" t="str">
        <f>IFERROR(VLOOKUP(C2405,DATA!#REF!,2,FALSE),"")</f>
        <v/>
      </c>
    </row>
    <row r="2406" spans="3:4" s="237" customFormat="1">
      <c r="C2406" s="16" t="str">
        <f>IFERROR(VLOOKUP(DATA!#REF!,DATA!#REF!,1,FALSE),"")</f>
        <v/>
      </c>
      <c r="D2406" s="16" t="str">
        <f>IFERROR(VLOOKUP(C2406,DATA!#REF!,2,FALSE),"")</f>
        <v/>
      </c>
    </row>
    <row r="2407" spans="3:4" s="237" customFormat="1">
      <c r="C2407" s="16" t="str">
        <f>IFERROR(VLOOKUP(DATA!#REF!,DATA!#REF!,1,FALSE),"")</f>
        <v/>
      </c>
      <c r="D2407" s="16" t="str">
        <f>IFERROR(VLOOKUP(C2407,DATA!#REF!,2,FALSE),"")</f>
        <v/>
      </c>
    </row>
    <row r="2408" spans="3:4" s="237" customFormat="1">
      <c r="C2408" s="16" t="str">
        <f>IFERROR(VLOOKUP(DATA!#REF!,DATA!#REF!,1,FALSE),"")</f>
        <v/>
      </c>
      <c r="D2408" s="16" t="str">
        <f>IFERROR(VLOOKUP(C2408,DATA!#REF!,2,FALSE),"")</f>
        <v/>
      </c>
    </row>
    <row r="2409" spans="3:4" s="237" customFormat="1">
      <c r="C2409" s="16" t="str">
        <f>IFERROR(VLOOKUP(DATA!#REF!,DATA!#REF!,1,FALSE),"")</f>
        <v/>
      </c>
      <c r="D2409" s="16" t="str">
        <f>IFERROR(VLOOKUP(C2409,DATA!#REF!,2,FALSE),"")</f>
        <v/>
      </c>
    </row>
    <row r="2410" spans="3:4" s="237" customFormat="1">
      <c r="C2410" s="16" t="str">
        <f>IFERROR(VLOOKUP(DATA!#REF!,DATA!#REF!,1,FALSE),"")</f>
        <v/>
      </c>
      <c r="D2410" s="16" t="str">
        <f>IFERROR(VLOOKUP(C2410,DATA!#REF!,2,FALSE),"")</f>
        <v/>
      </c>
    </row>
    <row r="2411" spans="3:4" s="237" customFormat="1">
      <c r="C2411" s="16" t="str">
        <f>IFERROR(VLOOKUP(DATA!#REF!,DATA!#REF!,1,FALSE),"")</f>
        <v/>
      </c>
      <c r="D2411" s="16" t="str">
        <f>IFERROR(VLOOKUP(C2411,DATA!#REF!,2,FALSE),"")</f>
        <v/>
      </c>
    </row>
    <row r="2412" spans="3:4" s="237" customFormat="1">
      <c r="C2412" s="16" t="str">
        <f>IFERROR(VLOOKUP(DATA!#REF!,DATA!#REF!,1,FALSE),"")</f>
        <v/>
      </c>
      <c r="D2412" s="16" t="str">
        <f>IFERROR(VLOOKUP(C2412,DATA!#REF!,2,FALSE),"")</f>
        <v/>
      </c>
    </row>
    <row r="2413" spans="3:4" s="237" customFormat="1">
      <c r="C2413" s="16" t="str">
        <f>IFERROR(VLOOKUP(DATA!#REF!,DATA!#REF!,1,FALSE),"")</f>
        <v/>
      </c>
      <c r="D2413" s="16" t="str">
        <f>IFERROR(VLOOKUP(C2413,DATA!#REF!,2,FALSE),"")</f>
        <v/>
      </c>
    </row>
    <row r="2414" spans="3:4" s="237" customFormat="1">
      <c r="C2414" s="16" t="str">
        <f>IFERROR(VLOOKUP(DATA!#REF!,DATA!#REF!,1,FALSE),"")</f>
        <v/>
      </c>
      <c r="D2414" s="16" t="str">
        <f>IFERROR(VLOOKUP(C2414,DATA!#REF!,2,FALSE),"")</f>
        <v/>
      </c>
    </row>
    <row r="2415" spans="3:4" s="237" customFormat="1">
      <c r="C2415" s="16" t="str">
        <f>IFERROR(VLOOKUP(DATA!#REF!,DATA!#REF!,1,FALSE),"")</f>
        <v/>
      </c>
      <c r="D2415" s="16" t="str">
        <f>IFERROR(VLOOKUP(C2415,DATA!#REF!,2,FALSE),"")</f>
        <v/>
      </c>
    </row>
    <row r="2416" spans="3:4" s="237" customFormat="1">
      <c r="C2416" s="16" t="str">
        <f>IFERROR(VLOOKUP(DATA!#REF!,DATA!#REF!,1,FALSE),"")</f>
        <v/>
      </c>
      <c r="D2416" s="16" t="str">
        <f>IFERROR(VLOOKUP(C2416,DATA!#REF!,2,FALSE),"")</f>
        <v/>
      </c>
    </row>
    <row r="2417" spans="3:4" s="237" customFormat="1">
      <c r="C2417" s="16" t="str">
        <f>IFERROR(VLOOKUP(DATA!#REF!,DATA!#REF!,1,FALSE),"")</f>
        <v/>
      </c>
      <c r="D2417" s="16" t="str">
        <f>IFERROR(VLOOKUP(C2417,DATA!#REF!,2,FALSE),"")</f>
        <v/>
      </c>
    </row>
    <row r="2418" spans="3:4" s="237" customFormat="1">
      <c r="C2418" s="16" t="str">
        <f>IFERROR(VLOOKUP(DATA!#REF!,DATA!#REF!,1,FALSE),"")</f>
        <v/>
      </c>
      <c r="D2418" s="16" t="str">
        <f>IFERROR(VLOOKUP(C2418,DATA!#REF!,2,FALSE),"")</f>
        <v/>
      </c>
    </row>
    <row r="2419" spans="3:4" s="237" customFormat="1">
      <c r="C2419" s="16" t="str">
        <f>IFERROR(VLOOKUP(DATA!#REF!,DATA!#REF!,1,FALSE),"")</f>
        <v/>
      </c>
      <c r="D2419" s="16" t="str">
        <f>IFERROR(VLOOKUP(C2419,DATA!#REF!,2,FALSE),"")</f>
        <v/>
      </c>
    </row>
    <row r="2420" spans="3:4" s="237" customFormat="1">
      <c r="C2420" s="16" t="str">
        <f>IFERROR(VLOOKUP(DATA!#REF!,DATA!#REF!,1,FALSE),"")</f>
        <v/>
      </c>
      <c r="D2420" s="16" t="str">
        <f>IFERROR(VLOOKUP(C2420,DATA!#REF!,2,FALSE),"")</f>
        <v/>
      </c>
    </row>
    <row r="2421" spans="3:4" s="237" customFormat="1">
      <c r="C2421" s="16" t="str">
        <f>IFERROR(VLOOKUP(DATA!#REF!,DATA!#REF!,1,FALSE),"")</f>
        <v/>
      </c>
      <c r="D2421" s="16" t="str">
        <f>IFERROR(VLOOKUP(C2421,DATA!#REF!,2,FALSE),"")</f>
        <v/>
      </c>
    </row>
    <row r="2422" spans="3:4" s="237" customFormat="1">
      <c r="C2422" s="16" t="str">
        <f>IFERROR(VLOOKUP(DATA!#REF!,DATA!#REF!,1,FALSE),"")</f>
        <v/>
      </c>
      <c r="D2422" s="16" t="str">
        <f>IFERROR(VLOOKUP(C2422,DATA!#REF!,2,FALSE),"")</f>
        <v/>
      </c>
    </row>
    <row r="2423" spans="3:4" s="237" customFormat="1">
      <c r="C2423" s="16" t="str">
        <f>IFERROR(VLOOKUP(DATA!#REF!,DATA!#REF!,1,FALSE),"")</f>
        <v/>
      </c>
      <c r="D2423" s="16" t="str">
        <f>IFERROR(VLOOKUP(C2423,DATA!#REF!,2,FALSE),"")</f>
        <v/>
      </c>
    </row>
    <row r="2424" spans="3:4" s="237" customFormat="1">
      <c r="C2424" s="16" t="str">
        <f>IFERROR(VLOOKUP(DATA!#REF!,DATA!#REF!,1,FALSE),"")</f>
        <v/>
      </c>
      <c r="D2424" s="16" t="str">
        <f>IFERROR(VLOOKUP(C2424,DATA!#REF!,2,FALSE),"")</f>
        <v/>
      </c>
    </row>
    <row r="2425" spans="3:4" s="237" customFormat="1">
      <c r="C2425" s="16" t="str">
        <f>IFERROR(VLOOKUP(DATA!#REF!,DATA!#REF!,1,FALSE),"")</f>
        <v/>
      </c>
      <c r="D2425" s="16" t="str">
        <f>IFERROR(VLOOKUP(C2425,DATA!#REF!,2,FALSE),"")</f>
        <v/>
      </c>
    </row>
    <row r="2426" spans="3:4" s="237" customFormat="1">
      <c r="C2426" s="16" t="str">
        <f>IFERROR(VLOOKUP(DATA!#REF!,DATA!#REF!,1,FALSE),"")</f>
        <v/>
      </c>
      <c r="D2426" s="16" t="str">
        <f>IFERROR(VLOOKUP(C2426,DATA!#REF!,2,FALSE),"")</f>
        <v/>
      </c>
    </row>
    <row r="2427" spans="3:4" s="237" customFormat="1">
      <c r="C2427" s="16" t="str">
        <f>IFERROR(VLOOKUP(DATA!#REF!,DATA!#REF!,1,FALSE),"")</f>
        <v/>
      </c>
      <c r="D2427" s="16" t="str">
        <f>IFERROR(VLOOKUP(C2427,DATA!#REF!,2,FALSE),"")</f>
        <v/>
      </c>
    </row>
    <row r="2428" spans="3:4" s="237" customFormat="1">
      <c r="C2428" s="16" t="str">
        <f>IFERROR(VLOOKUP(DATA!#REF!,DATA!#REF!,1,FALSE),"")</f>
        <v/>
      </c>
      <c r="D2428" s="16" t="str">
        <f>IFERROR(VLOOKUP(C2428,DATA!#REF!,2,FALSE),"")</f>
        <v/>
      </c>
    </row>
    <row r="2429" spans="3:4" s="237" customFormat="1">
      <c r="C2429" s="16" t="str">
        <f>IFERROR(VLOOKUP(DATA!#REF!,DATA!#REF!,1,FALSE),"")</f>
        <v/>
      </c>
      <c r="D2429" s="16" t="str">
        <f>IFERROR(VLOOKUP(C2429,DATA!#REF!,2,FALSE),"")</f>
        <v/>
      </c>
    </row>
    <row r="2430" spans="3:4" s="237" customFormat="1">
      <c r="C2430" s="16" t="str">
        <f>IFERROR(VLOOKUP(DATA!#REF!,DATA!#REF!,1,FALSE),"")</f>
        <v/>
      </c>
      <c r="D2430" s="16" t="str">
        <f>IFERROR(VLOOKUP(C2430,DATA!#REF!,2,FALSE),"")</f>
        <v/>
      </c>
    </row>
    <row r="2431" spans="3:4" s="237" customFormat="1">
      <c r="C2431" s="16" t="str">
        <f>IFERROR(VLOOKUP(DATA!#REF!,DATA!#REF!,1,FALSE),"")</f>
        <v/>
      </c>
      <c r="D2431" s="16" t="str">
        <f>IFERROR(VLOOKUP(C2431,DATA!#REF!,2,FALSE),"")</f>
        <v/>
      </c>
    </row>
    <row r="2432" spans="3:4" s="237" customFormat="1">
      <c r="C2432" s="16" t="str">
        <f>IFERROR(VLOOKUP(DATA!#REF!,DATA!#REF!,1,FALSE),"")</f>
        <v/>
      </c>
      <c r="D2432" s="16" t="str">
        <f>IFERROR(VLOOKUP(C2432,DATA!#REF!,2,FALSE),"")</f>
        <v/>
      </c>
    </row>
    <row r="2433" spans="3:4" s="237" customFormat="1">
      <c r="C2433" s="16" t="str">
        <f>IFERROR(VLOOKUP(DATA!#REF!,DATA!#REF!,1,FALSE),"")</f>
        <v/>
      </c>
      <c r="D2433" s="16" t="str">
        <f>IFERROR(VLOOKUP(C2433,DATA!#REF!,2,FALSE),"")</f>
        <v/>
      </c>
    </row>
    <row r="2434" spans="3:4" s="237" customFormat="1">
      <c r="C2434" s="16" t="str">
        <f>IFERROR(VLOOKUP(DATA!#REF!,DATA!#REF!,1,FALSE),"")</f>
        <v/>
      </c>
      <c r="D2434" s="16" t="str">
        <f>IFERROR(VLOOKUP(C2434,DATA!#REF!,2,FALSE),"")</f>
        <v/>
      </c>
    </row>
    <row r="2435" spans="3:4" s="237" customFormat="1">
      <c r="C2435" s="16" t="str">
        <f>IFERROR(VLOOKUP(DATA!#REF!,DATA!#REF!,1,FALSE),"")</f>
        <v/>
      </c>
      <c r="D2435" s="16" t="str">
        <f>IFERROR(VLOOKUP(C2435,DATA!#REF!,2,FALSE),"")</f>
        <v/>
      </c>
    </row>
    <row r="2436" spans="3:4" s="237" customFormat="1">
      <c r="C2436" s="16" t="str">
        <f>IFERROR(VLOOKUP(DATA!#REF!,DATA!#REF!,1,FALSE),"")</f>
        <v/>
      </c>
      <c r="D2436" s="16" t="str">
        <f>IFERROR(VLOOKUP(C2436,DATA!#REF!,2,FALSE),"")</f>
        <v/>
      </c>
    </row>
    <row r="2437" spans="3:4" s="237" customFormat="1">
      <c r="C2437" s="16" t="str">
        <f>IFERROR(VLOOKUP(DATA!#REF!,DATA!#REF!,1,FALSE),"")</f>
        <v/>
      </c>
      <c r="D2437" s="16" t="str">
        <f>IFERROR(VLOOKUP(C2437,DATA!#REF!,2,FALSE),"")</f>
        <v/>
      </c>
    </row>
    <row r="2438" spans="3:4" s="237" customFormat="1">
      <c r="C2438" s="16" t="str">
        <f>IFERROR(VLOOKUP(DATA!#REF!,DATA!#REF!,1,FALSE),"")</f>
        <v/>
      </c>
      <c r="D2438" s="16" t="str">
        <f>IFERROR(VLOOKUP(C2438,DATA!#REF!,2,FALSE),"")</f>
        <v/>
      </c>
    </row>
    <row r="2439" spans="3:4" s="237" customFormat="1">
      <c r="C2439" s="16" t="str">
        <f>IFERROR(VLOOKUP(DATA!#REF!,DATA!#REF!,1,FALSE),"")</f>
        <v/>
      </c>
      <c r="D2439" s="16" t="str">
        <f>IFERROR(VLOOKUP(C2439,DATA!#REF!,2,FALSE),"")</f>
        <v/>
      </c>
    </row>
    <row r="2440" spans="3:4" s="237" customFormat="1">
      <c r="C2440" s="16" t="str">
        <f>IFERROR(VLOOKUP(DATA!#REF!,DATA!#REF!,1,FALSE),"")</f>
        <v/>
      </c>
      <c r="D2440" s="16" t="str">
        <f>IFERROR(VLOOKUP(C2440,DATA!#REF!,2,FALSE),"")</f>
        <v/>
      </c>
    </row>
    <row r="2441" spans="3:4" s="237" customFormat="1">
      <c r="C2441" s="16" t="str">
        <f>IFERROR(VLOOKUP(DATA!#REF!,DATA!#REF!,1,FALSE),"")</f>
        <v/>
      </c>
      <c r="D2441" s="16" t="str">
        <f>IFERROR(VLOOKUP(C2441,DATA!#REF!,2,FALSE),"")</f>
        <v/>
      </c>
    </row>
    <row r="2442" spans="3:4" s="237" customFormat="1">
      <c r="C2442" s="16" t="str">
        <f>IFERROR(VLOOKUP(DATA!#REF!,DATA!#REF!,1,FALSE),"")</f>
        <v/>
      </c>
      <c r="D2442" s="16" t="str">
        <f>IFERROR(VLOOKUP(C2442,DATA!#REF!,2,FALSE),"")</f>
        <v/>
      </c>
    </row>
    <row r="2443" spans="3:4" s="237" customFormat="1">
      <c r="C2443" s="16" t="str">
        <f>IFERROR(VLOOKUP(DATA!#REF!,DATA!#REF!,1,FALSE),"")</f>
        <v/>
      </c>
      <c r="D2443" s="16" t="str">
        <f>IFERROR(VLOOKUP(C2443,DATA!#REF!,2,FALSE),"")</f>
        <v/>
      </c>
    </row>
    <row r="2444" spans="3:4" s="237" customFormat="1">
      <c r="C2444" s="16" t="str">
        <f>IFERROR(VLOOKUP(DATA!#REF!,DATA!#REF!,1,FALSE),"")</f>
        <v/>
      </c>
      <c r="D2444" s="16" t="str">
        <f>IFERROR(VLOOKUP(C2444,DATA!#REF!,2,FALSE),"")</f>
        <v/>
      </c>
    </row>
    <row r="2445" spans="3:4" s="237" customFormat="1">
      <c r="C2445" s="16" t="str">
        <f>IFERROR(VLOOKUP(DATA!#REF!,DATA!#REF!,1,FALSE),"")</f>
        <v/>
      </c>
      <c r="D2445" s="16" t="str">
        <f>IFERROR(VLOOKUP(C2445,DATA!#REF!,2,FALSE),"")</f>
        <v/>
      </c>
    </row>
    <row r="2446" spans="3:4" s="237" customFormat="1">
      <c r="C2446" s="16" t="str">
        <f>IFERROR(VLOOKUP(DATA!#REF!,DATA!#REF!,1,FALSE),"")</f>
        <v/>
      </c>
      <c r="D2446" s="16" t="str">
        <f>IFERROR(VLOOKUP(C2446,DATA!#REF!,2,FALSE),"")</f>
        <v/>
      </c>
    </row>
    <row r="2447" spans="3:4" s="237" customFormat="1">
      <c r="C2447" s="16" t="str">
        <f>IFERROR(VLOOKUP(DATA!#REF!,DATA!#REF!,1,FALSE),"")</f>
        <v/>
      </c>
      <c r="D2447" s="16" t="str">
        <f>IFERROR(VLOOKUP(C2447,DATA!#REF!,2,FALSE),"")</f>
        <v/>
      </c>
    </row>
    <row r="2448" spans="3:4" s="237" customFormat="1">
      <c r="C2448" s="16" t="str">
        <f>IFERROR(VLOOKUP(DATA!#REF!,DATA!#REF!,1,FALSE),"")</f>
        <v/>
      </c>
      <c r="D2448" s="16" t="str">
        <f>IFERROR(VLOOKUP(C2448,DATA!#REF!,2,FALSE),"")</f>
        <v/>
      </c>
    </row>
    <row r="2449" spans="3:4" s="237" customFormat="1">
      <c r="C2449" s="16" t="str">
        <f>IFERROR(VLOOKUP(DATA!#REF!,DATA!#REF!,1,FALSE),"")</f>
        <v/>
      </c>
      <c r="D2449" s="16" t="str">
        <f>IFERROR(VLOOKUP(C2449,DATA!#REF!,2,FALSE),"")</f>
        <v/>
      </c>
    </row>
    <row r="2450" spans="3:4" s="237" customFormat="1">
      <c r="C2450" s="16" t="str">
        <f>IFERROR(VLOOKUP(DATA!#REF!,DATA!#REF!,1,FALSE),"")</f>
        <v/>
      </c>
      <c r="D2450" s="16" t="str">
        <f>IFERROR(VLOOKUP(C2450,DATA!#REF!,2,FALSE),"")</f>
        <v/>
      </c>
    </row>
    <row r="2451" spans="3:4" s="237" customFormat="1">
      <c r="C2451" s="16" t="str">
        <f>IFERROR(VLOOKUP(DATA!#REF!,DATA!#REF!,1,FALSE),"")</f>
        <v/>
      </c>
      <c r="D2451" s="16" t="str">
        <f>IFERROR(VLOOKUP(C2451,DATA!#REF!,2,FALSE),"")</f>
        <v/>
      </c>
    </row>
    <row r="2452" spans="3:4" s="237" customFormat="1">
      <c r="C2452" s="16" t="str">
        <f>IFERROR(VLOOKUP(DATA!#REF!,DATA!#REF!,1,FALSE),"")</f>
        <v/>
      </c>
      <c r="D2452" s="16" t="str">
        <f>IFERROR(VLOOKUP(C2452,DATA!#REF!,2,FALSE),"")</f>
        <v/>
      </c>
    </row>
    <row r="2453" spans="3:4" s="237" customFormat="1">
      <c r="C2453" s="16" t="str">
        <f>IFERROR(VLOOKUP(DATA!#REF!,DATA!#REF!,1,FALSE),"")</f>
        <v/>
      </c>
      <c r="D2453" s="16" t="str">
        <f>IFERROR(VLOOKUP(C2453,DATA!#REF!,2,FALSE),"")</f>
        <v/>
      </c>
    </row>
    <row r="2454" spans="3:4" s="237" customFormat="1">
      <c r="C2454" s="16" t="str">
        <f>IFERROR(VLOOKUP(DATA!#REF!,DATA!#REF!,1,FALSE),"")</f>
        <v/>
      </c>
      <c r="D2454" s="16" t="str">
        <f>IFERROR(VLOOKUP(C2454,DATA!#REF!,2,FALSE),"")</f>
        <v/>
      </c>
    </row>
    <row r="2455" spans="3:4" s="237" customFormat="1">
      <c r="C2455" s="16" t="str">
        <f>IFERROR(VLOOKUP(DATA!#REF!,DATA!#REF!,1,FALSE),"")</f>
        <v/>
      </c>
      <c r="D2455" s="16" t="str">
        <f>IFERROR(VLOOKUP(C2455,DATA!#REF!,2,FALSE),"")</f>
        <v/>
      </c>
    </row>
    <row r="2456" spans="3:4" s="237" customFormat="1">
      <c r="C2456" s="16" t="str">
        <f>IFERROR(VLOOKUP(DATA!#REF!,DATA!#REF!,1,FALSE),"")</f>
        <v/>
      </c>
      <c r="D2456" s="16" t="str">
        <f>IFERROR(VLOOKUP(C2456,DATA!#REF!,2,FALSE),"")</f>
        <v/>
      </c>
    </row>
    <row r="2457" spans="3:4" s="237" customFormat="1">
      <c r="C2457" s="16" t="str">
        <f>IFERROR(VLOOKUP(DATA!#REF!,DATA!#REF!,1,FALSE),"")</f>
        <v/>
      </c>
      <c r="D2457" s="16" t="str">
        <f>IFERROR(VLOOKUP(C2457,DATA!#REF!,2,FALSE),"")</f>
        <v/>
      </c>
    </row>
    <row r="2458" spans="3:4" s="237" customFormat="1">
      <c r="C2458" s="16" t="str">
        <f>IFERROR(VLOOKUP(DATA!#REF!,DATA!#REF!,1,FALSE),"")</f>
        <v/>
      </c>
      <c r="D2458" s="16" t="str">
        <f>IFERROR(VLOOKUP(C2458,DATA!#REF!,2,FALSE),"")</f>
        <v/>
      </c>
    </row>
    <row r="2459" spans="3:4" s="237" customFormat="1">
      <c r="C2459" s="16" t="str">
        <f>IFERROR(VLOOKUP(DATA!#REF!,DATA!#REF!,1,FALSE),"")</f>
        <v/>
      </c>
      <c r="D2459" s="16" t="str">
        <f>IFERROR(VLOOKUP(C2459,DATA!#REF!,2,FALSE),"")</f>
        <v/>
      </c>
    </row>
    <row r="2460" spans="3:4" s="237" customFormat="1">
      <c r="C2460" s="16" t="str">
        <f>IFERROR(VLOOKUP(DATA!#REF!,DATA!#REF!,1,FALSE),"")</f>
        <v/>
      </c>
      <c r="D2460" s="16" t="str">
        <f>IFERROR(VLOOKUP(C2460,DATA!#REF!,2,FALSE),"")</f>
        <v/>
      </c>
    </row>
    <row r="2461" spans="3:4" s="237" customFormat="1">
      <c r="C2461" s="16" t="str">
        <f>IFERROR(VLOOKUP(DATA!#REF!,DATA!#REF!,1,FALSE),"")</f>
        <v/>
      </c>
      <c r="D2461" s="16" t="str">
        <f>IFERROR(VLOOKUP(C2461,DATA!#REF!,2,FALSE),"")</f>
        <v/>
      </c>
    </row>
    <row r="2462" spans="3:4" s="237" customFormat="1">
      <c r="C2462" s="16" t="str">
        <f>IFERROR(VLOOKUP(DATA!#REF!,DATA!#REF!,1,FALSE),"")</f>
        <v/>
      </c>
      <c r="D2462" s="16" t="str">
        <f>IFERROR(VLOOKUP(C2462,DATA!#REF!,2,FALSE),"")</f>
        <v/>
      </c>
    </row>
    <row r="2463" spans="3:4" s="237" customFormat="1">
      <c r="C2463" s="16" t="str">
        <f>IFERROR(VLOOKUP(DATA!#REF!,DATA!#REF!,1,FALSE),"")</f>
        <v/>
      </c>
      <c r="D2463" s="16" t="str">
        <f>IFERROR(VLOOKUP(C2463,DATA!#REF!,2,FALSE),"")</f>
        <v/>
      </c>
    </row>
    <row r="2464" spans="3:4" s="237" customFormat="1">
      <c r="C2464" s="16" t="str">
        <f>IFERROR(VLOOKUP(DATA!#REF!,DATA!#REF!,1,FALSE),"")</f>
        <v/>
      </c>
      <c r="D2464" s="16" t="str">
        <f>IFERROR(VLOOKUP(C2464,DATA!#REF!,2,FALSE),"")</f>
        <v/>
      </c>
    </row>
    <row r="2465" spans="3:4" s="237" customFormat="1">
      <c r="C2465" s="16" t="str">
        <f>IFERROR(VLOOKUP(DATA!#REF!,DATA!#REF!,1,FALSE),"")</f>
        <v/>
      </c>
      <c r="D2465" s="16" t="str">
        <f>IFERROR(VLOOKUP(C2465,DATA!#REF!,2,FALSE),"")</f>
        <v/>
      </c>
    </row>
    <row r="2466" spans="3:4" s="237" customFormat="1">
      <c r="C2466" s="16" t="str">
        <f>IFERROR(VLOOKUP(DATA!#REF!,DATA!#REF!,1,FALSE),"")</f>
        <v/>
      </c>
      <c r="D2466" s="16" t="str">
        <f>IFERROR(VLOOKUP(C2466,DATA!#REF!,2,FALSE),"")</f>
        <v/>
      </c>
    </row>
    <row r="2467" spans="3:4" s="237" customFormat="1">
      <c r="C2467" s="16" t="str">
        <f>IFERROR(VLOOKUP(DATA!#REF!,DATA!#REF!,1,FALSE),"")</f>
        <v/>
      </c>
      <c r="D2467" s="16" t="str">
        <f>IFERROR(VLOOKUP(C2467,DATA!#REF!,2,FALSE),"")</f>
        <v/>
      </c>
    </row>
    <row r="2468" spans="3:4" s="237" customFormat="1">
      <c r="C2468" s="16" t="str">
        <f>IFERROR(VLOOKUP(DATA!#REF!,DATA!#REF!,1,FALSE),"")</f>
        <v/>
      </c>
      <c r="D2468" s="16" t="str">
        <f>IFERROR(VLOOKUP(C2468,DATA!#REF!,2,FALSE),"")</f>
        <v/>
      </c>
    </row>
    <row r="2469" spans="3:4" s="237" customFormat="1">
      <c r="C2469" s="16" t="str">
        <f>IFERROR(VLOOKUP(DATA!#REF!,DATA!#REF!,1,FALSE),"")</f>
        <v/>
      </c>
      <c r="D2469" s="16" t="str">
        <f>IFERROR(VLOOKUP(C2469,DATA!#REF!,2,FALSE),"")</f>
        <v/>
      </c>
    </row>
    <row r="2470" spans="3:4" s="237" customFormat="1">
      <c r="C2470" s="16" t="str">
        <f>IFERROR(VLOOKUP(DATA!#REF!,DATA!#REF!,1,FALSE),"")</f>
        <v/>
      </c>
      <c r="D2470" s="16" t="str">
        <f>IFERROR(VLOOKUP(C2470,DATA!#REF!,2,FALSE),"")</f>
        <v/>
      </c>
    </row>
    <row r="2471" spans="3:4" s="237" customFormat="1">
      <c r="C2471" s="16" t="str">
        <f>IFERROR(VLOOKUP(DATA!#REF!,DATA!#REF!,1,FALSE),"")</f>
        <v/>
      </c>
      <c r="D2471" s="16" t="str">
        <f>IFERROR(VLOOKUP(C2471,DATA!#REF!,2,FALSE),"")</f>
        <v/>
      </c>
    </row>
    <row r="2472" spans="3:4" s="237" customFormat="1">
      <c r="C2472" s="16" t="str">
        <f>IFERROR(VLOOKUP(DATA!#REF!,DATA!#REF!,1,FALSE),"")</f>
        <v/>
      </c>
      <c r="D2472" s="16" t="str">
        <f>IFERROR(VLOOKUP(C2472,DATA!#REF!,2,FALSE),"")</f>
        <v/>
      </c>
    </row>
    <row r="2473" spans="3:4" s="237" customFormat="1">
      <c r="C2473" s="16" t="str">
        <f>IFERROR(VLOOKUP(DATA!#REF!,DATA!#REF!,1,FALSE),"")</f>
        <v/>
      </c>
      <c r="D2473" s="16" t="str">
        <f>IFERROR(VLOOKUP(C2473,DATA!#REF!,2,FALSE),"")</f>
        <v/>
      </c>
    </row>
    <row r="2474" spans="3:4" s="237" customFormat="1">
      <c r="C2474" s="16" t="str">
        <f>IFERROR(VLOOKUP(DATA!#REF!,DATA!#REF!,1,FALSE),"")</f>
        <v/>
      </c>
      <c r="D2474" s="16" t="str">
        <f>IFERROR(VLOOKUP(C2474,DATA!#REF!,2,FALSE),"")</f>
        <v/>
      </c>
    </row>
    <row r="2475" spans="3:4" s="237" customFormat="1">
      <c r="C2475" s="16" t="str">
        <f>IFERROR(VLOOKUP(DATA!#REF!,DATA!#REF!,1,FALSE),"")</f>
        <v/>
      </c>
      <c r="D2475" s="16" t="str">
        <f>IFERROR(VLOOKUP(C2475,DATA!#REF!,2,FALSE),"")</f>
        <v/>
      </c>
    </row>
    <row r="2476" spans="3:4" s="237" customFormat="1">
      <c r="C2476" s="16" t="str">
        <f>IFERROR(VLOOKUP(DATA!#REF!,DATA!#REF!,1,FALSE),"")</f>
        <v/>
      </c>
      <c r="D2476" s="16" t="str">
        <f>IFERROR(VLOOKUP(C2476,DATA!#REF!,2,FALSE),"")</f>
        <v/>
      </c>
    </row>
    <row r="2477" spans="3:4" s="237" customFormat="1">
      <c r="C2477" s="16" t="str">
        <f>IFERROR(VLOOKUP(DATA!#REF!,DATA!#REF!,1,FALSE),"")</f>
        <v/>
      </c>
      <c r="D2477" s="16" t="str">
        <f>IFERROR(VLOOKUP(C2477,DATA!#REF!,2,FALSE),"")</f>
        <v/>
      </c>
    </row>
    <row r="2478" spans="3:4" s="237" customFormat="1">
      <c r="C2478" s="16" t="str">
        <f>IFERROR(VLOOKUP(DATA!#REF!,DATA!#REF!,1,FALSE),"")</f>
        <v/>
      </c>
      <c r="D2478" s="16" t="str">
        <f>IFERROR(VLOOKUP(C2478,DATA!#REF!,2,FALSE),"")</f>
        <v/>
      </c>
    </row>
    <row r="2479" spans="3:4" s="237" customFormat="1">
      <c r="C2479" s="16" t="str">
        <f>IFERROR(VLOOKUP(DATA!#REF!,DATA!#REF!,1,FALSE),"")</f>
        <v/>
      </c>
      <c r="D2479" s="16" t="str">
        <f>IFERROR(VLOOKUP(C2479,DATA!#REF!,2,FALSE),"")</f>
        <v/>
      </c>
    </row>
    <row r="2480" spans="3:4" s="237" customFormat="1">
      <c r="C2480" s="16" t="str">
        <f>IFERROR(VLOOKUP(DATA!#REF!,DATA!#REF!,1,FALSE),"")</f>
        <v/>
      </c>
      <c r="D2480" s="16" t="str">
        <f>IFERROR(VLOOKUP(C2480,DATA!#REF!,2,FALSE),"")</f>
        <v/>
      </c>
    </row>
    <row r="2481" spans="3:4" s="237" customFormat="1">
      <c r="C2481" s="16" t="str">
        <f>IFERROR(VLOOKUP(DATA!#REF!,DATA!#REF!,1,FALSE),"")</f>
        <v/>
      </c>
      <c r="D2481" s="16" t="str">
        <f>IFERROR(VLOOKUP(C2481,DATA!#REF!,2,FALSE),"")</f>
        <v/>
      </c>
    </row>
    <row r="2482" spans="3:4" s="237" customFormat="1">
      <c r="C2482" s="16" t="str">
        <f>IFERROR(VLOOKUP(DATA!#REF!,DATA!#REF!,1,FALSE),"")</f>
        <v/>
      </c>
      <c r="D2482" s="16" t="str">
        <f>IFERROR(VLOOKUP(C2482,DATA!#REF!,2,FALSE),"")</f>
        <v/>
      </c>
    </row>
    <row r="2483" spans="3:4" s="237" customFormat="1">
      <c r="C2483" s="16" t="str">
        <f>IFERROR(VLOOKUP(DATA!#REF!,DATA!#REF!,1,FALSE),"")</f>
        <v/>
      </c>
      <c r="D2483" s="16" t="str">
        <f>IFERROR(VLOOKUP(C2483,DATA!#REF!,2,FALSE),"")</f>
        <v/>
      </c>
    </row>
    <row r="2484" spans="3:4" s="237" customFormat="1">
      <c r="C2484" s="16" t="str">
        <f>IFERROR(VLOOKUP(DATA!#REF!,DATA!#REF!,1,FALSE),"")</f>
        <v/>
      </c>
      <c r="D2484" s="16" t="str">
        <f>IFERROR(VLOOKUP(C2484,DATA!#REF!,2,FALSE),"")</f>
        <v/>
      </c>
    </row>
    <row r="2485" spans="3:4" s="237" customFormat="1">
      <c r="C2485" s="16" t="str">
        <f>IFERROR(VLOOKUP(DATA!#REF!,DATA!#REF!,1,FALSE),"")</f>
        <v/>
      </c>
      <c r="D2485" s="16" t="str">
        <f>IFERROR(VLOOKUP(C2485,DATA!#REF!,2,FALSE),"")</f>
        <v/>
      </c>
    </row>
    <row r="2486" spans="3:4" s="237" customFormat="1">
      <c r="C2486" s="16" t="str">
        <f>IFERROR(VLOOKUP(DATA!#REF!,DATA!#REF!,1,FALSE),"")</f>
        <v/>
      </c>
      <c r="D2486" s="16" t="str">
        <f>IFERROR(VLOOKUP(C2486,DATA!#REF!,2,FALSE),"")</f>
        <v/>
      </c>
    </row>
    <row r="2487" spans="3:4" s="237" customFormat="1">
      <c r="C2487" s="16" t="str">
        <f>IFERROR(VLOOKUP(DATA!#REF!,DATA!#REF!,1,FALSE),"")</f>
        <v/>
      </c>
      <c r="D2487" s="16" t="str">
        <f>IFERROR(VLOOKUP(C2487,DATA!#REF!,2,FALSE),"")</f>
        <v/>
      </c>
    </row>
    <row r="2488" spans="3:4" s="237" customFormat="1">
      <c r="C2488" s="16" t="str">
        <f>IFERROR(VLOOKUP(DATA!#REF!,DATA!#REF!,1,FALSE),"")</f>
        <v/>
      </c>
      <c r="D2488" s="16" t="str">
        <f>IFERROR(VLOOKUP(C2488,DATA!#REF!,2,FALSE),"")</f>
        <v/>
      </c>
    </row>
    <row r="2489" spans="3:4" s="237" customFormat="1">
      <c r="C2489" s="16" t="str">
        <f>IFERROR(VLOOKUP(DATA!#REF!,DATA!#REF!,1,FALSE),"")</f>
        <v/>
      </c>
      <c r="D2489" s="16" t="str">
        <f>IFERROR(VLOOKUP(C2489,DATA!#REF!,2,FALSE),"")</f>
        <v/>
      </c>
    </row>
    <row r="2490" spans="3:4" s="237" customFormat="1">
      <c r="C2490" s="16" t="str">
        <f>IFERROR(VLOOKUP(DATA!#REF!,DATA!#REF!,1,FALSE),"")</f>
        <v/>
      </c>
      <c r="D2490" s="16" t="str">
        <f>IFERROR(VLOOKUP(C2490,DATA!#REF!,2,FALSE),"")</f>
        <v/>
      </c>
    </row>
    <row r="2491" spans="3:4" s="237" customFormat="1">
      <c r="C2491" s="16" t="str">
        <f>IFERROR(VLOOKUP(DATA!#REF!,DATA!#REF!,1,FALSE),"")</f>
        <v/>
      </c>
      <c r="D2491" s="16" t="str">
        <f>IFERROR(VLOOKUP(C2491,DATA!#REF!,2,FALSE),"")</f>
        <v/>
      </c>
    </row>
    <row r="2492" spans="3:4" s="237" customFormat="1">
      <c r="C2492" s="16" t="str">
        <f>IFERROR(VLOOKUP(DATA!#REF!,DATA!#REF!,1,FALSE),"")</f>
        <v/>
      </c>
      <c r="D2492" s="16" t="str">
        <f>IFERROR(VLOOKUP(C2492,DATA!#REF!,2,FALSE),"")</f>
        <v/>
      </c>
    </row>
    <row r="2493" spans="3:4" s="237" customFormat="1">
      <c r="C2493" s="16" t="str">
        <f>IFERROR(VLOOKUP(DATA!#REF!,DATA!#REF!,1,FALSE),"")</f>
        <v/>
      </c>
      <c r="D2493" s="16" t="str">
        <f>IFERROR(VLOOKUP(C2493,DATA!#REF!,2,FALSE),"")</f>
        <v/>
      </c>
    </row>
    <row r="2494" spans="3:4" s="237" customFormat="1">
      <c r="C2494" s="16" t="str">
        <f>IFERROR(VLOOKUP(DATA!#REF!,DATA!#REF!,1,FALSE),"")</f>
        <v/>
      </c>
      <c r="D2494" s="16" t="str">
        <f>IFERROR(VLOOKUP(C2494,DATA!#REF!,2,FALSE),"")</f>
        <v/>
      </c>
    </row>
    <row r="2495" spans="3:4" s="237" customFormat="1">
      <c r="C2495" s="16" t="str">
        <f>IFERROR(VLOOKUP(DATA!#REF!,DATA!#REF!,1,FALSE),"")</f>
        <v/>
      </c>
      <c r="D2495" s="16" t="str">
        <f>IFERROR(VLOOKUP(C2495,DATA!#REF!,2,FALSE),"")</f>
        <v/>
      </c>
    </row>
    <row r="2496" spans="3:4" s="237" customFormat="1">
      <c r="C2496" s="16" t="str">
        <f>IFERROR(VLOOKUP(DATA!#REF!,DATA!#REF!,1,FALSE),"")</f>
        <v/>
      </c>
      <c r="D2496" s="16" t="str">
        <f>IFERROR(VLOOKUP(C2496,DATA!#REF!,2,FALSE),"")</f>
        <v/>
      </c>
    </row>
    <row r="2497" spans="3:4" s="237" customFormat="1">
      <c r="C2497" s="16" t="str">
        <f>IFERROR(VLOOKUP(DATA!#REF!,DATA!#REF!,1,FALSE),"")</f>
        <v/>
      </c>
      <c r="D2497" s="16" t="str">
        <f>IFERROR(VLOOKUP(C2497,DATA!#REF!,2,FALSE),"")</f>
        <v/>
      </c>
    </row>
    <row r="2498" spans="3:4" s="237" customFormat="1">
      <c r="C2498" s="16" t="str">
        <f>IFERROR(VLOOKUP(DATA!#REF!,DATA!#REF!,1,FALSE),"")</f>
        <v/>
      </c>
      <c r="D2498" s="16" t="str">
        <f>IFERROR(VLOOKUP(C2498,DATA!#REF!,2,FALSE),"")</f>
        <v/>
      </c>
    </row>
    <row r="2499" spans="3:4" s="237" customFormat="1">
      <c r="C2499" s="16" t="str">
        <f>IFERROR(VLOOKUP(DATA!#REF!,DATA!#REF!,1,FALSE),"")</f>
        <v/>
      </c>
      <c r="D2499" s="16" t="str">
        <f>IFERROR(VLOOKUP(C2499,DATA!#REF!,2,FALSE),"")</f>
        <v/>
      </c>
    </row>
    <row r="2500" spans="3:4" s="237" customFormat="1">
      <c r="C2500" s="16" t="str">
        <f>IFERROR(VLOOKUP(DATA!#REF!,DATA!#REF!,1,FALSE),"")</f>
        <v/>
      </c>
      <c r="D2500" s="16" t="str">
        <f>IFERROR(VLOOKUP(C2500,DATA!#REF!,2,FALSE),"")</f>
        <v/>
      </c>
    </row>
    <row r="2501" spans="3:4" s="237" customFormat="1">
      <c r="C2501" s="16" t="str">
        <f>IFERROR(VLOOKUP(DATA!#REF!,DATA!#REF!,1,FALSE),"")</f>
        <v/>
      </c>
      <c r="D2501" s="16" t="str">
        <f>IFERROR(VLOOKUP(C2501,DATA!#REF!,2,FALSE),"")</f>
        <v/>
      </c>
    </row>
    <row r="2502" spans="3:4" s="237" customFormat="1">
      <c r="C2502" s="16" t="str">
        <f>IFERROR(VLOOKUP(DATA!#REF!,DATA!#REF!,1,FALSE),"")</f>
        <v/>
      </c>
      <c r="D2502" s="16" t="str">
        <f>IFERROR(VLOOKUP(C2502,DATA!#REF!,2,FALSE),"")</f>
        <v/>
      </c>
    </row>
    <row r="2503" spans="3:4" s="237" customFormat="1">
      <c r="C2503" s="16" t="str">
        <f>IFERROR(VLOOKUP(DATA!#REF!,DATA!#REF!,1,FALSE),"")</f>
        <v/>
      </c>
      <c r="D2503" s="16" t="str">
        <f>IFERROR(VLOOKUP(C2503,DATA!#REF!,2,FALSE),"")</f>
        <v/>
      </c>
    </row>
    <row r="2504" spans="3:4" s="237" customFormat="1">
      <c r="C2504" s="16" t="str">
        <f>IFERROR(VLOOKUP(DATA!#REF!,DATA!#REF!,1,FALSE),"")</f>
        <v/>
      </c>
      <c r="D2504" s="16" t="str">
        <f>IFERROR(VLOOKUP(C2504,DATA!#REF!,2,FALSE),"")</f>
        <v/>
      </c>
    </row>
    <row r="2505" spans="3:4" s="237" customFormat="1">
      <c r="C2505" s="16" t="str">
        <f>IFERROR(VLOOKUP(DATA!#REF!,DATA!#REF!,1,FALSE),"")</f>
        <v/>
      </c>
      <c r="D2505" s="16" t="str">
        <f>IFERROR(VLOOKUP(C2505,DATA!#REF!,2,FALSE),"")</f>
        <v/>
      </c>
    </row>
    <row r="2506" spans="3:4" s="237" customFormat="1">
      <c r="C2506" s="16" t="str">
        <f>IFERROR(VLOOKUP(DATA!#REF!,DATA!#REF!,1,FALSE),"")</f>
        <v/>
      </c>
      <c r="D2506" s="16" t="str">
        <f>IFERROR(VLOOKUP(C2506,DATA!#REF!,2,FALSE),"")</f>
        <v/>
      </c>
    </row>
    <row r="2507" spans="3:4" s="237" customFormat="1">
      <c r="C2507" s="16" t="str">
        <f>IFERROR(VLOOKUP(DATA!#REF!,DATA!#REF!,1,FALSE),"")</f>
        <v/>
      </c>
      <c r="D2507" s="16" t="str">
        <f>IFERROR(VLOOKUP(C2507,DATA!#REF!,2,FALSE),"")</f>
        <v/>
      </c>
    </row>
    <row r="2508" spans="3:4" s="237" customFormat="1">
      <c r="C2508" s="16" t="str">
        <f>IFERROR(VLOOKUP(DATA!#REF!,DATA!#REF!,1,FALSE),"")</f>
        <v/>
      </c>
      <c r="D2508" s="16" t="str">
        <f>IFERROR(VLOOKUP(C2508,DATA!#REF!,2,FALSE),"")</f>
        <v/>
      </c>
    </row>
    <row r="2509" spans="3:4" s="237" customFormat="1">
      <c r="C2509" s="16" t="str">
        <f>IFERROR(VLOOKUP(DATA!#REF!,DATA!#REF!,1,FALSE),"")</f>
        <v/>
      </c>
      <c r="D2509" s="16" t="str">
        <f>IFERROR(VLOOKUP(C2509,DATA!#REF!,2,FALSE),"")</f>
        <v/>
      </c>
    </row>
    <row r="2510" spans="3:4" s="237" customFormat="1">
      <c r="C2510" s="16" t="str">
        <f>IFERROR(VLOOKUP(DATA!#REF!,DATA!#REF!,1,FALSE),"")</f>
        <v/>
      </c>
      <c r="D2510" s="16" t="str">
        <f>IFERROR(VLOOKUP(C2510,DATA!#REF!,2,FALSE),"")</f>
        <v/>
      </c>
    </row>
    <row r="2511" spans="3:4" s="237" customFormat="1">
      <c r="C2511" s="16" t="str">
        <f>IFERROR(VLOOKUP(DATA!#REF!,DATA!#REF!,1,FALSE),"")</f>
        <v/>
      </c>
      <c r="D2511" s="16" t="str">
        <f>IFERROR(VLOOKUP(C2511,DATA!#REF!,2,FALSE),"")</f>
        <v/>
      </c>
    </row>
    <row r="2512" spans="3:4" s="237" customFormat="1">
      <c r="C2512" s="16" t="str">
        <f>IFERROR(VLOOKUP(DATA!#REF!,DATA!#REF!,1,FALSE),"")</f>
        <v/>
      </c>
      <c r="D2512" s="16" t="str">
        <f>IFERROR(VLOOKUP(C2512,DATA!#REF!,2,FALSE),"")</f>
        <v/>
      </c>
    </row>
    <row r="2513" spans="3:4" s="237" customFormat="1">
      <c r="C2513" s="16" t="str">
        <f>IFERROR(VLOOKUP(DATA!#REF!,DATA!#REF!,1,FALSE),"")</f>
        <v/>
      </c>
      <c r="D2513" s="16" t="str">
        <f>IFERROR(VLOOKUP(C2513,DATA!#REF!,2,FALSE),"")</f>
        <v/>
      </c>
    </row>
    <row r="2514" spans="3:4" s="237" customFormat="1">
      <c r="C2514" s="16" t="str">
        <f>IFERROR(VLOOKUP(DATA!#REF!,DATA!#REF!,1,FALSE),"")</f>
        <v/>
      </c>
      <c r="D2514" s="16" t="str">
        <f>IFERROR(VLOOKUP(C2514,DATA!#REF!,2,FALSE),"")</f>
        <v/>
      </c>
    </row>
    <row r="2515" spans="3:4" s="237" customFormat="1">
      <c r="C2515" s="16" t="str">
        <f>IFERROR(VLOOKUP(DATA!#REF!,DATA!#REF!,1,FALSE),"")</f>
        <v/>
      </c>
      <c r="D2515" s="16" t="str">
        <f>IFERROR(VLOOKUP(C2515,DATA!#REF!,2,FALSE),"")</f>
        <v/>
      </c>
    </row>
    <row r="2516" spans="3:4" s="237" customFormat="1">
      <c r="C2516" s="16" t="str">
        <f>IFERROR(VLOOKUP(DATA!#REF!,DATA!#REF!,1,FALSE),"")</f>
        <v/>
      </c>
      <c r="D2516" s="16" t="str">
        <f>IFERROR(VLOOKUP(C2516,DATA!#REF!,2,FALSE),"")</f>
        <v/>
      </c>
    </row>
    <row r="2517" spans="3:4" s="237" customFormat="1">
      <c r="C2517" s="16" t="str">
        <f>IFERROR(VLOOKUP(DATA!#REF!,DATA!#REF!,1,FALSE),"")</f>
        <v/>
      </c>
      <c r="D2517" s="16" t="str">
        <f>IFERROR(VLOOKUP(C2517,DATA!#REF!,2,FALSE),"")</f>
        <v/>
      </c>
    </row>
    <row r="2518" spans="3:4" s="237" customFormat="1">
      <c r="C2518" s="16" t="str">
        <f>IFERROR(VLOOKUP(DATA!#REF!,DATA!#REF!,1,FALSE),"")</f>
        <v/>
      </c>
      <c r="D2518" s="16" t="str">
        <f>IFERROR(VLOOKUP(C2518,DATA!#REF!,2,FALSE),"")</f>
        <v/>
      </c>
    </row>
    <row r="2519" spans="3:4" s="237" customFormat="1">
      <c r="C2519" s="16" t="str">
        <f>IFERROR(VLOOKUP(DATA!#REF!,DATA!#REF!,1,FALSE),"")</f>
        <v/>
      </c>
      <c r="D2519" s="16" t="str">
        <f>IFERROR(VLOOKUP(C2519,DATA!#REF!,2,FALSE),"")</f>
        <v/>
      </c>
    </row>
    <row r="2520" spans="3:4" s="237" customFormat="1">
      <c r="C2520" s="16" t="str">
        <f>IFERROR(VLOOKUP(DATA!#REF!,DATA!#REF!,1,FALSE),"")</f>
        <v/>
      </c>
      <c r="D2520" s="16" t="str">
        <f>IFERROR(VLOOKUP(C2520,DATA!#REF!,2,FALSE),"")</f>
        <v/>
      </c>
    </row>
    <row r="2521" spans="3:4" s="237" customFormat="1">
      <c r="C2521" s="16" t="str">
        <f>IFERROR(VLOOKUP(DATA!#REF!,DATA!#REF!,1,FALSE),"")</f>
        <v/>
      </c>
      <c r="D2521" s="16" t="str">
        <f>IFERROR(VLOOKUP(C2521,DATA!#REF!,2,FALSE),"")</f>
        <v/>
      </c>
    </row>
    <row r="2522" spans="3:4" s="237" customFormat="1">
      <c r="C2522" s="16" t="str">
        <f>IFERROR(VLOOKUP(DATA!#REF!,DATA!#REF!,1,FALSE),"")</f>
        <v/>
      </c>
      <c r="D2522" s="16" t="str">
        <f>IFERROR(VLOOKUP(C2522,DATA!#REF!,2,FALSE),"")</f>
        <v/>
      </c>
    </row>
    <row r="2523" spans="3:4" s="237" customFormat="1">
      <c r="C2523" s="16" t="str">
        <f>IFERROR(VLOOKUP(DATA!#REF!,DATA!#REF!,1,FALSE),"")</f>
        <v/>
      </c>
      <c r="D2523" s="16" t="str">
        <f>IFERROR(VLOOKUP(C2523,DATA!#REF!,2,FALSE),"")</f>
        <v/>
      </c>
    </row>
    <row r="2524" spans="3:4" s="237" customFormat="1">
      <c r="C2524" s="16" t="str">
        <f>IFERROR(VLOOKUP(DATA!#REF!,DATA!#REF!,1,FALSE),"")</f>
        <v/>
      </c>
      <c r="D2524" s="16" t="str">
        <f>IFERROR(VLOOKUP(C2524,DATA!#REF!,2,FALSE),"")</f>
        <v/>
      </c>
    </row>
    <row r="2525" spans="3:4" s="237" customFormat="1">
      <c r="C2525" s="16" t="str">
        <f>IFERROR(VLOOKUP(DATA!#REF!,DATA!#REF!,1,FALSE),"")</f>
        <v/>
      </c>
      <c r="D2525" s="16" t="str">
        <f>IFERROR(VLOOKUP(C2525,DATA!#REF!,2,FALSE),"")</f>
        <v/>
      </c>
    </row>
    <row r="2526" spans="3:4" s="237" customFormat="1">
      <c r="C2526" s="16" t="str">
        <f>IFERROR(VLOOKUP(DATA!#REF!,DATA!#REF!,1,FALSE),"")</f>
        <v/>
      </c>
      <c r="D2526" s="16" t="str">
        <f>IFERROR(VLOOKUP(C2526,DATA!#REF!,2,FALSE),"")</f>
        <v/>
      </c>
    </row>
    <row r="2527" spans="3:4" s="237" customFormat="1">
      <c r="C2527" s="16" t="str">
        <f>IFERROR(VLOOKUP(DATA!#REF!,DATA!#REF!,1,FALSE),"")</f>
        <v/>
      </c>
      <c r="D2527" s="16" t="str">
        <f>IFERROR(VLOOKUP(C2527,DATA!#REF!,2,FALSE),"")</f>
        <v/>
      </c>
    </row>
    <row r="2528" spans="3:4" s="237" customFormat="1">
      <c r="C2528" s="16" t="str">
        <f>IFERROR(VLOOKUP(DATA!#REF!,DATA!#REF!,1,FALSE),"")</f>
        <v/>
      </c>
      <c r="D2528" s="16" t="str">
        <f>IFERROR(VLOOKUP(C2528,DATA!#REF!,2,FALSE),"")</f>
        <v/>
      </c>
    </row>
    <row r="2529" spans="3:4" s="237" customFormat="1">
      <c r="C2529" s="16" t="str">
        <f>IFERROR(VLOOKUP(DATA!#REF!,DATA!#REF!,1,FALSE),"")</f>
        <v/>
      </c>
      <c r="D2529" s="16" t="str">
        <f>IFERROR(VLOOKUP(C2529,DATA!#REF!,2,FALSE),"")</f>
        <v/>
      </c>
    </row>
    <row r="2530" spans="3:4" s="237" customFormat="1">
      <c r="C2530" s="16" t="str">
        <f>IFERROR(VLOOKUP(DATA!#REF!,DATA!#REF!,1,FALSE),"")</f>
        <v/>
      </c>
      <c r="D2530" s="16" t="str">
        <f>IFERROR(VLOOKUP(C2530,DATA!#REF!,2,FALSE),"")</f>
        <v/>
      </c>
    </row>
    <row r="2531" spans="3:4" s="237" customFormat="1">
      <c r="C2531" s="16" t="str">
        <f>IFERROR(VLOOKUP(DATA!#REF!,DATA!#REF!,1,FALSE),"")</f>
        <v/>
      </c>
      <c r="D2531" s="16" t="str">
        <f>IFERROR(VLOOKUP(C2531,DATA!#REF!,2,FALSE),"")</f>
        <v/>
      </c>
    </row>
    <row r="2532" spans="3:4" s="237" customFormat="1">
      <c r="C2532" s="16" t="str">
        <f>IFERROR(VLOOKUP(DATA!#REF!,DATA!#REF!,1,FALSE),"")</f>
        <v/>
      </c>
      <c r="D2532" s="16" t="str">
        <f>IFERROR(VLOOKUP(C2532,DATA!#REF!,2,FALSE),"")</f>
        <v/>
      </c>
    </row>
    <row r="2533" spans="3:4" s="237" customFormat="1">
      <c r="C2533" s="16" t="str">
        <f>IFERROR(VLOOKUP(DATA!#REF!,DATA!#REF!,1,FALSE),"")</f>
        <v/>
      </c>
      <c r="D2533" s="16" t="str">
        <f>IFERROR(VLOOKUP(C2533,DATA!#REF!,2,FALSE),"")</f>
        <v/>
      </c>
    </row>
    <row r="2534" spans="3:4" s="237" customFormat="1">
      <c r="C2534" s="16" t="str">
        <f>IFERROR(VLOOKUP(DATA!#REF!,DATA!#REF!,1,FALSE),"")</f>
        <v/>
      </c>
      <c r="D2534" s="16" t="str">
        <f>IFERROR(VLOOKUP(C2534,DATA!#REF!,2,FALSE),"")</f>
        <v/>
      </c>
    </row>
    <row r="2535" spans="3:4" s="237" customFormat="1">
      <c r="C2535" s="16" t="str">
        <f>IFERROR(VLOOKUP(DATA!#REF!,DATA!#REF!,1,FALSE),"")</f>
        <v/>
      </c>
      <c r="D2535" s="16" t="str">
        <f>IFERROR(VLOOKUP(C2535,DATA!#REF!,2,FALSE),"")</f>
        <v/>
      </c>
    </row>
    <row r="2536" spans="3:4" s="237" customFormat="1">
      <c r="C2536" s="16" t="str">
        <f>IFERROR(VLOOKUP(DATA!#REF!,DATA!#REF!,1,FALSE),"")</f>
        <v/>
      </c>
      <c r="D2536" s="16" t="str">
        <f>IFERROR(VLOOKUP(C2536,DATA!#REF!,2,FALSE),"")</f>
        <v/>
      </c>
    </row>
    <row r="2537" spans="3:4" s="237" customFormat="1">
      <c r="C2537" s="16" t="str">
        <f>IFERROR(VLOOKUP(DATA!#REF!,DATA!#REF!,1,FALSE),"")</f>
        <v/>
      </c>
      <c r="D2537" s="16" t="str">
        <f>IFERROR(VLOOKUP(C2537,DATA!#REF!,2,FALSE),"")</f>
        <v/>
      </c>
    </row>
    <row r="2538" spans="3:4" s="237" customFormat="1">
      <c r="C2538" s="16" t="str">
        <f>IFERROR(VLOOKUP(DATA!#REF!,DATA!#REF!,1,FALSE),"")</f>
        <v/>
      </c>
      <c r="D2538" s="16" t="str">
        <f>IFERROR(VLOOKUP(C2538,DATA!#REF!,2,FALSE),"")</f>
        <v/>
      </c>
    </row>
    <row r="2539" spans="3:4" s="237" customFormat="1">
      <c r="C2539" s="16" t="str">
        <f>IFERROR(VLOOKUP(DATA!#REF!,DATA!#REF!,1,FALSE),"")</f>
        <v/>
      </c>
      <c r="D2539" s="16" t="str">
        <f>IFERROR(VLOOKUP(C2539,DATA!#REF!,2,FALSE),"")</f>
        <v/>
      </c>
    </row>
    <row r="2540" spans="3:4" s="237" customFormat="1">
      <c r="C2540" s="16" t="str">
        <f>IFERROR(VLOOKUP(DATA!#REF!,DATA!#REF!,1,FALSE),"")</f>
        <v/>
      </c>
      <c r="D2540" s="16" t="str">
        <f>IFERROR(VLOOKUP(C2540,DATA!#REF!,2,FALSE),"")</f>
        <v/>
      </c>
    </row>
    <row r="2541" spans="3:4" s="237" customFormat="1">
      <c r="C2541" s="16" t="str">
        <f>IFERROR(VLOOKUP(DATA!#REF!,DATA!#REF!,1,FALSE),"")</f>
        <v/>
      </c>
      <c r="D2541" s="16" t="str">
        <f>IFERROR(VLOOKUP(C2541,DATA!#REF!,2,FALSE),"")</f>
        <v/>
      </c>
    </row>
    <row r="2542" spans="3:4" s="237" customFormat="1">
      <c r="C2542" s="16" t="str">
        <f>IFERROR(VLOOKUP(DATA!#REF!,DATA!#REF!,1,FALSE),"")</f>
        <v/>
      </c>
      <c r="D2542" s="16" t="str">
        <f>IFERROR(VLOOKUP(C2542,DATA!#REF!,2,FALSE),"")</f>
        <v/>
      </c>
    </row>
    <row r="2543" spans="3:4" s="237" customFormat="1">
      <c r="C2543" s="16" t="str">
        <f>IFERROR(VLOOKUP(DATA!#REF!,DATA!#REF!,1,FALSE),"")</f>
        <v/>
      </c>
      <c r="D2543" s="16" t="str">
        <f>IFERROR(VLOOKUP(C2543,DATA!#REF!,2,FALSE),"")</f>
        <v/>
      </c>
    </row>
    <row r="2544" spans="3:4" s="237" customFormat="1">
      <c r="C2544" s="16" t="str">
        <f>IFERROR(VLOOKUP(DATA!#REF!,DATA!#REF!,1,FALSE),"")</f>
        <v/>
      </c>
      <c r="D2544" s="16" t="str">
        <f>IFERROR(VLOOKUP(C2544,DATA!#REF!,2,FALSE),"")</f>
        <v/>
      </c>
    </row>
    <row r="2545" spans="3:4" s="237" customFormat="1">
      <c r="C2545" s="16" t="str">
        <f>IFERROR(VLOOKUP(DATA!#REF!,DATA!#REF!,1,FALSE),"")</f>
        <v/>
      </c>
      <c r="D2545" s="16" t="str">
        <f>IFERROR(VLOOKUP(C2545,DATA!#REF!,2,FALSE),"")</f>
        <v/>
      </c>
    </row>
    <row r="2546" spans="3:4" s="237" customFormat="1">
      <c r="C2546" s="16" t="str">
        <f>IFERROR(VLOOKUP(DATA!#REF!,DATA!#REF!,1,FALSE),"")</f>
        <v/>
      </c>
      <c r="D2546" s="16" t="str">
        <f>IFERROR(VLOOKUP(C2546,DATA!#REF!,2,FALSE),"")</f>
        <v/>
      </c>
    </row>
    <row r="2547" spans="3:4" s="237" customFormat="1">
      <c r="C2547" s="16" t="str">
        <f>IFERROR(VLOOKUP(DATA!#REF!,DATA!#REF!,1,FALSE),"")</f>
        <v/>
      </c>
      <c r="D2547" s="16" t="str">
        <f>IFERROR(VLOOKUP(C2547,DATA!#REF!,2,FALSE),"")</f>
        <v/>
      </c>
    </row>
    <row r="2548" spans="3:4" s="237" customFormat="1">
      <c r="C2548" s="16" t="str">
        <f>IFERROR(VLOOKUP(DATA!#REF!,DATA!#REF!,1,FALSE),"")</f>
        <v/>
      </c>
      <c r="D2548" s="16" t="str">
        <f>IFERROR(VLOOKUP(C2548,DATA!#REF!,2,FALSE),"")</f>
        <v/>
      </c>
    </row>
    <row r="2549" spans="3:4" s="237" customFormat="1">
      <c r="C2549" s="16" t="str">
        <f>IFERROR(VLOOKUP(DATA!#REF!,DATA!#REF!,1,FALSE),"")</f>
        <v/>
      </c>
      <c r="D2549" s="16" t="str">
        <f>IFERROR(VLOOKUP(C2549,DATA!#REF!,2,FALSE),"")</f>
        <v/>
      </c>
    </row>
    <row r="2550" spans="3:4" s="237" customFormat="1">
      <c r="C2550" s="16" t="str">
        <f>IFERROR(VLOOKUP(DATA!#REF!,DATA!#REF!,1,FALSE),"")</f>
        <v/>
      </c>
      <c r="D2550" s="16" t="str">
        <f>IFERROR(VLOOKUP(C2550,DATA!#REF!,2,FALSE),"")</f>
        <v/>
      </c>
    </row>
    <row r="2551" spans="3:4" s="237" customFormat="1">
      <c r="C2551" s="16" t="str">
        <f>IFERROR(VLOOKUP(DATA!#REF!,DATA!#REF!,1,FALSE),"")</f>
        <v/>
      </c>
      <c r="D2551" s="16" t="str">
        <f>IFERROR(VLOOKUP(C2551,DATA!#REF!,2,FALSE),"")</f>
        <v/>
      </c>
    </row>
    <row r="2552" spans="3:4" s="237" customFormat="1">
      <c r="C2552" s="16" t="str">
        <f>IFERROR(VLOOKUP(DATA!#REF!,DATA!#REF!,1,FALSE),"")</f>
        <v/>
      </c>
      <c r="D2552" s="16" t="str">
        <f>IFERROR(VLOOKUP(C2552,DATA!#REF!,2,FALSE),"")</f>
        <v/>
      </c>
    </row>
    <row r="2553" spans="3:4" s="237" customFormat="1">
      <c r="C2553" s="16" t="str">
        <f>IFERROR(VLOOKUP(DATA!#REF!,DATA!#REF!,1,FALSE),"")</f>
        <v/>
      </c>
      <c r="D2553" s="16" t="str">
        <f>IFERROR(VLOOKUP(C2553,DATA!#REF!,2,FALSE),"")</f>
        <v/>
      </c>
    </row>
    <row r="2554" spans="3:4" s="237" customFormat="1">
      <c r="C2554" s="16" t="str">
        <f>IFERROR(VLOOKUP(DATA!#REF!,DATA!#REF!,1,FALSE),"")</f>
        <v/>
      </c>
      <c r="D2554" s="16" t="str">
        <f>IFERROR(VLOOKUP(C2554,DATA!#REF!,2,FALSE),"")</f>
        <v/>
      </c>
    </row>
    <row r="2555" spans="3:4" s="237" customFormat="1">
      <c r="C2555" s="16" t="str">
        <f>IFERROR(VLOOKUP(DATA!#REF!,DATA!#REF!,1,FALSE),"")</f>
        <v/>
      </c>
      <c r="D2555" s="16" t="str">
        <f>IFERROR(VLOOKUP(C2555,DATA!#REF!,2,FALSE),"")</f>
        <v/>
      </c>
    </row>
    <row r="2556" spans="3:4" s="237" customFormat="1">
      <c r="C2556" s="16" t="str">
        <f>IFERROR(VLOOKUP(DATA!#REF!,DATA!#REF!,1,FALSE),"")</f>
        <v/>
      </c>
      <c r="D2556" s="16" t="str">
        <f>IFERROR(VLOOKUP(C2556,DATA!#REF!,2,FALSE),"")</f>
        <v/>
      </c>
    </row>
    <row r="2557" spans="3:4" s="237" customFormat="1">
      <c r="C2557" s="16" t="str">
        <f>IFERROR(VLOOKUP(DATA!#REF!,DATA!#REF!,1,FALSE),"")</f>
        <v/>
      </c>
      <c r="D2557" s="16" t="str">
        <f>IFERROR(VLOOKUP(C2557,DATA!#REF!,2,FALSE),"")</f>
        <v/>
      </c>
    </row>
    <row r="2558" spans="3:4" s="237" customFormat="1">
      <c r="C2558" s="16" t="str">
        <f>IFERROR(VLOOKUP(DATA!#REF!,DATA!#REF!,1,FALSE),"")</f>
        <v/>
      </c>
      <c r="D2558" s="16" t="str">
        <f>IFERROR(VLOOKUP(C2558,DATA!#REF!,2,FALSE),"")</f>
        <v/>
      </c>
    </row>
    <row r="2559" spans="3:4" s="237" customFormat="1">
      <c r="C2559" s="16" t="str">
        <f>IFERROR(VLOOKUP(DATA!#REF!,DATA!#REF!,1,FALSE),"")</f>
        <v/>
      </c>
      <c r="D2559" s="16" t="str">
        <f>IFERROR(VLOOKUP(C2559,DATA!#REF!,2,FALSE),"")</f>
        <v/>
      </c>
    </row>
    <row r="2560" spans="3:4" s="237" customFormat="1">
      <c r="C2560" s="16" t="str">
        <f>IFERROR(VLOOKUP(DATA!#REF!,DATA!#REF!,1,FALSE),"")</f>
        <v/>
      </c>
      <c r="D2560" s="16" t="str">
        <f>IFERROR(VLOOKUP(C2560,DATA!#REF!,2,FALSE),"")</f>
        <v/>
      </c>
    </row>
    <row r="2561" spans="3:4" s="237" customFormat="1">
      <c r="C2561" s="16" t="str">
        <f>IFERROR(VLOOKUP(DATA!#REF!,DATA!#REF!,1,FALSE),"")</f>
        <v/>
      </c>
      <c r="D2561" s="16" t="str">
        <f>IFERROR(VLOOKUP(C2561,DATA!#REF!,2,FALSE),"")</f>
        <v/>
      </c>
    </row>
    <row r="2562" spans="3:4" s="237" customFormat="1">
      <c r="C2562" s="16" t="str">
        <f>IFERROR(VLOOKUP(DATA!#REF!,DATA!#REF!,1,FALSE),"")</f>
        <v/>
      </c>
      <c r="D2562" s="16" t="str">
        <f>IFERROR(VLOOKUP(C2562,DATA!#REF!,2,FALSE),"")</f>
        <v/>
      </c>
    </row>
    <row r="2563" spans="3:4" s="237" customFormat="1">
      <c r="C2563" s="16" t="str">
        <f>IFERROR(VLOOKUP(DATA!#REF!,DATA!#REF!,1,FALSE),"")</f>
        <v/>
      </c>
      <c r="D2563" s="16" t="str">
        <f>IFERROR(VLOOKUP(C2563,DATA!#REF!,2,FALSE),"")</f>
        <v/>
      </c>
    </row>
    <row r="2564" spans="3:4" s="237" customFormat="1">
      <c r="C2564" s="16" t="str">
        <f>IFERROR(VLOOKUP(DATA!#REF!,DATA!#REF!,1,FALSE),"")</f>
        <v/>
      </c>
      <c r="D2564" s="16" t="str">
        <f>IFERROR(VLOOKUP(C2564,DATA!#REF!,2,FALSE),"")</f>
        <v/>
      </c>
    </row>
    <row r="2565" spans="3:4" s="237" customFormat="1">
      <c r="C2565" s="16" t="str">
        <f>IFERROR(VLOOKUP(DATA!#REF!,DATA!#REF!,1,FALSE),"")</f>
        <v/>
      </c>
      <c r="D2565" s="16" t="str">
        <f>IFERROR(VLOOKUP(C2565,DATA!#REF!,2,FALSE),"")</f>
        <v/>
      </c>
    </row>
    <row r="2566" spans="3:4" s="237" customFormat="1">
      <c r="C2566" s="16" t="str">
        <f>IFERROR(VLOOKUP(DATA!#REF!,DATA!#REF!,1,FALSE),"")</f>
        <v/>
      </c>
      <c r="D2566" s="16" t="str">
        <f>IFERROR(VLOOKUP(C2566,DATA!#REF!,2,FALSE),"")</f>
        <v/>
      </c>
    </row>
    <row r="2567" spans="3:4" s="237" customFormat="1">
      <c r="C2567" s="16" t="str">
        <f>IFERROR(VLOOKUP(DATA!#REF!,DATA!#REF!,1,FALSE),"")</f>
        <v/>
      </c>
      <c r="D2567" s="16" t="str">
        <f>IFERROR(VLOOKUP(C2567,DATA!#REF!,2,FALSE),"")</f>
        <v/>
      </c>
    </row>
    <row r="2568" spans="3:4" s="237" customFormat="1">
      <c r="C2568" s="16" t="str">
        <f>IFERROR(VLOOKUP(DATA!#REF!,DATA!#REF!,1,FALSE),"")</f>
        <v/>
      </c>
      <c r="D2568" s="16" t="str">
        <f>IFERROR(VLOOKUP(C2568,DATA!#REF!,2,FALSE),"")</f>
        <v/>
      </c>
    </row>
    <row r="2569" spans="3:4" s="237" customFormat="1">
      <c r="C2569" s="16" t="str">
        <f>IFERROR(VLOOKUP(DATA!#REF!,DATA!#REF!,1,FALSE),"")</f>
        <v/>
      </c>
      <c r="D2569" s="16" t="str">
        <f>IFERROR(VLOOKUP(C2569,DATA!#REF!,2,FALSE),"")</f>
        <v/>
      </c>
    </row>
    <row r="2570" spans="3:4" s="237" customFormat="1">
      <c r="C2570" s="16" t="str">
        <f>IFERROR(VLOOKUP(DATA!#REF!,DATA!#REF!,1,FALSE),"")</f>
        <v/>
      </c>
      <c r="D2570" s="16" t="str">
        <f>IFERROR(VLOOKUP(C2570,DATA!#REF!,2,FALSE),"")</f>
        <v/>
      </c>
    </row>
    <row r="2571" spans="3:4" s="237" customFormat="1">
      <c r="C2571" s="16" t="str">
        <f>IFERROR(VLOOKUP(DATA!#REF!,DATA!#REF!,1,FALSE),"")</f>
        <v/>
      </c>
      <c r="D2571" s="16" t="str">
        <f>IFERROR(VLOOKUP(C2571,DATA!#REF!,2,FALSE),"")</f>
        <v/>
      </c>
    </row>
    <row r="2572" spans="3:4" s="237" customFormat="1">
      <c r="C2572" s="16" t="str">
        <f>IFERROR(VLOOKUP(DATA!#REF!,DATA!#REF!,1,FALSE),"")</f>
        <v/>
      </c>
      <c r="D2572" s="16" t="str">
        <f>IFERROR(VLOOKUP(C2572,DATA!#REF!,2,FALSE),"")</f>
        <v/>
      </c>
    </row>
    <row r="2573" spans="3:4" s="237" customFormat="1">
      <c r="C2573" s="16" t="str">
        <f>IFERROR(VLOOKUP(DATA!#REF!,DATA!#REF!,1,FALSE),"")</f>
        <v/>
      </c>
      <c r="D2573" s="16" t="str">
        <f>IFERROR(VLOOKUP(C2573,DATA!#REF!,2,FALSE),"")</f>
        <v/>
      </c>
    </row>
    <row r="2574" spans="3:4" s="237" customFormat="1">
      <c r="C2574" s="16" t="str">
        <f>IFERROR(VLOOKUP(DATA!#REF!,DATA!#REF!,1,FALSE),"")</f>
        <v/>
      </c>
      <c r="D2574" s="16" t="str">
        <f>IFERROR(VLOOKUP(C2574,DATA!#REF!,2,FALSE),"")</f>
        <v/>
      </c>
    </row>
    <row r="2575" spans="3:4" s="237" customFormat="1">
      <c r="C2575" s="16" t="str">
        <f>IFERROR(VLOOKUP(DATA!#REF!,DATA!#REF!,1,FALSE),"")</f>
        <v/>
      </c>
      <c r="D2575" s="16" t="str">
        <f>IFERROR(VLOOKUP(C2575,DATA!#REF!,2,FALSE),"")</f>
        <v/>
      </c>
    </row>
    <row r="2576" spans="3:4" s="237" customFormat="1">
      <c r="C2576" s="16" t="str">
        <f>IFERROR(VLOOKUP(DATA!#REF!,DATA!#REF!,1,FALSE),"")</f>
        <v/>
      </c>
      <c r="D2576" s="16" t="str">
        <f>IFERROR(VLOOKUP(C2576,DATA!#REF!,2,FALSE),"")</f>
        <v/>
      </c>
    </row>
    <row r="2577" spans="3:4" s="237" customFormat="1">
      <c r="C2577" s="16" t="str">
        <f>IFERROR(VLOOKUP(DATA!#REF!,DATA!#REF!,1,FALSE),"")</f>
        <v/>
      </c>
      <c r="D2577" s="16" t="str">
        <f>IFERROR(VLOOKUP(C2577,DATA!#REF!,2,FALSE),"")</f>
        <v/>
      </c>
    </row>
    <row r="2578" spans="3:4" s="237" customFormat="1">
      <c r="C2578" s="16" t="str">
        <f>IFERROR(VLOOKUP(DATA!#REF!,DATA!#REF!,1,FALSE),"")</f>
        <v/>
      </c>
      <c r="D2578" s="16" t="str">
        <f>IFERROR(VLOOKUP(C2578,DATA!#REF!,2,FALSE),"")</f>
        <v/>
      </c>
    </row>
    <row r="2579" spans="3:4" s="237" customFormat="1">
      <c r="C2579" s="16" t="str">
        <f>IFERROR(VLOOKUP(DATA!#REF!,DATA!#REF!,1,FALSE),"")</f>
        <v/>
      </c>
      <c r="D2579" s="16" t="str">
        <f>IFERROR(VLOOKUP(C2579,DATA!#REF!,2,FALSE),"")</f>
        <v/>
      </c>
    </row>
    <row r="2580" spans="3:4" s="237" customFormat="1">
      <c r="C2580" s="16" t="str">
        <f>IFERROR(VLOOKUP(DATA!#REF!,DATA!#REF!,1,FALSE),"")</f>
        <v/>
      </c>
      <c r="D2580" s="16" t="str">
        <f>IFERROR(VLOOKUP(C2580,DATA!#REF!,2,FALSE),"")</f>
        <v/>
      </c>
    </row>
    <row r="2581" spans="3:4" s="237" customFormat="1">
      <c r="C2581" s="16" t="str">
        <f>IFERROR(VLOOKUP(DATA!#REF!,DATA!#REF!,1,FALSE),"")</f>
        <v/>
      </c>
      <c r="D2581" s="16" t="str">
        <f>IFERROR(VLOOKUP(C2581,DATA!#REF!,2,FALSE),"")</f>
        <v/>
      </c>
    </row>
    <row r="2582" spans="3:4" s="237" customFormat="1">
      <c r="C2582" s="16" t="str">
        <f>IFERROR(VLOOKUP(DATA!#REF!,DATA!#REF!,1,FALSE),"")</f>
        <v/>
      </c>
      <c r="D2582" s="16" t="str">
        <f>IFERROR(VLOOKUP(C2582,DATA!#REF!,2,FALSE),"")</f>
        <v/>
      </c>
    </row>
    <row r="2583" spans="3:4" s="237" customFormat="1">
      <c r="C2583" s="16" t="str">
        <f>IFERROR(VLOOKUP(DATA!#REF!,DATA!#REF!,1,FALSE),"")</f>
        <v/>
      </c>
      <c r="D2583" s="16" t="str">
        <f>IFERROR(VLOOKUP(C2583,DATA!#REF!,2,FALSE),"")</f>
        <v/>
      </c>
    </row>
    <row r="2584" spans="3:4" s="237" customFormat="1">
      <c r="C2584" s="16" t="str">
        <f>IFERROR(VLOOKUP(DATA!#REF!,DATA!#REF!,1,FALSE),"")</f>
        <v/>
      </c>
      <c r="D2584" s="16" t="str">
        <f>IFERROR(VLOOKUP(C2584,DATA!#REF!,2,FALSE),"")</f>
        <v/>
      </c>
    </row>
    <row r="2585" spans="3:4" s="237" customFormat="1">
      <c r="C2585" s="16" t="str">
        <f>IFERROR(VLOOKUP(DATA!#REF!,DATA!#REF!,1,FALSE),"")</f>
        <v/>
      </c>
      <c r="D2585" s="16" t="str">
        <f>IFERROR(VLOOKUP(C2585,DATA!#REF!,2,FALSE),"")</f>
        <v/>
      </c>
    </row>
    <row r="2586" spans="3:4" s="237" customFormat="1">
      <c r="C2586" s="16" t="str">
        <f>IFERROR(VLOOKUP(DATA!#REF!,DATA!#REF!,1,FALSE),"")</f>
        <v/>
      </c>
      <c r="D2586" s="16" t="str">
        <f>IFERROR(VLOOKUP(C2586,DATA!#REF!,2,FALSE),"")</f>
        <v/>
      </c>
    </row>
    <row r="2587" spans="3:4" s="237" customFormat="1">
      <c r="C2587" s="16" t="str">
        <f>IFERROR(VLOOKUP(DATA!#REF!,DATA!#REF!,1,FALSE),"")</f>
        <v/>
      </c>
      <c r="D2587" s="16" t="str">
        <f>IFERROR(VLOOKUP(C2587,DATA!#REF!,2,FALSE),"")</f>
        <v/>
      </c>
    </row>
    <row r="2588" spans="3:4" s="237" customFormat="1">
      <c r="C2588" s="16" t="str">
        <f>IFERROR(VLOOKUP(DATA!#REF!,DATA!#REF!,1,FALSE),"")</f>
        <v/>
      </c>
      <c r="D2588" s="16" t="str">
        <f>IFERROR(VLOOKUP(C2588,DATA!#REF!,2,FALSE),"")</f>
        <v/>
      </c>
    </row>
    <row r="2589" spans="3:4" s="237" customFormat="1">
      <c r="C2589" s="16" t="str">
        <f>IFERROR(VLOOKUP(DATA!#REF!,DATA!#REF!,1,FALSE),"")</f>
        <v/>
      </c>
      <c r="D2589" s="16" t="str">
        <f>IFERROR(VLOOKUP(C2589,DATA!#REF!,2,FALSE),"")</f>
        <v/>
      </c>
    </row>
    <row r="2590" spans="3:4" s="237" customFormat="1">
      <c r="C2590" s="16" t="str">
        <f>IFERROR(VLOOKUP(DATA!#REF!,DATA!#REF!,1,FALSE),"")</f>
        <v/>
      </c>
      <c r="D2590" s="16" t="str">
        <f>IFERROR(VLOOKUP(C2590,DATA!#REF!,2,FALSE),"")</f>
        <v/>
      </c>
    </row>
    <row r="2591" spans="3:4" s="237" customFormat="1">
      <c r="C2591" s="16" t="str">
        <f>IFERROR(VLOOKUP(DATA!#REF!,DATA!#REF!,1,FALSE),"")</f>
        <v/>
      </c>
      <c r="D2591" s="16" t="str">
        <f>IFERROR(VLOOKUP(C2591,DATA!#REF!,2,FALSE),"")</f>
        <v/>
      </c>
    </row>
    <row r="2592" spans="3:4" s="237" customFormat="1">
      <c r="C2592" s="16" t="str">
        <f>IFERROR(VLOOKUP(DATA!#REF!,DATA!#REF!,1,FALSE),"")</f>
        <v/>
      </c>
      <c r="D2592" s="16" t="str">
        <f>IFERROR(VLOOKUP(C2592,DATA!#REF!,2,FALSE),"")</f>
        <v/>
      </c>
    </row>
    <row r="2593" spans="3:4" s="237" customFormat="1">
      <c r="C2593" s="16" t="str">
        <f>IFERROR(VLOOKUP(DATA!#REF!,DATA!#REF!,1,FALSE),"")</f>
        <v/>
      </c>
      <c r="D2593" s="16" t="str">
        <f>IFERROR(VLOOKUP(C2593,DATA!#REF!,2,FALSE),"")</f>
        <v/>
      </c>
    </row>
    <row r="2594" spans="3:4" s="237" customFormat="1">
      <c r="C2594" s="16" t="str">
        <f>IFERROR(VLOOKUP(DATA!#REF!,DATA!#REF!,1,FALSE),"")</f>
        <v/>
      </c>
      <c r="D2594" s="16" t="str">
        <f>IFERROR(VLOOKUP(C2594,DATA!#REF!,2,FALSE),"")</f>
        <v/>
      </c>
    </row>
    <row r="2595" spans="3:4" s="237" customFormat="1">
      <c r="C2595" s="16" t="str">
        <f>IFERROR(VLOOKUP(DATA!#REF!,DATA!#REF!,1,FALSE),"")</f>
        <v/>
      </c>
      <c r="D2595" s="16" t="str">
        <f>IFERROR(VLOOKUP(C2595,DATA!#REF!,2,FALSE),"")</f>
        <v/>
      </c>
    </row>
    <row r="2596" spans="3:4" s="237" customFormat="1">
      <c r="C2596" s="16" t="str">
        <f>IFERROR(VLOOKUP(DATA!#REF!,DATA!#REF!,1,FALSE),"")</f>
        <v/>
      </c>
      <c r="D2596" s="16" t="str">
        <f>IFERROR(VLOOKUP(C2596,DATA!#REF!,2,FALSE),"")</f>
        <v/>
      </c>
    </row>
    <row r="2597" spans="3:4" s="237" customFormat="1">
      <c r="C2597" s="16" t="str">
        <f>IFERROR(VLOOKUP(DATA!#REF!,DATA!#REF!,1,FALSE),"")</f>
        <v/>
      </c>
      <c r="D2597" s="16" t="str">
        <f>IFERROR(VLOOKUP(C2597,DATA!#REF!,2,FALSE),"")</f>
        <v/>
      </c>
    </row>
    <row r="2598" spans="3:4" s="237" customFormat="1">
      <c r="C2598" s="16" t="str">
        <f>IFERROR(VLOOKUP(DATA!#REF!,DATA!#REF!,1,FALSE),"")</f>
        <v/>
      </c>
      <c r="D2598" s="16" t="str">
        <f>IFERROR(VLOOKUP(C2598,DATA!#REF!,2,FALSE),"")</f>
        <v/>
      </c>
    </row>
    <row r="2599" spans="3:4" s="237" customFormat="1">
      <c r="C2599" s="16" t="str">
        <f>IFERROR(VLOOKUP(DATA!#REF!,DATA!#REF!,1,FALSE),"")</f>
        <v/>
      </c>
      <c r="D2599" s="16" t="str">
        <f>IFERROR(VLOOKUP(C2599,DATA!#REF!,2,FALSE),"")</f>
        <v/>
      </c>
    </row>
    <row r="2600" spans="3:4" s="237" customFormat="1">
      <c r="C2600" s="16" t="str">
        <f>IFERROR(VLOOKUP(DATA!#REF!,DATA!#REF!,1,FALSE),"")</f>
        <v/>
      </c>
      <c r="D2600" s="16" t="str">
        <f>IFERROR(VLOOKUP(C2600,DATA!#REF!,2,FALSE),"")</f>
        <v/>
      </c>
    </row>
    <row r="2601" spans="3:4" s="237" customFormat="1">
      <c r="C2601" s="16" t="str">
        <f>IFERROR(VLOOKUP(DATA!#REF!,DATA!#REF!,1,FALSE),"")</f>
        <v/>
      </c>
      <c r="D2601" s="16" t="str">
        <f>IFERROR(VLOOKUP(C2601,DATA!#REF!,2,FALSE),"")</f>
        <v/>
      </c>
    </row>
    <row r="2602" spans="3:4" s="237" customFormat="1">
      <c r="C2602" s="16" t="str">
        <f>IFERROR(VLOOKUP(DATA!#REF!,DATA!#REF!,1,FALSE),"")</f>
        <v/>
      </c>
      <c r="D2602" s="16" t="str">
        <f>IFERROR(VLOOKUP(C2602,DATA!#REF!,2,FALSE),"")</f>
        <v/>
      </c>
    </row>
    <row r="2603" spans="3:4" s="237" customFormat="1">
      <c r="C2603" s="16" t="str">
        <f>IFERROR(VLOOKUP(DATA!#REF!,DATA!#REF!,1,FALSE),"")</f>
        <v/>
      </c>
      <c r="D2603" s="16" t="str">
        <f>IFERROR(VLOOKUP(C2603,DATA!#REF!,2,FALSE),"")</f>
        <v/>
      </c>
    </row>
    <row r="2604" spans="3:4" s="237" customFormat="1">
      <c r="C2604" s="16" t="str">
        <f>IFERROR(VLOOKUP(DATA!#REF!,DATA!#REF!,1,FALSE),"")</f>
        <v/>
      </c>
      <c r="D2604" s="16" t="str">
        <f>IFERROR(VLOOKUP(C2604,DATA!#REF!,2,FALSE),"")</f>
        <v/>
      </c>
    </row>
    <row r="2605" spans="3:4" s="237" customFormat="1">
      <c r="C2605" s="16" t="str">
        <f>IFERROR(VLOOKUP(DATA!#REF!,DATA!#REF!,1,FALSE),"")</f>
        <v/>
      </c>
      <c r="D2605" s="16" t="str">
        <f>IFERROR(VLOOKUP(C2605,DATA!#REF!,2,FALSE),"")</f>
        <v/>
      </c>
    </row>
    <row r="2606" spans="3:4" s="237" customFormat="1">
      <c r="C2606" s="16" t="str">
        <f>IFERROR(VLOOKUP(DATA!#REF!,DATA!#REF!,1,FALSE),"")</f>
        <v/>
      </c>
      <c r="D2606" s="16" t="str">
        <f>IFERROR(VLOOKUP(C2606,DATA!#REF!,2,FALSE),"")</f>
        <v/>
      </c>
    </row>
    <row r="2607" spans="3:4" s="237" customFormat="1">
      <c r="C2607" s="16" t="str">
        <f>IFERROR(VLOOKUP(DATA!#REF!,DATA!#REF!,1,FALSE),"")</f>
        <v/>
      </c>
      <c r="D2607" s="16" t="str">
        <f>IFERROR(VLOOKUP(C2607,DATA!#REF!,2,FALSE),"")</f>
        <v/>
      </c>
    </row>
    <row r="2608" spans="3:4" s="237" customFormat="1">
      <c r="C2608" s="16" t="str">
        <f>IFERROR(VLOOKUP(DATA!#REF!,DATA!#REF!,1,FALSE),"")</f>
        <v/>
      </c>
      <c r="D2608" s="16" t="str">
        <f>IFERROR(VLOOKUP(C2608,DATA!#REF!,2,FALSE),"")</f>
        <v/>
      </c>
    </row>
    <row r="2609" spans="3:4" s="237" customFormat="1">
      <c r="C2609" s="16" t="str">
        <f>IFERROR(VLOOKUP(DATA!#REF!,DATA!#REF!,1,FALSE),"")</f>
        <v/>
      </c>
      <c r="D2609" s="16" t="str">
        <f>IFERROR(VLOOKUP(C2609,DATA!#REF!,2,FALSE),"")</f>
        <v/>
      </c>
    </row>
    <row r="2610" spans="3:4" s="237" customFormat="1">
      <c r="C2610" s="16" t="str">
        <f>IFERROR(VLOOKUP(DATA!#REF!,DATA!#REF!,1,FALSE),"")</f>
        <v/>
      </c>
      <c r="D2610" s="16" t="str">
        <f>IFERROR(VLOOKUP(C2610,DATA!#REF!,2,FALSE),"")</f>
        <v/>
      </c>
    </row>
    <row r="2611" spans="3:4" s="237" customFormat="1">
      <c r="C2611" s="16" t="str">
        <f>IFERROR(VLOOKUP(DATA!#REF!,DATA!#REF!,1,FALSE),"")</f>
        <v/>
      </c>
      <c r="D2611" s="16" t="str">
        <f>IFERROR(VLOOKUP(C2611,DATA!#REF!,2,FALSE),"")</f>
        <v/>
      </c>
    </row>
    <row r="2612" spans="3:4" s="237" customFormat="1">
      <c r="C2612" s="16" t="str">
        <f>IFERROR(VLOOKUP(DATA!#REF!,DATA!#REF!,1,FALSE),"")</f>
        <v/>
      </c>
      <c r="D2612" s="16" t="str">
        <f>IFERROR(VLOOKUP(C2612,DATA!#REF!,2,FALSE),"")</f>
        <v/>
      </c>
    </row>
    <row r="2613" spans="3:4" s="237" customFormat="1">
      <c r="C2613" s="16" t="str">
        <f>IFERROR(VLOOKUP(DATA!#REF!,DATA!#REF!,1,FALSE),"")</f>
        <v/>
      </c>
      <c r="D2613" s="16" t="str">
        <f>IFERROR(VLOOKUP(C2613,DATA!#REF!,2,FALSE),"")</f>
        <v/>
      </c>
    </row>
    <row r="2614" spans="3:4" s="237" customFormat="1">
      <c r="C2614" s="16" t="str">
        <f>IFERROR(VLOOKUP(DATA!#REF!,DATA!#REF!,1,FALSE),"")</f>
        <v/>
      </c>
      <c r="D2614" s="16" t="str">
        <f>IFERROR(VLOOKUP(C2614,DATA!#REF!,2,FALSE),"")</f>
        <v/>
      </c>
    </row>
    <row r="2615" spans="3:4" s="237" customFormat="1">
      <c r="C2615" s="16" t="str">
        <f>IFERROR(VLOOKUP(DATA!#REF!,DATA!#REF!,1,FALSE),"")</f>
        <v/>
      </c>
      <c r="D2615" s="16" t="str">
        <f>IFERROR(VLOOKUP(C2615,DATA!#REF!,2,FALSE),"")</f>
        <v/>
      </c>
    </row>
    <row r="2616" spans="3:4" s="237" customFormat="1">
      <c r="C2616" s="16" t="str">
        <f>IFERROR(VLOOKUP(DATA!#REF!,DATA!#REF!,1,FALSE),"")</f>
        <v/>
      </c>
      <c r="D2616" s="16" t="str">
        <f>IFERROR(VLOOKUP(C2616,DATA!#REF!,2,FALSE),"")</f>
        <v/>
      </c>
    </row>
    <row r="2617" spans="3:4" s="237" customFormat="1">
      <c r="C2617" s="16" t="str">
        <f>IFERROR(VLOOKUP(DATA!#REF!,DATA!#REF!,1,FALSE),"")</f>
        <v/>
      </c>
      <c r="D2617" s="16" t="str">
        <f>IFERROR(VLOOKUP(C2617,DATA!#REF!,2,FALSE),"")</f>
        <v/>
      </c>
    </row>
    <row r="2618" spans="3:4" s="237" customFormat="1">
      <c r="C2618" s="16" t="str">
        <f>IFERROR(VLOOKUP(DATA!#REF!,DATA!#REF!,1,FALSE),"")</f>
        <v/>
      </c>
      <c r="D2618" s="16" t="str">
        <f>IFERROR(VLOOKUP(C2618,DATA!#REF!,2,FALSE),"")</f>
        <v/>
      </c>
    </row>
    <row r="2619" spans="3:4" s="237" customFormat="1">
      <c r="C2619" s="16" t="str">
        <f>IFERROR(VLOOKUP(DATA!#REF!,DATA!#REF!,1,FALSE),"")</f>
        <v/>
      </c>
      <c r="D2619" s="16" t="str">
        <f>IFERROR(VLOOKUP(C2619,DATA!#REF!,2,FALSE),"")</f>
        <v/>
      </c>
    </row>
    <row r="2620" spans="3:4" s="237" customFormat="1">
      <c r="C2620" s="16" t="str">
        <f>IFERROR(VLOOKUP(DATA!#REF!,DATA!#REF!,1,FALSE),"")</f>
        <v/>
      </c>
      <c r="D2620" s="16" t="str">
        <f>IFERROR(VLOOKUP(C2620,DATA!#REF!,2,FALSE),"")</f>
        <v/>
      </c>
    </row>
    <row r="2621" spans="3:4" s="237" customFormat="1">
      <c r="C2621" s="16" t="str">
        <f>IFERROR(VLOOKUP(DATA!#REF!,DATA!#REF!,1,FALSE),"")</f>
        <v/>
      </c>
      <c r="D2621" s="16" t="str">
        <f>IFERROR(VLOOKUP(C2621,DATA!#REF!,2,FALSE),"")</f>
        <v/>
      </c>
    </row>
    <row r="2622" spans="3:4" s="237" customFormat="1">
      <c r="C2622" s="16" t="str">
        <f>IFERROR(VLOOKUP(DATA!#REF!,DATA!#REF!,1,FALSE),"")</f>
        <v/>
      </c>
      <c r="D2622" s="16" t="str">
        <f>IFERROR(VLOOKUP(C2622,DATA!#REF!,2,FALSE),"")</f>
        <v/>
      </c>
    </row>
    <row r="2623" spans="3:4" s="237" customFormat="1">
      <c r="C2623" s="16" t="str">
        <f>IFERROR(VLOOKUP(DATA!#REF!,DATA!#REF!,1,FALSE),"")</f>
        <v/>
      </c>
      <c r="D2623" s="16" t="str">
        <f>IFERROR(VLOOKUP(C2623,DATA!#REF!,2,FALSE),"")</f>
        <v/>
      </c>
    </row>
    <row r="2624" spans="3:4" s="237" customFormat="1">
      <c r="C2624" s="16" t="str">
        <f>IFERROR(VLOOKUP(DATA!#REF!,DATA!#REF!,1,FALSE),"")</f>
        <v/>
      </c>
      <c r="D2624" s="16" t="str">
        <f>IFERROR(VLOOKUP(C2624,DATA!#REF!,2,FALSE),"")</f>
        <v/>
      </c>
    </row>
    <row r="2625" spans="3:4" s="237" customFormat="1">
      <c r="C2625" s="16" t="str">
        <f>IFERROR(VLOOKUP(DATA!#REF!,DATA!#REF!,1,FALSE),"")</f>
        <v/>
      </c>
      <c r="D2625" s="16" t="str">
        <f>IFERROR(VLOOKUP(C2625,DATA!#REF!,2,FALSE),"")</f>
        <v/>
      </c>
    </row>
    <row r="2626" spans="3:4" s="237" customFormat="1">
      <c r="C2626" s="16" t="str">
        <f>IFERROR(VLOOKUP(DATA!#REF!,DATA!#REF!,1,FALSE),"")</f>
        <v/>
      </c>
      <c r="D2626" s="16" t="str">
        <f>IFERROR(VLOOKUP(C2626,DATA!#REF!,2,FALSE),"")</f>
        <v/>
      </c>
    </row>
    <row r="2627" spans="3:4" s="237" customFormat="1">
      <c r="C2627" s="16" t="str">
        <f>IFERROR(VLOOKUP(DATA!#REF!,DATA!#REF!,1,FALSE),"")</f>
        <v/>
      </c>
      <c r="D2627" s="16" t="str">
        <f>IFERROR(VLOOKUP(C2627,DATA!#REF!,2,FALSE),"")</f>
        <v/>
      </c>
    </row>
    <row r="2628" spans="3:4" s="237" customFormat="1">
      <c r="C2628" s="16" t="str">
        <f>IFERROR(VLOOKUP(DATA!#REF!,DATA!#REF!,1,FALSE),"")</f>
        <v/>
      </c>
      <c r="D2628" s="16" t="str">
        <f>IFERROR(VLOOKUP(C2628,DATA!#REF!,2,FALSE),"")</f>
        <v/>
      </c>
    </row>
    <row r="2629" spans="3:4" s="237" customFormat="1">
      <c r="C2629" s="16" t="str">
        <f>IFERROR(VLOOKUP(DATA!#REF!,DATA!#REF!,1,FALSE),"")</f>
        <v/>
      </c>
      <c r="D2629" s="16" t="str">
        <f>IFERROR(VLOOKUP(C2629,DATA!#REF!,2,FALSE),"")</f>
        <v/>
      </c>
    </row>
    <row r="2630" spans="3:4" s="237" customFormat="1">
      <c r="C2630" s="16" t="str">
        <f>IFERROR(VLOOKUP(DATA!#REF!,DATA!#REF!,1,FALSE),"")</f>
        <v/>
      </c>
      <c r="D2630" s="16" t="str">
        <f>IFERROR(VLOOKUP(C2630,DATA!#REF!,2,FALSE),"")</f>
        <v/>
      </c>
    </row>
    <row r="2631" spans="3:4" s="237" customFormat="1">
      <c r="C2631" s="16" t="str">
        <f>IFERROR(VLOOKUP(DATA!#REF!,DATA!#REF!,1,FALSE),"")</f>
        <v/>
      </c>
      <c r="D2631" s="16" t="str">
        <f>IFERROR(VLOOKUP(C2631,DATA!#REF!,2,FALSE),"")</f>
        <v/>
      </c>
    </row>
    <row r="2632" spans="3:4" s="237" customFormat="1">
      <c r="C2632" s="16" t="str">
        <f>IFERROR(VLOOKUP(DATA!#REF!,DATA!#REF!,1,FALSE),"")</f>
        <v/>
      </c>
      <c r="D2632" s="16" t="str">
        <f>IFERROR(VLOOKUP(C2632,DATA!#REF!,2,FALSE),"")</f>
        <v/>
      </c>
    </row>
    <row r="2633" spans="3:4" s="237" customFormat="1">
      <c r="C2633" s="16" t="str">
        <f>IFERROR(VLOOKUP(DATA!#REF!,DATA!#REF!,1,FALSE),"")</f>
        <v/>
      </c>
      <c r="D2633" s="16" t="str">
        <f>IFERROR(VLOOKUP(C2633,DATA!#REF!,2,FALSE),"")</f>
        <v/>
      </c>
    </row>
    <row r="2634" spans="3:4" s="237" customFormat="1">
      <c r="C2634" s="16" t="str">
        <f>IFERROR(VLOOKUP(DATA!#REF!,DATA!#REF!,1,FALSE),"")</f>
        <v/>
      </c>
      <c r="D2634" s="16" t="str">
        <f>IFERROR(VLOOKUP(C2634,DATA!#REF!,2,FALSE),"")</f>
        <v/>
      </c>
    </row>
    <row r="2635" spans="3:4" s="237" customFormat="1">
      <c r="C2635" s="16" t="str">
        <f>IFERROR(VLOOKUP(DATA!#REF!,DATA!#REF!,1,FALSE),"")</f>
        <v/>
      </c>
      <c r="D2635" s="16" t="str">
        <f>IFERROR(VLOOKUP(C2635,DATA!#REF!,2,FALSE),"")</f>
        <v/>
      </c>
    </row>
    <row r="2636" spans="3:4" s="237" customFormat="1">
      <c r="C2636" s="16" t="str">
        <f>IFERROR(VLOOKUP(DATA!#REF!,DATA!#REF!,1,FALSE),"")</f>
        <v/>
      </c>
      <c r="D2636" s="16" t="str">
        <f>IFERROR(VLOOKUP(C2636,DATA!#REF!,2,FALSE),"")</f>
        <v/>
      </c>
    </row>
    <row r="2637" spans="3:4" s="237" customFormat="1">
      <c r="C2637" s="16" t="str">
        <f>IFERROR(VLOOKUP(DATA!#REF!,DATA!#REF!,1,FALSE),"")</f>
        <v/>
      </c>
      <c r="D2637" s="16" t="str">
        <f>IFERROR(VLOOKUP(C2637,DATA!#REF!,2,FALSE),"")</f>
        <v/>
      </c>
    </row>
    <row r="2638" spans="3:4" s="237" customFormat="1">
      <c r="C2638" s="16" t="str">
        <f>IFERROR(VLOOKUP(DATA!#REF!,DATA!#REF!,1,FALSE),"")</f>
        <v/>
      </c>
      <c r="D2638" s="16" t="str">
        <f>IFERROR(VLOOKUP(C2638,DATA!#REF!,2,FALSE),"")</f>
        <v/>
      </c>
    </row>
    <row r="2639" spans="3:4" s="237" customFormat="1">
      <c r="C2639" s="16" t="str">
        <f>IFERROR(VLOOKUP(DATA!#REF!,DATA!#REF!,1,FALSE),"")</f>
        <v/>
      </c>
      <c r="D2639" s="16" t="str">
        <f>IFERROR(VLOOKUP(C2639,DATA!#REF!,2,FALSE),"")</f>
        <v/>
      </c>
    </row>
    <row r="2640" spans="3:4" s="237" customFormat="1">
      <c r="C2640" s="16" t="str">
        <f>IFERROR(VLOOKUP(DATA!#REF!,DATA!#REF!,1,FALSE),"")</f>
        <v/>
      </c>
      <c r="D2640" s="16" t="str">
        <f>IFERROR(VLOOKUP(C2640,DATA!#REF!,2,FALSE),"")</f>
        <v/>
      </c>
    </row>
    <row r="2641" spans="3:4" s="237" customFormat="1">
      <c r="C2641" s="16" t="str">
        <f>IFERROR(VLOOKUP(DATA!#REF!,DATA!#REF!,1,FALSE),"")</f>
        <v/>
      </c>
      <c r="D2641" s="16" t="str">
        <f>IFERROR(VLOOKUP(C2641,DATA!#REF!,2,FALSE),"")</f>
        <v/>
      </c>
    </row>
    <row r="2642" spans="3:4" s="237" customFormat="1">
      <c r="C2642" s="16" t="str">
        <f>IFERROR(VLOOKUP(DATA!#REF!,DATA!#REF!,1,FALSE),"")</f>
        <v/>
      </c>
      <c r="D2642" s="16" t="str">
        <f>IFERROR(VLOOKUP(C2642,DATA!#REF!,2,FALSE),"")</f>
        <v/>
      </c>
    </row>
    <row r="2643" spans="3:4" s="237" customFormat="1">
      <c r="C2643" s="16" t="str">
        <f>IFERROR(VLOOKUP(DATA!#REF!,DATA!#REF!,1,FALSE),"")</f>
        <v/>
      </c>
      <c r="D2643" s="16" t="str">
        <f>IFERROR(VLOOKUP(C2643,DATA!#REF!,2,FALSE),"")</f>
        <v/>
      </c>
    </row>
    <row r="2644" spans="3:4" s="237" customFormat="1">
      <c r="C2644" s="16" t="str">
        <f>IFERROR(VLOOKUP(DATA!#REF!,DATA!#REF!,1,FALSE),"")</f>
        <v/>
      </c>
      <c r="D2644" s="16" t="str">
        <f>IFERROR(VLOOKUP(C2644,DATA!#REF!,2,FALSE),"")</f>
        <v/>
      </c>
    </row>
    <row r="2645" spans="3:4" s="237" customFormat="1">
      <c r="C2645" s="16" t="str">
        <f>IFERROR(VLOOKUP(DATA!#REF!,DATA!#REF!,1,FALSE),"")</f>
        <v/>
      </c>
      <c r="D2645" s="16" t="str">
        <f>IFERROR(VLOOKUP(C2645,DATA!#REF!,2,FALSE),"")</f>
        <v/>
      </c>
    </row>
    <row r="2646" spans="3:4" s="237" customFormat="1">
      <c r="C2646" s="16" t="str">
        <f>IFERROR(VLOOKUP(DATA!#REF!,DATA!#REF!,1,FALSE),"")</f>
        <v/>
      </c>
      <c r="D2646" s="16" t="str">
        <f>IFERROR(VLOOKUP(C2646,DATA!#REF!,2,FALSE),"")</f>
        <v/>
      </c>
    </row>
    <row r="2647" spans="3:4" s="237" customFormat="1">
      <c r="C2647" s="16" t="str">
        <f>IFERROR(VLOOKUP(DATA!#REF!,DATA!#REF!,1,FALSE),"")</f>
        <v/>
      </c>
      <c r="D2647" s="16" t="str">
        <f>IFERROR(VLOOKUP(C2647,DATA!#REF!,2,FALSE),"")</f>
        <v/>
      </c>
    </row>
    <row r="2648" spans="3:4" s="237" customFormat="1">
      <c r="C2648" s="16" t="str">
        <f>IFERROR(VLOOKUP(DATA!#REF!,DATA!#REF!,1,FALSE),"")</f>
        <v/>
      </c>
      <c r="D2648" s="16" t="str">
        <f>IFERROR(VLOOKUP(C2648,DATA!#REF!,2,FALSE),"")</f>
        <v/>
      </c>
    </row>
    <row r="2649" spans="3:4" s="237" customFormat="1">
      <c r="C2649" s="16" t="str">
        <f>IFERROR(VLOOKUP(DATA!#REF!,DATA!#REF!,1,FALSE),"")</f>
        <v/>
      </c>
      <c r="D2649" s="16" t="str">
        <f>IFERROR(VLOOKUP(C2649,DATA!#REF!,2,FALSE),"")</f>
        <v/>
      </c>
    </row>
    <row r="2650" spans="3:4" s="237" customFormat="1">
      <c r="C2650" s="16" t="str">
        <f>IFERROR(VLOOKUP(DATA!#REF!,DATA!#REF!,1,FALSE),"")</f>
        <v/>
      </c>
      <c r="D2650" s="16" t="str">
        <f>IFERROR(VLOOKUP(C2650,DATA!#REF!,2,FALSE),"")</f>
        <v/>
      </c>
    </row>
    <row r="2651" spans="3:4" s="237" customFormat="1">
      <c r="C2651" s="16" t="str">
        <f>IFERROR(VLOOKUP(DATA!#REF!,DATA!#REF!,1,FALSE),"")</f>
        <v/>
      </c>
      <c r="D2651" s="16" t="str">
        <f>IFERROR(VLOOKUP(C2651,DATA!#REF!,2,FALSE),"")</f>
        <v/>
      </c>
    </row>
    <row r="2652" spans="3:4" s="237" customFormat="1">
      <c r="C2652" s="16" t="str">
        <f>IFERROR(VLOOKUP(DATA!#REF!,DATA!#REF!,1,FALSE),"")</f>
        <v/>
      </c>
      <c r="D2652" s="16" t="str">
        <f>IFERROR(VLOOKUP(C2652,DATA!#REF!,2,FALSE),"")</f>
        <v/>
      </c>
    </row>
    <row r="2653" spans="3:4" s="237" customFormat="1">
      <c r="C2653" s="16" t="str">
        <f>IFERROR(VLOOKUP(DATA!#REF!,DATA!#REF!,1,FALSE),"")</f>
        <v/>
      </c>
      <c r="D2653" s="16" t="str">
        <f>IFERROR(VLOOKUP(C2653,DATA!#REF!,2,FALSE),"")</f>
        <v/>
      </c>
    </row>
    <row r="2654" spans="3:4" s="237" customFormat="1">
      <c r="C2654" s="16" t="str">
        <f>IFERROR(VLOOKUP(DATA!#REF!,DATA!#REF!,1,FALSE),"")</f>
        <v/>
      </c>
      <c r="D2654" s="16" t="str">
        <f>IFERROR(VLOOKUP(C2654,DATA!#REF!,2,FALSE),"")</f>
        <v/>
      </c>
    </row>
    <row r="2655" spans="3:4" s="237" customFormat="1">
      <c r="C2655" s="16" t="str">
        <f>IFERROR(VLOOKUP(DATA!#REF!,DATA!#REF!,1,FALSE),"")</f>
        <v/>
      </c>
      <c r="D2655" s="16" t="str">
        <f>IFERROR(VLOOKUP(C2655,DATA!#REF!,2,FALSE),"")</f>
        <v/>
      </c>
    </row>
    <row r="2656" spans="3:4" s="237" customFormat="1">
      <c r="C2656" s="16" t="str">
        <f>IFERROR(VLOOKUP(DATA!#REF!,DATA!#REF!,1,FALSE),"")</f>
        <v/>
      </c>
      <c r="D2656" s="16" t="str">
        <f>IFERROR(VLOOKUP(C2656,DATA!#REF!,2,FALSE),"")</f>
        <v/>
      </c>
    </row>
    <row r="2657" spans="3:4" s="237" customFormat="1">
      <c r="C2657" s="16" t="str">
        <f>IFERROR(VLOOKUP(DATA!#REF!,DATA!#REF!,1,FALSE),"")</f>
        <v/>
      </c>
      <c r="D2657" s="16" t="str">
        <f>IFERROR(VLOOKUP(C2657,DATA!#REF!,2,FALSE),"")</f>
        <v/>
      </c>
    </row>
    <row r="2658" spans="3:4" s="237" customFormat="1">
      <c r="C2658" s="16" t="str">
        <f>IFERROR(VLOOKUP(DATA!#REF!,DATA!#REF!,1,FALSE),"")</f>
        <v/>
      </c>
      <c r="D2658" s="16" t="str">
        <f>IFERROR(VLOOKUP(C2658,DATA!#REF!,2,FALSE),"")</f>
        <v/>
      </c>
    </row>
    <row r="2659" spans="3:4" s="237" customFormat="1">
      <c r="C2659" s="16" t="str">
        <f>IFERROR(VLOOKUP(DATA!#REF!,DATA!#REF!,1,FALSE),"")</f>
        <v/>
      </c>
      <c r="D2659" s="16" t="str">
        <f>IFERROR(VLOOKUP(C2659,DATA!#REF!,2,FALSE),"")</f>
        <v/>
      </c>
    </row>
    <row r="2660" spans="3:4" s="237" customFormat="1">
      <c r="C2660" s="16" t="str">
        <f>IFERROR(VLOOKUP(DATA!#REF!,DATA!#REF!,1,FALSE),"")</f>
        <v/>
      </c>
      <c r="D2660" s="16" t="str">
        <f>IFERROR(VLOOKUP(C2660,DATA!#REF!,2,FALSE),"")</f>
        <v/>
      </c>
    </row>
    <row r="2661" spans="3:4" s="237" customFormat="1">
      <c r="C2661" s="16" t="str">
        <f>IFERROR(VLOOKUP(DATA!#REF!,DATA!#REF!,1,FALSE),"")</f>
        <v/>
      </c>
      <c r="D2661" s="16" t="str">
        <f>IFERROR(VLOOKUP(C2661,DATA!#REF!,2,FALSE),"")</f>
        <v/>
      </c>
    </row>
    <row r="2662" spans="3:4" s="237" customFormat="1">
      <c r="C2662" s="16" t="str">
        <f>IFERROR(VLOOKUP(DATA!#REF!,DATA!#REF!,1,FALSE),"")</f>
        <v/>
      </c>
      <c r="D2662" s="16" t="str">
        <f>IFERROR(VLOOKUP(C2662,DATA!#REF!,2,FALSE),"")</f>
        <v/>
      </c>
    </row>
    <row r="2663" spans="3:4" s="237" customFormat="1">
      <c r="C2663" s="16" t="str">
        <f>IFERROR(VLOOKUP(DATA!#REF!,DATA!#REF!,1,FALSE),"")</f>
        <v/>
      </c>
      <c r="D2663" s="16" t="str">
        <f>IFERROR(VLOOKUP(C2663,DATA!#REF!,2,FALSE),"")</f>
        <v/>
      </c>
    </row>
    <row r="2664" spans="3:4" s="237" customFormat="1">
      <c r="C2664" s="16" t="str">
        <f>IFERROR(VLOOKUP(DATA!#REF!,DATA!#REF!,1,FALSE),"")</f>
        <v/>
      </c>
      <c r="D2664" s="16" t="str">
        <f>IFERROR(VLOOKUP(C2664,DATA!#REF!,2,FALSE),"")</f>
        <v/>
      </c>
    </row>
    <row r="2665" spans="3:4" s="237" customFormat="1">
      <c r="C2665" s="16" t="str">
        <f>IFERROR(VLOOKUP(DATA!#REF!,DATA!#REF!,1,FALSE),"")</f>
        <v/>
      </c>
      <c r="D2665" s="16" t="str">
        <f>IFERROR(VLOOKUP(C2665,DATA!#REF!,2,FALSE),"")</f>
        <v/>
      </c>
    </row>
    <row r="2666" spans="3:4" s="237" customFormat="1">
      <c r="C2666" s="16" t="str">
        <f>IFERROR(VLOOKUP(DATA!#REF!,DATA!#REF!,1,FALSE),"")</f>
        <v/>
      </c>
      <c r="D2666" s="16" t="str">
        <f>IFERROR(VLOOKUP(C2666,DATA!#REF!,2,FALSE),"")</f>
        <v/>
      </c>
    </row>
    <row r="2667" spans="3:4" s="237" customFormat="1">
      <c r="C2667" s="16" t="str">
        <f>IFERROR(VLOOKUP(DATA!#REF!,DATA!#REF!,1,FALSE),"")</f>
        <v/>
      </c>
      <c r="D2667" s="16" t="str">
        <f>IFERROR(VLOOKUP(C2667,DATA!#REF!,2,FALSE),"")</f>
        <v/>
      </c>
    </row>
    <row r="2668" spans="3:4" s="237" customFormat="1">
      <c r="C2668" s="16" t="str">
        <f>IFERROR(VLOOKUP(DATA!#REF!,DATA!#REF!,1,FALSE),"")</f>
        <v/>
      </c>
      <c r="D2668" s="16" t="str">
        <f>IFERROR(VLOOKUP(C2668,DATA!#REF!,2,FALSE),"")</f>
        <v/>
      </c>
    </row>
    <row r="2669" spans="3:4" s="237" customFormat="1">
      <c r="C2669" s="16" t="str">
        <f>IFERROR(VLOOKUP(DATA!#REF!,DATA!#REF!,1,FALSE),"")</f>
        <v/>
      </c>
      <c r="D2669" s="16" t="str">
        <f>IFERROR(VLOOKUP(C2669,DATA!#REF!,2,FALSE),"")</f>
        <v/>
      </c>
    </row>
    <row r="2670" spans="3:4" s="237" customFormat="1">
      <c r="C2670" s="16" t="str">
        <f>IFERROR(VLOOKUP(DATA!#REF!,DATA!#REF!,1,FALSE),"")</f>
        <v/>
      </c>
      <c r="D2670" s="16" t="str">
        <f>IFERROR(VLOOKUP(C2670,DATA!#REF!,2,FALSE),"")</f>
        <v/>
      </c>
    </row>
    <row r="2671" spans="3:4" s="237" customFormat="1">
      <c r="C2671" s="16" t="str">
        <f>IFERROR(VLOOKUP(DATA!#REF!,DATA!#REF!,1,FALSE),"")</f>
        <v/>
      </c>
      <c r="D2671" s="16" t="str">
        <f>IFERROR(VLOOKUP(C2671,DATA!#REF!,2,FALSE),"")</f>
        <v/>
      </c>
    </row>
    <row r="2672" spans="3:4" s="237" customFormat="1">
      <c r="C2672" s="16" t="str">
        <f>IFERROR(VLOOKUP(DATA!#REF!,DATA!#REF!,1,FALSE),"")</f>
        <v/>
      </c>
      <c r="D2672" s="16" t="str">
        <f>IFERROR(VLOOKUP(C2672,DATA!#REF!,2,FALSE),"")</f>
        <v/>
      </c>
    </row>
    <row r="2673" spans="3:4" s="237" customFormat="1">
      <c r="C2673" s="16" t="str">
        <f>IFERROR(VLOOKUP(DATA!#REF!,DATA!#REF!,1,FALSE),"")</f>
        <v/>
      </c>
      <c r="D2673" s="16" t="str">
        <f>IFERROR(VLOOKUP(C2673,DATA!#REF!,2,FALSE),"")</f>
        <v/>
      </c>
    </row>
    <row r="2674" spans="3:4" s="237" customFormat="1">
      <c r="C2674" s="16" t="str">
        <f>IFERROR(VLOOKUP(DATA!#REF!,DATA!#REF!,1,FALSE),"")</f>
        <v/>
      </c>
      <c r="D2674" s="16" t="str">
        <f>IFERROR(VLOOKUP(C2674,DATA!#REF!,2,FALSE),"")</f>
        <v/>
      </c>
    </row>
    <row r="2675" spans="3:4" s="237" customFormat="1">
      <c r="C2675" s="16" t="str">
        <f>IFERROR(VLOOKUP(DATA!#REF!,DATA!#REF!,1,FALSE),"")</f>
        <v/>
      </c>
      <c r="D2675" s="16" t="str">
        <f>IFERROR(VLOOKUP(C2675,DATA!#REF!,2,FALSE),"")</f>
        <v/>
      </c>
    </row>
    <row r="2676" spans="3:4" s="237" customFormat="1">
      <c r="C2676" s="16" t="str">
        <f>IFERROR(VLOOKUP(DATA!#REF!,DATA!#REF!,1,FALSE),"")</f>
        <v/>
      </c>
      <c r="D2676" s="16" t="str">
        <f>IFERROR(VLOOKUP(C2676,DATA!#REF!,2,FALSE),"")</f>
        <v/>
      </c>
    </row>
    <row r="2677" spans="3:4" s="237" customFormat="1">
      <c r="C2677" s="16" t="str">
        <f>IFERROR(VLOOKUP(DATA!#REF!,DATA!#REF!,1,FALSE),"")</f>
        <v/>
      </c>
      <c r="D2677" s="16" t="str">
        <f>IFERROR(VLOOKUP(C2677,DATA!#REF!,2,FALSE),"")</f>
        <v/>
      </c>
    </row>
    <row r="2678" spans="3:4" s="237" customFormat="1">
      <c r="C2678" s="16" t="str">
        <f>IFERROR(VLOOKUP(DATA!#REF!,DATA!#REF!,1,FALSE),"")</f>
        <v/>
      </c>
      <c r="D2678" s="16" t="str">
        <f>IFERROR(VLOOKUP(C2678,DATA!#REF!,2,FALSE),"")</f>
        <v/>
      </c>
    </row>
    <row r="2679" spans="3:4" s="237" customFormat="1">
      <c r="C2679" s="16" t="str">
        <f>IFERROR(VLOOKUP(DATA!#REF!,DATA!#REF!,1,FALSE),"")</f>
        <v/>
      </c>
      <c r="D2679" s="16" t="str">
        <f>IFERROR(VLOOKUP(C2679,DATA!#REF!,2,FALSE),"")</f>
        <v/>
      </c>
    </row>
    <row r="2680" spans="3:4" s="237" customFormat="1">
      <c r="C2680" s="16" t="str">
        <f>IFERROR(VLOOKUP(DATA!#REF!,DATA!#REF!,1,FALSE),"")</f>
        <v/>
      </c>
      <c r="D2680" s="16" t="str">
        <f>IFERROR(VLOOKUP(C2680,DATA!#REF!,2,FALSE),"")</f>
        <v/>
      </c>
    </row>
    <row r="2681" spans="3:4" s="237" customFormat="1">
      <c r="C2681" s="16" t="str">
        <f>IFERROR(VLOOKUP(DATA!#REF!,DATA!#REF!,1,FALSE),"")</f>
        <v/>
      </c>
      <c r="D2681" s="16" t="str">
        <f>IFERROR(VLOOKUP(C2681,DATA!#REF!,2,FALSE),"")</f>
        <v/>
      </c>
    </row>
    <row r="2682" spans="3:4" s="237" customFormat="1">
      <c r="C2682" s="16" t="str">
        <f>IFERROR(VLOOKUP(DATA!#REF!,DATA!#REF!,1,FALSE),"")</f>
        <v/>
      </c>
      <c r="D2682" s="16" t="str">
        <f>IFERROR(VLOOKUP(C2682,DATA!#REF!,2,FALSE),"")</f>
        <v/>
      </c>
    </row>
    <row r="2683" spans="3:4" s="237" customFormat="1">
      <c r="C2683" s="16" t="str">
        <f>IFERROR(VLOOKUP(DATA!#REF!,DATA!#REF!,1,FALSE),"")</f>
        <v/>
      </c>
      <c r="D2683" s="16" t="str">
        <f>IFERROR(VLOOKUP(C2683,DATA!#REF!,2,FALSE),"")</f>
        <v/>
      </c>
    </row>
    <row r="2684" spans="3:4" s="237" customFormat="1">
      <c r="C2684" s="16" t="str">
        <f>IFERROR(VLOOKUP(DATA!#REF!,DATA!#REF!,1,FALSE),"")</f>
        <v/>
      </c>
      <c r="D2684" s="16" t="str">
        <f>IFERROR(VLOOKUP(C2684,DATA!#REF!,2,FALSE),"")</f>
        <v/>
      </c>
    </row>
    <row r="2685" spans="3:4" s="237" customFormat="1">
      <c r="C2685" s="16" t="str">
        <f>IFERROR(VLOOKUP(DATA!#REF!,DATA!#REF!,1,FALSE),"")</f>
        <v/>
      </c>
      <c r="D2685" s="16" t="str">
        <f>IFERROR(VLOOKUP(C2685,DATA!#REF!,2,FALSE),"")</f>
        <v/>
      </c>
    </row>
    <row r="2686" spans="3:4" s="237" customFormat="1">
      <c r="C2686" s="16" t="str">
        <f>IFERROR(VLOOKUP(DATA!#REF!,DATA!#REF!,1,FALSE),"")</f>
        <v/>
      </c>
      <c r="D2686" s="16" t="str">
        <f>IFERROR(VLOOKUP(C2686,DATA!#REF!,2,FALSE),"")</f>
        <v/>
      </c>
    </row>
    <row r="2687" spans="3:4" s="237" customFormat="1">
      <c r="C2687" s="16" t="str">
        <f>IFERROR(VLOOKUP(DATA!#REF!,DATA!#REF!,1,FALSE),"")</f>
        <v/>
      </c>
      <c r="D2687" s="16" t="str">
        <f>IFERROR(VLOOKUP(C2687,DATA!#REF!,2,FALSE),"")</f>
        <v/>
      </c>
    </row>
    <row r="2688" spans="3:4" s="237" customFormat="1">
      <c r="C2688" s="16" t="str">
        <f>IFERROR(VLOOKUP(DATA!#REF!,DATA!#REF!,1,FALSE),"")</f>
        <v/>
      </c>
      <c r="D2688" s="16" t="str">
        <f>IFERROR(VLOOKUP(C2688,DATA!#REF!,2,FALSE),"")</f>
        <v/>
      </c>
    </row>
    <row r="2689" spans="3:4" s="237" customFormat="1">
      <c r="C2689" s="16" t="str">
        <f>IFERROR(VLOOKUP(DATA!#REF!,DATA!#REF!,1,FALSE),"")</f>
        <v/>
      </c>
      <c r="D2689" s="16" t="str">
        <f>IFERROR(VLOOKUP(C2689,DATA!#REF!,2,FALSE),"")</f>
        <v/>
      </c>
    </row>
    <row r="2690" spans="3:4" s="237" customFormat="1">
      <c r="C2690" s="16" t="str">
        <f>IFERROR(VLOOKUP(DATA!#REF!,DATA!#REF!,1,FALSE),"")</f>
        <v/>
      </c>
      <c r="D2690" s="16" t="str">
        <f>IFERROR(VLOOKUP(C2690,DATA!#REF!,2,FALSE),"")</f>
        <v/>
      </c>
    </row>
    <row r="2691" spans="3:4" s="237" customFormat="1">
      <c r="C2691" s="16" t="str">
        <f>IFERROR(VLOOKUP(DATA!#REF!,DATA!#REF!,1,FALSE),"")</f>
        <v/>
      </c>
      <c r="D2691" s="16" t="str">
        <f>IFERROR(VLOOKUP(C2691,DATA!#REF!,2,FALSE),"")</f>
        <v/>
      </c>
    </row>
    <row r="2692" spans="3:4" s="237" customFormat="1">
      <c r="C2692" s="16" t="str">
        <f>IFERROR(VLOOKUP(DATA!#REF!,DATA!#REF!,1,FALSE),"")</f>
        <v/>
      </c>
      <c r="D2692" s="16" t="str">
        <f>IFERROR(VLOOKUP(C2692,DATA!#REF!,2,FALSE),"")</f>
        <v/>
      </c>
    </row>
    <row r="2693" spans="3:4" s="237" customFormat="1">
      <c r="C2693" s="16" t="str">
        <f>IFERROR(VLOOKUP(DATA!#REF!,DATA!#REF!,1,FALSE),"")</f>
        <v/>
      </c>
      <c r="D2693" s="16" t="str">
        <f>IFERROR(VLOOKUP(C2693,DATA!#REF!,2,FALSE),"")</f>
        <v/>
      </c>
    </row>
    <row r="2694" spans="3:4" s="237" customFormat="1">
      <c r="C2694" s="16" t="str">
        <f>IFERROR(VLOOKUP(DATA!#REF!,DATA!#REF!,1,FALSE),"")</f>
        <v/>
      </c>
      <c r="D2694" s="16" t="str">
        <f>IFERROR(VLOOKUP(C2694,DATA!#REF!,2,FALSE),"")</f>
        <v/>
      </c>
    </row>
    <row r="2695" spans="3:4" s="237" customFormat="1">
      <c r="C2695" s="16" t="str">
        <f>IFERROR(VLOOKUP(DATA!#REF!,DATA!#REF!,1,FALSE),"")</f>
        <v/>
      </c>
      <c r="D2695" s="16" t="str">
        <f>IFERROR(VLOOKUP(C2695,DATA!#REF!,2,FALSE),"")</f>
        <v/>
      </c>
    </row>
    <row r="2696" spans="3:4" s="237" customFormat="1">
      <c r="C2696" s="16" t="str">
        <f>IFERROR(VLOOKUP(DATA!#REF!,DATA!#REF!,1,FALSE),"")</f>
        <v/>
      </c>
      <c r="D2696" s="16" t="str">
        <f>IFERROR(VLOOKUP(C2696,DATA!#REF!,2,FALSE),"")</f>
        <v/>
      </c>
    </row>
    <row r="2697" spans="3:4" s="237" customFormat="1">
      <c r="C2697" s="16" t="str">
        <f>IFERROR(VLOOKUP(DATA!#REF!,DATA!#REF!,1,FALSE),"")</f>
        <v/>
      </c>
      <c r="D2697" s="16" t="str">
        <f>IFERROR(VLOOKUP(C2697,DATA!#REF!,2,FALSE),"")</f>
        <v/>
      </c>
    </row>
    <row r="2698" spans="3:4" s="237" customFormat="1">
      <c r="C2698" s="16" t="str">
        <f>IFERROR(VLOOKUP(DATA!#REF!,DATA!#REF!,1,FALSE),"")</f>
        <v/>
      </c>
      <c r="D2698" s="16" t="str">
        <f>IFERROR(VLOOKUP(C2698,DATA!#REF!,2,FALSE),"")</f>
        <v/>
      </c>
    </row>
    <row r="2699" spans="3:4" s="237" customFormat="1">
      <c r="C2699" s="16" t="str">
        <f>IFERROR(VLOOKUP(DATA!#REF!,DATA!#REF!,1,FALSE),"")</f>
        <v/>
      </c>
      <c r="D2699" s="16" t="str">
        <f>IFERROR(VLOOKUP(C2699,DATA!#REF!,2,FALSE),"")</f>
        <v/>
      </c>
    </row>
    <row r="2700" spans="3:4" s="237" customFormat="1">
      <c r="C2700" s="16" t="str">
        <f>IFERROR(VLOOKUP(DATA!#REF!,DATA!#REF!,1,FALSE),"")</f>
        <v/>
      </c>
      <c r="D2700" s="16" t="str">
        <f>IFERROR(VLOOKUP(C2700,DATA!#REF!,2,FALSE),"")</f>
        <v/>
      </c>
    </row>
    <row r="2701" spans="3:4" s="237" customFormat="1">
      <c r="C2701" s="16" t="str">
        <f>IFERROR(VLOOKUP(DATA!#REF!,DATA!#REF!,1,FALSE),"")</f>
        <v/>
      </c>
      <c r="D2701" s="16" t="str">
        <f>IFERROR(VLOOKUP(C2701,DATA!#REF!,2,FALSE),"")</f>
        <v/>
      </c>
    </row>
    <row r="2702" spans="3:4" s="237" customFormat="1">
      <c r="C2702" s="16" t="str">
        <f>IFERROR(VLOOKUP(DATA!#REF!,DATA!#REF!,1,FALSE),"")</f>
        <v/>
      </c>
      <c r="D2702" s="16" t="str">
        <f>IFERROR(VLOOKUP(C2702,DATA!#REF!,2,FALSE),"")</f>
        <v/>
      </c>
    </row>
    <row r="2703" spans="3:4" s="237" customFormat="1">
      <c r="C2703" s="16" t="str">
        <f>IFERROR(VLOOKUP(DATA!#REF!,DATA!#REF!,1,FALSE),"")</f>
        <v/>
      </c>
      <c r="D2703" s="16" t="str">
        <f>IFERROR(VLOOKUP(C2703,DATA!#REF!,2,FALSE),"")</f>
        <v/>
      </c>
    </row>
    <row r="2704" spans="3:4" s="237" customFormat="1">
      <c r="C2704" s="16" t="str">
        <f>IFERROR(VLOOKUP(DATA!#REF!,DATA!#REF!,1,FALSE),"")</f>
        <v/>
      </c>
      <c r="D2704" s="16" t="str">
        <f>IFERROR(VLOOKUP(C2704,DATA!#REF!,2,FALSE),"")</f>
        <v/>
      </c>
    </row>
    <row r="2705" spans="3:4" s="237" customFormat="1">
      <c r="C2705" s="16" t="str">
        <f>IFERROR(VLOOKUP(DATA!#REF!,DATA!#REF!,1,FALSE),"")</f>
        <v/>
      </c>
      <c r="D2705" s="16" t="str">
        <f>IFERROR(VLOOKUP(C2705,DATA!#REF!,2,FALSE),"")</f>
        <v/>
      </c>
    </row>
    <row r="2706" spans="3:4" s="237" customFormat="1">
      <c r="C2706" s="16" t="str">
        <f>IFERROR(VLOOKUP(DATA!#REF!,DATA!#REF!,1,FALSE),"")</f>
        <v/>
      </c>
      <c r="D2706" s="16" t="str">
        <f>IFERROR(VLOOKUP(C2706,DATA!#REF!,2,FALSE),"")</f>
        <v/>
      </c>
    </row>
    <row r="2707" spans="3:4" s="237" customFormat="1">
      <c r="C2707" s="16" t="str">
        <f>IFERROR(VLOOKUP(DATA!#REF!,DATA!#REF!,1,FALSE),"")</f>
        <v/>
      </c>
      <c r="D2707" s="16" t="str">
        <f>IFERROR(VLOOKUP(C2707,DATA!#REF!,2,FALSE),"")</f>
        <v/>
      </c>
    </row>
    <row r="2708" spans="3:4" s="237" customFormat="1">
      <c r="C2708" s="16" t="str">
        <f>IFERROR(VLOOKUP(DATA!#REF!,DATA!#REF!,1,FALSE),"")</f>
        <v/>
      </c>
      <c r="D2708" s="16" t="str">
        <f>IFERROR(VLOOKUP(C2708,DATA!#REF!,2,FALSE),"")</f>
        <v/>
      </c>
    </row>
    <row r="2709" spans="3:4" s="237" customFormat="1">
      <c r="C2709" s="16" t="str">
        <f>IFERROR(VLOOKUP(DATA!#REF!,DATA!#REF!,1,FALSE),"")</f>
        <v/>
      </c>
      <c r="D2709" s="16" t="str">
        <f>IFERROR(VLOOKUP(C2709,DATA!#REF!,2,FALSE),"")</f>
        <v/>
      </c>
    </row>
    <row r="2710" spans="3:4" s="237" customFormat="1">
      <c r="C2710" s="16" t="str">
        <f>IFERROR(VLOOKUP(DATA!#REF!,DATA!#REF!,1,FALSE),"")</f>
        <v/>
      </c>
      <c r="D2710" s="16" t="str">
        <f>IFERROR(VLOOKUP(C2710,DATA!#REF!,2,FALSE),"")</f>
        <v/>
      </c>
    </row>
    <row r="2711" spans="3:4" s="237" customFormat="1">
      <c r="C2711" s="16" t="str">
        <f>IFERROR(VLOOKUP(DATA!#REF!,DATA!#REF!,1,FALSE),"")</f>
        <v/>
      </c>
      <c r="D2711" s="16" t="str">
        <f>IFERROR(VLOOKUP(C2711,DATA!#REF!,2,FALSE),"")</f>
        <v/>
      </c>
    </row>
    <row r="2712" spans="3:4" s="237" customFormat="1">
      <c r="C2712" s="16" t="str">
        <f>IFERROR(VLOOKUP(DATA!#REF!,DATA!#REF!,1,FALSE),"")</f>
        <v/>
      </c>
      <c r="D2712" s="16" t="str">
        <f>IFERROR(VLOOKUP(C2712,DATA!#REF!,2,FALSE),"")</f>
        <v/>
      </c>
    </row>
    <row r="2713" spans="3:4" s="237" customFormat="1">
      <c r="C2713" s="16" t="str">
        <f>IFERROR(VLOOKUP(DATA!#REF!,DATA!#REF!,1,FALSE),"")</f>
        <v/>
      </c>
      <c r="D2713" s="16" t="str">
        <f>IFERROR(VLOOKUP(C2713,DATA!#REF!,2,FALSE),"")</f>
        <v/>
      </c>
    </row>
    <row r="2714" spans="3:4" s="237" customFormat="1">
      <c r="C2714" s="16" t="str">
        <f>IFERROR(VLOOKUP(DATA!#REF!,DATA!#REF!,1,FALSE),"")</f>
        <v/>
      </c>
      <c r="D2714" s="16" t="str">
        <f>IFERROR(VLOOKUP(C2714,DATA!#REF!,2,FALSE),"")</f>
        <v/>
      </c>
    </row>
    <row r="2715" spans="3:4" s="237" customFormat="1">
      <c r="C2715" s="16" t="str">
        <f>IFERROR(VLOOKUP(DATA!#REF!,DATA!#REF!,1,FALSE),"")</f>
        <v/>
      </c>
      <c r="D2715" s="16" t="str">
        <f>IFERROR(VLOOKUP(C2715,DATA!#REF!,2,FALSE),"")</f>
        <v/>
      </c>
    </row>
    <row r="2716" spans="3:4" s="237" customFormat="1">
      <c r="C2716" s="16" t="str">
        <f>IFERROR(VLOOKUP(DATA!#REF!,DATA!#REF!,1,FALSE),"")</f>
        <v/>
      </c>
      <c r="D2716" s="16" t="str">
        <f>IFERROR(VLOOKUP(C2716,DATA!#REF!,2,FALSE),"")</f>
        <v/>
      </c>
    </row>
    <row r="2717" spans="3:4" s="237" customFormat="1">
      <c r="C2717" s="16" t="str">
        <f>IFERROR(VLOOKUP(DATA!#REF!,DATA!#REF!,1,FALSE),"")</f>
        <v/>
      </c>
      <c r="D2717" s="16" t="str">
        <f>IFERROR(VLOOKUP(C2717,DATA!#REF!,2,FALSE),"")</f>
        <v/>
      </c>
    </row>
    <row r="2718" spans="3:4" s="237" customFormat="1">
      <c r="C2718" s="16" t="str">
        <f>IFERROR(VLOOKUP(DATA!#REF!,DATA!#REF!,1,FALSE),"")</f>
        <v/>
      </c>
      <c r="D2718" s="16" t="str">
        <f>IFERROR(VLOOKUP(C2718,DATA!#REF!,2,FALSE),"")</f>
        <v/>
      </c>
    </row>
    <row r="2719" spans="3:4" s="237" customFormat="1">
      <c r="C2719" s="16" t="str">
        <f>IFERROR(VLOOKUP(DATA!#REF!,DATA!#REF!,1,FALSE),"")</f>
        <v/>
      </c>
      <c r="D2719" s="16" t="str">
        <f>IFERROR(VLOOKUP(C2719,DATA!#REF!,2,FALSE),"")</f>
        <v/>
      </c>
    </row>
    <row r="2720" spans="3:4" s="237" customFormat="1">
      <c r="C2720" s="16" t="str">
        <f>IFERROR(VLOOKUP(DATA!#REF!,DATA!#REF!,1,FALSE),"")</f>
        <v/>
      </c>
      <c r="D2720" s="16" t="str">
        <f>IFERROR(VLOOKUP(C2720,DATA!#REF!,2,FALSE),"")</f>
        <v/>
      </c>
    </row>
    <row r="2721" spans="3:4" s="237" customFormat="1">
      <c r="C2721" s="16" t="str">
        <f>IFERROR(VLOOKUP(DATA!#REF!,DATA!#REF!,1,FALSE),"")</f>
        <v/>
      </c>
      <c r="D2721" s="16" t="str">
        <f>IFERROR(VLOOKUP(C2721,DATA!#REF!,2,FALSE),"")</f>
        <v/>
      </c>
    </row>
    <row r="2722" spans="3:4" s="237" customFormat="1">
      <c r="C2722" s="16" t="str">
        <f>IFERROR(VLOOKUP(DATA!#REF!,DATA!#REF!,1,FALSE),"")</f>
        <v/>
      </c>
      <c r="D2722" s="16" t="str">
        <f>IFERROR(VLOOKUP(C2722,DATA!#REF!,2,FALSE),"")</f>
        <v/>
      </c>
    </row>
    <row r="2723" spans="3:4" s="237" customFormat="1">
      <c r="C2723" s="16" t="str">
        <f>IFERROR(VLOOKUP(DATA!#REF!,DATA!#REF!,1,FALSE),"")</f>
        <v/>
      </c>
      <c r="D2723" s="16" t="str">
        <f>IFERROR(VLOOKUP(C2723,DATA!#REF!,2,FALSE),"")</f>
        <v/>
      </c>
    </row>
    <row r="2724" spans="3:4" s="237" customFormat="1">
      <c r="C2724" s="16" t="str">
        <f>IFERROR(VLOOKUP(DATA!#REF!,DATA!#REF!,1,FALSE),"")</f>
        <v/>
      </c>
      <c r="D2724" s="16" t="str">
        <f>IFERROR(VLOOKUP(C2724,DATA!#REF!,2,FALSE),"")</f>
        <v/>
      </c>
    </row>
    <row r="2725" spans="3:4" s="237" customFormat="1">
      <c r="C2725" s="16" t="str">
        <f>IFERROR(VLOOKUP(DATA!#REF!,DATA!#REF!,1,FALSE),"")</f>
        <v/>
      </c>
      <c r="D2725" s="16" t="str">
        <f>IFERROR(VLOOKUP(C2725,DATA!#REF!,2,FALSE),"")</f>
        <v/>
      </c>
    </row>
    <row r="2726" spans="3:4" s="237" customFormat="1">
      <c r="C2726" s="16" t="str">
        <f>IFERROR(VLOOKUP(DATA!#REF!,DATA!#REF!,1,FALSE),"")</f>
        <v/>
      </c>
      <c r="D2726" s="16" t="str">
        <f>IFERROR(VLOOKUP(C2726,DATA!#REF!,2,FALSE),"")</f>
        <v/>
      </c>
    </row>
    <row r="2727" spans="3:4" s="237" customFormat="1">
      <c r="C2727" s="16" t="str">
        <f>IFERROR(VLOOKUP(DATA!#REF!,DATA!#REF!,1,FALSE),"")</f>
        <v/>
      </c>
      <c r="D2727" s="16" t="str">
        <f>IFERROR(VLOOKUP(C2727,DATA!#REF!,2,FALSE),"")</f>
        <v/>
      </c>
    </row>
    <row r="2728" spans="3:4" s="237" customFormat="1">
      <c r="C2728" s="16" t="str">
        <f>IFERROR(VLOOKUP(DATA!#REF!,DATA!#REF!,1,FALSE),"")</f>
        <v/>
      </c>
      <c r="D2728" s="16" t="str">
        <f>IFERROR(VLOOKUP(C2728,DATA!#REF!,2,FALSE),"")</f>
        <v/>
      </c>
    </row>
    <row r="2729" spans="3:4" s="237" customFormat="1">
      <c r="C2729" s="16" t="str">
        <f>IFERROR(VLOOKUP(DATA!#REF!,DATA!#REF!,1,FALSE),"")</f>
        <v/>
      </c>
      <c r="D2729" s="16" t="str">
        <f>IFERROR(VLOOKUP(C2729,DATA!#REF!,2,FALSE),"")</f>
        <v/>
      </c>
    </row>
    <row r="2730" spans="3:4" s="237" customFormat="1">
      <c r="C2730" s="16" t="str">
        <f>IFERROR(VLOOKUP(DATA!#REF!,DATA!#REF!,1,FALSE),"")</f>
        <v/>
      </c>
      <c r="D2730" s="16" t="str">
        <f>IFERROR(VLOOKUP(C2730,DATA!#REF!,2,FALSE),"")</f>
        <v/>
      </c>
    </row>
    <row r="2731" spans="3:4" s="237" customFormat="1">
      <c r="C2731" s="16" t="str">
        <f>IFERROR(VLOOKUP(DATA!#REF!,DATA!#REF!,1,FALSE),"")</f>
        <v/>
      </c>
      <c r="D2731" s="16" t="str">
        <f>IFERROR(VLOOKUP(C2731,DATA!#REF!,2,FALSE),"")</f>
        <v/>
      </c>
    </row>
    <row r="2732" spans="3:4" s="237" customFormat="1">
      <c r="C2732" s="16" t="str">
        <f>IFERROR(VLOOKUP(DATA!#REF!,DATA!#REF!,1,FALSE),"")</f>
        <v/>
      </c>
      <c r="D2732" s="16" t="str">
        <f>IFERROR(VLOOKUP(C2732,DATA!#REF!,2,FALSE),"")</f>
        <v/>
      </c>
    </row>
    <row r="2733" spans="3:4" s="237" customFormat="1">
      <c r="C2733" s="16" t="str">
        <f>IFERROR(VLOOKUP(DATA!#REF!,DATA!#REF!,1,FALSE),"")</f>
        <v/>
      </c>
      <c r="D2733" s="16" t="str">
        <f>IFERROR(VLOOKUP(C2733,DATA!#REF!,2,FALSE),"")</f>
        <v/>
      </c>
    </row>
    <row r="2734" spans="3:4" s="237" customFormat="1">
      <c r="C2734" s="16" t="str">
        <f>IFERROR(VLOOKUP(DATA!#REF!,DATA!#REF!,1,FALSE),"")</f>
        <v/>
      </c>
      <c r="D2734" s="16" t="str">
        <f>IFERROR(VLOOKUP(C2734,DATA!#REF!,2,FALSE),"")</f>
        <v/>
      </c>
    </row>
    <row r="2735" spans="3:4" s="237" customFormat="1">
      <c r="C2735" s="16" t="str">
        <f>IFERROR(VLOOKUP(DATA!#REF!,DATA!#REF!,1,FALSE),"")</f>
        <v/>
      </c>
      <c r="D2735" s="16" t="str">
        <f>IFERROR(VLOOKUP(C2735,DATA!#REF!,2,FALSE),"")</f>
        <v/>
      </c>
    </row>
    <row r="2736" spans="3:4" s="237" customFormat="1">
      <c r="C2736" s="16" t="str">
        <f>IFERROR(VLOOKUP(DATA!#REF!,DATA!#REF!,1,FALSE),"")</f>
        <v/>
      </c>
      <c r="D2736" s="16" t="str">
        <f>IFERROR(VLOOKUP(C2736,DATA!#REF!,2,FALSE),"")</f>
        <v/>
      </c>
    </row>
    <row r="2737" spans="3:4" s="237" customFormat="1">
      <c r="C2737" s="16" t="str">
        <f>IFERROR(VLOOKUP(DATA!#REF!,DATA!#REF!,1,FALSE),"")</f>
        <v/>
      </c>
      <c r="D2737" s="16" t="str">
        <f>IFERROR(VLOOKUP(C2737,DATA!#REF!,2,FALSE),"")</f>
        <v/>
      </c>
    </row>
    <row r="2738" spans="3:4" s="237" customFormat="1">
      <c r="C2738" s="16" t="str">
        <f>IFERROR(VLOOKUP(DATA!#REF!,DATA!#REF!,1,FALSE),"")</f>
        <v/>
      </c>
      <c r="D2738" s="16" t="str">
        <f>IFERROR(VLOOKUP(C2738,DATA!#REF!,2,FALSE),"")</f>
        <v/>
      </c>
    </row>
    <row r="2739" spans="3:4" s="237" customFormat="1">
      <c r="C2739" s="16" t="str">
        <f>IFERROR(VLOOKUP(DATA!#REF!,DATA!#REF!,1,FALSE),"")</f>
        <v/>
      </c>
      <c r="D2739" s="16" t="str">
        <f>IFERROR(VLOOKUP(C2739,DATA!#REF!,2,FALSE),"")</f>
        <v/>
      </c>
    </row>
    <row r="2740" spans="3:4" s="237" customFormat="1">
      <c r="C2740" s="16" t="str">
        <f>IFERROR(VLOOKUP(DATA!#REF!,DATA!#REF!,1,FALSE),"")</f>
        <v/>
      </c>
      <c r="D2740" s="16" t="str">
        <f>IFERROR(VLOOKUP(C2740,DATA!#REF!,2,FALSE),"")</f>
        <v/>
      </c>
    </row>
    <row r="2741" spans="3:4" s="237" customFormat="1">
      <c r="C2741" s="16" t="str">
        <f>IFERROR(VLOOKUP(DATA!#REF!,DATA!#REF!,1,FALSE),"")</f>
        <v/>
      </c>
      <c r="D2741" s="16" t="str">
        <f>IFERROR(VLOOKUP(C2741,DATA!#REF!,2,FALSE),"")</f>
        <v/>
      </c>
    </row>
    <row r="2742" spans="3:4" s="237" customFormat="1">
      <c r="C2742" s="16" t="str">
        <f>IFERROR(VLOOKUP(DATA!#REF!,DATA!#REF!,1,FALSE),"")</f>
        <v/>
      </c>
      <c r="D2742" s="16" t="str">
        <f>IFERROR(VLOOKUP(C2742,DATA!#REF!,2,FALSE),"")</f>
        <v/>
      </c>
    </row>
    <row r="2743" spans="3:4" s="237" customFormat="1">
      <c r="C2743" s="16" t="str">
        <f>IFERROR(VLOOKUP(DATA!#REF!,DATA!#REF!,1,FALSE),"")</f>
        <v/>
      </c>
      <c r="D2743" s="16" t="str">
        <f>IFERROR(VLOOKUP(C2743,DATA!#REF!,2,FALSE),"")</f>
        <v/>
      </c>
    </row>
    <row r="2744" spans="3:4" s="237" customFormat="1">
      <c r="C2744" s="16" t="str">
        <f>IFERROR(VLOOKUP(DATA!#REF!,DATA!#REF!,1,FALSE),"")</f>
        <v/>
      </c>
      <c r="D2744" s="16" t="str">
        <f>IFERROR(VLOOKUP(C2744,DATA!#REF!,2,FALSE),"")</f>
        <v/>
      </c>
    </row>
    <row r="2745" spans="3:4" s="237" customFormat="1">
      <c r="C2745" s="16" t="str">
        <f>IFERROR(VLOOKUP(DATA!#REF!,DATA!#REF!,1,FALSE),"")</f>
        <v/>
      </c>
      <c r="D2745" s="16" t="str">
        <f>IFERROR(VLOOKUP(C2745,DATA!#REF!,2,FALSE),"")</f>
        <v/>
      </c>
    </row>
    <row r="2746" spans="3:4" s="237" customFormat="1">
      <c r="C2746" s="16" t="str">
        <f>IFERROR(VLOOKUP(DATA!#REF!,DATA!#REF!,1,FALSE),"")</f>
        <v/>
      </c>
      <c r="D2746" s="16" t="str">
        <f>IFERROR(VLOOKUP(C2746,DATA!#REF!,2,FALSE),"")</f>
        <v/>
      </c>
    </row>
    <row r="2747" spans="3:4" s="237" customFormat="1">
      <c r="C2747" s="16" t="str">
        <f>IFERROR(VLOOKUP(DATA!#REF!,DATA!#REF!,1,FALSE),"")</f>
        <v/>
      </c>
      <c r="D2747" s="16" t="str">
        <f>IFERROR(VLOOKUP(C2747,DATA!#REF!,2,FALSE),"")</f>
        <v/>
      </c>
    </row>
    <row r="2748" spans="3:4" s="237" customFormat="1">
      <c r="C2748" s="16" t="str">
        <f>IFERROR(VLOOKUP(DATA!#REF!,DATA!#REF!,1,FALSE),"")</f>
        <v/>
      </c>
      <c r="D2748" s="16" t="str">
        <f>IFERROR(VLOOKUP(C2748,DATA!#REF!,2,FALSE),"")</f>
        <v/>
      </c>
    </row>
    <row r="2749" spans="3:4" s="237" customFormat="1">
      <c r="C2749" s="16" t="str">
        <f>IFERROR(VLOOKUP(DATA!#REF!,DATA!#REF!,1,FALSE),"")</f>
        <v/>
      </c>
      <c r="D2749" s="16" t="str">
        <f>IFERROR(VLOOKUP(C2749,DATA!#REF!,2,FALSE),"")</f>
        <v/>
      </c>
    </row>
    <row r="2750" spans="3:4" s="237" customFormat="1">
      <c r="C2750" s="16" t="str">
        <f>IFERROR(VLOOKUP(DATA!#REF!,DATA!#REF!,1,FALSE),"")</f>
        <v/>
      </c>
      <c r="D2750" s="16" t="str">
        <f>IFERROR(VLOOKUP(C2750,DATA!#REF!,2,FALSE),"")</f>
        <v/>
      </c>
    </row>
    <row r="2751" spans="3:4" s="237" customFormat="1">
      <c r="C2751" s="16" t="str">
        <f>IFERROR(VLOOKUP(DATA!#REF!,DATA!#REF!,1,FALSE),"")</f>
        <v/>
      </c>
      <c r="D2751" s="16" t="str">
        <f>IFERROR(VLOOKUP(C2751,DATA!#REF!,2,FALSE),"")</f>
        <v/>
      </c>
    </row>
    <row r="2752" spans="3:4" s="237" customFormat="1">
      <c r="C2752" s="16" t="str">
        <f>IFERROR(VLOOKUP(DATA!#REF!,DATA!#REF!,1,FALSE),"")</f>
        <v/>
      </c>
      <c r="D2752" s="16" t="str">
        <f>IFERROR(VLOOKUP(C2752,DATA!#REF!,2,FALSE),"")</f>
        <v/>
      </c>
    </row>
    <row r="2753" spans="3:4" s="237" customFormat="1">
      <c r="C2753" s="16" t="str">
        <f>IFERROR(VLOOKUP(DATA!#REF!,DATA!#REF!,1,FALSE),"")</f>
        <v/>
      </c>
      <c r="D2753" s="16" t="str">
        <f>IFERROR(VLOOKUP(C2753,DATA!#REF!,2,FALSE),"")</f>
        <v/>
      </c>
    </row>
    <row r="2754" spans="3:4" s="237" customFormat="1">
      <c r="C2754" s="16" t="str">
        <f>IFERROR(VLOOKUP(DATA!#REF!,DATA!#REF!,1,FALSE),"")</f>
        <v/>
      </c>
      <c r="D2754" s="16" t="str">
        <f>IFERROR(VLOOKUP(C2754,DATA!#REF!,2,FALSE),"")</f>
        <v/>
      </c>
    </row>
    <row r="2755" spans="3:4" s="237" customFormat="1">
      <c r="C2755" s="16" t="str">
        <f>IFERROR(VLOOKUP(DATA!#REF!,DATA!#REF!,1,FALSE),"")</f>
        <v/>
      </c>
      <c r="D2755" s="16" t="str">
        <f>IFERROR(VLOOKUP(C2755,DATA!#REF!,2,FALSE),"")</f>
        <v/>
      </c>
    </row>
    <row r="2756" spans="3:4" s="237" customFormat="1">
      <c r="C2756" s="16" t="str">
        <f>IFERROR(VLOOKUP(DATA!#REF!,DATA!#REF!,1,FALSE),"")</f>
        <v/>
      </c>
      <c r="D2756" s="16" t="str">
        <f>IFERROR(VLOOKUP(C2756,DATA!#REF!,2,FALSE),"")</f>
        <v/>
      </c>
    </row>
    <row r="2757" spans="3:4" s="237" customFormat="1">
      <c r="C2757" s="16" t="str">
        <f>IFERROR(VLOOKUP(DATA!#REF!,DATA!#REF!,1,FALSE),"")</f>
        <v/>
      </c>
      <c r="D2757" s="16" t="str">
        <f>IFERROR(VLOOKUP(C2757,DATA!#REF!,2,FALSE),"")</f>
        <v/>
      </c>
    </row>
    <row r="2758" spans="3:4" s="237" customFormat="1">
      <c r="C2758" s="16" t="str">
        <f>IFERROR(VLOOKUP(DATA!#REF!,DATA!#REF!,1,FALSE),"")</f>
        <v/>
      </c>
      <c r="D2758" s="16" t="str">
        <f>IFERROR(VLOOKUP(C2758,DATA!#REF!,2,FALSE),"")</f>
        <v/>
      </c>
    </row>
    <row r="2759" spans="3:4" s="237" customFormat="1">
      <c r="C2759" s="16" t="str">
        <f>IFERROR(VLOOKUP(DATA!#REF!,DATA!#REF!,1,FALSE),"")</f>
        <v/>
      </c>
      <c r="D2759" s="16" t="str">
        <f>IFERROR(VLOOKUP(C2759,DATA!#REF!,2,FALSE),"")</f>
        <v/>
      </c>
    </row>
    <row r="2760" spans="3:4" s="237" customFormat="1">
      <c r="C2760" s="16" t="str">
        <f>IFERROR(VLOOKUP(DATA!#REF!,DATA!#REF!,1,FALSE),"")</f>
        <v/>
      </c>
      <c r="D2760" s="16" t="str">
        <f>IFERROR(VLOOKUP(C2760,DATA!#REF!,2,FALSE),"")</f>
        <v/>
      </c>
    </row>
    <row r="2761" spans="3:4" s="237" customFormat="1">
      <c r="C2761" s="16" t="str">
        <f>IFERROR(VLOOKUP(DATA!#REF!,DATA!#REF!,1,FALSE),"")</f>
        <v/>
      </c>
      <c r="D2761" s="16" t="str">
        <f>IFERROR(VLOOKUP(C2761,DATA!#REF!,2,FALSE),"")</f>
        <v/>
      </c>
    </row>
    <row r="2762" spans="3:4" s="237" customFormat="1">
      <c r="C2762" s="16" t="str">
        <f>IFERROR(VLOOKUP(DATA!#REF!,DATA!#REF!,1,FALSE),"")</f>
        <v/>
      </c>
      <c r="D2762" s="16" t="str">
        <f>IFERROR(VLOOKUP(C2762,DATA!#REF!,2,FALSE),"")</f>
        <v/>
      </c>
    </row>
    <row r="2763" spans="3:4" s="237" customFormat="1">
      <c r="C2763" s="16" t="str">
        <f>IFERROR(VLOOKUP(DATA!#REF!,DATA!#REF!,1,FALSE),"")</f>
        <v/>
      </c>
      <c r="D2763" s="16" t="str">
        <f>IFERROR(VLOOKUP(C2763,DATA!#REF!,2,FALSE),"")</f>
        <v/>
      </c>
    </row>
    <row r="2764" spans="3:4" s="237" customFormat="1">
      <c r="C2764" s="16" t="str">
        <f>IFERROR(VLOOKUP(DATA!#REF!,DATA!#REF!,1,FALSE),"")</f>
        <v/>
      </c>
      <c r="D2764" s="16" t="str">
        <f>IFERROR(VLOOKUP(C2764,DATA!#REF!,2,FALSE),"")</f>
        <v/>
      </c>
    </row>
    <row r="2765" spans="3:4" s="237" customFormat="1">
      <c r="C2765" s="16" t="str">
        <f>IFERROR(VLOOKUP(DATA!#REF!,DATA!#REF!,1,FALSE),"")</f>
        <v/>
      </c>
      <c r="D2765" s="16" t="str">
        <f>IFERROR(VLOOKUP(C2765,DATA!#REF!,2,FALSE),"")</f>
        <v/>
      </c>
    </row>
    <row r="2766" spans="3:4" s="237" customFormat="1">
      <c r="C2766" s="16" t="str">
        <f>IFERROR(VLOOKUP(DATA!#REF!,DATA!#REF!,1,FALSE),"")</f>
        <v/>
      </c>
      <c r="D2766" s="16" t="str">
        <f>IFERROR(VLOOKUP(C2766,DATA!#REF!,2,FALSE),"")</f>
        <v/>
      </c>
    </row>
    <row r="2767" spans="3:4" s="237" customFormat="1">
      <c r="C2767" s="16" t="str">
        <f>IFERROR(VLOOKUP(DATA!#REF!,DATA!#REF!,1,FALSE),"")</f>
        <v/>
      </c>
      <c r="D2767" s="16" t="str">
        <f>IFERROR(VLOOKUP(C2767,DATA!#REF!,2,FALSE),"")</f>
        <v/>
      </c>
    </row>
    <row r="2768" spans="3:4" s="237" customFormat="1">
      <c r="C2768" s="16" t="str">
        <f>IFERROR(VLOOKUP(DATA!#REF!,DATA!#REF!,1,FALSE),"")</f>
        <v/>
      </c>
      <c r="D2768" s="16" t="str">
        <f>IFERROR(VLOOKUP(C2768,DATA!#REF!,2,FALSE),"")</f>
        <v/>
      </c>
    </row>
    <row r="2769" spans="3:4" s="237" customFormat="1">
      <c r="C2769" s="16" t="str">
        <f>IFERROR(VLOOKUP(DATA!#REF!,DATA!#REF!,1,FALSE),"")</f>
        <v/>
      </c>
      <c r="D2769" s="16" t="str">
        <f>IFERROR(VLOOKUP(C2769,DATA!#REF!,2,FALSE),"")</f>
        <v/>
      </c>
    </row>
    <row r="2770" spans="3:4" s="237" customFormat="1">
      <c r="C2770" s="16" t="str">
        <f>IFERROR(VLOOKUP(DATA!#REF!,DATA!#REF!,1,FALSE),"")</f>
        <v/>
      </c>
      <c r="D2770" s="16" t="str">
        <f>IFERROR(VLOOKUP(C2770,DATA!#REF!,2,FALSE),"")</f>
        <v/>
      </c>
    </row>
    <row r="2771" spans="3:4" s="237" customFormat="1">
      <c r="C2771" s="16" t="str">
        <f>IFERROR(VLOOKUP(DATA!#REF!,DATA!#REF!,1,FALSE),"")</f>
        <v/>
      </c>
      <c r="D2771" s="16" t="str">
        <f>IFERROR(VLOOKUP(C2771,DATA!#REF!,2,FALSE),"")</f>
        <v/>
      </c>
    </row>
    <row r="2772" spans="3:4" s="237" customFormat="1">
      <c r="C2772" s="16" t="str">
        <f>IFERROR(VLOOKUP(DATA!#REF!,DATA!#REF!,1,FALSE),"")</f>
        <v/>
      </c>
      <c r="D2772" s="16" t="str">
        <f>IFERROR(VLOOKUP(C2772,DATA!#REF!,2,FALSE),"")</f>
        <v/>
      </c>
    </row>
    <row r="2773" spans="3:4" s="237" customFormat="1">
      <c r="C2773" s="16" t="str">
        <f>IFERROR(VLOOKUP(DATA!#REF!,DATA!#REF!,1,FALSE),"")</f>
        <v/>
      </c>
      <c r="D2773" s="16" t="str">
        <f>IFERROR(VLOOKUP(C2773,DATA!#REF!,2,FALSE),"")</f>
        <v/>
      </c>
    </row>
    <row r="2774" spans="3:4" s="237" customFormat="1">
      <c r="C2774" s="16" t="str">
        <f>IFERROR(VLOOKUP(DATA!#REF!,DATA!#REF!,1,FALSE),"")</f>
        <v/>
      </c>
      <c r="D2774" s="16" t="str">
        <f>IFERROR(VLOOKUP(C2774,DATA!#REF!,2,FALSE),"")</f>
        <v/>
      </c>
    </row>
    <row r="2775" spans="3:4" s="237" customFormat="1">
      <c r="C2775" s="16" t="str">
        <f>IFERROR(VLOOKUP(DATA!#REF!,DATA!#REF!,1,FALSE),"")</f>
        <v/>
      </c>
      <c r="D2775" s="16" t="str">
        <f>IFERROR(VLOOKUP(C2775,DATA!#REF!,2,FALSE),"")</f>
        <v/>
      </c>
    </row>
    <row r="2776" spans="3:4" s="237" customFormat="1">
      <c r="C2776" s="16" t="str">
        <f>IFERROR(VLOOKUP(DATA!#REF!,DATA!#REF!,1,FALSE),"")</f>
        <v/>
      </c>
      <c r="D2776" s="16" t="str">
        <f>IFERROR(VLOOKUP(C2776,DATA!#REF!,2,FALSE),"")</f>
        <v/>
      </c>
    </row>
    <row r="2777" spans="3:4" s="237" customFormat="1">
      <c r="C2777" s="16" t="str">
        <f>IFERROR(VLOOKUP(DATA!#REF!,DATA!#REF!,1,FALSE),"")</f>
        <v/>
      </c>
      <c r="D2777" s="16" t="str">
        <f>IFERROR(VLOOKUP(C2777,DATA!#REF!,2,FALSE),"")</f>
        <v/>
      </c>
    </row>
    <row r="2778" spans="3:4" s="237" customFormat="1">
      <c r="C2778" s="16" t="str">
        <f>IFERROR(VLOOKUP(DATA!#REF!,DATA!#REF!,1,FALSE),"")</f>
        <v/>
      </c>
      <c r="D2778" s="16" t="str">
        <f>IFERROR(VLOOKUP(C2778,DATA!#REF!,2,FALSE),"")</f>
        <v/>
      </c>
    </row>
    <row r="2779" spans="3:4" s="237" customFormat="1">
      <c r="C2779" s="16" t="str">
        <f>IFERROR(VLOOKUP(DATA!#REF!,DATA!#REF!,1,FALSE),"")</f>
        <v/>
      </c>
      <c r="D2779" s="16" t="str">
        <f>IFERROR(VLOOKUP(C2779,DATA!#REF!,2,FALSE),"")</f>
        <v/>
      </c>
    </row>
    <row r="2780" spans="3:4" s="237" customFormat="1">
      <c r="C2780" s="16" t="str">
        <f>IFERROR(VLOOKUP(DATA!#REF!,DATA!#REF!,1,FALSE),"")</f>
        <v/>
      </c>
      <c r="D2780" s="16" t="str">
        <f>IFERROR(VLOOKUP(C2780,DATA!#REF!,2,FALSE),"")</f>
        <v/>
      </c>
    </row>
    <row r="2781" spans="3:4" s="237" customFormat="1">
      <c r="C2781" s="16" t="str">
        <f>IFERROR(VLOOKUP(DATA!#REF!,DATA!#REF!,1,FALSE),"")</f>
        <v/>
      </c>
      <c r="D2781" s="16" t="str">
        <f>IFERROR(VLOOKUP(C2781,DATA!#REF!,2,FALSE),"")</f>
        <v/>
      </c>
    </row>
    <row r="2782" spans="3:4" s="237" customFormat="1">
      <c r="C2782" s="16" t="str">
        <f>IFERROR(VLOOKUP(DATA!#REF!,DATA!#REF!,1,FALSE),"")</f>
        <v/>
      </c>
      <c r="D2782" s="16" t="str">
        <f>IFERROR(VLOOKUP(C2782,DATA!#REF!,2,FALSE),"")</f>
        <v/>
      </c>
    </row>
    <row r="2783" spans="3:4" s="237" customFormat="1">
      <c r="C2783" s="16" t="str">
        <f>IFERROR(VLOOKUP(DATA!#REF!,DATA!#REF!,1,FALSE),"")</f>
        <v/>
      </c>
      <c r="D2783" s="16" t="str">
        <f>IFERROR(VLOOKUP(C2783,DATA!#REF!,2,FALSE),"")</f>
        <v/>
      </c>
    </row>
    <row r="2784" spans="3:4" s="237" customFormat="1">
      <c r="C2784" s="16" t="str">
        <f>IFERROR(VLOOKUP(DATA!#REF!,DATA!#REF!,1,FALSE),"")</f>
        <v/>
      </c>
      <c r="D2784" s="16" t="str">
        <f>IFERROR(VLOOKUP(C2784,DATA!#REF!,2,FALSE),"")</f>
        <v/>
      </c>
    </row>
    <row r="2785" spans="3:4" s="237" customFormat="1">
      <c r="C2785" s="16" t="str">
        <f>IFERROR(VLOOKUP(DATA!#REF!,DATA!#REF!,1,FALSE),"")</f>
        <v/>
      </c>
      <c r="D2785" s="16" t="str">
        <f>IFERROR(VLOOKUP(C2785,DATA!#REF!,2,FALSE),"")</f>
        <v/>
      </c>
    </row>
    <row r="2786" spans="3:4" s="237" customFormat="1">
      <c r="C2786" s="16" t="str">
        <f>IFERROR(VLOOKUP(DATA!#REF!,DATA!#REF!,1,FALSE),"")</f>
        <v/>
      </c>
      <c r="D2786" s="16" t="str">
        <f>IFERROR(VLOOKUP(C2786,DATA!#REF!,2,FALSE),"")</f>
        <v/>
      </c>
    </row>
    <row r="2787" spans="3:4" s="237" customFormat="1">
      <c r="C2787" s="16" t="str">
        <f>IFERROR(VLOOKUP(DATA!#REF!,DATA!#REF!,1,FALSE),"")</f>
        <v/>
      </c>
      <c r="D2787" s="16" t="str">
        <f>IFERROR(VLOOKUP(C2787,DATA!#REF!,2,FALSE),"")</f>
        <v/>
      </c>
    </row>
    <row r="2788" spans="3:4" s="237" customFormat="1">
      <c r="C2788" s="16" t="str">
        <f>IFERROR(VLOOKUP(DATA!#REF!,DATA!#REF!,1,FALSE),"")</f>
        <v/>
      </c>
      <c r="D2788" s="16" t="str">
        <f>IFERROR(VLOOKUP(C2788,DATA!#REF!,2,FALSE),"")</f>
        <v/>
      </c>
    </row>
    <row r="2789" spans="3:4" s="237" customFormat="1">
      <c r="C2789" s="16" t="str">
        <f>IFERROR(VLOOKUP(DATA!#REF!,DATA!#REF!,1,FALSE),"")</f>
        <v/>
      </c>
      <c r="D2789" s="16" t="str">
        <f>IFERROR(VLOOKUP(C2789,DATA!#REF!,2,FALSE),"")</f>
        <v/>
      </c>
    </row>
    <row r="2790" spans="3:4" s="237" customFormat="1">
      <c r="C2790" s="16" t="str">
        <f>IFERROR(VLOOKUP(DATA!#REF!,DATA!#REF!,1,FALSE),"")</f>
        <v/>
      </c>
      <c r="D2790" s="16" t="str">
        <f>IFERROR(VLOOKUP(C2790,DATA!#REF!,2,FALSE),"")</f>
        <v/>
      </c>
    </row>
    <row r="2791" spans="3:4" s="237" customFormat="1">
      <c r="C2791" s="16" t="str">
        <f>IFERROR(VLOOKUP(DATA!#REF!,DATA!#REF!,1,FALSE),"")</f>
        <v/>
      </c>
      <c r="D2791" s="16" t="str">
        <f>IFERROR(VLOOKUP(C2791,DATA!#REF!,2,FALSE),"")</f>
        <v/>
      </c>
    </row>
    <row r="2792" spans="3:4" s="237" customFormat="1">
      <c r="C2792" s="16" t="str">
        <f>IFERROR(VLOOKUP(DATA!#REF!,DATA!#REF!,1,FALSE),"")</f>
        <v/>
      </c>
      <c r="D2792" s="16" t="str">
        <f>IFERROR(VLOOKUP(C2792,DATA!#REF!,2,FALSE),"")</f>
        <v/>
      </c>
    </row>
    <row r="2793" spans="3:4" s="237" customFormat="1">
      <c r="C2793" s="16" t="str">
        <f>IFERROR(VLOOKUP(DATA!#REF!,DATA!#REF!,1,FALSE),"")</f>
        <v/>
      </c>
      <c r="D2793" s="16" t="str">
        <f>IFERROR(VLOOKUP(C2793,DATA!#REF!,2,FALSE),"")</f>
        <v/>
      </c>
    </row>
    <row r="2794" spans="3:4" s="237" customFormat="1">
      <c r="C2794" s="16" t="str">
        <f>IFERROR(VLOOKUP(DATA!#REF!,DATA!#REF!,1,FALSE),"")</f>
        <v/>
      </c>
      <c r="D2794" s="16" t="str">
        <f>IFERROR(VLOOKUP(C2794,DATA!#REF!,2,FALSE),"")</f>
        <v/>
      </c>
    </row>
    <row r="2795" spans="3:4" s="237" customFormat="1">
      <c r="C2795" s="16" t="str">
        <f>IFERROR(VLOOKUP(DATA!#REF!,DATA!#REF!,1,FALSE),"")</f>
        <v/>
      </c>
      <c r="D2795" s="16" t="str">
        <f>IFERROR(VLOOKUP(C2795,DATA!#REF!,2,FALSE),"")</f>
        <v/>
      </c>
    </row>
    <row r="2796" spans="3:4" s="237" customFormat="1">
      <c r="C2796" s="16" t="str">
        <f>IFERROR(VLOOKUP(DATA!#REF!,DATA!#REF!,1,FALSE),"")</f>
        <v/>
      </c>
      <c r="D2796" s="16" t="str">
        <f>IFERROR(VLOOKUP(C2796,DATA!#REF!,2,FALSE),"")</f>
        <v/>
      </c>
    </row>
    <row r="2797" spans="3:4" s="237" customFormat="1">
      <c r="C2797" s="16" t="str">
        <f>IFERROR(VLOOKUP(DATA!#REF!,DATA!#REF!,1,FALSE),"")</f>
        <v/>
      </c>
      <c r="D2797" s="16" t="str">
        <f>IFERROR(VLOOKUP(C2797,DATA!#REF!,2,FALSE),"")</f>
        <v/>
      </c>
    </row>
    <row r="2798" spans="3:4" s="237" customFormat="1">
      <c r="C2798" s="16" t="str">
        <f>IFERROR(VLOOKUP(DATA!#REF!,DATA!#REF!,1,FALSE),"")</f>
        <v/>
      </c>
      <c r="D2798" s="16" t="str">
        <f>IFERROR(VLOOKUP(C2798,DATA!#REF!,2,FALSE),"")</f>
        <v/>
      </c>
    </row>
    <row r="2799" spans="3:4" s="237" customFormat="1">
      <c r="C2799" s="16" t="str">
        <f>IFERROR(VLOOKUP(DATA!#REF!,DATA!#REF!,1,FALSE),"")</f>
        <v/>
      </c>
      <c r="D2799" s="16" t="str">
        <f>IFERROR(VLOOKUP(C2799,DATA!#REF!,2,FALSE),"")</f>
        <v/>
      </c>
    </row>
    <row r="2800" spans="3:4" s="237" customFormat="1">
      <c r="C2800" s="16" t="str">
        <f>IFERROR(VLOOKUP(DATA!#REF!,DATA!#REF!,1,FALSE),"")</f>
        <v/>
      </c>
      <c r="D2800" s="16" t="str">
        <f>IFERROR(VLOOKUP(C2800,DATA!#REF!,2,FALSE),"")</f>
        <v/>
      </c>
    </row>
    <row r="2801" spans="3:4" s="237" customFormat="1">
      <c r="C2801" s="16" t="str">
        <f>IFERROR(VLOOKUP(DATA!#REF!,DATA!#REF!,1,FALSE),"")</f>
        <v/>
      </c>
      <c r="D2801" s="16" t="str">
        <f>IFERROR(VLOOKUP(C2801,DATA!#REF!,2,FALSE),"")</f>
        <v/>
      </c>
    </row>
    <row r="2802" spans="3:4" s="237" customFormat="1">
      <c r="C2802" s="16" t="str">
        <f>IFERROR(VLOOKUP(DATA!#REF!,DATA!#REF!,1,FALSE),"")</f>
        <v/>
      </c>
      <c r="D2802" s="16" t="str">
        <f>IFERROR(VLOOKUP(C2802,DATA!#REF!,2,FALSE),"")</f>
        <v/>
      </c>
    </row>
    <row r="2803" spans="3:4" s="237" customFormat="1">
      <c r="C2803" s="16" t="str">
        <f>IFERROR(VLOOKUP(DATA!#REF!,DATA!#REF!,1,FALSE),"")</f>
        <v/>
      </c>
      <c r="D2803" s="16" t="str">
        <f>IFERROR(VLOOKUP(C2803,DATA!#REF!,2,FALSE),"")</f>
        <v/>
      </c>
    </row>
    <row r="2804" spans="3:4" s="237" customFormat="1">
      <c r="C2804" s="16" t="str">
        <f>IFERROR(VLOOKUP(DATA!#REF!,DATA!#REF!,1,FALSE),"")</f>
        <v/>
      </c>
      <c r="D2804" s="16" t="str">
        <f>IFERROR(VLOOKUP(C2804,DATA!#REF!,2,FALSE),"")</f>
        <v/>
      </c>
    </row>
    <row r="2805" spans="3:4" s="237" customFormat="1">
      <c r="C2805" s="16" t="str">
        <f>IFERROR(VLOOKUP(DATA!#REF!,DATA!#REF!,1,FALSE),"")</f>
        <v/>
      </c>
      <c r="D2805" s="16" t="str">
        <f>IFERROR(VLOOKUP(C2805,DATA!#REF!,2,FALSE),"")</f>
        <v/>
      </c>
    </row>
    <row r="2806" spans="3:4" s="237" customFormat="1">
      <c r="C2806" s="16" t="str">
        <f>IFERROR(VLOOKUP(DATA!#REF!,DATA!#REF!,1,FALSE),"")</f>
        <v/>
      </c>
      <c r="D2806" s="16" t="str">
        <f>IFERROR(VLOOKUP(C2806,DATA!#REF!,2,FALSE),"")</f>
        <v/>
      </c>
    </row>
    <row r="2807" spans="3:4" s="237" customFormat="1">
      <c r="C2807" s="16" t="str">
        <f>IFERROR(VLOOKUP(DATA!#REF!,DATA!#REF!,1,FALSE),"")</f>
        <v/>
      </c>
      <c r="D2807" s="16" t="str">
        <f>IFERROR(VLOOKUP(C2807,DATA!#REF!,2,FALSE),"")</f>
        <v/>
      </c>
    </row>
    <row r="2808" spans="3:4" s="237" customFormat="1">
      <c r="C2808" s="16" t="str">
        <f>IFERROR(VLOOKUP(DATA!#REF!,DATA!#REF!,1,FALSE),"")</f>
        <v/>
      </c>
      <c r="D2808" s="16" t="str">
        <f>IFERROR(VLOOKUP(C2808,DATA!#REF!,2,FALSE),"")</f>
        <v/>
      </c>
    </row>
    <row r="2809" spans="3:4" s="237" customFormat="1">
      <c r="C2809" s="16" t="str">
        <f>IFERROR(VLOOKUP(DATA!#REF!,DATA!#REF!,1,FALSE),"")</f>
        <v/>
      </c>
      <c r="D2809" s="16" t="str">
        <f>IFERROR(VLOOKUP(C2809,DATA!#REF!,2,FALSE),"")</f>
        <v/>
      </c>
    </row>
    <row r="2810" spans="3:4" s="237" customFormat="1">
      <c r="C2810" s="16" t="str">
        <f>IFERROR(VLOOKUP(DATA!#REF!,DATA!#REF!,1,FALSE),"")</f>
        <v/>
      </c>
      <c r="D2810" s="16" t="str">
        <f>IFERROR(VLOOKUP(C2810,DATA!#REF!,2,FALSE),"")</f>
        <v/>
      </c>
    </row>
    <row r="2811" spans="3:4" s="237" customFormat="1">
      <c r="C2811" s="16" t="str">
        <f>IFERROR(VLOOKUP(DATA!#REF!,DATA!#REF!,1,FALSE),"")</f>
        <v/>
      </c>
      <c r="D2811" s="16" t="str">
        <f>IFERROR(VLOOKUP(C2811,DATA!#REF!,2,FALSE),"")</f>
        <v/>
      </c>
    </row>
    <row r="2812" spans="3:4" s="237" customFormat="1">
      <c r="C2812" s="16" t="str">
        <f>IFERROR(VLOOKUP(DATA!#REF!,DATA!#REF!,1,FALSE),"")</f>
        <v/>
      </c>
      <c r="D2812" s="16" t="str">
        <f>IFERROR(VLOOKUP(C2812,DATA!#REF!,2,FALSE),"")</f>
        <v/>
      </c>
    </row>
    <row r="2813" spans="3:4" s="237" customFormat="1">
      <c r="C2813" s="16" t="str">
        <f>IFERROR(VLOOKUP(DATA!#REF!,DATA!#REF!,1,FALSE),"")</f>
        <v/>
      </c>
      <c r="D2813" s="16" t="str">
        <f>IFERROR(VLOOKUP(C2813,DATA!#REF!,2,FALSE),"")</f>
        <v/>
      </c>
    </row>
    <row r="2814" spans="3:4" s="237" customFormat="1">
      <c r="C2814" s="16" t="str">
        <f>IFERROR(VLOOKUP(DATA!#REF!,DATA!#REF!,1,FALSE),"")</f>
        <v/>
      </c>
      <c r="D2814" s="16" t="str">
        <f>IFERROR(VLOOKUP(C2814,DATA!#REF!,2,FALSE),"")</f>
        <v/>
      </c>
    </row>
    <row r="2815" spans="3:4" s="237" customFormat="1">
      <c r="C2815" s="16" t="str">
        <f>IFERROR(VLOOKUP(DATA!#REF!,DATA!#REF!,1,FALSE),"")</f>
        <v/>
      </c>
      <c r="D2815" s="16" t="str">
        <f>IFERROR(VLOOKUP(C2815,DATA!#REF!,2,FALSE),"")</f>
        <v/>
      </c>
    </row>
    <row r="2816" spans="3:4" s="237" customFormat="1">
      <c r="C2816" s="16" t="str">
        <f>IFERROR(VLOOKUP(DATA!#REF!,DATA!#REF!,1,FALSE),"")</f>
        <v/>
      </c>
      <c r="D2816" s="16" t="str">
        <f>IFERROR(VLOOKUP(C2816,DATA!#REF!,2,FALSE),"")</f>
        <v/>
      </c>
    </row>
    <row r="2817" spans="3:4" s="237" customFormat="1">
      <c r="C2817" s="16" t="str">
        <f>IFERROR(VLOOKUP(DATA!#REF!,DATA!#REF!,1,FALSE),"")</f>
        <v/>
      </c>
      <c r="D2817" s="16" t="str">
        <f>IFERROR(VLOOKUP(C2817,DATA!#REF!,2,FALSE),"")</f>
        <v/>
      </c>
    </row>
    <row r="2818" spans="3:4" s="237" customFormat="1">
      <c r="C2818" s="16" t="str">
        <f>IFERROR(VLOOKUP(DATA!#REF!,DATA!#REF!,1,FALSE),"")</f>
        <v/>
      </c>
      <c r="D2818" s="16" t="str">
        <f>IFERROR(VLOOKUP(C2818,DATA!#REF!,2,FALSE),"")</f>
        <v/>
      </c>
    </row>
    <row r="2819" spans="3:4" s="237" customFormat="1">
      <c r="C2819" s="16" t="str">
        <f>IFERROR(VLOOKUP(DATA!#REF!,DATA!#REF!,1,FALSE),"")</f>
        <v/>
      </c>
      <c r="D2819" s="16" t="str">
        <f>IFERROR(VLOOKUP(C2819,DATA!#REF!,2,FALSE),"")</f>
        <v/>
      </c>
    </row>
    <row r="2820" spans="3:4" s="237" customFormat="1">
      <c r="C2820" s="16" t="str">
        <f>IFERROR(VLOOKUP(DATA!#REF!,DATA!#REF!,1,FALSE),"")</f>
        <v/>
      </c>
      <c r="D2820" s="16" t="str">
        <f>IFERROR(VLOOKUP(C2820,DATA!#REF!,2,FALSE),"")</f>
        <v/>
      </c>
    </row>
    <row r="2821" spans="3:4" s="237" customFormat="1">
      <c r="C2821" s="16" t="str">
        <f>IFERROR(VLOOKUP(DATA!#REF!,DATA!#REF!,1,FALSE),"")</f>
        <v/>
      </c>
      <c r="D2821" s="16" t="str">
        <f>IFERROR(VLOOKUP(C2821,DATA!#REF!,2,FALSE),"")</f>
        <v/>
      </c>
    </row>
    <row r="2822" spans="3:4" s="237" customFormat="1">
      <c r="C2822" s="16" t="str">
        <f>IFERROR(VLOOKUP(DATA!#REF!,DATA!#REF!,1,FALSE),"")</f>
        <v/>
      </c>
      <c r="D2822" s="16" t="str">
        <f>IFERROR(VLOOKUP(C2822,DATA!#REF!,2,FALSE),"")</f>
        <v/>
      </c>
    </row>
    <row r="2823" spans="3:4" s="237" customFormat="1">
      <c r="C2823" s="16" t="str">
        <f>IFERROR(VLOOKUP(DATA!#REF!,DATA!#REF!,1,FALSE),"")</f>
        <v/>
      </c>
      <c r="D2823" s="16" t="str">
        <f>IFERROR(VLOOKUP(C2823,DATA!#REF!,2,FALSE),"")</f>
        <v/>
      </c>
    </row>
    <row r="2824" spans="3:4" s="237" customFormat="1">
      <c r="C2824" s="16" t="str">
        <f>IFERROR(VLOOKUP(DATA!#REF!,DATA!#REF!,1,FALSE),"")</f>
        <v/>
      </c>
      <c r="D2824" s="16" t="str">
        <f>IFERROR(VLOOKUP(C2824,DATA!#REF!,2,FALSE),"")</f>
        <v/>
      </c>
    </row>
    <row r="2825" spans="3:4" s="237" customFormat="1">
      <c r="C2825" s="16" t="str">
        <f>IFERROR(VLOOKUP(DATA!#REF!,DATA!#REF!,1,FALSE),"")</f>
        <v/>
      </c>
      <c r="D2825" s="16" t="str">
        <f>IFERROR(VLOOKUP(C2825,DATA!#REF!,2,FALSE),"")</f>
        <v/>
      </c>
    </row>
    <row r="2826" spans="3:4" s="237" customFormat="1">
      <c r="C2826" s="16" t="str">
        <f>IFERROR(VLOOKUP(DATA!#REF!,DATA!#REF!,1,FALSE),"")</f>
        <v/>
      </c>
      <c r="D2826" s="16" t="str">
        <f>IFERROR(VLOOKUP(C2826,DATA!#REF!,2,FALSE),"")</f>
        <v/>
      </c>
    </row>
    <row r="2827" spans="3:4" s="237" customFormat="1">
      <c r="C2827" s="16" t="str">
        <f>IFERROR(VLOOKUP(DATA!#REF!,DATA!#REF!,1,FALSE),"")</f>
        <v/>
      </c>
      <c r="D2827" s="16" t="str">
        <f>IFERROR(VLOOKUP(C2827,DATA!#REF!,2,FALSE),"")</f>
        <v/>
      </c>
    </row>
    <row r="2828" spans="3:4" s="237" customFormat="1">
      <c r="C2828" s="16" t="str">
        <f>IFERROR(VLOOKUP(DATA!#REF!,DATA!#REF!,1,FALSE),"")</f>
        <v/>
      </c>
      <c r="D2828" s="16" t="str">
        <f>IFERROR(VLOOKUP(C2828,DATA!#REF!,2,FALSE),"")</f>
        <v/>
      </c>
    </row>
    <row r="2829" spans="3:4" s="237" customFormat="1">
      <c r="C2829" s="16" t="str">
        <f>IFERROR(VLOOKUP(DATA!#REF!,DATA!#REF!,1,FALSE),"")</f>
        <v/>
      </c>
      <c r="D2829" s="16" t="str">
        <f>IFERROR(VLOOKUP(C2829,DATA!#REF!,2,FALSE),"")</f>
        <v/>
      </c>
    </row>
    <row r="2830" spans="3:4" s="237" customFormat="1">
      <c r="C2830" s="16" t="str">
        <f>IFERROR(VLOOKUP(DATA!#REF!,DATA!#REF!,1,FALSE),"")</f>
        <v/>
      </c>
      <c r="D2830" s="16" t="str">
        <f>IFERROR(VLOOKUP(C2830,DATA!#REF!,2,FALSE),"")</f>
        <v/>
      </c>
    </row>
    <row r="2831" spans="3:4" s="237" customFormat="1">
      <c r="C2831" s="16" t="str">
        <f>IFERROR(VLOOKUP(DATA!#REF!,DATA!#REF!,1,FALSE),"")</f>
        <v/>
      </c>
      <c r="D2831" s="16" t="str">
        <f>IFERROR(VLOOKUP(C2831,DATA!#REF!,2,FALSE),"")</f>
        <v/>
      </c>
    </row>
    <row r="2832" spans="3:4" s="237" customFormat="1">
      <c r="C2832" s="16" t="str">
        <f>IFERROR(VLOOKUP(DATA!#REF!,DATA!#REF!,1,FALSE),"")</f>
        <v/>
      </c>
      <c r="D2832" s="16" t="str">
        <f>IFERROR(VLOOKUP(C2832,DATA!#REF!,2,FALSE),"")</f>
        <v/>
      </c>
    </row>
    <row r="2833" spans="3:4" s="237" customFormat="1">
      <c r="C2833" s="16" t="str">
        <f>IFERROR(VLOOKUP(DATA!#REF!,DATA!#REF!,1,FALSE),"")</f>
        <v/>
      </c>
      <c r="D2833" s="16" t="str">
        <f>IFERROR(VLOOKUP(C2833,DATA!#REF!,2,FALSE),"")</f>
        <v/>
      </c>
    </row>
    <row r="2834" spans="3:4" s="237" customFormat="1">
      <c r="C2834" s="16" t="str">
        <f>IFERROR(VLOOKUP(DATA!#REF!,DATA!#REF!,1,FALSE),"")</f>
        <v/>
      </c>
      <c r="D2834" s="16" t="str">
        <f>IFERROR(VLOOKUP(C2834,DATA!#REF!,2,FALSE),"")</f>
        <v/>
      </c>
    </row>
    <row r="2835" spans="3:4" s="237" customFormat="1">
      <c r="C2835" s="16" t="str">
        <f>IFERROR(VLOOKUP(DATA!#REF!,DATA!#REF!,1,FALSE),"")</f>
        <v/>
      </c>
      <c r="D2835" s="16" t="str">
        <f>IFERROR(VLOOKUP(C2835,DATA!#REF!,2,FALSE),"")</f>
        <v/>
      </c>
    </row>
    <row r="2836" spans="3:4" s="237" customFormat="1">
      <c r="C2836" s="16" t="str">
        <f>IFERROR(VLOOKUP(DATA!#REF!,DATA!#REF!,1,FALSE),"")</f>
        <v/>
      </c>
      <c r="D2836" s="16" t="str">
        <f>IFERROR(VLOOKUP(C2836,DATA!#REF!,2,FALSE),"")</f>
        <v/>
      </c>
    </row>
    <row r="2837" spans="3:4" s="237" customFormat="1">
      <c r="C2837" s="16" t="str">
        <f>IFERROR(VLOOKUP(DATA!#REF!,DATA!#REF!,1,FALSE),"")</f>
        <v/>
      </c>
      <c r="D2837" s="16" t="str">
        <f>IFERROR(VLOOKUP(C2837,DATA!#REF!,2,FALSE),"")</f>
        <v/>
      </c>
    </row>
    <row r="2838" spans="3:4" s="237" customFormat="1">
      <c r="C2838" s="16" t="str">
        <f>IFERROR(VLOOKUP(DATA!#REF!,DATA!#REF!,1,FALSE),"")</f>
        <v/>
      </c>
      <c r="D2838" s="16" t="str">
        <f>IFERROR(VLOOKUP(C2838,DATA!#REF!,2,FALSE),"")</f>
        <v/>
      </c>
    </row>
    <row r="2839" spans="3:4" s="237" customFormat="1">
      <c r="C2839" s="16" t="str">
        <f>IFERROR(VLOOKUP(DATA!#REF!,DATA!#REF!,1,FALSE),"")</f>
        <v/>
      </c>
      <c r="D2839" s="16" t="str">
        <f>IFERROR(VLOOKUP(C2839,DATA!#REF!,2,FALSE),"")</f>
        <v/>
      </c>
    </row>
    <row r="2840" spans="3:4" s="237" customFormat="1">
      <c r="C2840" s="16" t="str">
        <f>IFERROR(VLOOKUP(DATA!#REF!,DATA!#REF!,1,FALSE),"")</f>
        <v/>
      </c>
      <c r="D2840" s="16" t="str">
        <f>IFERROR(VLOOKUP(C2840,DATA!#REF!,2,FALSE),"")</f>
        <v/>
      </c>
    </row>
    <row r="2841" spans="3:4" s="237" customFormat="1">
      <c r="C2841" s="16" t="str">
        <f>IFERROR(VLOOKUP(DATA!#REF!,DATA!#REF!,1,FALSE),"")</f>
        <v/>
      </c>
      <c r="D2841" s="16" t="str">
        <f>IFERROR(VLOOKUP(C2841,DATA!#REF!,2,FALSE),"")</f>
        <v/>
      </c>
    </row>
    <row r="2842" spans="3:4" s="237" customFormat="1">
      <c r="C2842" s="16" t="str">
        <f>IFERROR(VLOOKUP(DATA!#REF!,DATA!#REF!,1,FALSE),"")</f>
        <v/>
      </c>
      <c r="D2842" s="16" t="str">
        <f>IFERROR(VLOOKUP(C2842,DATA!#REF!,2,FALSE),"")</f>
        <v/>
      </c>
    </row>
    <row r="2843" spans="3:4" s="237" customFormat="1">
      <c r="C2843" s="16" t="str">
        <f>IFERROR(VLOOKUP(DATA!#REF!,DATA!#REF!,1,FALSE),"")</f>
        <v/>
      </c>
      <c r="D2843" s="16" t="str">
        <f>IFERROR(VLOOKUP(C2843,DATA!#REF!,2,FALSE),"")</f>
        <v/>
      </c>
    </row>
    <row r="2844" spans="3:4" s="237" customFormat="1">
      <c r="C2844" s="16" t="str">
        <f>IFERROR(VLOOKUP(DATA!#REF!,DATA!#REF!,1,FALSE),"")</f>
        <v/>
      </c>
      <c r="D2844" s="16" t="str">
        <f>IFERROR(VLOOKUP(C2844,DATA!#REF!,2,FALSE),"")</f>
        <v/>
      </c>
    </row>
    <row r="2845" spans="3:4" s="237" customFormat="1">
      <c r="C2845" s="16" t="str">
        <f>IFERROR(VLOOKUP(DATA!#REF!,DATA!#REF!,1,FALSE),"")</f>
        <v/>
      </c>
      <c r="D2845" s="16" t="str">
        <f>IFERROR(VLOOKUP(C2845,DATA!#REF!,2,FALSE),"")</f>
        <v/>
      </c>
    </row>
    <row r="2846" spans="3:4" s="237" customFormat="1">
      <c r="C2846" s="16" t="str">
        <f>IFERROR(VLOOKUP(DATA!#REF!,DATA!#REF!,1,FALSE),"")</f>
        <v/>
      </c>
      <c r="D2846" s="16" t="str">
        <f>IFERROR(VLOOKUP(C2846,DATA!#REF!,2,FALSE),"")</f>
        <v/>
      </c>
    </row>
    <row r="2847" spans="3:4" s="237" customFormat="1">
      <c r="C2847" s="16" t="str">
        <f>IFERROR(VLOOKUP(DATA!#REF!,DATA!#REF!,1,FALSE),"")</f>
        <v/>
      </c>
      <c r="D2847" s="16" t="str">
        <f>IFERROR(VLOOKUP(C2847,DATA!#REF!,2,FALSE),"")</f>
        <v/>
      </c>
    </row>
    <row r="2848" spans="3:4" s="237" customFormat="1">
      <c r="C2848" s="16" t="str">
        <f>IFERROR(VLOOKUP(DATA!#REF!,DATA!#REF!,1,FALSE),"")</f>
        <v/>
      </c>
      <c r="D2848" s="16" t="str">
        <f>IFERROR(VLOOKUP(C2848,DATA!#REF!,2,FALSE),"")</f>
        <v/>
      </c>
    </row>
    <row r="2849" spans="3:4" s="237" customFormat="1">
      <c r="C2849" s="16" t="str">
        <f>IFERROR(VLOOKUP(DATA!#REF!,DATA!#REF!,1,FALSE),"")</f>
        <v/>
      </c>
      <c r="D2849" s="16" t="str">
        <f>IFERROR(VLOOKUP(C2849,DATA!#REF!,2,FALSE),"")</f>
        <v/>
      </c>
    </row>
    <row r="2850" spans="3:4" s="237" customFormat="1">
      <c r="C2850" s="16" t="str">
        <f>IFERROR(VLOOKUP(DATA!#REF!,DATA!#REF!,1,FALSE),"")</f>
        <v/>
      </c>
      <c r="D2850" s="16" t="str">
        <f>IFERROR(VLOOKUP(C2850,DATA!#REF!,2,FALSE),"")</f>
        <v/>
      </c>
    </row>
    <row r="2851" spans="3:4" s="237" customFormat="1">
      <c r="C2851" s="16" t="str">
        <f>IFERROR(VLOOKUP(DATA!#REF!,DATA!#REF!,1,FALSE),"")</f>
        <v/>
      </c>
      <c r="D2851" s="16" t="str">
        <f>IFERROR(VLOOKUP(C2851,DATA!#REF!,2,FALSE),"")</f>
        <v/>
      </c>
    </row>
    <row r="2852" spans="3:4" s="237" customFormat="1">
      <c r="C2852" s="16" t="str">
        <f>IFERROR(VLOOKUP(DATA!#REF!,DATA!#REF!,1,FALSE),"")</f>
        <v/>
      </c>
      <c r="D2852" s="16" t="str">
        <f>IFERROR(VLOOKUP(C2852,DATA!#REF!,2,FALSE),"")</f>
        <v/>
      </c>
    </row>
    <row r="2853" spans="3:4" s="237" customFormat="1">
      <c r="C2853" s="16" t="str">
        <f>IFERROR(VLOOKUP(DATA!#REF!,DATA!#REF!,1,FALSE),"")</f>
        <v/>
      </c>
      <c r="D2853" s="16" t="str">
        <f>IFERROR(VLOOKUP(C2853,DATA!#REF!,2,FALSE),"")</f>
        <v/>
      </c>
    </row>
    <row r="2854" spans="3:4" s="237" customFormat="1">
      <c r="C2854" s="16" t="str">
        <f>IFERROR(VLOOKUP(DATA!#REF!,DATA!#REF!,1,FALSE),"")</f>
        <v/>
      </c>
      <c r="D2854" s="16" t="str">
        <f>IFERROR(VLOOKUP(C2854,DATA!#REF!,2,FALSE),"")</f>
        <v/>
      </c>
    </row>
    <row r="2855" spans="3:4" s="237" customFormat="1">
      <c r="C2855" s="16" t="str">
        <f>IFERROR(VLOOKUP(DATA!#REF!,DATA!#REF!,1,FALSE),"")</f>
        <v/>
      </c>
      <c r="D2855" s="16" t="str">
        <f>IFERROR(VLOOKUP(C2855,DATA!#REF!,2,FALSE),"")</f>
        <v/>
      </c>
    </row>
    <row r="2856" spans="3:4" s="237" customFormat="1">
      <c r="C2856" s="16" t="str">
        <f>IFERROR(VLOOKUP(DATA!#REF!,DATA!#REF!,1,FALSE),"")</f>
        <v/>
      </c>
      <c r="D2856" s="16" t="str">
        <f>IFERROR(VLOOKUP(C2856,DATA!#REF!,2,FALSE),"")</f>
        <v/>
      </c>
    </row>
    <row r="2857" spans="3:4" s="237" customFormat="1">
      <c r="C2857" s="16" t="str">
        <f>IFERROR(VLOOKUP(DATA!#REF!,DATA!#REF!,1,FALSE),"")</f>
        <v/>
      </c>
      <c r="D2857" s="16" t="str">
        <f>IFERROR(VLOOKUP(C2857,DATA!#REF!,2,FALSE),"")</f>
        <v/>
      </c>
    </row>
    <row r="2858" spans="3:4" s="237" customFormat="1">
      <c r="C2858" s="16" t="str">
        <f>IFERROR(VLOOKUP(DATA!#REF!,DATA!#REF!,1,FALSE),"")</f>
        <v/>
      </c>
      <c r="D2858" s="16" t="str">
        <f>IFERROR(VLOOKUP(C2858,DATA!#REF!,2,FALSE),"")</f>
        <v/>
      </c>
    </row>
    <row r="2859" spans="3:4" s="237" customFormat="1">
      <c r="C2859" s="16" t="str">
        <f>IFERROR(VLOOKUP(DATA!#REF!,DATA!#REF!,1,FALSE),"")</f>
        <v/>
      </c>
      <c r="D2859" s="16" t="str">
        <f>IFERROR(VLOOKUP(C2859,DATA!#REF!,2,FALSE),"")</f>
        <v/>
      </c>
    </row>
    <row r="2860" spans="3:4" s="237" customFormat="1">
      <c r="C2860" s="16" t="str">
        <f>IFERROR(VLOOKUP(DATA!#REF!,DATA!#REF!,1,FALSE),"")</f>
        <v/>
      </c>
      <c r="D2860" s="16" t="str">
        <f>IFERROR(VLOOKUP(C2860,DATA!#REF!,2,FALSE),"")</f>
        <v/>
      </c>
    </row>
    <row r="2861" spans="3:4" s="237" customFormat="1">
      <c r="C2861" s="16" t="str">
        <f>IFERROR(VLOOKUP(DATA!#REF!,DATA!#REF!,1,FALSE),"")</f>
        <v/>
      </c>
      <c r="D2861" s="16" t="str">
        <f>IFERROR(VLOOKUP(C2861,DATA!#REF!,2,FALSE),"")</f>
        <v/>
      </c>
    </row>
    <row r="2862" spans="3:4" s="237" customFormat="1">
      <c r="C2862" s="16" t="str">
        <f>IFERROR(VLOOKUP(DATA!#REF!,DATA!#REF!,1,FALSE),"")</f>
        <v/>
      </c>
      <c r="D2862" s="16" t="str">
        <f>IFERROR(VLOOKUP(C2862,DATA!#REF!,2,FALSE),"")</f>
        <v/>
      </c>
    </row>
    <row r="2863" spans="3:4" s="237" customFormat="1">
      <c r="C2863" s="16" t="str">
        <f>IFERROR(VLOOKUP(DATA!#REF!,DATA!#REF!,1,FALSE),"")</f>
        <v/>
      </c>
      <c r="D2863" s="16" t="str">
        <f>IFERROR(VLOOKUP(C2863,DATA!#REF!,2,FALSE),"")</f>
        <v/>
      </c>
    </row>
    <row r="2864" spans="3:4" s="237" customFormat="1">
      <c r="C2864" s="16" t="str">
        <f>IFERROR(VLOOKUP(DATA!#REF!,DATA!#REF!,1,FALSE),"")</f>
        <v/>
      </c>
      <c r="D2864" s="16" t="str">
        <f>IFERROR(VLOOKUP(C2864,DATA!#REF!,2,FALSE),"")</f>
        <v/>
      </c>
    </row>
    <row r="2865" spans="3:4" s="237" customFormat="1">
      <c r="C2865" s="16" t="str">
        <f>IFERROR(VLOOKUP(DATA!#REF!,DATA!#REF!,1,FALSE),"")</f>
        <v/>
      </c>
      <c r="D2865" s="16" t="str">
        <f>IFERROR(VLOOKUP(C2865,DATA!#REF!,2,FALSE),"")</f>
        <v/>
      </c>
    </row>
    <row r="2866" spans="3:4" s="237" customFormat="1">
      <c r="C2866" s="16" t="str">
        <f>IFERROR(VLOOKUP(DATA!#REF!,DATA!#REF!,1,FALSE),"")</f>
        <v/>
      </c>
      <c r="D2866" s="16" t="str">
        <f>IFERROR(VLOOKUP(C2866,DATA!#REF!,2,FALSE),"")</f>
        <v/>
      </c>
    </row>
    <row r="2867" spans="3:4" s="237" customFormat="1">
      <c r="C2867" s="16" t="str">
        <f>IFERROR(VLOOKUP(DATA!#REF!,DATA!#REF!,1,FALSE),"")</f>
        <v/>
      </c>
      <c r="D2867" s="16" t="str">
        <f>IFERROR(VLOOKUP(C2867,DATA!#REF!,2,FALSE),"")</f>
        <v/>
      </c>
    </row>
    <row r="2868" spans="3:4" s="237" customFormat="1">
      <c r="C2868" s="16" t="str">
        <f>IFERROR(VLOOKUP(DATA!#REF!,DATA!#REF!,1,FALSE),"")</f>
        <v/>
      </c>
      <c r="D2868" s="16" t="str">
        <f>IFERROR(VLOOKUP(C2868,DATA!#REF!,2,FALSE),"")</f>
        <v/>
      </c>
    </row>
    <row r="2869" spans="3:4" s="237" customFormat="1">
      <c r="C2869" s="16" t="str">
        <f>IFERROR(VLOOKUP(DATA!#REF!,DATA!#REF!,1,FALSE),"")</f>
        <v/>
      </c>
      <c r="D2869" s="16" t="str">
        <f>IFERROR(VLOOKUP(C2869,DATA!#REF!,2,FALSE),"")</f>
        <v/>
      </c>
    </row>
    <row r="2870" spans="3:4" s="237" customFormat="1">
      <c r="C2870" s="16" t="str">
        <f>IFERROR(VLOOKUP(DATA!#REF!,DATA!#REF!,1,FALSE),"")</f>
        <v/>
      </c>
      <c r="D2870" s="16" t="str">
        <f>IFERROR(VLOOKUP(C2870,DATA!#REF!,2,FALSE),"")</f>
        <v/>
      </c>
    </row>
    <row r="2871" spans="3:4" s="237" customFormat="1">
      <c r="C2871" s="16" t="str">
        <f>IFERROR(VLOOKUP(DATA!#REF!,DATA!#REF!,1,FALSE),"")</f>
        <v/>
      </c>
      <c r="D2871" s="16" t="str">
        <f>IFERROR(VLOOKUP(C2871,DATA!#REF!,2,FALSE),"")</f>
        <v/>
      </c>
    </row>
    <row r="2872" spans="3:4" s="237" customFormat="1">
      <c r="C2872" s="16" t="str">
        <f>IFERROR(VLOOKUP(DATA!#REF!,DATA!#REF!,1,FALSE),"")</f>
        <v/>
      </c>
      <c r="D2872" s="16" t="str">
        <f>IFERROR(VLOOKUP(C2872,DATA!#REF!,2,FALSE),"")</f>
        <v/>
      </c>
    </row>
    <row r="2873" spans="3:4" s="237" customFormat="1">
      <c r="C2873" s="16" t="str">
        <f>IFERROR(VLOOKUP(DATA!#REF!,DATA!#REF!,1,FALSE),"")</f>
        <v/>
      </c>
      <c r="D2873" s="16" t="str">
        <f>IFERROR(VLOOKUP(C2873,DATA!#REF!,2,FALSE),"")</f>
        <v/>
      </c>
    </row>
    <row r="2874" spans="3:4" s="237" customFormat="1">
      <c r="C2874" s="16" t="str">
        <f>IFERROR(VLOOKUP(DATA!#REF!,DATA!#REF!,1,FALSE),"")</f>
        <v/>
      </c>
      <c r="D2874" s="16" t="str">
        <f>IFERROR(VLOOKUP(C2874,DATA!#REF!,2,FALSE),"")</f>
        <v/>
      </c>
    </row>
    <row r="2875" spans="3:4" s="237" customFormat="1">
      <c r="C2875" s="16" t="str">
        <f>IFERROR(VLOOKUP(DATA!#REF!,DATA!#REF!,1,FALSE),"")</f>
        <v/>
      </c>
      <c r="D2875" s="16" t="str">
        <f>IFERROR(VLOOKUP(C2875,DATA!#REF!,2,FALSE),"")</f>
        <v/>
      </c>
    </row>
    <row r="2876" spans="3:4" s="237" customFormat="1">
      <c r="C2876" s="16" t="str">
        <f>IFERROR(VLOOKUP(DATA!#REF!,DATA!#REF!,1,FALSE),"")</f>
        <v/>
      </c>
      <c r="D2876" s="16" t="str">
        <f>IFERROR(VLOOKUP(C2876,DATA!#REF!,2,FALSE),"")</f>
        <v/>
      </c>
    </row>
    <row r="2877" spans="3:4" s="237" customFormat="1">
      <c r="C2877" s="16" t="str">
        <f>IFERROR(VLOOKUP(DATA!#REF!,DATA!#REF!,1,FALSE),"")</f>
        <v/>
      </c>
      <c r="D2877" s="16" t="str">
        <f>IFERROR(VLOOKUP(C2877,DATA!#REF!,2,FALSE),"")</f>
        <v/>
      </c>
    </row>
    <row r="2878" spans="3:4" s="237" customFormat="1">
      <c r="C2878" s="16" t="str">
        <f>IFERROR(VLOOKUP(DATA!#REF!,DATA!#REF!,1,FALSE),"")</f>
        <v/>
      </c>
      <c r="D2878" s="16" t="str">
        <f>IFERROR(VLOOKUP(C2878,DATA!#REF!,2,FALSE),"")</f>
        <v/>
      </c>
    </row>
    <row r="2879" spans="3:4" s="237" customFormat="1">
      <c r="C2879" s="16" t="str">
        <f>IFERROR(VLOOKUP(DATA!#REF!,DATA!#REF!,1,FALSE),"")</f>
        <v/>
      </c>
      <c r="D2879" s="16" t="str">
        <f>IFERROR(VLOOKUP(C2879,DATA!#REF!,2,FALSE),"")</f>
        <v/>
      </c>
    </row>
    <row r="2880" spans="3:4" s="237" customFormat="1">
      <c r="C2880" s="16" t="str">
        <f>IFERROR(VLOOKUP(DATA!#REF!,DATA!#REF!,1,FALSE),"")</f>
        <v/>
      </c>
      <c r="D2880" s="16" t="str">
        <f>IFERROR(VLOOKUP(C2880,DATA!#REF!,2,FALSE),"")</f>
        <v/>
      </c>
    </row>
    <row r="2881" spans="3:4" s="237" customFormat="1">
      <c r="C2881" s="16" t="str">
        <f>IFERROR(VLOOKUP(DATA!#REF!,DATA!#REF!,1,FALSE),"")</f>
        <v/>
      </c>
      <c r="D2881" s="16" t="str">
        <f>IFERROR(VLOOKUP(C2881,DATA!#REF!,2,FALSE),"")</f>
        <v/>
      </c>
    </row>
    <row r="2882" spans="3:4" s="237" customFormat="1">
      <c r="C2882" s="16" t="str">
        <f>IFERROR(VLOOKUP(DATA!#REF!,DATA!#REF!,1,FALSE),"")</f>
        <v/>
      </c>
      <c r="D2882" s="16" t="str">
        <f>IFERROR(VLOOKUP(C2882,DATA!#REF!,2,FALSE),"")</f>
        <v/>
      </c>
    </row>
    <row r="2883" spans="3:4" s="237" customFormat="1">
      <c r="C2883" s="16" t="str">
        <f>IFERROR(VLOOKUP(DATA!#REF!,DATA!#REF!,1,FALSE),"")</f>
        <v/>
      </c>
      <c r="D2883" s="16" t="str">
        <f>IFERROR(VLOOKUP(C2883,DATA!#REF!,2,FALSE),"")</f>
        <v/>
      </c>
    </row>
    <row r="2884" spans="3:4" s="237" customFormat="1">
      <c r="C2884" s="16" t="str">
        <f>IFERROR(VLOOKUP(DATA!#REF!,DATA!#REF!,1,FALSE),"")</f>
        <v/>
      </c>
      <c r="D2884" s="16" t="str">
        <f>IFERROR(VLOOKUP(C2884,DATA!#REF!,2,FALSE),"")</f>
        <v/>
      </c>
    </row>
    <row r="2885" spans="3:4" s="237" customFormat="1">
      <c r="C2885" s="16" t="str">
        <f>IFERROR(VLOOKUP(DATA!#REF!,DATA!#REF!,1,FALSE),"")</f>
        <v/>
      </c>
      <c r="D2885" s="16" t="str">
        <f>IFERROR(VLOOKUP(C2885,DATA!#REF!,2,FALSE),"")</f>
        <v/>
      </c>
    </row>
    <row r="2886" spans="3:4" s="237" customFormat="1">
      <c r="C2886" s="16" t="str">
        <f>IFERROR(VLOOKUP(DATA!#REF!,DATA!#REF!,1,FALSE),"")</f>
        <v/>
      </c>
      <c r="D2886" s="16" t="str">
        <f>IFERROR(VLOOKUP(C2886,DATA!#REF!,2,FALSE),"")</f>
        <v/>
      </c>
    </row>
    <row r="2887" spans="3:4" s="237" customFormat="1">
      <c r="C2887" s="16" t="str">
        <f>IFERROR(VLOOKUP(DATA!#REF!,DATA!#REF!,1,FALSE),"")</f>
        <v/>
      </c>
      <c r="D2887" s="16" t="str">
        <f>IFERROR(VLOOKUP(C2887,DATA!#REF!,2,FALSE),"")</f>
        <v/>
      </c>
    </row>
    <row r="2888" spans="3:4" s="237" customFormat="1">
      <c r="C2888" s="16" t="str">
        <f>IFERROR(VLOOKUP(DATA!#REF!,DATA!#REF!,1,FALSE),"")</f>
        <v/>
      </c>
      <c r="D2888" s="16" t="str">
        <f>IFERROR(VLOOKUP(C2888,DATA!#REF!,2,FALSE),"")</f>
        <v/>
      </c>
    </row>
    <row r="2889" spans="3:4" s="237" customFormat="1">
      <c r="C2889" s="16" t="str">
        <f>IFERROR(VLOOKUP(DATA!#REF!,DATA!#REF!,1,FALSE),"")</f>
        <v/>
      </c>
      <c r="D2889" s="16" t="str">
        <f>IFERROR(VLOOKUP(C2889,DATA!#REF!,2,FALSE),"")</f>
        <v/>
      </c>
    </row>
    <row r="2890" spans="3:4" s="237" customFormat="1">
      <c r="C2890" s="16" t="str">
        <f>IFERROR(VLOOKUP(DATA!#REF!,DATA!#REF!,1,FALSE),"")</f>
        <v/>
      </c>
      <c r="D2890" s="16" t="str">
        <f>IFERROR(VLOOKUP(C2890,DATA!#REF!,2,FALSE),"")</f>
        <v/>
      </c>
    </row>
    <row r="2891" spans="3:4" s="237" customFormat="1">
      <c r="C2891" s="16" t="str">
        <f>IFERROR(VLOOKUP(DATA!#REF!,DATA!#REF!,1,FALSE),"")</f>
        <v/>
      </c>
      <c r="D2891" s="16" t="str">
        <f>IFERROR(VLOOKUP(C2891,DATA!#REF!,2,FALSE),"")</f>
        <v/>
      </c>
    </row>
    <row r="2892" spans="3:4" s="237" customFormat="1">
      <c r="C2892" s="16" t="str">
        <f>IFERROR(VLOOKUP(DATA!#REF!,DATA!#REF!,1,FALSE),"")</f>
        <v/>
      </c>
      <c r="D2892" s="16" t="str">
        <f>IFERROR(VLOOKUP(C2892,DATA!#REF!,2,FALSE),"")</f>
        <v/>
      </c>
    </row>
    <row r="2893" spans="3:4" s="237" customFormat="1">
      <c r="C2893" s="16" t="str">
        <f>IFERROR(VLOOKUP(DATA!#REF!,DATA!#REF!,1,FALSE),"")</f>
        <v/>
      </c>
      <c r="D2893" s="16" t="str">
        <f>IFERROR(VLOOKUP(C2893,DATA!#REF!,2,FALSE),"")</f>
        <v/>
      </c>
    </row>
    <row r="2894" spans="3:4" s="237" customFormat="1">
      <c r="C2894" s="16" t="str">
        <f>IFERROR(VLOOKUP(DATA!#REF!,DATA!#REF!,1,FALSE),"")</f>
        <v/>
      </c>
      <c r="D2894" s="16" t="str">
        <f>IFERROR(VLOOKUP(C2894,DATA!#REF!,2,FALSE),"")</f>
        <v/>
      </c>
    </row>
    <row r="2895" spans="3:4" s="237" customFormat="1">
      <c r="C2895" s="16" t="str">
        <f>IFERROR(VLOOKUP(DATA!#REF!,DATA!#REF!,1,FALSE),"")</f>
        <v/>
      </c>
      <c r="D2895" s="16" t="str">
        <f>IFERROR(VLOOKUP(C2895,DATA!#REF!,2,FALSE),"")</f>
        <v/>
      </c>
    </row>
    <row r="2896" spans="3:4" s="237" customFormat="1">
      <c r="C2896" s="16" t="str">
        <f>IFERROR(VLOOKUP(DATA!#REF!,DATA!#REF!,1,FALSE),"")</f>
        <v/>
      </c>
      <c r="D2896" s="16" t="str">
        <f>IFERROR(VLOOKUP(C2896,DATA!#REF!,2,FALSE),"")</f>
        <v/>
      </c>
    </row>
    <row r="2897" spans="3:4" s="237" customFormat="1">
      <c r="C2897" s="16" t="str">
        <f>IFERROR(VLOOKUP(DATA!#REF!,DATA!#REF!,1,FALSE),"")</f>
        <v/>
      </c>
      <c r="D2897" s="16" t="str">
        <f>IFERROR(VLOOKUP(C2897,DATA!#REF!,2,FALSE),"")</f>
        <v/>
      </c>
    </row>
    <row r="2898" spans="3:4" s="237" customFormat="1">
      <c r="C2898" s="16" t="str">
        <f>IFERROR(VLOOKUP(DATA!#REF!,DATA!#REF!,1,FALSE),"")</f>
        <v/>
      </c>
      <c r="D2898" s="16" t="str">
        <f>IFERROR(VLOOKUP(C2898,DATA!#REF!,2,FALSE),"")</f>
        <v/>
      </c>
    </row>
    <row r="2899" spans="3:4" s="237" customFormat="1">
      <c r="C2899" s="16" t="str">
        <f>IFERROR(VLOOKUP(DATA!#REF!,DATA!#REF!,1,FALSE),"")</f>
        <v/>
      </c>
      <c r="D2899" s="16" t="str">
        <f>IFERROR(VLOOKUP(C2899,DATA!#REF!,2,FALSE),"")</f>
        <v/>
      </c>
    </row>
    <row r="2900" spans="3:4" s="237" customFormat="1">
      <c r="C2900" s="16" t="str">
        <f>IFERROR(VLOOKUP(DATA!#REF!,DATA!#REF!,1,FALSE),"")</f>
        <v/>
      </c>
      <c r="D2900" s="16" t="str">
        <f>IFERROR(VLOOKUP(C2900,DATA!#REF!,2,FALSE),"")</f>
        <v/>
      </c>
    </row>
    <row r="2901" spans="3:4" s="237" customFormat="1">
      <c r="C2901" s="16" t="str">
        <f>IFERROR(VLOOKUP(DATA!#REF!,DATA!#REF!,1,FALSE),"")</f>
        <v/>
      </c>
      <c r="D2901" s="16" t="str">
        <f>IFERROR(VLOOKUP(C2901,DATA!#REF!,2,FALSE),"")</f>
        <v/>
      </c>
    </row>
    <row r="2902" spans="3:4" s="237" customFormat="1">
      <c r="C2902" s="16" t="str">
        <f>IFERROR(VLOOKUP(DATA!#REF!,DATA!#REF!,1,FALSE),"")</f>
        <v/>
      </c>
      <c r="D2902" s="16" t="str">
        <f>IFERROR(VLOOKUP(C2902,DATA!#REF!,2,FALSE),"")</f>
        <v/>
      </c>
    </row>
    <row r="2903" spans="3:4" s="237" customFormat="1">
      <c r="C2903" s="16" t="str">
        <f>IFERROR(VLOOKUP(DATA!#REF!,DATA!#REF!,1,FALSE),"")</f>
        <v/>
      </c>
      <c r="D2903" s="16" t="str">
        <f>IFERROR(VLOOKUP(C2903,DATA!#REF!,2,FALSE),"")</f>
        <v/>
      </c>
    </row>
    <row r="2904" spans="3:4" s="237" customFormat="1">
      <c r="C2904" s="16" t="str">
        <f>IFERROR(VLOOKUP(DATA!#REF!,DATA!#REF!,1,FALSE),"")</f>
        <v/>
      </c>
      <c r="D2904" s="16" t="str">
        <f>IFERROR(VLOOKUP(C2904,DATA!#REF!,2,FALSE),"")</f>
        <v/>
      </c>
    </row>
    <row r="2905" spans="3:4" s="237" customFormat="1">
      <c r="C2905" s="16" t="str">
        <f>IFERROR(VLOOKUP(DATA!#REF!,DATA!#REF!,1,FALSE),"")</f>
        <v/>
      </c>
      <c r="D2905" s="16" t="str">
        <f>IFERROR(VLOOKUP(C2905,DATA!#REF!,2,FALSE),"")</f>
        <v/>
      </c>
    </row>
    <row r="2906" spans="3:4" s="237" customFormat="1">
      <c r="C2906" s="16" t="str">
        <f>IFERROR(VLOOKUP(DATA!#REF!,DATA!#REF!,1,FALSE),"")</f>
        <v/>
      </c>
      <c r="D2906" s="16" t="str">
        <f>IFERROR(VLOOKUP(C2906,DATA!#REF!,2,FALSE),"")</f>
        <v/>
      </c>
    </row>
    <row r="2907" spans="3:4" s="237" customFormat="1">
      <c r="C2907" s="16" t="str">
        <f>IFERROR(VLOOKUP(DATA!#REF!,DATA!#REF!,1,FALSE),"")</f>
        <v/>
      </c>
      <c r="D2907" s="16" t="str">
        <f>IFERROR(VLOOKUP(C2907,DATA!#REF!,2,FALSE),"")</f>
        <v/>
      </c>
    </row>
    <row r="2908" spans="3:4" s="237" customFormat="1">
      <c r="C2908" s="16" t="str">
        <f>IFERROR(VLOOKUP(DATA!#REF!,DATA!#REF!,1,FALSE),"")</f>
        <v/>
      </c>
      <c r="D2908" s="16" t="str">
        <f>IFERROR(VLOOKUP(C2908,DATA!#REF!,2,FALSE),"")</f>
        <v/>
      </c>
    </row>
    <row r="2909" spans="3:4" s="237" customFormat="1">
      <c r="C2909" s="16" t="str">
        <f>IFERROR(VLOOKUP(DATA!#REF!,DATA!#REF!,1,FALSE),"")</f>
        <v/>
      </c>
      <c r="D2909" s="16" t="str">
        <f>IFERROR(VLOOKUP(C2909,DATA!#REF!,2,FALSE),"")</f>
        <v/>
      </c>
    </row>
    <row r="2910" spans="3:4" s="237" customFormat="1">
      <c r="C2910" s="16" t="str">
        <f>IFERROR(VLOOKUP(DATA!#REF!,DATA!#REF!,1,FALSE),"")</f>
        <v/>
      </c>
      <c r="D2910" s="16" t="str">
        <f>IFERROR(VLOOKUP(C2910,DATA!#REF!,2,FALSE),"")</f>
        <v/>
      </c>
    </row>
    <row r="2911" spans="3:4" s="237" customFormat="1">
      <c r="C2911" s="16" t="str">
        <f>IFERROR(VLOOKUP(DATA!#REF!,DATA!#REF!,1,FALSE),"")</f>
        <v/>
      </c>
      <c r="D2911" s="16" t="str">
        <f>IFERROR(VLOOKUP(C2911,DATA!#REF!,2,FALSE),"")</f>
        <v/>
      </c>
    </row>
    <row r="2912" spans="3:4" s="237" customFormat="1">
      <c r="C2912" s="16" t="str">
        <f>IFERROR(VLOOKUP(DATA!#REF!,DATA!#REF!,1,FALSE),"")</f>
        <v/>
      </c>
      <c r="D2912" s="16" t="str">
        <f>IFERROR(VLOOKUP(C2912,DATA!#REF!,2,FALSE),"")</f>
        <v/>
      </c>
    </row>
    <row r="2913" spans="3:4" s="237" customFormat="1">
      <c r="C2913" s="16" t="str">
        <f>IFERROR(VLOOKUP(DATA!#REF!,DATA!#REF!,1,FALSE),"")</f>
        <v/>
      </c>
      <c r="D2913" s="16" t="str">
        <f>IFERROR(VLOOKUP(C2913,DATA!#REF!,2,FALSE),"")</f>
        <v/>
      </c>
    </row>
    <row r="2914" spans="3:4" s="237" customFormat="1">
      <c r="C2914" s="16" t="str">
        <f>IFERROR(VLOOKUP(DATA!#REF!,DATA!#REF!,1,FALSE),"")</f>
        <v/>
      </c>
      <c r="D2914" s="16" t="str">
        <f>IFERROR(VLOOKUP(C2914,DATA!#REF!,2,FALSE),"")</f>
        <v/>
      </c>
    </row>
    <row r="2915" spans="3:4" s="237" customFormat="1">
      <c r="C2915" s="16" t="str">
        <f>IFERROR(VLOOKUP(DATA!#REF!,DATA!#REF!,1,FALSE),"")</f>
        <v/>
      </c>
      <c r="D2915" s="16" t="str">
        <f>IFERROR(VLOOKUP(C2915,DATA!#REF!,2,FALSE),"")</f>
        <v/>
      </c>
    </row>
    <row r="2916" spans="3:4" s="237" customFormat="1">
      <c r="C2916" s="16" t="str">
        <f>IFERROR(VLOOKUP(DATA!#REF!,DATA!#REF!,1,FALSE),"")</f>
        <v/>
      </c>
      <c r="D2916" s="16" t="str">
        <f>IFERROR(VLOOKUP(C2916,DATA!#REF!,2,FALSE),"")</f>
        <v/>
      </c>
    </row>
    <row r="2917" spans="3:4" s="237" customFormat="1">
      <c r="C2917" s="16" t="str">
        <f>IFERROR(VLOOKUP(DATA!#REF!,DATA!#REF!,1,FALSE),"")</f>
        <v/>
      </c>
      <c r="D2917" s="16" t="str">
        <f>IFERROR(VLOOKUP(C2917,DATA!#REF!,2,FALSE),"")</f>
        <v/>
      </c>
    </row>
    <row r="2918" spans="3:4" s="237" customFormat="1">
      <c r="C2918" s="16" t="str">
        <f>IFERROR(VLOOKUP(DATA!#REF!,DATA!#REF!,1,FALSE),"")</f>
        <v/>
      </c>
      <c r="D2918" s="16" t="str">
        <f>IFERROR(VLOOKUP(C2918,DATA!#REF!,2,FALSE),"")</f>
        <v/>
      </c>
    </row>
    <row r="2919" spans="3:4" s="237" customFormat="1">
      <c r="C2919" s="16" t="str">
        <f>IFERROR(VLOOKUP(DATA!#REF!,DATA!#REF!,1,FALSE),"")</f>
        <v/>
      </c>
      <c r="D2919" s="16" t="str">
        <f>IFERROR(VLOOKUP(C2919,DATA!#REF!,2,FALSE),"")</f>
        <v/>
      </c>
    </row>
    <row r="2920" spans="3:4" s="237" customFormat="1">
      <c r="C2920" s="16" t="str">
        <f>IFERROR(VLOOKUP(DATA!#REF!,DATA!#REF!,1,FALSE),"")</f>
        <v/>
      </c>
      <c r="D2920" s="16" t="str">
        <f>IFERROR(VLOOKUP(C2920,DATA!#REF!,2,FALSE),"")</f>
        <v/>
      </c>
    </row>
    <row r="2921" spans="3:4" s="237" customFormat="1">
      <c r="C2921" s="16" t="str">
        <f>IFERROR(VLOOKUP(DATA!#REF!,DATA!#REF!,1,FALSE),"")</f>
        <v/>
      </c>
      <c r="D2921" s="16" t="str">
        <f>IFERROR(VLOOKUP(C2921,DATA!#REF!,2,FALSE),"")</f>
        <v/>
      </c>
    </row>
    <row r="2922" spans="3:4" s="237" customFormat="1">
      <c r="C2922" s="16" t="str">
        <f>IFERROR(VLOOKUP(DATA!#REF!,DATA!#REF!,1,FALSE),"")</f>
        <v/>
      </c>
      <c r="D2922" s="16" t="str">
        <f>IFERROR(VLOOKUP(C2922,DATA!#REF!,2,FALSE),"")</f>
        <v/>
      </c>
    </row>
    <row r="2923" spans="3:4" s="237" customFormat="1">
      <c r="C2923" s="16" t="str">
        <f>IFERROR(VLOOKUP(DATA!#REF!,DATA!#REF!,1,FALSE),"")</f>
        <v/>
      </c>
      <c r="D2923" s="16" t="str">
        <f>IFERROR(VLOOKUP(C2923,DATA!#REF!,2,FALSE),"")</f>
        <v/>
      </c>
    </row>
    <row r="2924" spans="3:4" s="237" customFormat="1">
      <c r="C2924" s="16" t="str">
        <f>IFERROR(VLOOKUP(DATA!#REF!,DATA!#REF!,1,FALSE),"")</f>
        <v/>
      </c>
      <c r="D2924" s="16" t="str">
        <f>IFERROR(VLOOKUP(C2924,DATA!#REF!,2,FALSE),"")</f>
        <v/>
      </c>
    </row>
    <row r="2925" spans="3:4" s="237" customFormat="1">
      <c r="C2925" s="16" t="str">
        <f>IFERROR(VLOOKUP(DATA!#REF!,DATA!#REF!,1,FALSE),"")</f>
        <v/>
      </c>
      <c r="D2925" s="16" t="str">
        <f>IFERROR(VLOOKUP(C2925,DATA!#REF!,2,FALSE),"")</f>
        <v/>
      </c>
    </row>
    <row r="2926" spans="3:4" s="237" customFormat="1">
      <c r="C2926" s="16" t="str">
        <f>IFERROR(VLOOKUP(DATA!#REF!,DATA!#REF!,1,FALSE),"")</f>
        <v/>
      </c>
      <c r="D2926" s="16" t="str">
        <f>IFERROR(VLOOKUP(C2926,DATA!#REF!,2,FALSE),"")</f>
        <v/>
      </c>
    </row>
    <row r="2927" spans="3:4" s="237" customFormat="1">
      <c r="C2927" s="16" t="str">
        <f>IFERROR(VLOOKUP(DATA!#REF!,DATA!#REF!,1,FALSE),"")</f>
        <v/>
      </c>
      <c r="D2927" s="16" t="str">
        <f>IFERROR(VLOOKUP(C2927,DATA!#REF!,2,FALSE),"")</f>
        <v/>
      </c>
    </row>
    <row r="2928" spans="3:4" s="237" customFormat="1">
      <c r="C2928" s="16" t="str">
        <f>IFERROR(VLOOKUP(DATA!#REF!,DATA!#REF!,1,FALSE),"")</f>
        <v/>
      </c>
      <c r="D2928" s="16" t="str">
        <f>IFERROR(VLOOKUP(C2928,DATA!#REF!,2,FALSE),"")</f>
        <v/>
      </c>
    </row>
    <row r="2929" spans="3:4" s="237" customFormat="1">
      <c r="C2929" s="16" t="str">
        <f>IFERROR(VLOOKUP(DATA!#REF!,DATA!#REF!,1,FALSE),"")</f>
        <v/>
      </c>
      <c r="D2929" s="16" t="str">
        <f>IFERROR(VLOOKUP(C2929,DATA!#REF!,2,FALSE),"")</f>
        <v/>
      </c>
    </row>
    <row r="2930" spans="3:4" s="237" customFormat="1">
      <c r="C2930" s="16" t="str">
        <f>IFERROR(VLOOKUP(DATA!#REF!,DATA!#REF!,1,FALSE),"")</f>
        <v/>
      </c>
      <c r="D2930" s="16" t="str">
        <f>IFERROR(VLOOKUP(C2930,DATA!#REF!,2,FALSE),"")</f>
        <v/>
      </c>
    </row>
    <row r="2931" spans="3:4" s="237" customFormat="1">
      <c r="C2931" s="16" t="str">
        <f>IFERROR(VLOOKUP(DATA!#REF!,DATA!#REF!,1,FALSE),"")</f>
        <v/>
      </c>
      <c r="D2931" s="16" t="str">
        <f>IFERROR(VLOOKUP(C2931,DATA!#REF!,2,FALSE),"")</f>
        <v/>
      </c>
    </row>
    <row r="2932" spans="3:4" s="237" customFormat="1">
      <c r="C2932" s="16" t="str">
        <f>IFERROR(VLOOKUP(DATA!#REF!,DATA!#REF!,1,FALSE),"")</f>
        <v/>
      </c>
      <c r="D2932" s="16" t="str">
        <f>IFERROR(VLOOKUP(C2932,DATA!#REF!,2,FALSE),"")</f>
        <v/>
      </c>
    </row>
    <row r="2933" spans="3:4" s="237" customFormat="1">
      <c r="C2933" s="16" t="str">
        <f>IFERROR(VLOOKUP(DATA!#REF!,DATA!#REF!,1,FALSE),"")</f>
        <v/>
      </c>
      <c r="D2933" s="16" t="str">
        <f>IFERROR(VLOOKUP(C2933,DATA!#REF!,2,FALSE),"")</f>
        <v/>
      </c>
    </row>
    <row r="2934" spans="3:4" s="237" customFormat="1">
      <c r="C2934" s="16" t="str">
        <f>IFERROR(VLOOKUP(DATA!#REF!,DATA!#REF!,1,FALSE),"")</f>
        <v/>
      </c>
      <c r="D2934" s="16" t="str">
        <f>IFERROR(VLOOKUP(C2934,DATA!#REF!,2,FALSE),"")</f>
        <v/>
      </c>
    </row>
    <row r="2935" spans="3:4" s="237" customFormat="1">
      <c r="C2935" s="16" t="str">
        <f>IFERROR(VLOOKUP(DATA!#REF!,DATA!#REF!,1,FALSE),"")</f>
        <v/>
      </c>
      <c r="D2935" s="16" t="str">
        <f>IFERROR(VLOOKUP(C2935,DATA!#REF!,2,FALSE),"")</f>
        <v/>
      </c>
    </row>
    <row r="2936" spans="3:4" s="237" customFormat="1">
      <c r="C2936" s="16" t="str">
        <f>IFERROR(VLOOKUP(DATA!#REF!,DATA!#REF!,1,FALSE),"")</f>
        <v/>
      </c>
      <c r="D2936" s="16" t="str">
        <f>IFERROR(VLOOKUP(C2936,DATA!#REF!,2,FALSE),"")</f>
        <v/>
      </c>
    </row>
    <row r="2937" spans="3:4" s="237" customFormat="1">
      <c r="C2937" s="16" t="str">
        <f>IFERROR(VLOOKUP(DATA!#REF!,DATA!#REF!,1,FALSE),"")</f>
        <v/>
      </c>
      <c r="D2937" s="16" t="str">
        <f>IFERROR(VLOOKUP(C2937,DATA!#REF!,2,FALSE),"")</f>
        <v/>
      </c>
    </row>
    <row r="2938" spans="3:4" s="237" customFormat="1">
      <c r="C2938" s="16" t="str">
        <f>IFERROR(VLOOKUP(DATA!#REF!,DATA!#REF!,1,FALSE),"")</f>
        <v/>
      </c>
      <c r="D2938" s="16" t="str">
        <f>IFERROR(VLOOKUP(C2938,DATA!#REF!,2,FALSE),"")</f>
        <v/>
      </c>
    </row>
    <row r="2939" spans="3:4" s="237" customFormat="1">
      <c r="C2939" s="16" t="str">
        <f>IFERROR(VLOOKUP(DATA!#REF!,DATA!#REF!,1,FALSE),"")</f>
        <v/>
      </c>
      <c r="D2939" s="16" t="str">
        <f>IFERROR(VLOOKUP(C2939,DATA!#REF!,2,FALSE),"")</f>
        <v/>
      </c>
    </row>
    <row r="2940" spans="3:4" s="237" customFormat="1">
      <c r="C2940" s="16" t="str">
        <f>IFERROR(VLOOKUP(DATA!#REF!,DATA!#REF!,1,FALSE),"")</f>
        <v/>
      </c>
      <c r="D2940" s="16" t="str">
        <f>IFERROR(VLOOKUP(C2940,DATA!#REF!,2,FALSE),"")</f>
        <v/>
      </c>
    </row>
    <row r="2941" spans="3:4" s="237" customFormat="1">
      <c r="C2941" s="16" t="str">
        <f>IFERROR(VLOOKUP(DATA!#REF!,DATA!#REF!,1,FALSE),"")</f>
        <v/>
      </c>
      <c r="D2941" s="16" t="str">
        <f>IFERROR(VLOOKUP(C2941,DATA!#REF!,2,FALSE),"")</f>
        <v/>
      </c>
    </row>
    <row r="2942" spans="3:4" s="237" customFormat="1">
      <c r="C2942" s="16" t="str">
        <f>IFERROR(VLOOKUP(DATA!#REF!,DATA!#REF!,1,FALSE),"")</f>
        <v/>
      </c>
      <c r="D2942" s="16" t="str">
        <f>IFERROR(VLOOKUP(C2942,DATA!#REF!,2,FALSE),"")</f>
        <v/>
      </c>
    </row>
    <row r="2943" spans="3:4" s="237" customFormat="1">
      <c r="C2943" s="16" t="str">
        <f>IFERROR(VLOOKUP(DATA!#REF!,DATA!#REF!,1,FALSE),"")</f>
        <v/>
      </c>
      <c r="D2943" s="16" t="str">
        <f>IFERROR(VLOOKUP(C2943,DATA!#REF!,2,FALSE),"")</f>
        <v/>
      </c>
    </row>
    <row r="2944" spans="3:4" s="237" customFormat="1">
      <c r="C2944" s="16" t="str">
        <f>IFERROR(VLOOKUP(DATA!#REF!,DATA!#REF!,1,FALSE),"")</f>
        <v/>
      </c>
      <c r="D2944" s="16" t="str">
        <f>IFERROR(VLOOKUP(C2944,DATA!#REF!,2,FALSE),"")</f>
        <v/>
      </c>
    </row>
    <row r="2945" spans="3:4" s="237" customFormat="1">
      <c r="C2945" s="16" t="str">
        <f>IFERROR(VLOOKUP(DATA!#REF!,DATA!#REF!,1,FALSE),"")</f>
        <v/>
      </c>
      <c r="D2945" s="16" t="str">
        <f>IFERROR(VLOOKUP(C2945,DATA!#REF!,2,FALSE),"")</f>
        <v/>
      </c>
    </row>
    <row r="2946" spans="3:4" s="237" customFormat="1">
      <c r="C2946" s="16" t="str">
        <f>IFERROR(VLOOKUP(DATA!#REF!,DATA!#REF!,1,FALSE),"")</f>
        <v/>
      </c>
      <c r="D2946" s="16" t="str">
        <f>IFERROR(VLOOKUP(C2946,DATA!#REF!,2,FALSE),"")</f>
        <v/>
      </c>
    </row>
    <row r="2947" spans="3:4" s="237" customFormat="1">
      <c r="C2947" s="16" t="str">
        <f>IFERROR(VLOOKUP(DATA!#REF!,DATA!#REF!,1,FALSE),"")</f>
        <v/>
      </c>
      <c r="D2947" s="16" t="str">
        <f>IFERROR(VLOOKUP(C2947,DATA!#REF!,2,FALSE),"")</f>
        <v/>
      </c>
    </row>
    <row r="2948" spans="3:4" s="237" customFormat="1">
      <c r="C2948" s="16" t="str">
        <f>IFERROR(VLOOKUP(DATA!#REF!,DATA!#REF!,1,FALSE),"")</f>
        <v/>
      </c>
      <c r="D2948" s="16" t="str">
        <f>IFERROR(VLOOKUP(C2948,DATA!#REF!,2,FALSE),"")</f>
        <v/>
      </c>
    </row>
    <row r="2949" spans="3:4" s="237" customFormat="1">
      <c r="C2949" s="16" t="str">
        <f>IFERROR(VLOOKUP(DATA!#REF!,DATA!#REF!,1,FALSE),"")</f>
        <v/>
      </c>
      <c r="D2949" s="16" t="str">
        <f>IFERROR(VLOOKUP(C2949,DATA!#REF!,2,FALSE),"")</f>
        <v/>
      </c>
    </row>
    <row r="2950" spans="3:4" s="237" customFormat="1">
      <c r="C2950" s="16" t="str">
        <f>IFERROR(VLOOKUP(DATA!#REF!,DATA!#REF!,1,FALSE),"")</f>
        <v/>
      </c>
      <c r="D2950" s="16" t="str">
        <f>IFERROR(VLOOKUP(C2950,DATA!#REF!,2,FALSE),"")</f>
        <v/>
      </c>
    </row>
    <row r="2951" spans="3:4" s="237" customFormat="1">
      <c r="C2951" s="16" t="str">
        <f>IFERROR(VLOOKUP(DATA!#REF!,DATA!#REF!,1,FALSE),"")</f>
        <v/>
      </c>
      <c r="D2951" s="16" t="str">
        <f>IFERROR(VLOOKUP(C2951,DATA!#REF!,2,FALSE),"")</f>
        <v/>
      </c>
    </row>
    <row r="2952" spans="3:4" s="237" customFormat="1">
      <c r="C2952" s="16" t="str">
        <f>IFERROR(VLOOKUP(DATA!#REF!,DATA!#REF!,1,FALSE),"")</f>
        <v/>
      </c>
      <c r="D2952" s="16" t="str">
        <f>IFERROR(VLOOKUP(C2952,DATA!#REF!,2,FALSE),"")</f>
        <v/>
      </c>
    </row>
    <row r="2953" spans="3:4" s="237" customFormat="1">
      <c r="C2953" s="16" t="str">
        <f>IFERROR(VLOOKUP(DATA!#REF!,DATA!#REF!,1,FALSE),"")</f>
        <v/>
      </c>
      <c r="D2953" s="16" t="str">
        <f>IFERROR(VLOOKUP(C2953,DATA!#REF!,2,FALSE),"")</f>
        <v/>
      </c>
    </row>
    <row r="2954" spans="3:4" s="237" customFormat="1">
      <c r="C2954" s="16" t="str">
        <f>IFERROR(VLOOKUP(DATA!#REF!,DATA!#REF!,1,FALSE),"")</f>
        <v/>
      </c>
      <c r="D2954" s="16" t="str">
        <f>IFERROR(VLOOKUP(C2954,DATA!#REF!,2,FALSE),"")</f>
        <v/>
      </c>
    </row>
    <row r="2955" spans="3:4" s="237" customFormat="1">
      <c r="C2955" s="16" t="str">
        <f>IFERROR(VLOOKUP(DATA!#REF!,DATA!#REF!,1,FALSE),"")</f>
        <v/>
      </c>
      <c r="D2955" s="16" t="str">
        <f>IFERROR(VLOOKUP(C2955,DATA!#REF!,2,FALSE),"")</f>
        <v/>
      </c>
    </row>
    <row r="2956" spans="3:4" s="237" customFormat="1">
      <c r="C2956" s="16" t="str">
        <f>IFERROR(VLOOKUP(DATA!#REF!,DATA!#REF!,1,FALSE),"")</f>
        <v/>
      </c>
      <c r="D2956" s="16" t="str">
        <f>IFERROR(VLOOKUP(C2956,DATA!#REF!,2,FALSE),"")</f>
        <v/>
      </c>
    </row>
    <row r="2957" spans="3:4" s="237" customFormat="1">
      <c r="C2957" s="16" t="str">
        <f>IFERROR(VLOOKUP(DATA!#REF!,DATA!#REF!,1,FALSE),"")</f>
        <v/>
      </c>
      <c r="D2957" s="16" t="str">
        <f>IFERROR(VLOOKUP(C2957,DATA!#REF!,2,FALSE),"")</f>
        <v/>
      </c>
    </row>
    <row r="2958" spans="3:4" s="237" customFormat="1">
      <c r="C2958" s="16" t="str">
        <f>IFERROR(VLOOKUP(DATA!#REF!,DATA!#REF!,1,FALSE),"")</f>
        <v/>
      </c>
      <c r="D2958" s="16" t="str">
        <f>IFERROR(VLOOKUP(C2958,DATA!#REF!,2,FALSE),"")</f>
        <v/>
      </c>
    </row>
    <row r="2959" spans="3:4" s="237" customFormat="1">
      <c r="C2959" s="16" t="str">
        <f>IFERROR(VLOOKUP(DATA!#REF!,DATA!#REF!,1,FALSE),"")</f>
        <v/>
      </c>
      <c r="D2959" s="16" t="str">
        <f>IFERROR(VLOOKUP(C2959,DATA!#REF!,2,FALSE),"")</f>
        <v/>
      </c>
    </row>
    <row r="2960" spans="3:4" s="237" customFormat="1">
      <c r="C2960" s="16" t="str">
        <f>IFERROR(VLOOKUP(DATA!#REF!,DATA!#REF!,1,FALSE),"")</f>
        <v/>
      </c>
      <c r="D2960" s="16" t="str">
        <f>IFERROR(VLOOKUP(C2960,DATA!#REF!,2,FALSE),"")</f>
        <v/>
      </c>
    </row>
    <row r="2961" spans="3:4" s="237" customFormat="1">
      <c r="C2961" s="16" t="str">
        <f>IFERROR(VLOOKUP(DATA!#REF!,DATA!#REF!,1,FALSE),"")</f>
        <v/>
      </c>
      <c r="D2961" s="16" t="str">
        <f>IFERROR(VLOOKUP(C2961,DATA!#REF!,2,FALSE),"")</f>
        <v/>
      </c>
    </row>
    <row r="2962" spans="3:4" s="237" customFormat="1">
      <c r="C2962" s="16" t="str">
        <f>IFERROR(VLOOKUP(DATA!#REF!,DATA!#REF!,1,FALSE),"")</f>
        <v/>
      </c>
      <c r="D2962" s="16" t="str">
        <f>IFERROR(VLOOKUP(C2962,DATA!#REF!,2,FALSE),"")</f>
        <v/>
      </c>
    </row>
    <row r="2963" spans="3:4" s="237" customFormat="1">
      <c r="C2963" s="16" t="str">
        <f>IFERROR(VLOOKUP(DATA!#REF!,DATA!#REF!,1,FALSE),"")</f>
        <v/>
      </c>
      <c r="D2963" s="16" t="str">
        <f>IFERROR(VLOOKUP(C2963,DATA!#REF!,2,FALSE),"")</f>
        <v/>
      </c>
    </row>
    <row r="2964" spans="3:4" s="237" customFormat="1">
      <c r="C2964" s="16" t="str">
        <f>IFERROR(VLOOKUP(DATA!#REF!,DATA!#REF!,1,FALSE),"")</f>
        <v/>
      </c>
      <c r="D2964" s="16" t="str">
        <f>IFERROR(VLOOKUP(C2964,DATA!#REF!,2,FALSE),"")</f>
        <v/>
      </c>
    </row>
    <row r="2965" spans="3:4" s="237" customFormat="1">
      <c r="C2965" s="16" t="str">
        <f>IFERROR(VLOOKUP(DATA!#REF!,DATA!#REF!,1,FALSE),"")</f>
        <v/>
      </c>
      <c r="D2965" s="16" t="str">
        <f>IFERROR(VLOOKUP(C2965,DATA!#REF!,2,FALSE),"")</f>
        <v/>
      </c>
    </row>
    <row r="2966" spans="3:4" s="237" customFormat="1">
      <c r="C2966" s="16" t="str">
        <f>IFERROR(VLOOKUP(DATA!#REF!,DATA!#REF!,1,FALSE),"")</f>
        <v/>
      </c>
      <c r="D2966" s="16" t="str">
        <f>IFERROR(VLOOKUP(C2966,DATA!#REF!,2,FALSE),"")</f>
        <v/>
      </c>
    </row>
    <row r="2967" spans="3:4" s="237" customFormat="1">
      <c r="C2967" s="16" t="str">
        <f>IFERROR(VLOOKUP(DATA!#REF!,DATA!#REF!,1,FALSE),"")</f>
        <v/>
      </c>
      <c r="D2967" s="16" t="str">
        <f>IFERROR(VLOOKUP(C2967,DATA!#REF!,2,FALSE),"")</f>
        <v/>
      </c>
    </row>
    <row r="2968" spans="3:4" s="237" customFormat="1">
      <c r="C2968" s="16" t="str">
        <f>IFERROR(VLOOKUP(DATA!#REF!,DATA!#REF!,1,FALSE),"")</f>
        <v/>
      </c>
      <c r="D2968" s="16" t="str">
        <f>IFERROR(VLOOKUP(C2968,DATA!#REF!,2,FALSE),"")</f>
        <v/>
      </c>
    </row>
    <row r="2969" spans="3:4" s="237" customFormat="1">
      <c r="C2969" s="16" t="str">
        <f>IFERROR(VLOOKUP(DATA!#REF!,DATA!#REF!,1,FALSE),"")</f>
        <v/>
      </c>
      <c r="D2969" s="16" t="str">
        <f>IFERROR(VLOOKUP(C2969,DATA!#REF!,2,FALSE),"")</f>
        <v/>
      </c>
    </row>
    <row r="2970" spans="3:4" s="237" customFormat="1">
      <c r="C2970" s="16" t="str">
        <f>IFERROR(VLOOKUP(DATA!#REF!,DATA!#REF!,1,FALSE),"")</f>
        <v/>
      </c>
      <c r="D2970" s="16" t="str">
        <f>IFERROR(VLOOKUP(C2970,DATA!#REF!,2,FALSE),"")</f>
        <v/>
      </c>
    </row>
    <row r="2971" spans="3:4" s="237" customFormat="1">
      <c r="C2971" s="16" t="str">
        <f>IFERROR(VLOOKUP(DATA!#REF!,DATA!#REF!,1,FALSE),"")</f>
        <v/>
      </c>
      <c r="D2971" s="16" t="str">
        <f>IFERROR(VLOOKUP(C2971,DATA!#REF!,2,FALSE),"")</f>
        <v/>
      </c>
    </row>
    <row r="2972" spans="3:4" s="237" customFormat="1">
      <c r="C2972" s="16" t="str">
        <f>IFERROR(VLOOKUP(DATA!#REF!,DATA!#REF!,1,FALSE),"")</f>
        <v/>
      </c>
      <c r="D2972" s="16" t="str">
        <f>IFERROR(VLOOKUP(C2972,DATA!#REF!,2,FALSE),"")</f>
        <v/>
      </c>
    </row>
    <row r="2973" spans="3:4" s="237" customFormat="1">
      <c r="C2973" s="16" t="str">
        <f>IFERROR(VLOOKUP(DATA!#REF!,DATA!#REF!,1,FALSE),"")</f>
        <v/>
      </c>
      <c r="D2973" s="16" t="str">
        <f>IFERROR(VLOOKUP(C2973,DATA!#REF!,2,FALSE),"")</f>
        <v/>
      </c>
    </row>
    <row r="2974" spans="3:4" s="237" customFormat="1">
      <c r="C2974" s="16" t="str">
        <f>IFERROR(VLOOKUP(DATA!#REF!,DATA!#REF!,1,FALSE),"")</f>
        <v/>
      </c>
      <c r="D2974" s="16" t="str">
        <f>IFERROR(VLOOKUP(C2974,DATA!#REF!,2,FALSE),"")</f>
        <v/>
      </c>
    </row>
    <row r="2975" spans="3:4" s="237" customFormat="1">
      <c r="C2975" s="16" t="str">
        <f>IFERROR(VLOOKUP(DATA!#REF!,DATA!#REF!,1,FALSE),"")</f>
        <v/>
      </c>
      <c r="D2975" s="16" t="str">
        <f>IFERROR(VLOOKUP(C2975,DATA!#REF!,2,FALSE),"")</f>
        <v/>
      </c>
    </row>
    <row r="2976" spans="3:4" s="237" customFormat="1">
      <c r="C2976" s="16" t="str">
        <f>IFERROR(VLOOKUP(DATA!#REF!,DATA!#REF!,1,FALSE),"")</f>
        <v/>
      </c>
      <c r="D2976" s="16" t="str">
        <f>IFERROR(VLOOKUP(C2976,DATA!#REF!,2,FALSE),"")</f>
        <v/>
      </c>
    </row>
    <row r="2977" spans="3:4" s="237" customFormat="1">
      <c r="C2977" s="16" t="str">
        <f>IFERROR(VLOOKUP(DATA!#REF!,DATA!#REF!,1,FALSE),"")</f>
        <v/>
      </c>
      <c r="D2977" s="16" t="str">
        <f>IFERROR(VLOOKUP(C2977,DATA!#REF!,2,FALSE),"")</f>
        <v/>
      </c>
    </row>
    <row r="2978" spans="3:4" s="237" customFormat="1">
      <c r="C2978" s="16" t="str">
        <f>IFERROR(VLOOKUP(DATA!#REF!,DATA!#REF!,1,FALSE),"")</f>
        <v/>
      </c>
      <c r="D2978" s="16" t="str">
        <f>IFERROR(VLOOKUP(C2978,DATA!#REF!,2,FALSE),"")</f>
        <v/>
      </c>
    </row>
    <row r="2979" spans="3:4" s="237" customFormat="1">
      <c r="C2979" s="16" t="str">
        <f>IFERROR(VLOOKUP(DATA!#REF!,DATA!#REF!,1,FALSE),"")</f>
        <v/>
      </c>
      <c r="D2979" s="16" t="str">
        <f>IFERROR(VLOOKUP(C2979,DATA!#REF!,2,FALSE),"")</f>
        <v/>
      </c>
    </row>
    <row r="2980" spans="3:4" s="237" customFormat="1">
      <c r="C2980" s="16" t="str">
        <f>IFERROR(VLOOKUP(DATA!#REF!,DATA!#REF!,1,FALSE),"")</f>
        <v/>
      </c>
      <c r="D2980" s="16" t="str">
        <f>IFERROR(VLOOKUP(C2980,DATA!#REF!,2,FALSE),"")</f>
        <v/>
      </c>
    </row>
    <row r="2981" spans="3:4" s="237" customFormat="1">
      <c r="C2981" s="16" t="str">
        <f>IFERROR(VLOOKUP(DATA!#REF!,DATA!#REF!,1,FALSE),"")</f>
        <v/>
      </c>
      <c r="D2981" s="16" t="str">
        <f>IFERROR(VLOOKUP(C2981,DATA!#REF!,2,FALSE),"")</f>
        <v/>
      </c>
    </row>
    <row r="2982" spans="3:4" s="237" customFormat="1">
      <c r="C2982" s="16" t="str">
        <f>IFERROR(VLOOKUP(DATA!#REF!,DATA!#REF!,1,FALSE),"")</f>
        <v/>
      </c>
      <c r="D2982" s="16" t="str">
        <f>IFERROR(VLOOKUP(C2982,DATA!#REF!,2,FALSE),"")</f>
        <v/>
      </c>
    </row>
    <row r="2983" spans="3:4" s="237" customFormat="1">
      <c r="C2983" s="16" t="str">
        <f>IFERROR(VLOOKUP(DATA!#REF!,DATA!#REF!,1,FALSE),"")</f>
        <v/>
      </c>
      <c r="D2983" s="16" t="str">
        <f>IFERROR(VLOOKUP(C2983,DATA!#REF!,2,FALSE),"")</f>
        <v/>
      </c>
    </row>
    <row r="2984" spans="3:4" s="237" customFormat="1">
      <c r="C2984" s="16" t="str">
        <f>IFERROR(VLOOKUP(DATA!#REF!,DATA!#REF!,1,FALSE),"")</f>
        <v/>
      </c>
      <c r="D2984" s="16" t="str">
        <f>IFERROR(VLOOKUP(C2984,DATA!#REF!,2,FALSE),"")</f>
        <v/>
      </c>
    </row>
    <row r="2985" spans="3:4" s="237" customFormat="1">
      <c r="C2985" s="16" t="str">
        <f>IFERROR(VLOOKUP(DATA!#REF!,DATA!#REF!,1,FALSE),"")</f>
        <v/>
      </c>
      <c r="D2985" s="16" t="str">
        <f>IFERROR(VLOOKUP(C2985,DATA!#REF!,2,FALSE),"")</f>
        <v/>
      </c>
    </row>
    <row r="2986" spans="3:4" s="237" customFormat="1">
      <c r="C2986" s="16" t="str">
        <f>IFERROR(VLOOKUP(DATA!#REF!,DATA!#REF!,1,FALSE),"")</f>
        <v/>
      </c>
      <c r="D2986" s="16" t="str">
        <f>IFERROR(VLOOKUP(C2986,DATA!#REF!,2,FALSE),"")</f>
        <v/>
      </c>
    </row>
    <row r="2987" spans="3:4" s="237" customFormat="1">
      <c r="C2987" s="16" t="str">
        <f>IFERROR(VLOOKUP(DATA!#REF!,DATA!#REF!,1,FALSE),"")</f>
        <v/>
      </c>
      <c r="D2987" s="16" t="str">
        <f>IFERROR(VLOOKUP(C2987,DATA!#REF!,2,FALSE),"")</f>
        <v/>
      </c>
    </row>
    <row r="2988" spans="3:4" s="237" customFormat="1">
      <c r="C2988" s="16" t="str">
        <f>IFERROR(VLOOKUP(DATA!#REF!,DATA!#REF!,1,FALSE),"")</f>
        <v/>
      </c>
      <c r="D2988" s="16" t="str">
        <f>IFERROR(VLOOKUP(C2988,DATA!#REF!,2,FALSE),"")</f>
        <v/>
      </c>
    </row>
    <row r="2989" spans="3:4" s="237" customFormat="1">
      <c r="C2989" s="16" t="str">
        <f>IFERROR(VLOOKUP(DATA!#REF!,DATA!#REF!,1,FALSE),"")</f>
        <v/>
      </c>
      <c r="D2989" s="16" t="str">
        <f>IFERROR(VLOOKUP(C2989,DATA!#REF!,2,FALSE),"")</f>
        <v/>
      </c>
    </row>
    <row r="2990" spans="3:4" s="237" customFormat="1">
      <c r="C2990" s="16" t="str">
        <f>IFERROR(VLOOKUP(DATA!#REF!,DATA!#REF!,1,FALSE),"")</f>
        <v/>
      </c>
      <c r="D2990" s="16" t="str">
        <f>IFERROR(VLOOKUP(C2990,DATA!#REF!,2,FALSE),"")</f>
        <v/>
      </c>
    </row>
    <row r="2991" spans="3:4" s="237" customFormat="1">
      <c r="C2991" s="16" t="str">
        <f>IFERROR(VLOOKUP(DATA!#REF!,DATA!#REF!,1,FALSE),"")</f>
        <v/>
      </c>
      <c r="D2991" s="16" t="str">
        <f>IFERROR(VLOOKUP(C2991,DATA!#REF!,2,FALSE),"")</f>
        <v/>
      </c>
    </row>
    <row r="2992" spans="3:4" s="237" customFormat="1">
      <c r="C2992" s="16" t="str">
        <f>IFERROR(VLOOKUP(DATA!#REF!,DATA!#REF!,1,FALSE),"")</f>
        <v/>
      </c>
      <c r="D2992" s="16" t="str">
        <f>IFERROR(VLOOKUP(C2992,DATA!#REF!,2,FALSE),"")</f>
        <v/>
      </c>
    </row>
    <row r="2993" spans="3:4" s="237" customFormat="1">
      <c r="C2993" s="16" t="str">
        <f>IFERROR(VLOOKUP(DATA!#REF!,DATA!#REF!,1,FALSE),"")</f>
        <v/>
      </c>
      <c r="D2993" s="16" t="str">
        <f>IFERROR(VLOOKUP(C2993,DATA!#REF!,2,FALSE),"")</f>
        <v/>
      </c>
    </row>
    <row r="2994" spans="3:4" s="237" customFormat="1">
      <c r="C2994" s="16" t="str">
        <f>IFERROR(VLOOKUP(DATA!#REF!,DATA!#REF!,1,FALSE),"")</f>
        <v/>
      </c>
      <c r="D2994" s="16" t="str">
        <f>IFERROR(VLOOKUP(C2994,DATA!#REF!,2,FALSE),"")</f>
        <v/>
      </c>
    </row>
    <row r="2995" spans="3:4" s="237" customFormat="1">
      <c r="C2995" s="16" t="str">
        <f>IFERROR(VLOOKUP(DATA!#REF!,DATA!#REF!,1,FALSE),"")</f>
        <v/>
      </c>
      <c r="D2995" s="16" t="str">
        <f>IFERROR(VLOOKUP(C2995,DATA!#REF!,2,FALSE),"")</f>
        <v/>
      </c>
    </row>
    <row r="2996" spans="3:4" s="237" customFormat="1">
      <c r="C2996" s="16" t="str">
        <f>IFERROR(VLOOKUP(DATA!#REF!,DATA!#REF!,1,FALSE),"")</f>
        <v/>
      </c>
      <c r="D2996" s="16" t="str">
        <f>IFERROR(VLOOKUP(C2996,DATA!#REF!,2,FALSE),"")</f>
        <v/>
      </c>
    </row>
    <row r="2997" spans="3:4" s="237" customFormat="1">
      <c r="C2997" s="16" t="str">
        <f>IFERROR(VLOOKUP(DATA!#REF!,DATA!#REF!,1,FALSE),"")</f>
        <v/>
      </c>
      <c r="D2997" s="16" t="str">
        <f>IFERROR(VLOOKUP(C2997,DATA!#REF!,2,FALSE),"")</f>
        <v/>
      </c>
    </row>
    <row r="2998" spans="3:4" s="237" customFormat="1">
      <c r="C2998" s="16" t="str">
        <f>IFERROR(VLOOKUP(DATA!#REF!,DATA!#REF!,1,FALSE),"")</f>
        <v/>
      </c>
      <c r="D2998" s="16" t="str">
        <f>IFERROR(VLOOKUP(C2998,DATA!#REF!,2,FALSE),"")</f>
        <v/>
      </c>
    </row>
    <row r="2999" spans="3:4" s="237" customFormat="1">
      <c r="C2999" s="16" t="str">
        <f>IFERROR(VLOOKUP(DATA!#REF!,DATA!#REF!,1,FALSE),"")</f>
        <v/>
      </c>
      <c r="D2999" s="16" t="str">
        <f>IFERROR(VLOOKUP(C2999,DATA!#REF!,2,FALSE),"")</f>
        <v/>
      </c>
    </row>
    <row r="3000" spans="3:4" s="237" customFormat="1">
      <c r="C3000" s="16" t="str">
        <f>IFERROR(VLOOKUP(DATA!#REF!,DATA!#REF!,1,FALSE),"")</f>
        <v/>
      </c>
      <c r="D3000" s="16" t="str">
        <f>IFERROR(VLOOKUP(C3000,DATA!#REF!,2,FALSE),"")</f>
        <v/>
      </c>
    </row>
    <row r="3001" spans="3:4" s="237" customFormat="1">
      <c r="C3001" s="16" t="str">
        <f>IFERROR(VLOOKUP(DATA!#REF!,DATA!#REF!,1,FALSE),"")</f>
        <v/>
      </c>
      <c r="D3001" s="16" t="str">
        <f>IFERROR(VLOOKUP(C3001,DATA!#REF!,2,FALSE),"")</f>
        <v/>
      </c>
    </row>
    <row r="3002" spans="3:4" s="237" customFormat="1">
      <c r="C3002" s="16" t="str">
        <f>IFERROR(VLOOKUP(DATA!#REF!,DATA!#REF!,1,FALSE),"")</f>
        <v/>
      </c>
      <c r="D3002" s="16" t="str">
        <f>IFERROR(VLOOKUP(C3002,DATA!#REF!,2,FALSE),"")</f>
        <v/>
      </c>
    </row>
    <row r="3003" spans="3:4" s="237" customFormat="1">
      <c r="C3003" s="16" t="str">
        <f>IFERROR(VLOOKUP(DATA!#REF!,DATA!#REF!,1,FALSE),"")</f>
        <v/>
      </c>
      <c r="D3003" s="16" t="str">
        <f>IFERROR(VLOOKUP(C3003,DATA!#REF!,2,FALSE),"")</f>
        <v/>
      </c>
    </row>
    <row r="3004" spans="3:4" s="237" customFormat="1">
      <c r="C3004" s="16" t="str">
        <f>IFERROR(VLOOKUP(DATA!#REF!,DATA!#REF!,1,FALSE),"")</f>
        <v/>
      </c>
      <c r="D3004" s="16" t="str">
        <f>IFERROR(VLOOKUP(C3004,DATA!#REF!,2,FALSE),"")</f>
        <v/>
      </c>
    </row>
    <row r="3005" spans="3:4" s="237" customFormat="1">
      <c r="C3005" s="16" t="str">
        <f>IFERROR(VLOOKUP(DATA!#REF!,DATA!#REF!,1,FALSE),"")</f>
        <v/>
      </c>
      <c r="D3005" s="16" t="str">
        <f>IFERROR(VLOOKUP(C3005,DATA!#REF!,2,FALSE),"")</f>
        <v/>
      </c>
    </row>
    <row r="3006" spans="3:4" s="237" customFormat="1">
      <c r="C3006" s="16" t="str">
        <f>IFERROR(VLOOKUP(DATA!#REF!,DATA!#REF!,1,FALSE),"")</f>
        <v/>
      </c>
      <c r="D3006" s="16" t="str">
        <f>IFERROR(VLOOKUP(C3006,DATA!#REF!,2,FALSE),"")</f>
        <v/>
      </c>
    </row>
    <row r="3007" spans="3:4" s="237" customFormat="1">
      <c r="C3007" s="16" t="str">
        <f>IFERROR(VLOOKUP(DATA!#REF!,DATA!#REF!,1,FALSE),"")</f>
        <v/>
      </c>
      <c r="D3007" s="16" t="str">
        <f>IFERROR(VLOOKUP(C3007,DATA!#REF!,2,FALSE),"")</f>
        <v/>
      </c>
    </row>
    <row r="3008" spans="3:4" s="237" customFormat="1">
      <c r="C3008" s="16" t="str">
        <f>IFERROR(VLOOKUP(DATA!#REF!,DATA!#REF!,1,FALSE),"")</f>
        <v/>
      </c>
      <c r="D3008" s="16" t="str">
        <f>IFERROR(VLOOKUP(C3008,DATA!#REF!,2,FALSE),"")</f>
        <v/>
      </c>
    </row>
    <row r="3009" spans="3:4" s="237" customFormat="1">
      <c r="C3009" s="16" t="str">
        <f>IFERROR(VLOOKUP(DATA!#REF!,DATA!#REF!,1,FALSE),"")</f>
        <v/>
      </c>
      <c r="D3009" s="16" t="str">
        <f>IFERROR(VLOOKUP(C3009,DATA!#REF!,2,FALSE),"")</f>
        <v/>
      </c>
    </row>
    <row r="3010" spans="3:4" s="237" customFormat="1">
      <c r="C3010" s="16" t="str">
        <f>IFERROR(VLOOKUP(DATA!#REF!,DATA!#REF!,1,FALSE),"")</f>
        <v/>
      </c>
      <c r="D3010" s="16" t="str">
        <f>IFERROR(VLOOKUP(C3010,DATA!#REF!,2,FALSE),"")</f>
        <v/>
      </c>
    </row>
    <row r="3011" spans="3:4" s="237" customFormat="1">
      <c r="C3011" s="16" t="str">
        <f>IFERROR(VLOOKUP(DATA!#REF!,DATA!#REF!,1,FALSE),"")</f>
        <v/>
      </c>
      <c r="D3011" s="16" t="str">
        <f>IFERROR(VLOOKUP(C3011,DATA!#REF!,2,FALSE),"")</f>
        <v/>
      </c>
    </row>
    <row r="3012" spans="3:4" s="237" customFormat="1">
      <c r="C3012" s="16" t="str">
        <f>IFERROR(VLOOKUP(DATA!#REF!,DATA!#REF!,1,FALSE),"")</f>
        <v/>
      </c>
      <c r="D3012" s="16" t="str">
        <f>IFERROR(VLOOKUP(C3012,DATA!#REF!,2,FALSE),"")</f>
        <v/>
      </c>
    </row>
    <row r="3013" spans="3:4" s="237" customFormat="1">
      <c r="C3013" s="16" t="str">
        <f>IFERROR(VLOOKUP(DATA!#REF!,DATA!#REF!,1,FALSE),"")</f>
        <v/>
      </c>
      <c r="D3013" s="16" t="str">
        <f>IFERROR(VLOOKUP(C3013,DATA!#REF!,2,FALSE),"")</f>
        <v/>
      </c>
    </row>
    <row r="3014" spans="3:4" s="237" customFormat="1">
      <c r="C3014" s="16" t="str">
        <f>IFERROR(VLOOKUP(DATA!#REF!,DATA!#REF!,1,FALSE),"")</f>
        <v/>
      </c>
      <c r="D3014" s="16" t="str">
        <f>IFERROR(VLOOKUP(C3014,DATA!#REF!,2,FALSE),"")</f>
        <v/>
      </c>
    </row>
    <row r="3015" spans="3:4" s="237" customFormat="1">
      <c r="C3015" s="16" t="str">
        <f>IFERROR(VLOOKUP(DATA!#REF!,DATA!#REF!,1,FALSE),"")</f>
        <v/>
      </c>
      <c r="D3015" s="16" t="str">
        <f>IFERROR(VLOOKUP(C3015,DATA!#REF!,2,FALSE),"")</f>
        <v/>
      </c>
    </row>
    <row r="3016" spans="3:4" s="237" customFormat="1">
      <c r="C3016" s="16" t="str">
        <f>IFERROR(VLOOKUP(DATA!#REF!,DATA!#REF!,1,FALSE),"")</f>
        <v/>
      </c>
      <c r="D3016" s="16" t="str">
        <f>IFERROR(VLOOKUP(C3016,DATA!#REF!,2,FALSE),"")</f>
        <v/>
      </c>
    </row>
    <row r="3017" spans="3:4" s="237" customFormat="1">
      <c r="C3017" s="16" t="str">
        <f>IFERROR(VLOOKUP(DATA!#REF!,DATA!#REF!,1,FALSE),"")</f>
        <v/>
      </c>
      <c r="D3017" s="16" t="str">
        <f>IFERROR(VLOOKUP(C3017,DATA!#REF!,2,FALSE),"")</f>
        <v/>
      </c>
    </row>
    <row r="3018" spans="3:4" s="237" customFormat="1">
      <c r="C3018" s="16" t="str">
        <f>IFERROR(VLOOKUP(DATA!#REF!,DATA!#REF!,1,FALSE),"")</f>
        <v/>
      </c>
      <c r="D3018" s="16" t="str">
        <f>IFERROR(VLOOKUP(C3018,DATA!#REF!,2,FALSE),"")</f>
        <v/>
      </c>
    </row>
    <row r="3019" spans="3:4" s="237" customFormat="1">
      <c r="C3019" s="16" t="str">
        <f>IFERROR(VLOOKUP(DATA!#REF!,DATA!#REF!,1,FALSE),"")</f>
        <v/>
      </c>
      <c r="D3019" s="16" t="str">
        <f>IFERROR(VLOOKUP(C3019,DATA!#REF!,2,FALSE),"")</f>
        <v/>
      </c>
    </row>
    <row r="3020" spans="3:4" s="237" customFormat="1">
      <c r="C3020" s="16" t="str">
        <f>IFERROR(VLOOKUP(DATA!#REF!,DATA!#REF!,1,FALSE),"")</f>
        <v/>
      </c>
      <c r="D3020" s="16" t="str">
        <f>IFERROR(VLOOKUP(C3020,DATA!#REF!,2,FALSE),"")</f>
        <v/>
      </c>
    </row>
    <row r="3021" spans="3:4" s="237" customFormat="1">
      <c r="C3021" s="16" t="str">
        <f>IFERROR(VLOOKUP(DATA!#REF!,DATA!#REF!,1,FALSE),"")</f>
        <v/>
      </c>
      <c r="D3021" s="16" t="str">
        <f>IFERROR(VLOOKUP(C3021,DATA!#REF!,2,FALSE),"")</f>
        <v/>
      </c>
    </row>
    <row r="3022" spans="3:4" s="237" customFormat="1">
      <c r="C3022" s="16" t="str">
        <f>IFERROR(VLOOKUP(DATA!#REF!,DATA!#REF!,1,FALSE),"")</f>
        <v/>
      </c>
      <c r="D3022" s="16" t="str">
        <f>IFERROR(VLOOKUP(C3022,DATA!#REF!,2,FALSE),"")</f>
        <v/>
      </c>
    </row>
    <row r="3023" spans="3:4" s="237" customFormat="1">
      <c r="C3023" s="16" t="str">
        <f>IFERROR(VLOOKUP(DATA!#REF!,DATA!#REF!,1,FALSE),"")</f>
        <v/>
      </c>
      <c r="D3023" s="16" t="str">
        <f>IFERROR(VLOOKUP(C3023,DATA!#REF!,2,FALSE),"")</f>
        <v/>
      </c>
    </row>
    <row r="3024" spans="3:4" s="237" customFormat="1">
      <c r="C3024" s="16" t="str">
        <f>IFERROR(VLOOKUP(DATA!#REF!,DATA!#REF!,1,FALSE),"")</f>
        <v/>
      </c>
      <c r="D3024" s="16" t="str">
        <f>IFERROR(VLOOKUP(C3024,DATA!#REF!,2,FALSE),"")</f>
        <v/>
      </c>
    </row>
    <row r="3025" spans="3:4" s="237" customFormat="1">
      <c r="C3025" s="16" t="str">
        <f>IFERROR(VLOOKUP(DATA!#REF!,DATA!#REF!,1,FALSE),"")</f>
        <v/>
      </c>
      <c r="D3025" s="16" t="str">
        <f>IFERROR(VLOOKUP(C3025,DATA!#REF!,2,FALSE),"")</f>
        <v/>
      </c>
    </row>
    <row r="3026" spans="3:4" s="237" customFormat="1">
      <c r="C3026" s="16" t="str">
        <f>IFERROR(VLOOKUP(DATA!#REF!,DATA!#REF!,1,FALSE),"")</f>
        <v/>
      </c>
      <c r="D3026" s="16" t="str">
        <f>IFERROR(VLOOKUP(C3026,DATA!#REF!,2,FALSE),"")</f>
        <v/>
      </c>
    </row>
    <row r="3027" spans="3:4" s="237" customFormat="1">
      <c r="C3027" s="16" t="str">
        <f>IFERROR(VLOOKUP(DATA!#REF!,DATA!#REF!,1,FALSE),"")</f>
        <v/>
      </c>
      <c r="D3027" s="16" t="str">
        <f>IFERROR(VLOOKUP(C3027,DATA!#REF!,2,FALSE),"")</f>
        <v/>
      </c>
    </row>
    <row r="3028" spans="3:4" s="237" customFormat="1">
      <c r="C3028" s="16" t="str">
        <f>IFERROR(VLOOKUP(DATA!#REF!,DATA!#REF!,1,FALSE),"")</f>
        <v/>
      </c>
      <c r="D3028" s="16" t="str">
        <f>IFERROR(VLOOKUP(C3028,DATA!#REF!,2,FALSE),"")</f>
        <v/>
      </c>
    </row>
    <row r="3029" spans="3:4" s="237" customFormat="1">
      <c r="C3029" s="16" t="str">
        <f>IFERROR(VLOOKUP(DATA!#REF!,DATA!#REF!,1,FALSE),"")</f>
        <v/>
      </c>
      <c r="D3029" s="16" t="str">
        <f>IFERROR(VLOOKUP(C3029,DATA!#REF!,2,FALSE),"")</f>
        <v/>
      </c>
    </row>
    <row r="3030" spans="3:4" s="237" customFormat="1">
      <c r="C3030" s="16" t="str">
        <f>IFERROR(VLOOKUP(DATA!#REF!,DATA!#REF!,1,FALSE),"")</f>
        <v/>
      </c>
      <c r="D3030" s="16" t="str">
        <f>IFERROR(VLOOKUP(C3030,DATA!#REF!,2,FALSE),"")</f>
        <v/>
      </c>
    </row>
    <row r="3031" spans="3:4" s="237" customFormat="1">
      <c r="C3031" s="16" t="str">
        <f>IFERROR(VLOOKUP(DATA!#REF!,DATA!#REF!,1,FALSE),"")</f>
        <v/>
      </c>
      <c r="D3031" s="16" t="str">
        <f>IFERROR(VLOOKUP(C3031,DATA!#REF!,2,FALSE),"")</f>
        <v/>
      </c>
    </row>
    <row r="3032" spans="3:4" s="237" customFormat="1">
      <c r="C3032" s="16" t="str">
        <f>IFERROR(VLOOKUP(DATA!#REF!,DATA!#REF!,1,FALSE),"")</f>
        <v/>
      </c>
      <c r="D3032" s="16" t="str">
        <f>IFERROR(VLOOKUP(C3032,DATA!#REF!,2,FALSE),"")</f>
        <v/>
      </c>
    </row>
    <row r="3033" spans="3:4" s="237" customFormat="1">
      <c r="C3033" s="16" t="str">
        <f>IFERROR(VLOOKUP(DATA!#REF!,DATA!#REF!,1,FALSE),"")</f>
        <v/>
      </c>
      <c r="D3033" s="16" t="str">
        <f>IFERROR(VLOOKUP(C3033,DATA!#REF!,2,FALSE),"")</f>
        <v/>
      </c>
    </row>
    <row r="3034" spans="3:4" s="237" customFormat="1">
      <c r="C3034" s="16" t="str">
        <f>IFERROR(VLOOKUP(DATA!#REF!,DATA!#REF!,1,FALSE),"")</f>
        <v/>
      </c>
      <c r="D3034" s="16" t="str">
        <f>IFERROR(VLOOKUP(C3034,DATA!#REF!,2,FALSE),"")</f>
        <v/>
      </c>
    </row>
    <row r="3035" spans="3:4" s="237" customFormat="1">
      <c r="C3035" s="16" t="str">
        <f>IFERROR(VLOOKUP(DATA!#REF!,DATA!#REF!,1,FALSE),"")</f>
        <v/>
      </c>
      <c r="D3035" s="16" t="str">
        <f>IFERROR(VLOOKUP(C3035,DATA!#REF!,2,FALSE),"")</f>
        <v/>
      </c>
    </row>
    <row r="3036" spans="3:4" s="237" customFormat="1">
      <c r="C3036" s="16" t="str">
        <f>IFERROR(VLOOKUP(DATA!#REF!,DATA!#REF!,1,FALSE),"")</f>
        <v/>
      </c>
      <c r="D3036" s="16" t="str">
        <f>IFERROR(VLOOKUP(C3036,DATA!#REF!,2,FALSE),"")</f>
        <v/>
      </c>
    </row>
    <row r="3037" spans="3:4" s="237" customFormat="1">
      <c r="C3037" s="16" t="str">
        <f>IFERROR(VLOOKUP(DATA!#REF!,DATA!#REF!,1,FALSE),"")</f>
        <v/>
      </c>
      <c r="D3037" s="16" t="str">
        <f>IFERROR(VLOOKUP(C3037,DATA!#REF!,2,FALSE),"")</f>
        <v/>
      </c>
    </row>
    <row r="3038" spans="3:4" s="237" customFormat="1">
      <c r="C3038" s="16" t="str">
        <f>IFERROR(VLOOKUP(DATA!#REF!,DATA!#REF!,1,FALSE),"")</f>
        <v/>
      </c>
      <c r="D3038" s="16" t="str">
        <f>IFERROR(VLOOKUP(C3038,DATA!#REF!,2,FALSE),"")</f>
        <v/>
      </c>
    </row>
    <row r="3039" spans="3:4" s="237" customFormat="1">
      <c r="C3039" s="16" t="str">
        <f>IFERROR(VLOOKUP(DATA!#REF!,DATA!#REF!,1,FALSE),"")</f>
        <v/>
      </c>
      <c r="D3039" s="16" t="str">
        <f>IFERROR(VLOOKUP(C3039,DATA!#REF!,2,FALSE),"")</f>
        <v/>
      </c>
    </row>
    <row r="3040" spans="3:4" s="237" customFormat="1">
      <c r="C3040" s="16" t="str">
        <f>IFERROR(VLOOKUP(DATA!#REF!,DATA!#REF!,1,FALSE),"")</f>
        <v/>
      </c>
      <c r="D3040" s="16" t="str">
        <f>IFERROR(VLOOKUP(C3040,DATA!#REF!,2,FALSE),"")</f>
        <v/>
      </c>
    </row>
    <row r="3041" spans="3:4" s="237" customFormat="1">
      <c r="C3041" s="16" t="str">
        <f>IFERROR(VLOOKUP(DATA!#REF!,DATA!#REF!,1,FALSE),"")</f>
        <v/>
      </c>
      <c r="D3041" s="16" t="str">
        <f>IFERROR(VLOOKUP(C3041,DATA!#REF!,2,FALSE),"")</f>
        <v/>
      </c>
    </row>
    <row r="3042" spans="3:4" s="237" customFormat="1">
      <c r="C3042" s="16" t="str">
        <f>IFERROR(VLOOKUP(DATA!#REF!,DATA!#REF!,1,FALSE),"")</f>
        <v/>
      </c>
      <c r="D3042" s="16" t="str">
        <f>IFERROR(VLOOKUP(C3042,DATA!#REF!,2,FALSE),"")</f>
        <v/>
      </c>
    </row>
    <row r="3043" spans="3:4" s="237" customFormat="1">
      <c r="C3043" s="16" t="str">
        <f>IFERROR(VLOOKUP(DATA!#REF!,DATA!#REF!,1,FALSE),"")</f>
        <v/>
      </c>
      <c r="D3043" s="16" t="str">
        <f>IFERROR(VLOOKUP(C3043,DATA!#REF!,2,FALSE),"")</f>
        <v/>
      </c>
    </row>
    <row r="3044" spans="3:4" s="237" customFormat="1">
      <c r="C3044" s="16" t="str">
        <f>IFERROR(VLOOKUP(DATA!#REF!,DATA!#REF!,1,FALSE),"")</f>
        <v/>
      </c>
      <c r="D3044" s="16" t="str">
        <f>IFERROR(VLOOKUP(C3044,DATA!#REF!,2,FALSE),"")</f>
        <v/>
      </c>
    </row>
    <row r="3045" spans="3:4" s="237" customFormat="1">
      <c r="C3045" s="16" t="str">
        <f>IFERROR(VLOOKUP(DATA!#REF!,DATA!#REF!,1,FALSE),"")</f>
        <v/>
      </c>
      <c r="D3045" s="16" t="str">
        <f>IFERROR(VLOOKUP(C3045,DATA!#REF!,2,FALSE),"")</f>
        <v/>
      </c>
    </row>
    <row r="3046" spans="3:4" s="237" customFormat="1">
      <c r="C3046" s="16" t="str">
        <f>IFERROR(VLOOKUP(DATA!#REF!,DATA!#REF!,1,FALSE),"")</f>
        <v/>
      </c>
      <c r="D3046" s="16" t="str">
        <f>IFERROR(VLOOKUP(C3046,DATA!#REF!,2,FALSE),"")</f>
        <v/>
      </c>
    </row>
    <row r="3047" spans="3:4" s="237" customFormat="1">
      <c r="C3047" s="16" t="str">
        <f>IFERROR(VLOOKUP(DATA!#REF!,DATA!#REF!,1,FALSE),"")</f>
        <v/>
      </c>
      <c r="D3047" s="16" t="str">
        <f>IFERROR(VLOOKUP(C3047,DATA!#REF!,2,FALSE),"")</f>
        <v/>
      </c>
    </row>
    <row r="3048" spans="3:4" s="237" customFormat="1">
      <c r="C3048" s="16" t="str">
        <f>IFERROR(VLOOKUP(DATA!#REF!,DATA!#REF!,1,FALSE),"")</f>
        <v/>
      </c>
      <c r="D3048" s="16" t="str">
        <f>IFERROR(VLOOKUP(C3048,DATA!#REF!,2,FALSE),"")</f>
        <v/>
      </c>
    </row>
    <row r="3049" spans="3:4" s="237" customFormat="1">
      <c r="C3049" s="16" t="str">
        <f>IFERROR(VLOOKUP(DATA!#REF!,DATA!#REF!,1,FALSE),"")</f>
        <v/>
      </c>
      <c r="D3049" s="16" t="str">
        <f>IFERROR(VLOOKUP(C3049,DATA!#REF!,2,FALSE),"")</f>
        <v/>
      </c>
    </row>
    <row r="3050" spans="3:4" s="237" customFormat="1">
      <c r="C3050" s="16" t="str">
        <f>IFERROR(VLOOKUP(DATA!#REF!,DATA!#REF!,1,FALSE),"")</f>
        <v/>
      </c>
      <c r="D3050" s="16" t="str">
        <f>IFERROR(VLOOKUP(C3050,DATA!#REF!,2,FALSE),"")</f>
        <v/>
      </c>
    </row>
    <row r="3051" spans="3:4" s="237" customFormat="1">
      <c r="C3051" s="16" t="str">
        <f>IFERROR(VLOOKUP(DATA!#REF!,DATA!#REF!,1,FALSE),"")</f>
        <v/>
      </c>
      <c r="D3051" s="16" t="str">
        <f>IFERROR(VLOOKUP(C3051,DATA!#REF!,2,FALSE),"")</f>
        <v/>
      </c>
    </row>
    <row r="3052" spans="3:4" s="237" customFormat="1">
      <c r="C3052" s="16" t="str">
        <f>IFERROR(VLOOKUP(DATA!#REF!,DATA!#REF!,1,FALSE),"")</f>
        <v/>
      </c>
      <c r="D3052" s="16" t="str">
        <f>IFERROR(VLOOKUP(C3052,DATA!#REF!,2,FALSE),"")</f>
        <v/>
      </c>
    </row>
    <row r="3053" spans="3:4" s="237" customFormat="1">
      <c r="C3053" s="16" t="str">
        <f>IFERROR(VLOOKUP(DATA!#REF!,DATA!#REF!,1,FALSE),"")</f>
        <v/>
      </c>
      <c r="D3053" s="16" t="str">
        <f>IFERROR(VLOOKUP(C3053,DATA!#REF!,2,FALSE),"")</f>
        <v/>
      </c>
    </row>
    <row r="3054" spans="3:4" s="237" customFormat="1">
      <c r="C3054" s="16" t="str">
        <f>IFERROR(VLOOKUP(DATA!#REF!,DATA!#REF!,1,FALSE),"")</f>
        <v/>
      </c>
      <c r="D3054" s="16" t="str">
        <f>IFERROR(VLOOKUP(C3054,DATA!#REF!,2,FALSE),"")</f>
        <v/>
      </c>
    </row>
    <row r="3055" spans="3:4" s="237" customFormat="1">
      <c r="C3055" s="16" t="str">
        <f>IFERROR(VLOOKUP(DATA!#REF!,DATA!#REF!,1,FALSE),"")</f>
        <v/>
      </c>
      <c r="D3055" s="16" t="str">
        <f>IFERROR(VLOOKUP(C3055,DATA!#REF!,2,FALSE),"")</f>
        <v/>
      </c>
    </row>
    <row r="3056" spans="3:4" s="237" customFormat="1">
      <c r="C3056" s="16" t="str">
        <f>IFERROR(VLOOKUP(DATA!#REF!,DATA!#REF!,1,FALSE),"")</f>
        <v/>
      </c>
      <c r="D3056" s="16" t="str">
        <f>IFERROR(VLOOKUP(C3056,DATA!#REF!,2,FALSE),"")</f>
        <v/>
      </c>
    </row>
    <row r="3057" spans="3:4" s="237" customFormat="1">
      <c r="C3057" s="16" t="str">
        <f>IFERROR(VLOOKUP(DATA!#REF!,DATA!#REF!,1,FALSE),"")</f>
        <v/>
      </c>
      <c r="D3057" s="16" t="str">
        <f>IFERROR(VLOOKUP(C3057,DATA!#REF!,2,FALSE),"")</f>
        <v/>
      </c>
    </row>
    <row r="3058" spans="3:4" s="237" customFormat="1">
      <c r="C3058" s="16" t="str">
        <f>IFERROR(VLOOKUP(DATA!#REF!,DATA!#REF!,1,FALSE),"")</f>
        <v/>
      </c>
      <c r="D3058" s="16" t="str">
        <f>IFERROR(VLOOKUP(C3058,DATA!#REF!,2,FALSE),"")</f>
        <v/>
      </c>
    </row>
    <row r="3059" spans="3:4" s="237" customFormat="1">
      <c r="C3059" s="16" t="str">
        <f>IFERROR(VLOOKUP(DATA!#REF!,DATA!#REF!,1,FALSE),"")</f>
        <v/>
      </c>
      <c r="D3059" s="16" t="str">
        <f>IFERROR(VLOOKUP(C3059,DATA!#REF!,2,FALSE),"")</f>
        <v/>
      </c>
    </row>
    <row r="3060" spans="3:4" s="237" customFormat="1">
      <c r="C3060" s="16" t="str">
        <f>IFERROR(VLOOKUP(DATA!#REF!,DATA!#REF!,1,FALSE),"")</f>
        <v/>
      </c>
      <c r="D3060" s="16" t="str">
        <f>IFERROR(VLOOKUP(C3060,DATA!#REF!,2,FALSE),"")</f>
        <v/>
      </c>
    </row>
    <row r="3061" spans="3:4" s="237" customFormat="1">
      <c r="C3061" s="16" t="str">
        <f>IFERROR(VLOOKUP(DATA!#REF!,DATA!#REF!,1,FALSE),"")</f>
        <v/>
      </c>
      <c r="D3061" s="16" t="str">
        <f>IFERROR(VLOOKUP(C3061,DATA!#REF!,2,FALSE),"")</f>
        <v/>
      </c>
    </row>
    <row r="3062" spans="3:4" s="237" customFormat="1">
      <c r="C3062" s="16" t="str">
        <f>IFERROR(VLOOKUP(DATA!#REF!,DATA!#REF!,1,FALSE),"")</f>
        <v/>
      </c>
      <c r="D3062" s="16" t="str">
        <f>IFERROR(VLOOKUP(C3062,DATA!#REF!,2,FALSE),"")</f>
        <v/>
      </c>
    </row>
    <row r="3063" spans="3:4" s="237" customFormat="1">
      <c r="C3063" s="16" t="str">
        <f>IFERROR(VLOOKUP(DATA!#REF!,DATA!#REF!,1,FALSE),"")</f>
        <v/>
      </c>
      <c r="D3063" s="16" t="str">
        <f>IFERROR(VLOOKUP(C3063,DATA!#REF!,2,FALSE),"")</f>
        <v/>
      </c>
    </row>
    <row r="3064" spans="3:4" s="237" customFormat="1">
      <c r="C3064" s="16" t="str">
        <f>IFERROR(VLOOKUP(DATA!#REF!,DATA!#REF!,1,FALSE),"")</f>
        <v/>
      </c>
      <c r="D3064" s="16" t="str">
        <f>IFERROR(VLOOKUP(C3064,DATA!#REF!,2,FALSE),"")</f>
        <v/>
      </c>
    </row>
    <row r="3065" spans="3:4" s="237" customFormat="1">
      <c r="C3065" s="16" t="str">
        <f>IFERROR(VLOOKUP(DATA!#REF!,DATA!#REF!,1,FALSE),"")</f>
        <v/>
      </c>
      <c r="D3065" s="16" t="str">
        <f>IFERROR(VLOOKUP(C3065,DATA!#REF!,2,FALSE),"")</f>
        <v/>
      </c>
    </row>
    <row r="3066" spans="3:4" s="237" customFormat="1">
      <c r="C3066" s="16" t="str">
        <f>IFERROR(VLOOKUP(DATA!#REF!,DATA!#REF!,1,FALSE),"")</f>
        <v/>
      </c>
      <c r="D3066" s="16" t="str">
        <f>IFERROR(VLOOKUP(C3066,DATA!#REF!,2,FALSE),"")</f>
        <v/>
      </c>
    </row>
    <row r="3067" spans="3:4" s="237" customFormat="1">
      <c r="C3067" s="16" t="str">
        <f>IFERROR(VLOOKUP(DATA!#REF!,DATA!#REF!,1,FALSE),"")</f>
        <v/>
      </c>
      <c r="D3067" s="16" t="str">
        <f>IFERROR(VLOOKUP(C3067,DATA!#REF!,2,FALSE),"")</f>
        <v/>
      </c>
    </row>
    <row r="3068" spans="3:4" s="237" customFormat="1">
      <c r="C3068" s="16" t="str">
        <f>IFERROR(VLOOKUP(DATA!#REF!,DATA!#REF!,1,FALSE),"")</f>
        <v/>
      </c>
      <c r="D3068" s="16" t="str">
        <f>IFERROR(VLOOKUP(C3068,DATA!#REF!,2,FALSE),"")</f>
        <v/>
      </c>
    </row>
    <row r="3069" spans="3:4" s="237" customFormat="1">
      <c r="C3069" s="16" t="str">
        <f>IFERROR(VLOOKUP(DATA!#REF!,DATA!#REF!,1,FALSE),"")</f>
        <v/>
      </c>
      <c r="D3069" s="16" t="str">
        <f>IFERROR(VLOOKUP(C3069,DATA!#REF!,2,FALSE),"")</f>
        <v/>
      </c>
    </row>
    <row r="3070" spans="3:4" s="237" customFormat="1">
      <c r="C3070" s="16" t="str">
        <f>IFERROR(VLOOKUP(DATA!#REF!,DATA!#REF!,1,FALSE),"")</f>
        <v/>
      </c>
      <c r="D3070" s="16" t="str">
        <f>IFERROR(VLOOKUP(C3070,DATA!#REF!,2,FALSE),"")</f>
        <v/>
      </c>
    </row>
    <row r="3071" spans="3:4" s="237" customFormat="1">
      <c r="C3071" s="16" t="str">
        <f>IFERROR(VLOOKUP(DATA!#REF!,DATA!#REF!,1,FALSE),"")</f>
        <v/>
      </c>
      <c r="D3071" s="16" t="str">
        <f>IFERROR(VLOOKUP(C3071,DATA!#REF!,2,FALSE),"")</f>
        <v/>
      </c>
    </row>
    <row r="3072" spans="3:4" s="237" customFormat="1">
      <c r="C3072" s="16" t="str">
        <f>IFERROR(VLOOKUP(DATA!#REF!,DATA!#REF!,1,FALSE),"")</f>
        <v/>
      </c>
      <c r="D3072" s="16" t="str">
        <f>IFERROR(VLOOKUP(C3072,DATA!#REF!,2,FALSE),"")</f>
        <v/>
      </c>
    </row>
    <row r="3073" spans="3:4" s="237" customFormat="1">
      <c r="C3073" s="16" t="str">
        <f>IFERROR(VLOOKUP(DATA!#REF!,DATA!#REF!,1,FALSE),"")</f>
        <v/>
      </c>
      <c r="D3073" s="16" t="str">
        <f>IFERROR(VLOOKUP(C3073,DATA!#REF!,2,FALSE),"")</f>
        <v/>
      </c>
    </row>
    <row r="3074" spans="3:4" s="237" customFormat="1">
      <c r="C3074" s="16" t="str">
        <f>IFERROR(VLOOKUP(DATA!#REF!,DATA!#REF!,1,FALSE),"")</f>
        <v/>
      </c>
      <c r="D3074" s="16" t="str">
        <f>IFERROR(VLOOKUP(C3074,DATA!#REF!,2,FALSE),"")</f>
        <v/>
      </c>
    </row>
    <row r="3075" spans="3:4" s="237" customFormat="1">
      <c r="C3075" s="16" t="str">
        <f>IFERROR(VLOOKUP(DATA!#REF!,DATA!#REF!,1,FALSE),"")</f>
        <v/>
      </c>
      <c r="D3075" s="16" t="str">
        <f>IFERROR(VLOOKUP(C3075,DATA!#REF!,2,FALSE),"")</f>
        <v/>
      </c>
    </row>
    <row r="3076" spans="3:4" s="237" customFormat="1">
      <c r="C3076" s="16" t="str">
        <f>IFERROR(VLOOKUP(DATA!#REF!,DATA!#REF!,1,FALSE),"")</f>
        <v/>
      </c>
      <c r="D3076" s="16" t="str">
        <f>IFERROR(VLOOKUP(C3076,DATA!#REF!,2,FALSE),"")</f>
        <v/>
      </c>
    </row>
    <row r="3077" spans="3:4" s="237" customFormat="1">
      <c r="C3077" s="16" t="str">
        <f>IFERROR(VLOOKUP(DATA!#REF!,DATA!#REF!,1,FALSE),"")</f>
        <v/>
      </c>
      <c r="D3077" s="16" t="str">
        <f>IFERROR(VLOOKUP(C3077,DATA!#REF!,2,FALSE),"")</f>
        <v/>
      </c>
    </row>
    <row r="3078" spans="3:4" s="237" customFormat="1">
      <c r="C3078" s="16" t="str">
        <f>IFERROR(VLOOKUP(DATA!#REF!,DATA!#REF!,1,FALSE),"")</f>
        <v/>
      </c>
      <c r="D3078" s="16" t="str">
        <f>IFERROR(VLOOKUP(C3078,DATA!#REF!,2,FALSE),"")</f>
        <v/>
      </c>
    </row>
    <row r="3079" spans="3:4" s="237" customFormat="1">
      <c r="C3079" s="16" t="str">
        <f>IFERROR(VLOOKUP(DATA!#REF!,DATA!#REF!,1,FALSE),"")</f>
        <v/>
      </c>
      <c r="D3079" s="16" t="str">
        <f>IFERROR(VLOOKUP(C3079,DATA!#REF!,2,FALSE),"")</f>
        <v/>
      </c>
    </row>
    <row r="3080" spans="3:4" s="237" customFormat="1">
      <c r="C3080" s="16" t="str">
        <f>IFERROR(VLOOKUP(DATA!#REF!,DATA!#REF!,1,FALSE),"")</f>
        <v/>
      </c>
      <c r="D3080" s="16" t="str">
        <f>IFERROR(VLOOKUP(C3080,DATA!#REF!,2,FALSE),"")</f>
        <v/>
      </c>
    </row>
    <row r="3081" spans="3:4" s="237" customFormat="1">
      <c r="C3081" s="16" t="str">
        <f>IFERROR(VLOOKUP(DATA!#REF!,DATA!#REF!,1,FALSE),"")</f>
        <v/>
      </c>
      <c r="D3081" s="16" t="str">
        <f>IFERROR(VLOOKUP(C3081,DATA!#REF!,2,FALSE),"")</f>
        <v/>
      </c>
    </row>
    <row r="3082" spans="3:4" s="237" customFormat="1">
      <c r="C3082" s="16" t="str">
        <f>IFERROR(VLOOKUP(DATA!#REF!,DATA!#REF!,1,FALSE),"")</f>
        <v/>
      </c>
      <c r="D3082" s="16" t="str">
        <f>IFERROR(VLOOKUP(C3082,DATA!#REF!,2,FALSE),"")</f>
        <v/>
      </c>
    </row>
    <row r="3083" spans="3:4" s="237" customFormat="1">
      <c r="C3083" s="16" t="str">
        <f>IFERROR(VLOOKUP(DATA!#REF!,DATA!#REF!,1,FALSE),"")</f>
        <v/>
      </c>
      <c r="D3083" s="16" t="str">
        <f>IFERROR(VLOOKUP(C3083,DATA!#REF!,2,FALSE),"")</f>
        <v/>
      </c>
    </row>
    <row r="3084" spans="3:4" s="237" customFormat="1">
      <c r="C3084" s="16" t="str">
        <f>IFERROR(VLOOKUP(DATA!#REF!,DATA!#REF!,1,FALSE),"")</f>
        <v/>
      </c>
      <c r="D3084" s="16" t="str">
        <f>IFERROR(VLOOKUP(C3084,DATA!#REF!,2,FALSE),"")</f>
        <v/>
      </c>
    </row>
    <row r="3085" spans="3:4" s="237" customFormat="1">
      <c r="C3085" s="16" t="str">
        <f>IFERROR(VLOOKUP(DATA!#REF!,DATA!#REF!,1,FALSE),"")</f>
        <v/>
      </c>
      <c r="D3085" s="16" t="str">
        <f>IFERROR(VLOOKUP(C3085,DATA!#REF!,2,FALSE),"")</f>
        <v/>
      </c>
    </row>
    <row r="3086" spans="3:4" s="237" customFormat="1">
      <c r="C3086" s="16" t="str">
        <f>IFERROR(VLOOKUP(DATA!#REF!,DATA!#REF!,1,FALSE),"")</f>
        <v/>
      </c>
      <c r="D3086" s="16" t="str">
        <f>IFERROR(VLOOKUP(C3086,DATA!#REF!,2,FALSE),"")</f>
        <v/>
      </c>
    </row>
    <row r="3087" spans="3:4" s="237" customFormat="1">
      <c r="C3087" s="16" t="str">
        <f>IFERROR(VLOOKUP(DATA!#REF!,DATA!#REF!,1,FALSE),"")</f>
        <v/>
      </c>
      <c r="D3087" s="16" t="str">
        <f>IFERROR(VLOOKUP(C3087,DATA!#REF!,2,FALSE),"")</f>
        <v/>
      </c>
    </row>
    <row r="3088" spans="3:4" s="237" customFormat="1">
      <c r="C3088" s="16" t="str">
        <f>IFERROR(VLOOKUP(DATA!#REF!,DATA!#REF!,1,FALSE),"")</f>
        <v/>
      </c>
      <c r="D3088" s="16" t="str">
        <f>IFERROR(VLOOKUP(C3088,DATA!#REF!,2,FALSE),"")</f>
        <v/>
      </c>
    </row>
    <row r="3089" spans="3:4" s="237" customFormat="1">
      <c r="C3089" s="16" t="str">
        <f>IFERROR(VLOOKUP(DATA!#REF!,DATA!#REF!,1,FALSE),"")</f>
        <v/>
      </c>
      <c r="D3089" s="16" t="str">
        <f>IFERROR(VLOOKUP(C3089,DATA!#REF!,2,FALSE),"")</f>
        <v/>
      </c>
    </row>
    <row r="3090" spans="3:4" s="237" customFormat="1">
      <c r="C3090" s="16" t="str">
        <f>IFERROR(VLOOKUP(DATA!#REF!,DATA!#REF!,1,FALSE),"")</f>
        <v/>
      </c>
      <c r="D3090" s="16" t="str">
        <f>IFERROR(VLOOKUP(C3090,DATA!#REF!,2,FALSE),"")</f>
        <v/>
      </c>
    </row>
    <row r="3091" spans="3:4" s="237" customFormat="1">
      <c r="C3091" s="16" t="str">
        <f>IFERROR(VLOOKUP(DATA!#REF!,DATA!#REF!,1,FALSE),"")</f>
        <v/>
      </c>
      <c r="D3091" s="16" t="str">
        <f>IFERROR(VLOOKUP(C3091,DATA!#REF!,2,FALSE),"")</f>
        <v/>
      </c>
    </row>
    <row r="3092" spans="3:4" s="237" customFormat="1">
      <c r="C3092" s="16" t="str">
        <f>IFERROR(VLOOKUP(DATA!#REF!,DATA!#REF!,1,FALSE),"")</f>
        <v/>
      </c>
      <c r="D3092" s="16" t="str">
        <f>IFERROR(VLOOKUP(C3092,DATA!#REF!,2,FALSE),"")</f>
        <v/>
      </c>
    </row>
    <row r="3093" spans="3:4" s="237" customFormat="1">
      <c r="C3093" s="16" t="str">
        <f>IFERROR(VLOOKUP(DATA!#REF!,DATA!#REF!,1,FALSE),"")</f>
        <v/>
      </c>
      <c r="D3093" s="16" t="str">
        <f>IFERROR(VLOOKUP(C3093,DATA!#REF!,2,FALSE),"")</f>
        <v/>
      </c>
    </row>
    <row r="3094" spans="3:4" s="237" customFormat="1">
      <c r="C3094" s="16" t="str">
        <f>IFERROR(VLOOKUP(DATA!#REF!,DATA!#REF!,1,FALSE),"")</f>
        <v/>
      </c>
      <c r="D3094" s="16" t="str">
        <f>IFERROR(VLOOKUP(C3094,DATA!#REF!,2,FALSE),"")</f>
        <v/>
      </c>
    </row>
    <row r="3095" spans="3:4" s="237" customFormat="1">
      <c r="C3095" s="16" t="str">
        <f>IFERROR(VLOOKUP(DATA!#REF!,DATA!#REF!,1,FALSE),"")</f>
        <v/>
      </c>
      <c r="D3095" s="16" t="str">
        <f>IFERROR(VLOOKUP(C3095,DATA!#REF!,2,FALSE),"")</f>
        <v/>
      </c>
    </row>
    <row r="3096" spans="3:4" s="237" customFormat="1">
      <c r="C3096" s="16" t="str">
        <f>IFERROR(VLOOKUP(DATA!#REF!,DATA!#REF!,1,FALSE),"")</f>
        <v/>
      </c>
      <c r="D3096" s="16" t="str">
        <f>IFERROR(VLOOKUP(C3096,DATA!#REF!,2,FALSE),"")</f>
        <v/>
      </c>
    </row>
    <row r="3097" spans="3:4" s="237" customFormat="1">
      <c r="C3097" s="16" t="str">
        <f>IFERROR(VLOOKUP(DATA!#REF!,DATA!#REF!,1,FALSE),"")</f>
        <v/>
      </c>
      <c r="D3097" s="16" t="str">
        <f>IFERROR(VLOOKUP(C3097,DATA!#REF!,2,FALSE),"")</f>
        <v/>
      </c>
    </row>
    <row r="3098" spans="3:4" s="237" customFormat="1">
      <c r="C3098" s="16" t="str">
        <f>IFERROR(VLOOKUP(DATA!#REF!,DATA!#REF!,1,FALSE),"")</f>
        <v/>
      </c>
      <c r="D3098" s="16" t="str">
        <f>IFERROR(VLOOKUP(C3098,DATA!#REF!,2,FALSE),"")</f>
        <v/>
      </c>
    </row>
    <row r="3099" spans="3:4" s="237" customFormat="1">
      <c r="C3099" s="16" t="str">
        <f>IFERROR(VLOOKUP(DATA!#REF!,DATA!#REF!,1,FALSE),"")</f>
        <v/>
      </c>
      <c r="D3099" s="16" t="str">
        <f>IFERROR(VLOOKUP(C3099,DATA!#REF!,2,FALSE),"")</f>
        <v/>
      </c>
    </row>
    <row r="3100" spans="3:4" s="237" customFormat="1">
      <c r="C3100" s="16" t="str">
        <f>IFERROR(VLOOKUP(DATA!#REF!,DATA!#REF!,1,FALSE),"")</f>
        <v/>
      </c>
      <c r="D3100" s="16" t="str">
        <f>IFERROR(VLOOKUP(C3100,DATA!#REF!,2,FALSE),"")</f>
        <v/>
      </c>
    </row>
    <row r="3101" spans="3:4" s="237" customFormat="1">
      <c r="C3101" s="16" t="str">
        <f>IFERROR(VLOOKUP(DATA!#REF!,DATA!#REF!,1,FALSE),"")</f>
        <v/>
      </c>
      <c r="D3101" s="16" t="str">
        <f>IFERROR(VLOOKUP(C3101,DATA!#REF!,2,FALSE),"")</f>
        <v/>
      </c>
    </row>
    <row r="3102" spans="3:4" s="237" customFormat="1">
      <c r="C3102" s="16" t="str">
        <f>IFERROR(VLOOKUP(DATA!#REF!,DATA!#REF!,1,FALSE),"")</f>
        <v/>
      </c>
      <c r="D3102" s="16" t="str">
        <f>IFERROR(VLOOKUP(C3102,DATA!#REF!,2,FALSE),"")</f>
        <v/>
      </c>
    </row>
    <row r="3103" spans="3:4" s="237" customFormat="1">
      <c r="C3103" s="16" t="str">
        <f>IFERROR(VLOOKUP(DATA!#REF!,DATA!#REF!,1,FALSE),"")</f>
        <v/>
      </c>
      <c r="D3103" s="16" t="str">
        <f>IFERROR(VLOOKUP(C3103,DATA!#REF!,2,FALSE),"")</f>
        <v/>
      </c>
    </row>
    <row r="3104" spans="3:4" s="237" customFormat="1">
      <c r="C3104" s="16" t="str">
        <f>IFERROR(VLOOKUP(DATA!#REF!,DATA!#REF!,1,FALSE),"")</f>
        <v/>
      </c>
      <c r="D3104" s="16" t="str">
        <f>IFERROR(VLOOKUP(C3104,DATA!#REF!,2,FALSE),"")</f>
        <v/>
      </c>
    </row>
    <row r="3105" spans="3:4" s="237" customFormat="1">
      <c r="C3105" s="16" t="str">
        <f>IFERROR(VLOOKUP(DATA!#REF!,DATA!#REF!,1,FALSE),"")</f>
        <v/>
      </c>
      <c r="D3105" s="16" t="str">
        <f>IFERROR(VLOOKUP(C3105,DATA!#REF!,2,FALSE),"")</f>
        <v/>
      </c>
    </row>
    <row r="3106" spans="3:4" s="237" customFormat="1">
      <c r="C3106" s="16" t="str">
        <f>IFERROR(VLOOKUP(DATA!#REF!,DATA!#REF!,1,FALSE),"")</f>
        <v/>
      </c>
      <c r="D3106" s="16" t="str">
        <f>IFERROR(VLOOKUP(C3106,DATA!#REF!,2,FALSE),"")</f>
        <v/>
      </c>
    </row>
    <row r="3107" spans="3:4" s="237" customFormat="1">
      <c r="C3107" s="16" t="str">
        <f>IFERROR(VLOOKUP(DATA!#REF!,DATA!#REF!,1,FALSE),"")</f>
        <v/>
      </c>
      <c r="D3107" s="16" t="str">
        <f>IFERROR(VLOOKUP(C3107,DATA!#REF!,2,FALSE),"")</f>
        <v/>
      </c>
    </row>
    <row r="3108" spans="3:4" s="237" customFormat="1">
      <c r="C3108" s="16" t="str">
        <f>IFERROR(VLOOKUP(DATA!#REF!,DATA!#REF!,1,FALSE),"")</f>
        <v/>
      </c>
      <c r="D3108" s="16" t="str">
        <f>IFERROR(VLOOKUP(C3108,DATA!#REF!,2,FALSE),"")</f>
        <v/>
      </c>
    </row>
    <row r="3109" spans="3:4" s="237" customFormat="1">
      <c r="C3109" s="16" t="str">
        <f>IFERROR(VLOOKUP(DATA!#REF!,DATA!#REF!,1,FALSE),"")</f>
        <v/>
      </c>
      <c r="D3109" s="16" t="str">
        <f>IFERROR(VLOOKUP(C3109,DATA!#REF!,2,FALSE),"")</f>
        <v/>
      </c>
    </row>
    <row r="3110" spans="3:4" s="237" customFormat="1">
      <c r="C3110" s="16" t="str">
        <f>IFERROR(VLOOKUP(DATA!#REF!,DATA!#REF!,1,FALSE),"")</f>
        <v/>
      </c>
      <c r="D3110" s="16" t="str">
        <f>IFERROR(VLOOKUP(C3110,DATA!#REF!,2,FALSE),"")</f>
        <v/>
      </c>
    </row>
    <row r="3111" spans="3:4" s="237" customFormat="1">
      <c r="C3111" s="16" t="str">
        <f>IFERROR(VLOOKUP(DATA!#REF!,DATA!#REF!,1,FALSE),"")</f>
        <v/>
      </c>
      <c r="D3111" s="16" t="str">
        <f>IFERROR(VLOOKUP(C3111,DATA!#REF!,2,FALSE),"")</f>
        <v/>
      </c>
    </row>
    <row r="3112" spans="3:4" s="237" customFormat="1">
      <c r="C3112" s="16" t="str">
        <f>IFERROR(VLOOKUP(DATA!#REF!,DATA!#REF!,1,FALSE),"")</f>
        <v/>
      </c>
      <c r="D3112" s="16" t="str">
        <f>IFERROR(VLOOKUP(C3112,DATA!#REF!,2,FALSE),"")</f>
        <v/>
      </c>
    </row>
    <row r="3113" spans="3:4" s="237" customFormat="1">
      <c r="C3113" s="16" t="str">
        <f>IFERROR(VLOOKUP(DATA!#REF!,DATA!#REF!,1,FALSE),"")</f>
        <v/>
      </c>
      <c r="D3113" s="16" t="str">
        <f>IFERROR(VLOOKUP(C3113,DATA!#REF!,2,FALSE),"")</f>
        <v/>
      </c>
    </row>
    <row r="3114" spans="3:4" s="237" customFormat="1">
      <c r="C3114" s="16" t="str">
        <f>IFERROR(VLOOKUP(DATA!#REF!,DATA!#REF!,1,FALSE),"")</f>
        <v/>
      </c>
      <c r="D3114" s="16" t="str">
        <f>IFERROR(VLOOKUP(C3114,DATA!#REF!,2,FALSE),"")</f>
        <v/>
      </c>
    </row>
    <row r="3115" spans="3:4" s="237" customFormat="1">
      <c r="C3115" s="16" t="str">
        <f>IFERROR(VLOOKUP(DATA!#REF!,DATA!#REF!,1,FALSE),"")</f>
        <v/>
      </c>
      <c r="D3115" s="16" t="str">
        <f>IFERROR(VLOOKUP(C3115,DATA!#REF!,2,FALSE),"")</f>
        <v/>
      </c>
    </row>
    <row r="3116" spans="3:4" s="237" customFormat="1">
      <c r="C3116" s="16" t="str">
        <f>IFERROR(VLOOKUP(DATA!#REF!,DATA!#REF!,1,FALSE),"")</f>
        <v/>
      </c>
      <c r="D3116" s="16" t="str">
        <f>IFERROR(VLOOKUP(C3116,DATA!#REF!,2,FALSE),"")</f>
        <v/>
      </c>
    </row>
    <row r="3117" spans="3:4" s="237" customFormat="1">
      <c r="C3117" s="16" t="str">
        <f>IFERROR(VLOOKUP(DATA!#REF!,DATA!#REF!,1,FALSE),"")</f>
        <v/>
      </c>
      <c r="D3117" s="16" t="str">
        <f>IFERROR(VLOOKUP(C3117,DATA!#REF!,2,FALSE),"")</f>
        <v/>
      </c>
    </row>
    <row r="3118" spans="3:4" s="237" customFormat="1">
      <c r="C3118" s="16" t="str">
        <f>IFERROR(VLOOKUP(DATA!#REF!,DATA!#REF!,1,FALSE),"")</f>
        <v/>
      </c>
      <c r="D3118" s="16" t="str">
        <f>IFERROR(VLOOKUP(C3118,DATA!#REF!,2,FALSE),"")</f>
        <v/>
      </c>
    </row>
    <row r="3119" spans="3:4" s="237" customFormat="1">
      <c r="C3119" s="16" t="str">
        <f>IFERROR(VLOOKUP(DATA!#REF!,DATA!#REF!,1,FALSE),"")</f>
        <v/>
      </c>
      <c r="D3119" s="16" t="str">
        <f>IFERROR(VLOOKUP(C3119,DATA!#REF!,2,FALSE),"")</f>
        <v/>
      </c>
    </row>
    <row r="3120" spans="3:4" s="237" customFormat="1">
      <c r="C3120" s="16" t="str">
        <f>IFERROR(VLOOKUP(DATA!#REF!,DATA!#REF!,1,FALSE),"")</f>
        <v/>
      </c>
      <c r="D3120" s="16" t="str">
        <f>IFERROR(VLOOKUP(C3120,DATA!#REF!,2,FALSE),"")</f>
        <v/>
      </c>
    </row>
    <row r="3121" spans="3:4" s="237" customFormat="1">
      <c r="C3121" s="16" t="str">
        <f>IFERROR(VLOOKUP(DATA!#REF!,DATA!#REF!,1,FALSE),"")</f>
        <v/>
      </c>
      <c r="D3121" s="16" t="str">
        <f>IFERROR(VLOOKUP(C3121,DATA!#REF!,2,FALSE),"")</f>
        <v/>
      </c>
    </row>
    <row r="3122" spans="3:4" s="237" customFormat="1">
      <c r="C3122" s="16" t="str">
        <f>IFERROR(VLOOKUP(DATA!#REF!,DATA!#REF!,1,FALSE),"")</f>
        <v/>
      </c>
      <c r="D3122" s="16" t="str">
        <f>IFERROR(VLOOKUP(C3122,DATA!#REF!,2,FALSE),"")</f>
        <v/>
      </c>
    </row>
    <row r="3123" spans="3:4" s="237" customFormat="1">
      <c r="C3123" s="16" t="str">
        <f>IFERROR(VLOOKUP(DATA!#REF!,DATA!#REF!,1,FALSE),"")</f>
        <v/>
      </c>
      <c r="D3123" s="16" t="str">
        <f>IFERROR(VLOOKUP(C3123,DATA!#REF!,2,FALSE),"")</f>
        <v/>
      </c>
    </row>
    <row r="3124" spans="3:4" s="237" customFormat="1">
      <c r="C3124" s="16" t="str">
        <f>IFERROR(VLOOKUP(DATA!#REF!,DATA!#REF!,1,FALSE),"")</f>
        <v/>
      </c>
      <c r="D3124" s="16" t="str">
        <f>IFERROR(VLOOKUP(C3124,DATA!#REF!,2,FALSE),"")</f>
        <v/>
      </c>
    </row>
    <row r="3125" spans="3:4" s="237" customFormat="1">
      <c r="C3125" s="16" t="str">
        <f>IFERROR(VLOOKUP(DATA!#REF!,DATA!#REF!,1,FALSE),"")</f>
        <v/>
      </c>
      <c r="D3125" s="16" t="str">
        <f>IFERROR(VLOOKUP(C3125,DATA!#REF!,2,FALSE),"")</f>
        <v/>
      </c>
    </row>
    <row r="3126" spans="3:4" s="237" customFormat="1">
      <c r="C3126" s="16" t="str">
        <f>IFERROR(VLOOKUP(DATA!#REF!,DATA!#REF!,1,FALSE),"")</f>
        <v/>
      </c>
      <c r="D3126" s="16" t="str">
        <f>IFERROR(VLOOKUP(C3126,DATA!#REF!,2,FALSE),"")</f>
        <v/>
      </c>
    </row>
    <row r="3127" spans="3:4" s="237" customFormat="1">
      <c r="C3127" s="16" t="str">
        <f>IFERROR(VLOOKUP(DATA!#REF!,DATA!#REF!,1,FALSE),"")</f>
        <v/>
      </c>
      <c r="D3127" s="16" t="str">
        <f>IFERROR(VLOOKUP(C3127,DATA!#REF!,2,FALSE),"")</f>
        <v/>
      </c>
    </row>
    <row r="3128" spans="3:4" s="237" customFormat="1">
      <c r="C3128" s="16" t="str">
        <f>IFERROR(VLOOKUP(DATA!#REF!,DATA!#REF!,1,FALSE),"")</f>
        <v/>
      </c>
      <c r="D3128" s="16" t="str">
        <f>IFERROR(VLOOKUP(C3128,DATA!#REF!,2,FALSE),"")</f>
        <v/>
      </c>
    </row>
    <row r="3129" spans="3:4" s="237" customFormat="1">
      <c r="C3129" s="16" t="str">
        <f>IFERROR(VLOOKUP(DATA!#REF!,DATA!#REF!,1,FALSE),"")</f>
        <v/>
      </c>
      <c r="D3129" s="16" t="str">
        <f>IFERROR(VLOOKUP(C3129,DATA!#REF!,2,FALSE),"")</f>
        <v/>
      </c>
    </row>
    <row r="3130" spans="3:4" s="237" customFormat="1">
      <c r="C3130" s="16" t="str">
        <f>IFERROR(VLOOKUP(DATA!#REF!,DATA!#REF!,1,FALSE),"")</f>
        <v/>
      </c>
      <c r="D3130" s="16" t="str">
        <f>IFERROR(VLOOKUP(C3130,DATA!#REF!,2,FALSE),"")</f>
        <v/>
      </c>
    </row>
    <row r="3131" spans="3:4" s="237" customFormat="1">
      <c r="C3131" s="16" t="str">
        <f>IFERROR(VLOOKUP(DATA!#REF!,DATA!#REF!,1,FALSE),"")</f>
        <v/>
      </c>
      <c r="D3131" s="16" t="str">
        <f>IFERROR(VLOOKUP(C3131,DATA!#REF!,2,FALSE),"")</f>
        <v/>
      </c>
    </row>
    <row r="3132" spans="3:4" s="237" customFormat="1">
      <c r="C3132" s="16" t="str">
        <f>IFERROR(VLOOKUP(DATA!#REF!,DATA!#REF!,1,FALSE),"")</f>
        <v/>
      </c>
      <c r="D3132" s="16" t="str">
        <f>IFERROR(VLOOKUP(C3132,DATA!#REF!,2,FALSE),"")</f>
        <v/>
      </c>
    </row>
    <row r="3133" spans="3:4" s="237" customFormat="1">
      <c r="C3133" s="16" t="str">
        <f>IFERROR(VLOOKUP(DATA!#REF!,DATA!#REF!,1,FALSE),"")</f>
        <v/>
      </c>
      <c r="D3133" s="16" t="str">
        <f>IFERROR(VLOOKUP(C3133,DATA!#REF!,2,FALSE),"")</f>
        <v/>
      </c>
    </row>
    <row r="3134" spans="3:4" s="237" customFormat="1">
      <c r="C3134" s="16" t="str">
        <f>IFERROR(VLOOKUP(DATA!#REF!,DATA!#REF!,1,FALSE),"")</f>
        <v/>
      </c>
      <c r="D3134" s="16" t="str">
        <f>IFERROR(VLOOKUP(C3134,DATA!#REF!,2,FALSE),"")</f>
        <v/>
      </c>
    </row>
    <row r="3135" spans="3:4" s="237" customFormat="1">
      <c r="C3135" s="16" t="str">
        <f>IFERROR(VLOOKUP(DATA!#REF!,DATA!#REF!,1,FALSE),"")</f>
        <v/>
      </c>
      <c r="D3135" s="16" t="str">
        <f>IFERROR(VLOOKUP(C3135,DATA!#REF!,2,FALSE),"")</f>
        <v/>
      </c>
    </row>
    <row r="3136" spans="3:4" s="237" customFormat="1">
      <c r="C3136" s="16" t="str">
        <f>IFERROR(VLOOKUP(DATA!#REF!,DATA!#REF!,1,FALSE),"")</f>
        <v/>
      </c>
      <c r="D3136" s="16" t="str">
        <f>IFERROR(VLOOKUP(C3136,DATA!#REF!,2,FALSE),"")</f>
        <v/>
      </c>
    </row>
    <row r="3137" spans="3:4" s="237" customFormat="1">
      <c r="C3137" s="16" t="str">
        <f>IFERROR(VLOOKUP(DATA!#REF!,DATA!#REF!,1,FALSE),"")</f>
        <v/>
      </c>
      <c r="D3137" s="16" t="str">
        <f>IFERROR(VLOOKUP(C3137,DATA!#REF!,2,FALSE),"")</f>
        <v/>
      </c>
    </row>
    <row r="3138" spans="3:4" s="237" customFormat="1">
      <c r="C3138" s="16" t="str">
        <f>IFERROR(VLOOKUP(DATA!#REF!,DATA!#REF!,1,FALSE),"")</f>
        <v/>
      </c>
      <c r="D3138" s="16" t="str">
        <f>IFERROR(VLOOKUP(C3138,DATA!#REF!,2,FALSE),"")</f>
        <v/>
      </c>
    </row>
    <row r="3139" spans="3:4" s="237" customFormat="1">
      <c r="C3139" s="16" t="str">
        <f>IFERROR(VLOOKUP(DATA!#REF!,DATA!#REF!,1,FALSE),"")</f>
        <v/>
      </c>
      <c r="D3139" s="16" t="str">
        <f>IFERROR(VLOOKUP(C3139,DATA!#REF!,2,FALSE),"")</f>
        <v/>
      </c>
    </row>
    <row r="3140" spans="3:4" s="237" customFormat="1">
      <c r="C3140" s="16" t="str">
        <f>IFERROR(VLOOKUP(DATA!#REF!,DATA!#REF!,1,FALSE),"")</f>
        <v/>
      </c>
      <c r="D3140" s="16" t="str">
        <f>IFERROR(VLOOKUP(C3140,DATA!#REF!,2,FALSE),"")</f>
        <v/>
      </c>
    </row>
    <row r="3141" spans="3:4" s="237" customFormat="1">
      <c r="C3141" s="16" t="str">
        <f>IFERROR(VLOOKUP(DATA!#REF!,DATA!#REF!,1,FALSE),"")</f>
        <v/>
      </c>
      <c r="D3141" s="16" t="str">
        <f>IFERROR(VLOOKUP(C3141,DATA!#REF!,2,FALSE),"")</f>
        <v/>
      </c>
    </row>
    <row r="3142" spans="3:4" s="237" customFormat="1">
      <c r="C3142" s="16" t="str">
        <f>IFERROR(VLOOKUP(DATA!#REF!,DATA!#REF!,1,FALSE),"")</f>
        <v/>
      </c>
      <c r="D3142" s="16" t="str">
        <f>IFERROR(VLOOKUP(C3142,DATA!#REF!,2,FALSE),"")</f>
        <v/>
      </c>
    </row>
    <row r="3143" spans="3:4" s="237" customFormat="1">
      <c r="C3143" s="16" t="str">
        <f>IFERROR(VLOOKUP(DATA!#REF!,DATA!#REF!,1,FALSE),"")</f>
        <v/>
      </c>
      <c r="D3143" s="16" t="str">
        <f>IFERROR(VLOOKUP(C3143,DATA!#REF!,2,FALSE),"")</f>
        <v/>
      </c>
    </row>
    <row r="3144" spans="3:4" s="237" customFormat="1">
      <c r="C3144" s="16" t="str">
        <f>IFERROR(VLOOKUP(DATA!#REF!,DATA!#REF!,1,FALSE),"")</f>
        <v/>
      </c>
      <c r="D3144" s="16" t="str">
        <f>IFERROR(VLOOKUP(C3144,DATA!#REF!,2,FALSE),"")</f>
        <v/>
      </c>
    </row>
    <row r="3145" spans="3:4" s="237" customFormat="1">
      <c r="C3145" s="16" t="str">
        <f>IFERROR(VLOOKUP(DATA!#REF!,DATA!#REF!,1,FALSE),"")</f>
        <v/>
      </c>
      <c r="D3145" s="16" t="str">
        <f>IFERROR(VLOOKUP(C3145,DATA!#REF!,2,FALSE),"")</f>
        <v/>
      </c>
    </row>
    <row r="3146" spans="3:4" s="237" customFormat="1">
      <c r="C3146" s="16" t="str">
        <f>IFERROR(VLOOKUP(DATA!#REF!,DATA!#REF!,1,FALSE),"")</f>
        <v/>
      </c>
      <c r="D3146" s="16" t="str">
        <f>IFERROR(VLOOKUP(C3146,DATA!#REF!,2,FALSE),"")</f>
        <v/>
      </c>
    </row>
    <row r="3147" spans="3:4" s="237" customFormat="1">
      <c r="C3147" s="16" t="str">
        <f>IFERROR(VLOOKUP(DATA!#REF!,DATA!#REF!,1,FALSE),"")</f>
        <v/>
      </c>
      <c r="D3147" s="16" t="str">
        <f>IFERROR(VLOOKUP(C3147,DATA!#REF!,2,FALSE),"")</f>
        <v/>
      </c>
    </row>
    <row r="3148" spans="3:4" s="237" customFormat="1">
      <c r="C3148" s="16" t="str">
        <f>IFERROR(VLOOKUP(DATA!#REF!,DATA!#REF!,1,FALSE),"")</f>
        <v/>
      </c>
      <c r="D3148" s="16" t="str">
        <f>IFERROR(VLOOKUP(C3148,DATA!#REF!,2,FALSE),"")</f>
        <v/>
      </c>
    </row>
    <row r="3149" spans="3:4" s="237" customFormat="1">
      <c r="C3149" s="16" t="str">
        <f>IFERROR(VLOOKUP(DATA!#REF!,DATA!#REF!,1,FALSE),"")</f>
        <v/>
      </c>
      <c r="D3149" s="16" t="str">
        <f>IFERROR(VLOOKUP(C3149,DATA!#REF!,2,FALSE),"")</f>
        <v/>
      </c>
    </row>
    <row r="3150" spans="3:4" s="237" customFormat="1">
      <c r="C3150" s="16" t="str">
        <f>IFERROR(VLOOKUP(DATA!#REF!,DATA!#REF!,1,FALSE),"")</f>
        <v/>
      </c>
      <c r="D3150" s="16" t="str">
        <f>IFERROR(VLOOKUP(C3150,DATA!#REF!,2,FALSE),"")</f>
        <v/>
      </c>
    </row>
    <row r="3151" spans="3:4" s="237" customFormat="1">
      <c r="C3151" s="16" t="str">
        <f>IFERROR(VLOOKUP(DATA!#REF!,DATA!#REF!,1,FALSE),"")</f>
        <v/>
      </c>
      <c r="D3151" s="16" t="str">
        <f>IFERROR(VLOOKUP(C3151,DATA!#REF!,2,FALSE),"")</f>
        <v/>
      </c>
    </row>
    <row r="3152" spans="3:4" s="237" customFormat="1">
      <c r="C3152" s="16" t="str">
        <f>IFERROR(VLOOKUP(DATA!#REF!,DATA!#REF!,1,FALSE),"")</f>
        <v/>
      </c>
      <c r="D3152" s="16" t="str">
        <f>IFERROR(VLOOKUP(C3152,DATA!#REF!,2,FALSE),"")</f>
        <v/>
      </c>
    </row>
    <row r="3153" spans="3:4" s="237" customFormat="1">
      <c r="C3153" s="16" t="str">
        <f>IFERROR(VLOOKUP(DATA!#REF!,DATA!#REF!,1,FALSE),"")</f>
        <v/>
      </c>
      <c r="D3153" s="16" t="str">
        <f>IFERROR(VLOOKUP(C3153,DATA!#REF!,2,FALSE),"")</f>
        <v/>
      </c>
    </row>
    <row r="3154" spans="3:4" s="237" customFormat="1">
      <c r="C3154" s="16" t="str">
        <f>IFERROR(VLOOKUP(DATA!#REF!,DATA!#REF!,1,FALSE),"")</f>
        <v/>
      </c>
      <c r="D3154" s="16" t="str">
        <f>IFERROR(VLOOKUP(C3154,DATA!#REF!,2,FALSE),"")</f>
        <v/>
      </c>
    </row>
    <row r="3155" spans="3:4" s="237" customFormat="1">
      <c r="C3155" s="16" t="str">
        <f>IFERROR(VLOOKUP(DATA!#REF!,DATA!#REF!,1,FALSE),"")</f>
        <v/>
      </c>
      <c r="D3155" s="16" t="str">
        <f>IFERROR(VLOOKUP(C3155,DATA!#REF!,2,FALSE),"")</f>
        <v/>
      </c>
    </row>
    <row r="3156" spans="3:4" s="237" customFormat="1">
      <c r="C3156" s="16" t="str">
        <f>IFERROR(VLOOKUP(DATA!#REF!,DATA!#REF!,1,FALSE),"")</f>
        <v/>
      </c>
      <c r="D3156" s="16" t="str">
        <f>IFERROR(VLOOKUP(C3156,DATA!#REF!,2,FALSE),"")</f>
        <v/>
      </c>
    </row>
    <row r="3157" spans="3:4" s="237" customFormat="1">
      <c r="C3157" s="16" t="str">
        <f>IFERROR(VLOOKUP(DATA!#REF!,DATA!#REF!,1,FALSE),"")</f>
        <v/>
      </c>
      <c r="D3157" s="16" t="str">
        <f>IFERROR(VLOOKUP(C3157,DATA!#REF!,2,FALSE),"")</f>
        <v/>
      </c>
    </row>
    <row r="3158" spans="3:4" s="237" customFormat="1">
      <c r="C3158" s="16" t="str">
        <f>IFERROR(VLOOKUP(DATA!#REF!,DATA!#REF!,1,FALSE),"")</f>
        <v/>
      </c>
      <c r="D3158" s="16" t="str">
        <f>IFERROR(VLOOKUP(C3158,DATA!#REF!,2,FALSE),"")</f>
        <v/>
      </c>
    </row>
    <row r="3159" spans="3:4" s="237" customFormat="1">
      <c r="C3159" s="16" t="str">
        <f>IFERROR(VLOOKUP(DATA!#REF!,DATA!#REF!,1,FALSE),"")</f>
        <v/>
      </c>
      <c r="D3159" s="16" t="str">
        <f>IFERROR(VLOOKUP(C3159,DATA!#REF!,2,FALSE),"")</f>
        <v/>
      </c>
    </row>
    <row r="3160" spans="3:4" s="237" customFormat="1">
      <c r="C3160" s="16" t="str">
        <f>IFERROR(VLOOKUP(DATA!#REF!,DATA!#REF!,1,FALSE),"")</f>
        <v/>
      </c>
      <c r="D3160" s="16" t="str">
        <f>IFERROR(VLOOKUP(C3160,DATA!#REF!,2,FALSE),"")</f>
        <v/>
      </c>
    </row>
    <row r="3161" spans="3:4" s="237" customFormat="1">
      <c r="C3161" s="16" t="str">
        <f>IFERROR(VLOOKUP(DATA!#REF!,DATA!#REF!,1,FALSE),"")</f>
        <v/>
      </c>
      <c r="D3161" s="16" t="str">
        <f>IFERROR(VLOOKUP(C3161,DATA!#REF!,2,FALSE),"")</f>
        <v/>
      </c>
    </row>
    <row r="3162" spans="3:4" s="237" customFormat="1">
      <c r="C3162" s="16" t="str">
        <f>IFERROR(VLOOKUP(DATA!#REF!,DATA!#REF!,1,FALSE),"")</f>
        <v/>
      </c>
      <c r="D3162" s="16" t="str">
        <f>IFERROR(VLOOKUP(C3162,DATA!#REF!,2,FALSE),"")</f>
        <v/>
      </c>
    </row>
    <row r="3163" spans="3:4" s="237" customFormat="1">
      <c r="C3163" s="16" t="str">
        <f>IFERROR(VLOOKUP(DATA!#REF!,DATA!#REF!,1,FALSE),"")</f>
        <v/>
      </c>
      <c r="D3163" s="16" t="str">
        <f>IFERROR(VLOOKUP(C3163,DATA!#REF!,2,FALSE),"")</f>
        <v/>
      </c>
    </row>
    <row r="3164" spans="3:4" s="237" customFormat="1">
      <c r="C3164" s="16" t="str">
        <f>IFERROR(VLOOKUP(DATA!#REF!,DATA!#REF!,1,FALSE),"")</f>
        <v/>
      </c>
      <c r="D3164" s="16" t="str">
        <f>IFERROR(VLOOKUP(C3164,DATA!#REF!,2,FALSE),"")</f>
        <v/>
      </c>
    </row>
    <row r="3165" spans="3:4" s="237" customFormat="1">
      <c r="C3165" s="16" t="str">
        <f>IFERROR(VLOOKUP(DATA!#REF!,DATA!#REF!,1,FALSE),"")</f>
        <v/>
      </c>
      <c r="D3165" s="16" t="str">
        <f>IFERROR(VLOOKUP(C3165,DATA!#REF!,2,FALSE),"")</f>
        <v/>
      </c>
    </row>
    <row r="3166" spans="3:4" s="237" customFormat="1">
      <c r="C3166" s="16" t="str">
        <f>IFERROR(VLOOKUP(DATA!#REF!,DATA!#REF!,1,FALSE),"")</f>
        <v/>
      </c>
      <c r="D3166" s="16" t="str">
        <f>IFERROR(VLOOKUP(C3166,DATA!#REF!,2,FALSE),"")</f>
        <v/>
      </c>
    </row>
    <row r="3167" spans="3:4" s="237" customFormat="1">
      <c r="C3167" s="16" t="str">
        <f>IFERROR(VLOOKUP(DATA!#REF!,DATA!#REF!,1,FALSE),"")</f>
        <v/>
      </c>
      <c r="D3167" s="16" t="str">
        <f>IFERROR(VLOOKUP(C3167,DATA!#REF!,2,FALSE),"")</f>
        <v/>
      </c>
    </row>
    <row r="3168" spans="3:4" s="237" customFormat="1">
      <c r="C3168" s="16" t="str">
        <f>IFERROR(VLOOKUP(DATA!#REF!,DATA!#REF!,1,FALSE),"")</f>
        <v/>
      </c>
      <c r="D3168" s="16" t="str">
        <f>IFERROR(VLOOKUP(C3168,DATA!#REF!,2,FALSE),"")</f>
        <v/>
      </c>
    </row>
    <row r="3169" spans="3:4" s="237" customFormat="1">
      <c r="C3169" s="16" t="str">
        <f>IFERROR(VLOOKUP(DATA!#REF!,DATA!#REF!,1,FALSE),"")</f>
        <v/>
      </c>
      <c r="D3169" s="16" t="str">
        <f>IFERROR(VLOOKUP(C3169,DATA!#REF!,2,FALSE),"")</f>
        <v/>
      </c>
    </row>
    <row r="3170" spans="3:4" s="237" customFormat="1">
      <c r="C3170" s="16" t="str">
        <f>IFERROR(VLOOKUP(DATA!#REF!,DATA!#REF!,1,FALSE),"")</f>
        <v/>
      </c>
      <c r="D3170" s="16" t="str">
        <f>IFERROR(VLOOKUP(C3170,DATA!#REF!,2,FALSE),"")</f>
        <v/>
      </c>
    </row>
    <row r="3171" spans="3:4" s="237" customFormat="1">
      <c r="C3171" s="16" t="str">
        <f>IFERROR(VLOOKUP(DATA!#REF!,DATA!#REF!,1,FALSE),"")</f>
        <v/>
      </c>
      <c r="D3171" s="16" t="str">
        <f>IFERROR(VLOOKUP(C3171,DATA!#REF!,2,FALSE),"")</f>
        <v/>
      </c>
    </row>
    <row r="3172" spans="3:4" s="237" customFormat="1">
      <c r="C3172" s="16" t="str">
        <f>IFERROR(VLOOKUP(DATA!#REF!,DATA!#REF!,1,FALSE),"")</f>
        <v/>
      </c>
      <c r="D3172" s="16" t="str">
        <f>IFERROR(VLOOKUP(C3172,DATA!#REF!,2,FALSE),"")</f>
        <v/>
      </c>
    </row>
    <row r="3173" spans="3:4" s="237" customFormat="1">
      <c r="C3173" s="16" t="str">
        <f>IFERROR(VLOOKUP(DATA!#REF!,DATA!#REF!,1,FALSE),"")</f>
        <v/>
      </c>
      <c r="D3173" s="16" t="str">
        <f>IFERROR(VLOOKUP(C3173,DATA!#REF!,2,FALSE),"")</f>
        <v/>
      </c>
    </row>
    <row r="3174" spans="3:4" s="237" customFormat="1">
      <c r="C3174" s="16" t="str">
        <f>IFERROR(VLOOKUP(DATA!#REF!,DATA!#REF!,1,FALSE),"")</f>
        <v/>
      </c>
      <c r="D3174" s="16" t="str">
        <f>IFERROR(VLOOKUP(C3174,DATA!#REF!,2,FALSE),"")</f>
        <v/>
      </c>
    </row>
    <row r="3175" spans="3:4" s="237" customFormat="1">
      <c r="C3175" s="16" t="str">
        <f>IFERROR(VLOOKUP(DATA!#REF!,DATA!#REF!,1,FALSE),"")</f>
        <v/>
      </c>
      <c r="D3175" s="16" t="str">
        <f>IFERROR(VLOOKUP(C3175,DATA!#REF!,2,FALSE),"")</f>
        <v/>
      </c>
    </row>
    <row r="3176" spans="3:4" s="237" customFormat="1">
      <c r="C3176" s="16" t="str">
        <f>IFERROR(VLOOKUP(DATA!#REF!,DATA!#REF!,1,FALSE),"")</f>
        <v/>
      </c>
      <c r="D3176" s="16" t="str">
        <f>IFERROR(VLOOKUP(C3176,DATA!#REF!,2,FALSE),"")</f>
        <v/>
      </c>
    </row>
    <row r="3177" spans="3:4" s="237" customFormat="1">
      <c r="C3177" s="16" t="str">
        <f>IFERROR(VLOOKUP(DATA!#REF!,DATA!#REF!,1,FALSE),"")</f>
        <v/>
      </c>
      <c r="D3177" s="16" t="str">
        <f>IFERROR(VLOOKUP(C3177,DATA!#REF!,2,FALSE),"")</f>
        <v/>
      </c>
    </row>
    <row r="3178" spans="3:4" s="237" customFormat="1">
      <c r="C3178" s="16" t="str">
        <f>IFERROR(VLOOKUP(DATA!#REF!,DATA!#REF!,1,FALSE),"")</f>
        <v/>
      </c>
      <c r="D3178" s="16" t="str">
        <f>IFERROR(VLOOKUP(C3178,DATA!#REF!,2,FALSE),"")</f>
        <v/>
      </c>
    </row>
    <row r="3179" spans="3:4" s="237" customFormat="1">
      <c r="C3179" s="16" t="str">
        <f>IFERROR(VLOOKUP(DATA!#REF!,DATA!#REF!,1,FALSE),"")</f>
        <v/>
      </c>
      <c r="D3179" s="16" t="str">
        <f>IFERROR(VLOOKUP(C3179,DATA!#REF!,2,FALSE),"")</f>
        <v/>
      </c>
    </row>
    <row r="3180" spans="3:4" s="237" customFormat="1">
      <c r="C3180" s="16" t="str">
        <f>IFERROR(VLOOKUP(DATA!#REF!,DATA!#REF!,1,FALSE),"")</f>
        <v/>
      </c>
      <c r="D3180" s="16" t="str">
        <f>IFERROR(VLOOKUP(C3180,DATA!#REF!,2,FALSE),"")</f>
        <v/>
      </c>
    </row>
    <row r="3181" spans="3:4" s="237" customFormat="1">
      <c r="C3181" s="16" t="str">
        <f>IFERROR(VLOOKUP(DATA!#REF!,DATA!#REF!,1,FALSE),"")</f>
        <v/>
      </c>
      <c r="D3181" s="16" t="str">
        <f>IFERROR(VLOOKUP(C3181,DATA!#REF!,2,FALSE),"")</f>
        <v/>
      </c>
    </row>
    <row r="3182" spans="3:4" s="237" customFormat="1">
      <c r="C3182" s="16" t="str">
        <f>IFERROR(VLOOKUP(DATA!#REF!,DATA!#REF!,1,FALSE),"")</f>
        <v/>
      </c>
      <c r="D3182" s="16" t="str">
        <f>IFERROR(VLOOKUP(C3182,DATA!#REF!,2,FALSE),"")</f>
        <v/>
      </c>
    </row>
    <row r="3183" spans="3:4" s="237" customFormat="1">
      <c r="C3183" s="16" t="str">
        <f>IFERROR(VLOOKUP(DATA!#REF!,DATA!#REF!,1,FALSE),"")</f>
        <v/>
      </c>
      <c r="D3183" s="16" t="str">
        <f>IFERROR(VLOOKUP(C3183,DATA!#REF!,2,FALSE),"")</f>
        <v/>
      </c>
    </row>
    <row r="3184" spans="3:4" s="237" customFormat="1">
      <c r="C3184" s="16" t="str">
        <f>IFERROR(VLOOKUP(DATA!#REF!,DATA!#REF!,1,FALSE),"")</f>
        <v/>
      </c>
      <c r="D3184" s="16" t="str">
        <f>IFERROR(VLOOKUP(C3184,DATA!#REF!,2,FALSE),"")</f>
        <v/>
      </c>
    </row>
    <row r="3185" spans="3:4" s="237" customFormat="1">
      <c r="C3185" s="16" t="str">
        <f>IFERROR(VLOOKUP(DATA!#REF!,DATA!#REF!,1,FALSE),"")</f>
        <v/>
      </c>
      <c r="D3185" s="16" t="str">
        <f>IFERROR(VLOOKUP(C3185,DATA!#REF!,2,FALSE),"")</f>
        <v/>
      </c>
    </row>
    <row r="3186" spans="3:4" s="237" customFormat="1">
      <c r="C3186" s="16" t="str">
        <f>IFERROR(VLOOKUP(DATA!#REF!,DATA!#REF!,1,FALSE),"")</f>
        <v/>
      </c>
      <c r="D3186" s="16" t="str">
        <f>IFERROR(VLOOKUP(C3186,DATA!#REF!,2,FALSE),"")</f>
        <v/>
      </c>
    </row>
    <row r="3187" spans="3:4" s="237" customFormat="1">
      <c r="C3187" s="16" t="str">
        <f>IFERROR(VLOOKUP(DATA!#REF!,DATA!#REF!,1,FALSE),"")</f>
        <v/>
      </c>
      <c r="D3187" s="16" t="str">
        <f>IFERROR(VLOOKUP(C3187,DATA!#REF!,2,FALSE),"")</f>
        <v/>
      </c>
    </row>
    <row r="3188" spans="3:4" s="237" customFormat="1">
      <c r="C3188" s="16" t="str">
        <f>IFERROR(VLOOKUP(DATA!#REF!,DATA!#REF!,1,FALSE),"")</f>
        <v/>
      </c>
      <c r="D3188" s="16" t="str">
        <f>IFERROR(VLOOKUP(C3188,DATA!#REF!,2,FALSE),"")</f>
        <v/>
      </c>
    </row>
    <row r="3189" spans="3:4" s="237" customFormat="1">
      <c r="C3189" s="16" t="str">
        <f>IFERROR(VLOOKUP(DATA!#REF!,DATA!#REF!,1,FALSE),"")</f>
        <v/>
      </c>
      <c r="D3189" s="16" t="str">
        <f>IFERROR(VLOOKUP(C3189,DATA!#REF!,2,FALSE),"")</f>
        <v/>
      </c>
    </row>
    <row r="3190" spans="3:4" s="237" customFormat="1">
      <c r="C3190" s="16" t="str">
        <f>IFERROR(VLOOKUP(DATA!#REF!,DATA!#REF!,1,FALSE),"")</f>
        <v/>
      </c>
      <c r="D3190" s="16" t="str">
        <f>IFERROR(VLOOKUP(C3190,DATA!#REF!,2,FALSE),"")</f>
        <v/>
      </c>
    </row>
    <row r="3191" spans="3:4" s="237" customFormat="1">
      <c r="C3191" s="16" t="str">
        <f>IFERROR(VLOOKUP(DATA!#REF!,DATA!#REF!,1,FALSE),"")</f>
        <v/>
      </c>
      <c r="D3191" s="16" t="str">
        <f>IFERROR(VLOOKUP(C3191,DATA!#REF!,2,FALSE),"")</f>
        <v/>
      </c>
    </row>
    <row r="3192" spans="3:4" s="237" customFormat="1">
      <c r="C3192" s="16" t="str">
        <f>IFERROR(VLOOKUP(DATA!#REF!,DATA!#REF!,1,FALSE),"")</f>
        <v/>
      </c>
      <c r="D3192" s="16" t="str">
        <f>IFERROR(VLOOKUP(C3192,DATA!#REF!,2,FALSE),"")</f>
        <v/>
      </c>
    </row>
    <row r="3193" spans="3:4" s="237" customFormat="1">
      <c r="C3193" s="16" t="str">
        <f>IFERROR(VLOOKUP(DATA!#REF!,DATA!#REF!,1,FALSE),"")</f>
        <v/>
      </c>
      <c r="D3193" s="16" t="str">
        <f>IFERROR(VLOOKUP(C3193,DATA!#REF!,2,FALSE),"")</f>
        <v/>
      </c>
    </row>
    <row r="3194" spans="3:4" s="237" customFormat="1">
      <c r="C3194" s="16" t="str">
        <f>IFERROR(VLOOKUP(DATA!#REF!,DATA!#REF!,1,FALSE),"")</f>
        <v/>
      </c>
      <c r="D3194" s="16" t="str">
        <f>IFERROR(VLOOKUP(C3194,DATA!#REF!,2,FALSE),"")</f>
        <v/>
      </c>
    </row>
    <row r="3195" spans="3:4" s="237" customFormat="1">
      <c r="C3195" s="16" t="str">
        <f>IFERROR(VLOOKUP(DATA!#REF!,DATA!#REF!,1,FALSE),"")</f>
        <v/>
      </c>
      <c r="D3195" s="16" t="str">
        <f>IFERROR(VLOOKUP(C3195,DATA!#REF!,2,FALSE),"")</f>
        <v/>
      </c>
    </row>
    <row r="3196" spans="3:4" s="237" customFormat="1">
      <c r="C3196" s="16" t="str">
        <f>IFERROR(VLOOKUP(DATA!#REF!,DATA!#REF!,1,FALSE),"")</f>
        <v/>
      </c>
      <c r="D3196" s="16" t="str">
        <f>IFERROR(VLOOKUP(C3196,DATA!#REF!,2,FALSE),"")</f>
        <v/>
      </c>
    </row>
    <row r="3197" spans="3:4" s="237" customFormat="1">
      <c r="C3197" s="16" t="str">
        <f>IFERROR(VLOOKUP(DATA!#REF!,DATA!#REF!,1,FALSE),"")</f>
        <v/>
      </c>
      <c r="D3197" s="16" t="str">
        <f>IFERROR(VLOOKUP(C3197,DATA!#REF!,2,FALSE),"")</f>
        <v/>
      </c>
    </row>
    <row r="3198" spans="3:4" s="237" customFormat="1">
      <c r="C3198" s="16" t="str">
        <f>IFERROR(VLOOKUP(DATA!#REF!,DATA!#REF!,1,FALSE),"")</f>
        <v/>
      </c>
      <c r="D3198" s="16" t="str">
        <f>IFERROR(VLOOKUP(C3198,DATA!#REF!,2,FALSE),"")</f>
        <v/>
      </c>
    </row>
    <row r="3199" spans="3:4" s="237" customFormat="1">
      <c r="C3199" s="16" t="str">
        <f>IFERROR(VLOOKUP(DATA!#REF!,DATA!#REF!,1,FALSE),"")</f>
        <v/>
      </c>
      <c r="D3199" s="16" t="str">
        <f>IFERROR(VLOOKUP(C3199,DATA!#REF!,2,FALSE),"")</f>
        <v/>
      </c>
    </row>
    <row r="3200" spans="3:4" s="237" customFormat="1">
      <c r="C3200" s="16" t="str">
        <f>IFERROR(VLOOKUP(DATA!#REF!,DATA!#REF!,1,FALSE),"")</f>
        <v/>
      </c>
      <c r="D3200" s="16" t="str">
        <f>IFERROR(VLOOKUP(C3200,DATA!#REF!,2,FALSE),"")</f>
        <v/>
      </c>
    </row>
    <row r="3201" spans="3:4" s="237" customFormat="1">
      <c r="C3201" s="16" t="str">
        <f>IFERROR(VLOOKUP(DATA!#REF!,DATA!#REF!,1,FALSE),"")</f>
        <v/>
      </c>
      <c r="D3201" s="16" t="str">
        <f>IFERROR(VLOOKUP(C3201,DATA!#REF!,2,FALSE),"")</f>
        <v/>
      </c>
    </row>
    <row r="3202" spans="3:4" s="237" customFormat="1">
      <c r="C3202" s="16" t="str">
        <f>IFERROR(VLOOKUP(DATA!#REF!,DATA!#REF!,1,FALSE),"")</f>
        <v/>
      </c>
      <c r="D3202" s="16" t="str">
        <f>IFERROR(VLOOKUP(C3202,DATA!#REF!,2,FALSE),"")</f>
        <v/>
      </c>
    </row>
    <row r="3203" spans="3:4" s="237" customFormat="1">
      <c r="C3203" s="16" t="str">
        <f>IFERROR(VLOOKUP(DATA!#REF!,DATA!#REF!,1,FALSE),"")</f>
        <v/>
      </c>
      <c r="D3203" s="16" t="str">
        <f>IFERROR(VLOOKUP(C3203,DATA!#REF!,2,FALSE),"")</f>
        <v/>
      </c>
    </row>
    <row r="3204" spans="3:4" s="237" customFormat="1">
      <c r="C3204" s="16" t="str">
        <f>IFERROR(VLOOKUP(DATA!#REF!,DATA!#REF!,1,FALSE),"")</f>
        <v/>
      </c>
      <c r="D3204" s="16" t="str">
        <f>IFERROR(VLOOKUP(C3204,DATA!#REF!,2,FALSE),"")</f>
        <v/>
      </c>
    </row>
    <row r="3205" spans="3:4" s="237" customFormat="1">
      <c r="C3205" s="16" t="str">
        <f>IFERROR(VLOOKUP(DATA!#REF!,DATA!#REF!,1,FALSE),"")</f>
        <v/>
      </c>
      <c r="D3205" s="16" t="str">
        <f>IFERROR(VLOOKUP(C3205,DATA!#REF!,2,FALSE),"")</f>
        <v/>
      </c>
    </row>
    <row r="3206" spans="3:4" s="237" customFormat="1">
      <c r="C3206" s="16" t="str">
        <f>IFERROR(VLOOKUP(DATA!#REF!,DATA!#REF!,1,FALSE),"")</f>
        <v/>
      </c>
      <c r="D3206" s="16" t="str">
        <f>IFERROR(VLOOKUP(C3206,DATA!#REF!,2,FALSE),"")</f>
        <v/>
      </c>
    </row>
    <row r="3207" spans="3:4" s="237" customFormat="1">
      <c r="C3207" s="16" t="str">
        <f>IFERROR(VLOOKUP(DATA!#REF!,DATA!#REF!,1,FALSE),"")</f>
        <v/>
      </c>
      <c r="D3207" s="16" t="str">
        <f>IFERROR(VLOOKUP(C3207,DATA!#REF!,2,FALSE),"")</f>
        <v/>
      </c>
    </row>
    <row r="3208" spans="3:4" s="237" customFormat="1">
      <c r="C3208" s="16" t="str">
        <f>IFERROR(VLOOKUP(DATA!#REF!,DATA!#REF!,1,FALSE),"")</f>
        <v/>
      </c>
      <c r="D3208" s="16" t="str">
        <f>IFERROR(VLOOKUP(C3208,DATA!#REF!,2,FALSE),"")</f>
        <v/>
      </c>
    </row>
    <row r="3209" spans="3:4" s="237" customFormat="1">
      <c r="C3209" s="16" t="str">
        <f>IFERROR(VLOOKUP(DATA!#REF!,DATA!#REF!,1,FALSE),"")</f>
        <v/>
      </c>
      <c r="D3209" s="16" t="str">
        <f>IFERROR(VLOOKUP(C3209,DATA!#REF!,2,FALSE),"")</f>
        <v/>
      </c>
    </row>
    <row r="3210" spans="3:4" s="237" customFormat="1">
      <c r="C3210" s="16" t="str">
        <f>IFERROR(VLOOKUP(DATA!#REF!,DATA!#REF!,1,FALSE),"")</f>
        <v/>
      </c>
      <c r="D3210" s="16" t="str">
        <f>IFERROR(VLOOKUP(C3210,DATA!#REF!,2,FALSE),"")</f>
        <v/>
      </c>
    </row>
    <row r="3211" spans="3:4" s="237" customFormat="1">
      <c r="C3211" s="16" t="str">
        <f>IFERROR(VLOOKUP(DATA!#REF!,DATA!#REF!,1,FALSE),"")</f>
        <v/>
      </c>
      <c r="D3211" s="16" t="str">
        <f>IFERROR(VLOOKUP(C3211,DATA!#REF!,2,FALSE),"")</f>
        <v/>
      </c>
    </row>
    <row r="3212" spans="3:4" s="237" customFormat="1">
      <c r="C3212" s="16" t="str">
        <f>IFERROR(VLOOKUP(DATA!#REF!,DATA!#REF!,1,FALSE),"")</f>
        <v/>
      </c>
      <c r="D3212" s="16" t="str">
        <f>IFERROR(VLOOKUP(C3212,DATA!#REF!,2,FALSE),"")</f>
        <v/>
      </c>
    </row>
    <row r="3213" spans="3:4" s="237" customFormat="1">
      <c r="C3213" s="16" t="str">
        <f>IFERROR(VLOOKUP(DATA!#REF!,DATA!#REF!,1,FALSE),"")</f>
        <v/>
      </c>
      <c r="D3213" s="16" t="str">
        <f>IFERROR(VLOOKUP(C3213,DATA!#REF!,2,FALSE),"")</f>
        <v/>
      </c>
    </row>
    <row r="3214" spans="3:4" s="237" customFormat="1">
      <c r="C3214" s="16" t="str">
        <f>IFERROR(VLOOKUP(DATA!#REF!,DATA!#REF!,1,FALSE),"")</f>
        <v/>
      </c>
      <c r="D3214" s="16" t="str">
        <f>IFERROR(VLOOKUP(C3214,DATA!#REF!,2,FALSE),"")</f>
        <v/>
      </c>
    </row>
    <row r="3215" spans="3:4" s="237" customFormat="1">
      <c r="C3215" s="16" t="str">
        <f>IFERROR(VLOOKUP(DATA!#REF!,DATA!#REF!,1,FALSE),"")</f>
        <v/>
      </c>
      <c r="D3215" s="16" t="str">
        <f>IFERROR(VLOOKUP(C3215,DATA!#REF!,2,FALSE),"")</f>
        <v/>
      </c>
    </row>
    <row r="3216" spans="3:4" s="237" customFormat="1">
      <c r="C3216" s="16" t="str">
        <f>IFERROR(VLOOKUP(DATA!#REF!,DATA!#REF!,1,FALSE),"")</f>
        <v/>
      </c>
      <c r="D3216" s="16" t="str">
        <f>IFERROR(VLOOKUP(C3216,DATA!#REF!,2,FALSE),"")</f>
        <v/>
      </c>
    </row>
    <row r="3217" spans="3:4" s="237" customFormat="1">
      <c r="C3217" s="16" t="str">
        <f>IFERROR(VLOOKUP(DATA!#REF!,DATA!#REF!,1,FALSE),"")</f>
        <v/>
      </c>
      <c r="D3217" s="16" t="str">
        <f>IFERROR(VLOOKUP(C3217,DATA!#REF!,2,FALSE),"")</f>
        <v/>
      </c>
    </row>
    <row r="3218" spans="3:4" s="237" customFormat="1">
      <c r="C3218" s="16" t="str">
        <f>IFERROR(VLOOKUP(DATA!#REF!,DATA!#REF!,1,FALSE),"")</f>
        <v/>
      </c>
      <c r="D3218" s="16" t="str">
        <f>IFERROR(VLOOKUP(C3218,DATA!#REF!,2,FALSE),"")</f>
        <v/>
      </c>
    </row>
    <row r="3219" spans="3:4" s="237" customFormat="1">
      <c r="C3219" s="16" t="str">
        <f>IFERROR(VLOOKUP(DATA!#REF!,DATA!#REF!,1,FALSE),"")</f>
        <v/>
      </c>
      <c r="D3219" s="16" t="str">
        <f>IFERROR(VLOOKUP(C3219,DATA!#REF!,2,FALSE),"")</f>
        <v/>
      </c>
    </row>
    <row r="3220" spans="3:4" s="237" customFormat="1">
      <c r="C3220" s="16" t="str">
        <f>IFERROR(VLOOKUP(DATA!#REF!,DATA!#REF!,1,FALSE),"")</f>
        <v/>
      </c>
      <c r="D3220" s="16" t="str">
        <f>IFERROR(VLOOKUP(C3220,DATA!#REF!,2,FALSE),"")</f>
        <v/>
      </c>
    </row>
    <row r="3221" spans="3:4" s="237" customFormat="1">
      <c r="C3221" s="16" t="str">
        <f>IFERROR(VLOOKUP(DATA!#REF!,DATA!#REF!,1,FALSE),"")</f>
        <v/>
      </c>
      <c r="D3221" s="16" t="str">
        <f>IFERROR(VLOOKUP(C3221,DATA!#REF!,2,FALSE),"")</f>
        <v/>
      </c>
    </row>
    <row r="3222" spans="3:4" s="237" customFormat="1">
      <c r="C3222" s="16" t="str">
        <f>IFERROR(VLOOKUP(DATA!#REF!,DATA!#REF!,1,FALSE),"")</f>
        <v/>
      </c>
      <c r="D3222" s="16" t="str">
        <f>IFERROR(VLOOKUP(C3222,DATA!#REF!,2,FALSE),"")</f>
        <v/>
      </c>
    </row>
    <row r="3223" spans="3:4" s="237" customFormat="1">
      <c r="C3223" s="16" t="str">
        <f>IFERROR(VLOOKUP(DATA!#REF!,DATA!#REF!,1,FALSE),"")</f>
        <v/>
      </c>
      <c r="D3223" s="16" t="str">
        <f>IFERROR(VLOOKUP(C3223,DATA!#REF!,2,FALSE),"")</f>
        <v/>
      </c>
    </row>
    <row r="3224" spans="3:4" s="237" customFormat="1">
      <c r="C3224" s="16" t="str">
        <f>IFERROR(VLOOKUP(DATA!#REF!,DATA!#REF!,1,FALSE),"")</f>
        <v/>
      </c>
      <c r="D3224" s="16" t="str">
        <f>IFERROR(VLOOKUP(C3224,DATA!#REF!,2,FALSE),"")</f>
        <v/>
      </c>
    </row>
    <row r="3225" spans="3:4" s="237" customFormat="1">
      <c r="C3225" s="16" t="str">
        <f>IFERROR(VLOOKUP(DATA!#REF!,DATA!#REF!,1,FALSE),"")</f>
        <v/>
      </c>
      <c r="D3225" s="16" t="str">
        <f>IFERROR(VLOOKUP(C3225,DATA!#REF!,2,FALSE),"")</f>
        <v/>
      </c>
    </row>
    <row r="3226" spans="3:4" s="237" customFormat="1">
      <c r="C3226" s="16" t="str">
        <f>IFERROR(VLOOKUP(DATA!#REF!,DATA!#REF!,1,FALSE),"")</f>
        <v/>
      </c>
      <c r="D3226" s="16" t="str">
        <f>IFERROR(VLOOKUP(C3226,DATA!#REF!,2,FALSE),"")</f>
        <v/>
      </c>
    </row>
    <row r="3227" spans="3:4" s="237" customFormat="1">
      <c r="C3227" s="16" t="str">
        <f>IFERROR(VLOOKUP(DATA!#REF!,DATA!#REF!,1,FALSE),"")</f>
        <v/>
      </c>
      <c r="D3227" s="16" t="str">
        <f>IFERROR(VLOOKUP(C3227,DATA!#REF!,2,FALSE),"")</f>
        <v/>
      </c>
    </row>
    <row r="3228" spans="3:4" s="237" customFormat="1">
      <c r="C3228" s="16" t="str">
        <f>IFERROR(VLOOKUP(DATA!#REF!,DATA!#REF!,1,FALSE),"")</f>
        <v/>
      </c>
      <c r="D3228" s="16" t="str">
        <f>IFERROR(VLOOKUP(C3228,DATA!#REF!,2,FALSE),"")</f>
        <v/>
      </c>
    </row>
    <row r="3229" spans="3:4" s="237" customFormat="1">
      <c r="C3229" s="16" t="str">
        <f>IFERROR(VLOOKUP(DATA!#REF!,DATA!#REF!,1,FALSE),"")</f>
        <v/>
      </c>
      <c r="D3229" s="16" t="str">
        <f>IFERROR(VLOOKUP(C3229,DATA!#REF!,2,FALSE),"")</f>
        <v/>
      </c>
    </row>
    <row r="3230" spans="3:4" s="237" customFormat="1">
      <c r="C3230" s="16" t="str">
        <f>IFERROR(VLOOKUP(DATA!#REF!,DATA!#REF!,1,FALSE),"")</f>
        <v/>
      </c>
      <c r="D3230" s="16" t="str">
        <f>IFERROR(VLOOKUP(C3230,DATA!#REF!,2,FALSE),"")</f>
        <v/>
      </c>
    </row>
    <row r="3231" spans="3:4" s="237" customFormat="1">
      <c r="C3231" s="16" t="str">
        <f>IFERROR(VLOOKUP(DATA!#REF!,DATA!#REF!,1,FALSE),"")</f>
        <v/>
      </c>
      <c r="D3231" s="16" t="str">
        <f>IFERROR(VLOOKUP(C3231,DATA!#REF!,2,FALSE),"")</f>
        <v/>
      </c>
    </row>
    <row r="3232" spans="3:4" s="237" customFormat="1">
      <c r="C3232" s="16" t="str">
        <f>IFERROR(VLOOKUP(DATA!#REF!,DATA!#REF!,1,FALSE),"")</f>
        <v/>
      </c>
      <c r="D3232" s="16" t="str">
        <f>IFERROR(VLOOKUP(C3232,DATA!#REF!,2,FALSE),"")</f>
        <v/>
      </c>
    </row>
    <row r="3233" spans="3:4" s="237" customFormat="1">
      <c r="C3233" s="16" t="str">
        <f>IFERROR(VLOOKUP(DATA!#REF!,DATA!#REF!,1,FALSE),"")</f>
        <v/>
      </c>
      <c r="D3233" s="16" t="str">
        <f>IFERROR(VLOOKUP(C3233,DATA!#REF!,2,FALSE),"")</f>
        <v/>
      </c>
    </row>
    <row r="3234" spans="3:4" s="237" customFormat="1">
      <c r="C3234" s="16" t="str">
        <f>IFERROR(VLOOKUP(DATA!#REF!,DATA!#REF!,1,FALSE),"")</f>
        <v/>
      </c>
      <c r="D3234" s="16" t="str">
        <f>IFERROR(VLOOKUP(C3234,DATA!#REF!,2,FALSE),"")</f>
        <v/>
      </c>
    </row>
    <row r="3235" spans="3:4" s="237" customFormat="1">
      <c r="C3235" s="16" t="str">
        <f>IFERROR(VLOOKUP(DATA!#REF!,DATA!#REF!,1,FALSE),"")</f>
        <v/>
      </c>
      <c r="D3235" s="16" t="str">
        <f>IFERROR(VLOOKUP(C3235,DATA!#REF!,2,FALSE),"")</f>
        <v/>
      </c>
    </row>
    <row r="3236" spans="3:4" s="237" customFormat="1">
      <c r="C3236" s="16" t="str">
        <f>IFERROR(VLOOKUP(DATA!#REF!,DATA!#REF!,1,FALSE),"")</f>
        <v/>
      </c>
      <c r="D3236" s="16" t="str">
        <f>IFERROR(VLOOKUP(C3236,DATA!#REF!,2,FALSE),"")</f>
        <v/>
      </c>
    </row>
    <row r="3237" spans="3:4" s="237" customFormat="1">
      <c r="C3237" s="16" t="str">
        <f>IFERROR(VLOOKUP(DATA!#REF!,DATA!#REF!,1,FALSE),"")</f>
        <v/>
      </c>
      <c r="D3237" s="16" t="str">
        <f>IFERROR(VLOOKUP(C3237,DATA!#REF!,2,FALSE),"")</f>
        <v/>
      </c>
    </row>
    <row r="3238" spans="3:4" s="237" customFormat="1">
      <c r="C3238" s="16" t="str">
        <f>IFERROR(VLOOKUP(DATA!#REF!,DATA!#REF!,1,FALSE),"")</f>
        <v/>
      </c>
      <c r="D3238" s="16" t="str">
        <f>IFERROR(VLOOKUP(C3238,DATA!#REF!,2,FALSE),"")</f>
        <v/>
      </c>
    </row>
    <row r="3239" spans="3:4" s="237" customFormat="1">
      <c r="C3239" s="16" t="str">
        <f>IFERROR(VLOOKUP(DATA!#REF!,DATA!#REF!,1,FALSE),"")</f>
        <v/>
      </c>
      <c r="D3239" s="16" t="str">
        <f>IFERROR(VLOOKUP(C3239,DATA!#REF!,2,FALSE),"")</f>
        <v/>
      </c>
    </row>
    <row r="3240" spans="3:4" s="237" customFormat="1">
      <c r="C3240" s="16" t="str">
        <f>IFERROR(VLOOKUP(DATA!#REF!,DATA!#REF!,1,FALSE),"")</f>
        <v/>
      </c>
      <c r="D3240" s="16" t="str">
        <f>IFERROR(VLOOKUP(C3240,DATA!#REF!,2,FALSE),"")</f>
        <v/>
      </c>
    </row>
    <row r="3241" spans="3:4" s="237" customFormat="1">
      <c r="C3241" s="16" t="str">
        <f>IFERROR(VLOOKUP(DATA!#REF!,DATA!#REF!,1,FALSE),"")</f>
        <v/>
      </c>
      <c r="D3241" s="16" t="str">
        <f>IFERROR(VLOOKUP(C3241,DATA!#REF!,2,FALSE),"")</f>
        <v/>
      </c>
    </row>
    <row r="3242" spans="3:4" s="237" customFormat="1">
      <c r="C3242" s="16" t="str">
        <f>IFERROR(VLOOKUP(DATA!#REF!,DATA!#REF!,1,FALSE),"")</f>
        <v/>
      </c>
      <c r="D3242" s="16" t="str">
        <f>IFERROR(VLOOKUP(C3242,DATA!#REF!,2,FALSE),"")</f>
        <v/>
      </c>
    </row>
    <row r="3243" spans="3:4" s="237" customFormat="1">
      <c r="C3243" s="16" t="str">
        <f>IFERROR(VLOOKUP(DATA!#REF!,DATA!#REF!,1,FALSE),"")</f>
        <v/>
      </c>
      <c r="D3243" s="16" t="str">
        <f>IFERROR(VLOOKUP(C3243,DATA!#REF!,2,FALSE),"")</f>
        <v/>
      </c>
    </row>
    <row r="3244" spans="3:4" s="237" customFormat="1">
      <c r="C3244" s="16" t="str">
        <f>IFERROR(VLOOKUP(DATA!#REF!,DATA!#REF!,1,FALSE),"")</f>
        <v/>
      </c>
      <c r="D3244" s="16" t="str">
        <f>IFERROR(VLOOKUP(C3244,DATA!#REF!,2,FALSE),"")</f>
        <v/>
      </c>
    </row>
    <row r="3245" spans="3:4" s="237" customFormat="1">
      <c r="C3245" s="16" t="str">
        <f>IFERROR(VLOOKUP(DATA!#REF!,DATA!#REF!,1,FALSE),"")</f>
        <v/>
      </c>
      <c r="D3245" s="16" t="str">
        <f>IFERROR(VLOOKUP(C3245,DATA!#REF!,2,FALSE),"")</f>
        <v/>
      </c>
    </row>
    <row r="3246" spans="3:4" s="237" customFormat="1">
      <c r="C3246" s="16" t="str">
        <f>IFERROR(VLOOKUP(DATA!#REF!,DATA!#REF!,1,FALSE),"")</f>
        <v/>
      </c>
      <c r="D3246" s="16" t="str">
        <f>IFERROR(VLOOKUP(C3246,DATA!#REF!,2,FALSE),"")</f>
        <v/>
      </c>
    </row>
    <row r="3247" spans="3:4" s="237" customFormat="1">
      <c r="C3247" s="16" t="str">
        <f>IFERROR(VLOOKUP(DATA!#REF!,DATA!#REF!,1,FALSE),"")</f>
        <v/>
      </c>
      <c r="D3247" s="16" t="str">
        <f>IFERROR(VLOOKUP(C3247,DATA!#REF!,2,FALSE),"")</f>
        <v/>
      </c>
    </row>
    <row r="3248" spans="3:4" s="237" customFormat="1">
      <c r="C3248" s="16" t="str">
        <f>IFERROR(VLOOKUP(DATA!#REF!,DATA!#REF!,1,FALSE),"")</f>
        <v/>
      </c>
      <c r="D3248" s="16" t="str">
        <f>IFERROR(VLOOKUP(C3248,DATA!#REF!,2,FALSE),"")</f>
        <v/>
      </c>
    </row>
    <row r="3249" spans="3:4" s="237" customFormat="1">
      <c r="C3249" s="16" t="str">
        <f>IFERROR(VLOOKUP(DATA!#REF!,DATA!#REF!,1,FALSE),"")</f>
        <v/>
      </c>
      <c r="D3249" s="16" t="str">
        <f>IFERROR(VLOOKUP(C3249,DATA!#REF!,2,FALSE),"")</f>
        <v/>
      </c>
    </row>
    <row r="3250" spans="3:4" s="237" customFormat="1">
      <c r="C3250" s="16" t="str">
        <f>IFERROR(VLOOKUP(DATA!#REF!,DATA!#REF!,1,FALSE),"")</f>
        <v/>
      </c>
      <c r="D3250" s="16" t="str">
        <f>IFERROR(VLOOKUP(C3250,DATA!#REF!,2,FALSE),"")</f>
        <v/>
      </c>
    </row>
    <row r="3251" spans="3:4" s="237" customFormat="1">
      <c r="C3251" s="16" t="str">
        <f>IFERROR(VLOOKUP(DATA!#REF!,DATA!#REF!,1,FALSE),"")</f>
        <v/>
      </c>
      <c r="D3251" s="16" t="str">
        <f>IFERROR(VLOOKUP(C3251,DATA!#REF!,2,FALSE),"")</f>
        <v/>
      </c>
    </row>
    <row r="3252" spans="3:4" s="237" customFormat="1">
      <c r="C3252" s="16" t="str">
        <f>IFERROR(VLOOKUP(DATA!#REF!,DATA!#REF!,1,FALSE),"")</f>
        <v/>
      </c>
      <c r="D3252" s="16" t="str">
        <f>IFERROR(VLOOKUP(C3252,DATA!#REF!,2,FALSE),"")</f>
        <v/>
      </c>
    </row>
    <row r="3253" spans="3:4" s="237" customFormat="1">
      <c r="C3253" s="16" t="str">
        <f>IFERROR(VLOOKUP(DATA!#REF!,DATA!#REF!,1,FALSE),"")</f>
        <v/>
      </c>
      <c r="D3253" s="16" t="str">
        <f>IFERROR(VLOOKUP(C3253,DATA!#REF!,2,FALSE),"")</f>
        <v/>
      </c>
    </row>
    <row r="3254" spans="3:4" s="237" customFormat="1">
      <c r="C3254" s="16" t="str">
        <f>IFERROR(VLOOKUP(DATA!#REF!,DATA!#REF!,1,FALSE),"")</f>
        <v/>
      </c>
      <c r="D3254" s="16" t="str">
        <f>IFERROR(VLOOKUP(C3254,DATA!#REF!,2,FALSE),"")</f>
        <v/>
      </c>
    </row>
    <row r="3255" spans="3:4" s="237" customFormat="1">
      <c r="C3255" s="16" t="str">
        <f>IFERROR(VLOOKUP(DATA!#REF!,DATA!#REF!,1,FALSE),"")</f>
        <v/>
      </c>
      <c r="D3255" s="16" t="str">
        <f>IFERROR(VLOOKUP(C3255,DATA!#REF!,2,FALSE),"")</f>
        <v/>
      </c>
    </row>
    <row r="3256" spans="3:4" s="237" customFormat="1">
      <c r="C3256" s="16" t="str">
        <f>IFERROR(VLOOKUP(DATA!#REF!,DATA!#REF!,1,FALSE),"")</f>
        <v/>
      </c>
      <c r="D3256" s="16" t="str">
        <f>IFERROR(VLOOKUP(C3256,DATA!#REF!,2,FALSE),"")</f>
        <v/>
      </c>
    </row>
    <row r="3257" spans="3:4" s="237" customFormat="1">
      <c r="C3257" s="16" t="str">
        <f>IFERROR(VLOOKUP(DATA!#REF!,DATA!#REF!,1,FALSE),"")</f>
        <v/>
      </c>
      <c r="D3257" s="16" t="str">
        <f>IFERROR(VLOOKUP(C3257,DATA!#REF!,2,FALSE),"")</f>
        <v/>
      </c>
    </row>
    <row r="3258" spans="3:4" s="237" customFormat="1">
      <c r="C3258" s="16" t="str">
        <f>IFERROR(VLOOKUP(DATA!#REF!,DATA!#REF!,1,FALSE),"")</f>
        <v/>
      </c>
      <c r="D3258" s="16" t="str">
        <f>IFERROR(VLOOKUP(C3258,DATA!#REF!,2,FALSE),"")</f>
        <v/>
      </c>
    </row>
    <row r="3259" spans="3:4" s="237" customFormat="1">
      <c r="C3259" s="16" t="str">
        <f>IFERROR(VLOOKUP(DATA!#REF!,DATA!#REF!,1,FALSE),"")</f>
        <v/>
      </c>
      <c r="D3259" s="16" t="str">
        <f>IFERROR(VLOOKUP(C3259,DATA!#REF!,2,FALSE),"")</f>
        <v/>
      </c>
    </row>
    <row r="3260" spans="3:4" s="237" customFormat="1">
      <c r="C3260" s="16" t="str">
        <f>IFERROR(VLOOKUP(DATA!#REF!,DATA!#REF!,1,FALSE),"")</f>
        <v/>
      </c>
      <c r="D3260" s="16" t="str">
        <f>IFERROR(VLOOKUP(C3260,DATA!#REF!,2,FALSE),"")</f>
        <v/>
      </c>
    </row>
    <row r="3261" spans="3:4" s="237" customFormat="1">
      <c r="C3261" s="16" t="str">
        <f>IFERROR(VLOOKUP(DATA!#REF!,DATA!#REF!,1,FALSE),"")</f>
        <v/>
      </c>
      <c r="D3261" s="16" t="str">
        <f>IFERROR(VLOOKUP(C3261,DATA!#REF!,2,FALSE),"")</f>
        <v/>
      </c>
    </row>
    <row r="3262" spans="3:4" s="237" customFormat="1">
      <c r="C3262" s="16" t="str">
        <f>IFERROR(VLOOKUP(DATA!#REF!,DATA!#REF!,1,FALSE),"")</f>
        <v/>
      </c>
      <c r="D3262" s="16" t="str">
        <f>IFERROR(VLOOKUP(C3262,DATA!#REF!,2,FALSE),"")</f>
        <v/>
      </c>
    </row>
    <row r="3263" spans="3:4" s="237" customFormat="1">
      <c r="C3263" s="16" t="str">
        <f>IFERROR(VLOOKUP(DATA!#REF!,DATA!#REF!,1,FALSE),"")</f>
        <v/>
      </c>
      <c r="D3263" s="16" t="str">
        <f>IFERROR(VLOOKUP(C3263,DATA!#REF!,2,FALSE),"")</f>
        <v/>
      </c>
    </row>
    <row r="3264" spans="3:4" s="237" customFormat="1">
      <c r="C3264" s="16" t="str">
        <f>IFERROR(VLOOKUP(DATA!#REF!,DATA!#REF!,1,FALSE),"")</f>
        <v/>
      </c>
      <c r="D3264" s="16" t="str">
        <f>IFERROR(VLOOKUP(C3264,DATA!#REF!,2,FALSE),"")</f>
        <v/>
      </c>
    </row>
    <row r="3265" spans="3:4" s="237" customFormat="1">
      <c r="C3265" s="16" t="str">
        <f>IFERROR(VLOOKUP(DATA!#REF!,DATA!#REF!,1,FALSE),"")</f>
        <v/>
      </c>
      <c r="D3265" s="16" t="str">
        <f>IFERROR(VLOOKUP(C3265,DATA!#REF!,2,FALSE),"")</f>
        <v/>
      </c>
    </row>
    <row r="3266" spans="3:4" s="237" customFormat="1">
      <c r="C3266" s="16" t="str">
        <f>IFERROR(VLOOKUP(DATA!#REF!,DATA!#REF!,1,FALSE),"")</f>
        <v/>
      </c>
      <c r="D3266" s="16" t="str">
        <f>IFERROR(VLOOKUP(C3266,DATA!#REF!,2,FALSE),"")</f>
        <v/>
      </c>
    </row>
    <row r="3267" spans="3:4" s="237" customFormat="1">
      <c r="C3267" s="16" t="str">
        <f>IFERROR(VLOOKUP(DATA!#REF!,DATA!#REF!,1,FALSE),"")</f>
        <v/>
      </c>
      <c r="D3267" s="16" t="str">
        <f>IFERROR(VLOOKUP(C3267,DATA!#REF!,2,FALSE),"")</f>
        <v/>
      </c>
    </row>
    <row r="3268" spans="3:4" s="237" customFormat="1">
      <c r="C3268" s="16" t="str">
        <f>IFERROR(VLOOKUP(DATA!#REF!,DATA!#REF!,1,FALSE),"")</f>
        <v/>
      </c>
      <c r="D3268" s="16" t="str">
        <f>IFERROR(VLOOKUP(C3268,DATA!#REF!,2,FALSE),"")</f>
        <v/>
      </c>
    </row>
    <row r="3269" spans="3:4" s="237" customFormat="1">
      <c r="C3269" s="16" t="str">
        <f>IFERROR(VLOOKUP(DATA!#REF!,DATA!#REF!,1,FALSE),"")</f>
        <v/>
      </c>
      <c r="D3269" s="16" t="str">
        <f>IFERROR(VLOOKUP(C3269,DATA!#REF!,2,FALSE),"")</f>
        <v/>
      </c>
    </row>
    <row r="3270" spans="3:4" s="237" customFormat="1">
      <c r="C3270" s="16" t="str">
        <f>IFERROR(VLOOKUP(DATA!#REF!,DATA!#REF!,1,FALSE),"")</f>
        <v/>
      </c>
      <c r="D3270" s="16" t="str">
        <f>IFERROR(VLOOKUP(C3270,DATA!#REF!,2,FALSE),"")</f>
        <v/>
      </c>
    </row>
    <row r="3271" spans="3:4" s="237" customFormat="1">
      <c r="C3271" s="16" t="str">
        <f>IFERROR(VLOOKUP(DATA!#REF!,DATA!#REF!,1,FALSE),"")</f>
        <v/>
      </c>
      <c r="D3271" s="16" t="str">
        <f>IFERROR(VLOOKUP(C3271,DATA!#REF!,2,FALSE),"")</f>
        <v/>
      </c>
    </row>
    <row r="3272" spans="3:4" s="237" customFormat="1">
      <c r="C3272" s="16" t="str">
        <f>IFERROR(VLOOKUP(DATA!#REF!,DATA!#REF!,1,FALSE),"")</f>
        <v/>
      </c>
      <c r="D3272" s="16" t="str">
        <f>IFERROR(VLOOKUP(C3272,DATA!#REF!,2,FALSE),"")</f>
        <v/>
      </c>
    </row>
    <row r="3273" spans="3:4" s="237" customFormat="1">
      <c r="C3273" s="16" t="str">
        <f>IFERROR(VLOOKUP(DATA!#REF!,DATA!#REF!,1,FALSE),"")</f>
        <v/>
      </c>
      <c r="D3273" s="16" t="str">
        <f>IFERROR(VLOOKUP(C3273,DATA!#REF!,2,FALSE),"")</f>
        <v/>
      </c>
    </row>
    <row r="3274" spans="3:4" s="237" customFormat="1">
      <c r="C3274" s="16" t="str">
        <f>IFERROR(VLOOKUP(DATA!#REF!,DATA!#REF!,1,FALSE),"")</f>
        <v/>
      </c>
      <c r="D3274" s="16" t="str">
        <f>IFERROR(VLOOKUP(C3274,DATA!#REF!,2,FALSE),"")</f>
        <v/>
      </c>
    </row>
    <row r="3275" spans="3:4" s="237" customFormat="1">
      <c r="C3275" s="16" t="str">
        <f>IFERROR(VLOOKUP(DATA!#REF!,DATA!#REF!,1,FALSE),"")</f>
        <v/>
      </c>
      <c r="D3275" s="16" t="str">
        <f>IFERROR(VLOOKUP(C3275,DATA!#REF!,2,FALSE),"")</f>
        <v/>
      </c>
    </row>
    <row r="3276" spans="3:4" s="237" customFormat="1">
      <c r="C3276" s="16" t="str">
        <f>IFERROR(VLOOKUP(DATA!#REF!,DATA!#REF!,1,FALSE),"")</f>
        <v/>
      </c>
      <c r="D3276" s="16" t="str">
        <f>IFERROR(VLOOKUP(C3276,DATA!#REF!,2,FALSE),"")</f>
        <v/>
      </c>
    </row>
    <row r="3277" spans="3:4" s="237" customFormat="1">
      <c r="C3277" s="16" t="str">
        <f>IFERROR(VLOOKUP(DATA!#REF!,DATA!#REF!,1,FALSE),"")</f>
        <v/>
      </c>
      <c r="D3277" s="16" t="str">
        <f>IFERROR(VLOOKUP(C3277,DATA!#REF!,2,FALSE),"")</f>
        <v/>
      </c>
    </row>
    <row r="3278" spans="3:4" s="237" customFormat="1">
      <c r="C3278" s="16" t="str">
        <f>IFERROR(VLOOKUP(DATA!#REF!,DATA!#REF!,1,FALSE),"")</f>
        <v/>
      </c>
      <c r="D3278" s="16" t="str">
        <f>IFERROR(VLOOKUP(C3278,DATA!#REF!,2,FALSE),"")</f>
        <v/>
      </c>
    </row>
    <row r="3279" spans="3:4" s="237" customFormat="1">
      <c r="C3279" s="16" t="str">
        <f>IFERROR(VLOOKUP(DATA!#REF!,DATA!#REF!,1,FALSE),"")</f>
        <v/>
      </c>
      <c r="D3279" s="16" t="str">
        <f>IFERROR(VLOOKUP(C3279,DATA!#REF!,2,FALSE),"")</f>
        <v/>
      </c>
    </row>
    <row r="3280" spans="3:4" s="237" customFormat="1">
      <c r="C3280" s="16" t="str">
        <f>IFERROR(VLOOKUP(DATA!#REF!,DATA!#REF!,1,FALSE),"")</f>
        <v/>
      </c>
      <c r="D3280" s="16" t="str">
        <f>IFERROR(VLOOKUP(C3280,DATA!#REF!,2,FALSE),"")</f>
        <v/>
      </c>
    </row>
    <row r="3281" spans="3:4" s="237" customFormat="1">
      <c r="C3281" s="16" t="str">
        <f>IFERROR(VLOOKUP(DATA!#REF!,DATA!#REF!,1,FALSE),"")</f>
        <v/>
      </c>
      <c r="D3281" s="16" t="str">
        <f>IFERROR(VLOOKUP(C3281,DATA!#REF!,2,FALSE),"")</f>
        <v/>
      </c>
    </row>
    <row r="3282" spans="3:4" s="237" customFormat="1">
      <c r="C3282" s="16" t="str">
        <f>IFERROR(VLOOKUP(DATA!#REF!,DATA!#REF!,1,FALSE),"")</f>
        <v/>
      </c>
      <c r="D3282" s="16" t="str">
        <f>IFERROR(VLOOKUP(C3282,DATA!#REF!,2,FALSE),"")</f>
        <v/>
      </c>
    </row>
    <row r="3283" spans="3:4" s="237" customFormat="1">
      <c r="C3283" s="16" t="str">
        <f>IFERROR(VLOOKUP(DATA!#REF!,DATA!#REF!,1,FALSE),"")</f>
        <v/>
      </c>
      <c r="D3283" s="16" t="str">
        <f>IFERROR(VLOOKUP(C3283,DATA!#REF!,2,FALSE),"")</f>
        <v/>
      </c>
    </row>
    <row r="3284" spans="3:4" s="237" customFormat="1">
      <c r="C3284" s="16" t="str">
        <f>IFERROR(VLOOKUP(DATA!#REF!,DATA!#REF!,1,FALSE),"")</f>
        <v/>
      </c>
      <c r="D3284" s="16" t="str">
        <f>IFERROR(VLOOKUP(C3284,DATA!#REF!,2,FALSE),"")</f>
        <v/>
      </c>
    </row>
    <row r="3285" spans="3:4" s="237" customFormat="1">
      <c r="C3285" s="16" t="str">
        <f>IFERROR(VLOOKUP(DATA!#REF!,DATA!#REF!,1,FALSE),"")</f>
        <v/>
      </c>
      <c r="D3285" s="16" t="str">
        <f>IFERROR(VLOOKUP(C3285,DATA!#REF!,2,FALSE),"")</f>
        <v/>
      </c>
    </row>
    <row r="3286" spans="3:4" s="237" customFormat="1">
      <c r="C3286" s="16" t="str">
        <f>IFERROR(VLOOKUP(DATA!#REF!,DATA!#REF!,1,FALSE),"")</f>
        <v/>
      </c>
      <c r="D3286" s="16" t="str">
        <f>IFERROR(VLOOKUP(C3286,DATA!#REF!,2,FALSE),"")</f>
        <v/>
      </c>
    </row>
    <row r="3287" spans="3:4" s="237" customFormat="1">
      <c r="C3287" s="16" t="str">
        <f>IFERROR(VLOOKUP(DATA!#REF!,DATA!#REF!,1,FALSE),"")</f>
        <v/>
      </c>
      <c r="D3287" s="16" t="str">
        <f>IFERROR(VLOOKUP(C3287,DATA!#REF!,2,FALSE),"")</f>
        <v/>
      </c>
    </row>
    <row r="3288" spans="3:4" s="237" customFormat="1">
      <c r="C3288" s="16" t="str">
        <f>IFERROR(VLOOKUP(DATA!#REF!,DATA!#REF!,1,FALSE),"")</f>
        <v/>
      </c>
      <c r="D3288" s="16" t="str">
        <f>IFERROR(VLOOKUP(C3288,DATA!#REF!,2,FALSE),"")</f>
        <v/>
      </c>
    </row>
    <row r="3289" spans="3:4" s="237" customFormat="1">
      <c r="C3289" s="16" t="str">
        <f>IFERROR(VLOOKUP(DATA!#REF!,DATA!#REF!,1,FALSE),"")</f>
        <v/>
      </c>
      <c r="D3289" s="16" t="str">
        <f>IFERROR(VLOOKUP(C3289,DATA!#REF!,2,FALSE),"")</f>
        <v/>
      </c>
    </row>
    <row r="3290" spans="3:4" s="237" customFormat="1">
      <c r="C3290" s="16" t="str">
        <f>IFERROR(VLOOKUP(DATA!#REF!,DATA!#REF!,1,FALSE),"")</f>
        <v/>
      </c>
      <c r="D3290" s="16" t="str">
        <f>IFERROR(VLOOKUP(C3290,DATA!#REF!,2,FALSE),"")</f>
        <v/>
      </c>
    </row>
    <row r="3291" spans="3:4" s="237" customFormat="1">
      <c r="C3291" s="16" t="str">
        <f>IFERROR(VLOOKUP(DATA!#REF!,DATA!#REF!,1,FALSE),"")</f>
        <v/>
      </c>
      <c r="D3291" s="16" t="str">
        <f>IFERROR(VLOOKUP(C3291,DATA!#REF!,2,FALSE),"")</f>
        <v/>
      </c>
    </row>
    <row r="3292" spans="3:4" s="237" customFormat="1">
      <c r="C3292" s="16" t="str">
        <f>IFERROR(VLOOKUP(DATA!#REF!,DATA!#REF!,1,FALSE),"")</f>
        <v/>
      </c>
      <c r="D3292" s="16" t="str">
        <f>IFERROR(VLOOKUP(C3292,DATA!#REF!,2,FALSE),"")</f>
        <v/>
      </c>
    </row>
    <row r="3293" spans="3:4" s="237" customFormat="1">
      <c r="C3293" s="16" t="str">
        <f>IFERROR(VLOOKUP(DATA!#REF!,DATA!#REF!,1,FALSE),"")</f>
        <v/>
      </c>
      <c r="D3293" s="16" t="str">
        <f>IFERROR(VLOOKUP(C3293,DATA!#REF!,2,FALSE),"")</f>
        <v/>
      </c>
    </row>
    <row r="3294" spans="3:4" s="237" customFormat="1">
      <c r="C3294" s="16" t="str">
        <f>IFERROR(VLOOKUP(DATA!#REF!,DATA!#REF!,1,FALSE),"")</f>
        <v/>
      </c>
      <c r="D3294" s="16" t="str">
        <f>IFERROR(VLOOKUP(C3294,DATA!#REF!,2,FALSE),"")</f>
        <v/>
      </c>
    </row>
    <row r="3295" spans="3:4" s="237" customFormat="1">
      <c r="C3295" s="16" t="str">
        <f>IFERROR(VLOOKUP(DATA!#REF!,DATA!#REF!,1,FALSE),"")</f>
        <v/>
      </c>
      <c r="D3295" s="16" t="str">
        <f>IFERROR(VLOOKUP(C3295,DATA!#REF!,2,FALSE),"")</f>
        <v/>
      </c>
    </row>
    <row r="3296" spans="3:4" s="237" customFormat="1">
      <c r="C3296" s="16" t="str">
        <f>IFERROR(VLOOKUP(DATA!#REF!,DATA!#REF!,1,FALSE),"")</f>
        <v/>
      </c>
      <c r="D3296" s="16" t="str">
        <f>IFERROR(VLOOKUP(C3296,DATA!#REF!,2,FALSE),"")</f>
        <v/>
      </c>
    </row>
    <row r="3297" spans="3:4" s="237" customFormat="1">
      <c r="C3297" s="16" t="str">
        <f>IFERROR(VLOOKUP(DATA!#REF!,DATA!#REF!,1,FALSE),"")</f>
        <v/>
      </c>
      <c r="D3297" s="16" t="str">
        <f>IFERROR(VLOOKUP(C3297,DATA!#REF!,2,FALSE),"")</f>
        <v/>
      </c>
    </row>
    <row r="3298" spans="3:4" s="237" customFormat="1">
      <c r="C3298" s="16" t="str">
        <f>IFERROR(VLOOKUP(DATA!#REF!,DATA!#REF!,1,FALSE),"")</f>
        <v/>
      </c>
      <c r="D3298" s="16" t="str">
        <f>IFERROR(VLOOKUP(C3298,DATA!#REF!,2,FALSE),"")</f>
        <v/>
      </c>
    </row>
    <row r="3299" spans="3:4" s="237" customFormat="1">
      <c r="C3299" s="16" t="str">
        <f>IFERROR(VLOOKUP(DATA!#REF!,DATA!#REF!,1,FALSE),"")</f>
        <v/>
      </c>
      <c r="D3299" s="16" t="str">
        <f>IFERROR(VLOOKUP(C3299,DATA!#REF!,2,FALSE),"")</f>
        <v/>
      </c>
    </row>
    <row r="3300" spans="3:4" s="237" customFormat="1">
      <c r="C3300" s="16" t="str">
        <f>IFERROR(VLOOKUP(DATA!#REF!,DATA!#REF!,1,FALSE),"")</f>
        <v/>
      </c>
      <c r="D3300" s="16" t="str">
        <f>IFERROR(VLOOKUP(C3300,DATA!#REF!,2,FALSE),"")</f>
        <v/>
      </c>
    </row>
    <row r="3301" spans="3:4" s="237" customFormat="1">
      <c r="C3301" s="16" t="str">
        <f>IFERROR(VLOOKUP(DATA!#REF!,DATA!#REF!,1,FALSE),"")</f>
        <v/>
      </c>
      <c r="D3301" s="16" t="str">
        <f>IFERROR(VLOOKUP(C3301,DATA!#REF!,2,FALSE),"")</f>
        <v/>
      </c>
    </row>
    <row r="3302" spans="3:4" s="237" customFormat="1">
      <c r="C3302" s="16" t="str">
        <f>IFERROR(VLOOKUP(DATA!#REF!,DATA!#REF!,1,FALSE),"")</f>
        <v/>
      </c>
      <c r="D3302" s="16" t="str">
        <f>IFERROR(VLOOKUP(C3302,DATA!#REF!,2,FALSE),"")</f>
        <v/>
      </c>
    </row>
    <row r="3303" spans="3:4" s="237" customFormat="1">
      <c r="C3303" s="16" t="str">
        <f>IFERROR(VLOOKUP(DATA!#REF!,DATA!#REF!,1,FALSE),"")</f>
        <v/>
      </c>
      <c r="D3303" s="16" t="str">
        <f>IFERROR(VLOOKUP(C3303,DATA!#REF!,2,FALSE),"")</f>
        <v/>
      </c>
    </row>
    <row r="3304" spans="3:4" s="237" customFormat="1">
      <c r="C3304" s="16" t="str">
        <f>IFERROR(VLOOKUP(DATA!#REF!,DATA!#REF!,1,FALSE),"")</f>
        <v/>
      </c>
      <c r="D3304" s="16" t="str">
        <f>IFERROR(VLOOKUP(C3304,DATA!#REF!,2,FALSE),"")</f>
        <v/>
      </c>
    </row>
    <row r="3305" spans="3:4" s="237" customFormat="1">
      <c r="C3305" s="16" t="str">
        <f>IFERROR(VLOOKUP(DATA!#REF!,DATA!#REF!,1,FALSE),"")</f>
        <v/>
      </c>
      <c r="D3305" s="16" t="str">
        <f>IFERROR(VLOOKUP(C3305,DATA!#REF!,2,FALSE),"")</f>
        <v/>
      </c>
    </row>
    <row r="3306" spans="3:4" s="237" customFormat="1">
      <c r="C3306" s="16" t="str">
        <f>IFERROR(VLOOKUP(DATA!#REF!,DATA!#REF!,1,FALSE),"")</f>
        <v/>
      </c>
      <c r="D3306" s="16" t="str">
        <f>IFERROR(VLOOKUP(C3306,DATA!#REF!,2,FALSE),"")</f>
        <v/>
      </c>
    </row>
    <row r="3307" spans="3:4" s="237" customFormat="1">
      <c r="C3307" s="16" t="str">
        <f>IFERROR(VLOOKUP(DATA!#REF!,DATA!#REF!,1,FALSE),"")</f>
        <v/>
      </c>
      <c r="D3307" s="16" t="str">
        <f>IFERROR(VLOOKUP(C3307,DATA!#REF!,2,FALSE),"")</f>
        <v/>
      </c>
    </row>
    <row r="3308" spans="3:4" s="237" customFormat="1">
      <c r="C3308" s="16" t="str">
        <f>IFERROR(VLOOKUP(DATA!#REF!,DATA!#REF!,1,FALSE),"")</f>
        <v/>
      </c>
      <c r="D3308" s="16" t="str">
        <f>IFERROR(VLOOKUP(C3308,DATA!#REF!,2,FALSE),"")</f>
        <v/>
      </c>
    </row>
    <row r="3309" spans="3:4" s="237" customFormat="1">
      <c r="C3309" s="16" t="str">
        <f>IFERROR(VLOOKUP(DATA!#REF!,DATA!#REF!,1,FALSE),"")</f>
        <v/>
      </c>
      <c r="D3309" s="16" t="str">
        <f>IFERROR(VLOOKUP(C3309,DATA!#REF!,2,FALSE),"")</f>
        <v/>
      </c>
    </row>
    <row r="3310" spans="3:4" s="237" customFormat="1">
      <c r="C3310" s="16" t="str">
        <f>IFERROR(VLOOKUP(DATA!#REF!,DATA!#REF!,1,FALSE),"")</f>
        <v/>
      </c>
      <c r="D3310" s="16" t="str">
        <f>IFERROR(VLOOKUP(C3310,DATA!#REF!,2,FALSE),"")</f>
        <v/>
      </c>
    </row>
    <row r="3311" spans="3:4" s="237" customFormat="1">
      <c r="C3311" s="16" t="str">
        <f>IFERROR(VLOOKUP(DATA!#REF!,DATA!#REF!,1,FALSE),"")</f>
        <v/>
      </c>
      <c r="D3311" s="16" t="str">
        <f>IFERROR(VLOOKUP(C3311,DATA!#REF!,2,FALSE),"")</f>
        <v/>
      </c>
    </row>
    <row r="3312" spans="3:4" s="237" customFormat="1">
      <c r="C3312" s="16" t="str">
        <f>IFERROR(VLOOKUP(DATA!#REF!,DATA!#REF!,1,FALSE),"")</f>
        <v/>
      </c>
      <c r="D3312" s="16" t="str">
        <f>IFERROR(VLOOKUP(C3312,DATA!#REF!,2,FALSE),"")</f>
        <v/>
      </c>
    </row>
    <row r="3313" spans="3:4" s="237" customFormat="1">
      <c r="C3313" s="16" t="str">
        <f>IFERROR(VLOOKUP(DATA!#REF!,DATA!#REF!,1,FALSE),"")</f>
        <v/>
      </c>
      <c r="D3313" s="16" t="str">
        <f>IFERROR(VLOOKUP(C3313,DATA!#REF!,2,FALSE),"")</f>
        <v/>
      </c>
    </row>
    <row r="3314" spans="3:4" s="237" customFormat="1">
      <c r="C3314" s="16" t="str">
        <f>IFERROR(VLOOKUP(DATA!#REF!,DATA!#REF!,1,FALSE),"")</f>
        <v/>
      </c>
      <c r="D3314" s="16" t="str">
        <f>IFERROR(VLOOKUP(C3314,DATA!#REF!,2,FALSE),"")</f>
        <v/>
      </c>
    </row>
    <row r="3315" spans="3:4" s="237" customFormat="1">
      <c r="C3315" s="16" t="str">
        <f>IFERROR(VLOOKUP(DATA!#REF!,DATA!#REF!,1,FALSE),"")</f>
        <v/>
      </c>
      <c r="D3315" s="16" t="str">
        <f>IFERROR(VLOOKUP(C3315,DATA!#REF!,2,FALSE),"")</f>
        <v/>
      </c>
    </row>
    <row r="3316" spans="3:4" s="237" customFormat="1">
      <c r="C3316" s="16" t="str">
        <f>IFERROR(VLOOKUP(DATA!#REF!,DATA!#REF!,1,FALSE),"")</f>
        <v/>
      </c>
      <c r="D3316" s="16" t="str">
        <f>IFERROR(VLOOKUP(C3316,DATA!#REF!,2,FALSE),"")</f>
        <v/>
      </c>
    </row>
    <row r="3317" spans="3:4" s="237" customFormat="1">
      <c r="C3317" s="16" t="str">
        <f>IFERROR(VLOOKUP(DATA!#REF!,DATA!#REF!,1,FALSE),"")</f>
        <v/>
      </c>
      <c r="D3317" s="16" t="str">
        <f>IFERROR(VLOOKUP(C3317,DATA!#REF!,2,FALSE),"")</f>
        <v/>
      </c>
    </row>
    <row r="3318" spans="3:4" s="237" customFormat="1">
      <c r="C3318" s="16" t="str">
        <f>IFERROR(VLOOKUP(DATA!#REF!,DATA!#REF!,1,FALSE),"")</f>
        <v/>
      </c>
      <c r="D3318" s="16" t="str">
        <f>IFERROR(VLOOKUP(C3318,DATA!#REF!,2,FALSE),"")</f>
        <v/>
      </c>
    </row>
    <row r="3319" spans="3:4" s="237" customFormat="1">
      <c r="C3319" s="16" t="str">
        <f>IFERROR(VLOOKUP(DATA!#REF!,DATA!#REF!,1,FALSE),"")</f>
        <v/>
      </c>
      <c r="D3319" s="16" t="str">
        <f>IFERROR(VLOOKUP(C3319,DATA!#REF!,2,FALSE),"")</f>
        <v/>
      </c>
    </row>
    <row r="3320" spans="3:4" s="237" customFormat="1">
      <c r="C3320" s="16" t="str">
        <f>IFERROR(VLOOKUP(DATA!#REF!,DATA!#REF!,1,FALSE),"")</f>
        <v/>
      </c>
      <c r="D3320" s="16" t="str">
        <f>IFERROR(VLOOKUP(C3320,DATA!#REF!,2,FALSE),"")</f>
        <v/>
      </c>
    </row>
    <row r="3321" spans="3:4" s="237" customFormat="1">
      <c r="C3321" s="16" t="str">
        <f>IFERROR(VLOOKUP(DATA!#REF!,DATA!#REF!,1,FALSE),"")</f>
        <v/>
      </c>
      <c r="D3321" s="16" t="str">
        <f>IFERROR(VLOOKUP(C3321,DATA!#REF!,2,FALSE),"")</f>
        <v/>
      </c>
    </row>
    <row r="3322" spans="3:4" s="237" customFormat="1">
      <c r="C3322" s="16" t="str">
        <f>IFERROR(VLOOKUP(DATA!#REF!,DATA!#REF!,1,FALSE),"")</f>
        <v/>
      </c>
      <c r="D3322" s="16" t="str">
        <f>IFERROR(VLOOKUP(C3322,DATA!#REF!,2,FALSE),"")</f>
        <v/>
      </c>
    </row>
    <row r="3323" spans="3:4" s="237" customFormat="1">
      <c r="C3323" s="16" t="str">
        <f>IFERROR(VLOOKUP(DATA!#REF!,DATA!#REF!,1,FALSE),"")</f>
        <v/>
      </c>
      <c r="D3323" s="16" t="str">
        <f>IFERROR(VLOOKUP(C3323,DATA!#REF!,2,FALSE),"")</f>
        <v/>
      </c>
    </row>
    <row r="3324" spans="3:4" s="237" customFormat="1">
      <c r="C3324" s="16" t="str">
        <f>IFERROR(VLOOKUP(DATA!#REF!,DATA!#REF!,1,FALSE),"")</f>
        <v/>
      </c>
      <c r="D3324" s="16" t="str">
        <f>IFERROR(VLOOKUP(C3324,DATA!#REF!,2,FALSE),"")</f>
        <v/>
      </c>
    </row>
    <row r="3325" spans="3:4" s="237" customFormat="1">
      <c r="C3325" s="16" t="str">
        <f>IFERROR(VLOOKUP(DATA!#REF!,DATA!#REF!,1,FALSE),"")</f>
        <v/>
      </c>
      <c r="D3325" s="16" t="str">
        <f>IFERROR(VLOOKUP(C3325,DATA!#REF!,2,FALSE),"")</f>
        <v/>
      </c>
    </row>
    <row r="3326" spans="3:4" s="237" customFormat="1">
      <c r="C3326" s="16" t="str">
        <f>IFERROR(VLOOKUP(DATA!#REF!,DATA!#REF!,1,FALSE),"")</f>
        <v/>
      </c>
      <c r="D3326" s="16" t="str">
        <f>IFERROR(VLOOKUP(C3326,DATA!#REF!,2,FALSE),"")</f>
        <v/>
      </c>
    </row>
    <row r="3327" spans="3:4" s="237" customFormat="1">
      <c r="C3327" s="16" t="str">
        <f>IFERROR(VLOOKUP(DATA!#REF!,DATA!#REF!,1,FALSE),"")</f>
        <v/>
      </c>
      <c r="D3327" s="16" t="str">
        <f>IFERROR(VLOOKUP(C3327,DATA!#REF!,2,FALSE),"")</f>
        <v/>
      </c>
    </row>
    <row r="3328" spans="3:4" s="237" customFormat="1">
      <c r="C3328" s="16" t="str">
        <f>IFERROR(VLOOKUP(DATA!#REF!,DATA!#REF!,1,FALSE),"")</f>
        <v/>
      </c>
      <c r="D3328" s="16" t="str">
        <f>IFERROR(VLOOKUP(C3328,DATA!#REF!,2,FALSE),"")</f>
        <v/>
      </c>
    </row>
    <row r="3329" spans="3:4" s="237" customFormat="1">
      <c r="C3329" s="16" t="str">
        <f>IFERROR(VLOOKUP(DATA!#REF!,DATA!#REF!,1,FALSE),"")</f>
        <v/>
      </c>
      <c r="D3329" s="16" t="str">
        <f>IFERROR(VLOOKUP(C3329,DATA!#REF!,2,FALSE),"")</f>
        <v/>
      </c>
    </row>
    <row r="3330" spans="3:4" s="237" customFormat="1">
      <c r="C3330" s="16" t="str">
        <f>IFERROR(VLOOKUP(DATA!#REF!,DATA!#REF!,1,FALSE),"")</f>
        <v/>
      </c>
      <c r="D3330" s="16" t="str">
        <f>IFERROR(VLOOKUP(C3330,DATA!#REF!,2,FALSE),"")</f>
        <v/>
      </c>
    </row>
    <row r="3331" spans="3:4" s="237" customFormat="1">
      <c r="C3331" s="16" t="str">
        <f>IFERROR(VLOOKUP(DATA!#REF!,DATA!#REF!,1,FALSE),"")</f>
        <v/>
      </c>
      <c r="D3331" s="16" t="str">
        <f>IFERROR(VLOOKUP(C3331,DATA!#REF!,2,FALSE),"")</f>
        <v/>
      </c>
    </row>
    <row r="3332" spans="3:4" s="237" customFormat="1">
      <c r="C3332" s="16" t="str">
        <f>IFERROR(VLOOKUP(DATA!#REF!,DATA!#REF!,1,FALSE),"")</f>
        <v/>
      </c>
      <c r="D3332" s="16" t="str">
        <f>IFERROR(VLOOKUP(C3332,DATA!#REF!,2,FALSE),"")</f>
        <v/>
      </c>
    </row>
    <row r="3333" spans="3:4" s="237" customFormat="1">
      <c r="C3333" s="16" t="str">
        <f>IFERROR(VLOOKUP(DATA!#REF!,DATA!#REF!,1,FALSE),"")</f>
        <v/>
      </c>
      <c r="D3333" s="16" t="str">
        <f>IFERROR(VLOOKUP(C3333,DATA!#REF!,2,FALSE),"")</f>
        <v/>
      </c>
    </row>
    <row r="3334" spans="3:4" s="237" customFormat="1">
      <c r="C3334" s="16" t="str">
        <f>IFERROR(VLOOKUP(DATA!#REF!,DATA!#REF!,1,FALSE),"")</f>
        <v/>
      </c>
      <c r="D3334" s="16" t="str">
        <f>IFERROR(VLOOKUP(C3334,DATA!#REF!,2,FALSE),"")</f>
        <v/>
      </c>
    </row>
    <row r="3335" spans="3:4" s="237" customFormat="1">
      <c r="C3335" s="16" t="str">
        <f>IFERROR(VLOOKUP(DATA!#REF!,DATA!#REF!,1,FALSE),"")</f>
        <v/>
      </c>
      <c r="D3335" s="16" t="str">
        <f>IFERROR(VLOOKUP(C3335,DATA!#REF!,2,FALSE),"")</f>
        <v/>
      </c>
    </row>
    <row r="3336" spans="3:4" s="237" customFormat="1">
      <c r="C3336" s="16" t="str">
        <f>IFERROR(VLOOKUP(DATA!#REF!,DATA!#REF!,1,FALSE),"")</f>
        <v/>
      </c>
      <c r="D3336" s="16" t="str">
        <f>IFERROR(VLOOKUP(C3336,DATA!#REF!,2,FALSE),"")</f>
        <v/>
      </c>
    </row>
    <row r="3337" spans="3:4" s="237" customFormat="1">
      <c r="C3337" s="16" t="str">
        <f>IFERROR(VLOOKUP(DATA!#REF!,DATA!#REF!,1,FALSE),"")</f>
        <v/>
      </c>
      <c r="D3337" s="16" t="str">
        <f>IFERROR(VLOOKUP(C3337,DATA!#REF!,2,FALSE),"")</f>
        <v/>
      </c>
    </row>
    <row r="3338" spans="3:4" s="237" customFormat="1">
      <c r="C3338" s="16" t="str">
        <f>IFERROR(VLOOKUP(DATA!#REF!,DATA!#REF!,1,FALSE),"")</f>
        <v/>
      </c>
      <c r="D3338" s="16" t="str">
        <f>IFERROR(VLOOKUP(C3338,DATA!#REF!,2,FALSE),"")</f>
        <v/>
      </c>
    </row>
    <row r="3339" spans="3:4" s="237" customFormat="1">
      <c r="C3339" s="16" t="str">
        <f>IFERROR(VLOOKUP(DATA!#REF!,DATA!#REF!,1,FALSE),"")</f>
        <v/>
      </c>
      <c r="D3339" s="16" t="str">
        <f>IFERROR(VLOOKUP(C3339,DATA!#REF!,2,FALSE),"")</f>
        <v/>
      </c>
    </row>
    <row r="3340" spans="3:4" s="237" customFormat="1">
      <c r="C3340" s="16" t="str">
        <f>IFERROR(VLOOKUP(DATA!#REF!,DATA!#REF!,1,FALSE),"")</f>
        <v/>
      </c>
      <c r="D3340" s="16" t="str">
        <f>IFERROR(VLOOKUP(C3340,DATA!#REF!,2,FALSE),"")</f>
        <v/>
      </c>
    </row>
    <row r="3341" spans="3:4" s="237" customFormat="1">
      <c r="C3341" s="16" t="str">
        <f>IFERROR(VLOOKUP(DATA!#REF!,DATA!#REF!,1,FALSE),"")</f>
        <v/>
      </c>
      <c r="D3341" s="16" t="str">
        <f>IFERROR(VLOOKUP(C3341,DATA!#REF!,2,FALSE),"")</f>
        <v/>
      </c>
    </row>
    <row r="3342" spans="3:4" s="237" customFormat="1">
      <c r="C3342" s="16" t="str">
        <f>IFERROR(VLOOKUP(DATA!#REF!,DATA!#REF!,1,FALSE),"")</f>
        <v/>
      </c>
      <c r="D3342" s="16" t="str">
        <f>IFERROR(VLOOKUP(C3342,DATA!#REF!,2,FALSE),"")</f>
        <v/>
      </c>
    </row>
    <row r="3343" spans="3:4" s="237" customFormat="1">
      <c r="C3343" s="16" t="str">
        <f>IFERROR(VLOOKUP(DATA!#REF!,DATA!#REF!,1,FALSE),"")</f>
        <v/>
      </c>
      <c r="D3343" s="16" t="str">
        <f>IFERROR(VLOOKUP(C3343,DATA!#REF!,2,FALSE),"")</f>
        <v/>
      </c>
    </row>
    <row r="3344" spans="3:4" s="237" customFormat="1">
      <c r="C3344" s="16" t="str">
        <f>IFERROR(VLOOKUP(DATA!#REF!,DATA!#REF!,1,FALSE),"")</f>
        <v/>
      </c>
      <c r="D3344" s="16" t="str">
        <f>IFERROR(VLOOKUP(C3344,DATA!#REF!,2,FALSE),"")</f>
        <v/>
      </c>
    </row>
    <row r="3345" spans="3:4" s="237" customFormat="1">
      <c r="C3345" s="16" t="str">
        <f>IFERROR(VLOOKUP(DATA!#REF!,DATA!#REF!,1,FALSE),"")</f>
        <v/>
      </c>
      <c r="D3345" s="16" t="str">
        <f>IFERROR(VLOOKUP(C3345,DATA!#REF!,2,FALSE),"")</f>
        <v/>
      </c>
    </row>
    <row r="3346" spans="3:4" s="237" customFormat="1">
      <c r="C3346" s="16" t="str">
        <f>IFERROR(VLOOKUP(DATA!#REF!,DATA!#REF!,1,FALSE),"")</f>
        <v/>
      </c>
      <c r="D3346" s="16" t="str">
        <f>IFERROR(VLOOKUP(C3346,DATA!#REF!,2,FALSE),"")</f>
        <v/>
      </c>
    </row>
    <row r="3347" spans="3:4" s="237" customFormat="1">
      <c r="C3347" s="16" t="str">
        <f>IFERROR(VLOOKUP(DATA!#REF!,DATA!#REF!,1,FALSE),"")</f>
        <v/>
      </c>
      <c r="D3347" s="16" t="str">
        <f>IFERROR(VLOOKUP(C3347,DATA!#REF!,2,FALSE),"")</f>
        <v/>
      </c>
    </row>
    <row r="3348" spans="3:4" s="237" customFormat="1">
      <c r="C3348" s="16" t="str">
        <f>IFERROR(VLOOKUP(DATA!#REF!,DATA!#REF!,1,FALSE),"")</f>
        <v/>
      </c>
      <c r="D3348" s="16" t="str">
        <f>IFERROR(VLOOKUP(C3348,DATA!#REF!,2,FALSE),"")</f>
        <v/>
      </c>
    </row>
    <row r="3349" spans="3:4" s="237" customFormat="1">
      <c r="C3349" s="16" t="str">
        <f>IFERROR(VLOOKUP(DATA!#REF!,DATA!#REF!,1,FALSE),"")</f>
        <v/>
      </c>
      <c r="D3349" s="16" t="str">
        <f>IFERROR(VLOOKUP(C3349,DATA!#REF!,2,FALSE),"")</f>
        <v/>
      </c>
    </row>
    <row r="3350" spans="3:4" s="237" customFormat="1">
      <c r="C3350" s="16" t="str">
        <f>IFERROR(VLOOKUP(DATA!#REF!,DATA!#REF!,1,FALSE),"")</f>
        <v/>
      </c>
      <c r="D3350" s="16" t="str">
        <f>IFERROR(VLOOKUP(C3350,DATA!#REF!,2,FALSE),"")</f>
        <v/>
      </c>
    </row>
    <row r="3351" spans="3:4" s="237" customFormat="1">
      <c r="C3351" s="16" t="str">
        <f>IFERROR(VLOOKUP(DATA!#REF!,DATA!#REF!,1,FALSE),"")</f>
        <v/>
      </c>
      <c r="D3351" s="16" t="str">
        <f>IFERROR(VLOOKUP(C3351,DATA!#REF!,2,FALSE),"")</f>
        <v/>
      </c>
    </row>
    <row r="3352" spans="3:4" s="237" customFormat="1">
      <c r="C3352" s="16" t="str">
        <f>IFERROR(VLOOKUP(DATA!#REF!,DATA!#REF!,1,FALSE),"")</f>
        <v/>
      </c>
      <c r="D3352" s="16" t="str">
        <f>IFERROR(VLOOKUP(C3352,DATA!#REF!,2,FALSE),"")</f>
        <v/>
      </c>
    </row>
    <row r="3353" spans="3:4" s="237" customFormat="1">
      <c r="C3353" s="16" t="str">
        <f>IFERROR(VLOOKUP(DATA!#REF!,DATA!#REF!,1,FALSE),"")</f>
        <v/>
      </c>
      <c r="D3353" s="16" t="str">
        <f>IFERROR(VLOOKUP(C3353,DATA!#REF!,2,FALSE),"")</f>
        <v/>
      </c>
    </row>
    <row r="3354" spans="3:4" s="237" customFormat="1">
      <c r="C3354" s="16" t="str">
        <f>IFERROR(VLOOKUP(DATA!#REF!,DATA!#REF!,1,FALSE),"")</f>
        <v/>
      </c>
      <c r="D3354" s="16" t="str">
        <f>IFERROR(VLOOKUP(C3354,DATA!#REF!,2,FALSE),"")</f>
        <v/>
      </c>
    </row>
    <row r="3355" spans="3:4" s="237" customFormat="1">
      <c r="C3355" s="16" t="str">
        <f>IFERROR(VLOOKUP(DATA!#REF!,DATA!#REF!,1,FALSE),"")</f>
        <v/>
      </c>
      <c r="D3355" s="16" t="str">
        <f>IFERROR(VLOOKUP(C3355,DATA!#REF!,2,FALSE),"")</f>
        <v/>
      </c>
    </row>
    <row r="3356" spans="3:4" s="237" customFormat="1">
      <c r="C3356" s="16" t="str">
        <f>IFERROR(VLOOKUP(DATA!#REF!,DATA!#REF!,1,FALSE),"")</f>
        <v/>
      </c>
      <c r="D3356" s="16" t="str">
        <f>IFERROR(VLOOKUP(C3356,DATA!#REF!,2,FALSE),"")</f>
        <v/>
      </c>
    </row>
    <row r="3357" spans="3:4" s="237" customFormat="1">
      <c r="C3357" s="16" t="str">
        <f>IFERROR(VLOOKUP(DATA!#REF!,DATA!#REF!,1,FALSE),"")</f>
        <v/>
      </c>
      <c r="D3357" s="16" t="str">
        <f>IFERROR(VLOOKUP(C3357,DATA!#REF!,2,FALSE),"")</f>
        <v/>
      </c>
    </row>
    <row r="3358" spans="3:4" s="237" customFormat="1">
      <c r="C3358" s="16" t="str">
        <f>IFERROR(VLOOKUP(DATA!#REF!,DATA!#REF!,1,FALSE),"")</f>
        <v/>
      </c>
      <c r="D3358" s="16" t="str">
        <f>IFERROR(VLOOKUP(C3358,DATA!#REF!,2,FALSE),"")</f>
        <v/>
      </c>
    </row>
    <row r="3359" spans="3:4" s="237" customFormat="1">
      <c r="C3359" s="16" t="str">
        <f>IFERROR(VLOOKUP(DATA!#REF!,DATA!#REF!,1,FALSE),"")</f>
        <v/>
      </c>
      <c r="D3359" s="16" t="str">
        <f>IFERROR(VLOOKUP(C3359,DATA!#REF!,2,FALSE),"")</f>
        <v/>
      </c>
    </row>
    <row r="3360" spans="3:4" s="237" customFormat="1">
      <c r="C3360" s="16" t="str">
        <f>IFERROR(VLOOKUP(DATA!#REF!,DATA!#REF!,1,FALSE),"")</f>
        <v/>
      </c>
      <c r="D3360" s="16" t="str">
        <f>IFERROR(VLOOKUP(C3360,DATA!#REF!,2,FALSE),"")</f>
        <v/>
      </c>
    </row>
    <row r="3361" spans="3:4" s="237" customFormat="1">
      <c r="C3361" s="16" t="str">
        <f>IFERROR(VLOOKUP(DATA!#REF!,DATA!#REF!,1,FALSE),"")</f>
        <v/>
      </c>
      <c r="D3361" s="16" t="str">
        <f>IFERROR(VLOOKUP(C3361,DATA!#REF!,2,FALSE),"")</f>
        <v/>
      </c>
    </row>
    <row r="3362" spans="3:4" s="237" customFormat="1">
      <c r="C3362" s="16" t="str">
        <f>IFERROR(VLOOKUP(DATA!#REF!,DATA!#REF!,1,FALSE),"")</f>
        <v/>
      </c>
      <c r="D3362" s="16" t="str">
        <f>IFERROR(VLOOKUP(C3362,DATA!#REF!,2,FALSE),"")</f>
        <v/>
      </c>
    </row>
    <row r="3363" spans="3:4" s="237" customFormat="1">
      <c r="C3363" s="16" t="str">
        <f>IFERROR(VLOOKUP(DATA!#REF!,DATA!#REF!,1,FALSE),"")</f>
        <v/>
      </c>
      <c r="D3363" s="16" t="str">
        <f>IFERROR(VLOOKUP(C3363,DATA!#REF!,2,FALSE),"")</f>
        <v/>
      </c>
    </row>
    <row r="3364" spans="3:4" s="237" customFormat="1">
      <c r="C3364" s="16" t="str">
        <f>IFERROR(VLOOKUP(DATA!#REF!,DATA!#REF!,1,FALSE),"")</f>
        <v/>
      </c>
      <c r="D3364" s="16" t="str">
        <f>IFERROR(VLOOKUP(C3364,DATA!#REF!,2,FALSE),"")</f>
        <v/>
      </c>
    </row>
    <row r="3365" spans="3:4" s="237" customFormat="1">
      <c r="C3365" s="16" t="str">
        <f>IFERROR(VLOOKUP(DATA!#REF!,DATA!#REF!,1,FALSE),"")</f>
        <v/>
      </c>
      <c r="D3365" s="16" t="str">
        <f>IFERROR(VLOOKUP(C3365,DATA!#REF!,2,FALSE),"")</f>
        <v/>
      </c>
    </row>
    <row r="3366" spans="3:4" s="237" customFormat="1">
      <c r="C3366" s="16" t="str">
        <f>IFERROR(VLOOKUP(DATA!#REF!,DATA!#REF!,1,FALSE),"")</f>
        <v/>
      </c>
      <c r="D3366" s="16" t="str">
        <f>IFERROR(VLOOKUP(C3366,DATA!#REF!,2,FALSE),"")</f>
        <v/>
      </c>
    </row>
    <row r="3367" spans="3:4" s="237" customFormat="1">
      <c r="C3367" s="16" t="str">
        <f>IFERROR(VLOOKUP(DATA!#REF!,DATA!#REF!,1,FALSE),"")</f>
        <v/>
      </c>
      <c r="D3367" s="16" t="str">
        <f>IFERROR(VLOOKUP(C3367,DATA!#REF!,2,FALSE),"")</f>
        <v/>
      </c>
    </row>
    <row r="3368" spans="3:4" s="237" customFormat="1">
      <c r="C3368" s="16" t="str">
        <f>IFERROR(VLOOKUP(DATA!#REF!,DATA!#REF!,1,FALSE),"")</f>
        <v/>
      </c>
      <c r="D3368" s="16" t="str">
        <f>IFERROR(VLOOKUP(C3368,DATA!#REF!,2,FALSE),"")</f>
        <v/>
      </c>
    </row>
    <row r="3369" spans="3:4" s="237" customFormat="1">
      <c r="C3369" s="16" t="str">
        <f>IFERROR(VLOOKUP(DATA!#REF!,DATA!#REF!,1,FALSE),"")</f>
        <v/>
      </c>
      <c r="D3369" s="16" t="str">
        <f>IFERROR(VLOOKUP(C3369,DATA!#REF!,2,FALSE),"")</f>
        <v/>
      </c>
    </row>
    <row r="3370" spans="3:4" s="237" customFormat="1">
      <c r="C3370" s="16" t="str">
        <f>IFERROR(VLOOKUP(DATA!#REF!,DATA!#REF!,1,FALSE),"")</f>
        <v/>
      </c>
      <c r="D3370" s="16" t="str">
        <f>IFERROR(VLOOKUP(C3370,DATA!#REF!,2,FALSE),"")</f>
        <v/>
      </c>
    </row>
    <row r="3371" spans="3:4" s="237" customFormat="1">
      <c r="C3371" s="16" t="str">
        <f>IFERROR(VLOOKUP(DATA!#REF!,DATA!#REF!,1,FALSE),"")</f>
        <v/>
      </c>
      <c r="D3371" s="16" t="str">
        <f>IFERROR(VLOOKUP(C3371,DATA!#REF!,2,FALSE),"")</f>
        <v/>
      </c>
    </row>
    <row r="3372" spans="3:4" s="237" customFormat="1">
      <c r="C3372" s="16" t="str">
        <f>IFERROR(VLOOKUP(DATA!#REF!,DATA!#REF!,1,FALSE),"")</f>
        <v/>
      </c>
      <c r="D3372" s="16" t="str">
        <f>IFERROR(VLOOKUP(C3372,DATA!#REF!,2,FALSE),"")</f>
        <v/>
      </c>
    </row>
    <row r="3373" spans="3:4" s="237" customFormat="1">
      <c r="C3373" s="16" t="str">
        <f>IFERROR(VLOOKUP(DATA!#REF!,DATA!#REF!,1,FALSE),"")</f>
        <v/>
      </c>
      <c r="D3373" s="16" t="str">
        <f>IFERROR(VLOOKUP(C3373,DATA!#REF!,2,FALSE),"")</f>
        <v/>
      </c>
    </row>
    <row r="3374" spans="3:4" s="237" customFormat="1">
      <c r="C3374" s="16" t="str">
        <f>IFERROR(VLOOKUP(DATA!#REF!,DATA!#REF!,1,FALSE),"")</f>
        <v/>
      </c>
      <c r="D3374" s="16" t="str">
        <f>IFERROR(VLOOKUP(C3374,DATA!#REF!,2,FALSE),"")</f>
        <v/>
      </c>
    </row>
    <row r="3375" spans="3:4" s="237" customFormat="1">
      <c r="C3375" s="16" t="str">
        <f>IFERROR(VLOOKUP(DATA!#REF!,DATA!#REF!,1,FALSE),"")</f>
        <v/>
      </c>
      <c r="D3375" s="16" t="str">
        <f>IFERROR(VLOOKUP(C3375,DATA!#REF!,2,FALSE),"")</f>
        <v/>
      </c>
    </row>
    <row r="3376" spans="3:4" s="237" customFormat="1">
      <c r="C3376" s="16" t="str">
        <f>IFERROR(VLOOKUP(DATA!#REF!,DATA!#REF!,1,FALSE),"")</f>
        <v/>
      </c>
      <c r="D3376" s="16" t="str">
        <f>IFERROR(VLOOKUP(C3376,DATA!#REF!,2,FALSE),"")</f>
        <v/>
      </c>
    </row>
    <row r="3377" spans="3:4" s="237" customFormat="1">
      <c r="C3377" s="16" t="str">
        <f>IFERROR(VLOOKUP(DATA!#REF!,DATA!#REF!,1,FALSE),"")</f>
        <v/>
      </c>
      <c r="D3377" s="16" t="str">
        <f>IFERROR(VLOOKUP(C3377,DATA!#REF!,2,FALSE),"")</f>
        <v/>
      </c>
    </row>
    <row r="3378" spans="3:4" s="237" customFormat="1">
      <c r="C3378" s="16" t="str">
        <f>IFERROR(VLOOKUP(DATA!#REF!,DATA!#REF!,1,FALSE),"")</f>
        <v/>
      </c>
      <c r="D3378" s="16" t="str">
        <f>IFERROR(VLOOKUP(C3378,DATA!#REF!,2,FALSE),"")</f>
        <v/>
      </c>
    </row>
    <row r="3379" spans="3:4" s="237" customFormat="1">
      <c r="C3379" s="16" t="str">
        <f>IFERROR(VLOOKUP(DATA!#REF!,DATA!#REF!,1,FALSE),"")</f>
        <v/>
      </c>
      <c r="D3379" s="16" t="str">
        <f>IFERROR(VLOOKUP(C3379,DATA!#REF!,2,FALSE),"")</f>
        <v/>
      </c>
    </row>
    <row r="3380" spans="3:4" s="237" customFormat="1">
      <c r="C3380" s="16" t="str">
        <f>IFERROR(VLOOKUP(DATA!#REF!,DATA!#REF!,1,FALSE),"")</f>
        <v/>
      </c>
      <c r="D3380" s="16" t="str">
        <f>IFERROR(VLOOKUP(C3380,DATA!#REF!,2,FALSE),"")</f>
        <v/>
      </c>
    </row>
    <row r="3381" spans="3:4" s="237" customFormat="1">
      <c r="C3381" s="16" t="str">
        <f>IFERROR(VLOOKUP(DATA!#REF!,DATA!#REF!,1,FALSE),"")</f>
        <v/>
      </c>
      <c r="D3381" s="16" t="str">
        <f>IFERROR(VLOOKUP(C3381,DATA!#REF!,2,FALSE),"")</f>
        <v/>
      </c>
    </row>
    <row r="3382" spans="3:4" s="237" customFormat="1">
      <c r="C3382" s="16" t="str">
        <f>IFERROR(VLOOKUP(DATA!#REF!,DATA!#REF!,1,FALSE),"")</f>
        <v/>
      </c>
      <c r="D3382" s="16" t="str">
        <f>IFERROR(VLOOKUP(C3382,DATA!#REF!,2,FALSE),"")</f>
        <v/>
      </c>
    </row>
    <row r="3383" spans="3:4" s="237" customFormat="1">
      <c r="C3383" s="16" t="str">
        <f>IFERROR(VLOOKUP(DATA!#REF!,DATA!#REF!,1,FALSE),"")</f>
        <v/>
      </c>
      <c r="D3383" s="16" t="str">
        <f>IFERROR(VLOOKUP(C3383,DATA!#REF!,2,FALSE),"")</f>
        <v/>
      </c>
    </row>
    <row r="3384" spans="3:4" s="237" customFormat="1">
      <c r="C3384" s="16" t="str">
        <f>IFERROR(VLOOKUP(DATA!#REF!,DATA!#REF!,1,FALSE),"")</f>
        <v/>
      </c>
      <c r="D3384" s="16" t="str">
        <f>IFERROR(VLOOKUP(C3384,DATA!#REF!,2,FALSE),"")</f>
        <v/>
      </c>
    </row>
    <row r="3385" spans="3:4" s="237" customFormat="1">
      <c r="C3385" s="16" t="str">
        <f>IFERROR(VLOOKUP(DATA!#REF!,DATA!#REF!,1,FALSE),"")</f>
        <v/>
      </c>
      <c r="D3385" s="16" t="str">
        <f>IFERROR(VLOOKUP(C3385,DATA!#REF!,2,FALSE),"")</f>
        <v/>
      </c>
    </row>
    <row r="3386" spans="3:4" s="237" customFormat="1">
      <c r="C3386" s="16" t="str">
        <f>IFERROR(VLOOKUP(DATA!#REF!,DATA!#REF!,1,FALSE),"")</f>
        <v/>
      </c>
      <c r="D3386" s="16" t="str">
        <f>IFERROR(VLOOKUP(C3386,DATA!#REF!,2,FALSE),"")</f>
        <v/>
      </c>
    </row>
    <row r="3387" spans="3:4" s="237" customFormat="1">
      <c r="C3387" s="16" t="str">
        <f>IFERROR(VLOOKUP(DATA!#REF!,DATA!#REF!,1,FALSE),"")</f>
        <v/>
      </c>
      <c r="D3387" s="16" t="str">
        <f>IFERROR(VLOOKUP(C3387,DATA!#REF!,2,FALSE),"")</f>
        <v/>
      </c>
    </row>
    <row r="3388" spans="3:4" s="237" customFormat="1">
      <c r="C3388" s="16" t="str">
        <f>IFERROR(VLOOKUP(DATA!#REF!,DATA!#REF!,1,FALSE),"")</f>
        <v/>
      </c>
      <c r="D3388" s="16" t="str">
        <f>IFERROR(VLOOKUP(C3388,DATA!#REF!,2,FALSE),"")</f>
        <v/>
      </c>
    </row>
    <row r="3389" spans="3:4" s="237" customFormat="1">
      <c r="C3389" s="16" t="str">
        <f>IFERROR(VLOOKUP(DATA!#REF!,DATA!#REF!,1,FALSE),"")</f>
        <v/>
      </c>
      <c r="D3389" s="16" t="str">
        <f>IFERROR(VLOOKUP(C3389,DATA!#REF!,2,FALSE),"")</f>
        <v/>
      </c>
    </row>
    <row r="3390" spans="3:4" s="237" customFormat="1">
      <c r="C3390" s="16" t="str">
        <f>IFERROR(VLOOKUP(DATA!#REF!,DATA!#REF!,1,FALSE),"")</f>
        <v/>
      </c>
      <c r="D3390" s="16" t="str">
        <f>IFERROR(VLOOKUP(C3390,DATA!#REF!,2,FALSE),"")</f>
        <v/>
      </c>
    </row>
    <row r="3391" spans="3:4" s="237" customFormat="1">
      <c r="C3391" s="16" t="str">
        <f>IFERROR(VLOOKUP(DATA!#REF!,DATA!#REF!,1,FALSE),"")</f>
        <v/>
      </c>
      <c r="D3391" s="16" t="str">
        <f>IFERROR(VLOOKUP(C3391,DATA!#REF!,2,FALSE),"")</f>
        <v/>
      </c>
    </row>
    <row r="3392" spans="3:4" s="237" customFormat="1">
      <c r="C3392" s="16" t="str">
        <f>IFERROR(VLOOKUP(DATA!#REF!,DATA!#REF!,1,FALSE),"")</f>
        <v/>
      </c>
      <c r="D3392" s="16" t="str">
        <f>IFERROR(VLOOKUP(C3392,DATA!#REF!,2,FALSE),"")</f>
        <v/>
      </c>
    </row>
    <row r="3393" spans="3:4" s="237" customFormat="1">
      <c r="C3393" s="16" t="str">
        <f>IFERROR(VLOOKUP(DATA!#REF!,DATA!#REF!,1,FALSE),"")</f>
        <v/>
      </c>
      <c r="D3393" s="16" t="str">
        <f>IFERROR(VLOOKUP(C3393,DATA!#REF!,2,FALSE),"")</f>
        <v/>
      </c>
    </row>
    <row r="3394" spans="3:4" s="237" customFormat="1">
      <c r="C3394" s="16" t="str">
        <f>IFERROR(VLOOKUP(DATA!#REF!,DATA!#REF!,1,FALSE),"")</f>
        <v/>
      </c>
      <c r="D3394" s="16" t="str">
        <f>IFERROR(VLOOKUP(C3394,DATA!#REF!,2,FALSE),"")</f>
        <v/>
      </c>
    </row>
    <row r="3395" spans="3:4" s="237" customFormat="1">
      <c r="C3395" s="16" t="str">
        <f>IFERROR(VLOOKUP(DATA!#REF!,DATA!#REF!,1,FALSE),"")</f>
        <v/>
      </c>
      <c r="D3395" s="16" t="str">
        <f>IFERROR(VLOOKUP(C3395,DATA!#REF!,2,FALSE),"")</f>
        <v/>
      </c>
    </row>
    <row r="3396" spans="3:4" s="237" customFormat="1">
      <c r="C3396" s="16" t="str">
        <f>IFERROR(VLOOKUP(DATA!#REF!,DATA!#REF!,1,FALSE),"")</f>
        <v/>
      </c>
      <c r="D3396" s="16" t="str">
        <f>IFERROR(VLOOKUP(C3396,DATA!#REF!,2,FALSE),"")</f>
        <v/>
      </c>
    </row>
    <row r="3397" spans="3:4" s="237" customFormat="1">
      <c r="C3397" s="16" t="str">
        <f>IFERROR(VLOOKUP(DATA!#REF!,DATA!#REF!,1,FALSE),"")</f>
        <v/>
      </c>
      <c r="D3397" s="16" t="str">
        <f>IFERROR(VLOOKUP(C3397,DATA!#REF!,2,FALSE),"")</f>
        <v/>
      </c>
    </row>
    <row r="3398" spans="3:4" s="237" customFormat="1">
      <c r="C3398" s="16" t="str">
        <f>IFERROR(VLOOKUP(DATA!#REF!,DATA!#REF!,1,FALSE),"")</f>
        <v/>
      </c>
      <c r="D3398" s="16" t="str">
        <f>IFERROR(VLOOKUP(C3398,DATA!#REF!,2,FALSE),"")</f>
        <v/>
      </c>
    </row>
    <row r="3399" spans="3:4" s="237" customFormat="1">
      <c r="C3399" s="16" t="str">
        <f>IFERROR(VLOOKUP(DATA!#REF!,DATA!#REF!,1,FALSE),"")</f>
        <v/>
      </c>
      <c r="D3399" s="16" t="str">
        <f>IFERROR(VLOOKUP(C3399,DATA!#REF!,2,FALSE),"")</f>
        <v/>
      </c>
    </row>
    <row r="3400" spans="3:4" s="237" customFormat="1">
      <c r="C3400" s="16" t="str">
        <f>IFERROR(VLOOKUP(DATA!#REF!,DATA!#REF!,1,FALSE),"")</f>
        <v/>
      </c>
      <c r="D3400" s="16" t="str">
        <f>IFERROR(VLOOKUP(C3400,DATA!#REF!,2,FALSE),"")</f>
        <v/>
      </c>
    </row>
    <row r="3401" spans="3:4" s="237" customFormat="1">
      <c r="C3401" s="16" t="str">
        <f>IFERROR(VLOOKUP(DATA!#REF!,DATA!#REF!,1,FALSE),"")</f>
        <v/>
      </c>
      <c r="D3401" s="16" t="str">
        <f>IFERROR(VLOOKUP(C3401,DATA!#REF!,2,FALSE),"")</f>
        <v/>
      </c>
    </row>
    <row r="3402" spans="3:4" s="237" customFormat="1">
      <c r="C3402" s="16" t="str">
        <f>IFERROR(VLOOKUP(DATA!#REF!,DATA!#REF!,1,FALSE),"")</f>
        <v/>
      </c>
      <c r="D3402" s="16" t="str">
        <f>IFERROR(VLOOKUP(C3402,DATA!#REF!,2,FALSE),"")</f>
        <v/>
      </c>
    </row>
    <row r="3403" spans="3:4" s="237" customFormat="1">
      <c r="C3403" s="16" t="str">
        <f>IFERROR(VLOOKUP(DATA!#REF!,DATA!#REF!,1,FALSE),"")</f>
        <v/>
      </c>
      <c r="D3403" s="16" t="str">
        <f>IFERROR(VLOOKUP(C3403,DATA!#REF!,2,FALSE),"")</f>
        <v/>
      </c>
    </row>
    <row r="3404" spans="3:4" s="237" customFormat="1">
      <c r="C3404" s="16" t="str">
        <f>IFERROR(VLOOKUP(DATA!#REF!,DATA!#REF!,1,FALSE),"")</f>
        <v/>
      </c>
      <c r="D3404" s="16" t="str">
        <f>IFERROR(VLOOKUP(C3404,DATA!#REF!,2,FALSE),"")</f>
        <v/>
      </c>
    </row>
    <row r="3405" spans="3:4" s="237" customFormat="1">
      <c r="C3405" s="16" t="str">
        <f>IFERROR(VLOOKUP(DATA!#REF!,DATA!#REF!,1,FALSE),"")</f>
        <v/>
      </c>
      <c r="D3405" s="16" t="str">
        <f>IFERROR(VLOOKUP(C3405,DATA!#REF!,2,FALSE),"")</f>
        <v/>
      </c>
    </row>
    <row r="3406" spans="3:4" s="237" customFormat="1">
      <c r="C3406" s="16" t="str">
        <f>IFERROR(VLOOKUP(DATA!#REF!,DATA!#REF!,1,FALSE),"")</f>
        <v/>
      </c>
      <c r="D3406" s="16" t="str">
        <f>IFERROR(VLOOKUP(C3406,DATA!#REF!,2,FALSE),"")</f>
        <v/>
      </c>
    </row>
    <row r="3407" spans="3:4" s="237" customFormat="1">
      <c r="C3407" s="16" t="str">
        <f>IFERROR(VLOOKUP(DATA!#REF!,DATA!#REF!,1,FALSE),"")</f>
        <v/>
      </c>
      <c r="D3407" s="16" t="str">
        <f>IFERROR(VLOOKUP(C3407,DATA!#REF!,2,FALSE),"")</f>
        <v/>
      </c>
    </row>
    <row r="3408" spans="3:4" s="237" customFormat="1">
      <c r="C3408" s="16" t="str">
        <f>IFERROR(VLOOKUP(DATA!#REF!,DATA!#REF!,1,FALSE),"")</f>
        <v/>
      </c>
      <c r="D3408" s="16" t="str">
        <f>IFERROR(VLOOKUP(C3408,DATA!#REF!,2,FALSE),"")</f>
        <v/>
      </c>
    </row>
    <row r="3409" spans="3:4" s="237" customFormat="1">
      <c r="C3409" s="16" t="str">
        <f>IFERROR(VLOOKUP(DATA!#REF!,DATA!#REF!,1,FALSE),"")</f>
        <v/>
      </c>
      <c r="D3409" s="16" t="str">
        <f>IFERROR(VLOOKUP(C3409,DATA!#REF!,2,FALSE),"")</f>
        <v/>
      </c>
    </row>
    <row r="3410" spans="3:4" s="237" customFormat="1">
      <c r="C3410" s="16" t="str">
        <f>IFERROR(VLOOKUP(DATA!#REF!,DATA!#REF!,1,FALSE),"")</f>
        <v/>
      </c>
      <c r="D3410" s="16" t="str">
        <f>IFERROR(VLOOKUP(C3410,DATA!#REF!,2,FALSE),"")</f>
        <v/>
      </c>
    </row>
    <row r="3411" spans="3:4" s="237" customFormat="1">
      <c r="C3411" s="16" t="str">
        <f>IFERROR(VLOOKUP(DATA!#REF!,DATA!#REF!,1,FALSE),"")</f>
        <v/>
      </c>
      <c r="D3411" s="16" t="str">
        <f>IFERROR(VLOOKUP(C3411,DATA!#REF!,2,FALSE),"")</f>
        <v/>
      </c>
    </row>
    <row r="3412" spans="3:4" s="237" customFormat="1">
      <c r="C3412" s="16" t="str">
        <f>IFERROR(VLOOKUP(DATA!#REF!,DATA!#REF!,1,FALSE),"")</f>
        <v/>
      </c>
      <c r="D3412" s="16" t="str">
        <f>IFERROR(VLOOKUP(C3412,DATA!#REF!,2,FALSE),"")</f>
        <v/>
      </c>
    </row>
    <row r="3413" spans="3:4" s="237" customFormat="1">
      <c r="C3413" s="16" t="str">
        <f>IFERROR(VLOOKUP(DATA!#REF!,DATA!#REF!,1,FALSE),"")</f>
        <v/>
      </c>
      <c r="D3413" s="16" t="str">
        <f>IFERROR(VLOOKUP(C3413,DATA!#REF!,2,FALSE),"")</f>
        <v/>
      </c>
    </row>
    <row r="3414" spans="3:4" s="237" customFormat="1">
      <c r="C3414" s="16" t="str">
        <f>IFERROR(VLOOKUP(DATA!#REF!,DATA!#REF!,1,FALSE),"")</f>
        <v/>
      </c>
      <c r="D3414" s="16" t="str">
        <f>IFERROR(VLOOKUP(C3414,DATA!#REF!,2,FALSE),"")</f>
        <v/>
      </c>
    </row>
    <row r="3415" spans="3:4" s="237" customFormat="1">
      <c r="C3415" s="16" t="str">
        <f>IFERROR(VLOOKUP(DATA!#REF!,DATA!#REF!,1,FALSE),"")</f>
        <v/>
      </c>
      <c r="D3415" s="16" t="str">
        <f>IFERROR(VLOOKUP(C3415,DATA!#REF!,2,FALSE),"")</f>
        <v/>
      </c>
    </row>
    <row r="3416" spans="3:4" s="237" customFormat="1">
      <c r="C3416" s="16" t="str">
        <f>IFERROR(VLOOKUP(DATA!#REF!,DATA!#REF!,1,FALSE),"")</f>
        <v/>
      </c>
      <c r="D3416" s="16" t="str">
        <f>IFERROR(VLOOKUP(C3416,DATA!#REF!,2,FALSE),"")</f>
        <v/>
      </c>
    </row>
    <row r="3417" spans="3:4" s="237" customFormat="1">
      <c r="C3417" s="16" t="str">
        <f>IFERROR(VLOOKUP(DATA!#REF!,DATA!#REF!,1,FALSE),"")</f>
        <v/>
      </c>
      <c r="D3417" s="16" t="str">
        <f>IFERROR(VLOOKUP(C3417,DATA!#REF!,2,FALSE),"")</f>
        <v/>
      </c>
    </row>
    <row r="3418" spans="3:4" s="237" customFormat="1">
      <c r="C3418" s="16" t="str">
        <f>IFERROR(VLOOKUP(DATA!#REF!,DATA!#REF!,1,FALSE),"")</f>
        <v/>
      </c>
      <c r="D3418" s="16" t="str">
        <f>IFERROR(VLOOKUP(C3418,DATA!#REF!,2,FALSE),"")</f>
        <v/>
      </c>
    </row>
    <row r="3419" spans="3:4" s="237" customFormat="1">
      <c r="C3419" s="16" t="str">
        <f>IFERROR(VLOOKUP(DATA!#REF!,DATA!#REF!,1,FALSE),"")</f>
        <v/>
      </c>
      <c r="D3419" s="16" t="str">
        <f>IFERROR(VLOOKUP(C3419,DATA!#REF!,2,FALSE),"")</f>
        <v/>
      </c>
    </row>
    <row r="3420" spans="3:4" s="237" customFormat="1">
      <c r="C3420" s="16" t="str">
        <f>IFERROR(VLOOKUP(DATA!#REF!,DATA!#REF!,1,FALSE),"")</f>
        <v/>
      </c>
      <c r="D3420" s="16" t="str">
        <f>IFERROR(VLOOKUP(C3420,DATA!#REF!,2,FALSE),"")</f>
        <v/>
      </c>
    </row>
    <row r="3421" spans="3:4" s="237" customFormat="1">
      <c r="C3421" s="16" t="str">
        <f>IFERROR(VLOOKUP(DATA!#REF!,DATA!#REF!,1,FALSE),"")</f>
        <v/>
      </c>
      <c r="D3421" s="16" t="str">
        <f>IFERROR(VLOOKUP(C3421,DATA!#REF!,2,FALSE),"")</f>
        <v/>
      </c>
    </row>
    <row r="3422" spans="3:4" s="237" customFormat="1">
      <c r="C3422" s="16" t="str">
        <f>IFERROR(VLOOKUP(DATA!#REF!,DATA!#REF!,1,FALSE),"")</f>
        <v/>
      </c>
      <c r="D3422" s="16" t="str">
        <f>IFERROR(VLOOKUP(C3422,DATA!#REF!,2,FALSE),"")</f>
        <v/>
      </c>
    </row>
    <row r="3423" spans="3:4" s="237" customFormat="1">
      <c r="C3423" s="16" t="str">
        <f>IFERROR(VLOOKUP(DATA!#REF!,DATA!#REF!,1,FALSE),"")</f>
        <v/>
      </c>
      <c r="D3423" s="16" t="str">
        <f>IFERROR(VLOOKUP(C3423,DATA!#REF!,2,FALSE),"")</f>
        <v/>
      </c>
    </row>
    <row r="3424" spans="3:4" s="237" customFormat="1">
      <c r="C3424" s="16" t="str">
        <f>IFERROR(VLOOKUP(DATA!#REF!,DATA!#REF!,1,FALSE),"")</f>
        <v/>
      </c>
      <c r="D3424" s="16" t="str">
        <f>IFERROR(VLOOKUP(C3424,DATA!#REF!,2,FALSE),"")</f>
        <v/>
      </c>
    </row>
    <row r="3425" spans="3:4" s="237" customFormat="1">
      <c r="C3425" s="16" t="str">
        <f>IFERROR(VLOOKUP(DATA!#REF!,DATA!#REF!,1,FALSE),"")</f>
        <v/>
      </c>
      <c r="D3425" s="16" t="str">
        <f>IFERROR(VLOOKUP(C3425,DATA!#REF!,2,FALSE),"")</f>
        <v/>
      </c>
    </row>
    <row r="3426" spans="3:4" s="237" customFormat="1">
      <c r="C3426" s="16" t="str">
        <f>IFERROR(VLOOKUP(DATA!#REF!,DATA!#REF!,1,FALSE),"")</f>
        <v/>
      </c>
      <c r="D3426" s="16" t="str">
        <f>IFERROR(VLOOKUP(C3426,DATA!#REF!,2,FALSE),"")</f>
        <v/>
      </c>
    </row>
    <row r="3427" spans="3:4" s="237" customFormat="1">
      <c r="C3427" s="16" t="str">
        <f>IFERROR(VLOOKUP(DATA!#REF!,DATA!#REF!,1,FALSE),"")</f>
        <v/>
      </c>
      <c r="D3427" s="16" t="str">
        <f>IFERROR(VLOOKUP(C3427,DATA!#REF!,2,FALSE),"")</f>
        <v/>
      </c>
    </row>
    <row r="3428" spans="3:4" s="237" customFormat="1">
      <c r="C3428" s="16" t="str">
        <f>IFERROR(VLOOKUP(DATA!#REF!,DATA!#REF!,1,FALSE),"")</f>
        <v/>
      </c>
      <c r="D3428" s="16" t="str">
        <f>IFERROR(VLOOKUP(C3428,DATA!#REF!,2,FALSE),"")</f>
        <v/>
      </c>
    </row>
    <row r="3429" spans="3:4" s="237" customFormat="1">
      <c r="C3429" s="16" t="str">
        <f>IFERROR(VLOOKUP(DATA!#REF!,DATA!#REF!,1,FALSE),"")</f>
        <v/>
      </c>
      <c r="D3429" s="16" t="str">
        <f>IFERROR(VLOOKUP(C3429,DATA!#REF!,2,FALSE),"")</f>
        <v/>
      </c>
    </row>
    <row r="3430" spans="3:4" s="237" customFormat="1">
      <c r="C3430" s="16" t="str">
        <f>IFERROR(VLOOKUP(DATA!#REF!,DATA!#REF!,1,FALSE),"")</f>
        <v/>
      </c>
      <c r="D3430" s="16" t="str">
        <f>IFERROR(VLOOKUP(C3430,DATA!#REF!,2,FALSE),"")</f>
        <v/>
      </c>
    </row>
    <row r="3431" spans="3:4" s="237" customFormat="1">
      <c r="C3431" s="16" t="str">
        <f>IFERROR(VLOOKUP(DATA!#REF!,DATA!#REF!,1,FALSE),"")</f>
        <v/>
      </c>
      <c r="D3431" s="16" t="str">
        <f>IFERROR(VLOOKUP(C3431,DATA!#REF!,2,FALSE),"")</f>
        <v/>
      </c>
    </row>
    <row r="3432" spans="3:4" s="237" customFormat="1">
      <c r="C3432" s="16" t="str">
        <f>IFERROR(VLOOKUP(DATA!#REF!,DATA!#REF!,1,FALSE),"")</f>
        <v/>
      </c>
      <c r="D3432" s="16" t="str">
        <f>IFERROR(VLOOKUP(C3432,DATA!#REF!,2,FALSE),"")</f>
        <v/>
      </c>
    </row>
    <row r="3433" spans="3:4" s="237" customFormat="1">
      <c r="C3433" s="16" t="str">
        <f>IFERROR(VLOOKUP(DATA!#REF!,DATA!#REF!,1,FALSE),"")</f>
        <v/>
      </c>
      <c r="D3433" s="16" t="str">
        <f>IFERROR(VLOOKUP(C3433,DATA!#REF!,2,FALSE),"")</f>
        <v/>
      </c>
    </row>
    <row r="3434" spans="3:4" s="237" customFormat="1">
      <c r="C3434" s="16" t="str">
        <f>IFERROR(VLOOKUP(DATA!#REF!,DATA!#REF!,1,FALSE),"")</f>
        <v/>
      </c>
      <c r="D3434" s="16" t="str">
        <f>IFERROR(VLOOKUP(C3434,DATA!#REF!,2,FALSE),"")</f>
        <v/>
      </c>
    </row>
    <row r="3435" spans="3:4" s="237" customFormat="1">
      <c r="C3435" s="16" t="str">
        <f>IFERROR(VLOOKUP(DATA!#REF!,DATA!#REF!,1,FALSE),"")</f>
        <v/>
      </c>
      <c r="D3435" s="16" t="str">
        <f>IFERROR(VLOOKUP(C3435,DATA!#REF!,2,FALSE),"")</f>
        <v/>
      </c>
    </row>
    <row r="3436" spans="3:4" s="237" customFormat="1">
      <c r="C3436" s="16" t="str">
        <f>IFERROR(VLOOKUP(DATA!#REF!,DATA!#REF!,1,FALSE),"")</f>
        <v/>
      </c>
      <c r="D3436" s="16" t="str">
        <f>IFERROR(VLOOKUP(C3436,DATA!#REF!,2,FALSE),"")</f>
        <v/>
      </c>
    </row>
    <row r="3437" spans="3:4" s="237" customFormat="1">
      <c r="C3437" s="16" t="str">
        <f>IFERROR(VLOOKUP(DATA!#REF!,DATA!#REF!,1,FALSE),"")</f>
        <v/>
      </c>
      <c r="D3437" s="16" t="str">
        <f>IFERROR(VLOOKUP(C3437,DATA!#REF!,2,FALSE),"")</f>
        <v/>
      </c>
    </row>
    <row r="3438" spans="3:4" s="237" customFormat="1">
      <c r="C3438" s="16" t="str">
        <f>IFERROR(VLOOKUP(DATA!#REF!,DATA!#REF!,1,FALSE),"")</f>
        <v/>
      </c>
      <c r="D3438" s="16" t="str">
        <f>IFERROR(VLOOKUP(C3438,DATA!#REF!,2,FALSE),"")</f>
        <v/>
      </c>
    </row>
    <row r="3439" spans="3:4" s="237" customFormat="1">
      <c r="C3439" s="16" t="str">
        <f>IFERROR(VLOOKUP(DATA!#REF!,DATA!#REF!,1,FALSE),"")</f>
        <v/>
      </c>
      <c r="D3439" s="16" t="str">
        <f>IFERROR(VLOOKUP(C3439,DATA!#REF!,2,FALSE),"")</f>
        <v/>
      </c>
    </row>
    <row r="3440" spans="3:4" s="237" customFormat="1">
      <c r="C3440" s="16" t="str">
        <f>IFERROR(VLOOKUP(DATA!#REF!,DATA!#REF!,1,FALSE),"")</f>
        <v/>
      </c>
      <c r="D3440" s="16" t="str">
        <f>IFERROR(VLOOKUP(C3440,DATA!#REF!,2,FALSE),"")</f>
        <v/>
      </c>
    </row>
    <row r="3441" spans="3:4" s="237" customFormat="1">
      <c r="C3441" s="16" t="str">
        <f>IFERROR(VLOOKUP(DATA!#REF!,DATA!#REF!,1,FALSE),"")</f>
        <v/>
      </c>
      <c r="D3441" s="16" t="str">
        <f>IFERROR(VLOOKUP(C3441,DATA!#REF!,2,FALSE),"")</f>
        <v/>
      </c>
    </row>
    <row r="3442" spans="3:4" s="237" customFormat="1">
      <c r="C3442" s="16" t="str">
        <f>IFERROR(VLOOKUP(DATA!#REF!,DATA!#REF!,1,FALSE),"")</f>
        <v/>
      </c>
      <c r="D3442" s="16" t="str">
        <f>IFERROR(VLOOKUP(C3442,DATA!#REF!,2,FALSE),"")</f>
        <v/>
      </c>
    </row>
    <row r="3443" spans="3:4" s="237" customFormat="1">
      <c r="C3443" s="16" t="str">
        <f>IFERROR(VLOOKUP(DATA!#REF!,DATA!#REF!,1,FALSE),"")</f>
        <v/>
      </c>
      <c r="D3443" s="16" t="str">
        <f>IFERROR(VLOOKUP(C3443,DATA!#REF!,2,FALSE),"")</f>
        <v/>
      </c>
    </row>
    <row r="3444" spans="3:4" s="237" customFormat="1">
      <c r="C3444" s="16" t="str">
        <f>IFERROR(VLOOKUP(DATA!#REF!,DATA!#REF!,1,FALSE),"")</f>
        <v/>
      </c>
      <c r="D3444" s="16" t="str">
        <f>IFERROR(VLOOKUP(C3444,DATA!#REF!,2,FALSE),"")</f>
        <v/>
      </c>
    </row>
    <row r="3445" spans="3:4" s="237" customFormat="1">
      <c r="C3445" s="16" t="str">
        <f>IFERROR(VLOOKUP(DATA!#REF!,DATA!#REF!,1,FALSE),"")</f>
        <v/>
      </c>
      <c r="D3445" s="16" t="str">
        <f>IFERROR(VLOOKUP(C3445,DATA!#REF!,2,FALSE),"")</f>
        <v/>
      </c>
    </row>
    <row r="3446" spans="3:4" s="237" customFormat="1">
      <c r="C3446" s="16" t="str">
        <f>IFERROR(VLOOKUP(DATA!#REF!,DATA!#REF!,1,FALSE),"")</f>
        <v/>
      </c>
      <c r="D3446" s="16" t="str">
        <f>IFERROR(VLOOKUP(C3446,DATA!#REF!,2,FALSE),"")</f>
        <v/>
      </c>
    </row>
    <row r="3447" spans="3:4" s="237" customFormat="1">
      <c r="C3447" s="16" t="str">
        <f>IFERROR(VLOOKUP(DATA!#REF!,DATA!#REF!,1,FALSE),"")</f>
        <v/>
      </c>
      <c r="D3447" s="16" t="str">
        <f>IFERROR(VLOOKUP(C3447,DATA!#REF!,2,FALSE),"")</f>
        <v/>
      </c>
    </row>
    <row r="3448" spans="3:4" s="237" customFormat="1">
      <c r="C3448" s="16" t="str">
        <f>IFERROR(VLOOKUP(DATA!#REF!,DATA!#REF!,1,FALSE),"")</f>
        <v/>
      </c>
      <c r="D3448" s="16" t="str">
        <f>IFERROR(VLOOKUP(C3448,DATA!#REF!,2,FALSE),"")</f>
        <v/>
      </c>
    </row>
    <row r="3449" spans="3:4" s="237" customFormat="1">
      <c r="C3449" s="16" t="str">
        <f>IFERROR(VLOOKUP(DATA!#REF!,DATA!#REF!,1,FALSE),"")</f>
        <v/>
      </c>
      <c r="D3449" s="16" t="str">
        <f>IFERROR(VLOOKUP(C3449,DATA!#REF!,2,FALSE),"")</f>
        <v/>
      </c>
    </row>
    <row r="3450" spans="3:4" s="237" customFormat="1">
      <c r="C3450" s="16" t="str">
        <f>IFERROR(VLOOKUP(DATA!#REF!,DATA!#REF!,1,FALSE),"")</f>
        <v/>
      </c>
      <c r="D3450" s="16" t="str">
        <f>IFERROR(VLOOKUP(C3450,DATA!#REF!,2,FALSE),"")</f>
        <v/>
      </c>
    </row>
    <row r="3451" spans="3:4" s="237" customFormat="1">
      <c r="C3451" s="16" t="str">
        <f>IFERROR(VLOOKUP(DATA!#REF!,DATA!#REF!,1,FALSE),"")</f>
        <v/>
      </c>
      <c r="D3451" s="16" t="str">
        <f>IFERROR(VLOOKUP(C3451,DATA!#REF!,2,FALSE),"")</f>
        <v/>
      </c>
    </row>
    <row r="3452" spans="3:4" s="237" customFormat="1">
      <c r="C3452" s="16" t="str">
        <f>IFERROR(VLOOKUP(DATA!#REF!,DATA!#REF!,1,FALSE),"")</f>
        <v/>
      </c>
      <c r="D3452" s="16" t="str">
        <f>IFERROR(VLOOKUP(C3452,DATA!#REF!,2,FALSE),"")</f>
        <v/>
      </c>
    </row>
    <row r="3453" spans="3:4" s="237" customFormat="1">
      <c r="C3453" s="16" t="str">
        <f>IFERROR(VLOOKUP(DATA!#REF!,DATA!#REF!,1,FALSE),"")</f>
        <v/>
      </c>
      <c r="D3453" s="16" t="str">
        <f>IFERROR(VLOOKUP(C3453,DATA!#REF!,2,FALSE),"")</f>
        <v/>
      </c>
    </row>
    <row r="3454" spans="3:4" s="237" customFormat="1">
      <c r="C3454" s="16" t="str">
        <f>IFERROR(VLOOKUP(DATA!#REF!,DATA!#REF!,1,FALSE),"")</f>
        <v/>
      </c>
      <c r="D3454" s="16" t="str">
        <f>IFERROR(VLOOKUP(C3454,DATA!#REF!,2,FALSE),"")</f>
        <v/>
      </c>
    </row>
    <row r="3455" spans="3:4" s="237" customFormat="1">
      <c r="C3455" s="16" t="str">
        <f>IFERROR(VLOOKUP(DATA!#REF!,DATA!#REF!,1,FALSE),"")</f>
        <v/>
      </c>
      <c r="D3455" s="16" t="str">
        <f>IFERROR(VLOOKUP(C3455,DATA!#REF!,2,FALSE),"")</f>
        <v/>
      </c>
    </row>
    <row r="3456" spans="3:4" s="237" customFormat="1">
      <c r="C3456" s="16" t="str">
        <f>IFERROR(VLOOKUP(DATA!#REF!,DATA!#REF!,1,FALSE),"")</f>
        <v/>
      </c>
      <c r="D3456" s="16" t="str">
        <f>IFERROR(VLOOKUP(C3456,DATA!#REF!,2,FALSE),"")</f>
        <v/>
      </c>
    </row>
    <row r="3457" spans="3:4" s="237" customFormat="1">
      <c r="C3457" s="16" t="str">
        <f>IFERROR(VLOOKUP(DATA!#REF!,DATA!#REF!,1,FALSE),"")</f>
        <v/>
      </c>
      <c r="D3457" s="16" t="str">
        <f>IFERROR(VLOOKUP(C3457,DATA!#REF!,2,FALSE),"")</f>
        <v/>
      </c>
    </row>
    <row r="3458" spans="3:4" s="237" customFormat="1">
      <c r="C3458" s="16" t="str">
        <f>IFERROR(VLOOKUP(DATA!#REF!,DATA!#REF!,1,FALSE),"")</f>
        <v/>
      </c>
      <c r="D3458" s="16" t="str">
        <f>IFERROR(VLOOKUP(C3458,DATA!#REF!,2,FALSE),"")</f>
        <v/>
      </c>
    </row>
    <row r="3459" spans="3:4" s="237" customFormat="1">
      <c r="C3459" s="16" t="str">
        <f>IFERROR(VLOOKUP(DATA!#REF!,DATA!#REF!,1,FALSE),"")</f>
        <v/>
      </c>
      <c r="D3459" s="16" t="str">
        <f>IFERROR(VLOOKUP(C3459,DATA!#REF!,2,FALSE),"")</f>
        <v/>
      </c>
    </row>
    <row r="3460" spans="3:4" s="237" customFormat="1">
      <c r="C3460" s="16" t="str">
        <f>IFERROR(VLOOKUP(DATA!#REF!,DATA!#REF!,1,FALSE),"")</f>
        <v/>
      </c>
      <c r="D3460" s="16" t="str">
        <f>IFERROR(VLOOKUP(C3460,DATA!#REF!,2,FALSE),"")</f>
        <v/>
      </c>
    </row>
    <row r="3461" spans="3:4" s="237" customFormat="1">
      <c r="C3461" s="16" t="str">
        <f>IFERROR(VLOOKUP(DATA!#REF!,DATA!#REF!,1,FALSE),"")</f>
        <v/>
      </c>
      <c r="D3461" s="16" t="str">
        <f>IFERROR(VLOOKUP(C3461,DATA!#REF!,2,FALSE),"")</f>
        <v/>
      </c>
    </row>
    <row r="3462" spans="3:4" s="237" customFormat="1">
      <c r="C3462" s="16" t="str">
        <f>IFERROR(VLOOKUP(DATA!#REF!,DATA!#REF!,1,FALSE),"")</f>
        <v/>
      </c>
      <c r="D3462" s="16" t="str">
        <f>IFERROR(VLOOKUP(C3462,DATA!#REF!,2,FALSE),"")</f>
        <v/>
      </c>
    </row>
    <row r="3463" spans="3:4" s="237" customFormat="1">
      <c r="C3463" s="16" t="str">
        <f>IFERROR(VLOOKUP(DATA!#REF!,DATA!#REF!,1,FALSE),"")</f>
        <v/>
      </c>
      <c r="D3463" s="16" t="str">
        <f>IFERROR(VLOOKUP(C3463,DATA!#REF!,2,FALSE),"")</f>
        <v/>
      </c>
    </row>
    <row r="3464" spans="3:4" s="237" customFormat="1">
      <c r="C3464" s="16" t="str">
        <f>IFERROR(VLOOKUP(DATA!#REF!,DATA!#REF!,1,FALSE),"")</f>
        <v/>
      </c>
      <c r="D3464" s="16" t="str">
        <f>IFERROR(VLOOKUP(C3464,DATA!#REF!,2,FALSE),"")</f>
        <v/>
      </c>
    </row>
    <row r="3465" spans="3:4" s="237" customFormat="1">
      <c r="C3465" s="16" t="str">
        <f>IFERROR(VLOOKUP(DATA!#REF!,DATA!#REF!,1,FALSE),"")</f>
        <v/>
      </c>
      <c r="D3465" s="16" t="str">
        <f>IFERROR(VLOOKUP(C3465,DATA!#REF!,2,FALSE),"")</f>
        <v/>
      </c>
    </row>
    <row r="3466" spans="3:4" s="237" customFormat="1">
      <c r="C3466" s="16" t="str">
        <f>IFERROR(VLOOKUP(DATA!#REF!,DATA!#REF!,1,FALSE),"")</f>
        <v/>
      </c>
      <c r="D3466" s="16" t="str">
        <f>IFERROR(VLOOKUP(C3466,DATA!#REF!,2,FALSE),"")</f>
        <v/>
      </c>
    </row>
    <row r="3467" spans="3:4" s="237" customFormat="1">
      <c r="C3467" s="16" t="str">
        <f>IFERROR(VLOOKUP(DATA!#REF!,DATA!#REF!,1,FALSE),"")</f>
        <v/>
      </c>
      <c r="D3467" s="16" t="str">
        <f>IFERROR(VLOOKUP(C3467,DATA!#REF!,2,FALSE),"")</f>
        <v/>
      </c>
    </row>
    <row r="3468" spans="3:4" s="237" customFormat="1">
      <c r="C3468" s="16" t="str">
        <f>IFERROR(VLOOKUP(DATA!#REF!,DATA!#REF!,1,FALSE),"")</f>
        <v/>
      </c>
      <c r="D3468" s="16" t="str">
        <f>IFERROR(VLOOKUP(C3468,DATA!#REF!,2,FALSE),"")</f>
        <v/>
      </c>
    </row>
    <row r="3469" spans="3:4" s="237" customFormat="1">
      <c r="C3469" s="16" t="str">
        <f>IFERROR(VLOOKUP(DATA!#REF!,DATA!#REF!,1,FALSE),"")</f>
        <v/>
      </c>
      <c r="D3469" s="16" t="str">
        <f>IFERROR(VLOOKUP(C3469,DATA!#REF!,2,FALSE),"")</f>
        <v/>
      </c>
    </row>
    <row r="3470" spans="3:4" s="237" customFormat="1">
      <c r="C3470" s="16" t="str">
        <f>IFERROR(VLOOKUP(DATA!#REF!,DATA!#REF!,1,FALSE),"")</f>
        <v/>
      </c>
      <c r="D3470" s="16" t="str">
        <f>IFERROR(VLOOKUP(C3470,DATA!#REF!,2,FALSE),"")</f>
        <v/>
      </c>
    </row>
    <row r="3471" spans="3:4" s="237" customFormat="1">
      <c r="C3471" s="16" t="str">
        <f>IFERROR(VLOOKUP(DATA!#REF!,DATA!#REF!,1,FALSE),"")</f>
        <v/>
      </c>
      <c r="D3471" s="16" t="str">
        <f>IFERROR(VLOOKUP(C3471,DATA!#REF!,2,FALSE),"")</f>
        <v/>
      </c>
    </row>
    <row r="3472" spans="3:4" s="237" customFormat="1">
      <c r="C3472" s="16" t="str">
        <f>IFERROR(VLOOKUP(DATA!#REF!,DATA!#REF!,1,FALSE),"")</f>
        <v/>
      </c>
      <c r="D3472" s="16" t="str">
        <f>IFERROR(VLOOKUP(C3472,DATA!#REF!,2,FALSE),"")</f>
        <v/>
      </c>
    </row>
    <row r="3473" spans="3:4" s="237" customFormat="1">
      <c r="C3473" s="16" t="str">
        <f>IFERROR(VLOOKUP(DATA!#REF!,DATA!#REF!,1,FALSE),"")</f>
        <v/>
      </c>
      <c r="D3473" s="16" t="str">
        <f>IFERROR(VLOOKUP(C3473,DATA!#REF!,2,FALSE),"")</f>
        <v/>
      </c>
    </row>
    <row r="3474" spans="3:4" s="237" customFormat="1">
      <c r="C3474" s="16" t="str">
        <f>IFERROR(VLOOKUP(DATA!#REF!,DATA!#REF!,1,FALSE),"")</f>
        <v/>
      </c>
      <c r="D3474" s="16" t="str">
        <f>IFERROR(VLOOKUP(C3474,DATA!#REF!,2,FALSE),"")</f>
        <v/>
      </c>
    </row>
    <row r="3475" spans="3:4" s="237" customFormat="1">
      <c r="C3475" s="16" t="str">
        <f>IFERROR(VLOOKUP(DATA!#REF!,DATA!#REF!,1,FALSE),"")</f>
        <v/>
      </c>
      <c r="D3475" s="16" t="str">
        <f>IFERROR(VLOOKUP(C3475,DATA!#REF!,2,FALSE),"")</f>
        <v/>
      </c>
    </row>
    <row r="3476" spans="3:4" s="237" customFormat="1">
      <c r="C3476" s="16" t="str">
        <f>IFERROR(VLOOKUP(DATA!#REF!,DATA!#REF!,1,FALSE),"")</f>
        <v/>
      </c>
      <c r="D3476" s="16" t="str">
        <f>IFERROR(VLOOKUP(C3476,DATA!#REF!,2,FALSE),"")</f>
        <v/>
      </c>
    </row>
    <row r="3477" spans="3:4" s="237" customFormat="1">
      <c r="C3477" s="16" t="str">
        <f>IFERROR(VLOOKUP(DATA!#REF!,DATA!#REF!,1,FALSE),"")</f>
        <v/>
      </c>
      <c r="D3477" s="16" t="str">
        <f>IFERROR(VLOOKUP(C3477,DATA!#REF!,2,FALSE),"")</f>
        <v/>
      </c>
    </row>
    <row r="3478" spans="3:4" s="237" customFormat="1">
      <c r="C3478" s="16" t="str">
        <f>IFERROR(VLOOKUP(DATA!#REF!,DATA!#REF!,1,FALSE),"")</f>
        <v/>
      </c>
      <c r="D3478" s="16" t="str">
        <f>IFERROR(VLOOKUP(C3478,DATA!#REF!,2,FALSE),"")</f>
        <v/>
      </c>
    </row>
    <row r="3479" spans="3:4" s="237" customFormat="1">
      <c r="C3479" s="16" t="str">
        <f>IFERROR(VLOOKUP(DATA!#REF!,DATA!#REF!,1,FALSE),"")</f>
        <v/>
      </c>
      <c r="D3479" s="16" t="str">
        <f>IFERROR(VLOOKUP(C3479,DATA!#REF!,2,FALSE),"")</f>
        <v/>
      </c>
    </row>
    <row r="3480" spans="3:4" s="237" customFormat="1">
      <c r="C3480" s="16" t="str">
        <f>IFERROR(VLOOKUP(DATA!#REF!,DATA!#REF!,1,FALSE),"")</f>
        <v/>
      </c>
      <c r="D3480" s="16" t="str">
        <f>IFERROR(VLOOKUP(C3480,DATA!#REF!,2,FALSE),"")</f>
        <v/>
      </c>
    </row>
    <row r="3481" spans="3:4" s="237" customFormat="1">
      <c r="C3481" s="16" t="str">
        <f>IFERROR(VLOOKUP(DATA!#REF!,DATA!#REF!,1,FALSE),"")</f>
        <v/>
      </c>
      <c r="D3481" s="16" t="str">
        <f>IFERROR(VLOOKUP(C3481,DATA!#REF!,2,FALSE),"")</f>
        <v/>
      </c>
    </row>
    <row r="3482" spans="3:4" s="237" customFormat="1">
      <c r="C3482" s="16" t="str">
        <f>IFERROR(VLOOKUP(DATA!#REF!,DATA!#REF!,1,FALSE),"")</f>
        <v/>
      </c>
      <c r="D3482" s="16" t="str">
        <f>IFERROR(VLOOKUP(C3482,DATA!#REF!,2,FALSE),"")</f>
        <v/>
      </c>
    </row>
    <row r="3483" spans="3:4" s="237" customFormat="1">
      <c r="C3483" s="16" t="str">
        <f>IFERROR(VLOOKUP(DATA!#REF!,DATA!#REF!,1,FALSE),"")</f>
        <v/>
      </c>
      <c r="D3483" s="16" t="str">
        <f>IFERROR(VLOOKUP(C3483,DATA!#REF!,2,FALSE),"")</f>
        <v/>
      </c>
    </row>
    <row r="3484" spans="3:4" s="237" customFormat="1">
      <c r="C3484" s="16" t="str">
        <f>IFERROR(VLOOKUP(DATA!#REF!,DATA!#REF!,1,FALSE),"")</f>
        <v/>
      </c>
      <c r="D3484" s="16" t="str">
        <f>IFERROR(VLOOKUP(C3484,DATA!#REF!,2,FALSE),"")</f>
        <v/>
      </c>
    </row>
    <row r="3485" spans="3:4" s="237" customFormat="1">
      <c r="C3485" s="16" t="str">
        <f>IFERROR(VLOOKUP(DATA!#REF!,DATA!#REF!,1,FALSE),"")</f>
        <v/>
      </c>
      <c r="D3485" s="16" t="str">
        <f>IFERROR(VLOOKUP(C3485,DATA!#REF!,2,FALSE),"")</f>
        <v/>
      </c>
    </row>
    <row r="3486" spans="3:4" s="237" customFormat="1">
      <c r="C3486" s="16" t="str">
        <f>IFERROR(VLOOKUP(DATA!#REF!,DATA!#REF!,1,FALSE),"")</f>
        <v/>
      </c>
      <c r="D3486" s="16" t="str">
        <f>IFERROR(VLOOKUP(C3486,DATA!#REF!,2,FALSE),"")</f>
        <v/>
      </c>
    </row>
    <row r="3487" spans="3:4" s="237" customFormat="1">
      <c r="C3487" s="16" t="str">
        <f>IFERROR(VLOOKUP(DATA!#REF!,DATA!#REF!,1,FALSE),"")</f>
        <v/>
      </c>
      <c r="D3487" s="16" t="str">
        <f>IFERROR(VLOOKUP(C3487,DATA!#REF!,2,FALSE),"")</f>
        <v/>
      </c>
    </row>
    <row r="3488" spans="3:4" s="237" customFormat="1">
      <c r="C3488" s="16" t="str">
        <f>IFERROR(VLOOKUP(DATA!#REF!,DATA!#REF!,1,FALSE),"")</f>
        <v/>
      </c>
      <c r="D3488" s="16" t="str">
        <f>IFERROR(VLOOKUP(C3488,DATA!#REF!,2,FALSE),"")</f>
        <v/>
      </c>
    </row>
    <row r="3489" spans="3:4" s="237" customFormat="1">
      <c r="C3489" s="16" t="str">
        <f>IFERROR(VLOOKUP(DATA!#REF!,DATA!#REF!,1,FALSE),"")</f>
        <v/>
      </c>
      <c r="D3489" s="16" t="str">
        <f>IFERROR(VLOOKUP(C3489,DATA!#REF!,2,FALSE),"")</f>
        <v/>
      </c>
    </row>
    <row r="3490" spans="3:4" s="237" customFormat="1">
      <c r="C3490" s="16" t="str">
        <f>IFERROR(VLOOKUP(DATA!#REF!,DATA!#REF!,1,FALSE),"")</f>
        <v/>
      </c>
      <c r="D3490" s="16" t="str">
        <f>IFERROR(VLOOKUP(C3490,DATA!#REF!,2,FALSE),"")</f>
        <v/>
      </c>
    </row>
    <row r="3491" spans="3:4" s="237" customFormat="1">
      <c r="C3491" s="16" t="str">
        <f>IFERROR(VLOOKUP(DATA!#REF!,DATA!#REF!,1,FALSE),"")</f>
        <v/>
      </c>
      <c r="D3491" s="16" t="str">
        <f>IFERROR(VLOOKUP(C3491,DATA!#REF!,2,FALSE),"")</f>
        <v/>
      </c>
    </row>
    <row r="3492" spans="3:4" s="237" customFormat="1">
      <c r="C3492" s="16" t="str">
        <f>IFERROR(VLOOKUP(DATA!#REF!,DATA!#REF!,1,FALSE),"")</f>
        <v/>
      </c>
      <c r="D3492" s="16" t="str">
        <f>IFERROR(VLOOKUP(C3492,DATA!#REF!,2,FALSE),"")</f>
        <v/>
      </c>
    </row>
    <row r="3493" spans="3:4" s="237" customFormat="1">
      <c r="C3493" s="16" t="str">
        <f>IFERROR(VLOOKUP(DATA!#REF!,DATA!#REF!,1,FALSE),"")</f>
        <v/>
      </c>
      <c r="D3493" s="16" t="str">
        <f>IFERROR(VLOOKUP(C3493,DATA!#REF!,2,FALSE),"")</f>
        <v/>
      </c>
    </row>
    <row r="3494" spans="3:4" s="237" customFormat="1">
      <c r="C3494" s="16" t="str">
        <f>IFERROR(VLOOKUP(DATA!#REF!,DATA!#REF!,1,FALSE),"")</f>
        <v/>
      </c>
      <c r="D3494" s="16" t="str">
        <f>IFERROR(VLOOKUP(C3494,DATA!#REF!,2,FALSE),"")</f>
        <v/>
      </c>
    </row>
    <row r="3495" spans="3:4" s="237" customFormat="1">
      <c r="C3495" s="16" t="str">
        <f>IFERROR(VLOOKUP(DATA!#REF!,DATA!#REF!,1,FALSE),"")</f>
        <v/>
      </c>
      <c r="D3495" s="16" t="str">
        <f>IFERROR(VLOOKUP(C3495,DATA!#REF!,2,FALSE),"")</f>
        <v/>
      </c>
    </row>
    <row r="3496" spans="3:4" s="237" customFormat="1">
      <c r="C3496" s="16" t="str">
        <f>IFERROR(VLOOKUP(DATA!#REF!,DATA!#REF!,1,FALSE),"")</f>
        <v/>
      </c>
      <c r="D3496" s="16" t="str">
        <f>IFERROR(VLOOKUP(C3496,DATA!#REF!,2,FALSE),"")</f>
        <v/>
      </c>
    </row>
    <row r="3497" spans="3:4" s="237" customFormat="1">
      <c r="C3497" s="16" t="str">
        <f>IFERROR(VLOOKUP(DATA!#REF!,DATA!#REF!,1,FALSE),"")</f>
        <v/>
      </c>
      <c r="D3497" s="16" t="str">
        <f>IFERROR(VLOOKUP(C3497,DATA!#REF!,2,FALSE),"")</f>
        <v/>
      </c>
    </row>
    <row r="3498" spans="3:4" s="237" customFormat="1">
      <c r="C3498" s="16" t="str">
        <f>IFERROR(VLOOKUP(DATA!#REF!,DATA!#REF!,1,FALSE),"")</f>
        <v/>
      </c>
      <c r="D3498" s="16" t="str">
        <f>IFERROR(VLOOKUP(C3498,DATA!#REF!,2,FALSE),"")</f>
        <v/>
      </c>
    </row>
    <row r="3499" spans="3:4" s="237" customFormat="1">
      <c r="C3499" s="16" t="str">
        <f>IFERROR(VLOOKUP(DATA!#REF!,DATA!#REF!,1,FALSE),"")</f>
        <v/>
      </c>
      <c r="D3499" s="16" t="str">
        <f>IFERROR(VLOOKUP(C3499,DATA!#REF!,2,FALSE),"")</f>
        <v/>
      </c>
    </row>
    <row r="3500" spans="3:4" s="237" customFormat="1">
      <c r="C3500" s="16" t="str">
        <f>IFERROR(VLOOKUP(DATA!#REF!,DATA!#REF!,1,FALSE),"")</f>
        <v/>
      </c>
      <c r="D3500" s="16" t="str">
        <f>IFERROR(VLOOKUP(C3500,DATA!#REF!,2,FALSE),"")</f>
        <v/>
      </c>
    </row>
    <row r="3501" spans="3:4" s="237" customFormat="1">
      <c r="C3501" s="16" t="str">
        <f>IFERROR(VLOOKUP(DATA!#REF!,DATA!#REF!,1,FALSE),"")</f>
        <v/>
      </c>
      <c r="D3501" s="16" t="str">
        <f>IFERROR(VLOOKUP(C3501,DATA!#REF!,2,FALSE),"")</f>
        <v/>
      </c>
    </row>
    <row r="3502" spans="3:4" s="237" customFormat="1">
      <c r="C3502" s="16" t="str">
        <f>IFERROR(VLOOKUP(DATA!#REF!,DATA!#REF!,1,FALSE),"")</f>
        <v/>
      </c>
      <c r="D3502" s="16" t="str">
        <f>IFERROR(VLOOKUP(C3502,DATA!#REF!,2,FALSE),"")</f>
        <v/>
      </c>
    </row>
    <row r="3503" spans="3:4" s="237" customFormat="1">
      <c r="C3503" s="16" t="str">
        <f>IFERROR(VLOOKUP(DATA!#REF!,DATA!#REF!,1,FALSE),"")</f>
        <v/>
      </c>
      <c r="D3503" s="16" t="str">
        <f>IFERROR(VLOOKUP(C3503,DATA!#REF!,2,FALSE),"")</f>
        <v/>
      </c>
    </row>
    <row r="3504" spans="3:4" s="237" customFormat="1">
      <c r="C3504" s="16" t="str">
        <f>IFERROR(VLOOKUP(DATA!#REF!,DATA!#REF!,1,FALSE),"")</f>
        <v/>
      </c>
      <c r="D3504" s="16" t="str">
        <f>IFERROR(VLOOKUP(C3504,DATA!#REF!,2,FALSE),"")</f>
        <v/>
      </c>
    </row>
    <row r="3505" spans="3:4" s="237" customFormat="1">
      <c r="C3505" s="16" t="str">
        <f>IFERROR(VLOOKUP(DATA!#REF!,DATA!#REF!,1,FALSE),"")</f>
        <v/>
      </c>
      <c r="D3505" s="16" t="str">
        <f>IFERROR(VLOOKUP(C3505,DATA!#REF!,2,FALSE),"")</f>
        <v/>
      </c>
    </row>
    <row r="3506" spans="3:4" s="237" customFormat="1">
      <c r="C3506" s="16" t="str">
        <f>IFERROR(VLOOKUP(DATA!#REF!,DATA!#REF!,1,FALSE),"")</f>
        <v/>
      </c>
      <c r="D3506" s="16" t="str">
        <f>IFERROR(VLOOKUP(C3506,DATA!#REF!,2,FALSE),"")</f>
        <v/>
      </c>
    </row>
    <row r="3507" spans="3:4" s="237" customFormat="1">
      <c r="C3507" s="16" t="str">
        <f>IFERROR(VLOOKUP(DATA!#REF!,DATA!#REF!,1,FALSE),"")</f>
        <v/>
      </c>
      <c r="D3507" s="16" t="str">
        <f>IFERROR(VLOOKUP(C3507,DATA!#REF!,2,FALSE),"")</f>
        <v/>
      </c>
    </row>
    <row r="3508" spans="3:4" s="237" customFormat="1">
      <c r="C3508" s="16" t="str">
        <f>IFERROR(VLOOKUP(DATA!#REF!,DATA!#REF!,1,FALSE),"")</f>
        <v/>
      </c>
      <c r="D3508" s="16" t="str">
        <f>IFERROR(VLOOKUP(C3508,DATA!#REF!,2,FALSE),"")</f>
        <v/>
      </c>
    </row>
    <row r="3509" spans="3:4" s="237" customFormat="1">
      <c r="C3509" s="16" t="str">
        <f>IFERROR(VLOOKUP(DATA!#REF!,DATA!#REF!,1,FALSE),"")</f>
        <v/>
      </c>
      <c r="D3509" s="16" t="str">
        <f>IFERROR(VLOOKUP(C3509,DATA!#REF!,2,FALSE),"")</f>
        <v/>
      </c>
    </row>
    <row r="3510" spans="3:4" s="237" customFormat="1">
      <c r="C3510" s="16" t="str">
        <f>IFERROR(VLOOKUP(DATA!#REF!,DATA!#REF!,1,FALSE),"")</f>
        <v/>
      </c>
      <c r="D3510" s="16" t="str">
        <f>IFERROR(VLOOKUP(C3510,DATA!#REF!,2,FALSE),"")</f>
        <v/>
      </c>
    </row>
    <row r="3511" spans="3:4" s="237" customFormat="1">
      <c r="C3511" s="16" t="str">
        <f>IFERROR(VLOOKUP(DATA!#REF!,DATA!#REF!,1,FALSE),"")</f>
        <v/>
      </c>
      <c r="D3511" s="16" t="str">
        <f>IFERROR(VLOOKUP(C3511,DATA!#REF!,2,FALSE),"")</f>
        <v/>
      </c>
    </row>
    <row r="3512" spans="3:4" s="237" customFormat="1">
      <c r="C3512" s="16" t="str">
        <f>IFERROR(VLOOKUP(DATA!#REF!,DATA!#REF!,1,FALSE),"")</f>
        <v/>
      </c>
      <c r="D3512" s="16" t="str">
        <f>IFERROR(VLOOKUP(C3512,DATA!#REF!,2,FALSE),"")</f>
        <v/>
      </c>
    </row>
    <row r="3513" spans="3:4" s="237" customFormat="1">
      <c r="C3513" s="16" t="str">
        <f>IFERROR(VLOOKUP(DATA!#REF!,DATA!#REF!,1,FALSE),"")</f>
        <v/>
      </c>
      <c r="D3513" s="16" t="str">
        <f>IFERROR(VLOOKUP(C3513,DATA!#REF!,2,FALSE),"")</f>
        <v/>
      </c>
    </row>
    <row r="3514" spans="3:4" s="237" customFormat="1">
      <c r="C3514" s="16" t="str">
        <f>IFERROR(VLOOKUP(DATA!#REF!,DATA!#REF!,1,FALSE),"")</f>
        <v/>
      </c>
      <c r="D3514" s="16" t="str">
        <f>IFERROR(VLOOKUP(C3514,DATA!#REF!,2,FALSE),"")</f>
        <v/>
      </c>
    </row>
    <row r="3515" spans="3:4" s="237" customFormat="1">
      <c r="C3515" s="16" t="str">
        <f>IFERROR(VLOOKUP(DATA!#REF!,DATA!#REF!,1,FALSE),"")</f>
        <v/>
      </c>
      <c r="D3515" s="16" t="str">
        <f>IFERROR(VLOOKUP(C3515,DATA!#REF!,2,FALSE),"")</f>
        <v/>
      </c>
    </row>
    <row r="3516" spans="3:4" s="237" customFormat="1">
      <c r="C3516" s="16" t="str">
        <f>IFERROR(VLOOKUP(DATA!#REF!,DATA!#REF!,1,FALSE),"")</f>
        <v/>
      </c>
      <c r="D3516" s="16" t="str">
        <f>IFERROR(VLOOKUP(C3516,DATA!#REF!,2,FALSE),"")</f>
        <v/>
      </c>
    </row>
    <row r="3517" spans="3:4" s="237" customFormat="1">
      <c r="C3517" s="16" t="str">
        <f>IFERROR(VLOOKUP(DATA!#REF!,DATA!#REF!,1,FALSE),"")</f>
        <v/>
      </c>
      <c r="D3517" s="16" t="str">
        <f>IFERROR(VLOOKUP(C3517,DATA!#REF!,2,FALSE),"")</f>
        <v/>
      </c>
    </row>
    <row r="3518" spans="3:4" s="237" customFormat="1">
      <c r="C3518" s="16" t="str">
        <f>IFERROR(VLOOKUP(DATA!#REF!,DATA!#REF!,1,FALSE),"")</f>
        <v/>
      </c>
      <c r="D3518" s="16" t="str">
        <f>IFERROR(VLOOKUP(C3518,DATA!#REF!,2,FALSE),"")</f>
        <v/>
      </c>
    </row>
    <row r="3519" spans="3:4" s="237" customFormat="1">
      <c r="C3519" s="16" t="str">
        <f>IFERROR(VLOOKUP(DATA!#REF!,DATA!#REF!,1,FALSE),"")</f>
        <v/>
      </c>
      <c r="D3519" s="16" t="str">
        <f>IFERROR(VLOOKUP(C3519,DATA!#REF!,2,FALSE),"")</f>
        <v/>
      </c>
    </row>
    <row r="3520" spans="3:4" s="237" customFormat="1">
      <c r="C3520" s="16" t="str">
        <f>IFERROR(VLOOKUP(DATA!#REF!,DATA!#REF!,1,FALSE),"")</f>
        <v/>
      </c>
      <c r="D3520" s="16" t="str">
        <f>IFERROR(VLOOKUP(C3520,DATA!#REF!,2,FALSE),"")</f>
        <v/>
      </c>
    </row>
    <row r="3521" spans="3:4" s="237" customFormat="1">
      <c r="C3521" s="16" t="str">
        <f>IFERROR(VLOOKUP(DATA!#REF!,DATA!#REF!,1,FALSE),"")</f>
        <v/>
      </c>
      <c r="D3521" s="16" t="str">
        <f>IFERROR(VLOOKUP(C3521,DATA!#REF!,2,FALSE),"")</f>
        <v/>
      </c>
    </row>
    <row r="3522" spans="3:4" s="237" customFormat="1">
      <c r="C3522" s="16" t="str">
        <f>IFERROR(VLOOKUP(DATA!#REF!,DATA!#REF!,1,FALSE),"")</f>
        <v/>
      </c>
      <c r="D3522" s="16" t="str">
        <f>IFERROR(VLOOKUP(C3522,DATA!#REF!,2,FALSE),"")</f>
        <v/>
      </c>
    </row>
    <row r="3523" spans="3:4" s="237" customFormat="1">
      <c r="C3523" s="16" t="str">
        <f>IFERROR(VLOOKUP(DATA!#REF!,DATA!#REF!,1,FALSE),"")</f>
        <v/>
      </c>
      <c r="D3523" s="16" t="str">
        <f>IFERROR(VLOOKUP(C3523,DATA!#REF!,2,FALSE),"")</f>
        <v/>
      </c>
    </row>
    <row r="3524" spans="3:4" s="237" customFormat="1">
      <c r="C3524" s="16" t="str">
        <f>IFERROR(VLOOKUP(DATA!#REF!,DATA!#REF!,1,FALSE),"")</f>
        <v/>
      </c>
      <c r="D3524" s="16" t="str">
        <f>IFERROR(VLOOKUP(C3524,DATA!#REF!,2,FALSE),"")</f>
        <v/>
      </c>
    </row>
    <row r="3525" spans="3:4" s="237" customFormat="1">
      <c r="C3525" s="16" t="str">
        <f>IFERROR(VLOOKUP(DATA!#REF!,DATA!#REF!,1,FALSE),"")</f>
        <v/>
      </c>
      <c r="D3525" s="16" t="str">
        <f>IFERROR(VLOOKUP(C3525,DATA!#REF!,2,FALSE),"")</f>
        <v/>
      </c>
    </row>
    <row r="3526" spans="3:4" s="237" customFormat="1">
      <c r="C3526" s="16" t="str">
        <f>IFERROR(VLOOKUP(DATA!#REF!,DATA!#REF!,1,FALSE),"")</f>
        <v/>
      </c>
      <c r="D3526" s="16" t="str">
        <f>IFERROR(VLOOKUP(C3526,DATA!#REF!,2,FALSE),"")</f>
        <v/>
      </c>
    </row>
    <row r="3527" spans="3:4" s="237" customFormat="1">
      <c r="C3527" s="16" t="str">
        <f>IFERROR(VLOOKUP(DATA!#REF!,DATA!#REF!,1,FALSE),"")</f>
        <v/>
      </c>
      <c r="D3527" s="16" t="str">
        <f>IFERROR(VLOOKUP(C3527,DATA!#REF!,2,FALSE),"")</f>
        <v/>
      </c>
    </row>
    <row r="3528" spans="3:4" s="237" customFormat="1">
      <c r="C3528" s="16" t="str">
        <f>IFERROR(VLOOKUP(DATA!#REF!,DATA!#REF!,1,FALSE),"")</f>
        <v/>
      </c>
      <c r="D3528" s="16" t="str">
        <f>IFERROR(VLOOKUP(C3528,DATA!#REF!,2,FALSE),"")</f>
        <v/>
      </c>
    </row>
    <row r="3529" spans="3:4" s="237" customFormat="1">
      <c r="C3529" s="16" t="str">
        <f>IFERROR(VLOOKUP(DATA!#REF!,DATA!#REF!,1,FALSE),"")</f>
        <v/>
      </c>
      <c r="D3529" s="16" t="str">
        <f>IFERROR(VLOOKUP(C3529,DATA!#REF!,2,FALSE),"")</f>
        <v/>
      </c>
    </row>
    <row r="3530" spans="3:4" s="237" customFormat="1">
      <c r="C3530" s="16" t="str">
        <f>IFERROR(VLOOKUP(DATA!#REF!,DATA!#REF!,1,FALSE),"")</f>
        <v/>
      </c>
      <c r="D3530" s="16" t="str">
        <f>IFERROR(VLOOKUP(C3530,DATA!#REF!,2,FALSE),"")</f>
        <v/>
      </c>
    </row>
    <row r="3531" spans="3:4" s="237" customFormat="1">
      <c r="C3531" s="16" t="str">
        <f>IFERROR(VLOOKUP(DATA!#REF!,DATA!#REF!,1,FALSE),"")</f>
        <v/>
      </c>
      <c r="D3531" s="16" t="str">
        <f>IFERROR(VLOOKUP(C3531,DATA!#REF!,2,FALSE),"")</f>
        <v/>
      </c>
    </row>
    <row r="3532" spans="3:4" s="237" customFormat="1">
      <c r="C3532" s="16" t="str">
        <f>IFERROR(VLOOKUP(DATA!#REF!,DATA!#REF!,1,FALSE),"")</f>
        <v/>
      </c>
      <c r="D3532" s="16" t="str">
        <f>IFERROR(VLOOKUP(C3532,DATA!#REF!,2,FALSE),"")</f>
        <v/>
      </c>
    </row>
    <row r="3533" spans="3:4" s="237" customFormat="1">
      <c r="C3533" s="16" t="str">
        <f>IFERROR(VLOOKUP(DATA!#REF!,DATA!#REF!,1,FALSE),"")</f>
        <v/>
      </c>
      <c r="D3533" s="16" t="str">
        <f>IFERROR(VLOOKUP(C3533,DATA!#REF!,2,FALSE),"")</f>
        <v/>
      </c>
    </row>
    <row r="3534" spans="3:4" s="237" customFormat="1">
      <c r="C3534" s="16" t="str">
        <f>IFERROR(VLOOKUP(DATA!#REF!,DATA!#REF!,1,FALSE),"")</f>
        <v/>
      </c>
      <c r="D3534" s="16" t="str">
        <f>IFERROR(VLOOKUP(C3534,DATA!#REF!,2,FALSE),"")</f>
        <v/>
      </c>
    </row>
    <row r="3535" spans="3:4" s="237" customFormat="1">
      <c r="C3535" s="16" t="str">
        <f>IFERROR(VLOOKUP(DATA!#REF!,DATA!#REF!,1,FALSE),"")</f>
        <v/>
      </c>
      <c r="D3535" s="16" t="str">
        <f>IFERROR(VLOOKUP(C3535,DATA!#REF!,2,FALSE),"")</f>
        <v/>
      </c>
    </row>
    <row r="3536" spans="3:4" s="237" customFormat="1">
      <c r="C3536" s="16" t="str">
        <f>IFERROR(VLOOKUP(DATA!#REF!,DATA!#REF!,1,FALSE),"")</f>
        <v/>
      </c>
      <c r="D3536" s="16" t="str">
        <f>IFERROR(VLOOKUP(C3536,DATA!#REF!,2,FALSE),"")</f>
        <v/>
      </c>
    </row>
    <row r="3537" spans="3:4" s="237" customFormat="1">
      <c r="C3537" s="16" t="str">
        <f>IFERROR(VLOOKUP(DATA!#REF!,DATA!#REF!,1,FALSE),"")</f>
        <v/>
      </c>
      <c r="D3537" s="16" t="str">
        <f>IFERROR(VLOOKUP(C3537,DATA!#REF!,2,FALSE),"")</f>
        <v/>
      </c>
    </row>
    <row r="3538" spans="3:4" s="237" customFormat="1">
      <c r="C3538" s="16" t="str">
        <f>IFERROR(VLOOKUP(DATA!#REF!,DATA!#REF!,1,FALSE),"")</f>
        <v/>
      </c>
      <c r="D3538" s="16" t="str">
        <f>IFERROR(VLOOKUP(C3538,DATA!#REF!,2,FALSE),"")</f>
        <v/>
      </c>
    </row>
    <row r="3539" spans="3:4" s="237" customFormat="1">
      <c r="C3539" s="16" t="str">
        <f>IFERROR(VLOOKUP(DATA!#REF!,DATA!#REF!,1,FALSE),"")</f>
        <v/>
      </c>
      <c r="D3539" s="16" t="str">
        <f>IFERROR(VLOOKUP(C3539,DATA!#REF!,2,FALSE),"")</f>
        <v/>
      </c>
    </row>
    <row r="3540" spans="3:4" s="237" customFormat="1">
      <c r="C3540" s="16" t="str">
        <f>IFERROR(VLOOKUP(DATA!#REF!,DATA!#REF!,1,FALSE),"")</f>
        <v/>
      </c>
      <c r="D3540" s="16" t="str">
        <f>IFERROR(VLOOKUP(C3540,DATA!#REF!,2,FALSE),"")</f>
        <v/>
      </c>
    </row>
    <row r="3541" spans="3:4" s="237" customFormat="1">
      <c r="C3541" s="16" t="str">
        <f>IFERROR(VLOOKUP(DATA!#REF!,DATA!#REF!,1,FALSE),"")</f>
        <v/>
      </c>
      <c r="D3541" s="16" t="str">
        <f>IFERROR(VLOOKUP(C3541,DATA!#REF!,2,FALSE),"")</f>
        <v/>
      </c>
    </row>
    <row r="3542" spans="3:4" s="237" customFormat="1">
      <c r="C3542" s="16" t="str">
        <f>IFERROR(VLOOKUP(DATA!#REF!,DATA!#REF!,1,FALSE),"")</f>
        <v/>
      </c>
      <c r="D3542" s="16" t="str">
        <f>IFERROR(VLOOKUP(C3542,DATA!#REF!,2,FALSE),"")</f>
        <v/>
      </c>
    </row>
    <row r="3543" spans="3:4" s="237" customFormat="1">
      <c r="C3543" s="16" t="str">
        <f>IFERROR(VLOOKUP(DATA!#REF!,DATA!#REF!,1,FALSE),"")</f>
        <v/>
      </c>
      <c r="D3543" s="16" t="str">
        <f>IFERROR(VLOOKUP(C3543,DATA!#REF!,2,FALSE),"")</f>
        <v/>
      </c>
    </row>
    <row r="3544" spans="3:4" s="237" customFormat="1">
      <c r="C3544" s="16" t="str">
        <f>IFERROR(VLOOKUP(DATA!#REF!,DATA!#REF!,1,FALSE),"")</f>
        <v/>
      </c>
      <c r="D3544" s="16" t="str">
        <f>IFERROR(VLOOKUP(C3544,DATA!#REF!,2,FALSE),"")</f>
        <v/>
      </c>
    </row>
    <row r="3545" spans="3:4" s="237" customFormat="1">
      <c r="C3545" s="16" t="str">
        <f>IFERROR(VLOOKUP(DATA!#REF!,DATA!#REF!,1,FALSE),"")</f>
        <v/>
      </c>
      <c r="D3545" s="16" t="str">
        <f>IFERROR(VLOOKUP(C3545,DATA!#REF!,2,FALSE),"")</f>
        <v/>
      </c>
    </row>
    <row r="3546" spans="3:4" s="237" customFormat="1">
      <c r="C3546" s="16" t="str">
        <f>IFERROR(VLOOKUP(DATA!#REF!,DATA!#REF!,1,FALSE),"")</f>
        <v/>
      </c>
      <c r="D3546" s="16" t="str">
        <f>IFERROR(VLOOKUP(C3546,DATA!#REF!,2,FALSE),"")</f>
        <v/>
      </c>
    </row>
    <row r="3547" spans="3:4" s="237" customFormat="1">
      <c r="C3547" s="16" t="str">
        <f>IFERROR(VLOOKUP(DATA!#REF!,DATA!#REF!,1,FALSE),"")</f>
        <v/>
      </c>
      <c r="D3547" s="16" t="str">
        <f>IFERROR(VLOOKUP(C3547,DATA!#REF!,2,FALSE),"")</f>
        <v/>
      </c>
    </row>
    <row r="3548" spans="3:4" s="237" customFormat="1">
      <c r="C3548" s="16" t="str">
        <f>IFERROR(VLOOKUP(DATA!#REF!,DATA!#REF!,1,FALSE),"")</f>
        <v/>
      </c>
      <c r="D3548" s="16" t="str">
        <f>IFERROR(VLOOKUP(C3548,DATA!#REF!,2,FALSE),"")</f>
        <v/>
      </c>
    </row>
    <row r="3549" spans="3:4" s="237" customFormat="1">
      <c r="C3549" s="16" t="str">
        <f>IFERROR(VLOOKUP(DATA!#REF!,DATA!#REF!,1,FALSE),"")</f>
        <v/>
      </c>
      <c r="D3549" s="16" t="str">
        <f>IFERROR(VLOOKUP(C3549,DATA!#REF!,2,FALSE),"")</f>
        <v/>
      </c>
    </row>
    <row r="3550" spans="3:4" s="237" customFormat="1">
      <c r="C3550" s="16" t="str">
        <f>IFERROR(VLOOKUP(DATA!#REF!,DATA!#REF!,1,FALSE),"")</f>
        <v/>
      </c>
      <c r="D3550" s="16" t="str">
        <f>IFERROR(VLOOKUP(C3550,DATA!#REF!,2,FALSE),"")</f>
        <v/>
      </c>
    </row>
    <row r="3551" spans="3:4" s="237" customFormat="1">
      <c r="C3551" s="16" t="str">
        <f>IFERROR(VLOOKUP(DATA!#REF!,DATA!#REF!,1,FALSE),"")</f>
        <v/>
      </c>
      <c r="D3551" s="16" t="str">
        <f>IFERROR(VLOOKUP(C3551,DATA!#REF!,2,FALSE),"")</f>
        <v/>
      </c>
    </row>
    <row r="3552" spans="3:4" s="237" customFormat="1">
      <c r="C3552" s="16" t="str">
        <f>IFERROR(VLOOKUP(DATA!#REF!,DATA!#REF!,1,FALSE),"")</f>
        <v/>
      </c>
      <c r="D3552" s="16" t="str">
        <f>IFERROR(VLOOKUP(C3552,DATA!#REF!,2,FALSE),"")</f>
        <v/>
      </c>
    </row>
    <row r="3553" spans="3:4" s="237" customFormat="1">
      <c r="C3553" s="16" t="str">
        <f>IFERROR(VLOOKUP(DATA!#REF!,DATA!#REF!,1,FALSE),"")</f>
        <v/>
      </c>
      <c r="D3553" s="16" t="str">
        <f>IFERROR(VLOOKUP(C3553,DATA!#REF!,2,FALSE),"")</f>
        <v/>
      </c>
    </row>
    <row r="3554" spans="3:4" s="237" customFormat="1">
      <c r="C3554" s="16" t="str">
        <f>IFERROR(VLOOKUP(DATA!#REF!,DATA!#REF!,1,FALSE),"")</f>
        <v/>
      </c>
      <c r="D3554" s="16" t="str">
        <f>IFERROR(VLOOKUP(C3554,DATA!#REF!,2,FALSE),"")</f>
        <v/>
      </c>
    </row>
    <row r="3555" spans="3:4" s="237" customFormat="1">
      <c r="C3555" s="16" t="str">
        <f>IFERROR(VLOOKUP(DATA!#REF!,DATA!#REF!,1,FALSE),"")</f>
        <v/>
      </c>
      <c r="D3555" s="16" t="str">
        <f>IFERROR(VLOOKUP(C3555,DATA!#REF!,2,FALSE),"")</f>
        <v/>
      </c>
    </row>
    <row r="3556" spans="3:4" s="237" customFormat="1">
      <c r="C3556" s="16" t="str">
        <f>IFERROR(VLOOKUP(DATA!#REF!,DATA!#REF!,1,FALSE),"")</f>
        <v/>
      </c>
      <c r="D3556" s="16" t="str">
        <f>IFERROR(VLOOKUP(C3556,DATA!#REF!,2,FALSE),"")</f>
        <v/>
      </c>
    </row>
    <row r="3557" spans="3:4" s="237" customFormat="1">
      <c r="C3557" s="16" t="str">
        <f>IFERROR(VLOOKUP(DATA!#REF!,DATA!#REF!,1,FALSE),"")</f>
        <v/>
      </c>
      <c r="D3557" s="16" t="str">
        <f>IFERROR(VLOOKUP(C3557,DATA!#REF!,2,FALSE),"")</f>
        <v/>
      </c>
    </row>
    <row r="3558" spans="3:4" s="237" customFormat="1">
      <c r="C3558" s="16" t="str">
        <f>IFERROR(VLOOKUP(DATA!#REF!,DATA!#REF!,1,FALSE),"")</f>
        <v/>
      </c>
      <c r="D3558" s="16" t="str">
        <f>IFERROR(VLOOKUP(C3558,DATA!#REF!,2,FALSE),"")</f>
        <v/>
      </c>
    </row>
    <row r="3559" spans="3:4" s="237" customFormat="1">
      <c r="C3559" s="16" t="str">
        <f>IFERROR(VLOOKUP(DATA!#REF!,DATA!#REF!,1,FALSE),"")</f>
        <v/>
      </c>
      <c r="D3559" s="16" t="str">
        <f>IFERROR(VLOOKUP(C3559,DATA!#REF!,2,FALSE),"")</f>
        <v/>
      </c>
    </row>
    <row r="3560" spans="3:4" s="237" customFormat="1">
      <c r="C3560" s="16" t="str">
        <f>IFERROR(VLOOKUP(DATA!#REF!,DATA!#REF!,1,FALSE),"")</f>
        <v/>
      </c>
      <c r="D3560" s="16" t="str">
        <f>IFERROR(VLOOKUP(C3560,DATA!#REF!,2,FALSE),"")</f>
        <v/>
      </c>
    </row>
    <row r="3561" spans="3:4" s="237" customFormat="1">
      <c r="C3561" s="16" t="str">
        <f>IFERROR(VLOOKUP(DATA!#REF!,DATA!#REF!,1,FALSE),"")</f>
        <v/>
      </c>
      <c r="D3561" s="16" t="str">
        <f>IFERROR(VLOOKUP(C3561,DATA!#REF!,2,FALSE),"")</f>
        <v/>
      </c>
    </row>
    <row r="3562" spans="3:4" s="237" customFormat="1">
      <c r="C3562" s="16" t="str">
        <f>IFERROR(VLOOKUP(DATA!#REF!,DATA!#REF!,1,FALSE),"")</f>
        <v/>
      </c>
      <c r="D3562" s="16" t="str">
        <f>IFERROR(VLOOKUP(C3562,DATA!#REF!,2,FALSE),"")</f>
        <v/>
      </c>
    </row>
    <row r="3563" spans="3:4" s="237" customFormat="1">
      <c r="C3563" s="16" t="str">
        <f>IFERROR(VLOOKUP(DATA!#REF!,DATA!#REF!,1,FALSE),"")</f>
        <v/>
      </c>
      <c r="D3563" s="16" t="str">
        <f>IFERROR(VLOOKUP(C3563,DATA!#REF!,2,FALSE),"")</f>
        <v/>
      </c>
    </row>
    <row r="3564" spans="3:4" s="237" customFormat="1">
      <c r="C3564" s="16" t="str">
        <f>IFERROR(VLOOKUP(DATA!#REF!,DATA!#REF!,1,FALSE),"")</f>
        <v/>
      </c>
      <c r="D3564" s="16" t="str">
        <f>IFERROR(VLOOKUP(C3564,DATA!#REF!,2,FALSE),"")</f>
        <v/>
      </c>
    </row>
    <row r="3565" spans="3:4" s="237" customFormat="1">
      <c r="C3565" s="16" t="str">
        <f>IFERROR(VLOOKUP(DATA!#REF!,DATA!#REF!,1,FALSE),"")</f>
        <v/>
      </c>
      <c r="D3565" s="16" t="str">
        <f>IFERROR(VLOOKUP(C3565,DATA!#REF!,2,FALSE),"")</f>
        <v/>
      </c>
    </row>
    <row r="3566" spans="3:4" s="237" customFormat="1">
      <c r="C3566" s="16" t="str">
        <f>IFERROR(VLOOKUP(DATA!#REF!,DATA!#REF!,1,FALSE),"")</f>
        <v/>
      </c>
      <c r="D3566" s="16" t="str">
        <f>IFERROR(VLOOKUP(C3566,DATA!#REF!,2,FALSE),"")</f>
        <v/>
      </c>
    </row>
    <row r="3567" spans="3:4" s="237" customFormat="1">
      <c r="C3567" s="16" t="str">
        <f>IFERROR(VLOOKUP(DATA!#REF!,DATA!#REF!,1,FALSE),"")</f>
        <v/>
      </c>
      <c r="D3567" s="16" t="str">
        <f>IFERROR(VLOOKUP(C3567,DATA!#REF!,2,FALSE),"")</f>
        <v/>
      </c>
    </row>
    <row r="3568" spans="3:4" s="237" customFormat="1">
      <c r="C3568" s="16" t="str">
        <f>IFERROR(VLOOKUP(DATA!#REF!,DATA!#REF!,1,FALSE),"")</f>
        <v/>
      </c>
      <c r="D3568" s="16" t="str">
        <f>IFERROR(VLOOKUP(C3568,DATA!#REF!,2,FALSE),"")</f>
        <v/>
      </c>
    </row>
    <row r="3569" spans="3:4" s="237" customFormat="1">
      <c r="C3569" s="16" t="str">
        <f>IFERROR(VLOOKUP(DATA!#REF!,DATA!#REF!,1,FALSE),"")</f>
        <v/>
      </c>
      <c r="D3569" s="16" t="str">
        <f>IFERROR(VLOOKUP(C3569,DATA!#REF!,2,FALSE),"")</f>
        <v/>
      </c>
    </row>
    <row r="3570" spans="3:4" s="237" customFormat="1">
      <c r="C3570" s="16" t="str">
        <f>IFERROR(VLOOKUP(DATA!#REF!,DATA!#REF!,1,FALSE),"")</f>
        <v/>
      </c>
      <c r="D3570" s="16" t="str">
        <f>IFERROR(VLOOKUP(C3570,DATA!#REF!,2,FALSE),"")</f>
        <v/>
      </c>
    </row>
    <row r="3571" spans="3:4" s="237" customFormat="1">
      <c r="C3571" s="16" t="str">
        <f>IFERROR(VLOOKUP(DATA!#REF!,DATA!#REF!,1,FALSE),"")</f>
        <v/>
      </c>
      <c r="D3571" s="16" t="str">
        <f>IFERROR(VLOOKUP(C3571,DATA!#REF!,2,FALSE),"")</f>
        <v/>
      </c>
    </row>
    <row r="3572" spans="3:4" s="237" customFormat="1">
      <c r="C3572" s="16" t="str">
        <f>IFERROR(VLOOKUP(DATA!#REF!,DATA!#REF!,1,FALSE),"")</f>
        <v/>
      </c>
      <c r="D3572" s="16" t="str">
        <f>IFERROR(VLOOKUP(C3572,DATA!#REF!,2,FALSE),"")</f>
        <v/>
      </c>
    </row>
    <row r="3573" spans="3:4" s="237" customFormat="1">
      <c r="C3573" s="16" t="str">
        <f>IFERROR(VLOOKUP(DATA!#REF!,DATA!#REF!,1,FALSE),"")</f>
        <v/>
      </c>
      <c r="D3573" s="16" t="str">
        <f>IFERROR(VLOOKUP(C3573,DATA!#REF!,2,FALSE),"")</f>
        <v/>
      </c>
    </row>
    <row r="3574" spans="3:4" s="237" customFormat="1">
      <c r="C3574" s="16" t="str">
        <f>IFERROR(VLOOKUP(DATA!#REF!,DATA!#REF!,1,FALSE),"")</f>
        <v/>
      </c>
      <c r="D3574" s="16" t="str">
        <f>IFERROR(VLOOKUP(C3574,DATA!#REF!,2,FALSE),"")</f>
        <v/>
      </c>
    </row>
    <row r="3575" spans="3:4" s="237" customFormat="1">
      <c r="C3575" s="16" t="str">
        <f>IFERROR(VLOOKUP(DATA!#REF!,DATA!#REF!,1,FALSE),"")</f>
        <v/>
      </c>
      <c r="D3575" s="16" t="str">
        <f>IFERROR(VLOOKUP(C3575,DATA!#REF!,2,FALSE),"")</f>
        <v/>
      </c>
    </row>
    <row r="3576" spans="3:4" s="237" customFormat="1">
      <c r="C3576" s="16" t="str">
        <f>IFERROR(VLOOKUP(DATA!#REF!,DATA!#REF!,1,FALSE),"")</f>
        <v/>
      </c>
      <c r="D3576" s="16" t="str">
        <f>IFERROR(VLOOKUP(C3576,DATA!#REF!,2,FALSE),"")</f>
        <v/>
      </c>
    </row>
    <row r="3577" spans="3:4" s="237" customFormat="1">
      <c r="C3577" s="16" t="str">
        <f>IFERROR(VLOOKUP(DATA!#REF!,DATA!#REF!,1,FALSE),"")</f>
        <v/>
      </c>
      <c r="D3577" s="16" t="str">
        <f>IFERROR(VLOOKUP(C3577,DATA!#REF!,2,FALSE),"")</f>
        <v/>
      </c>
    </row>
    <row r="3578" spans="3:4" s="237" customFormat="1">
      <c r="C3578" s="16" t="str">
        <f>IFERROR(VLOOKUP(DATA!#REF!,DATA!#REF!,1,FALSE),"")</f>
        <v/>
      </c>
      <c r="D3578" s="16" t="str">
        <f>IFERROR(VLOOKUP(C3578,DATA!#REF!,2,FALSE),"")</f>
        <v/>
      </c>
    </row>
    <row r="3579" spans="3:4" s="237" customFormat="1">
      <c r="C3579" s="16" t="str">
        <f>IFERROR(VLOOKUP(DATA!#REF!,DATA!#REF!,1,FALSE),"")</f>
        <v/>
      </c>
      <c r="D3579" s="16" t="str">
        <f>IFERROR(VLOOKUP(C3579,DATA!#REF!,2,FALSE),"")</f>
        <v/>
      </c>
    </row>
    <row r="3580" spans="3:4" s="237" customFormat="1">
      <c r="C3580" s="16" t="str">
        <f>IFERROR(VLOOKUP(DATA!#REF!,DATA!#REF!,1,FALSE),"")</f>
        <v/>
      </c>
      <c r="D3580" s="16" t="str">
        <f>IFERROR(VLOOKUP(C3580,DATA!#REF!,2,FALSE),"")</f>
        <v/>
      </c>
    </row>
    <row r="3581" spans="3:4" s="237" customFormat="1">
      <c r="C3581" s="16" t="str">
        <f>IFERROR(VLOOKUP(DATA!#REF!,DATA!#REF!,1,FALSE),"")</f>
        <v/>
      </c>
      <c r="D3581" s="16" t="str">
        <f>IFERROR(VLOOKUP(C3581,DATA!#REF!,2,FALSE),"")</f>
        <v/>
      </c>
    </row>
    <row r="3582" spans="3:4" s="237" customFormat="1">
      <c r="C3582" s="16" t="str">
        <f>IFERROR(VLOOKUP(DATA!#REF!,DATA!#REF!,1,FALSE),"")</f>
        <v/>
      </c>
      <c r="D3582" s="16" t="str">
        <f>IFERROR(VLOOKUP(C3582,DATA!#REF!,2,FALSE),"")</f>
        <v/>
      </c>
    </row>
    <row r="3583" spans="3:4" s="237" customFormat="1">
      <c r="C3583" s="16" t="str">
        <f>IFERROR(VLOOKUP(DATA!#REF!,DATA!#REF!,1,FALSE),"")</f>
        <v/>
      </c>
      <c r="D3583" s="16" t="str">
        <f>IFERROR(VLOOKUP(C3583,DATA!#REF!,2,FALSE),"")</f>
        <v/>
      </c>
    </row>
    <row r="3584" spans="3:4" s="237" customFormat="1">
      <c r="C3584" s="16" t="str">
        <f>IFERROR(VLOOKUP(DATA!#REF!,DATA!#REF!,1,FALSE),"")</f>
        <v/>
      </c>
      <c r="D3584" s="16" t="str">
        <f>IFERROR(VLOOKUP(C3584,DATA!#REF!,2,FALSE),"")</f>
        <v/>
      </c>
    </row>
    <row r="3585" spans="3:4" s="237" customFormat="1">
      <c r="C3585" s="16" t="str">
        <f>IFERROR(VLOOKUP(DATA!#REF!,DATA!#REF!,1,FALSE),"")</f>
        <v/>
      </c>
      <c r="D3585" s="16" t="str">
        <f>IFERROR(VLOOKUP(C3585,DATA!#REF!,2,FALSE),"")</f>
        <v/>
      </c>
    </row>
    <row r="3586" spans="3:4" s="237" customFormat="1">
      <c r="C3586" s="16" t="str">
        <f>IFERROR(VLOOKUP(DATA!#REF!,DATA!#REF!,1,FALSE),"")</f>
        <v/>
      </c>
      <c r="D3586" s="16" t="str">
        <f>IFERROR(VLOOKUP(C3586,DATA!#REF!,2,FALSE),"")</f>
        <v/>
      </c>
    </row>
    <row r="3587" spans="3:4" s="237" customFormat="1">
      <c r="C3587" s="16" t="str">
        <f>IFERROR(VLOOKUP(DATA!#REF!,DATA!#REF!,1,FALSE),"")</f>
        <v/>
      </c>
      <c r="D3587" s="16" t="str">
        <f>IFERROR(VLOOKUP(C3587,DATA!#REF!,2,FALSE),"")</f>
        <v/>
      </c>
    </row>
    <row r="3588" spans="3:4" s="237" customFormat="1">
      <c r="C3588" s="16" t="str">
        <f>IFERROR(VLOOKUP(DATA!#REF!,DATA!#REF!,1,FALSE),"")</f>
        <v/>
      </c>
      <c r="D3588" s="16" t="str">
        <f>IFERROR(VLOOKUP(C3588,DATA!#REF!,2,FALSE),"")</f>
        <v/>
      </c>
    </row>
    <row r="3589" spans="3:4" s="237" customFormat="1">
      <c r="C3589" s="16" t="str">
        <f>IFERROR(VLOOKUP(DATA!#REF!,DATA!#REF!,1,FALSE),"")</f>
        <v/>
      </c>
      <c r="D3589" s="16" t="str">
        <f>IFERROR(VLOOKUP(C3589,DATA!#REF!,2,FALSE),"")</f>
        <v/>
      </c>
    </row>
    <row r="3590" spans="3:4" s="237" customFormat="1">
      <c r="C3590" s="16" t="str">
        <f>IFERROR(VLOOKUP(DATA!#REF!,DATA!#REF!,1,FALSE),"")</f>
        <v/>
      </c>
      <c r="D3590" s="16" t="str">
        <f>IFERROR(VLOOKUP(C3590,DATA!#REF!,2,FALSE),"")</f>
        <v/>
      </c>
    </row>
    <row r="3591" spans="3:4" s="237" customFormat="1">
      <c r="C3591" s="16" t="str">
        <f>IFERROR(VLOOKUP(DATA!#REF!,DATA!#REF!,1,FALSE),"")</f>
        <v/>
      </c>
      <c r="D3591" s="16" t="str">
        <f>IFERROR(VLOOKUP(C3591,DATA!#REF!,2,FALSE),"")</f>
        <v/>
      </c>
    </row>
    <row r="3592" spans="3:4" s="237" customFormat="1">
      <c r="C3592" s="16" t="str">
        <f>IFERROR(VLOOKUP(DATA!#REF!,DATA!#REF!,1,FALSE),"")</f>
        <v/>
      </c>
      <c r="D3592" s="16" t="str">
        <f>IFERROR(VLOOKUP(C3592,DATA!#REF!,2,FALSE),"")</f>
        <v/>
      </c>
    </row>
    <row r="3593" spans="3:4" s="237" customFormat="1">
      <c r="C3593" s="16" t="str">
        <f>IFERROR(VLOOKUP(DATA!#REF!,DATA!#REF!,1,FALSE),"")</f>
        <v/>
      </c>
      <c r="D3593" s="16" t="str">
        <f>IFERROR(VLOOKUP(C3593,DATA!#REF!,2,FALSE),"")</f>
        <v/>
      </c>
    </row>
    <row r="3594" spans="3:4" s="237" customFormat="1">
      <c r="C3594" s="16" t="str">
        <f>IFERROR(VLOOKUP(DATA!#REF!,DATA!#REF!,1,FALSE),"")</f>
        <v/>
      </c>
      <c r="D3594" s="16" t="str">
        <f>IFERROR(VLOOKUP(C3594,DATA!#REF!,2,FALSE),"")</f>
        <v/>
      </c>
    </row>
    <row r="3595" spans="3:4" s="237" customFormat="1">
      <c r="C3595" s="16" t="str">
        <f>IFERROR(VLOOKUP(DATA!#REF!,DATA!#REF!,1,FALSE),"")</f>
        <v/>
      </c>
      <c r="D3595" s="16" t="str">
        <f>IFERROR(VLOOKUP(C3595,DATA!#REF!,2,FALSE),"")</f>
        <v/>
      </c>
    </row>
    <row r="3596" spans="3:4" s="237" customFormat="1">
      <c r="C3596" s="16" t="str">
        <f>IFERROR(VLOOKUP(DATA!#REF!,DATA!#REF!,1,FALSE),"")</f>
        <v/>
      </c>
      <c r="D3596" s="16" t="str">
        <f>IFERROR(VLOOKUP(C3596,DATA!#REF!,2,FALSE),"")</f>
        <v/>
      </c>
    </row>
    <row r="3597" spans="3:4" s="237" customFormat="1">
      <c r="C3597" s="16" t="str">
        <f>IFERROR(VLOOKUP(DATA!#REF!,DATA!#REF!,1,FALSE),"")</f>
        <v/>
      </c>
      <c r="D3597" s="16" t="str">
        <f>IFERROR(VLOOKUP(C3597,DATA!#REF!,2,FALSE),"")</f>
        <v/>
      </c>
    </row>
    <row r="3598" spans="3:4" s="237" customFormat="1">
      <c r="C3598" s="16" t="str">
        <f>IFERROR(VLOOKUP(DATA!#REF!,DATA!#REF!,1,FALSE),"")</f>
        <v/>
      </c>
      <c r="D3598" s="16" t="str">
        <f>IFERROR(VLOOKUP(C3598,DATA!#REF!,2,FALSE),"")</f>
        <v/>
      </c>
    </row>
    <row r="3599" spans="3:4" s="237" customFormat="1">
      <c r="C3599" s="16" t="str">
        <f>IFERROR(VLOOKUP(DATA!#REF!,DATA!#REF!,1,FALSE),"")</f>
        <v/>
      </c>
      <c r="D3599" s="16" t="str">
        <f>IFERROR(VLOOKUP(C3599,DATA!#REF!,2,FALSE),"")</f>
        <v/>
      </c>
    </row>
    <row r="3600" spans="3:4" s="237" customFormat="1">
      <c r="C3600" s="16" t="str">
        <f>IFERROR(VLOOKUP(DATA!#REF!,DATA!#REF!,1,FALSE),"")</f>
        <v/>
      </c>
      <c r="D3600" s="16" t="str">
        <f>IFERROR(VLOOKUP(C3600,DATA!#REF!,2,FALSE),"")</f>
        <v/>
      </c>
    </row>
    <row r="3601" spans="3:4" s="237" customFormat="1">
      <c r="C3601" s="16" t="str">
        <f>IFERROR(VLOOKUP(DATA!#REF!,DATA!#REF!,1,FALSE),"")</f>
        <v/>
      </c>
      <c r="D3601" s="16" t="str">
        <f>IFERROR(VLOOKUP(C3601,DATA!#REF!,2,FALSE),"")</f>
        <v/>
      </c>
    </row>
    <row r="3602" spans="3:4" s="237" customFormat="1">
      <c r="C3602" s="16" t="str">
        <f>IFERROR(VLOOKUP(DATA!#REF!,DATA!#REF!,1,FALSE),"")</f>
        <v/>
      </c>
      <c r="D3602" s="16" t="str">
        <f>IFERROR(VLOOKUP(C3602,DATA!#REF!,2,FALSE),"")</f>
        <v/>
      </c>
    </row>
    <row r="3603" spans="3:4" s="237" customFormat="1">
      <c r="C3603" s="16" t="str">
        <f>IFERROR(VLOOKUP(DATA!#REF!,DATA!#REF!,1,FALSE),"")</f>
        <v/>
      </c>
      <c r="D3603" s="16" t="str">
        <f>IFERROR(VLOOKUP(C3603,DATA!#REF!,2,FALSE),"")</f>
        <v/>
      </c>
    </row>
    <row r="3604" spans="3:4" s="237" customFormat="1">
      <c r="C3604" s="16" t="str">
        <f>IFERROR(VLOOKUP(DATA!#REF!,DATA!#REF!,1,FALSE),"")</f>
        <v/>
      </c>
      <c r="D3604" s="16" t="str">
        <f>IFERROR(VLOOKUP(C3604,DATA!#REF!,2,FALSE),"")</f>
        <v/>
      </c>
    </row>
    <row r="3605" spans="3:4" s="237" customFormat="1">
      <c r="C3605" s="16" t="str">
        <f>IFERROR(VLOOKUP(DATA!#REF!,DATA!#REF!,1,FALSE),"")</f>
        <v/>
      </c>
      <c r="D3605" s="16" t="str">
        <f>IFERROR(VLOOKUP(C3605,DATA!#REF!,2,FALSE),"")</f>
        <v/>
      </c>
    </row>
    <row r="3606" spans="3:4" s="237" customFormat="1">
      <c r="C3606" s="16" t="str">
        <f>IFERROR(VLOOKUP(DATA!#REF!,DATA!#REF!,1,FALSE),"")</f>
        <v/>
      </c>
      <c r="D3606" s="16" t="str">
        <f>IFERROR(VLOOKUP(C3606,DATA!#REF!,2,FALSE),"")</f>
        <v/>
      </c>
    </row>
    <row r="3607" spans="3:4" s="237" customFormat="1">
      <c r="C3607" s="16" t="str">
        <f>IFERROR(VLOOKUP(DATA!#REF!,DATA!#REF!,1,FALSE),"")</f>
        <v/>
      </c>
      <c r="D3607" s="16" t="str">
        <f>IFERROR(VLOOKUP(C3607,DATA!#REF!,2,FALSE),"")</f>
        <v/>
      </c>
    </row>
    <row r="3608" spans="3:4" s="237" customFormat="1">
      <c r="C3608" s="16" t="str">
        <f>IFERROR(VLOOKUP(DATA!#REF!,DATA!#REF!,1,FALSE),"")</f>
        <v/>
      </c>
      <c r="D3608" s="16" t="str">
        <f>IFERROR(VLOOKUP(C3608,DATA!#REF!,2,FALSE),"")</f>
        <v/>
      </c>
    </row>
    <row r="3609" spans="3:4" s="237" customFormat="1">
      <c r="C3609" s="16" t="str">
        <f>IFERROR(VLOOKUP(DATA!#REF!,DATA!#REF!,1,FALSE),"")</f>
        <v/>
      </c>
      <c r="D3609" s="16" t="str">
        <f>IFERROR(VLOOKUP(C3609,DATA!#REF!,2,FALSE),"")</f>
        <v/>
      </c>
    </row>
    <row r="3610" spans="3:4" s="237" customFormat="1">
      <c r="C3610" s="16" t="str">
        <f>IFERROR(VLOOKUP(DATA!#REF!,DATA!#REF!,1,FALSE),"")</f>
        <v/>
      </c>
      <c r="D3610" s="16" t="str">
        <f>IFERROR(VLOOKUP(C3610,DATA!#REF!,2,FALSE),"")</f>
        <v/>
      </c>
    </row>
    <row r="3611" spans="3:4" s="237" customFormat="1">
      <c r="C3611" s="16" t="str">
        <f>IFERROR(VLOOKUP(DATA!#REF!,DATA!#REF!,1,FALSE),"")</f>
        <v/>
      </c>
      <c r="D3611" s="16" t="str">
        <f>IFERROR(VLOOKUP(C3611,DATA!#REF!,2,FALSE),"")</f>
        <v/>
      </c>
    </row>
    <row r="3612" spans="3:4" s="237" customFormat="1">
      <c r="C3612" s="16" t="str">
        <f>IFERROR(VLOOKUP(DATA!#REF!,DATA!#REF!,1,FALSE),"")</f>
        <v/>
      </c>
      <c r="D3612" s="16" t="str">
        <f>IFERROR(VLOOKUP(C3612,DATA!#REF!,2,FALSE),"")</f>
        <v/>
      </c>
    </row>
    <row r="3613" spans="3:4" s="237" customFormat="1">
      <c r="C3613" s="16" t="str">
        <f>IFERROR(VLOOKUP(DATA!#REF!,DATA!#REF!,1,FALSE),"")</f>
        <v/>
      </c>
      <c r="D3613" s="16" t="str">
        <f>IFERROR(VLOOKUP(C3613,DATA!#REF!,2,FALSE),"")</f>
        <v/>
      </c>
    </row>
    <row r="3614" spans="3:4" s="237" customFormat="1">
      <c r="C3614" s="16" t="str">
        <f>IFERROR(VLOOKUP(DATA!#REF!,DATA!#REF!,1,FALSE),"")</f>
        <v/>
      </c>
      <c r="D3614" s="16" t="str">
        <f>IFERROR(VLOOKUP(C3614,DATA!#REF!,2,FALSE),"")</f>
        <v/>
      </c>
    </row>
    <row r="3615" spans="3:4" s="237" customFormat="1">
      <c r="C3615" s="16" t="str">
        <f>IFERROR(VLOOKUP(DATA!#REF!,DATA!#REF!,1,FALSE),"")</f>
        <v/>
      </c>
      <c r="D3615" s="16" t="str">
        <f>IFERROR(VLOOKUP(C3615,DATA!#REF!,2,FALSE),"")</f>
        <v/>
      </c>
    </row>
    <row r="3616" spans="3:4" s="237" customFormat="1">
      <c r="C3616" s="16" t="str">
        <f>IFERROR(VLOOKUP(DATA!#REF!,DATA!#REF!,1,FALSE),"")</f>
        <v/>
      </c>
      <c r="D3616" s="16" t="str">
        <f>IFERROR(VLOOKUP(C3616,DATA!#REF!,2,FALSE),"")</f>
        <v/>
      </c>
    </row>
    <row r="3617" spans="3:4" s="237" customFormat="1">
      <c r="C3617" s="16" t="str">
        <f>IFERROR(VLOOKUP(DATA!#REF!,DATA!#REF!,1,FALSE),"")</f>
        <v/>
      </c>
      <c r="D3617" s="16" t="str">
        <f>IFERROR(VLOOKUP(C3617,DATA!#REF!,2,FALSE),"")</f>
        <v/>
      </c>
    </row>
    <row r="3618" spans="3:4" s="237" customFormat="1">
      <c r="C3618" s="16" t="str">
        <f>IFERROR(VLOOKUP(DATA!#REF!,DATA!#REF!,1,FALSE),"")</f>
        <v/>
      </c>
      <c r="D3618" s="16" t="str">
        <f>IFERROR(VLOOKUP(C3618,DATA!#REF!,2,FALSE),"")</f>
        <v/>
      </c>
    </row>
    <row r="3619" spans="3:4" s="237" customFormat="1">
      <c r="C3619" s="16" t="str">
        <f>IFERROR(VLOOKUP(DATA!#REF!,DATA!#REF!,1,FALSE),"")</f>
        <v/>
      </c>
      <c r="D3619" s="16" t="str">
        <f>IFERROR(VLOOKUP(C3619,DATA!#REF!,2,FALSE),"")</f>
        <v/>
      </c>
    </row>
    <row r="3620" spans="3:4" s="237" customFormat="1">
      <c r="C3620" s="16" t="str">
        <f>IFERROR(VLOOKUP(DATA!#REF!,DATA!#REF!,1,FALSE),"")</f>
        <v/>
      </c>
      <c r="D3620" s="16" t="str">
        <f>IFERROR(VLOOKUP(C3620,DATA!#REF!,2,FALSE),"")</f>
        <v/>
      </c>
    </row>
    <row r="3621" spans="3:4" s="237" customFormat="1">
      <c r="C3621" s="16" t="str">
        <f>IFERROR(VLOOKUP(DATA!#REF!,DATA!#REF!,1,FALSE),"")</f>
        <v/>
      </c>
      <c r="D3621" s="16" t="str">
        <f>IFERROR(VLOOKUP(C3621,DATA!#REF!,2,FALSE),"")</f>
        <v/>
      </c>
    </row>
    <row r="3622" spans="3:4" s="237" customFormat="1">
      <c r="C3622" s="16" t="str">
        <f>IFERROR(VLOOKUP(DATA!#REF!,DATA!#REF!,1,FALSE),"")</f>
        <v/>
      </c>
      <c r="D3622" s="16" t="str">
        <f>IFERROR(VLOOKUP(C3622,DATA!#REF!,2,FALSE),"")</f>
        <v/>
      </c>
    </row>
    <row r="3623" spans="3:4" s="237" customFormat="1">
      <c r="C3623" s="16" t="str">
        <f>IFERROR(VLOOKUP(DATA!#REF!,DATA!#REF!,1,FALSE),"")</f>
        <v/>
      </c>
      <c r="D3623" s="16" t="str">
        <f>IFERROR(VLOOKUP(C3623,DATA!#REF!,2,FALSE),"")</f>
        <v/>
      </c>
    </row>
    <row r="3624" spans="3:4" s="237" customFormat="1">
      <c r="C3624" s="16" t="str">
        <f>IFERROR(VLOOKUP(DATA!#REF!,DATA!#REF!,1,FALSE),"")</f>
        <v/>
      </c>
      <c r="D3624" s="16" t="str">
        <f>IFERROR(VLOOKUP(C3624,DATA!#REF!,2,FALSE),"")</f>
        <v/>
      </c>
    </row>
    <row r="3625" spans="3:4" s="237" customFormat="1">
      <c r="C3625" s="16" t="str">
        <f>IFERROR(VLOOKUP(DATA!#REF!,DATA!#REF!,1,FALSE),"")</f>
        <v/>
      </c>
      <c r="D3625" s="16" t="str">
        <f>IFERROR(VLOOKUP(C3625,DATA!#REF!,2,FALSE),"")</f>
        <v/>
      </c>
    </row>
    <row r="3626" spans="3:4" s="237" customFormat="1">
      <c r="C3626" s="16" t="str">
        <f>IFERROR(VLOOKUP(DATA!#REF!,DATA!#REF!,1,FALSE),"")</f>
        <v/>
      </c>
      <c r="D3626" s="16" t="str">
        <f>IFERROR(VLOOKUP(C3626,DATA!#REF!,2,FALSE),"")</f>
        <v/>
      </c>
    </row>
    <row r="3627" spans="3:4" s="237" customFormat="1">
      <c r="C3627" s="16" t="str">
        <f>IFERROR(VLOOKUP(DATA!#REF!,DATA!#REF!,1,FALSE),"")</f>
        <v/>
      </c>
      <c r="D3627" s="16" t="str">
        <f>IFERROR(VLOOKUP(C3627,DATA!#REF!,2,FALSE),"")</f>
        <v/>
      </c>
    </row>
    <row r="3628" spans="3:4" s="237" customFormat="1">
      <c r="C3628" s="16" t="str">
        <f>IFERROR(VLOOKUP(DATA!#REF!,DATA!#REF!,1,FALSE),"")</f>
        <v/>
      </c>
      <c r="D3628" s="16" t="str">
        <f>IFERROR(VLOOKUP(C3628,DATA!#REF!,2,FALSE),"")</f>
        <v/>
      </c>
    </row>
    <row r="3629" spans="3:4" s="237" customFormat="1">
      <c r="C3629" s="16" t="str">
        <f>IFERROR(VLOOKUP(DATA!#REF!,DATA!#REF!,1,FALSE),"")</f>
        <v/>
      </c>
      <c r="D3629" s="16" t="str">
        <f>IFERROR(VLOOKUP(C3629,DATA!#REF!,2,FALSE),"")</f>
        <v/>
      </c>
    </row>
    <row r="3630" spans="3:4" s="237" customFormat="1">
      <c r="C3630" s="16" t="str">
        <f>IFERROR(VLOOKUP(DATA!#REF!,DATA!#REF!,1,FALSE),"")</f>
        <v/>
      </c>
      <c r="D3630" s="16" t="str">
        <f>IFERROR(VLOOKUP(C3630,DATA!#REF!,2,FALSE),"")</f>
        <v/>
      </c>
    </row>
    <row r="3631" spans="3:4" s="237" customFormat="1">
      <c r="C3631" s="16" t="str">
        <f>IFERROR(VLOOKUP(DATA!#REF!,DATA!#REF!,1,FALSE),"")</f>
        <v/>
      </c>
      <c r="D3631" s="16" t="str">
        <f>IFERROR(VLOOKUP(C3631,DATA!#REF!,2,FALSE),"")</f>
        <v/>
      </c>
    </row>
    <row r="3632" spans="3:4" s="237" customFormat="1">
      <c r="C3632" s="16" t="str">
        <f>IFERROR(VLOOKUP(DATA!#REF!,DATA!#REF!,1,FALSE),"")</f>
        <v/>
      </c>
      <c r="D3632" s="16" t="str">
        <f>IFERROR(VLOOKUP(C3632,DATA!#REF!,2,FALSE),"")</f>
        <v/>
      </c>
    </row>
    <row r="3633" spans="3:4" s="237" customFormat="1">
      <c r="C3633" s="16" t="str">
        <f>IFERROR(VLOOKUP(DATA!#REF!,DATA!#REF!,1,FALSE),"")</f>
        <v/>
      </c>
      <c r="D3633" s="16" t="str">
        <f>IFERROR(VLOOKUP(C3633,DATA!#REF!,2,FALSE),"")</f>
        <v/>
      </c>
    </row>
    <row r="3634" spans="3:4" s="237" customFormat="1">
      <c r="C3634" s="16" t="str">
        <f>IFERROR(VLOOKUP(DATA!#REF!,DATA!#REF!,1,FALSE),"")</f>
        <v/>
      </c>
      <c r="D3634" s="16" t="str">
        <f>IFERROR(VLOOKUP(C3634,DATA!#REF!,2,FALSE),"")</f>
        <v/>
      </c>
    </row>
    <row r="3635" spans="3:4" s="237" customFormat="1">
      <c r="C3635" s="16" t="str">
        <f>IFERROR(VLOOKUP(DATA!#REF!,DATA!#REF!,1,FALSE),"")</f>
        <v/>
      </c>
      <c r="D3635" s="16" t="str">
        <f>IFERROR(VLOOKUP(C3635,DATA!#REF!,2,FALSE),"")</f>
        <v/>
      </c>
    </row>
    <row r="3636" spans="3:4" s="237" customFormat="1">
      <c r="C3636" s="16" t="str">
        <f>IFERROR(VLOOKUP(DATA!#REF!,DATA!#REF!,1,FALSE),"")</f>
        <v/>
      </c>
      <c r="D3636" s="16" t="str">
        <f>IFERROR(VLOOKUP(C3636,DATA!#REF!,2,FALSE),"")</f>
        <v/>
      </c>
    </row>
    <row r="3637" spans="3:4" s="237" customFormat="1">
      <c r="C3637" s="16" t="str">
        <f>IFERROR(VLOOKUP(DATA!#REF!,DATA!#REF!,1,FALSE),"")</f>
        <v/>
      </c>
      <c r="D3637" s="16" t="str">
        <f>IFERROR(VLOOKUP(C3637,DATA!#REF!,2,FALSE),"")</f>
        <v/>
      </c>
    </row>
    <row r="3638" spans="3:4" s="237" customFormat="1">
      <c r="C3638" s="16" t="str">
        <f>IFERROR(VLOOKUP(DATA!#REF!,DATA!#REF!,1,FALSE),"")</f>
        <v/>
      </c>
      <c r="D3638" s="16" t="str">
        <f>IFERROR(VLOOKUP(C3638,DATA!#REF!,2,FALSE),"")</f>
        <v/>
      </c>
    </row>
    <row r="3639" spans="3:4" s="237" customFormat="1">
      <c r="C3639" s="16" t="str">
        <f>IFERROR(VLOOKUP(DATA!#REF!,DATA!#REF!,1,FALSE),"")</f>
        <v/>
      </c>
      <c r="D3639" s="16" t="str">
        <f>IFERROR(VLOOKUP(C3639,DATA!#REF!,2,FALSE),"")</f>
        <v/>
      </c>
    </row>
    <row r="3640" spans="3:4" s="237" customFormat="1">
      <c r="C3640" s="16" t="str">
        <f>IFERROR(VLOOKUP(DATA!#REF!,DATA!#REF!,1,FALSE),"")</f>
        <v/>
      </c>
      <c r="D3640" s="16" t="str">
        <f>IFERROR(VLOOKUP(C3640,DATA!#REF!,2,FALSE),"")</f>
        <v/>
      </c>
    </row>
    <row r="3641" spans="3:4" s="237" customFormat="1">
      <c r="C3641" s="16" t="str">
        <f>IFERROR(VLOOKUP(DATA!#REF!,DATA!#REF!,1,FALSE),"")</f>
        <v/>
      </c>
      <c r="D3641" s="16" t="str">
        <f>IFERROR(VLOOKUP(C3641,DATA!#REF!,2,FALSE),"")</f>
        <v/>
      </c>
    </row>
    <row r="3642" spans="3:4" s="237" customFormat="1">
      <c r="C3642" s="16" t="str">
        <f>IFERROR(VLOOKUP(DATA!#REF!,DATA!#REF!,1,FALSE),"")</f>
        <v/>
      </c>
      <c r="D3642" s="16" t="str">
        <f>IFERROR(VLOOKUP(C3642,DATA!#REF!,2,FALSE),"")</f>
        <v/>
      </c>
    </row>
    <row r="3643" spans="3:4" s="237" customFormat="1">
      <c r="C3643" s="16" t="str">
        <f>IFERROR(VLOOKUP(DATA!#REF!,DATA!#REF!,1,FALSE),"")</f>
        <v/>
      </c>
      <c r="D3643" s="16" t="str">
        <f>IFERROR(VLOOKUP(C3643,DATA!#REF!,2,FALSE),"")</f>
        <v/>
      </c>
    </row>
    <row r="3644" spans="3:4" s="237" customFormat="1">
      <c r="C3644" s="16" t="str">
        <f>IFERROR(VLOOKUP(DATA!#REF!,DATA!#REF!,1,FALSE),"")</f>
        <v/>
      </c>
      <c r="D3644" s="16" t="str">
        <f>IFERROR(VLOOKUP(C3644,DATA!#REF!,2,FALSE),"")</f>
        <v/>
      </c>
    </row>
    <row r="3645" spans="3:4" s="237" customFormat="1">
      <c r="C3645" s="16" t="str">
        <f>IFERROR(VLOOKUP(DATA!#REF!,DATA!#REF!,1,FALSE),"")</f>
        <v/>
      </c>
      <c r="D3645" s="16" t="str">
        <f>IFERROR(VLOOKUP(C3645,DATA!#REF!,2,FALSE),"")</f>
        <v/>
      </c>
    </row>
    <row r="3646" spans="3:4" s="237" customFormat="1">
      <c r="C3646" s="16" t="str">
        <f>IFERROR(VLOOKUP(DATA!#REF!,DATA!#REF!,1,FALSE),"")</f>
        <v/>
      </c>
      <c r="D3646" s="16" t="str">
        <f>IFERROR(VLOOKUP(C3646,DATA!#REF!,2,FALSE),"")</f>
        <v/>
      </c>
    </row>
    <row r="3647" spans="3:4" s="237" customFormat="1">
      <c r="C3647" s="16" t="str">
        <f>IFERROR(VLOOKUP(DATA!#REF!,DATA!#REF!,1,FALSE),"")</f>
        <v/>
      </c>
      <c r="D3647" s="16" t="str">
        <f>IFERROR(VLOOKUP(C3647,DATA!#REF!,2,FALSE),"")</f>
        <v/>
      </c>
    </row>
    <row r="3648" spans="3:4" s="237" customFormat="1">
      <c r="C3648" s="16" t="str">
        <f>IFERROR(VLOOKUP(DATA!#REF!,DATA!#REF!,1,FALSE),"")</f>
        <v/>
      </c>
      <c r="D3648" s="16" t="str">
        <f>IFERROR(VLOOKUP(C3648,DATA!#REF!,2,FALSE),"")</f>
        <v/>
      </c>
    </row>
    <row r="3649" spans="3:4" s="237" customFormat="1">
      <c r="C3649" s="16" t="str">
        <f>IFERROR(VLOOKUP(DATA!#REF!,DATA!#REF!,1,FALSE),"")</f>
        <v/>
      </c>
      <c r="D3649" s="16" t="str">
        <f>IFERROR(VLOOKUP(C3649,DATA!#REF!,2,FALSE),"")</f>
        <v/>
      </c>
    </row>
    <row r="3650" spans="3:4" s="237" customFormat="1">
      <c r="C3650" s="16" t="str">
        <f>IFERROR(VLOOKUP(DATA!#REF!,DATA!#REF!,1,FALSE),"")</f>
        <v/>
      </c>
      <c r="D3650" s="16" t="str">
        <f>IFERROR(VLOOKUP(C3650,DATA!#REF!,2,FALSE),"")</f>
        <v/>
      </c>
    </row>
    <row r="3651" spans="3:4" s="237" customFormat="1">
      <c r="C3651" s="16" t="str">
        <f>IFERROR(VLOOKUP(DATA!#REF!,DATA!#REF!,1,FALSE),"")</f>
        <v/>
      </c>
      <c r="D3651" s="16" t="str">
        <f>IFERROR(VLOOKUP(C3651,DATA!#REF!,2,FALSE),"")</f>
        <v/>
      </c>
    </row>
    <row r="3652" spans="3:4" s="237" customFormat="1">
      <c r="C3652" s="16" t="str">
        <f>IFERROR(VLOOKUP(DATA!#REF!,DATA!#REF!,1,FALSE),"")</f>
        <v/>
      </c>
      <c r="D3652" s="16" t="str">
        <f>IFERROR(VLOOKUP(C3652,DATA!#REF!,2,FALSE),"")</f>
        <v/>
      </c>
    </row>
    <row r="3653" spans="3:4" s="237" customFormat="1">
      <c r="C3653" s="16" t="str">
        <f>IFERROR(VLOOKUP(DATA!#REF!,DATA!#REF!,1,FALSE),"")</f>
        <v/>
      </c>
      <c r="D3653" s="16" t="str">
        <f>IFERROR(VLOOKUP(C3653,DATA!#REF!,2,FALSE),"")</f>
        <v/>
      </c>
    </row>
    <row r="3654" spans="3:4" s="237" customFormat="1">
      <c r="C3654" s="16" t="str">
        <f>IFERROR(VLOOKUP(DATA!#REF!,DATA!#REF!,1,FALSE),"")</f>
        <v/>
      </c>
      <c r="D3654" s="16" t="str">
        <f>IFERROR(VLOOKUP(C3654,DATA!#REF!,2,FALSE),"")</f>
        <v/>
      </c>
    </row>
    <row r="3655" spans="3:4" s="237" customFormat="1">
      <c r="C3655" s="16" t="str">
        <f>IFERROR(VLOOKUP(DATA!#REF!,DATA!#REF!,1,FALSE),"")</f>
        <v/>
      </c>
      <c r="D3655" s="16" t="str">
        <f>IFERROR(VLOOKUP(C3655,DATA!#REF!,2,FALSE),"")</f>
        <v/>
      </c>
    </row>
    <row r="3656" spans="3:4" s="237" customFormat="1">
      <c r="C3656" s="16" t="str">
        <f>IFERROR(VLOOKUP(DATA!#REF!,DATA!#REF!,1,FALSE),"")</f>
        <v/>
      </c>
      <c r="D3656" s="16" t="str">
        <f>IFERROR(VLOOKUP(C3656,DATA!#REF!,2,FALSE),"")</f>
        <v/>
      </c>
    </row>
    <row r="3657" spans="3:4" s="237" customFormat="1">
      <c r="C3657" s="16" t="str">
        <f>IFERROR(VLOOKUP(DATA!#REF!,DATA!#REF!,1,FALSE),"")</f>
        <v/>
      </c>
      <c r="D3657" s="16" t="str">
        <f>IFERROR(VLOOKUP(C3657,DATA!#REF!,2,FALSE),"")</f>
        <v/>
      </c>
    </row>
    <row r="3658" spans="3:4" s="237" customFormat="1">
      <c r="C3658" s="16" t="str">
        <f>IFERROR(VLOOKUP(DATA!#REF!,DATA!#REF!,1,FALSE),"")</f>
        <v/>
      </c>
      <c r="D3658" s="16" t="str">
        <f>IFERROR(VLOOKUP(C3658,DATA!#REF!,2,FALSE),"")</f>
        <v/>
      </c>
    </row>
    <row r="3659" spans="3:4" s="237" customFormat="1">
      <c r="C3659" s="16" t="str">
        <f>IFERROR(VLOOKUP(DATA!#REF!,DATA!#REF!,1,FALSE),"")</f>
        <v/>
      </c>
      <c r="D3659" s="16" t="str">
        <f>IFERROR(VLOOKUP(C3659,DATA!#REF!,2,FALSE),"")</f>
        <v/>
      </c>
    </row>
    <row r="3660" spans="3:4" s="237" customFormat="1">
      <c r="C3660" s="16" t="str">
        <f>IFERROR(VLOOKUP(DATA!#REF!,DATA!#REF!,1,FALSE),"")</f>
        <v/>
      </c>
      <c r="D3660" s="16" t="str">
        <f>IFERROR(VLOOKUP(C3660,DATA!#REF!,2,FALSE),"")</f>
        <v/>
      </c>
    </row>
    <row r="3661" spans="3:4" s="237" customFormat="1">
      <c r="C3661" s="16" t="str">
        <f>IFERROR(VLOOKUP(DATA!#REF!,DATA!#REF!,1,FALSE),"")</f>
        <v/>
      </c>
      <c r="D3661" s="16" t="str">
        <f>IFERROR(VLOOKUP(C3661,DATA!#REF!,2,FALSE),"")</f>
        <v/>
      </c>
    </row>
    <row r="3662" spans="3:4" s="237" customFormat="1">
      <c r="C3662" s="16" t="str">
        <f>IFERROR(VLOOKUP(DATA!#REF!,DATA!#REF!,1,FALSE),"")</f>
        <v/>
      </c>
      <c r="D3662" s="16" t="str">
        <f>IFERROR(VLOOKUP(C3662,DATA!#REF!,2,FALSE),"")</f>
        <v/>
      </c>
    </row>
    <row r="3663" spans="3:4" s="237" customFormat="1">
      <c r="C3663" s="16" t="str">
        <f>IFERROR(VLOOKUP(DATA!#REF!,DATA!#REF!,1,FALSE),"")</f>
        <v/>
      </c>
      <c r="D3663" s="16" t="str">
        <f>IFERROR(VLOOKUP(C3663,DATA!#REF!,2,FALSE),"")</f>
        <v/>
      </c>
    </row>
    <row r="3664" spans="3:4" s="237" customFormat="1">
      <c r="C3664" s="16" t="str">
        <f>IFERROR(VLOOKUP(DATA!#REF!,DATA!#REF!,1,FALSE),"")</f>
        <v/>
      </c>
      <c r="D3664" s="16" t="str">
        <f>IFERROR(VLOOKUP(C3664,DATA!#REF!,2,FALSE),"")</f>
        <v/>
      </c>
    </row>
    <row r="3665" spans="3:4" s="237" customFormat="1">
      <c r="C3665" s="16" t="str">
        <f>IFERROR(VLOOKUP(DATA!#REF!,DATA!#REF!,1,FALSE),"")</f>
        <v/>
      </c>
      <c r="D3665" s="16" t="str">
        <f>IFERROR(VLOOKUP(C3665,DATA!#REF!,2,FALSE),"")</f>
        <v/>
      </c>
    </row>
    <row r="3666" spans="3:4" s="237" customFormat="1">
      <c r="C3666" s="16" t="str">
        <f>IFERROR(VLOOKUP(DATA!#REF!,DATA!#REF!,1,FALSE),"")</f>
        <v/>
      </c>
      <c r="D3666" s="16" t="str">
        <f>IFERROR(VLOOKUP(C3666,DATA!#REF!,2,FALSE),"")</f>
        <v/>
      </c>
    </row>
    <row r="3667" spans="3:4" s="237" customFormat="1">
      <c r="C3667" s="16" t="str">
        <f>IFERROR(VLOOKUP(DATA!#REF!,DATA!#REF!,1,FALSE),"")</f>
        <v/>
      </c>
      <c r="D3667" s="16" t="str">
        <f>IFERROR(VLOOKUP(C3667,DATA!#REF!,2,FALSE),"")</f>
        <v/>
      </c>
    </row>
    <row r="3668" spans="3:4" s="237" customFormat="1">
      <c r="C3668" s="16" t="str">
        <f>IFERROR(VLOOKUP(DATA!#REF!,DATA!#REF!,1,FALSE),"")</f>
        <v/>
      </c>
      <c r="D3668" s="16" t="str">
        <f>IFERROR(VLOOKUP(C3668,DATA!#REF!,2,FALSE),"")</f>
        <v/>
      </c>
    </row>
    <row r="3669" spans="3:4" s="237" customFormat="1">
      <c r="C3669" s="16" t="str">
        <f>IFERROR(VLOOKUP(DATA!#REF!,DATA!#REF!,1,FALSE),"")</f>
        <v/>
      </c>
      <c r="D3669" s="16" t="str">
        <f>IFERROR(VLOOKUP(C3669,DATA!#REF!,2,FALSE),"")</f>
        <v/>
      </c>
    </row>
    <row r="3670" spans="3:4" s="237" customFormat="1">
      <c r="C3670" s="16" t="str">
        <f>IFERROR(VLOOKUP(DATA!#REF!,DATA!#REF!,1,FALSE),"")</f>
        <v/>
      </c>
      <c r="D3670" s="16" t="str">
        <f>IFERROR(VLOOKUP(C3670,DATA!#REF!,2,FALSE),"")</f>
        <v/>
      </c>
    </row>
    <row r="3671" spans="3:4" s="237" customFormat="1">
      <c r="C3671" s="16" t="str">
        <f>IFERROR(VLOOKUP(DATA!#REF!,DATA!#REF!,1,FALSE),"")</f>
        <v/>
      </c>
      <c r="D3671" s="16" t="str">
        <f>IFERROR(VLOOKUP(C3671,DATA!#REF!,2,FALSE),"")</f>
        <v/>
      </c>
    </row>
    <row r="3672" spans="3:4" s="237" customFormat="1">
      <c r="C3672" s="16" t="str">
        <f>IFERROR(VLOOKUP(DATA!#REF!,DATA!#REF!,1,FALSE),"")</f>
        <v/>
      </c>
      <c r="D3672" s="16" t="str">
        <f>IFERROR(VLOOKUP(C3672,DATA!#REF!,2,FALSE),"")</f>
        <v/>
      </c>
    </row>
    <row r="3673" spans="3:4" s="237" customFormat="1">
      <c r="C3673" s="16" t="str">
        <f>IFERROR(VLOOKUP(DATA!#REF!,DATA!#REF!,1,FALSE),"")</f>
        <v/>
      </c>
      <c r="D3673" s="16" t="str">
        <f>IFERROR(VLOOKUP(C3673,DATA!#REF!,2,FALSE),"")</f>
        <v/>
      </c>
    </row>
    <row r="3674" spans="3:4" s="237" customFormat="1">
      <c r="C3674" s="16" t="str">
        <f>IFERROR(VLOOKUP(DATA!#REF!,DATA!#REF!,1,FALSE),"")</f>
        <v/>
      </c>
      <c r="D3674" s="16" t="str">
        <f>IFERROR(VLOOKUP(C3674,DATA!#REF!,2,FALSE),"")</f>
        <v/>
      </c>
    </row>
    <row r="3675" spans="3:4" s="237" customFormat="1">
      <c r="C3675" s="16" t="str">
        <f>IFERROR(VLOOKUP(DATA!#REF!,DATA!#REF!,1,FALSE),"")</f>
        <v/>
      </c>
      <c r="D3675" s="16" t="str">
        <f>IFERROR(VLOOKUP(C3675,DATA!#REF!,2,FALSE),"")</f>
        <v/>
      </c>
    </row>
    <row r="3676" spans="3:4" s="237" customFormat="1">
      <c r="C3676" s="16" t="str">
        <f>IFERROR(VLOOKUP(DATA!#REF!,DATA!#REF!,1,FALSE),"")</f>
        <v/>
      </c>
      <c r="D3676" s="16" t="str">
        <f>IFERROR(VLOOKUP(C3676,DATA!#REF!,2,FALSE),"")</f>
        <v/>
      </c>
    </row>
    <row r="3677" spans="3:4" s="237" customFormat="1">
      <c r="C3677" s="16" t="str">
        <f>IFERROR(VLOOKUP(DATA!#REF!,DATA!#REF!,1,FALSE),"")</f>
        <v/>
      </c>
      <c r="D3677" s="16" t="str">
        <f>IFERROR(VLOOKUP(C3677,DATA!#REF!,2,FALSE),"")</f>
        <v/>
      </c>
    </row>
    <row r="3678" spans="3:4" s="237" customFormat="1">
      <c r="C3678" s="16" t="str">
        <f>IFERROR(VLOOKUP(DATA!#REF!,DATA!#REF!,1,FALSE),"")</f>
        <v/>
      </c>
      <c r="D3678" s="16" t="str">
        <f>IFERROR(VLOOKUP(C3678,DATA!#REF!,2,FALSE),"")</f>
        <v/>
      </c>
    </row>
    <row r="3679" spans="3:4" s="237" customFormat="1">
      <c r="C3679" s="16" t="str">
        <f>IFERROR(VLOOKUP(DATA!#REF!,DATA!#REF!,1,FALSE),"")</f>
        <v/>
      </c>
      <c r="D3679" s="16" t="str">
        <f>IFERROR(VLOOKUP(C3679,DATA!#REF!,2,FALSE),"")</f>
        <v/>
      </c>
    </row>
    <row r="3680" spans="3:4" s="237" customFormat="1">
      <c r="C3680" s="16" t="str">
        <f>IFERROR(VLOOKUP(DATA!#REF!,DATA!#REF!,1,FALSE),"")</f>
        <v/>
      </c>
      <c r="D3680" s="16" t="str">
        <f>IFERROR(VLOOKUP(C3680,DATA!#REF!,2,FALSE),"")</f>
        <v/>
      </c>
    </row>
    <row r="3681" spans="3:4" s="237" customFormat="1">
      <c r="C3681" s="16" t="str">
        <f>IFERROR(VLOOKUP(DATA!#REF!,DATA!#REF!,1,FALSE),"")</f>
        <v/>
      </c>
      <c r="D3681" s="16" t="str">
        <f>IFERROR(VLOOKUP(C3681,DATA!#REF!,2,FALSE),"")</f>
        <v/>
      </c>
    </row>
    <row r="3682" spans="3:4" s="237" customFormat="1">
      <c r="C3682" s="16" t="str">
        <f>IFERROR(VLOOKUP(DATA!#REF!,DATA!#REF!,1,FALSE),"")</f>
        <v/>
      </c>
      <c r="D3682" s="16" t="str">
        <f>IFERROR(VLOOKUP(C3682,DATA!#REF!,2,FALSE),"")</f>
        <v/>
      </c>
    </row>
    <row r="3683" spans="3:4" s="237" customFormat="1">
      <c r="C3683" s="16" t="str">
        <f>IFERROR(VLOOKUP(DATA!#REF!,DATA!#REF!,1,FALSE),"")</f>
        <v/>
      </c>
      <c r="D3683" s="16" t="str">
        <f>IFERROR(VLOOKUP(C3683,DATA!#REF!,2,FALSE),"")</f>
        <v/>
      </c>
    </row>
    <row r="3684" spans="3:4" s="237" customFormat="1">
      <c r="C3684" s="16" t="str">
        <f>IFERROR(VLOOKUP(DATA!#REF!,DATA!#REF!,1,FALSE),"")</f>
        <v/>
      </c>
      <c r="D3684" s="16" t="str">
        <f>IFERROR(VLOOKUP(C3684,DATA!#REF!,2,FALSE),"")</f>
        <v/>
      </c>
    </row>
    <row r="3685" spans="3:4" s="237" customFormat="1">
      <c r="C3685" s="16" t="str">
        <f>IFERROR(VLOOKUP(DATA!#REF!,DATA!#REF!,1,FALSE),"")</f>
        <v/>
      </c>
      <c r="D3685" s="16" t="str">
        <f>IFERROR(VLOOKUP(C3685,DATA!#REF!,2,FALSE),"")</f>
        <v/>
      </c>
    </row>
    <row r="3686" spans="3:4" s="237" customFormat="1">
      <c r="C3686" s="16" t="str">
        <f>IFERROR(VLOOKUP(DATA!#REF!,DATA!#REF!,1,FALSE),"")</f>
        <v/>
      </c>
      <c r="D3686" s="16" t="str">
        <f>IFERROR(VLOOKUP(C3686,DATA!#REF!,2,FALSE),"")</f>
        <v/>
      </c>
    </row>
    <row r="3687" spans="3:4" s="237" customFormat="1">
      <c r="C3687" s="16" t="str">
        <f>IFERROR(VLOOKUP(DATA!#REF!,DATA!#REF!,1,FALSE),"")</f>
        <v/>
      </c>
      <c r="D3687" s="16" t="str">
        <f>IFERROR(VLOOKUP(C3687,DATA!#REF!,2,FALSE),"")</f>
        <v/>
      </c>
    </row>
    <row r="3688" spans="3:4" s="237" customFormat="1">
      <c r="C3688" s="16" t="str">
        <f>IFERROR(VLOOKUP(DATA!#REF!,DATA!#REF!,1,FALSE),"")</f>
        <v/>
      </c>
      <c r="D3688" s="16" t="str">
        <f>IFERROR(VLOOKUP(C3688,DATA!#REF!,2,FALSE),"")</f>
        <v/>
      </c>
    </row>
    <row r="3689" spans="3:4" s="237" customFormat="1">
      <c r="C3689" s="16" t="str">
        <f>IFERROR(VLOOKUP(DATA!#REF!,DATA!#REF!,1,FALSE),"")</f>
        <v/>
      </c>
      <c r="D3689" s="16" t="str">
        <f>IFERROR(VLOOKUP(C3689,DATA!#REF!,2,FALSE),"")</f>
        <v/>
      </c>
    </row>
    <row r="3690" spans="3:4" s="237" customFormat="1">
      <c r="C3690" s="16" t="str">
        <f>IFERROR(VLOOKUP(DATA!#REF!,DATA!#REF!,1,FALSE),"")</f>
        <v/>
      </c>
      <c r="D3690" s="16" t="str">
        <f>IFERROR(VLOOKUP(C3690,DATA!#REF!,2,FALSE),"")</f>
        <v/>
      </c>
    </row>
    <row r="3691" spans="3:4" s="237" customFormat="1">
      <c r="C3691" s="16" t="str">
        <f>IFERROR(VLOOKUP(DATA!#REF!,DATA!#REF!,1,FALSE),"")</f>
        <v/>
      </c>
      <c r="D3691" s="16" t="str">
        <f>IFERROR(VLOOKUP(C3691,DATA!#REF!,2,FALSE),"")</f>
        <v/>
      </c>
    </row>
    <row r="3692" spans="3:4" s="237" customFormat="1">
      <c r="C3692" s="16" t="str">
        <f>IFERROR(VLOOKUP(DATA!#REF!,DATA!#REF!,1,FALSE),"")</f>
        <v/>
      </c>
      <c r="D3692" s="16" t="str">
        <f>IFERROR(VLOOKUP(C3692,DATA!#REF!,2,FALSE),"")</f>
        <v/>
      </c>
    </row>
    <row r="3693" spans="3:4" s="237" customFormat="1">
      <c r="C3693" s="16" t="str">
        <f>IFERROR(VLOOKUP(DATA!#REF!,DATA!#REF!,1,FALSE),"")</f>
        <v/>
      </c>
      <c r="D3693" s="16" t="str">
        <f>IFERROR(VLOOKUP(C3693,DATA!#REF!,2,FALSE),"")</f>
        <v/>
      </c>
    </row>
    <row r="3694" spans="3:4" s="237" customFormat="1">
      <c r="C3694" s="16" t="str">
        <f>IFERROR(VLOOKUP(DATA!#REF!,DATA!#REF!,1,FALSE),"")</f>
        <v/>
      </c>
      <c r="D3694" s="16" t="str">
        <f>IFERROR(VLOOKUP(C3694,DATA!#REF!,2,FALSE),"")</f>
        <v/>
      </c>
    </row>
    <row r="3695" spans="3:4" s="237" customFormat="1">
      <c r="C3695" s="16" t="str">
        <f>IFERROR(VLOOKUP(DATA!#REF!,DATA!#REF!,1,FALSE),"")</f>
        <v/>
      </c>
      <c r="D3695" s="16" t="str">
        <f>IFERROR(VLOOKUP(C3695,DATA!#REF!,2,FALSE),"")</f>
        <v/>
      </c>
    </row>
    <row r="3696" spans="3:4" s="237" customFormat="1">
      <c r="C3696" s="16" t="str">
        <f>IFERROR(VLOOKUP(DATA!#REF!,DATA!#REF!,1,FALSE),"")</f>
        <v/>
      </c>
      <c r="D3696" s="16" t="str">
        <f>IFERROR(VLOOKUP(C3696,DATA!#REF!,2,FALSE),"")</f>
        <v/>
      </c>
    </row>
    <row r="3697" spans="3:4" s="237" customFormat="1">
      <c r="C3697" s="16" t="str">
        <f>IFERROR(VLOOKUP(DATA!#REF!,DATA!#REF!,1,FALSE),"")</f>
        <v/>
      </c>
      <c r="D3697" s="16" t="str">
        <f>IFERROR(VLOOKUP(C3697,DATA!#REF!,2,FALSE),"")</f>
        <v/>
      </c>
    </row>
    <row r="3698" spans="3:4" s="237" customFormat="1">
      <c r="C3698" s="16" t="str">
        <f>IFERROR(VLOOKUP(DATA!#REF!,DATA!#REF!,1,FALSE),"")</f>
        <v/>
      </c>
      <c r="D3698" s="16" t="str">
        <f>IFERROR(VLOOKUP(C3698,DATA!#REF!,2,FALSE),"")</f>
        <v/>
      </c>
    </row>
    <row r="3699" spans="3:4" s="237" customFormat="1">
      <c r="C3699" s="16" t="str">
        <f>IFERROR(VLOOKUP(DATA!#REF!,DATA!#REF!,1,FALSE),"")</f>
        <v/>
      </c>
      <c r="D3699" s="16" t="str">
        <f>IFERROR(VLOOKUP(C3699,DATA!#REF!,2,FALSE),"")</f>
        <v/>
      </c>
    </row>
    <row r="3700" spans="3:4" s="237" customFormat="1">
      <c r="C3700" s="16" t="str">
        <f>IFERROR(VLOOKUP(DATA!#REF!,DATA!#REF!,1,FALSE),"")</f>
        <v/>
      </c>
      <c r="D3700" s="16" t="str">
        <f>IFERROR(VLOOKUP(C3700,DATA!#REF!,2,FALSE),"")</f>
        <v/>
      </c>
    </row>
    <row r="3701" spans="3:4" s="237" customFormat="1">
      <c r="C3701" s="16" t="str">
        <f>IFERROR(VLOOKUP(DATA!#REF!,DATA!#REF!,1,FALSE),"")</f>
        <v/>
      </c>
      <c r="D3701" s="16" t="str">
        <f>IFERROR(VLOOKUP(C3701,DATA!#REF!,2,FALSE),"")</f>
        <v/>
      </c>
    </row>
    <row r="3702" spans="3:4" s="237" customFormat="1">
      <c r="C3702" s="16" t="str">
        <f>IFERROR(VLOOKUP(DATA!#REF!,DATA!#REF!,1,FALSE),"")</f>
        <v/>
      </c>
      <c r="D3702" s="16" t="str">
        <f>IFERROR(VLOOKUP(C3702,DATA!#REF!,2,FALSE),"")</f>
        <v/>
      </c>
    </row>
    <row r="3703" spans="3:4" s="237" customFormat="1">
      <c r="C3703" s="16" t="str">
        <f>IFERROR(VLOOKUP(DATA!#REF!,DATA!#REF!,1,FALSE),"")</f>
        <v/>
      </c>
      <c r="D3703" s="16" t="str">
        <f>IFERROR(VLOOKUP(C3703,DATA!#REF!,2,FALSE),"")</f>
        <v/>
      </c>
    </row>
    <row r="3704" spans="3:4" s="237" customFormat="1">
      <c r="C3704" s="16" t="str">
        <f>IFERROR(VLOOKUP(DATA!#REF!,DATA!#REF!,1,FALSE),"")</f>
        <v/>
      </c>
      <c r="D3704" s="16" t="str">
        <f>IFERROR(VLOOKUP(C3704,DATA!#REF!,2,FALSE),"")</f>
        <v/>
      </c>
    </row>
    <row r="3705" spans="3:4" s="237" customFormat="1">
      <c r="C3705" s="16" t="str">
        <f>IFERROR(VLOOKUP(DATA!#REF!,DATA!#REF!,1,FALSE),"")</f>
        <v/>
      </c>
      <c r="D3705" s="16" t="str">
        <f>IFERROR(VLOOKUP(C3705,DATA!#REF!,2,FALSE),"")</f>
        <v/>
      </c>
    </row>
    <row r="3706" spans="3:4" s="237" customFormat="1">
      <c r="C3706" s="16" t="str">
        <f>IFERROR(VLOOKUP(DATA!#REF!,DATA!#REF!,1,FALSE),"")</f>
        <v/>
      </c>
      <c r="D3706" s="16" t="str">
        <f>IFERROR(VLOOKUP(C3706,DATA!#REF!,2,FALSE),"")</f>
        <v/>
      </c>
    </row>
    <row r="3707" spans="3:4" s="237" customFormat="1">
      <c r="C3707" s="16" t="str">
        <f>IFERROR(VLOOKUP(DATA!#REF!,DATA!#REF!,1,FALSE),"")</f>
        <v/>
      </c>
      <c r="D3707" s="16" t="str">
        <f>IFERROR(VLOOKUP(C3707,DATA!#REF!,2,FALSE),"")</f>
        <v/>
      </c>
    </row>
    <row r="3708" spans="3:4" s="237" customFormat="1">
      <c r="C3708" s="16" t="str">
        <f>IFERROR(VLOOKUP(DATA!#REF!,DATA!#REF!,1,FALSE),"")</f>
        <v/>
      </c>
      <c r="D3708" s="16" t="str">
        <f>IFERROR(VLOOKUP(C3708,DATA!#REF!,2,FALSE),"")</f>
        <v/>
      </c>
    </row>
    <row r="3709" spans="3:4" s="237" customFormat="1">
      <c r="C3709" s="16" t="str">
        <f>IFERROR(VLOOKUP(DATA!#REF!,DATA!#REF!,1,FALSE),"")</f>
        <v/>
      </c>
      <c r="D3709" s="16" t="str">
        <f>IFERROR(VLOOKUP(C3709,DATA!#REF!,2,FALSE),"")</f>
        <v/>
      </c>
    </row>
    <row r="3710" spans="3:4" s="237" customFormat="1">
      <c r="C3710" s="16" t="str">
        <f>IFERROR(VLOOKUP(DATA!#REF!,DATA!#REF!,1,FALSE),"")</f>
        <v/>
      </c>
      <c r="D3710" s="16" t="str">
        <f>IFERROR(VLOOKUP(C3710,DATA!#REF!,2,FALSE),"")</f>
        <v/>
      </c>
    </row>
    <row r="3711" spans="3:4" s="237" customFormat="1">
      <c r="C3711" s="16" t="str">
        <f>IFERROR(VLOOKUP(DATA!#REF!,DATA!#REF!,1,FALSE),"")</f>
        <v/>
      </c>
      <c r="D3711" s="16" t="str">
        <f>IFERROR(VLOOKUP(C3711,DATA!#REF!,2,FALSE),"")</f>
        <v/>
      </c>
    </row>
    <row r="3712" spans="3:4" s="237" customFormat="1">
      <c r="C3712" s="16" t="str">
        <f>IFERROR(VLOOKUP(DATA!#REF!,DATA!#REF!,1,FALSE),"")</f>
        <v/>
      </c>
      <c r="D3712" s="16" t="str">
        <f>IFERROR(VLOOKUP(C3712,DATA!#REF!,2,FALSE),"")</f>
        <v/>
      </c>
    </row>
    <row r="3713" spans="3:4" s="237" customFormat="1">
      <c r="C3713" s="16" t="str">
        <f>IFERROR(VLOOKUP(DATA!#REF!,DATA!#REF!,1,FALSE),"")</f>
        <v/>
      </c>
      <c r="D3713" s="16" t="str">
        <f>IFERROR(VLOOKUP(C3713,DATA!#REF!,2,FALSE),"")</f>
        <v/>
      </c>
    </row>
    <row r="3714" spans="3:4" s="237" customFormat="1">
      <c r="C3714" s="16" t="str">
        <f>IFERROR(VLOOKUP(DATA!#REF!,DATA!#REF!,1,FALSE),"")</f>
        <v/>
      </c>
      <c r="D3714" s="16" t="str">
        <f>IFERROR(VLOOKUP(C3714,DATA!#REF!,2,FALSE),"")</f>
        <v/>
      </c>
    </row>
    <row r="3715" spans="3:4" s="237" customFormat="1">
      <c r="C3715" s="16" t="str">
        <f>IFERROR(VLOOKUP(DATA!#REF!,DATA!#REF!,1,FALSE),"")</f>
        <v/>
      </c>
      <c r="D3715" s="16" t="str">
        <f>IFERROR(VLOOKUP(C3715,DATA!#REF!,2,FALSE),"")</f>
        <v/>
      </c>
    </row>
    <row r="3716" spans="3:4" s="237" customFormat="1">
      <c r="C3716" s="16" t="str">
        <f>IFERROR(VLOOKUP(DATA!#REF!,DATA!#REF!,1,FALSE),"")</f>
        <v/>
      </c>
      <c r="D3716" s="16" t="str">
        <f>IFERROR(VLOOKUP(C3716,DATA!#REF!,2,FALSE),"")</f>
        <v/>
      </c>
    </row>
    <row r="3717" spans="3:4" s="237" customFormat="1">
      <c r="C3717" s="16" t="str">
        <f>IFERROR(VLOOKUP(DATA!#REF!,DATA!#REF!,1,FALSE),"")</f>
        <v/>
      </c>
      <c r="D3717" s="16" t="str">
        <f>IFERROR(VLOOKUP(C3717,DATA!#REF!,2,FALSE),"")</f>
        <v/>
      </c>
    </row>
    <row r="3718" spans="3:4" s="237" customFormat="1">
      <c r="C3718" s="16" t="str">
        <f>IFERROR(VLOOKUP(DATA!#REF!,DATA!#REF!,1,FALSE),"")</f>
        <v/>
      </c>
      <c r="D3718" s="16" t="str">
        <f>IFERROR(VLOOKUP(C3718,DATA!#REF!,2,FALSE),"")</f>
        <v/>
      </c>
    </row>
    <row r="3719" spans="3:4" s="237" customFormat="1">
      <c r="C3719" s="16" t="str">
        <f>IFERROR(VLOOKUP(DATA!#REF!,DATA!#REF!,1,FALSE),"")</f>
        <v/>
      </c>
      <c r="D3719" s="16" t="str">
        <f>IFERROR(VLOOKUP(C3719,DATA!#REF!,2,FALSE),"")</f>
        <v/>
      </c>
    </row>
    <row r="3720" spans="3:4" s="237" customFormat="1">
      <c r="C3720" s="16" t="str">
        <f>IFERROR(VLOOKUP(DATA!#REF!,DATA!#REF!,1,FALSE),"")</f>
        <v/>
      </c>
      <c r="D3720" s="16" t="str">
        <f>IFERROR(VLOOKUP(C3720,DATA!#REF!,2,FALSE),"")</f>
        <v/>
      </c>
    </row>
    <row r="3721" spans="3:4" s="237" customFormat="1">
      <c r="C3721" s="16" t="str">
        <f>IFERROR(VLOOKUP(DATA!#REF!,DATA!#REF!,1,FALSE),"")</f>
        <v/>
      </c>
      <c r="D3721" s="16" t="str">
        <f>IFERROR(VLOOKUP(C3721,DATA!#REF!,2,FALSE),"")</f>
        <v/>
      </c>
    </row>
    <row r="3722" spans="3:4" s="237" customFormat="1">
      <c r="C3722" s="16" t="str">
        <f>IFERROR(VLOOKUP(DATA!#REF!,DATA!#REF!,1,FALSE),"")</f>
        <v/>
      </c>
      <c r="D3722" s="16" t="str">
        <f>IFERROR(VLOOKUP(C3722,DATA!#REF!,2,FALSE),"")</f>
        <v/>
      </c>
    </row>
    <row r="3723" spans="3:4" s="237" customFormat="1">
      <c r="C3723" s="16" t="str">
        <f>IFERROR(VLOOKUP(DATA!#REF!,DATA!#REF!,1,FALSE),"")</f>
        <v/>
      </c>
      <c r="D3723" s="16" t="str">
        <f>IFERROR(VLOOKUP(C3723,DATA!#REF!,2,FALSE),"")</f>
        <v/>
      </c>
    </row>
    <row r="3724" spans="3:4" s="237" customFormat="1">
      <c r="C3724" s="16" t="str">
        <f>IFERROR(VLOOKUP(DATA!#REF!,DATA!#REF!,1,FALSE),"")</f>
        <v/>
      </c>
      <c r="D3724" s="16" t="str">
        <f>IFERROR(VLOOKUP(C3724,DATA!#REF!,2,FALSE),"")</f>
        <v/>
      </c>
    </row>
    <row r="3725" spans="3:4" s="237" customFormat="1">
      <c r="C3725" s="16" t="str">
        <f>IFERROR(VLOOKUP(DATA!#REF!,DATA!#REF!,1,FALSE),"")</f>
        <v/>
      </c>
      <c r="D3725" s="16" t="str">
        <f>IFERROR(VLOOKUP(C3725,DATA!#REF!,2,FALSE),"")</f>
        <v/>
      </c>
    </row>
    <row r="3726" spans="3:4" s="237" customFormat="1">
      <c r="C3726" s="16" t="str">
        <f>IFERROR(VLOOKUP(DATA!#REF!,DATA!#REF!,1,FALSE),"")</f>
        <v/>
      </c>
      <c r="D3726" s="16" t="str">
        <f>IFERROR(VLOOKUP(C3726,DATA!#REF!,2,FALSE),"")</f>
        <v/>
      </c>
    </row>
    <row r="3727" spans="3:4" s="237" customFormat="1">
      <c r="C3727" s="16" t="str">
        <f>IFERROR(VLOOKUP(DATA!#REF!,DATA!#REF!,1,FALSE),"")</f>
        <v/>
      </c>
      <c r="D3727" s="16" t="str">
        <f>IFERROR(VLOOKUP(C3727,DATA!#REF!,2,FALSE),"")</f>
        <v/>
      </c>
    </row>
    <row r="3728" spans="3:4" s="237" customFormat="1">
      <c r="C3728" s="16" t="str">
        <f>IFERROR(VLOOKUP(DATA!#REF!,DATA!#REF!,1,FALSE),"")</f>
        <v/>
      </c>
      <c r="D3728" s="16" t="str">
        <f>IFERROR(VLOOKUP(C3728,DATA!#REF!,2,FALSE),"")</f>
        <v/>
      </c>
    </row>
    <row r="3729" spans="3:4" s="237" customFormat="1">
      <c r="C3729" s="16" t="str">
        <f>IFERROR(VLOOKUP(DATA!#REF!,DATA!#REF!,1,FALSE),"")</f>
        <v/>
      </c>
      <c r="D3729" s="16" t="str">
        <f>IFERROR(VLOOKUP(C3729,DATA!#REF!,2,FALSE),"")</f>
        <v/>
      </c>
    </row>
    <row r="3730" spans="3:4" s="237" customFormat="1">
      <c r="C3730" s="16" t="str">
        <f>IFERROR(VLOOKUP(DATA!#REF!,DATA!#REF!,1,FALSE),"")</f>
        <v/>
      </c>
      <c r="D3730" s="16" t="str">
        <f>IFERROR(VLOOKUP(C3730,DATA!#REF!,2,FALSE),"")</f>
        <v/>
      </c>
    </row>
    <row r="3731" spans="3:4" s="237" customFormat="1">
      <c r="C3731" s="16" t="str">
        <f>IFERROR(VLOOKUP(DATA!#REF!,DATA!#REF!,1,FALSE),"")</f>
        <v/>
      </c>
      <c r="D3731" s="16" t="str">
        <f>IFERROR(VLOOKUP(C3731,DATA!#REF!,2,FALSE),"")</f>
        <v/>
      </c>
    </row>
    <row r="3732" spans="3:4" s="237" customFormat="1">
      <c r="C3732" s="16" t="str">
        <f>IFERROR(VLOOKUP(DATA!#REF!,DATA!#REF!,1,FALSE),"")</f>
        <v/>
      </c>
      <c r="D3732" s="16" t="str">
        <f>IFERROR(VLOOKUP(C3732,DATA!#REF!,2,FALSE),"")</f>
        <v/>
      </c>
    </row>
    <row r="3733" spans="3:4" s="237" customFormat="1">
      <c r="C3733" s="16" t="str">
        <f>IFERROR(VLOOKUP(DATA!#REF!,DATA!#REF!,1,FALSE),"")</f>
        <v/>
      </c>
      <c r="D3733" s="16" t="str">
        <f>IFERROR(VLOOKUP(C3733,DATA!#REF!,2,FALSE),"")</f>
        <v/>
      </c>
    </row>
    <row r="3734" spans="3:4" s="237" customFormat="1">
      <c r="C3734" s="16" t="str">
        <f>IFERROR(VLOOKUP(DATA!#REF!,DATA!#REF!,1,FALSE),"")</f>
        <v/>
      </c>
      <c r="D3734" s="16" t="str">
        <f>IFERROR(VLOOKUP(C3734,DATA!#REF!,2,FALSE),"")</f>
        <v/>
      </c>
    </row>
    <row r="3735" spans="3:4" s="237" customFormat="1">
      <c r="C3735" s="16" t="str">
        <f>IFERROR(VLOOKUP(DATA!#REF!,DATA!#REF!,1,FALSE),"")</f>
        <v/>
      </c>
      <c r="D3735" s="16" t="str">
        <f>IFERROR(VLOOKUP(C3735,DATA!#REF!,2,FALSE),"")</f>
        <v/>
      </c>
    </row>
    <row r="3736" spans="3:4" s="237" customFormat="1">
      <c r="C3736" s="16" t="str">
        <f>IFERROR(VLOOKUP(DATA!#REF!,DATA!#REF!,1,FALSE),"")</f>
        <v/>
      </c>
      <c r="D3736" s="16" t="str">
        <f>IFERROR(VLOOKUP(C3736,DATA!#REF!,2,FALSE),"")</f>
        <v/>
      </c>
    </row>
    <row r="3737" spans="3:4" s="237" customFormat="1">
      <c r="C3737" s="16" t="str">
        <f>IFERROR(VLOOKUP(DATA!#REF!,DATA!#REF!,1,FALSE),"")</f>
        <v/>
      </c>
      <c r="D3737" s="16" t="str">
        <f>IFERROR(VLOOKUP(C3737,DATA!#REF!,2,FALSE),"")</f>
        <v/>
      </c>
    </row>
    <row r="3738" spans="3:4" s="237" customFormat="1">
      <c r="C3738" s="16" t="str">
        <f>IFERROR(VLOOKUP(DATA!#REF!,DATA!#REF!,1,FALSE),"")</f>
        <v/>
      </c>
      <c r="D3738" s="16" t="str">
        <f>IFERROR(VLOOKUP(C3738,DATA!#REF!,2,FALSE),"")</f>
        <v/>
      </c>
    </row>
    <row r="3739" spans="3:4" s="237" customFormat="1">
      <c r="C3739" s="16" t="str">
        <f>IFERROR(VLOOKUP(DATA!#REF!,DATA!#REF!,1,FALSE),"")</f>
        <v/>
      </c>
      <c r="D3739" s="16" t="str">
        <f>IFERROR(VLOOKUP(C3739,DATA!#REF!,2,FALSE),"")</f>
        <v/>
      </c>
    </row>
    <row r="3740" spans="3:4" s="237" customFormat="1">
      <c r="C3740" s="16" t="str">
        <f>IFERROR(VLOOKUP(DATA!#REF!,DATA!#REF!,1,FALSE),"")</f>
        <v/>
      </c>
      <c r="D3740" s="16" t="str">
        <f>IFERROR(VLOOKUP(C3740,DATA!#REF!,2,FALSE),"")</f>
        <v/>
      </c>
    </row>
    <row r="3741" spans="3:4" s="237" customFormat="1">
      <c r="C3741" s="16" t="str">
        <f>IFERROR(VLOOKUP(DATA!#REF!,DATA!#REF!,1,FALSE),"")</f>
        <v/>
      </c>
      <c r="D3741" s="16" t="str">
        <f>IFERROR(VLOOKUP(C3741,DATA!#REF!,2,FALSE),"")</f>
        <v/>
      </c>
    </row>
    <row r="3742" spans="3:4" s="237" customFormat="1">
      <c r="C3742" s="16" t="str">
        <f>IFERROR(VLOOKUP(DATA!#REF!,DATA!#REF!,1,FALSE),"")</f>
        <v/>
      </c>
      <c r="D3742" s="16" t="str">
        <f>IFERROR(VLOOKUP(C3742,DATA!#REF!,2,FALSE),"")</f>
        <v/>
      </c>
    </row>
    <row r="3743" spans="3:4" s="237" customFormat="1">
      <c r="C3743" s="16" t="str">
        <f>IFERROR(VLOOKUP(DATA!#REF!,DATA!#REF!,1,FALSE),"")</f>
        <v/>
      </c>
      <c r="D3743" s="16" t="str">
        <f>IFERROR(VLOOKUP(C3743,DATA!#REF!,2,FALSE),"")</f>
        <v/>
      </c>
    </row>
    <row r="3744" spans="3:4" s="237" customFormat="1">
      <c r="C3744" s="16" t="str">
        <f>IFERROR(VLOOKUP(DATA!#REF!,DATA!#REF!,1,FALSE),"")</f>
        <v/>
      </c>
      <c r="D3744" s="16" t="str">
        <f>IFERROR(VLOOKUP(C3744,DATA!#REF!,2,FALSE),"")</f>
        <v/>
      </c>
    </row>
    <row r="3745" spans="3:4" s="237" customFormat="1">
      <c r="C3745" s="16" t="str">
        <f>IFERROR(VLOOKUP(DATA!#REF!,DATA!#REF!,1,FALSE),"")</f>
        <v/>
      </c>
      <c r="D3745" s="16" t="str">
        <f>IFERROR(VLOOKUP(C3745,DATA!#REF!,2,FALSE),"")</f>
        <v/>
      </c>
    </row>
    <row r="3746" spans="3:4" s="237" customFormat="1">
      <c r="C3746" s="16" t="str">
        <f>IFERROR(VLOOKUP(DATA!#REF!,DATA!#REF!,1,FALSE),"")</f>
        <v/>
      </c>
      <c r="D3746" s="16" t="str">
        <f>IFERROR(VLOOKUP(C3746,DATA!#REF!,2,FALSE),"")</f>
        <v/>
      </c>
    </row>
    <row r="3747" spans="3:4" s="237" customFormat="1">
      <c r="C3747" s="16" t="str">
        <f>IFERROR(VLOOKUP(DATA!#REF!,DATA!#REF!,1,FALSE),"")</f>
        <v/>
      </c>
      <c r="D3747" s="16" t="str">
        <f>IFERROR(VLOOKUP(C3747,DATA!#REF!,2,FALSE),"")</f>
        <v/>
      </c>
    </row>
    <row r="3748" spans="3:4" s="237" customFormat="1">
      <c r="C3748" s="16" t="str">
        <f>IFERROR(VLOOKUP(DATA!#REF!,DATA!#REF!,1,FALSE),"")</f>
        <v/>
      </c>
      <c r="D3748" s="16" t="str">
        <f>IFERROR(VLOOKUP(C3748,DATA!#REF!,2,FALSE),"")</f>
        <v/>
      </c>
    </row>
    <row r="3749" spans="3:4" s="237" customFormat="1">
      <c r="C3749" s="16" t="str">
        <f>IFERROR(VLOOKUP(DATA!#REF!,DATA!#REF!,1,FALSE),"")</f>
        <v/>
      </c>
      <c r="D3749" s="16" t="str">
        <f>IFERROR(VLOOKUP(C3749,DATA!#REF!,2,FALSE),"")</f>
        <v/>
      </c>
    </row>
    <row r="3750" spans="3:4" s="237" customFormat="1">
      <c r="C3750" s="16" t="str">
        <f>IFERROR(VLOOKUP(DATA!#REF!,DATA!#REF!,1,FALSE),"")</f>
        <v/>
      </c>
      <c r="D3750" s="16" t="str">
        <f>IFERROR(VLOOKUP(C3750,DATA!#REF!,2,FALSE),"")</f>
        <v/>
      </c>
    </row>
    <row r="3751" spans="3:4" s="237" customFormat="1">
      <c r="C3751" s="16" t="str">
        <f>IFERROR(VLOOKUP(DATA!#REF!,DATA!#REF!,1,FALSE),"")</f>
        <v/>
      </c>
      <c r="D3751" s="16" t="str">
        <f>IFERROR(VLOOKUP(C3751,DATA!#REF!,2,FALSE),"")</f>
        <v/>
      </c>
    </row>
    <row r="3752" spans="3:4" s="237" customFormat="1">
      <c r="C3752" s="16" t="str">
        <f>IFERROR(VLOOKUP(DATA!#REF!,DATA!#REF!,1,FALSE),"")</f>
        <v/>
      </c>
      <c r="D3752" s="16" t="str">
        <f>IFERROR(VLOOKUP(C3752,DATA!#REF!,2,FALSE),"")</f>
        <v/>
      </c>
    </row>
    <row r="3753" spans="3:4" s="237" customFormat="1">
      <c r="C3753" s="16" t="str">
        <f>IFERROR(VLOOKUP(DATA!#REF!,DATA!#REF!,1,FALSE),"")</f>
        <v/>
      </c>
      <c r="D3753" s="16" t="str">
        <f>IFERROR(VLOOKUP(C3753,DATA!#REF!,2,FALSE),"")</f>
        <v/>
      </c>
    </row>
    <row r="3754" spans="3:4" s="237" customFormat="1">
      <c r="C3754" s="16" t="str">
        <f>IFERROR(VLOOKUP(DATA!#REF!,DATA!#REF!,1,FALSE),"")</f>
        <v/>
      </c>
      <c r="D3754" s="16" t="str">
        <f>IFERROR(VLOOKUP(C3754,DATA!#REF!,2,FALSE),"")</f>
        <v/>
      </c>
    </row>
    <row r="3755" spans="3:4" s="237" customFormat="1">
      <c r="C3755" s="16" t="str">
        <f>IFERROR(VLOOKUP(DATA!#REF!,DATA!#REF!,1,FALSE),"")</f>
        <v/>
      </c>
      <c r="D3755" s="16" t="str">
        <f>IFERROR(VLOOKUP(C3755,DATA!#REF!,2,FALSE),"")</f>
        <v/>
      </c>
    </row>
    <row r="3756" spans="3:4" s="237" customFormat="1">
      <c r="C3756" s="16" t="str">
        <f>IFERROR(VLOOKUP(DATA!#REF!,DATA!#REF!,1,FALSE),"")</f>
        <v/>
      </c>
      <c r="D3756" s="16" t="str">
        <f>IFERROR(VLOOKUP(C3756,DATA!#REF!,2,FALSE),"")</f>
        <v/>
      </c>
    </row>
    <row r="3757" spans="3:4" s="237" customFormat="1">
      <c r="C3757" s="16" t="str">
        <f>IFERROR(VLOOKUP(DATA!#REF!,DATA!#REF!,1,FALSE),"")</f>
        <v/>
      </c>
      <c r="D3757" s="16" t="str">
        <f>IFERROR(VLOOKUP(C3757,DATA!#REF!,2,FALSE),"")</f>
        <v/>
      </c>
    </row>
    <row r="3758" spans="3:4" s="237" customFormat="1">
      <c r="C3758" s="16" t="str">
        <f>IFERROR(VLOOKUP(DATA!#REF!,DATA!#REF!,1,FALSE),"")</f>
        <v/>
      </c>
      <c r="D3758" s="16" t="str">
        <f>IFERROR(VLOOKUP(C3758,DATA!#REF!,2,FALSE),"")</f>
        <v/>
      </c>
    </row>
    <row r="3759" spans="3:4" s="237" customFormat="1">
      <c r="C3759" s="16" t="str">
        <f>IFERROR(VLOOKUP(DATA!#REF!,DATA!#REF!,1,FALSE),"")</f>
        <v/>
      </c>
      <c r="D3759" s="16" t="str">
        <f>IFERROR(VLOOKUP(C3759,DATA!#REF!,2,FALSE),"")</f>
        <v/>
      </c>
    </row>
    <row r="3760" spans="3:4" s="237" customFormat="1">
      <c r="C3760" s="16" t="str">
        <f>IFERROR(VLOOKUP(DATA!#REF!,DATA!#REF!,1,FALSE),"")</f>
        <v/>
      </c>
      <c r="D3760" s="16" t="str">
        <f>IFERROR(VLOOKUP(C3760,DATA!#REF!,2,FALSE),"")</f>
        <v/>
      </c>
    </row>
    <row r="3761" spans="3:4" s="237" customFormat="1">
      <c r="C3761" s="16" t="str">
        <f>IFERROR(VLOOKUP(DATA!#REF!,DATA!#REF!,1,FALSE),"")</f>
        <v/>
      </c>
      <c r="D3761" s="16" t="str">
        <f>IFERROR(VLOOKUP(C3761,DATA!#REF!,2,FALSE),"")</f>
        <v/>
      </c>
    </row>
    <row r="3762" spans="3:4" s="237" customFormat="1">
      <c r="C3762" s="16" t="str">
        <f>IFERROR(VLOOKUP(DATA!#REF!,DATA!#REF!,1,FALSE),"")</f>
        <v/>
      </c>
      <c r="D3762" s="16" t="str">
        <f>IFERROR(VLOOKUP(C3762,DATA!#REF!,2,FALSE),"")</f>
        <v/>
      </c>
    </row>
    <row r="3763" spans="3:4" s="237" customFormat="1">
      <c r="C3763" s="16" t="str">
        <f>IFERROR(VLOOKUP(DATA!#REF!,DATA!#REF!,1,FALSE),"")</f>
        <v/>
      </c>
      <c r="D3763" s="16" t="str">
        <f>IFERROR(VLOOKUP(C3763,DATA!#REF!,2,FALSE),"")</f>
        <v/>
      </c>
    </row>
    <row r="3764" spans="3:4" s="237" customFormat="1">
      <c r="C3764" s="16" t="str">
        <f>IFERROR(VLOOKUP(DATA!#REF!,DATA!#REF!,1,FALSE),"")</f>
        <v/>
      </c>
      <c r="D3764" s="16" t="str">
        <f>IFERROR(VLOOKUP(C3764,DATA!#REF!,2,FALSE),"")</f>
        <v/>
      </c>
    </row>
    <row r="3765" spans="3:4" s="237" customFormat="1">
      <c r="C3765" s="16" t="str">
        <f>IFERROR(VLOOKUP(DATA!#REF!,DATA!#REF!,1,FALSE),"")</f>
        <v/>
      </c>
      <c r="D3765" s="16" t="str">
        <f>IFERROR(VLOOKUP(C3765,DATA!#REF!,2,FALSE),"")</f>
        <v/>
      </c>
    </row>
    <row r="3766" spans="3:4" s="237" customFormat="1">
      <c r="C3766" s="16" t="str">
        <f>IFERROR(VLOOKUP(DATA!#REF!,DATA!#REF!,1,FALSE),"")</f>
        <v/>
      </c>
      <c r="D3766" s="16" t="str">
        <f>IFERROR(VLOOKUP(C3766,DATA!#REF!,2,FALSE),"")</f>
        <v/>
      </c>
    </row>
    <row r="3767" spans="3:4" s="237" customFormat="1">
      <c r="C3767" s="16" t="str">
        <f>IFERROR(VLOOKUP(DATA!#REF!,DATA!#REF!,1,FALSE),"")</f>
        <v/>
      </c>
      <c r="D3767" s="16" t="str">
        <f>IFERROR(VLOOKUP(C3767,DATA!#REF!,2,FALSE),"")</f>
        <v/>
      </c>
    </row>
    <row r="3768" spans="3:4" s="237" customFormat="1">
      <c r="C3768" s="16" t="str">
        <f>IFERROR(VLOOKUP(DATA!#REF!,DATA!#REF!,1,FALSE),"")</f>
        <v/>
      </c>
      <c r="D3768" s="16" t="str">
        <f>IFERROR(VLOOKUP(C3768,DATA!#REF!,2,FALSE),"")</f>
        <v/>
      </c>
    </row>
    <row r="3769" spans="3:4" s="237" customFormat="1">
      <c r="C3769" s="16" t="str">
        <f>IFERROR(VLOOKUP(DATA!#REF!,DATA!#REF!,1,FALSE),"")</f>
        <v/>
      </c>
      <c r="D3769" s="16" t="str">
        <f>IFERROR(VLOOKUP(C3769,DATA!#REF!,2,FALSE),"")</f>
        <v/>
      </c>
    </row>
    <row r="3770" spans="3:4" s="237" customFormat="1">
      <c r="C3770" s="16" t="str">
        <f>IFERROR(VLOOKUP(DATA!#REF!,DATA!#REF!,1,FALSE),"")</f>
        <v/>
      </c>
      <c r="D3770" s="16" t="str">
        <f>IFERROR(VLOOKUP(C3770,DATA!#REF!,2,FALSE),"")</f>
        <v/>
      </c>
    </row>
    <row r="3771" spans="3:4" s="237" customFormat="1">
      <c r="C3771" s="16" t="str">
        <f>IFERROR(VLOOKUP(DATA!#REF!,DATA!#REF!,1,FALSE),"")</f>
        <v/>
      </c>
      <c r="D3771" s="16" t="str">
        <f>IFERROR(VLOOKUP(C3771,DATA!#REF!,2,FALSE),"")</f>
        <v/>
      </c>
    </row>
    <row r="3772" spans="3:4" s="237" customFormat="1">
      <c r="C3772" s="16" t="str">
        <f>IFERROR(VLOOKUP(DATA!#REF!,DATA!#REF!,1,FALSE),"")</f>
        <v/>
      </c>
      <c r="D3772" s="16" t="str">
        <f>IFERROR(VLOOKUP(C3772,DATA!#REF!,2,FALSE),"")</f>
        <v/>
      </c>
    </row>
    <row r="3773" spans="3:4" s="237" customFormat="1">
      <c r="C3773" s="16" t="str">
        <f>IFERROR(VLOOKUP(DATA!#REF!,DATA!#REF!,1,FALSE),"")</f>
        <v/>
      </c>
      <c r="D3773" s="16" t="str">
        <f>IFERROR(VLOOKUP(C3773,DATA!#REF!,2,FALSE),"")</f>
        <v/>
      </c>
    </row>
    <row r="3774" spans="3:4" s="237" customFormat="1">
      <c r="C3774" s="16" t="str">
        <f>IFERROR(VLOOKUP(DATA!#REF!,DATA!#REF!,1,FALSE),"")</f>
        <v/>
      </c>
      <c r="D3774" s="16" t="str">
        <f>IFERROR(VLOOKUP(C3774,DATA!#REF!,2,FALSE),"")</f>
        <v/>
      </c>
    </row>
    <row r="3775" spans="3:4" s="237" customFormat="1">
      <c r="C3775" s="16" t="str">
        <f>IFERROR(VLOOKUP(DATA!#REF!,DATA!#REF!,1,FALSE),"")</f>
        <v/>
      </c>
      <c r="D3775" s="16" t="str">
        <f>IFERROR(VLOOKUP(C3775,DATA!#REF!,2,FALSE),"")</f>
        <v/>
      </c>
    </row>
    <row r="3776" spans="3:4" s="237" customFormat="1">
      <c r="C3776" s="16" t="str">
        <f>IFERROR(VLOOKUP(DATA!#REF!,DATA!#REF!,1,FALSE),"")</f>
        <v/>
      </c>
      <c r="D3776" s="16" t="str">
        <f>IFERROR(VLOOKUP(C3776,DATA!#REF!,2,FALSE),"")</f>
        <v/>
      </c>
    </row>
    <row r="3777" spans="3:4" s="237" customFormat="1">
      <c r="C3777" s="16" t="str">
        <f>IFERROR(VLOOKUP(DATA!#REF!,DATA!#REF!,1,FALSE),"")</f>
        <v/>
      </c>
      <c r="D3777" s="16" t="str">
        <f>IFERROR(VLOOKUP(C3777,DATA!#REF!,2,FALSE),"")</f>
        <v/>
      </c>
    </row>
    <row r="3778" spans="3:4" s="237" customFormat="1">
      <c r="C3778" s="16" t="str">
        <f>IFERROR(VLOOKUP(DATA!#REF!,DATA!#REF!,1,FALSE),"")</f>
        <v/>
      </c>
      <c r="D3778" s="16" t="str">
        <f>IFERROR(VLOOKUP(C3778,DATA!#REF!,2,FALSE),"")</f>
        <v/>
      </c>
    </row>
    <row r="3779" spans="3:4" s="237" customFormat="1">
      <c r="C3779" s="16" t="str">
        <f>IFERROR(VLOOKUP(DATA!#REF!,DATA!#REF!,1,FALSE),"")</f>
        <v/>
      </c>
      <c r="D3779" s="16" t="str">
        <f>IFERROR(VLOOKUP(C3779,DATA!#REF!,2,FALSE),"")</f>
        <v/>
      </c>
    </row>
    <row r="3780" spans="3:4" s="237" customFormat="1">
      <c r="C3780" s="16" t="str">
        <f>IFERROR(VLOOKUP(DATA!#REF!,DATA!#REF!,1,FALSE),"")</f>
        <v/>
      </c>
      <c r="D3780" s="16" t="str">
        <f>IFERROR(VLOOKUP(C3780,DATA!#REF!,2,FALSE),"")</f>
        <v/>
      </c>
    </row>
    <row r="3781" spans="3:4" s="237" customFormat="1">
      <c r="C3781" s="16" t="str">
        <f>IFERROR(VLOOKUP(DATA!#REF!,DATA!#REF!,1,FALSE),"")</f>
        <v/>
      </c>
      <c r="D3781" s="16" t="str">
        <f>IFERROR(VLOOKUP(C3781,DATA!#REF!,2,FALSE),"")</f>
        <v/>
      </c>
    </row>
    <row r="3782" spans="3:4" s="237" customFormat="1">
      <c r="C3782" s="16" t="str">
        <f>IFERROR(VLOOKUP(DATA!#REF!,DATA!#REF!,1,FALSE),"")</f>
        <v/>
      </c>
      <c r="D3782" s="16" t="str">
        <f>IFERROR(VLOOKUP(C3782,DATA!#REF!,2,FALSE),"")</f>
        <v/>
      </c>
    </row>
    <row r="3783" spans="3:4" s="237" customFormat="1">
      <c r="C3783" s="16" t="str">
        <f>IFERROR(VLOOKUP(DATA!#REF!,DATA!#REF!,1,FALSE),"")</f>
        <v/>
      </c>
      <c r="D3783" s="16" t="str">
        <f>IFERROR(VLOOKUP(C3783,DATA!#REF!,2,FALSE),"")</f>
        <v/>
      </c>
    </row>
    <row r="3784" spans="3:4" s="237" customFormat="1">
      <c r="C3784" s="16" t="str">
        <f>IFERROR(VLOOKUP(DATA!#REF!,DATA!#REF!,1,FALSE),"")</f>
        <v/>
      </c>
      <c r="D3784" s="16" t="str">
        <f>IFERROR(VLOOKUP(C3784,DATA!#REF!,2,FALSE),"")</f>
        <v/>
      </c>
    </row>
    <row r="3785" spans="3:4" s="237" customFormat="1">
      <c r="C3785" s="16" t="str">
        <f>IFERROR(VLOOKUP(DATA!#REF!,DATA!#REF!,1,FALSE),"")</f>
        <v/>
      </c>
      <c r="D3785" s="16" t="str">
        <f>IFERROR(VLOOKUP(C3785,DATA!#REF!,2,FALSE),"")</f>
        <v/>
      </c>
    </row>
    <row r="3786" spans="3:4" s="237" customFormat="1">
      <c r="C3786" s="16" t="str">
        <f>IFERROR(VLOOKUP(DATA!#REF!,DATA!#REF!,1,FALSE),"")</f>
        <v/>
      </c>
      <c r="D3786" s="16" t="str">
        <f>IFERROR(VLOOKUP(C3786,DATA!#REF!,2,FALSE),"")</f>
        <v/>
      </c>
    </row>
    <row r="3787" spans="3:4" s="237" customFormat="1">
      <c r="C3787" s="16" t="str">
        <f>IFERROR(VLOOKUP(DATA!#REF!,DATA!#REF!,1,FALSE),"")</f>
        <v/>
      </c>
      <c r="D3787" s="16" t="str">
        <f>IFERROR(VLOOKUP(C3787,DATA!#REF!,2,FALSE),"")</f>
        <v/>
      </c>
    </row>
    <row r="3788" spans="3:4" s="237" customFormat="1">
      <c r="C3788" s="16" t="str">
        <f>IFERROR(VLOOKUP(DATA!#REF!,DATA!#REF!,1,FALSE),"")</f>
        <v/>
      </c>
      <c r="D3788" s="16" t="str">
        <f>IFERROR(VLOOKUP(C3788,DATA!#REF!,2,FALSE),"")</f>
        <v/>
      </c>
    </row>
    <row r="3789" spans="3:4" s="237" customFormat="1">
      <c r="C3789" s="16" t="str">
        <f>IFERROR(VLOOKUP(DATA!#REF!,DATA!#REF!,1,FALSE),"")</f>
        <v/>
      </c>
      <c r="D3789" s="16" t="str">
        <f>IFERROR(VLOOKUP(C3789,DATA!#REF!,2,FALSE),"")</f>
        <v/>
      </c>
    </row>
    <row r="3790" spans="3:4" s="237" customFormat="1">
      <c r="C3790" s="16" t="str">
        <f>IFERROR(VLOOKUP(DATA!#REF!,DATA!#REF!,1,FALSE),"")</f>
        <v/>
      </c>
      <c r="D3790" s="16" t="str">
        <f>IFERROR(VLOOKUP(C3790,DATA!#REF!,2,FALSE),"")</f>
        <v/>
      </c>
    </row>
    <row r="3791" spans="3:4" s="237" customFormat="1">
      <c r="C3791" s="16" t="str">
        <f>IFERROR(VLOOKUP(DATA!#REF!,DATA!#REF!,1,FALSE),"")</f>
        <v/>
      </c>
      <c r="D3791" s="16" t="str">
        <f>IFERROR(VLOOKUP(C3791,DATA!#REF!,2,FALSE),"")</f>
        <v/>
      </c>
    </row>
    <row r="3792" spans="3:4" s="237" customFormat="1">
      <c r="C3792" s="16" t="str">
        <f>IFERROR(VLOOKUP(DATA!#REF!,DATA!#REF!,1,FALSE),"")</f>
        <v/>
      </c>
      <c r="D3792" s="16" t="str">
        <f>IFERROR(VLOOKUP(C3792,DATA!#REF!,2,FALSE),"")</f>
        <v/>
      </c>
    </row>
    <row r="3793" spans="3:4" s="237" customFormat="1">
      <c r="C3793" s="16" t="str">
        <f>IFERROR(VLOOKUP(DATA!#REF!,DATA!#REF!,1,FALSE),"")</f>
        <v/>
      </c>
      <c r="D3793" s="16" t="str">
        <f>IFERROR(VLOOKUP(C3793,DATA!#REF!,2,FALSE),"")</f>
        <v/>
      </c>
    </row>
    <row r="3794" spans="3:4" s="237" customFormat="1">
      <c r="C3794" s="16" t="str">
        <f>IFERROR(VLOOKUP(DATA!#REF!,DATA!#REF!,1,FALSE),"")</f>
        <v/>
      </c>
      <c r="D3794" s="16" t="str">
        <f>IFERROR(VLOOKUP(C3794,DATA!#REF!,2,FALSE),"")</f>
        <v/>
      </c>
    </row>
    <row r="3795" spans="3:4" s="237" customFormat="1">
      <c r="C3795" s="16" t="str">
        <f>IFERROR(VLOOKUP(DATA!#REF!,DATA!#REF!,1,FALSE),"")</f>
        <v/>
      </c>
      <c r="D3795" s="16" t="str">
        <f>IFERROR(VLOOKUP(C3795,DATA!#REF!,2,FALSE),"")</f>
        <v/>
      </c>
    </row>
    <row r="3796" spans="3:4" s="237" customFormat="1">
      <c r="C3796" s="16" t="str">
        <f>IFERROR(VLOOKUP(DATA!#REF!,DATA!#REF!,1,FALSE),"")</f>
        <v/>
      </c>
      <c r="D3796" s="16" t="str">
        <f>IFERROR(VLOOKUP(C3796,DATA!#REF!,2,FALSE),"")</f>
        <v/>
      </c>
    </row>
    <row r="3797" spans="3:4" s="237" customFormat="1">
      <c r="C3797" s="16" t="str">
        <f>IFERROR(VLOOKUP(DATA!#REF!,DATA!#REF!,1,FALSE),"")</f>
        <v/>
      </c>
      <c r="D3797" s="16" t="str">
        <f>IFERROR(VLOOKUP(C3797,DATA!#REF!,2,FALSE),"")</f>
        <v/>
      </c>
    </row>
    <row r="3798" spans="3:4" s="237" customFormat="1">
      <c r="C3798" s="16" t="str">
        <f>IFERROR(VLOOKUP(DATA!#REF!,DATA!#REF!,1,FALSE),"")</f>
        <v/>
      </c>
      <c r="D3798" s="16" t="str">
        <f>IFERROR(VLOOKUP(C3798,DATA!#REF!,2,FALSE),"")</f>
        <v/>
      </c>
    </row>
    <row r="3799" spans="3:4" s="237" customFormat="1">
      <c r="C3799" s="16" t="str">
        <f>IFERROR(VLOOKUP(DATA!#REF!,DATA!#REF!,1,FALSE),"")</f>
        <v/>
      </c>
      <c r="D3799" s="16" t="str">
        <f>IFERROR(VLOOKUP(C3799,DATA!#REF!,2,FALSE),"")</f>
        <v/>
      </c>
    </row>
    <row r="3800" spans="3:4" s="237" customFormat="1">
      <c r="C3800" s="16" t="str">
        <f>IFERROR(VLOOKUP(DATA!#REF!,DATA!#REF!,1,FALSE),"")</f>
        <v/>
      </c>
      <c r="D3800" s="16" t="str">
        <f>IFERROR(VLOOKUP(C3800,DATA!#REF!,2,FALSE),"")</f>
        <v/>
      </c>
    </row>
    <row r="3801" spans="3:4" s="237" customFormat="1">
      <c r="C3801" s="16" t="str">
        <f>IFERROR(VLOOKUP(DATA!#REF!,DATA!#REF!,1,FALSE),"")</f>
        <v/>
      </c>
      <c r="D3801" s="16" t="str">
        <f>IFERROR(VLOOKUP(C3801,DATA!#REF!,2,FALSE),"")</f>
        <v/>
      </c>
    </row>
    <row r="3802" spans="3:4" s="237" customFormat="1">
      <c r="C3802" s="16" t="str">
        <f>IFERROR(VLOOKUP(DATA!#REF!,DATA!#REF!,1,FALSE),"")</f>
        <v/>
      </c>
      <c r="D3802" s="16" t="str">
        <f>IFERROR(VLOOKUP(C3802,DATA!#REF!,2,FALSE),"")</f>
        <v/>
      </c>
    </row>
    <row r="3803" spans="3:4" s="237" customFormat="1">
      <c r="C3803" s="16" t="str">
        <f>IFERROR(VLOOKUP(DATA!#REF!,DATA!#REF!,1,FALSE),"")</f>
        <v/>
      </c>
      <c r="D3803" s="16" t="str">
        <f>IFERROR(VLOOKUP(C3803,DATA!#REF!,2,FALSE),"")</f>
        <v/>
      </c>
    </row>
    <row r="3804" spans="3:4" s="237" customFormat="1">
      <c r="C3804" s="16" t="str">
        <f>IFERROR(VLOOKUP(DATA!#REF!,DATA!#REF!,1,FALSE),"")</f>
        <v/>
      </c>
      <c r="D3804" s="16" t="str">
        <f>IFERROR(VLOOKUP(C3804,DATA!#REF!,2,FALSE),"")</f>
        <v/>
      </c>
    </row>
    <row r="3805" spans="3:4" s="237" customFormat="1">
      <c r="C3805" s="16" t="str">
        <f>IFERROR(VLOOKUP(DATA!#REF!,DATA!#REF!,1,FALSE),"")</f>
        <v/>
      </c>
      <c r="D3805" s="16" t="str">
        <f>IFERROR(VLOOKUP(C3805,DATA!#REF!,2,FALSE),"")</f>
        <v/>
      </c>
    </row>
    <row r="3806" spans="3:4" s="237" customFormat="1">
      <c r="C3806" s="16" t="str">
        <f>IFERROR(VLOOKUP(DATA!#REF!,DATA!#REF!,1,FALSE),"")</f>
        <v/>
      </c>
      <c r="D3806" s="16" t="str">
        <f>IFERROR(VLOOKUP(C3806,DATA!#REF!,2,FALSE),"")</f>
        <v/>
      </c>
    </row>
    <row r="3807" spans="3:4" s="237" customFormat="1">
      <c r="C3807" s="16" t="str">
        <f>IFERROR(VLOOKUP(DATA!#REF!,DATA!#REF!,1,FALSE),"")</f>
        <v/>
      </c>
      <c r="D3807" s="16" t="str">
        <f>IFERROR(VLOOKUP(C3807,DATA!#REF!,2,FALSE),"")</f>
        <v/>
      </c>
    </row>
    <row r="3808" spans="3:4" s="237" customFormat="1">
      <c r="C3808" s="16" t="str">
        <f>IFERROR(VLOOKUP(DATA!#REF!,DATA!#REF!,1,FALSE),"")</f>
        <v/>
      </c>
      <c r="D3808" s="16" t="str">
        <f>IFERROR(VLOOKUP(C3808,DATA!#REF!,2,FALSE),"")</f>
        <v/>
      </c>
    </row>
    <row r="3809" spans="3:4" s="237" customFormat="1">
      <c r="C3809" s="16" t="str">
        <f>IFERROR(VLOOKUP(DATA!#REF!,DATA!#REF!,1,FALSE),"")</f>
        <v/>
      </c>
      <c r="D3809" s="16" t="str">
        <f>IFERROR(VLOOKUP(C3809,DATA!#REF!,2,FALSE),"")</f>
        <v/>
      </c>
    </row>
    <row r="3810" spans="3:4" s="237" customFormat="1">
      <c r="C3810" s="16" t="str">
        <f>IFERROR(VLOOKUP(DATA!#REF!,DATA!#REF!,1,FALSE),"")</f>
        <v/>
      </c>
      <c r="D3810" s="16" t="str">
        <f>IFERROR(VLOOKUP(C3810,DATA!#REF!,2,FALSE),"")</f>
        <v/>
      </c>
    </row>
    <row r="3811" spans="3:4" s="237" customFormat="1">
      <c r="C3811" s="16" t="str">
        <f>IFERROR(VLOOKUP(DATA!#REF!,DATA!#REF!,1,FALSE),"")</f>
        <v/>
      </c>
      <c r="D3811" s="16" t="str">
        <f>IFERROR(VLOOKUP(C3811,DATA!#REF!,2,FALSE),"")</f>
        <v/>
      </c>
    </row>
    <row r="3812" spans="3:4" s="237" customFormat="1">
      <c r="C3812" s="16" t="str">
        <f>IFERROR(VLOOKUP(DATA!#REF!,DATA!#REF!,1,FALSE),"")</f>
        <v/>
      </c>
      <c r="D3812" s="16" t="str">
        <f>IFERROR(VLOOKUP(C3812,DATA!#REF!,2,FALSE),"")</f>
        <v/>
      </c>
    </row>
    <row r="3813" spans="3:4" s="237" customFormat="1">
      <c r="C3813" s="16" t="str">
        <f>IFERROR(VLOOKUP(DATA!#REF!,DATA!#REF!,1,FALSE),"")</f>
        <v/>
      </c>
      <c r="D3813" s="16" t="str">
        <f>IFERROR(VLOOKUP(C3813,DATA!#REF!,2,FALSE),"")</f>
        <v/>
      </c>
    </row>
    <row r="3814" spans="3:4" s="237" customFormat="1">
      <c r="C3814" s="16" t="str">
        <f>IFERROR(VLOOKUP(DATA!#REF!,DATA!#REF!,1,FALSE),"")</f>
        <v/>
      </c>
      <c r="D3814" s="16" t="str">
        <f>IFERROR(VLOOKUP(C3814,DATA!#REF!,2,FALSE),"")</f>
        <v/>
      </c>
    </row>
    <row r="3815" spans="3:4" s="237" customFormat="1">
      <c r="C3815" s="16" t="str">
        <f>IFERROR(VLOOKUP(DATA!#REF!,DATA!#REF!,1,FALSE),"")</f>
        <v/>
      </c>
      <c r="D3815" s="16" t="str">
        <f>IFERROR(VLOOKUP(C3815,DATA!#REF!,2,FALSE),"")</f>
        <v/>
      </c>
    </row>
    <row r="3816" spans="3:4" s="237" customFormat="1">
      <c r="C3816" s="16" t="str">
        <f>IFERROR(VLOOKUP(DATA!#REF!,DATA!#REF!,1,FALSE),"")</f>
        <v/>
      </c>
      <c r="D3816" s="16" t="str">
        <f>IFERROR(VLOOKUP(C3816,DATA!#REF!,2,FALSE),"")</f>
        <v/>
      </c>
    </row>
    <row r="3817" spans="3:4" s="237" customFormat="1">
      <c r="C3817" s="16" t="str">
        <f>IFERROR(VLOOKUP(DATA!#REF!,DATA!#REF!,1,FALSE),"")</f>
        <v/>
      </c>
      <c r="D3817" s="16" t="str">
        <f>IFERROR(VLOOKUP(C3817,DATA!#REF!,2,FALSE),"")</f>
        <v/>
      </c>
    </row>
    <row r="3818" spans="3:4" s="237" customFormat="1">
      <c r="C3818" s="16" t="str">
        <f>IFERROR(VLOOKUP(DATA!#REF!,DATA!#REF!,1,FALSE),"")</f>
        <v/>
      </c>
      <c r="D3818" s="16" t="str">
        <f>IFERROR(VLOOKUP(C3818,DATA!#REF!,2,FALSE),"")</f>
        <v/>
      </c>
    </row>
    <row r="3819" spans="3:4" s="237" customFormat="1">
      <c r="C3819" s="16" t="str">
        <f>IFERROR(VLOOKUP(DATA!#REF!,DATA!#REF!,1,FALSE),"")</f>
        <v/>
      </c>
      <c r="D3819" s="16" t="str">
        <f>IFERROR(VLOOKUP(C3819,DATA!#REF!,2,FALSE),"")</f>
        <v/>
      </c>
    </row>
    <row r="3820" spans="3:4" s="237" customFormat="1">
      <c r="C3820" s="16" t="str">
        <f>IFERROR(VLOOKUP(DATA!#REF!,DATA!#REF!,1,FALSE),"")</f>
        <v/>
      </c>
      <c r="D3820" s="16" t="str">
        <f>IFERROR(VLOOKUP(C3820,DATA!#REF!,2,FALSE),"")</f>
        <v/>
      </c>
    </row>
    <row r="3821" spans="3:4" s="237" customFormat="1">
      <c r="C3821" s="16" t="str">
        <f>IFERROR(VLOOKUP(DATA!#REF!,DATA!#REF!,1,FALSE),"")</f>
        <v/>
      </c>
      <c r="D3821" s="16" t="str">
        <f>IFERROR(VLOOKUP(C3821,DATA!#REF!,2,FALSE),"")</f>
        <v/>
      </c>
    </row>
    <row r="3822" spans="3:4" s="237" customFormat="1">
      <c r="C3822" s="16" t="str">
        <f>IFERROR(VLOOKUP(DATA!#REF!,DATA!#REF!,1,FALSE),"")</f>
        <v/>
      </c>
      <c r="D3822" s="16" t="str">
        <f>IFERROR(VLOOKUP(C3822,DATA!#REF!,2,FALSE),"")</f>
        <v/>
      </c>
    </row>
    <row r="3823" spans="3:4" s="237" customFormat="1">
      <c r="C3823" s="16" t="str">
        <f>IFERROR(VLOOKUP(DATA!#REF!,DATA!#REF!,1,FALSE),"")</f>
        <v/>
      </c>
      <c r="D3823" s="16" t="str">
        <f>IFERROR(VLOOKUP(C3823,DATA!#REF!,2,FALSE),"")</f>
        <v/>
      </c>
    </row>
    <row r="3824" spans="3:4" s="237" customFormat="1">
      <c r="C3824" s="16" t="str">
        <f>IFERROR(VLOOKUP(DATA!#REF!,DATA!#REF!,1,FALSE),"")</f>
        <v/>
      </c>
      <c r="D3824" s="16" t="str">
        <f>IFERROR(VLOOKUP(C3824,DATA!#REF!,2,FALSE),"")</f>
        <v/>
      </c>
    </row>
    <row r="3825" spans="3:4" s="237" customFormat="1">
      <c r="C3825" s="16" t="str">
        <f>IFERROR(VLOOKUP(DATA!#REF!,DATA!#REF!,1,FALSE),"")</f>
        <v/>
      </c>
      <c r="D3825" s="16" t="str">
        <f>IFERROR(VLOOKUP(C3825,DATA!#REF!,2,FALSE),"")</f>
        <v/>
      </c>
    </row>
    <row r="3826" spans="3:4" s="237" customFormat="1">
      <c r="C3826" s="16" t="str">
        <f>IFERROR(VLOOKUP(DATA!#REF!,DATA!#REF!,1,FALSE),"")</f>
        <v/>
      </c>
      <c r="D3826" s="16" t="str">
        <f>IFERROR(VLOOKUP(C3826,DATA!#REF!,2,FALSE),"")</f>
        <v/>
      </c>
    </row>
    <row r="3827" spans="3:4" s="237" customFormat="1">
      <c r="C3827" s="16" t="str">
        <f>IFERROR(VLOOKUP(DATA!#REF!,DATA!#REF!,1,FALSE),"")</f>
        <v/>
      </c>
      <c r="D3827" s="16" t="str">
        <f>IFERROR(VLOOKUP(C3827,DATA!#REF!,2,FALSE),"")</f>
        <v/>
      </c>
    </row>
    <row r="3828" spans="3:4" s="237" customFormat="1">
      <c r="C3828" s="16" t="str">
        <f>IFERROR(VLOOKUP(DATA!#REF!,DATA!#REF!,1,FALSE),"")</f>
        <v/>
      </c>
      <c r="D3828" s="16" t="str">
        <f>IFERROR(VLOOKUP(C3828,DATA!#REF!,2,FALSE),"")</f>
        <v/>
      </c>
    </row>
    <row r="3829" spans="3:4" s="237" customFormat="1">
      <c r="C3829" s="16" t="str">
        <f>IFERROR(VLOOKUP(DATA!#REF!,DATA!#REF!,1,FALSE),"")</f>
        <v/>
      </c>
      <c r="D3829" s="16" t="str">
        <f>IFERROR(VLOOKUP(C3829,DATA!#REF!,2,FALSE),"")</f>
        <v/>
      </c>
    </row>
    <row r="3830" spans="3:4" s="237" customFormat="1">
      <c r="C3830" s="16" t="str">
        <f>IFERROR(VLOOKUP(DATA!#REF!,DATA!#REF!,1,FALSE),"")</f>
        <v/>
      </c>
      <c r="D3830" s="16" t="str">
        <f>IFERROR(VLOOKUP(C3830,DATA!#REF!,2,FALSE),"")</f>
        <v/>
      </c>
    </row>
    <row r="3831" spans="3:4" s="237" customFormat="1">
      <c r="C3831" s="16" t="str">
        <f>IFERROR(VLOOKUP(DATA!#REF!,DATA!#REF!,1,FALSE),"")</f>
        <v/>
      </c>
      <c r="D3831" s="16" t="str">
        <f>IFERROR(VLOOKUP(C3831,DATA!#REF!,2,FALSE),"")</f>
        <v/>
      </c>
    </row>
    <row r="3832" spans="3:4" s="237" customFormat="1">
      <c r="C3832" s="16" t="str">
        <f>IFERROR(VLOOKUP(DATA!#REF!,DATA!#REF!,1,FALSE),"")</f>
        <v/>
      </c>
      <c r="D3832" s="16" t="str">
        <f>IFERROR(VLOOKUP(C3832,DATA!#REF!,2,FALSE),"")</f>
        <v/>
      </c>
    </row>
    <row r="3833" spans="3:4" s="237" customFormat="1">
      <c r="C3833" s="16" t="str">
        <f>IFERROR(VLOOKUP(DATA!#REF!,DATA!#REF!,1,FALSE),"")</f>
        <v/>
      </c>
      <c r="D3833" s="16" t="str">
        <f>IFERROR(VLOOKUP(C3833,DATA!#REF!,2,FALSE),"")</f>
        <v/>
      </c>
    </row>
    <row r="3834" spans="3:4" s="237" customFormat="1">
      <c r="C3834" s="16" t="str">
        <f>IFERROR(VLOOKUP(DATA!#REF!,DATA!#REF!,1,FALSE),"")</f>
        <v/>
      </c>
      <c r="D3834" s="16" t="str">
        <f>IFERROR(VLOOKUP(C3834,DATA!#REF!,2,FALSE),"")</f>
        <v/>
      </c>
    </row>
    <row r="3835" spans="3:4" s="237" customFormat="1">
      <c r="C3835" s="16" t="str">
        <f>IFERROR(VLOOKUP(DATA!#REF!,DATA!#REF!,1,FALSE),"")</f>
        <v/>
      </c>
      <c r="D3835" s="16" t="str">
        <f>IFERROR(VLOOKUP(C3835,DATA!#REF!,2,FALSE),"")</f>
        <v/>
      </c>
    </row>
    <row r="3836" spans="3:4" s="237" customFormat="1">
      <c r="C3836" s="16" t="str">
        <f>IFERROR(VLOOKUP(DATA!#REF!,DATA!#REF!,1,FALSE),"")</f>
        <v/>
      </c>
      <c r="D3836" s="16" t="str">
        <f>IFERROR(VLOOKUP(C3836,DATA!#REF!,2,FALSE),"")</f>
        <v/>
      </c>
    </row>
    <row r="3837" spans="3:4" s="237" customFormat="1">
      <c r="C3837" s="16" t="str">
        <f>IFERROR(VLOOKUP(DATA!#REF!,DATA!#REF!,1,FALSE),"")</f>
        <v/>
      </c>
      <c r="D3837" s="16" t="str">
        <f>IFERROR(VLOOKUP(C3837,DATA!#REF!,2,FALSE),"")</f>
        <v/>
      </c>
    </row>
    <row r="3838" spans="3:4" s="237" customFormat="1">
      <c r="C3838" s="16" t="str">
        <f>IFERROR(VLOOKUP(DATA!#REF!,DATA!#REF!,1,FALSE),"")</f>
        <v/>
      </c>
      <c r="D3838" s="16" t="str">
        <f>IFERROR(VLOOKUP(C3838,DATA!#REF!,2,FALSE),"")</f>
        <v/>
      </c>
    </row>
    <row r="3839" spans="3:4" s="237" customFormat="1">
      <c r="C3839" s="16" t="str">
        <f>IFERROR(VLOOKUP(DATA!#REF!,DATA!#REF!,1,FALSE),"")</f>
        <v/>
      </c>
      <c r="D3839" s="16" t="str">
        <f>IFERROR(VLOOKUP(C3839,DATA!#REF!,2,FALSE),"")</f>
        <v/>
      </c>
    </row>
    <row r="3840" spans="3:4" s="237" customFormat="1">
      <c r="C3840" s="16" t="str">
        <f>IFERROR(VLOOKUP(DATA!#REF!,DATA!#REF!,1,FALSE),"")</f>
        <v/>
      </c>
      <c r="D3840" s="16" t="str">
        <f>IFERROR(VLOOKUP(C3840,DATA!#REF!,2,FALSE),"")</f>
        <v/>
      </c>
    </row>
    <row r="3841" spans="3:4" s="237" customFormat="1">
      <c r="C3841" s="16" t="str">
        <f>IFERROR(VLOOKUP(DATA!#REF!,DATA!#REF!,1,FALSE),"")</f>
        <v/>
      </c>
      <c r="D3841" s="16" t="str">
        <f>IFERROR(VLOOKUP(C3841,DATA!#REF!,2,FALSE),"")</f>
        <v/>
      </c>
    </row>
    <row r="3842" spans="3:4" s="237" customFormat="1">
      <c r="C3842" s="16" t="str">
        <f>IFERROR(VLOOKUP(DATA!#REF!,DATA!#REF!,1,FALSE),"")</f>
        <v/>
      </c>
      <c r="D3842" s="16" t="str">
        <f>IFERROR(VLOOKUP(C3842,DATA!#REF!,2,FALSE),"")</f>
        <v/>
      </c>
    </row>
    <row r="3843" spans="3:4" s="237" customFormat="1">
      <c r="C3843" s="16" t="str">
        <f>IFERROR(VLOOKUP(DATA!#REF!,DATA!#REF!,1,FALSE),"")</f>
        <v/>
      </c>
      <c r="D3843" s="16" t="str">
        <f>IFERROR(VLOOKUP(C3843,DATA!#REF!,2,FALSE),"")</f>
        <v/>
      </c>
    </row>
    <row r="3844" spans="3:4" s="237" customFormat="1">
      <c r="C3844" s="16" t="str">
        <f>IFERROR(VLOOKUP(DATA!#REF!,DATA!#REF!,1,FALSE),"")</f>
        <v/>
      </c>
      <c r="D3844" s="16" t="str">
        <f>IFERROR(VLOOKUP(C3844,DATA!#REF!,2,FALSE),"")</f>
        <v/>
      </c>
    </row>
    <row r="3845" spans="3:4" s="237" customFormat="1">
      <c r="C3845" s="16" t="str">
        <f>IFERROR(VLOOKUP(DATA!#REF!,DATA!#REF!,1,FALSE),"")</f>
        <v/>
      </c>
      <c r="D3845" s="16" t="str">
        <f>IFERROR(VLOOKUP(C3845,DATA!#REF!,2,FALSE),"")</f>
        <v/>
      </c>
    </row>
    <row r="3846" spans="3:4" s="237" customFormat="1">
      <c r="C3846" s="16" t="str">
        <f>IFERROR(VLOOKUP(DATA!#REF!,DATA!#REF!,1,FALSE),"")</f>
        <v/>
      </c>
      <c r="D3846" s="16" t="str">
        <f>IFERROR(VLOOKUP(C3846,DATA!#REF!,2,FALSE),"")</f>
        <v/>
      </c>
    </row>
    <row r="3847" spans="3:4" s="237" customFormat="1">
      <c r="C3847" s="16" t="str">
        <f>IFERROR(VLOOKUP(DATA!#REF!,DATA!#REF!,1,FALSE),"")</f>
        <v/>
      </c>
      <c r="D3847" s="16" t="str">
        <f>IFERROR(VLOOKUP(C3847,DATA!#REF!,2,FALSE),"")</f>
        <v/>
      </c>
    </row>
    <row r="3848" spans="3:4" s="237" customFormat="1">
      <c r="C3848" s="16" t="str">
        <f>IFERROR(VLOOKUP(DATA!#REF!,DATA!#REF!,1,FALSE),"")</f>
        <v/>
      </c>
      <c r="D3848" s="16" t="str">
        <f>IFERROR(VLOOKUP(C3848,DATA!#REF!,2,FALSE),"")</f>
        <v/>
      </c>
    </row>
    <row r="3849" spans="3:4" s="237" customFormat="1">
      <c r="C3849" s="16" t="str">
        <f>IFERROR(VLOOKUP(DATA!#REF!,DATA!#REF!,1,FALSE),"")</f>
        <v/>
      </c>
      <c r="D3849" s="16" t="str">
        <f>IFERROR(VLOOKUP(C3849,DATA!#REF!,2,FALSE),"")</f>
        <v/>
      </c>
    </row>
    <row r="3850" spans="3:4" s="237" customFormat="1">
      <c r="C3850" s="16" t="str">
        <f>IFERROR(VLOOKUP(DATA!#REF!,DATA!#REF!,1,FALSE),"")</f>
        <v/>
      </c>
      <c r="D3850" s="16" t="str">
        <f>IFERROR(VLOOKUP(C3850,DATA!#REF!,2,FALSE),"")</f>
        <v/>
      </c>
    </row>
    <row r="3851" spans="3:4" s="237" customFormat="1">
      <c r="C3851" s="16" t="str">
        <f>IFERROR(VLOOKUP(DATA!#REF!,DATA!#REF!,1,FALSE),"")</f>
        <v/>
      </c>
      <c r="D3851" s="16" t="str">
        <f>IFERROR(VLOOKUP(C3851,DATA!#REF!,2,FALSE),"")</f>
        <v/>
      </c>
    </row>
    <row r="3852" spans="3:4" s="237" customFormat="1">
      <c r="C3852" s="16" t="str">
        <f>IFERROR(VLOOKUP(DATA!#REF!,DATA!#REF!,1,FALSE),"")</f>
        <v/>
      </c>
      <c r="D3852" s="16" t="str">
        <f>IFERROR(VLOOKUP(C3852,DATA!#REF!,2,FALSE),"")</f>
        <v/>
      </c>
    </row>
    <row r="3853" spans="3:4" s="237" customFormat="1">
      <c r="C3853" s="16" t="str">
        <f>IFERROR(VLOOKUP(DATA!#REF!,DATA!#REF!,1,FALSE),"")</f>
        <v/>
      </c>
      <c r="D3853" s="16" t="str">
        <f>IFERROR(VLOOKUP(C3853,DATA!#REF!,2,FALSE),"")</f>
        <v/>
      </c>
    </row>
    <row r="3854" spans="3:4" s="237" customFormat="1">
      <c r="C3854" s="16" t="str">
        <f>IFERROR(VLOOKUP(DATA!#REF!,DATA!#REF!,1,FALSE),"")</f>
        <v/>
      </c>
      <c r="D3854" s="16" t="str">
        <f>IFERROR(VLOOKUP(C3854,DATA!#REF!,2,FALSE),"")</f>
        <v/>
      </c>
    </row>
    <row r="3855" spans="3:4" s="237" customFormat="1">
      <c r="C3855" s="16" t="str">
        <f>IFERROR(VLOOKUP(DATA!#REF!,DATA!#REF!,1,FALSE),"")</f>
        <v/>
      </c>
      <c r="D3855" s="16" t="str">
        <f>IFERROR(VLOOKUP(C3855,DATA!#REF!,2,FALSE),"")</f>
        <v/>
      </c>
    </row>
    <row r="3856" spans="3:4" s="237" customFormat="1">
      <c r="C3856" s="16" t="str">
        <f>IFERROR(VLOOKUP(DATA!#REF!,DATA!#REF!,1,FALSE),"")</f>
        <v/>
      </c>
      <c r="D3856" s="16" t="str">
        <f>IFERROR(VLOOKUP(C3856,DATA!#REF!,2,FALSE),"")</f>
        <v/>
      </c>
    </row>
    <row r="3857" spans="3:4" s="237" customFormat="1">
      <c r="C3857" s="16" t="str">
        <f>IFERROR(VLOOKUP(DATA!#REF!,DATA!#REF!,1,FALSE),"")</f>
        <v/>
      </c>
      <c r="D3857" s="16" t="str">
        <f>IFERROR(VLOOKUP(C3857,DATA!#REF!,2,FALSE),"")</f>
        <v/>
      </c>
    </row>
    <row r="3858" spans="3:4" s="237" customFormat="1">
      <c r="C3858" s="16" t="str">
        <f>IFERROR(VLOOKUP(DATA!#REF!,DATA!#REF!,1,FALSE),"")</f>
        <v/>
      </c>
      <c r="D3858" s="16" t="str">
        <f>IFERROR(VLOOKUP(C3858,DATA!#REF!,2,FALSE),"")</f>
        <v/>
      </c>
    </row>
    <row r="3859" spans="3:4" s="237" customFormat="1">
      <c r="C3859" s="16" t="str">
        <f>IFERROR(VLOOKUP(DATA!#REF!,DATA!#REF!,1,FALSE),"")</f>
        <v/>
      </c>
      <c r="D3859" s="16" t="str">
        <f>IFERROR(VLOOKUP(C3859,DATA!#REF!,2,FALSE),"")</f>
        <v/>
      </c>
    </row>
    <row r="3860" spans="3:4" s="237" customFormat="1">
      <c r="C3860" s="16" t="str">
        <f>IFERROR(VLOOKUP(DATA!#REF!,DATA!#REF!,1,FALSE),"")</f>
        <v/>
      </c>
      <c r="D3860" s="16" t="str">
        <f>IFERROR(VLOOKUP(C3860,DATA!#REF!,2,FALSE),"")</f>
        <v/>
      </c>
    </row>
    <row r="3861" spans="3:4" s="237" customFormat="1">
      <c r="C3861" s="16" t="str">
        <f>IFERROR(VLOOKUP(DATA!#REF!,DATA!#REF!,1,FALSE),"")</f>
        <v/>
      </c>
      <c r="D3861" s="16" t="str">
        <f>IFERROR(VLOOKUP(C3861,DATA!#REF!,2,FALSE),"")</f>
        <v/>
      </c>
    </row>
    <row r="3862" spans="3:4" s="237" customFormat="1">
      <c r="C3862" s="16" t="str">
        <f>IFERROR(VLOOKUP(DATA!#REF!,DATA!#REF!,1,FALSE),"")</f>
        <v/>
      </c>
      <c r="D3862" s="16" t="str">
        <f>IFERROR(VLOOKUP(C3862,DATA!#REF!,2,FALSE),"")</f>
        <v/>
      </c>
    </row>
    <row r="3863" spans="3:4" s="237" customFormat="1">
      <c r="C3863" s="16" t="str">
        <f>IFERROR(VLOOKUP(DATA!#REF!,DATA!#REF!,1,FALSE),"")</f>
        <v/>
      </c>
      <c r="D3863" s="16" t="str">
        <f>IFERROR(VLOOKUP(C3863,DATA!#REF!,2,FALSE),"")</f>
        <v/>
      </c>
    </row>
    <row r="3864" spans="3:4" s="237" customFormat="1">
      <c r="C3864" s="16" t="str">
        <f>IFERROR(VLOOKUP(DATA!#REF!,DATA!#REF!,1,FALSE),"")</f>
        <v/>
      </c>
      <c r="D3864" s="16" t="str">
        <f>IFERROR(VLOOKUP(C3864,DATA!#REF!,2,FALSE),"")</f>
        <v/>
      </c>
    </row>
    <row r="3865" spans="3:4" s="237" customFormat="1">
      <c r="C3865" s="16" t="str">
        <f>IFERROR(VLOOKUP(DATA!#REF!,DATA!#REF!,1,FALSE),"")</f>
        <v/>
      </c>
      <c r="D3865" s="16" t="str">
        <f>IFERROR(VLOOKUP(C3865,DATA!#REF!,2,FALSE),"")</f>
        <v/>
      </c>
    </row>
    <row r="3866" spans="3:4" s="237" customFormat="1">
      <c r="C3866" s="16" t="str">
        <f>IFERROR(VLOOKUP(DATA!#REF!,DATA!#REF!,1,FALSE),"")</f>
        <v/>
      </c>
      <c r="D3866" s="16" t="str">
        <f>IFERROR(VLOOKUP(C3866,DATA!#REF!,2,FALSE),"")</f>
        <v/>
      </c>
    </row>
    <row r="3867" spans="3:4" s="237" customFormat="1">
      <c r="C3867" s="16" t="str">
        <f>IFERROR(VLOOKUP(DATA!#REF!,DATA!#REF!,1,FALSE),"")</f>
        <v/>
      </c>
      <c r="D3867" s="16" t="str">
        <f>IFERROR(VLOOKUP(C3867,DATA!#REF!,2,FALSE),"")</f>
        <v/>
      </c>
    </row>
    <row r="3868" spans="3:4" s="237" customFormat="1">
      <c r="C3868" s="16" t="str">
        <f>IFERROR(VLOOKUP(DATA!#REF!,DATA!#REF!,1,FALSE),"")</f>
        <v/>
      </c>
      <c r="D3868" s="16" t="str">
        <f>IFERROR(VLOOKUP(C3868,DATA!#REF!,2,FALSE),"")</f>
        <v/>
      </c>
    </row>
    <row r="3869" spans="3:4" s="237" customFormat="1">
      <c r="C3869" s="16" t="str">
        <f>IFERROR(VLOOKUP(DATA!#REF!,DATA!#REF!,1,FALSE),"")</f>
        <v/>
      </c>
      <c r="D3869" s="16" t="str">
        <f>IFERROR(VLOOKUP(C3869,DATA!#REF!,2,FALSE),"")</f>
        <v/>
      </c>
    </row>
    <row r="3870" spans="3:4" s="237" customFormat="1">
      <c r="C3870" s="16" t="str">
        <f>IFERROR(VLOOKUP(DATA!#REF!,DATA!#REF!,1,FALSE),"")</f>
        <v/>
      </c>
      <c r="D3870" s="16" t="str">
        <f>IFERROR(VLOOKUP(C3870,DATA!#REF!,2,FALSE),"")</f>
        <v/>
      </c>
    </row>
    <row r="3871" spans="3:4" s="237" customFormat="1">
      <c r="C3871" s="16" t="str">
        <f>IFERROR(VLOOKUP(DATA!#REF!,DATA!#REF!,1,FALSE),"")</f>
        <v/>
      </c>
      <c r="D3871" s="16" t="str">
        <f>IFERROR(VLOOKUP(C3871,DATA!#REF!,2,FALSE),"")</f>
        <v/>
      </c>
    </row>
    <row r="3872" spans="3:4" s="237" customFormat="1">
      <c r="C3872" s="16" t="str">
        <f>IFERROR(VLOOKUP(DATA!#REF!,DATA!#REF!,1,FALSE),"")</f>
        <v/>
      </c>
      <c r="D3872" s="16" t="str">
        <f>IFERROR(VLOOKUP(C3872,DATA!#REF!,2,FALSE),"")</f>
        <v/>
      </c>
    </row>
    <row r="3873" spans="3:4" s="237" customFormat="1">
      <c r="C3873" s="16" t="str">
        <f>IFERROR(VLOOKUP(DATA!#REF!,DATA!#REF!,1,FALSE),"")</f>
        <v/>
      </c>
      <c r="D3873" s="16" t="str">
        <f>IFERROR(VLOOKUP(C3873,DATA!#REF!,2,FALSE),"")</f>
        <v/>
      </c>
    </row>
    <row r="3874" spans="3:4" s="237" customFormat="1">
      <c r="C3874" s="16" t="str">
        <f>IFERROR(VLOOKUP(DATA!#REF!,DATA!#REF!,1,FALSE),"")</f>
        <v/>
      </c>
      <c r="D3874" s="16" t="str">
        <f>IFERROR(VLOOKUP(C3874,DATA!#REF!,2,FALSE),"")</f>
        <v/>
      </c>
    </row>
    <row r="3875" spans="3:4" s="237" customFormat="1">
      <c r="C3875" s="16" t="str">
        <f>IFERROR(VLOOKUP(DATA!#REF!,DATA!#REF!,1,FALSE),"")</f>
        <v/>
      </c>
      <c r="D3875" s="16" t="str">
        <f>IFERROR(VLOOKUP(C3875,DATA!#REF!,2,FALSE),"")</f>
        <v/>
      </c>
    </row>
    <row r="3876" spans="3:4" s="237" customFormat="1">
      <c r="C3876" s="16" t="str">
        <f>IFERROR(VLOOKUP(DATA!#REF!,DATA!#REF!,1,FALSE),"")</f>
        <v/>
      </c>
      <c r="D3876" s="16" t="str">
        <f>IFERROR(VLOOKUP(C3876,DATA!#REF!,2,FALSE),"")</f>
        <v/>
      </c>
    </row>
    <row r="3877" spans="3:4" s="237" customFormat="1">
      <c r="C3877" s="16" t="str">
        <f>IFERROR(VLOOKUP(DATA!#REF!,DATA!#REF!,1,FALSE),"")</f>
        <v/>
      </c>
      <c r="D3877" s="16" t="str">
        <f>IFERROR(VLOOKUP(C3877,DATA!#REF!,2,FALSE),"")</f>
        <v/>
      </c>
    </row>
    <row r="3878" spans="3:4" s="237" customFormat="1">
      <c r="C3878" s="16" t="str">
        <f>IFERROR(VLOOKUP(DATA!#REF!,DATA!#REF!,1,FALSE),"")</f>
        <v/>
      </c>
      <c r="D3878" s="16" t="str">
        <f>IFERROR(VLOOKUP(C3878,DATA!#REF!,2,FALSE),"")</f>
        <v/>
      </c>
    </row>
    <row r="3879" spans="3:4" s="237" customFormat="1">
      <c r="C3879" s="16" t="str">
        <f>IFERROR(VLOOKUP(DATA!#REF!,DATA!#REF!,1,FALSE),"")</f>
        <v/>
      </c>
      <c r="D3879" s="16" t="str">
        <f>IFERROR(VLOOKUP(C3879,DATA!#REF!,2,FALSE),"")</f>
        <v/>
      </c>
    </row>
    <row r="3880" spans="3:4" s="237" customFormat="1">
      <c r="C3880" s="16" t="str">
        <f>IFERROR(VLOOKUP(DATA!#REF!,DATA!#REF!,1,FALSE),"")</f>
        <v/>
      </c>
      <c r="D3880" s="16" t="str">
        <f>IFERROR(VLOOKUP(C3880,DATA!#REF!,2,FALSE),"")</f>
        <v/>
      </c>
    </row>
    <row r="3881" spans="3:4" s="237" customFormat="1">
      <c r="C3881" s="16" t="str">
        <f>IFERROR(VLOOKUP(DATA!#REF!,DATA!#REF!,1,FALSE),"")</f>
        <v/>
      </c>
      <c r="D3881" s="16" t="str">
        <f>IFERROR(VLOOKUP(C3881,DATA!#REF!,2,FALSE),"")</f>
        <v/>
      </c>
    </row>
    <row r="3882" spans="3:4" s="237" customFormat="1">
      <c r="C3882" s="16" t="str">
        <f>IFERROR(VLOOKUP(DATA!#REF!,DATA!#REF!,1,FALSE),"")</f>
        <v/>
      </c>
      <c r="D3882" s="16" t="str">
        <f>IFERROR(VLOOKUP(C3882,DATA!#REF!,2,FALSE),"")</f>
        <v/>
      </c>
    </row>
    <row r="3883" spans="3:4" s="237" customFormat="1">
      <c r="C3883" s="16" t="str">
        <f>IFERROR(VLOOKUP(DATA!#REF!,DATA!#REF!,1,FALSE),"")</f>
        <v/>
      </c>
      <c r="D3883" s="16" t="str">
        <f>IFERROR(VLOOKUP(C3883,DATA!#REF!,2,FALSE),"")</f>
        <v/>
      </c>
    </row>
    <row r="3884" spans="3:4" s="237" customFormat="1">
      <c r="C3884" s="16" t="str">
        <f>IFERROR(VLOOKUP(DATA!#REF!,DATA!#REF!,1,FALSE),"")</f>
        <v/>
      </c>
      <c r="D3884" s="16" t="str">
        <f>IFERROR(VLOOKUP(C3884,DATA!#REF!,2,FALSE),"")</f>
        <v/>
      </c>
    </row>
    <row r="3885" spans="3:4" s="237" customFormat="1">
      <c r="C3885" s="16" t="str">
        <f>IFERROR(VLOOKUP(DATA!#REF!,DATA!#REF!,1,FALSE),"")</f>
        <v/>
      </c>
      <c r="D3885" s="16" t="str">
        <f>IFERROR(VLOOKUP(C3885,DATA!#REF!,2,FALSE),"")</f>
        <v/>
      </c>
    </row>
    <row r="3886" spans="3:4" s="237" customFormat="1">
      <c r="C3886" s="16" t="str">
        <f>IFERROR(VLOOKUP(DATA!#REF!,DATA!#REF!,1,FALSE),"")</f>
        <v/>
      </c>
      <c r="D3886" s="16" t="str">
        <f>IFERROR(VLOOKUP(C3886,DATA!#REF!,2,FALSE),"")</f>
        <v/>
      </c>
    </row>
    <row r="3887" spans="3:4" s="237" customFormat="1">
      <c r="C3887" s="16" t="str">
        <f>IFERROR(VLOOKUP(DATA!#REF!,DATA!#REF!,1,FALSE),"")</f>
        <v/>
      </c>
      <c r="D3887" s="16" t="str">
        <f>IFERROR(VLOOKUP(C3887,DATA!#REF!,2,FALSE),"")</f>
        <v/>
      </c>
    </row>
    <row r="3888" spans="3:4" s="237" customFormat="1">
      <c r="C3888" s="16" t="str">
        <f>IFERROR(VLOOKUP(DATA!#REF!,DATA!#REF!,1,FALSE),"")</f>
        <v/>
      </c>
      <c r="D3888" s="16" t="str">
        <f>IFERROR(VLOOKUP(C3888,DATA!#REF!,2,FALSE),"")</f>
        <v/>
      </c>
    </row>
    <row r="3889" spans="3:4" s="237" customFormat="1">
      <c r="C3889" s="16" t="str">
        <f>IFERROR(VLOOKUP(DATA!#REF!,DATA!#REF!,1,FALSE),"")</f>
        <v/>
      </c>
      <c r="D3889" s="16" t="str">
        <f>IFERROR(VLOOKUP(C3889,DATA!#REF!,2,FALSE),"")</f>
        <v/>
      </c>
    </row>
    <row r="3890" spans="3:4" s="237" customFormat="1">
      <c r="C3890" s="16" t="str">
        <f>IFERROR(VLOOKUP(DATA!#REF!,DATA!#REF!,1,FALSE),"")</f>
        <v/>
      </c>
      <c r="D3890" s="16" t="str">
        <f>IFERROR(VLOOKUP(C3890,DATA!#REF!,2,FALSE),"")</f>
        <v/>
      </c>
    </row>
    <row r="3891" spans="3:4" s="237" customFormat="1">
      <c r="C3891" s="16" t="str">
        <f>IFERROR(VLOOKUP(DATA!#REF!,DATA!#REF!,1,FALSE),"")</f>
        <v/>
      </c>
      <c r="D3891" s="16" t="str">
        <f>IFERROR(VLOOKUP(C3891,DATA!#REF!,2,FALSE),"")</f>
        <v/>
      </c>
    </row>
    <row r="3892" spans="3:4" s="237" customFormat="1">
      <c r="C3892" s="16" t="str">
        <f>IFERROR(VLOOKUP(DATA!#REF!,DATA!#REF!,1,FALSE),"")</f>
        <v/>
      </c>
      <c r="D3892" s="16" t="str">
        <f>IFERROR(VLOOKUP(C3892,DATA!#REF!,2,FALSE),"")</f>
        <v/>
      </c>
    </row>
    <row r="3893" spans="3:4" s="237" customFormat="1">
      <c r="C3893" s="16" t="str">
        <f>IFERROR(VLOOKUP(DATA!#REF!,DATA!#REF!,1,FALSE),"")</f>
        <v/>
      </c>
      <c r="D3893" s="16" t="str">
        <f>IFERROR(VLOOKUP(C3893,DATA!#REF!,2,FALSE),"")</f>
        <v/>
      </c>
    </row>
    <row r="3894" spans="3:4" s="237" customFormat="1">
      <c r="C3894" s="16" t="str">
        <f>IFERROR(VLOOKUP(DATA!#REF!,DATA!#REF!,1,FALSE),"")</f>
        <v/>
      </c>
      <c r="D3894" s="16" t="str">
        <f>IFERROR(VLOOKUP(C3894,DATA!#REF!,2,FALSE),"")</f>
        <v/>
      </c>
    </row>
    <row r="3895" spans="3:4" s="237" customFormat="1">
      <c r="C3895" s="16" t="str">
        <f>IFERROR(VLOOKUP(DATA!#REF!,DATA!#REF!,1,FALSE),"")</f>
        <v/>
      </c>
      <c r="D3895" s="16" t="str">
        <f>IFERROR(VLOOKUP(C3895,DATA!#REF!,2,FALSE),"")</f>
        <v/>
      </c>
    </row>
    <row r="3896" spans="3:4" s="237" customFormat="1">
      <c r="C3896" s="16" t="str">
        <f>IFERROR(VLOOKUP(DATA!#REF!,DATA!#REF!,1,FALSE),"")</f>
        <v/>
      </c>
      <c r="D3896" s="16" t="str">
        <f>IFERROR(VLOOKUP(C3896,DATA!#REF!,2,FALSE),"")</f>
        <v/>
      </c>
    </row>
    <row r="3897" spans="3:4" s="237" customFormat="1">
      <c r="C3897" s="16" t="str">
        <f>IFERROR(VLOOKUP(DATA!#REF!,DATA!#REF!,1,FALSE),"")</f>
        <v/>
      </c>
      <c r="D3897" s="16" t="str">
        <f>IFERROR(VLOOKUP(C3897,DATA!#REF!,2,FALSE),"")</f>
        <v/>
      </c>
    </row>
    <row r="3898" spans="3:4" s="237" customFormat="1">
      <c r="C3898" s="16" t="str">
        <f>IFERROR(VLOOKUP(DATA!#REF!,DATA!#REF!,1,FALSE),"")</f>
        <v/>
      </c>
      <c r="D3898" s="16" t="str">
        <f>IFERROR(VLOOKUP(C3898,DATA!#REF!,2,FALSE),"")</f>
        <v/>
      </c>
    </row>
    <row r="3899" spans="3:4" s="237" customFormat="1">
      <c r="C3899" s="16" t="str">
        <f>IFERROR(VLOOKUP(DATA!#REF!,DATA!#REF!,1,FALSE),"")</f>
        <v/>
      </c>
      <c r="D3899" s="16" t="str">
        <f>IFERROR(VLOOKUP(C3899,DATA!#REF!,2,FALSE),"")</f>
        <v/>
      </c>
    </row>
    <row r="3900" spans="3:4" s="237" customFormat="1">
      <c r="C3900" s="16" t="str">
        <f>IFERROR(VLOOKUP(DATA!#REF!,DATA!#REF!,1,FALSE),"")</f>
        <v/>
      </c>
      <c r="D3900" s="16" t="str">
        <f>IFERROR(VLOOKUP(C3900,DATA!#REF!,2,FALSE),"")</f>
        <v/>
      </c>
    </row>
    <row r="3901" spans="3:4" s="237" customFormat="1">
      <c r="C3901" s="16" t="str">
        <f>IFERROR(VLOOKUP(DATA!#REF!,DATA!#REF!,1,FALSE),"")</f>
        <v/>
      </c>
      <c r="D3901" s="16" t="str">
        <f>IFERROR(VLOOKUP(C3901,DATA!#REF!,2,FALSE),"")</f>
        <v/>
      </c>
    </row>
    <row r="3902" spans="3:4" s="237" customFormat="1">
      <c r="C3902" s="16" t="str">
        <f>IFERROR(VLOOKUP(DATA!#REF!,DATA!#REF!,1,FALSE),"")</f>
        <v/>
      </c>
      <c r="D3902" s="16" t="str">
        <f>IFERROR(VLOOKUP(C3902,DATA!#REF!,2,FALSE),"")</f>
        <v/>
      </c>
    </row>
    <row r="3903" spans="3:4" s="237" customFormat="1">
      <c r="C3903" s="16" t="str">
        <f>IFERROR(VLOOKUP(DATA!#REF!,DATA!#REF!,1,FALSE),"")</f>
        <v/>
      </c>
      <c r="D3903" s="16" t="str">
        <f>IFERROR(VLOOKUP(C3903,DATA!#REF!,2,FALSE),"")</f>
        <v/>
      </c>
    </row>
    <row r="3904" spans="3:4" s="237" customFormat="1">
      <c r="C3904" s="16" t="str">
        <f>IFERROR(VLOOKUP(DATA!#REF!,DATA!#REF!,1,FALSE),"")</f>
        <v/>
      </c>
      <c r="D3904" s="16" t="str">
        <f>IFERROR(VLOOKUP(C3904,DATA!#REF!,2,FALSE),"")</f>
        <v/>
      </c>
    </row>
    <row r="3905" spans="3:4" s="237" customFormat="1">
      <c r="C3905" s="16" t="str">
        <f>IFERROR(VLOOKUP(DATA!#REF!,DATA!#REF!,1,FALSE),"")</f>
        <v/>
      </c>
      <c r="D3905" s="16" t="str">
        <f>IFERROR(VLOOKUP(C3905,DATA!#REF!,2,FALSE),"")</f>
        <v/>
      </c>
    </row>
    <row r="3906" spans="3:4" s="237" customFormat="1">
      <c r="C3906" s="16" t="str">
        <f>IFERROR(VLOOKUP(DATA!#REF!,DATA!#REF!,1,FALSE),"")</f>
        <v/>
      </c>
      <c r="D3906" s="16" t="str">
        <f>IFERROR(VLOOKUP(C3906,DATA!#REF!,2,FALSE),"")</f>
        <v/>
      </c>
    </row>
    <row r="3907" spans="3:4" s="237" customFormat="1">
      <c r="C3907" s="16" t="str">
        <f>IFERROR(VLOOKUP(DATA!#REF!,DATA!#REF!,1,FALSE),"")</f>
        <v/>
      </c>
      <c r="D3907" s="16" t="str">
        <f>IFERROR(VLOOKUP(C3907,DATA!#REF!,2,FALSE),"")</f>
        <v/>
      </c>
    </row>
    <row r="3908" spans="3:4" s="237" customFormat="1">
      <c r="C3908" s="16" t="str">
        <f>IFERROR(VLOOKUP(DATA!#REF!,DATA!#REF!,1,FALSE),"")</f>
        <v/>
      </c>
      <c r="D3908" s="16" t="str">
        <f>IFERROR(VLOOKUP(C3908,DATA!#REF!,2,FALSE),"")</f>
        <v/>
      </c>
    </row>
    <row r="3909" spans="3:4" s="237" customFormat="1">
      <c r="C3909" s="16" t="str">
        <f>IFERROR(VLOOKUP(DATA!#REF!,DATA!#REF!,1,FALSE),"")</f>
        <v/>
      </c>
      <c r="D3909" s="16" t="str">
        <f>IFERROR(VLOOKUP(C3909,DATA!#REF!,2,FALSE),"")</f>
        <v/>
      </c>
    </row>
    <row r="3910" spans="3:4" s="237" customFormat="1">
      <c r="C3910" s="16" t="str">
        <f>IFERROR(VLOOKUP(DATA!#REF!,DATA!#REF!,1,FALSE),"")</f>
        <v/>
      </c>
      <c r="D3910" s="16" t="str">
        <f>IFERROR(VLOOKUP(C3910,DATA!#REF!,2,FALSE),"")</f>
        <v/>
      </c>
    </row>
    <row r="3911" spans="3:4" s="237" customFormat="1">
      <c r="C3911" s="16" t="str">
        <f>IFERROR(VLOOKUP(DATA!#REF!,DATA!#REF!,1,FALSE),"")</f>
        <v/>
      </c>
      <c r="D3911" s="16" t="str">
        <f>IFERROR(VLOOKUP(C3911,DATA!#REF!,2,FALSE),"")</f>
        <v/>
      </c>
    </row>
    <row r="3912" spans="3:4" s="237" customFormat="1">
      <c r="C3912" s="16" t="str">
        <f>IFERROR(VLOOKUP(DATA!#REF!,DATA!#REF!,1,FALSE),"")</f>
        <v/>
      </c>
      <c r="D3912" s="16" t="str">
        <f>IFERROR(VLOOKUP(C3912,DATA!#REF!,2,FALSE),"")</f>
        <v/>
      </c>
    </row>
    <row r="3913" spans="3:4" s="237" customFormat="1">
      <c r="C3913" s="16" t="str">
        <f>IFERROR(VLOOKUP(DATA!#REF!,DATA!#REF!,1,FALSE),"")</f>
        <v/>
      </c>
      <c r="D3913" s="16" t="str">
        <f>IFERROR(VLOOKUP(C3913,DATA!#REF!,2,FALSE),"")</f>
        <v/>
      </c>
    </row>
    <row r="3914" spans="3:4" s="237" customFormat="1">
      <c r="C3914" s="16" t="str">
        <f>IFERROR(VLOOKUP(DATA!#REF!,DATA!#REF!,1,FALSE),"")</f>
        <v/>
      </c>
      <c r="D3914" s="16" t="str">
        <f>IFERROR(VLOOKUP(C3914,DATA!#REF!,2,FALSE),"")</f>
        <v/>
      </c>
    </row>
    <row r="3915" spans="3:4" s="237" customFormat="1">
      <c r="C3915" s="16" t="str">
        <f>IFERROR(VLOOKUP(DATA!#REF!,DATA!#REF!,1,FALSE),"")</f>
        <v/>
      </c>
      <c r="D3915" s="16" t="str">
        <f>IFERROR(VLOOKUP(C3915,DATA!#REF!,2,FALSE),"")</f>
        <v/>
      </c>
    </row>
    <row r="3916" spans="3:4" s="237" customFormat="1">
      <c r="C3916" s="16" t="str">
        <f>IFERROR(VLOOKUP(DATA!#REF!,DATA!#REF!,1,FALSE),"")</f>
        <v/>
      </c>
      <c r="D3916" s="16" t="str">
        <f>IFERROR(VLOOKUP(C3916,DATA!#REF!,2,FALSE),"")</f>
        <v/>
      </c>
    </row>
    <row r="3917" spans="3:4" s="237" customFormat="1">
      <c r="C3917" s="16" t="str">
        <f>IFERROR(VLOOKUP(DATA!#REF!,DATA!#REF!,1,FALSE),"")</f>
        <v/>
      </c>
      <c r="D3917" s="16" t="str">
        <f>IFERROR(VLOOKUP(C3917,DATA!#REF!,2,FALSE),"")</f>
        <v/>
      </c>
    </row>
    <row r="3918" spans="3:4" s="237" customFormat="1">
      <c r="C3918" s="16" t="str">
        <f>IFERROR(VLOOKUP(DATA!#REF!,DATA!#REF!,1,FALSE),"")</f>
        <v/>
      </c>
      <c r="D3918" s="16" t="str">
        <f>IFERROR(VLOOKUP(C3918,DATA!#REF!,2,FALSE),"")</f>
        <v/>
      </c>
    </row>
    <row r="3919" spans="3:4" s="237" customFormat="1">
      <c r="C3919" s="16" t="str">
        <f>IFERROR(VLOOKUP(DATA!#REF!,DATA!#REF!,1,FALSE),"")</f>
        <v/>
      </c>
      <c r="D3919" s="16" t="str">
        <f>IFERROR(VLOOKUP(C3919,DATA!#REF!,2,FALSE),"")</f>
        <v/>
      </c>
    </row>
    <row r="3920" spans="3:4" s="237" customFormat="1">
      <c r="C3920" s="16" t="str">
        <f>IFERROR(VLOOKUP(DATA!#REF!,DATA!#REF!,1,FALSE),"")</f>
        <v/>
      </c>
      <c r="D3920" s="16" t="str">
        <f>IFERROR(VLOOKUP(C3920,DATA!#REF!,2,FALSE),"")</f>
        <v/>
      </c>
    </row>
    <row r="3921" spans="3:4" s="237" customFormat="1">
      <c r="C3921" s="16" t="str">
        <f>IFERROR(VLOOKUP(DATA!#REF!,DATA!#REF!,1,FALSE),"")</f>
        <v/>
      </c>
      <c r="D3921" s="16" t="str">
        <f>IFERROR(VLOOKUP(C3921,DATA!#REF!,2,FALSE),"")</f>
        <v/>
      </c>
    </row>
    <row r="3922" spans="3:4" s="237" customFormat="1">
      <c r="C3922" s="16" t="str">
        <f>IFERROR(VLOOKUP(DATA!#REF!,DATA!#REF!,1,FALSE),"")</f>
        <v/>
      </c>
      <c r="D3922" s="16" t="str">
        <f>IFERROR(VLOOKUP(C3922,DATA!#REF!,2,FALSE),"")</f>
        <v/>
      </c>
    </row>
    <row r="3923" spans="3:4" s="237" customFormat="1">
      <c r="C3923" s="16" t="str">
        <f>IFERROR(VLOOKUP(DATA!#REF!,DATA!#REF!,1,FALSE),"")</f>
        <v/>
      </c>
      <c r="D3923" s="16" t="str">
        <f>IFERROR(VLOOKUP(C3923,DATA!#REF!,2,FALSE),"")</f>
        <v/>
      </c>
    </row>
    <row r="3924" spans="3:4" s="237" customFormat="1">
      <c r="C3924" s="16" t="str">
        <f>IFERROR(VLOOKUP(DATA!#REF!,DATA!#REF!,1,FALSE),"")</f>
        <v/>
      </c>
      <c r="D3924" s="16" t="str">
        <f>IFERROR(VLOOKUP(C3924,DATA!#REF!,2,FALSE),"")</f>
        <v/>
      </c>
    </row>
    <row r="3925" spans="3:4" s="237" customFormat="1">
      <c r="C3925" s="16" t="str">
        <f>IFERROR(VLOOKUP(DATA!#REF!,DATA!#REF!,1,FALSE),"")</f>
        <v/>
      </c>
      <c r="D3925" s="16" t="str">
        <f>IFERROR(VLOOKUP(C3925,DATA!#REF!,2,FALSE),"")</f>
        <v/>
      </c>
    </row>
    <row r="3926" spans="3:4" s="237" customFormat="1">
      <c r="C3926" s="16" t="str">
        <f>IFERROR(VLOOKUP(DATA!#REF!,DATA!#REF!,1,FALSE),"")</f>
        <v/>
      </c>
      <c r="D3926" s="16" t="str">
        <f>IFERROR(VLOOKUP(C3926,DATA!#REF!,2,FALSE),"")</f>
        <v/>
      </c>
    </row>
    <row r="3927" spans="3:4" s="237" customFormat="1">
      <c r="C3927" s="16" t="str">
        <f>IFERROR(VLOOKUP(DATA!#REF!,DATA!#REF!,1,FALSE),"")</f>
        <v/>
      </c>
      <c r="D3927" s="16" t="str">
        <f>IFERROR(VLOOKUP(C3927,DATA!#REF!,2,FALSE),"")</f>
        <v/>
      </c>
    </row>
    <row r="3928" spans="3:4" s="237" customFormat="1">
      <c r="C3928" s="16" t="str">
        <f>IFERROR(VLOOKUP(DATA!#REF!,DATA!#REF!,1,FALSE),"")</f>
        <v/>
      </c>
      <c r="D3928" s="16" t="str">
        <f>IFERROR(VLOOKUP(C3928,DATA!#REF!,2,FALSE),"")</f>
        <v/>
      </c>
    </row>
    <row r="3929" spans="3:4" s="237" customFormat="1">
      <c r="C3929" s="16" t="str">
        <f>IFERROR(VLOOKUP(DATA!#REF!,DATA!#REF!,1,FALSE),"")</f>
        <v/>
      </c>
      <c r="D3929" s="16" t="str">
        <f>IFERROR(VLOOKUP(C3929,DATA!#REF!,2,FALSE),"")</f>
        <v/>
      </c>
    </row>
    <row r="3930" spans="3:4" s="237" customFormat="1">
      <c r="C3930" s="16" t="str">
        <f>IFERROR(VLOOKUP(DATA!#REF!,DATA!#REF!,1,FALSE),"")</f>
        <v/>
      </c>
      <c r="D3930" s="16" t="str">
        <f>IFERROR(VLOOKUP(C3930,DATA!#REF!,2,FALSE),"")</f>
        <v/>
      </c>
    </row>
    <row r="3931" spans="3:4" s="237" customFormat="1">
      <c r="C3931" s="16" t="str">
        <f>IFERROR(VLOOKUP(DATA!#REF!,DATA!#REF!,1,FALSE),"")</f>
        <v/>
      </c>
      <c r="D3931" s="16" t="str">
        <f>IFERROR(VLOOKUP(C3931,DATA!#REF!,2,FALSE),"")</f>
        <v/>
      </c>
    </row>
    <row r="3932" spans="3:4" s="237" customFormat="1">
      <c r="C3932" s="16" t="str">
        <f>IFERROR(VLOOKUP(DATA!#REF!,DATA!#REF!,1,FALSE),"")</f>
        <v/>
      </c>
      <c r="D3932" s="16" t="str">
        <f>IFERROR(VLOOKUP(C3932,DATA!#REF!,2,FALSE),"")</f>
        <v/>
      </c>
    </row>
    <row r="3933" spans="3:4" s="237" customFormat="1">
      <c r="C3933" s="16" t="str">
        <f>IFERROR(VLOOKUP(DATA!#REF!,DATA!#REF!,1,FALSE),"")</f>
        <v/>
      </c>
      <c r="D3933" s="16" t="str">
        <f>IFERROR(VLOOKUP(C3933,DATA!#REF!,2,FALSE),"")</f>
        <v/>
      </c>
    </row>
    <row r="3934" spans="3:4" s="237" customFormat="1">
      <c r="C3934" s="16" t="str">
        <f>IFERROR(VLOOKUP(DATA!#REF!,DATA!#REF!,1,FALSE),"")</f>
        <v/>
      </c>
      <c r="D3934" s="16" t="str">
        <f>IFERROR(VLOOKUP(C3934,DATA!#REF!,2,FALSE),"")</f>
        <v/>
      </c>
    </row>
    <row r="3935" spans="3:4" s="237" customFormat="1">
      <c r="C3935" s="16" t="str">
        <f>IFERROR(VLOOKUP(DATA!#REF!,DATA!#REF!,1,FALSE),"")</f>
        <v/>
      </c>
      <c r="D3935" s="16" t="str">
        <f>IFERROR(VLOOKUP(C3935,DATA!#REF!,2,FALSE),"")</f>
        <v/>
      </c>
    </row>
    <row r="3936" spans="3:4" s="237" customFormat="1">
      <c r="C3936" s="16" t="str">
        <f>IFERROR(VLOOKUP(DATA!#REF!,DATA!#REF!,1,FALSE),"")</f>
        <v/>
      </c>
      <c r="D3936" s="16" t="str">
        <f>IFERROR(VLOOKUP(C3936,DATA!#REF!,2,FALSE),"")</f>
        <v/>
      </c>
    </row>
    <row r="3937" spans="3:4" s="237" customFormat="1">
      <c r="C3937" s="16" t="str">
        <f>IFERROR(VLOOKUP(DATA!#REF!,DATA!#REF!,1,FALSE),"")</f>
        <v/>
      </c>
      <c r="D3937" s="16" t="str">
        <f>IFERROR(VLOOKUP(C3937,DATA!#REF!,2,FALSE),"")</f>
        <v/>
      </c>
    </row>
    <row r="3938" spans="3:4" s="237" customFormat="1">
      <c r="C3938" s="16" t="str">
        <f>IFERROR(VLOOKUP(DATA!#REF!,DATA!#REF!,1,FALSE),"")</f>
        <v/>
      </c>
      <c r="D3938" s="16" t="str">
        <f>IFERROR(VLOOKUP(C3938,DATA!#REF!,2,FALSE),"")</f>
        <v/>
      </c>
    </row>
    <row r="3939" spans="3:4" s="237" customFormat="1">
      <c r="C3939" s="16" t="str">
        <f>IFERROR(VLOOKUP(DATA!#REF!,DATA!#REF!,1,FALSE),"")</f>
        <v/>
      </c>
      <c r="D3939" s="16" t="str">
        <f>IFERROR(VLOOKUP(C3939,DATA!#REF!,2,FALSE),"")</f>
        <v/>
      </c>
    </row>
    <row r="3940" spans="3:4" s="237" customFormat="1">
      <c r="C3940" s="16" t="str">
        <f>IFERROR(VLOOKUP(DATA!#REF!,DATA!#REF!,1,FALSE),"")</f>
        <v/>
      </c>
      <c r="D3940" s="16" t="str">
        <f>IFERROR(VLOOKUP(C3940,DATA!#REF!,2,FALSE),"")</f>
        <v/>
      </c>
    </row>
    <row r="3941" spans="3:4" s="237" customFormat="1">
      <c r="C3941" s="16" t="str">
        <f>IFERROR(VLOOKUP(DATA!#REF!,DATA!#REF!,1,FALSE),"")</f>
        <v/>
      </c>
      <c r="D3941" s="16" t="str">
        <f>IFERROR(VLOOKUP(C3941,DATA!#REF!,2,FALSE),"")</f>
        <v/>
      </c>
    </row>
    <row r="3942" spans="3:4" s="237" customFormat="1">
      <c r="C3942" s="16" t="str">
        <f>IFERROR(VLOOKUP(DATA!#REF!,DATA!#REF!,1,FALSE),"")</f>
        <v/>
      </c>
      <c r="D3942" s="16" t="str">
        <f>IFERROR(VLOOKUP(C3942,DATA!#REF!,2,FALSE),"")</f>
        <v/>
      </c>
    </row>
    <row r="3943" spans="3:4" s="237" customFormat="1">
      <c r="C3943" s="16" t="str">
        <f>IFERROR(VLOOKUP(DATA!#REF!,DATA!#REF!,1,FALSE),"")</f>
        <v/>
      </c>
      <c r="D3943" s="16" t="str">
        <f>IFERROR(VLOOKUP(C3943,DATA!#REF!,2,FALSE),"")</f>
        <v/>
      </c>
    </row>
    <row r="3944" spans="3:4" s="237" customFormat="1">
      <c r="C3944" s="16" t="str">
        <f>IFERROR(VLOOKUP(DATA!#REF!,DATA!#REF!,1,FALSE),"")</f>
        <v/>
      </c>
      <c r="D3944" s="16" t="str">
        <f>IFERROR(VLOOKUP(C3944,DATA!#REF!,2,FALSE),"")</f>
        <v/>
      </c>
    </row>
    <row r="3945" spans="3:4" s="237" customFormat="1">
      <c r="C3945" s="16" t="str">
        <f>IFERROR(VLOOKUP(DATA!#REF!,DATA!#REF!,1,FALSE),"")</f>
        <v/>
      </c>
      <c r="D3945" s="16" t="str">
        <f>IFERROR(VLOOKUP(C3945,DATA!#REF!,2,FALSE),"")</f>
        <v/>
      </c>
    </row>
    <row r="3946" spans="3:4" s="237" customFormat="1">
      <c r="C3946" s="16" t="str">
        <f>IFERROR(VLOOKUP(DATA!#REF!,DATA!#REF!,1,FALSE),"")</f>
        <v/>
      </c>
      <c r="D3946" s="16" t="str">
        <f>IFERROR(VLOOKUP(C3946,DATA!#REF!,2,FALSE),"")</f>
        <v/>
      </c>
    </row>
    <row r="3947" spans="3:4" s="237" customFormat="1">
      <c r="C3947" s="16" t="str">
        <f>IFERROR(VLOOKUP(DATA!#REF!,DATA!#REF!,1,FALSE),"")</f>
        <v/>
      </c>
      <c r="D3947" s="16" t="str">
        <f>IFERROR(VLOOKUP(C3947,DATA!#REF!,2,FALSE),"")</f>
        <v/>
      </c>
    </row>
    <row r="3948" spans="3:4" s="237" customFormat="1">
      <c r="C3948" s="16" t="str">
        <f>IFERROR(VLOOKUP(DATA!#REF!,DATA!#REF!,1,FALSE),"")</f>
        <v/>
      </c>
      <c r="D3948" s="16" t="str">
        <f>IFERROR(VLOOKUP(C3948,DATA!#REF!,2,FALSE),"")</f>
        <v/>
      </c>
    </row>
    <row r="3949" spans="3:4" s="237" customFormat="1">
      <c r="C3949" s="16" t="str">
        <f>IFERROR(VLOOKUP(DATA!#REF!,DATA!#REF!,1,FALSE),"")</f>
        <v/>
      </c>
      <c r="D3949" s="16" t="str">
        <f>IFERROR(VLOOKUP(C3949,DATA!#REF!,2,FALSE),"")</f>
        <v/>
      </c>
    </row>
    <row r="3950" spans="3:4" s="237" customFormat="1">
      <c r="C3950" s="16" t="str">
        <f>IFERROR(VLOOKUP(DATA!#REF!,DATA!#REF!,1,FALSE),"")</f>
        <v/>
      </c>
      <c r="D3950" s="16" t="str">
        <f>IFERROR(VLOOKUP(C3950,DATA!#REF!,2,FALSE),"")</f>
        <v/>
      </c>
    </row>
    <row r="3951" spans="3:4" s="237" customFormat="1">
      <c r="C3951" s="16" t="str">
        <f>IFERROR(VLOOKUP(DATA!#REF!,DATA!#REF!,1,FALSE),"")</f>
        <v/>
      </c>
      <c r="D3951" s="16" t="str">
        <f>IFERROR(VLOOKUP(C3951,DATA!#REF!,2,FALSE),"")</f>
        <v/>
      </c>
    </row>
    <row r="3952" spans="3:4" s="237" customFormat="1">
      <c r="C3952" s="16" t="str">
        <f>IFERROR(VLOOKUP(DATA!#REF!,DATA!#REF!,1,FALSE),"")</f>
        <v/>
      </c>
      <c r="D3952" s="16" t="str">
        <f>IFERROR(VLOOKUP(C3952,DATA!#REF!,2,FALSE),"")</f>
        <v/>
      </c>
    </row>
    <row r="3953" spans="3:4" s="237" customFormat="1">
      <c r="C3953" s="16" t="str">
        <f>IFERROR(VLOOKUP(DATA!#REF!,DATA!#REF!,1,FALSE),"")</f>
        <v/>
      </c>
      <c r="D3953" s="16" t="str">
        <f>IFERROR(VLOOKUP(C3953,DATA!#REF!,2,FALSE),"")</f>
        <v/>
      </c>
    </row>
    <row r="3954" spans="3:4" s="237" customFormat="1">
      <c r="C3954" s="16" t="str">
        <f>IFERROR(VLOOKUP(DATA!#REF!,DATA!#REF!,1,FALSE),"")</f>
        <v/>
      </c>
      <c r="D3954" s="16" t="str">
        <f>IFERROR(VLOOKUP(C3954,DATA!#REF!,2,FALSE),"")</f>
        <v/>
      </c>
    </row>
    <row r="3955" spans="3:4" s="237" customFormat="1">
      <c r="C3955" s="16" t="str">
        <f>IFERROR(VLOOKUP(DATA!#REF!,DATA!#REF!,1,FALSE),"")</f>
        <v/>
      </c>
      <c r="D3955" s="16" t="str">
        <f>IFERROR(VLOOKUP(C3955,DATA!#REF!,2,FALSE),"")</f>
        <v/>
      </c>
    </row>
    <row r="3956" spans="3:4" s="237" customFormat="1">
      <c r="C3956" s="16" t="str">
        <f>IFERROR(VLOOKUP(DATA!#REF!,DATA!#REF!,1,FALSE),"")</f>
        <v/>
      </c>
      <c r="D3956" s="16" t="str">
        <f>IFERROR(VLOOKUP(C3956,DATA!#REF!,2,FALSE),"")</f>
        <v/>
      </c>
    </row>
    <row r="3957" spans="3:4" s="237" customFormat="1">
      <c r="C3957" s="16" t="str">
        <f>IFERROR(VLOOKUP(DATA!#REF!,DATA!#REF!,1,FALSE),"")</f>
        <v/>
      </c>
      <c r="D3957" s="16" t="str">
        <f>IFERROR(VLOOKUP(C3957,DATA!#REF!,2,FALSE),"")</f>
        <v/>
      </c>
    </row>
    <row r="3958" spans="3:4" s="237" customFormat="1">
      <c r="C3958" s="16" t="str">
        <f>IFERROR(VLOOKUP(DATA!#REF!,DATA!#REF!,1,FALSE),"")</f>
        <v/>
      </c>
      <c r="D3958" s="16" t="str">
        <f>IFERROR(VLOOKUP(C3958,DATA!#REF!,2,FALSE),"")</f>
        <v/>
      </c>
    </row>
    <row r="3959" spans="3:4" s="237" customFormat="1">
      <c r="C3959" s="16" t="str">
        <f>IFERROR(VLOOKUP(DATA!#REF!,DATA!#REF!,1,FALSE),"")</f>
        <v/>
      </c>
      <c r="D3959" s="16" t="str">
        <f>IFERROR(VLOOKUP(C3959,DATA!#REF!,2,FALSE),"")</f>
        <v/>
      </c>
    </row>
    <row r="3960" spans="3:4" s="237" customFormat="1">
      <c r="C3960" s="16" t="str">
        <f>IFERROR(VLOOKUP(DATA!#REF!,DATA!#REF!,1,FALSE),"")</f>
        <v/>
      </c>
      <c r="D3960" s="16" t="str">
        <f>IFERROR(VLOOKUP(C3960,DATA!#REF!,2,FALSE),"")</f>
        <v/>
      </c>
    </row>
    <row r="3961" spans="3:4" s="237" customFormat="1">
      <c r="C3961" s="16" t="str">
        <f>IFERROR(VLOOKUP(DATA!#REF!,DATA!#REF!,1,FALSE),"")</f>
        <v/>
      </c>
      <c r="D3961" s="16" t="str">
        <f>IFERROR(VLOOKUP(C3961,DATA!#REF!,2,FALSE),"")</f>
        <v/>
      </c>
    </row>
    <row r="3962" spans="3:4" s="237" customFormat="1">
      <c r="C3962" s="16" t="str">
        <f>IFERROR(VLOOKUP(DATA!#REF!,DATA!#REF!,1,FALSE),"")</f>
        <v/>
      </c>
      <c r="D3962" s="16" t="str">
        <f>IFERROR(VLOOKUP(C3962,DATA!#REF!,2,FALSE),"")</f>
        <v/>
      </c>
    </row>
    <row r="3963" spans="3:4" s="237" customFormat="1">
      <c r="C3963" s="16" t="str">
        <f>IFERROR(VLOOKUP(DATA!#REF!,DATA!#REF!,1,FALSE),"")</f>
        <v/>
      </c>
      <c r="D3963" s="16" t="str">
        <f>IFERROR(VLOOKUP(C3963,DATA!#REF!,2,FALSE),"")</f>
        <v/>
      </c>
    </row>
    <row r="3964" spans="3:4" s="237" customFormat="1">
      <c r="C3964" s="16" t="str">
        <f>IFERROR(VLOOKUP(DATA!#REF!,DATA!#REF!,1,FALSE),"")</f>
        <v/>
      </c>
      <c r="D3964" s="16" t="str">
        <f>IFERROR(VLOOKUP(C3964,DATA!#REF!,2,FALSE),"")</f>
        <v/>
      </c>
    </row>
    <row r="3965" spans="3:4" s="237" customFormat="1">
      <c r="C3965" s="16" t="str">
        <f>IFERROR(VLOOKUP(DATA!#REF!,DATA!#REF!,1,FALSE),"")</f>
        <v/>
      </c>
      <c r="D3965" s="16" t="str">
        <f>IFERROR(VLOOKUP(C3965,DATA!#REF!,2,FALSE),"")</f>
        <v/>
      </c>
    </row>
    <row r="3966" spans="3:4" s="237" customFormat="1">
      <c r="C3966" s="16" t="str">
        <f>IFERROR(VLOOKUP(DATA!#REF!,DATA!#REF!,1,FALSE),"")</f>
        <v/>
      </c>
      <c r="D3966" s="16" t="str">
        <f>IFERROR(VLOOKUP(C3966,DATA!#REF!,2,FALSE),"")</f>
        <v/>
      </c>
    </row>
    <row r="3967" spans="3:4" s="237" customFormat="1">
      <c r="C3967" s="16" t="str">
        <f>IFERROR(VLOOKUP(DATA!#REF!,DATA!#REF!,1,FALSE),"")</f>
        <v/>
      </c>
      <c r="D3967" s="16" t="str">
        <f>IFERROR(VLOOKUP(C3967,DATA!#REF!,2,FALSE),"")</f>
        <v/>
      </c>
    </row>
    <row r="3968" spans="3:4" s="237" customFormat="1">
      <c r="C3968" s="16" t="str">
        <f>IFERROR(VLOOKUP(DATA!#REF!,DATA!#REF!,1,FALSE),"")</f>
        <v/>
      </c>
      <c r="D3968" s="16" t="str">
        <f>IFERROR(VLOOKUP(C3968,DATA!#REF!,2,FALSE),"")</f>
        <v/>
      </c>
    </row>
    <row r="3969" spans="3:4" s="237" customFormat="1">
      <c r="C3969" s="16" t="str">
        <f>IFERROR(VLOOKUP(DATA!#REF!,DATA!#REF!,1,FALSE),"")</f>
        <v/>
      </c>
      <c r="D3969" s="16" t="str">
        <f>IFERROR(VLOOKUP(C3969,DATA!#REF!,2,FALSE),"")</f>
        <v/>
      </c>
    </row>
    <row r="3970" spans="3:4" s="237" customFormat="1">
      <c r="C3970" s="16" t="str">
        <f>IFERROR(VLOOKUP(DATA!#REF!,DATA!#REF!,1,FALSE),"")</f>
        <v/>
      </c>
      <c r="D3970" s="16" t="str">
        <f>IFERROR(VLOOKUP(C3970,DATA!#REF!,2,FALSE),"")</f>
        <v/>
      </c>
    </row>
    <row r="3971" spans="3:4" s="237" customFormat="1">
      <c r="C3971" s="16" t="str">
        <f>IFERROR(VLOOKUP(DATA!#REF!,DATA!#REF!,1,FALSE),"")</f>
        <v/>
      </c>
      <c r="D3971" s="16" t="str">
        <f>IFERROR(VLOOKUP(C3971,DATA!#REF!,2,FALSE),"")</f>
        <v/>
      </c>
    </row>
    <row r="3972" spans="3:4" s="237" customFormat="1">
      <c r="C3972" s="16" t="str">
        <f>IFERROR(VLOOKUP(DATA!#REF!,DATA!#REF!,1,FALSE),"")</f>
        <v/>
      </c>
      <c r="D3972" s="16" t="str">
        <f>IFERROR(VLOOKUP(C3972,DATA!#REF!,2,FALSE),"")</f>
        <v/>
      </c>
    </row>
    <row r="3973" spans="3:4" s="237" customFormat="1">
      <c r="C3973" s="16" t="str">
        <f>IFERROR(VLOOKUP(DATA!#REF!,DATA!#REF!,1,FALSE),"")</f>
        <v/>
      </c>
      <c r="D3973" s="16" t="str">
        <f>IFERROR(VLOOKUP(C3973,DATA!#REF!,2,FALSE),"")</f>
        <v/>
      </c>
    </row>
    <row r="3974" spans="3:4" s="237" customFormat="1">
      <c r="C3974" s="16" t="str">
        <f>IFERROR(VLOOKUP(DATA!#REF!,DATA!#REF!,1,FALSE),"")</f>
        <v/>
      </c>
      <c r="D3974" s="16" t="str">
        <f>IFERROR(VLOOKUP(C3974,DATA!#REF!,2,FALSE),"")</f>
        <v/>
      </c>
    </row>
    <row r="3975" spans="3:4" s="237" customFormat="1">
      <c r="C3975" s="16" t="str">
        <f>IFERROR(VLOOKUP(DATA!#REF!,DATA!#REF!,1,FALSE),"")</f>
        <v/>
      </c>
      <c r="D3975" s="16" t="str">
        <f>IFERROR(VLOOKUP(C3975,DATA!#REF!,2,FALSE),"")</f>
        <v/>
      </c>
    </row>
    <row r="3976" spans="3:4" s="237" customFormat="1">
      <c r="C3976" s="16" t="str">
        <f>IFERROR(VLOOKUP(DATA!#REF!,DATA!#REF!,1,FALSE),"")</f>
        <v/>
      </c>
      <c r="D3976" s="16" t="str">
        <f>IFERROR(VLOOKUP(C3976,DATA!#REF!,2,FALSE),"")</f>
        <v/>
      </c>
    </row>
    <row r="3977" spans="3:4" s="237" customFormat="1">
      <c r="C3977" s="16" t="str">
        <f>IFERROR(VLOOKUP(DATA!#REF!,DATA!#REF!,1,FALSE),"")</f>
        <v/>
      </c>
      <c r="D3977" s="16" t="str">
        <f>IFERROR(VLOOKUP(C3977,DATA!#REF!,2,FALSE),"")</f>
        <v/>
      </c>
    </row>
    <row r="3978" spans="3:4" s="237" customFormat="1">
      <c r="C3978" s="16" t="str">
        <f>IFERROR(VLOOKUP(DATA!#REF!,DATA!#REF!,1,FALSE),"")</f>
        <v/>
      </c>
      <c r="D3978" s="16" t="str">
        <f>IFERROR(VLOOKUP(C3978,DATA!#REF!,2,FALSE),"")</f>
        <v/>
      </c>
    </row>
    <row r="3979" spans="3:4" s="237" customFormat="1">
      <c r="C3979" s="16" t="str">
        <f>IFERROR(VLOOKUP(DATA!#REF!,DATA!#REF!,1,FALSE),"")</f>
        <v/>
      </c>
      <c r="D3979" s="16" t="str">
        <f>IFERROR(VLOOKUP(C3979,DATA!#REF!,2,FALSE),"")</f>
        <v/>
      </c>
    </row>
    <row r="3980" spans="3:4" s="237" customFormat="1">
      <c r="C3980" s="16" t="str">
        <f>IFERROR(VLOOKUP(DATA!#REF!,DATA!#REF!,1,FALSE),"")</f>
        <v/>
      </c>
      <c r="D3980" s="16" t="str">
        <f>IFERROR(VLOOKUP(C3980,DATA!#REF!,2,FALSE),"")</f>
        <v/>
      </c>
    </row>
    <row r="3981" spans="3:4" s="237" customFormat="1">
      <c r="C3981" s="16" t="str">
        <f>IFERROR(VLOOKUP(DATA!#REF!,DATA!#REF!,1,FALSE),"")</f>
        <v/>
      </c>
      <c r="D3981" s="16" t="str">
        <f>IFERROR(VLOOKUP(C3981,DATA!#REF!,2,FALSE),"")</f>
        <v/>
      </c>
    </row>
    <row r="3982" spans="3:4" s="237" customFormat="1">
      <c r="C3982" s="16" t="str">
        <f>IFERROR(VLOOKUP(DATA!#REF!,DATA!#REF!,1,FALSE),"")</f>
        <v/>
      </c>
      <c r="D3982" s="16" t="str">
        <f>IFERROR(VLOOKUP(C3982,DATA!#REF!,2,FALSE),"")</f>
        <v/>
      </c>
    </row>
    <row r="3983" spans="3:4" s="237" customFormat="1">
      <c r="C3983" s="16" t="str">
        <f>IFERROR(VLOOKUP(DATA!#REF!,DATA!#REF!,1,FALSE),"")</f>
        <v/>
      </c>
      <c r="D3983" s="16" t="str">
        <f>IFERROR(VLOOKUP(C3983,DATA!#REF!,2,FALSE),"")</f>
        <v/>
      </c>
    </row>
    <row r="3984" spans="3:4" s="237" customFormat="1">
      <c r="C3984" s="16" t="str">
        <f>IFERROR(VLOOKUP(DATA!#REF!,DATA!#REF!,1,FALSE),"")</f>
        <v/>
      </c>
      <c r="D3984" s="16" t="str">
        <f>IFERROR(VLOOKUP(C3984,DATA!#REF!,2,FALSE),"")</f>
        <v/>
      </c>
    </row>
    <row r="3985" spans="3:4" s="237" customFormat="1">
      <c r="C3985" s="16" t="str">
        <f>IFERROR(VLOOKUP(DATA!#REF!,DATA!#REF!,1,FALSE),"")</f>
        <v/>
      </c>
      <c r="D3985" s="16" t="str">
        <f>IFERROR(VLOOKUP(C3985,DATA!#REF!,2,FALSE),"")</f>
        <v/>
      </c>
    </row>
    <row r="3986" spans="3:4" s="237" customFormat="1">
      <c r="C3986" s="16" t="str">
        <f>IFERROR(VLOOKUP(DATA!#REF!,DATA!#REF!,1,FALSE),"")</f>
        <v/>
      </c>
      <c r="D3986" s="16" t="str">
        <f>IFERROR(VLOOKUP(C3986,DATA!#REF!,2,FALSE),"")</f>
        <v/>
      </c>
    </row>
    <row r="3987" spans="3:4" s="237" customFormat="1">
      <c r="C3987" s="16" t="str">
        <f>IFERROR(VLOOKUP(DATA!#REF!,DATA!#REF!,1,FALSE),"")</f>
        <v/>
      </c>
      <c r="D3987" s="16" t="str">
        <f>IFERROR(VLOOKUP(C3987,DATA!#REF!,2,FALSE),"")</f>
        <v/>
      </c>
    </row>
    <row r="3988" spans="3:4" s="237" customFormat="1">
      <c r="C3988" s="16" t="str">
        <f>IFERROR(VLOOKUP(DATA!#REF!,DATA!#REF!,1,FALSE),"")</f>
        <v/>
      </c>
      <c r="D3988" s="16" t="str">
        <f>IFERROR(VLOOKUP(C3988,DATA!#REF!,2,FALSE),"")</f>
        <v/>
      </c>
    </row>
    <row r="3989" spans="3:4" s="237" customFormat="1">
      <c r="C3989" s="16" t="str">
        <f>IFERROR(VLOOKUP(DATA!#REF!,DATA!#REF!,1,FALSE),"")</f>
        <v/>
      </c>
      <c r="D3989" s="16" t="str">
        <f>IFERROR(VLOOKUP(C3989,DATA!#REF!,2,FALSE),"")</f>
        <v/>
      </c>
    </row>
    <row r="3990" spans="3:4" s="237" customFormat="1">
      <c r="C3990" s="16" t="str">
        <f>IFERROR(VLOOKUP(DATA!#REF!,DATA!#REF!,1,FALSE),"")</f>
        <v/>
      </c>
      <c r="D3990" s="16" t="str">
        <f>IFERROR(VLOOKUP(C3990,DATA!#REF!,2,FALSE),"")</f>
        <v/>
      </c>
    </row>
    <row r="3991" spans="3:4" s="237" customFormat="1">
      <c r="C3991" s="16" t="str">
        <f>IFERROR(VLOOKUP(DATA!#REF!,DATA!#REF!,1,FALSE),"")</f>
        <v/>
      </c>
      <c r="D3991" s="16" t="str">
        <f>IFERROR(VLOOKUP(C3991,DATA!#REF!,2,FALSE),"")</f>
        <v/>
      </c>
    </row>
    <row r="3992" spans="3:4" s="237" customFormat="1">
      <c r="C3992" s="16" t="str">
        <f>IFERROR(VLOOKUP(DATA!#REF!,DATA!#REF!,1,FALSE),"")</f>
        <v/>
      </c>
      <c r="D3992" s="16" t="str">
        <f>IFERROR(VLOOKUP(C3992,DATA!#REF!,2,FALSE),"")</f>
        <v/>
      </c>
    </row>
    <row r="3993" spans="3:4" s="237" customFormat="1">
      <c r="C3993" s="16" t="str">
        <f>IFERROR(VLOOKUP(DATA!#REF!,DATA!#REF!,1,FALSE),"")</f>
        <v/>
      </c>
      <c r="D3993" s="16" t="str">
        <f>IFERROR(VLOOKUP(C3993,DATA!#REF!,2,FALSE),"")</f>
        <v/>
      </c>
    </row>
    <row r="3994" spans="3:4" s="237" customFormat="1">
      <c r="C3994" s="16" t="str">
        <f>IFERROR(VLOOKUP(DATA!#REF!,DATA!#REF!,1,FALSE),"")</f>
        <v/>
      </c>
      <c r="D3994" s="16" t="str">
        <f>IFERROR(VLOOKUP(C3994,DATA!#REF!,2,FALSE),"")</f>
        <v/>
      </c>
    </row>
    <row r="3995" spans="3:4" s="237" customFormat="1">
      <c r="C3995" s="16" t="str">
        <f>IFERROR(VLOOKUP(DATA!#REF!,DATA!#REF!,1,FALSE),"")</f>
        <v/>
      </c>
      <c r="D3995" s="16" t="str">
        <f>IFERROR(VLOOKUP(C3995,DATA!#REF!,2,FALSE),"")</f>
        <v/>
      </c>
    </row>
    <row r="3996" spans="3:4" s="237" customFormat="1">
      <c r="C3996" s="16" t="str">
        <f>IFERROR(VLOOKUP(DATA!#REF!,DATA!#REF!,1,FALSE),"")</f>
        <v/>
      </c>
      <c r="D3996" s="16" t="str">
        <f>IFERROR(VLOOKUP(C3996,DATA!#REF!,2,FALSE),"")</f>
        <v/>
      </c>
    </row>
    <row r="3997" spans="3:4" s="237" customFormat="1">
      <c r="C3997" s="16" t="str">
        <f>IFERROR(VLOOKUP(DATA!#REF!,DATA!#REF!,1,FALSE),"")</f>
        <v/>
      </c>
      <c r="D3997" s="16" t="str">
        <f>IFERROR(VLOOKUP(C3997,DATA!#REF!,2,FALSE),"")</f>
        <v/>
      </c>
    </row>
    <row r="3998" spans="3:4" s="237" customFormat="1">
      <c r="C3998" s="16" t="str">
        <f>IFERROR(VLOOKUP(DATA!#REF!,DATA!#REF!,1,FALSE),"")</f>
        <v/>
      </c>
      <c r="D3998" s="16" t="str">
        <f>IFERROR(VLOOKUP(C3998,DATA!#REF!,2,FALSE),"")</f>
        <v/>
      </c>
    </row>
    <row r="3999" spans="3:4" s="237" customFormat="1">
      <c r="C3999" s="16" t="str">
        <f>IFERROR(VLOOKUP(DATA!#REF!,DATA!#REF!,1,FALSE),"")</f>
        <v/>
      </c>
      <c r="D3999" s="16" t="str">
        <f>IFERROR(VLOOKUP(C3999,DATA!#REF!,2,FALSE),"")</f>
        <v/>
      </c>
    </row>
    <row r="4000" spans="3:4" s="237" customFormat="1">
      <c r="C4000" s="16" t="str">
        <f>IFERROR(VLOOKUP(DATA!#REF!,DATA!#REF!,1,FALSE),"")</f>
        <v/>
      </c>
      <c r="D4000" s="16" t="str">
        <f>IFERROR(VLOOKUP(C4000,DATA!#REF!,2,FALSE),"")</f>
        <v/>
      </c>
    </row>
    <row r="4001" spans="3:4" s="237" customFormat="1">
      <c r="C4001" s="16" t="str">
        <f>IFERROR(VLOOKUP(DATA!#REF!,DATA!#REF!,1,FALSE),"")</f>
        <v/>
      </c>
      <c r="D4001" s="16" t="str">
        <f>IFERROR(VLOOKUP(C4001,DATA!#REF!,2,FALSE),"")</f>
        <v/>
      </c>
    </row>
    <row r="4002" spans="3:4" s="237" customFormat="1">
      <c r="C4002" s="16" t="str">
        <f>IFERROR(VLOOKUP(DATA!#REF!,DATA!#REF!,1,FALSE),"")</f>
        <v/>
      </c>
      <c r="D4002" s="16" t="str">
        <f>IFERROR(VLOOKUP(C4002,DATA!#REF!,2,FALSE),"")</f>
        <v/>
      </c>
    </row>
    <row r="4003" spans="3:4" s="237" customFormat="1">
      <c r="C4003" s="16" t="str">
        <f>IFERROR(VLOOKUP(DATA!#REF!,DATA!#REF!,1,FALSE),"")</f>
        <v/>
      </c>
      <c r="D4003" s="16" t="str">
        <f>IFERROR(VLOOKUP(C4003,DATA!#REF!,2,FALSE),"")</f>
        <v/>
      </c>
    </row>
    <row r="4004" spans="3:4" s="237" customFormat="1">
      <c r="C4004" s="16" t="str">
        <f>IFERROR(VLOOKUP(DATA!#REF!,DATA!#REF!,1,FALSE),"")</f>
        <v/>
      </c>
      <c r="D4004" s="16" t="str">
        <f>IFERROR(VLOOKUP(C4004,DATA!#REF!,2,FALSE),"")</f>
        <v/>
      </c>
    </row>
    <row r="4005" spans="3:4" s="237" customFormat="1">
      <c r="C4005" s="16" t="str">
        <f>IFERROR(VLOOKUP(DATA!#REF!,DATA!#REF!,1,FALSE),"")</f>
        <v/>
      </c>
      <c r="D4005" s="16" t="str">
        <f>IFERROR(VLOOKUP(C4005,DATA!#REF!,2,FALSE),"")</f>
        <v/>
      </c>
    </row>
    <row r="4006" spans="3:4" s="237" customFormat="1">
      <c r="C4006" s="16" t="str">
        <f>IFERROR(VLOOKUP(DATA!#REF!,DATA!#REF!,1,FALSE),"")</f>
        <v/>
      </c>
      <c r="D4006" s="16" t="str">
        <f>IFERROR(VLOOKUP(C4006,DATA!#REF!,2,FALSE),"")</f>
        <v/>
      </c>
    </row>
    <row r="4007" spans="3:4" s="237" customFormat="1">
      <c r="C4007" s="16" t="str">
        <f>IFERROR(VLOOKUP(DATA!#REF!,DATA!#REF!,1,FALSE),"")</f>
        <v/>
      </c>
      <c r="D4007" s="16" t="str">
        <f>IFERROR(VLOOKUP(C4007,DATA!#REF!,2,FALSE),"")</f>
        <v/>
      </c>
    </row>
    <row r="4008" spans="3:4" s="237" customFormat="1">
      <c r="C4008" s="16" t="str">
        <f>IFERROR(VLOOKUP(DATA!#REF!,DATA!#REF!,1,FALSE),"")</f>
        <v/>
      </c>
      <c r="D4008" s="16" t="str">
        <f>IFERROR(VLOOKUP(C4008,DATA!#REF!,2,FALSE),"")</f>
        <v/>
      </c>
    </row>
    <row r="4009" spans="3:4" s="237" customFormat="1">
      <c r="C4009" s="16" t="str">
        <f>IFERROR(VLOOKUP(DATA!#REF!,DATA!#REF!,1,FALSE),"")</f>
        <v/>
      </c>
      <c r="D4009" s="16" t="str">
        <f>IFERROR(VLOOKUP(C4009,DATA!#REF!,2,FALSE),"")</f>
        <v/>
      </c>
    </row>
    <row r="4010" spans="3:4" s="237" customFormat="1">
      <c r="C4010" s="16" t="str">
        <f>IFERROR(VLOOKUP(DATA!#REF!,DATA!#REF!,1,FALSE),"")</f>
        <v/>
      </c>
      <c r="D4010" s="16" t="str">
        <f>IFERROR(VLOOKUP(C4010,DATA!#REF!,2,FALSE),"")</f>
        <v/>
      </c>
    </row>
    <row r="4011" spans="3:4" s="237" customFormat="1">
      <c r="C4011" s="16" t="str">
        <f>IFERROR(VLOOKUP(DATA!#REF!,DATA!#REF!,1,FALSE),"")</f>
        <v/>
      </c>
      <c r="D4011" s="16" t="str">
        <f>IFERROR(VLOOKUP(C4011,DATA!#REF!,2,FALSE),"")</f>
        <v/>
      </c>
    </row>
    <row r="4012" spans="3:4" s="237" customFormat="1">
      <c r="C4012" s="16" t="str">
        <f>IFERROR(VLOOKUP(DATA!#REF!,DATA!#REF!,1,FALSE),"")</f>
        <v/>
      </c>
      <c r="D4012" s="16" t="str">
        <f>IFERROR(VLOOKUP(C4012,DATA!#REF!,2,FALSE),"")</f>
        <v/>
      </c>
    </row>
    <row r="4013" spans="3:4" s="237" customFormat="1">
      <c r="C4013" s="16" t="str">
        <f>IFERROR(VLOOKUP(DATA!#REF!,DATA!#REF!,1,FALSE),"")</f>
        <v/>
      </c>
      <c r="D4013" s="16" t="str">
        <f>IFERROR(VLOOKUP(C4013,DATA!#REF!,2,FALSE),"")</f>
        <v/>
      </c>
    </row>
    <row r="4014" spans="3:4" s="237" customFormat="1">
      <c r="C4014" s="16" t="str">
        <f>IFERROR(VLOOKUP(DATA!#REF!,DATA!#REF!,1,FALSE),"")</f>
        <v/>
      </c>
      <c r="D4014" s="16" t="str">
        <f>IFERROR(VLOOKUP(C4014,DATA!#REF!,2,FALSE),"")</f>
        <v/>
      </c>
    </row>
    <row r="4015" spans="3:4" s="237" customFormat="1">
      <c r="C4015" s="16" t="str">
        <f>IFERROR(VLOOKUP(DATA!#REF!,DATA!#REF!,1,FALSE),"")</f>
        <v/>
      </c>
      <c r="D4015" s="16" t="str">
        <f>IFERROR(VLOOKUP(C4015,DATA!#REF!,2,FALSE),"")</f>
        <v/>
      </c>
    </row>
    <row r="4016" spans="3:4" s="237" customFormat="1">
      <c r="C4016" s="16" t="str">
        <f>IFERROR(VLOOKUP(DATA!#REF!,DATA!#REF!,1,FALSE),"")</f>
        <v/>
      </c>
      <c r="D4016" s="16" t="str">
        <f>IFERROR(VLOOKUP(C4016,DATA!#REF!,2,FALSE),"")</f>
        <v/>
      </c>
    </row>
    <row r="4017" spans="3:4" s="237" customFormat="1">
      <c r="C4017" s="16" t="str">
        <f>IFERROR(VLOOKUP(DATA!#REF!,DATA!#REF!,1,FALSE),"")</f>
        <v/>
      </c>
      <c r="D4017" s="16" t="str">
        <f>IFERROR(VLOOKUP(C4017,DATA!#REF!,2,FALSE),"")</f>
        <v/>
      </c>
    </row>
    <row r="4018" spans="3:4" s="237" customFormat="1">
      <c r="C4018" s="16" t="str">
        <f>IFERROR(VLOOKUP(DATA!#REF!,DATA!#REF!,1,FALSE),"")</f>
        <v/>
      </c>
      <c r="D4018" s="16" t="str">
        <f>IFERROR(VLOOKUP(C4018,DATA!#REF!,2,FALSE),"")</f>
        <v/>
      </c>
    </row>
    <row r="4019" spans="3:4" s="237" customFormat="1">
      <c r="C4019" s="16" t="str">
        <f>IFERROR(VLOOKUP(DATA!#REF!,DATA!#REF!,1,FALSE),"")</f>
        <v/>
      </c>
      <c r="D4019" s="16" t="str">
        <f>IFERROR(VLOOKUP(C4019,DATA!#REF!,2,FALSE),"")</f>
        <v/>
      </c>
    </row>
    <row r="4020" spans="3:4" s="237" customFormat="1">
      <c r="C4020" s="16" t="str">
        <f>IFERROR(VLOOKUP(DATA!#REF!,DATA!#REF!,1,FALSE),"")</f>
        <v/>
      </c>
      <c r="D4020" s="16" t="str">
        <f>IFERROR(VLOOKUP(C4020,DATA!#REF!,2,FALSE),"")</f>
        <v/>
      </c>
    </row>
    <row r="4021" spans="3:4" s="237" customFormat="1">
      <c r="C4021" s="16" t="str">
        <f>IFERROR(VLOOKUP(DATA!#REF!,DATA!#REF!,1,FALSE),"")</f>
        <v/>
      </c>
      <c r="D4021" s="16" t="str">
        <f>IFERROR(VLOOKUP(C4021,DATA!#REF!,2,FALSE),"")</f>
        <v/>
      </c>
    </row>
    <row r="4022" spans="3:4" s="237" customFormat="1">
      <c r="C4022" s="16" t="str">
        <f>IFERROR(VLOOKUP(DATA!#REF!,DATA!#REF!,1,FALSE),"")</f>
        <v/>
      </c>
      <c r="D4022" s="16" t="str">
        <f>IFERROR(VLOOKUP(C4022,DATA!#REF!,2,FALSE),"")</f>
        <v/>
      </c>
    </row>
    <row r="4023" spans="3:4" s="237" customFormat="1">
      <c r="C4023" s="16" t="str">
        <f>IFERROR(VLOOKUP(DATA!#REF!,DATA!#REF!,1,FALSE),"")</f>
        <v/>
      </c>
      <c r="D4023" s="16" t="str">
        <f>IFERROR(VLOOKUP(C4023,DATA!#REF!,2,FALSE),"")</f>
        <v/>
      </c>
    </row>
    <row r="4024" spans="3:4" s="237" customFormat="1">
      <c r="C4024" s="16" t="str">
        <f>IFERROR(VLOOKUP(DATA!#REF!,DATA!#REF!,1,FALSE),"")</f>
        <v/>
      </c>
      <c r="D4024" s="16" t="str">
        <f>IFERROR(VLOOKUP(C4024,DATA!#REF!,2,FALSE),"")</f>
        <v/>
      </c>
    </row>
    <row r="4025" spans="3:4" s="237" customFormat="1">
      <c r="C4025" s="16" t="str">
        <f>IFERROR(VLOOKUP(DATA!#REF!,DATA!#REF!,1,FALSE),"")</f>
        <v/>
      </c>
      <c r="D4025" s="16" t="str">
        <f>IFERROR(VLOOKUP(C4025,DATA!#REF!,2,FALSE),"")</f>
        <v/>
      </c>
    </row>
    <row r="4026" spans="3:4" s="237" customFormat="1">
      <c r="C4026" s="16" t="str">
        <f>IFERROR(VLOOKUP(DATA!#REF!,DATA!#REF!,1,FALSE),"")</f>
        <v/>
      </c>
      <c r="D4026" s="16" t="str">
        <f>IFERROR(VLOOKUP(C4026,DATA!#REF!,2,FALSE),"")</f>
        <v/>
      </c>
    </row>
    <row r="4027" spans="3:4" s="237" customFormat="1">
      <c r="C4027" s="16" t="str">
        <f>IFERROR(VLOOKUP(DATA!#REF!,DATA!#REF!,1,FALSE),"")</f>
        <v/>
      </c>
      <c r="D4027" s="16" t="str">
        <f>IFERROR(VLOOKUP(C4027,DATA!#REF!,2,FALSE),"")</f>
        <v/>
      </c>
    </row>
    <row r="4028" spans="3:4" s="237" customFormat="1">
      <c r="C4028" s="16" t="str">
        <f>IFERROR(VLOOKUP(DATA!#REF!,DATA!#REF!,1,FALSE),"")</f>
        <v/>
      </c>
      <c r="D4028" s="16" t="str">
        <f>IFERROR(VLOOKUP(C4028,DATA!#REF!,2,FALSE),"")</f>
        <v/>
      </c>
    </row>
    <row r="4029" spans="3:4" s="237" customFormat="1">
      <c r="C4029" s="16" t="str">
        <f>IFERROR(VLOOKUP(DATA!#REF!,DATA!#REF!,1,FALSE),"")</f>
        <v/>
      </c>
      <c r="D4029" s="16" t="str">
        <f>IFERROR(VLOOKUP(C4029,DATA!#REF!,2,FALSE),"")</f>
        <v/>
      </c>
    </row>
    <row r="4030" spans="3:4" s="237" customFormat="1">
      <c r="C4030" s="16" t="str">
        <f>IFERROR(VLOOKUP(DATA!#REF!,DATA!#REF!,1,FALSE),"")</f>
        <v/>
      </c>
      <c r="D4030" s="16" t="str">
        <f>IFERROR(VLOOKUP(C4030,DATA!#REF!,2,FALSE),"")</f>
        <v/>
      </c>
    </row>
    <row r="4031" spans="3:4" s="237" customFormat="1">
      <c r="C4031" s="16" t="str">
        <f>IFERROR(VLOOKUP(DATA!#REF!,DATA!#REF!,1,FALSE),"")</f>
        <v/>
      </c>
      <c r="D4031" s="16" t="str">
        <f>IFERROR(VLOOKUP(C4031,DATA!#REF!,2,FALSE),"")</f>
        <v/>
      </c>
    </row>
    <row r="4032" spans="3:4" s="237" customFormat="1">
      <c r="C4032" s="16" t="str">
        <f>IFERROR(VLOOKUP(DATA!#REF!,DATA!#REF!,1,FALSE),"")</f>
        <v/>
      </c>
      <c r="D4032" s="16" t="str">
        <f>IFERROR(VLOOKUP(C4032,DATA!#REF!,2,FALSE),"")</f>
        <v/>
      </c>
    </row>
    <row r="4033" spans="3:4" s="237" customFormat="1">
      <c r="C4033" s="16" t="str">
        <f>IFERROR(VLOOKUP(DATA!#REF!,DATA!#REF!,1,FALSE),"")</f>
        <v/>
      </c>
      <c r="D4033" s="16" t="str">
        <f>IFERROR(VLOOKUP(C4033,DATA!#REF!,2,FALSE),"")</f>
        <v/>
      </c>
    </row>
    <row r="4034" spans="3:4" s="237" customFormat="1">
      <c r="C4034" s="16" t="str">
        <f>IFERROR(VLOOKUP(DATA!#REF!,DATA!#REF!,1,FALSE),"")</f>
        <v/>
      </c>
      <c r="D4034" s="16" t="str">
        <f>IFERROR(VLOOKUP(C4034,DATA!#REF!,2,FALSE),"")</f>
        <v/>
      </c>
    </row>
    <row r="4035" spans="3:4" s="237" customFormat="1">
      <c r="C4035" s="16" t="str">
        <f>IFERROR(VLOOKUP(DATA!#REF!,DATA!#REF!,1,FALSE),"")</f>
        <v/>
      </c>
      <c r="D4035" s="16" t="str">
        <f>IFERROR(VLOOKUP(C4035,DATA!#REF!,2,FALSE),"")</f>
        <v/>
      </c>
    </row>
    <row r="4036" spans="3:4" s="237" customFormat="1">
      <c r="C4036" s="16" t="str">
        <f>IFERROR(VLOOKUP(DATA!#REF!,DATA!#REF!,1,FALSE),"")</f>
        <v/>
      </c>
      <c r="D4036" s="16" t="str">
        <f>IFERROR(VLOOKUP(C4036,DATA!#REF!,2,FALSE),"")</f>
        <v/>
      </c>
    </row>
    <row r="4037" spans="3:4" s="237" customFormat="1">
      <c r="C4037" s="16" t="str">
        <f>IFERROR(VLOOKUP(DATA!#REF!,DATA!#REF!,1,FALSE),"")</f>
        <v/>
      </c>
      <c r="D4037" s="16" t="str">
        <f>IFERROR(VLOOKUP(C4037,DATA!#REF!,2,FALSE),"")</f>
        <v/>
      </c>
    </row>
    <row r="4038" spans="3:4" s="237" customFormat="1">
      <c r="C4038" s="16" t="str">
        <f>IFERROR(VLOOKUP(DATA!#REF!,DATA!#REF!,1,FALSE),"")</f>
        <v/>
      </c>
      <c r="D4038" s="16" t="str">
        <f>IFERROR(VLOOKUP(C4038,DATA!#REF!,2,FALSE),"")</f>
        <v/>
      </c>
    </row>
    <row r="4039" spans="3:4" s="237" customFormat="1">
      <c r="C4039" s="16" t="str">
        <f>IFERROR(VLOOKUP(DATA!#REF!,DATA!#REF!,1,FALSE),"")</f>
        <v/>
      </c>
      <c r="D4039" s="16" t="str">
        <f>IFERROR(VLOOKUP(C4039,DATA!#REF!,2,FALSE),"")</f>
        <v/>
      </c>
    </row>
    <row r="4040" spans="3:4" s="237" customFormat="1">
      <c r="C4040" s="16" t="str">
        <f>IFERROR(VLOOKUP(DATA!#REF!,DATA!#REF!,1,FALSE),"")</f>
        <v/>
      </c>
      <c r="D4040" s="16" t="str">
        <f>IFERROR(VLOOKUP(C4040,DATA!#REF!,2,FALSE),"")</f>
        <v/>
      </c>
    </row>
    <row r="4041" spans="3:4" s="237" customFormat="1">
      <c r="C4041" s="16" t="str">
        <f>IFERROR(VLOOKUP(DATA!#REF!,DATA!#REF!,1,FALSE),"")</f>
        <v/>
      </c>
      <c r="D4041" s="16" t="str">
        <f>IFERROR(VLOOKUP(C4041,DATA!#REF!,2,FALSE),"")</f>
        <v/>
      </c>
    </row>
    <row r="4042" spans="3:4" s="237" customFormat="1">
      <c r="C4042" s="16" t="str">
        <f>IFERROR(VLOOKUP(DATA!#REF!,DATA!#REF!,1,FALSE),"")</f>
        <v/>
      </c>
      <c r="D4042" s="16" t="str">
        <f>IFERROR(VLOOKUP(C4042,DATA!#REF!,2,FALSE),"")</f>
        <v/>
      </c>
    </row>
    <row r="4043" spans="3:4" s="237" customFormat="1">
      <c r="C4043" s="16" t="str">
        <f>IFERROR(VLOOKUP(DATA!#REF!,DATA!#REF!,1,FALSE),"")</f>
        <v/>
      </c>
      <c r="D4043" s="16" t="str">
        <f>IFERROR(VLOOKUP(C4043,DATA!#REF!,2,FALSE),"")</f>
        <v/>
      </c>
    </row>
    <row r="4044" spans="3:4" s="237" customFormat="1">
      <c r="C4044" s="16" t="str">
        <f>IFERROR(VLOOKUP(DATA!#REF!,DATA!#REF!,1,FALSE),"")</f>
        <v/>
      </c>
      <c r="D4044" s="16" t="str">
        <f>IFERROR(VLOOKUP(C4044,DATA!#REF!,2,FALSE),"")</f>
        <v/>
      </c>
    </row>
    <row r="4045" spans="3:4" s="237" customFormat="1">
      <c r="C4045" s="16" t="str">
        <f>IFERROR(VLOOKUP(DATA!#REF!,DATA!#REF!,1,FALSE),"")</f>
        <v/>
      </c>
      <c r="D4045" s="16" t="str">
        <f>IFERROR(VLOOKUP(C4045,DATA!#REF!,2,FALSE),"")</f>
        <v/>
      </c>
    </row>
    <row r="4046" spans="3:4" s="237" customFormat="1">
      <c r="C4046" s="16" t="str">
        <f>IFERROR(VLOOKUP(DATA!#REF!,DATA!#REF!,1,FALSE),"")</f>
        <v/>
      </c>
      <c r="D4046" s="16" t="str">
        <f>IFERROR(VLOOKUP(C4046,DATA!#REF!,2,FALSE),"")</f>
        <v/>
      </c>
    </row>
    <row r="4047" spans="3:4" s="237" customFormat="1">
      <c r="C4047" s="16" t="str">
        <f>IFERROR(VLOOKUP(DATA!#REF!,DATA!#REF!,1,FALSE),"")</f>
        <v/>
      </c>
      <c r="D4047" s="16" t="str">
        <f>IFERROR(VLOOKUP(C4047,DATA!#REF!,2,FALSE),"")</f>
        <v/>
      </c>
    </row>
    <row r="4048" spans="3:4" s="237" customFormat="1">
      <c r="C4048" s="16" t="str">
        <f>IFERROR(VLOOKUP(DATA!#REF!,DATA!#REF!,1,FALSE),"")</f>
        <v/>
      </c>
      <c r="D4048" s="16" t="str">
        <f>IFERROR(VLOOKUP(C4048,DATA!#REF!,2,FALSE),"")</f>
        <v/>
      </c>
    </row>
    <row r="4049" spans="3:4" s="237" customFormat="1">
      <c r="C4049" s="16" t="str">
        <f>IFERROR(VLOOKUP(DATA!#REF!,DATA!#REF!,1,FALSE),"")</f>
        <v/>
      </c>
      <c r="D4049" s="16" t="str">
        <f>IFERROR(VLOOKUP(C4049,DATA!#REF!,2,FALSE),"")</f>
        <v/>
      </c>
    </row>
    <row r="4050" spans="3:4" s="237" customFormat="1">
      <c r="C4050" s="16" t="str">
        <f>IFERROR(VLOOKUP(DATA!#REF!,DATA!#REF!,1,FALSE),"")</f>
        <v/>
      </c>
      <c r="D4050" s="16" t="str">
        <f>IFERROR(VLOOKUP(C4050,DATA!#REF!,2,FALSE),"")</f>
        <v/>
      </c>
    </row>
    <row r="4051" spans="3:4" s="237" customFormat="1">
      <c r="C4051" s="16" t="str">
        <f>IFERROR(VLOOKUP(DATA!#REF!,DATA!#REF!,1,FALSE),"")</f>
        <v/>
      </c>
      <c r="D4051" s="16" t="str">
        <f>IFERROR(VLOOKUP(C4051,DATA!#REF!,2,FALSE),"")</f>
        <v/>
      </c>
    </row>
    <row r="4052" spans="3:4" s="237" customFormat="1">
      <c r="C4052" s="16" t="str">
        <f>IFERROR(VLOOKUP(DATA!#REF!,DATA!#REF!,1,FALSE),"")</f>
        <v/>
      </c>
      <c r="D4052" s="16" t="str">
        <f>IFERROR(VLOOKUP(C4052,DATA!#REF!,2,FALSE),"")</f>
        <v/>
      </c>
    </row>
    <row r="4053" spans="3:4" s="237" customFormat="1">
      <c r="C4053" s="16" t="str">
        <f>IFERROR(VLOOKUP(DATA!#REF!,DATA!#REF!,1,FALSE),"")</f>
        <v/>
      </c>
      <c r="D4053" s="16" t="str">
        <f>IFERROR(VLOOKUP(C4053,DATA!#REF!,2,FALSE),"")</f>
        <v/>
      </c>
    </row>
    <row r="4054" spans="3:4" s="237" customFormat="1">
      <c r="C4054" s="16" t="str">
        <f>IFERROR(VLOOKUP(DATA!#REF!,DATA!#REF!,1,FALSE),"")</f>
        <v/>
      </c>
      <c r="D4054" s="16" t="str">
        <f>IFERROR(VLOOKUP(C4054,DATA!#REF!,2,FALSE),"")</f>
        <v/>
      </c>
    </row>
    <row r="4055" spans="3:4" s="237" customFormat="1">
      <c r="C4055" s="16" t="str">
        <f>IFERROR(VLOOKUP(DATA!#REF!,DATA!#REF!,1,FALSE),"")</f>
        <v/>
      </c>
      <c r="D4055" s="16" t="str">
        <f>IFERROR(VLOOKUP(C4055,DATA!#REF!,2,FALSE),"")</f>
        <v/>
      </c>
    </row>
    <row r="4056" spans="3:4" s="237" customFormat="1">
      <c r="C4056" s="16" t="str">
        <f>IFERROR(VLOOKUP(DATA!#REF!,DATA!#REF!,1,FALSE),"")</f>
        <v/>
      </c>
      <c r="D4056" s="16" t="str">
        <f>IFERROR(VLOOKUP(C4056,DATA!#REF!,2,FALSE),"")</f>
        <v/>
      </c>
    </row>
    <row r="4057" spans="3:4" s="237" customFormat="1">
      <c r="C4057" s="16" t="str">
        <f>IFERROR(VLOOKUP(DATA!#REF!,DATA!#REF!,1,FALSE),"")</f>
        <v/>
      </c>
      <c r="D4057" s="16" t="str">
        <f>IFERROR(VLOOKUP(C4057,DATA!#REF!,2,FALSE),"")</f>
        <v/>
      </c>
    </row>
    <row r="4058" spans="3:4" s="237" customFormat="1">
      <c r="C4058" s="16" t="str">
        <f>IFERROR(VLOOKUP(DATA!#REF!,DATA!#REF!,1,FALSE),"")</f>
        <v/>
      </c>
      <c r="D4058" s="16" t="str">
        <f>IFERROR(VLOOKUP(C4058,DATA!#REF!,2,FALSE),"")</f>
        <v/>
      </c>
    </row>
    <row r="4059" spans="3:4" s="237" customFormat="1">
      <c r="C4059" s="16" t="str">
        <f>IFERROR(VLOOKUP(DATA!#REF!,DATA!#REF!,1,FALSE),"")</f>
        <v/>
      </c>
      <c r="D4059" s="16" t="str">
        <f>IFERROR(VLOOKUP(C4059,DATA!#REF!,2,FALSE),"")</f>
        <v/>
      </c>
    </row>
    <row r="4060" spans="3:4" s="237" customFormat="1">
      <c r="C4060" s="16" t="str">
        <f>IFERROR(VLOOKUP(DATA!#REF!,DATA!#REF!,1,FALSE),"")</f>
        <v/>
      </c>
      <c r="D4060" s="16" t="str">
        <f>IFERROR(VLOOKUP(C4060,DATA!#REF!,2,FALSE),"")</f>
        <v/>
      </c>
    </row>
    <row r="4061" spans="3:4" s="237" customFormat="1">
      <c r="C4061" s="16" t="str">
        <f>IFERROR(VLOOKUP(DATA!#REF!,DATA!#REF!,1,FALSE),"")</f>
        <v/>
      </c>
      <c r="D4061" s="16" t="str">
        <f>IFERROR(VLOOKUP(C4061,DATA!#REF!,2,FALSE),"")</f>
        <v/>
      </c>
    </row>
    <row r="4062" spans="3:4" s="237" customFormat="1">
      <c r="C4062" s="16" t="str">
        <f>IFERROR(VLOOKUP(DATA!#REF!,DATA!#REF!,1,FALSE),"")</f>
        <v/>
      </c>
      <c r="D4062" s="16" t="str">
        <f>IFERROR(VLOOKUP(C4062,DATA!#REF!,2,FALSE),"")</f>
        <v/>
      </c>
    </row>
    <row r="4063" spans="3:4" s="237" customFormat="1">
      <c r="C4063" s="16" t="str">
        <f>IFERROR(VLOOKUP(DATA!#REF!,DATA!#REF!,1,FALSE),"")</f>
        <v/>
      </c>
      <c r="D4063" s="16" t="str">
        <f>IFERROR(VLOOKUP(C4063,DATA!#REF!,2,FALSE),"")</f>
        <v/>
      </c>
    </row>
    <row r="4064" spans="3:4" s="237" customFormat="1">
      <c r="C4064" s="16" t="str">
        <f>IFERROR(VLOOKUP(DATA!#REF!,DATA!#REF!,1,FALSE),"")</f>
        <v/>
      </c>
      <c r="D4064" s="16" t="str">
        <f>IFERROR(VLOOKUP(C4064,DATA!#REF!,2,FALSE),"")</f>
        <v/>
      </c>
    </row>
    <row r="4065" spans="3:4" s="237" customFormat="1">
      <c r="C4065" s="16" t="str">
        <f>IFERROR(VLOOKUP(DATA!#REF!,DATA!#REF!,1,FALSE),"")</f>
        <v/>
      </c>
      <c r="D4065" s="16" t="str">
        <f>IFERROR(VLOOKUP(C4065,DATA!#REF!,2,FALSE),"")</f>
        <v/>
      </c>
    </row>
    <row r="4066" spans="3:4" s="237" customFormat="1">
      <c r="C4066" s="16" t="str">
        <f>IFERROR(VLOOKUP(DATA!#REF!,DATA!#REF!,1,FALSE),"")</f>
        <v/>
      </c>
      <c r="D4066" s="16" t="str">
        <f>IFERROR(VLOOKUP(C4066,DATA!#REF!,2,FALSE),"")</f>
        <v/>
      </c>
    </row>
    <row r="4067" spans="3:4" s="237" customFormat="1">
      <c r="C4067" s="16" t="str">
        <f>IFERROR(VLOOKUP(DATA!#REF!,DATA!#REF!,1,FALSE),"")</f>
        <v/>
      </c>
      <c r="D4067" s="16" t="str">
        <f>IFERROR(VLOOKUP(C4067,DATA!#REF!,2,FALSE),"")</f>
        <v/>
      </c>
    </row>
    <row r="4068" spans="3:4" s="237" customFormat="1">
      <c r="C4068" s="16" t="str">
        <f>IFERROR(VLOOKUP(DATA!#REF!,DATA!#REF!,1,FALSE),"")</f>
        <v/>
      </c>
      <c r="D4068" s="16" t="str">
        <f>IFERROR(VLOOKUP(C4068,DATA!#REF!,2,FALSE),"")</f>
        <v/>
      </c>
    </row>
    <row r="4069" spans="3:4" s="237" customFormat="1">
      <c r="C4069" s="16" t="str">
        <f>IFERROR(VLOOKUP(DATA!#REF!,DATA!#REF!,1,FALSE),"")</f>
        <v/>
      </c>
      <c r="D4069" s="16" t="str">
        <f>IFERROR(VLOOKUP(C4069,DATA!#REF!,2,FALSE),"")</f>
        <v/>
      </c>
    </row>
    <row r="4070" spans="3:4" s="237" customFormat="1">
      <c r="C4070" s="16" t="str">
        <f>IFERROR(VLOOKUP(DATA!#REF!,DATA!#REF!,1,FALSE),"")</f>
        <v/>
      </c>
      <c r="D4070" s="16" t="str">
        <f>IFERROR(VLOOKUP(C4070,DATA!#REF!,2,FALSE),"")</f>
        <v/>
      </c>
    </row>
    <row r="4071" spans="3:4" s="237" customFormat="1">
      <c r="C4071" s="16" t="str">
        <f>IFERROR(VLOOKUP(DATA!#REF!,DATA!#REF!,1,FALSE),"")</f>
        <v/>
      </c>
      <c r="D4071" s="16" t="str">
        <f>IFERROR(VLOOKUP(C4071,DATA!#REF!,2,FALSE),"")</f>
        <v/>
      </c>
    </row>
    <row r="4072" spans="3:4" s="237" customFormat="1">
      <c r="C4072" s="16" t="str">
        <f>IFERROR(VLOOKUP(DATA!#REF!,DATA!#REF!,1,FALSE),"")</f>
        <v/>
      </c>
      <c r="D4072" s="16" t="str">
        <f>IFERROR(VLOOKUP(C4072,DATA!#REF!,2,FALSE),"")</f>
        <v/>
      </c>
    </row>
    <row r="4073" spans="3:4" s="237" customFormat="1">
      <c r="C4073" s="16" t="str">
        <f>IFERROR(VLOOKUP(DATA!#REF!,DATA!#REF!,1,FALSE),"")</f>
        <v/>
      </c>
      <c r="D4073" s="16" t="str">
        <f>IFERROR(VLOOKUP(C4073,DATA!#REF!,2,FALSE),"")</f>
        <v/>
      </c>
    </row>
    <row r="4074" spans="3:4" s="237" customFormat="1">
      <c r="C4074" s="16" t="str">
        <f>IFERROR(VLOOKUP(DATA!#REF!,DATA!#REF!,1,FALSE),"")</f>
        <v/>
      </c>
      <c r="D4074" s="16" t="str">
        <f>IFERROR(VLOOKUP(C4074,DATA!#REF!,2,FALSE),"")</f>
        <v/>
      </c>
    </row>
    <row r="4075" spans="3:4" s="237" customFormat="1">
      <c r="C4075" s="16" t="str">
        <f>IFERROR(VLOOKUP(DATA!#REF!,DATA!#REF!,1,FALSE),"")</f>
        <v/>
      </c>
      <c r="D4075" s="16" t="str">
        <f>IFERROR(VLOOKUP(C4075,DATA!#REF!,2,FALSE),"")</f>
        <v/>
      </c>
    </row>
    <row r="4076" spans="3:4" s="237" customFormat="1">
      <c r="C4076" s="16" t="str">
        <f>IFERROR(VLOOKUP(DATA!#REF!,DATA!#REF!,1,FALSE),"")</f>
        <v/>
      </c>
      <c r="D4076" s="16" t="str">
        <f>IFERROR(VLOOKUP(C4076,DATA!#REF!,2,FALSE),"")</f>
        <v/>
      </c>
    </row>
    <row r="4077" spans="3:4" s="237" customFormat="1">
      <c r="C4077" s="16" t="str">
        <f>IFERROR(VLOOKUP(DATA!#REF!,DATA!#REF!,1,FALSE),"")</f>
        <v/>
      </c>
      <c r="D4077" s="16" t="str">
        <f>IFERROR(VLOOKUP(C4077,DATA!#REF!,2,FALSE),"")</f>
        <v/>
      </c>
    </row>
    <row r="4078" spans="3:4" s="237" customFormat="1">
      <c r="C4078" s="16" t="str">
        <f>IFERROR(VLOOKUP(DATA!#REF!,DATA!#REF!,1,FALSE),"")</f>
        <v/>
      </c>
      <c r="D4078" s="16" t="str">
        <f>IFERROR(VLOOKUP(C4078,DATA!#REF!,2,FALSE),"")</f>
        <v/>
      </c>
    </row>
    <row r="4079" spans="3:4" s="237" customFormat="1">
      <c r="C4079" s="16" t="str">
        <f>IFERROR(VLOOKUP(DATA!#REF!,DATA!#REF!,1,FALSE),"")</f>
        <v/>
      </c>
      <c r="D4079" s="16" t="str">
        <f>IFERROR(VLOOKUP(C4079,DATA!#REF!,2,FALSE),"")</f>
        <v/>
      </c>
    </row>
    <row r="4080" spans="3:4" s="237" customFormat="1">
      <c r="C4080" s="16" t="str">
        <f>IFERROR(VLOOKUP(DATA!#REF!,DATA!#REF!,1,FALSE),"")</f>
        <v/>
      </c>
      <c r="D4080" s="16" t="str">
        <f>IFERROR(VLOOKUP(C4080,DATA!#REF!,2,FALSE),"")</f>
        <v/>
      </c>
    </row>
    <row r="4081" spans="3:4" s="237" customFormat="1">
      <c r="C4081" s="16" t="str">
        <f>IFERROR(VLOOKUP(DATA!#REF!,DATA!#REF!,1,FALSE),"")</f>
        <v/>
      </c>
      <c r="D4081" s="16" t="str">
        <f>IFERROR(VLOOKUP(C4081,DATA!#REF!,2,FALSE),"")</f>
        <v/>
      </c>
    </row>
    <row r="4082" spans="3:4" s="237" customFormat="1">
      <c r="C4082" s="16" t="str">
        <f>IFERROR(VLOOKUP(DATA!#REF!,DATA!#REF!,1,FALSE),"")</f>
        <v/>
      </c>
      <c r="D4082" s="16" t="str">
        <f>IFERROR(VLOOKUP(C4082,DATA!#REF!,2,FALSE),"")</f>
        <v/>
      </c>
    </row>
    <row r="4083" spans="3:4" s="237" customFormat="1">
      <c r="C4083" s="16" t="str">
        <f>IFERROR(VLOOKUP(DATA!#REF!,DATA!#REF!,1,FALSE),"")</f>
        <v/>
      </c>
      <c r="D4083" s="16" t="str">
        <f>IFERROR(VLOOKUP(C4083,DATA!#REF!,2,FALSE),"")</f>
        <v/>
      </c>
    </row>
    <row r="4084" spans="3:4" s="237" customFormat="1">
      <c r="C4084" s="16" t="str">
        <f>IFERROR(VLOOKUP(DATA!#REF!,DATA!#REF!,1,FALSE),"")</f>
        <v/>
      </c>
      <c r="D4084" s="16" t="str">
        <f>IFERROR(VLOOKUP(C4084,DATA!#REF!,2,FALSE),"")</f>
        <v/>
      </c>
    </row>
    <row r="4085" spans="3:4" s="237" customFormat="1">
      <c r="C4085" s="16" t="str">
        <f>IFERROR(VLOOKUP(DATA!#REF!,DATA!#REF!,1,FALSE),"")</f>
        <v/>
      </c>
      <c r="D4085" s="16" t="str">
        <f>IFERROR(VLOOKUP(C4085,DATA!#REF!,2,FALSE),"")</f>
        <v/>
      </c>
    </row>
    <row r="4086" spans="3:4" s="237" customFormat="1">
      <c r="C4086" s="16" t="str">
        <f>IFERROR(VLOOKUP(DATA!#REF!,DATA!#REF!,1,FALSE),"")</f>
        <v/>
      </c>
      <c r="D4086" s="16" t="str">
        <f>IFERROR(VLOOKUP(C4086,DATA!#REF!,2,FALSE),"")</f>
        <v/>
      </c>
    </row>
    <row r="4087" spans="3:4" s="237" customFormat="1">
      <c r="C4087" s="16" t="str">
        <f>IFERROR(VLOOKUP(DATA!#REF!,DATA!#REF!,1,FALSE),"")</f>
        <v/>
      </c>
      <c r="D4087" s="16" t="str">
        <f>IFERROR(VLOOKUP(C4087,DATA!#REF!,2,FALSE),"")</f>
        <v/>
      </c>
    </row>
    <row r="4088" spans="3:4" s="237" customFormat="1">
      <c r="C4088" s="16" t="str">
        <f>IFERROR(VLOOKUP(DATA!#REF!,DATA!#REF!,1,FALSE),"")</f>
        <v/>
      </c>
      <c r="D4088" s="16" t="str">
        <f>IFERROR(VLOOKUP(C4088,DATA!#REF!,2,FALSE),"")</f>
        <v/>
      </c>
    </row>
    <row r="4089" spans="3:4" s="237" customFormat="1">
      <c r="C4089" s="16" t="str">
        <f>IFERROR(VLOOKUP(DATA!#REF!,DATA!#REF!,1,FALSE),"")</f>
        <v/>
      </c>
      <c r="D4089" s="16" t="str">
        <f>IFERROR(VLOOKUP(C4089,DATA!#REF!,2,FALSE),"")</f>
        <v/>
      </c>
    </row>
    <row r="4090" spans="3:4" s="237" customFormat="1">
      <c r="C4090" s="16" t="str">
        <f>IFERROR(VLOOKUP(DATA!#REF!,DATA!#REF!,1,FALSE),"")</f>
        <v/>
      </c>
      <c r="D4090" s="16" t="str">
        <f>IFERROR(VLOOKUP(C4090,DATA!#REF!,2,FALSE),"")</f>
        <v/>
      </c>
    </row>
    <row r="4091" spans="3:4" s="237" customFormat="1">
      <c r="C4091" s="16" t="str">
        <f>IFERROR(VLOOKUP(DATA!#REF!,DATA!#REF!,1,FALSE),"")</f>
        <v/>
      </c>
      <c r="D4091" s="16" t="str">
        <f>IFERROR(VLOOKUP(C4091,DATA!#REF!,2,FALSE),"")</f>
        <v/>
      </c>
    </row>
    <row r="4092" spans="3:4" s="237" customFormat="1">
      <c r="C4092" s="16" t="str">
        <f>IFERROR(VLOOKUP(DATA!#REF!,DATA!#REF!,1,FALSE),"")</f>
        <v/>
      </c>
      <c r="D4092" s="16" t="str">
        <f>IFERROR(VLOOKUP(C4092,DATA!#REF!,2,FALSE),"")</f>
        <v/>
      </c>
    </row>
    <row r="4093" spans="3:4" s="237" customFormat="1">
      <c r="C4093" s="16" t="str">
        <f>IFERROR(VLOOKUP(DATA!#REF!,DATA!#REF!,1,FALSE),"")</f>
        <v/>
      </c>
      <c r="D4093" s="16" t="str">
        <f>IFERROR(VLOOKUP(C4093,DATA!#REF!,2,FALSE),"")</f>
        <v/>
      </c>
    </row>
    <row r="4094" spans="3:4" s="237" customFormat="1">
      <c r="C4094" s="16" t="str">
        <f>IFERROR(VLOOKUP(DATA!#REF!,DATA!#REF!,1,FALSE),"")</f>
        <v/>
      </c>
      <c r="D4094" s="16" t="str">
        <f>IFERROR(VLOOKUP(C4094,DATA!#REF!,2,FALSE),"")</f>
        <v/>
      </c>
    </row>
    <row r="4095" spans="3:4" s="237" customFormat="1">
      <c r="C4095" s="16" t="str">
        <f>IFERROR(VLOOKUP(DATA!#REF!,DATA!#REF!,1,FALSE),"")</f>
        <v/>
      </c>
      <c r="D4095" s="16" t="str">
        <f>IFERROR(VLOOKUP(C4095,DATA!#REF!,2,FALSE),"")</f>
        <v/>
      </c>
    </row>
    <row r="4096" spans="3:4" s="237" customFormat="1">
      <c r="C4096" s="16" t="str">
        <f>IFERROR(VLOOKUP(DATA!#REF!,DATA!#REF!,1,FALSE),"")</f>
        <v/>
      </c>
      <c r="D4096" s="16" t="str">
        <f>IFERROR(VLOOKUP(C4096,DATA!#REF!,2,FALSE),"")</f>
        <v/>
      </c>
    </row>
    <row r="4097" spans="3:4" s="237" customFormat="1">
      <c r="C4097" s="16" t="str">
        <f>IFERROR(VLOOKUP(DATA!#REF!,DATA!#REF!,1,FALSE),"")</f>
        <v/>
      </c>
      <c r="D4097" s="16" t="str">
        <f>IFERROR(VLOOKUP(C4097,DATA!#REF!,2,FALSE),"")</f>
        <v/>
      </c>
    </row>
    <row r="4098" spans="3:4" s="237" customFormat="1">
      <c r="C4098" s="16" t="str">
        <f>IFERROR(VLOOKUP(DATA!#REF!,DATA!#REF!,1,FALSE),"")</f>
        <v/>
      </c>
      <c r="D4098" s="16" t="str">
        <f>IFERROR(VLOOKUP(C4098,DATA!#REF!,2,FALSE),"")</f>
        <v/>
      </c>
    </row>
    <row r="4099" spans="3:4" s="237" customFormat="1">
      <c r="C4099" s="16" t="str">
        <f>IFERROR(VLOOKUP(DATA!#REF!,DATA!#REF!,1,FALSE),"")</f>
        <v/>
      </c>
      <c r="D4099" s="16" t="str">
        <f>IFERROR(VLOOKUP(C4099,DATA!#REF!,2,FALSE),"")</f>
        <v/>
      </c>
    </row>
    <row r="4100" spans="3:4" s="237" customFormat="1">
      <c r="C4100" s="16" t="str">
        <f>IFERROR(VLOOKUP(DATA!#REF!,DATA!#REF!,1,FALSE),"")</f>
        <v/>
      </c>
      <c r="D4100" s="16" t="str">
        <f>IFERROR(VLOOKUP(C4100,DATA!#REF!,2,FALSE),"")</f>
        <v/>
      </c>
    </row>
    <row r="4101" spans="3:4" s="237" customFormat="1">
      <c r="C4101" s="16" t="str">
        <f>IFERROR(VLOOKUP(DATA!#REF!,DATA!#REF!,1,FALSE),"")</f>
        <v/>
      </c>
      <c r="D4101" s="16" t="str">
        <f>IFERROR(VLOOKUP(C4101,DATA!#REF!,2,FALSE),"")</f>
        <v/>
      </c>
    </row>
    <row r="4102" spans="3:4" s="237" customFormat="1">
      <c r="C4102" s="16" t="str">
        <f>IFERROR(VLOOKUP(DATA!#REF!,DATA!#REF!,1,FALSE),"")</f>
        <v/>
      </c>
      <c r="D4102" s="16" t="str">
        <f>IFERROR(VLOOKUP(C4102,DATA!#REF!,2,FALSE),"")</f>
        <v/>
      </c>
    </row>
    <row r="4103" spans="3:4" s="237" customFormat="1">
      <c r="C4103" s="16" t="str">
        <f>IFERROR(VLOOKUP(DATA!#REF!,DATA!#REF!,1,FALSE),"")</f>
        <v/>
      </c>
      <c r="D4103" s="16" t="str">
        <f>IFERROR(VLOOKUP(C4103,DATA!#REF!,2,FALSE),"")</f>
        <v/>
      </c>
    </row>
    <row r="4104" spans="3:4" s="237" customFormat="1">
      <c r="C4104" s="16" t="str">
        <f>IFERROR(VLOOKUP(DATA!#REF!,DATA!#REF!,1,FALSE),"")</f>
        <v/>
      </c>
      <c r="D4104" s="16" t="str">
        <f>IFERROR(VLOOKUP(C4104,DATA!#REF!,2,FALSE),"")</f>
        <v/>
      </c>
    </row>
    <row r="4105" spans="3:4" s="237" customFormat="1">
      <c r="C4105" s="16" t="str">
        <f>IFERROR(VLOOKUP(DATA!#REF!,DATA!#REF!,1,FALSE),"")</f>
        <v/>
      </c>
      <c r="D4105" s="16" t="str">
        <f>IFERROR(VLOOKUP(C4105,DATA!#REF!,2,FALSE),"")</f>
        <v/>
      </c>
    </row>
    <row r="4106" spans="3:4" s="237" customFormat="1">
      <c r="C4106" s="16" t="str">
        <f>IFERROR(VLOOKUP(DATA!#REF!,DATA!#REF!,1,FALSE),"")</f>
        <v/>
      </c>
      <c r="D4106" s="16" t="str">
        <f>IFERROR(VLOOKUP(C4106,DATA!#REF!,2,FALSE),"")</f>
        <v/>
      </c>
    </row>
    <row r="4107" spans="3:4" s="237" customFormat="1">
      <c r="C4107" s="16" t="str">
        <f>IFERROR(VLOOKUP(DATA!#REF!,DATA!#REF!,1,FALSE),"")</f>
        <v/>
      </c>
      <c r="D4107" s="16" t="str">
        <f>IFERROR(VLOOKUP(C4107,DATA!#REF!,2,FALSE),"")</f>
        <v/>
      </c>
    </row>
    <row r="4108" spans="3:4" s="237" customFormat="1">
      <c r="C4108" s="16" t="str">
        <f>IFERROR(VLOOKUP(DATA!#REF!,DATA!#REF!,1,FALSE),"")</f>
        <v/>
      </c>
      <c r="D4108" s="16" t="str">
        <f>IFERROR(VLOOKUP(C4108,DATA!#REF!,2,FALSE),"")</f>
        <v/>
      </c>
    </row>
    <row r="4109" spans="3:4" s="237" customFormat="1">
      <c r="C4109" s="16" t="str">
        <f>IFERROR(VLOOKUP(DATA!#REF!,DATA!#REF!,1,FALSE),"")</f>
        <v/>
      </c>
      <c r="D4109" s="16" t="str">
        <f>IFERROR(VLOOKUP(C4109,DATA!#REF!,2,FALSE),"")</f>
        <v/>
      </c>
    </row>
    <row r="4110" spans="3:4" s="237" customFormat="1">
      <c r="C4110" s="16" t="str">
        <f>IFERROR(VLOOKUP(DATA!#REF!,DATA!#REF!,1,FALSE),"")</f>
        <v/>
      </c>
      <c r="D4110" s="16" t="str">
        <f>IFERROR(VLOOKUP(C4110,DATA!#REF!,2,FALSE),"")</f>
        <v/>
      </c>
    </row>
    <row r="4111" spans="3:4" s="237" customFormat="1">
      <c r="C4111" s="16" t="str">
        <f>IFERROR(VLOOKUP(DATA!#REF!,DATA!#REF!,1,FALSE),"")</f>
        <v/>
      </c>
      <c r="D4111" s="16" t="str">
        <f>IFERROR(VLOOKUP(C4111,DATA!#REF!,2,FALSE),"")</f>
        <v/>
      </c>
    </row>
    <row r="4112" spans="3:4" s="237" customFormat="1">
      <c r="C4112" s="16" t="str">
        <f>IFERROR(VLOOKUP(DATA!#REF!,DATA!#REF!,1,FALSE),"")</f>
        <v/>
      </c>
      <c r="D4112" s="16" t="str">
        <f>IFERROR(VLOOKUP(C4112,DATA!#REF!,2,FALSE),"")</f>
        <v/>
      </c>
    </row>
    <row r="4113" spans="3:4" s="237" customFormat="1">
      <c r="C4113" s="16" t="str">
        <f>IFERROR(VLOOKUP(DATA!#REF!,DATA!#REF!,1,FALSE),"")</f>
        <v/>
      </c>
      <c r="D4113" s="16" t="str">
        <f>IFERROR(VLOOKUP(C4113,DATA!#REF!,2,FALSE),"")</f>
        <v/>
      </c>
    </row>
    <row r="4114" spans="3:4" s="237" customFormat="1">
      <c r="C4114" s="16" t="str">
        <f>IFERROR(VLOOKUP(DATA!#REF!,DATA!#REF!,1,FALSE),"")</f>
        <v/>
      </c>
      <c r="D4114" s="16" t="str">
        <f>IFERROR(VLOOKUP(C4114,DATA!#REF!,2,FALSE),"")</f>
        <v/>
      </c>
    </row>
    <row r="4115" spans="3:4" s="237" customFormat="1">
      <c r="C4115" s="16" t="str">
        <f>IFERROR(VLOOKUP(DATA!#REF!,DATA!#REF!,1,FALSE),"")</f>
        <v/>
      </c>
      <c r="D4115" s="16" t="str">
        <f>IFERROR(VLOOKUP(C4115,DATA!#REF!,2,FALSE),"")</f>
        <v/>
      </c>
    </row>
    <row r="4116" spans="3:4" s="237" customFormat="1">
      <c r="C4116" s="16" t="str">
        <f>IFERROR(VLOOKUP(DATA!#REF!,DATA!#REF!,1,FALSE),"")</f>
        <v/>
      </c>
      <c r="D4116" s="16" t="str">
        <f>IFERROR(VLOOKUP(C4116,DATA!#REF!,2,FALSE),"")</f>
        <v/>
      </c>
    </row>
    <row r="4117" spans="3:4" s="237" customFormat="1">
      <c r="C4117" s="16" t="str">
        <f>IFERROR(VLOOKUP(DATA!#REF!,DATA!#REF!,1,FALSE),"")</f>
        <v/>
      </c>
      <c r="D4117" s="16" t="str">
        <f>IFERROR(VLOOKUP(C4117,DATA!#REF!,2,FALSE),"")</f>
        <v/>
      </c>
    </row>
    <row r="4118" spans="3:4" s="237" customFormat="1">
      <c r="C4118" s="16" t="str">
        <f>IFERROR(VLOOKUP(DATA!#REF!,DATA!#REF!,1,FALSE),"")</f>
        <v/>
      </c>
      <c r="D4118" s="16" t="str">
        <f>IFERROR(VLOOKUP(C4118,DATA!#REF!,2,FALSE),"")</f>
        <v/>
      </c>
    </row>
    <row r="4119" spans="3:4" s="237" customFormat="1">
      <c r="C4119" s="16" t="str">
        <f>IFERROR(VLOOKUP(DATA!#REF!,DATA!#REF!,1,FALSE),"")</f>
        <v/>
      </c>
      <c r="D4119" s="16" t="str">
        <f>IFERROR(VLOOKUP(C4119,DATA!#REF!,2,FALSE),"")</f>
        <v/>
      </c>
    </row>
    <row r="4120" spans="3:4" s="237" customFormat="1">
      <c r="C4120" s="16" t="str">
        <f>IFERROR(VLOOKUP(DATA!#REF!,DATA!#REF!,1,FALSE),"")</f>
        <v/>
      </c>
      <c r="D4120" s="16" t="str">
        <f>IFERROR(VLOOKUP(C4120,DATA!#REF!,2,FALSE),"")</f>
        <v/>
      </c>
    </row>
    <row r="4121" spans="3:4" s="237" customFormat="1">
      <c r="C4121" s="16" t="str">
        <f>IFERROR(VLOOKUP(DATA!#REF!,DATA!#REF!,1,FALSE),"")</f>
        <v/>
      </c>
      <c r="D4121" s="16" t="str">
        <f>IFERROR(VLOOKUP(C4121,DATA!#REF!,2,FALSE),"")</f>
        <v/>
      </c>
    </row>
    <row r="4122" spans="3:4" s="237" customFormat="1">
      <c r="C4122" s="16" t="str">
        <f>IFERROR(VLOOKUP(DATA!#REF!,DATA!#REF!,1,FALSE),"")</f>
        <v/>
      </c>
      <c r="D4122" s="16" t="str">
        <f>IFERROR(VLOOKUP(C4122,DATA!#REF!,2,FALSE),"")</f>
        <v/>
      </c>
    </row>
    <row r="4123" spans="3:4" s="237" customFormat="1">
      <c r="C4123" s="16" t="str">
        <f>IFERROR(VLOOKUP(DATA!#REF!,DATA!#REF!,1,FALSE),"")</f>
        <v/>
      </c>
      <c r="D4123" s="16" t="str">
        <f>IFERROR(VLOOKUP(C4123,DATA!#REF!,2,FALSE),"")</f>
        <v/>
      </c>
    </row>
    <row r="4124" spans="3:4" s="237" customFormat="1">
      <c r="C4124" s="16" t="str">
        <f>IFERROR(VLOOKUP(DATA!#REF!,DATA!#REF!,1,FALSE),"")</f>
        <v/>
      </c>
      <c r="D4124" s="16" t="str">
        <f>IFERROR(VLOOKUP(C4124,DATA!#REF!,2,FALSE),"")</f>
        <v/>
      </c>
    </row>
    <row r="4125" spans="3:4" s="237" customFormat="1">
      <c r="C4125" s="16" t="str">
        <f>IFERROR(VLOOKUP(DATA!#REF!,DATA!#REF!,1,FALSE),"")</f>
        <v/>
      </c>
      <c r="D4125" s="16" t="str">
        <f>IFERROR(VLOOKUP(C4125,DATA!#REF!,2,FALSE),"")</f>
        <v/>
      </c>
    </row>
    <row r="4126" spans="3:4" s="237" customFormat="1">
      <c r="C4126" s="16" t="str">
        <f>IFERROR(VLOOKUP(DATA!#REF!,DATA!#REF!,1,FALSE),"")</f>
        <v/>
      </c>
      <c r="D4126" s="16" t="str">
        <f>IFERROR(VLOOKUP(C4126,DATA!#REF!,2,FALSE),"")</f>
        <v/>
      </c>
    </row>
    <row r="4127" spans="3:4" s="237" customFormat="1">
      <c r="C4127" s="16" t="str">
        <f>IFERROR(VLOOKUP(DATA!#REF!,DATA!#REF!,1,FALSE),"")</f>
        <v/>
      </c>
      <c r="D4127" s="16" t="str">
        <f>IFERROR(VLOOKUP(C4127,DATA!#REF!,2,FALSE),"")</f>
        <v/>
      </c>
    </row>
    <row r="4128" spans="3:4" s="237" customFormat="1">
      <c r="C4128" s="16" t="str">
        <f>IFERROR(VLOOKUP(DATA!#REF!,DATA!#REF!,1,FALSE),"")</f>
        <v/>
      </c>
      <c r="D4128" s="16" t="str">
        <f>IFERROR(VLOOKUP(C4128,DATA!#REF!,2,FALSE),"")</f>
        <v/>
      </c>
    </row>
    <row r="4129" spans="3:4" s="237" customFormat="1">
      <c r="C4129" s="16" t="str">
        <f>IFERROR(VLOOKUP(DATA!#REF!,DATA!#REF!,1,FALSE),"")</f>
        <v/>
      </c>
      <c r="D4129" s="16" t="str">
        <f>IFERROR(VLOOKUP(C4129,DATA!#REF!,2,FALSE),"")</f>
        <v/>
      </c>
    </row>
    <row r="4130" spans="3:4" s="237" customFormat="1">
      <c r="C4130" s="16" t="str">
        <f>IFERROR(VLOOKUP(DATA!#REF!,DATA!#REF!,1,FALSE),"")</f>
        <v/>
      </c>
      <c r="D4130" s="16" t="str">
        <f>IFERROR(VLOOKUP(C4130,DATA!#REF!,2,FALSE),"")</f>
        <v/>
      </c>
    </row>
    <row r="4131" spans="3:4" s="237" customFormat="1">
      <c r="C4131" s="16" t="str">
        <f>IFERROR(VLOOKUP(DATA!#REF!,DATA!#REF!,1,FALSE),"")</f>
        <v/>
      </c>
      <c r="D4131" s="16" t="str">
        <f>IFERROR(VLOOKUP(C4131,DATA!#REF!,2,FALSE),"")</f>
        <v/>
      </c>
    </row>
    <row r="4132" spans="3:4" s="237" customFormat="1">
      <c r="C4132" s="16" t="str">
        <f>IFERROR(VLOOKUP(DATA!#REF!,DATA!#REF!,1,FALSE),"")</f>
        <v/>
      </c>
      <c r="D4132" s="16" t="str">
        <f>IFERROR(VLOOKUP(C4132,DATA!#REF!,2,FALSE),"")</f>
        <v/>
      </c>
    </row>
    <row r="4133" spans="3:4" s="237" customFormat="1">
      <c r="C4133" s="16" t="str">
        <f>IFERROR(VLOOKUP(DATA!#REF!,DATA!#REF!,1,FALSE),"")</f>
        <v/>
      </c>
      <c r="D4133" s="16" t="str">
        <f>IFERROR(VLOOKUP(C4133,DATA!#REF!,2,FALSE),"")</f>
        <v/>
      </c>
    </row>
    <row r="4134" spans="3:4" s="237" customFormat="1">
      <c r="C4134" s="16" t="str">
        <f>IFERROR(VLOOKUP(DATA!#REF!,DATA!#REF!,1,FALSE),"")</f>
        <v/>
      </c>
      <c r="D4134" s="16" t="str">
        <f>IFERROR(VLOOKUP(C4134,DATA!#REF!,2,FALSE),"")</f>
        <v/>
      </c>
    </row>
    <row r="4135" spans="3:4" s="237" customFormat="1">
      <c r="C4135" s="16" t="str">
        <f>IFERROR(VLOOKUP(DATA!#REF!,DATA!#REF!,1,FALSE),"")</f>
        <v/>
      </c>
      <c r="D4135" s="16" t="str">
        <f>IFERROR(VLOOKUP(C4135,DATA!#REF!,2,FALSE),"")</f>
        <v/>
      </c>
    </row>
    <row r="4136" spans="3:4" s="237" customFormat="1">
      <c r="C4136" s="16" t="str">
        <f>IFERROR(VLOOKUP(DATA!#REF!,DATA!#REF!,1,FALSE),"")</f>
        <v/>
      </c>
      <c r="D4136" s="16" t="str">
        <f>IFERROR(VLOOKUP(C4136,DATA!#REF!,2,FALSE),"")</f>
        <v/>
      </c>
    </row>
    <row r="4137" spans="3:4" s="237" customFormat="1">
      <c r="C4137" s="16" t="str">
        <f>IFERROR(VLOOKUP(DATA!#REF!,DATA!#REF!,1,FALSE),"")</f>
        <v/>
      </c>
      <c r="D4137" s="16" t="str">
        <f>IFERROR(VLOOKUP(C4137,DATA!#REF!,2,FALSE),"")</f>
        <v/>
      </c>
    </row>
    <row r="4138" spans="3:4" s="237" customFormat="1">
      <c r="C4138" s="16" t="str">
        <f>IFERROR(VLOOKUP(DATA!#REF!,DATA!#REF!,1,FALSE),"")</f>
        <v/>
      </c>
      <c r="D4138" s="16" t="str">
        <f>IFERROR(VLOOKUP(C4138,DATA!#REF!,2,FALSE),"")</f>
        <v/>
      </c>
    </row>
    <row r="4139" spans="3:4" s="237" customFormat="1">
      <c r="C4139" s="16" t="str">
        <f>IFERROR(VLOOKUP(DATA!#REF!,DATA!#REF!,1,FALSE),"")</f>
        <v/>
      </c>
      <c r="D4139" s="16" t="str">
        <f>IFERROR(VLOOKUP(C4139,DATA!#REF!,2,FALSE),"")</f>
        <v/>
      </c>
    </row>
    <row r="4140" spans="3:4" s="237" customFormat="1">
      <c r="C4140" s="16" t="str">
        <f>IFERROR(VLOOKUP(DATA!#REF!,DATA!#REF!,1,FALSE),"")</f>
        <v/>
      </c>
      <c r="D4140" s="16" t="str">
        <f>IFERROR(VLOOKUP(C4140,DATA!#REF!,2,FALSE),"")</f>
        <v/>
      </c>
    </row>
    <row r="4141" spans="3:4" s="237" customFormat="1">
      <c r="C4141" s="16" t="str">
        <f>IFERROR(VLOOKUP(DATA!#REF!,DATA!#REF!,1,FALSE),"")</f>
        <v/>
      </c>
      <c r="D4141" s="16" t="str">
        <f>IFERROR(VLOOKUP(C4141,DATA!#REF!,2,FALSE),"")</f>
        <v/>
      </c>
    </row>
    <row r="4142" spans="3:4" s="237" customFormat="1">
      <c r="C4142" s="16" t="str">
        <f>IFERROR(VLOOKUP(DATA!#REF!,DATA!#REF!,1,FALSE),"")</f>
        <v/>
      </c>
      <c r="D4142" s="16" t="str">
        <f>IFERROR(VLOOKUP(C4142,DATA!#REF!,2,FALSE),"")</f>
        <v/>
      </c>
    </row>
    <row r="4143" spans="3:4" s="237" customFormat="1">
      <c r="C4143" s="16" t="str">
        <f>IFERROR(VLOOKUP(DATA!#REF!,DATA!#REF!,1,FALSE),"")</f>
        <v/>
      </c>
      <c r="D4143" s="16" t="str">
        <f>IFERROR(VLOOKUP(C4143,DATA!#REF!,2,FALSE),"")</f>
        <v/>
      </c>
    </row>
    <row r="4144" spans="3:4" s="237" customFormat="1">
      <c r="C4144" s="16" t="str">
        <f>IFERROR(VLOOKUP(DATA!#REF!,DATA!#REF!,1,FALSE),"")</f>
        <v/>
      </c>
      <c r="D4144" s="16" t="str">
        <f>IFERROR(VLOOKUP(C4144,DATA!#REF!,2,FALSE),"")</f>
        <v/>
      </c>
    </row>
    <row r="4145" spans="3:4" s="237" customFormat="1">
      <c r="C4145" s="16" t="str">
        <f>IFERROR(VLOOKUP(DATA!#REF!,DATA!#REF!,1,FALSE),"")</f>
        <v/>
      </c>
      <c r="D4145" s="16" t="str">
        <f>IFERROR(VLOOKUP(C4145,DATA!#REF!,2,FALSE),"")</f>
        <v/>
      </c>
    </row>
    <row r="4146" spans="3:4" s="237" customFormat="1">
      <c r="C4146" s="16" t="str">
        <f>IFERROR(VLOOKUP(DATA!#REF!,DATA!#REF!,1,FALSE),"")</f>
        <v/>
      </c>
      <c r="D4146" s="16" t="str">
        <f>IFERROR(VLOOKUP(C4146,DATA!#REF!,2,FALSE),"")</f>
        <v/>
      </c>
    </row>
    <row r="4147" spans="3:4" s="237" customFormat="1">
      <c r="C4147" s="16" t="str">
        <f>IFERROR(VLOOKUP(DATA!#REF!,DATA!#REF!,1,FALSE),"")</f>
        <v/>
      </c>
      <c r="D4147" s="16" t="str">
        <f>IFERROR(VLOOKUP(C4147,DATA!#REF!,2,FALSE),"")</f>
        <v/>
      </c>
    </row>
    <row r="4148" spans="3:4" s="237" customFormat="1">
      <c r="C4148" s="16" t="str">
        <f>IFERROR(VLOOKUP(DATA!#REF!,DATA!#REF!,1,FALSE),"")</f>
        <v/>
      </c>
      <c r="D4148" s="16" t="str">
        <f>IFERROR(VLOOKUP(C4148,DATA!#REF!,2,FALSE),"")</f>
        <v/>
      </c>
    </row>
    <row r="4149" spans="3:4" s="237" customFormat="1">
      <c r="C4149" s="16" t="str">
        <f>IFERROR(VLOOKUP(DATA!#REF!,DATA!#REF!,1,FALSE),"")</f>
        <v/>
      </c>
      <c r="D4149" s="16" t="str">
        <f>IFERROR(VLOOKUP(C4149,DATA!#REF!,2,FALSE),"")</f>
        <v/>
      </c>
    </row>
    <row r="4150" spans="3:4" s="237" customFormat="1">
      <c r="C4150" s="16" t="str">
        <f>IFERROR(VLOOKUP(DATA!#REF!,DATA!#REF!,1,FALSE),"")</f>
        <v/>
      </c>
      <c r="D4150" s="16" t="str">
        <f>IFERROR(VLOOKUP(C4150,DATA!#REF!,2,FALSE),"")</f>
        <v/>
      </c>
    </row>
    <row r="4151" spans="3:4" s="237" customFormat="1">
      <c r="C4151" s="16" t="str">
        <f>IFERROR(VLOOKUP(DATA!#REF!,DATA!#REF!,1,FALSE),"")</f>
        <v/>
      </c>
      <c r="D4151" s="16" t="str">
        <f>IFERROR(VLOOKUP(C4151,DATA!#REF!,2,FALSE),"")</f>
        <v/>
      </c>
    </row>
    <row r="4152" spans="3:4" s="237" customFormat="1">
      <c r="C4152" s="16" t="str">
        <f>IFERROR(VLOOKUP(DATA!#REF!,DATA!#REF!,1,FALSE),"")</f>
        <v/>
      </c>
      <c r="D4152" s="16" t="str">
        <f>IFERROR(VLOOKUP(C4152,DATA!#REF!,2,FALSE),"")</f>
        <v/>
      </c>
    </row>
    <row r="4153" spans="3:4" s="237" customFormat="1">
      <c r="C4153" s="16" t="str">
        <f>IFERROR(VLOOKUP(DATA!#REF!,DATA!#REF!,1,FALSE),"")</f>
        <v/>
      </c>
      <c r="D4153" s="16" t="str">
        <f>IFERROR(VLOOKUP(C4153,DATA!#REF!,2,FALSE),"")</f>
        <v/>
      </c>
    </row>
    <row r="4154" spans="3:4" s="237" customFormat="1">
      <c r="C4154" s="16" t="str">
        <f>IFERROR(VLOOKUP(DATA!#REF!,DATA!#REF!,1,FALSE),"")</f>
        <v/>
      </c>
      <c r="D4154" s="16" t="str">
        <f>IFERROR(VLOOKUP(C4154,DATA!#REF!,2,FALSE),"")</f>
        <v/>
      </c>
    </row>
    <row r="4155" spans="3:4" s="237" customFormat="1">
      <c r="C4155" s="16" t="str">
        <f>IFERROR(VLOOKUP(DATA!#REF!,DATA!#REF!,1,FALSE),"")</f>
        <v/>
      </c>
      <c r="D4155" s="16" t="str">
        <f>IFERROR(VLOOKUP(C4155,DATA!#REF!,2,FALSE),"")</f>
        <v/>
      </c>
    </row>
    <row r="4156" spans="3:4" s="237" customFormat="1">
      <c r="C4156" s="16" t="str">
        <f>IFERROR(VLOOKUP(DATA!#REF!,DATA!#REF!,1,FALSE),"")</f>
        <v/>
      </c>
      <c r="D4156" s="16" t="str">
        <f>IFERROR(VLOOKUP(C4156,DATA!#REF!,2,FALSE),"")</f>
        <v/>
      </c>
    </row>
    <row r="4157" spans="3:4" s="237" customFormat="1">
      <c r="C4157" s="16" t="str">
        <f>IFERROR(VLOOKUP(DATA!#REF!,DATA!#REF!,1,FALSE),"")</f>
        <v/>
      </c>
      <c r="D4157" s="16" t="str">
        <f>IFERROR(VLOOKUP(C4157,DATA!#REF!,2,FALSE),"")</f>
        <v/>
      </c>
    </row>
    <row r="4158" spans="3:4" s="237" customFormat="1">
      <c r="C4158" s="16" t="str">
        <f>IFERROR(VLOOKUP(DATA!#REF!,DATA!#REF!,1,FALSE),"")</f>
        <v/>
      </c>
      <c r="D4158" s="16" t="str">
        <f>IFERROR(VLOOKUP(C4158,DATA!#REF!,2,FALSE),"")</f>
        <v/>
      </c>
    </row>
    <row r="4159" spans="3:4" s="237" customFormat="1">
      <c r="C4159" s="16" t="str">
        <f>IFERROR(VLOOKUP(DATA!#REF!,DATA!#REF!,1,FALSE),"")</f>
        <v/>
      </c>
      <c r="D4159" s="16" t="str">
        <f>IFERROR(VLOOKUP(C4159,DATA!#REF!,2,FALSE),"")</f>
        <v/>
      </c>
    </row>
    <row r="4160" spans="3:4" s="237" customFormat="1">
      <c r="C4160" s="16" t="str">
        <f>IFERROR(VLOOKUP(DATA!#REF!,DATA!#REF!,1,FALSE),"")</f>
        <v/>
      </c>
      <c r="D4160" s="16" t="str">
        <f>IFERROR(VLOOKUP(C4160,DATA!#REF!,2,FALSE),"")</f>
        <v/>
      </c>
    </row>
    <row r="4161" spans="3:4" s="237" customFormat="1">
      <c r="C4161" s="16" t="str">
        <f>IFERROR(VLOOKUP(DATA!#REF!,DATA!#REF!,1,FALSE),"")</f>
        <v/>
      </c>
      <c r="D4161" s="16" t="str">
        <f>IFERROR(VLOOKUP(C4161,DATA!#REF!,2,FALSE),"")</f>
        <v/>
      </c>
    </row>
    <row r="4162" spans="3:4" s="237" customFormat="1">
      <c r="C4162" s="16" t="str">
        <f>IFERROR(VLOOKUP(DATA!#REF!,DATA!#REF!,1,FALSE),"")</f>
        <v/>
      </c>
      <c r="D4162" s="16" t="str">
        <f>IFERROR(VLOOKUP(C4162,DATA!#REF!,2,FALSE),"")</f>
        <v/>
      </c>
    </row>
    <row r="4163" spans="3:4" s="237" customFormat="1">
      <c r="C4163" s="16" t="str">
        <f>IFERROR(VLOOKUP(DATA!#REF!,DATA!#REF!,1,FALSE),"")</f>
        <v/>
      </c>
      <c r="D4163" s="16" t="str">
        <f>IFERROR(VLOOKUP(C4163,DATA!#REF!,2,FALSE),"")</f>
        <v/>
      </c>
    </row>
    <row r="4164" spans="3:4" s="237" customFormat="1">
      <c r="C4164" s="16" t="str">
        <f>IFERROR(VLOOKUP(DATA!#REF!,DATA!#REF!,1,FALSE),"")</f>
        <v/>
      </c>
      <c r="D4164" s="16" t="str">
        <f>IFERROR(VLOOKUP(C4164,DATA!#REF!,2,FALSE),"")</f>
        <v/>
      </c>
    </row>
    <row r="4165" spans="3:4" s="237" customFormat="1">
      <c r="C4165" s="16" t="str">
        <f>IFERROR(VLOOKUP(DATA!#REF!,DATA!#REF!,1,FALSE),"")</f>
        <v/>
      </c>
      <c r="D4165" s="16" t="str">
        <f>IFERROR(VLOOKUP(C4165,DATA!#REF!,2,FALSE),"")</f>
        <v/>
      </c>
    </row>
    <row r="4166" spans="3:4" s="237" customFormat="1">
      <c r="C4166" s="16" t="str">
        <f>IFERROR(VLOOKUP(DATA!#REF!,DATA!#REF!,1,FALSE),"")</f>
        <v/>
      </c>
      <c r="D4166" s="16" t="str">
        <f>IFERROR(VLOOKUP(C4166,DATA!#REF!,2,FALSE),"")</f>
        <v/>
      </c>
    </row>
    <row r="4167" spans="3:4" s="237" customFormat="1">
      <c r="C4167" s="16" t="str">
        <f>IFERROR(VLOOKUP(DATA!#REF!,DATA!#REF!,1,FALSE),"")</f>
        <v/>
      </c>
      <c r="D4167" s="16" t="str">
        <f>IFERROR(VLOOKUP(C4167,DATA!#REF!,2,FALSE),"")</f>
        <v/>
      </c>
    </row>
    <row r="4168" spans="3:4" s="237" customFormat="1">
      <c r="C4168" s="16" t="str">
        <f>IFERROR(VLOOKUP(DATA!#REF!,DATA!#REF!,1,FALSE),"")</f>
        <v/>
      </c>
      <c r="D4168" s="16" t="str">
        <f>IFERROR(VLOOKUP(C4168,DATA!#REF!,2,FALSE),"")</f>
        <v/>
      </c>
    </row>
    <row r="4169" spans="3:4" s="237" customFormat="1">
      <c r="C4169" s="16" t="str">
        <f>IFERROR(VLOOKUP(DATA!#REF!,DATA!#REF!,1,FALSE),"")</f>
        <v/>
      </c>
      <c r="D4169" s="16" t="str">
        <f>IFERROR(VLOOKUP(C4169,DATA!#REF!,2,FALSE),"")</f>
        <v/>
      </c>
    </row>
    <row r="4170" spans="3:4" s="237" customFormat="1">
      <c r="C4170" s="16" t="str">
        <f>IFERROR(VLOOKUP(DATA!#REF!,DATA!#REF!,1,FALSE),"")</f>
        <v/>
      </c>
      <c r="D4170" s="16" t="str">
        <f>IFERROR(VLOOKUP(C4170,DATA!#REF!,2,FALSE),"")</f>
        <v/>
      </c>
    </row>
    <row r="4171" spans="3:4" s="237" customFormat="1">
      <c r="C4171" s="16" t="str">
        <f>IFERROR(VLOOKUP(DATA!#REF!,DATA!#REF!,1,FALSE),"")</f>
        <v/>
      </c>
      <c r="D4171" s="16" t="str">
        <f>IFERROR(VLOOKUP(C4171,DATA!#REF!,2,FALSE),"")</f>
        <v/>
      </c>
    </row>
    <row r="4172" spans="3:4" s="237" customFormat="1">
      <c r="C4172" s="16" t="str">
        <f>IFERROR(VLOOKUP(DATA!#REF!,DATA!#REF!,1,FALSE),"")</f>
        <v/>
      </c>
      <c r="D4172" s="16" t="str">
        <f>IFERROR(VLOOKUP(C4172,DATA!#REF!,2,FALSE),"")</f>
        <v/>
      </c>
    </row>
    <row r="4173" spans="3:4" s="237" customFormat="1">
      <c r="C4173" s="16" t="str">
        <f>IFERROR(VLOOKUP(DATA!#REF!,DATA!#REF!,1,FALSE),"")</f>
        <v/>
      </c>
      <c r="D4173" s="16" t="str">
        <f>IFERROR(VLOOKUP(C4173,DATA!#REF!,2,FALSE),"")</f>
        <v/>
      </c>
    </row>
    <row r="4174" spans="3:4" s="237" customFormat="1">
      <c r="C4174" s="16" t="str">
        <f>IFERROR(VLOOKUP(DATA!#REF!,DATA!#REF!,1,FALSE),"")</f>
        <v/>
      </c>
      <c r="D4174" s="16" t="str">
        <f>IFERROR(VLOOKUP(C4174,DATA!#REF!,2,FALSE),"")</f>
        <v/>
      </c>
    </row>
    <row r="4175" spans="3:4" s="237" customFormat="1">
      <c r="C4175" s="16" t="str">
        <f>IFERROR(VLOOKUP(DATA!#REF!,DATA!#REF!,1,FALSE),"")</f>
        <v/>
      </c>
      <c r="D4175" s="16" t="str">
        <f>IFERROR(VLOOKUP(C4175,DATA!#REF!,2,FALSE),"")</f>
        <v/>
      </c>
    </row>
    <row r="4176" spans="3:4" s="237" customFormat="1">
      <c r="C4176" s="16" t="str">
        <f>IFERROR(VLOOKUP(DATA!#REF!,DATA!#REF!,1,FALSE),"")</f>
        <v/>
      </c>
      <c r="D4176" s="16" t="str">
        <f>IFERROR(VLOOKUP(C4176,DATA!#REF!,2,FALSE),"")</f>
        <v/>
      </c>
    </row>
    <row r="4177" spans="3:4" s="237" customFormat="1">
      <c r="C4177" s="16" t="str">
        <f>IFERROR(VLOOKUP(DATA!#REF!,DATA!#REF!,1,FALSE),"")</f>
        <v/>
      </c>
      <c r="D4177" s="16" t="str">
        <f>IFERROR(VLOOKUP(C4177,DATA!#REF!,2,FALSE),"")</f>
        <v/>
      </c>
    </row>
    <row r="4178" spans="3:4" s="237" customFormat="1">
      <c r="C4178" s="16" t="str">
        <f>IFERROR(VLOOKUP(DATA!#REF!,DATA!#REF!,1,FALSE),"")</f>
        <v/>
      </c>
      <c r="D4178" s="16" t="str">
        <f>IFERROR(VLOOKUP(C4178,DATA!#REF!,2,FALSE),"")</f>
        <v/>
      </c>
    </row>
    <row r="4179" spans="3:4" s="237" customFormat="1">
      <c r="C4179" s="16" t="str">
        <f>IFERROR(VLOOKUP(DATA!#REF!,DATA!#REF!,1,FALSE),"")</f>
        <v/>
      </c>
      <c r="D4179" s="16" t="str">
        <f>IFERROR(VLOOKUP(C4179,DATA!#REF!,2,FALSE),"")</f>
        <v/>
      </c>
    </row>
    <row r="4180" spans="3:4" s="237" customFormat="1">
      <c r="C4180" s="16" t="str">
        <f>IFERROR(VLOOKUP(DATA!#REF!,DATA!#REF!,1,FALSE),"")</f>
        <v/>
      </c>
      <c r="D4180" s="16" t="str">
        <f>IFERROR(VLOOKUP(C4180,DATA!#REF!,2,FALSE),"")</f>
        <v/>
      </c>
    </row>
    <row r="4181" spans="3:4" s="237" customFormat="1">
      <c r="C4181" s="16" t="str">
        <f>IFERROR(VLOOKUP(DATA!#REF!,DATA!#REF!,1,FALSE),"")</f>
        <v/>
      </c>
      <c r="D4181" s="16" t="str">
        <f>IFERROR(VLOOKUP(C4181,DATA!#REF!,2,FALSE),"")</f>
        <v/>
      </c>
    </row>
    <row r="4182" spans="3:4" s="237" customFormat="1">
      <c r="C4182" s="16" t="str">
        <f>IFERROR(VLOOKUP(DATA!#REF!,DATA!#REF!,1,FALSE),"")</f>
        <v/>
      </c>
      <c r="D4182" s="16" t="str">
        <f>IFERROR(VLOOKUP(C4182,DATA!#REF!,2,FALSE),"")</f>
        <v/>
      </c>
    </row>
    <row r="4183" spans="3:4" s="237" customFormat="1">
      <c r="C4183" s="16" t="str">
        <f>IFERROR(VLOOKUP(DATA!#REF!,DATA!#REF!,1,FALSE),"")</f>
        <v/>
      </c>
      <c r="D4183" s="16" t="str">
        <f>IFERROR(VLOOKUP(C4183,DATA!#REF!,2,FALSE),"")</f>
        <v/>
      </c>
    </row>
    <row r="4184" spans="3:4" s="237" customFormat="1">
      <c r="C4184" s="16" t="str">
        <f>IFERROR(VLOOKUP(DATA!#REF!,DATA!#REF!,1,FALSE),"")</f>
        <v/>
      </c>
      <c r="D4184" s="16" t="str">
        <f>IFERROR(VLOOKUP(C4184,DATA!#REF!,2,FALSE),"")</f>
        <v/>
      </c>
    </row>
    <row r="4185" spans="3:4" s="237" customFormat="1">
      <c r="C4185" s="16" t="str">
        <f>IFERROR(VLOOKUP(DATA!#REF!,DATA!#REF!,1,FALSE),"")</f>
        <v/>
      </c>
      <c r="D4185" s="16" t="str">
        <f>IFERROR(VLOOKUP(C4185,DATA!#REF!,2,FALSE),"")</f>
        <v/>
      </c>
    </row>
    <row r="4186" spans="3:4" s="237" customFormat="1">
      <c r="C4186" s="16" t="str">
        <f>IFERROR(VLOOKUP(DATA!#REF!,DATA!#REF!,1,FALSE),"")</f>
        <v/>
      </c>
      <c r="D4186" s="16" t="str">
        <f>IFERROR(VLOOKUP(C4186,DATA!#REF!,2,FALSE),"")</f>
        <v/>
      </c>
    </row>
    <row r="4187" spans="3:4" s="237" customFormat="1">
      <c r="C4187" s="16" t="str">
        <f>IFERROR(VLOOKUP(DATA!#REF!,DATA!#REF!,1,FALSE),"")</f>
        <v/>
      </c>
      <c r="D4187" s="16" t="str">
        <f>IFERROR(VLOOKUP(C4187,DATA!#REF!,2,FALSE),"")</f>
        <v/>
      </c>
    </row>
    <row r="4188" spans="3:4" s="237" customFormat="1">
      <c r="C4188" s="16" t="str">
        <f>IFERROR(VLOOKUP(DATA!#REF!,DATA!#REF!,1,FALSE),"")</f>
        <v/>
      </c>
      <c r="D4188" s="16" t="str">
        <f>IFERROR(VLOOKUP(C4188,DATA!#REF!,2,FALSE),"")</f>
        <v/>
      </c>
    </row>
    <row r="4189" spans="3:4" s="237" customFormat="1">
      <c r="C4189" s="16" t="str">
        <f>IFERROR(VLOOKUP(DATA!#REF!,DATA!#REF!,1,FALSE),"")</f>
        <v/>
      </c>
      <c r="D4189" s="16" t="str">
        <f>IFERROR(VLOOKUP(C4189,DATA!#REF!,2,FALSE),"")</f>
        <v/>
      </c>
    </row>
    <row r="4190" spans="3:4" s="237" customFormat="1">
      <c r="C4190" s="16" t="str">
        <f>IFERROR(VLOOKUP(DATA!#REF!,DATA!#REF!,1,FALSE),"")</f>
        <v/>
      </c>
      <c r="D4190" s="16" t="str">
        <f>IFERROR(VLOOKUP(C4190,DATA!#REF!,2,FALSE),"")</f>
        <v/>
      </c>
    </row>
    <row r="4191" spans="3:4" s="237" customFormat="1">
      <c r="C4191" s="16" t="str">
        <f>IFERROR(VLOOKUP(DATA!#REF!,DATA!#REF!,1,FALSE),"")</f>
        <v/>
      </c>
      <c r="D4191" s="16" t="str">
        <f>IFERROR(VLOOKUP(C4191,DATA!#REF!,2,FALSE),"")</f>
        <v/>
      </c>
    </row>
    <row r="4192" spans="3:4" s="237" customFormat="1">
      <c r="C4192" s="16" t="str">
        <f>IFERROR(VLOOKUP(DATA!#REF!,DATA!#REF!,1,FALSE),"")</f>
        <v/>
      </c>
      <c r="D4192" s="16" t="str">
        <f>IFERROR(VLOOKUP(C4192,DATA!#REF!,2,FALSE),"")</f>
        <v/>
      </c>
    </row>
    <row r="4193" spans="3:4" s="237" customFormat="1">
      <c r="C4193" s="16" t="str">
        <f>IFERROR(VLOOKUP(DATA!#REF!,DATA!#REF!,1,FALSE),"")</f>
        <v/>
      </c>
      <c r="D4193" s="16" t="str">
        <f>IFERROR(VLOOKUP(C4193,DATA!#REF!,2,FALSE),"")</f>
        <v/>
      </c>
    </row>
    <row r="4194" spans="3:4" s="237" customFormat="1">
      <c r="C4194" s="16" t="str">
        <f>IFERROR(VLOOKUP(DATA!#REF!,DATA!#REF!,1,FALSE),"")</f>
        <v/>
      </c>
      <c r="D4194" s="16" t="str">
        <f>IFERROR(VLOOKUP(C4194,DATA!#REF!,2,FALSE),"")</f>
        <v/>
      </c>
    </row>
    <row r="4195" spans="3:4" s="237" customFormat="1">
      <c r="C4195" s="16" t="str">
        <f>IFERROR(VLOOKUP(DATA!#REF!,DATA!#REF!,1,FALSE),"")</f>
        <v/>
      </c>
      <c r="D4195" s="16" t="str">
        <f>IFERROR(VLOOKUP(C4195,DATA!#REF!,2,FALSE),"")</f>
        <v/>
      </c>
    </row>
    <row r="4196" spans="3:4" s="237" customFormat="1">
      <c r="C4196" s="16" t="str">
        <f>IFERROR(VLOOKUP(DATA!#REF!,DATA!#REF!,1,FALSE),"")</f>
        <v/>
      </c>
      <c r="D4196" s="16" t="str">
        <f>IFERROR(VLOOKUP(C4196,DATA!#REF!,2,FALSE),"")</f>
        <v/>
      </c>
    </row>
    <row r="4197" spans="3:4" s="237" customFormat="1">
      <c r="C4197" s="16" t="str">
        <f>IFERROR(VLOOKUP(DATA!#REF!,DATA!#REF!,1,FALSE),"")</f>
        <v/>
      </c>
      <c r="D4197" s="16" t="str">
        <f>IFERROR(VLOOKUP(C4197,DATA!#REF!,2,FALSE),"")</f>
        <v/>
      </c>
    </row>
    <row r="4198" spans="3:4" s="237" customFormat="1">
      <c r="C4198" s="16" t="str">
        <f>IFERROR(VLOOKUP(DATA!#REF!,DATA!#REF!,1,FALSE),"")</f>
        <v/>
      </c>
      <c r="D4198" s="16" t="str">
        <f>IFERROR(VLOOKUP(C4198,DATA!#REF!,2,FALSE),"")</f>
        <v/>
      </c>
    </row>
    <row r="4199" spans="3:4" s="237" customFormat="1">
      <c r="C4199" s="16" t="str">
        <f>IFERROR(VLOOKUP(DATA!#REF!,DATA!#REF!,1,FALSE),"")</f>
        <v/>
      </c>
      <c r="D4199" s="16" t="str">
        <f>IFERROR(VLOOKUP(C4199,DATA!#REF!,2,FALSE),"")</f>
        <v/>
      </c>
    </row>
    <row r="4200" spans="3:4" s="237" customFormat="1">
      <c r="C4200" s="16" t="str">
        <f>IFERROR(VLOOKUP(DATA!#REF!,DATA!#REF!,1,FALSE),"")</f>
        <v/>
      </c>
      <c r="D4200" s="16" t="str">
        <f>IFERROR(VLOOKUP(C4200,DATA!#REF!,2,FALSE),"")</f>
        <v/>
      </c>
    </row>
    <row r="4201" spans="3:4" s="237" customFormat="1">
      <c r="C4201" s="16" t="str">
        <f>IFERROR(VLOOKUP(DATA!#REF!,DATA!#REF!,1,FALSE),"")</f>
        <v/>
      </c>
      <c r="D4201" s="16" t="str">
        <f>IFERROR(VLOOKUP(C4201,DATA!#REF!,2,FALSE),"")</f>
        <v/>
      </c>
    </row>
    <row r="4202" spans="3:4" s="237" customFormat="1">
      <c r="C4202" s="16" t="str">
        <f>IFERROR(VLOOKUP(DATA!#REF!,DATA!#REF!,1,FALSE),"")</f>
        <v/>
      </c>
      <c r="D4202" s="16" t="str">
        <f>IFERROR(VLOOKUP(C4202,DATA!#REF!,2,FALSE),"")</f>
        <v/>
      </c>
    </row>
    <row r="4203" spans="3:4" s="237" customFormat="1">
      <c r="C4203" s="16" t="str">
        <f>IFERROR(VLOOKUP(DATA!#REF!,DATA!#REF!,1,FALSE),"")</f>
        <v/>
      </c>
      <c r="D4203" s="16" t="str">
        <f>IFERROR(VLOOKUP(C4203,DATA!#REF!,2,FALSE),"")</f>
        <v/>
      </c>
    </row>
    <row r="4204" spans="3:4" s="237" customFormat="1">
      <c r="C4204" s="16" t="str">
        <f>IFERROR(VLOOKUP(DATA!#REF!,DATA!#REF!,1,FALSE),"")</f>
        <v/>
      </c>
      <c r="D4204" s="16" t="str">
        <f>IFERROR(VLOOKUP(C4204,DATA!#REF!,2,FALSE),"")</f>
        <v/>
      </c>
    </row>
    <row r="4205" spans="3:4" s="237" customFormat="1">
      <c r="C4205" s="16" t="str">
        <f>IFERROR(VLOOKUP(DATA!#REF!,DATA!#REF!,1,FALSE),"")</f>
        <v/>
      </c>
      <c r="D4205" s="16" t="str">
        <f>IFERROR(VLOOKUP(C4205,DATA!#REF!,2,FALSE),"")</f>
        <v/>
      </c>
    </row>
    <row r="4206" spans="3:4" s="237" customFormat="1">
      <c r="C4206" s="16" t="str">
        <f>IFERROR(VLOOKUP(DATA!#REF!,DATA!#REF!,1,FALSE),"")</f>
        <v/>
      </c>
      <c r="D4206" s="16" t="str">
        <f>IFERROR(VLOOKUP(C4206,DATA!#REF!,2,FALSE),"")</f>
        <v/>
      </c>
    </row>
    <row r="4207" spans="3:4" s="237" customFormat="1">
      <c r="C4207" s="16" t="str">
        <f>IFERROR(VLOOKUP(DATA!#REF!,DATA!#REF!,1,FALSE),"")</f>
        <v/>
      </c>
      <c r="D4207" s="16" t="str">
        <f>IFERROR(VLOOKUP(C4207,DATA!#REF!,2,FALSE),"")</f>
        <v/>
      </c>
    </row>
    <row r="4208" spans="3:4" s="237" customFormat="1">
      <c r="C4208" s="16" t="str">
        <f>IFERROR(VLOOKUP(DATA!#REF!,DATA!#REF!,1,FALSE),"")</f>
        <v/>
      </c>
      <c r="D4208" s="16" t="str">
        <f>IFERROR(VLOOKUP(C4208,DATA!#REF!,2,FALSE),"")</f>
        <v/>
      </c>
    </row>
    <row r="4209" spans="3:4" s="237" customFormat="1">
      <c r="C4209" s="16" t="str">
        <f>IFERROR(VLOOKUP(DATA!#REF!,DATA!#REF!,1,FALSE),"")</f>
        <v/>
      </c>
      <c r="D4209" s="16" t="str">
        <f>IFERROR(VLOOKUP(C4209,DATA!#REF!,2,FALSE),"")</f>
        <v/>
      </c>
    </row>
    <row r="4210" spans="3:4" s="237" customFormat="1">
      <c r="C4210" s="16" t="str">
        <f>IFERROR(VLOOKUP(DATA!#REF!,DATA!#REF!,1,FALSE),"")</f>
        <v/>
      </c>
      <c r="D4210" s="16" t="str">
        <f>IFERROR(VLOOKUP(C4210,DATA!#REF!,2,FALSE),"")</f>
        <v/>
      </c>
    </row>
    <row r="4211" spans="3:4" s="237" customFormat="1">
      <c r="C4211" s="16" t="str">
        <f>IFERROR(VLOOKUP(DATA!#REF!,DATA!#REF!,1,FALSE),"")</f>
        <v/>
      </c>
      <c r="D4211" s="16" t="str">
        <f>IFERROR(VLOOKUP(C4211,DATA!#REF!,2,FALSE),"")</f>
        <v/>
      </c>
    </row>
    <row r="4212" spans="3:4" s="237" customFormat="1">
      <c r="C4212" s="16" t="str">
        <f>IFERROR(VLOOKUP(DATA!#REF!,DATA!#REF!,1,FALSE),"")</f>
        <v/>
      </c>
      <c r="D4212" s="16" t="str">
        <f>IFERROR(VLOOKUP(C4212,DATA!#REF!,2,FALSE),"")</f>
        <v/>
      </c>
    </row>
    <row r="4213" spans="3:4" s="237" customFormat="1">
      <c r="C4213" s="16" t="str">
        <f>IFERROR(VLOOKUP(DATA!#REF!,DATA!#REF!,1,FALSE),"")</f>
        <v/>
      </c>
      <c r="D4213" s="16" t="str">
        <f>IFERROR(VLOOKUP(C4213,DATA!#REF!,2,FALSE),"")</f>
        <v/>
      </c>
    </row>
    <row r="4214" spans="3:4" s="237" customFormat="1">
      <c r="C4214" s="16" t="str">
        <f>IFERROR(VLOOKUP(DATA!#REF!,DATA!#REF!,1,FALSE),"")</f>
        <v/>
      </c>
      <c r="D4214" s="16" t="str">
        <f>IFERROR(VLOOKUP(C4214,DATA!#REF!,2,FALSE),"")</f>
        <v/>
      </c>
    </row>
    <row r="4215" spans="3:4" s="237" customFormat="1">
      <c r="C4215" s="16" t="str">
        <f>IFERROR(VLOOKUP(DATA!#REF!,DATA!#REF!,1,FALSE),"")</f>
        <v/>
      </c>
      <c r="D4215" s="16" t="str">
        <f>IFERROR(VLOOKUP(C4215,DATA!#REF!,2,FALSE),"")</f>
        <v/>
      </c>
    </row>
    <row r="4216" spans="3:4" s="237" customFormat="1">
      <c r="C4216" s="16" t="str">
        <f>IFERROR(VLOOKUP(DATA!#REF!,DATA!#REF!,1,FALSE),"")</f>
        <v/>
      </c>
      <c r="D4216" s="16" t="str">
        <f>IFERROR(VLOOKUP(C4216,DATA!#REF!,2,FALSE),"")</f>
        <v/>
      </c>
    </row>
    <row r="4217" spans="3:4" s="237" customFormat="1">
      <c r="C4217" s="16" t="str">
        <f>IFERROR(VLOOKUP(DATA!#REF!,DATA!#REF!,1,FALSE),"")</f>
        <v/>
      </c>
      <c r="D4217" s="16" t="str">
        <f>IFERROR(VLOOKUP(C4217,DATA!#REF!,2,FALSE),"")</f>
        <v/>
      </c>
    </row>
    <row r="4218" spans="3:4" s="237" customFormat="1">
      <c r="C4218" s="16" t="str">
        <f>IFERROR(VLOOKUP(DATA!#REF!,DATA!#REF!,1,FALSE),"")</f>
        <v/>
      </c>
      <c r="D4218" s="16" t="str">
        <f>IFERROR(VLOOKUP(C4218,DATA!#REF!,2,FALSE),"")</f>
        <v/>
      </c>
    </row>
    <row r="4219" spans="3:4" s="237" customFormat="1">
      <c r="C4219" s="16" t="str">
        <f>IFERROR(VLOOKUP(DATA!#REF!,DATA!#REF!,1,FALSE),"")</f>
        <v/>
      </c>
      <c r="D4219" s="16" t="str">
        <f>IFERROR(VLOOKUP(C4219,DATA!#REF!,2,FALSE),"")</f>
        <v/>
      </c>
    </row>
    <row r="4220" spans="3:4" s="237" customFormat="1">
      <c r="C4220" s="16" t="str">
        <f>IFERROR(VLOOKUP(DATA!#REF!,DATA!#REF!,1,FALSE),"")</f>
        <v/>
      </c>
      <c r="D4220" s="16" t="str">
        <f>IFERROR(VLOOKUP(C4220,DATA!#REF!,2,FALSE),"")</f>
        <v/>
      </c>
    </row>
    <row r="4221" spans="3:4" s="237" customFormat="1">
      <c r="C4221" s="16" t="str">
        <f>IFERROR(VLOOKUP(DATA!#REF!,DATA!#REF!,1,FALSE),"")</f>
        <v/>
      </c>
      <c r="D4221" s="16" t="str">
        <f>IFERROR(VLOOKUP(C4221,DATA!#REF!,2,FALSE),"")</f>
        <v/>
      </c>
    </row>
    <row r="4222" spans="3:4" s="237" customFormat="1">
      <c r="C4222" s="16" t="str">
        <f>IFERROR(VLOOKUP(DATA!#REF!,DATA!#REF!,1,FALSE),"")</f>
        <v/>
      </c>
      <c r="D4222" s="16" t="str">
        <f>IFERROR(VLOOKUP(C4222,DATA!#REF!,2,FALSE),"")</f>
        <v/>
      </c>
    </row>
    <row r="4223" spans="3:4" s="237" customFormat="1">
      <c r="C4223" s="16" t="str">
        <f>IFERROR(VLOOKUP(DATA!#REF!,DATA!#REF!,1,FALSE),"")</f>
        <v/>
      </c>
      <c r="D4223" s="16" t="str">
        <f>IFERROR(VLOOKUP(C4223,DATA!#REF!,2,FALSE),"")</f>
        <v/>
      </c>
    </row>
    <row r="4224" spans="3:4" s="237" customFormat="1">
      <c r="C4224" s="16" t="str">
        <f>IFERROR(VLOOKUP(DATA!#REF!,DATA!#REF!,1,FALSE),"")</f>
        <v/>
      </c>
      <c r="D4224" s="16" t="str">
        <f>IFERROR(VLOOKUP(C4224,DATA!#REF!,2,FALSE),"")</f>
        <v/>
      </c>
    </row>
    <row r="4225" spans="3:4" s="237" customFormat="1">
      <c r="C4225" s="16" t="str">
        <f>IFERROR(VLOOKUP(DATA!#REF!,DATA!#REF!,1,FALSE),"")</f>
        <v/>
      </c>
      <c r="D4225" s="16" t="str">
        <f>IFERROR(VLOOKUP(C4225,DATA!#REF!,2,FALSE),"")</f>
        <v/>
      </c>
    </row>
    <row r="4226" spans="3:4" s="237" customFormat="1">
      <c r="C4226" s="16" t="str">
        <f>IFERROR(VLOOKUP(DATA!#REF!,DATA!#REF!,1,FALSE),"")</f>
        <v/>
      </c>
      <c r="D4226" s="16" t="str">
        <f>IFERROR(VLOOKUP(C4226,DATA!#REF!,2,FALSE),"")</f>
        <v/>
      </c>
    </row>
    <row r="4227" spans="3:4" s="237" customFormat="1">
      <c r="C4227" s="16" t="str">
        <f>IFERROR(VLOOKUP(DATA!#REF!,DATA!#REF!,1,FALSE),"")</f>
        <v/>
      </c>
      <c r="D4227" s="16" t="str">
        <f>IFERROR(VLOOKUP(C4227,DATA!#REF!,2,FALSE),"")</f>
        <v/>
      </c>
    </row>
    <row r="4228" spans="3:4" s="237" customFormat="1">
      <c r="C4228" s="16" t="str">
        <f>IFERROR(VLOOKUP(DATA!#REF!,DATA!#REF!,1,FALSE),"")</f>
        <v/>
      </c>
      <c r="D4228" s="16" t="str">
        <f>IFERROR(VLOOKUP(C4228,DATA!#REF!,2,FALSE),"")</f>
        <v/>
      </c>
    </row>
    <row r="4229" spans="3:4" s="237" customFormat="1">
      <c r="C4229" s="16" t="str">
        <f>IFERROR(VLOOKUP(DATA!#REF!,DATA!#REF!,1,FALSE),"")</f>
        <v/>
      </c>
      <c r="D4229" s="16" t="str">
        <f>IFERROR(VLOOKUP(C4229,DATA!#REF!,2,FALSE),"")</f>
        <v/>
      </c>
    </row>
    <row r="4230" spans="3:4" s="237" customFormat="1">
      <c r="C4230" s="16" t="str">
        <f>IFERROR(VLOOKUP(DATA!#REF!,DATA!#REF!,1,FALSE),"")</f>
        <v/>
      </c>
      <c r="D4230" s="16" t="str">
        <f>IFERROR(VLOOKUP(C4230,DATA!#REF!,2,FALSE),"")</f>
        <v/>
      </c>
    </row>
    <row r="4231" spans="3:4" s="237" customFormat="1">
      <c r="C4231" s="16" t="str">
        <f>IFERROR(VLOOKUP(DATA!#REF!,DATA!#REF!,1,FALSE),"")</f>
        <v/>
      </c>
      <c r="D4231" s="16" t="str">
        <f>IFERROR(VLOOKUP(C4231,DATA!#REF!,2,FALSE),"")</f>
        <v/>
      </c>
    </row>
    <row r="4232" spans="3:4" s="237" customFormat="1">
      <c r="C4232" s="16" t="str">
        <f>IFERROR(VLOOKUP(DATA!#REF!,DATA!#REF!,1,FALSE),"")</f>
        <v/>
      </c>
      <c r="D4232" s="16" t="str">
        <f>IFERROR(VLOOKUP(C4232,DATA!#REF!,2,FALSE),"")</f>
        <v/>
      </c>
    </row>
    <row r="4233" spans="3:4" s="237" customFormat="1">
      <c r="C4233" s="16" t="str">
        <f>IFERROR(VLOOKUP(DATA!#REF!,DATA!#REF!,1,FALSE),"")</f>
        <v/>
      </c>
      <c r="D4233" s="16" t="str">
        <f>IFERROR(VLOOKUP(C4233,DATA!#REF!,2,FALSE),"")</f>
        <v/>
      </c>
    </row>
    <row r="4234" spans="3:4" s="237" customFormat="1">
      <c r="C4234" s="16" t="str">
        <f>IFERROR(VLOOKUP(DATA!#REF!,DATA!#REF!,1,FALSE),"")</f>
        <v/>
      </c>
      <c r="D4234" s="16" t="str">
        <f>IFERROR(VLOOKUP(C4234,DATA!#REF!,2,FALSE),"")</f>
        <v/>
      </c>
    </row>
    <row r="4235" spans="3:4" s="237" customFormat="1">
      <c r="C4235" s="16" t="str">
        <f>IFERROR(VLOOKUP(DATA!#REF!,DATA!#REF!,1,FALSE),"")</f>
        <v/>
      </c>
      <c r="D4235" s="16" t="str">
        <f>IFERROR(VLOOKUP(C4235,DATA!#REF!,2,FALSE),"")</f>
        <v/>
      </c>
    </row>
    <row r="4236" spans="3:4" s="237" customFormat="1">
      <c r="C4236" s="16" t="str">
        <f>IFERROR(VLOOKUP(DATA!#REF!,DATA!#REF!,1,FALSE),"")</f>
        <v/>
      </c>
      <c r="D4236" s="16" t="str">
        <f>IFERROR(VLOOKUP(C4236,DATA!#REF!,2,FALSE),"")</f>
        <v/>
      </c>
    </row>
    <row r="4237" spans="3:4" s="237" customFormat="1">
      <c r="C4237" s="16" t="str">
        <f>IFERROR(VLOOKUP(DATA!#REF!,DATA!#REF!,1,FALSE),"")</f>
        <v/>
      </c>
      <c r="D4237" s="16" t="str">
        <f>IFERROR(VLOOKUP(C4237,DATA!#REF!,2,FALSE),"")</f>
        <v/>
      </c>
    </row>
    <row r="4238" spans="3:4" s="237" customFormat="1">
      <c r="C4238" s="16" t="str">
        <f>IFERROR(VLOOKUP(DATA!#REF!,DATA!#REF!,1,FALSE),"")</f>
        <v/>
      </c>
      <c r="D4238" s="16" t="str">
        <f>IFERROR(VLOOKUP(C4238,DATA!#REF!,2,FALSE),"")</f>
        <v/>
      </c>
    </row>
    <row r="4239" spans="3:4" s="237" customFormat="1">
      <c r="C4239" s="16" t="str">
        <f>IFERROR(VLOOKUP(DATA!#REF!,DATA!#REF!,1,FALSE),"")</f>
        <v/>
      </c>
      <c r="D4239" s="16" t="str">
        <f>IFERROR(VLOOKUP(C4239,DATA!#REF!,2,FALSE),"")</f>
        <v/>
      </c>
    </row>
    <row r="4240" spans="3:4" s="237" customFormat="1">
      <c r="C4240" s="16" t="str">
        <f>IFERROR(VLOOKUP(DATA!#REF!,DATA!#REF!,1,FALSE),"")</f>
        <v/>
      </c>
      <c r="D4240" s="16" t="str">
        <f>IFERROR(VLOOKUP(C4240,DATA!#REF!,2,FALSE),"")</f>
        <v/>
      </c>
    </row>
    <row r="4241" spans="3:4" s="237" customFormat="1">
      <c r="C4241" s="16" t="str">
        <f>IFERROR(VLOOKUP(DATA!#REF!,DATA!#REF!,1,FALSE),"")</f>
        <v/>
      </c>
      <c r="D4241" s="16" t="str">
        <f>IFERROR(VLOOKUP(C4241,DATA!#REF!,2,FALSE),"")</f>
        <v/>
      </c>
    </row>
    <row r="4242" spans="3:4" s="237" customFormat="1">
      <c r="C4242" s="16" t="str">
        <f>IFERROR(VLOOKUP(DATA!#REF!,DATA!#REF!,1,FALSE),"")</f>
        <v/>
      </c>
      <c r="D4242" s="16" t="str">
        <f>IFERROR(VLOOKUP(C4242,DATA!#REF!,2,FALSE),"")</f>
        <v/>
      </c>
    </row>
    <row r="4243" spans="3:4" s="237" customFormat="1">
      <c r="C4243" s="16" t="str">
        <f>IFERROR(VLOOKUP(DATA!#REF!,DATA!#REF!,1,FALSE),"")</f>
        <v/>
      </c>
      <c r="D4243" s="16" t="str">
        <f>IFERROR(VLOOKUP(C4243,DATA!#REF!,2,FALSE),"")</f>
        <v/>
      </c>
    </row>
    <row r="4244" spans="3:4" s="237" customFormat="1">
      <c r="C4244" s="16" t="str">
        <f>IFERROR(VLOOKUP(DATA!#REF!,DATA!#REF!,1,FALSE),"")</f>
        <v/>
      </c>
      <c r="D4244" s="16" t="str">
        <f>IFERROR(VLOOKUP(C4244,DATA!#REF!,2,FALSE),"")</f>
        <v/>
      </c>
    </row>
    <row r="4245" spans="3:4" s="237" customFormat="1">
      <c r="C4245" s="16" t="str">
        <f>IFERROR(VLOOKUP(DATA!#REF!,DATA!#REF!,1,FALSE),"")</f>
        <v/>
      </c>
      <c r="D4245" s="16" t="str">
        <f>IFERROR(VLOOKUP(C4245,DATA!#REF!,2,FALSE),"")</f>
        <v/>
      </c>
    </row>
    <row r="4246" spans="3:4" s="237" customFormat="1">
      <c r="C4246" s="16" t="str">
        <f>IFERROR(VLOOKUP(DATA!#REF!,DATA!#REF!,1,FALSE),"")</f>
        <v/>
      </c>
      <c r="D4246" s="16" t="str">
        <f>IFERROR(VLOOKUP(C4246,DATA!#REF!,2,FALSE),"")</f>
        <v/>
      </c>
    </row>
    <row r="4247" spans="3:4" s="237" customFormat="1">
      <c r="C4247" s="16" t="str">
        <f>IFERROR(VLOOKUP(DATA!#REF!,DATA!#REF!,1,FALSE),"")</f>
        <v/>
      </c>
      <c r="D4247" s="16" t="str">
        <f>IFERROR(VLOOKUP(C4247,DATA!#REF!,2,FALSE),"")</f>
        <v/>
      </c>
    </row>
    <row r="4248" spans="3:4" s="237" customFormat="1">
      <c r="C4248" s="16" t="str">
        <f>IFERROR(VLOOKUP(DATA!#REF!,DATA!#REF!,1,FALSE),"")</f>
        <v/>
      </c>
      <c r="D4248" s="16" t="str">
        <f>IFERROR(VLOOKUP(C4248,DATA!#REF!,2,FALSE),"")</f>
        <v/>
      </c>
    </row>
    <row r="4249" spans="3:4" s="237" customFormat="1">
      <c r="C4249" s="16" t="str">
        <f>IFERROR(VLOOKUP(DATA!#REF!,DATA!#REF!,1,FALSE),"")</f>
        <v/>
      </c>
      <c r="D4249" s="16" t="str">
        <f>IFERROR(VLOOKUP(C4249,DATA!#REF!,2,FALSE),"")</f>
        <v/>
      </c>
    </row>
    <row r="4250" spans="3:4" s="237" customFormat="1">
      <c r="C4250" s="16" t="str">
        <f>IFERROR(VLOOKUP(DATA!#REF!,DATA!#REF!,1,FALSE),"")</f>
        <v/>
      </c>
      <c r="D4250" s="16" t="str">
        <f>IFERROR(VLOOKUP(C4250,DATA!#REF!,2,FALSE),"")</f>
        <v/>
      </c>
    </row>
    <row r="4251" spans="3:4" s="237" customFormat="1">
      <c r="C4251" s="16" t="str">
        <f>IFERROR(VLOOKUP(DATA!#REF!,DATA!#REF!,1,FALSE),"")</f>
        <v/>
      </c>
      <c r="D4251" s="16" t="str">
        <f>IFERROR(VLOOKUP(C4251,DATA!#REF!,2,FALSE),"")</f>
        <v/>
      </c>
    </row>
    <row r="4252" spans="3:4" s="237" customFormat="1">
      <c r="C4252" s="16" t="str">
        <f>IFERROR(VLOOKUP(DATA!#REF!,DATA!#REF!,1,FALSE),"")</f>
        <v/>
      </c>
      <c r="D4252" s="16" t="str">
        <f>IFERROR(VLOOKUP(C4252,DATA!#REF!,2,FALSE),"")</f>
        <v/>
      </c>
    </row>
    <row r="4253" spans="3:4" s="237" customFormat="1">
      <c r="C4253" s="16" t="str">
        <f>IFERROR(VLOOKUP(DATA!#REF!,DATA!#REF!,1,FALSE),"")</f>
        <v/>
      </c>
      <c r="D4253" s="16" t="str">
        <f>IFERROR(VLOOKUP(C4253,DATA!#REF!,2,FALSE),"")</f>
        <v/>
      </c>
    </row>
    <row r="4254" spans="3:4" s="237" customFormat="1">
      <c r="C4254" s="16" t="str">
        <f>IFERROR(VLOOKUP(DATA!#REF!,DATA!#REF!,1,FALSE),"")</f>
        <v/>
      </c>
      <c r="D4254" s="16" t="str">
        <f>IFERROR(VLOOKUP(C4254,DATA!#REF!,2,FALSE),"")</f>
        <v/>
      </c>
    </row>
    <row r="4255" spans="3:4" s="237" customFormat="1">
      <c r="C4255" s="16" t="str">
        <f>IFERROR(VLOOKUP(DATA!#REF!,DATA!#REF!,1,FALSE),"")</f>
        <v/>
      </c>
      <c r="D4255" s="16" t="str">
        <f>IFERROR(VLOOKUP(C4255,DATA!#REF!,2,FALSE),"")</f>
        <v/>
      </c>
    </row>
    <row r="4256" spans="3:4" s="237" customFormat="1">
      <c r="C4256" s="16" t="str">
        <f>IFERROR(VLOOKUP(DATA!#REF!,DATA!#REF!,1,FALSE),"")</f>
        <v/>
      </c>
      <c r="D4256" s="16" t="str">
        <f>IFERROR(VLOOKUP(C4256,DATA!#REF!,2,FALSE),"")</f>
        <v/>
      </c>
    </row>
    <row r="4257" spans="3:4" s="237" customFormat="1">
      <c r="C4257" s="16" t="str">
        <f>IFERROR(VLOOKUP(DATA!#REF!,DATA!#REF!,1,FALSE),"")</f>
        <v/>
      </c>
      <c r="D4257" s="16" t="str">
        <f>IFERROR(VLOOKUP(C4257,DATA!#REF!,2,FALSE),"")</f>
        <v/>
      </c>
    </row>
    <row r="4258" spans="3:4" s="237" customFormat="1">
      <c r="C4258" s="16" t="str">
        <f>IFERROR(VLOOKUP(DATA!#REF!,DATA!#REF!,1,FALSE),"")</f>
        <v/>
      </c>
      <c r="D4258" s="16" t="str">
        <f>IFERROR(VLOOKUP(C4258,DATA!#REF!,2,FALSE),"")</f>
        <v/>
      </c>
    </row>
    <row r="4259" spans="3:4" s="237" customFormat="1">
      <c r="C4259" s="16" t="str">
        <f>IFERROR(VLOOKUP(DATA!#REF!,DATA!#REF!,1,FALSE),"")</f>
        <v/>
      </c>
      <c r="D4259" s="16" t="str">
        <f>IFERROR(VLOOKUP(C4259,DATA!#REF!,2,FALSE),"")</f>
        <v/>
      </c>
    </row>
    <row r="4260" spans="3:4" s="237" customFormat="1">
      <c r="C4260" s="16" t="str">
        <f>IFERROR(VLOOKUP(DATA!#REF!,DATA!#REF!,1,FALSE),"")</f>
        <v/>
      </c>
      <c r="D4260" s="16" t="str">
        <f>IFERROR(VLOOKUP(C4260,DATA!#REF!,2,FALSE),"")</f>
        <v/>
      </c>
    </row>
    <row r="4261" spans="3:4" s="237" customFormat="1">
      <c r="C4261" s="16" t="str">
        <f>IFERROR(VLOOKUP(DATA!#REF!,DATA!#REF!,1,FALSE),"")</f>
        <v/>
      </c>
      <c r="D4261" s="16" t="str">
        <f>IFERROR(VLOOKUP(C4261,DATA!#REF!,2,FALSE),"")</f>
        <v/>
      </c>
    </row>
    <row r="4262" spans="3:4" s="237" customFormat="1">
      <c r="C4262" s="16" t="str">
        <f>IFERROR(VLOOKUP(DATA!#REF!,DATA!#REF!,1,FALSE),"")</f>
        <v/>
      </c>
      <c r="D4262" s="16" t="str">
        <f>IFERROR(VLOOKUP(C4262,DATA!#REF!,2,FALSE),"")</f>
        <v/>
      </c>
    </row>
    <row r="4263" spans="3:4" s="237" customFormat="1">
      <c r="C4263" s="16" t="str">
        <f>IFERROR(VLOOKUP(DATA!#REF!,DATA!#REF!,1,FALSE),"")</f>
        <v/>
      </c>
      <c r="D4263" s="16" t="str">
        <f>IFERROR(VLOOKUP(C4263,DATA!#REF!,2,FALSE),"")</f>
        <v/>
      </c>
    </row>
    <row r="4264" spans="3:4" s="237" customFormat="1">
      <c r="C4264" s="16" t="str">
        <f>IFERROR(VLOOKUP(DATA!#REF!,DATA!#REF!,1,FALSE),"")</f>
        <v/>
      </c>
      <c r="D4264" s="16" t="str">
        <f>IFERROR(VLOOKUP(C4264,DATA!#REF!,2,FALSE),"")</f>
        <v/>
      </c>
    </row>
    <row r="4265" spans="3:4" s="237" customFormat="1">
      <c r="C4265" s="16" t="str">
        <f>IFERROR(VLOOKUP(DATA!#REF!,DATA!#REF!,1,FALSE),"")</f>
        <v/>
      </c>
      <c r="D4265" s="16" t="str">
        <f>IFERROR(VLOOKUP(C4265,DATA!#REF!,2,FALSE),"")</f>
        <v/>
      </c>
    </row>
    <row r="4266" spans="3:4" s="237" customFormat="1">
      <c r="C4266" s="16" t="str">
        <f>IFERROR(VLOOKUP(DATA!#REF!,DATA!#REF!,1,FALSE),"")</f>
        <v/>
      </c>
      <c r="D4266" s="16" t="str">
        <f>IFERROR(VLOOKUP(C4266,DATA!#REF!,2,FALSE),"")</f>
        <v/>
      </c>
    </row>
    <row r="4267" spans="3:4" s="237" customFormat="1">
      <c r="C4267" s="16" t="str">
        <f>IFERROR(VLOOKUP(DATA!#REF!,DATA!#REF!,1,FALSE),"")</f>
        <v/>
      </c>
      <c r="D4267" s="16" t="str">
        <f>IFERROR(VLOOKUP(C4267,DATA!#REF!,2,FALSE),"")</f>
        <v/>
      </c>
    </row>
    <row r="4268" spans="3:4" s="237" customFormat="1">
      <c r="C4268" s="16" t="str">
        <f>IFERROR(VLOOKUP(DATA!#REF!,DATA!#REF!,1,FALSE),"")</f>
        <v/>
      </c>
      <c r="D4268" s="16" t="str">
        <f>IFERROR(VLOOKUP(C4268,DATA!#REF!,2,FALSE),"")</f>
        <v/>
      </c>
    </row>
    <row r="4269" spans="3:4" s="237" customFormat="1">
      <c r="C4269" s="16" t="str">
        <f>IFERROR(VLOOKUP(DATA!#REF!,DATA!#REF!,1,FALSE),"")</f>
        <v/>
      </c>
      <c r="D4269" s="16" t="str">
        <f>IFERROR(VLOOKUP(C4269,DATA!#REF!,2,FALSE),"")</f>
        <v/>
      </c>
    </row>
    <row r="4270" spans="3:4" s="237" customFormat="1">
      <c r="C4270" s="16" t="str">
        <f>IFERROR(VLOOKUP(DATA!#REF!,DATA!#REF!,1,FALSE),"")</f>
        <v/>
      </c>
      <c r="D4270" s="16" t="str">
        <f>IFERROR(VLOOKUP(C4270,DATA!#REF!,2,FALSE),"")</f>
        <v/>
      </c>
    </row>
    <row r="4271" spans="3:4" s="237" customFormat="1">
      <c r="C4271" s="16" t="str">
        <f>IFERROR(VLOOKUP(DATA!#REF!,DATA!#REF!,1,FALSE),"")</f>
        <v/>
      </c>
      <c r="D4271" s="16" t="str">
        <f>IFERROR(VLOOKUP(C4271,DATA!#REF!,2,FALSE),"")</f>
        <v/>
      </c>
    </row>
    <row r="4272" spans="3:4" s="237" customFormat="1">
      <c r="C4272" s="16" t="str">
        <f>IFERROR(VLOOKUP(DATA!#REF!,DATA!#REF!,1,FALSE),"")</f>
        <v/>
      </c>
      <c r="D4272" s="16" t="str">
        <f>IFERROR(VLOOKUP(C4272,DATA!#REF!,2,FALSE),"")</f>
        <v/>
      </c>
    </row>
    <row r="4273" spans="3:4" s="237" customFormat="1">
      <c r="C4273" s="16" t="str">
        <f>IFERROR(VLOOKUP(DATA!#REF!,DATA!#REF!,1,FALSE),"")</f>
        <v/>
      </c>
      <c r="D4273" s="16" t="str">
        <f>IFERROR(VLOOKUP(C4273,DATA!#REF!,2,FALSE),"")</f>
        <v/>
      </c>
    </row>
    <row r="4274" spans="3:4" s="237" customFormat="1">
      <c r="C4274" s="16" t="str">
        <f>IFERROR(VLOOKUP(DATA!#REF!,DATA!#REF!,1,FALSE),"")</f>
        <v/>
      </c>
      <c r="D4274" s="16" t="str">
        <f>IFERROR(VLOOKUP(C4274,DATA!#REF!,2,FALSE),"")</f>
        <v/>
      </c>
    </row>
    <row r="4275" spans="3:4" s="237" customFormat="1">
      <c r="C4275" s="16" t="str">
        <f>IFERROR(VLOOKUP(DATA!#REF!,DATA!#REF!,1,FALSE),"")</f>
        <v/>
      </c>
      <c r="D4275" s="16" t="str">
        <f>IFERROR(VLOOKUP(C4275,DATA!#REF!,2,FALSE),"")</f>
        <v/>
      </c>
    </row>
    <row r="4276" spans="3:4" s="237" customFormat="1">
      <c r="C4276" s="16" t="str">
        <f>IFERROR(VLOOKUP(DATA!#REF!,DATA!#REF!,1,FALSE),"")</f>
        <v/>
      </c>
      <c r="D4276" s="16" t="str">
        <f>IFERROR(VLOOKUP(C4276,DATA!#REF!,2,FALSE),"")</f>
        <v/>
      </c>
    </row>
    <row r="4277" spans="3:4" s="237" customFormat="1">
      <c r="C4277" s="16" t="str">
        <f>IFERROR(VLOOKUP(DATA!#REF!,DATA!#REF!,1,FALSE),"")</f>
        <v/>
      </c>
      <c r="D4277" s="16" t="str">
        <f>IFERROR(VLOOKUP(C4277,DATA!#REF!,2,FALSE),"")</f>
        <v/>
      </c>
    </row>
    <row r="4278" spans="3:4" s="237" customFormat="1">
      <c r="C4278" s="16" t="str">
        <f>IFERROR(VLOOKUP(DATA!#REF!,DATA!#REF!,1,FALSE),"")</f>
        <v/>
      </c>
      <c r="D4278" s="16" t="str">
        <f>IFERROR(VLOOKUP(C4278,DATA!#REF!,2,FALSE),"")</f>
        <v/>
      </c>
    </row>
    <row r="4279" spans="3:4" s="237" customFormat="1">
      <c r="C4279" s="16" t="str">
        <f>IFERROR(VLOOKUP(DATA!#REF!,DATA!#REF!,1,FALSE),"")</f>
        <v/>
      </c>
      <c r="D4279" s="16" t="str">
        <f>IFERROR(VLOOKUP(C4279,DATA!#REF!,2,FALSE),"")</f>
        <v/>
      </c>
    </row>
    <row r="4280" spans="3:4" s="237" customFormat="1">
      <c r="C4280" s="16" t="str">
        <f>IFERROR(VLOOKUP(DATA!#REF!,DATA!#REF!,1,FALSE),"")</f>
        <v/>
      </c>
      <c r="D4280" s="16" t="str">
        <f>IFERROR(VLOOKUP(C4280,DATA!#REF!,2,FALSE),"")</f>
        <v/>
      </c>
    </row>
    <row r="4281" spans="3:4" s="237" customFormat="1">
      <c r="C4281" s="16" t="str">
        <f>IFERROR(VLOOKUP(DATA!#REF!,DATA!#REF!,1,FALSE),"")</f>
        <v/>
      </c>
      <c r="D4281" s="16" t="str">
        <f>IFERROR(VLOOKUP(C4281,DATA!#REF!,2,FALSE),"")</f>
        <v/>
      </c>
    </row>
    <row r="4282" spans="3:4" s="237" customFormat="1">
      <c r="C4282" s="16" t="str">
        <f>IFERROR(VLOOKUP(DATA!#REF!,DATA!#REF!,1,FALSE),"")</f>
        <v/>
      </c>
      <c r="D4282" s="16" t="str">
        <f>IFERROR(VLOOKUP(C4282,DATA!#REF!,2,FALSE),"")</f>
        <v/>
      </c>
    </row>
    <row r="4283" spans="3:4" s="237" customFormat="1">
      <c r="C4283" s="16" t="str">
        <f>IFERROR(VLOOKUP(DATA!#REF!,DATA!#REF!,1,FALSE),"")</f>
        <v/>
      </c>
      <c r="D4283" s="16" t="str">
        <f>IFERROR(VLOOKUP(C4283,DATA!#REF!,2,FALSE),"")</f>
        <v/>
      </c>
    </row>
    <row r="4284" spans="3:4" s="237" customFormat="1">
      <c r="C4284" s="16" t="str">
        <f>IFERROR(VLOOKUP(DATA!#REF!,DATA!#REF!,1,FALSE),"")</f>
        <v/>
      </c>
      <c r="D4284" s="16" t="str">
        <f>IFERROR(VLOOKUP(C4284,DATA!#REF!,2,FALSE),"")</f>
        <v/>
      </c>
    </row>
    <row r="4285" spans="3:4" s="237" customFormat="1">
      <c r="C4285" s="16" t="str">
        <f>IFERROR(VLOOKUP(DATA!#REF!,DATA!#REF!,1,FALSE),"")</f>
        <v/>
      </c>
      <c r="D4285" s="16" t="str">
        <f>IFERROR(VLOOKUP(C4285,DATA!#REF!,2,FALSE),"")</f>
        <v/>
      </c>
    </row>
    <row r="4286" spans="3:4" s="237" customFormat="1">
      <c r="C4286" s="16" t="str">
        <f>IFERROR(VLOOKUP(DATA!#REF!,DATA!#REF!,1,FALSE),"")</f>
        <v/>
      </c>
      <c r="D4286" s="16" t="str">
        <f>IFERROR(VLOOKUP(C4286,DATA!#REF!,2,FALSE),"")</f>
        <v/>
      </c>
    </row>
    <row r="4287" spans="3:4" s="237" customFormat="1">
      <c r="C4287" s="16" t="str">
        <f>IFERROR(VLOOKUP(DATA!#REF!,DATA!#REF!,1,FALSE),"")</f>
        <v/>
      </c>
      <c r="D4287" s="16" t="str">
        <f>IFERROR(VLOOKUP(C4287,DATA!#REF!,2,FALSE),"")</f>
        <v/>
      </c>
    </row>
    <row r="4288" spans="3:4" s="237" customFormat="1">
      <c r="C4288" s="16" t="str">
        <f>IFERROR(VLOOKUP(DATA!#REF!,DATA!#REF!,1,FALSE),"")</f>
        <v/>
      </c>
      <c r="D4288" s="16" t="str">
        <f>IFERROR(VLOOKUP(C4288,DATA!#REF!,2,FALSE),"")</f>
        <v/>
      </c>
    </row>
    <row r="4289" spans="3:4" s="237" customFormat="1">
      <c r="C4289" s="16" t="str">
        <f>IFERROR(VLOOKUP(DATA!#REF!,DATA!#REF!,1,FALSE),"")</f>
        <v/>
      </c>
      <c r="D4289" s="16" t="str">
        <f>IFERROR(VLOOKUP(C4289,DATA!#REF!,2,FALSE),"")</f>
        <v/>
      </c>
    </row>
    <row r="4290" spans="3:4" s="237" customFormat="1">
      <c r="C4290" s="16" t="str">
        <f>IFERROR(VLOOKUP(DATA!#REF!,DATA!#REF!,1,FALSE),"")</f>
        <v/>
      </c>
      <c r="D4290" s="16" t="str">
        <f>IFERROR(VLOOKUP(C4290,DATA!#REF!,2,FALSE),"")</f>
        <v/>
      </c>
    </row>
    <row r="4291" spans="3:4" s="237" customFormat="1">
      <c r="C4291" s="16" t="str">
        <f>IFERROR(VLOOKUP(DATA!#REF!,DATA!#REF!,1,FALSE),"")</f>
        <v/>
      </c>
      <c r="D4291" s="16" t="str">
        <f>IFERROR(VLOOKUP(C4291,DATA!#REF!,2,FALSE),"")</f>
        <v/>
      </c>
    </row>
    <row r="4292" spans="3:4" s="237" customFormat="1">
      <c r="C4292" s="16" t="str">
        <f>IFERROR(VLOOKUP(DATA!#REF!,DATA!#REF!,1,FALSE),"")</f>
        <v/>
      </c>
      <c r="D4292" s="16" t="str">
        <f>IFERROR(VLOOKUP(C4292,DATA!#REF!,2,FALSE),"")</f>
        <v/>
      </c>
    </row>
    <row r="4293" spans="3:4" s="237" customFormat="1">
      <c r="C4293" s="16" t="str">
        <f>IFERROR(VLOOKUP(DATA!#REF!,DATA!#REF!,1,FALSE),"")</f>
        <v/>
      </c>
      <c r="D4293" s="16" t="str">
        <f>IFERROR(VLOOKUP(C4293,DATA!#REF!,2,FALSE),"")</f>
        <v/>
      </c>
    </row>
    <row r="4294" spans="3:4" s="237" customFormat="1">
      <c r="C4294" s="16" t="str">
        <f>IFERROR(VLOOKUP(DATA!#REF!,DATA!#REF!,1,FALSE),"")</f>
        <v/>
      </c>
      <c r="D4294" s="16" t="str">
        <f>IFERROR(VLOOKUP(C4294,DATA!#REF!,2,FALSE),"")</f>
        <v/>
      </c>
    </row>
    <row r="4295" spans="3:4" s="237" customFormat="1">
      <c r="C4295" s="16" t="str">
        <f>IFERROR(VLOOKUP(DATA!#REF!,DATA!#REF!,1,FALSE),"")</f>
        <v/>
      </c>
      <c r="D4295" s="16" t="str">
        <f>IFERROR(VLOOKUP(C4295,DATA!#REF!,2,FALSE),"")</f>
        <v/>
      </c>
    </row>
    <row r="4296" spans="3:4" s="237" customFormat="1">
      <c r="C4296" s="16" t="str">
        <f>IFERROR(VLOOKUP(DATA!#REF!,DATA!#REF!,1,FALSE),"")</f>
        <v/>
      </c>
      <c r="D4296" s="16" t="str">
        <f>IFERROR(VLOOKUP(C4296,DATA!#REF!,2,FALSE),"")</f>
        <v/>
      </c>
    </row>
    <row r="4297" spans="3:4" s="237" customFormat="1">
      <c r="C4297" s="16" t="str">
        <f>IFERROR(VLOOKUP(DATA!#REF!,DATA!#REF!,1,FALSE),"")</f>
        <v/>
      </c>
      <c r="D4297" s="16" t="str">
        <f>IFERROR(VLOOKUP(C4297,DATA!#REF!,2,FALSE),"")</f>
        <v/>
      </c>
    </row>
    <row r="4298" spans="3:4" s="237" customFormat="1">
      <c r="C4298" s="16" t="str">
        <f>IFERROR(VLOOKUP(DATA!#REF!,DATA!#REF!,1,FALSE),"")</f>
        <v/>
      </c>
      <c r="D4298" s="16" t="str">
        <f>IFERROR(VLOOKUP(C4298,DATA!#REF!,2,FALSE),"")</f>
        <v/>
      </c>
    </row>
    <row r="4299" spans="3:4" s="237" customFormat="1">
      <c r="C4299" s="16" t="str">
        <f>IFERROR(VLOOKUP(DATA!#REF!,DATA!#REF!,1,FALSE),"")</f>
        <v/>
      </c>
      <c r="D4299" s="16" t="str">
        <f>IFERROR(VLOOKUP(C4299,DATA!#REF!,2,FALSE),"")</f>
        <v/>
      </c>
    </row>
    <row r="4300" spans="3:4" s="237" customFormat="1">
      <c r="C4300" s="16" t="str">
        <f>IFERROR(VLOOKUP(DATA!#REF!,DATA!#REF!,1,FALSE),"")</f>
        <v/>
      </c>
      <c r="D4300" s="16" t="str">
        <f>IFERROR(VLOOKUP(C4300,DATA!#REF!,2,FALSE),"")</f>
        <v/>
      </c>
    </row>
    <row r="4301" spans="3:4" s="237" customFormat="1">
      <c r="C4301" s="16" t="str">
        <f>IFERROR(VLOOKUP(DATA!#REF!,DATA!#REF!,1,FALSE),"")</f>
        <v/>
      </c>
      <c r="D4301" s="16" t="str">
        <f>IFERROR(VLOOKUP(C4301,DATA!#REF!,2,FALSE),"")</f>
        <v/>
      </c>
    </row>
    <row r="4302" spans="3:4" s="237" customFormat="1">
      <c r="C4302" s="16" t="str">
        <f>IFERROR(VLOOKUP(DATA!#REF!,DATA!#REF!,1,FALSE),"")</f>
        <v/>
      </c>
      <c r="D4302" s="16" t="str">
        <f>IFERROR(VLOOKUP(C4302,DATA!#REF!,2,FALSE),"")</f>
        <v/>
      </c>
    </row>
    <row r="4303" spans="3:4" s="237" customFormat="1">
      <c r="C4303" s="16" t="str">
        <f>IFERROR(VLOOKUP(DATA!#REF!,DATA!#REF!,1,FALSE),"")</f>
        <v/>
      </c>
      <c r="D4303" s="16" t="str">
        <f>IFERROR(VLOOKUP(C4303,DATA!#REF!,2,FALSE),"")</f>
        <v/>
      </c>
    </row>
    <row r="4304" spans="3:4" s="237" customFormat="1">
      <c r="C4304" s="16" t="str">
        <f>IFERROR(VLOOKUP(DATA!#REF!,DATA!#REF!,1,FALSE),"")</f>
        <v/>
      </c>
      <c r="D4304" s="16" t="str">
        <f>IFERROR(VLOOKUP(C4304,DATA!#REF!,2,FALSE),"")</f>
        <v/>
      </c>
    </row>
    <row r="4305" spans="3:4" s="237" customFormat="1">
      <c r="C4305" s="16" t="str">
        <f>IFERROR(VLOOKUP(DATA!#REF!,DATA!#REF!,1,FALSE),"")</f>
        <v/>
      </c>
      <c r="D4305" s="16" t="str">
        <f>IFERROR(VLOOKUP(C4305,DATA!#REF!,2,FALSE),"")</f>
        <v/>
      </c>
    </row>
    <row r="4306" spans="3:4" s="237" customFormat="1">
      <c r="C4306" s="16" t="str">
        <f>IFERROR(VLOOKUP(DATA!#REF!,DATA!#REF!,1,FALSE),"")</f>
        <v/>
      </c>
      <c r="D4306" s="16" t="str">
        <f>IFERROR(VLOOKUP(C4306,DATA!#REF!,2,FALSE),"")</f>
        <v/>
      </c>
    </row>
    <row r="4307" spans="3:4" s="237" customFormat="1">
      <c r="C4307" s="16" t="str">
        <f>IFERROR(VLOOKUP(DATA!#REF!,DATA!#REF!,1,FALSE),"")</f>
        <v/>
      </c>
      <c r="D4307" s="16" t="str">
        <f>IFERROR(VLOOKUP(C4307,DATA!#REF!,2,FALSE),"")</f>
        <v/>
      </c>
    </row>
    <row r="4308" spans="3:4" s="237" customFormat="1">
      <c r="C4308" s="16" t="str">
        <f>IFERROR(VLOOKUP(DATA!#REF!,DATA!#REF!,1,FALSE),"")</f>
        <v/>
      </c>
      <c r="D4308" s="16" t="str">
        <f>IFERROR(VLOOKUP(C4308,DATA!#REF!,2,FALSE),"")</f>
        <v/>
      </c>
    </row>
    <row r="4309" spans="3:4" s="237" customFormat="1">
      <c r="C4309" s="16" t="str">
        <f>IFERROR(VLOOKUP(DATA!#REF!,DATA!#REF!,1,FALSE),"")</f>
        <v/>
      </c>
      <c r="D4309" s="16" t="str">
        <f>IFERROR(VLOOKUP(C4309,DATA!#REF!,2,FALSE),"")</f>
        <v/>
      </c>
    </row>
    <row r="4310" spans="3:4" s="237" customFormat="1">
      <c r="C4310" s="16" t="str">
        <f>IFERROR(VLOOKUP(DATA!#REF!,DATA!#REF!,1,FALSE),"")</f>
        <v/>
      </c>
      <c r="D4310" s="16" t="str">
        <f>IFERROR(VLOOKUP(C4310,DATA!#REF!,2,FALSE),"")</f>
        <v/>
      </c>
    </row>
    <row r="4311" spans="3:4" s="237" customFormat="1">
      <c r="C4311" s="16" t="str">
        <f>IFERROR(VLOOKUP(DATA!#REF!,DATA!#REF!,1,FALSE),"")</f>
        <v/>
      </c>
      <c r="D4311" s="16" t="str">
        <f>IFERROR(VLOOKUP(C4311,DATA!#REF!,2,FALSE),"")</f>
        <v/>
      </c>
    </row>
    <row r="4312" spans="3:4" s="237" customFormat="1">
      <c r="C4312" s="16" t="str">
        <f>IFERROR(VLOOKUP(DATA!#REF!,DATA!#REF!,1,FALSE),"")</f>
        <v/>
      </c>
      <c r="D4312" s="16" t="str">
        <f>IFERROR(VLOOKUP(C4312,DATA!#REF!,2,FALSE),"")</f>
        <v/>
      </c>
    </row>
    <row r="4313" spans="3:4" s="237" customFormat="1">
      <c r="C4313" s="16" t="str">
        <f>IFERROR(VLOOKUP(DATA!#REF!,DATA!#REF!,1,FALSE),"")</f>
        <v/>
      </c>
      <c r="D4313" s="16" t="str">
        <f>IFERROR(VLOOKUP(C4313,DATA!#REF!,2,FALSE),"")</f>
        <v/>
      </c>
    </row>
    <row r="4314" spans="3:4" s="237" customFormat="1">
      <c r="C4314" s="16" t="str">
        <f>IFERROR(VLOOKUP(DATA!#REF!,DATA!#REF!,1,FALSE),"")</f>
        <v/>
      </c>
      <c r="D4314" s="16" t="str">
        <f>IFERROR(VLOOKUP(C4314,DATA!#REF!,2,FALSE),"")</f>
        <v/>
      </c>
    </row>
    <row r="4315" spans="3:4" s="237" customFormat="1">
      <c r="C4315" s="16" t="str">
        <f>IFERROR(VLOOKUP(DATA!#REF!,DATA!#REF!,1,FALSE),"")</f>
        <v/>
      </c>
      <c r="D4315" s="16" t="str">
        <f>IFERROR(VLOOKUP(C4315,DATA!#REF!,2,FALSE),"")</f>
        <v/>
      </c>
    </row>
    <row r="4316" spans="3:4" s="237" customFormat="1">
      <c r="C4316" s="16" t="str">
        <f>IFERROR(VLOOKUP(DATA!#REF!,DATA!#REF!,1,FALSE),"")</f>
        <v/>
      </c>
      <c r="D4316" s="16" t="str">
        <f>IFERROR(VLOOKUP(C4316,DATA!#REF!,2,FALSE),"")</f>
        <v/>
      </c>
    </row>
    <row r="4317" spans="3:4" s="237" customFormat="1">
      <c r="C4317" s="16" t="str">
        <f>IFERROR(VLOOKUP(DATA!#REF!,DATA!#REF!,1,FALSE),"")</f>
        <v/>
      </c>
      <c r="D4317" s="16" t="str">
        <f>IFERROR(VLOOKUP(C4317,DATA!#REF!,2,FALSE),"")</f>
        <v/>
      </c>
    </row>
    <row r="4318" spans="3:4" s="237" customFormat="1">
      <c r="C4318" s="16" t="str">
        <f>IFERROR(VLOOKUP(DATA!#REF!,DATA!#REF!,1,FALSE),"")</f>
        <v/>
      </c>
      <c r="D4318" s="16" t="str">
        <f>IFERROR(VLOOKUP(C4318,DATA!#REF!,2,FALSE),"")</f>
        <v/>
      </c>
    </row>
    <row r="4319" spans="3:4" s="237" customFormat="1">
      <c r="C4319" s="16" t="str">
        <f>IFERROR(VLOOKUP(DATA!#REF!,DATA!#REF!,1,FALSE),"")</f>
        <v/>
      </c>
      <c r="D4319" s="16" t="str">
        <f>IFERROR(VLOOKUP(C4319,DATA!#REF!,2,FALSE),"")</f>
        <v/>
      </c>
    </row>
    <row r="4320" spans="3:4" s="237" customFormat="1">
      <c r="C4320" s="16" t="str">
        <f>IFERROR(VLOOKUP(DATA!#REF!,DATA!#REF!,1,FALSE),"")</f>
        <v/>
      </c>
      <c r="D4320" s="16" t="str">
        <f>IFERROR(VLOOKUP(C4320,DATA!#REF!,2,FALSE),"")</f>
        <v/>
      </c>
    </row>
    <row r="4321" spans="3:4" s="237" customFormat="1">
      <c r="C4321" s="16" t="str">
        <f>IFERROR(VLOOKUP(DATA!#REF!,DATA!#REF!,1,FALSE),"")</f>
        <v/>
      </c>
      <c r="D4321" s="16" t="str">
        <f>IFERROR(VLOOKUP(C4321,DATA!#REF!,2,FALSE),"")</f>
        <v/>
      </c>
    </row>
    <row r="4322" spans="3:4" s="237" customFormat="1">
      <c r="C4322" s="16" t="str">
        <f>IFERROR(VLOOKUP(DATA!#REF!,DATA!#REF!,1,FALSE),"")</f>
        <v/>
      </c>
      <c r="D4322" s="16" t="str">
        <f>IFERROR(VLOOKUP(C4322,DATA!#REF!,2,FALSE),"")</f>
        <v/>
      </c>
    </row>
    <row r="4323" spans="3:4" s="237" customFormat="1">
      <c r="C4323" s="16" t="str">
        <f>IFERROR(VLOOKUP(DATA!#REF!,DATA!#REF!,1,FALSE),"")</f>
        <v/>
      </c>
      <c r="D4323" s="16" t="str">
        <f>IFERROR(VLOOKUP(C4323,DATA!#REF!,2,FALSE),"")</f>
        <v/>
      </c>
    </row>
    <row r="4324" spans="3:4" s="237" customFormat="1">
      <c r="C4324" s="16" t="str">
        <f>IFERROR(VLOOKUP(DATA!#REF!,DATA!#REF!,1,FALSE),"")</f>
        <v/>
      </c>
      <c r="D4324" s="16" t="str">
        <f>IFERROR(VLOOKUP(C4324,DATA!#REF!,2,FALSE),"")</f>
        <v/>
      </c>
    </row>
    <row r="4325" spans="3:4" s="237" customFormat="1">
      <c r="C4325" s="16" t="str">
        <f>IFERROR(VLOOKUP(DATA!#REF!,DATA!#REF!,1,FALSE),"")</f>
        <v/>
      </c>
      <c r="D4325" s="16" t="str">
        <f>IFERROR(VLOOKUP(C4325,DATA!#REF!,2,FALSE),"")</f>
        <v/>
      </c>
    </row>
    <row r="4326" spans="3:4" s="237" customFormat="1">
      <c r="C4326" s="16" t="str">
        <f>IFERROR(VLOOKUP(DATA!#REF!,DATA!#REF!,1,FALSE),"")</f>
        <v/>
      </c>
      <c r="D4326" s="16" t="str">
        <f>IFERROR(VLOOKUP(C4326,DATA!#REF!,2,FALSE),"")</f>
        <v/>
      </c>
    </row>
    <row r="4327" spans="3:4" s="237" customFormat="1">
      <c r="C4327" s="16" t="str">
        <f>IFERROR(VLOOKUP(DATA!#REF!,DATA!#REF!,1,FALSE),"")</f>
        <v/>
      </c>
      <c r="D4327" s="16" t="str">
        <f>IFERROR(VLOOKUP(C4327,DATA!#REF!,2,FALSE),"")</f>
        <v/>
      </c>
    </row>
    <row r="4328" spans="3:4" s="237" customFormat="1">
      <c r="C4328" s="16" t="str">
        <f>IFERROR(VLOOKUP(DATA!#REF!,DATA!#REF!,1,FALSE),"")</f>
        <v/>
      </c>
      <c r="D4328" s="16" t="str">
        <f>IFERROR(VLOOKUP(C4328,DATA!#REF!,2,FALSE),"")</f>
        <v/>
      </c>
    </row>
    <row r="4329" spans="3:4" s="237" customFormat="1">
      <c r="C4329" s="16" t="str">
        <f>IFERROR(VLOOKUP(DATA!#REF!,DATA!#REF!,1,FALSE),"")</f>
        <v/>
      </c>
      <c r="D4329" s="16" t="str">
        <f>IFERROR(VLOOKUP(C4329,DATA!#REF!,2,FALSE),"")</f>
        <v/>
      </c>
    </row>
    <row r="4330" spans="3:4" s="237" customFormat="1">
      <c r="C4330" s="16" t="str">
        <f>IFERROR(VLOOKUP(DATA!#REF!,DATA!#REF!,1,FALSE),"")</f>
        <v/>
      </c>
      <c r="D4330" s="16" t="str">
        <f>IFERROR(VLOOKUP(C4330,DATA!#REF!,2,FALSE),"")</f>
        <v/>
      </c>
    </row>
    <row r="4331" spans="3:4" s="237" customFormat="1">
      <c r="C4331" s="16" t="str">
        <f>IFERROR(VLOOKUP(DATA!#REF!,DATA!#REF!,1,FALSE),"")</f>
        <v/>
      </c>
      <c r="D4331" s="16" t="str">
        <f>IFERROR(VLOOKUP(C4331,DATA!#REF!,2,FALSE),"")</f>
        <v/>
      </c>
    </row>
    <row r="4332" spans="3:4" s="237" customFormat="1">
      <c r="C4332" s="16" t="str">
        <f>IFERROR(VLOOKUP(DATA!#REF!,DATA!#REF!,1,FALSE),"")</f>
        <v/>
      </c>
      <c r="D4332" s="16" t="str">
        <f>IFERROR(VLOOKUP(C4332,DATA!#REF!,2,FALSE),"")</f>
        <v/>
      </c>
    </row>
    <row r="4333" spans="3:4" s="237" customFormat="1">
      <c r="C4333" s="16" t="str">
        <f>IFERROR(VLOOKUP(DATA!#REF!,DATA!#REF!,1,FALSE),"")</f>
        <v/>
      </c>
      <c r="D4333" s="16" t="str">
        <f>IFERROR(VLOOKUP(C4333,DATA!#REF!,2,FALSE),"")</f>
        <v/>
      </c>
    </row>
    <row r="4334" spans="3:4" s="237" customFormat="1">
      <c r="C4334" s="16" t="str">
        <f>IFERROR(VLOOKUP(DATA!#REF!,DATA!#REF!,1,FALSE),"")</f>
        <v/>
      </c>
      <c r="D4334" s="16" t="str">
        <f>IFERROR(VLOOKUP(C4334,DATA!#REF!,2,FALSE),"")</f>
        <v/>
      </c>
    </row>
    <row r="4335" spans="3:4" s="237" customFormat="1">
      <c r="C4335" s="16" t="str">
        <f>IFERROR(VLOOKUP(DATA!#REF!,DATA!#REF!,1,FALSE),"")</f>
        <v/>
      </c>
      <c r="D4335" s="16" t="str">
        <f>IFERROR(VLOOKUP(C4335,DATA!#REF!,2,FALSE),"")</f>
        <v/>
      </c>
    </row>
    <row r="4336" spans="3:4" s="237" customFormat="1">
      <c r="C4336" s="16" t="str">
        <f>IFERROR(VLOOKUP(DATA!#REF!,DATA!#REF!,1,FALSE),"")</f>
        <v/>
      </c>
      <c r="D4336" s="16" t="str">
        <f>IFERROR(VLOOKUP(C4336,DATA!#REF!,2,FALSE),"")</f>
        <v/>
      </c>
    </row>
    <row r="4337" spans="3:4" s="237" customFormat="1">
      <c r="C4337" s="16" t="str">
        <f>IFERROR(VLOOKUP(DATA!#REF!,DATA!#REF!,1,FALSE),"")</f>
        <v/>
      </c>
      <c r="D4337" s="16" t="str">
        <f>IFERROR(VLOOKUP(C4337,DATA!#REF!,2,FALSE),"")</f>
        <v/>
      </c>
    </row>
    <row r="4338" spans="3:4" s="237" customFormat="1">
      <c r="C4338" s="16" t="str">
        <f>IFERROR(VLOOKUP(DATA!#REF!,DATA!#REF!,1,FALSE),"")</f>
        <v/>
      </c>
      <c r="D4338" s="16" t="str">
        <f>IFERROR(VLOOKUP(C4338,DATA!#REF!,2,FALSE),"")</f>
        <v/>
      </c>
    </row>
    <row r="4339" spans="3:4" s="237" customFormat="1">
      <c r="C4339" s="16" t="str">
        <f>IFERROR(VLOOKUP(DATA!#REF!,DATA!#REF!,1,FALSE),"")</f>
        <v/>
      </c>
      <c r="D4339" s="16" t="str">
        <f>IFERROR(VLOOKUP(C4339,DATA!#REF!,2,FALSE),"")</f>
        <v/>
      </c>
    </row>
    <row r="4340" spans="3:4" s="237" customFormat="1">
      <c r="C4340" s="16" t="str">
        <f>IFERROR(VLOOKUP(DATA!#REF!,DATA!#REF!,1,FALSE),"")</f>
        <v/>
      </c>
      <c r="D4340" s="16" t="str">
        <f>IFERROR(VLOOKUP(C4340,DATA!#REF!,2,FALSE),"")</f>
        <v/>
      </c>
    </row>
    <row r="4341" spans="3:4" s="237" customFormat="1">
      <c r="C4341" s="16" t="str">
        <f>IFERROR(VLOOKUP(DATA!#REF!,DATA!#REF!,1,FALSE),"")</f>
        <v/>
      </c>
      <c r="D4341" s="16" t="str">
        <f>IFERROR(VLOOKUP(C4341,DATA!#REF!,2,FALSE),"")</f>
        <v/>
      </c>
    </row>
    <row r="4342" spans="3:4" s="237" customFormat="1">
      <c r="C4342" s="16" t="str">
        <f>IFERROR(VLOOKUP(DATA!#REF!,DATA!#REF!,1,FALSE),"")</f>
        <v/>
      </c>
      <c r="D4342" s="16" t="str">
        <f>IFERROR(VLOOKUP(C4342,DATA!#REF!,2,FALSE),"")</f>
        <v/>
      </c>
    </row>
    <row r="4343" spans="3:4" s="237" customFormat="1">
      <c r="C4343" s="16" t="str">
        <f>IFERROR(VLOOKUP(DATA!#REF!,DATA!#REF!,1,FALSE),"")</f>
        <v/>
      </c>
      <c r="D4343" s="16" t="str">
        <f>IFERROR(VLOOKUP(C4343,DATA!#REF!,2,FALSE),"")</f>
        <v/>
      </c>
    </row>
    <row r="4344" spans="3:4" s="237" customFormat="1">
      <c r="C4344" s="16" t="str">
        <f>IFERROR(VLOOKUP(DATA!#REF!,DATA!#REF!,1,FALSE),"")</f>
        <v/>
      </c>
      <c r="D4344" s="16" t="str">
        <f>IFERROR(VLOOKUP(C4344,DATA!#REF!,2,FALSE),"")</f>
        <v/>
      </c>
    </row>
    <row r="4345" spans="3:4" s="237" customFormat="1">
      <c r="C4345" s="16" t="str">
        <f>IFERROR(VLOOKUP(DATA!#REF!,DATA!#REF!,1,FALSE),"")</f>
        <v/>
      </c>
      <c r="D4345" s="16" t="str">
        <f>IFERROR(VLOOKUP(C4345,DATA!#REF!,2,FALSE),"")</f>
        <v/>
      </c>
    </row>
    <row r="4346" spans="3:4" s="237" customFormat="1">
      <c r="C4346" s="16" t="str">
        <f>IFERROR(VLOOKUP(DATA!#REF!,DATA!#REF!,1,FALSE),"")</f>
        <v/>
      </c>
      <c r="D4346" s="16" t="str">
        <f>IFERROR(VLOOKUP(C4346,DATA!#REF!,2,FALSE),"")</f>
        <v/>
      </c>
    </row>
    <row r="4347" spans="3:4" s="237" customFormat="1">
      <c r="C4347" s="16" t="str">
        <f>IFERROR(VLOOKUP(DATA!#REF!,DATA!#REF!,1,FALSE),"")</f>
        <v/>
      </c>
      <c r="D4347" s="16" t="str">
        <f>IFERROR(VLOOKUP(C4347,DATA!#REF!,2,FALSE),"")</f>
        <v/>
      </c>
    </row>
    <row r="4348" spans="3:4" s="237" customFormat="1">
      <c r="C4348" s="16" t="str">
        <f>IFERROR(VLOOKUP(DATA!#REF!,DATA!#REF!,1,FALSE),"")</f>
        <v/>
      </c>
      <c r="D4348" s="16" t="str">
        <f>IFERROR(VLOOKUP(C4348,DATA!#REF!,2,FALSE),"")</f>
        <v/>
      </c>
    </row>
    <row r="4349" spans="3:4" s="237" customFormat="1">
      <c r="C4349" s="16" t="str">
        <f>IFERROR(VLOOKUP(DATA!#REF!,DATA!#REF!,1,FALSE),"")</f>
        <v/>
      </c>
      <c r="D4349" s="16" t="str">
        <f>IFERROR(VLOOKUP(C4349,DATA!#REF!,2,FALSE),"")</f>
        <v/>
      </c>
    </row>
    <row r="4350" spans="3:4" s="237" customFormat="1">
      <c r="C4350" s="16" t="str">
        <f>IFERROR(VLOOKUP(DATA!#REF!,DATA!#REF!,1,FALSE),"")</f>
        <v/>
      </c>
      <c r="D4350" s="16" t="str">
        <f>IFERROR(VLOOKUP(C4350,DATA!#REF!,2,FALSE),"")</f>
        <v/>
      </c>
    </row>
    <row r="4351" spans="3:4" s="237" customFormat="1">
      <c r="C4351" s="16" t="str">
        <f>IFERROR(VLOOKUP(DATA!#REF!,DATA!#REF!,1,FALSE),"")</f>
        <v/>
      </c>
      <c r="D4351" s="16" t="str">
        <f>IFERROR(VLOOKUP(C4351,DATA!#REF!,2,FALSE),"")</f>
        <v/>
      </c>
    </row>
    <row r="4352" spans="3:4" s="237" customFormat="1">
      <c r="C4352" s="16" t="str">
        <f>IFERROR(VLOOKUP(DATA!#REF!,DATA!#REF!,1,FALSE),"")</f>
        <v/>
      </c>
      <c r="D4352" s="16" t="str">
        <f>IFERROR(VLOOKUP(C4352,DATA!#REF!,2,FALSE),"")</f>
        <v/>
      </c>
    </row>
    <row r="4353" spans="3:4" s="237" customFormat="1">
      <c r="C4353" s="16" t="str">
        <f>IFERROR(VLOOKUP(DATA!#REF!,DATA!#REF!,1,FALSE),"")</f>
        <v/>
      </c>
      <c r="D4353" s="16" t="str">
        <f>IFERROR(VLOOKUP(C4353,DATA!#REF!,2,FALSE),"")</f>
        <v/>
      </c>
    </row>
    <row r="4354" spans="3:4" s="237" customFormat="1">
      <c r="C4354" s="16" t="str">
        <f>IFERROR(VLOOKUP(DATA!#REF!,DATA!#REF!,1,FALSE),"")</f>
        <v/>
      </c>
      <c r="D4354" s="16" t="str">
        <f>IFERROR(VLOOKUP(C4354,DATA!#REF!,2,FALSE),"")</f>
        <v/>
      </c>
    </row>
    <row r="4355" spans="3:4" s="237" customFormat="1">
      <c r="C4355" s="16" t="str">
        <f>IFERROR(VLOOKUP(DATA!#REF!,DATA!#REF!,1,FALSE),"")</f>
        <v/>
      </c>
      <c r="D4355" s="16" t="str">
        <f>IFERROR(VLOOKUP(C4355,DATA!#REF!,2,FALSE),"")</f>
        <v/>
      </c>
    </row>
    <row r="4356" spans="3:4" s="237" customFormat="1">
      <c r="C4356" s="16" t="str">
        <f>IFERROR(VLOOKUP(DATA!#REF!,DATA!#REF!,1,FALSE),"")</f>
        <v/>
      </c>
      <c r="D4356" s="16" t="str">
        <f>IFERROR(VLOOKUP(C4356,DATA!#REF!,2,FALSE),"")</f>
        <v/>
      </c>
    </row>
    <row r="4357" spans="3:4" s="237" customFormat="1">
      <c r="C4357" s="16" t="str">
        <f>IFERROR(VLOOKUP(DATA!#REF!,DATA!#REF!,1,FALSE),"")</f>
        <v/>
      </c>
      <c r="D4357" s="16" t="str">
        <f>IFERROR(VLOOKUP(C4357,DATA!#REF!,2,FALSE),"")</f>
        <v/>
      </c>
    </row>
    <row r="4358" spans="3:4" s="237" customFormat="1">
      <c r="C4358" s="16" t="str">
        <f>IFERROR(VLOOKUP(DATA!#REF!,DATA!#REF!,1,FALSE),"")</f>
        <v/>
      </c>
      <c r="D4358" s="16" t="str">
        <f>IFERROR(VLOOKUP(C4358,DATA!#REF!,2,FALSE),"")</f>
        <v/>
      </c>
    </row>
    <row r="4359" spans="3:4" s="237" customFormat="1">
      <c r="C4359" s="16" t="str">
        <f>IFERROR(VLOOKUP(DATA!#REF!,DATA!#REF!,1,FALSE),"")</f>
        <v/>
      </c>
      <c r="D4359" s="16" t="str">
        <f>IFERROR(VLOOKUP(C4359,DATA!#REF!,2,FALSE),"")</f>
        <v/>
      </c>
    </row>
    <row r="4360" spans="3:4" s="237" customFormat="1">
      <c r="C4360" s="16" t="str">
        <f>IFERROR(VLOOKUP(DATA!#REF!,DATA!#REF!,1,FALSE),"")</f>
        <v/>
      </c>
      <c r="D4360" s="16" t="str">
        <f>IFERROR(VLOOKUP(C4360,DATA!#REF!,2,FALSE),"")</f>
        <v/>
      </c>
    </row>
    <row r="4361" spans="3:4" s="237" customFormat="1">
      <c r="C4361" s="16" t="str">
        <f>IFERROR(VLOOKUP(DATA!#REF!,DATA!#REF!,1,FALSE),"")</f>
        <v/>
      </c>
      <c r="D4361" s="16" t="str">
        <f>IFERROR(VLOOKUP(C4361,DATA!#REF!,2,FALSE),"")</f>
        <v/>
      </c>
    </row>
    <row r="4362" spans="3:4" s="237" customFormat="1">
      <c r="C4362" s="16" t="str">
        <f>IFERROR(VLOOKUP(DATA!#REF!,DATA!#REF!,1,FALSE),"")</f>
        <v/>
      </c>
      <c r="D4362" s="16" t="str">
        <f>IFERROR(VLOOKUP(C4362,DATA!#REF!,2,FALSE),"")</f>
        <v/>
      </c>
    </row>
    <row r="4363" spans="3:4" s="237" customFormat="1">
      <c r="C4363" s="16" t="str">
        <f>IFERROR(VLOOKUP(DATA!#REF!,DATA!#REF!,1,FALSE),"")</f>
        <v/>
      </c>
      <c r="D4363" s="16" t="str">
        <f>IFERROR(VLOOKUP(C4363,DATA!#REF!,2,FALSE),"")</f>
        <v/>
      </c>
    </row>
    <row r="4364" spans="3:4" s="237" customFormat="1">
      <c r="C4364" s="16" t="str">
        <f>IFERROR(VLOOKUP(DATA!#REF!,DATA!#REF!,1,FALSE),"")</f>
        <v/>
      </c>
      <c r="D4364" s="16" t="str">
        <f>IFERROR(VLOOKUP(C4364,DATA!#REF!,2,FALSE),"")</f>
        <v/>
      </c>
    </row>
    <row r="4365" spans="3:4" s="237" customFormat="1">
      <c r="C4365" s="16" t="str">
        <f>IFERROR(VLOOKUP(DATA!#REF!,DATA!#REF!,1,FALSE),"")</f>
        <v/>
      </c>
      <c r="D4365" s="16" t="str">
        <f>IFERROR(VLOOKUP(C4365,DATA!#REF!,2,FALSE),"")</f>
        <v/>
      </c>
    </row>
    <row r="4366" spans="3:4" s="237" customFormat="1">
      <c r="C4366" s="16" t="str">
        <f>IFERROR(VLOOKUP(DATA!#REF!,DATA!#REF!,1,FALSE),"")</f>
        <v/>
      </c>
      <c r="D4366" s="16" t="str">
        <f>IFERROR(VLOOKUP(C4366,DATA!#REF!,2,FALSE),"")</f>
        <v/>
      </c>
    </row>
    <row r="4367" spans="3:4" s="237" customFormat="1">
      <c r="C4367" s="16" t="str">
        <f>IFERROR(VLOOKUP(DATA!#REF!,DATA!#REF!,1,FALSE),"")</f>
        <v/>
      </c>
      <c r="D4367" s="16" t="str">
        <f>IFERROR(VLOOKUP(C4367,DATA!#REF!,2,FALSE),"")</f>
        <v/>
      </c>
    </row>
    <row r="4368" spans="3:4" s="237" customFormat="1">
      <c r="C4368" s="16" t="str">
        <f>IFERROR(VLOOKUP(DATA!#REF!,DATA!#REF!,1,FALSE),"")</f>
        <v/>
      </c>
      <c r="D4368" s="16" t="str">
        <f>IFERROR(VLOOKUP(C4368,DATA!#REF!,2,FALSE),"")</f>
        <v/>
      </c>
    </row>
    <row r="4369" spans="3:4" s="237" customFormat="1">
      <c r="C4369" s="16" t="str">
        <f>IFERROR(VLOOKUP(DATA!#REF!,DATA!#REF!,1,FALSE),"")</f>
        <v/>
      </c>
      <c r="D4369" s="16" t="str">
        <f>IFERROR(VLOOKUP(C4369,DATA!#REF!,2,FALSE),"")</f>
        <v/>
      </c>
    </row>
    <row r="4370" spans="3:4" s="237" customFormat="1">
      <c r="C4370" s="16" t="str">
        <f>IFERROR(VLOOKUP(DATA!#REF!,DATA!#REF!,1,FALSE),"")</f>
        <v/>
      </c>
      <c r="D4370" s="16" t="str">
        <f>IFERROR(VLOOKUP(C4370,DATA!#REF!,2,FALSE),"")</f>
        <v/>
      </c>
    </row>
    <row r="4371" spans="3:4" s="237" customFormat="1">
      <c r="C4371" s="16" t="str">
        <f>IFERROR(VLOOKUP(DATA!#REF!,DATA!#REF!,1,FALSE),"")</f>
        <v/>
      </c>
      <c r="D4371" s="16" t="str">
        <f>IFERROR(VLOOKUP(C4371,DATA!#REF!,2,FALSE),"")</f>
        <v/>
      </c>
    </row>
    <row r="4372" spans="3:4" s="237" customFormat="1">
      <c r="C4372" s="16" t="str">
        <f>IFERROR(VLOOKUP(DATA!#REF!,DATA!#REF!,1,FALSE),"")</f>
        <v/>
      </c>
      <c r="D4372" s="16" t="str">
        <f>IFERROR(VLOOKUP(C4372,DATA!#REF!,2,FALSE),"")</f>
        <v/>
      </c>
    </row>
    <row r="4373" spans="3:4" s="237" customFormat="1">
      <c r="C4373" s="16" t="str">
        <f>IFERROR(VLOOKUP(DATA!#REF!,DATA!#REF!,1,FALSE),"")</f>
        <v/>
      </c>
      <c r="D4373" s="16" t="str">
        <f>IFERROR(VLOOKUP(C4373,DATA!#REF!,2,FALSE),"")</f>
        <v/>
      </c>
    </row>
    <row r="4374" spans="3:4" s="237" customFormat="1">
      <c r="C4374" s="16" t="str">
        <f>IFERROR(VLOOKUP(DATA!#REF!,DATA!#REF!,1,FALSE),"")</f>
        <v/>
      </c>
      <c r="D4374" s="16" t="str">
        <f>IFERROR(VLOOKUP(C4374,DATA!#REF!,2,FALSE),"")</f>
        <v/>
      </c>
    </row>
    <row r="4375" spans="3:4" s="237" customFormat="1">
      <c r="C4375" s="16" t="str">
        <f>IFERROR(VLOOKUP(DATA!#REF!,DATA!#REF!,1,FALSE),"")</f>
        <v/>
      </c>
      <c r="D4375" s="16" t="str">
        <f>IFERROR(VLOOKUP(C4375,DATA!#REF!,2,FALSE),"")</f>
        <v/>
      </c>
    </row>
    <row r="4376" spans="3:4" s="237" customFormat="1">
      <c r="C4376" s="16" t="str">
        <f>IFERROR(VLOOKUP(DATA!#REF!,DATA!#REF!,1,FALSE),"")</f>
        <v/>
      </c>
      <c r="D4376" s="16" t="str">
        <f>IFERROR(VLOOKUP(C4376,DATA!#REF!,2,FALSE),"")</f>
        <v/>
      </c>
    </row>
    <row r="4377" spans="3:4" s="237" customFormat="1">
      <c r="C4377" s="16" t="str">
        <f>IFERROR(VLOOKUP(DATA!#REF!,DATA!#REF!,1,FALSE),"")</f>
        <v/>
      </c>
      <c r="D4377" s="16" t="str">
        <f>IFERROR(VLOOKUP(C4377,DATA!#REF!,2,FALSE),"")</f>
        <v/>
      </c>
    </row>
    <row r="4378" spans="3:4" s="237" customFormat="1">
      <c r="C4378" s="16" t="str">
        <f>IFERROR(VLOOKUP(DATA!#REF!,DATA!#REF!,1,FALSE),"")</f>
        <v/>
      </c>
      <c r="D4378" s="16" t="str">
        <f>IFERROR(VLOOKUP(C4378,DATA!#REF!,2,FALSE),"")</f>
        <v/>
      </c>
    </row>
    <row r="4379" spans="3:4" s="237" customFormat="1">
      <c r="C4379" s="16" t="str">
        <f>IFERROR(VLOOKUP(DATA!#REF!,DATA!#REF!,1,FALSE),"")</f>
        <v/>
      </c>
      <c r="D4379" s="16" t="str">
        <f>IFERROR(VLOOKUP(C4379,DATA!#REF!,2,FALSE),"")</f>
        <v/>
      </c>
    </row>
    <row r="4380" spans="3:4" s="237" customFormat="1">
      <c r="C4380" s="16" t="str">
        <f>IFERROR(VLOOKUP(DATA!#REF!,DATA!#REF!,1,FALSE),"")</f>
        <v/>
      </c>
      <c r="D4380" s="16" t="str">
        <f>IFERROR(VLOOKUP(C4380,DATA!#REF!,2,FALSE),"")</f>
        <v/>
      </c>
    </row>
    <row r="4381" spans="3:4" s="237" customFormat="1">
      <c r="C4381" s="16" t="str">
        <f>IFERROR(VLOOKUP(DATA!#REF!,DATA!#REF!,1,FALSE),"")</f>
        <v/>
      </c>
      <c r="D4381" s="16" t="str">
        <f>IFERROR(VLOOKUP(C4381,DATA!#REF!,2,FALSE),"")</f>
        <v/>
      </c>
    </row>
    <row r="4382" spans="3:4" s="237" customFormat="1">
      <c r="C4382" s="16" t="str">
        <f>IFERROR(VLOOKUP(DATA!#REF!,DATA!#REF!,1,FALSE),"")</f>
        <v/>
      </c>
      <c r="D4382" s="16" t="str">
        <f>IFERROR(VLOOKUP(C4382,DATA!#REF!,2,FALSE),"")</f>
        <v/>
      </c>
    </row>
    <row r="4383" spans="3:4" s="237" customFormat="1">
      <c r="C4383" s="16" t="str">
        <f>IFERROR(VLOOKUP(DATA!#REF!,DATA!#REF!,1,FALSE),"")</f>
        <v/>
      </c>
      <c r="D4383" s="16" t="str">
        <f>IFERROR(VLOOKUP(C4383,DATA!#REF!,2,FALSE),"")</f>
        <v/>
      </c>
    </row>
    <row r="4384" spans="3:4" s="237" customFormat="1">
      <c r="C4384" s="16" t="str">
        <f>IFERROR(VLOOKUP(DATA!#REF!,DATA!#REF!,1,FALSE),"")</f>
        <v/>
      </c>
      <c r="D4384" s="16" t="str">
        <f>IFERROR(VLOOKUP(C4384,DATA!#REF!,2,FALSE),"")</f>
        <v/>
      </c>
    </row>
    <row r="4385" spans="3:4" s="237" customFormat="1">
      <c r="C4385" s="16" t="str">
        <f>IFERROR(VLOOKUP(DATA!#REF!,DATA!#REF!,1,FALSE),"")</f>
        <v/>
      </c>
      <c r="D4385" s="16" t="str">
        <f>IFERROR(VLOOKUP(C4385,DATA!#REF!,2,FALSE),"")</f>
        <v/>
      </c>
    </row>
    <row r="4386" spans="3:4" s="237" customFormat="1">
      <c r="C4386" s="16" t="str">
        <f>IFERROR(VLOOKUP(DATA!#REF!,DATA!#REF!,1,FALSE),"")</f>
        <v/>
      </c>
      <c r="D4386" s="16" t="str">
        <f>IFERROR(VLOOKUP(C4386,DATA!#REF!,2,FALSE),"")</f>
        <v/>
      </c>
    </row>
    <row r="4387" spans="3:4" s="237" customFormat="1">
      <c r="C4387" s="16" t="str">
        <f>IFERROR(VLOOKUP(DATA!#REF!,DATA!#REF!,1,FALSE),"")</f>
        <v/>
      </c>
      <c r="D4387" s="16" t="str">
        <f>IFERROR(VLOOKUP(C4387,DATA!#REF!,2,FALSE),"")</f>
        <v/>
      </c>
    </row>
    <row r="4388" spans="3:4" s="237" customFormat="1">
      <c r="C4388" s="16" t="str">
        <f>IFERROR(VLOOKUP(DATA!#REF!,DATA!#REF!,1,FALSE),"")</f>
        <v/>
      </c>
      <c r="D4388" s="16" t="str">
        <f>IFERROR(VLOOKUP(C4388,DATA!#REF!,2,FALSE),"")</f>
        <v/>
      </c>
    </row>
    <row r="4389" spans="3:4" s="237" customFormat="1">
      <c r="C4389" s="16" t="str">
        <f>IFERROR(VLOOKUP(DATA!#REF!,DATA!#REF!,1,FALSE),"")</f>
        <v/>
      </c>
      <c r="D4389" s="16" t="str">
        <f>IFERROR(VLOOKUP(C4389,DATA!#REF!,2,FALSE),"")</f>
        <v/>
      </c>
    </row>
    <row r="4390" spans="3:4" s="237" customFormat="1">
      <c r="C4390" s="16" t="str">
        <f>IFERROR(VLOOKUP(DATA!#REF!,DATA!#REF!,1,FALSE),"")</f>
        <v/>
      </c>
      <c r="D4390" s="16" t="str">
        <f>IFERROR(VLOOKUP(C4390,DATA!#REF!,2,FALSE),"")</f>
        <v/>
      </c>
    </row>
    <row r="4391" spans="3:4" s="237" customFormat="1">
      <c r="C4391" s="16" t="str">
        <f>IFERROR(VLOOKUP(DATA!#REF!,DATA!#REF!,1,FALSE),"")</f>
        <v/>
      </c>
      <c r="D4391" s="16" t="str">
        <f>IFERROR(VLOOKUP(C4391,DATA!#REF!,2,FALSE),"")</f>
        <v/>
      </c>
    </row>
    <row r="4392" spans="3:4" s="237" customFormat="1">
      <c r="C4392" s="16" t="str">
        <f>IFERROR(VLOOKUP(DATA!#REF!,DATA!#REF!,1,FALSE),"")</f>
        <v/>
      </c>
      <c r="D4392" s="16" t="str">
        <f>IFERROR(VLOOKUP(C4392,DATA!#REF!,2,FALSE),"")</f>
        <v/>
      </c>
    </row>
    <row r="4393" spans="3:4" s="237" customFormat="1">
      <c r="C4393" s="16" t="str">
        <f>IFERROR(VLOOKUP(DATA!#REF!,DATA!#REF!,1,FALSE),"")</f>
        <v/>
      </c>
      <c r="D4393" s="16" t="str">
        <f>IFERROR(VLOOKUP(C4393,DATA!#REF!,2,FALSE),"")</f>
        <v/>
      </c>
    </row>
    <row r="4394" spans="3:4" s="237" customFormat="1">
      <c r="C4394" s="16" t="str">
        <f>IFERROR(VLOOKUP(DATA!#REF!,DATA!#REF!,1,FALSE),"")</f>
        <v/>
      </c>
      <c r="D4394" s="16" t="str">
        <f>IFERROR(VLOOKUP(C4394,DATA!#REF!,2,FALSE),"")</f>
        <v/>
      </c>
    </row>
    <row r="4395" spans="3:4" s="237" customFormat="1">
      <c r="C4395" s="16" t="str">
        <f>IFERROR(VLOOKUP(DATA!#REF!,DATA!#REF!,1,FALSE),"")</f>
        <v/>
      </c>
      <c r="D4395" s="16" t="str">
        <f>IFERROR(VLOOKUP(C4395,DATA!#REF!,2,FALSE),"")</f>
        <v/>
      </c>
    </row>
    <row r="4396" spans="3:4" s="237" customFormat="1">
      <c r="C4396" s="16" t="str">
        <f>IFERROR(VLOOKUP(DATA!#REF!,DATA!#REF!,1,FALSE),"")</f>
        <v/>
      </c>
      <c r="D4396" s="16" t="str">
        <f>IFERROR(VLOOKUP(C4396,DATA!#REF!,2,FALSE),"")</f>
        <v/>
      </c>
    </row>
    <row r="4397" spans="3:4" s="237" customFormat="1">
      <c r="C4397" s="16" t="str">
        <f>IFERROR(VLOOKUP(DATA!#REF!,DATA!#REF!,1,FALSE),"")</f>
        <v/>
      </c>
      <c r="D4397" s="16" t="str">
        <f>IFERROR(VLOOKUP(C4397,DATA!#REF!,2,FALSE),"")</f>
        <v/>
      </c>
    </row>
    <row r="4398" spans="3:4" s="237" customFormat="1">
      <c r="C4398" s="16" t="str">
        <f>IFERROR(VLOOKUP(DATA!#REF!,DATA!#REF!,1,FALSE),"")</f>
        <v/>
      </c>
      <c r="D4398" s="16" t="str">
        <f>IFERROR(VLOOKUP(C4398,DATA!#REF!,2,FALSE),"")</f>
        <v/>
      </c>
    </row>
    <row r="4399" spans="3:4" s="237" customFormat="1">
      <c r="C4399" s="16" t="str">
        <f>IFERROR(VLOOKUP(DATA!#REF!,DATA!#REF!,1,FALSE),"")</f>
        <v/>
      </c>
      <c r="D4399" s="16" t="str">
        <f>IFERROR(VLOOKUP(C4399,DATA!#REF!,2,FALSE),"")</f>
        <v/>
      </c>
    </row>
    <row r="4400" spans="3:4" s="237" customFormat="1">
      <c r="C4400" s="16" t="str">
        <f>IFERROR(VLOOKUP(DATA!#REF!,DATA!#REF!,1,FALSE),"")</f>
        <v/>
      </c>
      <c r="D4400" s="16" t="str">
        <f>IFERROR(VLOOKUP(C4400,DATA!#REF!,2,FALSE),"")</f>
        <v/>
      </c>
    </row>
    <row r="4401" spans="3:4" s="237" customFormat="1">
      <c r="C4401" s="16" t="str">
        <f>IFERROR(VLOOKUP(DATA!#REF!,DATA!#REF!,1,FALSE),"")</f>
        <v/>
      </c>
      <c r="D4401" s="16" t="str">
        <f>IFERROR(VLOOKUP(C4401,DATA!#REF!,2,FALSE),"")</f>
        <v/>
      </c>
    </row>
    <row r="4402" spans="3:4" s="237" customFormat="1">
      <c r="C4402" s="16" t="str">
        <f>IFERROR(VLOOKUP(DATA!#REF!,DATA!#REF!,1,FALSE),"")</f>
        <v/>
      </c>
      <c r="D4402" s="16" t="str">
        <f>IFERROR(VLOOKUP(C4402,DATA!#REF!,2,FALSE),"")</f>
        <v/>
      </c>
    </row>
    <row r="4403" spans="3:4" s="237" customFormat="1">
      <c r="C4403" s="16" t="str">
        <f>IFERROR(VLOOKUP(DATA!#REF!,DATA!#REF!,1,FALSE),"")</f>
        <v/>
      </c>
      <c r="D4403" s="16" t="str">
        <f>IFERROR(VLOOKUP(C4403,DATA!#REF!,2,FALSE),"")</f>
        <v/>
      </c>
    </row>
    <row r="4404" spans="3:4" s="237" customFormat="1">
      <c r="C4404" s="16" t="str">
        <f>IFERROR(VLOOKUP(DATA!#REF!,DATA!#REF!,1,FALSE),"")</f>
        <v/>
      </c>
      <c r="D4404" s="16" t="str">
        <f>IFERROR(VLOOKUP(C4404,DATA!#REF!,2,FALSE),"")</f>
        <v/>
      </c>
    </row>
    <row r="4405" spans="3:4" s="237" customFormat="1">
      <c r="C4405" s="16" t="str">
        <f>IFERROR(VLOOKUP(DATA!#REF!,DATA!#REF!,1,FALSE),"")</f>
        <v/>
      </c>
      <c r="D4405" s="16" t="str">
        <f>IFERROR(VLOOKUP(C4405,DATA!#REF!,2,FALSE),"")</f>
        <v/>
      </c>
    </row>
    <row r="4406" spans="3:4" s="237" customFormat="1">
      <c r="C4406" s="16" t="str">
        <f>IFERROR(VLOOKUP(DATA!#REF!,DATA!#REF!,1,FALSE),"")</f>
        <v/>
      </c>
      <c r="D4406" s="16" t="str">
        <f>IFERROR(VLOOKUP(C4406,DATA!#REF!,2,FALSE),"")</f>
        <v/>
      </c>
    </row>
    <row r="4407" spans="3:4" s="237" customFormat="1">
      <c r="C4407" s="16" t="str">
        <f>IFERROR(VLOOKUP(DATA!#REF!,DATA!#REF!,1,FALSE),"")</f>
        <v/>
      </c>
      <c r="D4407" s="16" t="str">
        <f>IFERROR(VLOOKUP(C4407,DATA!#REF!,2,FALSE),"")</f>
        <v/>
      </c>
    </row>
    <row r="4408" spans="3:4" s="237" customFormat="1">
      <c r="C4408" s="16" t="str">
        <f>IFERROR(VLOOKUP(DATA!#REF!,DATA!#REF!,1,FALSE),"")</f>
        <v/>
      </c>
      <c r="D4408" s="16" t="str">
        <f>IFERROR(VLOOKUP(C4408,DATA!#REF!,2,FALSE),"")</f>
        <v/>
      </c>
    </row>
    <row r="4409" spans="3:4" s="237" customFormat="1">
      <c r="C4409" s="16" t="str">
        <f>IFERROR(VLOOKUP(DATA!#REF!,DATA!#REF!,1,FALSE),"")</f>
        <v/>
      </c>
      <c r="D4409" s="16" t="str">
        <f>IFERROR(VLOOKUP(C4409,DATA!#REF!,2,FALSE),"")</f>
        <v/>
      </c>
    </row>
    <row r="4410" spans="3:4" s="237" customFormat="1">
      <c r="C4410" s="16" t="str">
        <f>IFERROR(VLOOKUP(DATA!#REF!,DATA!#REF!,1,FALSE),"")</f>
        <v/>
      </c>
      <c r="D4410" s="16" t="str">
        <f>IFERROR(VLOOKUP(C4410,DATA!#REF!,2,FALSE),"")</f>
        <v/>
      </c>
    </row>
    <row r="4411" spans="3:4" s="237" customFormat="1">
      <c r="C4411" s="16" t="str">
        <f>IFERROR(VLOOKUP(DATA!#REF!,DATA!#REF!,1,FALSE),"")</f>
        <v/>
      </c>
      <c r="D4411" s="16" t="str">
        <f>IFERROR(VLOOKUP(C4411,DATA!#REF!,2,FALSE),"")</f>
        <v/>
      </c>
    </row>
    <row r="4412" spans="3:4" s="237" customFormat="1">
      <c r="C4412" s="16" t="str">
        <f>IFERROR(VLOOKUP(DATA!#REF!,DATA!#REF!,1,FALSE),"")</f>
        <v/>
      </c>
      <c r="D4412" s="16" t="str">
        <f>IFERROR(VLOOKUP(C4412,DATA!#REF!,2,FALSE),"")</f>
        <v/>
      </c>
    </row>
    <row r="4413" spans="3:4" s="237" customFormat="1">
      <c r="C4413" s="16" t="str">
        <f>IFERROR(VLOOKUP(DATA!#REF!,DATA!#REF!,1,FALSE),"")</f>
        <v/>
      </c>
      <c r="D4413" s="16" t="str">
        <f>IFERROR(VLOOKUP(C4413,DATA!#REF!,2,FALSE),"")</f>
        <v/>
      </c>
    </row>
    <row r="4414" spans="3:4" s="237" customFormat="1">
      <c r="C4414" s="16" t="str">
        <f>IFERROR(VLOOKUP(DATA!#REF!,DATA!#REF!,1,FALSE),"")</f>
        <v/>
      </c>
      <c r="D4414" s="16" t="str">
        <f>IFERROR(VLOOKUP(C4414,DATA!#REF!,2,FALSE),"")</f>
        <v/>
      </c>
    </row>
    <row r="4415" spans="3:4" s="237" customFormat="1">
      <c r="C4415" s="16" t="str">
        <f>IFERROR(VLOOKUP(DATA!#REF!,DATA!#REF!,1,FALSE),"")</f>
        <v/>
      </c>
      <c r="D4415" s="16" t="str">
        <f>IFERROR(VLOOKUP(C4415,DATA!#REF!,2,FALSE),"")</f>
        <v/>
      </c>
    </row>
    <row r="4416" spans="3:4" s="237" customFormat="1">
      <c r="C4416" s="16" t="str">
        <f>IFERROR(VLOOKUP(DATA!#REF!,DATA!#REF!,1,FALSE),"")</f>
        <v/>
      </c>
      <c r="D4416" s="16" t="str">
        <f>IFERROR(VLOOKUP(C4416,DATA!#REF!,2,FALSE),"")</f>
        <v/>
      </c>
    </row>
    <row r="4417" spans="3:4" s="237" customFormat="1">
      <c r="C4417" s="16" t="str">
        <f>IFERROR(VLOOKUP(DATA!#REF!,DATA!#REF!,1,FALSE),"")</f>
        <v/>
      </c>
      <c r="D4417" s="16" t="str">
        <f>IFERROR(VLOOKUP(C4417,DATA!#REF!,2,FALSE),"")</f>
        <v/>
      </c>
    </row>
    <row r="4418" spans="3:4" s="237" customFormat="1">
      <c r="C4418" s="16" t="str">
        <f>IFERROR(VLOOKUP(DATA!#REF!,DATA!#REF!,1,FALSE),"")</f>
        <v/>
      </c>
      <c r="D4418" s="16" t="str">
        <f>IFERROR(VLOOKUP(C4418,DATA!#REF!,2,FALSE),"")</f>
        <v/>
      </c>
    </row>
    <row r="4419" spans="3:4" s="237" customFormat="1">
      <c r="C4419" s="16" t="str">
        <f>IFERROR(VLOOKUP(DATA!#REF!,DATA!#REF!,1,FALSE),"")</f>
        <v/>
      </c>
      <c r="D4419" s="16" t="str">
        <f>IFERROR(VLOOKUP(C4419,DATA!#REF!,2,FALSE),"")</f>
        <v/>
      </c>
    </row>
    <row r="4420" spans="3:4" s="237" customFormat="1">
      <c r="C4420" s="16" t="str">
        <f>IFERROR(VLOOKUP(DATA!#REF!,DATA!#REF!,1,FALSE),"")</f>
        <v/>
      </c>
      <c r="D4420" s="16" t="str">
        <f>IFERROR(VLOOKUP(C4420,DATA!#REF!,2,FALSE),"")</f>
        <v/>
      </c>
    </row>
    <row r="4421" spans="3:4" s="237" customFormat="1">
      <c r="C4421" s="16" t="str">
        <f>IFERROR(VLOOKUP(DATA!#REF!,DATA!#REF!,1,FALSE),"")</f>
        <v/>
      </c>
      <c r="D4421" s="16" t="str">
        <f>IFERROR(VLOOKUP(C4421,DATA!#REF!,2,FALSE),"")</f>
        <v/>
      </c>
    </row>
    <row r="4422" spans="3:4" s="237" customFormat="1">
      <c r="C4422" s="16" t="str">
        <f>IFERROR(VLOOKUP(DATA!#REF!,DATA!#REF!,1,FALSE),"")</f>
        <v/>
      </c>
      <c r="D4422" s="16" t="str">
        <f>IFERROR(VLOOKUP(C4422,DATA!#REF!,2,FALSE),"")</f>
        <v/>
      </c>
    </row>
    <row r="4423" spans="3:4" s="237" customFormat="1">
      <c r="C4423" s="16" t="str">
        <f>IFERROR(VLOOKUP(DATA!#REF!,DATA!#REF!,1,FALSE),"")</f>
        <v/>
      </c>
      <c r="D4423" s="16" t="str">
        <f>IFERROR(VLOOKUP(C4423,DATA!#REF!,2,FALSE),"")</f>
        <v/>
      </c>
    </row>
    <row r="4424" spans="3:4" s="237" customFormat="1">
      <c r="C4424" s="16" t="str">
        <f>IFERROR(VLOOKUP(DATA!#REF!,DATA!#REF!,1,FALSE),"")</f>
        <v/>
      </c>
      <c r="D4424" s="16" t="str">
        <f>IFERROR(VLOOKUP(C4424,DATA!#REF!,2,FALSE),"")</f>
        <v/>
      </c>
    </row>
    <row r="4425" spans="3:4" s="237" customFormat="1">
      <c r="C4425" s="16" t="str">
        <f>IFERROR(VLOOKUP(DATA!#REF!,DATA!#REF!,1,FALSE),"")</f>
        <v/>
      </c>
      <c r="D4425" s="16" t="str">
        <f>IFERROR(VLOOKUP(C4425,DATA!#REF!,2,FALSE),"")</f>
        <v/>
      </c>
    </row>
    <row r="4426" spans="3:4" s="237" customFormat="1">
      <c r="C4426" s="16" t="str">
        <f>IFERROR(VLOOKUP(DATA!#REF!,DATA!#REF!,1,FALSE),"")</f>
        <v/>
      </c>
      <c r="D4426" s="16" t="str">
        <f>IFERROR(VLOOKUP(C4426,DATA!#REF!,2,FALSE),"")</f>
        <v/>
      </c>
    </row>
    <row r="4427" spans="3:4" s="237" customFormat="1">
      <c r="C4427" s="16" t="str">
        <f>IFERROR(VLOOKUP(DATA!#REF!,DATA!#REF!,1,FALSE),"")</f>
        <v/>
      </c>
      <c r="D4427" s="16" t="str">
        <f>IFERROR(VLOOKUP(C4427,DATA!#REF!,2,FALSE),"")</f>
        <v/>
      </c>
    </row>
    <row r="4428" spans="3:4" s="237" customFormat="1">
      <c r="C4428" s="16" t="str">
        <f>IFERROR(VLOOKUP(DATA!#REF!,DATA!#REF!,1,FALSE),"")</f>
        <v/>
      </c>
      <c r="D4428" s="16" t="str">
        <f>IFERROR(VLOOKUP(C4428,DATA!#REF!,2,FALSE),"")</f>
        <v/>
      </c>
    </row>
    <row r="4429" spans="3:4" s="237" customFormat="1">
      <c r="C4429" s="16" t="str">
        <f>IFERROR(VLOOKUP(DATA!#REF!,DATA!#REF!,1,FALSE),"")</f>
        <v/>
      </c>
      <c r="D4429" s="16" t="str">
        <f>IFERROR(VLOOKUP(C4429,DATA!#REF!,2,FALSE),"")</f>
        <v/>
      </c>
    </row>
    <row r="4430" spans="3:4" s="237" customFormat="1">
      <c r="C4430" s="16" t="str">
        <f>IFERROR(VLOOKUP(DATA!#REF!,DATA!#REF!,1,FALSE),"")</f>
        <v/>
      </c>
      <c r="D4430" s="16" t="str">
        <f>IFERROR(VLOOKUP(C4430,DATA!#REF!,2,FALSE),"")</f>
        <v/>
      </c>
    </row>
    <row r="4431" spans="3:4" s="237" customFormat="1">
      <c r="C4431" s="16" t="str">
        <f>IFERROR(VLOOKUP(DATA!#REF!,DATA!#REF!,1,FALSE),"")</f>
        <v/>
      </c>
      <c r="D4431" s="16" t="str">
        <f>IFERROR(VLOOKUP(C4431,DATA!#REF!,2,FALSE),"")</f>
        <v/>
      </c>
    </row>
    <row r="4432" spans="3:4" s="237" customFormat="1">
      <c r="C4432" s="16" t="str">
        <f>IFERROR(VLOOKUP(DATA!#REF!,DATA!#REF!,1,FALSE),"")</f>
        <v/>
      </c>
      <c r="D4432" s="16" t="str">
        <f>IFERROR(VLOOKUP(C4432,DATA!#REF!,2,FALSE),"")</f>
        <v/>
      </c>
    </row>
    <row r="4433" spans="3:4" s="237" customFormat="1">
      <c r="C4433" s="16" t="str">
        <f>IFERROR(VLOOKUP(DATA!#REF!,DATA!#REF!,1,FALSE),"")</f>
        <v/>
      </c>
      <c r="D4433" s="16" t="str">
        <f>IFERROR(VLOOKUP(C4433,DATA!#REF!,2,FALSE),"")</f>
        <v/>
      </c>
    </row>
    <row r="4434" spans="3:4" s="237" customFormat="1">
      <c r="C4434" s="16" t="str">
        <f>IFERROR(VLOOKUP(DATA!#REF!,DATA!#REF!,1,FALSE),"")</f>
        <v/>
      </c>
      <c r="D4434" s="16" t="str">
        <f>IFERROR(VLOOKUP(C4434,DATA!#REF!,2,FALSE),"")</f>
        <v/>
      </c>
    </row>
    <row r="4435" spans="3:4" s="237" customFormat="1">
      <c r="C4435" s="16" t="str">
        <f>IFERROR(VLOOKUP(DATA!#REF!,DATA!#REF!,1,FALSE),"")</f>
        <v/>
      </c>
      <c r="D4435" s="16" t="str">
        <f>IFERROR(VLOOKUP(C4435,DATA!#REF!,2,FALSE),"")</f>
        <v/>
      </c>
    </row>
    <row r="4436" spans="3:4" s="237" customFormat="1">
      <c r="C4436" s="16" t="str">
        <f>IFERROR(VLOOKUP(DATA!#REF!,DATA!#REF!,1,FALSE),"")</f>
        <v/>
      </c>
      <c r="D4436" s="16" t="str">
        <f>IFERROR(VLOOKUP(C4436,DATA!#REF!,2,FALSE),"")</f>
        <v/>
      </c>
    </row>
    <row r="4437" spans="3:4" s="237" customFormat="1">
      <c r="C4437" s="16" t="str">
        <f>IFERROR(VLOOKUP(DATA!#REF!,DATA!#REF!,1,FALSE),"")</f>
        <v/>
      </c>
      <c r="D4437" s="16" t="str">
        <f>IFERROR(VLOOKUP(C4437,DATA!#REF!,2,FALSE),"")</f>
        <v/>
      </c>
    </row>
    <row r="4438" spans="3:4" s="237" customFormat="1">
      <c r="C4438" s="16" t="str">
        <f>IFERROR(VLOOKUP(DATA!#REF!,DATA!#REF!,1,FALSE),"")</f>
        <v/>
      </c>
      <c r="D4438" s="16" t="str">
        <f>IFERROR(VLOOKUP(C4438,DATA!#REF!,2,FALSE),"")</f>
        <v/>
      </c>
    </row>
    <row r="4439" spans="3:4" s="237" customFormat="1">
      <c r="C4439" s="16" t="str">
        <f>IFERROR(VLOOKUP(DATA!#REF!,DATA!#REF!,1,FALSE),"")</f>
        <v/>
      </c>
      <c r="D4439" s="16" t="str">
        <f>IFERROR(VLOOKUP(C4439,DATA!#REF!,2,FALSE),"")</f>
        <v/>
      </c>
    </row>
    <row r="4440" spans="3:4" s="237" customFormat="1">
      <c r="C4440" s="16" t="str">
        <f>IFERROR(VLOOKUP(DATA!#REF!,DATA!#REF!,1,FALSE),"")</f>
        <v/>
      </c>
      <c r="D4440" s="16" t="str">
        <f>IFERROR(VLOOKUP(C4440,DATA!#REF!,2,FALSE),"")</f>
        <v/>
      </c>
    </row>
    <row r="4441" spans="3:4" s="237" customFormat="1">
      <c r="C4441" s="16" t="str">
        <f>IFERROR(VLOOKUP(DATA!#REF!,DATA!#REF!,1,FALSE),"")</f>
        <v/>
      </c>
      <c r="D4441" s="16" t="str">
        <f>IFERROR(VLOOKUP(C4441,DATA!#REF!,2,FALSE),"")</f>
        <v/>
      </c>
    </row>
    <row r="4442" spans="3:4" s="237" customFormat="1">
      <c r="C4442" s="16" t="str">
        <f>IFERROR(VLOOKUP(DATA!#REF!,DATA!#REF!,1,FALSE),"")</f>
        <v/>
      </c>
      <c r="D4442" s="16" t="str">
        <f>IFERROR(VLOOKUP(C4442,DATA!#REF!,2,FALSE),"")</f>
        <v/>
      </c>
    </row>
    <row r="4443" spans="3:4" s="237" customFormat="1">
      <c r="C4443" s="16" t="str">
        <f>IFERROR(VLOOKUP(DATA!#REF!,DATA!#REF!,1,FALSE),"")</f>
        <v/>
      </c>
      <c r="D4443" s="16" t="str">
        <f>IFERROR(VLOOKUP(C4443,DATA!#REF!,2,FALSE),"")</f>
        <v/>
      </c>
    </row>
    <row r="4444" spans="3:4" s="237" customFormat="1">
      <c r="C4444" s="16" t="str">
        <f>IFERROR(VLOOKUP(DATA!#REF!,DATA!#REF!,1,FALSE),"")</f>
        <v/>
      </c>
      <c r="D4444" s="16" t="str">
        <f>IFERROR(VLOOKUP(C4444,DATA!#REF!,2,FALSE),"")</f>
        <v/>
      </c>
    </row>
    <row r="4445" spans="3:4" s="237" customFormat="1">
      <c r="C4445" s="16" t="str">
        <f>IFERROR(VLOOKUP(DATA!#REF!,DATA!#REF!,1,FALSE),"")</f>
        <v/>
      </c>
      <c r="D4445" s="16" t="str">
        <f>IFERROR(VLOOKUP(C4445,DATA!#REF!,2,FALSE),"")</f>
        <v/>
      </c>
    </row>
    <row r="4446" spans="3:4" s="237" customFormat="1">
      <c r="C4446" s="16" t="str">
        <f>IFERROR(VLOOKUP(DATA!#REF!,DATA!#REF!,1,FALSE),"")</f>
        <v/>
      </c>
      <c r="D4446" s="16" t="str">
        <f>IFERROR(VLOOKUP(C4446,DATA!#REF!,2,FALSE),"")</f>
        <v/>
      </c>
    </row>
    <row r="4447" spans="3:4" s="237" customFormat="1">
      <c r="C4447" s="16" t="str">
        <f>IFERROR(VLOOKUP(DATA!#REF!,DATA!#REF!,1,FALSE),"")</f>
        <v/>
      </c>
      <c r="D4447" s="16" t="str">
        <f>IFERROR(VLOOKUP(C4447,DATA!#REF!,2,FALSE),"")</f>
        <v/>
      </c>
    </row>
    <row r="4448" spans="3:4" s="237" customFormat="1">
      <c r="C4448" s="16" t="str">
        <f>IFERROR(VLOOKUP(DATA!#REF!,DATA!#REF!,1,FALSE),"")</f>
        <v/>
      </c>
      <c r="D4448" s="16" t="str">
        <f>IFERROR(VLOOKUP(C4448,DATA!#REF!,2,FALSE),"")</f>
        <v/>
      </c>
    </row>
    <row r="4449" spans="3:4" s="237" customFormat="1">
      <c r="C4449" s="16" t="str">
        <f>IFERROR(VLOOKUP(DATA!#REF!,DATA!#REF!,1,FALSE),"")</f>
        <v/>
      </c>
      <c r="D4449" s="16" t="str">
        <f>IFERROR(VLOOKUP(C4449,DATA!#REF!,2,FALSE),"")</f>
        <v/>
      </c>
    </row>
    <row r="4450" spans="3:4" s="237" customFormat="1">
      <c r="C4450" s="16" t="str">
        <f>IFERROR(VLOOKUP(DATA!#REF!,DATA!#REF!,1,FALSE),"")</f>
        <v/>
      </c>
      <c r="D4450" s="16" t="str">
        <f>IFERROR(VLOOKUP(C4450,DATA!#REF!,2,FALSE),"")</f>
        <v/>
      </c>
    </row>
    <row r="4451" spans="3:4" s="237" customFormat="1">
      <c r="C4451" s="16" t="str">
        <f>IFERROR(VLOOKUP(DATA!#REF!,DATA!#REF!,1,FALSE),"")</f>
        <v/>
      </c>
      <c r="D4451" s="16" t="str">
        <f>IFERROR(VLOOKUP(C4451,DATA!#REF!,2,FALSE),"")</f>
        <v/>
      </c>
    </row>
    <row r="4452" spans="3:4" s="237" customFormat="1">
      <c r="C4452" s="16" t="str">
        <f>IFERROR(VLOOKUP(DATA!#REF!,DATA!#REF!,1,FALSE),"")</f>
        <v/>
      </c>
      <c r="D4452" s="16" t="str">
        <f>IFERROR(VLOOKUP(C4452,DATA!#REF!,2,FALSE),"")</f>
        <v/>
      </c>
    </row>
    <row r="4453" spans="3:4" s="237" customFormat="1">
      <c r="C4453" s="16" t="str">
        <f>IFERROR(VLOOKUP(DATA!#REF!,DATA!#REF!,1,FALSE),"")</f>
        <v/>
      </c>
      <c r="D4453" s="16" t="str">
        <f>IFERROR(VLOOKUP(C4453,DATA!#REF!,2,FALSE),"")</f>
        <v/>
      </c>
    </row>
    <row r="4454" spans="3:4" s="237" customFormat="1">
      <c r="C4454" s="16" t="str">
        <f>IFERROR(VLOOKUP(DATA!#REF!,DATA!#REF!,1,FALSE),"")</f>
        <v/>
      </c>
      <c r="D4454" s="16" t="str">
        <f>IFERROR(VLOOKUP(C4454,DATA!#REF!,2,FALSE),"")</f>
        <v/>
      </c>
    </row>
    <row r="4455" spans="3:4" s="237" customFormat="1">
      <c r="C4455" s="16" t="str">
        <f>IFERROR(VLOOKUP(DATA!#REF!,DATA!#REF!,1,FALSE),"")</f>
        <v/>
      </c>
      <c r="D4455" s="16" t="str">
        <f>IFERROR(VLOOKUP(C4455,DATA!#REF!,2,FALSE),"")</f>
        <v/>
      </c>
    </row>
    <row r="4456" spans="3:4" s="237" customFormat="1">
      <c r="C4456" s="16" t="str">
        <f>IFERROR(VLOOKUP(DATA!#REF!,DATA!#REF!,1,FALSE),"")</f>
        <v/>
      </c>
      <c r="D4456" s="16" t="str">
        <f>IFERROR(VLOOKUP(C4456,DATA!#REF!,2,FALSE),"")</f>
        <v/>
      </c>
    </row>
    <row r="4457" spans="3:4" s="237" customFormat="1">
      <c r="C4457" s="16" t="str">
        <f>IFERROR(VLOOKUP(DATA!#REF!,DATA!#REF!,1,FALSE),"")</f>
        <v/>
      </c>
      <c r="D4457" s="16" t="str">
        <f>IFERROR(VLOOKUP(C4457,DATA!#REF!,2,FALSE),"")</f>
        <v/>
      </c>
    </row>
    <row r="4458" spans="3:4" s="237" customFormat="1">
      <c r="C4458" s="16" t="str">
        <f>IFERROR(VLOOKUP(DATA!#REF!,DATA!#REF!,1,FALSE),"")</f>
        <v/>
      </c>
      <c r="D4458" s="16" t="str">
        <f>IFERROR(VLOOKUP(C4458,DATA!#REF!,2,FALSE),"")</f>
        <v/>
      </c>
    </row>
    <row r="4459" spans="3:4" s="237" customFormat="1">
      <c r="C4459" s="16" t="str">
        <f>IFERROR(VLOOKUP(DATA!#REF!,DATA!#REF!,1,FALSE),"")</f>
        <v/>
      </c>
      <c r="D4459" s="16" t="str">
        <f>IFERROR(VLOOKUP(C4459,DATA!#REF!,2,FALSE),"")</f>
        <v/>
      </c>
    </row>
    <row r="4460" spans="3:4" s="237" customFormat="1">
      <c r="C4460" s="16" t="str">
        <f>IFERROR(VLOOKUP(DATA!#REF!,DATA!#REF!,1,FALSE),"")</f>
        <v/>
      </c>
      <c r="D4460" s="16" t="str">
        <f>IFERROR(VLOOKUP(C4460,DATA!#REF!,2,FALSE),"")</f>
        <v/>
      </c>
    </row>
    <row r="4461" spans="3:4" s="237" customFormat="1">
      <c r="C4461" s="16" t="str">
        <f>IFERROR(VLOOKUP(DATA!#REF!,DATA!#REF!,1,FALSE),"")</f>
        <v/>
      </c>
      <c r="D4461" s="16" t="str">
        <f>IFERROR(VLOOKUP(C4461,DATA!#REF!,2,FALSE),"")</f>
        <v/>
      </c>
    </row>
    <row r="4462" spans="3:4" s="237" customFormat="1">
      <c r="C4462" s="16" t="str">
        <f>IFERROR(VLOOKUP(DATA!#REF!,DATA!#REF!,1,FALSE),"")</f>
        <v/>
      </c>
      <c r="D4462" s="16" t="str">
        <f>IFERROR(VLOOKUP(C4462,DATA!#REF!,2,FALSE),"")</f>
        <v/>
      </c>
    </row>
    <row r="4463" spans="3:4" s="237" customFormat="1">
      <c r="C4463" s="16" t="str">
        <f>IFERROR(VLOOKUP(DATA!#REF!,DATA!#REF!,1,FALSE),"")</f>
        <v/>
      </c>
      <c r="D4463" s="16" t="str">
        <f>IFERROR(VLOOKUP(C4463,DATA!#REF!,2,FALSE),"")</f>
        <v/>
      </c>
    </row>
    <row r="4464" spans="3:4" s="237" customFormat="1">
      <c r="C4464" s="16" t="str">
        <f>IFERROR(VLOOKUP(DATA!#REF!,DATA!#REF!,1,FALSE),"")</f>
        <v/>
      </c>
      <c r="D4464" s="16" t="str">
        <f>IFERROR(VLOOKUP(C4464,DATA!#REF!,2,FALSE),"")</f>
        <v/>
      </c>
    </row>
    <row r="4465" spans="3:4" s="237" customFormat="1">
      <c r="C4465" s="16" t="str">
        <f>IFERROR(VLOOKUP(DATA!#REF!,DATA!#REF!,1,FALSE),"")</f>
        <v/>
      </c>
      <c r="D4465" s="16" t="str">
        <f>IFERROR(VLOOKUP(C4465,DATA!#REF!,2,FALSE),"")</f>
        <v/>
      </c>
    </row>
    <row r="4466" spans="3:4" s="237" customFormat="1">
      <c r="C4466" s="16" t="str">
        <f>IFERROR(VLOOKUP(DATA!#REF!,DATA!#REF!,1,FALSE),"")</f>
        <v/>
      </c>
      <c r="D4466" s="16" t="str">
        <f>IFERROR(VLOOKUP(C4466,DATA!#REF!,2,FALSE),"")</f>
        <v/>
      </c>
    </row>
    <row r="4467" spans="3:4" s="237" customFormat="1">
      <c r="C4467" s="16" t="str">
        <f>IFERROR(VLOOKUP(DATA!#REF!,DATA!#REF!,1,FALSE),"")</f>
        <v/>
      </c>
      <c r="D4467" s="16" t="str">
        <f>IFERROR(VLOOKUP(C4467,DATA!#REF!,2,FALSE),"")</f>
        <v/>
      </c>
    </row>
    <row r="4468" spans="3:4" s="237" customFormat="1">
      <c r="C4468" s="16" t="str">
        <f>IFERROR(VLOOKUP(DATA!#REF!,DATA!#REF!,1,FALSE),"")</f>
        <v/>
      </c>
      <c r="D4468" s="16" t="str">
        <f>IFERROR(VLOOKUP(C4468,DATA!#REF!,2,FALSE),"")</f>
        <v/>
      </c>
    </row>
    <row r="4469" spans="3:4" s="237" customFormat="1">
      <c r="C4469" s="16" t="str">
        <f>IFERROR(VLOOKUP(DATA!#REF!,DATA!#REF!,1,FALSE),"")</f>
        <v/>
      </c>
      <c r="D4469" s="16" t="str">
        <f>IFERROR(VLOOKUP(C4469,DATA!#REF!,2,FALSE),"")</f>
        <v/>
      </c>
    </row>
    <row r="4470" spans="3:4" s="237" customFormat="1">
      <c r="C4470" s="16" t="str">
        <f>IFERROR(VLOOKUP(DATA!#REF!,DATA!#REF!,1,FALSE),"")</f>
        <v/>
      </c>
      <c r="D4470" s="16" t="str">
        <f>IFERROR(VLOOKUP(C4470,DATA!#REF!,2,FALSE),"")</f>
        <v/>
      </c>
    </row>
    <row r="4471" spans="3:4" s="237" customFormat="1">
      <c r="C4471" s="16" t="str">
        <f>IFERROR(VLOOKUP(DATA!#REF!,DATA!#REF!,1,FALSE),"")</f>
        <v/>
      </c>
      <c r="D4471" s="16" t="str">
        <f>IFERROR(VLOOKUP(C4471,DATA!#REF!,2,FALSE),"")</f>
        <v/>
      </c>
    </row>
    <row r="4472" spans="3:4" s="237" customFormat="1">
      <c r="C4472" s="16" t="str">
        <f>IFERROR(VLOOKUP(DATA!#REF!,DATA!#REF!,1,FALSE),"")</f>
        <v/>
      </c>
      <c r="D4472" s="16" t="str">
        <f>IFERROR(VLOOKUP(C4472,DATA!#REF!,2,FALSE),"")</f>
        <v/>
      </c>
    </row>
    <row r="4473" spans="3:4" s="237" customFormat="1">
      <c r="C4473" s="16" t="str">
        <f>IFERROR(VLOOKUP(DATA!#REF!,DATA!#REF!,1,FALSE),"")</f>
        <v/>
      </c>
      <c r="D4473" s="16" t="str">
        <f>IFERROR(VLOOKUP(C4473,DATA!#REF!,2,FALSE),"")</f>
        <v/>
      </c>
    </row>
    <row r="4474" spans="3:4" s="237" customFormat="1">
      <c r="C4474" s="16" t="str">
        <f>IFERROR(VLOOKUP(DATA!#REF!,DATA!#REF!,1,FALSE),"")</f>
        <v/>
      </c>
      <c r="D4474" s="16" t="str">
        <f>IFERROR(VLOOKUP(C4474,DATA!#REF!,2,FALSE),"")</f>
        <v/>
      </c>
    </row>
    <row r="4475" spans="3:4" s="237" customFormat="1">
      <c r="C4475" s="16" t="str">
        <f>IFERROR(VLOOKUP(DATA!#REF!,DATA!#REF!,1,FALSE),"")</f>
        <v/>
      </c>
      <c r="D4475" s="16" t="str">
        <f>IFERROR(VLOOKUP(C4475,DATA!#REF!,2,FALSE),"")</f>
        <v/>
      </c>
    </row>
    <row r="4476" spans="3:4" s="237" customFormat="1">
      <c r="C4476" s="16" t="str">
        <f>IFERROR(VLOOKUP(DATA!#REF!,DATA!#REF!,1,FALSE),"")</f>
        <v/>
      </c>
      <c r="D4476" s="16" t="str">
        <f>IFERROR(VLOOKUP(C4476,DATA!#REF!,2,FALSE),"")</f>
        <v/>
      </c>
    </row>
    <row r="4477" spans="3:4" s="237" customFormat="1">
      <c r="C4477" s="16" t="str">
        <f>IFERROR(VLOOKUP(DATA!#REF!,DATA!#REF!,1,FALSE),"")</f>
        <v/>
      </c>
      <c r="D4477" s="16" t="str">
        <f>IFERROR(VLOOKUP(C4477,DATA!#REF!,2,FALSE),"")</f>
        <v/>
      </c>
    </row>
    <row r="4478" spans="3:4" s="237" customFormat="1">
      <c r="C4478" s="16" t="str">
        <f>IFERROR(VLOOKUP(DATA!#REF!,DATA!#REF!,1,FALSE),"")</f>
        <v/>
      </c>
      <c r="D4478" s="16" t="str">
        <f>IFERROR(VLOOKUP(C4478,DATA!#REF!,2,FALSE),"")</f>
        <v/>
      </c>
    </row>
    <row r="4479" spans="3:4" s="237" customFormat="1">
      <c r="C4479" s="16" t="str">
        <f>IFERROR(VLOOKUP(DATA!#REF!,DATA!#REF!,1,FALSE),"")</f>
        <v/>
      </c>
      <c r="D4479" s="16" t="str">
        <f>IFERROR(VLOOKUP(C4479,DATA!#REF!,2,FALSE),"")</f>
        <v/>
      </c>
    </row>
    <row r="4480" spans="3:4" s="237" customFormat="1">
      <c r="C4480" s="16" t="str">
        <f>IFERROR(VLOOKUP(DATA!#REF!,DATA!#REF!,1,FALSE),"")</f>
        <v/>
      </c>
      <c r="D4480" s="16" t="str">
        <f>IFERROR(VLOOKUP(C4480,DATA!#REF!,2,FALSE),"")</f>
        <v/>
      </c>
    </row>
    <row r="4481" spans="3:4" s="237" customFormat="1">
      <c r="C4481" s="16" t="str">
        <f>IFERROR(VLOOKUP(DATA!#REF!,DATA!#REF!,1,FALSE),"")</f>
        <v/>
      </c>
      <c r="D4481" s="16" t="str">
        <f>IFERROR(VLOOKUP(C4481,DATA!#REF!,2,FALSE),"")</f>
        <v/>
      </c>
    </row>
    <row r="4482" spans="3:4" s="237" customFormat="1">
      <c r="C4482" s="16" t="str">
        <f>IFERROR(VLOOKUP(DATA!#REF!,DATA!#REF!,1,FALSE),"")</f>
        <v/>
      </c>
      <c r="D4482" s="16" t="str">
        <f>IFERROR(VLOOKUP(C4482,DATA!#REF!,2,FALSE),"")</f>
        <v/>
      </c>
    </row>
    <row r="4483" spans="3:4" s="237" customFormat="1">
      <c r="C4483" s="16" t="str">
        <f>IFERROR(VLOOKUP(DATA!#REF!,DATA!#REF!,1,FALSE),"")</f>
        <v/>
      </c>
      <c r="D4483" s="16" t="str">
        <f>IFERROR(VLOOKUP(C4483,DATA!#REF!,2,FALSE),"")</f>
        <v/>
      </c>
    </row>
    <row r="4484" spans="3:4" s="237" customFormat="1">
      <c r="C4484" s="16" t="str">
        <f>IFERROR(VLOOKUP(DATA!#REF!,DATA!#REF!,1,FALSE),"")</f>
        <v/>
      </c>
      <c r="D4484" s="16" t="str">
        <f>IFERROR(VLOOKUP(C4484,DATA!#REF!,2,FALSE),"")</f>
        <v/>
      </c>
    </row>
    <row r="4485" spans="3:4" s="237" customFormat="1">
      <c r="C4485" s="16" t="str">
        <f>IFERROR(VLOOKUP(DATA!#REF!,DATA!#REF!,1,FALSE),"")</f>
        <v/>
      </c>
      <c r="D4485" s="16" t="str">
        <f>IFERROR(VLOOKUP(C4485,DATA!#REF!,2,FALSE),"")</f>
        <v/>
      </c>
    </row>
    <row r="4486" spans="3:4" s="237" customFormat="1">
      <c r="C4486" s="16" t="str">
        <f>IFERROR(VLOOKUP(DATA!#REF!,DATA!#REF!,1,FALSE),"")</f>
        <v/>
      </c>
      <c r="D4486" s="16" t="str">
        <f>IFERROR(VLOOKUP(C4486,DATA!#REF!,2,FALSE),"")</f>
        <v/>
      </c>
    </row>
    <row r="4487" spans="3:4" s="237" customFormat="1">
      <c r="C4487" s="16" t="str">
        <f>IFERROR(VLOOKUP(DATA!#REF!,DATA!#REF!,1,FALSE),"")</f>
        <v/>
      </c>
      <c r="D4487" s="16" t="str">
        <f>IFERROR(VLOOKUP(C4487,DATA!#REF!,2,FALSE),"")</f>
        <v/>
      </c>
    </row>
    <row r="4488" spans="3:4" s="237" customFormat="1">
      <c r="C4488" s="16" t="str">
        <f>IFERROR(VLOOKUP(DATA!#REF!,DATA!#REF!,1,FALSE),"")</f>
        <v/>
      </c>
      <c r="D4488" s="16" t="str">
        <f>IFERROR(VLOOKUP(C4488,DATA!#REF!,2,FALSE),"")</f>
        <v/>
      </c>
    </row>
    <row r="4489" spans="3:4" s="237" customFormat="1">
      <c r="C4489" s="16" t="str">
        <f>IFERROR(VLOOKUP(DATA!#REF!,DATA!#REF!,1,FALSE),"")</f>
        <v/>
      </c>
      <c r="D4489" s="16" t="str">
        <f>IFERROR(VLOOKUP(C4489,DATA!#REF!,2,FALSE),"")</f>
        <v/>
      </c>
    </row>
    <row r="4490" spans="3:4" s="237" customFormat="1">
      <c r="C4490" s="16" t="str">
        <f>IFERROR(VLOOKUP(DATA!#REF!,DATA!#REF!,1,FALSE),"")</f>
        <v/>
      </c>
      <c r="D4490" s="16" t="str">
        <f>IFERROR(VLOOKUP(C4490,DATA!#REF!,2,FALSE),"")</f>
        <v/>
      </c>
    </row>
    <row r="4491" spans="3:4" s="237" customFormat="1">
      <c r="C4491" s="16" t="str">
        <f>IFERROR(VLOOKUP(DATA!#REF!,DATA!#REF!,1,FALSE),"")</f>
        <v/>
      </c>
      <c r="D4491" s="16" t="str">
        <f>IFERROR(VLOOKUP(C4491,DATA!#REF!,2,FALSE),"")</f>
        <v/>
      </c>
    </row>
    <row r="4492" spans="3:4" s="237" customFormat="1">
      <c r="C4492" s="16" t="str">
        <f>IFERROR(VLOOKUP(DATA!#REF!,DATA!#REF!,1,FALSE),"")</f>
        <v/>
      </c>
      <c r="D4492" s="16" t="str">
        <f>IFERROR(VLOOKUP(C4492,DATA!#REF!,2,FALSE),"")</f>
        <v/>
      </c>
    </row>
    <row r="4493" spans="3:4" s="237" customFormat="1">
      <c r="C4493" s="16" t="str">
        <f>IFERROR(VLOOKUP(DATA!#REF!,DATA!#REF!,1,FALSE),"")</f>
        <v/>
      </c>
      <c r="D4493" s="16" t="str">
        <f>IFERROR(VLOOKUP(C4493,DATA!#REF!,2,FALSE),"")</f>
        <v/>
      </c>
    </row>
    <row r="4494" spans="3:4" s="237" customFormat="1">
      <c r="C4494" s="16" t="str">
        <f>IFERROR(VLOOKUP(DATA!#REF!,DATA!#REF!,1,FALSE),"")</f>
        <v/>
      </c>
      <c r="D4494" s="16" t="str">
        <f>IFERROR(VLOOKUP(C4494,DATA!#REF!,2,FALSE),"")</f>
        <v/>
      </c>
    </row>
    <row r="4495" spans="3:4" s="237" customFormat="1">
      <c r="C4495" s="16" t="str">
        <f>IFERROR(VLOOKUP(DATA!#REF!,DATA!#REF!,1,FALSE),"")</f>
        <v/>
      </c>
      <c r="D4495" s="16" t="str">
        <f>IFERROR(VLOOKUP(C4495,DATA!#REF!,2,FALSE),"")</f>
        <v/>
      </c>
    </row>
    <row r="4496" spans="3:4" s="237" customFormat="1">
      <c r="C4496" s="16" t="str">
        <f>IFERROR(VLOOKUP(DATA!#REF!,DATA!#REF!,1,FALSE),"")</f>
        <v/>
      </c>
      <c r="D4496" s="16" t="str">
        <f>IFERROR(VLOOKUP(C4496,DATA!#REF!,2,FALSE),"")</f>
        <v/>
      </c>
    </row>
    <row r="4497" spans="3:4" s="237" customFormat="1">
      <c r="C4497" s="16" t="str">
        <f>IFERROR(VLOOKUP(DATA!#REF!,DATA!#REF!,1,FALSE),"")</f>
        <v/>
      </c>
      <c r="D4497" s="16" t="str">
        <f>IFERROR(VLOOKUP(C4497,DATA!#REF!,2,FALSE),"")</f>
        <v/>
      </c>
    </row>
    <row r="4498" spans="3:4" s="237" customFormat="1">
      <c r="C4498" s="16" t="str">
        <f>IFERROR(VLOOKUP(DATA!#REF!,DATA!#REF!,1,FALSE),"")</f>
        <v/>
      </c>
      <c r="D4498" s="16" t="str">
        <f>IFERROR(VLOOKUP(C4498,DATA!#REF!,2,FALSE),"")</f>
        <v/>
      </c>
    </row>
    <row r="4499" spans="3:4" s="237" customFormat="1">
      <c r="C4499" s="16" t="str">
        <f>IFERROR(VLOOKUP(DATA!#REF!,DATA!#REF!,1,FALSE),"")</f>
        <v/>
      </c>
      <c r="D4499" s="16" t="str">
        <f>IFERROR(VLOOKUP(C4499,DATA!#REF!,2,FALSE),"")</f>
        <v/>
      </c>
    </row>
    <row r="4500" spans="3:4" s="237" customFormat="1">
      <c r="C4500" s="16" t="str">
        <f>IFERROR(VLOOKUP(DATA!#REF!,DATA!#REF!,1,FALSE),"")</f>
        <v/>
      </c>
      <c r="D4500" s="16" t="str">
        <f>IFERROR(VLOOKUP(C4500,DATA!#REF!,2,FALSE),"")</f>
        <v/>
      </c>
    </row>
    <row r="4501" spans="3:4" s="237" customFormat="1">
      <c r="C4501" s="16" t="str">
        <f>IFERROR(VLOOKUP(DATA!#REF!,DATA!#REF!,1,FALSE),"")</f>
        <v/>
      </c>
      <c r="D4501" s="16" t="str">
        <f>IFERROR(VLOOKUP(C4501,DATA!#REF!,2,FALSE),"")</f>
        <v/>
      </c>
    </row>
    <row r="4502" spans="3:4" s="237" customFormat="1">
      <c r="C4502" s="16" t="str">
        <f>IFERROR(VLOOKUP(DATA!#REF!,DATA!#REF!,1,FALSE),"")</f>
        <v/>
      </c>
      <c r="D4502" s="16" t="str">
        <f>IFERROR(VLOOKUP(C4502,DATA!#REF!,2,FALSE),"")</f>
        <v/>
      </c>
    </row>
    <row r="4503" spans="3:4" s="237" customFormat="1">
      <c r="C4503" s="16" t="str">
        <f>IFERROR(VLOOKUP(DATA!#REF!,DATA!#REF!,1,FALSE),"")</f>
        <v/>
      </c>
      <c r="D4503" s="16" t="str">
        <f>IFERROR(VLOOKUP(C4503,DATA!#REF!,2,FALSE),"")</f>
        <v/>
      </c>
    </row>
    <row r="4504" spans="3:4" s="237" customFormat="1">
      <c r="C4504" s="16" t="str">
        <f>IFERROR(VLOOKUP(DATA!#REF!,DATA!#REF!,1,FALSE),"")</f>
        <v/>
      </c>
      <c r="D4504" s="16" t="str">
        <f>IFERROR(VLOOKUP(C4504,DATA!#REF!,2,FALSE),"")</f>
        <v/>
      </c>
    </row>
    <row r="4505" spans="3:4" s="237" customFormat="1">
      <c r="C4505" s="16" t="str">
        <f>IFERROR(VLOOKUP(DATA!#REF!,DATA!#REF!,1,FALSE),"")</f>
        <v/>
      </c>
      <c r="D4505" s="16" t="str">
        <f>IFERROR(VLOOKUP(C4505,DATA!#REF!,2,FALSE),"")</f>
        <v/>
      </c>
    </row>
    <row r="4506" spans="3:4" s="237" customFormat="1">
      <c r="C4506" s="16" t="str">
        <f>IFERROR(VLOOKUP(DATA!#REF!,DATA!#REF!,1,FALSE),"")</f>
        <v/>
      </c>
      <c r="D4506" s="16" t="str">
        <f>IFERROR(VLOOKUP(C4506,DATA!#REF!,2,FALSE),"")</f>
        <v/>
      </c>
    </row>
    <row r="4507" spans="3:4" s="237" customFormat="1">
      <c r="C4507" s="16" t="str">
        <f>IFERROR(VLOOKUP(DATA!#REF!,DATA!#REF!,1,FALSE),"")</f>
        <v/>
      </c>
      <c r="D4507" s="16" t="str">
        <f>IFERROR(VLOOKUP(C4507,DATA!#REF!,2,FALSE),"")</f>
        <v/>
      </c>
    </row>
    <row r="4508" spans="3:4" s="237" customFormat="1">
      <c r="C4508" s="16" t="str">
        <f>IFERROR(VLOOKUP(DATA!#REF!,DATA!#REF!,1,FALSE),"")</f>
        <v/>
      </c>
      <c r="D4508" s="16" t="str">
        <f>IFERROR(VLOOKUP(C4508,DATA!#REF!,2,FALSE),"")</f>
        <v/>
      </c>
    </row>
    <row r="4509" spans="3:4" s="237" customFormat="1">
      <c r="C4509" s="16" t="str">
        <f>IFERROR(VLOOKUP(DATA!#REF!,DATA!#REF!,1,FALSE),"")</f>
        <v/>
      </c>
      <c r="D4509" s="16" t="str">
        <f>IFERROR(VLOOKUP(C4509,DATA!#REF!,2,FALSE),"")</f>
        <v/>
      </c>
    </row>
    <row r="4510" spans="3:4" s="237" customFormat="1">
      <c r="C4510" s="16" t="str">
        <f>IFERROR(VLOOKUP(DATA!#REF!,DATA!#REF!,1,FALSE),"")</f>
        <v/>
      </c>
      <c r="D4510" s="16" t="str">
        <f>IFERROR(VLOOKUP(C4510,DATA!#REF!,2,FALSE),"")</f>
        <v/>
      </c>
    </row>
    <row r="4511" spans="3:4" s="237" customFormat="1">
      <c r="C4511" s="16" t="str">
        <f>IFERROR(VLOOKUP(DATA!#REF!,DATA!#REF!,1,FALSE),"")</f>
        <v/>
      </c>
      <c r="D4511" s="16" t="str">
        <f>IFERROR(VLOOKUP(C4511,DATA!#REF!,2,FALSE),"")</f>
        <v/>
      </c>
    </row>
    <row r="4512" spans="3:4" s="237" customFormat="1">
      <c r="C4512" s="16" t="str">
        <f>IFERROR(VLOOKUP(DATA!#REF!,DATA!#REF!,1,FALSE),"")</f>
        <v/>
      </c>
      <c r="D4512" s="16" t="str">
        <f>IFERROR(VLOOKUP(C4512,DATA!#REF!,2,FALSE),"")</f>
        <v/>
      </c>
    </row>
    <row r="4513" spans="3:4" s="237" customFormat="1">
      <c r="C4513" s="16" t="str">
        <f>IFERROR(VLOOKUP(DATA!#REF!,DATA!#REF!,1,FALSE),"")</f>
        <v/>
      </c>
      <c r="D4513" s="16" t="str">
        <f>IFERROR(VLOOKUP(C4513,DATA!#REF!,2,FALSE),"")</f>
        <v/>
      </c>
    </row>
    <row r="4514" spans="3:4" s="237" customFormat="1">
      <c r="C4514" s="16" t="str">
        <f>IFERROR(VLOOKUP(DATA!#REF!,DATA!#REF!,1,FALSE),"")</f>
        <v/>
      </c>
      <c r="D4514" s="16" t="str">
        <f>IFERROR(VLOOKUP(C4514,DATA!#REF!,2,FALSE),"")</f>
        <v/>
      </c>
    </row>
    <row r="4515" spans="3:4" s="237" customFormat="1">
      <c r="C4515" s="16" t="str">
        <f>IFERROR(VLOOKUP(DATA!#REF!,DATA!#REF!,1,FALSE),"")</f>
        <v/>
      </c>
      <c r="D4515" s="16" t="str">
        <f>IFERROR(VLOOKUP(C4515,DATA!#REF!,2,FALSE),"")</f>
        <v/>
      </c>
    </row>
    <row r="4516" spans="3:4" s="237" customFormat="1">
      <c r="C4516" s="16" t="str">
        <f>IFERROR(VLOOKUP(DATA!#REF!,DATA!#REF!,1,FALSE),"")</f>
        <v/>
      </c>
      <c r="D4516" s="16" t="str">
        <f>IFERROR(VLOOKUP(C4516,DATA!#REF!,2,FALSE),"")</f>
        <v/>
      </c>
    </row>
    <row r="4517" spans="3:4" s="237" customFormat="1">
      <c r="C4517" s="16" t="str">
        <f>IFERROR(VLOOKUP(DATA!#REF!,DATA!#REF!,1,FALSE),"")</f>
        <v/>
      </c>
      <c r="D4517" s="16" t="str">
        <f>IFERROR(VLOOKUP(C4517,DATA!#REF!,2,FALSE),"")</f>
        <v/>
      </c>
    </row>
    <row r="4518" spans="3:4" s="237" customFormat="1">
      <c r="C4518" s="16" t="str">
        <f>IFERROR(VLOOKUP(DATA!#REF!,DATA!#REF!,1,FALSE),"")</f>
        <v/>
      </c>
      <c r="D4518" s="16" t="str">
        <f>IFERROR(VLOOKUP(C4518,DATA!#REF!,2,FALSE),"")</f>
        <v/>
      </c>
    </row>
    <row r="4519" spans="3:4" s="237" customFormat="1">
      <c r="C4519" s="16" t="str">
        <f>IFERROR(VLOOKUP(DATA!#REF!,DATA!#REF!,1,FALSE),"")</f>
        <v/>
      </c>
      <c r="D4519" s="16" t="str">
        <f>IFERROR(VLOOKUP(C4519,DATA!#REF!,2,FALSE),"")</f>
        <v/>
      </c>
    </row>
    <row r="4520" spans="3:4" s="237" customFormat="1">
      <c r="C4520" s="16" t="str">
        <f>IFERROR(VLOOKUP(DATA!#REF!,DATA!#REF!,1,FALSE),"")</f>
        <v/>
      </c>
      <c r="D4520" s="16" t="str">
        <f>IFERROR(VLOOKUP(C4520,DATA!#REF!,2,FALSE),"")</f>
        <v/>
      </c>
    </row>
    <row r="4521" spans="3:4" s="237" customFormat="1">
      <c r="C4521" s="16" t="str">
        <f>IFERROR(VLOOKUP(DATA!#REF!,DATA!#REF!,1,FALSE),"")</f>
        <v/>
      </c>
      <c r="D4521" s="16" t="str">
        <f>IFERROR(VLOOKUP(C4521,DATA!#REF!,2,FALSE),"")</f>
        <v/>
      </c>
    </row>
    <row r="4522" spans="3:4" s="237" customFormat="1">
      <c r="C4522" s="16" t="str">
        <f>IFERROR(VLOOKUP(DATA!#REF!,DATA!#REF!,1,FALSE),"")</f>
        <v/>
      </c>
      <c r="D4522" s="16" t="str">
        <f>IFERROR(VLOOKUP(C4522,DATA!#REF!,2,FALSE),"")</f>
        <v/>
      </c>
    </row>
    <row r="4523" spans="3:4" s="237" customFormat="1">
      <c r="C4523" s="16" t="str">
        <f>IFERROR(VLOOKUP(DATA!#REF!,DATA!#REF!,1,FALSE),"")</f>
        <v/>
      </c>
      <c r="D4523" s="16" t="str">
        <f>IFERROR(VLOOKUP(C4523,DATA!#REF!,2,FALSE),"")</f>
        <v/>
      </c>
    </row>
    <row r="4524" spans="3:4" s="237" customFormat="1">
      <c r="C4524" s="16" t="str">
        <f>IFERROR(VLOOKUP(DATA!#REF!,DATA!#REF!,1,FALSE),"")</f>
        <v/>
      </c>
      <c r="D4524" s="16" t="str">
        <f>IFERROR(VLOOKUP(C4524,DATA!#REF!,2,FALSE),"")</f>
        <v/>
      </c>
    </row>
    <row r="4525" spans="3:4" s="237" customFormat="1">
      <c r="C4525" s="16" t="str">
        <f>IFERROR(VLOOKUP(DATA!#REF!,DATA!#REF!,1,FALSE),"")</f>
        <v/>
      </c>
      <c r="D4525" s="16" t="str">
        <f>IFERROR(VLOOKUP(C4525,DATA!#REF!,2,FALSE),"")</f>
        <v/>
      </c>
    </row>
    <row r="4526" spans="3:4" s="237" customFormat="1">
      <c r="C4526" s="16" t="str">
        <f>IFERROR(VLOOKUP(DATA!#REF!,DATA!#REF!,1,FALSE),"")</f>
        <v/>
      </c>
      <c r="D4526" s="16" t="str">
        <f>IFERROR(VLOOKUP(C4526,DATA!#REF!,2,FALSE),"")</f>
        <v/>
      </c>
    </row>
    <row r="4527" spans="3:4" s="237" customFormat="1">
      <c r="C4527" s="16" t="str">
        <f>IFERROR(VLOOKUP(DATA!#REF!,DATA!#REF!,1,FALSE),"")</f>
        <v/>
      </c>
      <c r="D4527" s="16" t="str">
        <f>IFERROR(VLOOKUP(C4527,DATA!#REF!,2,FALSE),"")</f>
        <v/>
      </c>
    </row>
    <row r="4528" spans="3:4" s="237" customFormat="1">
      <c r="C4528" s="16" t="str">
        <f>IFERROR(VLOOKUP(DATA!#REF!,DATA!#REF!,1,FALSE),"")</f>
        <v/>
      </c>
      <c r="D4528" s="16" t="str">
        <f>IFERROR(VLOOKUP(C4528,DATA!#REF!,2,FALSE),"")</f>
        <v/>
      </c>
    </row>
    <row r="4529" spans="3:4" s="237" customFormat="1">
      <c r="C4529" s="16" t="str">
        <f>IFERROR(VLOOKUP(DATA!#REF!,DATA!#REF!,1,FALSE),"")</f>
        <v/>
      </c>
      <c r="D4529" s="16" t="str">
        <f>IFERROR(VLOOKUP(C4529,DATA!#REF!,2,FALSE),"")</f>
        <v/>
      </c>
    </row>
    <row r="4530" spans="3:4" s="237" customFormat="1">
      <c r="C4530" s="16" t="str">
        <f>IFERROR(VLOOKUP(DATA!#REF!,DATA!#REF!,1,FALSE),"")</f>
        <v/>
      </c>
      <c r="D4530" s="16" t="str">
        <f>IFERROR(VLOOKUP(C4530,DATA!#REF!,2,FALSE),"")</f>
        <v/>
      </c>
    </row>
    <row r="4531" spans="3:4" s="237" customFormat="1">
      <c r="C4531" s="16" t="str">
        <f>IFERROR(VLOOKUP(DATA!#REF!,DATA!#REF!,1,FALSE),"")</f>
        <v/>
      </c>
      <c r="D4531" s="16" t="str">
        <f>IFERROR(VLOOKUP(C4531,DATA!#REF!,2,FALSE),"")</f>
        <v/>
      </c>
    </row>
    <row r="4532" spans="3:4" s="237" customFormat="1">
      <c r="C4532" s="16" t="str">
        <f>IFERROR(VLOOKUP(DATA!#REF!,DATA!#REF!,1,FALSE),"")</f>
        <v/>
      </c>
      <c r="D4532" s="16" t="str">
        <f>IFERROR(VLOOKUP(C4532,DATA!#REF!,2,FALSE),"")</f>
        <v/>
      </c>
    </row>
    <row r="4533" spans="3:4" s="237" customFormat="1">
      <c r="C4533" s="16" t="str">
        <f>IFERROR(VLOOKUP(DATA!#REF!,DATA!#REF!,1,FALSE),"")</f>
        <v/>
      </c>
      <c r="D4533" s="16" t="str">
        <f>IFERROR(VLOOKUP(C4533,DATA!#REF!,2,FALSE),"")</f>
        <v/>
      </c>
    </row>
    <row r="4534" spans="3:4" s="237" customFormat="1">
      <c r="C4534" s="16" t="str">
        <f>IFERROR(VLOOKUP(DATA!#REF!,DATA!#REF!,1,FALSE),"")</f>
        <v/>
      </c>
      <c r="D4534" s="16" t="str">
        <f>IFERROR(VLOOKUP(C4534,DATA!#REF!,2,FALSE),"")</f>
        <v/>
      </c>
    </row>
    <row r="4535" spans="3:4" s="237" customFormat="1">
      <c r="C4535" s="16" t="str">
        <f>IFERROR(VLOOKUP(DATA!#REF!,DATA!#REF!,1,FALSE),"")</f>
        <v/>
      </c>
      <c r="D4535" s="16" t="str">
        <f>IFERROR(VLOOKUP(C4535,DATA!#REF!,2,FALSE),"")</f>
        <v/>
      </c>
    </row>
    <row r="4536" spans="3:4" s="237" customFormat="1">
      <c r="C4536" s="16" t="str">
        <f>IFERROR(VLOOKUP(DATA!#REF!,DATA!#REF!,1,FALSE),"")</f>
        <v/>
      </c>
      <c r="D4536" s="16" t="str">
        <f>IFERROR(VLOOKUP(C4536,DATA!#REF!,2,FALSE),"")</f>
        <v/>
      </c>
    </row>
    <row r="4537" spans="3:4" s="237" customFormat="1">
      <c r="C4537" s="16" t="str">
        <f>IFERROR(VLOOKUP(DATA!#REF!,DATA!#REF!,1,FALSE),"")</f>
        <v/>
      </c>
      <c r="D4537" s="16" t="str">
        <f>IFERROR(VLOOKUP(C4537,DATA!#REF!,2,FALSE),"")</f>
        <v/>
      </c>
    </row>
    <row r="4538" spans="3:4" s="237" customFormat="1">
      <c r="C4538" s="16" t="str">
        <f>IFERROR(VLOOKUP(DATA!#REF!,DATA!#REF!,1,FALSE),"")</f>
        <v/>
      </c>
      <c r="D4538" s="16" t="str">
        <f>IFERROR(VLOOKUP(C4538,DATA!#REF!,2,FALSE),"")</f>
        <v/>
      </c>
    </row>
    <row r="4539" spans="3:4" s="237" customFormat="1">
      <c r="C4539" s="16" t="str">
        <f>IFERROR(VLOOKUP(DATA!#REF!,DATA!#REF!,1,FALSE),"")</f>
        <v/>
      </c>
      <c r="D4539" s="16" t="str">
        <f>IFERROR(VLOOKUP(C4539,DATA!#REF!,2,FALSE),"")</f>
        <v/>
      </c>
    </row>
    <row r="4540" spans="3:4" s="237" customFormat="1">
      <c r="C4540" s="16" t="str">
        <f>IFERROR(VLOOKUP(DATA!#REF!,DATA!#REF!,1,FALSE),"")</f>
        <v/>
      </c>
      <c r="D4540" s="16" t="str">
        <f>IFERROR(VLOOKUP(C4540,DATA!#REF!,2,FALSE),"")</f>
        <v/>
      </c>
    </row>
    <row r="4541" spans="3:4" s="237" customFormat="1">
      <c r="C4541" s="16" t="str">
        <f>IFERROR(VLOOKUP(DATA!#REF!,DATA!#REF!,1,FALSE),"")</f>
        <v/>
      </c>
      <c r="D4541" s="16" t="str">
        <f>IFERROR(VLOOKUP(C4541,DATA!#REF!,2,FALSE),"")</f>
        <v/>
      </c>
    </row>
    <row r="4542" spans="3:4" s="237" customFormat="1">
      <c r="C4542" s="16" t="str">
        <f>IFERROR(VLOOKUP(DATA!#REF!,DATA!#REF!,1,FALSE),"")</f>
        <v/>
      </c>
      <c r="D4542" s="16" t="str">
        <f>IFERROR(VLOOKUP(C4542,DATA!#REF!,2,FALSE),"")</f>
        <v/>
      </c>
    </row>
    <row r="4543" spans="3:4" s="237" customFormat="1">
      <c r="C4543" s="16" t="str">
        <f>IFERROR(VLOOKUP(DATA!#REF!,DATA!#REF!,1,FALSE),"")</f>
        <v/>
      </c>
      <c r="D4543" s="16" t="str">
        <f>IFERROR(VLOOKUP(C4543,DATA!#REF!,2,FALSE),"")</f>
        <v/>
      </c>
    </row>
    <row r="4544" spans="3:4" s="237" customFormat="1">
      <c r="C4544" s="16" t="str">
        <f>IFERROR(VLOOKUP(DATA!#REF!,DATA!#REF!,1,FALSE),"")</f>
        <v/>
      </c>
      <c r="D4544" s="16" t="str">
        <f>IFERROR(VLOOKUP(C4544,DATA!#REF!,2,FALSE),"")</f>
        <v/>
      </c>
    </row>
    <row r="4545" spans="3:4" s="237" customFormat="1">
      <c r="C4545" s="16" t="str">
        <f>IFERROR(VLOOKUP(DATA!#REF!,DATA!#REF!,1,FALSE),"")</f>
        <v/>
      </c>
      <c r="D4545" s="16" t="str">
        <f>IFERROR(VLOOKUP(C4545,DATA!#REF!,2,FALSE),"")</f>
        <v/>
      </c>
    </row>
    <row r="4546" spans="3:4" s="237" customFormat="1">
      <c r="C4546" s="16" t="str">
        <f>IFERROR(VLOOKUP(DATA!#REF!,DATA!#REF!,1,FALSE),"")</f>
        <v/>
      </c>
      <c r="D4546" s="16" t="str">
        <f>IFERROR(VLOOKUP(C4546,DATA!#REF!,2,FALSE),"")</f>
        <v/>
      </c>
    </row>
    <row r="4547" spans="3:4" s="237" customFormat="1">
      <c r="C4547" s="16" t="str">
        <f>IFERROR(VLOOKUP(DATA!#REF!,DATA!#REF!,1,FALSE),"")</f>
        <v/>
      </c>
      <c r="D4547" s="16" t="str">
        <f>IFERROR(VLOOKUP(C4547,DATA!#REF!,2,FALSE),"")</f>
        <v/>
      </c>
    </row>
    <row r="4548" spans="3:4" s="237" customFormat="1">
      <c r="C4548" s="16" t="str">
        <f>IFERROR(VLOOKUP(DATA!#REF!,DATA!#REF!,1,FALSE),"")</f>
        <v/>
      </c>
      <c r="D4548" s="16" t="str">
        <f>IFERROR(VLOOKUP(C4548,DATA!#REF!,2,FALSE),"")</f>
        <v/>
      </c>
    </row>
    <row r="4549" spans="3:4" s="237" customFormat="1">
      <c r="C4549" s="16" t="str">
        <f>IFERROR(VLOOKUP(DATA!#REF!,DATA!#REF!,1,FALSE),"")</f>
        <v/>
      </c>
      <c r="D4549" s="16" t="str">
        <f>IFERROR(VLOOKUP(C4549,DATA!#REF!,2,FALSE),"")</f>
        <v/>
      </c>
    </row>
    <row r="4550" spans="3:4" s="237" customFormat="1">
      <c r="C4550" s="16" t="str">
        <f>IFERROR(VLOOKUP(DATA!#REF!,DATA!#REF!,1,FALSE),"")</f>
        <v/>
      </c>
      <c r="D4550" s="16" t="str">
        <f>IFERROR(VLOOKUP(C4550,DATA!#REF!,2,FALSE),"")</f>
        <v/>
      </c>
    </row>
    <row r="4551" spans="3:4" s="237" customFormat="1">
      <c r="C4551" s="16" t="str">
        <f>IFERROR(VLOOKUP(DATA!#REF!,DATA!#REF!,1,FALSE),"")</f>
        <v/>
      </c>
      <c r="D4551" s="16" t="str">
        <f>IFERROR(VLOOKUP(C4551,DATA!#REF!,2,FALSE),"")</f>
        <v/>
      </c>
    </row>
    <row r="4552" spans="3:4" s="237" customFormat="1">
      <c r="C4552" s="16" t="str">
        <f>IFERROR(VLOOKUP(DATA!#REF!,DATA!#REF!,1,FALSE),"")</f>
        <v/>
      </c>
      <c r="D4552" s="16" t="str">
        <f>IFERROR(VLOOKUP(C4552,DATA!#REF!,2,FALSE),"")</f>
        <v/>
      </c>
    </row>
    <row r="4553" spans="3:4" s="237" customFormat="1">
      <c r="C4553" s="16" t="str">
        <f>IFERROR(VLOOKUP(DATA!#REF!,DATA!#REF!,1,FALSE),"")</f>
        <v/>
      </c>
      <c r="D4553" s="16" t="str">
        <f>IFERROR(VLOOKUP(C4553,DATA!#REF!,2,FALSE),"")</f>
        <v/>
      </c>
    </row>
    <row r="4554" spans="3:4" s="237" customFormat="1">
      <c r="C4554" s="16" t="str">
        <f>IFERROR(VLOOKUP(DATA!#REF!,DATA!#REF!,1,FALSE),"")</f>
        <v/>
      </c>
      <c r="D4554" s="16" t="str">
        <f>IFERROR(VLOOKUP(C4554,DATA!#REF!,2,FALSE),"")</f>
        <v/>
      </c>
    </row>
    <row r="4555" spans="3:4" s="237" customFormat="1">
      <c r="C4555" s="16" t="str">
        <f>IFERROR(VLOOKUP(DATA!#REF!,DATA!#REF!,1,FALSE),"")</f>
        <v/>
      </c>
      <c r="D4555" s="16" t="str">
        <f>IFERROR(VLOOKUP(C4555,DATA!#REF!,2,FALSE),"")</f>
        <v/>
      </c>
    </row>
    <row r="4556" spans="3:4" s="237" customFormat="1">
      <c r="C4556" s="16" t="str">
        <f>IFERROR(VLOOKUP(DATA!#REF!,DATA!#REF!,1,FALSE),"")</f>
        <v/>
      </c>
      <c r="D4556" s="16" t="str">
        <f>IFERROR(VLOOKUP(C4556,DATA!#REF!,2,FALSE),"")</f>
        <v/>
      </c>
    </row>
    <row r="4557" spans="3:4" s="237" customFormat="1">
      <c r="C4557" s="16" t="str">
        <f>IFERROR(VLOOKUP(DATA!#REF!,DATA!#REF!,1,FALSE),"")</f>
        <v/>
      </c>
      <c r="D4557" s="16" t="str">
        <f>IFERROR(VLOOKUP(C4557,DATA!#REF!,2,FALSE),"")</f>
        <v/>
      </c>
    </row>
    <row r="4558" spans="3:4" s="237" customFormat="1">
      <c r="C4558" s="16" t="str">
        <f>IFERROR(VLOOKUP(DATA!#REF!,DATA!#REF!,1,FALSE),"")</f>
        <v/>
      </c>
      <c r="D4558" s="16" t="str">
        <f>IFERROR(VLOOKUP(C4558,DATA!#REF!,2,FALSE),"")</f>
        <v/>
      </c>
    </row>
    <row r="4559" spans="3:4" s="237" customFormat="1">
      <c r="C4559" s="16" t="str">
        <f>IFERROR(VLOOKUP(DATA!#REF!,DATA!#REF!,1,FALSE),"")</f>
        <v/>
      </c>
      <c r="D4559" s="16" t="str">
        <f>IFERROR(VLOOKUP(C4559,DATA!#REF!,2,FALSE),"")</f>
        <v/>
      </c>
    </row>
    <row r="4560" spans="3:4" s="237" customFormat="1">
      <c r="C4560" s="16" t="str">
        <f>IFERROR(VLOOKUP(DATA!#REF!,DATA!#REF!,1,FALSE),"")</f>
        <v/>
      </c>
      <c r="D4560" s="16" t="str">
        <f>IFERROR(VLOOKUP(C4560,DATA!#REF!,2,FALSE),"")</f>
        <v/>
      </c>
    </row>
    <row r="4561" spans="3:4" s="237" customFormat="1">
      <c r="C4561" s="16" t="str">
        <f>IFERROR(VLOOKUP(DATA!#REF!,DATA!#REF!,1,FALSE),"")</f>
        <v/>
      </c>
      <c r="D4561" s="16" t="str">
        <f>IFERROR(VLOOKUP(C4561,DATA!#REF!,2,FALSE),"")</f>
        <v/>
      </c>
    </row>
    <row r="4562" spans="3:4" s="237" customFormat="1">
      <c r="C4562" s="16" t="str">
        <f>IFERROR(VLOOKUP(DATA!#REF!,DATA!#REF!,1,FALSE),"")</f>
        <v/>
      </c>
      <c r="D4562" s="16" t="str">
        <f>IFERROR(VLOOKUP(C4562,DATA!#REF!,2,FALSE),"")</f>
        <v/>
      </c>
    </row>
    <row r="4563" spans="3:4" s="237" customFormat="1">
      <c r="C4563" s="16" t="str">
        <f>IFERROR(VLOOKUP(DATA!#REF!,DATA!#REF!,1,FALSE),"")</f>
        <v/>
      </c>
      <c r="D4563" s="16" t="str">
        <f>IFERROR(VLOOKUP(C4563,DATA!#REF!,2,FALSE),"")</f>
        <v/>
      </c>
    </row>
    <row r="4564" spans="3:4" s="237" customFormat="1">
      <c r="C4564" s="16" t="str">
        <f>IFERROR(VLOOKUP(DATA!#REF!,DATA!#REF!,1,FALSE),"")</f>
        <v/>
      </c>
      <c r="D4564" s="16" t="str">
        <f>IFERROR(VLOOKUP(C4564,DATA!#REF!,2,FALSE),"")</f>
        <v/>
      </c>
    </row>
    <row r="4565" spans="3:4" s="237" customFormat="1">
      <c r="C4565" s="16" t="str">
        <f>IFERROR(VLOOKUP(DATA!#REF!,DATA!#REF!,1,FALSE),"")</f>
        <v/>
      </c>
      <c r="D4565" s="16" t="str">
        <f>IFERROR(VLOOKUP(C4565,DATA!#REF!,2,FALSE),"")</f>
        <v/>
      </c>
    </row>
    <row r="4566" spans="3:4" s="237" customFormat="1">
      <c r="C4566" s="16" t="str">
        <f>IFERROR(VLOOKUP(DATA!#REF!,DATA!#REF!,1,FALSE),"")</f>
        <v/>
      </c>
      <c r="D4566" s="16" t="str">
        <f>IFERROR(VLOOKUP(C4566,DATA!#REF!,2,FALSE),"")</f>
        <v/>
      </c>
    </row>
    <row r="4567" spans="3:4" s="237" customFormat="1">
      <c r="C4567" s="16" t="str">
        <f>IFERROR(VLOOKUP(DATA!#REF!,DATA!#REF!,1,FALSE),"")</f>
        <v/>
      </c>
      <c r="D4567" s="16" t="str">
        <f>IFERROR(VLOOKUP(C4567,DATA!#REF!,2,FALSE),"")</f>
        <v/>
      </c>
    </row>
    <row r="4568" spans="3:4" s="237" customFormat="1">
      <c r="C4568" s="16" t="str">
        <f>IFERROR(VLOOKUP(DATA!#REF!,DATA!#REF!,1,FALSE),"")</f>
        <v/>
      </c>
      <c r="D4568" s="16" t="str">
        <f>IFERROR(VLOOKUP(C4568,DATA!#REF!,2,FALSE),"")</f>
        <v/>
      </c>
    </row>
    <row r="4569" spans="3:4" s="237" customFormat="1">
      <c r="C4569" s="16" t="str">
        <f>IFERROR(VLOOKUP(DATA!#REF!,DATA!#REF!,1,FALSE),"")</f>
        <v/>
      </c>
      <c r="D4569" s="16" t="str">
        <f>IFERROR(VLOOKUP(C4569,DATA!#REF!,2,FALSE),"")</f>
        <v/>
      </c>
    </row>
    <row r="4570" spans="3:4" s="237" customFormat="1">
      <c r="C4570" s="16" t="str">
        <f>IFERROR(VLOOKUP(DATA!#REF!,DATA!#REF!,1,FALSE),"")</f>
        <v/>
      </c>
      <c r="D4570" s="16" t="str">
        <f>IFERROR(VLOOKUP(C4570,DATA!#REF!,2,FALSE),"")</f>
        <v/>
      </c>
    </row>
    <row r="4571" spans="3:4" s="237" customFormat="1">
      <c r="C4571" s="16" t="str">
        <f>IFERROR(VLOOKUP(DATA!#REF!,DATA!#REF!,1,FALSE),"")</f>
        <v/>
      </c>
      <c r="D4571" s="16" t="str">
        <f>IFERROR(VLOOKUP(C4571,DATA!#REF!,2,FALSE),"")</f>
        <v/>
      </c>
    </row>
    <row r="4572" spans="3:4" s="237" customFormat="1">
      <c r="C4572" s="16" t="str">
        <f>IFERROR(VLOOKUP(DATA!#REF!,DATA!#REF!,1,FALSE),"")</f>
        <v/>
      </c>
      <c r="D4572" s="16" t="str">
        <f>IFERROR(VLOOKUP(C4572,DATA!#REF!,2,FALSE),"")</f>
        <v/>
      </c>
    </row>
    <row r="4573" spans="3:4" s="237" customFormat="1">
      <c r="C4573" s="16" t="str">
        <f>IFERROR(VLOOKUP(DATA!#REF!,DATA!#REF!,1,FALSE),"")</f>
        <v/>
      </c>
      <c r="D4573" s="16" t="str">
        <f>IFERROR(VLOOKUP(C4573,DATA!#REF!,2,FALSE),"")</f>
        <v/>
      </c>
    </row>
    <row r="4574" spans="3:4" s="237" customFormat="1">
      <c r="C4574" s="16" t="str">
        <f>IFERROR(VLOOKUP(DATA!#REF!,DATA!#REF!,1,FALSE),"")</f>
        <v/>
      </c>
      <c r="D4574" s="16" t="str">
        <f>IFERROR(VLOOKUP(C4574,DATA!#REF!,2,FALSE),"")</f>
        <v/>
      </c>
    </row>
    <row r="4575" spans="3:4" s="237" customFormat="1">
      <c r="C4575" s="16" t="str">
        <f>IFERROR(VLOOKUP(DATA!#REF!,DATA!#REF!,1,FALSE),"")</f>
        <v/>
      </c>
      <c r="D4575" s="16" t="str">
        <f>IFERROR(VLOOKUP(C4575,DATA!#REF!,2,FALSE),"")</f>
        <v/>
      </c>
    </row>
    <row r="4576" spans="3:4" s="237" customFormat="1">
      <c r="C4576" s="16" t="str">
        <f>IFERROR(VLOOKUP(DATA!#REF!,DATA!#REF!,1,FALSE),"")</f>
        <v/>
      </c>
      <c r="D4576" s="16" t="str">
        <f>IFERROR(VLOOKUP(C4576,DATA!#REF!,2,FALSE),"")</f>
        <v/>
      </c>
    </row>
    <row r="4577" spans="3:4" s="237" customFormat="1">
      <c r="C4577" s="16" t="str">
        <f>IFERROR(VLOOKUP(DATA!#REF!,DATA!#REF!,1,FALSE),"")</f>
        <v/>
      </c>
      <c r="D4577" s="16" t="str">
        <f>IFERROR(VLOOKUP(C4577,DATA!#REF!,2,FALSE),"")</f>
        <v/>
      </c>
    </row>
    <row r="4578" spans="3:4" s="237" customFormat="1">
      <c r="C4578" s="16" t="str">
        <f>IFERROR(VLOOKUP(DATA!#REF!,DATA!#REF!,1,FALSE),"")</f>
        <v/>
      </c>
      <c r="D4578" s="16" t="str">
        <f>IFERROR(VLOOKUP(C4578,DATA!#REF!,2,FALSE),"")</f>
        <v/>
      </c>
    </row>
    <row r="4579" spans="3:4" s="237" customFormat="1">
      <c r="C4579" s="16" t="str">
        <f>IFERROR(VLOOKUP(DATA!#REF!,DATA!#REF!,1,FALSE),"")</f>
        <v/>
      </c>
      <c r="D4579" s="16" t="str">
        <f>IFERROR(VLOOKUP(C4579,DATA!#REF!,2,FALSE),"")</f>
        <v/>
      </c>
    </row>
    <row r="4580" spans="3:4" s="237" customFormat="1">
      <c r="C4580" s="16" t="str">
        <f>IFERROR(VLOOKUP(DATA!#REF!,DATA!#REF!,1,FALSE),"")</f>
        <v/>
      </c>
      <c r="D4580" s="16" t="str">
        <f>IFERROR(VLOOKUP(C4580,DATA!#REF!,2,FALSE),"")</f>
        <v/>
      </c>
    </row>
    <row r="4581" spans="3:4" s="237" customFormat="1">
      <c r="C4581" s="16" t="str">
        <f>IFERROR(VLOOKUP(DATA!#REF!,DATA!#REF!,1,FALSE),"")</f>
        <v/>
      </c>
      <c r="D4581" s="16" t="str">
        <f>IFERROR(VLOOKUP(C4581,DATA!#REF!,2,FALSE),"")</f>
        <v/>
      </c>
    </row>
    <row r="4582" spans="3:4" s="237" customFormat="1">
      <c r="C4582" s="16" t="str">
        <f>IFERROR(VLOOKUP(DATA!#REF!,DATA!#REF!,1,FALSE),"")</f>
        <v/>
      </c>
      <c r="D4582" s="16" t="str">
        <f>IFERROR(VLOOKUP(C4582,DATA!#REF!,2,FALSE),"")</f>
        <v/>
      </c>
    </row>
    <row r="4583" spans="3:4" s="237" customFormat="1">
      <c r="C4583" s="16" t="str">
        <f>IFERROR(VLOOKUP(DATA!#REF!,DATA!#REF!,1,FALSE),"")</f>
        <v/>
      </c>
      <c r="D4583" s="16" t="str">
        <f>IFERROR(VLOOKUP(C4583,DATA!#REF!,2,FALSE),"")</f>
        <v/>
      </c>
    </row>
    <row r="4584" spans="3:4" s="237" customFormat="1">
      <c r="C4584" s="16" t="str">
        <f>IFERROR(VLOOKUP(DATA!#REF!,DATA!#REF!,1,FALSE),"")</f>
        <v/>
      </c>
      <c r="D4584" s="16" t="str">
        <f>IFERROR(VLOOKUP(C4584,DATA!#REF!,2,FALSE),"")</f>
        <v/>
      </c>
    </row>
    <row r="4585" spans="3:4" s="237" customFormat="1">
      <c r="C4585" s="16" t="str">
        <f>IFERROR(VLOOKUP(DATA!#REF!,DATA!#REF!,1,FALSE),"")</f>
        <v/>
      </c>
      <c r="D4585" s="16" t="str">
        <f>IFERROR(VLOOKUP(C4585,DATA!#REF!,2,FALSE),"")</f>
        <v/>
      </c>
    </row>
    <row r="4586" spans="3:4" s="237" customFormat="1">
      <c r="C4586" s="16" t="str">
        <f>IFERROR(VLOOKUP(DATA!#REF!,DATA!#REF!,1,FALSE),"")</f>
        <v/>
      </c>
      <c r="D4586" s="16" t="str">
        <f>IFERROR(VLOOKUP(C4586,DATA!#REF!,2,FALSE),"")</f>
        <v/>
      </c>
    </row>
    <row r="4587" spans="3:4" s="237" customFormat="1">
      <c r="C4587" s="16" t="str">
        <f>IFERROR(VLOOKUP(DATA!#REF!,DATA!#REF!,1,FALSE),"")</f>
        <v/>
      </c>
      <c r="D4587" s="16" t="str">
        <f>IFERROR(VLOOKUP(C4587,DATA!#REF!,2,FALSE),"")</f>
        <v/>
      </c>
    </row>
    <row r="4588" spans="3:4" s="237" customFormat="1">
      <c r="C4588" s="16" t="str">
        <f>IFERROR(VLOOKUP(DATA!#REF!,DATA!#REF!,1,FALSE),"")</f>
        <v/>
      </c>
      <c r="D4588" s="16" t="str">
        <f>IFERROR(VLOOKUP(C4588,DATA!#REF!,2,FALSE),"")</f>
        <v/>
      </c>
    </row>
    <row r="4589" spans="3:4" s="237" customFormat="1">
      <c r="C4589" s="16" t="str">
        <f>IFERROR(VLOOKUP(DATA!#REF!,DATA!#REF!,1,FALSE),"")</f>
        <v/>
      </c>
      <c r="D4589" s="16" t="str">
        <f>IFERROR(VLOOKUP(C4589,DATA!#REF!,2,FALSE),"")</f>
        <v/>
      </c>
    </row>
    <row r="4590" spans="3:4" s="237" customFormat="1">
      <c r="C4590" s="16" t="str">
        <f>IFERROR(VLOOKUP(DATA!#REF!,DATA!#REF!,1,FALSE),"")</f>
        <v/>
      </c>
      <c r="D4590" s="16" t="str">
        <f>IFERROR(VLOOKUP(C4590,DATA!#REF!,2,FALSE),"")</f>
        <v/>
      </c>
    </row>
    <row r="4591" spans="3:4" s="237" customFormat="1">
      <c r="C4591" s="16" t="str">
        <f>IFERROR(VLOOKUP(DATA!#REF!,DATA!#REF!,1,FALSE),"")</f>
        <v/>
      </c>
      <c r="D4591" s="16" t="str">
        <f>IFERROR(VLOOKUP(C4591,DATA!#REF!,2,FALSE),"")</f>
        <v/>
      </c>
    </row>
    <row r="4592" spans="3:4" s="237" customFormat="1">
      <c r="C4592" s="16" t="str">
        <f>IFERROR(VLOOKUP(DATA!#REF!,DATA!#REF!,1,FALSE),"")</f>
        <v/>
      </c>
      <c r="D4592" s="16" t="str">
        <f>IFERROR(VLOOKUP(C4592,DATA!#REF!,2,FALSE),"")</f>
        <v/>
      </c>
    </row>
    <row r="4593" spans="3:4" s="237" customFormat="1">
      <c r="C4593" s="16" t="str">
        <f>IFERROR(VLOOKUP(DATA!#REF!,DATA!#REF!,1,FALSE),"")</f>
        <v/>
      </c>
      <c r="D4593" s="16" t="str">
        <f>IFERROR(VLOOKUP(C4593,DATA!#REF!,2,FALSE),"")</f>
        <v/>
      </c>
    </row>
    <row r="4594" spans="3:4" s="237" customFormat="1">
      <c r="C4594" s="16" t="str">
        <f>IFERROR(VLOOKUP(DATA!#REF!,DATA!#REF!,1,FALSE),"")</f>
        <v/>
      </c>
      <c r="D4594" s="16" t="str">
        <f>IFERROR(VLOOKUP(C4594,DATA!#REF!,2,FALSE),"")</f>
        <v/>
      </c>
    </row>
    <row r="4595" spans="3:4" s="237" customFormat="1">
      <c r="C4595" s="16" t="str">
        <f>IFERROR(VLOOKUP(DATA!#REF!,DATA!#REF!,1,FALSE),"")</f>
        <v/>
      </c>
      <c r="D4595" s="16" t="str">
        <f>IFERROR(VLOOKUP(C4595,DATA!#REF!,2,FALSE),"")</f>
        <v/>
      </c>
    </row>
    <row r="4596" spans="3:4" s="237" customFormat="1">
      <c r="C4596" s="16" t="str">
        <f>IFERROR(VLOOKUP(DATA!#REF!,DATA!#REF!,1,FALSE),"")</f>
        <v/>
      </c>
      <c r="D4596" s="16" t="str">
        <f>IFERROR(VLOOKUP(C4596,DATA!#REF!,2,FALSE),"")</f>
        <v/>
      </c>
    </row>
    <row r="4597" spans="3:4" s="237" customFormat="1">
      <c r="C4597" s="16" t="str">
        <f>IFERROR(VLOOKUP(DATA!#REF!,DATA!#REF!,1,FALSE),"")</f>
        <v/>
      </c>
      <c r="D4597" s="16" t="str">
        <f>IFERROR(VLOOKUP(C4597,DATA!#REF!,2,FALSE),"")</f>
        <v/>
      </c>
    </row>
    <row r="4598" spans="3:4" s="237" customFormat="1">
      <c r="C4598" s="16" t="str">
        <f>IFERROR(VLOOKUP(DATA!#REF!,DATA!#REF!,1,FALSE),"")</f>
        <v/>
      </c>
      <c r="D4598" s="16" t="str">
        <f>IFERROR(VLOOKUP(C4598,DATA!#REF!,2,FALSE),"")</f>
        <v/>
      </c>
    </row>
    <row r="4599" spans="3:4" s="237" customFormat="1">
      <c r="C4599" s="16" t="str">
        <f>IFERROR(VLOOKUP(DATA!#REF!,DATA!#REF!,1,FALSE),"")</f>
        <v/>
      </c>
      <c r="D4599" s="16" t="str">
        <f>IFERROR(VLOOKUP(C4599,DATA!#REF!,2,FALSE),"")</f>
        <v/>
      </c>
    </row>
    <row r="4600" spans="3:4" s="237" customFormat="1">
      <c r="C4600" s="16" t="str">
        <f>IFERROR(VLOOKUP(DATA!#REF!,DATA!#REF!,1,FALSE),"")</f>
        <v/>
      </c>
      <c r="D4600" s="16" t="str">
        <f>IFERROR(VLOOKUP(C4600,DATA!#REF!,2,FALSE),"")</f>
        <v/>
      </c>
    </row>
    <row r="4601" spans="3:4" s="237" customFormat="1">
      <c r="C4601" s="16" t="str">
        <f>IFERROR(VLOOKUP(DATA!#REF!,DATA!#REF!,1,FALSE),"")</f>
        <v/>
      </c>
      <c r="D4601" s="16" t="str">
        <f>IFERROR(VLOOKUP(C4601,DATA!#REF!,2,FALSE),"")</f>
        <v/>
      </c>
    </row>
    <row r="4602" spans="3:4" s="237" customFormat="1">
      <c r="C4602" s="16" t="str">
        <f>IFERROR(VLOOKUP(DATA!#REF!,DATA!#REF!,1,FALSE),"")</f>
        <v/>
      </c>
      <c r="D4602" s="16" t="str">
        <f>IFERROR(VLOOKUP(C4602,DATA!#REF!,2,FALSE),"")</f>
        <v/>
      </c>
    </row>
    <row r="4603" spans="3:4" s="237" customFormat="1">
      <c r="C4603" s="16" t="str">
        <f>IFERROR(VLOOKUP(DATA!#REF!,DATA!#REF!,1,FALSE),"")</f>
        <v/>
      </c>
      <c r="D4603" s="16" t="str">
        <f>IFERROR(VLOOKUP(C4603,DATA!#REF!,2,FALSE),"")</f>
        <v/>
      </c>
    </row>
    <row r="4604" spans="3:4" s="237" customFormat="1">
      <c r="C4604" s="16" t="str">
        <f>IFERROR(VLOOKUP(DATA!#REF!,DATA!#REF!,1,FALSE),"")</f>
        <v/>
      </c>
      <c r="D4604" s="16" t="str">
        <f>IFERROR(VLOOKUP(C4604,DATA!#REF!,2,FALSE),"")</f>
        <v/>
      </c>
    </row>
    <row r="4605" spans="3:4" s="237" customFormat="1">
      <c r="C4605" s="16" t="str">
        <f>IFERROR(VLOOKUP(DATA!#REF!,DATA!#REF!,1,FALSE),"")</f>
        <v/>
      </c>
      <c r="D4605" s="16" t="str">
        <f>IFERROR(VLOOKUP(C4605,DATA!#REF!,2,FALSE),"")</f>
        <v/>
      </c>
    </row>
    <row r="4606" spans="3:4" s="237" customFormat="1">
      <c r="C4606" s="16" t="str">
        <f>IFERROR(VLOOKUP(DATA!#REF!,DATA!#REF!,1,FALSE),"")</f>
        <v/>
      </c>
      <c r="D4606" s="16" t="str">
        <f>IFERROR(VLOOKUP(C4606,DATA!#REF!,2,FALSE),"")</f>
        <v/>
      </c>
    </row>
    <row r="4607" spans="3:4" s="237" customFormat="1">
      <c r="C4607" s="16" t="str">
        <f>IFERROR(VLOOKUP(DATA!#REF!,DATA!#REF!,1,FALSE),"")</f>
        <v/>
      </c>
      <c r="D4607" s="16" t="str">
        <f>IFERROR(VLOOKUP(C4607,DATA!#REF!,2,FALSE),"")</f>
        <v/>
      </c>
    </row>
    <row r="4608" spans="3:4" s="237" customFormat="1">
      <c r="C4608" s="16" t="str">
        <f>IFERROR(VLOOKUP(DATA!#REF!,DATA!#REF!,1,FALSE),"")</f>
        <v/>
      </c>
      <c r="D4608" s="16" t="str">
        <f>IFERROR(VLOOKUP(C4608,DATA!#REF!,2,FALSE),"")</f>
        <v/>
      </c>
    </row>
    <row r="4609" spans="3:4" s="237" customFormat="1">
      <c r="C4609" s="16" t="str">
        <f>IFERROR(VLOOKUP(DATA!#REF!,DATA!#REF!,1,FALSE),"")</f>
        <v/>
      </c>
      <c r="D4609" s="16" t="str">
        <f>IFERROR(VLOOKUP(C4609,DATA!#REF!,2,FALSE),"")</f>
        <v/>
      </c>
    </row>
    <row r="4610" spans="3:4" s="237" customFormat="1">
      <c r="C4610" s="16" t="str">
        <f>IFERROR(VLOOKUP(DATA!#REF!,DATA!#REF!,1,FALSE),"")</f>
        <v/>
      </c>
      <c r="D4610" s="16" t="str">
        <f>IFERROR(VLOOKUP(C4610,DATA!#REF!,2,FALSE),"")</f>
        <v/>
      </c>
    </row>
    <row r="4611" spans="3:4" s="237" customFormat="1">
      <c r="C4611" s="16" t="str">
        <f>IFERROR(VLOOKUP(DATA!#REF!,DATA!#REF!,1,FALSE),"")</f>
        <v/>
      </c>
      <c r="D4611" s="16" t="str">
        <f>IFERROR(VLOOKUP(C4611,DATA!#REF!,2,FALSE),"")</f>
        <v/>
      </c>
    </row>
    <row r="4612" spans="3:4" s="237" customFormat="1">
      <c r="C4612" s="16" t="str">
        <f>IFERROR(VLOOKUP(DATA!#REF!,DATA!#REF!,1,FALSE),"")</f>
        <v/>
      </c>
      <c r="D4612" s="16" t="str">
        <f>IFERROR(VLOOKUP(C4612,DATA!#REF!,2,FALSE),"")</f>
        <v/>
      </c>
    </row>
    <row r="4613" spans="3:4" s="237" customFormat="1">
      <c r="C4613" s="16" t="str">
        <f>IFERROR(VLOOKUP(DATA!#REF!,DATA!#REF!,1,FALSE),"")</f>
        <v/>
      </c>
      <c r="D4613" s="16" t="str">
        <f>IFERROR(VLOOKUP(C4613,DATA!#REF!,2,FALSE),"")</f>
        <v/>
      </c>
    </row>
    <row r="4614" spans="3:4" s="237" customFormat="1">
      <c r="C4614" s="16" t="str">
        <f>IFERROR(VLOOKUP(DATA!#REF!,DATA!#REF!,1,FALSE),"")</f>
        <v/>
      </c>
      <c r="D4614" s="16" t="str">
        <f>IFERROR(VLOOKUP(C4614,DATA!#REF!,2,FALSE),"")</f>
        <v/>
      </c>
    </row>
    <row r="4615" spans="3:4" s="237" customFormat="1">
      <c r="C4615" s="16" t="str">
        <f>IFERROR(VLOOKUP(DATA!#REF!,DATA!#REF!,1,FALSE),"")</f>
        <v/>
      </c>
      <c r="D4615" s="16" t="str">
        <f>IFERROR(VLOOKUP(C4615,DATA!#REF!,2,FALSE),"")</f>
        <v/>
      </c>
    </row>
    <row r="4616" spans="3:4" s="237" customFormat="1">
      <c r="C4616" s="16" t="str">
        <f>IFERROR(VLOOKUP(DATA!#REF!,DATA!#REF!,1,FALSE),"")</f>
        <v/>
      </c>
      <c r="D4616" s="16" t="str">
        <f>IFERROR(VLOOKUP(C4616,DATA!#REF!,2,FALSE),"")</f>
        <v/>
      </c>
    </row>
    <row r="4617" spans="3:4" s="237" customFormat="1">
      <c r="C4617" s="16" t="str">
        <f>IFERROR(VLOOKUP(DATA!#REF!,DATA!#REF!,1,FALSE),"")</f>
        <v/>
      </c>
      <c r="D4617" s="16" t="str">
        <f>IFERROR(VLOOKUP(C4617,DATA!#REF!,2,FALSE),"")</f>
        <v/>
      </c>
    </row>
    <row r="4618" spans="3:4" s="237" customFormat="1">
      <c r="C4618" s="16" t="str">
        <f>IFERROR(VLOOKUP(DATA!#REF!,DATA!#REF!,1,FALSE),"")</f>
        <v/>
      </c>
      <c r="D4618" s="16" t="str">
        <f>IFERROR(VLOOKUP(C4618,DATA!#REF!,2,FALSE),"")</f>
        <v/>
      </c>
    </row>
    <row r="4619" spans="3:4" s="237" customFormat="1">
      <c r="C4619" s="16" t="str">
        <f>IFERROR(VLOOKUP(DATA!#REF!,DATA!#REF!,1,FALSE),"")</f>
        <v/>
      </c>
      <c r="D4619" s="16" t="str">
        <f>IFERROR(VLOOKUP(C4619,DATA!#REF!,2,FALSE),"")</f>
        <v/>
      </c>
    </row>
    <row r="4620" spans="3:4" s="237" customFormat="1">
      <c r="C4620" s="16" t="str">
        <f>IFERROR(VLOOKUP(DATA!#REF!,DATA!#REF!,1,FALSE),"")</f>
        <v/>
      </c>
      <c r="D4620" s="16" t="str">
        <f>IFERROR(VLOOKUP(C4620,DATA!#REF!,2,FALSE),"")</f>
        <v/>
      </c>
    </row>
    <row r="4621" spans="3:4" s="237" customFormat="1">
      <c r="C4621" s="16" t="str">
        <f>IFERROR(VLOOKUP(DATA!#REF!,DATA!#REF!,1,FALSE),"")</f>
        <v/>
      </c>
      <c r="D4621" s="16" t="str">
        <f>IFERROR(VLOOKUP(C4621,DATA!#REF!,2,FALSE),"")</f>
        <v/>
      </c>
    </row>
    <row r="4622" spans="3:4" s="237" customFormat="1">
      <c r="C4622" s="16" t="str">
        <f>IFERROR(VLOOKUP(DATA!#REF!,DATA!#REF!,1,FALSE),"")</f>
        <v/>
      </c>
      <c r="D4622" s="16" t="str">
        <f>IFERROR(VLOOKUP(C4622,DATA!#REF!,2,FALSE),"")</f>
        <v/>
      </c>
    </row>
    <row r="4623" spans="3:4" s="237" customFormat="1">
      <c r="C4623" s="16" t="str">
        <f>IFERROR(VLOOKUP(DATA!#REF!,DATA!#REF!,1,FALSE),"")</f>
        <v/>
      </c>
      <c r="D4623" s="16" t="str">
        <f>IFERROR(VLOOKUP(C4623,DATA!#REF!,2,FALSE),"")</f>
        <v/>
      </c>
    </row>
    <row r="4624" spans="3:4" s="237" customFormat="1">
      <c r="C4624" s="16" t="str">
        <f>IFERROR(VLOOKUP(DATA!#REF!,DATA!#REF!,1,FALSE),"")</f>
        <v/>
      </c>
      <c r="D4624" s="16" t="str">
        <f>IFERROR(VLOOKUP(C4624,DATA!#REF!,2,FALSE),"")</f>
        <v/>
      </c>
    </row>
    <row r="4625" spans="3:4" s="237" customFormat="1">
      <c r="C4625" s="16" t="str">
        <f>IFERROR(VLOOKUP(DATA!#REF!,DATA!#REF!,1,FALSE),"")</f>
        <v/>
      </c>
      <c r="D4625" s="16" t="str">
        <f>IFERROR(VLOOKUP(C4625,DATA!#REF!,2,FALSE),"")</f>
        <v/>
      </c>
    </row>
    <row r="4626" spans="3:4" s="237" customFormat="1">
      <c r="C4626" s="16" t="str">
        <f>IFERROR(VLOOKUP(DATA!#REF!,DATA!#REF!,1,FALSE),"")</f>
        <v/>
      </c>
      <c r="D4626" s="16" t="str">
        <f>IFERROR(VLOOKUP(C4626,DATA!#REF!,2,FALSE),"")</f>
        <v/>
      </c>
    </row>
    <row r="4627" spans="3:4" s="237" customFormat="1">
      <c r="C4627" s="16" t="str">
        <f>IFERROR(VLOOKUP(DATA!#REF!,DATA!#REF!,1,FALSE),"")</f>
        <v/>
      </c>
      <c r="D4627" s="16" t="str">
        <f>IFERROR(VLOOKUP(C4627,DATA!#REF!,2,FALSE),"")</f>
        <v/>
      </c>
    </row>
    <row r="4628" spans="3:4" s="237" customFormat="1">
      <c r="C4628" s="16" t="str">
        <f>IFERROR(VLOOKUP(DATA!#REF!,DATA!#REF!,1,FALSE),"")</f>
        <v/>
      </c>
      <c r="D4628" s="16" t="str">
        <f>IFERROR(VLOOKUP(C4628,DATA!#REF!,2,FALSE),"")</f>
        <v/>
      </c>
    </row>
    <row r="4629" spans="3:4" s="237" customFormat="1">
      <c r="C4629" s="16" t="str">
        <f>IFERROR(VLOOKUP(DATA!#REF!,DATA!#REF!,1,FALSE),"")</f>
        <v/>
      </c>
      <c r="D4629" s="16" t="str">
        <f>IFERROR(VLOOKUP(C4629,DATA!#REF!,2,FALSE),"")</f>
        <v/>
      </c>
    </row>
    <row r="4630" spans="3:4" s="237" customFormat="1">
      <c r="C4630" s="16" t="str">
        <f>IFERROR(VLOOKUP(DATA!#REF!,DATA!#REF!,1,FALSE),"")</f>
        <v/>
      </c>
      <c r="D4630" s="16" t="str">
        <f>IFERROR(VLOOKUP(C4630,DATA!#REF!,2,FALSE),"")</f>
        <v/>
      </c>
    </row>
    <row r="4631" spans="3:4" s="237" customFormat="1">
      <c r="C4631" s="16" t="str">
        <f>IFERROR(VLOOKUP(DATA!#REF!,DATA!#REF!,1,FALSE),"")</f>
        <v/>
      </c>
      <c r="D4631" s="16" t="str">
        <f>IFERROR(VLOOKUP(C4631,DATA!#REF!,2,FALSE),"")</f>
        <v/>
      </c>
    </row>
    <row r="4632" spans="3:4" s="237" customFormat="1">
      <c r="C4632" s="16" t="str">
        <f>IFERROR(VLOOKUP(DATA!#REF!,DATA!#REF!,1,FALSE),"")</f>
        <v/>
      </c>
      <c r="D4632" s="16" t="str">
        <f>IFERROR(VLOOKUP(C4632,DATA!#REF!,2,FALSE),"")</f>
        <v/>
      </c>
    </row>
    <row r="4633" spans="3:4" s="237" customFormat="1">
      <c r="C4633" s="16" t="str">
        <f>IFERROR(VLOOKUP(DATA!#REF!,DATA!#REF!,1,FALSE),"")</f>
        <v/>
      </c>
      <c r="D4633" s="16" t="str">
        <f>IFERROR(VLOOKUP(C4633,DATA!#REF!,2,FALSE),"")</f>
        <v/>
      </c>
    </row>
    <row r="4634" spans="3:4" s="237" customFormat="1">
      <c r="C4634" s="16" t="str">
        <f>IFERROR(VLOOKUP(DATA!#REF!,DATA!#REF!,1,FALSE),"")</f>
        <v/>
      </c>
      <c r="D4634" s="16" t="str">
        <f>IFERROR(VLOOKUP(C4634,DATA!#REF!,2,FALSE),"")</f>
        <v/>
      </c>
    </row>
    <row r="4635" spans="3:4" s="237" customFormat="1">
      <c r="C4635" s="16" t="str">
        <f>IFERROR(VLOOKUP(DATA!#REF!,DATA!#REF!,1,FALSE),"")</f>
        <v/>
      </c>
      <c r="D4635" s="16" t="str">
        <f>IFERROR(VLOOKUP(C4635,DATA!#REF!,2,FALSE),"")</f>
        <v/>
      </c>
    </row>
    <row r="4636" spans="3:4" s="237" customFormat="1">
      <c r="C4636" s="16" t="str">
        <f>IFERROR(VLOOKUP(DATA!#REF!,DATA!#REF!,1,FALSE),"")</f>
        <v/>
      </c>
      <c r="D4636" s="16" t="str">
        <f>IFERROR(VLOOKUP(C4636,DATA!#REF!,2,FALSE),"")</f>
        <v/>
      </c>
    </row>
    <row r="4637" spans="3:4" s="237" customFormat="1">
      <c r="C4637" s="16" t="str">
        <f>IFERROR(VLOOKUP(DATA!#REF!,DATA!#REF!,1,FALSE),"")</f>
        <v/>
      </c>
      <c r="D4637" s="16" t="str">
        <f>IFERROR(VLOOKUP(C4637,DATA!#REF!,2,FALSE),"")</f>
        <v/>
      </c>
    </row>
    <row r="4638" spans="3:4" s="237" customFormat="1">
      <c r="C4638" s="16" t="str">
        <f>IFERROR(VLOOKUP(DATA!#REF!,DATA!#REF!,1,FALSE),"")</f>
        <v/>
      </c>
      <c r="D4638" s="16" t="str">
        <f>IFERROR(VLOOKUP(C4638,DATA!#REF!,2,FALSE),"")</f>
        <v/>
      </c>
    </row>
    <row r="4639" spans="3:4" s="237" customFormat="1">
      <c r="C4639" s="16" t="str">
        <f>IFERROR(VLOOKUP(DATA!#REF!,DATA!#REF!,1,FALSE),"")</f>
        <v/>
      </c>
      <c r="D4639" s="16" t="str">
        <f>IFERROR(VLOOKUP(C4639,DATA!#REF!,2,FALSE),"")</f>
        <v/>
      </c>
    </row>
    <row r="4640" spans="3:4" s="237" customFormat="1">
      <c r="C4640" s="16" t="str">
        <f>IFERROR(VLOOKUP(DATA!#REF!,DATA!#REF!,1,FALSE),"")</f>
        <v/>
      </c>
      <c r="D4640" s="16" t="str">
        <f>IFERROR(VLOOKUP(C4640,DATA!#REF!,2,FALSE),"")</f>
        <v/>
      </c>
    </row>
    <row r="4641" spans="3:4" s="237" customFormat="1">
      <c r="C4641" s="16" t="str">
        <f>IFERROR(VLOOKUP(DATA!#REF!,DATA!#REF!,1,FALSE),"")</f>
        <v/>
      </c>
      <c r="D4641" s="16" t="str">
        <f>IFERROR(VLOOKUP(C4641,DATA!#REF!,2,FALSE),"")</f>
        <v/>
      </c>
    </row>
    <row r="4642" spans="3:4" s="237" customFormat="1">
      <c r="C4642" s="16" t="str">
        <f>IFERROR(VLOOKUP(DATA!#REF!,DATA!#REF!,1,FALSE),"")</f>
        <v/>
      </c>
      <c r="D4642" s="16" t="str">
        <f>IFERROR(VLOOKUP(C4642,DATA!#REF!,2,FALSE),"")</f>
        <v/>
      </c>
    </row>
    <row r="4643" spans="3:4" s="237" customFormat="1">
      <c r="C4643" s="16" t="str">
        <f>IFERROR(VLOOKUP(DATA!#REF!,DATA!#REF!,1,FALSE),"")</f>
        <v/>
      </c>
      <c r="D4643" s="16" t="str">
        <f>IFERROR(VLOOKUP(C4643,DATA!#REF!,2,FALSE),"")</f>
        <v/>
      </c>
    </row>
    <row r="4644" spans="3:4" s="237" customFormat="1">
      <c r="C4644" s="16" t="str">
        <f>IFERROR(VLOOKUP(DATA!#REF!,DATA!#REF!,1,FALSE),"")</f>
        <v/>
      </c>
      <c r="D4644" s="16" t="str">
        <f>IFERROR(VLOOKUP(C4644,DATA!#REF!,2,FALSE),"")</f>
        <v/>
      </c>
    </row>
    <row r="4645" spans="3:4" s="237" customFormat="1">
      <c r="C4645" s="16" t="str">
        <f>IFERROR(VLOOKUP(DATA!#REF!,DATA!#REF!,1,FALSE),"")</f>
        <v/>
      </c>
      <c r="D4645" s="16" t="str">
        <f>IFERROR(VLOOKUP(C4645,DATA!#REF!,2,FALSE),"")</f>
        <v/>
      </c>
    </row>
    <row r="4646" spans="3:4" s="237" customFormat="1">
      <c r="C4646" s="16" t="str">
        <f>IFERROR(VLOOKUP(DATA!#REF!,DATA!#REF!,1,FALSE),"")</f>
        <v/>
      </c>
      <c r="D4646" s="16" t="str">
        <f>IFERROR(VLOOKUP(C4646,DATA!#REF!,2,FALSE),"")</f>
        <v/>
      </c>
    </row>
    <row r="4647" spans="3:4" s="237" customFormat="1">
      <c r="C4647" s="16" t="str">
        <f>IFERROR(VLOOKUP(DATA!#REF!,DATA!#REF!,1,FALSE),"")</f>
        <v/>
      </c>
      <c r="D4647" s="16" t="str">
        <f>IFERROR(VLOOKUP(C4647,DATA!#REF!,2,FALSE),"")</f>
        <v/>
      </c>
    </row>
    <row r="4648" spans="3:4" s="237" customFormat="1">
      <c r="C4648" s="16" t="str">
        <f>IFERROR(VLOOKUP(DATA!#REF!,DATA!#REF!,1,FALSE),"")</f>
        <v/>
      </c>
      <c r="D4648" s="16" t="str">
        <f>IFERROR(VLOOKUP(C4648,DATA!#REF!,2,FALSE),"")</f>
        <v/>
      </c>
    </row>
    <row r="4649" spans="3:4" s="237" customFormat="1">
      <c r="C4649" s="16" t="str">
        <f>IFERROR(VLOOKUP(DATA!#REF!,DATA!#REF!,1,FALSE),"")</f>
        <v/>
      </c>
      <c r="D4649" s="16" t="str">
        <f>IFERROR(VLOOKUP(C4649,DATA!#REF!,2,FALSE),"")</f>
        <v/>
      </c>
    </row>
    <row r="4650" spans="3:4" s="237" customFormat="1">
      <c r="C4650" s="16" t="str">
        <f>IFERROR(VLOOKUP(DATA!#REF!,DATA!#REF!,1,FALSE),"")</f>
        <v/>
      </c>
      <c r="D4650" s="16" t="str">
        <f>IFERROR(VLOOKUP(C4650,DATA!#REF!,2,FALSE),"")</f>
        <v/>
      </c>
    </row>
    <row r="4651" spans="3:4" s="237" customFormat="1">
      <c r="C4651" s="16" t="str">
        <f>IFERROR(VLOOKUP(DATA!#REF!,DATA!#REF!,1,FALSE),"")</f>
        <v/>
      </c>
      <c r="D4651" s="16" t="str">
        <f>IFERROR(VLOOKUP(C4651,DATA!#REF!,2,FALSE),"")</f>
        <v/>
      </c>
    </row>
    <row r="4652" spans="3:4" s="237" customFormat="1">
      <c r="C4652" s="16" t="str">
        <f>IFERROR(VLOOKUP(DATA!#REF!,DATA!#REF!,1,FALSE),"")</f>
        <v/>
      </c>
      <c r="D4652" s="16" t="str">
        <f>IFERROR(VLOOKUP(C4652,DATA!#REF!,2,FALSE),"")</f>
        <v/>
      </c>
    </row>
    <row r="4653" spans="3:4" s="237" customFormat="1">
      <c r="C4653" s="16" t="str">
        <f>IFERROR(VLOOKUP(DATA!#REF!,DATA!#REF!,1,FALSE),"")</f>
        <v/>
      </c>
      <c r="D4653" s="16" t="str">
        <f>IFERROR(VLOOKUP(C4653,DATA!#REF!,2,FALSE),"")</f>
        <v/>
      </c>
    </row>
    <row r="4654" spans="3:4" s="237" customFormat="1">
      <c r="C4654" s="16" t="str">
        <f>IFERROR(VLOOKUP(DATA!#REF!,DATA!#REF!,1,FALSE),"")</f>
        <v/>
      </c>
      <c r="D4654" s="16" t="str">
        <f>IFERROR(VLOOKUP(C4654,DATA!#REF!,2,FALSE),"")</f>
        <v/>
      </c>
    </row>
    <row r="4655" spans="3:4" s="237" customFormat="1">
      <c r="C4655" s="16" t="str">
        <f>IFERROR(VLOOKUP(DATA!#REF!,DATA!#REF!,1,FALSE),"")</f>
        <v/>
      </c>
      <c r="D4655" s="16" t="str">
        <f>IFERROR(VLOOKUP(C4655,DATA!#REF!,2,FALSE),"")</f>
        <v/>
      </c>
    </row>
    <row r="4656" spans="3:4" s="237" customFormat="1">
      <c r="C4656" s="16" t="str">
        <f>IFERROR(VLOOKUP(DATA!#REF!,DATA!#REF!,1,FALSE),"")</f>
        <v/>
      </c>
      <c r="D4656" s="16" t="str">
        <f>IFERROR(VLOOKUP(C4656,DATA!#REF!,2,FALSE),"")</f>
        <v/>
      </c>
    </row>
    <row r="4657" spans="3:4" s="237" customFormat="1">
      <c r="C4657" s="16" t="str">
        <f>IFERROR(VLOOKUP(DATA!#REF!,DATA!#REF!,1,FALSE),"")</f>
        <v/>
      </c>
      <c r="D4657" s="16" t="str">
        <f>IFERROR(VLOOKUP(C4657,DATA!#REF!,2,FALSE),"")</f>
        <v/>
      </c>
    </row>
    <row r="4658" spans="3:4" s="237" customFormat="1">
      <c r="C4658" s="16" t="str">
        <f>IFERROR(VLOOKUP(DATA!#REF!,DATA!#REF!,1,FALSE),"")</f>
        <v/>
      </c>
      <c r="D4658" s="16" t="str">
        <f>IFERROR(VLOOKUP(C4658,DATA!#REF!,2,FALSE),"")</f>
        <v/>
      </c>
    </row>
    <row r="4659" spans="3:4" s="237" customFormat="1">
      <c r="C4659" s="16" t="str">
        <f>IFERROR(VLOOKUP(DATA!#REF!,DATA!#REF!,1,FALSE),"")</f>
        <v/>
      </c>
      <c r="D4659" s="16" t="str">
        <f>IFERROR(VLOOKUP(C4659,DATA!#REF!,2,FALSE),"")</f>
        <v/>
      </c>
    </row>
    <row r="4660" spans="3:4" s="237" customFormat="1">
      <c r="C4660" s="16" t="str">
        <f>IFERROR(VLOOKUP(DATA!#REF!,DATA!#REF!,1,FALSE),"")</f>
        <v/>
      </c>
      <c r="D4660" s="16" t="str">
        <f>IFERROR(VLOOKUP(C4660,DATA!#REF!,2,FALSE),"")</f>
        <v/>
      </c>
    </row>
    <row r="4661" spans="3:4" s="237" customFormat="1">
      <c r="C4661" s="16" t="str">
        <f>IFERROR(VLOOKUP(DATA!#REF!,DATA!#REF!,1,FALSE),"")</f>
        <v/>
      </c>
      <c r="D4661" s="16" t="str">
        <f>IFERROR(VLOOKUP(C4661,DATA!#REF!,2,FALSE),"")</f>
        <v/>
      </c>
    </row>
    <row r="4662" spans="3:4" s="237" customFormat="1">
      <c r="C4662" s="16" t="str">
        <f>IFERROR(VLOOKUP(DATA!#REF!,DATA!#REF!,1,FALSE),"")</f>
        <v/>
      </c>
      <c r="D4662" s="16" t="str">
        <f>IFERROR(VLOOKUP(C4662,DATA!#REF!,2,FALSE),"")</f>
        <v/>
      </c>
    </row>
    <row r="4663" spans="3:4" s="237" customFormat="1">
      <c r="C4663" s="16" t="str">
        <f>IFERROR(VLOOKUP(DATA!#REF!,DATA!#REF!,1,FALSE),"")</f>
        <v/>
      </c>
      <c r="D4663" s="16" t="str">
        <f>IFERROR(VLOOKUP(C4663,DATA!#REF!,2,FALSE),"")</f>
        <v/>
      </c>
    </row>
    <row r="4664" spans="3:4" s="237" customFormat="1">
      <c r="C4664" s="16" t="str">
        <f>IFERROR(VLOOKUP(DATA!#REF!,DATA!#REF!,1,FALSE),"")</f>
        <v/>
      </c>
      <c r="D4664" s="16" t="str">
        <f>IFERROR(VLOOKUP(C4664,DATA!#REF!,2,FALSE),"")</f>
        <v/>
      </c>
    </row>
    <row r="4665" spans="3:4" s="237" customFormat="1">
      <c r="C4665" s="16" t="str">
        <f>IFERROR(VLOOKUP(DATA!#REF!,DATA!#REF!,1,FALSE),"")</f>
        <v/>
      </c>
      <c r="D4665" s="16" t="str">
        <f>IFERROR(VLOOKUP(C4665,DATA!#REF!,2,FALSE),"")</f>
        <v/>
      </c>
    </row>
    <row r="4666" spans="3:4" s="237" customFormat="1">
      <c r="C4666" s="16" t="str">
        <f>IFERROR(VLOOKUP(DATA!#REF!,DATA!#REF!,1,FALSE),"")</f>
        <v/>
      </c>
      <c r="D4666" s="16" t="str">
        <f>IFERROR(VLOOKUP(C4666,DATA!#REF!,2,FALSE),"")</f>
        <v/>
      </c>
    </row>
    <row r="4667" spans="3:4" s="237" customFormat="1">
      <c r="C4667" s="16" t="str">
        <f>IFERROR(VLOOKUP(DATA!#REF!,DATA!#REF!,1,FALSE),"")</f>
        <v/>
      </c>
      <c r="D4667" s="16" t="str">
        <f>IFERROR(VLOOKUP(C4667,DATA!#REF!,2,FALSE),"")</f>
        <v/>
      </c>
    </row>
    <row r="4668" spans="3:4" s="237" customFormat="1">
      <c r="C4668" s="16" t="str">
        <f>IFERROR(VLOOKUP(DATA!#REF!,DATA!#REF!,1,FALSE),"")</f>
        <v/>
      </c>
      <c r="D4668" s="16" t="str">
        <f>IFERROR(VLOOKUP(C4668,DATA!#REF!,2,FALSE),"")</f>
        <v/>
      </c>
    </row>
    <row r="4669" spans="3:4" s="237" customFormat="1">
      <c r="C4669" s="16" t="str">
        <f>IFERROR(VLOOKUP(DATA!#REF!,DATA!#REF!,1,FALSE),"")</f>
        <v/>
      </c>
      <c r="D4669" s="16" t="str">
        <f>IFERROR(VLOOKUP(C4669,DATA!#REF!,2,FALSE),"")</f>
        <v/>
      </c>
    </row>
    <row r="4670" spans="3:4" s="237" customFormat="1">
      <c r="C4670" s="16" t="str">
        <f>IFERROR(VLOOKUP(DATA!#REF!,DATA!#REF!,1,FALSE),"")</f>
        <v/>
      </c>
      <c r="D4670" s="16" t="str">
        <f>IFERROR(VLOOKUP(C4670,DATA!#REF!,2,FALSE),"")</f>
        <v/>
      </c>
    </row>
    <row r="4671" spans="3:4" s="237" customFormat="1">
      <c r="C4671" s="16" t="str">
        <f>IFERROR(VLOOKUP(DATA!#REF!,DATA!#REF!,1,FALSE),"")</f>
        <v/>
      </c>
      <c r="D4671" s="16" t="str">
        <f>IFERROR(VLOOKUP(C4671,DATA!#REF!,2,FALSE),"")</f>
        <v/>
      </c>
    </row>
    <row r="4672" spans="3:4" s="237" customFormat="1">
      <c r="C4672" s="16" t="str">
        <f>IFERROR(VLOOKUP(DATA!#REF!,DATA!#REF!,1,FALSE),"")</f>
        <v/>
      </c>
      <c r="D4672" s="16" t="str">
        <f>IFERROR(VLOOKUP(C4672,DATA!#REF!,2,FALSE),"")</f>
        <v/>
      </c>
    </row>
    <row r="4673" spans="3:4" s="237" customFormat="1">
      <c r="C4673" s="16" t="str">
        <f>IFERROR(VLOOKUP(DATA!#REF!,DATA!#REF!,1,FALSE),"")</f>
        <v/>
      </c>
      <c r="D4673" s="16" t="str">
        <f>IFERROR(VLOOKUP(C4673,DATA!#REF!,2,FALSE),"")</f>
        <v/>
      </c>
    </row>
    <row r="4674" spans="3:4" s="237" customFormat="1">
      <c r="C4674" s="16" t="str">
        <f>IFERROR(VLOOKUP(DATA!#REF!,DATA!#REF!,1,FALSE),"")</f>
        <v/>
      </c>
      <c r="D4674" s="16" t="str">
        <f>IFERROR(VLOOKUP(C4674,DATA!#REF!,2,FALSE),"")</f>
        <v/>
      </c>
    </row>
    <row r="4675" spans="3:4" s="237" customFormat="1">
      <c r="C4675" s="16" t="str">
        <f>IFERROR(VLOOKUP(DATA!#REF!,DATA!#REF!,1,FALSE),"")</f>
        <v/>
      </c>
      <c r="D4675" s="16" t="str">
        <f>IFERROR(VLOOKUP(C4675,DATA!#REF!,2,FALSE),"")</f>
        <v/>
      </c>
    </row>
    <row r="4676" spans="3:4" s="237" customFormat="1">
      <c r="C4676" s="16" t="str">
        <f>IFERROR(VLOOKUP(DATA!#REF!,DATA!#REF!,1,FALSE),"")</f>
        <v/>
      </c>
      <c r="D4676" s="16" t="str">
        <f>IFERROR(VLOOKUP(C4676,DATA!#REF!,2,FALSE),"")</f>
        <v/>
      </c>
    </row>
    <row r="4677" spans="3:4" s="237" customFormat="1">
      <c r="C4677" s="16" t="str">
        <f>IFERROR(VLOOKUP(DATA!#REF!,DATA!#REF!,1,FALSE),"")</f>
        <v/>
      </c>
      <c r="D4677" s="16" t="str">
        <f>IFERROR(VLOOKUP(C4677,DATA!#REF!,2,FALSE),"")</f>
        <v/>
      </c>
    </row>
    <row r="4678" spans="3:4" s="237" customFormat="1">
      <c r="C4678" s="16" t="str">
        <f>IFERROR(VLOOKUP(DATA!#REF!,DATA!#REF!,1,FALSE),"")</f>
        <v/>
      </c>
      <c r="D4678" s="16" t="str">
        <f>IFERROR(VLOOKUP(C4678,DATA!#REF!,2,FALSE),"")</f>
        <v/>
      </c>
    </row>
    <row r="4679" spans="3:4" s="237" customFormat="1">
      <c r="C4679" s="16" t="str">
        <f>IFERROR(VLOOKUP(DATA!#REF!,DATA!#REF!,1,FALSE),"")</f>
        <v/>
      </c>
      <c r="D4679" s="16" t="str">
        <f>IFERROR(VLOOKUP(C4679,DATA!#REF!,2,FALSE),"")</f>
        <v/>
      </c>
    </row>
    <row r="4680" spans="3:4" s="237" customFormat="1">
      <c r="C4680" s="16" t="str">
        <f>IFERROR(VLOOKUP(DATA!#REF!,DATA!#REF!,1,FALSE),"")</f>
        <v/>
      </c>
      <c r="D4680" s="16" t="str">
        <f>IFERROR(VLOOKUP(C4680,DATA!#REF!,2,FALSE),"")</f>
        <v/>
      </c>
    </row>
    <row r="4681" spans="3:4" s="237" customFormat="1">
      <c r="C4681" s="16" t="str">
        <f>IFERROR(VLOOKUP(DATA!#REF!,DATA!#REF!,1,FALSE),"")</f>
        <v/>
      </c>
      <c r="D4681" s="16" t="str">
        <f>IFERROR(VLOOKUP(C4681,DATA!#REF!,2,FALSE),"")</f>
        <v/>
      </c>
    </row>
    <row r="4682" spans="3:4" s="237" customFormat="1">
      <c r="C4682" s="16" t="str">
        <f>IFERROR(VLOOKUP(DATA!#REF!,DATA!#REF!,1,FALSE),"")</f>
        <v/>
      </c>
      <c r="D4682" s="16" t="str">
        <f>IFERROR(VLOOKUP(C4682,DATA!#REF!,2,FALSE),"")</f>
        <v/>
      </c>
    </row>
    <row r="4683" spans="3:4" s="237" customFormat="1">
      <c r="C4683" s="16" t="str">
        <f>IFERROR(VLOOKUP(DATA!#REF!,DATA!#REF!,1,FALSE),"")</f>
        <v/>
      </c>
      <c r="D4683" s="16" t="str">
        <f>IFERROR(VLOOKUP(C4683,DATA!#REF!,2,FALSE),"")</f>
        <v/>
      </c>
    </row>
    <row r="4684" spans="3:4" s="237" customFormat="1">
      <c r="C4684" s="16" t="str">
        <f>IFERROR(VLOOKUP(DATA!#REF!,DATA!#REF!,1,FALSE),"")</f>
        <v/>
      </c>
      <c r="D4684" s="16" t="str">
        <f>IFERROR(VLOOKUP(C4684,DATA!#REF!,2,FALSE),"")</f>
        <v/>
      </c>
    </row>
    <row r="4685" spans="3:4" s="237" customFormat="1">
      <c r="C4685" s="16" t="str">
        <f>IFERROR(VLOOKUP(DATA!#REF!,DATA!#REF!,1,FALSE),"")</f>
        <v/>
      </c>
      <c r="D4685" s="16" t="str">
        <f>IFERROR(VLOOKUP(C4685,DATA!#REF!,2,FALSE),"")</f>
        <v/>
      </c>
    </row>
    <row r="4686" spans="3:4" s="237" customFormat="1">
      <c r="C4686" s="16" t="str">
        <f>IFERROR(VLOOKUP(DATA!#REF!,DATA!#REF!,1,FALSE),"")</f>
        <v/>
      </c>
      <c r="D4686" s="16" t="str">
        <f>IFERROR(VLOOKUP(C4686,DATA!#REF!,2,FALSE),"")</f>
        <v/>
      </c>
    </row>
    <row r="4687" spans="3:4" s="237" customFormat="1">
      <c r="C4687" s="16" t="str">
        <f>IFERROR(VLOOKUP(DATA!#REF!,DATA!#REF!,1,FALSE),"")</f>
        <v/>
      </c>
      <c r="D4687" s="16" t="str">
        <f>IFERROR(VLOOKUP(C4687,DATA!#REF!,2,FALSE),"")</f>
        <v/>
      </c>
    </row>
    <row r="4688" spans="3:4" s="237" customFormat="1">
      <c r="C4688" s="16" t="str">
        <f>IFERROR(VLOOKUP(DATA!#REF!,DATA!#REF!,1,FALSE),"")</f>
        <v/>
      </c>
      <c r="D4688" s="16" t="str">
        <f>IFERROR(VLOOKUP(C4688,DATA!#REF!,2,FALSE),"")</f>
        <v/>
      </c>
    </row>
    <row r="4689" spans="3:4" s="237" customFormat="1">
      <c r="C4689" s="16" t="str">
        <f>IFERROR(VLOOKUP(DATA!#REF!,DATA!#REF!,1,FALSE),"")</f>
        <v/>
      </c>
      <c r="D4689" s="16" t="str">
        <f>IFERROR(VLOOKUP(C4689,DATA!#REF!,2,FALSE),"")</f>
        <v/>
      </c>
    </row>
    <row r="4690" spans="3:4" s="237" customFormat="1">
      <c r="C4690" s="16" t="str">
        <f>IFERROR(VLOOKUP(DATA!#REF!,DATA!#REF!,1,FALSE),"")</f>
        <v/>
      </c>
      <c r="D4690" s="16" t="str">
        <f>IFERROR(VLOOKUP(C4690,DATA!#REF!,2,FALSE),"")</f>
        <v/>
      </c>
    </row>
    <row r="4691" spans="3:4" s="237" customFormat="1">
      <c r="C4691" s="16" t="str">
        <f>IFERROR(VLOOKUP(DATA!#REF!,DATA!#REF!,1,FALSE),"")</f>
        <v/>
      </c>
      <c r="D4691" s="16" t="str">
        <f>IFERROR(VLOOKUP(C4691,DATA!#REF!,2,FALSE),"")</f>
        <v/>
      </c>
    </row>
    <row r="4692" spans="3:4" s="237" customFormat="1">
      <c r="C4692" s="16" t="str">
        <f>IFERROR(VLOOKUP(DATA!#REF!,DATA!#REF!,1,FALSE),"")</f>
        <v/>
      </c>
      <c r="D4692" s="16" t="str">
        <f>IFERROR(VLOOKUP(C4692,DATA!#REF!,2,FALSE),"")</f>
        <v/>
      </c>
    </row>
    <row r="4693" spans="3:4" s="237" customFormat="1">
      <c r="C4693" s="16" t="str">
        <f>IFERROR(VLOOKUP(DATA!#REF!,DATA!#REF!,1,FALSE),"")</f>
        <v/>
      </c>
      <c r="D4693" s="16" t="str">
        <f>IFERROR(VLOOKUP(C4693,DATA!#REF!,2,FALSE),"")</f>
        <v/>
      </c>
    </row>
    <row r="4694" spans="3:4" s="237" customFormat="1">
      <c r="C4694" s="16" t="str">
        <f>IFERROR(VLOOKUP(DATA!#REF!,DATA!#REF!,1,FALSE),"")</f>
        <v/>
      </c>
      <c r="D4694" s="16" t="str">
        <f>IFERROR(VLOOKUP(C4694,DATA!#REF!,2,FALSE),"")</f>
        <v/>
      </c>
    </row>
    <row r="4695" spans="3:4" s="237" customFormat="1">
      <c r="C4695" s="16" t="str">
        <f>IFERROR(VLOOKUP(DATA!#REF!,DATA!#REF!,1,FALSE),"")</f>
        <v/>
      </c>
      <c r="D4695" s="16" t="str">
        <f>IFERROR(VLOOKUP(C4695,DATA!#REF!,2,FALSE),"")</f>
        <v/>
      </c>
    </row>
    <row r="4696" spans="3:4" s="237" customFormat="1">
      <c r="C4696" s="16" t="str">
        <f>IFERROR(VLOOKUP(DATA!#REF!,DATA!#REF!,1,FALSE),"")</f>
        <v/>
      </c>
      <c r="D4696" s="16" t="str">
        <f>IFERROR(VLOOKUP(C4696,DATA!#REF!,2,FALSE),"")</f>
        <v/>
      </c>
    </row>
    <row r="4697" spans="3:4" s="237" customFormat="1">
      <c r="C4697" s="16" t="str">
        <f>IFERROR(VLOOKUP(DATA!#REF!,DATA!#REF!,1,FALSE),"")</f>
        <v/>
      </c>
      <c r="D4697" s="16" t="str">
        <f>IFERROR(VLOOKUP(C4697,DATA!#REF!,2,FALSE),"")</f>
        <v/>
      </c>
    </row>
    <row r="4698" spans="3:4" s="237" customFormat="1">
      <c r="C4698" s="16" t="str">
        <f>IFERROR(VLOOKUP(DATA!#REF!,DATA!#REF!,1,FALSE),"")</f>
        <v/>
      </c>
      <c r="D4698" s="16" t="str">
        <f>IFERROR(VLOOKUP(C4698,DATA!#REF!,2,FALSE),"")</f>
        <v/>
      </c>
    </row>
    <row r="4699" spans="3:4" s="237" customFormat="1">
      <c r="C4699" s="16" t="str">
        <f>IFERROR(VLOOKUP(DATA!#REF!,DATA!#REF!,1,FALSE),"")</f>
        <v/>
      </c>
      <c r="D4699" s="16" t="str">
        <f>IFERROR(VLOOKUP(C4699,DATA!#REF!,2,FALSE),"")</f>
        <v/>
      </c>
    </row>
    <row r="4700" spans="3:4" s="237" customFormat="1">
      <c r="C4700" s="16" t="str">
        <f>IFERROR(VLOOKUP(DATA!#REF!,DATA!#REF!,1,FALSE),"")</f>
        <v/>
      </c>
      <c r="D4700" s="16" t="str">
        <f>IFERROR(VLOOKUP(C4700,DATA!#REF!,2,FALSE),"")</f>
        <v/>
      </c>
    </row>
    <row r="4701" spans="3:4" s="237" customFormat="1">
      <c r="C4701" s="16" t="str">
        <f>IFERROR(VLOOKUP(DATA!#REF!,DATA!#REF!,1,FALSE),"")</f>
        <v/>
      </c>
      <c r="D4701" s="16" t="str">
        <f>IFERROR(VLOOKUP(C4701,DATA!#REF!,2,FALSE),"")</f>
        <v/>
      </c>
    </row>
    <row r="4702" spans="3:4" s="237" customFormat="1">
      <c r="C4702" s="16" t="str">
        <f>IFERROR(VLOOKUP(DATA!#REF!,DATA!#REF!,1,FALSE),"")</f>
        <v/>
      </c>
      <c r="D4702" s="16" t="str">
        <f>IFERROR(VLOOKUP(C4702,DATA!#REF!,2,FALSE),"")</f>
        <v/>
      </c>
    </row>
    <row r="4703" spans="3:4" s="237" customFormat="1">
      <c r="C4703" s="16" t="str">
        <f>IFERROR(VLOOKUP(DATA!#REF!,DATA!#REF!,1,FALSE),"")</f>
        <v/>
      </c>
      <c r="D4703" s="16" t="str">
        <f>IFERROR(VLOOKUP(C4703,DATA!#REF!,2,FALSE),"")</f>
        <v/>
      </c>
    </row>
    <row r="4704" spans="3:4" s="237" customFormat="1">
      <c r="C4704" s="16" t="str">
        <f>IFERROR(VLOOKUP(DATA!#REF!,DATA!#REF!,1,FALSE),"")</f>
        <v/>
      </c>
      <c r="D4704" s="16" t="str">
        <f>IFERROR(VLOOKUP(C4704,DATA!#REF!,2,FALSE),"")</f>
        <v/>
      </c>
    </row>
    <row r="4705" spans="3:4" s="237" customFormat="1">
      <c r="C4705" s="16" t="str">
        <f>IFERROR(VLOOKUP(DATA!#REF!,DATA!#REF!,1,FALSE),"")</f>
        <v/>
      </c>
      <c r="D4705" s="16" t="str">
        <f>IFERROR(VLOOKUP(C4705,DATA!#REF!,2,FALSE),"")</f>
        <v/>
      </c>
    </row>
    <row r="4706" spans="3:4" s="237" customFormat="1">
      <c r="C4706" s="16" t="str">
        <f>IFERROR(VLOOKUP(DATA!#REF!,DATA!#REF!,1,FALSE),"")</f>
        <v/>
      </c>
      <c r="D4706" s="16" t="str">
        <f>IFERROR(VLOOKUP(C4706,DATA!#REF!,2,FALSE),"")</f>
        <v/>
      </c>
    </row>
    <row r="4707" spans="3:4" s="237" customFormat="1">
      <c r="C4707" s="16" t="str">
        <f>IFERROR(VLOOKUP(DATA!#REF!,DATA!#REF!,1,FALSE),"")</f>
        <v/>
      </c>
      <c r="D4707" s="16" t="str">
        <f>IFERROR(VLOOKUP(C4707,DATA!#REF!,2,FALSE),"")</f>
        <v/>
      </c>
    </row>
    <row r="4708" spans="3:4" s="237" customFormat="1">
      <c r="C4708" s="16" t="str">
        <f>IFERROR(VLOOKUP(DATA!#REF!,DATA!#REF!,1,FALSE),"")</f>
        <v/>
      </c>
      <c r="D4708" s="16" t="str">
        <f>IFERROR(VLOOKUP(C4708,DATA!#REF!,2,FALSE),"")</f>
        <v/>
      </c>
    </row>
    <row r="4709" spans="3:4" s="237" customFormat="1">
      <c r="C4709" s="16" t="str">
        <f>IFERROR(VLOOKUP(DATA!#REF!,DATA!#REF!,1,FALSE),"")</f>
        <v/>
      </c>
      <c r="D4709" s="16" t="str">
        <f>IFERROR(VLOOKUP(C4709,DATA!#REF!,2,FALSE),"")</f>
        <v/>
      </c>
    </row>
    <row r="4710" spans="3:4" s="237" customFormat="1">
      <c r="C4710" s="16" t="str">
        <f>IFERROR(VLOOKUP(DATA!#REF!,DATA!#REF!,1,FALSE),"")</f>
        <v/>
      </c>
      <c r="D4710" s="16" t="str">
        <f>IFERROR(VLOOKUP(C4710,DATA!#REF!,2,FALSE),"")</f>
        <v/>
      </c>
    </row>
    <row r="4711" spans="3:4" s="237" customFormat="1">
      <c r="C4711" s="16" t="str">
        <f>IFERROR(VLOOKUP(DATA!#REF!,DATA!#REF!,1,FALSE),"")</f>
        <v/>
      </c>
      <c r="D4711" s="16" t="str">
        <f>IFERROR(VLOOKUP(C4711,DATA!#REF!,2,FALSE),"")</f>
        <v/>
      </c>
    </row>
    <row r="4712" spans="3:4" s="237" customFormat="1">
      <c r="C4712" s="16" t="str">
        <f>IFERROR(VLOOKUP(DATA!#REF!,DATA!#REF!,1,FALSE),"")</f>
        <v/>
      </c>
      <c r="D4712" s="16" t="str">
        <f>IFERROR(VLOOKUP(C4712,DATA!#REF!,2,FALSE),"")</f>
        <v/>
      </c>
    </row>
    <row r="4713" spans="3:4" s="237" customFormat="1">
      <c r="C4713" s="16" t="str">
        <f>IFERROR(VLOOKUP(DATA!#REF!,DATA!#REF!,1,FALSE),"")</f>
        <v/>
      </c>
      <c r="D4713" s="16" t="str">
        <f>IFERROR(VLOOKUP(C4713,DATA!#REF!,2,FALSE),"")</f>
        <v/>
      </c>
    </row>
    <row r="4714" spans="3:4" s="237" customFormat="1">
      <c r="C4714" s="16" t="str">
        <f>IFERROR(VLOOKUP(DATA!#REF!,DATA!#REF!,1,FALSE),"")</f>
        <v/>
      </c>
      <c r="D4714" s="16" t="str">
        <f>IFERROR(VLOOKUP(C4714,DATA!#REF!,2,FALSE),"")</f>
        <v/>
      </c>
    </row>
    <row r="4715" spans="3:4" s="237" customFormat="1">
      <c r="C4715" s="16" t="str">
        <f>IFERROR(VLOOKUP(DATA!#REF!,DATA!#REF!,1,FALSE),"")</f>
        <v/>
      </c>
      <c r="D4715" s="16" t="str">
        <f>IFERROR(VLOOKUP(C4715,DATA!#REF!,2,FALSE),"")</f>
        <v/>
      </c>
    </row>
    <row r="4716" spans="3:4" s="237" customFormat="1">
      <c r="C4716" s="16" t="str">
        <f>IFERROR(VLOOKUP(DATA!#REF!,DATA!#REF!,1,FALSE),"")</f>
        <v/>
      </c>
      <c r="D4716" s="16" t="str">
        <f>IFERROR(VLOOKUP(C4716,DATA!#REF!,2,FALSE),"")</f>
        <v/>
      </c>
    </row>
    <row r="4717" spans="3:4" s="237" customFormat="1">
      <c r="C4717" s="16" t="str">
        <f>IFERROR(VLOOKUP(DATA!#REF!,DATA!#REF!,1,FALSE),"")</f>
        <v/>
      </c>
      <c r="D4717" s="16" t="str">
        <f>IFERROR(VLOOKUP(C4717,DATA!#REF!,2,FALSE),"")</f>
        <v/>
      </c>
    </row>
    <row r="4718" spans="3:4" s="237" customFormat="1">
      <c r="C4718" s="16" t="str">
        <f>IFERROR(VLOOKUP(DATA!#REF!,DATA!#REF!,1,FALSE),"")</f>
        <v/>
      </c>
      <c r="D4718" s="16" t="str">
        <f>IFERROR(VLOOKUP(C4718,DATA!#REF!,2,FALSE),"")</f>
        <v/>
      </c>
    </row>
    <row r="4719" spans="3:4" s="237" customFormat="1">
      <c r="C4719" s="16" t="str">
        <f>IFERROR(VLOOKUP(DATA!#REF!,DATA!#REF!,1,FALSE),"")</f>
        <v/>
      </c>
      <c r="D4719" s="16" t="str">
        <f>IFERROR(VLOOKUP(C4719,DATA!#REF!,2,FALSE),"")</f>
        <v/>
      </c>
    </row>
    <row r="4720" spans="3:4" s="237" customFormat="1">
      <c r="C4720" s="16" t="str">
        <f>IFERROR(VLOOKUP(DATA!#REF!,DATA!#REF!,1,FALSE),"")</f>
        <v/>
      </c>
      <c r="D4720" s="16" t="str">
        <f>IFERROR(VLOOKUP(C4720,DATA!#REF!,2,FALSE),"")</f>
        <v/>
      </c>
    </row>
    <row r="4721" spans="3:4" s="237" customFormat="1">
      <c r="C4721" s="16" t="str">
        <f>IFERROR(VLOOKUP(DATA!#REF!,DATA!#REF!,1,FALSE),"")</f>
        <v/>
      </c>
      <c r="D4721" s="16" t="str">
        <f>IFERROR(VLOOKUP(C4721,DATA!#REF!,2,FALSE),"")</f>
        <v/>
      </c>
    </row>
    <row r="4722" spans="3:4" s="237" customFormat="1">
      <c r="C4722" s="16" t="str">
        <f>IFERROR(VLOOKUP(DATA!#REF!,DATA!#REF!,1,FALSE),"")</f>
        <v/>
      </c>
      <c r="D4722" s="16" t="str">
        <f>IFERROR(VLOOKUP(C4722,DATA!#REF!,2,FALSE),"")</f>
        <v/>
      </c>
    </row>
    <row r="4723" spans="3:4" s="237" customFormat="1">
      <c r="C4723" s="16" t="str">
        <f>IFERROR(VLOOKUP(DATA!#REF!,DATA!#REF!,1,FALSE),"")</f>
        <v/>
      </c>
      <c r="D4723" s="16" t="str">
        <f>IFERROR(VLOOKUP(C4723,DATA!#REF!,2,FALSE),"")</f>
        <v/>
      </c>
    </row>
    <row r="4724" spans="3:4" s="237" customFormat="1">
      <c r="C4724" s="16" t="str">
        <f>IFERROR(VLOOKUP(DATA!#REF!,DATA!#REF!,1,FALSE),"")</f>
        <v/>
      </c>
      <c r="D4724" s="16" t="str">
        <f>IFERROR(VLOOKUP(C4724,DATA!#REF!,2,FALSE),"")</f>
        <v/>
      </c>
    </row>
    <row r="4725" spans="3:4" s="237" customFormat="1">
      <c r="C4725" s="16" t="str">
        <f>IFERROR(VLOOKUP(DATA!#REF!,DATA!#REF!,1,FALSE),"")</f>
        <v/>
      </c>
      <c r="D4725" s="16" t="str">
        <f>IFERROR(VLOOKUP(C4725,DATA!#REF!,2,FALSE),"")</f>
        <v/>
      </c>
    </row>
    <row r="4726" spans="3:4" s="237" customFormat="1">
      <c r="C4726" s="16" t="str">
        <f>IFERROR(VLOOKUP(DATA!#REF!,DATA!#REF!,1,FALSE),"")</f>
        <v/>
      </c>
      <c r="D4726" s="16" t="str">
        <f>IFERROR(VLOOKUP(C4726,DATA!#REF!,2,FALSE),"")</f>
        <v/>
      </c>
    </row>
    <row r="4727" spans="3:4" s="237" customFormat="1">
      <c r="C4727" s="16" t="str">
        <f>IFERROR(VLOOKUP(DATA!#REF!,DATA!#REF!,1,FALSE),"")</f>
        <v/>
      </c>
      <c r="D4727" s="16" t="str">
        <f>IFERROR(VLOOKUP(C4727,DATA!#REF!,2,FALSE),"")</f>
        <v/>
      </c>
    </row>
    <row r="4728" spans="3:4" s="237" customFormat="1">
      <c r="C4728" s="16" t="str">
        <f>IFERROR(VLOOKUP(DATA!#REF!,DATA!#REF!,1,FALSE),"")</f>
        <v/>
      </c>
      <c r="D4728" s="16" t="str">
        <f>IFERROR(VLOOKUP(C4728,DATA!#REF!,2,FALSE),"")</f>
        <v/>
      </c>
    </row>
    <row r="4729" spans="3:4" s="237" customFormat="1">
      <c r="C4729" s="16" t="str">
        <f>IFERROR(VLOOKUP(DATA!#REF!,DATA!#REF!,1,FALSE),"")</f>
        <v/>
      </c>
      <c r="D4729" s="16" t="str">
        <f>IFERROR(VLOOKUP(C4729,DATA!#REF!,2,FALSE),"")</f>
        <v/>
      </c>
    </row>
    <row r="4730" spans="3:4" s="237" customFormat="1">
      <c r="C4730" s="16" t="str">
        <f>IFERROR(VLOOKUP(DATA!#REF!,DATA!#REF!,1,FALSE),"")</f>
        <v/>
      </c>
      <c r="D4730" s="16" t="str">
        <f>IFERROR(VLOOKUP(C4730,DATA!#REF!,2,FALSE),"")</f>
        <v/>
      </c>
    </row>
    <row r="4731" spans="3:4" s="237" customFormat="1">
      <c r="C4731" s="16" t="str">
        <f>IFERROR(VLOOKUP(DATA!#REF!,DATA!#REF!,1,FALSE),"")</f>
        <v/>
      </c>
      <c r="D4731" s="16" t="str">
        <f>IFERROR(VLOOKUP(C4731,DATA!#REF!,2,FALSE),"")</f>
        <v/>
      </c>
    </row>
    <row r="4732" spans="3:4" s="237" customFormat="1">
      <c r="C4732" s="16" t="str">
        <f>IFERROR(VLOOKUP(DATA!#REF!,DATA!#REF!,1,FALSE),"")</f>
        <v/>
      </c>
      <c r="D4732" s="16" t="str">
        <f>IFERROR(VLOOKUP(C4732,DATA!#REF!,2,FALSE),"")</f>
        <v/>
      </c>
    </row>
    <row r="4733" spans="3:4" s="237" customFormat="1">
      <c r="C4733" s="16" t="str">
        <f>IFERROR(VLOOKUP(DATA!#REF!,DATA!#REF!,1,FALSE),"")</f>
        <v/>
      </c>
      <c r="D4733" s="16" t="str">
        <f>IFERROR(VLOOKUP(C4733,DATA!#REF!,2,FALSE),"")</f>
        <v/>
      </c>
    </row>
    <row r="4734" spans="3:4" s="237" customFormat="1">
      <c r="C4734" s="16" t="str">
        <f>IFERROR(VLOOKUP(DATA!#REF!,DATA!#REF!,1,FALSE),"")</f>
        <v/>
      </c>
      <c r="D4734" s="16" t="str">
        <f>IFERROR(VLOOKUP(C4734,DATA!#REF!,2,FALSE),"")</f>
        <v/>
      </c>
    </row>
    <row r="4735" spans="3:4" s="237" customFormat="1">
      <c r="C4735" s="16" t="str">
        <f>IFERROR(VLOOKUP(DATA!#REF!,DATA!#REF!,1,FALSE),"")</f>
        <v/>
      </c>
      <c r="D4735" s="16" t="str">
        <f>IFERROR(VLOOKUP(C4735,DATA!#REF!,2,FALSE),"")</f>
        <v/>
      </c>
    </row>
    <row r="4736" spans="3:4" s="237" customFormat="1">
      <c r="C4736" s="16" t="str">
        <f>IFERROR(VLOOKUP(DATA!#REF!,DATA!#REF!,1,FALSE),"")</f>
        <v/>
      </c>
      <c r="D4736" s="16" t="str">
        <f>IFERROR(VLOOKUP(C4736,DATA!#REF!,2,FALSE),"")</f>
        <v/>
      </c>
    </row>
    <row r="4737" spans="3:4" s="237" customFormat="1">
      <c r="C4737" s="16" t="str">
        <f>IFERROR(VLOOKUP(DATA!#REF!,DATA!#REF!,1,FALSE),"")</f>
        <v/>
      </c>
      <c r="D4737" s="16" t="str">
        <f>IFERROR(VLOOKUP(C4737,DATA!#REF!,2,FALSE),"")</f>
        <v/>
      </c>
    </row>
    <row r="4738" spans="3:4" s="237" customFormat="1">
      <c r="C4738" s="16" t="str">
        <f>IFERROR(VLOOKUP(DATA!#REF!,DATA!#REF!,1,FALSE),"")</f>
        <v/>
      </c>
      <c r="D4738" s="16" t="str">
        <f>IFERROR(VLOOKUP(C4738,DATA!#REF!,2,FALSE),"")</f>
        <v/>
      </c>
    </row>
    <row r="4739" spans="3:4" s="237" customFormat="1">
      <c r="C4739" s="16" t="str">
        <f>IFERROR(VLOOKUP(DATA!#REF!,DATA!#REF!,1,FALSE),"")</f>
        <v/>
      </c>
      <c r="D4739" s="16" t="str">
        <f>IFERROR(VLOOKUP(C4739,DATA!#REF!,2,FALSE),"")</f>
        <v/>
      </c>
    </row>
    <row r="4740" spans="3:4" s="237" customFormat="1">
      <c r="C4740" s="16" t="str">
        <f>IFERROR(VLOOKUP(DATA!#REF!,DATA!#REF!,1,FALSE),"")</f>
        <v/>
      </c>
      <c r="D4740" s="16" t="str">
        <f>IFERROR(VLOOKUP(C4740,DATA!#REF!,2,FALSE),"")</f>
        <v/>
      </c>
    </row>
    <row r="4741" spans="3:4" s="237" customFormat="1">
      <c r="C4741" s="16" t="str">
        <f>IFERROR(VLOOKUP(DATA!#REF!,DATA!#REF!,1,FALSE),"")</f>
        <v/>
      </c>
      <c r="D4741" s="16" t="str">
        <f>IFERROR(VLOOKUP(C4741,DATA!#REF!,2,FALSE),"")</f>
        <v/>
      </c>
    </row>
    <row r="4742" spans="3:4" s="237" customFormat="1">
      <c r="C4742" s="16" t="str">
        <f>IFERROR(VLOOKUP(DATA!#REF!,DATA!#REF!,1,FALSE),"")</f>
        <v/>
      </c>
      <c r="D4742" s="16" t="str">
        <f>IFERROR(VLOOKUP(C4742,DATA!#REF!,2,FALSE),"")</f>
        <v/>
      </c>
    </row>
    <row r="4743" spans="3:4" s="237" customFormat="1">
      <c r="C4743" s="16" t="str">
        <f>IFERROR(VLOOKUP(DATA!#REF!,DATA!#REF!,1,FALSE),"")</f>
        <v/>
      </c>
      <c r="D4743" s="16" t="str">
        <f>IFERROR(VLOOKUP(C4743,DATA!#REF!,2,FALSE),"")</f>
        <v/>
      </c>
    </row>
    <row r="4744" spans="3:4" s="237" customFormat="1">
      <c r="C4744" s="16" t="str">
        <f>IFERROR(VLOOKUP(DATA!#REF!,DATA!#REF!,1,FALSE),"")</f>
        <v/>
      </c>
      <c r="D4744" s="16" t="str">
        <f>IFERROR(VLOOKUP(C4744,DATA!#REF!,2,FALSE),"")</f>
        <v/>
      </c>
    </row>
    <row r="4745" spans="3:4" s="237" customFormat="1">
      <c r="C4745" s="16" t="str">
        <f>IFERROR(VLOOKUP(DATA!#REF!,DATA!#REF!,1,FALSE),"")</f>
        <v/>
      </c>
      <c r="D4745" s="16" t="str">
        <f>IFERROR(VLOOKUP(C4745,DATA!#REF!,2,FALSE),"")</f>
        <v/>
      </c>
    </row>
    <row r="4746" spans="3:4" s="237" customFormat="1">
      <c r="C4746" s="16" t="str">
        <f>IFERROR(VLOOKUP(DATA!#REF!,DATA!#REF!,1,FALSE),"")</f>
        <v/>
      </c>
      <c r="D4746" s="16" t="str">
        <f>IFERROR(VLOOKUP(C4746,DATA!#REF!,2,FALSE),"")</f>
        <v/>
      </c>
    </row>
    <row r="4747" spans="3:4" s="237" customFormat="1">
      <c r="C4747" s="16" t="str">
        <f>IFERROR(VLOOKUP(DATA!#REF!,DATA!#REF!,1,FALSE),"")</f>
        <v/>
      </c>
      <c r="D4747" s="16" t="str">
        <f>IFERROR(VLOOKUP(C4747,DATA!#REF!,2,FALSE),"")</f>
        <v/>
      </c>
    </row>
    <row r="4748" spans="3:4" s="237" customFormat="1">
      <c r="C4748" s="16" t="str">
        <f>IFERROR(VLOOKUP(DATA!#REF!,DATA!#REF!,1,FALSE),"")</f>
        <v/>
      </c>
      <c r="D4748" s="16" t="str">
        <f>IFERROR(VLOOKUP(C4748,DATA!#REF!,2,FALSE),"")</f>
        <v/>
      </c>
    </row>
    <row r="4749" spans="3:4" s="237" customFormat="1">
      <c r="C4749" s="16" t="str">
        <f>IFERROR(VLOOKUP(DATA!#REF!,DATA!#REF!,1,FALSE),"")</f>
        <v/>
      </c>
      <c r="D4749" s="16" t="str">
        <f>IFERROR(VLOOKUP(C4749,DATA!#REF!,2,FALSE),"")</f>
        <v/>
      </c>
    </row>
    <row r="4750" spans="3:4" s="237" customFormat="1">
      <c r="C4750" s="16" t="str">
        <f>IFERROR(VLOOKUP(DATA!#REF!,DATA!#REF!,1,FALSE),"")</f>
        <v/>
      </c>
      <c r="D4750" s="16" t="str">
        <f>IFERROR(VLOOKUP(C4750,DATA!#REF!,2,FALSE),"")</f>
        <v/>
      </c>
    </row>
    <row r="4751" spans="3:4" s="237" customFormat="1">
      <c r="C4751" s="16" t="str">
        <f>IFERROR(VLOOKUP(DATA!#REF!,DATA!#REF!,1,FALSE),"")</f>
        <v/>
      </c>
      <c r="D4751" s="16" t="str">
        <f>IFERROR(VLOOKUP(C4751,DATA!#REF!,2,FALSE),"")</f>
        <v/>
      </c>
    </row>
    <row r="4752" spans="3:4" s="237" customFormat="1">
      <c r="C4752" s="16" t="str">
        <f>IFERROR(VLOOKUP(DATA!#REF!,DATA!#REF!,1,FALSE),"")</f>
        <v/>
      </c>
      <c r="D4752" s="16" t="str">
        <f>IFERROR(VLOOKUP(C4752,DATA!#REF!,2,FALSE),"")</f>
        <v/>
      </c>
    </row>
    <row r="4753" spans="3:4" s="237" customFormat="1">
      <c r="C4753" s="16" t="str">
        <f>IFERROR(VLOOKUP(DATA!#REF!,DATA!#REF!,1,FALSE),"")</f>
        <v/>
      </c>
      <c r="D4753" s="16" t="str">
        <f>IFERROR(VLOOKUP(C4753,DATA!#REF!,2,FALSE),"")</f>
        <v/>
      </c>
    </row>
    <row r="4754" spans="3:4" s="237" customFormat="1">
      <c r="C4754" s="16" t="str">
        <f>IFERROR(VLOOKUP(DATA!#REF!,DATA!#REF!,1,FALSE),"")</f>
        <v/>
      </c>
      <c r="D4754" s="16" t="str">
        <f>IFERROR(VLOOKUP(C4754,DATA!#REF!,2,FALSE),"")</f>
        <v/>
      </c>
    </row>
    <row r="4755" spans="3:4" s="237" customFormat="1">
      <c r="C4755" s="16" t="str">
        <f>IFERROR(VLOOKUP(DATA!#REF!,DATA!#REF!,1,FALSE),"")</f>
        <v/>
      </c>
      <c r="D4755" s="16" t="str">
        <f>IFERROR(VLOOKUP(C4755,DATA!#REF!,2,FALSE),"")</f>
        <v/>
      </c>
    </row>
    <row r="4756" spans="3:4" s="237" customFormat="1">
      <c r="C4756" s="16" t="str">
        <f>IFERROR(VLOOKUP(DATA!#REF!,DATA!#REF!,1,FALSE),"")</f>
        <v/>
      </c>
      <c r="D4756" s="16" t="str">
        <f>IFERROR(VLOOKUP(C4756,DATA!#REF!,2,FALSE),"")</f>
        <v/>
      </c>
    </row>
    <row r="4757" spans="3:4" s="237" customFormat="1">
      <c r="C4757" s="16" t="str">
        <f>IFERROR(VLOOKUP(DATA!#REF!,DATA!#REF!,1,FALSE),"")</f>
        <v/>
      </c>
      <c r="D4757" s="16" t="str">
        <f>IFERROR(VLOOKUP(C4757,DATA!#REF!,2,FALSE),"")</f>
        <v/>
      </c>
    </row>
    <row r="4758" spans="3:4" s="237" customFormat="1">
      <c r="C4758" s="16" t="str">
        <f>IFERROR(VLOOKUP(DATA!#REF!,DATA!#REF!,1,FALSE),"")</f>
        <v/>
      </c>
      <c r="D4758" s="16" t="str">
        <f>IFERROR(VLOOKUP(C4758,DATA!#REF!,2,FALSE),"")</f>
        <v/>
      </c>
    </row>
    <row r="4759" spans="3:4" s="237" customFormat="1">
      <c r="C4759" s="16" t="str">
        <f>IFERROR(VLOOKUP(DATA!#REF!,DATA!#REF!,1,FALSE),"")</f>
        <v/>
      </c>
      <c r="D4759" s="16" t="str">
        <f>IFERROR(VLOOKUP(C4759,DATA!#REF!,2,FALSE),"")</f>
        <v/>
      </c>
    </row>
    <row r="4760" spans="3:4" s="237" customFormat="1">
      <c r="C4760" s="16" t="str">
        <f>IFERROR(VLOOKUP(DATA!#REF!,DATA!#REF!,1,FALSE),"")</f>
        <v/>
      </c>
      <c r="D4760" s="16" t="str">
        <f>IFERROR(VLOOKUP(C4760,DATA!#REF!,2,FALSE),"")</f>
        <v/>
      </c>
    </row>
    <row r="4761" spans="3:4" s="237" customFormat="1">
      <c r="C4761" s="16" t="str">
        <f>IFERROR(VLOOKUP(DATA!#REF!,DATA!#REF!,1,FALSE),"")</f>
        <v/>
      </c>
      <c r="D4761" s="16" t="str">
        <f>IFERROR(VLOOKUP(C4761,DATA!#REF!,2,FALSE),"")</f>
        <v/>
      </c>
    </row>
    <row r="4762" spans="3:4" s="237" customFormat="1">
      <c r="C4762" s="16" t="str">
        <f>IFERROR(VLOOKUP(DATA!#REF!,DATA!#REF!,1,FALSE),"")</f>
        <v/>
      </c>
      <c r="D4762" s="16" t="str">
        <f>IFERROR(VLOOKUP(C4762,DATA!#REF!,2,FALSE),"")</f>
        <v/>
      </c>
    </row>
    <row r="4763" spans="3:4" s="237" customFormat="1">
      <c r="C4763" s="16" t="str">
        <f>IFERROR(VLOOKUP(DATA!#REF!,DATA!#REF!,1,FALSE),"")</f>
        <v/>
      </c>
      <c r="D4763" s="16" t="str">
        <f>IFERROR(VLOOKUP(C4763,DATA!#REF!,2,FALSE),"")</f>
        <v/>
      </c>
    </row>
    <row r="4764" spans="3:4" s="237" customFormat="1">
      <c r="C4764" s="16" t="str">
        <f>IFERROR(VLOOKUP(DATA!#REF!,DATA!#REF!,1,FALSE),"")</f>
        <v/>
      </c>
      <c r="D4764" s="16" t="str">
        <f>IFERROR(VLOOKUP(C4764,DATA!#REF!,2,FALSE),"")</f>
        <v/>
      </c>
    </row>
    <row r="4765" spans="3:4" s="237" customFormat="1">
      <c r="C4765" s="16" t="str">
        <f>IFERROR(VLOOKUP(DATA!#REF!,DATA!#REF!,1,FALSE),"")</f>
        <v/>
      </c>
      <c r="D4765" s="16" t="str">
        <f>IFERROR(VLOOKUP(C4765,DATA!#REF!,2,FALSE),"")</f>
        <v/>
      </c>
    </row>
    <row r="4766" spans="3:4" s="237" customFormat="1">
      <c r="C4766" s="16" t="str">
        <f>IFERROR(VLOOKUP(DATA!#REF!,DATA!#REF!,1,FALSE),"")</f>
        <v/>
      </c>
      <c r="D4766" s="16" t="str">
        <f>IFERROR(VLOOKUP(C4766,DATA!#REF!,2,FALSE),"")</f>
        <v/>
      </c>
    </row>
    <row r="4767" spans="3:4" s="237" customFormat="1">
      <c r="C4767" s="16" t="str">
        <f>IFERROR(VLOOKUP(DATA!#REF!,DATA!#REF!,1,FALSE),"")</f>
        <v/>
      </c>
      <c r="D4767" s="16" t="str">
        <f>IFERROR(VLOOKUP(C4767,DATA!#REF!,2,FALSE),"")</f>
        <v/>
      </c>
    </row>
    <row r="4768" spans="3:4" s="237" customFormat="1">
      <c r="C4768" s="16" t="str">
        <f>IFERROR(VLOOKUP(DATA!#REF!,DATA!#REF!,1,FALSE),"")</f>
        <v/>
      </c>
      <c r="D4768" s="16" t="str">
        <f>IFERROR(VLOOKUP(C4768,DATA!#REF!,2,FALSE),"")</f>
        <v/>
      </c>
    </row>
    <row r="4769" spans="3:4" s="237" customFormat="1">
      <c r="C4769" s="16" t="str">
        <f>IFERROR(VLOOKUP(DATA!#REF!,DATA!#REF!,1,FALSE),"")</f>
        <v/>
      </c>
      <c r="D4769" s="16" t="str">
        <f>IFERROR(VLOOKUP(C4769,DATA!#REF!,2,FALSE),"")</f>
        <v/>
      </c>
    </row>
    <row r="4770" spans="3:4" s="237" customFormat="1">
      <c r="C4770" s="16" t="str">
        <f>IFERROR(VLOOKUP(DATA!#REF!,DATA!#REF!,1,FALSE),"")</f>
        <v/>
      </c>
      <c r="D4770" s="16" t="str">
        <f>IFERROR(VLOOKUP(C4770,DATA!#REF!,2,FALSE),"")</f>
        <v/>
      </c>
    </row>
    <row r="4771" spans="3:4" s="237" customFormat="1">
      <c r="C4771" s="16" t="str">
        <f>IFERROR(VLOOKUP(DATA!#REF!,DATA!#REF!,1,FALSE),"")</f>
        <v/>
      </c>
      <c r="D4771" s="16" t="str">
        <f>IFERROR(VLOOKUP(C4771,DATA!#REF!,2,FALSE),"")</f>
        <v/>
      </c>
    </row>
    <row r="4772" spans="3:4" s="237" customFormat="1">
      <c r="C4772" s="16" t="str">
        <f>IFERROR(VLOOKUP(DATA!#REF!,DATA!#REF!,1,FALSE),"")</f>
        <v/>
      </c>
      <c r="D4772" s="16" t="str">
        <f>IFERROR(VLOOKUP(C4772,DATA!#REF!,2,FALSE),"")</f>
        <v/>
      </c>
    </row>
    <row r="4773" spans="3:4" s="237" customFormat="1">
      <c r="C4773" s="16" t="str">
        <f>IFERROR(VLOOKUP(DATA!#REF!,DATA!#REF!,1,FALSE),"")</f>
        <v/>
      </c>
      <c r="D4773" s="16" t="str">
        <f>IFERROR(VLOOKUP(C4773,DATA!#REF!,2,FALSE),"")</f>
        <v/>
      </c>
    </row>
    <row r="4774" spans="3:4" s="237" customFormat="1">
      <c r="C4774" s="16" t="str">
        <f>IFERROR(VLOOKUP(DATA!#REF!,DATA!#REF!,1,FALSE),"")</f>
        <v/>
      </c>
      <c r="D4774" s="16" t="str">
        <f>IFERROR(VLOOKUP(C4774,DATA!#REF!,2,FALSE),"")</f>
        <v/>
      </c>
    </row>
    <row r="4775" spans="3:4" s="237" customFormat="1">
      <c r="C4775" s="16" t="str">
        <f>IFERROR(VLOOKUP(DATA!#REF!,DATA!#REF!,1,FALSE),"")</f>
        <v/>
      </c>
      <c r="D4775" s="16" t="str">
        <f>IFERROR(VLOOKUP(C4775,DATA!#REF!,2,FALSE),"")</f>
        <v/>
      </c>
    </row>
    <row r="4776" spans="3:4" s="237" customFormat="1">
      <c r="C4776" s="16" t="str">
        <f>IFERROR(VLOOKUP(DATA!#REF!,DATA!#REF!,1,FALSE),"")</f>
        <v/>
      </c>
      <c r="D4776" s="16" t="str">
        <f>IFERROR(VLOOKUP(C4776,DATA!#REF!,2,FALSE),"")</f>
        <v/>
      </c>
    </row>
    <row r="4777" spans="3:4" s="237" customFormat="1">
      <c r="C4777" s="16" t="str">
        <f>IFERROR(VLOOKUP(DATA!#REF!,DATA!#REF!,1,FALSE),"")</f>
        <v/>
      </c>
      <c r="D4777" s="16" t="str">
        <f>IFERROR(VLOOKUP(C4777,DATA!#REF!,2,FALSE),"")</f>
        <v/>
      </c>
    </row>
    <row r="4778" spans="3:4" s="237" customFormat="1">
      <c r="C4778" s="16" t="str">
        <f>IFERROR(VLOOKUP(DATA!#REF!,DATA!#REF!,1,FALSE),"")</f>
        <v/>
      </c>
      <c r="D4778" s="16" t="str">
        <f>IFERROR(VLOOKUP(C4778,DATA!#REF!,2,FALSE),"")</f>
        <v/>
      </c>
    </row>
    <row r="4779" spans="3:4" s="237" customFormat="1">
      <c r="C4779" s="16" t="str">
        <f>IFERROR(VLOOKUP(DATA!#REF!,DATA!#REF!,1,FALSE),"")</f>
        <v/>
      </c>
      <c r="D4779" s="16" t="str">
        <f>IFERROR(VLOOKUP(C4779,DATA!#REF!,2,FALSE),"")</f>
        <v/>
      </c>
    </row>
    <row r="4780" spans="3:4" s="237" customFormat="1">
      <c r="C4780" s="16" t="str">
        <f>IFERROR(VLOOKUP(DATA!#REF!,DATA!#REF!,1,FALSE),"")</f>
        <v/>
      </c>
      <c r="D4780" s="16" t="str">
        <f>IFERROR(VLOOKUP(C4780,DATA!#REF!,2,FALSE),"")</f>
        <v/>
      </c>
    </row>
    <row r="4781" spans="3:4" s="237" customFormat="1">
      <c r="C4781" s="16" t="str">
        <f>IFERROR(VLOOKUP(DATA!#REF!,DATA!#REF!,1,FALSE),"")</f>
        <v/>
      </c>
      <c r="D4781" s="16" t="str">
        <f>IFERROR(VLOOKUP(C4781,DATA!#REF!,2,FALSE),"")</f>
        <v/>
      </c>
    </row>
    <row r="4782" spans="3:4" s="237" customFormat="1">
      <c r="C4782" s="16" t="str">
        <f>IFERROR(VLOOKUP(DATA!#REF!,DATA!#REF!,1,FALSE),"")</f>
        <v/>
      </c>
      <c r="D4782" s="16" t="str">
        <f>IFERROR(VLOOKUP(C4782,DATA!#REF!,2,FALSE),"")</f>
        <v/>
      </c>
    </row>
    <row r="4783" spans="3:4" s="237" customFormat="1">
      <c r="C4783" s="16" t="str">
        <f>IFERROR(VLOOKUP(DATA!#REF!,DATA!#REF!,1,FALSE),"")</f>
        <v/>
      </c>
      <c r="D4783" s="16" t="str">
        <f>IFERROR(VLOOKUP(C4783,DATA!#REF!,2,FALSE),"")</f>
        <v/>
      </c>
    </row>
    <row r="4784" spans="3:4" s="237" customFormat="1">
      <c r="C4784" s="16" t="str">
        <f>IFERROR(VLOOKUP(DATA!#REF!,DATA!#REF!,1,FALSE),"")</f>
        <v/>
      </c>
      <c r="D4784" s="16" t="str">
        <f>IFERROR(VLOOKUP(C4784,DATA!#REF!,2,FALSE),"")</f>
        <v/>
      </c>
    </row>
    <row r="4785" spans="3:4" s="237" customFormat="1">
      <c r="C4785" s="16" t="str">
        <f>IFERROR(VLOOKUP(DATA!#REF!,DATA!#REF!,1,FALSE),"")</f>
        <v/>
      </c>
      <c r="D4785" s="16" t="str">
        <f>IFERROR(VLOOKUP(C4785,DATA!#REF!,2,FALSE),"")</f>
        <v/>
      </c>
    </row>
    <row r="4786" spans="3:4" s="237" customFormat="1">
      <c r="C4786" s="16" t="str">
        <f>IFERROR(VLOOKUP(DATA!#REF!,DATA!#REF!,1,FALSE),"")</f>
        <v/>
      </c>
      <c r="D4786" s="16" t="str">
        <f>IFERROR(VLOOKUP(C4786,DATA!#REF!,2,FALSE),"")</f>
        <v/>
      </c>
    </row>
    <row r="4787" spans="3:4" s="237" customFormat="1">
      <c r="C4787" s="16" t="str">
        <f>IFERROR(VLOOKUP(DATA!#REF!,DATA!#REF!,1,FALSE),"")</f>
        <v/>
      </c>
      <c r="D4787" s="16" t="str">
        <f>IFERROR(VLOOKUP(C4787,DATA!#REF!,2,FALSE),"")</f>
        <v/>
      </c>
    </row>
    <row r="4788" spans="3:4" s="237" customFormat="1">
      <c r="C4788" s="16" t="str">
        <f>IFERROR(VLOOKUP(DATA!#REF!,DATA!#REF!,1,FALSE),"")</f>
        <v/>
      </c>
      <c r="D4788" s="16" t="str">
        <f>IFERROR(VLOOKUP(C4788,DATA!#REF!,2,FALSE),"")</f>
        <v/>
      </c>
    </row>
    <row r="4789" spans="3:4" s="237" customFormat="1">
      <c r="C4789" s="16" t="str">
        <f>IFERROR(VLOOKUP(DATA!#REF!,DATA!#REF!,1,FALSE),"")</f>
        <v/>
      </c>
      <c r="D4789" s="16" t="str">
        <f>IFERROR(VLOOKUP(C4789,DATA!#REF!,2,FALSE),"")</f>
        <v/>
      </c>
    </row>
    <row r="4790" spans="3:4" s="237" customFormat="1">
      <c r="C4790" s="16" t="str">
        <f>IFERROR(VLOOKUP(DATA!#REF!,DATA!#REF!,1,FALSE),"")</f>
        <v/>
      </c>
      <c r="D4790" s="16" t="str">
        <f>IFERROR(VLOOKUP(C4790,DATA!#REF!,2,FALSE),"")</f>
        <v/>
      </c>
    </row>
    <row r="4791" spans="3:4" s="237" customFormat="1">
      <c r="C4791" s="16" t="str">
        <f>IFERROR(VLOOKUP(DATA!#REF!,DATA!#REF!,1,FALSE),"")</f>
        <v/>
      </c>
      <c r="D4791" s="16" t="str">
        <f>IFERROR(VLOOKUP(C4791,DATA!#REF!,2,FALSE),"")</f>
        <v/>
      </c>
    </row>
    <row r="4792" spans="3:4" s="237" customFormat="1">
      <c r="C4792" s="16" t="str">
        <f>IFERROR(VLOOKUP(DATA!#REF!,DATA!#REF!,1,FALSE),"")</f>
        <v/>
      </c>
      <c r="D4792" s="16" t="str">
        <f>IFERROR(VLOOKUP(C4792,DATA!#REF!,2,FALSE),"")</f>
        <v/>
      </c>
    </row>
    <row r="4793" spans="3:4" s="237" customFormat="1">
      <c r="C4793" s="16" t="str">
        <f>IFERROR(VLOOKUP(DATA!#REF!,DATA!#REF!,1,FALSE),"")</f>
        <v/>
      </c>
      <c r="D4793" s="16" t="str">
        <f>IFERROR(VLOOKUP(C4793,DATA!#REF!,2,FALSE),"")</f>
        <v/>
      </c>
    </row>
    <row r="4794" spans="3:4" s="237" customFormat="1">
      <c r="C4794" s="16" t="str">
        <f>IFERROR(VLOOKUP(DATA!#REF!,DATA!#REF!,1,FALSE),"")</f>
        <v/>
      </c>
      <c r="D4794" s="16" t="str">
        <f>IFERROR(VLOOKUP(C4794,DATA!#REF!,2,FALSE),"")</f>
        <v/>
      </c>
    </row>
    <row r="4795" spans="3:4" s="237" customFormat="1">
      <c r="C4795" s="16" t="str">
        <f>IFERROR(VLOOKUP(DATA!#REF!,DATA!#REF!,1,FALSE),"")</f>
        <v/>
      </c>
      <c r="D4795" s="16" t="str">
        <f>IFERROR(VLOOKUP(C4795,DATA!#REF!,2,FALSE),"")</f>
        <v/>
      </c>
    </row>
    <row r="4796" spans="3:4" s="237" customFormat="1">
      <c r="C4796" s="16" t="str">
        <f>IFERROR(VLOOKUP(DATA!#REF!,DATA!#REF!,1,FALSE),"")</f>
        <v/>
      </c>
      <c r="D4796" s="16" t="str">
        <f>IFERROR(VLOOKUP(C4796,DATA!#REF!,2,FALSE),"")</f>
        <v/>
      </c>
    </row>
    <row r="4797" spans="3:4" s="237" customFormat="1">
      <c r="C4797" s="16" t="str">
        <f>IFERROR(VLOOKUP(DATA!#REF!,DATA!#REF!,1,FALSE),"")</f>
        <v/>
      </c>
      <c r="D4797" s="16" t="str">
        <f>IFERROR(VLOOKUP(C4797,DATA!#REF!,2,FALSE),"")</f>
        <v/>
      </c>
    </row>
    <row r="4798" spans="3:4" s="237" customFormat="1">
      <c r="C4798" s="16" t="str">
        <f>IFERROR(VLOOKUP(DATA!#REF!,DATA!#REF!,1,FALSE),"")</f>
        <v/>
      </c>
      <c r="D4798" s="16" t="str">
        <f>IFERROR(VLOOKUP(C4798,DATA!#REF!,2,FALSE),"")</f>
        <v/>
      </c>
    </row>
    <row r="4799" spans="3:4" s="237" customFormat="1">
      <c r="C4799" s="16" t="str">
        <f>IFERROR(VLOOKUP(DATA!#REF!,DATA!#REF!,1,FALSE),"")</f>
        <v/>
      </c>
      <c r="D4799" s="16" t="str">
        <f>IFERROR(VLOOKUP(C4799,DATA!#REF!,2,FALSE),"")</f>
        <v/>
      </c>
    </row>
    <row r="4800" spans="3:4" s="237" customFormat="1">
      <c r="C4800" s="16" t="str">
        <f>IFERROR(VLOOKUP(DATA!#REF!,DATA!#REF!,1,FALSE),"")</f>
        <v/>
      </c>
      <c r="D4800" s="16" t="str">
        <f>IFERROR(VLOOKUP(C4800,DATA!#REF!,2,FALSE),"")</f>
        <v/>
      </c>
    </row>
    <row r="4801" spans="3:4" s="237" customFormat="1">
      <c r="C4801" s="16" t="str">
        <f>IFERROR(VLOOKUP(DATA!#REF!,DATA!#REF!,1,FALSE),"")</f>
        <v/>
      </c>
      <c r="D4801" s="16" t="str">
        <f>IFERROR(VLOOKUP(C4801,DATA!#REF!,2,FALSE),"")</f>
        <v/>
      </c>
    </row>
    <row r="4802" spans="3:4" s="237" customFormat="1">
      <c r="C4802" s="16" t="str">
        <f>IFERROR(VLOOKUP(DATA!#REF!,DATA!#REF!,1,FALSE),"")</f>
        <v/>
      </c>
      <c r="D4802" s="16" t="str">
        <f>IFERROR(VLOOKUP(C4802,DATA!#REF!,2,FALSE),"")</f>
        <v/>
      </c>
    </row>
    <row r="4803" spans="3:4" s="237" customFormat="1">
      <c r="C4803" s="16" t="str">
        <f>IFERROR(VLOOKUP(DATA!#REF!,DATA!#REF!,1,FALSE),"")</f>
        <v/>
      </c>
      <c r="D4803" s="16" t="str">
        <f>IFERROR(VLOOKUP(C4803,DATA!#REF!,2,FALSE),"")</f>
        <v/>
      </c>
    </row>
    <row r="4804" spans="3:4" s="237" customFormat="1">
      <c r="C4804" s="16" t="str">
        <f>IFERROR(VLOOKUP(DATA!#REF!,DATA!#REF!,1,FALSE),"")</f>
        <v/>
      </c>
      <c r="D4804" s="16" t="str">
        <f>IFERROR(VLOOKUP(C4804,DATA!#REF!,2,FALSE),"")</f>
        <v/>
      </c>
    </row>
    <row r="4805" spans="3:4" s="237" customFormat="1">
      <c r="C4805" s="16" t="str">
        <f>IFERROR(VLOOKUP(DATA!#REF!,DATA!#REF!,1,FALSE),"")</f>
        <v/>
      </c>
      <c r="D4805" s="16" t="str">
        <f>IFERROR(VLOOKUP(C4805,DATA!#REF!,2,FALSE),"")</f>
        <v/>
      </c>
    </row>
    <row r="4806" spans="3:4" s="237" customFormat="1">
      <c r="C4806" s="16" t="str">
        <f>IFERROR(VLOOKUP(DATA!#REF!,DATA!#REF!,1,FALSE),"")</f>
        <v/>
      </c>
      <c r="D4806" s="16" t="str">
        <f>IFERROR(VLOOKUP(C4806,DATA!#REF!,2,FALSE),"")</f>
        <v/>
      </c>
    </row>
    <row r="4807" spans="3:4" s="237" customFormat="1">
      <c r="C4807" s="16" t="str">
        <f>IFERROR(VLOOKUP(DATA!#REF!,DATA!#REF!,1,FALSE),"")</f>
        <v/>
      </c>
      <c r="D4807" s="16" t="str">
        <f>IFERROR(VLOOKUP(C4807,DATA!#REF!,2,FALSE),"")</f>
        <v/>
      </c>
    </row>
    <row r="4808" spans="3:4" s="237" customFormat="1">
      <c r="C4808" s="16" t="str">
        <f>IFERROR(VLOOKUP(DATA!#REF!,DATA!#REF!,1,FALSE),"")</f>
        <v/>
      </c>
      <c r="D4808" s="16" t="str">
        <f>IFERROR(VLOOKUP(C4808,DATA!#REF!,2,FALSE),"")</f>
        <v/>
      </c>
    </row>
    <row r="4809" spans="3:4" s="237" customFormat="1">
      <c r="C4809" s="16" t="str">
        <f>IFERROR(VLOOKUP(DATA!#REF!,DATA!#REF!,1,FALSE),"")</f>
        <v/>
      </c>
      <c r="D4809" s="16" t="str">
        <f>IFERROR(VLOOKUP(C4809,DATA!#REF!,2,FALSE),"")</f>
        <v/>
      </c>
    </row>
    <row r="4810" spans="3:4" s="237" customFormat="1">
      <c r="C4810" s="16" t="str">
        <f>IFERROR(VLOOKUP(DATA!#REF!,DATA!#REF!,1,FALSE),"")</f>
        <v/>
      </c>
      <c r="D4810" s="16" t="str">
        <f>IFERROR(VLOOKUP(C4810,DATA!#REF!,2,FALSE),"")</f>
        <v/>
      </c>
    </row>
    <row r="4811" spans="3:4" s="237" customFormat="1">
      <c r="C4811" s="16" t="str">
        <f>IFERROR(VLOOKUP(DATA!#REF!,DATA!#REF!,1,FALSE),"")</f>
        <v/>
      </c>
      <c r="D4811" s="16" t="str">
        <f>IFERROR(VLOOKUP(C4811,DATA!#REF!,2,FALSE),"")</f>
        <v/>
      </c>
    </row>
    <row r="4812" spans="3:4" s="237" customFormat="1">
      <c r="C4812" s="16" t="str">
        <f>IFERROR(VLOOKUP(DATA!#REF!,DATA!#REF!,1,FALSE),"")</f>
        <v/>
      </c>
      <c r="D4812" s="16" t="str">
        <f>IFERROR(VLOOKUP(C4812,DATA!#REF!,2,FALSE),"")</f>
        <v/>
      </c>
    </row>
    <row r="4813" spans="3:4" s="237" customFormat="1">
      <c r="C4813" s="16" t="str">
        <f>IFERROR(VLOOKUP(DATA!#REF!,DATA!#REF!,1,FALSE),"")</f>
        <v/>
      </c>
      <c r="D4813" s="16" t="str">
        <f>IFERROR(VLOOKUP(C4813,DATA!#REF!,2,FALSE),"")</f>
        <v/>
      </c>
    </row>
    <row r="4814" spans="3:4" s="237" customFormat="1">
      <c r="C4814" s="16" t="str">
        <f>IFERROR(VLOOKUP(DATA!#REF!,DATA!#REF!,1,FALSE),"")</f>
        <v/>
      </c>
      <c r="D4814" s="16" t="str">
        <f>IFERROR(VLOOKUP(C4814,DATA!#REF!,2,FALSE),"")</f>
        <v/>
      </c>
    </row>
    <row r="4815" spans="3:4" s="237" customFormat="1">
      <c r="C4815" s="16" t="str">
        <f>IFERROR(VLOOKUP(DATA!#REF!,DATA!#REF!,1,FALSE),"")</f>
        <v/>
      </c>
      <c r="D4815" s="16" t="str">
        <f>IFERROR(VLOOKUP(C4815,DATA!#REF!,2,FALSE),"")</f>
        <v/>
      </c>
    </row>
    <row r="4816" spans="3:4" s="237" customFormat="1">
      <c r="C4816" s="16" t="str">
        <f>IFERROR(VLOOKUP(DATA!#REF!,DATA!#REF!,1,FALSE),"")</f>
        <v/>
      </c>
      <c r="D4816" s="16" t="str">
        <f>IFERROR(VLOOKUP(C4816,DATA!#REF!,2,FALSE),"")</f>
        <v/>
      </c>
    </row>
    <row r="4817" spans="3:4" s="237" customFormat="1">
      <c r="C4817" s="16" t="str">
        <f>IFERROR(VLOOKUP(DATA!#REF!,DATA!#REF!,1,FALSE),"")</f>
        <v/>
      </c>
      <c r="D4817" s="16" t="str">
        <f>IFERROR(VLOOKUP(C4817,DATA!#REF!,2,FALSE),"")</f>
        <v/>
      </c>
    </row>
    <row r="4818" spans="3:4" s="237" customFormat="1">
      <c r="C4818" s="16" t="str">
        <f>IFERROR(VLOOKUP(DATA!#REF!,DATA!#REF!,1,FALSE),"")</f>
        <v/>
      </c>
      <c r="D4818" s="16" t="str">
        <f>IFERROR(VLOOKUP(C4818,DATA!#REF!,2,FALSE),"")</f>
        <v/>
      </c>
    </row>
    <row r="4819" spans="3:4" s="237" customFormat="1">
      <c r="C4819" s="16" t="str">
        <f>IFERROR(VLOOKUP(DATA!#REF!,DATA!#REF!,1,FALSE),"")</f>
        <v/>
      </c>
      <c r="D4819" s="16" t="str">
        <f>IFERROR(VLOOKUP(C4819,DATA!#REF!,2,FALSE),"")</f>
        <v/>
      </c>
    </row>
    <row r="4820" spans="3:4" s="237" customFormat="1">
      <c r="C4820" s="16" t="str">
        <f>IFERROR(VLOOKUP(DATA!#REF!,DATA!#REF!,1,FALSE),"")</f>
        <v/>
      </c>
      <c r="D4820" s="16" t="str">
        <f>IFERROR(VLOOKUP(C4820,DATA!#REF!,2,FALSE),"")</f>
        <v/>
      </c>
    </row>
    <row r="4821" spans="3:4" s="237" customFormat="1">
      <c r="C4821" s="16" t="str">
        <f>IFERROR(VLOOKUP(DATA!#REF!,DATA!#REF!,1,FALSE),"")</f>
        <v/>
      </c>
      <c r="D4821" s="16" t="str">
        <f>IFERROR(VLOOKUP(C4821,DATA!#REF!,2,FALSE),"")</f>
        <v/>
      </c>
    </row>
    <row r="4822" spans="3:4" s="237" customFormat="1">
      <c r="C4822" s="16" t="str">
        <f>IFERROR(VLOOKUP(DATA!#REF!,DATA!#REF!,1,FALSE),"")</f>
        <v/>
      </c>
      <c r="D4822" s="16" t="str">
        <f>IFERROR(VLOOKUP(C4822,DATA!#REF!,2,FALSE),"")</f>
        <v/>
      </c>
    </row>
    <row r="4823" spans="3:4" s="237" customFormat="1">
      <c r="C4823" s="16" t="str">
        <f>IFERROR(VLOOKUP(DATA!#REF!,DATA!#REF!,1,FALSE),"")</f>
        <v/>
      </c>
      <c r="D4823" s="16" t="str">
        <f>IFERROR(VLOOKUP(C4823,DATA!#REF!,2,FALSE),"")</f>
        <v/>
      </c>
    </row>
    <row r="4824" spans="3:4" s="237" customFormat="1">
      <c r="C4824" s="16" t="str">
        <f>IFERROR(VLOOKUP(DATA!#REF!,DATA!#REF!,1,FALSE),"")</f>
        <v/>
      </c>
      <c r="D4824" s="16" t="str">
        <f>IFERROR(VLOOKUP(C4824,DATA!#REF!,2,FALSE),"")</f>
        <v/>
      </c>
    </row>
    <row r="4825" spans="3:4" s="237" customFormat="1">
      <c r="C4825" s="16" t="str">
        <f>IFERROR(VLOOKUP(DATA!#REF!,DATA!#REF!,1,FALSE),"")</f>
        <v/>
      </c>
      <c r="D4825" s="16" t="str">
        <f>IFERROR(VLOOKUP(C4825,DATA!#REF!,2,FALSE),"")</f>
        <v/>
      </c>
    </row>
    <row r="4826" spans="3:4" s="237" customFormat="1">
      <c r="C4826" s="16" t="str">
        <f>IFERROR(VLOOKUP(DATA!#REF!,DATA!#REF!,1,FALSE),"")</f>
        <v/>
      </c>
      <c r="D4826" s="16" t="str">
        <f>IFERROR(VLOOKUP(C4826,DATA!#REF!,2,FALSE),"")</f>
        <v/>
      </c>
    </row>
    <row r="4827" spans="3:4" s="237" customFormat="1">
      <c r="C4827" s="16" t="str">
        <f>IFERROR(VLOOKUP(DATA!#REF!,DATA!#REF!,1,FALSE),"")</f>
        <v/>
      </c>
      <c r="D4827" s="16" t="str">
        <f>IFERROR(VLOOKUP(C4827,DATA!#REF!,2,FALSE),"")</f>
        <v/>
      </c>
    </row>
    <row r="4828" spans="3:4" s="237" customFormat="1">
      <c r="C4828" s="16" t="str">
        <f>IFERROR(VLOOKUP(DATA!#REF!,DATA!#REF!,1,FALSE),"")</f>
        <v/>
      </c>
      <c r="D4828" s="16" t="str">
        <f>IFERROR(VLOOKUP(C4828,DATA!#REF!,2,FALSE),"")</f>
        <v/>
      </c>
    </row>
    <row r="4829" spans="3:4" s="237" customFormat="1">
      <c r="C4829" s="16" t="str">
        <f>IFERROR(VLOOKUP(DATA!#REF!,DATA!#REF!,1,FALSE),"")</f>
        <v/>
      </c>
      <c r="D4829" s="16" t="str">
        <f>IFERROR(VLOOKUP(C4829,DATA!#REF!,2,FALSE),"")</f>
        <v/>
      </c>
    </row>
    <row r="4830" spans="3:4" s="237" customFormat="1">
      <c r="C4830" s="16" t="str">
        <f>IFERROR(VLOOKUP(DATA!#REF!,DATA!#REF!,1,FALSE),"")</f>
        <v/>
      </c>
      <c r="D4830" s="16" t="str">
        <f>IFERROR(VLOOKUP(C4830,DATA!#REF!,2,FALSE),"")</f>
        <v/>
      </c>
    </row>
    <row r="4831" spans="3:4" s="237" customFormat="1">
      <c r="C4831" s="16" t="str">
        <f>IFERROR(VLOOKUP(DATA!#REF!,DATA!#REF!,1,FALSE),"")</f>
        <v/>
      </c>
      <c r="D4831" s="16" t="str">
        <f>IFERROR(VLOOKUP(C4831,DATA!#REF!,2,FALSE),"")</f>
        <v/>
      </c>
    </row>
    <row r="4832" spans="3:4" s="237" customFormat="1">
      <c r="C4832" s="16" t="str">
        <f>IFERROR(VLOOKUP(DATA!#REF!,DATA!#REF!,1,FALSE),"")</f>
        <v/>
      </c>
      <c r="D4832" s="16" t="str">
        <f>IFERROR(VLOOKUP(C4832,DATA!#REF!,2,FALSE),"")</f>
        <v/>
      </c>
    </row>
    <row r="4833" spans="3:4" s="237" customFormat="1">
      <c r="C4833" s="16" t="str">
        <f>IFERROR(VLOOKUP(DATA!#REF!,DATA!#REF!,1,FALSE),"")</f>
        <v/>
      </c>
      <c r="D4833" s="16" t="str">
        <f>IFERROR(VLOOKUP(C4833,DATA!#REF!,2,FALSE),"")</f>
        <v/>
      </c>
    </row>
    <row r="4834" spans="3:4" s="237" customFormat="1">
      <c r="C4834" s="16" t="str">
        <f>IFERROR(VLOOKUP(DATA!#REF!,DATA!#REF!,1,FALSE),"")</f>
        <v/>
      </c>
      <c r="D4834" s="16" t="str">
        <f>IFERROR(VLOOKUP(C4834,DATA!#REF!,2,FALSE),"")</f>
        <v/>
      </c>
    </row>
    <row r="4835" spans="3:4" s="237" customFormat="1">
      <c r="C4835" s="16" t="str">
        <f>IFERROR(VLOOKUP(DATA!#REF!,DATA!#REF!,1,FALSE),"")</f>
        <v/>
      </c>
      <c r="D4835" s="16" t="str">
        <f>IFERROR(VLOOKUP(C4835,DATA!#REF!,2,FALSE),"")</f>
        <v/>
      </c>
    </row>
    <row r="4836" spans="3:4" s="237" customFormat="1">
      <c r="C4836" s="16" t="str">
        <f>IFERROR(VLOOKUP(DATA!#REF!,DATA!#REF!,1,FALSE),"")</f>
        <v/>
      </c>
      <c r="D4836" s="16" t="str">
        <f>IFERROR(VLOOKUP(C4836,DATA!#REF!,2,FALSE),"")</f>
        <v/>
      </c>
    </row>
    <row r="4837" spans="3:4" s="237" customFormat="1">
      <c r="C4837" s="16" t="str">
        <f>IFERROR(VLOOKUP(DATA!#REF!,DATA!#REF!,1,FALSE),"")</f>
        <v/>
      </c>
      <c r="D4837" s="16" t="str">
        <f>IFERROR(VLOOKUP(C4837,DATA!#REF!,2,FALSE),"")</f>
        <v/>
      </c>
    </row>
    <row r="4838" spans="3:4" s="237" customFormat="1">
      <c r="C4838" s="16" t="str">
        <f>IFERROR(VLOOKUP(DATA!#REF!,DATA!#REF!,1,FALSE),"")</f>
        <v/>
      </c>
      <c r="D4838" s="16" t="str">
        <f>IFERROR(VLOOKUP(C4838,DATA!#REF!,2,FALSE),"")</f>
        <v/>
      </c>
    </row>
    <row r="4839" spans="3:4" s="237" customFormat="1">
      <c r="C4839" s="16" t="str">
        <f>IFERROR(VLOOKUP(DATA!#REF!,DATA!#REF!,1,FALSE),"")</f>
        <v/>
      </c>
      <c r="D4839" s="16" t="str">
        <f>IFERROR(VLOOKUP(C4839,DATA!#REF!,2,FALSE),"")</f>
        <v/>
      </c>
    </row>
    <row r="4840" spans="3:4" s="237" customFormat="1">
      <c r="C4840" s="16" t="str">
        <f>IFERROR(VLOOKUP(DATA!#REF!,DATA!#REF!,1,FALSE),"")</f>
        <v/>
      </c>
      <c r="D4840" s="16" t="str">
        <f>IFERROR(VLOOKUP(C4840,DATA!#REF!,2,FALSE),"")</f>
        <v/>
      </c>
    </row>
    <row r="4841" spans="3:4" s="237" customFormat="1">
      <c r="C4841" s="16" t="str">
        <f>IFERROR(VLOOKUP(DATA!#REF!,DATA!#REF!,1,FALSE),"")</f>
        <v/>
      </c>
      <c r="D4841" s="16" t="str">
        <f>IFERROR(VLOOKUP(C4841,DATA!#REF!,2,FALSE),"")</f>
        <v/>
      </c>
    </row>
    <row r="4842" spans="3:4" s="237" customFormat="1">
      <c r="C4842" s="16" t="str">
        <f>IFERROR(VLOOKUP(DATA!#REF!,DATA!#REF!,1,FALSE),"")</f>
        <v/>
      </c>
      <c r="D4842" s="16" t="str">
        <f>IFERROR(VLOOKUP(C4842,DATA!#REF!,2,FALSE),"")</f>
        <v/>
      </c>
    </row>
    <row r="4843" spans="3:4" s="237" customFormat="1">
      <c r="C4843" s="16" t="str">
        <f>IFERROR(VLOOKUP(DATA!#REF!,DATA!#REF!,1,FALSE),"")</f>
        <v/>
      </c>
      <c r="D4843" s="16" t="str">
        <f>IFERROR(VLOOKUP(C4843,DATA!#REF!,2,FALSE),"")</f>
        <v/>
      </c>
    </row>
    <row r="4844" spans="3:4" s="237" customFormat="1">
      <c r="C4844" s="16" t="str">
        <f>IFERROR(VLOOKUP(DATA!#REF!,DATA!#REF!,1,FALSE),"")</f>
        <v/>
      </c>
      <c r="D4844" s="16" t="str">
        <f>IFERROR(VLOOKUP(C4844,DATA!#REF!,2,FALSE),"")</f>
        <v/>
      </c>
    </row>
    <row r="4845" spans="3:4" s="237" customFormat="1">
      <c r="C4845" s="16" t="str">
        <f>IFERROR(VLOOKUP(DATA!#REF!,DATA!#REF!,1,FALSE),"")</f>
        <v/>
      </c>
      <c r="D4845" s="16" t="str">
        <f>IFERROR(VLOOKUP(C4845,DATA!#REF!,2,FALSE),"")</f>
        <v/>
      </c>
    </row>
    <row r="4846" spans="3:4" s="237" customFormat="1">
      <c r="C4846" s="16" t="str">
        <f>IFERROR(VLOOKUP(DATA!#REF!,DATA!#REF!,1,FALSE),"")</f>
        <v/>
      </c>
      <c r="D4846" s="16" t="str">
        <f>IFERROR(VLOOKUP(C4846,DATA!#REF!,2,FALSE),"")</f>
        <v/>
      </c>
    </row>
    <row r="4847" spans="3:4" s="237" customFormat="1">
      <c r="C4847" s="16" t="str">
        <f>IFERROR(VLOOKUP(DATA!#REF!,DATA!#REF!,1,FALSE),"")</f>
        <v/>
      </c>
      <c r="D4847" s="16" t="str">
        <f>IFERROR(VLOOKUP(C4847,DATA!#REF!,2,FALSE),"")</f>
        <v/>
      </c>
    </row>
    <row r="4848" spans="3:4" s="237" customFormat="1">
      <c r="C4848" s="16" t="str">
        <f>IFERROR(VLOOKUP(DATA!#REF!,DATA!#REF!,1,FALSE),"")</f>
        <v/>
      </c>
      <c r="D4848" s="16" t="str">
        <f>IFERROR(VLOOKUP(C4848,DATA!#REF!,2,FALSE),"")</f>
        <v/>
      </c>
    </row>
    <row r="4849" spans="3:4" s="237" customFormat="1">
      <c r="C4849" s="16" t="str">
        <f>IFERROR(VLOOKUP(DATA!#REF!,DATA!#REF!,1,FALSE),"")</f>
        <v/>
      </c>
      <c r="D4849" s="16" t="str">
        <f>IFERROR(VLOOKUP(C4849,DATA!#REF!,2,FALSE),"")</f>
        <v/>
      </c>
    </row>
    <row r="4850" spans="3:4" s="237" customFormat="1">
      <c r="C4850" s="16" t="str">
        <f>IFERROR(VLOOKUP(DATA!#REF!,DATA!#REF!,1,FALSE),"")</f>
        <v/>
      </c>
      <c r="D4850" s="16" t="str">
        <f>IFERROR(VLOOKUP(C4850,DATA!#REF!,2,FALSE),"")</f>
        <v/>
      </c>
    </row>
    <row r="4851" spans="3:4" s="237" customFormat="1">
      <c r="C4851" s="16" t="str">
        <f>IFERROR(VLOOKUP(DATA!#REF!,DATA!#REF!,1,FALSE),"")</f>
        <v/>
      </c>
      <c r="D4851" s="16" t="str">
        <f>IFERROR(VLOOKUP(C4851,DATA!#REF!,2,FALSE),"")</f>
        <v/>
      </c>
    </row>
    <row r="4852" spans="3:4" s="237" customFormat="1">
      <c r="C4852" s="16" t="str">
        <f>IFERROR(VLOOKUP(DATA!#REF!,DATA!#REF!,1,FALSE),"")</f>
        <v/>
      </c>
      <c r="D4852" s="16" t="str">
        <f>IFERROR(VLOOKUP(C4852,DATA!#REF!,2,FALSE),"")</f>
        <v/>
      </c>
    </row>
    <row r="4853" spans="3:4" s="237" customFormat="1">
      <c r="C4853" s="16" t="str">
        <f>IFERROR(VLOOKUP(DATA!#REF!,DATA!#REF!,1,FALSE),"")</f>
        <v/>
      </c>
      <c r="D4853" s="16" t="str">
        <f>IFERROR(VLOOKUP(C4853,DATA!#REF!,2,FALSE),"")</f>
        <v/>
      </c>
    </row>
    <row r="4854" spans="3:4" s="237" customFormat="1">
      <c r="C4854" s="16" t="str">
        <f>IFERROR(VLOOKUP(DATA!#REF!,DATA!#REF!,1,FALSE),"")</f>
        <v/>
      </c>
      <c r="D4854" s="16" t="str">
        <f>IFERROR(VLOOKUP(C4854,DATA!#REF!,2,FALSE),"")</f>
        <v/>
      </c>
    </row>
    <row r="4855" spans="3:4" s="237" customFormat="1">
      <c r="C4855" s="16" t="str">
        <f>IFERROR(VLOOKUP(DATA!#REF!,DATA!#REF!,1,FALSE),"")</f>
        <v/>
      </c>
      <c r="D4855" s="16" t="str">
        <f>IFERROR(VLOOKUP(C4855,DATA!#REF!,2,FALSE),"")</f>
        <v/>
      </c>
    </row>
    <row r="4856" spans="3:4" s="237" customFormat="1">
      <c r="C4856" s="16" t="str">
        <f>IFERROR(VLOOKUP(DATA!#REF!,DATA!#REF!,1,FALSE),"")</f>
        <v/>
      </c>
      <c r="D4856" s="16" t="str">
        <f>IFERROR(VLOOKUP(C4856,DATA!#REF!,2,FALSE),"")</f>
        <v/>
      </c>
    </row>
    <row r="4857" spans="3:4" s="237" customFormat="1">
      <c r="C4857" s="16" t="str">
        <f>IFERROR(VLOOKUP(DATA!#REF!,DATA!#REF!,1,FALSE),"")</f>
        <v/>
      </c>
      <c r="D4857" s="16" t="str">
        <f>IFERROR(VLOOKUP(C4857,DATA!#REF!,2,FALSE),"")</f>
        <v/>
      </c>
    </row>
    <row r="4858" spans="3:4" s="237" customFormat="1">
      <c r="C4858" s="16" t="str">
        <f>IFERROR(VLOOKUP(DATA!#REF!,DATA!#REF!,1,FALSE),"")</f>
        <v/>
      </c>
      <c r="D4858" s="16" t="str">
        <f>IFERROR(VLOOKUP(C4858,DATA!#REF!,2,FALSE),"")</f>
        <v/>
      </c>
    </row>
    <row r="4859" spans="3:4" s="237" customFormat="1">
      <c r="C4859" s="16" t="str">
        <f>IFERROR(VLOOKUP(DATA!#REF!,DATA!#REF!,1,FALSE),"")</f>
        <v/>
      </c>
      <c r="D4859" s="16" t="str">
        <f>IFERROR(VLOOKUP(C4859,DATA!#REF!,2,FALSE),"")</f>
        <v/>
      </c>
    </row>
    <row r="4860" spans="3:4" s="237" customFormat="1">
      <c r="C4860" s="16" t="str">
        <f>IFERROR(VLOOKUP(DATA!#REF!,DATA!#REF!,1,FALSE),"")</f>
        <v/>
      </c>
      <c r="D4860" s="16" t="str">
        <f>IFERROR(VLOOKUP(C4860,DATA!#REF!,2,FALSE),"")</f>
        <v/>
      </c>
    </row>
    <row r="4861" spans="3:4" s="237" customFormat="1">
      <c r="C4861" s="16" t="str">
        <f>IFERROR(VLOOKUP(DATA!#REF!,DATA!#REF!,1,FALSE),"")</f>
        <v/>
      </c>
      <c r="D4861" s="16" t="str">
        <f>IFERROR(VLOOKUP(C4861,DATA!#REF!,2,FALSE),"")</f>
        <v/>
      </c>
    </row>
    <row r="4862" spans="3:4" s="237" customFormat="1">
      <c r="C4862" s="16" t="str">
        <f>IFERROR(VLOOKUP(DATA!#REF!,DATA!#REF!,1,FALSE),"")</f>
        <v/>
      </c>
      <c r="D4862" s="16" t="str">
        <f>IFERROR(VLOOKUP(C4862,DATA!#REF!,2,FALSE),"")</f>
        <v/>
      </c>
    </row>
    <row r="4863" spans="3:4" s="237" customFormat="1">
      <c r="C4863" s="16" t="str">
        <f>IFERROR(VLOOKUP(DATA!#REF!,DATA!#REF!,1,FALSE),"")</f>
        <v/>
      </c>
      <c r="D4863" s="16" t="str">
        <f>IFERROR(VLOOKUP(C4863,DATA!#REF!,2,FALSE),"")</f>
        <v/>
      </c>
    </row>
    <row r="4864" spans="3:4" s="237" customFormat="1">
      <c r="C4864" s="16" t="str">
        <f>IFERROR(VLOOKUP(DATA!#REF!,DATA!#REF!,1,FALSE),"")</f>
        <v/>
      </c>
      <c r="D4864" s="16" t="str">
        <f>IFERROR(VLOOKUP(C4864,DATA!#REF!,2,FALSE),"")</f>
        <v/>
      </c>
    </row>
    <row r="4865" spans="3:4" s="237" customFormat="1">
      <c r="C4865" s="16" t="str">
        <f>IFERROR(VLOOKUP(DATA!#REF!,DATA!#REF!,1,FALSE),"")</f>
        <v/>
      </c>
      <c r="D4865" s="16" t="str">
        <f>IFERROR(VLOOKUP(C4865,DATA!#REF!,2,FALSE),"")</f>
        <v/>
      </c>
    </row>
    <row r="4866" spans="3:4" s="237" customFormat="1">
      <c r="C4866" s="16" t="str">
        <f>IFERROR(VLOOKUP(DATA!#REF!,DATA!#REF!,1,FALSE),"")</f>
        <v/>
      </c>
      <c r="D4866" s="16" t="str">
        <f>IFERROR(VLOOKUP(C4866,DATA!#REF!,2,FALSE),"")</f>
        <v/>
      </c>
    </row>
    <row r="4867" spans="3:4" s="237" customFormat="1">
      <c r="C4867" s="16" t="str">
        <f>IFERROR(VLOOKUP(DATA!#REF!,DATA!#REF!,1,FALSE),"")</f>
        <v/>
      </c>
      <c r="D4867" s="16" t="str">
        <f>IFERROR(VLOOKUP(C4867,DATA!#REF!,2,FALSE),"")</f>
        <v/>
      </c>
    </row>
    <row r="4868" spans="3:4" s="237" customFormat="1">
      <c r="C4868" s="16" t="str">
        <f>IFERROR(VLOOKUP(DATA!#REF!,DATA!#REF!,1,FALSE),"")</f>
        <v/>
      </c>
      <c r="D4868" s="16" t="str">
        <f>IFERROR(VLOOKUP(C4868,DATA!#REF!,2,FALSE),"")</f>
        <v/>
      </c>
    </row>
    <row r="4869" spans="3:4" s="237" customFormat="1">
      <c r="C4869" s="16" t="str">
        <f>IFERROR(VLOOKUP(DATA!#REF!,DATA!#REF!,1,FALSE),"")</f>
        <v/>
      </c>
      <c r="D4869" s="16" t="str">
        <f>IFERROR(VLOOKUP(C4869,DATA!#REF!,2,FALSE),"")</f>
        <v/>
      </c>
    </row>
    <row r="4870" spans="3:4" s="237" customFormat="1">
      <c r="C4870" s="16" t="str">
        <f>IFERROR(VLOOKUP(DATA!#REF!,DATA!#REF!,1,FALSE),"")</f>
        <v/>
      </c>
      <c r="D4870" s="16" t="str">
        <f>IFERROR(VLOOKUP(C4870,DATA!#REF!,2,FALSE),"")</f>
        <v/>
      </c>
    </row>
    <row r="4871" spans="3:4" s="237" customFormat="1">
      <c r="C4871" s="16" t="str">
        <f>IFERROR(VLOOKUP(DATA!#REF!,DATA!#REF!,1,FALSE),"")</f>
        <v/>
      </c>
      <c r="D4871" s="16" t="str">
        <f>IFERROR(VLOOKUP(C4871,DATA!#REF!,2,FALSE),"")</f>
        <v/>
      </c>
    </row>
    <row r="4872" spans="3:4" s="237" customFormat="1">
      <c r="C4872" s="16" t="str">
        <f>IFERROR(VLOOKUP(DATA!#REF!,DATA!#REF!,1,FALSE),"")</f>
        <v/>
      </c>
      <c r="D4872" s="16" t="str">
        <f>IFERROR(VLOOKUP(C4872,DATA!#REF!,2,FALSE),"")</f>
        <v/>
      </c>
    </row>
    <row r="4873" spans="3:4" s="237" customFormat="1">
      <c r="C4873" s="16" t="str">
        <f>IFERROR(VLOOKUP(DATA!#REF!,DATA!#REF!,1,FALSE),"")</f>
        <v/>
      </c>
      <c r="D4873" s="16" t="str">
        <f>IFERROR(VLOOKUP(C4873,DATA!#REF!,2,FALSE),"")</f>
        <v/>
      </c>
    </row>
    <row r="4874" spans="3:4" s="237" customFormat="1">
      <c r="C4874" s="16" t="str">
        <f>IFERROR(VLOOKUP(DATA!#REF!,DATA!#REF!,1,FALSE),"")</f>
        <v/>
      </c>
      <c r="D4874" s="16" t="str">
        <f>IFERROR(VLOOKUP(C4874,DATA!#REF!,2,FALSE),"")</f>
        <v/>
      </c>
    </row>
    <row r="4875" spans="3:4" s="237" customFormat="1">
      <c r="C4875" s="16" t="str">
        <f>IFERROR(VLOOKUP(DATA!#REF!,DATA!#REF!,1,FALSE),"")</f>
        <v/>
      </c>
      <c r="D4875" s="16" t="str">
        <f>IFERROR(VLOOKUP(C4875,DATA!#REF!,2,FALSE),"")</f>
        <v/>
      </c>
    </row>
    <row r="4876" spans="3:4" s="237" customFormat="1">
      <c r="C4876" s="16" t="str">
        <f>IFERROR(VLOOKUP(DATA!#REF!,DATA!#REF!,1,FALSE),"")</f>
        <v/>
      </c>
      <c r="D4876" s="16" t="str">
        <f>IFERROR(VLOOKUP(C4876,DATA!#REF!,2,FALSE),"")</f>
        <v/>
      </c>
    </row>
    <row r="4877" spans="3:4" s="237" customFormat="1">
      <c r="C4877" s="16" t="str">
        <f>IFERROR(VLOOKUP(DATA!#REF!,DATA!#REF!,1,FALSE),"")</f>
        <v/>
      </c>
      <c r="D4877" s="16" t="str">
        <f>IFERROR(VLOOKUP(C4877,DATA!#REF!,2,FALSE),"")</f>
        <v/>
      </c>
    </row>
    <row r="4878" spans="3:4" s="237" customFormat="1">
      <c r="C4878" s="16" t="str">
        <f>IFERROR(VLOOKUP(DATA!#REF!,DATA!#REF!,1,FALSE),"")</f>
        <v/>
      </c>
      <c r="D4878" s="16" t="str">
        <f>IFERROR(VLOOKUP(C4878,DATA!#REF!,2,FALSE),"")</f>
        <v/>
      </c>
    </row>
    <row r="4879" spans="3:4" s="237" customFormat="1">
      <c r="C4879" s="16" t="str">
        <f>IFERROR(VLOOKUP(DATA!#REF!,DATA!#REF!,1,FALSE),"")</f>
        <v/>
      </c>
      <c r="D4879" s="16" t="str">
        <f>IFERROR(VLOOKUP(C4879,DATA!#REF!,2,FALSE),"")</f>
        <v/>
      </c>
    </row>
    <row r="4880" spans="3:4" s="237" customFormat="1">
      <c r="C4880" s="16" t="str">
        <f>IFERROR(VLOOKUP(DATA!#REF!,DATA!#REF!,1,FALSE),"")</f>
        <v/>
      </c>
      <c r="D4880" s="16" t="str">
        <f>IFERROR(VLOOKUP(C4880,DATA!#REF!,2,FALSE),"")</f>
        <v/>
      </c>
    </row>
    <row r="4881" spans="3:4" s="237" customFormat="1">
      <c r="C4881" s="16" t="str">
        <f>IFERROR(VLOOKUP(DATA!#REF!,DATA!#REF!,1,FALSE),"")</f>
        <v/>
      </c>
      <c r="D4881" s="16" t="str">
        <f>IFERROR(VLOOKUP(C4881,DATA!#REF!,2,FALSE),"")</f>
        <v/>
      </c>
    </row>
    <row r="4882" spans="3:4" s="237" customFormat="1">
      <c r="C4882" s="16" t="str">
        <f>IFERROR(VLOOKUP(DATA!#REF!,DATA!#REF!,1,FALSE),"")</f>
        <v/>
      </c>
      <c r="D4882" s="16" t="str">
        <f>IFERROR(VLOOKUP(C4882,DATA!#REF!,2,FALSE),"")</f>
        <v/>
      </c>
    </row>
    <row r="4883" spans="3:4" s="237" customFormat="1">
      <c r="C4883" s="16" t="str">
        <f>IFERROR(VLOOKUP(DATA!#REF!,DATA!#REF!,1,FALSE),"")</f>
        <v/>
      </c>
      <c r="D4883" s="16" t="str">
        <f>IFERROR(VLOOKUP(C4883,DATA!#REF!,2,FALSE),"")</f>
        <v/>
      </c>
    </row>
    <row r="4884" spans="3:4" s="237" customFormat="1">
      <c r="C4884" s="16" t="str">
        <f>IFERROR(VLOOKUP(DATA!#REF!,DATA!#REF!,1,FALSE),"")</f>
        <v/>
      </c>
      <c r="D4884" s="16" t="str">
        <f>IFERROR(VLOOKUP(C4884,DATA!#REF!,2,FALSE),"")</f>
        <v/>
      </c>
    </row>
    <row r="4885" spans="3:4" s="237" customFormat="1">
      <c r="C4885" s="16" t="str">
        <f>IFERROR(VLOOKUP(DATA!#REF!,DATA!#REF!,1,FALSE),"")</f>
        <v/>
      </c>
      <c r="D4885" s="16" t="str">
        <f>IFERROR(VLOOKUP(C4885,DATA!#REF!,2,FALSE),"")</f>
        <v/>
      </c>
    </row>
    <row r="4886" spans="3:4" s="237" customFormat="1">
      <c r="C4886" s="16" t="str">
        <f>IFERROR(VLOOKUP(DATA!#REF!,DATA!#REF!,1,FALSE),"")</f>
        <v/>
      </c>
      <c r="D4886" s="16" t="str">
        <f>IFERROR(VLOOKUP(C4886,DATA!#REF!,2,FALSE),"")</f>
        <v/>
      </c>
    </row>
    <row r="4887" spans="3:4" s="237" customFormat="1">
      <c r="C4887" s="16" t="str">
        <f>IFERROR(VLOOKUP(DATA!#REF!,DATA!#REF!,1,FALSE),"")</f>
        <v/>
      </c>
      <c r="D4887" s="16" t="str">
        <f>IFERROR(VLOOKUP(C4887,DATA!#REF!,2,FALSE),"")</f>
        <v/>
      </c>
    </row>
    <row r="4888" spans="3:4" s="237" customFormat="1">
      <c r="C4888" s="16" t="str">
        <f>IFERROR(VLOOKUP(DATA!#REF!,DATA!#REF!,1,FALSE),"")</f>
        <v/>
      </c>
      <c r="D4888" s="16" t="str">
        <f>IFERROR(VLOOKUP(C4888,DATA!#REF!,2,FALSE),"")</f>
        <v/>
      </c>
    </row>
    <row r="4889" spans="3:4" s="237" customFormat="1">
      <c r="C4889" s="16" t="str">
        <f>IFERROR(VLOOKUP(DATA!#REF!,DATA!#REF!,1,FALSE),"")</f>
        <v/>
      </c>
      <c r="D4889" s="16" t="str">
        <f>IFERROR(VLOOKUP(C4889,DATA!#REF!,2,FALSE),"")</f>
        <v/>
      </c>
    </row>
    <row r="4890" spans="3:4" s="237" customFormat="1">
      <c r="C4890" s="16" t="str">
        <f>IFERROR(VLOOKUP(DATA!#REF!,DATA!#REF!,1,FALSE),"")</f>
        <v/>
      </c>
      <c r="D4890" s="16" t="str">
        <f>IFERROR(VLOOKUP(C4890,DATA!#REF!,2,FALSE),"")</f>
        <v/>
      </c>
    </row>
    <row r="4891" spans="3:4" s="237" customFormat="1">
      <c r="C4891" s="16" t="str">
        <f>IFERROR(VLOOKUP(DATA!#REF!,DATA!#REF!,1,FALSE),"")</f>
        <v/>
      </c>
      <c r="D4891" s="16" t="str">
        <f>IFERROR(VLOOKUP(C4891,DATA!#REF!,2,FALSE),"")</f>
        <v/>
      </c>
    </row>
    <row r="4892" spans="3:4" s="237" customFormat="1">
      <c r="C4892" s="16" t="str">
        <f>IFERROR(VLOOKUP(DATA!#REF!,DATA!#REF!,1,FALSE),"")</f>
        <v/>
      </c>
      <c r="D4892" s="16" t="str">
        <f>IFERROR(VLOOKUP(C4892,DATA!#REF!,2,FALSE),"")</f>
        <v/>
      </c>
    </row>
    <row r="4893" spans="3:4" s="237" customFormat="1">
      <c r="C4893" s="16" t="str">
        <f>IFERROR(VLOOKUP(DATA!#REF!,DATA!#REF!,1,FALSE),"")</f>
        <v/>
      </c>
      <c r="D4893" s="16" t="str">
        <f>IFERROR(VLOOKUP(C4893,DATA!#REF!,2,FALSE),"")</f>
        <v/>
      </c>
    </row>
    <row r="4894" spans="3:4" s="237" customFormat="1">
      <c r="C4894" s="16" t="str">
        <f>IFERROR(VLOOKUP(DATA!#REF!,DATA!#REF!,1,FALSE),"")</f>
        <v/>
      </c>
      <c r="D4894" s="16" t="str">
        <f>IFERROR(VLOOKUP(C4894,DATA!#REF!,2,FALSE),"")</f>
        <v/>
      </c>
    </row>
    <row r="4895" spans="3:4" s="237" customFormat="1">
      <c r="C4895" s="16" t="str">
        <f>IFERROR(VLOOKUP(DATA!#REF!,DATA!#REF!,1,FALSE),"")</f>
        <v/>
      </c>
      <c r="D4895" s="16" t="str">
        <f>IFERROR(VLOOKUP(C4895,DATA!#REF!,2,FALSE),"")</f>
        <v/>
      </c>
    </row>
    <row r="4896" spans="3:4" s="237" customFormat="1">
      <c r="C4896" s="16" t="str">
        <f>IFERROR(VLOOKUP(DATA!#REF!,DATA!#REF!,1,FALSE),"")</f>
        <v/>
      </c>
      <c r="D4896" s="16" t="str">
        <f>IFERROR(VLOOKUP(C4896,DATA!#REF!,2,FALSE),"")</f>
        <v/>
      </c>
    </row>
    <row r="4897" spans="3:4" s="237" customFormat="1">
      <c r="C4897" s="16" t="str">
        <f>IFERROR(VLOOKUP(DATA!#REF!,DATA!#REF!,1,FALSE),"")</f>
        <v/>
      </c>
      <c r="D4897" s="16" t="str">
        <f>IFERROR(VLOOKUP(C4897,DATA!#REF!,2,FALSE),"")</f>
        <v/>
      </c>
    </row>
    <row r="4898" spans="3:4" s="237" customFormat="1">
      <c r="C4898" s="16" t="str">
        <f>IFERROR(VLOOKUP(DATA!#REF!,DATA!#REF!,1,FALSE),"")</f>
        <v/>
      </c>
      <c r="D4898" s="16" t="str">
        <f>IFERROR(VLOOKUP(C4898,DATA!#REF!,2,FALSE),"")</f>
        <v/>
      </c>
    </row>
    <row r="4899" spans="3:4" s="237" customFormat="1">
      <c r="C4899" s="16" t="str">
        <f>IFERROR(VLOOKUP(DATA!#REF!,DATA!#REF!,1,FALSE),"")</f>
        <v/>
      </c>
      <c r="D4899" s="16" t="str">
        <f>IFERROR(VLOOKUP(C4899,DATA!#REF!,2,FALSE),"")</f>
        <v/>
      </c>
    </row>
    <row r="4900" spans="3:4" s="237" customFormat="1">
      <c r="C4900" s="16" t="str">
        <f>IFERROR(VLOOKUP(DATA!#REF!,DATA!#REF!,1,FALSE),"")</f>
        <v/>
      </c>
      <c r="D4900" s="16" t="str">
        <f>IFERROR(VLOOKUP(C4900,DATA!#REF!,2,FALSE),"")</f>
        <v/>
      </c>
    </row>
    <row r="4901" spans="3:4" s="237" customFormat="1">
      <c r="C4901" s="16" t="str">
        <f>IFERROR(VLOOKUP(DATA!#REF!,DATA!#REF!,1,FALSE),"")</f>
        <v/>
      </c>
      <c r="D4901" s="16" t="str">
        <f>IFERROR(VLOOKUP(C4901,DATA!#REF!,2,FALSE),"")</f>
        <v/>
      </c>
    </row>
    <row r="4902" spans="3:4" s="237" customFormat="1">
      <c r="C4902" s="16" t="str">
        <f>IFERROR(VLOOKUP(DATA!#REF!,DATA!#REF!,1,FALSE),"")</f>
        <v/>
      </c>
      <c r="D4902" s="16" t="str">
        <f>IFERROR(VLOOKUP(C4902,DATA!#REF!,2,FALSE),"")</f>
        <v/>
      </c>
    </row>
    <row r="4903" spans="3:4" s="237" customFormat="1">
      <c r="C4903" s="16" t="str">
        <f>IFERROR(VLOOKUP(DATA!#REF!,DATA!#REF!,1,FALSE),"")</f>
        <v/>
      </c>
      <c r="D4903" s="16" t="str">
        <f>IFERROR(VLOOKUP(C4903,DATA!#REF!,2,FALSE),"")</f>
        <v/>
      </c>
    </row>
    <row r="4904" spans="3:4" s="237" customFormat="1">
      <c r="C4904" s="16" t="str">
        <f>IFERROR(VLOOKUP(DATA!#REF!,DATA!#REF!,1,FALSE),"")</f>
        <v/>
      </c>
      <c r="D4904" s="16" t="str">
        <f>IFERROR(VLOOKUP(C4904,DATA!#REF!,2,FALSE),"")</f>
        <v/>
      </c>
    </row>
    <row r="4905" spans="3:4" s="237" customFormat="1">
      <c r="C4905" s="16" t="str">
        <f>IFERROR(VLOOKUP(DATA!#REF!,DATA!#REF!,1,FALSE),"")</f>
        <v/>
      </c>
      <c r="D4905" s="16" t="str">
        <f>IFERROR(VLOOKUP(C4905,DATA!#REF!,2,FALSE),"")</f>
        <v/>
      </c>
    </row>
    <row r="4906" spans="3:4" s="237" customFormat="1">
      <c r="C4906" s="16" t="str">
        <f>IFERROR(VLOOKUP(DATA!#REF!,DATA!#REF!,1,FALSE),"")</f>
        <v/>
      </c>
      <c r="D4906" s="16" t="str">
        <f>IFERROR(VLOOKUP(C4906,DATA!#REF!,2,FALSE),"")</f>
        <v/>
      </c>
    </row>
    <row r="4907" spans="3:4" s="237" customFormat="1">
      <c r="C4907" s="16" t="str">
        <f>IFERROR(VLOOKUP(DATA!#REF!,DATA!#REF!,1,FALSE),"")</f>
        <v/>
      </c>
      <c r="D4907" s="16" t="str">
        <f>IFERROR(VLOOKUP(C4907,DATA!#REF!,2,FALSE),"")</f>
        <v/>
      </c>
    </row>
    <row r="4908" spans="3:4" s="237" customFormat="1">
      <c r="C4908" s="16" t="str">
        <f>IFERROR(VLOOKUP(DATA!#REF!,DATA!#REF!,1,FALSE),"")</f>
        <v/>
      </c>
      <c r="D4908" s="16" t="str">
        <f>IFERROR(VLOOKUP(C4908,DATA!#REF!,2,FALSE),"")</f>
        <v/>
      </c>
    </row>
    <row r="4909" spans="3:4" s="237" customFormat="1">
      <c r="C4909" s="16" t="str">
        <f>IFERROR(VLOOKUP(DATA!#REF!,DATA!#REF!,1,FALSE),"")</f>
        <v/>
      </c>
      <c r="D4909" s="16" t="str">
        <f>IFERROR(VLOOKUP(C4909,DATA!#REF!,2,FALSE),"")</f>
        <v/>
      </c>
    </row>
    <row r="4910" spans="3:4" s="237" customFormat="1">
      <c r="C4910" s="16" t="str">
        <f>IFERROR(VLOOKUP(DATA!#REF!,DATA!#REF!,1,FALSE),"")</f>
        <v/>
      </c>
      <c r="D4910" s="16" t="str">
        <f>IFERROR(VLOOKUP(C4910,DATA!#REF!,2,FALSE),"")</f>
        <v/>
      </c>
    </row>
    <row r="4911" spans="3:4" s="237" customFormat="1">
      <c r="C4911" s="16" t="str">
        <f>IFERROR(VLOOKUP(DATA!#REF!,DATA!#REF!,1,FALSE),"")</f>
        <v/>
      </c>
      <c r="D4911" s="16" t="str">
        <f>IFERROR(VLOOKUP(C4911,DATA!#REF!,2,FALSE),"")</f>
        <v/>
      </c>
    </row>
    <row r="4912" spans="3:4" s="237" customFormat="1">
      <c r="C4912" s="16" t="str">
        <f>IFERROR(VLOOKUP(DATA!#REF!,DATA!#REF!,1,FALSE),"")</f>
        <v/>
      </c>
      <c r="D4912" s="16" t="str">
        <f>IFERROR(VLOOKUP(C4912,DATA!#REF!,2,FALSE),"")</f>
        <v/>
      </c>
    </row>
    <row r="4913" spans="3:4" s="237" customFormat="1">
      <c r="C4913" s="16" t="str">
        <f>IFERROR(VLOOKUP(DATA!#REF!,DATA!#REF!,1,FALSE),"")</f>
        <v/>
      </c>
      <c r="D4913" s="16" t="str">
        <f>IFERROR(VLOOKUP(C4913,DATA!#REF!,2,FALSE),"")</f>
        <v/>
      </c>
    </row>
    <row r="4914" spans="3:4" s="237" customFormat="1">
      <c r="C4914" s="16" t="str">
        <f>IFERROR(VLOOKUP(DATA!#REF!,DATA!#REF!,1,FALSE),"")</f>
        <v/>
      </c>
      <c r="D4914" s="16" t="str">
        <f>IFERROR(VLOOKUP(C4914,DATA!#REF!,2,FALSE),"")</f>
        <v/>
      </c>
    </row>
    <row r="4915" spans="3:4" s="237" customFormat="1">
      <c r="C4915" s="16" t="str">
        <f>IFERROR(VLOOKUP(DATA!#REF!,DATA!#REF!,1,FALSE),"")</f>
        <v/>
      </c>
      <c r="D4915" s="16" t="str">
        <f>IFERROR(VLOOKUP(C4915,DATA!#REF!,2,FALSE),"")</f>
        <v/>
      </c>
    </row>
    <row r="4916" spans="3:4" s="237" customFormat="1">
      <c r="C4916" s="16" t="str">
        <f>IFERROR(VLOOKUP(DATA!#REF!,DATA!#REF!,1,FALSE),"")</f>
        <v/>
      </c>
      <c r="D4916" s="16" t="str">
        <f>IFERROR(VLOOKUP(C4916,DATA!#REF!,2,FALSE),"")</f>
        <v/>
      </c>
    </row>
    <row r="4917" spans="3:4" s="237" customFormat="1">
      <c r="C4917" s="16" t="str">
        <f>IFERROR(VLOOKUP(DATA!#REF!,DATA!#REF!,1,FALSE),"")</f>
        <v/>
      </c>
      <c r="D4917" s="16" t="str">
        <f>IFERROR(VLOOKUP(C4917,DATA!#REF!,2,FALSE),"")</f>
        <v/>
      </c>
    </row>
    <row r="4918" spans="3:4" s="237" customFormat="1">
      <c r="C4918" s="16" t="str">
        <f>IFERROR(VLOOKUP(DATA!#REF!,DATA!#REF!,1,FALSE),"")</f>
        <v/>
      </c>
      <c r="D4918" s="16" t="str">
        <f>IFERROR(VLOOKUP(C4918,DATA!#REF!,2,FALSE),"")</f>
        <v/>
      </c>
    </row>
    <row r="4919" spans="3:4" s="237" customFormat="1">
      <c r="C4919" s="16" t="str">
        <f>IFERROR(VLOOKUP(DATA!#REF!,DATA!#REF!,1,FALSE),"")</f>
        <v/>
      </c>
      <c r="D4919" s="16" t="str">
        <f>IFERROR(VLOOKUP(C4919,DATA!#REF!,2,FALSE),"")</f>
        <v/>
      </c>
    </row>
    <row r="4920" spans="3:4" s="237" customFormat="1">
      <c r="C4920" s="16" t="str">
        <f>IFERROR(VLOOKUP(DATA!#REF!,DATA!#REF!,1,FALSE),"")</f>
        <v/>
      </c>
      <c r="D4920" s="16" t="str">
        <f>IFERROR(VLOOKUP(C4920,DATA!#REF!,2,FALSE),"")</f>
        <v/>
      </c>
    </row>
    <row r="4921" spans="3:4" s="237" customFormat="1">
      <c r="C4921" s="16" t="str">
        <f>IFERROR(VLOOKUP(DATA!#REF!,DATA!#REF!,1,FALSE),"")</f>
        <v/>
      </c>
      <c r="D4921" s="16" t="str">
        <f>IFERROR(VLOOKUP(C4921,DATA!#REF!,2,FALSE),"")</f>
        <v/>
      </c>
    </row>
    <row r="4922" spans="3:4" s="237" customFormat="1">
      <c r="C4922" s="16" t="str">
        <f>IFERROR(VLOOKUP(DATA!#REF!,DATA!#REF!,1,FALSE),"")</f>
        <v/>
      </c>
      <c r="D4922" s="16" t="str">
        <f>IFERROR(VLOOKUP(C4922,DATA!#REF!,2,FALSE),"")</f>
        <v/>
      </c>
    </row>
    <row r="4923" spans="3:4" s="237" customFormat="1">
      <c r="C4923" s="16" t="str">
        <f>IFERROR(VLOOKUP(DATA!#REF!,DATA!#REF!,1,FALSE),"")</f>
        <v/>
      </c>
      <c r="D4923" s="16" t="str">
        <f>IFERROR(VLOOKUP(C4923,DATA!#REF!,2,FALSE),"")</f>
        <v/>
      </c>
    </row>
    <row r="4924" spans="3:4" s="237" customFormat="1">
      <c r="C4924" s="16" t="str">
        <f>IFERROR(VLOOKUP(DATA!#REF!,DATA!#REF!,1,FALSE),"")</f>
        <v/>
      </c>
      <c r="D4924" s="16" t="str">
        <f>IFERROR(VLOOKUP(C4924,DATA!#REF!,2,FALSE),"")</f>
        <v/>
      </c>
    </row>
    <row r="4925" spans="3:4" s="237" customFormat="1">
      <c r="C4925" s="16" t="str">
        <f>IFERROR(VLOOKUP(DATA!#REF!,DATA!#REF!,1,FALSE),"")</f>
        <v/>
      </c>
      <c r="D4925" s="16" t="str">
        <f>IFERROR(VLOOKUP(C4925,DATA!#REF!,2,FALSE),"")</f>
        <v/>
      </c>
    </row>
    <row r="4926" spans="3:4" s="237" customFormat="1">
      <c r="C4926" s="16" t="str">
        <f>IFERROR(VLOOKUP(DATA!#REF!,DATA!#REF!,1,FALSE),"")</f>
        <v/>
      </c>
      <c r="D4926" s="16" t="str">
        <f>IFERROR(VLOOKUP(C4926,DATA!#REF!,2,FALSE),"")</f>
        <v/>
      </c>
    </row>
    <row r="4927" spans="3:4" s="237" customFormat="1">
      <c r="C4927" s="16" t="str">
        <f>IFERROR(VLOOKUP(DATA!#REF!,DATA!#REF!,1,FALSE),"")</f>
        <v/>
      </c>
      <c r="D4927" s="16" t="str">
        <f>IFERROR(VLOOKUP(C4927,DATA!#REF!,2,FALSE),"")</f>
        <v/>
      </c>
    </row>
    <row r="4928" spans="3:4" s="237" customFormat="1">
      <c r="C4928" s="16" t="str">
        <f>IFERROR(VLOOKUP(DATA!#REF!,DATA!#REF!,1,FALSE),"")</f>
        <v/>
      </c>
      <c r="D4928" s="16" t="str">
        <f>IFERROR(VLOOKUP(C4928,DATA!#REF!,2,FALSE),"")</f>
        <v/>
      </c>
    </row>
    <row r="4929" spans="3:4" s="237" customFormat="1">
      <c r="C4929" s="16" t="str">
        <f>IFERROR(VLOOKUP(DATA!#REF!,DATA!#REF!,1,FALSE),"")</f>
        <v/>
      </c>
      <c r="D4929" s="16" t="str">
        <f>IFERROR(VLOOKUP(C4929,DATA!#REF!,2,FALSE),"")</f>
        <v/>
      </c>
    </row>
    <row r="4930" spans="3:4" s="237" customFormat="1">
      <c r="C4930" s="16" t="str">
        <f>IFERROR(VLOOKUP(DATA!#REF!,DATA!#REF!,1,FALSE),"")</f>
        <v/>
      </c>
      <c r="D4930" s="16" t="str">
        <f>IFERROR(VLOOKUP(C4930,DATA!#REF!,2,FALSE),"")</f>
        <v/>
      </c>
    </row>
    <row r="4931" spans="3:4" s="237" customFormat="1">
      <c r="C4931" s="16" t="str">
        <f>IFERROR(VLOOKUP(DATA!#REF!,DATA!#REF!,1,FALSE),"")</f>
        <v/>
      </c>
      <c r="D4931" s="16" t="str">
        <f>IFERROR(VLOOKUP(C4931,DATA!#REF!,2,FALSE),"")</f>
        <v/>
      </c>
    </row>
    <row r="4932" spans="3:4" s="237" customFormat="1">
      <c r="C4932" s="16" t="str">
        <f>IFERROR(VLOOKUP(DATA!#REF!,DATA!#REF!,1,FALSE),"")</f>
        <v/>
      </c>
      <c r="D4932" s="16" t="str">
        <f>IFERROR(VLOOKUP(C4932,DATA!#REF!,2,FALSE),"")</f>
        <v/>
      </c>
    </row>
    <row r="4933" spans="3:4" s="237" customFormat="1">
      <c r="C4933" s="16" t="str">
        <f>IFERROR(VLOOKUP(DATA!#REF!,DATA!#REF!,1,FALSE),"")</f>
        <v/>
      </c>
      <c r="D4933" s="16" t="str">
        <f>IFERROR(VLOOKUP(C4933,DATA!#REF!,2,FALSE),"")</f>
        <v/>
      </c>
    </row>
    <row r="4934" spans="3:4" s="237" customFormat="1">
      <c r="C4934" s="16" t="str">
        <f>IFERROR(VLOOKUP(DATA!#REF!,DATA!#REF!,1,FALSE),"")</f>
        <v/>
      </c>
      <c r="D4934" s="16" t="str">
        <f>IFERROR(VLOOKUP(C4934,DATA!#REF!,2,FALSE),"")</f>
        <v/>
      </c>
    </row>
    <row r="4935" spans="3:4" s="237" customFormat="1">
      <c r="C4935" s="16" t="str">
        <f>IFERROR(VLOOKUP(DATA!#REF!,DATA!#REF!,1,FALSE),"")</f>
        <v/>
      </c>
      <c r="D4935" s="16" t="str">
        <f>IFERROR(VLOOKUP(C4935,DATA!#REF!,2,FALSE),"")</f>
        <v/>
      </c>
    </row>
    <row r="4936" spans="3:4" s="237" customFormat="1">
      <c r="C4936" s="16" t="str">
        <f>IFERROR(VLOOKUP(DATA!#REF!,DATA!#REF!,1,FALSE),"")</f>
        <v/>
      </c>
      <c r="D4936" s="16" t="str">
        <f>IFERROR(VLOOKUP(C4936,DATA!#REF!,2,FALSE),"")</f>
        <v/>
      </c>
    </row>
    <row r="4937" spans="3:4" s="237" customFormat="1">
      <c r="C4937" s="16" t="str">
        <f>IFERROR(VLOOKUP(DATA!#REF!,DATA!#REF!,1,FALSE),"")</f>
        <v/>
      </c>
      <c r="D4937" s="16" t="str">
        <f>IFERROR(VLOOKUP(C4937,DATA!#REF!,2,FALSE),"")</f>
        <v/>
      </c>
    </row>
    <row r="4938" spans="3:4" s="237" customFormat="1">
      <c r="C4938" s="16" t="str">
        <f>IFERROR(VLOOKUP(DATA!#REF!,DATA!#REF!,1,FALSE),"")</f>
        <v/>
      </c>
      <c r="D4938" s="16" t="str">
        <f>IFERROR(VLOOKUP(C4938,DATA!#REF!,2,FALSE),"")</f>
        <v/>
      </c>
    </row>
    <row r="4939" spans="3:4" s="237" customFormat="1">
      <c r="C4939" s="16" t="str">
        <f>IFERROR(VLOOKUP(DATA!#REF!,DATA!#REF!,1,FALSE),"")</f>
        <v/>
      </c>
      <c r="D4939" s="16" t="str">
        <f>IFERROR(VLOOKUP(C4939,DATA!#REF!,2,FALSE),"")</f>
        <v/>
      </c>
    </row>
    <row r="4940" spans="3:4" s="237" customFormat="1">
      <c r="C4940" s="16" t="str">
        <f>IFERROR(VLOOKUP(DATA!#REF!,DATA!#REF!,1,FALSE),"")</f>
        <v/>
      </c>
      <c r="D4940" s="16" t="str">
        <f>IFERROR(VLOOKUP(C4940,DATA!#REF!,2,FALSE),"")</f>
        <v/>
      </c>
    </row>
    <row r="4941" spans="3:4" s="237" customFormat="1">
      <c r="C4941" s="16" t="str">
        <f>IFERROR(VLOOKUP(DATA!#REF!,DATA!#REF!,1,FALSE),"")</f>
        <v/>
      </c>
      <c r="D4941" s="16" t="str">
        <f>IFERROR(VLOOKUP(C4941,DATA!#REF!,2,FALSE),"")</f>
        <v/>
      </c>
    </row>
    <row r="4942" spans="3:4" s="237" customFormat="1">
      <c r="C4942" s="16" t="str">
        <f>IFERROR(VLOOKUP(DATA!#REF!,DATA!#REF!,1,FALSE),"")</f>
        <v/>
      </c>
      <c r="D4942" s="16" t="str">
        <f>IFERROR(VLOOKUP(C4942,DATA!#REF!,2,FALSE),"")</f>
        <v/>
      </c>
    </row>
    <row r="4943" spans="3:4" s="237" customFormat="1">
      <c r="C4943" s="16" t="str">
        <f>IFERROR(VLOOKUP(DATA!#REF!,DATA!#REF!,1,FALSE),"")</f>
        <v/>
      </c>
      <c r="D4943" s="16" t="str">
        <f>IFERROR(VLOOKUP(C4943,DATA!#REF!,2,FALSE),"")</f>
        <v/>
      </c>
    </row>
    <row r="4944" spans="3:4" s="237" customFormat="1">
      <c r="C4944" s="16" t="str">
        <f>IFERROR(VLOOKUP(DATA!#REF!,DATA!#REF!,1,FALSE),"")</f>
        <v/>
      </c>
      <c r="D4944" s="16" t="str">
        <f>IFERROR(VLOOKUP(C4944,DATA!#REF!,2,FALSE),"")</f>
        <v/>
      </c>
    </row>
    <row r="4945" spans="3:4" s="237" customFormat="1">
      <c r="C4945" s="16" t="str">
        <f>IFERROR(VLOOKUP(DATA!#REF!,DATA!#REF!,1,FALSE),"")</f>
        <v/>
      </c>
      <c r="D4945" s="16" t="str">
        <f>IFERROR(VLOOKUP(C4945,DATA!#REF!,2,FALSE),"")</f>
        <v/>
      </c>
    </row>
    <row r="4946" spans="3:4" s="237" customFormat="1">
      <c r="C4946" s="16" t="str">
        <f>IFERROR(VLOOKUP(DATA!#REF!,DATA!#REF!,1,FALSE),"")</f>
        <v/>
      </c>
      <c r="D4946" s="16" t="str">
        <f>IFERROR(VLOOKUP(C4946,DATA!#REF!,2,FALSE),"")</f>
        <v/>
      </c>
    </row>
    <row r="4947" spans="3:4" s="237" customFormat="1">
      <c r="C4947" s="16" t="str">
        <f>IFERROR(VLOOKUP(DATA!#REF!,DATA!#REF!,1,FALSE),"")</f>
        <v/>
      </c>
      <c r="D4947" s="16" t="str">
        <f>IFERROR(VLOOKUP(C4947,DATA!#REF!,2,FALSE),"")</f>
        <v/>
      </c>
    </row>
    <row r="4948" spans="3:4" s="237" customFormat="1">
      <c r="C4948" s="16" t="str">
        <f>IFERROR(VLOOKUP(DATA!#REF!,DATA!#REF!,1,FALSE),"")</f>
        <v/>
      </c>
      <c r="D4948" s="16" t="str">
        <f>IFERROR(VLOOKUP(C4948,DATA!#REF!,2,FALSE),"")</f>
        <v/>
      </c>
    </row>
    <row r="4949" spans="3:4" s="237" customFormat="1">
      <c r="C4949" s="16" t="str">
        <f>IFERROR(VLOOKUP(DATA!#REF!,DATA!#REF!,1,FALSE),"")</f>
        <v/>
      </c>
      <c r="D4949" s="16" t="str">
        <f>IFERROR(VLOOKUP(C4949,DATA!#REF!,2,FALSE),"")</f>
        <v/>
      </c>
    </row>
    <row r="4950" spans="3:4" s="237" customFormat="1">
      <c r="C4950" s="16" t="str">
        <f>IFERROR(VLOOKUP(DATA!#REF!,DATA!#REF!,1,FALSE),"")</f>
        <v/>
      </c>
      <c r="D4950" s="16" t="str">
        <f>IFERROR(VLOOKUP(C4950,DATA!#REF!,2,FALSE),"")</f>
        <v/>
      </c>
    </row>
    <row r="4951" spans="3:4" s="237" customFormat="1">
      <c r="C4951" s="16" t="str">
        <f>IFERROR(VLOOKUP(DATA!#REF!,DATA!#REF!,1,FALSE),"")</f>
        <v/>
      </c>
      <c r="D4951" s="16" t="str">
        <f>IFERROR(VLOOKUP(C4951,DATA!#REF!,2,FALSE),"")</f>
        <v/>
      </c>
    </row>
    <row r="4952" spans="3:4" s="237" customFormat="1">
      <c r="C4952" s="16" t="str">
        <f>IFERROR(VLOOKUP(DATA!#REF!,DATA!#REF!,1,FALSE),"")</f>
        <v/>
      </c>
      <c r="D4952" s="16" t="str">
        <f>IFERROR(VLOOKUP(C4952,DATA!#REF!,2,FALSE),"")</f>
        <v/>
      </c>
    </row>
    <row r="4953" spans="3:4" s="237" customFormat="1">
      <c r="C4953" s="16" t="str">
        <f>IFERROR(VLOOKUP(DATA!#REF!,DATA!#REF!,1,FALSE),"")</f>
        <v/>
      </c>
      <c r="D4953" s="16" t="str">
        <f>IFERROR(VLOOKUP(C4953,DATA!#REF!,2,FALSE),"")</f>
        <v/>
      </c>
    </row>
    <row r="4954" spans="3:4" s="237" customFormat="1">
      <c r="C4954" s="16" t="str">
        <f>IFERROR(VLOOKUP(DATA!#REF!,DATA!#REF!,1,FALSE),"")</f>
        <v/>
      </c>
      <c r="D4954" s="16" t="str">
        <f>IFERROR(VLOOKUP(C4954,DATA!#REF!,2,FALSE),"")</f>
        <v/>
      </c>
    </row>
    <row r="4955" spans="3:4" s="237" customFormat="1">
      <c r="C4955" s="16" t="str">
        <f>IFERROR(VLOOKUP(DATA!#REF!,DATA!#REF!,1,FALSE),"")</f>
        <v/>
      </c>
      <c r="D4955" s="16" t="str">
        <f>IFERROR(VLOOKUP(C4955,DATA!#REF!,2,FALSE),"")</f>
        <v/>
      </c>
    </row>
    <row r="4956" spans="3:4" s="237" customFormat="1">
      <c r="C4956" s="16" t="str">
        <f>IFERROR(VLOOKUP(DATA!#REF!,DATA!#REF!,1,FALSE),"")</f>
        <v/>
      </c>
      <c r="D4956" s="16" t="str">
        <f>IFERROR(VLOOKUP(C4956,DATA!#REF!,2,FALSE),"")</f>
        <v/>
      </c>
    </row>
    <row r="4957" spans="3:4" s="237" customFormat="1">
      <c r="C4957" s="16" t="str">
        <f>IFERROR(VLOOKUP(DATA!#REF!,DATA!#REF!,1,FALSE),"")</f>
        <v/>
      </c>
      <c r="D4957" s="16" t="str">
        <f>IFERROR(VLOOKUP(C4957,DATA!#REF!,2,FALSE),"")</f>
        <v/>
      </c>
    </row>
    <row r="4958" spans="3:4" s="237" customFormat="1">
      <c r="C4958" s="16" t="str">
        <f>IFERROR(VLOOKUP(DATA!#REF!,DATA!#REF!,1,FALSE),"")</f>
        <v/>
      </c>
      <c r="D4958" s="16" t="str">
        <f>IFERROR(VLOOKUP(C4958,DATA!#REF!,2,FALSE),"")</f>
        <v/>
      </c>
    </row>
    <row r="4959" spans="3:4" s="237" customFormat="1">
      <c r="C4959" s="16" t="str">
        <f>IFERROR(VLOOKUP(DATA!#REF!,DATA!#REF!,1,FALSE),"")</f>
        <v/>
      </c>
      <c r="D4959" s="16" t="str">
        <f>IFERROR(VLOOKUP(C4959,DATA!#REF!,2,FALSE),"")</f>
        <v/>
      </c>
    </row>
    <row r="4960" spans="3:4" s="237" customFormat="1">
      <c r="C4960" s="16" t="str">
        <f>IFERROR(VLOOKUP(DATA!#REF!,DATA!#REF!,1,FALSE),"")</f>
        <v/>
      </c>
      <c r="D4960" s="16" t="str">
        <f>IFERROR(VLOOKUP(C4960,DATA!#REF!,2,FALSE),"")</f>
        <v/>
      </c>
    </row>
    <row r="4961" spans="3:4" s="237" customFormat="1">
      <c r="C4961" s="16" t="str">
        <f>IFERROR(VLOOKUP(DATA!#REF!,DATA!#REF!,1,FALSE),"")</f>
        <v/>
      </c>
      <c r="D4961" s="16" t="str">
        <f>IFERROR(VLOOKUP(C4961,DATA!#REF!,2,FALSE),"")</f>
        <v/>
      </c>
    </row>
    <row r="4962" spans="3:4" s="237" customFormat="1">
      <c r="C4962" s="16" t="str">
        <f>IFERROR(VLOOKUP(DATA!#REF!,DATA!#REF!,1,FALSE),"")</f>
        <v/>
      </c>
      <c r="D4962" s="16" t="str">
        <f>IFERROR(VLOOKUP(C4962,DATA!#REF!,2,FALSE),"")</f>
        <v/>
      </c>
    </row>
    <row r="4963" spans="3:4" s="237" customFormat="1">
      <c r="C4963" s="16" t="str">
        <f>IFERROR(VLOOKUP(DATA!#REF!,DATA!#REF!,1,FALSE),"")</f>
        <v/>
      </c>
      <c r="D4963" s="16" t="str">
        <f>IFERROR(VLOOKUP(C4963,DATA!#REF!,2,FALSE),"")</f>
        <v/>
      </c>
    </row>
    <row r="4964" spans="3:4" s="237" customFormat="1">
      <c r="C4964" s="16" t="str">
        <f>IFERROR(VLOOKUP(DATA!#REF!,DATA!#REF!,1,FALSE),"")</f>
        <v/>
      </c>
      <c r="D4964" s="16" t="str">
        <f>IFERROR(VLOOKUP(C4964,DATA!#REF!,2,FALSE),"")</f>
        <v/>
      </c>
    </row>
    <row r="4965" spans="3:4" s="237" customFormat="1">
      <c r="C4965" s="16" t="str">
        <f>IFERROR(VLOOKUP(DATA!#REF!,DATA!#REF!,1,FALSE),"")</f>
        <v/>
      </c>
      <c r="D4965" s="16" t="str">
        <f>IFERROR(VLOOKUP(C4965,DATA!#REF!,2,FALSE),"")</f>
        <v/>
      </c>
    </row>
    <row r="4966" spans="3:4" s="237" customFormat="1">
      <c r="C4966" s="16" t="str">
        <f>IFERROR(VLOOKUP(DATA!#REF!,DATA!#REF!,1,FALSE),"")</f>
        <v/>
      </c>
      <c r="D4966" s="16" t="str">
        <f>IFERROR(VLOOKUP(C4966,DATA!#REF!,2,FALSE),"")</f>
        <v/>
      </c>
    </row>
    <row r="4967" spans="3:4" s="237" customFormat="1">
      <c r="C4967" s="16" t="str">
        <f>IFERROR(VLOOKUP(DATA!#REF!,DATA!#REF!,1,FALSE),"")</f>
        <v/>
      </c>
      <c r="D4967" s="16" t="str">
        <f>IFERROR(VLOOKUP(C4967,DATA!#REF!,2,FALSE),"")</f>
        <v/>
      </c>
    </row>
    <row r="4968" spans="3:4" s="237" customFormat="1">
      <c r="C4968" s="16" t="str">
        <f>IFERROR(VLOOKUP(DATA!#REF!,DATA!#REF!,1,FALSE),"")</f>
        <v/>
      </c>
      <c r="D4968" s="16" t="str">
        <f>IFERROR(VLOOKUP(C4968,DATA!#REF!,2,FALSE),"")</f>
        <v/>
      </c>
    </row>
    <row r="4969" spans="3:4" s="237" customFormat="1">
      <c r="C4969" s="16" t="str">
        <f>IFERROR(VLOOKUP(DATA!#REF!,DATA!#REF!,1,FALSE),"")</f>
        <v/>
      </c>
      <c r="D4969" s="16" t="str">
        <f>IFERROR(VLOOKUP(C4969,DATA!#REF!,2,FALSE),"")</f>
        <v/>
      </c>
    </row>
    <row r="4970" spans="3:4" s="237" customFormat="1">
      <c r="C4970" s="16" t="str">
        <f>IFERROR(VLOOKUP(DATA!#REF!,DATA!#REF!,1,FALSE),"")</f>
        <v/>
      </c>
      <c r="D4970" s="16" t="str">
        <f>IFERROR(VLOOKUP(C4970,DATA!#REF!,2,FALSE),"")</f>
        <v/>
      </c>
    </row>
    <row r="4971" spans="3:4" s="237" customFormat="1">
      <c r="C4971" s="16" t="str">
        <f>IFERROR(VLOOKUP(DATA!#REF!,DATA!#REF!,1,FALSE),"")</f>
        <v/>
      </c>
      <c r="D4971" s="16" t="str">
        <f>IFERROR(VLOOKUP(C4971,DATA!#REF!,2,FALSE),"")</f>
        <v/>
      </c>
    </row>
    <row r="4972" spans="3:4" s="237" customFormat="1">
      <c r="C4972" s="16" t="str">
        <f>IFERROR(VLOOKUP(DATA!#REF!,DATA!#REF!,1,FALSE),"")</f>
        <v/>
      </c>
      <c r="D4972" s="16" t="str">
        <f>IFERROR(VLOOKUP(C4972,DATA!#REF!,2,FALSE),"")</f>
        <v/>
      </c>
    </row>
    <row r="4973" spans="3:4" s="237" customFormat="1">
      <c r="C4973" s="16" t="str">
        <f>IFERROR(VLOOKUP(DATA!#REF!,DATA!#REF!,1,FALSE),"")</f>
        <v/>
      </c>
      <c r="D4973" s="16" t="str">
        <f>IFERROR(VLOOKUP(C4973,DATA!#REF!,2,FALSE),"")</f>
        <v/>
      </c>
    </row>
    <row r="4974" spans="3:4" s="237" customFormat="1">
      <c r="C4974" s="16" t="str">
        <f>IFERROR(VLOOKUP(DATA!#REF!,DATA!#REF!,1,FALSE),"")</f>
        <v/>
      </c>
      <c r="D4974" s="16" t="str">
        <f>IFERROR(VLOOKUP(C4974,DATA!#REF!,2,FALSE),"")</f>
        <v/>
      </c>
    </row>
    <row r="4975" spans="3:4" s="237" customFormat="1">
      <c r="C4975" s="16" t="str">
        <f>IFERROR(VLOOKUP(DATA!#REF!,DATA!#REF!,1,FALSE),"")</f>
        <v/>
      </c>
      <c r="D4975" s="16" t="str">
        <f>IFERROR(VLOOKUP(C4975,DATA!#REF!,2,FALSE),"")</f>
        <v/>
      </c>
    </row>
    <row r="4976" spans="3:4" s="237" customFormat="1">
      <c r="C4976" s="16" t="str">
        <f>IFERROR(VLOOKUP(DATA!#REF!,DATA!#REF!,1,FALSE),"")</f>
        <v/>
      </c>
      <c r="D4976" s="16" t="str">
        <f>IFERROR(VLOOKUP(C4976,DATA!#REF!,2,FALSE),"")</f>
        <v/>
      </c>
    </row>
    <row r="4977" spans="3:4" s="237" customFormat="1">
      <c r="C4977" s="16" t="str">
        <f>IFERROR(VLOOKUP(DATA!#REF!,DATA!#REF!,1,FALSE),"")</f>
        <v/>
      </c>
      <c r="D4977" s="16" t="str">
        <f>IFERROR(VLOOKUP(C4977,DATA!#REF!,2,FALSE),"")</f>
        <v/>
      </c>
    </row>
    <row r="4978" spans="3:4" s="237" customFormat="1">
      <c r="C4978" s="16" t="str">
        <f>IFERROR(VLOOKUP(DATA!#REF!,DATA!#REF!,1,FALSE),"")</f>
        <v/>
      </c>
      <c r="D4978" s="16" t="str">
        <f>IFERROR(VLOOKUP(C4978,DATA!#REF!,2,FALSE),"")</f>
        <v/>
      </c>
    </row>
    <row r="4979" spans="3:4" s="237" customFormat="1">
      <c r="C4979" s="16" t="str">
        <f>IFERROR(VLOOKUP(DATA!#REF!,DATA!#REF!,1,FALSE),"")</f>
        <v/>
      </c>
      <c r="D4979" s="16" t="str">
        <f>IFERROR(VLOOKUP(C4979,DATA!#REF!,2,FALSE),"")</f>
        <v/>
      </c>
    </row>
    <row r="4980" spans="3:4" s="237" customFormat="1">
      <c r="C4980" s="16" t="str">
        <f>IFERROR(VLOOKUP(DATA!#REF!,DATA!#REF!,1,FALSE),"")</f>
        <v/>
      </c>
      <c r="D4980" s="16" t="str">
        <f>IFERROR(VLOOKUP(C4980,DATA!#REF!,2,FALSE),"")</f>
        <v/>
      </c>
    </row>
    <row r="4981" spans="3:4" s="237" customFormat="1">
      <c r="C4981" s="16" t="str">
        <f>IFERROR(VLOOKUP(DATA!#REF!,DATA!#REF!,1,FALSE),"")</f>
        <v/>
      </c>
      <c r="D4981" s="16" t="str">
        <f>IFERROR(VLOOKUP(C4981,DATA!#REF!,2,FALSE),"")</f>
        <v/>
      </c>
    </row>
    <row r="4982" spans="3:4" s="237" customFormat="1">
      <c r="C4982" s="16" t="str">
        <f>IFERROR(VLOOKUP(DATA!#REF!,DATA!#REF!,1,FALSE),"")</f>
        <v/>
      </c>
      <c r="D4982" s="16" t="str">
        <f>IFERROR(VLOOKUP(C4982,DATA!#REF!,2,FALSE),"")</f>
        <v/>
      </c>
    </row>
    <row r="4983" spans="3:4" s="237" customFormat="1">
      <c r="C4983" s="16" t="str">
        <f>IFERROR(VLOOKUP(DATA!#REF!,DATA!#REF!,1,FALSE),"")</f>
        <v/>
      </c>
      <c r="D4983" s="16" t="str">
        <f>IFERROR(VLOOKUP(C4983,DATA!#REF!,2,FALSE),"")</f>
        <v/>
      </c>
    </row>
    <row r="4984" spans="3:4" s="237" customFormat="1">
      <c r="C4984" s="16" t="str">
        <f>IFERROR(VLOOKUP(DATA!#REF!,DATA!#REF!,1,FALSE),"")</f>
        <v/>
      </c>
      <c r="D4984" s="16" t="str">
        <f>IFERROR(VLOOKUP(C4984,DATA!#REF!,2,FALSE),"")</f>
        <v/>
      </c>
    </row>
    <row r="4985" spans="3:4" s="237" customFormat="1">
      <c r="C4985" s="16" t="str">
        <f>IFERROR(VLOOKUP(DATA!#REF!,DATA!#REF!,1,FALSE),"")</f>
        <v/>
      </c>
      <c r="D4985" s="16" t="str">
        <f>IFERROR(VLOOKUP(C4985,DATA!#REF!,2,FALSE),"")</f>
        <v/>
      </c>
    </row>
    <row r="4986" spans="3:4" s="237" customFormat="1">
      <c r="C4986" s="16" t="str">
        <f>IFERROR(VLOOKUP(DATA!#REF!,DATA!#REF!,1,FALSE),"")</f>
        <v/>
      </c>
      <c r="D4986" s="16" t="str">
        <f>IFERROR(VLOOKUP(C4986,DATA!#REF!,2,FALSE),"")</f>
        <v/>
      </c>
    </row>
    <row r="4987" spans="3:4" s="237" customFormat="1">
      <c r="C4987" s="16" t="str">
        <f>IFERROR(VLOOKUP(DATA!#REF!,DATA!#REF!,1,FALSE),"")</f>
        <v/>
      </c>
      <c r="D4987" s="16" t="str">
        <f>IFERROR(VLOOKUP(C4987,DATA!#REF!,2,FALSE),"")</f>
        <v/>
      </c>
    </row>
    <row r="4988" spans="3:4" s="237" customFormat="1">
      <c r="C4988" s="16" t="str">
        <f>IFERROR(VLOOKUP(DATA!#REF!,DATA!#REF!,1,FALSE),"")</f>
        <v/>
      </c>
      <c r="D4988" s="16" t="str">
        <f>IFERROR(VLOOKUP(C4988,DATA!#REF!,2,FALSE),"")</f>
        <v/>
      </c>
    </row>
    <row r="4989" spans="3:4" s="237" customFormat="1">
      <c r="C4989" s="16" t="str">
        <f>IFERROR(VLOOKUP(DATA!#REF!,DATA!#REF!,1,FALSE),"")</f>
        <v/>
      </c>
      <c r="D4989" s="16" t="str">
        <f>IFERROR(VLOOKUP(C4989,DATA!#REF!,2,FALSE),"")</f>
        <v/>
      </c>
    </row>
    <row r="4990" spans="3:4" s="237" customFormat="1">
      <c r="C4990" s="16" t="str">
        <f>IFERROR(VLOOKUP(DATA!#REF!,DATA!#REF!,1,FALSE),"")</f>
        <v/>
      </c>
      <c r="D4990" s="16" t="str">
        <f>IFERROR(VLOOKUP(C4990,DATA!#REF!,2,FALSE),"")</f>
        <v/>
      </c>
    </row>
    <row r="4991" spans="3:4" s="237" customFormat="1">
      <c r="C4991" s="16" t="str">
        <f>IFERROR(VLOOKUP(DATA!#REF!,DATA!#REF!,1,FALSE),"")</f>
        <v/>
      </c>
      <c r="D4991" s="16" t="str">
        <f>IFERROR(VLOOKUP(C4991,DATA!#REF!,2,FALSE),"")</f>
        <v/>
      </c>
    </row>
    <row r="4992" spans="3:4" s="237" customFormat="1">
      <c r="C4992" s="16" t="str">
        <f>IFERROR(VLOOKUP(DATA!#REF!,DATA!#REF!,1,FALSE),"")</f>
        <v/>
      </c>
      <c r="D4992" s="16" t="str">
        <f>IFERROR(VLOOKUP(C4992,DATA!#REF!,2,FALSE),"")</f>
        <v/>
      </c>
    </row>
    <row r="4993" spans="3:4" s="237" customFormat="1">
      <c r="C4993" s="16" t="str">
        <f>IFERROR(VLOOKUP(DATA!#REF!,DATA!#REF!,1,FALSE),"")</f>
        <v/>
      </c>
      <c r="D4993" s="16" t="str">
        <f>IFERROR(VLOOKUP(C4993,DATA!#REF!,2,FALSE),"")</f>
        <v/>
      </c>
    </row>
    <row r="4994" spans="3:4" s="237" customFormat="1">
      <c r="C4994" s="16" t="str">
        <f>IFERROR(VLOOKUP(DATA!#REF!,DATA!#REF!,1,FALSE),"")</f>
        <v/>
      </c>
      <c r="D4994" s="16" t="str">
        <f>IFERROR(VLOOKUP(C4994,DATA!#REF!,2,FALSE),"")</f>
        <v/>
      </c>
    </row>
    <row r="4995" spans="3:4" s="237" customFormat="1">
      <c r="C4995" s="16" t="str">
        <f>IFERROR(VLOOKUP(DATA!#REF!,DATA!#REF!,1,FALSE),"")</f>
        <v/>
      </c>
      <c r="D4995" s="16" t="str">
        <f>IFERROR(VLOOKUP(C4995,DATA!#REF!,2,FALSE),"")</f>
        <v/>
      </c>
    </row>
    <row r="4996" spans="3:4" s="237" customFormat="1">
      <c r="C4996" s="16" t="str">
        <f>IFERROR(VLOOKUP(DATA!#REF!,DATA!#REF!,1,FALSE),"")</f>
        <v/>
      </c>
      <c r="D4996" s="16" t="str">
        <f>IFERROR(VLOOKUP(C4996,DATA!#REF!,2,FALSE),"")</f>
        <v/>
      </c>
    </row>
    <row r="4997" spans="3:4" s="237" customFormat="1">
      <c r="C4997" s="16" t="str">
        <f>IFERROR(VLOOKUP(DATA!#REF!,DATA!#REF!,1,FALSE),"")</f>
        <v/>
      </c>
      <c r="D4997" s="16" t="str">
        <f>IFERROR(VLOOKUP(C4997,DATA!#REF!,2,FALSE),"")</f>
        <v/>
      </c>
    </row>
    <row r="4998" spans="3:4" s="237" customFormat="1">
      <c r="C4998" s="16" t="str">
        <f>IFERROR(VLOOKUP(DATA!#REF!,DATA!#REF!,1,FALSE),"")</f>
        <v/>
      </c>
      <c r="D4998" s="16" t="str">
        <f>IFERROR(VLOOKUP(C4998,DATA!#REF!,2,FALSE),"")</f>
        <v/>
      </c>
    </row>
    <row r="4999" spans="3:4" s="237" customFormat="1">
      <c r="C4999" s="16" t="str">
        <f>IFERROR(VLOOKUP(DATA!#REF!,DATA!#REF!,1,FALSE),"")</f>
        <v/>
      </c>
      <c r="D4999" s="16" t="str">
        <f>IFERROR(VLOOKUP(C4999,DATA!#REF!,2,FALSE),"")</f>
        <v/>
      </c>
    </row>
    <row r="5000" spans="3:4" s="237" customFormat="1">
      <c r="C5000" s="16" t="str">
        <f>IFERROR(VLOOKUP(DATA!#REF!,DATA!#REF!,1,FALSE),"")</f>
        <v/>
      </c>
      <c r="D5000" s="16" t="str">
        <f>IFERROR(VLOOKUP(C5000,DATA!#REF!,2,FALSE),"")</f>
        <v/>
      </c>
    </row>
    <row r="5001" spans="3:4" s="237" customFormat="1">
      <c r="C5001" s="16" t="str">
        <f>IFERROR(VLOOKUP(DATA!#REF!,DATA!#REF!,1,FALSE),"")</f>
        <v/>
      </c>
      <c r="D5001" s="16" t="str">
        <f>IFERROR(VLOOKUP(C5001,DATA!#REF!,2,FALSE),"")</f>
        <v/>
      </c>
    </row>
    <row r="5002" spans="3:4" s="237" customFormat="1">
      <c r="C5002" s="16" t="str">
        <f>IFERROR(VLOOKUP(DATA!#REF!,DATA!#REF!,1,FALSE),"")</f>
        <v/>
      </c>
      <c r="D5002" s="16" t="str">
        <f>IFERROR(VLOOKUP(C5002,DATA!#REF!,2,FALSE),"")</f>
        <v/>
      </c>
    </row>
    <row r="5003" spans="3:4" s="237" customFormat="1">
      <c r="C5003" s="16" t="str">
        <f>IFERROR(VLOOKUP(DATA!#REF!,DATA!#REF!,1,FALSE),"")</f>
        <v/>
      </c>
      <c r="D5003" s="16" t="str">
        <f>IFERROR(VLOOKUP(C5003,DATA!#REF!,2,FALSE),"")</f>
        <v/>
      </c>
    </row>
    <row r="5004" spans="3:4" s="237" customFormat="1">
      <c r="C5004" s="16" t="str">
        <f>IFERROR(VLOOKUP(DATA!#REF!,DATA!#REF!,1,FALSE),"")</f>
        <v/>
      </c>
      <c r="D5004" s="16" t="str">
        <f>IFERROR(VLOOKUP(C5004,DATA!#REF!,2,FALSE),"")</f>
        <v/>
      </c>
    </row>
    <row r="5005" spans="3:4" s="237" customFormat="1">
      <c r="C5005" s="16" t="str">
        <f>IFERROR(VLOOKUP(DATA!#REF!,DATA!#REF!,1,FALSE),"")</f>
        <v/>
      </c>
      <c r="D5005" s="16" t="str">
        <f>IFERROR(VLOOKUP(C5005,DATA!#REF!,2,FALSE),"")</f>
        <v/>
      </c>
    </row>
    <row r="5006" spans="3:4" s="237" customFormat="1">
      <c r="C5006" s="16" t="str">
        <f>IFERROR(VLOOKUP(DATA!#REF!,DATA!#REF!,1,FALSE),"")</f>
        <v/>
      </c>
      <c r="D5006" s="16" t="str">
        <f>IFERROR(VLOOKUP(C5006,DATA!#REF!,2,FALSE),"")</f>
        <v/>
      </c>
    </row>
    <row r="5007" spans="3:4" s="237" customFormat="1">
      <c r="C5007" s="16" t="str">
        <f>IFERROR(VLOOKUP(DATA!#REF!,DATA!#REF!,1,FALSE),"")</f>
        <v/>
      </c>
      <c r="D5007" s="16" t="str">
        <f>IFERROR(VLOOKUP(C5007,DATA!#REF!,2,FALSE),"")</f>
        <v/>
      </c>
    </row>
    <row r="5008" spans="3:4" s="237" customFormat="1">
      <c r="C5008" s="16" t="str">
        <f>IFERROR(VLOOKUP(DATA!#REF!,DATA!#REF!,1,FALSE),"")</f>
        <v/>
      </c>
      <c r="D5008" s="16" t="str">
        <f>IFERROR(VLOOKUP(C5008,DATA!#REF!,2,FALSE),"")</f>
        <v/>
      </c>
    </row>
    <row r="5009" spans="3:4" s="237" customFormat="1">
      <c r="C5009" s="16" t="str">
        <f>IFERROR(VLOOKUP(DATA!#REF!,DATA!#REF!,1,FALSE),"")</f>
        <v/>
      </c>
      <c r="D5009" s="16" t="str">
        <f>IFERROR(VLOOKUP(C5009,DATA!#REF!,2,FALSE),"")</f>
        <v/>
      </c>
    </row>
    <row r="5010" spans="3:4" s="237" customFormat="1">
      <c r="C5010" s="16" t="str">
        <f>IFERROR(VLOOKUP(DATA!#REF!,DATA!#REF!,1,FALSE),"")</f>
        <v/>
      </c>
      <c r="D5010" s="16" t="str">
        <f>IFERROR(VLOOKUP(C5010,DATA!#REF!,2,FALSE),"")</f>
        <v/>
      </c>
    </row>
    <row r="5011" spans="3:4" s="237" customFormat="1">
      <c r="C5011" s="16" t="str">
        <f>IFERROR(VLOOKUP(DATA!#REF!,DATA!#REF!,1,FALSE),"")</f>
        <v/>
      </c>
      <c r="D5011" s="16" t="str">
        <f>IFERROR(VLOOKUP(C5011,DATA!#REF!,2,FALSE),"")</f>
        <v/>
      </c>
    </row>
    <row r="5012" spans="3:4" s="237" customFormat="1">
      <c r="C5012" s="16" t="str">
        <f>IFERROR(VLOOKUP(DATA!#REF!,DATA!#REF!,1,FALSE),"")</f>
        <v/>
      </c>
      <c r="D5012" s="16" t="str">
        <f>IFERROR(VLOOKUP(C5012,DATA!#REF!,2,FALSE),"")</f>
        <v/>
      </c>
    </row>
    <row r="5013" spans="3:4" s="237" customFormat="1">
      <c r="C5013" s="16" t="str">
        <f>IFERROR(VLOOKUP(DATA!#REF!,DATA!#REF!,1,FALSE),"")</f>
        <v/>
      </c>
      <c r="D5013" s="16" t="str">
        <f>IFERROR(VLOOKUP(C5013,DATA!#REF!,2,FALSE),"")</f>
        <v/>
      </c>
    </row>
    <row r="5014" spans="3:4" s="237" customFormat="1">
      <c r="C5014" s="16" t="str">
        <f>IFERROR(VLOOKUP(DATA!#REF!,DATA!#REF!,1,FALSE),"")</f>
        <v/>
      </c>
      <c r="D5014" s="16" t="str">
        <f>IFERROR(VLOOKUP(C5014,DATA!#REF!,2,FALSE),"")</f>
        <v/>
      </c>
    </row>
    <row r="5015" spans="3:4" s="237" customFormat="1">
      <c r="C5015" s="16" t="str">
        <f>IFERROR(VLOOKUP(DATA!#REF!,DATA!#REF!,1,FALSE),"")</f>
        <v/>
      </c>
      <c r="D5015" s="16" t="str">
        <f>IFERROR(VLOOKUP(C5015,DATA!#REF!,2,FALSE),"")</f>
        <v/>
      </c>
    </row>
    <row r="5016" spans="3:4" s="237" customFormat="1">
      <c r="C5016" s="16" t="str">
        <f>IFERROR(VLOOKUP(DATA!#REF!,DATA!#REF!,1,FALSE),"")</f>
        <v/>
      </c>
      <c r="D5016" s="16" t="str">
        <f>IFERROR(VLOOKUP(C5016,DATA!#REF!,2,FALSE),"")</f>
        <v/>
      </c>
    </row>
    <row r="5017" spans="3:4" s="237" customFormat="1">
      <c r="C5017" s="16" t="str">
        <f>IFERROR(VLOOKUP(DATA!#REF!,DATA!#REF!,1,FALSE),"")</f>
        <v/>
      </c>
      <c r="D5017" s="16" t="str">
        <f>IFERROR(VLOOKUP(C5017,DATA!#REF!,2,FALSE),"")</f>
        <v/>
      </c>
    </row>
    <row r="5018" spans="3:4" s="237" customFormat="1">
      <c r="C5018" s="16" t="str">
        <f>IFERROR(VLOOKUP(DATA!#REF!,DATA!#REF!,1,FALSE),"")</f>
        <v/>
      </c>
      <c r="D5018" s="16" t="str">
        <f>IFERROR(VLOOKUP(C5018,DATA!#REF!,2,FALSE),"")</f>
        <v/>
      </c>
    </row>
    <row r="5019" spans="3:4" s="237" customFormat="1">
      <c r="C5019" s="16" t="str">
        <f>IFERROR(VLOOKUP(DATA!#REF!,DATA!#REF!,1,FALSE),"")</f>
        <v/>
      </c>
      <c r="D5019" s="16" t="str">
        <f>IFERROR(VLOOKUP(C5019,DATA!#REF!,2,FALSE),"")</f>
        <v/>
      </c>
    </row>
    <row r="5020" spans="3:4" s="237" customFormat="1">
      <c r="C5020" s="16" t="str">
        <f>IFERROR(VLOOKUP(DATA!#REF!,DATA!#REF!,1,FALSE),"")</f>
        <v/>
      </c>
      <c r="D5020" s="16" t="str">
        <f>IFERROR(VLOOKUP(C5020,DATA!#REF!,2,FALSE),"")</f>
        <v/>
      </c>
    </row>
    <row r="5021" spans="3:4" s="237" customFormat="1">
      <c r="C5021" s="16" t="str">
        <f>IFERROR(VLOOKUP(DATA!#REF!,DATA!#REF!,1,FALSE),"")</f>
        <v/>
      </c>
      <c r="D5021" s="16" t="str">
        <f>IFERROR(VLOOKUP(C5021,DATA!#REF!,2,FALSE),"")</f>
        <v/>
      </c>
    </row>
    <row r="5022" spans="3:4" s="237" customFormat="1">
      <c r="C5022" s="16" t="str">
        <f>IFERROR(VLOOKUP(DATA!#REF!,DATA!#REF!,1,FALSE),"")</f>
        <v/>
      </c>
      <c r="D5022" s="16" t="str">
        <f>IFERROR(VLOOKUP(C5022,DATA!#REF!,2,FALSE),"")</f>
        <v/>
      </c>
    </row>
    <row r="5023" spans="3:4" s="237" customFormat="1">
      <c r="C5023" s="16" t="str">
        <f>IFERROR(VLOOKUP(DATA!#REF!,DATA!#REF!,1,FALSE),"")</f>
        <v/>
      </c>
      <c r="D5023" s="16" t="str">
        <f>IFERROR(VLOOKUP(C5023,DATA!#REF!,2,FALSE),"")</f>
        <v/>
      </c>
    </row>
    <row r="5024" spans="3:4" s="237" customFormat="1">
      <c r="C5024" s="16" t="str">
        <f>IFERROR(VLOOKUP(DATA!#REF!,DATA!#REF!,1,FALSE),"")</f>
        <v/>
      </c>
      <c r="D5024" s="16" t="str">
        <f>IFERROR(VLOOKUP(C5024,DATA!#REF!,2,FALSE),"")</f>
        <v/>
      </c>
    </row>
    <row r="5025" spans="3:4" s="237" customFormat="1">
      <c r="C5025" s="16" t="str">
        <f>IFERROR(VLOOKUP(DATA!#REF!,DATA!#REF!,1,FALSE),"")</f>
        <v/>
      </c>
      <c r="D5025" s="16" t="str">
        <f>IFERROR(VLOOKUP(C5025,DATA!#REF!,2,FALSE),"")</f>
        <v/>
      </c>
    </row>
    <row r="5026" spans="3:4" s="237" customFormat="1">
      <c r="C5026" s="16" t="str">
        <f>IFERROR(VLOOKUP(DATA!#REF!,DATA!#REF!,1,FALSE),"")</f>
        <v/>
      </c>
      <c r="D5026" s="16" t="str">
        <f>IFERROR(VLOOKUP(C5026,DATA!#REF!,2,FALSE),"")</f>
        <v/>
      </c>
    </row>
    <row r="5027" spans="3:4" s="237" customFormat="1">
      <c r="C5027" s="16" t="str">
        <f>IFERROR(VLOOKUP(DATA!#REF!,DATA!#REF!,1,FALSE),"")</f>
        <v/>
      </c>
      <c r="D5027" s="16" t="str">
        <f>IFERROR(VLOOKUP(C5027,DATA!#REF!,2,FALSE),"")</f>
        <v/>
      </c>
    </row>
    <row r="5028" spans="3:4" s="237" customFormat="1">
      <c r="C5028" s="16" t="str">
        <f>IFERROR(VLOOKUP(DATA!#REF!,DATA!#REF!,1,FALSE),"")</f>
        <v/>
      </c>
      <c r="D5028" s="16" t="str">
        <f>IFERROR(VLOOKUP(C5028,DATA!#REF!,2,FALSE),"")</f>
        <v/>
      </c>
    </row>
    <row r="5029" spans="3:4" s="237" customFormat="1">
      <c r="C5029" s="16" t="str">
        <f>IFERROR(VLOOKUP(DATA!#REF!,DATA!#REF!,1,FALSE),"")</f>
        <v/>
      </c>
      <c r="D5029" s="16" t="str">
        <f>IFERROR(VLOOKUP(C5029,DATA!#REF!,2,FALSE),"")</f>
        <v/>
      </c>
    </row>
    <row r="5030" spans="3:4" s="237" customFormat="1">
      <c r="C5030" s="16" t="str">
        <f>IFERROR(VLOOKUP(DATA!#REF!,DATA!#REF!,1,FALSE),"")</f>
        <v/>
      </c>
      <c r="D5030" s="16" t="str">
        <f>IFERROR(VLOOKUP(C5030,DATA!#REF!,2,FALSE),"")</f>
        <v/>
      </c>
    </row>
    <row r="5031" spans="3:4" s="237" customFormat="1">
      <c r="C5031" s="16" t="str">
        <f>IFERROR(VLOOKUP(DATA!#REF!,DATA!#REF!,1,FALSE),"")</f>
        <v/>
      </c>
      <c r="D5031" s="16" t="str">
        <f>IFERROR(VLOOKUP(C5031,DATA!#REF!,2,FALSE),"")</f>
        <v/>
      </c>
    </row>
    <row r="5032" spans="3:4" s="237" customFormat="1">
      <c r="C5032" s="16" t="str">
        <f>IFERROR(VLOOKUP(DATA!#REF!,DATA!#REF!,1,FALSE),"")</f>
        <v/>
      </c>
      <c r="D5032" s="16" t="str">
        <f>IFERROR(VLOOKUP(C5032,DATA!#REF!,2,FALSE),"")</f>
        <v/>
      </c>
    </row>
    <row r="5033" spans="3:4" s="237" customFormat="1">
      <c r="C5033" s="16" t="str">
        <f>IFERROR(VLOOKUP(DATA!#REF!,DATA!#REF!,1,FALSE),"")</f>
        <v/>
      </c>
      <c r="D5033" s="16" t="str">
        <f>IFERROR(VLOOKUP(C5033,DATA!#REF!,2,FALSE),"")</f>
        <v/>
      </c>
    </row>
    <row r="5034" spans="3:4" s="237" customFormat="1">
      <c r="C5034" s="16" t="str">
        <f>IFERROR(VLOOKUP(DATA!#REF!,DATA!#REF!,1,FALSE),"")</f>
        <v/>
      </c>
      <c r="D5034" s="16" t="str">
        <f>IFERROR(VLOOKUP(C5034,DATA!#REF!,2,FALSE),"")</f>
        <v/>
      </c>
    </row>
    <row r="5035" spans="3:4" s="237" customFormat="1">
      <c r="C5035" s="16" t="str">
        <f>IFERROR(VLOOKUP(DATA!#REF!,DATA!#REF!,1,FALSE),"")</f>
        <v/>
      </c>
      <c r="D5035" s="16" t="str">
        <f>IFERROR(VLOOKUP(C5035,DATA!#REF!,2,FALSE),"")</f>
        <v/>
      </c>
    </row>
    <row r="5036" spans="3:4" s="237" customFormat="1">
      <c r="C5036" s="16" t="str">
        <f>IFERROR(VLOOKUP(DATA!#REF!,DATA!#REF!,1,FALSE),"")</f>
        <v/>
      </c>
      <c r="D5036" s="16" t="str">
        <f>IFERROR(VLOOKUP(C5036,DATA!#REF!,2,FALSE),"")</f>
        <v/>
      </c>
    </row>
    <row r="5037" spans="3:4" s="237" customFormat="1">
      <c r="C5037" s="16" t="str">
        <f>IFERROR(VLOOKUP(DATA!#REF!,DATA!#REF!,1,FALSE),"")</f>
        <v/>
      </c>
      <c r="D5037" s="16" t="str">
        <f>IFERROR(VLOOKUP(C5037,DATA!#REF!,2,FALSE),"")</f>
        <v/>
      </c>
    </row>
    <row r="5038" spans="3:4" s="237" customFormat="1">
      <c r="C5038" s="16" t="str">
        <f>IFERROR(VLOOKUP(DATA!#REF!,DATA!#REF!,1,FALSE),"")</f>
        <v/>
      </c>
      <c r="D5038" s="16" t="str">
        <f>IFERROR(VLOOKUP(C5038,DATA!#REF!,2,FALSE),"")</f>
        <v/>
      </c>
    </row>
    <row r="5039" spans="3:4" s="237" customFormat="1">
      <c r="C5039" s="16" t="str">
        <f>IFERROR(VLOOKUP(DATA!#REF!,DATA!#REF!,1,FALSE),"")</f>
        <v/>
      </c>
      <c r="D5039" s="16" t="str">
        <f>IFERROR(VLOOKUP(C5039,DATA!#REF!,2,FALSE),"")</f>
        <v/>
      </c>
    </row>
    <row r="5040" spans="3:4" s="237" customFormat="1">
      <c r="C5040" s="16" t="str">
        <f>IFERROR(VLOOKUP(DATA!#REF!,DATA!#REF!,1,FALSE),"")</f>
        <v/>
      </c>
      <c r="D5040" s="16" t="str">
        <f>IFERROR(VLOOKUP(C5040,DATA!#REF!,2,FALSE),"")</f>
        <v/>
      </c>
    </row>
    <row r="5041" spans="3:4" s="237" customFormat="1">
      <c r="C5041" s="16" t="str">
        <f>IFERROR(VLOOKUP(DATA!#REF!,DATA!#REF!,1,FALSE),"")</f>
        <v/>
      </c>
      <c r="D5041" s="16" t="str">
        <f>IFERROR(VLOOKUP(C5041,DATA!#REF!,2,FALSE),"")</f>
        <v/>
      </c>
    </row>
    <row r="5042" spans="3:4" s="237" customFormat="1">
      <c r="C5042" s="16" t="str">
        <f>IFERROR(VLOOKUP(DATA!#REF!,DATA!#REF!,1,FALSE),"")</f>
        <v/>
      </c>
      <c r="D5042" s="16" t="str">
        <f>IFERROR(VLOOKUP(C5042,DATA!#REF!,2,FALSE),"")</f>
        <v/>
      </c>
    </row>
    <row r="5043" spans="3:4" s="237" customFormat="1">
      <c r="C5043" s="16" t="str">
        <f>IFERROR(VLOOKUP(DATA!#REF!,DATA!#REF!,1,FALSE),"")</f>
        <v/>
      </c>
      <c r="D5043" s="16" t="str">
        <f>IFERROR(VLOOKUP(C5043,DATA!#REF!,2,FALSE),"")</f>
        <v/>
      </c>
    </row>
    <row r="5044" spans="3:4" s="237" customFormat="1">
      <c r="C5044" s="16" t="str">
        <f>IFERROR(VLOOKUP(DATA!#REF!,DATA!#REF!,1,FALSE),"")</f>
        <v/>
      </c>
      <c r="D5044" s="16" t="str">
        <f>IFERROR(VLOOKUP(C5044,DATA!#REF!,2,FALSE),"")</f>
        <v/>
      </c>
    </row>
    <row r="5045" spans="3:4" s="237" customFormat="1">
      <c r="C5045" s="16" t="str">
        <f>IFERROR(VLOOKUP(DATA!#REF!,DATA!#REF!,1,FALSE),"")</f>
        <v/>
      </c>
      <c r="D5045" s="16" t="str">
        <f>IFERROR(VLOOKUP(C5045,DATA!#REF!,2,FALSE),"")</f>
        <v/>
      </c>
    </row>
    <row r="5046" spans="3:4" s="237" customFormat="1">
      <c r="C5046" s="16" t="str">
        <f>IFERROR(VLOOKUP(DATA!#REF!,DATA!#REF!,1,FALSE),"")</f>
        <v/>
      </c>
      <c r="D5046" s="16" t="str">
        <f>IFERROR(VLOOKUP(C5046,DATA!#REF!,2,FALSE),"")</f>
        <v/>
      </c>
    </row>
    <row r="5047" spans="3:4" s="237" customFormat="1">
      <c r="C5047" s="16" t="str">
        <f>IFERROR(VLOOKUP(DATA!#REF!,DATA!#REF!,1,FALSE),"")</f>
        <v/>
      </c>
      <c r="D5047" s="16" t="str">
        <f>IFERROR(VLOOKUP(C5047,DATA!#REF!,2,FALSE),"")</f>
        <v/>
      </c>
    </row>
    <row r="5048" spans="3:4" s="237" customFormat="1">
      <c r="C5048" s="16" t="str">
        <f>IFERROR(VLOOKUP(DATA!#REF!,DATA!#REF!,1,FALSE),"")</f>
        <v/>
      </c>
      <c r="D5048" s="16" t="str">
        <f>IFERROR(VLOOKUP(C5048,DATA!#REF!,2,FALSE),"")</f>
        <v/>
      </c>
    </row>
    <row r="5049" spans="3:4" s="237" customFormat="1">
      <c r="C5049" s="16" t="str">
        <f>IFERROR(VLOOKUP(DATA!#REF!,DATA!#REF!,1,FALSE),"")</f>
        <v/>
      </c>
      <c r="D5049" s="16" t="str">
        <f>IFERROR(VLOOKUP(C5049,DATA!#REF!,2,FALSE),"")</f>
        <v/>
      </c>
    </row>
    <row r="5050" spans="3:4" s="237" customFormat="1">
      <c r="C5050" s="16" t="str">
        <f>IFERROR(VLOOKUP(DATA!#REF!,DATA!#REF!,1,FALSE),"")</f>
        <v/>
      </c>
      <c r="D5050" s="16" t="str">
        <f>IFERROR(VLOOKUP(C5050,DATA!#REF!,2,FALSE),"")</f>
        <v/>
      </c>
    </row>
    <row r="5051" spans="3:4" s="237" customFormat="1">
      <c r="C5051" s="16" t="str">
        <f>IFERROR(VLOOKUP(DATA!#REF!,DATA!#REF!,1,FALSE),"")</f>
        <v/>
      </c>
      <c r="D5051" s="16" t="str">
        <f>IFERROR(VLOOKUP(C5051,DATA!#REF!,2,FALSE),"")</f>
        <v/>
      </c>
    </row>
    <row r="5052" spans="3:4" s="237" customFormat="1">
      <c r="C5052" s="16" t="str">
        <f>IFERROR(VLOOKUP(DATA!#REF!,DATA!#REF!,1,FALSE),"")</f>
        <v/>
      </c>
      <c r="D5052" s="16" t="str">
        <f>IFERROR(VLOOKUP(C5052,DATA!#REF!,2,FALSE),"")</f>
        <v/>
      </c>
    </row>
    <row r="5053" spans="3:4" s="237" customFormat="1">
      <c r="C5053" s="16" t="str">
        <f>IFERROR(VLOOKUP(DATA!#REF!,DATA!#REF!,1,FALSE),"")</f>
        <v/>
      </c>
      <c r="D5053" s="16" t="str">
        <f>IFERROR(VLOOKUP(C5053,DATA!#REF!,2,FALSE),"")</f>
        <v/>
      </c>
    </row>
    <row r="5054" spans="3:4" s="237" customFormat="1">
      <c r="C5054" s="16" t="str">
        <f>IFERROR(VLOOKUP(DATA!#REF!,DATA!#REF!,1,FALSE),"")</f>
        <v/>
      </c>
      <c r="D5054" s="16" t="str">
        <f>IFERROR(VLOOKUP(C5054,DATA!#REF!,2,FALSE),"")</f>
        <v/>
      </c>
    </row>
    <row r="5055" spans="3:4" s="237" customFormat="1">
      <c r="C5055" s="16" t="str">
        <f>IFERROR(VLOOKUP(DATA!#REF!,DATA!#REF!,1,FALSE),"")</f>
        <v/>
      </c>
      <c r="D5055" s="16" t="str">
        <f>IFERROR(VLOOKUP(C5055,DATA!#REF!,2,FALSE),"")</f>
        <v/>
      </c>
    </row>
    <row r="5056" spans="3:4" s="237" customFormat="1">
      <c r="C5056" s="16" t="str">
        <f>IFERROR(VLOOKUP(DATA!#REF!,DATA!#REF!,1,FALSE),"")</f>
        <v/>
      </c>
      <c r="D5056" s="16" t="str">
        <f>IFERROR(VLOOKUP(C5056,DATA!#REF!,2,FALSE),"")</f>
        <v/>
      </c>
    </row>
    <row r="5057" spans="3:4" s="237" customFormat="1">
      <c r="C5057" s="16" t="str">
        <f>IFERROR(VLOOKUP(DATA!#REF!,DATA!#REF!,1,FALSE),"")</f>
        <v/>
      </c>
      <c r="D5057" s="16" t="str">
        <f>IFERROR(VLOOKUP(C5057,DATA!#REF!,2,FALSE),"")</f>
        <v/>
      </c>
    </row>
    <row r="5058" spans="3:4" s="237" customFormat="1">
      <c r="C5058" s="16" t="str">
        <f>IFERROR(VLOOKUP(DATA!#REF!,DATA!#REF!,1,FALSE),"")</f>
        <v/>
      </c>
      <c r="D5058" s="16" t="str">
        <f>IFERROR(VLOOKUP(C5058,DATA!#REF!,2,FALSE),"")</f>
        <v/>
      </c>
    </row>
    <row r="5059" spans="3:4" s="237" customFormat="1">
      <c r="C5059" s="16" t="str">
        <f>IFERROR(VLOOKUP(DATA!#REF!,DATA!#REF!,1,FALSE),"")</f>
        <v/>
      </c>
      <c r="D5059" s="16" t="str">
        <f>IFERROR(VLOOKUP(C5059,DATA!#REF!,2,FALSE),"")</f>
        <v/>
      </c>
    </row>
    <row r="5060" spans="3:4" s="237" customFormat="1">
      <c r="C5060" s="16" t="str">
        <f>IFERROR(VLOOKUP(DATA!#REF!,DATA!#REF!,1,FALSE),"")</f>
        <v/>
      </c>
      <c r="D5060" s="16" t="str">
        <f>IFERROR(VLOOKUP(C5060,DATA!#REF!,2,FALSE),"")</f>
        <v/>
      </c>
    </row>
    <row r="5061" spans="3:4" s="237" customFormat="1">
      <c r="C5061" s="16" t="str">
        <f>IFERROR(VLOOKUP(DATA!#REF!,DATA!#REF!,1,FALSE),"")</f>
        <v/>
      </c>
      <c r="D5061" s="16" t="str">
        <f>IFERROR(VLOOKUP(C5061,DATA!#REF!,2,FALSE),"")</f>
        <v/>
      </c>
    </row>
    <row r="5062" spans="3:4" s="237" customFormat="1">
      <c r="C5062" s="16" t="str">
        <f>IFERROR(VLOOKUP(DATA!#REF!,DATA!#REF!,1,FALSE),"")</f>
        <v/>
      </c>
      <c r="D5062" s="16" t="str">
        <f>IFERROR(VLOOKUP(C5062,DATA!#REF!,2,FALSE),"")</f>
        <v/>
      </c>
    </row>
    <row r="5063" spans="3:4" s="237" customFormat="1">
      <c r="C5063" s="16" t="str">
        <f>IFERROR(VLOOKUP(DATA!#REF!,DATA!#REF!,1,FALSE),"")</f>
        <v/>
      </c>
      <c r="D5063" s="16" t="str">
        <f>IFERROR(VLOOKUP(C5063,DATA!#REF!,2,FALSE),"")</f>
        <v/>
      </c>
    </row>
    <row r="5064" spans="3:4" s="237" customFormat="1">
      <c r="C5064" s="16" t="str">
        <f>IFERROR(VLOOKUP(DATA!#REF!,DATA!#REF!,1,FALSE),"")</f>
        <v/>
      </c>
      <c r="D5064" s="16" t="str">
        <f>IFERROR(VLOOKUP(C5064,DATA!#REF!,2,FALSE),"")</f>
        <v/>
      </c>
    </row>
    <row r="5065" spans="3:4" s="237" customFormat="1">
      <c r="C5065" s="16" t="str">
        <f>IFERROR(VLOOKUP(DATA!#REF!,DATA!#REF!,1,FALSE),"")</f>
        <v/>
      </c>
      <c r="D5065" s="16" t="str">
        <f>IFERROR(VLOOKUP(C5065,DATA!#REF!,2,FALSE),"")</f>
        <v/>
      </c>
    </row>
    <row r="5066" spans="3:4" s="237" customFormat="1">
      <c r="C5066" s="16" t="str">
        <f>IFERROR(VLOOKUP(DATA!#REF!,DATA!#REF!,1,FALSE),"")</f>
        <v/>
      </c>
      <c r="D5066" s="16" t="str">
        <f>IFERROR(VLOOKUP(C5066,DATA!#REF!,2,FALSE),"")</f>
        <v/>
      </c>
    </row>
    <row r="5067" spans="3:4" s="237" customFormat="1">
      <c r="C5067" s="16" t="str">
        <f>IFERROR(VLOOKUP(DATA!#REF!,DATA!#REF!,1,FALSE),"")</f>
        <v/>
      </c>
      <c r="D5067" s="16" t="str">
        <f>IFERROR(VLOOKUP(C5067,DATA!#REF!,2,FALSE),"")</f>
        <v/>
      </c>
    </row>
    <row r="5068" spans="3:4" s="237" customFormat="1">
      <c r="C5068" s="16" t="str">
        <f>IFERROR(VLOOKUP(DATA!#REF!,DATA!#REF!,1,FALSE),"")</f>
        <v/>
      </c>
      <c r="D5068" s="16" t="str">
        <f>IFERROR(VLOOKUP(C5068,DATA!#REF!,2,FALSE),"")</f>
        <v/>
      </c>
    </row>
    <row r="5069" spans="3:4" s="237" customFormat="1">
      <c r="C5069" s="16" t="str">
        <f>IFERROR(VLOOKUP(DATA!#REF!,DATA!#REF!,1,FALSE),"")</f>
        <v/>
      </c>
      <c r="D5069" s="16" t="str">
        <f>IFERROR(VLOOKUP(C5069,DATA!#REF!,2,FALSE),"")</f>
        <v/>
      </c>
    </row>
    <row r="5070" spans="3:4" s="237" customFormat="1">
      <c r="C5070" s="16" t="str">
        <f>IFERROR(VLOOKUP(DATA!#REF!,DATA!#REF!,1,FALSE),"")</f>
        <v/>
      </c>
      <c r="D5070" s="16" t="str">
        <f>IFERROR(VLOOKUP(C5070,DATA!#REF!,2,FALSE),"")</f>
        <v/>
      </c>
    </row>
    <row r="5071" spans="3:4" s="237" customFormat="1">
      <c r="C5071" s="16" t="str">
        <f>IFERROR(VLOOKUP(DATA!#REF!,DATA!#REF!,1,FALSE),"")</f>
        <v/>
      </c>
      <c r="D5071" s="16" t="str">
        <f>IFERROR(VLOOKUP(C5071,DATA!#REF!,2,FALSE),"")</f>
        <v/>
      </c>
    </row>
    <row r="5072" spans="3:4" s="237" customFormat="1">
      <c r="C5072" s="16" t="str">
        <f>IFERROR(VLOOKUP(DATA!#REF!,DATA!#REF!,1,FALSE),"")</f>
        <v/>
      </c>
      <c r="D5072" s="16" t="str">
        <f>IFERROR(VLOOKUP(C5072,DATA!#REF!,2,FALSE),"")</f>
        <v/>
      </c>
    </row>
    <row r="5073" spans="3:4" s="237" customFormat="1">
      <c r="C5073" s="16" t="str">
        <f>IFERROR(VLOOKUP(DATA!#REF!,DATA!#REF!,1,FALSE),"")</f>
        <v/>
      </c>
      <c r="D5073" s="16" t="str">
        <f>IFERROR(VLOOKUP(C5073,DATA!#REF!,2,FALSE),"")</f>
        <v/>
      </c>
    </row>
    <row r="5074" spans="3:4" s="237" customFormat="1">
      <c r="C5074" s="16" t="str">
        <f>IFERROR(VLOOKUP(DATA!#REF!,DATA!#REF!,1,FALSE),"")</f>
        <v/>
      </c>
      <c r="D5074" s="16" t="str">
        <f>IFERROR(VLOOKUP(C5074,DATA!#REF!,2,FALSE),"")</f>
        <v/>
      </c>
    </row>
    <row r="5075" spans="3:4" s="237" customFormat="1">
      <c r="C5075" s="16" t="str">
        <f>IFERROR(VLOOKUP(DATA!#REF!,DATA!#REF!,1,FALSE),"")</f>
        <v/>
      </c>
      <c r="D5075" s="16" t="str">
        <f>IFERROR(VLOOKUP(C5075,DATA!#REF!,2,FALSE),"")</f>
        <v/>
      </c>
    </row>
    <row r="5076" spans="3:4" s="237" customFormat="1">
      <c r="C5076" s="16" t="str">
        <f>IFERROR(VLOOKUP(DATA!#REF!,DATA!#REF!,1,FALSE),"")</f>
        <v/>
      </c>
      <c r="D5076" s="16" t="str">
        <f>IFERROR(VLOOKUP(C5076,DATA!#REF!,2,FALSE),"")</f>
        <v/>
      </c>
    </row>
    <row r="5077" spans="3:4" s="237" customFormat="1">
      <c r="C5077" s="16" t="str">
        <f>IFERROR(VLOOKUP(DATA!#REF!,DATA!#REF!,1,FALSE),"")</f>
        <v/>
      </c>
      <c r="D5077" s="16" t="str">
        <f>IFERROR(VLOOKUP(C5077,DATA!#REF!,2,FALSE),"")</f>
        <v/>
      </c>
    </row>
    <row r="5078" spans="3:4" s="237" customFormat="1">
      <c r="C5078" s="16" t="str">
        <f>IFERROR(VLOOKUP(DATA!#REF!,DATA!#REF!,1,FALSE),"")</f>
        <v/>
      </c>
      <c r="D5078" s="16" t="str">
        <f>IFERROR(VLOOKUP(C5078,DATA!#REF!,2,FALSE),"")</f>
        <v/>
      </c>
    </row>
    <row r="5079" spans="3:4" s="237" customFormat="1">
      <c r="C5079" s="16" t="str">
        <f>IFERROR(VLOOKUP(DATA!#REF!,DATA!#REF!,1,FALSE),"")</f>
        <v/>
      </c>
      <c r="D5079" s="16" t="str">
        <f>IFERROR(VLOOKUP(C5079,DATA!#REF!,2,FALSE),"")</f>
        <v/>
      </c>
    </row>
    <row r="5080" spans="3:4" s="237" customFormat="1">
      <c r="C5080" s="16" t="str">
        <f>IFERROR(VLOOKUP(DATA!#REF!,DATA!#REF!,1,FALSE),"")</f>
        <v/>
      </c>
      <c r="D5080" s="16" t="str">
        <f>IFERROR(VLOOKUP(C5080,DATA!#REF!,2,FALSE),"")</f>
        <v/>
      </c>
    </row>
    <row r="5081" spans="3:4" s="237" customFormat="1">
      <c r="C5081" s="16" t="str">
        <f>IFERROR(VLOOKUP(DATA!#REF!,DATA!#REF!,1,FALSE),"")</f>
        <v/>
      </c>
      <c r="D5081" s="16" t="str">
        <f>IFERROR(VLOOKUP(C5081,DATA!#REF!,2,FALSE),"")</f>
        <v/>
      </c>
    </row>
    <row r="5082" spans="3:4" s="237" customFormat="1">
      <c r="C5082" s="16" t="str">
        <f>IFERROR(VLOOKUP(DATA!#REF!,DATA!#REF!,1,FALSE),"")</f>
        <v/>
      </c>
      <c r="D5082" s="16" t="str">
        <f>IFERROR(VLOOKUP(C5082,DATA!#REF!,2,FALSE),"")</f>
        <v/>
      </c>
    </row>
    <row r="5083" spans="3:4" s="237" customFormat="1">
      <c r="C5083" s="16" t="str">
        <f>IFERROR(VLOOKUP(DATA!#REF!,DATA!#REF!,1,FALSE),"")</f>
        <v/>
      </c>
      <c r="D5083" s="16" t="str">
        <f>IFERROR(VLOOKUP(C5083,DATA!#REF!,2,FALSE),"")</f>
        <v/>
      </c>
    </row>
    <row r="5084" spans="3:4" s="237" customFormat="1">
      <c r="C5084" s="16" t="str">
        <f>IFERROR(VLOOKUP(DATA!#REF!,DATA!#REF!,1,FALSE),"")</f>
        <v/>
      </c>
      <c r="D5084" s="16" t="str">
        <f>IFERROR(VLOOKUP(C5084,DATA!#REF!,2,FALSE),"")</f>
        <v/>
      </c>
    </row>
    <row r="5085" spans="3:4" s="237" customFormat="1">
      <c r="C5085" s="16" t="str">
        <f>IFERROR(VLOOKUP(DATA!#REF!,DATA!#REF!,1,FALSE),"")</f>
        <v/>
      </c>
      <c r="D5085" s="16" t="str">
        <f>IFERROR(VLOOKUP(C5085,DATA!#REF!,2,FALSE),"")</f>
        <v/>
      </c>
    </row>
    <row r="5086" spans="3:4" s="237" customFormat="1">
      <c r="C5086" s="16" t="str">
        <f>IFERROR(VLOOKUP(DATA!#REF!,DATA!#REF!,1,FALSE),"")</f>
        <v/>
      </c>
      <c r="D5086" s="16" t="str">
        <f>IFERROR(VLOOKUP(C5086,DATA!#REF!,2,FALSE),"")</f>
        <v/>
      </c>
    </row>
    <row r="5087" spans="3:4" s="237" customFormat="1">
      <c r="C5087" s="16" t="str">
        <f>IFERROR(VLOOKUP(DATA!#REF!,DATA!#REF!,1,FALSE),"")</f>
        <v/>
      </c>
      <c r="D5087" s="16" t="str">
        <f>IFERROR(VLOOKUP(C5087,DATA!#REF!,2,FALSE),"")</f>
        <v/>
      </c>
    </row>
    <row r="5088" spans="3:4" s="237" customFormat="1">
      <c r="C5088" s="16" t="str">
        <f>IFERROR(VLOOKUP(DATA!#REF!,DATA!#REF!,1,FALSE),"")</f>
        <v/>
      </c>
      <c r="D5088" s="16" t="str">
        <f>IFERROR(VLOOKUP(C5088,DATA!#REF!,2,FALSE),"")</f>
        <v/>
      </c>
    </row>
    <row r="5089" spans="3:4" s="237" customFormat="1">
      <c r="C5089" s="16" t="str">
        <f>IFERROR(VLOOKUP(DATA!#REF!,DATA!#REF!,1,FALSE),"")</f>
        <v/>
      </c>
      <c r="D5089" s="16" t="str">
        <f>IFERROR(VLOOKUP(C5089,DATA!#REF!,2,FALSE),"")</f>
        <v/>
      </c>
    </row>
    <row r="5090" spans="3:4" s="237" customFormat="1">
      <c r="C5090" s="16" t="str">
        <f>IFERROR(VLOOKUP(DATA!#REF!,DATA!#REF!,1,FALSE),"")</f>
        <v/>
      </c>
      <c r="D5090" s="16" t="str">
        <f>IFERROR(VLOOKUP(C5090,DATA!#REF!,2,FALSE),"")</f>
        <v/>
      </c>
    </row>
    <row r="5091" spans="3:4" s="237" customFormat="1">
      <c r="C5091" s="16" t="str">
        <f>IFERROR(VLOOKUP(DATA!#REF!,DATA!#REF!,1,FALSE),"")</f>
        <v/>
      </c>
      <c r="D5091" s="16" t="str">
        <f>IFERROR(VLOOKUP(C5091,DATA!#REF!,2,FALSE),"")</f>
        <v/>
      </c>
    </row>
    <row r="5092" spans="3:4" s="237" customFormat="1">
      <c r="C5092" s="16" t="str">
        <f>IFERROR(VLOOKUP(DATA!#REF!,DATA!#REF!,1,FALSE),"")</f>
        <v/>
      </c>
      <c r="D5092" s="16" t="str">
        <f>IFERROR(VLOOKUP(C5092,DATA!#REF!,2,FALSE),"")</f>
        <v/>
      </c>
    </row>
    <row r="5093" spans="3:4" s="237" customFormat="1">
      <c r="C5093" s="16" t="str">
        <f>IFERROR(VLOOKUP(DATA!#REF!,DATA!#REF!,1,FALSE),"")</f>
        <v/>
      </c>
      <c r="D5093" s="16" t="str">
        <f>IFERROR(VLOOKUP(C5093,DATA!#REF!,2,FALSE),"")</f>
        <v/>
      </c>
    </row>
    <row r="5094" spans="3:4" s="237" customFormat="1">
      <c r="C5094" s="16" t="str">
        <f>IFERROR(VLOOKUP(DATA!#REF!,DATA!#REF!,1,FALSE),"")</f>
        <v/>
      </c>
      <c r="D5094" s="16" t="str">
        <f>IFERROR(VLOOKUP(C5094,DATA!#REF!,2,FALSE),"")</f>
        <v/>
      </c>
    </row>
    <row r="5095" spans="3:4" s="237" customFormat="1">
      <c r="C5095" s="16" t="str">
        <f>IFERROR(VLOOKUP(DATA!#REF!,DATA!#REF!,1,FALSE),"")</f>
        <v/>
      </c>
      <c r="D5095" s="16" t="str">
        <f>IFERROR(VLOOKUP(C5095,DATA!#REF!,2,FALSE),"")</f>
        <v/>
      </c>
    </row>
    <row r="5096" spans="3:4" s="237" customFormat="1">
      <c r="C5096" s="16" t="str">
        <f>IFERROR(VLOOKUP(DATA!#REF!,DATA!#REF!,1,FALSE),"")</f>
        <v/>
      </c>
      <c r="D5096" s="16" t="str">
        <f>IFERROR(VLOOKUP(C5096,DATA!#REF!,2,FALSE),"")</f>
        <v/>
      </c>
    </row>
    <row r="5097" spans="3:4" s="237" customFormat="1">
      <c r="C5097" s="16" t="str">
        <f>IFERROR(VLOOKUP(DATA!#REF!,DATA!#REF!,1,FALSE),"")</f>
        <v/>
      </c>
      <c r="D5097" s="16" t="str">
        <f>IFERROR(VLOOKUP(C5097,DATA!#REF!,2,FALSE),"")</f>
        <v/>
      </c>
    </row>
    <row r="5098" spans="3:4" s="237" customFormat="1">
      <c r="C5098" s="16" t="str">
        <f>IFERROR(VLOOKUP(DATA!#REF!,DATA!#REF!,1,FALSE),"")</f>
        <v/>
      </c>
      <c r="D5098" s="16" t="str">
        <f>IFERROR(VLOOKUP(C5098,DATA!#REF!,2,FALSE),"")</f>
        <v/>
      </c>
    </row>
    <row r="5099" spans="3:4" s="237" customFormat="1">
      <c r="C5099" s="16" t="str">
        <f>IFERROR(VLOOKUP(DATA!#REF!,DATA!#REF!,1,FALSE),"")</f>
        <v/>
      </c>
      <c r="D5099" s="16" t="str">
        <f>IFERROR(VLOOKUP(C5099,DATA!#REF!,2,FALSE),"")</f>
        <v/>
      </c>
    </row>
    <row r="5100" spans="3:4" s="237" customFormat="1">
      <c r="C5100" s="16" t="str">
        <f>IFERROR(VLOOKUP(DATA!#REF!,DATA!#REF!,1,FALSE),"")</f>
        <v/>
      </c>
      <c r="D5100" s="16" t="str">
        <f>IFERROR(VLOOKUP(C5100,DATA!#REF!,2,FALSE),"")</f>
        <v/>
      </c>
    </row>
    <row r="5101" spans="3:4" s="237" customFormat="1">
      <c r="C5101" s="16" t="str">
        <f>IFERROR(VLOOKUP(DATA!#REF!,DATA!#REF!,1,FALSE),"")</f>
        <v/>
      </c>
      <c r="D5101" s="16" t="str">
        <f>IFERROR(VLOOKUP(C5101,DATA!#REF!,2,FALSE),"")</f>
        <v/>
      </c>
    </row>
    <row r="5102" spans="3:4" s="237" customFormat="1">
      <c r="C5102" s="16" t="str">
        <f>IFERROR(VLOOKUP(DATA!#REF!,DATA!#REF!,1,FALSE),"")</f>
        <v/>
      </c>
      <c r="D5102" s="16" t="str">
        <f>IFERROR(VLOOKUP(C5102,DATA!#REF!,2,FALSE),"")</f>
        <v/>
      </c>
    </row>
    <row r="5103" spans="3:4" s="237" customFormat="1">
      <c r="C5103" s="16" t="str">
        <f>IFERROR(VLOOKUP(DATA!#REF!,DATA!#REF!,1,FALSE),"")</f>
        <v/>
      </c>
      <c r="D5103" s="16" t="str">
        <f>IFERROR(VLOOKUP(C5103,DATA!#REF!,2,FALSE),"")</f>
        <v/>
      </c>
    </row>
    <row r="5104" spans="3:4" s="237" customFormat="1">
      <c r="C5104" s="16" t="str">
        <f>IFERROR(VLOOKUP(DATA!#REF!,DATA!#REF!,1,FALSE),"")</f>
        <v/>
      </c>
      <c r="D5104" s="16" t="str">
        <f>IFERROR(VLOOKUP(C5104,DATA!#REF!,2,FALSE),"")</f>
        <v/>
      </c>
    </row>
    <row r="5105" spans="3:4" s="237" customFormat="1">
      <c r="C5105" s="16" t="str">
        <f>IFERROR(VLOOKUP(DATA!#REF!,DATA!#REF!,1,FALSE),"")</f>
        <v/>
      </c>
      <c r="D5105" s="16" t="str">
        <f>IFERROR(VLOOKUP(C5105,DATA!#REF!,2,FALSE),"")</f>
        <v/>
      </c>
    </row>
    <row r="5106" spans="3:4" s="237" customFormat="1">
      <c r="C5106" s="16" t="str">
        <f>IFERROR(VLOOKUP(DATA!#REF!,DATA!#REF!,1,FALSE),"")</f>
        <v/>
      </c>
      <c r="D5106" s="16" t="str">
        <f>IFERROR(VLOOKUP(C5106,DATA!#REF!,2,FALSE),"")</f>
        <v/>
      </c>
    </row>
    <row r="5107" spans="3:4" s="237" customFormat="1">
      <c r="C5107" s="16" t="str">
        <f>IFERROR(VLOOKUP(DATA!#REF!,DATA!#REF!,1,FALSE),"")</f>
        <v/>
      </c>
      <c r="D5107" s="16" t="str">
        <f>IFERROR(VLOOKUP(C5107,DATA!#REF!,2,FALSE),"")</f>
        <v/>
      </c>
    </row>
    <row r="5108" spans="3:4" s="237" customFormat="1">
      <c r="C5108" s="16" t="str">
        <f>IFERROR(VLOOKUP(DATA!#REF!,DATA!#REF!,1,FALSE),"")</f>
        <v/>
      </c>
      <c r="D5108" s="16" t="str">
        <f>IFERROR(VLOOKUP(C5108,DATA!#REF!,2,FALSE),"")</f>
        <v/>
      </c>
    </row>
    <row r="5109" spans="3:4" s="237" customFormat="1">
      <c r="C5109" s="16" t="str">
        <f>IFERROR(VLOOKUP(DATA!#REF!,DATA!#REF!,1,FALSE),"")</f>
        <v/>
      </c>
      <c r="D5109" s="16" t="str">
        <f>IFERROR(VLOOKUP(C5109,DATA!#REF!,2,FALSE),"")</f>
        <v/>
      </c>
    </row>
    <row r="5110" spans="3:4" s="237" customFormat="1">
      <c r="C5110" s="16" t="str">
        <f>IFERROR(VLOOKUP(DATA!#REF!,DATA!#REF!,1,FALSE),"")</f>
        <v/>
      </c>
      <c r="D5110" s="16" t="str">
        <f>IFERROR(VLOOKUP(C5110,DATA!#REF!,2,FALSE),"")</f>
        <v/>
      </c>
    </row>
    <row r="5111" spans="3:4" s="237" customFormat="1">
      <c r="C5111" s="16" t="str">
        <f>IFERROR(VLOOKUP(DATA!#REF!,DATA!#REF!,1,FALSE),"")</f>
        <v/>
      </c>
      <c r="D5111" s="16" t="str">
        <f>IFERROR(VLOOKUP(C5111,DATA!#REF!,2,FALSE),"")</f>
        <v/>
      </c>
    </row>
    <row r="5112" spans="3:4" s="237" customFormat="1">
      <c r="C5112" s="16" t="str">
        <f>IFERROR(VLOOKUP(DATA!#REF!,DATA!#REF!,1,FALSE),"")</f>
        <v/>
      </c>
      <c r="D5112" s="16" t="str">
        <f>IFERROR(VLOOKUP(C5112,DATA!#REF!,2,FALSE),"")</f>
        <v/>
      </c>
    </row>
    <row r="5113" spans="3:4" s="237" customFormat="1">
      <c r="C5113" s="16" t="str">
        <f>IFERROR(VLOOKUP(DATA!#REF!,DATA!#REF!,1,FALSE),"")</f>
        <v/>
      </c>
      <c r="D5113" s="16" t="str">
        <f>IFERROR(VLOOKUP(C5113,DATA!#REF!,2,FALSE),"")</f>
        <v/>
      </c>
    </row>
    <row r="5114" spans="3:4" s="237" customFormat="1">
      <c r="C5114" s="16" t="str">
        <f>IFERROR(VLOOKUP(DATA!#REF!,DATA!#REF!,1,FALSE),"")</f>
        <v/>
      </c>
      <c r="D5114" s="16" t="str">
        <f>IFERROR(VLOOKUP(C5114,DATA!#REF!,2,FALSE),"")</f>
        <v/>
      </c>
    </row>
    <row r="5115" spans="3:4" s="237" customFormat="1">
      <c r="C5115" s="16" t="str">
        <f>IFERROR(VLOOKUP(DATA!#REF!,DATA!#REF!,1,FALSE),"")</f>
        <v/>
      </c>
      <c r="D5115" s="16" t="str">
        <f>IFERROR(VLOOKUP(C5115,DATA!#REF!,2,FALSE),"")</f>
        <v/>
      </c>
    </row>
    <row r="5116" spans="3:4" s="237" customFormat="1">
      <c r="C5116" s="16" t="str">
        <f>IFERROR(VLOOKUP(DATA!#REF!,DATA!#REF!,1,FALSE),"")</f>
        <v/>
      </c>
      <c r="D5116" s="16" t="str">
        <f>IFERROR(VLOOKUP(C5116,DATA!#REF!,2,FALSE),"")</f>
        <v/>
      </c>
    </row>
    <row r="5117" spans="3:4" s="237" customFormat="1">
      <c r="C5117" s="16" t="str">
        <f>IFERROR(VLOOKUP(DATA!#REF!,DATA!#REF!,1,FALSE),"")</f>
        <v/>
      </c>
      <c r="D5117" s="16" t="str">
        <f>IFERROR(VLOOKUP(C5117,DATA!#REF!,2,FALSE),"")</f>
        <v/>
      </c>
    </row>
    <row r="5118" spans="3:4" s="237" customFormat="1">
      <c r="C5118" s="16" t="str">
        <f>IFERROR(VLOOKUP(DATA!#REF!,DATA!#REF!,1,FALSE),"")</f>
        <v/>
      </c>
      <c r="D5118" s="16" t="str">
        <f>IFERROR(VLOOKUP(C5118,DATA!#REF!,2,FALSE),"")</f>
        <v/>
      </c>
    </row>
    <row r="5119" spans="3:4" s="237" customFormat="1">
      <c r="C5119" s="16" t="str">
        <f>IFERROR(VLOOKUP(DATA!#REF!,DATA!#REF!,1,FALSE),"")</f>
        <v/>
      </c>
      <c r="D5119" s="16" t="str">
        <f>IFERROR(VLOOKUP(C5119,DATA!#REF!,2,FALSE),"")</f>
        <v/>
      </c>
    </row>
    <row r="5120" spans="3:4" s="237" customFormat="1">
      <c r="C5120" s="16" t="str">
        <f>IFERROR(VLOOKUP(DATA!#REF!,DATA!#REF!,1,FALSE),"")</f>
        <v/>
      </c>
      <c r="D5120" s="16" t="str">
        <f>IFERROR(VLOOKUP(C5120,DATA!#REF!,2,FALSE),"")</f>
        <v/>
      </c>
    </row>
    <row r="5121" spans="3:4" s="237" customFormat="1">
      <c r="C5121" s="16" t="str">
        <f>IFERROR(VLOOKUP(DATA!#REF!,DATA!#REF!,1,FALSE),"")</f>
        <v/>
      </c>
      <c r="D5121" s="16" t="str">
        <f>IFERROR(VLOOKUP(C5121,DATA!#REF!,2,FALSE),"")</f>
        <v/>
      </c>
    </row>
    <row r="5122" spans="3:4" s="237" customFormat="1">
      <c r="C5122" s="16" t="str">
        <f>IFERROR(VLOOKUP(DATA!#REF!,DATA!#REF!,1,FALSE),"")</f>
        <v/>
      </c>
      <c r="D5122" s="16" t="str">
        <f>IFERROR(VLOOKUP(C5122,DATA!#REF!,2,FALSE),"")</f>
        <v/>
      </c>
    </row>
    <row r="5123" spans="3:4" s="237" customFormat="1">
      <c r="C5123" s="16" t="str">
        <f>IFERROR(VLOOKUP(DATA!#REF!,DATA!#REF!,1,FALSE),"")</f>
        <v/>
      </c>
      <c r="D5123" s="16" t="str">
        <f>IFERROR(VLOOKUP(C5123,DATA!#REF!,2,FALSE),"")</f>
        <v/>
      </c>
    </row>
    <row r="5124" spans="3:4" s="237" customFormat="1">
      <c r="C5124" s="16" t="str">
        <f>IFERROR(VLOOKUP(DATA!#REF!,DATA!#REF!,1,FALSE),"")</f>
        <v/>
      </c>
      <c r="D5124" s="16" t="str">
        <f>IFERROR(VLOOKUP(C5124,DATA!#REF!,2,FALSE),"")</f>
        <v/>
      </c>
    </row>
    <row r="5125" spans="3:4" s="237" customFormat="1">
      <c r="C5125" s="16" t="str">
        <f>IFERROR(VLOOKUP(DATA!#REF!,DATA!#REF!,1,FALSE),"")</f>
        <v/>
      </c>
      <c r="D5125" s="16" t="str">
        <f>IFERROR(VLOOKUP(C5125,DATA!#REF!,2,FALSE),"")</f>
        <v/>
      </c>
    </row>
    <row r="5126" spans="3:4" s="237" customFormat="1">
      <c r="C5126" s="16" t="str">
        <f>IFERROR(VLOOKUP(DATA!#REF!,DATA!#REF!,1,FALSE),"")</f>
        <v/>
      </c>
      <c r="D5126" s="16" t="str">
        <f>IFERROR(VLOOKUP(C5126,DATA!#REF!,2,FALSE),"")</f>
        <v/>
      </c>
    </row>
    <row r="5127" spans="3:4" s="237" customFormat="1">
      <c r="C5127" s="16" t="str">
        <f>IFERROR(VLOOKUP(DATA!#REF!,DATA!#REF!,1,FALSE),"")</f>
        <v/>
      </c>
      <c r="D5127" s="16" t="str">
        <f>IFERROR(VLOOKUP(C5127,DATA!#REF!,2,FALSE),"")</f>
        <v/>
      </c>
    </row>
    <row r="5128" spans="3:4" s="237" customFormat="1">
      <c r="C5128" s="16" t="str">
        <f>IFERROR(VLOOKUP(DATA!#REF!,DATA!#REF!,1,FALSE),"")</f>
        <v/>
      </c>
      <c r="D5128" s="16" t="str">
        <f>IFERROR(VLOOKUP(C5128,DATA!#REF!,2,FALSE),"")</f>
        <v/>
      </c>
    </row>
    <row r="5129" spans="3:4" s="237" customFormat="1">
      <c r="C5129" s="16" t="str">
        <f>IFERROR(VLOOKUP(DATA!#REF!,DATA!#REF!,1,FALSE),"")</f>
        <v/>
      </c>
      <c r="D5129" s="16" t="str">
        <f>IFERROR(VLOOKUP(C5129,DATA!#REF!,2,FALSE),"")</f>
        <v/>
      </c>
    </row>
    <row r="5130" spans="3:4" s="237" customFormat="1">
      <c r="C5130" s="16" t="str">
        <f>IFERROR(VLOOKUP(DATA!#REF!,DATA!#REF!,1,FALSE),"")</f>
        <v/>
      </c>
      <c r="D5130" s="16" t="str">
        <f>IFERROR(VLOOKUP(C5130,DATA!#REF!,2,FALSE),"")</f>
        <v/>
      </c>
    </row>
    <row r="5131" spans="3:4" s="237" customFormat="1">
      <c r="C5131" s="16" t="str">
        <f>IFERROR(VLOOKUP(DATA!#REF!,DATA!#REF!,1,FALSE),"")</f>
        <v/>
      </c>
      <c r="D5131" s="16" t="str">
        <f>IFERROR(VLOOKUP(C5131,DATA!#REF!,2,FALSE),"")</f>
        <v/>
      </c>
    </row>
    <row r="5132" spans="3:4" s="237" customFormat="1">
      <c r="C5132" s="16" t="str">
        <f>IFERROR(VLOOKUP(DATA!#REF!,DATA!#REF!,1,FALSE),"")</f>
        <v/>
      </c>
      <c r="D5132" s="16" t="str">
        <f>IFERROR(VLOOKUP(C5132,DATA!#REF!,2,FALSE),"")</f>
        <v/>
      </c>
    </row>
    <row r="5133" spans="3:4" s="237" customFormat="1">
      <c r="C5133" s="16" t="str">
        <f>IFERROR(VLOOKUP(DATA!#REF!,DATA!#REF!,1,FALSE),"")</f>
        <v/>
      </c>
      <c r="D5133" s="16" t="str">
        <f>IFERROR(VLOOKUP(C5133,DATA!#REF!,2,FALSE),"")</f>
        <v/>
      </c>
    </row>
    <row r="5134" spans="3:4" s="237" customFormat="1">
      <c r="C5134" s="16" t="str">
        <f>IFERROR(VLOOKUP(DATA!#REF!,DATA!#REF!,1,FALSE),"")</f>
        <v/>
      </c>
      <c r="D5134" s="16" t="str">
        <f>IFERROR(VLOOKUP(C5134,DATA!#REF!,2,FALSE),"")</f>
        <v/>
      </c>
    </row>
    <row r="5135" spans="3:4" s="237" customFormat="1">
      <c r="C5135" s="16" t="str">
        <f>IFERROR(VLOOKUP(DATA!#REF!,DATA!#REF!,1,FALSE),"")</f>
        <v/>
      </c>
      <c r="D5135" s="16" t="str">
        <f>IFERROR(VLOOKUP(C5135,DATA!#REF!,2,FALSE),"")</f>
        <v/>
      </c>
    </row>
    <row r="5136" spans="3:4" s="237" customFormat="1">
      <c r="C5136" s="16" t="str">
        <f>IFERROR(VLOOKUP(DATA!#REF!,DATA!#REF!,1,FALSE),"")</f>
        <v/>
      </c>
      <c r="D5136" s="16" t="str">
        <f>IFERROR(VLOOKUP(C5136,DATA!#REF!,2,FALSE),"")</f>
        <v/>
      </c>
    </row>
    <row r="5137" spans="3:4" s="237" customFormat="1">
      <c r="C5137" s="16" t="str">
        <f>IFERROR(VLOOKUP(DATA!#REF!,DATA!#REF!,1,FALSE),"")</f>
        <v/>
      </c>
      <c r="D5137" s="16" t="str">
        <f>IFERROR(VLOOKUP(C5137,DATA!#REF!,2,FALSE),"")</f>
        <v/>
      </c>
    </row>
    <row r="5138" spans="3:4" s="237" customFormat="1">
      <c r="C5138" s="16" t="str">
        <f>IFERROR(VLOOKUP(DATA!#REF!,DATA!#REF!,1,FALSE),"")</f>
        <v/>
      </c>
      <c r="D5138" s="16" t="str">
        <f>IFERROR(VLOOKUP(C5138,DATA!#REF!,2,FALSE),"")</f>
        <v/>
      </c>
    </row>
    <row r="5139" spans="3:4" s="237" customFormat="1">
      <c r="C5139" s="16" t="str">
        <f>IFERROR(VLOOKUP(DATA!#REF!,DATA!#REF!,1,FALSE),"")</f>
        <v/>
      </c>
      <c r="D5139" s="16" t="str">
        <f>IFERROR(VLOOKUP(C5139,DATA!#REF!,2,FALSE),"")</f>
        <v/>
      </c>
    </row>
    <row r="5140" spans="3:4" s="237" customFormat="1">
      <c r="C5140" s="16" t="str">
        <f>IFERROR(VLOOKUP(DATA!#REF!,DATA!#REF!,1,FALSE),"")</f>
        <v/>
      </c>
      <c r="D5140" s="16" t="str">
        <f>IFERROR(VLOOKUP(C5140,DATA!#REF!,2,FALSE),"")</f>
        <v/>
      </c>
    </row>
    <row r="5141" spans="3:4" s="237" customFormat="1">
      <c r="C5141" s="16" t="str">
        <f>IFERROR(VLOOKUP(DATA!#REF!,DATA!#REF!,1,FALSE),"")</f>
        <v/>
      </c>
      <c r="D5141" s="16" t="str">
        <f>IFERROR(VLOOKUP(C5141,DATA!#REF!,2,FALSE),"")</f>
        <v/>
      </c>
    </row>
    <row r="5142" spans="3:4" s="237" customFormat="1">
      <c r="C5142" s="16" t="str">
        <f>IFERROR(VLOOKUP(DATA!#REF!,DATA!#REF!,1,FALSE),"")</f>
        <v/>
      </c>
      <c r="D5142" s="16" t="str">
        <f>IFERROR(VLOOKUP(C5142,DATA!#REF!,2,FALSE),"")</f>
        <v/>
      </c>
    </row>
    <row r="5143" spans="3:4" s="237" customFormat="1">
      <c r="C5143" s="16" t="str">
        <f>IFERROR(VLOOKUP(DATA!#REF!,DATA!#REF!,1,FALSE),"")</f>
        <v/>
      </c>
      <c r="D5143" s="16" t="str">
        <f>IFERROR(VLOOKUP(C5143,DATA!#REF!,2,FALSE),"")</f>
        <v/>
      </c>
    </row>
    <row r="5144" spans="3:4" s="237" customFormat="1">
      <c r="C5144" s="16" t="str">
        <f>IFERROR(VLOOKUP(DATA!#REF!,DATA!#REF!,1,FALSE),"")</f>
        <v/>
      </c>
      <c r="D5144" s="16" t="str">
        <f>IFERROR(VLOOKUP(C5144,DATA!#REF!,2,FALSE),"")</f>
        <v/>
      </c>
    </row>
    <row r="5145" spans="3:4" s="237" customFormat="1">
      <c r="C5145" s="16" t="str">
        <f>IFERROR(VLOOKUP(DATA!#REF!,DATA!#REF!,1,FALSE),"")</f>
        <v/>
      </c>
      <c r="D5145" s="16" t="str">
        <f>IFERROR(VLOOKUP(C5145,DATA!#REF!,2,FALSE),"")</f>
        <v/>
      </c>
    </row>
    <row r="5146" spans="3:4" s="237" customFormat="1">
      <c r="C5146" s="16" t="str">
        <f>IFERROR(VLOOKUP(DATA!#REF!,DATA!#REF!,1,FALSE),"")</f>
        <v/>
      </c>
      <c r="D5146" s="16" t="str">
        <f>IFERROR(VLOOKUP(C5146,DATA!#REF!,2,FALSE),"")</f>
        <v/>
      </c>
    </row>
    <row r="5147" spans="3:4" s="237" customFormat="1">
      <c r="C5147" s="16" t="str">
        <f>IFERROR(VLOOKUP(DATA!#REF!,DATA!#REF!,1,FALSE),"")</f>
        <v/>
      </c>
      <c r="D5147" s="16" t="str">
        <f>IFERROR(VLOOKUP(C5147,DATA!#REF!,2,FALSE),"")</f>
        <v/>
      </c>
    </row>
    <row r="5148" spans="3:4" s="237" customFormat="1">
      <c r="C5148" s="16" t="str">
        <f>IFERROR(VLOOKUP(DATA!#REF!,DATA!#REF!,1,FALSE),"")</f>
        <v/>
      </c>
      <c r="D5148" s="16" t="str">
        <f>IFERROR(VLOOKUP(C5148,DATA!#REF!,2,FALSE),"")</f>
        <v/>
      </c>
    </row>
    <row r="5149" spans="3:4" s="237" customFormat="1">
      <c r="C5149" s="16" t="str">
        <f>IFERROR(VLOOKUP(DATA!#REF!,DATA!#REF!,1,FALSE),"")</f>
        <v/>
      </c>
      <c r="D5149" s="16" t="str">
        <f>IFERROR(VLOOKUP(C5149,DATA!#REF!,2,FALSE),"")</f>
        <v/>
      </c>
    </row>
    <row r="5150" spans="3:4" s="237" customFormat="1">
      <c r="C5150" s="16" t="str">
        <f>IFERROR(VLOOKUP(DATA!#REF!,DATA!#REF!,1,FALSE),"")</f>
        <v/>
      </c>
      <c r="D5150" s="16" t="str">
        <f>IFERROR(VLOOKUP(C5150,DATA!#REF!,2,FALSE),"")</f>
        <v/>
      </c>
    </row>
    <row r="5151" spans="3:4" s="237" customFormat="1">
      <c r="C5151" s="16" t="str">
        <f>IFERROR(VLOOKUP(DATA!#REF!,DATA!#REF!,1,FALSE),"")</f>
        <v/>
      </c>
      <c r="D5151" s="16" t="str">
        <f>IFERROR(VLOOKUP(C5151,DATA!#REF!,2,FALSE),"")</f>
        <v/>
      </c>
    </row>
    <row r="5152" spans="3:4" s="237" customFormat="1">
      <c r="C5152" s="16" t="str">
        <f>IFERROR(VLOOKUP(DATA!#REF!,DATA!#REF!,1,FALSE),"")</f>
        <v/>
      </c>
      <c r="D5152" s="16" t="str">
        <f>IFERROR(VLOOKUP(C5152,DATA!#REF!,2,FALSE),"")</f>
        <v/>
      </c>
    </row>
    <row r="5153" spans="3:4" s="237" customFormat="1">
      <c r="C5153" s="16" t="str">
        <f>IFERROR(VLOOKUP(DATA!#REF!,DATA!#REF!,1,FALSE),"")</f>
        <v/>
      </c>
      <c r="D5153" s="16" t="str">
        <f>IFERROR(VLOOKUP(C5153,DATA!#REF!,2,FALSE),"")</f>
        <v/>
      </c>
    </row>
    <row r="5154" spans="3:4" s="237" customFormat="1">
      <c r="C5154" s="16" t="str">
        <f>IFERROR(VLOOKUP(DATA!#REF!,DATA!#REF!,1,FALSE),"")</f>
        <v/>
      </c>
      <c r="D5154" s="16" t="str">
        <f>IFERROR(VLOOKUP(C5154,DATA!#REF!,2,FALSE),"")</f>
        <v/>
      </c>
    </row>
    <row r="5155" spans="3:4" s="237" customFormat="1">
      <c r="C5155" s="16" t="str">
        <f>IFERROR(VLOOKUP(DATA!#REF!,DATA!#REF!,1,FALSE),"")</f>
        <v/>
      </c>
      <c r="D5155" s="16" t="str">
        <f>IFERROR(VLOOKUP(C5155,DATA!#REF!,2,FALSE),"")</f>
        <v/>
      </c>
    </row>
    <row r="5156" spans="3:4" s="237" customFormat="1">
      <c r="C5156" s="16" t="str">
        <f>IFERROR(VLOOKUP(DATA!#REF!,DATA!#REF!,1,FALSE),"")</f>
        <v/>
      </c>
      <c r="D5156" s="16" t="str">
        <f>IFERROR(VLOOKUP(C5156,DATA!#REF!,2,FALSE),"")</f>
        <v/>
      </c>
    </row>
    <row r="5157" spans="3:4" s="237" customFormat="1">
      <c r="C5157" s="16" t="str">
        <f>IFERROR(VLOOKUP(DATA!#REF!,DATA!#REF!,1,FALSE),"")</f>
        <v/>
      </c>
      <c r="D5157" s="16" t="str">
        <f>IFERROR(VLOOKUP(C5157,DATA!#REF!,2,FALSE),"")</f>
        <v/>
      </c>
    </row>
    <row r="5158" spans="3:4" s="237" customFormat="1">
      <c r="C5158" s="16" t="str">
        <f>IFERROR(VLOOKUP(DATA!#REF!,DATA!#REF!,1,FALSE),"")</f>
        <v/>
      </c>
      <c r="D5158" s="16" t="str">
        <f>IFERROR(VLOOKUP(C5158,DATA!#REF!,2,FALSE),"")</f>
        <v/>
      </c>
    </row>
    <row r="5159" spans="3:4" s="237" customFormat="1">
      <c r="C5159" s="16" t="str">
        <f>IFERROR(VLOOKUP(DATA!#REF!,DATA!#REF!,1,FALSE),"")</f>
        <v/>
      </c>
      <c r="D5159" s="16" t="str">
        <f>IFERROR(VLOOKUP(C5159,DATA!#REF!,2,FALSE),"")</f>
        <v/>
      </c>
    </row>
    <row r="5160" spans="3:4" s="237" customFormat="1">
      <c r="C5160" s="16" t="str">
        <f>IFERROR(VLOOKUP(DATA!#REF!,DATA!#REF!,1,FALSE),"")</f>
        <v/>
      </c>
      <c r="D5160" s="16" t="str">
        <f>IFERROR(VLOOKUP(C5160,DATA!#REF!,2,FALSE),"")</f>
        <v/>
      </c>
    </row>
    <row r="5161" spans="3:4" s="237" customFormat="1">
      <c r="C5161" s="16" t="str">
        <f>IFERROR(VLOOKUP(DATA!#REF!,DATA!#REF!,1,FALSE),"")</f>
        <v/>
      </c>
      <c r="D5161" s="16" t="str">
        <f>IFERROR(VLOOKUP(C5161,DATA!#REF!,2,FALSE),"")</f>
        <v/>
      </c>
    </row>
    <row r="5162" spans="3:4" s="237" customFormat="1">
      <c r="C5162" s="16" t="str">
        <f>IFERROR(VLOOKUP(DATA!#REF!,DATA!#REF!,1,FALSE),"")</f>
        <v/>
      </c>
      <c r="D5162" s="16" t="str">
        <f>IFERROR(VLOOKUP(C5162,DATA!#REF!,2,FALSE),"")</f>
        <v/>
      </c>
    </row>
    <row r="5163" spans="3:4" s="237" customFormat="1">
      <c r="C5163" s="16" t="str">
        <f>IFERROR(VLOOKUP(DATA!#REF!,DATA!#REF!,1,FALSE),"")</f>
        <v/>
      </c>
      <c r="D5163" s="16" t="str">
        <f>IFERROR(VLOOKUP(C5163,DATA!#REF!,2,FALSE),"")</f>
        <v/>
      </c>
    </row>
    <row r="5164" spans="3:4" s="237" customFormat="1">
      <c r="C5164" s="16" t="str">
        <f>IFERROR(VLOOKUP(DATA!#REF!,DATA!#REF!,1,FALSE),"")</f>
        <v/>
      </c>
      <c r="D5164" s="16" t="str">
        <f>IFERROR(VLOOKUP(C5164,DATA!#REF!,2,FALSE),"")</f>
        <v/>
      </c>
    </row>
    <row r="5165" spans="3:4" s="237" customFormat="1">
      <c r="C5165" s="16" t="str">
        <f>IFERROR(VLOOKUP(DATA!#REF!,DATA!#REF!,1,FALSE),"")</f>
        <v/>
      </c>
      <c r="D5165" s="16" t="str">
        <f>IFERROR(VLOOKUP(C5165,DATA!#REF!,2,FALSE),"")</f>
        <v/>
      </c>
    </row>
    <row r="5166" spans="3:4" s="237" customFormat="1">
      <c r="C5166" s="16" t="str">
        <f>IFERROR(VLOOKUP(DATA!#REF!,DATA!#REF!,1,FALSE),"")</f>
        <v/>
      </c>
      <c r="D5166" s="16" t="str">
        <f>IFERROR(VLOOKUP(C5166,DATA!#REF!,2,FALSE),"")</f>
        <v/>
      </c>
    </row>
    <row r="5167" spans="3:4" s="237" customFormat="1">
      <c r="C5167" s="16" t="str">
        <f>IFERROR(VLOOKUP(DATA!#REF!,DATA!#REF!,1,FALSE),"")</f>
        <v/>
      </c>
      <c r="D5167" s="16" t="str">
        <f>IFERROR(VLOOKUP(C5167,DATA!#REF!,2,FALSE),"")</f>
        <v/>
      </c>
    </row>
    <row r="5168" spans="3:4" s="237" customFormat="1">
      <c r="C5168" s="16" t="str">
        <f>IFERROR(VLOOKUP(DATA!#REF!,DATA!#REF!,1,FALSE),"")</f>
        <v/>
      </c>
      <c r="D5168" s="16" t="str">
        <f>IFERROR(VLOOKUP(C5168,DATA!#REF!,2,FALSE),"")</f>
        <v/>
      </c>
    </row>
    <row r="5169" spans="3:4" s="237" customFormat="1">
      <c r="C5169" s="16" t="str">
        <f>IFERROR(VLOOKUP(DATA!#REF!,DATA!#REF!,1,FALSE),"")</f>
        <v/>
      </c>
      <c r="D5169" s="16" t="str">
        <f>IFERROR(VLOOKUP(C5169,DATA!#REF!,2,FALSE),"")</f>
        <v/>
      </c>
    </row>
    <row r="5170" spans="3:4" s="237" customFormat="1">
      <c r="C5170" s="16" t="str">
        <f>IFERROR(VLOOKUP(DATA!#REF!,DATA!#REF!,1,FALSE),"")</f>
        <v/>
      </c>
      <c r="D5170" s="16" t="str">
        <f>IFERROR(VLOOKUP(C5170,DATA!#REF!,2,FALSE),"")</f>
        <v/>
      </c>
    </row>
    <row r="5171" spans="3:4" s="237" customFormat="1">
      <c r="C5171" s="16" t="str">
        <f>IFERROR(VLOOKUP(DATA!#REF!,DATA!#REF!,1,FALSE),"")</f>
        <v/>
      </c>
      <c r="D5171" s="16" t="str">
        <f>IFERROR(VLOOKUP(C5171,DATA!#REF!,2,FALSE),"")</f>
        <v/>
      </c>
    </row>
    <row r="5172" spans="3:4" s="237" customFormat="1">
      <c r="C5172" s="16" t="str">
        <f>IFERROR(VLOOKUP(DATA!#REF!,DATA!#REF!,1,FALSE),"")</f>
        <v/>
      </c>
      <c r="D5172" s="16" t="str">
        <f>IFERROR(VLOOKUP(C5172,DATA!#REF!,2,FALSE),"")</f>
        <v/>
      </c>
    </row>
    <row r="5173" spans="3:4" s="237" customFormat="1">
      <c r="C5173" s="16" t="str">
        <f>IFERROR(VLOOKUP(DATA!#REF!,DATA!#REF!,1,FALSE),"")</f>
        <v/>
      </c>
      <c r="D5173" s="16" t="str">
        <f>IFERROR(VLOOKUP(C5173,DATA!#REF!,2,FALSE),"")</f>
        <v/>
      </c>
    </row>
    <row r="5174" spans="3:4" s="237" customFormat="1">
      <c r="C5174" s="16" t="str">
        <f>IFERROR(VLOOKUP(DATA!#REF!,DATA!#REF!,1,FALSE),"")</f>
        <v/>
      </c>
      <c r="D5174" s="16" t="str">
        <f>IFERROR(VLOOKUP(C5174,DATA!#REF!,2,FALSE),"")</f>
        <v/>
      </c>
    </row>
    <row r="5175" spans="3:4" s="237" customFormat="1">
      <c r="C5175" s="16" t="str">
        <f>IFERROR(VLOOKUP(DATA!#REF!,DATA!#REF!,1,FALSE),"")</f>
        <v/>
      </c>
      <c r="D5175" s="16" t="str">
        <f>IFERROR(VLOOKUP(C5175,DATA!#REF!,2,FALSE),"")</f>
        <v/>
      </c>
    </row>
    <row r="5176" spans="3:4" s="237" customFormat="1">
      <c r="C5176" s="16" t="str">
        <f>IFERROR(VLOOKUP(DATA!#REF!,DATA!#REF!,1,FALSE),"")</f>
        <v/>
      </c>
      <c r="D5176" s="16" t="str">
        <f>IFERROR(VLOOKUP(C5176,DATA!#REF!,2,FALSE),"")</f>
        <v/>
      </c>
    </row>
    <row r="5177" spans="3:4" s="237" customFormat="1">
      <c r="C5177" s="16" t="str">
        <f>IFERROR(VLOOKUP(DATA!#REF!,DATA!#REF!,1,FALSE),"")</f>
        <v/>
      </c>
      <c r="D5177" s="16" t="str">
        <f>IFERROR(VLOOKUP(C5177,DATA!#REF!,2,FALSE),"")</f>
        <v/>
      </c>
    </row>
    <row r="5178" spans="3:4" s="237" customFormat="1">
      <c r="C5178" s="16" t="str">
        <f>IFERROR(VLOOKUP(DATA!#REF!,DATA!#REF!,1,FALSE),"")</f>
        <v/>
      </c>
      <c r="D5178" s="16" t="str">
        <f>IFERROR(VLOOKUP(C5178,DATA!#REF!,2,FALSE),"")</f>
        <v/>
      </c>
    </row>
    <row r="5179" spans="3:4" s="237" customFormat="1">
      <c r="C5179" s="16" t="str">
        <f>IFERROR(VLOOKUP(DATA!#REF!,DATA!#REF!,1,FALSE),"")</f>
        <v/>
      </c>
      <c r="D5179" s="16" t="str">
        <f>IFERROR(VLOOKUP(C5179,DATA!#REF!,2,FALSE),"")</f>
        <v/>
      </c>
    </row>
    <row r="5180" spans="3:4" s="237" customFormat="1">
      <c r="C5180" s="16" t="str">
        <f>IFERROR(VLOOKUP(DATA!#REF!,DATA!#REF!,1,FALSE),"")</f>
        <v/>
      </c>
      <c r="D5180" s="16" t="str">
        <f>IFERROR(VLOOKUP(C5180,DATA!#REF!,2,FALSE),"")</f>
        <v/>
      </c>
    </row>
    <row r="5181" spans="3:4" s="237" customFormat="1">
      <c r="C5181" s="16" t="str">
        <f>IFERROR(VLOOKUP(DATA!#REF!,DATA!#REF!,1,FALSE),"")</f>
        <v/>
      </c>
      <c r="D5181" s="16" t="str">
        <f>IFERROR(VLOOKUP(C5181,DATA!#REF!,2,FALSE),"")</f>
        <v/>
      </c>
    </row>
    <row r="5182" spans="3:4" s="237" customFormat="1">
      <c r="C5182" s="16" t="str">
        <f>IFERROR(VLOOKUP(DATA!#REF!,DATA!#REF!,1,FALSE),"")</f>
        <v/>
      </c>
      <c r="D5182" s="16" t="str">
        <f>IFERROR(VLOOKUP(C5182,DATA!#REF!,2,FALSE),"")</f>
        <v/>
      </c>
    </row>
    <row r="5183" spans="3:4" s="237" customFormat="1">
      <c r="C5183" s="16" t="str">
        <f>IFERROR(VLOOKUP(DATA!#REF!,DATA!#REF!,1,FALSE),"")</f>
        <v/>
      </c>
      <c r="D5183" s="16" t="str">
        <f>IFERROR(VLOOKUP(C5183,DATA!#REF!,2,FALSE),"")</f>
        <v/>
      </c>
    </row>
    <row r="5184" spans="3:4" s="237" customFormat="1">
      <c r="C5184" s="16" t="str">
        <f>IFERROR(VLOOKUP(DATA!#REF!,DATA!#REF!,1,FALSE),"")</f>
        <v/>
      </c>
      <c r="D5184" s="16" t="str">
        <f>IFERROR(VLOOKUP(C5184,DATA!#REF!,2,FALSE),"")</f>
        <v/>
      </c>
    </row>
    <row r="5185" spans="3:4" s="237" customFormat="1">
      <c r="C5185" s="16" t="str">
        <f>IFERROR(VLOOKUP(DATA!#REF!,DATA!#REF!,1,FALSE),"")</f>
        <v/>
      </c>
      <c r="D5185" s="16" t="str">
        <f>IFERROR(VLOOKUP(C5185,DATA!#REF!,2,FALSE),"")</f>
        <v/>
      </c>
    </row>
    <row r="5186" spans="3:4" s="237" customFormat="1">
      <c r="C5186" s="16" t="str">
        <f>IFERROR(VLOOKUP(DATA!#REF!,DATA!#REF!,1,FALSE),"")</f>
        <v/>
      </c>
      <c r="D5186" s="16" t="str">
        <f>IFERROR(VLOOKUP(C5186,DATA!#REF!,2,FALSE),"")</f>
        <v/>
      </c>
    </row>
    <row r="5187" spans="3:4" s="237" customFormat="1">
      <c r="C5187" s="16" t="str">
        <f>IFERROR(VLOOKUP(DATA!#REF!,DATA!#REF!,1,FALSE),"")</f>
        <v/>
      </c>
      <c r="D5187" s="16" t="str">
        <f>IFERROR(VLOOKUP(C5187,DATA!#REF!,2,FALSE),"")</f>
        <v/>
      </c>
    </row>
    <row r="5188" spans="3:4" s="237" customFormat="1">
      <c r="C5188" s="16" t="str">
        <f>IFERROR(VLOOKUP(DATA!#REF!,DATA!#REF!,1,FALSE),"")</f>
        <v/>
      </c>
      <c r="D5188" s="16" t="str">
        <f>IFERROR(VLOOKUP(C5188,DATA!#REF!,2,FALSE),"")</f>
        <v/>
      </c>
    </row>
    <row r="5189" spans="3:4" s="237" customFormat="1">
      <c r="C5189" s="16" t="str">
        <f>IFERROR(VLOOKUP(DATA!#REF!,DATA!#REF!,1,FALSE),"")</f>
        <v/>
      </c>
      <c r="D5189" s="16" t="str">
        <f>IFERROR(VLOOKUP(C5189,DATA!#REF!,2,FALSE),"")</f>
        <v/>
      </c>
    </row>
    <row r="5190" spans="3:4" s="237" customFormat="1">
      <c r="C5190" s="16" t="str">
        <f>IFERROR(VLOOKUP(DATA!#REF!,DATA!#REF!,1,FALSE),"")</f>
        <v/>
      </c>
      <c r="D5190" s="16" t="str">
        <f>IFERROR(VLOOKUP(C5190,DATA!#REF!,2,FALSE),"")</f>
        <v/>
      </c>
    </row>
    <row r="5191" spans="3:4" s="237" customFormat="1">
      <c r="C5191" s="16" t="str">
        <f>IFERROR(VLOOKUP(DATA!#REF!,DATA!#REF!,1,FALSE),"")</f>
        <v/>
      </c>
      <c r="D5191" s="16" t="str">
        <f>IFERROR(VLOOKUP(C5191,DATA!#REF!,2,FALSE),"")</f>
        <v/>
      </c>
    </row>
    <row r="5192" spans="3:4" s="237" customFormat="1">
      <c r="C5192" s="16" t="str">
        <f>IFERROR(VLOOKUP(DATA!#REF!,DATA!#REF!,1,FALSE),"")</f>
        <v/>
      </c>
      <c r="D5192" s="16" t="str">
        <f>IFERROR(VLOOKUP(C5192,DATA!#REF!,2,FALSE),"")</f>
        <v/>
      </c>
    </row>
    <row r="5193" spans="3:4" s="237" customFormat="1">
      <c r="C5193" s="16" t="str">
        <f>IFERROR(VLOOKUP(DATA!#REF!,DATA!#REF!,1,FALSE),"")</f>
        <v/>
      </c>
      <c r="D5193" s="16" t="str">
        <f>IFERROR(VLOOKUP(C5193,DATA!#REF!,2,FALSE),"")</f>
        <v/>
      </c>
    </row>
    <row r="5194" spans="3:4" s="237" customFormat="1">
      <c r="C5194" s="16" t="str">
        <f>IFERROR(VLOOKUP(DATA!#REF!,DATA!#REF!,1,FALSE),"")</f>
        <v/>
      </c>
      <c r="D5194" s="16" t="str">
        <f>IFERROR(VLOOKUP(C5194,DATA!#REF!,2,FALSE),"")</f>
        <v/>
      </c>
    </row>
    <row r="5195" spans="3:4" s="237" customFormat="1">
      <c r="C5195" s="16" t="str">
        <f>IFERROR(VLOOKUP(DATA!#REF!,DATA!#REF!,1,FALSE),"")</f>
        <v/>
      </c>
      <c r="D5195" s="16" t="str">
        <f>IFERROR(VLOOKUP(C5195,DATA!#REF!,2,FALSE),"")</f>
        <v/>
      </c>
    </row>
    <row r="5196" spans="3:4" s="237" customFormat="1">
      <c r="C5196" s="16" t="str">
        <f>IFERROR(VLOOKUP(DATA!#REF!,DATA!#REF!,1,FALSE),"")</f>
        <v/>
      </c>
      <c r="D5196" s="16" t="str">
        <f>IFERROR(VLOOKUP(C5196,DATA!#REF!,2,FALSE),"")</f>
        <v/>
      </c>
    </row>
    <row r="5197" spans="3:4" s="237" customFormat="1">
      <c r="C5197" s="16" t="str">
        <f>IFERROR(VLOOKUP(DATA!#REF!,DATA!#REF!,1,FALSE),"")</f>
        <v/>
      </c>
      <c r="D5197" s="16" t="str">
        <f>IFERROR(VLOOKUP(C5197,DATA!#REF!,2,FALSE),"")</f>
        <v/>
      </c>
    </row>
    <row r="5198" spans="3:4" s="237" customFormat="1">
      <c r="C5198" s="16" t="str">
        <f>IFERROR(VLOOKUP(DATA!#REF!,DATA!#REF!,1,FALSE),"")</f>
        <v/>
      </c>
      <c r="D5198" s="16" t="str">
        <f>IFERROR(VLOOKUP(C5198,DATA!#REF!,2,FALSE),"")</f>
        <v/>
      </c>
    </row>
    <row r="5199" spans="3:4" s="237" customFormat="1">
      <c r="C5199" s="16" t="str">
        <f>IFERROR(VLOOKUP(DATA!#REF!,DATA!#REF!,1,FALSE),"")</f>
        <v/>
      </c>
      <c r="D5199" s="16" t="str">
        <f>IFERROR(VLOOKUP(C5199,DATA!#REF!,2,FALSE),"")</f>
        <v/>
      </c>
    </row>
    <row r="5200" spans="3:4" s="237" customFormat="1">
      <c r="C5200" s="16" t="str">
        <f>IFERROR(VLOOKUP(DATA!#REF!,DATA!#REF!,1,FALSE),"")</f>
        <v/>
      </c>
      <c r="D5200" s="16" t="str">
        <f>IFERROR(VLOOKUP(C5200,DATA!#REF!,2,FALSE),"")</f>
        <v/>
      </c>
    </row>
    <row r="5201" spans="3:4" s="237" customFormat="1">
      <c r="C5201" s="16" t="str">
        <f>IFERROR(VLOOKUP(DATA!#REF!,DATA!#REF!,1,FALSE),"")</f>
        <v/>
      </c>
      <c r="D5201" s="16" t="str">
        <f>IFERROR(VLOOKUP(C5201,DATA!#REF!,2,FALSE),"")</f>
        <v/>
      </c>
    </row>
    <row r="5202" spans="3:4" s="237" customFormat="1">
      <c r="C5202" s="16" t="str">
        <f>IFERROR(VLOOKUP(DATA!#REF!,DATA!#REF!,1,FALSE),"")</f>
        <v/>
      </c>
      <c r="D5202" s="16" t="str">
        <f>IFERROR(VLOOKUP(C5202,DATA!#REF!,2,FALSE),"")</f>
        <v/>
      </c>
    </row>
    <row r="5203" spans="3:4" s="237" customFormat="1">
      <c r="C5203" s="16" t="str">
        <f>IFERROR(VLOOKUP(DATA!#REF!,DATA!#REF!,1,FALSE),"")</f>
        <v/>
      </c>
      <c r="D5203" s="16" t="str">
        <f>IFERROR(VLOOKUP(C5203,DATA!#REF!,2,FALSE),"")</f>
        <v/>
      </c>
    </row>
    <row r="5204" spans="3:4" s="237" customFormat="1">
      <c r="C5204" s="16" t="str">
        <f>IFERROR(VLOOKUP(DATA!#REF!,DATA!#REF!,1,FALSE),"")</f>
        <v/>
      </c>
      <c r="D5204" s="16" t="str">
        <f>IFERROR(VLOOKUP(C5204,DATA!#REF!,2,FALSE),"")</f>
        <v/>
      </c>
    </row>
    <row r="5205" spans="3:4" s="237" customFormat="1">
      <c r="C5205" s="16" t="str">
        <f>IFERROR(VLOOKUP(DATA!#REF!,DATA!#REF!,1,FALSE),"")</f>
        <v/>
      </c>
      <c r="D5205" s="16" t="str">
        <f>IFERROR(VLOOKUP(C5205,DATA!#REF!,2,FALSE),"")</f>
        <v/>
      </c>
    </row>
    <row r="5206" spans="3:4" s="237" customFormat="1">
      <c r="C5206" s="16" t="str">
        <f>IFERROR(VLOOKUP(DATA!#REF!,DATA!#REF!,1,FALSE),"")</f>
        <v/>
      </c>
      <c r="D5206" s="16" t="str">
        <f>IFERROR(VLOOKUP(C5206,DATA!#REF!,2,FALSE),"")</f>
        <v/>
      </c>
    </row>
    <row r="5207" spans="3:4" s="237" customFormat="1">
      <c r="C5207" s="16" t="str">
        <f>IFERROR(VLOOKUP(DATA!#REF!,DATA!#REF!,1,FALSE),"")</f>
        <v/>
      </c>
      <c r="D5207" s="16" t="str">
        <f>IFERROR(VLOOKUP(C5207,DATA!#REF!,2,FALSE),"")</f>
        <v/>
      </c>
    </row>
    <row r="5208" spans="3:4" s="237" customFormat="1">
      <c r="C5208" s="16" t="str">
        <f>IFERROR(VLOOKUP(DATA!#REF!,DATA!#REF!,1,FALSE),"")</f>
        <v/>
      </c>
      <c r="D5208" s="16" t="str">
        <f>IFERROR(VLOOKUP(C5208,DATA!#REF!,2,FALSE),"")</f>
        <v/>
      </c>
    </row>
    <row r="5209" spans="3:4" s="237" customFormat="1">
      <c r="C5209" s="16" t="str">
        <f>IFERROR(VLOOKUP(DATA!#REF!,DATA!#REF!,1,FALSE),"")</f>
        <v/>
      </c>
      <c r="D5209" s="16" t="str">
        <f>IFERROR(VLOOKUP(C5209,DATA!#REF!,2,FALSE),"")</f>
        <v/>
      </c>
    </row>
    <row r="5210" spans="3:4" s="237" customFormat="1">
      <c r="C5210" s="16" t="str">
        <f>IFERROR(VLOOKUP(DATA!#REF!,DATA!#REF!,1,FALSE),"")</f>
        <v/>
      </c>
      <c r="D5210" s="16" t="str">
        <f>IFERROR(VLOOKUP(C5210,DATA!#REF!,2,FALSE),"")</f>
        <v/>
      </c>
    </row>
    <row r="5211" spans="3:4" s="237" customFormat="1">
      <c r="C5211" s="16" t="str">
        <f>IFERROR(VLOOKUP(DATA!#REF!,DATA!#REF!,1,FALSE),"")</f>
        <v/>
      </c>
      <c r="D5211" s="16" t="str">
        <f>IFERROR(VLOOKUP(C5211,DATA!#REF!,2,FALSE),"")</f>
        <v/>
      </c>
    </row>
    <row r="5212" spans="3:4" s="237" customFormat="1">
      <c r="C5212" s="16" t="str">
        <f>IFERROR(VLOOKUP(DATA!#REF!,DATA!#REF!,1,FALSE),"")</f>
        <v/>
      </c>
      <c r="D5212" s="16" t="str">
        <f>IFERROR(VLOOKUP(C5212,DATA!#REF!,2,FALSE),"")</f>
        <v/>
      </c>
    </row>
    <row r="5213" spans="3:4" s="237" customFormat="1">
      <c r="C5213" s="16" t="str">
        <f>IFERROR(VLOOKUP(DATA!#REF!,DATA!#REF!,1,FALSE),"")</f>
        <v/>
      </c>
      <c r="D5213" s="16" t="str">
        <f>IFERROR(VLOOKUP(C5213,DATA!#REF!,2,FALSE),"")</f>
        <v/>
      </c>
    </row>
    <row r="5214" spans="3:4" s="237" customFormat="1">
      <c r="C5214" s="16" t="str">
        <f>IFERROR(VLOOKUP(DATA!#REF!,DATA!#REF!,1,FALSE),"")</f>
        <v/>
      </c>
      <c r="D5214" s="16" t="str">
        <f>IFERROR(VLOOKUP(C5214,DATA!#REF!,2,FALSE),"")</f>
        <v/>
      </c>
    </row>
    <row r="5215" spans="3:4" s="237" customFormat="1">
      <c r="C5215" s="16" t="str">
        <f>IFERROR(VLOOKUP(DATA!#REF!,DATA!#REF!,1,FALSE),"")</f>
        <v/>
      </c>
      <c r="D5215" s="16" t="str">
        <f>IFERROR(VLOOKUP(C5215,DATA!#REF!,2,FALSE),"")</f>
        <v/>
      </c>
    </row>
    <row r="5216" spans="3:4" s="237" customFormat="1">
      <c r="C5216" s="16" t="str">
        <f>IFERROR(VLOOKUP(DATA!#REF!,DATA!#REF!,1,FALSE),"")</f>
        <v/>
      </c>
      <c r="D5216" s="16" t="str">
        <f>IFERROR(VLOOKUP(C5216,DATA!#REF!,2,FALSE),"")</f>
        <v/>
      </c>
    </row>
    <row r="5217" spans="3:4" s="237" customFormat="1">
      <c r="C5217" s="16" t="str">
        <f>IFERROR(VLOOKUP(DATA!#REF!,DATA!#REF!,1,FALSE),"")</f>
        <v/>
      </c>
      <c r="D5217" s="16" t="str">
        <f>IFERROR(VLOOKUP(C5217,DATA!#REF!,2,FALSE),"")</f>
        <v/>
      </c>
    </row>
    <row r="5218" spans="3:4" s="237" customFormat="1">
      <c r="C5218" s="16" t="str">
        <f>IFERROR(VLOOKUP(DATA!#REF!,DATA!#REF!,1,FALSE),"")</f>
        <v/>
      </c>
      <c r="D5218" s="16" t="str">
        <f>IFERROR(VLOOKUP(C5218,DATA!#REF!,2,FALSE),"")</f>
        <v/>
      </c>
    </row>
    <row r="5219" spans="3:4" s="237" customFormat="1">
      <c r="C5219" s="16" t="str">
        <f>IFERROR(VLOOKUP(DATA!#REF!,DATA!#REF!,1,FALSE),"")</f>
        <v/>
      </c>
      <c r="D5219" s="16" t="str">
        <f>IFERROR(VLOOKUP(C5219,DATA!#REF!,2,FALSE),"")</f>
        <v/>
      </c>
    </row>
    <row r="5220" spans="3:4" s="237" customFormat="1">
      <c r="C5220" s="16" t="str">
        <f>IFERROR(VLOOKUP(DATA!#REF!,DATA!#REF!,1,FALSE),"")</f>
        <v/>
      </c>
      <c r="D5220" s="16" t="str">
        <f>IFERROR(VLOOKUP(C5220,DATA!#REF!,2,FALSE),"")</f>
        <v/>
      </c>
    </row>
    <row r="5221" spans="3:4" s="237" customFormat="1">
      <c r="C5221" s="16" t="str">
        <f>IFERROR(VLOOKUP(DATA!#REF!,DATA!#REF!,1,FALSE),"")</f>
        <v/>
      </c>
      <c r="D5221" s="16" t="str">
        <f>IFERROR(VLOOKUP(C5221,DATA!#REF!,2,FALSE),"")</f>
        <v/>
      </c>
    </row>
    <row r="5222" spans="3:4" s="237" customFormat="1">
      <c r="C5222" s="16" t="str">
        <f>IFERROR(VLOOKUP(DATA!#REF!,DATA!#REF!,1,FALSE),"")</f>
        <v/>
      </c>
      <c r="D5222" s="16" t="str">
        <f>IFERROR(VLOOKUP(C5222,DATA!#REF!,2,FALSE),"")</f>
        <v/>
      </c>
    </row>
    <row r="5223" spans="3:4" s="237" customFormat="1">
      <c r="C5223" s="16" t="str">
        <f>IFERROR(VLOOKUP(DATA!#REF!,DATA!#REF!,1,FALSE),"")</f>
        <v/>
      </c>
      <c r="D5223" s="16" t="str">
        <f>IFERROR(VLOOKUP(C5223,DATA!#REF!,2,FALSE),"")</f>
        <v/>
      </c>
    </row>
    <row r="5224" spans="3:4" s="237" customFormat="1">
      <c r="C5224" s="16" t="str">
        <f>IFERROR(VLOOKUP(DATA!#REF!,DATA!#REF!,1,FALSE),"")</f>
        <v/>
      </c>
      <c r="D5224" s="16" t="str">
        <f>IFERROR(VLOOKUP(C5224,DATA!#REF!,2,FALSE),"")</f>
        <v/>
      </c>
    </row>
    <row r="5225" spans="3:4" s="237" customFormat="1">
      <c r="C5225" s="16" t="str">
        <f>IFERROR(VLOOKUP(DATA!#REF!,DATA!#REF!,1,FALSE),"")</f>
        <v/>
      </c>
      <c r="D5225" s="16" t="str">
        <f>IFERROR(VLOOKUP(C5225,DATA!#REF!,2,FALSE),"")</f>
        <v/>
      </c>
    </row>
    <row r="5226" spans="3:4" s="237" customFormat="1">
      <c r="C5226" s="16" t="str">
        <f>IFERROR(VLOOKUP(DATA!#REF!,DATA!#REF!,1,FALSE),"")</f>
        <v/>
      </c>
      <c r="D5226" s="16" t="str">
        <f>IFERROR(VLOOKUP(C5226,DATA!#REF!,2,FALSE),"")</f>
        <v/>
      </c>
    </row>
    <row r="5227" spans="3:4" s="237" customFormat="1">
      <c r="C5227" s="16" t="str">
        <f>IFERROR(VLOOKUP(DATA!#REF!,DATA!#REF!,1,FALSE),"")</f>
        <v/>
      </c>
      <c r="D5227" s="16" t="str">
        <f>IFERROR(VLOOKUP(C5227,DATA!#REF!,2,FALSE),"")</f>
        <v/>
      </c>
    </row>
    <row r="5228" spans="3:4" s="237" customFormat="1">
      <c r="C5228" s="16" t="str">
        <f>IFERROR(VLOOKUP(DATA!#REF!,DATA!#REF!,1,FALSE),"")</f>
        <v/>
      </c>
      <c r="D5228" s="16" t="str">
        <f>IFERROR(VLOOKUP(C5228,DATA!#REF!,2,FALSE),"")</f>
        <v/>
      </c>
    </row>
    <row r="5229" spans="3:4" s="237" customFormat="1">
      <c r="C5229" s="16" t="str">
        <f>IFERROR(VLOOKUP(DATA!#REF!,DATA!#REF!,1,FALSE),"")</f>
        <v/>
      </c>
      <c r="D5229" s="16" t="str">
        <f>IFERROR(VLOOKUP(C5229,DATA!#REF!,2,FALSE),"")</f>
        <v/>
      </c>
    </row>
    <row r="5230" spans="3:4" s="237" customFormat="1">
      <c r="C5230" s="16" t="str">
        <f>IFERROR(VLOOKUP(DATA!#REF!,DATA!#REF!,1,FALSE),"")</f>
        <v/>
      </c>
      <c r="D5230" s="16" t="str">
        <f>IFERROR(VLOOKUP(C5230,DATA!#REF!,2,FALSE),"")</f>
        <v/>
      </c>
    </row>
    <row r="5231" spans="3:4" s="237" customFormat="1">
      <c r="C5231" s="16" t="str">
        <f>IFERROR(VLOOKUP(DATA!#REF!,DATA!#REF!,1,FALSE),"")</f>
        <v/>
      </c>
      <c r="D5231" s="16" t="str">
        <f>IFERROR(VLOOKUP(C5231,DATA!#REF!,2,FALSE),"")</f>
        <v/>
      </c>
    </row>
    <row r="5232" spans="3:4" s="237" customFormat="1">
      <c r="C5232" s="16" t="str">
        <f>IFERROR(VLOOKUP(DATA!#REF!,DATA!#REF!,1,FALSE),"")</f>
        <v/>
      </c>
      <c r="D5232" s="16" t="str">
        <f>IFERROR(VLOOKUP(C5232,DATA!#REF!,2,FALSE),"")</f>
        <v/>
      </c>
    </row>
    <row r="5233" spans="3:4" s="237" customFormat="1">
      <c r="C5233" s="16" t="str">
        <f>IFERROR(VLOOKUP(DATA!#REF!,DATA!#REF!,1,FALSE),"")</f>
        <v/>
      </c>
      <c r="D5233" s="16" t="str">
        <f>IFERROR(VLOOKUP(C5233,DATA!#REF!,2,FALSE),"")</f>
        <v/>
      </c>
    </row>
    <row r="5234" spans="3:4" s="237" customFormat="1">
      <c r="C5234" s="16" t="str">
        <f>IFERROR(VLOOKUP(DATA!#REF!,DATA!#REF!,1,FALSE),"")</f>
        <v/>
      </c>
      <c r="D5234" s="16" t="str">
        <f>IFERROR(VLOOKUP(C5234,DATA!#REF!,2,FALSE),"")</f>
        <v/>
      </c>
    </row>
    <row r="5235" spans="3:4" s="237" customFormat="1">
      <c r="C5235" s="16" t="str">
        <f>IFERROR(VLOOKUP(DATA!#REF!,DATA!#REF!,1,FALSE),"")</f>
        <v/>
      </c>
      <c r="D5235" s="16" t="str">
        <f>IFERROR(VLOOKUP(C5235,DATA!#REF!,2,FALSE),"")</f>
        <v/>
      </c>
    </row>
    <row r="5236" spans="3:4" s="237" customFormat="1">
      <c r="C5236" s="16" t="str">
        <f>IFERROR(VLOOKUP(DATA!#REF!,DATA!#REF!,1,FALSE),"")</f>
        <v/>
      </c>
      <c r="D5236" s="16" t="str">
        <f>IFERROR(VLOOKUP(C5236,DATA!#REF!,2,FALSE),"")</f>
        <v/>
      </c>
    </row>
    <row r="5237" spans="3:4" s="237" customFormat="1">
      <c r="C5237" s="16" t="str">
        <f>IFERROR(VLOOKUP(DATA!#REF!,DATA!#REF!,1,FALSE),"")</f>
        <v/>
      </c>
      <c r="D5237" s="16" t="str">
        <f>IFERROR(VLOOKUP(C5237,DATA!#REF!,2,FALSE),"")</f>
        <v/>
      </c>
    </row>
    <row r="5238" spans="3:4" s="237" customFormat="1">
      <c r="C5238" s="16" t="str">
        <f>IFERROR(VLOOKUP(DATA!#REF!,DATA!#REF!,1,FALSE),"")</f>
        <v/>
      </c>
      <c r="D5238" s="16" t="str">
        <f>IFERROR(VLOOKUP(C5238,DATA!#REF!,2,FALSE),"")</f>
        <v/>
      </c>
    </row>
    <row r="5239" spans="3:4" s="237" customFormat="1">
      <c r="C5239" s="16" t="str">
        <f>IFERROR(VLOOKUP(DATA!#REF!,DATA!#REF!,1,FALSE),"")</f>
        <v/>
      </c>
      <c r="D5239" s="16" t="str">
        <f>IFERROR(VLOOKUP(C5239,DATA!#REF!,2,FALSE),"")</f>
        <v/>
      </c>
    </row>
    <row r="5240" spans="3:4" s="237" customFormat="1">
      <c r="C5240" s="16" t="str">
        <f>IFERROR(VLOOKUP(DATA!#REF!,DATA!#REF!,1,FALSE),"")</f>
        <v/>
      </c>
      <c r="D5240" s="16" t="str">
        <f>IFERROR(VLOOKUP(C5240,DATA!#REF!,2,FALSE),"")</f>
        <v/>
      </c>
    </row>
    <row r="5241" spans="3:4" s="237" customFormat="1">
      <c r="C5241" s="16" t="str">
        <f>IFERROR(VLOOKUP(DATA!#REF!,DATA!#REF!,1,FALSE),"")</f>
        <v/>
      </c>
      <c r="D5241" s="16" t="str">
        <f>IFERROR(VLOOKUP(C5241,DATA!#REF!,2,FALSE),"")</f>
        <v/>
      </c>
    </row>
    <row r="5242" spans="3:4" s="237" customFormat="1">
      <c r="C5242" s="16" t="str">
        <f>IFERROR(VLOOKUP(DATA!#REF!,DATA!#REF!,1,FALSE),"")</f>
        <v/>
      </c>
      <c r="D5242" s="16" t="str">
        <f>IFERROR(VLOOKUP(C5242,DATA!#REF!,2,FALSE),"")</f>
        <v/>
      </c>
    </row>
    <row r="5243" spans="3:4" s="237" customFormat="1">
      <c r="C5243" s="16" t="str">
        <f>IFERROR(VLOOKUP(DATA!#REF!,DATA!#REF!,1,FALSE),"")</f>
        <v/>
      </c>
      <c r="D5243" s="16" t="str">
        <f>IFERROR(VLOOKUP(C5243,DATA!#REF!,2,FALSE),"")</f>
        <v/>
      </c>
    </row>
    <row r="5244" spans="3:4" s="237" customFormat="1">
      <c r="C5244" s="16" t="str">
        <f>IFERROR(VLOOKUP(DATA!#REF!,DATA!#REF!,1,FALSE),"")</f>
        <v/>
      </c>
      <c r="D5244" s="16" t="str">
        <f>IFERROR(VLOOKUP(C5244,DATA!#REF!,2,FALSE),"")</f>
        <v/>
      </c>
    </row>
    <row r="5245" spans="3:4" s="237" customFormat="1">
      <c r="C5245" s="16" t="str">
        <f>IFERROR(VLOOKUP(DATA!#REF!,DATA!#REF!,1,FALSE),"")</f>
        <v/>
      </c>
      <c r="D5245" s="16" t="str">
        <f>IFERROR(VLOOKUP(C5245,DATA!#REF!,2,FALSE),"")</f>
        <v/>
      </c>
    </row>
    <row r="5246" spans="3:4" s="237" customFormat="1">
      <c r="C5246" s="16" t="str">
        <f>IFERROR(VLOOKUP(DATA!#REF!,DATA!#REF!,1,FALSE),"")</f>
        <v/>
      </c>
      <c r="D5246" s="16" t="str">
        <f>IFERROR(VLOOKUP(C5246,DATA!#REF!,2,FALSE),"")</f>
        <v/>
      </c>
    </row>
    <row r="5247" spans="3:4" s="237" customFormat="1">
      <c r="C5247" s="16" t="str">
        <f>IFERROR(VLOOKUP(DATA!#REF!,DATA!#REF!,1,FALSE),"")</f>
        <v/>
      </c>
      <c r="D5247" s="16" t="str">
        <f>IFERROR(VLOOKUP(C5247,DATA!#REF!,2,FALSE),"")</f>
        <v/>
      </c>
    </row>
    <row r="5248" spans="3:4" s="237" customFormat="1">
      <c r="C5248" s="16" t="str">
        <f>IFERROR(VLOOKUP(DATA!#REF!,DATA!#REF!,1,FALSE),"")</f>
        <v/>
      </c>
      <c r="D5248" s="16" t="str">
        <f>IFERROR(VLOOKUP(C5248,DATA!#REF!,2,FALSE),"")</f>
        <v/>
      </c>
    </row>
    <row r="5249" spans="3:4" s="237" customFormat="1">
      <c r="C5249" s="16" t="str">
        <f>IFERROR(VLOOKUP(DATA!#REF!,DATA!#REF!,1,FALSE),"")</f>
        <v/>
      </c>
      <c r="D5249" s="16" t="str">
        <f>IFERROR(VLOOKUP(C5249,DATA!#REF!,2,FALSE),"")</f>
        <v/>
      </c>
    </row>
    <row r="5250" spans="3:4" s="237" customFormat="1">
      <c r="C5250" s="16" t="str">
        <f>IFERROR(VLOOKUP(DATA!#REF!,DATA!#REF!,1,FALSE),"")</f>
        <v/>
      </c>
      <c r="D5250" s="16" t="str">
        <f>IFERROR(VLOOKUP(C5250,DATA!#REF!,2,FALSE),"")</f>
        <v/>
      </c>
    </row>
    <row r="5251" spans="3:4" s="237" customFormat="1">
      <c r="C5251" s="16" t="str">
        <f>IFERROR(VLOOKUP(DATA!#REF!,DATA!#REF!,1,FALSE),"")</f>
        <v/>
      </c>
      <c r="D5251" s="16" t="str">
        <f>IFERROR(VLOOKUP(C5251,DATA!#REF!,2,FALSE),"")</f>
        <v/>
      </c>
    </row>
    <row r="5252" spans="3:4" s="237" customFormat="1">
      <c r="C5252" s="16" t="str">
        <f>IFERROR(VLOOKUP(DATA!#REF!,DATA!#REF!,1,FALSE),"")</f>
        <v/>
      </c>
      <c r="D5252" s="16" t="str">
        <f>IFERROR(VLOOKUP(C5252,DATA!#REF!,2,FALSE),"")</f>
        <v/>
      </c>
    </row>
    <row r="5253" spans="3:4" s="237" customFormat="1">
      <c r="C5253" s="16" t="str">
        <f>IFERROR(VLOOKUP(DATA!#REF!,DATA!#REF!,1,FALSE),"")</f>
        <v/>
      </c>
      <c r="D5253" s="16" t="str">
        <f>IFERROR(VLOOKUP(C5253,DATA!#REF!,2,FALSE),"")</f>
        <v/>
      </c>
    </row>
    <row r="5254" spans="3:4" s="237" customFormat="1">
      <c r="C5254" s="16" t="str">
        <f>IFERROR(VLOOKUP(DATA!#REF!,DATA!#REF!,1,FALSE),"")</f>
        <v/>
      </c>
      <c r="D5254" s="16" t="str">
        <f>IFERROR(VLOOKUP(C5254,DATA!#REF!,2,FALSE),"")</f>
        <v/>
      </c>
    </row>
    <row r="5255" spans="3:4" s="237" customFormat="1">
      <c r="C5255" s="16" t="str">
        <f>IFERROR(VLOOKUP(DATA!#REF!,DATA!#REF!,1,FALSE),"")</f>
        <v/>
      </c>
      <c r="D5255" s="16" t="str">
        <f>IFERROR(VLOOKUP(C5255,DATA!#REF!,2,FALSE),"")</f>
        <v/>
      </c>
    </row>
    <row r="5256" spans="3:4" s="237" customFormat="1">
      <c r="C5256" s="16" t="str">
        <f>IFERROR(VLOOKUP(DATA!#REF!,DATA!#REF!,1,FALSE),"")</f>
        <v/>
      </c>
      <c r="D5256" s="16" t="str">
        <f>IFERROR(VLOOKUP(C5256,DATA!#REF!,2,FALSE),"")</f>
        <v/>
      </c>
    </row>
    <row r="5257" spans="3:4" s="237" customFormat="1">
      <c r="C5257" s="16" t="str">
        <f>IFERROR(VLOOKUP(DATA!#REF!,DATA!#REF!,1,FALSE),"")</f>
        <v/>
      </c>
      <c r="D5257" s="16" t="str">
        <f>IFERROR(VLOOKUP(C5257,DATA!#REF!,2,FALSE),"")</f>
        <v/>
      </c>
    </row>
    <row r="5258" spans="3:4" s="237" customFormat="1">
      <c r="C5258" s="16" t="str">
        <f>IFERROR(VLOOKUP(DATA!#REF!,DATA!#REF!,1,FALSE),"")</f>
        <v/>
      </c>
      <c r="D5258" s="16" t="str">
        <f>IFERROR(VLOOKUP(C5258,DATA!#REF!,2,FALSE),"")</f>
        <v/>
      </c>
    </row>
    <row r="5259" spans="3:4" s="237" customFormat="1">
      <c r="C5259" s="16" t="str">
        <f>IFERROR(VLOOKUP(DATA!#REF!,DATA!#REF!,1,FALSE),"")</f>
        <v/>
      </c>
      <c r="D5259" s="16" t="str">
        <f>IFERROR(VLOOKUP(C5259,DATA!#REF!,2,FALSE),"")</f>
        <v/>
      </c>
    </row>
    <row r="5260" spans="3:4" s="237" customFormat="1">
      <c r="C5260" s="16" t="str">
        <f>IFERROR(VLOOKUP(DATA!#REF!,DATA!#REF!,1,FALSE),"")</f>
        <v/>
      </c>
      <c r="D5260" s="16" t="str">
        <f>IFERROR(VLOOKUP(C5260,DATA!#REF!,2,FALSE),"")</f>
        <v/>
      </c>
    </row>
    <row r="5261" spans="3:4" s="237" customFormat="1">
      <c r="C5261" s="16" t="str">
        <f>IFERROR(VLOOKUP(DATA!#REF!,DATA!#REF!,1,FALSE),"")</f>
        <v/>
      </c>
      <c r="D5261" s="16" t="str">
        <f>IFERROR(VLOOKUP(C5261,DATA!#REF!,2,FALSE),"")</f>
        <v/>
      </c>
    </row>
    <row r="5262" spans="3:4" s="237" customFormat="1">
      <c r="C5262" s="16" t="str">
        <f>IFERROR(VLOOKUP(DATA!#REF!,DATA!#REF!,1,FALSE),"")</f>
        <v/>
      </c>
      <c r="D5262" s="16" t="str">
        <f>IFERROR(VLOOKUP(C5262,DATA!#REF!,2,FALSE),"")</f>
        <v/>
      </c>
    </row>
    <row r="5263" spans="3:4" s="237" customFormat="1">
      <c r="C5263" s="16" t="str">
        <f>IFERROR(VLOOKUP(DATA!#REF!,DATA!#REF!,1,FALSE),"")</f>
        <v/>
      </c>
      <c r="D5263" s="16" t="str">
        <f>IFERROR(VLOOKUP(C5263,DATA!#REF!,2,FALSE),"")</f>
        <v/>
      </c>
    </row>
    <row r="5264" spans="3:4" s="237" customFormat="1">
      <c r="C5264" s="16" t="str">
        <f>IFERROR(VLOOKUP(DATA!#REF!,DATA!#REF!,1,FALSE),"")</f>
        <v/>
      </c>
      <c r="D5264" s="16" t="str">
        <f>IFERROR(VLOOKUP(C5264,DATA!#REF!,2,FALSE),"")</f>
        <v/>
      </c>
    </row>
    <row r="5265" spans="3:4" s="237" customFormat="1">
      <c r="C5265" s="16" t="str">
        <f>IFERROR(VLOOKUP(DATA!#REF!,DATA!#REF!,1,FALSE),"")</f>
        <v/>
      </c>
      <c r="D5265" s="16" t="str">
        <f>IFERROR(VLOOKUP(C5265,DATA!#REF!,2,FALSE),"")</f>
        <v/>
      </c>
    </row>
    <row r="5266" spans="3:4" s="237" customFormat="1">
      <c r="C5266" s="16" t="str">
        <f>IFERROR(VLOOKUP(DATA!#REF!,DATA!#REF!,1,FALSE),"")</f>
        <v/>
      </c>
      <c r="D5266" s="16" t="str">
        <f>IFERROR(VLOOKUP(C5266,DATA!#REF!,2,FALSE),"")</f>
        <v/>
      </c>
    </row>
    <row r="5267" spans="3:4" s="237" customFormat="1">
      <c r="C5267" s="16" t="str">
        <f>IFERROR(VLOOKUP(DATA!#REF!,DATA!#REF!,1,FALSE),"")</f>
        <v/>
      </c>
      <c r="D5267" s="16" t="str">
        <f>IFERROR(VLOOKUP(C5267,DATA!#REF!,2,FALSE),"")</f>
        <v/>
      </c>
    </row>
    <row r="5268" spans="3:4" s="237" customFormat="1">
      <c r="C5268" s="16" t="str">
        <f>IFERROR(VLOOKUP(DATA!#REF!,DATA!#REF!,1,FALSE),"")</f>
        <v/>
      </c>
      <c r="D5268" s="16" t="str">
        <f>IFERROR(VLOOKUP(C5268,DATA!#REF!,2,FALSE),"")</f>
        <v/>
      </c>
    </row>
    <row r="5269" spans="3:4" s="237" customFormat="1">
      <c r="C5269" s="16" t="str">
        <f>IFERROR(VLOOKUP(DATA!#REF!,DATA!#REF!,1,FALSE),"")</f>
        <v/>
      </c>
      <c r="D5269" s="16" t="str">
        <f>IFERROR(VLOOKUP(C5269,DATA!#REF!,2,FALSE),"")</f>
        <v/>
      </c>
    </row>
    <row r="5270" spans="3:4" s="237" customFormat="1">
      <c r="C5270" s="16" t="str">
        <f>IFERROR(VLOOKUP(DATA!#REF!,DATA!#REF!,1,FALSE),"")</f>
        <v/>
      </c>
      <c r="D5270" s="16" t="str">
        <f>IFERROR(VLOOKUP(C5270,DATA!#REF!,2,FALSE),"")</f>
        <v/>
      </c>
    </row>
    <row r="5271" spans="3:4" s="237" customFormat="1">
      <c r="C5271" s="16" t="str">
        <f>IFERROR(VLOOKUP(DATA!#REF!,DATA!#REF!,1,FALSE),"")</f>
        <v/>
      </c>
      <c r="D5271" s="16" t="str">
        <f>IFERROR(VLOOKUP(C5271,DATA!#REF!,2,FALSE),"")</f>
        <v/>
      </c>
    </row>
    <row r="5272" spans="3:4" s="237" customFormat="1">
      <c r="C5272" s="16" t="str">
        <f>IFERROR(VLOOKUP(DATA!#REF!,DATA!#REF!,1,FALSE),"")</f>
        <v/>
      </c>
      <c r="D5272" s="16" t="str">
        <f>IFERROR(VLOOKUP(C5272,DATA!#REF!,2,FALSE),"")</f>
        <v/>
      </c>
    </row>
    <row r="5273" spans="3:4" s="237" customFormat="1">
      <c r="C5273" s="16" t="str">
        <f>IFERROR(VLOOKUP(DATA!#REF!,DATA!#REF!,1,FALSE),"")</f>
        <v/>
      </c>
      <c r="D5273" s="16" t="str">
        <f>IFERROR(VLOOKUP(C5273,DATA!#REF!,2,FALSE),"")</f>
        <v/>
      </c>
    </row>
    <row r="5274" spans="3:4" s="237" customFormat="1">
      <c r="C5274" s="16" t="str">
        <f>IFERROR(VLOOKUP(DATA!#REF!,DATA!#REF!,1,FALSE),"")</f>
        <v/>
      </c>
      <c r="D5274" s="16" t="str">
        <f>IFERROR(VLOOKUP(C5274,DATA!#REF!,2,FALSE),"")</f>
        <v/>
      </c>
    </row>
    <row r="5275" spans="3:4" s="237" customFormat="1">
      <c r="C5275" s="16" t="str">
        <f>IFERROR(VLOOKUP(DATA!#REF!,DATA!#REF!,1,FALSE),"")</f>
        <v/>
      </c>
      <c r="D5275" s="16" t="str">
        <f>IFERROR(VLOOKUP(C5275,DATA!#REF!,2,FALSE),"")</f>
        <v/>
      </c>
    </row>
    <row r="5276" spans="3:4" s="237" customFormat="1">
      <c r="C5276" s="16" t="str">
        <f>IFERROR(VLOOKUP(DATA!#REF!,DATA!#REF!,1,FALSE),"")</f>
        <v/>
      </c>
      <c r="D5276" s="16" t="str">
        <f>IFERROR(VLOOKUP(C5276,DATA!#REF!,2,FALSE),"")</f>
        <v/>
      </c>
    </row>
    <row r="5277" spans="3:4" s="237" customFormat="1">
      <c r="C5277" s="16" t="str">
        <f>IFERROR(VLOOKUP(DATA!#REF!,DATA!#REF!,1,FALSE),"")</f>
        <v/>
      </c>
      <c r="D5277" s="16" t="str">
        <f>IFERROR(VLOOKUP(C5277,DATA!#REF!,2,FALSE),"")</f>
        <v/>
      </c>
    </row>
    <row r="5278" spans="3:4" s="237" customFormat="1">
      <c r="C5278" s="16" t="str">
        <f>IFERROR(VLOOKUP(DATA!#REF!,DATA!#REF!,1,FALSE),"")</f>
        <v/>
      </c>
      <c r="D5278" s="16" t="str">
        <f>IFERROR(VLOOKUP(C5278,DATA!#REF!,2,FALSE),"")</f>
        <v/>
      </c>
    </row>
    <row r="5279" spans="3:4" s="237" customFormat="1">
      <c r="C5279" s="16" t="str">
        <f>IFERROR(VLOOKUP(DATA!#REF!,DATA!#REF!,1,FALSE),"")</f>
        <v/>
      </c>
      <c r="D5279" s="16" t="str">
        <f>IFERROR(VLOOKUP(C5279,DATA!#REF!,2,FALSE),"")</f>
        <v/>
      </c>
    </row>
    <row r="5280" spans="3:4" s="237" customFormat="1">
      <c r="C5280" s="16" t="str">
        <f>IFERROR(VLOOKUP(DATA!#REF!,DATA!#REF!,1,FALSE),"")</f>
        <v/>
      </c>
      <c r="D5280" s="16" t="str">
        <f>IFERROR(VLOOKUP(C5280,DATA!#REF!,2,FALSE),"")</f>
        <v/>
      </c>
    </row>
    <row r="5281" spans="3:4" s="237" customFormat="1">
      <c r="C5281" s="16" t="str">
        <f>IFERROR(VLOOKUP(DATA!#REF!,DATA!#REF!,1,FALSE),"")</f>
        <v/>
      </c>
      <c r="D5281" s="16" t="str">
        <f>IFERROR(VLOOKUP(C5281,DATA!#REF!,2,FALSE),"")</f>
        <v/>
      </c>
    </row>
    <row r="5282" spans="3:4" s="237" customFormat="1">
      <c r="C5282" s="16" t="str">
        <f>IFERROR(VLOOKUP(DATA!#REF!,DATA!#REF!,1,FALSE),"")</f>
        <v/>
      </c>
      <c r="D5282" s="16" t="str">
        <f>IFERROR(VLOOKUP(C5282,DATA!#REF!,2,FALSE),"")</f>
        <v/>
      </c>
    </row>
    <row r="5283" spans="3:4" s="237" customFormat="1">
      <c r="C5283" s="16" t="str">
        <f>IFERROR(VLOOKUP(DATA!#REF!,DATA!#REF!,1,FALSE),"")</f>
        <v/>
      </c>
      <c r="D5283" s="16" t="str">
        <f>IFERROR(VLOOKUP(C5283,DATA!#REF!,2,FALSE),"")</f>
        <v/>
      </c>
    </row>
    <row r="5284" spans="3:4" s="237" customFormat="1">
      <c r="C5284" s="16" t="str">
        <f>IFERROR(VLOOKUP(DATA!#REF!,DATA!#REF!,1,FALSE),"")</f>
        <v/>
      </c>
      <c r="D5284" s="16" t="str">
        <f>IFERROR(VLOOKUP(C5284,DATA!#REF!,2,FALSE),"")</f>
        <v/>
      </c>
    </row>
    <row r="5285" spans="3:4" s="237" customFormat="1">
      <c r="C5285" s="16" t="str">
        <f>IFERROR(VLOOKUP(DATA!#REF!,DATA!#REF!,1,FALSE),"")</f>
        <v/>
      </c>
      <c r="D5285" s="16" t="str">
        <f>IFERROR(VLOOKUP(C5285,DATA!#REF!,2,FALSE),"")</f>
        <v/>
      </c>
    </row>
    <row r="5286" spans="3:4" s="237" customFormat="1">
      <c r="C5286" s="16" t="str">
        <f>IFERROR(VLOOKUP(DATA!#REF!,DATA!#REF!,1,FALSE),"")</f>
        <v/>
      </c>
      <c r="D5286" s="16" t="str">
        <f>IFERROR(VLOOKUP(C5286,DATA!#REF!,2,FALSE),"")</f>
        <v/>
      </c>
    </row>
    <row r="5287" spans="3:4" s="237" customFormat="1">
      <c r="C5287" s="16" t="str">
        <f>IFERROR(VLOOKUP(DATA!#REF!,DATA!#REF!,1,FALSE),"")</f>
        <v/>
      </c>
      <c r="D5287" s="16" t="str">
        <f>IFERROR(VLOOKUP(C5287,DATA!#REF!,2,FALSE),"")</f>
        <v/>
      </c>
    </row>
    <row r="5288" spans="3:4" s="237" customFormat="1">
      <c r="C5288" s="16" t="str">
        <f>IFERROR(VLOOKUP(DATA!#REF!,DATA!#REF!,1,FALSE),"")</f>
        <v/>
      </c>
      <c r="D5288" s="16" t="str">
        <f>IFERROR(VLOOKUP(C5288,DATA!#REF!,2,FALSE),"")</f>
        <v/>
      </c>
    </row>
    <row r="5289" spans="3:4" s="237" customFormat="1">
      <c r="C5289" s="16" t="str">
        <f>IFERROR(VLOOKUP(DATA!#REF!,DATA!#REF!,1,FALSE),"")</f>
        <v/>
      </c>
      <c r="D5289" s="16" t="str">
        <f>IFERROR(VLOOKUP(C5289,DATA!#REF!,2,FALSE),"")</f>
        <v/>
      </c>
    </row>
    <row r="5290" spans="3:4" s="237" customFormat="1">
      <c r="C5290" s="16" t="str">
        <f>IFERROR(VLOOKUP(DATA!#REF!,DATA!#REF!,1,FALSE),"")</f>
        <v/>
      </c>
      <c r="D5290" s="16" t="str">
        <f>IFERROR(VLOOKUP(C5290,DATA!#REF!,2,FALSE),"")</f>
        <v/>
      </c>
    </row>
    <row r="5291" spans="3:4" s="237" customFormat="1">
      <c r="C5291" s="16" t="str">
        <f>IFERROR(VLOOKUP(DATA!#REF!,DATA!#REF!,1,FALSE),"")</f>
        <v/>
      </c>
      <c r="D5291" s="16" t="str">
        <f>IFERROR(VLOOKUP(C5291,DATA!#REF!,2,FALSE),"")</f>
        <v/>
      </c>
    </row>
    <row r="5292" spans="3:4" s="237" customFormat="1">
      <c r="C5292" s="16" t="str">
        <f>IFERROR(VLOOKUP(DATA!#REF!,DATA!#REF!,1,FALSE),"")</f>
        <v/>
      </c>
      <c r="D5292" s="16" t="str">
        <f>IFERROR(VLOOKUP(C5292,DATA!#REF!,2,FALSE),"")</f>
        <v/>
      </c>
    </row>
    <row r="5293" spans="3:4" s="237" customFormat="1">
      <c r="C5293" s="16" t="str">
        <f>IFERROR(VLOOKUP(DATA!#REF!,DATA!#REF!,1,FALSE),"")</f>
        <v/>
      </c>
      <c r="D5293" s="16" t="str">
        <f>IFERROR(VLOOKUP(C5293,DATA!#REF!,2,FALSE),"")</f>
        <v/>
      </c>
    </row>
    <row r="5294" spans="3:4" s="237" customFormat="1">
      <c r="C5294" s="16" t="str">
        <f>IFERROR(VLOOKUP(DATA!#REF!,DATA!#REF!,1,FALSE),"")</f>
        <v/>
      </c>
      <c r="D5294" s="16" t="str">
        <f>IFERROR(VLOOKUP(C5294,DATA!#REF!,2,FALSE),"")</f>
        <v/>
      </c>
    </row>
    <row r="5295" spans="3:4" s="237" customFormat="1">
      <c r="C5295" s="16" t="str">
        <f>IFERROR(VLOOKUP(DATA!#REF!,DATA!#REF!,1,FALSE),"")</f>
        <v/>
      </c>
      <c r="D5295" s="16" t="str">
        <f>IFERROR(VLOOKUP(C5295,DATA!#REF!,2,FALSE),"")</f>
        <v/>
      </c>
    </row>
    <row r="5296" spans="3:4" s="237" customFormat="1">
      <c r="C5296" s="16" t="str">
        <f>IFERROR(VLOOKUP(DATA!#REF!,DATA!#REF!,1,FALSE),"")</f>
        <v/>
      </c>
      <c r="D5296" s="16" t="str">
        <f>IFERROR(VLOOKUP(C5296,DATA!#REF!,2,FALSE),"")</f>
        <v/>
      </c>
    </row>
    <row r="5297" spans="3:4" s="237" customFormat="1">
      <c r="C5297" s="16" t="str">
        <f>IFERROR(VLOOKUP(DATA!#REF!,DATA!#REF!,1,FALSE),"")</f>
        <v/>
      </c>
      <c r="D5297" s="16" t="str">
        <f>IFERROR(VLOOKUP(C5297,DATA!#REF!,2,FALSE),"")</f>
        <v/>
      </c>
    </row>
    <row r="5298" spans="3:4" s="237" customFormat="1">
      <c r="C5298" s="16" t="str">
        <f>IFERROR(VLOOKUP(DATA!#REF!,DATA!#REF!,1,FALSE),"")</f>
        <v/>
      </c>
      <c r="D5298" s="16" t="str">
        <f>IFERROR(VLOOKUP(C5298,DATA!#REF!,2,FALSE),"")</f>
        <v/>
      </c>
    </row>
    <row r="5299" spans="3:4" s="237" customFormat="1">
      <c r="C5299" s="16" t="str">
        <f>IFERROR(VLOOKUP(DATA!#REF!,DATA!#REF!,1,FALSE),"")</f>
        <v/>
      </c>
      <c r="D5299" s="16" t="str">
        <f>IFERROR(VLOOKUP(C5299,DATA!#REF!,2,FALSE),"")</f>
        <v/>
      </c>
    </row>
    <row r="5300" spans="3:4" s="237" customFormat="1">
      <c r="C5300" s="16" t="str">
        <f>IFERROR(VLOOKUP(DATA!#REF!,DATA!#REF!,1,FALSE),"")</f>
        <v/>
      </c>
      <c r="D5300" s="16" t="str">
        <f>IFERROR(VLOOKUP(C5300,DATA!#REF!,2,FALSE),"")</f>
        <v/>
      </c>
    </row>
    <row r="5301" spans="3:4" s="237" customFormat="1">
      <c r="C5301" s="16" t="str">
        <f>IFERROR(VLOOKUP(DATA!#REF!,DATA!#REF!,1,FALSE),"")</f>
        <v/>
      </c>
      <c r="D5301" s="16" t="str">
        <f>IFERROR(VLOOKUP(C5301,DATA!#REF!,2,FALSE),"")</f>
        <v/>
      </c>
    </row>
    <row r="5302" spans="3:4" s="237" customFormat="1">
      <c r="C5302" s="16" t="str">
        <f>IFERROR(VLOOKUP(DATA!#REF!,DATA!#REF!,1,FALSE),"")</f>
        <v/>
      </c>
      <c r="D5302" s="16" t="str">
        <f>IFERROR(VLOOKUP(C5302,DATA!#REF!,2,FALSE),"")</f>
        <v/>
      </c>
    </row>
    <row r="5303" spans="3:4" s="237" customFormat="1">
      <c r="C5303" s="16" t="str">
        <f>IFERROR(VLOOKUP(DATA!#REF!,DATA!#REF!,1,FALSE),"")</f>
        <v/>
      </c>
      <c r="D5303" s="16" t="str">
        <f>IFERROR(VLOOKUP(C5303,DATA!#REF!,2,FALSE),"")</f>
        <v/>
      </c>
    </row>
    <row r="5304" spans="3:4" s="237" customFormat="1">
      <c r="C5304" s="16" t="str">
        <f>IFERROR(VLOOKUP(DATA!#REF!,DATA!#REF!,1,FALSE),"")</f>
        <v/>
      </c>
      <c r="D5304" s="16" t="str">
        <f>IFERROR(VLOOKUP(C5304,DATA!#REF!,2,FALSE),"")</f>
        <v/>
      </c>
    </row>
    <row r="5305" spans="3:4" s="237" customFormat="1">
      <c r="C5305" s="16" t="str">
        <f>IFERROR(VLOOKUP(DATA!#REF!,DATA!#REF!,1,FALSE),"")</f>
        <v/>
      </c>
      <c r="D5305" s="16" t="str">
        <f>IFERROR(VLOOKUP(C5305,DATA!#REF!,2,FALSE),"")</f>
        <v/>
      </c>
    </row>
    <row r="5306" spans="3:4" s="237" customFormat="1">
      <c r="C5306" s="16" t="str">
        <f>IFERROR(VLOOKUP(DATA!#REF!,DATA!#REF!,1,FALSE),"")</f>
        <v/>
      </c>
      <c r="D5306" s="16" t="str">
        <f>IFERROR(VLOOKUP(C5306,DATA!#REF!,2,FALSE),"")</f>
        <v/>
      </c>
    </row>
    <row r="5307" spans="3:4" s="237" customFormat="1">
      <c r="C5307" s="16" t="str">
        <f>IFERROR(VLOOKUP(DATA!#REF!,DATA!#REF!,1,FALSE),"")</f>
        <v/>
      </c>
      <c r="D5307" s="16" t="str">
        <f>IFERROR(VLOOKUP(C5307,DATA!#REF!,2,FALSE),"")</f>
        <v/>
      </c>
    </row>
    <row r="5308" spans="3:4" s="237" customFormat="1">
      <c r="C5308" s="16" t="str">
        <f>IFERROR(VLOOKUP(DATA!#REF!,DATA!#REF!,1,FALSE),"")</f>
        <v/>
      </c>
      <c r="D5308" s="16" t="str">
        <f>IFERROR(VLOOKUP(C5308,DATA!#REF!,2,FALSE),"")</f>
        <v/>
      </c>
    </row>
    <row r="5309" spans="3:4" s="237" customFormat="1">
      <c r="C5309" s="16" t="str">
        <f>IFERROR(VLOOKUP(DATA!#REF!,DATA!#REF!,1,FALSE),"")</f>
        <v/>
      </c>
      <c r="D5309" s="16" t="str">
        <f>IFERROR(VLOOKUP(C5309,DATA!#REF!,2,FALSE),"")</f>
        <v/>
      </c>
    </row>
    <row r="5310" spans="3:4" s="237" customFormat="1">
      <c r="C5310" s="16" t="str">
        <f>IFERROR(VLOOKUP(DATA!#REF!,DATA!#REF!,1,FALSE),"")</f>
        <v/>
      </c>
      <c r="D5310" s="16" t="str">
        <f>IFERROR(VLOOKUP(C5310,DATA!#REF!,2,FALSE),"")</f>
        <v/>
      </c>
    </row>
    <row r="5311" spans="3:4" s="237" customFormat="1">
      <c r="C5311" s="16" t="str">
        <f>IFERROR(VLOOKUP(DATA!#REF!,DATA!#REF!,1,FALSE),"")</f>
        <v/>
      </c>
      <c r="D5311" s="16" t="str">
        <f>IFERROR(VLOOKUP(C5311,DATA!#REF!,2,FALSE),"")</f>
        <v/>
      </c>
    </row>
    <row r="5312" spans="3:4" s="237" customFormat="1">
      <c r="C5312" s="16" t="str">
        <f>IFERROR(VLOOKUP(DATA!#REF!,DATA!#REF!,1,FALSE),"")</f>
        <v/>
      </c>
      <c r="D5312" s="16" t="str">
        <f>IFERROR(VLOOKUP(C5312,DATA!#REF!,2,FALSE),"")</f>
        <v/>
      </c>
    </row>
    <row r="5313" spans="3:4" s="237" customFormat="1">
      <c r="C5313" s="16" t="str">
        <f>IFERROR(VLOOKUP(DATA!#REF!,DATA!#REF!,1,FALSE),"")</f>
        <v/>
      </c>
      <c r="D5313" s="16" t="str">
        <f>IFERROR(VLOOKUP(C5313,DATA!#REF!,2,FALSE),"")</f>
        <v/>
      </c>
    </row>
    <row r="5314" spans="3:4" s="237" customFormat="1">
      <c r="C5314" s="16" t="str">
        <f>IFERROR(VLOOKUP(DATA!#REF!,DATA!#REF!,1,FALSE),"")</f>
        <v/>
      </c>
      <c r="D5314" s="16" t="str">
        <f>IFERROR(VLOOKUP(C5314,DATA!#REF!,2,FALSE),"")</f>
        <v/>
      </c>
    </row>
    <row r="5315" spans="3:4" s="237" customFormat="1">
      <c r="C5315" s="16" t="str">
        <f>IFERROR(VLOOKUP(DATA!#REF!,DATA!#REF!,1,FALSE),"")</f>
        <v/>
      </c>
      <c r="D5315" s="16" t="str">
        <f>IFERROR(VLOOKUP(C5315,DATA!#REF!,2,FALSE),"")</f>
        <v/>
      </c>
    </row>
    <row r="5316" spans="3:4" s="237" customFormat="1">
      <c r="C5316" s="16" t="str">
        <f>IFERROR(VLOOKUP(DATA!#REF!,DATA!#REF!,1,FALSE),"")</f>
        <v/>
      </c>
      <c r="D5316" s="16" t="str">
        <f>IFERROR(VLOOKUP(C5316,DATA!#REF!,2,FALSE),"")</f>
        <v/>
      </c>
    </row>
    <row r="5317" spans="3:4" s="237" customFormat="1">
      <c r="C5317" s="16" t="str">
        <f>IFERROR(VLOOKUP(DATA!#REF!,DATA!#REF!,1,FALSE),"")</f>
        <v/>
      </c>
      <c r="D5317" s="16" t="str">
        <f>IFERROR(VLOOKUP(C5317,DATA!#REF!,2,FALSE),"")</f>
        <v/>
      </c>
    </row>
    <row r="5318" spans="3:4" s="237" customFormat="1">
      <c r="C5318" s="16" t="str">
        <f>IFERROR(VLOOKUP(DATA!#REF!,DATA!#REF!,1,FALSE),"")</f>
        <v/>
      </c>
      <c r="D5318" s="16" t="str">
        <f>IFERROR(VLOOKUP(C5318,DATA!#REF!,2,FALSE),"")</f>
        <v/>
      </c>
    </row>
    <row r="5319" spans="3:4" s="237" customFormat="1">
      <c r="C5319" s="16" t="str">
        <f>IFERROR(VLOOKUP(DATA!#REF!,DATA!#REF!,1,FALSE),"")</f>
        <v/>
      </c>
      <c r="D5319" s="16" t="str">
        <f>IFERROR(VLOOKUP(C5319,DATA!#REF!,2,FALSE),"")</f>
        <v/>
      </c>
    </row>
    <row r="5320" spans="3:4" s="237" customFormat="1">
      <c r="C5320" s="16" t="str">
        <f>IFERROR(VLOOKUP(DATA!#REF!,DATA!#REF!,1,FALSE),"")</f>
        <v/>
      </c>
      <c r="D5320" s="16" t="str">
        <f>IFERROR(VLOOKUP(C5320,DATA!#REF!,2,FALSE),"")</f>
        <v/>
      </c>
    </row>
    <row r="5321" spans="3:4" s="237" customFormat="1">
      <c r="C5321" s="16" t="str">
        <f>IFERROR(VLOOKUP(DATA!#REF!,DATA!#REF!,1,FALSE),"")</f>
        <v/>
      </c>
      <c r="D5321" s="16" t="str">
        <f>IFERROR(VLOOKUP(C5321,DATA!#REF!,2,FALSE),"")</f>
        <v/>
      </c>
    </row>
    <row r="5322" spans="3:4" s="237" customFormat="1">
      <c r="C5322" s="16" t="str">
        <f>IFERROR(VLOOKUP(DATA!#REF!,DATA!#REF!,1,FALSE),"")</f>
        <v/>
      </c>
      <c r="D5322" s="16" t="str">
        <f>IFERROR(VLOOKUP(C5322,DATA!#REF!,2,FALSE),"")</f>
        <v/>
      </c>
    </row>
    <row r="5323" spans="3:4" s="237" customFormat="1">
      <c r="C5323" s="16" t="str">
        <f>IFERROR(VLOOKUP(DATA!#REF!,DATA!#REF!,1,FALSE),"")</f>
        <v/>
      </c>
      <c r="D5323" s="16" t="str">
        <f>IFERROR(VLOOKUP(C5323,DATA!#REF!,2,FALSE),"")</f>
        <v/>
      </c>
    </row>
    <row r="5324" spans="3:4" s="237" customFormat="1">
      <c r="C5324" s="16" t="str">
        <f>IFERROR(VLOOKUP(DATA!#REF!,DATA!#REF!,1,FALSE),"")</f>
        <v/>
      </c>
      <c r="D5324" s="16" t="str">
        <f>IFERROR(VLOOKUP(C5324,DATA!#REF!,2,FALSE),"")</f>
        <v/>
      </c>
    </row>
    <row r="5325" spans="3:4" s="237" customFormat="1">
      <c r="C5325" s="16" t="str">
        <f>IFERROR(VLOOKUP(DATA!#REF!,DATA!#REF!,1,FALSE),"")</f>
        <v/>
      </c>
      <c r="D5325" s="16" t="str">
        <f>IFERROR(VLOOKUP(C5325,DATA!#REF!,2,FALSE),"")</f>
        <v/>
      </c>
    </row>
    <row r="5326" spans="3:4" s="237" customFormat="1">
      <c r="C5326" s="16" t="str">
        <f>IFERROR(VLOOKUP(DATA!#REF!,DATA!#REF!,1,FALSE),"")</f>
        <v/>
      </c>
      <c r="D5326" s="16" t="str">
        <f>IFERROR(VLOOKUP(C5326,DATA!#REF!,2,FALSE),"")</f>
        <v/>
      </c>
    </row>
    <row r="5327" spans="3:4" s="237" customFormat="1">
      <c r="C5327" s="16" t="str">
        <f>IFERROR(VLOOKUP(DATA!#REF!,DATA!#REF!,1,FALSE),"")</f>
        <v/>
      </c>
      <c r="D5327" s="16" t="str">
        <f>IFERROR(VLOOKUP(C5327,DATA!#REF!,2,FALSE),"")</f>
        <v/>
      </c>
    </row>
    <row r="5328" spans="3:4" s="237" customFormat="1">
      <c r="C5328" s="16" t="str">
        <f>IFERROR(VLOOKUP(DATA!#REF!,DATA!#REF!,1,FALSE),"")</f>
        <v/>
      </c>
      <c r="D5328" s="16" t="str">
        <f>IFERROR(VLOOKUP(C5328,DATA!#REF!,2,FALSE),"")</f>
        <v/>
      </c>
    </row>
    <row r="5329" spans="3:4" s="237" customFormat="1">
      <c r="C5329" s="16" t="str">
        <f>IFERROR(VLOOKUP(DATA!#REF!,DATA!#REF!,1,FALSE),"")</f>
        <v/>
      </c>
      <c r="D5329" s="16" t="str">
        <f>IFERROR(VLOOKUP(C5329,DATA!#REF!,2,FALSE),"")</f>
        <v/>
      </c>
    </row>
    <row r="5330" spans="3:4" s="237" customFormat="1">
      <c r="C5330" s="16" t="str">
        <f>IFERROR(VLOOKUP(DATA!#REF!,DATA!#REF!,1,FALSE),"")</f>
        <v/>
      </c>
      <c r="D5330" s="16" t="str">
        <f>IFERROR(VLOOKUP(C5330,DATA!#REF!,2,FALSE),"")</f>
        <v/>
      </c>
    </row>
    <row r="5331" spans="3:4" s="237" customFormat="1">
      <c r="C5331" s="16" t="str">
        <f>IFERROR(VLOOKUP(DATA!#REF!,DATA!#REF!,1,FALSE),"")</f>
        <v/>
      </c>
      <c r="D5331" s="16" t="str">
        <f>IFERROR(VLOOKUP(C5331,DATA!#REF!,2,FALSE),"")</f>
        <v/>
      </c>
    </row>
    <row r="5332" spans="3:4" s="237" customFormat="1">
      <c r="C5332" s="16" t="str">
        <f>IFERROR(VLOOKUP(DATA!#REF!,DATA!#REF!,1,FALSE),"")</f>
        <v/>
      </c>
      <c r="D5332" s="16" t="str">
        <f>IFERROR(VLOOKUP(C5332,DATA!#REF!,2,FALSE),"")</f>
        <v/>
      </c>
    </row>
    <row r="5333" spans="3:4" s="237" customFormat="1">
      <c r="C5333" s="16" t="str">
        <f>IFERROR(VLOOKUP(DATA!#REF!,DATA!#REF!,1,FALSE),"")</f>
        <v/>
      </c>
      <c r="D5333" s="16" t="str">
        <f>IFERROR(VLOOKUP(C5333,DATA!#REF!,2,FALSE),"")</f>
        <v/>
      </c>
    </row>
    <row r="5334" spans="3:4" s="237" customFormat="1">
      <c r="C5334" s="16" t="str">
        <f>IFERROR(VLOOKUP(DATA!#REF!,DATA!#REF!,1,FALSE),"")</f>
        <v/>
      </c>
      <c r="D5334" s="16" t="str">
        <f>IFERROR(VLOOKUP(C5334,DATA!#REF!,2,FALSE),"")</f>
        <v/>
      </c>
    </row>
    <row r="5335" spans="3:4" s="237" customFormat="1">
      <c r="C5335" s="16" t="str">
        <f>IFERROR(VLOOKUP(DATA!#REF!,DATA!#REF!,1,FALSE),"")</f>
        <v/>
      </c>
      <c r="D5335" s="16" t="str">
        <f>IFERROR(VLOOKUP(C5335,DATA!#REF!,2,FALSE),"")</f>
        <v/>
      </c>
    </row>
    <row r="5336" spans="3:4" s="237" customFormat="1">
      <c r="C5336" s="16" t="str">
        <f>IFERROR(VLOOKUP(DATA!#REF!,DATA!#REF!,1,FALSE),"")</f>
        <v/>
      </c>
      <c r="D5336" s="16" t="str">
        <f>IFERROR(VLOOKUP(C5336,DATA!#REF!,2,FALSE),"")</f>
        <v/>
      </c>
    </row>
    <row r="5337" spans="3:4" s="237" customFormat="1">
      <c r="C5337" s="16" t="str">
        <f>IFERROR(VLOOKUP(DATA!#REF!,DATA!#REF!,1,FALSE),"")</f>
        <v/>
      </c>
      <c r="D5337" s="16" t="str">
        <f>IFERROR(VLOOKUP(C5337,DATA!#REF!,2,FALSE),"")</f>
        <v/>
      </c>
    </row>
    <row r="5338" spans="3:4" s="237" customFormat="1">
      <c r="C5338" s="16" t="str">
        <f>IFERROR(VLOOKUP(DATA!#REF!,DATA!#REF!,1,FALSE),"")</f>
        <v/>
      </c>
      <c r="D5338" s="16" t="str">
        <f>IFERROR(VLOOKUP(C5338,DATA!#REF!,2,FALSE),"")</f>
        <v/>
      </c>
    </row>
    <row r="5339" spans="3:4" s="237" customFormat="1">
      <c r="C5339" s="16" t="str">
        <f>IFERROR(VLOOKUP(DATA!#REF!,DATA!#REF!,1,FALSE),"")</f>
        <v/>
      </c>
      <c r="D5339" s="16" t="str">
        <f>IFERROR(VLOOKUP(C5339,DATA!#REF!,2,FALSE),"")</f>
        <v/>
      </c>
    </row>
    <row r="5340" spans="3:4" s="237" customFormat="1">
      <c r="C5340" s="16" t="str">
        <f>IFERROR(VLOOKUP(DATA!#REF!,DATA!#REF!,1,FALSE),"")</f>
        <v/>
      </c>
      <c r="D5340" s="16" t="str">
        <f>IFERROR(VLOOKUP(C5340,DATA!#REF!,2,FALSE),"")</f>
        <v/>
      </c>
    </row>
    <row r="5341" spans="3:4" s="237" customFormat="1">
      <c r="C5341" s="16" t="str">
        <f>IFERROR(VLOOKUP(DATA!#REF!,DATA!#REF!,1,FALSE),"")</f>
        <v/>
      </c>
      <c r="D5341" s="16" t="str">
        <f>IFERROR(VLOOKUP(C5341,DATA!#REF!,2,FALSE),"")</f>
        <v/>
      </c>
    </row>
    <row r="5342" spans="3:4" s="237" customFormat="1">
      <c r="C5342" s="16" t="str">
        <f>IFERROR(VLOOKUP(DATA!#REF!,DATA!#REF!,1,FALSE),"")</f>
        <v/>
      </c>
      <c r="D5342" s="16" t="str">
        <f>IFERROR(VLOOKUP(C5342,DATA!#REF!,2,FALSE),"")</f>
        <v/>
      </c>
    </row>
    <row r="5343" spans="3:4" s="237" customFormat="1">
      <c r="C5343" s="16" t="str">
        <f>IFERROR(VLOOKUP(DATA!#REF!,DATA!#REF!,1,FALSE),"")</f>
        <v/>
      </c>
      <c r="D5343" s="16" t="str">
        <f>IFERROR(VLOOKUP(C5343,DATA!#REF!,2,FALSE),"")</f>
        <v/>
      </c>
    </row>
    <row r="5344" spans="3:4" s="237" customFormat="1">
      <c r="C5344" s="16" t="str">
        <f>IFERROR(VLOOKUP(DATA!#REF!,DATA!#REF!,1,FALSE),"")</f>
        <v/>
      </c>
      <c r="D5344" s="16" t="str">
        <f>IFERROR(VLOOKUP(C5344,DATA!#REF!,2,FALSE),"")</f>
        <v/>
      </c>
    </row>
    <row r="5345" spans="3:4" s="237" customFormat="1">
      <c r="C5345" s="16" t="str">
        <f>IFERROR(VLOOKUP(DATA!#REF!,DATA!#REF!,1,FALSE),"")</f>
        <v/>
      </c>
      <c r="D5345" s="16" t="str">
        <f>IFERROR(VLOOKUP(C5345,DATA!#REF!,2,FALSE),"")</f>
        <v/>
      </c>
    </row>
    <row r="5346" spans="3:4" s="237" customFormat="1">
      <c r="C5346" s="16" t="str">
        <f>IFERROR(VLOOKUP(DATA!#REF!,DATA!#REF!,1,FALSE),"")</f>
        <v/>
      </c>
      <c r="D5346" s="16" t="str">
        <f>IFERROR(VLOOKUP(C5346,DATA!#REF!,2,FALSE),"")</f>
        <v/>
      </c>
    </row>
    <row r="5347" spans="3:4" s="237" customFormat="1">
      <c r="C5347" s="16" t="str">
        <f>IFERROR(VLOOKUP(DATA!#REF!,DATA!#REF!,1,FALSE),"")</f>
        <v/>
      </c>
      <c r="D5347" s="16" t="str">
        <f>IFERROR(VLOOKUP(C5347,DATA!#REF!,2,FALSE),"")</f>
        <v/>
      </c>
    </row>
    <row r="5348" spans="3:4" s="237" customFormat="1">
      <c r="C5348" s="16" t="str">
        <f>IFERROR(VLOOKUP(DATA!#REF!,DATA!#REF!,1,FALSE),"")</f>
        <v/>
      </c>
      <c r="D5348" s="16" t="str">
        <f>IFERROR(VLOOKUP(C5348,DATA!#REF!,2,FALSE),"")</f>
        <v/>
      </c>
    </row>
    <row r="5349" spans="3:4" s="237" customFormat="1">
      <c r="C5349" s="16" t="str">
        <f>IFERROR(VLOOKUP(DATA!#REF!,DATA!#REF!,1,FALSE),"")</f>
        <v/>
      </c>
      <c r="D5349" s="16" t="str">
        <f>IFERROR(VLOOKUP(C5349,DATA!#REF!,2,FALSE),"")</f>
        <v/>
      </c>
    </row>
    <row r="5350" spans="3:4" s="237" customFormat="1">
      <c r="C5350" s="16" t="str">
        <f>IFERROR(VLOOKUP(DATA!#REF!,DATA!#REF!,1,FALSE),"")</f>
        <v/>
      </c>
      <c r="D5350" s="16" t="str">
        <f>IFERROR(VLOOKUP(C5350,DATA!#REF!,2,FALSE),"")</f>
        <v/>
      </c>
    </row>
    <row r="5351" spans="3:4" s="237" customFormat="1">
      <c r="C5351" s="16" t="str">
        <f>IFERROR(VLOOKUP(DATA!#REF!,DATA!#REF!,1,FALSE),"")</f>
        <v/>
      </c>
      <c r="D5351" s="16" t="str">
        <f>IFERROR(VLOOKUP(C5351,DATA!#REF!,2,FALSE),"")</f>
        <v/>
      </c>
    </row>
    <row r="5352" spans="3:4" s="237" customFormat="1">
      <c r="C5352" s="16" t="str">
        <f>IFERROR(VLOOKUP(DATA!#REF!,DATA!#REF!,1,FALSE),"")</f>
        <v/>
      </c>
      <c r="D5352" s="16" t="str">
        <f>IFERROR(VLOOKUP(C5352,DATA!#REF!,2,FALSE),"")</f>
        <v/>
      </c>
    </row>
    <row r="5353" spans="3:4" s="237" customFormat="1">
      <c r="C5353" s="16" t="str">
        <f>IFERROR(VLOOKUP(DATA!#REF!,DATA!#REF!,1,FALSE),"")</f>
        <v/>
      </c>
      <c r="D5353" s="16" t="str">
        <f>IFERROR(VLOOKUP(C5353,DATA!#REF!,2,FALSE),"")</f>
        <v/>
      </c>
    </row>
    <row r="5354" spans="3:4" s="237" customFormat="1">
      <c r="C5354" s="16" t="str">
        <f>IFERROR(VLOOKUP(DATA!#REF!,DATA!#REF!,1,FALSE),"")</f>
        <v/>
      </c>
      <c r="D5354" s="16" t="str">
        <f>IFERROR(VLOOKUP(C5354,DATA!#REF!,2,FALSE),"")</f>
        <v/>
      </c>
    </row>
    <row r="5355" spans="3:4" s="237" customFormat="1">
      <c r="C5355" s="16" t="str">
        <f>IFERROR(VLOOKUP(DATA!#REF!,DATA!#REF!,1,FALSE),"")</f>
        <v/>
      </c>
      <c r="D5355" s="16" t="str">
        <f>IFERROR(VLOOKUP(C5355,DATA!#REF!,2,FALSE),"")</f>
        <v/>
      </c>
    </row>
    <row r="5356" spans="3:4" s="237" customFormat="1">
      <c r="C5356" s="16" t="str">
        <f>IFERROR(VLOOKUP(DATA!#REF!,DATA!#REF!,1,FALSE),"")</f>
        <v/>
      </c>
      <c r="D5356" s="16" t="str">
        <f>IFERROR(VLOOKUP(C5356,DATA!#REF!,2,FALSE),"")</f>
        <v/>
      </c>
    </row>
    <row r="5357" spans="3:4" s="237" customFormat="1">
      <c r="C5357" s="16" t="str">
        <f>IFERROR(VLOOKUP(DATA!#REF!,DATA!#REF!,1,FALSE),"")</f>
        <v/>
      </c>
      <c r="D5357" s="16" t="str">
        <f>IFERROR(VLOOKUP(C5357,DATA!#REF!,2,FALSE),"")</f>
        <v/>
      </c>
    </row>
    <row r="5358" spans="3:4" s="237" customFormat="1">
      <c r="C5358" s="16" t="str">
        <f>IFERROR(VLOOKUP(DATA!#REF!,DATA!#REF!,1,FALSE),"")</f>
        <v/>
      </c>
      <c r="D5358" s="16" t="str">
        <f>IFERROR(VLOOKUP(C5358,DATA!#REF!,2,FALSE),"")</f>
        <v/>
      </c>
    </row>
    <row r="5359" spans="3:4" s="237" customFormat="1">
      <c r="C5359" s="16" t="str">
        <f>IFERROR(VLOOKUP(DATA!#REF!,DATA!#REF!,1,FALSE),"")</f>
        <v/>
      </c>
      <c r="D5359" s="16" t="str">
        <f>IFERROR(VLOOKUP(C5359,DATA!#REF!,2,FALSE),"")</f>
        <v/>
      </c>
    </row>
    <row r="5360" spans="3:4" s="237" customFormat="1">
      <c r="C5360" s="16" t="str">
        <f>IFERROR(VLOOKUP(DATA!#REF!,DATA!#REF!,1,FALSE),"")</f>
        <v/>
      </c>
      <c r="D5360" s="16" t="str">
        <f>IFERROR(VLOOKUP(C5360,DATA!#REF!,2,FALSE),"")</f>
        <v/>
      </c>
    </row>
    <row r="5361" spans="3:4" s="237" customFormat="1">
      <c r="C5361" s="16" t="str">
        <f>IFERROR(VLOOKUP(DATA!#REF!,DATA!#REF!,1,FALSE),"")</f>
        <v/>
      </c>
      <c r="D5361" s="16" t="str">
        <f>IFERROR(VLOOKUP(C5361,DATA!#REF!,2,FALSE),"")</f>
        <v/>
      </c>
    </row>
    <row r="5362" spans="3:4" s="237" customFormat="1">
      <c r="C5362" s="16" t="str">
        <f>IFERROR(VLOOKUP(DATA!#REF!,DATA!#REF!,1,FALSE),"")</f>
        <v/>
      </c>
      <c r="D5362" s="16" t="str">
        <f>IFERROR(VLOOKUP(C5362,DATA!#REF!,2,FALSE),"")</f>
        <v/>
      </c>
    </row>
    <row r="5363" spans="3:4" s="237" customFormat="1">
      <c r="C5363" s="16" t="str">
        <f>IFERROR(VLOOKUP(DATA!#REF!,DATA!#REF!,1,FALSE),"")</f>
        <v/>
      </c>
      <c r="D5363" s="16" t="str">
        <f>IFERROR(VLOOKUP(C5363,DATA!#REF!,2,FALSE),"")</f>
        <v/>
      </c>
    </row>
    <row r="5364" spans="3:4" s="237" customFormat="1">
      <c r="C5364" s="16" t="str">
        <f>IFERROR(VLOOKUP(DATA!#REF!,DATA!#REF!,1,FALSE),"")</f>
        <v/>
      </c>
      <c r="D5364" s="16" t="str">
        <f>IFERROR(VLOOKUP(C5364,DATA!#REF!,2,FALSE),"")</f>
        <v/>
      </c>
    </row>
    <row r="5365" spans="3:4" s="237" customFormat="1">
      <c r="C5365" s="16" t="str">
        <f>IFERROR(VLOOKUP(DATA!#REF!,DATA!#REF!,1,FALSE),"")</f>
        <v/>
      </c>
      <c r="D5365" s="16" t="str">
        <f>IFERROR(VLOOKUP(C5365,DATA!#REF!,2,FALSE),"")</f>
        <v/>
      </c>
    </row>
    <row r="5366" spans="3:4" s="237" customFormat="1">
      <c r="C5366" s="16" t="str">
        <f>IFERROR(VLOOKUP(DATA!#REF!,DATA!#REF!,1,FALSE),"")</f>
        <v/>
      </c>
      <c r="D5366" s="16" t="str">
        <f>IFERROR(VLOOKUP(C5366,DATA!#REF!,2,FALSE),"")</f>
        <v/>
      </c>
    </row>
    <row r="5367" spans="3:4" s="237" customFormat="1">
      <c r="C5367" s="16" t="str">
        <f>IFERROR(VLOOKUP(DATA!#REF!,DATA!#REF!,1,FALSE),"")</f>
        <v/>
      </c>
      <c r="D5367" s="16" t="str">
        <f>IFERROR(VLOOKUP(C5367,DATA!#REF!,2,FALSE),"")</f>
        <v/>
      </c>
    </row>
    <row r="5368" spans="3:4" s="237" customFormat="1">
      <c r="C5368" s="16" t="str">
        <f>IFERROR(VLOOKUP(DATA!#REF!,DATA!#REF!,1,FALSE),"")</f>
        <v/>
      </c>
      <c r="D5368" s="16" t="str">
        <f>IFERROR(VLOOKUP(C5368,DATA!#REF!,2,FALSE),"")</f>
        <v/>
      </c>
    </row>
    <row r="5369" spans="3:4" s="237" customFormat="1">
      <c r="C5369" s="16" t="str">
        <f>IFERROR(VLOOKUP(DATA!#REF!,DATA!#REF!,1,FALSE),"")</f>
        <v/>
      </c>
      <c r="D5369" s="16" t="str">
        <f>IFERROR(VLOOKUP(C5369,DATA!#REF!,2,FALSE),"")</f>
        <v/>
      </c>
    </row>
    <row r="5370" spans="3:4" s="237" customFormat="1">
      <c r="C5370" s="16" t="str">
        <f>IFERROR(VLOOKUP(DATA!#REF!,DATA!#REF!,1,FALSE),"")</f>
        <v/>
      </c>
      <c r="D5370" s="16" t="str">
        <f>IFERROR(VLOOKUP(C5370,DATA!#REF!,2,FALSE),"")</f>
        <v/>
      </c>
    </row>
    <row r="5371" spans="3:4" s="237" customFormat="1">
      <c r="C5371" s="16" t="str">
        <f>IFERROR(VLOOKUP(DATA!#REF!,DATA!#REF!,1,FALSE),"")</f>
        <v/>
      </c>
      <c r="D5371" s="16" t="str">
        <f>IFERROR(VLOOKUP(C5371,DATA!#REF!,2,FALSE),"")</f>
        <v/>
      </c>
    </row>
    <row r="5372" spans="3:4" s="237" customFormat="1">
      <c r="C5372" s="16" t="str">
        <f>IFERROR(VLOOKUP(DATA!#REF!,DATA!#REF!,1,FALSE),"")</f>
        <v/>
      </c>
      <c r="D5372" s="16" t="str">
        <f>IFERROR(VLOOKUP(C5372,DATA!#REF!,2,FALSE),"")</f>
        <v/>
      </c>
    </row>
    <row r="5373" spans="3:4" s="237" customFormat="1">
      <c r="C5373" s="16" t="str">
        <f>IFERROR(VLOOKUP(DATA!#REF!,DATA!#REF!,1,FALSE),"")</f>
        <v/>
      </c>
      <c r="D5373" s="16" t="str">
        <f>IFERROR(VLOOKUP(C5373,DATA!#REF!,2,FALSE),"")</f>
        <v/>
      </c>
    </row>
    <row r="5374" spans="3:4" s="237" customFormat="1">
      <c r="C5374" s="16" t="str">
        <f>IFERROR(VLOOKUP(DATA!#REF!,DATA!#REF!,1,FALSE),"")</f>
        <v/>
      </c>
      <c r="D5374" s="16" t="str">
        <f>IFERROR(VLOOKUP(C5374,DATA!#REF!,2,FALSE),"")</f>
        <v/>
      </c>
    </row>
    <row r="5375" spans="3:4" s="237" customFormat="1">
      <c r="C5375" s="16" t="str">
        <f>IFERROR(VLOOKUP(DATA!#REF!,DATA!#REF!,1,FALSE),"")</f>
        <v/>
      </c>
      <c r="D5375" s="16" t="str">
        <f>IFERROR(VLOOKUP(C5375,DATA!#REF!,2,FALSE),"")</f>
        <v/>
      </c>
    </row>
    <row r="5376" spans="3:4" s="237" customFormat="1">
      <c r="C5376" s="16" t="str">
        <f>IFERROR(VLOOKUP(DATA!#REF!,DATA!#REF!,1,FALSE),"")</f>
        <v/>
      </c>
      <c r="D5376" s="16" t="str">
        <f>IFERROR(VLOOKUP(C5376,DATA!#REF!,2,FALSE),"")</f>
        <v/>
      </c>
    </row>
    <row r="5377" spans="3:4" s="237" customFormat="1">
      <c r="C5377" s="16" t="str">
        <f>IFERROR(VLOOKUP(DATA!#REF!,DATA!#REF!,1,FALSE),"")</f>
        <v/>
      </c>
      <c r="D5377" s="16" t="str">
        <f>IFERROR(VLOOKUP(C5377,DATA!#REF!,2,FALSE),"")</f>
        <v/>
      </c>
    </row>
    <row r="5378" spans="3:4" s="237" customFormat="1">
      <c r="C5378" s="16" t="str">
        <f>IFERROR(VLOOKUP(DATA!#REF!,DATA!#REF!,1,FALSE),"")</f>
        <v/>
      </c>
      <c r="D5378" s="16" t="str">
        <f>IFERROR(VLOOKUP(C5378,DATA!#REF!,2,FALSE),"")</f>
        <v/>
      </c>
    </row>
    <row r="5379" spans="3:4" s="237" customFormat="1">
      <c r="C5379" s="16" t="str">
        <f>IFERROR(VLOOKUP(DATA!#REF!,DATA!#REF!,1,FALSE),"")</f>
        <v/>
      </c>
      <c r="D5379" s="16" t="str">
        <f>IFERROR(VLOOKUP(C5379,DATA!#REF!,2,FALSE),"")</f>
        <v/>
      </c>
    </row>
    <row r="5380" spans="3:4" s="237" customFormat="1">
      <c r="C5380" s="16" t="str">
        <f>IFERROR(VLOOKUP(DATA!#REF!,DATA!#REF!,1,FALSE),"")</f>
        <v/>
      </c>
      <c r="D5380" s="16" t="str">
        <f>IFERROR(VLOOKUP(C5380,DATA!#REF!,2,FALSE),"")</f>
        <v/>
      </c>
    </row>
    <row r="5381" spans="3:4" s="237" customFormat="1">
      <c r="C5381" s="16" t="str">
        <f>IFERROR(VLOOKUP(DATA!#REF!,DATA!#REF!,1,FALSE),"")</f>
        <v/>
      </c>
      <c r="D5381" s="16" t="str">
        <f>IFERROR(VLOOKUP(C5381,DATA!#REF!,2,FALSE),"")</f>
        <v/>
      </c>
    </row>
    <row r="5382" spans="3:4" s="237" customFormat="1">
      <c r="C5382" s="16" t="str">
        <f>IFERROR(VLOOKUP(DATA!#REF!,DATA!#REF!,1,FALSE),"")</f>
        <v/>
      </c>
      <c r="D5382" s="16" t="str">
        <f>IFERROR(VLOOKUP(C5382,DATA!#REF!,2,FALSE),"")</f>
        <v/>
      </c>
    </row>
    <row r="5383" spans="3:4" s="237" customFormat="1">
      <c r="C5383" s="16" t="str">
        <f>IFERROR(VLOOKUP(DATA!#REF!,DATA!#REF!,1,FALSE),"")</f>
        <v/>
      </c>
      <c r="D5383" s="16" t="str">
        <f>IFERROR(VLOOKUP(C5383,DATA!#REF!,2,FALSE),"")</f>
        <v/>
      </c>
    </row>
    <row r="5384" spans="3:4" s="237" customFormat="1">
      <c r="C5384" s="16" t="str">
        <f>IFERROR(VLOOKUP(DATA!#REF!,DATA!#REF!,1,FALSE),"")</f>
        <v/>
      </c>
      <c r="D5384" s="16" t="str">
        <f>IFERROR(VLOOKUP(C5384,DATA!#REF!,2,FALSE),"")</f>
        <v/>
      </c>
    </row>
    <row r="5385" spans="3:4" s="237" customFormat="1">
      <c r="C5385" s="16" t="str">
        <f>IFERROR(VLOOKUP(DATA!#REF!,DATA!#REF!,1,FALSE),"")</f>
        <v/>
      </c>
      <c r="D5385" s="16" t="str">
        <f>IFERROR(VLOOKUP(C5385,DATA!#REF!,2,FALSE),"")</f>
        <v/>
      </c>
    </row>
    <row r="5386" spans="3:4" s="237" customFormat="1">
      <c r="C5386" s="16" t="str">
        <f>IFERROR(VLOOKUP(DATA!#REF!,DATA!#REF!,1,FALSE),"")</f>
        <v/>
      </c>
      <c r="D5386" s="16" t="str">
        <f>IFERROR(VLOOKUP(C5386,DATA!#REF!,2,FALSE),"")</f>
        <v/>
      </c>
    </row>
    <row r="5387" spans="3:4" s="237" customFormat="1">
      <c r="C5387" s="16" t="str">
        <f>IFERROR(VLOOKUP(DATA!#REF!,DATA!#REF!,1,FALSE),"")</f>
        <v/>
      </c>
      <c r="D5387" s="16" t="str">
        <f>IFERROR(VLOOKUP(C5387,DATA!#REF!,2,FALSE),"")</f>
        <v/>
      </c>
    </row>
    <row r="5388" spans="3:4" s="237" customFormat="1">
      <c r="C5388" s="16" t="str">
        <f>IFERROR(VLOOKUP(DATA!#REF!,DATA!#REF!,1,FALSE),"")</f>
        <v/>
      </c>
      <c r="D5388" s="16" t="str">
        <f>IFERROR(VLOOKUP(C5388,DATA!#REF!,2,FALSE),"")</f>
        <v/>
      </c>
    </row>
    <row r="5389" spans="3:4" s="237" customFormat="1">
      <c r="C5389" s="16" t="str">
        <f>IFERROR(VLOOKUP(DATA!#REF!,DATA!#REF!,1,FALSE),"")</f>
        <v/>
      </c>
      <c r="D5389" s="16" t="str">
        <f>IFERROR(VLOOKUP(C5389,DATA!#REF!,2,FALSE),"")</f>
        <v/>
      </c>
    </row>
    <row r="5390" spans="3:4" s="237" customFormat="1">
      <c r="C5390" s="16" t="str">
        <f>IFERROR(VLOOKUP(DATA!#REF!,DATA!#REF!,1,FALSE),"")</f>
        <v/>
      </c>
      <c r="D5390" s="16" t="str">
        <f>IFERROR(VLOOKUP(C5390,DATA!#REF!,2,FALSE),"")</f>
        <v/>
      </c>
    </row>
    <row r="5391" spans="3:4" s="237" customFormat="1">
      <c r="C5391" s="16" t="str">
        <f>IFERROR(VLOOKUP(DATA!#REF!,DATA!#REF!,1,FALSE),"")</f>
        <v/>
      </c>
      <c r="D5391" s="16" t="str">
        <f>IFERROR(VLOOKUP(C5391,DATA!#REF!,2,FALSE),"")</f>
        <v/>
      </c>
    </row>
    <row r="5392" spans="3:4" s="237" customFormat="1">
      <c r="C5392" s="16" t="str">
        <f>IFERROR(VLOOKUP(DATA!#REF!,DATA!#REF!,1,FALSE),"")</f>
        <v/>
      </c>
      <c r="D5392" s="16" t="str">
        <f>IFERROR(VLOOKUP(C5392,DATA!#REF!,2,FALSE),"")</f>
        <v/>
      </c>
    </row>
    <row r="5393" spans="3:4" s="237" customFormat="1">
      <c r="C5393" s="16" t="str">
        <f>IFERROR(VLOOKUP(DATA!#REF!,DATA!#REF!,1,FALSE),"")</f>
        <v/>
      </c>
      <c r="D5393" s="16" t="str">
        <f>IFERROR(VLOOKUP(C5393,DATA!#REF!,2,FALSE),"")</f>
        <v/>
      </c>
    </row>
    <row r="5394" spans="3:4" s="237" customFormat="1">
      <c r="C5394" s="16" t="str">
        <f>IFERROR(VLOOKUP(DATA!#REF!,DATA!#REF!,1,FALSE),"")</f>
        <v/>
      </c>
      <c r="D5394" s="16" t="str">
        <f>IFERROR(VLOOKUP(C5394,DATA!#REF!,2,FALSE),"")</f>
        <v/>
      </c>
    </row>
    <row r="5395" spans="3:4" s="237" customFormat="1">
      <c r="C5395" s="16" t="str">
        <f>IFERROR(VLOOKUP(DATA!#REF!,DATA!#REF!,1,FALSE),"")</f>
        <v/>
      </c>
      <c r="D5395" s="16" t="str">
        <f>IFERROR(VLOOKUP(C5395,DATA!#REF!,2,FALSE),"")</f>
        <v/>
      </c>
    </row>
    <row r="5396" spans="3:4" s="237" customFormat="1">
      <c r="C5396" s="16" t="str">
        <f>IFERROR(VLOOKUP(DATA!#REF!,DATA!#REF!,1,FALSE),"")</f>
        <v/>
      </c>
      <c r="D5396" s="16" t="str">
        <f>IFERROR(VLOOKUP(C5396,DATA!#REF!,2,FALSE),"")</f>
        <v/>
      </c>
    </row>
    <row r="5397" spans="3:4" s="237" customFormat="1">
      <c r="C5397" s="16" t="str">
        <f>IFERROR(VLOOKUP(DATA!#REF!,DATA!#REF!,1,FALSE),"")</f>
        <v/>
      </c>
      <c r="D5397" s="16" t="str">
        <f>IFERROR(VLOOKUP(C5397,DATA!#REF!,2,FALSE),"")</f>
        <v/>
      </c>
    </row>
    <row r="5398" spans="3:4" s="237" customFormat="1">
      <c r="C5398" s="16" t="str">
        <f>IFERROR(VLOOKUP(DATA!#REF!,DATA!#REF!,1,FALSE),"")</f>
        <v/>
      </c>
      <c r="D5398" s="16" t="str">
        <f>IFERROR(VLOOKUP(C5398,DATA!#REF!,2,FALSE),"")</f>
        <v/>
      </c>
    </row>
    <row r="5399" spans="3:4" s="237" customFormat="1">
      <c r="C5399" s="16" t="str">
        <f>IFERROR(VLOOKUP(DATA!#REF!,DATA!#REF!,1,FALSE),"")</f>
        <v/>
      </c>
      <c r="D5399" s="16" t="str">
        <f>IFERROR(VLOOKUP(C5399,DATA!#REF!,2,FALSE),"")</f>
        <v/>
      </c>
    </row>
    <row r="5400" spans="3:4" s="237" customFormat="1">
      <c r="C5400" s="16" t="str">
        <f>IFERROR(VLOOKUP(DATA!#REF!,DATA!#REF!,1,FALSE),"")</f>
        <v/>
      </c>
      <c r="D5400" s="16" t="str">
        <f>IFERROR(VLOOKUP(C5400,DATA!#REF!,2,FALSE),"")</f>
        <v/>
      </c>
    </row>
    <row r="5401" spans="3:4" s="237" customFormat="1">
      <c r="C5401" s="16" t="str">
        <f>IFERROR(VLOOKUP(DATA!#REF!,DATA!#REF!,1,FALSE),"")</f>
        <v/>
      </c>
      <c r="D5401" s="16" t="str">
        <f>IFERROR(VLOOKUP(C5401,DATA!#REF!,2,FALSE),"")</f>
        <v/>
      </c>
    </row>
    <row r="5402" spans="3:4" s="237" customFormat="1">
      <c r="C5402" s="16" t="str">
        <f>IFERROR(VLOOKUP(DATA!#REF!,DATA!#REF!,1,FALSE),"")</f>
        <v/>
      </c>
      <c r="D5402" s="16" t="str">
        <f>IFERROR(VLOOKUP(C5402,DATA!#REF!,2,FALSE),"")</f>
        <v/>
      </c>
    </row>
    <row r="5403" spans="3:4" s="237" customFormat="1">
      <c r="C5403" s="16" t="str">
        <f>IFERROR(VLOOKUP(DATA!#REF!,DATA!#REF!,1,FALSE),"")</f>
        <v/>
      </c>
      <c r="D5403" s="16" t="str">
        <f>IFERROR(VLOOKUP(C5403,DATA!#REF!,2,FALSE),"")</f>
        <v/>
      </c>
    </row>
    <row r="5404" spans="3:4" s="237" customFormat="1">
      <c r="C5404" s="16" t="str">
        <f>IFERROR(VLOOKUP(DATA!#REF!,DATA!#REF!,1,FALSE),"")</f>
        <v/>
      </c>
      <c r="D5404" s="16" t="str">
        <f>IFERROR(VLOOKUP(C5404,DATA!#REF!,2,FALSE),"")</f>
        <v/>
      </c>
    </row>
    <row r="5405" spans="3:4" s="237" customFormat="1">
      <c r="C5405" s="16" t="str">
        <f>IFERROR(VLOOKUP(DATA!#REF!,DATA!#REF!,1,FALSE),"")</f>
        <v/>
      </c>
      <c r="D5405" s="16" t="str">
        <f>IFERROR(VLOOKUP(C5405,DATA!#REF!,2,FALSE),"")</f>
        <v/>
      </c>
    </row>
    <row r="5406" spans="3:4" s="237" customFormat="1">
      <c r="C5406" s="16" t="str">
        <f>IFERROR(VLOOKUP(DATA!#REF!,DATA!#REF!,1,FALSE),"")</f>
        <v/>
      </c>
      <c r="D5406" s="16" t="str">
        <f>IFERROR(VLOOKUP(C5406,DATA!#REF!,2,FALSE),"")</f>
        <v/>
      </c>
    </row>
    <row r="5407" spans="3:4" s="237" customFormat="1">
      <c r="C5407" s="16" t="str">
        <f>IFERROR(VLOOKUP(DATA!#REF!,DATA!#REF!,1,FALSE),"")</f>
        <v/>
      </c>
      <c r="D5407" s="16" t="str">
        <f>IFERROR(VLOOKUP(C5407,DATA!#REF!,2,FALSE),"")</f>
        <v/>
      </c>
    </row>
    <row r="5408" spans="3:4" s="237" customFormat="1">
      <c r="C5408" s="16" t="str">
        <f>IFERROR(VLOOKUP(DATA!#REF!,DATA!#REF!,1,FALSE),"")</f>
        <v/>
      </c>
      <c r="D5408" s="16" t="str">
        <f>IFERROR(VLOOKUP(C5408,DATA!#REF!,2,FALSE),"")</f>
        <v/>
      </c>
    </row>
    <row r="5409" spans="3:4" s="237" customFormat="1">
      <c r="C5409" s="16" t="str">
        <f>IFERROR(VLOOKUP(DATA!#REF!,DATA!#REF!,1,FALSE),"")</f>
        <v/>
      </c>
      <c r="D5409" s="16" t="str">
        <f>IFERROR(VLOOKUP(C5409,DATA!#REF!,2,FALSE),"")</f>
        <v/>
      </c>
    </row>
    <row r="5410" spans="3:4" s="237" customFormat="1">
      <c r="C5410" s="16" t="str">
        <f>IFERROR(VLOOKUP(DATA!#REF!,DATA!#REF!,1,FALSE),"")</f>
        <v/>
      </c>
      <c r="D5410" s="16" t="str">
        <f>IFERROR(VLOOKUP(C5410,DATA!#REF!,2,FALSE),"")</f>
        <v/>
      </c>
    </row>
    <row r="5411" spans="3:4" s="237" customFormat="1">
      <c r="C5411" s="16" t="str">
        <f>IFERROR(VLOOKUP(DATA!#REF!,DATA!#REF!,1,FALSE),"")</f>
        <v/>
      </c>
      <c r="D5411" s="16" t="str">
        <f>IFERROR(VLOOKUP(C5411,DATA!#REF!,2,FALSE),"")</f>
        <v/>
      </c>
    </row>
    <row r="5412" spans="3:4" s="237" customFormat="1">
      <c r="C5412" s="16" t="str">
        <f>IFERROR(VLOOKUP(DATA!#REF!,DATA!#REF!,1,FALSE),"")</f>
        <v/>
      </c>
      <c r="D5412" s="16" t="str">
        <f>IFERROR(VLOOKUP(C5412,DATA!#REF!,2,FALSE),"")</f>
        <v/>
      </c>
    </row>
    <row r="5413" spans="3:4" s="237" customFormat="1">
      <c r="C5413" s="16" t="str">
        <f>IFERROR(VLOOKUP(DATA!#REF!,DATA!#REF!,1,FALSE),"")</f>
        <v/>
      </c>
      <c r="D5413" s="16" t="str">
        <f>IFERROR(VLOOKUP(C5413,DATA!#REF!,2,FALSE),"")</f>
        <v/>
      </c>
    </row>
    <row r="5414" spans="3:4" s="237" customFormat="1">
      <c r="C5414" s="16" t="str">
        <f>IFERROR(VLOOKUP(DATA!#REF!,DATA!#REF!,1,FALSE),"")</f>
        <v/>
      </c>
      <c r="D5414" s="16" t="str">
        <f>IFERROR(VLOOKUP(C5414,DATA!#REF!,2,FALSE),"")</f>
        <v/>
      </c>
    </row>
    <row r="5415" spans="3:4" s="237" customFormat="1">
      <c r="C5415" s="16" t="str">
        <f>IFERROR(VLOOKUP(DATA!#REF!,DATA!#REF!,1,FALSE),"")</f>
        <v/>
      </c>
      <c r="D5415" s="16" t="str">
        <f>IFERROR(VLOOKUP(C5415,DATA!#REF!,2,FALSE),"")</f>
        <v/>
      </c>
    </row>
    <row r="5416" spans="3:4" s="237" customFormat="1">
      <c r="C5416" s="16" t="str">
        <f>IFERROR(VLOOKUP(DATA!#REF!,DATA!#REF!,1,FALSE),"")</f>
        <v/>
      </c>
      <c r="D5416" s="16" t="str">
        <f>IFERROR(VLOOKUP(C5416,DATA!#REF!,2,FALSE),"")</f>
        <v/>
      </c>
    </row>
    <row r="5417" spans="3:4" s="237" customFormat="1">
      <c r="C5417" s="16" t="str">
        <f>IFERROR(VLOOKUP(DATA!#REF!,DATA!#REF!,1,FALSE),"")</f>
        <v/>
      </c>
      <c r="D5417" s="16" t="str">
        <f>IFERROR(VLOOKUP(C5417,DATA!#REF!,2,FALSE),"")</f>
        <v/>
      </c>
    </row>
    <row r="5418" spans="3:4" s="237" customFormat="1">
      <c r="C5418" s="16" t="str">
        <f>IFERROR(VLOOKUP(DATA!#REF!,DATA!#REF!,1,FALSE),"")</f>
        <v/>
      </c>
      <c r="D5418" s="16" t="str">
        <f>IFERROR(VLOOKUP(C5418,DATA!#REF!,2,FALSE),"")</f>
        <v/>
      </c>
    </row>
    <row r="5419" spans="3:4" s="237" customFormat="1">
      <c r="C5419" s="16" t="str">
        <f>IFERROR(VLOOKUP(DATA!#REF!,DATA!#REF!,1,FALSE),"")</f>
        <v/>
      </c>
      <c r="D5419" s="16" t="str">
        <f>IFERROR(VLOOKUP(C5419,DATA!#REF!,2,FALSE),"")</f>
        <v/>
      </c>
    </row>
    <row r="5420" spans="3:4" s="237" customFormat="1">
      <c r="C5420" s="16" t="str">
        <f>IFERROR(VLOOKUP(DATA!#REF!,DATA!#REF!,1,FALSE),"")</f>
        <v/>
      </c>
      <c r="D5420" s="16" t="str">
        <f>IFERROR(VLOOKUP(C5420,DATA!#REF!,2,FALSE),"")</f>
        <v/>
      </c>
    </row>
    <row r="5421" spans="3:4" s="237" customFormat="1">
      <c r="C5421" s="16" t="str">
        <f>IFERROR(VLOOKUP(DATA!#REF!,DATA!#REF!,1,FALSE),"")</f>
        <v/>
      </c>
      <c r="D5421" s="16" t="str">
        <f>IFERROR(VLOOKUP(C5421,DATA!#REF!,2,FALSE),"")</f>
        <v/>
      </c>
    </row>
    <row r="5422" spans="3:4" s="237" customFormat="1">
      <c r="C5422" s="16" t="str">
        <f>IFERROR(VLOOKUP(DATA!#REF!,DATA!#REF!,1,FALSE),"")</f>
        <v/>
      </c>
      <c r="D5422" s="16" t="str">
        <f>IFERROR(VLOOKUP(C5422,DATA!#REF!,2,FALSE),"")</f>
        <v/>
      </c>
    </row>
    <row r="5423" spans="3:4" s="237" customFormat="1">
      <c r="C5423" s="16" t="str">
        <f>IFERROR(VLOOKUP(DATA!#REF!,DATA!#REF!,1,FALSE),"")</f>
        <v/>
      </c>
      <c r="D5423" s="16" t="str">
        <f>IFERROR(VLOOKUP(C5423,DATA!#REF!,2,FALSE),"")</f>
        <v/>
      </c>
    </row>
    <row r="5424" spans="3:4" s="237" customFormat="1">
      <c r="C5424" s="16" t="str">
        <f>IFERROR(VLOOKUP(DATA!#REF!,DATA!#REF!,1,FALSE),"")</f>
        <v/>
      </c>
      <c r="D5424" s="16" t="str">
        <f>IFERROR(VLOOKUP(C5424,DATA!#REF!,2,FALSE),"")</f>
        <v/>
      </c>
    </row>
    <row r="5425" spans="3:4" s="237" customFormat="1">
      <c r="C5425" s="16" t="str">
        <f>IFERROR(VLOOKUP(DATA!#REF!,DATA!#REF!,1,FALSE),"")</f>
        <v/>
      </c>
      <c r="D5425" s="16" t="str">
        <f>IFERROR(VLOOKUP(C5425,DATA!#REF!,2,FALSE),"")</f>
        <v/>
      </c>
    </row>
    <row r="5426" spans="3:4" s="237" customFormat="1">
      <c r="C5426" s="16" t="str">
        <f>IFERROR(VLOOKUP(DATA!#REF!,DATA!#REF!,1,FALSE),"")</f>
        <v/>
      </c>
      <c r="D5426" s="16" t="str">
        <f>IFERROR(VLOOKUP(C5426,DATA!#REF!,2,FALSE),"")</f>
        <v/>
      </c>
    </row>
    <row r="5427" spans="3:4" s="237" customFormat="1">
      <c r="C5427" s="16" t="str">
        <f>IFERROR(VLOOKUP(DATA!#REF!,DATA!#REF!,1,FALSE),"")</f>
        <v/>
      </c>
      <c r="D5427" s="16" t="str">
        <f>IFERROR(VLOOKUP(C5427,DATA!#REF!,2,FALSE),"")</f>
        <v/>
      </c>
    </row>
    <row r="5428" spans="3:4" s="237" customFormat="1">
      <c r="C5428" s="16" t="str">
        <f>IFERROR(VLOOKUP(DATA!#REF!,DATA!#REF!,1,FALSE),"")</f>
        <v/>
      </c>
      <c r="D5428" s="16" t="str">
        <f>IFERROR(VLOOKUP(C5428,DATA!#REF!,2,FALSE),"")</f>
        <v/>
      </c>
    </row>
    <row r="5429" spans="3:4" s="237" customFormat="1">
      <c r="C5429" s="16" t="str">
        <f>IFERROR(VLOOKUP(DATA!#REF!,DATA!#REF!,1,FALSE),"")</f>
        <v/>
      </c>
      <c r="D5429" s="16" t="str">
        <f>IFERROR(VLOOKUP(C5429,DATA!#REF!,2,FALSE),"")</f>
        <v/>
      </c>
    </row>
    <row r="5430" spans="3:4" s="237" customFormat="1">
      <c r="C5430" s="16" t="str">
        <f>IFERROR(VLOOKUP(DATA!#REF!,DATA!#REF!,1,FALSE),"")</f>
        <v/>
      </c>
      <c r="D5430" s="16" t="str">
        <f>IFERROR(VLOOKUP(C5430,DATA!#REF!,2,FALSE),"")</f>
        <v/>
      </c>
    </row>
    <row r="5431" spans="3:4" s="237" customFormat="1">
      <c r="C5431" s="16" t="str">
        <f>IFERROR(VLOOKUP(DATA!#REF!,DATA!#REF!,1,FALSE),"")</f>
        <v/>
      </c>
      <c r="D5431" s="16" t="str">
        <f>IFERROR(VLOOKUP(C5431,DATA!#REF!,2,FALSE),"")</f>
        <v/>
      </c>
    </row>
    <row r="5432" spans="3:4" s="237" customFormat="1">
      <c r="C5432" s="16" t="str">
        <f>IFERROR(VLOOKUP(DATA!#REF!,DATA!#REF!,1,FALSE),"")</f>
        <v/>
      </c>
      <c r="D5432" s="16" t="str">
        <f>IFERROR(VLOOKUP(C5432,DATA!#REF!,2,FALSE),"")</f>
        <v/>
      </c>
    </row>
    <row r="5433" spans="3:4" s="237" customFormat="1">
      <c r="C5433" s="16" t="str">
        <f>IFERROR(VLOOKUP(DATA!#REF!,DATA!#REF!,1,FALSE),"")</f>
        <v/>
      </c>
      <c r="D5433" s="16" t="str">
        <f>IFERROR(VLOOKUP(C5433,DATA!#REF!,2,FALSE),"")</f>
        <v/>
      </c>
    </row>
    <row r="5434" spans="3:4" s="237" customFormat="1">
      <c r="C5434" s="16" t="str">
        <f>IFERROR(VLOOKUP(DATA!#REF!,DATA!#REF!,1,FALSE),"")</f>
        <v/>
      </c>
      <c r="D5434" s="16" t="str">
        <f>IFERROR(VLOOKUP(C5434,DATA!#REF!,2,FALSE),"")</f>
        <v/>
      </c>
    </row>
    <row r="5435" spans="3:4" s="237" customFormat="1">
      <c r="C5435" s="16" t="str">
        <f>IFERROR(VLOOKUP(DATA!#REF!,DATA!#REF!,1,FALSE),"")</f>
        <v/>
      </c>
      <c r="D5435" s="16" t="str">
        <f>IFERROR(VLOOKUP(C5435,DATA!#REF!,2,FALSE),"")</f>
        <v/>
      </c>
    </row>
    <row r="5436" spans="3:4" s="237" customFormat="1">
      <c r="C5436" s="16" t="str">
        <f>IFERROR(VLOOKUP(DATA!#REF!,DATA!#REF!,1,FALSE),"")</f>
        <v/>
      </c>
      <c r="D5436" s="16" t="str">
        <f>IFERROR(VLOOKUP(C5436,DATA!#REF!,2,FALSE),"")</f>
        <v/>
      </c>
    </row>
    <row r="5437" spans="3:4" s="237" customFormat="1">
      <c r="C5437" s="16" t="str">
        <f>IFERROR(VLOOKUP(DATA!#REF!,DATA!#REF!,1,FALSE),"")</f>
        <v/>
      </c>
      <c r="D5437" s="16" t="str">
        <f>IFERROR(VLOOKUP(C5437,DATA!#REF!,2,FALSE),"")</f>
        <v/>
      </c>
    </row>
    <row r="5438" spans="3:4" s="237" customFormat="1">
      <c r="C5438" s="16" t="str">
        <f>IFERROR(VLOOKUP(DATA!#REF!,DATA!#REF!,1,FALSE),"")</f>
        <v/>
      </c>
      <c r="D5438" s="16" t="str">
        <f>IFERROR(VLOOKUP(C5438,DATA!#REF!,2,FALSE),"")</f>
        <v/>
      </c>
    </row>
    <row r="5439" spans="3:4" s="237" customFormat="1">
      <c r="C5439" s="16" t="str">
        <f>IFERROR(VLOOKUP(DATA!#REF!,DATA!#REF!,1,FALSE),"")</f>
        <v/>
      </c>
      <c r="D5439" s="16" t="str">
        <f>IFERROR(VLOOKUP(C5439,DATA!#REF!,2,FALSE),"")</f>
        <v/>
      </c>
    </row>
    <row r="5440" spans="3:4" s="237" customFormat="1">
      <c r="C5440" s="16" t="str">
        <f>IFERROR(VLOOKUP(DATA!#REF!,DATA!#REF!,1,FALSE),"")</f>
        <v/>
      </c>
      <c r="D5440" s="16" t="str">
        <f>IFERROR(VLOOKUP(C5440,DATA!#REF!,2,FALSE),"")</f>
        <v/>
      </c>
    </row>
    <row r="5441" spans="3:4" s="237" customFormat="1">
      <c r="C5441" s="16" t="str">
        <f>IFERROR(VLOOKUP(DATA!#REF!,DATA!#REF!,1,FALSE),"")</f>
        <v/>
      </c>
      <c r="D5441" s="16" t="str">
        <f>IFERROR(VLOOKUP(C5441,DATA!#REF!,2,FALSE),"")</f>
        <v/>
      </c>
    </row>
    <row r="5442" spans="3:4" s="237" customFormat="1">
      <c r="C5442" s="16" t="str">
        <f>IFERROR(VLOOKUP(DATA!#REF!,DATA!#REF!,1,FALSE),"")</f>
        <v/>
      </c>
      <c r="D5442" s="16" t="str">
        <f>IFERROR(VLOOKUP(C5442,DATA!#REF!,2,FALSE),"")</f>
        <v/>
      </c>
    </row>
    <row r="5443" spans="3:4" s="237" customFormat="1">
      <c r="C5443" s="16" t="str">
        <f>IFERROR(VLOOKUP(DATA!#REF!,DATA!#REF!,1,FALSE),"")</f>
        <v/>
      </c>
      <c r="D5443" s="16" t="str">
        <f>IFERROR(VLOOKUP(C5443,DATA!#REF!,2,FALSE),"")</f>
        <v/>
      </c>
    </row>
    <row r="5444" spans="3:4" s="237" customFormat="1">
      <c r="C5444" s="16" t="str">
        <f>IFERROR(VLOOKUP(DATA!#REF!,DATA!#REF!,1,FALSE),"")</f>
        <v/>
      </c>
      <c r="D5444" s="16" t="str">
        <f>IFERROR(VLOOKUP(C5444,DATA!#REF!,2,FALSE),"")</f>
        <v/>
      </c>
    </row>
    <row r="5445" spans="3:4" s="237" customFormat="1">
      <c r="C5445" s="16" t="str">
        <f>IFERROR(VLOOKUP(DATA!#REF!,DATA!#REF!,1,FALSE),"")</f>
        <v/>
      </c>
      <c r="D5445" s="16" t="str">
        <f>IFERROR(VLOOKUP(C5445,DATA!#REF!,2,FALSE),"")</f>
        <v/>
      </c>
    </row>
    <row r="5446" spans="3:4" s="237" customFormat="1">
      <c r="C5446" s="16" t="str">
        <f>IFERROR(VLOOKUP(DATA!#REF!,DATA!#REF!,1,FALSE),"")</f>
        <v/>
      </c>
      <c r="D5446" s="16" t="str">
        <f>IFERROR(VLOOKUP(C5446,DATA!#REF!,2,FALSE),"")</f>
        <v/>
      </c>
    </row>
    <row r="5447" spans="3:4" s="237" customFormat="1">
      <c r="C5447" s="16" t="str">
        <f>IFERROR(VLOOKUP(DATA!#REF!,DATA!#REF!,1,FALSE),"")</f>
        <v/>
      </c>
      <c r="D5447" s="16" t="str">
        <f>IFERROR(VLOOKUP(C5447,DATA!#REF!,2,FALSE),"")</f>
        <v/>
      </c>
    </row>
    <row r="5448" spans="3:4" s="237" customFormat="1">
      <c r="C5448" s="16" t="str">
        <f>IFERROR(VLOOKUP(DATA!#REF!,DATA!#REF!,1,FALSE),"")</f>
        <v/>
      </c>
      <c r="D5448" s="16" t="str">
        <f>IFERROR(VLOOKUP(C5448,DATA!#REF!,2,FALSE),"")</f>
        <v/>
      </c>
    </row>
    <row r="5449" spans="3:4" s="237" customFormat="1">
      <c r="C5449" s="16" t="str">
        <f>IFERROR(VLOOKUP(DATA!#REF!,DATA!#REF!,1,FALSE),"")</f>
        <v/>
      </c>
      <c r="D5449" s="16" t="str">
        <f>IFERROR(VLOOKUP(C5449,DATA!#REF!,2,FALSE),"")</f>
        <v/>
      </c>
    </row>
    <row r="5450" spans="3:4" s="237" customFormat="1">
      <c r="C5450" s="16" t="str">
        <f>IFERROR(VLOOKUP(DATA!#REF!,DATA!#REF!,1,FALSE),"")</f>
        <v/>
      </c>
      <c r="D5450" s="16" t="str">
        <f>IFERROR(VLOOKUP(C5450,DATA!#REF!,2,FALSE),"")</f>
        <v/>
      </c>
    </row>
    <row r="5451" spans="3:4" s="237" customFormat="1">
      <c r="C5451" s="16" t="str">
        <f>IFERROR(VLOOKUP(DATA!#REF!,DATA!#REF!,1,FALSE),"")</f>
        <v/>
      </c>
      <c r="D5451" s="16" t="str">
        <f>IFERROR(VLOOKUP(C5451,DATA!#REF!,2,FALSE),"")</f>
        <v/>
      </c>
    </row>
    <row r="5452" spans="3:4" s="237" customFormat="1">
      <c r="C5452" s="16" t="str">
        <f>IFERROR(VLOOKUP(DATA!#REF!,DATA!#REF!,1,FALSE),"")</f>
        <v/>
      </c>
      <c r="D5452" s="16" t="str">
        <f>IFERROR(VLOOKUP(C5452,DATA!#REF!,2,FALSE),"")</f>
        <v/>
      </c>
    </row>
    <row r="5453" spans="3:4" s="237" customFormat="1">
      <c r="C5453" s="16" t="str">
        <f>IFERROR(VLOOKUP(DATA!#REF!,DATA!#REF!,1,FALSE),"")</f>
        <v/>
      </c>
      <c r="D5453" s="16" t="str">
        <f>IFERROR(VLOOKUP(C5453,DATA!#REF!,2,FALSE),"")</f>
        <v/>
      </c>
    </row>
    <row r="5454" spans="3:4" s="237" customFormat="1">
      <c r="C5454" s="16" t="str">
        <f>IFERROR(VLOOKUP(DATA!#REF!,DATA!#REF!,1,FALSE),"")</f>
        <v/>
      </c>
      <c r="D5454" s="16" t="str">
        <f>IFERROR(VLOOKUP(C5454,DATA!#REF!,2,FALSE),"")</f>
        <v/>
      </c>
    </row>
    <row r="5455" spans="3:4" s="237" customFormat="1">
      <c r="C5455" s="16" t="str">
        <f>IFERROR(VLOOKUP(DATA!#REF!,DATA!#REF!,1,FALSE),"")</f>
        <v/>
      </c>
      <c r="D5455" s="16" t="str">
        <f>IFERROR(VLOOKUP(C5455,DATA!#REF!,2,FALSE),"")</f>
        <v/>
      </c>
    </row>
    <row r="5456" spans="3:4" s="237" customFormat="1">
      <c r="C5456" s="16" t="str">
        <f>IFERROR(VLOOKUP(DATA!#REF!,DATA!#REF!,1,FALSE),"")</f>
        <v/>
      </c>
      <c r="D5456" s="16" t="str">
        <f>IFERROR(VLOOKUP(C5456,DATA!#REF!,2,FALSE),"")</f>
        <v/>
      </c>
    </row>
    <row r="5457" spans="3:4" s="237" customFormat="1">
      <c r="C5457" s="16" t="str">
        <f>IFERROR(VLOOKUP(DATA!#REF!,DATA!#REF!,1,FALSE),"")</f>
        <v/>
      </c>
      <c r="D5457" s="16" t="str">
        <f>IFERROR(VLOOKUP(C5457,DATA!#REF!,2,FALSE),"")</f>
        <v/>
      </c>
    </row>
    <row r="5458" spans="3:4" s="237" customFormat="1">
      <c r="C5458" s="16" t="str">
        <f>IFERROR(VLOOKUP(DATA!#REF!,DATA!#REF!,1,FALSE),"")</f>
        <v/>
      </c>
      <c r="D5458" s="16" t="str">
        <f>IFERROR(VLOOKUP(C5458,DATA!#REF!,2,FALSE),"")</f>
        <v/>
      </c>
    </row>
    <row r="5459" spans="3:4" s="237" customFormat="1">
      <c r="C5459" s="16" t="str">
        <f>IFERROR(VLOOKUP(DATA!#REF!,DATA!#REF!,1,FALSE),"")</f>
        <v/>
      </c>
      <c r="D5459" s="16" t="str">
        <f>IFERROR(VLOOKUP(C5459,DATA!#REF!,2,FALSE),"")</f>
        <v/>
      </c>
    </row>
    <row r="5460" spans="3:4" s="237" customFormat="1">
      <c r="C5460" s="16" t="str">
        <f>IFERROR(VLOOKUP(DATA!#REF!,DATA!#REF!,1,FALSE),"")</f>
        <v/>
      </c>
      <c r="D5460" s="16" t="str">
        <f>IFERROR(VLOOKUP(C5460,DATA!#REF!,2,FALSE),"")</f>
        <v/>
      </c>
    </row>
    <row r="5461" spans="3:4" s="237" customFormat="1">
      <c r="C5461" s="16" t="str">
        <f>IFERROR(VLOOKUP(DATA!#REF!,DATA!#REF!,1,FALSE),"")</f>
        <v/>
      </c>
      <c r="D5461" s="16" t="str">
        <f>IFERROR(VLOOKUP(C5461,DATA!#REF!,2,FALSE),"")</f>
        <v/>
      </c>
    </row>
    <row r="5462" spans="3:4" s="237" customFormat="1">
      <c r="C5462" s="16" t="str">
        <f>IFERROR(VLOOKUP(DATA!#REF!,DATA!#REF!,1,FALSE),"")</f>
        <v/>
      </c>
      <c r="D5462" s="16" t="str">
        <f>IFERROR(VLOOKUP(C5462,DATA!#REF!,2,FALSE),"")</f>
        <v/>
      </c>
    </row>
    <row r="5463" spans="3:4" s="237" customFormat="1">
      <c r="C5463" s="16" t="str">
        <f>IFERROR(VLOOKUP(DATA!#REF!,DATA!#REF!,1,FALSE),"")</f>
        <v/>
      </c>
      <c r="D5463" s="16" t="str">
        <f>IFERROR(VLOOKUP(C5463,DATA!#REF!,2,FALSE),"")</f>
        <v/>
      </c>
    </row>
    <row r="5464" spans="3:4" s="237" customFormat="1">
      <c r="C5464" s="16" t="str">
        <f>IFERROR(VLOOKUP(DATA!#REF!,DATA!#REF!,1,FALSE),"")</f>
        <v/>
      </c>
      <c r="D5464" s="16" t="str">
        <f>IFERROR(VLOOKUP(C5464,DATA!#REF!,2,FALSE),"")</f>
        <v/>
      </c>
    </row>
    <row r="5465" spans="3:4" s="237" customFormat="1">
      <c r="C5465" s="16" t="str">
        <f>IFERROR(VLOOKUP(DATA!#REF!,DATA!#REF!,1,FALSE),"")</f>
        <v/>
      </c>
      <c r="D5465" s="16" t="str">
        <f>IFERROR(VLOOKUP(C5465,DATA!#REF!,2,FALSE),"")</f>
        <v/>
      </c>
    </row>
    <row r="5466" spans="3:4" s="237" customFormat="1">
      <c r="C5466" s="16" t="str">
        <f>IFERROR(VLOOKUP(DATA!#REF!,DATA!#REF!,1,FALSE),"")</f>
        <v/>
      </c>
      <c r="D5466" s="16" t="str">
        <f>IFERROR(VLOOKUP(C5466,DATA!#REF!,2,FALSE),"")</f>
        <v/>
      </c>
    </row>
    <row r="5467" spans="3:4" s="237" customFormat="1">
      <c r="C5467" s="16" t="str">
        <f>IFERROR(VLOOKUP(DATA!#REF!,DATA!#REF!,1,FALSE),"")</f>
        <v/>
      </c>
      <c r="D5467" s="16" t="str">
        <f>IFERROR(VLOOKUP(C5467,DATA!#REF!,2,FALSE),"")</f>
        <v/>
      </c>
    </row>
    <row r="5468" spans="3:4" s="237" customFormat="1">
      <c r="C5468" s="16" t="str">
        <f>IFERROR(VLOOKUP(DATA!#REF!,DATA!#REF!,1,FALSE),"")</f>
        <v/>
      </c>
      <c r="D5468" s="16" t="str">
        <f>IFERROR(VLOOKUP(C5468,DATA!#REF!,2,FALSE),"")</f>
        <v/>
      </c>
    </row>
    <row r="5469" spans="3:4" s="237" customFormat="1">
      <c r="C5469" s="16" t="str">
        <f>IFERROR(VLOOKUP(DATA!#REF!,DATA!#REF!,1,FALSE),"")</f>
        <v/>
      </c>
      <c r="D5469" s="16" t="str">
        <f>IFERROR(VLOOKUP(C5469,DATA!#REF!,2,FALSE),"")</f>
        <v/>
      </c>
    </row>
    <row r="5470" spans="3:4" s="237" customFormat="1">
      <c r="C5470" s="16" t="str">
        <f>IFERROR(VLOOKUP(DATA!#REF!,DATA!#REF!,1,FALSE),"")</f>
        <v/>
      </c>
      <c r="D5470" s="16" t="str">
        <f>IFERROR(VLOOKUP(C5470,DATA!#REF!,2,FALSE),"")</f>
        <v/>
      </c>
    </row>
    <row r="5471" spans="3:4" s="237" customFormat="1">
      <c r="C5471" s="16" t="str">
        <f>IFERROR(VLOOKUP(DATA!#REF!,DATA!#REF!,1,FALSE),"")</f>
        <v/>
      </c>
      <c r="D5471" s="16" t="str">
        <f>IFERROR(VLOOKUP(C5471,DATA!#REF!,2,FALSE),"")</f>
        <v/>
      </c>
    </row>
    <row r="5472" spans="3:4" s="237" customFormat="1">
      <c r="C5472" s="16" t="str">
        <f>IFERROR(VLOOKUP(DATA!#REF!,DATA!#REF!,1,FALSE),"")</f>
        <v/>
      </c>
      <c r="D5472" s="16" t="str">
        <f>IFERROR(VLOOKUP(C5472,DATA!#REF!,2,FALSE),"")</f>
        <v/>
      </c>
    </row>
    <row r="5473" spans="3:4" s="237" customFormat="1">
      <c r="C5473" s="16" t="str">
        <f>IFERROR(VLOOKUP(DATA!#REF!,DATA!#REF!,1,FALSE),"")</f>
        <v/>
      </c>
      <c r="D5473" s="16" t="str">
        <f>IFERROR(VLOOKUP(C5473,DATA!#REF!,2,FALSE),"")</f>
        <v/>
      </c>
    </row>
    <row r="5474" spans="3:4" s="237" customFormat="1">
      <c r="C5474" s="16" t="str">
        <f>IFERROR(VLOOKUP(DATA!#REF!,DATA!#REF!,1,FALSE),"")</f>
        <v/>
      </c>
      <c r="D5474" s="16" t="str">
        <f>IFERROR(VLOOKUP(C5474,DATA!#REF!,2,FALSE),"")</f>
        <v/>
      </c>
    </row>
    <row r="5475" spans="3:4" s="237" customFormat="1">
      <c r="C5475" s="16" t="str">
        <f>IFERROR(VLOOKUP(DATA!#REF!,DATA!#REF!,1,FALSE),"")</f>
        <v/>
      </c>
      <c r="D5475" s="16" t="str">
        <f>IFERROR(VLOOKUP(C5475,DATA!#REF!,2,FALSE),"")</f>
        <v/>
      </c>
    </row>
    <row r="5476" spans="3:4" s="237" customFormat="1">
      <c r="C5476" s="16" t="str">
        <f>IFERROR(VLOOKUP(DATA!#REF!,DATA!#REF!,1,FALSE),"")</f>
        <v/>
      </c>
      <c r="D5476" s="16" t="str">
        <f>IFERROR(VLOOKUP(C5476,DATA!#REF!,2,FALSE),"")</f>
        <v/>
      </c>
    </row>
    <row r="5477" spans="3:4" s="237" customFormat="1">
      <c r="C5477" s="16" t="str">
        <f>IFERROR(VLOOKUP(DATA!#REF!,DATA!#REF!,1,FALSE),"")</f>
        <v/>
      </c>
      <c r="D5477" s="16" t="str">
        <f>IFERROR(VLOOKUP(C5477,DATA!#REF!,2,FALSE),"")</f>
        <v/>
      </c>
    </row>
    <row r="5478" spans="3:4" s="237" customFormat="1">
      <c r="C5478" s="16" t="str">
        <f>IFERROR(VLOOKUP(DATA!#REF!,DATA!#REF!,1,FALSE),"")</f>
        <v/>
      </c>
      <c r="D5478" s="16" t="str">
        <f>IFERROR(VLOOKUP(C5478,DATA!#REF!,2,FALSE),"")</f>
        <v/>
      </c>
    </row>
    <row r="5479" spans="3:4" s="237" customFormat="1">
      <c r="C5479" s="16" t="str">
        <f>IFERROR(VLOOKUP(DATA!#REF!,DATA!#REF!,1,FALSE),"")</f>
        <v/>
      </c>
      <c r="D5479" s="16" t="str">
        <f>IFERROR(VLOOKUP(C5479,DATA!#REF!,2,FALSE),"")</f>
        <v/>
      </c>
    </row>
    <row r="5480" spans="3:4" s="237" customFormat="1">
      <c r="C5480" s="16" t="str">
        <f>IFERROR(VLOOKUP(DATA!#REF!,DATA!#REF!,1,FALSE),"")</f>
        <v/>
      </c>
      <c r="D5480" s="16" t="str">
        <f>IFERROR(VLOOKUP(C5480,DATA!#REF!,2,FALSE),"")</f>
        <v/>
      </c>
    </row>
    <row r="5481" spans="3:4" s="237" customFormat="1">
      <c r="C5481" s="16" t="str">
        <f>IFERROR(VLOOKUP(DATA!#REF!,DATA!#REF!,1,FALSE),"")</f>
        <v/>
      </c>
      <c r="D5481" s="16" t="str">
        <f>IFERROR(VLOOKUP(C5481,DATA!#REF!,2,FALSE),"")</f>
        <v/>
      </c>
    </row>
    <row r="5482" spans="3:4" s="237" customFormat="1">
      <c r="C5482" s="16" t="str">
        <f>IFERROR(VLOOKUP(DATA!#REF!,DATA!#REF!,1,FALSE),"")</f>
        <v/>
      </c>
      <c r="D5482" s="16" t="str">
        <f>IFERROR(VLOOKUP(C5482,DATA!#REF!,2,FALSE),"")</f>
        <v/>
      </c>
    </row>
    <row r="5483" spans="3:4" s="237" customFormat="1">
      <c r="C5483" s="16" t="str">
        <f>IFERROR(VLOOKUP(DATA!#REF!,DATA!#REF!,1,FALSE),"")</f>
        <v/>
      </c>
      <c r="D5483" s="16" t="str">
        <f>IFERROR(VLOOKUP(C5483,DATA!#REF!,2,FALSE),"")</f>
        <v/>
      </c>
    </row>
    <row r="5484" spans="3:4" s="237" customFormat="1">
      <c r="C5484" s="16" t="str">
        <f>IFERROR(VLOOKUP(DATA!#REF!,DATA!#REF!,1,FALSE),"")</f>
        <v/>
      </c>
      <c r="D5484" s="16" t="str">
        <f>IFERROR(VLOOKUP(C5484,DATA!#REF!,2,FALSE),"")</f>
        <v/>
      </c>
    </row>
    <row r="5485" spans="3:4" s="237" customFormat="1">
      <c r="C5485" s="16" t="str">
        <f>IFERROR(VLOOKUP(DATA!#REF!,DATA!#REF!,1,FALSE),"")</f>
        <v/>
      </c>
      <c r="D5485" s="16" t="str">
        <f>IFERROR(VLOOKUP(C5485,DATA!#REF!,2,FALSE),"")</f>
        <v/>
      </c>
    </row>
    <row r="5486" spans="3:4" s="237" customFormat="1">
      <c r="C5486" s="16" t="str">
        <f>IFERROR(VLOOKUP(DATA!#REF!,DATA!#REF!,1,FALSE),"")</f>
        <v/>
      </c>
      <c r="D5486" s="16" t="str">
        <f>IFERROR(VLOOKUP(C5486,DATA!#REF!,2,FALSE),"")</f>
        <v/>
      </c>
    </row>
    <row r="5487" spans="3:4" s="237" customFormat="1">
      <c r="C5487" s="16" t="str">
        <f>IFERROR(VLOOKUP(DATA!#REF!,DATA!#REF!,1,FALSE),"")</f>
        <v/>
      </c>
      <c r="D5487" s="16" t="str">
        <f>IFERROR(VLOOKUP(C5487,DATA!#REF!,2,FALSE),"")</f>
        <v/>
      </c>
    </row>
    <row r="5488" spans="3:4" s="237" customFormat="1">
      <c r="C5488" s="16" t="str">
        <f>IFERROR(VLOOKUP(DATA!#REF!,DATA!#REF!,1,FALSE),"")</f>
        <v/>
      </c>
      <c r="D5488" s="16" t="str">
        <f>IFERROR(VLOOKUP(C5488,DATA!#REF!,2,FALSE),"")</f>
        <v/>
      </c>
    </row>
    <row r="5489" spans="3:4" s="237" customFormat="1">
      <c r="C5489" s="16" t="str">
        <f>IFERROR(VLOOKUP(DATA!#REF!,DATA!#REF!,1,FALSE),"")</f>
        <v/>
      </c>
      <c r="D5489" s="16" t="str">
        <f>IFERROR(VLOOKUP(C5489,DATA!#REF!,2,FALSE),"")</f>
        <v/>
      </c>
    </row>
    <row r="5490" spans="3:4" s="237" customFormat="1">
      <c r="C5490" s="16" t="str">
        <f>IFERROR(VLOOKUP(DATA!#REF!,DATA!#REF!,1,FALSE),"")</f>
        <v/>
      </c>
      <c r="D5490" s="16" t="str">
        <f>IFERROR(VLOOKUP(C5490,DATA!#REF!,2,FALSE),"")</f>
        <v/>
      </c>
    </row>
    <row r="5491" spans="3:4" s="237" customFormat="1">
      <c r="C5491" s="16" t="str">
        <f>IFERROR(VLOOKUP(DATA!#REF!,DATA!#REF!,1,FALSE),"")</f>
        <v/>
      </c>
      <c r="D5491" s="16" t="str">
        <f>IFERROR(VLOOKUP(C5491,DATA!#REF!,2,FALSE),"")</f>
        <v/>
      </c>
    </row>
    <row r="5492" spans="3:4" s="237" customFormat="1">
      <c r="C5492" s="16" t="str">
        <f>IFERROR(VLOOKUP(DATA!#REF!,DATA!#REF!,1,FALSE),"")</f>
        <v/>
      </c>
      <c r="D5492" s="16" t="str">
        <f>IFERROR(VLOOKUP(C5492,DATA!#REF!,2,FALSE),"")</f>
        <v/>
      </c>
    </row>
    <row r="5493" spans="3:4" s="237" customFormat="1">
      <c r="C5493" s="16" t="str">
        <f>IFERROR(VLOOKUP(DATA!#REF!,DATA!#REF!,1,FALSE),"")</f>
        <v/>
      </c>
      <c r="D5493" s="16" t="str">
        <f>IFERROR(VLOOKUP(C5493,DATA!#REF!,2,FALSE),"")</f>
        <v/>
      </c>
    </row>
    <row r="5494" spans="3:4" s="237" customFormat="1">
      <c r="C5494" s="16" t="str">
        <f>IFERROR(VLOOKUP(DATA!#REF!,DATA!#REF!,1,FALSE),"")</f>
        <v/>
      </c>
      <c r="D5494" s="16" t="str">
        <f>IFERROR(VLOOKUP(C5494,DATA!#REF!,2,FALSE),"")</f>
        <v/>
      </c>
    </row>
    <row r="5495" spans="3:4" s="237" customFormat="1">
      <c r="C5495" s="16" t="str">
        <f>IFERROR(VLOOKUP(DATA!#REF!,DATA!#REF!,1,FALSE),"")</f>
        <v/>
      </c>
      <c r="D5495" s="16" t="str">
        <f>IFERROR(VLOOKUP(C5495,DATA!#REF!,2,FALSE),"")</f>
        <v/>
      </c>
    </row>
    <row r="5496" spans="3:4" s="237" customFormat="1">
      <c r="C5496" s="16" t="str">
        <f>IFERROR(VLOOKUP(DATA!#REF!,DATA!#REF!,1,FALSE),"")</f>
        <v/>
      </c>
      <c r="D5496" s="16" t="str">
        <f>IFERROR(VLOOKUP(C5496,DATA!#REF!,2,FALSE),"")</f>
        <v/>
      </c>
    </row>
    <row r="5497" spans="3:4" s="237" customFormat="1">
      <c r="C5497" s="16" t="str">
        <f>IFERROR(VLOOKUP(DATA!#REF!,DATA!#REF!,1,FALSE),"")</f>
        <v/>
      </c>
      <c r="D5497" s="16" t="str">
        <f>IFERROR(VLOOKUP(C5497,DATA!#REF!,2,FALSE),"")</f>
        <v/>
      </c>
    </row>
    <row r="5498" spans="3:4" s="237" customFormat="1">
      <c r="C5498" s="16" t="str">
        <f>IFERROR(VLOOKUP(DATA!#REF!,DATA!#REF!,1,FALSE),"")</f>
        <v/>
      </c>
      <c r="D5498" s="16" t="str">
        <f>IFERROR(VLOOKUP(C5498,DATA!#REF!,2,FALSE),"")</f>
        <v/>
      </c>
    </row>
    <row r="5499" spans="3:4" s="237" customFormat="1">
      <c r="C5499" s="16" t="str">
        <f>IFERROR(VLOOKUP(DATA!#REF!,DATA!#REF!,1,FALSE),"")</f>
        <v/>
      </c>
      <c r="D5499" s="16" t="str">
        <f>IFERROR(VLOOKUP(C5499,DATA!#REF!,2,FALSE),"")</f>
        <v/>
      </c>
    </row>
    <row r="5500" spans="3:4" s="237" customFormat="1">
      <c r="C5500" s="16" t="str">
        <f>IFERROR(VLOOKUP(DATA!#REF!,DATA!#REF!,1,FALSE),"")</f>
        <v/>
      </c>
      <c r="D5500" s="16" t="str">
        <f>IFERROR(VLOOKUP(C5500,DATA!#REF!,2,FALSE),"")</f>
        <v/>
      </c>
    </row>
    <row r="5501" spans="3:4" s="237" customFormat="1">
      <c r="C5501" s="16" t="str">
        <f>IFERROR(VLOOKUP(DATA!#REF!,DATA!#REF!,1,FALSE),"")</f>
        <v/>
      </c>
      <c r="D5501" s="16" t="str">
        <f>IFERROR(VLOOKUP(C5501,DATA!#REF!,2,FALSE),"")</f>
        <v/>
      </c>
    </row>
    <row r="5502" spans="3:4" s="237" customFormat="1">
      <c r="C5502" s="16" t="str">
        <f>IFERROR(VLOOKUP(DATA!#REF!,DATA!#REF!,1,FALSE),"")</f>
        <v/>
      </c>
      <c r="D5502" s="16" t="str">
        <f>IFERROR(VLOOKUP(C5502,DATA!#REF!,2,FALSE),"")</f>
        <v/>
      </c>
    </row>
    <row r="5503" spans="3:4" s="237" customFormat="1">
      <c r="C5503" s="16" t="str">
        <f>IFERROR(VLOOKUP(DATA!#REF!,DATA!#REF!,1,FALSE),"")</f>
        <v/>
      </c>
      <c r="D5503" s="16" t="str">
        <f>IFERROR(VLOOKUP(C5503,DATA!#REF!,2,FALSE),"")</f>
        <v/>
      </c>
    </row>
    <row r="5504" spans="3:4" s="237" customFormat="1">
      <c r="C5504" s="16" t="str">
        <f>IFERROR(VLOOKUP(DATA!#REF!,DATA!#REF!,1,FALSE),"")</f>
        <v/>
      </c>
      <c r="D5504" s="16" t="str">
        <f>IFERROR(VLOOKUP(C5504,DATA!#REF!,2,FALSE),"")</f>
        <v/>
      </c>
    </row>
    <row r="5505" spans="3:4" s="237" customFormat="1">
      <c r="C5505" s="16" t="str">
        <f>IFERROR(VLOOKUP(DATA!#REF!,DATA!#REF!,1,FALSE),"")</f>
        <v/>
      </c>
      <c r="D5505" s="16" t="str">
        <f>IFERROR(VLOOKUP(C5505,DATA!#REF!,2,FALSE),"")</f>
        <v/>
      </c>
    </row>
    <row r="5506" spans="3:4" s="237" customFormat="1">
      <c r="C5506" s="16" t="str">
        <f>IFERROR(VLOOKUP(DATA!#REF!,DATA!#REF!,1,FALSE),"")</f>
        <v/>
      </c>
      <c r="D5506" s="16" t="str">
        <f>IFERROR(VLOOKUP(C5506,DATA!#REF!,2,FALSE),"")</f>
        <v/>
      </c>
    </row>
    <row r="5507" spans="3:4" s="237" customFormat="1">
      <c r="C5507" s="16" t="str">
        <f>IFERROR(VLOOKUP(DATA!#REF!,DATA!#REF!,1,FALSE),"")</f>
        <v/>
      </c>
      <c r="D5507" s="16" t="str">
        <f>IFERROR(VLOOKUP(C5507,DATA!#REF!,2,FALSE),"")</f>
        <v/>
      </c>
    </row>
    <row r="5508" spans="3:4" s="237" customFormat="1">
      <c r="C5508" s="16" t="str">
        <f>IFERROR(VLOOKUP(DATA!#REF!,DATA!#REF!,1,FALSE),"")</f>
        <v/>
      </c>
      <c r="D5508" s="16" t="str">
        <f>IFERROR(VLOOKUP(C5508,DATA!#REF!,2,FALSE),"")</f>
        <v/>
      </c>
    </row>
    <row r="5509" spans="3:4" s="237" customFormat="1">
      <c r="C5509" s="16" t="str">
        <f>IFERROR(VLOOKUP(DATA!#REF!,DATA!#REF!,1,FALSE),"")</f>
        <v/>
      </c>
      <c r="D5509" s="16" t="str">
        <f>IFERROR(VLOOKUP(C5509,DATA!#REF!,2,FALSE),"")</f>
        <v/>
      </c>
    </row>
    <row r="5510" spans="3:4" s="237" customFormat="1">
      <c r="C5510" s="16" t="str">
        <f>IFERROR(VLOOKUP(DATA!#REF!,DATA!#REF!,1,FALSE),"")</f>
        <v/>
      </c>
      <c r="D5510" s="16" t="str">
        <f>IFERROR(VLOOKUP(C5510,DATA!#REF!,2,FALSE),"")</f>
        <v/>
      </c>
    </row>
    <row r="5511" spans="3:4" s="237" customFormat="1">
      <c r="C5511" s="16" t="str">
        <f>IFERROR(VLOOKUP(DATA!#REF!,DATA!#REF!,1,FALSE),"")</f>
        <v/>
      </c>
      <c r="D5511" s="16" t="str">
        <f>IFERROR(VLOOKUP(C5511,DATA!#REF!,2,FALSE),"")</f>
        <v/>
      </c>
    </row>
    <row r="5512" spans="3:4" s="237" customFormat="1">
      <c r="C5512" s="16" t="str">
        <f>IFERROR(VLOOKUP(DATA!#REF!,DATA!#REF!,1,FALSE),"")</f>
        <v/>
      </c>
      <c r="D5512" s="16" t="str">
        <f>IFERROR(VLOOKUP(C5512,DATA!#REF!,2,FALSE),"")</f>
        <v/>
      </c>
    </row>
    <row r="5513" spans="3:4" s="237" customFormat="1">
      <c r="C5513" s="16" t="str">
        <f>IFERROR(VLOOKUP(DATA!#REF!,DATA!#REF!,1,FALSE),"")</f>
        <v/>
      </c>
      <c r="D5513" s="16" t="str">
        <f>IFERROR(VLOOKUP(C5513,DATA!#REF!,2,FALSE),"")</f>
        <v/>
      </c>
    </row>
    <row r="5514" spans="3:4" s="237" customFormat="1">
      <c r="C5514" s="16" t="str">
        <f>IFERROR(VLOOKUP(DATA!#REF!,DATA!#REF!,1,FALSE),"")</f>
        <v/>
      </c>
      <c r="D5514" s="16" t="str">
        <f>IFERROR(VLOOKUP(C5514,DATA!#REF!,2,FALSE),"")</f>
        <v/>
      </c>
    </row>
    <row r="5515" spans="3:4" s="237" customFormat="1">
      <c r="C5515" s="16" t="str">
        <f>IFERROR(VLOOKUP(DATA!#REF!,DATA!#REF!,1,FALSE),"")</f>
        <v/>
      </c>
      <c r="D5515" s="16" t="str">
        <f>IFERROR(VLOOKUP(C5515,DATA!#REF!,2,FALSE),"")</f>
        <v/>
      </c>
    </row>
    <row r="5516" spans="3:4" s="237" customFormat="1">
      <c r="C5516" s="16" t="str">
        <f>IFERROR(VLOOKUP(DATA!#REF!,DATA!#REF!,1,FALSE),"")</f>
        <v/>
      </c>
      <c r="D5516" s="16" t="str">
        <f>IFERROR(VLOOKUP(C5516,DATA!#REF!,2,FALSE),"")</f>
        <v/>
      </c>
    </row>
    <row r="5517" spans="3:4" s="237" customFormat="1">
      <c r="C5517" s="16" t="str">
        <f>IFERROR(VLOOKUP(DATA!#REF!,DATA!#REF!,1,FALSE),"")</f>
        <v/>
      </c>
      <c r="D5517" s="16" t="str">
        <f>IFERROR(VLOOKUP(C5517,DATA!#REF!,2,FALSE),"")</f>
        <v/>
      </c>
    </row>
    <row r="5518" spans="3:4" s="237" customFormat="1">
      <c r="C5518" s="16" t="str">
        <f>IFERROR(VLOOKUP(DATA!#REF!,DATA!#REF!,1,FALSE),"")</f>
        <v/>
      </c>
      <c r="D5518" s="16" t="str">
        <f>IFERROR(VLOOKUP(C5518,DATA!#REF!,2,FALSE),"")</f>
        <v/>
      </c>
    </row>
    <row r="5519" spans="3:4" s="237" customFormat="1">
      <c r="C5519" s="16" t="str">
        <f>IFERROR(VLOOKUP(DATA!#REF!,DATA!#REF!,1,FALSE),"")</f>
        <v/>
      </c>
      <c r="D5519" s="16" t="str">
        <f>IFERROR(VLOOKUP(C5519,DATA!#REF!,2,FALSE),"")</f>
        <v/>
      </c>
    </row>
    <row r="5520" spans="3:4" s="237" customFormat="1">
      <c r="C5520" s="16" t="str">
        <f>IFERROR(VLOOKUP(DATA!#REF!,DATA!#REF!,1,FALSE),"")</f>
        <v/>
      </c>
      <c r="D5520" s="16" t="str">
        <f>IFERROR(VLOOKUP(C5520,DATA!#REF!,2,FALSE),"")</f>
        <v/>
      </c>
    </row>
    <row r="5521" spans="3:4" s="237" customFormat="1">
      <c r="C5521" s="16" t="str">
        <f>IFERROR(VLOOKUP(DATA!#REF!,DATA!#REF!,1,FALSE),"")</f>
        <v/>
      </c>
      <c r="D5521" s="16" t="str">
        <f>IFERROR(VLOOKUP(C5521,DATA!#REF!,2,FALSE),"")</f>
        <v/>
      </c>
    </row>
    <row r="5522" spans="3:4" s="237" customFormat="1">
      <c r="C5522" s="16" t="str">
        <f>IFERROR(VLOOKUP(DATA!#REF!,DATA!#REF!,1,FALSE),"")</f>
        <v/>
      </c>
      <c r="D5522" s="16" t="str">
        <f>IFERROR(VLOOKUP(C5522,DATA!#REF!,2,FALSE),"")</f>
        <v/>
      </c>
    </row>
    <row r="5523" spans="3:4" s="237" customFormat="1">
      <c r="C5523" s="16" t="str">
        <f>IFERROR(VLOOKUP(DATA!#REF!,DATA!#REF!,1,FALSE),"")</f>
        <v/>
      </c>
      <c r="D5523" s="16" t="str">
        <f>IFERROR(VLOOKUP(C5523,DATA!#REF!,2,FALSE),"")</f>
        <v/>
      </c>
    </row>
    <row r="5524" spans="3:4" s="237" customFormat="1">
      <c r="C5524" s="16" t="str">
        <f>IFERROR(VLOOKUP(DATA!#REF!,DATA!#REF!,1,FALSE),"")</f>
        <v/>
      </c>
      <c r="D5524" s="16" t="str">
        <f>IFERROR(VLOOKUP(C5524,DATA!#REF!,2,FALSE),"")</f>
        <v/>
      </c>
    </row>
    <row r="5525" spans="3:4" s="237" customFormat="1">
      <c r="C5525" s="16" t="str">
        <f>IFERROR(VLOOKUP(DATA!#REF!,DATA!#REF!,1,FALSE),"")</f>
        <v/>
      </c>
      <c r="D5525" s="16" t="str">
        <f>IFERROR(VLOOKUP(C5525,DATA!#REF!,2,FALSE),"")</f>
        <v/>
      </c>
    </row>
    <row r="5526" spans="3:4" s="237" customFormat="1">
      <c r="C5526" s="16" t="str">
        <f>IFERROR(VLOOKUP(DATA!#REF!,DATA!#REF!,1,FALSE),"")</f>
        <v/>
      </c>
      <c r="D5526" s="16" t="str">
        <f>IFERROR(VLOOKUP(C5526,DATA!#REF!,2,FALSE),"")</f>
        <v/>
      </c>
    </row>
    <row r="5527" spans="3:4" s="237" customFormat="1">
      <c r="C5527" s="16" t="str">
        <f>IFERROR(VLOOKUP(DATA!#REF!,DATA!#REF!,1,FALSE),"")</f>
        <v/>
      </c>
      <c r="D5527" s="16" t="str">
        <f>IFERROR(VLOOKUP(C5527,DATA!#REF!,2,FALSE),"")</f>
        <v/>
      </c>
    </row>
    <row r="5528" spans="3:4" s="237" customFormat="1">
      <c r="C5528" s="16" t="str">
        <f>IFERROR(VLOOKUP(DATA!#REF!,DATA!#REF!,1,FALSE),"")</f>
        <v/>
      </c>
      <c r="D5528" s="16" t="str">
        <f>IFERROR(VLOOKUP(C5528,DATA!#REF!,2,FALSE),"")</f>
        <v/>
      </c>
    </row>
    <row r="5529" spans="3:4" s="237" customFormat="1">
      <c r="C5529" s="16" t="str">
        <f>IFERROR(VLOOKUP(DATA!#REF!,DATA!#REF!,1,FALSE),"")</f>
        <v/>
      </c>
      <c r="D5529" s="16" t="str">
        <f>IFERROR(VLOOKUP(C5529,DATA!#REF!,2,FALSE),"")</f>
        <v/>
      </c>
    </row>
    <row r="5530" spans="3:4" s="237" customFormat="1">
      <c r="C5530" s="16" t="str">
        <f>IFERROR(VLOOKUP(DATA!#REF!,DATA!#REF!,1,FALSE),"")</f>
        <v/>
      </c>
      <c r="D5530" s="16" t="str">
        <f>IFERROR(VLOOKUP(C5530,DATA!#REF!,2,FALSE),"")</f>
        <v/>
      </c>
    </row>
    <row r="5531" spans="3:4" s="237" customFormat="1">
      <c r="C5531" s="16" t="str">
        <f>IFERROR(VLOOKUP(DATA!#REF!,DATA!#REF!,1,FALSE),"")</f>
        <v/>
      </c>
      <c r="D5531" s="16" t="str">
        <f>IFERROR(VLOOKUP(C5531,DATA!#REF!,2,FALSE),"")</f>
        <v/>
      </c>
    </row>
    <row r="5532" spans="3:4" s="237" customFormat="1">
      <c r="C5532" s="16" t="str">
        <f>IFERROR(VLOOKUP(DATA!#REF!,DATA!#REF!,1,FALSE),"")</f>
        <v/>
      </c>
      <c r="D5532" s="16" t="str">
        <f>IFERROR(VLOOKUP(C5532,DATA!#REF!,2,FALSE),"")</f>
        <v/>
      </c>
    </row>
    <row r="5533" spans="3:4" s="237" customFormat="1">
      <c r="C5533" s="16" t="str">
        <f>IFERROR(VLOOKUP(DATA!#REF!,DATA!#REF!,1,FALSE),"")</f>
        <v/>
      </c>
      <c r="D5533" s="16" t="str">
        <f>IFERROR(VLOOKUP(C5533,DATA!#REF!,2,FALSE),"")</f>
        <v/>
      </c>
    </row>
    <row r="5534" spans="3:4" s="237" customFormat="1">
      <c r="C5534" s="16" t="str">
        <f>IFERROR(VLOOKUP(DATA!#REF!,DATA!#REF!,1,FALSE),"")</f>
        <v/>
      </c>
      <c r="D5534" s="16" t="str">
        <f>IFERROR(VLOOKUP(C5534,DATA!#REF!,2,FALSE),"")</f>
        <v/>
      </c>
    </row>
    <row r="5535" spans="3:4" s="237" customFormat="1">
      <c r="C5535" s="16" t="str">
        <f>IFERROR(VLOOKUP(DATA!#REF!,DATA!#REF!,1,FALSE),"")</f>
        <v/>
      </c>
      <c r="D5535" s="16" t="str">
        <f>IFERROR(VLOOKUP(C5535,DATA!#REF!,2,FALSE),"")</f>
        <v/>
      </c>
    </row>
    <row r="5536" spans="3:4" s="237" customFormat="1">
      <c r="C5536" s="16" t="str">
        <f>IFERROR(VLOOKUP(DATA!#REF!,DATA!#REF!,1,FALSE),"")</f>
        <v/>
      </c>
      <c r="D5536" s="16" t="str">
        <f>IFERROR(VLOOKUP(C5536,DATA!#REF!,2,FALSE),"")</f>
        <v/>
      </c>
    </row>
    <row r="5537" spans="3:4" s="237" customFormat="1">
      <c r="C5537" s="16" t="str">
        <f>IFERROR(VLOOKUP(DATA!#REF!,DATA!#REF!,1,FALSE),"")</f>
        <v/>
      </c>
      <c r="D5537" s="16" t="str">
        <f>IFERROR(VLOOKUP(C5537,DATA!#REF!,2,FALSE),"")</f>
        <v/>
      </c>
    </row>
    <row r="5538" spans="3:4" s="237" customFormat="1">
      <c r="C5538" s="16" t="str">
        <f>IFERROR(VLOOKUP(DATA!#REF!,DATA!#REF!,1,FALSE),"")</f>
        <v/>
      </c>
      <c r="D5538" s="16" t="str">
        <f>IFERROR(VLOOKUP(C5538,DATA!#REF!,2,FALSE),"")</f>
        <v/>
      </c>
    </row>
    <row r="5539" spans="3:4" s="237" customFormat="1">
      <c r="C5539" s="16" t="str">
        <f>IFERROR(VLOOKUP(DATA!#REF!,DATA!#REF!,1,FALSE),"")</f>
        <v/>
      </c>
      <c r="D5539" s="16" t="str">
        <f>IFERROR(VLOOKUP(C5539,DATA!#REF!,2,FALSE),"")</f>
        <v/>
      </c>
    </row>
    <row r="5540" spans="3:4" s="237" customFormat="1">
      <c r="C5540" s="16" t="str">
        <f>IFERROR(VLOOKUP(DATA!#REF!,DATA!#REF!,1,FALSE),"")</f>
        <v/>
      </c>
      <c r="D5540" s="16" t="str">
        <f>IFERROR(VLOOKUP(C5540,DATA!#REF!,2,FALSE),"")</f>
        <v/>
      </c>
    </row>
    <row r="5541" spans="3:4" s="237" customFormat="1">
      <c r="C5541" s="16" t="str">
        <f>IFERROR(VLOOKUP(DATA!#REF!,DATA!#REF!,1,FALSE),"")</f>
        <v/>
      </c>
      <c r="D5541" s="16" t="str">
        <f>IFERROR(VLOOKUP(C5541,DATA!#REF!,2,FALSE),"")</f>
        <v/>
      </c>
    </row>
    <row r="5542" spans="3:4" s="237" customFormat="1">
      <c r="C5542" s="16" t="str">
        <f>IFERROR(VLOOKUP(DATA!#REF!,DATA!#REF!,1,FALSE),"")</f>
        <v/>
      </c>
      <c r="D5542" s="16" t="str">
        <f>IFERROR(VLOOKUP(C5542,DATA!#REF!,2,FALSE),"")</f>
        <v/>
      </c>
    </row>
    <row r="5543" spans="3:4" s="237" customFormat="1">
      <c r="C5543" s="16" t="str">
        <f>IFERROR(VLOOKUP(DATA!#REF!,DATA!#REF!,1,FALSE),"")</f>
        <v/>
      </c>
      <c r="D5543" s="16" t="str">
        <f>IFERROR(VLOOKUP(C5543,DATA!#REF!,2,FALSE),"")</f>
        <v/>
      </c>
    </row>
    <row r="5544" spans="3:4" s="237" customFormat="1">
      <c r="C5544" s="16" t="str">
        <f>IFERROR(VLOOKUP(DATA!#REF!,DATA!#REF!,1,FALSE),"")</f>
        <v/>
      </c>
      <c r="D5544" s="16" t="str">
        <f>IFERROR(VLOOKUP(C5544,DATA!#REF!,2,FALSE),"")</f>
        <v/>
      </c>
    </row>
    <row r="5545" spans="3:4" s="237" customFormat="1">
      <c r="C5545" s="16" t="str">
        <f>IFERROR(VLOOKUP(DATA!#REF!,DATA!#REF!,1,FALSE),"")</f>
        <v/>
      </c>
      <c r="D5545" s="16" t="str">
        <f>IFERROR(VLOOKUP(C5545,DATA!#REF!,2,FALSE),"")</f>
        <v/>
      </c>
    </row>
    <row r="5546" spans="3:4" s="237" customFormat="1">
      <c r="C5546" s="16" t="str">
        <f>IFERROR(VLOOKUP(DATA!#REF!,DATA!#REF!,1,FALSE),"")</f>
        <v/>
      </c>
      <c r="D5546" s="16" t="str">
        <f>IFERROR(VLOOKUP(C5546,DATA!#REF!,2,FALSE),"")</f>
        <v/>
      </c>
    </row>
    <row r="5547" spans="3:4" s="237" customFormat="1">
      <c r="C5547" s="16" t="str">
        <f>IFERROR(VLOOKUP(DATA!#REF!,DATA!#REF!,1,FALSE),"")</f>
        <v/>
      </c>
      <c r="D5547" s="16" t="str">
        <f>IFERROR(VLOOKUP(C5547,DATA!#REF!,2,FALSE),"")</f>
        <v/>
      </c>
    </row>
    <row r="5548" spans="3:4" s="237" customFormat="1">
      <c r="C5548" s="16" t="str">
        <f>IFERROR(VLOOKUP(DATA!#REF!,DATA!#REF!,1,FALSE),"")</f>
        <v/>
      </c>
      <c r="D5548" s="16" t="str">
        <f>IFERROR(VLOOKUP(C5548,DATA!#REF!,2,FALSE),"")</f>
        <v/>
      </c>
    </row>
    <row r="5549" spans="3:4" s="237" customFormat="1">
      <c r="C5549" s="16" t="str">
        <f>IFERROR(VLOOKUP(DATA!#REF!,DATA!#REF!,1,FALSE),"")</f>
        <v/>
      </c>
      <c r="D5549" s="16" t="str">
        <f>IFERROR(VLOOKUP(C5549,DATA!#REF!,2,FALSE),"")</f>
        <v/>
      </c>
    </row>
    <row r="5550" spans="3:4" s="237" customFormat="1">
      <c r="C5550" s="16" t="str">
        <f>IFERROR(VLOOKUP(DATA!#REF!,DATA!#REF!,1,FALSE),"")</f>
        <v/>
      </c>
      <c r="D5550" s="16" t="str">
        <f>IFERROR(VLOOKUP(C5550,DATA!#REF!,2,FALSE),"")</f>
        <v/>
      </c>
    </row>
    <row r="5551" spans="3:4" s="237" customFormat="1">
      <c r="C5551" s="16" t="str">
        <f>IFERROR(VLOOKUP(DATA!#REF!,DATA!#REF!,1,FALSE),"")</f>
        <v/>
      </c>
      <c r="D5551" s="16" t="str">
        <f>IFERROR(VLOOKUP(C5551,DATA!#REF!,2,FALSE),"")</f>
        <v/>
      </c>
    </row>
    <row r="5552" spans="3:4" s="237" customFormat="1">
      <c r="C5552" s="16" t="str">
        <f>IFERROR(VLOOKUP(DATA!#REF!,DATA!#REF!,1,FALSE),"")</f>
        <v/>
      </c>
      <c r="D5552" s="16" t="str">
        <f>IFERROR(VLOOKUP(C5552,DATA!#REF!,2,FALSE),"")</f>
        <v/>
      </c>
    </row>
    <row r="5553" spans="3:4" s="237" customFormat="1">
      <c r="C5553" s="16" t="str">
        <f>IFERROR(VLOOKUP(DATA!#REF!,DATA!#REF!,1,FALSE),"")</f>
        <v/>
      </c>
      <c r="D5553" s="16" t="str">
        <f>IFERROR(VLOOKUP(C5553,DATA!#REF!,2,FALSE),"")</f>
        <v/>
      </c>
    </row>
    <row r="5554" spans="3:4" s="237" customFormat="1">
      <c r="C5554" s="16" t="str">
        <f>IFERROR(VLOOKUP(DATA!#REF!,DATA!#REF!,1,FALSE),"")</f>
        <v/>
      </c>
      <c r="D5554" s="16" t="str">
        <f>IFERROR(VLOOKUP(C5554,DATA!#REF!,2,FALSE),"")</f>
        <v/>
      </c>
    </row>
    <row r="5555" spans="3:4" s="237" customFormat="1">
      <c r="C5555" s="16" t="str">
        <f>IFERROR(VLOOKUP(DATA!#REF!,DATA!#REF!,1,FALSE),"")</f>
        <v/>
      </c>
      <c r="D5555" s="16" t="str">
        <f>IFERROR(VLOOKUP(C5555,DATA!#REF!,2,FALSE),"")</f>
        <v/>
      </c>
    </row>
    <row r="5556" spans="3:4" s="237" customFormat="1">
      <c r="C5556" s="16" t="str">
        <f>IFERROR(VLOOKUP(DATA!#REF!,DATA!#REF!,1,FALSE),"")</f>
        <v/>
      </c>
      <c r="D5556" s="16" t="str">
        <f>IFERROR(VLOOKUP(C5556,DATA!#REF!,2,FALSE),"")</f>
        <v/>
      </c>
    </row>
    <row r="5557" spans="3:4" s="237" customFormat="1">
      <c r="C5557" s="16" t="str">
        <f>IFERROR(VLOOKUP(DATA!#REF!,DATA!#REF!,1,FALSE),"")</f>
        <v/>
      </c>
      <c r="D5557" s="16" t="str">
        <f>IFERROR(VLOOKUP(C5557,DATA!#REF!,2,FALSE),"")</f>
        <v/>
      </c>
    </row>
    <row r="5558" spans="3:4" s="237" customFormat="1">
      <c r="C5558" s="16" t="str">
        <f>IFERROR(VLOOKUP(DATA!#REF!,DATA!#REF!,1,FALSE),"")</f>
        <v/>
      </c>
      <c r="D5558" s="16" t="str">
        <f>IFERROR(VLOOKUP(C5558,DATA!#REF!,2,FALSE),"")</f>
        <v/>
      </c>
    </row>
    <row r="5559" spans="3:4" s="237" customFormat="1">
      <c r="C5559" s="16" t="str">
        <f>IFERROR(VLOOKUP(DATA!#REF!,DATA!#REF!,1,FALSE),"")</f>
        <v/>
      </c>
      <c r="D5559" s="16" t="str">
        <f>IFERROR(VLOOKUP(C5559,DATA!#REF!,2,FALSE),"")</f>
        <v/>
      </c>
    </row>
    <row r="5560" spans="3:4" s="237" customFormat="1">
      <c r="C5560" s="16" t="str">
        <f>IFERROR(VLOOKUP(DATA!#REF!,DATA!#REF!,1,FALSE),"")</f>
        <v/>
      </c>
      <c r="D5560" s="16" t="str">
        <f>IFERROR(VLOOKUP(C5560,DATA!#REF!,2,FALSE),"")</f>
        <v/>
      </c>
    </row>
    <row r="5561" spans="3:4" s="237" customFormat="1">
      <c r="C5561" s="16" t="str">
        <f>IFERROR(VLOOKUP(DATA!#REF!,DATA!#REF!,1,FALSE),"")</f>
        <v/>
      </c>
      <c r="D5561" s="16" t="str">
        <f>IFERROR(VLOOKUP(C5561,DATA!#REF!,2,FALSE),"")</f>
        <v/>
      </c>
    </row>
    <row r="5562" spans="3:4" s="237" customFormat="1">
      <c r="C5562" s="16" t="str">
        <f>IFERROR(VLOOKUP(DATA!#REF!,DATA!#REF!,1,FALSE),"")</f>
        <v/>
      </c>
      <c r="D5562" s="16" t="str">
        <f>IFERROR(VLOOKUP(C5562,DATA!#REF!,2,FALSE),"")</f>
        <v/>
      </c>
    </row>
    <row r="5563" spans="3:4" s="237" customFormat="1">
      <c r="C5563" s="16" t="str">
        <f>IFERROR(VLOOKUP(DATA!#REF!,DATA!#REF!,1,FALSE),"")</f>
        <v/>
      </c>
      <c r="D5563" s="16" t="str">
        <f>IFERROR(VLOOKUP(C5563,DATA!#REF!,2,FALSE),"")</f>
        <v/>
      </c>
    </row>
    <row r="5564" spans="3:4" s="237" customFormat="1">
      <c r="C5564" s="16" t="str">
        <f>IFERROR(VLOOKUP(DATA!#REF!,DATA!#REF!,1,FALSE),"")</f>
        <v/>
      </c>
      <c r="D5564" s="16" t="str">
        <f>IFERROR(VLOOKUP(C5564,DATA!#REF!,2,FALSE),"")</f>
        <v/>
      </c>
    </row>
    <row r="5565" spans="3:4" s="237" customFormat="1">
      <c r="C5565" s="16" t="str">
        <f>IFERROR(VLOOKUP(DATA!#REF!,DATA!#REF!,1,FALSE),"")</f>
        <v/>
      </c>
      <c r="D5565" s="16" t="str">
        <f>IFERROR(VLOOKUP(C5565,DATA!#REF!,2,FALSE),"")</f>
        <v/>
      </c>
    </row>
    <row r="5566" spans="3:4" s="237" customFormat="1">
      <c r="C5566" s="16" t="str">
        <f>IFERROR(VLOOKUP(DATA!#REF!,DATA!#REF!,1,FALSE),"")</f>
        <v/>
      </c>
      <c r="D5566" s="16" t="str">
        <f>IFERROR(VLOOKUP(C5566,DATA!#REF!,2,FALSE),"")</f>
        <v/>
      </c>
    </row>
    <row r="5567" spans="3:4" s="237" customFormat="1">
      <c r="C5567" s="16" t="str">
        <f>IFERROR(VLOOKUP(DATA!#REF!,DATA!#REF!,1,FALSE),"")</f>
        <v/>
      </c>
      <c r="D5567" s="16" t="str">
        <f>IFERROR(VLOOKUP(C5567,DATA!#REF!,2,FALSE),"")</f>
        <v/>
      </c>
    </row>
    <row r="5568" spans="3:4" s="237" customFormat="1">
      <c r="C5568" s="16" t="str">
        <f>IFERROR(VLOOKUP(DATA!#REF!,DATA!#REF!,1,FALSE),"")</f>
        <v/>
      </c>
      <c r="D5568" s="16" t="str">
        <f>IFERROR(VLOOKUP(C5568,DATA!#REF!,2,FALSE),"")</f>
        <v/>
      </c>
    </row>
    <row r="5569" spans="3:4" s="237" customFormat="1">
      <c r="C5569" s="16" t="str">
        <f>IFERROR(VLOOKUP(DATA!#REF!,DATA!#REF!,1,FALSE),"")</f>
        <v/>
      </c>
      <c r="D5569" s="16" t="str">
        <f>IFERROR(VLOOKUP(C5569,DATA!#REF!,2,FALSE),"")</f>
        <v/>
      </c>
    </row>
    <row r="5570" spans="3:4" s="237" customFormat="1">
      <c r="C5570" s="16" t="str">
        <f>IFERROR(VLOOKUP(DATA!#REF!,DATA!#REF!,1,FALSE),"")</f>
        <v/>
      </c>
      <c r="D5570" s="16" t="str">
        <f>IFERROR(VLOOKUP(C5570,DATA!#REF!,2,FALSE),"")</f>
        <v/>
      </c>
    </row>
    <row r="5571" spans="3:4" s="237" customFormat="1">
      <c r="C5571" s="16" t="str">
        <f>IFERROR(VLOOKUP(DATA!#REF!,DATA!#REF!,1,FALSE),"")</f>
        <v/>
      </c>
      <c r="D5571" s="16" t="str">
        <f>IFERROR(VLOOKUP(C5571,DATA!#REF!,2,FALSE),"")</f>
        <v/>
      </c>
    </row>
    <row r="5572" spans="3:4" s="237" customFormat="1">
      <c r="C5572" s="16" t="str">
        <f>IFERROR(VLOOKUP(DATA!#REF!,DATA!#REF!,1,FALSE),"")</f>
        <v/>
      </c>
      <c r="D5572" s="16" t="str">
        <f>IFERROR(VLOOKUP(C5572,DATA!#REF!,2,FALSE),"")</f>
        <v/>
      </c>
    </row>
    <row r="5573" spans="3:4" s="237" customFormat="1">
      <c r="C5573" s="16" t="str">
        <f>IFERROR(VLOOKUP(DATA!#REF!,DATA!#REF!,1,FALSE),"")</f>
        <v/>
      </c>
      <c r="D5573" s="16" t="str">
        <f>IFERROR(VLOOKUP(C5573,DATA!#REF!,2,FALSE),"")</f>
        <v/>
      </c>
    </row>
    <row r="5574" spans="3:4" s="237" customFormat="1">
      <c r="C5574" s="16" t="str">
        <f>IFERROR(VLOOKUP(DATA!#REF!,DATA!#REF!,1,FALSE),"")</f>
        <v/>
      </c>
      <c r="D5574" s="16" t="str">
        <f>IFERROR(VLOOKUP(C5574,DATA!#REF!,2,FALSE),"")</f>
        <v/>
      </c>
    </row>
    <row r="5575" spans="3:4" s="237" customFormat="1">
      <c r="C5575" s="16" t="str">
        <f>IFERROR(VLOOKUP(DATA!#REF!,DATA!#REF!,1,FALSE),"")</f>
        <v/>
      </c>
      <c r="D5575" s="16" t="str">
        <f>IFERROR(VLOOKUP(C5575,DATA!#REF!,2,FALSE),"")</f>
        <v/>
      </c>
    </row>
    <row r="5576" spans="3:4" s="237" customFormat="1">
      <c r="C5576" s="16" t="str">
        <f>IFERROR(VLOOKUP(DATA!#REF!,DATA!#REF!,1,FALSE),"")</f>
        <v/>
      </c>
      <c r="D5576" s="16" t="str">
        <f>IFERROR(VLOOKUP(C5576,DATA!#REF!,2,FALSE),"")</f>
        <v/>
      </c>
    </row>
    <row r="5577" spans="3:4" s="237" customFormat="1">
      <c r="C5577" s="16" t="str">
        <f>IFERROR(VLOOKUP(DATA!#REF!,DATA!#REF!,1,FALSE),"")</f>
        <v/>
      </c>
      <c r="D5577" s="16" t="str">
        <f>IFERROR(VLOOKUP(C5577,DATA!#REF!,2,FALSE),"")</f>
        <v/>
      </c>
    </row>
    <row r="5578" spans="3:4" s="237" customFormat="1">
      <c r="C5578" s="16" t="str">
        <f>IFERROR(VLOOKUP(DATA!#REF!,DATA!#REF!,1,FALSE),"")</f>
        <v/>
      </c>
      <c r="D5578" s="16" t="str">
        <f>IFERROR(VLOOKUP(C5578,DATA!#REF!,2,FALSE),"")</f>
        <v/>
      </c>
    </row>
    <row r="5579" spans="3:4" s="237" customFormat="1">
      <c r="C5579" s="16" t="str">
        <f>IFERROR(VLOOKUP(DATA!#REF!,DATA!#REF!,1,FALSE),"")</f>
        <v/>
      </c>
      <c r="D5579" s="16" t="str">
        <f>IFERROR(VLOOKUP(C5579,DATA!#REF!,2,FALSE),"")</f>
        <v/>
      </c>
    </row>
    <row r="5580" spans="3:4" s="237" customFormat="1">
      <c r="C5580" s="16" t="str">
        <f>IFERROR(VLOOKUP(DATA!#REF!,DATA!#REF!,1,FALSE),"")</f>
        <v/>
      </c>
      <c r="D5580" s="16" t="str">
        <f>IFERROR(VLOOKUP(C5580,DATA!#REF!,2,FALSE),"")</f>
        <v/>
      </c>
    </row>
    <row r="5581" spans="3:4" s="237" customFormat="1">
      <c r="C5581" s="16" t="str">
        <f>IFERROR(VLOOKUP(DATA!#REF!,DATA!#REF!,1,FALSE),"")</f>
        <v/>
      </c>
      <c r="D5581" s="16" t="str">
        <f>IFERROR(VLOOKUP(C5581,DATA!#REF!,2,FALSE),"")</f>
        <v/>
      </c>
    </row>
    <row r="5582" spans="3:4" s="237" customFormat="1">
      <c r="C5582" s="16" t="str">
        <f>IFERROR(VLOOKUP(DATA!#REF!,DATA!#REF!,1,FALSE),"")</f>
        <v/>
      </c>
      <c r="D5582" s="16" t="str">
        <f>IFERROR(VLOOKUP(C5582,DATA!#REF!,2,FALSE),"")</f>
        <v/>
      </c>
    </row>
    <row r="5583" spans="3:4" s="237" customFormat="1">
      <c r="C5583" s="16" t="str">
        <f>IFERROR(VLOOKUP(DATA!#REF!,DATA!#REF!,1,FALSE),"")</f>
        <v/>
      </c>
      <c r="D5583" s="16" t="str">
        <f>IFERROR(VLOOKUP(C5583,DATA!#REF!,2,FALSE),"")</f>
        <v/>
      </c>
    </row>
    <row r="5584" spans="3:4" s="237" customFormat="1">
      <c r="C5584" s="16" t="str">
        <f>IFERROR(VLOOKUP(DATA!#REF!,DATA!#REF!,1,FALSE),"")</f>
        <v/>
      </c>
      <c r="D5584" s="16" t="str">
        <f>IFERROR(VLOOKUP(C5584,DATA!#REF!,2,FALSE),"")</f>
        <v/>
      </c>
    </row>
    <row r="5585" spans="3:4" s="237" customFormat="1">
      <c r="C5585" s="16" t="str">
        <f>IFERROR(VLOOKUP(DATA!#REF!,DATA!#REF!,1,FALSE),"")</f>
        <v/>
      </c>
      <c r="D5585" s="16" t="str">
        <f>IFERROR(VLOOKUP(C5585,DATA!#REF!,2,FALSE),"")</f>
        <v/>
      </c>
    </row>
    <row r="5586" spans="3:4" s="237" customFormat="1">
      <c r="C5586" s="16" t="str">
        <f>IFERROR(VLOOKUP(DATA!#REF!,DATA!#REF!,1,FALSE),"")</f>
        <v/>
      </c>
      <c r="D5586" s="16" t="str">
        <f>IFERROR(VLOOKUP(C5586,DATA!#REF!,2,FALSE),"")</f>
        <v/>
      </c>
    </row>
    <row r="5587" spans="3:4" s="237" customFormat="1">
      <c r="C5587" s="16" t="str">
        <f>IFERROR(VLOOKUP(DATA!#REF!,DATA!#REF!,1,FALSE),"")</f>
        <v/>
      </c>
      <c r="D5587" s="16" t="str">
        <f>IFERROR(VLOOKUP(C5587,DATA!#REF!,2,FALSE),"")</f>
        <v/>
      </c>
    </row>
    <row r="5588" spans="3:4" s="237" customFormat="1">
      <c r="C5588" s="16" t="str">
        <f>IFERROR(VLOOKUP(DATA!#REF!,DATA!#REF!,1,FALSE),"")</f>
        <v/>
      </c>
      <c r="D5588" s="16" t="str">
        <f>IFERROR(VLOOKUP(C5588,DATA!#REF!,2,FALSE),"")</f>
        <v/>
      </c>
    </row>
    <row r="5589" spans="3:4" s="237" customFormat="1">
      <c r="C5589" s="16" t="str">
        <f>IFERROR(VLOOKUP(DATA!#REF!,DATA!#REF!,1,FALSE),"")</f>
        <v/>
      </c>
      <c r="D5589" s="16" t="str">
        <f>IFERROR(VLOOKUP(C5589,DATA!#REF!,2,FALSE),"")</f>
        <v/>
      </c>
    </row>
    <row r="5590" spans="3:4" s="237" customFormat="1">
      <c r="C5590" s="16" t="str">
        <f>IFERROR(VLOOKUP(DATA!#REF!,DATA!#REF!,1,FALSE),"")</f>
        <v/>
      </c>
      <c r="D5590" s="16" t="str">
        <f>IFERROR(VLOOKUP(C5590,DATA!#REF!,2,FALSE),"")</f>
        <v/>
      </c>
    </row>
    <row r="5591" spans="3:4" s="237" customFormat="1">
      <c r="C5591" s="16" t="str">
        <f>IFERROR(VLOOKUP(DATA!#REF!,DATA!#REF!,1,FALSE),"")</f>
        <v/>
      </c>
      <c r="D5591" s="16" t="str">
        <f>IFERROR(VLOOKUP(C5591,DATA!#REF!,2,FALSE),"")</f>
        <v/>
      </c>
    </row>
    <row r="5592" spans="3:4" s="237" customFormat="1">
      <c r="C5592" s="16" t="str">
        <f>IFERROR(VLOOKUP(DATA!#REF!,DATA!#REF!,1,FALSE),"")</f>
        <v/>
      </c>
      <c r="D5592" s="16" t="str">
        <f>IFERROR(VLOOKUP(C5592,DATA!#REF!,2,FALSE),"")</f>
        <v/>
      </c>
    </row>
    <row r="5593" spans="3:4" s="237" customFormat="1">
      <c r="C5593" s="16" t="str">
        <f>IFERROR(VLOOKUP(DATA!#REF!,DATA!#REF!,1,FALSE),"")</f>
        <v/>
      </c>
      <c r="D5593" s="16" t="str">
        <f>IFERROR(VLOOKUP(C5593,DATA!#REF!,2,FALSE),"")</f>
        <v/>
      </c>
    </row>
    <row r="5594" spans="3:4" s="237" customFormat="1">
      <c r="C5594" s="16" t="str">
        <f>IFERROR(VLOOKUP(DATA!#REF!,DATA!#REF!,1,FALSE),"")</f>
        <v/>
      </c>
      <c r="D5594" s="16" t="str">
        <f>IFERROR(VLOOKUP(C5594,DATA!#REF!,2,FALSE),"")</f>
        <v/>
      </c>
    </row>
    <row r="5595" spans="3:4" s="237" customFormat="1">
      <c r="C5595" s="16" t="str">
        <f>IFERROR(VLOOKUP(DATA!#REF!,DATA!#REF!,1,FALSE),"")</f>
        <v/>
      </c>
      <c r="D5595" s="16" t="str">
        <f>IFERROR(VLOOKUP(C5595,DATA!#REF!,2,FALSE),"")</f>
        <v/>
      </c>
    </row>
    <row r="5596" spans="3:4" s="237" customFormat="1">
      <c r="C5596" s="16" t="str">
        <f>IFERROR(VLOOKUP(DATA!#REF!,DATA!#REF!,1,FALSE),"")</f>
        <v/>
      </c>
      <c r="D5596" s="16" t="str">
        <f>IFERROR(VLOOKUP(C5596,DATA!#REF!,2,FALSE),"")</f>
        <v/>
      </c>
    </row>
    <row r="5597" spans="3:4" s="237" customFormat="1">
      <c r="C5597" s="16" t="str">
        <f>IFERROR(VLOOKUP(DATA!#REF!,DATA!#REF!,1,FALSE),"")</f>
        <v/>
      </c>
      <c r="D5597" s="16" t="str">
        <f>IFERROR(VLOOKUP(C5597,DATA!#REF!,2,FALSE),"")</f>
        <v/>
      </c>
    </row>
    <row r="5598" spans="3:4" s="237" customFormat="1">
      <c r="C5598" s="16" t="str">
        <f>IFERROR(VLOOKUP(DATA!#REF!,DATA!#REF!,1,FALSE),"")</f>
        <v/>
      </c>
      <c r="D5598" s="16" t="str">
        <f>IFERROR(VLOOKUP(C5598,DATA!#REF!,2,FALSE),"")</f>
        <v/>
      </c>
    </row>
    <row r="5599" spans="3:4" s="237" customFormat="1">
      <c r="C5599" s="16" t="str">
        <f>IFERROR(VLOOKUP(DATA!#REF!,DATA!#REF!,1,FALSE),"")</f>
        <v/>
      </c>
      <c r="D5599" s="16" t="str">
        <f>IFERROR(VLOOKUP(C5599,DATA!#REF!,2,FALSE),"")</f>
        <v/>
      </c>
    </row>
    <row r="5600" spans="3:4" s="237" customFormat="1">
      <c r="C5600" s="16" t="str">
        <f>IFERROR(VLOOKUP(DATA!#REF!,DATA!#REF!,1,FALSE),"")</f>
        <v/>
      </c>
      <c r="D5600" s="16" t="str">
        <f>IFERROR(VLOOKUP(C5600,DATA!#REF!,2,FALSE),"")</f>
        <v/>
      </c>
    </row>
    <row r="5601" spans="3:4" s="237" customFormat="1">
      <c r="C5601" s="16" t="str">
        <f>IFERROR(VLOOKUP(DATA!#REF!,DATA!#REF!,1,FALSE),"")</f>
        <v/>
      </c>
      <c r="D5601" s="16" t="str">
        <f>IFERROR(VLOOKUP(C5601,DATA!#REF!,2,FALSE),"")</f>
        <v/>
      </c>
    </row>
    <row r="5602" spans="3:4" s="237" customFormat="1">
      <c r="C5602" s="16" t="str">
        <f>IFERROR(VLOOKUP(DATA!#REF!,DATA!#REF!,1,FALSE),"")</f>
        <v/>
      </c>
      <c r="D5602" s="16" t="str">
        <f>IFERROR(VLOOKUP(C5602,DATA!#REF!,2,FALSE),"")</f>
        <v/>
      </c>
    </row>
    <row r="5603" spans="3:4" s="237" customFormat="1">
      <c r="C5603" s="16" t="str">
        <f>IFERROR(VLOOKUP(DATA!#REF!,DATA!#REF!,1,FALSE),"")</f>
        <v/>
      </c>
      <c r="D5603" s="16" t="str">
        <f>IFERROR(VLOOKUP(C5603,DATA!#REF!,2,FALSE),"")</f>
        <v/>
      </c>
    </row>
    <row r="5604" spans="3:4" s="237" customFormat="1">
      <c r="C5604" s="16" t="str">
        <f>IFERROR(VLOOKUP(DATA!#REF!,DATA!#REF!,1,FALSE),"")</f>
        <v/>
      </c>
      <c r="D5604" s="16" t="str">
        <f>IFERROR(VLOOKUP(C5604,DATA!#REF!,2,FALSE),"")</f>
        <v/>
      </c>
    </row>
    <row r="5605" spans="3:4" s="237" customFormat="1">
      <c r="C5605" s="16" t="str">
        <f>IFERROR(VLOOKUP(DATA!#REF!,DATA!#REF!,1,FALSE),"")</f>
        <v/>
      </c>
      <c r="D5605" s="16" t="str">
        <f>IFERROR(VLOOKUP(C5605,DATA!#REF!,2,FALSE),"")</f>
        <v/>
      </c>
    </row>
    <row r="5606" spans="3:4" s="237" customFormat="1">
      <c r="C5606" s="16" t="str">
        <f>IFERROR(VLOOKUP(DATA!#REF!,DATA!#REF!,1,FALSE),"")</f>
        <v/>
      </c>
      <c r="D5606" s="16" t="str">
        <f>IFERROR(VLOOKUP(C5606,DATA!#REF!,2,FALSE),"")</f>
        <v/>
      </c>
    </row>
    <row r="5607" spans="3:4" s="237" customFormat="1">
      <c r="C5607" s="16" t="str">
        <f>IFERROR(VLOOKUP(DATA!#REF!,DATA!#REF!,1,FALSE),"")</f>
        <v/>
      </c>
      <c r="D5607" s="16" t="str">
        <f>IFERROR(VLOOKUP(C5607,DATA!#REF!,2,FALSE),"")</f>
        <v/>
      </c>
    </row>
    <row r="5608" spans="3:4" s="237" customFormat="1">
      <c r="C5608" s="16" t="str">
        <f>IFERROR(VLOOKUP(DATA!#REF!,DATA!#REF!,1,FALSE),"")</f>
        <v/>
      </c>
      <c r="D5608" s="16" t="str">
        <f>IFERROR(VLOOKUP(C5608,DATA!#REF!,2,FALSE),"")</f>
        <v/>
      </c>
    </row>
    <row r="5609" spans="3:4" s="237" customFormat="1">
      <c r="C5609" s="16" t="str">
        <f>IFERROR(VLOOKUP(DATA!#REF!,DATA!#REF!,1,FALSE),"")</f>
        <v/>
      </c>
      <c r="D5609" s="16" t="str">
        <f>IFERROR(VLOOKUP(C5609,DATA!#REF!,2,FALSE),"")</f>
        <v/>
      </c>
    </row>
    <row r="5610" spans="3:4" s="237" customFormat="1">
      <c r="C5610" s="16" t="str">
        <f>IFERROR(VLOOKUP(DATA!#REF!,DATA!#REF!,1,FALSE),"")</f>
        <v/>
      </c>
      <c r="D5610" s="16" t="str">
        <f>IFERROR(VLOOKUP(C5610,DATA!#REF!,2,FALSE),"")</f>
        <v/>
      </c>
    </row>
    <row r="5611" spans="3:4" s="237" customFormat="1">
      <c r="C5611" s="16" t="str">
        <f>IFERROR(VLOOKUP(DATA!#REF!,DATA!#REF!,1,FALSE),"")</f>
        <v/>
      </c>
      <c r="D5611" s="16" t="str">
        <f>IFERROR(VLOOKUP(C5611,DATA!#REF!,2,FALSE),"")</f>
        <v/>
      </c>
    </row>
    <row r="5612" spans="3:4" s="237" customFormat="1">
      <c r="C5612" s="16" t="str">
        <f>IFERROR(VLOOKUP(DATA!#REF!,DATA!#REF!,1,FALSE),"")</f>
        <v/>
      </c>
      <c r="D5612" s="16" t="str">
        <f>IFERROR(VLOOKUP(C5612,DATA!#REF!,2,FALSE),"")</f>
        <v/>
      </c>
    </row>
    <row r="5613" spans="3:4" s="237" customFormat="1">
      <c r="C5613" s="16" t="str">
        <f>IFERROR(VLOOKUP(DATA!#REF!,DATA!#REF!,1,FALSE),"")</f>
        <v/>
      </c>
      <c r="D5613" s="16" t="str">
        <f>IFERROR(VLOOKUP(C5613,DATA!#REF!,2,FALSE),"")</f>
        <v/>
      </c>
    </row>
    <row r="5614" spans="3:4" s="237" customFormat="1">
      <c r="C5614" s="16" t="str">
        <f>IFERROR(VLOOKUP(DATA!#REF!,DATA!#REF!,1,FALSE),"")</f>
        <v/>
      </c>
      <c r="D5614" s="16" t="str">
        <f>IFERROR(VLOOKUP(C5614,DATA!#REF!,2,FALSE),"")</f>
        <v/>
      </c>
    </row>
    <row r="5615" spans="3:4" s="237" customFormat="1">
      <c r="C5615" s="16" t="str">
        <f>IFERROR(VLOOKUP(DATA!#REF!,DATA!#REF!,1,FALSE),"")</f>
        <v/>
      </c>
      <c r="D5615" s="16" t="str">
        <f>IFERROR(VLOOKUP(C5615,DATA!#REF!,2,FALSE),"")</f>
        <v/>
      </c>
    </row>
    <row r="5616" spans="3:4" s="237" customFormat="1">
      <c r="C5616" s="16" t="str">
        <f>IFERROR(VLOOKUP(DATA!#REF!,DATA!#REF!,1,FALSE),"")</f>
        <v/>
      </c>
      <c r="D5616" s="16" t="str">
        <f>IFERROR(VLOOKUP(C5616,DATA!#REF!,2,FALSE),"")</f>
        <v/>
      </c>
    </row>
    <row r="5617" spans="3:4" s="237" customFormat="1">
      <c r="C5617" s="16" t="str">
        <f>IFERROR(VLOOKUP(DATA!#REF!,DATA!#REF!,1,FALSE),"")</f>
        <v/>
      </c>
      <c r="D5617" s="16" t="str">
        <f>IFERROR(VLOOKUP(C5617,DATA!#REF!,2,FALSE),"")</f>
        <v/>
      </c>
    </row>
    <row r="5618" spans="3:4" s="237" customFormat="1">
      <c r="C5618" s="16" t="str">
        <f>IFERROR(VLOOKUP(DATA!#REF!,DATA!#REF!,1,FALSE),"")</f>
        <v/>
      </c>
      <c r="D5618" s="16" t="str">
        <f>IFERROR(VLOOKUP(C5618,DATA!#REF!,2,FALSE),"")</f>
        <v/>
      </c>
    </row>
    <row r="5619" spans="3:4" s="237" customFormat="1">
      <c r="C5619" s="16" t="str">
        <f>IFERROR(VLOOKUP(DATA!#REF!,DATA!#REF!,1,FALSE),"")</f>
        <v/>
      </c>
      <c r="D5619" s="16" t="str">
        <f>IFERROR(VLOOKUP(C5619,DATA!#REF!,2,FALSE),"")</f>
        <v/>
      </c>
    </row>
    <row r="5620" spans="3:4" s="237" customFormat="1">
      <c r="C5620" s="16" t="str">
        <f>IFERROR(VLOOKUP(DATA!#REF!,DATA!#REF!,1,FALSE),"")</f>
        <v/>
      </c>
      <c r="D5620" s="16" t="str">
        <f>IFERROR(VLOOKUP(C5620,DATA!#REF!,2,FALSE),"")</f>
        <v/>
      </c>
    </row>
    <row r="5621" spans="3:4" s="237" customFormat="1">
      <c r="C5621" s="16" t="str">
        <f>IFERROR(VLOOKUP(DATA!#REF!,DATA!#REF!,1,FALSE),"")</f>
        <v/>
      </c>
      <c r="D5621" s="16" t="str">
        <f>IFERROR(VLOOKUP(C5621,DATA!#REF!,2,FALSE),"")</f>
        <v/>
      </c>
    </row>
    <row r="5622" spans="3:4" s="237" customFormat="1">
      <c r="C5622" s="16" t="str">
        <f>IFERROR(VLOOKUP(DATA!#REF!,DATA!#REF!,1,FALSE),"")</f>
        <v/>
      </c>
      <c r="D5622" s="16" t="str">
        <f>IFERROR(VLOOKUP(C5622,DATA!#REF!,2,FALSE),"")</f>
        <v/>
      </c>
    </row>
    <row r="5623" spans="3:4" s="237" customFormat="1">
      <c r="C5623" s="16" t="str">
        <f>IFERROR(VLOOKUP(DATA!#REF!,DATA!#REF!,1,FALSE),"")</f>
        <v/>
      </c>
      <c r="D5623" s="16" t="str">
        <f>IFERROR(VLOOKUP(C5623,DATA!#REF!,2,FALSE),"")</f>
        <v/>
      </c>
    </row>
    <row r="5624" spans="3:4" s="237" customFormat="1">
      <c r="C5624" s="16" t="str">
        <f>IFERROR(VLOOKUP(DATA!#REF!,DATA!#REF!,1,FALSE),"")</f>
        <v/>
      </c>
      <c r="D5624" s="16" t="str">
        <f>IFERROR(VLOOKUP(C5624,DATA!#REF!,2,FALSE),"")</f>
        <v/>
      </c>
    </row>
    <row r="5625" spans="3:4" s="237" customFormat="1">
      <c r="C5625" s="16" t="str">
        <f>IFERROR(VLOOKUP(DATA!#REF!,DATA!#REF!,1,FALSE),"")</f>
        <v/>
      </c>
      <c r="D5625" s="16" t="str">
        <f>IFERROR(VLOOKUP(C5625,DATA!#REF!,2,FALSE),"")</f>
        <v/>
      </c>
    </row>
    <row r="5626" spans="3:4" s="237" customFormat="1">
      <c r="C5626" s="16" t="str">
        <f>IFERROR(VLOOKUP(DATA!#REF!,DATA!#REF!,1,FALSE),"")</f>
        <v/>
      </c>
      <c r="D5626" s="16" t="str">
        <f>IFERROR(VLOOKUP(C5626,DATA!#REF!,2,FALSE),"")</f>
        <v/>
      </c>
    </row>
    <row r="5627" spans="3:4" s="237" customFormat="1">
      <c r="C5627" s="16" t="str">
        <f>IFERROR(VLOOKUP(DATA!#REF!,DATA!#REF!,1,FALSE),"")</f>
        <v/>
      </c>
      <c r="D5627" s="16" t="str">
        <f>IFERROR(VLOOKUP(C5627,DATA!#REF!,2,FALSE),"")</f>
        <v/>
      </c>
    </row>
    <row r="5628" spans="3:4" s="237" customFormat="1">
      <c r="C5628" s="16" t="str">
        <f>IFERROR(VLOOKUP(DATA!#REF!,DATA!#REF!,1,FALSE),"")</f>
        <v/>
      </c>
      <c r="D5628" s="16" t="str">
        <f>IFERROR(VLOOKUP(C5628,DATA!#REF!,2,FALSE),"")</f>
        <v/>
      </c>
    </row>
    <row r="5629" spans="3:4" s="237" customFormat="1">
      <c r="C5629" s="16" t="str">
        <f>IFERROR(VLOOKUP(DATA!#REF!,DATA!#REF!,1,FALSE),"")</f>
        <v/>
      </c>
      <c r="D5629" s="16" t="str">
        <f>IFERROR(VLOOKUP(C5629,DATA!#REF!,2,FALSE),"")</f>
        <v/>
      </c>
    </row>
    <row r="5630" spans="3:4" s="237" customFormat="1">
      <c r="C5630" s="16" t="str">
        <f>IFERROR(VLOOKUP(DATA!#REF!,DATA!#REF!,1,FALSE),"")</f>
        <v/>
      </c>
      <c r="D5630" s="16" t="str">
        <f>IFERROR(VLOOKUP(C5630,DATA!#REF!,2,FALSE),"")</f>
        <v/>
      </c>
    </row>
    <row r="5631" spans="3:4" s="237" customFormat="1">
      <c r="C5631" s="16" t="str">
        <f>IFERROR(VLOOKUP(DATA!#REF!,DATA!#REF!,1,FALSE),"")</f>
        <v/>
      </c>
      <c r="D5631" s="16" t="str">
        <f>IFERROR(VLOOKUP(C5631,DATA!#REF!,2,FALSE),"")</f>
        <v/>
      </c>
    </row>
    <row r="5632" spans="3:4" s="237" customFormat="1">
      <c r="C5632" s="16" t="str">
        <f>IFERROR(VLOOKUP(DATA!#REF!,DATA!#REF!,1,FALSE),"")</f>
        <v/>
      </c>
      <c r="D5632" s="16" t="str">
        <f>IFERROR(VLOOKUP(C5632,DATA!#REF!,2,FALSE),"")</f>
        <v/>
      </c>
    </row>
    <row r="5633" spans="3:4" s="237" customFormat="1">
      <c r="C5633" s="16" t="str">
        <f>IFERROR(VLOOKUP(DATA!#REF!,DATA!#REF!,1,FALSE),"")</f>
        <v/>
      </c>
      <c r="D5633" s="16" t="str">
        <f>IFERROR(VLOOKUP(C5633,DATA!#REF!,2,FALSE),"")</f>
        <v/>
      </c>
    </row>
    <row r="5634" spans="3:4" s="237" customFormat="1">
      <c r="C5634" s="16" t="str">
        <f>IFERROR(VLOOKUP(DATA!#REF!,DATA!#REF!,1,FALSE),"")</f>
        <v/>
      </c>
      <c r="D5634" s="16" t="str">
        <f>IFERROR(VLOOKUP(C5634,DATA!#REF!,2,FALSE),"")</f>
        <v/>
      </c>
    </row>
    <row r="5635" spans="3:4" s="237" customFormat="1">
      <c r="C5635" s="16" t="str">
        <f>IFERROR(VLOOKUP(DATA!#REF!,DATA!#REF!,1,FALSE),"")</f>
        <v/>
      </c>
      <c r="D5635" s="16" t="str">
        <f>IFERROR(VLOOKUP(C5635,DATA!#REF!,2,FALSE),"")</f>
        <v/>
      </c>
    </row>
    <row r="5636" spans="3:4" s="237" customFormat="1">
      <c r="C5636" s="16" t="str">
        <f>IFERROR(VLOOKUP(DATA!#REF!,DATA!#REF!,1,FALSE),"")</f>
        <v/>
      </c>
      <c r="D5636" s="16" t="str">
        <f>IFERROR(VLOOKUP(C5636,DATA!#REF!,2,FALSE),"")</f>
        <v/>
      </c>
    </row>
    <row r="5637" spans="3:4" s="237" customFormat="1">
      <c r="C5637" s="16" t="str">
        <f>IFERROR(VLOOKUP(DATA!#REF!,DATA!#REF!,1,FALSE),"")</f>
        <v/>
      </c>
      <c r="D5637" s="16" t="str">
        <f>IFERROR(VLOOKUP(C5637,DATA!#REF!,2,FALSE),"")</f>
        <v/>
      </c>
    </row>
    <row r="5638" spans="3:4" s="237" customFormat="1">
      <c r="C5638" s="16" t="str">
        <f>IFERROR(VLOOKUP(DATA!#REF!,DATA!#REF!,1,FALSE),"")</f>
        <v/>
      </c>
      <c r="D5638" s="16" t="str">
        <f>IFERROR(VLOOKUP(C5638,DATA!#REF!,2,FALSE),"")</f>
        <v/>
      </c>
    </row>
    <row r="5639" spans="3:4" s="237" customFormat="1">
      <c r="C5639" s="16" t="str">
        <f>IFERROR(VLOOKUP(DATA!#REF!,DATA!#REF!,1,FALSE),"")</f>
        <v/>
      </c>
      <c r="D5639" s="16" t="str">
        <f>IFERROR(VLOOKUP(C5639,DATA!#REF!,2,FALSE),"")</f>
        <v/>
      </c>
    </row>
    <row r="5640" spans="3:4" s="237" customFormat="1">
      <c r="C5640" s="16" t="str">
        <f>IFERROR(VLOOKUP(DATA!#REF!,DATA!#REF!,1,FALSE),"")</f>
        <v/>
      </c>
      <c r="D5640" s="16" t="str">
        <f>IFERROR(VLOOKUP(C5640,DATA!#REF!,2,FALSE),"")</f>
        <v/>
      </c>
    </row>
    <row r="5641" spans="3:4" s="237" customFormat="1">
      <c r="C5641" s="16" t="str">
        <f>IFERROR(VLOOKUP(DATA!#REF!,DATA!#REF!,1,FALSE),"")</f>
        <v/>
      </c>
      <c r="D5641" s="16" t="str">
        <f>IFERROR(VLOOKUP(C5641,DATA!#REF!,2,FALSE),"")</f>
        <v/>
      </c>
    </row>
    <row r="5642" spans="3:4" s="237" customFormat="1">
      <c r="C5642" s="16" t="str">
        <f>IFERROR(VLOOKUP(DATA!#REF!,DATA!#REF!,1,FALSE),"")</f>
        <v/>
      </c>
      <c r="D5642" s="16" t="str">
        <f>IFERROR(VLOOKUP(C5642,DATA!#REF!,2,FALSE),"")</f>
        <v/>
      </c>
    </row>
    <row r="5643" spans="3:4" s="237" customFormat="1">
      <c r="C5643" s="16" t="str">
        <f>IFERROR(VLOOKUP(DATA!#REF!,DATA!#REF!,1,FALSE),"")</f>
        <v/>
      </c>
      <c r="D5643" s="16" t="str">
        <f>IFERROR(VLOOKUP(C5643,DATA!#REF!,2,FALSE),"")</f>
        <v/>
      </c>
    </row>
    <row r="5644" spans="3:4" s="237" customFormat="1">
      <c r="C5644" s="16" t="str">
        <f>IFERROR(VLOOKUP(DATA!#REF!,DATA!#REF!,1,FALSE),"")</f>
        <v/>
      </c>
      <c r="D5644" s="16" t="str">
        <f>IFERROR(VLOOKUP(C5644,DATA!#REF!,2,FALSE),"")</f>
        <v/>
      </c>
    </row>
    <row r="5645" spans="3:4" s="237" customFormat="1">
      <c r="C5645" s="16" t="str">
        <f>IFERROR(VLOOKUP(DATA!#REF!,DATA!#REF!,1,FALSE),"")</f>
        <v/>
      </c>
      <c r="D5645" s="16" t="str">
        <f>IFERROR(VLOOKUP(C5645,DATA!#REF!,2,FALSE),"")</f>
        <v/>
      </c>
    </row>
    <row r="5646" spans="3:4" s="237" customFormat="1">
      <c r="C5646" s="16" t="str">
        <f>IFERROR(VLOOKUP(DATA!#REF!,DATA!#REF!,1,FALSE),"")</f>
        <v/>
      </c>
      <c r="D5646" s="16" t="str">
        <f>IFERROR(VLOOKUP(C5646,DATA!#REF!,2,FALSE),"")</f>
        <v/>
      </c>
    </row>
    <row r="5647" spans="3:4" s="237" customFormat="1">
      <c r="C5647" s="16" t="str">
        <f>IFERROR(VLOOKUP(DATA!#REF!,DATA!#REF!,1,FALSE),"")</f>
        <v/>
      </c>
      <c r="D5647" s="16" t="str">
        <f>IFERROR(VLOOKUP(C5647,DATA!#REF!,2,FALSE),"")</f>
        <v/>
      </c>
    </row>
    <row r="5648" spans="3:4" s="237" customFormat="1">
      <c r="C5648" s="16" t="str">
        <f>IFERROR(VLOOKUP(DATA!#REF!,DATA!#REF!,1,FALSE),"")</f>
        <v/>
      </c>
      <c r="D5648" s="16" t="str">
        <f>IFERROR(VLOOKUP(C5648,DATA!#REF!,2,FALSE),"")</f>
        <v/>
      </c>
    </row>
    <row r="5649" spans="3:4" s="237" customFormat="1">
      <c r="C5649" s="16" t="str">
        <f>IFERROR(VLOOKUP(DATA!#REF!,DATA!#REF!,1,FALSE),"")</f>
        <v/>
      </c>
      <c r="D5649" s="16" t="str">
        <f>IFERROR(VLOOKUP(C5649,DATA!#REF!,2,FALSE),"")</f>
        <v/>
      </c>
    </row>
    <row r="5650" spans="3:4" s="237" customFormat="1">
      <c r="C5650" s="16" t="str">
        <f>IFERROR(VLOOKUP(DATA!#REF!,DATA!#REF!,1,FALSE),"")</f>
        <v/>
      </c>
      <c r="D5650" s="16" t="str">
        <f>IFERROR(VLOOKUP(C5650,DATA!#REF!,2,FALSE),"")</f>
        <v/>
      </c>
    </row>
    <row r="5651" spans="3:4" s="237" customFormat="1">
      <c r="C5651" s="16" t="str">
        <f>IFERROR(VLOOKUP(DATA!#REF!,DATA!#REF!,1,FALSE),"")</f>
        <v/>
      </c>
      <c r="D5651" s="16" t="str">
        <f>IFERROR(VLOOKUP(C5651,DATA!#REF!,2,FALSE),"")</f>
        <v/>
      </c>
    </row>
    <row r="5652" spans="3:4" s="237" customFormat="1">
      <c r="C5652" s="16" t="str">
        <f>IFERROR(VLOOKUP(DATA!#REF!,DATA!#REF!,1,FALSE),"")</f>
        <v/>
      </c>
      <c r="D5652" s="16" t="str">
        <f>IFERROR(VLOOKUP(C5652,DATA!#REF!,2,FALSE),"")</f>
        <v/>
      </c>
    </row>
    <row r="5653" spans="3:4" s="237" customFormat="1">
      <c r="C5653" s="16" t="str">
        <f>IFERROR(VLOOKUP(DATA!#REF!,DATA!#REF!,1,FALSE),"")</f>
        <v/>
      </c>
      <c r="D5653" s="16" t="str">
        <f>IFERROR(VLOOKUP(C5653,DATA!#REF!,2,FALSE),"")</f>
        <v/>
      </c>
    </row>
    <row r="5654" spans="3:4" s="237" customFormat="1">
      <c r="C5654" s="16" t="str">
        <f>IFERROR(VLOOKUP(DATA!#REF!,DATA!#REF!,1,FALSE),"")</f>
        <v/>
      </c>
      <c r="D5654" s="16" t="str">
        <f>IFERROR(VLOOKUP(C5654,DATA!#REF!,2,FALSE),"")</f>
        <v/>
      </c>
    </row>
    <row r="5655" spans="3:4" s="237" customFormat="1">
      <c r="C5655" s="16" t="str">
        <f>IFERROR(VLOOKUP(DATA!#REF!,DATA!#REF!,1,FALSE),"")</f>
        <v/>
      </c>
      <c r="D5655" s="16" t="str">
        <f>IFERROR(VLOOKUP(C5655,DATA!#REF!,2,FALSE),"")</f>
        <v/>
      </c>
    </row>
    <row r="5656" spans="3:4" s="237" customFormat="1">
      <c r="C5656" s="16" t="str">
        <f>IFERROR(VLOOKUP(DATA!#REF!,DATA!#REF!,1,FALSE),"")</f>
        <v/>
      </c>
      <c r="D5656" s="16" t="str">
        <f>IFERROR(VLOOKUP(C5656,DATA!#REF!,2,FALSE),"")</f>
        <v/>
      </c>
    </row>
    <row r="5657" spans="3:4" s="237" customFormat="1">
      <c r="C5657" s="16" t="str">
        <f>IFERROR(VLOOKUP(DATA!#REF!,DATA!#REF!,1,FALSE),"")</f>
        <v/>
      </c>
      <c r="D5657" s="16" t="str">
        <f>IFERROR(VLOOKUP(C5657,DATA!#REF!,2,FALSE),"")</f>
        <v/>
      </c>
    </row>
    <row r="5658" spans="3:4" s="237" customFormat="1">
      <c r="C5658" s="16" t="str">
        <f>IFERROR(VLOOKUP(DATA!#REF!,DATA!#REF!,1,FALSE),"")</f>
        <v/>
      </c>
      <c r="D5658" s="16" t="str">
        <f>IFERROR(VLOOKUP(C5658,DATA!#REF!,2,FALSE),"")</f>
        <v/>
      </c>
    </row>
    <row r="5659" spans="3:4" s="237" customFormat="1">
      <c r="C5659" s="16" t="str">
        <f>IFERROR(VLOOKUP(DATA!#REF!,DATA!#REF!,1,FALSE),"")</f>
        <v/>
      </c>
      <c r="D5659" s="16" t="str">
        <f>IFERROR(VLOOKUP(C5659,DATA!#REF!,2,FALSE),"")</f>
        <v/>
      </c>
    </row>
    <row r="5660" spans="3:4" s="237" customFormat="1">
      <c r="C5660" s="16" t="str">
        <f>IFERROR(VLOOKUP(DATA!#REF!,DATA!#REF!,1,FALSE),"")</f>
        <v/>
      </c>
      <c r="D5660" s="16" t="str">
        <f>IFERROR(VLOOKUP(C5660,DATA!#REF!,2,FALSE),"")</f>
        <v/>
      </c>
    </row>
    <row r="5661" spans="3:4" s="237" customFormat="1">
      <c r="C5661" s="16" t="str">
        <f>IFERROR(VLOOKUP(DATA!#REF!,DATA!#REF!,1,FALSE),"")</f>
        <v/>
      </c>
      <c r="D5661" s="16" t="str">
        <f>IFERROR(VLOOKUP(C5661,DATA!#REF!,2,FALSE),"")</f>
        <v/>
      </c>
    </row>
    <row r="5662" spans="3:4" s="237" customFormat="1">
      <c r="C5662" s="16" t="str">
        <f>IFERROR(VLOOKUP(DATA!#REF!,DATA!#REF!,1,FALSE),"")</f>
        <v/>
      </c>
      <c r="D5662" s="16" t="str">
        <f>IFERROR(VLOOKUP(C5662,DATA!#REF!,2,FALSE),"")</f>
        <v/>
      </c>
    </row>
    <row r="5663" spans="3:4" s="237" customFormat="1">
      <c r="C5663" s="16" t="str">
        <f>IFERROR(VLOOKUP(DATA!#REF!,DATA!#REF!,1,FALSE),"")</f>
        <v/>
      </c>
      <c r="D5663" s="16" t="str">
        <f>IFERROR(VLOOKUP(C5663,DATA!#REF!,2,FALSE),"")</f>
        <v/>
      </c>
    </row>
    <row r="5664" spans="3:4" s="237" customFormat="1">
      <c r="C5664" s="16" t="str">
        <f>IFERROR(VLOOKUP(DATA!#REF!,DATA!#REF!,1,FALSE),"")</f>
        <v/>
      </c>
      <c r="D5664" s="16" t="str">
        <f>IFERROR(VLOOKUP(C5664,DATA!#REF!,2,FALSE),"")</f>
        <v/>
      </c>
    </row>
    <row r="5665" spans="3:4" s="237" customFormat="1">
      <c r="C5665" s="16" t="str">
        <f>IFERROR(VLOOKUP(DATA!#REF!,DATA!#REF!,1,FALSE),"")</f>
        <v/>
      </c>
      <c r="D5665" s="16" t="str">
        <f>IFERROR(VLOOKUP(C5665,DATA!#REF!,2,FALSE),"")</f>
        <v/>
      </c>
    </row>
    <row r="5666" spans="3:4" s="237" customFormat="1">
      <c r="C5666" s="16" t="str">
        <f>IFERROR(VLOOKUP(DATA!#REF!,DATA!#REF!,1,FALSE),"")</f>
        <v/>
      </c>
      <c r="D5666" s="16" t="str">
        <f>IFERROR(VLOOKUP(C5666,DATA!#REF!,2,FALSE),"")</f>
        <v/>
      </c>
    </row>
    <row r="5667" spans="3:4" s="237" customFormat="1">
      <c r="C5667" s="16" t="str">
        <f>IFERROR(VLOOKUP(DATA!#REF!,DATA!#REF!,1,FALSE),"")</f>
        <v/>
      </c>
      <c r="D5667" s="16" t="str">
        <f>IFERROR(VLOOKUP(C5667,DATA!#REF!,2,FALSE),"")</f>
        <v/>
      </c>
    </row>
    <row r="5668" spans="3:4" s="237" customFormat="1">
      <c r="C5668" s="16" t="str">
        <f>IFERROR(VLOOKUP(DATA!#REF!,DATA!#REF!,1,FALSE),"")</f>
        <v/>
      </c>
      <c r="D5668" s="16" t="str">
        <f>IFERROR(VLOOKUP(C5668,DATA!#REF!,2,FALSE),"")</f>
        <v/>
      </c>
    </row>
    <row r="5669" spans="3:4" s="237" customFormat="1">
      <c r="C5669" s="16" t="str">
        <f>IFERROR(VLOOKUP(DATA!#REF!,DATA!#REF!,1,FALSE),"")</f>
        <v/>
      </c>
      <c r="D5669" s="16" t="str">
        <f>IFERROR(VLOOKUP(C5669,DATA!#REF!,2,FALSE),"")</f>
        <v/>
      </c>
    </row>
    <row r="5670" spans="3:4" s="237" customFormat="1">
      <c r="C5670" s="16" t="str">
        <f>IFERROR(VLOOKUP(DATA!#REF!,DATA!#REF!,1,FALSE),"")</f>
        <v/>
      </c>
      <c r="D5670" s="16" t="str">
        <f>IFERROR(VLOOKUP(C5670,DATA!#REF!,2,FALSE),"")</f>
        <v/>
      </c>
    </row>
    <row r="5671" spans="3:4" s="237" customFormat="1">
      <c r="C5671" s="16" t="str">
        <f>IFERROR(VLOOKUP(DATA!#REF!,DATA!#REF!,1,FALSE),"")</f>
        <v/>
      </c>
      <c r="D5671" s="16" t="str">
        <f>IFERROR(VLOOKUP(C5671,DATA!#REF!,2,FALSE),"")</f>
        <v/>
      </c>
    </row>
    <row r="5672" spans="3:4" s="237" customFormat="1">
      <c r="C5672" s="16" t="str">
        <f>IFERROR(VLOOKUP(DATA!#REF!,DATA!#REF!,1,FALSE),"")</f>
        <v/>
      </c>
      <c r="D5672" s="16" t="str">
        <f>IFERROR(VLOOKUP(C5672,DATA!#REF!,2,FALSE),"")</f>
        <v/>
      </c>
    </row>
    <row r="5673" spans="3:4" s="237" customFormat="1">
      <c r="C5673" s="16" t="str">
        <f>IFERROR(VLOOKUP(DATA!#REF!,DATA!#REF!,1,FALSE),"")</f>
        <v/>
      </c>
      <c r="D5673" s="16" t="str">
        <f>IFERROR(VLOOKUP(C5673,DATA!#REF!,2,FALSE),"")</f>
        <v/>
      </c>
    </row>
    <row r="5674" spans="3:4" s="237" customFormat="1">
      <c r="C5674" s="16" t="str">
        <f>IFERROR(VLOOKUP(DATA!#REF!,DATA!#REF!,1,FALSE),"")</f>
        <v/>
      </c>
      <c r="D5674" s="16" t="str">
        <f>IFERROR(VLOOKUP(C5674,DATA!#REF!,2,FALSE),"")</f>
        <v/>
      </c>
    </row>
    <row r="5675" spans="3:4" s="237" customFormat="1">
      <c r="C5675" s="16" t="str">
        <f>IFERROR(VLOOKUP(DATA!#REF!,DATA!#REF!,1,FALSE),"")</f>
        <v/>
      </c>
      <c r="D5675" s="16" t="str">
        <f>IFERROR(VLOOKUP(C5675,DATA!#REF!,2,FALSE),"")</f>
        <v/>
      </c>
    </row>
    <row r="5676" spans="3:4" s="237" customFormat="1">
      <c r="C5676" s="16" t="str">
        <f>IFERROR(VLOOKUP(DATA!#REF!,DATA!#REF!,1,FALSE),"")</f>
        <v/>
      </c>
      <c r="D5676" s="16" t="str">
        <f>IFERROR(VLOOKUP(C5676,DATA!#REF!,2,FALSE),"")</f>
        <v/>
      </c>
    </row>
    <row r="5677" spans="3:4" s="237" customFormat="1">
      <c r="C5677" s="16" t="str">
        <f>IFERROR(VLOOKUP(DATA!#REF!,DATA!#REF!,1,FALSE),"")</f>
        <v/>
      </c>
      <c r="D5677" s="16" t="str">
        <f>IFERROR(VLOOKUP(C5677,DATA!#REF!,2,FALSE),"")</f>
        <v/>
      </c>
    </row>
    <row r="5678" spans="3:4" s="237" customFormat="1">
      <c r="C5678" s="16" t="str">
        <f>IFERROR(VLOOKUP(DATA!#REF!,DATA!#REF!,1,FALSE),"")</f>
        <v/>
      </c>
      <c r="D5678" s="16" t="str">
        <f>IFERROR(VLOOKUP(C5678,DATA!#REF!,2,FALSE),"")</f>
        <v/>
      </c>
    </row>
    <row r="5679" spans="3:4" s="237" customFormat="1">
      <c r="C5679" s="16" t="str">
        <f>IFERROR(VLOOKUP(DATA!#REF!,DATA!#REF!,1,FALSE),"")</f>
        <v/>
      </c>
      <c r="D5679" s="16" t="str">
        <f>IFERROR(VLOOKUP(C5679,DATA!#REF!,2,FALSE),"")</f>
        <v/>
      </c>
    </row>
    <row r="5680" spans="3:4" s="237" customFormat="1">
      <c r="C5680" s="16" t="str">
        <f>IFERROR(VLOOKUP(DATA!#REF!,DATA!#REF!,1,FALSE),"")</f>
        <v/>
      </c>
      <c r="D5680" s="16" t="str">
        <f>IFERROR(VLOOKUP(C5680,DATA!#REF!,2,FALSE),"")</f>
        <v/>
      </c>
    </row>
    <row r="5681" spans="3:4" s="237" customFormat="1">
      <c r="C5681" s="16" t="str">
        <f>IFERROR(VLOOKUP(DATA!#REF!,DATA!#REF!,1,FALSE),"")</f>
        <v/>
      </c>
      <c r="D5681" s="16" t="str">
        <f>IFERROR(VLOOKUP(C5681,DATA!#REF!,2,FALSE),"")</f>
        <v/>
      </c>
    </row>
    <row r="5682" spans="3:4" s="237" customFormat="1">
      <c r="C5682" s="16" t="str">
        <f>IFERROR(VLOOKUP(DATA!#REF!,DATA!#REF!,1,FALSE),"")</f>
        <v/>
      </c>
      <c r="D5682" s="16" t="str">
        <f>IFERROR(VLOOKUP(C5682,DATA!#REF!,2,FALSE),"")</f>
        <v/>
      </c>
    </row>
    <row r="5683" spans="3:4" s="237" customFormat="1">
      <c r="C5683" s="16" t="str">
        <f>IFERROR(VLOOKUP(DATA!#REF!,DATA!#REF!,1,FALSE),"")</f>
        <v/>
      </c>
      <c r="D5683" s="16" t="str">
        <f>IFERROR(VLOOKUP(C5683,DATA!#REF!,2,FALSE),"")</f>
        <v/>
      </c>
    </row>
  </sheetData>
  <autoFilter ref="B5:R5683"/>
  <mergeCells count="2">
    <mergeCell ref="F4:I4"/>
    <mergeCell ref="K4:N4"/>
  </mergeCells>
  <conditionalFormatting sqref="F6:N125 B6:D125 B9:B2197 E9:N204 C9:D5683">
    <cfRule type="expression" dxfId="10895" priority="39">
      <formula>"$c6&lt;&gt;,"""""</formula>
    </cfRule>
  </conditionalFormatting>
  <conditionalFormatting sqref="F6:N125 B6:D125 B9:B2367 E9:N2367 C9:D5683">
    <cfRule type="expression" dxfId="10894" priority="38">
      <formula>"$C6&lt;&gt;"""""</formula>
    </cfRule>
  </conditionalFormatting>
  <conditionalFormatting sqref="F6:N125 B6:D125 B9:N14120">
    <cfRule type="expression" dxfId="10893" priority="37">
      <formula>$C6&lt;&gt;""</formula>
    </cfRule>
  </conditionalFormatting>
  <conditionalFormatting sqref="E6:E146">
    <cfRule type="expression" dxfId="10892" priority="36">
      <formula>"$c6&lt;&gt;,"""""</formula>
    </cfRule>
  </conditionalFormatting>
  <conditionalFormatting sqref="E6:E146">
    <cfRule type="expression" dxfId="10891" priority="35">
      <formula>"$C6&lt;&gt;"""""</formula>
    </cfRule>
  </conditionalFormatting>
  <conditionalFormatting sqref="E6:E146">
    <cfRule type="expression" dxfId="10890" priority="34">
      <formula>$C6&lt;&gt;""</formula>
    </cfRule>
  </conditionalFormatting>
  <conditionalFormatting sqref="F6:N143 J143:J145 M143:N145 F142:I146 K143:L167">
    <cfRule type="expression" dxfId="10889" priority="31">
      <formula>"$c6&lt;&gt;,"""""</formula>
    </cfRule>
  </conditionalFormatting>
  <conditionalFormatting sqref="F6:N143 J143:J145 M143:N145 F142:I146 K143:L167">
    <cfRule type="expression" dxfId="10888" priority="30">
      <formula>"$C6&lt;&gt;"""""</formula>
    </cfRule>
  </conditionalFormatting>
  <conditionalFormatting sqref="F6:N143 J143:J145 M143:N145 F142:I146 K143:L167">
    <cfRule type="expression" dxfId="10887" priority="29">
      <formula>$C6&lt;&gt;""</formula>
    </cfRule>
  </conditionalFormatting>
  <conditionalFormatting sqref="E126">
    <cfRule type="expression" dxfId="10886" priority="26">
      <formula>"$c6&lt;&gt;,"""""</formula>
    </cfRule>
  </conditionalFormatting>
  <conditionalFormatting sqref="E126">
    <cfRule type="expression" dxfId="10885" priority="25">
      <formula>"$C6&lt;&gt;"""""</formula>
    </cfRule>
  </conditionalFormatting>
  <conditionalFormatting sqref="E126">
    <cfRule type="expression" dxfId="10884" priority="24">
      <formula>$C126&lt;&gt;""</formula>
    </cfRule>
  </conditionalFormatting>
  <conditionalFormatting sqref="F126:N126">
    <cfRule type="expression" dxfId="10883" priority="21">
      <formula>"$c6&lt;&gt;,"""""</formula>
    </cfRule>
  </conditionalFormatting>
  <conditionalFormatting sqref="F126:N126">
    <cfRule type="expression" dxfId="10882" priority="20">
      <formula>"$C6&lt;&gt;"""""</formula>
    </cfRule>
  </conditionalFormatting>
  <conditionalFormatting sqref="F126:N126">
    <cfRule type="expression" dxfId="10881" priority="19">
      <formula>$C126&lt;&gt;""</formula>
    </cfRule>
  </conditionalFormatting>
  <conditionalFormatting sqref="M146:N146">
    <cfRule type="expression" dxfId="10880" priority="18">
      <formula>"$c6&lt;&gt;,"""""</formula>
    </cfRule>
  </conditionalFormatting>
  <conditionalFormatting sqref="M146:N146">
    <cfRule type="expression" dxfId="10879" priority="17">
      <formula>"$C6&lt;&gt;"""""</formula>
    </cfRule>
  </conditionalFormatting>
  <conditionalFormatting sqref="M146:N146">
    <cfRule type="expression" dxfId="10878" priority="16">
      <formula>$C146&lt;&gt;""</formula>
    </cfRule>
  </conditionalFormatting>
  <conditionalFormatting sqref="J146">
    <cfRule type="expression" dxfId="10877" priority="15">
      <formula>"$c6&lt;&gt;,"""""</formula>
    </cfRule>
  </conditionalFormatting>
  <conditionalFormatting sqref="J146">
    <cfRule type="expression" dxfId="10876" priority="14">
      <formula>"$C6&lt;&gt;"""""</formula>
    </cfRule>
  </conditionalFormatting>
  <conditionalFormatting sqref="J146">
    <cfRule type="expression" dxfId="10875" priority="13">
      <formula>$C146&lt;&gt;""</formula>
    </cfRule>
  </conditionalFormatting>
  <conditionalFormatting sqref="E147:E167">
    <cfRule type="expression" dxfId="10874" priority="12">
      <formula>"$c6&lt;&gt;,"""""</formula>
    </cfRule>
  </conditionalFormatting>
  <conditionalFormatting sqref="E147:E167">
    <cfRule type="expression" dxfId="10873" priority="11">
      <formula>"$C6&lt;&gt;"""""</formula>
    </cfRule>
  </conditionalFormatting>
  <conditionalFormatting sqref="E147:E167">
    <cfRule type="expression" dxfId="10872" priority="10">
      <formula>$C147&lt;&gt;""</formula>
    </cfRule>
  </conditionalFormatting>
  <conditionalFormatting sqref="F147:I167">
    <cfRule type="expression" dxfId="10871" priority="9">
      <formula>"$c6&lt;&gt;,"""""</formula>
    </cfRule>
  </conditionalFormatting>
  <conditionalFormatting sqref="F147:I167">
    <cfRule type="expression" dxfId="10870" priority="8">
      <formula>"$C6&lt;&gt;"""""</formula>
    </cfRule>
  </conditionalFormatting>
  <conditionalFormatting sqref="F147:I167">
    <cfRule type="expression" dxfId="10869" priority="7">
      <formula>$C147&lt;&gt;""</formula>
    </cfRule>
  </conditionalFormatting>
  <conditionalFormatting sqref="M147:N167">
    <cfRule type="expression" dxfId="10868" priority="6">
      <formula>"$c6&lt;&gt;,"""""</formula>
    </cfRule>
  </conditionalFormatting>
  <conditionalFormatting sqref="M147:N167">
    <cfRule type="expression" dxfId="10867" priority="5">
      <formula>"$C6&lt;&gt;"""""</formula>
    </cfRule>
  </conditionalFormatting>
  <conditionalFormatting sqref="M147:N167">
    <cfRule type="expression" dxfId="10866" priority="4">
      <formula>$C147&lt;&gt;""</formula>
    </cfRule>
  </conditionalFormatting>
  <conditionalFormatting sqref="J147:J167">
    <cfRule type="expression" dxfId="10865" priority="3">
      <formula>"$c6&lt;&gt;,"""""</formula>
    </cfRule>
  </conditionalFormatting>
  <conditionalFormatting sqref="J147:J167">
    <cfRule type="expression" dxfId="10864" priority="2">
      <formula>"$C6&lt;&gt;"""""</formula>
    </cfRule>
  </conditionalFormatting>
  <conditionalFormatting sqref="J147:J167">
    <cfRule type="expression" dxfId="10863" priority="1">
      <formula>$C147&lt;&gt;""</formula>
    </cfRule>
  </conditionalFormatting>
  <pageMargins left="0.7" right="0.7" top="0.75" bottom="0.75" header="0.3" footer="0.3"/>
  <pageSetup scale="56" fitToHeight="0" orientation="landscape" horizontalDpi="0" verticalDpi="0" r:id="rId1"/>
  <legacyDrawing r:id="rId2"/>
</worksheet>
</file>

<file path=xl/worksheets/sheet7.xml><?xml version="1.0" encoding="utf-8"?>
<worksheet xmlns="http://schemas.openxmlformats.org/spreadsheetml/2006/main" xmlns:r="http://schemas.openxmlformats.org/officeDocument/2006/relationships">
  <sheetPr>
    <pageSetUpPr fitToPage="1"/>
  </sheetPr>
  <dimension ref="A1:AE92"/>
  <sheetViews>
    <sheetView workbookViewId="0">
      <pane xSplit="4" ySplit="7" topLeftCell="H8" activePane="bottomRight" state="frozen"/>
      <selection pane="topRight" activeCell="E1" sqref="E1"/>
      <selection pane="bottomLeft" activeCell="A8" sqref="A8"/>
      <selection pane="bottomRight" activeCell="B21" sqref="B21"/>
    </sheetView>
  </sheetViews>
  <sheetFormatPr defaultRowHeight="12.75"/>
  <cols>
    <col min="1" max="1" width="5" style="86" customWidth="1"/>
    <col min="2" max="2" width="8.28515625" style="86" customWidth="1"/>
    <col min="3" max="3" width="28.140625" style="87" customWidth="1"/>
    <col min="4" max="4" width="6" style="178" customWidth="1"/>
    <col min="5" max="5" width="9.5703125" style="87" bestFit="1" customWidth="1"/>
    <col min="6" max="6" width="12" style="87" bestFit="1" customWidth="1"/>
    <col min="7" max="7" width="12.85546875" style="87" bestFit="1" customWidth="1"/>
    <col min="8" max="8" width="12.5703125" style="87" customWidth="1"/>
    <col min="9" max="9" width="13.5703125" style="87" customWidth="1"/>
    <col min="10" max="10" width="14.5703125" style="87" customWidth="1"/>
    <col min="11" max="11" width="11.140625" style="87" customWidth="1"/>
    <col min="12" max="12" width="12" style="87" customWidth="1"/>
    <col min="13" max="13" width="14.7109375" style="87" customWidth="1"/>
    <col min="14" max="14" width="10.28515625" style="87" customWidth="1"/>
    <col min="15" max="15" width="13.140625" style="87" customWidth="1"/>
    <col min="16" max="16" width="15" style="87" customWidth="1"/>
    <col min="17" max="17" width="10.28515625" style="240" customWidth="1"/>
    <col min="18" max="18" width="14" style="87" bestFit="1" customWidth="1"/>
    <col min="19" max="19" width="14.28515625" style="87" bestFit="1" customWidth="1"/>
    <col min="20" max="20" width="7.7109375" style="86" customWidth="1"/>
    <col min="21" max="21" width="13.5703125" style="87" bestFit="1" customWidth="1"/>
    <col min="22" max="22" width="13.5703125" style="15" customWidth="1"/>
    <col min="23" max="23" width="33.28515625" style="87" customWidth="1"/>
    <col min="24" max="24" width="18.42578125" style="87" customWidth="1"/>
    <col min="25" max="26" width="16" style="87" bestFit="1" customWidth="1"/>
    <col min="27" max="27" width="14.5703125" style="87" bestFit="1" customWidth="1"/>
    <col min="28" max="28" width="12.42578125" style="87" bestFit="1" customWidth="1"/>
    <col min="29" max="29" width="14.5703125" style="87" bestFit="1" customWidth="1"/>
    <col min="30" max="30" width="13.5703125" style="87" bestFit="1" customWidth="1"/>
    <col min="31" max="16384" width="9.140625" style="87"/>
  </cols>
  <sheetData>
    <row r="1" spans="1:31">
      <c r="A1" s="85"/>
      <c r="D1" s="178" t="s">
        <v>260</v>
      </c>
      <c r="E1" s="106">
        <f t="shared" ref="E1:S1" si="0">+SUM(E8:E7986)</f>
        <v>43616.710000000006</v>
      </c>
      <c r="F1" s="106">
        <f t="shared" si="0"/>
        <v>12285401.712126181</v>
      </c>
      <c r="G1" s="106">
        <f t="shared" si="0"/>
        <v>868861964.67000031</v>
      </c>
      <c r="H1" s="106">
        <f t="shared" ca="1" si="0"/>
        <v>43616.710000000006</v>
      </c>
      <c r="I1" s="106">
        <f t="shared" ca="1" si="0"/>
        <v>12276216.712126181</v>
      </c>
      <c r="J1" s="106">
        <f t="shared" ca="1" si="0"/>
        <v>868861964.67000031</v>
      </c>
      <c r="K1" s="106">
        <f ca="1">+SUM(K8:K7986)</f>
        <v>28767.38</v>
      </c>
      <c r="L1" s="106">
        <f t="shared" ca="1" si="0"/>
        <v>4167834.2837396865</v>
      </c>
      <c r="M1" s="106">
        <f t="shared" ca="1" si="0"/>
        <v>596743528.87857378</v>
      </c>
      <c r="N1" s="106">
        <f t="shared" ca="1" si="0"/>
        <v>49726.977818181826</v>
      </c>
      <c r="O1" s="106">
        <f t="shared" ca="1" si="0"/>
        <v>2379461.5995098632</v>
      </c>
      <c r="P1" s="106">
        <f t="shared" ca="1" si="0"/>
        <v>704901976.56470597</v>
      </c>
      <c r="Q1" s="239">
        <f t="shared" ca="1" si="0"/>
        <v>22657.112181818182</v>
      </c>
      <c r="R1" s="106">
        <f t="shared" ca="1" si="0"/>
        <v>15129926.977612179</v>
      </c>
      <c r="S1" s="106">
        <f t="shared" ca="1" si="0"/>
        <v>760703516.98386788</v>
      </c>
      <c r="V1" s="782" t="s">
        <v>317</v>
      </c>
      <c r="W1" s="782" t="s">
        <v>2365</v>
      </c>
      <c r="X1" s="782" t="s">
        <v>11</v>
      </c>
      <c r="Y1" s="782" t="s">
        <v>261</v>
      </c>
      <c r="Z1" s="782" t="s">
        <v>262</v>
      </c>
      <c r="AA1" s="782" t="s">
        <v>10</v>
      </c>
      <c r="AB1" s="783" t="s">
        <v>2366</v>
      </c>
    </row>
    <row r="2" spans="1:31">
      <c r="A2" s="96"/>
      <c r="B2" s="85"/>
      <c r="G2" s="87">
        <f>+STAT1!H36+STAT1!H57+STAT1!H58+STAT1!H62+STAT1!H63+STAT1!H64+STAT1!H65</f>
        <v>868861964.66999996</v>
      </c>
      <c r="J2" s="87">
        <f>+STAT1!H36+STAT1!H57+STAT1!H58+STAT1!H62+STAT1!H63+STAT1!H64+STAT1!H65</f>
        <v>868861964.66999996</v>
      </c>
      <c r="K2" s="87">
        <f>+'RC'!G1</f>
        <v>28767.38</v>
      </c>
      <c r="M2" s="87">
        <f>+STAT1!J36+SUM(STAT1!J57:J65)+STAT2!J36+SUM(STAT2!J57:J65)+STAT3!J36+SUM(STAT3!J57:J65)++STAT4!J36+SUM(STAT4!J57:J65)</f>
        <v>596743528.92818177</v>
      </c>
      <c r="P2" s="87">
        <f>+STAT1!K36+SUM(STAT1!K57:K65)+STAT2!K36+SUM(STAT2!K57:K65)+STAT3!K36+SUM(STAT3!K57:K65)+STAT4!K36+SUM(STAT4!K57:K65)</f>
        <v>704901976.52557254</v>
      </c>
      <c r="R2" s="97"/>
      <c r="S2" s="98">
        <f>+STAT4!V36+SUM(STAT4!V57:V65)</f>
        <v>760703517.07260931</v>
      </c>
      <c r="V2" s="6">
        <v>140100</v>
      </c>
      <c r="W2" s="121" t="s">
        <v>591</v>
      </c>
      <c r="X2" s="784">
        <f t="shared" ref="X2:X7" ca="1" si="1">+SUMIFS($J$8:$J$1973,$T$8:$T$1973,V2)</f>
        <v>147260176.78</v>
      </c>
      <c r="Y2" s="784">
        <f t="shared" ref="Y2:Y7" ca="1" si="2">+SUMIFS($M$8:$M$1973,$T$8:$T$1973,V2)</f>
        <v>68082636.352899998</v>
      </c>
      <c r="Z2" s="784">
        <f t="shared" ref="Z2:Z7" ca="1" si="3">+SUMIFS($P$8:$P$1973,$T$8:$T$1973,V2)</f>
        <v>177260176.77699998</v>
      </c>
      <c r="AA2" s="784">
        <f t="shared" ref="AA2:AA7" ca="1" si="4">+SUMIFS($S$8:$S$1973,$T$8:$T$1973,V2)</f>
        <v>38082636.355900005</v>
      </c>
      <c r="AB2" s="785">
        <v>131001</v>
      </c>
      <c r="AC2" s="87">
        <f>+STAT4!V36</f>
        <v>38082636.370000005</v>
      </c>
      <c r="AD2" s="87">
        <f t="shared" ref="AD2:AD7" ca="1" si="5">+AC2-AA2</f>
        <v>1.4100000262260437E-2</v>
      </c>
    </row>
    <row r="3" spans="1:31">
      <c r="A3" s="96"/>
      <c r="B3" s="87"/>
      <c r="G3" s="87">
        <f>+G1-G2</f>
        <v>0</v>
      </c>
      <c r="J3" s="87">
        <f ca="1">+J1-J2</f>
        <v>0</v>
      </c>
      <c r="K3" s="87">
        <f ca="1">+K1-K2</f>
        <v>0</v>
      </c>
      <c r="M3" s="87">
        <f ca="1">+M1-M2</f>
        <v>-4.9607992172241211E-2</v>
      </c>
      <c r="P3" s="87">
        <f ca="1">+P1-P2</f>
        <v>3.9133429527282715E-2</v>
      </c>
      <c r="R3" s="97"/>
      <c r="S3" s="87">
        <f ca="1">+S1-S2</f>
        <v>-8.8741421699523926E-2</v>
      </c>
      <c r="V3" s="6">
        <v>150100</v>
      </c>
      <c r="W3" s="121" t="s">
        <v>1561</v>
      </c>
      <c r="X3" s="784">
        <f t="shared" ca="1" si="1"/>
        <v>46312684.810000002</v>
      </c>
      <c r="Y3" s="784">
        <f t="shared" ca="1" si="2"/>
        <v>203848837.02528599</v>
      </c>
      <c r="Z3" s="784">
        <f t="shared" ca="1" si="3"/>
        <v>169868675.35291803</v>
      </c>
      <c r="AA3" s="784">
        <f t="shared" ca="1" si="4"/>
        <v>80292846.482367977</v>
      </c>
      <c r="AB3" s="785">
        <v>310002</v>
      </c>
      <c r="AC3" s="87">
        <f>+STAT4!V57</f>
        <v>80292846.469999999</v>
      </c>
      <c r="AD3" s="87">
        <f t="shared" ca="1" si="5"/>
        <v>-1.2367978692054749E-2</v>
      </c>
    </row>
    <row r="4" spans="1:31">
      <c r="A4" s="96"/>
      <c r="O4" s="97" t="s">
        <v>297</v>
      </c>
      <c r="P4" s="116">
        <v>43101</v>
      </c>
      <c r="R4" s="97" t="s">
        <v>298</v>
      </c>
      <c r="S4" s="116">
        <v>43465</v>
      </c>
      <c r="V4" s="6">
        <v>150101</v>
      </c>
      <c r="W4" s="121" t="s">
        <v>1562</v>
      </c>
      <c r="X4" s="784">
        <f t="shared" ca="1" si="1"/>
        <v>529308218.75</v>
      </c>
      <c r="Y4" s="784">
        <f t="shared" ca="1" si="2"/>
        <v>291139700.97816062</v>
      </c>
      <c r="Z4" s="784">
        <f t="shared" ca="1" si="3"/>
        <v>313028690.04884219</v>
      </c>
      <c r="AA4" s="784">
        <f t="shared" ca="1" si="4"/>
        <v>507419229.67931831</v>
      </c>
      <c r="AB4" s="785">
        <v>210003</v>
      </c>
      <c r="AC4" s="87">
        <f>+STAT4!V58</f>
        <v>507419229.72540343</v>
      </c>
      <c r="AD4" s="87">
        <f t="shared" ca="1" si="5"/>
        <v>4.6085119247436523E-2</v>
      </c>
    </row>
    <row r="5" spans="1:31">
      <c r="A5" s="96">
        <f>COUNT(A8:A473)</f>
        <v>82</v>
      </c>
      <c r="B5" s="85" t="s">
        <v>1343</v>
      </c>
      <c r="V5" s="6">
        <v>160100</v>
      </c>
      <c r="W5" s="121" t="s">
        <v>954</v>
      </c>
      <c r="X5" s="784">
        <f t="shared" ca="1" si="1"/>
        <v>139494959.66</v>
      </c>
      <c r="Y5" s="784">
        <f t="shared" ca="1" si="2"/>
        <v>31150354.522227272</v>
      </c>
      <c r="Z5" s="784">
        <f t="shared" ca="1" si="3"/>
        <v>44744434.385945864</v>
      </c>
      <c r="AA5" s="784">
        <f t="shared" ca="1" si="4"/>
        <v>125900879.79628138</v>
      </c>
      <c r="AB5" s="785">
        <v>410002</v>
      </c>
      <c r="AC5" s="87">
        <f>+STAT4!V62</f>
        <v>125900879.84720582</v>
      </c>
      <c r="AD5" s="87">
        <f t="shared" ca="1" si="5"/>
        <v>5.0924435257911682E-2</v>
      </c>
    </row>
    <row r="6" spans="1:31">
      <c r="A6" s="109" t="s">
        <v>1</v>
      </c>
      <c r="B6" s="99" t="s">
        <v>302</v>
      </c>
      <c r="C6" s="265" t="s">
        <v>303</v>
      </c>
      <c r="D6" s="182" t="s">
        <v>319</v>
      </c>
      <c r="E6" s="993" t="s">
        <v>299</v>
      </c>
      <c r="F6" s="994"/>
      <c r="G6" s="995"/>
      <c r="H6" s="993" t="s">
        <v>300</v>
      </c>
      <c r="I6" s="994"/>
      <c r="J6" s="995"/>
      <c r="K6" s="993" t="s">
        <v>287</v>
      </c>
      <c r="L6" s="994"/>
      <c r="M6" s="995"/>
      <c r="N6" s="993" t="s">
        <v>288</v>
      </c>
      <c r="O6" s="994"/>
      <c r="P6" s="995"/>
      <c r="Q6" s="993" t="s">
        <v>301</v>
      </c>
      <c r="R6" s="994"/>
      <c r="S6" s="995"/>
      <c r="T6" s="99" t="s">
        <v>317</v>
      </c>
      <c r="V6" s="6">
        <v>160200</v>
      </c>
      <c r="W6" s="121" t="s">
        <v>622</v>
      </c>
      <c r="X6" s="784">
        <f t="shared" ca="1" si="1"/>
        <v>6110006.0899999989</v>
      </c>
      <c r="Y6" s="784">
        <f t="shared" ca="1" si="2"/>
        <v>2522000</v>
      </c>
      <c r="Z6" s="784">
        <f t="shared" ca="1" si="3"/>
        <v>0</v>
      </c>
      <c r="AA6" s="784">
        <f t="shared" ca="1" si="4"/>
        <v>8632006.0899999999</v>
      </c>
      <c r="AB6" s="785">
        <v>430001</v>
      </c>
      <c r="AC6" s="87">
        <f>+STAT4!V63</f>
        <v>8632006.0899999999</v>
      </c>
      <c r="AD6" s="87">
        <f t="shared" ca="1" si="5"/>
        <v>0</v>
      </c>
    </row>
    <row r="7" spans="1:31">
      <c r="A7" s="109"/>
      <c r="B7" s="99"/>
      <c r="C7" s="265"/>
      <c r="D7" s="182" t="s">
        <v>320</v>
      </c>
      <c r="E7" s="110" t="s">
        <v>304</v>
      </c>
      <c r="F7" s="110" t="s">
        <v>289</v>
      </c>
      <c r="G7" s="110" t="s">
        <v>305</v>
      </c>
      <c r="H7" s="110" t="s">
        <v>304</v>
      </c>
      <c r="I7" s="110" t="s">
        <v>289</v>
      </c>
      <c r="J7" s="110" t="s">
        <v>305</v>
      </c>
      <c r="K7" s="110" t="s">
        <v>304</v>
      </c>
      <c r="L7" s="110" t="s">
        <v>289</v>
      </c>
      <c r="M7" s="110" t="s">
        <v>305</v>
      </c>
      <c r="N7" s="110" t="s">
        <v>304</v>
      </c>
      <c r="O7" s="110" t="s">
        <v>289</v>
      </c>
      <c r="P7" s="110" t="s">
        <v>305</v>
      </c>
      <c r="Q7" s="241" t="s">
        <v>304</v>
      </c>
      <c r="R7" s="110" t="s">
        <v>289</v>
      </c>
      <c r="S7" s="110" t="s">
        <v>305</v>
      </c>
      <c r="T7" s="99"/>
      <c r="V7" s="6">
        <v>160201</v>
      </c>
      <c r="W7" s="786" t="s">
        <v>1566</v>
      </c>
      <c r="X7" s="787">
        <f t="shared" ca="1" si="1"/>
        <v>375918.58</v>
      </c>
      <c r="Y7" s="787">
        <f t="shared" ca="1" si="2"/>
        <v>0</v>
      </c>
      <c r="Z7" s="787">
        <f t="shared" ca="1" si="3"/>
        <v>0</v>
      </c>
      <c r="AA7" s="787">
        <f t="shared" ca="1" si="4"/>
        <v>375918.58</v>
      </c>
      <c r="AB7" s="788">
        <v>4600027</v>
      </c>
      <c r="AC7" s="87">
        <f>+STAT4!V64</f>
        <v>375918.57</v>
      </c>
      <c r="AD7" s="87">
        <f t="shared" ca="1" si="5"/>
        <v>-1.0000000009313226E-2</v>
      </c>
    </row>
    <row r="8" spans="1:31">
      <c r="A8" s="108">
        <f t="shared" ref="A8:A30" si="6">+IF(B8="","",ROW()-7)</f>
        <v>1</v>
      </c>
      <c r="B8" s="359">
        <v>131018</v>
      </c>
      <c r="C8" s="324" t="s">
        <v>2322</v>
      </c>
      <c r="D8" s="467" t="s">
        <v>1530</v>
      </c>
      <c r="E8" s="805">
        <v>486.70000000000005</v>
      </c>
      <c r="F8" s="93">
        <v>302568.68046024244</v>
      </c>
      <c r="G8" s="94">
        <f t="shared" ref="G8:G71" si="7">+IF(A8="","",IFERROR(E8*F8,0))</f>
        <v>147260176.78</v>
      </c>
      <c r="H8" s="94">
        <f t="shared" ref="H8:H30" ca="1" si="8">IF(A8="","",E8+SUMIFS(RC_or_unit,RC_Code,B8,RC_date,"&lt;"&amp;$P$4)-SUMIFS(RC_zar_unit,RC_Code,B8,RC_date,"&lt;"&amp;$P$4))</f>
        <v>486.70000000000005</v>
      </c>
      <c r="I8" s="94">
        <f t="shared" ref="I8:I48" ca="1" si="9">+IF(A8="","",IFERROR(J8/H8,0))</f>
        <v>302568.68046024244</v>
      </c>
      <c r="J8" s="94">
        <f ca="1">IF(A8="","",G8+SUMIFS(RC_or_totol,RC_Code,B8,RC_date,"&lt;"&amp;$P$4)-SUMIFS(RC_zar_totol,RC_Code,B8,RC_date,"&lt;"&amp;$P$4))</f>
        <v>147260176.78</v>
      </c>
      <c r="K8" s="94">
        <f t="shared" ref="K8:K30" ca="1" si="10">IF(A8="","",SUMIFS(RC_or_unit,RC_Code,B8,RC_date,"&gt;="&amp;$P$4,RC_date,"&lt;="&amp;$S$4))</f>
        <v>240</v>
      </c>
      <c r="L8" s="94">
        <f t="shared" ref="L8:L30" ca="1" si="11">+IF(A8="","",IFERROR(M8/K8,0))</f>
        <v>272727.27269999997</v>
      </c>
      <c r="M8" s="94">
        <f t="shared" ref="M8:M41" ca="1" si="12">IF($A8="","",SUMIFS(RC_or_totol,RC_Code,$B8,RC_date,"&gt;="&amp;$P$4,RC_date,"&lt;="&amp;$S$4))</f>
        <v>65454545.447999999</v>
      </c>
      <c r="N8" s="94">
        <f t="shared" ref="N8:N30" ca="1" si="13">IF($A8="","",SUMIFS(RC_zar_unit,RC_Code,$B8,RC_date,"&gt;="&amp;$P$4,RC_date,"&lt;="&amp;$S$4))</f>
        <v>596.70000000000005</v>
      </c>
      <c r="O8" s="94">
        <f t="shared" ref="O8:O30" ca="1" si="14">+IF(A8="","",IFERROR(P8/N8,0))</f>
        <v>297067.49920730677</v>
      </c>
      <c r="P8" s="20">
        <f t="shared" ref="P8:P30" ca="1" si="15">IF($A8="","",SUMIFS(RC_zar_totol,RC_Code,$B8,RC_date,"&gt;="&amp;$P$4,RC_date,"&lt;="&amp;$S$4))</f>
        <v>177260176.77699998</v>
      </c>
      <c r="Q8" s="242">
        <f t="shared" ref="Q8:Q30" ca="1" si="16">+IF(A8="","",IFERROR(H8+K8-N8,0))</f>
        <v>130</v>
      </c>
      <c r="R8" s="94">
        <f ca="1">+IF(G8="","",IFERROR(S8/Q8,0))</f>
        <v>272727.27270000003</v>
      </c>
      <c r="S8" s="363">
        <f t="shared" ref="S8:S30" ca="1" si="17">+IF(A8="","",IFERROR(J8+M8-P8,0))</f>
        <v>35454545.451000005</v>
      </c>
      <c r="T8" s="430">
        <f>+IF(LEFT(B8,3)="131",140100,0)+IF(LEFT(B8,3)="310",150100,0)+IF(LEFT(B8,3)="211",150101,0)+IF(LEFT(B8,3)="410",160100,0)+IF(LEFT(B8,3)="440",160200,0)+IF(LEFT(B8,3)="430",160200,0)+IF(LEFT(B8,3)="420",160200,0)+IF(LEFT(B8,3)="460",160201,0)+IF(LEFT(B8,3)="210",150101,0)+IF(LEFT(B8,3)="510",140100,0)</f>
        <v>140100</v>
      </c>
      <c r="W8" s="789"/>
      <c r="X8" s="790">
        <f ca="1">SUM(X2:X7)</f>
        <v>868861964.67000008</v>
      </c>
      <c r="Y8" s="790">
        <f ca="1">SUM(Y2:Y7)</f>
        <v>596743528.87857389</v>
      </c>
      <c r="Z8" s="790">
        <f ca="1">SUM(Z2:Z7)</f>
        <v>704901976.56470609</v>
      </c>
      <c r="AA8" s="790">
        <f ca="1">SUM(AA2:AA7)</f>
        <v>760703516.98386765</v>
      </c>
      <c r="AB8" s="94"/>
      <c r="AC8" s="94"/>
      <c r="AD8" s="790">
        <f ca="1">SUM(AD2:AD7)</f>
        <v>8.8741576066240668E-2</v>
      </c>
      <c r="AE8" s="94"/>
    </row>
    <row r="9" spans="1:31">
      <c r="A9" s="108">
        <f t="shared" si="6"/>
        <v>2</v>
      </c>
      <c r="B9" s="359">
        <v>210003</v>
      </c>
      <c r="C9" s="324" t="s">
        <v>2316</v>
      </c>
      <c r="D9" s="467" t="s">
        <v>1529</v>
      </c>
      <c r="E9" s="805">
        <v>536.98</v>
      </c>
      <c r="F9" s="93">
        <v>191122.21421654438</v>
      </c>
      <c r="G9" s="94">
        <f t="shared" si="7"/>
        <v>102628806.59</v>
      </c>
      <c r="H9" s="94">
        <f t="shared" ca="1" si="8"/>
        <v>536.98</v>
      </c>
      <c r="I9" s="94">
        <f t="shared" ca="1" si="9"/>
        <v>191122.21421654438</v>
      </c>
      <c r="J9" s="94">
        <f t="shared" ref="J9:J30" ca="1" si="18">IF(A9="","",G9+SUMIFS(RC_or_totol,RC_Code,B9,RC_date,"&lt;"&amp;$P$4)-SUMIFS(RC_zar_totol,RC_Code,B9,RC_date,"&lt;"&amp;$P$4))</f>
        <v>102628806.59</v>
      </c>
      <c r="K9" s="94">
        <f t="shared" ca="1" si="10"/>
        <v>0</v>
      </c>
      <c r="L9" s="94">
        <f t="shared" ca="1" si="11"/>
        <v>0</v>
      </c>
      <c r="M9" s="94">
        <f t="shared" ca="1" si="12"/>
        <v>0</v>
      </c>
      <c r="N9" s="94">
        <f t="shared" ca="1" si="13"/>
        <v>63.097999999999999</v>
      </c>
      <c r="O9" s="94">
        <f t="shared" ca="1" si="14"/>
        <v>191122.21421654441</v>
      </c>
      <c r="P9" s="20">
        <f t="shared" ca="1" si="15"/>
        <v>12059429.472635519</v>
      </c>
      <c r="Q9" s="242">
        <f t="shared" ca="1" si="16"/>
        <v>473.88200000000001</v>
      </c>
      <c r="R9" s="94">
        <f t="shared" ref="R9:R30" ca="1" si="19">+IF(G9="","",IFERROR(S9/Q9,0))</f>
        <v>191122.21421654438</v>
      </c>
      <c r="S9" s="324">
        <f t="shared" ca="1" si="17"/>
        <v>90569377.117364481</v>
      </c>
      <c r="T9" s="430">
        <f t="shared" ref="T9:T30" si="20">+IF(LEFT(B9,3)="131",140100,0)+IF(LEFT(B9,3)="310",150100,0)+IF(LEFT(B9,3)="211",150101,0)+IF(LEFT(B9,3)="410",160100,0)+IF(LEFT(B9,3)="440",160200,0)+IF(LEFT(B9,3)="430",160200,0)+IF(LEFT(B9,3)="420",160200,0)+IF(LEFT(B9,3)="460",160201,0)+IF(LEFT(B9,3)="210",150101,0)+IF(LEFT(B9,3)="510",140100,0)</f>
        <v>150101</v>
      </c>
      <c r="W9" s="789"/>
      <c r="X9" s="790">
        <f>+G2</f>
        <v>868861964.66999996</v>
      </c>
      <c r="Y9" s="94"/>
      <c r="Z9" s="94"/>
      <c r="AA9" s="94">
        <f>+TN!S2</f>
        <v>760703517.07260931</v>
      </c>
      <c r="AB9" s="94"/>
      <c r="AC9" s="94"/>
      <c r="AD9" s="94"/>
      <c r="AE9" s="94"/>
    </row>
    <row r="10" spans="1:31">
      <c r="A10" s="108">
        <f t="shared" si="6"/>
        <v>3</v>
      </c>
      <c r="B10" s="359">
        <v>211401</v>
      </c>
      <c r="C10" s="324" t="s">
        <v>2323</v>
      </c>
      <c r="D10" s="467" t="s">
        <v>1529</v>
      </c>
      <c r="E10" s="805">
        <v>1049.1600000000001</v>
      </c>
      <c r="F10" s="93">
        <v>51757.378455145066</v>
      </c>
      <c r="G10" s="94">
        <f t="shared" si="7"/>
        <v>54301771.18</v>
      </c>
      <c r="H10" s="94">
        <f t="shared" ca="1" si="8"/>
        <v>1049.1600000000001</v>
      </c>
      <c r="I10" s="94">
        <f t="shared" ca="1" si="9"/>
        <v>51757.378455145066</v>
      </c>
      <c r="J10" s="94">
        <f t="shared" ca="1" si="18"/>
        <v>54301771.18</v>
      </c>
      <c r="K10" s="94">
        <f t="shared" ca="1" si="10"/>
        <v>0</v>
      </c>
      <c r="L10" s="94">
        <f t="shared" ca="1" si="11"/>
        <v>0</v>
      </c>
      <c r="M10" s="94">
        <f t="shared" ca="1" si="12"/>
        <v>0</v>
      </c>
      <c r="N10" s="94">
        <f t="shared" ca="1" si="13"/>
        <v>80.63</v>
      </c>
      <c r="O10" s="94">
        <f t="shared" ca="1" si="14"/>
        <v>51757.378455145081</v>
      </c>
      <c r="P10" s="20">
        <f t="shared" ca="1" si="15"/>
        <v>4173197.4248383474</v>
      </c>
      <c r="Q10" s="242">
        <f t="shared" ca="1" si="16"/>
        <v>968.53000000000009</v>
      </c>
      <c r="R10" s="94">
        <f t="shared" ca="1" si="19"/>
        <v>51757.378455145059</v>
      </c>
      <c r="S10" s="324">
        <f t="shared" ca="1" si="17"/>
        <v>50128573.75516165</v>
      </c>
      <c r="T10" s="430">
        <f t="shared" si="20"/>
        <v>150101</v>
      </c>
      <c r="W10" s="789"/>
      <c r="X10" s="790">
        <f ca="1">+X9-X8</f>
        <v>0</v>
      </c>
      <c r="Y10" s="790"/>
      <c r="Z10" s="790"/>
      <c r="AA10" s="790">
        <f ca="1">+AA9-AA8</f>
        <v>8.8741660118103027E-2</v>
      </c>
      <c r="AB10" s="94"/>
      <c r="AC10" s="94"/>
      <c r="AD10" s="94"/>
      <c r="AE10" s="94"/>
    </row>
    <row r="11" spans="1:31">
      <c r="A11" s="108">
        <f t="shared" si="6"/>
        <v>4</v>
      </c>
      <c r="B11" s="359">
        <v>211501</v>
      </c>
      <c r="C11" s="324" t="s">
        <v>2321</v>
      </c>
      <c r="D11" s="467" t="s">
        <v>1529</v>
      </c>
      <c r="E11" s="805">
        <v>672.84</v>
      </c>
      <c r="F11" s="93">
        <v>13118.33099994055</v>
      </c>
      <c r="G11" s="94">
        <f t="shared" si="7"/>
        <v>8826537.8300000001</v>
      </c>
      <c r="H11" s="94">
        <f t="shared" ca="1" si="8"/>
        <v>672.84</v>
      </c>
      <c r="I11" s="94">
        <f t="shared" ca="1" si="9"/>
        <v>13118.33099994055</v>
      </c>
      <c r="J11" s="94">
        <f t="shared" ca="1" si="18"/>
        <v>8826537.8300000001</v>
      </c>
      <c r="K11" s="94">
        <f t="shared" ca="1" si="10"/>
        <v>0</v>
      </c>
      <c r="L11" s="94">
        <f t="shared" ca="1" si="11"/>
        <v>0</v>
      </c>
      <c r="M11" s="94">
        <f t="shared" ca="1" si="12"/>
        <v>0</v>
      </c>
      <c r="N11" s="94">
        <f t="shared" ca="1" si="13"/>
        <v>316.5</v>
      </c>
      <c r="O11" s="94">
        <f t="shared" ca="1" si="14"/>
        <v>13118.33099994055</v>
      </c>
      <c r="P11" s="94">
        <f t="shared" ca="1" si="15"/>
        <v>4151951.761481184</v>
      </c>
      <c r="Q11" s="242">
        <f t="shared" ca="1" si="16"/>
        <v>356.34000000000003</v>
      </c>
      <c r="R11" s="94">
        <f t="shared" ca="1" si="19"/>
        <v>13118.330999940548</v>
      </c>
      <c r="S11" s="324">
        <f t="shared" ca="1" si="17"/>
        <v>4674586.0685188156</v>
      </c>
      <c r="T11" s="430">
        <f t="shared" si="20"/>
        <v>150101</v>
      </c>
      <c r="W11" s="789"/>
      <c r="X11" s="790"/>
      <c r="Y11" s="94"/>
      <c r="Z11" s="94"/>
      <c r="AA11" s="94"/>
      <c r="AB11" s="94"/>
      <c r="AC11" s="94"/>
      <c r="AD11" s="94"/>
      <c r="AE11" s="94"/>
    </row>
    <row r="12" spans="1:31">
      <c r="A12" s="108">
        <f t="shared" si="6"/>
        <v>5</v>
      </c>
      <c r="B12" s="359">
        <v>211503</v>
      </c>
      <c r="C12" s="324" t="s">
        <v>2312</v>
      </c>
      <c r="D12" s="467" t="s">
        <v>1529</v>
      </c>
      <c r="E12" s="805">
        <v>6066.56</v>
      </c>
      <c r="F12" s="93">
        <v>13356.51526400464</v>
      </c>
      <c r="G12" s="94">
        <f t="shared" si="7"/>
        <v>81028101.239999995</v>
      </c>
      <c r="H12" s="94">
        <f t="shared" ca="1" si="8"/>
        <v>6066.56</v>
      </c>
      <c r="I12" s="94">
        <f t="shared" ca="1" si="9"/>
        <v>13356.51526400464</v>
      </c>
      <c r="J12" s="94">
        <f t="shared" ca="1" si="18"/>
        <v>81028101.239999995</v>
      </c>
      <c r="K12" s="94">
        <f t="shared" ca="1" si="10"/>
        <v>2720</v>
      </c>
      <c r="L12" s="94">
        <f t="shared" ca="1" si="11"/>
        <v>17185.819397970459</v>
      </c>
      <c r="M12" s="94">
        <f t="shared" ca="1" si="12"/>
        <v>46745428.762479648</v>
      </c>
      <c r="N12" s="94">
        <f t="shared" ca="1" si="13"/>
        <v>8686.56</v>
      </c>
      <c r="O12" s="94">
        <f t="shared" ca="1" si="14"/>
        <v>14541.928809736646</v>
      </c>
      <c r="P12" s="94">
        <f t="shared" ca="1" si="15"/>
        <v>126319337.12150596</v>
      </c>
      <c r="Q12" s="242">
        <f t="shared" ca="1" si="16"/>
        <v>100.00000000000182</v>
      </c>
      <c r="R12" s="94">
        <f t="shared" ca="1" si="19"/>
        <v>14541.928809736553</v>
      </c>
      <c r="S12" s="324">
        <f t="shared" ca="1" si="17"/>
        <v>1454192.8809736818</v>
      </c>
      <c r="T12" s="430">
        <f t="shared" si="20"/>
        <v>150101</v>
      </c>
      <c r="W12" s="789"/>
      <c r="X12" s="790"/>
      <c r="Y12" s="94"/>
      <c r="Z12" s="94"/>
      <c r="AA12" s="94"/>
      <c r="AB12" s="94"/>
      <c r="AC12" s="94"/>
      <c r="AD12" s="94"/>
      <c r="AE12" s="94"/>
    </row>
    <row r="13" spans="1:31">
      <c r="A13" s="108">
        <f t="shared" si="6"/>
        <v>6</v>
      </c>
      <c r="B13" s="359">
        <v>211504</v>
      </c>
      <c r="C13" s="324" t="s">
        <v>2324</v>
      </c>
      <c r="D13" s="467" t="s">
        <v>1529</v>
      </c>
      <c r="E13" s="805">
        <v>5693.39</v>
      </c>
      <c r="F13" s="93">
        <v>11896.785561853305</v>
      </c>
      <c r="G13" s="94">
        <f t="shared" si="7"/>
        <v>67733039.949999988</v>
      </c>
      <c r="H13" s="94">
        <f t="shared" ca="1" si="8"/>
        <v>5693.39</v>
      </c>
      <c r="I13" s="94">
        <f t="shared" ca="1" si="9"/>
        <v>11896.785561853305</v>
      </c>
      <c r="J13" s="94">
        <f t="shared" ca="1" si="18"/>
        <v>67733039.949999988</v>
      </c>
      <c r="K13" s="94">
        <f t="shared" ca="1" si="10"/>
        <v>0</v>
      </c>
      <c r="L13" s="94">
        <f t="shared" ca="1" si="11"/>
        <v>0</v>
      </c>
      <c r="M13" s="94">
        <f t="shared" ca="1" si="12"/>
        <v>0</v>
      </c>
      <c r="N13" s="94">
        <f t="shared" ca="1" si="13"/>
        <v>4048</v>
      </c>
      <c r="O13" s="94">
        <f t="shared" ca="1" si="14"/>
        <v>11896.785561853305</v>
      </c>
      <c r="P13" s="94">
        <f t="shared" ca="1" si="15"/>
        <v>48158187.954382181</v>
      </c>
      <c r="Q13" s="242">
        <f t="shared" ca="1" si="16"/>
        <v>1645.3900000000003</v>
      </c>
      <c r="R13" s="94">
        <f t="shared" ca="1" si="19"/>
        <v>11896.785561853301</v>
      </c>
      <c r="S13" s="324">
        <f t="shared" ca="1" si="17"/>
        <v>19574851.995617807</v>
      </c>
      <c r="T13" s="430">
        <f t="shared" si="20"/>
        <v>150101</v>
      </c>
      <c r="W13" s="789"/>
      <c r="X13" s="790"/>
      <c r="Y13" s="94"/>
      <c r="Z13" s="94"/>
      <c r="AA13" s="94"/>
      <c r="AB13" s="94"/>
      <c r="AC13" s="94"/>
      <c r="AD13" s="94"/>
      <c r="AE13" s="94"/>
    </row>
    <row r="14" spans="1:31">
      <c r="A14" s="108">
        <f t="shared" si="6"/>
        <v>7</v>
      </c>
      <c r="B14" s="359">
        <v>211602</v>
      </c>
      <c r="C14" s="324" t="s">
        <v>2325</v>
      </c>
      <c r="D14" s="467" t="s">
        <v>1529</v>
      </c>
      <c r="E14" s="805"/>
      <c r="F14" s="93">
        <v>9185</v>
      </c>
      <c r="G14" s="94">
        <f t="shared" si="7"/>
        <v>0</v>
      </c>
      <c r="H14" s="94">
        <f t="shared" ca="1" si="8"/>
        <v>0</v>
      </c>
      <c r="I14" s="94">
        <f t="shared" ca="1" si="9"/>
        <v>0</v>
      </c>
      <c r="J14" s="94">
        <f t="shared" ca="1" si="18"/>
        <v>0</v>
      </c>
      <c r="K14" s="94">
        <f t="shared" ca="1" si="10"/>
        <v>0</v>
      </c>
      <c r="L14" s="94">
        <f t="shared" ca="1" si="11"/>
        <v>0</v>
      </c>
      <c r="M14" s="94">
        <f t="shared" ca="1" si="12"/>
        <v>0</v>
      </c>
      <c r="N14" s="94">
        <f t="shared" ca="1" si="13"/>
        <v>0</v>
      </c>
      <c r="O14" s="94">
        <f t="shared" ca="1" si="14"/>
        <v>0</v>
      </c>
      <c r="P14" s="94">
        <f t="shared" ca="1" si="15"/>
        <v>0</v>
      </c>
      <c r="Q14" s="242">
        <f t="shared" ca="1" si="16"/>
        <v>0</v>
      </c>
      <c r="R14" s="94">
        <f t="shared" ca="1" si="19"/>
        <v>0</v>
      </c>
      <c r="S14" s="324">
        <f t="shared" ca="1" si="17"/>
        <v>0</v>
      </c>
      <c r="T14" s="430">
        <f t="shared" si="20"/>
        <v>150101</v>
      </c>
      <c r="W14" s="94"/>
      <c r="X14" s="94"/>
      <c r="Y14" s="94"/>
      <c r="Z14" s="94"/>
      <c r="AA14" s="94"/>
      <c r="AB14" s="94"/>
      <c r="AC14" s="94"/>
      <c r="AD14" s="94"/>
      <c r="AE14" s="94"/>
    </row>
    <row r="15" spans="1:31">
      <c r="A15" s="108">
        <f t="shared" si="6"/>
        <v>8</v>
      </c>
      <c r="B15" s="359">
        <v>211710</v>
      </c>
      <c r="C15" s="324" t="s">
        <v>2313</v>
      </c>
      <c r="D15" s="467" t="s">
        <v>1529</v>
      </c>
      <c r="E15" s="805">
        <v>386.2</v>
      </c>
      <c r="F15" s="93">
        <v>32877.70378042465</v>
      </c>
      <c r="G15" s="94">
        <f t="shared" si="7"/>
        <v>12697369.199999999</v>
      </c>
      <c r="H15" s="94">
        <f t="shared" ca="1" si="8"/>
        <v>386.2</v>
      </c>
      <c r="I15" s="94">
        <f t="shared" ca="1" si="9"/>
        <v>32877.70378042465</v>
      </c>
      <c r="J15" s="94">
        <f t="shared" ca="1" si="18"/>
        <v>12697369.199999999</v>
      </c>
      <c r="K15" s="94">
        <f t="shared" ca="1" si="10"/>
        <v>900</v>
      </c>
      <c r="L15" s="94">
        <f t="shared" ca="1" si="11"/>
        <v>42223.154198729382</v>
      </c>
      <c r="M15" s="94">
        <f t="shared" ca="1" si="12"/>
        <v>38000838.778856441</v>
      </c>
      <c r="N15" s="94">
        <f t="shared" ca="1" si="13"/>
        <v>89.05</v>
      </c>
      <c r="O15" s="94">
        <f t="shared" ca="1" si="14"/>
        <v>39417.048654063474</v>
      </c>
      <c r="P15" s="20">
        <f t="shared" ca="1" si="15"/>
        <v>3510088.1826443523</v>
      </c>
      <c r="Q15" s="242">
        <f t="shared" ca="1" si="16"/>
        <v>1197.1500000000001</v>
      </c>
      <c r="R15" s="94">
        <f t="shared" ca="1" si="19"/>
        <v>39417.048654063474</v>
      </c>
      <c r="S15" s="324">
        <f t="shared" ca="1" si="17"/>
        <v>47188119.796212092</v>
      </c>
      <c r="T15" s="430">
        <f t="shared" si="20"/>
        <v>150101</v>
      </c>
      <c r="W15" s="94"/>
      <c r="X15" s="94"/>
      <c r="Y15" s="94"/>
      <c r="Z15" s="94"/>
      <c r="AA15" s="94"/>
      <c r="AB15" s="94"/>
      <c r="AC15" s="94"/>
      <c r="AD15" s="94"/>
      <c r="AE15" s="94"/>
    </row>
    <row r="16" spans="1:31">
      <c r="A16" s="108">
        <f t="shared" si="6"/>
        <v>9</v>
      </c>
      <c r="B16" s="359">
        <v>211711</v>
      </c>
      <c r="C16" s="324" t="s">
        <v>2320</v>
      </c>
      <c r="D16" s="467" t="s">
        <v>1529</v>
      </c>
      <c r="E16" s="805">
        <v>123.92000000000002</v>
      </c>
      <c r="F16" s="93">
        <v>30895.753954163974</v>
      </c>
      <c r="G16" s="94">
        <f t="shared" si="7"/>
        <v>3828601.83</v>
      </c>
      <c r="H16" s="94">
        <f t="shared" ca="1" si="8"/>
        <v>123.92000000000002</v>
      </c>
      <c r="I16" s="94">
        <f t="shared" ca="1" si="9"/>
        <v>30895.753954163974</v>
      </c>
      <c r="J16" s="94">
        <f t="shared" ca="1" si="18"/>
        <v>3828601.83</v>
      </c>
      <c r="K16" s="94">
        <f t="shared" ca="1" si="10"/>
        <v>700</v>
      </c>
      <c r="L16" s="94">
        <f t="shared" ca="1" si="11"/>
        <v>39147.024023963808</v>
      </c>
      <c r="M16" s="94">
        <f t="shared" ca="1" si="12"/>
        <v>27402916.816774666</v>
      </c>
      <c r="N16" s="94">
        <f t="shared" ca="1" si="13"/>
        <v>823.92</v>
      </c>
      <c r="O16" s="94">
        <f t="shared" ca="1" si="14"/>
        <v>37906.008649838164</v>
      </c>
      <c r="P16" s="20">
        <f t="shared" ca="1" si="15"/>
        <v>31231518.646774661</v>
      </c>
      <c r="Q16" s="242">
        <f t="shared" ca="1" si="16"/>
        <v>1.1368683772161603E-13</v>
      </c>
      <c r="R16" s="94">
        <f t="shared" ca="1" si="19"/>
        <v>32768</v>
      </c>
      <c r="S16" s="324">
        <f t="shared" ca="1" si="17"/>
        <v>3.7252902984619141E-9</v>
      </c>
      <c r="T16" s="430">
        <f t="shared" si="20"/>
        <v>150101</v>
      </c>
      <c r="W16" s="94"/>
      <c r="X16" s="94"/>
      <c r="Y16" s="94"/>
      <c r="Z16" s="94"/>
      <c r="AA16" s="94"/>
      <c r="AB16" s="94"/>
      <c r="AC16" s="94"/>
      <c r="AD16" s="94"/>
      <c r="AE16" s="94"/>
    </row>
    <row r="17" spans="1:31">
      <c r="A17" s="108">
        <f t="shared" si="6"/>
        <v>10</v>
      </c>
      <c r="B17" s="359">
        <v>211712</v>
      </c>
      <c r="C17" s="324" t="s">
        <v>2326</v>
      </c>
      <c r="D17" s="467" t="s">
        <v>1529</v>
      </c>
      <c r="E17" s="805">
        <v>750</v>
      </c>
      <c r="F17" s="93">
        <v>29329.528573333333</v>
      </c>
      <c r="G17" s="94">
        <f t="shared" si="7"/>
        <v>21997146.43</v>
      </c>
      <c r="H17" s="94">
        <f t="shared" ca="1" si="8"/>
        <v>750</v>
      </c>
      <c r="I17" s="94">
        <f t="shared" ca="1" si="9"/>
        <v>29329.528573333333</v>
      </c>
      <c r="J17" s="94">
        <f t="shared" ca="1" si="18"/>
        <v>21997146.43</v>
      </c>
      <c r="K17" s="94">
        <f t="shared" ca="1" si="10"/>
        <v>450</v>
      </c>
      <c r="L17" s="94">
        <f t="shared" ca="1" si="11"/>
        <v>41058.106018991617</v>
      </c>
      <c r="M17" s="94">
        <f t="shared" ca="1" si="12"/>
        <v>18476147.708546229</v>
      </c>
      <c r="N17" s="94">
        <f t="shared" ca="1" si="13"/>
        <v>280</v>
      </c>
      <c r="O17" s="94">
        <f t="shared" ca="1" si="14"/>
        <v>33727.745115455189</v>
      </c>
      <c r="P17" s="20">
        <f t="shared" ca="1" si="15"/>
        <v>9443768.6323274523</v>
      </c>
      <c r="Q17" s="242">
        <f t="shared" ca="1" si="16"/>
        <v>920</v>
      </c>
      <c r="R17" s="94">
        <f t="shared" ca="1" si="19"/>
        <v>33727.745115455189</v>
      </c>
      <c r="S17" s="324">
        <f t="shared" ca="1" si="17"/>
        <v>31029525.506218776</v>
      </c>
      <c r="T17" s="430">
        <f t="shared" si="20"/>
        <v>150101</v>
      </c>
      <c r="W17" s="94"/>
      <c r="X17" s="94"/>
      <c r="Y17" s="94"/>
      <c r="Z17" s="94"/>
      <c r="AA17" s="94"/>
      <c r="AB17" s="94"/>
      <c r="AC17" s="94"/>
      <c r="AD17" s="94"/>
      <c r="AE17" s="94"/>
    </row>
    <row r="18" spans="1:31">
      <c r="A18" s="108">
        <f t="shared" si="6"/>
        <v>11</v>
      </c>
      <c r="B18" s="359">
        <v>211713</v>
      </c>
      <c r="C18" s="324" t="s">
        <v>2315</v>
      </c>
      <c r="D18" s="467" t="s">
        <v>1529</v>
      </c>
      <c r="E18" s="805">
        <v>1104.44</v>
      </c>
      <c r="F18" s="93">
        <v>20836.273287820073</v>
      </c>
      <c r="G18" s="94">
        <f t="shared" si="7"/>
        <v>23012413.670000002</v>
      </c>
      <c r="H18" s="94">
        <f t="shared" ca="1" si="8"/>
        <v>1104.44</v>
      </c>
      <c r="I18" s="94">
        <f t="shared" ca="1" si="9"/>
        <v>20836.273287820073</v>
      </c>
      <c r="J18" s="94">
        <f t="shared" ca="1" si="18"/>
        <v>23012413.670000002</v>
      </c>
      <c r="K18" s="94">
        <f t="shared" ca="1" si="10"/>
        <v>1550</v>
      </c>
      <c r="L18" s="94">
        <f t="shared" ca="1" si="11"/>
        <v>27659.06201979101</v>
      </c>
      <c r="M18" s="94">
        <f t="shared" ca="1" si="12"/>
        <v>42871546.130676068</v>
      </c>
      <c r="N18" s="94">
        <f t="shared" ca="1" si="13"/>
        <v>698.30899999999997</v>
      </c>
      <c r="O18" s="94">
        <f t="shared" ca="1" si="14"/>
        <v>24820.285936271328</v>
      </c>
      <c r="P18" s="20">
        <f t="shared" ca="1" si="15"/>
        <v>17332229.051871695</v>
      </c>
      <c r="Q18" s="242">
        <f t="shared" ca="1" si="16"/>
        <v>1956.1310000000001</v>
      </c>
      <c r="R18" s="94">
        <f t="shared" ca="1" si="19"/>
        <v>24820.285936271332</v>
      </c>
      <c r="S18" s="324">
        <f t="shared" ca="1" si="17"/>
        <v>48551730.748804376</v>
      </c>
      <c r="T18" s="430">
        <f t="shared" si="20"/>
        <v>150101</v>
      </c>
      <c r="W18" s="94"/>
      <c r="X18" s="94"/>
      <c r="Y18" s="94"/>
      <c r="Z18" s="94"/>
      <c r="AA18" s="94"/>
      <c r="AB18" s="94"/>
      <c r="AC18" s="94"/>
      <c r="AD18" s="94"/>
      <c r="AE18" s="94"/>
    </row>
    <row r="19" spans="1:31">
      <c r="A19" s="108">
        <f t="shared" si="6"/>
        <v>12</v>
      </c>
      <c r="B19" s="359">
        <v>211714</v>
      </c>
      <c r="C19" s="324" t="s">
        <v>2319</v>
      </c>
      <c r="D19" s="467" t="s">
        <v>1529</v>
      </c>
      <c r="E19" s="805">
        <v>763.41</v>
      </c>
      <c r="F19" s="93">
        <v>18125.333202342121</v>
      </c>
      <c r="G19" s="94">
        <f t="shared" si="7"/>
        <v>13837060.619999997</v>
      </c>
      <c r="H19" s="94">
        <f t="shared" ca="1" si="8"/>
        <v>763.41</v>
      </c>
      <c r="I19" s="94">
        <f t="shared" ca="1" si="9"/>
        <v>18125.333202342121</v>
      </c>
      <c r="J19" s="94">
        <f t="shared" ca="1" si="18"/>
        <v>13837060.619999997</v>
      </c>
      <c r="K19" s="94">
        <f t="shared" ca="1" si="10"/>
        <v>560</v>
      </c>
      <c r="L19" s="94">
        <f t="shared" ca="1" si="11"/>
        <v>27848.681298311381</v>
      </c>
      <c r="M19" s="94">
        <f t="shared" ca="1" si="12"/>
        <v>15595261.527054373</v>
      </c>
      <c r="N19" s="94">
        <f t="shared" ca="1" si="13"/>
        <v>69.25</v>
      </c>
      <c r="O19" s="94">
        <f t="shared" ca="1" si="14"/>
        <v>20478.541117057393</v>
      </c>
      <c r="P19" s="20">
        <f t="shared" ca="1" si="15"/>
        <v>1418138.9723562244</v>
      </c>
      <c r="Q19" s="242">
        <f t="shared" ca="1" si="16"/>
        <v>1254.1599999999999</v>
      </c>
      <c r="R19" s="94">
        <f t="shared" ca="1" si="19"/>
        <v>22337.0089738934</v>
      </c>
      <c r="S19" s="324">
        <f t="shared" ca="1" si="17"/>
        <v>28014183.174698144</v>
      </c>
      <c r="T19" s="430">
        <f t="shared" si="20"/>
        <v>150101</v>
      </c>
    </row>
    <row r="20" spans="1:31">
      <c r="A20" s="108">
        <f t="shared" si="6"/>
        <v>13</v>
      </c>
      <c r="B20" s="359">
        <v>211715</v>
      </c>
      <c r="C20" s="324" t="s">
        <v>2314</v>
      </c>
      <c r="D20" s="467" t="s">
        <v>1529</v>
      </c>
      <c r="E20" s="805">
        <v>3356.28</v>
      </c>
      <c r="F20" s="93">
        <v>18716.888099324249</v>
      </c>
      <c r="G20" s="94">
        <f t="shared" si="7"/>
        <v>62819117.189999998</v>
      </c>
      <c r="H20" s="94">
        <f t="shared" ca="1" si="8"/>
        <v>3356.28</v>
      </c>
      <c r="I20" s="94">
        <f t="shared" ca="1" si="9"/>
        <v>18716.888099324249</v>
      </c>
      <c r="J20" s="94">
        <f t="shared" ca="1" si="18"/>
        <v>62819117.189999998</v>
      </c>
      <c r="K20" s="94">
        <f t="shared" ca="1" si="10"/>
        <v>600</v>
      </c>
      <c r="L20" s="94">
        <f t="shared" ca="1" si="11"/>
        <v>25016.152106581882</v>
      </c>
      <c r="M20" s="94">
        <f t="shared" ca="1" si="12"/>
        <v>15009691.26394913</v>
      </c>
      <c r="N20" s="94">
        <f t="shared" ca="1" si="13"/>
        <v>12.29</v>
      </c>
      <c r="O20" s="94">
        <f t="shared" ca="1" si="14"/>
        <v>19114.03573660992</v>
      </c>
      <c r="P20" s="20">
        <f t="shared" ca="1" si="15"/>
        <v>234911.4992029359</v>
      </c>
      <c r="Q20" s="242">
        <f t="shared" ca="1" si="16"/>
        <v>3943.9900000000002</v>
      </c>
      <c r="R20" s="94">
        <f t="shared" ca="1" si="19"/>
        <v>19673.958847447935</v>
      </c>
      <c r="S20" s="324">
        <f t="shared" ca="1" si="17"/>
        <v>77593896.954746187</v>
      </c>
      <c r="T20" s="430">
        <f t="shared" si="20"/>
        <v>150101</v>
      </c>
    </row>
    <row r="21" spans="1:31">
      <c r="A21" s="108">
        <f t="shared" si="6"/>
        <v>14</v>
      </c>
      <c r="B21" s="359">
        <v>211717</v>
      </c>
      <c r="C21" s="324" t="s">
        <v>2519</v>
      </c>
      <c r="D21" s="467" t="s">
        <v>1529</v>
      </c>
      <c r="E21" s="805">
        <v>929</v>
      </c>
      <c r="F21" s="93">
        <v>45402.535091496233</v>
      </c>
      <c r="G21" s="94">
        <f t="shared" si="7"/>
        <v>42178955.100000001</v>
      </c>
      <c r="H21" s="94">
        <f t="shared" ca="1" si="8"/>
        <v>929</v>
      </c>
      <c r="I21" s="94">
        <f t="shared" ca="1" si="9"/>
        <v>45402.535091496233</v>
      </c>
      <c r="J21" s="94">
        <f t="shared" ca="1" si="18"/>
        <v>42178955.100000001</v>
      </c>
      <c r="K21" s="94">
        <f t="shared" ca="1" si="10"/>
        <v>836</v>
      </c>
      <c r="L21" s="94">
        <f t="shared" ca="1" si="11"/>
        <v>55765.775604132374</v>
      </c>
      <c r="M21" s="94">
        <f t="shared" ca="1" si="12"/>
        <v>46620188.405054666</v>
      </c>
      <c r="N21" s="94">
        <f t="shared" ca="1" si="13"/>
        <v>136.17081818181819</v>
      </c>
      <c r="O21" s="94">
        <f t="shared" ca="1" si="14"/>
        <v>48957.453674524448</v>
      </c>
      <c r="P21" s="20">
        <f t="shared" ca="1" si="15"/>
        <v>6666576.5229584556</v>
      </c>
      <c r="Q21" s="242">
        <f t="shared" ca="1" si="16"/>
        <v>1628.8291818181817</v>
      </c>
      <c r="R21" s="94">
        <f t="shared" ca="1" si="19"/>
        <v>50424.29734124463</v>
      </c>
      <c r="S21" s="324">
        <f t="shared" ca="1" si="17"/>
        <v>82132566.98209621</v>
      </c>
      <c r="T21" s="430">
        <f t="shared" si="20"/>
        <v>150101</v>
      </c>
    </row>
    <row r="22" spans="1:31">
      <c r="A22" s="108">
        <f t="shared" si="6"/>
        <v>15</v>
      </c>
      <c r="B22" s="359">
        <v>211801</v>
      </c>
      <c r="C22" s="324" t="s">
        <v>1853</v>
      </c>
      <c r="D22" s="467" t="s">
        <v>1525</v>
      </c>
      <c r="E22" s="805">
        <v>3357</v>
      </c>
      <c r="F22" s="93">
        <v>647.50519511468576</v>
      </c>
      <c r="G22" s="94">
        <f t="shared" si="7"/>
        <v>2173674.94</v>
      </c>
      <c r="H22" s="94">
        <f t="shared" ca="1" si="8"/>
        <v>3357</v>
      </c>
      <c r="I22" s="94">
        <f t="shared" ca="1" si="9"/>
        <v>647.50519511468576</v>
      </c>
      <c r="J22" s="94">
        <f t="shared" ca="1" si="18"/>
        <v>2173674.94</v>
      </c>
      <c r="K22" s="94">
        <f t="shared" ca="1" si="10"/>
        <v>4500</v>
      </c>
      <c r="L22" s="94">
        <f t="shared" ca="1" si="11"/>
        <v>859.29096989852292</v>
      </c>
      <c r="M22" s="94">
        <f t="shared" ca="1" si="12"/>
        <v>3866809.3645433532</v>
      </c>
      <c r="N22" s="94">
        <f t="shared" ca="1" si="13"/>
        <v>7857</v>
      </c>
      <c r="O22" s="94">
        <f t="shared" ca="1" si="14"/>
        <v>768.80288972169444</v>
      </c>
      <c r="P22" s="20">
        <f t="shared" ca="1" si="15"/>
        <v>6040484.3045433536</v>
      </c>
      <c r="Q22" s="20">
        <f t="shared" ca="1" si="16"/>
        <v>0</v>
      </c>
      <c r="R22" s="94">
        <f t="shared" ca="1" si="19"/>
        <v>0</v>
      </c>
      <c r="S22" s="324">
        <f t="shared" ca="1" si="17"/>
        <v>0</v>
      </c>
      <c r="T22" s="430">
        <f t="shared" si="20"/>
        <v>150101</v>
      </c>
    </row>
    <row r="23" spans="1:31">
      <c r="A23" s="108">
        <f t="shared" si="6"/>
        <v>16</v>
      </c>
      <c r="B23" s="359">
        <v>211802</v>
      </c>
      <c r="C23" s="324" t="s">
        <v>2289</v>
      </c>
      <c r="D23" s="467" t="s">
        <v>1525</v>
      </c>
      <c r="E23" s="805">
        <v>9037.2000000000007</v>
      </c>
      <c r="F23" s="93">
        <v>1412.1879243571018</v>
      </c>
      <c r="G23" s="94">
        <f t="shared" si="7"/>
        <v>12762224.710000001</v>
      </c>
      <c r="H23" s="94">
        <f t="shared" ca="1" si="8"/>
        <v>9037.2000000000007</v>
      </c>
      <c r="I23" s="94">
        <f t="shared" ca="1" si="9"/>
        <v>1412.1879243571018</v>
      </c>
      <c r="J23" s="94">
        <f t="shared" ca="1" si="18"/>
        <v>12762224.710000001</v>
      </c>
      <c r="K23" s="94">
        <f t="shared" ca="1" si="10"/>
        <v>3500</v>
      </c>
      <c r="L23" s="94">
        <f t="shared" ca="1" si="11"/>
        <v>1288.9364548477843</v>
      </c>
      <c r="M23" s="94">
        <f t="shared" ca="1" si="12"/>
        <v>4511277.5919672446</v>
      </c>
      <c r="N23" s="94">
        <f t="shared" ca="1" si="13"/>
        <v>11303.84</v>
      </c>
      <c r="O23" s="94">
        <f t="shared" ca="1" si="14"/>
        <v>1377.7799111418215</v>
      </c>
      <c r="P23" s="20">
        <f t="shared" ca="1" si="15"/>
        <v>15574203.670761367</v>
      </c>
      <c r="Q23" s="242">
        <f t="shared" ca="1" si="16"/>
        <v>1233.3600000000006</v>
      </c>
      <c r="R23" s="94">
        <f t="shared" ca="1" si="19"/>
        <v>1377.779911141821</v>
      </c>
      <c r="S23" s="324">
        <f t="shared" ca="1" si="17"/>
        <v>1699298.6312058773</v>
      </c>
      <c r="T23" s="430">
        <f t="shared" si="20"/>
        <v>150101</v>
      </c>
    </row>
    <row r="24" spans="1:31">
      <c r="A24" s="86">
        <f t="shared" si="6"/>
        <v>17</v>
      </c>
      <c r="B24" s="86">
        <v>211803</v>
      </c>
      <c r="C24" s="87" t="s">
        <v>1854</v>
      </c>
      <c r="D24" s="178" t="s">
        <v>1525</v>
      </c>
      <c r="E24" s="240">
        <v>864</v>
      </c>
      <c r="F24" s="93">
        <v>4449.0638773148148</v>
      </c>
      <c r="G24" s="94">
        <f t="shared" si="7"/>
        <v>3843991.19</v>
      </c>
      <c r="H24" s="94">
        <f t="shared" ca="1" si="8"/>
        <v>864</v>
      </c>
      <c r="I24" s="94">
        <f t="shared" ca="1" si="9"/>
        <v>4449.0638773148148</v>
      </c>
      <c r="J24" s="94">
        <f t="shared" ca="1" si="18"/>
        <v>3843991.19</v>
      </c>
      <c r="K24" s="94">
        <f t="shared" ca="1" si="10"/>
        <v>2300</v>
      </c>
      <c r="L24" s="94">
        <f t="shared" ca="1" si="11"/>
        <v>5397.7723379634326</v>
      </c>
      <c r="M24" s="94">
        <f t="shared" ca="1" si="12"/>
        <v>12414876.377315896</v>
      </c>
      <c r="N24" s="94">
        <f t="shared" ca="1" si="13"/>
        <v>332.9</v>
      </c>
      <c r="O24" s="94">
        <f t="shared" ca="1" si="14"/>
        <v>5116.3780102602259</v>
      </c>
      <c r="P24" s="20">
        <f t="shared" ca="1" si="15"/>
        <v>1703242.239615629</v>
      </c>
      <c r="Q24" s="242">
        <f t="shared" ca="1" si="16"/>
        <v>2831.1</v>
      </c>
      <c r="R24" s="94">
        <f t="shared" ca="1" si="19"/>
        <v>5141.3321068490222</v>
      </c>
      <c r="S24" s="324">
        <f t="shared" ca="1" si="17"/>
        <v>14555625.327700267</v>
      </c>
      <c r="T24" s="430">
        <f t="shared" si="20"/>
        <v>150101</v>
      </c>
    </row>
    <row r="25" spans="1:31">
      <c r="A25" s="86">
        <f t="shared" si="6"/>
        <v>18</v>
      </c>
      <c r="B25" s="86">
        <v>211804</v>
      </c>
      <c r="C25" s="87" t="s">
        <v>1855</v>
      </c>
      <c r="D25" s="178" t="s">
        <v>1525</v>
      </c>
      <c r="E25" s="240">
        <v>2200</v>
      </c>
      <c r="F25" s="93">
        <v>1804.8940681818183</v>
      </c>
      <c r="G25" s="94">
        <f t="shared" si="7"/>
        <v>3970766.95</v>
      </c>
      <c r="H25" s="94">
        <f t="shared" ca="1" si="8"/>
        <v>2200</v>
      </c>
      <c r="I25" s="94">
        <f t="shared" ca="1" si="9"/>
        <v>1804.8940681818183</v>
      </c>
      <c r="J25" s="94">
        <f t="shared" ca="1" si="18"/>
        <v>3970766.95</v>
      </c>
      <c r="K25" s="94">
        <f t="shared" ca="1" si="10"/>
        <v>4500</v>
      </c>
      <c r="L25" s="94">
        <f t="shared" ca="1" si="11"/>
        <v>2291.4425863960614</v>
      </c>
      <c r="M25" s="94">
        <f t="shared" ca="1" si="12"/>
        <v>10311491.638782276</v>
      </c>
      <c r="N25" s="94">
        <f t="shared" ca="1" si="13"/>
        <v>6700</v>
      </c>
      <c r="O25" s="94">
        <f t="shared" ca="1" si="14"/>
        <v>2131.6803863854143</v>
      </c>
      <c r="P25" s="20">
        <f t="shared" ca="1" si="15"/>
        <v>14282258.588782277</v>
      </c>
      <c r="Q25" s="242">
        <f t="shared" ca="1" si="16"/>
        <v>0</v>
      </c>
      <c r="R25" s="94">
        <f t="shared" ca="1" si="19"/>
        <v>0</v>
      </c>
      <c r="S25" s="324">
        <f t="shared" ca="1" si="17"/>
        <v>0</v>
      </c>
      <c r="T25" s="430">
        <f t="shared" si="20"/>
        <v>150101</v>
      </c>
    </row>
    <row r="26" spans="1:31">
      <c r="A26" s="108">
        <f t="shared" si="6"/>
        <v>19</v>
      </c>
      <c r="B26" s="86">
        <v>211805</v>
      </c>
      <c r="C26" s="87" t="s">
        <v>1856</v>
      </c>
      <c r="D26" s="178" t="s">
        <v>1525</v>
      </c>
      <c r="E26" s="240">
        <v>2092</v>
      </c>
      <c r="F26" s="93">
        <v>676.8352724665391</v>
      </c>
      <c r="G26" s="94">
        <f t="shared" si="7"/>
        <v>1415939.39</v>
      </c>
      <c r="H26" s="94">
        <f t="shared" ca="1" si="8"/>
        <v>2092</v>
      </c>
      <c r="I26" s="94">
        <f t="shared" ca="1" si="9"/>
        <v>676.8352724665391</v>
      </c>
      <c r="J26" s="94">
        <f t="shared" ca="1" si="18"/>
        <v>1415939.39</v>
      </c>
      <c r="K26" s="94">
        <f t="shared" ca="1" si="10"/>
        <v>0</v>
      </c>
      <c r="L26" s="94">
        <f t="shared" ca="1" si="11"/>
        <v>0</v>
      </c>
      <c r="M26" s="94">
        <f t="shared" ca="1" si="12"/>
        <v>0</v>
      </c>
      <c r="N26" s="94">
        <f t="shared" ca="1" si="13"/>
        <v>2092</v>
      </c>
      <c r="O26" s="94">
        <f t="shared" ca="1" si="14"/>
        <v>676.8352724665391</v>
      </c>
      <c r="P26" s="20">
        <f t="shared" ca="1" si="15"/>
        <v>1415939.39</v>
      </c>
      <c r="Q26" s="242">
        <f t="shared" ca="1" si="16"/>
        <v>0</v>
      </c>
      <c r="R26" s="94">
        <f t="shared" ca="1" si="19"/>
        <v>0</v>
      </c>
      <c r="S26" s="324">
        <f t="shared" ca="1" si="17"/>
        <v>0</v>
      </c>
      <c r="T26" s="430">
        <f t="shared" si="20"/>
        <v>150101</v>
      </c>
    </row>
    <row r="27" spans="1:31">
      <c r="A27" s="108">
        <f t="shared" si="6"/>
        <v>20</v>
      </c>
      <c r="B27" s="86">
        <v>211806</v>
      </c>
      <c r="C27" s="87" t="s">
        <v>2302</v>
      </c>
      <c r="D27" s="178" t="s">
        <v>1529</v>
      </c>
      <c r="E27" s="240">
        <v>454.44</v>
      </c>
      <c r="F27" s="93">
        <v>22561.175820790424</v>
      </c>
      <c r="G27" s="94">
        <f t="shared" si="7"/>
        <v>10252700.74</v>
      </c>
      <c r="H27" s="94">
        <f t="shared" ca="1" si="8"/>
        <v>454.44</v>
      </c>
      <c r="I27" s="94">
        <f t="shared" ca="1" si="9"/>
        <v>22561.175820790424</v>
      </c>
      <c r="J27" s="94">
        <f t="shared" ca="1" si="18"/>
        <v>10252700.74</v>
      </c>
      <c r="K27" s="94">
        <f t="shared" ca="1" si="10"/>
        <v>0</v>
      </c>
      <c r="L27" s="94">
        <f t="shared" ca="1" si="11"/>
        <v>0</v>
      </c>
      <c r="M27" s="94">
        <f t="shared" ca="1" si="12"/>
        <v>0</v>
      </c>
      <c r="N27" s="94">
        <f t="shared" ca="1" si="13"/>
        <v>0</v>
      </c>
      <c r="O27" s="94">
        <f t="shared" ca="1" si="14"/>
        <v>0</v>
      </c>
      <c r="P27" s="20">
        <f t="shared" ca="1" si="15"/>
        <v>0</v>
      </c>
      <c r="Q27" s="242">
        <f t="shared" ca="1" si="16"/>
        <v>454.44</v>
      </c>
      <c r="R27" s="94">
        <f t="shared" ca="1" si="19"/>
        <v>22561.175820790424</v>
      </c>
      <c r="S27" s="324">
        <f t="shared" ca="1" si="17"/>
        <v>10252700.74</v>
      </c>
      <c r="T27" s="430">
        <f t="shared" si="20"/>
        <v>150101</v>
      </c>
    </row>
    <row r="28" spans="1:31">
      <c r="A28" s="108">
        <f t="shared" si="6"/>
        <v>21</v>
      </c>
      <c r="B28" s="359">
        <v>310001</v>
      </c>
      <c r="C28" s="324" t="s">
        <v>2317</v>
      </c>
      <c r="D28" s="467" t="s">
        <v>1530</v>
      </c>
      <c r="E28" s="93">
        <v>11.12</v>
      </c>
      <c r="F28" s="93">
        <v>252757.68255395687</v>
      </c>
      <c r="G28" s="94">
        <f t="shared" si="7"/>
        <v>2810665.43</v>
      </c>
      <c r="H28" s="94">
        <f t="shared" ca="1" si="8"/>
        <v>11.12</v>
      </c>
      <c r="I28" s="94">
        <f t="shared" ca="1" si="9"/>
        <v>252757.68255395687</v>
      </c>
      <c r="J28" s="94">
        <f t="shared" ca="1" si="18"/>
        <v>2810665.43</v>
      </c>
      <c r="K28" s="94">
        <f t="shared" ca="1" si="10"/>
        <v>596.70000000000005</v>
      </c>
      <c r="L28" s="94">
        <f t="shared" ca="1" si="11"/>
        <v>341627.01026526891</v>
      </c>
      <c r="M28" s="94">
        <f t="shared" ca="1" si="12"/>
        <v>203848837.02528599</v>
      </c>
      <c r="N28" s="94">
        <f t="shared" ca="1" si="13"/>
        <v>372.68</v>
      </c>
      <c r="O28" s="94">
        <f t="shared" ca="1" si="14"/>
        <v>339075.49633175385</v>
      </c>
      <c r="P28" s="20">
        <f ca="1">IF($A28="","",SUMIFS(RC_zar_totol,RC_Code,$B28,RC_date,"&gt;="&amp;$P$4,RC_date,"&lt;="&amp;$S$4))</f>
        <v>126366655.97291803</v>
      </c>
      <c r="Q28" s="20">
        <f t="shared" ca="1" si="16"/>
        <v>235.14000000000004</v>
      </c>
      <c r="R28" s="94">
        <f t="shared" ca="1" si="19"/>
        <v>341468.25925987901</v>
      </c>
      <c r="S28" s="324">
        <f t="shared" ca="1" si="17"/>
        <v>80292846.482367963</v>
      </c>
      <c r="T28" s="430">
        <f t="shared" si="20"/>
        <v>150100</v>
      </c>
    </row>
    <row r="29" spans="1:31">
      <c r="A29" s="108">
        <f t="shared" si="6"/>
        <v>22</v>
      </c>
      <c r="B29" s="359">
        <v>310002</v>
      </c>
      <c r="C29" s="324" t="s">
        <v>2317</v>
      </c>
      <c r="D29" s="467" t="s">
        <v>1530</v>
      </c>
      <c r="E29" s="805">
        <v>125.00000000000003</v>
      </c>
      <c r="F29" s="93">
        <v>348016.15503999993</v>
      </c>
      <c r="G29" s="94">
        <f t="shared" si="7"/>
        <v>43502019.380000003</v>
      </c>
      <c r="H29" s="94">
        <f t="shared" ca="1" si="8"/>
        <v>125.00000000000003</v>
      </c>
      <c r="I29" s="94">
        <f t="shared" ca="1" si="9"/>
        <v>348016.15503999993</v>
      </c>
      <c r="J29" s="94">
        <f t="shared" ca="1" si="18"/>
        <v>43502019.380000003</v>
      </c>
      <c r="K29" s="94">
        <f t="shared" ca="1" si="10"/>
        <v>0</v>
      </c>
      <c r="L29" s="94">
        <f t="shared" ca="1" si="11"/>
        <v>0</v>
      </c>
      <c r="M29" s="94">
        <f t="shared" ca="1" si="12"/>
        <v>0</v>
      </c>
      <c r="N29" s="94">
        <f t="shared" ca="1" si="13"/>
        <v>125</v>
      </c>
      <c r="O29" s="94">
        <f t="shared" ca="1" si="14"/>
        <v>348016.15503999993</v>
      </c>
      <c r="P29" s="20">
        <f ca="1">IF($A29="","",SUMIFS(RC_zar_totol,RC_Code,$B29,RC_date,"&gt;="&amp;$P$4,RC_date,"&lt;="&amp;$S$4))</f>
        <v>43502019.379999988</v>
      </c>
      <c r="Q29" s="242">
        <f t="shared" ca="1" si="16"/>
        <v>2.8421709430404007E-14</v>
      </c>
      <c r="R29" s="94">
        <f t="shared" ca="1" si="19"/>
        <v>524288</v>
      </c>
      <c r="S29" s="324">
        <f ca="1">+IF(A29="","",IFERROR(J29+M29-P29,0))</f>
        <v>1.4901161193847656E-8</v>
      </c>
      <c r="T29" s="430">
        <f t="shared" si="20"/>
        <v>150100</v>
      </c>
    </row>
    <row r="30" spans="1:31">
      <c r="A30" s="108">
        <f t="shared" si="6"/>
        <v>23</v>
      </c>
      <c r="B30" s="359">
        <v>410002</v>
      </c>
      <c r="C30" s="324" t="s">
        <v>1852</v>
      </c>
      <c r="D30" s="467" t="s">
        <v>1574</v>
      </c>
      <c r="E30" s="805">
        <v>48</v>
      </c>
      <c r="F30" s="93">
        <v>3500</v>
      </c>
      <c r="G30" s="94">
        <f t="shared" si="7"/>
        <v>168000</v>
      </c>
      <c r="H30" s="94">
        <f t="shared" ca="1" si="8"/>
        <v>48</v>
      </c>
      <c r="I30" s="94">
        <f t="shared" ca="1" si="9"/>
        <v>3500</v>
      </c>
      <c r="J30" s="94">
        <f t="shared" ca="1" si="18"/>
        <v>168000</v>
      </c>
      <c r="K30" s="94">
        <f t="shared" ca="1" si="10"/>
        <v>36</v>
      </c>
      <c r="L30" s="94">
        <f t="shared" ca="1" si="11"/>
        <v>4000</v>
      </c>
      <c r="M30" s="94">
        <f t="shared" ca="1" si="12"/>
        <v>144000</v>
      </c>
      <c r="N30" s="94">
        <f t="shared" ca="1" si="13"/>
        <v>84</v>
      </c>
      <c r="O30" s="94">
        <f t="shared" ca="1" si="14"/>
        <v>3714.2857142857142</v>
      </c>
      <c r="P30" s="20">
        <f t="shared" ca="1" si="15"/>
        <v>312000</v>
      </c>
      <c r="Q30" s="242">
        <f t="shared" ca="1" si="16"/>
        <v>0</v>
      </c>
      <c r="R30" s="94">
        <f t="shared" ca="1" si="19"/>
        <v>0</v>
      </c>
      <c r="S30" s="324">
        <f t="shared" ca="1" si="17"/>
        <v>0</v>
      </c>
      <c r="T30" s="430">
        <f t="shared" si="20"/>
        <v>160100</v>
      </c>
    </row>
    <row r="31" spans="1:31">
      <c r="A31" s="108">
        <f t="shared" ref="A31:A48" si="21">+IF(B31="","",ROW()-7)</f>
        <v>24</v>
      </c>
      <c r="B31" s="359">
        <v>410054</v>
      </c>
      <c r="C31" s="324" t="s">
        <v>1526</v>
      </c>
      <c r="D31" s="467" t="s">
        <v>995</v>
      </c>
      <c r="E31" s="805">
        <v>602</v>
      </c>
      <c r="F31" s="93">
        <v>1929.3490863787374</v>
      </c>
      <c r="G31" s="94">
        <f t="shared" si="7"/>
        <v>1161468.1499999999</v>
      </c>
      <c r="H31" s="94">
        <f t="shared" ref="H31:H48" ca="1" si="22">IF(A31="","",E31+SUMIFS(RC_or_unit,RC_Code,B31,RC_date,"&lt;"&amp;$P$4)-SUMIFS(RC_zar_unit,RC_Code,B31,RC_date,"&lt;"&amp;$P$4))</f>
        <v>602</v>
      </c>
      <c r="I31" s="94">
        <f t="shared" ca="1" si="9"/>
        <v>1929.3490863787374</v>
      </c>
      <c r="J31" s="94">
        <f t="shared" ref="J31:J48" ca="1" si="23">IF(A31="","",G31+SUMIFS(RC_or_totol,RC_Code,B31,RC_date,"&lt;"&amp;$P$4)-SUMIFS(RC_zar_totol,RC_Code,B31,RC_date,"&lt;"&amp;$P$4))</f>
        <v>1161468.1499999999</v>
      </c>
      <c r="K31" s="94">
        <f t="shared" ref="K31:K48" ca="1" si="24">IF(A31="","",SUMIFS(RC_or_unit,RC_Code,B31,RC_date,"&gt;="&amp;$P$4,RC_date,"&lt;="&amp;$S$4))</f>
        <v>1230</v>
      </c>
      <c r="L31" s="94">
        <f t="shared" ref="L31:L48" ca="1" si="25">+IF(A31="","",IFERROR(M31/K31,0))</f>
        <v>5199.9999959349598</v>
      </c>
      <c r="M31" s="94">
        <f t="shared" ca="1" si="12"/>
        <v>6395999.9950000001</v>
      </c>
      <c r="N31" s="94">
        <f t="shared" ref="N31:N48" ca="1" si="26">IF($A31="","",SUMIFS(RC_zar_unit,RC_Code,$B31,RC_date,"&gt;="&amp;$P$4,RC_date,"&lt;="&amp;$S$4))</f>
        <v>1832</v>
      </c>
      <c r="O31" s="94">
        <f t="shared" ref="O31:O48" ca="1" si="27">+IF(A31="","",IFERROR(P31/N31,0))</f>
        <v>4125.2555376637556</v>
      </c>
      <c r="P31" s="94">
        <f t="shared" ref="P31:P48" ca="1" si="28">IF($A31="","",SUMIFS(RC_zar_totol,RC_Code,$B31,RC_date,"&gt;="&amp;$P$4,RC_date,"&lt;="&amp;$S$4))</f>
        <v>7557468.1449999996</v>
      </c>
      <c r="Q31" s="242">
        <f t="shared" ref="Q31:Q48" ca="1" si="29">+IF(A31="","",IFERROR(H31+K31-N31,0))</f>
        <v>0</v>
      </c>
      <c r="R31" s="94">
        <f t="shared" ref="R31:R48" ca="1" si="30">+IF(G31="","",IFERROR(S31/Q31,0))</f>
        <v>0</v>
      </c>
      <c r="S31" s="324">
        <f t="shared" ref="S31:S48" ca="1" si="31">+IF(A31="","",IFERROR(J31+M31-P31,0))</f>
        <v>0</v>
      </c>
      <c r="T31" s="430">
        <f t="shared" ref="T31:T48" si="32">+IF(LEFT(B31,3)="131",140100,0)+IF(LEFT(B31,3)="310",150100,0)+IF(LEFT(B31,3)="211",150101,0)+IF(LEFT(B31,3)="410",160100,0)+IF(LEFT(B31,3)="440",160200,0)+IF(LEFT(B31,3)="430",160200,0)+IF(LEFT(B31,3)="420",160200,0)+IF(LEFT(B31,3)="460",160201,0)+IF(LEFT(B31,3)="210",150101,0)+IF(LEFT(B31,3)="510",140100,0)</f>
        <v>160100</v>
      </c>
    </row>
    <row r="32" spans="1:31">
      <c r="A32" s="108">
        <f t="shared" si="21"/>
        <v>25</v>
      </c>
      <c r="B32" s="359">
        <v>410077</v>
      </c>
      <c r="C32" s="324" t="s">
        <v>2327</v>
      </c>
      <c r="D32" s="467" t="s">
        <v>995</v>
      </c>
      <c r="E32" s="805">
        <v>441</v>
      </c>
      <c r="F32" s="93">
        <v>12244.45</v>
      </c>
      <c r="G32" s="94">
        <f t="shared" si="7"/>
        <v>5399802.4500000002</v>
      </c>
      <c r="H32" s="94">
        <f t="shared" ca="1" si="22"/>
        <v>441</v>
      </c>
      <c r="I32" s="94">
        <f t="shared" ca="1" si="9"/>
        <v>12244.45</v>
      </c>
      <c r="J32" s="94">
        <f t="shared" ca="1" si="23"/>
        <v>5399802.4500000002</v>
      </c>
      <c r="K32" s="94">
        <f t="shared" ca="1" si="24"/>
        <v>0</v>
      </c>
      <c r="L32" s="94">
        <f t="shared" ca="1" si="25"/>
        <v>0</v>
      </c>
      <c r="M32" s="94">
        <f t="shared" ca="1" si="12"/>
        <v>0</v>
      </c>
      <c r="N32" s="94">
        <f t="shared" ca="1" si="26"/>
        <v>0</v>
      </c>
      <c r="O32" s="94">
        <f t="shared" ca="1" si="27"/>
        <v>0</v>
      </c>
      <c r="P32" s="94">
        <f t="shared" ca="1" si="28"/>
        <v>0</v>
      </c>
      <c r="Q32" s="242">
        <f t="shared" ca="1" si="29"/>
        <v>441</v>
      </c>
      <c r="R32" s="94">
        <f t="shared" ca="1" si="30"/>
        <v>12244.45</v>
      </c>
      <c r="S32" s="324">
        <f t="shared" ca="1" si="31"/>
        <v>5399802.4500000002</v>
      </c>
      <c r="T32" s="430">
        <f t="shared" si="32"/>
        <v>160100</v>
      </c>
    </row>
    <row r="33" spans="1:20">
      <c r="A33" s="108">
        <f t="shared" si="21"/>
        <v>26</v>
      </c>
      <c r="B33" s="359">
        <v>410083</v>
      </c>
      <c r="C33" s="324" t="s">
        <v>2328</v>
      </c>
      <c r="D33" s="467" t="s">
        <v>995</v>
      </c>
      <c r="E33" s="805">
        <v>87</v>
      </c>
      <c r="F33" s="93">
        <v>123954.55</v>
      </c>
      <c r="G33" s="94">
        <f t="shared" si="7"/>
        <v>10784045.85</v>
      </c>
      <c r="H33" s="94">
        <f t="shared" ca="1" si="22"/>
        <v>87</v>
      </c>
      <c r="I33" s="94">
        <f t="shared" ca="1" si="9"/>
        <v>123954.55</v>
      </c>
      <c r="J33" s="94">
        <f t="shared" ca="1" si="23"/>
        <v>10784045.85</v>
      </c>
      <c r="K33" s="94">
        <f t="shared" ca="1" si="24"/>
        <v>0</v>
      </c>
      <c r="L33" s="94">
        <f t="shared" ca="1" si="25"/>
        <v>0</v>
      </c>
      <c r="M33" s="94">
        <f t="shared" ca="1" si="12"/>
        <v>0</v>
      </c>
      <c r="N33" s="94">
        <f t="shared" ca="1" si="26"/>
        <v>31</v>
      </c>
      <c r="O33" s="94">
        <f t="shared" ca="1" si="27"/>
        <v>123954.55</v>
      </c>
      <c r="P33" s="94">
        <f t="shared" ca="1" si="28"/>
        <v>3842591.0500000003</v>
      </c>
      <c r="Q33" s="242">
        <f t="shared" ca="1" si="29"/>
        <v>56</v>
      </c>
      <c r="R33" s="94">
        <f t="shared" ca="1" si="30"/>
        <v>123954.54999999997</v>
      </c>
      <c r="S33" s="324">
        <f t="shared" ca="1" si="31"/>
        <v>6941454.7999999989</v>
      </c>
      <c r="T33" s="430">
        <f t="shared" si="32"/>
        <v>160100</v>
      </c>
    </row>
    <row r="34" spans="1:20">
      <c r="A34" s="108">
        <f t="shared" si="21"/>
        <v>27</v>
      </c>
      <c r="B34" s="359">
        <v>410085</v>
      </c>
      <c r="C34" s="324" t="s">
        <v>1528</v>
      </c>
      <c r="D34" s="467" t="s">
        <v>1527</v>
      </c>
      <c r="E34" s="805">
        <v>937.40000000000009</v>
      </c>
      <c r="F34" s="93">
        <v>7343.7387027949644</v>
      </c>
      <c r="G34" s="94">
        <f t="shared" si="7"/>
        <v>6884020.6600000001</v>
      </c>
      <c r="H34" s="94">
        <f t="shared" ca="1" si="22"/>
        <v>937.40000000000009</v>
      </c>
      <c r="I34" s="94">
        <f t="shared" ca="1" si="9"/>
        <v>7343.7387027949644</v>
      </c>
      <c r="J34" s="94">
        <f t="shared" ca="1" si="23"/>
        <v>6884020.6600000001</v>
      </c>
      <c r="K34" s="94">
        <f t="shared" ca="1" si="24"/>
        <v>1830</v>
      </c>
      <c r="L34" s="94">
        <f t="shared" ca="1" si="25"/>
        <v>7202.1857898907092</v>
      </c>
      <c r="M34" s="94">
        <f t="shared" ca="1" si="12"/>
        <v>13179999.995499998</v>
      </c>
      <c r="N34" s="94">
        <f t="shared" ca="1" si="26"/>
        <v>2767.4</v>
      </c>
      <c r="O34" s="94">
        <f t="shared" ca="1" si="27"/>
        <v>7250.1339363662637</v>
      </c>
      <c r="P34" s="94">
        <f t="shared" ca="1" si="28"/>
        <v>20064020.655499998</v>
      </c>
      <c r="Q34" s="242">
        <f t="shared" ca="1" si="29"/>
        <v>0</v>
      </c>
      <c r="R34" s="94">
        <f t="shared" ca="1" si="30"/>
        <v>0</v>
      </c>
      <c r="S34" s="324">
        <f t="shared" ca="1" si="31"/>
        <v>0</v>
      </c>
      <c r="T34" s="430">
        <f t="shared" si="32"/>
        <v>160100</v>
      </c>
    </row>
    <row r="35" spans="1:20">
      <c r="A35" s="108">
        <f t="shared" si="21"/>
        <v>28</v>
      </c>
      <c r="B35" s="359">
        <v>410093</v>
      </c>
      <c r="C35" s="324" t="s">
        <v>2329</v>
      </c>
      <c r="D35" s="467" t="s">
        <v>995</v>
      </c>
      <c r="E35" s="805">
        <v>3</v>
      </c>
      <c r="F35" s="93">
        <v>180606.05999999997</v>
      </c>
      <c r="G35" s="94">
        <f t="shared" si="7"/>
        <v>541818.17999999993</v>
      </c>
      <c r="H35" s="94">
        <f t="shared" ca="1" si="22"/>
        <v>3</v>
      </c>
      <c r="I35" s="94">
        <f t="shared" ca="1" si="9"/>
        <v>180606.05999999997</v>
      </c>
      <c r="J35" s="94">
        <f t="shared" ca="1" si="23"/>
        <v>541818.17999999993</v>
      </c>
      <c r="K35" s="94">
        <f t="shared" ca="1" si="24"/>
        <v>0</v>
      </c>
      <c r="L35" s="94">
        <f t="shared" ca="1" si="25"/>
        <v>0</v>
      </c>
      <c r="M35" s="94">
        <f t="shared" ca="1" si="12"/>
        <v>0</v>
      </c>
      <c r="N35" s="94">
        <f t="shared" ca="1" si="26"/>
        <v>0</v>
      </c>
      <c r="O35" s="94">
        <f t="shared" ca="1" si="27"/>
        <v>0</v>
      </c>
      <c r="P35" s="94">
        <f t="shared" ca="1" si="28"/>
        <v>0</v>
      </c>
      <c r="Q35" s="242">
        <f t="shared" ca="1" si="29"/>
        <v>3</v>
      </c>
      <c r="R35" s="94">
        <f t="shared" ca="1" si="30"/>
        <v>180606.05999999997</v>
      </c>
      <c r="S35" s="324">
        <f t="shared" ca="1" si="31"/>
        <v>541818.17999999993</v>
      </c>
      <c r="T35" s="430">
        <f t="shared" si="32"/>
        <v>160100</v>
      </c>
    </row>
    <row r="36" spans="1:20">
      <c r="A36" s="108">
        <f t="shared" si="21"/>
        <v>29</v>
      </c>
      <c r="B36" s="359">
        <v>410106</v>
      </c>
      <c r="C36" s="324" t="s">
        <v>2330</v>
      </c>
      <c r="D36" s="467" t="s">
        <v>995</v>
      </c>
      <c r="E36" s="805">
        <v>4</v>
      </c>
      <c r="F36" s="93">
        <v>1399204.55</v>
      </c>
      <c r="G36" s="94">
        <f t="shared" si="7"/>
        <v>5596818.2000000002</v>
      </c>
      <c r="H36" s="94">
        <f t="shared" ca="1" si="22"/>
        <v>4</v>
      </c>
      <c r="I36" s="94">
        <f t="shared" ca="1" si="9"/>
        <v>1399204.55</v>
      </c>
      <c r="J36" s="94">
        <f t="shared" ca="1" si="23"/>
        <v>5596818.2000000002</v>
      </c>
      <c r="K36" s="94">
        <f t="shared" ca="1" si="24"/>
        <v>0</v>
      </c>
      <c r="L36" s="94">
        <f t="shared" ca="1" si="25"/>
        <v>0</v>
      </c>
      <c r="M36" s="94">
        <f t="shared" ca="1" si="12"/>
        <v>0</v>
      </c>
      <c r="N36" s="94">
        <f t="shared" ca="1" si="26"/>
        <v>0</v>
      </c>
      <c r="O36" s="94">
        <f t="shared" ca="1" si="27"/>
        <v>0</v>
      </c>
      <c r="P36" s="94">
        <f t="shared" ca="1" si="28"/>
        <v>0</v>
      </c>
      <c r="Q36" s="242">
        <f t="shared" ca="1" si="29"/>
        <v>4</v>
      </c>
      <c r="R36" s="94">
        <f t="shared" ca="1" si="30"/>
        <v>1399204.55</v>
      </c>
      <c r="S36" s="324">
        <f t="shared" ca="1" si="31"/>
        <v>5596818.2000000002</v>
      </c>
      <c r="T36" s="430">
        <f t="shared" si="32"/>
        <v>160100</v>
      </c>
    </row>
    <row r="37" spans="1:20">
      <c r="A37" s="108">
        <f t="shared" si="21"/>
        <v>30</v>
      </c>
      <c r="B37" s="359">
        <v>410130</v>
      </c>
      <c r="C37" s="324" t="s">
        <v>2331</v>
      </c>
      <c r="D37" s="467" t="s">
        <v>995</v>
      </c>
      <c r="E37" s="805">
        <v>3</v>
      </c>
      <c r="F37" s="93">
        <v>281212.12</v>
      </c>
      <c r="G37" s="94">
        <f t="shared" si="7"/>
        <v>843636.36</v>
      </c>
      <c r="H37" s="94">
        <f t="shared" ca="1" si="22"/>
        <v>3</v>
      </c>
      <c r="I37" s="94">
        <f t="shared" ca="1" si="9"/>
        <v>281212.12</v>
      </c>
      <c r="J37" s="94">
        <f t="shared" ca="1" si="23"/>
        <v>843636.36</v>
      </c>
      <c r="K37" s="94">
        <f t="shared" ca="1" si="24"/>
        <v>0</v>
      </c>
      <c r="L37" s="94">
        <f t="shared" ca="1" si="25"/>
        <v>0</v>
      </c>
      <c r="M37" s="94">
        <f t="shared" ca="1" si="12"/>
        <v>0</v>
      </c>
      <c r="N37" s="94">
        <f t="shared" ca="1" si="26"/>
        <v>0</v>
      </c>
      <c r="O37" s="94">
        <f t="shared" ca="1" si="27"/>
        <v>0</v>
      </c>
      <c r="P37" s="94">
        <f t="shared" ca="1" si="28"/>
        <v>0</v>
      </c>
      <c r="Q37" s="242">
        <f t="shared" ca="1" si="29"/>
        <v>3</v>
      </c>
      <c r="R37" s="94">
        <f t="shared" ca="1" si="30"/>
        <v>281212.12</v>
      </c>
      <c r="S37" s="324">
        <f t="shared" ca="1" si="31"/>
        <v>843636.36</v>
      </c>
      <c r="T37" s="430">
        <f t="shared" si="32"/>
        <v>160100</v>
      </c>
    </row>
    <row r="38" spans="1:20">
      <c r="A38" s="108">
        <f t="shared" si="21"/>
        <v>31</v>
      </c>
      <c r="B38" s="359">
        <v>410137</v>
      </c>
      <c r="C38" s="324" t="s">
        <v>2332</v>
      </c>
      <c r="D38" s="467" t="s">
        <v>995</v>
      </c>
      <c r="E38" s="805">
        <v>1</v>
      </c>
      <c r="F38" s="93">
        <v>65927.27</v>
      </c>
      <c r="G38" s="94">
        <f t="shared" si="7"/>
        <v>65927.27</v>
      </c>
      <c r="H38" s="94">
        <f t="shared" ca="1" si="22"/>
        <v>1</v>
      </c>
      <c r="I38" s="94">
        <f t="shared" ca="1" si="9"/>
        <v>65927.27</v>
      </c>
      <c r="J38" s="94">
        <f t="shared" ca="1" si="23"/>
        <v>65927.27</v>
      </c>
      <c r="K38" s="94">
        <f t="shared" ca="1" si="24"/>
        <v>0</v>
      </c>
      <c r="L38" s="94">
        <f t="shared" ca="1" si="25"/>
        <v>0</v>
      </c>
      <c r="M38" s="94">
        <f t="shared" ca="1" si="12"/>
        <v>0</v>
      </c>
      <c r="N38" s="94">
        <f t="shared" ca="1" si="26"/>
        <v>0</v>
      </c>
      <c r="O38" s="94">
        <f t="shared" ca="1" si="27"/>
        <v>0</v>
      </c>
      <c r="P38" s="94">
        <f t="shared" ca="1" si="28"/>
        <v>0</v>
      </c>
      <c r="Q38" s="242">
        <f t="shared" ca="1" si="29"/>
        <v>1</v>
      </c>
      <c r="R38" s="94">
        <f t="shared" ca="1" si="30"/>
        <v>65927.27</v>
      </c>
      <c r="S38" s="324">
        <f t="shared" ca="1" si="31"/>
        <v>65927.27</v>
      </c>
      <c r="T38" s="430">
        <f t="shared" si="32"/>
        <v>160100</v>
      </c>
    </row>
    <row r="39" spans="1:20">
      <c r="A39" s="108">
        <f t="shared" si="21"/>
        <v>32</v>
      </c>
      <c r="B39" s="359">
        <v>410140</v>
      </c>
      <c r="C39" s="324" t="s">
        <v>2333</v>
      </c>
      <c r="D39" s="467" t="s">
        <v>995</v>
      </c>
      <c r="E39" s="805">
        <v>22</v>
      </c>
      <c r="F39" s="93">
        <v>158413.22</v>
      </c>
      <c r="G39" s="94">
        <f t="shared" si="7"/>
        <v>3485090.84</v>
      </c>
      <c r="H39" s="94">
        <f t="shared" ca="1" si="22"/>
        <v>22</v>
      </c>
      <c r="I39" s="94">
        <f t="shared" ca="1" si="9"/>
        <v>158413.22</v>
      </c>
      <c r="J39" s="94">
        <f t="shared" ca="1" si="23"/>
        <v>3485090.84</v>
      </c>
      <c r="K39" s="94">
        <f t="shared" ca="1" si="24"/>
        <v>0</v>
      </c>
      <c r="L39" s="94">
        <f t="shared" ca="1" si="25"/>
        <v>0</v>
      </c>
      <c r="M39" s="94">
        <f t="shared" ca="1" si="12"/>
        <v>0</v>
      </c>
      <c r="N39" s="94">
        <f t="shared" ca="1" si="26"/>
        <v>0</v>
      </c>
      <c r="O39" s="94">
        <f t="shared" ca="1" si="27"/>
        <v>0</v>
      </c>
      <c r="P39" s="94">
        <f t="shared" ca="1" si="28"/>
        <v>0</v>
      </c>
      <c r="Q39" s="242">
        <f t="shared" ca="1" si="29"/>
        <v>22</v>
      </c>
      <c r="R39" s="94">
        <f t="shared" ca="1" si="30"/>
        <v>158413.22</v>
      </c>
      <c r="S39" s="324">
        <f t="shared" ca="1" si="31"/>
        <v>3485090.84</v>
      </c>
      <c r="T39" s="430">
        <f t="shared" si="32"/>
        <v>160100</v>
      </c>
    </row>
    <row r="40" spans="1:20">
      <c r="A40" s="108">
        <f t="shared" si="21"/>
        <v>33</v>
      </c>
      <c r="B40" s="359">
        <v>410268</v>
      </c>
      <c r="C40" s="324" t="s">
        <v>2334</v>
      </c>
      <c r="D40" s="467" t="s">
        <v>995</v>
      </c>
      <c r="E40" s="805">
        <v>37</v>
      </c>
      <c r="F40" s="93">
        <v>12243.24</v>
      </c>
      <c r="G40" s="94">
        <f t="shared" si="7"/>
        <v>452999.88</v>
      </c>
      <c r="H40" s="94">
        <f t="shared" ca="1" si="22"/>
        <v>37</v>
      </c>
      <c r="I40" s="94">
        <f t="shared" ca="1" si="9"/>
        <v>12243.24</v>
      </c>
      <c r="J40" s="94">
        <f t="shared" ca="1" si="23"/>
        <v>452999.88</v>
      </c>
      <c r="K40" s="94">
        <f t="shared" ca="1" si="24"/>
        <v>0</v>
      </c>
      <c r="L40" s="94">
        <f t="shared" ca="1" si="25"/>
        <v>0</v>
      </c>
      <c r="M40" s="94">
        <f t="shared" ca="1" si="12"/>
        <v>0</v>
      </c>
      <c r="N40" s="94">
        <f t="shared" ca="1" si="26"/>
        <v>0</v>
      </c>
      <c r="O40" s="94">
        <f t="shared" ca="1" si="27"/>
        <v>0</v>
      </c>
      <c r="P40" s="94">
        <f t="shared" ca="1" si="28"/>
        <v>0</v>
      </c>
      <c r="Q40" s="242">
        <f t="shared" ca="1" si="29"/>
        <v>37</v>
      </c>
      <c r="R40" s="94">
        <f t="shared" ca="1" si="30"/>
        <v>12243.24</v>
      </c>
      <c r="S40" s="324">
        <f t="shared" ca="1" si="31"/>
        <v>452999.88</v>
      </c>
      <c r="T40" s="430">
        <f t="shared" si="32"/>
        <v>160100</v>
      </c>
    </row>
    <row r="41" spans="1:20">
      <c r="A41" s="108">
        <f t="shared" si="21"/>
        <v>34</v>
      </c>
      <c r="B41" s="359">
        <v>410269</v>
      </c>
      <c r="C41" s="324" t="s">
        <v>2335</v>
      </c>
      <c r="D41" s="467" t="s">
        <v>995</v>
      </c>
      <c r="E41" s="805">
        <v>26</v>
      </c>
      <c r="F41" s="93">
        <v>14000</v>
      </c>
      <c r="G41" s="94">
        <f t="shared" si="7"/>
        <v>364000</v>
      </c>
      <c r="H41" s="94">
        <f t="shared" ca="1" si="22"/>
        <v>26</v>
      </c>
      <c r="I41" s="94">
        <f t="shared" ca="1" si="9"/>
        <v>14000</v>
      </c>
      <c r="J41" s="94">
        <f t="shared" ca="1" si="23"/>
        <v>364000</v>
      </c>
      <c r="K41" s="94">
        <f t="shared" ca="1" si="24"/>
        <v>0</v>
      </c>
      <c r="L41" s="94">
        <f t="shared" ca="1" si="25"/>
        <v>0</v>
      </c>
      <c r="M41" s="94">
        <f t="shared" ca="1" si="12"/>
        <v>0</v>
      </c>
      <c r="N41" s="94">
        <f t="shared" ca="1" si="26"/>
        <v>0</v>
      </c>
      <c r="O41" s="94">
        <f t="shared" ca="1" si="27"/>
        <v>0</v>
      </c>
      <c r="P41" s="94">
        <f t="shared" ca="1" si="28"/>
        <v>0</v>
      </c>
      <c r="Q41" s="242">
        <f t="shared" ca="1" si="29"/>
        <v>26</v>
      </c>
      <c r="R41" s="94">
        <f t="shared" ca="1" si="30"/>
        <v>14000</v>
      </c>
      <c r="S41" s="324">
        <f t="shared" ca="1" si="31"/>
        <v>364000</v>
      </c>
      <c r="T41" s="430">
        <f t="shared" si="32"/>
        <v>160100</v>
      </c>
    </row>
    <row r="42" spans="1:20">
      <c r="A42" s="108">
        <f t="shared" si="21"/>
        <v>35</v>
      </c>
      <c r="B42" s="359">
        <v>410271</v>
      </c>
      <c r="C42" s="324" t="s">
        <v>2336</v>
      </c>
      <c r="D42" s="467" t="s">
        <v>995</v>
      </c>
      <c r="E42" s="805">
        <v>30</v>
      </c>
      <c r="F42" s="93">
        <v>2500</v>
      </c>
      <c r="G42" s="94">
        <f t="shared" si="7"/>
        <v>75000</v>
      </c>
      <c r="H42" s="94">
        <f t="shared" ca="1" si="22"/>
        <v>30</v>
      </c>
      <c r="I42" s="94">
        <f t="shared" ca="1" si="9"/>
        <v>2500</v>
      </c>
      <c r="J42" s="94">
        <f t="shared" ca="1" si="23"/>
        <v>75000</v>
      </c>
      <c r="K42" s="94">
        <f t="shared" ca="1" si="24"/>
        <v>0</v>
      </c>
      <c r="L42" s="94">
        <f t="shared" ca="1" si="25"/>
        <v>0</v>
      </c>
      <c r="M42" s="94">
        <f t="shared" ref="M42:M48" ca="1" si="33">IF($A42="","",SUMIFS(RC_or_totol,RC_Code,$B42,RC_date,"&gt;="&amp;$P$4,RC_date,"&lt;="&amp;$S$4))</f>
        <v>0</v>
      </c>
      <c r="N42" s="94">
        <f t="shared" ca="1" si="26"/>
        <v>0</v>
      </c>
      <c r="O42" s="94">
        <f t="shared" ca="1" si="27"/>
        <v>0</v>
      </c>
      <c r="P42" s="94">
        <f t="shared" ca="1" si="28"/>
        <v>0</v>
      </c>
      <c r="Q42" s="242">
        <f t="shared" ca="1" si="29"/>
        <v>30</v>
      </c>
      <c r="R42" s="94">
        <f t="shared" ca="1" si="30"/>
        <v>2500</v>
      </c>
      <c r="S42" s="324">
        <f t="shared" ca="1" si="31"/>
        <v>75000</v>
      </c>
      <c r="T42" s="430">
        <f t="shared" si="32"/>
        <v>160100</v>
      </c>
    </row>
    <row r="43" spans="1:20">
      <c r="A43" s="108">
        <f t="shared" si="21"/>
        <v>36</v>
      </c>
      <c r="B43" s="359">
        <v>410279</v>
      </c>
      <c r="C43" s="324" t="s">
        <v>2337</v>
      </c>
      <c r="D43" s="467" t="s">
        <v>1529</v>
      </c>
      <c r="E43" s="805">
        <v>13.67</v>
      </c>
      <c r="F43" s="93">
        <v>280000</v>
      </c>
      <c r="G43" s="94">
        <f t="shared" si="7"/>
        <v>3827600</v>
      </c>
      <c r="H43" s="94">
        <f t="shared" ca="1" si="22"/>
        <v>13.67</v>
      </c>
      <c r="I43" s="94">
        <f t="shared" ca="1" si="9"/>
        <v>280000</v>
      </c>
      <c r="J43" s="94">
        <f t="shared" ca="1" si="23"/>
        <v>3827600</v>
      </c>
      <c r="K43" s="94">
        <f t="shared" ca="1" si="24"/>
        <v>0</v>
      </c>
      <c r="L43" s="94">
        <f t="shared" ca="1" si="25"/>
        <v>0</v>
      </c>
      <c r="M43" s="94">
        <f t="shared" ca="1" si="33"/>
        <v>0</v>
      </c>
      <c r="N43" s="94">
        <f t="shared" ca="1" si="26"/>
        <v>0</v>
      </c>
      <c r="O43" s="94">
        <f t="shared" ca="1" si="27"/>
        <v>0</v>
      </c>
      <c r="P43" s="94">
        <f t="shared" ca="1" si="28"/>
        <v>0</v>
      </c>
      <c r="Q43" s="242">
        <f t="shared" ca="1" si="29"/>
        <v>13.67</v>
      </c>
      <c r="R43" s="94">
        <f t="shared" ca="1" si="30"/>
        <v>280000</v>
      </c>
      <c r="S43" s="324">
        <f t="shared" ca="1" si="31"/>
        <v>3827600</v>
      </c>
      <c r="T43" s="430">
        <f t="shared" si="32"/>
        <v>160100</v>
      </c>
    </row>
    <row r="44" spans="1:20">
      <c r="A44" s="108">
        <f t="shared" si="21"/>
        <v>37</v>
      </c>
      <c r="B44" s="359">
        <v>410288</v>
      </c>
      <c r="C44" s="324" t="s">
        <v>2338</v>
      </c>
      <c r="D44" s="467" t="s">
        <v>995</v>
      </c>
      <c r="E44" s="805">
        <v>2</v>
      </c>
      <c r="F44" s="93">
        <v>478275</v>
      </c>
      <c r="G44" s="94">
        <f t="shared" si="7"/>
        <v>956550</v>
      </c>
      <c r="H44" s="94">
        <f t="shared" ca="1" si="22"/>
        <v>2</v>
      </c>
      <c r="I44" s="94">
        <f t="shared" ca="1" si="9"/>
        <v>478275</v>
      </c>
      <c r="J44" s="94">
        <f t="shared" ca="1" si="23"/>
        <v>956550</v>
      </c>
      <c r="K44" s="94">
        <f t="shared" ca="1" si="24"/>
        <v>0</v>
      </c>
      <c r="L44" s="94">
        <f t="shared" ca="1" si="25"/>
        <v>0</v>
      </c>
      <c r="M44" s="94">
        <f t="shared" ca="1" si="33"/>
        <v>0</v>
      </c>
      <c r="N44" s="94">
        <f t="shared" ca="1" si="26"/>
        <v>0</v>
      </c>
      <c r="O44" s="94">
        <f t="shared" ca="1" si="27"/>
        <v>0</v>
      </c>
      <c r="P44" s="94">
        <f t="shared" ca="1" si="28"/>
        <v>0</v>
      </c>
      <c r="Q44" s="242">
        <f t="shared" ca="1" si="29"/>
        <v>2</v>
      </c>
      <c r="R44" s="94">
        <f t="shared" ca="1" si="30"/>
        <v>478275</v>
      </c>
      <c r="S44" s="324">
        <f t="shared" ca="1" si="31"/>
        <v>956550</v>
      </c>
      <c r="T44" s="430">
        <f t="shared" si="32"/>
        <v>160100</v>
      </c>
    </row>
    <row r="45" spans="1:20">
      <c r="A45" s="108">
        <f t="shared" si="21"/>
        <v>38</v>
      </c>
      <c r="B45" s="359">
        <v>410341</v>
      </c>
      <c r="C45" s="324" t="s">
        <v>1531</v>
      </c>
      <c r="D45" s="467" t="s">
        <v>995</v>
      </c>
      <c r="E45" s="805">
        <v>240</v>
      </c>
      <c r="F45" s="93">
        <v>12900</v>
      </c>
      <c r="G45" s="94">
        <f t="shared" si="7"/>
        <v>3096000</v>
      </c>
      <c r="H45" s="94">
        <f t="shared" ca="1" si="22"/>
        <v>240</v>
      </c>
      <c r="I45" s="94">
        <f t="shared" ca="1" si="9"/>
        <v>12900</v>
      </c>
      <c r="J45" s="94">
        <f t="shared" ca="1" si="23"/>
        <v>3096000</v>
      </c>
      <c r="K45" s="94">
        <f t="shared" ca="1" si="24"/>
        <v>0</v>
      </c>
      <c r="L45" s="94">
        <f t="shared" ca="1" si="25"/>
        <v>0</v>
      </c>
      <c r="M45" s="94">
        <f t="shared" ca="1" si="33"/>
        <v>0</v>
      </c>
      <c r="N45" s="94">
        <f t="shared" ca="1" si="26"/>
        <v>0</v>
      </c>
      <c r="O45" s="94">
        <f t="shared" ca="1" si="27"/>
        <v>0</v>
      </c>
      <c r="P45" s="94">
        <f t="shared" ca="1" si="28"/>
        <v>0</v>
      </c>
      <c r="Q45" s="242">
        <f t="shared" ca="1" si="29"/>
        <v>240</v>
      </c>
      <c r="R45" s="94">
        <f t="shared" ca="1" si="30"/>
        <v>12900</v>
      </c>
      <c r="S45" s="324">
        <f t="shared" ca="1" si="31"/>
        <v>3096000</v>
      </c>
      <c r="T45" s="430">
        <f t="shared" si="32"/>
        <v>160100</v>
      </c>
    </row>
    <row r="46" spans="1:20">
      <c r="A46" s="108">
        <f t="shared" si="21"/>
        <v>39</v>
      </c>
      <c r="B46" s="359">
        <v>410349</v>
      </c>
      <c r="C46" s="324" t="s">
        <v>2339</v>
      </c>
      <c r="D46" s="467" t="s">
        <v>1530</v>
      </c>
      <c r="E46" s="805">
        <v>8</v>
      </c>
      <c r="F46" s="93">
        <v>28000</v>
      </c>
      <c r="G46" s="94">
        <f t="shared" si="7"/>
        <v>224000</v>
      </c>
      <c r="H46" s="94">
        <f t="shared" ca="1" si="22"/>
        <v>8</v>
      </c>
      <c r="I46" s="94">
        <f t="shared" ca="1" si="9"/>
        <v>28000</v>
      </c>
      <c r="J46" s="94">
        <f t="shared" ca="1" si="23"/>
        <v>224000</v>
      </c>
      <c r="K46" s="94">
        <f t="shared" ca="1" si="24"/>
        <v>0</v>
      </c>
      <c r="L46" s="94">
        <f t="shared" ca="1" si="25"/>
        <v>0</v>
      </c>
      <c r="M46" s="94">
        <f t="shared" ca="1" si="33"/>
        <v>0</v>
      </c>
      <c r="N46" s="94">
        <f t="shared" ca="1" si="26"/>
        <v>8</v>
      </c>
      <c r="O46" s="94">
        <f t="shared" ca="1" si="27"/>
        <v>28000</v>
      </c>
      <c r="P46" s="94">
        <f t="shared" ca="1" si="28"/>
        <v>224000</v>
      </c>
      <c r="Q46" s="242">
        <f t="shared" ca="1" si="29"/>
        <v>0</v>
      </c>
      <c r="R46" s="94">
        <f t="shared" ca="1" si="30"/>
        <v>0</v>
      </c>
      <c r="S46" s="324">
        <f t="shared" ca="1" si="31"/>
        <v>0</v>
      </c>
      <c r="T46" s="430">
        <f t="shared" si="32"/>
        <v>160100</v>
      </c>
    </row>
    <row r="47" spans="1:20">
      <c r="A47" s="108">
        <f t="shared" si="21"/>
        <v>40</v>
      </c>
      <c r="B47" s="359">
        <v>410365</v>
      </c>
      <c r="C47" s="324" t="s">
        <v>2340</v>
      </c>
      <c r="D47" s="467" t="s">
        <v>995</v>
      </c>
      <c r="E47" s="805">
        <v>1</v>
      </c>
      <c r="F47" s="93">
        <v>2400000</v>
      </c>
      <c r="G47" s="94">
        <f t="shared" si="7"/>
        <v>2400000</v>
      </c>
      <c r="H47" s="94">
        <f t="shared" ca="1" si="22"/>
        <v>1</v>
      </c>
      <c r="I47" s="94">
        <f t="shared" ca="1" si="9"/>
        <v>2400000</v>
      </c>
      <c r="J47" s="94">
        <f t="shared" ca="1" si="23"/>
        <v>2400000</v>
      </c>
      <c r="K47" s="94">
        <f t="shared" ca="1" si="24"/>
        <v>0</v>
      </c>
      <c r="L47" s="94">
        <f t="shared" ca="1" si="25"/>
        <v>0</v>
      </c>
      <c r="M47" s="94">
        <f t="shared" ca="1" si="33"/>
        <v>0</v>
      </c>
      <c r="N47" s="94">
        <f t="shared" ca="1" si="26"/>
        <v>0</v>
      </c>
      <c r="O47" s="94">
        <f t="shared" ca="1" si="27"/>
        <v>0</v>
      </c>
      <c r="P47" s="94">
        <f t="shared" ca="1" si="28"/>
        <v>0</v>
      </c>
      <c r="Q47" s="242">
        <f t="shared" ca="1" si="29"/>
        <v>1</v>
      </c>
      <c r="R47" s="94">
        <f t="shared" ca="1" si="30"/>
        <v>2400000</v>
      </c>
      <c r="S47" s="324">
        <f t="shared" ca="1" si="31"/>
        <v>2400000</v>
      </c>
      <c r="T47" s="430">
        <f t="shared" si="32"/>
        <v>160100</v>
      </c>
    </row>
    <row r="48" spans="1:20">
      <c r="A48" s="108">
        <f t="shared" si="21"/>
        <v>41</v>
      </c>
      <c r="B48" s="359">
        <v>410369</v>
      </c>
      <c r="C48" s="324" t="s">
        <v>1532</v>
      </c>
      <c r="D48" s="467" t="s">
        <v>995</v>
      </c>
      <c r="E48" s="805">
        <v>995</v>
      </c>
      <c r="F48" s="93">
        <v>93636.363638190945</v>
      </c>
      <c r="G48" s="94">
        <f t="shared" si="7"/>
        <v>93168181.819999993</v>
      </c>
      <c r="H48" s="94">
        <f t="shared" ca="1" si="22"/>
        <v>995</v>
      </c>
      <c r="I48" s="94">
        <f t="shared" ca="1" si="9"/>
        <v>93636.363638190945</v>
      </c>
      <c r="J48" s="94">
        <f t="shared" ca="1" si="23"/>
        <v>93168181.819999993</v>
      </c>
      <c r="K48" s="94">
        <f t="shared" ca="1" si="24"/>
        <v>0</v>
      </c>
      <c r="L48" s="94">
        <f t="shared" ca="1" si="25"/>
        <v>0</v>
      </c>
      <c r="M48" s="94">
        <f t="shared" ca="1" si="33"/>
        <v>0</v>
      </c>
      <c r="N48" s="94">
        <f t="shared" ca="1" si="26"/>
        <v>45</v>
      </c>
      <c r="O48" s="94">
        <f t="shared" ca="1" si="27"/>
        <v>93636.363638190945</v>
      </c>
      <c r="P48" s="20">
        <f t="shared" ca="1" si="28"/>
        <v>4213636.3637185926</v>
      </c>
      <c r="Q48" s="242">
        <f t="shared" ca="1" si="29"/>
        <v>950</v>
      </c>
      <c r="R48" s="94">
        <f t="shared" ca="1" si="30"/>
        <v>93636.363638190945</v>
      </c>
      <c r="S48" s="324">
        <f t="shared" ca="1" si="31"/>
        <v>88954545.456281394</v>
      </c>
      <c r="T48" s="430">
        <f t="shared" si="32"/>
        <v>160100</v>
      </c>
    </row>
    <row r="49" spans="1:20">
      <c r="A49" s="108">
        <f t="shared" ref="A49:A76" si="34">+IF(B49="","",ROW()-7)</f>
        <v>42</v>
      </c>
      <c r="B49" s="359">
        <v>430001</v>
      </c>
      <c r="C49" s="324" t="s">
        <v>1533</v>
      </c>
      <c r="D49" s="467" t="s">
        <v>995</v>
      </c>
      <c r="E49" s="805">
        <v>1</v>
      </c>
      <c r="F49" s="93">
        <v>720000</v>
      </c>
      <c r="G49" s="94">
        <f t="shared" si="7"/>
        <v>720000</v>
      </c>
      <c r="H49" s="94">
        <f t="shared" ref="H49:H79" ca="1" si="35">IF(A49="","",E49+SUMIFS(RC_or_unit,RC_Code,B49,RC_date,"&lt;"&amp;$P$4)-SUMIFS(RC_zar_unit,RC_Code,B49,RC_date,"&lt;"&amp;$P$4))</f>
        <v>1</v>
      </c>
      <c r="I49" s="94">
        <f t="shared" ref="I49:I79" ca="1" si="36">+IF(A49="","",IFERROR(J49/H49,0))</f>
        <v>720000</v>
      </c>
      <c r="J49" s="94">
        <f t="shared" ref="J49:J79" ca="1" si="37">IF(A49="","",G49+SUMIFS(RC_or_totol,RC_Code,B49,RC_date,"&lt;"&amp;$P$4)-SUMIFS(RC_zar_totol,RC_Code,B49,RC_date,"&lt;"&amp;$P$4))</f>
        <v>720000</v>
      </c>
      <c r="K49" s="94">
        <f t="shared" ref="K49:K79" ca="1" si="38">IF(A49="","",SUMIFS(RC_or_unit,RC_Code,B49,RC_date,"&gt;="&amp;$P$4,RC_date,"&lt;="&amp;$S$4))</f>
        <v>0</v>
      </c>
      <c r="L49" s="94">
        <f t="shared" ref="L49:L76" ca="1" si="39">+IF(A49="","",IFERROR(M49/K49,0))</f>
        <v>0</v>
      </c>
      <c r="M49" s="94">
        <f t="shared" ref="M49:M85" ca="1" si="40">IF($A49="","",SUMIFS(RC_or_totol,RC_Code,$B49,RC_date,"&gt;="&amp;$P$4,RC_date,"&lt;="&amp;$S$4))</f>
        <v>0</v>
      </c>
      <c r="N49" s="94">
        <f t="shared" ref="N49:N79" ca="1" si="41">IF($A49="","",SUMIFS(RC_zar_unit,RC_Code,$B49,RC_date,"&gt;="&amp;$P$4,RC_date,"&lt;="&amp;$S$4))</f>
        <v>0</v>
      </c>
      <c r="O49" s="94">
        <f t="shared" ref="O49:O76" ca="1" si="42">+IF(A49="","",IFERROR(P49/N49,0))</f>
        <v>0</v>
      </c>
      <c r="P49" s="20">
        <f t="shared" ref="P49:P79" ca="1" si="43">IF($A49="","",SUMIFS(RC_zar_totol,RC_Code,$B49,RC_date,"&gt;="&amp;$P$4,RC_date,"&lt;="&amp;$S$4))</f>
        <v>0</v>
      </c>
      <c r="Q49" s="242">
        <f t="shared" ref="Q49:Q79" ca="1" si="44">+IF(A49="","",IFERROR(H49+K49-N49,0))</f>
        <v>1</v>
      </c>
      <c r="R49" s="94">
        <f t="shared" ref="R49:R76" ca="1" si="45">+IF(G49="","",IFERROR(S49/Q49,0))</f>
        <v>720000</v>
      </c>
      <c r="S49" s="324">
        <f t="shared" ref="S49:S79" ca="1" si="46">+IF(A49="","",IFERROR(J49+M49-P49,0))</f>
        <v>720000</v>
      </c>
      <c r="T49" s="430">
        <f t="shared" ref="T49:T79" si="47">+IF(LEFT(B49,3)="131",140100,0)+IF(LEFT(B49,3)="310",150100,0)+IF(LEFT(B49,3)="211",150101,0)+IF(LEFT(B49,3)="410",160100,0)+IF(LEFT(B49,3)="440",160200,0)+IF(LEFT(B49,3)="430",160200,0)+IF(LEFT(B49,3)="420",160200,0)+IF(LEFT(B49,3)="460",160201,0)+IF(LEFT(B49,3)="210",150101,0)+IF(LEFT(B49,3)="510",140100,0)</f>
        <v>160200</v>
      </c>
    </row>
    <row r="50" spans="1:20">
      <c r="A50" s="108">
        <f t="shared" si="34"/>
        <v>43</v>
      </c>
      <c r="B50" s="359">
        <v>430002</v>
      </c>
      <c r="C50" s="324" t="s">
        <v>2341</v>
      </c>
      <c r="D50" s="467" t="s">
        <v>995</v>
      </c>
      <c r="E50" s="805">
        <v>1</v>
      </c>
      <c r="F50" s="93">
        <v>249000</v>
      </c>
      <c r="G50" s="94">
        <f t="shared" si="7"/>
        <v>249000</v>
      </c>
      <c r="H50" s="94">
        <f t="shared" ca="1" si="35"/>
        <v>1</v>
      </c>
      <c r="I50" s="94">
        <f t="shared" ca="1" si="36"/>
        <v>249000</v>
      </c>
      <c r="J50" s="94">
        <f t="shared" ca="1" si="37"/>
        <v>249000</v>
      </c>
      <c r="K50" s="94">
        <f t="shared" ca="1" si="38"/>
        <v>0</v>
      </c>
      <c r="L50" s="94">
        <f t="shared" ca="1" si="39"/>
        <v>0</v>
      </c>
      <c r="M50" s="94">
        <f t="shared" ca="1" si="40"/>
        <v>0</v>
      </c>
      <c r="N50" s="94">
        <f t="shared" ca="1" si="41"/>
        <v>0</v>
      </c>
      <c r="O50" s="94">
        <f t="shared" ca="1" si="42"/>
        <v>0</v>
      </c>
      <c r="P50" s="94">
        <f t="shared" ca="1" si="43"/>
        <v>0</v>
      </c>
      <c r="Q50" s="242">
        <f t="shared" ca="1" si="44"/>
        <v>1</v>
      </c>
      <c r="R50" s="94">
        <f t="shared" ca="1" si="45"/>
        <v>249000</v>
      </c>
      <c r="S50" s="324">
        <f t="shared" ca="1" si="46"/>
        <v>249000</v>
      </c>
      <c r="T50" s="430">
        <f t="shared" si="47"/>
        <v>160200</v>
      </c>
    </row>
    <row r="51" spans="1:20">
      <c r="A51" s="108">
        <f t="shared" si="34"/>
        <v>44</v>
      </c>
      <c r="B51" s="359">
        <v>430003</v>
      </c>
      <c r="C51" s="324" t="s">
        <v>2342</v>
      </c>
      <c r="D51" s="467" t="s">
        <v>995</v>
      </c>
      <c r="E51" s="805">
        <v>1</v>
      </c>
      <c r="F51" s="93">
        <v>15000</v>
      </c>
      <c r="G51" s="94">
        <f t="shared" si="7"/>
        <v>15000</v>
      </c>
      <c r="H51" s="94">
        <f t="shared" ca="1" si="35"/>
        <v>1</v>
      </c>
      <c r="I51" s="94">
        <f t="shared" ca="1" si="36"/>
        <v>15000</v>
      </c>
      <c r="J51" s="94">
        <f t="shared" ca="1" si="37"/>
        <v>15000</v>
      </c>
      <c r="K51" s="94">
        <f t="shared" ca="1" si="38"/>
        <v>0</v>
      </c>
      <c r="L51" s="94">
        <f t="shared" ca="1" si="39"/>
        <v>0</v>
      </c>
      <c r="M51" s="94">
        <f t="shared" ca="1" si="40"/>
        <v>0</v>
      </c>
      <c r="N51" s="94">
        <f t="shared" ca="1" si="41"/>
        <v>0</v>
      </c>
      <c r="O51" s="94">
        <f t="shared" ca="1" si="42"/>
        <v>0</v>
      </c>
      <c r="P51" s="94">
        <f t="shared" ca="1" si="43"/>
        <v>0</v>
      </c>
      <c r="Q51" s="242">
        <f t="shared" ca="1" si="44"/>
        <v>1</v>
      </c>
      <c r="R51" s="94">
        <f t="shared" ca="1" si="45"/>
        <v>15000</v>
      </c>
      <c r="S51" s="324">
        <f t="shared" ca="1" si="46"/>
        <v>15000</v>
      </c>
      <c r="T51" s="430">
        <f t="shared" si="47"/>
        <v>160200</v>
      </c>
    </row>
    <row r="52" spans="1:20">
      <c r="A52" s="108">
        <f t="shared" si="34"/>
        <v>45</v>
      </c>
      <c r="B52" s="359">
        <v>430004</v>
      </c>
      <c r="C52" s="324" t="s">
        <v>1691</v>
      </c>
      <c r="D52" s="467" t="s">
        <v>995</v>
      </c>
      <c r="E52" s="805">
        <v>2</v>
      </c>
      <c r="F52" s="93">
        <v>339166.67</v>
      </c>
      <c r="G52" s="94">
        <f t="shared" si="7"/>
        <v>678333.34</v>
      </c>
      <c r="H52" s="94">
        <f t="shared" ca="1" si="35"/>
        <v>2</v>
      </c>
      <c r="I52" s="94">
        <f t="shared" ca="1" si="36"/>
        <v>339166.67</v>
      </c>
      <c r="J52" s="94">
        <f t="shared" ca="1" si="37"/>
        <v>678333.34</v>
      </c>
      <c r="K52" s="94">
        <f t="shared" ca="1" si="38"/>
        <v>0</v>
      </c>
      <c r="L52" s="94">
        <f t="shared" ca="1" si="39"/>
        <v>0</v>
      </c>
      <c r="M52" s="94">
        <f t="shared" ca="1" si="40"/>
        <v>0</v>
      </c>
      <c r="N52" s="94">
        <f t="shared" ca="1" si="41"/>
        <v>0</v>
      </c>
      <c r="O52" s="94">
        <f t="shared" ca="1" si="42"/>
        <v>0</v>
      </c>
      <c r="P52" s="94">
        <f t="shared" ca="1" si="43"/>
        <v>0</v>
      </c>
      <c r="Q52" s="242">
        <f t="shared" ca="1" si="44"/>
        <v>2</v>
      </c>
      <c r="R52" s="94">
        <f t="shared" ca="1" si="45"/>
        <v>339166.67</v>
      </c>
      <c r="S52" s="324">
        <f t="shared" ca="1" si="46"/>
        <v>678333.34</v>
      </c>
      <c r="T52" s="430">
        <f t="shared" si="47"/>
        <v>160200</v>
      </c>
    </row>
    <row r="53" spans="1:20">
      <c r="A53" s="108">
        <f t="shared" si="34"/>
        <v>46</v>
      </c>
      <c r="B53" s="359">
        <v>430005</v>
      </c>
      <c r="C53" s="324" t="s">
        <v>2343</v>
      </c>
      <c r="D53" s="467" t="s">
        <v>995</v>
      </c>
      <c r="E53" s="805">
        <v>1</v>
      </c>
      <c r="F53" s="93">
        <v>945000</v>
      </c>
      <c r="G53" s="94">
        <f t="shared" si="7"/>
        <v>945000</v>
      </c>
      <c r="H53" s="94">
        <f t="shared" ca="1" si="35"/>
        <v>1</v>
      </c>
      <c r="I53" s="94">
        <f t="shared" ca="1" si="36"/>
        <v>945000</v>
      </c>
      <c r="J53" s="94">
        <f t="shared" ca="1" si="37"/>
        <v>945000</v>
      </c>
      <c r="K53" s="94">
        <f t="shared" ca="1" si="38"/>
        <v>0</v>
      </c>
      <c r="L53" s="94">
        <f t="shared" ca="1" si="39"/>
        <v>0</v>
      </c>
      <c r="M53" s="94">
        <f t="shared" ca="1" si="40"/>
        <v>0</v>
      </c>
      <c r="N53" s="94">
        <f t="shared" ca="1" si="41"/>
        <v>0</v>
      </c>
      <c r="O53" s="94">
        <f t="shared" ca="1" si="42"/>
        <v>0</v>
      </c>
      <c r="P53" s="94">
        <f t="shared" ca="1" si="43"/>
        <v>0</v>
      </c>
      <c r="Q53" s="242">
        <f t="shared" ca="1" si="44"/>
        <v>1</v>
      </c>
      <c r="R53" s="94">
        <f t="shared" ca="1" si="45"/>
        <v>945000</v>
      </c>
      <c r="S53" s="324">
        <f t="shared" ca="1" si="46"/>
        <v>945000</v>
      </c>
      <c r="T53" s="430">
        <f t="shared" si="47"/>
        <v>160200</v>
      </c>
    </row>
    <row r="54" spans="1:20">
      <c r="A54" s="108">
        <f t="shared" si="34"/>
        <v>47</v>
      </c>
      <c r="B54" s="359">
        <v>430006</v>
      </c>
      <c r="C54" s="324" t="s">
        <v>1676</v>
      </c>
      <c r="D54" s="467" t="s">
        <v>995</v>
      </c>
      <c r="E54" s="805">
        <v>3</v>
      </c>
      <c r="F54" s="93">
        <v>60666.670000000006</v>
      </c>
      <c r="G54" s="94">
        <f t="shared" si="7"/>
        <v>182000.01</v>
      </c>
      <c r="H54" s="94">
        <f t="shared" ca="1" si="35"/>
        <v>3</v>
      </c>
      <c r="I54" s="94">
        <f t="shared" ca="1" si="36"/>
        <v>60666.670000000006</v>
      </c>
      <c r="J54" s="94">
        <f t="shared" ca="1" si="37"/>
        <v>182000.01</v>
      </c>
      <c r="K54" s="94">
        <f t="shared" ca="1" si="38"/>
        <v>0</v>
      </c>
      <c r="L54" s="94">
        <f t="shared" ca="1" si="39"/>
        <v>0</v>
      </c>
      <c r="M54" s="94">
        <f t="shared" ca="1" si="40"/>
        <v>0</v>
      </c>
      <c r="N54" s="94">
        <f t="shared" ca="1" si="41"/>
        <v>0</v>
      </c>
      <c r="O54" s="94">
        <f t="shared" ca="1" si="42"/>
        <v>0</v>
      </c>
      <c r="P54" s="94">
        <f t="shared" ca="1" si="43"/>
        <v>0</v>
      </c>
      <c r="Q54" s="242">
        <f t="shared" ca="1" si="44"/>
        <v>3</v>
      </c>
      <c r="R54" s="94">
        <f t="shared" ca="1" si="45"/>
        <v>60666.670000000006</v>
      </c>
      <c r="S54" s="324">
        <f t="shared" ca="1" si="46"/>
        <v>182000.01</v>
      </c>
      <c r="T54" s="430">
        <f t="shared" si="47"/>
        <v>160200</v>
      </c>
    </row>
    <row r="55" spans="1:20">
      <c r="A55" s="108">
        <f t="shared" si="34"/>
        <v>48</v>
      </c>
      <c r="B55" s="359">
        <v>430007</v>
      </c>
      <c r="C55" s="324" t="s">
        <v>2344</v>
      </c>
      <c r="D55" s="467" t="s">
        <v>995</v>
      </c>
      <c r="E55" s="805">
        <v>3</v>
      </c>
      <c r="F55" s="93">
        <v>74500</v>
      </c>
      <c r="G55" s="94">
        <f t="shared" si="7"/>
        <v>223500</v>
      </c>
      <c r="H55" s="94">
        <f t="shared" ca="1" si="35"/>
        <v>3</v>
      </c>
      <c r="I55" s="94">
        <f t="shared" ca="1" si="36"/>
        <v>74500</v>
      </c>
      <c r="J55" s="94">
        <f t="shared" ca="1" si="37"/>
        <v>223500</v>
      </c>
      <c r="K55" s="94">
        <f t="shared" ca="1" si="38"/>
        <v>0</v>
      </c>
      <c r="L55" s="94">
        <f t="shared" ca="1" si="39"/>
        <v>0</v>
      </c>
      <c r="M55" s="94">
        <f t="shared" ca="1" si="40"/>
        <v>0</v>
      </c>
      <c r="N55" s="94">
        <f t="shared" ca="1" si="41"/>
        <v>0</v>
      </c>
      <c r="O55" s="94">
        <f t="shared" ca="1" si="42"/>
        <v>0</v>
      </c>
      <c r="P55" s="94">
        <f t="shared" ca="1" si="43"/>
        <v>0</v>
      </c>
      <c r="Q55" s="242">
        <f t="shared" ca="1" si="44"/>
        <v>3</v>
      </c>
      <c r="R55" s="94">
        <f t="shared" ca="1" si="45"/>
        <v>74500</v>
      </c>
      <c r="S55" s="324">
        <f t="shared" ca="1" si="46"/>
        <v>223500</v>
      </c>
      <c r="T55" s="430">
        <f t="shared" si="47"/>
        <v>160200</v>
      </c>
    </row>
    <row r="56" spans="1:20">
      <c r="A56" s="108">
        <f t="shared" si="34"/>
        <v>49</v>
      </c>
      <c r="B56" s="359">
        <v>430008</v>
      </c>
      <c r="C56" s="324" t="s">
        <v>2345</v>
      </c>
      <c r="D56" s="467" t="s">
        <v>995</v>
      </c>
      <c r="E56" s="805">
        <v>3</v>
      </c>
      <c r="F56" s="93">
        <v>9000</v>
      </c>
      <c r="G56" s="94">
        <f t="shared" si="7"/>
        <v>27000</v>
      </c>
      <c r="H56" s="94">
        <f t="shared" ca="1" si="35"/>
        <v>3</v>
      </c>
      <c r="I56" s="94">
        <f t="shared" ca="1" si="36"/>
        <v>9000</v>
      </c>
      <c r="J56" s="94">
        <f t="shared" ca="1" si="37"/>
        <v>27000</v>
      </c>
      <c r="K56" s="94">
        <f t="shared" ca="1" si="38"/>
        <v>0</v>
      </c>
      <c r="L56" s="94">
        <f t="shared" ca="1" si="39"/>
        <v>0</v>
      </c>
      <c r="M56" s="94">
        <f t="shared" ca="1" si="40"/>
        <v>0</v>
      </c>
      <c r="N56" s="94">
        <f t="shared" ca="1" si="41"/>
        <v>0</v>
      </c>
      <c r="O56" s="94">
        <f t="shared" ca="1" si="42"/>
        <v>0</v>
      </c>
      <c r="P56" s="94">
        <f t="shared" ca="1" si="43"/>
        <v>0</v>
      </c>
      <c r="Q56" s="242">
        <f t="shared" ca="1" si="44"/>
        <v>3</v>
      </c>
      <c r="R56" s="94">
        <f t="shared" ca="1" si="45"/>
        <v>9000</v>
      </c>
      <c r="S56" s="324">
        <f t="shared" ca="1" si="46"/>
        <v>27000</v>
      </c>
      <c r="T56" s="430">
        <f t="shared" si="47"/>
        <v>160200</v>
      </c>
    </row>
    <row r="57" spans="1:20">
      <c r="A57" s="108">
        <f t="shared" si="34"/>
        <v>50</v>
      </c>
      <c r="B57" s="359">
        <v>430009</v>
      </c>
      <c r="C57" s="324" t="s">
        <v>2346</v>
      </c>
      <c r="D57" s="467" t="s">
        <v>995</v>
      </c>
      <c r="E57" s="805">
        <v>1</v>
      </c>
      <c r="F57" s="93">
        <v>55000</v>
      </c>
      <c r="G57" s="94">
        <f t="shared" si="7"/>
        <v>55000</v>
      </c>
      <c r="H57" s="94">
        <f t="shared" ca="1" si="35"/>
        <v>1</v>
      </c>
      <c r="I57" s="94">
        <f t="shared" ca="1" si="36"/>
        <v>55000</v>
      </c>
      <c r="J57" s="94">
        <f t="shared" ca="1" si="37"/>
        <v>55000</v>
      </c>
      <c r="K57" s="94">
        <f t="shared" ca="1" si="38"/>
        <v>0</v>
      </c>
      <c r="L57" s="94">
        <f t="shared" ca="1" si="39"/>
        <v>0</v>
      </c>
      <c r="M57" s="94">
        <f t="shared" ca="1" si="40"/>
        <v>0</v>
      </c>
      <c r="N57" s="94">
        <f t="shared" ca="1" si="41"/>
        <v>0</v>
      </c>
      <c r="O57" s="94">
        <f t="shared" ca="1" si="42"/>
        <v>0</v>
      </c>
      <c r="P57" s="94">
        <f t="shared" ca="1" si="43"/>
        <v>0</v>
      </c>
      <c r="Q57" s="242">
        <f t="shared" ca="1" si="44"/>
        <v>1</v>
      </c>
      <c r="R57" s="94">
        <f t="shared" ca="1" si="45"/>
        <v>55000</v>
      </c>
      <c r="S57" s="324">
        <f t="shared" ca="1" si="46"/>
        <v>55000</v>
      </c>
      <c r="T57" s="430">
        <f t="shared" si="47"/>
        <v>160200</v>
      </c>
    </row>
    <row r="58" spans="1:20">
      <c r="A58" s="108">
        <f t="shared" si="34"/>
        <v>51</v>
      </c>
      <c r="B58" s="359">
        <v>430010</v>
      </c>
      <c r="C58" s="324" t="s">
        <v>2347</v>
      </c>
      <c r="D58" s="467" t="s">
        <v>995</v>
      </c>
      <c r="E58" s="805">
        <v>1</v>
      </c>
      <c r="F58" s="93">
        <v>300000</v>
      </c>
      <c r="G58" s="94">
        <f t="shared" si="7"/>
        <v>300000</v>
      </c>
      <c r="H58" s="94">
        <f t="shared" ca="1" si="35"/>
        <v>1</v>
      </c>
      <c r="I58" s="94">
        <f t="shared" ca="1" si="36"/>
        <v>300000</v>
      </c>
      <c r="J58" s="94">
        <f t="shared" ca="1" si="37"/>
        <v>300000</v>
      </c>
      <c r="K58" s="94">
        <f t="shared" ca="1" si="38"/>
        <v>0</v>
      </c>
      <c r="L58" s="94">
        <f t="shared" ca="1" si="39"/>
        <v>0</v>
      </c>
      <c r="M58" s="94">
        <f t="shared" ca="1" si="40"/>
        <v>0</v>
      </c>
      <c r="N58" s="94">
        <f t="shared" ca="1" si="41"/>
        <v>0</v>
      </c>
      <c r="O58" s="94">
        <f t="shared" ca="1" si="42"/>
        <v>0</v>
      </c>
      <c r="P58" s="94">
        <f t="shared" ca="1" si="43"/>
        <v>0</v>
      </c>
      <c r="Q58" s="242">
        <f t="shared" ca="1" si="44"/>
        <v>1</v>
      </c>
      <c r="R58" s="94">
        <f t="shared" ca="1" si="45"/>
        <v>300000</v>
      </c>
      <c r="S58" s="324">
        <f t="shared" ca="1" si="46"/>
        <v>300000</v>
      </c>
      <c r="T58" s="430">
        <f t="shared" si="47"/>
        <v>160200</v>
      </c>
    </row>
    <row r="59" spans="1:20">
      <c r="A59" s="108">
        <f t="shared" si="34"/>
        <v>52</v>
      </c>
      <c r="B59" s="359">
        <v>430011</v>
      </c>
      <c r="C59" s="324" t="s">
        <v>2348</v>
      </c>
      <c r="D59" s="467" t="s">
        <v>995</v>
      </c>
      <c r="E59" s="805">
        <v>1</v>
      </c>
      <c r="F59" s="93">
        <v>87300</v>
      </c>
      <c r="G59" s="94">
        <f t="shared" si="7"/>
        <v>87300</v>
      </c>
      <c r="H59" s="94">
        <f t="shared" ca="1" si="35"/>
        <v>1</v>
      </c>
      <c r="I59" s="94">
        <f t="shared" ca="1" si="36"/>
        <v>87300</v>
      </c>
      <c r="J59" s="94">
        <f t="shared" ca="1" si="37"/>
        <v>87300</v>
      </c>
      <c r="K59" s="94">
        <f t="shared" ca="1" si="38"/>
        <v>0</v>
      </c>
      <c r="L59" s="94">
        <f t="shared" ca="1" si="39"/>
        <v>0</v>
      </c>
      <c r="M59" s="94">
        <f t="shared" ca="1" si="40"/>
        <v>0</v>
      </c>
      <c r="N59" s="94">
        <f t="shared" ca="1" si="41"/>
        <v>0</v>
      </c>
      <c r="O59" s="94">
        <f t="shared" ca="1" si="42"/>
        <v>0</v>
      </c>
      <c r="P59" s="94">
        <f t="shared" ca="1" si="43"/>
        <v>0</v>
      </c>
      <c r="Q59" s="242">
        <f t="shared" ca="1" si="44"/>
        <v>1</v>
      </c>
      <c r="R59" s="94">
        <f t="shared" ca="1" si="45"/>
        <v>87300</v>
      </c>
      <c r="S59" s="324">
        <f t="shared" ca="1" si="46"/>
        <v>87300</v>
      </c>
      <c r="T59" s="430">
        <f t="shared" si="47"/>
        <v>160200</v>
      </c>
    </row>
    <row r="60" spans="1:20">
      <c r="A60" s="108">
        <f t="shared" si="34"/>
        <v>53</v>
      </c>
      <c r="B60" s="359">
        <v>430012</v>
      </c>
      <c r="C60" s="324" t="s">
        <v>2349</v>
      </c>
      <c r="D60" s="467" t="s">
        <v>995</v>
      </c>
      <c r="E60" s="805">
        <v>1</v>
      </c>
      <c r="F60" s="93">
        <v>1650000</v>
      </c>
      <c r="G60" s="94">
        <f t="shared" si="7"/>
        <v>1650000</v>
      </c>
      <c r="H60" s="94">
        <f t="shared" ca="1" si="35"/>
        <v>1</v>
      </c>
      <c r="I60" s="94">
        <f t="shared" ca="1" si="36"/>
        <v>1650000</v>
      </c>
      <c r="J60" s="94">
        <f t="shared" ca="1" si="37"/>
        <v>1650000</v>
      </c>
      <c r="K60" s="94">
        <f t="shared" ca="1" si="38"/>
        <v>0</v>
      </c>
      <c r="L60" s="94">
        <f t="shared" ca="1" si="39"/>
        <v>0</v>
      </c>
      <c r="M60" s="94">
        <f t="shared" ca="1" si="40"/>
        <v>0</v>
      </c>
      <c r="N60" s="94">
        <f t="shared" ca="1" si="41"/>
        <v>0</v>
      </c>
      <c r="O60" s="94">
        <f t="shared" ca="1" si="42"/>
        <v>0</v>
      </c>
      <c r="P60" s="94">
        <f t="shared" ca="1" si="43"/>
        <v>0</v>
      </c>
      <c r="Q60" s="242">
        <f t="shared" ca="1" si="44"/>
        <v>1</v>
      </c>
      <c r="R60" s="94">
        <f t="shared" ca="1" si="45"/>
        <v>1650000</v>
      </c>
      <c r="S60" s="324">
        <f t="shared" ca="1" si="46"/>
        <v>1650000</v>
      </c>
      <c r="T60" s="430">
        <f t="shared" si="47"/>
        <v>160200</v>
      </c>
    </row>
    <row r="61" spans="1:20">
      <c r="A61" s="108">
        <f t="shared" si="34"/>
        <v>54</v>
      </c>
      <c r="B61" s="359">
        <v>430013</v>
      </c>
      <c r="C61" s="324" t="s">
        <v>2350</v>
      </c>
      <c r="D61" s="467" t="s">
        <v>995</v>
      </c>
      <c r="E61" s="805">
        <v>4</v>
      </c>
      <c r="F61" s="93">
        <v>18250</v>
      </c>
      <c r="G61" s="94">
        <f t="shared" si="7"/>
        <v>73000</v>
      </c>
      <c r="H61" s="94">
        <f t="shared" ca="1" si="35"/>
        <v>4</v>
      </c>
      <c r="I61" s="94">
        <f t="shared" ca="1" si="36"/>
        <v>18250</v>
      </c>
      <c r="J61" s="94">
        <f t="shared" ca="1" si="37"/>
        <v>73000</v>
      </c>
      <c r="K61" s="94">
        <f t="shared" ca="1" si="38"/>
        <v>0</v>
      </c>
      <c r="L61" s="94">
        <f t="shared" ca="1" si="39"/>
        <v>0</v>
      </c>
      <c r="M61" s="94">
        <f t="shared" ca="1" si="40"/>
        <v>0</v>
      </c>
      <c r="N61" s="94">
        <f t="shared" ca="1" si="41"/>
        <v>0</v>
      </c>
      <c r="O61" s="94">
        <f t="shared" ca="1" si="42"/>
        <v>0</v>
      </c>
      <c r="P61" s="94">
        <f t="shared" ca="1" si="43"/>
        <v>0</v>
      </c>
      <c r="Q61" s="242">
        <f t="shared" ca="1" si="44"/>
        <v>4</v>
      </c>
      <c r="R61" s="94">
        <f t="shared" ca="1" si="45"/>
        <v>18250</v>
      </c>
      <c r="S61" s="324">
        <f t="shared" ca="1" si="46"/>
        <v>73000</v>
      </c>
      <c r="T61" s="430">
        <f t="shared" si="47"/>
        <v>160200</v>
      </c>
    </row>
    <row r="62" spans="1:20">
      <c r="A62" s="108">
        <f t="shared" si="34"/>
        <v>55</v>
      </c>
      <c r="B62" s="359">
        <v>430014</v>
      </c>
      <c r="C62" s="324" t="s">
        <v>2351</v>
      </c>
      <c r="D62" s="467" t="s">
        <v>995</v>
      </c>
      <c r="E62" s="805">
        <v>4</v>
      </c>
      <c r="F62" s="93">
        <v>35000</v>
      </c>
      <c r="G62" s="94">
        <f t="shared" si="7"/>
        <v>140000</v>
      </c>
      <c r="H62" s="94">
        <f t="shared" ca="1" si="35"/>
        <v>4</v>
      </c>
      <c r="I62" s="94">
        <f t="shared" ca="1" si="36"/>
        <v>35000</v>
      </c>
      <c r="J62" s="94">
        <f t="shared" ca="1" si="37"/>
        <v>140000</v>
      </c>
      <c r="K62" s="94">
        <f t="shared" ca="1" si="38"/>
        <v>0</v>
      </c>
      <c r="L62" s="94">
        <f t="shared" ca="1" si="39"/>
        <v>0</v>
      </c>
      <c r="M62" s="94">
        <f t="shared" ca="1" si="40"/>
        <v>0</v>
      </c>
      <c r="N62" s="94">
        <f t="shared" ca="1" si="41"/>
        <v>0</v>
      </c>
      <c r="O62" s="94">
        <f t="shared" ca="1" si="42"/>
        <v>0</v>
      </c>
      <c r="P62" s="94">
        <f t="shared" ca="1" si="43"/>
        <v>0</v>
      </c>
      <c r="Q62" s="242">
        <f t="shared" ca="1" si="44"/>
        <v>4</v>
      </c>
      <c r="R62" s="94">
        <f t="shared" ca="1" si="45"/>
        <v>35000</v>
      </c>
      <c r="S62" s="324">
        <f t="shared" ca="1" si="46"/>
        <v>140000</v>
      </c>
      <c r="T62" s="430">
        <f t="shared" si="47"/>
        <v>160200</v>
      </c>
    </row>
    <row r="63" spans="1:20">
      <c r="A63" s="108">
        <f t="shared" si="34"/>
        <v>56</v>
      </c>
      <c r="B63" s="359">
        <v>440007</v>
      </c>
      <c r="C63" s="324" t="s">
        <v>2352</v>
      </c>
      <c r="D63" s="467" t="s">
        <v>995</v>
      </c>
      <c r="E63" s="805">
        <v>1</v>
      </c>
      <c r="F63" s="93">
        <v>40909.089999999997</v>
      </c>
      <c r="G63" s="94">
        <f t="shared" si="7"/>
        <v>40909.089999999997</v>
      </c>
      <c r="H63" s="94">
        <f t="shared" ca="1" si="35"/>
        <v>1</v>
      </c>
      <c r="I63" s="94">
        <f t="shared" ca="1" si="36"/>
        <v>40909.089999999997</v>
      </c>
      <c r="J63" s="94">
        <f t="shared" ca="1" si="37"/>
        <v>40909.089999999997</v>
      </c>
      <c r="K63" s="94">
        <f t="shared" ca="1" si="38"/>
        <v>0</v>
      </c>
      <c r="L63" s="94">
        <f t="shared" ca="1" si="39"/>
        <v>0</v>
      </c>
      <c r="M63" s="94">
        <f t="shared" ca="1" si="40"/>
        <v>0</v>
      </c>
      <c r="N63" s="94">
        <f t="shared" ca="1" si="41"/>
        <v>0</v>
      </c>
      <c r="O63" s="94">
        <f t="shared" ca="1" si="42"/>
        <v>0</v>
      </c>
      <c r="P63" s="94">
        <f t="shared" ca="1" si="43"/>
        <v>0</v>
      </c>
      <c r="Q63" s="242">
        <f t="shared" ca="1" si="44"/>
        <v>1</v>
      </c>
      <c r="R63" s="94">
        <f t="shared" ca="1" si="45"/>
        <v>40909.089999999997</v>
      </c>
      <c r="S63" s="324">
        <f t="shared" ca="1" si="46"/>
        <v>40909.089999999997</v>
      </c>
      <c r="T63" s="430">
        <f t="shared" si="47"/>
        <v>160200</v>
      </c>
    </row>
    <row r="64" spans="1:20">
      <c r="A64" s="108">
        <f t="shared" si="34"/>
        <v>57</v>
      </c>
      <c r="B64" s="359">
        <v>440012</v>
      </c>
      <c r="C64" s="324" t="s">
        <v>2353</v>
      </c>
      <c r="D64" s="467" t="s">
        <v>995</v>
      </c>
      <c r="E64" s="805">
        <v>1</v>
      </c>
      <c r="F64" s="93">
        <v>58000</v>
      </c>
      <c r="G64" s="94">
        <f t="shared" si="7"/>
        <v>58000</v>
      </c>
      <c r="H64" s="94">
        <f t="shared" ca="1" si="35"/>
        <v>1</v>
      </c>
      <c r="I64" s="94">
        <f t="shared" ca="1" si="36"/>
        <v>58000</v>
      </c>
      <c r="J64" s="94">
        <f t="shared" ca="1" si="37"/>
        <v>58000</v>
      </c>
      <c r="K64" s="94">
        <f t="shared" ca="1" si="38"/>
        <v>0</v>
      </c>
      <c r="L64" s="94">
        <f t="shared" ca="1" si="39"/>
        <v>0</v>
      </c>
      <c r="M64" s="94">
        <f t="shared" ca="1" si="40"/>
        <v>0</v>
      </c>
      <c r="N64" s="94">
        <f t="shared" ca="1" si="41"/>
        <v>0</v>
      </c>
      <c r="O64" s="94">
        <f t="shared" ca="1" si="42"/>
        <v>0</v>
      </c>
      <c r="P64" s="94">
        <f t="shared" ca="1" si="43"/>
        <v>0</v>
      </c>
      <c r="Q64" s="242">
        <f t="shared" ca="1" si="44"/>
        <v>1</v>
      </c>
      <c r="R64" s="94">
        <f t="shared" ca="1" si="45"/>
        <v>58000</v>
      </c>
      <c r="S64" s="324">
        <f t="shared" ca="1" si="46"/>
        <v>58000</v>
      </c>
      <c r="T64" s="430">
        <f t="shared" si="47"/>
        <v>160200</v>
      </c>
    </row>
    <row r="65" spans="1:20">
      <c r="A65" s="108">
        <f t="shared" si="34"/>
        <v>58</v>
      </c>
      <c r="B65" s="359">
        <v>440015</v>
      </c>
      <c r="C65" s="324" t="s">
        <v>2354</v>
      </c>
      <c r="D65" s="467" t="s">
        <v>995</v>
      </c>
      <c r="E65" s="805">
        <v>1</v>
      </c>
      <c r="F65" s="93">
        <v>121363.64</v>
      </c>
      <c r="G65" s="94">
        <f t="shared" si="7"/>
        <v>121363.64</v>
      </c>
      <c r="H65" s="94">
        <f t="shared" ca="1" si="35"/>
        <v>1</v>
      </c>
      <c r="I65" s="94">
        <f t="shared" ca="1" si="36"/>
        <v>121363.64</v>
      </c>
      <c r="J65" s="94">
        <f t="shared" ca="1" si="37"/>
        <v>121363.64</v>
      </c>
      <c r="K65" s="94">
        <f t="shared" ca="1" si="38"/>
        <v>0</v>
      </c>
      <c r="L65" s="94">
        <f t="shared" ca="1" si="39"/>
        <v>0</v>
      </c>
      <c r="M65" s="94">
        <f t="shared" ca="1" si="40"/>
        <v>0</v>
      </c>
      <c r="N65" s="94">
        <f t="shared" ca="1" si="41"/>
        <v>0</v>
      </c>
      <c r="O65" s="94">
        <f t="shared" ca="1" si="42"/>
        <v>0</v>
      </c>
      <c r="P65" s="94">
        <f t="shared" ca="1" si="43"/>
        <v>0</v>
      </c>
      <c r="Q65" s="242">
        <f t="shared" ca="1" si="44"/>
        <v>1</v>
      </c>
      <c r="R65" s="94">
        <f t="shared" ca="1" si="45"/>
        <v>121363.64</v>
      </c>
      <c r="S65" s="324">
        <f t="shared" ca="1" si="46"/>
        <v>121363.64</v>
      </c>
      <c r="T65" s="430">
        <f t="shared" si="47"/>
        <v>160200</v>
      </c>
    </row>
    <row r="66" spans="1:20">
      <c r="A66" s="108">
        <f t="shared" si="34"/>
        <v>59</v>
      </c>
      <c r="B66" s="359">
        <v>440017</v>
      </c>
      <c r="C66" s="324" t="s">
        <v>2355</v>
      </c>
      <c r="D66" s="467" t="s">
        <v>995</v>
      </c>
      <c r="E66" s="805">
        <v>1</v>
      </c>
      <c r="F66" s="93">
        <v>55000</v>
      </c>
      <c r="G66" s="94">
        <f t="shared" si="7"/>
        <v>55000</v>
      </c>
      <c r="H66" s="94">
        <f t="shared" ca="1" si="35"/>
        <v>1</v>
      </c>
      <c r="I66" s="94">
        <f t="shared" ca="1" si="36"/>
        <v>55000</v>
      </c>
      <c r="J66" s="94">
        <f t="shared" ca="1" si="37"/>
        <v>55000</v>
      </c>
      <c r="K66" s="94">
        <f t="shared" ca="1" si="38"/>
        <v>0</v>
      </c>
      <c r="L66" s="94">
        <f t="shared" ca="1" si="39"/>
        <v>0</v>
      </c>
      <c r="M66" s="94">
        <f t="shared" ca="1" si="40"/>
        <v>0</v>
      </c>
      <c r="N66" s="94">
        <f t="shared" ca="1" si="41"/>
        <v>0</v>
      </c>
      <c r="O66" s="94">
        <f t="shared" ca="1" si="42"/>
        <v>0</v>
      </c>
      <c r="P66" s="94">
        <f t="shared" ca="1" si="43"/>
        <v>0</v>
      </c>
      <c r="Q66" s="242">
        <f t="shared" ca="1" si="44"/>
        <v>1</v>
      </c>
      <c r="R66" s="94">
        <f t="shared" ca="1" si="45"/>
        <v>55000</v>
      </c>
      <c r="S66" s="324">
        <f t="shared" ca="1" si="46"/>
        <v>55000</v>
      </c>
      <c r="T66" s="430">
        <f t="shared" si="47"/>
        <v>160200</v>
      </c>
    </row>
    <row r="67" spans="1:20">
      <c r="A67" s="108">
        <f t="shared" si="34"/>
        <v>60</v>
      </c>
      <c r="B67" s="359">
        <v>440018</v>
      </c>
      <c r="C67" s="324" t="s">
        <v>2356</v>
      </c>
      <c r="D67" s="467" t="s">
        <v>995</v>
      </c>
      <c r="E67" s="805">
        <v>5</v>
      </c>
      <c r="F67" s="93">
        <v>66101.820000000007</v>
      </c>
      <c r="G67" s="94">
        <f t="shared" si="7"/>
        <v>330509.10000000003</v>
      </c>
      <c r="H67" s="94">
        <f t="shared" ca="1" si="35"/>
        <v>5</v>
      </c>
      <c r="I67" s="94">
        <f t="shared" ca="1" si="36"/>
        <v>66101.820000000007</v>
      </c>
      <c r="J67" s="94">
        <f t="shared" ca="1" si="37"/>
        <v>330509.10000000003</v>
      </c>
      <c r="K67" s="94">
        <f t="shared" ca="1" si="38"/>
        <v>0</v>
      </c>
      <c r="L67" s="94">
        <f t="shared" ca="1" si="39"/>
        <v>0</v>
      </c>
      <c r="M67" s="94">
        <f t="shared" ca="1" si="40"/>
        <v>0</v>
      </c>
      <c r="N67" s="94">
        <f t="shared" ca="1" si="41"/>
        <v>0</v>
      </c>
      <c r="O67" s="94">
        <f t="shared" ca="1" si="42"/>
        <v>0</v>
      </c>
      <c r="P67" s="94">
        <f t="shared" ca="1" si="43"/>
        <v>0</v>
      </c>
      <c r="Q67" s="242">
        <f t="shared" ca="1" si="44"/>
        <v>5</v>
      </c>
      <c r="R67" s="94">
        <f t="shared" ca="1" si="45"/>
        <v>66101.820000000007</v>
      </c>
      <c r="S67" s="324">
        <f t="shared" ca="1" si="46"/>
        <v>330509.10000000003</v>
      </c>
      <c r="T67" s="430">
        <f t="shared" si="47"/>
        <v>160200</v>
      </c>
    </row>
    <row r="68" spans="1:20">
      <c r="A68" s="108">
        <f t="shared" si="34"/>
        <v>61</v>
      </c>
      <c r="B68" s="359">
        <v>440021</v>
      </c>
      <c r="C68" s="324" t="s">
        <v>2357</v>
      </c>
      <c r="D68" s="467" t="s">
        <v>995</v>
      </c>
      <c r="E68" s="805">
        <v>1</v>
      </c>
      <c r="F68" s="93">
        <v>159090.91</v>
      </c>
      <c r="G68" s="94">
        <f t="shared" si="7"/>
        <v>159090.91</v>
      </c>
      <c r="H68" s="94">
        <f t="shared" ca="1" si="35"/>
        <v>1</v>
      </c>
      <c r="I68" s="94">
        <f t="shared" ca="1" si="36"/>
        <v>159090.91</v>
      </c>
      <c r="J68" s="94">
        <f t="shared" ca="1" si="37"/>
        <v>159090.91</v>
      </c>
      <c r="K68" s="94">
        <f t="shared" ca="1" si="38"/>
        <v>0</v>
      </c>
      <c r="L68" s="94">
        <f t="shared" ca="1" si="39"/>
        <v>0</v>
      </c>
      <c r="M68" s="94">
        <f t="shared" ca="1" si="40"/>
        <v>0</v>
      </c>
      <c r="N68" s="94">
        <f t="shared" ca="1" si="41"/>
        <v>0</v>
      </c>
      <c r="O68" s="94">
        <f t="shared" ca="1" si="42"/>
        <v>0</v>
      </c>
      <c r="P68" s="94">
        <f t="shared" ca="1" si="43"/>
        <v>0</v>
      </c>
      <c r="Q68" s="242">
        <f t="shared" ca="1" si="44"/>
        <v>1</v>
      </c>
      <c r="R68" s="94">
        <f t="shared" ca="1" si="45"/>
        <v>159090.91</v>
      </c>
      <c r="S68" s="324">
        <f t="shared" ca="1" si="46"/>
        <v>159090.91</v>
      </c>
      <c r="T68" s="430">
        <f t="shared" si="47"/>
        <v>160200</v>
      </c>
    </row>
    <row r="69" spans="1:20">
      <c r="A69" s="108">
        <f t="shared" si="34"/>
        <v>62</v>
      </c>
      <c r="B69" s="468">
        <v>460001</v>
      </c>
      <c r="C69" s="791" t="s">
        <v>2358</v>
      </c>
      <c r="D69" s="469" t="s">
        <v>995</v>
      </c>
      <c r="E69" s="805">
        <v>1</v>
      </c>
      <c r="F69" s="93">
        <v>5000</v>
      </c>
      <c r="G69" s="94">
        <f t="shared" si="7"/>
        <v>5000</v>
      </c>
      <c r="H69" s="94">
        <f t="shared" ca="1" si="35"/>
        <v>1</v>
      </c>
      <c r="I69" s="94">
        <f t="shared" ca="1" si="36"/>
        <v>5000</v>
      </c>
      <c r="J69" s="94">
        <f t="shared" ca="1" si="37"/>
        <v>5000</v>
      </c>
      <c r="K69" s="94">
        <f t="shared" ca="1" si="38"/>
        <v>0</v>
      </c>
      <c r="L69" s="94">
        <f t="shared" ca="1" si="39"/>
        <v>0</v>
      </c>
      <c r="M69" s="94">
        <f t="shared" ca="1" si="40"/>
        <v>0</v>
      </c>
      <c r="N69" s="94">
        <f t="shared" ca="1" si="41"/>
        <v>0</v>
      </c>
      <c r="O69" s="94">
        <f t="shared" ca="1" si="42"/>
        <v>0</v>
      </c>
      <c r="P69" s="94">
        <f t="shared" ca="1" si="43"/>
        <v>0</v>
      </c>
      <c r="Q69" s="242">
        <f t="shared" ca="1" si="44"/>
        <v>1</v>
      </c>
      <c r="R69" s="94">
        <f t="shared" ca="1" si="45"/>
        <v>5000</v>
      </c>
      <c r="S69" s="324">
        <f t="shared" ca="1" si="46"/>
        <v>5000</v>
      </c>
      <c r="T69" s="430">
        <f t="shared" si="47"/>
        <v>160201</v>
      </c>
    </row>
    <row r="70" spans="1:20">
      <c r="A70" s="108">
        <f t="shared" si="34"/>
        <v>63</v>
      </c>
      <c r="B70" s="468">
        <v>460006</v>
      </c>
      <c r="C70" s="791" t="s">
        <v>2359</v>
      </c>
      <c r="D70" s="469" t="s">
        <v>995</v>
      </c>
      <c r="E70" s="805">
        <v>1</v>
      </c>
      <c r="F70" s="93">
        <v>8392.5300000000007</v>
      </c>
      <c r="G70" s="94">
        <f t="shared" si="7"/>
        <v>8392.5300000000007</v>
      </c>
      <c r="H70" s="94">
        <f t="shared" ca="1" si="35"/>
        <v>1</v>
      </c>
      <c r="I70" s="94">
        <f t="shared" ca="1" si="36"/>
        <v>8392.5300000000007</v>
      </c>
      <c r="J70" s="94">
        <f t="shared" ca="1" si="37"/>
        <v>8392.5300000000007</v>
      </c>
      <c r="K70" s="94">
        <f t="shared" ca="1" si="38"/>
        <v>0</v>
      </c>
      <c r="L70" s="94">
        <f t="shared" ca="1" si="39"/>
        <v>0</v>
      </c>
      <c r="M70" s="94">
        <f t="shared" ca="1" si="40"/>
        <v>0</v>
      </c>
      <c r="N70" s="94">
        <f t="shared" ca="1" si="41"/>
        <v>0</v>
      </c>
      <c r="O70" s="94">
        <f t="shared" ca="1" si="42"/>
        <v>0</v>
      </c>
      <c r="P70" s="94">
        <f t="shared" ca="1" si="43"/>
        <v>0</v>
      </c>
      <c r="Q70" s="242">
        <f t="shared" ca="1" si="44"/>
        <v>1</v>
      </c>
      <c r="R70" s="94">
        <f t="shared" ca="1" si="45"/>
        <v>8392.5300000000007</v>
      </c>
      <c r="S70" s="324">
        <f t="shared" ca="1" si="46"/>
        <v>8392.5300000000007</v>
      </c>
      <c r="T70" s="430">
        <f t="shared" si="47"/>
        <v>160201</v>
      </c>
    </row>
    <row r="71" spans="1:20">
      <c r="A71" s="108">
        <f t="shared" si="34"/>
        <v>64</v>
      </c>
      <c r="B71" s="468">
        <v>460007</v>
      </c>
      <c r="C71" s="791" t="s">
        <v>2360</v>
      </c>
      <c r="D71" s="469" t="s">
        <v>995</v>
      </c>
      <c r="E71" s="805">
        <v>1</v>
      </c>
      <c r="F71" s="93">
        <v>2727.27</v>
      </c>
      <c r="G71" s="94">
        <f t="shared" si="7"/>
        <v>2727.27</v>
      </c>
      <c r="H71" s="94">
        <f t="shared" ca="1" si="35"/>
        <v>1</v>
      </c>
      <c r="I71" s="94">
        <f t="shared" ca="1" si="36"/>
        <v>2727.27</v>
      </c>
      <c r="J71" s="94">
        <f t="shared" ca="1" si="37"/>
        <v>2727.27</v>
      </c>
      <c r="K71" s="94">
        <f t="shared" ca="1" si="38"/>
        <v>0</v>
      </c>
      <c r="L71" s="94">
        <f t="shared" ca="1" si="39"/>
        <v>0</v>
      </c>
      <c r="M71" s="94">
        <f t="shared" ca="1" si="40"/>
        <v>0</v>
      </c>
      <c r="N71" s="94">
        <f t="shared" ca="1" si="41"/>
        <v>0</v>
      </c>
      <c r="O71" s="94">
        <f t="shared" ca="1" si="42"/>
        <v>0</v>
      </c>
      <c r="P71" s="94">
        <f t="shared" ca="1" si="43"/>
        <v>0</v>
      </c>
      <c r="Q71" s="242">
        <f t="shared" ca="1" si="44"/>
        <v>1</v>
      </c>
      <c r="R71" s="94">
        <f t="shared" ca="1" si="45"/>
        <v>2727.27</v>
      </c>
      <c r="S71" s="324">
        <f t="shared" ca="1" si="46"/>
        <v>2727.27</v>
      </c>
      <c r="T71" s="430">
        <f t="shared" si="47"/>
        <v>160201</v>
      </c>
    </row>
    <row r="72" spans="1:20">
      <c r="A72" s="108">
        <f t="shared" si="34"/>
        <v>65</v>
      </c>
      <c r="B72" s="470">
        <v>460009</v>
      </c>
      <c r="C72" s="791" t="s">
        <v>2361</v>
      </c>
      <c r="D72" s="471" t="s">
        <v>995</v>
      </c>
      <c r="E72" s="805">
        <v>1</v>
      </c>
      <c r="F72" s="93">
        <v>8530.94</v>
      </c>
      <c r="G72" s="94">
        <f t="shared" ref="G72:G79" si="48">+IF(A72="","",IFERROR(E72*F72,0))</f>
        <v>8530.94</v>
      </c>
      <c r="H72" s="94">
        <f t="shared" ca="1" si="35"/>
        <v>1</v>
      </c>
      <c r="I72" s="94">
        <f t="shared" ca="1" si="36"/>
        <v>8530.94</v>
      </c>
      <c r="J72" s="94">
        <f t="shared" ca="1" si="37"/>
        <v>8530.94</v>
      </c>
      <c r="K72" s="94">
        <f t="shared" ca="1" si="38"/>
        <v>0</v>
      </c>
      <c r="L72" s="94">
        <f t="shared" ca="1" si="39"/>
        <v>0</v>
      </c>
      <c r="M72" s="94">
        <f t="shared" ca="1" si="40"/>
        <v>0</v>
      </c>
      <c r="N72" s="94">
        <f t="shared" ca="1" si="41"/>
        <v>0</v>
      </c>
      <c r="O72" s="94">
        <f t="shared" ca="1" si="42"/>
        <v>0</v>
      </c>
      <c r="P72" s="94">
        <f t="shared" ca="1" si="43"/>
        <v>0</v>
      </c>
      <c r="Q72" s="242">
        <f t="shared" ca="1" si="44"/>
        <v>1</v>
      </c>
      <c r="R72" s="94">
        <f t="shared" ca="1" si="45"/>
        <v>8530.94</v>
      </c>
      <c r="S72" s="324">
        <f t="shared" ca="1" si="46"/>
        <v>8530.94</v>
      </c>
      <c r="T72" s="430">
        <f t="shared" si="47"/>
        <v>160201</v>
      </c>
    </row>
    <row r="73" spans="1:20">
      <c r="A73" s="108">
        <f t="shared" si="34"/>
        <v>66</v>
      </c>
      <c r="B73" s="472">
        <v>460012</v>
      </c>
      <c r="C73" s="792" t="s">
        <v>2362</v>
      </c>
      <c r="D73" s="473" t="s">
        <v>995</v>
      </c>
      <c r="E73" s="805">
        <v>1</v>
      </c>
      <c r="F73" s="93">
        <v>1167.8399999999999</v>
      </c>
      <c r="G73" s="94">
        <f t="shared" si="48"/>
        <v>1167.8399999999999</v>
      </c>
      <c r="H73" s="94">
        <f t="shared" ca="1" si="35"/>
        <v>1</v>
      </c>
      <c r="I73" s="94">
        <f t="shared" ca="1" si="36"/>
        <v>1167.8399999999999</v>
      </c>
      <c r="J73" s="94">
        <f t="shared" ca="1" si="37"/>
        <v>1167.8399999999999</v>
      </c>
      <c r="K73" s="94">
        <f t="shared" ca="1" si="38"/>
        <v>0</v>
      </c>
      <c r="L73" s="94">
        <f t="shared" ca="1" si="39"/>
        <v>0</v>
      </c>
      <c r="M73" s="94">
        <f t="shared" ca="1" si="40"/>
        <v>0</v>
      </c>
      <c r="N73" s="94">
        <f t="shared" ca="1" si="41"/>
        <v>0</v>
      </c>
      <c r="O73" s="94">
        <f t="shared" ca="1" si="42"/>
        <v>0</v>
      </c>
      <c r="P73" s="94">
        <f t="shared" ca="1" si="43"/>
        <v>0</v>
      </c>
      <c r="Q73" s="242">
        <f t="shared" ca="1" si="44"/>
        <v>1</v>
      </c>
      <c r="R73" s="94">
        <f t="shared" ca="1" si="45"/>
        <v>1167.8399999999999</v>
      </c>
      <c r="S73" s="324">
        <f t="shared" ca="1" si="46"/>
        <v>1167.8399999999999</v>
      </c>
      <c r="T73" s="430">
        <f t="shared" si="47"/>
        <v>160201</v>
      </c>
    </row>
    <row r="74" spans="1:20">
      <c r="A74" s="466">
        <f t="shared" si="34"/>
        <v>67</v>
      </c>
      <c r="B74" s="423">
        <v>460018</v>
      </c>
      <c r="C74" s="793" t="s">
        <v>2363</v>
      </c>
      <c r="D74" s="474" t="s">
        <v>995</v>
      </c>
      <c r="E74" s="805">
        <v>1</v>
      </c>
      <c r="F74" s="93">
        <v>22800</v>
      </c>
      <c r="G74" s="94">
        <f t="shared" si="48"/>
        <v>22800</v>
      </c>
      <c r="H74" s="94">
        <f t="shared" ca="1" si="35"/>
        <v>1</v>
      </c>
      <c r="I74" s="94">
        <f t="shared" ca="1" si="36"/>
        <v>22800</v>
      </c>
      <c r="J74" s="94">
        <f t="shared" ca="1" si="37"/>
        <v>22800</v>
      </c>
      <c r="K74" s="94">
        <f t="shared" ca="1" si="38"/>
        <v>0</v>
      </c>
      <c r="L74" s="94">
        <f t="shared" ca="1" si="39"/>
        <v>0</v>
      </c>
      <c r="M74" s="94">
        <f t="shared" ca="1" si="40"/>
        <v>0</v>
      </c>
      <c r="N74" s="94">
        <f t="shared" ca="1" si="41"/>
        <v>0</v>
      </c>
      <c r="O74" s="94">
        <f t="shared" ca="1" si="42"/>
        <v>0</v>
      </c>
      <c r="P74" s="94">
        <f t="shared" ca="1" si="43"/>
        <v>0</v>
      </c>
      <c r="Q74" s="242">
        <f t="shared" ca="1" si="44"/>
        <v>1</v>
      </c>
      <c r="R74" s="94">
        <f t="shared" ca="1" si="45"/>
        <v>22800</v>
      </c>
      <c r="S74" s="324">
        <f t="shared" ca="1" si="46"/>
        <v>22800</v>
      </c>
      <c r="T74" s="430">
        <f t="shared" si="47"/>
        <v>160201</v>
      </c>
    </row>
    <row r="75" spans="1:20">
      <c r="A75" s="108">
        <f t="shared" si="34"/>
        <v>68</v>
      </c>
      <c r="B75" s="475">
        <v>460022</v>
      </c>
      <c r="C75" s="422" t="s">
        <v>1522</v>
      </c>
      <c r="D75" s="476" t="s">
        <v>995</v>
      </c>
      <c r="E75" s="806">
        <v>1</v>
      </c>
      <c r="F75" s="93">
        <v>12000</v>
      </c>
      <c r="G75" s="94">
        <f t="shared" si="48"/>
        <v>12000</v>
      </c>
      <c r="H75" s="94">
        <f t="shared" ca="1" si="35"/>
        <v>1</v>
      </c>
      <c r="I75" s="94">
        <f t="shared" ca="1" si="36"/>
        <v>12000</v>
      </c>
      <c r="J75" s="94">
        <f t="shared" ca="1" si="37"/>
        <v>12000</v>
      </c>
      <c r="K75" s="94">
        <f t="shared" ca="1" si="38"/>
        <v>0</v>
      </c>
      <c r="L75" s="94">
        <f t="shared" ca="1" si="39"/>
        <v>0</v>
      </c>
      <c r="M75" s="94">
        <f t="shared" ca="1" si="40"/>
        <v>0</v>
      </c>
      <c r="N75" s="94">
        <f t="shared" ca="1" si="41"/>
        <v>0</v>
      </c>
      <c r="O75" s="94">
        <f t="shared" ca="1" si="42"/>
        <v>0</v>
      </c>
      <c r="P75" s="94">
        <f t="shared" ca="1" si="43"/>
        <v>0</v>
      </c>
      <c r="Q75" s="242">
        <f t="shared" ca="1" si="44"/>
        <v>1</v>
      </c>
      <c r="R75" s="94">
        <f t="shared" ca="1" si="45"/>
        <v>12000</v>
      </c>
      <c r="S75" s="324">
        <f t="shared" ca="1" si="46"/>
        <v>12000</v>
      </c>
      <c r="T75" s="430">
        <f t="shared" si="47"/>
        <v>160201</v>
      </c>
    </row>
    <row r="76" spans="1:20">
      <c r="A76" s="108">
        <f t="shared" si="34"/>
        <v>69</v>
      </c>
      <c r="B76" s="359">
        <v>460023</v>
      </c>
      <c r="C76" s="324" t="s">
        <v>1523</v>
      </c>
      <c r="D76" s="467" t="s">
        <v>995</v>
      </c>
      <c r="E76" s="805">
        <v>1</v>
      </c>
      <c r="F76" s="93">
        <v>15000</v>
      </c>
      <c r="G76" s="94">
        <f t="shared" si="48"/>
        <v>15000</v>
      </c>
      <c r="H76" s="94">
        <f t="shared" ca="1" si="35"/>
        <v>1</v>
      </c>
      <c r="I76" s="94">
        <f t="shared" ca="1" si="36"/>
        <v>15000</v>
      </c>
      <c r="J76" s="94">
        <f t="shared" ca="1" si="37"/>
        <v>15000</v>
      </c>
      <c r="K76" s="94">
        <f t="shared" ca="1" si="38"/>
        <v>0</v>
      </c>
      <c r="L76" s="94">
        <f t="shared" ca="1" si="39"/>
        <v>0</v>
      </c>
      <c r="M76" s="94">
        <f t="shared" ca="1" si="40"/>
        <v>0</v>
      </c>
      <c r="N76" s="94">
        <f t="shared" ca="1" si="41"/>
        <v>0</v>
      </c>
      <c r="O76" s="94">
        <f t="shared" ca="1" si="42"/>
        <v>0</v>
      </c>
      <c r="P76" s="94">
        <f t="shared" ca="1" si="43"/>
        <v>0</v>
      </c>
      <c r="Q76" s="242">
        <f t="shared" ca="1" si="44"/>
        <v>1</v>
      </c>
      <c r="R76" s="94">
        <f t="shared" ca="1" si="45"/>
        <v>15000</v>
      </c>
      <c r="S76" s="324">
        <f t="shared" ca="1" si="46"/>
        <v>15000</v>
      </c>
      <c r="T76" s="430">
        <f t="shared" si="47"/>
        <v>160201</v>
      </c>
    </row>
    <row r="77" spans="1:20">
      <c r="A77" s="108">
        <f t="shared" ref="A77:A89" si="49">+IF(B77="","",ROW()-7)</f>
        <v>70</v>
      </c>
      <c r="B77" s="359">
        <v>460026</v>
      </c>
      <c r="C77" s="324" t="s">
        <v>2364</v>
      </c>
      <c r="D77" s="467" t="s">
        <v>995</v>
      </c>
      <c r="E77" s="805">
        <v>10</v>
      </c>
      <c r="F77" s="93">
        <v>14030</v>
      </c>
      <c r="G77" s="94">
        <f t="shared" si="48"/>
        <v>140300</v>
      </c>
      <c r="H77" s="94">
        <f t="shared" ca="1" si="35"/>
        <v>10</v>
      </c>
      <c r="I77" s="94">
        <f t="shared" ca="1" si="36"/>
        <v>14030</v>
      </c>
      <c r="J77" s="94">
        <f t="shared" ca="1" si="37"/>
        <v>140300</v>
      </c>
      <c r="K77" s="94">
        <f t="shared" ca="1" si="38"/>
        <v>0</v>
      </c>
      <c r="L77" s="94">
        <f t="shared" ref="L77:L84" ca="1" si="50">+IF(A77="","",IFERROR(M77/K77,0))</f>
        <v>0</v>
      </c>
      <c r="M77" s="94">
        <f t="shared" ca="1" si="40"/>
        <v>0</v>
      </c>
      <c r="N77" s="94">
        <f t="shared" ca="1" si="41"/>
        <v>0</v>
      </c>
      <c r="O77" s="94">
        <f t="shared" ref="O77:O84" ca="1" si="51">+IF(A77="","",IFERROR(P77/N77,0))</f>
        <v>0</v>
      </c>
      <c r="P77" s="94">
        <f t="shared" ca="1" si="43"/>
        <v>0</v>
      </c>
      <c r="Q77" s="242">
        <f t="shared" ca="1" si="44"/>
        <v>10</v>
      </c>
      <c r="R77" s="94">
        <f t="shared" ref="R77:R84" ca="1" si="52">+IF(G77="","",IFERROR(S77/Q77,0))</f>
        <v>14030</v>
      </c>
      <c r="S77" s="324">
        <f t="shared" ca="1" si="46"/>
        <v>140300</v>
      </c>
      <c r="T77" s="430">
        <f t="shared" si="47"/>
        <v>160201</v>
      </c>
    </row>
    <row r="78" spans="1:20">
      <c r="A78" s="86">
        <f t="shared" si="49"/>
        <v>71</v>
      </c>
      <c r="B78" s="359">
        <v>460027</v>
      </c>
      <c r="C78" s="324" t="s">
        <v>1524</v>
      </c>
      <c r="D78" s="467" t="s">
        <v>995</v>
      </c>
      <c r="E78" s="805">
        <v>1</v>
      </c>
      <c r="F78" s="93">
        <v>160000</v>
      </c>
      <c r="G78" s="94">
        <f t="shared" si="48"/>
        <v>160000</v>
      </c>
      <c r="H78" s="94">
        <f t="shared" ca="1" si="35"/>
        <v>1</v>
      </c>
      <c r="I78" s="94">
        <f t="shared" ca="1" si="36"/>
        <v>160000</v>
      </c>
      <c r="J78" s="94">
        <f t="shared" ca="1" si="37"/>
        <v>160000</v>
      </c>
      <c r="K78" s="94">
        <f t="shared" ca="1" si="38"/>
        <v>0</v>
      </c>
      <c r="L78" s="94">
        <f t="shared" ca="1" si="50"/>
        <v>0</v>
      </c>
      <c r="M78" s="94">
        <f t="shared" ca="1" si="40"/>
        <v>0</v>
      </c>
      <c r="N78" s="94">
        <f t="shared" ca="1" si="41"/>
        <v>0</v>
      </c>
      <c r="O78" s="94">
        <f t="shared" ca="1" si="51"/>
        <v>0</v>
      </c>
      <c r="P78" s="94">
        <f t="shared" ca="1" si="43"/>
        <v>0</v>
      </c>
      <c r="Q78" s="242">
        <f t="shared" ca="1" si="44"/>
        <v>1</v>
      </c>
      <c r="R78" s="94">
        <f t="shared" ca="1" si="52"/>
        <v>160000</v>
      </c>
      <c r="S78" s="324">
        <f t="shared" ca="1" si="46"/>
        <v>160000</v>
      </c>
      <c r="T78" s="430">
        <f t="shared" si="47"/>
        <v>160201</v>
      </c>
    </row>
    <row r="79" spans="1:20">
      <c r="A79" s="86">
        <f t="shared" si="49"/>
        <v>72</v>
      </c>
      <c r="B79" s="359">
        <v>510001</v>
      </c>
      <c r="C79" s="324" t="s">
        <v>2318</v>
      </c>
      <c r="D79" s="467" t="s">
        <v>1527</v>
      </c>
      <c r="E79" s="805">
        <v>0</v>
      </c>
      <c r="F79" s="93"/>
      <c r="G79" s="94">
        <f t="shared" si="48"/>
        <v>0</v>
      </c>
      <c r="H79" s="94">
        <f t="shared" ca="1" si="35"/>
        <v>0</v>
      </c>
      <c r="I79" s="94">
        <f t="shared" ca="1" si="36"/>
        <v>0</v>
      </c>
      <c r="J79" s="94">
        <f t="shared" ca="1" si="37"/>
        <v>0</v>
      </c>
      <c r="K79" s="94">
        <f t="shared" ca="1" si="38"/>
        <v>534</v>
      </c>
      <c r="L79" s="94">
        <f t="shared" ca="1" si="50"/>
        <v>4921.5185485018728</v>
      </c>
      <c r="M79" s="94">
        <f t="shared" ca="1" si="40"/>
        <v>2628090.9049</v>
      </c>
      <c r="N79" s="94">
        <f t="shared" ca="1" si="41"/>
        <v>0</v>
      </c>
      <c r="O79" s="94">
        <f t="shared" ca="1" si="51"/>
        <v>0</v>
      </c>
      <c r="P79" s="20">
        <f t="shared" ca="1" si="43"/>
        <v>0</v>
      </c>
      <c r="Q79" s="242">
        <f t="shared" ca="1" si="44"/>
        <v>534</v>
      </c>
      <c r="R79" s="94">
        <f t="shared" ca="1" si="52"/>
        <v>4921.5185485018728</v>
      </c>
      <c r="S79" s="324">
        <f t="shared" ca="1" si="46"/>
        <v>2628090.9049</v>
      </c>
      <c r="T79" s="430">
        <f t="shared" si="47"/>
        <v>140100</v>
      </c>
    </row>
    <row r="80" spans="1:20">
      <c r="A80" s="86">
        <f t="shared" si="49"/>
        <v>73</v>
      </c>
      <c r="B80" s="86">
        <v>410003</v>
      </c>
      <c r="C80" s="87" t="s">
        <v>2528</v>
      </c>
      <c r="D80" s="178" t="s">
        <v>1574</v>
      </c>
      <c r="G80" s="94">
        <f>+IF(A80="","",IFERROR(E80*F80,0))</f>
        <v>0</v>
      </c>
      <c r="H80" s="94">
        <f t="shared" ref="H80:H92" ca="1" si="53">IF(A80="","",E80+SUMIFS(RC_or_unit,RC_Code,B80,RC_date,"&lt;"&amp;$P$4)-SUMIFS(RC_zar_unit,RC_Code,B80,RC_date,"&lt;"&amp;$P$4))</f>
        <v>0</v>
      </c>
      <c r="I80" s="94">
        <f ca="1">+IF(A80="","",IFERROR(J80/H80,0))</f>
        <v>0</v>
      </c>
      <c r="J80" s="94">
        <f t="shared" ref="J80:J92" ca="1" si="54">IF(A80="","",G80+SUMIFS(RC_or_totol,RC_Code,B80,RC_date,"&lt;"&amp;$P$4)-SUMIFS(RC_zar_totol,RC_Code,B80,RC_date,"&lt;"&amp;$P$4))</f>
        <v>0</v>
      </c>
      <c r="K80" s="94">
        <f t="shared" ref="K80:K92" ca="1" si="55">IF(A80="","",SUMIFS(RC_or_unit,RC_Code,B80,RC_date,"&gt;="&amp;$P$4,RC_date,"&lt;="&amp;$S$4))</f>
        <v>1</v>
      </c>
      <c r="L80" s="94">
        <f t="shared" ca="1" si="50"/>
        <v>103636.36</v>
      </c>
      <c r="M80" s="94">
        <f t="shared" ca="1" si="40"/>
        <v>103636.36</v>
      </c>
      <c r="N80" s="94">
        <f t="shared" ref="N80:N92" ca="1" si="56">IF($A80="","",SUMIFS(RC_zar_unit,RC_Code,$B80,RC_date,"&gt;="&amp;$P$4,RC_date,"&lt;="&amp;$S$4))</f>
        <v>0</v>
      </c>
      <c r="O80" s="94">
        <f t="shared" ca="1" si="51"/>
        <v>0</v>
      </c>
      <c r="P80" s="20">
        <f t="shared" ref="P80:P92" ca="1" si="57">IF($A80="","",SUMIFS(RC_zar_totol,RC_Code,$B80,RC_date,"&gt;="&amp;$P$4,RC_date,"&lt;="&amp;$S$4))</f>
        <v>0</v>
      </c>
      <c r="Q80" s="242">
        <f ca="1">+IF(A80="","",IFERROR(H80+K80-N80,0))</f>
        <v>1</v>
      </c>
      <c r="R80" s="94">
        <f t="shared" ca="1" si="52"/>
        <v>103636.36</v>
      </c>
      <c r="S80" s="324">
        <f ca="1">+IF(A80="","",IFERROR(J80+M80-P80,0))</f>
        <v>103636.36</v>
      </c>
      <c r="T80" s="430">
        <f>+IF(LEFT(B80,3)="131",140100,0)+IF(LEFT(B80,3)="310",150100,0)+IF(LEFT(B80,3)="211",150101,0)+IF(LEFT(B80,3)="410",160100,0)+IF(LEFT(B80,3)="440",160200,0)+IF(LEFT(B80,3)="430",160200,0)+IF(LEFT(B80,3)="420",160200,0)+IF(LEFT(B80,3)="460",160201,0)+IF(LEFT(B80,3)="210",150101,0)+IF(LEFT(B80,3)="510",140100,0)</f>
        <v>160100</v>
      </c>
    </row>
    <row r="81" spans="1:20">
      <c r="A81" s="86">
        <f t="shared" si="49"/>
        <v>74</v>
      </c>
      <c r="B81" s="86">
        <v>410004</v>
      </c>
      <c r="C81" s="87" t="s">
        <v>2529</v>
      </c>
      <c r="D81" s="178" t="s">
        <v>1527</v>
      </c>
      <c r="G81" s="94">
        <f>+IF(A81="","",IFERROR(E81*F81,0))</f>
        <v>0</v>
      </c>
      <c r="H81" s="94">
        <f t="shared" ca="1" si="53"/>
        <v>0</v>
      </c>
      <c r="I81" s="94">
        <f ca="1">+IF(A81="","",IFERROR(J81/H81,0))</f>
        <v>0</v>
      </c>
      <c r="J81" s="94">
        <f t="shared" ca="1" si="54"/>
        <v>0</v>
      </c>
      <c r="K81" s="94">
        <f t="shared" ca="1" si="55"/>
        <v>88</v>
      </c>
      <c r="L81" s="94">
        <f t="shared" ca="1" si="50"/>
        <v>14990.909033057851</v>
      </c>
      <c r="M81" s="94">
        <f t="shared" ca="1" si="40"/>
        <v>1319199.9949090909</v>
      </c>
      <c r="N81" s="94">
        <f t="shared" ca="1" si="56"/>
        <v>88</v>
      </c>
      <c r="O81" s="94">
        <f t="shared" ca="1" si="51"/>
        <v>14990.909033057851</v>
      </c>
      <c r="P81" s="20">
        <f t="shared" ca="1" si="57"/>
        <v>1319199.9949090909</v>
      </c>
      <c r="Q81" s="242">
        <f ca="1">+IF(A81="","",IFERROR(H81+K81-N81,0))</f>
        <v>0</v>
      </c>
      <c r="R81" s="94">
        <f t="shared" ca="1" si="52"/>
        <v>0</v>
      </c>
      <c r="S81" s="324">
        <f ca="1">+IF(A81="","",IFERROR(J81+M81-P81,0))</f>
        <v>0</v>
      </c>
      <c r="T81" s="430">
        <f>+IF(LEFT(B81,3)="131",140100,0)+IF(LEFT(B81,3)="310",150100,0)+IF(LEFT(B81,3)="211",150101,0)+IF(LEFT(B81,3)="410",160100,0)+IF(LEFT(B81,3)="440",160200,0)+IF(LEFT(B81,3)="430",160200,0)+IF(LEFT(B81,3)="420",160200,0)+IF(LEFT(B81,3)="460",160201,0)+IF(LEFT(B81,3)="210",150101,0)+IF(LEFT(B81,3)="510",140100,0)</f>
        <v>160100</v>
      </c>
    </row>
    <row r="82" spans="1:20">
      <c r="A82" s="86">
        <f t="shared" si="49"/>
        <v>75</v>
      </c>
      <c r="B82" s="86">
        <v>430015</v>
      </c>
      <c r="C82" s="87" t="s">
        <v>2535</v>
      </c>
      <c r="D82" s="178" t="s">
        <v>995</v>
      </c>
      <c r="G82" s="94">
        <f>+IF(A82="","",IFERROR(E82*F82,0))</f>
        <v>0</v>
      </c>
      <c r="H82" s="94">
        <f t="shared" ca="1" si="53"/>
        <v>0</v>
      </c>
      <c r="I82" s="94">
        <f ca="1">+IF(A82="","",IFERROR(J82/H82,0))</f>
        <v>0</v>
      </c>
      <c r="J82" s="94">
        <f t="shared" ca="1" si="54"/>
        <v>0</v>
      </c>
      <c r="K82" s="94">
        <f t="shared" ca="1" si="55"/>
        <v>1</v>
      </c>
      <c r="L82" s="94">
        <f t="shared" ca="1" si="50"/>
        <v>1700000</v>
      </c>
      <c r="M82" s="94">
        <f t="shared" ca="1" si="40"/>
        <v>1700000</v>
      </c>
      <c r="N82" s="94">
        <f t="shared" ca="1" si="56"/>
        <v>0</v>
      </c>
      <c r="O82" s="94">
        <f t="shared" ca="1" si="51"/>
        <v>0</v>
      </c>
      <c r="P82" s="20">
        <f t="shared" ca="1" si="57"/>
        <v>0</v>
      </c>
      <c r="Q82" s="242">
        <f ca="1">+IF(A82="","",IFERROR(H82+K82-N82,0))</f>
        <v>1</v>
      </c>
      <c r="R82" s="94">
        <f t="shared" ca="1" si="52"/>
        <v>1700000</v>
      </c>
      <c r="S82" s="324">
        <f ca="1">+IF(A82="","",IFERROR(J82+M82-P82,0))</f>
        <v>1700000</v>
      </c>
      <c r="T82" s="430">
        <f>+IF(LEFT(B82,3)="131",140100,0)+IF(LEFT(B82,3)="310",150100,0)+IF(LEFT(B82,3)="211",150101,0)+IF(LEFT(B82,3)="410",160100,0)+IF(LEFT(B82,3)="440",160200,0)+IF(LEFT(B82,3)="430",160200,0)+IF(LEFT(B82,3)="420",160200,0)+IF(LEFT(B82,3)="460",160201,0)+IF(LEFT(B82,3)="210",150101,0)+IF(LEFT(B82,3)="510",140100,0)</f>
        <v>160200</v>
      </c>
    </row>
    <row r="83" spans="1:20">
      <c r="A83" s="86">
        <f t="shared" si="49"/>
        <v>76</v>
      </c>
      <c r="B83" s="86">
        <v>430016</v>
      </c>
      <c r="C83" s="87" t="s">
        <v>2536</v>
      </c>
      <c r="D83" s="178" t="s">
        <v>995</v>
      </c>
      <c r="G83" s="94">
        <f>+IF(A83="","",IFERROR(E83*F83,0))</f>
        <v>0</v>
      </c>
      <c r="H83" s="94">
        <f t="shared" ca="1" si="53"/>
        <v>0</v>
      </c>
      <c r="I83" s="94">
        <f ca="1">+IF(A83="","",IFERROR(J83/H83,0))</f>
        <v>0</v>
      </c>
      <c r="J83" s="94">
        <f t="shared" ca="1" si="54"/>
        <v>0</v>
      </c>
      <c r="K83" s="94">
        <f t="shared" ca="1" si="55"/>
        <v>1</v>
      </c>
      <c r="L83" s="94">
        <f t="shared" ca="1" si="50"/>
        <v>822000</v>
      </c>
      <c r="M83" s="94">
        <f t="shared" ca="1" si="40"/>
        <v>822000</v>
      </c>
      <c r="N83" s="94">
        <f t="shared" ca="1" si="56"/>
        <v>0</v>
      </c>
      <c r="O83" s="94">
        <f t="shared" ca="1" si="51"/>
        <v>0</v>
      </c>
      <c r="P83" s="20">
        <f t="shared" ca="1" si="57"/>
        <v>0</v>
      </c>
      <c r="Q83" s="242">
        <f ca="1">+IF(A83="","",IFERROR(H83+K83-N83,0))</f>
        <v>1</v>
      </c>
      <c r="R83" s="94">
        <f t="shared" ca="1" si="52"/>
        <v>822000</v>
      </c>
      <c r="S83" s="324">
        <f ca="1">+IF(A83="","",IFERROR(J83+M83-P83,0))</f>
        <v>822000</v>
      </c>
      <c r="T83" s="430">
        <f>+IF(LEFT(B83,3)="131",140100,0)+IF(LEFT(B83,3)="310",150100,0)+IF(LEFT(B83,3)="211",150101,0)+IF(LEFT(B83,3)="410",160100,0)+IF(LEFT(B83,3)="440",160200,0)+IF(LEFT(B83,3)="430",160200,0)+IF(LEFT(B83,3)="420",160200,0)+IF(LEFT(B83,3)="460",160201,0)+IF(LEFT(B83,3)="210",150101,0)+IF(LEFT(B83,3)="510",140100,0)</f>
        <v>160200</v>
      </c>
    </row>
    <row r="84" spans="1:20">
      <c r="A84" s="86">
        <f t="shared" si="49"/>
        <v>77</v>
      </c>
      <c r="B84" s="86">
        <v>410005</v>
      </c>
      <c r="C84" s="87" t="s">
        <v>2568</v>
      </c>
      <c r="D84" s="178" t="s">
        <v>995</v>
      </c>
      <c r="G84" s="94">
        <f>+IF(A84="","",IFERROR(E84*F84,0))</f>
        <v>0</v>
      </c>
      <c r="H84" s="94">
        <f t="shared" ca="1" si="53"/>
        <v>0</v>
      </c>
      <c r="I84" s="94">
        <f ca="1">+IF(A84="","",IFERROR(J84/H84,0))</f>
        <v>0</v>
      </c>
      <c r="J84" s="94">
        <f t="shared" ca="1" si="54"/>
        <v>0</v>
      </c>
      <c r="K84" s="94">
        <f t="shared" ca="1" si="55"/>
        <v>17</v>
      </c>
      <c r="L84" s="94">
        <f t="shared" ca="1" si="50"/>
        <v>56401.069518716577</v>
      </c>
      <c r="M84" s="94">
        <f t="shared" ca="1" si="40"/>
        <v>958818.18181818177</v>
      </c>
      <c r="N84" s="94">
        <f t="shared" ca="1" si="56"/>
        <v>17</v>
      </c>
      <c r="O84" s="94">
        <f t="shared" ca="1" si="51"/>
        <v>56401.069518716577</v>
      </c>
      <c r="P84" s="20">
        <f t="shared" ca="1" si="57"/>
        <v>958818.18181818177</v>
      </c>
      <c r="Q84" s="242">
        <f ca="1">+IF(A84="","",IFERROR(H84+K84-N84,0))</f>
        <v>0</v>
      </c>
      <c r="R84" s="94">
        <f t="shared" ca="1" si="52"/>
        <v>0</v>
      </c>
      <c r="S84" s="324">
        <f ca="1">+IF(A84="","",IFERROR(J84+M84-P84,0))</f>
        <v>0</v>
      </c>
      <c r="T84" s="430">
        <f>+IF(LEFT(B84,3)="131",140100,0)+IF(LEFT(B84,3)="310",150100,0)+IF(LEFT(B84,3)="211",150101,0)+IF(LEFT(B84,3)="410",160100,0)+IF(LEFT(B84,3)="440",160200,0)+IF(LEFT(B84,3)="430",160200,0)+IF(LEFT(B84,3)="420",160200,0)+IF(LEFT(B84,3)="460",160201,0)+IF(LEFT(B84,3)="210",150101,0)+IF(LEFT(B84,3)="510",140100,0)</f>
        <v>160100</v>
      </c>
    </row>
    <row r="85" spans="1:20">
      <c r="A85" s="86">
        <f t="shared" si="49"/>
        <v>78</v>
      </c>
      <c r="B85" s="86">
        <v>410006</v>
      </c>
      <c r="C85" s="87" t="s">
        <v>2605</v>
      </c>
      <c r="D85" s="178" t="s">
        <v>995</v>
      </c>
      <c r="G85" s="94">
        <f t="shared" ref="G85:G92" si="58">+IF(A85="","",IFERROR(E85*F85,0))</f>
        <v>0</v>
      </c>
      <c r="H85" s="94">
        <f t="shared" ca="1" si="53"/>
        <v>0</v>
      </c>
      <c r="I85" s="94">
        <f t="shared" ref="I85:I92" ca="1" si="59">+IF(A85="","",IFERROR(J85/H85,0))</f>
        <v>0</v>
      </c>
      <c r="J85" s="94">
        <f t="shared" ca="1" si="54"/>
        <v>0</v>
      </c>
      <c r="K85" s="94">
        <f t="shared" ca="1" si="55"/>
        <v>90</v>
      </c>
      <c r="L85" s="94">
        <f t="shared" ref="L85:L92" ca="1" si="60">+IF(A85="","",IFERROR(M85/K85,0))</f>
        <v>3863.3333333333335</v>
      </c>
      <c r="M85" s="94">
        <f t="shared" ca="1" si="40"/>
        <v>347700</v>
      </c>
      <c r="N85" s="94">
        <f t="shared" ca="1" si="56"/>
        <v>90</v>
      </c>
      <c r="O85" s="94">
        <f t="shared" ref="O85:O92" ca="1" si="61">+IF(A85="","",IFERROR(P85/N85,0))</f>
        <v>3863.3333333333335</v>
      </c>
      <c r="P85" s="20">
        <f t="shared" ca="1" si="57"/>
        <v>347700</v>
      </c>
      <c r="Q85" s="242">
        <f t="shared" ref="Q85:Q92" ca="1" si="62">+IF(A85="","",IFERROR(H85+K85-N85,0))</f>
        <v>0</v>
      </c>
      <c r="R85" s="94">
        <f t="shared" ref="R85:R92" ca="1" si="63">+IF(G85="","",IFERROR(S85/Q85,0))</f>
        <v>0</v>
      </c>
      <c r="S85" s="324">
        <f t="shared" ref="S85:S92" ca="1" si="64">+IF(A85="","",IFERROR(J85+M85-P85,0))</f>
        <v>0</v>
      </c>
      <c r="T85" s="430">
        <f t="shared" ref="T85:T92" si="65">+IF(LEFT(B85,3)="131",140100,0)+IF(LEFT(B85,3)="310",150100,0)+IF(LEFT(B85,3)="211",150101,0)+IF(LEFT(B85,3)="410",160100,0)+IF(LEFT(B85,3)="440",160200,0)+IF(LEFT(B85,3)="430",160200,0)+IF(LEFT(B85,3)="420",160200,0)+IF(LEFT(B85,3)="460",160201,0)+IF(LEFT(B85,3)="210",150101,0)+IF(LEFT(B85,3)="510",140100,0)</f>
        <v>160100</v>
      </c>
    </row>
    <row r="86" spans="1:20">
      <c r="A86" s="86">
        <f t="shared" si="49"/>
        <v>79</v>
      </c>
      <c r="B86" s="86">
        <v>410007</v>
      </c>
      <c r="C86" s="87" t="s">
        <v>2662</v>
      </c>
      <c r="D86" s="178" t="s">
        <v>2663</v>
      </c>
      <c r="G86" s="94">
        <f t="shared" si="58"/>
        <v>0</v>
      </c>
      <c r="H86" s="94">
        <f t="shared" ca="1" si="53"/>
        <v>0</v>
      </c>
      <c r="I86" s="94">
        <f t="shared" ca="1" si="59"/>
        <v>0</v>
      </c>
      <c r="J86" s="94">
        <f t="shared" ca="1" si="54"/>
        <v>0</v>
      </c>
      <c r="K86" s="94">
        <f t="shared" ca="1" si="55"/>
        <v>33</v>
      </c>
      <c r="L86" s="94">
        <f t="shared" ca="1" si="60"/>
        <v>177272.72712121211</v>
      </c>
      <c r="M86" s="94">
        <f t="shared" ref="M86:M92" ca="1" si="66">IF($A86="","",SUMIFS(RC_or_totol,RC_Code,$B86,RC_date,"&gt;="&amp;$P$4,RC_date,"&lt;="&amp;$S$4))</f>
        <v>5849999.9950000001</v>
      </c>
      <c r="N86" s="94">
        <f t="shared" ca="1" si="56"/>
        <v>33</v>
      </c>
      <c r="O86" s="94">
        <f t="shared" ca="1" si="61"/>
        <v>177272.72712121211</v>
      </c>
      <c r="P86" s="20">
        <f t="shared" ca="1" si="57"/>
        <v>5849999.9950000001</v>
      </c>
      <c r="Q86" s="242">
        <f t="shared" ca="1" si="62"/>
        <v>0</v>
      </c>
      <c r="R86" s="94">
        <f t="shared" ca="1" si="63"/>
        <v>0</v>
      </c>
      <c r="S86" s="324">
        <f t="shared" ca="1" si="64"/>
        <v>0</v>
      </c>
      <c r="T86" s="430">
        <f t="shared" si="65"/>
        <v>160100</v>
      </c>
    </row>
    <row r="87" spans="1:20">
      <c r="A87" s="86">
        <f t="shared" si="49"/>
        <v>80</v>
      </c>
      <c r="B87" s="86">
        <v>410008</v>
      </c>
      <c r="C87" s="87" t="s">
        <v>2664</v>
      </c>
      <c r="D87" s="178" t="s">
        <v>1574</v>
      </c>
      <c r="G87" s="94">
        <f t="shared" si="58"/>
        <v>0</v>
      </c>
      <c r="H87" s="94">
        <f t="shared" ca="1" si="53"/>
        <v>0</v>
      </c>
      <c r="I87" s="94">
        <f t="shared" ca="1" si="59"/>
        <v>0</v>
      </c>
      <c r="J87" s="94">
        <f t="shared" ca="1" si="54"/>
        <v>0</v>
      </c>
      <c r="K87" s="94">
        <f t="shared" ca="1" si="55"/>
        <v>22</v>
      </c>
      <c r="L87" s="94">
        <f t="shared" ca="1" si="60"/>
        <v>2500</v>
      </c>
      <c r="M87" s="94">
        <f t="shared" ca="1" si="66"/>
        <v>55000</v>
      </c>
      <c r="N87" s="94">
        <f t="shared" ca="1" si="56"/>
        <v>22</v>
      </c>
      <c r="O87" s="94">
        <f t="shared" ca="1" si="61"/>
        <v>2500</v>
      </c>
      <c r="P87" s="20">
        <f t="shared" ca="1" si="57"/>
        <v>55000</v>
      </c>
      <c r="Q87" s="242">
        <f t="shared" ca="1" si="62"/>
        <v>0</v>
      </c>
      <c r="R87" s="94">
        <f t="shared" ca="1" si="63"/>
        <v>0</v>
      </c>
      <c r="S87" s="324">
        <f t="shared" ca="1" si="64"/>
        <v>0</v>
      </c>
      <c r="T87" s="430">
        <f t="shared" si="65"/>
        <v>160100</v>
      </c>
    </row>
    <row r="88" spans="1:20">
      <c r="A88" s="86">
        <f t="shared" si="49"/>
        <v>81</v>
      </c>
      <c r="B88" s="86">
        <v>410009</v>
      </c>
      <c r="C88" s="87" t="s">
        <v>2837</v>
      </c>
      <c r="G88" s="94">
        <f t="shared" si="58"/>
        <v>0</v>
      </c>
      <c r="H88" s="94">
        <f t="shared" ca="1" si="53"/>
        <v>0</v>
      </c>
      <c r="I88" s="94">
        <f t="shared" ca="1" si="59"/>
        <v>0</v>
      </c>
      <c r="J88" s="94">
        <f t="shared" ca="1" si="54"/>
        <v>0</v>
      </c>
      <c r="K88" s="94">
        <f t="shared" ca="1" si="55"/>
        <v>906</v>
      </c>
      <c r="L88" s="94">
        <f t="shared" ca="1" si="60"/>
        <v>3086.09271523179</v>
      </c>
      <c r="M88" s="94">
        <f t="shared" ca="1" si="66"/>
        <v>2796000.0000000019</v>
      </c>
      <c r="N88" s="94">
        <f t="shared" ca="1" si="56"/>
        <v>0</v>
      </c>
      <c r="O88" s="94">
        <f t="shared" ca="1" si="61"/>
        <v>0</v>
      </c>
      <c r="P88" s="20">
        <f t="shared" ca="1" si="57"/>
        <v>0</v>
      </c>
      <c r="Q88" s="242">
        <f t="shared" ca="1" si="62"/>
        <v>906</v>
      </c>
      <c r="R88" s="94">
        <f t="shared" ca="1" si="63"/>
        <v>3086.09271523179</v>
      </c>
      <c r="S88" s="324">
        <f t="shared" ca="1" si="64"/>
        <v>2796000.0000000019</v>
      </c>
      <c r="T88" s="430">
        <f t="shared" si="65"/>
        <v>160100</v>
      </c>
    </row>
    <row r="89" spans="1:20">
      <c r="A89" s="86">
        <f t="shared" si="49"/>
        <v>82</v>
      </c>
      <c r="B89" s="86">
        <v>210004</v>
      </c>
      <c r="C89" s="87" t="s">
        <v>2873</v>
      </c>
      <c r="G89" s="94">
        <f t="shared" si="58"/>
        <v>0</v>
      </c>
      <c r="H89" s="94">
        <f t="shared" ca="1" si="53"/>
        <v>0</v>
      </c>
      <c r="I89" s="94">
        <f t="shared" ca="1" si="59"/>
        <v>0</v>
      </c>
      <c r="J89" s="94">
        <f t="shared" ca="1" si="54"/>
        <v>0</v>
      </c>
      <c r="K89" s="94">
        <f t="shared" ca="1" si="55"/>
        <v>25.68</v>
      </c>
      <c r="L89" s="94">
        <f t="shared" ca="1" si="60"/>
        <v>362664.58770096058</v>
      </c>
      <c r="M89" s="94">
        <f t="shared" ca="1" si="66"/>
        <v>9313226.6121606678</v>
      </c>
      <c r="N89" s="94">
        <f t="shared" ca="1" si="56"/>
        <v>25.68</v>
      </c>
      <c r="O89" s="94">
        <f t="shared" ca="1" si="61"/>
        <v>362664.58770096058</v>
      </c>
      <c r="P89" s="20">
        <f t="shared" ca="1" si="57"/>
        <v>9313226.6121606678</v>
      </c>
      <c r="Q89" s="242">
        <f t="shared" ca="1" si="62"/>
        <v>0</v>
      </c>
      <c r="R89" s="94">
        <f t="shared" ca="1" si="63"/>
        <v>0</v>
      </c>
      <c r="S89" s="324">
        <f t="shared" ca="1" si="64"/>
        <v>0</v>
      </c>
      <c r="T89" s="430">
        <f t="shared" si="65"/>
        <v>150101</v>
      </c>
    </row>
    <row r="90" spans="1:20">
      <c r="G90" s="94" t="str">
        <f t="shared" si="58"/>
        <v/>
      </c>
      <c r="H90" s="94" t="str">
        <f t="shared" si="53"/>
        <v/>
      </c>
      <c r="I90" s="94" t="str">
        <f t="shared" si="59"/>
        <v/>
      </c>
      <c r="J90" s="94" t="str">
        <f t="shared" si="54"/>
        <v/>
      </c>
      <c r="K90" s="94" t="str">
        <f t="shared" si="55"/>
        <v/>
      </c>
      <c r="L90" s="94" t="str">
        <f t="shared" si="60"/>
        <v/>
      </c>
      <c r="M90" s="94" t="str">
        <f t="shared" si="66"/>
        <v/>
      </c>
      <c r="N90" s="94" t="str">
        <f t="shared" si="56"/>
        <v/>
      </c>
      <c r="O90" s="94" t="str">
        <f t="shared" si="61"/>
        <v/>
      </c>
      <c r="P90" s="20" t="str">
        <f t="shared" si="57"/>
        <v/>
      </c>
      <c r="Q90" s="242" t="str">
        <f t="shared" si="62"/>
        <v/>
      </c>
      <c r="R90" s="94" t="str">
        <f t="shared" si="63"/>
        <v/>
      </c>
      <c r="S90" s="324" t="str">
        <f t="shared" si="64"/>
        <v/>
      </c>
      <c r="T90" s="430">
        <f t="shared" si="65"/>
        <v>0</v>
      </c>
    </row>
    <row r="91" spans="1:20">
      <c r="G91" s="94" t="str">
        <f t="shared" si="58"/>
        <v/>
      </c>
      <c r="H91" s="94" t="str">
        <f t="shared" si="53"/>
        <v/>
      </c>
      <c r="I91" s="94" t="str">
        <f t="shared" si="59"/>
        <v/>
      </c>
      <c r="J91" s="94" t="str">
        <f t="shared" si="54"/>
        <v/>
      </c>
      <c r="K91" s="94" t="str">
        <f t="shared" si="55"/>
        <v/>
      </c>
      <c r="L91" s="94" t="str">
        <f t="shared" si="60"/>
        <v/>
      </c>
      <c r="M91" s="94" t="str">
        <f t="shared" si="66"/>
        <v/>
      </c>
      <c r="N91" s="94" t="str">
        <f t="shared" si="56"/>
        <v/>
      </c>
      <c r="O91" s="94" t="str">
        <f t="shared" si="61"/>
        <v/>
      </c>
      <c r="P91" s="20" t="str">
        <f t="shared" si="57"/>
        <v/>
      </c>
      <c r="Q91" s="242" t="str">
        <f t="shared" si="62"/>
        <v/>
      </c>
      <c r="R91" s="94" t="str">
        <f t="shared" si="63"/>
        <v/>
      </c>
      <c r="S91" s="324" t="str">
        <f t="shared" si="64"/>
        <v/>
      </c>
      <c r="T91" s="430">
        <f t="shared" si="65"/>
        <v>0</v>
      </c>
    </row>
    <row r="92" spans="1:20">
      <c r="G92" s="94" t="str">
        <f t="shared" si="58"/>
        <v/>
      </c>
      <c r="H92" s="94" t="str">
        <f t="shared" si="53"/>
        <v/>
      </c>
      <c r="I92" s="94" t="str">
        <f t="shared" si="59"/>
        <v/>
      </c>
      <c r="J92" s="94" t="str">
        <f t="shared" si="54"/>
        <v/>
      </c>
      <c r="K92" s="94" t="str">
        <f t="shared" si="55"/>
        <v/>
      </c>
      <c r="L92" s="94" t="str">
        <f t="shared" si="60"/>
        <v/>
      </c>
      <c r="M92" s="94" t="str">
        <f t="shared" si="66"/>
        <v/>
      </c>
      <c r="N92" s="94" t="str">
        <f t="shared" si="56"/>
        <v/>
      </c>
      <c r="O92" s="94" t="str">
        <f t="shared" si="61"/>
        <v/>
      </c>
      <c r="P92" s="20" t="str">
        <f t="shared" si="57"/>
        <v/>
      </c>
      <c r="Q92" s="242" t="str">
        <f t="shared" si="62"/>
        <v/>
      </c>
      <c r="R92" s="94" t="str">
        <f t="shared" si="63"/>
        <v/>
      </c>
      <c r="S92" s="324" t="str">
        <f t="shared" si="64"/>
        <v/>
      </c>
      <c r="T92" s="430">
        <f t="shared" si="65"/>
        <v>0</v>
      </c>
    </row>
  </sheetData>
  <autoFilter ref="A7:U92"/>
  <sortState ref="B8:T106">
    <sortCondition ref="B106"/>
  </sortState>
  <mergeCells count="5">
    <mergeCell ref="E6:G6"/>
    <mergeCell ref="H6:J6"/>
    <mergeCell ref="K6:M6"/>
    <mergeCell ref="N6:P6"/>
    <mergeCell ref="Q6:S6"/>
  </mergeCells>
  <conditionalFormatting sqref="A9:A75 H9:J79 C9:D64 F8:F79 A8:S8 K9:S92">
    <cfRule type="expression" dxfId="10862" priority="30" stopIfTrue="1">
      <formula>$A8&lt;&gt;""</formula>
    </cfRule>
  </conditionalFormatting>
  <conditionalFormatting sqref="B76:S42194 T85:T42194 A73:A75 G72:S84 E72:F75 C72:C74 H8:J79 F8:F79 G8:G80 A76:S4341 M72:M85 A8:S72">
    <cfRule type="expression" dxfId="10861" priority="23">
      <formula>$B8&lt;&gt;""</formula>
    </cfRule>
  </conditionalFormatting>
  <conditionalFormatting sqref="C65:C68 B69:D72 E72:F75 C72:C74 B9:B68 D8:D68 E8:J72 H8:J79 F8:F79 G8:G80 G72:J92">
    <cfRule type="expression" dxfId="10860" priority="19" stopIfTrue="1">
      <formula>$A8&lt;&gt;""</formula>
    </cfRule>
  </conditionalFormatting>
  <conditionalFormatting sqref="E72:F75 C72:C74 G8:G80 G72:J92">
    <cfRule type="expression" dxfId="10859" priority="12">
      <formula>$B8&lt;&gt;""</formula>
    </cfRule>
  </conditionalFormatting>
  <conditionalFormatting sqref="B73:B75">
    <cfRule type="colorScale" priority="1">
      <colorScale>
        <cfvo type="min" val="0"/>
        <cfvo type="max" val="0"/>
        <color theme="0"/>
        <color theme="0"/>
      </colorScale>
    </cfRule>
  </conditionalFormatting>
  <pageMargins left="0.7" right="0.7" top="0.75" bottom="0.75" header="0.3" footer="0.3"/>
  <pageSetup scale="32" fitToHeight="0" orientation="landscape" horizontalDpi="0" verticalDpi="0" r:id="rId1"/>
  <ignoredErrors>
    <ignoredError sqref="H1:I1 H6:S7 H2:I2 H3:I3 Q3:R3 Q2:R2 H4:J4 N1:O1 Q1:R1 Q4:R4 L1 N4:O4 H5:L5 N5:O5 L4 R5:S5" evalError="1"/>
  </ignoredErrors>
  <legacyDrawing r:id="rId2"/>
</worksheet>
</file>

<file path=xl/worksheets/sheet8.xml><?xml version="1.0" encoding="utf-8"?>
<worksheet xmlns="http://schemas.openxmlformats.org/spreadsheetml/2006/main" xmlns:r="http://schemas.openxmlformats.org/officeDocument/2006/relationships">
  <dimension ref="A1:AJ3305"/>
  <sheetViews>
    <sheetView workbookViewId="0">
      <pane xSplit="6" ySplit="5" topLeftCell="N519" activePane="bottomRight" state="frozen"/>
      <selection pane="topRight" activeCell="G1" sqref="G1"/>
      <selection pane="bottomLeft" activeCell="A6" sqref="A6"/>
      <selection pane="bottomRight" activeCell="U545" sqref="U545:V549"/>
    </sheetView>
  </sheetViews>
  <sheetFormatPr defaultRowHeight="12.75"/>
  <cols>
    <col min="1" max="1" width="6.5703125" style="15" customWidth="1"/>
    <col min="2" max="2" width="6" style="92" bestFit="1" customWidth="1"/>
    <col min="3" max="3" width="9.140625" style="89" bestFit="1" customWidth="1"/>
    <col min="4" max="4" width="9" style="86" bestFit="1" customWidth="1"/>
    <col min="5" max="5" width="23.85546875" style="87" customWidth="1"/>
    <col min="6" max="6" width="4.42578125" style="180" customWidth="1"/>
    <col min="7" max="7" width="10.7109375" style="237" bestFit="1" customWidth="1"/>
    <col min="8" max="8" width="12.7109375" style="237" bestFit="1" customWidth="1"/>
    <col min="9" max="9" width="14.42578125" style="237" bestFit="1" customWidth="1"/>
    <col min="10" max="10" width="15.140625" style="237" bestFit="1" customWidth="1"/>
    <col min="11" max="11" width="14.42578125" style="237" bestFit="1" customWidth="1"/>
    <col min="12" max="12" width="10.7109375" style="237" bestFit="1" customWidth="1"/>
    <col min="13" max="13" width="12" style="237" bestFit="1" customWidth="1"/>
    <col min="14" max="14" width="12.85546875" style="87" customWidth="1"/>
    <col min="15" max="15" width="14.42578125" style="87" bestFit="1" customWidth="1"/>
    <col min="16" max="16" width="13" style="87" bestFit="1" customWidth="1"/>
    <col min="17" max="17" width="12.5703125" style="87" hidden="1" customWidth="1"/>
    <col min="18" max="18" width="14.42578125" style="87" bestFit="1" customWidth="1"/>
    <col min="19" max="19" width="7.85546875" style="591" customWidth="1"/>
    <col min="20" max="20" width="17.140625" style="92" customWidth="1"/>
    <col min="21" max="21" width="16" style="336" bestFit="1" customWidth="1"/>
    <col min="22" max="22" width="16" style="237" bestFit="1" customWidth="1"/>
    <col min="23" max="23" width="5.85546875" style="170" customWidth="1"/>
    <col min="24" max="24" width="11" style="172" customWidth="1"/>
    <col min="25" max="25" width="7.5703125" style="87" customWidth="1"/>
    <col min="26" max="26" width="20" style="87" customWidth="1"/>
    <col min="27" max="27" width="7.5703125" style="87" customWidth="1"/>
    <col min="28" max="28" width="8.85546875" style="87" customWidth="1"/>
    <col min="29" max="29" width="6.7109375" style="87" customWidth="1"/>
    <col min="30" max="33" width="6.5703125" style="87" customWidth="1"/>
    <col min="34" max="34" width="11.140625" style="87" bestFit="1" customWidth="1"/>
    <col min="35" max="16384" width="9.140625" style="87"/>
  </cols>
  <sheetData>
    <row r="1" spans="1:36">
      <c r="F1" s="179" t="s">
        <v>260</v>
      </c>
      <c r="G1" s="325">
        <f>+SUM(G6:G5304)</f>
        <v>28767.38</v>
      </c>
      <c r="H1" s="325">
        <f>+SUM(H6:H5304)</f>
        <v>7380956.7731465511</v>
      </c>
      <c r="I1" s="325">
        <f>+SUM(I6:I5304)</f>
        <v>596743528.87857389</v>
      </c>
      <c r="J1" s="325">
        <f>+SUM(J6:J5304)</f>
        <v>9935499.0875127278</v>
      </c>
      <c r="K1" s="325">
        <f>+SUM(K6:K5304)</f>
        <v>606679027.96608651</v>
      </c>
      <c r="L1" s="325">
        <f t="shared" ref="L1:Q1" si="0">+SUM(L6:L5304)</f>
        <v>49726.977818181818</v>
      </c>
      <c r="M1" s="325">
        <f t="shared" si="0"/>
        <v>2108478.6191247404</v>
      </c>
      <c r="N1" s="325">
        <f t="shared" si="0"/>
        <v>79990009.976185068</v>
      </c>
      <c r="O1" s="325">
        <f t="shared" si="0"/>
        <v>7696999.9977542078</v>
      </c>
      <c r="P1" s="325">
        <f t="shared" si="0"/>
        <v>87687009.97393927</v>
      </c>
      <c r="Q1" s="325">
        <f t="shared" ca="1" si="0"/>
        <v>6586245.1393976295</v>
      </c>
      <c r="R1" s="325">
        <f ca="1">+SUM(R6:R5304)</f>
        <v>704901976.56470573</v>
      </c>
      <c r="S1" s="590"/>
      <c r="T1" s="321"/>
      <c r="U1" s="325"/>
      <c r="V1" s="325"/>
      <c r="W1" s="334"/>
      <c r="X1" s="107">
        <f>+SUM(X6:X5304)</f>
        <v>0</v>
      </c>
    </row>
    <row r="2" spans="1:36">
      <c r="B2" s="88"/>
      <c r="D2" s="90"/>
      <c r="G2" s="237">
        <f ca="1">+TN!K1</f>
        <v>28767.38</v>
      </c>
      <c r="I2" s="237">
        <f ca="1">+TN!M1</f>
        <v>596743528.87857378</v>
      </c>
      <c r="L2" s="237">
        <f ca="1">+TN!N1</f>
        <v>49726.977818181826</v>
      </c>
      <c r="R2" s="87">
        <f ca="1">+TN!P1</f>
        <v>704901976.56470597</v>
      </c>
      <c r="U2" s="336">
        <f ca="1">+SUM(U6:U1662)</f>
        <v>1399268014.5002091</v>
      </c>
      <c r="V2" s="336">
        <f ca="1">+SUM(V6:V1662)</f>
        <v>1399268014.4947095</v>
      </c>
      <c r="Z2" s="94"/>
      <c r="AA2" s="95"/>
      <c r="AB2" s="94"/>
      <c r="AC2" s="94"/>
      <c r="AD2" s="94"/>
      <c r="AE2" s="94"/>
      <c r="AF2" s="94"/>
      <c r="AG2" s="94"/>
      <c r="AH2" s="173"/>
    </row>
    <row r="3" spans="1:36" ht="13.5" customHeight="1">
      <c r="B3" s="96">
        <f>COUNT(B6:B4304)</f>
        <v>544</v>
      </c>
      <c r="C3" s="264" t="s">
        <v>1325</v>
      </c>
      <c r="D3" s="90"/>
      <c r="G3" s="237">
        <f ca="1">+G1-G2</f>
        <v>0</v>
      </c>
      <c r="I3" s="237">
        <f ca="1">+I1-I2</f>
        <v>0</v>
      </c>
      <c r="L3" s="237">
        <f ca="1">+L1-L2</f>
        <v>0</v>
      </c>
      <c r="R3" s="87">
        <f ca="1">+R1-R2</f>
        <v>0</v>
      </c>
      <c r="U3" s="336">
        <f ca="1">+U2-V2</f>
        <v>5.4996013641357422E-3</v>
      </c>
      <c r="V3" s="237">
        <f ca="1">+V2-U2</f>
        <v>-5.4996013641357422E-3</v>
      </c>
      <c r="W3" s="821"/>
      <c r="Z3" s="174"/>
      <c r="AA3" s="174"/>
      <c r="AB3" s="174"/>
      <c r="AC3" s="174"/>
      <c r="AD3" s="174"/>
      <c r="AE3" s="174"/>
      <c r="AF3" s="174"/>
      <c r="AG3" s="174"/>
      <c r="AH3" s="174"/>
    </row>
    <row r="4" spans="1:36" ht="15" customHeight="1">
      <c r="A4" s="56"/>
      <c r="B4" s="100" t="s">
        <v>1</v>
      </c>
      <c r="C4" s="101" t="s">
        <v>292</v>
      </c>
      <c r="D4" s="102" t="s">
        <v>302</v>
      </c>
      <c r="E4" s="103" t="s">
        <v>303</v>
      </c>
      <c r="F4" s="181" t="s">
        <v>319</v>
      </c>
      <c r="G4" s="997" t="s">
        <v>306</v>
      </c>
      <c r="H4" s="997"/>
      <c r="I4" s="997"/>
      <c r="J4" s="997"/>
      <c r="K4" s="997"/>
      <c r="L4" s="998" t="s">
        <v>307</v>
      </c>
      <c r="M4" s="998"/>
      <c r="N4" s="998"/>
      <c r="O4" s="998"/>
      <c r="P4" s="998"/>
      <c r="Q4" s="998"/>
      <c r="R4" s="998"/>
      <c r="S4" s="1005" t="s">
        <v>317</v>
      </c>
      <c r="T4" s="1003" t="s">
        <v>2</v>
      </c>
      <c r="U4" s="999" t="s">
        <v>261</v>
      </c>
      <c r="V4" s="1001" t="s">
        <v>262</v>
      </c>
      <c r="W4" s="1007" t="s">
        <v>0</v>
      </c>
      <c r="X4" s="1009" t="s">
        <v>296</v>
      </c>
      <c r="Z4" s="94"/>
      <c r="AA4" s="95"/>
      <c r="AB4" s="94"/>
      <c r="AC4" s="94"/>
      <c r="AD4" s="94"/>
      <c r="AE4" s="94"/>
      <c r="AF4" s="94"/>
      <c r="AG4" s="94"/>
      <c r="AH4" s="94"/>
    </row>
    <row r="5" spans="1:36" s="91" customFormat="1" ht="18.75" customHeight="1">
      <c r="A5" s="592"/>
      <c r="B5" s="100"/>
      <c r="C5" s="101"/>
      <c r="D5" s="102"/>
      <c r="E5" s="103"/>
      <c r="F5" s="181" t="s">
        <v>320</v>
      </c>
      <c r="G5" s="851" t="s">
        <v>308</v>
      </c>
      <c r="H5" s="851" t="s">
        <v>309</v>
      </c>
      <c r="I5" s="851" t="s">
        <v>310</v>
      </c>
      <c r="J5" s="326" t="s">
        <v>311</v>
      </c>
      <c r="K5" s="326" t="s">
        <v>313</v>
      </c>
      <c r="L5" s="847" t="s">
        <v>308</v>
      </c>
      <c r="M5" s="847" t="s">
        <v>290</v>
      </c>
      <c r="N5" s="105" t="s">
        <v>291</v>
      </c>
      <c r="O5" s="104" t="s">
        <v>312</v>
      </c>
      <c r="P5" s="104" t="s">
        <v>313</v>
      </c>
      <c r="Q5" s="105" t="s">
        <v>314</v>
      </c>
      <c r="R5" s="105" t="s">
        <v>315</v>
      </c>
      <c r="S5" s="1006"/>
      <c r="T5" s="1004"/>
      <c r="U5" s="1000"/>
      <c r="V5" s="1002"/>
      <c r="W5" s="1008"/>
      <c r="X5" s="1010"/>
      <c r="Z5" s="94"/>
      <c r="AA5" s="95"/>
      <c r="AB5" s="94"/>
      <c r="AC5" s="94"/>
      <c r="AD5" s="94"/>
      <c r="AE5" s="94"/>
      <c r="AF5" s="94"/>
      <c r="AG5" s="94"/>
      <c r="AH5" s="94"/>
      <c r="AI5" s="87"/>
      <c r="AJ5" s="87"/>
    </row>
    <row r="6" spans="1:36">
      <c r="A6" s="425"/>
      <c r="B6" s="368">
        <f t="shared" ref="B6:B37" si="1">+IF(C6="","",ROW()-5)</f>
        <v>1</v>
      </c>
      <c r="C6" s="425">
        <v>43103</v>
      </c>
      <c r="D6" s="830">
        <v>211801</v>
      </c>
      <c r="E6" s="876" t="str">
        <f ca="1">+IFERROR(VLOOKUP(D6,TN_table,2,FALSE),"")</f>
        <v>Н-Ембүү /20*30мм/</v>
      </c>
      <c r="F6" s="426" t="str">
        <f ca="1">+IFERROR(VLOOKUP(D6,TN_table,3,FALSE),"")</f>
        <v>м</v>
      </c>
      <c r="G6" s="415"/>
      <c r="H6" s="415"/>
      <c r="I6" s="415" t="str">
        <f t="shared" ref="I6:I42" si="2">+IF(G6="","",G6*H6)</f>
        <v/>
      </c>
      <c r="J6" s="415"/>
      <c r="K6" s="415" t="str">
        <f>+IF(G6="","",I6+J6)</f>
        <v/>
      </c>
      <c r="L6" s="415">
        <v>180</v>
      </c>
      <c r="M6" s="415">
        <v>1500</v>
      </c>
      <c r="N6" s="422">
        <f>+IF(L6="","",L6*M6)</f>
        <v>270000</v>
      </c>
      <c r="O6" s="422">
        <f>+IF(L6="","",N6*0.1)</f>
        <v>27000</v>
      </c>
      <c r="P6" s="422">
        <f>+IF(L6="","",N6+O6)</f>
        <v>297000</v>
      </c>
      <c r="Q6" s="422">
        <f ca="1">IF(L6="","",IFERROR((SUMIFS(TN_balC1_totol,TN_code,D6)+SUMIFS(RC_or_totol,RC_Code,D6,RC_date,"&lt;="&amp;C6)-SUMIFS(RC_zar_totol,RC_Code,D6,RC_date,"&lt;"&amp;C6)) /( SUMIFS(TN_balC1_unit,TN_code,D6)+SUMIFS(RC_or_unit,RC_Code,D6,RC_date,"&lt;="&amp;C6)-SUMIFS(RC_zar_unit,RC_Code,D6,RC_date,"&lt;"&amp;C6)),0 ))</f>
        <v>768.80288972169444</v>
      </c>
      <c r="R6" s="422">
        <f ca="1">+IF(L6="","",L6*Q6)</f>
        <v>138384.520149905</v>
      </c>
      <c r="S6" s="583">
        <f>+IF(LEFT(D6,3)="131",140100,0)+IF(LEFT(D6,3)="310",150100,0)+IF(LEFT(D6,3)="211",150101,0)+IF(LEFT(D6,3)="410",160100,0)+IF(LEFT(D6,3)="440",160200,0)+IF(LEFT(D6,3)="430",160200,0)+IF(LEFT(D6,3)="420",160200,0)+IF(LEFT(D6,3)="460",160201,0)+IF(LEFT(D6,3)="210",150101,0)+IF(LEFT(D6,3)="510",140100,0)</f>
        <v>150101</v>
      </c>
      <c r="T6" s="377" t="str">
        <f>+IFERROR(VLOOKUP(S6,STAT1!$C$4:$D$189,2,FALSE),"")</f>
        <v>Бараа бэлэн бүтээгдэхүүн БОЛОВСРУУЛАХ ЦЕХ /нарс/</v>
      </c>
      <c r="U6" s="424"/>
      <c r="V6" s="424">
        <v>138384.520149905</v>
      </c>
      <c r="W6" s="822">
        <v>3052</v>
      </c>
      <c r="X6" s="436" t="str">
        <f>IFERROR(VLOOKUP(W6,DATA!$G$4:$H$400,2,FALSE),"")</f>
        <v>ШИНЭ ОРОН СУУЦ ХХК</v>
      </c>
      <c r="Y6" s="328"/>
      <c r="Z6" s="324"/>
      <c r="AA6" s="95"/>
      <c r="AB6" s="94"/>
      <c r="AC6" s="94"/>
      <c r="AD6" s="94"/>
      <c r="AE6" s="94"/>
      <c r="AF6" s="996"/>
      <c r="AG6" s="996"/>
      <c r="AH6" s="94"/>
    </row>
    <row r="7" spans="1:36">
      <c r="A7" s="425"/>
      <c r="B7" s="368">
        <f t="shared" si="1"/>
        <v>2</v>
      </c>
      <c r="C7" s="425">
        <v>43103</v>
      </c>
      <c r="D7" s="830">
        <v>211802</v>
      </c>
      <c r="E7" s="876" t="str">
        <f ca="1">+IFERROR(VLOOKUP(D7,TN_table,2,FALSE),"")</f>
        <v xml:space="preserve">Н-Уголок </v>
      </c>
      <c r="F7" s="426" t="str">
        <f ca="1">+IFERROR(VLOOKUP(D7,TN_table,3,FALSE),"")</f>
        <v>м</v>
      </c>
      <c r="G7" s="415"/>
      <c r="H7" s="415"/>
      <c r="I7" s="415" t="str">
        <f t="shared" si="2"/>
        <v/>
      </c>
      <c r="J7" s="415" t="str">
        <f>+IF(G7="","",I7*0.1)</f>
        <v/>
      </c>
      <c r="K7" s="415" t="str">
        <f>+IF(G7="","",I7+J7)</f>
        <v/>
      </c>
      <c r="L7" s="415">
        <v>90</v>
      </c>
      <c r="M7" s="415">
        <v>4000</v>
      </c>
      <c r="N7" s="422">
        <f>+IF(L7="","",L7*M7)</f>
        <v>360000</v>
      </c>
      <c r="O7" s="422">
        <f>+IF(L7="","",N7*0.1)</f>
        <v>36000</v>
      </c>
      <c r="P7" s="422">
        <f>+IF(L7="","",N7+O7)</f>
        <v>396000</v>
      </c>
      <c r="Q7" s="422">
        <f ca="1">IF(L7="","",IFERROR((SUMIFS(TN_balC1_totol,TN_code,D7)+SUMIFS(RC_or_totol,RC_Code,D7,RC_date,"&lt;="&amp;C7)-SUMIFS(RC_zar_totol,RC_Code,D7,RC_date,"&lt;"&amp;C7)) /( SUMIFS(TN_balC1_unit,TN_code,D7)+SUMIFS(RC_or_unit,RC_Code,D7,RC_date,"&lt;="&amp;C7)-SUMIFS(RC_zar_unit,RC_Code,D7,RC_date,"&lt;"&amp;C7)),0 ))</f>
        <v>1377.7799111418215</v>
      </c>
      <c r="R7" s="422">
        <f ca="1">+IF(L7="","",L7*Q7)</f>
        <v>124000.19200276393</v>
      </c>
      <c r="S7" s="583">
        <f>+IF(LEFT(D7,3)="131",140100,0)+IF(LEFT(D7,3)="310",150100,0)+IF(LEFT(D7,3)="211",150101,0)+IF(LEFT(D7,3)="410",160100,0)+IF(LEFT(D7,3)="440",160200,0)+IF(LEFT(D7,3)="430",160200,0)+IF(LEFT(D7,3)="420",160200,0)+IF(LEFT(D7,3)="460",160201,0)+IF(LEFT(D7,3)="210",150101,0)+IF(LEFT(D7,3)="510",140100,0)</f>
        <v>150101</v>
      </c>
      <c r="T7" s="377" t="str">
        <f>+IFERROR(VLOOKUP(S7,STAT1!$C$4:$D$189,2,FALSE),"")</f>
        <v>Бараа бэлэн бүтээгдэхүүн БОЛОВСРУУЛАХ ЦЕХ /нарс/</v>
      </c>
      <c r="U7" s="424"/>
      <c r="V7" s="424">
        <v>124000.19200276393</v>
      </c>
      <c r="W7" s="822">
        <v>3052</v>
      </c>
      <c r="X7" s="436" t="str">
        <f>IFERROR(VLOOKUP(W7,DATA!$G$4:$H$400,2,FALSE),"")</f>
        <v>ШИНЭ ОРОН СУУЦ ХХК</v>
      </c>
      <c r="Y7" s="328"/>
      <c r="Z7" s="324"/>
      <c r="AA7" s="95"/>
      <c r="AB7" s="94"/>
      <c r="AC7" s="94"/>
      <c r="AD7" s="94"/>
      <c r="AE7" s="94"/>
      <c r="AF7" s="94"/>
      <c r="AG7" s="94"/>
      <c r="AH7" s="94"/>
    </row>
    <row r="8" spans="1:36">
      <c r="A8" s="425"/>
      <c r="B8" s="368">
        <f t="shared" si="1"/>
        <v>3</v>
      </c>
      <c r="C8" s="425">
        <v>43103</v>
      </c>
      <c r="D8" s="830"/>
      <c r="E8" s="876"/>
      <c r="F8" s="426"/>
      <c r="G8" s="415"/>
      <c r="H8" s="415"/>
      <c r="I8" s="415" t="str">
        <f t="shared" si="2"/>
        <v/>
      </c>
      <c r="J8" s="415"/>
      <c r="K8" s="415"/>
      <c r="L8" s="415"/>
      <c r="M8" s="415"/>
      <c r="N8" s="422"/>
      <c r="O8" s="422"/>
      <c r="P8" s="422"/>
      <c r="Q8" s="422"/>
      <c r="R8" s="422"/>
      <c r="S8" s="583">
        <v>610100</v>
      </c>
      <c r="T8" s="377" t="str">
        <f>+IFERROR(VLOOKUP(S8,STAT1!$C$4:$D$189,2,FALSE),"")</f>
        <v>Борлуулсан барааны өртөг</v>
      </c>
      <c r="U8" s="424">
        <v>262384.71215266892</v>
      </c>
      <c r="V8" s="424"/>
      <c r="W8" s="822">
        <v>3052</v>
      </c>
      <c r="X8" s="436" t="str">
        <f>IFERROR(VLOOKUP(W8,DATA!$G$4:$H$400,2,FALSE),"")</f>
        <v>ШИНЭ ОРОН СУУЦ ХХК</v>
      </c>
      <c r="Y8" s="328"/>
      <c r="Z8" s="324"/>
      <c r="AA8" s="95"/>
      <c r="AB8" s="94"/>
      <c r="AC8" s="94"/>
      <c r="AD8" s="94"/>
      <c r="AE8" s="94"/>
      <c r="AF8" s="94"/>
      <c r="AG8" s="94"/>
      <c r="AH8" s="94"/>
    </row>
    <row r="9" spans="1:36">
      <c r="A9" s="425"/>
      <c r="B9" s="368">
        <f t="shared" si="1"/>
        <v>4</v>
      </c>
      <c r="C9" s="425">
        <v>43103</v>
      </c>
      <c r="D9" s="830"/>
      <c r="E9" s="876" t="str">
        <f t="shared" ref="E9:E42" ca="1" si="3">+IFERROR(VLOOKUP(D9,TN_table,2,FALSE),"")</f>
        <v/>
      </c>
      <c r="F9" s="426" t="str">
        <f t="shared" ref="F9:F18" ca="1" si="4">+IFERROR(VLOOKUP(D9,TN_table,3,FALSE),"")</f>
        <v/>
      </c>
      <c r="G9" s="415"/>
      <c r="H9" s="415"/>
      <c r="I9" s="415" t="str">
        <f t="shared" si="2"/>
        <v/>
      </c>
      <c r="J9" s="415"/>
      <c r="K9" s="415" t="str">
        <f t="shared" ref="K9:K42" si="5">+IF(G9="","",I9+J9)</f>
        <v/>
      </c>
      <c r="L9" s="415"/>
      <c r="M9" s="415"/>
      <c r="N9" s="422" t="str">
        <f t="shared" ref="N9:N18" si="6">+IF(L9="","",L9*M9)</f>
        <v/>
      </c>
      <c r="O9" s="422" t="str">
        <f t="shared" ref="O9:O18" si="7">+IF(L9="","",N9*0.1)</f>
        <v/>
      </c>
      <c r="P9" s="422" t="str">
        <f t="shared" ref="P9:P18" si="8">+IF(L9="","",N9+O9)</f>
        <v/>
      </c>
      <c r="Q9" s="422" t="str">
        <f t="shared" ref="Q9:Q18" si="9">IF(L9="","",IFERROR((SUMIFS(TN_balC1_totol,TN_code,D9)+SUMIFS(RC_or_totol,RC_Code,D9,RC_date,"&lt;="&amp;C9)-SUMIFS(RC_zar_totol,RC_Code,D9,RC_date,"&lt;"&amp;C9)) /( SUMIFS(TN_balC1_unit,TN_code,D9)+SUMIFS(RC_or_unit,RC_Code,D9,RC_date,"&lt;="&amp;C9)-SUMIFS(RC_zar_unit,RC_Code,D9,RC_date,"&lt;"&amp;C9)),0 ))</f>
        <v/>
      </c>
      <c r="R9" s="422" t="str">
        <f t="shared" ref="R9:R18" si="10">+IF(L9="","",L9*Q9)</f>
        <v/>
      </c>
      <c r="S9" s="583">
        <v>310500</v>
      </c>
      <c r="T9" s="377" t="str">
        <f>+IFERROR(VLOOKUP(S9,STAT1!$C$4:$D$189,2,FALSE),"")</f>
        <v>НӨАТ өглөг</v>
      </c>
      <c r="U9" s="424"/>
      <c r="V9" s="424">
        <v>63000</v>
      </c>
      <c r="W9" s="822">
        <v>3052</v>
      </c>
      <c r="X9" s="436" t="str">
        <f>IFERROR(VLOOKUP(W9,DATA!$G$4:$H$400,2,FALSE),"")</f>
        <v>ШИНЭ ОРОН СУУЦ ХХК</v>
      </c>
      <c r="Y9" s="328"/>
      <c r="Z9" s="324"/>
      <c r="AA9" s="175"/>
      <c r="AB9" s="176"/>
      <c r="AC9" s="176"/>
      <c r="AD9" s="176"/>
      <c r="AE9" s="94"/>
      <c r="AF9" s="94"/>
      <c r="AG9" s="94"/>
      <c r="AH9" s="94"/>
    </row>
    <row r="10" spans="1:36">
      <c r="A10" s="425"/>
      <c r="B10" s="368">
        <f t="shared" si="1"/>
        <v>5</v>
      </c>
      <c r="C10" s="425">
        <v>43103</v>
      </c>
      <c r="D10" s="830"/>
      <c r="E10" s="876" t="str">
        <f t="shared" ca="1" si="3"/>
        <v/>
      </c>
      <c r="F10" s="426" t="str">
        <f t="shared" ca="1" si="4"/>
        <v/>
      </c>
      <c r="G10" s="415"/>
      <c r="H10" s="415"/>
      <c r="I10" s="415" t="str">
        <f t="shared" si="2"/>
        <v/>
      </c>
      <c r="J10" s="415" t="str">
        <f>+IF(G10="","",I10*0.1)</f>
        <v/>
      </c>
      <c r="K10" s="415" t="str">
        <f t="shared" si="5"/>
        <v/>
      </c>
      <c r="L10" s="415"/>
      <c r="M10" s="415"/>
      <c r="N10" s="422" t="str">
        <f t="shared" si="6"/>
        <v/>
      </c>
      <c r="O10" s="422" t="str">
        <f t="shared" si="7"/>
        <v/>
      </c>
      <c r="P10" s="422" t="str">
        <f t="shared" si="8"/>
        <v/>
      </c>
      <c r="Q10" s="422" t="str">
        <f t="shared" si="9"/>
        <v/>
      </c>
      <c r="R10" s="422" t="str">
        <f t="shared" si="10"/>
        <v/>
      </c>
      <c r="S10" s="583">
        <v>510000</v>
      </c>
      <c r="T10" s="377" t="str">
        <f>+IFERROR(VLOOKUP(S10,STAT1!$C$4:$D$189,2,FALSE),"")</f>
        <v>Үндсэн үйл ажиллагааны борлуулалт</v>
      </c>
      <c r="U10" s="424"/>
      <c r="V10" s="424">
        <v>630000</v>
      </c>
      <c r="W10" s="822">
        <v>3052</v>
      </c>
      <c r="X10" s="436" t="str">
        <f>IFERROR(VLOOKUP(W10,DATA!$G$4:$H$400,2,FALSE),"")</f>
        <v>ШИНЭ ОРОН СУУЦ ХХК</v>
      </c>
      <c r="Y10" s="328"/>
      <c r="Z10" s="324"/>
      <c r="AA10" s="177"/>
      <c r="AB10" s="177"/>
      <c r="AC10" s="177"/>
      <c r="AD10" s="20"/>
      <c r="AE10" s="94"/>
      <c r="AF10" s="94"/>
      <c r="AG10" s="94"/>
      <c r="AH10" s="94"/>
    </row>
    <row r="11" spans="1:36">
      <c r="A11" s="425"/>
      <c r="B11" s="368">
        <f t="shared" si="1"/>
        <v>6</v>
      </c>
      <c r="C11" s="425">
        <v>43103</v>
      </c>
      <c r="D11" s="830">
        <v>131018</v>
      </c>
      <c r="E11" s="876" t="str">
        <f t="shared" ca="1" si="3"/>
        <v xml:space="preserve">Нарсан банз /5см/ Буян Од </v>
      </c>
      <c r="F11" s="426" t="str">
        <f t="shared" ca="1" si="4"/>
        <v>м3</v>
      </c>
      <c r="G11" s="415"/>
      <c r="H11" s="415"/>
      <c r="I11" s="415" t="str">
        <f t="shared" si="2"/>
        <v/>
      </c>
      <c r="J11" s="415" t="str">
        <f>+IF(G11="","",I11*0.1)</f>
        <v/>
      </c>
      <c r="K11" s="415" t="str">
        <f t="shared" si="5"/>
        <v/>
      </c>
      <c r="L11" s="415">
        <v>254.7</v>
      </c>
      <c r="M11" s="415"/>
      <c r="N11" s="422">
        <f t="shared" si="6"/>
        <v>0</v>
      </c>
      <c r="O11" s="422">
        <f t="shared" si="7"/>
        <v>0</v>
      </c>
      <c r="P11" s="422">
        <f t="shared" si="8"/>
        <v>0</v>
      </c>
      <c r="Q11" s="422">
        <f t="shared" ca="1" si="9"/>
        <v>302568.68046024244</v>
      </c>
      <c r="R11" s="422">
        <f t="shared" ca="1" si="10"/>
        <v>77064242.913223743</v>
      </c>
      <c r="S11" s="583">
        <f>+IF(LEFT(D11,3)="131",140100,0)+IF(LEFT(D11,3)="310",150100,0)+IF(LEFT(D11,3)="211",150101,0)+IF(LEFT(D11,3)="410",160100,0)+IF(LEFT(D11,3)="440",160200,0)+IF(LEFT(D11,3)="430",160200,0)+IF(LEFT(D11,3)="420",160200,0)+IF(LEFT(D11,3)="460",160201,0)+IF(LEFT(D11,3)="210",150101,0)+IF(LEFT(D11,3)="510",140100,0)</f>
        <v>140100</v>
      </c>
      <c r="T11" s="377" t="str">
        <f>+IFERROR(VLOOKUP(S11,STAT1!$C$4:$D$189,2,FALSE),"")</f>
        <v>Түүхий эд материал</v>
      </c>
      <c r="U11" s="424"/>
      <c r="V11" s="424">
        <v>77064242.909999996</v>
      </c>
      <c r="W11" s="822">
        <v>1004</v>
      </c>
      <c r="X11" s="436" t="str">
        <f>IFERROR(VLOOKUP(W11,DATA!$G$4:$H$400,2,FALSE),"")</f>
        <v xml:space="preserve">Түмэндэлгэр </v>
      </c>
      <c r="Y11" s="328"/>
      <c r="Z11" s="324"/>
      <c r="AA11" s="177"/>
      <c r="AB11" s="177"/>
      <c r="AC11" s="177"/>
      <c r="AD11" s="20"/>
      <c r="AE11" s="94"/>
      <c r="AF11" s="94"/>
      <c r="AG11" s="94"/>
      <c r="AH11" s="94"/>
    </row>
    <row r="12" spans="1:36">
      <c r="A12" s="425"/>
      <c r="B12" s="368">
        <f t="shared" si="1"/>
        <v>7</v>
      </c>
      <c r="C12" s="425">
        <v>43103</v>
      </c>
      <c r="D12" s="830"/>
      <c r="E12" s="876" t="str">
        <f t="shared" ca="1" si="3"/>
        <v/>
      </c>
      <c r="F12" s="426" t="str">
        <f t="shared" ca="1" si="4"/>
        <v/>
      </c>
      <c r="G12" s="415"/>
      <c r="H12" s="415"/>
      <c r="I12" s="415" t="str">
        <f t="shared" si="2"/>
        <v/>
      </c>
      <c r="J12" s="415" t="str">
        <f>+IF(G12="","",I12*0.1)</f>
        <v/>
      </c>
      <c r="K12" s="415" t="str">
        <f t="shared" si="5"/>
        <v/>
      </c>
      <c r="L12" s="415"/>
      <c r="M12" s="415"/>
      <c r="N12" s="422" t="str">
        <f t="shared" si="6"/>
        <v/>
      </c>
      <c r="O12" s="422" t="str">
        <f t="shared" si="7"/>
        <v/>
      </c>
      <c r="P12" s="422" t="str">
        <f t="shared" si="8"/>
        <v/>
      </c>
      <c r="Q12" s="422" t="str">
        <f t="shared" si="9"/>
        <v/>
      </c>
      <c r="R12" s="422" t="str">
        <f t="shared" si="10"/>
        <v/>
      </c>
      <c r="S12" s="583">
        <v>140200</v>
      </c>
      <c r="T12" s="377" t="str">
        <f>+IFERROR(VLOOKUP(S12,STAT1!$C$4:$D$189,2,FALSE),"")</f>
        <v>ШМЗардал ХАТААХ ЦЕХ /нарс/</v>
      </c>
      <c r="U12" s="424">
        <v>77064242.909999996</v>
      </c>
      <c r="V12" s="424"/>
      <c r="W12" s="822">
        <v>1004</v>
      </c>
      <c r="X12" s="436" t="str">
        <f>IFERROR(VLOOKUP(W12,DATA!$G$4:$H$400,2,FALSE),"")</f>
        <v xml:space="preserve">Түмэндэлгэр </v>
      </c>
      <c r="Y12" s="328"/>
      <c r="Z12" s="324"/>
      <c r="AA12" s="177"/>
      <c r="AB12" s="177"/>
      <c r="AC12" s="95"/>
      <c r="AD12" s="94"/>
      <c r="AE12" s="94"/>
      <c r="AF12" s="94"/>
      <c r="AG12" s="94"/>
      <c r="AH12" s="94"/>
    </row>
    <row r="13" spans="1:36">
      <c r="A13" s="425"/>
      <c r="B13" s="368">
        <f t="shared" si="1"/>
        <v>8</v>
      </c>
      <c r="C13" s="425">
        <v>43103</v>
      </c>
      <c r="D13" s="830"/>
      <c r="E13" s="876" t="str">
        <f t="shared" ca="1" si="3"/>
        <v/>
      </c>
      <c r="F13" s="426" t="str">
        <f t="shared" ca="1" si="4"/>
        <v/>
      </c>
      <c r="G13" s="415"/>
      <c r="H13" s="415"/>
      <c r="I13" s="415" t="str">
        <f t="shared" si="2"/>
        <v/>
      </c>
      <c r="J13" s="415"/>
      <c r="K13" s="415" t="str">
        <f t="shared" si="5"/>
        <v/>
      </c>
      <c r="L13" s="415"/>
      <c r="M13" s="415"/>
      <c r="N13" s="422" t="str">
        <f t="shared" si="6"/>
        <v/>
      </c>
      <c r="O13" s="422" t="str">
        <f t="shared" si="7"/>
        <v/>
      </c>
      <c r="P13" s="422" t="str">
        <f t="shared" si="8"/>
        <v/>
      </c>
      <c r="Q13" s="422" t="str">
        <f t="shared" si="9"/>
        <v/>
      </c>
      <c r="R13" s="422" t="str">
        <f t="shared" si="10"/>
        <v/>
      </c>
      <c r="S13" s="583">
        <v>320100</v>
      </c>
      <c r="T13" s="377" t="str">
        <f>+IFERROR(VLOOKUP(S13,STAT1!$C$4:$D$189,2,FALSE),"")</f>
        <v>Урьдчилж орсон орлого MNT</v>
      </c>
      <c r="U13" s="424">
        <v>693000</v>
      </c>
      <c r="V13" s="424"/>
      <c r="W13" s="822">
        <v>3052</v>
      </c>
      <c r="X13" s="436" t="str">
        <f>IFERROR(VLOOKUP(W13,DATA!$G$4:$H$400,2,FALSE),"")</f>
        <v>ШИНЭ ОРОН СУУЦ ХХК</v>
      </c>
      <c r="Y13" s="328"/>
      <c r="Z13" s="324"/>
      <c r="AA13" s="177"/>
      <c r="AB13" s="177"/>
      <c r="AC13" s="177"/>
      <c r="AD13" s="20"/>
      <c r="AE13" s="94"/>
      <c r="AF13" s="94"/>
      <c r="AG13" s="94"/>
      <c r="AH13" s="94"/>
    </row>
    <row r="14" spans="1:36">
      <c r="A14" s="425"/>
      <c r="B14" s="368">
        <f t="shared" si="1"/>
        <v>9</v>
      </c>
      <c r="C14" s="425">
        <v>43115</v>
      </c>
      <c r="D14" s="830">
        <v>211717</v>
      </c>
      <c r="E14" s="876" t="str">
        <f t="shared" ca="1" si="3"/>
        <v>Н-Хавтан/зузаан-4см/-яртай</v>
      </c>
      <c r="F14" s="426" t="str">
        <f t="shared" ca="1" si="4"/>
        <v>м2</v>
      </c>
      <c r="G14" s="415"/>
      <c r="H14" s="415"/>
      <c r="I14" s="415" t="str">
        <f t="shared" si="2"/>
        <v/>
      </c>
      <c r="J14" s="415" t="str">
        <f t="shared" ref="J14:J24" si="11">+IF(G14="","",I14*0.1)</f>
        <v/>
      </c>
      <c r="K14" s="415" t="str">
        <f t="shared" si="5"/>
        <v/>
      </c>
      <c r="L14" s="415">
        <v>92.86</v>
      </c>
      <c r="M14" s="415"/>
      <c r="N14" s="422">
        <f t="shared" si="6"/>
        <v>0</v>
      </c>
      <c r="O14" s="422">
        <f t="shared" si="7"/>
        <v>0</v>
      </c>
      <c r="P14" s="422">
        <f t="shared" si="8"/>
        <v>0</v>
      </c>
      <c r="Q14" s="422">
        <f t="shared" ca="1" si="9"/>
        <v>48558.950850377012</v>
      </c>
      <c r="R14" s="422">
        <f t="shared" ca="1" si="10"/>
        <v>4509184.1759660095</v>
      </c>
      <c r="S14" s="583">
        <f>+IF(LEFT(D14,3)="131",140100,0)+IF(LEFT(D14,3)="310",150100,0)+IF(LEFT(D14,3)="211",150101,0)+IF(LEFT(D14,3)="410",160100,0)+IF(LEFT(D14,3)="440",160200,0)+IF(LEFT(D14,3)="430",160200,0)+IF(LEFT(D14,3)="420",160200,0)+IF(LEFT(D14,3)="460",160201,0)+IF(LEFT(D14,3)="210",150101,0)+IF(LEFT(D14,3)="510",140100,0)</f>
        <v>150101</v>
      </c>
      <c r="T14" s="377" t="str">
        <f>+IFERROR(VLOOKUP(S14,STAT1!$C$4:$D$189,2,FALSE),"")</f>
        <v>Бараа бэлэн бүтээгдэхүүн БОЛОВСРУУЛАХ ЦЕХ /нарс/</v>
      </c>
      <c r="U14" s="424"/>
      <c r="V14" s="424">
        <v>4509184.1759660095</v>
      </c>
      <c r="W14" s="822">
        <v>3002</v>
      </c>
      <c r="X14" s="436" t="str">
        <f>IFERROR(VLOOKUP(W14,DATA!$G$4:$H$400,2,FALSE),"")</f>
        <v>ЭКО КОНСТРАКШН ХХК</v>
      </c>
      <c r="Y14" s="328"/>
      <c r="Z14" s="324"/>
      <c r="AA14" s="177"/>
      <c r="AB14" s="177"/>
      <c r="AC14" s="95"/>
      <c r="AD14" s="94"/>
      <c r="AE14" s="94"/>
      <c r="AF14" s="94"/>
      <c r="AG14" s="94"/>
      <c r="AH14" s="94"/>
    </row>
    <row r="15" spans="1:36">
      <c r="A15" s="425"/>
      <c r="B15" s="368">
        <f t="shared" si="1"/>
        <v>10</v>
      </c>
      <c r="C15" s="425">
        <v>43115</v>
      </c>
      <c r="D15" s="830">
        <v>211714</v>
      </c>
      <c r="E15" s="876" t="str">
        <f t="shared" ca="1" si="3"/>
        <v xml:space="preserve">Н-Хавтан /зузаан-2см/-яртай </v>
      </c>
      <c r="F15" s="426" t="str">
        <f t="shared" ca="1" si="4"/>
        <v>м2</v>
      </c>
      <c r="G15" s="415"/>
      <c r="H15" s="415"/>
      <c r="I15" s="415" t="str">
        <f t="shared" si="2"/>
        <v/>
      </c>
      <c r="J15" s="415" t="str">
        <f t="shared" si="11"/>
        <v/>
      </c>
      <c r="K15" s="415" t="str">
        <f t="shared" si="5"/>
        <v/>
      </c>
      <c r="L15" s="415">
        <v>66.25</v>
      </c>
      <c r="M15" s="415"/>
      <c r="N15" s="422">
        <f t="shared" si="6"/>
        <v>0</v>
      </c>
      <c r="O15" s="422">
        <f t="shared" si="7"/>
        <v>0</v>
      </c>
      <c r="P15" s="422">
        <f t="shared" si="8"/>
        <v>0</v>
      </c>
      <c r="Q15" s="422">
        <f t="shared" ca="1" si="9"/>
        <v>20394.384082030858</v>
      </c>
      <c r="R15" s="422">
        <f t="shared" ca="1" si="10"/>
        <v>1351127.9454345442</v>
      </c>
      <c r="S15" s="583">
        <f>+IF(LEFT(D15,3)="131",140100,0)+IF(LEFT(D15,3)="310",150100,0)+IF(LEFT(D15,3)="211",150101,0)+IF(LEFT(D15,3)="410",160100,0)+IF(LEFT(D15,3)="440",160200,0)+IF(LEFT(D15,3)="430",160200,0)+IF(LEFT(D15,3)="420",160200,0)+IF(LEFT(D15,3)="460",160201,0)+IF(LEFT(D15,3)="210",150101,0)+IF(LEFT(D15,3)="510",140100,0)</f>
        <v>150101</v>
      </c>
      <c r="T15" s="377" t="str">
        <f>+IFERROR(VLOOKUP(S15,STAT1!$C$4:$D$189,2,FALSE),"")</f>
        <v>Бараа бэлэн бүтээгдэхүүн БОЛОВСРУУЛАХ ЦЕХ /нарс/</v>
      </c>
      <c r="U15" s="424"/>
      <c r="V15" s="424">
        <v>1351127.9454345442</v>
      </c>
      <c r="W15" s="822">
        <v>3002</v>
      </c>
      <c r="X15" s="436" t="str">
        <f>IFERROR(VLOOKUP(W15,DATA!$G$4:$H$400,2,FALSE),"")</f>
        <v>ЭКО КОНСТРАКШН ХХК</v>
      </c>
      <c r="Y15" s="328"/>
      <c r="Z15" s="324"/>
      <c r="AA15" s="177"/>
      <c r="AB15" s="177"/>
      <c r="AC15" s="95"/>
      <c r="AD15" s="94"/>
      <c r="AE15" s="94"/>
      <c r="AF15" s="94"/>
      <c r="AG15" s="94"/>
      <c r="AH15" s="94"/>
    </row>
    <row r="16" spans="1:36" ht="12.75" customHeight="1">
      <c r="A16" s="425"/>
      <c r="B16" s="368">
        <f t="shared" si="1"/>
        <v>11</v>
      </c>
      <c r="C16" s="425">
        <v>43115</v>
      </c>
      <c r="D16" s="830">
        <v>410085</v>
      </c>
      <c r="E16" s="876" t="str">
        <f t="shared" ca="1" si="3"/>
        <v xml:space="preserve">НЦ-лак </v>
      </c>
      <c r="F16" s="426" t="str">
        <f t="shared" ca="1" si="4"/>
        <v>кг</v>
      </c>
      <c r="G16" s="415"/>
      <c r="H16" s="415"/>
      <c r="I16" s="415" t="str">
        <f t="shared" si="2"/>
        <v/>
      </c>
      <c r="J16" s="415" t="str">
        <f t="shared" si="11"/>
        <v/>
      </c>
      <c r="K16" s="415" t="str">
        <f t="shared" si="5"/>
        <v/>
      </c>
      <c r="L16" s="415">
        <v>79</v>
      </c>
      <c r="M16" s="415"/>
      <c r="N16" s="422">
        <f t="shared" si="6"/>
        <v>0</v>
      </c>
      <c r="O16" s="422">
        <f t="shared" si="7"/>
        <v>0</v>
      </c>
      <c r="P16" s="422">
        <f t="shared" si="8"/>
        <v>0</v>
      </c>
      <c r="Q16" s="422">
        <f t="shared" ca="1" si="9"/>
        <v>7343.7387027949644</v>
      </c>
      <c r="R16" s="422">
        <f t="shared" ca="1" si="10"/>
        <v>580155.35752080218</v>
      </c>
      <c r="S16" s="583">
        <f>+IF(LEFT(D16,3)="131",140100,0)+IF(LEFT(D16,3)="310",150100,0)+IF(LEFT(D16,3)="211",150101,0)+IF(LEFT(D16,3)="410",160100,0)+IF(LEFT(D16,3)="440",160200,0)+IF(LEFT(D16,3)="430",160200,0)+IF(LEFT(D16,3)="420",160200,0)+IF(LEFT(D16,3)="460",160201,0)+IF(LEFT(D16,3)="210",150101,0)+IF(LEFT(D16,3)="510",140100,0)</f>
        <v>160100</v>
      </c>
      <c r="T16" s="377" t="str">
        <f>+IFERROR(VLOOKUP(S16,STAT1!$C$4:$D$189,2,FALSE),"")</f>
        <v xml:space="preserve">Барилгын материал </v>
      </c>
      <c r="U16" s="424"/>
      <c r="V16" s="424">
        <v>580155.35752080218</v>
      </c>
      <c r="W16" s="822">
        <v>3002</v>
      </c>
      <c r="X16" s="436" t="str">
        <f>IFERROR(VLOOKUP(W16,DATA!$G$4:$H$400,2,FALSE),"")</f>
        <v>ЭКО КОНСТРАКШН ХХК</v>
      </c>
      <c r="Y16" s="328"/>
      <c r="Z16" s="324"/>
      <c r="AA16" s="95"/>
      <c r="AB16" s="94"/>
      <c r="AC16" s="94"/>
      <c r="AD16" s="94"/>
      <c r="AE16" s="94"/>
      <c r="AF16" s="94"/>
      <c r="AG16" s="94"/>
      <c r="AH16" s="94"/>
    </row>
    <row r="17" spans="1:34" ht="12.75" customHeight="1">
      <c r="A17" s="425"/>
      <c r="B17" s="368">
        <f t="shared" si="1"/>
        <v>12</v>
      </c>
      <c r="C17" s="425">
        <v>43115</v>
      </c>
      <c r="D17" s="830">
        <v>410054</v>
      </c>
      <c r="E17" s="876" t="str">
        <f t="shared" ca="1" si="3"/>
        <v xml:space="preserve">Будаг шингэлэгч </v>
      </c>
      <c r="F17" s="426" t="str">
        <f t="shared" ca="1" si="4"/>
        <v>ш</v>
      </c>
      <c r="G17" s="415"/>
      <c r="H17" s="415"/>
      <c r="I17" s="415" t="str">
        <f t="shared" si="2"/>
        <v/>
      </c>
      <c r="J17" s="415" t="str">
        <f t="shared" si="11"/>
        <v/>
      </c>
      <c r="K17" s="415" t="str">
        <f t="shared" si="5"/>
        <v/>
      </c>
      <c r="L17" s="415">
        <v>40</v>
      </c>
      <c r="M17" s="415"/>
      <c r="N17" s="422">
        <f t="shared" si="6"/>
        <v>0</v>
      </c>
      <c r="O17" s="422">
        <f t="shared" si="7"/>
        <v>0</v>
      </c>
      <c r="P17" s="422">
        <f t="shared" si="8"/>
        <v>0</v>
      </c>
      <c r="Q17" s="422">
        <f t="shared" ca="1" si="9"/>
        <v>1929.3490863787374</v>
      </c>
      <c r="R17" s="422">
        <f t="shared" ca="1" si="10"/>
        <v>77173.963455149496</v>
      </c>
      <c r="S17" s="583">
        <f>+IF(LEFT(D17,3)="131",140100,0)+IF(LEFT(D17,3)="310",150100,0)+IF(LEFT(D17,3)="211",150101,0)+IF(LEFT(D17,3)="410",160100,0)+IF(LEFT(D17,3)="440",160200,0)+IF(LEFT(D17,3)="430",160200,0)+IF(LEFT(D17,3)="420",160200,0)+IF(LEFT(D17,3)="460",160201,0)+IF(LEFT(D17,3)="210",150101,0)+IF(LEFT(D17,3)="510",140100,0)</f>
        <v>160100</v>
      </c>
      <c r="T17" s="377" t="str">
        <f>+IFERROR(VLOOKUP(S17,STAT1!$C$4:$D$189,2,FALSE),"")</f>
        <v xml:space="preserve">Барилгын материал </v>
      </c>
      <c r="U17" s="424"/>
      <c r="V17" s="424">
        <v>77173.963455149496</v>
      </c>
      <c r="W17" s="822">
        <v>3002</v>
      </c>
      <c r="X17" s="436" t="str">
        <f>IFERROR(VLOOKUP(W17,DATA!$G$4:$H$400,2,FALSE),"")</f>
        <v>ЭКО КОНСТРАКШН ХХК</v>
      </c>
      <c r="Y17" s="328"/>
      <c r="Z17" s="324"/>
      <c r="AA17" s="95"/>
      <c r="AB17" s="94"/>
      <c r="AC17" s="94"/>
      <c r="AD17" s="94"/>
      <c r="AE17" s="94"/>
      <c r="AF17" s="94"/>
      <c r="AG17" s="94"/>
      <c r="AH17" s="94"/>
    </row>
    <row r="18" spans="1:34" ht="12.75" customHeight="1">
      <c r="A18" s="425"/>
      <c r="B18" s="368">
        <f t="shared" si="1"/>
        <v>13</v>
      </c>
      <c r="C18" s="425">
        <v>43115</v>
      </c>
      <c r="D18" s="830">
        <v>410002</v>
      </c>
      <c r="E18" s="876" t="str">
        <f t="shared" ca="1" si="3"/>
        <v xml:space="preserve">Морилка </v>
      </c>
      <c r="F18" s="426" t="str">
        <f t="shared" ca="1" si="4"/>
        <v xml:space="preserve">ш </v>
      </c>
      <c r="G18" s="415"/>
      <c r="H18" s="415"/>
      <c r="I18" s="415" t="str">
        <f t="shared" si="2"/>
        <v/>
      </c>
      <c r="J18" s="415" t="str">
        <f t="shared" si="11"/>
        <v/>
      </c>
      <c r="K18" s="415" t="str">
        <f t="shared" si="5"/>
        <v/>
      </c>
      <c r="L18" s="415">
        <v>28</v>
      </c>
      <c r="M18" s="415"/>
      <c r="N18" s="422">
        <f t="shared" si="6"/>
        <v>0</v>
      </c>
      <c r="O18" s="422">
        <f t="shared" si="7"/>
        <v>0</v>
      </c>
      <c r="P18" s="422">
        <f t="shared" si="8"/>
        <v>0</v>
      </c>
      <c r="Q18" s="422">
        <f t="shared" ca="1" si="9"/>
        <v>3500</v>
      </c>
      <c r="R18" s="422">
        <f t="shared" ca="1" si="10"/>
        <v>98000</v>
      </c>
      <c r="S18" s="583">
        <f>+IF(LEFT(D18,3)="131",140100,0)+IF(LEFT(D18,3)="310",150100,0)+IF(LEFT(D18,3)="211",150101,0)+IF(LEFT(D18,3)="410",160100,0)+IF(LEFT(D18,3)="440",160200,0)+IF(LEFT(D18,3)="430",160200,0)+IF(LEFT(D18,3)="420",160200,0)+IF(LEFT(D18,3)="460",160201,0)+IF(LEFT(D18,3)="210",150101,0)+IF(LEFT(D18,3)="510",140100,0)</f>
        <v>160100</v>
      </c>
      <c r="T18" s="377" t="str">
        <f>+IFERROR(VLOOKUP(S18,STAT1!$C$4:$D$189,2,FALSE),"")</f>
        <v xml:space="preserve">Барилгын материал </v>
      </c>
      <c r="U18" s="424"/>
      <c r="V18" s="424">
        <v>98000</v>
      </c>
      <c r="W18" s="822">
        <v>3002</v>
      </c>
      <c r="X18" s="436" t="str">
        <f>IFERROR(VLOOKUP(W18,DATA!$G$4:$H$400,2,FALSE),"")</f>
        <v>ЭКО КОНСТРАКШН ХХК</v>
      </c>
      <c r="Y18" s="328"/>
      <c r="Z18" s="328"/>
    </row>
    <row r="19" spans="1:34" ht="12.75" customHeight="1">
      <c r="A19" s="425"/>
      <c r="B19" s="368">
        <f t="shared" si="1"/>
        <v>14</v>
      </c>
      <c r="C19" s="425">
        <v>43115</v>
      </c>
      <c r="D19" s="830"/>
      <c r="E19" s="876" t="str">
        <f t="shared" ca="1" si="3"/>
        <v/>
      </c>
      <c r="F19" s="426"/>
      <c r="G19" s="415"/>
      <c r="H19" s="415"/>
      <c r="I19" s="415" t="str">
        <f t="shared" si="2"/>
        <v/>
      </c>
      <c r="J19" s="415" t="str">
        <f t="shared" si="11"/>
        <v/>
      </c>
      <c r="K19" s="415" t="str">
        <f t="shared" si="5"/>
        <v/>
      </c>
      <c r="L19" s="415"/>
      <c r="M19" s="415"/>
      <c r="N19" s="422"/>
      <c r="O19" s="422"/>
      <c r="P19" s="422"/>
      <c r="Q19" s="422"/>
      <c r="R19" s="422"/>
      <c r="S19" s="583">
        <v>610101</v>
      </c>
      <c r="T19" s="377" t="str">
        <f>+IFERROR(VLOOKUP(S19,STAT1!$C$4:$D$189,2,FALSE),"")</f>
        <v>Борлуулсан барааны өртөг - Бусад</v>
      </c>
      <c r="U19" s="424">
        <v>6615641.4423765056</v>
      </c>
      <c r="V19" s="424"/>
      <c r="W19" s="822">
        <v>3002</v>
      </c>
      <c r="X19" s="436" t="str">
        <f>IFERROR(VLOOKUP(W19,DATA!$G$4:$H$400,2,FALSE),"")</f>
        <v>ЭКО КОНСТРАКШН ХХК</v>
      </c>
      <c r="Y19" s="328"/>
      <c r="Z19" s="328"/>
    </row>
    <row r="20" spans="1:34" ht="12.75" customHeight="1">
      <c r="A20" s="425"/>
      <c r="B20" s="368">
        <f t="shared" si="1"/>
        <v>15</v>
      </c>
      <c r="C20" s="425">
        <v>43117</v>
      </c>
      <c r="D20" s="830">
        <v>211803</v>
      </c>
      <c r="E20" s="876" t="str">
        <f t="shared" ca="1" si="3"/>
        <v>Н-Шатны бариул /58*68мм/</v>
      </c>
      <c r="F20" s="426" t="str">
        <f t="shared" ref="F20:F33" ca="1" si="12">+IFERROR(VLOOKUP(D20,TN_table,3,FALSE),"")</f>
        <v>м</v>
      </c>
      <c r="G20" s="415"/>
      <c r="H20" s="415"/>
      <c r="I20" s="415" t="str">
        <f t="shared" si="2"/>
        <v/>
      </c>
      <c r="J20" s="415" t="str">
        <f t="shared" si="11"/>
        <v/>
      </c>
      <c r="K20" s="415" t="str">
        <f t="shared" si="5"/>
        <v/>
      </c>
      <c r="L20" s="415">
        <v>12</v>
      </c>
      <c r="M20" s="415">
        <v>9500</v>
      </c>
      <c r="N20" s="422">
        <f t="shared" ref="N20:N33" si="13">+IF(L20="","",L20*M20)</f>
        <v>114000</v>
      </c>
      <c r="O20" s="422">
        <f t="shared" ref="O20:O33" si="14">+IF(L20="","",N20*0.1)</f>
        <v>11400</v>
      </c>
      <c r="P20" s="422">
        <f t="shared" ref="P20:P33" si="15">+IF(L20="","",N20+O20)</f>
        <v>125400</v>
      </c>
      <c r="Q20" s="422">
        <f t="shared" ref="Q20:Q33" ca="1" si="16">IF(L20="","",IFERROR((SUMIFS(TN_balC1_totol,TN_code,D20)+SUMIFS(RC_or_totol,RC_Code,D20,RC_date,"&lt;="&amp;C20)-SUMIFS(RC_zar_totol,RC_Code,D20,RC_date,"&lt;"&amp;C20)) /( SUMIFS(TN_balC1_unit,TN_code,D20)+SUMIFS(RC_or_unit,RC_Code,D20,RC_date,"&lt;="&amp;C20)-SUMIFS(RC_zar_unit,RC_Code,D20,RC_date,"&lt;"&amp;C20)),0 ))</f>
        <v>4449.0638773148148</v>
      </c>
      <c r="R20" s="422">
        <f t="shared" ref="R20:R33" ca="1" si="17">+IF(L20="","",L20*Q20)</f>
        <v>53388.766527777778</v>
      </c>
      <c r="S20" s="583">
        <f>+IF(LEFT(D20,3)="131",140100,0)+IF(LEFT(D20,3)="310",150100,0)+IF(LEFT(D20,3)="211",150101,0)+IF(LEFT(D20,3)="410",160100,0)+IF(LEFT(D20,3)="440",160200,0)+IF(LEFT(D20,3)="430",160200,0)+IF(LEFT(D20,3)="420",160200,0)+IF(LEFT(D20,3)="460",160201,0)+IF(LEFT(D20,3)="210",150101,0)+IF(LEFT(D20,3)="510",140100,0)</f>
        <v>150101</v>
      </c>
      <c r="T20" s="377" t="str">
        <f>+IFERROR(VLOOKUP(S20,STAT1!$C$4:$D$189,2,FALSE),"")</f>
        <v>Бараа бэлэн бүтээгдэхүүн БОЛОВСРУУЛАХ ЦЕХ /нарс/</v>
      </c>
      <c r="U20" s="424"/>
      <c r="V20" s="424">
        <v>53388.766527777778</v>
      </c>
      <c r="W20" s="822">
        <v>3114</v>
      </c>
      <c r="X20" s="436" t="str">
        <f>IFERROR(VLOOKUP(W20,DATA!$G$4:$H$400,2,FALSE),"")</f>
        <v>ИЛД БАМБАЙ ХХК</v>
      </c>
      <c r="Y20" s="328"/>
      <c r="Z20" s="328"/>
    </row>
    <row r="21" spans="1:34" ht="12.75" customHeight="1">
      <c r="A21" s="425"/>
      <c r="B21" s="368">
        <f t="shared" si="1"/>
        <v>16</v>
      </c>
      <c r="C21" s="425">
        <v>43117</v>
      </c>
      <c r="D21" s="830"/>
      <c r="E21" s="876" t="str">
        <f t="shared" ca="1" si="3"/>
        <v/>
      </c>
      <c r="F21" s="426" t="str">
        <f t="shared" ca="1" si="12"/>
        <v/>
      </c>
      <c r="G21" s="415"/>
      <c r="H21" s="415"/>
      <c r="I21" s="415" t="str">
        <f t="shared" si="2"/>
        <v/>
      </c>
      <c r="J21" s="415" t="str">
        <f t="shared" si="11"/>
        <v/>
      </c>
      <c r="K21" s="415" t="str">
        <f t="shared" si="5"/>
        <v/>
      </c>
      <c r="L21" s="415"/>
      <c r="M21" s="415"/>
      <c r="N21" s="422" t="str">
        <f t="shared" si="13"/>
        <v/>
      </c>
      <c r="O21" s="422" t="str">
        <f t="shared" si="14"/>
        <v/>
      </c>
      <c r="P21" s="422" t="str">
        <f t="shared" si="15"/>
        <v/>
      </c>
      <c r="Q21" s="422" t="str">
        <f t="shared" si="16"/>
        <v/>
      </c>
      <c r="R21" s="422" t="str">
        <f t="shared" si="17"/>
        <v/>
      </c>
      <c r="S21" s="583">
        <v>610100</v>
      </c>
      <c r="T21" s="377" t="str">
        <f>+IFERROR(VLOOKUP(S21,STAT1!$C$4:$D$189,2,FALSE),"")</f>
        <v>Борлуулсан барааны өртөг</v>
      </c>
      <c r="U21" s="424">
        <v>53388.766527777778</v>
      </c>
      <c r="V21" s="424"/>
      <c r="W21" s="822">
        <v>3114</v>
      </c>
      <c r="X21" s="436" t="str">
        <f>IFERROR(VLOOKUP(W21,DATA!$G$4:$H$400,2,FALSE),"")</f>
        <v>ИЛД БАМБАЙ ХХК</v>
      </c>
      <c r="Y21" s="328"/>
      <c r="Z21" s="328"/>
    </row>
    <row r="22" spans="1:34" ht="12.75" customHeight="1">
      <c r="A22" s="425"/>
      <c r="B22" s="368">
        <f t="shared" si="1"/>
        <v>17</v>
      </c>
      <c r="C22" s="425">
        <v>43117</v>
      </c>
      <c r="D22" s="830"/>
      <c r="E22" s="876" t="str">
        <f t="shared" ca="1" si="3"/>
        <v/>
      </c>
      <c r="F22" s="426" t="str">
        <f t="shared" ca="1" si="12"/>
        <v/>
      </c>
      <c r="G22" s="415"/>
      <c r="H22" s="415"/>
      <c r="I22" s="415" t="str">
        <f t="shared" si="2"/>
        <v/>
      </c>
      <c r="J22" s="415" t="str">
        <f t="shared" si="11"/>
        <v/>
      </c>
      <c r="K22" s="415" t="str">
        <f t="shared" si="5"/>
        <v/>
      </c>
      <c r="L22" s="415"/>
      <c r="M22" s="415"/>
      <c r="N22" s="422" t="str">
        <f t="shared" si="13"/>
        <v/>
      </c>
      <c r="O22" s="422" t="str">
        <f t="shared" si="14"/>
        <v/>
      </c>
      <c r="P22" s="422" t="str">
        <f t="shared" si="15"/>
        <v/>
      </c>
      <c r="Q22" s="422" t="str">
        <f t="shared" si="16"/>
        <v/>
      </c>
      <c r="R22" s="422" t="str">
        <f t="shared" si="17"/>
        <v/>
      </c>
      <c r="S22" s="583">
        <v>310500</v>
      </c>
      <c r="T22" s="377" t="str">
        <f>+IFERROR(VLOOKUP(S22,STAT1!$C$4:$D$189,2,FALSE),"")</f>
        <v>НӨАТ өглөг</v>
      </c>
      <c r="U22" s="424"/>
      <c r="V22" s="424">
        <v>11400</v>
      </c>
      <c r="W22" s="822">
        <v>3114</v>
      </c>
      <c r="X22" s="436" t="str">
        <f>IFERROR(VLOOKUP(W22,DATA!$G$4:$H$400,2,FALSE),"")</f>
        <v>ИЛД БАМБАЙ ХХК</v>
      </c>
      <c r="Y22" s="328"/>
      <c r="Z22" s="328"/>
    </row>
    <row r="23" spans="1:34" ht="12.75" customHeight="1">
      <c r="A23" s="425"/>
      <c r="B23" s="368">
        <f t="shared" si="1"/>
        <v>18</v>
      </c>
      <c r="C23" s="425">
        <v>43117</v>
      </c>
      <c r="D23" s="830"/>
      <c r="E23" s="876" t="str">
        <f t="shared" ca="1" si="3"/>
        <v/>
      </c>
      <c r="F23" s="426" t="str">
        <f t="shared" ca="1" si="12"/>
        <v/>
      </c>
      <c r="G23" s="415"/>
      <c r="H23" s="415"/>
      <c r="I23" s="415" t="str">
        <f t="shared" si="2"/>
        <v/>
      </c>
      <c r="J23" s="415" t="str">
        <f t="shared" si="11"/>
        <v/>
      </c>
      <c r="K23" s="415" t="str">
        <f t="shared" si="5"/>
        <v/>
      </c>
      <c r="L23" s="415"/>
      <c r="M23" s="415"/>
      <c r="N23" s="422" t="str">
        <f t="shared" si="13"/>
        <v/>
      </c>
      <c r="O23" s="422" t="str">
        <f t="shared" si="14"/>
        <v/>
      </c>
      <c r="P23" s="422" t="str">
        <f t="shared" si="15"/>
        <v/>
      </c>
      <c r="Q23" s="422" t="str">
        <f t="shared" si="16"/>
        <v/>
      </c>
      <c r="R23" s="422" t="str">
        <f t="shared" si="17"/>
        <v/>
      </c>
      <c r="S23" s="583">
        <v>510000</v>
      </c>
      <c r="T23" s="377" t="str">
        <f>+IFERROR(VLOOKUP(S23,STAT1!$C$4:$D$189,2,FALSE),"")</f>
        <v>Үндсэн үйл ажиллагааны борлуулалт</v>
      </c>
      <c r="U23" s="424"/>
      <c r="V23" s="424">
        <v>114000</v>
      </c>
      <c r="W23" s="822">
        <v>3114</v>
      </c>
      <c r="X23" s="436" t="str">
        <f>IFERROR(VLOOKUP(W23,DATA!$G$4:$H$400,2,FALSE),"")</f>
        <v>ИЛД БАМБАЙ ХХК</v>
      </c>
      <c r="Y23" s="328"/>
      <c r="Z23" s="328"/>
    </row>
    <row r="24" spans="1:34" ht="12.75" customHeight="1">
      <c r="A24" s="425"/>
      <c r="B24" s="368">
        <f t="shared" si="1"/>
        <v>19</v>
      </c>
      <c r="C24" s="425">
        <v>43117</v>
      </c>
      <c r="D24" s="830"/>
      <c r="E24" s="876" t="str">
        <f t="shared" ca="1" si="3"/>
        <v/>
      </c>
      <c r="F24" s="426" t="str">
        <f t="shared" ca="1" si="12"/>
        <v/>
      </c>
      <c r="G24" s="415"/>
      <c r="H24" s="415"/>
      <c r="I24" s="415" t="str">
        <f t="shared" si="2"/>
        <v/>
      </c>
      <c r="J24" s="415" t="str">
        <f t="shared" si="11"/>
        <v/>
      </c>
      <c r="K24" s="415" t="str">
        <f t="shared" si="5"/>
        <v/>
      </c>
      <c r="L24" s="415"/>
      <c r="M24" s="415"/>
      <c r="N24" s="422" t="str">
        <f t="shared" si="13"/>
        <v/>
      </c>
      <c r="O24" s="422" t="str">
        <f t="shared" si="14"/>
        <v/>
      </c>
      <c r="P24" s="422" t="str">
        <f t="shared" si="15"/>
        <v/>
      </c>
      <c r="Q24" s="422" t="str">
        <f t="shared" si="16"/>
        <v/>
      </c>
      <c r="R24" s="422" t="str">
        <f t="shared" si="17"/>
        <v/>
      </c>
      <c r="S24" s="583">
        <v>320100</v>
      </c>
      <c r="T24" s="377" t="str">
        <f>+IFERROR(VLOOKUP(S24,STAT1!$C$4:$D$189,2,FALSE),"")</f>
        <v>Урьдчилж орсон орлого MNT</v>
      </c>
      <c r="U24" s="424">
        <v>125400</v>
      </c>
      <c r="V24" s="424"/>
      <c r="W24" s="822">
        <v>3114</v>
      </c>
      <c r="X24" s="436" t="str">
        <f>IFERROR(VLOOKUP(W24,DATA!$G$4:$H$400,2,FALSE),"")</f>
        <v>ИЛД БАМБАЙ ХХК</v>
      </c>
      <c r="Y24" s="328"/>
      <c r="Z24" s="328"/>
    </row>
    <row r="25" spans="1:34" ht="12.75" customHeight="1">
      <c r="A25" s="425"/>
      <c r="B25" s="368">
        <f t="shared" si="1"/>
        <v>20</v>
      </c>
      <c r="C25" s="425">
        <v>43117</v>
      </c>
      <c r="D25" s="830">
        <v>310001</v>
      </c>
      <c r="E25" s="876" t="str">
        <f t="shared" ca="1" si="3"/>
        <v xml:space="preserve">Хатаасан нарсан банз </v>
      </c>
      <c r="F25" s="426" t="str">
        <f t="shared" ca="1" si="12"/>
        <v>м3</v>
      </c>
      <c r="G25" s="415">
        <v>254.7</v>
      </c>
      <c r="H25" s="415">
        <v>331054.31138000003</v>
      </c>
      <c r="I25" s="415">
        <f t="shared" si="2"/>
        <v>84319533.108485997</v>
      </c>
      <c r="J25" s="415"/>
      <c r="K25" s="415">
        <f t="shared" si="5"/>
        <v>84319533.108485997</v>
      </c>
      <c r="L25" s="415"/>
      <c r="M25" s="415"/>
      <c r="N25" s="422" t="str">
        <f t="shared" si="13"/>
        <v/>
      </c>
      <c r="O25" s="422" t="str">
        <f t="shared" si="14"/>
        <v/>
      </c>
      <c r="P25" s="422" t="str">
        <f t="shared" si="15"/>
        <v/>
      </c>
      <c r="Q25" s="422" t="str">
        <f t="shared" si="16"/>
        <v/>
      </c>
      <c r="R25" s="422" t="str">
        <f t="shared" si="17"/>
        <v/>
      </c>
      <c r="S25" s="583">
        <f>+IF(LEFT(D25,3)="131",140100,0)+IF(LEFT(D25,3)="310",150100,0)+IF(LEFT(D25,3)="211",150101,0)+IF(LEFT(D25,3)="410",160100,0)+IF(LEFT(D25,3)="440",160200,0)+IF(LEFT(D25,3)="430",160200,0)+IF(LEFT(D25,3)="420",160200,0)+IF(LEFT(D25,3)="460",160201,0)+IF(LEFT(D25,3)="210",150101,0)+IF(LEFT(D25,3)="510",140100,0)</f>
        <v>150100</v>
      </c>
      <c r="T25" s="377" t="str">
        <f>+IFERROR(VLOOKUP(S25,STAT1!$C$4:$D$189,2,FALSE),"")</f>
        <v>Бараа бэлэн бүтээгдэхүүн ХАТААХ ЦЕХ /нарс/</v>
      </c>
      <c r="U25" s="424">
        <v>84319533.108485997</v>
      </c>
      <c r="V25" s="424"/>
      <c r="W25" s="822">
        <v>1004</v>
      </c>
      <c r="X25" s="436" t="str">
        <f>IFERROR(VLOOKUP(W25,DATA!$G$4:$H$400,2,FALSE),"")</f>
        <v xml:space="preserve">Түмэндэлгэр </v>
      </c>
      <c r="Y25" s="328"/>
      <c r="Z25" s="328"/>
    </row>
    <row r="26" spans="1:34" ht="12.75" customHeight="1">
      <c r="A26" s="425"/>
      <c r="B26" s="368">
        <f t="shared" si="1"/>
        <v>21</v>
      </c>
      <c r="C26" s="425">
        <v>43117</v>
      </c>
      <c r="D26" s="830"/>
      <c r="E26" s="876" t="str">
        <f t="shared" ca="1" si="3"/>
        <v/>
      </c>
      <c r="F26" s="426" t="str">
        <f t="shared" ca="1" si="12"/>
        <v/>
      </c>
      <c r="G26" s="415"/>
      <c r="H26" s="415"/>
      <c r="I26" s="415" t="str">
        <f t="shared" si="2"/>
        <v/>
      </c>
      <c r="J26" s="415"/>
      <c r="K26" s="415" t="str">
        <f t="shared" si="5"/>
        <v/>
      </c>
      <c r="L26" s="415"/>
      <c r="M26" s="415"/>
      <c r="N26" s="422" t="str">
        <f t="shared" si="13"/>
        <v/>
      </c>
      <c r="O26" s="422" t="str">
        <f t="shared" si="14"/>
        <v/>
      </c>
      <c r="P26" s="422" t="str">
        <f t="shared" si="15"/>
        <v/>
      </c>
      <c r="Q26" s="422" t="str">
        <f t="shared" si="16"/>
        <v/>
      </c>
      <c r="R26" s="422" t="str">
        <f t="shared" si="17"/>
        <v/>
      </c>
      <c r="S26" s="583">
        <v>140500</v>
      </c>
      <c r="T26" s="377" t="str">
        <f>+IFERROR(VLOOKUP(S26,STAT1!$C$4:$D$189,2,FALSE),"")</f>
        <v>Нэгтгэл зардал ХАТААХ ЦЕХ /нарс/</v>
      </c>
      <c r="U26" s="424" t="s">
        <v>581</v>
      </c>
      <c r="V26" s="424">
        <v>84319533.108485997</v>
      </c>
      <c r="W26" s="822">
        <v>1004</v>
      </c>
      <c r="X26" s="436" t="str">
        <f>IFERROR(VLOOKUP(W26,DATA!$G$4:$H$400,2,FALSE),"")</f>
        <v xml:space="preserve">Түмэндэлгэр </v>
      </c>
      <c r="Y26" s="328"/>
      <c r="Z26" s="328"/>
    </row>
    <row r="27" spans="1:34" ht="12.75" customHeight="1">
      <c r="A27" s="425"/>
      <c r="B27" s="368">
        <f t="shared" si="1"/>
        <v>22</v>
      </c>
      <c r="C27" s="425">
        <v>43123</v>
      </c>
      <c r="D27" s="830">
        <v>211804</v>
      </c>
      <c r="E27" s="876" t="str">
        <f t="shared" ca="1" si="3"/>
        <v>Н-Хэлбэртэй плинтус /20*80мм/</v>
      </c>
      <c r="F27" s="426" t="str">
        <f t="shared" ca="1" si="12"/>
        <v>м</v>
      </c>
      <c r="G27" s="415"/>
      <c r="H27" s="415"/>
      <c r="I27" s="415" t="str">
        <f t="shared" si="2"/>
        <v/>
      </c>
      <c r="J27" s="415"/>
      <c r="K27" s="415" t="str">
        <f t="shared" si="5"/>
        <v/>
      </c>
      <c r="L27" s="415">
        <v>28</v>
      </c>
      <c r="M27" s="415">
        <v>5100.6493506493498</v>
      </c>
      <c r="N27" s="422">
        <f t="shared" si="13"/>
        <v>142818.18181818179</v>
      </c>
      <c r="O27" s="422">
        <f t="shared" si="14"/>
        <v>14281.81818181818</v>
      </c>
      <c r="P27" s="422">
        <f t="shared" si="15"/>
        <v>157099.99999999997</v>
      </c>
      <c r="Q27" s="422">
        <f t="shared" ca="1" si="16"/>
        <v>2131.6803863854143</v>
      </c>
      <c r="R27" s="422">
        <f t="shared" ca="1" si="17"/>
        <v>59687.050818791598</v>
      </c>
      <c r="S27" s="583">
        <f>+IF(LEFT(D27,3)="131",140100,0)+IF(LEFT(D27,3)="310",150100,0)+IF(LEFT(D27,3)="211",150101,0)+IF(LEFT(D27,3)="410",160100,0)+IF(LEFT(D27,3)="440",160200,0)+IF(LEFT(D27,3)="430",160200,0)+IF(LEFT(D27,3)="420",160200,0)+IF(LEFT(D27,3)="460",160201,0)+IF(LEFT(D27,3)="210",150101,0)+IF(LEFT(D27,3)="510",140100,0)</f>
        <v>150101</v>
      </c>
      <c r="T27" s="377" t="str">
        <f>+IFERROR(VLOOKUP(S27,STAT1!$C$4:$D$189,2,FALSE),"")</f>
        <v>Бараа бэлэн бүтээгдэхүүн БОЛОВСРУУЛАХ ЦЕХ /нарс/</v>
      </c>
      <c r="U27" s="424"/>
      <c r="V27" s="424">
        <v>59687.050818791598</v>
      </c>
      <c r="W27" s="822">
        <v>3109</v>
      </c>
      <c r="X27" s="436" t="str">
        <f>IFERROR(VLOOKUP(W27,DATA!$G$4:$H$400,2,FALSE),"")</f>
        <v xml:space="preserve">СИЛК РӨҮТ ТЕКСТИЛЬ ХХК </v>
      </c>
      <c r="Y27" s="328"/>
      <c r="Z27" s="328"/>
    </row>
    <row r="28" spans="1:34" ht="12.75" customHeight="1">
      <c r="A28" s="425"/>
      <c r="B28" s="368">
        <f t="shared" si="1"/>
        <v>23</v>
      </c>
      <c r="C28" s="425">
        <v>43123</v>
      </c>
      <c r="D28" s="830"/>
      <c r="E28" s="876" t="str">
        <f t="shared" ca="1" si="3"/>
        <v/>
      </c>
      <c r="F28" s="426" t="str">
        <f t="shared" ca="1" si="12"/>
        <v/>
      </c>
      <c r="G28" s="415"/>
      <c r="H28" s="415"/>
      <c r="I28" s="415" t="str">
        <f t="shared" si="2"/>
        <v/>
      </c>
      <c r="J28" s="415"/>
      <c r="K28" s="415" t="str">
        <f t="shared" si="5"/>
        <v/>
      </c>
      <c r="L28" s="415"/>
      <c r="M28" s="415"/>
      <c r="N28" s="422" t="str">
        <f t="shared" si="13"/>
        <v/>
      </c>
      <c r="O28" s="422" t="str">
        <f t="shared" si="14"/>
        <v/>
      </c>
      <c r="P28" s="422" t="str">
        <f t="shared" si="15"/>
        <v/>
      </c>
      <c r="Q28" s="422" t="str">
        <f t="shared" si="16"/>
        <v/>
      </c>
      <c r="R28" s="422" t="str">
        <f t="shared" si="17"/>
        <v/>
      </c>
      <c r="S28" s="583">
        <v>610100</v>
      </c>
      <c r="T28" s="377" t="str">
        <f>+IFERROR(VLOOKUP(S28,STAT1!$C$4:$D$189,2,FALSE),"")</f>
        <v>Борлуулсан барааны өртөг</v>
      </c>
      <c r="U28" s="424">
        <v>59687.050818791598</v>
      </c>
      <c r="V28" s="424"/>
      <c r="W28" s="822">
        <v>3109</v>
      </c>
      <c r="X28" s="436" t="str">
        <f>IFERROR(VLOOKUP(W28,DATA!$G$4:$H$400,2,FALSE),"")</f>
        <v xml:space="preserve">СИЛК РӨҮТ ТЕКСТИЛЬ ХХК </v>
      </c>
      <c r="Y28" s="328"/>
      <c r="Z28" s="328"/>
    </row>
    <row r="29" spans="1:34" ht="12.75" customHeight="1">
      <c r="A29" s="425"/>
      <c r="B29" s="368">
        <f t="shared" si="1"/>
        <v>24</v>
      </c>
      <c r="C29" s="425">
        <v>43123</v>
      </c>
      <c r="D29" s="830"/>
      <c r="E29" s="876" t="str">
        <f t="shared" ca="1" si="3"/>
        <v/>
      </c>
      <c r="F29" s="426" t="str">
        <f t="shared" ca="1" si="12"/>
        <v/>
      </c>
      <c r="G29" s="415"/>
      <c r="H29" s="415"/>
      <c r="I29" s="415" t="str">
        <f t="shared" si="2"/>
        <v/>
      </c>
      <c r="J29" s="415"/>
      <c r="K29" s="415" t="str">
        <f t="shared" si="5"/>
        <v/>
      </c>
      <c r="L29" s="415"/>
      <c r="M29" s="415"/>
      <c r="N29" s="422" t="str">
        <f t="shared" si="13"/>
        <v/>
      </c>
      <c r="O29" s="422" t="str">
        <f t="shared" si="14"/>
        <v/>
      </c>
      <c r="P29" s="422" t="str">
        <f t="shared" si="15"/>
        <v/>
      </c>
      <c r="Q29" s="422" t="str">
        <f t="shared" si="16"/>
        <v/>
      </c>
      <c r="R29" s="422" t="str">
        <f t="shared" si="17"/>
        <v/>
      </c>
      <c r="S29" s="583">
        <v>310500</v>
      </c>
      <c r="T29" s="377" t="str">
        <f>+IFERROR(VLOOKUP(S29,STAT1!$C$4:$D$189,2,FALSE),"")</f>
        <v>НӨАТ өглөг</v>
      </c>
      <c r="U29" s="424"/>
      <c r="V29" s="424">
        <v>14281.81818181818</v>
      </c>
      <c r="W29" s="822">
        <v>3109</v>
      </c>
      <c r="X29" s="436" t="str">
        <f>IFERROR(VLOOKUP(W29,DATA!$G$4:$H$400,2,FALSE),"")</f>
        <v xml:space="preserve">СИЛК РӨҮТ ТЕКСТИЛЬ ХХК </v>
      </c>
      <c r="Y29" s="328"/>
      <c r="Z29" s="328"/>
    </row>
    <row r="30" spans="1:34" ht="12.75" customHeight="1">
      <c r="A30" s="425"/>
      <c r="B30" s="368">
        <f t="shared" si="1"/>
        <v>25</v>
      </c>
      <c r="C30" s="425">
        <v>43123</v>
      </c>
      <c r="D30" s="830"/>
      <c r="E30" s="876" t="str">
        <f t="shared" ca="1" si="3"/>
        <v/>
      </c>
      <c r="F30" s="426" t="str">
        <f t="shared" ca="1" si="12"/>
        <v/>
      </c>
      <c r="G30" s="415"/>
      <c r="H30" s="415"/>
      <c r="I30" s="415" t="str">
        <f t="shared" si="2"/>
        <v/>
      </c>
      <c r="J30" s="415"/>
      <c r="K30" s="415" t="str">
        <f t="shared" si="5"/>
        <v/>
      </c>
      <c r="L30" s="415"/>
      <c r="M30" s="415"/>
      <c r="N30" s="422" t="str">
        <f t="shared" si="13"/>
        <v/>
      </c>
      <c r="O30" s="422" t="str">
        <f t="shared" si="14"/>
        <v/>
      </c>
      <c r="P30" s="422" t="str">
        <f t="shared" si="15"/>
        <v/>
      </c>
      <c r="Q30" s="422" t="str">
        <f t="shared" si="16"/>
        <v/>
      </c>
      <c r="R30" s="422" t="str">
        <f t="shared" si="17"/>
        <v/>
      </c>
      <c r="S30" s="583">
        <v>510000</v>
      </c>
      <c r="T30" s="377" t="str">
        <f>+IFERROR(VLOOKUP(S30,STAT1!$C$4:$D$189,2,FALSE),"")</f>
        <v>Үндсэн үйл ажиллагааны борлуулалт</v>
      </c>
      <c r="U30" s="424"/>
      <c r="V30" s="424">
        <v>142818.18181818179</v>
      </c>
      <c r="W30" s="822">
        <v>3109</v>
      </c>
      <c r="X30" s="436" t="str">
        <f>IFERROR(VLOOKUP(W30,DATA!$G$4:$H$400,2,FALSE),"")</f>
        <v xml:space="preserve">СИЛК РӨҮТ ТЕКСТИЛЬ ХХК </v>
      </c>
      <c r="Y30" s="328"/>
      <c r="Z30" s="328"/>
    </row>
    <row r="31" spans="1:34" ht="12.75" customHeight="1">
      <c r="A31" s="425"/>
      <c r="B31" s="368">
        <f t="shared" si="1"/>
        <v>26</v>
      </c>
      <c r="C31" s="425">
        <v>43123</v>
      </c>
      <c r="D31" s="830"/>
      <c r="E31" s="876" t="str">
        <f t="shared" ca="1" si="3"/>
        <v/>
      </c>
      <c r="F31" s="426" t="str">
        <f t="shared" ca="1" si="12"/>
        <v/>
      </c>
      <c r="G31" s="415"/>
      <c r="H31" s="415"/>
      <c r="I31" s="415" t="str">
        <f t="shared" si="2"/>
        <v/>
      </c>
      <c r="J31" s="415" t="str">
        <f t="shared" ref="J31:J36" si="18">+IF(G31="","",I31*0.1)</f>
        <v/>
      </c>
      <c r="K31" s="415" t="str">
        <f t="shared" si="5"/>
        <v/>
      </c>
      <c r="L31" s="415"/>
      <c r="M31" s="415"/>
      <c r="N31" s="422" t="str">
        <f t="shared" si="13"/>
        <v/>
      </c>
      <c r="O31" s="422" t="str">
        <f t="shared" si="14"/>
        <v/>
      </c>
      <c r="P31" s="422" t="str">
        <f t="shared" si="15"/>
        <v/>
      </c>
      <c r="Q31" s="422" t="str">
        <f t="shared" si="16"/>
        <v/>
      </c>
      <c r="R31" s="422" t="str">
        <f t="shared" si="17"/>
        <v/>
      </c>
      <c r="S31" s="583">
        <v>320100</v>
      </c>
      <c r="T31" s="377" t="str">
        <f>+IFERROR(VLOOKUP(S31,STAT1!$C$4:$D$189,2,FALSE),"")</f>
        <v>Урьдчилж орсон орлого MNT</v>
      </c>
      <c r="U31" s="424">
        <v>157100</v>
      </c>
      <c r="V31" s="424"/>
      <c r="W31" s="822">
        <v>3109</v>
      </c>
      <c r="X31" s="436" t="str">
        <f>IFERROR(VLOOKUP(W31,DATA!$G$4:$H$400,2,FALSE),"")</f>
        <v xml:space="preserve">СИЛК РӨҮТ ТЕКСТИЛЬ ХХК </v>
      </c>
      <c r="Y31" s="328"/>
      <c r="Z31" s="328"/>
    </row>
    <row r="32" spans="1:34" ht="12.75" customHeight="1">
      <c r="A32" s="425"/>
      <c r="B32" s="368">
        <f t="shared" si="1"/>
        <v>27</v>
      </c>
      <c r="C32" s="425">
        <v>43129</v>
      </c>
      <c r="D32" s="830">
        <v>211802</v>
      </c>
      <c r="E32" s="876" t="str">
        <f t="shared" ca="1" si="3"/>
        <v xml:space="preserve">Н-Уголок </v>
      </c>
      <c r="F32" s="426" t="str">
        <f t="shared" ca="1" si="12"/>
        <v>м</v>
      </c>
      <c r="G32" s="415"/>
      <c r="H32" s="415"/>
      <c r="I32" s="415" t="str">
        <f t="shared" si="2"/>
        <v/>
      </c>
      <c r="J32" s="415" t="str">
        <f t="shared" si="18"/>
        <v/>
      </c>
      <c r="K32" s="415" t="str">
        <f t="shared" si="5"/>
        <v/>
      </c>
      <c r="L32" s="415">
        <v>12</v>
      </c>
      <c r="M32" s="415">
        <v>3000</v>
      </c>
      <c r="N32" s="422">
        <f t="shared" si="13"/>
        <v>36000</v>
      </c>
      <c r="O32" s="422">
        <f t="shared" si="14"/>
        <v>3600</v>
      </c>
      <c r="P32" s="422">
        <f t="shared" si="15"/>
        <v>39600</v>
      </c>
      <c r="Q32" s="422">
        <f t="shared" ca="1" si="16"/>
        <v>1377.7799111418217</v>
      </c>
      <c r="R32" s="422">
        <f t="shared" ca="1" si="17"/>
        <v>16533.35893370186</v>
      </c>
      <c r="S32" s="583">
        <f>+IF(LEFT(D32,3)="131",140100,0)+IF(LEFT(D32,3)="310",150100,0)+IF(LEFT(D32,3)="211",150101,0)+IF(LEFT(D32,3)="410",160100,0)+IF(LEFT(D32,3)="440",160200,0)+IF(LEFT(D32,3)="430",160200,0)+IF(LEFT(D32,3)="420",160200,0)+IF(LEFT(D32,3)="460",160201,0)+IF(LEFT(D32,3)="210",150101,0)+IF(LEFT(D32,3)="510",140100,0)</f>
        <v>150101</v>
      </c>
      <c r="T32" s="377" t="str">
        <f>+IFERROR(VLOOKUP(S32,STAT1!$C$4:$D$189,2,FALSE),"")</f>
        <v>Бараа бэлэн бүтээгдэхүүн БОЛОВСРУУЛАХ ЦЕХ /нарс/</v>
      </c>
      <c r="U32" s="424"/>
      <c r="V32" s="424">
        <v>16533.35893370186</v>
      </c>
      <c r="W32" s="822">
        <v>3111</v>
      </c>
      <c r="X32" s="436" t="str">
        <f>IFERROR(VLOOKUP(W32,DATA!$G$4:$H$400,2,FALSE),"")</f>
        <v xml:space="preserve">ЗУЛЗАГАН ДӨЛ ХХК </v>
      </c>
      <c r="Y32" s="328"/>
      <c r="Z32" s="328"/>
    </row>
    <row r="33" spans="1:27" ht="12.75" customHeight="1">
      <c r="A33" s="425"/>
      <c r="B33" s="368">
        <f t="shared" si="1"/>
        <v>28</v>
      </c>
      <c r="C33" s="425">
        <v>43129</v>
      </c>
      <c r="D33" s="830"/>
      <c r="E33" s="876" t="str">
        <f t="shared" ca="1" si="3"/>
        <v/>
      </c>
      <c r="F33" s="426" t="str">
        <f t="shared" ca="1" si="12"/>
        <v/>
      </c>
      <c r="G33" s="415"/>
      <c r="H33" s="415"/>
      <c r="I33" s="415" t="str">
        <f t="shared" si="2"/>
        <v/>
      </c>
      <c r="J33" s="415" t="str">
        <f t="shared" si="18"/>
        <v/>
      </c>
      <c r="K33" s="415" t="str">
        <f t="shared" si="5"/>
        <v/>
      </c>
      <c r="L33" s="415"/>
      <c r="M33" s="415"/>
      <c r="N33" s="422" t="str">
        <f t="shared" si="13"/>
        <v/>
      </c>
      <c r="O33" s="422" t="str">
        <f t="shared" si="14"/>
        <v/>
      </c>
      <c r="P33" s="422" t="str">
        <f t="shared" si="15"/>
        <v/>
      </c>
      <c r="Q33" s="422" t="str">
        <f t="shared" si="16"/>
        <v/>
      </c>
      <c r="R33" s="422" t="str">
        <f t="shared" si="17"/>
        <v/>
      </c>
      <c r="S33" s="583">
        <v>610100</v>
      </c>
      <c r="T33" s="377" t="str">
        <f>+IFERROR(VLOOKUP(S33,STAT1!$C$4:$D$189,2,FALSE),"")</f>
        <v>Борлуулсан барааны өртөг</v>
      </c>
      <c r="U33" s="424">
        <v>16533.35893370186</v>
      </c>
      <c r="V33" s="424"/>
      <c r="W33" s="822">
        <v>3111</v>
      </c>
      <c r="X33" s="436" t="str">
        <f>IFERROR(VLOOKUP(W33,DATA!$G$4:$H$400,2,FALSE),"")</f>
        <v xml:space="preserve">ЗУЛЗАГАН ДӨЛ ХХК </v>
      </c>
      <c r="Y33" s="328"/>
      <c r="Z33" s="328"/>
    </row>
    <row r="34" spans="1:27" ht="12.75" customHeight="1">
      <c r="A34" s="425"/>
      <c r="B34" s="368">
        <f t="shared" si="1"/>
        <v>29</v>
      </c>
      <c r="C34" s="425">
        <v>43129</v>
      </c>
      <c r="D34" s="830"/>
      <c r="E34" s="876" t="str">
        <f t="shared" ca="1" si="3"/>
        <v/>
      </c>
      <c r="F34" s="426"/>
      <c r="G34" s="415"/>
      <c r="H34" s="415"/>
      <c r="I34" s="415" t="str">
        <f t="shared" si="2"/>
        <v/>
      </c>
      <c r="J34" s="415" t="str">
        <f t="shared" si="18"/>
        <v/>
      </c>
      <c r="K34" s="415" t="str">
        <f t="shared" si="5"/>
        <v/>
      </c>
      <c r="L34" s="415"/>
      <c r="M34" s="415"/>
      <c r="N34" s="422"/>
      <c r="O34" s="422"/>
      <c r="P34" s="422"/>
      <c r="Q34" s="422"/>
      <c r="R34" s="422"/>
      <c r="S34" s="583">
        <v>310500</v>
      </c>
      <c r="T34" s="377" t="str">
        <f>+IFERROR(VLOOKUP(S34,STAT1!$C$4:$D$189,2,FALSE),"")</f>
        <v>НӨАТ өглөг</v>
      </c>
      <c r="U34" s="424"/>
      <c r="V34" s="424">
        <v>3600</v>
      </c>
      <c r="W34" s="822">
        <v>3111</v>
      </c>
      <c r="X34" s="436" t="str">
        <f>IFERROR(VLOOKUP(W34,DATA!$G$4:$H$400,2,FALSE),"")</f>
        <v xml:space="preserve">ЗУЛЗАГАН ДӨЛ ХХК </v>
      </c>
      <c r="Y34" s="328"/>
      <c r="Z34" s="328"/>
    </row>
    <row r="35" spans="1:27" ht="12.75" customHeight="1">
      <c r="A35" s="425"/>
      <c r="B35" s="368">
        <f t="shared" si="1"/>
        <v>30</v>
      </c>
      <c r="C35" s="425">
        <v>43129</v>
      </c>
      <c r="D35" s="830"/>
      <c r="E35" s="876" t="str">
        <f t="shared" ca="1" si="3"/>
        <v/>
      </c>
      <c r="F35" s="426" t="str">
        <f t="shared" ref="F35:F42" ca="1" si="19">+IFERROR(VLOOKUP(D35,TN_table,3,FALSE),"")</f>
        <v/>
      </c>
      <c r="G35" s="415"/>
      <c r="H35" s="415"/>
      <c r="I35" s="415" t="str">
        <f t="shared" si="2"/>
        <v/>
      </c>
      <c r="J35" s="415" t="str">
        <f t="shared" si="18"/>
        <v/>
      </c>
      <c r="K35" s="415" t="str">
        <f t="shared" si="5"/>
        <v/>
      </c>
      <c r="L35" s="415"/>
      <c r="M35" s="415"/>
      <c r="N35" s="422" t="str">
        <f>+IF(L35="","",L35*M35)</f>
        <v/>
      </c>
      <c r="O35" s="422" t="str">
        <f>+IF(L35="","",N35*0.1)</f>
        <v/>
      </c>
      <c r="P35" s="422" t="str">
        <f>+IF(L35="","",N35+O35)</f>
        <v/>
      </c>
      <c r="Q35" s="422" t="str">
        <f>IF(L35="","",IFERROR((SUMIFS(TN_balC1_totol,TN_code,D35)+SUMIFS(RC_or_totol,RC_Code,D35,RC_date,"&lt;="&amp;C35)-SUMIFS(RC_zar_totol,RC_Code,D35,RC_date,"&lt;"&amp;C35)) /( SUMIFS(TN_balC1_unit,TN_code,D35)+SUMIFS(RC_or_unit,RC_Code,D35,RC_date,"&lt;="&amp;C35)-SUMIFS(RC_zar_unit,RC_Code,D35,RC_date,"&lt;"&amp;C35)),0 ))</f>
        <v/>
      </c>
      <c r="R35" s="422" t="str">
        <f>+IF(L35="","",L35*Q35)</f>
        <v/>
      </c>
      <c r="S35" s="583">
        <v>510000</v>
      </c>
      <c r="T35" s="377" t="str">
        <f>+IFERROR(VLOOKUP(S35,STAT1!$C$4:$D$189,2,FALSE),"")</f>
        <v>Үндсэн үйл ажиллагааны борлуулалт</v>
      </c>
      <c r="U35" s="424"/>
      <c r="V35" s="424">
        <v>36000</v>
      </c>
      <c r="W35" s="822">
        <v>3111</v>
      </c>
      <c r="X35" s="436" t="str">
        <f>IFERROR(VLOOKUP(W35,DATA!$G$4:$H$400,2,FALSE),"")</f>
        <v xml:space="preserve">ЗУЛЗАГАН ДӨЛ ХХК </v>
      </c>
      <c r="Y35" s="328"/>
      <c r="Z35" s="328"/>
    </row>
    <row r="36" spans="1:27" ht="12.75" customHeight="1">
      <c r="A36" s="425"/>
      <c r="B36" s="368">
        <f t="shared" si="1"/>
        <v>31</v>
      </c>
      <c r="C36" s="425">
        <v>43129</v>
      </c>
      <c r="D36" s="830"/>
      <c r="E36" s="876" t="str">
        <f t="shared" ca="1" si="3"/>
        <v/>
      </c>
      <c r="F36" s="426" t="str">
        <f t="shared" ca="1" si="19"/>
        <v/>
      </c>
      <c r="G36" s="415"/>
      <c r="H36" s="415"/>
      <c r="I36" s="415" t="str">
        <f t="shared" si="2"/>
        <v/>
      </c>
      <c r="J36" s="415" t="str">
        <f t="shared" si="18"/>
        <v/>
      </c>
      <c r="K36" s="415" t="str">
        <f t="shared" si="5"/>
        <v/>
      </c>
      <c r="L36" s="415"/>
      <c r="M36" s="415"/>
      <c r="N36" s="422" t="str">
        <f>+IF(L36="","",L36*M36)</f>
        <v/>
      </c>
      <c r="O36" s="422" t="str">
        <f>+IF(L36="","",N36*0.1)</f>
        <v/>
      </c>
      <c r="P36" s="422" t="str">
        <f>+IF(L36="","",N36+O36)</f>
        <v/>
      </c>
      <c r="Q36" s="422" t="str">
        <f>IF(L36="","",IFERROR((SUMIFS(TN_balC1_totol,TN_code,D36)+SUMIFS(RC_or_totol,RC_Code,D36,RC_date,"&lt;="&amp;C36)-SUMIFS(RC_zar_totol,RC_Code,D36,RC_date,"&lt;"&amp;C36)) /( SUMIFS(TN_balC1_unit,TN_code,D36)+SUMIFS(RC_or_unit,RC_Code,D36,RC_date,"&lt;="&amp;C36)-SUMIFS(RC_zar_unit,RC_Code,D36,RC_date,"&lt;"&amp;C36)),0 ))</f>
        <v/>
      </c>
      <c r="R36" s="422" t="str">
        <f>+IF(L36="","",L36*Q36)</f>
        <v/>
      </c>
      <c r="S36" s="583">
        <v>320100</v>
      </c>
      <c r="T36" s="377" t="str">
        <f>+IFERROR(VLOOKUP(S36,STAT1!$C$4:$D$189,2,FALSE),"")</f>
        <v>Урьдчилж орсон орлого MNT</v>
      </c>
      <c r="U36" s="424">
        <v>39600</v>
      </c>
      <c r="V36" s="424"/>
      <c r="W36" s="822">
        <v>3111</v>
      </c>
      <c r="X36" s="436" t="str">
        <f>IFERROR(VLOOKUP(W36,DATA!$G$4:$H$400,2,FALSE),"")</f>
        <v xml:space="preserve">ЗУЛЗАГАН ДӨЛ ХХК </v>
      </c>
      <c r="Y36" s="328"/>
      <c r="Z36" s="328"/>
    </row>
    <row r="37" spans="1:27" ht="12.75" customHeight="1">
      <c r="A37" s="425"/>
      <c r="B37" s="368">
        <f t="shared" si="1"/>
        <v>32</v>
      </c>
      <c r="C37" s="425">
        <v>43133</v>
      </c>
      <c r="D37" s="830">
        <v>211715</v>
      </c>
      <c r="E37" s="876" t="str">
        <f t="shared" ca="1" si="3"/>
        <v>Н-Хавтан /зузаан-1.8см/</v>
      </c>
      <c r="F37" s="426" t="str">
        <f t="shared" ca="1" si="19"/>
        <v>м2</v>
      </c>
      <c r="G37" s="415"/>
      <c r="H37" s="415"/>
      <c r="I37" s="415" t="str">
        <f t="shared" si="2"/>
        <v/>
      </c>
      <c r="J37" s="415"/>
      <c r="K37" s="415" t="str">
        <f t="shared" si="5"/>
        <v/>
      </c>
      <c r="L37" s="415">
        <v>12.29</v>
      </c>
      <c r="M37" s="415">
        <v>28333.4565</v>
      </c>
      <c r="N37" s="422">
        <f>+IF(L37="","",L37*M37)</f>
        <v>348218.18038499996</v>
      </c>
      <c r="O37" s="422">
        <f>+IF(L37="","",N37*0.1)</f>
        <v>34821.818038499994</v>
      </c>
      <c r="P37" s="422">
        <f>+IF(L37="","",N37+O37)</f>
        <v>383039.99842349993</v>
      </c>
      <c r="Q37" s="422">
        <f ca="1">IF(L37="","",IFERROR((SUMIFS(TN_balC1_totol,TN_code,D37)+SUMIFS(RC_or_totol,RC_Code,D37,RC_date,"&lt;="&amp;C37)-SUMIFS(RC_zar_totol,RC_Code,D37,RC_date,"&lt;"&amp;C37)) /( SUMIFS(TN_balC1_unit,TN_code,D37)+SUMIFS(RC_or_unit,RC_Code,D37,RC_date,"&lt;="&amp;C37)-SUMIFS(RC_zar_unit,RC_Code,D37,RC_date,"&lt;"&amp;C37)),0 ))</f>
        <v>19114.03573660992</v>
      </c>
      <c r="R37" s="422">
        <f ca="1">+IF(L37="","",L37*Q37)</f>
        <v>234911.4992029359</v>
      </c>
      <c r="S37" s="583">
        <f>+IF(LEFT(D37,3)="131",140100,0)+IF(LEFT(D37,3)="310",150100,0)+IF(LEFT(D37,3)="211",150101,0)+IF(LEFT(D37,3)="410",160100,0)+IF(LEFT(D37,3)="440",160200,0)+IF(LEFT(D37,3)="430",160200,0)+IF(LEFT(D37,3)="420",160200,0)+IF(LEFT(D37,3)="460",160201,0)+IF(LEFT(D37,3)="210",150101,0)+IF(LEFT(D37,3)="510",140100,0)</f>
        <v>150101</v>
      </c>
      <c r="T37" s="377" t="str">
        <f>+IFERROR(VLOOKUP(S37,STAT1!$C$4:$D$189,2,FALSE),"")</f>
        <v>Бараа бэлэн бүтээгдэхүүн БОЛОВСРУУЛАХ ЦЕХ /нарс/</v>
      </c>
      <c r="U37" s="424"/>
      <c r="V37" s="415">
        <v>234911.4992029359</v>
      </c>
      <c r="W37" s="822">
        <v>3116</v>
      </c>
      <c r="X37" s="436" t="str">
        <f>IFERROR(VLOOKUP(W37,DATA!$G$4:$H$400,2,FALSE),"")</f>
        <v xml:space="preserve">ЮМИКА ХХК </v>
      </c>
      <c r="Y37" s="328"/>
      <c r="Z37" s="328"/>
    </row>
    <row r="38" spans="1:27" ht="12.75" customHeight="1">
      <c r="A38" s="425"/>
      <c r="B38" s="368">
        <f t="shared" ref="B38:B62" si="20">+IF(C38="","",ROW()-5)</f>
        <v>33</v>
      </c>
      <c r="C38" s="425">
        <v>43133</v>
      </c>
      <c r="D38" s="830"/>
      <c r="E38" s="876" t="str">
        <f t="shared" ca="1" si="3"/>
        <v/>
      </c>
      <c r="F38" s="426" t="str">
        <f t="shared" ca="1" si="19"/>
        <v/>
      </c>
      <c r="G38" s="415"/>
      <c r="H38" s="415"/>
      <c r="I38" s="415" t="str">
        <f t="shared" si="2"/>
        <v/>
      </c>
      <c r="J38" s="415"/>
      <c r="K38" s="415" t="str">
        <f t="shared" si="5"/>
        <v/>
      </c>
      <c r="L38" s="415"/>
      <c r="M38" s="415"/>
      <c r="N38" s="422"/>
      <c r="O38" s="422"/>
      <c r="P38" s="422"/>
      <c r="Q38" s="422"/>
      <c r="R38" s="422"/>
      <c r="S38" s="583">
        <v>610100</v>
      </c>
      <c r="T38" s="377" t="str">
        <f>+IFERROR(VLOOKUP(S38,STAT1!$C$4:$D$189,2,FALSE),"")</f>
        <v>Борлуулсан барааны өртөг</v>
      </c>
      <c r="U38" s="424">
        <v>234911.4992029359</v>
      </c>
      <c r="V38" s="424"/>
      <c r="W38" s="822">
        <v>3116</v>
      </c>
      <c r="X38" s="436" t="str">
        <f>IFERROR(VLOOKUP(W38,DATA!$G$4:$H$400,2,FALSE),"")</f>
        <v xml:space="preserve">ЮМИКА ХХК </v>
      </c>
      <c r="Y38" s="328"/>
      <c r="Z38" s="328"/>
    </row>
    <row r="39" spans="1:27" ht="12.75" customHeight="1">
      <c r="A39" s="425"/>
      <c r="B39" s="368">
        <f t="shared" si="20"/>
        <v>34</v>
      </c>
      <c r="C39" s="425">
        <v>43133</v>
      </c>
      <c r="D39" s="830"/>
      <c r="E39" s="876" t="str">
        <f t="shared" ca="1" si="3"/>
        <v/>
      </c>
      <c r="F39" s="426" t="str">
        <f t="shared" ca="1" si="19"/>
        <v/>
      </c>
      <c r="G39" s="415"/>
      <c r="H39" s="415"/>
      <c r="I39" s="415" t="str">
        <f t="shared" si="2"/>
        <v/>
      </c>
      <c r="J39" s="415"/>
      <c r="K39" s="415" t="str">
        <f t="shared" si="5"/>
        <v/>
      </c>
      <c r="L39" s="415"/>
      <c r="M39" s="415"/>
      <c r="N39" s="422"/>
      <c r="O39" s="422"/>
      <c r="P39" s="422"/>
      <c r="Q39" s="422"/>
      <c r="R39" s="422"/>
      <c r="S39" s="583">
        <v>310500</v>
      </c>
      <c r="T39" s="377" t="str">
        <f>+IFERROR(VLOOKUP(S39,STAT1!$C$4:$D$189,2,FALSE),"")</f>
        <v>НӨАТ өглөг</v>
      </c>
      <c r="U39" s="424"/>
      <c r="V39" s="424">
        <v>34821.82</v>
      </c>
      <c r="W39" s="822">
        <v>3116</v>
      </c>
      <c r="X39" s="436" t="str">
        <f>IFERROR(VLOOKUP(W39,DATA!$G$4:$H$400,2,FALSE),"")</f>
        <v xml:space="preserve">ЮМИКА ХХК </v>
      </c>
      <c r="Y39" s="328"/>
      <c r="Z39" s="328"/>
    </row>
    <row r="40" spans="1:27" ht="12.75" customHeight="1">
      <c r="A40" s="425"/>
      <c r="B40" s="368">
        <f t="shared" si="20"/>
        <v>35</v>
      </c>
      <c r="C40" s="425">
        <v>43133</v>
      </c>
      <c r="D40" s="830"/>
      <c r="E40" s="876" t="str">
        <f t="shared" ca="1" si="3"/>
        <v/>
      </c>
      <c r="F40" s="426" t="str">
        <f t="shared" ca="1" si="19"/>
        <v/>
      </c>
      <c r="G40" s="415"/>
      <c r="H40" s="415"/>
      <c r="I40" s="415" t="str">
        <f t="shared" si="2"/>
        <v/>
      </c>
      <c r="J40" s="415"/>
      <c r="K40" s="415" t="str">
        <f t="shared" si="5"/>
        <v/>
      </c>
      <c r="L40" s="415"/>
      <c r="M40" s="415"/>
      <c r="N40" s="422"/>
      <c r="O40" s="422"/>
      <c r="P40" s="422"/>
      <c r="Q40" s="422"/>
      <c r="R40" s="422"/>
      <c r="S40" s="583">
        <v>510000</v>
      </c>
      <c r="T40" s="377" t="str">
        <f>+IFERROR(VLOOKUP(S40,STAT1!$C$4:$D$189,2,FALSE),"")</f>
        <v>Үндсэн үйл ажиллагааны борлуулалт</v>
      </c>
      <c r="U40" s="424"/>
      <c r="V40" s="424">
        <v>348218.18</v>
      </c>
      <c r="W40" s="822">
        <v>3116</v>
      </c>
      <c r="X40" s="436" t="str">
        <f>IFERROR(VLOOKUP(W40,DATA!$G$4:$H$400,2,FALSE),"")</f>
        <v xml:space="preserve">ЮМИКА ХХК </v>
      </c>
      <c r="Y40" s="328"/>
      <c r="Z40" s="328"/>
    </row>
    <row r="41" spans="1:27" ht="12.75" customHeight="1">
      <c r="A41" s="425"/>
      <c r="B41" s="368">
        <f t="shared" si="20"/>
        <v>36</v>
      </c>
      <c r="C41" s="425">
        <v>43133</v>
      </c>
      <c r="D41" s="830"/>
      <c r="E41" s="876" t="str">
        <f t="shared" ca="1" si="3"/>
        <v/>
      </c>
      <c r="F41" s="426" t="str">
        <f t="shared" ca="1" si="19"/>
        <v/>
      </c>
      <c r="G41" s="415"/>
      <c r="H41" s="415"/>
      <c r="I41" s="415" t="str">
        <f t="shared" si="2"/>
        <v/>
      </c>
      <c r="J41" s="415"/>
      <c r="K41" s="415" t="str">
        <f t="shared" si="5"/>
        <v/>
      </c>
      <c r="L41" s="415"/>
      <c r="M41" s="415"/>
      <c r="N41" s="422"/>
      <c r="O41" s="422"/>
      <c r="P41" s="422"/>
      <c r="Q41" s="422"/>
      <c r="R41" s="422"/>
      <c r="S41" s="583">
        <v>320100</v>
      </c>
      <c r="T41" s="377" t="str">
        <f>+IFERROR(VLOOKUP(S41,STAT1!$C$4:$D$189,2,FALSE),"")</f>
        <v>Урьдчилж орсон орлого MNT</v>
      </c>
      <c r="U41" s="424">
        <v>383040</v>
      </c>
      <c r="V41" s="424"/>
      <c r="W41" s="822">
        <v>3116</v>
      </c>
      <c r="X41" s="436" t="str">
        <f>IFERROR(VLOOKUP(W41,DATA!$G$4:$H$400,2,FALSE),"")</f>
        <v xml:space="preserve">ЮМИКА ХХК </v>
      </c>
      <c r="Y41" s="328"/>
      <c r="Z41" s="328"/>
    </row>
    <row r="42" spans="1:27" ht="12.75" customHeight="1">
      <c r="A42" s="425"/>
      <c r="B42" s="368">
        <f t="shared" si="20"/>
        <v>37</v>
      </c>
      <c r="C42" s="425">
        <v>43151</v>
      </c>
      <c r="D42" s="830">
        <v>410004</v>
      </c>
      <c r="E42" s="876" t="str">
        <f t="shared" ca="1" si="3"/>
        <v>Будаг /Орд/</v>
      </c>
      <c r="F42" s="426" t="str">
        <f t="shared" ca="1" si="19"/>
        <v>кг</v>
      </c>
      <c r="G42" s="415">
        <v>8</v>
      </c>
      <c r="H42" s="415">
        <v>18610.226999999999</v>
      </c>
      <c r="I42" s="415">
        <f t="shared" si="2"/>
        <v>148881.81599999999</v>
      </c>
      <c r="J42" s="415">
        <f>+IF(G42="","",I42*0.1)</f>
        <v>14888.1816</v>
      </c>
      <c r="K42" s="415">
        <f t="shared" si="5"/>
        <v>163769.9976</v>
      </c>
      <c r="L42" s="415"/>
      <c r="M42" s="415"/>
      <c r="N42" s="422" t="str">
        <f>+IF(L42="","",L42*M42)</f>
        <v/>
      </c>
      <c r="O42" s="422" t="str">
        <f>+IF(L42="","",N42*0.1)</f>
        <v/>
      </c>
      <c r="P42" s="422" t="str">
        <f>+IF(L42="","",N42+O42)</f>
        <v/>
      </c>
      <c r="Q42" s="422" t="str">
        <f>IF(L42="","",IFERROR((SUMIFS(TN_balC1_totol,TN_code,D42)+SUMIFS(RC_or_totol,RC_Code,D42,RC_date,"&lt;="&amp;C42)-SUMIFS(RC_zar_totol,RC_Code,D42,RC_date,"&lt;"&amp;C42)) /( SUMIFS(TN_balC1_unit,TN_code,D42)+SUMIFS(RC_or_unit,RC_Code,D42,RC_date,"&lt;="&amp;C42)-SUMIFS(RC_zar_unit,RC_Code,D42,RC_date,"&lt;"&amp;C42)),0 ))</f>
        <v/>
      </c>
      <c r="R42" s="422" t="str">
        <f>+IF(L42="","",L42*Q42)</f>
        <v/>
      </c>
      <c r="S42" s="583">
        <f>+IF(LEFT(D42,3)="131",140100,0)+IF(LEFT(D42,3)="310",150100,0)+IF(LEFT(D42,3)="211",150101,0)+IF(LEFT(D42,3)="410",160100,0)+IF(LEFT(D42,3)="440",160200,0)+IF(LEFT(D42,3)="430",160200,0)+IF(LEFT(D42,3)="420",160200,0)+IF(LEFT(D42,3)="460",160201,0)+IF(LEFT(D42,3)="210",150101,0)+IF(LEFT(D42,3)="510",140100,0)</f>
        <v>160100</v>
      </c>
      <c r="T42" s="377" t="str">
        <f>+IFERROR(VLOOKUP(S42,STAT1!$C$4:$D$189,2,FALSE),"")</f>
        <v xml:space="preserve">Барилгын материал </v>
      </c>
      <c r="U42" s="424">
        <v>148881.82</v>
      </c>
      <c r="V42" s="424"/>
      <c r="W42" s="822">
        <v>1008</v>
      </c>
      <c r="X42" s="436" t="str">
        <f>IFERROR(VLOOKUP(W42,DATA!$G$4:$H$400,2,FALSE),"")</f>
        <v xml:space="preserve">Оюунтүлхүүр </v>
      </c>
      <c r="Y42" s="328"/>
      <c r="Z42" s="328"/>
    </row>
    <row r="43" spans="1:27" ht="12.75" customHeight="1">
      <c r="A43" s="425"/>
      <c r="B43" s="368">
        <f t="shared" si="20"/>
        <v>38</v>
      </c>
      <c r="C43" s="425">
        <v>43151</v>
      </c>
      <c r="D43" s="830"/>
      <c r="E43" s="876"/>
      <c r="F43" s="426"/>
      <c r="G43" s="415"/>
      <c r="H43" s="415"/>
      <c r="I43" s="415"/>
      <c r="J43" s="415"/>
      <c r="K43" s="415"/>
      <c r="L43" s="415"/>
      <c r="M43" s="415"/>
      <c r="N43" s="422"/>
      <c r="O43" s="422"/>
      <c r="P43" s="422"/>
      <c r="Q43" s="422"/>
      <c r="R43" s="422"/>
      <c r="S43" s="583">
        <v>120600</v>
      </c>
      <c r="T43" s="377" t="str">
        <f>+IFERROR(VLOOKUP(S43,STAT1!$C$4:$D$189,2,FALSE),"")</f>
        <v>НӨАТ авлага</v>
      </c>
      <c r="U43" s="424">
        <v>14888.18</v>
      </c>
      <c r="V43" s="424"/>
      <c r="W43" s="822">
        <v>1008</v>
      </c>
      <c r="X43" s="436" t="str">
        <f>IFERROR(VLOOKUP(W43,DATA!$G$4:$H$400,2,FALSE),"")</f>
        <v xml:space="preserve">Оюунтүлхүүр </v>
      </c>
      <c r="Y43" s="328"/>
      <c r="Z43" s="328"/>
      <c r="AA43" s="328"/>
    </row>
    <row r="44" spans="1:27" ht="12.75" customHeight="1">
      <c r="A44" s="425"/>
      <c r="B44" s="368">
        <f t="shared" si="20"/>
        <v>39</v>
      </c>
      <c r="C44" s="425">
        <v>43151</v>
      </c>
      <c r="D44" s="830"/>
      <c r="E44" s="876"/>
      <c r="F44" s="426"/>
      <c r="G44" s="415"/>
      <c r="H44" s="415"/>
      <c r="I44" s="415"/>
      <c r="J44" s="415"/>
      <c r="K44" s="415"/>
      <c r="L44" s="415"/>
      <c r="M44" s="415"/>
      <c r="N44" s="422"/>
      <c r="O44" s="422"/>
      <c r="P44" s="422"/>
      <c r="Q44" s="422"/>
      <c r="R44" s="422"/>
      <c r="S44" s="583">
        <v>120100</v>
      </c>
      <c r="T44" s="377" t="str">
        <f>+IFERROR(VLOOKUP(S44,STAT1!$C$4:$D$189,2,FALSE),"")</f>
        <v xml:space="preserve">Дансны авлага MNT </v>
      </c>
      <c r="U44" s="424"/>
      <c r="V44" s="424">
        <v>163770</v>
      </c>
      <c r="W44" s="822">
        <v>1008</v>
      </c>
      <c r="X44" s="436" t="str">
        <f>IFERROR(VLOOKUP(W44,DATA!$G$4:$H$400,2,FALSE),"")</f>
        <v xml:space="preserve">Оюунтүлхүүр </v>
      </c>
      <c r="Y44" s="328"/>
      <c r="Z44" s="328"/>
      <c r="AA44" s="328"/>
    </row>
    <row r="45" spans="1:27" ht="12.75" customHeight="1">
      <c r="A45" s="425"/>
      <c r="B45" s="368">
        <f t="shared" si="20"/>
        <v>40</v>
      </c>
      <c r="C45" s="425">
        <v>43158</v>
      </c>
      <c r="D45" s="830">
        <v>211503</v>
      </c>
      <c r="E45" s="876" t="str">
        <f t="shared" ref="E45:E62" ca="1" si="21">+IFERROR(VLOOKUP(D45,TN_table,2,FALSE),"")</f>
        <v>Н-Евровагонка /зузаан-1.2см/</v>
      </c>
      <c r="F45" s="426" t="str">
        <f t="shared" ref="F45:F62" ca="1" si="22">+IFERROR(VLOOKUP(D45,TN_table,3,FALSE),"")</f>
        <v>м2</v>
      </c>
      <c r="G45" s="415"/>
      <c r="H45" s="415"/>
      <c r="I45" s="415" t="str">
        <f t="shared" ref="I45:I62" si="23">+IF(G45="","",G45*H45)</f>
        <v/>
      </c>
      <c r="J45" s="415"/>
      <c r="K45" s="415" t="str">
        <f t="shared" ref="K45:K62" si="24">+IF(G45="","",I45+J45)</f>
        <v/>
      </c>
      <c r="L45" s="415">
        <v>65.16</v>
      </c>
      <c r="M45" s="415">
        <v>21598.68</v>
      </c>
      <c r="N45" s="422">
        <f t="shared" ref="N45:N62" si="25">+IF(L45="","",L45*M45)</f>
        <v>1407369.9887999999</v>
      </c>
      <c r="O45" s="422">
        <f t="shared" ref="O45:O62" si="26">+IF(L45="","",N45*0.1)</f>
        <v>140736.99888</v>
      </c>
      <c r="P45" s="422">
        <f t="shared" ref="P45:P62" si="27">+IF(L45="","",N45+O45)</f>
        <v>1548106.98768</v>
      </c>
      <c r="Q45" s="422">
        <f t="shared" ref="Q45:Q62" ca="1" si="28">IF(L45="","",IFERROR((SUMIFS(TN_balC1_totol,TN_code,D45)+SUMIFS(RC_or_totol,RC_Code,D45,RC_date,"&lt;="&amp;C45)-SUMIFS(RC_zar_totol,RC_Code,D45,RC_date,"&lt;"&amp;C45)) /( SUMIFS(TN_balC1_unit,TN_code,D45)+SUMIFS(RC_or_unit,RC_Code,D45,RC_date,"&lt;="&amp;C45)-SUMIFS(RC_zar_unit,RC_Code,D45,RC_date,"&lt;"&amp;C45)),0 ))</f>
        <v>14541.928809736646</v>
      </c>
      <c r="R45" s="422">
        <f t="shared" ref="R45:R62" ca="1" si="29">+IF(L45="","",L45*Q45)</f>
        <v>947552.0812424398</v>
      </c>
      <c r="S45" s="583">
        <f>+IF(LEFT(D45,3)="131",140100,0)+IF(LEFT(D45,3)="310",150100,0)+IF(LEFT(D45,3)="211",150101,0)+IF(LEFT(D45,3)="410",160100,0)+IF(LEFT(D45,3)="440",160200,0)+IF(LEFT(D45,3)="430",160200,0)+IF(LEFT(D45,3)="420",160200,0)+IF(LEFT(D45,3)="460",160201,0)+IF(LEFT(D45,3)="210",150101,0)+IF(LEFT(D45,3)="510",140100,0)</f>
        <v>150101</v>
      </c>
      <c r="T45" s="377" t="str">
        <f>+IFERROR(VLOOKUP(S45,STAT1!$C$4:$D$189,2,FALSE),"")</f>
        <v>Бараа бэлэн бүтээгдэхүүн БОЛОВСРУУЛАХ ЦЕХ /нарс/</v>
      </c>
      <c r="U45" s="415"/>
      <c r="V45" s="415">
        <v>947552.0812424398</v>
      </c>
      <c r="W45" s="823">
        <v>3117</v>
      </c>
      <c r="X45" s="436" t="str">
        <f>IFERROR(VLOOKUP(W45,DATA!$G$4:$H$400,2,FALSE),"")</f>
        <v>БРИЛЛИАНТ ХАВТАН ХХК</v>
      </c>
      <c r="Y45" s="328"/>
      <c r="Z45" s="328"/>
      <c r="AA45" s="328"/>
    </row>
    <row r="46" spans="1:27" ht="12.75" customHeight="1">
      <c r="A46" s="425"/>
      <c r="B46" s="368">
        <f t="shared" si="20"/>
        <v>41</v>
      </c>
      <c r="C46" s="425">
        <v>43158</v>
      </c>
      <c r="D46" s="830"/>
      <c r="E46" s="876" t="str">
        <f t="shared" ca="1" si="21"/>
        <v/>
      </c>
      <c r="F46" s="426" t="str">
        <f t="shared" ca="1" si="22"/>
        <v/>
      </c>
      <c r="G46" s="415"/>
      <c r="H46" s="415"/>
      <c r="I46" s="415" t="str">
        <f t="shared" si="23"/>
        <v/>
      </c>
      <c r="J46" s="415"/>
      <c r="K46" s="415" t="str">
        <f t="shared" si="24"/>
        <v/>
      </c>
      <c r="L46" s="415"/>
      <c r="M46" s="415"/>
      <c r="N46" s="422" t="str">
        <f t="shared" si="25"/>
        <v/>
      </c>
      <c r="O46" s="422" t="str">
        <f t="shared" si="26"/>
        <v/>
      </c>
      <c r="P46" s="422" t="str">
        <f t="shared" si="27"/>
        <v/>
      </c>
      <c r="Q46" s="422" t="str">
        <f t="shared" si="28"/>
        <v/>
      </c>
      <c r="R46" s="422" t="str">
        <f t="shared" si="29"/>
        <v/>
      </c>
      <c r="S46" s="583">
        <v>610100</v>
      </c>
      <c r="T46" s="377" t="str">
        <f>+IFERROR(VLOOKUP(S46,STAT1!$C$4:$D$189,2,FALSE),"")</f>
        <v>Борлуулсан барааны өртөг</v>
      </c>
      <c r="U46" s="424">
        <v>947552.0812424398</v>
      </c>
      <c r="V46" s="424"/>
      <c r="W46" s="823">
        <v>3117</v>
      </c>
      <c r="X46" s="436" t="str">
        <f>IFERROR(VLOOKUP(W46,DATA!$G$4:$H$400,2,FALSE),"")</f>
        <v>БРИЛЛИАНТ ХАВТАН ХХК</v>
      </c>
      <c r="Y46" s="328"/>
      <c r="Z46" s="328"/>
      <c r="AA46" s="328"/>
    </row>
    <row r="47" spans="1:27" ht="12.75" customHeight="1">
      <c r="A47" s="425"/>
      <c r="B47" s="368">
        <f t="shared" si="20"/>
        <v>42</v>
      </c>
      <c r="C47" s="425">
        <v>43158</v>
      </c>
      <c r="D47" s="830"/>
      <c r="E47" s="876" t="str">
        <f t="shared" ca="1" si="21"/>
        <v/>
      </c>
      <c r="F47" s="426" t="str">
        <f t="shared" ca="1" si="22"/>
        <v/>
      </c>
      <c r="G47" s="415"/>
      <c r="H47" s="415"/>
      <c r="I47" s="415" t="str">
        <f t="shared" si="23"/>
        <v/>
      </c>
      <c r="J47" s="415"/>
      <c r="K47" s="415" t="str">
        <f t="shared" si="24"/>
        <v/>
      </c>
      <c r="L47" s="415"/>
      <c r="M47" s="415"/>
      <c r="N47" s="422" t="str">
        <f t="shared" si="25"/>
        <v/>
      </c>
      <c r="O47" s="422" t="str">
        <f t="shared" si="26"/>
        <v/>
      </c>
      <c r="P47" s="422" t="str">
        <f t="shared" si="27"/>
        <v/>
      </c>
      <c r="Q47" s="422" t="str">
        <f t="shared" si="28"/>
        <v/>
      </c>
      <c r="R47" s="422" t="str">
        <f t="shared" si="29"/>
        <v/>
      </c>
      <c r="S47" s="583">
        <v>310500</v>
      </c>
      <c r="T47" s="377" t="str">
        <f>+IFERROR(VLOOKUP(S47,STAT1!$C$4:$D$189,2,FALSE),"")</f>
        <v>НӨАТ өглөг</v>
      </c>
      <c r="U47" s="424"/>
      <c r="V47" s="424">
        <v>140737</v>
      </c>
      <c r="W47" s="823">
        <v>3117</v>
      </c>
      <c r="X47" s="436" t="str">
        <f>IFERROR(VLOOKUP(W47,DATA!$G$4:$H$400,2,FALSE),"")</f>
        <v>БРИЛЛИАНТ ХАВТАН ХХК</v>
      </c>
      <c r="Y47" s="328"/>
      <c r="Z47" s="328"/>
      <c r="AA47" s="328"/>
    </row>
    <row r="48" spans="1:27" ht="12.75" customHeight="1">
      <c r="A48" s="425"/>
      <c r="B48" s="368">
        <f t="shared" si="20"/>
        <v>43</v>
      </c>
      <c r="C48" s="425">
        <v>43158</v>
      </c>
      <c r="D48" s="830"/>
      <c r="E48" s="876" t="str">
        <f t="shared" ca="1" si="21"/>
        <v/>
      </c>
      <c r="F48" s="426" t="str">
        <f t="shared" ca="1" si="22"/>
        <v/>
      </c>
      <c r="G48" s="415"/>
      <c r="H48" s="415"/>
      <c r="I48" s="415" t="str">
        <f t="shared" si="23"/>
        <v/>
      </c>
      <c r="J48" s="415"/>
      <c r="K48" s="415" t="str">
        <f t="shared" si="24"/>
        <v/>
      </c>
      <c r="L48" s="415"/>
      <c r="M48" s="415"/>
      <c r="N48" s="422" t="str">
        <f t="shared" si="25"/>
        <v/>
      </c>
      <c r="O48" s="422" t="str">
        <f t="shared" si="26"/>
        <v/>
      </c>
      <c r="P48" s="422" t="str">
        <f t="shared" si="27"/>
        <v/>
      </c>
      <c r="Q48" s="422" t="str">
        <f t="shared" si="28"/>
        <v/>
      </c>
      <c r="R48" s="422" t="str">
        <f t="shared" si="29"/>
        <v/>
      </c>
      <c r="S48" s="583">
        <v>510000</v>
      </c>
      <c r="T48" s="377" t="str">
        <f>+IFERROR(VLOOKUP(S48,STAT1!$C$4:$D$189,2,FALSE),"")</f>
        <v>Үндсэн үйл ажиллагааны борлуулалт</v>
      </c>
      <c r="U48" s="424"/>
      <c r="V48" s="424">
        <v>1407370</v>
      </c>
      <c r="W48" s="823">
        <v>3117</v>
      </c>
      <c r="X48" s="436" t="str">
        <f>IFERROR(VLOOKUP(W48,DATA!$G$4:$H$400,2,FALSE),"")</f>
        <v>БРИЛЛИАНТ ХАВТАН ХХК</v>
      </c>
      <c r="Y48" s="328"/>
      <c r="Z48" s="328"/>
      <c r="AA48" s="328"/>
    </row>
    <row r="49" spans="1:27" ht="12.75" customHeight="1">
      <c r="A49" s="425"/>
      <c r="B49" s="368">
        <f t="shared" si="20"/>
        <v>44</v>
      </c>
      <c r="C49" s="425">
        <v>43158</v>
      </c>
      <c r="D49" s="830"/>
      <c r="E49" s="876" t="str">
        <f t="shared" ca="1" si="21"/>
        <v/>
      </c>
      <c r="F49" s="426" t="str">
        <f t="shared" ca="1" si="22"/>
        <v/>
      </c>
      <c r="G49" s="415"/>
      <c r="H49" s="415"/>
      <c r="I49" s="415" t="str">
        <f t="shared" si="23"/>
        <v/>
      </c>
      <c r="J49" s="415"/>
      <c r="K49" s="415" t="str">
        <f t="shared" si="24"/>
        <v/>
      </c>
      <c r="L49" s="415"/>
      <c r="M49" s="415"/>
      <c r="N49" s="422" t="str">
        <f t="shared" si="25"/>
        <v/>
      </c>
      <c r="O49" s="422" t="str">
        <f t="shared" si="26"/>
        <v/>
      </c>
      <c r="P49" s="422" t="str">
        <f t="shared" si="27"/>
        <v/>
      </c>
      <c r="Q49" s="422" t="str">
        <f t="shared" si="28"/>
        <v/>
      </c>
      <c r="R49" s="422" t="str">
        <f t="shared" si="29"/>
        <v/>
      </c>
      <c r="S49" s="583">
        <v>320100</v>
      </c>
      <c r="T49" s="377" t="str">
        <f>+IFERROR(VLOOKUP(S49,STAT1!$C$4:$D$189,2,FALSE),"")</f>
        <v>Урьдчилж орсон орлого MNT</v>
      </c>
      <c r="U49" s="424">
        <v>1548107</v>
      </c>
      <c r="V49" s="424"/>
      <c r="W49" s="823">
        <v>3117</v>
      </c>
      <c r="X49" s="436" t="str">
        <f>IFERROR(VLOOKUP(W49,DATA!$G$4:$H$400,2,FALSE),"")</f>
        <v>БРИЛЛИАНТ ХАВТАН ХХК</v>
      </c>
      <c r="Y49" s="328"/>
      <c r="Z49" s="328"/>
      <c r="AA49" s="328"/>
    </row>
    <row r="50" spans="1:27" ht="12.75" customHeight="1">
      <c r="A50" s="425"/>
      <c r="B50" s="368">
        <f t="shared" si="20"/>
        <v>45</v>
      </c>
      <c r="C50" s="425">
        <v>43158</v>
      </c>
      <c r="D50" s="830">
        <v>410003</v>
      </c>
      <c r="E50" s="876" t="str">
        <f t="shared" ca="1" si="21"/>
        <v xml:space="preserve">Прожуктор </v>
      </c>
      <c r="F50" s="426" t="str">
        <f t="shared" ca="1" si="22"/>
        <v xml:space="preserve">ш </v>
      </c>
      <c r="G50" s="415">
        <v>1</v>
      </c>
      <c r="H50" s="415">
        <v>103636.36</v>
      </c>
      <c r="I50" s="415">
        <f t="shared" si="23"/>
        <v>103636.36</v>
      </c>
      <c r="J50" s="415">
        <f>+IF(G50="","",I50*0.1)</f>
        <v>10363.636</v>
      </c>
      <c r="K50" s="415">
        <f t="shared" si="24"/>
        <v>113999.996</v>
      </c>
      <c r="L50" s="415"/>
      <c r="M50" s="415"/>
      <c r="N50" s="422" t="str">
        <f t="shared" si="25"/>
        <v/>
      </c>
      <c r="O50" s="422" t="str">
        <f t="shared" si="26"/>
        <v/>
      </c>
      <c r="P50" s="422" t="str">
        <f t="shared" si="27"/>
        <v/>
      </c>
      <c r="Q50" s="422" t="str">
        <f t="shared" si="28"/>
        <v/>
      </c>
      <c r="R50" s="422" t="str">
        <f t="shared" si="29"/>
        <v/>
      </c>
      <c r="S50" s="583">
        <f>+IF(LEFT(D50,3)="131",140100,0)+IF(LEFT(D50,3)="310",150100,0)+IF(LEFT(D50,3)="211",150101,0)+IF(LEFT(D50,3)="410",160100,0)+IF(LEFT(D50,3)="440",160200,0)+IF(LEFT(D50,3)="430",160200,0)+IF(LEFT(D50,3)="420",160200,0)+IF(LEFT(D50,3)="460",160201,0)+IF(LEFT(D50,3)="210",150101,0)+IF(LEFT(D50,3)="510",140100,0)</f>
        <v>160100</v>
      </c>
      <c r="T50" s="377" t="str">
        <f>+IFERROR(VLOOKUP(S50,STAT1!$C$4:$D$189,2,FALSE),"")</f>
        <v xml:space="preserve">Барилгын материал </v>
      </c>
      <c r="U50" s="415">
        <v>103636.36</v>
      </c>
      <c r="V50" s="415"/>
      <c r="W50" s="823">
        <v>1008</v>
      </c>
      <c r="X50" s="436" t="str">
        <f>IFERROR(VLOOKUP(W50,DATA!$G$4:$H$400,2,FALSE),"")</f>
        <v xml:space="preserve">Оюунтүлхүүр </v>
      </c>
      <c r="Y50" s="328"/>
      <c r="Z50" s="328"/>
      <c r="AA50" s="328"/>
    </row>
    <row r="51" spans="1:27" ht="12.75" customHeight="1">
      <c r="A51" s="425"/>
      <c r="B51" s="368">
        <f t="shared" si="20"/>
        <v>46</v>
      </c>
      <c r="C51" s="425">
        <v>43158</v>
      </c>
      <c r="D51" s="830"/>
      <c r="E51" s="876" t="str">
        <f t="shared" ca="1" si="21"/>
        <v/>
      </c>
      <c r="F51" s="426" t="str">
        <f t="shared" ca="1" si="22"/>
        <v/>
      </c>
      <c r="G51" s="415"/>
      <c r="H51" s="415"/>
      <c r="I51" s="415" t="str">
        <f t="shared" si="23"/>
        <v/>
      </c>
      <c r="J51" s="415" t="str">
        <f>+IF(G51="","",I51*0.1)</f>
        <v/>
      </c>
      <c r="K51" s="415" t="str">
        <f t="shared" si="24"/>
        <v/>
      </c>
      <c r="L51" s="415"/>
      <c r="M51" s="415"/>
      <c r="N51" s="422" t="str">
        <f t="shared" si="25"/>
        <v/>
      </c>
      <c r="O51" s="422" t="str">
        <f t="shared" si="26"/>
        <v/>
      </c>
      <c r="P51" s="422" t="str">
        <f t="shared" si="27"/>
        <v/>
      </c>
      <c r="Q51" s="422" t="str">
        <f t="shared" si="28"/>
        <v/>
      </c>
      <c r="R51" s="422" t="str">
        <f t="shared" si="29"/>
        <v/>
      </c>
      <c r="S51" s="583">
        <v>120600</v>
      </c>
      <c r="T51" s="377" t="str">
        <f>+IFERROR(VLOOKUP(S51,STAT1!$C$4:$D$189,2,FALSE),"")</f>
        <v>НӨАТ авлага</v>
      </c>
      <c r="U51" s="424">
        <v>10363.64</v>
      </c>
      <c r="V51" s="424"/>
      <c r="W51" s="822">
        <v>1008</v>
      </c>
      <c r="X51" s="436" t="str">
        <f>IFERROR(VLOOKUP(W51,DATA!$G$4:$H$400,2,FALSE),"")</f>
        <v xml:space="preserve">Оюунтүлхүүр </v>
      </c>
      <c r="Y51" s="328"/>
      <c r="Z51" s="328"/>
      <c r="AA51" s="328"/>
    </row>
    <row r="52" spans="1:27" ht="12.75" customHeight="1">
      <c r="A52" s="425"/>
      <c r="B52" s="368">
        <f t="shared" si="20"/>
        <v>47</v>
      </c>
      <c r="C52" s="425">
        <v>43158</v>
      </c>
      <c r="D52" s="830"/>
      <c r="E52" s="876" t="str">
        <f t="shared" ca="1" si="21"/>
        <v/>
      </c>
      <c r="F52" s="426" t="str">
        <f t="shared" ca="1" si="22"/>
        <v/>
      </c>
      <c r="G52" s="415"/>
      <c r="H52" s="415"/>
      <c r="I52" s="415" t="str">
        <f t="shared" si="23"/>
        <v/>
      </c>
      <c r="J52" s="415" t="str">
        <f>+IF(G52="","",I52*0.1)</f>
        <v/>
      </c>
      <c r="K52" s="415" t="str">
        <f t="shared" si="24"/>
        <v/>
      </c>
      <c r="L52" s="415"/>
      <c r="M52" s="415"/>
      <c r="N52" s="422" t="str">
        <f t="shared" si="25"/>
        <v/>
      </c>
      <c r="O52" s="422" t="str">
        <f t="shared" si="26"/>
        <v/>
      </c>
      <c r="P52" s="422" t="str">
        <f t="shared" si="27"/>
        <v/>
      </c>
      <c r="Q52" s="422" t="str">
        <f t="shared" si="28"/>
        <v/>
      </c>
      <c r="R52" s="422" t="str">
        <f t="shared" si="29"/>
        <v/>
      </c>
      <c r="S52" s="583">
        <v>120100</v>
      </c>
      <c r="T52" s="377" t="str">
        <f>+IFERROR(VLOOKUP(S52,STAT1!$C$4:$D$189,2,FALSE),"")</f>
        <v xml:space="preserve">Дансны авлага MNT </v>
      </c>
      <c r="U52" s="424"/>
      <c r="V52" s="424">
        <v>114000</v>
      </c>
      <c r="W52" s="822">
        <v>1008</v>
      </c>
      <c r="X52" s="436" t="str">
        <f>IFERROR(VLOOKUP(W52,DATA!$G$4:$H$400,2,FALSE),"")</f>
        <v xml:space="preserve">Оюунтүлхүүр </v>
      </c>
      <c r="Y52" s="328"/>
      <c r="Z52" s="328"/>
      <c r="AA52" s="328"/>
    </row>
    <row r="53" spans="1:27" ht="12.75" customHeight="1">
      <c r="A53" s="425"/>
      <c r="B53" s="368">
        <f t="shared" si="20"/>
        <v>48</v>
      </c>
      <c r="C53" s="425">
        <v>43159</v>
      </c>
      <c r="D53" s="830">
        <v>210003</v>
      </c>
      <c r="E53" s="876" t="str">
        <f t="shared" ca="1" si="21"/>
        <v>Н-Наамал дүнз</v>
      </c>
      <c r="F53" s="426" t="str">
        <f t="shared" ca="1" si="22"/>
        <v>м2</v>
      </c>
      <c r="G53" s="415"/>
      <c r="H53" s="415"/>
      <c r="I53" s="415" t="str">
        <f t="shared" si="23"/>
        <v/>
      </c>
      <c r="J53" s="415"/>
      <c r="K53" s="415" t="str">
        <f t="shared" si="24"/>
        <v/>
      </c>
      <c r="L53" s="415">
        <v>29.388000000000002</v>
      </c>
      <c r="M53" s="415">
        <v>345464.13500000001</v>
      </c>
      <c r="N53" s="422">
        <f t="shared" si="25"/>
        <v>10152499.99938</v>
      </c>
      <c r="O53" s="422">
        <f t="shared" si="26"/>
        <v>1015249.999938</v>
      </c>
      <c r="P53" s="422">
        <f t="shared" si="27"/>
        <v>11167749.999318</v>
      </c>
      <c r="Q53" s="422">
        <f t="shared" ca="1" si="28"/>
        <v>191122.21421654438</v>
      </c>
      <c r="R53" s="422">
        <f t="shared" ca="1" si="29"/>
        <v>5616699.6313958066</v>
      </c>
      <c r="S53" s="583">
        <f>+IF(LEFT(D53,3)="131",140100,0)+IF(LEFT(D53,3)="310",150100,0)+IF(LEFT(D53,3)="211",150101,0)+IF(LEFT(D53,3)="410",160100,0)+IF(LEFT(D53,3)="440",160200,0)+IF(LEFT(D53,3)="430",160200,0)+IF(LEFT(D53,3)="420",160200,0)+IF(LEFT(D53,3)="460",160201,0)+IF(LEFT(D53,3)="210",150101,0)+IF(LEFT(D53,3)="510",140100,0)</f>
        <v>150101</v>
      </c>
      <c r="T53" s="377" t="str">
        <f>+IFERROR(VLOOKUP(S53,STAT1!$C$4:$D$189,2,FALSE),"")</f>
        <v>Бараа бэлэн бүтээгдэхүүн БОЛОВСРУУЛАХ ЦЕХ /нарс/</v>
      </c>
      <c r="U53" s="415"/>
      <c r="V53" s="415">
        <v>5616699.6313958066</v>
      </c>
      <c r="W53" s="822">
        <v>3118</v>
      </c>
      <c r="X53" s="436" t="str">
        <f>IFERROR(VLOOKUP(W53,DATA!$G$4:$H$400,2,FALSE),"")</f>
        <v>САММИТ ТЕХ КОМ ХХК</v>
      </c>
      <c r="Y53" s="328"/>
      <c r="Z53" s="328"/>
      <c r="AA53" s="328"/>
    </row>
    <row r="54" spans="1:27" ht="12.75" customHeight="1">
      <c r="A54" s="425"/>
      <c r="B54" s="368">
        <f t="shared" si="20"/>
        <v>49</v>
      </c>
      <c r="C54" s="425">
        <v>43159</v>
      </c>
      <c r="D54" s="830"/>
      <c r="E54" s="876" t="str">
        <f t="shared" ca="1" si="21"/>
        <v/>
      </c>
      <c r="F54" s="426" t="str">
        <f t="shared" ca="1" si="22"/>
        <v/>
      </c>
      <c r="G54" s="415"/>
      <c r="H54" s="415"/>
      <c r="I54" s="415" t="str">
        <f t="shared" si="23"/>
        <v/>
      </c>
      <c r="J54" s="415"/>
      <c r="K54" s="415" t="str">
        <f t="shared" si="24"/>
        <v/>
      </c>
      <c r="L54" s="415"/>
      <c r="M54" s="415"/>
      <c r="N54" s="422" t="str">
        <f t="shared" si="25"/>
        <v/>
      </c>
      <c r="O54" s="422" t="str">
        <f t="shared" si="26"/>
        <v/>
      </c>
      <c r="P54" s="422" t="str">
        <f t="shared" si="27"/>
        <v/>
      </c>
      <c r="Q54" s="422" t="str">
        <f t="shared" si="28"/>
        <v/>
      </c>
      <c r="R54" s="422" t="str">
        <f t="shared" si="29"/>
        <v/>
      </c>
      <c r="S54" s="583">
        <v>610100</v>
      </c>
      <c r="T54" s="377" t="str">
        <f>+IFERROR(VLOOKUP(S54,STAT1!$C$4:$D$189,2,FALSE),"")</f>
        <v>Борлуулсан барааны өртөг</v>
      </c>
      <c r="U54" s="424">
        <v>5616699.6313958066</v>
      </c>
      <c r="V54" s="424"/>
      <c r="W54" s="822">
        <v>3118</v>
      </c>
      <c r="X54" s="436" t="str">
        <f>IFERROR(VLOOKUP(W54,DATA!$G$4:$H$400,2,FALSE),"")</f>
        <v>САММИТ ТЕХ КОМ ХХК</v>
      </c>
      <c r="Y54" s="328"/>
      <c r="Z54" s="328"/>
      <c r="AA54" s="328"/>
    </row>
    <row r="55" spans="1:27" ht="12.75" customHeight="1">
      <c r="A55" s="425"/>
      <c r="B55" s="368">
        <f t="shared" si="20"/>
        <v>50</v>
      </c>
      <c r="C55" s="425">
        <v>43159</v>
      </c>
      <c r="D55" s="830"/>
      <c r="E55" s="876" t="str">
        <f t="shared" ca="1" si="21"/>
        <v/>
      </c>
      <c r="F55" s="426" t="str">
        <f t="shared" ca="1" si="22"/>
        <v/>
      </c>
      <c r="G55" s="415"/>
      <c r="H55" s="415"/>
      <c r="I55" s="415" t="str">
        <f t="shared" si="23"/>
        <v/>
      </c>
      <c r="J55" s="415"/>
      <c r="K55" s="415" t="str">
        <f t="shared" si="24"/>
        <v/>
      </c>
      <c r="L55" s="415"/>
      <c r="M55" s="415"/>
      <c r="N55" s="422" t="str">
        <f t="shared" si="25"/>
        <v/>
      </c>
      <c r="O55" s="422" t="str">
        <f t="shared" si="26"/>
        <v/>
      </c>
      <c r="P55" s="422" t="str">
        <f t="shared" si="27"/>
        <v/>
      </c>
      <c r="Q55" s="422" t="str">
        <f t="shared" si="28"/>
        <v/>
      </c>
      <c r="R55" s="422" t="str">
        <f t="shared" si="29"/>
        <v/>
      </c>
      <c r="S55" s="583">
        <v>310500</v>
      </c>
      <c r="T55" s="377" t="str">
        <f>+IFERROR(VLOOKUP(S55,STAT1!$C$4:$D$189,2,FALSE),"")</f>
        <v>НӨАТ өглөг</v>
      </c>
      <c r="U55" s="424"/>
      <c r="V55" s="424">
        <v>1015250</v>
      </c>
      <c r="W55" s="822">
        <v>3118</v>
      </c>
      <c r="X55" s="436" t="str">
        <f>IFERROR(VLOOKUP(W55,DATA!$G$4:$H$400,2,FALSE),"")</f>
        <v>САММИТ ТЕХ КОМ ХХК</v>
      </c>
      <c r="Y55" s="328"/>
      <c r="Z55" s="328"/>
      <c r="AA55" s="328"/>
    </row>
    <row r="56" spans="1:27" ht="12.75" customHeight="1">
      <c r="A56" s="425"/>
      <c r="B56" s="368">
        <f t="shared" si="20"/>
        <v>51</v>
      </c>
      <c r="C56" s="425">
        <v>43159</v>
      </c>
      <c r="D56" s="830"/>
      <c r="E56" s="876" t="str">
        <f t="shared" ca="1" si="21"/>
        <v/>
      </c>
      <c r="F56" s="426" t="str">
        <f t="shared" ca="1" si="22"/>
        <v/>
      </c>
      <c r="G56" s="415"/>
      <c r="H56" s="415"/>
      <c r="I56" s="415" t="str">
        <f t="shared" si="23"/>
        <v/>
      </c>
      <c r="J56" s="415"/>
      <c r="K56" s="415" t="str">
        <f t="shared" si="24"/>
        <v/>
      </c>
      <c r="L56" s="415"/>
      <c r="M56" s="415"/>
      <c r="N56" s="422" t="str">
        <f t="shared" si="25"/>
        <v/>
      </c>
      <c r="O56" s="422" t="str">
        <f t="shared" si="26"/>
        <v/>
      </c>
      <c r="P56" s="422" t="str">
        <f t="shared" si="27"/>
        <v/>
      </c>
      <c r="Q56" s="422" t="str">
        <f t="shared" si="28"/>
        <v/>
      </c>
      <c r="R56" s="422" t="str">
        <f t="shared" si="29"/>
        <v/>
      </c>
      <c r="S56" s="583">
        <v>510000</v>
      </c>
      <c r="T56" s="377" t="str">
        <f>+IFERROR(VLOOKUP(S56,STAT1!$C$4:$D$189,2,FALSE),"")</f>
        <v>Үндсэн үйл ажиллагааны борлуулалт</v>
      </c>
      <c r="U56" s="424"/>
      <c r="V56" s="424">
        <v>10152500</v>
      </c>
      <c r="W56" s="822">
        <v>3118</v>
      </c>
      <c r="X56" s="436" t="str">
        <f>IFERROR(VLOOKUP(W56,DATA!$G$4:$H$400,2,FALSE),"")</f>
        <v>САММИТ ТЕХ КОМ ХХК</v>
      </c>
      <c r="Y56" s="328"/>
      <c r="Z56" s="328"/>
      <c r="AA56" s="328"/>
    </row>
    <row r="57" spans="1:27" ht="12.75" customHeight="1">
      <c r="A57" s="425"/>
      <c r="B57" s="368">
        <f t="shared" si="20"/>
        <v>52</v>
      </c>
      <c r="C57" s="425">
        <v>43159</v>
      </c>
      <c r="D57" s="830"/>
      <c r="E57" s="876" t="str">
        <f t="shared" ca="1" si="21"/>
        <v/>
      </c>
      <c r="F57" s="426" t="str">
        <f t="shared" ca="1" si="22"/>
        <v/>
      </c>
      <c r="G57" s="415"/>
      <c r="H57" s="415"/>
      <c r="I57" s="415" t="str">
        <f t="shared" si="23"/>
        <v/>
      </c>
      <c r="J57" s="415"/>
      <c r="K57" s="415" t="str">
        <f t="shared" si="24"/>
        <v/>
      </c>
      <c r="L57" s="415"/>
      <c r="M57" s="415"/>
      <c r="N57" s="422" t="str">
        <f t="shared" si="25"/>
        <v/>
      </c>
      <c r="O57" s="422" t="str">
        <f t="shared" si="26"/>
        <v/>
      </c>
      <c r="P57" s="422" t="str">
        <f t="shared" si="27"/>
        <v/>
      </c>
      <c r="Q57" s="422" t="str">
        <f t="shared" si="28"/>
        <v/>
      </c>
      <c r="R57" s="422" t="str">
        <f t="shared" si="29"/>
        <v/>
      </c>
      <c r="S57" s="583">
        <v>320100</v>
      </c>
      <c r="T57" s="377" t="str">
        <f>+IFERROR(VLOOKUP(S57,STAT1!$C$4:$D$189,2,FALSE),"")</f>
        <v>Урьдчилж орсон орлого MNT</v>
      </c>
      <c r="U57" s="424">
        <v>11167750</v>
      </c>
      <c r="V57" s="424"/>
      <c r="W57" s="822">
        <v>3118</v>
      </c>
      <c r="X57" s="436" t="str">
        <f>IFERROR(VLOOKUP(W57,DATA!$G$4:$H$400,2,FALSE),"")</f>
        <v>САММИТ ТЕХ КОМ ХХК</v>
      </c>
      <c r="Y57" s="328"/>
      <c r="Z57" s="328"/>
      <c r="AA57" s="328"/>
    </row>
    <row r="58" spans="1:27" ht="12.75" customHeight="1">
      <c r="A58" s="425"/>
      <c r="B58" s="368">
        <f t="shared" si="20"/>
        <v>53</v>
      </c>
      <c r="C58" s="425">
        <v>43178</v>
      </c>
      <c r="D58" s="830">
        <v>210003</v>
      </c>
      <c r="E58" s="876" t="str">
        <f t="shared" ca="1" si="21"/>
        <v>Н-Наамал дүнз</v>
      </c>
      <c r="F58" s="426" t="str">
        <f t="shared" ca="1" si="22"/>
        <v>м2</v>
      </c>
      <c r="G58" s="415"/>
      <c r="H58" s="415"/>
      <c r="I58" s="415" t="str">
        <f t="shared" si="23"/>
        <v/>
      </c>
      <c r="J58" s="415"/>
      <c r="K58" s="415" t="str">
        <f t="shared" si="24"/>
        <v/>
      </c>
      <c r="L58" s="415">
        <v>33.71</v>
      </c>
      <c r="M58" s="415">
        <v>345466.68099999998</v>
      </c>
      <c r="N58" s="422">
        <f t="shared" si="25"/>
        <v>11645681.816509999</v>
      </c>
      <c r="O58" s="422">
        <f t="shared" si="26"/>
        <v>1164568.1816509999</v>
      </c>
      <c r="P58" s="422">
        <f t="shared" si="27"/>
        <v>12810249.998160999</v>
      </c>
      <c r="Q58" s="422">
        <f t="shared" ca="1" si="28"/>
        <v>191122.21421654438</v>
      </c>
      <c r="R58" s="422">
        <f t="shared" ca="1" si="29"/>
        <v>6442729.8412397113</v>
      </c>
      <c r="S58" s="583">
        <f>+IF(LEFT(D58,3)="131",140100,0)+IF(LEFT(D58,3)="310",150100,0)+IF(LEFT(D58,3)="211",150101,0)+IF(LEFT(D58,3)="410",160100,0)+IF(LEFT(D58,3)="440",160200,0)+IF(LEFT(D58,3)="430",160200,0)+IF(LEFT(D58,3)="420",160200,0)+IF(LEFT(D58,3)="460",160201,0)+IF(LEFT(D58,3)="210",150101,0)+IF(LEFT(D58,3)="510",140100,0)</f>
        <v>150101</v>
      </c>
      <c r="T58" s="377" t="str">
        <f>+IFERROR(VLOOKUP(S58,STAT1!$C$4:$D$189,2,FALSE),"")</f>
        <v>Бараа бэлэн бүтээгдэхүүн БОЛОВСРУУЛАХ ЦЕХ /нарс/</v>
      </c>
      <c r="U58" s="415"/>
      <c r="V58" s="415">
        <v>6442729.8412397113</v>
      </c>
      <c r="W58" s="822">
        <v>3118</v>
      </c>
      <c r="X58" s="436" t="str">
        <f>IFERROR(VLOOKUP(W58,DATA!$G$4:$H$400,2,FALSE),"")</f>
        <v>САММИТ ТЕХ КОМ ХХК</v>
      </c>
      <c r="Y58" s="328"/>
      <c r="Z58" s="328"/>
      <c r="AA58" s="328"/>
    </row>
    <row r="59" spans="1:27" ht="12.75" customHeight="1">
      <c r="A59" s="425"/>
      <c r="B59" s="368">
        <f t="shared" si="20"/>
        <v>54</v>
      </c>
      <c r="C59" s="425">
        <v>43178</v>
      </c>
      <c r="D59" s="830"/>
      <c r="E59" s="876" t="str">
        <f t="shared" ca="1" si="21"/>
        <v/>
      </c>
      <c r="F59" s="426" t="str">
        <f t="shared" ca="1" si="22"/>
        <v/>
      </c>
      <c r="G59" s="415"/>
      <c r="H59" s="415"/>
      <c r="I59" s="415" t="str">
        <f t="shared" si="23"/>
        <v/>
      </c>
      <c r="J59" s="415"/>
      <c r="K59" s="415" t="str">
        <f t="shared" si="24"/>
        <v/>
      </c>
      <c r="L59" s="415"/>
      <c r="M59" s="415"/>
      <c r="N59" s="422" t="str">
        <f t="shared" si="25"/>
        <v/>
      </c>
      <c r="O59" s="422" t="str">
        <f t="shared" si="26"/>
        <v/>
      </c>
      <c r="P59" s="422" t="str">
        <f t="shared" si="27"/>
        <v/>
      </c>
      <c r="Q59" s="422" t="str">
        <f t="shared" si="28"/>
        <v/>
      </c>
      <c r="R59" s="422" t="str">
        <f t="shared" si="29"/>
        <v/>
      </c>
      <c r="S59" s="583">
        <v>610100</v>
      </c>
      <c r="T59" s="377" t="str">
        <f>+IFERROR(VLOOKUP(S59,STAT1!$C$4:$D$189,2,FALSE),"")</f>
        <v>Борлуулсан барааны өртөг</v>
      </c>
      <c r="U59" s="424">
        <v>6442729.8412397113</v>
      </c>
      <c r="V59" s="424"/>
      <c r="W59" s="822">
        <v>3118</v>
      </c>
      <c r="X59" s="436" t="str">
        <f>IFERROR(VLOOKUP(W59,DATA!$G$4:$H$400,2,FALSE),"")</f>
        <v>САММИТ ТЕХ КОМ ХХК</v>
      </c>
      <c r="Y59" s="328"/>
      <c r="Z59" s="328"/>
      <c r="AA59" s="328"/>
    </row>
    <row r="60" spans="1:27" ht="12.75" customHeight="1">
      <c r="A60" s="425"/>
      <c r="B60" s="368">
        <f t="shared" si="20"/>
        <v>55</v>
      </c>
      <c r="C60" s="425">
        <v>43178</v>
      </c>
      <c r="D60" s="830"/>
      <c r="E60" s="876" t="str">
        <f t="shared" ca="1" si="21"/>
        <v/>
      </c>
      <c r="F60" s="426" t="str">
        <f t="shared" ca="1" si="22"/>
        <v/>
      </c>
      <c r="G60" s="415"/>
      <c r="H60" s="415"/>
      <c r="I60" s="415" t="str">
        <f t="shared" si="23"/>
        <v/>
      </c>
      <c r="J60" s="415"/>
      <c r="K60" s="415" t="str">
        <f t="shared" si="24"/>
        <v/>
      </c>
      <c r="L60" s="415"/>
      <c r="M60" s="415"/>
      <c r="N60" s="422" t="str">
        <f t="shared" si="25"/>
        <v/>
      </c>
      <c r="O60" s="422" t="str">
        <f t="shared" si="26"/>
        <v/>
      </c>
      <c r="P60" s="422" t="str">
        <f t="shared" si="27"/>
        <v/>
      </c>
      <c r="Q60" s="422" t="str">
        <f t="shared" si="28"/>
        <v/>
      </c>
      <c r="R60" s="422" t="str">
        <f t="shared" si="29"/>
        <v/>
      </c>
      <c r="S60" s="583">
        <v>310500</v>
      </c>
      <c r="T60" s="377" t="str">
        <f>+IFERROR(VLOOKUP(S60,STAT1!$C$4:$D$189,2,FALSE),"")</f>
        <v>НӨАТ өглөг</v>
      </c>
      <c r="U60" s="424"/>
      <c r="V60" s="424">
        <v>1164568.1816509999</v>
      </c>
      <c r="W60" s="822">
        <v>3118</v>
      </c>
      <c r="X60" s="436" t="str">
        <f>IFERROR(VLOOKUP(W60,DATA!$G$4:$H$400,2,FALSE),"")</f>
        <v>САММИТ ТЕХ КОМ ХХК</v>
      </c>
      <c r="Y60" s="328"/>
      <c r="Z60" s="328"/>
      <c r="AA60" s="328"/>
    </row>
    <row r="61" spans="1:27" ht="12.75" customHeight="1">
      <c r="A61" s="425"/>
      <c r="B61" s="368">
        <f t="shared" si="20"/>
        <v>56</v>
      </c>
      <c r="C61" s="425">
        <v>43178</v>
      </c>
      <c r="D61" s="830"/>
      <c r="E61" s="876" t="str">
        <f t="shared" ca="1" si="21"/>
        <v/>
      </c>
      <c r="F61" s="426" t="str">
        <f t="shared" ca="1" si="22"/>
        <v/>
      </c>
      <c r="G61" s="415"/>
      <c r="H61" s="415"/>
      <c r="I61" s="415" t="str">
        <f t="shared" si="23"/>
        <v/>
      </c>
      <c r="J61" s="415"/>
      <c r="K61" s="415" t="str">
        <f t="shared" si="24"/>
        <v/>
      </c>
      <c r="L61" s="415"/>
      <c r="M61" s="415"/>
      <c r="N61" s="422" t="str">
        <f t="shared" si="25"/>
        <v/>
      </c>
      <c r="O61" s="422" t="str">
        <f t="shared" si="26"/>
        <v/>
      </c>
      <c r="P61" s="422" t="str">
        <f t="shared" si="27"/>
        <v/>
      </c>
      <c r="Q61" s="422" t="str">
        <f t="shared" si="28"/>
        <v/>
      </c>
      <c r="R61" s="422" t="str">
        <f t="shared" si="29"/>
        <v/>
      </c>
      <c r="S61" s="583">
        <v>510000</v>
      </c>
      <c r="T61" s="377" t="str">
        <f>+IFERROR(VLOOKUP(S61,STAT1!$C$4:$D$189,2,FALSE),"")</f>
        <v>Үндсэн үйл ажиллагааны борлуулалт</v>
      </c>
      <c r="U61" s="424"/>
      <c r="V61" s="424">
        <v>11645681.816509999</v>
      </c>
      <c r="W61" s="822">
        <v>3118</v>
      </c>
      <c r="X61" s="436" t="str">
        <f>IFERROR(VLOOKUP(W61,DATA!$G$4:$H$400,2,FALSE),"")</f>
        <v>САММИТ ТЕХ КОМ ХХК</v>
      </c>
      <c r="Y61" s="328"/>
      <c r="Z61" s="328"/>
      <c r="AA61" s="328"/>
    </row>
    <row r="62" spans="1:27" ht="12.75" customHeight="1">
      <c r="A62" s="425"/>
      <c r="B62" s="368">
        <f t="shared" si="20"/>
        <v>57</v>
      </c>
      <c r="C62" s="425">
        <v>43178</v>
      </c>
      <c r="D62" s="830"/>
      <c r="E62" s="876" t="str">
        <f t="shared" ca="1" si="21"/>
        <v/>
      </c>
      <c r="F62" s="426" t="str">
        <f t="shared" ca="1" si="22"/>
        <v/>
      </c>
      <c r="G62" s="415"/>
      <c r="H62" s="415"/>
      <c r="I62" s="415" t="str">
        <f t="shared" si="23"/>
        <v/>
      </c>
      <c r="J62" s="415"/>
      <c r="K62" s="415" t="str">
        <f t="shared" si="24"/>
        <v/>
      </c>
      <c r="L62" s="415"/>
      <c r="M62" s="415"/>
      <c r="N62" s="422" t="str">
        <f t="shared" si="25"/>
        <v/>
      </c>
      <c r="O62" s="422" t="str">
        <f t="shared" si="26"/>
        <v/>
      </c>
      <c r="P62" s="422" t="str">
        <f t="shared" si="27"/>
        <v/>
      </c>
      <c r="Q62" s="422" t="str">
        <f t="shared" si="28"/>
        <v/>
      </c>
      <c r="R62" s="422" t="str">
        <f t="shared" si="29"/>
        <v/>
      </c>
      <c r="S62" s="583">
        <v>320100</v>
      </c>
      <c r="T62" s="377" t="str">
        <f>+IFERROR(VLOOKUP(S62,STAT1!$C$4:$D$189,2,FALSE),"")</f>
        <v>Урьдчилж орсон орлого MNT</v>
      </c>
      <c r="U62" s="424">
        <v>12810249.998160999</v>
      </c>
      <c r="V62" s="424"/>
      <c r="W62" s="822">
        <v>3118</v>
      </c>
      <c r="X62" s="436" t="str">
        <f>IFERROR(VLOOKUP(W62,DATA!$G$4:$H$400,2,FALSE),"")</f>
        <v>САММИТ ТЕХ КОМ ХХК</v>
      </c>
      <c r="Y62" s="328"/>
      <c r="Z62" s="328"/>
      <c r="AA62" s="328"/>
    </row>
    <row r="63" spans="1:27" ht="12.75" customHeight="1">
      <c r="A63" s="425"/>
      <c r="B63" s="368">
        <f t="shared" ref="B63:B72" si="30">+IF(C63="","",ROW()-5)</f>
        <v>58</v>
      </c>
      <c r="C63" s="425">
        <v>43133</v>
      </c>
      <c r="D63" s="830">
        <v>131018</v>
      </c>
      <c r="E63" s="876" t="str">
        <f t="shared" ref="E63:E72" ca="1" si="31">+IFERROR(VLOOKUP(D63,TN_table,2,FALSE),"")</f>
        <v xml:space="preserve">Нарсан банз /5см/ Буян Од </v>
      </c>
      <c r="F63" s="426" t="str">
        <f t="shared" ref="F63:F101" ca="1" si="32">+IFERROR(VLOOKUP(D63,TN_table,3,FALSE),"")</f>
        <v>м3</v>
      </c>
      <c r="G63" s="415"/>
      <c r="H63" s="415"/>
      <c r="I63" s="415" t="str">
        <f t="shared" ref="I63:I91" si="33">+IF(G63="","",G63*H63)</f>
        <v/>
      </c>
      <c r="J63" s="415" t="str">
        <f t="shared" ref="J63:J91" si="34">+IF(G63="","",I63*0.1)</f>
        <v/>
      </c>
      <c r="K63" s="415" t="str">
        <f t="shared" ref="K63:K91" si="35">+IF(G63="","",I63+J63)</f>
        <v/>
      </c>
      <c r="L63" s="415">
        <v>118</v>
      </c>
      <c r="M63" s="415"/>
      <c r="N63" s="422">
        <f t="shared" ref="N63:N91" si="36">+IF(L63="","",L63*M63)</f>
        <v>0</v>
      </c>
      <c r="O63" s="422">
        <f t="shared" ref="O63:O91" si="37">+IF(L63="","",N63*0.1)</f>
        <v>0</v>
      </c>
      <c r="P63" s="422">
        <f t="shared" ref="P63:P91" si="38">+IF(L63="","",N63+O63)</f>
        <v>0</v>
      </c>
      <c r="Q63" s="422">
        <f t="shared" ref="Q63:Q91" ca="1" si="39">IF(L63="","",IFERROR((SUMIFS(TN_balC1_totol,TN_code,D63)+SUMIFS(RC_or_totol,RC_Code,D63,RC_date,"&lt;="&amp;C63)-SUMIFS(RC_zar_totol,RC_Code,D63,RC_date,"&lt;"&amp;C63)) /( SUMIFS(TN_balC1_unit,TN_code,D63)+SUMIFS(RC_or_unit,RC_Code,D63,RC_date,"&lt;="&amp;C63)-SUMIFS(RC_zar_unit,RC_Code,D63,RC_date,"&lt;"&amp;C63)),0 ))</f>
        <v>302568.68046024244</v>
      </c>
      <c r="R63" s="422">
        <f t="shared" ref="R63:R91" ca="1" si="40">+IF(L63="","",L63*Q63)</f>
        <v>35703104.29430861</v>
      </c>
      <c r="S63" s="583">
        <f t="shared" ref="S63:S87" si="41">+IF(LEFT(D63,3)="131",140100,0)+IF(LEFT(D63,3)="310",150100,0)+IF(LEFT(D63,3)="211",150101,0)+IF(LEFT(D63,3)="410",160100,0)+IF(LEFT(D63,3)="440",160200,0)+IF(LEFT(D63,3)="430",160200,0)+IF(LEFT(D63,3)="420",160200,0)+IF(LEFT(D63,3)="460",160201,0)+IF(LEFT(D63,3)="210",150101,0)+IF(LEFT(D63,3)="510",140100,0)</f>
        <v>140100</v>
      </c>
      <c r="T63" s="377" t="str">
        <f>+IFERROR(VLOOKUP(S63,STAT1!$C$4:$D$189,2,FALSE),"")</f>
        <v>Түүхий эд материал</v>
      </c>
      <c r="U63" s="424"/>
      <c r="V63" s="424">
        <v>35703104.29430861</v>
      </c>
      <c r="W63" s="822">
        <v>1004</v>
      </c>
      <c r="X63" s="436" t="str">
        <f>IFERROR(VLOOKUP(W63,DATA!$G$4:$H$400,2,FALSE),"")</f>
        <v xml:space="preserve">Түмэндэлгэр </v>
      </c>
      <c r="Y63" s="328"/>
      <c r="Z63" s="328"/>
      <c r="AA63" s="328"/>
    </row>
    <row r="64" spans="1:27" ht="12.75" customHeight="1">
      <c r="A64" s="425"/>
      <c r="B64" s="368">
        <f t="shared" si="30"/>
        <v>59</v>
      </c>
      <c r="C64" s="425">
        <v>43133</v>
      </c>
      <c r="D64" s="830"/>
      <c r="E64" s="876" t="str">
        <f t="shared" ca="1" si="31"/>
        <v/>
      </c>
      <c r="F64" s="426" t="str">
        <f t="shared" ca="1" si="32"/>
        <v/>
      </c>
      <c r="G64" s="415"/>
      <c r="H64" s="415"/>
      <c r="I64" s="415" t="str">
        <f t="shared" si="33"/>
        <v/>
      </c>
      <c r="J64" s="415" t="str">
        <f t="shared" si="34"/>
        <v/>
      </c>
      <c r="K64" s="415" t="str">
        <f t="shared" si="35"/>
        <v/>
      </c>
      <c r="L64" s="415"/>
      <c r="M64" s="415"/>
      <c r="N64" s="422" t="str">
        <f t="shared" si="36"/>
        <v/>
      </c>
      <c r="O64" s="422" t="str">
        <f t="shared" si="37"/>
        <v/>
      </c>
      <c r="P64" s="422" t="str">
        <f t="shared" si="38"/>
        <v/>
      </c>
      <c r="Q64" s="422" t="str">
        <f t="shared" si="39"/>
        <v/>
      </c>
      <c r="R64" s="422" t="str">
        <f t="shared" si="40"/>
        <v/>
      </c>
      <c r="S64" s="583">
        <v>140200</v>
      </c>
      <c r="T64" s="377" t="str">
        <f>+IFERROR(VLOOKUP(S64,STAT1!$C$4:$D$189,2,FALSE),"")</f>
        <v>ШМЗардал ХАТААХ ЦЕХ /нарс/</v>
      </c>
      <c r="U64" s="415">
        <v>35703104.29430861</v>
      </c>
      <c r="V64" s="415"/>
      <c r="W64" s="823">
        <v>1004</v>
      </c>
      <c r="X64" s="436" t="str">
        <f>IFERROR(VLOOKUP(W64,DATA!$G$4:$H$400,2,FALSE),"")</f>
        <v xml:space="preserve">Түмэндэлгэр </v>
      </c>
      <c r="Y64" s="328"/>
      <c r="Z64" s="328"/>
      <c r="AA64" s="328"/>
    </row>
    <row r="65" spans="1:27" ht="12.75" customHeight="1">
      <c r="A65" s="425"/>
      <c r="B65" s="368">
        <f t="shared" si="30"/>
        <v>60</v>
      </c>
      <c r="C65" s="425">
        <v>43165</v>
      </c>
      <c r="D65" s="830">
        <v>131018</v>
      </c>
      <c r="E65" s="876" t="str">
        <f t="shared" ca="1" si="31"/>
        <v xml:space="preserve">Нарсан банз /5см/ Буян Од </v>
      </c>
      <c r="F65" s="426" t="str">
        <f t="shared" ca="1" si="32"/>
        <v>м3</v>
      </c>
      <c r="G65" s="415"/>
      <c r="H65" s="415"/>
      <c r="I65" s="415" t="str">
        <f t="shared" si="33"/>
        <v/>
      </c>
      <c r="J65" s="415" t="str">
        <f t="shared" si="34"/>
        <v/>
      </c>
      <c r="K65" s="415" t="str">
        <f t="shared" si="35"/>
        <v/>
      </c>
      <c r="L65" s="415">
        <v>114</v>
      </c>
      <c r="M65" s="415"/>
      <c r="N65" s="422">
        <f t="shared" si="36"/>
        <v>0</v>
      </c>
      <c r="O65" s="422">
        <f t="shared" si="37"/>
        <v>0</v>
      </c>
      <c r="P65" s="422">
        <f t="shared" si="38"/>
        <v>0</v>
      </c>
      <c r="Q65" s="422">
        <f t="shared" ca="1" si="39"/>
        <v>302568.68046024244</v>
      </c>
      <c r="R65" s="422">
        <f t="shared" ca="1" si="40"/>
        <v>34492829.57246764</v>
      </c>
      <c r="S65" s="583">
        <f t="shared" si="41"/>
        <v>140100</v>
      </c>
      <c r="T65" s="377" t="str">
        <f>+IFERROR(VLOOKUP(S65,STAT1!$C$4:$D$189,2,FALSE),"")</f>
        <v>Түүхий эд материал</v>
      </c>
      <c r="U65" s="424"/>
      <c r="V65" s="424">
        <v>34492829.57246764</v>
      </c>
      <c r="W65" s="823">
        <v>1004</v>
      </c>
      <c r="X65" s="436" t="str">
        <f>IFERROR(VLOOKUP(W65,DATA!$G$4:$H$400,2,FALSE),"")</f>
        <v xml:space="preserve">Түмэндэлгэр </v>
      </c>
      <c r="Y65" s="328"/>
      <c r="Z65" s="328"/>
      <c r="AA65" s="328"/>
    </row>
    <row r="66" spans="1:27" ht="12.75" customHeight="1">
      <c r="A66" s="425"/>
      <c r="B66" s="368">
        <f t="shared" si="30"/>
        <v>61</v>
      </c>
      <c r="C66" s="425">
        <v>43165</v>
      </c>
      <c r="D66" s="830"/>
      <c r="E66" s="876" t="str">
        <f t="shared" ca="1" si="31"/>
        <v/>
      </c>
      <c r="F66" s="426" t="str">
        <f t="shared" ca="1" si="32"/>
        <v/>
      </c>
      <c r="G66" s="415"/>
      <c r="H66" s="415"/>
      <c r="I66" s="415" t="str">
        <f t="shared" si="33"/>
        <v/>
      </c>
      <c r="J66" s="415" t="str">
        <f t="shared" si="34"/>
        <v/>
      </c>
      <c r="K66" s="415" t="str">
        <f t="shared" si="35"/>
        <v/>
      </c>
      <c r="L66" s="415"/>
      <c r="M66" s="415"/>
      <c r="N66" s="422" t="str">
        <f t="shared" si="36"/>
        <v/>
      </c>
      <c r="O66" s="422" t="str">
        <f t="shared" si="37"/>
        <v/>
      </c>
      <c r="P66" s="422" t="str">
        <f t="shared" si="38"/>
        <v/>
      </c>
      <c r="Q66" s="422" t="str">
        <f t="shared" si="39"/>
        <v/>
      </c>
      <c r="R66" s="422" t="str">
        <f t="shared" si="40"/>
        <v/>
      </c>
      <c r="S66" s="583">
        <v>140200</v>
      </c>
      <c r="T66" s="377" t="str">
        <f>+IFERROR(VLOOKUP(S66,STAT1!$C$4:$D$189,2,FALSE),"")</f>
        <v>ШМЗардал ХАТААХ ЦЕХ /нарс/</v>
      </c>
      <c r="U66" s="424">
        <v>34492829.57246764</v>
      </c>
      <c r="V66" s="424"/>
      <c r="W66" s="823">
        <v>1004</v>
      </c>
      <c r="X66" s="436" t="str">
        <f>IFERROR(VLOOKUP(W66,DATA!$G$4:$H$400,2,FALSE),"")</f>
        <v xml:space="preserve">Түмэндэлгэр </v>
      </c>
      <c r="Y66" s="328"/>
      <c r="Z66" s="328"/>
      <c r="AA66" s="328"/>
    </row>
    <row r="67" spans="1:27" ht="12.75" customHeight="1">
      <c r="A67" s="425"/>
      <c r="B67" s="368">
        <f t="shared" si="30"/>
        <v>62</v>
      </c>
      <c r="C67" s="425">
        <v>43154</v>
      </c>
      <c r="D67" s="830">
        <v>310001</v>
      </c>
      <c r="E67" s="876" t="str">
        <f t="shared" ca="1" si="31"/>
        <v xml:space="preserve">Хатаасан нарсан банз </v>
      </c>
      <c r="F67" s="426" t="str">
        <f t="shared" ca="1" si="32"/>
        <v>м3</v>
      </c>
      <c r="G67" s="415">
        <v>118</v>
      </c>
      <c r="H67" s="415">
        <f>44012889.89/118</f>
        <v>372990.59228813561</v>
      </c>
      <c r="I67" s="415">
        <f t="shared" si="33"/>
        <v>44012889.890000001</v>
      </c>
      <c r="J67" s="415"/>
      <c r="K67" s="415">
        <f t="shared" si="35"/>
        <v>44012889.890000001</v>
      </c>
      <c r="L67" s="415"/>
      <c r="M67" s="415"/>
      <c r="N67" s="422" t="str">
        <f t="shared" si="36"/>
        <v/>
      </c>
      <c r="O67" s="422" t="str">
        <f t="shared" si="37"/>
        <v/>
      </c>
      <c r="P67" s="422" t="str">
        <f t="shared" si="38"/>
        <v/>
      </c>
      <c r="Q67" s="422" t="str">
        <f t="shared" si="39"/>
        <v/>
      </c>
      <c r="R67" s="422" t="str">
        <f t="shared" si="40"/>
        <v/>
      </c>
      <c r="S67" s="583">
        <f t="shared" si="41"/>
        <v>150100</v>
      </c>
      <c r="T67" s="377" t="str">
        <f>+IFERROR(VLOOKUP(S67,STAT1!$C$4:$D$189,2,FALSE),"")</f>
        <v>Бараа бэлэн бүтээгдэхүүн ХАТААХ ЦЕХ /нарс/</v>
      </c>
      <c r="U67" s="424">
        <v>44012889.890000001</v>
      </c>
      <c r="V67" s="424"/>
      <c r="W67" s="823">
        <v>1004</v>
      </c>
      <c r="X67" s="436" t="str">
        <f>IFERROR(VLOOKUP(W67,DATA!$G$4:$H$400,2,FALSE),"")</f>
        <v xml:space="preserve">Түмэндэлгэр </v>
      </c>
      <c r="Y67" s="328"/>
      <c r="Z67" s="328"/>
      <c r="AA67" s="328"/>
    </row>
    <row r="68" spans="1:27" ht="12.75" customHeight="1">
      <c r="A68" s="425"/>
      <c r="B68" s="368">
        <f t="shared" si="30"/>
        <v>63</v>
      </c>
      <c r="C68" s="425">
        <v>43154</v>
      </c>
      <c r="D68" s="830"/>
      <c r="E68" s="876" t="str">
        <f t="shared" ca="1" si="31"/>
        <v/>
      </c>
      <c r="F68" s="426" t="str">
        <f t="shared" ca="1" si="32"/>
        <v/>
      </c>
      <c r="G68" s="415"/>
      <c r="H68" s="415"/>
      <c r="I68" s="415" t="str">
        <f t="shared" si="33"/>
        <v/>
      </c>
      <c r="J68" s="415"/>
      <c r="K68" s="415" t="str">
        <f t="shared" si="35"/>
        <v/>
      </c>
      <c r="L68" s="415"/>
      <c r="M68" s="415"/>
      <c r="N68" s="422" t="str">
        <f t="shared" si="36"/>
        <v/>
      </c>
      <c r="O68" s="422" t="str">
        <f t="shared" si="37"/>
        <v/>
      </c>
      <c r="P68" s="422" t="str">
        <f t="shared" si="38"/>
        <v/>
      </c>
      <c r="Q68" s="422" t="str">
        <f t="shared" si="39"/>
        <v/>
      </c>
      <c r="R68" s="422" t="str">
        <f t="shared" si="40"/>
        <v/>
      </c>
      <c r="S68" s="583">
        <v>140500</v>
      </c>
      <c r="T68" s="377" t="str">
        <f>+IFERROR(VLOOKUP(S68,STAT1!$C$4:$D$189,2,FALSE),"")</f>
        <v>Нэгтгэл зардал ХАТААХ ЦЕХ /нарс/</v>
      </c>
      <c r="U68" s="424"/>
      <c r="V68" s="424">
        <v>44012889.890000001</v>
      </c>
      <c r="W68" s="823">
        <v>1004</v>
      </c>
      <c r="X68" s="436" t="str">
        <f>IFERROR(VLOOKUP(W68,DATA!$G$4:$H$400,2,FALSE),"")</f>
        <v xml:space="preserve">Түмэндэлгэр </v>
      </c>
      <c r="Y68" s="328"/>
      <c r="Z68" s="328"/>
      <c r="AA68" s="328"/>
    </row>
    <row r="69" spans="1:27" ht="12.75" customHeight="1">
      <c r="A69" s="425"/>
      <c r="B69" s="368">
        <f t="shared" si="30"/>
        <v>64</v>
      </c>
      <c r="C69" s="425">
        <v>43179</v>
      </c>
      <c r="D69" s="830">
        <v>310001</v>
      </c>
      <c r="E69" s="876" t="str">
        <f t="shared" ca="1" si="31"/>
        <v xml:space="preserve">Хатаасан нарсан банз </v>
      </c>
      <c r="F69" s="426" t="str">
        <f t="shared" ca="1" si="32"/>
        <v>м3</v>
      </c>
      <c r="G69" s="415">
        <v>114</v>
      </c>
      <c r="H69" s="415">
        <v>356205.38620000001</v>
      </c>
      <c r="I69" s="415">
        <f t="shared" si="33"/>
        <v>40607414.026799999</v>
      </c>
      <c r="J69" s="415"/>
      <c r="K69" s="415">
        <f t="shared" si="35"/>
        <v>40607414.026799999</v>
      </c>
      <c r="L69" s="415"/>
      <c r="M69" s="415"/>
      <c r="N69" s="422" t="str">
        <f t="shared" si="36"/>
        <v/>
      </c>
      <c r="O69" s="422" t="str">
        <f t="shared" si="37"/>
        <v/>
      </c>
      <c r="P69" s="422" t="str">
        <f t="shared" si="38"/>
        <v/>
      </c>
      <c r="Q69" s="422" t="str">
        <f t="shared" si="39"/>
        <v/>
      </c>
      <c r="R69" s="422" t="str">
        <f t="shared" si="40"/>
        <v/>
      </c>
      <c r="S69" s="583">
        <f t="shared" si="41"/>
        <v>150100</v>
      </c>
      <c r="T69" s="377" t="str">
        <f>+IFERROR(VLOOKUP(S69,STAT1!$C$4:$D$189,2,FALSE),"")</f>
        <v>Бараа бэлэн бүтээгдэхүүн ХАТААХ ЦЕХ /нарс/</v>
      </c>
      <c r="U69" s="424">
        <v>40607414.026799999</v>
      </c>
      <c r="V69" s="424"/>
      <c r="W69" s="823">
        <v>1004</v>
      </c>
      <c r="X69" s="436" t="str">
        <f>IFERROR(VLOOKUP(W69,DATA!$G$4:$H$400,2,FALSE),"")</f>
        <v xml:space="preserve">Түмэндэлгэр </v>
      </c>
      <c r="Y69" s="328"/>
      <c r="Z69" s="328"/>
      <c r="AA69" s="328"/>
    </row>
    <row r="70" spans="1:27" ht="12.75" customHeight="1">
      <c r="A70" s="425"/>
      <c r="B70" s="368">
        <f t="shared" si="30"/>
        <v>65</v>
      </c>
      <c r="C70" s="425">
        <v>43179</v>
      </c>
      <c r="D70" s="830"/>
      <c r="E70" s="876" t="str">
        <f t="shared" ca="1" si="31"/>
        <v/>
      </c>
      <c r="F70" s="426" t="str">
        <f t="shared" ca="1" si="32"/>
        <v/>
      </c>
      <c r="G70" s="415"/>
      <c r="H70" s="415"/>
      <c r="I70" s="415" t="str">
        <f t="shared" si="33"/>
        <v/>
      </c>
      <c r="J70" s="415" t="str">
        <f t="shared" si="34"/>
        <v/>
      </c>
      <c r="K70" s="415" t="str">
        <f t="shared" si="35"/>
        <v/>
      </c>
      <c r="L70" s="415"/>
      <c r="M70" s="415"/>
      <c r="N70" s="422" t="str">
        <f t="shared" si="36"/>
        <v/>
      </c>
      <c r="O70" s="422" t="str">
        <f t="shared" si="37"/>
        <v/>
      </c>
      <c r="P70" s="422" t="str">
        <f t="shared" si="38"/>
        <v/>
      </c>
      <c r="Q70" s="422" t="str">
        <f t="shared" si="39"/>
        <v/>
      </c>
      <c r="R70" s="422" t="str">
        <f t="shared" si="40"/>
        <v/>
      </c>
      <c r="S70" s="583">
        <v>140500</v>
      </c>
      <c r="T70" s="377" t="str">
        <f>+IFERROR(VLOOKUP(S70,STAT1!$C$4:$D$189,2,FALSE),"")</f>
        <v>Нэгтгэл зардал ХАТААХ ЦЕХ /нарс/</v>
      </c>
      <c r="U70" s="424"/>
      <c r="V70" s="424">
        <v>40607414.026799999</v>
      </c>
      <c r="W70" s="823">
        <v>1004</v>
      </c>
      <c r="X70" s="436" t="str">
        <f>IFERROR(VLOOKUP(W70,DATA!$G$4:$H$400,2,FALSE),"")</f>
        <v xml:space="preserve">Түмэндэлгэр </v>
      </c>
      <c r="Y70" s="328"/>
      <c r="Z70" s="328"/>
      <c r="AA70" s="328"/>
    </row>
    <row r="71" spans="1:27" ht="12.75" customHeight="1">
      <c r="A71" s="425"/>
      <c r="B71" s="368">
        <f t="shared" si="30"/>
        <v>66</v>
      </c>
      <c r="C71" s="425">
        <v>43188</v>
      </c>
      <c r="D71" s="830">
        <v>430015</v>
      </c>
      <c r="E71" s="876" t="str">
        <f t="shared" ca="1" si="31"/>
        <v xml:space="preserve">Цахилгаан харуул </v>
      </c>
      <c r="F71" s="426" t="str">
        <f t="shared" ca="1" si="32"/>
        <v>ш</v>
      </c>
      <c r="G71" s="415">
        <v>1</v>
      </c>
      <c r="H71" s="415">
        <v>1700000</v>
      </c>
      <c r="I71" s="415">
        <f t="shared" si="33"/>
        <v>1700000</v>
      </c>
      <c r="J71" s="415">
        <f t="shared" si="34"/>
        <v>170000</v>
      </c>
      <c r="K71" s="415">
        <f t="shared" si="35"/>
        <v>1870000</v>
      </c>
      <c r="L71" s="415"/>
      <c r="M71" s="415"/>
      <c r="N71" s="422" t="str">
        <f t="shared" si="36"/>
        <v/>
      </c>
      <c r="O71" s="422" t="str">
        <f t="shared" si="37"/>
        <v/>
      </c>
      <c r="P71" s="422" t="str">
        <f t="shared" si="38"/>
        <v/>
      </c>
      <c r="Q71" s="422" t="str">
        <f t="shared" si="39"/>
        <v/>
      </c>
      <c r="R71" s="422" t="str">
        <f t="shared" si="40"/>
        <v/>
      </c>
      <c r="S71" s="583">
        <f t="shared" si="41"/>
        <v>160200</v>
      </c>
      <c r="T71" s="377" t="str">
        <f>+IFERROR(VLOOKUP(S71,STAT1!$C$4:$D$189,2,FALSE),"")</f>
        <v>Агуулахад байгаа материал, хангамж</v>
      </c>
      <c r="U71" s="424">
        <v>1700000</v>
      </c>
      <c r="V71" s="424"/>
      <c r="W71" s="823">
        <v>1004</v>
      </c>
      <c r="X71" s="436" t="str">
        <f>IFERROR(VLOOKUP(W71,DATA!$G$4:$H$400,2,FALSE),"")</f>
        <v xml:space="preserve">Түмэндэлгэр </v>
      </c>
      <c r="Y71" s="328"/>
      <c r="Z71" s="328"/>
      <c r="AA71" s="328"/>
    </row>
    <row r="72" spans="1:27" ht="12.75" customHeight="1">
      <c r="A72" s="425"/>
      <c r="B72" s="368">
        <f t="shared" si="30"/>
        <v>67</v>
      </c>
      <c r="C72" s="425">
        <v>43188</v>
      </c>
      <c r="D72" s="830">
        <v>430016</v>
      </c>
      <c r="E72" s="876" t="str">
        <f t="shared" ca="1" si="31"/>
        <v>Цахилгаан багаж №№№№№№</v>
      </c>
      <c r="F72" s="426" t="str">
        <f t="shared" ca="1" si="32"/>
        <v>ш</v>
      </c>
      <c r="G72" s="415">
        <v>1</v>
      </c>
      <c r="H72" s="415">
        <v>822000</v>
      </c>
      <c r="I72" s="415">
        <f t="shared" si="33"/>
        <v>822000</v>
      </c>
      <c r="J72" s="415">
        <f t="shared" si="34"/>
        <v>82200</v>
      </c>
      <c r="K72" s="415">
        <f t="shared" si="35"/>
        <v>904200</v>
      </c>
      <c r="L72" s="415"/>
      <c r="M72" s="415"/>
      <c r="N72" s="422" t="str">
        <f t="shared" si="36"/>
        <v/>
      </c>
      <c r="O72" s="422" t="str">
        <f t="shared" si="37"/>
        <v/>
      </c>
      <c r="P72" s="422" t="str">
        <f t="shared" si="38"/>
        <v/>
      </c>
      <c r="Q72" s="422" t="str">
        <f t="shared" si="39"/>
        <v/>
      </c>
      <c r="R72" s="422" t="str">
        <f t="shared" si="40"/>
        <v/>
      </c>
      <c r="S72" s="583">
        <f t="shared" si="41"/>
        <v>160200</v>
      </c>
      <c r="T72" s="377" t="str">
        <f>+IFERROR(VLOOKUP(S72,STAT1!$C$4:$D$189,2,FALSE),"")</f>
        <v>Агуулахад байгаа материал, хангамж</v>
      </c>
      <c r="U72" s="424">
        <v>822000</v>
      </c>
      <c r="V72" s="424"/>
      <c r="W72" s="823">
        <v>1004</v>
      </c>
      <c r="X72" s="436" t="str">
        <f>IFERROR(VLOOKUP(W72,DATA!$G$4:$H$400,2,FALSE),"")</f>
        <v xml:space="preserve">Түмэндэлгэр </v>
      </c>
      <c r="Y72" s="328"/>
      <c r="Z72" s="328"/>
      <c r="AA72" s="328"/>
    </row>
    <row r="73" spans="1:27" ht="12.75" customHeight="1">
      <c r="A73" s="425"/>
      <c r="B73" s="368">
        <f t="shared" ref="B73:B136" si="42">+IF(C73="","",ROW()-5)</f>
        <v>68</v>
      </c>
      <c r="C73" s="425">
        <v>43188</v>
      </c>
      <c r="D73" s="830"/>
      <c r="E73" s="876" t="str">
        <f t="shared" ref="E73:E136" ca="1" si="43">+IFERROR(VLOOKUP(D73,TN_table,2,FALSE),"")</f>
        <v/>
      </c>
      <c r="F73" s="426" t="str">
        <f t="shared" ca="1" si="32"/>
        <v/>
      </c>
      <c r="G73" s="415"/>
      <c r="H73" s="415"/>
      <c r="I73" s="415" t="str">
        <f t="shared" si="33"/>
        <v/>
      </c>
      <c r="J73" s="415" t="str">
        <f t="shared" si="34"/>
        <v/>
      </c>
      <c r="K73" s="415" t="str">
        <f t="shared" si="35"/>
        <v/>
      </c>
      <c r="L73" s="415"/>
      <c r="M73" s="415"/>
      <c r="N73" s="422" t="str">
        <f t="shared" si="36"/>
        <v/>
      </c>
      <c r="O73" s="422" t="str">
        <f t="shared" si="37"/>
        <v/>
      </c>
      <c r="P73" s="422" t="str">
        <f t="shared" si="38"/>
        <v/>
      </c>
      <c r="Q73" s="422" t="str">
        <f t="shared" si="39"/>
        <v/>
      </c>
      <c r="R73" s="422" t="str">
        <f t="shared" si="40"/>
        <v/>
      </c>
      <c r="S73" s="583">
        <v>120600</v>
      </c>
      <c r="T73" s="377" t="str">
        <f>+IFERROR(VLOOKUP(S73,STAT1!$C$4:$D$189,2,FALSE),"")</f>
        <v>НӨАТ авлага</v>
      </c>
      <c r="U73" s="424">
        <v>252200</v>
      </c>
      <c r="V73" s="424"/>
      <c r="W73" s="823">
        <v>1004</v>
      </c>
      <c r="X73" s="436" t="str">
        <f>IFERROR(VLOOKUP(W73,DATA!$G$4:$H$400,2,FALSE),"")</f>
        <v xml:space="preserve">Түмэндэлгэр </v>
      </c>
      <c r="Y73" s="328"/>
      <c r="Z73" s="328"/>
      <c r="AA73" s="328"/>
    </row>
    <row r="74" spans="1:27" ht="12.75" customHeight="1">
      <c r="A74" s="425"/>
      <c r="B74" s="368">
        <f t="shared" si="42"/>
        <v>69</v>
      </c>
      <c r="C74" s="425">
        <v>43188</v>
      </c>
      <c r="D74" s="830"/>
      <c r="E74" s="876" t="str">
        <f t="shared" ca="1" si="43"/>
        <v/>
      </c>
      <c r="F74" s="426" t="str">
        <f t="shared" ca="1" si="32"/>
        <v/>
      </c>
      <c r="G74" s="415"/>
      <c r="H74" s="415"/>
      <c r="I74" s="415" t="str">
        <f t="shared" si="33"/>
        <v/>
      </c>
      <c r="J74" s="415" t="str">
        <f t="shared" si="34"/>
        <v/>
      </c>
      <c r="K74" s="415" t="str">
        <f t="shared" si="35"/>
        <v/>
      </c>
      <c r="L74" s="415"/>
      <c r="M74" s="415"/>
      <c r="N74" s="422" t="str">
        <f t="shared" si="36"/>
        <v/>
      </c>
      <c r="O74" s="422" t="str">
        <f t="shared" si="37"/>
        <v/>
      </c>
      <c r="P74" s="422" t="str">
        <f t="shared" si="38"/>
        <v/>
      </c>
      <c r="Q74" s="422" t="str">
        <f t="shared" si="39"/>
        <v/>
      </c>
      <c r="R74" s="422" t="str">
        <f t="shared" si="40"/>
        <v/>
      </c>
      <c r="S74" s="583">
        <v>120100</v>
      </c>
      <c r="T74" s="377" t="str">
        <f>+IFERROR(VLOOKUP(S74,STAT1!$C$4:$D$189,2,FALSE),"")</f>
        <v xml:space="preserve">Дансны авлага MNT </v>
      </c>
      <c r="U74" s="415"/>
      <c r="V74" s="415">
        <v>2774200</v>
      </c>
      <c r="W74" s="823">
        <v>1004</v>
      </c>
      <c r="X74" s="436" t="str">
        <f>IFERROR(VLOOKUP(W74,DATA!$G$4:$H$400,2,FALSE),"")</f>
        <v xml:space="preserve">Түмэндэлгэр </v>
      </c>
      <c r="Y74" s="328"/>
      <c r="Z74" s="328"/>
      <c r="AA74" s="328"/>
    </row>
    <row r="75" spans="1:27" ht="12.75" customHeight="1">
      <c r="A75" s="425"/>
      <c r="B75" s="368">
        <f t="shared" si="42"/>
        <v>70</v>
      </c>
      <c r="C75" s="425">
        <v>43180</v>
      </c>
      <c r="D75" s="830">
        <v>410004</v>
      </c>
      <c r="E75" s="876" t="str">
        <f t="shared" ca="1" si="43"/>
        <v>Будаг /Орд/</v>
      </c>
      <c r="F75" s="426" t="str">
        <f t="shared" ca="1" si="32"/>
        <v>кг</v>
      </c>
      <c r="G75" s="415">
        <v>8</v>
      </c>
      <c r="H75" s="415">
        <f>123600/1.1/8</f>
        <v>14045.454545454544</v>
      </c>
      <c r="I75" s="415">
        <f t="shared" si="33"/>
        <v>112363.63636363635</v>
      </c>
      <c r="J75" s="415">
        <f t="shared" si="34"/>
        <v>11236.363636363636</v>
      </c>
      <c r="K75" s="415">
        <f t="shared" si="35"/>
        <v>123599.99999999999</v>
      </c>
      <c r="L75" s="415"/>
      <c r="M75" s="415"/>
      <c r="N75" s="422" t="str">
        <f t="shared" si="36"/>
        <v/>
      </c>
      <c r="O75" s="422" t="str">
        <f t="shared" si="37"/>
        <v/>
      </c>
      <c r="P75" s="422" t="str">
        <f t="shared" si="38"/>
        <v/>
      </c>
      <c r="Q75" s="422" t="str">
        <f t="shared" si="39"/>
        <v/>
      </c>
      <c r="R75" s="422" t="str">
        <f t="shared" si="40"/>
        <v/>
      </c>
      <c r="S75" s="583">
        <f t="shared" si="41"/>
        <v>160100</v>
      </c>
      <c r="T75" s="377" t="str">
        <f>+IFERROR(VLOOKUP(S75,STAT1!$C$4:$D$189,2,FALSE),"")</f>
        <v xml:space="preserve">Барилгын материал </v>
      </c>
      <c r="U75" s="424">
        <v>112363.63636363635</v>
      </c>
      <c r="V75" s="424"/>
      <c r="W75" s="822">
        <v>1008</v>
      </c>
      <c r="X75" s="436" t="str">
        <f>IFERROR(VLOOKUP(W75,DATA!$G$4:$H$400,2,FALSE),"")</f>
        <v xml:space="preserve">Оюунтүлхүүр </v>
      </c>
      <c r="Y75" s="328"/>
      <c r="Z75" s="328"/>
      <c r="AA75" s="328"/>
    </row>
    <row r="76" spans="1:27" ht="12.75" customHeight="1">
      <c r="A76" s="425"/>
      <c r="B76" s="368">
        <f t="shared" si="42"/>
        <v>71</v>
      </c>
      <c r="C76" s="425">
        <v>43180</v>
      </c>
      <c r="D76" s="830"/>
      <c r="E76" s="876" t="str">
        <f t="shared" ca="1" si="43"/>
        <v/>
      </c>
      <c r="F76" s="426" t="str">
        <f t="shared" ca="1" si="32"/>
        <v/>
      </c>
      <c r="G76" s="415"/>
      <c r="H76" s="415"/>
      <c r="I76" s="415" t="str">
        <f t="shared" si="33"/>
        <v/>
      </c>
      <c r="J76" s="415" t="str">
        <f t="shared" si="34"/>
        <v/>
      </c>
      <c r="K76" s="415" t="str">
        <f t="shared" si="35"/>
        <v/>
      </c>
      <c r="L76" s="415"/>
      <c r="M76" s="415"/>
      <c r="N76" s="422" t="str">
        <f t="shared" si="36"/>
        <v/>
      </c>
      <c r="O76" s="422" t="str">
        <f t="shared" si="37"/>
        <v/>
      </c>
      <c r="P76" s="422" t="str">
        <f t="shared" si="38"/>
        <v/>
      </c>
      <c r="Q76" s="422" t="str">
        <f t="shared" si="39"/>
        <v/>
      </c>
      <c r="R76" s="422" t="str">
        <f t="shared" si="40"/>
        <v/>
      </c>
      <c r="S76" s="583">
        <v>120600</v>
      </c>
      <c r="T76" s="377" t="str">
        <f>+IFERROR(VLOOKUP(S76,STAT1!$C$4:$D$189,2,FALSE),"")</f>
        <v>НӨАТ авлага</v>
      </c>
      <c r="U76" s="424">
        <v>11236.363636363636</v>
      </c>
      <c r="V76" s="424"/>
      <c r="W76" s="822">
        <v>1008</v>
      </c>
      <c r="X76" s="436" t="str">
        <f>IFERROR(VLOOKUP(W76,DATA!$G$4:$H$400,2,FALSE),"")</f>
        <v xml:space="preserve">Оюунтүлхүүр </v>
      </c>
      <c r="Y76" s="328"/>
      <c r="Z76" s="328"/>
      <c r="AA76" s="328"/>
    </row>
    <row r="77" spans="1:27" ht="12.75" customHeight="1">
      <c r="A77" s="425"/>
      <c r="B77" s="368">
        <f t="shared" si="42"/>
        <v>72</v>
      </c>
      <c r="C77" s="425">
        <v>43180</v>
      </c>
      <c r="D77" s="830"/>
      <c r="E77" s="876" t="str">
        <f t="shared" ca="1" si="43"/>
        <v/>
      </c>
      <c r="F77" s="426" t="str">
        <f t="shared" ca="1" si="32"/>
        <v/>
      </c>
      <c r="G77" s="415"/>
      <c r="H77" s="415"/>
      <c r="I77" s="415" t="str">
        <f t="shared" si="33"/>
        <v/>
      </c>
      <c r="J77" s="415" t="str">
        <f t="shared" si="34"/>
        <v/>
      </c>
      <c r="K77" s="415" t="str">
        <f t="shared" si="35"/>
        <v/>
      </c>
      <c r="L77" s="415"/>
      <c r="M77" s="415"/>
      <c r="N77" s="422" t="str">
        <f t="shared" si="36"/>
        <v/>
      </c>
      <c r="O77" s="422" t="str">
        <f t="shared" si="37"/>
        <v/>
      </c>
      <c r="P77" s="422" t="str">
        <f t="shared" si="38"/>
        <v/>
      </c>
      <c r="Q77" s="422" t="str">
        <f t="shared" si="39"/>
        <v/>
      </c>
      <c r="R77" s="422" t="str">
        <f t="shared" si="40"/>
        <v/>
      </c>
      <c r="S77" s="583">
        <v>120100</v>
      </c>
      <c r="T77" s="377" t="str">
        <f>+IFERROR(VLOOKUP(S77,STAT1!$C$4:$D$189,2,FALSE),"")</f>
        <v xml:space="preserve">Дансны авлага MNT </v>
      </c>
      <c r="U77" s="424"/>
      <c r="V77" s="424">
        <v>123600</v>
      </c>
      <c r="W77" s="822">
        <v>1008</v>
      </c>
      <c r="X77" s="436" t="str">
        <f>IFERROR(VLOOKUP(W77,DATA!$G$4:$H$400,2,FALSE),"")</f>
        <v xml:space="preserve">Оюунтүлхүүр </v>
      </c>
      <c r="Y77" s="328"/>
      <c r="Z77" s="328"/>
      <c r="AA77" s="328"/>
    </row>
    <row r="78" spans="1:27" ht="12.75" customHeight="1">
      <c r="A78" s="425"/>
      <c r="B78" s="368">
        <f t="shared" si="42"/>
        <v>73</v>
      </c>
      <c r="C78" s="425">
        <v>43169</v>
      </c>
      <c r="D78" s="830">
        <v>410004</v>
      </c>
      <c r="E78" s="876" t="str">
        <f t="shared" ca="1" si="43"/>
        <v>Будаг /Орд/</v>
      </c>
      <c r="F78" s="426" t="str">
        <f t="shared" ca="1" si="32"/>
        <v>кг</v>
      </c>
      <c r="G78" s="415">
        <v>12</v>
      </c>
      <c r="H78" s="415">
        <f>199150/1.1/12</f>
        <v>15087.12121212121</v>
      </c>
      <c r="I78" s="415">
        <f t="shared" si="33"/>
        <v>181045.45454545453</v>
      </c>
      <c r="J78" s="415">
        <f t="shared" si="34"/>
        <v>18104.545454545452</v>
      </c>
      <c r="K78" s="415">
        <f t="shared" si="35"/>
        <v>199149.99999999997</v>
      </c>
      <c r="L78" s="415"/>
      <c r="M78" s="415"/>
      <c r="N78" s="422" t="str">
        <f t="shared" si="36"/>
        <v/>
      </c>
      <c r="O78" s="422" t="str">
        <f t="shared" si="37"/>
        <v/>
      </c>
      <c r="P78" s="422" t="str">
        <f t="shared" si="38"/>
        <v/>
      </c>
      <c r="Q78" s="422" t="str">
        <f t="shared" si="39"/>
        <v/>
      </c>
      <c r="R78" s="422" t="str">
        <f t="shared" si="40"/>
        <v/>
      </c>
      <c r="S78" s="583">
        <f>+IF(LEFT(D78,3)="131",140100,0)+IF(LEFT(D78,3)="310",150100,0)+IF(LEFT(D78,3)="211",150101,0)+IF(LEFT(D78,3)="410",160100,0)+IF(LEFT(D78,3)="440",160200,0)+IF(LEFT(D78,3)="430",160200,0)+IF(LEFT(D78,3)="420",160200,0)+IF(LEFT(D78,3)="460",160201,0)+IF(LEFT(D78,3)="210",150101,0)+IF(LEFT(D78,3)="510",140100,0)</f>
        <v>160100</v>
      </c>
      <c r="T78" s="377" t="str">
        <f>+IFERROR(VLOOKUP(S78,STAT1!$C$4:$D$189,2,FALSE),"")</f>
        <v xml:space="preserve">Барилгын материал </v>
      </c>
      <c r="U78" s="424">
        <v>181045.45454545453</v>
      </c>
      <c r="V78" s="424"/>
      <c r="W78" s="822">
        <v>1008</v>
      </c>
      <c r="X78" s="436" t="str">
        <f>IFERROR(VLOOKUP(W78,DATA!$G$4:$H$400,2,FALSE),"")</f>
        <v xml:space="preserve">Оюунтүлхүүр </v>
      </c>
      <c r="Y78" s="328"/>
      <c r="Z78" s="328"/>
      <c r="AA78" s="328"/>
    </row>
    <row r="79" spans="1:27" ht="12.75" customHeight="1">
      <c r="A79" s="425"/>
      <c r="B79" s="368">
        <f t="shared" si="42"/>
        <v>74</v>
      </c>
      <c r="C79" s="425">
        <v>43169</v>
      </c>
      <c r="D79" s="830"/>
      <c r="E79" s="876" t="str">
        <f t="shared" ca="1" si="43"/>
        <v/>
      </c>
      <c r="F79" s="426" t="str">
        <f t="shared" ca="1" si="32"/>
        <v/>
      </c>
      <c r="G79" s="415"/>
      <c r="H79" s="415"/>
      <c r="I79" s="415" t="str">
        <f t="shared" si="33"/>
        <v/>
      </c>
      <c r="J79" s="415" t="str">
        <f t="shared" si="34"/>
        <v/>
      </c>
      <c r="K79" s="415" t="str">
        <f t="shared" si="35"/>
        <v/>
      </c>
      <c r="L79" s="415"/>
      <c r="M79" s="415"/>
      <c r="N79" s="422" t="str">
        <f t="shared" si="36"/>
        <v/>
      </c>
      <c r="O79" s="422" t="str">
        <f t="shared" si="37"/>
        <v/>
      </c>
      <c r="P79" s="422" t="str">
        <f t="shared" si="38"/>
        <v/>
      </c>
      <c r="Q79" s="422" t="str">
        <f t="shared" si="39"/>
        <v/>
      </c>
      <c r="R79" s="422" t="str">
        <f t="shared" si="40"/>
        <v/>
      </c>
      <c r="S79" s="583">
        <v>120600</v>
      </c>
      <c r="T79" s="377" t="str">
        <f>+IFERROR(VLOOKUP(S79,STAT1!$C$4:$D$189,2,FALSE),"")</f>
        <v>НӨАТ авлага</v>
      </c>
      <c r="U79" s="424">
        <v>18104.545454545452</v>
      </c>
      <c r="V79" s="424"/>
      <c r="W79" s="822">
        <v>1008</v>
      </c>
      <c r="X79" s="436" t="str">
        <f>IFERROR(VLOOKUP(W79,DATA!$G$4:$H$400,2,FALSE),"")</f>
        <v xml:space="preserve">Оюунтүлхүүр </v>
      </c>
      <c r="Y79" s="328"/>
      <c r="Z79" s="328"/>
      <c r="AA79" s="328"/>
    </row>
    <row r="80" spans="1:27" ht="12.75" customHeight="1">
      <c r="A80" s="425"/>
      <c r="B80" s="368">
        <f t="shared" si="42"/>
        <v>75</v>
      </c>
      <c r="C80" s="425">
        <v>43169</v>
      </c>
      <c r="D80" s="830"/>
      <c r="E80" s="876" t="str">
        <f t="shared" ca="1" si="43"/>
        <v/>
      </c>
      <c r="F80" s="426" t="str">
        <f t="shared" ca="1" si="32"/>
        <v/>
      </c>
      <c r="G80" s="415"/>
      <c r="H80" s="415"/>
      <c r="I80" s="415" t="str">
        <f t="shared" si="33"/>
        <v/>
      </c>
      <c r="J80" s="415" t="str">
        <f t="shared" si="34"/>
        <v/>
      </c>
      <c r="K80" s="415" t="str">
        <f t="shared" si="35"/>
        <v/>
      </c>
      <c r="L80" s="415"/>
      <c r="M80" s="415"/>
      <c r="N80" s="422" t="str">
        <f t="shared" si="36"/>
        <v/>
      </c>
      <c r="O80" s="422" t="str">
        <f t="shared" si="37"/>
        <v/>
      </c>
      <c r="P80" s="422" t="str">
        <f t="shared" si="38"/>
        <v/>
      </c>
      <c r="Q80" s="422" t="str">
        <f t="shared" si="39"/>
        <v/>
      </c>
      <c r="R80" s="422" t="str">
        <f t="shared" si="40"/>
        <v/>
      </c>
      <c r="S80" s="583">
        <v>120100</v>
      </c>
      <c r="T80" s="377" t="str">
        <f>+IFERROR(VLOOKUP(S80,STAT1!$C$4:$D$189,2,FALSE),"")</f>
        <v xml:space="preserve">Дансны авлага MNT </v>
      </c>
      <c r="U80" s="424"/>
      <c r="V80" s="424">
        <v>199150</v>
      </c>
      <c r="W80" s="822">
        <v>1008</v>
      </c>
      <c r="X80" s="436" t="str">
        <f>IFERROR(VLOOKUP(W80,DATA!$G$4:$H$400,2,FALSE),"")</f>
        <v xml:space="preserve">Оюунтүлхүүр </v>
      </c>
      <c r="Y80" s="328"/>
      <c r="Z80" s="328"/>
      <c r="AA80" s="328"/>
    </row>
    <row r="81" spans="1:27" ht="12.75" customHeight="1">
      <c r="A81" s="425"/>
      <c r="B81" s="368">
        <f t="shared" si="42"/>
        <v>76</v>
      </c>
      <c r="C81" s="425">
        <v>43165</v>
      </c>
      <c r="D81" s="830">
        <v>410004</v>
      </c>
      <c r="E81" s="876" t="str">
        <f t="shared" ca="1" si="43"/>
        <v>Будаг /Орд/</v>
      </c>
      <c r="F81" s="426" t="str">
        <f t="shared" ca="1" si="32"/>
        <v>кг</v>
      </c>
      <c r="G81" s="415">
        <v>16</v>
      </c>
      <c r="H81" s="415">
        <f>195200/1.1/16</f>
        <v>11090.90909090909</v>
      </c>
      <c r="I81" s="415">
        <f t="shared" si="33"/>
        <v>177454.54545454544</v>
      </c>
      <c r="J81" s="415">
        <f t="shared" si="34"/>
        <v>17745.454545454544</v>
      </c>
      <c r="K81" s="415">
        <f t="shared" si="35"/>
        <v>195200</v>
      </c>
      <c r="L81" s="415"/>
      <c r="M81" s="415"/>
      <c r="N81" s="422" t="str">
        <f t="shared" si="36"/>
        <v/>
      </c>
      <c r="O81" s="422" t="str">
        <f t="shared" si="37"/>
        <v/>
      </c>
      <c r="P81" s="422" t="str">
        <f t="shared" si="38"/>
        <v/>
      </c>
      <c r="Q81" s="422" t="str">
        <f t="shared" si="39"/>
        <v/>
      </c>
      <c r="R81" s="422" t="str">
        <f t="shared" si="40"/>
        <v/>
      </c>
      <c r="S81" s="583">
        <f t="shared" si="41"/>
        <v>160100</v>
      </c>
      <c r="T81" s="377" t="str">
        <f>+IFERROR(VLOOKUP(S81,STAT1!$C$4:$D$189,2,FALSE),"")</f>
        <v xml:space="preserve">Барилгын материал </v>
      </c>
      <c r="U81" s="424">
        <v>177454.54545454544</v>
      </c>
      <c r="V81" s="424"/>
      <c r="W81" s="822">
        <v>1008</v>
      </c>
      <c r="X81" s="436" t="str">
        <f>IFERROR(VLOOKUP(W81,DATA!$G$4:$H$400,2,FALSE),"")</f>
        <v xml:space="preserve">Оюунтүлхүүр </v>
      </c>
      <c r="Y81" s="328"/>
      <c r="Z81" s="328"/>
      <c r="AA81" s="328"/>
    </row>
    <row r="82" spans="1:27" ht="12.75" customHeight="1">
      <c r="A82" s="425"/>
      <c r="B82" s="368">
        <f t="shared" si="42"/>
        <v>77</v>
      </c>
      <c r="C82" s="425">
        <v>43165</v>
      </c>
      <c r="D82" s="830">
        <v>410085</v>
      </c>
      <c r="E82" s="876" t="str">
        <f t="shared" ca="1" si="43"/>
        <v xml:space="preserve">НЦ-лак </v>
      </c>
      <c r="F82" s="426" t="str">
        <f t="shared" ca="1" si="32"/>
        <v>кг</v>
      </c>
      <c r="G82" s="415">
        <v>45</v>
      </c>
      <c r="H82" s="415">
        <f>407000/1.1/45</f>
        <v>8222.2222222222208</v>
      </c>
      <c r="I82" s="415">
        <f t="shared" si="33"/>
        <v>369999.99999999994</v>
      </c>
      <c r="J82" s="415">
        <f t="shared" si="34"/>
        <v>36999.999999999993</v>
      </c>
      <c r="K82" s="415">
        <f t="shared" si="35"/>
        <v>406999.99999999994</v>
      </c>
      <c r="L82" s="415"/>
      <c r="M82" s="415"/>
      <c r="N82" s="422" t="str">
        <f t="shared" si="36"/>
        <v/>
      </c>
      <c r="O82" s="422" t="str">
        <f t="shared" si="37"/>
        <v/>
      </c>
      <c r="P82" s="422" t="str">
        <f t="shared" si="38"/>
        <v/>
      </c>
      <c r="Q82" s="422" t="str">
        <f t="shared" si="39"/>
        <v/>
      </c>
      <c r="R82" s="422" t="str">
        <f t="shared" si="40"/>
        <v/>
      </c>
      <c r="S82" s="583">
        <f t="shared" si="41"/>
        <v>160100</v>
      </c>
      <c r="T82" s="377" t="str">
        <f>+IFERROR(VLOOKUP(S82,STAT1!$C$4:$D$189,2,FALSE),"")</f>
        <v xml:space="preserve">Барилгын материал </v>
      </c>
      <c r="U82" s="424">
        <v>369999.99999999994</v>
      </c>
      <c r="V82" s="424"/>
      <c r="W82" s="822">
        <v>1008</v>
      </c>
      <c r="X82" s="436" t="str">
        <f>IFERROR(VLOOKUP(W82,DATA!$G$4:$H$400,2,FALSE),"")</f>
        <v xml:space="preserve">Оюунтүлхүүр </v>
      </c>
      <c r="Y82" s="328"/>
      <c r="Z82" s="328"/>
      <c r="AA82" s="328"/>
    </row>
    <row r="83" spans="1:27" ht="12.75" customHeight="1">
      <c r="A83" s="425"/>
      <c r="B83" s="368">
        <f t="shared" si="42"/>
        <v>78</v>
      </c>
      <c r="C83" s="425">
        <v>43165</v>
      </c>
      <c r="D83" s="830">
        <v>410054</v>
      </c>
      <c r="E83" s="876" t="str">
        <f t="shared" ca="1" si="43"/>
        <v xml:space="preserve">Будаг шингэлэгч </v>
      </c>
      <c r="F83" s="426" t="str">
        <f t="shared" ca="1" si="32"/>
        <v>ш</v>
      </c>
      <c r="G83" s="415">
        <v>40</v>
      </c>
      <c r="H83" s="415">
        <v>2000</v>
      </c>
      <c r="I83" s="415">
        <f t="shared" si="33"/>
        <v>80000</v>
      </c>
      <c r="J83" s="415">
        <f t="shared" si="34"/>
        <v>8000</v>
      </c>
      <c r="K83" s="415">
        <f t="shared" si="35"/>
        <v>88000</v>
      </c>
      <c r="L83" s="415"/>
      <c r="M83" s="415"/>
      <c r="N83" s="422" t="str">
        <f t="shared" si="36"/>
        <v/>
      </c>
      <c r="O83" s="422" t="str">
        <f t="shared" si="37"/>
        <v/>
      </c>
      <c r="P83" s="422" t="str">
        <f t="shared" si="38"/>
        <v/>
      </c>
      <c r="Q83" s="422" t="str">
        <f t="shared" si="39"/>
        <v/>
      </c>
      <c r="R83" s="422" t="str">
        <f t="shared" si="40"/>
        <v/>
      </c>
      <c r="S83" s="583">
        <f t="shared" si="41"/>
        <v>160100</v>
      </c>
      <c r="T83" s="377" t="str">
        <f>+IFERROR(VLOOKUP(S83,STAT1!$C$4:$D$189,2,FALSE),"")</f>
        <v xml:space="preserve">Барилгын материал </v>
      </c>
      <c r="U83" s="424">
        <v>80000</v>
      </c>
      <c r="V83" s="424"/>
      <c r="W83" s="822">
        <v>1008</v>
      </c>
      <c r="X83" s="436" t="str">
        <f>IFERROR(VLOOKUP(W83,DATA!$G$4:$H$400,2,FALSE),"")</f>
        <v xml:space="preserve">Оюунтүлхүүр </v>
      </c>
      <c r="Y83" s="328"/>
      <c r="Z83" s="328"/>
      <c r="AA83" s="328"/>
    </row>
    <row r="84" spans="1:27" ht="12.75" customHeight="1">
      <c r="A84" s="425"/>
      <c r="B84" s="368">
        <f t="shared" si="42"/>
        <v>79</v>
      </c>
      <c r="C84" s="425">
        <v>43165</v>
      </c>
      <c r="D84" s="830"/>
      <c r="E84" s="876" t="str">
        <f t="shared" ca="1" si="43"/>
        <v/>
      </c>
      <c r="F84" s="426" t="str">
        <f t="shared" ca="1" si="32"/>
        <v/>
      </c>
      <c r="G84" s="415"/>
      <c r="H84" s="415"/>
      <c r="I84" s="415" t="str">
        <f t="shared" si="33"/>
        <v/>
      </c>
      <c r="J84" s="415" t="str">
        <f t="shared" si="34"/>
        <v/>
      </c>
      <c r="K84" s="415" t="str">
        <f t="shared" si="35"/>
        <v/>
      </c>
      <c r="L84" s="415"/>
      <c r="M84" s="415"/>
      <c r="N84" s="422" t="str">
        <f t="shared" si="36"/>
        <v/>
      </c>
      <c r="O84" s="422" t="str">
        <f t="shared" si="37"/>
        <v/>
      </c>
      <c r="P84" s="422" t="str">
        <f t="shared" si="38"/>
        <v/>
      </c>
      <c r="Q84" s="422" t="str">
        <f t="shared" si="39"/>
        <v/>
      </c>
      <c r="R84" s="422" t="str">
        <f t="shared" si="40"/>
        <v/>
      </c>
      <c r="S84" s="583">
        <v>120600</v>
      </c>
      <c r="T84" s="377" t="str">
        <f>+IFERROR(VLOOKUP(S84,STAT1!$C$4:$D$189,2,FALSE),"")</f>
        <v>НӨАТ авлага</v>
      </c>
      <c r="U84" s="415">
        <v>62745.454545454537</v>
      </c>
      <c r="V84" s="415"/>
      <c r="W84" s="822">
        <v>1008</v>
      </c>
      <c r="X84" s="436" t="str">
        <f>IFERROR(VLOOKUP(W84,DATA!$G$4:$H$400,2,FALSE),"")</f>
        <v xml:space="preserve">Оюунтүлхүүр </v>
      </c>
      <c r="Y84" s="328"/>
      <c r="Z84" s="328"/>
      <c r="AA84" s="328"/>
    </row>
    <row r="85" spans="1:27" ht="12.75" customHeight="1">
      <c r="A85" s="425"/>
      <c r="B85" s="368">
        <f t="shared" si="42"/>
        <v>80</v>
      </c>
      <c r="C85" s="425">
        <v>43165</v>
      </c>
      <c r="D85" s="830"/>
      <c r="E85" s="876" t="str">
        <f t="shared" ca="1" si="43"/>
        <v/>
      </c>
      <c r="F85" s="426" t="str">
        <f t="shared" ca="1" si="32"/>
        <v/>
      </c>
      <c r="G85" s="415"/>
      <c r="H85" s="415"/>
      <c r="I85" s="415" t="str">
        <f t="shared" si="33"/>
        <v/>
      </c>
      <c r="J85" s="415" t="str">
        <f t="shared" si="34"/>
        <v/>
      </c>
      <c r="K85" s="415" t="str">
        <f t="shared" si="35"/>
        <v/>
      </c>
      <c r="L85" s="415"/>
      <c r="M85" s="415"/>
      <c r="N85" s="422" t="str">
        <f t="shared" si="36"/>
        <v/>
      </c>
      <c r="O85" s="422" t="str">
        <f t="shared" si="37"/>
        <v/>
      </c>
      <c r="P85" s="422" t="str">
        <f t="shared" si="38"/>
        <v/>
      </c>
      <c r="Q85" s="422" t="str">
        <f t="shared" si="39"/>
        <v/>
      </c>
      <c r="R85" s="422" t="str">
        <f t="shared" si="40"/>
        <v/>
      </c>
      <c r="S85" s="583">
        <v>120100</v>
      </c>
      <c r="T85" s="377" t="str">
        <f>+IFERROR(VLOOKUP(S85,STAT1!$C$4:$D$189,2,FALSE),"")</f>
        <v xml:space="preserve">Дансны авлага MNT </v>
      </c>
      <c r="U85" s="424"/>
      <c r="V85" s="424">
        <v>690200</v>
      </c>
      <c r="W85" s="822">
        <v>1008</v>
      </c>
      <c r="X85" s="436" t="str">
        <f>IFERROR(VLOOKUP(W85,DATA!$G$4:$H$400,2,FALSE),"")</f>
        <v xml:space="preserve">Оюунтүлхүүр </v>
      </c>
      <c r="Y85" s="328"/>
      <c r="Z85" s="328"/>
      <c r="AA85" s="328"/>
    </row>
    <row r="86" spans="1:27" ht="12.75" customHeight="1">
      <c r="A86" s="425"/>
      <c r="B86" s="368">
        <f t="shared" si="42"/>
        <v>81</v>
      </c>
      <c r="C86" s="425">
        <v>43184</v>
      </c>
      <c r="D86" s="830">
        <v>410085</v>
      </c>
      <c r="E86" s="876" t="str">
        <f t="shared" ca="1" si="43"/>
        <v xml:space="preserve">НЦ-лак </v>
      </c>
      <c r="F86" s="426" t="str">
        <f t="shared" ca="1" si="32"/>
        <v>кг</v>
      </c>
      <c r="G86" s="415">
        <v>100</v>
      </c>
      <c r="H86" s="415">
        <v>2000</v>
      </c>
      <c r="I86" s="415">
        <f t="shared" si="33"/>
        <v>200000</v>
      </c>
      <c r="J86" s="415">
        <f t="shared" si="34"/>
        <v>20000</v>
      </c>
      <c r="K86" s="415">
        <f t="shared" si="35"/>
        <v>220000</v>
      </c>
      <c r="L86" s="415"/>
      <c r="M86" s="415"/>
      <c r="N86" s="422" t="str">
        <f t="shared" si="36"/>
        <v/>
      </c>
      <c r="O86" s="422" t="str">
        <f t="shared" si="37"/>
        <v/>
      </c>
      <c r="P86" s="422" t="str">
        <f t="shared" si="38"/>
        <v/>
      </c>
      <c r="Q86" s="422" t="str">
        <f t="shared" si="39"/>
        <v/>
      </c>
      <c r="R86" s="422" t="str">
        <f t="shared" si="40"/>
        <v/>
      </c>
      <c r="S86" s="583">
        <f t="shared" si="41"/>
        <v>160100</v>
      </c>
      <c r="T86" s="377" t="str">
        <f>+IFERROR(VLOOKUP(S86,STAT1!$C$4:$D$189,2,FALSE),"")</f>
        <v xml:space="preserve">Барилгын материал </v>
      </c>
      <c r="U86" s="424">
        <v>200000</v>
      </c>
      <c r="V86" s="424"/>
      <c r="W86" s="822">
        <v>1008</v>
      </c>
      <c r="X86" s="436" t="str">
        <f>IFERROR(VLOOKUP(W86,DATA!$G$4:$H$400,2,FALSE),"")</f>
        <v xml:space="preserve">Оюунтүлхүүр </v>
      </c>
      <c r="Y86" s="328"/>
      <c r="Z86" s="328"/>
      <c r="AA86" s="328"/>
    </row>
    <row r="87" spans="1:27" ht="12.75" customHeight="1">
      <c r="A87" s="425"/>
      <c r="B87" s="368">
        <f t="shared" si="42"/>
        <v>82</v>
      </c>
      <c r="C87" s="425">
        <v>43184</v>
      </c>
      <c r="D87" s="830">
        <v>410054</v>
      </c>
      <c r="E87" s="876" t="str">
        <f t="shared" ca="1" si="43"/>
        <v xml:space="preserve">Будаг шингэлэгч </v>
      </c>
      <c r="F87" s="426" t="str">
        <f t="shared" ca="1" si="32"/>
        <v>ш</v>
      </c>
      <c r="G87" s="415">
        <f>4*45</f>
        <v>180</v>
      </c>
      <c r="H87" s="415">
        <v>8222.2222000000002</v>
      </c>
      <c r="I87" s="415">
        <f t="shared" si="33"/>
        <v>1479999.996</v>
      </c>
      <c r="J87" s="415">
        <f t="shared" si="34"/>
        <v>147999.99960000001</v>
      </c>
      <c r="K87" s="415">
        <f t="shared" si="35"/>
        <v>1627999.9956</v>
      </c>
      <c r="L87" s="415"/>
      <c r="M87" s="415"/>
      <c r="N87" s="422" t="str">
        <f t="shared" si="36"/>
        <v/>
      </c>
      <c r="O87" s="422" t="str">
        <f t="shared" si="37"/>
        <v/>
      </c>
      <c r="P87" s="422" t="str">
        <f t="shared" si="38"/>
        <v/>
      </c>
      <c r="Q87" s="422" t="str">
        <f t="shared" si="39"/>
        <v/>
      </c>
      <c r="R87" s="422" t="str">
        <f t="shared" si="40"/>
        <v/>
      </c>
      <c r="S87" s="583">
        <f t="shared" si="41"/>
        <v>160100</v>
      </c>
      <c r="T87" s="377" t="str">
        <f>+IFERROR(VLOOKUP(S87,STAT1!$C$4:$D$189,2,FALSE),"")</f>
        <v xml:space="preserve">Барилгын материал </v>
      </c>
      <c r="U87" s="424">
        <v>1480000</v>
      </c>
      <c r="V87" s="424"/>
      <c r="W87" s="822">
        <v>1008</v>
      </c>
      <c r="X87" s="436" t="str">
        <f>IFERROR(VLOOKUP(W87,DATA!$G$4:$H$400,2,FALSE),"")</f>
        <v xml:space="preserve">Оюунтүлхүүр </v>
      </c>
      <c r="Y87" s="328"/>
      <c r="Z87" s="328"/>
      <c r="AA87" s="328"/>
    </row>
    <row r="88" spans="1:27" ht="12.75" customHeight="1">
      <c r="A88" s="425"/>
      <c r="B88" s="368">
        <f t="shared" si="42"/>
        <v>83</v>
      </c>
      <c r="C88" s="425">
        <v>43184</v>
      </c>
      <c r="D88" s="830"/>
      <c r="E88" s="876" t="str">
        <f t="shared" ca="1" si="43"/>
        <v/>
      </c>
      <c r="F88" s="426" t="str">
        <f t="shared" ca="1" si="32"/>
        <v/>
      </c>
      <c r="G88" s="415"/>
      <c r="H88" s="415"/>
      <c r="I88" s="415" t="str">
        <f t="shared" si="33"/>
        <v/>
      </c>
      <c r="J88" s="415" t="str">
        <f t="shared" si="34"/>
        <v/>
      </c>
      <c r="K88" s="415" t="str">
        <f t="shared" si="35"/>
        <v/>
      </c>
      <c r="L88" s="415"/>
      <c r="M88" s="415"/>
      <c r="N88" s="422" t="str">
        <f t="shared" si="36"/>
        <v/>
      </c>
      <c r="O88" s="422" t="str">
        <f t="shared" si="37"/>
        <v/>
      </c>
      <c r="P88" s="422" t="str">
        <f t="shared" si="38"/>
        <v/>
      </c>
      <c r="Q88" s="422" t="str">
        <f t="shared" si="39"/>
        <v/>
      </c>
      <c r="R88" s="422" t="str">
        <f t="shared" si="40"/>
        <v/>
      </c>
      <c r="S88" s="583">
        <v>120600</v>
      </c>
      <c r="T88" s="377" t="str">
        <f>+IFERROR(VLOOKUP(S88,STAT1!$C$4:$D$189,2,FALSE),"")</f>
        <v>НӨАТ авлага</v>
      </c>
      <c r="U88" s="424">
        <v>168000</v>
      </c>
      <c r="V88" s="424"/>
      <c r="W88" s="822">
        <v>1008</v>
      </c>
      <c r="X88" s="436" t="str">
        <f>IFERROR(VLOOKUP(W88,DATA!$G$4:$H$400,2,FALSE),"")</f>
        <v xml:space="preserve">Оюунтүлхүүр </v>
      </c>
      <c r="Y88" s="328"/>
      <c r="Z88" s="328"/>
      <c r="AA88" s="328"/>
    </row>
    <row r="89" spans="1:27" ht="12.75" customHeight="1">
      <c r="A89" s="425"/>
      <c r="B89" s="368">
        <f t="shared" si="42"/>
        <v>84</v>
      </c>
      <c r="C89" s="425">
        <v>43184</v>
      </c>
      <c r="D89" s="830"/>
      <c r="E89" s="876" t="str">
        <f t="shared" ca="1" si="43"/>
        <v/>
      </c>
      <c r="F89" s="426" t="str">
        <f t="shared" ca="1" si="32"/>
        <v/>
      </c>
      <c r="G89" s="415"/>
      <c r="H89" s="415"/>
      <c r="I89" s="415" t="str">
        <f t="shared" si="33"/>
        <v/>
      </c>
      <c r="J89" s="415" t="str">
        <f t="shared" si="34"/>
        <v/>
      </c>
      <c r="K89" s="415" t="str">
        <f t="shared" si="35"/>
        <v/>
      </c>
      <c r="L89" s="415"/>
      <c r="M89" s="415"/>
      <c r="N89" s="422" t="str">
        <f t="shared" si="36"/>
        <v/>
      </c>
      <c r="O89" s="422" t="str">
        <f t="shared" si="37"/>
        <v/>
      </c>
      <c r="P89" s="422" t="str">
        <f t="shared" si="38"/>
        <v/>
      </c>
      <c r="Q89" s="422" t="str">
        <f t="shared" si="39"/>
        <v/>
      </c>
      <c r="R89" s="422" t="str">
        <f t="shared" si="40"/>
        <v/>
      </c>
      <c r="S89" s="583">
        <v>120100</v>
      </c>
      <c r="T89" s="377" t="str">
        <f>+IFERROR(VLOOKUP(S89,STAT1!$C$4:$D$189,2,FALSE),"")</f>
        <v xml:space="preserve">Дансны авлага MNT </v>
      </c>
      <c r="U89" s="424"/>
      <c r="V89" s="424">
        <v>1848000</v>
      </c>
      <c r="W89" s="822">
        <v>1008</v>
      </c>
      <c r="X89" s="436" t="str">
        <f>IFERROR(VLOOKUP(W89,DATA!$G$4:$H$400,2,FALSE),"")</f>
        <v xml:space="preserve">Оюунтүлхүүр </v>
      </c>
      <c r="Y89" s="328"/>
      <c r="Z89" s="328"/>
      <c r="AA89" s="328"/>
    </row>
    <row r="90" spans="1:27" ht="12.75" customHeight="1">
      <c r="A90" s="425"/>
      <c r="B90" s="368">
        <f t="shared" si="42"/>
        <v>85</v>
      </c>
      <c r="C90" s="425">
        <v>43176</v>
      </c>
      <c r="D90" s="830">
        <v>211717</v>
      </c>
      <c r="E90" s="876" t="str">
        <f t="shared" ca="1" si="43"/>
        <v>Н-Хавтан/зузаан-4см/-яртай</v>
      </c>
      <c r="F90" s="426" t="str">
        <f t="shared" ca="1" si="32"/>
        <v>м2</v>
      </c>
      <c r="G90" s="415"/>
      <c r="H90" s="415"/>
      <c r="I90" s="415" t="str">
        <f t="shared" si="33"/>
        <v/>
      </c>
      <c r="J90" s="415" t="str">
        <f t="shared" si="34"/>
        <v/>
      </c>
      <c r="K90" s="415" t="str">
        <f t="shared" si="35"/>
        <v/>
      </c>
      <c r="L90" s="415">
        <v>11.61</v>
      </c>
      <c r="M90" s="415">
        <v>50000</v>
      </c>
      <c r="N90" s="422">
        <f t="shared" si="36"/>
        <v>580500</v>
      </c>
      <c r="O90" s="422">
        <f t="shared" si="37"/>
        <v>58050</v>
      </c>
      <c r="P90" s="422">
        <f t="shared" si="38"/>
        <v>638550</v>
      </c>
      <c r="Q90" s="422">
        <f t="shared" ca="1" si="39"/>
        <v>48558.950850377005</v>
      </c>
      <c r="R90" s="422">
        <f t="shared" ca="1" si="40"/>
        <v>563769.41937287699</v>
      </c>
      <c r="S90" s="583">
        <f>+IF(LEFT(D90,3)="131",140100,0)+IF(LEFT(D90,3)="310",150100,0)+IF(LEFT(D90,3)="211",150101,0)+IF(LEFT(D90,3)="410",160100,0)+IF(LEFT(D90,3)="440",160200,0)+IF(LEFT(D90,3)="430",160200,0)+IF(LEFT(D90,3)="420",160200,0)+IF(LEFT(D90,3)="460",160201,0)+IF(LEFT(D90,3)="210",150101,0)+IF(LEFT(D90,3)="510",140100,0)</f>
        <v>150101</v>
      </c>
      <c r="T90" s="377" t="str">
        <f>+IFERROR(VLOOKUP(S90,STAT1!$C$4:$D$189,2,FALSE),"")</f>
        <v>Бараа бэлэн бүтээгдэхүүн БОЛОВСРУУЛАХ ЦЕХ /нарс/</v>
      </c>
      <c r="U90" s="424"/>
      <c r="V90" s="424">
        <v>563769.41937287699</v>
      </c>
      <c r="W90" s="822">
        <v>3021</v>
      </c>
      <c r="X90" s="436" t="str">
        <f>IFERROR(VLOOKUP(W90,DATA!$G$4:$H$400,2,FALSE),"")</f>
        <v>БАНДИА ХХК</v>
      </c>
      <c r="Y90" s="328"/>
      <c r="Z90" s="328"/>
      <c r="AA90" s="328"/>
    </row>
    <row r="91" spans="1:27" ht="12.75" customHeight="1">
      <c r="A91" s="425"/>
      <c r="B91" s="368">
        <f t="shared" si="42"/>
        <v>86</v>
      </c>
      <c r="C91" s="425">
        <v>43176</v>
      </c>
      <c r="D91" s="830"/>
      <c r="E91" s="876" t="str">
        <f t="shared" ca="1" si="43"/>
        <v/>
      </c>
      <c r="F91" s="426" t="str">
        <f t="shared" ca="1" si="32"/>
        <v/>
      </c>
      <c r="G91" s="415"/>
      <c r="H91" s="415"/>
      <c r="I91" s="415" t="str">
        <f t="shared" si="33"/>
        <v/>
      </c>
      <c r="J91" s="415" t="str">
        <f t="shared" si="34"/>
        <v/>
      </c>
      <c r="K91" s="415" t="str">
        <f t="shared" si="35"/>
        <v/>
      </c>
      <c r="L91" s="415"/>
      <c r="M91" s="415"/>
      <c r="N91" s="422" t="str">
        <f t="shared" si="36"/>
        <v/>
      </c>
      <c r="O91" s="422" t="str">
        <f t="shared" si="37"/>
        <v/>
      </c>
      <c r="P91" s="422" t="str">
        <f t="shared" si="38"/>
        <v/>
      </c>
      <c r="Q91" s="422" t="str">
        <f t="shared" si="39"/>
        <v/>
      </c>
      <c r="R91" s="422" t="str">
        <f t="shared" si="40"/>
        <v/>
      </c>
      <c r="S91" s="583">
        <v>610100</v>
      </c>
      <c r="T91" s="377" t="str">
        <f>+IFERROR(VLOOKUP(S91,STAT1!$C$4:$D$189,2,FALSE),"")</f>
        <v>Борлуулсан барааны өртөг</v>
      </c>
      <c r="U91" s="424">
        <v>563769.41937287699</v>
      </c>
      <c r="V91" s="424"/>
      <c r="W91" s="822">
        <v>3021</v>
      </c>
      <c r="X91" s="436" t="str">
        <f>IFERROR(VLOOKUP(W91,DATA!$G$4:$H$400,2,FALSE),"")</f>
        <v>БАНДИА ХХК</v>
      </c>
      <c r="Y91" s="328"/>
      <c r="Z91" s="328"/>
      <c r="AA91" s="328"/>
    </row>
    <row r="92" spans="1:27" ht="12.75" customHeight="1">
      <c r="A92" s="425"/>
      <c r="B92" s="368">
        <f t="shared" si="42"/>
        <v>87</v>
      </c>
      <c r="C92" s="425">
        <v>43176</v>
      </c>
      <c r="D92" s="830"/>
      <c r="E92" s="876" t="str">
        <f t="shared" ca="1" si="43"/>
        <v/>
      </c>
      <c r="F92" s="426" t="str">
        <f t="shared" ca="1" si="32"/>
        <v/>
      </c>
      <c r="G92" s="415"/>
      <c r="H92" s="415"/>
      <c r="I92" s="415"/>
      <c r="J92" s="415" t="str">
        <f t="shared" ref="J92:J145" si="44">+IF(G92="","",I92*0.1)</f>
        <v/>
      </c>
      <c r="K92" s="415" t="str">
        <f t="shared" ref="K92:K145" si="45">+IF(G92="","",I92+J92)</f>
        <v/>
      </c>
      <c r="L92" s="415"/>
      <c r="M92" s="415"/>
      <c r="N92" s="422"/>
      <c r="O92" s="422"/>
      <c r="P92" s="422"/>
      <c r="Q92" s="422"/>
      <c r="R92" s="422"/>
      <c r="S92" s="583">
        <v>310500</v>
      </c>
      <c r="T92" s="377" t="str">
        <f>+IFERROR(VLOOKUP(S92,STAT1!$C$4:$D$189,2,FALSE),"")</f>
        <v>НӨАТ өглөг</v>
      </c>
      <c r="U92" s="415"/>
      <c r="V92" s="415">
        <v>58050</v>
      </c>
      <c r="W92" s="822">
        <v>3021</v>
      </c>
      <c r="X92" s="436" t="str">
        <f>IFERROR(VLOOKUP(W92,DATA!$G$4:$H$400,2,FALSE),"")</f>
        <v>БАНДИА ХХК</v>
      </c>
      <c r="Y92" s="328"/>
      <c r="Z92" s="328"/>
      <c r="AA92" s="328"/>
    </row>
    <row r="93" spans="1:27" ht="12.75" customHeight="1">
      <c r="A93" s="425"/>
      <c r="B93" s="368">
        <f t="shared" si="42"/>
        <v>88</v>
      </c>
      <c r="C93" s="425">
        <v>43176</v>
      </c>
      <c r="D93" s="830"/>
      <c r="E93" s="876" t="str">
        <f t="shared" ca="1" si="43"/>
        <v/>
      </c>
      <c r="F93" s="426" t="str">
        <f t="shared" ca="1" si="32"/>
        <v/>
      </c>
      <c r="G93" s="415"/>
      <c r="H93" s="415"/>
      <c r="I93" s="415"/>
      <c r="J93" s="415" t="str">
        <f t="shared" si="44"/>
        <v/>
      </c>
      <c r="K93" s="415" t="str">
        <f t="shared" si="45"/>
        <v/>
      </c>
      <c r="L93" s="415"/>
      <c r="M93" s="415"/>
      <c r="N93" s="422" t="str">
        <f>+IF(L93="","",L93*M93)</f>
        <v/>
      </c>
      <c r="O93" s="422" t="str">
        <f>+IF(L93="","",N93*0.1)</f>
        <v/>
      </c>
      <c r="P93" s="422" t="str">
        <f>+IF(L93="","",N93+O93)</f>
        <v/>
      </c>
      <c r="Q93" s="422" t="str">
        <f>IF(L93="","",IFERROR((SUMIFS(TN_balC1_totol,TN_code,D93)+SUMIFS(RC_or_totol,RC_Code,D93,RC_date,"&lt;="&amp;C93)-SUMIFS(RC_zar_totol,RC_Code,D93,RC_date,"&lt;"&amp;C93)) /( SUMIFS(TN_balC1_unit,TN_code,D93)+SUMIFS(RC_or_unit,RC_Code,D93,RC_date,"&lt;="&amp;C93)-SUMIFS(RC_zar_unit,RC_Code,D93,RC_date,"&lt;"&amp;C93)),0 ))</f>
        <v/>
      </c>
      <c r="R93" s="422" t="str">
        <f>+IF(L93="","",L93*Q93)</f>
        <v/>
      </c>
      <c r="S93" s="583">
        <v>510000</v>
      </c>
      <c r="T93" s="377" t="str">
        <f>+IFERROR(VLOOKUP(S93,STAT1!$C$4:$D$189,2,FALSE),"")</f>
        <v>Үндсэн үйл ажиллагааны борлуулалт</v>
      </c>
      <c r="U93" s="424"/>
      <c r="V93" s="424">
        <v>580500</v>
      </c>
      <c r="W93" s="822">
        <v>3021</v>
      </c>
      <c r="X93" s="436" t="str">
        <f>IFERROR(VLOOKUP(W93,DATA!$G$4:$H$400,2,FALSE),"")</f>
        <v>БАНДИА ХХК</v>
      </c>
      <c r="Y93" s="328"/>
      <c r="Z93" s="328"/>
      <c r="AA93" s="328"/>
    </row>
    <row r="94" spans="1:27" ht="12.75" customHeight="1">
      <c r="A94" s="425"/>
      <c r="B94" s="368">
        <f t="shared" si="42"/>
        <v>89</v>
      </c>
      <c r="C94" s="425">
        <v>43176</v>
      </c>
      <c r="D94" s="830"/>
      <c r="E94" s="876" t="str">
        <f t="shared" ca="1" si="43"/>
        <v/>
      </c>
      <c r="F94" s="426" t="str">
        <f t="shared" ca="1" si="32"/>
        <v/>
      </c>
      <c r="G94" s="415"/>
      <c r="H94" s="415"/>
      <c r="I94" s="415"/>
      <c r="J94" s="415" t="str">
        <f t="shared" si="44"/>
        <v/>
      </c>
      <c r="K94" s="415" t="str">
        <f t="shared" si="45"/>
        <v/>
      </c>
      <c r="L94" s="415"/>
      <c r="M94" s="415"/>
      <c r="N94" s="422" t="str">
        <f>+IF(L94="","",L94*M94)</f>
        <v/>
      </c>
      <c r="O94" s="422" t="str">
        <f>+IF(L94="","",N94*0.1)</f>
        <v/>
      </c>
      <c r="P94" s="422" t="str">
        <f>+IF(L94="","",N94+O94)</f>
        <v/>
      </c>
      <c r="Q94" s="422" t="str">
        <f>IF(L94="","",IFERROR((SUMIFS(TN_balC1_totol,TN_code,D94)+SUMIFS(RC_or_totol,RC_Code,D94,RC_date,"&lt;="&amp;C94)-SUMIFS(RC_zar_totol,RC_Code,D94,RC_date,"&lt;"&amp;C94)) /( SUMIFS(TN_balC1_unit,TN_code,D94)+SUMIFS(RC_or_unit,RC_Code,D94,RC_date,"&lt;="&amp;C94)-SUMIFS(RC_zar_unit,RC_Code,D94,RC_date,"&lt;"&amp;C94)),0 ))</f>
        <v/>
      </c>
      <c r="R94" s="422" t="str">
        <f>+IF(L94="","",L94*Q94)</f>
        <v/>
      </c>
      <c r="S94" s="583">
        <v>320100</v>
      </c>
      <c r="T94" s="377" t="str">
        <f>+IFERROR(VLOOKUP(S94,STAT1!$C$4:$D$189,2,FALSE),"")</f>
        <v>Урьдчилж орсон орлого MNT</v>
      </c>
      <c r="U94" s="424">
        <v>638550</v>
      </c>
      <c r="V94" s="424"/>
      <c r="W94" s="822">
        <v>3021</v>
      </c>
      <c r="X94" s="436" t="str">
        <f>IFERROR(VLOOKUP(W94,DATA!$G$4:$H$400,2,FALSE),"")</f>
        <v>БАНДИА ХХК</v>
      </c>
      <c r="Y94" s="328"/>
      <c r="Z94" s="328"/>
      <c r="AA94" s="328"/>
    </row>
    <row r="95" spans="1:27" ht="12.75" customHeight="1">
      <c r="A95" s="425"/>
      <c r="B95" s="368">
        <f t="shared" si="42"/>
        <v>90</v>
      </c>
      <c r="C95" s="425">
        <v>43179</v>
      </c>
      <c r="D95" s="830">
        <v>211802</v>
      </c>
      <c r="E95" s="876" t="str">
        <f t="shared" ca="1" si="43"/>
        <v xml:space="preserve">Н-Уголок </v>
      </c>
      <c r="F95" s="426" t="str">
        <f t="shared" ca="1" si="32"/>
        <v>м</v>
      </c>
      <c r="G95" s="415"/>
      <c r="H95" s="415"/>
      <c r="I95" s="415"/>
      <c r="J95" s="415" t="str">
        <f t="shared" si="44"/>
        <v/>
      </c>
      <c r="K95" s="415" t="str">
        <f t="shared" si="45"/>
        <v/>
      </c>
      <c r="L95" s="415">
        <v>60</v>
      </c>
      <c r="M95" s="415">
        <v>4000</v>
      </c>
      <c r="N95" s="422">
        <f>+IF(L95="","",L95*M95)</f>
        <v>240000</v>
      </c>
      <c r="O95" s="422">
        <f>+IF(L95="","",N95*0.1)</f>
        <v>24000</v>
      </c>
      <c r="P95" s="422">
        <f>+IF(L95="","",N95+O95)</f>
        <v>264000</v>
      </c>
      <c r="Q95" s="422">
        <f ca="1">IF(L95="","",IFERROR((SUMIFS(TN_balC1_totol,TN_code,D95)+SUMIFS(RC_or_totol,RC_Code,D95,RC_date,"&lt;="&amp;C95)-SUMIFS(RC_zar_totol,RC_Code,D95,RC_date,"&lt;"&amp;C95)) /( SUMIFS(TN_balC1_unit,TN_code,D95)+SUMIFS(RC_or_unit,RC_Code,D95,RC_date,"&lt;="&amp;C95)-SUMIFS(RC_zar_unit,RC_Code,D95,RC_date,"&lt;"&amp;C95)),0 ))</f>
        <v>1377.7799111418215</v>
      </c>
      <c r="R95" s="422">
        <f ca="1">+IF(L95="","",L95*Q95)</f>
        <v>82666.79466850929</v>
      </c>
      <c r="S95" s="583">
        <f>+IF(LEFT(D95,3)="131",140100,0)+IF(LEFT(D95,3)="310",150100,0)+IF(LEFT(D95,3)="211",150101,0)+IF(LEFT(D95,3)="410",160100,0)+IF(LEFT(D95,3)="440",160200,0)+IF(LEFT(D95,3)="430",160200,0)+IF(LEFT(D95,3)="420",160200,0)+IF(LEFT(D95,3)="460",160201,0)+IF(LEFT(D95,3)="210",150101,0)+IF(LEFT(D95,3)="510",140100,0)</f>
        <v>150101</v>
      </c>
      <c r="T95" s="377" t="str">
        <f>+IFERROR(VLOOKUP(S95,STAT1!$C$4:$D$189,2,FALSE),"")</f>
        <v>Бараа бэлэн бүтээгдэхүүн БОЛОВСРУУЛАХ ЦЕХ /нарс/</v>
      </c>
      <c r="U95" s="424"/>
      <c r="V95" s="424">
        <v>82666.79466850929</v>
      </c>
      <c r="W95" s="822">
        <v>3102</v>
      </c>
      <c r="X95" s="436" t="str">
        <f>IFERROR(VLOOKUP(W95,DATA!$G$4:$H$400,2,FALSE),"")</f>
        <v xml:space="preserve">ВОРК ШОП ХХК </v>
      </c>
      <c r="Y95" s="328"/>
      <c r="Z95" s="328"/>
      <c r="AA95" s="328"/>
    </row>
    <row r="96" spans="1:27" ht="12.75" customHeight="1">
      <c r="A96" s="425"/>
      <c r="B96" s="368">
        <f t="shared" si="42"/>
        <v>91</v>
      </c>
      <c r="C96" s="425">
        <v>43179</v>
      </c>
      <c r="D96" s="830"/>
      <c r="E96" s="876" t="str">
        <f t="shared" ca="1" si="43"/>
        <v/>
      </c>
      <c r="F96" s="426" t="str">
        <f t="shared" ca="1" si="32"/>
        <v/>
      </c>
      <c r="G96" s="415"/>
      <c r="H96" s="415"/>
      <c r="I96" s="415"/>
      <c r="J96" s="415" t="str">
        <f t="shared" si="44"/>
        <v/>
      </c>
      <c r="K96" s="415" t="str">
        <f t="shared" si="45"/>
        <v/>
      </c>
      <c r="L96" s="415"/>
      <c r="M96" s="415"/>
      <c r="N96" s="422" t="str">
        <f>+IF(L96="","",L96*M96)</f>
        <v/>
      </c>
      <c r="O96" s="422" t="str">
        <f>+IF(L96="","",N96*0.1)</f>
        <v/>
      </c>
      <c r="P96" s="422" t="str">
        <f>+IF(L96="","",N96+O96)</f>
        <v/>
      </c>
      <c r="Q96" s="422" t="str">
        <f>IF(L96="","",IFERROR((SUMIFS(TN_balC1_totol,TN_code,D96)+SUMIFS(RC_or_totol,RC_Code,D96,RC_date,"&lt;="&amp;C96)-SUMIFS(RC_zar_totol,RC_Code,D96,RC_date,"&lt;"&amp;C96)) /( SUMIFS(TN_balC1_unit,TN_code,D96)+SUMIFS(RC_or_unit,RC_Code,D96,RC_date,"&lt;="&amp;C96)-SUMIFS(RC_zar_unit,RC_Code,D96,RC_date,"&lt;"&amp;C96)),0 ))</f>
        <v/>
      </c>
      <c r="R96" s="422" t="str">
        <f>+IF(L96="","",L96*Q96)</f>
        <v/>
      </c>
      <c r="S96" s="583">
        <v>610100</v>
      </c>
      <c r="T96" s="377" t="str">
        <f>+IFERROR(VLOOKUP(S96,STAT1!$C$4:$D$189,2,FALSE),"")</f>
        <v>Борлуулсан барааны өртөг</v>
      </c>
      <c r="U96" s="424">
        <v>82666.79466850929</v>
      </c>
      <c r="V96" s="424"/>
      <c r="W96" s="822">
        <v>3102</v>
      </c>
      <c r="X96" s="436" t="str">
        <f>IFERROR(VLOOKUP(W96,DATA!$G$4:$H$400,2,FALSE),"")</f>
        <v xml:space="preserve">ВОРК ШОП ХХК </v>
      </c>
      <c r="Y96" s="328"/>
      <c r="Z96" s="328"/>
      <c r="AA96" s="328"/>
    </row>
    <row r="97" spans="1:27" ht="12.75" customHeight="1">
      <c r="A97" s="425"/>
      <c r="B97" s="368">
        <f t="shared" si="42"/>
        <v>92</v>
      </c>
      <c r="C97" s="425">
        <v>43179</v>
      </c>
      <c r="D97" s="830"/>
      <c r="E97" s="876" t="str">
        <f t="shared" ca="1" si="43"/>
        <v/>
      </c>
      <c r="F97" s="426" t="str">
        <f t="shared" ca="1" si="32"/>
        <v/>
      </c>
      <c r="G97" s="415"/>
      <c r="H97" s="415"/>
      <c r="I97" s="415"/>
      <c r="J97" s="415" t="str">
        <f t="shared" si="44"/>
        <v/>
      </c>
      <c r="K97" s="415" t="str">
        <f t="shared" si="45"/>
        <v/>
      </c>
      <c r="L97" s="415"/>
      <c r="M97" s="415"/>
      <c r="N97" s="422"/>
      <c r="O97" s="422"/>
      <c r="P97" s="422"/>
      <c r="Q97" s="422"/>
      <c r="R97" s="422"/>
      <c r="S97" s="583">
        <v>310500</v>
      </c>
      <c r="T97" s="377" t="str">
        <f>+IFERROR(VLOOKUP(S97,STAT1!$C$4:$D$189,2,FALSE),"")</f>
        <v>НӨАТ өглөг</v>
      </c>
      <c r="U97" s="415"/>
      <c r="V97" s="415">
        <v>24000</v>
      </c>
      <c r="W97" s="822">
        <v>3102</v>
      </c>
      <c r="X97" s="436" t="str">
        <f>IFERROR(VLOOKUP(W97,DATA!$G$4:$H$400,2,FALSE),"")</f>
        <v xml:space="preserve">ВОРК ШОП ХХК </v>
      </c>
      <c r="Y97" s="328"/>
      <c r="Z97" s="328"/>
      <c r="AA97" s="328"/>
    </row>
    <row r="98" spans="1:27" ht="12.75" customHeight="1">
      <c r="A98" s="425"/>
      <c r="B98" s="368">
        <f t="shared" si="42"/>
        <v>93</v>
      </c>
      <c r="C98" s="425">
        <v>43179</v>
      </c>
      <c r="D98" s="830"/>
      <c r="E98" s="876" t="str">
        <f t="shared" ca="1" si="43"/>
        <v/>
      </c>
      <c r="F98" s="426" t="str">
        <f t="shared" ca="1" si="32"/>
        <v/>
      </c>
      <c r="G98" s="415"/>
      <c r="H98" s="415"/>
      <c r="I98" s="415"/>
      <c r="J98" s="415" t="str">
        <f t="shared" si="44"/>
        <v/>
      </c>
      <c r="K98" s="415" t="str">
        <f t="shared" si="45"/>
        <v/>
      </c>
      <c r="L98" s="415"/>
      <c r="M98" s="415"/>
      <c r="N98" s="422" t="str">
        <f>+IF(L98="","",L98*M98)</f>
        <v/>
      </c>
      <c r="O98" s="422" t="str">
        <f>+IF(L98="","",N98*0.1)</f>
        <v/>
      </c>
      <c r="P98" s="422" t="str">
        <f>+IF(L98="","",N98+O98)</f>
        <v/>
      </c>
      <c r="Q98" s="422" t="str">
        <f>IF(L98="","",IFERROR((SUMIFS(TN_balC1_totol,TN_code,D98)+SUMIFS(RC_or_totol,RC_Code,D98,RC_date,"&lt;="&amp;C98)-SUMIFS(RC_zar_totol,RC_Code,D98,RC_date,"&lt;"&amp;C98)) /( SUMIFS(TN_balC1_unit,TN_code,D98)+SUMIFS(RC_or_unit,RC_Code,D98,RC_date,"&lt;="&amp;C98)-SUMIFS(RC_zar_unit,RC_Code,D98,RC_date,"&lt;"&amp;C98)),0 ))</f>
        <v/>
      </c>
      <c r="R98" s="422" t="str">
        <f>+IF(L98="","",L98*Q98)</f>
        <v/>
      </c>
      <c r="S98" s="583">
        <v>510000</v>
      </c>
      <c r="T98" s="377" t="str">
        <f>+IFERROR(VLOOKUP(S98,STAT1!$C$4:$D$189,2,FALSE),"")</f>
        <v>Үндсэн үйл ажиллагааны борлуулалт</v>
      </c>
      <c r="U98" s="424"/>
      <c r="V98" s="424">
        <v>240000</v>
      </c>
      <c r="W98" s="822">
        <v>3102</v>
      </c>
      <c r="X98" s="436" t="str">
        <f>IFERROR(VLOOKUP(W98,DATA!$G$4:$H$400,2,FALSE),"")</f>
        <v xml:space="preserve">ВОРК ШОП ХХК </v>
      </c>
      <c r="Y98" s="328"/>
      <c r="Z98" s="328"/>
      <c r="AA98" s="328"/>
    </row>
    <row r="99" spans="1:27" ht="12.75" customHeight="1">
      <c r="A99" s="425"/>
      <c r="B99" s="368">
        <f t="shared" si="42"/>
        <v>94</v>
      </c>
      <c r="C99" s="425">
        <v>43179</v>
      </c>
      <c r="D99" s="830"/>
      <c r="E99" s="876" t="str">
        <f t="shared" ca="1" si="43"/>
        <v/>
      </c>
      <c r="F99" s="426" t="str">
        <f t="shared" ca="1" si="32"/>
        <v/>
      </c>
      <c r="G99" s="415"/>
      <c r="H99" s="415"/>
      <c r="I99" s="415"/>
      <c r="J99" s="415" t="str">
        <f t="shared" si="44"/>
        <v/>
      </c>
      <c r="K99" s="415" t="str">
        <f t="shared" si="45"/>
        <v/>
      </c>
      <c r="L99" s="415"/>
      <c r="M99" s="415"/>
      <c r="N99" s="422" t="str">
        <f>+IF(L99="","",L99*M99)</f>
        <v/>
      </c>
      <c r="O99" s="422" t="str">
        <f>+IF(L99="","",N99*0.1)</f>
        <v/>
      </c>
      <c r="P99" s="422" t="str">
        <f>+IF(L99="","",N99+O99)</f>
        <v/>
      </c>
      <c r="Q99" s="422" t="str">
        <f>IF(L99="","",IFERROR((SUMIFS(TN_balC1_totol,TN_code,D99)+SUMIFS(RC_or_totol,RC_Code,D99,RC_date,"&lt;="&amp;C99)-SUMIFS(RC_zar_totol,RC_Code,D99,RC_date,"&lt;"&amp;C99)) /( SUMIFS(TN_balC1_unit,TN_code,D99)+SUMIFS(RC_or_unit,RC_Code,D99,RC_date,"&lt;="&amp;C99)-SUMIFS(RC_zar_unit,RC_Code,D99,RC_date,"&lt;"&amp;C99)),0 ))</f>
        <v/>
      </c>
      <c r="R99" s="422" t="str">
        <f>+IF(L99="","",L99*Q99)</f>
        <v/>
      </c>
      <c r="S99" s="583">
        <v>320100</v>
      </c>
      <c r="T99" s="377" t="str">
        <f>+IFERROR(VLOOKUP(S99,STAT1!$C$4:$D$189,2,FALSE),"")</f>
        <v>Урьдчилж орсон орлого MNT</v>
      </c>
      <c r="U99" s="424">
        <v>264000</v>
      </c>
      <c r="V99" s="424"/>
      <c r="W99" s="822">
        <v>3102</v>
      </c>
      <c r="X99" s="436" t="str">
        <f>IFERROR(VLOOKUP(W99,DATA!$G$4:$H$400,2,FALSE),"")</f>
        <v xml:space="preserve">ВОРК ШОП ХХК </v>
      </c>
      <c r="Y99" s="328"/>
      <c r="Z99" s="328"/>
      <c r="AA99" s="328"/>
    </row>
    <row r="100" spans="1:27" ht="12.75" customHeight="1">
      <c r="A100" s="425"/>
      <c r="B100" s="368">
        <f t="shared" si="42"/>
        <v>95</v>
      </c>
      <c r="C100" s="425">
        <v>43181</v>
      </c>
      <c r="D100" s="830">
        <v>211802</v>
      </c>
      <c r="E100" s="876" t="str">
        <f t="shared" ca="1" si="43"/>
        <v xml:space="preserve">Н-Уголок </v>
      </c>
      <c r="F100" s="426" t="str">
        <f t="shared" ca="1" si="32"/>
        <v>м</v>
      </c>
      <c r="G100" s="415"/>
      <c r="H100" s="415"/>
      <c r="I100" s="415"/>
      <c r="J100" s="415" t="str">
        <f t="shared" si="44"/>
        <v/>
      </c>
      <c r="K100" s="415" t="str">
        <f t="shared" si="45"/>
        <v/>
      </c>
      <c r="L100" s="415">
        <v>31.09</v>
      </c>
      <c r="M100" s="415">
        <f>102600/31.09/1.1</f>
        <v>3000.0877218632122</v>
      </c>
      <c r="N100" s="422">
        <f>+IF(L100="","",L100*M100)</f>
        <v>93272.727272727265</v>
      </c>
      <c r="O100" s="422">
        <f>+IF(L100="","",N100*0.1)</f>
        <v>9327.2727272727261</v>
      </c>
      <c r="P100" s="422">
        <f>+IF(L100="","",N100+O100)</f>
        <v>102599.99999999999</v>
      </c>
      <c r="Q100" s="422">
        <f ca="1">IF(L100="","",IFERROR((SUMIFS(TN_balC1_totol,TN_code,D100)+SUMIFS(RC_or_totol,RC_Code,D100,RC_date,"&lt;="&amp;C100)-SUMIFS(RC_zar_totol,RC_Code,D100,RC_date,"&lt;"&amp;C100)) /( SUMIFS(TN_balC1_unit,TN_code,D100)+SUMIFS(RC_or_unit,RC_Code,D100,RC_date,"&lt;="&amp;C100)-SUMIFS(RC_zar_unit,RC_Code,D100,RC_date,"&lt;"&amp;C100)),0 ))</f>
        <v>1377.7799111418215</v>
      </c>
      <c r="R100" s="422">
        <f ca="1">+IF(L100="","",L100*Q100)</f>
        <v>42835.17743739923</v>
      </c>
      <c r="S100" s="583">
        <f>+IF(LEFT(D100,3)="131",140100,0)+IF(LEFT(D100,3)="310",150100,0)+IF(LEFT(D100,3)="211",150101,0)+IF(LEFT(D100,3)="410",160100,0)+IF(LEFT(D100,3)="440",160200,0)+IF(LEFT(D100,3)="430",160200,0)+IF(LEFT(D100,3)="420",160200,0)+IF(LEFT(D100,3)="460",160201,0)+IF(LEFT(D100,3)="210",150101,0)+IF(LEFT(D100,3)="510",140100,0)</f>
        <v>150101</v>
      </c>
      <c r="T100" s="377" t="str">
        <f>+IFERROR(VLOOKUP(S100,STAT1!$C$4:$D$189,2,FALSE),"")</f>
        <v>Бараа бэлэн бүтээгдэхүүн БОЛОВСРУУЛАХ ЦЕХ /нарс/</v>
      </c>
      <c r="U100" s="424"/>
      <c r="V100" s="424">
        <v>42835.17743739923</v>
      </c>
      <c r="W100" s="822">
        <v>3119</v>
      </c>
      <c r="X100" s="436" t="str">
        <f>IFERROR(VLOOKUP(W100,DATA!$G$4:$H$400,2,FALSE),"")</f>
        <v>ЭС ТИ СЕРВИС ХХК</v>
      </c>
      <c r="Y100" s="328"/>
      <c r="Z100" s="328"/>
      <c r="AA100" s="328"/>
    </row>
    <row r="101" spans="1:27" ht="12.75" customHeight="1">
      <c r="A101" s="425"/>
      <c r="B101" s="368">
        <f t="shared" si="42"/>
        <v>96</v>
      </c>
      <c r="C101" s="425">
        <v>43181</v>
      </c>
      <c r="D101" s="830"/>
      <c r="E101" s="876" t="str">
        <f t="shared" ca="1" si="43"/>
        <v/>
      </c>
      <c r="F101" s="426" t="str">
        <f t="shared" ca="1" si="32"/>
        <v/>
      </c>
      <c r="G101" s="415"/>
      <c r="H101" s="415"/>
      <c r="I101" s="415"/>
      <c r="J101" s="415" t="str">
        <f t="shared" si="44"/>
        <v/>
      </c>
      <c r="K101" s="415" t="str">
        <f t="shared" si="45"/>
        <v/>
      </c>
      <c r="L101" s="415"/>
      <c r="M101" s="415"/>
      <c r="N101" s="422" t="str">
        <f>+IF(L101="","",L101*M101)</f>
        <v/>
      </c>
      <c r="O101" s="422" t="str">
        <f>+IF(L101="","",N101*0.1)</f>
        <v/>
      </c>
      <c r="P101" s="422" t="str">
        <f>+IF(L101="","",N101+O101)</f>
        <v/>
      </c>
      <c r="Q101" s="422" t="str">
        <f>IF(L101="","",IFERROR((SUMIFS(TN_balC1_totol,TN_code,D101)+SUMIFS(RC_or_totol,RC_Code,D101,RC_date,"&lt;="&amp;C101)-SUMIFS(RC_zar_totol,RC_Code,D101,RC_date,"&lt;"&amp;C101)) /( SUMIFS(TN_balC1_unit,TN_code,D101)+SUMIFS(RC_or_unit,RC_Code,D101,RC_date,"&lt;="&amp;C101)-SUMIFS(RC_zar_unit,RC_Code,D101,RC_date,"&lt;"&amp;C101)),0 ))</f>
        <v/>
      </c>
      <c r="R101" s="422" t="str">
        <f>+IF(L101="","",L101*Q101)</f>
        <v/>
      </c>
      <c r="S101" s="583">
        <v>610100</v>
      </c>
      <c r="T101" s="377" t="str">
        <f>+IFERROR(VLOOKUP(S101,STAT1!$C$4:$D$189,2,FALSE),"")</f>
        <v>Борлуулсан барааны өртөг</v>
      </c>
      <c r="U101" s="424">
        <v>42835.17743739923</v>
      </c>
      <c r="V101" s="424"/>
      <c r="W101" s="822">
        <v>3119</v>
      </c>
      <c r="X101" s="436" t="str">
        <f>IFERROR(VLOOKUP(W101,DATA!$G$4:$H$400,2,FALSE),"")</f>
        <v>ЭС ТИ СЕРВИС ХХК</v>
      </c>
      <c r="Y101" s="328"/>
      <c r="Z101" s="328"/>
      <c r="AA101" s="328"/>
    </row>
    <row r="102" spans="1:27" ht="12.75" customHeight="1">
      <c r="A102" s="425"/>
      <c r="B102" s="368">
        <f t="shared" si="42"/>
        <v>97</v>
      </c>
      <c r="C102" s="425">
        <v>43181</v>
      </c>
      <c r="D102" s="830"/>
      <c r="E102" s="876" t="str">
        <f t="shared" ca="1" si="43"/>
        <v/>
      </c>
      <c r="F102" s="426" t="str">
        <f t="shared" ref="F102:F163" ca="1" si="46">+IFERROR(VLOOKUP(D102,TN_table,3,FALSE),"")</f>
        <v/>
      </c>
      <c r="G102" s="415"/>
      <c r="H102" s="415"/>
      <c r="I102" s="415"/>
      <c r="J102" s="415" t="str">
        <f t="shared" si="44"/>
        <v/>
      </c>
      <c r="K102" s="415" t="str">
        <f t="shared" si="45"/>
        <v/>
      </c>
      <c r="L102" s="415"/>
      <c r="M102" s="415"/>
      <c r="N102" s="422"/>
      <c r="O102" s="422"/>
      <c r="P102" s="422"/>
      <c r="Q102" s="422"/>
      <c r="R102" s="422"/>
      <c r="S102" s="583">
        <v>310500</v>
      </c>
      <c r="T102" s="377" t="str">
        <f>+IFERROR(VLOOKUP(S102,STAT1!$C$4:$D$189,2,FALSE),"")</f>
        <v>НӨАТ өглөг</v>
      </c>
      <c r="U102" s="415"/>
      <c r="V102" s="415">
        <v>9327.2727272727261</v>
      </c>
      <c r="W102" s="822">
        <v>3119</v>
      </c>
      <c r="X102" s="436" t="str">
        <f>IFERROR(VLOOKUP(W102,DATA!$G$4:$H$400,2,FALSE),"")</f>
        <v>ЭС ТИ СЕРВИС ХХК</v>
      </c>
      <c r="Y102" s="328"/>
      <c r="Z102" s="328"/>
      <c r="AA102" s="328"/>
    </row>
    <row r="103" spans="1:27" ht="12.75" customHeight="1">
      <c r="A103" s="425"/>
      <c r="B103" s="368">
        <f t="shared" si="42"/>
        <v>98</v>
      </c>
      <c r="C103" s="425">
        <v>43181</v>
      </c>
      <c r="D103" s="830"/>
      <c r="E103" s="876" t="str">
        <f t="shared" ca="1" si="43"/>
        <v/>
      </c>
      <c r="F103" s="426" t="str">
        <f t="shared" ca="1" si="46"/>
        <v/>
      </c>
      <c r="G103" s="415"/>
      <c r="H103" s="415"/>
      <c r="I103" s="415"/>
      <c r="J103" s="415" t="str">
        <f t="shared" si="44"/>
        <v/>
      </c>
      <c r="K103" s="415" t="str">
        <f t="shared" si="45"/>
        <v/>
      </c>
      <c r="L103" s="415"/>
      <c r="M103" s="415"/>
      <c r="N103" s="422" t="str">
        <f t="shared" ref="N103:N115" si="47">+IF(L103="","",L103*M103)</f>
        <v/>
      </c>
      <c r="O103" s="422" t="str">
        <f t="shared" ref="O103:O115" si="48">+IF(L103="","",N103*0.1)</f>
        <v/>
      </c>
      <c r="P103" s="422" t="str">
        <f t="shared" ref="P103:P115" si="49">+IF(L103="","",N103+O103)</f>
        <v/>
      </c>
      <c r="Q103" s="422" t="str">
        <f t="shared" ref="Q103:Q115" si="50">IF(L103="","",IFERROR((SUMIFS(TN_balC1_totol,TN_code,D103)+SUMIFS(RC_or_totol,RC_Code,D103,RC_date,"&lt;="&amp;C103)-SUMIFS(RC_zar_totol,RC_Code,D103,RC_date,"&lt;"&amp;C103)) /( SUMIFS(TN_balC1_unit,TN_code,D103)+SUMIFS(RC_or_unit,RC_Code,D103,RC_date,"&lt;="&amp;C103)-SUMIFS(RC_zar_unit,RC_Code,D103,RC_date,"&lt;"&amp;C103)),0 ))</f>
        <v/>
      </c>
      <c r="R103" s="422" t="str">
        <f t="shared" ref="R103:R115" si="51">+IF(L103="","",L103*Q103)</f>
        <v/>
      </c>
      <c r="S103" s="583">
        <v>510000</v>
      </c>
      <c r="T103" s="377" t="str">
        <f>+IFERROR(VLOOKUP(S103,STAT1!$C$4:$D$189,2,FALSE),"")</f>
        <v>Үндсэн үйл ажиллагааны борлуулалт</v>
      </c>
      <c r="U103" s="424"/>
      <c r="V103" s="424">
        <v>93272.727272727265</v>
      </c>
      <c r="W103" s="822">
        <v>3119</v>
      </c>
      <c r="X103" s="436" t="str">
        <f>IFERROR(VLOOKUP(W103,DATA!$G$4:$H$400,2,FALSE),"")</f>
        <v>ЭС ТИ СЕРВИС ХХК</v>
      </c>
      <c r="Y103" s="328"/>
      <c r="Z103" s="328"/>
      <c r="AA103" s="328"/>
    </row>
    <row r="104" spans="1:27" ht="12.75" customHeight="1">
      <c r="A104" s="425"/>
      <c r="B104" s="368">
        <f t="shared" si="42"/>
        <v>99</v>
      </c>
      <c r="C104" s="425">
        <v>43181</v>
      </c>
      <c r="D104" s="830"/>
      <c r="E104" s="876" t="str">
        <f t="shared" ca="1" si="43"/>
        <v/>
      </c>
      <c r="F104" s="426" t="str">
        <f t="shared" ca="1" si="46"/>
        <v/>
      </c>
      <c r="G104" s="415"/>
      <c r="H104" s="415"/>
      <c r="I104" s="415"/>
      <c r="J104" s="415" t="str">
        <f t="shared" si="44"/>
        <v/>
      </c>
      <c r="K104" s="415" t="str">
        <f t="shared" si="45"/>
        <v/>
      </c>
      <c r="L104" s="415"/>
      <c r="M104" s="415"/>
      <c r="N104" s="422" t="str">
        <f t="shared" si="47"/>
        <v/>
      </c>
      <c r="O104" s="422" t="str">
        <f t="shared" si="48"/>
        <v/>
      </c>
      <c r="P104" s="422" t="str">
        <f t="shared" si="49"/>
        <v/>
      </c>
      <c r="Q104" s="422" t="str">
        <f t="shared" si="50"/>
        <v/>
      </c>
      <c r="R104" s="422" t="str">
        <f t="shared" si="51"/>
        <v/>
      </c>
      <c r="S104" s="583">
        <v>320100</v>
      </c>
      <c r="T104" s="377" t="str">
        <f>+IFERROR(VLOOKUP(S104,STAT1!$C$4:$D$189,2,FALSE),"")</f>
        <v>Урьдчилж орсон орлого MNT</v>
      </c>
      <c r="U104" s="424">
        <v>102600</v>
      </c>
      <c r="V104" s="424"/>
      <c r="W104" s="822">
        <v>3119</v>
      </c>
      <c r="X104" s="436" t="str">
        <f>IFERROR(VLOOKUP(W104,DATA!$G$4:$H$400,2,FALSE),"")</f>
        <v>ЭС ТИ СЕРВИС ХХК</v>
      </c>
      <c r="Y104" s="328"/>
      <c r="Z104" s="328"/>
      <c r="AA104" s="328"/>
    </row>
    <row r="105" spans="1:27" ht="12.75" customHeight="1">
      <c r="A105" s="425"/>
      <c r="B105" s="368">
        <f t="shared" si="42"/>
        <v>100</v>
      </c>
      <c r="C105" s="425">
        <v>43181</v>
      </c>
      <c r="D105" s="830">
        <v>211801</v>
      </c>
      <c r="E105" s="876" t="str">
        <f t="shared" ca="1" si="43"/>
        <v>Н-Ембүү /20*30мм/</v>
      </c>
      <c r="F105" s="426" t="str">
        <f t="shared" ca="1" si="46"/>
        <v>м</v>
      </c>
      <c r="G105" s="415"/>
      <c r="H105" s="415"/>
      <c r="I105" s="415"/>
      <c r="J105" s="415" t="str">
        <f t="shared" si="44"/>
        <v/>
      </c>
      <c r="K105" s="415" t="str">
        <f t="shared" si="45"/>
        <v/>
      </c>
      <c r="L105" s="415">
        <v>102.15</v>
      </c>
      <c r="M105" s="415">
        <f>168550/1.1/102.15</f>
        <v>1500.022248920927</v>
      </c>
      <c r="N105" s="422">
        <f t="shared" si="47"/>
        <v>153227.27272727271</v>
      </c>
      <c r="O105" s="422">
        <f t="shared" si="48"/>
        <v>15322.727272727272</v>
      </c>
      <c r="P105" s="422">
        <f t="shared" si="49"/>
        <v>168549.99999999997</v>
      </c>
      <c r="Q105" s="422">
        <f t="shared" ca="1" si="50"/>
        <v>768.80288972169444</v>
      </c>
      <c r="R105" s="422">
        <f t="shared" ca="1" si="51"/>
        <v>78533.215185071094</v>
      </c>
      <c r="S105" s="583">
        <f>+IF(LEFT(D105,3)="131",140100,0)+IF(LEFT(D105,3)="310",150100,0)+IF(LEFT(D105,3)="211",150101,0)+IF(LEFT(D105,3)="410",160100,0)+IF(LEFT(D105,3)="440",160200,0)+IF(LEFT(D105,3)="430",160200,0)+IF(LEFT(D105,3)="420",160200,0)+IF(LEFT(D105,3)="460",160201,0)+IF(LEFT(D105,3)="210",150101,0)+IF(LEFT(D105,3)="510",140100,0)</f>
        <v>150101</v>
      </c>
      <c r="T105" s="377" t="str">
        <f>+IFERROR(VLOOKUP(S105,STAT1!$C$4:$D$189,2,FALSE),"")</f>
        <v>Бараа бэлэн бүтээгдэхүүн БОЛОВСРУУЛАХ ЦЕХ /нарс/</v>
      </c>
      <c r="U105" s="424"/>
      <c r="V105" s="424">
        <v>78533.215185071094</v>
      </c>
      <c r="W105" s="822">
        <v>3122</v>
      </c>
      <c r="X105" s="436" t="str">
        <f>IFERROR(VLOOKUP(W105,DATA!$G$4:$H$400,2,FALSE),"")</f>
        <v xml:space="preserve">РАДД ХХК </v>
      </c>
      <c r="Y105" s="328"/>
      <c r="Z105" s="328"/>
      <c r="AA105" s="328"/>
    </row>
    <row r="106" spans="1:27" ht="13.5" customHeight="1">
      <c r="A106" s="425"/>
      <c r="B106" s="368">
        <f t="shared" si="42"/>
        <v>101</v>
      </c>
      <c r="C106" s="425">
        <v>43181</v>
      </c>
      <c r="D106" s="830"/>
      <c r="E106" s="876" t="str">
        <f t="shared" ca="1" si="43"/>
        <v/>
      </c>
      <c r="F106" s="426" t="str">
        <f t="shared" ca="1" si="46"/>
        <v/>
      </c>
      <c r="G106" s="415"/>
      <c r="H106" s="415"/>
      <c r="I106" s="415" t="str">
        <f t="shared" ref="I106:I114" si="52">+IF(G106="","",G106*H106)</f>
        <v/>
      </c>
      <c r="J106" s="415" t="str">
        <f t="shared" si="44"/>
        <v/>
      </c>
      <c r="K106" s="415" t="str">
        <f t="shared" si="45"/>
        <v/>
      </c>
      <c r="L106" s="415"/>
      <c r="M106" s="415"/>
      <c r="N106" s="422" t="str">
        <f t="shared" si="47"/>
        <v/>
      </c>
      <c r="O106" s="422" t="str">
        <f t="shared" si="48"/>
        <v/>
      </c>
      <c r="P106" s="422" t="str">
        <f t="shared" si="49"/>
        <v/>
      </c>
      <c r="Q106" s="422" t="str">
        <f t="shared" si="50"/>
        <v/>
      </c>
      <c r="R106" s="422" t="str">
        <f t="shared" si="51"/>
        <v/>
      </c>
      <c r="S106" s="583">
        <v>610100</v>
      </c>
      <c r="T106" s="377" t="str">
        <f>+IFERROR(VLOOKUP(S106,STAT1!$C$4:$D$189,2,FALSE),"")</f>
        <v>Борлуулсан барааны өртөг</v>
      </c>
      <c r="U106" s="424">
        <v>78533.215185071094</v>
      </c>
      <c r="V106" s="424"/>
      <c r="W106" s="822">
        <v>3122</v>
      </c>
      <c r="X106" s="436" t="str">
        <f>IFERROR(VLOOKUP(W106,DATA!$G$4:$H$400,2,FALSE),"")</f>
        <v xml:space="preserve">РАДД ХХК </v>
      </c>
      <c r="Y106" s="328"/>
      <c r="Z106" s="328"/>
      <c r="AA106" s="328"/>
    </row>
    <row r="107" spans="1:27" ht="12.75" customHeight="1">
      <c r="A107" s="425"/>
      <c r="B107" s="368">
        <f t="shared" si="42"/>
        <v>102</v>
      </c>
      <c r="C107" s="425">
        <v>43181</v>
      </c>
      <c r="D107" s="830"/>
      <c r="E107" s="876" t="str">
        <f t="shared" ca="1" si="43"/>
        <v/>
      </c>
      <c r="F107" s="426" t="str">
        <f t="shared" ca="1" si="46"/>
        <v/>
      </c>
      <c r="G107" s="415"/>
      <c r="H107" s="415"/>
      <c r="I107" s="415" t="str">
        <f t="shared" si="52"/>
        <v/>
      </c>
      <c r="J107" s="415" t="str">
        <f t="shared" si="44"/>
        <v/>
      </c>
      <c r="K107" s="415" t="str">
        <f t="shared" si="45"/>
        <v/>
      </c>
      <c r="L107" s="415"/>
      <c r="M107" s="415"/>
      <c r="N107" s="422" t="str">
        <f t="shared" si="47"/>
        <v/>
      </c>
      <c r="O107" s="422" t="str">
        <f t="shared" si="48"/>
        <v/>
      </c>
      <c r="P107" s="422" t="str">
        <f t="shared" si="49"/>
        <v/>
      </c>
      <c r="Q107" s="422" t="str">
        <f t="shared" si="50"/>
        <v/>
      </c>
      <c r="R107" s="422" t="str">
        <f t="shared" si="51"/>
        <v/>
      </c>
      <c r="S107" s="583">
        <v>310500</v>
      </c>
      <c r="T107" s="377" t="str">
        <f>+IFERROR(VLOOKUP(S107,STAT1!$C$4:$D$189,2,FALSE),"")</f>
        <v>НӨАТ өглөг</v>
      </c>
      <c r="U107" s="415"/>
      <c r="V107" s="415">
        <v>15322.727272727272</v>
      </c>
      <c r="W107" s="822">
        <v>3122</v>
      </c>
      <c r="X107" s="436" t="str">
        <f>IFERROR(VLOOKUP(W107,DATA!$G$4:$H$400,2,FALSE),"")</f>
        <v xml:space="preserve">РАДД ХХК </v>
      </c>
      <c r="Y107" s="328"/>
      <c r="Z107" s="328"/>
      <c r="AA107" s="328"/>
    </row>
    <row r="108" spans="1:27" ht="12.75" customHeight="1">
      <c r="A108" s="425"/>
      <c r="B108" s="368">
        <f t="shared" si="42"/>
        <v>103</v>
      </c>
      <c r="C108" s="425">
        <v>43181</v>
      </c>
      <c r="D108" s="830"/>
      <c r="E108" s="876" t="str">
        <f t="shared" ca="1" si="43"/>
        <v/>
      </c>
      <c r="F108" s="426" t="str">
        <f t="shared" ca="1" si="46"/>
        <v/>
      </c>
      <c r="G108" s="415"/>
      <c r="H108" s="415"/>
      <c r="I108" s="415" t="str">
        <f t="shared" si="52"/>
        <v/>
      </c>
      <c r="J108" s="415" t="str">
        <f t="shared" si="44"/>
        <v/>
      </c>
      <c r="K108" s="415" t="str">
        <f t="shared" si="45"/>
        <v/>
      </c>
      <c r="L108" s="415"/>
      <c r="M108" s="415"/>
      <c r="N108" s="422" t="str">
        <f t="shared" si="47"/>
        <v/>
      </c>
      <c r="O108" s="422" t="str">
        <f t="shared" si="48"/>
        <v/>
      </c>
      <c r="P108" s="422" t="str">
        <f t="shared" si="49"/>
        <v/>
      </c>
      <c r="Q108" s="422" t="str">
        <f t="shared" si="50"/>
        <v/>
      </c>
      <c r="R108" s="422" t="str">
        <f t="shared" si="51"/>
        <v/>
      </c>
      <c r="S108" s="583">
        <v>510000</v>
      </c>
      <c r="T108" s="377" t="str">
        <f>+IFERROR(VLOOKUP(S108,STAT1!$C$4:$D$189,2,FALSE),"")</f>
        <v>Үндсэн үйл ажиллагааны борлуулалт</v>
      </c>
      <c r="U108" s="424"/>
      <c r="V108" s="424">
        <v>153227.27272727271</v>
      </c>
      <c r="W108" s="822">
        <v>3122</v>
      </c>
      <c r="X108" s="436" t="str">
        <f>IFERROR(VLOOKUP(W108,DATA!$G$4:$H$400,2,FALSE),"")</f>
        <v xml:space="preserve">РАДД ХХК </v>
      </c>
      <c r="Y108" s="328"/>
      <c r="Z108" s="328"/>
      <c r="AA108" s="328"/>
    </row>
    <row r="109" spans="1:27" ht="12.75" customHeight="1">
      <c r="A109" s="425"/>
      <c r="B109" s="368">
        <f t="shared" si="42"/>
        <v>104</v>
      </c>
      <c r="C109" s="425">
        <v>43181</v>
      </c>
      <c r="D109" s="830"/>
      <c r="E109" s="876" t="str">
        <f t="shared" ca="1" si="43"/>
        <v/>
      </c>
      <c r="F109" s="426" t="str">
        <f t="shared" ca="1" si="46"/>
        <v/>
      </c>
      <c r="G109" s="415"/>
      <c r="H109" s="415"/>
      <c r="I109" s="415" t="str">
        <f t="shared" si="52"/>
        <v/>
      </c>
      <c r="J109" s="415" t="str">
        <f t="shared" si="44"/>
        <v/>
      </c>
      <c r="K109" s="415" t="str">
        <f t="shared" si="45"/>
        <v/>
      </c>
      <c r="L109" s="415"/>
      <c r="M109" s="415"/>
      <c r="N109" s="422" t="str">
        <f t="shared" si="47"/>
        <v/>
      </c>
      <c r="O109" s="422" t="str">
        <f t="shared" si="48"/>
        <v/>
      </c>
      <c r="P109" s="422" t="str">
        <f t="shared" si="49"/>
        <v/>
      </c>
      <c r="Q109" s="422" t="str">
        <f t="shared" si="50"/>
        <v/>
      </c>
      <c r="R109" s="422" t="str">
        <f t="shared" si="51"/>
        <v/>
      </c>
      <c r="S109" s="583">
        <v>320100</v>
      </c>
      <c r="T109" s="377" t="str">
        <f>+IFERROR(VLOOKUP(S109,STAT1!$C$4:$D$189,2,FALSE),"")</f>
        <v>Урьдчилж орсон орлого MNT</v>
      </c>
      <c r="U109" s="424">
        <v>168550</v>
      </c>
      <c r="V109" s="424"/>
      <c r="W109" s="822">
        <v>3122</v>
      </c>
      <c r="X109" s="436" t="str">
        <f>IFERROR(VLOOKUP(W109,DATA!$G$4:$H$400,2,FALSE),"")</f>
        <v xml:space="preserve">РАДД ХХК </v>
      </c>
      <c r="Y109" s="328"/>
      <c r="Z109" s="328"/>
      <c r="AA109" s="328"/>
    </row>
    <row r="110" spans="1:27" ht="12.75" customHeight="1">
      <c r="A110" s="425"/>
      <c r="B110" s="368">
        <f t="shared" si="42"/>
        <v>105</v>
      </c>
      <c r="C110" s="425">
        <v>43185</v>
      </c>
      <c r="D110" s="830">
        <v>211717</v>
      </c>
      <c r="E110" s="876" t="str">
        <f t="shared" ca="1" si="43"/>
        <v>Н-Хавтан/зузаан-4см/-яртай</v>
      </c>
      <c r="F110" s="426" t="str">
        <f t="shared" ca="1" si="46"/>
        <v>м2</v>
      </c>
      <c r="G110" s="415"/>
      <c r="H110" s="415"/>
      <c r="I110" s="415" t="str">
        <f t="shared" si="52"/>
        <v/>
      </c>
      <c r="J110" s="415" t="str">
        <f t="shared" si="44"/>
        <v/>
      </c>
      <c r="K110" s="415" t="str">
        <f t="shared" si="45"/>
        <v/>
      </c>
      <c r="L110" s="415">
        <v>2.61</v>
      </c>
      <c r="M110" s="415">
        <f>143640/1.1/2.61</f>
        <v>50031.347962382446</v>
      </c>
      <c r="N110" s="422">
        <f t="shared" si="47"/>
        <v>130581.81818181818</v>
      </c>
      <c r="O110" s="422">
        <f t="shared" si="48"/>
        <v>13058.181818181818</v>
      </c>
      <c r="P110" s="422">
        <f t="shared" si="49"/>
        <v>143640</v>
      </c>
      <c r="Q110" s="422">
        <f t="shared" ca="1" si="50"/>
        <v>48558.950850377012</v>
      </c>
      <c r="R110" s="422">
        <f t="shared" ca="1" si="51"/>
        <v>126738.86171948399</v>
      </c>
      <c r="S110" s="583">
        <f>+IF(LEFT(D110,3)="131",140100,0)+IF(LEFT(D110,3)="310",150100,0)+IF(LEFT(D110,3)="211",150101,0)+IF(LEFT(D110,3)="410",160100,0)+IF(LEFT(D110,3)="440",160200,0)+IF(LEFT(D110,3)="430",160200,0)+IF(LEFT(D110,3)="420",160200,0)+IF(LEFT(D110,3)="460",160201,0)+IF(LEFT(D110,3)="210",150101,0)+IF(LEFT(D110,3)="510",140100,0)</f>
        <v>150101</v>
      </c>
      <c r="T110" s="377" t="str">
        <f>+IFERROR(VLOOKUP(S110,STAT1!$C$4:$D$189,2,FALSE),"")</f>
        <v>Бараа бэлэн бүтээгдэхүүн БОЛОВСРУУЛАХ ЦЕХ /нарс/</v>
      </c>
      <c r="U110" s="424"/>
      <c r="V110" s="424">
        <v>126738.86171948399</v>
      </c>
      <c r="W110" s="822">
        <v>3051</v>
      </c>
      <c r="X110" s="436" t="str">
        <f>IFERROR(VLOOKUP(W110,DATA!$G$4:$H$400,2,FALSE),"")</f>
        <v xml:space="preserve">НОМАДС ТУР ХХК </v>
      </c>
      <c r="Y110" s="328"/>
      <c r="Z110" s="328"/>
      <c r="AA110" s="328"/>
    </row>
    <row r="111" spans="1:27" ht="12.75" customHeight="1">
      <c r="A111" s="425"/>
      <c r="B111" s="368">
        <f t="shared" si="42"/>
        <v>106</v>
      </c>
      <c r="C111" s="425">
        <v>43185</v>
      </c>
      <c r="D111" s="830"/>
      <c r="E111" s="876" t="str">
        <f t="shared" ca="1" si="43"/>
        <v/>
      </c>
      <c r="F111" s="426" t="str">
        <f t="shared" ca="1" si="46"/>
        <v/>
      </c>
      <c r="G111" s="415"/>
      <c r="H111" s="415"/>
      <c r="I111" s="415" t="str">
        <f t="shared" si="52"/>
        <v/>
      </c>
      <c r="J111" s="415" t="str">
        <f t="shared" si="44"/>
        <v/>
      </c>
      <c r="K111" s="415" t="str">
        <f t="shared" si="45"/>
        <v/>
      </c>
      <c r="L111" s="415"/>
      <c r="M111" s="415"/>
      <c r="N111" s="422" t="str">
        <f t="shared" si="47"/>
        <v/>
      </c>
      <c r="O111" s="422" t="str">
        <f t="shared" si="48"/>
        <v/>
      </c>
      <c r="P111" s="422" t="str">
        <f t="shared" si="49"/>
        <v/>
      </c>
      <c r="Q111" s="422" t="str">
        <f t="shared" si="50"/>
        <v/>
      </c>
      <c r="R111" s="422" t="str">
        <f t="shared" si="51"/>
        <v/>
      </c>
      <c r="S111" s="583">
        <v>610100</v>
      </c>
      <c r="T111" s="377" t="str">
        <f>+IFERROR(VLOOKUP(S111,STAT1!$C$4:$D$189,2,FALSE),"")</f>
        <v>Борлуулсан барааны өртөг</v>
      </c>
      <c r="U111" s="424">
        <v>126738.86171948399</v>
      </c>
      <c r="V111" s="424"/>
      <c r="W111" s="822">
        <v>3051</v>
      </c>
      <c r="X111" s="436" t="str">
        <f>IFERROR(VLOOKUP(W111,DATA!$G$4:$H$400,2,FALSE),"")</f>
        <v xml:space="preserve">НОМАДС ТУР ХХК </v>
      </c>
      <c r="Y111" s="328"/>
      <c r="Z111" s="328"/>
      <c r="AA111" s="328"/>
    </row>
    <row r="112" spans="1:27" ht="12.75" customHeight="1">
      <c r="A112" s="425"/>
      <c r="B112" s="368">
        <f t="shared" si="42"/>
        <v>107</v>
      </c>
      <c r="C112" s="425">
        <v>43185</v>
      </c>
      <c r="D112" s="830"/>
      <c r="E112" s="876" t="str">
        <f t="shared" ca="1" si="43"/>
        <v/>
      </c>
      <c r="F112" s="426" t="str">
        <f t="shared" ca="1" si="46"/>
        <v/>
      </c>
      <c r="G112" s="415"/>
      <c r="H112" s="415"/>
      <c r="I112" s="415" t="str">
        <f t="shared" si="52"/>
        <v/>
      </c>
      <c r="J112" s="415" t="str">
        <f t="shared" si="44"/>
        <v/>
      </c>
      <c r="K112" s="415" t="str">
        <f t="shared" si="45"/>
        <v/>
      </c>
      <c r="L112" s="415"/>
      <c r="M112" s="415"/>
      <c r="N112" s="422" t="str">
        <f t="shared" si="47"/>
        <v/>
      </c>
      <c r="O112" s="422" t="str">
        <f t="shared" si="48"/>
        <v/>
      </c>
      <c r="P112" s="422" t="str">
        <f t="shared" si="49"/>
        <v/>
      </c>
      <c r="Q112" s="422" t="str">
        <f t="shared" si="50"/>
        <v/>
      </c>
      <c r="R112" s="422" t="str">
        <f t="shared" si="51"/>
        <v/>
      </c>
      <c r="S112" s="583">
        <v>310500</v>
      </c>
      <c r="T112" s="377" t="str">
        <f>+IFERROR(VLOOKUP(S112,STAT1!$C$4:$D$189,2,FALSE),"")</f>
        <v>НӨАТ өглөг</v>
      </c>
      <c r="U112" s="415"/>
      <c r="V112" s="415">
        <v>13058.181818181818</v>
      </c>
      <c r="W112" s="822">
        <v>3051</v>
      </c>
      <c r="X112" s="436" t="str">
        <f>IFERROR(VLOOKUP(W112,DATA!$G$4:$H$400,2,FALSE),"")</f>
        <v xml:space="preserve">НОМАДС ТУР ХХК </v>
      </c>
      <c r="Y112" s="328"/>
      <c r="Z112" s="328"/>
      <c r="AA112" s="328"/>
    </row>
    <row r="113" spans="1:27" ht="12.75" customHeight="1">
      <c r="A113" s="425"/>
      <c r="B113" s="368">
        <f t="shared" si="42"/>
        <v>108</v>
      </c>
      <c r="C113" s="425">
        <v>43185</v>
      </c>
      <c r="D113" s="830"/>
      <c r="E113" s="876" t="str">
        <f t="shared" ca="1" si="43"/>
        <v/>
      </c>
      <c r="F113" s="426" t="str">
        <f t="shared" ca="1" si="46"/>
        <v/>
      </c>
      <c r="G113" s="415"/>
      <c r="H113" s="415"/>
      <c r="I113" s="415" t="str">
        <f t="shared" si="52"/>
        <v/>
      </c>
      <c r="J113" s="415" t="str">
        <f t="shared" si="44"/>
        <v/>
      </c>
      <c r="K113" s="415" t="str">
        <f t="shared" si="45"/>
        <v/>
      </c>
      <c r="L113" s="415"/>
      <c r="M113" s="415"/>
      <c r="N113" s="422" t="str">
        <f t="shared" si="47"/>
        <v/>
      </c>
      <c r="O113" s="422" t="str">
        <f t="shared" si="48"/>
        <v/>
      </c>
      <c r="P113" s="422" t="str">
        <f t="shared" si="49"/>
        <v/>
      </c>
      <c r="Q113" s="422" t="str">
        <f t="shared" si="50"/>
        <v/>
      </c>
      <c r="R113" s="422" t="str">
        <f t="shared" si="51"/>
        <v/>
      </c>
      <c r="S113" s="583">
        <v>510000</v>
      </c>
      <c r="T113" s="377" t="str">
        <f>+IFERROR(VLOOKUP(S113,STAT1!$C$4:$D$189,2,FALSE),"")</f>
        <v>Үндсэн үйл ажиллагааны борлуулалт</v>
      </c>
      <c r="U113" s="424"/>
      <c r="V113" s="424">
        <v>130581.81818181818</v>
      </c>
      <c r="W113" s="822">
        <v>3051</v>
      </c>
      <c r="X113" s="436" t="str">
        <f>IFERROR(VLOOKUP(W113,DATA!$G$4:$H$400,2,FALSE),"")</f>
        <v xml:space="preserve">НОМАДС ТУР ХХК </v>
      </c>
      <c r="Y113" s="328"/>
      <c r="Z113" s="328"/>
      <c r="AA113" s="328"/>
    </row>
    <row r="114" spans="1:27" ht="12.75" customHeight="1">
      <c r="A114" s="425"/>
      <c r="B114" s="368">
        <f t="shared" si="42"/>
        <v>109</v>
      </c>
      <c r="C114" s="425">
        <v>43185</v>
      </c>
      <c r="D114" s="830"/>
      <c r="E114" s="876" t="str">
        <f t="shared" ca="1" si="43"/>
        <v/>
      </c>
      <c r="F114" s="426" t="str">
        <f t="shared" ca="1" si="46"/>
        <v/>
      </c>
      <c r="G114" s="415"/>
      <c r="H114" s="415"/>
      <c r="I114" s="415" t="str">
        <f t="shared" si="52"/>
        <v/>
      </c>
      <c r="J114" s="415" t="str">
        <f t="shared" si="44"/>
        <v/>
      </c>
      <c r="K114" s="415" t="str">
        <f t="shared" si="45"/>
        <v/>
      </c>
      <c r="L114" s="415"/>
      <c r="M114" s="415"/>
      <c r="N114" s="422" t="str">
        <f t="shared" si="47"/>
        <v/>
      </c>
      <c r="O114" s="422" t="str">
        <f t="shared" si="48"/>
        <v/>
      </c>
      <c r="P114" s="422" t="str">
        <f t="shared" si="49"/>
        <v/>
      </c>
      <c r="Q114" s="422" t="str">
        <f t="shared" si="50"/>
        <v/>
      </c>
      <c r="R114" s="422" t="str">
        <f t="shared" si="51"/>
        <v/>
      </c>
      <c r="S114" s="583">
        <v>320100</v>
      </c>
      <c r="T114" s="377" t="str">
        <f>+IFERROR(VLOOKUP(S114,STAT1!$C$4:$D$189,2,FALSE),"")</f>
        <v>Урьдчилж орсон орлого MNT</v>
      </c>
      <c r="U114" s="424">
        <v>143640</v>
      </c>
      <c r="V114" s="424"/>
      <c r="W114" s="822">
        <v>3051</v>
      </c>
      <c r="X114" s="436" t="str">
        <f>IFERROR(VLOOKUP(W114,DATA!$G$4:$H$400,2,FALSE),"")</f>
        <v xml:space="preserve">НОМАДС ТУР ХХК </v>
      </c>
      <c r="Y114" s="328"/>
      <c r="Z114" s="328"/>
      <c r="AA114" s="328"/>
    </row>
    <row r="115" spans="1:27" ht="12.75" customHeight="1">
      <c r="A115" s="425"/>
      <c r="B115" s="368">
        <f t="shared" si="42"/>
        <v>110</v>
      </c>
      <c r="C115" s="425">
        <v>43185</v>
      </c>
      <c r="D115" s="830">
        <v>211504</v>
      </c>
      <c r="E115" s="876" t="str">
        <f t="shared" ca="1" si="43"/>
        <v xml:space="preserve">Н-Евровагонка /зузаан-1.2см/-яртай </v>
      </c>
      <c r="F115" s="426" t="str">
        <f t="shared" ca="1" si="46"/>
        <v>м2</v>
      </c>
      <c r="G115" s="415"/>
      <c r="H115" s="415"/>
      <c r="I115" s="415"/>
      <c r="J115" s="415" t="str">
        <f t="shared" si="44"/>
        <v/>
      </c>
      <c r="K115" s="415" t="str">
        <f t="shared" si="45"/>
        <v/>
      </c>
      <c r="L115" s="415">
        <v>15.43</v>
      </c>
      <c r="M115" s="415">
        <f>305670/1.1/15.43</f>
        <v>18009.191068167089</v>
      </c>
      <c r="N115" s="422">
        <f t="shared" si="47"/>
        <v>277881.81818181818</v>
      </c>
      <c r="O115" s="422">
        <f t="shared" si="48"/>
        <v>27788.18181818182</v>
      </c>
      <c r="P115" s="422">
        <f t="shared" si="49"/>
        <v>305670</v>
      </c>
      <c r="Q115" s="422">
        <f t="shared" ca="1" si="50"/>
        <v>11896.785561853305</v>
      </c>
      <c r="R115" s="422">
        <f t="shared" ca="1" si="51"/>
        <v>183567.4012193965</v>
      </c>
      <c r="S115" s="583">
        <f>+IF(LEFT(D115,3)="131",140100,0)+IF(LEFT(D115,3)="310",150100,0)+IF(LEFT(D115,3)="211",150101,0)+IF(LEFT(D115,3)="410",160100,0)+IF(LEFT(D115,3)="440",160200,0)+IF(LEFT(D115,3)="430",160200,0)+IF(LEFT(D115,3)="420",160200,0)+IF(LEFT(D115,3)="460",160201,0)+IF(LEFT(D115,3)="210",150101,0)+IF(LEFT(D115,3)="510",140100,0)</f>
        <v>150101</v>
      </c>
      <c r="T115" s="377" t="str">
        <f>+IFERROR(VLOOKUP(S115,STAT1!$C$4:$D$189,2,FALSE),"")</f>
        <v>Бараа бэлэн бүтээгдэхүүн БОЛОВСРУУЛАХ ЦЕХ /нарс/</v>
      </c>
      <c r="U115" s="424"/>
      <c r="V115" s="424">
        <v>183567.4012193965</v>
      </c>
      <c r="W115" s="822">
        <v>3121</v>
      </c>
      <c r="X115" s="436" t="str">
        <f>IFERROR(VLOOKUP(W115,DATA!$G$4:$H$400,2,FALSE),"")</f>
        <v xml:space="preserve">КОМ ТАВИЛГА ХХК </v>
      </c>
      <c r="Y115" s="328"/>
      <c r="Z115" s="328"/>
      <c r="AA115" s="328"/>
    </row>
    <row r="116" spans="1:27" ht="12.75" customHeight="1">
      <c r="A116" s="425"/>
      <c r="B116" s="368">
        <f t="shared" si="42"/>
        <v>111</v>
      </c>
      <c r="C116" s="425">
        <v>43185</v>
      </c>
      <c r="D116" s="830"/>
      <c r="E116" s="876" t="str">
        <f t="shared" ca="1" si="43"/>
        <v/>
      </c>
      <c r="F116" s="426" t="str">
        <f t="shared" ca="1" si="46"/>
        <v/>
      </c>
      <c r="G116" s="415"/>
      <c r="H116" s="415"/>
      <c r="I116" s="415"/>
      <c r="J116" s="415" t="str">
        <f t="shared" si="44"/>
        <v/>
      </c>
      <c r="K116" s="415" t="str">
        <f t="shared" si="45"/>
        <v/>
      </c>
      <c r="L116" s="415"/>
      <c r="M116" s="415"/>
      <c r="N116" s="422"/>
      <c r="O116" s="422"/>
      <c r="P116" s="422"/>
      <c r="Q116" s="422"/>
      <c r="R116" s="422"/>
      <c r="S116" s="583">
        <v>610100</v>
      </c>
      <c r="T116" s="377" t="str">
        <f>+IFERROR(VLOOKUP(S116,STAT1!$C$4:$D$189,2,FALSE),"")</f>
        <v>Борлуулсан барааны өртөг</v>
      </c>
      <c r="U116" s="424">
        <v>183567.4012193965</v>
      </c>
      <c r="V116" s="424"/>
      <c r="W116" s="822">
        <v>3121</v>
      </c>
      <c r="X116" s="436" t="str">
        <f>IFERROR(VLOOKUP(W116,DATA!$G$4:$H$400,2,FALSE),"")</f>
        <v xml:space="preserve">КОМ ТАВИЛГА ХХК </v>
      </c>
      <c r="Y116" s="328"/>
      <c r="Z116" s="328"/>
      <c r="AA116" s="328"/>
    </row>
    <row r="117" spans="1:27" ht="12.75" customHeight="1">
      <c r="A117" s="425"/>
      <c r="B117" s="368">
        <f t="shared" si="42"/>
        <v>112</v>
      </c>
      <c r="C117" s="425">
        <v>43185</v>
      </c>
      <c r="D117" s="830"/>
      <c r="E117" s="876" t="str">
        <f t="shared" ca="1" si="43"/>
        <v/>
      </c>
      <c r="F117" s="426" t="str">
        <f t="shared" ca="1" si="46"/>
        <v/>
      </c>
      <c r="G117" s="415"/>
      <c r="H117" s="415"/>
      <c r="I117" s="415"/>
      <c r="J117" s="415" t="str">
        <f t="shared" si="44"/>
        <v/>
      </c>
      <c r="K117" s="415" t="str">
        <f t="shared" si="45"/>
        <v/>
      </c>
      <c r="L117" s="415"/>
      <c r="M117" s="415"/>
      <c r="N117" s="422" t="str">
        <f t="shared" ref="N117:N123" si="53">+IF(L117="","",L117*M117)</f>
        <v/>
      </c>
      <c r="O117" s="422" t="str">
        <f t="shared" ref="O117:O123" si="54">+IF(L117="","",N117*0.1)</f>
        <v/>
      </c>
      <c r="P117" s="422" t="str">
        <f t="shared" ref="P117:P123" si="55">+IF(L117="","",N117+O117)</f>
        <v/>
      </c>
      <c r="Q117" s="422" t="str">
        <f t="shared" ref="Q117:Q123" si="56">IF(L117="","",IFERROR((SUMIFS(TN_balC1_totol,TN_code,D117)+SUMIFS(RC_or_totol,RC_Code,D117,RC_date,"&lt;="&amp;C117)-SUMIFS(RC_zar_totol,RC_Code,D117,RC_date,"&lt;"&amp;C117)) /( SUMIFS(TN_balC1_unit,TN_code,D117)+SUMIFS(RC_or_unit,RC_Code,D117,RC_date,"&lt;="&amp;C117)-SUMIFS(RC_zar_unit,RC_Code,D117,RC_date,"&lt;"&amp;C117)),0 ))</f>
        <v/>
      </c>
      <c r="R117" s="422" t="str">
        <f t="shared" ref="R117:R123" si="57">+IF(L117="","",L117*Q117)</f>
        <v/>
      </c>
      <c r="S117" s="583">
        <v>310500</v>
      </c>
      <c r="T117" s="377" t="str">
        <f>+IFERROR(VLOOKUP(S117,STAT1!$C$4:$D$189,2,FALSE),"")</f>
        <v>НӨАТ өглөг</v>
      </c>
      <c r="U117" s="415"/>
      <c r="V117" s="415">
        <v>27788.18181818182</v>
      </c>
      <c r="W117" s="822">
        <v>3121</v>
      </c>
      <c r="X117" s="436" t="str">
        <f>IFERROR(VLOOKUP(W117,DATA!$G$4:$H$400,2,FALSE),"")</f>
        <v xml:space="preserve">КОМ ТАВИЛГА ХХК </v>
      </c>
      <c r="Y117" s="328"/>
      <c r="Z117" s="328"/>
      <c r="AA117" s="328"/>
    </row>
    <row r="118" spans="1:27" ht="12.75" customHeight="1">
      <c r="A118" s="425"/>
      <c r="B118" s="368">
        <f t="shared" si="42"/>
        <v>113</v>
      </c>
      <c r="C118" s="425">
        <v>43185</v>
      </c>
      <c r="D118" s="830"/>
      <c r="E118" s="876" t="str">
        <f t="shared" ca="1" si="43"/>
        <v/>
      </c>
      <c r="F118" s="426" t="str">
        <f t="shared" ca="1" si="46"/>
        <v/>
      </c>
      <c r="G118" s="415"/>
      <c r="H118" s="415"/>
      <c r="I118" s="415"/>
      <c r="J118" s="415" t="str">
        <f t="shared" si="44"/>
        <v/>
      </c>
      <c r="K118" s="415" t="str">
        <f t="shared" si="45"/>
        <v/>
      </c>
      <c r="L118" s="415"/>
      <c r="M118" s="415"/>
      <c r="N118" s="422" t="str">
        <f t="shared" si="53"/>
        <v/>
      </c>
      <c r="O118" s="422" t="str">
        <f t="shared" si="54"/>
        <v/>
      </c>
      <c r="P118" s="422" t="str">
        <f t="shared" si="55"/>
        <v/>
      </c>
      <c r="Q118" s="422" t="str">
        <f t="shared" si="56"/>
        <v/>
      </c>
      <c r="R118" s="422" t="str">
        <f t="shared" si="57"/>
        <v/>
      </c>
      <c r="S118" s="583">
        <v>510000</v>
      </c>
      <c r="T118" s="377" t="str">
        <f>+IFERROR(VLOOKUP(S118,STAT1!$C$4:$D$189,2,FALSE),"")</f>
        <v>Үндсэн үйл ажиллагааны борлуулалт</v>
      </c>
      <c r="U118" s="424"/>
      <c r="V118" s="424">
        <v>277881.81818181818</v>
      </c>
      <c r="W118" s="822">
        <v>3121</v>
      </c>
      <c r="X118" s="436" t="str">
        <f>IFERROR(VLOOKUP(W118,DATA!$G$4:$H$400,2,FALSE),"")</f>
        <v xml:space="preserve">КОМ ТАВИЛГА ХХК </v>
      </c>
      <c r="Y118" s="328"/>
      <c r="Z118" s="328"/>
      <c r="AA118" s="328"/>
    </row>
    <row r="119" spans="1:27" ht="12.75" customHeight="1">
      <c r="A119" s="425"/>
      <c r="B119" s="368">
        <f t="shared" si="42"/>
        <v>114</v>
      </c>
      <c r="C119" s="425">
        <v>43185</v>
      </c>
      <c r="D119" s="830"/>
      <c r="E119" s="876" t="str">
        <f t="shared" ca="1" si="43"/>
        <v/>
      </c>
      <c r="F119" s="426" t="str">
        <f t="shared" ca="1" si="46"/>
        <v/>
      </c>
      <c r="G119" s="415"/>
      <c r="H119" s="415"/>
      <c r="I119" s="415"/>
      <c r="J119" s="415" t="str">
        <f t="shared" si="44"/>
        <v/>
      </c>
      <c r="K119" s="415" t="str">
        <f t="shared" si="45"/>
        <v/>
      </c>
      <c r="L119" s="415"/>
      <c r="M119" s="415"/>
      <c r="N119" s="422" t="str">
        <f t="shared" si="53"/>
        <v/>
      </c>
      <c r="O119" s="422" t="str">
        <f t="shared" si="54"/>
        <v/>
      </c>
      <c r="P119" s="422" t="str">
        <f t="shared" si="55"/>
        <v/>
      </c>
      <c r="Q119" s="422" t="str">
        <f t="shared" si="56"/>
        <v/>
      </c>
      <c r="R119" s="422" t="str">
        <f t="shared" si="57"/>
        <v/>
      </c>
      <c r="S119" s="583">
        <v>320100</v>
      </c>
      <c r="T119" s="377" t="str">
        <f>+IFERROR(VLOOKUP(S119,STAT1!$C$4:$D$189,2,FALSE),"")</f>
        <v>Урьдчилж орсон орлого MNT</v>
      </c>
      <c r="U119" s="424">
        <v>305670</v>
      </c>
      <c r="V119" s="424"/>
      <c r="W119" s="822">
        <v>3121</v>
      </c>
      <c r="X119" s="436" t="str">
        <f>IFERROR(VLOOKUP(W119,DATA!$G$4:$H$400,2,FALSE),"")</f>
        <v xml:space="preserve">КОМ ТАВИЛГА ХХК </v>
      </c>
      <c r="Y119" s="328"/>
      <c r="Z119" s="328"/>
      <c r="AA119" s="328"/>
    </row>
    <row r="120" spans="1:27" ht="12.75" customHeight="1">
      <c r="A120" s="425"/>
      <c r="B120" s="368">
        <f t="shared" si="42"/>
        <v>115</v>
      </c>
      <c r="C120" s="425">
        <v>43187</v>
      </c>
      <c r="D120" s="830">
        <v>211801</v>
      </c>
      <c r="E120" s="876" t="str">
        <f t="shared" ca="1" si="43"/>
        <v>Н-Ембүү /20*30мм/</v>
      </c>
      <c r="F120" s="426" t="str">
        <f t="shared" ca="1" si="46"/>
        <v>м</v>
      </c>
      <c r="G120" s="415"/>
      <c r="H120" s="415"/>
      <c r="I120" s="415" t="str">
        <f>+IF(G120="","",G120*H120)</f>
        <v/>
      </c>
      <c r="J120" s="415" t="str">
        <f t="shared" si="44"/>
        <v/>
      </c>
      <c r="K120" s="415" t="str">
        <f t="shared" si="45"/>
        <v/>
      </c>
      <c r="L120" s="415">
        <v>90</v>
      </c>
      <c r="M120" s="415">
        <v>1500</v>
      </c>
      <c r="N120" s="422">
        <f t="shared" si="53"/>
        <v>135000</v>
      </c>
      <c r="O120" s="422">
        <f t="shared" si="54"/>
        <v>13500</v>
      </c>
      <c r="P120" s="422">
        <f t="shared" si="55"/>
        <v>148500</v>
      </c>
      <c r="Q120" s="422">
        <f t="shared" ca="1" si="56"/>
        <v>768.80288972169456</v>
      </c>
      <c r="R120" s="422">
        <f t="shared" ca="1" si="57"/>
        <v>69192.260074952515</v>
      </c>
      <c r="S120" s="583">
        <f>+IF(LEFT(D120,3)="131",140100,0)+IF(LEFT(D120,3)="310",150100,0)+IF(LEFT(D120,3)="211",150101,0)+IF(LEFT(D120,3)="410",160100,0)+IF(LEFT(D120,3)="440",160200,0)+IF(LEFT(D120,3)="430",160200,0)+IF(LEFT(D120,3)="420",160200,0)+IF(LEFT(D120,3)="460",160201,0)+IF(LEFT(D120,3)="210",150101,0)+IF(LEFT(D120,3)="510",140100,0)</f>
        <v>150101</v>
      </c>
      <c r="T120" s="377" t="str">
        <f>+IFERROR(VLOOKUP(S120,STAT1!$C$4:$D$189,2,FALSE),"")</f>
        <v>Бараа бэлэн бүтээгдэхүүн БОЛОВСРУУЛАХ ЦЕХ /нарс/</v>
      </c>
      <c r="U120" s="424"/>
      <c r="V120" s="424">
        <v>69192.260074952515</v>
      </c>
      <c r="W120" s="822">
        <v>3021</v>
      </c>
      <c r="X120" s="436" t="str">
        <f>IFERROR(VLOOKUP(W120,DATA!$G$4:$H$400,2,FALSE),"")</f>
        <v>БАНДИА ХХК</v>
      </c>
      <c r="Y120" s="328"/>
      <c r="Z120" s="328"/>
      <c r="AA120" s="328"/>
    </row>
    <row r="121" spans="1:27" ht="12.75" customHeight="1">
      <c r="A121" s="425"/>
      <c r="B121" s="368">
        <f t="shared" si="42"/>
        <v>116</v>
      </c>
      <c r="C121" s="425">
        <v>43187</v>
      </c>
      <c r="D121" s="830"/>
      <c r="E121" s="876" t="str">
        <f t="shared" ca="1" si="43"/>
        <v/>
      </c>
      <c r="F121" s="426" t="str">
        <f t="shared" ca="1" si="46"/>
        <v/>
      </c>
      <c r="G121" s="415"/>
      <c r="H121" s="415"/>
      <c r="I121" s="415" t="str">
        <f>+IF(G121="","",G121*H121)</f>
        <v/>
      </c>
      <c r="J121" s="415" t="str">
        <f t="shared" si="44"/>
        <v/>
      </c>
      <c r="K121" s="415" t="str">
        <f t="shared" si="45"/>
        <v/>
      </c>
      <c r="L121" s="415"/>
      <c r="M121" s="415"/>
      <c r="N121" s="422" t="str">
        <f t="shared" si="53"/>
        <v/>
      </c>
      <c r="O121" s="422" t="str">
        <f t="shared" si="54"/>
        <v/>
      </c>
      <c r="P121" s="422" t="str">
        <f t="shared" si="55"/>
        <v/>
      </c>
      <c r="Q121" s="422" t="str">
        <f t="shared" si="56"/>
        <v/>
      </c>
      <c r="R121" s="422" t="str">
        <f t="shared" si="57"/>
        <v/>
      </c>
      <c r="S121" s="583">
        <v>610100</v>
      </c>
      <c r="T121" s="377" t="str">
        <f>+IFERROR(VLOOKUP(S121,STAT1!$C$4:$D$189,2,FALSE),"")</f>
        <v>Борлуулсан барааны өртөг</v>
      </c>
      <c r="U121" s="424">
        <v>69192.260074952515</v>
      </c>
      <c r="V121" s="424"/>
      <c r="W121" s="822">
        <v>3021</v>
      </c>
      <c r="X121" s="436" t="str">
        <f>IFERROR(VLOOKUP(W121,DATA!$G$4:$H$400,2,FALSE),"")</f>
        <v>БАНДИА ХХК</v>
      </c>
      <c r="Y121" s="328"/>
      <c r="Z121" s="328"/>
      <c r="AA121" s="328"/>
    </row>
    <row r="122" spans="1:27" ht="12.75" customHeight="1">
      <c r="A122" s="425"/>
      <c r="B122" s="368">
        <f t="shared" si="42"/>
        <v>117</v>
      </c>
      <c r="C122" s="425">
        <v>43187</v>
      </c>
      <c r="D122" s="830"/>
      <c r="E122" s="876" t="str">
        <f t="shared" ca="1" si="43"/>
        <v/>
      </c>
      <c r="F122" s="426" t="str">
        <f t="shared" ca="1" si="46"/>
        <v/>
      </c>
      <c r="G122" s="415"/>
      <c r="H122" s="415"/>
      <c r="I122" s="415" t="str">
        <f>+IF(G122="","",G122*H122)</f>
        <v/>
      </c>
      <c r="J122" s="415" t="str">
        <f t="shared" si="44"/>
        <v/>
      </c>
      <c r="K122" s="415" t="str">
        <f t="shared" si="45"/>
        <v/>
      </c>
      <c r="L122" s="415"/>
      <c r="M122" s="415"/>
      <c r="N122" s="422" t="str">
        <f t="shared" si="53"/>
        <v/>
      </c>
      <c r="O122" s="422" t="str">
        <f t="shared" si="54"/>
        <v/>
      </c>
      <c r="P122" s="422" t="str">
        <f t="shared" si="55"/>
        <v/>
      </c>
      <c r="Q122" s="422" t="str">
        <f t="shared" si="56"/>
        <v/>
      </c>
      <c r="R122" s="422" t="str">
        <f t="shared" si="57"/>
        <v/>
      </c>
      <c r="S122" s="583">
        <v>310500</v>
      </c>
      <c r="T122" s="377" t="str">
        <f>+IFERROR(VLOOKUP(S122,STAT1!$C$4:$D$189,2,FALSE),"")</f>
        <v>НӨАТ өглөг</v>
      </c>
      <c r="U122" s="415"/>
      <c r="V122" s="415">
        <v>13500</v>
      </c>
      <c r="W122" s="822">
        <v>3021</v>
      </c>
      <c r="X122" s="436" t="str">
        <f>IFERROR(VLOOKUP(W122,DATA!$G$4:$H$400,2,FALSE),"")</f>
        <v>БАНДИА ХХК</v>
      </c>
      <c r="Y122" s="328"/>
      <c r="Z122" s="328"/>
      <c r="AA122" s="328"/>
    </row>
    <row r="123" spans="1:27" ht="12.75" customHeight="1">
      <c r="A123" s="425"/>
      <c r="B123" s="368">
        <f t="shared" si="42"/>
        <v>118</v>
      </c>
      <c r="C123" s="425">
        <v>43187</v>
      </c>
      <c r="D123" s="830"/>
      <c r="E123" s="876" t="str">
        <f t="shared" ca="1" si="43"/>
        <v/>
      </c>
      <c r="F123" s="426" t="str">
        <f t="shared" ca="1" si="46"/>
        <v/>
      </c>
      <c r="G123" s="415"/>
      <c r="H123" s="415"/>
      <c r="I123" s="415" t="str">
        <f>+IF(G123="","",G123*H123)</f>
        <v/>
      </c>
      <c r="J123" s="415" t="str">
        <f t="shared" si="44"/>
        <v/>
      </c>
      <c r="K123" s="415" t="str">
        <f t="shared" si="45"/>
        <v/>
      </c>
      <c r="L123" s="415"/>
      <c r="M123" s="415"/>
      <c r="N123" s="422" t="str">
        <f t="shared" si="53"/>
        <v/>
      </c>
      <c r="O123" s="422" t="str">
        <f t="shared" si="54"/>
        <v/>
      </c>
      <c r="P123" s="422" t="str">
        <f t="shared" si="55"/>
        <v/>
      </c>
      <c r="Q123" s="422" t="str">
        <f t="shared" si="56"/>
        <v/>
      </c>
      <c r="R123" s="422" t="str">
        <f t="shared" si="57"/>
        <v/>
      </c>
      <c r="S123" s="583">
        <v>510000</v>
      </c>
      <c r="T123" s="377" t="str">
        <f>+IFERROR(VLOOKUP(S123,STAT1!$C$4:$D$189,2,FALSE),"")</f>
        <v>Үндсэн үйл ажиллагааны борлуулалт</v>
      </c>
      <c r="U123" s="424"/>
      <c r="V123" s="424">
        <v>135000</v>
      </c>
      <c r="W123" s="822">
        <v>3021</v>
      </c>
      <c r="X123" s="436" t="str">
        <f>IFERROR(VLOOKUP(W123,DATA!$G$4:$H$400,2,FALSE),"")</f>
        <v>БАНДИА ХХК</v>
      </c>
      <c r="Y123" s="328"/>
      <c r="Z123" s="328"/>
      <c r="AA123" s="328"/>
    </row>
    <row r="124" spans="1:27" ht="12.75" customHeight="1">
      <c r="A124" s="425"/>
      <c r="B124" s="368">
        <f t="shared" si="42"/>
        <v>119</v>
      </c>
      <c r="C124" s="425">
        <v>43187</v>
      </c>
      <c r="D124" s="830"/>
      <c r="E124" s="876" t="str">
        <f t="shared" ca="1" si="43"/>
        <v/>
      </c>
      <c r="F124" s="426" t="str">
        <f t="shared" ca="1" si="46"/>
        <v/>
      </c>
      <c r="G124" s="415"/>
      <c r="H124" s="415"/>
      <c r="I124" s="415"/>
      <c r="J124" s="415" t="str">
        <f t="shared" si="44"/>
        <v/>
      </c>
      <c r="K124" s="415" t="str">
        <f t="shared" si="45"/>
        <v/>
      </c>
      <c r="L124" s="415"/>
      <c r="M124" s="415"/>
      <c r="N124" s="422"/>
      <c r="O124" s="422"/>
      <c r="P124" s="422"/>
      <c r="Q124" s="422"/>
      <c r="R124" s="422"/>
      <c r="S124" s="583">
        <v>320100</v>
      </c>
      <c r="T124" s="377" t="str">
        <f>+IFERROR(VLOOKUP(S124,STAT1!$C$4:$D$189,2,FALSE),"")</f>
        <v>Урьдчилж орсон орлого MNT</v>
      </c>
      <c r="U124" s="424">
        <v>148500</v>
      </c>
      <c r="V124" s="424"/>
      <c r="W124" s="822">
        <v>3021</v>
      </c>
      <c r="X124" s="436" t="str">
        <f>IFERROR(VLOOKUP(W124,DATA!$G$4:$H$400,2,FALSE),"")</f>
        <v>БАНДИА ХХК</v>
      </c>
      <c r="Y124" s="328"/>
      <c r="Z124" s="328"/>
      <c r="AA124" s="328"/>
    </row>
    <row r="125" spans="1:27" ht="12.75" customHeight="1">
      <c r="A125" s="425"/>
      <c r="B125" s="368">
        <f t="shared" si="42"/>
        <v>120</v>
      </c>
      <c r="C125" s="425">
        <v>43131</v>
      </c>
      <c r="D125" s="830">
        <v>310001</v>
      </c>
      <c r="E125" s="876" t="str">
        <f t="shared" ca="1" si="43"/>
        <v xml:space="preserve">Хатаасан нарсан банз </v>
      </c>
      <c r="F125" s="426" t="str">
        <f t="shared" ca="1" si="46"/>
        <v>м3</v>
      </c>
      <c r="G125" s="415"/>
      <c r="H125" s="415"/>
      <c r="I125" s="415" t="str">
        <f>+IF(G125="","",G125*H125)</f>
        <v/>
      </c>
      <c r="J125" s="415" t="str">
        <f t="shared" si="44"/>
        <v/>
      </c>
      <c r="K125" s="415" t="str">
        <f t="shared" si="45"/>
        <v/>
      </c>
      <c r="L125" s="415">
        <v>252</v>
      </c>
      <c r="M125" s="415"/>
      <c r="N125" s="422">
        <f>+IF(L125="","",L125*M125)</f>
        <v>0</v>
      </c>
      <c r="O125" s="422">
        <f>+IF(L125="","",N125*0.1)</f>
        <v>0</v>
      </c>
      <c r="P125" s="422">
        <f>+IF(L125="","",N125+O125)</f>
        <v>0</v>
      </c>
      <c r="Q125" s="422">
        <f ca="1">IF(L125="","",IFERROR((SUMIFS(TN_balC1_totol,TN_code,D125)+SUMIFS(RC_or_totol,RC_Code,D125,RC_date,"&lt;="&amp;C125)-SUMIFS(RC_zar_totol,RC_Code,D125,RC_date,"&lt;"&amp;C125)) /( SUMIFS(TN_balC1_unit,TN_code,D125)+SUMIFS(RC_or_unit,RC_Code,D125,RC_date,"&lt;="&amp;C125)-SUMIFS(RC_zar_unit,RC_Code,D125,RC_date,"&lt;"&amp;C125)),0 ))</f>
        <v>327778.94266227522</v>
      </c>
      <c r="R125" s="422">
        <f ca="1">+IF(L125="","",L125*Q125)</f>
        <v>82600293.550893351</v>
      </c>
      <c r="S125" s="583">
        <f t="shared" ref="S125:S149" si="58">+IF(LEFT(D125,3)="131",140100,0)+IF(LEFT(D125,3)="310",150100,0)+IF(LEFT(D125,3)="211",150101,0)+IF(LEFT(D125,3)="410",160100,0)+IF(LEFT(D125,3)="440",160200,0)+IF(LEFT(D125,3)="430",160200,0)+IF(LEFT(D125,3)="420",160200,0)+IF(LEFT(D125,3)="460",160201,0)+IF(LEFT(D125,3)="210",150101,0)+IF(LEFT(D125,3)="510",140100,0)</f>
        <v>150100</v>
      </c>
      <c r="T125" s="377" t="str">
        <f>+IFERROR(VLOOKUP(S125,STAT1!$C$4:$D$189,2,FALSE),"")</f>
        <v>Бараа бэлэн бүтээгдэхүүн ХАТААХ ЦЕХ /нарс/</v>
      </c>
      <c r="U125" s="424"/>
      <c r="V125" s="424">
        <v>82600293.550893351</v>
      </c>
      <c r="W125" s="822">
        <v>1004</v>
      </c>
      <c r="X125" s="436" t="str">
        <f>IFERROR(VLOOKUP(W125,DATA!$G$4:$H$400,2,FALSE),"")</f>
        <v xml:space="preserve">Түмэндэлгэр </v>
      </c>
      <c r="Y125" s="328"/>
      <c r="Z125" s="328"/>
      <c r="AA125" s="328"/>
    </row>
    <row r="126" spans="1:27" ht="12.75" customHeight="1">
      <c r="A126" s="425"/>
      <c r="B126" s="368">
        <f t="shared" si="42"/>
        <v>121</v>
      </c>
      <c r="C126" s="425">
        <v>43131</v>
      </c>
      <c r="D126" s="830"/>
      <c r="E126" s="876" t="str">
        <f t="shared" ca="1" si="43"/>
        <v/>
      </c>
      <c r="F126" s="426" t="str">
        <f t="shared" ca="1" si="46"/>
        <v/>
      </c>
      <c r="G126" s="415"/>
      <c r="H126" s="415"/>
      <c r="I126" s="415" t="str">
        <f>+IF(G126="","",G126*H126)</f>
        <v/>
      </c>
      <c r="J126" s="415" t="str">
        <f t="shared" si="44"/>
        <v/>
      </c>
      <c r="K126" s="415" t="str">
        <f t="shared" si="45"/>
        <v/>
      </c>
      <c r="L126" s="415"/>
      <c r="M126" s="415"/>
      <c r="N126" s="422" t="str">
        <f>+IF(L126="","",L126*M126)</f>
        <v/>
      </c>
      <c r="O126" s="422" t="str">
        <f>+IF(L126="","",N126*0.1)</f>
        <v/>
      </c>
      <c r="P126" s="422" t="str">
        <f>+IF(L126="","",N126+O126)</f>
        <v/>
      </c>
      <c r="Q126" s="422" t="str">
        <f>IF(L126="","",IFERROR((SUMIFS(TN_balC1_totol,TN_code,D126)+SUMIFS(RC_or_totol,RC_Code,D126,RC_date,"&lt;="&amp;C126)-SUMIFS(RC_zar_totol,RC_Code,D126,RC_date,"&lt;"&amp;C126)) /( SUMIFS(TN_balC1_unit,TN_code,D126)+SUMIFS(RC_or_unit,RC_Code,D126,RC_date,"&lt;="&amp;C126)-SUMIFS(RC_zar_unit,RC_Code,D126,RC_date,"&lt;"&amp;C126)),0 ))</f>
        <v/>
      </c>
      <c r="R126" s="422" t="str">
        <f>+IF(L126="","",L126*Q126)</f>
        <v/>
      </c>
      <c r="S126" s="583">
        <v>140201</v>
      </c>
      <c r="T126" s="377" t="str">
        <f>+IFERROR(VLOOKUP(S126,STAT1!$C$4:$D$189,2,FALSE),"")</f>
        <v>ШМЗардал БОЛОВСРУУЛАХ ЦЕХ /нарс/</v>
      </c>
      <c r="U126" s="424">
        <v>82600293.550893351</v>
      </c>
      <c r="V126" s="424"/>
      <c r="W126" s="822">
        <v>1004</v>
      </c>
      <c r="X126" s="436" t="str">
        <f>IFERROR(VLOOKUP(W126,DATA!$G$4:$H$400,2,FALSE),"")</f>
        <v xml:space="preserve">Түмэндэлгэр </v>
      </c>
      <c r="Y126" s="328"/>
      <c r="Z126" s="328"/>
      <c r="AA126" s="328"/>
    </row>
    <row r="127" spans="1:27" ht="12.75" customHeight="1">
      <c r="A127" s="425"/>
      <c r="B127" s="368">
        <f t="shared" si="42"/>
        <v>122</v>
      </c>
      <c r="C127" s="425">
        <v>43101</v>
      </c>
      <c r="D127" s="830">
        <v>211503</v>
      </c>
      <c r="E127" s="876" t="str">
        <f t="shared" ca="1" si="43"/>
        <v>Н-Евровагонка /зузаан-1.2см/</v>
      </c>
      <c r="F127" s="426" t="str">
        <f t="shared" ca="1" si="46"/>
        <v>м2</v>
      </c>
      <c r="G127" s="415">
        <v>2720</v>
      </c>
      <c r="H127" s="415">
        <v>17185.819397970459</v>
      </c>
      <c r="I127" s="415">
        <f>+IF(G127="","",G127*H127)</f>
        <v>46745428.762479648</v>
      </c>
      <c r="J127" s="415"/>
      <c r="K127" s="415">
        <f t="shared" si="45"/>
        <v>46745428.762479648</v>
      </c>
      <c r="L127" s="415"/>
      <c r="M127" s="415"/>
      <c r="N127" s="422" t="str">
        <f>+IF(L127="","",L127*M127)</f>
        <v/>
      </c>
      <c r="O127" s="422" t="str">
        <f>+IF(L127="","",N127*0.1)</f>
        <v/>
      </c>
      <c r="P127" s="422" t="str">
        <f>+IF(L127="","",N127+O127)</f>
        <v/>
      </c>
      <c r="Q127" s="422" t="str">
        <f>IF(L127="","",IFERROR((SUMIFS(TN_balC1_totol,TN_code,D127)+SUMIFS(RC_or_totol,RC_Code,D127,RC_date,"&lt;="&amp;C127)-SUMIFS(RC_zar_totol,RC_Code,D127,RC_date,"&lt;"&amp;C127)) /( SUMIFS(TN_balC1_unit,TN_code,D127)+SUMIFS(RC_or_unit,RC_Code,D127,RC_date,"&lt;="&amp;C127)-SUMIFS(RC_zar_unit,RC_Code,D127,RC_date,"&lt;"&amp;C127)),0 ))</f>
        <v/>
      </c>
      <c r="R127" s="422" t="str">
        <f>+IF(L127="","",L127*Q127)</f>
        <v/>
      </c>
      <c r="S127" s="583">
        <f t="shared" si="58"/>
        <v>150101</v>
      </c>
      <c r="T127" s="377" t="str">
        <f>+IFERROR(VLOOKUP(S127,STAT1!$C$4:$D$189,2,FALSE),"")</f>
        <v>Бараа бэлэн бүтээгдэхүүн БОЛОВСРУУЛАХ ЦЕХ /нарс/</v>
      </c>
      <c r="U127" s="424">
        <v>46745428.762479648</v>
      </c>
      <c r="V127" s="424"/>
      <c r="W127" s="822">
        <v>1004</v>
      </c>
      <c r="X127" s="436" t="str">
        <f>IFERROR(VLOOKUP(W127,DATA!$G$4:$H$400,2,FALSE),"")</f>
        <v xml:space="preserve">Түмэндэлгэр </v>
      </c>
      <c r="Y127" s="328"/>
      <c r="Z127" s="328"/>
      <c r="AA127" s="328"/>
    </row>
    <row r="128" spans="1:27" ht="12.75" customHeight="1">
      <c r="A128" s="425"/>
      <c r="B128" s="368">
        <f t="shared" si="42"/>
        <v>123</v>
      </c>
      <c r="C128" s="425">
        <v>43101</v>
      </c>
      <c r="D128" s="830">
        <v>211710</v>
      </c>
      <c r="E128" s="876" t="str">
        <f t="shared" ca="1" si="43"/>
        <v xml:space="preserve">Н-Хавтан /зузаан-3см/-яртай </v>
      </c>
      <c r="F128" s="426" t="str">
        <f t="shared" ca="1" si="46"/>
        <v>м2</v>
      </c>
      <c r="G128" s="415">
        <v>550</v>
      </c>
      <c r="H128" s="415">
        <v>42964.548494926144</v>
      </c>
      <c r="I128" s="415">
        <f t="shared" ref="I128:I154" si="59">+IF(G128="","",G128*H128)</f>
        <v>23630501.672209378</v>
      </c>
      <c r="J128" s="415"/>
      <c r="K128" s="415">
        <f t="shared" si="45"/>
        <v>23630501.672209378</v>
      </c>
      <c r="L128" s="415"/>
      <c r="M128" s="415"/>
      <c r="N128" s="422" t="str">
        <f>+IF(L128="","",L128*M128)</f>
        <v/>
      </c>
      <c r="O128" s="422" t="str">
        <f>+IF(L128="","",N128*0.1)</f>
        <v/>
      </c>
      <c r="P128" s="422" t="str">
        <f>+IF(L128="","",N128+O128)</f>
        <v/>
      </c>
      <c r="Q128" s="422" t="str">
        <f>IF(L128="","",IFERROR((SUMIFS(TN_balC1_totol,TN_code,D128)+SUMIFS(RC_or_totol,RC_Code,D128,RC_date,"&lt;="&amp;C128)-SUMIFS(RC_zar_totol,RC_Code,D128,RC_date,"&lt;"&amp;C128)) /( SUMIFS(TN_balC1_unit,TN_code,D128)+SUMIFS(RC_or_unit,RC_Code,D128,RC_date,"&lt;="&amp;C128)-SUMIFS(RC_zar_unit,RC_Code,D128,RC_date,"&lt;"&amp;C128)),0 ))</f>
        <v/>
      </c>
      <c r="R128" s="422" t="str">
        <f>+IF(L128="","",L128*Q128)</f>
        <v/>
      </c>
      <c r="S128" s="583">
        <f t="shared" si="58"/>
        <v>150101</v>
      </c>
      <c r="T128" s="377" t="str">
        <f>+IFERROR(VLOOKUP(S128,STAT1!$C$4:$D$189,2,FALSE),"")</f>
        <v>Бараа бэлэн бүтээгдэхүүн БОЛОВСРУУЛАХ ЦЕХ /нарс/</v>
      </c>
      <c r="U128" s="424">
        <v>23630501.672209378</v>
      </c>
      <c r="V128" s="424"/>
      <c r="W128" s="822">
        <v>1004</v>
      </c>
      <c r="X128" s="436" t="str">
        <f>IFERROR(VLOOKUP(W128,DATA!$G$4:$H$400,2,FALSE),"")</f>
        <v xml:space="preserve">Түмэндэлгэр </v>
      </c>
      <c r="Y128" s="328"/>
      <c r="Z128" s="328"/>
      <c r="AA128" s="328"/>
    </row>
    <row r="129" spans="1:27" ht="12.75" customHeight="1">
      <c r="A129" s="425"/>
      <c r="B129" s="368">
        <f t="shared" si="42"/>
        <v>124</v>
      </c>
      <c r="C129" s="425">
        <v>43101</v>
      </c>
      <c r="D129" s="830">
        <v>211711</v>
      </c>
      <c r="E129" s="876" t="str">
        <f t="shared" ca="1" si="43"/>
        <v>Н-Хавтан /зузаан-2.6см/</v>
      </c>
      <c r="F129" s="426" t="str">
        <f t="shared" ca="1" si="46"/>
        <v>м2</v>
      </c>
      <c r="G129" s="415">
        <v>350</v>
      </c>
      <c r="H129" s="415">
        <v>37235.942028935999</v>
      </c>
      <c r="I129" s="415">
        <f t="shared" si="59"/>
        <v>13032579.7101276</v>
      </c>
      <c r="J129" s="415"/>
      <c r="K129" s="415">
        <f t="shared" si="45"/>
        <v>13032579.7101276</v>
      </c>
      <c r="L129" s="415"/>
      <c r="M129" s="415"/>
      <c r="N129" s="422"/>
      <c r="O129" s="422"/>
      <c r="P129" s="422"/>
      <c r="Q129" s="422"/>
      <c r="R129" s="422"/>
      <c r="S129" s="583">
        <f t="shared" si="58"/>
        <v>150101</v>
      </c>
      <c r="T129" s="377" t="str">
        <f>+IFERROR(VLOOKUP(S129,STAT1!$C$4:$D$189,2,FALSE),"")</f>
        <v>Бараа бэлэн бүтээгдэхүүн БОЛОВСРУУЛАХ ЦЕХ /нарс/</v>
      </c>
      <c r="U129" s="424">
        <v>13032579.7101276</v>
      </c>
      <c r="V129" s="415"/>
      <c r="W129" s="822">
        <v>1004</v>
      </c>
      <c r="X129" s="436" t="str">
        <f>IFERROR(VLOOKUP(W129,DATA!$G$4:$H$400,2,FALSE),"")</f>
        <v xml:space="preserve">Түмэндэлгэр </v>
      </c>
      <c r="Y129" s="328"/>
      <c r="Z129" s="328"/>
      <c r="AA129" s="328"/>
    </row>
    <row r="130" spans="1:27" ht="12.75" customHeight="1">
      <c r="A130" s="425"/>
      <c r="B130" s="368">
        <f t="shared" si="42"/>
        <v>125</v>
      </c>
      <c r="C130" s="425">
        <v>43101</v>
      </c>
      <c r="D130" s="830">
        <v>211713</v>
      </c>
      <c r="E130" s="876" t="str">
        <f t="shared" ca="1" si="43"/>
        <v>Н-Хавтан /зузаан-2см/</v>
      </c>
      <c r="F130" s="426" t="str">
        <f t="shared" ca="1" si="46"/>
        <v>м2</v>
      </c>
      <c r="G130" s="415">
        <v>350</v>
      </c>
      <c r="H130" s="415">
        <v>28643.032329950765</v>
      </c>
      <c r="I130" s="415">
        <f t="shared" si="59"/>
        <v>10025061.315482767</v>
      </c>
      <c r="J130" s="415"/>
      <c r="K130" s="415">
        <f t="shared" si="45"/>
        <v>10025061.315482767</v>
      </c>
      <c r="L130" s="415"/>
      <c r="M130" s="415"/>
      <c r="N130" s="422" t="str">
        <f>+IF(L130="","",L130*M130)</f>
        <v/>
      </c>
      <c r="O130" s="422" t="str">
        <f>+IF(L130="","",N130*0.1)</f>
        <v/>
      </c>
      <c r="P130" s="422" t="str">
        <f>+IF(L130="","",N130+O130)</f>
        <v/>
      </c>
      <c r="Q130" s="422" t="str">
        <f>IF(L130="","",IFERROR((SUMIFS(TN_balC1_totol,TN_code,D130)+SUMIFS(RC_or_totol,RC_Code,D130,RC_date,"&lt;="&amp;C130)-SUMIFS(RC_zar_totol,RC_Code,D130,RC_date,"&lt;"&amp;C130)) /( SUMIFS(TN_balC1_unit,TN_code,D130)+SUMIFS(RC_or_unit,RC_Code,D130,RC_date,"&lt;="&amp;C130)-SUMIFS(RC_zar_unit,RC_Code,D130,RC_date,"&lt;"&amp;C130)),0 ))</f>
        <v/>
      </c>
      <c r="R130" s="422" t="str">
        <f>+IF(L130="","",L130*Q130)</f>
        <v/>
      </c>
      <c r="S130" s="583">
        <f t="shared" si="58"/>
        <v>150101</v>
      </c>
      <c r="T130" s="377" t="str">
        <f>+IFERROR(VLOOKUP(S130,STAT1!$C$4:$D$189,2,FALSE),"")</f>
        <v>Бараа бэлэн бүтээгдэхүүн БОЛОВСРУУЛАХ ЦЕХ /нарс/</v>
      </c>
      <c r="U130" s="424">
        <v>10025061.315482767</v>
      </c>
      <c r="V130" s="424"/>
      <c r="W130" s="822">
        <v>1004</v>
      </c>
      <c r="X130" s="436" t="str">
        <f>IFERROR(VLOOKUP(W130,DATA!$G$4:$H$400,2,FALSE),"")</f>
        <v xml:space="preserve">Түмэндэлгэр </v>
      </c>
      <c r="Y130" s="328"/>
      <c r="Z130" s="328"/>
      <c r="AA130" s="328"/>
    </row>
    <row r="131" spans="1:27" ht="12.75" customHeight="1">
      <c r="A131" s="425"/>
      <c r="B131" s="368">
        <f t="shared" si="42"/>
        <v>126</v>
      </c>
      <c r="C131" s="425">
        <v>43101</v>
      </c>
      <c r="D131" s="830">
        <v>211714</v>
      </c>
      <c r="E131" s="876" t="str">
        <f t="shared" ca="1" si="43"/>
        <v xml:space="preserve">Н-Хавтан /зузаан-2см/-яртай </v>
      </c>
      <c r="F131" s="426" t="str">
        <f t="shared" ca="1" si="46"/>
        <v>м2</v>
      </c>
      <c r="G131" s="415">
        <v>210</v>
      </c>
      <c r="H131" s="415">
        <v>28643.032329950765</v>
      </c>
      <c r="I131" s="415">
        <f t="shared" si="59"/>
        <v>6015036.7892896608</v>
      </c>
      <c r="J131" s="415"/>
      <c r="K131" s="415">
        <f t="shared" si="45"/>
        <v>6015036.7892896608</v>
      </c>
      <c r="L131" s="415"/>
      <c r="M131" s="415"/>
      <c r="N131" s="422" t="str">
        <f>+IF(L131="","",L131*M131)</f>
        <v/>
      </c>
      <c r="O131" s="422" t="str">
        <f>+IF(L131="","",N131*0.1)</f>
        <v/>
      </c>
      <c r="P131" s="422" t="str">
        <f>+IF(L131="","",N131+O131)</f>
        <v/>
      </c>
      <c r="Q131" s="422" t="str">
        <f>IF(L131="","",IFERROR((SUMIFS(TN_balC1_totol,TN_code,D131)+SUMIFS(RC_or_totol,RC_Code,D131,RC_date,"&lt;="&amp;C131)-SUMIFS(RC_zar_totol,RC_Code,D131,RC_date,"&lt;"&amp;C131)) /( SUMIFS(TN_balC1_unit,TN_code,D131)+SUMIFS(RC_or_unit,RC_Code,D131,RC_date,"&lt;="&amp;C131)-SUMIFS(RC_zar_unit,RC_Code,D131,RC_date,"&lt;"&amp;C131)),0 ))</f>
        <v/>
      </c>
      <c r="R131" s="422" t="str">
        <f>+IF(L131="","",L131*Q131)</f>
        <v/>
      </c>
      <c r="S131" s="583">
        <f t="shared" si="58"/>
        <v>150101</v>
      </c>
      <c r="T131" s="377" t="str">
        <f>+IFERROR(VLOOKUP(S131,STAT1!$C$4:$D$189,2,FALSE),"")</f>
        <v>Бараа бэлэн бүтээгдэхүүн БОЛОВСРУУЛАХ ЦЕХ /нарс/</v>
      </c>
      <c r="U131" s="424">
        <v>6015036.7892896608</v>
      </c>
      <c r="V131" s="424"/>
      <c r="W131" s="822">
        <v>1004</v>
      </c>
      <c r="X131" s="436" t="str">
        <f>IFERROR(VLOOKUP(W131,DATA!$G$4:$H$400,2,FALSE),"")</f>
        <v xml:space="preserve">Түмэндэлгэр </v>
      </c>
      <c r="Y131" s="328"/>
      <c r="Z131" s="328"/>
      <c r="AA131" s="328"/>
    </row>
    <row r="132" spans="1:27" ht="12.75" customHeight="1">
      <c r="A132" s="425"/>
      <c r="B132" s="368">
        <f t="shared" si="42"/>
        <v>127</v>
      </c>
      <c r="C132" s="425">
        <v>43101</v>
      </c>
      <c r="D132" s="830">
        <v>211715</v>
      </c>
      <c r="E132" s="876" t="str">
        <f t="shared" ca="1" si="43"/>
        <v>Н-Хавтан /зузаан-1.8см/</v>
      </c>
      <c r="F132" s="426" t="str">
        <f t="shared" ca="1" si="46"/>
        <v>м2</v>
      </c>
      <c r="G132" s="415">
        <v>200</v>
      </c>
      <c r="H132" s="415">
        <v>25778.729096955689</v>
      </c>
      <c r="I132" s="415">
        <f t="shared" si="59"/>
        <v>5155745.8193911379</v>
      </c>
      <c r="J132" s="415"/>
      <c r="K132" s="415">
        <f t="shared" si="45"/>
        <v>5155745.8193911379</v>
      </c>
      <c r="L132" s="415"/>
      <c r="M132" s="415"/>
      <c r="N132" s="422" t="str">
        <f>+IF(L132="","",L132*M132)</f>
        <v/>
      </c>
      <c r="O132" s="422" t="str">
        <f>+IF(L132="","",N132*0.1)</f>
        <v/>
      </c>
      <c r="P132" s="422" t="str">
        <f>+IF(L132="","",N132+O132)</f>
        <v/>
      </c>
      <c r="Q132" s="422" t="str">
        <f>IF(L132="","",IFERROR((SUMIFS(TN_balC1_totol,TN_code,D132)+SUMIFS(RC_or_totol,RC_Code,D132,RC_date,"&lt;="&amp;C132)-SUMIFS(RC_zar_totol,RC_Code,D132,RC_date,"&lt;"&amp;C132)) /( SUMIFS(TN_balC1_unit,TN_code,D132)+SUMIFS(RC_or_unit,RC_Code,D132,RC_date,"&lt;="&amp;C132)-SUMIFS(RC_zar_unit,RC_Code,D132,RC_date,"&lt;"&amp;C132)),0 ))</f>
        <v/>
      </c>
      <c r="R132" s="422" t="str">
        <f>+IF(L132="","",L132*Q132)</f>
        <v/>
      </c>
      <c r="S132" s="583">
        <f t="shared" si="58"/>
        <v>150101</v>
      </c>
      <c r="T132" s="377" t="str">
        <f>+IFERROR(VLOOKUP(S132,STAT1!$C$4:$D$189,2,FALSE),"")</f>
        <v>Бараа бэлэн бүтээгдэхүүн БОЛОВСРУУЛАХ ЦЕХ /нарс/</v>
      </c>
      <c r="U132" s="424">
        <v>5155745.8193911379</v>
      </c>
      <c r="V132" s="424"/>
      <c r="W132" s="822">
        <v>1004</v>
      </c>
      <c r="X132" s="436" t="str">
        <f>IFERROR(VLOOKUP(W132,DATA!$G$4:$H$400,2,FALSE),"")</f>
        <v xml:space="preserve">Түмэндэлгэр </v>
      </c>
      <c r="Y132" s="328"/>
      <c r="Z132" s="328"/>
      <c r="AA132" s="328"/>
    </row>
    <row r="133" spans="1:27" ht="12.75" customHeight="1">
      <c r="A133" s="425"/>
      <c r="B133" s="368">
        <f t="shared" si="42"/>
        <v>128</v>
      </c>
      <c r="C133" s="425">
        <v>43101</v>
      </c>
      <c r="D133" s="830">
        <v>211717</v>
      </c>
      <c r="E133" s="876" t="str">
        <f t="shared" ca="1" si="43"/>
        <v>Н-Хавтан/зузаан-4см/-яртай</v>
      </c>
      <c r="F133" s="426" t="str">
        <f t="shared" ca="1" si="46"/>
        <v>м2</v>
      </c>
      <c r="G133" s="415">
        <v>336</v>
      </c>
      <c r="H133" s="415">
        <v>57286.064659901538</v>
      </c>
      <c r="I133" s="415">
        <f t="shared" si="59"/>
        <v>19248117.725726917</v>
      </c>
      <c r="J133" s="415"/>
      <c r="K133" s="415">
        <f t="shared" si="45"/>
        <v>19248117.725726917</v>
      </c>
      <c r="L133" s="415"/>
      <c r="M133" s="415"/>
      <c r="N133" s="422" t="str">
        <f>+IF(L133="","",L133*M133)</f>
        <v/>
      </c>
      <c r="O133" s="422" t="str">
        <f>+IF(L133="","",N133*0.1)</f>
        <v/>
      </c>
      <c r="P133" s="422" t="str">
        <f>+IF(L133="","",N133+O133)</f>
        <v/>
      </c>
      <c r="Q133" s="422" t="str">
        <f>IF(L133="","",IFERROR((SUMIFS(TN_balC1_totol,TN_code,D133)+SUMIFS(RC_or_totol,RC_Code,D133,RC_date,"&lt;="&amp;C133)-SUMIFS(RC_zar_totol,RC_Code,D133,RC_date,"&lt;"&amp;C133)) /( SUMIFS(TN_balC1_unit,TN_code,D133)+SUMIFS(RC_or_unit,RC_Code,D133,RC_date,"&lt;="&amp;C133)-SUMIFS(RC_zar_unit,RC_Code,D133,RC_date,"&lt;"&amp;C133)),0 ))</f>
        <v/>
      </c>
      <c r="R133" s="422" t="str">
        <f>+IF(L133="","",L133*Q133)</f>
        <v/>
      </c>
      <c r="S133" s="583">
        <f t="shared" si="58"/>
        <v>150101</v>
      </c>
      <c r="T133" s="377" t="str">
        <f>+IFERROR(VLOOKUP(S133,STAT1!$C$4:$D$189,2,FALSE),"")</f>
        <v>Бараа бэлэн бүтээгдэхүүн БОЛОВСРУУЛАХ ЦЕХ /нарс/</v>
      </c>
      <c r="U133" s="424">
        <v>19248117.725726917</v>
      </c>
      <c r="V133" s="424"/>
      <c r="W133" s="822">
        <v>1004</v>
      </c>
      <c r="X133" s="436" t="str">
        <f>IFERROR(VLOOKUP(W133,DATA!$G$4:$H$400,2,FALSE),"")</f>
        <v xml:space="preserve">Түмэндэлгэр </v>
      </c>
      <c r="Y133" s="328"/>
      <c r="Z133" s="328"/>
      <c r="AA133" s="328"/>
    </row>
    <row r="134" spans="1:27" ht="12.75" customHeight="1">
      <c r="A134" s="425"/>
      <c r="B134" s="368">
        <f t="shared" si="42"/>
        <v>129</v>
      </c>
      <c r="C134" s="425">
        <v>43101</v>
      </c>
      <c r="D134" s="830">
        <v>211801</v>
      </c>
      <c r="E134" s="876" t="str">
        <f t="shared" ca="1" si="43"/>
        <v>Н-Ембүү /20*30мм/</v>
      </c>
      <c r="F134" s="426" t="str">
        <f t="shared" ca="1" si="46"/>
        <v>м</v>
      </c>
      <c r="G134" s="415">
        <v>4500</v>
      </c>
      <c r="H134" s="415">
        <v>859.29096989852292</v>
      </c>
      <c r="I134" s="415">
        <f t="shared" si="59"/>
        <v>3866809.3645433532</v>
      </c>
      <c r="J134" s="415"/>
      <c r="K134" s="415">
        <f t="shared" si="45"/>
        <v>3866809.3645433532</v>
      </c>
      <c r="L134" s="415"/>
      <c r="M134" s="415"/>
      <c r="N134" s="422"/>
      <c r="O134" s="422"/>
      <c r="P134" s="422"/>
      <c r="Q134" s="422"/>
      <c r="R134" s="422"/>
      <c r="S134" s="583">
        <f t="shared" si="58"/>
        <v>150101</v>
      </c>
      <c r="T134" s="377" t="str">
        <f>+IFERROR(VLOOKUP(S134,STAT1!$C$4:$D$189,2,FALSE),"")</f>
        <v>Бараа бэлэн бүтээгдэхүүн БОЛОВСРУУЛАХ ЦЕХ /нарс/</v>
      </c>
      <c r="U134" s="424">
        <v>3866809.3645433532</v>
      </c>
      <c r="V134" s="415"/>
      <c r="W134" s="822">
        <v>1004</v>
      </c>
      <c r="X134" s="436" t="str">
        <f>IFERROR(VLOOKUP(W134,DATA!$G$4:$H$400,2,FALSE),"")</f>
        <v xml:space="preserve">Түмэндэлгэр </v>
      </c>
      <c r="Y134" s="328"/>
      <c r="Z134" s="328"/>
      <c r="AA134" s="328"/>
    </row>
    <row r="135" spans="1:27" ht="12.75" customHeight="1">
      <c r="A135" s="425"/>
      <c r="B135" s="368">
        <f t="shared" si="42"/>
        <v>130</v>
      </c>
      <c r="C135" s="425">
        <v>43101</v>
      </c>
      <c r="D135" s="830">
        <v>211802</v>
      </c>
      <c r="E135" s="876" t="str">
        <f t="shared" ca="1" si="43"/>
        <v xml:space="preserve">Н-Уголок </v>
      </c>
      <c r="F135" s="426" t="str">
        <f t="shared" ca="1" si="46"/>
        <v>м</v>
      </c>
      <c r="G135" s="415">
        <v>3500</v>
      </c>
      <c r="H135" s="415">
        <v>1288.9364548477843</v>
      </c>
      <c r="I135" s="415">
        <f t="shared" si="59"/>
        <v>4511277.5919672446</v>
      </c>
      <c r="J135" s="415"/>
      <c r="K135" s="415">
        <f t="shared" si="45"/>
        <v>4511277.5919672446</v>
      </c>
      <c r="L135" s="415"/>
      <c r="M135" s="415"/>
      <c r="N135" s="422" t="str">
        <f>+IF(L135="","",L135*M135)</f>
        <v/>
      </c>
      <c r="O135" s="422" t="str">
        <f>+IF(L135="","",N135*0.1)</f>
        <v/>
      </c>
      <c r="P135" s="422" t="str">
        <f>+IF(L135="","",N135+O135)</f>
        <v/>
      </c>
      <c r="Q135" s="422" t="str">
        <f>IF(L135="","",IFERROR((SUMIFS(TN_balC1_totol,TN_code,D135)+SUMIFS(RC_or_totol,RC_Code,D135,RC_date,"&lt;="&amp;C135)-SUMIFS(RC_zar_totol,RC_Code,D135,RC_date,"&lt;"&amp;C135)) /( SUMIFS(TN_balC1_unit,TN_code,D135)+SUMIFS(RC_or_unit,RC_Code,D135,RC_date,"&lt;="&amp;C135)-SUMIFS(RC_zar_unit,RC_Code,D135,RC_date,"&lt;"&amp;C135)),0 ))</f>
        <v/>
      </c>
      <c r="R135" s="422" t="str">
        <f>+IF(L135="","",L135*Q135)</f>
        <v/>
      </c>
      <c r="S135" s="583">
        <f t="shared" si="58"/>
        <v>150101</v>
      </c>
      <c r="T135" s="377" t="str">
        <f>+IFERROR(VLOOKUP(S135,STAT1!$C$4:$D$189,2,FALSE),"")</f>
        <v>Бараа бэлэн бүтээгдэхүүн БОЛОВСРУУЛАХ ЦЕХ /нарс/</v>
      </c>
      <c r="U135" s="424">
        <v>4511277.5919672446</v>
      </c>
      <c r="V135" s="424"/>
      <c r="W135" s="822">
        <v>1004</v>
      </c>
      <c r="X135" s="436" t="str">
        <f>IFERROR(VLOOKUP(W135,DATA!$G$4:$H$400,2,FALSE),"")</f>
        <v xml:space="preserve">Түмэндэлгэр </v>
      </c>
      <c r="Y135" s="328"/>
      <c r="Z135" s="328"/>
      <c r="AA135" s="328"/>
    </row>
    <row r="136" spans="1:27" ht="12.75" customHeight="1">
      <c r="A136" s="425"/>
      <c r="B136" s="368">
        <f t="shared" si="42"/>
        <v>131</v>
      </c>
      <c r="C136" s="425">
        <v>43101</v>
      </c>
      <c r="D136" s="830">
        <v>211804</v>
      </c>
      <c r="E136" s="876" t="str">
        <f t="shared" ca="1" si="43"/>
        <v>Н-Хэлбэртэй плинтус /20*80мм/</v>
      </c>
      <c r="F136" s="426" t="str">
        <f t="shared" ca="1" si="46"/>
        <v>м</v>
      </c>
      <c r="G136" s="415">
        <v>4500</v>
      </c>
      <c r="H136" s="415">
        <v>2291.4425863960614</v>
      </c>
      <c r="I136" s="415">
        <f t="shared" si="59"/>
        <v>10311491.638782276</v>
      </c>
      <c r="J136" s="415"/>
      <c r="K136" s="415">
        <f t="shared" si="45"/>
        <v>10311491.638782276</v>
      </c>
      <c r="L136" s="415"/>
      <c r="M136" s="415"/>
      <c r="N136" s="422" t="str">
        <f>+IF(L136="","",L136*M136)</f>
        <v/>
      </c>
      <c r="O136" s="422" t="str">
        <f>+IF(L136="","",N136*0.1)</f>
        <v/>
      </c>
      <c r="P136" s="422" t="str">
        <f>+IF(L136="","",N136+O136)</f>
        <v/>
      </c>
      <c r="Q136" s="422" t="str">
        <f>IF(L136="","",IFERROR((SUMIFS(TN_balC1_totol,TN_code,D136)+SUMIFS(RC_or_totol,RC_Code,D136,RC_date,"&lt;="&amp;C136)-SUMIFS(RC_zar_totol,RC_Code,D136,RC_date,"&lt;"&amp;C136)) /( SUMIFS(TN_balC1_unit,TN_code,D136)+SUMIFS(RC_or_unit,RC_Code,D136,RC_date,"&lt;="&amp;C136)-SUMIFS(RC_zar_unit,RC_Code,D136,RC_date,"&lt;"&amp;C136)),0 ))</f>
        <v/>
      </c>
      <c r="R136" s="422" t="str">
        <f>+IF(L136="","",L136*Q136)</f>
        <v/>
      </c>
      <c r="S136" s="583">
        <f t="shared" si="58"/>
        <v>150101</v>
      </c>
      <c r="T136" s="377" t="str">
        <f>+IFERROR(VLOOKUP(S136,STAT1!$C$4:$D$189,2,FALSE),"")</f>
        <v>Бараа бэлэн бүтээгдэхүүн БОЛОВСРУУЛАХ ЦЕХ /нарс/</v>
      </c>
      <c r="U136" s="424">
        <v>10311491.638782276</v>
      </c>
      <c r="V136" s="424"/>
      <c r="W136" s="822">
        <v>1004</v>
      </c>
      <c r="X136" s="436" t="str">
        <f>IFERROR(VLOOKUP(W136,DATA!$G$4:$H$400,2,FALSE),"")</f>
        <v xml:space="preserve">Түмэндэлгэр </v>
      </c>
      <c r="Y136" s="328"/>
      <c r="Z136" s="328"/>
      <c r="AA136" s="328"/>
    </row>
    <row r="137" spans="1:27" ht="12.75" customHeight="1">
      <c r="A137" s="425"/>
      <c r="B137" s="368">
        <f t="shared" ref="B137:B199" si="60">+IF(C137="","",ROW()-5)</f>
        <v>132</v>
      </c>
      <c r="C137" s="425">
        <v>43101</v>
      </c>
      <c r="D137" s="830"/>
      <c r="E137" s="876" t="str">
        <f t="shared" ref="E137:E199" ca="1" si="61">+IFERROR(VLOOKUP(D137,TN_table,2,FALSE),"")</f>
        <v/>
      </c>
      <c r="F137" s="426" t="str">
        <f t="shared" ca="1" si="46"/>
        <v/>
      </c>
      <c r="G137" s="415"/>
      <c r="H137" s="415"/>
      <c r="I137" s="415" t="str">
        <f t="shared" si="59"/>
        <v/>
      </c>
      <c r="J137" s="415" t="str">
        <f t="shared" si="44"/>
        <v/>
      </c>
      <c r="K137" s="415" t="str">
        <f t="shared" si="45"/>
        <v/>
      </c>
      <c r="L137" s="415"/>
      <c r="M137" s="415"/>
      <c r="N137" s="422" t="str">
        <f>+IF(L137="","",L137*M137)</f>
        <v/>
      </c>
      <c r="O137" s="422" t="str">
        <f>+IF(L137="","",N137*0.1)</f>
        <v/>
      </c>
      <c r="P137" s="422" t="str">
        <f>+IF(L137="","",N137+O137)</f>
        <v/>
      </c>
      <c r="Q137" s="422" t="str">
        <f>IF(L137="","",IFERROR((SUMIFS(TN_balC1_totol,TN_code,D137)+SUMIFS(RC_or_totol,RC_Code,D137,RC_date,"&lt;="&amp;C137)-SUMIFS(RC_zar_totol,RC_Code,D137,RC_date,"&lt;"&amp;C137)) /( SUMIFS(TN_balC1_unit,TN_code,D137)+SUMIFS(RC_or_unit,RC_Code,D137,RC_date,"&lt;="&amp;C137)-SUMIFS(RC_zar_unit,RC_Code,D137,RC_date,"&lt;"&amp;C137)),0 ))</f>
        <v/>
      </c>
      <c r="R137" s="422" t="str">
        <f>+IF(L137="","",L137*Q137)</f>
        <v/>
      </c>
      <c r="S137" s="583">
        <v>140501</v>
      </c>
      <c r="T137" s="377" t="str">
        <f>+IFERROR(VLOOKUP(S137,STAT1!$C$4:$D$189,2,FALSE),"")</f>
        <v>Нэгтгэл зардал БОЛОВСРУУЛАХ ЦЕХ /нарс/</v>
      </c>
      <c r="U137" s="424"/>
      <c r="V137" s="424">
        <v>142542050.38999996</v>
      </c>
      <c r="W137" s="822">
        <v>1004</v>
      </c>
      <c r="X137" s="436" t="str">
        <f>IFERROR(VLOOKUP(W137,DATA!$G$4:$H$400,2,FALSE),"")</f>
        <v xml:space="preserve">Түмэндэлгэр </v>
      </c>
      <c r="Y137" s="328"/>
      <c r="Z137" s="328"/>
      <c r="AA137" s="328"/>
    </row>
    <row r="138" spans="1:27" ht="12.75" customHeight="1">
      <c r="A138" s="425"/>
      <c r="B138" s="368">
        <f t="shared" si="60"/>
        <v>133</v>
      </c>
      <c r="C138" s="425">
        <v>43101</v>
      </c>
      <c r="D138" s="830">
        <v>410369</v>
      </c>
      <c r="E138" s="876" t="str">
        <f t="shared" ca="1" si="61"/>
        <v>Ажлын хувцас</v>
      </c>
      <c r="F138" s="426" t="str">
        <f t="shared" ca="1" si="46"/>
        <v>ш</v>
      </c>
      <c r="G138" s="415"/>
      <c r="H138" s="415"/>
      <c r="I138" s="415" t="str">
        <f t="shared" si="59"/>
        <v/>
      </c>
      <c r="J138" s="415" t="str">
        <f t="shared" si="44"/>
        <v/>
      </c>
      <c r="K138" s="415" t="str">
        <f t="shared" si="45"/>
        <v/>
      </c>
      <c r="L138" s="415">
        <v>25</v>
      </c>
      <c r="M138" s="415"/>
      <c r="N138" s="422">
        <f>+IF(L138="","",L138*M138)</f>
        <v>0</v>
      </c>
      <c r="O138" s="422">
        <f>+IF(L138="","",N138*0.1)</f>
        <v>0</v>
      </c>
      <c r="P138" s="422">
        <f>+IF(L138="","",N138+O138)</f>
        <v>0</v>
      </c>
      <c r="Q138" s="422">
        <f ca="1">IF(L138="","",IFERROR((SUMIFS(TN_balC1_totol,TN_code,D138)+SUMIFS(RC_or_totol,RC_Code,D138,RC_date,"&lt;="&amp;C138)-SUMIFS(RC_zar_totol,RC_Code,D138,RC_date,"&lt;"&amp;C138)) /( SUMIFS(TN_balC1_unit,TN_code,D138)+SUMIFS(RC_or_unit,RC_Code,D138,RC_date,"&lt;="&amp;C138)-SUMIFS(RC_zar_unit,RC_Code,D138,RC_date,"&lt;"&amp;C138)),0 ))</f>
        <v>93636.363638190945</v>
      </c>
      <c r="R138" s="422">
        <f ca="1">+IF(L138="","",L138*Q138)</f>
        <v>2340909.0909547736</v>
      </c>
      <c r="S138" s="583">
        <f t="shared" si="58"/>
        <v>160100</v>
      </c>
      <c r="T138" s="377" t="str">
        <f>+IFERROR(VLOOKUP(S138,STAT1!$C$4:$D$189,2,FALSE),"")</f>
        <v xml:space="preserve">Барилгын материал </v>
      </c>
      <c r="U138" s="424"/>
      <c r="V138" s="424">
        <v>2340909.09</v>
      </c>
      <c r="W138" s="822">
        <v>1004</v>
      </c>
      <c r="X138" s="436" t="str">
        <f>IFERROR(VLOOKUP(W138,DATA!$G$4:$H$400,2,FALSE),"")</f>
        <v xml:space="preserve">Түмэндэлгэр </v>
      </c>
      <c r="Y138" s="328"/>
      <c r="Z138" s="328"/>
      <c r="AA138" s="328"/>
    </row>
    <row r="139" spans="1:27" ht="12.75" customHeight="1">
      <c r="A139" s="425"/>
      <c r="B139" s="368">
        <f t="shared" si="60"/>
        <v>134</v>
      </c>
      <c r="C139" s="425">
        <v>43101</v>
      </c>
      <c r="D139" s="830"/>
      <c r="E139" s="876" t="str">
        <f t="shared" ca="1" si="61"/>
        <v/>
      </c>
      <c r="F139" s="426" t="str">
        <f t="shared" ca="1" si="46"/>
        <v/>
      </c>
      <c r="G139" s="415"/>
      <c r="H139" s="415"/>
      <c r="I139" s="415" t="str">
        <f t="shared" si="59"/>
        <v/>
      </c>
      <c r="J139" s="415" t="str">
        <f t="shared" si="44"/>
        <v/>
      </c>
      <c r="K139" s="415" t="str">
        <f t="shared" si="45"/>
        <v/>
      </c>
      <c r="L139" s="415"/>
      <c r="M139" s="415"/>
      <c r="N139" s="422"/>
      <c r="O139" s="422"/>
      <c r="P139" s="422"/>
      <c r="Q139" s="422"/>
      <c r="R139" s="422"/>
      <c r="S139" s="583">
        <v>704600</v>
      </c>
      <c r="T139" s="377" t="str">
        <f>+IFERROR(VLOOKUP(S139,STAT1!$C$4:$D$189,2,FALSE),"")</f>
        <v>Хөдөлмөр хамгаалалын зардал</v>
      </c>
      <c r="U139" s="424">
        <v>2340909.09</v>
      </c>
      <c r="V139" s="415"/>
      <c r="W139" s="823">
        <v>1004</v>
      </c>
      <c r="X139" s="436" t="str">
        <f>IFERROR(VLOOKUP(W139,DATA!$G$4:$H$400,2,FALSE),"")</f>
        <v xml:space="preserve">Түмэндэлгэр </v>
      </c>
      <c r="Y139" s="328"/>
      <c r="Z139" s="328"/>
      <c r="AA139" s="328"/>
    </row>
    <row r="140" spans="1:27" ht="12.75" customHeight="1">
      <c r="A140" s="425"/>
      <c r="B140" s="368">
        <f t="shared" si="60"/>
        <v>135</v>
      </c>
      <c r="C140" s="425">
        <v>43191</v>
      </c>
      <c r="D140" s="830">
        <v>410005</v>
      </c>
      <c r="E140" s="876" t="str">
        <f t="shared" ca="1" si="61"/>
        <v>Хавтан /фасад/</v>
      </c>
      <c r="F140" s="426" t="str">
        <f t="shared" ca="1" si="46"/>
        <v>ш</v>
      </c>
      <c r="G140" s="415">
        <v>3</v>
      </c>
      <c r="H140" s="415">
        <v>85000</v>
      </c>
      <c r="I140" s="415">
        <f t="shared" si="59"/>
        <v>255000</v>
      </c>
      <c r="J140" s="415">
        <f t="shared" si="44"/>
        <v>25500</v>
      </c>
      <c r="K140" s="415">
        <f t="shared" si="45"/>
        <v>280500</v>
      </c>
      <c r="L140" s="415"/>
      <c r="M140" s="415"/>
      <c r="N140" s="422" t="str">
        <f t="shared" ref="N140:N146" si="62">+IF(L140="","",L140*M140)</f>
        <v/>
      </c>
      <c r="O140" s="422" t="str">
        <f t="shared" ref="O140:O146" si="63">+IF(L140="","",N140*0.1)</f>
        <v/>
      </c>
      <c r="P140" s="422" t="str">
        <f t="shared" ref="P140:P146" si="64">+IF(L140="","",N140+O140)</f>
        <v/>
      </c>
      <c r="Q140" s="422" t="str">
        <f t="shared" ref="Q140:Q146" si="65">IF(L140="","",IFERROR((SUMIFS(TN_balC1_totol,TN_code,D140)+SUMIFS(RC_or_totol,RC_Code,D140,RC_date,"&lt;="&amp;C140)-SUMIFS(RC_zar_totol,RC_Code,D140,RC_date,"&lt;"&amp;C140)) /( SUMIFS(TN_balC1_unit,TN_code,D140)+SUMIFS(RC_or_unit,RC_Code,D140,RC_date,"&lt;="&amp;C140)-SUMIFS(RC_zar_unit,RC_Code,D140,RC_date,"&lt;"&amp;C140)),0 ))</f>
        <v/>
      </c>
      <c r="R140" s="422" t="str">
        <f t="shared" ref="R140:R146" si="66">+IF(L140="","",L140*Q140)</f>
        <v/>
      </c>
      <c r="S140" s="583">
        <f t="shared" si="58"/>
        <v>160100</v>
      </c>
      <c r="T140" s="377" t="str">
        <f>+IFERROR(VLOOKUP(S140,STAT1!$C$4:$D$189,2,FALSE),"")</f>
        <v xml:space="preserve">Барилгын материал </v>
      </c>
      <c r="U140" s="424">
        <v>255000</v>
      </c>
      <c r="V140" s="424"/>
      <c r="W140" s="822">
        <v>1008</v>
      </c>
      <c r="X140" s="436" t="str">
        <f>IFERROR(VLOOKUP(W140,DATA!$G$4:$H$400,2,FALSE),"")</f>
        <v xml:space="preserve">Оюунтүлхүүр </v>
      </c>
      <c r="Y140" s="328"/>
      <c r="Z140" s="328"/>
      <c r="AA140" s="328"/>
    </row>
    <row r="141" spans="1:27" ht="12.75" customHeight="1">
      <c r="A141" s="425"/>
      <c r="B141" s="368">
        <f t="shared" si="60"/>
        <v>136</v>
      </c>
      <c r="C141" s="425">
        <v>43191</v>
      </c>
      <c r="D141" s="830">
        <v>410005</v>
      </c>
      <c r="E141" s="876" t="str">
        <f t="shared" ca="1" si="61"/>
        <v>Хавтан /фасад/</v>
      </c>
      <c r="F141" s="426" t="str">
        <f t="shared" ca="1" si="46"/>
        <v>ш</v>
      </c>
      <c r="G141" s="415">
        <v>1</v>
      </c>
      <c r="H141" s="415">
        <v>55000</v>
      </c>
      <c r="I141" s="415">
        <f t="shared" si="59"/>
        <v>55000</v>
      </c>
      <c r="J141" s="415">
        <f t="shared" si="44"/>
        <v>5500</v>
      </c>
      <c r="K141" s="415">
        <f t="shared" si="45"/>
        <v>60500</v>
      </c>
      <c r="L141" s="415"/>
      <c r="M141" s="415"/>
      <c r="N141" s="422" t="str">
        <f t="shared" si="62"/>
        <v/>
      </c>
      <c r="O141" s="422" t="str">
        <f t="shared" si="63"/>
        <v/>
      </c>
      <c r="P141" s="422" t="str">
        <f t="shared" si="64"/>
        <v/>
      </c>
      <c r="Q141" s="422" t="str">
        <f t="shared" si="65"/>
        <v/>
      </c>
      <c r="R141" s="422" t="str">
        <f t="shared" si="66"/>
        <v/>
      </c>
      <c r="S141" s="583">
        <f t="shared" si="58"/>
        <v>160100</v>
      </c>
      <c r="T141" s="377" t="str">
        <f>+IFERROR(VLOOKUP(S141,STAT1!$C$4:$D$189,2,FALSE),"")</f>
        <v xml:space="preserve">Барилгын материал </v>
      </c>
      <c r="U141" s="424">
        <v>55000</v>
      </c>
      <c r="V141" s="424"/>
      <c r="W141" s="822">
        <v>1008</v>
      </c>
      <c r="X141" s="436" t="str">
        <f>IFERROR(VLOOKUP(W141,DATA!$G$4:$H$400,2,FALSE),"")</f>
        <v xml:space="preserve">Оюунтүлхүүр </v>
      </c>
      <c r="Y141" s="328"/>
      <c r="Z141" s="328"/>
      <c r="AA141" s="328"/>
    </row>
    <row r="142" spans="1:27" ht="12.75" customHeight="1">
      <c r="A142" s="425"/>
      <c r="B142" s="368">
        <f t="shared" si="60"/>
        <v>137</v>
      </c>
      <c r="C142" s="425">
        <v>43191</v>
      </c>
      <c r="D142" s="830"/>
      <c r="E142" s="876" t="str">
        <f t="shared" ca="1" si="61"/>
        <v/>
      </c>
      <c r="F142" s="426" t="str">
        <f t="shared" ca="1" si="46"/>
        <v/>
      </c>
      <c r="G142" s="415"/>
      <c r="H142" s="415"/>
      <c r="I142" s="415" t="str">
        <f t="shared" si="59"/>
        <v/>
      </c>
      <c r="J142" s="415" t="str">
        <f t="shared" si="44"/>
        <v/>
      </c>
      <c r="K142" s="415" t="str">
        <f t="shared" si="45"/>
        <v/>
      </c>
      <c r="L142" s="415"/>
      <c r="M142" s="415"/>
      <c r="N142" s="422" t="str">
        <f t="shared" si="62"/>
        <v/>
      </c>
      <c r="O142" s="422" t="str">
        <f t="shared" si="63"/>
        <v/>
      </c>
      <c r="P142" s="422" t="str">
        <f t="shared" si="64"/>
        <v/>
      </c>
      <c r="Q142" s="422" t="str">
        <f t="shared" si="65"/>
        <v/>
      </c>
      <c r="R142" s="422" t="str">
        <f t="shared" si="66"/>
        <v/>
      </c>
      <c r="S142" s="583">
        <v>120600</v>
      </c>
      <c r="T142" s="377" t="str">
        <f>+IFERROR(VLOOKUP(S142,STAT1!$C$4:$D$189,2,FALSE),"")</f>
        <v>НӨАТ авлага</v>
      </c>
      <c r="U142" s="424">
        <v>31000</v>
      </c>
      <c r="V142" s="424"/>
      <c r="W142" s="822">
        <v>1008</v>
      </c>
      <c r="X142" s="436" t="str">
        <f>IFERROR(VLOOKUP(W142,DATA!$G$4:$H$400,2,FALSE),"")</f>
        <v xml:space="preserve">Оюунтүлхүүр </v>
      </c>
      <c r="Y142" s="328"/>
      <c r="Z142" s="328"/>
      <c r="AA142" s="328"/>
    </row>
    <row r="143" spans="1:27" ht="12.75" customHeight="1">
      <c r="A143" s="425"/>
      <c r="B143" s="368">
        <f t="shared" si="60"/>
        <v>138</v>
      </c>
      <c r="C143" s="425">
        <v>43191</v>
      </c>
      <c r="D143" s="830"/>
      <c r="E143" s="876" t="str">
        <f t="shared" ca="1" si="61"/>
        <v/>
      </c>
      <c r="F143" s="426" t="str">
        <f t="shared" ca="1" si="46"/>
        <v/>
      </c>
      <c r="G143" s="415"/>
      <c r="H143" s="415"/>
      <c r="I143" s="415" t="str">
        <f t="shared" si="59"/>
        <v/>
      </c>
      <c r="J143" s="415" t="str">
        <f t="shared" si="44"/>
        <v/>
      </c>
      <c r="K143" s="415" t="str">
        <f t="shared" si="45"/>
        <v/>
      </c>
      <c r="L143" s="415"/>
      <c r="M143" s="415"/>
      <c r="N143" s="422" t="str">
        <f t="shared" si="62"/>
        <v/>
      </c>
      <c r="O143" s="422" t="str">
        <f t="shared" si="63"/>
        <v/>
      </c>
      <c r="P143" s="422" t="str">
        <f t="shared" si="64"/>
        <v/>
      </c>
      <c r="Q143" s="422" t="str">
        <f t="shared" si="65"/>
        <v/>
      </c>
      <c r="R143" s="422" t="str">
        <f t="shared" si="66"/>
        <v/>
      </c>
      <c r="S143" s="583">
        <v>121200</v>
      </c>
      <c r="T143" s="377" t="str">
        <f>+IFERROR(VLOOKUP(S143,STAT1!$C$4:$D$189,2,FALSE),"")</f>
        <v xml:space="preserve">Ажилчидын дараа тайлангийн тооцоо </v>
      </c>
      <c r="U143" s="424"/>
      <c r="V143" s="424">
        <v>341000</v>
      </c>
      <c r="W143" s="822">
        <v>1008</v>
      </c>
      <c r="X143" s="436" t="str">
        <f>IFERROR(VLOOKUP(W143,DATA!$G$4:$H$400,2,FALSE),"")</f>
        <v xml:space="preserve">Оюунтүлхүүр </v>
      </c>
      <c r="Y143" s="328"/>
      <c r="Z143" s="328"/>
      <c r="AA143" s="328"/>
    </row>
    <row r="144" spans="1:27" ht="12.75" customHeight="1">
      <c r="A144" s="425"/>
      <c r="B144" s="368">
        <f t="shared" si="60"/>
        <v>139</v>
      </c>
      <c r="C144" s="425">
        <v>43208</v>
      </c>
      <c r="D144" s="830">
        <v>410054</v>
      </c>
      <c r="E144" s="876" t="str">
        <f t="shared" ca="1" si="61"/>
        <v xml:space="preserve">Будаг шингэлэгч </v>
      </c>
      <c r="F144" s="426" t="str">
        <f t="shared" ca="1" si="46"/>
        <v>ш</v>
      </c>
      <c r="G144" s="415">
        <v>200</v>
      </c>
      <c r="H144" s="415">
        <v>2000</v>
      </c>
      <c r="I144" s="415">
        <f t="shared" si="59"/>
        <v>400000</v>
      </c>
      <c r="J144" s="415">
        <f t="shared" si="44"/>
        <v>40000</v>
      </c>
      <c r="K144" s="415">
        <f t="shared" si="45"/>
        <v>440000</v>
      </c>
      <c r="L144" s="415"/>
      <c r="M144" s="415"/>
      <c r="N144" s="422" t="str">
        <f t="shared" si="62"/>
        <v/>
      </c>
      <c r="O144" s="422" t="str">
        <f t="shared" si="63"/>
        <v/>
      </c>
      <c r="P144" s="422" t="str">
        <f t="shared" si="64"/>
        <v/>
      </c>
      <c r="Q144" s="422" t="str">
        <f t="shared" si="65"/>
        <v/>
      </c>
      <c r="R144" s="422" t="str">
        <f t="shared" si="66"/>
        <v/>
      </c>
      <c r="S144" s="583">
        <f t="shared" si="58"/>
        <v>160100</v>
      </c>
      <c r="T144" s="377" t="str">
        <f>+IFERROR(VLOOKUP(S144,STAT1!$C$4:$D$189,2,FALSE),"")</f>
        <v xml:space="preserve">Барилгын материал </v>
      </c>
      <c r="U144" s="424">
        <v>400000</v>
      </c>
      <c r="V144" s="424"/>
      <c r="W144" s="823">
        <v>3017</v>
      </c>
      <c r="X144" s="436" t="str">
        <f>IFERROR(VLOOKUP(W144,DATA!$G$4:$H$400,2,FALSE),"")</f>
        <v xml:space="preserve">ВОС ХХК </v>
      </c>
      <c r="Y144" s="328"/>
      <c r="Z144" s="328"/>
      <c r="AA144" s="328"/>
    </row>
    <row r="145" spans="1:27" ht="12.75" customHeight="1">
      <c r="A145" s="425"/>
      <c r="B145" s="368">
        <f t="shared" si="60"/>
        <v>140</v>
      </c>
      <c r="C145" s="425">
        <v>43208</v>
      </c>
      <c r="D145" s="830">
        <v>410085</v>
      </c>
      <c r="E145" s="876" t="str">
        <f t="shared" ca="1" si="61"/>
        <v xml:space="preserve">НЦ-лак </v>
      </c>
      <c r="F145" s="426" t="str">
        <f t="shared" ca="1" si="46"/>
        <v>кг</v>
      </c>
      <c r="G145" s="415">
        <v>450</v>
      </c>
      <c r="H145" s="415">
        <v>8222.2222199999997</v>
      </c>
      <c r="I145" s="415">
        <f t="shared" si="59"/>
        <v>3699999.9989999998</v>
      </c>
      <c r="J145" s="415">
        <f t="shared" si="44"/>
        <v>369999.9999</v>
      </c>
      <c r="K145" s="415">
        <f t="shared" si="45"/>
        <v>4069999.9989</v>
      </c>
      <c r="L145" s="415"/>
      <c r="M145" s="415"/>
      <c r="N145" s="422" t="str">
        <f t="shared" si="62"/>
        <v/>
      </c>
      <c r="O145" s="422" t="str">
        <f t="shared" si="63"/>
        <v/>
      </c>
      <c r="P145" s="422" t="str">
        <f t="shared" si="64"/>
        <v/>
      </c>
      <c r="Q145" s="422" t="str">
        <f t="shared" si="65"/>
        <v/>
      </c>
      <c r="R145" s="422" t="str">
        <f t="shared" si="66"/>
        <v/>
      </c>
      <c r="S145" s="583">
        <f t="shared" si="58"/>
        <v>160100</v>
      </c>
      <c r="T145" s="377" t="str">
        <f>+IFERROR(VLOOKUP(S145,STAT1!$C$4:$D$189,2,FALSE),"")</f>
        <v xml:space="preserve">Барилгын материал </v>
      </c>
      <c r="U145" s="424">
        <v>3700000</v>
      </c>
      <c r="V145" s="424"/>
      <c r="W145" s="823">
        <v>3017</v>
      </c>
      <c r="X145" s="436" t="str">
        <f>IFERROR(VLOOKUP(W145,DATA!$G$4:$H$400,2,FALSE),"")</f>
        <v xml:space="preserve">ВОС ХХК </v>
      </c>
      <c r="Y145" s="328"/>
      <c r="Z145" s="328"/>
      <c r="AA145" s="328"/>
    </row>
    <row r="146" spans="1:27" ht="12.75" customHeight="1">
      <c r="A146" s="425"/>
      <c r="B146" s="368">
        <f t="shared" si="60"/>
        <v>141</v>
      </c>
      <c r="C146" s="425">
        <v>43208</v>
      </c>
      <c r="D146" s="830"/>
      <c r="E146" s="876" t="str">
        <f t="shared" ca="1" si="61"/>
        <v/>
      </c>
      <c r="F146" s="426" t="str">
        <f t="shared" ca="1" si="46"/>
        <v/>
      </c>
      <c r="G146" s="415"/>
      <c r="H146" s="415"/>
      <c r="I146" s="415" t="str">
        <f t="shared" si="59"/>
        <v/>
      </c>
      <c r="J146" s="415" t="str">
        <f t="shared" ref="J146:J154" si="67">+IF(G146="","",I146*0.1)</f>
        <v/>
      </c>
      <c r="K146" s="415" t="str">
        <f t="shared" ref="K146:K154" si="68">+IF(G146="","",I146+J146)</f>
        <v/>
      </c>
      <c r="L146" s="415"/>
      <c r="M146" s="415"/>
      <c r="N146" s="422" t="str">
        <f t="shared" si="62"/>
        <v/>
      </c>
      <c r="O146" s="422" t="str">
        <f t="shared" si="63"/>
        <v/>
      </c>
      <c r="P146" s="422" t="str">
        <f t="shared" si="64"/>
        <v/>
      </c>
      <c r="Q146" s="422" t="str">
        <f t="shared" si="65"/>
        <v/>
      </c>
      <c r="R146" s="422" t="str">
        <f t="shared" si="66"/>
        <v/>
      </c>
      <c r="S146" s="583">
        <v>120600</v>
      </c>
      <c r="T146" s="377" t="str">
        <f>+IFERROR(VLOOKUP(S146,STAT1!$C$4:$D$189,2,FALSE),"")</f>
        <v>НӨАТ авлага</v>
      </c>
      <c r="U146" s="424">
        <v>410000</v>
      </c>
      <c r="V146" s="424"/>
      <c r="W146" s="823">
        <v>3017</v>
      </c>
      <c r="X146" s="436" t="str">
        <f>IFERROR(VLOOKUP(W146,DATA!$G$4:$H$400,2,FALSE),"")</f>
        <v xml:space="preserve">ВОС ХХК </v>
      </c>
      <c r="Y146" s="328"/>
      <c r="Z146" s="328"/>
      <c r="AA146" s="328"/>
    </row>
    <row r="147" spans="1:27" ht="12.75" customHeight="1">
      <c r="A147" s="425"/>
      <c r="B147" s="368">
        <f t="shared" si="60"/>
        <v>142</v>
      </c>
      <c r="C147" s="425">
        <v>43208</v>
      </c>
      <c r="D147" s="830"/>
      <c r="E147" s="876" t="str">
        <f t="shared" ca="1" si="61"/>
        <v/>
      </c>
      <c r="F147" s="426" t="str">
        <f t="shared" ca="1" si="46"/>
        <v/>
      </c>
      <c r="G147" s="415"/>
      <c r="H147" s="415"/>
      <c r="I147" s="415" t="str">
        <f t="shared" si="59"/>
        <v/>
      </c>
      <c r="J147" s="415" t="str">
        <f t="shared" si="67"/>
        <v/>
      </c>
      <c r="K147" s="415" t="str">
        <f t="shared" si="68"/>
        <v/>
      </c>
      <c r="L147" s="415"/>
      <c r="M147" s="415"/>
      <c r="N147" s="422"/>
      <c r="O147" s="422"/>
      <c r="P147" s="422"/>
      <c r="Q147" s="422"/>
      <c r="R147" s="422"/>
      <c r="S147" s="583">
        <v>120100</v>
      </c>
      <c r="T147" s="377" t="str">
        <f>+IFERROR(VLOOKUP(S147,STAT1!$C$4:$D$189,2,FALSE),"")</f>
        <v xml:space="preserve">Дансны авлага MNT </v>
      </c>
      <c r="U147" s="415"/>
      <c r="V147" s="415">
        <v>4510000</v>
      </c>
      <c r="W147" s="823">
        <v>3017</v>
      </c>
      <c r="X147" s="436" t="str">
        <f>IFERROR(VLOOKUP(W147,DATA!$G$4:$H$400,2,FALSE),"")</f>
        <v xml:space="preserve">ВОС ХХК </v>
      </c>
      <c r="Y147" s="328"/>
      <c r="Z147" s="328"/>
      <c r="AA147" s="328"/>
    </row>
    <row r="148" spans="1:27" ht="12.75" customHeight="1">
      <c r="A148" s="425"/>
      <c r="B148" s="368">
        <f t="shared" si="60"/>
        <v>143</v>
      </c>
      <c r="C148" s="425">
        <v>43235</v>
      </c>
      <c r="D148" s="830">
        <v>410085</v>
      </c>
      <c r="E148" s="876" t="str">
        <f t="shared" ca="1" si="61"/>
        <v xml:space="preserve">НЦ-лак </v>
      </c>
      <c r="F148" s="426" t="str">
        <f t="shared" ca="1" si="46"/>
        <v>кг</v>
      </c>
      <c r="G148" s="415">
        <v>200</v>
      </c>
      <c r="H148" s="415">
        <v>2000</v>
      </c>
      <c r="I148" s="415">
        <f t="shared" si="59"/>
        <v>400000</v>
      </c>
      <c r="J148" s="415">
        <f t="shared" si="67"/>
        <v>40000</v>
      </c>
      <c r="K148" s="415">
        <f t="shared" si="68"/>
        <v>440000</v>
      </c>
      <c r="L148" s="415"/>
      <c r="M148" s="415"/>
      <c r="N148" s="422" t="str">
        <f t="shared" ref="N148:N160" si="69">+IF(L148="","",L148*M148)</f>
        <v/>
      </c>
      <c r="O148" s="422" t="str">
        <f t="shared" ref="O148:O160" si="70">+IF(L148="","",N148*0.1)</f>
        <v/>
      </c>
      <c r="P148" s="422" t="str">
        <f t="shared" ref="P148:P160" si="71">+IF(L148="","",N148+O148)</f>
        <v/>
      </c>
      <c r="Q148" s="422" t="str">
        <f t="shared" ref="Q148:Q160" si="72">IF(L148="","",IFERROR((SUMIFS(TN_balC1_totol,TN_code,D148)+SUMIFS(RC_or_totol,RC_Code,D148,RC_date,"&lt;="&amp;C148)-SUMIFS(RC_zar_totol,RC_Code,D148,RC_date,"&lt;"&amp;C148)) /( SUMIFS(TN_balC1_unit,TN_code,D148)+SUMIFS(RC_or_unit,RC_Code,D148,RC_date,"&lt;="&amp;C148)-SUMIFS(RC_zar_unit,RC_Code,D148,RC_date,"&lt;"&amp;C148)),0 ))</f>
        <v/>
      </c>
      <c r="R148" s="422" t="str">
        <f t="shared" ref="R148:R160" si="73">+IF(L148="","",L148*Q148)</f>
        <v/>
      </c>
      <c r="S148" s="583">
        <f t="shared" si="58"/>
        <v>160100</v>
      </c>
      <c r="T148" s="377" t="str">
        <f>+IFERROR(VLOOKUP(S148,STAT1!$C$4:$D$189,2,FALSE),"")</f>
        <v xml:space="preserve">Барилгын материал </v>
      </c>
      <c r="U148" s="424">
        <v>400000</v>
      </c>
      <c r="V148" s="424"/>
      <c r="W148" s="823">
        <v>3017</v>
      </c>
      <c r="X148" s="436" t="str">
        <f>IFERROR(VLOOKUP(W148,DATA!$G$4:$H$400,2,FALSE),"")</f>
        <v xml:space="preserve">ВОС ХХК </v>
      </c>
      <c r="Y148" s="328"/>
      <c r="Z148" s="328"/>
      <c r="AA148" s="328"/>
    </row>
    <row r="149" spans="1:27" ht="12.75" customHeight="1">
      <c r="A149" s="425"/>
      <c r="B149" s="368">
        <f t="shared" si="60"/>
        <v>144</v>
      </c>
      <c r="C149" s="425">
        <v>43235</v>
      </c>
      <c r="D149" s="830">
        <v>410054</v>
      </c>
      <c r="E149" s="876" t="str">
        <f t="shared" ca="1" si="61"/>
        <v xml:space="preserve">Будаг шингэлэгч </v>
      </c>
      <c r="F149" s="426" t="str">
        <f t="shared" ca="1" si="46"/>
        <v>ш</v>
      </c>
      <c r="G149" s="415">
        <v>450</v>
      </c>
      <c r="H149" s="415">
        <v>8222.2222199999997</v>
      </c>
      <c r="I149" s="415">
        <f t="shared" si="59"/>
        <v>3699999.9989999998</v>
      </c>
      <c r="J149" s="415">
        <f t="shared" si="67"/>
        <v>369999.9999</v>
      </c>
      <c r="K149" s="415">
        <f t="shared" si="68"/>
        <v>4069999.9989</v>
      </c>
      <c r="L149" s="415"/>
      <c r="M149" s="415"/>
      <c r="N149" s="422" t="str">
        <f t="shared" si="69"/>
        <v/>
      </c>
      <c r="O149" s="422" t="str">
        <f t="shared" si="70"/>
        <v/>
      </c>
      <c r="P149" s="422" t="str">
        <f t="shared" si="71"/>
        <v/>
      </c>
      <c r="Q149" s="422" t="str">
        <f t="shared" si="72"/>
        <v/>
      </c>
      <c r="R149" s="422" t="str">
        <f t="shared" si="73"/>
        <v/>
      </c>
      <c r="S149" s="583">
        <f t="shared" si="58"/>
        <v>160100</v>
      </c>
      <c r="T149" s="377" t="str">
        <f>+IFERROR(VLOOKUP(S149,STAT1!$C$4:$D$189,2,FALSE),"")</f>
        <v xml:space="preserve">Барилгын материал </v>
      </c>
      <c r="U149" s="424">
        <v>3700000</v>
      </c>
      <c r="V149" s="424"/>
      <c r="W149" s="823">
        <v>3017</v>
      </c>
      <c r="X149" s="436" t="str">
        <f>IFERROR(VLOOKUP(W149,DATA!$G$4:$H$400,2,FALSE),"")</f>
        <v xml:space="preserve">ВОС ХХК </v>
      </c>
      <c r="Y149" s="328"/>
      <c r="Z149" s="328"/>
      <c r="AA149" s="328"/>
    </row>
    <row r="150" spans="1:27" ht="12.75" customHeight="1">
      <c r="A150" s="425"/>
      <c r="B150" s="368">
        <f t="shared" si="60"/>
        <v>145</v>
      </c>
      <c r="C150" s="425">
        <v>43235</v>
      </c>
      <c r="D150" s="830"/>
      <c r="E150" s="876" t="str">
        <f t="shared" ca="1" si="61"/>
        <v/>
      </c>
      <c r="F150" s="426" t="str">
        <f t="shared" ca="1" si="46"/>
        <v/>
      </c>
      <c r="G150" s="415"/>
      <c r="H150" s="415"/>
      <c r="I150" s="415" t="str">
        <f t="shared" si="59"/>
        <v/>
      </c>
      <c r="J150" s="415" t="str">
        <f t="shared" si="67"/>
        <v/>
      </c>
      <c r="K150" s="415" t="str">
        <f t="shared" si="68"/>
        <v/>
      </c>
      <c r="L150" s="415"/>
      <c r="M150" s="415"/>
      <c r="N150" s="422" t="str">
        <f t="shared" si="69"/>
        <v/>
      </c>
      <c r="O150" s="422" t="str">
        <f t="shared" si="70"/>
        <v/>
      </c>
      <c r="P150" s="422" t="str">
        <f t="shared" si="71"/>
        <v/>
      </c>
      <c r="Q150" s="422" t="str">
        <f t="shared" si="72"/>
        <v/>
      </c>
      <c r="R150" s="422" t="str">
        <f t="shared" si="73"/>
        <v/>
      </c>
      <c r="S150" s="583">
        <v>120600</v>
      </c>
      <c r="T150" s="377" t="str">
        <f>+IFERROR(VLOOKUP(S150,STAT1!$C$4:$D$189,2,FALSE),"")</f>
        <v>НӨАТ авлага</v>
      </c>
      <c r="U150" s="424">
        <v>410000</v>
      </c>
      <c r="V150" s="424"/>
      <c r="W150" s="823">
        <v>3017</v>
      </c>
      <c r="X150" s="436" t="str">
        <f>IFERROR(VLOOKUP(W150,DATA!$G$4:$H$400,2,FALSE),"")</f>
        <v xml:space="preserve">ВОС ХХК </v>
      </c>
      <c r="Y150" s="328"/>
      <c r="Z150" s="328"/>
      <c r="AA150" s="328"/>
    </row>
    <row r="151" spans="1:27" ht="12.75" customHeight="1">
      <c r="A151" s="425"/>
      <c r="B151" s="368">
        <f t="shared" si="60"/>
        <v>146</v>
      </c>
      <c r="C151" s="425">
        <v>43235</v>
      </c>
      <c r="D151" s="830"/>
      <c r="E151" s="876" t="str">
        <f t="shared" ca="1" si="61"/>
        <v/>
      </c>
      <c r="F151" s="426" t="str">
        <f t="shared" ca="1" si="46"/>
        <v/>
      </c>
      <c r="G151" s="415"/>
      <c r="H151" s="415"/>
      <c r="I151" s="415" t="str">
        <f t="shared" si="59"/>
        <v/>
      </c>
      <c r="J151" s="415" t="str">
        <f t="shared" si="67"/>
        <v/>
      </c>
      <c r="K151" s="415" t="str">
        <f t="shared" si="68"/>
        <v/>
      </c>
      <c r="L151" s="415"/>
      <c r="M151" s="415"/>
      <c r="N151" s="422" t="str">
        <f t="shared" si="69"/>
        <v/>
      </c>
      <c r="O151" s="422" t="str">
        <f t="shared" si="70"/>
        <v/>
      </c>
      <c r="P151" s="422" t="str">
        <f t="shared" si="71"/>
        <v/>
      </c>
      <c r="Q151" s="422" t="str">
        <f t="shared" si="72"/>
        <v/>
      </c>
      <c r="R151" s="422" t="str">
        <f t="shared" si="73"/>
        <v/>
      </c>
      <c r="S151" s="583">
        <v>120100</v>
      </c>
      <c r="T151" s="377" t="str">
        <f>+IFERROR(VLOOKUP(S151,STAT1!$C$4:$D$189,2,FALSE),"")</f>
        <v xml:space="preserve">Дансны авлага MNT </v>
      </c>
      <c r="U151" s="424"/>
      <c r="V151" s="424">
        <v>4510000</v>
      </c>
      <c r="W151" s="823">
        <v>3017</v>
      </c>
      <c r="X151" s="436" t="str">
        <f>IFERROR(VLOOKUP(W151,DATA!$G$4:$H$400,2,FALSE),"")</f>
        <v xml:space="preserve">ВОС ХХК </v>
      </c>
      <c r="Y151" s="328"/>
      <c r="Z151" s="328"/>
      <c r="AA151" s="328"/>
    </row>
    <row r="152" spans="1:27" ht="12.75" customHeight="1">
      <c r="A152" s="425"/>
      <c r="B152" s="368">
        <f t="shared" si="60"/>
        <v>147</v>
      </c>
      <c r="C152" s="425">
        <v>43206</v>
      </c>
      <c r="D152" s="830">
        <v>410006</v>
      </c>
      <c r="E152" s="876" t="str">
        <f t="shared" ca="1" si="61"/>
        <v>Модны замаска</v>
      </c>
      <c r="F152" s="426" t="str">
        <f t="shared" ca="1" si="46"/>
        <v>ш</v>
      </c>
      <c r="G152" s="415">
        <v>24</v>
      </c>
      <c r="H152" s="415">
        <v>3000</v>
      </c>
      <c r="I152" s="415">
        <f t="shared" si="59"/>
        <v>72000</v>
      </c>
      <c r="J152" s="415">
        <f t="shared" si="67"/>
        <v>7200</v>
      </c>
      <c r="K152" s="415">
        <f t="shared" si="68"/>
        <v>79200</v>
      </c>
      <c r="L152" s="415"/>
      <c r="M152" s="415"/>
      <c r="N152" s="422" t="str">
        <f t="shared" si="69"/>
        <v/>
      </c>
      <c r="O152" s="422" t="str">
        <f t="shared" si="70"/>
        <v/>
      </c>
      <c r="P152" s="422" t="str">
        <f t="shared" si="71"/>
        <v/>
      </c>
      <c r="Q152" s="422" t="str">
        <f t="shared" si="72"/>
        <v/>
      </c>
      <c r="R152" s="422" t="str">
        <f t="shared" si="73"/>
        <v/>
      </c>
      <c r="S152" s="583">
        <f>+IF(LEFT(D152,3)="131",140100,0)+IF(LEFT(D152,3)="310",150100,0)+IF(LEFT(D152,3)="211",150101,0)+IF(LEFT(D152,3)="410",160100,0)+IF(LEFT(D152,3)="440",160200,0)+IF(LEFT(D152,3)="430",160200,0)+IF(LEFT(D152,3)="420",160200,0)+IF(LEFT(D152,3)="460",160201,0)+IF(LEFT(D152,3)="210",150101,0)+IF(LEFT(D152,3)="510",140100,0)</f>
        <v>160100</v>
      </c>
      <c r="T152" s="377" t="str">
        <f>+IFERROR(VLOOKUP(S152,STAT1!$C$4:$D$189,2,FALSE),"")</f>
        <v xml:space="preserve">Барилгын материал </v>
      </c>
      <c r="U152" s="424">
        <v>72000</v>
      </c>
      <c r="V152" s="424"/>
      <c r="W152" s="822">
        <v>3017</v>
      </c>
      <c r="X152" s="436" t="str">
        <f>IFERROR(VLOOKUP(W152,DATA!$G$4:$H$400,2,FALSE),"")</f>
        <v xml:space="preserve">ВОС ХХК </v>
      </c>
      <c r="Y152" s="328"/>
      <c r="Z152" s="328"/>
      <c r="AA152" s="328"/>
    </row>
    <row r="153" spans="1:27" ht="12.75" customHeight="1">
      <c r="A153" s="425"/>
      <c r="B153" s="368">
        <f t="shared" si="60"/>
        <v>148</v>
      </c>
      <c r="C153" s="425">
        <v>43206</v>
      </c>
      <c r="D153" s="830">
        <v>410085</v>
      </c>
      <c r="E153" s="876" t="str">
        <f t="shared" ca="1" si="61"/>
        <v xml:space="preserve">НЦ-лак </v>
      </c>
      <c r="F153" s="426" t="str">
        <f t="shared" ca="1" si="46"/>
        <v>кг</v>
      </c>
      <c r="G153" s="415">
        <v>270</v>
      </c>
      <c r="H153" s="415">
        <f>407000/1.1/45</f>
        <v>8222.2222222222208</v>
      </c>
      <c r="I153" s="415">
        <f t="shared" si="59"/>
        <v>2219999.9999999995</v>
      </c>
      <c r="J153" s="415">
        <f t="shared" si="67"/>
        <v>221999.99999999997</v>
      </c>
      <c r="K153" s="415">
        <f t="shared" si="68"/>
        <v>2441999.9999999995</v>
      </c>
      <c r="L153" s="415"/>
      <c r="M153" s="415"/>
      <c r="N153" s="422" t="str">
        <f t="shared" si="69"/>
        <v/>
      </c>
      <c r="O153" s="422" t="str">
        <f t="shared" si="70"/>
        <v/>
      </c>
      <c r="P153" s="422" t="str">
        <f t="shared" si="71"/>
        <v/>
      </c>
      <c r="Q153" s="422" t="str">
        <f t="shared" si="72"/>
        <v/>
      </c>
      <c r="R153" s="422" t="str">
        <f t="shared" si="73"/>
        <v/>
      </c>
      <c r="S153" s="583">
        <f>+IF(LEFT(D153,3)="131",140100,0)+IF(LEFT(D153,3)="310",150100,0)+IF(LEFT(D153,3)="211",150101,0)+IF(LEFT(D153,3)="410",160100,0)+IF(LEFT(D153,3)="440",160200,0)+IF(LEFT(D153,3)="430",160200,0)+IF(LEFT(D153,3)="420",160200,0)+IF(LEFT(D153,3)="460",160201,0)+IF(LEFT(D153,3)="210",150101,0)+IF(LEFT(D153,3)="510",140100,0)</f>
        <v>160100</v>
      </c>
      <c r="T153" s="377" t="str">
        <f>+IFERROR(VLOOKUP(S153,STAT1!$C$4:$D$189,2,FALSE),"")</f>
        <v xml:space="preserve">Барилгын материал </v>
      </c>
      <c r="U153" s="424">
        <v>2219999.9999999995</v>
      </c>
      <c r="V153" s="424"/>
      <c r="W153" s="822">
        <v>3017</v>
      </c>
      <c r="X153" s="436" t="str">
        <f>IFERROR(VLOOKUP(W153,DATA!$G$4:$H$400,2,FALSE),"")</f>
        <v xml:space="preserve">ВОС ХХК </v>
      </c>
      <c r="Y153" s="328"/>
      <c r="Z153" s="328"/>
      <c r="AA153" s="328"/>
    </row>
    <row r="154" spans="1:27" ht="12.75" customHeight="1">
      <c r="A154" s="425"/>
      <c r="B154" s="368">
        <f t="shared" si="60"/>
        <v>149</v>
      </c>
      <c r="C154" s="425">
        <v>43206</v>
      </c>
      <c r="D154" s="830">
        <v>410054</v>
      </c>
      <c r="E154" s="876" t="str">
        <f t="shared" ca="1" si="61"/>
        <v xml:space="preserve">Будаг шингэлэгч </v>
      </c>
      <c r="F154" s="426" t="str">
        <f t="shared" ca="1" si="46"/>
        <v>ш</v>
      </c>
      <c r="G154" s="415">
        <v>200</v>
      </c>
      <c r="H154" s="415">
        <v>2000</v>
      </c>
      <c r="I154" s="415">
        <f t="shared" si="59"/>
        <v>400000</v>
      </c>
      <c r="J154" s="415">
        <f t="shared" si="67"/>
        <v>40000</v>
      </c>
      <c r="K154" s="415">
        <f t="shared" si="68"/>
        <v>440000</v>
      </c>
      <c r="L154" s="415"/>
      <c r="M154" s="415"/>
      <c r="N154" s="422" t="str">
        <f t="shared" si="69"/>
        <v/>
      </c>
      <c r="O154" s="422" t="str">
        <f t="shared" si="70"/>
        <v/>
      </c>
      <c r="P154" s="422" t="str">
        <f t="shared" si="71"/>
        <v/>
      </c>
      <c r="Q154" s="422" t="str">
        <f t="shared" si="72"/>
        <v/>
      </c>
      <c r="R154" s="422" t="str">
        <f t="shared" si="73"/>
        <v/>
      </c>
      <c r="S154" s="583">
        <f>+IF(LEFT(D154,3)="131",140100,0)+IF(LEFT(D154,3)="310",150100,0)+IF(LEFT(D154,3)="211",150101,0)+IF(LEFT(D154,3)="410",160100,0)+IF(LEFT(D154,3)="440",160200,0)+IF(LEFT(D154,3)="430",160200,0)+IF(LEFT(D154,3)="420",160200,0)+IF(LEFT(D154,3)="460",160201,0)+IF(LEFT(D154,3)="210",150101,0)+IF(LEFT(D154,3)="510",140100,0)</f>
        <v>160100</v>
      </c>
      <c r="T154" s="377" t="str">
        <f>+IFERROR(VLOOKUP(S154,STAT1!$C$4:$D$189,2,FALSE),"")</f>
        <v xml:space="preserve">Барилгын материал </v>
      </c>
      <c r="U154" s="424">
        <v>400000</v>
      </c>
      <c r="V154" s="424"/>
      <c r="W154" s="822">
        <v>3017</v>
      </c>
      <c r="X154" s="436" t="str">
        <f>IFERROR(VLOOKUP(W154,DATA!$G$4:$H$400,2,FALSE),"")</f>
        <v xml:space="preserve">ВОС ХХК </v>
      </c>
      <c r="Y154" s="328"/>
      <c r="Z154" s="328"/>
      <c r="AA154" s="328"/>
    </row>
    <row r="155" spans="1:27" ht="12.75" customHeight="1">
      <c r="A155" s="425"/>
      <c r="B155" s="368">
        <f t="shared" si="60"/>
        <v>150</v>
      </c>
      <c r="C155" s="425">
        <v>43206</v>
      </c>
      <c r="D155" s="830"/>
      <c r="E155" s="876" t="str">
        <f t="shared" ca="1" si="61"/>
        <v/>
      </c>
      <c r="F155" s="426" t="str">
        <f t="shared" ca="1" si="46"/>
        <v/>
      </c>
      <c r="G155" s="415"/>
      <c r="H155" s="415"/>
      <c r="I155" s="415" t="str">
        <f t="shared" ref="I155:I218" si="74">+IF(G155="","",G155*H155)</f>
        <v/>
      </c>
      <c r="J155" s="415" t="str">
        <f t="shared" ref="J155:J218" si="75">+IF(G155="","",I155*0.1)</f>
        <v/>
      </c>
      <c r="K155" s="415" t="str">
        <f t="shared" ref="K155:K218" si="76">+IF(G155="","",I155+J155)</f>
        <v/>
      </c>
      <c r="L155" s="415"/>
      <c r="M155" s="415"/>
      <c r="N155" s="422" t="str">
        <f t="shared" si="69"/>
        <v/>
      </c>
      <c r="O155" s="422" t="str">
        <f t="shared" si="70"/>
        <v/>
      </c>
      <c r="P155" s="422" t="str">
        <f t="shared" si="71"/>
        <v/>
      </c>
      <c r="Q155" s="422" t="str">
        <f t="shared" si="72"/>
        <v/>
      </c>
      <c r="R155" s="422" t="str">
        <f t="shared" si="73"/>
        <v/>
      </c>
      <c r="S155" s="583">
        <v>120600</v>
      </c>
      <c r="T155" s="377" t="str">
        <f>+IFERROR(VLOOKUP(S155,STAT1!$C$4:$D$189,2,FALSE),"")</f>
        <v>НӨАТ авлага</v>
      </c>
      <c r="U155" s="424">
        <v>269200</v>
      </c>
      <c r="V155" s="424"/>
      <c r="W155" s="822">
        <v>3017</v>
      </c>
      <c r="X155" s="436" t="str">
        <f>IFERROR(VLOOKUP(W155,DATA!$G$4:$H$400,2,FALSE),"")</f>
        <v xml:space="preserve">ВОС ХХК </v>
      </c>
      <c r="Y155" s="328"/>
      <c r="Z155" s="328"/>
      <c r="AA155" s="328"/>
    </row>
    <row r="156" spans="1:27" ht="12.75" customHeight="1">
      <c r="A156" s="425"/>
      <c r="B156" s="368">
        <f t="shared" si="60"/>
        <v>151</v>
      </c>
      <c r="C156" s="425">
        <v>43206</v>
      </c>
      <c r="D156" s="830"/>
      <c r="E156" s="876" t="str">
        <f t="shared" ca="1" si="61"/>
        <v/>
      </c>
      <c r="F156" s="426" t="str">
        <f t="shared" ca="1" si="46"/>
        <v/>
      </c>
      <c r="G156" s="415"/>
      <c r="H156" s="415"/>
      <c r="I156" s="415" t="str">
        <f t="shared" si="74"/>
        <v/>
      </c>
      <c r="J156" s="415" t="str">
        <f t="shared" si="75"/>
        <v/>
      </c>
      <c r="K156" s="415" t="str">
        <f t="shared" si="76"/>
        <v/>
      </c>
      <c r="L156" s="415"/>
      <c r="M156" s="415"/>
      <c r="N156" s="422" t="str">
        <f t="shared" si="69"/>
        <v/>
      </c>
      <c r="O156" s="422" t="str">
        <f t="shared" si="70"/>
        <v/>
      </c>
      <c r="P156" s="422" t="str">
        <f t="shared" si="71"/>
        <v/>
      </c>
      <c r="Q156" s="422" t="str">
        <f t="shared" si="72"/>
        <v/>
      </c>
      <c r="R156" s="422" t="str">
        <f t="shared" si="73"/>
        <v/>
      </c>
      <c r="S156" s="583">
        <v>120100</v>
      </c>
      <c r="T156" s="377" t="str">
        <f>+IFERROR(VLOOKUP(S156,STAT1!$C$4:$D$189,2,FALSE),"")</f>
        <v xml:space="preserve">Дансны авлага MNT </v>
      </c>
      <c r="U156" s="424"/>
      <c r="V156" s="424">
        <v>2961199.9999999995</v>
      </c>
      <c r="W156" s="822">
        <v>3017</v>
      </c>
      <c r="X156" s="436" t="str">
        <f>IFERROR(VLOOKUP(W156,DATA!$G$4:$H$400,2,FALSE),"")</f>
        <v xml:space="preserve">ВОС ХХК </v>
      </c>
      <c r="Y156" s="328"/>
      <c r="Z156" s="328"/>
      <c r="AA156" s="328"/>
    </row>
    <row r="157" spans="1:27" ht="12.75" customHeight="1">
      <c r="A157" s="425"/>
      <c r="B157" s="368">
        <f t="shared" si="60"/>
        <v>152</v>
      </c>
      <c r="C157" s="425">
        <v>43203</v>
      </c>
      <c r="D157" s="830">
        <v>211503</v>
      </c>
      <c r="E157" s="876" t="str">
        <f t="shared" ca="1" si="61"/>
        <v>Н-Евровагонка /зузаан-1.2см/</v>
      </c>
      <c r="F157" s="426" t="str">
        <f t="shared" ca="1" si="46"/>
        <v>м2</v>
      </c>
      <c r="G157" s="415"/>
      <c r="H157" s="415"/>
      <c r="I157" s="415" t="str">
        <f t="shared" si="74"/>
        <v/>
      </c>
      <c r="J157" s="415" t="str">
        <f t="shared" si="75"/>
        <v/>
      </c>
      <c r="K157" s="415" t="str">
        <f t="shared" si="76"/>
        <v/>
      </c>
      <c r="L157" s="415">
        <v>25</v>
      </c>
      <c r="M157" s="415">
        <v>21600</v>
      </c>
      <c r="N157" s="422">
        <f t="shared" si="69"/>
        <v>540000</v>
      </c>
      <c r="O157" s="422">
        <f t="shared" si="70"/>
        <v>54000</v>
      </c>
      <c r="P157" s="422">
        <f t="shared" si="71"/>
        <v>594000</v>
      </c>
      <c r="Q157" s="422">
        <f t="shared" ca="1" si="72"/>
        <v>14541.928809736646</v>
      </c>
      <c r="R157" s="422">
        <f t="shared" ca="1" si="73"/>
        <v>363548.22024341614</v>
      </c>
      <c r="S157" s="583">
        <f>+IF(LEFT(D157,3)="131",140100,0)+IF(LEFT(D157,3)="310",150100,0)+IF(LEFT(D157,3)="211",150101,0)+IF(LEFT(D157,3)="410",160100,0)+IF(LEFT(D157,3)="440",160200,0)+IF(LEFT(D157,3)="430",160200,0)+IF(LEFT(D157,3)="420",160200,0)+IF(LEFT(D157,3)="460",160201,0)+IF(LEFT(D157,3)="210",150101,0)+IF(LEFT(D157,3)="510",140100,0)</f>
        <v>150101</v>
      </c>
      <c r="T157" s="377" t="str">
        <f>+IFERROR(VLOOKUP(S157,STAT1!$C$4:$D$189,2,FALSE),"")</f>
        <v>Бараа бэлэн бүтээгдэхүүн БОЛОВСРУУЛАХ ЦЕХ /нарс/</v>
      </c>
      <c r="U157" s="424"/>
      <c r="V157" s="424">
        <v>363548.22024341614</v>
      </c>
      <c r="W157" s="822">
        <v>3109</v>
      </c>
      <c r="X157" s="436" t="str">
        <f>IFERROR(VLOOKUP(W157,DATA!$G$4:$H$400,2,FALSE),"")</f>
        <v xml:space="preserve">СИЛК РӨҮТ ТЕКСТИЛЬ ХХК </v>
      </c>
      <c r="Y157" s="328"/>
      <c r="Z157" s="328"/>
      <c r="AA157" s="328"/>
    </row>
    <row r="158" spans="1:27" ht="12.75" customHeight="1">
      <c r="A158" s="425"/>
      <c r="B158" s="368">
        <f t="shared" si="60"/>
        <v>153</v>
      </c>
      <c r="C158" s="425">
        <v>43203</v>
      </c>
      <c r="D158" s="830"/>
      <c r="E158" s="876" t="str">
        <f t="shared" ca="1" si="61"/>
        <v/>
      </c>
      <c r="F158" s="426" t="str">
        <f t="shared" ca="1" si="46"/>
        <v/>
      </c>
      <c r="G158" s="415"/>
      <c r="H158" s="415"/>
      <c r="I158" s="415" t="str">
        <f t="shared" si="74"/>
        <v/>
      </c>
      <c r="J158" s="415" t="str">
        <f t="shared" si="75"/>
        <v/>
      </c>
      <c r="K158" s="415" t="str">
        <f t="shared" si="76"/>
        <v/>
      </c>
      <c r="L158" s="415"/>
      <c r="M158" s="415"/>
      <c r="N158" s="422" t="str">
        <f t="shared" si="69"/>
        <v/>
      </c>
      <c r="O158" s="422" t="str">
        <f t="shared" si="70"/>
        <v/>
      </c>
      <c r="P158" s="422" t="str">
        <f t="shared" si="71"/>
        <v/>
      </c>
      <c r="Q158" s="422" t="str">
        <f t="shared" si="72"/>
        <v/>
      </c>
      <c r="R158" s="422" t="str">
        <f t="shared" si="73"/>
        <v/>
      </c>
      <c r="S158" s="583">
        <v>610100</v>
      </c>
      <c r="T158" s="377" t="str">
        <f>+IFERROR(VLOOKUP(S158,STAT1!$C$4:$D$189,2,FALSE),"")</f>
        <v>Борлуулсан барааны өртөг</v>
      </c>
      <c r="U158" s="424">
        <v>363548.22024341614</v>
      </c>
      <c r="V158" s="424"/>
      <c r="W158" s="822">
        <v>3109</v>
      </c>
      <c r="X158" s="436" t="str">
        <f>IFERROR(VLOOKUP(W158,DATA!$G$4:$H$400,2,FALSE),"")</f>
        <v xml:space="preserve">СИЛК РӨҮТ ТЕКСТИЛЬ ХХК </v>
      </c>
      <c r="Y158" s="328"/>
      <c r="Z158" s="328"/>
      <c r="AA158" s="328"/>
    </row>
    <row r="159" spans="1:27" ht="12.75" customHeight="1">
      <c r="A159" s="425"/>
      <c r="B159" s="368">
        <f t="shared" si="60"/>
        <v>154</v>
      </c>
      <c r="C159" s="425">
        <v>43203</v>
      </c>
      <c r="D159" s="830"/>
      <c r="E159" s="876" t="str">
        <f t="shared" ca="1" si="61"/>
        <v/>
      </c>
      <c r="F159" s="426" t="str">
        <f t="shared" ca="1" si="46"/>
        <v/>
      </c>
      <c r="G159" s="415"/>
      <c r="H159" s="415"/>
      <c r="I159" s="415" t="str">
        <f t="shared" si="74"/>
        <v/>
      </c>
      <c r="J159" s="415" t="str">
        <f t="shared" si="75"/>
        <v/>
      </c>
      <c r="K159" s="415" t="str">
        <f t="shared" si="76"/>
        <v/>
      </c>
      <c r="L159" s="415"/>
      <c r="M159" s="415"/>
      <c r="N159" s="422" t="str">
        <f t="shared" si="69"/>
        <v/>
      </c>
      <c r="O159" s="422" t="str">
        <f t="shared" si="70"/>
        <v/>
      </c>
      <c r="P159" s="422" t="str">
        <f t="shared" si="71"/>
        <v/>
      </c>
      <c r="Q159" s="422" t="str">
        <f t="shared" si="72"/>
        <v/>
      </c>
      <c r="R159" s="422" t="str">
        <f t="shared" si="73"/>
        <v/>
      </c>
      <c r="S159" s="583">
        <v>310500</v>
      </c>
      <c r="T159" s="377" t="str">
        <f>+IFERROR(VLOOKUP(S159,STAT1!$C$4:$D$189,2,FALSE),"")</f>
        <v>НӨАТ өглөг</v>
      </c>
      <c r="U159" s="424"/>
      <c r="V159" s="424">
        <v>54000</v>
      </c>
      <c r="W159" s="822">
        <v>3109</v>
      </c>
      <c r="X159" s="436" t="str">
        <f>IFERROR(VLOOKUP(W159,DATA!$G$4:$H$400,2,FALSE),"")</f>
        <v xml:space="preserve">СИЛК РӨҮТ ТЕКСТИЛЬ ХХК </v>
      </c>
      <c r="Y159" s="328"/>
      <c r="Z159" s="328"/>
      <c r="AA159" s="328"/>
    </row>
    <row r="160" spans="1:27" ht="12.75" customHeight="1">
      <c r="A160" s="425"/>
      <c r="B160" s="368">
        <f t="shared" si="60"/>
        <v>155</v>
      </c>
      <c r="C160" s="425">
        <v>43203</v>
      </c>
      <c r="D160" s="830"/>
      <c r="E160" s="876" t="str">
        <f t="shared" ca="1" si="61"/>
        <v/>
      </c>
      <c r="F160" s="426" t="str">
        <f t="shared" ca="1" si="46"/>
        <v/>
      </c>
      <c r="G160" s="415"/>
      <c r="H160" s="415"/>
      <c r="I160" s="415" t="str">
        <f t="shared" si="74"/>
        <v/>
      </c>
      <c r="J160" s="415" t="str">
        <f t="shared" si="75"/>
        <v/>
      </c>
      <c r="K160" s="415" t="str">
        <f t="shared" si="76"/>
        <v/>
      </c>
      <c r="L160" s="415"/>
      <c r="M160" s="415"/>
      <c r="N160" s="422" t="str">
        <f t="shared" si="69"/>
        <v/>
      </c>
      <c r="O160" s="422" t="str">
        <f t="shared" si="70"/>
        <v/>
      </c>
      <c r="P160" s="422" t="str">
        <f t="shared" si="71"/>
        <v/>
      </c>
      <c r="Q160" s="422" t="str">
        <f t="shared" si="72"/>
        <v/>
      </c>
      <c r="R160" s="422" t="str">
        <f t="shared" si="73"/>
        <v/>
      </c>
      <c r="S160" s="583">
        <v>510000</v>
      </c>
      <c r="T160" s="377" t="str">
        <f>+IFERROR(VLOOKUP(S160,STAT1!$C$4:$D$189,2,FALSE),"")</f>
        <v>Үндсэн үйл ажиллагааны борлуулалт</v>
      </c>
      <c r="U160" s="424"/>
      <c r="V160" s="424">
        <v>540000</v>
      </c>
      <c r="W160" s="822">
        <v>3109</v>
      </c>
      <c r="X160" s="436" t="str">
        <f>IFERROR(VLOOKUP(W160,DATA!$G$4:$H$400,2,FALSE),"")</f>
        <v xml:space="preserve">СИЛК РӨҮТ ТЕКСТИЛЬ ХХК </v>
      </c>
      <c r="Y160" s="328"/>
      <c r="Z160" s="328"/>
      <c r="AA160" s="328"/>
    </row>
    <row r="161" spans="1:27" ht="12.75" customHeight="1">
      <c r="A161" s="425"/>
      <c r="B161" s="368">
        <f t="shared" si="60"/>
        <v>156</v>
      </c>
      <c r="C161" s="425">
        <v>43203</v>
      </c>
      <c r="D161" s="830"/>
      <c r="E161" s="876" t="str">
        <f t="shared" ca="1" si="61"/>
        <v/>
      </c>
      <c r="F161" s="426" t="str">
        <f t="shared" ca="1" si="46"/>
        <v/>
      </c>
      <c r="G161" s="415"/>
      <c r="H161" s="415"/>
      <c r="I161" s="415" t="str">
        <f t="shared" si="74"/>
        <v/>
      </c>
      <c r="J161" s="415" t="str">
        <f t="shared" si="75"/>
        <v/>
      </c>
      <c r="K161" s="415" t="str">
        <f t="shared" si="76"/>
        <v/>
      </c>
      <c r="L161" s="415"/>
      <c r="M161" s="415"/>
      <c r="N161" s="422"/>
      <c r="O161" s="422"/>
      <c r="P161" s="422"/>
      <c r="Q161" s="422"/>
      <c r="R161" s="422"/>
      <c r="S161" s="583">
        <v>320100</v>
      </c>
      <c r="T161" s="377" t="str">
        <f>+IFERROR(VLOOKUP(S161,STAT1!$C$4:$D$189,2,FALSE),"")</f>
        <v>Урьдчилж орсон орлого MNT</v>
      </c>
      <c r="U161" s="415">
        <v>594000</v>
      </c>
      <c r="V161" s="415"/>
      <c r="W161" s="822">
        <v>3109</v>
      </c>
      <c r="X161" s="436" t="str">
        <f>IFERROR(VLOOKUP(W161,DATA!$G$4:$H$400,2,FALSE),"")</f>
        <v xml:space="preserve">СИЛК РӨҮТ ТЕКСТИЛЬ ХХК </v>
      </c>
      <c r="Y161" s="328"/>
      <c r="Z161" s="328"/>
      <c r="AA161" s="328"/>
    </row>
    <row r="162" spans="1:27" ht="12.75" customHeight="1">
      <c r="A162" s="425"/>
      <c r="B162" s="368">
        <f t="shared" si="60"/>
        <v>157</v>
      </c>
      <c r="C162" s="425">
        <v>43203</v>
      </c>
      <c r="D162" s="830">
        <v>211713</v>
      </c>
      <c r="E162" s="876" t="str">
        <f t="shared" ca="1" si="61"/>
        <v>Н-Хавтан /зузаан-2см/</v>
      </c>
      <c r="F162" s="426" t="str">
        <f t="shared" ca="1" si="46"/>
        <v>м2</v>
      </c>
      <c r="G162" s="415"/>
      <c r="H162" s="415"/>
      <c r="I162" s="415" t="str">
        <f t="shared" si="74"/>
        <v/>
      </c>
      <c r="J162" s="415" t="str">
        <f t="shared" si="75"/>
        <v/>
      </c>
      <c r="K162" s="415" t="str">
        <f t="shared" si="76"/>
        <v/>
      </c>
      <c r="L162" s="415">
        <v>3</v>
      </c>
      <c r="M162" s="415">
        <v>30000</v>
      </c>
      <c r="N162" s="422">
        <f t="shared" ref="N162:N167" si="77">+IF(L162="","",L162*M162)</f>
        <v>90000</v>
      </c>
      <c r="O162" s="422">
        <f t="shared" ref="O162:O167" si="78">+IF(L162="","",N162*0.1)</f>
        <v>9000</v>
      </c>
      <c r="P162" s="422">
        <f t="shared" ref="P162:P167" si="79">+IF(L162="","",N162+O162)</f>
        <v>99000</v>
      </c>
      <c r="Q162" s="422">
        <f t="shared" ref="Q162:Q167" ca="1" si="80">IF(L162="","",IFERROR((SUMIFS(TN_balC1_totol,TN_code,D162)+SUMIFS(RC_or_totol,RC_Code,D162,RC_date,"&lt;="&amp;C162)-SUMIFS(RC_zar_totol,RC_Code,D162,RC_date,"&lt;"&amp;C162)) /( SUMIFS(TN_balC1_unit,TN_code,D162)+SUMIFS(RC_or_unit,RC_Code,D162,RC_date,"&lt;="&amp;C162)-SUMIFS(RC_zar_unit,RC_Code,D162,RC_date,"&lt;"&amp;C162)),0 ))</f>
        <v>24820.285936271332</v>
      </c>
      <c r="R162" s="422">
        <f t="shared" ref="R162:R167" ca="1" si="81">+IF(L162="","",L162*Q162)</f>
        <v>74460.857808813991</v>
      </c>
      <c r="S162" s="583">
        <f>+IF(LEFT(D162,3)="131",140100,0)+IF(LEFT(D162,3)="310",150100,0)+IF(LEFT(D162,3)="211",150101,0)+IF(LEFT(D162,3)="410",160100,0)+IF(LEFT(D162,3)="440",160200,0)+IF(LEFT(D162,3)="430",160200,0)+IF(LEFT(D162,3)="420",160200,0)+IF(LEFT(D162,3)="460",160201,0)+IF(LEFT(D162,3)="210",150101,0)+IF(LEFT(D162,3)="510",140100,0)</f>
        <v>150101</v>
      </c>
      <c r="T162" s="377" t="str">
        <f>+IFERROR(VLOOKUP(S162,STAT1!$C$4:$D$189,2,FALSE),"")</f>
        <v>Бараа бэлэн бүтээгдэхүүн БОЛОВСРУУЛАХ ЦЕХ /нарс/</v>
      </c>
      <c r="U162" s="424"/>
      <c r="V162" s="424">
        <v>74460.857808813991</v>
      </c>
      <c r="W162" s="822">
        <v>3021</v>
      </c>
      <c r="X162" s="436" t="str">
        <f>IFERROR(VLOOKUP(W162,DATA!$G$4:$H$400,2,FALSE),"")</f>
        <v>БАНДИА ХХК</v>
      </c>
      <c r="Y162" s="328"/>
      <c r="Z162" s="328"/>
      <c r="AA162" s="328"/>
    </row>
    <row r="163" spans="1:27" ht="12.75" customHeight="1">
      <c r="A163" s="425"/>
      <c r="B163" s="368">
        <f t="shared" si="60"/>
        <v>158</v>
      </c>
      <c r="C163" s="425">
        <v>43203</v>
      </c>
      <c r="D163" s="830"/>
      <c r="E163" s="876" t="str">
        <f t="shared" ca="1" si="61"/>
        <v/>
      </c>
      <c r="F163" s="426" t="str">
        <f t="shared" ca="1" si="46"/>
        <v/>
      </c>
      <c r="G163" s="415"/>
      <c r="H163" s="415"/>
      <c r="I163" s="415" t="str">
        <f t="shared" si="74"/>
        <v/>
      </c>
      <c r="J163" s="415" t="str">
        <f t="shared" si="75"/>
        <v/>
      </c>
      <c r="K163" s="415" t="str">
        <f t="shared" si="76"/>
        <v/>
      </c>
      <c r="L163" s="415"/>
      <c r="M163" s="415"/>
      <c r="N163" s="422" t="str">
        <f t="shared" si="77"/>
        <v/>
      </c>
      <c r="O163" s="422" t="str">
        <f t="shared" si="78"/>
        <v/>
      </c>
      <c r="P163" s="422" t="str">
        <f t="shared" si="79"/>
        <v/>
      </c>
      <c r="Q163" s="422" t="str">
        <f t="shared" si="80"/>
        <v/>
      </c>
      <c r="R163" s="422" t="str">
        <f t="shared" si="81"/>
        <v/>
      </c>
      <c r="S163" s="583">
        <v>610100</v>
      </c>
      <c r="T163" s="377" t="str">
        <f>+IFERROR(VLOOKUP(S163,STAT1!$C$4:$D$189,2,FALSE),"")</f>
        <v>Борлуулсан барааны өртөг</v>
      </c>
      <c r="U163" s="424">
        <v>74460.857808813991</v>
      </c>
      <c r="V163" s="424"/>
      <c r="W163" s="822">
        <v>3021</v>
      </c>
      <c r="X163" s="436" t="str">
        <f>IFERROR(VLOOKUP(W163,DATA!$G$4:$H$400,2,FALSE),"")</f>
        <v>БАНДИА ХХК</v>
      </c>
      <c r="Y163" s="328"/>
      <c r="Z163" s="328"/>
      <c r="AA163" s="328"/>
    </row>
    <row r="164" spans="1:27" ht="12.75" customHeight="1">
      <c r="A164" s="425"/>
      <c r="B164" s="368">
        <f t="shared" si="60"/>
        <v>159</v>
      </c>
      <c r="C164" s="425">
        <v>43203</v>
      </c>
      <c r="D164" s="830"/>
      <c r="E164" s="876" t="str">
        <f t="shared" ca="1" si="61"/>
        <v/>
      </c>
      <c r="F164" s="426" t="str">
        <f t="shared" ref="F164:F230" ca="1" si="82">+IFERROR(VLOOKUP(D164,TN_table,3,FALSE),"")</f>
        <v/>
      </c>
      <c r="G164" s="415"/>
      <c r="H164" s="415"/>
      <c r="I164" s="415" t="str">
        <f t="shared" si="74"/>
        <v/>
      </c>
      <c r="J164" s="415" t="str">
        <f t="shared" si="75"/>
        <v/>
      </c>
      <c r="K164" s="415" t="str">
        <f t="shared" si="76"/>
        <v/>
      </c>
      <c r="L164" s="415"/>
      <c r="M164" s="415"/>
      <c r="N164" s="422" t="str">
        <f t="shared" si="77"/>
        <v/>
      </c>
      <c r="O164" s="422" t="str">
        <f t="shared" si="78"/>
        <v/>
      </c>
      <c r="P164" s="422" t="str">
        <f t="shared" si="79"/>
        <v/>
      </c>
      <c r="Q164" s="422" t="str">
        <f t="shared" si="80"/>
        <v/>
      </c>
      <c r="R164" s="422" t="str">
        <f t="shared" si="81"/>
        <v/>
      </c>
      <c r="S164" s="583">
        <v>310500</v>
      </c>
      <c r="T164" s="377" t="str">
        <f>+IFERROR(VLOOKUP(S164,STAT1!$C$4:$D$189,2,FALSE),"")</f>
        <v>НӨАТ өглөг</v>
      </c>
      <c r="U164" s="424"/>
      <c r="V164" s="424">
        <v>9000</v>
      </c>
      <c r="W164" s="822">
        <v>3021</v>
      </c>
      <c r="X164" s="436" t="str">
        <f>IFERROR(VLOOKUP(W164,DATA!$G$4:$H$400,2,FALSE),"")</f>
        <v>БАНДИА ХХК</v>
      </c>
      <c r="Y164" s="328"/>
      <c r="Z164" s="328"/>
      <c r="AA164" s="328"/>
    </row>
    <row r="165" spans="1:27" ht="12.75" customHeight="1">
      <c r="A165" s="425"/>
      <c r="B165" s="368">
        <f t="shared" si="60"/>
        <v>160</v>
      </c>
      <c r="C165" s="425">
        <v>43203</v>
      </c>
      <c r="D165" s="830"/>
      <c r="E165" s="876" t="str">
        <f t="shared" ca="1" si="61"/>
        <v/>
      </c>
      <c r="F165" s="426" t="str">
        <f t="shared" ca="1" si="82"/>
        <v/>
      </c>
      <c r="G165" s="415"/>
      <c r="H165" s="415"/>
      <c r="I165" s="415" t="str">
        <f t="shared" si="74"/>
        <v/>
      </c>
      <c r="J165" s="415" t="str">
        <f t="shared" si="75"/>
        <v/>
      </c>
      <c r="K165" s="415" t="str">
        <f t="shared" si="76"/>
        <v/>
      </c>
      <c r="L165" s="415"/>
      <c r="M165" s="415"/>
      <c r="N165" s="422" t="str">
        <f t="shared" si="77"/>
        <v/>
      </c>
      <c r="O165" s="422" t="str">
        <f t="shared" si="78"/>
        <v/>
      </c>
      <c r="P165" s="422" t="str">
        <f t="shared" si="79"/>
        <v/>
      </c>
      <c r="Q165" s="422" t="str">
        <f t="shared" si="80"/>
        <v/>
      </c>
      <c r="R165" s="422" t="str">
        <f t="shared" si="81"/>
        <v/>
      </c>
      <c r="S165" s="583">
        <v>510000</v>
      </c>
      <c r="T165" s="377" t="str">
        <f>+IFERROR(VLOOKUP(S165,STAT1!$C$4:$D$189,2,FALSE),"")</f>
        <v>Үндсэн үйл ажиллагааны борлуулалт</v>
      </c>
      <c r="U165" s="424"/>
      <c r="V165" s="424">
        <v>90000</v>
      </c>
      <c r="W165" s="822">
        <v>3021</v>
      </c>
      <c r="X165" s="436" t="str">
        <f>IFERROR(VLOOKUP(W165,DATA!$G$4:$H$400,2,FALSE),"")</f>
        <v>БАНДИА ХХК</v>
      </c>
      <c r="Y165" s="328"/>
      <c r="Z165" s="328"/>
      <c r="AA165" s="328"/>
    </row>
    <row r="166" spans="1:27" ht="12.75" customHeight="1">
      <c r="A166" s="425"/>
      <c r="B166" s="368">
        <f t="shared" si="60"/>
        <v>161</v>
      </c>
      <c r="C166" s="425">
        <v>43203</v>
      </c>
      <c r="D166" s="830"/>
      <c r="E166" s="876" t="str">
        <f t="shared" ca="1" si="61"/>
        <v/>
      </c>
      <c r="F166" s="426" t="str">
        <f t="shared" ca="1" si="82"/>
        <v/>
      </c>
      <c r="G166" s="415"/>
      <c r="H166" s="415"/>
      <c r="I166" s="415" t="str">
        <f t="shared" si="74"/>
        <v/>
      </c>
      <c r="J166" s="415" t="str">
        <f t="shared" si="75"/>
        <v/>
      </c>
      <c r="K166" s="415" t="str">
        <f t="shared" si="76"/>
        <v/>
      </c>
      <c r="L166" s="415"/>
      <c r="M166" s="415"/>
      <c r="N166" s="422" t="str">
        <f t="shared" si="77"/>
        <v/>
      </c>
      <c r="O166" s="422" t="str">
        <f t="shared" si="78"/>
        <v/>
      </c>
      <c r="P166" s="422" t="str">
        <f t="shared" si="79"/>
        <v/>
      </c>
      <c r="Q166" s="422" t="str">
        <f t="shared" si="80"/>
        <v/>
      </c>
      <c r="R166" s="422" t="str">
        <f t="shared" si="81"/>
        <v/>
      </c>
      <c r="S166" s="583">
        <v>320100</v>
      </c>
      <c r="T166" s="377" t="str">
        <f>+IFERROR(VLOOKUP(S166,STAT1!$C$4:$D$189,2,FALSE),"")</f>
        <v>Урьдчилж орсон орлого MNT</v>
      </c>
      <c r="U166" s="415">
        <v>99000</v>
      </c>
      <c r="V166" s="415"/>
      <c r="W166" s="822">
        <v>3021</v>
      </c>
      <c r="X166" s="436" t="str">
        <f>IFERROR(VLOOKUP(W166,DATA!$G$4:$H$400,2,FALSE),"")</f>
        <v>БАНДИА ХХК</v>
      </c>
      <c r="Y166" s="328"/>
      <c r="Z166" s="328"/>
      <c r="AA166" s="328"/>
    </row>
    <row r="167" spans="1:27" ht="12.75" customHeight="1">
      <c r="A167" s="425"/>
      <c r="B167" s="368">
        <f t="shared" si="60"/>
        <v>162</v>
      </c>
      <c r="C167" s="425">
        <v>43203</v>
      </c>
      <c r="D167" s="830">
        <v>211802</v>
      </c>
      <c r="E167" s="876" t="str">
        <f t="shared" ca="1" si="61"/>
        <v xml:space="preserve">Н-Уголок </v>
      </c>
      <c r="F167" s="426" t="str">
        <f t="shared" ca="1" si="82"/>
        <v>м</v>
      </c>
      <c r="G167" s="415"/>
      <c r="H167" s="415"/>
      <c r="I167" s="415" t="str">
        <f t="shared" si="74"/>
        <v/>
      </c>
      <c r="J167" s="415" t="str">
        <f t="shared" si="75"/>
        <v/>
      </c>
      <c r="K167" s="415" t="str">
        <f t="shared" si="76"/>
        <v/>
      </c>
      <c r="L167" s="415">
        <v>15.75</v>
      </c>
      <c r="M167" s="415">
        <v>3000</v>
      </c>
      <c r="N167" s="422">
        <f t="shared" si="77"/>
        <v>47250</v>
      </c>
      <c r="O167" s="422">
        <f t="shared" si="78"/>
        <v>4725</v>
      </c>
      <c r="P167" s="422">
        <f t="shared" si="79"/>
        <v>51975</v>
      </c>
      <c r="Q167" s="422">
        <f t="shared" ca="1" si="80"/>
        <v>1377.7799111418215</v>
      </c>
      <c r="R167" s="422">
        <f t="shared" ca="1" si="81"/>
        <v>21700.033600483686</v>
      </c>
      <c r="S167" s="583">
        <f>+IF(LEFT(D167,3)="131",140100,0)+IF(LEFT(D167,3)="310",150100,0)+IF(LEFT(D167,3)="211",150101,0)+IF(LEFT(D167,3)="410",160100,0)+IF(LEFT(D167,3)="440",160200,0)+IF(LEFT(D167,3)="430",160200,0)+IF(LEFT(D167,3)="420",160200,0)+IF(LEFT(D167,3)="460",160201,0)+IF(LEFT(D167,3)="210",150101,0)+IF(LEFT(D167,3)="510",140100,0)</f>
        <v>150101</v>
      </c>
      <c r="T167" s="377" t="str">
        <f>+IFERROR(VLOOKUP(S167,STAT1!$C$4:$D$189,2,FALSE),"")</f>
        <v>Бараа бэлэн бүтээгдэхүүн БОЛОВСРУУЛАХ ЦЕХ /нарс/</v>
      </c>
      <c r="U167" s="424"/>
      <c r="V167" s="424">
        <v>21700.033600483686</v>
      </c>
      <c r="W167" s="822">
        <v>3123</v>
      </c>
      <c r="X167" s="436" t="str">
        <f>IFERROR(VLOOKUP(W167,DATA!$G$4:$H$400,2,FALSE),"")</f>
        <v>ЭКОСКҮҮЛ ГАРДЕН ХХК</v>
      </c>
      <c r="Y167" s="328"/>
      <c r="Z167" s="328"/>
      <c r="AA167" s="328"/>
    </row>
    <row r="168" spans="1:27" ht="12.75" customHeight="1">
      <c r="A168" s="425"/>
      <c r="B168" s="368">
        <f t="shared" si="60"/>
        <v>163</v>
      </c>
      <c r="C168" s="425">
        <v>43203</v>
      </c>
      <c r="D168" s="830"/>
      <c r="E168" s="876" t="str">
        <f t="shared" ca="1" si="61"/>
        <v/>
      </c>
      <c r="F168" s="426" t="str">
        <f t="shared" ca="1" si="82"/>
        <v/>
      </c>
      <c r="G168" s="415"/>
      <c r="H168" s="415"/>
      <c r="I168" s="415" t="str">
        <f t="shared" si="74"/>
        <v/>
      </c>
      <c r="J168" s="415" t="str">
        <f t="shared" si="75"/>
        <v/>
      </c>
      <c r="K168" s="415" t="str">
        <f t="shared" si="76"/>
        <v/>
      </c>
      <c r="L168" s="415"/>
      <c r="M168" s="415"/>
      <c r="N168" s="422" t="str">
        <f t="shared" ref="N168:N234" si="83">+IF(L168="","",L168*M168)</f>
        <v/>
      </c>
      <c r="O168" s="422" t="str">
        <f t="shared" ref="O168:O234" si="84">+IF(L168="","",N168*0.1)</f>
        <v/>
      </c>
      <c r="P168" s="422" t="str">
        <f t="shared" ref="P168:P234" si="85">+IF(L168="","",N168+O168)</f>
        <v/>
      </c>
      <c r="Q168" s="422" t="str">
        <f t="shared" ref="Q168:Q234" si="86">IF(L168="","",IFERROR((SUMIFS(TN_balC1_totol,TN_code,D168)+SUMIFS(RC_or_totol,RC_Code,D168,RC_date,"&lt;="&amp;C168)-SUMIFS(RC_zar_totol,RC_Code,D168,RC_date,"&lt;"&amp;C168)) /( SUMIFS(TN_balC1_unit,TN_code,D168)+SUMIFS(RC_or_unit,RC_Code,D168,RC_date,"&lt;="&amp;C168)-SUMIFS(RC_zar_unit,RC_Code,D168,RC_date,"&lt;"&amp;C168)),0 ))</f>
        <v/>
      </c>
      <c r="R168" s="422" t="str">
        <f t="shared" ref="R168:R234" si="87">+IF(L168="","",L168*Q168)</f>
        <v/>
      </c>
      <c r="S168" s="583">
        <v>610100</v>
      </c>
      <c r="T168" s="377" t="str">
        <f>+IFERROR(VLOOKUP(S168,STAT1!$C$4:$D$189,2,FALSE),"")</f>
        <v>Борлуулсан барааны өртөг</v>
      </c>
      <c r="U168" s="424">
        <v>21700.033600483686</v>
      </c>
      <c r="V168" s="424"/>
      <c r="W168" s="822">
        <v>3123</v>
      </c>
      <c r="X168" s="436" t="str">
        <f>IFERROR(VLOOKUP(W168,DATA!$G$4:$H$400,2,FALSE),"")</f>
        <v>ЭКОСКҮҮЛ ГАРДЕН ХХК</v>
      </c>
      <c r="Y168" s="328"/>
      <c r="Z168" s="328"/>
      <c r="AA168" s="328"/>
    </row>
    <row r="169" spans="1:27" ht="12.75" customHeight="1">
      <c r="A169" s="425"/>
      <c r="B169" s="368">
        <f t="shared" si="60"/>
        <v>164</v>
      </c>
      <c r="C169" s="425">
        <v>43203</v>
      </c>
      <c r="D169" s="830"/>
      <c r="E169" s="876" t="str">
        <f t="shared" ca="1" si="61"/>
        <v/>
      </c>
      <c r="F169" s="426" t="str">
        <f t="shared" ca="1" si="82"/>
        <v/>
      </c>
      <c r="G169" s="415"/>
      <c r="H169" s="415"/>
      <c r="I169" s="415" t="str">
        <f t="shared" si="74"/>
        <v/>
      </c>
      <c r="J169" s="415" t="str">
        <f t="shared" si="75"/>
        <v/>
      </c>
      <c r="K169" s="415" t="str">
        <f t="shared" si="76"/>
        <v/>
      </c>
      <c r="L169" s="415"/>
      <c r="M169" s="415"/>
      <c r="N169" s="422" t="str">
        <f t="shared" si="83"/>
        <v/>
      </c>
      <c r="O169" s="422" t="str">
        <f t="shared" si="84"/>
        <v/>
      </c>
      <c r="P169" s="422" t="str">
        <f t="shared" si="85"/>
        <v/>
      </c>
      <c r="Q169" s="422" t="str">
        <f t="shared" si="86"/>
        <v/>
      </c>
      <c r="R169" s="422" t="str">
        <f t="shared" si="87"/>
        <v/>
      </c>
      <c r="S169" s="583">
        <v>310500</v>
      </c>
      <c r="T169" s="377" t="str">
        <f>+IFERROR(VLOOKUP(S169,STAT1!$C$4:$D$189,2,FALSE),"")</f>
        <v>НӨАТ өглөг</v>
      </c>
      <c r="U169" s="424"/>
      <c r="V169" s="424">
        <v>4725</v>
      </c>
      <c r="W169" s="822">
        <v>3123</v>
      </c>
      <c r="X169" s="436" t="str">
        <f>IFERROR(VLOOKUP(W169,DATA!$G$4:$H$400,2,FALSE),"")</f>
        <v>ЭКОСКҮҮЛ ГАРДЕН ХХК</v>
      </c>
      <c r="Y169" s="328"/>
      <c r="Z169" s="328"/>
      <c r="AA169" s="328"/>
    </row>
    <row r="170" spans="1:27" ht="12.75" customHeight="1">
      <c r="A170" s="425"/>
      <c r="B170" s="368">
        <f t="shared" si="60"/>
        <v>165</v>
      </c>
      <c r="C170" s="425">
        <v>43203</v>
      </c>
      <c r="D170" s="830"/>
      <c r="E170" s="876" t="str">
        <f t="shared" ca="1" si="61"/>
        <v/>
      </c>
      <c r="F170" s="426" t="str">
        <f t="shared" ca="1" si="82"/>
        <v/>
      </c>
      <c r="G170" s="415"/>
      <c r="H170" s="415"/>
      <c r="I170" s="415" t="str">
        <f t="shared" si="74"/>
        <v/>
      </c>
      <c r="J170" s="415" t="str">
        <f t="shared" si="75"/>
        <v/>
      </c>
      <c r="K170" s="415" t="str">
        <f t="shared" si="76"/>
        <v/>
      </c>
      <c r="L170" s="415"/>
      <c r="M170" s="415"/>
      <c r="N170" s="422" t="str">
        <f t="shared" si="83"/>
        <v/>
      </c>
      <c r="O170" s="422" t="str">
        <f t="shared" si="84"/>
        <v/>
      </c>
      <c r="P170" s="422" t="str">
        <f t="shared" si="85"/>
        <v/>
      </c>
      <c r="Q170" s="422" t="str">
        <f t="shared" si="86"/>
        <v/>
      </c>
      <c r="R170" s="422" t="str">
        <f t="shared" si="87"/>
        <v/>
      </c>
      <c r="S170" s="583">
        <v>510000</v>
      </c>
      <c r="T170" s="377" t="str">
        <f>+IFERROR(VLOOKUP(S170,STAT1!$C$4:$D$189,2,FALSE),"")</f>
        <v>Үндсэн үйл ажиллагааны борлуулалт</v>
      </c>
      <c r="U170" s="424"/>
      <c r="V170" s="424">
        <v>47250</v>
      </c>
      <c r="W170" s="822">
        <v>3123</v>
      </c>
      <c r="X170" s="436" t="str">
        <f>IFERROR(VLOOKUP(W170,DATA!$G$4:$H$400,2,FALSE),"")</f>
        <v>ЭКОСКҮҮЛ ГАРДЕН ХХК</v>
      </c>
      <c r="Y170" s="328"/>
      <c r="Z170" s="328"/>
      <c r="AA170" s="328"/>
    </row>
    <row r="171" spans="1:27" ht="12.75" customHeight="1">
      <c r="A171" s="425"/>
      <c r="B171" s="368">
        <f t="shared" si="60"/>
        <v>166</v>
      </c>
      <c r="C171" s="425">
        <v>43203</v>
      </c>
      <c r="D171" s="830"/>
      <c r="E171" s="876" t="str">
        <f t="shared" ca="1" si="61"/>
        <v/>
      </c>
      <c r="F171" s="426" t="str">
        <f t="shared" ca="1" si="82"/>
        <v/>
      </c>
      <c r="G171" s="415"/>
      <c r="H171" s="415"/>
      <c r="I171" s="415" t="str">
        <f t="shared" si="74"/>
        <v/>
      </c>
      <c r="J171" s="415" t="str">
        <f t="shared" si="75"/>
        <v/>
      </c>
      <c r="K171" s="415" t="str">
        <f t="shared" si="76"/>
        <v/>
      </c>
      <c r="L171" s="415"/>
      <c r="M171" s="415"/>
      <c r="N171" s="422" t="str">
        <f t="shared" si="83"/>
        <v/>
      </c>
      <c r="O171" s="422" t="str">
        <f t="shared" si="84"/>
        <v/>
      </c>
      <c r="P171" s="422" t="str">
        <f t="shared" si="85"/>
        <v/>
      </c>
      <c r="Q171" s="422" t="str">
        <f t="shared" si="86"/>
        <v/>
      </c>
      <c r="R171" s="422" t="str">
        <f t="shared" si="87"/>
        <v/>
      </c>
      <c r="S171" s="583">
        <v>320100</v>
      </c>
      <c r="T171" s="377" t="str">
        <f>+IFERROR(VLOOKUP(S171,STAT1!$C$4:$D$189,2,FALSE),"")</f>
        <v>Урьдчилж орсон орлого MNT</v>
      </c>
      <c r="U171" s="415">
        <v>51975</v>
      </c>
      <c r="V171" s="415"/>
      <c r="W171" s="822">
        <v>3123</v>
      </c>
      <c r="X171" s="436" t="str">
        <f>IFERROR(VLOOKUP(W171,DATA!$G$4:$H$400,2,FALSE),"")</f>
        <v>ЭКОСКҮҮЛ ГАРДЕН ХХК</v>
      </c>
      <c r="Y171" s="328"/>
      <c r="Z171" s="328"/>
      <c r="AA171" s="328"/>
    </row>
    <row r="172" spans="1:27" ht="12.75" customHeight="1">
      <c r="A172" s="425"/>
      <c r="B172" s="368">
        <f t="shared" si="60"/>
        <v>167</v>
      </c>
      <c r="C172" s="425">
        <v>43210</v>
      </c>
      <c r="D172" s="830">
        <v>211504</v>
      </c>
      <c r="E172" s="876" t="str">
        <f t="shared" ca="1" si="61"/>
        <v xml:space="preserve">Н-Евровагонка /зузаан-1.2см/-яртай </v>
      </c>
      <c r="F172" s="426" t="str">
        <f t="shared" ca="1" si="82"/>
        <v>м2</v>
      </c>
      <c r="G172" s="415"/>
      <c r="H172" s="415"/>
      <c r="I172" s="415" t="str">
        <f t="shared" si="74"/>
        <v/>
      </c>
      <c r="J172" s="415" t="str">
        <f t="shared" si="75"/>
        <v/>
      </c>
      <c r="K172" s="415" t="str">
        <f t="shared" si="76"/>
        <v/>
      </c>
      <c r="L172" s="415">
        <v>30.4</v>
      </c>
      <c r="M172" s="415">
        <v>18000</v>
      </c>
      <c r="N172" s="422">
        <f t="shared" si="83"/>
        <v>547200</v>
      </c>
      <c r="O172" s="422">
        <f t="shared" si="84"/>
        <v>54720</v>
      </c>
      <c r="P172" s="422">
        <f t="shared" si="85"/>
        <v>601920</v>
      </c>
      <c r="Q172" s="422">
        <f t="shared" ca="1" si="86"/>
        <v>11896.785561853305</v>
      </c>
      <c r="R172" s="422">
        <f t="shared" ca="1" si="87"/>
        <v>361662.28108034044</v>
      </c>
      <c r="S172" s="583">
        <f>+IF(LEFT(D172,3)="131",140100,0)+IF(LEFT(D172,3)="310",150100,0)+IF(LEFT(D172,3)="211",150101,0)+IF(LEFT(D172,3)="410",160100,0)+IF(LEFT(D172,3)="440",160200,0)+IF(LEFT(D172,3)="430",160200,0)+IF(LEFT(D172,3)="420",160200,0)+IF(LEFT(D172,3)="460",160201,0)+IF(LEFT(D172,3)="210",150101,0)+IF(LEFT(D172,3)="510",140100,0)</f>
        <v>150101</v>
      </c>
      <c r="T172" s="377" t="str">
        <f>+IFERROR(VLOOKUP(S172,STAT1!$C$4:$D$189,2,FALSE),"")</f>
        <v>Бараа бэлэн бүтээгдэхүүн БОЛОВСРУУЛАХ ЦЕХ /нарс/</v>
      </c>
      <c r="U172" s="424"/>
      <c r="V172" s="424">
        <v>361662.28108034044</v>
      </c>
      <c r="W172" s="823">
        <v>3059</v>
      </c>
      <c r="X172" s="436" t="str">
        <f>IFERROR(VLOOKUP(W172,DATA!$G$4:$H$400,2,FALSE),"")</f>
        <v>ЦАМХАГТ АСАР КОНСТРАКШН ХХК</v>
      </c>
      <c r="Y172" s="328"/>
      <c r="Z172" s="328"/>
      <c r="AA172" s="328"/>
    </row>
    <row r="173" spans="1:27" ht="12.75" customHeight="1">
      <c r="A173" s="425"/>
      <c r="B173" s="368">
        <f t="shared" si="60"/>
        <v>168</v>
      </c>
      <c r="C173" s="425">
        <v>43210</v>
      </c>
      <c r="D173" s="830"/>
      <c r="E173" s="876" t="str">
        <f t="shared" ca="1" si="61"/>
        <v/>
      </c>
      <c r="F173" s="426" t="str">
        <f t="shared" ca="1" si="82"/>
        <v/>
      </c>
      <c r="G173" s="415"/>
      <c r="H173" s="415"/>
      <c r="I173" s="415" t="str">
        <f t="shared" si="74"/>
        <v/>
      </c>
      <c r="J173" s="415" t="str">
        <f t="shared" si="75"/>
        <v/>
      </c>
      <c r="K173" s="415" t="str">
        <f t="shared" si="76"/>
        <v/>
      </c>
      <c r="L173" s="415"/>
      <c r="M173" s="415"/>
      <c r="N173" s="422" t="str">
        <f t="shared" si="83"/>
        <v/>
      </c>
      <c r="O173" s="422" t="str">
        <f t="shared" si="84"/>
        <v/>
      </c>
      <c r="P173" s="422" t="str">
        <f t="shared" si="85"/>
        <v/>
      </c>
      <c r="Q173" s="422" t="str">
        <f t="shared" si="86"/>
        <v/>
      </c>
      <c r="R173" s="422" t="str">
        <f t="shared" si="87"/>
        <v/>
      </c>
      <c r="S173" s="583">
        <v>610100</v>
      </c>
      <c r="T173" s="377" t="str">
        <f>+IFERROR(VLOOKUP(S173,STAT1!$C$4:$D$189,2,FALSE),"")</f>
        <v>Борлуулсан барааны өртөг</v>
      </c>
      <c r="U173" s="424">
        <v>361662.28108034044</v>
      </c>
      <c r="V173" s="424"/>
      <c r="W173" s="823">
        <v>3059</v>
      </c>
      <c r="X173" s="436" t="str">
        <f>IFERROR(VLOOKUP(W173,DATA!$G$4:$H$400,2,FALSE),"")</f>
        <v>ЦАМХАГТ АСАР КОНСТРАКШН ХХК</v>
      </c>
      <c r="Y173" s="328"/>
      <c r="Z173" s="328"/>
      <c r="AA173" s="328"/>
    </row>
    <row r="174" spans="1:27" ht="12.75" customHeight="1">
      <c r="A174" s="425"/>
      <c r="B174" s="368">
        <f t="shared" si="60"/>
        <v>169</v>
      </c>
      <c r="C174" s="425">
        <v>43210</v>
      </c>
      <c r="D174" s="830"/>
      <c r="E174" s="876" t="str">
        <f t="shared" ca="1" si="61"/>
        <v/>
      </c>
      <c r="F174" s="426" t="str">
        <f t="shared" ca="1" si="82"/>
        <v/>
      </c>
      <c r="G174" s="415"/>
      <c r="H174" s="415"/>
      <c r="I174" s="415" t="str">
        <f t="shared" si="74"/>
        <v/>
      </c>
      <c r="J174" s="415" t="str">
        <f t="shared" si="75"/>
        <v/>
      </c>
      <c r="K174" s="415" t="str">
        <f t="shared" si="76"/>
        <v/>
      </c>
      <c r="L174" s="415"/>
      <c r="M174" s="415"/>
      <c r="N174" s="422" t="str">
        <f t="shared" si="83"/>
        <v/>
      </c>
      <c r="O174" s="422" t="str">
        <f t="shared" si="84"/>
        <v/>
      </c>
      <c r="P174" s="422" t="str">
        <f t="shared" si="85"/>
        <v/>
      </c>
      <c r="Q174" s="422" t="str">
        <f t="shared" si="86"/>
        <v/>
      </c>
      <c r="R174" s="422" t="str">
        <f t="shared" si="87"/>
        <v/>
      </c>
      <c r="S174" s="583">
        <v>310500</v>
      </c>
      <c r="T174" s="377" t="str">
        <f>+IFERROR(VLOOKUP(S174,STAT1!$C$4:$D$189,2,FALSE),"")</f>
        <v>НӨАТ өглөг</v>
      </c>
      <c r="U174" s="424"/>
      <c r="V174" s="424">
        <v>54720</v>
      </c>
      <c r="W174" s="823">
        <v>3059</v>
      </c>
      <c r="X174" s="436" t="str">
        <f>IFERROR(VLOOKUP(W174,DATA!$G$4:$H$400,2,FALSE),"")</f>
        <v>ЦАМХАГТ АСАР КОНСТРАКШН ХХК</v>
      </c>
      <c r="Y174" s="328"/>
      <c r="Z174" s="328"/>
      <c r="AA174" s="328"/>
    </row>
    <row r="175" spans="1:27" ht="12.75" customHeight="1">
      <c r="A175" s="425"/>
      <c r="B175" s="368">
        <f t="shared" si="60"/>
        <v>170</v>
      </c>
      <c r="C175" s="425">
        <v>43210</v>
      </c>
      <c r="D175" s="830"/>
      <c r="E175" s="876" t="str">
        <f t="shared" ca="1" si="61"/>
        <v/>
      </c>
      <c r="F175" s="426" t="str">
        <f t="shared" ca="1" si="82"/>
        <v/>
      </c>
      <c r="G175" s="415"/>
      <c r="H175" s="415"/>
      <c r="I175" s="415" t="str">
        <f t="shared" si="74"/>
        <v/>
      </c>
      <c r="J175" s="415" t="str">
        <f t="shared" si="75"/>
        <v/>
      </c>
      <c r="K175" s="415" t="str">
        <f t="shared" si="76"/>
        <v/>
      </c>
      <c r="L175" s="415"/>
      <c r="M175" s="415"/>
      <c r="N175" s="422" t="str">
        <f t="shared" si="83"/>
        <v/>
      </c>
      <c r="O175" s="422" t="str">
        <f t="shared" si="84"/>
        <v/>
      </c>
      <c r="P175" s="422" t="str">
        <f t="shared" si="85"/>
        <v/>
      </c>
      <c r="Q175" s="422" t="str">
        <f t="shared" si="86"/>
        <v/>
      </c>
      <c r="R175" s="422" t="str">
        <f t="shared" si="87"/>
        <v/>
      </c>
      <c r="S175" s="583">
        <v>510000</v>
      </c>
      <c r="T175" s="377" t="str">
        <f>+IFERROR(VLOOKUP(S175,STAT1!$C$4:$D$189,2,FALSE),"")</f>
        <v>Үндсэн үйл ажиллагааны борлуулалт</v>
      </c>
      <c r="U175" s="424"/>
      <c r="V175" s="424">
        <v>547200</v>
      </c>
      <c r="W175" s="823">
        <v>3059</v>
      </c>
      <c r="X175" s="436" t="str">
        <f>IFERROR(VLOOKUP(W175,DATA!$G$4:$H$400,2,FALSE),"")</f>
        <v>ЦАМХАГТ АСАР КОНСТРАКШН ХХК</v>
      </c>
      <c r="Y175" s="328"/>
      <c r="Z175" s="328"/>
      <c r="AA175" s="328"/>
    </row>
    <row r="176" spans="1:27" ht="12.75" customHeight="1">
      <c r="A176" s="425"/>
      <c r="B176" s="368">
        <f t="shared" si="60"/>
        <v>171</v>
      </c>
      <c r="C176" s="425">
        <v>43210</v>
      </c>
      <c r="D176" s="830"/>
      <c r="E176" s="876" t="str">
        <f t="shared" ca="1" si="61"/>
        <v/>
      </c>
      <c r="F176" s="426" t="str">
        <f t="shared" ca="1" si="82"/>
        <v/>
      </c>
      <c r="G176" s="415"/>
      <c r="H176" s="415"/>
      <c r="I176" s="415" t="str">
        <f t="shared" si="74"/>
        <v/>
      </c>
      <c r="J176" s="415" t="str">
        <f t="shared" si="75"/>
        <v/>
      </c>
      <c r="K176" s="415" t="str">
        <f t="shared" si="76"/>
        <v/>
      </c>
      <c r="L176" s="415"/>
      <c r="M176" s="415"/>
      <c r="N176" s="422" t="str">
        <f t="shared" si="83"/>
        <v/>
      </c>
      <c r="O176" s="422" t="str">
        <f t="shared" si="84"/>
        <v/>
      </c>
      <c r="P176" s="422" t="str">
        <f t="shared" si="85"/>
        <v/>
      </c>
      <c r="Q176" s="422" t="str">
        <f t="shared" si="86"/>
        <v/>
      </c>
      <c r="R176" s="422" t="str">
        <f t="shared" si="87"/>
        <v/>
      </c>
      <c r="S176" s="583">
        <v>320100</v>
      </c>
      <c r="T176" s="377" t="str">
        <f>+IFERROR(VLOOKUP(S176,STAT1!$C$4:$D$189,2,FALSE),"")</f>
        <v>Урьдчилж орсон орлого MNT</v>
      </c>
      <c r="U176" s="415">
        <v>601920</v>
      </c>
      <c r="V176" s="415"/>
      <c r="W176" s="823">
        <v>3059</v>
      </c>
      <c r="X176" s="436" t="str">
        <f>IFERROR(VLOOKUP(W176,DATA!$G$4:$H$400,2,FALSE),"")</f>
        <v>ЦАМХАГТ АСАР КОНСТРАКШН ХХК</v>
      </c>
      <c r="Y176" s="328"/>
      <c r="Z176" s="328"/>
      <c r="AA176" s="328"/>
    </row>
    <row r="177" spans="1:27" ht="12.75" customHeight="1">
      <c r="A177" s="425"/>
      <c r="B177" s="368">
        <f t="shared" si="60"/>
        <v>172</v>
      </c>
      <c r="C177" s="425">
        <v>43210</v>
      </c>
      <c r="D177" s="830">
        <v>211503</v>
      </c>
      <c r="E177" s="876" t="str">
        <f t="shared" ca="1" si="61"/>
        <v>Н-Евровагонка /зузаан-1.2см/</v>
      </c>
      <c r="F177" s="426" t="str">
        <f t="shared" ca="1" si="82"/>
        <v>м2</v>
      </c>
      <c r="G177" s="415"/>
      <c r="H177" s="415"/>
      <c r="I177" s="415" t="str">
        <f t="shared" si="74"/>
        <v/>
      </c>
      <c r="J177" s="415" t="str">
        <f t="shared" si="75"/>
        <v/>
      </c>
      <c r="K177" s="415" t="str">
        <f t="shared" si="76"/>
        <v/>
      </c>
      <c r="L177" s="415">
        <v>2.5</v>
      </c>
      <c r="M177" s="415">
        <v>21600</v>
      </c>
      <c r="N177" s="422">
        <f t="shared" si="83"/>
        <v>54000</v>
      </c>
      <c r="O177" s="422">
        <f t="shared" si="84"/>
        <v>5400</v>
      </c>
      <c r="P177" s="422">
        <f t="shared" si="85"/>
        <v>59400</v>
      </c>
      <c r="Q177" s="422">
        <f t="shared" ca="1" si="86"/>
        <v>14541.928809736646</v>
      </c>
      <c r="R177" s="422">
        <f t="shared" ca="1" si="87"/>
        <v>36354.822024341614</v>
      </c>
      <c r="S177" s="583">
        <f>+IF(LEFT(D177,3)="131",140100,0)+IF(LEFT(D177,3)="310",150100,0)+IF(LEFT(D177,3)="211",150101,0)+IF(LEFT(D177,3)="410",160100,0)+IF(LEFT(D177,3)="440",160200,0)+IF(LEFT(D177,3)="430",160200,0)+IF(LEFT(D177,3)="420",160200,0)+IF(LEFT(D177,3)="460",160201,0)+IF(LEFT(D177,3)="210",150101,0)+IF(LEFT(D177,3)="510",140100,0)</f>
        <v>150101</v>
      </c>
      <c r="T177" s="377" t="str">
        <f>+IFERROR(VLOOKUP(S177,STAT1!$C$4:$D$189,2,FALSE),"")</f>
        <v>Бараа бэлэн бүтээгдэхүүн БОЛОВСРУУЛАХ ЦЕХ /нарс/</v>
      </c>
      <c r="U177" s="424"/>
      <c r="V177" s="424">
        <v>36354.822024341614</v>
      </c>
      <c r="W177" s="822">
        <v>3121</v>
      </c>
      <c r="X177" s="436" t="str">
        <f>IFERROR(VLOOKUP(W177,DATA!$G$4:$H$400,2,FALSE),"")</f>
        <v xml:space="preserve">КОМ ТАВИЛГА ХХК </v>
      </c>
      <c r="Y177" s="328"/>
      <c r="Z177" s="328"/>
      <c r="AA177" s="328"/>
    </row>
    <row r="178" spans="1:27" ht="12.75" customHeight="1">
      <c r="A178" s="425"/>
      <c r="B178" s="368">
        <f t="shared" si="60"/>
        <v>173</v>
      </c>
      <c r="C178" s="425">
        <v>43210</v>
      </c>
      <c r="D178" s="830"/>
      <c r="E178" s="876" t="str">
        <f t="shared" ca="1" si="61"/>
        <v/>
      </c>
      <c r="F178" s="426" t="str">
        <f t="shared" ca="1" si="82"/>
        <v/>
      </c>
      <c r="G178" s="415"/>
      <c r="H178" s="415"/>
      <c r="I178" s="415" t="str">
        <f t="shared" si="74"/>
        <v/>
      </c>
      <c r="J178" s="415" t="str">
        <f t="shared" si="75"/>
        <v/>
      </c>
      <c r="K178" s="415" t="str">
        <f t="shared" si="76"/>
        <v/>
      </c>
      <c r="L178" s="415"/>
      <c r="M178" s="415"/>
      <c r="N178" s="422" t="str">
        <f t="shared" si="83"/>
        <v/>
      </c>
      <c r="O178" s="422" t="str">
        <f t="shared" si="84"/>
        <v/>
      </c>
      <c r="P178" s="422" t="str">
        <f t="shared" si="85"/>
        <v/>
      </c>
      <c r="Q178" s="422" t="str">
        <f t="shared" si="86"/>
        <v/>
      </c>
      <c r="R178" s="422" t="str">
        <f t="shared" si="87"/>
        <v/>
      </c>
      <c r="S178" s="583">
        <v>610100</v>
      </c>
      <c r="T178" s="377" t="str">
        <f>+IFERROR(VLOOKUP(S178,STAT1!$C$4:$D$189,2,FALSE),"")</f>
        <v>Борлуулсан барааны өртөг</v>
      </c>
      <c r="U178" s="424">
        <v>36354.822024341614</v>
      </c>
      <c r="V178" s="424"/>
      <c r="W178" s="822">
        <v>3121</v>
      </c>
      <c r="X178" s="436" t="str">
        <f>IFERROR(VLOOKUP(W178,DATA!$G$4:$H$400,2,FALSE),"")</f>
        <v xml:space="preserve">КОМ ТАВИЛГА ХХК </v>
      </c>
      <c r="Y178" s="328"/>
      <c r="Z178" s="328"/>
      <c r="AA178" s="328"/>
    </row>
    <row r="179" spans="1:27" ht="12.75" customHeight="1">
      <c r="A179" s="425"/>
      <c r="B179" s="368">
        <f t="shared" si="60"/>
        <v>174</v>
      </c>
      <c r="C179" s="425">
        <v>43210</v>
      </c>
      <c r="D179" s="830"/>
      <c r="E179" s="876" t="str">
        <f t="shared" ca="1" si="61"/>
        <v/>
      </c>
      <c r="F179" s="426" t="str">
        <f t="shared" ca="1" si="82"/>
        <v/>
      </c>
      <c r="G179" s="415"/>
      <c r="H179" s="415"/>
      <c r="I179" s="415" t="str">
        <f t="shared" si="74"/>
        <v/>
      </c>
      <c r="J179" s="415" t="str">
        <f t="shared" si="75"/>
        <v/>
      </c>
      <c r="K179" s="415" t="str">
        <f t="shared" si="76"/>
        <v/>
      </c>
      <c r="L179" s="415"/>
      <c r="M179" s="415"/>
      <c r="N179" s="422" t="str">
        <f t="shared" si="83"/>
        <v/>
      </c>
      <c r="O179" s="422" t="str">
        <f t="shared" si="84"/>
        <v/>
      </c>
      <c r="P179" s="422" t="str">
        <f t="shared" si="85"/>
        <v/>
      </c>
      <c r="Q179" s="422" t="str">
        <f t="shared" si="86"/>
        <v/>
      </c>
      <c r="R179" s="422" t="str">
        <f t="shared" si="87"/>
        <v/>
      </c>
      <c r="S179" s="583">
        <v>310500</v>
      </c>
      <c r="T179" s="377" t="str">
        <f>+IFERROR(VLOOKUP(S179,STAT1!$C$4:$D$189,2,FALSE),"")</f>
        <v>НӨАТ өглөг</v>
      </c>
      <c r="U179" s="424"/>
      <c r="V179" s="424">
        <v>5400</v>
      </c>
      <c r="W179" s="822">
        <v>3121</v>
      </c>
      <c r="X179" s="436" t="str">
        <f>IFERROR(VLOOKUP(W179,DATA!$G$4:$H$400,2,FALSE),"")</f>
        <v xml:space="preserve">КОМ ТАВИЛГА ХХК </v>
      </c>
      <c r="Y179" s="328"/>
      <c r="Z179" s="328"/>
      <c r="AA179" s="328"/>
    </row>
    <row r="180" spans="1:27" ht="12.75" customHeight="1">
      <c r="A180" s="425"/>
      <c r="B180" s="368">
        <f t="shared" si="60"/>
        <v>175</v>
      </c>
      <c r="C180" s="425">
        <v>43210</v>
      </c>
      <c r="D180" s="830"/>
      <c r="E180" s="876" t="str">
        <f t="shared" ca="1" si="61"/>
        <v/>
      </c>
      <c r="F180" s="426" t="str">
        <f t="shared" ca="1" si="82"/>
        <v/>
      </c>
      <c r="G180" s="415"/>
      <c r="H180" s="415"/>
      <c r="I180" s="415" t="str">
        <f t="shared" si="74"/>
        <v/>
      </c>
      <c r="J180" s="415" t="str">
        <f t="shared" si="75"/>
        <v/>
      </c>
      <c r="K180" s="415" t="str">
        <f t="shared" si="76"/>
        <v/>
      </c>
      <c r="L180" s="415"/>
      <c r="M180" s="415"/>
      <c r="N180" s="422" t="str">
        <f t="shared" si="83"/>
        <v/>
      </c>
      <c r="O180" s="422" t="str">
        <f t="shared" si="84"/>
        <v/>
      </c>
      <c r="P180" s="422" t="str">
        <f t="shared" si="85"/>
        <v/>
      </c>
      <c r="Q180" s="422" t="str">
        <f t="shared" si="86"/>
        <v/>
      </c>
      <c r="R180" s="422" t="str">
        <f t="shared" si="87"/>
        <v/>
      </c>
      <c r="S180" s="583">
        <v>510000</v>
      </c>
      <c r="T180" s="377" t="str">
        <f>+IFERROR(VLOOKUP(S180,STAT1!$C$4:$D$189,2,FALSE),"")</f>
        <v>Үндсэн үйл ажиллагааны борлуулалт</v>
      </c>
      <c r="U180" s="424"/>
      <c r="V180" s="424">
        <v>54000</v>
      </c>
      <c r="W180" s="822">
        <v>3121</v>
      </c>
      <c r="X180" s="436" t="str">
        <f>IFERROR(VLOOKUP(W180,DATA!$G$4:$H$400,2,FALSE),"")</f>
        <v xml:space="preserve">КОМ ТАВИЛГА ХХК </v>
      </c>
      <c r="Y180" s="328"/>
      <c r="Z180" s="328"/>
      <c r="AA180" s="328"/>
    </row>
    <row r="181" spans="1:27" ht="12.75" customHeight="1">
      <c r="A181" s="425"/>
      <c r="B181" s="368">
        <f t="shared" si="60"/>
        <v>176</v>
      </c>
      <c r="C181" s="425">
        <v>43210</v>
      </c>
      <c r="D181" s="830"/>
      <c r="E181" s="876" t="str">
        <f t="shared" ca="1" si="61"/>
        <v/>
      </c>
      <c r="F181" s="426" t="str">
        <f t="shared" ca="1" si="82"/>
        <v/>
      </c>
      <c r="G181" s="415"/>
      <c r="H181" s="415"/>
      <c r="I181" s="415" t="str">
        <f t="shared" si="74"/>
        <v/>
      </c>
      <c r="J181" s="415" t="str">
        <f t="shared" si="75"/>
        <v/>
      </c>
      <c r="K181" s="415" t="str">
        <f t="shared" si="76"/>
        <v/>
      </c>
      <c r="L181" s="415"/>
      <c r="M181" s="415"/>
      <c r="N181" s="422" t="str">
        <f t="shared" si="83"/>
        <v/>
      </c>
      <c r="O181" s="422" t="str">
        <f t="shared" si="84"/>
        <v/>
      </c>
      <c r="P181" s="422" t="str">
        <f t="shared" si="85"/>
        <v/>
      </c>
      <c r="Q181" s="422" t="str">
        <f t="shared" si="86"/>
        <v/>
      </c>
      <c r="R181" s="422" t="str">
        <f t="shared" si="87"/>
        <v/>
      </c>
      <c r="S181" s="583">
        <v>320100</v>
      </c>
      <c r="T181" s="377" t="str">
        <f>+IFERROR(VLOOKUP(S181,STAT1!$C$4:$D$189,2,FALSE),"")</f>
        <v>Урьдчилж орсон орлого MNT</v>
      </c>
      <c r="U181" s="415">
        <v>59400</v>
      </c>
      <c r="V181" s="415"/>
      <c r="W181" s="822">
        <v>3121</v>
      </c>
      <c r="X181" s="436" t="str">
        <f>IFERROR(VLOOKUP(W181,DATA!$G$4:$H$400,2,FALSE),"")</f>
        <v xml:space="preserve">КОМ ТАВИЛГА ХХК </v>
      </c>
      <c r="Y181" s="328"/>
      <c r="Z181" s="328"/>
      <c r="AA181" s="328"/>
    </row>
    <row r="182" spans="1:27" ht="12.75" customHeight="1">
      <c r="A182" s="425"/>
      <c r="B182" s="368">
        <f t="shared" si="60"/>
        <v>177</v>
      </c>
      <c r="C182" s="425">
        <v>43210</v>
      </c>
      <c r="D182" s="830">
        <v>211801</v>
      </c>
      <c r="E182" s="876" t="str">
        <f t="shared" ca="1" si="61"/>
        <v>Н-Ембүү /20*30мм/</v>
      </c>
      <c r="F182" s="426" t="str">
        <f t="shared" ca="1" si="82"/>
        <v>м</v>
      </c>
      <c r="G182" s="415"/>
      <c r="H182" s="415"/>
      <c r="I182" s="415" t="str">
        <f t="shared" si="74"/>
        <v/>
      </c>
      <c r="J182" s="415" t="str">
        <f t="shared" si="75"/>
        <v/>
      </c>
      <c r="K182" s="415" t="str">
        <f t="shared" si="76"/>
        <v/>
      </c>
      <c r="L182" s="415">
        <v>302</v>
      </c>
      <c r="M182" s="415">
        <v>1500</v>
      </c>
      <c r="N182" s="422">
        <f t="shared" si="83"/>
        <v>453000</v>
      </c>
      <c r="O182" s="422">
        <f t="shared" si="84"/>
        <v>45300</v>
      </c>
      <c r="P182" s="422">
        <f t="shared" si="85"/>
        <v>498300</v>
      </c>
      <c r="Q182" s="422">
        <f t="shared" ca="1" si="86"/>
        <v>768.80288972169456</v>
      </c>
      <c r="R182" s="422">
        <f t="shared" ca="1" si="87"/>
        <v>232178.47269595176</v>
      </c>
      <c r="S182" s="583">
        <f>+IF(LEFT(D182,3)="131",140100,0)+IF(LEFT(D182,3)="310",150100,0)+IF(LEFT(D182,3)="211",150101,0)+IF(LEFT(D182,3)="410",160100,0)+IF(LEFT(D182,3)="440",160200,0)+IF(LEFT(D182,3)="430",160200,0)+IF(LEFT(D182,3)="420",160200,0)+IF(LEFT(D182,3)="460",160201,0)+IF(LEFT(D182,3)="210",150101,0)+IF(LEFT(D182,3)="510",140100,0)</f>
        <v>150101</v>
      </c>
      <c r="T182" s="377" t="str">
        <f>+IFERROR(VLOOKUP(S182,STAT1!$C$4:$D$189,2,FALSE),"")</f>
        <v>Бараа бэлэн бүтээгдэхүүн БОЛОВСРУУЛАХ ЦЕХ /нарс/</v>
      </c>
      <c r="U182" s="424"/>
      <c r="V182" s="424">
        <v>232178.47269595176</v>
      </c>
      <c r="W182" s="822">
        <v>3061</v>
      </c>
      <c r="X182" s="436" t="str">
        <f>IFERROR(VLOOKUP(W182,DATA!$G$4:$H$400,2,FALSE),"")</f>
        <v>СТИМО ХХК</v>
      </c>
      <c r="Y182" s="328"/>
      <c r="Z182" s="328"/>
      <c r="AA182" s="328"/>
    </row>
    <row r="183" spans="1:27" ht="12.75" customHeight="1">
      <c r="A183" s="425"/>
      <c r="B183" s="368">
        <f t="shared" si="60"/>
        <v>178</v>
      </c>
      <c r="C183" s="425">
        <v>43210</v>
      </c>
      <c r="D183" s="830"/>
      <c r="E183" s="876" t="str">
        <f t="shared" ca="1" si="61"/>
        <v/>
      </c>
      <c r="F183" s="426" t="str">
        <f t="shared" ca="1" si="82"/>
        <v/>
      </c>
      <c r="G183" s="415"/>
      <c r="H183" s="415"/>
      <c r="I183" s="415" t="str">
        <f t="shared" si="74"/>
        <v/>
      </c>
      <c r="J183" s="415" t="str">
        <f t="shared" si="75"/>
        <v/>
      </c>
      <c r="K183" s="415" t="str">
        <f t="shared" si="76"/>
        <v/>
      </c>
      <c r="L183" s="415"/>
      <c r="M183" s="415"/>
      <c r="N183" s="422" t="str">
        <f t="shared" ref="N183:N196" si="88">+IF(L183="","",L183*M183)</f>
        <v/>
      </c>
      <c r="O183" s="422" t="str">
        <f t="shared" ref="O183:O196" si="89">+IF(L183="","",N183*0.1)</f>
        <v/>
      </c>
      <c r="P183" s="422" t="str">
        <f t="shared" ref="P183:P196" si="90">+IF(L183="","",N183+O183)</f>
        <v/>
      </c>
      <c r="Q183" s="422" t="str">
        <f t="shared" ref="Q183:Q196" si="91">IF(L183="","",IFERROR((SUMIFS(TN_balC1_totol,TN_code,D183)+SUMIFS(RC_or_totol,RC_Code,D183,RC_date,"&lt;="&amp;C183)-SUMIFS(RC_zar_totol,RC_Code,D183,RC_date,"&lt;"&amp;C183)) /( SUMIFS(TN_balC1_unit,TN_code,D183)+SUMIFS(RC_or_unit,RC_Code,D183,RC_date,"&lt;="&amp;C183)-SUMIFS(RC_zar_unit,RC_Code,D183,RC_date,"&lt;"&amp;C183)),0 ))</f>
        <v/>
      </c>
      <c r="R183" s="422" t="str">
        <f t="shared" ref="R183:R196" si="92">+IF(L183="","",L183*Q183)</f>
        <v/>
      </c>
      <c r="S183" s="583">
        <v>610100</v>
      </c>
      <c r="T183" s="377" t="str">
        <f>+IFERROR(VLOOKUP(S183,STAT1!$C$4:$D$189,2,FALSE),"")</f>
        <v>Борлуулсан барааны өртөг</v>
      </c>
      <c r="U183" s="424">
        <v>232178.47269595176</v>
      </c>
      <c r="V183" s="424"/>
      <c r="W183" s="822">
        <v>3061</v>
      </c>
      <c r="X183" s="436" t="str">
        <f>IFERROR(VLOOKUP(W183,DATA!$G$4:$H$400,2,FALSE),"")</f>
        <v>СТИМО ХХК</v>
      </c>
      <c r="Y183" s="328"/>
      <c r="Z183" s="328"/>
      <c r="AA183" s="328"/>
    </row>
    <row r="184" spans="1:27" ht="12.75" customHeight="1">
      <c r="A184" s="425"/>
      <c r="B184" s="368">
        <f t="shared" si="60"/>
        <v>179</v>
      </c>
      <c r="C184" s="425">
        <v>43210</v>
      </c>
      <c r="D184" s="830"/>
      <c r="E184" s="876" t="str">
        <f t="shared" ca="1" si="61"/>
        <v/>
      </c>
      <c r="F184" s="426" t="str">
        <f t="shared" ca="1" si="82"/>
        <v/>
      </c>
      <c r="G184" s="415"/>
      <c r="H184" s="415"/>
      <c r="I184" s="415" t="str">
        <f t="shared" si="74"/>
        <v/>
      </c>
      <c r="J184" s="415" t="str">
        <f t="shared" si="75"/>
        <v/>
      </c>
      <c r="K184" s="415" t="str">
        <f t="shared" si="76"/>
        <v/>
      </c>
      <c r="L184" s="415"/>
      <c r="M184" s="415"/>
      <c r="N184" s="422" t="str">
        <f t="shared" si="88"/>
        <v/>
      </c>
      <c r="O184" s="422" t="str">
        <f t="shared" si="89"/>
        <v/>
      </c>
      <c r="P184" s="422" t="str">
        <f t="shared" si="90"/>
        <v/>
      </c>
      <c r="Q184" s="422" t="str">
        <f t="shared" si="91"/>
        <v/>
      </c>
      <c r="R184" s="422" t="str">
        <f t="shared" si="92"/>
        <v/>
      </c>
      <c r="S184" s="583">
        <v>310500</v>
      </c>
      <c r="T184" s="377" t="str">
        <f>+IFERROR(VLOOKUP(S184,STAT1!$C$4:$D$189,2,FALSE),"")</f>
        <v>НӨАТ өглөг</v>
      </c>
      <c r="U184" s="424"/>
      <c r="V184" s="424">
        <v>45300</v>
      </c>
      <c r="W184" s="822">
        <v>3061</v>
      </c>
      <c r="X184" s="436" t="str">
        <f>IFERROR(VLOOKUP(W184,DATA!$G$4:$H$400,2,FALSE),"")</f>
        <v>СТИМО ХХК</v>
      </c>
      <c r="Y184" s="328"/>
      <c r="Z184" s="328"/>
      <c r="AA184" s="328"/>
    </row>
    <row r="185" spans="1:27" ht="12.75" customHeight="1">
      <c r="A185" s="425"/>
      <c r="B185" s="368">
        <f t="shared" si="60"/>
        <v>180</v>
      </c>
      <c r="C185" s="425">
        <v>43210</v>
      </c>
      <c r="D185" s="830"/>
      <c r="E185" s="876" t="str">
        <f t="shared" ca="1" si="61"/>
        <v/>
      </c>
      <c r="F185" s="426" t="str">
        <f t="shared" ca="1" si="82"/>
        <v/>
      </c>
      <c r="G185" s="415"/>
      <c r="H185" s="415"/>
      <c r="I185" s="415" t="str">
        <f t="shared" si="74"/>
        <v/>
      </c>
      <c r="J185" s="415" t="str">
        <f t="shared" si="75"/>
        <v/>
      </c>
      <c r="K185" s="415" t="str">
        <f t="shared" si="76"/>
        <v/>
      </c>
      <c r="L185" s="415"/>
      <c r="M185" s="415"/>
      <c r="N185" s="422" t="str">
        <f t="shared" si="88"/>
        <v/>
      </c>
      <c r="O185" s="422" t="str">
        <f t="shared" si="89"/>
        <v/>
      </c>
      <c r="P185" s="422" t="str">
        <f t="shared" si="90"/>
        <v/>
      </c>
      <c r="Q185" s="422" t="str">
        <f t="shared" si="91"/>
        <v/>
      </c>
      <c r="R185" s="422" t="str">
        <f t="shared" si="92"/>
        <v/>
      </c>
      <c r="S185" s="583">
        <v>510000</v>
      </c>
      <c r="T185" s="377" t="str">
        <f>+IFERROR(VLOOKUP(S185,STAT1!$C$4:$D$189,2,FALSE),"")</f>
        <v>Үндсэн үйл ажиллагааны борлуулалт</v>
      </c>
      <c r="U185" s="424"/>
      <c r="V185" s="424">
        <v>453000</v>
      </c>
      <c r="W185" s="822">
        <v>3061</v>
      </c>
      <c r="X185" s="436" t="str">
        <f>IFERROR(VLOOKUP(W185,DATA!$G$4:$H$400,2,FALSE),"")</f>
        <v>СТИМО ХХК</v>
      </c>
      <c r="Y185" s="328"/>
      <c r="Z185" s="328"/>
      <c r="AA185" s="328"/>
    </row>
    <row r="186" spans="1:27" ht="12.75" customHeight="1">
      <c r="A186" s="425"/>
      <c r="B186" s="368">
        <f t="shared" si="60"/>
        <v>181</v>
      </c>
      <c r="C186" s="425">
        <v>43210</v>
      </c>
      <c r="D186" s="830"/>
      <c r="E186" s="876" t="str">
        <f t="shared" ca="1" si="61"/>
        <v/>
      </c>
      <c r="F186" s="426" t="str">
        <f t="shared" ca="1" si="82"/>
        <v/>
      </c>
      <c r="G186" s="415"/>
      <c r="H186" s="415"/>
      <c r="I186" s="415" t="str">
        <f t="shared" si="74"/>
        <v/>
      </c>
      <c r="J186" s="415" t="str">
        <f t="shared" si="75"/>
        <v/>
      </c>
      <c r="K186" s="415" t="str">
        <f t="shared" si="76"/>
        <v/>
      </c>
      <c r="L186" s="415"/>
      <c r="M186" s="415"/>
      <c r="N186" s="422" t="str">
        <f t="shared" si="88"/>
        <v/>
      </c>
      <c r="O186" s="422" t="str">
        <f t="shared" si="89"/>
        <v/>
      </c>
      <c r="P186" s="422" t="str">
        <f t="shared" si="90"/>
        <v/>
      </c>
      <c r="Q186" s="422" t="str">
        <f t="shared" si="91"/>
        <v/>
      </c>
      <c r="R186" s="422" t="str">
        <f t="shared" si="92"/>
        <v/>
      </c>
      <c r="S186" s="583">
        <v>320100</v>
      </c>
      <c r="T186" s="377" t="str">
        <f>+IFERROR(VLOOKUP(S186,STAT1!$C$4:$D$189,2,FALSE),"")</f>
        <v>Урьдчилж орсон орлого MNT</v>
      </c>
      <c r="U186" s="415">
        <v>498300</v>
      </c>
      <c r="V186" s="415"/>
      <c r="W186" s="822">
        <v>3061</v>
      </c>
      <c r="X186" s="436" t="str">
        <f>IFERROR(VLOOKUP(W186,DATA!$G$4:$H$400,2,FALSE),"")</f>
        <v>СТИМО ХХК</v>
      </c>
      <c r="Y186" s="328"/>
      <c r="Z186" s="328"/>
      <c r="AA186" s="328"/>
    </row>
    <row r="187" spans="1:27" ht="12.75" customHeight="1">
      <c r="A187" s="425"/>
      <c r="B187" s="368">
        <f>+IF(C187="","",ROW()-5)</f>
        <v>182</v>
      </c>
      <c r="C187" s="425">
        <v>43211</v>
      </c>
      <c r="D187" s="830">
        <v>211504</v>
      </c>
      <c r="E187" s="876" t="str">
        <f t="shared" ca="1" si="61"/>
        <v xml:space="preserve">Н-Евровагонка /зузаан-1.2см/-яртай </v>
      </c>
      <c r="F187" s="426"/>
      <c r="G187" s="415"/>
      <c r="H187" s="415"/>
      <c r="I187" s="415" t="str">
        <f t="shared" si="74"/>
        <v/>
      </c>
      <c r="J187" s="415" t="str">
        <f t="shared" si="75"/>
        <v/>
      </c>
      <c r="K187" s="415" t="str">
        <f t="shared" si="76"/>
        <v/>
      </c>
      <c r="L187" s="415">
        <v>27.5</v>
      </c>
      <c r="M187" s="415">
        <v>18000</v>
      </c>
      <c r="N187" s="422">
        <f t="shared" si="88"/>
        <v>495000</v>
      </c>
      <c r="O187" s="422">
        <f t="shared" si="89"/>
        <v>49500</v>
      </c>
      <c r="P187" s="422">
        <f t="shared" si="90"/>
        <v>544500</v>
      </c>
      <c r="Q187" s="422">
        <f t="shared" ca="1" si="91"/>
        <v>11896.785561853305</v>
      </c>
      <c r="R187" s="422">
        <f t="shared" ca="1" si="92"/>
        <v>327161.60295096587</v>
      </c>
      <c r="S187" s="583">
        <f>+IF(LEFT(D187,3)="131",140100,0)+IF(LEFT(D187,3)="310",150100,0)+IF(LEFT(D187,3)="211",150101,0)+IF(LEFT(D187,3)="410",160100,0)+IF(LEFT(D187,3)="440",160200,0)+IF(LEFT(D187,3)="430",160200,0)+IF(LEFT(D187,3)="420",160200,0)+IF(LEFT(D187,3)="460",160201,0)+IF(LEFT(D187,3)="210",150101,0)+IF(LEFT(D187,3)="510",140100,0)</f>
        <v>150101</v>
      </c>
      <c r="T187" s="377" t="str">
        <f>+IFERROR(VLOOKUP(S187,STAT1!$C$4:$D$189,2,FALSE),"")</f>
        <v>Бараа бэлэн бүтээгдэхүүн БОЛОВСРУУЛАХ ЦЕХ /нарс/</v>
      </c>
      <c r="U187" s="415"/>
      <c r="V187" s="415">
        <v>327161.60295096587</v>
      </c>
      <c r="W187" s="822">
        <v>3124</v>
      </c>
      <c r="X187" s="436" t="str">
        <f>IFERROR(VLOOKUP(W187,DATA!$G$4:$H$400,2,FALSE),"")</f>
        <v xml:space="preserve">ШИНЭЛЭГ СУУЦ ХХК </v>
      </c>
      <c r="Y187" s="328"/>
      <c r="Z187" s="328"/>
      <c r="AA187" s="328"/>
    </row>
    <row r="188" spans="1:27" ht="12.75" customHeight="1">
      <c r="A188" s="425"/>
      <c r="B188" s="368">
        <f>+IF(C188="","",ROW()-5)</f>
        <v>183</v>
      </c>
      <c r="C188" s="425">
        <v>43212</v>
      </c>
      <c r="D188" s="830">
        <v>211710</v>
      </c>
      <c r="E188" s="876" t="str">
        <f t="shared" ca="1" si="61"/>
        <v xml:space="preserve">Н-Хавтан /зузаан-3см/-яртай </v>
      </c>
      <c r="F188" s="426" t="str">
        <f t="shared" ca="1" si="82"/>
        <v>м2</v>
      </c>
      <c r="G188" s="415"/>
      <c r="H188" s="415"/>
      <c r="I188" s="415" t="str">
        <f t="shared" si="74"/>
        <v/>
      </c>
      <c r="J188" s="415" t="str">
        <f t="shared" si="75"/>
        <v/>
      </c>
      <c r="K188" s="415" t="str">
        <f t="shared" si="76"/>
        <v/>
      </c>
      <c r="L188" s="415">
        <v>18</v>
      </c>
      <c r="M188" s="415">
        <v>40004.040399999998</v>
      </c>
      <c r="N188" s="422">
        <f t="shared" si="88"/>
        <v>720072.72719999996</v>
      </c>
      <c r="O188" s="422">
        <f t="shared" si="89"/>
        <v>72007.272719999994</v>
      </c>
      <c r="P188" s="422">
        <f t="shared" si="90"/>
        <v>792079.99991999997</v>
      </c>
      <c r="Q188" s="422">
        <f t="shared" ca="1" si="91"/>
        <v>39417.048654063474</v>
      </c>
      <c r="R188" s="422">
        <f t="shared" ca="1" si="92"/>
        <v>709506.87577314256</v>
      </c>
      <c r="S188" s="583">
        <f>+IF(LEFT(D188,3)="131",140100,0)+IF(LEFT(D188,3)="310",150100,0)+IF(LEFT(D188,3)="211",150101,0)+IF(LEFT(D188,3)="410",160100,0)+IF(LEFT(D188,3)="440",160200,0)+IF(LEFT(D188,3)="430",160200,0)+IF(LEFT(D188,3)="420",160200,0)+IF(LEFT(D188,3)="460",160201,0)+IF(LEFT(D188,3)="210",150101,0)+IF(LEFT(D188,3)="510",140100,0)</f>
        <v>150101</v>
      </c>
      <c r="T188" s="377" t="str">
        <f>+IFERROR(VLOOKUP(S188,STAT1!$C$4:$D$189,2,FALSE),"")</f>
        <v>Бараа бэлэн бүтээгдэхүүн БОЛОВСРУУЛАХ ЦЕХ /нарс/</v>
      </c>
      <c r="U188" s="424"/>
      <c r="V188" s="424">
        <v>709506.87577314256</v>
      </c>
      <c r="W188" s="822">
        <v>3124</v>
      </c>
      <c r="X188" s="436" t="str">
        <f>IFERROR(VLOOKUP(W188,DATA!$G$4:$H$400,2,FALSE),"")</f>
        <v xml:space="preserve">ШИНЭЛЭГ СУУЦ ХХК </v>
      </c>
      <c r="Y188" s="328"/>
      <c r="Z188" s="328"/>
      <c r="AA188" s="328"/>
    </row>
    <row r="189" spans="1:27" ht="12.75" customHeight="1">
      <c r="A189" s="425"/>
      <c r="B189" s="368">
        <f t="shared" si="60"/>
        <v>184</v>
      </c>
      <c r="C189" s="425">
        <v>43210</v>
      </c>
      <c r="D189" s="830"/>
      <c r="E189" s="876" t="str">
        <f t="shared" ca="1" si="61"/>
        <v/>
      </c>
      <c r="F189" s="426" t="str">
        <f t="shared" ca="1" si="82"/>
        <v/>
      </c>
      <c r="G189" s="415"/>
      <c r="H189" s="415"/>
      <c r="I189" s="415" t="str">
        <f t="shared" si="74"/>
        <v/>
      </c>
      <c r="J189" s="415" t="str">
        <f t="shared" si="75"/>
        <v/>
      </c>
      <c r="K189" s="415" t="str">
        <f t="shared" si="76"/>
        <v/>
      </c>
      <c r="L189" s="415"/>
      <c r="M189" s="415"/>
      <c r="N189" s="422" t="str">
        <f t="shared" si="88"/>
        <v/>
      </c>
      <c r="O189" s="422" t="str">
        <f t="shared" si="89"/>
        <v/>
      </c>
      <c r="P189" s="422" t="str">
        <f t="shared" si="90"/>
        <v/>
      </c>
      <c r="Q189" s="422" t="str">
        <f t="shared" si="91"/>
        <v/>
      </c>
      <c r="R189" s="422" t="str">
        <f t="shared" si="92"/>
        <v/>
      </c>
      <c r="S189" s="583">
        <v>610100</v>
      </c>
      <c r="T189" s="377" t="str">
        <f>+IFERROR(VLOOKUP(S189,STAT1!$C$4:$D$189,2,FALSE),"")</f>
        <v>Борлуулсан барааны өртөг</v>
      </c>
      <c r="U189" s="424">
        <v>1036668.4787241084</v>
      </c>
      <c r="V189" s="424"/>
      <c r="W189" s="822">
        <v>3124</v>
      </c>
      <c r="X189" s="436" t="str">
        <f>IFERROR(VLOOKUP(W189,DATA!$G$4:$H$400,2,FALSE),"")</f>
        <v xml:space="preserve">ШИНЭЛЭГ СУУЦ ХХК </v>
      </c>
      <c r="Y189" s="328"/>
      <c r="Z189" s="328"/>
      <c r="AA189" s="328"/>
    </row>
    <row r="190" spans="1:27" ht="12.75" customHeight="1">
      <c r="A190" s="425"/>
      <c r="B190" s="368">
        <f t="shared" si="60"/>
        <v>185</v>
      </c>
      <c r="C190" s="425">
        <v>43210</v>
      </c>
      <c r="D190" s="830"/>
      <c r="E190" s="876" t="str">
        <f t="shared" ca="1" si="61"/>
        <v/>
      </c>
      <c r="F190" s="426" t="str">
        <f t="shared" ca="1" si="82"/>
        <v/>
      </c>
      <c r="G190" s="415"/>
      <c r="H190" s="415"/>
      <c r="I190" s="415" t="str">
        <f t="shared" si="74"/>
        <v/>
      </c>
      <c r="J190" s="415" t="str">
        <f t="shared" si="75"/>
        <v/>
      </c>
      <c r="K190" s="415" t="str">
        <f t="shared" si="76"/>
        <v/>
      </c>
      <c r="L190" s="415"/>
      <c r="M190" s="415"/>
      <c r="N190" s="422" t="str">
        <f t="shared" si="88"/>
        <v/>
      </c>
      <c r="O190" s="422" t="str">
        <f t="shared" si="89"/>
        <v/>
      </c>
      <c r="P190" s="422" t="str">
        <f t="shared" si="90"/>
        <v/>
      </c>
      <c r="Q190" s="422" t="str">
        <f t="shared" si="91"/>
        <v/>
      </c>
      <c r="R190" s="422" t="str">
        <f t="shared" si="92"/>
        <v/>
      </c>
      <c r="S190" s="583">
        <v>310500</v>
      </c>
      <c r="T190" s="377" t="str">
        <f>+IFERROR(VLOOKUP(S190,STAT1!$C$4:$D$189,2,FALSE),"")</f>
        <v>НӨАТ өглөг</v>
      </c>
      <c r="U190" s="424"/>
      <c r="V190" s="424">
        <v>121507.27271999999</v>
      </c>
      <c r="W190" s="822">
        <v>3124</v>
      </c>
      <c r="X190" s="436" t="str">
        <f>IFERROR(VLOOKUP(W190,DATA!$G$4:$H$400,2,FALSE),"")</f>
        <v xml:space="preserve">ШИНЭЛЭГ СУУЦ ХХК </v>
      </c>
      <c r="Y190" s="328"/>
      <c r="Z190" s="328"/>
      <c r="AA190" s="328"/>
    </row>
    <row r="191" spans="1:27" ht="12.75" customHeight="1">
      <c r="A191" s="425"/>
      <c r="B191" s="368">
        <f t="shared" si="60"/>
        <v>186</v>
      </c>
      <c r="C191" s="425">
        <v>43210</v>
      </c>
      <c r="D191" s="830"/>
      <c r="E191" s="876" t="str">
        <f t="shared" ca="1" si="61"/>
        <v/>
      </c>
      <c r="F191" s="426" t="str">
        <f t="shared" ca="1" si="82"/>
        <v/>
      </c>
      <c r="G191" s="415"/>
      <c r="H191" s="415"/>
      <c r="I191" s="415" t="str">
        <f t="shared" si="74"/>
        <v/>
      </c>
      <c r="J191" s="415" t="str">
        <f t="shared" si="75"/>
        <v/>
      </c>
      <c r="K191" s="415" t="str">
        <f t="shared" si="76"/>
        <v/>
      </c>
      <c r="L191" s="415"/>
      <c r="M191" s="415"/>
      <c r="N191" s="422" t="str">
        <f t="shared" si="88"/>
        <v/>
      </c>
      <c r="O191" s="422" t="str">
        <f t="shared" si="89"/>
        <v/>
      </c>
      <c r="P191" s="422" t="str">
        <f t="shared" si="90"/>
        <v/>
      </c>
      <c r="Q191" s="422" t="str">
        <f t="shared" si="91"/>
        <v/>
      </c>
      <c r="R191" s="422" t="str">
        <f t="shared" si="92"/>
        <v/>
      </c>
      <c r="S191" s="583">
        <v>510000</v>
      </c>
      <c r="T191" s="377" t="str">
        <f>+IFERROR(VLOOKUP(S191,STAT1!$C$4:$D$189,2,FALSE),"")</f>
        <v>Үндсэн үйл ажиллагааны борлуулалт</v>
      </c>
      <c r="U191" s="424"/>
      <c r="V191" s="424">
        <v>1215072.7272000001</v>
      </c>
      <c r="W191" s="822">
        <v>3124</v>
      </c>
      <c r="X191" s="436" t="str">
        <f>IFERROR(VLOOKUP(W191,DATA!$G$4:$H$400,2,FALSE),"")</f>
        <v xml:space="preserve">ШИНЭЛЭГ СУУЦ ХХК </v>
      </c>
      <c r="Y191" s="328"/>
      <c r="Z191" s="328"/>
      <c r="AA191" s="328"/>
    </row>
    <row r="192" spans="1:27" ht="12.75" customHeight="1">
      <c r="A192" s="425"/>
      <c r="B192" s="368">
        <f t="shared" si="60"/>
        <v>187</v>
      </c>
      <c r="C192" s="425">
        <v>43210</v>
      </c>
      <c r="D192" s="830"/>
      <c r="E192" s="876" t="str">
        <f t="shared" ca="1" si="61"/>
        <v/>
      </c>
      <c r="F192" s="426" t="str">
        <f t="shared" ca="1" si="82"/>
        <v/>
      </c>
      <c r="G192" s="415"/>
      <c r="H192" s="415"/>
      <c r="I192" s="415" t="str">
        <f t="shared" si="74"/>
        <v/>
      </c>
      <c r="J192" s="415" t="str">
        <f t="shared" si="75"/>
        <v/>
      </c>
      <c r="K192" s="415" t="str">
        <f t="shared" si="76"/>
        <v/>
      </c>
      <c r="L192" s="415"/>
      <c r="M192" s="415"/>
      <c r="N192" s="422" t="str">
        <f t="shared" si="88"/>
        <v/>
      </c>
      <c r="O192" s="422" t="str">
        <f t="shared" si="89"/>
        <v/>
      </c>
      <c r="P192" s="422" t="str">
        <f t="shared" si="90"/>
        <v/>
      </c>
      <c r="Q192" s="422" t="str">
        <f t="shared" si="91"/>
        <v/>
      </c>
      <c r="R192" s="422" t="str">
        <f t="shared" si="92"/>
        <v/>
      </c>
      <c r="S192" s="583">
        <v>320100</v>
      </c>
      <c r="T192" s="377" t="str">
        <f>+IFERROR(VLOOKUP(S192,STAT1!$C$4:$D$189,2,FALSE),"")</f>
        <v>Урьдчилж орсон орлого MNT</v>
      </c>
      <c r="U192" s="415">
        <v>1336579.9999199999</v>
      </c>
      <c r="V192" s="415"/>
      <c r="W192" s="822">
        <v>3124</v>
      </c>
      <c r="X192" s="436" t="str">
        <f>IFERROR(VLOOKUP(W192,DATA!$G$4:$H$400,2,FALSE),"")</f>
        <v xml:space="preserve">ШИНЭЛЭГ СУУЦ ХХК </v>
      </c>
      <c r="Y192" s="328"/>
      <c r="Z192" s="328"/>
      <c r="AA192" s="328"/>
    </row>
    <row r="193" spans="1:27" ht="12.75" customHeight="1">
      <c r="A193" s="425"/>
      <c r="B193" s="368">
        <f t="shared" si="60"/>
        <v>188</v>
      </c>
      <c r="C193" s="425">
        <v>43213</v>
      </c>
      <c r="D193" s="830">
        <v>211710</v>
      </c>
      <c r="E193" s="876" t="str">
        <f t="shared" ca="1" si="61"/>
        <v xml:space="preserve">Н-Хавтан /зузаан-3см/-яртай </v>
      </c>
      <c r="F193" s="426" t="str">
        <f t="shared" ca="1" si="82"/>
        <v>м2</v>
      </c>
      <c r="G193" s="415"/>
      <c r="H193" s="415"/>
      <c r="I193" s="415" t="str">
        <f t="shared" si="74"/>
        <v/>
      </c>
      <c r="J193" s="415" t="str">
        <f t="shared" si="75"/>
        <v/>
      </c>
      <c r="K193" s="415" t="str">
        <f t="shared" si="76"/>
        <v/>
      </c>
      <c r="L193" s="415">
        <v>2.85</v>
      </c>
      <c r="M193" s="415">
        <v>40000</v>
      </c>
      <c r="N193" s="422">
        <f t="shared" si="88"/>
        <v>114000</v>
      </c>
      <c r="O193" s="422">
        <f t="shared" si="89"/>
        <v>11400</v>
      </c>
      <c r="P193" s="422">
        <f t="shared" si="90"/>
        <v>125400</v>
      </c>
      <c r="Q193" s="422">
        <f t="shared" ca="1" si="91"/>
        <v>39417.048654063481</v>
      </c>
      <c r="R193" s="422">
        <f t="shared" ca="1" si="92"/>
        <v>112338.58866408092</v>
      </c>
      <c r="S193" s="583">
        <f>+IF(LEFT(D193,3)="131",140100,0)+IF(LEFT(D193,3)="310",150100,0)+IF(LEFT(D193,3)="211",150101,0)+IF(LEFT(D193,3)="410",160100,0)+IF(LEFT(D193,3)="440",160200,0)+IF(LEFT(D193,3)="430",160200,0)+IF(LEFT(D193,3)="420",160200,0)+IF(LEFT(D193,3)="460",160201,0)+IF(LEFT(D193,3)="210",150101,0)+IF(LEFT(D193,3)="510",140100,0)</f>
        <v>150101</v>
      </c>
      <c r="T193" s="377" t="str">
        <f>+IFERROR(VLOOKUP(S193,STAT1!$C$4:$D$189,2,FALSE),"")</f>
        <v>Бараа бэлэн бүтээгдэхүүн БОЛОВСРУУЛАХ ЦЕХ /нарс/</v>
      </c>
      <c r="U193" s="424"/>
      <c r="V193" s="424">
        <v>112338.58866408092</v>
      </c>
      <c r="W193" s="822">
        <v>3127</v>
      </c>
      <c r="X193" s="436" t="str">
        <f>IFERROR(VLOOKUP(W193,DATA!$G$4:$H$400,2,FALSE),"")</f>
        <v>ОРЧЛОН КОНСТРАКШН ХХК</v>
      </c>
      <c r="Y193" s="328"/>
      <c r="Z193" s="328"/>
      <c r="AA193" s="328"/>
    </row>
    <row r="194" spans="1:27" ht="12.75" customHeight="1">
      <c r="A194" s="425"/>
      <c r="B194" s="368">
        <f t="shared" si="60"/>
        <v>189</v>
      </c>
      <c r="C194" s="425">
        <v>43213</v>
      </c>
      <c r="D194" s="830"/>
      <c r="E194" s="876" t="str">
        <f t="shared" ca="1" si="61"/>
        <v/>
      </c>
      <c r="F194" s="426" t="str">
        <f t="shared" ca="1" si="82"/>
        <v/>
      </c>
      <c r="G194" s="415"/>
      <c r="H194" s="415"/>
      <c r="I194" s="415" t="str">
        <f t="shared" si="74"/>
        <v/>
      </c>
      <c r="J194" s="415" t="str">
        <f t="shared" si="75"/>
        <v/>
      </c>
      <c r="K194" s="415" t="str">
        <f t="shared" si="76"/>
        <v/>
      </c>
      <c r="L194" s="415"/>
      <c r="M194" s="415"/>
      <c r="N194" s="422" t="str">
        <f t="shared" si="88"/>
        <v/>
      </c>
      <c r="O194" s="422" t="str">
        <f t="shared" si="89"/>
        <v/>
      </c>
      <c r="P194" s="422" t="str">
        <f t="shared" si="90"/>
        <v/>
      </c>
      <c r="Q194" s="422" t="str">
        <f t="shared" si="91"/>
        <v/>
      </c>
      <c r="R194" s="422" t="str">
        <f t="shared" si="92"/>
        <v/>
      </c>
      <c r="S194" s="583">
        <v>610100</v>
      </c>
      <c r="T194" s="377" t="str">
        <f>+IFERROR(VLOOKUP(S194,STAT1!$C$4:$D$189,2,FALSE),"")</f>
        <v>Борлуулсан барааны өртөг</v>
      </c>
      <c r="U194" s="424">
        <v>112338.58866408092</v>
      </c>
      <c r="V194" s="424"/>
      <c r="W194" s="822">
        <v>3127</v>
      </c>
      <c r="X194" s="436" t="str">
        <f>IFERROR(VLOOKUP(W194,DATA!$G$4:$H$400,2,FALSE),"")</f>
        <v>ОРЧЛОН КОНСТРАКШН ХХК</v>
      </c>
      <c r="Y194" s="328"/>
      <c r="Z194" s="328"/>
      <c r="AA194" s="328"/>
    </row>
    <row r="195" spans="1:27" ht="12.75" customHeight="1">
      <c r="A195" s="425"/>
      <c r="B195" s="368">
        <f t="shared" si="60"/>
        <v>190</v>
      </c>
      <c r="C195" s="425">
        <v>43213</v>
      </c>
      <c r="D195" s="830"/>
      <c r="E195" s="876" t="str">
        <f t="shared" ca="1" si="61"/>
        <v/>
      </c>
      <c r="F195" s="426" t="str">
        <f t="shared" ca="1" si="82"/>
        <v/>
      </c>
      <c r="G195" s="415"/>
      <c r="H195" s="415"/>
      <c r="I195" s="415" t="str">
        <f t="shared" si="74"/>
        <v/>
      </c>
      <c r="J195" s="415" t="str">
        <f t="shared" si="75"/>
        <v/>
      </c>
      <c r="K195" s="415" t="str">
        <f t="shared" si="76"/>
        <v/>
      </c>
      <c r="L195" s="415"/>
      <c r="M195" s="415"/>
      <c r="N195" s="422" t="str">
        <f t="shared" si="88"/>
        <v/>
      </c>
      <c r="O195" s="422" t="str">
        <f t="shared" si="89"/>
        <v/>
      </c>
      <c r="P195" s="422" t="str">
        <f t="shared" si="90"/>
        <v/>
      </c>
      <c r="Q195" s="422" t="str">
        <f t="shared" si="91"/>
        <v/>
      </c>
      <c r="R195" s="422" t="str">
        <f t="shared" si="92"/>
        <v/>
      </c>
      <c r="S195" s="583">
        <v>310500</v>
      </c>
      <c r="T195" s="377" t="str">
        <f>+IFERROR(VLOOKUP(S195,STAT1!$C$4:$D$189,2,FALSE),"")</f>
        <v>НӨАТ өглөг</v>
      </c>
      <c r="U195" s="424"/>
      <c r="V195" s="424">
        <v>11400</v>
      </c>
      <c r="W195" s="822">
        <v>3127</v>
      </c>
      <c r="X195" s="436" t="str">
        <f>IFERROR(VLOOKUP(W195,DATA!$G$4:$H$400,2,FALSE),"")</f>
        <v>ОРЧЛОН КОНСТРАКШН ХХК</v>
      </c>
      <c r="Y195" s="328"/>
      <c r="Z195" s="328"/>
      <c r="AA195" s="328"/>
    </row>
    <row r="196" spans="1:27" ht="12.75" customHeight="1">
      <c r="A196" s="425"/>
      <c r="B196" s="368">
        <f t="shared" si="60"/>
        <v>191</v>
      </c>
      <c r="C196" s="425">
        <v>43213</v>
      </c>
      <c r="D196" s="830"/>
      <c r="E196" s="876" t="str">
        <f t="shared" ca="1" si="61"/>
        <v/>
      </c>
      <c r="F196" s="426" t="str">
        <f t="shared" ca="1" si="82"/>
        <v/>
      </c>
      <c r="G196" s="415"/>
      <c r="H196" s="415"/>
      <c r="I196" s="415" t="str">
        <f t="shared" si="74"/>
        <v/>
      </c>
      <c r="J196" s="415" t="str">
        <f t="shared" si="75"/>
        <v/>
      </c>
      <c r="K196" s="415" t="str">
        <f t="shared" si="76"/>
        <v/>
      </c>
      <c r="L196" s="415"/>
      <c r="M196" s="415"/>
      <c r="N196" s="422" t="str">
        <f t="shared" si="88"/>
        <v/>
      </c>
      <c r="O196" s="422" t="str">
        <f t="shared" si="89"/>
        <v/>
      </c>
      <c r="P196" s="422" t="str">
        <f t="shared" si="90"/>
        <v/>
      </c>
      <c r="Q196" s="422" t="str">
        <f t="shared" si="91"/>
        <v/>
      </c>
      <c r="R196" s="422" t="str">
        <f t="shared" si="92"/>
        <v/>
      </c>
      <c r="S196" s="583">
        <v>510000</v>
      </c>
      <c r="T196" s="377" t="str">
        <f>+IFERROR(VLOOKUP(S196,STAT1!$C$4:$D$189,2,FALSE),"")</f>
        <v>Үндсэн үйл ажиллагааны борлуулалт</v>
      </c>
      <c r="U196" s="424"/>
      <c r="V196" s="424">
        <v>114000</v>
      </c>
      <c r="W196" s="822">
        <v>3127</v>
      </c>
      <c r="X196" s="436" t="str">
        <f>IFERROR(VLOOKUP(W196,DATA!$G$4:$H$400,2,FALSE),"")</f>
        <v>ОРЧЛОН КОНСТРАКШН ХХК</v>
      </c>
      <c r="Y196" s="328"/>
      <c r="Z196" s="328"/>
      <c r="AA196" s="328"/>
    </row>
    <row r="197" spans="1:27" ht="12.75" customHeight="1">
      <c r="A197" s="425"/>
      <c r="B197" s="368">
        <f t="shared" si="60"/>
        <v>192</v>
      </c>
      <c r="C197" s="425">
        <v>43213</v>
      </c>
      <c r="D197" s="830"/>
      <c r="E197" s="876" t="str">
        <f t="shared" ca="1" si="61"/>
        <v/>
      </c>
      <c r="F197" s="426" t="str">
        <f t="shared" ca="1" si="82"/>
        <v/>
      </c>
      <c r="G197" s="415"/>
      <c r="H197" s="415"/>
      <c r="I197" s="415" t="str">
        <f t="shared" si="74"/>
        <v/>
      </c>
      <c r="J197" s="415" t="str">
        <f t="shared" si="75"/>
        <v/>
      </c>
      <c r="K197" s="415" t="str">
        <f t="shared" si="76"/>
        <v/>
      </c>
      <c r="L197" s="415"/>
      <c r="M197" s="415"/>
      <c r="N197" s="422" t="str">
        <f t="shared" si="83"/>
        <v/>
      </c>
      <c r="O197" s="422" t="str">
        <f t="shared" si="84"/>
        <v/>
      </c>
      <c r="P197" s="422" t="str">
        <f t="shared" si="85"/>
        <v/>
      </c>
      <c r="Q197" s="422" t="str">
        <f t="shared" si="86"/>
        <v/>
      </c>
      <c r="R197" s="422" t="str">
        <f t="shared" si="87"/>
        <v/>
      </c>
      <c r="S197" s="583">
        <v>320100</v>
      </c>
      <c r="T197" s="377" t="str">
        <f>+IFERROR(VLOOKUP(S197,STAT1!$C$4:$D$189,2,FALSE),"")</f>
        <v>Урьдчилж орсон орлого MNT</v>
      </c>
      <c r="U197" s="415">
        <v>125400</v>
      </c>
      <c r="V197" s="415"/>
      <c r="W197" s="822">
        <v>3127</v>
      </c>
      <c r="X197" s="436" t="str">
        <f>IFERROR(VLOOKUP(W197,DATA!$G$4:$H$400,2,FALSE),"")</f>
        <v>ОРЧЛОН КОНСТРАКШН ХХК</v>
      </c>
      <c r="Y197" s="328"/>
      <c r="Z197" s="328"/>
      <c r="AA197" s="328"/>
    </row>
    <row r="198" spans="1:27" ht="12.75" customHeight="1">
      <c r="A198" s="425"/>
      <c r="B198" s="368">
        <f t="shared" si="60"/>
        <v>193</v>
      </c>
      <c r="C198" s="425">
        <v>43215</v>
      </c>
      <c r="D198" s="830">
        <v>211801</v>
      </c>
      <c r="E198" s="876" t="str">
        <f t="shared" ca="1" si="61"/>
        <v>Н-Ембүү /20*30мм/</v>
      </c>
      <c r="F198" s="426" t="str">
        <f t="shared" ca="1" si="82"/>
        <v>м</v>
      </c>
      <c r="G198" s="415"/>
      <c r="H198" s="415"/>
      <c r="I198" s="415" t="str">
        <f t="shared" si="74"/>
        <v/>
      </c>
      <c r="J198" s="415" t="str">
        <f t="shared" si="75"/>
        <v/>
      </c>
      <c r="K198" s="415" t="str">
        <f t="shared" si="76"/>
        <v/>
      </c>
      <c r="L198" s="415">
        <v>168</v>
      </c>
      <c r="M198" s="415">
        <v>1500</v>
      </c>
      <c r="N198" s="422">
        <f t="shared" si="83"/>
        <v>252000</v>
      </c>
      <c r="O198" s="422">
        <f t="shared" si="84"/>
        <v>25200</v>
      </c>
      <c r="P198" s="422">
        <f t="shared" si="85"/>
        <v>277200</v>
      </c>
      <c r="Q198" s="422">
        <f t="shared" ca="1" si="86"/>
        <v>768.80288972169444</v>
      </c>
      <c r="R198" s="422">
        <f t="shared" ca="1" si="87"/>
        <v>129158.88547324466</v>
      </c>
      <c r="S198" s="583">
        <f>+IF(LEFT(D198,3)="131",140100,0)+IF(LEFT(D198,3)="310",150100,0)+IF(LEFT(D198,3)="211",150101,0)+IF(LEFT(D198,3)="410",160100,0)+IF(LEFT(D198,3)="440",160200,0)+IF(LEFT(D198,3)="430",160200,0)+IF(LEFT(D198,3)="420",160200,0)+IF(LEFT(D198,3)="460",160201,0)+IF(LEFT(D198,3)="210",150101,0)+IF(LEFT(D198,3)="510",140100,0)</f>
        <v>150101</v>
      </c>
      <c r="T198" s="377" t="str">
        <f>+IFERROR(VLOOKUP(S198,STAT1!$C$4:$D$189,2,FALSE),"")</f>
        <v>Бараа бэлэн бүтээгдэхүүн БОЛОВСРУУЛАХ ЦЕХ /нарс/</v>
      </c>
      <c r="U198" s="424"/>
      <c r="V198" s="424">
        <v>129158.88547324466</v>
      </c>
      <c r="W198" s="822">
        <v>3109</v>
      </c>
      <c r="X198" s="436" t="str">
        <f>IFERROR(VLOOKUP(W198,DATA!$G$4:$H$400,2,FALSE),"")</f>
        <v xml:space="preserve">СИЛК РӨҮТ ТЕКСТИЛЬ ХХК </v>
      </c>
      <c r="Y198" s="328"/>
      <c r="Z198" s="328"/>
      <c r="AA198" s="328"/>
    </row>
    <row r="199" spans="1:27" ht="12.75" customHeight="1">
      <c r="A199" s="425"/>
      <c r="B199" s="368">
        <f t="shared" si="60"/>
        <v>194</v>
      </c>
      <c r="C199" s="425">
        <v>43215</v>
      </c>
      <c r="D199" s="830"/>
      <c r="E199" s="876" t="str">
        <f t="shared" ca="1" si="61"/>
        <v/>
      </c>
      <c r="F199" s="426" t="str">
        <f t="shared" ca="1" si="82"/>
        <v/>
      </c>
      <c r="G199" s="415"/>
      <c r="H199" s="415"/>
      <c r="I199" s="415" t="str">
        <f t="shared" si="74"/>
        <v/>
      </c>
      <c r="J199" s="415" t="str">
        <f t="shared" si="75"/>
        <v/>
      </c>
      <c r="K199" s="415" t="str">
        <f t="shared" si="76"/>
        <v/>
      </c>
      <c r="L199" s="415"/>
      <c r="M199" s="415"/>
      <c r="N199" s="422" t="str">
        <f t="shared" si="83"/>
        <v/>
      </c>
      <c r="O199" s="422" t="str">
        <f t="shared" si="84"/>
        <v/>
      </c>
      <c r="P199" s="422" t="str">
        <f t="shared" si="85"/>
        <v/>
      </c>
      <c r="Q199" s="422" t="str">
        <f t="shared" si="86"/>
        <v/>
      </c>
      <c r="R199" s="422" t="str">
        <f t="shared" si="87"/>
        <v/>
      </c>
      <c r="S199" s="583">
        <v>610100</v>
      </c>
      <c r="T199" s="377" t="str">
        <f>+IFERROR(VLOOKUP(S199,STAT1!$C$4:$D$189,2,FALSE),"")</f>
        <v>Борлуулсан барааны өртөг</v>
      </c>
      <c r="U199" s="424">
        <v>129158.88547324466</v>
      </c>
      <c r="V199" s="424"/>
      <c r="W199" s="822">
        <v>3109</v>
      </c>
      <c r="X199" s="436" t="str">
        <f>IFERROR(VLOOKUP(W199,DATA!$G$4:$H$400,2,FALSE),"")</f>
        <v xml:space="preserve">СИЛК РӨҮТ ТЕКСТИЛЬ ХХК </v>
      </c>
      <c r="Y199" s="328"/>
      <c r="Z199" s="328"/>
      <c r="AA199" s="328"/>
    </row>
    <row r="200" spans="1:27" ht="12.75" customHeight="1">
      <c r="A200" s="425"/>
      <c r="B200" s="368">
        <f t="shared" ref="B200:B265" si="93">+IF(C200="","",ROW()-5)</f>
        <v>195</v>
      </c>
      <c r="C200" s="425">
        <v>43215</v>
      </c>
      <c r="D200" s="830"/>
      <c r="E200" s="876" t="str">
        <f t="shared" ref="E200:E265" ca="1" si="94">+IFERROR(VLOOKUP(D200,TN_table,2,FALSE),"")</f>
        <v/>
      </c>
      <c r="F200" s="426" t="str">
        <f t="shared" ca="1" si="82"/>
        <v/>
      </c>
      <c r="G200" s="415"/>
      <c r="H200" s="415"/>
      <c r="I200" s="415" t="str">
        <f t="shared" si="74"/>
        <v/>
      </c>
      <c r="J200" s="415" t="str">
        <f t="shared" si="75"/>
        <v/>
      </c>
      <c r="K200" s="415" t="str">
        <f t="shared" si="76"/>
        <v/>
      </c>
      <c r="L200" s="415"/>
      <c r="M200" s="415"/>
      <c r="N200" s="422" t="str">
        <f t="shared" si="83"/>
        <v/>
      </c>
      <c r="O200" s="422" t="str">
        <f t="shared" si="84"/>
        <v/>
      </c>
      <c r="P200" s="422" t="str">
        <f t="shared" si="85"/>
        <v/>
      </c>
      <c r="Q200" s="422" t="str">
        <f t="shared" si="86"/>
        <v/>
      </c>
      <c r="R200" s="422" t="str">
        <f t="shared" si="87"/>
        <v/>
      </c>
      <c r="S200" s="583">
        <v>310500</v>
      </c>
      <c r="T200" s="377" t="str">
        <f>+IFERROR(VLOOKUP(S200,STAT1!$C$4:$D$189,2,FALSE),"")</f>
        <v>НӨАТ өглөг</v>
      </c>
      <c r="U200" s="424"/>
      <c r="V200" s="424">
        <v>25200</v>
      </c>
      <c r="W200" s="822">
        <v>3109</v>
      </c>
      <c r="X200" s="436" t="str">
        <f>IFERROR(VLOOKUP(W200,DATA!$G$4:$H$400,2,FALSE),"")</f>
        <v xml:space="preserve">СИЛК РӨҮТ ТЕКСТИЛЬ ХХК </v>
      </c>
      <c r="Y200" s="328"/>
      <c r="Z200" s="328"/>
      <c r="AA200" s="328"/>
    </row>
    <row r="201" spans="1:27" ht="12.75" customHeight="1">
      <c r="A201" s="425"/>
      <c r="B201" s="368">
        <f t="shared" si="93"/>
        <v>196</v>
      </c>
      <c r="C201" s="425">
        <v>43215</v>
      </c>
      <c r="D201" s="830"/>
      <c r="E201" s="876" t="str">
        <f t="shared" ca="1" si="94"/>
        <v/>
      </c>
      <c r="F201" s="426" t="str">
        <f t="shared" ca="1" si="82"/>
        <v/>
      </c>
      <c r="G201" s="415"/>
      <c r="H201" s="415"/>
      <c r="I201" s="415" t="str">
        <f t="shared" si="74"/>
        <v/>
      </c>
      <c r="J201" s="415" t="str">
        <f t="shared" si="75"/>
        <v/>
      </c>
      <c r="K201" s="415" t="str">
        <f t="shared" si="76"/>
        <v/>
      </c>
      <c r="L201" s="415"/>
      <c r="M201" s="415"/>
      <c r="N201" s="422" t="str">
        <f t="shared" si="83"/>
        <v/>
      </c>
      <c r="O201" s="422" t="str">
        <f t="shared" si="84"/>
        <v/>
      </c>
      <c r="P201" s="422" t="str">
        <f t="shared" si="85"/>
        <v/>
      </c>
      <c r="Q201" s="422" t="str">
        <f t="shared" si="86"/>
        <v/>
      </c>
      <c r="R201" s="422" t="str">
        <f t="shared" si="87"/>
        <v/>
      </c>
      <c r="S201" s="583">
        <v>510000</v>
      </c>
      <c r="T201" s="377" t="str">
        <f>+IFERROR(VLOOKUP(S201,STAT1!$C$4:$D$189,2,FALSE),"")</f>
        <v>Үндсэн үйл ажиллагааны борлуулалт</v>
      </c>
      <c r="U201" s="424"/>
      <c r="V201" s="424">
        <v>252000</v>
      </c>
      <c r="W201" s="822">
        <v>3109</v>
      </c>
      <c r="X201" s="436" t="str">
        <f>IFERROR(VLOOKUP(W201,DATA!$G$4:$H$400,2,FALSE),"")</f>
        <v xml:space="preserve">СИЛК РӨҮТ ТЕКСТИЛЬ ХХК </v>
      </c>
      <c r="Y201" s="328"/>
      <c r="Z201" s="328"/>
      <c r="AA201" s="328"/>
    </row>
    <row r="202" spans="1:27" ht="12.75" customHeight="1">
      <c r="A202" s="425"/>
      <c r="B202" s="368">
        <f t="shared" si="93"/>
        <v>197</v>
      </c>
      <c r="C202" s="425">
        <v>43215</v>
      </c>
      <c r="D202" s="830"/>
      <c r="E202" s="876" t="str">
        <f t="shared" ca="1" si="94"/>
        <v/>
      </c>
      <c r="F202" s="426" t="str">
        <f t="shared" ca="1" si="82"/>
        <v/>
      </c>
      <c r="G202" s="415"/>
      <c r="H202" s="415"/>
      <c r="I202" s="415" t="str">
        <f t="shared" si="74"/>
        <v/>
      </c>
      <c r="J202" s="415" t="str">
        <f t="shared" si="75"/>
        <v/>
      </c>
      <c r="K202" s="415" t="str">
        <f t="shared" si="76"/>
        <v/>
      </c>
      <c r="L202" s="415"/>
      <c r="M202" s="415"/>
      <c r="N202" s="422" t="str">
        <f t="shared" si="83"/>
        <v/>
      </c>
      <c r="O202" s="422" t="str">
        <f t="shared" si="84"/>
        <v/>
      </c>
      <c r="P202" s="422" t="str">
        <f t="shared" si="85"/>
        <v/>
      </c>
      <c r="Q202" s="422" t="str">
        <f t="shared" si="86"/>
        <v/>
      </c>
      <c r="R202" s="422" t="str">
        <f t="shared" si="87"/>
        <v/>
      </c>
      <c r="S202" s="583">
        <v>320100</v>
      </c>
      <c r="T202" s="377" t="str">
        <f>+IFERROR(VLOOKUP(S202,STAT1!$C$4:$D$189,2,FALSE),"")</f>
        <v>Урьдчилж орсон орлого MNT</v>
      </c>
      <c r="U202" s="415">
        <v>277200</v>
      </c>
      <c r="V202" s="415"/>
      <c r="W202" s="822">
        <v>3109</v>
      </c>
      <c r="X202" s="436" t="str">
        <f>IFERROR(VLOOKUP(W202,DATA!$G$4:$H$400,2,FALSE),"")</f>
        <v xml:space="preserve">СИЛК РӨҮТ ТЕКСТИЛЬ ХХК </v>
      </c>
      <c r="Y202" s="328"/>
      <c r="Z202" s="328"/>
      <c r="AA202" s="328"/>
    </row>
    <row r="203" spans="1:27" ht="12.75" customHeight="1">
      <c r="A203" s="425"/>
      <c r="B203" s="368">
        <f t="shared" si="93"/>
        <v>198</v>
      </c>
      <c r="C203" s="425">
        <v>43215</v>
      </c>
      <c r="D203" s="830">
        <v>211504</v>
      </c>
      <c r="E203" s="876" t="str">
        <f t="shared" ca="1" si="94"/>
        <v xml:space="preserve">Н-Евровагонка /зузаан-1.2см/-яртай </v>
      </c>
      <c r="F203" s="426" t="str">
        <f t="shared" ca="1" si="82"/>
        <v>м2</v>
      </c>
      <c r="G203" s="415"/>
      <c r="H203" s="415"/>
      <c r="I203" s="415" t="str">
        <f t="shared" si="74"/>
        <v/>
      </c>
      <c r="J203" s="415" t="str">
        <f t="shared" si="75"/>
        <v/>
      </c>
      <c r="K203" s="415" t="str">
        <f t="shared" si="76"/>
        <v/>
      </c>
      <c r="L203" s="415">
        <v>45.77</v>
      </c>
      <c r="M203" s="415">
        <v>18001.072499999998</v>
      </c>
      <c r="N203" s="422">
        <f t="shared" si="83"/>
        <v>823909.08832500002</v>
      </c>
      <c r="O203" s="422">
        <f t="shared" si="84"/>
        <v>82390.908832500005</v>
      </c>
      <c r="P203" s="422">
        <f t="shared" si="85"/>
        <v>906299.99715750001</v>
      </c>
      <c r="Q203" s="422">
        <f t="shared" ca="1" si="86"/>
        <v>11896.785561853305</v>
      </c>
      <c r="R203" s="422">
        <f t="shared" ca="1" si="87"/>
        <v>544515.87516602583</v>
      </c>
      <c r="S203" s="583">
        <f>+IF(LEFT(D203,3)="131",140100,0)+IF(LEFT(D203,3)="310",150100,0)+IF(LEFT(D203,3)="211",150101,0)+IF(LEFT(D203,3)="410",160100,0)+IF(LEFT(D203,3)="440",160200,0)+IF(LEFT(D203,3)="430",160200,0)+IF(LEFT(D203,3)="420",160200,0)+IF(LEFT(D203,3)="460",160201,0)+IF(LEFT(D203,3)="210",150101,0)+IF(LEFT(D203,3)="510",140100,0)</f>
        <v>150101</v>
      </c>
      <c r="T203" s="377" t="str">
        <f>+IFERROR(VLOOKUP(S203,STAT1!$C$4:$D$189,2,FALSE),"")</f>
        <v>Бараа бэлэн бүтээгдэхүүн БОЛОВСРУУЛАХ ЦЕХ /нарс/</v>
      </c>
      <c r="U203" s="424"/>
      <c r="V203" s="424">
        <v>544515.87516602583</v>
      </c>
      <c r="W203" s="822">
        <v>3125</v>
      </c>
      <c r="X203" s="436" t="str">
        <f>IFERROR(VLOOKUP(W203,DATA!$G$4:$H$400,2,FALSE),"")</f>
        <v xml:space="preserve">ХАНИР ТЭНГЭР ХХК </v>
      </c>
      <c r="Y203" s="328"/>
      <c r="Z203" s="328"/>
      <c r="AA203" s="328"/>
    </row>
    <row r="204" spans="1:27" ht="12.75" customHeight="1">
      <c r="A204" s="425"/>
      <c r="B204" s="368">
        <f t="shared" si="93"/>
        <v>199</v>
      </c>
      <c r="C204" s="425">
        <v>43215</v>
      </c>
      <c r="D204" s="830"/>
      <c r="E204" s="876" t="str">
        <f t="shared" ca="1" si="94"/>
        <v/>
      </c>
      <c r="F204" s="426" t="str">
        <f t="shared" ca="1" si="82"/>
        <v/>
      </c>
      <c r="G204" s="415"/>
      <c r="H204" s="415"/>
      <c r="I204" s="415" t="str">
        <f t="shared" si="74"/>
        <v/>
      </c>
      <c r="J204" s="415" t="str">
        <f t="shared" si="75"/>
        <v/>
      </c>
      <c r="K204" s="415" t="str">
        <f t="shared" si="76"/>
        <v/>
      </c>
      <c r="L204" s="415"/>
      <c r="M204" s="415"/>
      <c r="N204" s="422" t="str">
        <f t="shared" si="83"/>
        <v/>
      </c>
      <c r="O204" s="422" t="str">
        <f t="shared" si="84"/>
        <v/>
      </c>
      <c r="P204" s="422" t="str">
        <f t="shared" si="85"/>
        <v/>
      </c>
      <c r="Q204" s="422" t="str">
        <f t="shared" si="86"/>
        <v/>
      </c>
      <c r="R204" s="422" t="str">
        <f t="shared" si="87"/>
        <v/>
      </c>
      <c r="S204" s="583">
        <v>610100</v>
      </c>
      <c r="T204" s="377" t="str">
        <f>+IFERROR(VLOOKUP(S204,STAT1!$C$4:$D$189,2,FALSE),"")</f>
        <v>Борлуулсан барааны өртөг</v>
      </c>
      <c r="U204" s="424">
        <v>544515.87516602583</v>
      </c>
      <c r="V204" s="424"/>
      <c r="W204" s="822">
        <v>3125</v>
      </c>
      <c r="X204" s="436" t="str">
        <f>IFERROR(VLOOKUP(W204,DATA!$G$4:$H$400,2,FALSE),"")</f>
        <v xml:space="preserve">ХАНИР ТЭНГЭР ХХК </v>
      </c>
      <c r="Y204" s="328"/>
      <c r="Z204" s="328"/>
      <c r="AA204" s="328"/>
    </row>
    <row r="205" spans="1:27" ht="12.75" customHeight="1">
      <c r="A205" s="425"/>
      <c r="B205" s="368">
        <f t="shared" si="93"/>
        <v>200</v>
      </c>
      <c r="C205" s="425">
        <v>43215</v>
      </c>
      <c r="D205" s="830"/>
      <c r="E205" s="876" t="str">
        <f t="shared" ca="1" si="94"/>
        <v/>
      </c>
      <c r="F205" s="426" t="str">
        <f t="shared" ca="1" si="82"/>
        <v/>
      </c>
      <c r="G205" s="415"/>
      <c r="H205" s="415"/>
      <c r="I205" s="415" t="str">
        <f t="shared" si="74"/>
        <v/>
      </c>
      <c r="J205" s="415" t="str">
        <f t="shared" si="75"/>
        <v/>
      </c>
      <c r="K205" s="415" t="str">
        <f t="shared" si="76"/>
        <v/>
      </c>
      <c r="L205" s="415"/>
      <c r="M205" s="415"/>
      <c r="N205" s="422" t="str">
        <f t="shared" si="83"/>
        <v/>
      </c>
      <c r="O205" s="422" t="str">
        <f t="shared" si="84"/>
        <v/>
      </c>
      <c r="P205" s="422" t="str">
        <f t="shared" si="85"/>
        <v/>
      </c>
      <c r="Q205" s="422" t="str">
        <f t="shared" si="86"/>
        <v/>
      </c>
      <c r="R205" s="422" t="str">
        <f t="shared" si="87"/>
        <v/>
      </c>
      <c r="S205" s="583">
        <v>310500</v>
      </c>
      <c r="T205" s="377" t="str">
        <f>+IFERROR(VLOOKUP(S205,STAT1!$C$4:$D$189,2,FALSE),"")</f>
        <v>НӨАТ өглөг</v>
      </c>
      <c r="U205" s="424"/>
      <c r="V205" s="424">
        <v>82390.908832500005</v>
      </c>
      <c r="W205" s="822">
        <v>3125</v>
      </c>
      <c r="X205" s="436" t="str">
        <f>IFERROR(VLOOKUP(W205,DATA!$G$4:$H$400,2,FALSE),"")</f>
        <v xml:space="preserve">ХАНИР ТЭНГЭР ХХК </v>
      </c>
      <c r="Y205" s="328"/>
      <c r="Z205" s="328"/>
      <c r="AA205" s="328"/>
    </row>
    <row r="206" spans="1:27" ht="12.75" customHeight="1">
      <c r="A206" s="425"/>
      <c r="B206" s="368">
        <f t="shared" si="93"/>
        <v>201</v>
      </c>
      <c r="C206" s="425">
        <v>43215</v>
      </c>
      <c r="D206" s="830"/>
      <c r="E206" s="876" t="str">
        <f t="shared" ca="1" si="94"/>
        <v/>
      </c>
      <c r="F206" s="426" t="str">
        <f t="shared" ca="1" si="82"/>
        <v/>
      </c>
      <c r="G206" s="415"/>
      <c r="H206" s="415"/>
      <c r="I206" s="415" t="str">
        <f t="shared" si="74"/>
        <v/>
      </c>
      <c r="J206" s="415" t="str">
        <f t="shared" si="75"/>
        <v/>
      </c>
      <c r="K206" s="415" t="str">
        <f t="shared" si="76"/>
        <v/>
      </c>
      <c r="L206" s="415"/>
      <c r="M206" s="415"/>
      <c r="N206" s="422" t="str">
        <f t="shared" si="83"/>
        <v/>
      </c>
      <c r="O206" s="422" t="str">
        <f t="shared" si="84"/>
        <v/>
      </c>
      <c r="P206" s="422" t="str">
        <f t="shared" si="85"/>
        <v/>
      </c>
      <c r="Q206" s="422" t="str">
        <f t="shared" si="86"/>
        <v/>
      </c>
      <c r="R206" s="422" t="str">
        <f t="shared" si="87"/>
        <v/>
      </c>
      <c r="S206" s="583">
        <v>510000</v>
      </c>
      <c r="T206" s="377" t="str">
        <f>+IFERROR(VLOOKUP(S206,STAT1!$C$4:$D$189,2,FALSE),"")</f>
        <v>Үндсэн үйл ажиллагааны борлуулалт</v>
      </c>
      <c r="U206" s="424"/>
      <c r="V206" s="424">
        <v>823909.08832500002</v>
      </c>
      <c r="W206" s="822">
        <v>3125</v>
      </c>
      <c r="X206" s="436" t="str">
        <f>IFERROR(VLOOKUP(W206,DATA!$G$4:$H$400,2,FALSE),"")</f>
        <v xml:space="preserve">ХАНИР ТЭНГЭР ХХК </v>
      </c>
      <c r="Y206" s="328"/>
      <c r="Z206" s="328"/>
      <c r="AA206" s="328"/>
    </row>
    <row r="207" spans="1:27" ht="12.75" customHeight="1">
      <c r="A207" s="425"/>
      <c r="B207" s="368">
        <f t="shared" si="93"/>
        <v>202</v>
      </c>
      <c r="C207" s="425">
        <v>43215</v>
      </c>
      <c r="D207" s="830"/>
      <c r="E207" s="876" t="str">
        <f t="shared" ca="1" si="94"/>
        <v/>
      </c>
      <c r="F207" s="426" t="str">
        <f t="shared" ca="1" si="82"/>
        <v/>
      </c>
      <c r="G207" s="415"/>
      <c r="H207" s="415"/>
      <c r="I207" s="415" t="str">
        <f t="shared" si="74"/>
        <v/>
      </c>
      <c r="J207" s="415" t="str">
        <f t="shared" si="75"/>
        <v/>
      </c>
      <c r="K207" s="415" t="str">
        <f t="shared" si="76"/>
        <v/>
      </c>
      <c r="L207" s="415"/>
      <c r="M207" s="415"/>
      <c r="N207" s="422" t="str">
        <f t="shared" si="83"/>
        <v/>
      </c>
      <c r="O207" s="422" t="str">
        <f t="shared" si="84"/>
        <v/>
      </c>
      <c r="P207" s="422" t="str">
        <f t="shared" si="85"/>
        <v/>
      </c>
      <c r="Q207" s="422" t="str">
        <f t="shared" si="86"/>
        <v/>
      </c>
      <c r="R207" s="422" t="str">
        <f t="shared" si="87"/>
        <v/>
      </c>
      <c r="S207" s="583">
        <v>320100</v>
      </c>
      <c r="T207" s="377" t="str">
        <f>+IFERROR(VLOOKUP(S207,STAT1!$C$4:$D$189,2,FALSE),"")</f>
        <v>Урьдчилж орсон орлого MNT</v>
      </c>
      <c r="U207" s="415">
        <v>906299.99715750001</v>
      </c>
      <c r="V207" s="415"/>
      <c r="W207" s="822">
        <v>3125</v>
      </c>
      <c r="X207" s="436" t="str">
        <f>IFERROR(VLOOKUP(W207,DATA!$G$4:$H$400,2,FALSE),"")</f>
        <v xml:space="preserve">ХАНИР ТЭНГЭР ХХК </v>
      </c>
      <c r="Y207" s="328"/>
      <c r="Z207" s="328"/>
      <c r="AA207" s="328"/>
    </row>
    <row r="208" spans="1:27" ht="12.75" customHeight="1">
      <c r="A208" s="425"/>
      <c r="B208" s="368">
        <f t="shared" si="93"/>
        <v>203</v>
      </c>
      <c r="C208" s="425">
        <v>43220</v>
      </c>
      <c r="D208" s="830">
        <v>211717</v>
      </c>
      <c r="E208" s="876" t="str">
        <f t="shared" ca="1" si="94"/>
        <v>Н-Хавтан/зузаан-4см/-яртай</v>
      </c>
      <c r="F208" s="426" t="str">
        <f t="shared" ca="1" si="82"/>
        <v>м2</v>
      </c>
      <c r="G208" s="415"/>
      <c r="H208" s="415"/>
      <c r="I208" s="415" t="str">
        <f t="shared" si="74"/>
        <v/>
      </c>
      <c r="J208" s="415" t="str">
        <f t="shared" si="75"/>
        <v/>
      </c>
      <c r="K208" s="415" t="str">
        <f t="shared" si="76"/>
        <v/>
      </c>
      <c r="L208" s="415">
        <v>5.9089999999999998</v>
      </c>
      <c r="M208" s="415">
        <v>50000.77</v>
      </c>
      <c r="N208" s="422">
        <f t="shared" si="83"/>
        <v>295454.54992999998</v>
      </c>
      <c r="O208" s="422">
        <f t="shared" si="84"/>
        <v>29545.454992999999</v>
      </c>
      <c r="P208" s="422">
        <f t="shared" si="85"/>
        <v>325000.004923</v>
      </c>
      <c r="Q208" s="422">
        <f t="shared" ca="1" si="86"/>
        <v>50424.29734124463</v>
      </c>
      <c r="R208" s="422">
        <f t="shared" ca="1" si="87"/>
        <v>297957.17298941448</v>
      </c>
      <c r="S208" s="583">
        <f>+IF(LEFT(D208,3)="131",140100,0)+IF(LEFT(D208,3)="310",150100,0)+IF(LEFT(D208,3)="211",150101,0)+IF(LEFT(D208,3)="410",160100,0)+IF(LEFT(D208,3)="440",160200,0)+IF(LEFT(D208,3)="430",160200,0)+IF(LEFT(D208,3)="420",160200,0)+IF(LEFT(D208,3)="460",160201,0)+IF(LEFT(D208,3)="210",150101,0)+IF(LEFT(D208,3)="510",140100,0)</f>
        <v>150101</v>
      </c>
      <c r="T208" s="377" t="str">
        <f>+IFERROR(VLOOKUP(S208,STAT1!$C$4:$D$189,2,FALSE),"")</f>
        <v>Бараа бэлэн бүтээгдэхүүн БОЛОВСРУУЛАХ ЦЕХ /нарс/</v>
      </c>
      <c r="U208" s="424"/>
      <c r="V208" s="424">
        <v>297957.17298941448</v>
      </c>
      <c r="W208" s="822">
        <v>3039</v>
      </c>
      <c r="X208" s="436" t="str">
        <f>IFERROR(VLOOKUP(W208,DATA!$G$4:$H$400,2,FALSE),"")</f>
        <v xml:space="preserve">САССИР ХХК </v>
      </c>
      <c r="Y208" s="328"/>
      <c r="Z208" s="328"/>
      <c r="AA208" s="328"/>
    </row>
    <row r="209" spans="1:27" ht="12.75" customHeight="1">
      <c r="A209" s="425"/>
      <c r="B209" s="368">
        <f t="shared" si="93"/>
        <v>204</v>
      </c>
      <c r="C209" s="425">
        <v>43220</v>
      </c>
      <c r="D209" s="830"/>
      <c r="E209" s="876" t="str">
        <f t="shared" ca="1" si="94"/>
        <v/>
      </c>
      <c r="F209" s="426" t="str">
        <f t="shared" ca="1" si="82"/>
        <v/>
      </c>
      <c r="G209" s="415"/>
      <c r="H209" s="415"/>
      <c r="I209" s="415" t="str">
        <f t="shared" si="74"/>
        <v/>
      </c>
      <c r="J209" s="415" t="str">
        <f t="shared" si="75"/>
        <v/>
      </c>
      <c r="K209" s="415" t="str">
        <f t="shared" si="76"/>
        <v/>
      </c>
      <c r="L209" s="415"/>
      <c r="M209" s="415"/>
      <c r="N209" s="422" t="str">
        <f t="shared" si="83"/>
        <v/>
      </c>
      <c r="O209" s="422" t="str">
        <f t="shared" si="84"/>
        <v/>
      </c>
      <c r="P209" s="422" t="str">
        <f t="shared" si="85"/>
        <v/>
      </c>
      <c r="Q209" s="422" t="str">
        <f t="shared" si="86"/>
        <v/>
      </c>
      <c r="R209" s="422" t="str">
        <f t="shared" si="87"/>
        <v/>
      </c>
      <c r="S209" s="583">
        <v>610100</v>
      </c>
      <c r="T209" s="377" t="str">
        <f>+IFERROR(VLOOKUP(S209,STAT1!$C$4:$D$189,2,FALSE),"")</f>
        <v>Борлуулсан барааны өртөг</v>
      </c>
      <c r="U209" s="424">
        <v>297957.17298941448</v>
      </c>
      <c r="V209" s="424"/>
      <c r="W209" s="822">
        <v>3039</v>
      </c>
      <c r="X209" s="436" t="str">
        <f>IFERROR(VLOOKUP(W209,DATA!$G$4:$H$400,2,FALSE),"")</f>
        <v xml:space="preserve">САССИР ХХК </v>
      </c>
      <c r="Y209" s="328"/>
      <c r="Z209" s="328"/>
      <c r="AA209" s="328"/>
    </row>
    <row r="210" spans="1:27" ht="12.75" customHeight="1">
      <c r="A210" s="425"/>
      <c r="B210" s="368">
        <f t="shared" si="93"/>
        <v>205</v>
      </c>
      <c r="C210" s="425">
        <v>43220</v>
      </c>
      <c r="D210" s="830"/>
      <c r="E210" s="876" t="str">
        <f t="shared" ca="1" si="94"/>
        <v/>
      </c>
      <c r="F210" s="426" t="str">
        <f t="shared" ca="1" si="82"/>
        <v/>
      </c>
      <c r="G210" s="415"/>
      <c r="H210" s="415"/>
      <c r="I210" s="415" t="str">
        <f t="shared" si="74"/>
        <v/>
      </c>
      <c r="J210" s="415" t="str">
        <f t="shared" si="75"/>
        <v/>
      </c>
      <c r="K210" s="415" t="str">
        <f t="shared" si="76"/>
        <v/>
      </c>
      <c r="L210" s="415"/>
      <c r="M210" s="415"/>
      <c r="N210" s="422" t="str">
        <f t="shared" si="83"/>
        <v/>
      </c>
      <c r="O210" s="422" t="str">
        <f t="shared" si="84"/>
        <v/>
      </c>
      <c r="P210" s="422" t="str">
        <f t="shared" si="85"/>
        <v/>
      </c>
      <c r="Q210" s="422" t="str">
        <f t="shared" si="86"/>
        <v/>
      </c>
      <c r="R210" s="422" t="str">
        <f t="shared" si="87"/>
        <v/>
      </c>
      <c r="S210" s="583">
        <v>310500</v>
      </c>
      <c r="T210" s="377" t="str">
        <f>+IFERROR(VLOOKUP(S210,STAT1!$C$4:$D$189,2,FALSE),"")</f>
        <v>НӨАТ өглөг</v>
      </c>
      <c r="U210" s="424"/>
      <c r="V210" s="424">
        <v>29545.454992999999</v>
      </c>
      <c r="W210" s="822">
        <v>3039</v>
      </c>
      <c r="X210" s="436" t="str">
        <f>IFERROR(VLOOKUP(W210,DATA!$G$4:$H$400,2,FALSE),"")</f>
        <v xml:space="preserve">САССИР ХХК </v>
      </c>
      <c r="Y210" s="328"/>
      <c r="Z210" s="328"/>
      <c r="AA210" s="328"/>
    </row>
    <row r="211" spans="1:27" ht="12.75" customHeight="1">
      <c r="A211" s="425"/>
      <c r="B211" s="368">
        <f t="shared" si="93"/>
        <v>206</v>
      </c>
      <c r="C211" s="425">
        <v>43220</v>
      </c>
      <c r="D211" s="830"/>
      <c r="E211" s="876" t="str">
        <f t="shared" ca="1" si="94"/>
        <v/>
      </c>
      <c r="F211" s="426" t="str">
        <f t="shared" ca="1" si="82"/>
        <v/>
      </c>
      <c r="G211" s="415"/>
      <c r="H211" s="415"/>
      <c r="I211" s="415" t="str">
        <f t="shared" si="74"/>
        <v/>
      </c>
      <c r="J211" s="415" t="str">
        <f t="shared" si="75"/>
        <v/>
      </c>
      <c r="K211" s="415" t="str">
        <f t="shared" si="76"/>
        <v/>
      </c>
      <c r="L211" s="415"/>
      <c r="M211" s="415"/>
      <c r="N211" s="422" t="str">
        <f t="shared" si="83"/>
        <v/>
      </c>
      <c r="O211" s="422" t="str">
        <f t="shared" si="84"/>
        <v/>
      </c>
      <c r="P211" s="422" t="str">
        <f t="shared" si="85"/>
        <v/>
      </c>
      <c r="Q211" s="422" t="str">
        <f t="shared" si="86"/>
        <v/>
      </c>
      <c r="R211" s="422" t="str">
        <f t="shared" si="87"/>
        <v/>
      </c>
      <c r="S211" s="583">
        <v>510000</v>
      </c>
      <c r="T211" s="377" t="str">
        <f>+IFERROR(VLOOKUP(S211,STAT1!$C$4:$D$189,2,FALSE),"")</f>
        <v>Үндсэн үйл ажиллагааны борлуулалт</v>
      </c>
      <c r="U211" s="424"/>
      <c r="V211" s="424">
        <v>295454.54992999998</v>
      </c>
      <c r="W211" s="822">
        <v>3039</v>
      </c>
      <c r="X211" s="436" t="str">
        <f>IFERROR(VLOOKUP(W211,DATA!$G$4:$H$400,2,FALSE),"")</f>
        <v xml:space="preserve">САССИР ХХК </v>
      </c>
      <c r="Y211" s="328"/>
      <c r="Z211" s="328"/>
      <c r="AA211" s="328"/>
    </row>
    <row r="212" spans="1:27" ht="12.75" customHeight="1">
      <c r="A212" s="425"/>
      <c r="B212" s="368">
        <f t="shared" si="93"/>
        <v>207</v>
      </c>
      <c r="C212" s="425">
        <v>43220</v>
      </c>
      <c r="D212" s="830"/>
      <c r="E212" s="876" t="str">
        <f t="shared" ca="1" si="94"/>
        <v/>
      </c>
      <c r="F212" s="426" t="str">
        <f t="shared" ca="1" si="82"/>
        <v/>
      </c>
      <c r="G212" s="415"/>
      <c r="H212" s="415"/>
      <c r="I212" s="415" t="str">
        <f t="shared" si="74"/>
        <v/>
      </c>
      <c r="J212" s="415" t="str">
        <f t="shared" si="75"/>
        <v/>
      </c>
      <c r="K212" s="415" t="str">
        <f t="shared" si="76"/>
        <v/>
      </c>
      <c r="L212" s="415"/>
      <c r="M212" s="415"/>
      <c r="N212" s="422" t="str">
        <f t="shared" si="83"/>
        <v/>
      </c>
      <c r="O212" s="422" t="str">
        <f t="shared" si="84"/>
        <v/>
      </c>
      <c r="P212" s="422" t="str">
        <f t="shared" si="85"/>
        <v/>
      </c>
      <c r="Q212" s="422" t="str">
        <f t="shared" si="86"/>
        <v/>
      </c>
      <c r="R212" s="422" t="str">
        <f t="shared" si="87"/>
        <v/>
      </c>
      <c r="S212" s="583">
        <v>320100</v>
      </c>
      <c r="T212" s="377" t="str">
        <f>+IFERROR(VLOOKUP(S212,STAT1!$C$4:$D$189,2,FALSE),"")</f>
        <v>Урьдчилж орсон орлого MNT</v>
      </c>
      <c r="U212" s="415">
        <v>325000.004923</v>
      </c>
      <c r="V212" s="415"/>
      <c r="W212" s="822">
        <v>3039</v>
      </c>
      <c r="X212" s="436" t="str">
        <f>IFERROR(VLOOKUP(W212,DATA!$G$4:$H$400,2,FALSE),"")</f>
        <v xml:space="preserve">САССИР ХХК </v>
      </c>
      <c r="Y212" s="328"/>
      <c r="Z212" s="328"/>
      <c r="AA212" s="328"/>
    </row>
    <row r="213" spans="1:27" ht="12.75" customHeight="1">
      <c r="A213" s="425"/>
      <c r="B213" s="368">
        <f t="shared" si="93"/>
        <v>208</v>
      </c>
      <c r="C213" s="425">
        <v>43220</v>
      </c>
      <c r="D213" s="830">
        <v>211713</v>
      </c>
      <c r="E213" s="876" t="str">
        <f t="shared" ca="1" si="94"/>
        <v>Н-Хавтан /зузаан-2см/</v>
      </c>
      <c r="F213" s="426" t="str">
        <f t="shared" ca="1" si="82"/>
        <v>м2</v>
      </c>
      <c r="G213" s="415"/>
      <c r="H213" s="415"/>
      <c r="I213" s="415" t="str">
        <f t="shared" si="74"/>
        <v/>
      </c>
      <c r="J213" s="415" t="str">
        <f t="shared" si="75"/>
        <v/>
      </c>
      <c r="K213" s="415" t="str">
        <f t="shared" si="76"/>
        <v/>
      </c>
      <c r="L213" s="415">
        <v>93</v>
      </c>
      <c r="M213" s="415">
        <v>30000</v>
      </c>
      <c r="N213" s="422">
        <f t="shared" si="83"/>
        <v>2790000</v>
      </c>
      <c r="O213" s="422">
        <f t="shared" si="84"/>
        <v>279000</v>
      </c>
      <c r="P213" s="422">
        <f t="shared" si="85"/>
        <v>3069000</v>
      </c>
      <c r="Q213" s="422">
        <f t="shared" ca="1" si="86"/>
        <v>24820.285936271332</v>
      </c>
      <c r="R213" s="422">
        <f t="shared" ca="1" si="87"/>
        <v>2308286.5920732338</v>
      </c>
      <c r="S213" s="583">
        <f>+IF(LEFT(D213,3)="131",140100,0)+IF(LEFT(D213,3)="310",150100,0)+IF(LEFT(D213,3)="211",150101,0)+IF(LEFT(D213,3)="410",160100,0)+IF(LEFT(D213,3)="440",160200,0)+IF(LEFT(D213,3)="430",160200,0)+IF(LEFT(D213,3)="420",160200,0)+IF(LEFT(D213,3)="460",160201,0)+IF(LEFT(D213,3)="210",150101,0)+IF(LEFT(D213,3)="510",140100,0)</f>
        <v>150101</v>
      </c>
      <c r="T213" s="377" t="str">
        <f>+IFERROR(VLOOKUP(S213,STAT1!$C$4:$D$189,2,FALSE),"")</f>
        <v>Бараа бэлэн бүтээгдэхүүн БОЛОВСРУУЛАХ ЦЕХ /нарс/</v>
      </c>
      <c r="U213" s="424"/>
      <c r="V213" s="424">
        <v>2308286.5920732338</v>
      </c>
      <c r="W213" s="822">
        <v>3126</v>
      </c>
      <c r="X213" s="436" t="str">
        <f>IFERROR(VLOOKUP(W213,DATA!$G$4:$H$400,2,FALSE),"")</f>
        <v>МАТРИКС</v>
      </c>
      <c r="Y213" s="328"/>
      <c r="Z213" s="328"/>
      <c r="AA213" s="328"/>
    </row>
    <row r="214" spans="1:27" ht="12.75" customHeight="1">
      <c r="A214" s="425"/>
      <c r="B214" s="368">
        <f>+IF(C214="","",ROW()-5)</f>
        <v>209</v>
      </c>
      <c r="C214" s="425">
        <v>43220</v>
      </c>
      <c r="D214" s="830">
        <v>211801</v>
      </c>
      <c r="E214" s="876" t="str">
        <f ca="1">+IFERROR(VLOOKUP(D214,TN_table,2,FALSE),"")</f>
        <v>Н-Ембүү /20*30мм/</v>
      </c>
      <c r="F214" s="426" t="str">
        <f ca="1">+IFERROR(VLOOKUP(D214,TN_table,3,FALSE),"")</f>
        <v>м</v>
      </c>
      <c r="G214" s="415"/>
      <c r="H214" s="415"/>
      <c r="I214" s="415" t="str">
        <f t="shared" si="74"/>
        <v/>
      </c>
      <c r="J214" s="415" t="str">
        <f t="shared" si="75"/>
        <v/>
      </c>
      <c r="K214" s="415" t="str">
        <f t="shared" si="76"/>
        <v/>
      </c>
      <c r="L214" s="415">
        <v>383.32</v>
      </c>
      <c r="M214" s="415">
        <v>1500</v>
      </c>
      <c r="N214" s="422">
        <f>+IF(L214="","",L214*M214)</f>
        <v>574980</v>
      </c>
      <c r="O214" s="422">
        <f>+IF(L214="","",N214*0.1)</f>
        <v>57498</v>
      </c>
      <c r="P214" s="422">
        <f>+IF(L214="","",N214+O214)</f>
        <v>632478</v>
      </c>
      <c r="Q214" s="422">
        <f ca="1">IF(L214="","",IFERROR((SUMIFS(TN_balC1_totol,TN_code,D214)+SUMIFS(RC_or_totol,RC_Code,D214,RC_date,"&lt;="&amp;C214)-SUMIFS(RC_zar_totol,RC_Code,D214,RC_date,"&lt;"&amp;C214)) /( SUMIFS(TN_balC1_unit,TN_code,D214)+SUMIFS(RC_or_unit,RC_Code,D214,RC_date,"&lt;="&amp;C214)-SUMIFS(RC_zar_unit,RC_Code,D214,RC_date,"&lt;"&amp;C214)),0 ))</f>
        <v>768.80288972169444</v>
      </c>
      <c r="R214" s="422">
        <f ca="1">+IF(L214="","",L214*Q214)</f>
        <v>294697.52368811989</v>
      </c>
      <c r="S214" s="583">
        <f>+IF(LEFT(D214,3)="131",140100,0)+IF(LEFT(D214,3)="310",150100,0)+IF(LEFT(D214,3)="211",150101,0)+IF(LEFT(D214,3)="410",160100,0)+IF(LEFT(D214,3)="440",160200,0)+IF(LEFT(D214,3)="430",160200,0)+IF(LEFT(D214,3)="420",160200,0)+IF(LEFT(D214,3)="460",160201,0)+IF(LEFT(D214,3)="210",150101,0)+IF(LEFT(D214,3)="510",140100,0)</f>
        <v>150101</v>
      </c>
      <c r="T214" s="377" t="str">
        <f>+IFERROR(VLOOKUP(S214,STAT1!$C$4:$D$189,2,FALSE),"")</f>
        <v>Бараа бэлэн бүтээгдэхүүн БОЛОВСРУУЛАХ ЦЕХ /нарс/</v>
      </c>
      <c r="U214" s="424"/>
      <c r="V214" s="424">
        <v>294697.52368811989</v>
      </c>
      <c r="W214" s="822">
        <v>3126</v>
      </c>
      <c r="X214" s="436" t="str">
        <f>IFERROR(VLOOKUP(W214,DATA!$G$4:$H$400,2,FALSE),"")</f>
        <v>МАТРИКС</v>
      </c>
      <c r="Y214" s="328"/>
      <c r="Z214" s="328"/>
      <c r="AA214" s="328"/>
    </row>
    <row r="215" spans="1:27" ht="12.75" customHeight="1">
      <c r="A215" s="425"/>
      <c r="B215" s="368">
        <f t="shared" si="93"/>
        <v>210</v>
      </c>
      <c r="C215" s="425">
        <v>43220</v>
      </c>
      <c r="D215" s="830"/>
      <c r="E215" s="876" t="str">
        <f t="shared" ca="1" si="94"/>
        <v/>
      </c>
      <c r="F215" s="426" t="str">
        <f t="shared" ca="1" si="82"/>
        <v/>
      </c>
      <c r="G215" s="415"/>
      <c r="H215" s="415"/>
      <c r="I215" s="415" t="str">
        <f t="shared" si="74"/>
        <v/>
      </c>
      <c r="J215" s="415" t="str">
        <f t="shared" si="75"/>
        <v/>
      </c>
      <c r="K215" s="415" t="str">
        <f t="shared" si="76"/>
        <v/>
      </c>
      <c r="L215" s="415"/>
      <c r="M215" s="415"/>
      <c r="N215" s="422" t="str">
        <f t="shared" si="83"/>
        <v/>
      </c>
      <c r="O215" s="422" t="str">
        <f t="shared" si="84"/>
        <v/>
      </c>
      <c r="P215" s="422" t="str">
        <f t="shared" si="85"/>
        <v/>
      </c>
      <c r="Q215" s="422" t="str">
        <f t="shared" si="86"/>
        <v/>
      </c>
      <c r="R215" s="422" t="str">
        <f t="shared" si="87"/>
        <v/>
      </c>
      <c r="S215" s="583">
        <v>610100</v>
      </c>
      <c r="T215" s="377" t="str">
        <f>+IFERROR(VLOOKUP(S215,STAT1!$C$4:$D$189,2,FALSE),"")</f>
        <v>Борлуулсан барааны өртөг</v>
      </c>
      <c r="U215" s="424">
        <v>2602984.1157613536</v>
      </c>
      <c r="V215" s="424"/>
      <c r="W215" s="822">
        <v>3126</v>
      </c>
      <c r="X215" s="436" t="str">
        <f>IFERROR(VLOOKUP(W215,DATA!$G$4:$H$400,2,FALSE),"")</f>
        <v>МАТРИКС</v>
      </c>
      <c r="Y215" s="328"/>
      <c r="Z215" s="328"/>
      <c r="AA215" s="328"/>
    </row>
    <row r="216" spans="1:27" ht="13.5" customHeight="1">
      <c r="A216" s="425"/>
      <c r="B216" s="368">
        <f t="shared" si="93"/>
        <v>211</v>
      </c>
      <c r="C216" s="425">
        <v>43220</v>
      </c>
      <c r="D216" s="830"/>
      <c r="E216" s="876" t="str">
        <f t="shared" ca="1" si="94"/>
        <v/>
      </c>
      <c r="F216" s="426" t="str">
        <f t="shared" ca="1" si="82"/>
        <v/>
      </c>
      <c r="G216" s="415"/>
      <c r="H216" s="415"/>
      <c r="I216" s="415" t="str">
        <f t="shared" si="74"/>
        <v/>
      </c>
      <c r="J216" s="415" t="str">
        <f t="shared" si="75"/>
        <v/>
      </c>
      <c r="K216" s="415" t="str">
        <f t="shared" si="76"/>
        <v/>
      </c>
      <c r="L216" s="415"/>
      <c r="M216" s="415"/>
      <c r="N216" s="422" t="str">
        <f t="shared" si="83"/>
        <v/>
      </c>
      <c r="O216" s="422" t="str">
        <f t="shared" si="84"/>
        <v/>
      </c>
      <c r="P216" s="422" t="str">
        <f t="shared" si="85"/>
        <v/>
      </c>
      <c r="Q216" s="422" t="str">
        <f t="shared" si="86"/>
        <v/>
      </c>
      <c r="R216" s="422" t="str">
        <f t="shared" si="87"/>
        <v/>
      </c>
      <c r="S216" s="583">
        <v>310500</v>
      </c>
      <c r="T216" s="377" t="str">
        <f>+IFERROR(VLOOKUP(S216,STAT1!$C$4:$D$189,2,FALSE),"")</f>
        <v>НӨАТ өглөг</v>
      </c>
      <c r="U216" s="424"/>
      <c r="V216" s="424">
        <v>336498</v>
      </c>
      <c r="W216" s="822">
        <v>3126</v>
      </c>
      <c r="X216" s="436" t="str">
        <f>IFERROR(VLOOKUP(W216,DATA!$G$4:$H$400,2,FALSE),"")</f>
        <v>МАТРИКС</v>
      </c>
      <c r="Y216" s="328"/>
      <c r="Z216" s="328"/>
      <c r="AA216" s="328"/>
    </row>
    <row r="217" spans="1:27" ht="12.75" customHeight="1">
      <c r="A217" s="425"/>
      <c r="B217" s="368">
        <f t="shared" si="93"/>
        <v>212</v>
      </c>
      <c r="C217" s="425">
        <v>43220</v>
      </c>
      <c r="D217" s="830"/>
      <c r="E217" s="876" t="str">
        <f t="shared" ca="1" si="94"/>
        <v/>
      </c>
      <c r="F217" s="426" t="str">
        <f t="shared" ca="1" si="82"/>
        <v/>
      </c>
      <c r="G217" s="415"/>
      <c r="H217" s="415"/>
      <c r="I217" s="415" t="str">
        <f t="shared" si="74"/>
        <v/>
      </c>
      <c r="J217" s="415" t="str">
        <f t="shared" si="75"/>
        <v/>
      </c>
      <c r="K217" s="415" t="str">
        <f t="shared" si="76"/>
        <v/>
      </c>
      <c r="L217" s="415"/>
      <c r="M217" s="415"/>
      <c r="N217" s="422" t="str">
        <f t="shared" si="83"/>
        <v/>
      </c>
      <c r="O217" s="422" t="str">
        <f t="shared" si="84"/>
        <v/>
      </c>
      <c r="P217" s="422" t="str">
        <f t="shared" si="85"/>
        <v/>
      </c>
      <c r="Q217" s="422" t="str">
        <f t="shared" si="86"/>
        <v/>
      </c>
      <c r="R217" s="422" t="str">
        <f t="shared" si="87"/>
        <v/>
      </c>
      <c r="S217" s="583">
        <v>510000</v>
      </c>
      <c r="T217" s="377" t="str">
        <f>+IFERROR(VLOOKUP(S217,STAT1!$C$4:$D$189,2,FALSE),"")</f>
        <v>Үндсэн үйл ажиллагааны борлуулалт</v>
      </c>
      <c r="U217" s="424"/>
      <c r="V217" s="424">
        <v>3364980</v>
      </c>
      <c r="W217" s="822">
        <v>3126</v>
      </c>
      <c r="X217" s="436" t="str">
        <f>IFERROR(VLOOKUP(W217,DATA!$G$4:$H$400,2,FALSE),"")</f>
        <v>МАТРИКС</v>
      </c>
      <c r="Y217" s="328"/>
      <c r="Z217" s="328"/>
      <c r="AA217" s="328"/>
    </row>
    <row r="218" spans="1:27" ht="12.75" customHeight="1">
      <c r="A218" s="425"/>
      <c r="B218" s="368">
        <f t="shared" si="93"/>
        <v>213</v>
      </c>
      <c r="C218" s="425">
        <v>43220</v>
      </c>
      <c r="D218" s="830"/>
      <c r="E218" s="876" t="str">
        <f t="shared" ca="1" si="94"/>
        <v/>
      </c>
      <c r="F218" s="426" t="str">
        <f t="shared" ca="1" si="82"/>
        <v/>
      </c>
      <c r="G218" s="415"/>
      <c r="H218" s="415"/>
      <c r="I218" s="415" t="str">
        <f t="shared" si="74"/>
        <v/>
      </c>
      <c r="J218" s="415" t="str">
        <f t="shared" si="75"/>
        <v/>
      </c>
      <c r="K218" s="415" t="str">
        <f t="shared" si="76"/>
        <v/>
      </c>
      <c r="L218" s="415"/>
      <c r="M218" s="415"/>
      <c r="N218" s="422" t="str">
        <f t="shared" si="83"/>
        <v/>
      </c>
      <c r="O218" s="422" t="str">
        <f t="shared" si="84"/>
        <v/>
      </c>
      <c r="P218" s="422" t="str">
        <f t="shared" si="85"/>
        <v/>
      </c>
      <c r="Q218" s="422" t="str">
        <f t="shared" si="86"/>
        <v/>
      </c>
      <c r="R218" s="422" t="str">
        <f t="shared" si="87"/>
        <v/>
      </c>
      <c r="S218" s="583">
        <v>320100</v>
      </c>
      <c r="T218" s="377" t="str">
        <f>+IFERROR(VLOOKUP(S218,STAT1!$C$4:$D$189,2,FALSE),"")</f>
        <v>Урьдчилж орсон орлого MNT</v>
      </c>
      <c r="U218" s="415">
        <v>3701478</v>
      </c>
      <c r="V218" s="415"/>
      <c r="W218" s="822">
        <v>3126</v>
      </c>
      <c r="X218" s="436" t="str">
        <f>IFERROR(VLOOKUP(W218,DATA!$G$4:$H$400,2,FALSE),"")</f>
        <v>МАТРИКС</v>
      </c>
      <c r="Y218" s="328"/>
      <c r="Z218" s="328"/>
      <c r="AA218" s="328"/>
    </row>
    <row r="219" spans="1:27" ht="12.75" customHeight="1">
      <c r="A219" s="425"/>
      <c r="B219" s="368">
        <f t="shared" si="93"/>
        <v>214</v>
      </c>
      <c r="C219" s="425">
        <v>43220</v>
      </c>
      <c r="D219" s="830">
        <v>211401</v>
      </c>
      <c r="E219" s="876" t="str">
        <f t="shared" ca="1" si="94"/>
        <v xml:space="preserve">Н-Блок Хаус  /4.3*16.5см/-яртай </v>
      </c>
      <c r="F219" s="426" t="str">
        <f t="shared" ca="1" si="82"/>
        <v>м2</v>
      </c>
      <c r="G219" s="415"/>
      <c r="H219" s="415"/>
      <c r="I219" s="415" t="str">
        <f t="shared" ref="I219:I261" si="95">+IF(G219="","",G219*H219)</f>
        <v/>
      </c>
      <c r="J219" s="415" t="str">
        <f t="shared" ref="J219:J261" si="96">+IF(G219="","",I219*0.1)</f>
        <v/>
      </c>
      <c r="K219" s="415" t="str">
        <f t="shared" ref="K219:K260" si="97">+IF(G219="","",I219+J219)</f>
        <v/>
      </c>
      <c r="L219" s="415">
        <v>13.63</v>
      </c>
      <c r="M219" s="415">
        <v>67965.717300000004</v>
      </c>
      <c r="N219" s="422">
        <f t="shared" si="83"/>
        <v>926372.72679900005</v>
      </c>
      <c r="O219" s="422">
        <f t="shared" si="84"/>
        <v>92637.272679900008</v>
      </c>
      <c r="P219" s="422">
        <f t="shared" si="85"/>
        <v>1019009.9994789001</v>
      </c>
      <c r="Q219" s="422">
        <f t="shared" ca="1" si="86"/>
        <v>51757.378455145066</v>
      </c>
      <c r="R219" s="422">
        <f t="shared" ca="1" si="87"/>
        <v>705453.06834362727</v>
      </c>
      <c r="S219" s="583">
        <f>+IF(LEFT(D219,3)="131",140100,0)+IF(LEFT(D219,3)="310",150100,0)+IF(LEFT(D219,3)="211",150101,0)+IF(LEFT(D219,3)="410",160100,0)+IF(LEFT(D219,3)="440",160200,0)+IF(LEFT(D219,3)="430",160200,0)+IF(LEFT(D219,3)="420",160200,0)+IF(LEFT(D219,3)="460",160201,0)+IF(LEFT(D219,3)="210",150101,0)+IF(LEFT(D219,3)="510",140100,0)</f>
        <v>150101</v>
      </c>
      <c r="T219" s="377" t="str">
        <f>+IFERROR(VLOOKUP(S219,STAT1!$C$4:$D$189,2,FALSE),"")</f>
        <v>Бараа бэлэн бүтээгдэхүүн БОЛОВСРУУЛАХ ЦЕХ /нарс/</v>
      </c>
      <c r="U219" s="424"/>
      <c r="V219" s="424">
        <v>705453.06834362727</v>
      </c>
      <c r="W219" s="822">
        <v>3124</v>
      </c>
      <c r="X219" s="436" t="str">
        <f>IFERROR(VLOOKUP(W219,DATA!$G$4:$H$400,2,FALSE),"")</f>
        <v xml:space="preserve">ШИНЭЛЭГ СУУЦ ХХК </v>
      </c>
      <c r="Y219" s="328"/>
      <c r="Z219" s="328"/>
      <c r="AA219" s="328"/>
    </row>
    <row r="220" spans="1:27" ht="12.75" customHeight="1">
      <c r="A220" s="425"/>
      <c r="B220" s="368">
        <f t="shared" si="93"/>
        <v>215</v>
      </c>
      <c r="C220" s="425">
        <v>43220</v>
      </c>
      <c r="D220" s="830">
        <v>211801</v>
      </c>
      <c r="E220" s="876" t="str">
        <f ca="1">+IFERROR(VLOOKUP(D220,TN_table,2,FALSE),"")</f>
        <v>Н-Ембүү /20*30мм/</v>
      </c>
      <c r="F220" s="426" t="str">
        <f ca="1">+IFERROR(VLOOKUP(D220,TN_table,3,FALSE),"")</f>
        <v>м</v>
      </c>
      <c r="G220" s="415"/>
      <c r="H220" s="415"/>
      <c r="I220" s="415" t="str">
        <f t="shared" si="95"/>
        <v/>
      </c>
      <c r="J220" s="415" t="str">
        <f t="shared" si="96"/>
        <v/>
      </c>
      <c r="K220" s="415" t="str">
        <f t="shared" si="97"/>
        <v/>
      </c>
      <c r="L220" s="415">
        <v>250</v>
      </c>
      <c r="M220" s="415">
        <v>1500</v>
      </c>
      <c r="N220" s="422">
        <f>+IF(L220="","",L220*M220)</f>
        <v>375000</v>
      </c>
      <c r="O220" s="422">
        <f>+IF(L220="","",N220*0.1)</f>
        <v>37500</v>
      </c>
      <c r="P220" s="422">
        <f>+IF(L220="","",N220+O220)</f>
        <v>412500</v>
      </c>
      <c r="Q220" s="422">
        <f ca="1">IF(L220="","",IFERROR((SUMIFS(TN_balC1_totol,TN_code,D220)+SUMIFS(RC_or_totol,RC_Code,D220,RC_date,"&lt;="&amp;C220)-SUMIFS(RC_zar_totol,RC_Code,D220,RC_date,"&lt;"&amp;C220)) /( SUMIFS(TN_balC1_unit,TN_code,D220)+SUMIFS(RC_or_unit,RC_Code,D220,RC_date,"&lt;="&amp;C220)-SUMIFS(RC_zar_unit,RC_Code,D220,RC_date,"&lt;"&amp;C220)),0 ))</f>
        <v>768.80288972169444</v>
      </c>
      <c r="R220" s="422">
        <f ca="1">+IF(L220="","",L220*Q220)</f>
        <v>192200.7224304236</v>
      </c>
      <c r="S220" s="583">
        <f>+IF(LEFT(D220,3)="131",140100,0)+IF(LEFT(D220,3)="310",150100,0)+IF(LEFT(D220,3)="211",150101,0)+IF(LEFT(D220,3)="410",160100,0)+IF(LEFT(D220,3)="440",160200,0)+IF(LEFT(D220,3)="430",160200,0)+IF(LEFT(D220,3)="420",160200,0)+IF(LEFT(D220,3)="460",160201,0)+IF(LEFT(D220,3)="210",150101,0)+IF(LEFT(D220,3)="510",140100,0)</f>
        <v>150101</v>
      </c>
      <c r="T220" s="377" t="str">
        <f>+IFERROR(VLOOKUP(S220,STAT1!$C$4:$D$189,2,FALSE),"")</f>
        <v>Бараа бэлэн бүтээгдэхүүн БОЛОВСРУУЛАХ ЦЕХ /нарс/</v>
      </c>
      <c r="U220" s="424"/>
      <c r="V220" s="424">
        <v>192200.7224304236</v>
      </c>
      <c r="W220" s="822">
        <v>3124</v>
      </c>
      <c r="X220" s="436" t="str">
        <f>IFERROR(VLOOKUP(W220,DATA!$G$4:$H$400,2,FALSE),"")</f>
        <v xml:space="preserve">ШИНЭЛЭГ СУУЦ ХХК </v>
      </c>
      <c r="Y220" s="328"/>
      <c r="Z220" s="328"/>
      <c r="AA220" s="328"/>
    </row>
    <row r="221" spans="1:27" ht="12.75" customHeight="1">
      <c r="A221" s="425"/>
      <c r="B221" s="368">
        <f t="shared" si="93"/>
        <v>216</v>
      </c>
      <c r="C221" s="425">
        <v>43221</v>
      </c>
      <c r="D221" s="830"/>
      <c r="E221" s="876" t="str">
        <f t="shared" ca="1" si="94"/>
        <v/>
      </c>
      <c r="F221" s="426" t="str">
        <f t="shared" ca="1" si="82"/>
        <v/>
      </c>
      <c r="G221" s="415"/>
      <c r="H221" s="415"/>
      <c r="I221" s="415" t="str">
        <f t="shared" si="95"/>
        <v/>
      </c>
      <c r="J221" s="415" t="str">
        <f t="shared" si="96"/>
        <v/>
      </c>
      <c r="K221" s="415" t="str">
        <f t="shared" si="97"/>
        <v/>
      </c>
      <c r="L221" s="415"/>
      <c r="M221" s="415"/>
      <c r="N221" s="422" t="str">
        <f t="shared" si="83"/>
        <v/>
      </c>
      <c r="O221" s="422" t="str">
        <f t="shared" si="84"/>
        <v/>
      </c>
      <c r="P221" s="422" t="str">
        <f t="shared" si="85"/>
        <v/>
      </c>
      <c r="Q221" s="422" t="str">
        <f t="shared" si="86"/>
        <v/>
      </c>
      <c r="R221" s="422" t="str">
        <f t="shared" si="87"/>
        <v/>
      </c>
      <c r="S221" s="583">
        <v>610100</v>
      </c>
      <c r="T221" s="377" t="str">
        <f>+IFERROR(VLOOKUP(S221,STAT1!$C$4:$D$189,2,FALSE),"")</f>
        <v>Борлуулсан барааны өртөг</v>
      </c>
      <c r="U221" s="424">
        <v>897653.79077405087</v>
      </c>
      <c r="V221" s="424"/>
      <c r="W221" s="822">
        <v>3124</v>
      </c>
      <c r="X221" s="436" t="str">
        <f>IFERROR(VLOOKUP(W221,DATA!$G$4:$H$400,2,FALSE),"")</f>
        <v xml:space="preserve">ШИНЭЛЭГ СУУЦ ХХК </v>
      </c>
      <c r="Y221" s="328"/>
      <c r="Z221" s="328"/>
      <c r="AA221" s="328"/>
    </row>
    <row r="222" spans="1:27" ht="12.75" customHeight="1">
      <c r="A222" s="425"/>
      <c r="B222" s="368">
        <f t="shared" si="93"/>
        <v>217</v>
      </c>
      <c r="C222" s="425">
        <v>43221</v>
      </c>
      <c r="D222" s="830"/>
      <c r="E222" s="876" t="str">
        <f t="shared" ca="1" si="94"/>
        <v/>
      </c>
      <c r="F222" s="426" t="str">
        <f t="shared" ca="1" si="82"/>
        <v/>
      </c>
      <c r="G222" s="415"/>
      <c r="H222" s="415"/>
      <c r="I222" s="415" t="str">
        <f t="shared" si="95"/>
        <v/>
      </c>
      <c r="J222" s="415" t="str">
        <f t="shared" si="96"/>
        <v/>
      </c>
      <c r="K222" s="415" t="str">
        <f t="shared" si="97"/>
        <v/>
      </c>
      <c r="L222" s="415"/>
      <c r="M222" s="415"/>
      <c r="N222" s="422" t="str">
        <f t="shared" si="83"/>
        <v/>
      </c>
      <c r="O222" s="422" t="str">
        <f t="shared" si="84"/>
        <v/>
      </c>
      <c r="P222" s="422" t="str">
        <f t="shared" si="85"/>
        <v/>
      </c>
      <c r="Q222" s="422" t="str">
        <f t="shared" si="86"/>
        <v/>
      </c>
      <c r="R222" s="422" t="str">
        <f t="shared" si="87"/>
        <v/>
      </c>
      <c r="S222" s="583">
        <v>310500</v>
      </c>
      <c r="T222" s="377" t="str">
        <f>+IFERROR(VLOOKUP(S222,STAT1!$C$4:$D$189,2,FALSE),"")</f>
        <v>НӨАТ өглөг</v>
      </c>
      <c r="U222" s="424"/>
      <c r="V222" s="424">
        <v>130137.27267990001</v>
      </c>
      <c r="W222" s="822">
        <v>3124</v>
      </c>
      <c r="X222" s="436" t="str">
        <f>IFERROR(VLOOKUP(W222,DATA!$G$4:$H$400,2,FALSE),"")</f>
        <v xml:space="preserve">ШИНЭЛЭГ СУУЦ ХХК </v>
      </c>
      <c r="Y222" s="328"/>
      <c r="Z222" s="328"/>
      <c r="AA222" s="328"/>
    </row>
    <row r="223" spans="1:27" ht="12.75" customHeight="1">
      <c r="A223" s="425"/>
      <c r="B223" s="368">
        <f t="shared" si="93"/>
        <v>218</v>
      </c>
      <c r="C223" s="425">
        <v>43221</v>
      </c>
      <c r="D223" s="830"/>
      <c r="E223" s="876" t="str">
        <f t="shared" ca="1" si="94"/>
        <v/>
      </c>
      <c r="F223" s="426" t="str">
        <f t="shared" ca="1" si="82"/>
        <v/>
      </c>
      <c r="G223" s="415"/>
      <c r="H223" s="415"/>
      <c r="I223" s="415" t="str">
        <f t="shared" si="95"/>
        <v/>
      </c>
      <c r="J223" s="415" t="str">
        <f t="shared" si="96"/>
        <v/>
      </c>
      <c r="K223" s="415" t="str">
        <f t="shared" si="97"/>
        <v/>
      </c>
      <c r="L223" s="415"/>
      <c r="M223" s="415"/>
      <c r="N223" s="422" t="str">
        <f t="shared" si="83"/>
        <v/>
      </c>
      <c r="O223" s="422" t="str">
        <f t="shared" si="84"/>
        <v/>
      </c>
      <c r="P223" s="422" t="str">
        <f t="shared" si="85"/>
        <v/>
      </c>
      <c r="Q223" s="422" t="str">
        <f t="shared" si="86"/>
        <v/>
      </c>
      <c r="R223" s="422" t="str">
        <f t="shared" si="87"/>
        <v/>
      </c>
      <c r="S223" s="583">
        <v>510000</v>
      </c>
      <c r="T223" s="377" t="str">
        <f>+IFERROR(VLOOKUP(S223,STAT1!$C$4:$D$189,2,FALSE),"")</f>
        <v>Үндсэн үйл ажиллагааны борлуулалт</v>
      </c>
      <c r="U223" s="424"/>
      <c r="V223" s="424">
        <v>1301372.7267990001</v>
      </c>
      <c r="W223" s="822">
        <v>3124</v>
      </c>
      <c r="X223" s="436" t="str">
        <f>IFERROR(VLOOKUP(W223,DATA!$G$4:$H$400,2,FALSE),"")</f>
        <v xml:space="preserve">ШИНЭЛЭГ СУУЦ ХХК </v>
      </c>
      <c r="Y223" s="328"/>
      <c r="Z223" s="328"/>
      <c r="AA223" s="328"/>
    </row>
    <row r="224" spans="1:27" ht="12.75" customHeight="1">
      <c r="A224" s="425"/>
      <c r="B224" s="368">
        <f t="shared" si="93"/>
        <v>219</v>
      </c>
      <c r="C224" s="425">
        <v>43221</v>
      </c>
      <c r="D224" s="830"/>
      <c r="E224" s="876" t="str">
        <f t="shared" ca="1" si="94"/>
        <v/>
      </c>
      <c r="F224" s="426" t="str">
        <f t="shared" ca="1" si="82"/>
        <v/>
      </c>
      <c r="G224" s="415"/>
      <c r="H224" s="415"/>
      <c r="I224" s="415" t="str">
        <f t="shared" si="95"/>
        <v/>
      </c>
      <c r="J224" s="415" t="str">
        <f t="shared" si="96"/>
        <v/>
      </c>
      <c r="K224" s="415" t="str">
        <f t="shared" si="97"/>
        <v/>
      </c>
      <c r="L224" s="415"/>
      <c r="M224" s="415"/>
      <c r="N224" s="422" t="str">
        <f t="shared" si="83"/>
        <v/>
      </c>
      <c r="O224" s="422" t="str">
        <f t="shared" si="84"/>
        <v/>
      </c>
      <c r="P224" s="422" t="str">
        <f t="shared" si="85"/>
        <v/>
      </c>
      <c r="Q224" s="422" t="str">
        <f t="shared" si="86"/>
        <v/>
      </c>
      <c r="R224" s="422" t="str">
        <f t="shared" si="87"/>
        <v/>
      </c>
      <c r="S224" s="583">
        <v>320100</v>
      </c>
      <c r="T224" s="377" t="str">
        <f>+IFERROR(VLOOKUP(S224,STAT1!$C$4:$D$189,2,FALSE),"")</f>
        <v>Урьдчилж орсон орлого MNT</v>
      </c>
      <c r="U224" s="415">
        <v>1431509.9994789001</v>
      </c>
      <c r="V224" s="415"/>
      <c r="W224" s="822">
        <v>3124</v>
      </c>
      <c r="X224" s="436" t="str">
        <f>IFERROR(VLOOKUP(W224,DATA!$G$4:$H$400,2,FALSE),"")</f>
        <v xml:space="preserve">ШИНЭЛЭГ СУУЦ ХХК </v>
      </c>
      <c r="Y224" s="328"/>
      <c r="Z224" s="328"/>
      <c r="AA224" s="328"/>
    </row>
    <row r="225" spans="1:27" ht="12.75" customHeight="1">
      <c r="A225" s="425"/>
      <c r="B225" s="368">
        <f t="shared" si="93"/>
        <v>220</v>
      </c>
      <c r="C225" s="425">
        <v>43235</v>
      </c>
      <c r="D225" s="830">
        <v>211801</v>
      </c>
      <c r="E225" s="876" t="str">
        <f t="shared" ca="1" si="94"/>
        <v>Н-Ембүү /20*30мм/</v>
      </c>
      <c r="F225" s="426" t="str">
        <f t="shared" ca="1" si="82"/>
        <v>м</v>
      </c>
      <c r="G225" s="415"/>
      <c r="H225" s="415"/>
      <c r="I225" s="415" t="str">
        <f t="shared" si="95"/>
        <v/>
      </c>
      <c r="J225" s="415" t="str">
        <f t="shared" si="96"/>
        <v/>
      </c>
      <c r="K225" s="415" t="str">
        <f t="shared" si="97"/>
        <v/>
      </c>
      <c r="L225" s="415">
        <v>484.5</v>
      </c>
      <c r="M225" s="415">
        <v>1500</v>
      </c>
      <c r="N225" s="422">
        <f t="shared" si="83"/>
        <v>726750</v>
      </c>
      <c r="O225" s="422">
        <f t="shared" si="84"/>
        <v>72675</v>
      </c>
      <c r="P225" s="422">
        <f t="shared" si="85"/>
        <v>799425</v>
      </c>
      <c r="Q225" s="422">
        <f t="shared" ca="1" si="86"/>
        <v>768.80288972169456</v>
      </c>
      <c r="R225" s="422">
        <f t="shared" ca="1" si="87"/>
        <v>372485.00007016101</v>
      </c>
      <c r="S225" s="583">
        <f>+IF(LEFT(D225,3)="131",140100,0)+IF(LEFT(D225,3)="310",150100,0)+IF(LEFT(D225,3)="211",150101,0)+IF(LEFT(D225,3)="410",160100,0)+IF(LEFT(D225,3)="440",160200,0)+IF(LEFT(D225,3)="430",160200,0)+IF(LEFT(D225,3)="420",160200,0)+IF(LEFT(D225,3)="460",160201,0)+IF(LEFT(D225,3)="210",150101,0)+IF(LEFT(D225,3)="510",140100,0)</f>
        <v>150101</v>
      </c>
      <c r="T225" s="377" t="str">
        <f>+IFERROR(VLOOKUP(S225,STAT1!$C$4:$D$189,2,FALSE),"")</f>
        <v>Бараа бэлэн бүтээгдэхүүн БОЛОВСРУУЛАХ ЦЕХ /нарс/</v>
      </c>
      <c r="U225" s="424"/>
      <c r="V225" s="424">
        <v>372485.00007016101</v>
      </c>
      <c r="W225" s="822">
        <v>3126</v>
      </c>
      <c r="X225" s="436" t="str">
        <f>IFERROR(VLOOKUP(W225,DATA!$G$4:$H$400,2,FALSE),"")</f>
        <v>МАТРИКС</v>
      </c>
      <c r="Y225" s="328"/>
      <c r="Z225" s="328"/>
      <c r="AA225" s="328"/>
    </row>
    <row r="226" spans="1:27" ht="12.75" customHeight="1">
      <c r="A226" s="425"/>
      <c r="B226" s="368">
        <f t="shared" si="93"/>
        <v>221</v>
      </c>
      <c r="C226" s="425">
        <v>43235</v>
      </c>
      <c r="D226" s="830">
        <v>211503</v>
      </c>
      <c r="E226" s="876" t="str">
        <f t="shared" ca="1" si="94"/>
        <v>Н-Евровагонка /зузаан-1.2см/</v>
      </c>
      <c r="F226" s="426" t="str">
        <f t="shared" ca="1" si="82"/>
        <v>м2</v>
      </c>
      <c r="G226" s="415"/>
      <c r="H226" s="415"/>
      <c r="I226" s="415" t="str">
        <f t="shared" si="95"/>
        <v/>
      </c>
      <c r="J226" s="415" t="str">
        <f t="shared" si="96"/>
        <v/>
      </c>
      <c r="K226" s="415" t="str">
        <f t="shared" si="97"/>
        <v/>
      </c>
      <c r="L226" s="415">
        <v>80.75</v>
      </c>
      <c r="M226" s="415">
        <v>21600</v>
      </c>
      <c r="N226" s="422">
        <f t="shared" si="83"/>
        <v>1744200</v>
      </c>
      <c r="O226" s="422">
        <f t="shared" si="84"/>
        <v>174420</v>
      </c>
      <c r="P226" s="422">
        <f t="shared" si="85"/>
        <v>1918620</v>
      </c>
      <c r="Q226" s="422">
        <f t="shared" ca="1" si="86"/>
        <v>14541.928809736646</v>
      </c>
      <c r="R226" s="422">
        <f t="shared" ca="1" si="87"/>
        <v>1174260.7513862341</v>
      </c>
      <c r="S226" s="583">
        <f>+IF(LEFT(D226,3)="131",140100,0)+IF(LEFT(D226,3)="310",150100,0)+IF(LEFT(D226,3)="211",150101,0)+IF(LEFT(D226,3)="410",160100,0)+IF(LEFT(D226,3)="440",160200,0)+IF(LEFT(D226,3)="430",160200,0)+IF(LEFT(D226,3)="420",160200,0)+IF(LEFT(D226,3)="460",160201,0)+IF(LEFT(D226,3)="210",150101,0)+IF(LEFT(D226,3)="510",140100,0)</f>
        <v>150101</v>
      </c>
      <c r="T226" s="377" t="str">
        <f>+IFERROR(VLOOKUP(S226,STAT1!$C$4:$D$189,2,FALSE),"")</f>
        <v>Бараа бэлэн бүтээгдэхүүн БОЛОВСРУУЛАХ ЦЕХ /нарс/</v>
      </c>
      <c r="U226" s="424"/>
      <c r="V226" s="424">
        <v>1174260.7513862341</v>
      </c>
      <c r="W226" s="822">
        <v>3126</v>
      </c>
      <c r="X226" s="436" t="str">
        <f>IFERROR(VLOOKUP(W226,DATA!$G$4:$H$400,2,FALSE),"")</f>
        <v>МАТРИКС</v>
      </c>
      <c r="Y226" s="328"/>
      <c r="Z226" s="328"/>
      <c r="AA226" s="328"/>
    </row>
    <row r="227" spans="1:27" ht="12.75" customHeight="1">
      <c r="A227" s="425"/>
      <c r="B227" s="368">
        <f t="shared" si="93"/>
        <v>222</v>
      </c>
      <c r="C227" s="425">
        <v>43235</v>
      </c>
      <c r="D227" s="830"/>
      <c r="E227" s="876" t="str">
        <f t="shared" ca="1" si="94"/>
        <v/>
      </c>
      <c r="F227" s="426" t="str">
        <f t="shared" ca="1" si="82"/>
        <v/>
      </c>
      <c r="G227" s="415"/>
      <c r="H227" s="415"/>
      <c r="I227" s="415" t="str">
        <f t="shared" si="95"/>
        <v/>
      </c>
      <c r="J227" s="415" t="str">
        <f t="shared" si="96"/>
        <v/>
      </c>
      <c r="K227" s="415" t="str">
        <f t="shared" si="97"/>
        <v/>
      </c>
      <c r="L227" s="415"/>
      <c r="M227" s="415"/>
      <c r="N227" s="422" t="str">
        <f t="shared" si="83"/>
        <v/>
      </c>
      <c r="O227" s="422" t="str">
        <f t="shared" si="84"/>
        <v/>
      </c>
      <c r="P227" s="422" t="str">
        <f t="shared" si="85"/>
        <v/>
      </c>
      <c r="Q227" s="422" t="str">
        <f t="shared" si="86"/>
        <v/>
      </c>
      <c r="R227" s="422" t="str">
        <f t="shared" si="87"/>
        <v/>
      </c>
      <c r="S227" s="583">
        <v>610100</v>
      </c>
      <c r="T227" s="377" t="str">
        <f>+IFERROR(VLOOKUP(S227,STAT1!$C$4:$D$189,2,FALSE),"")</f>
        <v>Борлуулсан барааны өртөг</v>
      </c>
      <c r="U227" s="424">
        <v>1546745.751456395</v>
      </c>
      <c r="V227" s="424"/>
      <c r="W227" s="822">
        <v>3126</v>
      </c>
      <c r="X227" s="436" t="str">
        <f>IFERROR(VLOOKUP(W227,DATA!$G$4:$H$400,2,FALSE),"")</f>
        <v>МАТРИКС</v>
      </c>
      <c r="Y227" s="328"/>
      <c r="Z227" s="328"/>
      <c r="AA227" s="328"/>
    </row>
    <row r="228" spans="1:27" ht="12.75" customHeight="1">
      <c r="A228" s="425"/>
      <c r="B228" s="368">
        <f t="shared" si="93"/>
        <v>223</v>
      </c>
      <c r="C228" s="425">
        <v>43235</v>
      </c>
      <c r="D228" s="830"/>
      <c r="E228" s="876" t="str">
        <f t="shared" ca="1" si="94"/>
        <v/>
      </c>
      <c r="F228" s="426" t="str">
        <f t="shared" ca="1" si="82"/>
        <v/>
      </c>
      <c r="G228" s="415"/>
      <c r="H228" s="415"/>
      <c r="I228" s="415" t="str">
        <f t="shared" si="95"/>
        <v/>
      </c>
      <c r="J228" s="415" t="str">
        <f t="shared" si="96"/>
        <v/>
      </c>
      <c r="K228" s="415" t="str">
        <f t="shared" si="97"/>
        <v/>
      </c>
      <c r="L228" s="415"/>
      <c r="M228" s="415"/>
      <c r="N228" s="422" t="str">
        <f t="shared" si="83"/>
        <v/>
      </c>
      <c r="O228" s="422" t="str">
        <f t="shared" si="84"/>
        <v/>
      </c>
      <c r="P228" s="422" t="str">
        <f t="shared" si="85"/>
        <v/>
      </c>
      <c r="Q228" s="422" t="str">
        <f t="shared" si="86"/>
        <v/>
      </c>
      <c r="R228" s="422" t="str">
        <f t="shared" si="87"/>
        <v/>
      </c>
      <c r="S228" s="583">
        <v>310500</v>
      </c>
      <c r="T228" s="377" t="str">
        <f>+IFERROR(VLOOKUP(S228,STAT1!$C$4:$D$189,2,FALSE),"")</f>
        <v>НӨАТ өглөг</v>
      </c>
      <c r="U228" s="424"/>
      <c r="V228" s="424">
        <v>247095</v>
      </c>
      <c r="W228" s="822">
        <v>3126</v>
      </c>
      <c r="X228" s="436" t="str">
        <f>IFERROR(VLOOKUP(W228,DATA!$G$4:$H$400,2,FALSE),"")</f>
        <v>МАТРИКС</v>
      </c>
      <c r="Y228" s="328"/>
      <c r="Z228" s="328"/>
      <c r="AA228" s="328"/>
    </row>
    <row r="229" spans="1:27" ht="12.75" customHeight="1">
      <c r="A229" s="425"/>
      <c r="B229" s="368">
        <f t="shared" si="93"/>
        <v>224</v>
      </c>
      <c r="C229" s="425">
        <v>43235</v>
      </c>
      <c r="D229" s="830"/>
      <c r="E229" s="876" t="str">
        <f t="shared" ca="1" si="94"/>
        <v/>
      </c>
      <c r="F229" s="426" t="str">
        <f t="shared" ca="1" si="82"/>
        <v/>
      </c>
      <c r="G229" s="415"/>
      <c r="H229" s="415"/>
      <c r="I229" s="415" t="str">
        <f t="shared" si="95"/>
        <v/>
      </c>
      <c r="J229" s="415" t="str">
        <f t="shared" si="96"/>
        <v/>
      </c>
      <c r="K229" s="415" t="str">
        <f t="shared" si="97"/>
        <v/>
      </c>
      <c r="L229" s="415"/>
      <c r="M229" s="415"/>
      <c r="N229" s="422" t="str">
        <f t="shared" si="83"/>
        <v/>
      </c>
      <c r="O229" s="422" t="str">
        <f t="shared" si="84"/>
        <v/>
      </c>
      <c r="P229" s="422" t="str">
        <f t="shared" si="85"/>
        <v/>
      </c>
      <c r="Q229" s="422" t="str">
        <f t="shared" si="86"/>
        <v/>
      </c>
      <c r="R229" s="422" t="str">
        <f t="shared" si="87"/>
        <v/>
      </c>
      <c r="S229" s="583">
        <v>510000</v>
      </c>
      <c r="T229" s="377" t="str">
        <f>+IFERROR(VLOOKUP(S229,STAT1!$C$4:$D$189,2,FALSE),"")</f>
        <v>Үндсэн үйл ажиллагааны борлуулалт</v>
      </c>
      <c r="U229" s="424"/>
      <c r="V229" s="424">
        <v>2470950</v>
      </c>
      <c r="W229" s="822">
        <v>3126</v>
      </c>
      <c r="X229" s="436" t="str">
        <f>IFERROR(VLOOKUP(W229,DATA!$G$4:$H$400,2,FALSE),"")</f>
        <v>МАТРИКС</v>
      </c>
      <c r="Y229" s="328"/>
      <c r="Z229" s="328"/>
      <c r="AA229" s="328"/>
    </row>
    <row r="230" spans="1:27" ht="12.75" customHeight="1">
      <c r="A230" s="425"/>
      <c r="B230" s="368">
        <f t="shared" si="93"/>
        <v>225</v>
      </c>
      <c r="C230" s="425">
        <v>43235</v>
      </c>
      <c r="D230" s="830"/>
      <c r="E230" s="876" t="str">
        <f t="shared" ca="1" si="94"/>
        <v/>
      </c>
      <c r="F230" s="426" t="str">
        <f t="shared" ca="1" si="82"/>
        <v/>
      </c>
      <c r="G230" s="415"/>
      <c r="H230" s="415"/>
      <c r="I230" s="415" t="str">
        <f t="shared" si="95"/>
        <v/>
      </c>
      <c r="J230" s="415" t="str">
        <f t="shared" si="96"/>
        <v/>
      </c>
      <c r="K230" s="415" t="str">
        <f t="shared" si="97"/>
        <v/>
      </c>
      <c r="L230" s="415"/>
      <c r="M230" s="415"/>
      <c r="N230" s="422" t="str">
        <f t="shared" si="83"/>
        <v/>
      </c>
      <c r="O230" s="422" t="str">
        <f t="shared" si="84"/>
        <v/>
      </c>
      <c r="P230" s="422" t="str">
        <f t="shared" si="85"/>
        <v/>
      </c>
      <c r="Q230" s="422" t="str">
        <f t="shared" si="86"/>
        <v/>
      </c>
      <c r="R230" s="422" t="str">
        <f t="shared" si="87"/>
        <v/>
      </c>
      <c r="S230" s="583">
        <v>320100</v>
      </c>
      <c r="T230" s="377" t="str">
        <f>+IFERROR(VLOOKUP(S230,STAT1!$C$4:$D$189,2,FALSE),"")</f>
        <v>Урьдчилж орсон орлого MNT</v>
      </c>
      <c r="U230" s="415">
        <v>2718045</v>
      </c>
      <c r="V230" s="415"/>
      <c r="W230" s="822">
        <v>3126</v>
      </c>
      <c r="X230" s="436" t="str">
        <f>IFERROR(VLOOKUP(W230,DATA!$G$4:$H$400,2,FALSE),"")</f>
        <v>МАТРИКС</v>
      </c>
      <c r="Y230" s="328"/>
      <c r="Z230" s="328"/>
      <c r="AA230" s="328"/>
    </row>
    <row r="231" spans="1:27" ht="12.75" customHeight="1">
      <c r="A231" s="425"/>
      <c r="B231" s="368">
        <f t="shared" si="93"/>
        <v>226</v>
      </c>
      <c r="C231" s="425">
        <v>43240</v>
      </c>
      <c r="D231" s="830">
        <v>211503</v>
      </c>
      <c r="E231" s="876" t="str">
        <f t="shared" ca="1" si="94"/>
        <v>Н-Евровагонка /зузаан-1.2см/</v>
      </c>
      <c r="F231" s="426" t="str">
        <f t="shared" ref="F231:F294" ca="1" si="98">+IFERROR(VLOOKUP(D231,TN_table,3,FALSE),"")</f>
        <v>м2</v>
      </c>
      <c r="G231" s="415"/>
      <c r="H231" s="415"/>
      <c r="I231" s="415" t="str">
        <f t="shared" si="95"/>
        <v/>
      </c>
      <c r="J231" s="415" t="str">
        <f t="shared" si="96"/>
        <v/>
      </c>
      <c r="K231" s="415" t="str">
        <f t="shared" si="97"/>
        <v/>
      </c>
      <c r="L231" s="415">
        <v>8</v>
      </c>
      <c r="M231" s="415">
        <v>18000</v>
      </c>
      <c r="N231" s="422">
        <f t="shared" si="83"/>
        <v>144000</v>
      </c>
      <c r="O231" s="422">
        <f t="shared" si="84"/>
        <v>14400</v>
      </c>
      <c r="P231" s="422">
        <f t="shared" si="85"/>
        <v>158400</v>
      </c>
      <c r="Q231" s="422">
        <f t="shared" ca="1" si="86"/>
        <v>14541.928809736644</v>
      </c>
      <c r="R231" s="422">
        <f t="shared" ca="1" si="87"/>
        <v>116335.43047789315</v>
      </c>
      <c r="S231" s="583">
        <f>+IF(LEFT(D231,3)="131",140100,0)+IF(LEFT(D231,3)="310",150100,0)+IF(LEFT(D231,3)="211",150101,0)+IF(LEFT(D231,3)="410",160100,0)+IF(LEFT(D231,3)="440",160200,0)+IF(LEFT(D231,3)="430",160200,0)+IF(LEFT(D231,3)="420",160200,0)+IF(LEFT(D231,3)="460",160201,0)+IF(LEFT(D231,3)="210",150101,0)+IF(LEFT(D231,3)="510",140100,0)</f>
        <v>150101</v>
      </c>
      <c r="T231" s="377" t="str">
        <f>+IFERROR(VLOOKUP(S231,STAT1!$C$4:$D$189,2,FALSE),"")</f>
        <v>Бараа бэлэн бүтээгдэхүүн БОЛОВСРУУЛАХ ЦЕХ /нарс/</v>
      </c>
      <c r="U231" s="424"/>
      <c r="V231" s="424">
        <v>116335.43047789315</v>
      </c>
      <c r="W231" s="822">
        <v>3109</v>
      </c>
      <c r="X231" s="436" t="str">
        <f>IFERROR(VLOOKUP(W231,DATA!$G$4:$H$400,2,FALSE),"")</f>
        <v xml:space="preserve">СИЛК РӨҮТ ТЕКСТИЛЬ ХХК </v>
      </c>
      <c r="Y231" s="328"/>
      <c r="Z231" s="328"/>
      <c r="AA231" s="328"/>
    </row>
    <row r="232" spans="1:27" ht="12.75" customHeight="1">
      <c r="A232" s="425"/>
      <c r="B232" s="368">
        <f t="shared" si="93"/>
        <v>227</v>
      </c>
      <c r="C232" s="425">
        <v>43240</v>
      </c>
      <c r="D232" s="830"/>
      <c r="E232" s="876" t="str">
        <f t="shared" ca="1" si="94"/>
        <v/>
      </c>
      <c r="F232" s="426" t="str">
        <f t="shared" ca="1" si="98"/>
        <v/>
      </c>
      <c r="G232" s="415"/>
      <c r="H232" s="415"/>
      <c r="I232" s="415" t="str">
        <f t="shared" si="95"/>
        <v/>
      </c>
      <c r="J232" s="415" t="str">
        <f t="shared" si="96"/>
        <v/>
      </c>
      <c r="K232" s="415" t="str">
        <f t="shared" si="97"/>
        <v/>
      </c>
      <c r="L232" s="415"/>
      <c r="M232" s="415"/>
      <c r="N232" s="422" t="str">
        <f t="shared" si="83"/>
        <v/>
      </c>
      <c r="O232" s="422" t="str">
        <f t="shared" si="84"/>
        <v/>
      </c>
      <c r="P232" s="422" t="str">
        <f t="shared" si="85"/>
        <v/>
      </c>
      <c r="Q232" s="422" t="str">
        <f t="shared" si="86"/>
        <v/>
      </c>
      <c r="R232" s="422" t="str">
        <f t="shared" si="87"/>
        <v/>
      </c>
      <c r="S232" s="583">
        <v>610100</v>
      </c>
      <c r="T232" s="377" t="str">
        <f>+IFERROR(VLOOKUP(S232,STAT1!$C$4:$D$189,2,FALSE),"")</f>
        <v>Борлуулсан барааны өртөг</v>
      </c>
      <c r="U232" s="424">
        <v>116335.43047789315</v>
      </c>
      <c r="V232" s="424"/>
      <c r="W232" s="822">
        <v>3109</v>
      </c>
      <c r="X232" s="436" t="str">
        <f>IFERROR(VLOOKUP(W232,DATA!$G$4:$H$400,2,FALSE),"")</f>
        <v xml:space="preserve">СИЛК РӨҮТ ТЕКСТИЛЬ ХХК </v>
      </c>
      <c r="Y232" s="328"/>
      <c r="Z232" s="328"/>
      <c r="AA232" s="328"/>
    </row>
    <row r="233" spans="1:27" ht="12.75" customHeight="1">
      <c r="A233" s="425"/>
      <c r="B233" s="368">
        <f t="shared" si="93"/>
        <v>228</v>
      </c>
      <c r="C233" s="425">
        <v>43240</v>
      </c>
      <c r="D233" s="830"/>
      <c r="E233" s="876" t="str">
        <f t="shared" ca="1" si="94"/>
        <v/>
      </c>
      <c r="F233" s="426" t="str">
        <f t="shared" ca="1" si="98"/>
        <v/>
      </c>
      <c r="G233" s="415"/>
      <c r="H233" s="415"/>
      <c r="I233" s="415" t="str">
        <f t="shared" si="95"/>
        <v/>
      </c>
      <c r="J233" s="415" t="str">
        <f t="shared" si="96"/>
        <v/>
      </c>
      <c r="K233" s="415" t="str">
        <f t="shared" si="97"/>
        <v/>
      </c>
      <c r="L233" s="415"/>
      <c r="M233" s="415"/>
      <c r="N233" s="422" t="str">
        <f t="shared" si="83"/>
        <v/>
      </c>
      <c r="O233" s="422" t="str">
        <f t="shared" si="84"/>
        <v/>
      </c>
      <c r="P233" s="422" t="str">
        <f t="shared" si="85"/>
        <v/>
      </c>
      <c r="Q233" s="422" t="str">
        <f t="shared" si="86"/>
        <v/>
      </c>
      <c r="R233" s="422" t="str">
        <f t="shared" si="87"/>
        <v/>
      </c>
      <c r="S233" s="583">
        <v>310500</v>
      </c>
      <c r="T233" s="377" t="str">
        <f>+IFERROR(VLOOKUP(S233,STAT1!$C$4:$D$189,2,FALSE),"")</f>
        <v>НӨАТ өглөг</v>
      </c>
      <c r="U233" s="424"/>
      <c r="V233" s="424">
        <v>14400</v>
      </c>
      <c r="W233" s="822">
        <v>3109</v>
      </c>
      <c r="X233" s="436" t="str">
        <f>IFERROR(VLOOKUP(W233,DATA!$G$4:$H$400,2,FALSE),"")</f>
        <v xml:space="preserve">СИЛК РӨҮТ ТЕКСТИЛЬ ХХК </v>
      </c>
      <c r="Y233" s="328"/>
      <c r="Z233" s="328"/>
      <c r="AA233" s="328"/>
    </row>
    <row r="234" spans="1:27" ht="12.75" customHeight="1">
      <c r="A234" s="425"/>
      <c r="B234" s="368">
        <f t="shared" si="93"/>
        <v>229</v>
      </c>
      <c r="C234" s="425">
        <v>43240</v>
      </c>
      <c r="D234" s="830"/>
      <c r="E234" s="876" t="str">
        <f t="shared" ca="1" si="94"/>
        <v/>
      </c>
      <c r="F234" s="426" t="str">
        <f t="shared" ca="1" si="98"/>
        <v/>
      </c>
      <c r="G234" s="415"/>
      <c r="H234" s="415"/>
      <c r="I234" s="415" t="str">
        <f t="shared" si="95"/>
        <v/>
      </c>
      <c r="J234" s="415" t="str">
        <f t="shared" si="96"/>
        <v/>
      </c>
      <c r="K234" s="415" t="str">
        <f t="shared" si="97"/>
        <v/>
      </c>
      <c r="L234" s="415"/>
      <c r="M234" s="415"/>
      <c r="N234" s="422" t="str">
        <f t="shared" si="83"/>
        <v/>
      </c>
      <c r="O234" s="422" t="str">
        <f t="shared" si="84"/>
        <v/>
      </c>
      <c r="P234" s="422" t="str">
        <f t="shared" si="85"/>
        <v/>
      </c>
      <c r="Q234" s="422" t="str">
        <f t="shared" si="86"/>
        <v/>
      </c>
      <c r="R234" s="422" t="str">
        <f t="shared" si="87"/>
        <v/>
      </c>
      <c r="S234" s="583">
        <v>510000</v>
      </c>
      <c r="T234" s="377" t="str">
        <f>+IFERROR(VLOOKUP(S234,STAT1!$C$4:$D$189,2,FALSE),"")</f>
        <v>Үндсэн үйл ажиллагааны борлуулалт</v>
      </c>
      <c r="U234" s="424"/>
      <c r="V234" s="424">
        <v>144000</v>
      </c>
      <c r="W234" s="822">
        <v>3109</v>
      </c>
      <c r="X234" s="436" t="str">
        <f>IFERROR(VLOOKUP(W234,DATA!$G$4:$H$400,2,FALSE),"")</f>
        <v xml:space="preserve">СИЛК РӨҮТ ТЕКСТИЛЬ ХХК </v>
      </c>
      <c r="Y234" s="328"/>
      <c r="Z234" s="328"/>
      <c r="AA234" s="328"/>
    </row>
    <row r="235" spans="1:27" ht="12.75" customHeight="1">
      <c r="A235" s="425"/>
      <c r="B235" s="368">
        <f t="shared" si="93"/>
        <v>230</v>
      </c>
      <c r="C235" s="425">
        <v>43240</v>
      </c>
      <c r="D235" s="830"/>
      <c r="E235" s="876" t="str">
        <f t="shared" ca="1" si="94"/>
        <v/>
      </c>
      <c r="F235" s="426" t="str">
        <f t="shared" ca="1" si="98"/>
        <v/>
      </c>
      <c r="G235" s="415"/>
      <c r="H235" s="415"/>
      <c r="I235" s="415" t="str">
        <f t="shared" si="95"/>
        <v/>
      </c>
      <c r="J235" s="415" t="str">
        <f t="shared" si="96"/>
        <v/>
      </c>
      <c r="K235" s="415" t="str">
        <f t="shared" si="97"/>
        <v/>
      </c>
      <c r="L235" s="415"/>
      <c r="M235" s="415"/>
      <c r="N235" s="422" t="str">
        <f t="shared" ref="N235:N298" si="99">+IF(L235="","",L235*M235)</f>
        <v/>
      </c>
      <c r="O235" s="422" t="str">
        <f t="shared" ref="O235:O298" si="100">+IF(L235="","",N235*0.1)</f>
        <v/>
      </c>
      <c r="P235" s="422" t="str">
        <f t="shared" ref="P235:P298" si="101">+IF(L235="","",N235+O235)</f>
        <v/>
      </c>
      <c r="Q235" s="422" t="str">
        <f t="shared" ref="Q235:Q298" si="102">IF(L235="","",IFERROR((SUMIFS(TN_balC1_totol,TN_code,D235)+SUMIFS(RC_or_totol,RC_Code,D235,RC_date,"&lt;="&amp;C235)-SUMIFS(RC_zar_totol,RC_Code,D235,RC_date,"&lt;"&amp;C235)) /( SUMIFS(TN_balC1_unit,TN_code,D235)+SUMIFS(RC_or_unit,RC_Code,D235,RC_date,"&lt;="&amp;C235)-SUMIFS(RC_zar_unit,RC_Code,D235,RC_date,"&lt;"&amp;C235)),0 ))</f>
        <v/>
      </c>
      <c r="R235" s="422" t="str">
        <f t="shared" ref="R235:R298" si="103">+IF(L235="","",L235*Q235)</f>
        <v/>
      </c>
      <c r="S235" s="583">
        <v>320100</v>
      </c>
      <c r="T235" s="377" t="str">
        <f>+IFERROR(VLOOKUP(S235,STAT1!$C$4:$D$189,2,FALSE),"")</f>
        <v>Урьдчилж орсон орлого MNT</v>
      </c>
      <c r="U235" s="415">
        <v>158400</v>
      </c>
      <c r="V235" s="415"/>
      <c r="W235" s="822">
        <v>3109</v>
      </c>
      <c r="X235" s="436" t="str">
        <f>IFERROR(VLOOKUP(W235,DATA!$G$4:$H$400,2,FALSE),"")</f>
        <v xml:space="preserve">СИЛК РӨҮТ ТЕКСТИЛЬ ХХК </v>
      </c>
      <c r="Y235" s="328"/>
      <c r="Z235" s="328"/>
      <c r="AA235" s="328"/>
    </row>
    <row r="236" spans="1:27" ht="12.75" customHeight="1">
      <c r="A236" s="425"/>
      <c r="B236" s="368">
        <f t="shared" si="93"/>
        <v>231</v>
      </c>
      <c r="C236" s="425">
        <v>43241</v>
      </c>
      <c r="D236" s="830">
        <v>211803</v>
      </c>
      <c r="E236" s="876" t="str">
        <f t="shared" ca="1" si="94"/>
        <v>Н-Шатны бариул /58*68мм/</v>
      </c>
      <c r="F236" s="426" t="str">
        <f t="shared" ca="1" si="98"/>
        <v>м</v>
      </c>
      <c r="G236" s="415"/>
      <c r="H236" s="415"/>
      <c r="I236" s="415" t="str">
        <f t="shared" si="95"/>
        <v/>
      </c>
      <c r="J236" s="415" t="str">
        <f t="shared" si="96"/>
        <v/>
      </c>
      <c r="K236" s="415" t="str">
        <f t="shared" si="97"/>
        <v/>
      </c>
      <c r="L236" s="415">
        <f>31350/10450</f>
        <v>3</v>
      </c>
      <c r="M236" s="415">
        <f>10450/1.1</f>
        <v>9500</v>
      </c>
      <c r="N236" s="422">
        <f t="shared" si="99"/>
        <v>28500</v>
      </c>
      <c r="O236" s="422">
        <f t="shared" si="100"/>
        <v>2850</v>
      </c>
      <c r="P236" s="422">
        <f t="shared" si="101"/>
        <v>31350</v>
      </c>
      <c r="Q236" s="422">
        <f t="shared" ca="1" si="102"/>
        <v>5141.3321068490222</v>
      </c>
      <c r="R236" s="422">
        <f t="shared" ca="1" si="103"/>
        <v>15423.996320547067</v>
      </c>
      <c r="S236" s="583">
        <f>+IF(LEFT(D236,3)="131",140100,0)+IF(LEFT(D236,3)="310",150100,0)+IF(LEFT(D236,3)="211",150101,0)+IF(LEFT(D236,3)="410",160100,0)+IF(LEFT(D236,3)="440",160200,0)+IF(LEFT(D236,3)="430",160200,0)+IF(LEFT(D236,3)="420",160200,0)+IF(LEFT(D236,3)="460",160201,0)+IF(LEFT(D236,3)="210",150101,0)+IF(LEFT(D236,3)="510",140100,0)</f>
        <v>150101</v>
      </c>
      <c r="T236" s="377" t="str">
        <f>+IFERROR(VLOOKUP(S236,STAT1!$C$4:$D$189,2,FALSE),"")</f>
        <v>Бараа бэлэн бүтээгдэхүүн БОЛОВСРУУЛАХ ЦЕХ /нарс/</v>
      </c>
      <c r="U236" s="424"/>
      <c r="V236" s="424">
        <v>15423.996320547067</v>
      </c>
      <c r="W236" s="822">
        <v>3089</v>
      </c>
      <c r="X236" s="436" t="str">
        <f>IFERROR(VLOOKUP(W236,DATA!$G$4:$H$400,2,FALSE),"")</f>
        <v>ГУУЛИЙН ДӨШ ХХК</v>
      </c>
      <c r="Y236" s="328"/>
      <c r="Z236" s="328"/>
      <c r="AA236" s="328"/>
    </row>
    <row r="237" spans="1:27" ht="12.75" customHeight="1">
      <c r="A237" s="425"/>
      <c r="B237" s="368">
        <f t="shared" si="93"/>
        <v>232</v>
      </c>
      <c r="C237" s="425">
        <v>43241</v>
      </c>
      <c r="D237" s="830"/>
      <c r="E237" s="876" t="str">
        <f t="shared" ca="1" si="94"/>
        <v/>
      </c>
      <c r="F237" s="426" t="str">
        <f t="shared" ca="1" si="98"/>
        <v/>
      </c>
      <c r="G237" s="415"/>
      <c r="H237" s="415"/>
      <c r="I237" s="415" t="str">
        <f t="shared" si="95"/>
        <v/>
      </c>
      <c r="J237" s="415" t="str">
        <f t="shared" si="96"/>
        <v/>
      </c>
      <c r="K237" s="415" t="str">
        <f t="shared" si="97"/>
        <v/>
      </c>
      <c r="L237" s="415"/>
      <c r="M237" s="415"/>
      <c r="N237" s="422" t="str">
        <f t="shared" si="99"/>
        <v/>
      </c>
      <c r="O237" s="422" t="str">
        <f t="shared" si="100"/>
        <v/>
      </c>
      <c r="P237" s="422" t="str">
        <f t="shared" si="101"/>
        <v/>
      </c>
      <c r="Q237" s="422" t="str">
        <f t="shared" si="102"/>
        <v/>
      </c>
      <c r="R237" s="422" t="str">
        <f t="shared" si="103"/>
        <v/>
      </c>
      <c r="S237" s="583">
        <v>610100</v>
      </c>
      <c r="T237" s="377" t="str">
        <f>+IFERROR(VLOOKUP(S237,STAT1!$C$4:$D$189,2,FALSE),"")</f>
        <v>Борлуулсан барааны өртөг</v>
      </c>
      <c r="U237" s="424">
        <v>15423.996320547067</v>
      </c>
      <c r="V237" s="424"/>
      <c r="W237" s="822">
        <v>3089</v>
      </c>
      <c r="X237" s="436" t="str">
        <f>IFERROR(VLOOKUP(W237,DATA!$G$4:$H$400,2,FALSE),"")</f>
        <v>ГУУЛИЙН ДӨШ ХХК</v>
      </c>
      <c r="Y237" s="328"/>
      <c r="Z237" s="328"/>
      <c r="AA237" s="328"/>
    </row>
    <row r="238" spans="1:27" ht="12.75" customHeight="1">
      <c r="A238" s="425"/>
      <c r="B238" s="368">
        <f t="shared" si="93"/>
        <v>233</v>
      </c>
      <c r="C238" s="425">
        <v>43241</v>
      </c>
      <c r="D238" s="830"/>
      <c r="E238" s="876" t="str">
        <f t="shared" ca="1" si="94"/>
        <v/>
      </c>
      <c r="F238" s="426" t="str">
        <f t="shared" ca="1" si="98"/>
        <v/>
      </c>
      <c r="G238" s="415"/>
      <c r="H238" s="415"/>
      <c r="I238" s="415" t="str">
        <f t="shared" si="95"/>
        <v/>
      </c>
      <c r="J238" s="415" t="str">
        <f t="shared" si="96"/>
        <v/>
      </c>
      <c r="K238" s="415" t="str">
        <f t="shared" si="97"/>
        <v/>
      </c>
      <c r="L238" s="415"/>
      <c r="M238" s="415"/>
      <c r="N238" s="422" t="str">
        <f t="shared" si="99"/>
        <v/>
      </c>
      <c r="O238" s="422" t="str">
        <f t="shared" si="100"/>
        <v/>
      </c>
      <c r="P238" s="422" t="str">
        <f t="shared" si="101"/>
        <v/>
      </c>
      <c r="Q238" s="422" t="str">
        <f t="shared" si="102"/>
        <v/>
      </c>
      <c r="R238" s="422" t="str">
        <f t="shared" si="103"/>
        <v/>
      </c>
      <c r="S238" s="583">
        <v>310500</v>
      </c>
      <c r="T238" s="377" t="str">
        <f>+IFERROR(VLOOKUP(S238,STAT1!$C$4:$D$189,2,FALSE),"")</f>
        <v>НӨАТ өглөг</v>
      </c>
      <c r="U238" s="424"/>
      <c r="V238" s="424">
        <v>2850</v>
      </c>
      <c r="W238" s="822">
        <v>3089</v>
      </c>
      <c r="X238" s="436" t="str">
        <f>IFERROR(VLOOKUP(W238,DATA!$G$4:$H$400,2,FALSE),"")</f>
        <v>ГУУЛИЙН ДӨШ ХХК</v>
      </c>
      <c r="Y238" s="328"/>
      <c r="Z238" s="328"/>
      <c r="AA238" s="328"/>
    </row>
    <row r="239" spans="1:27" ht="12.75" customHeight="1">
      <c r="A239" s="425"/>
      <c r="B239" s="368">
        <f t="shared" si="93"/>
        <v>234</v>
      </c>
      <c r="C239" s="425">
        <v>43241</v>
      </c>
      <c r="D239" s="830"/>
      <c r="E239" s="876" t="str">
        <f t="shared" ca="1" si="94"/>
        <v/>
      </c>
      <c r="F239" s="426" t="str">
        <f t="shared" ca="1" si="98"/>
        <v/>
      </c>
      <c r="G239" s="415"/>
      <c r="H239" s="415"/>
      <c r="I239" s="415" t="str">
        <f t="shared" si="95"/>
        <v/>
      </c>
      <c r="J239" s="415" t="str">
        <f t="shared" si="96"/>
        <v/>
      </c>
      <c r="K239" s="415" t="str">
        <f t="shared" si="97"/>
        <v/>
      </c>
      <c r="L239" s="415"/>
      <c r="M239" s="415"/>
      <c r="N239" s="422" t="str">
        <f t="shared" si="99"/>
        <v/>
      </c>
      <c r="O239" s="422" t="str">
        <f t="shared" si="100"/>
        <v/>
      </c>
      <c r="P239" s="422" t="str">
        <f t="shared" si="101"/>
        <v/>
      </c>
      <c r="Q239" s="422" t="str">
        <f t="shared" si="102"/>
        <v/>
      </c>
      <c r="R239" s="422" t="str">
        <f t="shared" si="103"/>
        <v/>
      </c>
      <c r="S239" s="583">
        <v>510000</v>
      </c>
      <c r="T239" s="377" t="str">
        <f>+IFERROR(VLOOKUP(S239,STAT1!$C$4:$D$189,2,FALSE),"")</f>
        <v>Үндсэн үйл ажиллагааны борлуулалт</v>
      </c>
      <c r="U239" s="424"/>
      <c r="V239" s="424">
        <v>28500</v>
      </c>
      <c r="W239" s="822">
        <v>3089</v>
      </c>
      <c r="X239" s="436" t="str">
        <f>IFERROR(VLOOKUP(W239,DATA!$G$4:$H$400,2,FALSE),"")</f>
        <v>ГУУЛИЙН ДӨШ ХХК</v>
      </c>
      <c r="Y239" s="328"/>
      <c r="Z239" s="328"/>
      <c r="AA239" s="328"/>
    </row>
    <row r="240" spans="1:27" ht="12.75" customHeight="1">
      <c r="A240" s="425"/>
      <c r="B240" s="368">
        <f t="shared" si="93"/>
        <v>235</v>
      </c>
      <c r="C240" s="425">
        <v>43241</v>
      </c>
      <c r="D240" s="830"/>
      <c r="E240" s="876" t="str">
        <f t="shared" ca="1" si="94"/>
        <v/>
      </c>
      <c r="F240" s="426" t="str">
        <f t="shared" ca="1" si="98"/>
        <v/>
      </c>
      <c r="G240" s="415"/>
      <c r="H240" s="415"/>
      <c r="I240" s="415" t="str">
        <f t="shared" si="95"/>
        <v/>
      </c>
      <c r="J240" s="415" t="str">
        <f t="shared" si="96"/>
        <v/>
      </c>
      <c r="K240" s="415" t="str">
        <f t="shared" si="97"/>
        <v/>
      </c>
      <c r="L240" s="415"/>
      <c r="M240" s="415"/>
      <c r="N240" s="422" t="str">
        <f t="shared" si="99"/>
        <v/>
      </c>
      <c r="O240" s="422" t="str">
        <f t="shared" si="100"/>
        <v/>
      </c>
      <c r="P240" s="422" t="str">
        <f t="shared" si="101"/>
        <v/>
      </c>
      <c r="Q240" s="422" t="str">
        <f t="shared" si="102"/>
        <v/>
      </c>
      <c r="R240" s="422" t="str">
        <f t="shared" si="103"/>
        <v/>
      </c>
      <c r="S240" s="583">
        <v>320100</v>
      </c>
      <c r="T240" s="377" t="str">
        <f>+IFERROR(VLOOKUP(S240,STAT1!$C$4:$D$189,2,FALSE),"")</f>
        <v>Урьдчилж орсон орлого MNT</v>
      </c>
      <c r="U240" s="415">
        <v>31350</v>
      </c>
      <c r="V240" s="415"/>
      <c r="W240" s="822">
        <v>3089</v>
      </c>
      <c r="X240" s="436" t="str">
        <f>IFERROR(VLOOKUP(W240,DATA!$G$4:$H$400,2,FALSE),"")</f>
        <v>ГУУЛИЙН ДӨШ ХХК</v>
      </c>
      <c r="Y240" s="328"/>
      <c r="Z240" s="328"/>
      <c r="AA240" s="328"/>
    </row>
    <row r="241" spans="1:27" ht="12.75" customHeight="1">
      <c r="A241" s="425"/>
      <c r="B241" s="368">
        <f t="shared" si="93"/>
        <v>236</v>
      </c>
      <c r="C241" s="425">
        <v>43236</v>
      </c>
      <c r="D241" s="830">
        <v>211713</v>
      </c>
      <c r="E241" s="876" t="str">
        <f t="shared" ca="1" si="94"/>
        <v>Н-Хавтан /зузаан-2см/</v>
      </c>
      <c r="F241" s="426" t="str">
        <f t="shared" ca="1" si="98"/>
        <v>м2</v>
      </c>
      <c r="G241" s="415"/>
      <c r="H241" s="415"/>
      <c r="I241" s="415" t="str">
        <f t="shared" si="95"/>
        <v/>
      </c>
      <c r="J241" s="415" t="str">
        <f t="shared" si="96"/>
        <v/>
      </c>
      <c r="K241" s="415" t="str">
        <f t="shared" si="97"/>
        <v/>
      </c>
      <c r="L241" s="415">
        <v>3.8</v>
      </c>
      <c r="M241" s="415">
        <v>30000</v>
      </c>
      <c r="N241" s="422">
        <f t="shared" si="99"/>
        <v>114000</v>
      </c>
      <c r="O241" s="422">
        <f t="shared" si="100"/>
        <v>11400</v>
      </c>
      <c r="P241" s="422">
        <f t="shared" si="101"/>
        <v>125400</v>
      </c>
      <c r="Q241" s="422">
        <f t="shared" ca="1" si="102"/>
        <v>24820.285936271332</v>
      </c>
      <c r="R241" s="422">
        <f t="shared" ca="1" si="103"/>
        <v>94317.086557831062</v>
      </c>
      <c r="S241" s="583">
        <f>+IF(LEFT(D241,3)="131",140100,0)+IF(LEFT(D241,3)="310",150100,0)+IF(LEFT(D241,3)="211",150101,0)+IF(LEFT(D241,3)="410",160100,0)+IF(LEFT(D241,3)="440",160200,0)+IF(LEFT(D241,3)="430",160200,0)+IF(LEFT(D241,3)="420",160200,0)+IF(LEFT(D241,3)="460",160201,0)+IF(LEFT(D241,3)="210",150101,0)+IF(LEFT(D241,3)="510",140100,0)</f>
        <v>150101</v>
      </c>
      <c r="T241" s="377" t="str">
        <f>+IFERROR(VLOOKUP(S241,STAT1!$C$4:$D$189,2,FALSE),"")</f>
        <v>Бараа бэлэн бүтээгдэхүүн БОЛОВСРУУЛАХ ЦЕХ /нарс/</v>
      </c>
      <c r="U241" s="424"/>
      <c r="V241" s="424">
        <v>94317.086557831062</v>
      </c>
      <c r="W241" s="822">
        <v>3006</v>
      </c>
      <c r="X241" s="436" t="str">
        <f>IFERROR(VLOOKUP(W241,DATA!$G$4:$H$400,2,FALSE),"")</f>
        <v xml:space="preserve">ПАЙОНЕРИНГ ИНТЕРНЭШНЛ ХХК </v>
      </c>
      <c r="Y241" s="328"/>
      <c r="Z241" s="328"/>
      <c r="AA241" s="328"/>
    </row>
    <row r="242" spans="1:27" ht="12.75" customHeight="1">
      <c r="A242" s="425"/>
      <c r="B242" s="368">
        <f t="shared" si="93"/>
        <v>237</v>
      </c>
      <c r="C242" s="425">
        <v>43236</v>
      </c>
      <c r="D242" s="830"/>
      <c r="E242" s="876" t="str">
        <f t="shared" ca="1" si="94"/>
        <v/>
      </c>
      <c r="F242" s="426" t="str">
        <f t="shared" ca="1" si="98"/>
        <v/>
      </c>
      <c r="G242" s="415"/>
      <c r="H242" s="415"/>
      <c r="I242" s="415" t="str">
        <f t="shared" si="95"/>
        <v/>
      </c>
      <c r="J242" s="415" t="str">
        <f t="shared" si="96"/>
        <v/>
      </c>
      <c r="K242" s="415" t="str">
        <f t="shared" si="97"/>
        <v/>
      </c>
      <c r="L242" s="415"/>
      <c r="M242" s="415"/>
      <c r="N242" s="422" t="str">
        <f t="shared" si="99"/>
        <v/>
      </c>
      <c r="O242" s="422" t="str">
        <f t="shared" si="100"/>
        <v/>
      </c>
      <c r="P242" s="422" t="str">
        <f t="shared" si="101"/>
        <v/>
      </c>
      <c r="Q242" s="422" t="str">
        <f t="shared" si="102"/>
        <v/>
      </c>
      <c r="R242" s="422" t="str">
        <f t="shared" si="103"/>
        <v/>
      </c>
      <c r="S242" s="583">
        <v>610100</v>
      </c>
      <c r="T242" s="377" t="str">
        <f>+IFERROR(VLOOKUP(S242,STAT1!$C$4:$D$189,2,FALSE),"")</f>
        <v>Борлуулсан барааны өртөг</v>
      </c>
      <c r="U242" s="424">
        <v>94317.086557831062</v>
      </c>
      <c r="V242" s="424"/>
      <c r="W242" s="822">
        <v>3089</v>
      </c>
      <c r="X242" s="436" t="str">
        <f>IFERROR(VLOOKUP(W242,DATA!$G$4:$H$400,2,FALSE),"")</f>
        <v>ГУУЛИЙН ДӨШ ХХК</v>
      </c>
      <c r="Y242" s="328"/>
      <c r="Z242" s="328"/>
      <c r="AA242" s="328"/>
    </row>
    <row r="243" spans="1:27" ht="12.75" customHeight="1">
      <c r="A243" s="425"/>
      <c r="B243" s="368">
        <f t="shared" si="93"/>
        <v>238</v>
      </c>
      <c r="C243" s="425">
        <v>43236</v>
      </c>
      <c r="D243" s="830"/>
      <c r="E243" s="876" t="str">
        <f t="shared" ca="1" si="94"/>
        <v/>
      </c>
      <c r="F243" s="426" t="str">
        <f t="shared" ca="1" si="98"/>
        <v/>
      </c>
      <c r="G243" s="415"/>
      <c r="H243" s="415"/>
      <c r="I243" s="415" t="str">
        <f t="shared" si="95"/>
        <v/>
      </c>
      <c r="J243" s="415" t="str">
        <f t="shared" si="96"/>
        <v/>
      </c>
      <c r="K243" s="415" t="str">
        <f t="shared" si="97"/>
        <v/>
      </c>
      <c r="L243" s="415"/>
      <c r="M243" s="415"/>
      <c r="N243" s="422" t="str">
        <f t="shared" si="99"/>
        <v/>
      </c>
      <c r="O243" s="422" t="str">
        <f t="shared" si="100"/>
        <v/>
      </c>
      <c r="P243" s="422" t="str">
        <f t="shared" si="101"/>
        <v/>
      </c>
      <c r="Q243" s="422" t="str">
        <f t="shared" si="102"/>
        <v/>
      </c>
      <c r="R243" s="422" t="str">
        <f t="shared" si="103"/>
        <v/>
      </c>
      <c r="S243" s="583">
        <v>310500</v>
      </c>
      <c r="T243" s="377" t="str">
        <f>+IFERROR(VLOOKUP(S243,STAT1!$C$4:$D$189,2,FALSE),"")</f>
        <v>НӨАТ өглөг</v>
      </c>
      <c r="U243" s="424"/>
      <c r="V243" s="424">
        <v>11400</v>
      </c>
      <c r="W243" s="822">
        <v>3089</v>
      </c>
      <c r="X243" s="436" t="str">
        <f>IFERROR(VLOOKUP(W243,DATA!$G$4:$H$400,2,FALSE),"")</f>
        <v>ГУУЛИЙН ДӨШ ХХК</v>
      </c>
      <c r="Y243" s="328"/>
      <c r="Z243" s="328"/>
      <c r="AA243" s="328"/>
    </row>
    <row r="244" spans="1:27" ht="12.75" customHeight="1">
      <c r="A244" s="425"/>
      <c r="B244" s="368">
        <f t="shared" si="93"/>
        <v>239</v>
      </c>
      <c r="C244" s="425">
        <v>43236</v>
      </c>
      <c r="D244" s="830"/>
      <c r="E244" s="876" t="str">
        <f t="shared" ca="1" si="94"/>
        <v/>
      </c>
      <c r="F244" s="426" t="str">
        <f t="shared" ca="1" si="98"/>
        <v/>
      </c>
      <c r="G244" s="415"/>
      <c r="H244" s="415"/>
      <c r="I244" s="415" t="str">
        <f t="shared" si="95"/>
        <v/>
      </c>
      <c r="J244" s="415" t="str">
        <f t="shared" si="96"/>
        <v/>
      </c>
      <c r="K244" s="415" t="str">
        <f t="shared" si="97"/>
        <v/>
      </c>
      <c r="L244" s="415"/>
      <c r="M244" s="415"/>
      <c r="N244" s="422" t="str">
        <f t="shared" si="99"/>
        <v/>
      </c>
      <c r="O244" s="422" t="str">
        <f t="shared" si="100"/>
        <v/>
      </c>
      <c r="P244" s="422" t="str">
        <f t="shared" si="101"/>
        <v/>
      </c>
      <c r="Q244" s="422" t="str">
        <f t="shared" si="102"/>
        <v/>
      </c>
      <c r="R244" s="422" t="str">
        <f t="shared" si="103"/>
        <v/>
      </c>
      <c r="S244" s="583">
        <v>510000</v>
      </c>
      <c r="T244" s="377" t="str">
        <f>+IFERROR(VLOOKUP(S244,STAT1!$C$4:$D$189,2,FALSE),"")</f>
        <v>Үндсэн үйл ажиллагааны борлуулалт</v>
      </c>
      <c r="U244" s="424"/>
      <c r="V244" s="424">
        <v>114000</v>
      </c>
      <c r="W244" s="822">
        <v>3089</v>
      </c>
      <c r="X244" s="436" t="str">
        <f>IFERROR(VLOOKUP(W244,DATA!$G$4:$H$400,2,FALSE),"")</f>
        <v>ГУУЛИЙН ДӨШ ХХК</v>
      </c>
      <c r="Y244" s="328"/>
      <c r="Z244" s="328"/>
      <c r="AA244" s="328"/>
    </row>
    <row r="245" spans="1:27" ht="12.75" customHeight="1">
      <c r="A245" s="425"/>
      <c r="B245" s="368">
        <f t="shared" si="93"/>
        <v>240</v>
      </c>
      <c r="C245" s="425">
        <v>43236</v>
      </c>
      <c r="D245" s="830"/>
      <c r="E245" s="876" t="str">
        <f t="shared" ca="1" si="94"/>
        <v/>
      </c>
      <c r="F245" s="426" t="str">
        <f t="shared" ca="1" si="98"/>
        <v/>
      </c>
      <c r="G245" s="415"/>
      <c r="H245" s="415"/>
      <c r="I245" s="415" t="str">
        <f t="shared" si="95"/>
        <v/>
      </c>
      <c r="J245" s="415" t="str">
        <f t="shared" si="96"/>
        <v/>
      </c>
      <c r="K245" s="415" t="str">
        <f t="shared" si="97"/>
        <v/>
      </c>
      <c r="L245" s="415"/>
      <c r="M245" s="415"/>
      <c r="N245" s="422" t="str">
        <f t="shared" si="99"/>
        <v/>
      </c>
      <c r="O245" s="422" t="str">
        <f t="shared" si="100"/>
        <v/>
      </c>
      <c r="P245" s="422" t="str">
        <f t="shared" si="101"/>
        <v/>
      </c>
      <c r="Q245" s="422" t="str">
        <f t="shared" si="102"/>
        <v/>
      </c>
      <c r="R245" s="422" t="str">
        <f t="shared" si="103"/>
        <v/>
      </c>
      <c r="S245" s="583">
        <v>320100</v>
      </c>
      <c r="T245" s="377" t="str">
        <f>+IFERROR(VLOOKUP(S245,STAT1!$C$4:$D$189,2,FALSE),"")</f>
        <v>Урьдчилж орсон орлого MNT</v>
      </c>
      <c r="U245" s="415">
        <v>125400</v>
      </c>
      <c r="V245" s="415"/>
      <c r="W245" s="822">
        <v>3089</v>
      </c>
      <c r="X245" s="436" t="str">
        <f>IFERROR(VLOOKUP(W245,DATA!$G$4:$H$400,2,FALSE),"")</f>
        <v>ГУУЛИЙН ДӨШ ХХК</v>
      </c>
      <c r="Y245" s="328"/>
      <c r="Z245" s="328"/>
      <c r="AA245" s="328"/>
    </row>
    <row r="246" spans="1:27" ht="12.75" customHeight="1">
      <c r="A246" s="425"/>
      <c r="B246" s="368">
        <f t="shared" si="93"/>
        <v>241</v>
      </c>
      <c r="C246" s="425">
        <v>43243</v>
      </c>
      <c r="D246" s="830">
        <v>211717</v>
      </c>
      <c r="E246" s="876" t="str">
        <f t="shared" ca="1" si="94"/>
        <v>Н-Хавтан/зузаан-4см/-яртай</v>
      </c>
      <c r="F246" s="426" t="str">
        <f t="shared" ca="1" si="98"/>
        <v>м2</v>
      </c>
      <c r="G246" s="415"/>
      <c r="H246" s="415"/>
      <c r="I246" s="415" t="str">
        <f t="shared" si="95"/>
        <v/>
      </c>
      <c r="J246" s="415" t="str">
        <f t="shared" si="96"/>
        <v/>
      </c>
      <c r="K246" s="415" t="str">
        <f t="shared" si="97"/>
        <v/>
      </c>
      <c r="L246" s="415">
        <v>3.95</v>
      </c>
      <c r="M246" s="415">
        <v>49988.4925</v>
      </c>
      <c r="N246" s="422">
        <f t="shared" si="99"/>
        <v>197454.54537500002</v>
      </c>
      <c r="O246" s="422">
        <f t="shared" si="100"/>
        <v>19745.454537500002</v>
      </c>
      <c r="P246" s="422">
        <f t="shared" si="101"/>
        <v>217199.99991250003</v>
      </c>
      <c r="Q246" s="422">
        <f t="shared" ca="1" si="102"/>
        <v>50424.29734124463</v>
      </c>
      <c r="R246" s="422">
        <f t="shared" ca="1" si="103"/>
        <v>199175.97449791629</v>
      </c>
      <c r="S246" s="583">
        <f>+IF(LEFT(D246,3)="131",140100,0)+IF(LEFT(D246,3)="310",150100,0)+IF(LEFT(D246,3)="211",150101,0)+IF(LEFT(D246,3)="410",160100,0)+IF(LEFT(D246,3)="440",160200,0)+IF(LEFT(D246,3)="430",160200,0)+IF(LEFT(D246,3)="420",160200,0)+IF(LEFT(D246,3)="460",160201,0)+IF(LEFT(D246,3)="210",150101,0)+IF(LEFT(D246,3)="510",140100,0)</f>
        <v>150101</v>
      </c>
      <c r="T246" s="377" t="str">
        <f>+IFERROR(VLOOKUP(S246,STAT1!$C$4:$D$189,2,FALSE),"")</f>
        <v>Бараа бэлэн бүтээгдэхүүн БОЛОВСРУУЛАХ ЦЕХ /нарс/</v>
      </c>
      <c r="U246" s="424"/>
      <c r="V246" s="424">
        <v>199175.97449791629</v>
      </c>
      <c r="W246" s="822">
        <v>3110</v>
      </c>
      <c r="X246" s="436" t="str">
        <f>IFERROR(VLOOKUP(W246,DATA!$G$4:$H$400,2,FALSE),"")</f>
        <v xml:space="preserve">СҮЙХЭНТ ХХК </v>
      </c>
      <c r="Y246" s="328"/>
      <c r="Z246" s="328"/>
      <c r="AA246" s="328"/>
    </row>
    <row r="247" spans="1:27" ht="12.75" customHeight="1">
      <c r="A247" s="425"/>
      <c r="B247" s="368">
        <f t="shared" si="93"/>
        <v>242</v>
      </c>
      <c r="C247" s="425">
        <v>43243</v>
      </c>
      <c r="D247" s="830"/>
      <c r="E247" s="876" t="str">
        <f t="shared" ca="1" si="94"/>
        <v/>
      </c>
      <c r="F247" s="426" t="str">
        <f t="shared" ca="1" si="98"/>
        <v/>
      </c>
      <c r="G247" s="415"/>
      <c r="H247" s="415"/>
      <c r="I247" s="415" t="str">
        <f t="shared" si="95"/>
        <v/>
      </c>
      <c r="J247" s="415" t="str">
        <f t="shared" si="96"/>
        <v/>
      </c>
      <c r="K247" s="415" t="str">
        <f t="shared" si="97"/>
        <v/>
      </c>
      <c r="L247" s="415"/>
      <c r="M247" s="415"/>
      <c r="N247" s="422" t="str">
        <f t="shared" si="99"/>
        <v/>
      </c>
      <c r="O247" s="422" t="str">
        <f t="shared" si="100"/>
        <v/>
      </c>
      <c r="P247" s="422" t="str">
        <f t="shared" si="101"/>
        <v/>
      </c>
      <c r="Q247" s="422" t="str">
        <f t="shared" si="102"/>
        <v/>
      </c>
      <c r="R247" s="422" t="str">
        <f t="shared" si="103"/>
        <v/>
      </c>
      <c r="S247" s="583">
        <v>610100</v>
      </c>
      <c r="T247" s="377" t="str">
        <f>+IFERROR(VLOOKUP(S247,STAT1!$C$4:$D$189,2,FALSE),"")</f>
        <v>Борлуулсан барааны өртөг</v>
      </c>
      <c r="U247" s="424">
        <v>199175.97449791629</v>
      </c>
      <c r="V247" s="424"/>
      <c r="W247" s="822">
        <v>3110</v>
      </c>
      <c r="X247" s="436" t="str">
        <f>IFERROR(VLOOKUP(W247,DATA!$G$4:$H$400,2,FALSE),"")</f>
        <v xml:space="preserve">СҮЙХЭНТ ХХК </v>
      </c>
      <c r="Y247" s="328"/>
      <c r="Z247" s="328"/>
      <c r="AA247" s="328"/>
    </row>
    <row r="248" spans="1:27" ht="12.75" customHeight="1">
      <c r="A248" s="425"/>
      <c r="B248" s="368">
        <f t="shared" si="93"/>
        <v>243</v>
      </c>
      <c r="C248" s="425">
        <v>43243</v>
      </c>
      <c r="D248" s="830"/>
      <c r="E248" s="876" t="str">
        <f t="shared" ca="1" si="94"/>
        <v/>
      </c>
      <c r="F248" s="426" t="str">
        <f t="shared" ca="1" si="98"/>
        <v/>
      </c>
      <c r="G248" s="415"/>
      <c r="H248" s="415"/>
      <c r="I248" s="415" t="str">
        <f t="shared" si="95"/>
        <v/>
      </c>
      <c r="J248" s="415" t="str">
        <f t="shared" si="96"/>
        <v/>
      </c>
      <c r="K248" s="415" t="str">
        <f t="shared" si="97"/>
        <v/>
      </c>
      <c r="L248" s="415"/>
      <c r="M248" s="415"/>
      <c r="N248" s="422" t="str">
        <f t="shared" si="99"/>
        <v/>
      </c>
      <c r="O248" s="422" t="str">
        <f t="shared" si="100"/>
        <v/>
      </c>
      <c r="P248" s="422" t="str">
        <f t="shared" si="101"/>
        <v/>
      </c>
      <c r="Q248" s="422" t="str">
        <f t="shared" si="102"/>
        <v/>
      </c>
      <c r="R248" s="422" t="str">
        <f t="shared" si="103"/>
        <v/>
      </c>
      <c r="S248" s="583">
        <v>310500</v>
      </c>
      <c r="T248" s="377" t="str">
        <f>+IFERROR(VLOOKUP(S248,STAT1!$C$4:$D$189,2,FALSE),"")</f>
        <v>НӨАТ өглөг</v>
      </c>
      <c r="U248" s="424"/>
      <c r="V248" s="424">
        <v>19745.454537500002</v>
      </c>
      <c r="W248" s="822">
        <v>3110</v>
      </c>
      <c r="X248" s="436" t="str">
        <f>IFERROR(VLOOKUP(W248,DATA!$G$4:$H$400,2,FALSE),"")</f>
        <v xml:space="preserve">СҮЙХЭНТ ХХК </v>
      </c>
      <c r="Y248" s="328"/>
      <c r="Z248" s="328"/>
      <c r="AA248" s="328"/>
    </row>
    <row r="249" spans="1:27" ht="12.75" customHeight="1">
      <c r="A249" s="425"/>
      <c r="B249" s="368">
        <f t="shared" si="93"/>
        <v>244</v>
      </c>
      <c r="C249" s="425">
        <v>43243</v>
      </c>
      <c r="D249" s="830"/>
      <c r="E249" s="876" t="str">
        <f t="shared" ca="1" si="94"/>
        <v/>
      </c>
      <c r="F249" s="426" t="str">
        <f t="shared" ca="1" si="98"/>
        <v/>
      </c>
      <c r="G249" s="415"/>
      <c r="H249" s="415"/>
      <c r="I249" s="415" t="str">
        <f t="shared" si="95"/>
        <v/>
      </c>
      <c r="J249" s="415" t="str">
        <f t="shared" si="96"/>
        <v/>
      </c>
      <c r="K249" s="415" t="str">
        <f t="shared" si="97"/>
        <v/>
      </c>
      <c r="L249" s="415"/>
      <c r="M249" s="415"/>
      <c r="N249" s="422" t="str">
        <f t="shared" si="99"/>
        <v/>
      </c>
      <c r="O249" s="422" t="str">
        <f t="shared" si="100"/>
        <v/>
      </c>
      <c r="P249" s="422" t="str">
        <f t="shared" si="101"/>
        <v/>
      </c>
      <c r="Q249" s="422" t="str">
        <f t="shared" si="102"/>
        <v/>
      </c>
      <c r="R249" s="422" t="str">
        <f t="shared" si="103"/>
        <v/>
      </c>
      <c r="S249" s="583">
        <v>510000</v>
      </c>
      <c r="T249" s="377" t="str">
        <f>+IFERROR(VLOOKUP(S249,STAT1!$C$4:$D$189,2,FALSE),"")</f>
        <v>Үндсэн үйл ажиллагааны борлуулалт</v>
      </c>
      <c r="U249" s="424"/>
      <c r="V249" s="424">
        <v>197454.54537500002</v>
      </c>
      <c r="W249" s="822">
        <v>3110</v>
      </c>
      <c r="X249" s="436" t="str">
        <f>IFERROR(VLOOKUP(W249,DATA!$G$4:$H$400,2,FALSE),"")</f>
        <v xml:space="preserve">СҮЙХЭНТ ХХК </v>
      </c>
      <c r="Y249" s="328"/>
      <c r="Z249" s="328"/>
      <c r="AA249" s="328"/>
    </row>
    <row r="250" spans="1:27" ht="12.75" customHeight="1">
      <c r="A250" s="425"/>
      <c r="B250" s="368">
        <f t="shared" si="93"/>
        <v>245</v>
      </c>
      <c r="C250" s="425">
        <v>43243</v>
      </c>
      <c r="D250" s="830"/>
      <c r="E250" s="876" t="str">
        <f t="shared" ca="1" si="94"/>
        <v/>
      </c>
      <c r="F250" s="426" t="str">
        <f t="shared" ca="1" si="98"/>
        <v/>
      </c>
      <c r="G250" s="415"/>
      <c r="H250" s="415"/>
      <c r="I250" s="415" t="str">
        <f t="shared" si="95"/>
        <v/>
      </c>
      <c r="J250" s="415" t="str">
        <f t="shared" si="96"/>
        <v/>
      </c>
      <c r="K250" s="415" t="str">
        <f t="shared" si="97"/>
        <v/>
      </c>
      <c r="L250" s="415"/>
      <c r="M250" s="415"/>
      <c r="N250" s="422" t="str">
        <f t="shared" si="99"/>
        <v/>
      </c>
      <c r="O250" s="422" t="str">
        <f t="shared" si="100"/>
        <v/>
      </c>
      <c r="P250" s="422" t="str">
        <f t="shared" si="101"/>
        <v/>
      </c>
      <c r="Q250" s="422" t="str">
        <f t="shared" si="102"/>
        <v/>
      </c>
      <c r="R250" s="422" t="str">
        <f t="shared" si="103"/>
        <v/>
      </c>
      <c r="S250" s="583">
        <v>320100</v>
      </c>
      <c r="T250" s="377" t="str">
        <f>+IFERROR(VLOOKUP(S250,STAT1!$C$4:$D$189,2,FALSE),"")</f>
        <v>Урьдчилж орсон орлого MNT</v>
      </c>
      <c r="U250" s="415">
        <v>217199.99991250003</v>
      </c>
      <c r="V250" s="415"/>
      <c r="W250" s="822">
        <v>3110</v>
      </c>
      <c r="X250" s="436" t="str">
        <f>IFERROR(VLOOKUP(W250,DATA!$G$4:$H$400,2,FALSE),"")</f>
        <v xml:space="preserve">СҮЙХЭНТ ХХК </v>
      </c>
      <c r="Y250" s="328"/>
      <c r="Z250" s="328"/>
      <c r="AA250" s="328"/>
    </row>
    <row r="251" spans="1:27" ht="12.75" customHeight="1">
      <c r="A251" s="425"/>
      <c r="B251" s="368">
        <f t="shared" si="93"/>
        <v>246</v>
      </c>
      <c r="C251" s="425">
        <v>43250</v>
      </c>
      <c r="D251" s="830">
        <v>211504</v>
      </c>
      <c r="E251" s="876" t="str">
        <f t="shared" ca="1" si="94"/>
        <v xml:space="preserve">Н-Евровагонка /зузаан-1.2см/-яртай </v>
      </c>
      <c r="F251" s="426" t="str">
        <f t="shared" ca="1" si="98"/>
        <v>м2</v>
      </c>
      <c r="G251" s="415"/>
      <c r="H251" s="415"/>
      <c r="I251" s="415" t="str">
        <f t="shared" si="95"/>
        <v/>
      </c>
      <c r="J251" s="415" t="str">
        <f t="shared" si="96"/>
        <v/>
      </c>
      <c r="K251" s="415" t="str">
        <f t="shared" si="97"/>
        <v/>
      </c>
      <c r="L251" s="415">
        <v>20.100000000000001</v>
      </c>
      <c r="M251" s="415">
        <v>18000.904500000001</v>
      </c>
      <c r="N251" s="422">
        <f t="shared" si="99"/>
        <v>361818.18045000004</v>
      </c>
      <c r="O251" s="422">
        <f t="shared" si="100"/>
        <v>36181.818045000007</v>
      </c>
      <c r="P251" s="422">
        <f t="shared" si="101"/>
        <v>397999.99849500007</v>
      </c>
      <c r="Q251" s="422">
        <f t="shared" ca="1" si="102"/>
        <v>11896.785561853305</v>
      </c>
      <c r="R251" s="422">
        <f t="shared" ca="1" si="103"/>
        <v>239125.38979325144</v>
      </c>
      <c r="S251" s="583">
        <f>+IF(LEFT(D251,3)="131",140100,0)+IF(LEFT(D251,3)="310",150100,0)+IF(LEFT(D251,3)="211",150101,0)+IF(LEFT(D251,3)="410",160100,0)+IF(LEFT(D251,3)="440",160200,0)+IF(LEFT(D251,3)="430",160200,0)+IF(LEFT(D251,3)="420",160200,0)+IF(LEFT(D251,3)="460",160201,0)+IF(LEFT(D251,3)="210",150101,0)+IF(LEFT(D251,3)="510",140100,0)</f>
        <v>150101</v>
      </c>
      <c r="T251" s="377" t="str">
        <f>+IFERROR(VLOOKUP(S251,STAT1!$C$4:$D$189,2,FALSE),"")</f>
        <v>Бараа бэлэн бүтээгдэхүүн БОЛОВСРУУЛАХ ЦЕХ /нарс/</v>
      </c>
      <c r="U251" s="424"/>
      <c r="V251" s="424">
        <v>239125.38979325144</v>
      </c>
      <c r="W251" s="822">
        <v>3128</v>
      </c>
      <c r="X251" s="436" t="str">
        <f>IFERROR(VLOOKUP(W251,DATA!$G$4:$H$400,2,FALSE),"")</f>
        <v>ЦАСТБААТАР ЦАМХАГ ХХК</v>
      </c>
      <c r="Y251" s="328"/>
      <c r="Z251" s="328"/>
      <c r="AA251" s="328"/>
    </row>
    <row r="252" spans="1:27" ht="12.75" customHeight="1">
      <c r="A252" s="425"/>
      <c r="B252" s="368">
        <f t="shared" si="93"/>
        <v>247</v>
      </c>
      <c r="C252" s="425">
        <v>43250</v>
      </c>
      <c r="D252" s="830"/>
      <c r="E252" s="876" t="str">
        <f t="shared" ca="1" si="94"/>
        <v/>
      </c>
      <c r="F252" s="426" t="str">
        <f t="shared" ca="1" si="98"/>
        <v/>
      </c>
      <c r="G252" s="415"/>
      <c r="H252" s="415"/>
      <c r="I252" s="415" t="str">
        <f t="shared" si="95"/>
        <v/>
      </c>
      <c r="J252" s="415" t="str">
        <f t="shared" si="96"/>
        <v/>
      </c>
      <c r="K252" s="415" t="str">
        <f t="shared" si="97"/>
        <v/>
      </c>
      <c r="L252" s="415"/>
      <c r="M252" s="415"/>
      <c r="N252" s="422" t="str">
        <f t="shared" si="99"/>
        <v/>
      </c>
      <c r="O252" s="422" t="str">
        <f t="shared" si="100"/>
        <v/>
      </c>
      <c r="P252" s="422" t="str">
        <f t="shared" si="101"/>
        <v/>
      </c>
      <c r="Q252" s="422" t="str">
        <f t="shared" si="102"/>
        <v/>
      </c>
      <c r="R252" s="422" t="str">
        <f t="shared" si="103"/>
        <v/>
      </c>
      <c r="S252" s="583">
        <v>610100</v>
      </c>
      <c r="T252" s="377" t="str">
        <f>+IFERROR(VLOOKUP(S252,STAT1!$C$4:$D$189,2,FALSE),"")</f>
        <v>Борлуулсан барааны өртөг</v>
      </c>
      <c r="U252" s="424">
        <v>239125.38979325144</v>
      </c>
      <c r="V252" s="424"/>
      <c r="W252" s="822">
        <v>3128</v>
      </c>
      <c r="X252" s="436" t="str">
        <f>IFERROR(VLOOKUP(W252,DATA!$G$4:$H$400,2,FALSE),"")</f>
        <v>ЦАСТБААТАР ЦАМХАГ ХХК</v>
      </c>
      <c r="Y252" s="328"/>
      <c r="Z252" s="328"/>
      <c r="AA252" s="328"/>
    </row>
    <row r="253" spans="1:27" ht="12.75" customHeight="1">
      <c r="A253" s="425"/>
      <c r="B253" s="368">
        <f t="shared" si="93"/>
        <v>248</v>
      </c>
      <c r="C253" s="425">
        <v>43250</v>
      </c>
      <c r="D253" s="830"/>
      <c r="E253" s="876" t="str">
        <f t="shared" ca="1" si="94"/>
        <v/>
      </c>
      <c r="F253" s="426" t="str">
        <f t="shared" ca="1" si="98"/>
        <v/>
      </c>
      <c r="G253" s="415"/>
      <c r="H253" s="415"/>
      <c r="I253" s="415" t="str">
        <f t="shared" si="95"/>
        <v/>
      </c>
      <c r="J253" s="415" t="str">
        <f t="shared" si="96"/>
        <v/>
      </c>
      <c r="K253" s="415" t="str">
        <f t="shared" si="97"/>
        <v/>
      </c>
      <c r="L253" s="415"/>
      <c r="M253" s="415"/>
      <c r="N253" s="422" t="str">
        <f t="shared" si="99"/>
        <v/>
      </c>
      <c r="O253" s="422" t="str">
        <f t="shared" si="100"/>
        <v/>
      </c>
      <c r="P253" s="422" t="str">
        <f t="shared" si="101"/>
        <v/>
      </c>
      <c r="Q253" s="422" t="str">
        <f t="shared" si="102"/>
        <v/>
      </c>
      <c r="R253" s="422" t="str">
        <f t="shared" si="103"/>
        <v/>
      </c>
      <c r="S253" s="583">
        <v>310500</v>
      </c>
      <c r="T253" s="377" t="str">
        <f>+IFERROR(VLOOKUP(S253,STAT1!$C$4:$D$189,2,FALSE),"")</f>
        <v>НӨАТ өглөг</v>
      </c>
      <c r="U253" s="424"/>
      <c r="V253" s="424">
        <v>36181.818045000007</v>
      </c>
      <c r="W253" s="822">
        <v>3128</v>
      </c>
      <c r="X253" s="436" t="str">
        <f>IFERROR(VLOOKUP(W253,DATA!$G$4:$H$400,2,FALSE),"")</f>
        <v>ЦАСТБААТАР ЦАМХАГ ХХК</v>
      </c>
      <c r="Y253" s="328"/>
      <c r="Z253" s="328"/>
      <c r="AA253" s="328"/>
    </row>
    <row r="254" spans="1:27" ht="12.75" customHeight="1">
      <c r="A254" s="425"/>
      <c r="B254" s="368">
        <f t="shared" si="93"/>
        <v>249</v>
      </c>
      <c r="C254" s="425">
        <v>43250</v>
      </c>
      <c r="D254" s="830"/>
      <c r="E254" s="876" t="str">
        <f t="shared" ca="1" si="94"/>
        <v/>
      </c>
      <c r="F254" s="426" t="str">
        <f t="shared" ca="1" si="98"/>
        <v/>
      </c>
      <c r="G254" s="415"/>
      <c r="H254" s="415"/>
      <c r="I254" s="415" t="str">
        <f t="shared" si="95"/>
        <v/>
      </c>
      <c r="J254" s="415" t="str">
        <f t="shared" si="96"/>
        <v/>
      </c>
      <c r="K254" s="415" t="str">
        <f t="shared" si="97"/>
        <v/>
      </c>
      <c r="L254" s="415"/>
      <c r="M254" s="415"/>
      <c r="N254" s="422" t="str">
        <f t="shared" si="99"/>
        <v/>
      </c>
      <c r="O254" s="422" t="str">
        <f t="shared" si="100"/>
        <v/>
      </c>
      <c r="P254" s="422" t="str">
        <f t="shared" si="101"/>
        <v/>
      </c>
      <c r="Q254" s="422" t="str">
        <f t="shared" si="102"/>
        <v/>
      </c>
      <c r="R254" s="422" t="str">
        <f t="shared" si="103"/>
        <v/>
      </c>
      <c r="S254" s="583">
        <v>510000</v>
      </c>
      <c r="T254" s="377" t="str">
        <f>+IFERROR(VLOOKUP(S254,STAT1!$C$4:$D$189,2,FALSE),"")</f>
        <v>Үндсэн үйл ажиллагааны борлуулалт</v>
      </c>
      <c r="U254" s="424"/>
      <c r="V254" s="424">
        <v>361818.18045000004</v>
      </c>
      <c r="W254" s="822">
        <v>3128</v>
      </c>
      <c r="X254" s="436" t="str">
        <f>IFERROR(VLOOKUP(W254,DATA!$G$4:$H$400,2,FALSE),"")</f>
        <v>ЦАСТБААТАР ЦАМХАГ ХХК</v>
      </c>
      <c r="Y254" s="328"/>
      <c r="Z254" s="328"/>
      <c r="AA254" s="328"/>
    </row>
    <row r="255" spans="1:27" ht="12.75" customHeight="1">
      <c r="A255" s="425"/>
      <c r="B255" s="368">
        <f t="shared" si="93"/>
        <v>250</v>
      </c>
      <c r="C255" s="425">
        <v>43250</v>
      </c>
      <c r="D255" s="830"/>
      <c r="E255" s="876" t="str">
        <f t="shared" ca="1" si="94"/>
        <v/>
      </c>
      <c r="F255" s="426" t="str">
        <f t="shared" ca="1" si="98"/>
        <v/>
      </c>
      <c r="G255" s="415"/>
      <c r="H255" s="415"/>
      <c r="I255" s="415" t="str">
        <f t="shared" si="95"/>
        <v/>
      </c>
      <c r="J255" s="415" t="str">
        <f t="shared" si="96"/>
        <v/>
      </c>
      <c r="K255" s="415" t="str">
        <f t="shared" si="97"/>
        <v/>
      </c>
      <c r="L255" s="415"/>
      <c r="M255" s="415"/>
      <c r="N255" s="422" t="str">
        <f t="shared" si="99"/>
        <v/>
      </c>
      <c r="O255" s="422" t="str">
        <f t="shared" si="100"/>
        <v/>
      </c>
      <c r="P255" s="422" t="str">
        <f t="shared" si="101"/>
        <v/>
      </c>
      <c r="Q255" s="422" t="str">
        <f t="shared" si="102"/>
        <v/>
      </c>
      <c r="R255" s="422" t="str">
        <f t="shared" si="103"/>
        <v/>
      </c>
      <c r="S255" s="583">
        <v>320100</v>
      </c>
      <c r="T255" s="377" t="str">
        <f>+IFERROR(VLOOKUP(S255,STAT1!$C$4:$D$189,2,FALSE),"")</f>
        <v>Урьдчилж орсон орлого MNT</v>
      </c>
      <c r="U255" s="415">
        <v>397999.99849500007</v>
      </c>
      <c r="V255" s="415"/>
      <c r="W255" s="822">
        <v>3128</v>
      </c>
      <c r="X255" s="436" t="str">
        <f>IFERROR(VLOOKUP(W255,DATA!$G$4:$H$400,2,FALSE),"")</f>
        <v>ЦАСТБААТАР ЦАМХАГ ХХК</v>
      </c>
      <c r="Y255" s="328"/>
      <c r="Z255" s="328"/>
      <c r="AA255" s="328"/>
    </row>
    <row r="256" spans="1:27" ht="12.75" customHeight="1">
      <c r="A256" s="425"/>
      <c r="B256" s="368">
        <f t="shared" si="93"/>
        <v>251</v>
      </c>
      <c r="C256" s="425">
        <v>43250</v>
      </c>
      <c r="D256" s="830">
        <v>211504</v>
      </c>
      <c r="E256" s="876" t="str">
        <f t="shared" ca="1" si="94"/>
        <v xml:space="preserve">Н-Евровагонка /зузаан-1.2см/-яртай </v>
      </c>
      <c r="F256" s="426" t="str">
        <f t="shared" ca="1" si="98"/>
        <v>м2</v>
      </c>
      <c r="G256" s="415"/>
      <c r="H256" s="415"/>
      <c r="I256" s="415" t="str">
        <f t="shared" si="95"/>
        <v/>
      </c>
      <c r="J256" s="415" t="str">
        <f t="shared" si="96"/>
        <v/>
      </c>
      <c r="K256" s="415" t="str">
        <f t="shared" si="97"/>
        <v/>
      </c>
      <c r="L256" s="415">
        <v>28.91</v>
      </c>
      <c r="M256" s="415">
        <v>18003.3017</v>
      </c>
      <c r="N256" s="422">
        <f t="shared" si="99"/>
        <v>520475.452147</v>
      </c>
      <c r="O256" s="422">
        <f t="shared" si="100"/>
        <v>52047.545214700003</v>
      </c>
      <c r="P256" s="422">
        <f t="shared" si="101"/>
        <v>572522.99736170005</v>
      </c>
      <c r="Q256" s="422">
        <f t="shared" ca="1" si="102"/>
        <v>11896.785561853305</v>
      </c>
      <c r="R256" s="422">
        <f t="shared" ca="1" si="103"/>
        <v>343936.07059317903</v>
      </c>
      <c r="S256" s="583">
        <f>+IF(LEFT(D256,3)="131",140100,0)+IF(LEFT(D256,3)="310",150100,0)+IF(LEFT(D256,3)="211",150101,0)+IF(LEFT(D256,3)="410",160100,0)+IF(LEFT(D256,3)="440",160200,0)+IF(LEFT(D256,3)="430",160200,0)+IF(LEFT(D256,3)="420",160200,0)+IF(LEFT(D256,3)="460",160201,0)+IF(LEFT(D256,3)="210",150101,0)+IF(LEFT(D256,3)="510",140100,0)</f>
        <v>150101</v>
      </c>
      <c r="T256" s="377" t="str">
        <f>+IFERROR(VLOOKUP(S256,STAT1!$C$4:$D$189,2,FALSE),"")</f>
        <v>Бараа бэлэн бүтээгдэхүүн БОЛОВСРУУЛАХ ЦЕХ /нарс/</v>
      </c>
      <c r="U256" s="424"/>
      <c r="V256" s="424">
        <v>343936.07059317903</v>
      </c>
      <c r="W256" s="822">
        <v>4002</v>
      </c>
      <c r="X256" s="436" t="str">
        <f>IFERROR(VLOOKUP(W256,DATA!$G$4:$H$400,2,FALSE),"")</f>
        <v xml:space="preserve">Хувь хүн </v>
      </c>
      <c r="Y256" s="328"/>
      <c r="Z256" s="328"/>
      <c r="AA256" s="328"/>
    </row>
    <row r="257" spans="1:27" ht="12.75" customHeight="1">
      <c r="A257" s="425"/>
      <c r="B257" s="368">
        <f t="shared" si="93"/>
        <v>252</v>
      </c>
      <c r="C257" s="425">
        <v>43250</v>
      </c>
      <c r="D257" s="830"/>
      <c r="E257" s="876" t="str">
        <f t="shared" ca="1" si="94"/>
        <v/>
      </c>
      <c r="F257" s="426" t="str">
        <f t="shared" ca="1" si="98"/>
        <v/>
      </c>
      <c r="G257" s="415"/>
      <c r="H257" s="415"/>
      <c r="I257" s="415" t="str">
        <f t="shared" si="95"/>
        <v/>
      </c>
      <c r="J257" s="415" t="str">
        <f t="shared" si="96"/>
        <v/>
      </c>
      <c r="K257" s="415" t="str">
        <f t="shared" si="97"/>
        <v/>
      </c>
      <c r="L257" s="415"/>
      <c r="M257" s="415"/>
      <c r="N257" s="422" t="str">
        <f t="shared" si="99"/>
        <v/>
      </c>
      <c r="O257" s="422" t="str">
        <f t="shared" si="100"/>
        <v/>
      </c>
      <c r="P257" s="422" t="str">
        <f t="shared" si="101"/>
        <v/>
      </c>
      <c r="Q257" s="422" t="str">
        <f t="shared" si="102"/>
        <v/>
      </c>
      <c r="R257" s="422" t="str">
        <f t="shared" si="103"/>
        <v/>
      </c>
      <c r="S257" s="583">
        <v>610100</v>
      </c>
      <c r="T257" s="377" t="str">
        <f>+IFERROR(VLOOKUP(S257,STAT1!$C$4:$D$189,2,FALSE),"")</f>
        <v>Борлуулсан барааны өртөг</v>
      </c>
      <c r="U257" s="424">
        <v>343936.07059317903</v>
      </c>
      <c r="V257" s="424"/>
      <c r="W257" s="822">
        <v>4002</v>
      </c>
      <c r="X257" s="436" t="str">
        <f>IFERROR(VLOOKUP(W257,DATA!$G$4:$H$400,2,FALSE),"")</f>
        <v xml:space="preserve">Хувь хүн </v>
      </c>
      <c r="Y257" s="328"/>
      <c r="Z257" s="328"/>
      <c r="AA257" s="328"/>
    </row>
    <row r="258" spans="1:27" ht="12.75" customHeight="1">
      <c r="A258" s="425"/>
      <c r="B258" s="368">
        <f t="shared" si="93"/>
        <v>253</v>
      </c>
      <c r="C258" s="425">
        <v>43250</v>
      </c>
      <c r="D258" s="830"/>
      <c r="E258" s="876" t="str">
        <f t="shared" ca="1" si="94"/>
        <v/>
      </c>
      <c r="F258" s="426" t="str">
        <f t="shared" ca="1" si="98"/>
        <v/>
      </c>
      <c r="G258" s="415"/>
      <c r="H258" s="415"/>
      <c r="I258" s="415" t="str">
        <f t="shared" si="95"/>
        <v/>
      </c>
      <c r="J258" s="415" t="str">
        <f t="shared" si="96"/>
        <v/>
      </c>
      <c r="K258" s="415" t="str">
        <f t="shared" si="97"/>
        <v/>
      </c>
      <c r="L258" s="415"/>
      <c r="M258" s="415"/>
      <c r="N258" s="422" t="str">
        <f t="shared" si="99"/>
        <v/>
      </c>
      <c r="O258" s="422" t="str">
        <f t="shared" si="100"/>
        <v/>
      </c>
      <c r="P258" s="422" t="str">
        <f t="shared" si="101"/>
        <v/>
      </c>
      <c r="Q258" s="422" t="str">
        <f t="shared" si="102"/>
        <v/>
      </c>
      <c r="R258" s="422" t="str">
        <f t="shared" si="103"/>
        <v/>
      </c>
      <c r="S258" s="583">
        <v>310500</v>
      </c>
      <c r="T258" s="377" t="str">
        <f>+IFERROR(VLOOKUP(S258,STAT1!$C$4:$D$189,2,FALSE),"")</f>
        <v>НӨАТ өглөг</v>
      </c>
      <c r="U258" s="424"/>
      <c r="V258" s="424">
        <v>52047.545214700003</v>
      </c>
      <c r="W258" s="822">
        <v>4002</v>
      </c>
      <c r="X258" s="436" t="str">
        <f>IFERROR(VLOOKUP(W258,DATA!$G$4:$H$400,2,FALSE),"")</f>
        <v xml:space="preserve">Хувь хүн </v>
      </c>
      <c r="Y258" s="328"/>
      <c r="Z258" s="328"/>
      <c r="AA258" s="328"/>
    </row>
    <row r="259" spans="1:27" ht="12.75" customHeight="1">
      <c r="A259" s="425"/>
      <c r="B259" s="368">
        <f t="shared" si="93"/>
        <v>254</v>
      </c>
      <c r="C259" s="425">
        <v>43250</v>
      </c>
      <c r="D259" s="830"/>
      <c r="E259" s="876" t="str">
        <f t="shared" ca="1" si="94"/>
        <v/>
      </c>
      <c r="F259" s="426" t="str">
        <f t="shared" ca="1" si="98"/>
        <v/>
      </c>
      <c r="G259" s="415"/>
      <c r="H259" s="415"/>
      <c r="I259" s="415" t="str">
        <f t="shared" si="95"/>
        <v/>
      </c>
      <c r="J259" s="415" t="str">
        <f t="shared" si="96"/>
        <v/>
      </c>
      <c r="K259" s="415" t="str">
        <f t="shared" si="97"/>
        <v/>
      </c>
      <c r="L259" s="415"/>
      <c r="M259" s="415"/>
      <c r="N259" s="422" t="str">
        <f t="shared" si="99"/>
        <v/>
      </c>
      <c r="O259" s="422" t="str">
        <f t="shared" si="100"/>
        <v/>
      </c>
      <c r="P259" s="422" t="str">
        <f t="shared" si="101"/>
        <v/>
      </c>
      <c r="Q259" s="422" t="str">
        <f t="shared" si="102"/>
        <v/>
      </c>
      <c r="R259" s="422" t="str">
        <f t="shared" si="103"/>
        <v/>
      </c>
      <c r="S259" s="583">
        <v>510000</v>
      </c>
      <c r="T259" s="377" t="str">
        <f>+IFERROR(VLOOKUP(S259,STAT1!$C$4:$D$189,2,FALSE),"")</f>
        <v>Үндсэн үйл ажиллагааны борлуулалт</v>
      </c>
      <c r="U259" s="424"/>
      <c r="V259" s="424">
        <v>520475.452147</v>
      </c>
      <c r="W259" s="822">
        <v>4002</v>
      </c>
      <c r="X259" s="436" t="str">
        <f>IFERROR(VLOOKUP(W259,DATA!$G$4:$H$400,2,FALSE),"")</f>
        <v xml:space="preserve">Хувь хүн </v>
      </c>
      <c r="Y259" s="328"/>
      <c r="Z259" s="328"/>
      <c r="AA259" s="328"/>
    </row>
    <row r="260" spans="1:27" ht="12.75" customHeight="1">
      <c r="A260" s="425"/>
      <c r="B260" s="368">
        <f t="shared" si="93"/>
        <v>255</v>
      </c>
      <c r="C260" s="425">
        <v>43250</v>
      </c>
      <c r="D260" s="830"/>
      <c r="E260" s="876" t="str">
        <f t="shared" ca="1" si="94"/>
        <v/>
      </c>
      <c r="F260" s="426" t="str">
        <f t="shared" ca="1" si="98"/>
        <v/>
      </c>
      <c r="G260" s="415"/>
      <c r="H260" s="415"/>
      <c r="I260" s="415" t="str">
        <f t="shared" si="95"/>
        <v/>
      </c>
      <c r="J260" s="415" t="str">
        <f t="shared" si="96"/>
        <v/>
      </c>
      <c r="K260" s="415" t="str">
        <f t="shared" si="97"/>
        <v/>
      </c>
      <c r="L260" s="415"/>
      <c r="M260" s="415"/>
      <c r="N260" s="422" t="str">
        <f t="shared" si="99"/>
        <v/>
      </c>
      <c r="O260" s="422" t="str">
        <f t="shared" si="100"/>
        <v/>
      </c>
      <c r="P260" s="422" t="str">
        <f t="shared" si="101"/>
        <v/>
      </c>
      <c r="Q260" s="422" t="str">
        <f t="shared" si="102"/>
        <v/>
      </c>
      <c r="R260" s="422" t="str">
        <f t="shared" si="103"/>
        <v/>
      </c>
      <c r="S260" s="583">
        <v>320100</v>
      </c>
      <c r="T260" s="377" t="str">
        <f>+IFERROR(VLOOKUP(S260,STAT1!$C$4:$D$189,2,FALSE),"")</f>
        <v>Урьдчилж орсон орлого MNT</v>
      </c>
      <c r="U260" s="415">
        <v>572522.99736170005</v>
      </c>
      <c r="V260" s="415"/>
      <c r="W260" s="822">
        <v>4002</v>
      </c>
      <c r="X260" s="436" t="str">
        <f>IFERROR(VLOOKUP(W260,DATA!$G$4:$H$400,2,FALSE),"")</f>
        <v xml:space="preserve">Хувь хүн </v>
      </c>
      <c r="Y260" s="328"/>
      <c r="Z260" s="328"/>
      <c r="AA260" s="328"/>
    </row>
    <row r="261" spans="1:27" ht="12.75" customHeight="1">
      <c r="A261" s="425"/>
      <c r="B261" s="368">
        <f t="shared" si="93"/>
        <v>256</v>
      </c>
      <c r="C261" s="425">
        <v>43249</v>
      </c>
      <c r="D261" s="830">
        <v>410006</v>
      </c>
      <c r="E261" s="876" t="str">
        <f t="shared" ca="1" si="94"/>
        <v>Модны замаска</v>
      </c>
      <c r="F261" s="426" t="str">
        <f t="shared" ca="1" si="98"/>
        <v>ш</v>
      </c>
      <c r="G261" s="415">
        <v>48</v>
      </c>
      <c r="H261" s="415">
        <v>4000</v>
      </c>
      <c r="I261" s="415">
        <f t="shared" si="95"/>
        <v>192000</v>
      </c>
      <c r="J261" s="415">
        <f t="shared" si="96"/>
        <v>19200</v>
      </c>
      <c r="K261" s="415">
        <f>+IF(G261="","",I261+J261)</f>
        <v>211200</v>
      </c>
      <c r="L261" s="415"/>
      <c r="M261" s="415"/>
      <c r="N261" s="422" t="str">
        <f t="shared" si="99"/>
        <v/>
      </c>
      <c r="O261" s="422" t="str">
        <f t="shared" si="100"/>
        <v/>
      </c>
      <c r="P261" s="422" t="str">
        <f t="shared" si="101"/>
        <v/>
      </c>
      <c r="Q261" s="422" t="str">
        <f t="shared" si="102"/>
        <v/>
      </c>
      <c r="R261" s="422" t="str">
        <f t="shared" si="103"/>
        <v/>
      </c>
      <c r="S261" s="583">
        <f>+IF(LEFT(D261,3)="131",140100,0)+IF(LEFT(D261,3)="310",150100,0)+IF(LEFT(D261,3)="211",150101,0)+IF(LEFT(D261,3)="410",160100,0)+IF(LEFT(D261,3)="440",160200,0)+IF(LEFT(D261,3)="430",160200,0)+IF(LEFT(D261,3)="420",160200,0)+IF(LEFT(D261,3)="460",160201,0)+IF(LEFT(D261,3)="210",150101,0)+IF(LEFT(D261,3)="510",140100,0)</f>
        <v>160100</v>
      </c>
      <c r="T261" s="377" t="str">
        <f>+IFERROR(VLOOKUP(S261,STAT1!$C$4:$D$189,2,FALSE),"")</f>
        <v xml:space="preserve">Барилгын материал </v>
      </c>
      <c r="U261" s="424">
        <v>192000</v>
      </c>
      <c r="V261" s="424"/>
      <c r="W261" s="822">
        <v>3017</v>
      </c>
      <c r="X261" s="436" t="str">
        <f>IFERROR(VLOOKUP(W261,DATA!$G$4:$H$400,2,FALSE),"")</f>
        <v xml:space="preserve">ВОС ХХК </v>
      </c>
      <c r="Y261" s="328"/>
      <c r="Z261" s="328"/>
      <c r="AA261" s="328"/>
    </row>
    <row r="262" spans="1:27" ht="12.75" customHeight="1">
      <c r="A262" s="425"/>
      <c r="B262" s="368">
        <f t="shared" si="93"/>
        <v>257</v>
      </c>
      <c r="C262" s="425">
        <v>43249</v>
      </c>
      <c r="D262" s="830">
        <v>410085</v>
      </c>
      <c r="E262" s="876" t="str">
        <f t="shared" ca="1" si="94"/>
        <v xml:space="preserve">НЦ-лак </v>
      </c>
      <c r="F262" s="426" t="str">
        <f t="shared" ca="1" si="98"/>
        <v>кг</v>
      </c>
      <c r="G262" s="415">
        <v>450</v>
      </c>
      <c r="H262" s="415">
        <v>8222.2222199999997</v>
      </c>
      <c r="I262" s="415">
        <f t="shared" ref="I262:I325" si="104">+IF(G262="","",G262*H262)</f>
        <v>3699999.9989999998</v>
      </c>
      <c r="J262" s="415">
        <f t="shared" ref="J262:J317" si="105">+IF(G262="","",I262*0.1)</f>
        <v>369999.9999</v>
      </c>
      <c r="K262" s="415">
        <f t="shared" ref="K262:K325" si="106">+IF(G262="","",I262+J262)</f>
        <v>4069999.9989</v>
      </c>
      <c r="L262" s="415"/>
      <c r="M262" s="415"/>
      <c r="N262" s="422" t="str">
        <f t="shared" si="99"/>
        <v/>
      </c>
      <c r="O262" s="422" t="str">
        <f t="shared" si="100"/>
        <v/>
      </c>
      <c r="P262" s="422" t="str">
        <f t="shared" si="101"/>
        <v/>
      </c>
      <c r="Q262" s="422" t="str">
        <f t="shared" si="102"/>
        <v/>
      </c>
      <c r="R262" s="422" t="str">
        <f t="shared" si="103"/>
        <v/>
      </c>
      <c r="S262" s="583">
        <f>+IF(LEFT(D262,3)="131",140100,0)+IF(LEFT(D262,3)="310",150100,0)+IF(LEFT(D262,3)="211",150101,0)+IF(LEFT(D262,3)="410",160100,0)+IF(LEFT(D262,3)="440",160200,0)+IF(LEFT(D262,3)="430",160200,0)+IF(LEFT(D262,3)="420",160200,0)+IF(LEFT(D262,3)="460",160201,0)+IF(LEFT(D262,3)="210",150101,0)+IF(LEFT(D262,3)="510",140100,0)</f>
        <v>160100</v>
      </c>
      <c r="T262" s="377" t="str">
        <f>+IFERROR(VLOOKUP(S262,STAT1!$C$4:$D$189,2,FALSE),"")</f>
        <v xml:space="preserve">Барилгын материал </v>
      </c>
      <c r="U262" s="424">
        <v>3699999.9989999998</v>
      </c>
      <c r="V262" s="424"/>
      <c r="W262" s="822">
        <v>3017</v>
      </c>
      <c r="X262" s="436" t="str">
        <f>IFERROR(VLOOKUP(W262,DATA!$G$4:$H$400,2,FALSE),"")</f>
        <v xml:space="preserve">ВОС ХХК </v>
      </c>
      <c r="Y262" s="328"/>
      <c r="Z262" s="328"/>
      <c r="AA262" s="328"/>
    </row>
    <row r="263" spans="1:27" ht="12.75" customHeight="1">
      <c r="A263" s="425"/>
      <c r="B263" s="368">
        <f t="shared" si="93"/>
        <v>258</v>
      </c>
      <c r="C263" s="425">
        <v>43249</v>
      </c>
      <c r="D263" s="830"/>
      <c r="E263" s="876" t="str">
        <f t="shared" ca="1" si="94"/>
        <v/>
      </c>
      <c r="F263" s="426" t="str">
        <f t="shared" ca="1" si="98"/>
        <v/>
      </c>
      <c r="G263" s="415"/>
      <c r="H263" s="415"/>
      <c r="I263" s="415" t="str">
        <f t="shared" si="104"/>
        <v/>
      </c>
      <c r="J263" s="415" t="str">
        <f t="shared" si="105"/>
        <v/>
      </c>
      <c r="K263" s="415" t="str">
        <f t="shared" si="106"/>
        <v/>
      </c>
      <c r="L263" s="415"/>
      <c r="M263" s="415"/>
      <c r="N263" s="422" t="str">
        <f t="shared" si="99"/>
        <v/>
      </c>
      <c r="O263" s="422" t="str">
        <f t="shared" si="100"/>
        <v/>
      </c>
      <c r="P263" s="422" t="str">
        <f t="shared" si="101"/>
        <v/>
      </c>
      <c r="Q263" s="422" t="str">
        <f t="shared" si="102"/>
        <v/>
      </c>
      <c r="R263" s="422" t="str">
        <f t="shared" si="103"/>
        <v/>
      </c>
      <c r="S263" s="583">
        <v>120600</v>
      </c>
      <c r="T263" s="377" t="str">
        <f>+IFERROR(VLOOKUP(S263,STAT1!$C$4:$D$189,2,FALSE),"")</f>
        <v>НӨАТ авлага</v>
      </c>
      <c r="U263" s="424">
        <v>389199.9999</v>
      </c>
      <c r="V263" s="424"/>
      <c r="W263" s="822">
        <v>3017</v>
      </c>
      <c r="X263" s="436" t="str">
        <f>IFERROR(VLOOKUP(W263,DATA!$G$4:$H$400,2,FALSE),"")</f>
        <v xml:space="preserve">ВОС ХХК </v>
      </c>
      <c r="Y263" s="328"/>
      <c r="Z263" s="328"/>
      <c r="AA263" s="328"/>
    </row>
    <row r="264" spans="1:27" ht="12.75" customHeight="1">
      <c r="A264" s="425"/>
      <c r="B264" s="368">
        <f t="shared" si="93"/>
        <v>259</v>
      </c>
      <c r="C264" s="425">
        <v>43249</v>
      </c>
      <c r="D264" s="830"/>
      <c r="E264" s="876" t="str">
        <f t="shared" ca="1" si="94"/>
        <v/>
      </c>
      <c r="F264" s="426" t="str">
        <f t="shared" ca="1" si="98"/>
        <v/>
      </c>
      <c r="G264" s="415"/>
      <c r="H264" s="415"/>
      <c r="I264" s="415" t="str">
        <f t="shared" si="104"/>
        <v/>
      </c>
      <c r="J264" s="415" t="str">
        <f t="shared" si="105"/>
        <v/>
      </c>
      <c r="K264" s="415" t="str">
        <f t="shared" si="106"/>
        <v/>
      </c>
      <c r="L264" s="415"/>
      <c r="M264" s="415"/>
      <c r="N264" s="422" t="str">
        <f t="shared" si="99"/>
        <v/>
      </c>
      <c r="O264" s="422" t="str">
        <f t="shared" si="100"/>
        <v/>
      </c>
      <c r="P264" s="422" t="str">
        <f t="shared" si="101"/>
        <v/>
      </c>
      <c r="Q264" s="422" t="str">
        <f t="shared" si="102"/>
        <v/>
      </c>
      <c r="R264" s="422" t="str">
        <f t="shared" si="103"/>
        <v/>
      </c>
      <c r="S264" s="583">
        <v>120100</v>
      </c>
      <c r="T264" s="377" t="str">
        <f>+IFERROR(VLOOKUP(S264,STAT1!$C$4:$D$189,2,FALSE),"")</f>
        <v xml:space="preserve">Дансны авлага MNT </v>
      </c>
      <c r="U264" s="424"/>
      <c r="V264" s="424">
        <v>4281199.9989</v>
      </c>
      <c r="W264" s="822">
        <v>3017</v>
      </c>
      <c r="X264" s="436" t="str">
        <f>IFERROR(VLOOKUP(W264,DATA!$G$4:$H$400,2,FALSE),"")</f>
        <v xml:space="preserve">ВОС ХХК </v>
      </c>
      <c r="Y264" s="328"/>
      <c r="Z264" s="328"/>
      <c r="AA264" s="328"/>
    </row>
    <row r="265" spans="1:27" ht="12.75" customHeight="1">
      <c r="A265" s="425"/>
      <c r="B265" s="368">
        <f t="shared" si="93"/>
        <v>260</v>
      </c>
      <c r="C265" s="425">
        <v>43270</v>
      </c>
      <c r="D265" s="830">
        <v>211713</v>
      </c>
      <c r="E265" s="876" t="str">
        <f t="shared" ca="1" si="94"/>
        <v>Н-Хавтан /зузаан-2см/</v>
      </c>
      <c r="F265" s="426" t="str">
        <f t="shared" ca="1" si="98"/>
        <v>м2</v>
      </c>
      <c r="G265" s="415"/>
      <c r="H265" s="415"/>
      <c r="I265" s="415" t="str">
        <f t="shared" si="104"/>
        <v/>
      </c>
      <c r="J265" s="415" t="str">
        <f t="shared" si="105"/>
        <v/>
      </c>
      <c r="K265" s="415" t="str">
        <f t="shared" si="106"/>
        <v/>
      </c>
      <c r="L265" s="415">
        <v>50</v>
      </c>
      <c r="M265" s="415">
        <v>30000</v>
      </c>
      <c r="N265" s="422">
        <f t="shared" si="99"/>
        <v>1500000</v>
      </c>
      <c r="O265" s="422">
        <f t="shared" si="100"/>
        <v>150000</v>
      </c>
      <c r="P265" s="422">
        <f t="shared" si="101"/>
        <v>1650000</v>
      </c>
      <c r="Q265" s="422">
        <f t="shared" ca="1" si="102"/>
        <v>24820.285936271332</v>
      </c>
      <c r="R265" s="422">
        <f t="shared" ca="1" si="103"/>
        <v>1241014.2968135665</v>
      </c>
      <c r="S265" s="583">
        <f>+IF(LEFT(D265,3)="131",140100,0)+IF(LEFT(D265,3)="310",150100,0)+IF(LEFT(D265,3)="211",150101,0)+IF(LEFT(D265,3)="410",160100,0)+IF(LEFT(D265,3)="440",160200,0)+IF(LEFT(D265,3)="430",160200,0)+IF(LEFT(D265,3)="420",160200,0)+IF(LEFT(D265,3)="460",160201,0)+IF(LEFT(D265,3)="210",150101,0)+IF(LEFT(D265,3)="510",140100,0)</f>
        <v>150101</v>
      </c>
      <c r="T265" s="377" t="str">
        <f>+IFERROR(VLOOKUP(S265,STAT1!$C$4:$D$189,2,FALSE),"")</f>
        <v>Бараа бэлэн бүтээгдэхүүн БОЛОВСРУУЛАХ ЦЕХ /нарс/</v>
      </c>
      <c r="U265" s="424"/>
      <c r="V265" s="424">
        <v>1241014.2968135665</v>
      </c>
      <c r="W265" s="822">
        <v>3129</v>
      </c>
      <c r="X265" s="436" t="str">
        <f>IFERROR(VLOOKUP(W265,DATA!$G$4:$H$400,2,FALSE),"")</f>
        <v>МЕТРИК ДИЗАЙН ХХК</v>
      </c>
      <c r="Y265" s="328"/>
      <c r="Z265" s="328"/>
      <c r="AA265" s="328"/>
    </row>
    <row r="266" spans="1:27" ht="12.75" customHeight="1">
      <c r="A266" s="425"/>
      <c r="B266" s="368">
        <f t="shared" ref="B266:B329" si="107">+IF(C266="","",ROW()-5)</f>
        <v>261</v>
      </c>
      <c r="C266" s="425">
        <v>43270</v>
      </c>
      <c r="D266" s="830"/>
      <c r="E266" s="876" t="str">
        <f t="shared" ref="E266:E329" ca="1" si="108">+IFERROR(VLOOKUP(D266,TN_table,2,FALSE),"")</f>
        <v/>
      </c>
      <c r="F266" s="426" t="str">
        <f t="shared" ca="1" si="98"/>
        <v/>
      </c>
      <c r="G266" s="415"/>
      <c r="H266" s="415"/>
      <c r="I266" s="415" t="str">
        <f t="shared" si="104"/>
        <v/>
      </c>
      <c r="J266" s="415" t="str">
        <f t="shared" si="105"/>
        <v/>
      </c>
      <c r="K266" s="415" t="str">
        <f t="shared" si="106"/>
        <v/>
      </c>
      <c r="L266" s="415"/>
      <c r="M266" s="415"/>
      <c r="N266" s="422" t="str">
        <f t="shared" si="99"/>
        <v/>
      </c>
      <c r="O266" s="422" t="str">
        <f t="shared" si="100"/>
        <v/>
      </c>
      <c r="P266" s="422" t="str">
        <f t="shared" si="101"/>
        <v/>
      </c>
      <c r="Q266" s="422" t="str">
        <f t="shared" si="102"/>
        <v/>
      </c>
      <c r="R266" s="422" t="str">
        <f t="shared" si="103"/>
        <v/>
      </c>
      <c r="S266" s="583">
        <v>610100</v>
      </c>
      <c r="T266" s="377" t="str">
        <f>+IFERROR(VLOOKUP(S266,STAT1!$C$4:$D$189,2,FALSE),"")</f>
        <v>Борлуулсан барааны өртөг</v>
      </c>
      <c r="U266" s="424">
        <v>1241014.2968135665</v>
      </c>
      <c r="V266" s="424"/>
      <c r="W266" s="822">
        <v>3129</v>
      </c>
      <c r="X266" s="436" t="str">
        <f>IFERROR(VLOOKUP(W266,DATA!$G$4:$H$400,2,FALSE),"")</f>
        <v>МЕТРИК ДИЗАЙН ХХК</v>
      </c>
      <c r="Y266" s="328"/>
      <c r="Z266" s="328"/>
      <c r="AA266" s="328"/>
    </row>
    <row r="267" spans="1:27" ht="12.75" customHeight="1">
      <c r="A267" s="425"/>
      <c r="B267" s="368">
        <f t="shared" si="107"/>
        <v>262</v>
      </c>
      <c r="C267" s="425">
        <v>43270</v>
      </c>
      <c r="D267" s="830"/>
      <c r="E267" s="876" t="str">
        <f t="shared" ca="1" si="108"/>
        <v/>
      </c>
      <c r="F267" s="426" t="str">
        <f t="shared" ca="1" si="98"/>
        <v/>
      </c>
      <c r="G267" s="415"/>
      <c r="H267" s="415"/>
      <c r="I267" s="415" t="str">
        <f t="shared" si="104"/>
        <v/>
      </c>
      <c r="J267" s="415" t="str">
        <f t="shared" si="105"/>
        <v/>
      </c>
      <c r="K267" s="415" t="str">
        <f t="shared" si="106"/>
        <v/>
      </c>
      <c r="L267" s="415"/>
      <c r="M267" s="415"/>
      <c r="N267" s="422" t="str">
        <f t="shared" si="99"/>
        <v/>
      </c>
      <c r="O267" s="422" t="str">
        <f t="shared" si="100"/>
        <v/>
      </c>
      <c r="P267" s="422" t="str">
        <f t="shared" si="101"/>
        <v/>
      </c>
      <c r="Q267" s="422" t="str">
        <f t="shared" si="102"/>
        <v/>
      </c>
      <c r="R267" s="422" t="str">
        <f t="shared" si="103"/>
        <v/>
      </c>
      <c r="S267" s="583">
        <v>310500</v>
      </c>
      <c r="T267" s="377" t="str">
        <f>+IFERROR(VLOOKUP(S267,STAT1!$C$4:$D$189,2,FALSE),"")</f>
        <v>НӨАТ өглөг</v>
      </c>
      <c r="U267" s="424"/>
      <c r="V267" s="424">
        <v>150000</v>
      </c>
      <c r="W267" s="822">
        <v>3129</v>
      </c>
      <c r="X267" s="436" t="str">
        <f>IFERROR(VLOOKUP(W267,DATA!$G$4:$H$400,2,FALSE),"")</f>
        <v>МЕТРИК ДИЗАЙН ХХК</v>
      </c>
      <c r="Y267" s="328"/>
      <c r="Z267" s="328"/>
      <c r="AA267" s="328"/>
    </row>
    <row r="268" spans="1:27" ht="12.75" customHeight="1">
      <c r="A268" s="425"/>
      <c r="B268" s="368">
        <f t="shared" si="107"/>
        <v>263</v>
      </c>
      <c r="C268" s="425">
        <v>43270</v>
      </c>
      <c r="D268" s="830"/>
      <c r="E268" s="876" t="str">
        <f t="shared" ca="1" si="108"/>
        <v/>
      </c>
      <c r="F268" s="426" t="str">
        <f t="shared" ca="1" si="98"/>
        <v/>
      </c>
      <c r="G268" s="415"/>
      <c r="H268" s="415"/>
      <c r="I268" s="415" t="str">
        <f t="shared" si="104"/>
        <v/>
      </c>
      <c r="J268" s="415" t="str">
        <f t="shared" si="105"/>
        <v/>
      </c>
      <c r="K268" s="415" t="str">
        <f t="shared" si="106"/>
        <v/>
      </c>
      <c r="L268" s="415"/>
      <c r="M268" s="415"/>
      <c r="N268" s="422" t="str">
        <f t="shared" si="99"/>
        <v/>
      </c>
      <c r="O268" s="422" t="str">
        <f t="shared" si="100"/>
        <v/>
      </c>
      <c r="P268" s="422" t="str">
        <f t="shared" si="101"/>
        <v/>
      </c>
      <c r="Q268" s="422" t="str">
        <f t="shared" si="102"/>
        <v/>
      </c>
      <c r="R268" s="422" t="str">
        <f t="shared" si="103"/>
        <v/>
      </c>
      <c r="S268" s="583">
        <v>510000</v>
      </c>
      <c r="T268" s="377" t="str">
        <f>+IFERROR(VLOOKUP(S268,STAT1!$C$4:$D$189,2,FALSE),"")</f>
        <v>Үндсэн үйл ажиллагааны борлуулалт</v>
      </c>
      <c r="U268" s="424"/>
      <c r="V268" s="424">
        <v>1500000</v>
      </c>
      <c r="W268" s="822">
        <v>3129</v>
      </c>
      <c r="X268" s="436" t="str">
        <f>IFERROR(VLOOKUP(W268,DATA!$G$4:$H$400,2,FALSE),"")</f>
        <v>МЕТРИК ДИЗАЙН ХХК</v>
      </c>
      <c r="Y268" s="328"/>
      <c r="Z268" s="328"/>
      <c r="AA268" s="328"/>
    </row>
    <row r="269" spans="1:27" ht="12.75" customHeight="1">
      <c r="A269" s="425"/>
      <c r="B269" s="368">
        <f t="shared" si="107"/>
        <v>264</v>
      </c>
      <c r="C269" s="425">
        <v>43270</v>
      </c>
      <c r="D269" s="830"/>
      <c r="E269" s="876" t="str">
        <f t="shared" ca="1" si="108"/>
        <v/>
      </c>
      <c r="F269" s="426" t="str">
        <f t="shared" ca="1" si="98"/>
        <v/>
      </c>
      <c r="G269" s="415"/>
      <c r="H269" s="415"/>
      <c r="I269" s="415" t="str">
        <f t="shared" si="104"/>
        <v/>
      </c>
      <c r="J269" s="415" t="str">
        <f t="shared" si="105"/>
        <v/>
      </c>
      <c r="K269" s="415" t="str">
        <f t="shared" si="106"/>
        <v/>
      </c>
      <c r="L269" s="415"/>
      <c r="M269" s="415"/>
      <c r="N269" s="422" t="str">
        <f t="shared" si="99"/>
        <v/>
      </c>
      <c r="O269" s="422" t="str">
        <f t="shared" si="100"/>
        <v/>
      </c>
      <c r="P269" s="422" t="str">
        <f t="shared" si="101"/>
        <v/>
      </c>
      <c r="Q269" s="422" t="str">
        <f t="shared" si="102"/>
        <v/>
      </c>
      <c r="R269" s="422" t="str">
        <f t="shared" si="103"/>
        <v/>
      </c>
      <c r="S269" s="583">
        <v>320100</v>
      </c>
      <c r="T269" s="377" t="str">
        <f>+IFERROR(VLOOKUP(S269,STAT1!$C$4:$D$189,2,FALSE),"")</f>
        <v>Урьдчилж орсон орлого MNT</v>
      </c>
      <c r="U269" s="415">
        <v>1650000</v>
      </c>
      <c r="V269" s="415"/>
      <c r="W269" s="822">
        <v>3129</v>
      </c>
      <c r="X269" s="436" t="str">
        <f>IFERROR(VLOOKUP(W269,DATA!$G$4:$H$400,2,FALSE),"")</f>
        <v>МЕТРИК ДИЗАЙН ХХК</v>
      </c>
      <c r="Y269" s="328"/>
      <c r="Z269" s="328"/>
      <c r="AA269" s="328"/>
    </row>
    <row r="270" spans="1:27" ht="12.75" customHeight="1">
      <c r="A270" s="425"/>
      <c r="B270" s="368">
        <f t="shared" si="107"/>
        <v>265</v>
      </c>
      <c r="C270" s="425">
        <v>43270</v>
      </c>
      <c r="D270" s="830">
        <v>211717</v>
      </c>
      <c r="E270" s="876" t="str">
        <f t="shared" ca="1" si="108"/>
        <v>Н-Хавтан/зузаан-4см/-яртай</v>
      </c>
      <c r="F270" s="426" t="str">
        <f t="shared" ca="1" si="98"/>
        <v>м2</v>
      </c>
      <c r="G270" s="415"/>
      <c r="H270" s="415"/>
      <c r="I270" s="415" t="str">
        <f t="shared" si="104"/>
        <v/>
      </c>
      <c r="J270" s="415" t="str">
        <f t="shared" si="105"/>
        <v/>
      </c>
      <c r="K270" s="415" t="str">
        <f t="shared" si="106"/>
        <v/>
      </c>
      <c r="L270" s="415">
        <v>13.05</v>
      </c>
      <c r="M270" s="415">
        <v>50000</v>
      </c>
      <c r="N270" s="422">
        <f t="shared" si="99"/>
        <v>652500</v>
      </c>
      <c r="O270" s="422">
        <f t="shared" si="100"/>
        <v>65250</v>
      </c>
      <c r="P270" s="422">
        <f t="shared" si="101"/>
        <v>717750</v>
      </c>
      <c r="Q270" s="422">
        <f t="shared" ca="1" si="102"/>
        <v>50424.297341244637</v>
      </c>
      <c r="R270" s="422">
        <f t="shared" ca="1" si="103"/>
        <v>658037.08030324255</v>
      </c>
      <c r="S270" s="583">
        <f>+IF(LEFT(D270,3)="131",140100,0)+IF(LEFT(D270,3)="310",150100,0)+IF(LEFT(D270,3)="211",150101,0)+IF(LEFT(D270,3)="410",160100,0)+IF(LEFT(D270,3)="440",160200,0)+IF(LEFT(D270,3)="430",160200,0)+IF(LEFT(D270,3)="420",160200,0)+IF(LEFT(D270,3)="460",160201,0)+IF(LEFT(D270,3)="210",150101,0)+IF(LEFT(D270,3)="510",140100,0)</f>
        <v>150101</v>
      </c>
      <c r="T270" s="377" t="str">
        <f>+IFERROR(VLOOKUP(S270,STAT1!$C$4:$D$189,2,FALSE),"")</f>
        <v>Бараа бэлэн бүтээгдэхүүн БОЛОВСРУУЛАХ ЦЕХ /нарс/</v>
      </c>
      <c r="U270" s="424"/>
      <c r="V270" s="424">
        <v>658037.08030324255</v>
      </c>
      <c r="W270" s="822">
        <v>3021</v>
      </c>
      <c r="X270" s="436" t="str">
        <f>IFERROR(VLOOKUP(W270,DATA!$G$4:$H$400,2,FALSE),"")</f>
        <v>БАНДИА ХХК</v>
      </c>
      <c r="Y270" s="328"/>
      <c r="Z270" s="328"/>
      <c r="AA270" s="328"/>
    </row>
    <row r="271" spans="1:27" ht="12.75" customHeight="1">
      <c r="A271" s="425"/>
      <c r="B271" s="368">
        <f t="shared" si="107"/>
        <v>266</v>
      </c>
      <c r="C271" s="425">
        <v>43270</v>
      </c>
      <c r="D271" s="830"/>
      <c r="E271" s="876" t="str">
        <f t="shared" ca="1" si="108"/>
        <v/>
      </c>
      <c r="F271" s="426" t="str">
        <f t="shared" ca="1" si="98"/>
        <v/>
      </c>
      <c r="G271" s="415"/>
      <c r="H271" s="415"/>
      <c r="I271" s="415" t="str">
        <f t="shared" si="104"/>
        <v/>
      </c>
      <c r="J271" s="415" t="str">
        <f t="shared" si="105"/>
        <v/>
      </c>
      <c r="K271" s="415" t="str">
        <f t="shared" si="106"/>
        <v/>
      </c>
      <c r="L271" s="415"/>
      <c r="M271" s="415"/>
      <c r="N271" s="422" t="str">
        <f t="shared" si="99"/>
        <v/>
      </c>
      <c r="O271" s="422" t="str">
        <f t="shared" si="100"/>
        <v/>
      </c>
      <c r="P271" s="422" t="str">
        <f t="shared" si="101"/>
        <v/>
      </c>
      <c r="Q271" s="422" t="str">
        <f t="shared" si="102"/>
        <v/>
      </c>
      <c r="R271" s="422" t="str">
        <f t="shared" si="103"/>
        <v/>
      </c>
      <c r="S271" s="583">
        <v>610100</v>
      </c>
      <c r="T271" s="377" t="str">
        <f>+IFERROR(VLOOKUP(S271,STAT1!$C$4:$D$189,2,FALSE),"")</f>
        <v>Борлуулсан барааны өртөг</v>
      </c>
      <c r="U271" s="424">
        <v>658037.08030324255</v>
      </c>
      <c r="V271" s="424"/>
      <c r="W271" s="822">
        <v>3021</v>
      </c>
      <c r="X271" s="436" t="str">
        <f>IFERROR(VLOOKUP(W271,DATA!$G$4:$H$400,2,FALSE),"")</f>
        <v>БАНДИА ХХК</v>
      </c>
      <c r="Y271" s="328"/>
      <c r="Z271" s="328"/>
      <c r="AA271" s="328"/>
    </row>
    <row r="272" spans="1:27" ht="12.75" customHeight="1">
      <c r="A272" s="425"/>
      <c r="B272" s="368">
        <f t="shared" si="107"/>
        <v>267</v>
      </c>
      <c r="C272" s="425">
        <v>43270</v>
      </c>
      <c r="D272" s="830"/>
      <c r="E272" s="876" t="str">
        <f t="shared" ca="1" si="108"/>
        <v/>
      </c>
      <c r="F272" s="426" t="str">
        <f t="shared" ca="1" si="98"/>
        <v/>
      </c>
      <c r="G272" s="415"/>
      <c r="H272" s="415"/>
      <c r="I272" s="415" t="str">
        <f t="shared" si="104"/>
        <v/>
      </c>
      <c r="J272" s="415" t="str">
        <f t="shared" si="105"/>
        <v/>
      </c>
      <c r="K272" s="415" t="str">
        <f t="shared" si="106"/>
        <v/>
      </c>
      <c r="L272" s="415"/>
      <c r="M272" s="415"/>
      <c r="N272" s="422" t="str">
        <f t="shared" si="99"/>
        <v/>
      </c>
      <c r="O272" s="422" t="str">
        <f t="shared" si="100"/>
        <v/>
      </c>
      <c r="P272" s="422" t="str">
        <f t="shared" si="101"/>
        <v/>
      </c>
      <c r="Q272" s="422" t="str">
        <f t="shared" si="102"/>
        <v/>
      </c>
      <c r="R272" s="422" t="str">
        <f t="shared" si="103"/>
        <v/>
      </c>
      <c r="S272" s="583">
        <v>310500</v>
      </c>
      <c r="T272" s="377" t="str">
        <f>+IFERROR(VLOOKUP(S272,STAT1!$C$4:$D$189,2,FALSE),"")</f>
        <v>НӨАТ өглөг</v>
      </c>
      <c r="U272" s="424"/>
      <c r="V272" s="424">
        <v>65250</v>
      </c>
      <c r="W272" s="822">
        <v>3021</v>
      </c>
      <c r="X272" s="436" t="str">
        <f>IFERROR(VLOOKUP(W272,DATA!$G$4:$H$400,2,FALSE),"")</f>
        <v>БАНДИА ХХК</v>
      </c>
      <c r="Y272" s="328"/>
      <c r="Z272" s="328"/>
      <c r="AA272" s="328"/>
    </row>
    <row r="273" spans="1:27" ht="12.75" customHeight="1">
      <c r="A273" s="425"/>
      <c r="B273" s="368">
        <f t="shared" si="107"/>
        <v>268</v>
      </c>
      <c r="C273" s="425">
        <v>43270</v>
      </c>
      <c r="D273" s="830"/>
      <c r="E273" s="876" t="str">
        <f t="shared" ca="1" si="108"/>
        <v/>
      </c>
      <c r="F273" s="426" t="str">
        <f t="shared" ca="1" si="98"/>
        <v/>
      </c>
      <c r="G273" s="415"/>
      <c r="H273" s="415"/>
      <c r="I273" s="415" t="str">
        <f t="shared" si="104"/>
        <v/>
      </c>
      <c r="J273" s="415" t="str">
        <f t="shared" si="105"/>
        <v/>
      </c>
      <c r="K273" s="415" t="str">
        <f t="shared" si="106"/>
        <v/>
      </c>
      <c r="L273" s="415"/>
      <c r="M273" s="415"/>
      <c r="N273" s="422" t="str">
        <f t="shared" si="99"/>
        <v/>
      </c>
      <c r="O273" s="422" t="str">
        <f t="shared" si="100"/>
        <v/>
      </c>
      <c r="P273" s="422" t="str">
        <f t="shared" si="101"/>
        <v/>
      </c>
      <c r="Q273" s="422" t="str">
        <f t="shared" si="102"/>
        <v/>
      </c>
      <c r="R273" s="422" t="str">
        <f t="shared" si="103"/>
        <v/>
      </c>
      <c r="S273" s="583">
        <v>510000</v>
      </c>
      <c r="T273" s="377" t="str">
        <f>+IFERROR(VLOOKUP(S273,STAT1!$C$4:$D$189,2,FALSE),"")</f>
        <v>Үндсэн үйл ажиллагааны борлуулалт</v>
      </c>
      <c r="U273" s="424"/>
      <c r="V273" s="424">
        <v>652500</v>
      </c>
      <c r="W273" s="822">
        <v>3021</v>
      </c>
      <c r="X273" s="436" t="str">
        <f>IFERROR(VLOOKUP(W273,DATA!$G$4:$H$400,2,FALSE),"")</f>
        <v>БАНДИА ХХК</v>
      </c>
      <c r="Y273" s="328"/>
      <c r="Z273" s="328"/>
      <c r="AA273" s="328"/>
    </row>
    <row r="274" spans="1:27" ht="12.75" customHeight="1">
      <c r="A274" s="425"/>
      <c r="B274" s="368">
        <f t="shared" si="107"/>
        <v>269</v>
      </c>
      <c r="C274" s="425">
        <v>43270</v>
      </c>
      <c r="D274" s="830"/>
      <c r="E274" s="876" t="str">
        <f t="shared" ca="1" si="108"/>
        <v/>
      </c>
      <c r="F274" s="426" t="str">
        <f t="shared" ca="1" si="98"/>
        <v/>
      </c>
      <c r="G274" s="415"/>
      <c r="H274" s="415"/>
      <c r="I274" s="415" t="str">
        <f t="shared" si="104"/>
        <v/>
      </c>
      <c r="J274" s="415" t="str">
        <f t="shared" si="105"/>
        <v/>
      </c>
      <c r="K274" s="415" t="str">
        <f t="shared" si="106"/>
        <v/>
      </c>
      <c r="L274" s="415"/>
      <c r="M274" s="415"/>
      <c r="N274" s="422" t="str">
        <f t="shared" si="99"/>
        <v/>
      </c>
      <c r="O274" s="422" t="str">
        <f t="shared" si="100"/>
        <v/>
      </c>
      <c r="P274" s="422" t="str">
        <f t="shared" si="101"/>
        <v/>
      </c>
      <c r="Q274" s="422" t="str">
        <f t="shared" si="102"/>
        <v/>
      </c>
      <c r="R274" s="422" t="str">
        <f t="shared" si="103"/>
        <v/>
      </c>
      <c r="S274" s="583">
        <v>320100</v>
      </c>
      <c r="T274" s="377" t="str">
        <f>+IFERROR(VLOOKUP(S274,STAT1!$C$4:$D$189,2,FALSE),"")</f>
        <v>Урьдчилж орсон орлого MNT</v>
      </c>
      <c r="U274" s="415">
        <v>717750</v>
      </c>
      <c r="V274" s="415"/>
      <c r="W274" s="822">
        <v>3021</v>
      </c>
      <c r="X274" s="436" t="str">
        <f>IFERROR(VLOOKUP(W274,DATA!$G$4:$H$400,2,FALSE),"")</f>
        <v>БАНДИА ХХК</v>
      </c>
      <c r="Y274" s="328"/>
      <c r="Z274" s="328"/>
      <c r="AA274" s="328"/>
    </row>
    <row r="275" spans="1:27" ht="12.75" customHeight="1">
      <c r="A275" s="425"/>
      <c r="B275" s="368">
        <f t="shared" si="107"/>
        <v>270</v>
      </c>
      <c r="C275" s="425">
        <v>43263</v>
      </c>
      <c r="D275" s="830">
        <v>211504</v>
      </c>
      <c r="E275" s="876" t="str">
        <f t="shared" ca="1" si="108"/>
        <v xml:space="preserve">Н-Евровагонка /зузаан-1.2см/-яртай </v>
      </c>
      <c r="F275" s="426" t="str">
        <f t="shared" ca="1" si="98"/>
        <v>м2</v>
      </c>
      <c r="G275" s="415"/>
      <c r="H275" s="415"/>
      <c r="I275" s="415" t="str">
        <f t="shared" si="104"/>
        <v/>
      </c>
      <c r="J275" s="415" t="str">
        <f t="shared" si="105"/>
        <v/>
      </c>
      <c r="K275" s="415" t="str">
        <f t="shared" si="106"/>
        <v/>
      </c>
      <c r="L275" s="415">
        <v>29.12</v>
      </c>
      <c r="M275" s="415">
        <v>18000</v>
      </c>
      <c r="N275" s="422">
        <f t="shared" si="99"/>
        <v>524160</v>
      </c>
      <c r="O275" s="422">
        <f t="shared" si="100"/>
        <v>52416</v>
      </c>
      <c r="P275" s="422">
        <f t="shared" si="101"/>
        <v>576576</v>
      </c>
      <c r="Q275" s="422">
        <f t="shared" ca="1" si="102"/>
        <v>11896.785561853303</v>
      </c>
      <c r="R275" s="422">
        <f t="shared" ca="1" si="103"/>
        <v>346434.3955611682</v>
      </c>
      <c r="S275" s="583">
        <f>+IF(LEFT(D275,3)="131",140100,0)+IF(LEFT(D275,3)="310",150100,0)+IF(LEFT(D275,3)="211",150101,0)+IF(LEFT(D275,3)="410",160100,0)+IF(LEFT(D275,3)="440",160200,0)+IF(LEFT(D275,3)="430",160200,0)+IF(LEFT(D275,3)="420",160200,0)+IF(LEFT(D275,3)="460",160201,0)+IF(LEFT(D275,3)="210",150101,0)+IF(LEFT(D275,3)="510",140100,0)</f>
        <v>150101</v>
      </c>
      <c r="T275" s="377" t="str">
        <f>+IFERROR(VLOOKUP(S275,STAT1!$C$4:$D$189,2,FALSE),"")</f>
        <v>Бараа бэлэн бүтээгдэхүүн БОЛОВСРУУЛАХ ЦЕХ /нарс/</v>
      </c>
      <c r="U275" s="424"/>
      <c r="V275" s="424">
        <v>346434.3955611682</v>
      </c>
      <c r="W275" s="822">
        <v>3039</v>
      </c>
      <c r="X275" s="436" t="str">
        <f>IFERROR(VLOOKUP(W275,DATA!$G$4:$H$400,2,FALSE),"")</f>
        <v xml:space="preserve">САССИР ХХК </v>
      </c>
      <c r="Y275" s="328"/>
      <c r="Z275" s="328"/>
      <c r="AA275" s="328"/>
    </row>
    <row r="276" spans="1:27" s="328" customFormat="1" ht="12.75" customHeight="1">
      <c r="A276" s="425"/>
      <c r="B276" s="368">
        <f t="shared" si="107"/>
        <v>271</v>
      </c>
      <c r="C276" s="425">
        <v>43263</v>
      </c>
      <c r="D276" s="830"/>
      <c r="E276" s="876" t="str">
        <f t="shared" ca="1" si="108"/>
        <v/>
      </c>
      <c r="F276" s="426" t="str">
        <f t="shared" ca="1" si="98"/>
        <v/>
      </c>
      <c r="G276" s="415"/>
      <c r="H276" s="415"/>
      <c r="I276" s="415" t="str">
        <f t="shared" si="104"/>
        <v/>
      </c>
      <c r="J276" s="415" t="str">
        <f t="shared" si="105"/>
        <v/>
      </c>
      <c r="K276" s="415" t="str">
        <f t="shared" si="106"/>
        <v/>
      </c>
      <c r="L276" s="415"/>
      <c r="M276" s="415"/>
      <c r="N276" s="422" t="str">
        <f t="shared" si="99"/>
        <v/>
      </c>
      <c r="O276" s="422" t="str">
        <f t="shared" si="100"/>
        <v/>
      </c>
      <c r="P276" s="422" t="str">
        <f t="shared" si="101"/>
        <v/>
      </c>
      <c r="Q276" s="422" t="str">
        <f t="shared" si="102"/>
        <v/>
      </c>
      <c r="R276" s="422" t="str">
        <f t="shared" si="103"/>
        <v/>
      </c>
      <c r="S276" s="583">
        <v>610100</v>
      </c>
      <c r="T276" s="377" t="str">
        <f>+IFERROR(VLOOKUP(S276,STAT1!$C$4:$D$189,2,FALSE),"")</f>
        <v>Борлуулсан барааны өртөг</v>
      </c>
      <c r="U276" s="424">
        <v>346434.3955611682</v>
      </c>
      <c r="V276" s="424"/>
      <c r="W276" s="822">
        <v>3039</v>
      </c>
      <c r="X276" s="436" t="str">
        <f>IFERROR(VLOOKUP(W276,DATA!$G$4:$H$400,2,FALSE),"")</f>
        <v xml:space="preserve">САССИР ХХК </v>
      </c>
    </row>
    <row r="277" spans="1:27" ht="12.75" customHeight="1">
      <c r="A277" s="425"/>
      <c r="B277" s="368">
        <f t="shared" si="107"/>
        <v>272</v>
      </c>
      <c r="C277" s="425">
        <v>43263</v>
      </c>
      <c r="D277" s="830"/>
      <c r="E277" s="876" t="str">
        <f t="shared" ca="1" si="108"/>
        <v/>
      </c>
      <c r="F277" s="426" t="str">
        <f t="shared" ca="1" si="98"/>
        <v/>
      </c>
      <c r="G277" s="415"/>
      <c r="H277" s="415"/>
      <c r="I277" s="415" t="str">
        <f t="shared" si="104"/>
        <v/>
      </c>
      <c r="J277" s="415" t="str">
        <f t="shared" si="105"/>
        <v/>
      </c>
      <c r="K277" s="415" t="str">
        <f t="shared" si="106"/>
        <v/>
      </c>
      <c r="L277" s="415"/>
      <c r="M277" s="415"/>
      <c r="N277" s="422" t="str">
        <f t="shared" si="99"/>
        <v/>
      </c>
      <c r="O277" s="422" t="str">
        <f t="shared" si="100"/>
        <v/>
      </c>
      <c r="P277" s="422" t="str">
        <f t="shared" si="101"/>
        <v/>
      </c>
      <c r="Q277" s="422" t="str">
        <f t="shared" si="102"/>
        <v/>
      </c>
      <c r="R277" s="422" t="str">
        <f t="shared" si="103"/>
        <v/>
      </c>
      <c r="S277" s="583">
        <v>310500</v>
      </c>
      <c r="T277" s="377" t="str">
        <f>+IFERROR(VLOOKUP(S277,STAT1!$C$4:$D$189,2,FALSE),"")</f>
        <v>НӨАТ өглөг</v>
      </c>
      <c r="U277" s="424"/>
      <c r="V277" s="424">
        <v>52416</v>
      </c>
      <c r="W277" s="822">
        <v>3039</v>
      </c>
      <c r="X277" s="436" t="str">
        <f>IFERROR(VLOOKUP(W277,DATA!$G$4:$H$400,2,FALSE),"")</f>
        <v xml:space="preserve">САССИР ХХК </v>
      </c>
      <c r="Y277" s="328"/>
      <c r="Z277" s="328"/>
      <c r="AA277" s="328"/>
    </row>
    <row r="278" spans="1:27" ht="12.75" customHeight="1">
      <c r="A278" s="425"/>
      <c r="B278" s="368">
        <f t="shared" si="107"/>
        <v>273</v>
      </c>
      <c r="C278" s="425">
        <v>43263</v>
      </c>
      <c r="D278" s="830"/>
      <c r="E278" s="876" t="str">
        <f t="shared" ca="1" si="108"/>
        <v/>
      </c>
      <c r="F278" s="426" t="str">
        <f t="shared" ca="1" si="98"/>
        <v/>
      </c>
      <c r="G278" s="415"/>
      <c r="H278" s="415"/>
      <c r="I278" s="415" t="str">
        <f t="shared" si="104"/>
        <v/>
      </c>
      <c r="J278" s="415" t="str">
        <f t="shared" si="105"/>
        <v/>
      </c>
      <c r="K278" s="415" t="str">
        <f t="shared" si="106"/>
        <v/>
      </c>
      <c r="L278" s="415"/>
      <c r="M278" s="415"/>
      <c r="N278" s="422" t="str">
        <f t="shared" si="99"/>
        <v/>
      </c>
      <c r="O278" s="422" t="str">
        <f t="shared" si="100"/>
        <v/>
      </c>
      <c r="P278" s="422" t="str">
        <f t="shared" si="101"/>
        <v/>
      </c>
      <c r="Q278" s="422" t="str">
        <f t="shared" si="102"/>
        <v/>
      </c>
      <c r="R278" s="422" t="str">
        <f t="shared" si="103"/>
        <v/>
      </c>
      <c r="S278" s="583">
        <v>510000</v>
      </c>
      <c r="T278" s="377" t="str">
        <f>+IFERROR(VLOOKUP(S278,STAT1!$C$4:$D$189,2,FALSE),"")</f>
        <v>Үндсэн үйл ажиллагааны борлуулалт</v>
      </c>
      <c r="U278" s="424"/>
      <c r="V278" s="424">
        <v>524160</v>
      </c>
      <c r="W278" s="822">
        <v>3039</v>
      </c>
      <c r="X278" s="436" t="str">
        <f>IFERROR(VLOOKUP(W278,DATA!$G$4:$H$400,2,FALSE),"")</f>
        <v xml:space="preserve">САССИР ХХК </v>
      </c>
      <c r="Y278" s="328"/>
      <c r="Z278" s="328"/>
      <c r="AA278" s="328"/>
    </row>
    <row r="279" spans="1:27" ht="12.75" customHeight="1">
      <c r="A279" s="425"/>
      <c r="B279" s="368">
        <f t="shared" si="107"/>
        <v>274</v>
      </c>
      <c r="C279" s="425">
        <v>43263</v>
      </c>
      <c r="D279" s="830"/>
      <c r="E279" s="876" t="str">
        <f t="shared" ca="1" si="108"/>
        <v/>
      </c>
      <c r="F279" s="426" t="str">
        <f t="shared" ca="1" si="98"/>
        <v/>
      </c>
      <c r="G279" s="415"/>
      <c r="H279" s="415"/>
      <c r="I279" s="415" t="str">
        <f t="shared" si="104"/>
        <v/>
      </c>
      <c r="J279" s="415" t="str">
        <f t="shared" si="105"/>
        <v/>
      </c>
      <c r="K279" s="415" t="str">
        <f t="shared" si="106"/>
        <v/>
      </c>
      <c r="L279" s="415"/>
      <c r="M279" s="415"/>
      <c r="N279" s="422" t="str">
        <f t="shared" si="99"/>
        <v/>
      </c>
      <c r="O279" s="422" t="str">
        <f t="shared" si="100"/>
        <v/>
      </c>
      <c r="P279" s="422" t="str">
        <f t="shared" si="101"/>
        <v/>
      </c>
      <c r="Q279" s="422" t="str">
        <f t="shared" si="102"/>
        <v/>
      </c>
      <c r="R279" s="422" t="str">
        <f t="shared" si="103"/>
        <v/>
      </c>
      <c r="S279" s="583">
        <v>320100</v>
      </c>
      <c r="T279" s="377" t="str">
        <f>+IFERROR(VLOOKUP(S279,STAT1!$C$4:$D$189,2,FALSE),"")</f>
        <v>Урьдчилж орсон орлого MNT</v>
      </c>
      <c r="U279" s="415">
        <v>576576</v>
      </c>
      <c r="V279" s="415"/>
      <c r="W279" s="822">
        <v>3039</v>
      </c>
      <c r="X279" s="436" t="str">
        <f>IFERROR(VLOOKUP(W279,DATA!$G$4:$H$400,2,FALSE),"")</f>
        <v xml:space="preserve">САССИР ХХК </v>
      </c>
      <c r="Y279" s="328"/>
      <c r="Z279" s="328"/>
      <c r="AA279" s="328"/>
    </row>
    <row r="280" spans="1:27" ht="12.75" customHeight="1">
      <c r="A280" s="425"/>
      <c r="B280" s="368">
        <f t="shared" si="107"/>
        <v>275</v>
      </c>
      <c r="C280" s="425">
        <v>43263</v>
      </c>
      <c r="D280" s="830">
        <v>211801</v>
      </c>
      <c r="E280" s="876" t="str">
        <f t="shared" ca="1" si="108"/>
        <v>Н-Ембүү /20*30мм/</v>
      </c>
      <c r="F280" s="426" t="str">
        <f t="shared" ca="1" si="98"/>
        <v>м</v>
      </c>
      <c r="G280" s="415"/>
      <c r="H280" s="415"/>
      <c r="I280" s="415" t="str">
        <f t="shared" si="104"/>
        <v/>
      </c>
      <c r="J280" s="415" t="str">
        <f t="shared" si="105"/>
        <v/>
      </c>
      <c r="K280" s="415" t="str">
        <f t="shared" si="106"/>
        <v/>
      </c>
      <c r="L280" s="415">
        <v>221</v>
      </c>
      <c r="M280" s="415">
        <v>1500</v>
      </c>
      <c r="N280" s="422">
        <f t="shared" si="99"/>
        <v>331500</v>
      </c>
      <c r="O280" s="422">
        <f t="shared" si="100"/>
        <v>33150</v>
      </c>
      <c r="P280" s="422">
        <f t="shared" si="101"/>
        <v>364650</v>
      </c>
      <c r="Q280" s="422">
        <f t="shared" ca="1" si="102"/>
        <v>768.80288972169456</v>
      </c>
      <c r="R280" s="422">
        <f t="shared" ca="1" si="103"/>
        <v>169905.43862849451</v>
      </c>
      <c r="S280" s="583">
        <f>+IF(LEFT(D280,3)="131",140100,0)+IF(LEFT(D280,3)="310",150100,0)+IF(LEFT(D280,3)="211",150101,0)+IF(LEFT(D280,3)="410",160100,0)+IF(LEFT(D280,3)="440",160200,0)+IF(LEFT(D280,3)="430",160200,0)+IF(LEFT(D280,3)="420",160200,0)+IF(LEFT(D280,3)="460",160201,0)+IF(LEFT(D280,3)="210",150101,0)+IF(LEFT(D280,3)="510",140100,0)</f>
        <v>150101</v>
      </c>
      <c r="T280" s="377" t="str">
        <f>+IFERROR(VLOOKUP(S280,STAT1!$C$4:$D$189,2,FALSE),"")</f>
        <v>Бараа бэлэн бүтээгдэхүүн БОЛОВСРУУЛАХ ЦЕХ /нарс/</v>
      </c>
      <c r="U280" s="424"/>
      <c r="V280" s="424">
        <v>169905.43862849451</v>
      </c>
      <c r="W280" s="822">
        <v>3124</v>
      </c>
      <c r="X280" s="436" t="str">
        <f>IFERROR(VLOOKUP(W280,DATA!$G$4:$H$400,2,FALSE),"")</f>
        <v xml:space="preserve">ШИНЭЛЭГ СУУЦ ХХК </v>
      </c>
      <c r="Y280" s="328"/>
      <c r="Z280" s="328"/>
      <c r="AA280" s="328"/>
    </row>
    <row r="281" spans="1:27" ht="12.75" customHeight="1">
      <c r="A281" s="425"/>
      <c r="B281" s="368">
        <f t="shared" si="107"/>
        <v>276</v>
      </c>
      <c r="C281" s="425">
        <v>43263</v>
      </c>
      <c r="D281" s="830"/>
      <c r="E281" s="876" t="str">
        <f t="shared" ca="1" si="108"/>
        <v/>
      </c>
      <c r="F281" s="426" t="str">
        <f t="shared" ca="1" si="98"/>
        <v/>
      </c>
      <c r="G281" s="415"/>
      <c r="H281" s="415"/>
      <c r="I281" s="415" t="str">
        <f t="shared" si="104"/>
        <v/>
      </c>
      <c r="J281" s="415" t="str">
        <f t="shared" si="105"/>
        <v/>
      </c>
      <c r="K281" s="415" t="str">
        <f t="shared" si="106"/>
        <v/>
      </c>
      <c r="L281" s="415"/>
      <c r="M281" s="415"/>
      <c r="N281" s="422" t="str">
        <f t="shared" si="99"/>
        <v/>
      </c>
      <c r="O281" s="422" t="str">
        <f t="shared" si="100"/>
        <v/>
      </c>
      <c r="P281" s="422" t="str">
        <f t="shared" si="101"/>
        <v/>
      </c>
      <c r="Q281" s="422" t="str">
        <f t="shared" si="102"/>
        <v/>
      </c>
      <c r="R281" s="422" t="str">
        <f t="shared" si="103"/>
        <v/>
      </c>
      <c r="S281" s="583">
        <v>610100</v>
      </c>
      <c r="T281" s="377" t="str">
        <f>+IFERROR(VLOOKUP(S281,STAT1!$C$4:$D$189,2,FALSE),"")</f>
        <v>Борлуулсан барааны өртөг</v>
      </c>
      <c r="U281" s="424">
        <v>169905.43862849451</v>
      </c>
      <c r="V281" s="424"/>
      <c r="W281" s="822">
        <v>3124</v>
      </c>
      <c r="X281" s="436" t="str">
        <f>IFERROR(VLOOKUP(W281,DATA!$G$4:$H$400,2,FALSE),"")</f>
        <v xml:space="preserve">ШИНЭЛЭГ СУУЦ ХХК </v>
      </c>
      <c r="Y281" s="328"/>
      <c r="Z281" s="328"/>
      <c r="AA281" s="328"/>
    </row>
    <row r="282" spans="1:27" ht="12.75" customHeight="1">
      <c r="A282" s="425"/>
      <c r="B282" s="368">
        <f t="shared" si="107"/>
        <v>277</v>
      </c>
      <c r="C282" s="425">
        <v>43263</v>
      </c>
      <c r="D282" s="830"/>
      <c r="E282" s="876" t="str">
        <f t="shared" ca="1" si="108"/>
        <v/>
      </c>
      <c r="F282" s="426" t="str">
        <f t="shared" ca="1" si="98"/>
        <v/>
      </c>
      <c r="G282" s="415"/>
      <c r="H282" s="415"/>
      <c r="I282" s="415" t="str">
        <f t="shared" si="104"/>
        <v/>
      </c>
      <c r="J282" s="415" t="str">
        <f t="shared" si="105"/>
        <v/>
      </c>
      <c r="K282" s="415" t="str">
        <f t="shared" si="106"/>
        <v/>
      </c>
      <c r="L282" s="415"/>
      <c r="M282" s="415"/>
      <c r="N282" s="422" t="str">
        <f t="shared" si="99"/>
        <v/>
      </c>
      <c r="O282" s="422" t="str">
        <f t="shared" si="100"/>
        <v/>
      </c>
      <c r="P282" s="422" t="str">
        <f t="shared" si="101"/>
        <v/>
      </c>
      <c r="Q282" s="422" t="str">
        <f t="shared" si="102"/>
        <v/>
      </c>
      <c r="R282" s="422" t="str">
        <f t="shared" si="103"/>
        <v/>
      </c>
      <c r="S282" s="583">
        <v>310500</v>
      </c>
      <c r="T282" s="377" t="str">
        <f>+IFERROR(VLOOKUP(S282,STAT1!$C$4:$D$189,2,FALSE),"")</f>
        <v>НӨАТ өглөг</v>
      </c>
      <c r="U282" s="424"/>
      <c r="V282" s="424">
        <v>33150</v>
      </c>
      <c r="W282" s="822">
        <v>3124</v>
      </c>
      <c r="X282" s="436" t="str">
        <f>IFERROR(VLOOKUP(W282,DATA!$G$4:$H$400,2,FALSE),"")</f>
        <v xml:space="preserve">ШИНЭЛЭГ СУУЦ ХХК </v>
      </c>
      <c r="Y282" s="328"/>
      <c r="Z282" s="328"/>
      <c r="AA282" s="328"/>
    </row>
    <row r="283" spans="1:27" ht="12.75" customHeight="1">
      <c r="A283" s="425"/>
      <c r="B283" s="368">
        <f t="shared" si="107"/>
        <v>278</v>
      </c>
      <c r="C283" s="425">
        <v>43263</v>
      </c>
      <c r="D283" s="830"/>
      <c r="E283" s="876" t="str">
        <f t="shared" ca="1" si="108"/>
        <v/>
      </c>
      <c r="F283" s="426" t="str">
        <f t="shared" ca="1" si="98"/>
        <v/>
      </c>
      <c r="G283" s="415"/>
      <c r="H283" s="415"/>
      <c r="I283" s="415" t="str">
        <f t="shared" si="104"/>
        <v/>
      </c>
      <c r="J283" s="415" t="str">
        <f t="shared" si="105"/>
        <v/>
      </c>
      <c r="K283" s="415" t="str">
        <f t="shared" si="106"/>
        <v/>
      </c>
      <c r="L283" s="415"/>
      <c r="M283" s="415"/>
      <c r="N283" s="422" t="str">
        <f t="shared" si="99"/>
        <v/>
      </c>
      <c r="O283" s="422" t="str">
        <f t="shared" si="100"/>
        <v/>
      </c>
      <c r="P283" s="422" t="str">
        <f t="shared" si="101"/>
        <v/>
      </c>
      <c r="Q283" s="422" t="str">
        <f t="shared" si="102"/>
        <v/>
      </c>
      <c r="R283" s="422" t="str">
        <f t="shared" si="103"/>
        <v/>
      </c>
      <c r="S283" s="583">
        <v>510000</v>
      </c>
      <c r="T283" s="377" t="str">
        <f>+IFERROR(VLOOKUP(S283,STAT1!$C$4:$D$189,2,FALSE),"")</f>
        <v>Үндсэн үйл ажиллагааны борлуулалт</v>
      </c>
      <c r="U283" s="424"/>
      <c r="V283" s="424">
        <v>331500</v>
      </c>
      <c r="W283" s="822">
        <v>3124</v>
      </c>
      <c r="X283" s="436" t="str">
        <f>IFERROR(VLOOKUP(W283,DATA!$G$4:$H$400,2,FALSE),"")</f>
        <v xml:space="preserve">ШИНЭЛЭГ СУУЦ ХХК </v>
      </c>
      <c r="Y283" s="328"/>
      <c r="Z283" s="328"/>
      <c r="AA283" s="328"/>
    </row>
    <row r="284" spans="1:27" ht="12.75" customHeight="1">
      <c r="A284" s="425"/>
      <c r="B284" s="368">
        <f t="shared" si="107"/>
        <v>279</v>
      </c>
      <c r="C284" s="425">
        <v>43263</v>
      </c>
      <c r="D284" s="830"/>
      <c r="E284" s="876" t="str">
        <f t="shared" ca="1" si="108"/>
        <v/>
      </c>
      <c r="F284" s="426" t="str">
        <f t="shared" ca="1" si="98"/>
        <v/>
      </c>
      <c r="G284" s="415"/>
      <c r="H284" s="415"/>
      <c r="I284" s="415" t="str">
        <f t="shared" si="104"/>
        <v/>
      </c>
      <c r="J284" s="415" t="str">
        <f t="shared" si="105"/>
        <v/>
      </c>
      <c r="K284" s="415" t="str">
        <f t="shared" si="106"/>
        <v/>
      </c>
      <c r="L284" s="415"/>
      <c r="M284" s="415"/>
      <c r="N284" s="422" t="str">
        <f t="shared" si="99"/>
        <v/>
      </c>
      <c r="O284" s="422" t="str">
        <f t="shared" si="100"/>
        <v/>
      </c>
      <c r="P284" s="422" t="str">
        <f t="shared" si="101"/>
        <v/>
      </c>
      <c r="Q284" s="422" t="str">
        <f t="shared" si="102"/>
        <v/>
      </c>
      <c r="R284" s="422" t="str">
        <f t="shared" si="103"/>
        <v/>
      </c>
      <c r="S284" s="583">
        <v>320100</v>
      </c>
      <c r="T284" s="377" t="str">
        <f>+IFERROR(VLOOKUP(S284,STAT1!$C$4:$D$189,2,FALSE),"")</f>
        <v>Урьдчилж орсон орлого MNT</v>
      </c>
      <c r="U284" s="415">
        <v>364650</v>
      </c>
      <c r="V284" s="415"/>
      <c r="W284" s="822">
        <v>3124</v>
      </c>
      <c r="X284" s="436" t="str">
        <f>IFERROR(VLOOKUP(W284,DATA!$G$4:$H$400,2,FALSE),"")</f>
        <v xml:space="preserve">ШИНЭЛЭГ СУУЦ ХХК </v>
      </c>
      <c r="Y284" s="328"/>
      <c r="Z284" s="328"/>
      <c r="AA284" s="328"/>
    </row>
    <row r="285" spans="1:27" ht="12.75" customHeight="1">
      <c r="A285" s="425"/>
      <c r="B285" s="368">
        <f t="shared" si="107"/>
        <v>280</v>
      </c>
      <c r="C285" s="425">
        <v>43263</v>
      </c>
      <c r="D285" s="830">
        <v>211802</v>
      </c>
      <c r="E285" s="876" t="str">
        <f t="shared" ca="1" si="108"/>
        <v xml:space="preserve">Н-Уголок </v>
      </c>
      <c r="F285" s="426" t="str">
        <f t="shared" ca="1" si="98"/>
        <v>м</v>
      </c>
      <c r="G285" s="415"/>
      <c r="H285" s="415"/>
      <c r="I285" s="415" t="str">
        <f t="shared" si="104"/>
        <v/>
      </c>
      <c r="J285" s="415" t="str">
        <f t="shared" si="105"/>
        <v/>
      </c>
      <c r="K285" s="415" t="str">
        <f t="shared" si="106"/>
        <v/>
      </c>
      <c r="L285" s="415">
        <v>98</v>
      </c>
      <c r="M285" s="415">
        <v>4000</v>
      </c>
      <c r="N285" s="422">
        <f t="shared" si="99"/>
        <v>392000</v>
      </c>
      <c r="O285" s="422">
        <f t="shared" si="100"/>
        <v>39200</v>
      </c>
      <c r="P285" s="422">
        <f t="shared" si="101"/>
        <v>431200</v>
      </c>
      <c r="Q285" s="422">
        <f t="shared" ca="1" si="102"/>
        <v>1377.7799111418215</v>
      </c>
      <c r="R285" s="422">
        <f t="shared" ca="1" si="103"/>
        <v>135022.43129189851</v>
      </c>
      <c r="S285" s="583">
        <f>+IF(LEFT(D285,3)="131",140100,0)+IF(LEFT(D285,3)="310",150100,0)+IF(LEFT(D285,3)="211",150101,0)+IF(LEFT(D285,3)="410",160100,0)+IF(LEFT(D285,3)="440",160200,0)+IF(LEFT(D285,3)="430",160200,0)+IF(LEFT(D285,3)="420",160200,0)+IF(LEFT(D285,3)="460",160201,0)+IF(LEFT(D285,3)="210",150101,0)+IF(LEFT(D285,3)="510",140100,0)</f>
        <v>150101</v>
      </c>
      <c r="T285" s="377" t="str">
        <f>+IFERROR(VLOOKUP(S285,STAT1!$C$4:$D$189,2,FALSE),"")</f>
        <v>Бараа бэлэн бүтээгдэхүүн БОЛОВСРУУЛАХ ЦЕХ /нарс/</v>
      </c>
      <c r="U285" s="424"/>
      <c r="V285" s="424">
        <v>135022.43129189851</v>
      </c>
      <c r="W285" s="822">
        <v>3007</v>
      </c>
      <c r="X285" s="436" t="str">
        <f>IFERROR(VLOOKUP(W285,DATA!$G$4:$H$400,2,FALSE),"")</f>
        <v xml:space="preserve">АЯНЧИН АУТФИТТЕРС ХХК </v>
      </c>
      <c r="Y285" s="328"/>
      <c r="Z285" s="328"/>
      <c r="AA285" s="328"/>
    </row>
    <row r="286" spans="1:27" ht="12.75" customHeight="1">
      <c r="A286" s="425"/>
      <c r="B286" s="368">
        <f t="shared" si="107"/>
        <v>281</v>
      </c>
      <c r="C286" s="425">
        <v>43263</v>
      </c>
      <c r="D286" s="830"/>
      <c r="E286" s="876" t="str">
        <f t="shared" ca="1" si="108"/>
        <v/>
      </c>
      <c r="F286" s="426" t="str">
        <f t="shared" ca="1" si="98"/>
        <v/>
      </c>
      <c r="G286" s="415"/>
      <c r="H286" s="415"/>
      <c r="I286" s="415" t="str">
        <f t="shared" si="104"/>
        <v/>
      </c>
      <c r="J286" s="415" t="str">
        <f t="shared" si="105"/>
        <v/>
      </c>
      <c r="K286" s="415" t="str">
        <f t="shared" si="106"/>
        <v/>
      </c>
      <c r="L286" s="415"/>
      <c r="M286" s="415"/>
      <c r="N286" s="422" t="str">
        <f t="shared" si="99"/>
        <v/>
      </c>
      <c r="O286" s="422" t="str">
        <f t="shared" si="100"/>
        <v/>
      </c>
      <c r="P286" s="422" t="str">
        <f t="shared" si="101"/>
        <v/>
      </c>
      <c r="Q286" s="422" t="str">
        <f t="shared" si="102"/>
        <v/>
      </c>
      <c r="R286" s="422" t="str">
        <f t="shared" si="103"/>
        <v/>
      </c>
      <c r="S286" s="583">
        <v>610100</v>
      </c>
      <c r="T286" s="377" t="str">
        <f>+IFERROR(VLOOKUP(S286,STAT1!$C$4:$D$189,2,FALSE),"")</f>
        <v>Борлуулсан барааны өртөг</v>
      </c>
      <c r="U286" s="424">
        <v>135022.43129189851</v>
      </c>
      <c r="V286" s="424"/>
      <c r="W286" s="822">
        <v>3007</v>
      </c>
      <c r="X286" s="436" t="str">
        <f>IFERROR(VLOOKUP(W286,DATA!$G$4:$H$400,2,FALSE),"")</f>
        <v xml:space="preserve">АЯНЧИН АУТФИТТЕРС ХХК </v>
      </c>
      <c r="Y286" s="328"/>
      <c r="Z286" s="328"/>
      <c r="AA286" s="328"/>
    </row>
    <row r="287" spans="1:27" ht="12.75" customHeight="1">
      <c r="A287" s="425"/>
      <c r="B287" s="368">
        <f t="shared" si="107"/>
        <v>282</v>
      </c>
      <c r="C287" s="425">
        <v>43263</v>
      </c>
      <c r="D287" s="830"/>
      <c r="E287" s="876" t="str">
        <f t="shared" ca="1" si="108"/>
        <v/>
      </c>
      <c r="F287" s="426" t="str">
        <f t="shared" ca="1" si="98"/>
        <v/>
      </c>
      <c r="G287" s="415"/>
      <c r="H287" s="415"/>
      <c r="I287" s="415" t="str">
        <f t="shared" si="104"/>
        <v/>
      </c>
      <c r="J287" s="415" t="str">
        <f t="shared" si="105"/>
        <v/>
      </c>
      <c r="K287" s="415" t="str">
        <f t="shared" si="106"/>
        <v/>
      </c>
      <c r="L287" s="415"/>
      <c r="M287" s="415"/>
      <c r="N287" s="422" t="str">
        <f t="shared" si="99"/>
        <v/>
      </c>
      <c r="O287" s="422" t="str">
        <f t="shared" si="100"/>
        <v/>
      </c>
      <c r="P287" s="422" t="str">
        <f t="shared" si="101"/>
        <v/>
      </c>
      <c r="Q287" s="422" t="str">
        <f t="shared" si="102"/>
        <v/>
      </c>
      <c r="R287" s="422" t="str">
        <f t="shared" si="103"/>
        <v/>
      </c>
      <c r="S287" s="583">
        <v>310500</v>
      </c>
      <c r="T287" s="377" t="str">
        <f>+IFERROR(VLOOKUP(S287,STAT1!$C$4:$D$189,2,FALSE),"")</f>
        <v>НӨАТ өглөг</v>
      </c>
      <c r="U287" s="424"/>
      <c r="V287" s="424">
        <v>39200</v>
      </c>
      <c r="W287" s="822">
        <v>3007</v>
      </c>
      <c r="X287" s="436" t="str">
        <f>IFERROR(VLOOKUP(W287,DATA!$G$4:$H$400,2,FALSE),"")</f>
        <v xml:space="preserve">АЯНЧИН АУТФИТТЕРС ХХК </v>
      </c>
      <c r="Y287" s="328"/>
      <c r="Z287" s="328"/>
      <c r="AA287" s="328"/>
    </row>
    <row r="288" spans="1:27" ht="12.75" customHeight="1">
      <c r="A288" s="425"/>
      <c r="B288" s="368">
        <f t="shared" si="107"/>
        <v>283</v>
      </c>
      <c r="C288" s="425">
        <v>43263</v>
      </c>
      <c r="D288" s="830"/>
      <c r="E288" s="876" t="str">
        <f t="shared" ca="1" si="108"/>
        <v/>
      </c>
      <c r="F288" s="426" t="str">
        <f t="shared" ca="1" si="98"/>
        <v/>
      </c>
      <c r="G288" s="415"/>
      <c r="H288" s="415"/>
      <c r="I288" s="415" t="str">
        <f t="shared" si="104"/>
        <v/>
      </c>
      <c r="J288" s="415" t="str">
        <f t="shared" si="105"/>
        <v/>
      </c>
      <c r="K288" s="415" t="str">
        <f t="shared" si="106"/>
        <v/>
      </c>
      <c r="L288" s="415"/>
      <c r="M288" s="415"/>
      <c r="N288" s="422" t="str">
        <f t="shared" si="99"/>
        <v/>
      </c>
      <c r="O288" s="422" t="str">
        <f t="shared" si="100"/>
        <v/>
      </c>
      <c r="P288" s="422" t="str">
        <f t="shared" si="101"/>
        <v/>
      </c>
      <c r="Q288" s="422" t="str">
        <f t="shared" si="102"/>
        <v/>
      </c>
      <c r="R288" s="422" t="str">
        <f t="shared" si="103"/>
        <v/>
      </c>
      <c r="S288" s="583">
        <v>510000</v>
      </c>
      <c r="T288" s="377" t="str">
        <f>+IFERROR(VLOOKUP(S288,STAT1!$C$4:$D$189,2,FALSE),"")</f>
        <v>Үндсэн үйл ажиллагааны борлуулалт</v>
      </c>
      <c r="U288" s="424"/>
      <c r="V288" s="424">
        <v>392000</v>
      </c>
      <c r="W288" s="822">
        <v>3007</v>
      </c>
      <c r="X288" s="436" t="str">
        <f>IFERROR(VLOOKUP(W288,DATA!$G$4:$H$400,2,FALSE),"")</f>
        <v xml:space="preserve">АЯНЧИН АУТФИТТЕРС ХХК </v>
      </c>
      <c r="Y288" s="328"/>
      <c r="Z288" s="328"/>
      <c r="AA288" s="328"/>
    </row>
    <row r="289" spans="1:27" ht="12.75" customHeight="1">
      <c r="A289" s="425"/>
      <c r="B289" s="368">
        <f t="shared" si="107"/>
        <v>284</v>
      </c>
      <c r="C289" s="425">
        <v>43263</v>
      </c>
      <c r="D289" s="830"/>
      <c r="E289" s="876" t="str">
        <f t="shared" ca="1" si="108"/>
        <v/>
      </c>
      <c r="F289" s="426" t="str">
        <f t="shared" ca="1" si="98"/>
        <v/>
      </c>
      <c r="G289" s="415"/>
      <c r="H289" s="415"/>
      <c r="I289" s="415" t="str">
        <f t="shared" si="104"/>
        <v/>
      </c>
      <c r="J289" s="415" t="str">
        <f t="shared" si="105"/>
        <v/>
      </c>
      <c r="K289" s="415" t="str">
        <f t="shared" si="106"/>
        <v/>
      </c>
      <c r="L289" s="415"/>
      <c r="M289" s="415"/>
      <c r="N289" s="422" t="str">
        <f t="shared" si="99"/>
        <v/>
      </c>
      <c r="O289" s="422" t="str">
        <f t="shared" si="100"/>
        <v/>
      </c>
      <c r="P289" s="422" t="str">
        <f t="shared" si="101"/>
        <v/>
      </c>
      <c r="Q289" s="422" t="str">
        <f t="shared" si="102"/>
        <v/>
      </c>
      <c r="R289" s="422" t="str">
        <f t="shared" si="103"/>
        <v/>
      </c>
      <c r="S289" s="583">
        <v>320100</v>
      </c>
      <c r="T289" s="377" t="str">
        <f>+IFERROR(VLOOKUP(S289,STAT1!$C$4:$D$189,2,FALSE),"")</f>
        <v>Урьдчилж орсон орлого MNT</v>
      </c>
      <c r="U289" s="415">
        <v>431200</v>
      </c>
      <c r="V289" s="415"/>
      <c r="W289" s="822">
        <v>3007</v>
      </c>
      <c r="X289" s="436" t="str">
        <f>IFERROR(VLOOKUP(W289,DATA!$G$4:$H$400,2,FALSE),"")</f>
        <v xml:space="preserve">АЯНЧИН АУТФИТТЕРС ХХК </v>
      </c>
      <c r="Y289" s="328"/>
      <c r="Z289" s="328"/>
      <c r="AA289" s="328"/>
    </row>
    <row r="290" spans="1:27" ht="12.75" customHeight="1">
      <c r="A290" s="425"/>
      <c r="B290" s="368">
        <f t="shared" si="107"/>
        <v>285</v>
      </c>
      <c r="C290" s="425">
        <v>43263</v>
      </c>
      <c r="D290" s="830">
        <v>211504</v>
      </c>
      <c r="E290" s="876" t="str">
        <f t="shared" ca="1" si="108"/>
        <v xml:space="preserve">Н-Евровагонка /зузаан-1.2см/-яртай </v>
      </c>
      <c r="F290" s="426" t="str">
        <f t="shared" ca="1" si="98"/>
        <v>м2</v>
      </c>
      <c r="G290" s="415"/>
      <c r="H290" s="415"/>
      <c r="I290" s="415" t="str">
        <f t="shared" si="104"/>
        <v/>
      </c>
      <c r="J290" s="415" t="str">
        <f t="shared" si="105"/>
        <v/>
      </c>
      <c r="K290" s="415" t="str">
        <f t="shared" si="106"/>
        <v/>
      </c>
      <c r="L290" s="415">
        <v>10</v>
      </c>
      <c r="M290" s="415">
        <v>18000</v>
      </c>
      <c r="N290" s="422">
        <f t="shared" si="99"/>
        <v>180000</v>
      </c>
      <c r="O290" s="422">
        <f t="shared" si="100"/>
        <v>18000</v>
      </c>
      <c r="P290" s="422">
        <f t="shared" si="101"/>
        <v>198000</v>
      </c>
      <c r="Q290" s="422">
        <f t="shared" ca="1" si="102"/>
        <v>11896.785561853303</v>
      </c>
      <c r="R290" s="422">
        <f t="shared" ca="1" si="103"/>
        <v>118967.85561853304</v>
      </c>
      <c r="S290" s="583">
        <f>+IF(LEFT(D290,3)="131",140100,0)+IF(LEFT(D290,3)="310",150100,0)+IF(LEFT(D290,3)="211",150101,0)+IF(LEFT(D290,3)="410",160100,0)+IF(LEFT(D290,3)="440",160200,0)+IF(LEFT(D290,3)="430",160200,0)+IF(LEFT(D290,3)="420",160200,0)+IF(LEFT(D290,3)="460",160201,0)+IF(LEFT(D290,3)="210",150101,0)+IF(LEFT(D290,3)="510",140100,0)</f>
        <v>150101</v>
      </c>
      <c r="T290" s="377" t="str">
        <f>+IFERROR(VLOOKUP(S290,STAT1!$C$4:$D$189,2,FALSE),"")</f>
        <v>Бараа бэлэн бүтээгдэхүүн БОЛОВСРУУЛАХ ЦЕХ /нарс/</v>
      </c>
      <c r="U290" s="424"/>
      <c r="V290" s="424">
        <v>118967.85561853304</v>
      </c>
      <c r="W290" s="822">
        <v>3109</v>
      </c>
      <c r="X290" s="436" t="str">
        <f>IFERROR(VLOOKUP(W290,DATA!$G$4:$H$400,2,FALSE),"")</f>
        <v xml:space="preserve">СИЛК РӨҮТ ТЕКСТИЛЬ ХХК </v>
      </c>
      <c r="Y290" s="328"/>
      <c r="Z290" s="328"/>
      <c r="AA290" s="328"/>
    </row>
    <row r="291" spans="1:27" ht="12.75" customHeight="1">
      <c r="A291" s="425"/>
      <c r="B291" s="368">
        <f t="shared" si="107"/>
        <v>286</v>
      </c>
      <c r="C291" s="425">
        <v>43263</v>
      </c>
      <c r="D291" s="830"/>
      <c r="E291" s="876" t="str">
        <f t="shared" ca="1" si="108"/>
        <v/>
      </c>
      <c r="F291" s="426" t="str">
        <f t="shared" ca="1" si="98"/>
        <v/>
      </c>
      <c r="G291" s="415"/>
      <c r="H291" s="415"/>
      <c r="I291" s="415" t="str">
        <f t="shared" si="104"/>
        <v/>
      </c>
      <c r="J291" s="415" t="str">
        <f t="shared" si="105"/>
        <v/>
      </c>
      <c r="K291" s="415" t="str">
        <f t="shared" si="106"/>
        <v/>
      </c>
      <c r="L291" s="415"/>
      <c r="M291" s="415"/>
      <c r="N291" s="422" t="str">
        <f t="shared" si="99"/>
        <v/>
      </c>
      <c r="O291" s="422" t="str">
        <f t="shared" si="100"/>
        <v/>
      </c>
      <c r="P291" s="422" t="str">
        <f t="shared" si="101"/>
        <v/>
      </c>
      <c r="Q291" s="422" t="str">
        <f t="shared" si="102"/>
        <v/>
      </c>
      <c r="R291" s="422" t="str">
        <f t="shared" si="103"/>
        <v/>
      </c>
      <c r="S291" s="583">
        <v>610100</v>
      </c>
      <c r="T291" s="377" t="str">
        <f>+IFERROR(VLOOKUP(S291,STAT1!$C$4:$D$189,2,FALSE),"")</f>
        <v>Борлуулсан барааны өртөг</v>
      </c>
      <c r="U291" s="424">
        <v>118967.85561853304</v>
      </c>
      <c r="V291" s="424"/>
      <c r="W291" s="822">
        <v>3109</v>
      </c>
      <c r="X291" s="436" t="str">
        <f>IFERROR(VLOOKUP(W291,DATA!$G$4:$H$400,2,FALSE),"")</f>
        <v xml:space="preserve">СИЛК РӨҮТ ТЕКСТИЛЬ ХХК </v>
      </c>
      <c r="Y291" s="328"/>
      <c r="Z291" s="328"/>
      <c r="AA291" s="328"/>
    </row>
    <row r="292" spans="1:27" ht="12.75" customHeight="1">
      <c r="A292" s="425"/>
      <c r="B292" s="368">
        <f t="shared" si="107"/>
        <v>287</v>
      </c>
      <c r="C292" s="425">
        <v>43263</v>
      </c>
      <c r="D292" s="830"/>
      <c r="E292" s="876" t="str">
        <f t="shared" ca="1" si="108"/>
        <v/>
      </c>
      <c r="F292" s="426" t="str">
        <f t="shared" ca="1" si="98"/>
        <v/>
      </c>
      <c r="G292" s="415"/>
      <c r="H292" s="415"/>
      <c r="I292" s="415" t="str">
        <f t="shared" si="104"/>
        <v/>
      </c>
      <c r="J292" s="415" t="str">
        <f t="shared" si="105"/>
        <v/>
      </c>
      <c r="K292" s="415" t="str">
        <f t="shared" si="106"/>
        <v/>
      </c>
      <c r="L292" s="415"/>
      <c r="M292" s="415"/>
      <c r="N292" s="422" t="str">
        <f t="shared" si="99"/>
        <v/>
      </c>
      <c r="O292" s="422" t="str">
        <f t="shared" si="100"/>
        <v/>
      </c>
      <c r="P292" s="422" t="str">
        <f t="shared" si="101"/>
        <v/>
      </c>
      <c r="Q292" s="422" t="str">
        <f t="shared" si="102"/>
        <v/>
      </c>
      <c r="R292" s="422" t="str">
        <f t="shared" si="103"/>
        <v/>
      </c>
      <c r="S292" s="583">
        <v>310500</v>
      </c>
      <c r="T292" s="377" t="str">
        <f>+IFERROR(VLOOKUP(S292,STAT1!$C$4:$D$189,2,FALSE),"")</f>
        <v>НӨАТ өглөг</v>
      </c>
      <c r="U292" s="424"/>
      <c r="V292" s="424">
        <v>18000</v>
      </c>
      <c r="W292" s="822">
        <v>3109</v>
      </c>
      <c r="X292" s="436" t="str">
        <f>IFERROR(VLOOKUP(W292,DATA!$G$4:$H$400,2,FALSE),"")</f>
        <v xml:space="preserve">СИЛК РӨҮТ ТЕКСТИЛЬ ХХК </v>
      </c>
      <c r="Y292" s="328"/>
      <c r="Z292" s="328"/>
      <c r="AA292" s="328"/>
    </row>
    <row r="293" spans="1:27" ht="12.75" customHeight="1">
      <c r="A293" s="425"/>
      <c r="B293" s="368">
        <f t="shared" si="107"/>
        <v>288</v>
      </c>
      <c r="C293" s="425">
        <v>43263</v>
      </c>
      <c r="D293" s="830"/>
      <c r="E293" s="876" t="str">
        <f t="shared" ca="1" si="108"/>
        <v/>
      </c>
      <c r="F293" s="426" t="str">
        <f t="shared" ca="1" si="98"/>
        <v/>
      </c>
      <c r="G293" s="415"/>
      <c r="H293" s="415"/>
      <c r="I293" s="415" t="str">
        <f t="shared" si="104"/>
        <v/>
      </c>
      <c r="J293" s="415" t="str">
        <f t="shared" si="105"/>
        <v/>
      </c>
      <c r="K293" s="415" t="str">
        <f t="shared" si="106"/>
        <v/>
      </c>
      <c r="L293" s="415"/>
      <c r="M293" s="415"/>
      <c r="N293" s="422" t="str">
        <f t="shared" si="99"/>
        <v/>
      </c>
      <c r="O293" s="422" t="str">
        <f t="shared" si="100"/>
        <v/>
      </c>
      <c r="P293" s="422" t="str">
        <f t="shared" si="101"/>
        <v/>
      </c>
      <c r="Q293" s="422" t="str">
        <f t="shared" si="102"/>
        <v/>
      </c>
      <c r="R293" s="422" t="str">
        <f t="shared" si="103"/>
        <v/>
      </c>
      <c r="S293" s="583">
        <v>510000</v>
      </c>
      <c r="T293" s="377" t="str">
        <f>+IFERROR(VLOOKUP(S293,STAT1!$C$4:$D$189,2,FALSE),"")</f>
        <v>Үндсэн үйл ажиллагааны борлуулалт</v>
      </c>
      <c r="U293" s="424"/>
      <c r="V293" s="424">
        <v>180000</v>
      </c>
      <c r="W293" s="822">
        <v>3109</v>
      </c>
      <c r="X293" s="436" t="str">
        <f>IFERROR(VLOOKUP(W293,DATA!$G$4:$H$400,2,FALSE),"")</f>
        <v xml:space="preserve">СИЛК РӨҮТ ТЕКСТИЛЬ ХХК </v>
      </c>
      <c r="Y293" s="328"/>
      <c r="Z293" s="328"/>
      <c r="AA293" s="328"/>
    </row>
    <row r="294" spans="1:27" ht="12.75" customHeight="1">
      <c r="A294" s="425"/>
      <c r="B294" s="368">
        <f t="shared" si="107"/>
        <v>289</v>
      </c>
      <c r="C294" s="425">
        <v>43263</v>
      </c>
      <c r="D294" s="830"/>
      <c r="E294" s="876" t="str">
        <f t="shared" ca="1" si="108"/>
        <v/>
      </c>
      <c r="F294" s="426" t="str">
        <f t="shared" ca="1" si="98"/>
        <v/>
      </c>
      <c r="G294" s="415"/>
      <c r="H294" s="415"/>
      <c r="I294" s="415" t="str">
        <f t="shared" si="104"/>
        <v/>
      </c>
      <c r="J294" s="415" t="str">
        <f t="shared" si="105"/>
        <v/>
      </c>
      <c r="K294" s="415" t="str">
        <f t="shared" si="106"/>
        <v/>
      </c>
      <c r="L294" s="415"/>
      <c r="M294" s="415"/>
      <c r="N294" s="422" t="str">
        <f t="shared" si="99"/>
        <v/>
      </c>
      <c r="O294" s="422" t="str">
        <f t="shared" si="100"/>
        <v/>
      </c>
      <c r="P294" s="422" t="str">
        <f t="shared" si="101"/>
        <v/>
      </c>
      <c r="Q294" s="422" t="str">
        <f t="shared" si="102"/>
        <v/>
      </c>
      <c r="R294" s="422" t="str">
        <f t="shared" si="103"/>
        <v/>
      </c>
      <c r="S294" s="583">
        <v>320100</v>
      </c>
      <c r="T294" s="377" t="str">
        <f>+IFERROR(VLOOKUP(S294,STAT1!$C$4:$D$189,2,FALSE),"")</f>
        <v>Урьдчилж орсон орлого MNT</v>
      </c>
      <c r="U294" s="415">
        <v>198000</v>
      </c>
      <c r="V294" s="415"/>
      <c r="W294" s="822">
        <v>3109</v>
      </c>
      <c r="X294" s="436" t="str">
        <f>IFERROR(VLOOKUP(W294,DATA!$G$4:$H$400,2,FALSE),"")</f>
        <v xml:space="preserve">СИЛК РӨҮТ ТЕКСТИЛЬ ХХК </v>
      </c>
      <c r="Y294" s="328"/>
      <c r="Z294" s="328"/>
      <c r="AA294" s="328"/>
    </row>
    <row r="295" spans="1:27" ht="12.75" customHeight="1">
      <c r="A295" s="425"/>
      <c r="B295" s="368">
        <f t="shared" si="107"/>
        <v>290</v>
      </c>
      <c r="C295" s="425">
        <v>43281</v>
      </c>
      <c r="D295" s="830">
        <v>211710</v>
      </c>
      <c r="E295" s="876" t="str">
        <f t="shared" ca="1" si="108"/>
        <v xml:space="preserve">Н-Хавтан /зузаан-3см/-яртай </v>
      </c>
      <c r="F295" s="426" t="str">
        <f t="shared" ref="F295:F318" ca="1" si="109">+IFERROR(VLOOKUP(D295,TN_table,3,FALSE),"")</f>
        <v>м2</v>
      </c>
      <c r="G295" s="415"/>
      <c r="H295" s="415"/>
      <c r="I295" s="415" t="str">
        <f t="shared" si="104"/>
        <v/>
      </c>
      <c r="J295" s="415" t="str">
        <f t="shared" si="105"/>
        <v/>
      </c>
      <c r="K295" s="415" t="str">
        <f t="shared" si="106"/>
        <v/>
      </c>
      <c r="L295" s="415">
        <v>32.799999999999997</v>
      </c>
      <c r="M295" s="415">
        <v>40000</v>
      </c>
      <c r="N295" s="422">
        <f t="shared" si="99"/>
        <v>1312000</v>
      </c>
      <c r="O295" s="422">
        <f t="shared" si="100"/>
        <v>131200</v>
      </c>
      <c r="P295" s="422">
        <f t="shared" si="101"/>
        <v>1443200</v>
      </c>
      <c r="Q295" s="422">
        <f t="shared" ca="1" si="102"/>
        <v>39417.048654063474</v>
      </c>
      <c r="R295" s="422">
        <f t="shared" ca="1" si="103"/>
        <v>1292879.1958532818</v>
      </c>
      <c r="S295" s="583">
        <f>+IF(LEFT(D295,3)="131",140100,0)+IF(LEFT(D295,3)="310",150100,0)+IF(LEFT(D295,3)="211",150101,0)+IF(LEFT(D295,3)="410",160100,0)+IF(LEFT(D295,3)="440",160200,0)+IF(LEFT(D295,3)="430",160200,0)+IF(LEFT(D295,3)="420",160200,0)+IF(LEFT(D295,3)="460",160201,0)+IF(LEFT(D295,3)="210",150101,0)+IF(LEFT(D295,3)="510",140100,0)</f>
        <v>150101</v>
      </c>
      <c r="T295" s="377" t="str">
        <f>+IFERROR(VLOOKUP(S295,STAT1!$C$4:$D$189,2,FALSE),"")</f>
        <v>Бараа бэлэн бүтээгдэхүүн БОЛОВСРУУЛАХ ЦЕХ /нарс/</v>
      </c>
      <c r="U295" s="424"/>
      <c r="V295" s="424">
        <v>1292879.1958532818</v>
      </c>
      <c r="W295" s="822">
        <v>3116</v>
      </c>
      <c r="X295" s="436" t="str">
        <f>IFERROR(VLOOKUP(W295,DATA!$G$4:$H$400,2,FALSE),"")</f>
        <v xml:space="preserve">ЮМИКА ХХК </v>
      </c>
      <c r="Y295" s="328"/>
      <c r="Z295" s="328"/>
      <c r="AA295" s="328"/>
    </row>
    <row r="296" spans="1:27" ht="12.75" customHeight="1">
      <c r="A296" s="425"/>
      <c r="B296" s="368">
        <f t="shared" si="107"/>
        <v>291</v>
      </c>
      <c r="C296" s="425">
        <v>43281</v>
      </c>
      <c r="D296" s="830"/>
      <c r="E296" s="876" t="str">
        <f t="shared" ca="1" si="108"/>
        <v/>
      </c>
      <c r="F296" s="426" t="str">
        <f t="shared" ca="1" si="109"/>
        <v/>
      </c>
      <c r="G296" s="415"/>
      <c r="H296" s="415"/>
      <c r="I296" s="415" t="str">
        <f t="shared" si="104"/>
        <v/>
      </c>
      <c r="J296" s="415" t="str">
        <f t="shared" si="105"/>
        <v/>
      </c>
      <c r="K296" s="415" t="str">
        <f t="shared" si="106"/>
        <v/>
      </c>
      <c r="L296" s="415"/>
      <c r="M296" s="415"/>
      <c r="N296" s="422" t="str">
        <f t="shared" si="99"/>
        <v/>
      </c>
      <c r="O296" s="422" t="str">
        <f t="shared" si="100"/>
        <v/>
      </c>
      <c r="P296" s="422" t="str">
        <f t="shared" si="101"/>
        <v/>
      </c>
      <c r="Q296" s="422" t="str">
        <f t="shared" si="102"/>
        <v/>
      </c>
      <c r="R296" s="422" t="str">
        <f t="shared" si="103"/>
        <v/>
      </c>
      <c r="S296" s="583">
        <v>610100</v>
      </c>
      <c r="T296" s="377" t="str">
        <f>+IFERROR(VLOOKUP(S296,STAT1!$C$4:$D$189,2,FALSE),"")</f>
        <v>Борлуулсан барааны өртөг</v>
      </c>
      <c r="U296" s="424">
        <v>1292879.1958532818</v>
      </c>
      <c r="V296" s="424"/>
      <c r="W296" s="822">
        <v>3116</v>
      </c>
      <c r="X296" s="436" t="str">
        <f>IFERROR(VLOOKUP(W296,DATA!$G$4:$H$400,2,FALSE),"")</f>
        <v xml:space="preserve">ЮМИКА ХХК </v>
      </c>
      <c r="Y296" s="328"/>
      <c r="Z296" s="328"/>
      <c r="AA296" s="328"/>
    </row>
    <row r="297" spans="1:27" ht="12.75" customHeight="1">
      <c r="A297" s="425"/>
      <c r="B297" s="368">
        <f t="shared" si="107"/>
        <v>292</v>
      </c>
      <c r="C297" s="425">
        <v>43281</v>
      </c>
      <c r="D297" s="830"/>
      <c r="E297" s="876" t="str">
        <f t="shared" ca="1" si="108"/>
        <v/>
      </c>
      <c r="F297" s="426" t="str">
        <f t="shared" ca="1" si="109"/>
        <v/>
      </c>
      <c r="G297" s="415"/>
      <c r="H297" s="415"/>
      <c r="I297" s="415" t="str">
        <f t="shared" si="104"/>
        <v/>
      </c>
      <c r="J297" s="415" t="str">
        <f t="shared" si="105"/>
        <v/>
      </c>
      <c r="K297" s="415" t="str">
        <f t="shared" si="106"/>
        <v/>
      </c>
      <c r="L297" s="415"/>
      <c r="M297" s="415"/>
      <c r="N297" s="422" t="str">
        <f t="shared" si="99"/>
        <v/>
      </c>
      <c r="O297" s="422" t="str">
        <f t="shared" si="100"/>
        <v/>
      </c>
      <c r="P297" s="422" t="str">
        <f t="shared" si="101"/>
        <v/>
      </c>
      <c r="Q297" s="422" t="str">
        <f t="shared" si="102"/>
        <v/>
      </c>
      <c r="R297" s="422" t="str">
        <f t="shared" si="103"/>
        <v/>
      </c>
      <c r="S297" s="583">
        <v>310500</v>
      </c>
      <c r="T297" s="377" t="str">
        <f>+IFERROR(VLOOKUP(S297,STAT1!$C$4:$D$189,2,FALSE),"")</f>
        <v>НӨАТ өглөг</v>
      </c>
      <c r="U297" s="424"/>
      <c r="V297" s="424">
        <v>131200</v>
      </c>
      <c r="W297" s="822">
        <v>3116</v>
      </c>
      <c r="X297" s="436" t="str">
        <f>IFERROR(VLOOKUP(W297,DATA!$G$4:$H$400,2,FALSE),"")</f>
        <v xml:space="preserve">ЮМИКА ХХК </v>
      </c>
      <c r="Y297" s="328"/>
      <c r="Z297" s="328"/>
      <c r="AA297" s="328"/>
    </row>
    <row r="298" spans="1:27" ht="12.75" customHeight="1">
      <c r="A298" s="425"/>
      <c r="B298" s="368">
        <f t="shared" si="107"/>
        <v>293</v>
      </c>
      <c r="C298" s="425">
        <v>43281</v>
      </c>
      <c r="D298" s="830"/>
      <c r="E298" s="876" t="str">
        <f t="shared" ca="1" si="108"/>
        <v/>
      </c>
      <c r="F298" s="426" t="str">
        <f t="shared" ca="1" si="109"/>
        <v/>
      </c>
      <c r="G298" s="415"/>
      <c r="H298" s="415"/>
      <c r="I298" s="415" t="str">
        <f t="shared" si="104"/>
        <v/>
      </c>
      <c r="J298" s="415" t="str">
        <f t="shared" si="105"/>
        <v/>
      </c>
      <c r="K298" s="415" t="str">
        <f t="shared" si="106"/>
        <v/>
      </c>
      <c r="L298" s="415"/>
      <c r="M298" s="415"/>
      <c r="N298" s="422" t="str">
        <f t="shared" si="99"/>
        <v/>
      </c>
      <c r="O298" s="422" t="str">
        <f t="shared" si="100"/>
        <v/>
      </c>
      <c r="P298" s="422" t="str">
        <f t="shared" si="101"/>
        <v/>
      </c>
      <c r="Q298" s="422" t="str">
        <f t="shared" si="102"/>
        <v/>
      </c>
      <c r="R298" s="422" t="str">
        <f t="shared" si="103"/>
        <v/>
      </c>
      <c r="S298" s="583">
        <v>510000</v>
      </c>
      <c r="T298" s="377" t="str">
        <f>+IFERROR(VLOOKUP(S298,STAT1!$C$4:$D$189,2,FALSE),"")</f>
        <v>Үндсэн үйл ажиллагааны борлуулалт</v>
      </c>
      <c r="U298" s="424"/>
      <c r="V298" s="424">
        <v>1312000</v>
      </c>
      <c r="W298" s="822">
        <v>3116</v>
      </c>
      <c r="X298" s="436" t="str">
        <f>IFERROR(VLOOKUP(W298,DATA!$G$4:$H$400,2,FALSE),"")</f>
        <v xml:space="preserve">ЮМИКА ХХК </v>
      </c>
      <c r="Y298" s="328"/>
      <c r="Z298" s="328"/>
      <c r="AA298" s="328"/>
    </row>
    <row r="299" spans="1:27" ht="12.75" customHeight="1">
      <c r="A299" s="425"/>
      <c r="B299" s="368">
        <f t="shared" si="107"/>
        <v>294</v>
      </c>
      <c r="C299" s="425">
        <v>43281</v>
      </c>
      <c r="D299" s="830"/>
      <c r="E299" s="876" t="str">
        <f t="shared" ca="1" si="108"/>
        <v/>
      </c>
      <c r="F299" s="426" t="str">
        <f t="shared" ca="1" si="109"/>
        <v/>
      </c>
      <c r="G299" s="415"/>
      <c r="H299" s="415"/>
      <c r="I299" s="415" t="str">
        <f t="shared" si="104"/>
        <v/>
      </c>
      <c r="J299" s="415" t="str">
        <f t="shared" si="105"/>
        <v/>
      </c>
      <c r="K299" s="415" t="str">
        <f t="shared" si="106"/>
        <v/>
      </c>
      <c r="L299" s="415"/>
      <c r="M299" s="415"/>
      <c r="N299" s="422" t="str">
        <f t="shared" ref="N299:N320" si="110">+IF(L299="","",L299*M299)</f>
        <v/>
      </c>
      <c r="O299" s="422" t="str">
        <f t="shared" ref="O299:O320" si="111">+IF(L299="","",N299*0.1)</f>
        <v/>
      </c>
      <c r="P299" s="422" t="str">
        <f t="shared" ref="P299:P320" si="112">+IF(L299="","",N299+O299)</f>
        <v/>
      </c>
      <c r="Q299" s="422" t="str">
        <f t="shared" ref="Q299:Q320" si="113">IF(L299="","",IFERROR((SUMIFS(TN_balC1_totol,TN_code,D299)+SUMIFS(RC_or_totol,RC_Code,D299,RC_date,"&lt;="&amp;C299)-SUMIFS(RC_zar_totol,RC_Code,D299,RC_date,"&lt;"&amp;C299)) /( SUMIFS(TN_balC1_unit,TN_code,D299)+SUMIFS(RC_or_unit,RC_Code,D299,RC_date,"&lt;="&amp;C299)-SUMIFS(RC_zar_unit,RC_Code,D299,RC_date,"&lt;"&amp;C299)),0 ))</f>
        <v/>
      </c>
      <c r="R299" s="422" t="str">
        <f t="shared" ref="R299:R320" si="114">+IF(L299="","",L299*Q299)</f>
        <v/>
      </c>
      <c r="S299" s="583">
        <v>320100</v>
      </c>
      <c r="T299" s="377" t="str">
        <f>+IFERROR(VLOOKUP(S299,STAT1!$C$4:$D$189,2,FALSE),"")</f>
        <v>Урьдчилж орсон орлого MNT</v>
      </c>
      <c r="U299" s="415">
        <v>1443200</v>
      </c>
      <c r="V299" s="415"/>
      <c r="W299" s="822">
        <v>3116</v>
      </c>
      <c r="X299" s="436" t="str">
        <f>IFERROR(VLOOKUP(W299,DATA!$G$4:$H$400,2,FALSE),"")</f>
        <v xml:space="preserve">ЮМИКА ХХК </v>
      </c>
      <c r="Y299" s="328"/>
      <c r="Z299" s="328"/>
      <c r="AA299" s="328"/>
    </row>
    <row r="300" spans="1:27" ht="12.75" customHeight="1">
      <c r="A300" s="425"/>
      <c r="B300" s="368">
        <f t="shared" si="107"/>
        <v>295</v>
      </c>
      <c r="C300" s="425">
        <v>43265</v>
      </c>
      <c r="D300" s="830">
        <v>211504</v>
      </c>
      <c r="E300" s="876" t="str">
        <f t="shared" ca="1" si="108"/>
        <v xml:space="preserve">Н-Евровагонка /зузаан-1.2см/-яртай </v>
      </c>
      <c r="F300" s="426" t="str">
        <f t="shared" ca="1" si="109"/>
        <v>м2</v>
      </c>
      <c r="G300" s="415"/>
      <c r="H300" s="415"/>
      <c r="I300" s="415" t="str">
        <f t="shared" si="104"/>
        <v/>
      </c>
      <c r="J300" s="415" t="str">
        <f t="shared" si="105"/>
        <v/>
      </c>
      <c r="K300" s="415" t="str">
        <f t="shared" si="106"/>
        <v/>
      </c>
      <c r="L300" s="415">
        <v>11.25</v>
      </c>
      <c r="M300" s="415">
        <v>18000</v>
      </c>
      <c r="N300" s="422">
        <f t="shared" si="110"/>
        <v>202500</v>
      </c>
      <c r="O300" s="422">
        <f t="shared" si="111"/>
        <v>20250</v>
      </c>
      <c r="P300" s="422">
        <f t="shared" si="112"/>
        <v>222750</v>
      </c>
      <c r="Q300" s="422">
        <f t="shared" ca="1" si="113"/>
        <v>11896.785561853303</v>
      </c>
      <c r="R300" s="422">
        <f t="shared" ca="1" si="114"/>
        <v>133838.83757084966</v>
      </c>
      <c r="S300" s="583">
        <f>+IF(LEFT(D300,3)="131",140100,0)+IF(LEFT(D300,3)="310",150100,0)+IF(LEFT(D300,3)="211",150101,0)+IF(LEFT(D300,3)="410",160100,0)+IF(LEFT(D300,3)="440",160200,0)+IF(LEFT(D300,3)="430",160200,0)+IF(LEFT(D300,3)="420",160200,0)+IF(LEFT(D300,3)="460",160201,0)+IF(LEFT(D300,3)="210",150101,0)+IF(LEFT(D300,3)="510",140100,0)</f>
        <v>150101</v>
      </c>
      <c r="T300" s="377" t="str">
        <f>+IFERROR(VLOOKUP(S300,STAT1!$C$4:$D$189,2,FALSE),"")</f>
        <v>Бараа бэлэн бүтээгдэхүүн БОЛОВСРУУЛАХ ЦЕХ /нарс/</v>
      </c>
      <c r="U300" s="424"/>
      <c r="V300" s="424">
        <v>133838.83757084966</v>
      </c>
      <c r="W300" s="822">
        <v>4002</v>
      </c>
      <c r="X300" s="436" t="str">
        <f>IFERROR(VLOOKUP(W300,DATA!$G$4:$H$400,2,FALSE),"")</f>
        <v xml:space="preserve">Хувь хүн </v>
      </c>
      <c r="Y300" s="328"/>
      <c r="Z300" s="328"/>
      <c r="AA300" s="328"/>
    </row>
    <row r="301" spans="1:27" ht="12.75" customHeight="1">
      <c r="A301" s="425"/>
      <c r="B301" s="368">
        <f t="shared" si="107"/>
        <v>296</v>
      </c>
      <c r="C301" s="425">
        <v>43265</v>
      </c>
      <c r="D301" s="830"/>
      <c r="E301" s="876" t="str">
        <f t="shared" ca="1" si="108"/>
        <v/>
      </c>
      <c r="F301" s="426" t="str">
        <f t="shared" ca="1" si="109"/>
        <v/>
      </c>
      <c r="G301" s="415"/>
      <c r="H301" s="415"/>
      <c r="I301" s="415" t="str">
        <f t="shared" si="104"/>
        <v/>
      </c>
      <c r="J301" s="415" t="str">
        <f t="shared" si="105"/>
        <v/>
      </c>
      <c r="K301" s="415" t="str">
        <f t="shared" si="106"/>
        <v/>
      </c>
      <c r="L301" s="415"/>
      <c r="M301" s="415"/>
      <c r="N301" s="422" t="str">
        <f t="shared" si="110"/>
        <v/>
      </c>
      <c r="O301" s="422" t="str">
        <f t="shared" si="111"/>
        <v/>
      </c>
      <c r="P301" s="422" t="str">
        <f t="shared" si="112"/>
        <v/>
      </c>
      <c r="Q301" s="422" t="str">
        <f t="shared" si="113"/>
        <v/>
      </c>
      <c r="R301" s="422" t="str">
        <f t="shared" si="114"/>
        <v/>
      </c>
      <c r="S301" s="583">
        <v>610100</v>
      </c>
      <c r="T301" s="377" t="str">
        <f>+IFERROR(VLOOKUP(S301,STAT1!$C$4:$D$189,2,FALSE),"")</f>
        <v>Борлуулсан барааны өртөг</v>
      </c>
      <c r="U301" s="424">
        <v>133838.83757084966</v>
      </c>
      <c r="V301" s="424"/>
      <c r="W301" s="822">
        <v>4002</v>
      </c>
      <c r="X301" s="436" t="str">
        <f>IFERROR(VLOOKUP(W301,DATA!$G$4:$H$400,2,FALSE),"")</f>
        <v xml:space="preserve">Хувь хүн </v>
      </c>
      <c r="Y301" s="328"/>
      <c r="Z301" s="328"/>
      <c r="AA301" s="328"/>
    </row>
    <row r="302" spans="1:27" ht="12.75" customHeight="1">
      <c r="A302" s="425"/>
      <c r="B302" s="368">
        <f t="shared" si="107"/>
        <v>297</v>
      </c>
      <c r="C302" s="425">
        <v>43265</v>
      </c>
      <c r="D302" s="830"/>
      <c r="E302" s="876" t="str">
        <f t="shared" ca="1" si="108"/>
        <v/>
      </c>
      <c r="F302" s="426" t="str">
        <f t="shared" ca="1" si="109"/>
        <v/>
      </c>
      <c r="G302" s="415"/>
      <c r="H302" s="415"/>
      <c r="I302" s="415" t="str">
        <f t="shared" si="104"/>
        <v/>
      </c>
      <c r="J302" s="415" t="str">
        <f t="shared" si="105"/>
        <v/>
      </c>
      <c r="K302" s="415" t="str">
        <f t="shared" si="106"/>
        <v/>
      </c>
      <c r="L302" s="415"/>
      <c r="M302" s="415"/>
      <c r="N302" s="422" t="str">
        <f t="shared" si="110"/>
        <v/>
      </c>
      <c r="O302" s="422" t="str">
        <f t="shared" si="111"/>
        <v/>
      </c>
      <c r="P302" s="422" t="str">
        <f t="shared" si="112"/>
        <v/>
      </c>
      <c r="Q302" s="422" t="str">
        <f t="shared" si="113"/>
        <v/>
      </c>
      <c r="R302" s="422" t="str">
        <f t="shared" si="114"/>
        <v/>
      </c>
      <c r="S302" s="583">
        <v>310500</v>
      </c>
      <c r="T302" s="377" t="str">
        <f>+IFERROR(VLOOKUP(S302,STAT1!$C$4:$D$189,2,FALSE),"")</f>
        <v>НӨАТ өглөг</v>
      </c>
      <c r="U302" s="424"/>
      <c r="V302" s="424">
        <v>20250</v>
      </c>
      <c r="W302" s="822">
        <v>4002</v>
      </c>
      <c r="X302" s="436" t="str">
        <f>IFERROR(VLOOKUP(W302,DATA!$G$4:$H$400,2,FALSE),"")</f>
        <v xml:space="preserve">Хувь хүн </v>
      </c>
      <c r="Y302" s="328"/>
      <c r="Z302" s="328"/>
      <c r="AA302" s="328"/>
    </row>
    <row r="303" spans="1:27" ht="12.75" customHeight="1">
      <c r="A303" s="425"/>
      <c r="B303" s="368">
        <f t="shared" si="107"/>
        <v>298</v>
      </c>
      <c r="C303" s="425">
        <v>43265</v>
      </c>
      <c r="D303" s="830"/>
      <c r="E303" s="876" t="str">
        <f t="shared" ca="1" si="108"/>
        <v/>
      </c>
      <c r="F303" s="426" t="str">
        <f t="shared" ca="1" si="109"/>
        <v/>
      </c>
      <c r="G303" s="415"/>
      <c r="H303" s="415"/>
      <c r="I303" s="415" t="str">
        <f t="shared" si="104"/>
        <v/>
      </c>
      <c r="J303" s="415" t="str">
        <f t="shared" si="105"/>
        <v/>
      </c>
      <c r="K303" s="415" t="str">
        <f t="shared" si="106"/>
        <v/>
      </c>
      <c r="L303" s="415"/>
      <c r="M303" s="415"/>
      <c r="N303" s="422" t="str">
        <f t="shared" si="110"/>
        <v/>
      </c>
      <c r="O303" s="422" t="str">
        <f t="shared" si="111"/>
        <v/>
      </c>
      <c r="P303" s="422" t="str">
        <f t="shared" si="112"/>
        <v/>
      </c>
      <c r="Q303" s="422" t="str">
        <f t="shared" si="113"/>
        <v/>
      </c>
      <c r="R303" s="422" t="str">
        <f t="shared" si="114"/>
        <v/>
      </c>
      <c r="S303" s="583">
        <v>510000</v>
      </c>
      <c r="T303" s="377" t="str">
        <f>+IFERROR(VLOOKUP(S303,STAT1!$C$4:$D$189,2,FALSE),"")</f>
        <v>Үндсэн үйл ажиллагааны борлуулалт</v>
      </c>
      <c r="U303" s="424"/>
      <c r="V303" s="424">
        <v>202500</v>
      </c>
      <c r="W303" s="822">
        <v>4002</v>
      </c>
      <c r="X303" s="436" t="str">
        <f>IFERROR(VLOOKUP(W303,DATA!$G$4:$H$400,2,FALSE),"")</f>
        <v xml:space="preserve">Хувь хүн </v>
      </c>
      <c r="Y303" s="328"/>
      <c r="Z303" s="328"/>
      <c r="AA303" s="328"/>
    </row>
    <row r="304" spans="1:27" ht="12.75" customHeight="1">
      <c r="A304" s="425"/>
      <c r="B304" s="368">
        <f t="shared" si="107"/>
        <v>299</v>
      </c>
      <c r="C304" s="425">
        <v>43265</v>
      </c>
      <c r="D304" s="830"/>
      <c r="E304" s="876" t="str">
        <f t="shared" ca="1" si="108"/>
        <v/>
      </c>
      <c r="F304" s="426" t="str">
        <f t="shared" ca="1" si="109"/>
        <v/>
      </c>
      <c r="G304" s="415"/>
      <c r="H304" s="415"/>
      <c r="I304" s="415" t="str">
        <f t="shared" si="104"/>
        <v/>
      </c>
      <c r="J304" s="415" t="str">
        <f t="shared" si="105"/>
        <v/>
      </c>
      <c r="K304" s="415" t="str">
        <f t="shared" si="106"/>
        <v/>
      </c>
      <c r="L304" s="415"/>
      <c r="M304" s="415"/>
      <c r="N304" s="422" t="str">
        <f t="shared" si="110"/>
        <v/>
      </c>
      <c r="O304" s="422" t="str">
        <f t="shared" si="111"/>
        <v/>
      </c>
      <c r="P304" s="422" t="str">
        <f t="shared" si="112"/>
        <v/>
      </c>
      <c r="Q304" s="422" t="str">
        <f t="shared" si="113"/>
        <v/>
      </c>
      <c r="R304" s="422" t="str">
        <f t="shared" si="114"/>
        <v/>
      </c>
      <c r="S304" s="583">
        <v>320100</v>
      </c>
      <c r="T304" s="377" t="str">
        <f>+IFERROR(VLOOKUP(S304,STAT1!$C$4:$D$189,2,FALSE),"")</f>
        <v>Урьдчилж орсон орлого MNT</v>
      </c>
      <c r="U304" s="415">
        <v>222750</v>
      </c>
      <c r="V304" s="415"/>
      <c r="W304" s="822">
        <v>4002</v>
      </c>
      <c r="X304" s="436" t="str">
        <f>IFERROR(VLOOKUP(W304,DATA!$G$4:$H$400,2,FALSE),"")</f>
        <v xml:space="preserve">Хувь хүн </v>
      </c>
      <c r="Y304" s="328"/>
      <c r="Z304" s="328"/>
      <c r="AA304" s="328"/>
    </row>
    <row r="305" spans="1:27" ht="12.75" customHeight="1">
      <c r="A305" s="425"/>
      <c r="B305" s="368">
        <f t="shared" si="107"/>
        <v>300</v>
      </c>
      <c r="C305" s="425">
        <v>43281</v>
      </c>
      <c r="D305" s="830">
        <v>211802</v>
      </c>
      <c r="E305" s="876" t="str">
        <f t="shared" ca="1" si="108"/>
        <v xml:space="preserve">Н-Уголок </v>
      </c>
      <c r="F305" s="426" t="str">
        <f t="shared" ca="1" si="109"/>
        <v>м</v>
      </c>
      <c r="G305" s="415"/>
      <c r="H305" s="415"/>
      <c r="I305" s="415" t="str">
        <f t="shared" si="104"/>
        <v/>
      </c>
      <c r="J305" s="415" t="str">
        <f t="shared" si="105"/>
        <v/>
      </c>
      <c r="K305" s="415" t="str">
        <f t="shared" si="106"/>
        <v/>
      </c>
      <c r="L305" s="415">
        <v>49</v>
      </c>
      <c r="M305" s="415">
        <v>3000</v>
      </c>
      <c r="N305" s="422">
        <f t="shared" si="110"/>
        <v>147000</v>
      </c>
      <c r="O305" s="422">
        <f t="shared" si="111"/>
        <v>14700</v>
      </c>
      <c r="P305" s="422">
        <f t="shared" si="112"/>
        <v>161700</v>
      </c>
      <c r="Q305" s="422">
        <f t="shared" ca="1" si="113"/>
        <v>1377.7799111418215</v>
      </c>
      <c r="R305" s="422">
        <f t="shared" ca="1" si="114"/>
        <v>67511.215645949254</v>
      </c>
      <c r="S305" s="583">
        <f>+IF(LEFT(D305,3)="131",140100,0)+IF(LEFT(D305,3)="310",150100,0)+IF(LEFT(D305,3)="211",150101,0)+IF(LEFT(D305,3)="410",160100,0)+IF(LEFT(D305,3)="440",160200,0)+IF(LEFT(D305,3)="430",160200,0)+IF(LEFT(D305,3)="420",160200,0)+IF(LEFT(D305,3)="460",160201,0)+IF(LEFT(D305,3)="210",150101,0)+IF(LEFT(D305,3)="510",140100,0)</f>
        <v>150101</v>
      </c>
      <c r="T305" s="377" t="str">
        <f>+IFERROR(VLOOKUP(S305,STAT1!$C$4:$D$189,2,FALSE),"")</f>
        <v>Бараа бэлэн бүтээгдэхүүн БОЛОВСРУУЛАХ ЦЕХ /нарс/</v>
      </c>
      <c r="U305" s="424"/>
      <c r="V305" s="424">
        <v>93342.992740598187</v>
      </c>
      <c r="W305" s="822">
        <v>4002</v>
      </c>
      <c r="X305" s="436" t="str">
        <f>IFERROR(VLOOKUP(W305,DATA!$G$4:$H$400,2,FALSE),"")</f>
        <v xml:space="preserve">Хувь хүн </v>
      </c>
      <c r="Y305" s="328"/>
      <c r="Z305" s="328"/>
      <c r="AA305" s="328"/>
    </row>
    <row r="306" spans="1:27" ht="12.75" customHeight="1">
      <c r="A306" s="425"/>
      <c r="B306" s="368">
        <f t="shared" si="107"/>
        <v>301</v>
      </c>
      <c r="C306" s="425">
        <v>43281</v>
      </c>
      <c r="D306" s="830">
        <v>211801</v>
      </c>
      <c r="E306" s="876" t="str">
        <f t="shared" ca="1" si="108"/>
        <v>Н-Ембүү /20*30мм/</v>
      </c>
      <c r="F306" s="426" t="str">
        <f t="shared" ca="1" si="109"/>
        <v>м</v>
      </c>
      <c r="G306" s="415"/>
      <c r="H306" s="415"/>
      <c r="I306" s="415" t="str">
        <f t="shared" si="104"/>
        <v/>
      </c>
      <c r="J306" s="415" t="str">
        <f t="shared" si="105"/>
        <v/>
      </c>
      <c r="K306" s="415" t="str">
        <f t="shared" si="106"/>
        <v/>
      </c>
      <c r="L306" s="415">
        <v>33.6</v>
      </c>
      <c r="M306" s="415">
        <v>1500.2705000000001</v>
      </c>
      <c r="N306" s="422">
        <f t="shared" si="110"/>
        <v>50409.088800000005</v>
      </c>
      <c r="O306" s="422">
        <f t="shared" si="111"/>
        <v>5040.9088800000009</v>
      </c>
      <c r="P306" s="422">
        <f t="shared" si="112"/>
        <v>55449.997680000008</v>
      </c>
      <c r="Q306" s="422">
        <f t="shared" ca="1" si="113"/>
        <v>768.80288972169456</v>
      </c>
      <c r="R306" s="422">
        <f t="shared" ca="1" si="114"/>
        <v>25831.77709464894</v>
      </c>
      <c r="S306" s="583">
        <v>610100</v>
      </c>
      <c r="T306" s="377" t="str">
        <f>+IFERROR(VLOOKUP(S306,STAT1!$C$4:$D$189,2,FALSE),"")</f>
        <v>Борлуулсан барааны өртөг</v>
      </c>
      <c r="U306" s="424">
        <v>93342.992740598187</v>
      </c>
      <c r="V306" s="424"/>
      <c r="W306" s="822">
        <v>4002</v>
      </c>
      <c r="X306" s="436" t="str">
        <f>IFERROR(VLOOKUP(W306,DATA!$G$4:$H$400,2,FALSE),"")</f>
        <v xml:space="preserve">Хувь хүн </v>
      </c>
      <c r="Y306" s="328"/>
      <c r="Z306" s="328"/>
      <c r="AA306" s="328"/>
    </row>
    <row r="307" spans="1:27" ht="12.75" customHeight="1">
      <c r="A307" s="425"/>
      <c r="B307" s="368">
        <f t="shared" si="107"/>
        <v>302</v>
      </c>
      <c r="C307" s="425">
        <v>43281</v>
      </c>
      <c r="D307" s="830"/>
      <c r="E307" s="876" t="str">
        <f t="shared" ca="1" si="108"/>
        <v/>
      </c>
      <c r="F307" s="426" t="str">
        <f t="shared" ca="1" si="109"/>
        <v/>
      </c>
      <c r="G307" s="415"/>
      <c r="H307" s="415"/>
      <c r="I307" s="415" t="str">
        <f t="shared" si="104"/>
        <v/>
      </c>
      <c r="J307" s="415" t="str">
        <f t="shared" si="105"/>
        <v/>
      </c>
      <c r="K307" s="415" t="str">
        <f t="shared" si="106"/>
        <v/>
      </c>
      <c r="L307" s="415"/>
      <c r="M307" s="415"/>
      <c r="N307" s="422" t="str">
        <f t="shared" si="110"/>
        <v/>
      </c>
      <c r="O307" s="422" t="str">
        <f t="shared" si="111"/>
        <v/>
      </c>
      <c r="P307" s="422" t="str">
        <f t="shared" si="112"/>
        <v/>
      </c>
      <c r="Q307" s="422" t="str">
        <f t="shared" si="113"/>
        <v/>
      </c>
      <c r="R307" s="422" t="str">
        <f t="shared" si="114"/>
        <v/>
      </c>
      <c r="S307" s="583">
        <v>310500</v>
      </c>
      <c r="T307" s="377" t="str">
        <f>+IFERROR(VLOOKUP(S307,STAT1!$C$4:$D$189,2,FALSE),"")</f>
        <v>НӨАТ өглөг</v>
      </c>
      <c r="U307" s="424"/>
      <c r="V307" s="424">
        <v>19740.908880000003</v>
      </c>
      <c r="W307" s="822">
        <v>4002</v>
      </c>
      <c r="X307" s="436" t="str">
        <f>IFERROR(VLOOKUP(W307,DATA!$G$4:$H$400,2,FALSE),"")</f>
        <v xml:space="preserve">Хувь хүн </v>
      </c>
      <c r="Y307" s="328"/>
      <c r="Z307" s="328"/>
      <c r="AA307" s="328"/>
    </row>
    <row r="308" spans="1:27" ht="12.75" customHeight="1">
      <c r="A308" s="425"/>
      <c r="B308" s="368">
        <f t="shared" si="107"/>
        <v>303</v>
      </c>
      <c r="C308" s="425">
        <v>43281</v>
      </c>
      <c r="D308" s="830"/>
      <c r="E308" s="876" t="str">
        <f t="shared" ca="1" si="108"/>
        <v/>
      </c>
      <c r="F308" s="426" t="str">
        <f t="shared" ca="1" si="109"/>
        <v/>
      </c>
      <c r="G308" s="415"/>
      <c r="H308" s="415"/>
      <c r="I308" s="415" t="str">
        <f t="shared" si="104"/>
        <v/>
      </c>
      <c r="J308" s="415" t="str">
        <f t="shared" si="105"/>
        <v/>
      </c>
      <c r="K308" s="415" t="str">
        <f t="shared" si="106"/>
        <v/>
      </c>
      <c r="L308" s="415"/>
      <c r="M308" s="415"/>
      <c r="N308" s="422" t="str">
        <f t="shared" si="110"/>
        <v/>
      </c>
      <c r="O308" s="422" t="str">
        <f t="shared" si="111"/>
        <v/>
      </c>
      <c r="P308" s="422" t="str">
        <f t="shared" si="112"/>
        <v/>
      </c>
      <c r="Q308" s="422" t="str">
        <f t="shared" si="113"/>
        <v/>
      </c>
      <c r="R308" s="422" t="str">
        <f t="shared" si="114"/>
        <v/>
      </c>
      <c r="S308" s="583">
        <v>510000</v>
      </c>
      <c r="T308" s="377" t="str">
        <f>+IFERROR(VLOOKUP(S308,STAT1!$C$4:$D$189,2,FALSE),"")</f>
        <v>Үндсэн үйл ажиллагааны борлуулалт</v>
      </c>
      <c r="U308" s="424"/>
      <c r="V308" s="424">
        <v>197409.0888</v>
      </c>
      <c r="W308" s="822">
        <v>4002</v>
      </c>
      <c r="X308" s="436" t="str">
        <f>IFERROR(VLOOKUP(W308,DATA!$G$4:$H$400,2,FALSE),"")</f>
        <v xml:space="preserve">Хувь хүн </v>
      </c>
      <c r="Y308" s="328"/>
      <c r="Z308" s="328"/>
      <c r="AA308" s="328"/>
    </row>
    <row r="309" spans="1:27" ht="12.75" customHeight="1">
      <c r="A309" s="425"/>
      <c r="B309" s="368">
        <f t="shared" si="107"/>
        <v>304</v>
      </c>
      <c r="C309" s="425">
        <v>43281</v>
      </c>
      <c r="D309" s="830"/>
      <c r="E309" s="876" t="str">
        <f t="shared" ca="1" si="108"/>
        <v/>
      </c>
      <c r="F309" s="426" t="str">
        <f t="shared" ca="1" si="109"/>
        <v/>
      </c>
      <c r="G309" s="415"/>
      <c r="H309" s="415"/>
      <c r="I309" s="415" t="str">
        <f t="shared" si="104"/>
        <v/>
      </c>
      <c r="J309" s="415" t="str">
        <f t="shared" si="105"/>
        <v/>
      </c>
      <c r="K309" s="415" t="str">
        <f t="shared" si="106"/>
        <v/>
      </c>
      <c r="L309" s="415"/>
      <c r="M309" s="415"/>
      <c r="N309" s="422" t="str">
        <f t="shared" si="110"/>
        <v/>
      </c>
      <c r="O309" s="422" t="str">
        <f t="shared" si="111"/>
        <v/>
      </c>
      <c r="P309" s="422" t="str">
        <f t="shared" si="112"/>
        <v/>
      </c>
      <c r="Q309" s="422" t="str">
        <f t="shared" si="113"/>
        <v/>
      </c>
      <c r="R309" s="422" t="str">
        <f t="shared" si="114"/>
        <v/>
      </c>
      <c r="S309" s="583">
        <v>320100</v>
      </c>
      <c r="T309" s="377" t="str">
        <f>+IFERROR(VLOOKUP(S309,STAT1!$C$4:$D$189,2,FALSE),"")</f>
        <v>Урьдчилж орсон орлого MNT</v>
      </c>
      <c r="U309" s="415">
        <v>217149.99768</v>
      </c>
      <c r="V309" s="415"/>
      <c r="W309" s="822">
        <v>4002</v>
      </c>
      <c r="X309" s="436" t="str">
        <f>IFERROR(VLOOKUP(W309,DATA!$G$4:$H$400,2,FALSE),"")</f>
        <v xml:space="preserve">Хувь хүн </v>
      </c>
      <c r="Y309" s="328"/>
      <c r="Z309" s="328"/>
      <c r="AA309" s="328"/>
    </row>
    <row r="310" spans="1:27" ht="12.75" customHeight="1">
      <c r="A310" s="425"/>
      <c r="B310" s="368">
        <f t="shared" si="107"/>
        <v>305</v>
      </c>
      <c r="C310" s="425">
        <v>43281</v>
      </c>
      <c r="D310" s="830">
        <v>211710</v>
      </c>
      <c r="E310" s="876" t="str">
        <f t="shared" ca="1" si="108"/>
        <v xml:space="preserve">Н-Хавтан /зузаан-3см/-яртай </v>
      </c>
      <c r="F310" s="426" t="str">
        <f t="shared" ca="1" si="109"/>
        <v>м2</v>
      </c>
      <c r="G310" s="415"/>
      <c r="H310" s="415"/>
      <c r="I310" s="415" t="str">
        <f t="shared" si="104"/>
        <v/>
      </c>
      <c r="J310" s="415" t="str">
        <f t="shared" si="105"/>
        <v/>
      </c>
      <c r="K310" s="415" t="str">
        <f t="shared" si="106"/>
        <v/>
      </c>
      <c r="L310" s="415">
        <v>35.4</v>
      </c>
      <c r="M310" s="415">
        <v>40000</v>
      </c>
      <c r="N310" s="422">
        <f t="shared" si="110"/>
        <v>1416000</v>
      </c>
      <c r="O310" s="422">
        <f t="shared" si="111"/>
        <v>141600</v>
      </c>
      <c r="P310" s="422">
        <f t="shared" si="112"/>
        <v>1557600</v>
      </c>
      <c r="Q310" s="422">
        <f t="shared" ca="1" si="113"/>
        <v>39417.048654063474</v>
      </c>
      <c r="R310" s="422">
        <f t="shared" ca="1" si="114"/>
        <v>1395363.5223538468</v>
      </c>
      <c r="S310" s="583">
        <f>+IF(LEFT(D310,3)="131",140100,0)+IF(LEFT(D310,3)="310",150100,0)+IF(LEFT(D310,3)="211",150101,0)+IF(LEFT(D310,3)="410",160100,0)+IF(LEFT(D310,3)="440",160200,0)+IF(LEFT(D310,3)="430",160200,0)+IF(LEFT(D310,3)="420",160200,0)+IF(LEFT(D310,3)="460",160201,0)+IF(LEFT(D310,3)="210",150101,0)+IF(LEFT(D310,3)="510",140100,0)</f>
        <v>150101</v>
      </c>
      <c r="T310" s="377" t="str">
        <f>+IFERROR(VLOOKUP(S310,STAT1!$C$4:$D$189,2,FALSE),"")</f>
        <v>Бараа бэлэн бүтээгдэхүүн БОЛОВСРУУЛАХ ЦЕХ /нарс/</v>
      </c>
      <c r="U310" s="424"/>
      <c r="V310" s="424">
        <v>1395363.5223538468</v>
      </c>
      <c r="W310" s="823">
        <v>4001</v>
      </c>
      <c r="X310" s="436" t="str">
        <f>IFERROR(VLOOKUP(W310,DATA!$G$4:$H$400,2,FALSE),"")</f>
        <v>Сайннямбуу</v>
      </c>
      <c r="Y310" s="328"/>
      <c r="Z310" s="328"/>
      <c r="AA310" s="328"/>
    </row>
    <row r="311" spans="1:27" ht="12.75" customHeight="1">
      <c r="A311" s="425"/>
      <c r="B311" s="368">
        <f t="shared" si="107"/>
        <v>306</v>
      </c>
      <c r="C311" s="425">
        <v>43281</v>
      </c>
      <c r="D311" s="830"/>
      <c r="E311" s="876" t="str">
        <f t="shared" ca="1" si="108"/>
        <v/>
      </c>
      <c r="F311" s="426" t="str">
        <f t="shared" ca="1" si="109"/>
        <v/>
      </c>
      <c r="G311" s="415"/>
      <c r="H311" s="415"/>
      <c r="I311" s="415" t="str">
        <f t="shared" si="104"/>
        <v/>
      </c>
      <c r="J311" s="415" t="str">
        <f t="shared" si="105"/>
        <v/>
      </c>
      <c r="K311" s="415" t="str">
        <f t="shared" si="106"/>
        <v/>
      </c>
      <c r="L311" s="415"/>
      <c r="M311" s="415"/>
      <c r="N311" s="422" t="str">
        <f t="shared" si="110"/>
        <v/>
      </c>
      <c r="O311" s="422" t="str">
        <f t="shared" si="111"/>
        <v/>
      </c>
      <c r="P311" s="422" t="str">
        <f t="shared" si="112"/>
        <v/>
      </c>
      <c r="Q311" s="422" t="str">
        <f t="shared" si="113"/>
        <v/>
      </c>
      <c r="R311" s="422" t="str">
        <f t="shared" si="114"/>
        <v/>
      </c>
      <c r="S311" s="583">
        <v>610100</v>
      </c>
      <c r="T311" s="377" t="str">
        <f>+IFERROR(VLOOKUP(S311,STAT1!$C$4:$D$189,2,FALSE),"")</f>
        <v>Борлуулсан барааны өртөг</v>
      </c>
      <c r="U311" s="424">
        <v>1395363.5223538468</v>
      </c>
      <c r="V311" s="424"/>
      <c r="W311" s="822">
        <v>4001</v>
      </c>
      <c r="X311" s="436" t="str">
        <f>IFERROR(VLOOKUP(W311,DATA!$G$4:$H$400,2,FALSE),"")</f>
        <v>Сайннямбуу</v>
      </c>
      <c r="Y311" s="328"/>
      <c r="Z311" s="328"/>
      <c r="AA311" s="328"/>
    </row>
    <row r="312" spans="1:27" ht="12.75" customHeight="1">
      <c r="A312" s="425"/>
      <c r="B312" s="368">
        <f t="shared" si="107"/>
        <v>307</v>
      </c>
      <c r="C312" s="425">
        <v>43281</v>
      </c>
      <c r="D312" s="830"/>
      <c r="E312" s="876" t="str">
        <f t="shared" ca="1" si="108"/>
        <v/>
      </c>
      <c r="F312" s="426" t="str">
        <f t="shared" ca="1" si="109"/>
        <v/>
      </c>
      <c r="G312" s="415"/>
      <c r="H312" s="415"/>
      <c r="I312" s="415" t="str">
        <f t="shared" si="104"/>
        <v/>
      </c>
      <c r="J312" s="415" t="str">
        <f t="shared" si="105"/>
        <v/>
      </c>
      <c r="K312" s="415" t="str">
        <f t="shared" si="106"/>
        <v/>
      </c>
      <c r="L312" s="415"/>
      <c r="M312" s="415"/>
      <c r="N312" s="422" t="str">
        <f t="shared" si="110"/>
        <v/>
      </c>
      <c r="O312" s="422" t="str">
        <f t="shared" si="111"/>
        <v/>
      </c>
      <c r="P312" s="422" t="str">
        <f t="shared" si="112"/>
        <v/>
      </c>
      <c r="Q312" s="422" t="str">
        <f t="shared" si="113"/>
        <v/>
      </c>
      <c r="R312" s="422" t="str">
        <f t="shared" si="114"/>
        <v/>
      </c>
      <c r="S312" s="583">
        <v>310500</v>
      </c>
      <c r="T312" s="377" t="str">
        <f>+IFERROR(VLOOKUP(S312,STAT1!$C$4:$D$189,2,FALSE),"")</f>
        <v>НӨАТ өглөг</v>
      </c>
      <c r="U312" s="424"/>
      <c r="V312" s="424">
        <v>141600</v>
      </c>
      <c r="W312" s="822">
        <v>4001</v>
      </c>
      <c r="X312" s="436" t="str">
        <f>IFERROR(VLOOKUP(W312,DATA!$G$4:$H$400,2,FALSE),"")</f>
        <v>Сайннямбуу</v>
      </c>
      <c r="Y312" s="328"/>
      <c r="Z312" s="328"/>
      <c r="AA312" s="328"/>
    </row>
    <row r="313" spans="1:27" ht="12.75" customHeight="1">
      <c r="A313" s="425"/>
      <c r="B313" s="368">
        <f t="shared" si="107"/>
        <v>308</v>
      </c>
      <c r="C313" s="425">
        <v>43281</v>
      </c>
      <c r="D313" s="830"/>
      <c r="E313" s="876" t="str">
        <f t="shared" ca="1" si="108"/>
        <v/>
      </c>
      <c r="F313" s="426" t="str">
        <f t="shared" ca="1" si="109"/>
        <v/>
      </c>
      <c r="G313" s="415"/>
      <c r="H313" s="415"/>
      <c r="I313" s="415" t="str">
        <f t="shared" si="104"/>
        <v/>
      </c>
      <c r="J313" s="415" t="str">
        <f t="shared" si="105"/>
        <v/>
      </c>
      <c r="K313" s="415" t="str">
        <f t="shared" si="106"/>
        <v/>
      </c>
      <c r="L313" s="415"/>
      <c r="M313" s="415"/>
      <c r="N313" s="422" t="str">
        <f t="shared" si="110"/>
        <v/>
      </c>
      <c r="O313" s="422" t="str">
        <f t="shared" si="111"/>
        <v/>
      </c>
      <c r="P313" s="422" t="str">
        <f t="shared" si="112"/>
        <v/>
      </c>
      <c r="Q313" s="422" t="str">
        <f t="shared" si="113"/>
        <v/>
      </c>
      <c r="R313" s="422" t="str">
        <f t="shared" si="114"/>
        <v/>
      </c>
      <c r="S313" s="583">
        <v>510000</v>
      </c>
      <c r="T313" s="377" t="str">
        <f>+IFERROR(VLOOKUP(S313,STAT1!$C$4:$D$189,2,FALSE),"")</f>
        <v>Үндсэн үйл ажиллагааны борлуулалт</v>
      </c>
      <c r="U313" s="424"/>
      <c r="V313" s="424">
        <v>1416000</v>
      </c>
      <c r="W313" s="822">
        <v>4001</v>
      </c>
      <c r="X313" s="436" t="str">
        <f>IFERROR(VLOOKUP(W313,DATA!$G$4:$H$400,2,FALSE),"")</f>
        <v>Сайннямбуу</v>
      </c>
      <c r="Y313" s="328"/>
      <c r="Z313" s="328"/>
      <c r="AA313" s="328"/>
    </row>
    <row r="314" spans="1:27" ht="12.75" customHeight="1">
      <c r="A314" s="425"/>
      <c r="B314" s="368">
        <f t="shared" si="107"/>
        <v>309</v>
      </c>
      <c r="C314" s="425">
        <v>43281</v>
      </c>
      <c r="D314" s="830"/>
      <c r="E314" s="876" t="str">
        <f t="shared" ca="1" si="108"/>
        <v/>
      </c>
      <c r="F314" s="426" t="str">
        <f t="shared" ca="1" si="109"/>
        <v/>
      </c>
      <c r="G314" s="415"/>
      <c r="H314" s="415"/>
      <c r="I314" s="415" t="str">
        <f t="shared" si="104"/>
        <v/>
      </c>
      <c r="J314" s="415" t="str">
        <f t="shared" si="105"/>
        <v/>
      </c>
      <c r="K314" s="415" t="str">
        <f t="shared" si="106"/>
        <v/>
      </c>
      <c r="L314" s="415"/>
      <c r="M314" s="415"/>
      <c r="N314" s="422" t="str">
        <f t="shared" si="110"/>
        <v/>
      </c>
      <c r="O314" s="422" t="str">
        <f t="shared" si="111"/>
        <v/>
      </c>
      <c r="P314" s="422" t="str">
        <f t="shared" si="112"/>
        <v/>
      </c>
      <c r="Q314" s="422" t="str">
        <f t="shared" si="113"/>
        <v/>
      </c>
      <c r="R314" s="422" t="str">
        <f t="shared" si="114"/>
        <v/>
      </c>
      <c r="S314" s="583">
        <v>320100</v>
      </c>
      <c r="T314" s="377" t="str">
        <f>+IFERROR(VLOOKUP(S314,STAT1!$C$4:$D$189,2,FALSE),"")</f>
        <v>Урьдчилж орсон орлого MNT</v>
      </c>
      <c r="U314" s="415">
        <v>1557600</v>
      </c>
      <c r="V314" s="415"/>
      <c r="W314" s="822">
        <v>4001</v>
      </c>
      <c r="X314" s="436" t="str">
        <f>IFERROR(VLOOKUP(W314,DATA!$G$4:$H$400,2,FALSE),"")</f>
        <v>Сайннямбуу</v>
      </c>
      <c r="Y314" s="328"/>
      <c r="Z314" s="328"/>
      <c r="AA314" s="328"/>
    </row>
    <row r="315" spans="1:27" ht="12.75" customHeight="1">
      <c r="A315" s="425"/>
      <c r="B315" s="368">
        <f t="shared" si="107"/>
        <v>310</v>
      </c>
      <c r="C315" s="425">
        <v>43191</v>
      </c>
      <c r="D315" s="875">
        <v>310002</v>
      </c>
      <c r="E315" s="876" t="str">
        <f t="shared" ca="1" si="108"/>
        <v xml:space="preserve">Хатаасан нарсан банз </v>
      </c>
      <c r="F315" s="426" t="str">
        <f t="shared" ca="1" si="109"/>
        <v>м3</v>
      </c>
      <c r="G315" s="415"/>
      <c r="H315" s="415"/>
      <c r="I315" s="415" t="str">
        <f t="shared" si="104"/>
        <v/>
      </c>
      <c r="J315" s="415" t="str">
        <f t="shared" si="105"/>
        <v/>
      </c>
      <c r="K315" s="415" t="str">
        <f t="shared" si="106"/>
        <v/>
      </c>
      <c r="L315" s="415">
        <v>125</v>
      </c>
      <c r="M315" s="415"/>
      <c r="N315" s="422">
        <f t="shared" si="110"/>
        <v>0</v>
      </c>
      <c r="O315" s="422">
        <f t="shared" si="111"/>
        <v>0</v>
      </c>
      <c r="P315" s="422">
        <f t="shared" si="112"/>
        <v>0</v>
      </c>
      <c r="Q315" s="422">
        <f t="shared" ca="1" si="113"/>
        <v>348016.15503999993</v>
      </c>
      <c r="R315" s="422">
        <f t="shared" ca="1" si="114"/>
        <v>43502019.379999988</v>
      </c>
      <c r="S315" s="583">
        <f t="shared" ref="S315:S344" si="115">+IF(LEFT(D315,3)="131",140100,0)+IF(LEFT(D315,3)="310",150100,0)+IF(LEFT(D315,3)="211",150101,0)+IF(LEFT(D315,3)="410",160100,0)+IF(LEFT(D315,3)="440",160200,0)+IF(LEFT(D315,3)="430",160200,0)+IF(LEFT(D315,3)="420",160200,0)+IF(LEFT(D315,3)="460",160201,0)+IF(LEFT(D315,3)="210",150101,0)+IF(LEFT(D315,3)="510",140100,0)</f>
        <v>150100</v>
      </c>
      <c r="T315" s="377" t="str">
        <f>+IFERROR(VLOOKUP(S315,STAT1!$C$4:$D$189,2,FALSE),"")</f>
        <v>Бараа бэлэн бүтээгдэхүүн ХАТААХ ЦЕХ /нарс/</v>
      </c>
      <c r="U315" s="424"/>
      <c r="V315" s="424">
        <v>43502019.379999988</v>
      </c>
      <c r="W315" s="822">
        <v>1004</v>
      </c>
      <c r="X315" s="436" t="str">
        <f>IFERROR(VLOOKUP(W315,DATA!$G$4:$H$400,2,FALSE),"")</f>
        <v xml:space="preserve">Түмэндэлгэр </v>
      </c>
      <c r="Y315" s="328"/>
      <c r="Z315" s="328"/>
      <c r="AA315" s="328"/>
    </row>
    <row r="316" spans="1:27" ht="12.75" customHeight="1">
      <c r="A316" s="425"/>
      <c r="B316" s="368">
        <f t="shared" si="107"/>
        <v>311</v>
      </c>
      <c r="C316" s="425">
        <v>43191</v>
      </c>
      <c r="D316" s="875">
        <v>310001</v>
      </c>
      <c r="E316" s="876" t="str">
        <f t="shared" ca="1" si="108"/>
        <v xml:space="preserve">Хатаасан нарсан банз </v>
      </c>
      <c r="F316" s="426" t="str">
        <f t="shared" ca="1" si="109"/>
        <v>м3</v>
      </c>
      <c r="G316" s="415"/>
      <c r="H316" s="415"/>
      <c r="I316" s="415" t="str">
        <f t="shared" si="104"/>
        <v/>
      </c>
      <c r="J316" s="415" t="str">
        <f t="shared" si="105"/>
        <v/>
      </c>
      <c r="K316" s="415" t="str">
        <f t="shared" si="106"/>
        <v/>
      </c>
      <c r="L316" s="415">
        <v>95</v>
      </c>
      <c r="M316" s="415"/>
      <c r="N316" s="422">
        <f t="shared" si="110"/>
        <v>0</v>
      </c>
      <c r="O316" s="422">
        <f t="shared" si="111"/>
        <v>0</v>
      </c>
      <c r="P316" s="422">
        <f t="shared" si="112"/>
        <v>0</v>
      </c>
      <c r="Q316" s="422">
        <f t="shared" ca="1" si="113"/>
        <v>362664.58752092038</v>
      </c>
      <c r="R316" s="422">
        <f t="shared" ca="1" si="114"/>
        <v>34453135.814487435</v>
      </c>
      <c r="S316" s="583">
        <f t="shared" si="115"/>
        <v>150100</v>
      </c>
      <c r="T316" s="377" t="str">
        <f>+IFERROR(VLOOKUP(S316,STAT1!$C$4:$D$189,2,FALSE),"")</f>
        <v>Бараа бэлэн бүтээгдэхүүн ХАТААХ ЦЕХ /нарс/</v>
      </c>
      <c r="U316" s="424"/>
      <c r="V316" s="424">
        <v>34453135.814487435</v>
      </c>
      <c r="W316" s="822">
        <v>1004</v>
      </c>
      <c r="X316" s="436" t="str">
        <f>IFERROR(VLOOKUP(W316,DATA!$G$4:$H$400,2,FALSE),"")</f>
        <v xml:space="preserve">Түмэндэлгэр </v>
      </c>
      <c r="Y316" s="328"/>
      <c r="Z316" s="328"/>
      <c r="AA316" s="328"/>
    </row>
    <row r="317" spans="1:27" ht="12.75" customHeight="1">
      <c r="A317" s="425"/>
      <c r="B317" s="368">
        <f t="shared" si="107"/>
        <v>312</v>
      </c>
      <c r="C317" s="425">
        <v>43191</v>
      </c>
      <c r="D317" s="830"/>
      <c r="E317" s="876" t="str">
        <f t="shared" ca="1" si="108"/>
        <v/>
      </c>
      <c r="F317" s="426" t="str">
        <f t="shared" ca="1" si="109"/>
        <v/>
      </c>
      <c r="G317" s="415"/>
      <c r="H317" s="415"/>
      <c r="I317" s="415" t="str">
        <f t="shared" si="104"/>
        <v/>
      </c>
      <c r="J317" s="415" t="str">
        <f t="shared" si="105"/>
        <v/>
      </c>
      <c r="K317" s="415" t="str">
        <f t="shared" si="106"/>
        <v/>
      </c>
      <c r="L317" s="415"/>
      <c r="M317" s="415"/>
      <c r="N317" s="422" t="str">
        <f t="shared" si="110"/>
        <v/>
      </c>
      <c r="O317" s="422" t="str">
        <f t="shared" si="111"/>
        <v/>
      </c>
      <c r="P317" s="422" t="str">
        <f t="shared" si="112"/>
        <v/>
      </c>
      <c r="Q317" s="422" t="str">
        <f t="shared" si="113"/>
        <v/>
      </c>
      <c r="R317" s="422" t="str">
        <f t="shared" si="114"/>
        <v/>
      </c>
      <c r="S317" s="583">
        <v>140201</v>
      </c>
      <c r="T317" s="377" t="str">
        <f>+IFERROR(VLOOKUP(S317,STAT1!$C$4:$D$189,2,FALSE),"")</f>
        <v>ШМЗардал БОЛОВСРУУЛАХ ЦЕХ /нарс/</v>
      </c>
      <c r="U317" s="424">
        <v>77955155.194487423</v>
      </c>
      <c r="V317" s="424"/>
      <c r="W317" s="822">
        <v>1004</v>
      </c>
      <c r="X317" s="436" t="str">
        <f>IFERROR(VLOOKUP(W317,DATA!$G$4:$H$400,2,FALSE),"")</f>
        <v xml:space="preserve">Түмэндэлгэр </v>
      </c>
      <c r="Y317" s="328"/>
      <c r="Z317" s="328"/>
      <c r="AA317" s="328"/>
    </row>
    <row r="318" spans="1:27" ht="12.75" customHeight="1">
      <c r="A318" s="425"/>
      <c r="B318" s="368">
        <f t="shared" si="107"/>
        <v>313</v>
      </c>
      <c r="C318" s="425">
        <v>43191</v>
      </c>
      <c r="D318" s="875">
        <v>211710</v>
      </c>
      <c r="E318" s="876" t="str">
        <f t="shared" ca="1" si="108"/>
        <v xml:space="preserve">Н-Хавтан /зузаан-3см/-яртай </v>
      </c>
      <c r="F318" s="426" t="str">
        <f t="shared" ca="1" si="109"/>
        <v>м2</v>
      </c>
      <c r="G318" s="415">
        <v>350</v>
      </c>
      <c r="H318" s="415">
        <v>41058.106018991617</v>
      </c>
      <c r="I318" s="415">
        <f t="shared" si="104"/>
        <v>14370337.106647067</v>
      </c>
      <c r="J318" s="415"/>
      <c r="K318" s="415">
        <f t="shared" si="106"/>
        <v>14370337.106647067</v>
      </c>
      <c r="L318" s="415"/>
      <c r="M318" s="415"/>
      <c r="N318" s="422" t="str">
        <f t="shared" si="110"/>
        <v/>
      </c>
      <c r="O318" s="422" t="str">
        <f t="shared" si="111"/>
        <v/>
      </c>
      <c r="P318" s="422" t="str">
        <f t="shared" si="112"/>
        <v/>
      </c>
      <c r="Q318" s="422" t="str">
        <f t="shared" si="113"/>
        <v/>
      </c>
      <c r="R318" s="422" t="str">
        <f t="shared" si="114"/>
        <v/>
      </c>
      <c r="S318" s="583">
        <f t="shared" si="115"/>
        <v>150101</v>
      </c>
      <c r="T318" s="377" t="str">
        <f>+IFERROR(VLOOKUP(S318,STAT1!$C$4:$D$189,2,FALSE),"")</f>
        <v>Бараа бэлэн бүтээгдэхүүн БОЛОВСРУУЛАХ ЦЕХ /нарс/</v>
      </c>
      <c r="U318" s="424">
        <v>14370337.106647067</v>
      </c>
      <c r="V318" s="424"/>
      <c r="W318" s="822">
        <v>1004</v>
      </c>
      <c r="X318" s="436" t="str">
        <f>IFERROR(VLOOKUP(W318,DATA!$G$4:$H$400,2,FALSE),"")</f>
        <v xml:space="preserve">Түмэндэлгэр </v>
      </c>
      <c r="Y318" s="328"/>
      <c r="Z318" s="328"/>
      <c r="AA318" s="328"/>
    </row>
    <row r="319" spans="1:27" ht="12.75" customHeight="1">
      <c r="A319" s="425"/>
      <c r="B319" s="368">
        <f t="shared" si="107"/>
        <v>314</v>
      </c>
      <c r="C319" s="425">
        <v>43191</v>
      </c>
      <c r="D319" s="875">
        <v>211711</v>
      </c>
      <c r="E319" s="876" t="str">
        <f t="shared" ca="1" si="108"/>
        <v>Н-Хавтан /зузаан-2.6см/</v>
      </c>
      <c r="F319" s="426" t="str">
        <f t="shared" ref="F319:F349" ca="1" si="116">+IFERROR(VLOOKUP(D319,TN_table,3,FALSE),"")</f>
        <v>м2</v>
      </c>
      <c r="G319" s="415">
        <v>350</v>
      </c>
      <c r="H319" s="415">
        <v>41058.106018991617</v>
      </c>
      <c r="I319" s="415">
        <f t="shared" si="104"/>
        <v>14370337.106647067</v>
      </c>
      <c r="J319" s="415"/>
      <c r="K319" s="415">
        <f t="shared" si="106"/>
        <v>14370337.106647067</v>
      </c>
      <c r="L319" s="415"/>
      <c r="M319" s="415"/>
      <c r="N319" s="422" t="str">
        <f t="shared" si="110"/>
        <v/>
      </c>
      <c r="O319" s="422" t="str">
        <f t="shared" si="111"/>
        <v/>
      </c>
      <c r="P319" s="422" t="str">
        <f t="shared" si="112"/>
        <v/>
      </c>
      <c r="Q319" s="422" t="str">
        <f t="shared" si="113"/>
        <v/>
      </c>
      <c r="R319" s="422" t="str">
        <f t="shared" si="114"/>
        <v/>
      </c>
      <c r="S319" s="583">
        <f t="shared" si="115"/>
        <v>150101</v>
      </c>
      <c r="T319" s="377" t="str">
        <f>+IFERROR(VLOOKUP(S319,STAT1!$C$4:$D$189,2,FALSE),"")</f>
        <v>Бараа бэлэн бүтээгдэхүүн БОЛОВСРУУЛАХ ЦЕХ /нарс/</v>
      </c>
      <c r="U319" s="424">
        <v>14370337.106647067</v>
      </c>
      <c r="V319" s="424"/>
      <c r="W319" s="822">
        <v>1004</v>
      </c>
      <c r="X319" s="436" t="str">
        <f>IFERROR(VLOOKUP(W319,DATA!$G$4:$H$400,2,FALSE),"")</f>
        <v xml:space="preserve">Түмэндэлгэр </v>
      </c>
      <c r="Y319" s="328"/>
      <c r="Z319" s="328"/>
      <c r="AA319" s="328"/>
    </row>
    <row r="320" spans="1:27" ht="12.75" customHeight="1">
      <c r="A320" s="425"/>
      <c r="B320" s="368">
        <f t="shared" si="107"/>
        <v>315</v>
      </c>
      <c r="C320" s="425">
        <v>43191</v>
      </c>
      <c r="D320" s="875">
        <v>211712</v>
      </c>
      <c r="E320" s="876" t="str">
        <f t="shared" ca="1" si="108"/>
        <v xml:space="preserve">Н-Хавтан /зузаан-2.6см/-яртай </v>
      </c>
      <c r="F320" s="426" t="str">
        <f t="shared" ca="1" si="116"/>
        <v>м2</v>
      </c>
      <c r="G320" s="415">
        <v>450</v>
      </c>
      <c r="H320" s="415">
        <v>41058.106018991617</v>
      </c>
      <c r="I320" s="415">
        <f t="shared" si="104"/>
        <v>18476147.708546229</v>
      </c>
      <c r="J320" s="415"/>
      <c r="K320" s="415">
        <f t="shared" si="106"/>
        <v>18476147.708546229</v>
      </c>
      <c r="L320" s="415"/>
      <c r="M320" s="415"/>
      <c r="N320" s="422" t="str">
        <f t="shared" si="110"/>
        <v/>
      </c>
      <c r="O320" s="422" t="str">
        <f t="shared" si="111"/>
        <v/>
      </c>
      <c r="P320" s="422" t="str">
        <f t="shared" si="112"/>
        <v/>
      </c>
      <c r="Q320" s="422" t="str">
        <f t="shared" si="113"/>
        <v/>
      </c>
      <c r="R320" s="422" t="str">
        <f t="shared" si="114"/>
        <v/>
      </c>
      <c r="S320" s="583">
        <f t="shared" si="115"/>
        <v>150101</v>
      </c>
      <c r="T320" s="377" t="str">
        <f>+IFERROR(VLOOKUP(S320,STAT1!$C$4:$D$189,2,FALSE),"")</f>
        <v>Бараа бэлэн бүтээгдэхүүн БОЛОВСРУУЛАХ ЦЕХ /нарс/</v>
      </c>
      <c r="U320" s="424">
        <v>18476147.708546229</v>
      </c>
      <c r="V320" s="415"/>
      <c r="W320" s="822">
        <v>1004</v>
      </c>
      <c r="X320" s="436" t="str">
        <f>IFERROR(VLOOKUP(W320,DATA!$G$4:$H$400,2,FALSE),"")</f>
        <v xml:space="preserve">Түмэндэлгэр </v>
      </c>
      <c r="Y320" s="328"/>
      <c r="Z320" s="328"/>
      <c r="AA320" s="328"/>
    </row>
    <row r="321" spans="1:27" ht="12.75" customHeight="1">
      <c r="A321" s="425"/>
      <c r="B321" s="368">
        <f t="shared" si="107"/>
        <v>316</v>
      </c>
      <c r="C321" s="425">
        <v>43191</v>
      </c>
      <c r="D321" s="875">
        <v>211713</v>
      </c>
      <c r="E321" s="876" t="str">
        <f t="shared" ca="1" si="108"/>
        <v>Н-Хавтан /зузаан-2см/</v>
      </c>
      <c r="F321" s="426" t="str">
        <f t="shared" ca="1" si="116"/>
        <v>м2</v>
      </c>
      <c r="G321" s="415">
        <v>1200</v>
      </c>
      <c r="H321" s="415">
        <v>27372.07067932775</v>
      </c>
      <c r="I321" s="415">
        <f t="shared" si="104"/>
        <v>32846484.815193299</v>
      </c>
      <c r="J321" s="415"/>
      <c r="K321" s="415">
        <f t="shared" si="106"/>
        <v>32846484.815193299</v>
      </c>
      <c r="L321" s="415"/>
      <c r="M321" s="415"/>
      <c r="N321" s="422" t="str">
        <f t="shared" ref="N321:N343" si="117">+IF(L321="","",L321*M321)</f>
        <v/>
      </c>
      <c r="O321" s="422" t="str">
        <f t="shared" ref="O321:O343" si="118">+IF(L321="","",N321*0.1)</f>
        <v/>
      </c>
      <c r="P321" s="422" t="str">
        <f t="shared" ref="P321:P343" si="119">+IF(L321="","",N321+O321)</f>
        <v/>
      </c>
      <c r="Q321" s="422" t="str">
        <f t="shared" ref="Q321:Q343" si="120">IF(L321="","",IFERROR((SUMIFS(TN_balC1_totol,TN_code,D321)+SUMIFS(RC_or_totol,RC_Code,D321,RC_date,"&lt;="&amp;C321)-SUMIFS(RC_zar_totol,RC_Code,D321,RC_date,"&lt;"&amp;C321)) /( SUMIFS(TN_balC1_unit,TN_code,D321)+SUMIFS(RC_or_unit,RC_Code,D321,RC_date,"&lt;="&amp;C321)-SUMIFS(RC_zar_unit,RC_Code,D321,RC_date,"&lt;"&amp;C321)),0 ))</f>
        <v/>
      </c>
      <c r="R321" s="422" t="str">
        <f t="shared" ref="R321:R343" si="121">+IF(L321="","",L321*Q321)</f>
        <v/>
      </c>
      <c r="S321" s="583">
        <f t="shared" si="115"/>
        <v>150101</v>
      </c>
      <c r="T321" s="377" t="str">
        <f>+IFERROR(VLOOKUP(S321,STAT1!$C$4:$D$189,2,FALSE),"")</f>
        <v>Бараа бэлэн бүтээгдэхүүн БОЛОВСРУУЛАХ ЦЕХ /нарс/</v>
      </c>
      <c r="U321" s="424">
        <v>32846484.815193299</v>
      </c>
      <c r="V321" s="424"/>
      <c r="W321" s="822">
        <v>1004</v>
      </c>
      <c r="X321" s="436" t="str">
        <f>IFERROR(VLOOKUP(W321,DATA!$G$4:$H$400,2,FALSE),"")</f>
        <v xml:space="preserve">Түмэндэлгэр </v>
      </c>
      <c r="Y321" s="328"/>
      <c r="Z321" s="328"/>
      <c r="AA321" s="328"/>
    </row>
    <row r="322" spans="1:27" ht="12.75" customHeight="1">
      <c r="A322" s="425"/>
      <c r="B322" s="368">
        <f t="shared" si="107"/>
        <v>317</v>
      </c>
      <c r="C322" s="425">
        <v>43191</v>
      </c>
      <c r="D322" s="875">
        <v>211714</v>
      </c>
      <c r="E322" s="876" t="str">
        <f t="shared" ca="1" si="108"/>
        <v xml:space="preserve">Н-Хавтан /зузаан-2см/-яртай </v>
      </c>
      <c r="F322" s="426" t="str">
        <f t="shared" ca="1" si="116"/>
        <v>м2</v>
      </c>
      <c r="G322" s="415">
        <v>350</v>
      </c>
      <c r="H322" s="415">
        <v>27372.07067932775</v>
      </c>
      <c r="I322" s="415">
        <f t="shared" si="104"/>
        <v>9580224.7377647124</v>
      </c>
      <c r="J322" s="415"/>
      <c r="K322" s="415">
        <f t="shared" si="106"/>
        <v>9580224.7377647124</v>
      </c>
      <c r="L322" s="415"/>
      <c r="M322" s="415"/>
      <c r="N322" s="422" t="str">
        <f t="shared" si="117"/>
        <v/>
      </c>
      <c r="O322" s="422" t="str">
        <f t="shared" si="118"/>
        <v/>
      </c>
      <c r="P322" s="422" t="str">
        <f t="shared" si="119"/>
        <v/>
      </c>
      <c r="Q322" s="422" t="str">
        <f t="shared" si="120"/>
        <v/>
      </c>
      <c r="R322" s="422" t="str">
        <f t="shared" si="121"/>
        <v/>
      </c>
      <c r="S322" s="583">
        <f t="shared" si="115"/>
        <v>150101</v>
      </c>
      <c r="T322" s="377" t="str">
        <f>+IFERROR(VLOOKUP(S322,STAT1!$C$4:$D$189,2,FALSE),"")</f>
        <v>Бараа бэлэн бүтээгдэхүүн БОЛОВСРУУЛАХ ЦЕХ /нарс/</v>
      </c>
      <c r="U322" s="424">
        <v>9580224.7377647124</v>
      </c>
      <c r="V322" s="424"/>
      <c r="W322" s="822">
        <v>1004</v>
      </c>
      <c r="X322" s="436" t="str">
        <f>IFERROR(VLOOKUP(W322,DATA!$G$4:$H$400,2,FALSE),"")</f>
        <v xml:space="preserve">Түмэндэлгэр </v>
      </c>
      <c r="Y322" s="328"/>
      <c r="Z322" s="328"/>
      <c r="AA322" s="328"/>
    </row>
    <row r="323" spans="1:27" ht="12.75" customHeight="1">
      <c r="A323" s="425"/>
      <c r="B323" s="368">
        <f t="shared" si="107"/>
        <v>318</v>
      </c>
      <c r="C323" s="425">
        <v>43191</v>
      </c>
      <c r="D323" s="875">
        <v>211715</v>
      </c>
      <c r="E323" s="876" t="str">
        <f t="shared" ca="1" si="108"/>
        <v>Н-Хавтан /зузаан-1.8см/</v>
      </c>
      <c r="F323" s="426" t="str">
        <f t="shared" ca="1" si="116"/>
        <v>м2</v>
      </c>
      <c r="G323" s="415">
        <v>400</v>
      </c>
      <c r="H323" s="415">
        <v>24634.863611394976</v>
      </c>
      <c r="I323" s="415">
        <f t="shared" si="104"/>
        <v>9853945.4445579909</v>
      </c>
      <c r="J323" s="415"/>
      <c r="K323" s="415">
        <f t="shared" si="106"/>
        <v>9853945.4445579909</v>
      </c>
      <c r="L323" s="415"/>
      <c r="M323" s="415"/>
      <c r="N323" s="422" t="str">
        <f t="shared" si="117"/>
        <v/>
      </c>
      <c r="O323" s="422" t="str">
        <f t="shared" si="118"/>
        <v/>
      </c>
      <c r="P323" s="422" t="str">
        <f t="shared" si="119"/>
        <v/>
      </c>
      <c r="Q323" s="422" t="str">
        <f t="shared" si="120"/>
        <v/>
      </c>
      <c r="R323" s="422" t="str">
        <f t="shared" si="121"/>
        <v/>
      </c>
      <c r="S323" s="583">
        <f t="shared" si="115"/>
        <v>150101</v>
      </c>
      <c r="T323" s="377" t="str">
        <f>+IFERROR(VLOOKUP(S323,STAT1!$C$4:$D$189,2,FALSE),"")</f>
        <v>Бараа бэлэн бүтээгдэхүүн БОЛОВСРУУЛАХ ЦЕХ /нарс/</v>
      </c>
      <c r="U323" s="424">
        <v>9853945.4445579909</v>
      </c>
      <c r="V323" s="424"/>
      <c r="W323" s="822">
        <v>1004</v>
      </c>
      <c r="X323" s="436" t="str">
        <f>IFERROR(VLOOKUP(W323,DATA!$G$4:$H$400,2,FALSE),"")</f>
        <v xml:space="preserve">Түмэндэлгэр </v>
      </c>
      <c r="Y323" s="328"/>
      <c r="Z323" s="328"/>
      <c r="AA323" s="328"/>
    </row>
    <row r="324" spans="1:27" ht="12.75" customHeight="1">
      <c r="A324" s="425"/>
      <c r="B324" s="368">
        <f t="shared" si="107"/>
        <v>319</v>
      </c>
      <c r="C324" s="425">
        <v>43191</v>
      </c>
      <c r="D324" s="875">
        <v>211717</v>
      </c>
      <c r="E324" s="876" t="str">
        <f t="shared" ca="1" si="108"/>
        <v>Н-Хавтан/зузаан-4см/-яртай</v>
      </c>
      <c r="F324" s="426" t="str">
        <f t="shared" ca="1" si="116"/>
        <v>м2</v>
      </c>
      <c r="G324" s="415">
        <v>500</v>
      </c>
      <c r="H324" s="415">
        <v>54744.141358655499</v>
      </c>
      <c r="I324" s="415">
        <f t="shared" si="104"/>
        <v>27372070.679327749</v>
      </c>
      <c r="J324" s="415"/>
      <c r="K324" s="415">
        <f t="shared" si="106"/>
        <v>27372070.679327749</v>
      </c>
      <c r="L324" s="415"/>
      <c r="M324" s="415"/>
      <c r="N324" s="422" t="str">
        <f t="shared" si="117"/>
        <v/>
      </c>
      <c r="O324" s="422" t="str">
        <f t="shared" si="118"/>
        <v/>
      </c>
      <c r="P324" s="422" t="str">
        <f t="shared" si="119"/>
        <v/>
      </c>
      <c r="Q324" s="422" t="str">
        <f t="shared" si="120"/>
        <v/>
      </c>
      <c r="R324" s="422" t="str">
        <f t="shared" si="121"/>
        <v/>
      </c>
      <c r="S324" s="583">
        <f t="shared" si="115"/>
        <v>150101</v>
      </c>
      <c r="T324" s="377" t="str">
        <f>+IFERROR(VLOOKUP(S324,STAT1!$C$4:$D$189,2,FALSE),"")</f>
        <v>Бараа бэлэн бүтээгдэхүүн БОЛОВСРУУЛАХ ЦЕХ /нарс/</v>
      </c>
      <c r="U324" s="424">
        <v>27372070.679327749</v>
      </c>
      <c r="V324" s="424"/>
      <c r="W324" s="822">
        <v>1004</v>
      </c>
      <c r="X324" s="436" t="str">
        <f>IFERROR(VLOOKUP(W324,DATA!$G$4:$H$400,2,FALSE),"")</f>
        <v xml:space="preserve">Түмэндэлгэр </v>
      </c>
      <c r="Y324" s="328"/>
      <c r="Z324" s="328"/>
      <c r="AA324" s="328"/>
    </row>
    <row r="325" spans="1:27" ht="12.75" customHeight="1">
      <c r="A325" s="425"/>
      <c r="B325" s="368">
        <f t="shared" si="107"/>
        <v>320</v>
      </c>
      <c r="C325" s="425">
        <v>43191</v>
      </c>
      <c r="D325" s="877">
        <v>211803</v>
      </c>
      <c r="E325" s="876" t="str">
        <f t="shared" ca="1" si="108"/>
        <v>Н-Шатны бариул /58*68мм/</v>
      </c>
      <c r="F325" s="426" t="str">
        <f t="shared" ca="1" si="116"/>
        <v>м</v>
      </c>
      <c r="G325" s="415">
        <v>2300</v>
      </c>
      <c r="H325" s="415">
        <v>5397.7723379634326</v>
      </c>
      <c r="I325" s="415">
        <f t="shared" si="104"/>
        <v>12414876.377315896</v>
      </c>
      <c r="J325" s="415"/>
      <c r="K325" s="415">
        <f t="shared" si="106"/>
        <v>12414876.377315896</v>
      </c>
      <c r="L325" s="415"/>
      <c r="M325" s="415"/>
      <c r="N325" s="422" t="str">
        <f t="shared" si="117"/>
        <v/>
      </c>
      <c r="O325" s="422" t="str">
        <f t="shared" si="118"/>
        <v/>
      </c>
      <c r="P325" s="422" t="str">
        <f t="shared" si="119"/>
        <v/>
      </c>
      <c r="Q325" s="422" t="str">
        <f t="shared" si="120"/>
        <v/>
      </c>
      <c r="R325" s="422" t="str">
        <f t="shared" si="121"/>
        <v/>
      </c>
      <c r="S325" s="583">
        <f t="shared" si="115"/>
        <v>150101</v>
      </c>
      <c r="T325" s="377" t="str">
        <f>+IFERROR(VLOOKUP(S325,STAT1!$C$4:$D$189,2,FALSE),"")</f>
        <v>Бараа бэлэн бүтээгдэхүүн БОЛОВСРУУЛАХ ЦЕХ /нарс/</v>
      </c>
      <c r="U325" s="424">
        <v>12414876.377315896</v>
      </c>
      <c r="V325" s="415"/>
      <c r="W325" s="822">
        <v>1004</v>
      </c>
      <c r="X325" s="436" t="str">
        <f>IFERROR(VLOOKUP(W325,DATA!$G$4:$H$400,2,FALSE),"")</f>
        <v xml:space="preserve">Түмэндэлгэр </v>
      </c>
      <c r="Y325" s="328"/>
      <c r="Z325" s="328"/>
      <c r="AA325" s="328"/>
    </row>
    <row r="326" spans="1:27" ht="12.75" customHeight="1">
      <c r="A326" s="425"/>
      <c r="B326" s="368">
        <f t="shared" si="107"/>
        <v>321</v>
      </c>
      <c r="C326" s="425">
        <v>43191</v>
      </c>
      <c r="D326" s="830"/>
      <c r="E326" s="876" t="str">
        <f t="shared" ca="1" si="108"/>
        <v/>
      </c>
      <c r="F326" s="426" t="str">
        <f t="shared" ca="1" si="116"/>
        <v/>
      </c>
      <c r="G326" s="415"/>
      <c r="H326" s="415"/>
      <c r="I326" s="415" t="str">
        <f t="shared" ref="I326:I333" si="122">+IF(G326="","",G326*H326)</f>
        <v/>
      </c>
      <c r="J326" s="415" t="str">
        <f t="shared" ref="J326:J333" si="123">+IF(G326="","",I326*0.1)</f>
        <v/>
      </c>
      <c r="K326" s="415" t="str">
        <f t="shared" ref="K326:K333" si="124">+IF(G326="","",I326+J326)</f>
        <v/>
      </c>
      <c r="L326" s="415"/>
      <c r="M326" s="415"/>
      <c r="N326" s="422" t="str">
        <f t="shared" si="117"/>
        <v/>
      </c>
      <c r="O326" s="422" t="str">
        <f t="shared" si="118"/>
        <v/>
      </c>
      <c r="P326" s="422" t="str">
        <f t="shared" si="119"/>
        <v/>
      </c>
      <c r="Q326" s="422" t="str">
        <f t="shared" si="120"/>
        <v/>
      </c>
      <c r="R326" s="422" t="str">
        <f t="shared" si="121"/>
        <v/>
      </c>
      <c r="S326" s="583">
        <v>140501</v>
      </c>
      <c r="T326" s="377" t="str">
        <f>+IFERROR(VLOOKUP(S326,STAT1!$C$4:$D$189,2,FALSE),"")</f>
        <v>Нэгтгэл зардал БОЛОВСРУУЛАХ ЦЕХ /нарс/</v>
      </c>
      <c r="U326" s="424"/>
      <c r="V326" s="424">
        <v>139284423.97600004</v>
      </c>
      <c r="W326" s="822">
        <v>1004</v>
      </c>
      <c r="X326" s="436" t="str">
        <f>IFERROR(VLOOKUP(W326,DATA!$G$4:$H$400,2,FALSE),"")</f>
        <v xml:space="preserve">Түмэндэлгэр </v>
      </c>
      <c r="Y326" s="328"/>
      <c r="Z326" s="328"/>
      <c r="AA326" s="328"/>
    </row>
    <row r="327" spans="1:27" ht="12.75" customHeight="1">
      <c r="A327" s="425"/>
      <c r="B327" s="368">
        <f t="shared" si="107"/>
        <v>322</v>
      </c>
      <c r="C327" s="425">
        <v>43348</v>
      </c>
      <c r="D327" s="830">
        <v>410007</v>
      </c>
      <c r="E327" s="876" t="str">
        <f t="shared" ca="1" si="108"/>
        <v xml:space="preserve">Шилэн хөвөн </v>
      </c>
      <c r="F327" s="426" t="str">
        <f t="shared" ca="1" si="116"/>
        <v>уут</v>
      </c>
      <c r="G327" s="415">
        <v>13</v>
      </c>
      <c r="H327" s="415">
        <v>177272.72700000001</v>
      </c>
      <c r="I327" s="415">
        <f t="shared" si="122"/>
        <v>2304545.4510000004</v>
      </c>
      <c r="J327" s="415">
        <f t="shared" si="123"/>
        <v>230454.54510000005</v>
      </c>
      <c r="K327" s="415">
        <f t="shared" si="124"/>
        <v>2534999.9961000006</v>
      </c>
      <c r="L327" s="415"/>
      <c r="M327" s="415"/>
      <c r="N327" s="422" t="str">
        <f t="shared" si="117"/>
        <v/>
      </c>
      <c r="O327" s="422" t="str">
        <f t="shared" si="118"/>
        <v/>
      </c>
      <c r="P327" s="422" t="str">
        <f t="shared" si="119"/>
        <v/>
      </c>
      <c r="Q327" s="422" t="str">
        <f t="shared" si="120"/>
        <v/>
      </c>
      <c r="R327" s="422" t="str">
        <f t="shared" si="121"/>
        <v/>
      </c>
      <c r="S327" s="583">
        <f t="shared" si="115"/>
        <v>160100</v>
      </c>
      <c r="T327" s="377" t="str">
        <f>+IFERROR(VLOOKUP(S327,STAT1!$C$4:$D$189,2,FALSE),"")</f>
        <v xml:space="preserve">Барилгын материал </v>
      </c>
      <c r="U327" s="424">
        <v>2304545.4500000002</v>
      </c>
      <c r="V327" s="424"/>
      <c r="W327" s="822">
        <v>1008</v>
      </c>
      <c r="X327" s="436" t="str">
        <f>IFERROR(VLOOKUP(W327,DATA!$G$4:$H$400,2,FALSE),"")</f>
        <v xml:space="preserve">Оюунтүлхүүр </v>
      </c>
      <c r="Y327" s="328"/>
      <c r="Z327" s="328"/>
      <c r="AA327" s="328"/>
    </row>
    <row r="328" spans="1:27" ht="12.75" customHeight="1">
      <c r="A328" s="425"/>
      <c r="B328" s="368">
        <f t="shared" si="107"/>
        <v>323</v>
      </c>
      <c r="C328" s="425">
        <v>43348</v>
      </c>
      <c r="D328" s="830"/>
      <c r="E328" s="876" t="str">
        <f t="shared" ca="1" si="108"/>
        <v/>
      </c>
      <c r="F328" s="426" t="str">
        <f t="shared" ca="1" si="116"/>
        <v/>
      </c>
      <c r="G328" s="415"/>
      <c r="H328" s="415"/>
      <c r="I328" s="415" t="str">
        <f t="shared" si="122"/>
        <v/>
      </c>
      <c r="J328" s="415" t="str">
        <f t="shared" si="123"/>
        <v/>
      </c>
      <c r="K328" s="415" t="str">
        <f t="shared" si="124"/>
        <v/>
      </c>
      <c r="L328" s="415"/>
      <c r="M328" s="415"/>
      <c r="N328" s="422" t="str">
        <f t="shared" si="117"/>
        <v/>
      </c>
      <c r="O328" s="422" t="str">
        <f t="shared" si="118"/>
        <v/>
      </c>
      <c r="P328" s="422" t="str">
        <f t="shared" si="119"/>
        <v/>
      </c>
      <c r="Q328" s="422" t="str">
        <f t="shared" si="120"/>
        <v/>
      </c>
      <c r="R328" s="422" t="str">
        <f t="shared" si="121"/>
        <v/>
      </c>
      <c r="S328" s="583">
        <v>120600</v>
      </c>
      <c r="T328" s="377" t="str">
        <f>+IFERROR(VLOOKUP(S328,STAT1!$C$4:$D$189,2,FALSE),"")</f>
        <v>НӨАТ авлага</v>
      </c>
      <c r="U328" s="424">
        <v>230454.55</v>
      </c>
      <c r="V328" s="424"/>
      <c r="W328" s="822">
        <v>1008</v>
      </c>
      <c r="X328" s="436" t="str">
        <f>IFERROR(VLOOKUP(W328,DATA!$G$4:$H$400,2,FALSE),"")</f>
        <v xml:space="preserve">Оюунтүлхүүр </v>
      </c>
      <c r="Y328" s="328"/>
      <c r="Z328" s="328"/>
      <c r="AA328" s="328"/>
    </row>
    <row r="329" spans="1:27" ht="12.75" customHeight="1">
      <c r="A329" s="425"/>
      <c r="B329" s="368">
        <f t="shared" si="107"/>
        <v>324</v>
      </c>
      <c r="C329" s="425">
        <v>43348</v>
      </c>
      <c r="D329" s="830"/>
      <c r="E329" s="876" t="str">
        <f t="shared" ca="1" si="108"/>
        <v/>
      </c>
      <c r="F329" s="426" t="str">
        <f t="shared" ca="1" si="116"/>
        <v/>
      </c>
      <c r="G329" s="415"/>
      <c r="H329" s="415"/>
      <c r="I329" s="415" t="str">
        <f t="shared" si="122"/>
        <v/>
      </c>
      <c r="J329" s="415" t="str">
        <f t="shared" si="123"/>
        <v/>
      </c>
      <c r="K329" s="415" t="str">
        <f t="shared" si="124"/>
        <v/>
      </c>
      <c r="L329" s="415"/>
      <c r="M329" s="415"/>
      <c r="N329" s="422" t="str">
        <f t="shared" si="117"/>
        <v/>
      </c>
      <c r="O329" s="422" t="str">
        <f t="shared" si="118"/>
        <v/>
      </c>
      <c r="P329" s="422" t="str">
        <f t="shared" si="119"/>
        <v/>
      </c>
      <c r="Q329" s="422" t="str">
        <f t="shared" si="120"/>
        <v/>
      </c>
      <c r="R329" s="422" t="str">
        <f t="shared" si="121"/>
        <v/>
      </c>
      <c r="S329" s="583">
        <v>121200</v>
      </c>
      <c r="T329" s="377" t="str">
        <f>+IFERROR(VLOOKUP(S329,STAT1!$C$4:$D$189,2,FALSE),"")</f>
        <v xml:space="preserve">Ажилчидын дараа тайлангийн тооцоо </v>
      </c>
      <c r="U329" s="424"/>
      <c r="V329" s="424">
        <v>2535000</v>
      </c>
      <c r="W329" s="822">
        <v>1008</v>
      </c>
      <c r="X329" s="436" t="str">
        <f>IFERROR(VLOOKUP(W329,DATA!$G$4:$H$400,2,FALSE),"")</f>
        <v xml:space="preserve">Оюунтүлхүүр </v>
      </c>
      <c r="Y329" s="328"/>
      <c r="Z329" s="328"/>
      <c r="AA329" s="328"/>
    </row>
    <row r="330" spans="1:27" ht="12.75" customHeight="1">
      <c r="A330" s="425"/>
      <c r="B330" s="368">
        <f t="shared" ref="B330:B393" si="125">+IF(C330="","",ROW()-5)</f>
        <v>325</v>
      </c>
      <c r="C330" s="425">
        <v>43332</v>
      </c>
      <c r="D330" s="830">
        <v>410008</v>
      </c>
      <c r="E330" s="876" t="str">
        <f t="shared" ref="E330:E389" ca="1" si="126">+IFERROR(VLOOKUP(D330,TN_table,2,FALSE),"")</f>
        <v xml:space="preserve">Бетон эдлэл </v>
      </c>
      <c r="F330" s="426" t="str">
        <f t="shared" ca="1" si="116"/>
        <v xml:space="preserve">ш </v>
      </c>
      <c r="G330" s="415">
        <v>22</v>
      </c>
      <c r="H330" s="415">
        <v>2500</v>
      </c>
      <c r="I330" s="415">
        <f t="shared" si="122"/>
        <v>55000</v>
      </c>
      <c r="J330" s="415">
        <f t="shared" si="123"/>
        <v>5500</v>
      </c>
      <c r="K330" s="415">
        <f t="shared" si="124"/>
        <v>60500</v>
      </c>
      <c r="L330" s="415"/>
      <c r="M330" s="415"/>
      <c r="N330" s="422" t="str">
        <f t="shared" si="117"/>
        <v/>
      </c>
      <c r="O330" s="422" t="str">
        <f t="shared" si="118"/>
        <v/>
      </c>
      <c r="P330" s="422" t="str">
        <f t="shared" si="119"/>
        <v/>
      </c>
      <c r="Q330" s="422" t="str">
        <f t="shared" si="120"/>
        <v/>
      </c>
      <c r="R330" s="422" t="str">
        <f t="shared" si="121"/>
        <v/>
      </c>
      <c r="S330" s="583">
        <f t="shared" si="115"/>
        <v>160100</v>
      </c>
      <c r="T330" s="377" t="str">
        <f>+IFERROR(VLOOKUP(S330,STAT1!$C$4:$D$189,2,FALSE),"")</f>
        <v xml:space="preserve">Барилгын материал </v>
      </c>
      <c r="U330" s="424">
        <v>55000</v>
      </c>
      <c r="V330" s="424"/>
      <c r="W330" s="822">
        <v>1008</v>
      </c>
      <c r="X330" s="436" t="str">
        <f>IFERROR(VLOOKUP(W330,DATA!$G$4:$H$400,2,FALSE),"")</f>
        <v xml:space="preserve">Оюунтүлхүүр </v>
      </c>
      <c r="Y330" s="328"/>
      <c r="Z330" s="328"/>
      <c r="AA330" s="328"/>
    </row>
    <row r="331" spans="1:27" ht="12.75" customHeight="1">
      <c r="A331" s="425"/>
      <c r="B331" s="368">
        <f t="shared" si="125"/>
        <v>326</v>
      </c>
      <c r="C331" s="425">
        <v>43332</v>
      </c>
      <c r="D331" s="830"/>
      <c r="E331" s="876" t="str">
        <f t="shared" ca="1" si="126"/>
        <v/>
      </c>
      <c r="F331" s="426" t="str">
        <f t="shared" ca="1" si="116"/>
        <v/>
      </c>
      <c r="G331" s="415"/>
      <c r="H331" s="415"/>
      <c r="I331" s="415" t="str">
        <f t="shared" si="122"/>
        <v/>
      </c>
      <c r="J331" s="415" t="str">
        <f t="shared" si="123"/>
        <v/>
      </c>
      <c r="K331" s="415" t="str">
        <f t="shared" si="124"/>
        <v/>
      </c>
      <c r="L331" s="415"/>
      <c r="M331" s="415"/>
      <c r="N331" s="422" t="str">
        <f t="shared" si="117"/>
        <v/>
      </c>
      <c r="O331" s="422" t="str">
        <f t="shared" si="118"/>
        <v/>
      </c>
      <c r="P331" s="422" t="str">
        <f t="shared" si="119"/>
        <v/>
      </c>
      <c r="Q331" s="422" t="str">
        <f t="shared" si="120"/>
        <v/>
      </c>
      <c r="R331" s="422" t="str">
        <f t="shared" si="121"/>
        <v/>
      </c>
      <c r="S331" s="583">
        <v>120600</v>
      </c>
      <c r="T331" s="377" t="str">
        <f>+IFERROR(VLOOKUP(S331,STAT1!$C$4:$D$189,2,FALSE),"")</f>
        <v>НӨАТ авлага</v>
      </c>
      <c r="U331" s="424">
        <v>5500</v>
      </c>
      <c r="V331" s="424"/>
      <c r="W331" s="822">
        <v>1008</v>
      </c>
      <c r="X331" s="436" t="str">
        <f>IFERROR(VLOOKUP(W331,DATA!$G$4:$H$400,2,FALSE),"")</f>
        <v xml:space="preserve">Оюунтүлхүүр </v>
      </c>
      <c r="Y331" s="328"/>
      <c r="Z331" s="328"/>
      <c r="AA331" s="328"/>
    </row>
    <row r="332" spans="1:27" ht="12.75" customHeight="1">
      <c r="A332" s="425"/>
      <c r="B332" s="368">
        <f t="shared" si="125"/>
        <v>327</v>
      </c>
      <c r="C332" s="425">
        <v>43332</v>
      </c>
      <c r="D332" s="830"/>
      <c r="E332" s="876" t="str">
        <f t="shared" ca="1" si="126"/>
        <v/>
      </c>
      <c r="F332" s="426" t="str">
        <f t="shared" ca="1" si="116"/>
        <v/>
      </c>
      <c r="G332" s="415"/>
      <c r="H332" s="415"/>
      <c r="I332" s="415" t="str">
        <f t="shared" si="122"/>
        <v/>
      </c>
      <c r="J332" s="415" t="str">
        <f t="shared" si="123"/>
        <v/>
      </c>
      <c r="K332" s="415" t="str">
        <f t="shared" si="124"/>
        <v/>
      </c>
      <c r="L332" s="415"/>
      <c r="M332" s="415"/>
      <c r="N332" s="422" t="str">
        <f t="shared" si="117"/>
        <v/>
      </c>
      <c r="O332" s="422" t="str">
        <f t="shared" si="118"/>
        <v/>
      </c>
      <c r="P332" s="422" t="str">
        <f t="shared" si="119"/>
        <v/>
      </c>
      <c r="Q332" s="422" t="str">
        <f t="shared" si="120"/>
        <v/>
      </c>
      <c r="R332" s="422" t="str">
        <f t="shared" si="121"/>
        <v/>
      </c>
      <c r="S332" s="583">
        <v>121200</v>
      </c>
      <c r="T332" s="377" t="str">
        <f>+IFERROR(VLOOKUP(S332,STAT1!$C$4:$D$189,2,FALSE),"")</f>
        <v xml:space="preserve">Ажилчидын дараа тайлангийн тооцоо </v>
      </c>
      <c r="U332" s="424"/>
      <c r="V332" s="424">
        <v>60500</v>
      </c>
      <c r="W332" s="822">
        <v>1008</v>
      </c>
      <c r="X332" s="436" t="str">
        <f>IFERROR(VLOOKUP(W332,DATA!$G$4:$H$400,2,FALSE),"")</f>
        <v xml:space="preserve">Оюунтүлхүүр </v>
      </c>
      <c r="Y332" s="328"/>
      <c r="Z332" s="328"/>
      <c r="AA332" s="328"/>
    </row>
    <row r="333" spans="1:27" ht="12.75" customHeight="1">
      <c r="A333" s="425"/>
      <c r="B333" s="368">
        <f t="shared" si="125"/>
        <v>328</v>
      </c>
      <c r="C333" s="425">
        <v>43332</v>
      </c>
      <c r="D333" s="830">
        <v>410004</v>
      </c>
      <c r="E333" s="876" t="str">
        <f t="shared" ca="1" si="126"/>
        <v>Будаг /Орд/</v>
      </c>
      <c r="F333" s="426" t="str">
        <f t="shared" ca="1" si="116"/>
        <v>кг</v>
      </c>
      <c r="G333" s="415">
        <v>8</v>
      </c>
      <c r="H333" s="415">
        <v>27181.817999999999</v>
      </c>
      <c r="I333" s="415">
        <f t="shared" si="122"/>
        <v>217454.54399999999</v>
      </c>
      <c r="J333" s="415">
        <f t="shared" si="123"/>
        <v>21745.454400000002</v>
      </c>
      <c r="K333" s="415">
        <f t="shared" si="124"/>
        <v>239199.99839999998</v>
      </c>
      <c r="L333" s="415"/>
      <c r="M333" s="415"/>
      <c r="N333" s="422" t="str">
        <f t="shared" si="117"/>
        <v/>
      </c>
      <c r="O333" s="422" t="str">
        <f t="shared" si="118"/>
        <v/>
      </c>
      <c r="P333" s="422" t="str">
        <f t="shared" si="119"/>
        <v/>
      </c>
      <c r="Q333" s="422" t="str">
        <f t="shared" si="120"/>
        <v/>
      </c>
      <c r="R333" s="422" t="str">
        <f t="shared" si="121"/>
        <v/>
      </c>
      <c r="S333" s="583">
        <f t="shared" si="115"/>
        <v>160100</v>
      </c>
      <c r="T333" s="377" t="str">
        <f>+IFERROR(VLOOKUP(S333,STAT1!$C$4:$D$189,2,FALSE),"")</f>
        <v xml:space="preserve">Барилгын материал </v>
      </c>
      <c r="U333" s="424">
        <v>217454.55</v>
      </c>
      <c r="V333" s="424"/>
      <c r="W333" s="822">
        <v>1008</v>
      </c>
      <c r="X333" s="436" t="str">
        <f>IFERROR(VLOOKUP(W333,DATA!$G$4:$H$400,2,FALSE),"")</f>
        <v xml:space="preserve">Оюунтүлхүүр </v>
      </c>
      <c r="Y333" s="328"/>
      <c r="Z333" s="328"/>
      <c r="AA333" s="328"/>
    </row>
    <row r="334" spans="1:27" ht="12.75" customHeight="1">
      <c r="A334" s="425"/>
      <c r="B334" s="368">
        <f t="shared" si="125"/>
        <v>329</v>
      </c>
      <c r="C334" s="425">
        <v>43332</v>
      </c>
      <c r="D334" s="830"/>
      <c r="E334" s="876" t="str">
        <f t="shared" ca="1" si="126"/>
        <v/>
      </c>
      <c r="F334" s="426" t="str">
        <f t="shared" ca="1" si="116"/>
        <v/>
      </c>
      <c r="G334" s="415"/>
      <c r="H334" s="415"/>
      <c r="I334" s="415" t="str">
        <f t="shared" ref="I334:I344" si="127">+IF(G334="","",G334*H334)</f>
        <v/>
      </c>
      <c r="J334" s="415" t="str">
        <f t="shared" ref="J334:J343" si="128">+IF(G334="","",I334*0.1)</f>
        <v/>
      </c>
      <c r="K334" s="415" t="str">
        <f t="shared" ref="K334:K344" si="129">+IF(G334="","",I334+J334)</f>
        <v/>
      </c>
      <c r="L334" s="415"/>
      <c r="M334" s="415"/>
      <c r="N334" s="422" t="str">
        <f t="shared" si="117"/>
        <v/>
      </c>
      <c r="O334" s="422" t="str">
        <f t="shared" si="118"/>
        <v/>
      </c>
      <c r="P334" s="422" t="str">
        <f t="shared" si="119"/>
        <v/>
      </c>
      <c r="Q334" s="422" t="str">
        <f t="shared" si="120"/>
        <v/>
      </c>
      <c r="R334" s="422" t="str">
        <f t="shared" si="121"/>
        <v/>
      </c>
      <c r="S334" s="583">
        <v>120600</v>
      </c>
      <c r="T334" s="377" t="str">
        <f>+IFERROR(VLOOKUP(S334,STAT1!$C$4:$D$189,2,FALSE),"")</f>
        <v>НӨАТ авлага</v>
      </c>
      <c r="U334" s="424">
        <v>21745.45</v>
      </c>
      <c r="V334" s="424"/>
      <c r="W334" s="822">
        <v>1008</v>
      </c>
      <c r="X334" s="436" t="str">
        <f>IFERROR(VLOOKUP(W334,DATA!$G$4:$H$400,2,FALSE),"")</f>
        <v xml:space="preserve">Оюунтүлхүүр </v>
      </c>
      <c r="Y334" s="328"/>
      <c r="Z334" s="328"/>
      <c r="AA334" s="328"/>
    </row>
    <row r="335" spans="1:27" ht="12.75" customHeight="1">
      <c r="A335" s="425"/>
      <c r="B335" s="368">
        <f t="shared" si="125"/>
        <v>330</v>
      </c>
      <c r="C335" s="425">
        <v>43332</v>
      </c>
      <c r="D335" s="830"/>
      <c r="E335" s="876" t="str">
        <f t="shared" ca="1" si="126"/>
        <v/>
      </c>
      <c r="F335" s="426" t="str">
        <f t="shared" ca="1" si="116"/>
        <v/>
      </c>
      <c r="G335" s="415"/>
      <c r="H335" s="415"/>
      <c r="I335" s="415" t="str">
        <f t="shared" si="127"/>
        <v/>
      </c>
      <c r="J335" s="415" t="str">
        <f t="shared" si="128"/>
        <v/>
      </c>
      <c r="K335" s="415" t="str">
        <f t="shared" si="129"/>
        <v/>
      </c>
      <c r="L335" s="415"/>
      <c r="M335" s="415"/>
      <c r="N335" s="422" t="str">
        <f t="shared" si="117"/>
        <v/>
      </c>
      <c r="O335" s="422" t="str">
        <f t="shared" si="118"/>
        <v/>
      </c>
      <c r="P335" s="422" t="str">
        <f t="shared" si="119"/>
        <v/>
      </c>
      <c r="Q335" s="422" t="str">
        <f t="shared" si="120"/>
        <v/>
      </c>
      <c r="R335" s="422" t="str">
        <f t="shared" si="121"/>
        <v/>
      </c>
      <c r="S335" s="583">
        <v>121200</v>
      </c>
      <c r="T335" s="377" t="str">
        <f>+IFERROR(VLOOKUP(S335,STAT1!$C$4:$D$189,2,FALSE),"")</f>
        <v xml:space="preserve">Ажилчидын дараа тайлангийн тооцоо </v>
      </c>
      <c r="U335" s="415"/>
      <c r="V335" s="415">
        <v>239200</v>
      </c>
      <c r="W335" s="822">
        <v>1008</v>
      </c>
      <c r="X335" s="436" t="str">
        <f>IFERROR(VLOOKUP(W335,DATA!$G$4:$H$400,2,FALSE),"")</f>
        <v xml:space="preserve">Оюунтүлхүүр </v>
      </c>
      <c r="Y335" s="328"/>
      <c r="Z335" s="328"/>
      <c r="AA335" s="328"/>
    </row>
    <row r="336" spans="1:27" ht="12.75" customHeight="1">
      <c r="A336" s="425"/>
      <c r="B336" s="368">
        <f t="shared" si="125"/>
        <v>331</v>
      </c>
      <c r="C336" s="425">
        <v>43315</v>
      </c>
      <c r="D336" s="830">
        <v>410004</v>
      </c>
      <c r="E336" s="876" t="str">
        <f t="shared" ca="1" si="126"/>
        <v>Будаг /Орд/</v>
      </c>
      <c r="F336" s="426" t="str">
        <f t="shared" ca="1" si="116"/>
        <v>кг</v>
      </c>
      <c r="G336" s="415">
        <v>4</v>
      </c>
      <c r="H336" s="415">
        <v>10863.636</v>
      </c>
      <c r="I336" s="415">
        <f t="shared" si="127"/>
        <v>43454.544000000002</v>
      </c>
      <c r="J336" s="415">
        <f t="shared" si="128"/>
        <v>4345.4544000000005</v>
      </c>
      <c r="K336" s="415">
        <f t="shared" si="129"/>
        <v>47799.998400000004</v>
      </c>
      <c r="L336" s="415"/>
      <c r="M336" s="415"/>
      <c r="N336" s="422" t="str">
        <f t="shared" si="117"/>
        <v/>
      </c>
      <c r="O336" s="422" t="str">
        <f t="shared" si="118"/>
        <v/>
      </c>
      <c r="P336" s="422" t="str">
        <f t="shared" si="119"/>
        <v/>
      </c>
      <c r="Q336" s="422" t="str">
        <f t="shared" si="120"/>
        <v/>
      </c>
      <c r="R336" s="422" t="str">
        <f t="shared" si="121"/>
        <v/>
      </c>
      <c r="S336" s="583">
        <f t="shared" si="115"/>
        <v>160100</v>
      </c>
      <c r="T336" s="377" t="str">
        <f>+IFERROR(VLOOKUP(S336,STAT1!$C$4:$D$189,2,FALSE),"")</f>
        <v xml:space="preserve">Барилгын материал </v>
      </c>
      <c r="U336" s="424">
        <v>43454.54</v>
      </c>
      <c r="V336" s="424"/>
      <c r="W336" s="822">
        <v>1008</v>
      </c>
      <c r="X336" s="436" t="str">
        <f>IFERROR(VLOOKUP(W336,DATA!$G$4:$H$400,2,FALSE),"")</f>
        <v xml:space="preserve">Оюунтүлхүүр </v>
      </c>
      <c r="Y336" s="328"/>
      <c r="Z336" s="328"/>
      <c r="AA336" s="328"/>
    </row>
    <row r="337" spans="1:27" ht="12.75" customHeight="1">
      <c r="A337" s="425"/>
      <c r="B337" s="368">
        <f t="shared" si="125"/>
        <v>332</v>
      </c>
      <c r="C337" s="425">
        <v>43315</v>
      </c>
      <c r="D337" s="830"/>
      <c r="E337" s="876" t="str">
        <f t="shared" ca="1" si="126"/>
        <v/>
      </c>
      <c r="F337" s="426" t="str">
        <f t="shared" ca="1" si="116"/>
        <v/>
      </c>
      <c r="G337" s="415"/>
      <c r="H337" s="415"/>
      <c r="I337" s="415" t="str">
        <f t="shared" si="127"/>
        <v/>
      </c>
      <c r="J337" s="415" t="str">
        <f t="shared" si="128"/>
        <v/>
      </c>
      <c r="K337" s="415" t="str">
        <f t="shared" si="129"/>
        <v/>
      </c>
      <c r="L337" s="415"/>
      <c r="M337" s="415"/>
      <c r="N337" s="422" t="str">
        <f t="shared" si="117"/>
        <v/>
      </c>
      <c r="O337" s="422" t="str">
        <f t="shared" si="118"/>
        <v/>
      </c>
      <c r="P337" s="422" t="str">
        <f t="shared" si="119"/>
        <v/>
      </c>
      <c r="Q337" s="422" t="str">
        <f t="shared" si="120"/>
        <v/>
      </c>
      <c r="R337" s="422" t="str">
        <f t="shared" si="121"/>
        <v/>
      </c>
      <c r="S337" s="583">
        <v>120600</v>
      </c>
      <c r="T337" s="377" t="str">
        <f>+IFERROR(VLOOKUP(S337,STAT1!$C$4:$D$189,2,FALSE),"")</f>
        <v>НӨАТ авлага</v>
      </c>
      <c r="U337" s="424">
        <v>4345.45</v>
      </c>
      <c r="V337" s="424"/>
      <c r="W337" s="822">
        <v>1008</v>
      </c>
      <c r="X337" s="436" t="str">
        <f>IFERROR(VLOOKUP(W337,DATA!$G$4:$H$400,2,FALSE),"")</f>
        <v xml:space="preserve">Оюунтүлхүүр </v>
      </c>
      <c r="Y337" s="328"/>
      <c r="Z337" s="328"/>
      <c r="AA337" s="328"/>
    </row>
    <row r="338" spans="1:27" ht="12.75" customHeight="1">
      <c r="A338" s="425"/>
      <c r="B338" s="368">
        <f t="shared" si="125"/>
        <v>333</v>
      </c>
      <c r="C338" s="425">
        <v>43315</v>
      </c>
      <c r="D338" s="830"/>
      <c r="E338" s="876" t="str">
        <f t="shared" ca="1" si="126"/>
        <v/>
      </c>
      <c r="F338" s="426" t="str">
        <f t="shared" ca="1" si="116"/>
        <v/>
      </c>
      <c r="G338" s="415"/>
      <c r="H338" s="415"/>
      <c r="I338" s="415" t="str">
        <f>+IF(G338="","",G338*H338)</f>
        <v/>
      </c>
      <c r="J338" s="415" t="str">
        <f t="shared" si="128"/>
        <v/>
      </c>
      <c r="K338" s="415" t="str">
        <f t="shared" si="129"/>
        <v/>
      </c>
      <c r="L338" s="415"/>
      <c r="M338" s="415"/>
      <c r="N338" s="422" t="str">
        <f t="shared" si="117"/>
        <v/>
      </c>
      <c r="O338" s="422" t="str">
        <f t="shared" si="118"/>
        <v/>
      </c>
      <c r="P338" s="422" t="str">
        <f t="shared" si="119"/>
        <v/>
      </c>
      <c r="Q338" s="422" t="str">
        <f t="shared" si="120"/>
        <v/>
      </c>
      <c r="R338" s="422" t="str">
        <f t="shared" si="121"/>
        <v/>
      </c>
      <c r="S338" s="583">
        <v>121200</v>
      </c>
      <c r="T338" s="377" t="str">
        <f>+IFERROR(VLOOKUP(S338,STAT1!$C$4:$D$189,2,FALSE),"")</f>
        <v xml:space="preserve">Ажилчидын дараа тайлангийн тооцоо </v>
      </c>
      <c r="U338" s="424"/>
      <c r="V338" s="424">
        <v>47800</v>
      </c>
      <c r="W338" s="822">
        <v>1008</v>
      </c>
      <c r="X338" s="436" t="str">
        <f>IFERROR(VLOOKUP(W338,DATA!$G$4:$H$400,2,FALSE),"")</f>
        <v xml:space="preserve">Оюунтүлхүүр </v>
      </c>
      <c r="Y338" s="328"/>
      <c r="Z338" s="328"/>
      <c r="AA338" s="328"/>
    </row>
    <row r="339" spans="1:27" ht="12.75" customHeight="1">
      <c r="A339" s="425"/>
      <c r="B339" s="368">
        <f t="shared" si="125"/>
        <v>334</v>
      </c>
      <c r="C339" s="425">
        <v>43304</v>
      </c>
      <c r="D339" s="830">
        <v>410007</v>
      </c>
      <c r="E339" s="876" t="str">
        <f t="shared" ca="1" si="126"/>
        <v xml:space="preserve">Шилэн хөвөн </v>
      </c>
      <c r="F339" s="426" t="str">
        <f t="shared" ca="1" si="116"/>
        <v>уут</v>
      </c>
      <c r="G339" s="415">
        <v>20</v>
      </c>
      <c r="H339" s="415">
        <v>177272.72719999999</v>
      </c>
      <c r="I339" s="415">
        <f t="shared" si="127"/>
        <v>3545454.5439999998</v>
      </c>
      <c r="J339" s="415">
        <f t="shared" si="128"/>
        <v>354545.45439999999</v>
      </c>
      <c r="K339" s="415">
        <f t="shared" si="129"/>
        <v>3899999.9983999999</v>
      </c>
      <c r="L339" s="415"/>
      <c r="M339" s="415"/>
      <c r="N339" s="422" t="str">
        <f t="shared" si="117"/>
        <v/>
      </c>
      <c r="O339" s="422" t="str">
        <f t="shared" si="118"/>
        <v/>
      </c>
      <c r="P339" s="422" t="str">
        <f t="shared" si="119"/>
        <v/>
      </c>
      <c r="Q339" s="422" t="str">
        <f t="shared" si="120"/>
        <v/>
      </c>
      <c r="R339" s="422" t="str">
        <f t="shared" si="121"/>
        <v/>
      </c>
      <c r="S339" s="583">
        <f t="shared" si="115"/>
        <v>160100</v>
      </c>
      <c r="T339" s="377" t="str">
        <f>+IFERROR(VLOOKUP(S339,STAT1!$C$4:$D$189,2,FALSE),"")</f>
        <v xml:space="preserve">Барилгын материал </v>
      </c>
      <c r="U339" s="424">
        <v>3545454.55</v>
      </c>
      <c r="V339" s="424"/>
      <c r="W339" s="822">
        <v>1008</v>
      </c>
      <c r="X339" s="436" t="str">
        <f>IFERROR(VLOOKUP(W339,DATA!$G$4:$H$400,2,FALSE),"")</f>
        <v xml:space="preserve">Оюунтүлхүүр </v>
      </c>
      <c r="Y339" s="328"/>
      <c r="Z339" s="328"/>
      <c r="AA339" s="328"/>
    </row>
    <row r="340" spans="1:27" ht="12.75" customHeight="1">
      <c r="A340" s="425"/>
      <c r="B340" s="368">
        <f t="shared" si="125"/>
        <v>335</v>
      </c>
      <c r="C340" s="425">
        <v>43304</v>
      </c>
      <c r="D340" s="830"/>
      <c r="E340" s="876" t="str">
        <f t="shared" ca="1" si="126"/>
        <v/>
      </c>
      <c r="F340" s="426" t="str">
        <f t="shared" ca="1" si="116"/>
        <v/>
      </c>
      <c r="G340" s="415"/>
      <c r="H340" s="415"/>
      <c r="I340" s="415" t="str">
        <f t="shared" si="127"/>
        <v/>
      </c>
      <c r="J340" s="415" t="str">
        <f t="shared" si="128"/>
        <v/>
      </c>
      <c r="K340" s="415" t="str">
        <f t="shared" si="129"/>
        <v/>
      </c>
      <c r="L340" s="415"/>
      <c r="M340" s="415"/>
      <c r="N340" s="422" t="str">
        <f t="shared" si="117"/>
        <v/>
      </c>
      <c r="O340" s="422" t="str">
        <f t="shared" si="118"/>
        <v/>
      </c>
      <c r="P340" s="422" t="str">
        <f t="shared" si="119"/>
        <v/>
      </c>
      <c r="Q340" s="422" t="str">
        <f t="shared" si="120"/>
        <v/>
      </c>
      <c r="R340" s="422" t="str">
        <f t="shared" si="121"/>
        <v/>
      </c>
      <c r="S340" s="583">
        <v>120600</v>
      </c>
      <c r="T340" s="377" t="str">
        <f>+IFERROR(VLOOKUP(S340,STAT1!$C$4:$D$189,2,FALSE),"")</f>
        <v>НӨАТ авлага</v>
      </c>
      <c r="U340" s="415">
        <v>354545.45</v>
      </c>
      <c r="V340" s="415"/>
      <c r="W340" s="823">
        <v>1008</v>
      </c>
      <c r="X340" s="436" t="str">
        <f>IFERROR(VLOOKUP(W340,DATA!$G$4:$H$400,2,FALSE),"")</f>
        <v xml:space="preserve">Оюунтүлхүүр </v>
      </c>
      <c r="Y340" s="328"/>
      <c r="Z340" s="328"/>
      <c r="AA340" s="328"/>
    </row>
    <row r="341" spans="1:27" ht="12.75" customHeight="1">
      <c r="A341" s="425"/>
      <c r="B341" s="368">
        <f t="shared" si="125"/>
        <v>336</v>
      </c>
      <c r="C341" s="425">
        <v>43304</v>
      </c>
      <c r="D341" s="830"/>
      <c r="E341" s="876" t="str">
        <f t="shared" ca="1" si="126"/>
        <v/>
      </c>
      <c r="F341" s="426" t="str">
        <f t="shared" ca="1" si="116"/>
        <v/>
      </c>
      <c r="G341" s="415"/>
      <c r="H341" s="415"/>
      <c r="I341" s="415" t="str">
        <f t="shared" si="127"/>
        <v/>
      </c>
      <c r="J341" s="415" t="str">
        <f t="shared" si="128"/>
        <v/>
      </c>
      <c r="K341" s="415" t="str">
        <f t="shared" si="129"/>
        <v/>
      </c>
      <c r="L341" s="415"/>
      <c r="M341" s="415"/>
      <c r="N341" s="422" t="str">
        <f t="shared" si="117"/>
        <v/>
      </c>
      <c r="O341" s="422" t="str">
        <f t="shared" si="118"/>
        <v/>
      </c>
      <c r="P341" s="422" t="str">
        <f t="shared" si="119"/>
        <v/>
      </c>
      <c r="Q341" s="422" t="str">
        <f t="shared" si="120"/>
        <v/>
      </c>
      <c r="R341" s="422" t="str">
        <f t="shared" si="121"/>
        <v/>
      </c>
      <c r="S341" s="583">
        <v>121200</v>
      </c>
      <c r="T341" s="377" t="str">
        <f>+IFERROR(VLOOKUP(S341,STAT1!$C$4:$D$189,2,FALSE),"")</f>
        <v xml:space="preserve">Ажилчидын дараа тайлангийн тооцоо </v>
      </c>
      <c r="U341" s="424"/>
      <c r="V341" s="424">
        <v>3900000</v>
      </c>
      <c r="W341" s="822">
        <v>1008</v>
      </c>
      <c r="X341" s="436" t="str">
        <f>IFERROR(VLOOKUP(W341,DATA!$G$4:$H$400,2,FALSE),"")</f>
        <v xml:space="preserve">Оюунтүлхүүр </v>
      </c>
      <c r="Y341" s="328"/>
      <c r="Z341" s="328"/>
      <c r="AA341" s="328"/>
    </row>
    <row r="342" spans="1:27" ht="12.75" customHeight="1">
      <c r="A342" s="425"/>
      <c r="B342" s="368">
        <f t="shared" si="125"/>
        <v>337</v>
      </c>
      <c r="C342" s="425">
        <v>43306</v>
      </c>
      <c r="D342" s="830">
        <v>410085</v>
      </c>
      <c r="E342" s="876" t="str">
        <f t="shared" ca="1" si="126"/>
        <v xml:space="preserve">НЦ-лак </v>
      </c>
      <c r="F342" s="426" t="str">
        <f t="shared" ca="1" si="116"/>
        <v>кг</v>
      </c>
      <c r="G342" s="415">
        <f>5*45</f>
        <v>225</v>
      </c>
      <c r="H342" s="415">
        <v>8222.2222199999997</v>
      </c>
      <c r="I342" s="415">
        <f t="shared" si="127"/>
        <v>1849999.9994999999</v>
      </c>
      <c r="J342" s="415">
        <f t="shared" si="128"/>
        <v>184999.99995</v>
      </c>
      <c r="K342" s="415">
        <f t="shared" si="129"/>
        <v>2034999.99945</v>
      </c>
      <c r="L342" s="415"/>
      <c r="M342" s="415"/>
      <c r="N342" s="422" t="str">
        <f t="shared" si="117"/>
        <v/>
      </c>
      <c r="O342" s="422" t="str">
        <f t="shared" si="118"/>
        <v/>
      </c>
      <c r="P342" s="422" t="str">
        <f t="shared" si="119"/>
        <v/>
      </c>
      <c r="Q342" s="422" t="str">
        <f t="shared" si="120"/>
        <v/>
      </c>
      <c r="R342" s="422" t="str">
        <f t="shared" si="121"/>
        <v/>
      </c>
      <c r="S342" s="583">
        <f t="shared" si="115"/>
        <v>160100</v>
      </c>
      <c r="T342" s="377" t="str">
        <f>+IFERROR(VLOOKUP(S342,STAT1!$C$4:$D$189,2,FALSE),"")</f>
        <v xml:space="preserve">Барилгын материал </v>
      </c>
      <c r="U342" s="424">
        <v>1850000</v>
      </c>
      <c r="V342" s="424"/>
      <c r="W342" s="822">
        <v>3017</v>
      </c>
      <c r="X342" s="436" t="str">
        <f>IFERROR(VLOOKUP(W342,DATA!$G$4:$H$400,2,FALSE),"")</f>
        <v xml:space="preserve">ВОС ХХК </v>
      </c>
      <c r="Y342" s="328"/>
      <c r="Z342" s="328"/>
      <c r="AA342" s="328"/>
    </row>
    <row r="343" spans="1:27" ht="12.75" customHeight="1">
      <c r="A343" s="425"/>
      <c r="B343" s="368">
        <f t="shared" si="125"/>
        <v>338</v>
      </c>
      <c r="C343" s="425">
        <v>43306</v>
      </c>
      <c r="D343" s="830">
        <v>410054</v>
      </c>
      <c r="E343" s="876" t="str">
        <f t="shared" ca="1" si="126"/>
        <v xml:space="preserve">Будаг шингэлэгч </v>
      </c>
      <c r="F343" s="426" t="str">
        <f t="shared" ca="1" si="116"/>
        <v>ш</v>
      </c>
      <c r="G343" s="415">
        <v>100</v>
      </c>
      <c r="H343" s="415">
        <v>2100</v>
      </c>
      <c r="I343" s="415">
        <f t="shared" si="127"/>
        <v>210000</v>
      </c>
      <c r="J343" s="415">
        <f t="shared" si="128"/>
        <v>21000</v>
      </c>
      <c r="K343" s="415">
        <f t="shared" si="129"/>
        <v>231000</v>
      </c>
      <c r="L343" s="415"/>
      <c r="M343" s="415"/>
      <c r="N343" s="422" t="str">
        <f t="shared" si="117"/>
        <v/>
      </c>
      <c r="O343" s="422" t="str">
        <f t="shared" si="118"/>
        <v/>
      </c>
      <c r="P343" s="422" t="str">
        <f t="shared" si="119"/>
        <v/>
      </c>
      <c r="Q343" s="422" t="str">
        <f t="shared" si="120"/>
        <v/>
      </c>
      <c r="R343" s="422" t="str">
        <f t="shared" si="121"/>
        <v/>
      </c>
      <c r="S343" s="583">
        <f t="shared" si="115"/>
        <v>160100</v>
      </c>
      <c r="T343" s="377" t="str">
        <f>+IFERROR(VLOOKUP(S343,STAT1!$C$4:$D$189,2,FALSE),"")</f>
        <v xml:space="preserve">Барилгын материал </v>
      </c>
      <c r="U343" s="424">
        <v>210000</v>
      </c>
      <c r="V343" s="424"/>
      <c r="W343" s="822">
        <v>3017</v>
      </c>
      <c r="X343" s="436" t="str">
        <f>IFERROR(VLOOKUP(W343,DATA!$G$4:$H$400,2,FALSE),"")</f>
        <v xml:space="preserve">ВОС ХХК </v>
      </c>
      <c r="Y343" s="328"/>
      <c r="Z343" s="328"/>
      <c r="AA343" s="328"/>
    </row>
    <row r="344" spans="1:27" ht="12.75" customHeight="1">
      <c r="A344" s="425"/>
      <c r="B344" s="368">
        <f t="shared" si="125"/>
        <v>339</v>
      </c>
      <c r="C344" s="425">
        <v>43306</v>
      </c>
      <c r="D344" s="830">
        <v>410002</v>
      </c>
      <c r="E344" s="876" t="str">
        <f t="shared" ca="1" si="126"/>
        <v xml:space="preserve">Морилка </v>
      </c>
      <c r="F344" s="426" t="str">
        <f t="shared" ca="1" si="116"/>
        <v xml:space="preserve">ш </v>
      </c>
      <c r="G344" s="415">
        <v>24</v>
      </c>
      <c r="H344" s="415">
        <v>4000</v>
      </c>
      <c r="I344" s="415">
        <f t="shared" si="127"/>
        <v>96000</v>
      </c>
      <c r="J344" s="415">
        <f>+IF(G344="","",I344*0.1)</f>
        <v>9600</v>
      </c>
      <c r="K344" s="415">
        <f t="shared" si="129"/>
        <v>105600</v>
      </c>
      <c r="L344" s="415"/>
      <c r="M344" s="415"/>
      <c r="N344" s="422"/>
      <c r="O344" s="422"/>
      <c r="P344" s="422"/>
      <c r="Q344" s="422"/>
      <c r="R344" s="422"/>
      <c r="S344" s="583">
        <f t="shared" si="115"/>
        <v>160100</v>
      </c>
      <c r="T344" s="377" t="str">
        <f>+IFERROR(VLOOKUP(S344,STAT1!$C$4:$D$189,2,FALSE),"")</f>
        <v xml:space="preserve">Барилгын материал </v>
      </c>
      <c r="U344" s="424">
        <v>96000</v>
      </c>
      <c r="V344" s="424"/>
      <c r="W344" s="822">
        <v>3017</v>
      </c>
      <c r="X344" s="436" t="str">
        <f>IFERROR(VLOOKUP(W344,DATA!$G$4:$H$400,2,FALSE),"")</f>
        <v xml:space="preserve">ВОС ХХК </v>
      </c>
      <c r="Y344" s="328"/>
      <c r="Z344" s="328"/>
      <c r="AA344" s="328"/>
    </row>
    <row r="345" spans="1:27" ht="12.75" customHeight="1">
      <c r="A345" s="425"/>
      <c r="B345" s="368">
        <f t="shared" si="125"/>
        <v>340</v>
      </c>
      <c r="C345" s="425">
        <v>43306</v>
      </c>
      <c r="D345" s="830"/>
      <c r="E345" s="876" t="str">
        <f t="shared" ca="1" si="126"/>
        <v/>
      </c>
      <c r="F345" s="426" t="str">
        <f t="shared" ca="1" si="116"/>
        <v/>
      </c>
      <c r="G345" s="415"/>
      <c r="H345" s="415"/>
      <c r="I345" s="415" t="str">
        <f>+IF(G345="","",G345*H345)</f>
        <v/>
      </c>
      <c r="J345" s="415" t="str">
        <f>+IF(G345="","",I345*0.1)</f>
        <v/>
      </c>
      <c r="K345" s="415" t="str">
        <f>+IF(G345="","",I345+J345)</f>
        <v/>
      </c>
      <c r="L345" s="415"/>
      <c r="M345" s="415"/>
      <c r="N345" s="422" t="str">
        <f t="shared" ref="N345:N356" si="130">+IF(L345="","",L345*M345)</f>
        <v/>
      </c>
      <c r="O345" s="422" t="str">
        <f t="shared" ref="O345:O356" si="131">+IF(L345="","",N345*0.1)</f>
        <v/>
      </c>
      <c r="P345" s="422" t="str">
        <f t="shared" ref="P345:P356" si="132">+IF(L345="","",N345+O345)</f>
        <v/>
      </c>
      <c r="Q345" s="422" t="str">
        <f t="shared" ref="Q345:Q356" si="133">IF(L345="","",IFERROR((SUMIFS(TN_balC1_totol,TN_code,D345)+SUMIFS(RC_or_totol,RC_Code,D345,RC_date,"&lt;="&amp;C345)-SUMIFS(RC_zar_totol,RC_Code,D345,RC_date,"&lt;"&amp;C345)) /( SUMIFS(TN_balC1_unit,TN_code,D345)+SUMIFS(RC_or_unit,RC_Code,D345,RC_date,"&lt;="&amp;C345)-SUMIFS(RC_zar_unit,RC_Code,D345,RC_date,"&lt;"&amp;C345)),0 ))</f>
        <v/>
      </c>
      <c r="R345" s="422" t="str">
        <f t="shared" ref="R345:R356" si="134">+IF(L345="","",L345*Q345)</f>
        <v/>
      </c>
      <c r="S345" s="583">
        <v>120600</v>
      </c>
      <c r="T345" s="377" t="str">
        <f>+IFERROR(VLOOKUP(S345,STAT1!$C$4:$D$189,2,FALSE),"")</f>
        <v>НӨАТ авлага</v>
      </c>
      <c r="U345" s="424">
        <v>215600</v>
      </c>
      <c r="V345" s="424"/>
      <c r="W345" s="822">
        <v>3017</v>
      </c>
      <c r="X345" s="436" t="str">
        <f>IFERROR(VLOOKUP(W345,DATA!$G$4:$H$400,2,FALSE),"")</f>
        <v xml:space="preserve">ВОС ХХК </v>
      </c>
      <c r="Y345" s="328"/>
      <c r="Z345" s="328"/>
      <c r="AA345" s="328"/>
    </row>
    <row r="346" spans="1:27" ht="12.75" customHeight="1">
      <c r="A346" s="425"/>
      <c r="B346" s="368">
        <f t="shared" si="125"/>
        <v>341</v>
      </c>
      <c r="C346" s="425">
        <v>43306</v>
      </c>
      <c r="D346" s="830"/>
      <c r="E346" s="876" t="str">
        <f t="shared" ca="1" si="126"/>
        <v/>
      </c>
      <c r="F346" s="426" t="str">
        <f t="shared" ca="1" si="116"/>
        <v/>
      </c>
      <c r="G346" s="415"/>
      <c r="H346" s="415"/>
      <c r="I346" s="415" t="str">
        <f>+IF(G346="","",G346*H346)</f>
        <v/>
      </c>
      <c r="J346" s="415" t="str">
        <f>+IF(G346="","",I346*0.1)</f>
        <v/>
      </c>
      <c r="K346" s="415" t="str">
        <f>+IF(G346="","",I346+J346)</f>
        <v/>
      </c>
      <c r="L346" s="415"/>
      <c r="M346" s="415"/>
      <c r="N346" s="422" t="str">
        <f t="shared" si="130"/>
        <v/>
      </c>
      <c r="O346" s="422" t="str">
        <f t="shared" si="131"/>
        <v/>
      </c>
      <c r="P346" s="422" t="str">
        <f t="shared" si="132"/>
        <v/>
      </c>
      <c r="Q346" s="422" t="str">
        <f t="shared" si="133"/>
        <v/>
      </c>
      <c r="R346" s="422" t="str">
        <f t="shared" si="134"/>
        <v/>
      </c>
      <c r="S346" s="583">
        <v>120100</v>
      </c>
      <c r="T346" s="377" t="str">
        <f>+IFERROR(VLOOKUP(S346,STAT1!$C$4:$D$189,2,FALSE),"")</f>
        <v xml:space="preserve">Дансны авлага MNT </v>
      </c>
      <c r="U346" s="424"/>
      <c r="V346" s="424">
        <v>2371600</v>
      </c>
      <c r="W346" s="822">
        <v>3017</v>
      </c>
      <c r="X346" s="436" t="str">
        <f>IFERROR(VLOOKUP(W346,DATA!$G$4:$H$400,2,FALSE),"")</f>
        <v xml:space="preserve">ВОС ХХК </v>
      </c>
      <c r="Y346" s="328"/>
      <c r="Z346" s="328"/>
      <c r="AA346" s="328"/>
    </row>
    <row r="347" spans="1:27" ht="12.75" customHeight="1">
      <c r="A347" s="425"/>
      <c r="B347" s="368">
        <f t="shared" si="125"/>
        <v>342</v>
      </c>
      <c r="C347" s="425">
        <v>43304</v>
      </c>
      <c r="D347" s="830">
        <v>410004</v>
      </c>
      <c r="E347" s="876" t="str">
        <f t="shared" ca="1" si="126"/>
        <v>Будаг /Орд/</v>
      </c>
      <c r="F347" s="426" t="str">
        <f t="shared" ca="1" si="116"/>
        <v>кг</v>
      </c>
      <c r="G347" s="415">
        <v>32</v>
      </c>
      <c r="H347" s="415">
        <f>482400/1.1/32</f>
        <v>13704.545454545454</v>
      </c>
      <c r="I347" s="415">
        <f>+IF(G347="","",G347*H347)</f>
        <v>438545.45454545453</v>
      </c>
      <c r="J347" s="415">
        <f>+IF(G347="","",I347*0.1)</f>
        <v>43854.545454545456</v>
      </c>
      <c r="K347" s="415">
        <f>+IF(G347="","",I347+J347)</f>
        <v>482400</v>
      </c>
      <c r="L347" s="415"/>
      <c r="M347" s="415"/>
      <c r="N347" s="422" t="str">
        <f t="shared" si="130"/>
        <v/>
      </c>
      <c r="O347" s="422" t="str">
        <f t="shared" si="131"/>
        <v/>
      </c>
      <c r="P347" s="422" t="str">
        <f t="shared" si="132"/>
        <v/>
      </c>
      <c r="Q347" s="422" t="str">
        <f t="shared" si="133"/>
        <v/>
      </c>
      <c r="R347" s="422" t="str">
        <f t="shared" si="134"/>
        <v/>
      </c>
      <c r="S347" s="583">
        <f>+IF(LEFT(D347,3)="131",140100,0)+IF(LEFT(D347,3)="310",150100,0)+IF(LEFT(D347,3)="211",150101,0)+IF(LEFT(D347,3)="410",160100,0)+IF(LEFT(D347,3)="440",160200,0)+IF(LEFT(D347,3)="430",160200,0)+IF(LEFT(D347,3)="420",160200,0)+IF(LEFT(D347,3)="460",160201,0)+IF(LEFT(D347,3)="210",150101,0)+IF(LEFT(D347,3)="510",140100,0)</f>
        <v>160100</v>
      </c>
      <c r="T347" s="377" t="str">
        <f>+IFERROR(VLOOKUP(S347,STAT1!$C$4:$D$189,2,FALSE),"")</f>
        <v xml:space="preserve">Барилгын материал </v>
      </c>
      <c r="U347" s="424">
        <v>438545.45</v>
      </c>
      <c r="V347" s="424"/>
      <c r="W347" s="822">
        <v>1008</v>
      </c>
      <c r="X347" s="436" t="str">
        <f>IFERROR(VLOOKUP(W347,DATA!$G$4:$H$400,2,FALSE),"")</f>
        <v xml:space="preserve">Оюунтүлхүүр </v>
      </c>
      <c r="Y347" s="328"/>
      <c r="Z347" s="328"/>
      <c r="AA347" s="328"/>
    </row>
    <row r="348" spans="1:27" ht="12.75" customHeight="1">
      <c r="A348" s="425"/>
      <c r="B348" s="368">
        <f t="shared" si="125"/>
        <v>343</v>
      </c>
      <c r="C348" s="425">
        <v>43304</v>
      </c>
      <c r="D348" s="830"/>
      <c r="E348" s="876" t="str">
        <f t="shared" ca="1" si="126"/>
        <v/>
      </c>
      <c r="F348" s="426" t="str">
        <f t="shared" ca="1" si="116"/>
        <v/>
      </c>
      <c r="G348" s="415"/>
      <c r="H348" s="415"/>
      <c r="I348" s="415" t="str">
        <f t="shared" ref="I348:I382" si="135">+IF(G348="","",G348*H348)</f>
        <v/>
      </c>
      <c r="J348" s="415" t="str">
        <f t="shared" ref="J348:J382" si="136">+IF(G348="","",I348*0.1)</f>
        <v/>
      </c>
      <c r="K348" s="415" t="str">
        <f t="shared" ref="K348:K382" si="137">+IF(G348="","",I348+J348)</f>
        <v/>
      </c>
      <c r="L348" s="415"/>
      <c r="M348" s="415"/>
      <c r="N348" s="422" t="str">
        <f t="shared" si="130"/>
        <v/>
      </c>
      <c r="O348" s="422" t="str">
        <f t="shared" si="131"/>
        <v/>
      </c>
      <c r="P348" s="422" t="str">
        <f t="shared" si="132"/>
        <v/>
      </c>
      <c r="Q348" s="422" t="str">
        <f t="shared" si="133"/>
        <v/>
      </c>
      <c r="R348" s="422" t="str">
        <f t="shared" si="134"/>
        <v/>
      </c>
      <c r="S348" s="583">
        <v>120600</v>
      </c>
      <c r="T348" s="377" t="str">
        <f>+IFERROR(VLOOKUP(S348,STAT1!$C$4:$D$189,2,FALSE),"")</f>
        <v>НӨАТ авлага</v>
      </c>
      <c r="U348" s="424">
        <v>43854.55</v>
      </c>
      <c r="V348" s="424"/>
      <c r="W348" s="822">
        <v>1008</v>
      </c>
      <c r="X348" s="436" t="str">
        <f>IFERROR(VLOOKUP(W348,DATA!$G$4:$H$400,2,FALSE),"")</f>
        <v xml:space="preserve">Оюунтүлхүүр </v>
      </c>
      <c r="Y348" s="328"/>
      <c r="Z348" s="328"/>
      <c r="AA348" s="328"/>
    </row>
    <row r="349" spans="1:27" ht="12.75" customHeight="1">
      <c r="A349" s="425"/>
      <c r="B349" s="368">
        <f t="shared" si="125"/>
        <v>344</v>
      </c>
      <c r="C349" s="425">
        <v>43304</v>
      </c>
      <c r="D349" s="830"/>
      <c r="E349" s="876" t="str">
        <f t="shared" ca="1" si="126"/>
        <v/>
      </c>
      <c r="F349" s="426" t="str">
        <f t="shared" ca="1" si="116"/>
        <v/>
      </c>
      <c r="G349" s="415"/>
      <c r="H349" s="415"/>
      <c r="I349" s="415" t="str">
        <f t="shared" si="135"/>
        <v/>
      </c>
      <c r="J349" s="415" t="str">
        <f t="shared" si="136"/>
        <v/>
      </c>
      <c r="K349" s="415" t="str">
        <f t="shared" si="137"/>
        <v/>
      </c>
      <c r="L349" s="415"/>
      <c r="M349" s="415"/>
      <c r="N349" s="422" t="str">
        <f t="shared" si="130"/>
        <v/>
      </c>
      <c r="O349" s="422" t="str">
        <f t="shared" si="131"/>
        <v/>
      </c>
      <c r="P349" s="422" t="str">
        <f t="shared" si="132"/>
        <v/>
      </c>
      <c r="Q349" s="422" t="str">
        <f t="shared" si="133"/>
        <v/>
      </c>
      <c r="R349" s="422" t="str">
        <f t="shared" si="134"/>
        <v/>
      </c>
      <c r="S349" s="583">
        <v>121200</v>
      </c>
      <c r="T349" s="377" t="str">
        <f>+IFERROR(VLOOKUP(S349,STAT1!$C$4:$D$189,2,FALSE),"")</f>
        <v xml:space="preserve">Ажилчидын дараа тайлангийн тооцоо </v>
      </c>
      <c r="U349" s="424"/>
      <c r="V349" s="424">
        <v>482400</v>
      </c>
      <c r="W349" s="822">
        <v>1008</v>
      </c>
      <c r="X349" s="436" t="str">
        <f>IFERROR(VLOOKUP(W349,DATA!$G$4:$H$400,2,FALSE),"")</f>
        <v xml:space="preserve">Оюунтүлхүүр </v>
      </c>
      <c r="Y349" s="328"/>
      <c r="Z349" s="328"/>
      <c r="AA349" s="328"/>
    </row>
    <row r="350" spans="1:27" ht="12.75" customHeight="1">
      <c r="A350" s="425"/>
      <c r="B350" s="368">
        <f t="shared" si="125"/>
        <v>345</v>
      </c>
      <c r="C350" s="425">
        <v>43302</v>
      </c>
      <c r="D350" s="830">
        <v>211713</v>
      </c>
      <c r="E350" s="876" t="str">
        <f t="shared" ca="1" si="126"/>
        <v>Н-Хавтан /зузаан-2см/</v>
      </c>
      <c r="F350" s="426" t="str">
        <f t="shared" ref="F350:F356" ca="1" si="138">+IFERROR(VLOOKUP(D350,TN_table,3,FALSE),"")</f>
        <v>м2</v>
      </c>
      <c r="G350" s="415"/>
      <c r="H350" s="415"/>
      <c r="I350" s="415" t="str">
        <f t="shared" si="135"/>
        <v/>
      </c>
      <c r="J350" s="415" t="str">
        <f t="shared" si="136"/>
        <v/>
      </c>
      <c r="K350" s="415" t="str">
        <f t="shared" si="137"/>
        <v/>
      </c>
      <c r="L350" s="415">
        <v>16</v>
      </c>
      <c r="M350" s="415">
        <v>30000</v>
      </c>
      <c r="N350" s="422">
        <f t="shared" si="130"/>
        <v>480000</v>
      </c>
      <c r="O350" s="422">
        <f t="shared" si="131"/>
        <v>48000</v>
      </c>
      <c r="P350" s="422">
        <f t="shared" si="132"/>
        <v>528000</v>
      </c>
      <c r="Q350" s="422">
        <f t="shared" ca="1" si="133"/>
        <v>24820.285936271328</v>
      </c>
      <c r="R350" s="422">
        <f t="shared" ca="1" si="134"/>
        <v>397124.57498034125</v>
      </c>
      <c r="S350" s="583">
        <f>+IF(LEFT(D350,3)="131",140100,0)+IF(LEFT(D350,3)="310",150100,0)+IF(LEFT(D350,3)="211",150101,0)+IF(LEFT(D350,3)="410",160100,0)+IF(LEFT(D350,3)="440",160200,0)+IF(LEFT(D350,3)="430",160200,0)+IF(LEFT(D350,3)="420",160200,0)+IF(LEFT(D350,3)="460",160201,0)+IF(LEFT(D350,3)="210",150101,0)+IF(LEFT(D350,3)="510",140100,0)</f>
        <v>150101</v>
      </c>
      <c r="T350" s="377" t="str">
        <f>+IFERROR(VLOOKUP(S350,STAT1!$C$4:$D$189,2,FALSE),"")</f>
        <v>Бараа бэлэн бүтээгдэхүүн БОЛОВСРУУЛАХ ЦЕХ /нарс/</v>
      </c>
      <c r="U350" s="424"/>
      <c r="V350" s="424">
        <v>397124.57</v>
      </c>
      <c r="W350" s="822">
        <v>2003</v>
      </c>
      <c r="X350" s="436" t="str">
        <f>IFERROR(VLOOKUP(W350,DATA!$G$4:$H$400,2,FALSE),"")</f>
        <v xml:space="preserve">УБЦТС ТӨХК </v>
      </c>
      <c r="Y350" s="328"/>
      <c r="Z350" s="328"/>
      <c r="AA350" s="328"/>
    </row>
    <row r="351" spans="1:27" ht="12.75" customHeight="1">
      <c r="A351" s="425"/>
      <c r="B351" s="368">
        <f t="shared" si="125"/>
        <v>346</v>
      </c>
      <c r="C351" s="425">
        <v>43302</v>
      </c>
      <c r="D351" s="830"/>
      <c r="E351" s="876" t="str">
        <f t="shared" ca="1" si="126"/>
        <v/>
      </c>
      <c r="F351" s="426" t="str">
        <f t="shared" ca="1" si="138"/>
        <v/>
      </c>
      <c r="G351" s="415"/>
      <c r="H351" s="415"/>
      <c r="I351" s="415" t="str">
        <f t="shared" si="135"/>
        <v/>
      </c>
      <c r="J351" s="415" t="str">
        <f t="shared" si="136"/>
        <v/>
      </c>
      <c r="K351" s="415" t="str">
        <f t="shared" si="137"/>
        <v/>
      </c>
      <c r="L351" s="415"/>
      <c r="M351" s="415"/>
      <c r="N351" s="422" t="str">
        <f t="shared" si="130"/>
        <v/>
      </c>
      <c r="O351" s="422" t="str">
        <f t="shared" si="131"/>
        <v/>
      </c>
      <c r="P351" s="422" t="str">
        <f t="shared" si="132"/>
        <v/>
      </c>
      <c r="Q351" s="422" t="str">
        <f t="shared" si="133"/>
        <v/>
      </c>
      <c r="R351" s="422" t="str">
        <f t="shared" si="134"/>
        <v/>
      </c>
      <c r="S351" s="583">
        <v>610100</v>
      </c>
      <c r="T351" s="377" t="str">
        <f>+IFERROR(VLOOKUP(S351,STAT1!$C$4:$D$189,2,FALSE),"")</f>
        <v>Борлуулсан барааны өртөг</v>
      </c>
      <c r="U351" s="424">
        <v>397124.57</v>
      </c>
      <c r="V351" s="424"/>
      <c r="W351" s="822">
        <v>2003</v>
      </c>
      <c r="X351" s="436" t="str">
        <f>IFERROR(VLOOKUP(W351,DATA!$G$4:$H$400,2,FALSE),"")</f>
        <v xml:space="preserve">УБЦТС ТӨХК </v>
      </c>
      <c r="Y351" s="328"/>
      <c r="Z351" s="328"/>
      <c r="AA351" s="328"/>
    </row>
    <row r="352" spans="1:27" ht="12.75" customHeight="1">
      <c r="A352" s="425"/>
      <c r="B352" s="368">
        <f t="shared" si="125"/>
        <v>347</v>
      </c>
      <c r="C352" s="425">
        <v>43302</v>
      </c>
      <c r="D352" s="830"/>
      <c r="E352" s="876" t="str">
        <f t="shared" ca="1" si="126"/>
        <v/>
      </c>
      <c r="F352" s="426" t="str">
        <f t="shared" ca="1" si="138"/>
        <v/>
      </c>
      <c r="G352" s="415"/>
      <c r="H352" s="415"/>
      <c r="I352" s="415" t="str">
        <f t="shared" si="135"/>
        <v/>
      </c>
      <c r="J352" s="415" t="str">
        <f t="shared" si="136"/>
        <v/>
      </c>
      <c r="K352" s="415" t="str">
        <f t="shared" si="137"/>
        <v/>
      </c>
      <c r="L352" s="415"/>
      <c r="M352" s="415"/>
      <c r="N352" s="422" t="str">
        <f t="shared" si="130"/>
        <v/>
      </c>
      <c r="O352" s="422" t="str">
        <f t="shared" si="131"/>
        <v/>
      </c>
      <c r="P352" s="422" t="str">
        <f t="shared" si="132"/>
        <v/>
      </c>
      <c r="Q352" s="422" t="str">
        <f t="shared" si="133"/>
        <v/>
      </c>
      <c r="R352" s="422" t="str">
        <f t="shared" si="134"/>
        <v/>
      </c>
      <c r="S352" s="583">
        <v>310500</v>
      </c>
      <c r="T352" s="377" t="str">
        <f>+IFERROR(VLOOKUP(S352,STAT1!$C$4:$D$189,2,FALSE),"")</f>
        <v>НӨАТ өглөг</v>
      </c>
      <c r="U352" s="415"/>
      <c r="V352" s="415">
        <v>48000</v>
      </c>
      <c r="W352" s="822">
        <v>2003</v>
      </c>
      <c r="X352" s="436" t="str">
        <f>IFERROR(VLOOKUP(W352,DATA!$G$4:$H$400,2,FALSE),"")</f>
        <v xml:space="preserve">УБЦТС ТӨХК </v>
      </c>
      <c r="Y352" s="328"/>
      <c r="Z352" s="328"/>
      <c r="AA352" s="328"/>
    </row>
    <row r="353" spans="1:27" ht="12.75" customHeight="1">
      <c r="A353" s="425"/>
      <c r="B353" s="368">
        <f t="shared" si="125"/>
        <v>348</v>
      </c>
      <c r="C353" s="425">
        <v>43302</v>
      </c>
      <c r="D353" s="830"/>
      <c r="E353" s="876" t="str">
        <f t="shared" ca="1" si="126"/>
        <v/>
      </c>
      <c r="F353" s="426" t="str">
        <f t="shared" ca="1" si="138"/>
        <v/>
      </c>
      <c r="G353" s="415"/>
      <c r="H353" s="415"/>
      <c r="I353" s="415" t="str">
        <f t="shared" si="135"/>
        <v/>
      </c>
      <c r="J353" s="415" t="str">
        <f t="shared" si="136"/>
        <v/>
      </c>
      <c r="K353" s="415" t="str">
        <f t="shared" si="137"/>
        <v/>
      </c>
      <c r="L353" s="415"/>
      <c r="M353" s="415"/>
      <c r="N353" s="422" t="str">
        <f t="shared" si="130"/>
        <v/>
      </c>
      <c r="O353" s="422" t="str">
        <f t="shared" si="131"/>
        <v/>
      </c>
      <c r="P353" s="422" t="str">
        <f t="shared" si="132"/>
        <v/>
      </c>
      <c r="Q353" s="422" t="str">
        <f t="shared" si="133"/>
        <v/>
      </c>
      <c r="R353" s="422" t="str">
        <f t="shared" si="134"/>
        <v/>
      </c>
      <c r="S353" s="583">
        <v>510000</v>
      </c>
      <c r="T353" s="377" t="str">
        <f>+IFERROR(VLOOKUP(S353,STAT1!$C$4:$D$189,2,FALSE),"")</f>
        <v>Үндсэн үйл ажиллагааны борлуулалт</v>
      </c>
      <c r="U353" s="424"/>
      <c r="V353" s="424">
        <v>480000</v>
      </c>
      <c r="W353" s="822">
        <v>2003</v>
      </c>
      <c r="X353" s="436" t="str">
        <f>IFERROR(VLOOKUP(W353,DATA!$G$4:$H$400,2,FALSE),"")</f>
        <v xml:space="preserve">УБЦТС ТӨХК </v>
      </c>
      <c r="Y353" s="328"/>
      <c r="Z353" s="328"/>
      <c r="AA353" s="328"/>
    </row>
    <row r="354" spans="1:27" ht="12.75" customHeight="1">
      <c r="A354" s="425"/>
      <c r="B354" s="368">
        <f t="shared" si="125"/>
        <v>349</v>
      </c>
      <c r="C354" s="425">
        <v>43302</v>
      </c>
      <c r="D354" s="830"/>
      <c r="E354" s="876" t="str">
        <f t="shared" ca="1" si="126"/>
        <v/>
      </c>
      <c r="F354" s="426" t="str">
        <f t="shared" ca="1" si="138"/>
        <v/>
      </c>
      <c r="G354" s="415"/>
      <c r="H354" s="415"/>
      <c r="I354" s="415" t="str">
        <f t="shared" si="135"/>
        <v/>
      </c>
      <c r="J354" s="415" t="str">
        <f t="shared" si="136"/>
        <v/>
      </c>
      <c r="K354" s="415" t="str">
        <f t="shared" si="137"/>
        <v/>
      </c>
      <c r="L354" s="415"/>
      <c r="M354" s="415"/>
      <c r="N354" s="422" t="str">
        <f t="shared" si="130"/>
        <v/>
      </c>
      <c r="O354" s="422" t="str">
        <f t="shared" si="131"/>
        <v/>
      </c>
      <c r="P354" s="422" t="str">
        <f t="shared" si="132"/>
        <v/>
      </c>
      <c r="Q354" s="422" t="str">
        <f t="shared" si="133"/>
        <v/>
      </c>
      <c r="R354" s="422" t="str">
        <f t="shared" si="134"/>
        <v/>
      </c>
      <c r="S354" s="583">
        <v>320100</v>
      </c>
      <c r="T354" s="377" t="str">
        <f>+IFERROR(VLOOKUP(S354,STAT1!$C$4:$D$189,2,FALSE),"")</f>
        <v>Урьдчилж орсон орлого MNT</v>
      </c>
      <c r="U354" s="424">
        <v>528000</v>
      </c>
      <c r="V354" s="424"/>
      <c r="W354" s="822">
        <v>2003</v>
      </c>
      <c r="X354" s="436" t="str">
        <f>IFERROR(VLOOKUP(W354,DATA!$G$4:$H$400,2,FALSE),"")</f>
        <v xml:space="preserve">УБЦТС ТӨХК </v>
      </c>
      <c r="Y354" s="328"/>
      <c r="Z354" s="328"/>
      <c r="AA354" s="328"/>
    </row>
    <row r="355" spans="1:27" ht="12.75" customHeight="1">
      <c r="A355" s="425"/>
      <c r="B355" s="368">
        <f t="shared" si="125"/>
        <v>350</v>
      </c>
      <c r="C355" s="425">
        <v>43287</v>
      </c>
      <c r="D355" s="830">
        <v>211504</v>
      </c>
      <c r="E355" s="876" t="str">
        <f t="shared" ca="1" si="126"/>
        <v xml:space="preserve">Н-Евровагонка /зузаан-1.2см/-яртай </v>
      </c>
      <c r="F355" s="426" t="str">
        <f t="shared" ca="1" si="138"/>
        <v>м2</v>
      </c>
      <c r="G355" s="415"/>
      <c r="H355" s="415"/>
      <c r="I355" s="415" t="str">
        <f t="shared" si="135"/>
        <v/>
      </c>
      <c r="J355" s="415" t="str">
        <f t="shared" si="136"/>
        <v/>
      </c>
      <c r="K355" s="415" t="str">
        <f t="shared" si="137"/>
        <v/>
      </c>
      <c r="L355" s="415">
        <v>16.72</v>
      </c>
      <c r="M355" s="415">
        <v>21601.783500000001</v>
      </c>
      <c r="N355" s="422">
        <f t="shared" si="130"/>
        <v>361181.82011999999</v>
      </c>
      <c r="O355" s="422">
        <f t="shared" si="131"/>
        <v>36118.182011999997</v>
      </c>
      <c r="P355" s="422">
        <f t="shared" si="132"/>
        <v>397300.00213199999</v>
      </c>
      <c r="Q355" s="422">
        <f t="shared" ca="1" si="133"/>
        <v>11896.785561853305</v>
      </c>
      <c r="R355" s="422">
        <f t="shared" ca="1" si="134"/>
        <v>198914.25459418725</v>
      </c>
      <c r="S355" s="583">
        <f>+IF(LEFT(D355,3)="131",140100,0)+IF(LEFT(D355,3)="310",150100,0)+IF(LEFT(D355,3)="211",150101,0)+IF(LEFT(D355,3)="410",160100,0)+IF(LEFT(D355,3)="440",160200,0)+IF(LEFT(D355,3)="430",160200,0)+IF(LEFT(D355,3)="420",160200,0)+IF(LEFT(D355,3)="460",160201,0)+IF(LEFT(D355,3)="210",150101,0)+IF(LEFT(D355,3)="510",140100,0)</f>
        <v>150101</v>
      </c>
      <c r="T355" s="377" t="str">
        <f>+IFERROR(VLOOKUP(S355,STAT1!$C$4:$D$189,2,FALSE),"")</f>
        <v>Бараа бэлэн бүтээгдэхүүн БОЛОВСРУУЛАХ ЦЕХ /нарс/</v>
      </c>
      <c r="U355" s="424"/>
      <c r="V355" s="424">
        <v>198914.25</v>
      </c>
      <c r="W355" s="822">
        <v>3055</v>
      </c>
      <c r="X355" s="436" t="str">
        <f>IFERROR(VLOOKUP(W355,DATA!$G$4:$H$400,2,FALSE),"")</f>
        <v xml:space="preserve">МЧБС ХХК </v>
      </c>
      <c r="Y355" s="328"/>
      <c r="Z355" s="328"/>
      <c r="AA355" s="328"/>
    </row>
    <row r="356" spans="1:27" ht="12.75" customHeight="1">
      <c r="A356" s="425"/>
      <c r="B356" s="368">
        <f t="shared" si="125"/>
        <v>351</v>
      </c>
      <c r="C356" s="425">
        <v>43287</v>
      </c>
      <c r="D356" s="830"/>
      <c r="E356" s="876" t="str">
        <f t="shared" ca="1" si="126"/>
        <v/>
      </c>
      <c r="F356" s="426" t="str">
        <f t="shared" ca="1" si="138"/>
        <v/>
      </c>
      <c r="G356" s="415"/>
      <c r="H356" s="415"/>
      <c r="I356" s="415" t="str">
        <f t="shared" si="135"/>
        <v/>
      </c>
      <c r="J356" s="415" t="str">
        <f t="shared" si="136"/>
        <v/>
      </c>
      <c r="K356" s="415" t="str">
        <f t="shared" si="137"/>
        <v/>
      </c>
      <c r="L356" s="415"/>
      <c r="M356" s="415"/>
      <c r="N356" s="422" t="str">
        <f t="shared" si="130"/>
        <v/>
      </c>
      <c r="O356" s="422" t="str">
        <f t="shared" si="131"/>
        <v/>
      </c>
      <c r="P356" s="422" t="str">
        <f t="shared" si="132"/>
        <v/>
      </c>
      <c r="Q356" s="422" t="str">
        <f t="shared" si="133"/>
        <v/>
      </c>
      <c r="R356" s="422" t="str">
        <f t="shared" si="134"/>
        <v/>
      </c>
      <c r="S356" s="583">
        <v>610100</v>
      </c>
      <c r="T356" s="377" t="str">
        <f>+IFERROR(VLOOKUP(S356,STAT1!$C$4:$D$189,2,FALSE),"")</f>
        <v>Борлуулсан барааны өртөг</v>
      </c>
      <c r="U356" s="424">
        <v>198914.25</v>
      </c>
      <c r="V356" s="424"/>
      <c r="W356" s="822">
        <v>3055</v>
      </c>
      <c r="X356" s="436" t="str">
        <f>IFERROR(VLOOKUP(W356,DATA!$G$4:$H$400,2,FALSE),"")</f>
        <v xml:space="preserve">МЧБС ХХК </v>
      </c>
      <c r="Y356" s="328"/>
      <c r="Z356" s="328"/>
      <c r="AA356" s="328"/>
    </row>
    <row r="357" spans="1:27" ht="12.75" customHeight="1">
      <c r="A357" s="425"/>
      <c r="B357" s="368">
        <f t="shared" si="125"/>
        <v>352</v>
      </c>
      <c r="C357" s="425">
        <v>43287</v>
      </c>
      <c r="D357" s="830"/>
      <c r="E357" s="876" t="str">
        <f t="shared" ca="1" si="126"/>
        <v/>
      </c>
      <c r="F357" s="426"/>
      <c r="G357" s="415"/>
      <c r="H357" s="415"/>
      <c r="I357" s="415" t="str">
        <f t="shared" si="135"/>
        <v/>
      </c>
      <c r="J357" s="415" t="str">
        <f t="shared" si="136"/>
        <v/>
      </c>
      <c r="K357" s="415" t="str">
        <f t="shared" si="137"/>
        <v/>
      </c>
      <c r="L357" s="415"/>
      <c r="M357" s="415"/>
      <c r="N357" s="422"/>
      <c r="O357" s="422"/>
      <c r="P357" s="422"/>
      <c r="Q357" s="422"/>
      <c r="R357" s="422"/>
      <c r="S357" s="583">
        <v>310500</v>
      </c>
      <c r="T357" s="377" t="str">
        <f>+IFERROR(VLOOKUP(S357,STAT1!$C$4:$D$189,2,FALSE),"")</f>
        <v>НӨАТ өглөг</v>
      </c>
      <c r="U357" s="415"/>
      <c r="V357" s="415">
        <v>36118.18</v>
      </c>
      <c r="W357" s="822">
        <v>3055</v>
      </c>
      <c r="X357" s="436" t="str">
        <f>IFERROR(VLOOKUP(W357,DATA!$G$4:$H$400,2,FALSE),"")</f>
        <v xml:space="preserve">МЧБС ХХК </v>
      </c>
      <c r="Y357" s="328"/>
      <c r="Z357" s="328"/>
      <c r="AA357" s="328"/>
    </row>
    <row r="358" spans="1:27" ht="12.75" customHeight="1">
      <c r="A358" s="425"/>
      <c r="B358" s="368">
        <f t="shared" si="125"/>
        <v>353</v>
      </c>
      <c r="C358" s="425">
        <v>43287</v>
      </c>
      <c r="D358" s="830"/>
      <c r="E358" s="876" t="str">
        <f t="shared" ca="1" si="126"/>
        <v/>
      </c>
      <c r="F358" s="426" t="str">
        <f ca="1">+IFERROR(VLOOKUP(D358,TN_table,3,FALSE),"")</f>
        <v/>
      </c>
      <c r="G358" s="415"/>
      <c r="H358" s="415"/>
      <c r="I358" s="415" t="str">
        <f t="shared" si="135"/>
        <v/>
      </c>
      <c r="J358" s="415" t="str">
        <f t="shared" si="136"/>
        <v/>
      </c>
      <c r="K358" s="415" t="str">
        <f t="shared" si="137"/>
        <v/>
      </c>
      <c r="L358" s="415"/>
      <c r="M358" s="415"/>
      <c r="N358" s="422" t="str">
        <f>+IF(L358="","",L358*M358)</f>
        <v/>
      </c>
      <c r="O358" s="422" t="str">
        <f>+IF(L358="","",N358*0.1)</f>
        <v/>
      </c>
      <c r="P358" s="422" t="str">
        <f>+IF(L358="","",N358+O358)</f>
        <v/>
      </c>
      <c r="Q358" s="422" t="str">
        <f>IF(L358="","",IFERROR((SUMIFS(TN_balC1_totol,TN_code,D358)+SUMIFS(RC_or_totol,RC_Code,D358,RC_date,"&lt;="&amp;C358)-SUMIFS(RC_zar_totol,RC_Code,D358,RC_date,"&lt;"&amp;C358)) /( SUMIFS(TN_balC1_unit,TN_code,D358)+SUMIFS(RC_or_unit,RC_Code,D358,RC_date,"&lt;="&amp;C358)-SUMIFS(RC_zar_unit,RC_Code,D358,RC_date,"&lt;"&amp;C358)),0 ))</f>
        <v/>
      </c>
      <c r="R358" s="422" t="str">
        <f>+IF(L358="","",L358*Q358)</f>
        <v/>
      </c>
      <c r="S358" s="583">
        <v>510000</v>
      </c>
      <c r="T358" s="377" t="str">
        <f>+IFERROR(VLOOKUP(S358,STAT1!$C$4:$D$189,2,FALSE),"")</f>
        <v>Үндсэн үйл ажиллагааны борлуулалт</v>
      </c>
      <c r="U358" s="424"/>
      <c r="V358" s="424">
        <v>361181.82</v>
      </c>
      <c r="W358" s="822">
        <v>3055</v>
      </c>
      <c r="X358" s="436" t="str">
        <f>IFERROR(VLOOKUP(W358,DATA!$G$4:$H$400,2,FALSE),"")</f>
        <v xml:space="preserve">МЧБС ХХК </v>
      </c>
      <c r="Y358" s="328"/>
      <c r="Z358" s="328"/>
      <c r="AA358" s="328"/>
    </row>
    <row r="359" spans="1:27" ht="12.75" customHeight="1">
      <c r="A359" s="425"/>
      <c r="B359" s="368">
        <f t="shared" si="125"/>
        <v>354</v>
      </c>
      <c r="C359" s="425">
        <v>43287</v>
      </c>
      <c r="D359" s="830"/>
      <c r="E359" s="876" t="str">
        <f t="shared" ca="1" si="126"/>
        <v/>
      </c>
      <c r="F359" s="426"/>
      <c r="G359" s="415"/>
      <c r="H359" s="415"/>
      <c r="I359" s="415" t="str">
        <f t="shared" si="135"/>
        <v/>
      </c>
      <c r="J359" s="415" t="str">
        <f t="shared" si="136"/>
        <v/>
      </c>
      <c r="K359" s="415" t="str">
        <f t="shared" si="137"/>
        <v/>
      </c>
      <c r="L359" s="415"/>
      <c r="M359" s="415"/>
      <c r="N359" s="422"/>
      <c r="O359" s="422"/>
      <c r="P359" s="422"/>
      <c r="Q359" s="422"/>
      <c r="R359" s="422"/>
      <c r="S359" s="583">
        <v>320100</v>
      </c>
      <c r="T359" s="377" t="str">
        <f>+IFERROR(VLOOKUP(S359,STAT1!$C$4:$D$189,2,FALSE),"")</f>
        <v>Урьдчилж орсон орлого MNT</v>
      </c>
      <c r="U359" s="424">
        <v>397300</v>
      </c>
      <c r="V359" s="424"/>
      <c r="W359" s="822">
        <v>3055</v>
      </c>
      <c r="X359" s="436" t="str">
        <f>IFERROR(VLOOKUP(W359,DATA!$G$4:$H$400,2,FALSE),"")</f>
        <v xml:space="preserve">МЧБС ХХК </v>
      </c>
      <c r="Y359" s="328"/>
      <c r="Z359" s="328"/>
      <c r="AA359" s="328"/>
    </row>
    <row r="360" spans="1:27" ht="12.75" customHeight="1">
      <c r="A360" s="425"/>
      <c r="B360" s="368">
        <f t="shared" si="125"/>
        <v>355</v>
      </c>
      <c r="C360" s="425">
        <v>43302</v>
      </c>
      <c r="D360" s="830">
        <v>211802</v>
      </c>
      <c r="E360" s="876" t="str">
        <f t="shared" ca="1" si="126"/>
        <v xml:space="preserve">Н-Уголок </v>
      </c>
      <c r="F360" s="426" t="str">
        <f t="shared" ref="F360:F400" ca="1" si="139">+IFERROR(VLOOKUP(D360,TN_table,3,FALSE),"")</f>
        <v>м</v>
      </c>
      <c r="G360" s="415"/>
      <c r="H360" s="415"/>
      <c r="I360" s="415" t="str">
        <f t="shared" si="135"/>
        <v/>
      </c>
      <c r="J360" s="415" t="str">
        <f t="shared" si="136"/>
        <v/>
      </c>
      <c r="K360" s="415" t="str">
        <f t="shared" si="137"/>
        <v/>
      </c>
      <c r="L360" s="415">
        <v>183</v>
      </c>
      <c r="M360" s="415">
        <v>3999.70192</v>
      </c>
      <c r="N360" s="422">
        <f t="shared" ref="N360:N400" si="140">+IF(L360="","",L360*M360)</f>
        <v>731945.45135999995</v>
      </c>
      <c r="O360" s="422">
        <f t="shared" ref="O360:O400" si="141">+IF(L360="","",N360*0.1)</f>
        <v>73194.545136000001</v>
      </c>
      <c r="P360" s="422">
        <f t="shared" ref="P360:P400" si="142">+IF(L360="","",N360+O360)</f>
        <v>805139.99649599998</v>
      </c>
      <c r="Q360" s="422">
        <f t="shared" ref="Q360:Q400" ca="1" si="143">IF(L360="","",IFERROR((SUMIFS(TN_balC1_totol,TN_code,D360)+SUMIFS(RC_or_totol,RC_Code,D360,RC_date,"&lt;="&amp;C360)-SUMIFS(RC_zar_totol,RC_Code,D360,RC_date,"&lt;"&amp;C360)) /( SUMIFS(TN_balC1_unit,TN_code,D360)+SUMIFS(RC_or_unit,RC_Code,D360,RC_date,"&lt;="&amp;C360)-SUMIFS(RC_zar_unit,RC_Code,D360,RC_date,"&lt;"&amp;C360)),0 ))</f>
        <v>1377.7799111418215</v>
      </c>
      <c r="R360" s="422">
        <f t="shared" ref="R360:R400" ca="1" si="144">+IF(L360="","",L360*Q360)</f>
        <v>252133.72373895333</v>
      </c>
      <c r="S360" s="583">
        <f>+IF(LEFT(D360,3)="131",140100,0)+IF(LEFT(D360,3)="310",150100,0)+IF(LEFT(D360,3)="211",150101,0)+IF(LEFT(D360,3)="410",160100,0)+IF(LEFT(D360,3)="440",160200,0)+IF(LEFT(D360,3)="430",160200,0)+IF(LEFT(D360,3)="420",160200,0)+IF(LEFT(D360,3)="460",160201,0)+IF(LEFT(D360,3)="210",150101,0)+IF(LEFT(D360,3)="510",140100,0)</f>
        <v>150101</v>
      </c>
      <c r="T360" s="377" t="str">
        <f>+IFERROR(VLOOKUP(S360,STAT1!$C$4:$D$189,2,FALSE),"")</f>
        <v>Бараа бэлэн бүтээгдэхүүн БОЛОВСРУУЛАХ ЦЕХ /нарс/</v>
      </c>
      <c r="U360" s="424"/>
      <c r="V360" s="424">
        <v>252133.72</v>
      </c>
      <c r="W360" s="822">
        <v>3104</v>
      </c>
      <c r="X360" s="436" t="str">
        <f>IFERROR(VLOOKUP(W360,DATA!$G$4:$H$400,2,FALSE),"")</f>
        <v>ХҮРЭЭ ЦАМХАГ ХХК</v>
      </c>
      <c r="Y360" s="328"/>
      <c r="Z360" s="328"/>
      <c r="AA360" s="328"/>
    </row>
    <row r="361" spans="1:27" ht="12.75" customHeight="1">
      <c r="A361" s="425"/>
      <c r="B361" s="368">
        <f t="shared" si="125"/>
        <v>356</v>
      </c>
      <c r="C361" s="425">
        <v>43302</v>
      </c>
      <c r="D361" s="830"/>
      <c r="E361" s="876" t="str">
        <f t="shared" ca="1" si="126"/>
        <v/>
      </c>
      <c r="F361" s="426" t="str">
        <f t="shared" ca="1" si="139"/>
        <v/>
      </c>
      <c r="G361" s="415"/>
      <c r="H361" s="415"/>
      <c r="I361" s="415" t="str">
        <f t="shared" si="135"/>
        <v/>
      </c>
      <c r="J361" s="415" t="str">
        <f t="shared" si="136"/>
        <v/>
      </c>
      <c r="K361" s="415" t="str">
        <f t="shared" si="137"/>
        <v/>
      </c>
      <c r="L361" s="415"/>
      <c r="M361" s="415"/>
      <c r="N361" s="422" t="str">
        <f t="shared" si="140"/>
        <v/>
      </c>
      <c r="O361" s="422" t="str">
        <f t="shared" si="141"/>
        <v/>
      </c>
      <c r="P361" s="422" t="str">
        <f t="shared" si="142"/>
        <v/>
      </c>
      <c r="Q361" s="422" t="str">
        <f t="shared" si="143"/>
        <v/>
      </c>
      <c r="R361" s="422" t="str">
        <f t="shared" si="144"/>
        <v/>
      </c>
      <c r="S361" s="583">
        <v>610100</v>
      </c>
      <c r="T361" s="377" t="str">
        <f>+IFERROR(VLOOKUP(S361,STAT1!$C$4:$D$189,2,FALSE),"")</f>
        <v>Борлуулсан барааны өртөг</v>
      </c>
      <c r="U361" s="424">
        <v>252133.72</v>
      </c>
      <c r="V361" s="424"/>
      <c r="W361" s="822">
        <v>3104</v>
      </c>
      <c r="X361" s="436" t="str">
        <f>IFERROR(VLOOKUP(W361,DATA!$G$4:$H$400,2,FALSE),"")</f>
        <v>ХҮРЭЭ ЦАМХАГ ХХК</v>
      </c>
      <c r="Y361" s="328"/>
      <c r="Z361" s="328"/>
      <c r="AA361" s="328"/>
    </row>
    <row r="362" spans="1:27" ht="12.75" customHeight="1">
      <c r="A362" s="425"/>
      <c r="B362" s="368">
        <f t="shared" si="125"/>
        <v>357</v>
      </c>
      <c r="C362" s="425">
        <v>43302</v>
      </c>
      <c r="D362" s="830"/>
      <c r="E362" s="876" t="str">
        <f t="shared" ca="1" si="126"/>
        <v/>
      </c>
      <c r="F362" s="426" t="str">
        <f t="shared" ca="1" si="139"/>
        <v/>
      </c>
      <c r="G362" s="415"/>
      <c r="H362" s="415"/>
      <c r="I362" s="415" t="str">
        <f t="shared" si="135"/>
        <v/>
      </c>
      <c r="J362" s="415" t="str">
        <f t="shared" si="136"/>
        <v/>
      </c>
      <c r="K362" s="415" t="str">
        <f t="shared" si="137"/>
        <v/>
      </c>
      <c r="L362" s="415"/>
      <c r="M362" s="415"/>
      <c r="N362" s="422" t="str">
        <f t="shared" si="140"/>
        <v/>
      </c>
      <c r="O362" s="422" t="str">
        <f t="shared" si="141"/>
        <v/>
      </c>
      <c r="P362" s="422" t="str">
        <f t="shared" si="142"/>
        <v/>
      </c>
      <c r="Q362" s="422" t="str">
        <f t="shared" si="143"/>
        <v/>
      </c>
      <c r="R362" s="422" t="str">
        <f t="shared" si="144"/>
        <v/>
      </c>
      <c r="S362" s="583">
        <v>310500</v>
      </c>
      <c r="T362" s="377" t="str">
        <f>+IFERROR(VLOOKUP(S362,STAT1!$C$4:$D$189,2,FALSE),"")</f>
        <v>НӨАТ өглөг</v>
      </c>
      <c r="U362" s="415"/>
      <c r="V362" s="415">
        <v>73194.539999999994</v>
      </c>
      <c r="W362" s="822">
        <v>3104</v>
      </c>
      <c r="X362" s="436" t="str">
        <f>IFERROR(VLOOKUP(W362,DATA!$G$4:$H$400,2,FALSE),"")</f>
        <v>ХҮРЭЭ ЦАМХАГ ХХК</v>
      </c>
      <c r="Y362" s="328"/>
      <c r="Z362" s="328"/>
      <c r="AA362" s="328"/>
    </row>
    <row r="363" spans="1:27" ht="12.75" customHeight="1">
      <c r="A363" s="425"/>
      <c r="B363" s="368">
        <f t="shared" si="125"/>
        <v>358</v>
      </c>
      <c r="C363" s="425">
        <v>43302</v>
      </c>
      <c r="D363" s="830"/>
      <c r="E363" s="876" t="str">
        <f t="shared" ca="1" si="126"/>
        <v/>
      </c>
      <c r="F363" s="426" t="str">
        <f t="shared" ca="1" si="139"/>
        <v/>
      </c>
      <c r="G363" s="415"/>
      <c r="H363" s="415"/>
      <c r="I363" s="415" t="str">
        <f t="shared" si="135"/>
        <v/>
      </c>
      <c r="J363" s="415" t="str">
        <f t="shared" si="136"/>
        <v/>
      </c>
      <c r="K363" s="415" t="str">
        <f t="shared" si="137"/>
        <v/>
      </c>
      <c r="L363" s="415"/>
      <c r="M363" s="415"/>
      <c r="N363" s="422" t="str">
        <f t="shared" si="140"/>
        <v/>
      </c>
      <c r="O363" s="422" t="str">
        <f t="shared" si="141"/>
        <v/>
      </c>
      <c r="P363" s="422" t="str">
        <f t="shared" si="142"/>
        <v/>
      </c>
      <c r="Q363" s="422" t="str">
        <f t="shared" si="143"/>
        <v/>
      </c>
      <c r="R363" s="422" t="str">
        <f t="shared" si="144"/>
        <v/>
      </c>
      <c r="S363" s="583">
        <v>510000</v>
      </c>
      <c r="T363" s="377" t="str">
        <f>+IFERROR(VLOOKUP(S363,STAT1!$C$4:$D$189,2,FALSE),"")</f>
        <v>Үндсэн үйл ажиллагааны борлуулалт</v>
      </c>
      <c r="U363" s="424"/>
      <c r="V363" s="424">
        <v>731945.45</v>
      </c>
      <c r="W363" s="822">
        <v>3104</v>
      </c>
      <c r="X363" s="436" t="str">
        <f>IFERROR(VLOOKUP(W363,DATA!$G$4:$H$400,2,FALSE),"")</f>
        <v>ХҮРЭЭ ЦАМХАГ ХХК</v>
      </c>
      <c r="Y363" s="328"/>
      <c r="Z363" s="328"/>
      <c r="AA363" s="328"/>
    </row>
    <row r="364" spans="1:27" ht="12.75" customHeight="1">
      <c r="A364" s="425"/>
      <c r="B364" s="368">
        <f t="shared" si="125"/>
        <v>359</v>
      </c>
      <c r="C364" s="425">
        <v>43302</v>
      </c>
      <c r="D364" s="830"/>
      <c r="E364" s="876" t="str">
        <f t="shared" ca="1" si="126"/>
        <v/>
      </c>
      <c r="F364" s="426" t="str">
        <f t="shared" ca="1" si="139"/>
        <v/>
      </c>
      <c r="G364" s="415"/>
      <c r="H364" s="415"/>
      <c r="I364" s="415" t="str">
        <f t="shared" si="135"/>
        <v/>
      </c>
      <c r="J364" s="415" t="str">
        <f t="shared" si="136"/>
        <v/>
      </c>
      <c r="K364" s="415" t="str">
        <f t="shared" si="137"/>
        <v/>
      </c>
      <c r="L364" s="415"/>
      <c r="M364" s="415"/>
      <c r="N364" s="422" t="str">
        <f t="shared" si="140"/>
        <v/>
      </c>
      <c r="O364" s="422" t="str">
        <f t="shared" si="141"/>
        <v/>
      </c>
      <c r="P364" s="422" t="str">
        <f t="shared" si="142"/>
        <v/>
      </c>
      <c r="Q364" s="422" t="str">
        <f t="shared" si="143"/>
        <v/>
      </c>
      <c r="R364" s="422" t="str">
        <f t="shared" si="144"/>
        <v/>
      </c>
      <c r="S364" s="583">
        <v>320100</v>
      </c>
      <c r="T364" s="377" t="str">
        <f>+IFERROR(VLOOKUP(S364,STAT1!$C$4:$D$189,2,FALSE),"")</f>
        <v>Урьдчилж орсон орлого MNT</v>
      </c>
      <c r="U364" s="424">
        <v>805140</v>
      </c>
      <c r="V364" s="424"/>
      <c r="W364" s="822">
        <v>3104</v>
      </c>
      <c r="X364" s="436" t="str">
        <f>IFERROR(VLOOKUP(W364,DATA!$G$4:$H$400,2,FALSE),"")</f>
        <v>ХҮРЭЭ ЦАМХАГ ХХК</v>
      </c>
      <c r="Y364" s="328"/>
      <c r="Z364" s="328"/>
      <c r="AA364" s="328"/>
    </row>
    <row r="365" spans="1:27" ht="12.75" customHeight="1">
      <c r="A365" s="425"/>
      <c r="B365" s="368">
        <f t="shared" si="125"/>
        <v>360</v>
      </c>
      <c r="C365" s="425">
        <v>43282</v>
      </c>
      <c r="D365" s="830">
        <v>211504</v>
      </c>
      <c r="E365" s="876" t="str">
        <f t="shared" ca="1" si="126"/>
        <v xml:space="preserve">Н-Евровагонка /зузаан-1.2см/-яртай </v>
      </c>
      <c r="F365" s="426" t="str">
        <f t="shared" ca="1" si="139"/>
        <v>м2</v>
      </c>
      <c r="G365" s="415"/>
      <c r="H365" s="415"/>
      <c r="I365" s="415" t="str">
        <f t="shared" si="135"/>
        <v/>
      </c>
      <c r="J365" s="415" t="str">
        <f t="shared" si="136"/>
        <v/>
      </c>
      <c r="K365" s="415" t="str">
        <f t="shared" si="137"/>
        <v/>
      </c>
      <c r="L365" s="415">
        <v>73</v>
      </c>
      <c r="M365" s="415">
        <v>18000</v>
      </c>
      <c r="N365" s="422">
        <f t="shared" si="140"/>
        <v>1314000</v>
      </c>
      <c r="O365" s="422">
        <f t="shared" si="141"/>
        <v>131400</v>
      </c>
      <c r="P365" s="422">
        <f t="shared" si="142"/>
        <v>1445400</v>
      </c>
      <c r="Q365" s="422">
        <f t="shared" ca="1" si="143"/>
        <v>11896.785561853303</v>
      </c>
      <c r="R365" s="422">
        <f t="shared" ca="1" si="144"/>
        <v>868465.34601529117</v>
      </c>
      <c r="S365" s="583">
        <f>+IF(LEFT(D365,3)="131",140100,0)+IF(LEFT(D365,3)="310",150100,0)+IF(LEFT(D365,3)="211",150101,0)+IF(LEFT(D365,3)="410",160100,0)+IF(LEFT(D365,3)="440",160200,0)+IF(LEFT(D365,3)="430",160200,0)+IF(LEFT(D365,3)="420",160200,0)+IF(LEFT(D365,3)="460",160201,0)+IF(LEFT(D365,3)="210",150101,0)+IF(LEFT(D365,3)="510",140100,0)</f>
        <v>150101</v>
      </c>
      <c r="T365" s="377" t="str">
        <f>+IFERROR(VLOOKUP(S365,STAT1!$C$4:$D$189,2,FALSE),"")</f>
        <v>Бараа бэлэн бүтээгдэхүүн БОЛОВСРУУЛАХ ЦЕХ /нарс/</v>
      </c>
      <c r="U365" s="424"/>
      <c r="V365" s="424">
        <v>1783991.17</v>
      </c>
      <c r="W365" s="822">
        <v>3130</v>
      </c>
      <c r="X365" s="436" t="str">
        <f>IFERROR(VLOOKUP(W365,DATA!$G$4:$H$400,2,FALSE),"")</f>
        <v>АРУМА ХХК</v>
      </c>
      <c r="Y365" s="328"/>
      <c r="Z365" s="328"/>
      <c r="AA365" s="328"/>
    </row>
    <row r="366" spans="1:27" ht="12.75" customHeight="1">
      <c r="A366" s="425"/>
      <c r="B366" s="368">
        <f t="shared" si="125"/>
        <v>361</v>
      </c>
      <c r="C366" s="425">
        <v>43282</v>
      </c>
      <c r="D366" s="830">
        <v>211801</v>
      </c>
      <c r="E366" s="876" t="str">
        <f t="shared" ca="1" si="126"/>
        <v>Н-Ембүү /20*30мм/</v>
      </c>
      <c r="F366" s="426" t="str">
        <f t="shared" ca="1" si="139"/>
        <v>м</v>
      </c>
      <c r="G366" s="415"/>
      <c r="H366" s="415"/>
      <c r="I366" s="415" t="str">
        <f t="shared" si="135"/>
        <v/>
      </c>
      <c r="J366" s="415" t="str">
        <f t="shared" si="136"/>
        <v/>
      </c>
      <c r="K366" s="415" t="str">
        <f t="shared" si="137"/>
        <v/>
      </c>
      <c r="L366" s="415">
        <v>151</v>
      </c>
      <c r="M366" s="415">
        <v>1500</v>
      </c>
      <c r="N366" s="422">
        <f t="shared" si="140"/>
        <v>226500</v>
      </c>
      <c r="O366" s="422">
        <f t="shared" si="141"/>
        <v>22650</v>
      </c>
      <c r="P366" s="422">
        <f t="shared" si="142"/>
        <v>249150</v>
      </c>
      <c r="Q366" s="422">
        <f t="shared" ca="1" si="143"/>
        <v>768.80288972169444</v>
      </c>
      <c r="R366" s="422">
        <f t="shared" ca="1" si="144"/>
        <v>116089.23634797586</v>
      </c>
      <c r="S366" s="583">
        <v>610100</v>
      </c>
      <c r="T366" s="377" t="str">
        <f>+IFERROR(VLOOKUP(S366,STAT1!$C$4:$D$189,2,FALSE),"")</f>
        <v>Борлуулсан барааны өртөг</v>
      </c>
      <c r="U366" s="424">
        <v>1783991.17</v>
      </c>
      <c r="V366" s="415"/>
      <c r="W366" s="822">
        <v>3130</v>
      </c>
      <c r="X366" s="436" t="str">
        <f>IFERROR(VLOOKUP(W366,DATA!$G$4:$H$400,2,FALSE),"")</f>
        <v>АРУМА ХХК</v>
      </c>
      <c r="Y366" s="328"/>
      <c r="Z366" s="328"/>
      <c r="AA366" s="328"/>
    </row>
    <row r="367" spans="1:27" ht="12.75" customHeight="1">
      <c r="A367" s="425"/>
      <c r="B367" s="368">
        <f t="shared" si="125"/>
        <v>362</v>
      </c>
      <c r="C367" s="425">
        <v>43282</v>
      </c>
      <c r="D367" s="830">
        <v>211713</v>
      </c>
      <c r="E367" s="876" t="str">
        <f t="shared" ca="1" si="126"/>
        <v>Н-Хавтан /зузаан-2см/</v>
      </c>
      <c r="F367" s="426" t="str">
        <f t="shared" ca="1" si="139"/>
        <v>м2</v>
      </c>
      <c r="G367" s="415"/>
      <c r="H367" s="415"/>
      <c r="I367" s="415" t="str">
        <f t="shared" si="135"/>
        <v/>
      </c>
      <c r="J367" s="415" t="str">
        <f t="shared" si="136"/>
        <v/>
      </c>
      <c r="K367" s="415" t="str">
        <f t="shared" si="137"/>
        <v/>
      </c>
      <c r="L367" s="415">
        <v>32.209000000000003</v>
      </c>
      <c r="M367" s="415">
        <v>30000.084599999998</v>
      </c>
      <c r="N367" s="422">
        <f t="shared" si="140"/>
        <v>966272.7248814</v>
      </c>
      <c r="O367" s="422">
        <f t="shared" si="141"/>
        <v>96627.272488140006</v>
      </c>
      <c r="P367" s="422">
        <f t="shared" si="142"/>
        <v>1062899.9973695399</v>
      </c>
      <c r="Q367" s="422">
        <f t="shared" ca="1" si="143"/>
        <v>24820.285936271332</v>
      </c>
      <c r="R367" s="422">
        <f t="shared" ca="1" si="144"/>
        <v>799436.58972136339</v>
      </c>
      <c r="S367" s="583">
        <v>310500</v>
      </c>
      <c r="T367" s="377" t="str">
        <f>+IFERROR(VLOOKUP(S367,STAT1!$C$4:$D$189,2,FALSE),"")</f>
        <v>НӨАТ өглөг</v>
      </c>
      <c r="U367" s="424"/>
      <c r="V367" s="424">
        <v>250677.27</v>
      </c>
      <c r="W367" s="822">
        <v>3130</v>
      </c>
      <c r="X367" s="436" t="str">
        <f>IFERROR(VLOOKUP(W367,DATA!$G$4:$H$400,2,FALSE),"")</f>
        <v>АРУМА ХХК</v>
      </c>
      <c r="Y367" s="328"/>
      <c r="Z367" s="328"/>
      <c r="AA367" s="328"/>
    </row>
    <row r="368" spans="1:27" ht="12.75" customHeight="1">
      <c r="A368" s="425"/>
      <c r="B368" s="368">
        <f t="shared" si="125"/>
        <v>363</v>
      </c>
      <c r="C368" s="425">
        <v>43282</v>
      </c>
      <c r="D368" s="830"/>
      <c r="E368" s="876" t="str">
        <f t="shared" ca="1" si="126"/>
        <v/>
      </c>
      <c r="F368" s="426" t="str">
        <f t="shared" ca="1" si="139"/>
        <v/>
      </c>
      <c r="G368" s="415"/>
      <c r="H368" s="415"/>
      <c r="I368" s="415" t="str">
        <f t="shared" si="135"/>
        <v/>
      </c>
      <c r="J368" s="415" t="str">
        <f t="shared" si="136"/>
        <v/>
      </c>
      <c r="K368" s="415" t="str">
        <f t="shared" si="137"/>
        <v/>
      </c>
      <c r="L368" s="415"/>
      <c r="M368" s="415"/>
      <c r="N368" s="422" t="str">
        <f t="shared" si="140"/>
        <v/>
      </c>
      <c r="O368" s="422" t="str">
        <f t="shared" si="141"/>
        <v/>
      </c>
      <c r="P368" s="422" t="str">
        <f t="shared" si="142"/>
        <v/>
      </c>
      <c r="Q368" s="422" t="str">
        <f t="shared" si="143"/>
        <v/>
      </c>
      <c r="R368" s="422" t="str">
        <f t="shared" si="144"/>
        <v/>
      </c>
      <c r="S368" s="583">
        <v>510000</v>
      </c>
      <c r="T368" s="377" t="str">
        <f>+IFERROR(VLOOKUP(S368,STAT1!$C$4:$D$189,2,FALSE),"")</f>
        <v>Үндсэн үйл ажиллагааны борлуулалт</v>
      </c>
      <c r="U368" s="424"/>
      <c r="V368" s="424">
        <v>2506772.73</v>
      </c>
      <c r="W368" s="822">
        <v>3130</v>
      </c>
      <c r="X368" s="436" t="str">
        <f>IFERROR(VLOOKUP(W368,DATA!$G$4:$H$400,2,FALSE),"")</f>
        <v>АРУМА ХХК</v>
      </c>
      <c r="Y368" s="328"/>
      <c r="Z368" s="328"/>
      <c r="AA368" s="328"/>
    </row>
    <row r="369" spans="1:27" ht="12.75" customHeight="1">
      <c r="A369" s="425"/>
      <c r="B369" s="368">
        <f t="shared" si="125"/>
        <v>364</v>
      </c>
      <c r="C369" s="425">
        <v>43282</v>
      </c>
      <c r="D369" s="830"/>
      <c r="E369" s="876" t="str">
        <f t="shared" ca="1" si="126"/>
        <v/>
      </c>
      <c r="F369" s="426" t="str">
        <f t="shared" ca="1" si="139"/>
        <v/>
      </c>
      <c r="G369" s="415"/>
      <c r="H369" s="415"/>
      <c r="I369" s="415" t="str">
        <f t="shared" si="135"/>
        <v/>
      </c>
      <c r="J369" s="415" t="str">
        <f t="shared" si="136"/>
        <v/>
      </c>
      <c r="K369" s="415" t="str">
        <f t="shared" si="137"/>
        <v/>
      </c>
      <c r="L369" s="415"/>
      <c r="M369" s="415"/>
      <c r="N369" s="422" t="str">
        <f t="shared" si="140"/>
        <v/>
      </c>
      <c r="O369" s="422" t="str">
        <f t="shared" si="141"/>
        <v/>
      </c>
      <c r="P369" s="422" t="str">
        <f t="shared" si="142"/>
        <v/>
      </c>
      <c r="Q369" s="422" t="str">
        <f t="shared" si="143"/>
        <v/>
      </c>
      <c r="R369" s="422" t="str">
        <f t="shared" si="144"/>
        <v/>
      </c>
      <c r="S369" s="583">
        <v>320100</v>
      </c>
      <c r="T369" s="377" t="str">
        <f>+IFERROR(VLOOKUP(S369,STAT1!$C$4:$D$189,2,FALSE),"")</f>
        <v>Урьдчилж орсон орлого MNT</v>
      </c>
      <c r="U369" s="424">
        <v>2757450</v>
      </c>
      <c r="V369" s="424"/>
      <c r="W369" s="822">
        <v>3130</v>
      </c>
      <c r="X369" s="436" t="str">
        <f>IFERROR(VLOOKUP(W369,DATA!$G$4:$H$400,2,FALSE),"")</f>
        <v>АРУМА ХХК</v>
      </c>
      <c r="Y369" s="328"/>
      <c r="Z369" s="328"/>
      <c r="AA369" s="328"/>
    </row>
    <row r="370" spans="1:27" ht="12.75" customHeight="1">
      <c r="A370" s="425"/>
      <c r="B370" s="368">
        <f t="shared" si="125"/>
        <v>365</v>
      </c>
      <c r="C370" s="425">
        <v>43336</v>
      </c>
      <c r="D370" s="830">
        <v>211713</v>
      </c>
      <c r="E370" s="876" t="str">
        <f t="shared" ca="1" si="126"/>
        <v>Н-Хавтан /зузаан-2см/</v>
      </c>
      <c r="F370" s="426" t="str">
        <f t="shared" ca="1" si="139"/>
        <v>м2</v>
      </c>
      <c r="G370" s="415"/>
      <c r="H370" s="415"/>
      <c r="I370" s="415" t="str">
        <f t="shared" si="135"/>
        <v/>
      </c>
      <c r="J370" s="415" t="str">
        <f t="shared" si="136"/>
        <v/>
      </c>
      <c r="K370" s="415" t="str">
        <f t="shared" si="137"/>
        <v/>
      </c>
      <c r="L370" s="415">
        <v>2</v>
      </c>
      <c r="M370" s="415">
        <v>30000</v>
      </c>
      <c r="N370" s="422">
        <f t="shared" si="140"/>
        <v>60000</v>
      </c>
      <c r="O370" s="422">
        <f t="shared" si="141"/>
        <v>6000</v>
      </c>
      <c r="P370" s="422">
        <f t="shared" si="142"/>
        <v>66000</v>
      </c>
      <c r="Q370" s="422">
        <f t="shared" ca="1" si="143"/>
        <v>24820.285936271328</v>
      </c>
      <c r="R370" s="422">
        <f t="shared" ca="1" si="144"/>
        <v>49640.571872542656</v>
      </c>
      <c r="S370" s="583">
        <f>+IF(LEFT(D370,3)="131",140100,0)+IF(LEFT(D370,3)="310",150100,0)+IF(LEFT(D370,3)="211",150101,0)+IF(LEFT(D370,3)="410",160100,0)+IF(LEFT(D370,3)="440",160200,0)+IF(LEFT(D370,3)="430",160200,0)+IF(LEFT(D370,3)="420",160200,0)+IF(LEFT(D370,3)="460",160201,0)+IF(LEFT(D370,3)="210",150101,0)+IF(LEFT(D370,3)="510",140100,0)</f>
        <v>150101</v>
      </c>
      <c r="T370" s="377" t="str">
        <f>+IFERROR(VLOOKUP(S370,STAT1!$C$4:$D$189,2,FALSE),"")</f>
        <v>Бараа бэлэн бүтээгдэхүүн БОЛОВСРУУЛАХ ЦЕХ /нарс/</v>
      </c>
      <c r="U370" s="424"/>
      <c r="V370" s="424">
        <v>49640.57</v>
      </c>
      <c r="W370" s="822">
        <v>3006</v>
      </c>
      <c r="X370" s="436" t="str">
        <f>IFERROR(VLOOKUP(W370,DATA!$G$4:$H$400,2,FALSE),"")</f>
        <v xml:space="preserve">ПАЙОНЕРИНГ ИНТЕРНЭШНЛ ХХК </v>
      </c>
      <c r="Y370" s="328"/>
      <c r="Z370" s="328"/>
      <c r="AA370" s="328"/>
    </row>
    <row r="371" spans="1:27" ht="12.75" customHeight="1">
      <c r="A371" s="425"/>
      <c r="B371" s="368">
        <f t="shared" si="125"/>
        <v>366</v>
      </c>
      <c r="C371" s="425">
        <v>43336</v>
      </c>
      <c r="D371" s="830"/>
      <c r="E371" s="876" t="str">
        <f t="shared" ca="1" si="126"/>
        <v/>
      </c>
      <c r="F371" s="426" t="str">
        <f t="shared" ca="1" si="139"/>
        <v/>
      </c>
      <c r="G371" s="415"/>
      <c r="H371" s="415"/>
      <c r="I371" s="415" t="str">
        <f t="shared" si="135"/>
        <v/>
      </c>
      <c r="J371" s="415" t="str">
        <f t="shared" si="136"/>
        <v/>
      </c>
      <c r="K371" s="415" t="str">
        <f t="shared" si="137"/>
        <v/>
      </c>
      <c r="L371" s="415"/>
      <c r="M371" s="415"/>
      <c r="N371" s="422" t="str">
        <f t="shared" si="140"/>
        <v/>
      </c>
      <c r="O371" s="422" t="str">
        <f t="shared" si="141"/>
        <v/>
      </c>
      <c r="P371" s="422" t="str">
        <f t="shared" si="142"/>
        <v/>
      </c>
      <c r="Q371" s="422" t="str">
        <f t="shared" si="143"/>
        <v/>
      </c>
      <c r="R371" s="422" t="str">
        <f t="shared" si="144"/>
        <v/>
      </c>
      <c r="S371" s="583">
        <v>610100</v>
      </c>
      <c r="T371" s="377" t="str">
        <f>+IFERROR(VLOOKUP(S371,STAT1!$C$4:$D$189,2,FALSE),"")</f>
        <v>Борлуулсан барааны өртөг</v>
      </c>
      <c r="U371" s="424">
        <v>49640.57</v>
      </c>
      <c r="V371" s="424"/>
      <c r="W371" s="822">
        <v>3006</v>
      </c>
      <c r="X371" s="436" t="str">
        <f>IFERROR(VLOOKUP(W371,DATA!$G$4:$H$400,2,FALSE),"")</f>
        <v xml:space="preserve">ПАЙОНЕРИНГ ИНТЕРНЭШНЛ ХХК </v>
      </c>
      <c r="Y371" s="328"/>
      <c r="Z371" s="328"/>
      <c r="AA371" s="328"/>
    </row>
    <row r="372" spans="1:27" ht="12.75" customHeight="1">
      <c r="A372" s="425"/>
      <c r="B372" s="368">
        <f t="shared" si="125"/>
        <v>367</v>
      </c>
      <c r="C372" s="425">
        <v>43336</v>
      </c>
      <c r="D372" s="830"/>
      <c r="E372" s="876" t="str">
        <f t="shared" ca="1" si="126"/>
        <v/>
      </c>
      <c r="F372" s="426" t="str">
        <f t="shared" ca="1" si="139"/>
        <v/>
      </c>
      <c r="G372" s="415"/>
      <c r="H372" s="415"/>
      <c r="I372" s="415" t="str">
        <f t="shared" si="135"/>
        <v/>
      </c>
      <c r="J372" s="415" t="str">
        <f t="shared" si="136"/>
        <v/>
      </c>
      <c r="K372" s="415" t="str">
        <f t="shared" si="137"/>
        <v/>
      </c>
      <c r="L372" s="415"/>
      <c r="M372" s="415"/>
      <c r="N372" s="422" t="str">
        <f t="shared" si="140"/>
        <v/>
      </c>
      <c r="O372" s="422" t="str">
        <f t="shared" si="141"/>
        <v/>
      </c>
      <c r="P372" s="422" t="str">
        <f t="shared" si="142"/>
        <v/>
      </c>
      <c r="Q372" s="422" t="str">
        <f t="shared" si="143"/>
        <v/>
      </c>
      <c r="R372" s="422" t="str">
        <f t="shared" si="144"/>
        <v/>
      </c>
      <c r="S372" s="583">
        <v>310500</v>
      </c>
      <c r="T372" s="377" t="str">
        <f>+IFERROR(VLOOKUP(S372,STAT1!$C$4:$D$189,2,FALSE),"")</f>
        <v>НӨАТ өглөг</v>
      </c>
      <c r="U372" s="415"/>
      <c r="V372" s="415">
        <v>6000</v>
      </c>
      <c r="W372" s="822">
        <v>3006</v>
      </c>
      <c r="X372" s="436" t="str">
        <f>IFERROR(VLOOKUP(W372,DATA!$G$4:$H$400,2,FALSE),"")</f>
        <v xml:space="preserve">ПАЙОНЕРИНГ ИНТЕРНЭШНЛ ХХК </v>
      </c>
      <c r="Y372" s="328"/>
      <c r="Z372" s="328"/>
      <c r="AA372" s="328"/>
    </row>
    <row r="373" spans="1:27" ht="12.75" customHeight="1">
      <c r="A373" s="425"/>
      <c r="B373" s="368">
        <f t="shared" si="125"/>
        <v>368</v>
      </c>
      <c r="C373" s="425">
        <v>43336</v>
      </c>
      <c r="D373" s="830"/>
      <c r="E373" s="876" t="str">
        <f t="shared" ca="1" si="126"/>
        <v/>
      </c>
      <c r="F373" s="426" t="str">
        <f t="shared" ca="1" si="139"/>
        <v/>
      </c>
      <c r="G373" s="415"/>
      <c r="H373" s="415"/>
      <c r="I373" s="415" t="str">
        <f t="shared" si="135"/>
        <v/>
      </c>
      <c r="J373" s="415" t="str">
        <f t="shared" si="136"/>
        <v/>
      </c>
      <c r="K373" s="415" t="str">
        <f t="shared" si="137"/>
        <v/>
      </c>
      <c r="L373" s="415"/>
      <c r="M373" s="415"/>
      <c r="N373" s="422" t="str">
        <f t="shared" si="140"/>
        <v/>
      </c>
      <c r="O373" s="422" t="str">
        <f t="shared" si="141"/>
        <v/>
      </c>
      <c r="P373" s="422" t="str">
        <f t="shared" si="142"/>
        <v/>
      </c>
      <c r="Q373" s="422" t="str">
        <f t="shared" si="143"/>
        <v/>
      </c>
      <c r="R373" s="422" t="str">
        <f t="shared" si="144"/>
        <v/>
      </c>
      <c r="S373" s="583">
        <v>510000</v>
      </c>
      <c r="T373" s="377" t="str">
        <f>+IFERROR(VLOOKUP(S373,STAT1!$C$4:$D$189,2,FALSE),"")</f>
        <v>Үндсэн үйл ажиллагааны борлуулалт</v>
      </c>
      <c r="U373" s="424"/>
      <c r="V373" s="424">
        <v>60000</v>
      </c>
      <c r="W373" s="822">
        <v>3006</v>
      </c>
      <c r="X373" s="436" t="str">
        <f>IFERROR(VLOOKUP(W373,DATA!$G$4:$H$400,2,FALSE),"")</f>
        <v xml:space="preserve">ПАЙОНЕРИНГ ИНТЕРНЭШНЛ ХХК </v>
      </c>
      <c r="Y373" s="328"/>
      <c r="Z373" s="328"/>
      <c r="AA373" s="328"/>
    </row>
    <row r="374" spans="1:27" ht="12.75" customHeight="1">
      <c r="A374" s="425"/>
      <c r="B374" s="368">
        <f t="shared" si="125"/>
        <v>369</v>
      </c>
      <c r="C374" s="425">
        <v>43336</v>
      </c>
      <c r="D374" s="830"/>
      <c r="E374" s="876" t="str">
        <f t="shared" ca="1" si="126"/>
        <v/>
      </c>
      <c r="F374" s="426" t="str">
        <f t="shared" ca="1" si="139"/>
        <v/>
      </c>
      <c r="G374" s="415"/>
      <c r="H374" s="415"/>
      <c r="I374" s="415" t="str">
        <f t="shared" si="135"/>
        <v/>
      </c>
      <c r="J374" s="415" t="str">
        <f t="shared" si="136"/>
        <v/>
      </c>
      <c r="K374" s="415" t="str">
        <f t="shared" si="137"/>
        <v/>
      </c>
      <c r="L374" s="415"/>
      <c r="M374" s="415"/>
      <c r="N374" s="422" t="str">
        <f t="shared" si="140"/>
        <v/>
      </c>
      <c r="O374" s="422" t="str">
        <f t="shared" si="141"/>
        <v/>
      </c>
      <c r="P374" s="422" t="str">
        <f t="shared" si="142"/>
        <v/>
      </c>
      <c r="Q374" s="422" t="str">
        <f t="shared" si="143"/>
        <v/>
      </c>
      <c r="R374" s="422" t="str">
        <f t="shared" si="144"/>
        <v/>
      </c>
      <c r="S374" s="583">
        <v>320100</v>
      </c>
      <c r="T374" s="377" t="str">
        <f>+IFERROR(VLOOKUP(S374,STAT1!$C$4:$D$189,2,FALSE),"")</f>
        <v>Урьдчилж орсон орлого MNT</v>
      </c>
      <c r="U374" s="424">
        <v>66000</v>
      </c>
      <c r="V374" s="424"/>
      <c r="W374" s="822">
        <v>3006</v>
      </c>
      <c r="X374" s="436" t="str">
        <f>IFERROR(VLOOKUP(W374,DATA!$G$4:$H$400,2,FALSE),"")</f>
        <v xml:space="preserve">ПАЙОНЕРИНГ ИНТЕРНЭШНЛ ХХК </v>
      </c>
      <c r="Y374" s="328"/>
      <c r="Z374" s="328"/>
      <c r="AA374" s="328"/>
    </row>
    <row r="375" spans="1:27" ht="12.75" customHeight="1">
      <c r="A375" s="425"/>
      <c r="B375" s="368">
        <f t="shared" si="125"/>
        <v>370</v>
      </c>
      <c r="C375" s="425">
        <v>43305</v>
      </c>
      <c r="D375" s="830">
        <v>211801</v>
      </c>
      <c r="E375" s="876" t="str">
        <f t="shared" ca="1" si="126"/>
        <v>Н-Ембүү /20*30мм/</v>
      </c>
      <c r="F375" s="426" t="str">
        <f t="shared" ca="1" si="139"/>
        <v>м</v>
      </c>
      <c r="G375" s="415"/>
      <c r="H375" s="415"/>
      <c r="I375" s="415" t="str">
        <f t="shared" si="135"/>
        <v/>
      </c>
      <c r="J375" s="415" t="str">
        <f t="shared" si="136"/>
        <v/>
      </c>
      <c r="K375" s="415" t="str">
        <f t="shared" si="137"/>
        <v/>
      </c>
      <c r="L375" s="415">
        <v>222</v>
      </c>
      <c r="M375" s="415">
        <v>1500</v>
      </c>
      <c r="N375" s="422">
        <f t="shared" si="140"/>
        <v>333000</v>
      </c>
      <c r="O375" s="422">
        <f t="shared" si="141"/>
        <v>33300</v>
      </c>
      <c r="P375" s="422">
        <f t="shared" si="142"/>
        <v>366300</v>
      </c>
      <c r="Q375" s="422">
        <f t="shared" ca="1" si="143"/>
        <v>768.80288972169433</v>
      </c>
      <c r="R375" s="422">
        <f t="shared" ca="1" si="144"/>
        <v>170674.24151821615</v>
      </c>
      <c r="S375" s="583">
        <f>+IF(LEFT(D375,3)="131",140100,0)+IF(LEFT(D375,3)="310",150100,0)+IF(LEFT(D375,3)="211",150101,0)+IF(LEFT(D375,3)="410",160100,0)+IF(LEFT(D375,3)="440",160200,0)+IF(LEFT(D375,3)="430",160200,0)+IF(LEFT(D375,3)="420",160200,0)+IF(LEFT(D375,3)="460",160201,0)+IF(LEFT(D375,3)="210",150101,0)+IF(LEFT(D375,3)="510",140100,0)</f>
        <v>150101</v>
      </c>
      <c r="T375" s="377" t="str">
        <f>+IFERROR(VLOOKUP(S375,STAT1!$C$4:$D$189,2,FALSE),"")</f>
        <v>Бараа бэлэн бүтээгдэхүүн БОЛОВСРУУЛАХ ЦЕХ /нарс/</v>
      </c>
      <c r="U375" s="424"/>
      <c r="V375" s="424">
        <v>310629.17</v>
      </c>
      <c r="W375" s="822">
        <v>4002</v>
      </c>
      <c r="X375" s="436" t="str">
        <f>IFERROR(VLOOKUP(W375,DATA!$G$4:$H$400,2,FALSE),"")</f>
        <v xml:space="preserve">Хувь хүн </v>
      </c>
      <c r="Y375" s="328"/>
      <c r="Z375" s="328"/>
      <c r="AA375" s="328"/>
    </row>
    <row r="376" spans="1:27" ht="12.75" customHeight="1">
      <c r="A376" s="425"/>
      <c r="B376" s="368">
        <f t="shared" si="125"/>
        <v>371</v>
      </c>
      <c r="C376" s="425">
        <v>43305</v>
      </c>
      <c r="D376" s="830">
        <v>211802</v>
      </c>
      <c r="E376" s="876" t="str">
        <f t="shared" ca="1" si="126"/>
        <v xml:space="preserve">Н-Уголок </v>
      </c>
      <c r="F376" s="426" t="str">
        <f t="shared" ca="1" si="139"/>
        <v>м</v>
      </c>
      <c r="G376" s="415"/>
      <c r="H376" s="415"/>
      <c r="I376" s="415" t="str">
        <f t="shared" si="135"/>
        <v/>
      </c>
      <c r="J376" s="415" t="str">
        <f t="shared" si="136"/>
        <v/>
      </c>
      <c r="K376" s="415" t="str">
        <f t="shared" si="137"/>
        <v/>
      </c>
      <c r="L376" s="415">
        <v>78</v>
      </c>
      <c r="M376" s="415">
        <v>3000</v>
      </c>
      <c r="N376" s="422">
        <f t="shared" si="140"/>
        <v>234000</v>
      </c>
      <c r="O376" s="422">
        <f t="shared" si="141"/>
        <v>23400</v>
      </c>
      <c r="P376" s="422">
        <f t="shared" si="142"/>
        <v>257400</v>
      </c>
      <c r="Q376" s="422">
        <f t="shared" ca="1" si="143"/>
        <v>1377.7799111418215</v>
      </c>
      <c r="R376" s="422">
        <f t="shared" ca="1" si="144"/>
        <v>107466.83306906208</v>
      </c>
      <c r="S376" s="583">
        <v>610100</v>
      </c>
      <c r="T376" s="377" t="str">
        <f>+IFERROR(VLOOKUP(S376,STAT1!$C$4:$D$189,2,FALSE),"")</f>
        <v>Борлуулсан барааны өртөг</v>
      </c>
      <c r="U376" s="424">
        <v>310629.17</v>
      </c>
      <c r="V376" s="415"/>
      <c r="W376" s="822">
        <v>4002</v>
      </c>
      <c r="X376" s="436" t="str">
        <f>IFERROR(VLOOKUP(W376,DATA!$G$4:$H$400,2,FALSE),"")</f>
        <v xml:space="preserve">Хувь хүн </v>
      </c>
      <c r="Y376" s="328"/>
      <c r="Z376" s="328"/>
      <c r="AA376" s="328"/>
    </row>
    <row r="377" spans="1:27" ht="12.75" customHeight="1">
      <c r="A377" s="425"/>
      <c r="B377" s="368">
        <f t="shared" si="125"/>
        <v>372</v>
      </c>
      <c r="C377" s="425">
        <v>43305</v>
      </c>
      <c r="D377" s="830">
        <v>211805</v>
      </c>
      <c r="E377" s="876" t="str">
        <f t="shared" ca="1" si="126"/>
        <v>Н-Хагас хэлбэртэй плинтус /20*30мм/</v>
      </c>
      <c r="F377" s="426" t="str">
        <f t="shared" ca="1" si="139"/>
        <v>м</v>
      </c>
      <c r="G377" s="415"/>
      <c r="H377" s="415"/>
      <c r="I377" s="415" t="str">
        <f t="shared" si="135"/>
        <v/>
      </c>
      <c r="J377" s="415" t="str">
        <f t="shared" si="136"/>
        <v/>
      </c>
      <c r="K377" s="415" t="str">
        <f t="shared" si="137"/>
        <v/>
      </c>
      <c r="L377" s="415">
        <v>48</v>
      </c>
      <c r="M377" s="415">
        <f>181540/1.1/48</f>
        <v>3438.2575757575755</v>
      </c>
      <c r="N377" s="422">
        <f t="shared" si="140"/>
        <v>165036.36363636362</v>
      </c>
      <c r="O377" s="422">
        <f t="shared" si="141"/>
        <v>16503.636363636364</v>
      </c>
      <c r="P377" s="422">
        <f t="shared" si="142"/>
        <v>181539.99999999997</v>
      </c>
      <c r="Q377" s="422">
        <f t="shared" ca="1" si="143"/>
        <v>676.8352724665391</v>
      </c>
      <c r="R377" s="422">
        <f t="shared" ca="1" si="144"/>
        <v>32488.093078393875</v>
      </c>
      <c r="S377" s="583">
        <v>310500</v>
      </c>
      <c r="T377" s="377" t="str">
        <f>+IFERROR(VLOOKUP(S377,STAT1!$C$4:$D$189,2,FALSE),"")</f>
        <v>НӨАТ өглөг</v>
      </c>
      <c r="U377" s="424"/>
      <c r="V377" s="424">
        <v>73203.64</v>
      </c>
      <c r="W377" s="822">
        <v>4002</v>
      </c>
      <c r="X377" s="436" t="str">
        <f>IFERROR(VLOOKUP(W377,DATA!$G$4:$H$400,2,FALSE),"")</f>
        <v xml:space="preserve">Хувь хүн </v>
      </c>
      <c r="Y377" s="328"/>
      <c r="Z377" s="328"/>
      <c r="AA377" s="328"/>
    </row>
    <row r="378" spans="1:27" ht="12.75" customHeight="1">
      <c r="A378" s="425"/>
      <c r="B378" s="368">
        <f t="shared" si="125"/>
        <v>373</v>
      </c>
      <c r="C378" s="425">
        <v>43305</v>
      </c>
      <c r="D378" s="830"/>
      <c r="E378" s="876" t="str">
        <f t="shared" ca="1" si="126"/>
        <v/>
      </c>
      <c r="F378" s="426" t="str">
        <f t="shared" ca="1" si="139"/>
        <v/>
      </c>
      <c r="G378" s="415"/>
      <c r="H378" s="415"/>
      <c r="I378" s="415" t="str">
        <f t="shared" si="135"/>
        <v/>
      </c>
      <c r="J378" s="415" t="str">
        <f t="shared" si="136"/>
        <v/>
      </c>
      <c r="K378" s="415" t="str">
        <f t="shared" si="137"/>
        <v/>
      </c>
      <c r="L378" s="415"/>
      <c r="M378" s="415"/>
      <c r="N378" s="422" t="str">
        <f t="shared" si="140"/>
        <v/>
      </c>
      <c r="O378" s="422" t="str">
        <f t="shared" si="141"/>
        <v/>
      </c>
      <c r="P378" s="422" t="str">
        <f t="shared" si="142"/>
        <v/>
      </c>
      <c r="Q378" s="422" t="str">
        <f t="shared" si="143"/>
        <v/>
      </c>
      <c r="R378" s="422" t="str">
        <f t="shared" si="144"/>
        <v/>
      </c>
      <c r="S378" s="583">
        <v>510000</v>
      </c>
      <c r="T378" s="377" t="str">
        <f>+IFERROR(VLOOKUP(S378,STAT1!$C$4:$D$189,2,FALSE),"")</f>
        <v>Үндсэн үйл ажиллагааны борлуулалт</v>
      </c>
      <c r="U378" s="424"/>
      <c r="V378" s="424">
        <v>732036.36</v>
      </c>
      <c r="W378" s="822">
        <v>4002</v>
      </c>
      <c r="X378" s="436" t="str">
        <f>IFERROR(VLOOKUP(W378,DATA!$G$4:$H$400,2,FALSE),"")</f>
        <v xml:space="preserve">Хувь хүн </v>
      </c>
      <c r="Y378" s="328"/>
      <c r="Z378" s="328"/>
      <c r="AA378" s="328"/>
    </row>
    <row r="379" spans="1:27" ht="12.75" customHeight="1">
      <c r="A379" s="425"/>
      <c r="B379" s="368">
        <f t="shared" si="125"/>
        <v>374</v>
      </c>
      <c r="C379" s="425">
        <v>43305</v>
      </c>
      <c r="D379" s="830"/>
      <c r="E379" s="876" t="str">
        <f t="shared" ca="1" si="126"/>
        <v/>
      </c>
      <c r="F379" s="426" t="str">
        <f t="shared" ca="1" si="139"/>
        <v/>
      </c>
      <c r="G379" s="415"/>
      <c r="H379" s="415"/>
      <c r="I379" s="415" t="str">
        <f t="shared" si="135"/>
        <v/>
      </c>
      <c r="J379" s="415" t="str">
        <f t="shared" si="136"/>
        <v/>
      </c>
      <c r="K379" s="415" t="str">
        <f t="shared" si="137"/>
        <v/>
      </c>
      <c r="L379" s="415"/>
      <c r="M379" s="415"/>
      <c r="N379" s="422" t="str">
        <f t="shared" si="140"/>
        <v/>
      </c>
      <c r="O379" s="422" t="str">
        <f t="shared" si="141"/>
        <v/>
      </c>
      <c r="P379" s="422" t="str">
        <f t="shared" si="142"/>
        <v/>
      </c>
      <c r="Q379" s="422" t="str">
        <f t="shared" si="143"/>
        <v/>
      </c>
      <c r="R379" s="422" t="str">
        <f t="shared" si="144"/>
        <v/>
      </c>
      <c r="S379" s="583">
        <v>320100</v>
      </c>
      <c r="T379" s="377" t="str">
        <f>+IFERROR(VLOOKUP(S379,STAT1!$C$4:$D$189,2,FALSE),"")</f>
        <v>Урьдчилж орсон орлого MNT</v>
      </c>
      <c r="U379" s="424">
        <v>805240</v>
      </c>
      <c r="V379" s="424"/>
      <c r="W379" s="822">
        <v>4002</v>
      </c>
      <c r="X379" s="436" t="str">
        <f>IFERROR(VLOOKUP(W379,DATA!$G$4:$H$400,2,FALSE),"")</f>
        <v xml:space="preserve">Хувь хүн </v>
      </c>
      <c r="Y379" s="328"/>
      <c r="Z379" s="328"/>
      <c r="AA379" s="328"/>
    </row>
    <row r="380" spans="1:27" ht="12.75" customHeight="1">
      <c r="A380" s="425"/>
      <c r="B380" s="368">
        <f t="shared" si="125"/>
        <v>375</v>
      </c>
      <c r="C380" s="425">
        <v>43290</v>
      </c>
      <c r="D380" s="830">
        <v>211802</v>
      </c>
      <c r="E380" s="876" t="str">
        <f t="shared" ca="1" si="126"/>
        <v xml:space="preserve">Н-Уголок </v>
      </c>
      <c r="F380" s="426" t="str">
        <f t="shared" ca="1" si="139"/>
        <v>м</v>
      </c>
      <c r="G380" s="415"/>
      <c r="H380" s="415"/>
      <c r="I380" s="415" t="str">
        <f t="shared" si="135"/>
        <v/>
      </c>
      <c r="J380" s="415" t="str">
        <f t="shared" si="136"/>
        <v/>
      </c>
      <c r="K380" s="415" t="str">
        <f t="shared" si="137"/>
        <v/>
      </c>
      <c r="L380" s="415">
        <v>120</v>
      </c>
      <c r="M380" s="415">
        <v>3000</v>
      </c>
      <c r="N380" s="422">
        <f t="shared" si="140"/>
        <v>360000</v>
      </c>
      <c r="O380" s="422">
        <f t="shared" si="141"/>
        <v>36000</v>
      </c>
      <c r="P380" s="422">
        <f t="shared" si="142"/>
        <v>396000</v>
      </c>
      <c r="Q380" s="422">
        <f t="shared" ca="1" si="143"/>
        <v>1377.7799111418212</v>
      </c>
      <c r="R380" s="422">
        <f t="shared" ca="1" si="144"/>
        <v>165333.58933701855</v>
      </c>
      <c r="S380" s="583">
        <f>+IF(LEFT(D380,3)="131",140100,0)+IF(LEFT(D380,3)="310",150100,0)+IF(LEFT(D380,3)="211",150101,0)+IF(LEFT(D380,3)="410",160100,0)+IF(LEFT(D380,3)="440",160200,0)+IF(LEFT(D380,3)="430",160200,0)+IF(LEFT(D380,3)="420",160200,0)+IF(LEFT(D380,3)="460",160201,0)+IF(LEFT(D380,3)="210",150101,0)+IF(LEFT(D380,3)="510",140100,0)</f>
        <v>150101</v>
      </c>
      <c r="T380" s="377" t="str">
        <f>+IFERROR(VLOOKUP(S380,STAT1!$C$4:$D$189,2,FALSE),"")</f>
        <v>Бараа бэлэн бүтээгдэхүүн БОЛОВСРУУЛАХ ЦЕХ /нарс/</v>
      </c>
      <c r="U380" s="424"/>
      <c r="V380" s="424">
        <v>165333.59</v>
      </c>
      <c r="W380" s="822">
        <v>4002</v>
      </c>
      <c r="X380" s="436" t="str">
        <f>IFERROR(VLOOKUP(W380,DATA!$G$4:$H$400,2,FALSE),"")</f>
        <v xml:space="preserve">Хувь хүн </v>
      </c>
      <c r="Y380" s="328"/>
      <c r="Z380" s="328"/>
      <c r="AA380" s="328"/>
    </row>
    <row r="381" spans="1:27" ht="12.75" customHeight="1">
      <c r="A381" s="425"/>
      <c r="B381" s="368">
        <f t="shared" si="125"/>
        <v>376</v>
      </c>
      <c r="C381" s="425">
        <v>43290</v>
      </c>
      <c r="D381" s="830"/>
      <c r="E381" s="876" t="str">
        <f t="shared" ca="1" si="126"/>
        <v/>
      </c>
      <c r="F381" s="426" t="str">
        <f t="shared" ca="1" si="139"/>
        <v/>
      </c>
      <c r="G381" s="415"/>
      <c r="H381" s="415"/>
      <c r="I381" s="415" t="str">
        <f t="shared" si="135"/>
        <v/>
      </c>
      <c r="J381" s="415" t="str">
        <f t="shared" si="136"/>
        <v/>
      </c>
      <c r="K381" s="415" t="str">
        <f t="shared" si="137"/>
        <v/>
      </c>
      <c r="L381" s="415"/>
      <c r="M381" s="415"/>
      <c r="N381" s="422" t="str">
        <f t="shared" si="140"/>
        <v/>
      </c>
      <c r="O381" s="422" t="str">
        <f t="shared" si="141"/>
        <v/>
      </c>
      <c r="P381" s="422" t="str">
        <f t="shared" si="142"/>
        <v/>
      </c>
      <c r="Q381" s="422" t="str">
        <f t="shared" si="143"/>
        <v/>
      </c>
      <c r="R381" s="422" t="str">
        <f t="shared" si="144"/>
        <v/>
      </c>
      <c r="S381" s="583">
        <v>610100</v>
      </c>
      <c r="T381" s="377" t="str">
        <f>+IFERROR(VLOOKUP(S381,STAT1!$C$4:$D$189,2,FALSE),"")</f>
        <v>Борлуулсан барааны өртөг</v>
      </c>
      <c r="U381" s="424">
        <v>165333.59</v>
      </c>
      <c r="V381" s="424"/>
      <c r="W381" s="822">
        <v>4002</v>
      </c>
      <c r="X381" s="436" t="str">
        <f>IFERROR(VLOOKUP(W381,DATA!$G$4:$H$400,2,FALSE),"")</f>
        <v xml:space="preserve">Хувь хүн </v>
      </c>
      <c r="Y381" s="328"/>
      <c r="Z381" s="328"/>
      <c r="AA381" s="328"/>
    </row>
    <row r="382" spans="1:27" ht="12.75" customHeight="1">
      <c r="A382" s="425"/>
      <c r="B382" s="368">
        <f t="shared" si="125"/>
        <v>377</v>
      </c>
      <c r="C382" s="425">
        <v>43290</v>
      </c>
      <c r="D382" s="830"/>
      <c r="E382" s="876" t="str">
        <f t="shared" ca="1" si="126"/>
        <v/>
      </c>
      <c r="F382" s="426" t="str">
        <f t="shared" ca="1" si="139"/>
        <v/>
      </c>
      <c r="G382" s="415"/>
      <c r="H382" s="415"/>
      <c r="I382" s="415" t="str">
        <f t="shared" si="135"/>
        <v/>
      </c>
      <c r="J382" s="415" t="str">
        <f t="shared" si="136"/>
        <v/>
      </c>
      <c r="K382" s="415" t="str">
        <f t="shared" si="137"/>
        <v/>
      </c>
      <c r="L382" s="415"/>
      <c r="M382" s="415"/>
      <c r="N382" s="422" t="str">
        <f t="shared" si="140"/>
        <v/>
      </c>
      <c r="O382" s="422" t="str">
        <f t="shared" si="141"/>
        <v/>
      </c>
      <c r="P382" s="422" t="str">
        <f t="shared" si="142"/>
        <v/>
      </c>
      <c r="Q382" s="422" t="str">
        <f t="shared" si="143"/>
        <v/>
      </c>
      <c r="R382" s="422" t="str">
        <f t="shared" si="144"/>
        <v/>
      </c>
      <c r="S382" s="583">
        <v>310500</v>
      </c>
      <c r="T382" s="377" t="str">
        <f>+IFERROR(VLOOKUP(S382,STAT1!$C$4:$D$189,2,FALSE),"")</f>
        <v>НӨАТ өглөг</v>
      </c>
      <c r="U382" s="415"/>
      <c r="V382" s="415">
        <v>36000</v>
      </c>
      <c r="W382" s="822">
        <v>4002</v>
      </c>
      <c r="X382" s="436" t="str">
        <f>IFERROR(VLOOKUP(W382,DATA!$G$4:$H$400,2,FALSE),"")</f>
        <v xml:space="preserve">Хувь хүн </v>
      </c>
      <c r="Y382" s="328"/>
      <c r="Z382" s="328"/>
      <c r="AA382" s="328"/>
    </row>
    <row r="383" spans="1:27" ht="12.75" customHeight="1">
      <c r="A383" s="425"/>
      <c r="B383" s="368">
        <f t="shared" si="125"/>
        <v>378</v>
      </c>
      <c r="C383" s="425">
        <v>43290</v>
      </c>
      <c r="D383" s="830"/>
      <c r="E383" s="876" t="str">
        <f t="shared" ca="1" si="126"/>
        <v/>
      </c>
      <c r="F383" s="426" t="str">
        <f t="shared" ca="1" si="139"/>
        <v/>
      </c>
      <c r="G383" s="415"/>
      <c r="H383" s="415"/>
      <c r="I383" s="415" t="str">
        <f t="shared" ref="I383:I395" si="145">+IF(G383="","",G383*H383)</f>
        <v/>
      </c>
      <c r="J383" s="415" t="str">
        <f t="shared" ref="J383:J395" si="146">+IF(G383="","",I383*0.1)</f>
        <v/>
      </c>
      <c r="K383" s="415" t="str">
        <f t="shared" ref="K383:K395" si="147">+IF(G383="","",I383+J383)</f>
        <v/>
      </c>
      <c r="L383" s="415"/>
      <c r="M383" s="415"/>
      <c r="N383" s="422" t="str">
        <f t="shared" si="140"/>
        <v/>
      </c>
      <c r="O383" s="422" t="str">
        <f t="shared" si="141"/>
        <v/>
      </c>
      <c r="P383" s="422" t="str">
        <f t="shared" si="142"/>
        <v/>
      </c>
      <c r="Q383" s="422" t="str">
        <f t="shared" si="143"/>
        <v/>
      </c>
      <c r="R383" s="422" t="str">
        <f t="shared" si="144"/>
        <v/>
      </c>
      <c r="S383" s="583">
        <v>510000</v>
      </c>
      <c r="T383" s="377" t="str">
        <f>+IFERROR(VLOOKUP(S383,STAT1!$C$4:$D$189,2,FALSE),"")</f>
        <v>Үндсэн үйл ажиллагааны борлуулалт</v>
      </c>
      <c r="U383" s="424"/>
      <c r="V383" s="424">
        <v>360000</v>
      </c>
      <c r="W383" s="822">
        <v>4002</v>
      </c>
      <c r="X383" s="436" t="str">
        <f>IFERROR(VLOOKUP(W383,DATA!$G$4:$H$400,2,FALSE),"")</f>
        <v xml:space="preserve">Хувь хүн </v>
      </c>
      <c r="Y383" s="328"/>
      <c r="Z383" s="328"/>
      <c r="AA383" s="328"/>
    </row>
    <row r="384" spans="1:27" ht="12.75" customHeight="1">
      <c r="A384" s="425"/>
      <c r="B384" s="368">
        <f t="shared" si="125"/>
        <v>379</v>
      </c>
      <c r="C384" s="425">
        <v>43290</v>
      </c>
      <c r="D384" s="830"/>
      <c r="E384" s="876" t="str">
        <f t="shared" ca="1" si="126"/>
        <v/>
      </c>
      <c r="F384" s="426" t="str">
        <f t="shared" ca="1" si="139"/>
        <v/>
      </c>
      <c r="G384" s="415"/>
      <c r="H384" s="415"/>
      <c r="I384" s="415" t="str">
        <f t="shared" si="145"/>
        <v/>
      </c>
      <c r="J384" s="415" t="str">
        <f t="shared" si="146"/>
        <v/>
      </c>
      <c r="K384" s="415" t="str">
        <f t="shared" si="147"/>
        <v/>
      </c>
      <c r="L384" s="415"/>
      <c r="M384" s="415"/>
      <c r="N384" s="422" t="str">
        <f t="shared" si="140"/>
        <v/>
      </c>
      <c r="O384" s="422" t="str">
        <f t="shared" si="141"/>
        <v/>
      </c>
      <c r="P384" s="422" t="str">
        <f t="shared" si="142"/>
        <v/>
      </c>
      <c r="Q384" s="422" t="str">
        <f t="shared" si="143"/>
        <v/>
      </c>
      <c r="R384" s="422" t="str">
        <f t="shared" si="144"/>
        <v/>
      </c>
      <c r="S384" s="583">
        <v>320100</v>
      </c>
      <c r="T384" s="377" t="str">
        <f>+IFERROR(VLOOKUP(S384,STAT1!$C$4:$D$189,2,FALSE),"")</f>
        <v>Урьдчилж орсон орлого MNT</v>
      </c>
      <c r="U384" s="424">
        <v>396000</v>
      </c>
      <c r="V384" s="424"/>
      <c r="W384" s="822">
        <v>4002</v>
      </c>
      <c r="X384" s="436" t="str">
        <f>IFERROR(VLOOKUP(W384,DATA!$G$4:$H$400,2,FALSE),"")</f>
        <v xml:space="preserve">Хувь хүн </v>
      </c>
      <c r="Y384" s="328"/>
      <c r="Z384" s="328"/>
      <c r="AA384" s="328"/>
    </row>
    <row r="385" spans="1:27" ht="12.75" customHeight="1">
      <c r="A385" s="425"/>
      <c r="B385" s="368">
        <f t="shared" si="125"/>
        <v>380</v>
      </c>
      <c r="C385" s="425">
        <v>43326</v>
      </c>
      <c r="D385" s="830">
        <v>211713</v>
      </c>
      <c r="E385" s="876" t="str">
        <f t="shared" ca="1" si="126"/>
        <v>Н-Хавтан /зузаан-2см/</v>
      </c>
      <c r="F385" s="426" t="str">
        <f t="shared" ca="1" si="139"/>
        <v>м2</v>
      </c>
      <c r="G385" s="415"/>
      <c r="H385" s="415"/>
      <c r="I385" s="415" t="str">
        <f t="shared" si="145"/>
        <v/>
      </c>
      <c r="J385" s="415" t="str">
        <f t="shared" si="146"/>
        <v/>
      </c>
      <c r="K385" s="415" t="str">
        <f t="shared" si="147"/>
        <v/>
      </c>
      <c r="L385" s="415">
        <v>301.60000000000002</v>
      </c>
      <c r="M385" s="415">
        <v>32727.272730000001</v>
      </c>
      <c r="N385" s="422">
        <f t="shared" si="140"/>
        <v>9870545.455368001</v>
      </c>
      <c r="O385" s="422">
        <f t="shared" si="141"/>
        <v>987054.54553680017</v>
      </c>
      <c r="P385" s="422">
        <f t="shared" si="142"/>
        <v>10857600.0009048</v>
      </c>
      <c r="Q385" s="422">
        <f t="shared" ca="1" si="143"/>
        <v>24820.285936271328</v>
      </c>
      <c r="R385" s="422">
        <f t="shared" ca="1" si="144"/>
        <v>7485798.2383794328</v>
      </c>
      <c r="S385" s="583">
        <f>+IF(LEFT(D385,3)="131",140100,0)+IF(LEFT(D385,3)="310",150100,0)+IF(LEFT(D385,3)="211",150101,0)+IF(LEFT(D385,3)="410",160100,0)+IF(LEFT(D385,3)="440",160200,0)+IF(LEFT(D385,3)="430",160200,0)+IF(LEFT(D385,3)="420",160200,0)+IF(LEFT(D385,3)="460",160201,0)+IF(LEFT(D385,3)="210",150101,0)+IF(LEFT(D385,3)="510",140100,0)</f>
        <v>150101</v>
      </c>
      <c r="T385" s="377" t="str">
        <f>+IFERROR(VLOOKUP(S385,STAT1!$C$4:$D$189,2,FALSE),"")</f>
        <v>Бараа бэлэн бүтээгдэхүүн БОЛОВСРУУЛАХ ЦЕХ /нарс/</v>
      </c>
      <c r="U385" s="424"/>
      <c r="V385" s="424">
        <v>7485798.2400000002</v>
      </c>
      <c r="W385" s="822">
        <v>3135</v>
      </c>
      <c r="X385" s="436" t="str">
        <f>IFERROR(VLOOKUP(W385,DATA!$G$4:$H$400,2,FALSE),"")</f>
        <v xml:space="preserve">ЛИДЕР БУЯНТ ХОЛДИНГ </v>
      </c>
      <c r="Y385" s="328"/>
      <c r="Z385" s="328"/>
      <c r="AA385" s="328"/>
    </row>
    <row r="386" spans="1:27" ht="12.75" customHeight="1">
      <c r="A386" s="425"/>
      <c r="B386" s="377">
        <f t="shared" si="125"/>
        <v>381</v>
      </c>
      <c r="C386" s="425">
        <v>43326</v>
      </c>
      <c r="D386" s="830"/>
      <c r="E386" s="876" t="str">
        <f t="shared" ca="1" si="126"/>
        <v/>
      </c>
      <c r="F386" s="426" t="str">
        <f t="shared" ca="1" si="139"/>
        <v/>
      </c>
      <c r="G386" s="415"/>
      <c r="H386" s="415"/>
      <c r="I386" s="415" t="str">
        <f t="shared" si="145"/>
        <v/>
      </c>
      <c r="J386" s="415" t="str">
        <f t="shared" si="146"/>
        <v/>
      </c>
      <c r="K386" s="415" t="str">
        <f t="shared" si="147"/>
        <v/>
      </c>
      <c r="L386" s="415"/>
      <c r="M386" s="415"/>
      <c r="N386" s="422" t="str">
        <f t="shared" si="140"/>
        <v/>
      </c>
      <c r="O386" s="422" t="str">
        <f t="shared" si="141"/>
        <v/>
      </c>
      <c r="P386" s="422" t="str">
        <f t="shared" si="142"/>
        <v/>
      </c>
      <c r="Q386" s="422" t="str">
        <f t="shared" si="143"/>
        <v/>
      </c>
      <c r="R386" s="422" t="str">
        <f t="shared" si="144"/>
        <v/>
      </c>
      <c r="S386" s="583">
        <v>610100</v>
      </c>
      <c r="T386" s="377" t="str">
        <f>+IFERROR(VLOOKUP(S386,STAT1!$C$4:$D$189,2,FALSE),"")</f>
        <v>Борлуулсан барааны өртөг</v>
      </c>
      <c r="U386" s="424">
        <v>7485798.2400000002</v>
      </c>
      <c r="V386" s="424"/>
      <c r="W386" s="822">
        <v>3135</v>
      </c>
      <c r="X386" s="436" t="str">
        <f>IFERROR(VLOOKUP(W386,DATA!$G$4:$H$400,2,FALSE),"")</f>
        <v xml:space="preserve">ЛИДЕР БУЯНТ ХОЛДИНГ </v>
      </c>
      <c r="Y386" s="328"/>
      <c r="Z386" s="328"/>
      <c r="AA386" s="328"/>
    </row>
    <row r="387" spans="1:27" ht="12.75" customHeight="1">
      <c r="A387" s="425"/>
      <c r="B387" s="368">
        <f t="shared" si="125"/>
        <v>382</v>
      </c>
      <c r="C387" s="425">
        <v>43326</v>
      </c>
      <c r="D387" s="830"/>
      <c r="E387" s="876" t="str">
        <f t="shared" ca="1" si="126"/>
        <v/>
      </c>
      <c r="F387" s="426" t="str">
        <f t="shared" ca="1" si="139"/>
        <v/>
      </c>
      <c r="G387" s="415"/>
      <c r="H387" s="415"/>
      <c r="I387" s="415" t="str">
        <f t="shared" si="145"/>
        <v/>
      </c>
      <c r="J387" s="415" t="str">
        <f t="shared" si="146"/>
        <v/>
      </c>
      <c r="K387" s="415" t="str">
        <f t="shared" si="147"/>
        <v/>
      </c>
      <c r="L387" s="415"/>
      <c r="M387" s="415"/>
      <c r="N387" s="422" t="str">
        <f t="shared" si="140"/>
        <v/>
      </c>
      <c r="O387" s="422" t="str">
        <f t="shared" si="141"/>
        <v/>
      </c>
      <c r="P387" s="422" t="str">
        <f t="shared" si="142"/>
        <v/>
      </c>
      <c r="Q387" s="422" t="str">
        <f t="shared" si="143"/>
        <v/>
      </c>
      <c r="R387" s="422" t="str">
        <f t="shared" si="144"/>
        <v/>
      </c>
      <c r="S387" s="583">
        <v>310500</v>
      </c>
      <c r="T387" s="377" t="str">
        <f>+IFERROR(VLOOKUP(S387,STAT1!$C$4:$D$189,2,FALSE),"")</f>
        <v>НӨАТ өглөг</v>
      </c>
      <c r="U387" s="424"/>
      <c r="V387" s="424">
        <v>987054.55</v>
      </c>
      <c r="W387" s="822">
        <v>3135</v>
      </c>
      <c r="X387" s="436" t="str">
        <f>IFERROR(VLOOKUP(W387,DATA!$G$4:$H$400,2,FALSE),"")</f>
        <v xml:space="preserve">ЛИДЕР БУЯНТ ХОЛДИНГ </v>
      </c>
      <c r="Y387" s="328"/>
      <c r="Z387" s="328"/>
      <c r="AA387" s="328"/>
    </row>
    <row r="388" spans="1:27" ht="12.75" customHeight="1">
      <c r="A388" s="425"/>
      <c r="B388" s="368">
        <f t="shared" si="125"/>
        <v>383</v>
      </c>
      <c r="C388" s="425">
        <v>43326</v>
      </c>
      <c r="D388" s="830"/>
      <c r="E388" s="876" t="str">
        <f t="shared" ca="1" si="126"/>
        <v/>
      </c>
      <c r="F388" s="426" t="str">
        <f t="shared" ca="1" si="139"/>
        <v/>
      </c>
      <c r="G388" s="415"/>
      <c r="H388" s="415"/>
      <c r="I388" s="415" t="str">
        <f t="shared" si="145"/>
        <v/>
      </c>
      <c r="J388" s="415" t="str">
        <f t="shared" si="146"/>
        <v/>
      </c>
      <c r="K388" s="415" t="str">
        <f t="shared" si="147"/>
        <v/>
      </c>
      <c r="L388" s="415"/>
      <c r="M388" s="415"/>
      <c r="N388" s="422" t="str">
        <f t="shared" si="140"/>
        <v/>
      </c>
      <c r="O388" s="422" t="str">
        <f t="shared" si="141"/>
        <v/>
      </c>
      <c r="P388" s="422" t="str">
        <f t="shared" si="142"/>
        <v/>
      </c>
      <c r="Q388" s="422" t="str">
        <f t="shared" si="143"/>
        <v/>
      </c>
      <c r="R388" s="422" t="str">
        <f t="shared" si="144"/>
        <v/>
      </c>
      <c r="S388" s="583">
        <v>510000</v>
      </c>
      <c r="T388" s="377" t="str">
        <f>+IFERROR(VLOOKUP(S388,STAT1!$C$4:$D$189,2,FALSE),"")</f>
        <v>Үндсэн үйл ажиллагааны борлуулалт</v>
      </c>
      <c r="U388" s="424"/>
      <c r="V388" s="424">
        <v>9870545.4499999993</v>
      </c>
      <c r="W388" s="822">
        <v>3135</v>
      </c>
      <c r="X388" s="436" t="str">
        <f>IFERROR(VLOOKUP(W388,DATA!$G$4:$H$400,2,FALSE),"")</f>
        <v xml:space="preserve">ЛИДЕР БУЯНТ ХОЛДИНГ </v>
      </c>
      <c r="Y388" s="328"/>
      <c r="Z388" s="328"/>
      <c r="AA388" s="328"/>
    </row>
    <row r="389" spans="1:27" ht="12.75" customHeight="1">
      <c r="A389" s="425"/>
      <c r="B389" s="368">
        <f t="shared" si="125"/>
        <v>384</v>
      </c>
      <c r="C389" s="425">
        <v>43326</v>
      </c>
      <c r="D389" s="830"/>
      <c r="E389" s="876" t="str">
        <f t="shared" ca="1" si="126"/>
        <v/>
      </c>
      <c r="F389" s="426" t="str">
        <f t="shared" ca="1" si="139"/>
        <v/>
      </c>
      <c r="G389" s="415"/>
      <c r="H389" s="415"/>
      <c r="I389" s="415" t="str">
        <f t="shared" si="145"/>
        <v/>
      </c>
      <c r="J389" s="415" t="str">
        <f t="shared" si="146"/>
        <v/>
      </c>
      <c r="K389" s="415" t="str">
        <f t="shared" si="147"/>
        <v/>
      </c>
      <c r="L389" s="415"/>
      <c r="M389" s="415"/>
      <c r="N389" s="422" t="str">
        <f t="shared" si="140"/>
        <v/>
      </c>
      <c r="O389" s="422" t="str">
        <f t="shared" si="141"/>
        <v/>
      </c>
      <c r="P389" s="422" t="str">
        <f t="shared" si="142"/>
        <v/>
      </c>
      <c r="Q389" s="422" t="str">
        <f t="shared" si="143"/>
        <v/>
      </c>
      <c r="R389" s="422" t="str">
        <f t="shared" si="144"/>
        <v/>
      </c>
      <c r="S389" s="583">
        <v>320100</v>
      </c>
      <c r="T389" s="377" t="str">
        <f>+IFERROR(VLOOKUP(S389,STAT1!$C$4:$D$189,2,FALSE),"")</f>
        <v>Урьдчилж орсон орлого MNT</v>
      </c>
      <c r="U389" s="424">
        <v>10857600</v>
      </c>
      <c r="V389" s="424"/>
      <c r="W389" s="822">
        <v>3135</v>
      </c>
      <c r="X389" s="436" t="str">
        <f>IFERROR(VLOOKUP(W389,DATA!$G$4:$H$400,2,FALSE),"")</f>
        <v xml:space="preserve">ЛИДЕР БУЯНТ ХОЛДИНГ </v>
      </c>
      <c r="Y389" s="328"/>
      <c r="Z389" s="328"/>
      <c r="AA389" s="328"/>
    </row>
    <row r="390" spans="1:27" ht="12.75" customHeight="1">
      <c r="A390" s="425"/>
      <c r="B390" s="368">
        <f t="shared" si="125"/>
        <v>385</v>
      </c>
      <c r="C390" s="425">
        <v>43326</v>
      </c>
      <c r="D390" s="830">
        <v>211501</v>
      </c>
      <c r="E390" s="876" t="str">
        <f ca="1">+IFERROR(VLOOKUP(D390,TN_table,2,FALSE),"")</f>
        <v>Н-Евровагонка /зузаан-2.2см/</v>
      </c>
      <c r="F390" s="426" t="str">
        <f t="shared" ca="1" si="139"/>
        <v>м2</v>
      </c>
      <c r="G390" s="415"/>
      <c r="H390" s="415"/>
      <c r="I390" s="415" t="str">
        <f t="shared" si="145"/>
        <v/>
      </c>
      <c r="J390" s="415" t="str">
        <f t="shared" si="146"/>
        <v/>
      </c>
      <c r="K390" s="415" t="str">
        <f t="shared" si="147"/>
        <v/>
      </c>
      <c r="L390" s="415">
        <v>316.5</v>
      </c>
      <c r="M390" s="415">
        <v>30003.619119999999</v>
      </c>
      <c r="N390" s="422">
        <f t="shared" si="140"/>
        <v>9496145.4514799993</v>
      </c>
      <c r="O390" s="422">
        <f t="shared" si="141"/>
        <v>949614.545148</v>
      </c>
      <c r="P390" s="422">
        <f t="shared" si="142"/>
        <v>10445759.996627999</v>
      </c>
      <c r="Q390" s="422">
        <f t="shared" ca="1" si="143"/>
        <v>13118.33099994055</v>
      </c>
      <c r="R390" s="422">
        <f t="shared" ca="1" si="144"/>
        <v>4151951.761481184</v>
      </c>
      <c r="S390" s="583">
        <f>+IF(LEFT(D390,3)="131",140100,0)+IF(LEFT(D390,3)="310",150100,0)+IF(LEFT(D390,3)="211",150101,0)+IF(LEFT(D390,3)="410",160100,0)+IF(LEFT(D390,3)="440",160200,0)+IF(LEFT(D390,3)="430",160200,0)+IF(LEFT(D390,3)="420",160200,0)+IF(LEFT(D390,3)="460",160201,0)+IF(LEFT(D390,3)="210",150101,0)+IF(LEFT(D390,3)="510",140100,0)</f>
        <v>150101</v>
      </c>
      <c r="T390" s="377" t="str">
        <f>+IFERROR(VLOOKUP(S390,STAT1!$C$4:$D$189,2,FALSE),"")</f>
        <v>Бараа бэлэн бүтээгдэхүүн БОЛОВСРУУЛАХ ЦЕХ /нарс/</v>
      </c>
      <c r="U390" s="424"/>
      <c r="V390" s="424">
        <v>4151951.76</v>
      </c>
      <c r="W390" s="822">
        <v>3131</v>
      </c>
      <c r="X390" s="436" t="str">
        <f>IFERROR(VLOOKUP(W390,DATA!$G$4:$H$400,2,FALSE),"")</f>
        <v>ДЕЛЬТА КОНСТРАКШН ХХК</v>
      </c>
      <c r="Y390" s="328"/>
      <c r="Z390" s="328"/>
      <c r="AA390" s="328"/>
    </row>
    <row r="391" spans="1:27" ht="12.75" customHeight="1">
      <c r="A391" s="425"/>
      <c r="B391" s="368">
        <f t="shared" si="125"/>
        <v>386</v>
      </c>
      <c r="C391" s="425">
        <v>43326</v>
      </c>
      <c r="D391" s="830"/>
      <c r="E391" s="876" t="str">
        <f ca="1">+IFERROR(VLOOKUP(D391,TN_table,2,FALSE),"")</f>
        <v/>
      </c>
      <c r="F391" s="426" t="str">
        <f t="shared" ca="1" si="139"/>
        <v/>
      </c>
      <c r="G391" s="415"/>
      <c r="H391" s="415"/>
      <c r="I391" s="415" t="str">
        <f t="shared" si="145"/>
        <v/>
      </c>
      <c r="J391" s="415" t="str">
        <f t="shared" si="146"/>
        <v/>
      </c>
      <c r="K391" s="415" t="str">
        <f t="shared" si="147"/>
        <v/>
      </c>
      <c r="L391" s="415"/>
      <c r="M391" s="415"/>
      <c r="N391" s="422" t="str">
        <f t="shared" si="140"/>
        <v/>
      </c>
      <c r="O391" s="422" t="str">
        <f t="shared" si="141"/>
        <v/>
      </c>
      <c r="P391" s="422" t="str">
        <f t="shared" si="142"/>
        <v/>
      </c>
      <c r="Q391" s="422" t="str">
        <f t="shared" si="143"/>
        <v/>
      </c>
      <c r="R391" s="422" t="str">
        <f t="shared" si="144"/>
        <v/>
      </c>
      <c r="S391" s="583">
        <v>610100</v>
      </c>
      <c r="T391" s="377" t="str">
        <f>+IFERROR(VLOOKUP(S391,STAT1!$C$4:$D$189,2,FALSE),"")</f>
        <v>Борлуулсан барааны өртөг</v>
      </c>
      <c r="U391" s="424">
        <v>4151951.76</v>
      </c>
      <c r="V391" s="415"/>
      <c r="W391" s="822">
        <v>3131</v>
      </c>
      <c r="X391" s="436" t="str">
        <f>IFERROR(VLOOKUP(W391,DATA!$G$4:$H$400,2,FALSE),"")</f>
        <v>ДЕЛЬТА КОНСТРАКШН ХХК</v>
      </c>
      <c r="Y391" s="328"/>
      <c r="Z391" s="328"/>
      <c r="AA391" s="328"/>
    </row>
    <row r="392" spans="1:27" ht="12.75" customHeight="1">
      <c r="A392" s="425"/>
      <c r="B392" s="368">
        <f t="shared" si="125"/>
        <v>387</v>
      </c>
      <c r="C392" s="425">
        <v>43326</v>
      </c>
      <c r="D392" s="830"/>
      <c r="E392" s="876" t="str">
        <f ca="1">+IFERROR(VLOOKUP(D392,TN_table,2,FALSE),"")</f>
        <v/>
      </c>
      <c r="F392" s="426" t="str">
        <f t="shared" ca="1" si="139"/>
        <v/>
      </c>
      <c r="G392" s="415"/>
      <c r="H392" s="415"/>
      <c r="I392" s="415" t="str">
        <f t="shared" si="145"/>
        <v/>
      </c>
      <c r="J392" s="415" t="str">
        <f t="shared" si="146"/>
        <v/>
      </c>
      <c r="K392" s="415" t="str">
        <f t="shared" si="147"/>
        <v/>
      </c>
      <c r="L392" s="415"/>
      <c r="M392" s="415"/>
      <c r="N392" s="422" t="str">
        <f t="shared" si="140"/>
        <v/>
      </c>
      <c r="O392" s="422" t="str">
        <f t="shared" si="141"/>
        <v/>
      </c>
      <c r="P392" s="422" t="str">
        <f t="shared" si="142"/>
        <v/>
      </c>
      <c r="Q392" s="422" t="str">
        <f t="shared" si="143"/>
        <v/>
      </c>
      <c r="R392" s="422" t="str">
        <f t="shared" si="144"/>
        <v/>
      </c>
      <c r="S392" s="583">
        <v>310500</v>
      </c>
      <c r="T392" s="377" t="str">
        <f>+IFERROR(VLOOKUP(S392,STAT1!$C$4:$D$189,2,FALSE),"")</f>
        <v>НӨАТ өглөг</v>
      </c>
      <c r="U392" s="424"/>
      <c r="V392" s="424">
        <v>949614.55</v>
      </c>
      <c r="W392" s="822">
        <v>3131</v>
      </c>
      <c r="X392" s="436" t="str">
        <f>IFERROR(VLOOKUP(W392,DATA!$G$4:$H$400,2,FALSE),"")</f>
        <v>ДЕЛЬТА КОНСТРАКШН ХХК</v>
      </c>
      <c r="Y392" s="328"/>
      <c r="Z392" s="328"/>
      <c r="AA392" s="328"/>
    </row>
    <row r="393" spans="1:27" ht="12.75" customHeight="1">
      <c r="A393" s="425"/>
      <c r="B393" s="368">
        <f t="shared" si="125"/>
        <v>388</v>
      </c>
      <c r="C393" s="425">
        <v>43326</v>
      </c>
      <c r="D393" s="830"/>
      <c r="E393" s="876" t="str">
        <f ca="1">+IFERROR(VLOOKUP(D393,TN_table,2,FALSE),"")</f>
        <v/>
      </c>
      <c r="F393" s="426" t="str">
        <f t="shared" ca="1" si="139"/>
        <v/>
      </c>
      <c r="G393" s="415"/>
      <c r="H393" s="415"/>
      <c r="I393" s="415" t="str">
        <f t="shared" si="145"/>
        <v/>
      </c>
      <c r="J393" s="415" t="str">
        <f t="shared" si="146"/>
        <v/>
      </c>
      <c r="K393" s="415" t="str">
        <f t="shared" si="147"/>
        <v/>
      </c>
      <c r="L393" s="415"/>
      <c r="M393" s="415"/>
      <c r="N393" s="422" t="str">
        <f t="shared" si="140"/>
        <v/>
      </c>
      <c r="O393" s="422" t="str">
        <f t="shared" si="141"/>
        <v/>
      </c>
      <c r="P393" s="422" t="str">
        <f t="shared" si="142"/>
        <v/>
      </c>
      <c r="Q393" s="422" t="str">
        <f t="shared" si="143"/>
        <v/>
      </c>
      <c r="R393" s="422" t="str">
        <f t="shared" si="144"/>
        <v/>
      </c>
      <c r="S393" s="583">
        <v>510000</v>
      </c>
      <c r="T393" s="377" t="str">
        <f>+IFERROR(VLOOKUP(S393,STAT1!$C$4:$D$189,2,FALSE),"")</f>
        <v>Үндсэн үйл ажиллагааны борлуулалт</v>
      </c>
      <c r="U393" s="424"/>
      <c r="V393" s="424">
        <v>9496145.4499999993</v>
      </c>
      <c r="W393" s="822">
        <v>3131</v>
      </c>
      <c r="X393" s="436" t="str">
        <f>IFERROR(VLOOKUP(W393,DATA!$G$4:$H$400,2,FALSE),"")</f>
        <v>ДЕЛЬТА КОНСТРАКШН ХХК</v>
      </c>
      <c r="Y393" s="328"/>
      <c r="Z393" s="328"/>
      <c r="AA393" s="328"/>
    </row>
    <row r="394" spans="1:27" ht="12.75" customHeight="1">
      <c r="A394" s="425"/>
      <c r="B394" s="368">
        <f t="shared" ref="B394:B457" si="148">+IF(C394="","",ROW()-5)</f>
        <v>389</v>
      </c>
      <c r="C394" s="425">
        <v>43326</v>
      </c>
      <c r="D394" s="830"/>
      <c r="E394" s="876" t="str">
        <f t="shared" ref="E394:E457" ca="1" si="149">+IFERROR(VLOOKUP(D394,TN_table,2,FALSE),"")</f>
        <v/>
      </c>
      <c r="F394" s="426" t="str">
        <f t="shared" ca="1" si="139"/>
        <v/>
      </c>
      <c r="G394" s="415"/>
      <c r="H394" s="415"/>
      <c r="I394" s="415" t="str">
        <f t="shared" si="145"/>
        <v/>
      </c>
      <c r="J394" s="415" t="str">
        <f t="shared" si="146"/>
        <v/>
      </c>
      <c r="K394" s="415" t="str">
        <f t="shared" si="147"/>
        <v/>
      </c>
      <c r="L394" s="415"/>
      <c r="M394" s="415"/>
      <c r="N394" s="422" t="str">
        <f t="shared" si="140"/>
        <v/>
      </c>
      <c r="O394" s="422" t="str">
        <f t="shared" si="141"/>
        <v/>
      </c>
      <c r="P394" s="422" t="str">
        <f t="shared" si="142"/>
        <v/>
      </c>
      <c r="Q394" s="422" t="str">
        <f t="shared" si="143"/>
        <v/>
      </c>
      <c r="R394" s="422" t="str">
        <f t="shared" si="144"/>
        <v/>
      </c>
      <c r="S394" s="583">
        <v>320100</v>
      </c>
      <c r="T394" s="377" t="str">
        <f>+IFERROR(VLOOKUP(S394,STAT1!$C$4:$D$189,2,FALSE),"")</f>
        <v>Урьдчилж орсон орлого MNT</v>
      </c>
      <c r="U394" s="424">
        <v>10445760</v>
      </c>
      <c r="V394" s="424"/>
      <c r="W394" s="822">
        <v>3131</v>
      </c>
      <c r="X394" s="436" t="str">
        <f>IFERROR(VLOOKUP(W394,DATA!$G$4:$H$400,2,FALSE),"")</f>
        <v>ДЕЛЬТА КОНСТРАКШН ХХК</v>
      </c>
      <c r="Y394" s="328"/>
      <c r="Z394" s="328"/>
      <c r="AA394" s="328"/>
    </row>
    <row r="395" spans="1:27" ht="12.75" customHeight="1">
      <c r="A395" s="425"/>
      <c r="B395" s="368">
        <f t="shared" si="148"/>
        <v>390</v>
      </c>
      <c r="C395" s="425">
        <v>43343</v>
      </c>
      <c r="D395" s="830">
        <v>410005</v>
      </c>
      <c r="E395" s="876" t="str">
        <f t="shared" ca="1" si="149"/>
        <v>Хавтан /фасад/</v>
      </c>
      <c r="F395" s="426" t="str">
        <f t="shared" ca="1" si="139"/>
        <v>ш</v>
      </c>
      <c r="G395" s="415">
        <v>13</v>
      </c>
      <c r="H395" s="415">
        <f>54900/1.1</f>
        <v>49909.090909090904</v>
      </c>
      <c r="I395" s="415">
        <f t="shared" si="145"/>
        <v>648818.18181818177</v>
      </c>
      <c r="J395" s="415">
        <f t="shared" si="146"/>
        <v>64881.818181818177</v>
      </c>
      <c r="K395" s="415">
        <f t="shared" si="147"/>
        <v>713700</v>
      </c>
      <c r="L395" s="415"/>
      <c r="M395" s="415"/>
      <c r="N395" s="422" t="str">
        <f t="shared" si="140"/>
        <v/>
      </c>
      <c r="O395" s="422" t="str">
        <f t="shared" si="141"/>
        <v/>
      </c>
      <c r="P395" s="422" t="str">
        <f t="shared" si="142"/>
        <v/>
      </c>
      <c r="Q395" s="422" t="str">
        <f t="shared" si="143"/>
        <v/>
      </c>
      <c r="R395" s="422" t="str">
        <f t="shared" si="144"/>
        <v/>
      </c>
      <c r="S395" s="583">
        <f>+IF(LEFT(D395,3)="131",140100,0)+IF(LEFT(D395,3)="310",150100,0)+IF(LEFT(D395,3)="211",150101,0)+IF(LEFT(D395,3)="410",160100,0)+IF(LEFT(D395,3)="440",160200,0)+IF(LEFT(D395,3)="430",160200,0)+IF(LEFT(D395,3)="420",160200,0)+IF(LEFT(D395,3)="460",160201,0)+IF(LEFT(D395,3)="210",150101,0)+IF(LEFT(D395,3)="510",140100,0)</f>
        <v>160100</v>
      </c>
      <c r="T395" s="377" t="str">
        <f>+IFERROR(VLOOKUP(S395,STAT1!$C$4:$D$189,2,FALSE),"")</f>
        <v xml:space="preserve">Барилгын материал </v>
      </c>
      <c r="U395" s="424">
        <v>648818.18000000005</v>
      </c>
      <c r="V395" s="424"/>
      <c r="W395" s="822">
        <v>1004</v>
      </c>
      <c r="X395" s="436" t="str">
        <f>IFERROR(VLOOKUP(W395,DATA!$G$4:$H$400,2,FALSE),"")</f>
        <v xml:space="preserve">Түмэндэлгэр </v>
      </c>
      <c r="Y395" s="328"/>
      <c r="Z395" s="328"/>
      <c r="AA395" s="328"/>
    </row>
    <row r="396" spans="1:27" ht="12.75" customHeight="1">
      <c r="A396" s="425"/>
      <c r="B396" s="368">
        <f t="shared" si="148"/>
        <v>391</v>
      </c>
      <c r="C396" s="425">
        <v>43343</v>
      </c>
      <c r="D396" s="830"/>
      <c r="E396" s="876" t="str">
        <f t="shared" ca="1" si="149"/>
        <v/>
      </c>
      <c r="F396" s="426" t="str">
        <f t="shared" ca="1" si="139"/>
        <v/>
      </c>
      <c r="G396" s="415"/>
      <c r="H396" s="415"/>
      <c r="I396" s="415" t="str">
        <f t="shared" ref="I396:I459" si="150">+IF(G396="","",G396*H396)</f>
        <v/>
      </c>
      <c r="J396" s="415" t="str">
        <f t="shared" ref="J396:J459" si="151">+IF(G396="","",I396*0.1)</f>
        <v/>
      </c>
      <c r="K396" s="415" t="str">
        <f t="shared" ref="K396:K459" si="152">+IF(G396="","",I396+J396)</f>
        <v/>
      </c>
      <c r="L396" s="415"/>
      <c r="M396" s="415"/>
      <c r="N396" s="422" t="str">
        <f t="shared" si="140"/>
        <v/>
      </c>
      <c r="O396" s="422" t="str">
        <f t="shared" si="141"/>
        <v/>
      </c>
      <c r="P396" s="422" t="str">
        <f t="shared" si="142"/>
        <v/>
      </c>
      <c r="Q396" s="422" t="str">
        <f t="shared" si="143"/>
        <v/>
      </c>
      <c r="R396" s="422" t="str">
        <f t="shared" si="144"/>
        <v/>
      </c>
      <c r="S396" s="583">
        <v>120600</v>
      </c>
      <c r="T396" s="377" t="str">
        <f>+IFERROR(VLOOKUP(S396,STAT1!$C$4:$D$189,2,FALSE),"")</f>
        <v>НӨАТ авлага</v>
      </c>
      <c r="U396" s="415">
        <v>64881.82</v>
      </c>
      <c r="V396" s="415"/>
      <c r="W396" s="823">
        <v>1004</v>
      </c>
      <c r="X396" s="436" t="str">
        <f>IFERROR(VLOOKUP(W396,DATA!$G$4:$H$400,2,FALSE),"")</f>
        <v xml:space="preserve">Түмэндэлгэр </v>
      </c>
      <c r="Y396" s="328"/>
      <c r="Z396" s="328"/>
      <c r="AA396" s="328"/>
    </row>
    <row r="397" spans="1:27" ht="12.75" customHeight="1">
      <c r="A397" s="425"/>
      <c r="B397" s="368">
        <f t="shared" si="148"/>
        <v>392</v>
      </c>
      <c r="C397" s="425">
        <v>43343</v>
      </c>
      <c r="D397" s="830"/>
      <c r="E397" s="876" t="str">
        <f t="shared" ca="1" si="149"/>
        <v/>
      </c>
      <c r="F397" s="426" t="str">
        <f t="shared" ca="1" si="139"/>
        <v/>
      </c>
      <c r="G397" s="415"/>
      <c r="H397" s="415"/>
      <c r="I397" s="415" t="str">
        <f t="shared" si="150"/>
        <v/>
      </c>
      <c r="J397" s="415" t="str">
        <f t="shared" si="151"/>
        <v/>
      </c>
      <c r="K397" s="415" t="str">
        <f t="shared" si="152"/>
        <v/>
      </c>
      <c r="L397" s="415"/>
      <c r="M397" s="415"/>
      <c r="N397" s="422" t="str">
        <f t="shared" si="140"/>
        <v/>
      </c>
      <c r="O397" s="422" t="str">
        <f t="shared" si="141"/>
        <v/>
      </c>
      <c r="P397" s="422" t="str">
        <f t="shared" si="142"/>
        <v/>
      </c>
      <c r="Q397" s="422" t="str">
        <f t="shared" si="143"/>
        <v/>
      </c>
      <c r="R397" s="422" t="str">
        <f t="shared" si="144"/>
        <v/>
      </c>
      <c r="S397" s="583">
        <v>121200</v>
      </c>
      <c r="T397" s="377" t="str">
        <f>+IFERROR(VLOOKUP(S397,STAT1!$C$4:$D$189,2,FALSE),"")</f>
        <v xml:space="preserve">Ажилчидын дараа тайлангийн тооцоо </v>
      </c>
      <c r="U397" s="424"/>
      <c r="V397" s="424">
        <v>713700</v>
      </c>
      <c r="W397" s="822">
        <v>1004</v>
      </c>
      <c r="X397" s="436" t="str">
        <f>IFERROR(VLOOKUP(W397,DATA!$G$4:$H$400,2,FALSE),"")</f>
        <v xml:space="preserve">Түмэндэлгэр </v>
      </c>
      <c r="Y397" s="328"/>
      <c r="Z397" s="328"/>
      <c r="AA397" s="328"/>
    </row>
    <row r="398" spans="1:27" ht="12.75" customHeight="1">
      <c r="A398" s="425"/>
      <c r="B398" s="368">
        <f t="shared" si="148"/>
        <v>393</v>
      </c>
      <c r="C398" s="425">
        <v>43360</v>
      </c>
      <c r="D398" s="830">
        <v>211401</v>
      </c>
      <c r="E398" s="876" t="str">
        <f t="shared" ca="1" si="149"/>
        <v xml:space="preserve">Н-Блок Хаус  /4.3*16.5см/-яртай </v>
      </c>
      <c r="F398" s="426" t="str">
        <f t="shared" ca="1" si="139"/>
        <v>м2</v>
      </c>
      <c r="G398" s="415"/>
      <c r="H398" s="415"/>
      <c r="I398" s="415" t="str">
        <f t="shared" si="150"/>
        <v/>
      </c>
      <c r="J398" s="415" t="str">
        <f t="shared" si="151"/>
        <v/>
      </c>
      <c r="K398" s="415" t="str">
        <f t="shared" si="152"/>
        <v/>
      </c>
      <c r="L398" s="415">
        <v>67</v>
      </c>
      <c r="M398" s="415">
        <v>68181.818180000002</v>
      </c>
      <c r="N398" s="422">
        <f t="shared" si="140"/>
        <v>4568181.8180600004</v>
      </c>
      <c r="O398" s="422">
        <f t="shared" si="141"/>
        <v>456818.18180600007</v>
      </c>
      <c r="P398" s="422">
        <f t="shared" si="142"/>
        <v>5024999.9998660004</v>
      </c>
      <c r="Q398" s="422">
        <f t="shared" ca="1" si="143"/>
        <v>51757.378455145074</v>
      </c>
      <c r="R398" s="422">
        <f t="shared" ca="1" si="144"/>
        <v>3467744.3564947201</v>
      </c>
      <c r="S398" s="583">
        <f>+IF(LEFT(D398,3)="131",140100,0)+IF(LEFT(D398,3)="310",150100,0)+IF(LEFT(D398,3)="211",150101,0)+IF(LEFT(D398,3)="410",160100,0)+IF(LEFT(D398,3)="440",160200,0)+IF(LEFT(D398,3)="430",160200,0)+IF(LEFT(D398,3)="420",160200,0)+IF(LEFT(D398,3)="460",160201,0)+IF(LEFT(D398,3)="210",150101,0)+IF(LEFT(D398,3)="510",140100,0)</f>
        <v>150101</v>
      </c>
      <c r="T398" s="377" t="str">
        <f>+IFERROR(VLOOKUP(S398,STAT1!$C$4:$D$189,2,FALSE),"")</f>
        <v>Бараа бэлэн бүтээгдэхүүн БОЛОВСРУУЛАХ ЦЕХ /нарс/</v>
      </c>
      <c r="U398" s="424"/>
      <c r="V398" s="424">
        <v>3467744.36</v>
      </c>
      <c r="W398" s="822">
        <v>3136</v>
      </c>
      <c r="X398" s="436" t="str">
        <f>IFERROR(VLOOKUP(W398,DATA!$G$4:$H$400,2,FALSE),"")</f>
        <v xml:space="preserve">ЭМ ЭС ЭН ЭС ХХК </v>
      </c>
      <c r="Y398" s="328"/>
      <c r="Z398" s="328"/>
      <c r="AA398" s="328"/>
    </row>
    <row r="399" spans="1:27" ht="12.75" customHeight="1">
      <c r="A399" s="425"/>
      <c r="B399" s="368">
        <f t="shared" si="148"/>
        <v>394</v>
      </c>
      <c r="C399" s="425">
        <v>43360</v>
      </c>
      <c r="D399" s="830"/>
      <c r="E399" s="876" t="str">
        <f t="shared" ca="1" si="149"/>
        <v/>
      </c>
      <c r="F399" s="426" t="str">
        <f t="shared" ca="1" si="139"/>
        <v/>
      </c>
      <c r="G399" s="415"/>
      <c r="H399" s="415"/>
      <c r="I399" s="415" t="str">
        <f t="shared" si="150"/>
        <v/>
      </c>
      <c r="J399" s="415" t="str">
        <f t="shared" si="151"/>
        <v/>
      </c>
      <c r="K399" s="415" t="str">
        <f t="shared" si="152"/>
        <v/>
      </c>
      <c r="L399" s="415"/>
      <c r="M399" s="415"/>
      <c r="N399" s="422" t="str">
        <f t="shared" si="140"/>
        <v/>
      </c>
      <c r="O399" s="422" t="str">
        <f t="shared" si="141"/>
        <v/>
      </c>
      <c r="P399" s="422" t="str">
        <f t="shared" si="142"/>
        <v/>
      </c>
      <c r="Q399" s="422" t="str">
        <f t="shared" si="143"/>
        <v/>
      </c>
      <c r="R399" s="422" t="str">
        <f t="shared" si="144"/>
        <v/>
      </c>
      <c r="S399" s="583">
        <v>610100</v>
      </c>
      <c r="T399" s="377" t="str">
        <f>+IFERROR(VLOOKUP(S399,STAT1!$C$4:$D$189,2,FALSE),"")</f>
        <v>Борлуулсан барааны өртөг</v>
      </c>
      <c r="U399" s="424">
        <v>3467744.36</v>
      </c>
      <c r="V399" s="424"/>
      <c r="W399" s="822">
        <v>3136</v>
      </c>
      <c r="X399" s="436" t="str">
        <f>IFERROR(VLOOKUP(W399,DATA!$G$4:$H$400,2,FALSE),"")</f>
        <v xml:space="preserve">ЭМ ЭС ЭН ЭС ХХК </v>
      </c>
      <c r="Y399" s="328"/>
      <c r="Z399" s="328"/>
      <c r="AA399" s="328"/>
    </row>
    <row r="400" spans="1:27" ht="12.75" customHeight="1">
      <c r="A400" s="425"/>
      <c r="B400" s="368">
        <f t="shared" si="148"/>
        <v>395</v>
      </c>
      <c r="C400" s="425">
        <v>43360</v>
      </c>
      <c r="D400" s="830"/>
      <c r="E400" s="876" t="str">
        <f t="shared" ca="1" si="149"/>
        <v/>
      </c>
      <c r="F400" s="426" t="str">
        <f t="shared" ca="1" si="139"/>
        <v/>
      </c>
      <c r="G400" s="415"/>
      <c r="H400" s="415"/>
      <c r="I400" s="415" t="str">
        <f t="shared" si="150"/>
        <v/>
      </c>
      <c r="J400" s="415" t="str">
        <f t="shared" si="151"/>
        <v/>
      </c>
      <c r="K400" s="415" t="str">
        <f t="shared" si="152"/>
        <v/>
      </c>
      <c r="L400" s="415"/>
      <c r="M400" s="415"/>
      <c r="N400" s="422" t="str">
        <f t="shared" si="140"/>
        <v/>
      </c>
      <c r="O400" s="422" t="str">
        <f t="shared" si="141"/>
        <v/>
      </c>
      <c r="P400" s="422" t="str">
        <f t="shared" si="142"/>
        <v/>
      </c>
      <c r="Q400" s="422" t="str">
        <f t="shared" si="143"/>
        <v/>
      </c>
      <c r="R400" s="422" t="str">
        <f t="shared" si="144"/>
        <v/>
      </c>
      <c r="S400" s="583">
        <v>310500</v>
      </c>
      <c r="T400" s="377" t="str">
        <f>+IFERROR(VLOOKUP(S400,STAT1!$C$4:$D$189,2,FALSE),"")</f>
        <v>НӨАТ өглөг</v>
      </c>
      <c r="U400" s="424"/>
      <c r="V400" s="424">
        <v>456818.18</v>
      </c>
      <c r="W400" s="822">
        <v>3136</v>
      </c>
      <c r="X400" s="436" t="str">
        <f>IFERROR(VLOOKUP(W400,DATA!$G$4:$H$400,2,FALSE),"")</f>
        <v xml:space="preserve">ЭМ ЭС ЭН ЭС ХХК </v>
      </c>
      <c r="Y400" s="328"/>
      <c r="Z400" s="328"/>
      <c r="AA400" s="328"/>
    </row>
    <row r="401" spans="1:27" ht="12.75" customHeight="1">
      <c r="A401" s="425"/>
      <c r="B401" s="368">
        <f t="shared" si="148"/>
        <v>396</v>
      </c>
      <c r="C401" s="425">
        <v>43360</v>
      </c>
      <c r="D401" s="830"/>
      <c r="E401" s="876" t="str">
        <f t="shared" ca="1" si="149"/>
        <v/>
      </c>
      <c r="F401" s="426"/>
      <c r="G401" s="415"/>
      <c r="H401" s="415"/>
      <c r="I401" s="415" t="str">
        <f t="shared" si="150"/>
        <v/>
      </c>
      <c r="J401" s="415" t="str">
        <f t="shared" si="151"/>
        <v/>
      </c>
      <c r="K401" s="415" t="str">
        <f t="shared" si="152"/>
        <v/>
      </c>
      <c r="L401" s="415"/>
      <c r="M401" s="415"/>
      <c r="N401" s="422"/>
      <c r="O401" s="422"/>
      <c r="P401" s="422"/>
      <c r="Q401" s="422"/>
      <c r="R401" s="422"/>
      <c r="S401" s="583">
        <v>510000</v>
      </c>
      <c r="T401" s="377" t="str">
        <f>+IFERROR(VLOOKUP(S401,STAT1!$C$4:$D$189,2,FALSE),"")</f>
        <v>Үндсэн үйл ажиллагааны борлуулалт</v>
      </c>
      <c r="U401" s="424"/>
      <c r="V401" s="424">
        <v>4568181.82</v>
      </c>
      <c r="W401" s="822">
        <v>3136</v>
      </c>
      <c r="X401" s="436" t="str">
        <f>IFERROR(VLOOKUP(W401,DATA!$G$4:$H$400,2,FALSE),"")</f>
        <v xml:space="preserve">ЭМ ЭС ЭН ЭС ХХК </v>
      </c>
      <c r="Y401" s="328"/>
      <c r="Z401" s="328"/>
      <c r="AA401" s="328"/>
    </row>
    <row r="402" spans="1:27" ht="12.75" customHeight="1">
      <c r="A402" s="425"/>
      <c r="B402" s="368">
        <f t="shared" si="148"/>
        <v>397</v>
      </c>
      <c r="C402" s="425">
        <v>43360</v>
      </c>
      <c r="D402" s="830"/>
      <c r="E402" s="876" t="str">
        <f t="shared" ca="1" si="149"/>
        <v/>
      </c>
      <c r="F402" s="426" t="str">
        <f t="shared" ref="F402:F464" ca="1" si="153">+IFERROR(VLOOKUP(D402,TN_table,3,FALSE),"")</f>
        <v/>
      </c>
      <c r="G402" s="415"/>
      <c r="H402" s="415"/>
      <c r="I402" s="415" t="str">
        <f t="shared" si="150"/>
        <v/>
      </c>
      <c r="J402" s="415" t="str">
        <f t="shared" si="151"/>
        <v/>
      </c>
      <c r="K402" s="415" t="str">
        <f t="shared" si="152"/>
        <v/>
      </c>
      <c r="L402" s="415"/>
      <c r="M402" s="415"/>
      <c r="N402" s="422" t="str">
        <f t="shared" ref="N402:N433" si="154">+IF(L402="","",L402*M402)</f>
        <v/>
      </c>
      <c r="O402" s="422" t="str">
        <f t="shared" ref="O402:O440" si="155">+IF(L402="","",N402*0.1)</f>
        <v/>
      </c>
      <c r="P402" s="422" t="str">
        <f t="shared" ref="P402:P440" si="156">+IF(L402="","",N402+O402)</f>
        <v/>
      </c>
      <c r="Q402" s="422" t="str">
        <f t="shared" ref="Q402:Q440" si="157">IF(L402="","",IFERROR((SUMIFS(TN_balC1_totol,TN_code,D402)+SUMIFS(RC_or_totol,RC_Code,D402,RC_date,"&lt;="&amp;C402)-SUMIFS(RC_zar_totol,RC_Code,D402,RC_date,"&lt;"&amp;C402)) /( SUMIFS(TN_balC1_unit,TN_code,D402)+SUMIFS(RC_or_unit,RC_Code,D402,RC_date,"&lt;="&amp;C402)-SUMIFS(RC_zar_unit,RC_Code,D402,RC_date,"&lt;"&amp;C402)),0 ))</f>
        <v/>
      </c>
      <c r="R402" s="422" t="str">
        <f t="shared" ref="R402:R440" si="158">+IF(L402="","",L402*Q402)</f>
        <v/>
      </c>
      <c r="S402" s="583">
        <v>320100</v>
      </c>
      <c r="T402" s="377" t="str">
        <f>+IFERROR(VLOOKUP(S402,STAT1!$C$4:$D$189,2,FALSE),"")</f>
        <v>Урьдчилж орсон орлого MNT</v>
      </c>
      <c r="U402" s="424">
        <v>5025000</v>
      </c>
      <c r="V402" s="424"/>
      <c r="W402" s="822">
        <v>3136</v>
      </c>
      <c r="X402" s="436" t="str">
        <f>IFERROR(VLOOKUP(W402,DATA!$G$4:$H$400,2,FALSE),"")</f>
        <v xml:space="preserve">ЭМ ЭС ЭН ЭС ХХК </v>
      </c>
      <c r="Y402" s="328"/>
      <c r="Z402" s="328"/>
      <c r="AA402" s="328"/>
    </row>
    <row r="403" spans="1:27" ht="12.75" customHeight="1">
      <c r="A403" s="425"/>
      <c r="B403" s="368">
        <f t="shared" si="148"/>
        <v>398</v>
      </c>
      <c r="C403" s="425">
        <v>43356</v>
      </c>
      <c r="D403" s="830">
        <v>211805</v>
      </c>
      <c r="E403" s="876" t="str">
        <f t="shared" ca="1" si="149"/>
        <v>Н-Хагас хэлбэртэй плинтус /20*30мм/</v>
      </c>
      <c r="F403" s="426" t="str">
        <f t="shared" ca="1" si="153"/>
        <v>м</v>
      </c>
      <c r="G403" s="415"/>
      <c r="H403" s="415"/>
      <c r="I403" s="415" t="str">
        <f t="shared" si="150"/>
        <v/>
      </c>
      <c r="J403" s="415" t="str">
        <f t="shared" si="151"/>
        <v/>
      </c>
      <c r="K403" s="415" t="str">
        <f t="shared" si="152"/>
        <v/>
      </c>
      <c r="L403" s="415">
        <v>44</v>
      </c>
      <c r="M403" s="415">
        <v>3500</v>
      </c>
      <c r="N403" s="422">
        <f t="shared" si="154"/>
        <v>154000</v>
      </c>
      <c r="O403" s="422">
        <f t="shared" si="155"/>
        <v>15400</v>
      </c>
      <c r="P403" s="422">
        <f t="shared" si="156"/>
        <v>169400</v>
      </c>
      <c r="Q403" s="422">
        <f t="shared" ca="1" si="157"/>
        <v>676.8352724665391</v>
      </c>
      <c r="R403" s="422">
        <f t="shared" ca="1" si="158"/>
        <v>29780.751988527722</v>
      </c>
      <c r="S403" s="583">
        <f>+IF(LEFT(D403,3)="131",140100,0)+IF(LEFT(D403,3)="310",150100,0)+IF(LEFT(D403,3)="211",150101,0)+IF(LEFT(D403,3)="410",160100,0)+IF(LEFT(D403,3)="440",160200,0)+IF(LEFT(D403,3)="430",160200,0)+IF(LEFT(D403,3)="420",160200,0)+IF(LEFT(D403,3)="460",160201,0)+IF(LEFT(D403,3)="210",150101,0)+IF(LEFT(D403,3)="510",140100,0)</f>
        <v>150101</v>
      </c>
      <c r="T403" s="377" t="str">
        <f>+IFERROR(VLOOKUP(S403,STAT1!$C$4:$D$189,2,FALSE),"")</f>
        <v>Бараа бэлэн бүтээгдэхүүн БОЛОВСРУУЛАХ ЦЕХ /нарс/</v>
      </c>
      <c r="U403" s="415"/>
      <c r="V403" s="415">
        <v>29780.75</v>
      </c>
      <c r="W403" s="823">
        <v>3123</v>
      </c>
      <c r="X403" s="436" t="str">
        <f>IFERROR(VLOOKUP(W403,DATA!$G$4:$H$400,2,FALSE),"")</f>
        <v>ЭКОСКҮҮЛ ГАРДЕН ХХК</v>
      </c>
      <c r="Y403" s="328"/>
      <c r="Z403" s="328"/>
      <c r="AA403" s="328"/>
    </row>
    <row r="404" spans="1:27" ht="12.75" customHeight="1">
      <c r="A404" s="425"/>
      <c r="B404" s="368">
        <f t="shared" si="148"/>
        <v>399</v>
      </c>
      <c r="C404" s="425">
        <v>43356</v>
      </c>
      <c r="D404" s="830"/>
      <c r="E404" s="876" t="str">
        <f t="shared" ca="1" si="149"/>
        <v/>
      </c>
      <c r="F404" s="426" t="str">
        <f t="shared" ca="1" si="153"/>
        <v/>
      </c>
      <c r="G404" s="415"/>
      <c r="H404" s="415"/>
      <c r="I404" s="415" t="str">
        <f t="shared" si="150"/>
        <v/>
      </c>
      <c r="J404" s="415" t="str">
        <f t="shared" si="151"/>
        <v/>
      </c>
      <c r="K404" s="415" t="str">
        <f t="shared" si="152"/>
        <v/>
      </c>
      <c r="L404" s="415"/>
      <c r="M404" s="415"/>
      <c r="N404" s="422" t="str">
        <f t="shared" si="154"/>
        <v/>
      </c>
      <c r="O404" s="422" t="str">
        <f t="shared" si="155"/>
        <v/>
      </c>
      <c r="P404" s="422" t="str">
        <f t="shared" si="156"/>
        <v/>
      </c>
      <c r="Q404" s="422" t="str">
        <f t="shared" si="157"/>
        <v/>
      </c>
      <c r="R404" s="422" t="str">
        <f t="shared" si="158"/>
        <v/>
      </c>
      <c r="S404" s="583">
        <v>610100</v>
      </c>
      <c r="T404" s="377" t="str">
        <f>+IFERROR(VLOOKUP(S404,STAT1!$C$4:$D$189,2,FALSE),"")</f>
        <v>Борлуулсан барааны өртөг</v>
      </c>
      <c r="U404" s="415">
        <v>29780.75</v>
      </c>
      <c r="V404" s="424"/>
      <c r="W404" s="822">
        <v>3123</v>
      </c>
      <c r="X404" s="436" t="str">
        <f>IFERROR(VLOOKUP(W404,DATA!$G$4:$H$400,2,FALSE),"")</f>
        <v>ЭКОСКҮҮЛ ГАРДЕН ХХК</v>
      </c>
      <c r="Y404" s="328"/>
      <c r="Z404" s="328"/>
      <c r="AA404" s="328"/>
    </row>
    <row r="405" spans="1:27" ht="12.75" customHeight="1">
      <c r="A405" s="425"/>
      <c r="B405" s="368">
        <f t="shared" si="148"/>
        <v>400</v>
      </c>
      <c r="C405" s="425">
        <v>43356</v>
      </c>
      <c r="D405" s="830"/>
      <c r="E405" s="876" t="str">
        <f t="shared" ca="1" si="149"/>
        <v/>
      </c>
      <c r="F405" s="426" t="str">
        <f t="shared" ca="1" si="153"/>
        <v/>
      </c>
      <c r="G405" s="415"/>
      <c r="H405" s="415"/>
      <c r="I405" s="415" t="str">
        <f t="shared" si="150"/>
        <v/>
      </c>
      <c r="J405" s="415" t="str">
        <f t="shared" si="151"/>
        <v/>
      </c>
      <c r="K405" s="415" t="str">
        <f t="shared" si="152"/>
        <v/>
      </c>
      <c r="L405" s="415"/>
      <c r="M405" s="415"/>
      <c r="N405" s="422" t="str">
        <f t="shared" si="154"/>
        <v/>
      </c>
      <c r="O405" s="422" t="str">
        <f t="shared" si="155"/>
        <v/>
      </c>
      <c r="P405" s="422" t="str">
        <f t="shared" si="156"/>
        <v/>
      </c>
      <c r="Q405" s="422" t="str">
        <f t="shared" si="157"/>
        <v/>
      </c>
      <c r="R405" s="422" t="str">
        <f t="shared" si="158"/>
        <v/>
      </c>
      <c r="S405" s="583">
        <v>310500</v>
      </c>
      <c r="T405" s="377" t="str">
        <f>+IFERROR(VLOOKUP(S405,STAT1!$C$4:$D$189,2,FALSE),"")</f>
        <v>НӨАТ өглөг</v>
      </c>
      <c r="U405" s="424"/>
      <c r="V405" s="424">
        <v>15400</v>
      </c>
      <c r="W405" s="822">
        <v>3123</v>
      </c>
      <c r="X405" s="436" t="str">
        <f>IFERROR(VLOOKUP(W405,DATA!$G$4:$H$400,2,FALSE),"")</f>
        <v>ЭКОСКҮҮЛ ГАРДЕН ХХК</v>
      </c>
      <c r="Y405" s="328"/>
      <c r="Z405" s="328"/>
      <c r="AA405" s="328"/>
    </row>
    <row r="406" spans="1:27" ht="12.75" customHeight="1">
      <c r="A406" s="425"/>
      <c r="B406" s="368">
        <f t="shared" si="148"/>
        <v>401</v>
      </c>
      <c r="C406" s="425">
        <v>43356</v>
      </c>
      <c r="D406" s="830"/>
      <c r="E406" s="876" t="str">
        <f t="shared" ca="1" si="149"/>
        <v/>
      </c>
      <c r="F406" s="426" t="str">
        <f t="shared" ca="1" si="153"/>
        <v/>
      </c>
      <c r="G406" s="415"/>
      <c r="H406" s="415"/>
      <c r="I406" s="415" t="str">
        <f t="shared" si="150"/>
        <v/>
      </c>
      <c r="J406" s="415" t="str">
        <f t="shared" si="151"/>
        <v/>
      </c>
      <c r="K406" s="415" t="str">
        <f t="shared" si="152"/>
        <v/>
      </c>
      <c r="L406" s="415"/>
      <c r="M406" s="415"/>
      <c r="N406" s="422" t="str">
        <f t="shared" si="154"/>
        <v/>
      </c>
      <c r="O406" s="422" t="str">
        <f t="shared" si="155"/>
        <v/>
      </c>
      <c r="P406" s="422" t="str">
        <f t="shared" si="156"/>
        <v/>
      </c>
      <c r="Q406" s="422" t="str">
        <f t="shared" si="157"/>
        <v/>
      </c>
      <c r="R406" s="422" t="str">
        <f t="shared" si="158"/>
        <v/>
      </c>
      <c r="S406" s="583">
        <v>510000</v>
      </c>
      <c r="T406" s="377" t="str">
        <f>+IFERROR(VLOOKUP(S406,STAT1!$C$4:$D$189,2,FALSE),"")</f>
        <v>Үндсэн үйл ажиллагааны борлуулалт</v>
      </c>
      <c r="U406" s="424"/>
      <c r="V406" s="424">
        <v>154000</v>
      </c>
      <c r="W406" s="822">
        <v>3123</v>
      </c>
      <c r="X406" s="436" t="str">
        <f>IFERROR(VLOOKUP(W406,DATA!$G$4:$H$400,2,FALSE),"")</f>
        <v>ЭКОСКҮҮЛ ГАРДЕН ХХК</v>
      </c>
      <c r="Y406" s="328"/>
      <c r="Z406" s="328"/>
      <c r="AA406" s="328"/>
    </row>
    <row r="407" spans="1:27" ht="12.75" customHeight="1">
      <c r="A407" s="425"/>
      <c r="B407" s="368">
        <f t="shared" si="148"/>
        <v>402</v>
      </c>
      <c r="C407" s="425">
        <v>43356</v>
      </c>
      <c r="D407" s="830"/>
      <c r="E407" s="876" t="str">
        <f t="shared" ca="1" si="149"/>
        <v/>
      </c>
      <c r="F407" s="426" t="str">
        <f t="shared" ca="1" si="153"/>
        <v/>
      </c>
      <c r="G407" s="415"/>
      <c r="H407" s="415"/>
      <c r="I407" s="415" t="str">
        <f t="shared" si="150"/>
        <v/>
      </c>
      <c r="J407" s="415" t="str">
        <f t="shared" si="151"/>
        <v/>
      </c>
      <c r="K407" s="415" t="str">
        <f t="shared" si="152"/>
        <v/>
      </c>
      <c r="L407" s="415"/>
      <c r="M407" s="415"/>
      <c r="N407" s="422" t="str">
        <f t="shared" si="154"/>
        <v/>
      </c>
      <c r="O407" s="422" t="str">
        <f t="shared" si="155"/>
        <v/>
      </c>
      <c r="P407" s="422" t="str">
        <f t="shared" si="156"/>
        <v/>
      </c>
      <c r="Q407" s="422" t="str">
        <f t="shared" si="157"/>
        <v/>
      </c>
      <c r="R407" s="422" t="str">
        <f t="shared" si="158"/>
        <v/>
      </c>
      <c r="S407" s="583">
        <v>320100</v>
      </c>
      <c r="T407" s="377" t="str">
        <f>+IFERROR(VLOOKUP(S407,STAT1!$C$4:$D$189,2,FALSE),"")</f>
        <v>Урьдчилж орсон орлого MNT</v>
      </c>
      <c r="U407" s="424">
        <v>169400</v>
      </c>
      <c r="V407" s="424"/>
      <c r="W407" s="822">
        <v>3123</v>
      </c>
      <c r="X407" s="436" t="str">
        <f>IFERROR(VLOOKUP(W407,DATA!$G$4:$H$400,2,FALSE),"")</f>
        <v>ЭКОСКҮҮЛ ГАРДЕН ХХК</v>
      </c>
      <c r="Y407" s="328"/>
      <c r="Z407" s="328"/>
      <c r="AA407" s="328"/>
    </row>
    <row r="408" spans="1:27" ht="12.75" customHeight="1">
      <c r="A408" s="425"/>
      <c r="B408" s="368">
        <f t="shared" si="148"/>
        <v>403</v>
      </c>
      <c r="C408" s="425">
        <v>43364</v>
      </c>
      <c r="D408" s="830">
        <v>211804</v>
      </c>
      <c r="E408" s="876" t="str">
        <f t="shared" ca="1" si="149"/>
        <v>Н-Хэлбэртэй плинтус /20*80мм/</v>
      </c>
      <c r="F408" s="426" t="str">
        <f t="shared" ca="1" si="153"/>
        <v>м</v>
      </c>
      <c r="G408" s="415"/>
      <c r="H408" s="415"/>
      <c r="I408" s="415" t="str">
        <f t="shared" si="150"/>
        <v/>
      </c>
      <c r="J408" s="415" t="str">
        <f t="shared" si="151"/>
        <v/>
      </c>
      <c r="K408" s="415" t="str">
        <f t="shared" si="152"/>
        <v/>
      </c>
      <c r="L408" s="415">
        <v>5.6</v>
      </c>
      <c r="M408" s="415">
        <v>4500</v>
      </c>
      <c r="N408" s="422">
        <f t="shared" si="154"/>
        <v>25200</v>
      </c>
      <c r="O408" s="422">
        <f t="shared" si="155"/>
        <v>2520</v>
      </c>
      <c r="P408" s="422">
        <f t="shared" si="156"/>
        <v>27720</v>
      </c>
      <c r="Q408" s="422">
        <f t="shared" ca="1" si="157"/>
        <v>2131.6803863854143</v>
      </c>
      <c r="R408" s="422">
        <f t="shared" ca="1" si="158"/>
        <v>11937.410163758319</v>
      </c>
      <c r="S408" s="583">
        <f>+IF(LEFT(D408,3)="131",140100,0)+IF(LEFT(D408,3)="310",150100,0)+IF(LEFT(D408,3)="211",150101,0)+IF(LEFT(D408,3)="410",160100,0)+IF(LEFT(D408,3)="440",160200,0)+IF(LEFT(D408,3)="430",160200,0)+IF(LEFT(D408,3)="420",160200,0)+IF(LEFT(D408,3)="460",160201,0)+IF(LEFT(D408,3)="210",150101,0)+IF(LEFT(D408,3)="510",140100,0)</f>
        <v>150101</v>
      </c>
      <c r="T408" s="377" t="str">
        <f>+IFERROR(VLOOKUP(S408,STAT1!$C$4:$D$189,2,FALSE),"")</f>
        <v>Бараа бэлэн бүтээгдэхүүн БОЛОВСРУУЛАХ ЦЕХ /нарс/</v>
      </c>
      <c r="U408" s="424"/>
      <c r="V408" s="424">
        <v>49884.98</v>
      </c>
      <c r="W408" s="822">
        <v>3104</v>
      </c>
      <c r="X408" s="436" t="str">
        <f>IFERROR(VLOOKUP(W408,DATA!$G$4:$H$400,2,FALSE),"")</f>
        <v>ХҮРЭЭ ЦАМХАГ ХХК</v>
      </c>
      <c r="Y408" s="328"/>
      <c r="Z408" s="328"/>
      <c r="AA408" s="328"/>
    </row>
    <row r="409" spans="1:27" ht="12.75" customHeight="1">
      <c r="A409" s="425"/>
      <c r="B409" s="368">
        <f t="shared" si="148"/>
        <v>404</v>
      </c>
      <c r="C409" s="425">
        <v>43364</v>
      </c>
      <c r="D409" s="830">
        <v>211802</v>
      </c>
      <c r="E409" s="876" t="str">
        <f t="shared" ca="1" si="149"/>
        <v xml:space="preserve">Н-Уголок </v>
      </c>
      <c r="F409" s="426" t="str">
        <f t="shared" ca="1" si="153"/>
        <v>м</v>
      </c>
      <c r="G409" s="415"/>
      <c r="H409" s="415"/>
      <c r="I409" s="415" t="str">
        <f t="shared" si="150"/>
        <v/>
      </c>
      <c r="J409" s="415" t="str">
        <f t="shared" si="151"/>
        <v/>
      </c>
      <c r="K409" s="415" t="str">
        <f t="shared" si="152"/>
        <v/>
      </c>
      <c r="L409" s="415">
        <v>12</v>
      </c>
      <c r="M409" s="415">
        <v>3000</v>
      </c>
      <c r="N409" s="422">
        <f t="shared" si="154"/>
        <v>36000</v>
      </c>
      <c r="O409" s="422">
        <f t="shared" si="155"/>
        <v>3600</v>
      </c>
      <c r="P409" s="422">
        <f t="shared" si="156"/>
        <v>39600</v>
      </c>
      <c r="Q409" s="422">
        <f t="shared" ca="1" si="157"/>
        <v>1377.7799111418215</v>
      </c>
      <c r="R409" s="422">
        <f t="shared" ca="1" si="158"/>
        <v>16533.358933701857</v>
      </c>
      <c r="S409" s="583">
        <v>610100</v>
      </c>
      <c r="T409" s="377" t="str">
        <f>+IFERROR(VLOOKUP(S409,STAT1!$C$4:$D$189,2,FALSE),"")</f>
        <v>Борлуулсан барааны өртөг</v>
      </c>
      <c r="U409" s="424">
        <v>49884.98</v>
      </c>
      <c r="V409" s="424"/>
      <c r="W409" s="822">
        <v>3104</v>
      </c>
      <c r="X409" s="436" t="str">
        <f>IFERROR(VLOOKUP(W409,DATA!$G$4:$H$400,2,FALSE),"")</f>
        <v>ХҮРЭЭ ЦАМХАГ ХХК</v>
      </c>
      <c r="Y409" s="328"/>
      <c r="Z409" s="328"/>
      <c r="AA409" s="328"/>
    </row>
    <row r="410" spans="1:27" ht="12.75" customHeight="1">
      <c r="A410" s="425"/>
      <c r="B410" s="368">
        <f t="shared" si="148"/>
        <v>405</v>
      </c>
      <c r="C410" s="425">
        <v>43364</v>
      </c>
      <c r="D410" s="830">
        <v>211504</v>
      </c>
      <c r="E410" s="876" t="str">
        <f t="shared" ca="1" si="149"/>
        <v xml:space="preserve">Н-Евровагонка /зузаан-1.2см/-яртай </v>
      </c>
      <c r="F410" s="426" t="str">
        <f t="shared" ca="1" si="153"/>
        <v>м2</v>
      </c>
      <c r="G410" s="415"/>
      <c r="H410" s="415"/>
      <c r="I410" s="415" t="str">
        <f t="shared" si="150"/>
        <v/>
      </c>
      <c r="J410" s="415" t="str">
        <f t="shared" si="151"/>
        <v/>
      </c>
      <c r="K410" s="415" t="str">
        <f t="shared" si="152"/>
        <v/>
      </c>
      <c r="L410" s="415">
        <v>1.8</v>
      </c>
      <c r="M410" s="415">
        <v>18200</v>
      </c>
      <c r="N410" s="422">
        <f t="shared" si="154"/>
        <v>32760</v>
      </c>
      <c r="O410" s="422">
        <f t="shared" si="155"/>
        <v>3276</v>
      </c>
      <c r="P410" s="422">
        <f t="shared" si="156"/>
        <v>36036</v>
      </c>
      <c r="Q410" s="422">
        <f t="shared" ca="1" si="157"/>
        <v>11896.785561853303</v>
      </c>
      <c r="R410" s="422">
        <f t="shared" ca="1" si="158"/>
        <v>21414.214011335946</v>
      </c>
      <c r="S410" s="583">
        <v>310500</v>
      </c>
      <c r="T410" s="377" t="str">
        <f>+IFERROR(VLOOKUP(S410,STAT1!$C$4:$D$189,2,FALSE),"")</f>
        <v>НӨАТ өглөг</v>
      </c>
      <c r="U410" s="415"/>
      <c r="V410" s="415">
        <v>9396</v>
      </c>
      <c r="W410" s="823">
        <v>3104</v>
      </c>
      <c r="X410" s="436" t="str">
        <f>IFERROR(VLOOKUP(W410,DATA!$G$4:$H$400,2,FALSE),"")</f>
        <v>ХҮРЭЭ ЦАМХАГ ХХК</v>
      </c>
      <c r="Y410" s="328"/>
      <c r="Z410" s="328"/>
      <c r="AA410" s="328"/>
    </row>
    <row r="411" spans="1:27" ht="12.75" customHeight="1">
      <c r="A411" s="425"/>
      <c r="B411" s="368">
        <f t="shared" si="148"/>
        <v>406</v>
      </c>
      <c r="C411" s="425">
        <v>43364</v>
      </c>
      <c r="D411" s="830"/>
      <c r="E411" s="876" t="str">
        <f t="shared" ca="1" si="149"/>
        <v/>
      </c>
      <c r="F411" s="426" t="str">
        <f t="shared" ca="1" si="153"/>
        <v/>
      </c>
      <c r="G411" s="415"/>
      <c r="H411" s="415"/>
      <c r="I411" s="415" t="str">
        <f t="shared" si="150"/>
        <v/>
      </c>
      <c r="J411" s="415" t="str">
        <f t="shared" si="151"/>
        <v/>
      </c>
      <c r="K411" s="415" t="str">
        <f t="shared" si="152"/>
        <v/>
      </c>
      <c r="L411" s="415"/>
      <c r="M411" s="415"/>
      <c r="N411" s="422" t="str">
        <f t="shared" si="154"/>
        <v/>
      </c>
      <c r="O411" s="422" t="str">
        <f t="shared" si="155"/>
        <v/>
      </c>
      <c r="P411" s="422" t="str">
        <f t="shared" si="156"/>
        <v/>
      </c>
      <c r="Q411" s="422" t="str">
        <f t="shared" si="157"/>
        <v/>
      </c>
      <c r="R411" s="422" t="str">
        <f t="shared" si="158"/>
        <v/>
      </c>
      <c r="S411" s="583">
        <v>510000</v>
      </c>
      <c r="T411" s="377" t="str">
        <f>+IFERROR(VLOOKUP(S411,STAT1!$C$4:$D$189,2,FALSE),"")</f>
        <v>Үндсэн үйл ажиллагааны борлуулалт</v>
      </c>
      <c r="U411" s="424"/>
      <c r="V411" s="424">
        <v>93960</v>
      </c>
      <c r="W411" s="822">
        <v>3104</v>
      </c>
      <c r="X411" s="436" t="str">
        <f>IFERROR(VLOOKUP(W411,DATA!$G$4:$H$400,2,FALSE),"")</f>
        <v>ХҮРЭЭ ЦАМХАГ ХХК</v>
      </c>
      <c r="Y411" s="328"/>
      <c r="Z411" s="328"/>
      <c r="AA411" s="328"/>
    </row>
    <row r="412" spans="1:27" ht="12.75" customHeight="1">
      <c r="A412" s="425"/>
      <c r="B412" s="368">
        <f t="shared" si="148"/>
        <v>407</v>
      </c>
      <c r="C412" s="425">
        <v>43364</v>
      </c>
      <c r="D412" s="830"/>
      <c r="E412" s="876" t="str">
        <f t="shared" ca="1" si="149"/>
        <v/>
      </c>
      <c r="F412" s="426" t="str">
        <f t="shared" ca="1" si="153"/>
        <v/>
      </c>
      <c r="G412" s="415"/>
      <c r="H412" s="415"/>
      <c r="I412" s="415" t="str">
        <f t="shared" si="150"/>
        <v/>
      </c>
      <c r="J412" s="415" t="str">
        <f t="shared" si="151"/>
        <v/>
      </c>
      <c r="K412" s="415" t="str">
        <f t="shared" si="152"/>
        <v/>
      </c>
      <c r="L412" s="415"/>
      <c r="M412" s="415"/>
      <c r="N412" s="422" t="str">
        <f t="shared" si="154"/>
        <v/>
      </c>
      <c r="O412" s="422" t="str">
        <f t="shared" si="155"/>
        <v/>
      </c>
      <c r="P412" s="422" t="str">
        <f t="shared" si="156"/>
        <v/>
      </c>
      <c r="Q412" s="422" t="str">
        <f t="shared" si="157"/>
        <v/>
      </c>
      <c r="R412" s="422" t="str">
        <f t="shared" si="158"/>
        <v/>
      </c>
      <c r="S412" s="583">
        <v>320100</v>
      </c>
      <c r="T412" s="377" t="str">
        <f>+IFERROR(VLOOKUP(S412,STAT1!$C$4:$D$189,2,FALSE),"")</f>
        <v>Урьдчилж орсон орлого MNT</v>
      </c>
      <c r="U412" s="424">
        <v>103356</v>
      </c>
      <c r="V412" s="424"/>
      <c r="W412" s="822">
        <v>3104</v>
      </c>
      <c r="X412" s="436" t="str">
        <f>IFERROR(VLOOKUP(W412,DATA!$G$4:$H$400,2,FALSE),"")</f>
        <v>ХҮРЭЭ ЦАМХАГ ХХК</v>
      </c>
      <c r="Y412" s="328"/>
      <c r="Z412" s="328"/>
      <c r="AA412" s="328"/>
    </row>
    <row r="413" spans="1:27" ht="12.75" customHeight="1">
      <c r="A413" s="425"/>
      <c r="B413" s="368">
        <f t="shared" si="148"/>
        <v>408</v>
      </c>
      <c r="C413" s="425">
        <v>43343</v>
      </c>
      <c r="D413" s="830">
        <v>211504</v>
      </c>
      <c r="E413" s="876" t="str">
        <f t="shared" ca="1" si="149"/>
        <v xml:space="preserve">Н-Евровагонка /зузаан-1.2см/-яртай </v>
      </c>
      <c r="F413" s="426" t="str">
        <f t="shared" ca="1" si="153"/>
        <v>м2</v>
      </c>
      <c r="G413" s="415"/>
      <c r="H413" s="415"/>
      <c r="I413" s="415" t="str">
        <f t="shared" si="150"/>
        <v/>
      </c>
      <c r="J413" s="415" t="str">
        <f t="shared" si="151"/>
        <v/>
      </c>
      <c r="K413" s="415" t="str">
        <f t="shared" si="152"/>
        <v/>
      </c>
      <c r="L413" s="415">
        <v>5.5</v>
      </c>
      <c r="M413" s="415">
        <v>17869.421487</v>
      </c>
      <c r="N413" s="422">
        <f t="shared" si="154"/>
        <v>98281.818178499991</v>
      </c>
      <c r="O413" s="422">
        <f t="shared" si="155"/>
        <v>9828.1818178499998</v>
      </c>
      <c r="P413" s="422">
        <f t="shared" si="156"/>
        <v>108109.99999634999</v>
      </c>
      <c r="Q413" s="422">
        <f t="shared" ca="1" si="157"/>
        <v>11896.785561853305</v>
      </c>
      <c r="R413" s="422">
        <f t="shared" ca="1" si="158"/>
        <v>65432.32059019318</v>
      </c>
      <c r="S413" s="583">
        <f t="shared" ref="S413:S473" si="159">+IF(LEFT(D413,3)="131",140100,0)+IF(LEFT(D413,3)="310",150100,0)+IF(LEFT(D413,3)="211",150101,0)+IF(LEFT(D413,3)="410",160100,0)+IF(LEFT(D413,3)="440",160200,0)+IF(LEFT(D413,3)="430",160200,0)+IF(LEFT(D413,3)="420",160200,0)+IF(LEFT(D413,3)="460",160201,0)+IF(LEFT(D413,3)="210",150101,0)+IF(LEFT(D413,3)="510",140100,0)</f>
        <v>150101</v>
      </c>
      <c r="T413" s="377" t="str">
        <f>+IFERROR(VLOOKUP(S413,STAT1!$C$4:$D$189,2,FALSE),"")</f>
        <v>Бараа бэлэн бүтээгдэхүүн БОЛОВСРУУЛАХ ЦЕХ /нарс/</v>
      </c>
      <c r="U413" s="424"/>
      <c r="V413" s="424">
        <v>65432.32059019318</v>
      </c>
      <c r="W413" s="822">
        <v>3137</v>
      </c>
      <c r="X413" s="436" t="str">
        <f>IFERROR(VLOOKUP(W413,DATA!$G$4:$H$400,2,FALSE),"")</f>
        <v xml:space="preserve">ЭМХХ ХХК </v>
      </c>
      <c r="Y413" s="328"/>
      <c r="Z413" s="328"/>
      <c r="AA413" s="328"/>
    </row>
    <row r="414" spans="1:27" ht="12.75" customHeight="1">
      <c r="A414" s="425"/>
      <c r="B414" s="368">
        <f t="shared" si="148"/>
        <v>409</v>
      </c>
      <c r="C414" s="425">
        <v>43343</v>
      </c>
      <c r="D414" s="830"/>
      <c r="E414" s="876" t="str">
        <f t="shared" ca="1" si="149"/>
        <v/>
      </c>
      <c r="F414" s="426" t="str">
        <f t="shared" ca="1" si="153"/>
        <v/>
      </c>
      <c r="G414" s="415"/>
      <c r="H414" s="415"/>
      <c r="I414" s="415" t="str">
        <f t="shared" si="150"/>
        <v/>
      </c>
      <c r="J414" s="415" t="str">
        <f t="shared" si="151"/>
        <v/>
      </c>
      <c r="K414" s="415" t="str">
        <f t="shared" si="152"/>
        <v/>
      </c>
      <c r="L414" s="415"/>
      <c r="M414" s="415"/>
      <c r="N414" s="422" t="str">
        <f t="shared" si="154"/>
        <v/>
      </c>
      <c r="O414" s="422" t="str">
        <f t="shared" si="155"/>
        <v/>
      </c>
      <c r="P414" s="422" t="str">
        <f t="shared" si="156"/>
        <v/>
      </c>
      <c r="Q414" s="422" t="str">
        <f t="shared" si="157"/>
        <v/>
      </c>
      <c r="R414" s="422" t="str">
        <f t="shared" si="158"/>
        <v/>
      </c>
      <c r="S414" s="583">
        <v>610100</v>
      </c>
      <c r="T414" s="377" t="str">
        <f>+IFERROR(VLOOKUP(S414,STAT1!$C$4:$D$189,2,FALSE),"")</f>
        <v>Борлуулсан барааны өртөг</v>
      </c>
      <c r="U414" s="424">
        <v>65432.32059019318</v>
      </c>
      <c r="V414" s="424"/>
      <c r="W414" s="822">
        <v>3137</v>
      </c>
      <c r="X414" s="436" t="str">
        <f>IFERROR(VLOOKUP(W414,DATA!$G$4:$H$400,2,FALSE),"")</f>
        <v xml:space="preserve">ЭМХХ ХХК </v>
      </c>
      <c r="Y414" s="328"/>
      <c r="Z414" s="328"/>
      <c r="AA414" s="328"/>
    </row>
    <row r="415" spans="1:27" ht="12.75" customHeight="1">
      <c r="A415" s="425"/>
      <c r="B415" s="368">
        <f t="shared" si="148"/>
        <v>410</v>
      </c>
      <c r="C415" s="425">
        <v>43343</v>
      </c>
      <c r="D415" s="830"/>
      <c r="E415" s="876" t="str">
        <f t="shared" ca="1" si="149"/>
        <v/>
      </c>
      <c r="F415" s="426" t="str">
        <f t="shared" ca="1" si="153"/>
        <v/>
      </c>
      <c r="G415" s="415"/>
      <c r="H415" s="415"/>
      <c r="I415" s="415" t="str">
        <f t="shared" si="150"/>
        <v/>
      </c>
      <c r="J415" s="415" t="str">
        <f t="shared" si="151"/>
        <v/>
      </c>
      <c r="K415" s="415" t="str">
        <f t="shared" si="152"/>
        <v/>
      </c>
      <c r="L415" s="415"/>
      <c r="M415" s="415"/>
      <c r="N415" s="422" t="str">
        <f t="shared" si="154"/>
        <v/>
      </c>
      <c r="O415" s="422" t="str">
        <f t="shared" si="155"/>
        <v/>
      </c>
      <c r="P415" s="422" t="str">
        <f t="shared" si="156"/>
        <v/>
      </c>
      <c r="Q415" s="422" t="str">
        <f t="shared" si="157"/>
        <v/>
      </c>
      <c r="R415" s="422" t="str">
        <f t="shared" si="158"/>
        <v/>
      </c>
      <c r="S415" s="583">
        <v>310500</v>
      </c>
      <c r="T415" s="377" t="str">
        <f>+IFERROR(VLOOKUP(S415,STAT1!$C$4:$D$189,2,FALSE),"")</f>
        <v>НӨАТ өглөг</v>
      </c>
      <c r="U415" s="415"/>
      <c r="V415" s="415">
        <v>9828.18</v>
      </c>
      <c r="W415" s="823">
        <v>3137</v>
      </c>
      <c r="X415" s="436" t="str">
        <f>IFERROR(VLOOKUP(W415,DATA!$G$4:$H$400,2,FALSE),"")</f>
        <v xml:space="preserve">ЭМХХ ХХК </v>
      </c>
      <c r="Y415" s="328"/>
      <c r="Z415" s="328"/>
      <c r="AA415" s="328"/>
    </row>
    <row r="416" spans="1:27" ht="12.75" customHeight="1">
      <c r="A416" s="425"/>
      <c r="B416" s="368">
        <f t="shared" si="148"/>
        <v>411</v>
      </c>
      <c r="C416" s="425">
        <v>43343</v>
      </c>
      <c r="D416" s="830"/>
      <c r="E416" s="876" t="str">
        <f t="shared" ca="1" si="149"/>
        <v/>
      </c>
      <c r="F416" s="426" t="str">
        <f t="shared" ca="1" si="153"/>
        <v/>
      </c>
      <c r="G416" s="415"/>
      <c r="H416" s="415"/>
      <c r="I416" s="415" t="str">
        <f t="shared" si="150"/>
        <v/>
      </c>
      <c r="J416" s="415" t="str">
        <f t="shared" si="151"/>
        <v/>
      </c>
      <c r="K416" s="415" t="str">
        <f t="shared" si="152"/>
        <v/>
      </c>
      <c r="L416" s="415"/>
      <c r="M416" s="415"/>
      <c r="N416" s="422" t="str">
        <f t="shared" si="154"/>
        <v/>
      </c>
      <c r="O416" s="422" t="str">
        <f t="shared" si="155"/>
        <v/>
      </c>
      <c r="P416" s="422" t="str">
        <f t="shared" si="156"/>
        <v/>
      </c>
      <c r="Q416" s="422" t="str">
        <f t="shared" si="157"/>
        <v/>
      </c>
      <c r="R416" s="422" t="str">
        <f t="shared" si="158"/>
        <v/>
      </c>
      <c r="S416" s="583">
        <v>510000</v>
      </c>
      <c r="T416" s="377" t="str">
        <f>+IFERROR(VLOOKUP(S416,STAT1!$C$4:$D$189,2,FALSE),"")</f>
        <v>Үндсэн үйл ажиллагааны борлуулалт</v>
      </c>
      <c r="U416" s="424"/>
      <c r="V416" s="424">
        <v>98281.82</v>
      </c>
      <c r="W416" s="822">
        <v>3137</v>
      </c>
      <c r="X416" s="436" t="str">
        <f>IFERROR(VLOOKUP(W416,DATA!$G$4:$H$400,2,FALSE),"")</f>
        <v xml:space="preserve">ЭМХХ ХХК </v>
      </c>
      <c r="Y416" s="328"/>
      <c r="Z416" s="328"/>
      <c r="AA416" s="328"/>
    </row>
    <row r="417" spans="1:27" ht="12.75" customHeight="1">
      <c r="A417" s="425"/>
      <c r="B417" s="368">
        <f t="shared" si="148"/>
        <v>412</v>
      </c>
      <c r="C417" s="425">
        <v>43343</v>
      </c>
      <c r="D417" s="830"/>
      <c r="E417" s="876" t="str">
        <f t="shared" ca="1" si="149"/>
        <v/>
      </c>
      <c r="F417" s="426" t="str">
        <f t="shared" ca="1" si="153"/>
        <v/>
      </c>
      <c r="G417" s="415"/>
      <c r="H417" s="415"/>
      <c r="I417" s="415" t="str">
        <f t="shared" si="150"/>
        <v/>
      </c>
      <c r="J417" s="415" t="str">
        <f t="shared" si="151"/>
        <v/>
      </c>
      <c r="K417" s="415" t="str">
        <f t="shared" si="152"/>
        <v/>
      </c>
      <c r="L417" s="415"/>
      <c r="M417" s="415"/>
      <c r="N417" s="422" t="str">
        <f t="shared" si="154"/>
        <v/>
      </c>
      <c r="O417" s="422" t="str">
        <f t="shared" si="155"/>
        <v/>
      </c>
      <c r="P417" s="422" t="str">
        <f t="shared" si="156"/>
        <v/>
      </c>
      <c r="Q417" s="422" t="str">
        <f t="shared" si="157"/>
        <v/>
      </c>
      <c r="R417" s="422" t="str">
        <f t="shared" si="158"/>
        <v/>
      </c>
      <c r="S417" s="583">
        <v>320100</v>
      </c>
      <c r="T417" s="377" t="str">
        <f>+IFERROR(VLOOKUP(S417,STAT1!$C$4:$D$189,2,FALSE),"")</f>
        <v>Урьдчилж орсон орлого MNT</v>
      </c>
      <c r="U417" s="424">
        <v>108110</v>
      </c>
      <c r="V417" s="424"/>
      <c r="W417" s="822">
        <v>3137</v>
      </c>
      <c r="X417" s="436" t="str">
        <f>IFERROR(VLOOKUP(W417,DATA!$G$4:$H$400,2,FALSE),"")</f>
        <v xml:space="preserve">ЭМХХ ХХК </v>
      </c>
      <c r="Y417" s="328"/>
      <c r="Z417" s="328"/>
      <c r="AA417" s="328"/>
    </row>
    <row r="418" spans="1:27" ht="12.75" customHeight="1">
      <c r="A418" s="425"/>
      <c r="B418" s="368">
        <f t="shared" si="148"/>
        <v>413</v>
      </c>
      <c r="C418" s="425">
        <v>43337</v>
      </c>
      <c r="D418" s="830">
        <v>211504</v>
      </c>
      <c r="E418" s="876" t="str">
        <f t="shared" ca="1" si="149"/>
        <v xml:space="preserve">Н-Евровагонка /зузаан-1.2см/-яртай </v>
      </c>
      <c r="F418" s="426" t="str">
        <f t="shared" ca="1" si="153"/>
        <v>м2</v>
      </c>
      <c r="G418" s="415"/>
      <c r="H418" s="415"/>
      <c r="I418" s="415" t="str">
        <f t="shared" si="150"/>
        <v/>
      </c>
      <c r="J418" s="415" t="str">
        <f t="shared" si="151"/>
        <v/>
      </c>
      <c r="K418" s="415" t="str">
        <f t="shared" si="152"/>
        <v/>
      </c>
      <c r="L418" s="415">
        <v>2.5</v>
      </c>
      <c r="M418" s="415">
        <v>17410.909090000001</v>
      </c>
      <c r="N418" s="422">
        <f t="shared" si="154"/>
        <v>43527.272725000003</v>
      </c>
      <c r="O418" s="422">
        <f t="shared" si="155"/>
        <v>4352.7272725000003</v>
      </c>
      <c r="P418" s="422">
        <f t="shared" si="156"/>
        <v>47879.999997500003</v>
      </c>
      <c r="Q418" s="422">
        <f t="shared" ca="1" si="157"/>
        <v>11896.785561853305</v>
      </c>
      <c r="R418" s="422">
        <f t="shared" ca="1" si="158"/>
        <v>29741.963904633263</v>
      </c>
      <c r="S418" s="583">
        <f t="shared" si="159"/>
        <v>150101</v>
      </c>
      <c r="T418" s="377" t="str">
        <f>+IFERROR(VLOOKUP(S418,STAT1!$C$4:$D$189,2,FALSE),"")</f>
        <v>Бараа бэлэн бүтээгдэхүүн БОЛОВСРУУЛАХ ЦЕХ /нарс/</v>
      </c>
      <c r="U418" s="424"/>
      <c r="V418" s="424">
        <v>29741.96</v>
      </c>
      <c r="W418" s="822">
        <v>3132</v>
      </c>
      <c r="X418" s="436" t="str">
        <f>IFERROR(VLOOKUP(W418,DATA!$G$4:$H$400,2,FALSE),"")</f>
        <v xml:space="preserve">СЭКҮ ХХК </v>
      </c>
      <c r="Y418" s="328"/>
      <c r="Z418" s="328"/>
      <c r="AA418" s="328"/>
    </row>
    <row r="419" spans="1:27" ht="12.75" customHeight="1">
      <c r="A419" s="425"/>
      <c r="B419" s="368">
        <f t="shared" si="148"/>
        <v>414</v>
      </c>
      <c r="C419" s="425">
        <v>43337</v>
      </c>
      <c r="D419" s="830"/>
      <c r="E419" s="876" t="str">
        <f t="shared" ca="1" si="149"/>
        <v/>
      </c>
      <c r="F419" s="426" t="str">
        <f t="shared" ca="1" si="153"/>
        <v/>
      </c>
      <c r="G419" s="415"/>
      <c r="H419" s="415"/>
      <c r="I419" s="415" t="str">
        <f t="shared" si="150"/>
        <v/>
      </c>
      <c r="J419" s="415" t="str">
        <f t="shared" si="151"/>
        <v/>
      </c>
      <c r="K419" s="415" t="str">
        <f t="shared" si="152"/>
        <v/>
      </c>
      <c r="L419" s="415"/>
      <c r="M419" s="415"/>
      <c r="N419" s="422" t="str">
        <f t="shared" si="154"/>
        <v/>
      </c>
      <c r="O419" s="422" t="str">
        <f t="shared" si="155"/>
        <v/>
      </c>
      <c r="P419" s="422" t="str">
        <f t="shared" si="156"/>
        <v/>
      </c>
      <c r="Q419" s="422" t="str">
        <f t="shared" si="157"/>
        <v/>
      </c>
      <c r="R419" s="422" t="str">
        <f t="shared" si="158"/>
        <v/>
      </c>
      <c r="S419" s="583">
        <v>610100</v>
      </c>
      <c r="T419" s="377" t="str">
        <f>+IFERROR(VLOOKUP(S419,STAT1!$C$4:$D$189,2,FALSE),"")</f>
        <v>Борлуулсан барааны өртөг</v>
      </c>
      <c r="U419" s="424">
        <v>29741.96</v>
      </c>
      <c r="V419" s="424"/>
      <c r="W419" s="822">
        <v>3132</v>
      </c>
      <c r="X419" s="436" t="str">
        <f>IFERROR(VLOOKUP(W419,DATA!$G$4:$H$400,2,FALSE),"")</f>
        <v xml:space="preserve">СЭКҮ ХХК </v>
      </c>
      <c r="Y419" s="328"/>
      <c r="Z419" s="328"/>
      <c r="AA419" s="328"/>
    </row>
    <row r="420" spans="1:27" ht="12.75" customHeight="1">
      <c r="A420" s="425"/>
      <c r="B420" s="368">
        <f t="shared" si="148"/>
        <v>415</v>
      </c>
      <c r="C420" s="425">
        <v>43337</v>
      </c>
      <c r="D420" s="830"/>
      <c r="E420" s="876" t="str">
        <f t="shared" ca="1" si="149"/>
        <v/>
      </c>
      <c r="F420" s="426" t="str">
        <f t="shared" ca="1" si="153"/>
        <v/>
      </c>
      <c r="G420" s="415"/>
      <c r="H420" s="415"/>
      <c r="I420" s="415" t="str">
        <f t="shared" si="150"/>
        <v/>
      </c>
      <c r="J420" s="415" t="str">
        <f t="shared" si="151"/>
        <v/>
      </c>
      <c r="K420" s="415" t="str">
        <f t="shared" si="152"/>
        <v/>
      </c>
      <c r="L420" s="415"/>
      <c r="M420" s="415"/>
      <c r="N420" s="422" t="str">
        <f t="shared" si="154"/>
        <v/>
      </c>
      <c r="O420" s="422" t="str">
        <f t="shared" si="155"/>
        <v/>
      </c>
      <c r="P420" s="422" t="str">
        <f t="shared" si="156"/>
        <v/>
      </c>
      <c r="Q420" s="422" t="str">
        <f t="shared" si="157"/>
        <v/>
      </c>
      <c r="R420" s="422" t="str">
        <f t="shared" si="158"/>
        <v/>
      </c>
      <c r="S420" s="583">
        <v>310500</v>
      </c>
      <c r="T420" s="377" t="str">
        <f>+IFERROR(VLOOKUP(S420,STAT1!$C$4:$D$189,2,FALSE),"")</f>
        <v>НӨАТ өглөг</v>
      </c>
      <c r="U420" s="415"/>
      <c r="V420" s="415">
        <v>4352.7299999999996</v>
      </c>
      <c r="W420" s="823">
        <v>3132</v>
      </c>
      <c r="X420" s="436" t="str">
        <f>IFERROR(VLOOKUP(W420,DATA!$G$4:$H$400,2,FALSE),"")</f>
        <v xml:space="preserve">СЭКҮ ХХК </v>
      </c>
      <c r="Y420" s="328"/>
      <c r="Z420" s="328"/>
      <c r="AA420" s="328"/>
    </row>
    <row r="421" spans="1:27" ht="12.75" customHeight="1">
      <c r="A421" s="425"/>
      <c r="B421" s="368">
        <f t="shared" si="148"/>
        <v>416</v>
      </c>
      <c r="C421" s="425">
        <v>43337</v>
      </c>
      <c r="D421" s="830"/>
      <c r="E421" s="876" t="str">
        <f t="shared" ca="1" si="149"/>
        <v/>
      </c>
      <c r="F421" s="426" t="str">
        <f t="shared" ca="1" si="153"/>
        <v/>
      </c>
      <c r="G421" s="415"/>
      <c r="H421" s="415"/>
      <c r="I421" s="415" t="str">
        <f t="shared" si="150"/>
        <v/>
      </c>
      <c r="J421" s="415" t="str">
        <f t="shared" si="151"/>
        <v/>
      </c>
      <c r="K421" s="415" t="str">
        <f t="shared" si="152"/>
        <v/>
      </c>
      <c r="L421" s="415"/>
      <c r="M421" s="415"/>
      <c r="N421" s="422" t="str">
        <f t="shared" si="154"/>
        <v/>
      </c>
      <c r="O421" s="422" t="str">
        <f t="shared" si="155"/>
        <v/>
      </c>
      <c r="P421" s="422" t="str">
        <f t="shared" si="156"/>
        <v/>
      </c>
      <c r="Q421" s="422" t="str">
        <f t="shared" si="157"/>
        <v/>
      </c>
      <c r="R421" s="422" t="str">
        <f t="shared" si="158"/>
        <v/>
      </c>
      <c r="S421" s="583">
        <v>510000</v>
      </c>
      <c r="T421" s="377" t="str">
        <f>+IFERROR(VLOOKUP(S421,STAT1!$C$4:$D$189,2,FALSE),"")</f>
        <v>Үндсэн үйл ажиллагааны борлуулалт</v>
      </c>
      <c r="U421" s="424"/>
      <c r="V421" s="424">
        <v>43527.27</v>
      </c>
      <c r="W421" s="822">
        <v>3132</v>
      </c>
      <c r="X421" s="436" t="str">
        <f>IFERROR(VLOOKUP(W421,DATA!$G$4:$H$400,2,FALSE),"")</f>
        <v xml:space="preserve">СЭКҮ ХХК </v>
      </c>
      <c r="Y421" s="328"/>
      <c r="Z421" s="328"/>
      <c r="AA421" s="328"/>
    </row>
    <row r="422" spans="1:27" ht="12.75" customHeight="1">
      <c r="A422" s="425"/>
      <c r="B422" s="368">
        <f t="shared" si="148"/>
        <v>417</v>
      </c>
      <c r="C422" s="425">
        <v>43337</v>
      </c>
      <c r="D422" s="830"/>
      <c r="E422" s="876" t="str">
        <f t="shared" ca="1" si="149"/>
        <v/>
      </c>
      <c r="F422" s="426" t="str">
        <f t="shared" ca="1" si="153"/>
        <v/>
      </c>
      <c r="G422" s="415"/>
      <c r="H422" s="415"/>
      <c r="I422" s="415" t="str">
        <f t="shared" si="150"/>
        <v/>
      </c>
      <c r="J422" s="415" t="str">
        <f t="shared" si="151"/>
        <v/>
      </c>
      <c r="K422" s="415" t="str">
        <f t="shared" si="152"/>
        <v/>
      </c>
      <c r="L422" s="415"/>
      <c r="M422" s="415"/>
      <c r="N422" s="422" t="str">
        <f t="shared" si="154"/>
        <v/>
      </c>
      <c r="O422" s="422" t="str">
        <f t="shared" si="155"/>
        <v/>
      </c>
      <c r="P422" s="422" t="str">
        <f t="shared" si="156"/>
        <v/>
      </c>
      <c r="Q422" s="422" t="str">
        <f t="shared" si="157"/>
        <v/>
      </c>
      <c r="R422" s="422" t="str">
        <f t="shared" si="158"/>
        <v/>
      </c>
      <c r="S422" s="583">
        <v>320100</v>
      </c>
      <c r="T422" s="377" t="str">
        <f>+IFERROR(VLOOKUP(S422,STAT1!$C$4:$D$189,2,FALSE),"")</f>
        <v>Урьдчилж орсон орлого MNT</v>
      </c>
      <c r="U422" s="424">
        <v>47880</v>
      </c>
      <c r="V422" s="424"/>
      <c r="W422" s="822">
        <v>3132</v>
      </c>
      <c r="X422" s="436" t="str">
        <f>IFERROR(VLOOKUP(W422,DATA!$G$4:$H$400,2,FALSE),"")</f>
        <v xml:space="preserve">СЭКҮ ХХК </v>
      </c>
      <c r="Y422" s="328"/>
      <c r="Z422" s="328"/>
      <c r="AA422" s="328"/>
    </row>
    <row r="423" spans="1:27" ht="12.75" customHeight="1">
      <c r="A423" s="425"/>
      <c r="B423" s="368">
        <f t="shared" si="148"/>
        <v>418</v>
      </c>
      <c r="C423" s="425">
        <v>43373</v>
      </c>
      <c r="D423" s="830">
        <v>410085</v>
      </c>
      <c r="E423" s="876" t="str">
        <f t="shared" ca="1" si="149"/>
        <v xml:space="preserve">НЦ-лак </v>
      </c>
      <c r="F423" s="426" t="str">
        <f t="shared" ca="1" si="153"/>
        <v>кг</v>
      </c>
      <c r="G423" s="415"/>
      <c r="H423" s="415"/>
      <c r="I423" s="415" t="str">
        <f t="shared" si="150"/>
        <v/>
      </c>
      <c r="J423" s="415" t="str">
        <f t="shared" si="151"/>
        <v/>
      </c>
      <c r="K423" s="415" t="str">
        <f t="shared" si="152"/>
        <v/>
      </c>
      <c r="L423" s="415">
        <v>2598.4</v>
      </c>
      <c r="M423" s="415"/>
      <c r="N423" s="422">
        <f t="shared" si="154"/>
        <v>0</v>
      </c>
      <c r="O423" s="422">
        <f t="shared" si="155"/>
        <v>0</v>
      </c>
      <c r="P423" s="422">
        <f t="shared" si="156"/>
        <v>0</v>
      </c>
      <c r="Q423" s="422">
        <f t="shared" ca="1" si="157"/>
        <v>7213.6181111373135</v>
      </c>
      <c r="R423" s="422">
        <f t="shared" ca="1" si="158"/>
        <v>18743865.299979195</v>
      </c>
      <c r="S423" s="583">
        <f t="shared" si="159"/>
        <v>160100</v>
      </c>
      <c r="T423" s="377" t="str">
        <f>+IFERROR(VLOOKUP(S423,STAT1!$C$4:$D$189,2,FALSE),"")</f>
        <v xml:space="preserve">Барилгын материал </v>
      </c>
      <c r="U423" s="424"/>
      <c r="V423" s="424">
        <v>18743865.300000001</v>
      </c>
      <c r="W423" s="822">
        <v>3001</v>
      </c>
      <c r="X423" s="436" t="str">
        <f>IFERROR(VLOOKUP(W423,DATA!$G$4:$H$400,2,FALSE),"")</f>
        <v>ХУРД ГРУПП ХХК</v>
      </c>
      <c r="Y423" s="328"/>
      <c r="Z423" s="328"/>
      <c r="AA423" s="328"/>
    </row>
    <row r="424" spans="1:27" ht="12.75" customHeight="1">
      <c r="A424" s="425"/>
      <c r="B424" s="368">
        <f t="shared" si="148"/>
        <v>419</v>
      </c>
      <c r="C424" s="425">
        <v>43373</v>
      </c>
      <c r="D424" s="830">
        <v>410002</v>
      </c>
      <c r="E424" s="876" t="str">
        <f t="shared" ca="1" si="149"/>
        <v xml:space="preserve">Морилка </v>
      </c>
      <c r="F424" s="426" t="str">
        <f t="shared" ca="1" si="153"/>
        <v xml:space="preserve">ш </v>
      </c>
      <c r="G424" s="415"/>
      <c r="H424" s="415"/>
      <c r="I424" s="415" t="str">
        <f t="shared" si="150"/>
        <v/>
      </c>
      <c r="J424" s="415" t="str">
        <f t="shared" si="151"/>
        <v/>
      </c>
      <c r="K424" s="415" t="str">
        <f t="shared" si="152"/>
        <v/>
      </c>
      <c r="L424" s="415">
        <v>44</v>
      </c>
      <c r="M424" s="415"/>
      <c r="N424" s="422">
        <f t="shared" si="154"/>
        <v>0</v>
      </c>
      <c r="O424" s="422">
        <f t="shared" si="155"/>
        <v>0</v>
      </c>
      <c r="P424" s="422">
        <f t="shared" si="156"/>
        <v>0</v>
      </c>
      <c r="Q424" s="422">
        <f t="shared" ca="1" si="157"/>
        <v>3772.7272727272725</v>
      </c>
      <c r="R424" s="422">
        <f t="shared" ca="1" si="158"/>
        <v>166000</v>
      </c>
      <c r="S424" s="583">
        <f t="shared" si="159"/>
        <v>160100</v>
      </c>
      <c r="T424" s="377" t="str">
        <f>+IFERROR(VLOOKUP(S424,STAT1!$C$4:$D$189,2,FALSE),"")</f>
        <v xml:space="preserve">Барилгын материал </v>
      </c>
      <c r="U424" s="424"/>
      <c r="V424" s="424">
        <v>166000</v>
      </c>
      <c r="W424" s="822">
        <v>3001</v>
      </c>
      <c r="X424" s="436" t="str">
        <f>IFERROR(VLOOKUP(W424,DATA!$G$4:$H$400,2,FALSE),"")</f>
        <v>ХУРД ГРУПП ХХК</v>
      </c>
      <c r="Y424" s="328"/>
      <c r="Z424" s="328"/>
      <c r="AA424" s="328"/>
    </row>
    <row r="425" spans="1:27" ht="12.75" customHeight="1">
      <c r="A425" s="425"/>
      <c r="B425" s="368">
        <f t="shared" si="148"/>
        <v>420</v>
      </c>
      <c r="C425" s="425">
        <v>43373</v>
      </c>
      <c r="D425" s="830">
        <v>410054</v>
      </c>
      <c r="E425" s="876" t="str">
        <f t="shared" ca="1" si="149"/>
        <v xml:space="preserve">Будаг шингэлэгч </v>
      </c>
      <c r="F425" s="426" t="str">
        <f t="shared" ca="1" si="153"/>
        <v>ш</v>
      </c>
      <c r="G425" s="415"/>
      <c r="H425" s="415"/>
      <c r="I425" s="415" t="str">
        <f t="shared" si="150"/>
        <v/>
      </c>
      <c r="J425" s="415" t="str">
        <f t="shared" si="151"/>
        <v/>
      </c>
      <c r="K425" s="415" t="str">
        <f t="shared" si="152"/>
        <v/>
      </c>
      <c r="L425" s="415">
        <v>1732</v>
      </c>
      <c r="M425" s="415"/>
      <c r="N425" s="422">
        <f t="shared" si="154"/>
        <v>0</v>
      </c>
      <c r="O425" s="422">
        <f t="shared" si="155"/>
        <v>0</v>
      </c>
      <c r="P425" s="422">
        <f t="shared" si="156"/>
        <v>0</v>
      </c>
      <c r="Q425" s="422">
        <f t="shared" ca="1" si="157"/>
        <v>4246.1282803376735</v>
      </c>
      <c r="R425" s="422">
        <f t="shared" ca="1" si="158"/>
        <v>7354294.1815448506</v>
      </c>
      <c r="S425" s="583">
        <f t="shared" si="159"/>
        <v>160100</v>
      </c>
      <c r="T425" s="377" t="str">
        <f>+IFERROR(VLOOKUP(S425,STAT1!$C$4:$D$189,2,FALSE),"")</f>
        <v xml:space="preserve">Барилгын материал </v>
      </c>
      <c r="U425" s="424"/>
      <c r="V425" s="424">
        <v>7354294.1799999997</v>
      </c>
      <c r="W425" s="822">
        <v>3001</v>
      </c>
      <c r="X425" s="436" t="str">
        <f>IFERROR(VLOOKUP(W425,DATA!$G$4:$H$400,2,FALSE),"")</f>
        <v>ХУРД ГРУПП ХХК</v>
      </c>
      <c r="Y425" s="328"/>
      <c r="Z425" s="328"/>
      <c r="AA425" s="328"/>
    </row>
    <row r="426" spans="1:27" ht="12.75" customHeight="1">
      <c r="A426" s="425"/>
      <c r="B426" s="368">
        <f t="shared" si="148"/>
        <v>421</v>
      </c>
      <c r="C426" s="425">
        <v>43373</v>
      </c>
      <c r="D426" s="830">
        <v>410004</v>
      </c>
      <c r="E426" s="876" t="str">
        <f t="shared" ca="1" si="149"/>
        <v>Будаг /Орд/</v>
      </c>
      <c r="F426" s="426" t="str">
        <f t="shared" ca="1" si="153"/>
        <v>кг</v>
      </c>
      <c r="G426" s="415"/>
      <c r="H426" s="415"/>
      <c r="I426" s="415" t="str">
        <f t="shared" si="150"/>
        <v/>
      </c>
      <c r="J426" s="415" t="str">
        <f t="shared" si="151"/>
        <v/>
      </c>
      <c r="K426" s="415" t="str">
        <f t="shared" si="152"/>
        <v/>
      </c>
      <c r="L426" s="415">
        <v>88</v>
      </c>
      <c r="M426" s="415"/>
      <c r="N426" s="422">
        <f t="shared" si="154"/>
        <v>0</v>
      </c>
      <c r="O426" s="422">
        <f t="shared" si="155"/>
        <v>0</v>
      </c>
      <c r="P426" s="422">
        <f t="shared" si="156"/>
        <v>0</v>
      </c>
      <c r="Q426" s="422">
        <f t="shared" ca="1" si="157"/>
        <v>14990.909033057851</v>
      </c>
      <c r="R426" s="422">
        <f t="shared" ca="1" si="158"/>
        <v>1319199.9949090909</v>
      </c>
      <c r="S426" s="583">
        <f t="shared" si="159"/>
        <v>160100</v>
      </c>
      <c r="T426" s="377" t="str">
        <f>+IFERROR(VLOOKUP(S426,STAT1!$C$4:$D$189,2,FALSE),"")</f>
        <v xml:space="preserve">Барилгын материал </v>
      </c>
      <c r="U426" s="424"/>
      <c r="V426" s="424">
        <v>1319199.99</v>
      </c>
      <c r="W426" s="822">
        <v>3001</v>
      </c>
      <c r="X426" s="436" t="str">
        <f>IFERROR(VLOOKUP(W426,DATA!$G$4:$H$400,2,FALSE),"")</f>
        <v>ХУРД ГРУПП ХХК</v>
      </c>
      <c r="Y426" s="328"/>
      <c r="Z426" s="328"/>
      <c r="AA426" s="328"/>
    </row>
    <row r="427" spans="1:27" ht="12.75" customHeight="1">
      <c r="A427" s="425"/>
      <c r="B427" s="368">
        <f t="shared" si="148"/>
        <v>422</v>
      </c>
      <c r="C427" s="425">
        <v>43373</v>
      </c>
      <c r="D427" s="830">
        <v>410005</v>
      </c>
      <c r="E427" s="876" t="str">
        <f t="shared" ca="1" si="149"/>
        <v>Хавтан /фасад/</v>
      </c>
      <c r="F427" s="426" t="str">
        <f t="shared" ca="1" si="153"/>
        <v>ш</v>
      </c>
      <c r="G427" s="415"/>
      <c r="H427" s="415"/>
      <c r="I427" s="415" t="str">
        <f t="shared" si="150"/>
        <v/>
      </c>
      <c r="J427" s="415" t="str">
        <f t="shared" si="151"/>
        <v/>
      </c>
      <c r="K427" s="415" t="str">
        <f t="shared" si="152"/>
        <v/>
      </c>
      <c r="L427" s="415">
        <v>17</v>
      </c>
      <c r="M427" s="415"/>
      <c r="N427" s="422">
        <f t="shared" si="154"/>
        <v>0</v>
      </c>
      <c r="O427" s="422">
        <f t="shared" si="155"/>
        <v>0</v>
      </c>
      <c r="P427" s="422">
        <f t="shared" si="156"/>
        <v>0</v>
      </c>
      <c r="Q427" s="422">
        <f t="shared" ca="1" si="157"/>
        <v>56401.069518716577</v>
      </c>
      <c r="R427" s="422">
        <f t="shared" ca="1" si="158"/>
        <v>958818.18181818177</v>
      </c>
      <c r="S427" s="583">
        <f t="shared" si="159"/>
        <v>160100</v>
      </c>
      <c r="T427" s="377" t="str">
        <f>+IFERROR(VLOOKUP(S427,STAT1!$C$4:$D$189,2,FALSE),"")</f>
        <v xml:space="preserve">Барилгын материал </v>
      </c>
      <c r="U427" s="424"/>
      <c r="V427" s="424">
        <v>958818.18</v>
      </c>
      <c r="W427" s="822">
        <v>3001</v>
      </c>
      <c r="X427" s="436" t="str">
        <f>IFERROR(VLOOKUP(W427,DATA!$G$4:$H$400,2,FALSE),"")</f>
        <v>ХУРД ГРУПП ХХК</v>
      </c>
      <c r="Y427" s="328"/>
      <c r="Z427" s="328"/>
      <c r="AA427" s="328"/>
    </row>
    <row r="428" spans="1:27" ht="12.75" customHeight="1">
      <c r="A428" s="425"/>
      <c r="B428" s="368">
        <f t="shared" si="148"/>
        <v>423</v>
      </c>
      <c r="C428" s="425">
        <v>43373</v>
      </c>
      <c r="D428" s="830">
        <v>410006</v>
      </c>
      <c r="E428" s="876" t="str">
        <f t="shared" ca="1" si="149"/>
        <v>Модны замаска</v>
      </c>
      <c r="F428" s="426" t="str">
        <f t="shared" ca="1" si="153"/>
        <v>ш</v>
      </c>
      <c r="G428" s="415"/>
      <c r="H428" s="415"/>
      <c r="I428" s="415" t="str">
        <f t="shared" si="150"/>
        <v/>
      </c>
      <c r="J428" s="415" t="str">
        <f t="shared" si="151"/>
        <v/>
      </c>
      <c r="K428" s="415" t="str">
        <f t="shared" si="152"/>
        <v/>
      </c>
      <c r="L428" s="415">
        <v>32</v>
      </c>
      <c r="M428" s="415"/>
      <c r="N428" s="422">
        <f t="shared" si="154"/>
        <v>0</v>
      </c>
      <c r="O428" s="422">
        <f t="shared" si="155"/>
        <v>0</v>
      </c>
      <c r="P428" s="422">
        <f t="shared" si="156"/>
        <v>0</v>
      </c>
      <c r="Q428" s="422">
        <f t="shared" ca="1" si="157"/>
        <v>3666.6666666666665</v>
      </c>
      <c r="R428" s="422">
        <f t="shared" ca="1" si="158"/>
        <v>117333.33333333333</v>
      </c>
      <c r="S428" s="583">
        <f t="shared" si="159"/>
        <v>160100</v>
      </c>
      <c r="T428" s="377" t="str">
        <f>+IFERROR(VLOOKUP(S428,STAT1!$C$4:$D$189,2,FALSE),"")</f>
        <v xml:space="preserve">Барилгын материал </v>
      </c>
      <c r="U428" s="424"/>
      <c r="V428" s="424">
        <v>117333.33</v>
      </c>
      <c r="W428" s="822">
        <v>3001</v>
      </c>
      <c r="X428" s="436" t="str">
        <f>IFERROR(VLOOKUP(W428,DATA!$G$4:$H$400,2,FALSE),"")</f>
        <v>ХУРД ГРУПП ХХК</v>
      </c>
      <c r="Y428" s="328"/>
      <c r="Z428" s="328"/>
      <c r="AA428" s="328"/>
    </row>
    <row r="429" spans="1:27" ht="12.75" customHeight="1">
      <c r="A429" s="425"/>
      <c r="B429" s="368">
        <f t="shared" si="148"/>
        <v>424</v>
      </c>
      <c r="C429" s="425">
        <v>43373</v>
      </c>
      <c r="D429" s="830">
        <v>410007</v>
      </c>
      <c r="E429" s="876" t="str">
        <f t="shared" ca="1" si="149"/>
        <v xml:space="preserve">Шилэн хөвөн </v>
      </c>
      <c r="F429" s="426" t="str">
        <f t="shared" ca="1" si="153"/>
        <v>уут</v>
      </c>
      <c r="G429" s="415"/>
      <c r="H429" s="415"/>
      <c r="I429" s="415" t="str">
        <f t="shared" si="150"/>
        <v/>
      </c>
      <c r="J429" s="415" t="str">
        <f t="shared" si="151"/>
        <v/>
      </c>
      <c r="K429" s="415" t="str">
        <f t="shared" si="152"/>
        <v/>
      </c>
      <c r="L429" s="415">
        <f>18+15</f>
        <v>33</v>
      </c>
      <c r="M429" s="415"/>
      <c r="N429" s="422">
        <f t="shared" si="154"/>
        <v>0</v>
      </c>
      <c r="O429" s="422">
        <f t="shared" si="155"/>
        <v>0</v>
      </c>
      <c r="P429" s="422">
        <f t="shared" si="156"/>
        <v>0</v>
      </c>
      <c r="Q429" s="422">
        <f t="shared" ca="1" si="157"/>
        <v>177272.72712121211</v>
      </c>
      <c r="R429" s="422">
        <f t="shared" ca="1" si="158"/>
        <v>5849999.9950000001</v>
      </c>
      <c r="S429" s="583">
        <f t="shared" si="159"/>
        <v>160100</v>
      </c>
      <c r="T429" s="377" t="str">
        <f>+IFERROR(VLOOKUP(S429,STAT1!$C$4:$D$189,2,FALSE),"")</f>
        <v xml:space="preserve">Барилгын материал </v>
      </c>
      <c r="U429" s="424"/>
      <c r="V429" s="424">
        <v>5850000</v>
      </c>
      <c r="W429" s="822">
        <v>3001</v>
      </c>
      <c r="X429" s="436" t="str">
        <f>IFERROR(VLOOKUP(W429,DATA!$G$4:$H$400,2,FALSE),"")</f>
        <v>ХУРД ГРУПП ХХК</v>
      </c>
      <c r="Y429" s="328"/>
      <c r="Z429" s="328"/>
      <c r="AA429" s="328"/>
    </row>
    <row r="430" spans="1:27" ht="12.75" customHeight="1">
      <c r="A430" s="425"/>
      <c r="B430" s="368">
        <f t="shared" si="148"/>
        <v>425</v>
      </c>
      <c r="C430" s="425">
        <v>43373</v>
      </c>
      <c r="D430" s="830">
        <v>410008</v>
      </c>
      <c r="E430" s="876" t="str">
        <f t="shared" ca="1" si="149"/>
        <v xml:space="preserve">Бетон эдлэл </v>
      </c>
      <c r="F430" s="426" t="str">
        <f t="shared" ca="1" si="153"/>
        <v xml:space="preserve">ш </v>
      </c>
      <c r="G430" s="415"/>
      <c r="H430" s="415"/>
      <c r="I430" s="415" t="str">
        <f t="shared" si="150"/>
        <v/>
      </c>
      <c r="J430" s="415" t="str">
        <f t="shared" si="151"/>
        <v/>
      </c>
      <c r="K430" s="415" t="str">
        <f t="shared" si="152"/>
        <v/>
      </c>
      <c r="L430" s="415">
        <v>22</v>
      </c>
      <c r="M430" s="415"/>
      <c r="N430" s="422">
        <f t="shared" si="154"/>
        <v>0</v>
      </c>
      <c r="O430" s="422">
        <f t="shared" si="155"/>
        <v>0</v>
      </c>
      <c r="P430" s="422">
        <f t="shared" si="156"/>
        <v>0</v>
      </c>
      <c r="Q430" s="422">
        <f t="shared" ca="1" si="157"/>
        <v>2500</v>
      </c>
      <c r="R430" s="422">
        <f t="shared" ca="1" si="158"/>
        <v>55000</v>
      </c>
      <c r="S430" s="583">
        <f t="shared" si="159"/>
        <v>160100</v>
      </c>
      <c r="T430" s="377" t="str">
        <f>+IFERROR(VLOOKUP(S430,STAT1!$C$4:$D$189,2,FALSE),"")</f>
        <v xml:space="preserve">Барилгын материал </v>
      </c>
      <c r="U430" s="415"/>
      <c r="V430" s="424">
        <v>55000</v>
      </c>
      <c r="W430" s="822">
        <v>3001</v>
      </c>
      <c r="X430" s="436" t="str">
        <f>IFERROR(VLOOKUP(W430,DATA!$G$4:$H$400,2,FALSE),"")</f>
        <v>ХУРД ГРУПП ХХК</v>
      </c>
      <c r="Y430" s="328"/>
      <c r="Z430" s="328"/>
      <c r="AA430" s="328"/>
    </row>
    <row r="431" spans="1:27" ht="12.75" customHeight="1">
      <c r="A431" s="425"/>
      <c r="B431" s="368">
        <f t="shared" si="148"/>
        <v>426</v>
      </c>
      <c r="C431" s="425">
        <v>43373</v>
      </c>
      <c r="D431" s="830">
        <v>410369</v>
      </c>
      <c r="E431" s="876" t="str">
        <f t="shared" ca="1" si="149"/>
        <v>Ажлын хувцас</v>
      </c>
      <c r="F431" s="426" t="str">
        <f t="shared" ca="1" si="153"/>
        <v>ш</v>
      </c>
      <c r="G431" s="415"/>
      <c r="H431" s="415"/>
      <c r="I431" s="415" t="str">
        <f t="shared" si="150"/>
        <v/>
      </c>
      <c r="J431" s="415" t="str">
        <f t="shared" si="151"/>
        <v/>
      </c>
      <c r="K431" s="415" t="str">
        <f t="shared" si="152"/>
        <v/>
      </c>
      <c r="L431" s="415">
        <v>12</v>
      </c>
      <c r="M431" s="415"/>
      <c r="N431" s="422">
        <f t="shared" si="154"/>
        <v>0</v>
      </c>
      <c r="O431" s="422">
        <f t="shared" si="155"/>
        <v>0</v>
      </c>
      <c r="P431" s="422">
        <f t="shared" si="156"/>
        <v>0</v>
      </c>
      <c r="Q431" s="422">
        <f t="shared" ca="1" si="157"/>
        <v>93636.363638190945</v>
      </c>
      <c r="R431" s="422">
        <f t="shared" ca="1" si="158"/>
        <v>1123636.3636582913</v>
      </c>
      <c r="S431" s="583">
        <f t="shared" si="159"/>
        <v>160100</v>
      </c>
      <c r="T431" s="377" t="str">
        <f>+IFERROR(VLOOKUP(S431,STAT1!$C$4:$D$189,2,FALSE),"")</f>
        <v xml:space="preserve">Барилгын материал </v>
      </c>
      <c r="U431" s="424"/>
      <c r="V431" s="424">
        <v>1123636.3600000001</v>
      </c>
      <c r="W431" s="822">
        <v>3001</v>
      </c>
      <c r="X431" s="436" t="str">
        <f>IFERROR(VLOOKUP(W431,DATA!$G$4:$H$400,2,FALSE),"")</f>
        <v>ХУРД ГРУПП ХХК</v>
      </c>
      <c r="Y431" s="328"/>
      <c r="Z431" s="328"/>
      <c r="AA431" s="328"/>
    </row>
    <row r="432" spans="1:27" ht="12.75" customHeight="1">
      <c r="A432" s="425"/>
      <c r="B432" s="368">
        <f t="shared" si="148"/>
        <v>427</v>
      </c>
      <c r="C432" s="425">
        <v>43373</v>
      </c>
      <c r="D432" s="830"/>
      <c r="E432" s="876" t="str">
        <f t="shared" ca="1" si="149"/>
        <v/>
      </c>
      <c r="F432" s="426" t="str">
        <f t="shared" ca="1" si="153"/>
        <v/>
      </c>
      <c r="G432" s="415"/>
      <c r="H432" s="415"/>
      <c r="I432" s="415" t="str">
        <f t="shared" si="150"/>
        <v/>
      </c>
      <c r="J432" s="415" t="str">
        <f t="shared" si="151"/>
        <v/>
      </c>
      <c r="K432" s="415" t="str">
        <f t="shared" si="152"/>
        <v/>
      </c>
      <c r="L432" s="415"/>
      <c r="M432" s="415"/>
      <c r="N432" s="422" t="str">
        <f t="shared" si="154"/>
        <v/>
      </c>
      <c r="O432" s="422" t="str">
        <f t="shared" si="155"/>
        <v/>
      </c>
      <c r="P432" s="422" t="str">
        <f t="shared" si="156"/>
        <v/>
      </c>
      <c r="Q432" s="422" t="str">
        <f t="shared" si="157"/>
        <v/>
      </c>
      <c r="R432" s="422" t="str">
        <f t="shared" si="158"/>
        <v/>
      </c>
      <c r="S432" s="583">
        <v>200700</v>
      </c>
      <c r="T432" s="377" t="str">
        <f>+IFERROR(VLOOKUP(S432,STAT1!$C$4:$D$189,2,FALSE),"")</f>
        <v xml:space="preserve">Дуусаагүй барилга-1 </v>
      </c>
      <c r="U432" s="424">
        <v>35688147.340000004</v>
      </c>
      <c r="V432" s="424"/>
      <c r="W432" s="822">
        <v>3001</v>
      </c>
      <c r="X432" s="436" t="str">
        <f>IFERROR(VLOOKUP(W432,DATA!$G$4:$H$400,2,FALSE),"")</f>
        <v>ХУРД ГРУПП ХХК</v>
      </c>
      <c r="Y432" s="328"/>
      <c r="Z432" s="328"/>
      <c r="AA432" s="328"/>
    </row>
    <row r="433" spans="1:27" ht="12.75" customHeight="1">
      <c r="A433" s="425"/>
      <c r="B433" s="368">
        <f t="shared" si="148"/>
        <v>428</v>
      </c>
      <c r="C433" s="425">
        <v>43373</v>
      </c>
      <c r="D433" s="830">
        <v>211503</v>
      </c>
      <c r="E433" s="876" t="str">
        <f t="shared" ref="E433:E439" ca="1" si="160">+IFERROR(VLOOKUP(D433,TN_table,2,FALSE),"")</f>
        <v>Н-Евровагонка /зузаан-1.2см/</v>
      </c>
      <c r="F433" s="426" t="str">
        <f t="shared" ref="F433:F439" ca="1" si="161">+IFERROR(VLOOKUP(D433,TN_table,3,FALSE),"")</f>
        <v>м2</v>
      </c>
      <c r="G433" s="415"/>
      <c r="H433" s="415"/>
      <c r="I433" s="415" t="str">
        <f t="shared" si="150"/>
        <v/>
      </c>
      <c r="J433" s="415" t="str">
        <f t="shared" si="151"/>
        <v/>
      </c>
      <c r="K433" s="415" t="str">
        <f t="shared" si="152"/>
        <v/>
      </c>
      <c r="L433" s="415">
        <v>5100</v>
      </c>
      <c r="M433" s="415"/>
      <c r="N433" s="422">
        <f t="shared" si="154"/>
        <v>0</v>
      </c>
      <c r="O433" s="422">
        <f t="shared" si="155"/>
        <v>0</v>
      </c>
      <c r="P433" s="422">
        <f t="shared" si="156"/>
        <v>0</v>
      </c>
      <c r="Q433" s="422">
        <f t="shared" ca="1" si="157"/>
        <v>14541.928809736646</v>
      </c>
      <c r="R433" s="422">
        <f t="shared" ca="1" si="158"/>
        <v>74163836.929656893</v>
      </c>
      <c r="S433" s="583">
        <f t="shared" si="159"/>
        <v>150101</v>
      </c>
      <c r="T433" s="377" t="str">
        <f>+IFERROR(VLOOKUP(S433,STAT1!$C$4:$D$189,2,FALSE),"")</f>
        <v>Бараа бэлэн бүтээгдэхүүн БОЛОВСРУУЛАХ ЦЕХ /нарс/</v>
      </c>
      <c r="U433" s="424"/>
      <c r="V433" s="424">
        <v>74163836.930000007</v>
      </c>
      <c r="W433" s="822">
        <v>3001</v>
      </c>
      <c r="X433" s="436" t="str">
        <f>IFERROR(VLOOKUP(W433,DATA!$G$4:$H$400,2,FALSE),"")</f>
        <v>ХУРД ГРУПП ХХК</v>
      </c>
      <c r="Y433" s="328"/>
      <c r="Z433" s="328"/>
      <c r="AA433" s="328"/>
    </row>
    <row r="434" spans="1:27" ht="12.75" customHeight="1">
      <c r="A434" s="425"/>
      <c r="B434" s="368">
        <f t="shared" si="148"/>
        <v>429</v>
      </c>
      <c r="C434" s="425">
        <v>43373</v>
      </c>
      <c r="D434" s="830">
        <v>211504</v>
      </c>
      <c r="E434" s="876" t="str">
        <f t="shared" ca="1" si="160"/>
        <v xml:space="preserve">Н-Евровагонка /зузаан-1.2см/-яртай </v>
      </c>
      <c r="F434" s="426" t="str">
        <f t="shared" ca="1" si="161"/>
        <v>м2</v>
      </c>
      <c r="G434" s="415"/>
      <c r="H434" s="415"/>
      <c r="I434" s="415" t="str">
        <f t="shared" si="150"/>
        <v/>
      </c>
      <c r="J434" s="415" t="str">
        <f t="shared" si="151"/>
        <v/>
      </c>
      <c r="K434" s="415" t="str">
        <f t="shared" si="152"/>
        <v/>
      </c>
      <c r="L434" s="415">
        <v>1800</v>
      </c>
      <c r="M434" s="415"/>
      <c r="N434" s="422">
        <f t="shared" ref="N434:N496" si="162">+IF(L434="","",L434*M434)</f>
        <v>0</v>
      </c>
      <c r="O434" s="422">
        <f t="shared" si="155"/>
        <v>0</v>
      </c>
      <c r="P434" s="422">
        <f t="shared" si="156"/>
        <v>0</v>
      </c>
      <c r="Q434" s="422">
        <f t="shared" ca="1" si="157"/>
        <v>11896.785561853305</v>
      </c>
      <c r="R434" s="422">
        <f t="shared" ca="1" si="158"/>
        <v>21414214.01133595</v>
      </c>
      <c r="S434" s="583">
        <f t="shared" si="159"/>
        <v>150101</v>
      </c>
      <c r="T434" s="377" t="str">
        <f>+IFERROR(VLOOKUP(S434,STAT1!$C$4:$D$189,2,FALSE),"")</f>
        <v>Бараа бэлэн бүтээгдэхүүн БОЛОВСРУУЛАХ ЦЕХ /нарс/</v>
      </c>
      <c r="U434" s="424"/>
      <c r="V434" s="424">
        <v>21414214.010000002</v>
      </c>
      <c r="W434" s="822">
        <v>3001</v>
      </c>
      <c r="X434" s="436" t="str">
        <f>IFERROR(VLOOKUP(W434,DATA!$G$4:$H$400,2,FALSE),"")</f>
        <v>ХУРД ГРУПП ХХК</v>
      </c>
      <c r="Y434" s="328"/>
      <c r="Z434" s="328"/>
      <c r="AA434" s="328"/>
    </row>
    <row r="435" spans="1:27" ht="12.75" customHeight="1">
      <c r="A435" s="425"/>
      <c r="B435" s="368">
        <f t="shared" si="148"/>
        <v>430</v>
      </c>
      <c r="C435" s="425">
        <v>43373</v>
      </c>
      <c r="D435" s="830">
        <v>211802</v>
      </c>
      <c r="E435" s="876" t="str">
        <f t="shared" ca="1" si="160"/>
        <v xml:space="preserve">Н-Уголок </v>
      </c>
      <c r="F435" s="426" t="str">
        <f t="shared" ca="1" si="161"/>
        <v>м</v>
      </c>
      <c r="G435" s="415"/>
      <c r="H435" s="415"/>
      <c r="I435" s="415" t="str">
        <f t="shared" si="150"/>
        <v/>
      </c>
      <c r="J435" s="415" t="str">
        <f t="shared" si="151"/>
        <v/>
      </c>
      <c r="K435" s="415" t="str">
        <f t="shared" si="152"/>
        <v/>
      </c>
      <c r="L435" s="415">
        <f>4500+1930</f>
        <v>6430</v>
      </c>
      <c r="M435" s="415"/>
      <c r="N435" s="422">
        <f t="shared" si="162"/>
        <v>0</v>
      </c>
      <c r="O435" s="422">
        <f t="shared" si="155"/>
        <v>0</v>
      </c>
      <c r="P435" s="422">
        <f t="shared" si="156"/>
        <v>0</v>
      </c>
      <c r="Q435" s="422">
        <f t="shared" ca="1" si="157"/>
        <v>1377.7799111418215</v>
      </c>
      <c r="R435" s="422">
        <f t="shared" ca="1" si="158"/>
        <v>8859124.828641912</v>
      </c>
      <c r="S435" s="583">
        <f t="shared" si="159"/>
        <v>150101</v>
      </c>
      <c r="T435" s="377" t="str">
        <f>+IFERROR(VLOOKUP(S435,STAT1!$C$4:$D$189,2,FALSE),"")</f>
        <v>Бараа бэлэн бүтээгдэхүүн БОЛОВСРУУЛАХ ЦЕХ /нарс/</v>
      </c>
      <c r="U435" s="424"/>
      <c r="V435" s="424">
        <v>8859124.8300000001</v>
      </c>
      <c r="W435" s="822">
        <v>3001</v>
      </c>
      <c r="X435" s="436" t="str">
        <f>IFERROR(VLOOKUP(W435,DATA!$G$4:$H$400,2,FALSE),"")</f>
        <v>ХУРД ГРУПП ХХК</v>
      </c>
      <c r="Y435" s="328"/>
      <c r="Z435" s="328"/>
      <c r="AA435" s="328"/>
    </row>
    <row r="436" spans="1:27" ht="12.75" customHeight="1">
      <c r="A436" s="425"/>
      <c r="B436" s="368">
        <f t="shared" si="148"/>
        <v>431</v>
      </c>
      <c r="C436" s="425">
        <v>43373</v>
      </c>
      <c r="D436" s="830">
        <v>211805</v>
      </c>
      <c r="E436" s="876" t="str">
        <f t="shared" ca="1" si="160"/>
        <v>Н-Хагас хэлбэртэй плинтус /20*30мм/</v>
      </c>
      <c r="F436" s="426" t="str">
        <f t="shared" ca="1" si="161"/>
        <v>м</v>
      </c>
      <c r="G436" s="415"/>
      <c r="H436" s="415"/>
      <c r="I436" s="415" t="str">
        <f t="shared" si="150"/>
        <v/>
      </c>
      <c r="J436" s="415" t="str">
        <f t="shared" si="151"/>
        <v/>
      </c>
      <c r="K436" s="415" t="str">
        <f t="shared" si="152"/>
        <v/>
      </c>
      <c r="L436" s="415">
        <v>2000</v>
      </c>
      <c r="M436" s="415"/>
      <c r="N436" s="422">
        <f t="shared" si="162"/>
        <v>0</v>
      </c>
      <c r="O436" s="422">
        <f t="shared" si="155"/>
        <v>0</v>
      </c>
      <c r="P436" s="422">
        <f t="shared" si="156"/>
        <v>0</v>
      </c>
      <c r="Q436" s="422">
        <f t="shared" ca="1" si="157"/>
        <v>676.83527246653921</v>
      </c>
      <c r="R436" s="422">
        <f t="shared" ca="1" si="158"/>
        <v>1353670.5449330783</v>
      </c>
      <c r="S436" s="583">
        <f t="shared" si="159"/>
        <v>150101</v>
      </c>
      <c r="T436" s="377" t="str">
        <f>+IFERROR(VLOOKUP(S436,STAT1!$C$4:$D$189,2,FALSE),"")</f>
        <v>Бараа бэлэн бүтээгдэхүүн БОЛОВСРУУЛАХ ЦЕХ /нарс/</v>
      </c>
      <c r="U436" s="424"/>
      <c r="V436" s="424">
        <v>1353670.54</v>
      </c>
      <c r="W436" s="822">
        <v>3001</v>
      </c>
      <c r="X436" s="436" t="str">
        <f>IFERROR(VLOOKUP(W436,DATA!$G$4:$H$400,2,FALSE),"")</f>
        <v>ХУРД ГРУПП ХХК</v>
      </c>
      <c r="Y436" s="328"/>
      <c r="Z436" s="328"/>
      <c r="AA436" s="328"/>
    </row>
    <row r="437" spans="1:27" ht="12.75" customHeight="1">
      <c r="A437" s="425"/>
      <c r="B437" s="368">
        <f t="shared" si="148"/>
        <v>432</v>
      </c>
      <c r="C437" s="425">
        <v>43373</v>
      </c>
      <c r="D437" s="830">
        <v>211801</v>
      </c>
      <c r="E437" s="876" t="str">
        <f t="shared" ca="1" si="160"/>
        <v>Н-Ембүү /20*30мм/</v>
      </c>
      <c r="F437" s="426" t="str">
        <f t="shared" ca="1" si="161"/>
        <v>м</v>
      </c>
      <c r="G437" s="415"/>
      <c r="H437" s="415"/>
      <c r="I437" s="415" t="str">
        <f t="shared" si="150"/>
        <v/>
      </c>
      <c r="J437" s="415" t="str">
        <f t="shared" si="151"/>
        <v/>
      </c>
      <c r="K437" s="415" t="str">
        <f t="shared" si="152"/>
        <v/>
      </c>
      <c r="L437" s="415">
        <f>7200-1930.57</f>
        <v>5269.43</v>
      </c>
      <c r="M437" s="415"/>
      <c r="N437" s="422">
        <f t="shared" si="162"/>
        <v>0</v>
      </c>
      <c r="O437" s="422">
        <f t="shared" si="155"/>
        <v>0</v>
      </c>
      <c r="P437" s="422">
        <f t="shared" si="156"/>
        <v>0</v>
      </c>
      <c r="Q437" s="422">
        <f t="shared" ca="1" si="157"/>
        <v>768.80288972169444</v>
      </c>
      <c r="R437" s="422">
        <f t="shared" ca="1" si="158"/>
        <v>4051153.0111861886</v>
      </c>
      <c r="S437" s="583">
        <f t="shared" si="159"/>
        <v>150101</v>
      </c>
      <c r="T437" s="377" t="str">
        <f>+IFERROR(VLOOKUP(S437,STAT1!$C$4:$D$189,2,FALSE),"")</f>
        <v>Бараа бэлэн бүтээгдэхүүн БОЛОВСРУУЛАХ ЦЕХ /нарс/</v>
      </c>
      <c r="U437" s="424"/>
      <c r="V437" s="424">
        <v>4051153.01</v>
      </c>
      <c r="W437" s="822">
        <v>3001</v>
      </c>
      <c r="X437" s="436" t="str">
        <f>IFERROR(VLOOKUP(W437,DATA!$G$4:$H$400,2,FALSE),"")</f>
        <v>ХУРД ГРУПП ХХК</v>
      </c>
      <c r="Y437" s="328"/>
      <c r="Z437" s="328"/>
      <c r="AA437" s="328"/>
    </row>
    <row r="438" spans="1:27" ht="12.75" customHeight="1">
      <c r="A438" s="425"/>
      <c r="B438" s="368">
        <f t="shared" si="148"/>
        <v>433</v>
      </c>
      <c r="C438" s="425">
        <v>43373</v>
      </c>
      <c r="D438" s="830">
        <v>211711</v>
      </c>
      <c r="E438" s="876" t="str">
        <f t="shared" ca="1" si="160"/>
        <v>Н-Хавтан /зузаан-2.6см/</v>
      </c>
      <c r="F438" s="426" t="str">
        <f t="shared" ca="1" si="161"/>
        <v>м2</v>
      </c>
      <c r="G438" s="415"/>
      <c r="H438" s="415"/>
      <c r="I438" s="415" t="str">
        <f t="shared" si="150"/>
        <v/>
      </c>
      <c r="J438" s="415" t="str">
        <f t="shared" si="151"/>
        <v/>
      </c>
      <c r="K438" s="415" t="str">
        <f t="shared" si="152"/>
        <v/>
      </c>
      <c r="L438" s="415">
        <v>600</v>
      </c>
      <c r="M438" s="415"/>
      <c r="N438" s="422">
        <f t="shared" si="162"/>
        <v>0</v>
      </c>
      <c r="O438" s="422">
        <f t="shared" si="155"/>
        <v>0</v>
      </c>
      <c r="P438" s="422">
        <f t="shared" si="156"/>
        <v>0</v>
      </c>
      <c r="Q438" s="422">
        <f t="shared" ca="1" si="157"/>
        <v>37906.008649838164</v>
      </c>
      <c r="R438" s="422">
        <f t="shared" ca="1" si="158"/>
        <v>22743605.189902898</v>
      </c>
      <c r="S438" s="583">
        <f t="shared" si="159"/>
        <v>150101</v>
      </c>
      <c r="T438" s="377" t="str">
        <f>+IFERROR(VLOOKUP(S438,STAT1!$C$4:$D$189,2,FALSE),"")</f>
        <v>Бараа бэлэн бүтээгдэхүүн БОЛОВСРУУЛАХ ЦЕХ /нарс/</v>
      </c>
      <c r="U438" s="424"/>
      <c r="V438" s="424">
        <v>22743605.190000001</v>
      </c>
      <c r="W438" s="822">
        <v>3001</v>
      </c>
      <c r="X438" s="436" t="str">
        <f>IFERROR(VLOOKUP(W438,DATA!$G$4:$H$400,2,FALSE),"")</f>
        <v>ХУРД ГРУПП ХХК</v>
      </c>
      <c r="Y438" s="328"/>
      <c r="Z438" s="328"/>
      <c r="AA438" s="328"/>
    </row>
    <row r="439" spans="1:27" ht="12.75" customHeight="1">
      <c r="A439" s="425"/>
      <c r="B439" s="368">
        <f t="shared" si="148"/>
        <v>434</v>
      </c>
      <c r="C439" s="425">
        <v>43373</v>
      </c>
      <c r="D439" s="830">
        <v>210004</v>
      </c>
      <c r="E439" s="876" t="str">
        <f t="shared" ca="1" si="160"/>
        <v xml:space="preserve">Каркасны мод </v>
      </c>
      <c r="F439" s="426">
        <f t="shared" ca="1" si="161"/>
        <v>0</v>
      </c>
      <c r="G439" s="415"/>
      <c r="H439" s="415"/>
      <c r="I439" s="415" t="str">
        <f t="shared" si="150"/>
        <v/>
      </c>
      <c r="J439" s="415" t="str">
        <f t="shared" si="151"/>
        <v/>
      </c>
      <c r="K439" s="415" t="str">
        <f t="shared" si="152"/>
        <v/>
      </c>
      <c r="L439" s="415">
        <v>18</v>
      </c>
      <c r="M439" s="415"/>
      <c r="N439" s="422">
        <f t="shared" si="162"/>
        <v>0</v>
      </c>
      <c r="O439" s="422">
        <f t="shared" si="155"/>
        <v>0</v>
      </c>
      <c r="P439" s="422">
        <f t="shared" si="156"/>
        <v>0</v>
      </c>
      <c r="Q439" s="422">
        <f t="shared" ca="1" si="157"/>
        <v>362664.58777777781</v>
      </c>
      <c r="R439" s="422">
        <f t="shared" ca="1" si="158"/>
        <v>6527962.5800000001</v>
      </c>
      <c r="S439" s="583">
        <f t="shared" si="159"/>
        <v>150101</v>
      </c>
      <c r="T439" s="377" t="str">
        <f>+IFERROR(VLOOKUP(S439,STAT1!$C$4:$D$189,2,FALSE),"")</f>
        <v>Бараа бэлэн бүтээгдэхүүн БОЛОВСРУУЛАХ ЦЕХ /нарс/</v>
      </c>
      <c r="U439" s="424"/>
      <c r="V439" s="424">
        <v>6527962.5800000001</v>
      </c>
      <c r="W439" s="822">
        <v>3001</v>
      </c>
      <c r="X439" s="436" t="str">
        <f>IFERROR(VLOOKUP(W439,DATA!$G$4:$H$400,2,FALSE),"")</f>
        <v>ХУРД ГРУПП ХХК</v>
      </c>
      <c r="Y439" s="328"/>
      <c r="Z439" s="328"/>
      <c r="AA439" s="328"/>
    </row>
    <row r="440" spans="1:27" ht="12.75" customHeight="1">
      <c r="A440" s="425"/>
      <c r="B440" s="368">
        <f t="shared" si="148"/>
        <v>435</v>
      </c>
      <c r="C440" s="425">
        <v>43373</v>
      </c>
      <c r="D440" s="830">
        <v>211804</v>
      </c>
      <c r="E440" s="876" t="str">
        <f t="shared" ca="1" si="149"/>
        <v>Н-Хэлбэртэй плинтус /20*80мм/</v>
      </c>
      <c r="F440" s="426" t="str">
        <f t="shared" ca="1" si="153"/>
        <v>м</v>
      </c>
      <c r="G440" s="415"/>
      <c r="H440" s="415"/>
      <c r="I440" s="415" t="str">
        <f t="shared" si="150"/>
        <v/>
      </c>
      <c r="J440" s="415" t="str">
        <f t="shared" si="151"/>
        <v/>
      </c>
      <c r="K440" s="415" t="str">
        <f t="shared" si="152"/>
        <v/>
      </c>
      <c r="L440" s="415">
        <v>700</v>
      </c>
      <c r="M440" s="415"/>
      <c r="N440" s="422">
        <f t="shared" si="162"/>
        <v>0</v>
      </c>
      <c r="O440" s="422">
        <f t="shared" si="155"/>
        <v>0</v>
      </c>
      <c r="P440" s="422">
        <f t="shared" si="156"/>
        <v>0</v>
      </c>
      <c r="Q440" s="422">
        <f t="shared" ca="1" si="157"/>
        <v>2131.6803863854147</v>
      </c>
      <c r="R440" s="422">
        <f t="shared" ca="1" si="158"/>
        <v>1492176.2704697903</v>
      </c>
      <c r="S440" s="583">
        <f t="shared" si="159"/>
        <v>150101</v>
      </c>
      <c r="T440" s="377" t="str">
        <f>+IFERROR(VLOOKUP(S440,STAT1!$C$4:$D$189,2,FALSE),"")</f>
        <v>Бараа бэлэн бүтээгдэхүүн БОЛОВСРУУЛАХ ЦЕХ /нарс/</v>
      </c>
      <c r="U440" s="415"/>
      <c r="V440" s="424">
        <v>1492176.27</v>
      </c>
      <c r="W440" s="822">
        <v>3001</v>
      </c>
      <c r="X440" s="436" t="str">
        <f>IFERROR(VLOOKUP(W440,DATA!$G$4:$H$400,2,FALSE),"")</f>
        <v>ХУРД ГРУПП ХХК</v>
      </c>
      <c r="Y440" s="328"/>
      <c r="Z440" s="328"/>
      <c r="AA440" s="328"/>
    </row>
    <row r="441" spans="1:27" ht="12.75" customHeight="1">
      <c r="A441" s="425"/>
      <c r="B441" s="368">
        <f t="shared" si="148"/>
        <v>436</v>
      </c>
      <c r="C441" s="425">
        <v>43373</v>
      </c>
      <c r="D441" s="830"/>
      <c r="E441" s="876" t="str">
        <f t="shared" ca="1" si="149"/>
        <v/>
      </c>
      <c r="F441" s="426" t="str">
        <f t="shared" ca="1" si="153"/>
        <v/>
      </c>
      <c r="G441" s="415"/>
      <c r="H441" s="415"/>
      <c r="I441" s="415" t="str">
        <f t="shared" si="150"/>
        <v/>
      </c>
      <c r="J441" s="415" t="str">
        <f t="shared" si="151"/>
        <v/>
      </c>
      <c r="K441" s="415" t="str">
        <f t="shared" si="152"/>
        <v/>
      </c>
      <c r="L441" s="415"/>
      <c r="M441" s="415"/>
      <c r="N441" s="422" t="str">
        <f t="shared" si="162"/>
        <v/>
      </c>
      <c r="O441" s="422" t="str">
        <f t="shared" ref="O441:O503" si="163">+IF(L441="","",N441*0.1)</f>
        <v/>
      </c>
      <c r="P441" s="422" t="str">
        <f t="shared" ref="P441:P503" si="164">+IF(L441="","",N441+O441)</f>
        <v/>
      </c>
      <c r="Q441" s="422" t="str">
        <f t="shared" ref="Q441:Q503" si="165">IF(L441="","",IFERROR((SUMIFS(TN_balC1_totol,TN_code,D441)+SUMIFS(RC_or_totol,RC_Code,D441,RC_date,"&lt;="&amp;C441)-SUMIFS(RC_zar_totol,RC_Code,D441,RC_date,"&lt;"&amp;C441)) /( SUMIFS(TN_balC1_unit,TN_code,D441)+SUMIFS(RC_or_unit,RC_Code,D441,RC_date,"&lt;="&amp;C441)-SUMIFS(RC_zar_unit,RC_Code,D441,RC_date,"&lt;"&amp;C441)),0 ))</f>
        <v/>
      </c>
      <c r="R441" s="422" t="str">
        <f t="shared" ref="R441:R503" si="166">+IF(L441="","",L441*Q441)</f>
        <v/>
      </c>
      <c r="S441" s="583">
        <v>200700</v>
      </c>
      <c r="T441" s="377" t="str">
        <f>+IFERROR(VLOOKUP(S441,STAT1!$C$4:$D$189,2,FALSE),"")</f>
        <v xml:space="preserve">Дуусаагүй барилга-1 </v>
      </c>
      <c r="U441" s="424">
        <v>140605743.36000001</v>
      </c>
      <c r="V441" s="424"/>
      <c r="W441" s="822">
        <v>3001</v>
      </c>
      <c r="X441" s="436" t="str">
        <f>IFERROR(VLOOKUP(W441,DATA!$G$4:$H$400,2,FALSE),"")</f>
        <v>ХУРД ГРУПП ХХК</v>
      </c>
      <c r="Y441" s="328"/>
      <c r="Z441" s="328"/>
      <c r="AA441" s="328"/>
    </row>
    <row r="442" spans="1:27" ht="12.75" customHeight="1">
      <c r="A442" s="425"/>
      <c r="B442" s="368">
        <f t="shared" si="148"/>
        <v>437</v>
      </c>
      <c r="C442" s="425">
        <v>43402</v>
      </c>
      <c r="D442" s="830">
        <v>410085</v>
      </c>
      <c r="E442" s="876" t="str">
        <f t="shared" ca="1" si="149"/>
        <v xml:space="preserve">НЦ-лак </v>
      </c>
      <c r="F442" s="426" t="str">
        <f t="shared" ca="1" si="153"/>
        <v>кг</v>
      </c>
      <c r="G442" s="415">
        <v>90</v>
      </c>
      <c r="H442" s="415">
        <v>8222.2222000000002</v>
      </c>
      <c r="I442" s="415">
        <f t="shared" si="150"/>
        <v>739999.99800000002</v>
      </c>
      <c r="J442" s="415">
        <f t="shared" si="151"/>
        <v>73999.999800000005</v>
      </c>
      <c r="K442" s="415">
        <f t="shared" si="152"/>
        <v>813999.99780000001</v>
      </c>
      <c r="L442" s="415"/>
      <c r="M442" s="415"/>
      <c r="N442" s="422" t="str">
        <f t="shared" si="162"/>
        <v/>
      </c>
      <c r="O442" s="422" t="str">
        <f t="shared" si="163"/>
        <v/>
      </c>
      <c r="P442" s="422" t="str">
        <f t="shared" si="164"/>
        <v/>
      </c>
      <c r="Q442" s="422" t="str">
        <f t="shared" si="165"/>
        <v/>
      </c>
      <c r="R442" s="422" t="str">
        <f t="shared" si="166"/>
        <v/>
      </c>
      <c r="S442" s="583">
        <f t="shared" si="159"/>
        <v>160100</v>
      </c>
      <c r="T442" s="377" t="str">
        <f>+IFERROR(VLOOKUP(S442,STAT1!$C$4:$D$189,2,FALSE),"")</f>
        <v xml:space="preserve">Барилгын материал </v>
      </c>
      <c r="U442" s="424">
        <v>740000</v>
      </c>
      <c r="V442" s="424"/>
      <c r="W442" s="822">
        <v>3017</v>
      </c>
      <c r="X442" s="436" t="str">
        <f>IFERROR(VLOOKUP(W442,DATA!$G$4:$H$400,2,FALSE),"")</f>
        <v xml:space="preserve">ВОС ХХК </v>
      </c>
      <c r="Y442" s="328"/>
      <c r="Z442" s="328"/>
      <c r="AA442" s="328"/>
    </row>
    <row r="443" spans="1:27" ht="12.75" customHeight="1">
      <c r="A443" s="425"/>
      <c r="B443" s="368">
        <f t="shared" si="148"/>
        <v>438</v>
      </c>
      <c r="C443" s="425">
        <v>43402</v>
      </c>
      <c r="D443" s="830">
        <v>410002</v>
      </c>
      <c r="E443" s="876" t="str">
        <f t="shared" ca="1" si="149"/>
        <v xml:space="preserve">Морилка </v>
      </c>
      <c r="F443" s="426" t="str">
        <f t="shared" ca="1" si="153"/>
        <v xml:space="preserve">ш </v>
      </c>
      <c r="G443" s="415">
        <v>12</v>
      </c>
      <c r="H443" s="415">
        <v>4000</v>
      </c>
      <c r="I443" s="415">
        <f t="shared" si="150"/>
        <v>48000</v>
      </c>
      <c r="J443" s="415">
        <f t="shared" si="151"/>
        <v>4800</v>
      </c>
      <c r="K443" s="415">
        <f t="shared" si="152"/>
        <v>52800</v>
      </c>
      <c r="L443" s="415"/>
      <c r="M443" s="415"/>
      <c r="N443" s="422" t="str">
        <f t="shared" si="162"/>
        <v/>
      </c>
      <c r="O443" s="422" t="str">
        <f t="shared" si="163"/>
        <v/>
      </c>
      <c r="P443" s="422" t="str">
        <f t="shared" si="164"/>
        <v/>
      </c>
      <c r="Q443" s="422" t="str">
        <f t="shared" si="165"/>
        <v/>
      </c>
      <c r="R443" s="422" t="str">
        <f t="shared" si="166"/>
        <v/>
      </c>
      <c r="S443" s="583">
        <f t="shared" si="159"/>
        <v>160100</v>
      </c>
      <c r="T443" s="377" t="str">
        <f>+IFERROR(VLOOKUP(S443,STAT1!$C$4:$D$189,2,FALSE),"")</f>
        <v xml:space="preserve">Барилгын материал </v>
      </c>
      <c r="U443" s="424">
        <v>48000</v>
      </c>
      <c r="V443" s="424"/>
      <c r="W443" s="822">
        <v>3017</v>
      </c>
      <c r="X443" s="436" t="str">
        <f>IFERROR(VLOOKUP(W443,DATA!$G$4:$H$400,2,FALSE),"")</f>
        <v xml:space="preserve">ВОС ХХК </v>
      </c>
      <c r="Y443" s="328"/>
      <c r="Z443" s="328"/>
      <c r="AA443" s="328"/>
    </row>
    <row r="444" spans="1:27" ht="12.75" customHeight="1">
      <c r="A444" s="425"/>
      <c r="B444" s="368">
        <f t="shared" si="148"/>
        <v>439</v>
      </c>
      <c r="C444" s="425">
        <v>43402</v>
      </c>
      <c r="D444" s="830">
        <v>410054</v>
      </c>
      <c r="E444" s="876" t="str">
        <f t="shared" ca="1" si="149"/>
        <v xml:space="preserve">Будаг шингэлэгч </v>
      </c>
      <c r="F444" s="426" t="str">
        <f t="shared" ca="1" si="153"/>
        <v>ш</v>
      </c>
      <c r="G444" s="415">
        <v>60</v>
      </c>
      <c r="H444" s="415">
        <v>2100</v>
      </c>
      <c r="I444" s="415">
        <f t="shared" si="150"/>
        <v>126000</v>
      </c>
      <c r="J444" s="415">
        <f t="shared" si="151"/>
        <v>12600</v>
      </c>
      <c r="K444" s="415">
        <f t="shared" si="152"/>
        <v>138600</v>
      </c>
      <c r="L444" s="415"/>
      <c r="M444" s="415"/>
      <c r="N444" s="422" t="str">
        <f t="shared" si="162"/>
        <v/>
      </c>
      <c r="O444" s="422" t="str">
        <f t="shared" si="163"/>
        <v/>
      </c>
      <c r="P444" s="422" t="str">
        <f t="shared" si="164"/>
        <v/>
      </c>
      <c r="Q444" s="422" t="str">
        <f t="shared" si="165"/>
        <v/>
      </c>
      <c r="R444" s="422" t="str">
        <f t="shared" si="166"/>
        <v/>
      </c>
      <c r="S444" s="583">
        <f t="shared" si="159"/>
        <v>160100</v>
      </c>
      <c r="T444" s="377" t="str">
        <f>+IFERROR(VLOOKUP(S444,STAT1!$C$4:$D$189,2,FALSE),"")</f>
        <v xml:space="preserve">Барилгын материал </v>
      </c>
      <c r="U444" s="424">
        <v>126000</v>
      </c>
      <c r="V444" s="424"/>
      <c r="W444" s="822">
        <v>3017</v>
      </c>
      <c r="X444" s="436" t="str">
        <f>IFERROR(VLOOKUP(W444,DATA!$G$4:$H$400,2,FALSE),"")</f>
        <v xml:space="preserve">ВОС ХХК </v>
      </c>
      <c r="Y444" s="328"/>
      <c r="Z444" s="328"/>
      <c r="AA444" s="328"/>
    </row>
    <row r="445" spans="1:27" ht="12.75" customHeight="1">
      <c r="A445" s="425"/>
      <c r="B445" s="368">
        <f t="shared" si="148"/>
        <v>440</v>
      </c>
      <c r="C445" s="425">
        <v>43402</v>
      </c>
      <c r="D445" s="830">
        <v>410006</v>
      </c>
      <c r="E445" s="876" t="str">
        <f t="shared" ca="1" si="149"/>
        <v>Модны замаска</v>
      </c>
      <c r="F445" s="426" t="str">
        <f t="shared" ca="1" si="153"/>
        <v>ш</v>
      </c>
      <c r="G445" s="415">
        <v>18</v>
      </c>
      <c r="H445" s="415">
        <v>4650</v>
      </c>
      <c r="I445" s="415">
        <f t="shared" si="150"/>
        <v>83700</v>
      </c>
      <c r="J445" s="415">
        <f t="shared" si="151"/>
        <v>8370</v>
      </c>
      <c r="K445" s="415">
        <f t="shared" si="152"/>
        <v>92070</v>
      </c>
      <c r="L445" s="415"/>
      <c r="M445" s="415"/>
      <c r="N445" s="422" t="str">
        <f t="shared" si="162"/>
        <v/>
      </c>
      <c r="O445" s="422" t="str">
        <f t="shared" si="163"/>
        <v/>
      </c>
      <c r="P445" s="422" t="str">
        <f t="shared" si="164"/>
        <v/>
      </c>
      <c r="Q445" s="422" t="str">
        <f t="shared" si="165"/>
        <v/>
      </c>
      <c r="R445" s="422" t="str">
        <f t="shared" si="166"/>
        <v/>
      </c>
      <c r="S445" s="583">
        <f t="shared" si="159"/>
        <v>160100</v>
      </c>
      <c r="T445" s="377" t="str">
        <f>+IFERROR(VLOOKUP(S445,STAT1!$C$4:$D$189,2,FALSE),"")</f>
        <v xml:space="preserve">Барилгын материал </v>
      </c>
      <c r="U445" s="424">
        <v>83700</v>
      </c>
      <c r="V445" s="415"/>
      <c r="W445" s="822">
        <v>3017</v>
      </c>
      <c r="X445" s="436" t="str">
        <f>IFERROR(VLOOKUP(W445,DATA!$G$4:$H$400,2,FALSE),"")</f>
        <v xml:space="preserve">ВОС ХХК </v>
      </c>
      <c r="Y445" s="328"/>
      <c r="Z445" s="328"/>
      <c r="AA445" s="328"/>
    </row>
    <row r="446" spans="1:27" ht="12.75" customHeight="1">
      <c r="A446" s="425"/>
      <c r="B446" s="368">
        <f t="shared" si="148"/>
        <v>441</v>
      </c>
      <c r="C446" s="425">
        <v>43402</v>
      </c>
      <c r="D446" s="830"/>
      <c r="E446" s="876" t="str">
        <f t="shared" ca="1" si="149"/>
        <v/>
      </c>
      <c r="F446" s="426" t="str">
        <f t="shared" ca="1" si="153"/>
        <v/>
      </c>
      <c r="G446" s="415"/>
      <c r="H446" s="415"/>
      <c r="I446" s="415" t="str">
        <f t="shared" si="150"/>
        <v/>
      </c>
      <c r="J446" s="415" t="str">
        <f t="shared" si="151"/>
        <v/>
      </c>
      <c r="K446" s="415" t="str">
        <f t="shared" si="152"/>
        <v/>
      </c>
      <c r="L446" s="415"/>
      <c r="M446" s="415"/>
      <c r="N446" s="422" t="str">
        <f t="shared" si="162"/>
        <v/>
      </c>
      <c r="O446" s="422" t="str">
        <f t="shared" si="163"/>
        <v/>
      </c>
      <c r="P446" s="422" t="str">
        <f t="shared" si="164"/>
        <v/>
      </c>
      <c r="Q446" s="422" t="str">
        <f t="shared" si="165"/>
        <v/>
      </c>
      <c r="R446" s="422" t="str">
        <f t="shared" si="166"/>
        <v/>
      </c>
      <c r="S446" s="583">
        <v>120600</v>
      </c>
      <c r="T446" s="377" t="str">
        <f>+IFERROR(VLOOKUP(S446,STAT1!$C$4:$D$189,2,FALSE),"")</f>
        <v>НӨАТ авлага</v>
      </c>
      <c r="U446" s="424">
        <v>99770</v>
      </c>
      <c r="V446" s="424"/>
      <c r="W446" s="822">
        <v>3017</v>
      </c>
      <c r="X446" s="436" t="str">
        <f>IFERROR(VLOOKUP(W446,DATA!$G$4:$H$400,2,FALSE),"")</f>
        <v xml:space="preserve">ВОС ХХК </v>
      </c>
      <c r="Y446" s="328"/>
      <c r="Z446" s="328"/>
      <c r="AA446" s="328"/>
    </row>
    <row r="447" spans="1:27" ht="12.75" customHeight="1">
      <c r="A447" s="425"/>
      <c r="B447" s="368">
        <f t="shared" si="148"/>
        <v>442</v>
      </c>
      <c r="C447" s="425">
        <v>43402</v>
      </c>
      <c r="D447" s="830"/>
      <c r="E447" s="876" t="str">
        <f t="shared" ca="1" si="149"/>
        <v/>
      </c>
      <c r="F447" s="426" t="str">
        <f t="shared" ca="1" si="153"/>
        <v/>
      </c>
      <c r="G447" s="415"/>
      <c r="H447" s="415"/>
      <c r="I447" s="415" t="str">
        <f t="shared" si="150"/>
        <v/>
      </c>
      <c r="J447" s="415" t="str">
        <f t="shared" si="151"/>
        <v/>
      </c>
      <c r="K447" s="415" t="str">
        <f t="shared" si="152"/>
        <v/>
      </c>
      <c r="L447" s="415"/>
      <c r="M447" s="415"/>
      <c r="N447" s="422" t="str">
        <f t="shared" si="162"/>
        <v/>
      </c>
      <c r="O447" s="422" t="str">
        <f t="shared" si="163"/>
        <v/>
      </c>
      <c r="P447" s="422" t="str">
        <f t="shared" si="164"/>
        <v/>
      </c>
      <c r="Q447" s="422" t="str">
        <f t="shared" si="165"/>
        <v/>
      </c>
      <c r="R447" s="422" t="str">
        <f t="shared" si="166"/>
        <v/>
      </c>
      <c r="S447" s="583">
        <v>120100</v>
      </c>
      <c r="T447" s="377" t="str">
        <f>+IFERROR(VLOOKUP(S447,STAT1!$C$4:$D$189,2,FALSE),"")</f>
        <v xml:space="preserve">Дансны авлага MNT </v>
      </c>
      <c r="U447" s="424"/>
      <c r="V447" s="424">
        <v>1097470</v>
      </c>
      <c r="W447" s="822">
        <v>3017</v>
      </c>
      <c r="X447" s="436" t="str">
        <f>IFERROR(VLOOKUP(W447,DATA!$G$4:$H$400,2,FALSE),"")</f>
        <v xml:space="preserve">ВОС ХХК </v>
      </c>
      <c r="Y447" s="328"/>
      <c r="Z447" s="328"/>
      <c r="AA447" s="328"/>
    </row>
    <row r="448" spans="1:27" ht="12.75" customHeight="1">
      <c r="A448" s="425"/>
      <c r="B448" s="368">
        <f t="shared" si="148"/>
        <v>443</v>
      </c>
      <c r="C448" s="425">
        <v>43403</v>
      </c>
      <c r="D448" s="830">
        <v>510001</v>
      </c>
      <c r="E448" s="876" t="str">
        <f t="shared" ca="1" si="149"/>
        <v>Цавуу 505</v>
      </c>
      <c r="F448" s="426" t="str">
        <f t="shared" ca="1" si="153"/>
        <v>кг</v>
      </c>
      <c r="G448" s="415">
        <v>300</v>
      </c>
      <c r="H448" s="415">
        <v>4800</v>
      </c>
      <c r="I448" s="415">
        <f t="shared" si="150"/>
        <v>1440000</v>
      </c>
      <c r="J448" s="415"/>
      <c r="K448" s="415">
        <f t="shared" si="152"/>
        <v>1440000</v>
      </c>
      <c r="L448" s="415"/>
      <c r="M448" s="415"/>
      <c r="N448" s="422" t="str">
        <f t="shared" si="162"/>
        <v/>
      </c>
      <c r="O448" s="422" t="str">
        <f t="shared" si="163"/>
        <v/>
      </c>
      <c r="P448" s="422" t="str">
        <f t="shared" si="164"/>
        <v/>
      </c>
      <c r="Q448" s="422" t="str">
        <f t="shared" si="165"/>
        <v/>
      </c>
      <c r="R448" s="422" t="str">
        <f t="shared" si="166"/>
        <v/>
      </c>
      <c r="S448" s="583">
        <f t="shared" si="159"/>
        <v>140100</v>
      </c>
      <c r="T448" s="377" t="str">
        <f>+IFERROR(VLOOKUP(S448,STAT1!$C$4:$D$189,2,FALSE),"")</f>
        <v>Түүхий эд материал</v>
      </c>
      <c r="U448" s="424">
        <v>1440000</v>
      </c>
      <c r="V448" s="424"/>
      <c r="W448" s="822">
        <v>1005</v>
      </c>
      <c r="X448" s="436" t="str">
        <f>IFERROR(VLOOKUP(W448,DATA!$G$4:$H$400,2,FALSE),"")</f>
        <v>Золжаргал</v>
      </c>
      <c r="Y448" s="328"/>
      <c r="Z448" s="328"/>
      <c r="AA448" s="328"/>
    </row>
    <row r="449" spans="1:27" ht="12.75" customHeight="1">
      <c r="A449" s="425"/>
      <c r="B449" s="368">
        <f t="shared" si="148"/>
        <v>444</v>
      </c>
      <c r="C449" s="425">
        <v>43403</v>
      </c>
      <c r="D449" s="830"/>
      <c r="E449" s="876" t="str">
        <f t="shared" ca="1" si="149"/>
        <v/>
      </c>
      <c r="F449" s="426" t="str">
        <f t="shared" ca="1" si="153"/>
        <v/>
      </c>
      <c r="G449" s="415"/>
      <c r="H449" s="415"/>
      <c r="I449" s="415" t="str">
        <f t="shared" si="150"/>
        <v/>
      </c>
      <c r="J449" s="415" t="str">
        <f t="shared" si="151"/>
        <v/>
      </c>
      <c r="K449" s="415" t="str">
        <f t="shared" si="152"/>
        <v/>
      </c>
      <c r="L449" s="415"/>
      <c r="M449" s="415"/>
      <c r="N449" s="422" t="str">
        <f t="shared" si="162"/>
        <v/>
      </c>
      <c r="O449" s="422" t="str">
        <f t="shared" si="163"/>
        <v/>
      </c>
      <c r="P449" s="422" t="str">
        <f t="shared" si="164"/>
        <v/>
      </c>
      <c r="Q449" s="422" t="str">
        <f t="shared" si="165"/>
        <v/>
      </c>
      <c r="R449" s="422" t="str">
        <f t="shared" si="166"/>
        <v/>
      </c>
      <c r="S449" s="583">
        <v>121200</v>
      </c>
      <c r="T449" s="377" t="str">
        <f>+IFERROR(VLOOKUP(S449,STAT1!$C$4:$D$189,2,FALSE),"")</f>
        <v xml:space="preserve">Ажилчидын дараа тайлангийн тооцоо </v>
      </c>
      <c r="U449" s="424"/>
      <c r="V449" s="424">
        <v>1440000</v>
      </c>
      <c r="W449" s="822">
        <v>1005</v>
      </c>
      <c r="X449" s="436" t="str">
        <f>IFERROR(VLOOKUP(W449,DATA!$G$4:$H$400,2,FALSE),"")</f>
        <v>Золжаргал</v>
      </c>
      <c r="Y449" s="328"/>
      <c r="Z449" s="328"/>
      <c r="AA449" s="328"/>
    </row>
    <row r="450" spans="1:27" ht="12.75" customHeight="1">
      <c r="A450" s="425"/>
      <c r="B450" s="368">
        <f t="shared" si="148"/>
        <v>445</v>
      </c>
      <c r="C450" s="425">
        <v>43392</v>
      </c>
      <c r="D450" s="830">
        <v>510001</v>
      </c>
      <c r="E450" s="876" t="str">
        <f t="shared" ca="1" si="149"/>
        <v>Цавуу 505</v>
      </c>
      <c r="F450" s="426" t="str">
        <f t="shared" ca="1" si="153"/>
        <v>кг</v>
      </c>
      <c r="G450" s="415">
        <v>19</v>
      </c>
      <c r="H450" s="415">
        <v>4425.8370999999997</v>
      </c>
      <c r="I450" s="415">
        <f t="shared" si="150"/>
        <v>84090.904899999994</v>
      </c>
      <c r="J450" s="415">
        <f t="shared" si="151"/>
        <v>8409.0904900000005</v>
      </c>
      <c r="K450" s="415">
        <f t="shared" si="152"/>
        <v>92499.995389999996</v>
      </c>
      <c r="L450" s="415"/>
      <c r="M450" s="415"/>
      <c r="N450" s="422" t="str">
        <f t="shared" si="162"/>
        <v/>
      </c>
      <c r="O450" s="422" t="str">
        <f t="shared" si="163"/>
        <v/>
      </c>
      <c r="P450" s="422" t="str">
        <f t="shared" si="164"/>
        <v/>
      </c>
      <c r="Q450" s="422" t="str">
        <f t="shared" si="165"/>
        <v/>
      </c>
      <c r="R450" s="422" t="str">
        <f t="shared" si="166"/>
        <v/>
      </c>
      <c r="S450" s="583">
        <f t="shared" si="159"/>
        <v>140100</v>
      </c>
      <c r="T450" s="377" t="str">
        <f>+IFERROR(VLOOKUP(S450,STAT1!$C$4:$D$189,2,FALSE),"")</f>
        <v>Түүхий эд материал</v>
      </c>
      <c r="U450" s="424">
        <f>+I450</f>
        <v>84090.904899999994</v>
      </c>
      <c r="V450" s="424"/>
      <c r="W450" s="822">
        <v>1008</v>
      </c>
      <c r="X450" s="436" t="str">
        <f>IFERROR(VLOOKUP(W450,DATA!$G$4:$H$400,2,FALSE),"")</f>
        <v xml:space="preserve">Оюунтүлхүүр </v>
      </c>
      <c r="Y450" s="328"/>
      <c r="Z450" s="328"/>
      <c r="AA450" s="328"/>
    </row>
    <row r="451" spans="1:27" ht="12.75" customHeight="1">
      <c r="A451" s="425"/>
      <c r="B451" s="368">
        <f t="shared" si="148"/>
        <v>446</v>
      </c>
      <c r="C451" s="425">
        <v>43392</v>
      </c>
      <c r="D451" s="830"/>
      <c r="E451" s="876" t="str">
        <f t="shared" ca="1" si="149"/>
        <v/>
      </c>
      <c r="F451" s="426" t="str">
        <f t="shared" ca="1" si="153"/>
        <v/>
      </c>
      <c r="G451" s="415"/>
      <c r="H451" s="415"/>
      <c r="I451" s="415" t="str">
        <f t="shared" si="150"/>
        <v/>
      </c>
      <c r="J451" s="415" t="str">
        <f t="shared" si="151"/>
        <v/>
      </c>
      <c r="K451" s="415" t="str">
        <f t="shared" si="152"/>
        <v/>
      </c>
      <c r="L451" s="415"/>
      <c r="M451" s="415"/>
      <c r="N451" s="422" t="str">
        <f t="shared" si="162"/>
        <v/>
      </c>
      <c r="O451" s="422" t="str">
        <f t="shared" si="163"/>
        <v/>
      </c>
      <c r="P451" s="422" t="str">
        <f t="shared" si="164"/>
        <v/>
      </c>
      <c r="Q451" s="422" t="str">
        <f t="shared" si="165"/>
        <v/>
      </c>
      <c r="R451" s="422" t="str">
        <f t="shared" si="166"/>
        <v/>
      </c>
      <c r="S451" s="583">
        <v>120600</v>
      </c>
      <c r="T451" s="377" t="str">
        <f>+IFERROR(VLOOKUP(S451,STAT1!$C$4:$D$189,2,FALSE),"")</f>
        <v>НӨАТ авлага</v>
      </c>
      <c r="U451" s="424">
        <f>+J450</f>
        <v>8409.0904900000005</v>
      </c>
      <c r="V451" s="424"/>
      <c r="W451" s="822">
        <v>1008</v>
      </c>
      <c r="X451" s="436" t="str">
        <f>IFERROR(VLOOKUP(W451,DATA!$G$4:$H$400,2,FALSE),"")</f>
        <v xml:space="preserve">Оюунтүлхүүр </v>
      </c>
      <c r="Y451" s="328"/>
      <c r="Z451" s="328"/>
      <c r="AA451" s="328"/>
    </row>
    <row r="452" spans="1:27" ht="12.75" customHeight="1">
      <c r="A452" s="425"/>
      <c r="B452" s="368">
        <f t="shared" si="148"/>
        <v>447</v>
      </c>
      <c r="C452" s="425">
        <v>43392</v>
      </c>
      <c r="D452" s="830"/>
      <c r="E452" s="876" t="str">
        <f t="shared" ca="1" si="149"/>
        <v/>
      </c>
      <c r="F452" s="426" t="str">
        <f t="shared" ca="1" si="153"/>
        <v/>
      </c>
      <c r="G452" s="415"/>
      <c r="H452" s="415"/>
      <c r="I452" s="415" t="str">
        <f t="shared" si="150"/>
        <v/>
      </c>
      <c r="J452" s="415" t="str">
        <f t="shared" si="151"/>
        <v/>
      </c>
      <c r="K452" s="415" t="str">
        <f t="shared" si="152"/>
        <v/>
      </c>
      <c r="L452" s="415"/>
      <c r="M452" s="415"/>
      <c r="N452" s="422" t="str">
        <f t="shared" si="162"/>
        <v/>
      </c>
      <c r="O452" s="422" t="str">
        <f t="shared" si="163"/>
        <v/>
      </c>
      <c r="P452" s="422" t="str">
        <f t="shared" si="164"/>
        <v/>
      </c>
      <c r="Q452" s="422" t="str">
        <f t="shared" si="165"/>
        <v/>
      </c>
      <c r="R452" s="422" t="str">
        <f t="shared" si="166"/>
        <v/>
      </c>
      <c r="S452" s="583">
        <v>121200</v>
      </c>
      <c r="T452" s="377" t="str">
        <f>+IFERROR(VLOOKUP(S452,STAT1!$C$4:$D$189,2,FALSE),"")</f>
        <v xml:space="preserve">Ажилчидын дараа тайлангийн тооцоо </v>
      </c>
      <c r="U452" s="424"/>
      <c r="V452" s="424">
        <v>92500</v>
      </c>
      <c r="W452" s="822">
        <v>1008</v>
      </c>
      <c r="X452" s="436" t="str">
        <f>IFERROR(VLOOKUP(W452,DATA!$G$4:$H$400,2,FALSE),"")</f>
        <v xml:space="preserve">Оюунтүлхүүр </v>
      </c>
      <c r="Y452" s="328"/>
      <c r="Z452" s="328"/>
      <c r="AA452" s="328"/>
    </row>
    <row r="453" spans="1:27" ht="12.75" customHeight="1">
      <c r="A453" s="425"/>
      <c r="B453" s="368">
        <f t="shared" si="148"/>
        <v>448</v>
      </c>
      <c r="C453" s="425">
        <v>43395</v>
      </c>
      <c r="D453" s="830">
        <v>211714</v>
      </c>
      <c r="E453" s="876" t="str">
        <f t="shared" ca="1" si="149"/>
        <v xml:space="preserve">Н-Хавтан /зузаан-2см/-яртай </v>
      </c>
      <c r="F453" s="426" t="str">
        <f t="shared" ca="1" si="153"/>
        <v>м2</v>
      </c>
      <c r="G453" s="415"/>
      <c r="H453" s="415"/>
      <c r="I453" s="415" t="str">
        <f t="shared" si="150"/>
        <v/>
      </c>
      <c r="J453" s="415" t="str">
        <f t="shared" si="151"/>
        <v/>
      </c>
      <c r="K453" s="415" t="str">
        <f t="shared" si="152"/>
        <v/>
      </c>
      <c r="L453" s="415">
        <v>3</v>
      </c>
      <c r="M453" s="415">
        <v>26666.666700000002</v>
      </c>
      <c r="N453" s="422">
        <f t="shared" si="162"/>
        <v>80000.000100000005</v>
      </c>
      <c r="O453" s="422">
        <f t="shared" si="163"/>
        <v>8000.0000100000007</v>
      </c>
      <c r="P453" s="422">
        <f t="shared" si="164"/>
        <v>88000.000110000008</v>
      </c>
      <c r="Q453" s="422">
        <f t="shared" ca="1" si="165"/>
        <v>22337.008973893404</v>
      </c>
      <c r="R453" s="422">
        <f t="shared" ca="1" si="166"/>
        <v>67011.026921680212</v>
      </c>
      <c r="S453" s="583">
        <f t="shared" si="159"/>
        <v>150101</v>
      </c>
      <c r="T453" s="377" t="str">
        <f>+IFERROR(VLOOKUP(S453,STAT1!$C$4:$D$189,2,FALSE),"")</f>
        <v>Бараа бэлэн бүтээгдэхүүн БОЛОВСРУУЛАХ ЦЕХ /нарс/</v>
      </c>
      <c r="U453" s="424"/>
      <c r="V453" s="424">
        <f ca="1">+R453</f>
        <v>67011.026921680212</v>
      </c>
      <c r="W453" s="822">
        <v>3045</v>
      </c>
      <c r="X453" s="436" t="str">
        <f>IFERROR(VLOOKUP(W453,DATA!$G$4:$H$400,2,FALSE),"")</f>
        <v xml:space="preserve">МОНГОЛ ИДЕАЛ ХХК </v>
      </c>
      <c r="Y453" s="328"/>
      <c r="Z453" s="328"/>
      <c r="AA453" s="328"/>
    </row>
    <row r="454" spans="1:27" ht="12.75" customHeight="1">
      <c r="A454" s="425"/>
      <c r="B454" s="368">
        <f t="shared" si="148"/>
        <v>449</v>
      </c>
      <c r="C454" s="425">
        <v>43395</v>
      </c>
      <c r="D454" s="830"/>
      <c r="E454" s="876" t="str">
        <f t="shared" ca="1" si="149"/>
        <v/>
      </c>
      <c r="F454" s="426" t="str">
        <f t="shared" ca="1" si="153"/>
        <v/>
      </c>
      <c r="G454" s="415"/>
      <c r="H454" s="415"/>
      <c r="I454" s="415" t="str">
        <f t="shared" si="150"/>
        <v/>
      </c>
      <c r="J454" s="415" t="str">
        <f t="shared" si="151"/>
        <v/>
      </c>
      <c r="K454" s="415" t="str">
        <f t="shared" si="152"/>
        <v/>
      </c>
      <c r="L454" s="415"/>
      <c r="M454" s="415"/>
      <c r="N454" s="422" t="str">
        <f t="shared" si="162"/>
        <v/>
      </c>
      <c r="O454" s="422" t="str">
        <f t="shared" si="163"/>
        <v/>
      </c>
      <c r="P454" s="422" t="str">
        <f t="shared" si="164"/>
        <v/>
      </c>
      <c r="Q454" s="422" t="str">
        <f t="shared" si="165"/>
        <v/>
      </c>
      <c r="R454" s="422" t="str">
        <f t="shared" si="166"/>
        <v/>
      </c>
      <c r="S454" s="583">
        <v>610100</v>
      </c>
      <c r="T454" s="377" t="str">
        <f>+IFERROR(VLOOKUP(S454,STAT1!$C$4:$D$189,2,FALSE),"")</f>
        <v>Борлуулсан барааны өртөг</v>
      </c>
      <c r="U454" s="415">
        <f ca="1">+R453</f>
        <v>67011.026921680212</v>
      </c>
      <c r="V454" s="415"/>
      <c r="W454" s="822">
        <v>3045</v>
      </c>
      <c r="X454" s="436" t="str">
        <f>IFERROR(VLOOKUP(W454,DATA!$G$4:$H$400,2,FALSE),"")</f>
        <v xml:space="preserve">МОНГОЛ ИДЕАЛ ХХК </v>
      </c>
      <c r="Y454" s="328"/>
      <c r="Z454" s="328"/>
      <c r="AA454" s="328"/>
    </row>
    <row r="455" spans="1:27" ht="12.75" customHeight="1">
      <c r="A455" s="425"/>
      <c r="B455" s="368">
        <f t="shared" si="148"/>
        <v>450</v>
      </c>
      <c r="C455" s="425">
        <v>43395</v>
      </c>
      <c r="D455" s="830"/>
      <c r="E455" s="876" t="str">
        <f t="shared" ca="1" si="149"/>
        <v/>
      </c>
      <c r="F455" s="426" t="str">
        <f t="shared" ca="1" si="153"/>
        <v/>
      </c>
      <c r="G455" s="415"/>
      <c r="H455" s="415"/>
      <c r="I455" s="415" t="str">
        <f t="shared" si="150"/>
        <v/>
      </c>
      <c r="J455" s="415" t="str">
        <f t="shared" si="151"/>
        <v/>
      </c>
      <c r="K455" s="415" t="str">
        <f t="shared" si="152"/>
        <v/>
      </c>
      <c r="L455" s="415"/>
      <c r="M455" s="415"/>
      <c r="N455" s="422" t="str">
        <f t="shared" si="162"/>
        <v/>
      </c>
      <c r="O455" s="422" t="str">
        <f t="shared" si="163"/>
        <v/>
      </c>
      <c r="P455" s="422" t="str">
        <f t="shared" si="164"/>
        <v/>
      </c>
      <c r="Q455" s="422" t="str">
        <f t="shared" si="165"/>
        <v/>
      </c>
      <c r="R455" s="422" t="str">
        <f t="shared" si="166"/>
        <v/>
      </c>
      <c r="S455" s="583">
        <v>310500</v>
      </c>
      <c r="T455" s="377" t="str">
        <f>+IFERROR(VLOOKUP(S455,STAT1!$C$4:$D$189,2,FALSE),"")</f>
        <v>НӨАТ өглөг</v>
      </c>
      <c r="U455" s="424"/>
      <c r="V455" s="424">
        <v>8000</v>
      </c>
      <c r="W455" s="822">
        <v>3045</v>
      </c>
      <c r="X455" s="436" t="str">
        <f>IFERROR(VLOOKUP(W455,DATA!$G$4:$H$400,2,FALSE),"")</f>
        <v xml:space="preserve">МОНГОЛ ИДЕАЛ ХХК </v>
      </c>
      <c r="Y455" s="328"/>
      <c r="Z455" s="328"/>
      <c r="AA455" s="328"/>
    </row>
    <row r="456" spans="1:27" ht="12.75" customHeight="1">
      <c r="A456" s="425"/>
      <c r="B456" s="368">
        <f t="shared" si="148"/>
        <v>451</v>
      </c>
      <c r="C456" s="425">
        <v>43395</v>
      </c>
      <c r="D456" s="830"/>
      <c r="E456" s="876" t="str">
        <f t="shared" ca="1" si="149"/>
        <v/>
      </c>
      <c r="F456" s="426" t="str">
        <f t="shared" ca="1" si="153"/>
        <v/>
      </c>
      <c r="G456" s="415"/>
      <c r="H456" s="415"/>
      <c r="I456" s="415" t="str">
        <f t="shared" si="150"/>
        <v/>
      </c>
      <c r="J456" s="415" t="str">
        <f t="shared" si="151"/>
        <v/>
      </c>
      <c r="K456" s="415" t="str">
        <f t="shared" si="152"/>
        <v/>
      </c>
      <c r="L456" s="415"/>
      <c r="M456" s="415"/>
      <c r="N456" s="422" t="str">
        <f t="shared" si="162"/>
        <v/>
      </c>
      <c r="O456" s="422" t="str">
        <f t="shared" si="163"/>
        <v/>
      </c>
      <c r="P456" s="422" t="str">
        <f t="shared" si="164"/>
        <v/>
      </c>
      <c r="Q456" s="422" t="str">
        <f t="shared" si="165"/>
        <v/>
      </c>
      <c r="R456" s="422" t="str">
        <f t="shared" si="166"/>
        <v/>
      </c>
      <c r="S456" s="583">
        <v>510000</v>
      </c>
      <c r="T456" s="377" t="str">
        <f>+IFERROR(VLOOKUP(S456,STAT1!$C$4:$D$189,2,FALSE),"")</f>
        <v>Үндсэн үйл ажиллагааны борлуулалт</v>
      </c>
      <c r="U456" s="424"/>
      <c r="V456" s="424">
        <v>80000</v>
      </c>
      <c r="W456" s="822">
        <v>3045</v>
      </c>
      <c r="X456" s="436" t="str">
        <f>IFERROR(VLOOKUP(W456,DATA!$G$4:$H$400,2,FALSE),"")</f>
        <v xml:space="preserve">МОНГОЛ ИДЕАЛ ХХК </v>
      </c>
      <c r="Y456" s="328"/>
      <c r="Z456" s="328"/>
      <c r="AA456" s="328"/>
    </row>
    <row r="457" spans="1:27" ht="12.75" customHeight="1">
      <c r="A457" s="425"/>
      <c r="B457" s="368">
        <f t="shared" si="148"/>
        <v>452</v>
      </c>
      <c r="C457" s="425">
        <v>43395</v>
      </c>
      <c r="D457" s="830"/>
      <c r="E457" s="876" t="str">
        <f t="shared" ca="1" si="149"/>
        <v/>
      </c>
      <c r="F457" s="426" t="str">
        <f t="shared" ca="1" si="153"/>
        <v/>
      </c>
      <c r="G457" s="415"/>
      <c r="H457" s="415"/>
      <c r="I457" s="415" t="str">
        <f t="shared" si="150"/>
        <v/>
      </c>
      <c r="J457" s="415" t="str">
        <f t="shared" si="151"/>
        <v/>
      </c>
      <c r="K457" s="415" t="str">
        <f t="shared" si="152"/>
        <v/>
      </c>
      <c r="L457" s="415"/>
      <c r="M457" s="415"/>
      <c r="N457" s="422" t="str">
        <f t="shared" si="162"/>
        <v/>
      </c>
      <c r="O457" s="422" t="str">
        <f t="shared" si="163"/>
        <v/>
      </c>
      <c r="P457" s="422" t="str">
        <f t="shared" si="164"/>
        <v/>
      </c>
      <c r="Q457" s="422" t="str">
        <f t="shared" si="165"/>
        <v/>
      </c>
      <c r="R457" s="422" t="str">
        <f t="shared" si="166"/>
        <v/>
      </c>
      <c r="S457" s="583">
        <v>320100</v>
      </c>
      <c r="T457" s="377" t="str">
        <f>+IFERROR(VLOOKUP(S457,STAT1!$C$4:$D$189,2,FALSE),"")</f>
        <v>Урьдчилж орсон орлого MNT</v>
      </c>
      <c r="U457" s="424">
        <f>+P453</f>
        <v>88000.000110000008</v>
      </c>
      <c r="V457" s="424"/>
      <c r="W457" s="822">
        <v>3045</v>
      </c>
      <c r="X457" s="436" t="str">
        <f>IFERROR(VLOOKUP(W457,DATA!$G$4:$H$400,2,FALSE),"")</f>
        <v xml:space="preserve">МОНГОЛ ИДЕАЛ ХХК </v>
      </c>
      <c r="Y457" s="328"/>
      <c r="Z457" s="328"/>
      <c r="AA457" s="328"/>
    </row>
    <row r="458" spans="1:27" ht="12.75" customHeight="1">
      <c r="A458" s="425"/>
      <c r="B458" s="368">
        <f t="shared" ref="B458:B520" si="167">+IF(C458="","",ROW()-5)</f>
        <v>453</v>
      </c>
      <c r="C458" s="425">
        <v>43395</v>
      </c>
      <c r="D458" s="830">
        <v>211802</v>
      </c>
      <c r="E458" s="876" t="str">
        <f t="shared" ref="E458:E520" ca="1" si="168">+IFERROR(VLOOKUP(D458,TN_table,2,FALSE),"")</f>
        <v xml:space="preserve">Н-Уголок </v>
      </c>
      <c r="F458" s="426" t="str">
        <f t="shared" ca="1" si="153"/>
        <v>м</v>
      </c>
      <c r="G458" s="415"/>
      <c r="H458" s="415"/>
      <c r="I458" s="415" t="str">
        <f t="shared" si="150"/>
        <v/>
      </c>
      <c r="J458" s="415" t="str">
        <f t="shared" si="151"/>
        <v/>
      </c>
      <c r="K458" s="415" t="str">
        <f t="shared" si="152"/>
        <v/>
      </c>
      <c r="L458" s="415">
        <v>90</v>
      </c>
      <c r="M458" s="415">
        <v>3000</v>
      </c>
      <c r="N458" s="422">
        <f t="shared" si="162"/>
        <v>270000</v>
      </c>
      <c r="O458" s="422">
        <f t="shared" si="163"/>
        <v>27000</v>
      </c>
      <c r="P458" s="422">
        <f t="shared" si="164"/>
        <v>297000</v>
      </c>
      <c r="Q458" s="422">
        <f t="shared" ca="1" si="165"/>
        <v>1377.7799111418212</v>
      </c>
      <c r="R458" s="422">
        <f t="shared" ca="1" si="166"/>
        <v>124000.19200276391</v>
      </c>
      <c r="S458" s="583">
        <f t="shared" si="159"/>
        <v>150101</v>
      </c>
      <c r="T458" s="377" t="str">
        <f>+IFERROR(VLOOKUP(S458,STAT1!$C$4:$D$189,2,FALSE),"")</f>
        <v>Бараа бэлэн бүтээгдэхүүн БОЛОВСРУУЛАХ ЦЕХ /нарс/</v>
      </c>
      <c r="U458" s="424"/>
      <c r="V458" s="424">
        <f ca="1">+R458</f>
        <v>124000.19200276391</v>
      </c>
      <c r="W458" s="822">
        <v>3061</v>
      </c>
      <c r="X458" s="436" t="str">
        <f>IFERROR(VLOOKUP(W458,DATA!$G$4:$H$400,2,FALSE),"")</f>
        <v>СТИМО ХХК</v>
      </c>
      <c r="Y458" s="328"/>
      <c r="Z458" s="328"/>
      <c r="AA458" s="328"/>
    </row>
    <row r="459" spans="1:27" ht="12.75" customHeight="1">
      <c r="A459" s="425"/>
      <c r="B459" s="368">
        <f t="shared" si="167"/>
        <v>454</v>
      </c>
      <c r="C459" s="425">
        <v>43404</v>
      </c>
      <c r="D459" s="830"/>
      <c r="E459" s="876" t="str">
        <f t="shared" ca="1" si="168"/>
        <v/>
      </c>
      <c r="F459" s="426" t="str">
        <f t="shared" ca="1" si="153"/>
        <v/>
      </c>
      <c r="G459" s="415"/>
      <c r="H459" s="415"/>
      <c r="I459" s="415" t="str">
        <f t="shared" si="150"/>
        <v/>
      </c>
      <c r="J459" s="415" t="str">
        <f t="shared" si="151"/>
        <v/>
      </c>
      <c r="K459" s="415" t="str">
        <f t="shared" si="152"/>
        <v/>
      </c>
      <c r="L459" s="415"/>
      <c r="M459" s="415"/>
      <c r="N459" s="422" t="str">
        <f t="shared" si="162"/>
        <v/>
      </c>
      <c r="O459" s="422" t="str">
        <f t="shared" si="163"/>
        <v/>
      </c>
      <c r="P459" s="422" t="str">
        <f t="shared" si="164"/>
        <v/>
      </c>
      <c r="Q459" s="422" t="str">
        <f t="shared" si="165"/>
        <v/>
      </c>
      <c r="R459" s="422" t="str">
        <f t="shared" si="166"/>
        <v/>
      </c>
      <c r="S459" s="583">
        <v>610100</v>
      </c>
      <c r="T459" s="377" t="str">
        <f>+IFERROR(VLOOKUP(S459,STAT1!$C$4:$D$189,2,FALSE),"")</f>
        <v>Борлуулсан барааны өртөг</v>
      </c>
      <c r="U459" s="424">
        <f ca="1">+R458</f>
        <v>124000.19200276391</v>
      </c>
      <c r="V459" s="424"/>
      <c r="W459" s="822">
        <v>3061</v>
      </c>
      <c r="X459" s="436" t="str">
        <f>IFERROR(VLOOKUP(W459,DATA!$G$4:$H$400,2,FALSE),"")</f>
        <v>СТИМО ХХК</v>
      </c>
      <c r="Y459" s="328"/>
      <c r="Z459" s="328"/>
      <c r="AA459" s="328"/>
    </row>
    <row r="460" spans="1:27" ht="12.75" customHeight="1">
      <c r="A460" s="425"/>
      <c r="B460" s="368">
        <f t="shared" si="167"/>
        <v>455</v>
      </c>
      <c r="C460" s="425">
        <v>43404</v>
      </c>
      <c r="D460" s="830"/>
      <c r="E460" s="876" t="str">
        <f t="shared" ca="1" si="168"/>
        <v/>
      </c>
      <c r="F460" s="426" t="str">
        <f t="shared" ca="1" si="153"/>
        <v/>
      </c>
      <c r="G460" s="415"/>
      <c r="H460" s="415"/>
      <c r="I460" s="415" t="str">
        <f t="shared" ref="I460:I473" si="169">+IF(G460="","",G460*H460)</f>
        <v/>
      </c>
      <c r="J460" s="415" t="str">
        <f t="shared" ref="J460:J472" si="170">+IF(G460="","",I460*0.1)</f>
        <v/>
      </c>
      <c r="K460" s="415" t="str">
        <f t="shared" ref="K460:K473" si="171">+IF(G460="","",I460+J460)</f>
        <v/>
      </c>
      <c r="L460" s="415"/>
      <c r="M460" s="415"/>
      <c r="N460" s="422" t="str">
        <f t="shared" si="162"/>
        <v/>
      </c>
      <c r="O460" s="422" t="str">
        <f t="shared" si="163"/>
        <v/>
      </c>
      <c r="P460" s="422" t="str">
        <f t="shared" si="164"/>
        <v/>
      </c>
      <c r="Q460" s="422" t="str">
        <f t="shared" si="165"/>
        <v/>
      </c>
      <c r="R460" s="422" t="str">
        <f t="shared" si="166"/>
        <v/>
      </c>
      <c r="S460" s="583">
        <v>310500</v>
      </c>
      <c r="T460" s="377" t="str">
        <f>+IFERROR(VLOOKUP(S460,STAT1!$C$4:$D$189,2,FALSE),"")</f>
        <v>НӨАТ өглөг</v>
      </c>
      <c r="U460" s="424"/>
      <c r="V460" s="424">
        <v>27000</v>
      </c>
      <c r="W460" s="822">
        <v>3061</v>
      </c>
      <c r="X460" s="436" t="str">
        <f>IFERROR(VLOOKUP(W460,DATA!$G$4:$H$400,2,FALSE),"")</f>
        <v>СТИМО ХХК</v>
      </c>
      <c r="Y460" s="328"/>
      <c r="Z460" s="328"/>
      <c r="AA460" s="328"/>
    </row>
    <row r="461" spans="1:27" ht="12.75" customHeight="1">
      <c r="A461" s="425"/>
      <c r="B461" s="368">
        <f t="shared" si="167"/>
        <v>456</v>
      </c>
      <c r="C461" s="425">
        <v>43404</v>
      </c>
      <c r="D461" s="830"/>
      <c r="E461" s="876" t="str">
        <f t="shared" ca="1" si="168"/>
        <v/>
      </c>
      <c r="F461" s="426" t="str">
        <f t="shared" ca="1" si="153"/>
        <v/>
      </c>
      <c r="G461" s="415"/>
      <c r="H461" s="415"/>
      <c r="I461" s="415" t="str">
        <f t="shared" si="169"/>
        <v/>
      </c>
      <c r="J461" s="415" t="str">
        <f t="shared" si="170"/>
        <v/>
      </c>
      <c r="K461" s="415" t="str">
        <f t="shared" si="171"/>
        <v/>
      </c>
      <c r="L461" s="415"/>
      <c r="M461" s="415"/>
      <c r="N461" s="422" t="str">
        <f t="shared" si="162"/>
        <v/>
      </c>
      <c r="O461" s="422" t="str">
        <f t="shared" si="163"/>
        <v/>
      </c>
      <c r="P461" s="422" t="str">
        <f t="shared" si="164"/>
        <v/>
      </c>
      <c r="Q461" s="422" t="str">
        <f t="shared" si="165"/>
        <v/>
      </c>
      <c r="R461" s="422" t="str">
        <f t="shared" si="166"/>
        <v/>
      </c>
      <c r="S461" s="583">
        <v>510000</v>
      </c>
      <c r="T461" s="377" t="str">
        <f>+IFERROR(VLOOKUP(S461,STAT1!$C$4:$D$189,2,FALSE),"")</f>
        <v>Үндсэн үйл ажиллагааны борлуулалт</v>
      </c>
      <c r="U461" s="424"/>
      <c r="V461" s="424">
        <v>270000</v>
      </c>
      <c r="W461" s="822">
        <v>3061</v>
      </c>
      <c r="X461" s="436" t="str">
        <f>IFERROR(VLOOKUP(W461,DATA!$G$4:$H$400,2,FALSE),"")</f>
        <v>СТИМО ХХК</v>
      </c>
      <c r="Y461" s="328"/>
      <c r="Z461" s="328"/>
      <c r="AA461" s="328"/>
    </row>
    <row r="462" spans="1:27" ht="12.75" customHeight="1">
      <c r="A462" s="425"/>
      <c r="B462" s="368">
        <f t="shared" si="167"/>
        <v>457</v>
      </c>
      <c r="C462" s="425">
        <v>43404</v>
      </c>
      <c r="D462" s="830"/>
      <c r="E462" s="876" t="str">
        <f t="shared" ca="1" si="168"/>
        <v/>
      </c>
      <c r="F462" s="426" t="str">
        <f t="shared" ca="1" si="153"/>
        <v/>
      </c>
      <c r="G462" s="415"/>
      <c r="H462" s="415"/>
      <c r="I462" s="415" t="str">
        <f t="shared" si="169"/>
        <v/>
      </c>
      <c r="J462" s="415" t="str">
        <f t="shared" si="170"/>
        <v/>
      </c>
      <c r="K462" s="415" t="str">
        <f t="shared" si="171"/>
        <v/>
      </c>
      <c r="L462" s="415"/>
      <c r="M462" s="415"/>
      <c r="N462" s="422" t="str">
        <f t="shared" si="162"/>
        <v/>
      </c>
      <c r="O462" s="422" t="str">
        <f t="shared" si="163"/>
        <v/>
      </c>
      <c r="P462" s="422" t="str">
        <f t="shared" si="164"/>
        <v/>
      </c>
      <c r="Q462" s="422" t="str">
        <f t="shared" si="165"/>
        <v/>
      </c>
      <c r="R462" s="422" t="str">
        <f t="shared" si="166"/>
        <v/>
      </c>
      <c r="S462" s="583">
        <v>320100</v>
      </c>
      <c r="T462" s="377" t="str">
        <f>+IFERROR(VLOOKUP(S462,STAT1!$C$4:$D$189,2,FALSE),"")</f>
        <v>Урьдчилж орсон орлого MNT</v>
      </c>
      <c r="U462" s="424">
        <v>297000</v>
      </c>
      <c r="V462" s="424"/>
      <c r="W462" s="822">
        <v>3061</v>
      </c>
      <c r="X462" s="436" t="str">
        <f>IFERROR(VLOOKUP(W462,DATA!$G$4:$H$400,2,FALSE),"")</f>
        <v>СТИМО ХХК</v>
      </c>
      <c r="Y462" s="328"/>
      <c r="Z462" s="328"/>
      <c r="AA462" s="328"/>
    </row>
    <row r="463" spans="1:27" ht="12.75" customHeight="1">
      <c r="A463" s="425"/>
      <c r="B463" s="368">
        <f t="shared" si="167"/>
        <v>458</v>
      </c>
      <c r="C463" s="425">
        <v>43410</v>
      </c>
      <c r="D463" s="830">
        <v>211503</v>
      </c>
      <c r="E463" s="876" t="str">
        <f t="shared" ca="1" si="168"/>
        <v>Н-Евровагонка /зузаан-1.2см/</v>
      </c>
      <c r="F463" s="426" t="str">
        <f t="shared" ca="1" si="153"/>
        <v>м2</v>
      </c>
      <c r="G463" s="415"/>
      <c r="H463" s="415"/>
      <c r="I463" s="415" t="str">
        <f t="shared" si="169"/>
        <v/>
      </c>
      <c r="J463" s="415" t="str">
        <f t="shared" si="170"/>
        <v/>
      </c>
      <c r="K463" s="415" t="str">
        <f t="shared" si="171"/>
        <v/>
      </c>
      <c r="L463" s="415">
        <v>15.75</v>
      </c>
      <c r="M463" s="415">
        <v>21610.389800000001</v>
      </c>
      <c r="N463" s="422">
        <f t="shared" si="162"/>
        <v>340363.63935000001</v>
      </c>
      <c r="O463" s="422">
        <f t="shared" si="163"/>
        <v>34036.363935000001</v>
      </c>
      <c r="P463" s="422">
        <f t="shared" si="164"/>
        <v>374400.00328499998</v>
      </c>
      <c r="Q463" s="422">
        <f t="shared" ca="1" si="165"/>
        <v>14541.928809736646</v>
      </c>
      <c r="R463" s="422">
        <f t="shared" ca="1" si="166"/>
        <v>229035.37875335218</v>
      </c>
      <c r="S463" s="583">
        <f t="shared" ref="S463" si="172">+IF(LEFT(D463,3)="131",140100,0)+IF(LEFT(D463,3)="310",150100,0)+IF(LEFT(D463,3)="211",150101,0)+IF(LEFT(D463,3)="410",160100,0)+IF(LEFT(D463,3)="440",160200,0)+IF(LEFT(D463,3)="430",160200,0)+IF(LEFT(D463,3)="420",160200,0)+IF(LEFT(D463,3)="460",160201,0)+IF(LEFT(D463,3)="210",150101,0)+IF(LEFT(D463,3)="510",140100,0)</f>
        <v>150101</v>
      </c>
      <c r="T463" s="377" t="str">
        <f>+IFERROR(VLOOKUP(S463,STAT1!$C$4:$D$189,2,FALSE),"")</f>
        <v>Бараа бэлэн бүтээгдэхүүн БОЛОВСРУУЛАХ ЦЕХ /нарс/</v>
      </c>
      <c r="U463" s="424"/>
      <c r="V463" s="424">
        <f ca="1">+R463</f>
        <v>229035.37875335218</v>
      </c>
      <c r="W463" s="823">
        <v>3135</v>
      </c>
      <c r="X463" s="436" t="str">
        <f>IFERROR(VLOOKUP(W463,DATA!$G$4:$H$400,2,FALSE),"")</f>
        <v xml:space="preserve">ЛИДЕР БУЯНТ ХОЛДИНГ </v>
      </c>
      <c r="Y463" s="328"/>
      <c r="Z463" s="328"/>
      <c r="AA463" s="328"/>
    </row>
    <row r="464" spans="1:27" ht="12.75" customHeight="1">
      <c r="A464" s="425"/>
      <c r="B464" s="368">
        <f t="shared" si="167"/>
        <v>459</v>
      </c>
      <c r="C464" s="425">
        <v>43410</v>
      </c>
      <c r="D464" s="830"/>
      <c r="E464" s="876" t="str">
        <f t="shared" ca="1" si="168"/>
        <v/>
      </c>
      <c r="F464" s="426" t="str">
        <f t="shared" ca="1" si="153"/>
        <v/>
      </c>
      <c r="G464" s="415"/>
      <c r="H464" s="415"/>
      <c r="I464" s="415" t="str">
        <f t="shared" si="169"/>
        <v/>
      </c>
      <c r="J464" s="415" t="str">
        <f t="shared" si="170"/>
        <v/>
      </c>
      <c r="K464" s="415" t="str">
        <f t="shared" si="171"/>
        <v/>
      </c>
      <c r="L464" s="415"/>
      <c r="M464" s="415"/>
      <c r="N464" s="422" t="str">
        <f t="shared" si="162"/>
        <v/>
      </c>
      <c r="O464" s="422" t="str">
        <f t="shared" si="163"/>
        <v/>
      </c>
      <c r="P464" s="422" t="str">
        <f t="shared" si="164"/>
        <v/>
      </c>
      <c r="Q464" s="422" t="str">
        <f t="shared" si="165"/>
        <v/>
      </c>
      <c r="R464" s="422" t="str">
        <f t="shared" si="166"/>
        <v/>
      </c>
      <c r="S464" s="583">
        <v>610100</v>
      </c>
      <c r="T464" s="377" t="str">
        <f>+IFERROR(VLOOKUP(S464,STAT1!$C$4:$D$189,2,FALSE),"")</f>
        <v>Борлуулсан барааны өртөг</v>
      </c>
      <c r="U464" s="424">
        <f ca="1">+R463</f>
        <v>229035.37875335218</v>
      </c>
      <c r="V464" s="424"/>
      <c r="W464" s="823">
        <v>3135</v>
      </c>
      <c r="X464" s="436" t="str">
        <f>IFERROR(VLOOKUP(W464,DATA!$G$4:$H$400,2,FALSE),"")</f>
        <v xml:space="preserve">ЛИДЕР БУЯНТ ХОЛДИНГ </v>
      </c>
      <c r="Y464" s="328"/>
      <c r="Z464" s="328"/>
      <c r="AA464" s="328"/>
    </row>
    <row r="465" spans="1:27" ht="12.75" customHeight="1">
      <c r="A465" s="425"/>
      <c r="B465" s="368">
        <f t="shared" si="167"/>
        <v>460</v>
      </c>
      <c r="C465" s="425">
        <v>43410</v>
      </c>
      <c r="D465" s="830"/>
      <c r="E465" s="876" t="str">
        <f t="shared" ca="1" si="168"/>
        <v/>
      </c>
      <c r="F465" s="426" t="str">
        <f t="shared" ref="F465:F528" ca="1" si="173">+IFERROR(VLOOKUP(D465,TN_table,3,FALSE),"")</f>
        <v/>
      </c>
      <c r="G465" s="415"/>
      <c r="H465" s="415"/>
      <c r="I465" s="415" t="str">
        <f t="shared" si="169"/>
        <v/>
      </c>
      <c r="J465" s="415" t="str">
        <f t="shared" si="170"/>
        <v/>
      </c>
      <c r="K465" s="415" t="str">
        <f t="shared" si="171"/>
        <v/>
      </c>
      <c r="L465" s="415"/>
      <c r="M465" s="415"/>
      <c r="N465" s="422" t="str">
        <f t="shared" si="162"/>
        <v/>
      </c>
      <c r="O465" s="422" t="str">
        <f t="shared" si="163"/>
        <v/>
      </c>
      <c r="P465" s="422" t="str">
        <f t="shared" si="164"/>
        <v/>
      </c>
      <c r="Q465" s="422" t="str">
        <f t="shared" si="165"/>
        <v/>
      </c>
      <c r="R465" s="422" t="str">
        <f t="shared" si="166"/>
        <v/>
      </c>
      <c r="S465" s="583">
        <v>310500</v>
      </c>
      <c r="T465" s="377" t="str">
        <f>+IFERROR(VLOOKUP(S465,STAT1!$C$4:$D$189,2,FALSE),"")</f>
        <v>НӨАТ өглөг</v>
      </c>
      <c r="U465" s="424"/>
      <c r="V465" s="424">
        <v>34036.36</v>
      </c>
      <c r="W465" s="823">
        <v>3135</v>
      </c>
      <c r="X465" s="436" t="str">
        <f>IFERROR(VLOOKUP(W465,DATA!$G$4:$H$400,2,FALSE),"")</f>
        <v xml:space="preserve">ЛИДЕР БУЯНТ ХОЛДИНГ </v>
      </c>
      <c r="Y465" s="328"/>
      <c r="Z465" s="328"/>
      <c r="AA465" s="328"/>
    </row>
    <row r="466" spans="1:27" ht="12.75" customHeight="1">
      <c r="A466" s="425"/>
      <c r="B466" s="368">
        <f t="shared" si="167"/>
        <v>461</v>
      </c>
      <c r="C466" s="425">
        <v>43410</v>
      </c>
      <c r="D466" s="830"/>
      <c r="E466" s="876" t="str">
        <f t="shared" ca="1" si="168"/>
        <v/>
      </c>
      <c r="F466" s="426" t="str">
        <f t="shared" ca="1" si="173"/>
        <v/>
      </c>
      <c r="G466" s="415"/>
      <c r="H466" s="415"/>
      <c r="I466" s="415" t="str">
        <f t="shared" si="169"/>
        <v/>
      </c>
      <c r="J466" s="415" t="str">
        <f t="shared" si="170"/>
        <v/>
      </c>
      <c r="K466" s="415" t="str">
        <f t="shared" si="171"/>
        <v/>
      </c>
      <c r="L466" s="415"/>
      <c r="M466" s="415"/>
      <c r="N466" s="422" t="str">
        <f t="shared" si="162"/>
        <v/>
      </c>
      <c r="O466" s="422" t="str">
        <f t="shared" si="163"/>
        <v/>
      </c>
      <c r="P466" s="422" t="str">
        <f t="shared" si="164"/>
        <v/>
      </c>
      <c r="Q466" s="422" t="str">
        <f t="shared" si="165"/>
        <v/>
      </c>
      <c r="R466" s="422" t="str">
        <f t="shared" si="166"/>
        <v/>
      </c>
      <c r="S466" s="583">
        <v>510000</v>
      </c>
      <c r="T466" s="377" t="str">
        <f>+IFERROR(VLOOKUP(S466,STAT1!$C$4:$D$189,2,FALSE),"")</f>
        <v>Үндсэн үйл ажиллагааны борлуулалт</v>
      </c>
      <c r="U466" s="424"/>
      <c r="V466" s="424">
        <v>340363.63</v>
      </c>
      <c r="W466" s="823">
        <v>3135</v>
      </c>
      <c r="X466" s="436" t="str">
        <f>IFERROR(VLOOKUP(W466,DATA!$G$4:$H$400,2,FALSE),"")</f>
        <v xml:space="preserve">ЛИДЕР БУЯНТ ХОЛДИНГ </v>
      </c>
      <c r="Y466" s="328"/>
      <c r="Z466" s="328"/>
      <c r="AA466" s="328"/>
    </row>
    <row r="467" spans="1:27" ht="12.75" customHeight="1">
      <c r="A467" s="425"/>
      <c r="B467" s="368">
        <f t="shared" si="167"/>
        <v>462</v>
      </c>
      <c r="C467" s="425">
        <v>43410</v>
      </c>
      <c r="D467" s="830"/>
      <c r="E467" s="876" t="str">
        <f t="shared" ca="1" si="168"/>
        <v/>
      </c>
      <c r="F467" s="426" t="str">
        <f t="shared" ca="1" si="173"/>
        <v/>
      </c>
      <c r="G467" s="415"/>
      <c r="H467" s="415"/>
      <c r="I467" s="415" t="str">
        <f t="shared" si="169"/>
        <v/>
      </c>
      <c r="J467" s="415" t="str">
        <f t="shared" si="170"/>
        <v/>
      </c>
      <c r="K467" s="415" t="str">
        <f t="shared" si="171"/>
        <v/>
      </c>
      <c r="L467" s="415"/>
      <c r="M467" s="415"/>
      <c r="N467" s="422" t="str">
        <f t="shared" si="162"/>
        <v/>
      </c>
      <c r="O467" s="422" t="str">
        <f t="shared" si="163"/>
        <v/>
      </c>
      <c r="P467" s="422" t="str">
        <f t="shared" si="164"/>
        <v/>
      </c>
      <c r="Q467" s="422" t="str">
        <f t="shared" si="165"/>
        <v/>
      </c>
      <c r="R467" s="422" t="str">
        <f t="shared" si="166"/>
        <v/>
      </c>
      <c r="S467" s="583">
        <v>320100</v>
      </c>
      <c r="T467" s="377" t="str">
        <f>+IFERROR(VLOOKUP(S467,STAT1!$C$4:$D$189,2,FALSE),"")</f>
        <v>Урьдчилж орсон орлого MNT</v>
      </c>
      <c r="U467" s="424">
        <v>374400</v>
      </c>
      <c r="V467" s="424"/>
      <c r="W467" s="823">
        <v>3135</v>
      </c>
      <c r="X467" s="436" t="str">
        <f>IFERROR(VLOOKUP(W467,DATA!$G$4:$H$400,2,FALSE),"")</f>
        <v xml:space="preserve">ЛИДЕР БУЯНТ ХОЛДИНГ </v>
      </c>
      <c r="Y467" s="328"/>
      <c r="Z467" s="328"/>
      <c r="AA467" s="328"/>
    </row>
    <row r="468" spans="1:27" ht="12.75" customHeight="1">
      <c r="A468" s="425"/>
      <c r="B468" s="368">
        <f t="shared" si="167"/>
        <v>463</v>
      </c>
      <c r="C468" s="425">
        <v>43413</v>
      </c>
      <c r="D468" s="830">
        <v>211802</v>
      </c>
      <c r="E468" s="876" t="str">
        <f t="shared" ca="1" si="168"/>
        <v xml:space="preserve">Н-Уголок </v>
      </c>
      <c r="F468" s="426" t="str">
        <f t="shared" ca="1" si="173"/>
        <v>м</v>
      </c>
      <c r="G468" s="415"/>
      <c r="H468" s="415"/>
      <c r="I468" s="415" t="str">
        <f t="shared" si="169"/>
        <v/>
      </c>
      <c r="J468" s="415" t="str">
        <f t="shared" si="170"/>
        <v/>
      </c>
      <c r="K468" s="415" t="str">
        <f t="shared" si="171"/>
        <v/>
      </c>
      <c r="L468" s="415">
        <v>102</v>
      </c>
      <c r="M468" s="415">
        <v>1500</v>
      </c>
      <c r="N468" s="422">
        <f t="shared" si="162"/>
        <v>153000</v>
      </c>
      <c r="O468" s="422">
        <f t="shared" si="163"/>
        <v>15300</v>
      </c>
      <c r="P468" s="422">
        <f t="shared" si="164"/>
        <v>168300</v>
      </c>
      <c r="Q468" s="422">
        <f t="shared" ca="1" si="165"/>
        <v>1377.7799111418212</v>
      </c>
      <c r="R468" s="422">
        <f t="shared" ca="1" si="166"/>
        <v>140533.55093646576</v>
      </c>
      <c r="S468" s="583">
        <f t="shared" ref="S468" si="174">+IF(LEFT(D468,3)="131",140100,0)+IF(LEFT(D468,3)="310",150100,0)+IF(LEFT(D468,3)="211",150101,0)+IF(LEFT(D468,3)="410",160100,0)+IF(LEFT(D468,3)="440",160200,0)+IF(LEFT(D468,3)="430",160200,0)+IF(LEFT(D468,3)="420",160200,0)+IF(LEFT(D468,3)="460",160201,0)+IF(LEFT(D468,3)="210",150101,0)+IF(LEFT(D468,3)="510",140100,0)</f>
        <v>150101</v>
      </c>
      <c r="T468" s="377" t="str">
        <f>+IFERROR(VLOOKUP(S468,STAT1!$C$4:$D$189,2,FALSE),"")</f>
        <v>Бараа бэлэн бүтээгдэхүүн БОЛОВСРУУЛАХ ЦЕХ /нарс/</v>
      </c>
      <c r="U468" s="424"/>
      <c r="V468" s="424">
        <f ca="1">+R468</f>
        <v>140533.55093646576</v>
      </c>
      <c r="W468" s="823">
        <v>3138</v>
      </c>
      <c r="X468" s="436" t="str">
        <f>IFERROR(VLOOKUP(W468,DATA!$G$4:$H$400,2,FALSE),"")</f>
        <v>ХӨХ БҮРДНИЙ ЭХ ХХК</v>
      </c>
      <c r="Y468" s="328"/>
      <c r="Z468" s="328"/>
      <c r="AA468" s="328"/>
    </row>
    <row r="469" spans="1:27" ht="12.75" customHeight="1">
      <c r="A469" s="425"/>
      <c r="B469" s="368">
        <f t="shared" si="167"/>
        <v>464</v>
      </c>
      <c r="C469" s="425">
        <v>43413</v>
      </c>
      <c r="D469" s="830"/>
      <c r="E469" s="876" t="str">
        <f t="shared" ca="1" si="168"/>
        <v/>
      </c>
      <c r="F469" s="426" t="str">
        <f t="shared" ca="1" si="173"/>
        <v/>
      </c>
      <c r="G469" s="415"/>
      <c r="H469" s="415"/>
      <c r="I469" s="415" t="str">
        <f t="shared" si="169"/>
        <v/>
      </c>
      <c r="J469" s="415" t="str">
        <f t="shared" si="170"/>
        <v/>
      </c>
      <c r="K469" s="415" t="str">
        <f t="shared" si="171"/>
        <v/>
      </c>
      <c r="L469" s="415"/>
      <c r="M469" s="415"/>
      <c r="N469" s="422" t="str">
        <f t="shared" si="162"/>
        <v/>
      </c>
      <c r="O469" s="422" t="str">
        <f t="shared" si="163"/>
        <v/>
      </c>
      <c r="P469" s="422" t="str">
        <f t="shared" si="164"/>
        <v/>
      </c>
      <c r="Q469" s="422" t="str">
        <f t="shared" si="165"/>
        <v/>
      </c>
      <c r="R469" s="422" t="str">
        <f t="shared" si="166"/>
        <v/>
      </c>
      <c r="S469" s="583">
        <v>610100</v>
      </c>
      <c r="T469" s="377" t="str">
        <f>+IFERROR(VLOOKUP(S469,STAT1!$C$4:$D$189,2,FALSE),"")</f>
        <v>Борлуулсан барааны өртөг</v>
      </c>
      <c r="U469" s="424">
        <f ca="1">+R468</f>
        <v>140533.55093646576</v>
      </c>
      <c r="V469" s="424"/>
      <c r="W469" s="823">
        <v>3138</v>
      </c>
      <c r="X469" s="436" t="str">
        <f>IFERROR(VLOOKUP(W469,DATA!$G$4:$H$400,2,FALSE),"")</f>
        <v>ХӨХ БҮРДНИЙ ЭХ ХХК</v>
      </c>
      <c r="Y469" s="328"/>
      <c r="Z469" s="328"/>
      <c r="AA469" s="328"/>
    </row>
    <row r="470" spans="1:27" ht="12.75" customHeight="1">
      <c r="A470" s="425"/>
      <c r="B470" s="368">
        <f t="shared" si="167"/>
        <v>465</v>
      </c>
      <c r="C470" s="425">
        <v>43413</v>
      </c>
      <c r="D470" s="830"/>
      <c r="E470" s="876" t="str">
        <f t="shared" ca="1" si="168"/>
        <v/>
      </c>
      <c r="F470" s="426" t="str">
        <f t="shared" ca="1" si="173"/>
        <v/>
      </c>
      <c r="G470" s="415"/>
      <c r="H470" s="415"/>
      <c r="I470" s="415" t="str">
        <f t="shared" si="169"/>
        <v/>
      </c>
      <c r="J470" s="415" t="str">
        <f t="shared" si="170"/>
        <v/>
      </c>
      <c r="K470" s="415" t="str">
        <f t="shared" si="171"/>
        <v/>
      </c>
      <c r="L470" s="415"/>
      <c r="M470" s="415"/>
      <c r="N470" s="422" t="str">
        <f t="shared" si="162"/>
        <v/>
      </c>
      <c r="O470" s="422" t="str">
        <f t="shared" si="163"/>
        <v/>
      </c>
      <c r="P470" s="422" t="str">
        <f t="shared" si="164"/>
        <v/>
      </c>
      <c r="Q470" s="422" t="str">
        <f t="shared" si="165"/>
        <v/>
      </c>
      <c r="R470" s="422" t="str">
        <f t="shared" si="166"/>
        <v/>
      </c>
      <c r="S470" s="583">
        <v>310500</v>
      </c>
      <c r="T470" s="377" t="str">
        <f>+IFERROR(VLOOKUP(S470,STAT1!$C$4:$D$189,2,FALSE),"")</f>
        <v>НӨАТ өглөг</v>
      </c>
      <c r="U470" s="424"/>
      <c r="V470" s="424">
        <v>15300</v>
      </c>
      <c r="W470" s="823">
        <v>3138</v>
      </c>
      <c r="X470" s="436" t="str">
        <f>IFERROR(VLOOKUP(W470,DATA!$G$4:$H$400,2,FALSE),"")</f>
        <v>ХӨХ БҮРДНИЙ ЭХ ХХК</v>
      </c>
      <c r="Y470" s="328"/>
      <c r="Z470" s="328"/>
      <c r="AA470" s="328"/>
    </row>
    <row r="471" spans="1:27" ht="12.75" customHeight="1">
      <c r="A471" s="425"/>
      <c r="B471" s="368">
        <f t="shared" si="167"/>
        <v>466</v>
      </c>
      <c r="C471" s="425">
        <v>43413</v>
      </c>
      <c r="D471" s="830"/>
      <c r="E471" s="876" t="str">
        <f t="shared" ca="1" si="168"/>
        <v/>
      </c>
      <c r="F471" s="426" t="str">
        <f t="shared" ca="1" si="173"/>
        <v/>
      </c>
      <c r="G471" s="415"/>
      <c r="H471" s="415"/>
      <c r="I471" s="415" t="str">
        <f t="shared" si="169"/>
        <v/>
      </c>
      <c r="J471" s="415" t="str">
        <f t="shared" si="170"/>
        <v/>
      </c>
      <c r="K471" s="415" t="str">
        <f t="shared" si="171"/>
        <v/>
      </c>
      <c r="L471" s="415"/>
      <c r="M471" s="415"/>
      <c r="N471" s="422" t="str">
        <f t="shared" si="162"/>
        <v/>
      </c>
      <c r="O471" s="422" t="str">
        <f t="shared" si="163"/>
        <v/>
      </c>
      <c r="P471" s="422" t="str">
        <f t="shared" si="164"/>
        <v/>
      </c>
      <c r="Q471" s="422" t="str">
        <f t="shared" si="165"/>
        <v/>
      </c>
      <c r="R471" s="422" t="str">
        <f t="shared" si="166"/>
        <v/>
      </c>
      <c r="S471" s="583">
        <v>510000</v>
      </c>
      <c r="T471" s="377" t="str">
        <f>+IFERROR(VLOOKUP(S471,STAT1!$C$4:$D$189,2,FALSE),"")</f>
        <v>Үндсэн үйл ажиллагааны борлуулалт</v>
      </c>
      <c r="U471" s="424"/>
      <c r="V471" s="424">
        <v>153000</v>
      </c>
      <c r="W471" s="823">
        <v>3138</v>
      </c>
      <c r="X471" s="436" t="str">
        <f>IFERROR(VLOOKUP(W471,DATA!$G$4:$H$400,2,FALSE),"")</f>
        <v>ХӨХ БҮРДНИЙ ЭХ ХХК</v>
      </c>
      <c r="Y471" s="328"/>
      <c r="Z471" s="328"/>
      <c r="AA471" s="328"/>
    </row>
    <row r="472" spans="1:27" ht="12.75" customHeight="1">
      <c r="A472" s="425"/>
      <c r="B472" s="368">
        <f t="shared" si="167"/>
        <v>467</v>
      </c>
      <c r="C472" s="425">
        <v>43413</v>
      </c>
      <c r="D472" s="830"/>
      <c r="E472" s="876" t="str">
        <f t="shared" ca="1" si="168"/>
        <v/>
      </c>
      <c r="F472" s="426" t="str">
        <f t="shared" ca="1" si="173"/>
        <v/>
      </c>
      <c r="G472" s="415"/>
      <c r="H472" s="415"/>
      <c r="I472" s="415" t="str">
        <f t="shared" si="169"/>
        <v/>
      </c>
      <c r="J472" s="415" t="str">
        <f t="shared" si="170"/>
        <v/>
      </c>
      <c r="K472" s="415" t="str">
        <f t="shared" si="171"/>
        <v/>
      </c>
      <c r="L472" s="415"/>
      <c r="M472" s="415"/>
      <c r="N472" s="422" t="str">
        <f t="shared" si="162"/>
        <v/>
      </c>
      <c r="O472" s="422" t="str">
        <f t="shared" si="163"/>
        <v/>
      </c>
      <c r="P472" s="422" t="str">
        <f t="shared" si="164"/>
        <v/>
      </c>
      <c r="Q472" s="422" t="str">
        <f t="shared" si="165"/>
        <v/>
      </c>
      <c r="R472" s="422" t="str">
        <f t="shared" si="166"/>
        <v/>
      </c>
      <c r="S472" s="583">
        <v>320100</v>
      </c>
      <c r="T472" s="377" t="str">
        <f>+IFERROR(VLOOKUP(S472,STAT1!$C$4:$D$189,2,FALSE),"")</f>
        <v>Урьдчилж орсон орлого MNT</v>
      </c>
      <c r="U472" s="424">
        <v>168300</v>
      </c>
      <c r="V472" s="424"/>
      <c r="W472" s="823">
        <v>3138</v>
      </c>
      <c r="X472" s="436" t="str">
        <f>IFERROR(VLOOKUP(W472,DATA!$G$4:$H$400,2,FALSE),"")</f>
        <v>ХӨХ БҮРДНИЙ ЭХ ХХК</v>
      </c>
      <c r="Y472" s="328"/>
      <c r="Z472" s="328"/>
      <c r="AA472" s="328"/>
    </row>
    <row r="473" spans="1:27" ht="12.75" customHeight="1">
      <c r="A473" s="425"/>
      <c r="B473" s="368">
        <f t="shared" si="167"/>
        <v>468</v>
      </c>
      <c r="C473" s="980">
        <v>43425</v>
      </c>
      <c r="D473" s="830">
        <v>510001</v>
      </c>
      <c r="E473" s="876" t="str">
        <f t="shared" ref="E473" ca="1" si="175">+IFERROR(VLOOKUP(D473,TN_table,2,FALSE),"")</f>
        <v>Цавуу 505</v>
      </c>
      <c r="F473" s="426" t="str">
        <f t="shared" ref="F473" ca="1" si="176">+IFERROR(VLOOKUP(D473,TN_table,3,FALSE),"")</f>
        <v>кг</v>
      </c>
      <c r="G473" s="415">
        <v>200</v>
      </c>
      <c r="H473" s="415">
        <v>4800</v>
      </c>
      <c r="I473" s="415">
        <f t="shared" si="169"/>
        <v>960000</v>
      </c>
      <c r="J473" s="415">
        <v>0</v>
      </c>
      <c r="K473" s="415">
        <f t="shared" si="171"/>
        <v>960000</v>
      </c>
      <c r="L473" s="415"/>
      <c r="M473" s="415"/>
      <c r="N473" s="422" t="str">
        <f t="shared" si="162"/>
        <v/>
      </c>
      <c r="O473" s="422" t="str">
        <f t="shared" si="163"/>
        <v/>
      </c>
      <c r="P473" s="422" t="str">
        <f t="shared" si="164"/>
        <v/>
      </c>
      <c r="Q473" s="422" t="str">
        <f t="shared" si="165"/>
        <v/>
      </c>
      <c r="R473" s="422" t="str">
        <f t="shared" si="166"/>
        <v/>
      </c>
      <c r="S473" s="583">
        <f t="shared" si="159"/>
        <v>140100</v>
      </c>
      <c r="T473" s="377" t="str">
        <f>+IFERROR(VLOOKUP(S473,STAT1!$C$4:$D$189,2,FALSE),"")</f>
        <v>Түүхий эд материал</v>
      </c>
      <c r="U473" s="415">
        <v>960000</v>
      </c>
      <c r="V473" s="415"/>
      <c r="W473" s="823">
        <v>1008</v>
      </c>
      <c r="X473" s="436" t="str">
        <f>IFERROR(VLOOKUP(W473,DATA!$G$4:$H$400,2,FALSE),"")</f>
        <v xml:space="preserve">Оюунтүлхүүр </v>
      </c>
      <c r="Y473" s="328"/>
      <c r="Z473" s="328"/>
      <c r="AA473" s="328"/>
    </row>
    <row r="474" spans="1:27" ht="12.75" customHeight="1">
      <c r="A474" s="425"/>
      <c r="B474" s="368">
        <f t="shared" si="167"/>
        <v>469</v>
      </c>
      <c r="C474" s="980">
        <v>43425</v>
      </c>
      <c r="D474" s="830"/>
      <c r="E474" s="876" t="str">
        <f t="shared" ca="1" si="168"/>
        <v/>
      </c>
      <c r="F474" s="426" t="str">
        <f t="shared" ca="1" si="173"/>
        <v/>
      </c>
      <c r="G474" s="415"/>
      <c r="H474" s="415"/>
      <c r="I474" s="415" t="str">
        <f t="shared" ref="I474:I537" si="177">+IF(G474="","",G474*H474)</f>
        <v/>
      </c>
      <c r="J474" s="415" t="str">
        <f t="shared" ref="J474:J537" si="178">+IF(G474="","",I474*0.1)</f>
        <v/>
      </c>
      <c r="K474" s="415" t="str">
        <f t="shared" ref="K474:K537" si="179">+IF(G474="","",I474+J474)</f>
        <v/>
      </c>
      <c r="L474" s="415"/>
      <c r="M474" s="415"/>
      <c r="N474" s="422" t="str">
        <f t="shared" si="162"/>
        <v/>
      </c>
      <c r="O474" s="422" t="str">
        <f t="shared" si="163"/>
        <v/>
      </c>
      <c r="P474" s="422" t="str">
        <f t="shared" si="164"/>
        <v/>
      </c>
      <c r="Q474" s="422" t="str">
        <f t="shared" si="165"/>
        <v/>
      </c>
      <c r="R474" s="422" t="str">
        <f t="shared" si="166"/>
        <v/>
      </c>
      <c r="S474" s="583">
        <v>120100</v>
      </c>
      <c r="T474" s="377" t="str">
        <f>+IFERROR(VLOOKUP(S474,STAT1!$C$4:$D$189,2,FALSE),"")</f>
        <v xml:space="preserve">Дансны авлага MNT </v>
      </c>
      <c r="U474" s="424"/>
      <c r="V474" s="424">
        <v>960000</v>
      </c>
      <c r="W474" s="822">
        <v>1008</v>
      </c>
      <c r="X474" s="436" t="str">
        <f>IFERROR(VLOOKUP(W474,DATA!$G$4:$H$400,2,FALSE),"")</f>
        <v xml:space="preserve">Оюунтүлхүүр </v>
      </c>
      <c r="Y474" s="328"/>
      <c r="Z474" s="328"/>
      <c r="AA474" s="328"/>
    </row>
    <row r="475" spans="1:27" ht="12.75" customHeight="1">
      <c r="A475" s="425"/>
      <c r="B475" s="368">
        <f t="shared" si="167"/>
        <v>470</v>
      </c>
      <c r="C475" s="425">
        <v>43434</v>
      </c>
      <c r="D475" s="830">
        <v>211802</v>
      </c>
      <c r="E475" s="876" t="str">
        <f t="shared" ca="1" si="168"/>
        <v xml:space="preserve">Н-Уголок </v>
      </c>
      <c r="F475" s="426" t="str">
        <f t="shared" ca="1" si="173"/>
        <v>м</v>
      </c>
      <c r="G475" s="415"/>
      <c r="H475" s="415"/>
      <c r="I475" s="415" t="str">
        <f t="shared" si="177"/>
        <v/>
      </c>
      <c r="J475" s="415" t="str">
        <f t="shared" si="178"/>
        <v/>
      </c>
      <c r="K475" s="415" t="str">
        <f t="shared" si="179"/>
        <v/>
      </c>
      <c r="L475" s="415">
        <v>270</v>
      </c>
      <c r="M475" s="415">
        <v>1500</v>
      </c>
      <c r="N475" s="422">
        <f t="shared" si="162"/>
        <v>405000</v>
      </c>
      <c r="O475" s="422">
        <f t="shared" si="163"/>
        <v>40500</v>
      </c>
      <c r="P475" s="422">
        <f t="shared" si="164"/>
        <v>445500</v>
      </c>
      <c r="Q475" s="422">
        <f t="shared" ca="1" si="165"/>
        <v>1377.7799111418215</v>
      </c>
      <c r="R475" s="422">
        <f t="shared" ca="1" si="166"/>
        <v>372000.5760082918</v>
      </c>
      <c r="S475" s="583">
        <f t="shared" ref="S475" si="180">+IF(LEFT(D475,3)="131",140100,0)+IF(LEFT(D475,3)="310",150100,0)+IF(LEFT(D475,3)="211",150101,0)+IF(LEFT(D475,3)="410",160100,0)+IF(LEFT(D475,3)="440",160200,0)+IF(LEFT(D475,3)="430",160200,0)+IF(LEFT(D475,3)="420",160200,0)+IF(LEFT(D475,3)="460",160201,0)+IF(LEFT(D475,3)="210",150101,0)+IF(LEFT(D475,3)="510",140100,0)</f>
        <v>150101</v>
      </c>
      <c r="T475" s="377" t="str">
        <f>+IFERROR(VLOOKUP(S475,STAT1!$C$4:$D$189,2,FALSE),"")</f>
        <v>Бараа бэлэн бүтээгдэхүүн БОЛОВСРУУЛАХ ЦЕХ /нарс/</v>
      </c>
      <c r="U475" s="424"/>
      <c r="V475" s="424">
        <f ca="1">+R475</f>
        <v>372000.5760082918</v>
      </c>
      <c r="W475" s="822">
        <v>3021</v>
      </c>
      <c r="X475" s="436" t="str">
        <f>IFERROR(VLOOKUP(W475,DATA!$G$4:$H$400,2,FALSE),"")</f>
        <v>БАНДИА ХХК</v>
      </c>
      <c r="Y475" s="328"/>
      <c r="Z475" s="328"/>
      <c r="AA475" s="328"/>
    </row>
    <row r="476" spans="1:27" ht="12.75" customHeight="1">
      <c r="A476" s="425"/>
      <c r="B476" s="368">
        <f t="shared" si="167"/>
        <v>471</v>
      </c>
      <c r="C476" s="425">
        <v>43434</v>
      </c>
      <c r="D476" s="830"/>
      <c r="E476" s="876" t="str">
        <f t="shared" ca="1" si="168"/>
        <v/>
      </c>
      <c r="F476" s="426" t="str">
        <f t="shared" ca="1" si="173"/>
        <v/>
      </c>
      <c r="G476" s="415"/>
      <c r="H476" s="415"/>
      <c r="I476" s="415" t="str">
        <f t="shared" si="177"/>
        <v/>
      </c>
      <c r="J476" s="415" t="str">
        <f t="shared" si="178"/>
        <v/>
      </c>
      <c r="K476" s="415" t="str">
        <f t="shared" si="179"/>
        <v/>
      </c>
      <c r="L476" s="415"/>
      <c r="M476" s="415"/>
      <c r="N476" s="422" t="str">
        <f t="shared" si="162"/>
        <v/>
      </c>
      <c r="O476" s="422" t="str">
        <f t="shared" si="163"/>
        <v/>
      </c>
      <c r="P476" s="422" t="str">
        <f t="shared" si="164"/>
        <v/>
      </c>
      <c r="Q476" s="422" t="str">
        <f t="shared" si="165"/>
        <v/>
      </c>
      <c r="R476" s="422" t="str">
        <f t="shared" si="166"/>
        <v/>
      </c>
      <c r="S476" s="583">
        <v>610100</v>
      </c>
      <c r="T476" s="377" t="str">
        <f>+IFERROR(VLOOKUP(S476,STAT1!$C$4:$D$189,2,FALSE),"")</f>
        <v>Борлуулсан барааны өртөг</v>
      </c>
      <c r="U476" s="424">
        <f ca="1">+R475</f>
        <v>372000.5760082918</v>
      </c>
      <c r="V476" s="424"/>
      <c r="W476" s="822">
        <v>3021</v>
      </c>
      <c r="X476" s="436" t="str">
        <f>IFERROR(VLOOKUP(W476,DATA!$G$4:$H$400,2,FALSE),"")</f>
        <v>БАНДИА ХХК</v>
      </c>
      <c r="Y476" s="328"/>
      <c r="Z476" s="328"/>
      <c r="AA476" s="328"/>
    </row>
    <row r="477" spans="1:27" ht="12.75" customHeight="1">
      <c r="A477" s="425"/>
      <c r="B477" s="368">
        <f t="shared" si="167"/>
        <v>472</v>
      </c>
      <c r="C477" s="425">
        <v>43434</v>
      </c>
      <c r="D477" s="830"/>
      <c r="E477" s="876" t="str">
        <f t="shared" ca="1" si="168"/>
        <v/>
      </c>
      <c r="F477" s="426" t="str">
        <f t="shared" ca="1" si="173"/>
        <v/>
      </c>
      <c r="G477" s="415"/>
      <c r="H477" s="415"/>
      <c r="I477" s="415" t="str">
        <f t="shared" si="177"/>
        <v/>
      </c>
      <c r="J477" s="415" t="str">
        <f t="shared" si="178"/>
        <v/>
      </c>
      <c r="K477" s="415" t="str">
        <f t="shared" si="179"/>
        <v/>
      </c>
      <c r="L477" s="415"/>
      <c r="M477" s="415"/>
      <c r="N477" s="422" t="str">
        <f t="shared" si="162"/>
        <v/>
      </c>
      <c r="O477" s="422" t="str">
        <f t="shared" si="163"/>
        <v/>
      </c>
      <c r="P477" s="422" t="str">
        <f t="shared" si="164"/>
        <v/>
      </c>
      <c r="Q477" s="422" t="str">
        <f t="shared" si="165"/>
        <v/>
      </c>
      <c r="R477" s="422" t="str">
        <f t="shared" si="166"/>
        <v/>
      </c>
      <c r="S477" s="583">
        <v>310500</v>
      </c>
      <c r="T477" s="377" t="str">
        <f>+IFERROR(VLOOKUP(S477,STAT1!$C$4:$D$189,2,FALSE),"")</f>
        <v>НӨАТ өглөг</v>
      </c>
      <c r="U477" s="424"/>
      <c r="V477" s="424">
        <v>40500</v>
      </c>
      <c r="W477" s="822">
        <v>3021</v>
      </c>
      <c r="X477" s="436" t="str">
        <f>IFERROR(VLOOKUP(W477,DATA!$G$4:$H$400,2,FALSE),"")</f>
        <v>БАНДИА ХХК</v>
      </c>
      <c r="Y477" s="328"/>
      <c r="Z477" s="328"/>
      <c r="AA477" s="328"/>
    </row>
    <row r="478" spans="1:27" ht="12.75" customHeight="1">
      <c r="A478" s="425"/>
      <c r="B478" s="368">
        <f t="shared" si="167"/>
        <v>473</v>
      </c>
      <c r="C478" s="425">
        <v>43434</v>
      </c>
      <c r="D478" s="830"/>
      <c r="E478" s="876" t="str">
        <f t="shared" ca="1" si="168"/>
        <v/>
      </c>
      <c r="F478" s="426" t="str">
        <f t="shared" ca="1" si="173"/>
        <v/>
      </c>
      <c r="G478" s="415"/>
      <c r="H478" s="415"/>
      <c r="I478" s="415" t="str">
        <f t="shared" si="177"/>
        <v/>
      </c>
      <c r="J478" s="415" t="str">
        <f t="shared" si="178"/>
        <v/>
      </c>
      <c r="K478" s="415" t="str">
        <f t="shared" si="179"/>
        <v/>
      </c>
      <c r="L478" s="415"/>
      <c r="M478" s="415"/>
      <c r="N478" s="422" t="str">
        <f t="shared" si="162"/>
        <v/>
      </c>
      <c r="O478" s="422" t="str">
        <f t="shared" si="163"/>
        <v/>
      </c>
      <c r="P478" s="422" t="str">
        <f t="shared" si="164"/>
        <v/>
      </c>
      <c r="Q478" s="422" t="str">
        <f t="shared" si="165"/>
        <v/>
      </c>
      <c r="R478" s="422" t="str">
        <f t="shared" si="166"/>
        <v/>
      </c>
      <c r="S478" s="583">
        <v>510000</v>
      </c>
      <c r="T478" s="377" t="str">
        <f>+IFERROR(VLOOKUP(S478,STAT1!$C$4:$D$189,2,FALSE),"")</f>
        <v>Үндсэн үйл ажиллагааны борлуулалт</v>
      </c>
      <c r="U478" s="424"/>
      <c r="V478" s="424">
        <v>405000</v>
      </c>
      <c r="W478" s="822">
        <v>3021</v>
      </c>
      <c r="X478" s="436" t="str">
        <f>IFERROR(VLOOKUP(W478,DATA!$G$4:$H$400,2,FALSE),"")</f>
        <v>БАНДИА ХХК</v>
      </c>
      <c r="Y478" s="328"/>
      <c r="Z478" s="328"/>
      <c r="AA478" s="328"/>
    </row>
    <row r="479" spans="1:27" ht="12.75" customHeight="1">
      <c r="A479" s="425"/>
      <c r="B479" s="368">
        <f t="shared" si="167"/>
        <v>474</v>
      </c>
      <c r="C479" s="425">
        <v>43434</v>
      </c>
      <c r="D479" s="830"/>
      <c r="E479" s="876" t="str">
        <f t="shared" ca="1" si="168"/>
        <v/>
      </c>
      <c r="F479" s="426" t="str">
        <f t="shared" ca="1" si="173"/>
        <v/>
      </c>
      <c r="G479" s="415"/>
      <c r="H479" s="415"/>
      <c r="I479" s="415" t="str">
        <f t="shared" si="177"/>
        <v/>
      </c>
      <c r="J479" s="415" t="str">
        <f t="shared" si="178"/>
        <v/>
      </c>
      <c r="K479" s="415" t="str">
        <f t="shared" si="179"/>
        <v/>
      </c>
      <c r="L479" s="415"/>
      <c r="M479" s="415"/>
      <c r="N479" s="422" t="str">
        <f t="shared" si="162"/>
        <v/>
      </c>
      <c r="O479" s="422" t="str">
        <f t="shared" si="163"/>
        <v/>
      </c>
      <c r="P479" s="422" t="str">
        <f t="shared" si="164"/>
        <v/>
      </c>
      <c r="Q479" s="422" t="str">
        <f t="shared" si="165"/>
        <v/>
      </c>
      <c r="R479" s="422" t="str">
        <f t="shared" si="166"/>
        <v/>
      </c>
      <c r="S479" s="583">
        <v>320100</v>
      </c>
      <c r="T479" s="377" t="str">
        <f>+IFERROR(VLOOKUP(S479,STAT1!$C$4:$D$189,2,FALSE),"")</f>
        <v>Урьдчилж орсон орлого MNT</v>
      </c>
      <c r="U479" s="424">
        <v>445500</v>
      </c>
      <c r="V479" s="424"/>
      <c r="W479" s="822">
        <v>3021</v>
      </c>
      <c r="X479" s="436" t="str">
        <f>IFERROR(VLOOKUP(W479,DATA!$G$4:$H$400,2,FALSE),"")</f>
        <v>БАНДИА ХХК</v>
      </c>
      <c r="Y479" s="328"/>
      <c r="Z479" s="328"/>
      <c r="AA479" s="328"/>
    </row>
    <row r="480" spans="1:27" ht="12.75" customHeight="1">
      <c r="A480" s="425"/>
      <c r="B480" s="368">
        <f t="shared" si="167"/>
        <v>475</v>
      </c>
      <c r="C480" s="425">
        <v>43419</v>
      </c>
      <c r="D480" s="830">
        <v>211802</v>
      </c>
      <c r="E480" s="876" t="str">
        <f t="shared" ca="1" si="168"/>
        <v xml:space="preserve">Н-Уголок </v>
      </c>
      <c r="F480" s="426" t="str">
        <f t="shared" ca="1" si="173"/>
        <v>м</v>
      </c>
      <c r="G480" s="415"/>
      <c r="H480" s="415"/>
      <c r="I480" s="415" t="str">
        <f t="shared" si="177"/>
        <v/>
      </c>
      <c r="J480" s="415" t="str">
        <f t="shared" si="178"/>
        <v/>
      </c>
      <c r="K480" s="415" t="str">
        <f t="shared" si="179"/>
        <v/>
      </c>
      <c r="L480" s="415">
        <v>63</v>
      </c>
      <c r="M480" s="415">
        <v>1500</v>
      </c>
      <c r="N480" s="422">
        <f t="shared" si="162"/>
        <v>94500</v>
      </c>
      <c r="O480" s="422">
        <f t="shared" si="163"/>
        <v>9450</v>
      </c>
      <c r="P480" s="422">
        <f t="shared" si="164"/>
        <v>103950</v>
      </c>
      <c r="Q480" s="422">
        <f t="shared" ca="1" si="165"/>
        <v>1377.7799111418212</v>
      </c>
      <c r="R480" s="422">
        <f t="shared" ca="1" si="166"/>
        <v>86800.134401934731</v>
      </c>
      <c r="S480" s="583">
        <f t="shared" ref="S480" si="181">+IF(LEFT(D480,3)="131",140100,0)+IF(LEFT(D480,3)="310",150100,0)+IF(LEFT(D480,3)="211",150101,0)+IF(LEFT(D480,3)="410",160100,0)+IF(LEFT(D480,3)="440",160200,0)+IF(LEFT(D480,3)="430",160200,0)+IF(LEFT(D480,3)="420",160200,0)+IF(LEFT(D480,3)="460",160201,0)+IF(LEFT(D480,3)="210",150101,0)+IF(LEFT(D480,3)="510",140100,0)</f>
        <v>150101</v>
      </c>
      <c r="T480" s="377" t="str">
        <f>+IFERROR(VLOOKUP(S480,STAT1!$C$4:$D$189,2,FALSE),"")</f>
        <v>Бараа бэлэн бүтээгдэхүүн БОЛОВСРУУЛАХ ЦЕХ /нарс/</v>
      </c>
      <c r="U480" s="424"/>
      <c r="V480" s="424">
        <f ca="1">+R480</f>
        <v>86800.134401934731</v>
      </c>
      <c r="W480" s="822">
        <v>3061</v>
      </c>
      <c r="X480" s="436" t="str">
        <f>IFERROR(VLOOKUP(W480,DATA!$G$4:$H$400,2,FALSE),"")</f>
        <v>СТИМО ХХК</v>
      </c>
      <c r="Y480" s="328"/>
      <c r="Z480" s="328"/>
      <c r="AA480" s="328"/>
    </row>
    <row r="481" spans="1:27" ht="12.75" customHeight="1">
      <c r="A481" s="425"/>
      <c r="B481" s="368">
        <f t="shared" si="167"/>
        <v>476</v>
      </c>
      <c r="C481" s="425">
        <v>43419</v>
      </c>
      <c r="D481" s="830"/>
      <c r="E481" s="876" t="str">
        <f t="shared" ca="1" si="168"/>
        <v/>
      </c>
      <c r="F481" s="426" t="str">
        <f t="shared" ca="1" si="173"/>
        <v/>
      </c>
      <c r="G481" s="415"/>
      <c r="H481" s="415"/>
      <c r="I481" s="415" t="str">
        <f t="shared" si="177"/>
        <v/>
      </c>
      <c r="J481" s="415" t="str">
        <f t="shared" si="178"/>
        <v/>
      </c>
      <c r="K481" s="415" t="str">
        <f t="shared" si="179"/>
        <v/>
      </c>
      <c r="L481" s="415"/>
      <c r="M481" s="415"/>
      <c r="N481" s="422" t="str">
        <f t="shared" si="162"/>
        <v/>
      </c>
      <c r="O481" s="422" t="str">
        <f t="shared" si="163"/>
        <v/>
      </c>
      <c r="P481" s="422" t="str">
        <f t="shared" si="164"/>
        <v/>
      </c>
      <c r="Q481" s="422" t="str">
        <f t="shared" si="165"/>
        <v/>
      </c>
      <c r="R481" s="422" t="str">
        <f t="shared" si="166"/>
        <v/>
      </c>
      <c r="S481" s="583">
        <v>610100</v>
      </c>
      <c r="T481" s="377" t="str">
        <f>+IFERROR(VLOOKUP(S481,STAT1!$C$4:$D$189,2,FALSE),"")</f>
        <v>Борлуулсан барааны өртөг</v>
      </c>
      <c r="U481" s="424">
        <f ca="1">+R480</f>
        <v>86800.134401934731</v>
      </c>
      <c r="V481" s="424"/>
      <c r="W481" s="822">
        <v>3061</v>
      </c>
      <c r="X481" s="436" t="str">
        <f>IFERROR(VLOOKUP(W481,DATA!$G$4:$H$400,2,FALSE),"")</f>
        <v>СТИМО ХХК</v>
      </c>
      <c r="Y481" s="328"/>
      <c r="Z481" s="328"/>
      <c r="AA481" s="328"/>
    </row>
    <row r="482" spans="1:27" ht="12.75" customHeight="1">
      <c r="A482" s="425"/>
      <c r="B482" s="368">
        <f t="shared" si="167"/>
        <v>477</v>
      </c>
      <c r="C482" s="425">
        <v>43419</v>
      </c>
      <c r="D482" s="830"/>
      <c r="E482" s="876" t="str">
        <f t="shared" ca="1" si="168"/>
        <v/>
      </c>
      <c r="F482" s="426" t="str">
        <f t="shared" ca="1" si="173"/>
        <v/>
      </c>
      <c r="G482" s="415"/>
      <c r="H482" s="415"/>
      <c r="I482" s="415" t="str">
        <f t="shared" si="177"/>
        <v/>
      </c>
      <c r="J482" s="415" t="str">
        <f t="shared" si="178"/>
        <v/>
      </c>
      <c r="K482" s="415" t="str">
        <f t="shared" si="179"/>
        <v/>
      </c>
      <c r="L482" s="415"/>
      <c r="M482" s="415"/>
      <c r="N482" s="422" t="str">
        <f t="shared" si="162"/>
        <v/>
      </c>
      <c r="O482" s="422" t="str">
        <f t="shared" si="163"/>
        <v/>
      </c>
      <c r="P482" s="422" t="str">
        <f t="shared" si="164"/>
        <v/>
      </c>
      <c r="Q482" s="422" t="str">
        <f t="shared" si="165"/>
        <v/>
      </c>
      <c r="R482" s="422" t="str">
        <f t="shared" si="166"/>
        <v/>
      </c>
      <c r="S482" s="583">
        <v>310500</v>
      </c>
      <c r="T482" s="377" t="str">
        <f>+IFERROR(VLOOKUP(S482,STAT1!$C$4:$D$189,2,FALSE),"")</f>
        <v>НӨАТ өглөг</v>
      </c>
      <c r="U482" s="424"/>
      <c r="V482" s="424">
        <v>9450</v>
      </c>
      <c r="W482" s="822">
        <v>3061</v>
      </c>
      <c r="X482" s="436" t="str">
        <f>IFERROR(VLOOKUP(W482,DATA!$G$4:$H$400,2,FALSE),"")</f>
        <v>СТИМО ХХК</v>
      </c>
      <c r="Y482" s="328"/>
      <c r="Z482" s="328"/>
      <c r="AA482" s="328"/>
    </row>
    <row r="483" spans="1:27" ht="12.75" customHeight="1">
      <c r="A483" s="425"/>
      <c r="B483" s="368">
        <f t="shared" si="167"/>
        <v>478</v>
      </c>
      <c r="C483" s="425">
        <v>43419</v>
      </c>
      <c r="D483" s="830"/>
      <c r="E483" s="876" t="str">
        <f t="shared" ca="1" si="168"/>
        <v/>
      </c>
      <c r="F483" s="426" t="str">
        <f t="shared" ca="1" si="173"/>
        <v/>
      </c>
      <c r="G483" s="415"/>
      <c r="H483" s="415"/>
      <c r="I483" s="415" t="str">
        <f t="shared" si="177"/>
        <v/>
      </c>
      <c r="J483" s="415" t="str">
        <f t="shared" si="178"/>
        <v/>
      </c>
      <c r="K483" s="415" t="str">
        <f t="shared" si="179"/>
        <v/>
      </c>
      <c r="L483" s="415"/>
      <c r="M483" s="415"/>
      <c r="N483" s="422" t="str">
        <f t="shared" si="162"/>
        <v/>
      </c>
      <c r="O483" s="422" t="str">
        <f t="shared" si="163"/>
        <v/>
      </c>
      <c r="P483" s="422" t="str">
        <f t="shared" si="164"/>
        <v/>
      </c>
      <c r="Q483" s="422" t="str">
        <f t="shared" si="165"/>
        <v/>
      </c>
      <c r="R483" s="422" t="str">
        <f t="shared" si="166"/>
        <v/>
      </c>
      <c r="S483" s="583">
        <v>510000</v>
      </c>
      <c r="T483" s="377" t="str">
        <f>+IFERROR(VLOOKUP(S483,STAT1!$C$4:$D$189,2,FALSE),"")</f>
        <v>Үндсэн үйл ажиллагааны борлуулалт</v>
      </c>
      <c r="U483" s="424"/>
      <c r="V483" s="424">
        <v>94500</v>
      </c>
      <c r="W483" s="822">
        <v>3061</v>
      </c>
      <c r="X483" s="436" t="str">
        <f>IFERROR(VLOOKUP(W483,DATA!$G$4:$H$400,2,FALSE),"")</f>
        <v>СТИМО ХХК</v>
      </c>
      <c r="Y483" s="328"/>
      <c r="Z483" s="328"/>
      <c r="AA483" s="328"/>
    </row>
    <row r="484" spans="1:27" ht="12.75" customHeight="1">
      <c r="A484" s="425"/>
      <c r="B484" s="368">
        <f t="shared" si="167"/>
        <v>479</v>
      </c>
      <c r="C484" s="425">
        <v>43419</v>
      </c>
      <c r="D484" s="830"/>
      <c r="E484" s="876" t="str">
        <f t="shared" ca="1" si="168"/>
        <v/>
      </c>
      <c r="F484" s="426" t="str">
        <f t="shared" ca="1" si="173"/>
        <v/>
      </c>
      <c r="G484" s="415"/>
      <c r="H484" s="415"/>
      <c r="I484" s="415" t="str">
        <f t="shared" si="177"/>
        <v/>
      </c>
      <c r="J484" s="415" t="str">
        <f t="shared" si="178"/>
        <v/>
      </c>
      <c r="K484" s="415" t="str">
        <f t="shared" si="179"/>
        <v/>
      </c>
      <c r="L484" s="415"/>
      <c r="M484" s="415"/>
      <c r="N484" s="422" t="str">
        <f t="shared" si="162"/>
        <v/>
      </c>
      <c r="O484" s="422" t="str">
        <f t="shared" si="163"/>
        <v/>
      </c>
      <c r="P484" s="422" t="str">
        <f t="shared" si="164"/>
        <v/>
      </c>
      <c r="Q484" s="422" t="str">
        <f t="shared" si="165"/>
        <v/>
      </c>
      <c r="R484" s="422" t="str">
        <f t="shared" si="166"/>
        <v/>
      </c>
      <c r="S484" s="583">
        <v>320100</v>
      </c>
      <c r="T484" s="377" t="str">
        <f>+IFERROR(VLOOKUP(S484,STAT1!$C$4:$D$189,2,FALSE),"")</f>
        <v>Урьдчилж орсон орлого MNT</v>
      </c>
      <c r="U484" s="424">
        <v>103950</v>
      </c>
      <c r="V484" s="424"/>
      <c r="W484" s="822">
        <v>3061</v>
      </c>
      <c r="X484" s="436" t="str">
        <f>IFERROR(VLOOKUP(W484,DATA!$G$4:$H$400,2,FALSE),"")</f>
        <v>СТИМО ХХК</v>
      </c>
      <c r="Y484" s="328"/>
      <c r="Z484" s="328"/>
      <c r="AA484" s="328"/>
    </row>
    <row r="485" spans="1:27" ht="12.75" customHeight="1">
      <c r="A485" s="425"/>
      <c r="B485" s="368">
        <f t="shared" si="167"/>
        <v>480</v>
      </c>
      <c r="C485" s="425">
        <v>43419</v>
      </c>
      <c r="D485" s="830">
        <v>211503</v>
      </c>
      <c r="E485" s="876" t="str">
        <f t="shared" ca="1" si="168"/>
        <v>Н-Евровагонка /зузаан-1.2см/</v>
      </c>
      <c r="F485" s="426" t="str">
        <f t="shared" ca="1" si="173"/>
        <v>м2</v>
      </c>
      <c r="G485" s="415"/>
      <c r="H485" s="415"/>
      <c r="I485" s="415" t="str">
        <f t="shared" si="177"/>
        <v/>
      </c>
      <c r="J485" s="415" t="str">
        <f t="shared" si="178"/>
        <v/>
      </c>
      <c r="K485" s="415" t="str">
        <f t="shared" si="179"/>
        <v/>
      </c>
      <c r="L485" s="415">
        <v>2100</v>
      </c>
      <c r="M485" s="415"/>
      <c r="N485" s="422">
        <f t="shared" si="162"/>
        <v>0</v>
      </c>
      <c r="O485" s="422">
        <f t="shared" si="163"/>
        <v>0</v>
      </c>
      <c r="P485" s="422">
        <f t="shared" si="164"/>
        <v>0</v>
      </c>
      <c r="Q485" s="422">
        <f t="shared" ca="1" si="165"/>
        <v>14541.928809736646</v>
      </c>
      <c r="R485" s="422">
        <f t="shared" ca="1" si="166"/>
        <v>30538050.500446957</v>
      </c>
      <c r="S485" s="583">
        <f t="shared" ref="S485" si="182">+IF(LEFT(D485,3)="131",140100,0)+IF(LEFT(D485,3)="310",150100,0)+IF(LEFT(D485,3)="211",150101,0)+IF(LEFT(D485,3)="410",160100,0)+IF(LEFT(D485,3)="440",160200,0)+IF(LEFT(D485,3)="430",160200,0)+IF(LEFT(D485,3)="420",160200,0)+IF(LEFT(D485,3)="460",160201,0)+IF(LEFT(D485,3)="210",150101,0)+IF(LEFT(D485,3)="510",140100,0)</f>
        <v>150101</v>
      </c>
      <c r="T485" s="377" t="str">
        <f>+IFERROR(VLOOKUP(S485,STAT1!$C$4:$D$189,2,FALSE),"")</f>
        <v>Бараа бэлэн бүтээгдэхүүн БОЛОВСРУУЛАХ ЦЕХ /нарс/</v>
      </c>
      <c r="U485" s="424"/>
      <c r="V485" s="424">
        <f ca="1">+R485</f>
        <v>30538050.500446957</v>
      </c>
      <c r="W485" s="822">
        <v>3001</v>
      </c>
      <c r="X485" s="436" t="str">
        <f>IFERROR(VLOOKUP(W485,DATA!$G$4:$H$400,2,FALSE),"")</f>
        <v>ХУРД ГРУПП ХХК</v>
      </c>
      <c r="Y485" s="328"/>
      <c r="Z485" s="328"/>
      <c r="AA485" s="328"/>
    </row>
    <row r="486" spans="1:27" ht="12.75" customHeight="1">
      <c r="A486" s="425"/>
      <c r="B486" s="368">
        <f t="shared" si="167"/>
        <v>481</v>
      </c>
      <c r="C486" s="425">
        <v>43434</v>
      </c>
      <c r="D486" s="830">
        <v>211802</v>
      </c>
      <c r="E486" s="876" t="str">
        <f t="shared" ca="1" si="168"/>
        <v xml:space="preserve">Н-Уголок </v>
      </c>
      <c r="F486" s="426" t="str">
        <f t="shared" ca="1" si="173"/>
        <v>м</v>
      </c>
      <c r="G486" s="415"/>
      <c r="H486" s="415"/>
      <c r="I486" s="415" t="str">
        <f t="shared" si="177"/>
        <v/>
      </c>
      <c r="J486" s="415" t="str">
        <f t="shared" si="178"/>
        <v/>
      </c>
      <c r="K486" s="415" t="str">
        <f t="shared" si="179"/>
        <v/>
      </c>
      <c r="L486" s="415">
        <f>15*100</f>
        <v>1500</v>
      </c>
      <c r="M486" s="415"/>
      <c r="N486" s="422">
        <f t="shared" si="162"/>
        <v>0</v>
      </c>
      <c r="O486" s="422">
        <f t="shared" si="163"/>
        <v>0</v>
      </c>
      <c r="P486" s="422">
        <f t="shared" si="164"/>
        <v>0</v>
      </c>
      <c r="Q486" s="422">
        <f t="shared" ca="1" si="165"/>
        <v>1377.7799111418215</v>
      </c>
      <c r="R486" s="422">
        <f t="shared" ca="1" si="166"/>
        <v>2066669.8667127322</v>
      </c>
      <c r="S486" s="583">
        <f t="shared" ref="S486:S537" si="183">+IF(LEFT(D486,3)="131",140100,0)+IF(LEFT(D486,3)="310",150100,0)+IF(LEFT(D486,3)="211",150101,0)+IF(LEFT(D486,3)="410",160100,0)+IF(LEFT(D486,3)="440",160200,0)+IF(LEFT(D486,3)="430",160200,0)+IF(LEFT(D486,3)="420",160200,0)+IF(LEFT(D486,3)="460",160201,0)+IF(LEFT(D486,3)="210",150101,0)+IF(LEFT(D486,3)="510",140100,0)</f>
        <v>150101</v>
      </c>
      <c r="T486" s="377" t="str">
        <f>+IFERROR(VLOOKUP(S486,STAT1!$C$4:$D$189,2,FALSE),"")</f>
        <v>Бараа бэлэн бүтээгдэхүүн БОЛОВСРУУЛАХ ЦЕХ /нарс/</v>
      </c>
      <c r="U486" s="424"/>
      <c r="V486" s="424">
        <f t="shared" ref="V486:V489" ca="1" si="184">+R486</f>
        <v>2066669.8667127322</v>
      </c>
      <c r="W486" s="822">
        <v>3001</v>
      </c>
      <c r="X486" s="436" t="str">
        <f>IFERROR(VLOOKUP(W486,DATA!$G$4:$H$400,2,FALSE),"")</f>
        <v>ХУРД ГРУПП ХХК</v>
      </c>
      <c r="Y486" s="328"/>
      <c r="Z486" s="328"/>
      <c r="AA486" s="328"/>
    </row>
    <row r="487" spans="1:27" ht="12.75" customHeight="1">
      <c r="A487" s="425"/>
      <c r="B487" s="368">
        <f t="shared" si="167"/>
        <v>482</v>
      </c>
      <c r="C487" s="425">
        <v>43434</v>
      </c>
      <c r="D487" s="830">
        <v>211711</v>
      </c>
      <c r="E487" s="876" t="str">
        <f t="shared" ca="1" si="168"/>
        <v>Н-Хавтан /зузаан-2.6см/</v>
      </c>
      <c r="F487" s="426" t="str">
        <f t="shared" ca="1" si="173"/>
        <v>м2</v>
      </c>
      <c r="G487" s="415"/>
      <c r="H487" s="415"/>
      <c r="I487" s="415" t="str">
        <f t="shared" si="177"/>
        <v/>
      </c>
      <c r="J487" s="415" t="str">
        <f t="shared" si="178"/>
        <v/>
      </c>
      <c r="K487" s="415" t="str">
        <f t="shared" si="179"/>
        <v/>
      </c>
      <c r="L487" s="415">
        <v>200</v>
      </c>
      <c r="M487" s="415"/>
      <c r="N487" s="422">
        <f t="shared" si="162"/>
        <v>0</v>
      </c>
      <c r="O487" s="422">
        <f t="shared" si="163"/>
        <v>0</v>
      </c>
      <c r="P487" s="422">
        <f t="shared" si="164"/>
        <v>0</v>
      </c>
      <c r="Q487" s="422">
        <f t="shared" ca="1" si="165"/>
        <v>37906.008649838172</v>
      </c>
      <c r="R487" s="422">
        <f t="shared" ca="1" si="166"/>
        <v>7581201.7299676342</v>
      </c>
      <c r="S487" s="583">
        <f t="shared" si="183"/>
        <v>150101</v>
      </c>
      <c r="T487" s="377" t="str">
        <f>+IFERROR(VLOOKUP(S487,STAT1!$C$4:$D$189,2,FALSE),"")</f>
        <v>Бараа бэлэн бүтээгдэхүүн БОЛОВСРУУЛАХ ЦЕХ /нарс/</v>
      </c>
      <c r="U487" s="424"/>
      <c r="V487" s="424">
        <f t="shared" ca="1" si="184"/>
        <v>7581201.7299676342</v>
      </c>
      <c r="W487" s="822">
        <v>3001</v>
      </c>
      <c r="X487" s="436" t="str">
        <f>IFERROR(VLOOKUP(W487,DATA!$G$4:$H$400,2,FALSE),"")</f>
        <v>ХУРД ГРУПП ХХК</v>
      </c>
      <c r="Y487" s="328"/>
      <c r="Z487" s="328"/>
      <c r="AA487" s="328"/>
    </row>
    <row r="488" spans="1:27" ht="12.75" customHeight="1">
      <c r="A488" s="425"/>
      <c r="B488" s="368">
        <f t="shared" si="167"/>
        <v>483</v>
      </c>
      <c r="C488" s="425">
        <v>43434</v>
      </c>
      <c r="D488" s="830">
        <v>210004</v>
      </c>
      <c r="E488" s="876" t="str">
        <f t="shared" ca="1" si="168"/>
        <v xml:space="preserve">Каркасны мод </v>
      </c>
      <c r="F488" s="426">
        <f t="shared" ca="1" si="173"/>
        <v>0</v>
      </c>
      <c r="G488" s="415"/>
      <c r="H488" s="415"/>
      <c r="I488" s="415" t="str">
        <f t="shared" si="177"/>
        <v/>
      </c>
      <c r="J488" s="415" t="str">
        <f t="shared" si="178"/>
        <v/>
      </c>
      <c r="K488" s="415" t="str">
        <f t="shared" si="179"/>
        <v/>
      </c>
      <c r="L488" s="415">
        <f>0.02*0.04*40*100</f>
        <v>3.2</v>
      </c>
      <c r="M488" s="415"/>
      <c r="N488" s="422">
        <f t="shared" si="162"/>
        <v>0</v>
      </c>
      <c r="O488" s="422">
        <f t="shared" si="163"/>
        <v>0</v>
      </c>
      <c r="P488" s="422">
        <f t="shared" si="164"/>
        <v>0</v>
      </c>
      <c r="Q488" s="422">
        <f t="shared" ca="1" si="165"/>
        <v>362664.58752092026</v>
      </c>
      <c r="R488" s="422">
        <f t="shared" ca="1" si="166"/>
        <v>1160526.6800669448</v>
      </c>
      <c r="S488" s="583">
        <f t="shared" si="183"/>
        <v>150101</v>
      </c>
      <c r="T488" s="377" t="str">
        <f>+IFERROR(VLOOKUP(S488,STAT1!$C$4:$D$189,2,FALSE),"")</f>
        <v>Бараа бэлэн бүтээгдэхүүн БОЛОВСРУУЛАХ ЦЕХ /нарс/</v>
      </c>
      <c r="U488" s="424"/>
      <c r="V488" s="424">
        <f t="shared" ca="1" si="184"/>
        <v>1160526.6800669448</v>
      </c>
      <c r="W488" s="822">
        <v>3001</v>
      </c>
      <c r="X488" s="436" t="str">
        <f>IFERROR(VLOOKUP(W488,DATA!$G$4:$H$400,2,FALSE),"")</f>
        <v>ХУРД ГРУПП ХХК</v>
      </c>
      <c r="Y488" s="328"/>
      <c r="Z488" s="328"/>
      <c r="AA488" s="328"/>
    </row>
    <row r="489" spans="1:27" ht="12.75" customHeight="1">
      <c r="A489" s="425"/>
      <c r="B489" s="368">
        <f t="shared" si="167"/>
        <v>484</v>
      </c>
      <c r="C489" s="425">
        <v>43434</v>
      </c>
      <c r="D489" s="830">
        <v>211804</v>
      </c>
      <c r="E489" s="876" t="str">
        <f t="shared" ca="1" si="168"/>
        <v>Н-Хэлбэртэй плинтус /20*80мм/</v>
      </c>
      <c r="F489" s="426" t="str">
        <f t="shared" ca="1" si="173"/>
        <v>м</v>
      </c>
      <c r="G489" s="415"/>
      <c r="H489" s="415"/>
      <c r="I489" s="415" t="str">
        <f t="shared" si="177"/>
        <v/>
      </c>
      <c r="J489" s="415" t="str">
        <f t="shared" si="178"/>
        <v/>
      </c>
      <c r="K489" s="415" t="str">
        <f t="shared" si="179"/>
        <v/>
      </c>
      <c r="L489" s="415">
        <f>2050+3330</f>
        <v>5380</v>
      </c>
      <c r="M489" s="415"/>
      <c r="N489" s="422">
        <f t="shared" si="162"/>
        <v>0</v>
      </c>
      <c r="O489" s="422">
        <f t="shared" si="163"/>
        <v>0</v>
      </c>
      <c r="P489" s="422">
        <f t="shared" si="164"/>
        <v>0</v>
      </c>
      <c r="Q489" s="422">
        <f t="shared" ca="1" si="165"/>
        <v>2131.6803863854147</v>
      </c>
      <c r="R489" s="422">
        <f t="shared" ca="1" si="166"/>
        <v>11468440.478753531</v>
      </c>
      <c r="S489" s="583">
        <f t="shared" si="183"/>
        <v>150101</v>
      </c>
      <c r="T489" s="377" t="str">
        <f>+IFERROR(VLOOKUP(S489,STAT1!$C$4:$D$189,2,FALSE),"")</f>
        <v>Бараа бэлэн бүтээгдэхүүн БОЛОВСРУУЛАХ ЦЕХ /нарс/</v>
      </c>
      <c r="U489" s="424"/>
      <c r="V489" s="424">
        <f t="shared" ca="1" si="184"/>
        <v>11468440.478753531</v>
      </c>
      <c r="W489" s="822">
        <v>3001</v>
      </c>
      <c r="X489" s="436" t="str">
        <f>IFERROR(VLOOKUP(W489,DATA!$G$4:$H$400,2,FALSE),"")</f>
        <v>ХУРД ГРУПП ХХК</v>
      </c>
      <c r="Y489" s="328"/>
      <c r="Z489" s="328"/>
      <c r="AA489" s="328"/>
    </row>
    <row r="490" spans="1:27" ht="12.75" customHeight="1">
      <c r="A490" s="425"/>
      <c r="B490" s="368">
        <f t="shared" si="167"/>
        <v>485</v>
      </c>
      <c r="C490" s="425">
        <v>43434</v>
      </c>
      <c r="D490" s="830"/>
      <c r="E490" s="876" t="str">
        <f t="shared" ca="1" si="168"/>
        <v/>
      </c>
      <c r="F490" s="426" t="str">
        <f t="shared" ca="1" si="173"/>
        <v/>
      </c>
      <c r="G490" s="415"/>
      <c r="H490" s="415"/>
      <c r="I490" s="415" t="str">
        <f t="shared" si="177"/>
        <v/>
      </c>
      <c r="J490" s="415" t="str">
        <f t="shared" si="178"/>
        <v/>
      </c>
      <c r="K490" s="415" t="str">
        <f t="shared" si="179"/>
        <v/>
      </c>
      <c r="L490" s="415"/>
      <c r="M490" s="415"/>
      <c r="N490" s="422" t="str">
        <f t="shared" si="162"/>
        <v/>
      </c>
      <c r="O490" s="422" t="str">
        <f t="shared" si="163"/>
        <v/>
      </c>
      <c r="P490" s="422" t="str">
        <f t="shared" si="164"/>
        <v/>
      </c>
      <c r="Q490" s="422" t="str">
        <f t="shared" si="165"/>
        <v/>
      </c>
      <c r="R490" s="422" t="str">
        <f t="shared" si="166"/>
        <v/>
      </c>
      <c r="S490" s="583">
        <v>200700</v>
      </c>
      <c r="T490" s="377" t="str">
        <f>+IFERROR(VLOOKUP(S490,STAT1!$C$4:$D$189,2,FALSE),"")</f>
        <v xml:space="preserve">Дуусаагүй барилга-1 </v>
      </c>
      <c r="U490" s="424">
        <f ca="1">+SUM(V485:V489)</f>
        <v>52814889.255947791</v>
      </c>
      <c r="V490" s="424"/>
      <c r="W490" s="822">
        <v>3001</v>
      </c>
      <c r="X490" s="436" t="str">
        <f>IFERROR(VLOOKUP(W490,DATA!$G$4:$H$400,2,FALSE),"")</f>
        <v>ХУРД ГРУПП ХХК</v>
      </c>
      <c r="Y490" s="328"/>
      <c r="Z490" s="328"/>
      <c r="AA490" s="328"/>
    </row>
    <row r="491" spans="1:27" ht="12.75" customHeight="1">
      <c r="A491" s="425"/>
      <c r="B491" s="368">
        <f t="shared" si="167"/>
        <v>486</v>
      </c>
      <c r="C491" s="425">
        <v>43465</v>
      </c>
      <c r="D491" s="830">
        <v>211503</v>
      </c>
      <c r="E491" s="876" t="str">
        <f t="shared" ca="1" si="168"/>
        <v>Н-Евровагонка /зузаан-1.2см/</v>
      </c>
      <c r="F491" s="426" t="str">
        <f t="shared" ca="1" si="173"/>
        <v>м2</v>
      </c>
      <c r="G491" s="415"/>
      <c r="H491" s="415"/>
      <c r="I491" s="415" t="str">
        <f t="shared" si="177"/>
        <v/>
      </c>
      <c r="J491" s="415" t="str">
        <f t="shared" si="178"/>
        <v/>
      </c>
      <c r="K491" s="415" t="str">
        <f t="shared" si="179"/>
        <v/>
      </c>
      <c r="L491" s="415">
        <v>1289.4000000000001</v>
      </c>
      <c r="M491" s="415"/>
      <c r="N491" s="422">
        <f t="shared" si="162"/>
        <v>0</v>
      </c>
      <c r="O491" s="422">
        <f t="shared" si="163"/>
        <v>0</v>
      </c>
      <c r="P491" s="422">
        <f t="shared" si="164"/>
        <v>0</v>
      </c>
      <c r="Q491" s="422">
        <f t="shared" ca="1" si="165"/>
        <v>14541.928809736644</v>
      </c>
      <c r="R491" s="422">
        <f t="shared" ca="1" si="166"/>
        <v>18750363.00727443</v>
      </c>
      <c r="S491" s="583">
        <f t="shared" si="183"/>
        <v>150101</v>
      </c>
      <c r="T491" s="377" t="str">
        <f>+IFERROR(VLOOKUP(S491,STAT1!$C$4:$D$189,2,FALSE),"")</f>
        <v>Бараа бэлэн бүтээгдэхүүн БОЛОВСРУУЛАХ ЦЕХ /нарс/</v>
      </c>
      <c r="U491" s="424"/>
      <c r="V491" s="424">
        <f ca="1">+R491</f>
        <v>18750363.00727443</v>
      </c>
      <c r="W491" s="822">
        <v>3001</v>
      </c>
      <c r="X491" s="436" t="str">
        <f>IFERROR(VLOOKUP(W491,DATA!$G$4:$H$400,2,FALSE),"")</f>
        <v>ХУРД ГРУПП ХХК</v>
      </c>
      <c r="Y491" s="328"/>
      <c r="Z491" s="328"/>
      <c r="AA491" s="328"/>
    </row>
    <row r="492" spans="1:27" ht="12.75" customHeight="1">
      <c r="A492" s="425"/>
      <c r="B492" s="368">
        <f t="shared" si="167"/>
        <v>487</v>
      </c>
      <c r="C492" s="425">
        <v>43465</v>
      </c>
      <c r="D492" s="830">
        <v>211802</v>
      </c>
      <c r="E492" s="876" t="str">
        <f t="shared" ca="1" si="168"/>
        <v xml:space="preserve">Н-Уголок </v>
      </c>
      <c r="F492" s="426" t="str">
        <f t="shared" ca="1" si="173"/>
        <v>м</v>
      </c>
      <c r="G492" s="415"/>
      <c r="H492" s="415"/>
      <c r="I492" s="415" t="str">
        <f t="shared" si="177"/>
        <v/>
      </c>
      <c r="J492" s="415" t="str">
        <f t="shared" si="178"/>
        <v/>
      </c>
      <c r="K492" s="415" t="str">
        <f t="shared" si="179"/>
        <v/>
      </c>
      <c r="L492" s="415">
        <f>15*140</f>
        <v>2100</v>
      </c>
      <c r="M492" s="415"/>
      <c r="N492" s="422">
        <f t="shared" si="162"/>
        <v>0</v>
      </c>
      <c r="O492" s="422">
        <f t="shared" si="163"/>
        <v>0</v>
      </c>
      <c r="P492" s="422">
        <f t="shared" si="164"/>
        <v>0</v>
      </c>
      <c r="Q492" s="422">
        <f t="shared" ca="1" si="165"/>
        <v>1377.7799111418212</v>
      </c>
      <c r="R492" s="422">
        <f t="shared" ca="1" si="166"/>
        <v>2893337.8133978248</v>
      </c>
      <c r="S492" s="583">
        <f t="shared" si="183"/>
        <v>150101</v>
      </c>
      <c r="T492" s="377" t="str">
        <f>+IFERROR(VLOOKUP(S492,STAT1!$C$4:$D$189,2,FALSE),"")</f>
        <v>Бараа бэлэн бүтээгдэхүүн БОЛОВСРУУЛАХ ЦЕХ /нарс/</v>
      </c>
      <c r="U492" s="424"/>
      <c r="V492" s="424">
        <f t="shared" ref="V492:V498" ca="1" si="185">+R492</f>
        <v>2893337.8133978248</v>
      </c>
      <c r="W492" s="822">
        <v>3001</v>
      </c>
      <c r="X492" s="436" t="str">
        <f>IFERROR(VLOOKUP(W492,DATA!$G$4:$H$400,2,FALSE),"")</f>
        <v>ХУРД ГРУПП ХХК</v>
      </c>
      <c r="Y492" s="328"/>
      <c r="Z492" s="328"/>
      <c r="AA492" s="328"/>
    </row>
    <row r="493" spans="1:27" ht="12.75" customHeight="1">
      <c r="A493" s="425"/>
      <c r="B493" s="368">
        <f t="shared" si="167"/>
        <v>488</v>
      </c>
      <c r="C493" s="425">
        <v>43465</v>
      </c>
      <c r="D493" s="830">
        <v>211712</v>
      </c>
      <c r="E493" s="876" t="str">
        <f t="shared" ca="1" si="168"/>
        <v xml:space="preserve">Н-Хавтан /зузаан-2.6см/-яртай </v>
      </c>
      <c r="F493" s="426" t="str">
        <f t="shared" ca="1" si="173"/>
        <v>м2</v>
      </c>
      <c r="G493" s="415"/>
      <c r="H493" s="415"/>
      <c r="I493" s="415" t="str">
        <f t="shared" si="177"/>
        <v/>
      </c>
      <c r="J493" s="415" t="str">
        <f t="shared" si="178"/>
        <v/>
      </c>
      <c r="K493" s="415" t="str">
        <f t="shared" si="179"/>
        <v/>
      </c>
      <c r="L493" s="415">
        <f>2*140</f>
        <v>280</v>
      </c>
      <c r="M493" s="415"/>
      <c r="N493" s="422">
        <f t="shared" si="162"/>
        <v>0</v>
      </c>
      <c r="O493" s="422">
        <f t="shared" si="163"/>
        <v>0</v>
      </c>
      <c r="P493" s="422">
        <f t="shared" si="164"/>
        <v>0</v>
      </c>
      <c r="Q493" s="422">
        <f t="shared" ca="1" si="165"/>
        <v>33727.745115455189</v>
      </c>
      <c r="R493" s="422">
        <f t="shared" ca="1" si="166"/>
        <v>9443768.6323274523</v>
      </c>
      <c r="S493" s="583">
        <f t="shared" si="183"/>
        <v>150101</v>
      </c>
      <c r="T493" s="377" t="str">
        <f>+IFERROR(VLOOKUP(S493,STAT1!$C$4:$D$189,2,FALSE),"")</f>
        <v>Бараа бэлэн бүтээгдэхүүн БОЛОВСРУУЛАХ ЦЕХ /нарс/</v>
      </c>
      <c r="U493" s="415"/>
      <c r="V493" s="424">
        <f t="shared" ca="1" si="185"/>
        <v>9443768.6323274523</v>
      </c>
      <c r="W493" s="822">
        <v>3001</v>
      </c>
      <c r="X493" s="436" t="str">
        <f>IFERROR(VLOOKUP(W493,DATA!$G$4:$H$400,2,FALSE),"")</f>
        <v>ХУРД ГРУПП ХХК</v>
      </c>
      <c r="Y493" s="328"/>
      <c r="Z493" s="328"/>
      <c r="AA493" s="328"/>
    </row>
    <row r="494" spans="1:27" ht="12.75" customHeight="1">
      <c r="A494" s="425"/>
      <c r="B494" s="368">
        <f t="shared" si="167"/>
        <v>489</v>
      </c>
      <c r="C494" s="425">
        <v>43465</v>
      </c>
      <c r="D494" s="830">
        <v>210004</v>
      </c>
      <c r="E494" s="876" t="str">
        <f t="shared" ca="1" si="168"/>
        <v xml:space="preserve">Каркасны мод </v>
      </c>
      <c r="F494" s="426">
        <f t="shared" ca="1" si="173"/>
        <v>0</v>
      </c>
      <c r="G494" s="415"/>
      <c r="H494" s="415"/>
      <c r="I494" s="415" t="str">
        <f t="shared" si="177"/>
        <v/>
      </c>
      <c r="J494" s="415" t="str">
        <f t="shared" si="178"/>
        <v/>
      </c>
      <c r="K494" s="415" t="str">
        <f t="shared" si="179"/>
        <v/>
      </c>
      <c r="L494" s="415">
        <f>0.02*0.04*40*140</f>
        <v>4.4800000000000004</v>
      </c>
      <c r="M494" s="415"/>
      <c r="N494" s="422">
        <f t="shared" si="162"/>
        <v>0</v>
      </c>
      <c r="O494" s="422">
        <f t="shared" si="163"/>
        <v>0</v>
      </c>
      <c r="P494" s="422">
        <f t="shared" si="164"/>
        <v>0</v>
      </c>
      <c r="Q494" s="422">
        <f t="shared" ca="1" si="165"/>
        <v>362664.58752092021</v>
      </c>
      <c r="R494" s="422">
        <f t="shared" ca="1" si="166"/>
        <v>1624737.3520937227</v>
      </c>
      <c r="S494" s="583">
        <f t="shared" si="183"/>
        <v>150101</v>
      </c>
      <c r="T494" s="377" t="str">
        <f>+IFERROR(VLOOKUP(S494,STAT1!$C$4:$D$189,2,FALSE),"")</f>
        <v>Бараа бэлэн бүтээгдэхүүн БОЛОВСРУУЛАХ ЦЕХ /нарс/</v>
      </c>
      <c r="U494" s="424"/>
      <c r="V494" s="424">
        <v>1624737.3520937227</v>
      </c>
      <c r="W494" s="822">
        <v>3001</v>
      </c>
      <c r="X494" s="436" t="str">
        <f>IFERROR(VLOOKUP(W494,DATA!$G$4:$H$400,2,FALSE),"")</f>
        <v>ХУРД ГРУПП ХХК</v>
      </c>
      <c r="Y494" s="328"/>
      <c r="Z494" s="328"/>
      <c r="AA494" s="328"/>
    </row>
    <row r="495" spans="1:27" ht="12.75" customHeight="1">
      <c r="A495" s="425"/>
      <c r="B495" s="368">
        <f t="shared" si="167"/>
        <v>490</v>
      </c>
      <c r="C495" s="425">
        <v>43465</v>
      </c>
      <c r="D495" s="830">
        <v>211804</v>
      </c>
      <c r="E495" s="876" t="str">
        <f t="shared" ca="1" si="168"/>
        <v>Н-Хэлбэртэй плинтус /20*80мм/</v>
      </c>
      <c r="F495" s="426" t="str">
        <f t="shared" ca="1" si="173"/>
        <v>м</v>
      </c>
      <c r="G495" s="415"/>
      <c r="H495" s="415"/>
      <c r="I495" s="415" t="str">
        <f t="shared" si="177"/>
        <v/>
      </c>
      <c r="J495" s="415" t="str">
        <f t="shared" si="178"/>
        <v/>
      </c>
      <c r="K495" s="415" t="str">
        <f t="shared" si="179"/>
        <v/>
      </c>
      <c r="L495" s="415">
        <v>586.4</v>
      </c>
      <c r="M495" s="415"/>
      <c r="N495" s="422">
        <f t="shared" si="162"/>
        <v>0</v>
      </c>
      <c r="O495" s="422">
        <f t="shared" si="163"/>
        <v>0</v>
      </c>
      <c r="P495" s="422">
        <f t="shared" si="164"/>
        <v>0</v>
      </c>
      <c r="Q495" s="422">
        <f t="shared" ca="1" si="165"/>
        <v>2131.6803863854129</v>
      </c>
      <c r="R495" s="422">
        <f t="shared" ca="1" si="166"/>
        <v>1250017.378576406</v>
      </c>
      <c r="S495" s="583">
        <f t="shared" si="183"/>
        <v>150101</v>
      </c>
      <c r="T495" s="377" t="str">
        <f>+IFERROR(VLOOKUP(S495,STAT1!$C$4:$D$189,2,FALSE),"")</f>
        <v>Бараа бэлэн бүтээгдэхүүн БОЛОВСРУУЛАХ ЦЕХ /нарс/</v>
      </c>
      <c r="U495" s="424"/>
      <c r="V495" s="424">
        <f t="shared" ca="1" si="185"/>
        <v>1250017.378576406</v>
      </c>
      <c r="W495" s="822">
        <v>3001</v>
      </c>
      <c r="X495" s="436" t="str">
        <f>IFERROR(VLOOKUP(W495,DATA!$G$4:$H$400,2,FALSE),"")</f>
        <v>ХУРД ГРУПП ХХК</v>
      </c>
      <c r="Y495" s="328"/>
      <c r="Z495" s="328"/>
      <c r="AA495" s="328"/>
    </row>
    <row r="496" spans="1:27" ht="12.75" customHeight="1">
      <c r="A496" s="425"/>
      <c r="B496" s="368">
        <f t="shared" si="167"/>
        <v>491</v>
      </c>
      <c r="C496" s="425">
        <v>43465</v>
      </c>
      <c r="D496" s="830">
        <v>211711</v>
      </c>
      <c r="E496" s="876" t="str">
        <f t="shared" ca="1" si="168"/>
        <v>Н-Хавтан /зузаан-2.6см/</v>
      </c>
      <c r="F496" s="426" t="str">
        <f t="shared" ca="1" si="173"/>
        <v>м2</v>
      </c>
      <c r="G496" s="415"/>
      <c r="H496" s="415"/>
      <c r="I496" s="415" t="str">
        <f t="shared" si="177"/>
        <v/>
      </c>
      <c r="J496" s="415" t="str">
        <f t="shared" si="178"/>
        <v/>
      </c>
      <c r="K496" s="415" t="str">
        <f t="shared" si="179"/>
        <v/>
      </c>
      <c r="L496" s="415">
        <v>23.92</v>
      </c>
      <c r="M496" s="415"/>
      <c r="N496" s="422">
        <f t="shared" si="162"/>
        <v>0</v>
      </c>
      <c r="O496" s="422">
        <f t="shared" si="163"/>
        <v>0</v>
      </c>
      <c r="P496" s="422">
        <f t="shared" si="164"/>
        <v>0</v>
      </c>
      <c r="Q496" s="422">
        <f t="shared" ca="1" si="165"/>
        <v>37906.008649838157</v>
      </c>
      <c r="R496" s="422">
        <f t="shared" ca="1" si="166"/>
        <v>906711.72690412879</v>
      </c>
      <c r="S496" s="583">
        <f t="shared" si="183"/>
        <v>150101</v>
      </c>
      <c r="T496" s="377" t="str">
        <f>+IFERROR(VLOOKUP(S496,STAT1!$C$4:$D$189,2,FALSE),"")</f>
        <v>Бараа бэлэн бүтээгдэхүүн БОЛОВСРУУЛАХ ЦЕХ /нарс/</v>
      </c>
      <c r="U496" s="424"/>
      <c r="V496" s="424">
        <f t="shared" ca="1" si="185"/>
        <v>906711.72690412879</v>
      </c>
      <c r="W496" s="822">
        <v>3001</v>
      </c>
      <c r="X496" s="436" t="str">
        <f>IFERROR(VLOOKUP(W496,DATA!$G$4:$H$400,2,FALSE),"")</f>
        <v>ХУРД ГРУПП ХХК</v>
      </c>
      <c r="Y496" s="328"/>
      <c r="Z496" s="328"/>
      <c r="AA496" s="328"/>
    </row>
    <row r="497" spans="1:27" ht="12.75" customHeight="1">
      <c r="A497" s="425"/>
      <c r="B497" s="368">
        <f t="shared" si="167"/>
        <v>492</v>
      </c>
      <c r="C497" s="425">
        <v>43465</v>
      </c>
      <c r="D497" s="830">
        <v>211713</v>
      </c>
      <c r="E497" s="876" t="str">
        <f t="shared" ca="1" si="168"/>
        <v>Н-Хавтан /зузаан-2см/</v>
      </c>
      <c r="F497" s="426" t="str">
        <f t="shared" ca="1" si="173"/>
        <v>м2</v>
      </c>
      <c r="G497" s="415"/>
      <c r="H497" s="415"/>
      <c r="I497" s="415" t="str">
        <f t="shared" si="177"/>
        <v/>
      </c>
      <c r="J497" s="415" t="str">
        <f t="shared" si="178"/>
        <v/>
      </c>
      <c r="K497" s="415" t="str">
        <f t="shared" si="179"/>
        <v/>
      </c>
      <c r="L497" s="415">
        <f>109.2+87.5</f>
        <v>196.7</v>
      </c>
      <c r="M497" s="415"/>
      <c r="N497" s="422">
        <f t="shared" ref="N497:N560" si="186">+IF(L497="","",L497*M497)</f>
        <v>0</v>
      </c>
      <c r="O497" s="422">
        <f t="shared" si="163"/>
        <v>0</v>
      </c>
      <c r="P497" s="422">
        <f t="shared" si="164"/>
        <v>0</v>
      </c>
      <c r="Q497" s="422">
        <f t="shared" ca="1" si="165"/>
        <v>24820.285936271328</v>
      </c>
      <c r="R497" s="422">
        <f t="shared" ca="1" si="166"/>
        <v>4882150.2436645702</v>
      </c>
      <c r="S497" s="583">
        <f t="shared" si="183"/>
        <v>150101</v>
      </c>
      <c r="T497" s="377" t="str">
        <f>+IFERROR(VLOOKUP(S497,STAT1!$C$4:$D$189,2,FALSE),"")</f>
        <v>Бараа бэлэн бүтээгдэхүүн БОЛОВСРУУЛАХ ЦЕХ /нарс/</v>
      </c>
      <c r="U497" s="424"/>
      <c r="V497" s="424">
        <f t="shared" ca="1" si="185"/>
        <v>4882150.2436645702</v>
      </c>
      <c r="W497" s="822">
        <v>3001</v>
      </c>
      <c r="X497" s="436" t="str">
        <f>IFERROR(VLOOKUP(W497,DATA!$G$4:$H$400,2,FALSE),"")</f>
        <v>ХУРД ГРУПП ХХК</v>
      </c>
      <c r="Y497" s="328"/>
      <c r="Z497" s="328"/>
      <c r="AA497" s="328"/>
    </row>
    <row r="498" spans="1:27" ht="12.75" customHeight="1">
      <c r="A498" s="425"/>
      <c r="B498" s="368">
        <f t="shared" si="167"/>
        <v>493</v>
      </c>
      <c r="C498" s="425">
        <v>43465</v>
      </c>
      <c r="D498" s="830">
        <v>211504</v>
      </c>
      <c r="E498" s="876" t="str">
        <f t="shared" ca="1" si="168"/>
        <v xml:space="preserve">Н-Евровагонка /зузаан-1.2см/-яртай </v>
      </c>
      <c r="F498" s="426" t="str">
        <f t="shared" ca="1" si="173"/>
        <v>м2</v>
      </c>
      <c r="G498" s="415"/>
      <c r="H498" s="415"/>
      <c r="I498" s="415" t="str">
        <f t="shared" si="177"/>
        <v/>
      </c>
      <c r="J498" s="415" t="str">
        <f t="shared" si="178"/>
        <v/>
      </c>
      <c r="K498" s="415" t="str">
        <f t="shared" si="179"/>
        <v/>
      </c>
      <c r="L498" s="415">
        <f>3220-1290</f>
        <v>1930</v>
      </c>
      <c r="M498" s="415"/>
      <c r="N498" s="422">
        <f t="shared" si="186"/>
        <v>0</v>
      </c>
      <c r="O498" s="422">
        <f t="shared" si="163"/>
        <v>0</v>
      </c>
      <c r="P498" s="422">
        <f t="shared" si="164"/>
        <v>0</v>
      </c>
      <c r="Q498" s="422">
        <f t="shared" ca="1" si="165"/>
        <v>11896.785561853305</v>
      </c>
      <c r="R498" s="422">
        <f t="shared" ca="1" si="166"/>
        <v>22960796.13437688</v>
      </c>
      <c r="S498" s="583">
        <f t="shared" si="183"/>
        <v>150101</v>
      </c>
      <c r="T498" s="377" t="str">
        <f>+IFERROR(VLOOKUP(S498,STAT1!$C$4:$D$189,2,FALSE),"")</f>
        <v>Бараа бэлэн бүтээгдэхүүн БОЛОВСРУУЛАХ ЦЕХ /нарс/</v>
      </c>
      <c r="U498" s="415"/>
      <c r="V498" s="424">
        <f t="shared" ca="1" si="185"/>
        <v>22960796.13437688</v>
      </c>
      <c r="W498" s="823">
        <v>3001</v>
      </c>
      <c r="X498" s="436" t="str">
        <f>IFERROR(VLOOKUP(W498,DATA!$G$4:$H$400,2,FALSE),"")</f>
        <v>ХУРД ГРУПП ХХК</v>
      </c>
      <c r="Y498" s="328"/>
      <c r="Z498" s="328"/>
      <c r="AA498" s="328"/>
    </row>
    <row r="499" spans="1:27" ht="12.75" customHeight="1">
      <c r="A499" s="425"/>
      <c r="B499" s="368">
        <f t="shared" si="167"/>
        <v>494</v>
      </c>
      <c r="C499" s="425">
        <v>43465</v>
      </c>
      <c r="D499" s="830"/>
      <c r="E499" s="876" t="str">
        <f t="shared" ca="1" si="168"/>
        <v/>
      </c>
      <c r="F499" s="426" t="str">
        <f t="shared" ca="1" si="173"/>
        <v/>
      </c>
      <c r="G499" s="415"/>
      <c r="H499" s="415"/>
      <c r="I499" s="415" t="str">
        <f t="shared" si="177"/>
        <v/>
      </c>
      <c r="J499" s="415" t="str">
        <f t="shared" si="178"/>
        <v/>
      </c>
      <c r="K499" s="415" t="str">
        <f t="shared" si="179"/>
        <v/>
      </c>
      <c r="L499" s="415"/>
      <c r="M499" s="415"/>
      <c r="N499" s="422" t="str">
        <f t="shared" si="186"/>
        <v/>
      </c>
      <c r="O499" s="422" t="str">
        <f t="shared" si="163"/>
        <v/>
      </c>
      <c r="P499" s="422" t="str">
        <f t="shared" si="164"/>
        <v/>
      </c>
      <c r="Q499" s="422" t="str">
        <f t="shared" si="165"/>
        <v/>
      </c>
      <c r="R499" s="422" t="str">
        <f t="shared" si="166"/>
        <v/>
      </c>
      <c r="S499" s="583">
        <v>200700</v>
      </c>
      <c r="T499" s="377" t="str">
        <f>+IFERROR(VLOOKUP(S499,STAT1!$C$4:$D$189,2,FALSE),"")</f>
        <v xml:space="preserve">Дуусаагүй барилга-1 </v>
      </c>
      <c r="U499" s="424">
        <f ca="1">+SUM(V491:V498)</f>
        <v>62711882.28861542</v>
      </c>
      <c r="V499" s="424"/>
      <c r="W499" s="822">
        <v>3001</v>
      </c>
      <c r="X499" s="436" t="str">
        <f>IFERROR(VLOOKUP(W499,DATA!$G$4:$H$400,2,FALSE),"")</f>
        <v>ХУРД ГРУПП ХХК</v>
      </c>
      <c r="Y499" s="328"/>
      <c r="Z499" s="328"/>
      <c r="AA499" s="328"/>
    </row>
    <row r="500" spans="1:27" ht="12.75" customHeight="1">
      <c r="A500" s="425"/>
      <c r="B500" s="368">
        <f t="shared" si="167"/>
        <v>495</v>
      </c>
      <c r="C500" s="425">
        <v>43441</v>
      </c>
      <c r="D500" s="830">
        <v>410009</v>
      </c>
      <c r="E500" s="876" t="str">
        <f t="shared" ca="1" si="168"/>
        <v>Халдаг кабель</v>
      </c>
      <c r="F500" s="426">
        <f t="shared" ca="1" si="173"/>
        <v>0</v>
      </c>
      <c r="G500" s="415">
        <f>110*2+98*7</f>
        <v>906</v>
      </c>
      <c r="H500" s="415">
        <v>3086.09271523179</v>
      </c>
      <c r="I500" s="415">
        <f t="shared" si="177"/>
        <v>2796000.0000000019</v>
      </c>
      <c r="J500" s="415">
        <f t="shared" si="178"/>
        <v>279600.00000000017</v>
      </c>
      <c r="K500" s="415">
        <f t="shared" si="179"/>
        <v>3075600.0000000019</v>
      </c>
      <c r="L500" s="415"/>
      <c r="M500" s="415"/>
      <c r="N500" s="422" t="str">
        <f t="shared" si="186"/>
        <v/>
      </c>
      <c r="O500" s="422" t="str">
        <f t="shared" si="163"/>
        <v/>
      </c>
      <c r="P500" s="422" t="str">
        <f t="shared" si="164"/>
        <v/>
      </c>
      <c r="Q500" s="422" t="str">
        <f t="shared" si="165"/>
        <v/>
      </c>
      <c r="R500" s="422" t="str">
        <f t="shared" si="166"/>
        <v/>
      </c>
      <c r="S500" s="583">
        <f t="shared" si="183"/>
        <v>160100</v>
      </c>
      <c r="T500" s="377" t="str">
        <f>+IFERROR(VLOOKUP(S500,STAT1!$C$4:$D$189,2,FALSE),"")</f>
        <v xml:space="preserve">Барилгын материал </v>
      </c>
      <c r="U500" s="424">
        <v>2796000</v>
      </c>
      <c r="V500" s="424"/>
      <c r="W500" s="822">
        <v>1005</v>
      </c>
      <c r="X500" s="436" t="str">
        <f>IFERROR(VLOOKUP(W500,DATA!$G$4:$H$400,2,FALSE),"")</f>
        <v>Золжаргал</v>
      </c>
      <c r="Y500" s="328"/>
      <c r="Z500" s="328"/>
      <c r="AA500" s="328"/>
    </row>
    <row r="501" spans="1:27" ht="12.75" customHeight="1">
      <c r="A501" s="425"/>
      <c r="B501" s="368">
        <f t="shared" si="167"/>
        <v>496</v>
      </c>
      <c r="C501" s="425">
        <v>43441</v>
      </c>
      <c r="D501" s="830"/>
      <c r="E501" s="876" t="str">
        <f t="shared" ca="1" si="168"/>
        <v/>
      </c>
      <c r="F501" s="426" t="str">
        <f t="shared" ca="1" si="173"/>
        <v/>
      </c>
      <c r="G501" s="415"/>
      <c r="H501" s="415"/>
      <c r="I501" s="415" t="str">
        <f t="shared" si="177"/>
        <v/>
      </c>
      <c r="J501" s="415" t="str">
        <f t="shared" si="178"/>
        <v/>
      </c>
      <c r="K501" s="415" t="str">
        <f t="shared" si="179"/>
        <v/>
      </c>
      <c r="L501" s="415"/>
      <c r="M501" s="415"/>
      <c r="N501" s="422" t="str">
        <f t="shared" si="186"/>
        <v/>
      </c>
      <c r="O501" s="422" t="str">
        <f t="shared" si="163"/>
        <v/>
      </c>
      <c r="P501" s="422" t="str">
        <f t="shared" si="164"/>
        <v/>
      </c>
      <c r="Q501" s="422" t="str">
        <f t="shared" si="165"/>
        <v/>
      </c>
      <c r="R501" s="422" t="str">
        <f t="shared" si="166"/>
        <v/>
      </c>
      <c r="S501" s="583">
        <v>120600</v>
      </c>
      <c r="T501" s="377" t="str">
        <f>+IFERROR(VLOOKUP(S501,STAT1!$C$4:$D$189,2,FALSE),"")</f>
        <v>НӨАТ авлага</v>
      </c>
      <c r="U501" s="424">
        <v>279600</v>
      </c>
      <c r="V501" s="424"/>
      <c r="W501" s="822">
        <v>1005</v>
      </c>
      <c r="X501" s="436" t="str">
        <f>IFERROR(VLOOKUP(W501,DATA!$G$4:$H$400,2,FALSE),"")</f>
        <v>Золжаргал</v>
      </c>
      <c r="Y501" s="328"/>
      <c r="Z501" s="328"/>
      <c r="AA501" s="328"/>
    </row>
    <row r="502" spans="1:27" ht="12.75" customHeight="1">
      <c r="A502" s="425"/>
      <c r="B502" s="368">
        <f t="shared" si="167"/>
        <v>497</v>
      </c>
      <c r="C502" s="425">
        <v>43441</v>
      </c>
      <c r="D502" s="830"/>
      <c r="E502" s="876" t="str">
        <f t="shared" ca="1" si="168"/>
        <v/>
      </c>
      <c r="F502" s="426" t="str">
        <f t="shared" ca="1" si="173"/>
        <v/>
      </c>
      <c r="G502" s="415"/>
      <c r="H502" s="415"/>
      <c r="I502" s="415" t="str">
        <f t="shared" si="177"/>
        <v/>
      </c>
      <c r="J502" s="415" t="str">
        <f t="shared" si="178"/>
        <v/>
      </c>
      <c r="K502" s="415" t="str">
        <f t="shared" si="179"/>
        <v/>
      </c>
      <c r="L502" s="415"/>
      <c r="M502" s="415"/>
      <c r="N502" s="422" t="str">
        <f t="shared" si="186"/>
        <v/>
      </c>
      <c r="O502" s="422" t="str">
        <f t="shared" si="163"/>
        <v/>
      </c>
      <c r="P502" s="422" t="str">
        <f t="shared" si="164"/>
        <v/>
      </c>
      <c r="Q502" s="422" t="str">
        <f t="shared" si="165"/>
        <v/>
      </c>
      <c r="R502" s="422" t="str">
        <f t="shared" si="166"/>
        <v/>
      </c>
      <c r="S502" s="583">
        <v>121200</v>
      </c>
      <c r="T502" s="377" t="str">
        <f>+IFERROR(VLOOKUP(S502,STAT1!$C$4:$D$189,2,FALSE),"")</f>
        <v xml:space="preserve">Ажилчидын дараа тайлангийн тооцоо </v>
      </c>
      <c r="U502" s="424"/>
      <c r="V502" s="424">
        <v>3075600</v>
      </c>
      <c r="W502" s="822">
        <v>1005</v>
      </c>
      <c r="X502" s="436" t="str">
        <f>IFERROR(VLOOKUP(W502,DATA!$G$4:$H$400,2,FALSE),"")</f>
        <v>Золжаргал</v>
      </c>
      <c r="Y502" s="328"/>
      <c r="Z502" s="328"/>
      <c r="AA502" s="328"/>
    </row>
    <row r="503" spans="1:27" ht="12.75" customHeight="1">
      <c r="A503" s="425"/>
      <c r="B503" s="368">
        <f t="shared" si="167"/>
        <v>498</v>
      </c>
      <c r="C503" s="425">
        <v>43454</v>
      </c>
      <c r="D503" s="830">
        <v>510001</v>
      </c>
      <c r="E503" s="876" t="str">
        <f t="shared" ca="1" si="168"/>
        <v>Цавуу 505</v>
      </c>
      <c r="F503" s="426" t="str">
        <f t="shared" ca="1" si="173"/>
        <v>кг</v>
      </c>
      <c r="G503" s="415">
        <f>0.5*30</f>
        <v>15</v>
      </c>
      <c r="H503" s="415">
        <v>9600</v>
      </c>
      <c r="I503" s="415">
        <f t="shared" si="177"/>
        <v>144000</v>
      </c>
      <c r="J503" s="415">
        <f t="shared" si="178"/>
        <v>14400</v>
      </c>
      <c r="K503" s="415">
        <f t="shared" si="179"/>
        <v>158400</v>
      </c>
      <c r="L503" s="415"/>
      <c r="M503" s="415"/>
      <c r="N503" s="422" t="str">
        <f t="shared" si="186"/>
        <v/>
      </c>
      <c r="O503" s="422" t="str">
        <f t="shared" si="163"/>
        <v/>
      </c>
      <c r="P503" s="422" t="str">
        <f t="shared" si="164"/>
        <v/>
      </c>
      <c r="Q503" s="422" t="str">
        <f t="shared" si="165"/>
        <v/>
      </c>
      <c r="R503" s="422" t="str">
        <f t="shared" si="166"/>
        <v/>
      </c>
      <c r="S503" s="583">
        <f t="shared" si="183"/>
        <v>140100</v>
      </c>
      <c r="T503" s="377" t="str">
        <f>+IFERROR(VLOOKUP(S503,STAT1!$C$4:$D$189,2,FALSE),"")</f>
        <v>Түүхий эд материал</v>
      </c>
      <c r="U503" s="424">
        <v>144000</v>
      </c>
      <c r="V503" s="424"/>
      <c r="W503" s="822">
        <v>1005</v>
      </c>
      <c r="X503" s="436" t="str">
        <f>IFERROR(VLOOKUP(W503,DATA!$G$4:$H$400,2,FALSE),"")</f>
        <v>Золжаргал</v>
      </c>
      <c r="Y503" s="328"/>
      <c r="Z503" s="328"/>
      <c r="AA503" s="328"/>
    </row>
    <row r="504" spans="1:27" ht="12.75" customHeight="1">
      <c r="A504" s="425"/>
      <c r="B504" s="368">
        <f t="shared" si="167"/>
        <v>499</v>
      </c>
      <c r="C504" s="425">
        <v>43454</v>
      </c>
      <c r="D504" s="830"/>
      <c r="E504" s="876" t="str">
        <f t="shared" ca="1" si="168"/>
        <v/>
      </c>
      <c r="F504" s="426" t="str">
        <f t="shared" ca="1" si="173"/>
        <v/>
      </c>
      <c r="G504" s="415"/>
      <c r="H504" s="415"/>
      <c r="I504" s="415" t="str">
        <f t="shared" si="177"/>
        <v/>
      </c>
      <c r="J504" s="415" t="str">
        <f t="shared" si="178"/>
        <v/>
      </c>
      <c r="K504" s="415" t="str">
        <f t="shared" si="179"/>
        <v/>
      </c>
      <c r="L504" s="415"/>
      <c r="M504" s="415"/>
      <c r="N504" s="422" t="str">
        <f t="shared" si="186"/>
        <v/>
      </c>
      <c r="O504" s="422" t="str">
        <f t="shared" ref="O504:O550" si="187">+IF(L504="","",N504*0.1)</f>
        <v/>
      </c>
      <c r="P504" s="422" t="str">
        <f t="shared" ref="P504:P550" si="188">+IF(L504="","",N504+O504)</f>
        <v/>
      </c>
      <c r="Q504" s="422" t="str">
        <f t="shared" ref="Q504:Q550" si="189">IF(L504="","",IFERROR((SUMIFS(TN_balC1_totol,TN_code,D504)+SUMIFS(RC_or_totol,RC_Code,D504,RC_date,"&lt;="&amp;C504)-SUMIFS(RC_zar_totol,RC_Code,D504,RC_date,"&lt;"&amp;C504)) /( SUMIFS(TN_balC1_unit,TN_code,D504)+SUMIFS(RC_or_unit,RC_Code,D504,RC_date,"&lt;="&amp;C504)-SUMIFS(RC_zar_unit,RC_Code,D504,RC_date,"&lt;"&amp;C504)),0 ))</f>
        <v/>
      </c>
      <c r="R504" s="422" t="str">
        <f t="shared" ref="R504:R550" si="190">+IF(L504="","",L504*Q504)</f>
        <v/>
      </c>
      <c r="S504" s="583">
        <v>120600</v>
      </c>
      <c r="T504" s="377" t="str">
        <f>+IFERROR(VLOOKUP(S504,STAT1!$C$4:$D$189,2,FALSE),"")</f>
        <v>НӨАТ авлага</v>
      </c>
      <c r="U504" s="424">
        <v>14400</v>
      </c>
      <c r="V504" s="424"/>
      <c r="W504" s="822">
        <v>1005</v>
      </c>
      <c r="X504" s="436" t="str">
        <f>IFERROR(VLOOKUP(W504,DATA!$G$4:$H$400,2,FALSE),"")</f>
        <v>Золжаргал</v>
      </c>
      <c r="Y504" s="328"/>
      <c r="Z504" s="328"/>
      <c r="AA504" s="328"/>
    </row>
    <row r="505" spans="1:27" ht="12.75" customHeight="1">
      <c r="A505" s="425"/>
      <c r="B505" s="368">
        <f t="shared" si="167"/>
        <v>500</v>
      </c>
      <c r="C505" s="425">
        <v>43454</v>
      </c>
      <c r="D505" s="830"/>
      <c r="E505" s="876" t="str">
        <f t="shared" ca="1" si="168"/>
        <v/>
      </c>
      <c r="F505" s="426" t="str">
        <f t="shared" ca="1" si="173"/>
        <v/>
      </c>
      <c r="G505" s="415"/>
      <c r="H505" s="415"/>
      <c r="I505" s="415" t="str">
        <f t="shared" si="177"/>
        <v/>
      </c>
      <c r="J505" s="415" t="str">
        <f t="shared" si="178"/>
        <v/>
      </c>
      <c r="K505" s="415" t="str">
        <f t="shared" si="179"/>
        <v/>
      </c>
      <c r="L505" s="415"/>
      <c r="M505" s="415"/>
      <c r="N505" s="422" t="str">
        <f t="shared" si="186"/>
        <v/>
      </c>
      <c r="O505" s="422" t="str">
        <f t="shared" si="187"/>
        <v/>
      </c>
      <c r="P505" s="422" t="str">
        <f t="shared" si="188"/>
        <v/>
      </c>
      <c r="Q505" s="422" t="str">
        <f t="shared" si="189"/>
        <v/>
      </c>
      <c r="R505" s="422" t="str">
        <f t="shared" si="190"/>
        <v/>
      </c>
      <c r="S505" s="583">
        <v>121200</v>
      </c>
      <c r="T505" s="377" t="str">
        <f>+IFERROR(VLOOKUP(S505,STAT1!$C$4:$D$189,2,FALSE),"")</f>
        <v xml:space="preserve">Ажилчидын дараа тайлангийн тооцоо </v>
      </c>
      <c r="U505" s="424"/>
      <c r="V505" s="424">
        <v>158400</v>
      </c>
      <c r="W505" s="822">
        <v>1005</v>
      </c>
      <c r="X505" s="436" t="str">
        <f>IFERROR(VLOOKUP(W505,DATA!$G$4:$H$400,2,FALSE),"")</f>
        <v>Золжаргал</v>
      </c>
      <c r="Y505" s="328"/>
      <c r="Z505" s="328"/>
      <c r="AA505" s="328"/>
    </row>
    <row r="506" spans="1:27" ht="12.75" customHeight="1">
      <c r="A506" s="425"/>
      <c r="B506" s="368">
        <f t="shared" si="167"/>
        <v>501</v>
      </c>
      <c r="C506" s="425">
        <v>43390</v>
      </c>
      <c r="D506" s="830">
        <v>131018</v>
      </c>
      <c r="E506" s="876" t="str">
        <f t="shared" ca="1" si="168"/>
        <v xml:space="preserve">Нарсан банз /5см/ Буян Од </v>
      </c>
      <c r="F506" s="426" t="str">
        <f t="shared" ca="1" si="173"/>
        <v>м3</v>
      </c>
      <c r="G506" s="415">
        <v>70</v>
      </c>
      <c r="H506" s="415">
        <v>272727.27269999997</v>
      </c>
      <c r="I506" s="415">
        <f t="shared" si="177"/>
        <v>19090909.088999998</v>
      </c>
      <c r="J506" s="415">
        <f t="shared" si="178"/>
        <v>1909090.9088999999</v>
      </c>
      <c r="K506" s="415">
        <f t="shared" si="179"/>
        <v>20999999.997899998</v>
      </c>
      <c r="L506" s="415"/>
      <c r="M506" s="415"/>
      <c r="N506" s="422" t="str">
        <f t="shared" si="186"/>
        <v/>
      </c>
      <c r="O506" s="422" t="str">
        <f t="shared" si="187"/>
        <v/>
      </c>
      <c r="P506" s="422" t="str">
        <f t="shared" si="188"/>
        <v/>
      </c>
      <c r="Q506" s="422" t="str">
        <f t="shared" si="189"/>
        <v/>
      </c>
      <c r="R506" s="422" t="str">
        <f t="shared" si="190"/>
        <v/>
      </c>
      <c r="S506" s="583">
        <f t="shared" si="183"/>
        <v>140100</v>
      </c>
      <c r="T506" s="377" t="str">
        <f>+IFERROR(VLOOKUP(S506,STAT1!$C$4:$D$189,2,FALSE),"")</f>
        <v>Түүхий эд материал</v>
      </c>
      <c r="U506" s="415">
        <f>+I506</f>
        <v>19090909.088999998</v>
      </c>
      <c r="V506" s="415"/>
      <c r="W506" s="822">
        <v>3139</v>
      </c>
      <c r="X506" s="436" t="str">
        <f>IFERROR(VLOOKUP(W506,DATA!$G$4:$H$400,2,FALSE),"")</f>
        <v xml:space="preserve">БУЯН ОД ХХК </v>
      </c>
      <c r="Y506" s="328"/>
      <c r="Z506" s="328"/>
      <c r="AA506" s="328"/>
    </row>
    <row r="507" spans="1:27" ht="12.75" customHeight="1">
      <c r="A507" s="425"/>
      <c r="B507" s="368">
        <f t="shared" si="167"/>
        <v>502</v>
      </c>
      <c r="C507" s="425">
        <v>43390</v>
      </c>
      <c r="D507" s="830"/>
      <c r="E507" s="876" t="str">
        <f t="shared" ca="1" si="168"/>
        <v/>
      </c>
      <c r="F507" s="426" t="str">
        <f t="shared" ca="1" si="173"/>
        <v/>
      </c>
      <c r="G507" s="415"/>
      <c r="H507" s="415"/>
      <c r="I507" s="415" t="str">
        <f t="shared" si="177"/>
        <v/>
      </c>
      <c r="J507" s="415" t="str">
        <f t="shared" si="178"/>
        <v/>
      </c>
      <c r="K507" s="415" t="str">
        <f t="shared" si="179"/>
        <v/>
      </c>
      <c r="L507" s="415"/>
      <c r="M507" s="415"/>
      <c r="N507" s="422" t="str">
        <f t="shared" si="186"/>
        <v/>
      </c>
      <c r="O507" s="422" t="str">
        <f t="shared" si="187"/>
        <v/>
      </c>
      <c r="P507" s="422" t="str">
        <f t="shared" si="188"/>
        <v/>
      </c>
      <c r="Q507" s="422" t="str">
        <f t="shared" si="189"/>
        <v/>
      </c>
      <c r="R507" s="422" t="str">
        <f t="shared" si="190"/>
        <v/>
      </c>
      <c r="S507" s="583">
        <v>120600</v>
      </c>
      <c r="T507" s="377" t="str">
        <f>+IFERROR(VLOOKUP(S507,STAT1!$C$4:$D$189,2,FALSE),"")</f>
        <v>НӨАТ авлага</v>
      </c>
      <c r="U507" s="424">
        <f>+J506</f>
        <v>1909090.9088999999</v>
      </c>
      <c r="V507" s="424"/>
      <c r="W507" s="822">
        <v>3139</v>
      </c>
      <c r="X507" s="436" t="str">
        <f>IFERROR(VLOOKUP(W507,DATA!$G$4:$H$400,2,FALSE),"")</f>
        <v xml:space="preserve">БУЯН ОД ХХК </v>
      </c>
      <c r="Y507" s="328"/>
      <c r="Z507" s="328"/>
      <c r="AA507" s="328"/>
    </row>
    <row r="508" spans="1:27" ht="12.75" customHeight="1">
      <c r="A508" s="425"/>
      <c r="B508" s="368">
        <f t="shared" si="167"/>
        <v>503</v>
      </c>
      <c r="C508" s="425">
        <v>43384</v>
      </c>
      <c r="D508" s="830"/>
      <c r="E508" s="876" t="str">
        <f t="shared" ca="1" si="168"/>
        <v/>
      </c>
      <c r="F508" s="426" t="str">
        <f t="shared" ca="1" si="173"/>
        <v/>
      </c>
      <c r="G508" s="415"/>
      <c r="H508" s="415"/>
      <c r="I508" s="415" t="str">
        <f t="shared" si="177"/>
        <v/>
      </c>
      <c r="J508" s="415" t="str">
        <f t="shared" si="178"/>
        <v/>
      </c>
      <c r="K508" s="415" t="str">
        <f t="shared" si="179"/>
        <v/>
      </c>
      <c r="L508" s="415"/>
      <c r="M508" s="415"/>
      <c r="N508" s="422" t="str">
        <f t="shared" si="186"/>
        <v/>
      </c>
      <c r="O508" s="422" t="str">
        <f t="shared" si="187"/>
        <v/>
      </c>
      <c r="P508" s="422" t="str">
        <f t="shared" si="188"/>
        <v/>
      </c>
      <c r="Q508" s="422" t="str">
        <f t="shared" si="189"/>
        <v/>
      </c>
      <c r="R508" s="422" t="str">
        <f t="shared" si="190"/>
        <v/>
      </c>
      <c r="S508" s="583">
        <v>120100</v>
      </c>
      <c r="T508" s="377" t="str">
        <f>+IFERROR(VLOOKUP(S508,STAT1!$C$4:$D$189,2,FALSE),"")</f>
        <v xml:space="preserve">Дансны авлага MNT </v>
      </c>
      <c r="U508" s="424"/>
      <c r="V508" s="424">
        <f>+K506</f>
        <v>20999999.997899998</v>
      </c>
      <c r="W508" s="822">
        <v>3139</v>
      </c>
      <c r="X508" s="436" t="str">
        <f>IFERROR(VLOOKUP(W508,DATA!$G$4:$H$400,2,FALSE),"")</f>
        <v xml:space="preserve">БУЯН ОД ХХК </v>
      </c>
      <c r="Y508" s="328"/>
      <c r="Z508" s="328"/>
      <c r="AA508" s="328"/>
    </row>
    <row r="509" spans="1:27" ht="12.75" customHeight="1">
      <c r="A509" s="425"/>
      <c r="B509" s="368">
        <f t="shared" si="167"/>
        <v>504</v>
      </c>
      <c r="C509" s="425">
        <v>43384</v>
      </c>
      <c r="D509" s="830">
        <v>131018</v>
      </c>
      <c r="E509" s="876" t="str">
        <f t="shared" ca="1" si="168"/>
        <v xml:space="preserve">Нарсан банз /5см/ Буян Од </v>
      </c>
      <c r="F509" s="426" t="str">
        <f t="shared" ca="1" si="173"/>
        <v>м3</v>
      </c>
      <c r="G509" s="415">
        <v>35</v>
      </c>
      <c r="H509" s="415">
        <v>272727.27269999997</v>
      </c>
      <c r="I509" s="415">
        <f t="shared" si="177"/>
        <v>9545454.5444999989</v>
      </c>
      <c r="J509" s="415">
        <f t="shared" si="178"/>
        <v>954545.45444999996</v>
      </c>
      <c r="K509" s="415">
        <f t="shared" si="179"/>
        <v>10499999.998949999</v>
      </c>
      <c r="L509" s="415"/>
      <c r="M509" s="415"/>
      <c r="N509" s="422" t="str">
        <f t="shared" si="186"/>
        <v/>
      </c>
      <c r="O509" s="422" t="str">
        <f t="shared" si="187"/>
        <v/>
      </c>
      <c r="P509" s="422" t="str">
        <f t="shared" si="188"/>
        <v/>
      </c>
      <c r="Q509" s="422" t="str">
        <f t="shared" si="189"/>
        <v/>
      </c>
      <c r="R509" s="422" t="str">
        <f t="shared" si="190"/>
        <v/>
      </c>
      <c r="S509" s="583">
        <f t="shared" si="183"/>
        <v>140100</v>
      </c>
      <c r="T509" s="377" t="str">
        <f>+IFERROR(VLOOKUP(S509,STAT1!$C$4:$D$189,2,FALSE),"")</f>
        <v>Түүхий эд материал</v>
      </c>
      <c r="U509" s="415">
        <f>+I509</f>
        <v>9545454.5444999989</v>
      </c>
      <c r="V509" s="415"/>
      <c r="W509" s="822">
        <v>3139</v>
      </c>
      <c r="X509" s="436" t="str">
        <f>IFERROR(VLOOKUP(W509,DATA!$G$4:$H$400,2,FALSE),"")</f>
        <v xml:space="preserve">БУЯН ОД ХХК </v>
      </c>
      <c r="Y509" s="328"/>
      <c r="Z509" s="328"/>
      <c r="AA509" s="328"/>
    </row>
    <row r="510" spans="1:27" ht="12.75" customHeight="1">
      <c r="A510" s="425"/>
      <c r="B510" s="368">
        <f t="shared" si="167"/>
        <v>505</v>
      </c>
      <c r="C510" s="425">
        <v>43384</v>
      </c>
      <c r="D510" s="830"/>
      <c r="E510" s="876" t="str">
        <f t="shared" ca="1" si="168"/>
        <v/>
      </c>
      <c r="F510" s="426" t="str">
        <f t="shared" ca="1" si="173"/>
        <v/>
      </c>
      <c r="G510" s="415"/>
      <c r="H510" s="415"/>
      <c r="I510" s="415" t="str">
        <f t="shared" si="177"/>
        <v/>
      </c>
      <c r="J510" s="415" t="str">
        <f t="shared" si="178"/>
        <v/>
      </c>
      <c r="K510" s="415" t="str">
        <f t="shared" si="179"/>
        <v/>
      </c>
      <c r="L510" s="415"/>
      <c r="M510" s="415"/>
      <c r="N510" s="422" t="str">
        <f t="shared" si="186"/>
        <v/>
      </c>
      <c r="O510" s="422" t="str">
        <f t="shared" si="187"/>
        <v/>
      </c>
      <c r="P510" s="422" t="str">
        <f t="shared" si="188"/>
        <v/>
      </c>
      <c r="Q510" s="422" t="str">
        <f t="shared" si="189"/>
        <v/>
      </c>
      <c r="R510" s="422" t="str">
        <f t="shared" si="190"/>
        <v/>
      </c>
      <c r="S510" s="583">
        <v>120600</v>
      </c>
      <c r="T510" s="377" t="str">
        <f>+IFERROR(VLOOKUP(S510,STAT1!$C$4:$D$189,2,FALSE),"")</f>
        <v>НӨАТ авлага</v>
      </c>
      <c r="U510" s="424">
        <f>+J509</f>
        <v>954545.45444999996</v>
      </c>
      <c r="V510" s="424"/>
      <c r="W510" s="822">
        <v>3139</v>
      </c>
      <c r="X510" s="436" t="str">
        <f>IFERROR(VLOOKUP(W510,DATA!$G$4:$H$400,2,FALSE),"")</f>
        <v xml:space="preserve">БУЯН ОД ХХК </v>
      </c>
      <c r="Y510" s="328"/>
      <c r="Z510" s="328"/>
      <c r="AA510" s="328"/>
    </row>
    <row r="511" spans="1:27" ht="12.75" customHeight="1">
      <c r="A511" s="425"/>
      <c r="B511" s="368">
        <f t="shared" si="167"/>
        <v>506</v>
      </c>
      <c r="C511" s="425">
        <v>43384</v>
      </c>
      <c r="D511" s="830"/>
      <c r="E511" s="876" t="str">
        <f t="shared" ca="1" si="168"/>
        <v/>
      </c>
      <c r="F511" s="426" t="str">
        <f t="shared" ca="1" si="173"/>
        <v/>
      </c>
      <c r="G511" s="415"/>
      <c r="H511" s="415"/>
      <c r="I511" s="415" t="str">
        <f t="shared" si="177"/>
        <v/>
      </c>
      <c r="J511" s="415" t="str">
        <f t="shared" si="178"/>
        <v/>
      </c>
      <c r="K511" s="415" t="str">
        <f t="shared" si="179"/>
        <v/>
      </c>
      <c r="L511" s="415"/>
      <c r="M511" s="415"/>
      <c r="N511" s="422" t="str">
        <f t="shared" si="186"/>
        <v/>
      </c>
      <c r="O511" s="422" t="str">
        <f t="shared" si="187"/>
        <v/>
      </c>
      <c r="P511" s="422" t="str">
        <f t="shared" si="188"/>
        <v/>
      </c>
      <c r="Q511" s="422" t="str">
        <f t="shared" si="189"/>
        <v/>
      </c>
      <c r="R511" s="422" t="str">
        <f t="shared" si="190"/>
        <v/>
      </c>
      <c r="S511" s="583">
        <v>120100</v>
      </c>
      <c r="T511" s="377" t="str">
        <f>+IFERROR(VLOOKUP(S511,STAT1!$C$4:$D$189,2,FALSE),"")</f>
        <v xml:space="preserve">Дансны авлага MNT </v>
      </c>
      <c r="U511" s="424"/>
      <c r="V511" s="424">
        <f>+K509</f>
        <v>10499999.998949999</v>
      </c>
      <c r="W511" s="822">
        <v>3139</v>
      </c>
      <c r="X511" s="436" t="str">
        <f>IFERROR(VLOOKUP(W511,DATA!$G$4:$H$400,2,FALSE),"")</f>
        <v xml:space="preserve">БУЯН ОД ХХК </v>
      </c>
      <c r="Y511" s="328"/>
      <c r="Z511" s="328"/>
      <c r="AA511" s="328"/>
    </row>
    <row r="512" spans="1:27" ht="12.75" customHeight="1">
      <c r="A512" s="425"/>
      <c r="B512" s="368">
        <f t="shared" si="167"/>
        <v>507</v>
      </c>
      <c r="C512" s="425">
        <v>43449</v>
      </c>
      <c r="D512" s="830">
        <v>131018</v>
      </c>
      <c r="E512" s="876" t="str">
        <f t="shared" ca="1" si="168"/>
        <v xml:space="preserve">Нарсан банз /5см/ Буян Од </v>
      </c>
      <c r="F512" s="426" t="str">
        <f t="shared" ca="1" si="173"/>
        <v>м3</v>
      </c>
      <c r="G512" s="415">
        <v>70</v>
      </c>
      <c r="H512" s="415">
        <v>272727.27269999997</v>
      </c>
      <c r="I512" s="415">
        <f t="shared" si="177"/>
        <v>19090909.088999998</v>
      </c>
      <c r="J512" s="415">
        <f t="shared" si="178"/>
        <v>1909090.9088999999</v>
      </c>
      <c r="K512" s="415">
        <f t="shared" si="179"/>
        <v>20999999.997899998</v>
      </c>
      <c r="L512" s="415"/>
      <c r="M512" s="415"/>
      <c r="N512" s="422" t="str">
        <f t="shared" si="186"/>
        <v/>
      </c>
      <c r="O512" s="422" t="str">
        <f t="shared" si="187"/>
        <v/>
      </c>
      <c r="P512" s="422" t="str">
        <f t="shared" si="188"/>
        <v/>
      </c>
      <c r="Q512" s="422" t="str">
        <f t="shared" si="189"/>
        <v/>
      </c>
      <c r="R512" s="422" t="str">
        <f t="shared" si="190"/>
        <v/>
      </c>
      <c r="S512" s="583">
        <f t="shared" si="183"/>
        <v>140100</v>
      </c>
      <c r="T512" s="377" t="str">
        <f>+IFERROR(VLOOKUP(S512,STAT1!$C$4:$D$189,2,FALSE),"")</f>
        <v>Түүхий эд материал</v>
      </c>
      <c r="U512" s="415">
        <f>+I512</f>
        <v>19090909.088999998</v>
      </c>
      <c r="V512" s="415"/>
      <c r="W512" s="822">
        <v>3139</v>
      </c>
      <c r="X512" s="436" t="str">
        <f>IFERROR(VLOOKUP(W512,DATA!$G$4:$H$400,2,FALSE),"")</f>
        <v xml:space="preserve">БУЯН ОД ХХК </v>
      </c>
      <c r="Y512" s="328"/>
      <c r="Z512" s="328"/>
      <c r="AA512" s="328"/>
    </row>
    <row r="513" spans="1:27" ht="12.75" customHeight="1">
      <c r="A513" s="425"/>
      <c r="B513" s="368">
        <f t="shared" ref="B513" si="191">+IF(C513="","",ROW()-5)</f>
        <v>508</v>
      </c>
      <c r="C513" s="425">
        <v>43449</v>
      </c>
      <c r="D513" s="830"/>
      <c r="E513" s="876"/>
      <c r="F513" s="426"/>
      <c r="G513" s="415"/>
      <c r="H513" s="415"/>
      <c r="I513" s="415"/>
      <c r="J513" s="415"/>
      <c r="K513" s="415"/>
      <c r="L513" s="415"/>
      <c r="M513" s="415"/>
      <c r="N513" s="422"/>
      <c r="O513" s="422"/>
      <c r="P513" s="422"/>
      <c r="Q513" s="422"/>
      <c r="R513" s="422"/>
      <c r="S513" s="583">
        <v>120600</v>
      </c>
      <c r="T513" s="377" t="str">
        <f>+IFERROR(VLOOKUP(S513,STAT1!$C$4:$D$189,2,FALSE),"")</f>
        <v>НӨАТ авлага</v>
      </c>
      <c r="U513" s="424">
        <f>+J512</f>
        <v>1909090.9088999999</v>
      </c>
      <c r="V513" s="424"/>
      <c r="W513" s="822">
        <v>3139</v>
      </c>
      <c r="X513" s="436" t="str">
        <f>IFERROR(VLOOKUP(W513,DATA!$G$4:$H$400,2,FALSE),"")</f>
        <v xml:space="preserve">БУЯН ОД ХХК </v>
      </c>
      <c r="Y513" s="328"/>
      <c r="Z513" s="328"/>
      <c r="AA513" s="328"/>
    </row>
    <row r="514" spans="1:27" ht="12.75" customHeight="1">
      <c r="A514" s="425"/>
      <c r="B514" s="368">
        <f t="shared" si="167"/>
        <v>509</v>
      </c>
      <c r="C514" s="425">
        <v>43449</v>
      </c>
      <c r="D514" s="830"/>
      <c r="E514" s="876" t="str">
        <f t="shared" ca="1" si="168"/>
        <v/>
      </c>
      <c r="F514" s="426" t="str">
        <f t="shared" ca="1" si="173"/>
        <v/>
      </c>
      <c r="G514" s="415"/>
      <c r="H514" s="415"/>
      <c r="I514" s="415" t="str">
        <f t="shared" si="177"/>
        <v/>
      </c>
      <c r="J514" s="415" t="str">
        <f t="shared" si="178"/>
        <v/>
      </c>
      <c r="K514" s="415" t="str">
        <f t="shared" si="179"/>
        <v/>
      </c>
      <c r="L514" s="415"/>
      <c r="M514" s="415"/>
      <c r="N514" s="422" t="str">
        <f t="shared" si="186"/>
        <v/>
      </c>
      <c r="O514" s="422" t="str">
        <f t="shared" si="187"/>
        <v/>
      </c>
      <c r="P514" s="422" t="str">
        <f t="shared" si="188"/>
        <v/>
      </c>
      <c r="Q514" s="422" t="str">
        <f t="shared" si="189"/>
        <v/>
      </c>
      <c r="R514" s="422" t="str">
        <f t="shared" si="190"/>
        <v/>
      </c>
      <c r="S514" s="583">
        <v>120100</v>
      </c>
      <c r="T514" s="377" t="str">
        <f>+IFERROR(VLOOKUP(S514,STAT1!$C$4:$D$189,2,FALSE),"")</f>
        <v xml:space="preserve">Дансны авлага MNT </v>
      </c>
      <c r="U514" s="424"/>
      <c r="V514" s="424">
        <f>+K512</f>
        <v>20999999.997899998</v>
      </c>
      <c r="W514" s="822">
        <v>3139</v>
      </c>
      <c r="X514" s="436" t="str">
        <f>IFERROR(VLOOKUP(W514,DATA!$G$4:$H$400,2,FALSE),"")</f>
        <v xml:space="preserve">БУЯН ОД ХХК </v>
      </c>
      <c r="Y514" s="328"/>
      <c r="Z514" s="328"/>
      <c r="AA514" s="328"/>
    </row>
    <row r="515" spans="1:27" ht="12.75" customHeight="1">
      <c r="A515" s="425"/>
      <c r="B515" s="368">
        <f t="shared" si="167"/>
        <v>510</v>
      </c>
      <c r="C515" s="425">
        <v>43393</v>
      </c>
      <c r="D515" s="830">
        <v>131018</v>
      </c>
      <c r="E515" s="876" t="str">
        <f t="shared" ca="1" si="168"/>
        <v xml:space="preserve">Нарсан банз /5см/ Буян Од </v>
      </c>
      <c r="F515" s="426" t="str">
        <f t="shared" ca="1" si="173"/>
        <v>м3</v>
      </c>
      <c r="G515" s="415">
        <v>30</v>
      </c>
      <c r="H515" s="415">
        <v>272727.27269999997</v>
      </c>
      <c r="I515" s="415">
        <f t="shared" si="177"/>
        <v>8181818.1809999989</v>
      </c>
      <c r="J515" s="415">
        <f t="shared" si="178"/>
        <v>818181.81809999992</v>
      </c>
      <c r="K515" s="415">
        <f t="shared" si="179"/>
        <v>8999999.9990999997</v>
      </c>
      <c r="L515" s="415"/>
      <c r="M515" s="415"/>
      <c r="N515" s="422" t="str">
        <f t="shared" si="186"/>
        <v/>
      </c>
      <c r="O515" s="422" t="str">
        <f t="shared" si="187"/>
        <v/>
      </c>
      <c r="P515" s="422" t="str">
        <f t="shared" si="188"/>
        <v/>
      </c>
      <c r="Q515" s="422" t="str">
        <f t="shared" si="189"/>
        <v/>
      </c>
      <c r="R515" s="422" t="str">
        <f t="shared" si="190"/>
        <v/>
      </c>
      <c r="S515" s="583">
        <f t="shared" si="183"/>
        <v>140100</v>
      </c>
      <c r="T515" s="377" t="str">
        <f>+IFERROR(VLOOKUP(S515,STAT1!$C$4:$D$189,2,FALSE),"")</f>
        <v>Түүхий эд материал</v>
      </c>
      <c r="U515" s="415">
        <f>+I515</f>
        <v>8181818.1809999989</v>
      </c>
      <c r="V515" s="415"/>
      <c r="W515" s="822">
        <v>3139</v>
      </c>
      <c r="X515" s="436" t="str">
        <f>IFERROR(VLOOKUP(W515,DATA!$G$4:$H$400,2,FALSE),"")</f>
        <v xml:space="preserve">БУЯН ОД ХХК </v>
      </c>
      <c r="Y515" s="328"/>
      <c r="Z515" s="328"/>
      <c r="AA515" s="328"/>
    </row>
    <row r="516" spans="1:27" ht="12.75" customHeight="1">
      <c r="A516" s="425"/>
      <c r="B516" s="368">
        <f t="shared" si="167"/>
        <v>511</v>
      </c>
      <c r="C516" s="425">
        <v>43393</v>
      </c>
      <c r="D516" s="830"/>
      <c r="E516" s="876" t="str">
        <f t="shared" ca="1" si="168"/>
        <v/>
      </c>
      <c r="F516" s="426" t="str">
        <f t="shared" ca="1" si="173"/>
        <v/>
      </c>
      <c r="G516" s="415"/>
      <c r="H516" s="415"/>
      <c r="I516" s="415" t="str">
        <f t="shared" si="177"/>
        <v/>
      </c>
      <c r="J516" s="415" t="str">
        <f t="shared" si="178"/>
        <v/>
      </c>
      <c r="K516" s="415" t="str">
        <f t="shared" si="179"/>
        <v/>
      </c>
      <c r="L516" s="415"/>
      <c r="M516" s="415"/>
      <c r="N516" s="422" t="str">
        <f t="shared" si="186"/>
        <v/>
      </c>
      <c r="O516" s="422" t="str">
        <f t="shared" si="187"/>
        <v/>
      </c>
      <c r="P516" s="422" t="str">
        <f t="shared" si="188"/>
        <v/>
      </c>
      <c r="Q516" s="422" t="str">
        <f t="shared" si="189"/>
        <v/>
      </c>
      <c r="R516" s="422" t="str">
        <f t="shared" si="190"/>
        <v/>
      </c>
      <c r="S516" s="583">
        <v>120600</v>
      </c>
      <c r="T516" s="377" t="str">
        <f>+IFERROR(VLOOKUP(S516,STAT1!$C$4:$D$189,2,FALSE),"")</f>
        <v>НӨАТ авлага</v>
      </c>
      <c r="U516" s="424">
        <f>+J515</f>
        <v>818181.81809999992</v>
      </c>
      <c r="V516" s="424"/>
      <c r="W516" s="822">
        <v>3139</v>
      </c>
      <c r="X516" s="436" t="str">
        <f>IFERROR(VLOOKUP(W516,DATA!$G$4:$H$400,2,FALSE),"")</f>
        <v xml:space="preserve">БУЯН ОД ХХК </v>
      </c>
      <c r="Y516" s="328"/>
      <c r="Z516" s="328"/>
      <c r="AA516" s="328"/>
    </row>
    <row r="517" spans="1:27" ht="12.75" customHeight="1">
      <c r="A517" s="425"/>
      <c r="B517" s="368">
        <f t="shared" si="167"/>
        <v>512</v>
      </c>
      <c r="C517" s="425">
        <v>43393</v>
      </c>
      <c r="D517" s="830"/>
      <c r="E517" s="876" t="str">
        <f t="shared" ca="1" si="168"/>
        <v/>
      </c>
      <c r="F517" s="426" t="str">
        <f t="shared" ca="1" si="173"/>
        <v/>
      </c>
      <c r="G517" s="415"/>
      <c r="H517" s="415"/>
      <c r="I517" s="415" t="str">
        <f t="shared" si="177"/>
        <v/>
      </c>
      <c r="J517" s="415" t="str">
        <f t="shared" si="178"/>
        <v/>
      </c>
      <c r="K517" s="415" t="str">
        <f t="shared" si="179"/>
        <v/>
      </c>
      <c r="L517" s="415"/>
      <c r="M517" s="415"/>
      <c r="N517" s="422" t="str">
        <f t="shared" si="186"/>
        <v/>
      </c>
      <c r="O517" s="422" t="str">
        <f t="shared" si="187"/>
        <v/>
      </c>
      <c r="P517" s="422" t="str">
        <f t="shared" si="188"/>
        <v/>
      </c>
      <c r="Q517" s="422" t="str">
        <f t="shared" si="189"/>
        <v/>
      </c>
      <c r="R517" s="422" t="str">
        <f t="shared" si="190"/>
        <v/>
      </c>
      <c r="S517" s="583">
        <v>120100</v>
      </c>
      <c r="T517" s="377" t="str">
        <f>+IFERROR(VLOOKUP(S517,STAT1!$C$4:$D$189,2,FALSE),"")</f>
        <v xml:space="preserve">Дансны авлага MNT </v>
      </c>
      <c r="U517" s="424"/>
      <c r="V517" s="424">
        <f>+K515</f>
        <v>8999999.9990999997</v>
      </c>
      <c r="W517" s="822">
        <v>3139</v>
      </c>
      <c r="X517" s="436" t="str">
        <f>IFERROR(VLOOKUP(W517,DATA!$G$4:$H$400,2,FALSE),"")</f>
        <v xml:space="preserve">БУЯН ОД ХХК </v>
      </c>
      <c r="Y517" s="328"/>
      <c r="Z517" s="328"/>
      <c r="AA517" s="328"/>
    </row>
    <row r="518" spans="1:27" ht="12.75" customHeight="1">
      <c r="A518" s="425"/>
      <c r="B518" s="368">
        <f t="shared" si="167"/>
        <v>513</v>
      </c>
      <c r="C518" s="425">
        <v>43374</v>
      </c>
      <c r="D518" s="830">
        <v>131018</v>
      </c>
      <c r="E518" s="876" t="str">
        <f t="shared" ca="1" si="168"/>
        <v xml:space="preserve">Нарсан банз /5см/ Буян Од </v>
      </c>
      <c r="F518" s="426" t="str">
        <f t="shared" ca="1" si="173"/>
        <v>м3</v>
      </c>
      <c r="G518" s="415">
        <v>35</v>
      </c>
      <c r="H518" s="415">
        <v>272727.27269999997</v>
      </c>
      <c r="I518" s="415">
        <f t="shared" si="177"/>
        <v>9545454.5444999989</v>
      </c>
      <c r="J518" s="415">
        <f t="shared" si="178"/>
        <v>954545.45444999996</v>
      </c>
      <c r="K518" s="415">
        <f t="shared" si="179"/>
        <v>10499999.998949999</v>
      </c>
      <c r="L518" s="415"/>
      <c r="M518" s="415"/>
      <c r="N518" s="422" t="str">
        <f t="shared" si="186"/>
        <v/>
      </c>
      <c r="O518" s="422" t="str">
        <f t="shared" si="187"/>
        <v/>
      </c>
      <c r="P518" s="422" t="str">
        <f t="shared" si="188"/>
        <v/>
      </c>
      <c r="Q518" s="422" t="str">
        <f t="shared" si="189"/>
        <v/>
      </c>
      <c r="R518" s="422" t="str">
        <f t="shared" si="190"/>
        <v/>
      </c>
      <c r="S518" s="583">
        <f t="shared" si="183"/>
        <v>140100</v>
      </c>
      <c r="T518" s="377" t="str">
        <f>+IFERROR(VLOOKUP(S518,STAT1!$C$4:$D$189,2,FALSE),"")</f>
        <v>Түүхий эд материал</v>
      </c>
      <c r="U518" s="415">
        <f>+I518</f>
        <v>9545454.5444999989</v>
      </c>
      <c r="V518" s="415"/>
      <c r="W518" s="822">
        <v>3139</v>
      </c>
      <c r="X518" s="436" t="str">
        <f>IFERROR(VLOOKUP(W518,DATA!$G$4:$H$400,2,FALSE),"")</f>
        <v xml:space="preserve">БУЯН ОД ХХК </v>
      </c>
      <c r="Y518" s="328"/>
      <c r="Z518" s="328"/>
      <c r="AA518" s="328"/>
    </row>
    <row r="519" spans="1:27" ht="12.75" customHeight="1">
      <c r="A519" s="425"/>
      <c r="B519" s="368">
        <f t="shared" si="167"/>
        <v>514</v>
      </c>
      <c r="C519" s="425">
        <v>43374</v>
      </c>
      <c r="D519" s="830"/>
      <c r="E519" s="876" t="str">
        <f t="shared" ref="E519" ca="1" si="192">+IFERROR(VLOOKUP(D519,TN_table,2,FALSE),"")</f>
        <v/>
      </c>
      <c r="F519" s="426" t="str">
        <f t="shared" ref="F519" ca="1" si="193">+IFERROR(VLOOKUP(D519,TN_table,3,FALSE),"")</f>
        <v/>
      </c>
      <c r="G519" s="415"/>
      <c r="H519" s="415"/>
      <c r="I519" s="415" t="str">
        <f t="shared" si="177"/>
        <v/>
      </c>
      <c r="J519" s="415" t="str">
        <f t="shared" si="178"/>
        <v/>
      </c>
      <c r="K519" s="415" t="str">
        <f t="shared" si="179"/>
        <v/>
      </c>
      <c r="L519" s="415"/>
      <c r="M519" s="415"/>
      <c r="N519" s="422" t="str">
        <f t="shared" si="186"/>
        <v/>
      </c>
      <c r="O519" s="422" t="str">
        <f t="shared" si="187"/>
        <v/>
      </c>
      <c r="P519" s="422" t="str">
        <f t="shared" si="188"/>
        <v/>
      </c>
      <c r="Q519" s="422" t="str">
        <f t="shared" si="189"/>
        <v/>
      </c>
      <c r="R519" s="422" t="str">
        <f t="shared" si="190"/>
        <v/>
      </c>
      <c r="S519" s="583">
        <v>120600</v>
      </c>
      <c r="T519" s="377" t="str">
        <f>+IFERROR(VLOOKUP(S519,STAT1!$C$4:$D$189,2,FALSE),"")</f>
        <v>НӨАТ авлага</v>
      </c>
      <c r="U519" s="424">
        <f>+J518</f>
        <v>954545.45444999996</v>
      </c>
      <c r="V519" s="424"/>
      <c r="W519" s="822">
        <v>3139</v>
      </c>
      <c r="X519" s="436" t="str">
        <f>IFERROR(VLOOKUP(W519,DATA!$G$4:$H$400,2,FALSE),"")</f>
        <v xml:space="preserve">БУЯН ОД ХХК </v>
      </c>
      <c r="Y519" s="328"/>
      <c r="Z519" s="328"/>
      <c r="AA519" s="328"/>
    </row>
    <row r="520" spans="1:27" ht="12.75" customHeight="1">
      <c r="A520" s="425"/>
      <c r="B520" s="368">
        <f t="shared" si="167"/>
        <v>515</v>
      </c>
      <c r="C520" s="425">
        <v>43374</v>
      </c>
      <c r="D520" s="830"/>
      <c r="E520" s="876" t="str">
        <f t="shared" ca="1" si="168"/>
        <v/>
      </c>
      <c r="F520" s="426" t="str">
        <f t="shared" ca="1" si="173"/>
        <v/>
      </c>
      <c r="G520" s="415"/>
      <c r="H520" s="415"/>
      <c r="I520" s="415" t="str">
        <f t="shared" si="177"/>
        <v/>
      </c>
      <c r="J520" s="415" t="str">
        <f t="shared" si="178"/>
        <v/>
      </c>
      <c r="K520" s="415" t="str">
        <f t="shared" si="179"/>
        <v/>
      </c>
      <c r="L520" s="415"/>
      <c r="M520" s="415"/>
      <c r="N520" s="422" t="str">
        <f t="shared" si="186"/>
        <v/>
      </c>
      <c r="O520" s="422" t="str">
        <f t="shared" si="187"/>
        <v/>
      </c>
      <c r="P520" s="422" t="str">
        <f t="shared" si="188"/>
        <v/>
      </c>
      <c r="Q520" s="422" t="str">
        <f t="shared" si="189"/>
        <v/>
      </c>
      <c r="R520" s="422" t="str">
        <f t="shared" si="190"/>
        <v/>
      </c>
      <c r="S520" s="583">
        <v>120100</v>
      </c>
      <c r="T520" s="377" t="str">
        <f>+IFERROR(VLOOKUP(S520,STAT1!$C$4:$D$189,2,FALSE),"")</f>
        <v xml:space="preserve">Дансны авлага MNT </v>
      </c>
      <c r="U520" s="424"/>
      <c r="V520" s="424">
        <f>+K518</f>
        <v>10499999.998949999</v>
      </c>
      <c r="W520" s="822">
        <v>3139</v>
      </c>
      <c r="X520" s="436" t="str">
        <f>IFERROR(VLOOKUP(W520,DATA!$G$4:$H$400,2,FALSE),"")</f>
        <v xml:space="preserve">БУЯН ОД ХХК </v>
      </c>
      <c r="Y520" s="328"/>
      <c r="Z520" s="328"/>
      <c r="AA520" s="328"/>
    </row>
    <row r="521" spans="1:27" ht="12.75" customHeight="1">
      <c r="A521" s="425"/>
      <c r="B521" s="368">
        <f t="shared" ref="B521:B584" si="194">+IF(C521="","",ROW()-5)</f>
        <v>516</v>
      </c>
      <c r="C521" s="425">
        <v>43434</v>
      </c>
      <c r="D521" s="830">
        <v>131018</v>
      </c>
      <c r="E521" s="876" t="str">
        <f t="shared" ref="E521:E584" ca="1" si="195">+IFERROR(VLOOKUP(D521,TN_table,2,FALSE),"")</f>
        <v xml:space="preserve">Нарсан банз /5см/ Буян Од </v>
      </c>
      <c r="F521" s="426" t="str">
        <f t="shared" ca="1" si="173"/>
        <v>м3</v>
      </c>
      <c r="G521" s="415"/>
      <c r="H521" s="415"/>
      <c r="I521" s="415" t="str">
        <f t="shared" si="177"/>
        <v/>
      </c>
      <c r="J521" s="415" t="str">
        <f t="shared" si="178"/>
        <v/>
      </c>
      <c r="K521" s="415" t="str">
        <f t="shared" si="179"/>
        <v/>
      </c>
      <c r="L521" s="415">
        <v>110</v>
      </c>
      <c r="M521" s="415"/>
      <c r="N521" s="422">
        <f t="shared" si="186"/>
        <v>0</v>
      </c>
      <c r="O521" s="422">
        <f t="shared" si="187"/>
        <v>0</v>
      </c>
      <c r="P521" s="422">
        <f t="shared" si="188"/>
        <v>0</v>
      </c>
      <c r="Q521" s="422">
        <f t="shared" ca="1" si="189"/>
        <v>272727.27270000009</v>
      </c>
      <c r="R521" s="422">
        <f t="shared" ca="1" si="190"/>
        <v>29999999.997000009</v>
      </c>
      <c r="S521" s="583">
        <f t="shared" si="183"/>
        <v>140100</v>
      </c>
      <c r="T521" s="377" t="str">
        <f>+IFERROR(VLOOKUP(S521,STAT1!$C$4:$D$189,2,FALSE),"")</f>
        <v>Түүхий эд материал</v>
      </c>
      <c r="U521" s="424"/>
      <c r="V521" s="424">
        <v>30000000</v>
      </c>
      <c r="W521" s="822">
        <v>1005</v>
      </c>
      <c r="X521" s="436" t="str">
        <f>IFERROR(VLOOKUP(W521,DATA!$G$4:$H$400,2,FALSE),"")</f>
        <v>Золжаргал</v>
      </c>
      <c r="Y521" s="328"/>
      <c r="Z521" s="328"/>
      <c r="AA521" s="328"/>
    </row>
    <row r="522" spans="1:27" ht="12.75" customHeight="1">
      <c r="A522" s="425"/>
      <c r="B522" s="368">
        <f t="shared" si="194"/>
        <v>517</v>
      </c>
      <c r="C522" s="425">
        <v>43434</v>
      </c>
      <c r="D522" s="830"/>
      <c r="E522" s="876" t="str">
        <f t="shared" ca="1" si="195"/>
        <v/>
      </c>
      <c r="F522" s="426" t="str">
        <f t="shared" ca="1" si="173"/>
        <v/>
      </c>
      <c r="G522" s="415"/>
      <c r="H522" s="415"/>
      <c r="I522" s="415" t="str">
        <f t="shared" si="177"/>
        <v/>
      </c>
      <c r="J522" s="415" t="str">
        <f t="shared" si="178"/>
        <v/>
      </c>
      <c r="K522" s="415" t="str">
        <f t="shared" si="179"/>
        <v/>
      </c>
      <c r="L522" s="415"/>
      <c r="M522" s="415"/>
      <c r="N522" s="422" t="str">
        <f t="shared" si="186"/>
        <v/>
      </c>
      <c r="O522" s="422" t="str">
        <f t="shared" si="187"/>
        <v/>
      </c>
      <c r="P522" s="422" t="str">
        <f t="shared" si="188"/>
        <v/>
      </c>
      <c r="Q522" s="422" t="str">
        <f t="shared" si="189"/>
        <v/>
      </c>
      <c r="R522" s="422" t="str">
        <f t="shared" si="190"/>
        <v/>
      </c>
      <c r="S522" s="583">
        <v>140200</v>
      </c>
      <c r="T522" s="377" t="str">
        <f>+IFERROR(VLOOKUP(S522,STAT1!$C$4:$D$189,2,FALSE),"")</f>
        <v>ШМЗардал ХАТААХ ЦЕХ /нарс/</v>
      </c>
      <c r="U522" s="424">
        <v>30000000</v>
      </c>
      <c r="V522" s="424"/>
      <c r="W522" s="822">
        <v>1005</v>
      </c>
      <c r="X522" s="436" t="str">
        <f>IFERROR(VLOOKUP(W522,DATA!$G$4:$H$400,2,FALSE),"")</f>
        <v>Золжаргал</v>
      </c>
      <c r="Y522" s="328"/>
      <c r="Z522" s="328"/>
      <c r="AA522" s="328"/>
    </row>
    <row r="523" spans="1:27" ht="12.75" customHeight="1">
      <c r="A523" s="425"/>
      <c r="B523" s="368">
        <f t="shared" si="194"/>
        <v>518</v>
      </c>
      <c r="C523" s="425">
        <v>43449</v>
      </c>
      <c r="D523" s="830">
        <v>310001</v>
      </c>
      <c r="E523" s="876" t="str">
        <f t="shared" ca="1" si="195"/>
        <v xml:space="preserve">Хатаасан нарсан банз </v>
      </c>
      <c r="F523" s="426" t="str">
        <f t="shared" ca="1" si="173"/>
        <v>м3</v>
      </c>
      <c r="G523" s="415">
        <v>110</v>
      </c>
      <c r="H523" s="415">
        <f>(30000000+4909000)/110</f>
        <v>317354.54545454547</v>
      </c>
      <c r="I523" s="415">
        <f t="shared" si="177"/>
        <v>34909000</v>
      </c>
      <c r="J523" s="415"/>
      <c r="K523" s="415">
        <f t="shared" si="179"/>
        <v>34909000</v>
      </c>
      <c r="L523" s="415"/>
      <c r="M523" s="415"/>
      <c r="N523" s="422" t="str">
        <f t="shared" si="186"/>
        <v/>
      </c>
      <c r="O523" s="422" t="str">
        <f t="shared" si="187"/>
        <v/>
      </c>
      <c r="P523" s="422" t="str">
        <f t="shared" si="188"/>
        <v/>
      </c>
      <c r="Q523" s="422" t="str">
        <f t="shared" si="189"/>
        <v/>
      </c>
      <c r="R523" s="422" t="str">
        <f t="shared" si="190"/>
        <v/>
      </c>
      <c r="S523" s="583">
        <f t="shared" si="183"/>
        <v>150100</v>
      </c>
      <c r="T523" s="377" t="str">
        <f>+IFERROR(VLOOKUP(S523,STAT1!$C$4:$D$189,2,FALSE),"")</f>
        <v>Бараа бэлэн бүтээгдэхүүн ХАТААХ ЦЕХ /нарс/</v>
      </c>
      <c r="U523" s="415">
        <v>34909000</v>
      </c>
      <c r="V523" s="415"/>
      <c r="W523" s="822">
        <v>1005</v>
      </c>
      <c r="X523" s="436" t="str">
        <f>IFERROR(VLOOKUP(W523,DATA!$G$4:$H$400,2,FALSE),"")</f>
        <v>Золжаргал</v>
      </c>
      <c r="Y523" s="328"/>
      <c r="Z523" s="328"/>
      <c r="AA523" s="328"/>
    </row>
    <row r="524" spans="1:27" ht="12.75" customHeight="1">
      <c r="A524" s="425"/>
      <c r="B524" s="368">
        <f t="shared" si="194"/>
        <v>519</v>
      </c>
      <c r="C524" s="425">
        <v>43449</v>
      </c>
      <c r="D524" s="830"/>
      <c r="E524" s="876" t="str">
        <f t="shared" ca="1" si="195"/>
        <v/>
      </c>
      <c r="F524" s="426" t="str">
        <f t="shared" ca="1" si="173"/>
        <v/>
      </c>
      <c r="G524" s="415"/>
      <c r="H524" s="415"/>
      <c r="I524" s="415" t="str">
        <f t="shared" si="177"/>
        <v/>
      </c>
      <c r="J524" s="415" t="str">
        <f t="shared" si="178"/>
        <v/>
      </c>
      <c r="K524" s="415" t="str">
        <f t="shared" si="179"/>
        <v/>
      </c>
      <c r="L524" s="415"/>
      <c r="M524" s="415"/>
      <c r="N524" s="422" t="str">
        <f t="shared" si="186"/>
        <v/>
      </c>
      <c r="O524" s="422" t="str">
        <f t="shared" si="187"/>
        <v/>
      </c>
      <c r="P524" s="422" t="str">
        <f t="shared" si="188"/>
        <v/>
      </c>
      <c r="Q524" s="422" t="str">
        <f t="shared" si="189"/>
        <v/>
      </c>
      <c r="R524" s="422" t="str">
        <f t="shared" si="190"/>
        <v/>
      </c>
      <c r="S524" s="583">
        <v>140500</v>
      </c>
      <c r="T524" s="377" t="str">
        <f>+IFERROR(VLOOKUP(S524,STAT1!$C$4:$D$189,2,FALSE),"")</f>
        <v>Нэгтгэл зардал ХАТААХ ЦЕХ /нарс/</v>
      </c>
      <c r="U524" s="424"/>
      <c r="V524" s="415">
        <v>34909000</v>
      </c>
      <c r="W524" s="822">
        <v>1005</v>
      </c>
      <c r="X524" s="436" t="str">
        <f>IFERROR(VLOOKUP(W524,DATA!$G$4:$H$400,2,FALSE),"")</f>
        <v>Золжаргал</v>
      </c>
      <c r="Y524" s="328"/>
      <c r="Z524" s="328"/>
      <c r="AA524" s="328"/>
    </row>
    <row r="525" spans="1:27" ht="12.75" customHeight="1">
      <c r="A525" s="425"/>
      <c r="B525" s="368">
        <f t="shared" si="194"/>
        <v>520</v>
      </c>
      <c r="C525" s="425">
        <v>43465</v>
      </c>
      <c r="D525" s="830">
        <v>410083</v>
      </c>
      <c r="E525" s="876" t="str">
        <f t="shared" ca="1" si="195"/>
        <v xml:space="preserve">ОСП хавтан </v>
      </c>
      <c r="F525" s="426" t="str">
        <f t="shared" ca="1" si="173"/>
        <v>ш</v>
      </c>
      <c r="G525" s="415"/>
      <c r="H525" s="415"/>
      <c r="I525" s="415" t="str">
        <f t="shared" si="177"/>
        <v/>
      </c>
      <c r="J525" s="415" t="str">
        <f t="shared" si="178"/>
        <v/>
      </c>
      <c r="K525" s="415" t="str">
        <f t="shared" si="179"/>
        <v/>
      </c>
      <c r="L525" s="415">
        <v>31</v>
      </c>
      <c r="M525" s="415"/>
      <c r="N525" s="422">
        <f t="shared" si="186"/>
        <v>0</v>
      </c>
      <c r="O525" s="422">
        <f t="shared" si="187"/>
        <v>0</v>
      </c>
      <c r="P525" s="422">
        <f t="shared" si="188"/>
        <v>0</v>
      </c>
      <c r="Q525" s="422">
        <f t="shared" ca="1" si="189"/>
        <v>123954.55</v>
      </c>
      <c r="R525" s="422">
        <f t="shared" ca="1" si="190"/>
        <v>3842591.0500000003</v>
      </c>
      <c r="S525" s="583">
        <f t="shared" si="183"/>
        <v>160100</v>
      </c>
      <c r="T525" s="377" t="str">
        <f>+IFERROR(VLOOKUP(S525,STAT1!$C$4:$D$189,2,FALSE),"")</f>
        <v xml:space="preserve">Барилгын материал </v>
      </c>
      <c r="U525" s="424"/>
      <c r="V525" s="424">
        <f ca="1">+R525</f>
        <v>3842591.0500000003</v>
      </c>
      <c r="W525" s="822">
        <v>3001</v>
      </c>
      <c r="X525" s="436" t="str">
        <f>IFERROR(VLOOKUP(W525,DATA!$G$4:$H$400,2,FALSE),"")</f>
        <v>ХУРД ГРУПП ХХК</v>
      </c>
      <c r="Y525" s="328"/>
      <c r="Z525" s="328"/>
      <c r="AA525" s="328"/>
    </row>
    <row r="526" spans="1:27" ht="12.75" customHeight="1">
      <c r="A526" s="425"/>
      <c r="B526" s="368">
        <f t="shared" si="194"/>
        <v>521</v>
      </c>
      <c r="C526" s="425">
        <v>43465</v>
      </c>
      <c r="D526" s="830">
        <v>410085</v>
      </c>
      <c r="E526" s="876" t="str">
        <f t="shared" ca="1" si="195"/>
        <v xml:space="preserve">НЦ-лак </v>
      </c>
      <c r="F526" s="426" t="str">
        <f t="shared" ca="1" si="173"/>
        <v>кг</v>
      </c>
      <c r="G526" s="415"/>
      <c r="H526" s="415"/>
      <c r="I526" s="415" t="str">
        <f t="shared" si="177"/>
        <v/>
      </c>
      <c r="J526" s="415" t="str">
        <f t="shared" si="178"/>
        <v/>
      </c>
      <c r="K526" s="415" t="str">
        <f t="shared" si="179"/>
        <v/>
      </c>
      <c r="L526" s="415">
        <v>90</v>
      </c>
      <c r="M526" s="415"/>
      <c r="N526" s="422">
        <f t="shared" si="186"/>
        <v>0</v>
      </c>
      <c r="O526" s="422">
        <f t="shared" si="187"/>
        <v>0</v>
      </c>
      <c r="P526" s="422">
        <f t="shared" si="188"/>
        <v>0</v>
      </c>
      <c r="Q526" s="422">
        <f t="shared" ca="1" si="189"/>
        <v>8222.2221999999965</v>
      </c>
      <c r="R526" s="422">
        <f t="shared" ca="1" si="190"/>
        <v>739999.99799999967</v>
      </c>
      <c r="S526" s="583">
        <f t="shared" si="183"/>
        <v>160100</v>
      </c>
      <c r="T526" s="377" t="str">
        <f>+IFERROR(VLOOKUP(S526,STAT1!$C$4:$D$189,2,FALSE),"")</f>
        <v xml:space="preserve">Барилгын материал </v>
      </c>
      <c r="U526" s="424"/>
      <c r="V526" s="424">
        <f t="shared" ref="V526:V531" ca="1" si="196">+R526</f>
        <v>739999.99799999967</v>
      </c>
      <c r="W526" s="822">
        <v>3001</v>
      </c>
      <c r="X526" s="436" t="str">
        <f>IFERROR(VLOOKUP(W526,DATA!$G$4:$H$400,2,FALSE),"")</f>
        <v>ХУРД ГРУПП ХХК</v>
      </c>
      <c r="Y526" s="328"/>
      <c r="Z526" s="328"/>
      <c r="AA526" s="328"/>
    </row>
    <row r="527" spans="1:27" ht="12.75" customHeight="1">
      <c r="A527" s="425"/>
      <c r="B527" s="368">
        <f t="shared" si="194"/>
        <v>522</v>
      </c>
      <c r="C527" s="425">
        <v>43465</v>
      </c>
      <c r="D527" s="830">
        <v>410349</v>
      </c>
      <c r="E527" s="876" t="str">
        <f t="shared" ca="1" si="195"/>
        <v xml:space="preserve">Элс </v>
      </c>
      <c r="F527" s="426" t="str">
        <f t="shared" ca="1" si="173"/>
        <v>м3</v>
      </c>
      <c r="G527" s="415"/>
      <c r="H527" s="415"/>
      <c r="I527" s="415" t="str">
        <f t="shared" si="177"/>
        <v/>
      </c>
      <c r="J527" s="415" t="str">
        <f t="shared" si="178"/>
        <v/>
      </c>
      <c r="K527" s="415" t="str">
        <f t="shared" si="179"/>
        <v/>
      </c>
      <c r="L527" s="415">
        <v>8</v>
      </c>
      <c r="M527" s="415"/>
      <c r="N527" s="422">
        <f t="shared" si="186"/>
        <v>0</v>
      </c>
      <c r="O527" s="422">
        <f t="shared" si="187"/>
        <v>0</v>
      </c>
      <c r="P527" s="422">
        <f t="shared" si="188"/>
        <v>0</v>
      </c>
      <c r="Q527" s="422">
        <f t="shared" ca="1" si="189"/>
        <v>28000</v>
      </c>
      <c r="R527" s="422">
        <f t="shared" ca="1" si="190"/>
        <v>224000</v>
      </c>
      <c r="S527" s="583">
        <f t="shared" si="183"/>
        <v>160100</v>
      </c>
      <c r="T527" s="377" t="str">
        <f>+IFERROR(VLOOKUP(S527,STAT1!$C$4:$D$189,2,FALSE),"")</f>
        <v xml:space="preserve">Барилгын материал </v>
      </c>
      <c r="U527" s="424"/>
      <c r="V527" s="424">
        <f t="shared" ca="1" si="196"/>
        <v>224000</v>
      </c>
      <c r="W527" s="822">
        <v>3001</v>
      </c>
      <c r="X527" s="436" t="str">
        <f>IFERROR(VLOOKUP(W527,DATA!$G$4:$H$400,2,FALSE),"")</f>
        <v>ХУРД ГРУПП ХХК</v>
      </c>
      <c r="Y527" s="328"/>
      <c r="Z527" s="328"/>
      <c r="AA527" s="328"/>
    </row>
    <row r="528" spans="1:27" ht="12.75" customHeight="1">
      <c r="A528" s="425"/>
      <c r="B528" s="368">
        <f t="shared" si="194"/>
        <v>523</v>
      </c>
      <c r="C528" s="425">
        <v>43465</v>
      </c>
      <c r="D528" s="830">
        <v>410369</v>
      </c>
      <c r="E528" s="876" t="str">
        <f t="shared" ca="1" si="195"/>
        <v>Ажлын хувцас</v>
      </c>
      <c r="F528" s="426" t="str">
        <f t="shared" ca="1" si="173"/>
        <v>ш</v>
      </c>
      <c r="G528" s="415"/>
      <c r="H528" s="415"/>
      <c r="I528" s="415" t="str">
        <f t="shared" si="177"/>
        <v/>
      </c>
      <c r="J528" s="415" t="str">
        <f t="shared" si="178"/>
        <v/>
      </c>
      <c r="K528" s="415" t="str">
        <f t="shared" si="179"/>
        <v/>
      </c>
      <c r="L528" s="415">
        <v>8</v>
      </c>
      <c r="M528" s="415"/>
      <c r="N528" s="422">
        <f t="shared" si="186"/>
        <v>0</v>
      </c>
      <c r="O528" s="422">
        <f t="shared" si="187"/>
        <v>0</v>
      </c>
      <c r="P528" s="422">
        <f t="shared" si="188"/>
        <v>0</v>
      </c>
      <c r="Q528" s="422">
        <f t="shared" ca="1" si="189"/>
        <v>93636.36363819096</v>
      </c>
      <c r="R528" s="422">
        <f t="shared" ca="1" si="190"/>
        <v>749090.90910552768</v>
      </c>
      <c r="S528" s="583">
        <f t="shared" si="183"/>
        <v>160100</v>
      </c>
      <c r="T528" s="377" t="str">
        <f>+IFERROR(VLOOKUP(S528,STAT1!$C$4:$D$189,2,FALSE),"")</f>
        <v xml:space="preserve">Барилгын материал </v>
      </c>
      <c r="U528" s="415"/>
      <c r="V528" s="424">
        <f t="shared" ca="1" si="196"/>
        <v>749090.90910552768</v>
      </c>
      <c r="W528" s="822">
        <v>3001</v>
      </c>
      <c r="X528" s="436" t="str">
        <f>IFERROR(VLOOKUP(W528,DATA!$G$4:$H$400,2,FALSE),"")</f>
        <v>ХУРД ГРУПП ХХК</v>
      </c>
      <c r="Y528" s="328"/>
      <c r="Z528" s="328"/>
      <c r="AA528" s="328"/>
    </row>
    <row r="529" spans="1:27" ht="12.75" customHeight="1">
      <c r="A529" s="425"/>
      <c r="B529" s="368">
        <f t="shared" si="194"/>
        <v>524</v>
      </c>
      <c r="C529" s="425">
        <v>43465</v>
      </c>
      <c r="D529" s="830">
        <v>410006</v>
      </c>
      <c r="E529" s="876" t="str">
        <f t="shared" ca="1" si="195"/>
        <v>Модны замаска</v>
      </c>
      <c r="F529" s="426" t="str">
        <f t="shared" ref="F529:F592" ca="1" si="197">+IFERROR(VLOOKUP(D529,TN_table,3,FALSE),"")</f>
        <v>ш</v>
      </c>
      <c r="G529" s="415"/>
      <c r="H529" s="415"/>
      <c r="I529" s="415" t="str">
        <f t="shared" si="177"/>
        <v/>
      </c>
      <c r="J529" s="415" t="str">
        <f t="shared" si="178"/>
        <v/>
      </c>
      <c r="K529" s="415" t="str">
        <f t="shared" si="179"/>
        <v/>
      </c>
      <c r="L529" s="415">
        <v>58</v>
      </c>
      <c r="M529" s="415"/>
      <c r="N529" s="422">
        <f t="shared" si="186"/>
        <v>0</v>
      </c>
      <c r="O529" s="422">
        <f t="shared" si="187"/>
        <v>0</v>
      </c>
      <c r="P529" s="422">
        <f t="shared" si="188"/>
        <v>0</v>
      </c>
      <c r="Q529" s="422">
        <f t="shared" ca="1" si="189"/>
        <v>3971.8390804597702</v>
      </c>
      <c r="R529" s="422">
        <f t="shared" ca="1" si="190"/>
        <v>230366.66666666669</v>
      </c>
      <c r="S529" s="583">
        <f t="shared" si="183"/>
        <v>160100</v>
      </c>
      <c r="T529" s="377" t="str">
        <f>+IFERROR(VLOOKUP(S529,STAT1!$C$4:$D$189,2,FALSE),"")</f>
        <v xml:space="preserve">Барилгын материал </v>
      </c>
      <c r="U529" s="424"/>
      <c r="V529" s="424">
        <f t="shared" ca="1" si="196"/>
        <v>230366.66666666669</v>
      </c>
      <c r="W529" s="822">
        <v>3001</v>
      </c>
      <c r="X529" s="436" t="str">
        <f>IFERROR(VLOOKUP(W529,DATA!$G$4:$H$400,2,FALSE),"")</f>
        <v>ХУРД ГРУПП ХХК</v>
      </c>
      <c r="Y529" s="328"/>
      <c r="Z529" s="328"/>
      <c r="AA529" s="328"/>
    </row>
    <row r="530" spans="1:27" ht="12.75" customHeight="1">
      <c r="A530" s="425"/>
      <c r="B530" s="368">
        <f t="shared" si="194"/>
        <v>525</v>
      </c>
      <c r="C530" s="425">
        <v>43465</v>
      </c>
      <c r="D530" s="830">
        <v>410002</v>
      </c>
      <c r="E530" s="876" t="str">
        <f t="shared" ca="1" si="195"/>
        <v xml:space="preserve">Морилка </v>
      </c>
      <c r="F530" s="426" t="str">
        <f t="shared" ca="1" si="197"/>
        <v xml:space="preserve">ш </v>
      </c>
      <c r="G530" s="415"/>
      <c r="H530" s="415"/>
      <c r="I530" s="415" t="str">
        <f t="shared" si="177"/>
        <v/>
      </c>
      <c r="J530" s="415" t="str">
        <f t="shared" si="178"/>
        <v/>
      </c>
      <c r="K530" s="415" t="str">
        <f t="shared" si="179"/>
        <v/>
      </c>
      <c r="L530" s="415">
        <v>12</v>
      </c>
      <c r="M530" s="415"/>
      <c r="N530" s="422">
        <f t="shared" si="186"/>
        <v>0</v>
      </c>
      <c r="O530" s="422">
        <f t="shared" si="187"/>
        <v>0</v>
      </c>
      <c r="P530" s="422">
        <f t="shared" si="188"/>
        <v>0</v>
      </c>
      <c r="Q530" s="422">
        <f t="shared" ca="1" si="189"/>
        <v>4000</v>
      </c>
      <c r="R530" s="422">
        <f t="shared" ca="1" si="190"/>
        <v>48000</v>
      </c>
      <c r="S530" s="583">
        <f t="shared" si="183"/>
        <v>160100</v>
      </c>
      <c r="T530" s="377" t="str">
        <f>+IFERROR(VLOOKUP(S530,STAT1!$C$4:$D$189,2,FALSE),"")</f>
        <v xml:space="preserve">Барилгын материал </v>
      </c>
      <c r="U530" s="424"/>
      <c r="V530" s="424">
        <f t="shared" ca="1" si="196"/>
        <v>48000</v>
      </c>
      <c r="W530" s="822">
        <v>3001</v>
      </c>
      <c r="X530" s="436" t="str">
        <f>IFERROR(VLOOKUP(W530,DATA!$G$4:$H$400,2,FALSE),"")</f>
        <v>ХУРД ГРУПП ХХК</v>
      </c>
      <c r="Y530" s="328"/>
      <c r="Z530" s="328"/>
      <c r="AA530" s="328"/>
    </row>
    <row r="531" spans="1:27" ht="12.75" customHeight="1">
      <c r="A531" s="425"/>
      <c r="B531" s="368">
        <f t="shared" si="194"/>
        <v>526</v>
      </c>
      <c r="C531" s="425">
        <v>43465</v>
      </c>
      <c r="D531" s="830">
        <v>410054</v>
      </c>
      <c r="E531" s="876" t="str">
        <f t="shared" ca="1" si="195"/>
        <v xml:space="preserve">Будаг шингэлэгч </v>
      </c>
      <c r="F531" s="426" t="str">
        <f t="shared" ca="1" si="197"/>
        <v>ш</v>
      </c>
      <c r="G531" s="415"/>
      <c r="H531" s="415"/>
      <c r="I531" s="415" t="str">
        <f t="shared" si="177"/>
        <v/>
      </c>
      <c r="J531" s="415" t="str">
        <f t="shared" si="178"/>
        <v/>
      </c>
      <c r="K531" s="415" t="str">
        <f t="shared" si="179"/>
        <v/>
      </c>
      <c r="L531" s="415">
        <v>60</v>
      </c>
      <c r="M531" s="415"/>
      <c r="N531" s="422">
        <f t="shared" si="186"/>
        <v>0</v>
      </c>
      <c r="O531" s="422">
        <f t="shared" si="187"/>
        <v>0</v>
      </c>
      <c r="P531" s="422">
        <f t="shared" si="188"/>
        <v>0</v>
      </c>
      <c r="Q531" s="422">
        <f t="shared" ca="1" si="189"/>
        <v>2099.9999999999845</v>
      </c>
      <c r="R531" s="422">
        <f t="shared" ca="1" si="190"/>
        <v>125999.99999999907</v>
      </c>
      <c r="S531" s="583">
        <f t="shared" si="183"/>
        <v>160100</v>
      </c>
      <c r="T531" s="377" t="str">
        <f>+IFERROR(VLOOKUP(S531,STAT1!$C$4:$D$189,2,FALSE),"")</f>
        <v xml:space="preserve">Барилгын материал </v>
      </c>
      <c r="U531" s="424"/>
      <c r="V531" s="424">
        <f t="shared" ca="1" si="196"/>
        <v>125999.99999999907</v>
      </c>
      <c r="W531" s="822">
        <v>3001</v>
      </c>
      <c r="X531" s="436" t="str">
        <f>IFERROR(VLOOKUP(W531,DATA!$G$4:$H$400,2,FALSE),"")</f>
        <v>ХУРД ГРУПП ХХК</v>
      </c>
      <c r="Y531" s="328"/>
      <c r="Z531" s="328"/>
      <c r="AA531" s="328"/>
    </row>
    <row r="532" spans="1:27" ht="12.75" customHeight="1">
      <c r="A532" s="425"/>
      <c r="B532" s="368">
        <f t="shared" si="194"/>
        <v>527</v>
      </c>
      <c r="C532" s="425">
        <v>43465</v>
      </c>
      <c r="D532" s="830"/>
      <c r="E532" s="876" t="str">
        <f t="shared" ca="1" si="195"/>
        <v/>
      </c>
      <c r="F532" s="426" t="str">
        <f t="shared" ca="1" si="197"/>
        <v/>
      </c>
      <c r="G532" s="415"/>
      <c r="H532" s="415"/>
      <c r="I532" s="415" t="str">
        <f t="shared" si="177"/>
        <v/>
      </c>
      <c r="J532" s="415" t="str">
        <f t="shared" si="178"/>
        <v/>
      </c>
      <c r="K532" s="415" t="str">
        <f t="shared" si="179"/>
        <v/>
      </c>
      <c r="L532" s="415"/>
      <c r="M532" s="415"/>
      <c r="N532" s="422" t="str">
        <f t="shared" si="186"/>
        <v/>
      </c>
      <c r="O532" s="422" t="str">
        <f t="shared" si="187"/>
        <v/>
      </c>
      <c r="P532" s="422" t="str">
        <f t="shared" si="188"/>
        <v/>
      </c>
      <c r="Q532" s="422" t="str">
        <f t="shared" si="189"/>
        <v/>
      </c>
      <c r="R532" s="422" t="str">
        <f t="shared" si="190"/>
        <v/>
      </c>
      <c r="S532" s="583">
        <v>200700</v>
      </c>
      <c r="T532" s="377" t="str">
        <f>+IFERROR(VLOOKUP(S532,STAT1!$C$4:$D$189,2,FALSE),"")</f>
        <v xml:space="preserve">Дуусаагүй барилга-1 </v>
      </c>
      <c r="U532" s="424">
        <f ca="1">+SUM(V525:V531)</f>
        <v>5960048.6237721946</v>
      </c>
      <c r="V532" s="424"/>
      <c r="W532" s="822">
        <v>3001</v>
      </c>
      <c r="X532" s="436" t="str">
        <f>IFERROR(VLOOKUP(W532,DATA!$G$4:$H$400,2,FALSE),"")</f>
        <v>ХУРД ГРУПП ХХК</v>
      </c>
      <c r="Y532" s="328"/>
      <c r="Z532" s="328"/>
      <c r="AA532" s="328"/>
    </row>
    <row r="533" spans="1:27" ht="12.75" customHeight="1">
      <c r="A533" s="425"/>
      <c r="B533" s="368">
        <f t="shared" si="194"/>
        <v>528</v>
      </c>
      <c r="C533" s="425">
        <v>43364</v>
      </c>
      <c r="D533" s="830">
        <v>310001</v>
      </c>
      <c r="E533" s="876" t="str">
        <f t="shared" ca="1" si="195"/>
        <v xml:space="preserve">Хатаасан нарсан банз </v>
      </c>
      <c r="F533" s="426" t="str">
        <f t="shared" ca="1" si="197"/>
        <v>м3</v>
      </c>
      <c r="G533" s="415"/>
      <c r="H533" s="415"/>
      <c r="I533" s="415" t="str">
        <f t="shared" si="177"/>
        <v/>
      </c>
      <c r="J533" s="415" t="str">
        <f t="shared" si="178"/>
        <v/>
      </c>
      <c r="K533" s="415" t="str">
        <f t="shared" si="179"/>
        <v/>
      </c>
      <c r="L533" s="415">
        <v>18</v>
      </c>
      <c r="M533" s="415"/>
      <c r="N533" s="422">
        <f t="shared" si="186"/>
        <v>0</v>
      </c>
      <c r="O533" s="422">
        <f t="shared" si="187"/>
        <v>0</v>
      </c>
      <c r="P533" s="422">
        <f t="shared" si="188"/>
        <v>0</v>
      </c>
      <c r="Q533" s="422">
        <f t="shared" ca="1" si="189"/>
        <v>362664.58752092032</v>
      </c>
      <c r="R533" s="422">
        <f t="shared" ca="1" si="190"/>
        <v>6527962.5753765656</v>
      </c>
      <c r="S533" s="583">
        <f t="shared" si="183"/>
        <v>150100</v>
      </c>
      <c r="T533" s="377" t="str">
        <f>+IFERROR(VLOOKUP(S533,STAT1!$C$4:$D$189,2,FALSE),"")</f>
        <v>Бараа бэлэн бүтээгдэхүүн ХАТААХ ЦЕХ /нарс/</v>
      </c>
      <c r="U533" s="424"/>
      <c r="V533" s="424">
        <v>6527962.5800000001</v>
      </c>
      <c r="W533" s="822">
        <v>1005</v>
      </c>
      <c r="X533" s="436" t="str">
        <f>IFERROR(VLOOKUP(W533,DATA!$G$4:$H$400,2,FALSE),"")</f>
        <v>Золжаргал</v>
      </c>
      <c r="Y533" s="328"/>
      <c r="Z533" s="328"/>
      <c r="AA533" s="328"/>
    </row>
    <row r="534" spans="1:27" ht="12.75" customHeight="1">
      <c r="A534" s="425"/>
      <c r="B534" s="368">
        <f t="shared" si="194"/>
        <v>529</v>
      </c>
      <c r="C534" s="425">
        <v>43364</v>
      </c>
      <c r="D534" s="830"/>
      <c r="E534" s="876" t="str">
        <f t="shared" ca="1" si="195"/>
        <v/>
      </c>
      <c r="F534" s="426" t="str">
        <f t="shared" ca="1" si="197"/>
        <v/>
      </c>
      <c r="G534" s="415"/>
      <c r="H534" s="415"/>
      <c r="I534" s="415" t="str">
        <f t="shared" si="177"/>
        <v/>
      </c>
      <c r="J534" s="415" t="str">
        <f t="shared" si="178"/>
        <v/>
      </c>
      <c r="K534" s="415" t="str">
        <f t="shared" si="179"/>
        <v/>
      </c>
      <c r="L534" s="415"/>
      <c r="M534" s="415"/>
      <c r="N534" s="422" t="str">
        <f t="shared" si="186"/>
        <v/>
      </c>
      <c r="O534" s="422" t="str">
        <f t="shared" si="187"/>
        <v/>
      </c>
      <c r="P534" s="422" t="str">
        <f t="shared" si="188"/>
        <v/>
      </c>
      <c r="Q534" s="422" t="str">
        <f t="shared" si="189"/>
        <v/>
      </c>
      <c r="R534" s="422" t="str">
        <f t="shared" si="190"/>
        <v/>
      </c>
      <c r="S534" s="583">
        <v>140201</v>
      </c>
      <c r="T534" s="377" t="str">
        <f>+IFERROR(VLOOKUP(S534,STAT1!$C$4:$D$189,2,FALSE),"")</f>
        <v>ШМЗардал БОЛОВСРУУЛАХ ЦЕХ /нарс/</v>
      </c>
      <c r="U534" s="424">
        <v>6527962.5800000001</v>
      </c>
      <c r="V534" s="424"/>
      <c r="W534" s="822">
        <v>1005</v>
      </c>
      <c r="X534" s="436" t="str">
        <f>IFERROR(VLOOKUP(W534,DATA!$G$4:$H$400,2,FALSE),"")</f>
        <v>Золжаргал</v>
      </c>
      <c r="Y534" s="328"/>
      <c r="Z534" s="328"/>
      <c r="AA534" s="328"/>
    </row>
    <row r="535" spans="1:27" ht="12.75" customHeight="1">
      <c r="A535" s="425"/>
      <c r="B535" s="368">
        <f t="shared" si="194"/>
        <v>530</v>
      </c>
      <c r="C535" s="425">
        <v>43364</v>
      </c>
      <c r="D535" s="830">
        <v>210004</v>
      </c>
      <c r="E535" s="876" t="str">
        <f t="shared" ca="1" si="195"/>
        <v xml:space="preserve">Каркасны мод </v>
      </c>
      <c r="F535" s="426">
        <f t="shared" ca="1" si="197"/>
        <v>0</v>
      </c>
      <c r="G535" s="415">
        <v>18</v>
      </c>
      <c r="H535" s="415">
        <f>6527962.58/18</f>
        <v>362664.58777777781</v>
      </c>
      <c r="I535" s="415">
        <f t="shared" si="177"/>
        <v>6527962.5800000001</v>
      </c>
      <c r="J535" s="415"/>
      <c r="K535" s="415">
        <f t="shared" si="179"/>
        <v>6527962.5800000001</v>
      </c>
      <c r="L535" s="415"/>
      <c r="M535" s="415"/>
      <c r="N535" s="422" t="str">
        <f t="shared" si="186"/>
        <v/>
      </c>
      <c r="O535" s="422" t="str">
        <f t="shared" si="187"/>
        <v/>
      </c>
      <c r="P535" s="422" t="str">
        <f t="shared" si="188"/>
        <v/>
      </c>
      <c r="Q535" s="422" t="str">
        <f t="shared" si="189"/>
        <v/>
      </c>
      <c r="R535" s="422" t="str">
        <f t="shared" si="190"/>
        <v/>
      </c>
      <c r="S535" s="583">
        <f t="shared" si="183"/>
        <v>150101</v>
      </c>
      <c r="T535" s="377" t="str">
        <f>+IFERROR(VLOOKUP(S535,STAT1!$C$4:$D$189,2,FALSE),"")</f>
        <v>Бараа бэлэн бүтээгдэхүүн БОЛОВСРУУЛАХ ЦЕХ /нарс/</v>
      </c>
      <c r="U535" s="424">
        <v>6527962.5800000001</v>
      </c>
      <c r="V535" s="415"/>
      <c r="W535" s="822">
        <v>1005</v>
      </c>
      <c r="X535" s="436" t="str">
        <f>IFERROR(VLOOKUP(W535,DATA!$G$4:$H$400,2,FALSE),"")</f>
        <v>Золжаргал</v>
      </c>
      <c r="Y535" s="328"/>
      <c r="Z535" s="328"/>
      <c r="AA535" s="328"/>
    </row>
    <row r="536" spans="1:27" ht="12.75" customHeight="1">
      <c r="A536" s="425"/>
      <c r="B536" s="368">
        <f t="shared" si="194"/>
        <v>531</v>
      </c>
      <c r="C536" s="425">
        <v>43364</v>
      </c>
      <c r="D536" s="830"/>
      <c r="E536" s="876" t="str">
        <f t="shared" ca="1" si="195"/>
        <v/>
      </c>
      <c r="F536" s="426" t="str">
        <f t="shared" ca="1" si="197"/>
        <v/>
      </c>
      <c r="G536" s="415"/>
      <c r="H536" s="415"/>
      <c r="I536" s="415" t="str">
        <f t="shared" si="177"/>
        <v/>
      </c>
      <c r="J536" s="415" t="str">
        <f t="shared" si="178"/>
        <v/>
      </c>
      <c r="K536" s="415" t="str">
        <f t="shared" si="179"/>
        <v/>
      </c>
      <c r="L536" s="415"/>
      <c r="M536" s="415"/>
      <c r="N536" s="422" t="str">
        <f t="shared" si="186"/>
        <v/>
      </c>
      <c r="O536" s="422" t="str">
        <f t="shared" si="187"/>
        <v/>
      </c>
      <c r="P536" s="422" t="str">
        <f t="shared" si="188"/>
        <v/>
      </c>
      <c r="Q536" s="422" t="str">
        <f t="shared" si="189"/>
        <v/>
      </c>
      <c r="R536" s="422" t="str">
        <f t="shared" si="190"/>
        <v/>
      </c>
      <c r="S536" s="583">
        <v>140201</v>
      </c>
      <c r="T536" s="377" t="str">
        <f>+IFERROR(VLOOKUP(S536,STAT1!$C$4:$D$189,2,FALSE),"")</f>
        <v>ШМЗардал БОЛОВСРУУЛАХ ЦЕХ /нарс/</v>
      </c>
      <c r="U536" s="424"/>
      <c r="V536" s="424">
        <v>6527962.5800000001</v>
      </c>
      <c r="W536" s="822">
        <v>1005</v>
      </c>
      <c r="X536" s="436" t="str">
        <f>IFERROR(VLOOKUP(W536,DATA!$G$4:$H$400,2,FALSE),"")</f>
        <v>Золжаргал</v>
      </c>
      <c r="Y536" s="328"/>
      <c r="Z536" s="328"/>
      <c r="AA536" s="328"/>
    </row>
    <row r="537" spans="1:27" ht="12.75" customHeight="1">
      <c r="A537" s="425"/>
      <c r="B537" s="368">
        <f t="shared" si="194"/>
        <v>532</v>
      </c>
      <c r="C537" s="425">
        <v>43405</v>
      </c>
      <c r="D537" s="830">
        <v>310001</v>
      </c>
      <c r="E537" s="876" t="str">
        <f t="shared" ca="1" si="195"/>
        <v xml:space="preserve">Хатаасан нарсан банз </v>
      </c>
      <c r="F537" s="426" t="str">
        <f t="shared" ca="1" si="197"/>
        <v>м3</v>
      </c>
      <c r="G537" s="415"/>
      <c r="H537" s="415"/>
      <c r="I537" s="415" t="str">
        <f t="shared" si="177"/>
        <v/>
      </c>
      <c r="J537" s="415" t="str">
        <f t="shared" si="178"/>
        <v/>
      </c>
      <c r="K537" s="415" t="str">
        <f t="shared" si="179"/>
        <v/>
      </c>
      <c r="L537" s="415">
        <v>7.68</v>
      </c>
      <c r="M537" s="415"/>
      <c r="N537" s="422">
        <f t="shared" si="186"/>
        <v>0</v>
      </c>
      <c r="O537" s="422">
        <f t="shared" si="187"/>
        <v>0</v>
      </c>
      <c r="P537" s="422">
        <f t="shared" si="188"/>
        <v>0</v>
      </c>
      <c r="Q537" s="422">
        <f t="shared" ca="1" si="189"/>
        <v>362664.58752092032</v>
      </c>
      <c r="R537" s="422">
        <f t="shared" ca="1" si="190"/>
        <v>2785264.0321606682</v>
      </c>
      <c r="S537" s="583">
        <f t="shared" si="183"/>
        <v>150100</v>
      </c>
      <c r="T537" s="377" t="str">
        <f>+IFERROR(VLOOKUP(S537,STAT1!$C$4:$D$189,2,FALSE),"")</f>
        <v>Бараа бэлэн бүтээгдэхүүн ХАТААХ ЦЕХ /нарс/</v>
      </c>
      <c r="U537" s="424"/>
      <c r="V537" s="424">
        <v>2785264.03</v>
      </c>
      <c r="W537" s="822">
        <v>1005</v>
      </c>
      <c r="X537" s="436" t="str">
        <f>IFERROR(VLOOKUP(W537,DATA!$G$4:$H$400,2,FALSE),"")</f>
        <v>Золжаргал</v>
      </c>
      <c r="Y537" s="328"/>
      <c r="Z537" s="328"/>
      <c r="AA537" s="328"/>
    </row>
    <row r="538" spans="1:27" ht="12.75" customHeight="1">
      <c r="A538" s="425"/>
      <c r="B538" s="368">
        <f t="shared" si="194"/>
        <v>533</v>
      </c>
      <c r="C538" s="425">
        <v>43405</v>
      </c>
      <c r="D538" s="830"/>
      <c r="E538" s="876" t="str">
        <f t="shared" ca="1" si="195"/>
        <v/>
      </c>
      <c r="F538" s="426" t="str">
        <f t="shared" ca="1" si="197"/>
        <v/>
      </c>
      <c r="G538" s="415"/>
      <c r="H538" s="415"/>
      <c r="I538" s="415" t="str">
        <f t="shared" ref="I538:I543" si="198">+IF(G538="","",G538*H538)</f>
        <v/>
      </c>
      <c r="J538" s="415" t="str">
        <f t="shared" ref="J538:J544" si="199">+IF(G538="","",I538*0.1)</f>
        <v/>
      </c>
      <c r="K538" s="415" t="str">
        <f t="shared" ref="K538:K543" si="200">+IF(G538="","",I538+J538)</f>
        <v/>
      </c>
      <c r="L538" s="415"/>
      <c r="M538" s="415"/>
      <c r="N538" s="422" t="str">
        <f t="shared" si="186"/>
        <v/>
      </c>
      <c r="O538" s="422" t="str">
        <f t="shared" si="187"/>
        <v/>
      </c>
      <c r="P538" s="422" t="str">
        <f t="shared" si="188"/>
        <v/>
      </c>
      <c r="Q538" s="422" t="str">
        <f t="shared" si="189"/>
        <v/>
      </c>
      <c r="R538" s="422" t="str">
        <f t="shared" si="190"/>
        <v/>
      </c>
      <c r="S538" s="583">
        <v>140201</v>
      </c>
      <c r="T538" s="377" t="str">
        <f>+IFERROR(VLOOKUP(S538,STAT1!$C$4:$D$189,2,FALSE),"")</f>
        <v>ШМЗардал БОЛОВСРУУЛАХ ЦЕХ /нарс/</v>
      </c>
      <c r="U538" s="424">
        <v>2785264.03</v>
      </c>
      <c r="V538" s="424"/>
      <c r="W538" s="822">
        <v>1005</v>
      </c>
      <c r="X538" s="436" t="str">
        <f>IFERROR(VLOOKUP(W538,DATA!$G$4:$H$400,2,FALSE),"")</f>
        <v>Золжаргал</v>
      </c>
      <c r="Y538" s="328"/>
      <c r="Z538" s="328"/>
      <c r="AA538" s="328"/>
    </row>
    <row r="539" spans="1:27" ht="12.75" customHeight="1">
      <c r="A539" s="425"/>
      <c r="B539" s="368">
        <f t="shared" si="194"/>
        <v>534</v>
      </c>
      <c r="C539" s="425">
        <v>43405</v>
      </c>
      <c r="D539" s="830">
        <v>210004</v>
      </c>
      <c r="E539" s="876" t="str">
        <f t="shared" ca="1" si="195"/>
        <v xml:space="preserve">Каркасны мод </v>
      </c>
      <c r="F539" s="426">
        <f t="shared" ca="1" si="197"/>
        <v>0</v>
      </c>
      <c r="G539" s="415">
        <v>7.68</v>
      </c>
      <c r="H539" s="415">
        <v>362664.58752092032</v>
      </c>
      <c r="I539" s="415">
        <f t="shared" si="198"/>
        <v>2785264.0321606682</v>
      </c>
      <c r="J539" s="415"/>
      <c r="K539" s="415">
        <f t="shared" si="200"/>
        <v>2785264.0321606682</v>
      </c>
      <c r="L539" s="415"/>
      <c r="M539" s="415"/>
      <c r="N539" s="422" t="str">
        <f t="shared" si="186"/>
        <v/>
      </c>
      <c r="O539" s="422" t="str">
        <f t="shared" si="187"/>
        <v/>
      </c>
      <c r="P539" s="422" t="str">
        <f t="shared" si="188"/>
        <v/>
      </c>
      <c r="Q539" s="422" t="str">
        <f t="shared" si="189"/>
        <v/>
      </c>
      <c r="R539" s="422" t="str">
        <f t="shared" si="190"/>
        <v/>
      </c>
      <c r="S539" s="583">
        <v>150101</v>
      </c>
      <c r="T539" s="377" t="str">
        <f>+IFERROR(VLOOKUP(S539,STAT1!$C$4:$D$189,2,FALSE),"")</f>
        <v>Бараа бэлэн бүтээгдэхүүн БОЛОВСРУУЛАХ ЦЕХ /нарс/</v>
      </c>
      <c r="U539" s="424">
        <v>2785264.03</v>
      </c>
      <c r="V539" s="424"/>
      <c r="W539" s="822">
        <v>1005</v>
      </c>
      <c r="X539" s="436" t="str">
        <f>IFERROR(VLOOKUP(W539,DATA!$G$4:$H$400,2,FALSE),"")</f>
        <v>Золжаргал</v>
      </c>
      <c r="Y539" s="328"/>
      <c r="Z539" s="328"/>
      <c r="AA539" s="328"/>
    </row>
    <row r="540" spans="1:27" ht="12.75" customHeight="1">
      <c r="A540" s="425"/>
      <c r="B540" s="368">
        <f t="shared" si="194"/>
        <v>535</v>
      </c>
      <c r="C540" s="425">
        <v>43405</v>
      </c>
      <c r="D540" s="830"/>
      <c r="E540" s="876" t="str">
        <f t="shared" ca="1" si="195"/>
        <v/>
      </c>
      <c r="F540" s="426" t="str">
        <f t="shared" ca="1" si="197"/>
        <v/>
      </c>
      <c r="G540" s="415"/>
      <c r="H540" s="415"/>
      <c r="I540" s="415" t="str">
        <f t="shared" si="198"/>
        <v/>
      </c>
      <c r="J540" s="415" t="str">
        <f t="shared" si="199"/>
        <v/>
      </c>
      <c r="K540" s="415" t="str">
        <f t="shared" si="200"/>
        <v/>
      </c>
      <c r="L540" s="415"/>
      <c r="M540" s="415"/>
      <c r="N540" s="422" t="str">
        <f t="shared" si="186"/>
        <v/>
      </c>
      <c r="O540" s="422" t="str">
        <f t="shared" si="187"/>
        <v/>
      </c>
      <c r="P540" s="422" t="str">
        <f t="shared" si="188"/>
        <v/>
      </c>
      <c r="Q540" s="422" t="str">
        <f t="shared" si="189"/>
        <v/>
      </c>
      <c r="R540" s="422" t="str">
        <f t="shared" si="190"/>
        <v/>
      </c>
      <c r="S540" s="583">
        <v>140201</v>
      </c>
      <c r="T540" s="377" t="str">
        <f>+IFERROR(VLOOKUP(S540,STAT1!$C$4:$D$189,2,FALSE),"")</f>
        <v>ШМЗардал БОЛОВСРУУЛАХ ЦЕХ /нарс/</v>
      </c>
      <c r="U540" s="424"/>
      <c r="V540" s="424">
        <v>2785264.03</v>
      </c>
      <c r="W540" s="822">
        <v>1005</v>
      </c>
      <c r="X540" s="436" t="str">
        <f>IFERROR(VLOOKUP(W540,DATA!$G$4:$H$400,2,FALSE),"")</f>
        <v>Золжаргал</v>
      </c>
      <c r="Y540" s="328"/>
      <c r="Z540" s="328"/>
      <c r="AA540" s="328"/>
    </row>
    <row r="541" spans="1:27" ht="12.75" customHeight="1">
      <c r="A541" s="425"/>
      <c r="B541" s="368">
        <f t="shared" si="194"/>
        <v>536</v>
      </c>
      <c r="C541" s="425">
        <v>43374</v>
      </c>
      <c r="D541" s="423">
        <v>211803</v>
      </c>
      <c r="E541" s="422" t="str">
        <f t="shared" ca="1" si="195"/>
        <v>Н-Шатны бариул /58*68мм/</v>
      </c>
      <c r="F541" s="426" t="str">
        <f t="shared" ca="1" si="197"/>
        <v>м</v>
      </c>
      <c r="G541" s="415"/>
      <c r="H541" s="415"/>
      <c r="I541" s="415" t="str">
        <f t="shared" si="198"/>
        <v/>
      </c>
      <c r="J541" s="415" t="str">
        <f t="shared" si="199"/>
        <v/>
      </c>
      <c r="K541" s="415" t="str">
        <f t="shared" si="200"/>
        <v/>
      </c>
      <c r="L541" s="415">
        <v>317.89999999999998</v>
      </c>
      <c r="M541" s="415">
        <v>9499.8741699999991</v>
      </c>
      <c r="N541" s="422">
        <f t="shared" si="186"/>
        <v>3020009.9986429997</v>
      </c>
      <c r="O541" s="422"/>
      <c r="P541" s="422">
        <f t="shared" si="188"/>
        <v>3020009.9986429997</v>
      </c>
      <c r="Q541" s="422">
        <f t="shared" ca="1" si="189"/>
        <v>5141.3321068490222</v>
      </c>
      <c r="R541" s="422">
        <f t="shared" ca="1" si="190"/>
        <v>1634429.4767673041</v>
      </c>
      <c r="S541" s="583">
        <f t="shared" ref="S541" si="201">+IF(LEFT(D541,3)="131",140100,0)+IF(LEFT(D541,3)="310",150100,0)+IF(LEFT(D541,3)="211",150101,0)+IF(LEFT(D541,3)="410",160100,0)+IF(LEFT(D541,3)="440",160200,0)+IF(LEFT(D541,3)="430",160200,0)+IF(LEFT(D541,3)="420",160200,0)+IF(LEFT(D541,3)="460",160201,0)+IF(LEFT(D541,3)="210",150101,0)+IF(LEFT(D541,3)="510",140100,0)</f>
        <v>150101</v>
      </c>
      <c r="T541" s="377" t="str">
        <f>+IFERROR(VLOOKUP(S541,STAT1!$C$4:$D$189,2,FALSE),"")</f>
        <v>Бараа бэлэн бүтээгдэхүүн БОЛОВСРУУЛАХ ЦЕХ /нарс/</v>
      </c>
      <c r="U541" s="424"/>
      <c r="V541" s="424">
        <f ca="1">+R541</f>
        <v>1634429.4767673041</v>
      </c>
      <c r="W541" s="822">
        <v>3003</v>
      </c>
      <c r="X541" s="436" t="str">
        <f>IFERROR(VLOOKUP(W541,DATA!$G$4:$H$400,2,FALSE),"")</f>
        <v xml:space="preserve">МУХИА ХХК </v>
      </c>
      <c r="Y541" s="328"/>
      <c r="Z541" s="328"/>
      <c r="AA541" s="328"/>
    </row>
    <row r="542" spans="1:27" ht="12.75" customHeight="1">
      <c r="A542" s="425"/>
      <c r="B542" s="368">
        <f t="shared" si="194"/>
        <v>537</v>
      </c>
      <c r="C542" s="425">
        <v>43446</v>
      </c>
      <c r="D542" s="423"/>
      <c r="E542" s="422" t="str">
        <f t="shared" ca="1" si="195"/>
        <v/>
      </c>
      <c r="F542" s="426" t="str">
        <f t="shared" ca="1" si="197"/>
        <v/>
      </c>
      <c r="G542" s="415"/>
      <c r="H542" s="415"/>
      <c r="I542" s="415" t="str">
        <f t="shared" si="198"/>
        <v/>
      </c>
      <c r="J542" s="415" t="str">
        <f t="shared" si="199"/>
        <v/>
      </c>
      <c r="K542" s="415" t="str">
        <f t="shared" si="200"/>
        <v/>
      </c>
      <c r="L542" s="415"/>
      <c r="M542" s="415"/>
      <c r="N542" s="422" t="str">
        <f t="shared" si="186"/>
        <v/>
      </c>
      <c r="O542" s="422" t="str">
        <f t="shared" si="187"/>
        <v/>
      </c>
      <c r="P542" s="422" t="str">
        <f t="shared" si="188"/>
        <v/>
      </c>
      <c r="Q542" s="422" t="str">
        <f t="shared" si="189"/>
        <v/>
      </c>
      <c r="R542" s="422" t="str">
        <f t="shared" si="190"/>
        <v/>
      </c>
      <c r="S542" s="583">
        <v>610100</v>
      </c>
      <c r="T542" s="377" t="str">
        <f>+IFERROR(VLOOKUP(S542,STAT1!$C$4:$D$189,2,FALSE),"")</f>
        <v>Борлуулсан барааны өртөг</v>
      </c>
      <c r="U542" s="424">
        <f ca="1">+R541</f>
        <v>1634429.4767673041</v>
      </c>
      <c r="V542" s="424"/>
      <c r="W542" s="822">
        <v>3003</v>
      </c>
      <c r="X542" s="436" t="str">
        <f>IFERROR(VLOOKUP(W542,DATA!$G$4:$H$400,2,FALSE),"")</f>
        <v xml:space="preserve">МУХИА ХХК </v>
      </c>
      <c r="Y542" s="328"/>
      <c r="Z542" s="328"/>
      <c r="AA542" s="328"/>
    </row>
    <row r="543" spans="1:27" ht="12.75" customHeight="1">
      <c r="A543" s="425"/>
      <c r="B543" s="368">
        <f t="shared" si="194"/>
        <v>538</v>
      </c>
      <c r="C543" s="425">
        <v>43446</v>
      </c>
      <c r="D543" s="423"/>
      <c r="E543" s="422" t="str">
        <f t="shared" ca="1" si="195"/>
        <v/>
      </c>
      <c r="F543" s="426" t="str">
        <f t="shared" ca="1" si="197"/>
        <v/>
      </c>
      <c r="G543" s="415"/>
      <c r="H543" s="415"/>
      <c r="I543" s="415" t="str">
        <f t="shared" si="198"/>
        <v/>
      </c>
      <c r="J543" s="415" t="str">
        <f t="shared" si="199"/>
        <v/>
      </c>
      <c r="K543" s="415" t="str">
        <f t="shared" si="200"/>
        <v/>
      </c>
      <c r="L543" s="415"/>
      <c r="M543" s="415"/>
      <c r="N543" s="422" t="str">
        <f t="shared" si="186"/>
        <v/>
      </c>
      <c r="O543" s="422" t="str">
        <f t="shared" si="187"/>
        <v/>
      </c>
      <c r="P543" s="422" t="str">
        <f t="shared" si="188"/>
        <v/>
      </c>
      <c r="Q543" s="422" t="str">
        <f t="shared" si="189"/>
        <v/>
      </c>
      <c r="R543" s="422" t="str">
        <f t="shared" si="190"/>
        <v/>
      </c>
      <c r="S543" s="583">
        <v>510000</v>
      </c>
      <c r="T543" s="377" t="str">
        <f>+IFERROR(VLOOKUP(S543,STAT1!$C$4:$D$189,2,FALSE),"")</f>
        <v>Үндсэн үйл ажиллагааны борлуулалт</v>
      </c>
      <c r="U543" s="424"/>
      <c r="V543" s="424">
        <f>+N541</f>
        <v>3020009.9986429997</v>
      </c>
      <c r="W543" s="822">
        <v>3003</v>
      </c>
      <c r="X543" s="436" t="str">
        <f>IFERROR(VLOOKUP(W543,DATA!$G$4:$H$400,2,FALSE),"")</f>
        <v xml:space="preserve">МУХИА ХХК </v>
      </c>
      <c r="Y543" s="328"/>
      <c r="Z543" s="328"/>
      <c r="AA543" s="328"/>
    </row>
    <row r="544" spans="1:27" ht="12.75" customHeight="1">
      <c r="A544" s="425"/>
      <c r="B544" s="368">
        <f t="shared" si="194"/>
        <v>539</v>
      </c>
      <c r="C544" s="425">
        <v>43446</v>
      </c>
      <c r="D544" s="423"/>
      <c r="E544" s="422" t="str">
        <f t="shared" ca="1" si="195"/>
        <v/>
      </c>
      <c r="F544" s="426" t="str">
        <f t="shared" ca="1" si="197"/>
        <v/>
      </c>
      <c r="G544" s="415"/>
      <c r="H544" s="415"/>
      <c r="I544" s="415"/>
      <c r="J544" s="415" t="str">
        <f t="shared" si="199"/>
        <v/>
      </c>
      <c r="K544" s="415"/>
      <c r="L544" s="415"/>
      <c r="M544" s="415"/>
      <c r="N544" s="422" t="str">
        <f t="shared" si="186"/>
        <v/>
      </c>
      <c r="O544" s="422" t="str">
        <f t="shared" si="187"/>
        <v/>
      </c>
      <c r="P544" s="422" t="str">
        <f t="shared" si="188"/>
        <v/>
      </c>
      <c r="Q544" s="422" t="str">
        <f t="shared" si="189"/>
        <v/>
      </c>
      <c r="R544" s="422" t="str">
        <f t="shared" si="190"/>
        <v/>
      </c>
      <c r="S544" s="583">
        <v>320100</v>
      </c>
      <c r="T544" s="377" t="str">
        <f>+IFERROR(VLOOKUP(S544,STAT1!$C$4:$D$189,2,FALSE),"")</f>
        <v>Урьдчилж орсон орлого MNT</v>
      </c>
      <c r="U544" s="424">
        <f>+N541</f>
        <v>3020009.9986429997</v>
      </c>
      <c r="V544" s="424"/>
      <c r="W544" s="822">
        <v>3003</v>
      </c>
      <c r="X544" s="436" t="str">
        <f>IFERROR(VLOOKUP(W544,DATA!$G$4:$H$400,2,FALSE),"")</f>
        <v xml:space="preserve">МУХИА ХХК </v>
      </c>
      <c r="Y544" s="328"/>
      <c r="Z544" s="328"/>
      <c r="AA544" s="328"/>
    </row>
    <row r="545" spans="1:27" ht="12.75" customHeight="1">
      <c r="A545" s="425"/>
      <c r="B545" s="368">
        <f t="shared" si="194"/>
        <v>540</v>
      </c>
      <c r="C545" s="425">
        <v>43454</v>
      </c>
      <c r="D545" s="423">
        <v>211717</v>
      </c>
      <c r="E545" s="422" t="str">
        <f t="shared" ca="1" si="195"/>
        <v>Н-Хавтан/зузаан-4см/-яртай</v>
      </c>
      <c r="F545" s="426" t="str">
        <f t="shared" ca="1" si="197"/>
        <v>м2</v>
      </c>
      <c r="G545" s="415"/>
      <c r="H545" s="415"/>
      <c r="I545" s="415" t="str">
        <f>+IF(G545="","",G545*H545)</f>
        <v/>
      </c>
      <c r="J545" s="415" t="str">
        <f>+IF(G545="","",I545*0.1)</f>
        <v/>
      </c>
      <c r="K545" s="415" t="str">
        <f>+IF(G545="","",I545+J545)</f>
        <v/>
      </c>
      <c r="L545" s="415">
        <f>340000/55000</f>
        <v>6.1818181818181817</v>
      </c>
      <c r="M545" s="415">
        <v>55000</v>
      </c>
      <c r="N545" s="422">
        <f t="shared" si="186"/>
        <v>340000</v>
      </c>
      <c r="O545" s="422">
        <f t="shared" si="187"/>
        <v>34000</v>
      </c>
      <c r="P545" s="422">
        <f t="shared" si="188"/>
        <v>374000</v>
      </c>
      <c r="Q545" s="422">
        <f t="shared" ca="1" si="189"/>
        <v>50424.29734124463</v>
      </c>
      <c r="R545" s="422">
        <f t="shared" ca="1" si="190"/>
        <v>311713.83810951223</v>
      </c>
      <c r="S545" s="583">
        <f t="shared" ref="S545" si="202">+IF(LEFT(D545,3)="131",140100,0)+IF(LEFT(D545,3)="310",150100,0)+IF(LEFT(D545,3)="211",150101,0)+IF(LEFT(D545,3)="410",160100,0)+IF(LEFT(D545,3)="440",160200,0)+IF(LEFT(D545,3)="430",160200,0)+IF(LEFT(D545,3)="420",160200,0)+IF(LEFT(D545,3)="460",160201,0)+IF(LEFT(D545,3)="210",150101,0)+IF(LEFT(D545,3)="510",140100,0)</f>
        <v>150101</v>
      </c>
      <c r="T545" s="377" t="str">
        <f>+IFERROR(VLOOKUP(S545,STAT1!$C$4:$D$189,2,FALSE),"")</f>
        <v>Бараа бэлэн бүтээгдэхүүн БОЛОВСРУУЛАХ ЦЕХ /нарс/</v>
      </c>
      <c r="U545" s="424"/>
      <c r="V545" s="424">
        <f ca="1">+R545</f>
        <v>311713.83810951223</v>
      </c>
      <c r="W545" s="822">
        <v>1005</v>
      </c>
      <c r="X545" s="436" t="str">
        <f>IFERROR(VLOOKUP(W545,DATA!$G$4:$H$400,2,FALSE),"")</f>
        <v>Золжаргал</v>
      </c>
      <c r="Y545" s="328"/>
      <c r="Z545" s="328"/>
      <c r="AA545" s="328"/>
    </row>
    <row r="546" spans="1:27" ht="12.75" customHeight="1">
      <c r="A546" s="425"/>
      <c r="B546" s="368">
        <f t="shared" si="194"/>
        <v>541</v>
      </c>
      <c r="C546" s="425">
        <v>43454</v>
      </c>
      <c r="D546" s="423"/>
      <c r="E546" s="422" t="str">
        <f t="shared" ca="1" si="195"/>
        <v/>
      </c>
      <c r="F546" s="426" t="str">
        <f t="shared" ca="1" si="197"/>
        <v/>
      </c>
      <c r="G546" s="415"/>
      <c r="H546" s="415"/>
      <c r="I546" s="415" t="str">
        <f>+IF(G546="","",G546*H546)</f>
        <v/>
      </c>
      <c r="J546" s="415" t="str">
        <f>+IF(G546="","",I546*0.1)</f>
        <v/>
      </c>
      <c r="K546" s="415" t="str">
        <f>+IF(G546="","",I546+J546)</f>
        <v/>
      </c>
      <c r="L546" s="415"/>
      <c r="M546" s="415"/>
      <c r="N546" s="422" t="str">
        <f t="shared" si="186"/>
        <v/>
      </c>
      <c r="O546" s="422" t="str">
        <f t="shared" si="187"/>
        <v/>
      </c>
      <c r="P546" s="422" t="str">
        <f t="shared" si="188"/>
        <v/>
      </c>
      <c r="Q546" s="422" t="str">
        <f t="shared" si="189"/>
        <v/>
      </c>
      <c r="R546" s="422" t="str">
        <f t="shared" si="190"/>
        <v/>
      </c>
      <c r="S546" s="583">
        <v>610100</v>
      </c>
      <c r="T546" s="377" t="str">
        <f>+IFERROR(VLOOKUP(S546,STAT1!$C$4:$D$189,2,FALSE),"")</f>
        <v>Борлуулсан барааны өртөг</v>
      </c>
      <c r="U546" s="424">
        <f ca="1">+R545</f>
        <v>311713.83810951223</v>
      </c>
      <c r="V546" s="424"/>
      <c r="W546" s="822">
        <v>1005</v>
      </c>
      <c r="X546" s="436" t="str">
        <f>IFERROR(VLOOKUP(W546,DATA!$G$4:$H$400,2,FALSE),"")</f>
        <v>Золжаргал</v>
      </c>
      <c r="Y546" s="328"/>
      <c r="Z546" s="328"/>
      <c r="AA546" s="328"/>
    </row>
    <row r="547" spans="1:27" ht="12.75" customHeight="1">
      <c r="A547" s="425"/>
      <c r="B547" s="368">
        <f t="shared" si="194"/>
        <v>542</v>
      </c>
      <c r="C547" s="425">
        <v>43454</v>
      </c>
      <c r="D547" s="423"/>
      <c r="E547" s="422" t="str">
        <f t="shared" ca="1" si="195"/>
        <v/>
      </c>
      <c r="F547" s="426" t="str">
        <f t="shared" ca="1" si="197"/>
        <v/>
      </c>
      <c r="G547" s="415"/>
      <c r="H547" s="415"/>
      <c r="I547" s="415" t="str">
        <f>+IF(G547="","",G547*H547)</f>
        <v/>
      </c>
      <c r="J547" s="415" t="str">
        <f>+IF(G547="","",I547*0.1)</f>
        <v/>
      </c>
      <c r="K547" s="415" t="str">
        <f>+IF(G547="","",I547+J547)</f>
        <v/>
      </c>
      <c r="L547" s="415"/>
      <c r="M547" s="415"/>
      <c r="N547" s="422" t="str">
        <f t="shared" si="186"/>
        <v/>
      </c>
      <c r="O547" s="422" t="str">
        <f t="shared" si="187"/>
        <v/>
      </c>
      <c r="P547" s="422" t="str">
        <f t="shared" si="188"/>
        <v/>
      </c>
      <c r="Q547" s="422" t="str">
        <f t="shared" si="189"/>
        <v/>
      </c>
      <c r="R547" s="422" t="str">
        <f t="shared" si="190"/>
        <v/>
      </c>
      <c r="S547" s="583">
        <v>310500</v>
      </c>
      <c r="T547" s="377" t="str">
        <f>+IFERROR(VLOOKUP(S547,STAT1!$C$4:$D$189,2,FALSE),"")</f>
        <v>НӨАТ өглөг</v>
      </c>
      <c r="U547" s="424"/>
      <c r="V547" s="424">
        <v>34000</v>
      </c>
      <c r="W547" s="822">
        <v>1005</v>
      </c>
      <c r="X547" s="436" t="str">
        <f>IFERROR(VLOOKUP(W547,DATA!$G$4:$H$400,2,FALSE),"")</f>
        <v>Золжаргал</v>
      </c>
      <c r="Y547" s="328"/>
      <c r="Z547" s="328"/>
      <c r="AA547" s="328"/>
    </row>
    <row r="548" spans="1:27" ht="12.75" customHeight="1">
      <c r="A548" s="425"/>
      <c r="B548" s="368">
        <f t="shared" si="194"/>
        <v>543</v>
      </c>
      <c r="C548" s="425">
        <v>43454</v>
      </c>
      <c r="D548" s="423"/>
      <c r="E548" s="422" t="str">
        <f t="shared" ca="1" si="195"/>
        <v/>
      </c>
      <c r="F548" s="426" t="str">
        <f t="shared" ca="1" si="197"/>
        <v/>
      </c>
      <c r="G548" s="415"/>
      <c r="H548" s="415"/>
      <c r="I548" s="415"/>
      <c r="J548" s="415"/>
      <c r="K548" s="415"/>
      <c r="L548" s="415"/>
      <c r="M548" s="415"/>
      <c r="N548" s="422" t="str">
        <f t="shared" si="186"/>
        <v/>
      </c>
      <c r="O548" s="422" t="str">
        <f t="shared" si="187"/>
        <v/>
      </c>
      <c r="P548" s="422" t="str">
        <f t="shared" si="188"/>
        <v/>
      </c>
      <c r="Q548" s="422" t="str">
        <f t="shared" si="189"/>
        <v/>
      </c>
      <c r="R548" s="422" t="str">
        <f t="shared" si="190"/>
        <v/>
      </c>
      <c r="S548" s="583">
        <v>510000</v>
      </c>
      <c r="T548" s="377" t="str">
        <f>+IFERROR(VLOOKUP(S548,STAT1!$C$4:$D$189,2,FALSE),"")</f>
        <v>Үндсэн үйл ажиллагааны борлуулалт</v>
      </c>
      <c r="U548" s="424"/>
      <c r="V548" s="424">
        <v>340000</v>
      </c>
      <c r="W548" s="822">
        <v>1005</v>
      </c>
      <c r="X548" s="436" t="str">
        <f>IFERROR(VLOOKUP(W548,DATA!$G$4:$H$400,2,FALSE),"")</f>
        <v>Золжаргал</v>
      </c>
      <c r="Y548" s="328"/>
      <c r="Z548" s="328"/>
      <c r="AA548" s="328"/>
    </row>
    <row r="549" spans="1:27" ht="12.75" customHeight="1">
      <c r="A549" s="425"/>
      <c r="B549" s="368">
        <f t="shared" si="194"/>
        <v>544</v>
      </c>
      <c r="C549" s="425">
        <v>43454</v>
      </c>
      <c r="D549" s="423"/>
      <c r="E549" s="422" t="str">
        <f t="shared" ca="1" si="195"/>
        <v/>
      </c>
      <c r="F549" s="426" t="str">
        <f t="shared" ca="1" si="197"/>
        <v/>
      </c>
      <c r="G549" s="415"/>
      <c r="H549" s="415"/>
      <c r="I549" s="415"/>
      <c r="J549" s="415"/>
      <c r="K549" s="415"/>
      <c r="L549" s="415"/>
      <c r="M549" s="415"/>
      <c r="N549" s="422" t="str">
        <f t="shared" si="186"/>
        <v/>
      </c>
      <c r="O549" s="422" t="str">
        <f t="shared" si="187"/>
        <v/>
      </c>
      <c r="P549" s="422" t="str">
        <f t="shared" si="188"/>
        <v/>
      </c>
      <c r="Q549" s="422" t="str">
        <f t="shared" si="189"/>
        <v/>
      </c>
      <c r="R549" s="422" t="str">
        <f t="shared" si="190"/>
        <v/>
      </c>
      <c r="S549" s="583">
        <v>320100</v>
      </c>
      <c r="T549" s="377" t="str">
        <f>+IFERROR(VLOOKUP(S549,STAT1!$C$4:$D$189,2,FALSE),"")</f>
        <v>Урьдчилж орсон орлого MNT</v>
      </c>
      <c r="U549" s="424">
        <v>374000</v>
      </c>
      <c r="V549" s="424"/>
      <c r="W549" s="822">
        <v>1005</v>
      </c>
      <c r="X549" s="436" t="str">
        <f>IFERROR(VLOOKUP(W549,DATA!$G$4:$H$400,2,FALSE),"")</f>
        <v>Золжаргал</v>
      </c>
      <c r="Y549" s="328"/>
      <c r="Z549" s="328"/>
      <c r="AA549" s="328"/>
    </row>
    <row r="550" spans="1:27" ht="12.75" customHeight="1">
      <c r="A550" s="425"/>
      <c r="B550" s="368" t="str">
        <f t="shared" si="194"/>
        <v/>
      </c>
      <c r="C550" s="425"/>
      <c r="D550" s="423"/>
      <c r="E550" s="422" t="str">
        <f t="shared" ca="1" si="195"/>
        <v/>
      </c>
      <c r="F550" s="426" t="str">
        <f t="shared" ca="1" si="197"/>
        <v/>
      </c>
      <c r="G550" s="415"/>
      <c r="H550" s="415"/>
      <c r="I550" s="415"/>
      <c r="J550" s="415"/>
      <c r="K550" s="415"/>
      <c r="L550" s="415"/>
      <c r="M550" s="415"/>
      <c r="N550" s="422" t="str">
        <f t="shared" si="186"/>
        <v/>
      </c>
      <c r="O550" s="422" t="str">
        <f t="shared" si="187"/>
        <v/>
      </c>
      <c r="P550" s="422" t="str">
        <f t="shared" si="188"/>
        <v/>
      </c>
      <c r="Q550" s="422" t="str">
        <f t="shared" si="189"/>
        <v/>
      </c>
      <c r="R550" s="422" t="str">
        <f t="shared" si="190"/>
        <v/>
      </c>
      <c r="S550" s="583">
        <f t="shared" ref="S550:S601" si="203">+IF(LEFT(D550,3)="131",140100,0)+IF(LEFT(D550,3)="310",150100,0)+IF(LEFT(D550,3)="211",150101,0)+IF(LEFT(D550,3)="410",160100,0)+IF(LEFT(D550,3)="440",160200,0)+IF(LEFT(D550,3)="430",160200,0)+IF(LEFT(D550,3)="420",160200,0)+IF(LEFT(D550,3)="460",160201,0)+IF(LEFT(D550,3)="210",150101,0)+IF(LEFT(D550,3)="510",140100,0)</f>
        <v>0</v>
      </c>
      <c r="T550" s="377" t="str">
        <f>+IFERROR(VLOOKUP(S550,STAT1!$C$4:$D$189,2,FALSE),"")</f>
        <v/>
      </c>
      <c r="U550" s="424"/>
      <c r="V550" s="424"/>
      <c r="W550" s="822"/>
      <c r="X550" s="436" t="str">
        <f>IFERROR(VLOOKUP(W550,DATA!$G$4:$H$400,2,FALSE),"")</f>
        <v/>
      </c>
      <c r="Y550" s="328"/>
      <c r="Z550" s="328"/>
      <c r="AA550" s="328"/>
    </row>
    <row r="551" spans="1:27" ht="12.75" customHeight="1">
      <c r="A551" s="425"/>
      <c r="B551" s="368" t="str">
        <f t="shared" si="194"/>
        <v/>
      </c>
      <c r="C551" s="425"/>
      <c r="D551" s="423"/>
      <c r="E551" s="422" t="str">
        <f t="shared" ca="1" si="195"/>
        <v/>
      </c>
      <c r="F551" s="426" t="str">
        <f t="shared" ca="1" si="197"/>
        <v/>
      </c>
      <c r="G551" s="415"/>
      <c r="H551" s="415"/>
      <c r="I551" s="415"/>
      <c r="J551" s="415"/>
      <c r="K551" s="415"/>
      <c r="L551" s="415"/>
      <c r="M551" s="415"/>
      <c r="N551" s="422" t="str">
        <f t="shared" si="186"/>
        <v/>
      </c>
      <c r="O551" s="422" t="str">
        <f t="shared" ref="O551:O592" si="204">+IF(L551="","",N551*0.1)</f>
        <v/>
      </c>
      <c r="P551" s="422" t="str">
        <f t="shared" ref="P551:P592" si="205">+IF(L551="","",N551+O551)</f>
        <v/>
      </c>
      <c r="Q551" s="422" t="str">
        <f t="shared" ref="Q551:Q592" si="206">IF(L551="","",IFERROR((SUMIFS(TN_balC1_totol,TN_code,D551)+SUMIFS(RC_or_totol,RC_Code,D551,RC_date,"&lt;="&amp;C551)-SUMIFS(RC_zar_totol,RC_Code,D551,RC_date,"&lt;"&amp;C551)) /( SUMIFS(TN_balC1_unit,TN_code,D551)+SUMIFS(RC_or_unit,RC_Code,D551,RC_date,"&lt;="&amp;C551)-SUMIFS(RC_zar_unit,RC_Code,D551,RC_date,"&lt;"&amp;C551)),0 ))</f>
        <v/>
      </c>
      <c r="R551" s="422" t="str">
        <f t="shared" ref="R551:R592" si="207">+IF(L551="","",L551*Q551)</f>
        <v/>
      </c>
      <c r="S551" s="583">
        <f t="shared" si="203"/>
        <v>0</v>
      </c>
      <c r="T551" s="377" t="str">
        <f>+IFERROR(VLOOKUP(S551,STAT1!$C$4:$D$189,2,FALSE),"")</f>
        <v/>
      </c>
      <c r="U551" s="424"/>
      <c r="V551" s="424"/>
      <c r="W551" s="822"/>
      <c r="X551" s="436" t="str">
        <f>IFERROR(VLOOKUP(W551,DATA!$G$4:$H$400,2,FALSE),"")</f>
        <v/>
      </c>
      <c r="Y551" s="328"/>
      <c r="Z551" s="328"/>
      <c r="AA551" s="328"/>
    </row>
    <row r="552" spans="1:27" ht="12.75" customHeight="1">
      <c r="A552" s="425"/>
      <c r="B552" s="368" t="str">
        <f t="shared" si="194"/>
        <v/>
      </c>
      <c r="C552" s="425"/>
      <c r="D552" s="423"/>
      <c r="E552" s="422" t="str">
        <f t="shared" ca="1" si="195"/>
        <v/>
      </c>
      <c r="F552" s="426" t="str">
        <f t="shared" ca="1" si="197"/>
        <v/>
      </c>
      <c r="G552" s="415"/>
      <c r="H552" s="415"/>
      <c r="I552" s="415"/>
      <c r="J552" s="415"/>
      <c r="K552" s="415"/>
      <c r="L552" s="415"/>
      <c r="M552" s="415"/>
      <c r="N552" s="422" t="str">
        <f t="shared" si="186"/>
        <v/>
      </c>
      <c r="O552" s="422" t="str">
        <f t="shared" si="204"/>
        <v/>
      </c>
      <c r="P552" s="422" t="str">
        <f t="shared" si="205"/>
        <v/>
      </c>
      <c r="Q552" s="422" t="str">
        <f t="shared" si="206"/>
        <v/>
      </c>
      <c r="R552" s="422" t="str">
        <f t="shared" si="207"/>
        <v/>
      </c>
      <c r="S552" s="583">
        <f t="shared" si="203"/>
        <v>0</v>
      </c>
      <c r="T552" s="377" t="str">
        <f>+IFERROR(VLOOKUP(S552,STAT1!$C$4:$D$189,2,FALSE),"")</f>
        <v/>
      </c>
      <c r="U552" s="424"/>
      <c r="V552" s="424"/>
      <c r="W552" s="822"/>
      <c r="X552" s="436" t="str">
        <f>IFERROR(VLOOKUP(W552,DATA!$G$4:$H$400,2,FALSE),"")</f>
        <v/>
      </c>
      <c r="Y552" s="328"/>
      <c r="Z552" s="328"/>
      <c r="AA552" s="328"/>
    </row>
    <row r="553" spans="1:27" ht="12.75" customHeight="1">
      <c r="A553" s="425"/>
      <c r="B553" s="368" t="str">
        <f t="shared" si="194"/>
        <v/>
      </c>
      <c r="C553" s="425"/>
      <c r="D553" s="423"/>
      <c r="E553" s="422" t="str">
        <f t="shared" ca="1" si="195"/>
        <v/>
      </c>
      <c r="F553" s="426" t="str">
        <f t="shared" ca="1" si="197"/>
        <v/>
      </c>
      <c r="G553" s="415"/>
      <c r="H553" s="415"/>
      <c r="I553" s="415"/>
      <c r="J553" s="415"/>
      <c r="K553" s="415"/>
      <c r="L553" s="415"/>
      <c r="M553" s="415"/>
      <c r="N553" s="422" t="str">
        <f t="shared" si="186"/>
        <v/>
      </c>
      <c r="O553" s="422" t="str">
        <f t="shared" si="204"/>
        <v/>
      </c>
      <c r="P553" s="422" t="str">
        <f t="shared" si="205"/>
        <v/>
      </c>
      <c r="Q553" s="422" t="str">
        <f t="shared" si="206"/>
        <v/>
      </c>
      <c r="R553" s="422" t="str">
        <f t="shared" si="207"/>
        <v/>
      </c>
      <c r="S553" s="583">
        <f t="shared" si="203"/>
        <v>0</v>
      </c>
      <c r="T553" s="377" t="str">
        <f>+IFERROR(VLOOKUP(S553,STAT1!$C$4:$D$189,2,FALSE),"")</f>
        <v/>
      </c>
      <c r="U553" s="424"/>
      <c r="V553" s="424"/>
      <c r="W553" s="822"/>
      <c r="X553" s="436" t="str">
        <f>IFERROR(VLOOKUP(W553,DATA!$G$4:$H$400,2,FALSE),"")</f>
        <v/>
      </c>
      <c r="Y553" s="328"/>
      <c r="Z553" s="328"/>
      <c r="AA553" s="328"/>
    </row>
    <row r="554" spans="1:27" ht="12.75" customHeight="1">
      <c r="A554" s="425"/>
      <c r="B554" s="368" t="str">
        <f t="shared" si="194"/>
        <v/>
      </c>
      <c r="C554" s="425"/>
      <c r="D554" s="423"/>
      <c r="E554" s="422" t="str">
        <f t="shared" ca="1" si="195"/>
        <v/>
      </c>
      <c r="F554" s="426" t="str">
        <f t="shared" ca="1" si="197"/>
        <v/>
      </c>
      <c r="G554" s="415"/>
      <c r="H554" s="415"/>
      <c r="I554" s="415"/>
      <c r="J554" s="415"/>
      <c r="K554" s="415"/>
      <c r="L554" s="415"/>
      <c r="M554" s="415"/>
      <c r="N554" s="422" t="str">
        <f t="shared" si="186"/>
        <v/>
      </c>
      <c r="O554" s="422" t="str">
        <f t="shared" si="204"/>
        <v/>
      </c>
      <c r="P554" s="422" t="str">
        <f t="shared" si="205"/>
        <v/>
      </c>
      <c r="Q554" s="422" t="str">
        <f t="shared" si="206"/>
        <v/>
      </c>
      <c r="R554" s="422" t="str">
        <f t="shared" si="207"/>
        <v/>
      </c>
      <c r="S554" s="583">
        <f t="shared" si="203"/>
        <v>0</v>
      </c>
      <c r="T554" s="377" t="str">
        <f>+IFERROR(VLOOKUP(S554,STAT1!$C$4:$D$189,2,FALSE),"")</f>
        <v/>
      </c>
      <c r="U554" s="415"/>
      <c r="V554" s="415"/>
      <c r="W554" s="823"/>
      <c r="X554" s="436" t="str">
        <f>IFERROR(VLOOKUP(W554,DATA!$G$4:$H$400,2,FALSE),"")</f>
        <v/>
      </c>
      <c r="Y554" s="328"/>
      <c r="Z554" s="328"/>
      <c r="AA554" s="328"/>
    </row>
    <row r="555" spans="1:27" ht="12.75" customHeight="1">
      <c r="A555" s="425"/>
      <c r="B555" s="368" t="str">
        <f t="shared" si="194"/>
        <v/>
      </c>
      <c r="C555" s="425"/>
      <c r="D555" s="423"/>
      <c r="E555" s="422" t="str">
        <f t="shared" ca="1" si="195"/>
        <v/>
      </c>
      <c r="F555" s="426" t="str">
        <f t="shared" ca="1" si="197"/>
        <v/>
      </c>
      <c r="G555" s="415"/>
      <c r="H555" s="415"/>
      <c r="I555" s="415"/>
      <c r="J555" s="415"/>
      <c r="K555" s="415"/>
      <c r="L555" s="415"/>
      <c r="M555" s="415"/>
      <c r="N555" s="422" t="str">
        <f t="shared" si="186"/>
        <v/>
      </c>
      <c r="O555" s="422" t="str">
        <f t="shared" si="204"/>
        <v/>
      </c>
      <c r="P555" s="422" t="str">
        <f t="shared" si="205"/>
        <v/>
      </c>
      <c r="Q555" s="422" t="str">
        <f t="shared" si="206"/>
        <v/>
      </c>
      <c r="R555" s="422" t="str">
        <f t="shared" si="207"/>
        <v/>
      </c>
      <c r="S555" s="583">
        <f t="shared" si="203"/>
        <v>0</v>
      </c>
      <c r="T555" s="377" t="str">
        <f>+IFERROR(VLOOKUP(S555,STAT1!$C$4:$D$189,2,FALSE),"")</f>
        <v/>
      </c>
      <c r="U555" s="424"/>
      <c r="V555" s="424"/>
      <c r="W555" s="822"/>
      <c r="X555" s="436" t="str">
        <f>IFERROR(VLOOKUP(W555,DATA!$G$4:$H$400,2,FALSE),"")</f>
        <v/>
      </c>
      <c r="Y555" s="328"/>
      <c r="Z555" s="328"/>
      <c r="AA555" s="328"/>
    </row>
    <row r="556" spans="1:27" ht="12.75" customHeight="1">
      <c r="A556" s="425"/>
      <c r="B556" s="368" t="str">
        <f t="shared" si="194"/>
        <v/>
      </c>
      <c r="C556" s="425"/>
      <c r="D556" s="423"/>
      <c r="E556" s="422" t="str">
        <f t="shared" ca="1" si="195"/>
        <v/>
      </c>
      <c r="F556" s="426" t="str">
        <f t="shared" ca="1" si="197"/>
        <v/>
      </c>
      <c r="G556" s="415"/>
      <c r="H556" s="415"/>
      <c r="I556" s="415"/>
      <c r="J556" s="415"/>
      <c r="K556" s="415"/>
      <c r="L556" s="415"/>
      <c r="M556" s="415"/>
      <c r="N556" s="422" t="str">
        <f t="shared" si="186"/>
        <v/>
      </c>
      <c r="O556" s="422" t="str">
        <f t="shared" si="204"/>
        <v/>
      </c>
      <c r="P556" s="422" t="str">
        <f t="shared" si="205"/>
        <v/>
      </c>
      <c r="Q556" s="422" t="str">
        <f t="shared" si="206"/>
        <v/>
      </c>
      <c r="R556" s="422" t="str">
        <f t="shared" si="207"/>
        <v/>
      </c>
      <c r="S556" s="583">
        <f t="shared" si="203"/>
        <v>0</v>
      </c>
      <c r="T556" s="377" t="str">
        <f>+IFERROR(VLOOKUP(S556,STAT1!$C$4:$D$189,2,FALSE),"")</f>
        <v/>
      </c>
      <c r="U556" s="424"/>
      <c r="V556" s="424"/>
      <c r="W556" s="822"/>
      <c r="X556" s="436" t="str">
        <f>IFERROR(VLOOKUP(W556,DATA!$G$4:$H$400,2,FALSE),"")</f>
        <v/>
      </c>
      <c r="Y556" s="328"/>
      <c r="Z556" s="328"/>
      <c r="AA556" s="328"/>
    </row>
    <row r="557" spans="1:27" ht="12.75" customHeight="1">
      <c r="A557" s="425"/>
      <c r="B557" s="368" t="str">
        <f t="shared" si="194"/>
        <v/>
      </c>
      <c r="C557" s="425"/>
      <c r="D557" s="423"/>
      <c r="E557" s="422" t="str">
        <f t="shared" ca="1" si="195"/>
        <v/>
      </c>
      <c r="F557" s="426" t="str">
        <f t="shared" ca="1" si="197"/>
        <v/>
      </c>
      <c r="G557" s="415"/>
      <c r="H557" s="415"/>
      <c r="I557" s="415"/>
      <c r="J557" s="415"/>
      <c r="K557" s="415"/>
      <c r="L557" s="415"/>
      <c r="M557" s="415"/>
      <c r="N557" s="422" t="str">
        <f t="shared" si="186"/>
        <v/>
      </c>
      <c r="O557" s="422" t="str">
        <f t="shared" si="204"/>
        <v/>
      </c>
      <c r="P557" s="422" t="str">
        <f t="shared" si="205"/>
        <v/>
      </c>
      <c r="Q557" s="422" t="str">
        <f t="shared" si="206"/>
        <v/>
      </c>
      <c r="R557" s="422" t="str">
        <f t="shared" si="207"/>
        <v/>
      </c>
      <c r="S557" s="583">
        <f t="shared" si="203"/>
        <v>0</v>
      </c>
      <c r="T557" s="377" t="str">
        <f>+IFERROR(VLOOKUP(S557,STAT1!$C$4:$D$189,2,FALSE),"")</f>
        <v/>
      </c>
      <c r="U557" s="424"/>
      <c r="V557" s="424"/>
      <c r="W557" s="822"/>
      <c r="X557" s="436" t="str">
        <f>IFERROR(VLOOKUP(W557,DATA!$G$4:$H$400,2,FALSE),"")</f>
        <v/>
      </c>
      <c r="Y557" s="328"/>
      <c r="Z557" s="328"/>
      <c r="AA557" s="328"/>
    </row>
    <row r="558" spans="1:27" ht="12.75" customHeight="1">
      <c r="A558" s="425"/>
      <c r="B558" s="368" t="str">
        <f t="shared" si="194"/>
        <v/>
      </c>
      <c r="C558" s="425"/>
      <c r="D558" s="423"/>
      <c r="E558" s="422" t="str">
        <f t="shared" ca="1" si="195"/>
        <v/>
      </c>
      <c r="F558" s="426" t="str">
        <f t="shared" ca="1" si="197"/>
        <v/>
      </c>
      <c r="G558" s="415"/>
      <c r="H558" s="415"/>
      <c r="I558" s="415"/>
      <c r="J558" s="415"/>
      <c r="K558" s="415"/>
      <c r="L558" s="415"/>
      <c r="M558" s="415"/>
      <c r="N558" s="422" t="str">
        <f t="shared" si="186"/>
        <v/>
      </c>
      <c r="O558" s="422" t="str">
        <f t="shared" si="204"/>
        <v/>
      </c>
      <c r="P558" s="422" t="str">
        <f t="shared" si="205"/>
        <v/>
      </c>
      <c r="Q558" s="422" t="str">
        <f t="shared" si="206"/>
        <v/>
      </c>
      <c r="R558" s="422" t="str">
        <f t="shared" si="207"/>
        <v/>
      </c>
      <c r="S558" s="583">
        <f t="shared" si="203"/>
        <v>0</v>
      </c>
      <c r="T558" s="377" t="str">
        <f>+IFERROR(VLOOKUP(S558,STAT1!$C$4:$D$189,2,FALSE),"")</f>
        <v/>
      </c>
      <c r="U558" s="424"/>
      <c r="V558" s="424"/>
      <c r="W558" s="822"/>
      <c r="X558" s="436" t="str">
        <f>IFERROR(VLOOKUP(W558,DATA!$G$4:$H$400,2,FALSE),"")</f>
        <v/>
      </c>
      <c r="Y558" s="328"/>
      <c r="Z558" s="328"/>
      <c r="AA558" s="328"/>
    </row>
    <row r="559" spans="1:27" ht="12.75" customHeight="1">
      <c r="A559" s="425"/>
      <c r="B559" s="368" t="str">
        <f t="shared" si="194"/>
        <v/>
      </c>
      <c r="C559" s="425"/>
      <c r="D559" s="423"/>
      <c r="E559" s="422" t="str">
        <f t="shared" ca="1" si="195"/>
        <v/>
      </c>
      <c r="F559" s="426" t="str">
        <f t="shared" ca="1" si="197"/>
        <v/>
      </c>
      <c r="G559" s="415"/>
      <c r="H559" s="415"/>
      <c r="I559" s="415"/>
      <c r="J559" s="415"/>
      <c r="K559" s="415"/>
      <c r="L559" s="415"/>
      <c r="M559" s="415"/>
      <c r="N559" s="422" t="str">
        <f t="shared" si="186"/>
        <v/>
      </c>
      <c r="O559" s="422" t="str">
        <f t="shared" si="204"/>
        <v/>
      </c>
      <c r="P559" s="422" t="str">
        <f t="shared" si="205"/>
        <v/>
      </c>
      <c r="Q559" s="422" t="str">
        <f t="shared" si="206"/>
        <v/>
      </c>
      <c r="R559" s="422" t="str">
        <f t="shared" si="207"/>
        <v/>
      </c>
      <c r="S559" s="583">
        <f t="shared" si="203"/>
        <v>0</v>
      </c>
      <c r="T559" s="377" t="str">
        <f>+IFERROR(VLOOKUP(S559,STAT1!$C$4:$D$189,2,FALSE),"")</f>
        <v/>
      </c>
      <c r="U559" s="415"/>
      <c r="V559" s="415"/>
      <c r="W559" s="823"/>
      <c r="X559" s="436" t="str">
        <f>IFERROR(VLOOKUP(W559,DATA!$G$4:$H$400,2,FALSE),"")</f>
        <v/>
      </c>
      <c r="Y559" s="328"/>
      <c r="Z559" s="328"/>
      <c r="AA559" s="328"/>
    </row>
    <row r="560" spans="1:27" ht="12.75" customHeight="1">
      <c r="A560" s="425"/>
      <c r="B560" s="368" t="str">
        <f t="shared" si="194"/>
        <v/>
      </c>
      <c r="C560" s="425"/>
      <c r="D560" s="423"/>
      <c r="E560" s="422" t="str">
        <f t="shared" ca="1" si="195"/>
        <v/>
      </c>
      <c r="F560" s="426" t="str">
        <f t="shared" ca="1" si="197"/>
        <v/>
      </c>
      <c r="G560" s="415"/>
      <c r="H560" s="415"/>
      <c r="I560" s="415"/>
      <c r="J560" s="415"/>
      <c r="K560" s="415"/>
      <c r="L560" s="415"/>
      <c r="M560" s="415"/>
      <c r="N560" s="422" t="str">
        <f t="shared" si="186"/>
        <v/>
      </c>
      <c r="O560" s="422" t="str">
        <f t="shared" si="204"/>
        <v/>
      </c>
      <c r="P560" s="422" t="str">
        <f t="shared" si="205"/>
        <v/>
      </c>
      <c r="Q560" s="422" t="str">
        <f t="shared" si="206"/>
        <v/>
      </c>
      <c r="R560" s="422" t="str">
        <f t="shared" si="207"/>
        <v/>
      </c>
      <c r="S560" s="583">
        <f t="shared" si="203"/>
        <v>0</v>
      </c>
      <c r="T560" s="377" t="str">
        <f>+IFERROR(VLOOKUP(S560,STAT1!$C$4:$D$189,2,FALSE),"")</f>
        <v/>
      </c>
      <c r="U560" s="424"/>
      <c r="V560" s="424"/>
      <c r="W560" s="822"/>
      <c r="X560" s="436" t="str">
        <f>IFERROR(VLOOKUP(W560,DATA!$G$4:$H$400,2,FALSE),"")</f>
        <v/>
      </c>
      <c r="Y560" s="328"/>
      <c r="Z560" s="328"/>
      <c r="AA560" s="328"/>
    </row>
    <row r="561" spans="1:27" ht="12.75" customHeight="1">
      <c r="A561" s="425"/>
      <c r="B561" s="368" t="str">
        <f t="shared" si="194"/>
        <v/>
      </c>
      <c r="C561" s="425"/>
      <c r="D561" s="423"/>
      <c r="E561" s="422" t="str">
        <f t="shared" ca="1" si="195"/>
        <v/>
      </c>
      <c r="F561" s="426" t="str">
        <f t="shared" ca="1" si="197"/>
        <v/>
      </c>
      <c r="G561" s="415"/>
      <c r="H561" s="415"/>
      <c r="I561" s="415"/>
      <c r="J561" s="415"/>
      <c r="K561" s="415"/>
      <c r="L561" s="415"/>
      <c r="M561" s="415"/>
      <c r="N561" s="422" t="str">
        <f t="shared" ref="N561:N587" si="208">+IF(L561="","",L561*M561)</f>
        <v/>
      </c>
      <c r="O561" s="422" t="str">
        <f t="shared" si="204"/>
        <v/>
      </c>
      <c r="P561" s="422" t="str">
        <f t="shared" si="205"/>
        <v/>
      </c>
      <c r="Q561" s="422" t="str">
        <f t="shared" si="206"/>
        <v/>
      </c>
      <c r="R561" s="422" t="str">
        <f t="shared" si="207"/>
        <v/>
      </c>
      <c r="S561" s="583">
        <f t="shared" si="203"/>
        <v>0</v>
      </c>
      <c r="T561" s="377" t="str">
        <f>+IFERROR(VLOOKUP(S561,STAT1!$C$4:$D$189,2,FALSE),"")</f>
        <v/>
      </c>
      <c r="U561" s="424"/>
      <c r="V561" s="424"/>
      <c r="W561" s="822"/>
      <c r="X561" s="436" t="str">
        <f>IFERROR(VLOOKUP(W561,DATA!$G$4:$H$400,2,FALSE),"")</f>
        <v/>
      </c>
      <c r="Y561" s="328"/>
      <c r="Z561" s="328"/>
      <c r="AA561" s="328"/>
    </row>
    <row r="562" spans="1:27" ht="12.75" customHeight="1">
      <c r="A562" s="425"/>
      <c r="B562" s="368" t="str">
        <f t="shared" si="194"/>
        <v/>
      </c>
      <c r="C562" s="425"/>
      <c r="D562" s="423"/>
      <c r="E562" s="422" t="str">
        <f t="shared" ca="1" si="195"/>
        <v/>
      </c>
      <c r="F562" s="426" t="str">
        <f t="shared" ca="1" si="197"/>
        <v/>
      </c>
      <c r="G562" s="415"/>
      <c r="H562" s="415"/>
      <c r="I562" s="415"/>
      <c r="J562" s="415"/>
      <c r="K562" s="415"/>
      <c r="L562" s="415"/>
      <c r="M562" s="415"/>
      <c r="N562" s="422" t="str">
        <f t="shared" si="208"/>
        <v/>
      </c>
      <c r="O562" s="422" t="str">
        <f t="shared" si="204"/>
        <v/>
      </c>
      <c r="P562" s="422" t="str">
        <f t="shared" si="205"/>
        <v/>
      </c>
      <c r="Q562" s="422" t="str">
        <f t="shared" si="206"/>
        <v/>
      </c>
      <c r="R562" s="422" t="str">
        <f t="shared" si="207"/>
        <v/>
      </c>
      <c r="S562" s="583">
        <f t="shared" si="203"/>
        <v>0</v>
      </c>
      <c r="T562" s="377" t="str">
        <f>+IFERROR(VLOOKUP(S562,STAT1!$C$4:$D$189,2,FALSE),"")</f>
        <v/>
      </c>
      <c r="U562" s="415"/>
      <c r="V562" s="415"/>
      <c r="W562" s="823"/>
      <c r="X562" s="436" t="str">
        <f>IFERROR(VLOOKUP(W562,DATA!$G$4:$H$400,2,FALSE),"")</f>
        <v/>
      </c>
      <c r="Y562" s="328"/>
      <c r="Z562" s="328"/>
      <c r="AA562" s="328"/>
    </row>
    <row r="563" spans="1:27" ht="12.75" customHeight="1">
      <c r="A563" s="425"/>
      <c r="B563" s="368" t="str">
        <f t="shared" si="194"/>
        <v/>
      </c>
      <c r="C563" s="425"/>
      <c r="D563" s="423"/>
      <c r="E563" s="422" t="str">
        <f t="shared" ca="1" si="195"/>
        <v/>
      </c>
      <c r="F563" s="426" t="str">
        <f t="shared" ca="1" si="197"/>
        <v/>
      </c>
      <c r="G563" s="415"/>
      <c r="H563" s="415"/>
      <c r="I563" s="415"/>
      <c r="J563" s="415"/>
      <c r="K563" s="415"/>
      <c r="L563" s="415"/>
      <c r="M563" s="415"/>
      <c r="N563" s="422" t="str">
        <f t="shared" si="208"/>
        <v/>
      </c>
      <c r="O563" s="422" t="str">
        <f t="shared" si="204"/>
        <v/>
      </c>
      <c r="P563" s="422" t="str">
        <f t="shared" si="205"/>
        <v/>
      </c>
      <c r="Q563" s="422" t="str">
        <f t="shared" si="206"/>
        <v/>
      </c>
      <c r="R563" s="422" t="str">
        <f t="shared" si="207"/>
        <v/>
      </c>
      <c r="S563" s="583">
        <f t="shared" si="203"/>
        <v>0</v>
      </c>
      <c r="T563" s="377" t="str">
        <f>+IFERROR(VLOOKUP(S563,STAT1!$C$4:$D$189,2,FALSE),"")</f>
        <v/>
      </c>
      <c r="U563" s="424"/>
      <c r="V563" s="424"/>
      <c r="W563" s="822"/>
      <c r="X563" s="436" t="str">
        <f>IFERROR(VLOOKUP(W563,DATA!$G$4:$H$400,2,FALSE),"")</f>
        <v/>
      </c>
      <c r="Y563" s="328"/>
      <c r="Z563" s="328"/>
      <c r="AA563" s="328"/>
    </row>
    <row r="564" spans="1:27" ht="12.75" customHeight="1">
      <c r="A564" s="425"/>
      <c r="B564" s="368" t="str">
        <f t="shared" si="194"/>
        <v/>
      </c>
      <c r="C564" s="425"/>
      <c r="D564" s="423"/>
      <c r="E564" s="422" t="str">
        <f t="shared" ca="1" si="195"/>
        <v/>
      </c>
      <c r="F564" s="426" t="str">
        <f t="shared" ca="1" si="197"/>
        <v/>
      </c>
      <c r="G564" s="415"/>
      <c r="H564" s="415"/>
      <c r="I564" s="415"/>
      <c r="J564" s="415"/>
      <c r="K564" s="415"/>
      <c r="L564" s="415"/>
      <c r="M564" s="415"/>
      <c r="N564" s="422" t="str">
        <f t="shared" si="208"/>
        <v/>
      </c>
      <c r="O564" s="422" t="str">
        <f t="shared" si="204"/>
        <v/>
      </c>
      <c r="P564" s="422" t="str">
        <f t="shared" si="205"/>
        <v/>
      </c>
      <c r="Q564" s="422" t="str">
        <f t="shared" si="206"/>
        <v/>
      </c>
      <c r="R564" s="422" t="str">
        <f t="shared" si="207"/>
        <v/>
      </c>
      <c r="S564" s="583">
        <f t="shared" si="203"/>
        <v>0</v>
      </c>
      <c r="T564" s="377" t="str">
        <f>+IFERROR(VLOOKUP(S564,STAT1!$C$4:$D$189,2,FALSE),"")</f>
        <v/>
      </c>
      <c r="U564" s="415"/>
      <c r="V564" s="415"/>
      <c r="W564" s="823"/>
      <c r="X564" s="436" t="str">
        <f>IFERROR(VLOOKUP(W564,DATA!$G$4:$H$400,2,FALSE),"")</f>
        <v/>
      </c>
      <c r="Y564" s="328"/>
      <c r="Z564" s="328"/>
      <c r="AA564" s="328"/>
    </row>
    <row r="565" spans="1:27" ht="12.75" customHeight="1">
      <c r="A565" s="425"/>
      <c r="B565" s="368" t="str">
        <f t="shared" si="194"/>
        <v/>
      </c>
      <c r="C565" s="425"/>
      <c r="D565" s="423"/>
      <c r="E565" s="422" t="str">
        <f t="shared" ca="1" si="195"/>
        <v/>
      </c>
      <c r="F565" s="426" t="str">
        <f t="shared" ca="1" si="197"/>
        <v/>
      </c>
      <c r="G565" s="415"/>
      <c r="H565" s="415"/>
      <c r="I565" s="415"/>
      <c r="J565" s="415"/>
      <c r="K565" s="415"/>
      <c r="L565" s="415"/>
      <c r="M565" s="415"/>
      <c r="N565" s="422" t="str">
        <f t="shared" si="208"/>
        <v/>
      </c>
      <c r="O565" s="422" t="str">
        <f t="shared" si="204"/>
        <v/>
      </c>
      <c r="P565" s="422" t="str">
        <f t="shared" si="205"/>
        <v/>
      </c>
      <c r="Q565" s="422" t="str">
        <f t="shared" si="206"/>
        <v/>
      </c>
      <c r="R565" s="422" t="str">
        <f t="shared" si="207"/>
        <v/>
      </c>
      <c r="S565" s="583">
        <f t="shared" si="203"/>
        <v>0</v>
      </c>
      <c r="T565" s="377" t="str">
        <f>+IFERROR(VLOOKUP(S565,STAT1!$C$4:$D$189,2,FALSE),"")</f>
        <v/>
      </c>
      <c r="U565" s="424"/>
      <c r="V565" s="424"/>
      <c r="W565" s="822"/>
      <c r="X565" s="436" t="str">
        <f>IFERROR(VLOOKUP(W565,DATA!$G$4:$H$400,2,FALSE),"")</f>
        <v/>
      </c>
      <c r="Y565" s="328"/>
      <c r="Z565" s="328"/>
      <c r="AA565" s="328"/>
    </row>
    <row r="566" spans="1:27" ht="12.75" customHeight="1">
      <c r="A566" s="425"/>
      <c r="B566" s="368" t="str">
        <f t="shared" si="194"/>
        <v/>
      </c>
      <c r="C566" s="425"/>
      <c r="D566" s="423"/>
      <c r="E566" s="422" t="str">
        <f t="shared" ca="1" si="195"/>
        <v/>
      </c>
      <c r="F566" s="426" t="str">
        <f t="shared" ca="1" si="197"/>
        <v/>
      </c>
      <c r="G566" s="415"/>
      <c r="H566" s="415"/>
      <c r="I566" s="415"/>
      <c r="J566" s="415"/>
      <c r="K566" s="415"/>
      <c r="L566" s="415"/>
      <c r="M566" s="415"/>
      <c r="N566" s="422" t="str">
        <f t="shared" si="208"/>
        <v/>
      </c>
      <c r="O566" s="422" t="str">
        <f t="shared" si="204"/>
        <v/>
      </c>
      <c r="P566" s="422" t="str">
        <f t="shared" si="205"/>
        <v/>
      </c>
      <c r="Q566" s="422" t="str">
        <f t="shared" si="206"/>
        <v/>
      </c>
      <c r="R566" s="422" t="str">
        <f t="shared" si="207"/>
        <v/>
      </c>
      <c r="S566" s="583">
        <f t="shared" si="203"/>
        <v>0</v>
      </c>
      <c r="T566" s="377" t="str">
        <f>+IFERROR(VLOOKUP(S566,STAT1!$C$4:$D$189,2,FALSE),"")</f>
        <v/>
      </c>
      <c r="U566" s="424"/>
      <c r="V566" s="424"/>
      <c r="W566" s="822"/>
      <c r="X566" s="436" t="str">
        <f>IFERROR(VLOOKUP(W566,DATA!$G$4:$H$400,2,FALSE),"")</f>
        <v/>
      </c>
      <c r="Y566" s="328"/>
      <c r="Z566" s="328"/>
      <c r="AA566" s="328"/>
    </row>
    <row r="567" spans="1:27" ht="12.75" customHeight="1">
      <c r="A567" s="425"/>
      <c r="B567" s="368" t="str">
        <f t="shared" si="194"/>
        <v/>
      </c>
      <c r="C567" s="425"/>
      <c r="D567" s="423"/>
      <c r="E567" s="422" t="str">
        <f t="shared" ca="1" si="195"/>
        <v/>
      </c>
      <c r="F567" s="426" t="str">
        <f t="shared" ca="1" si="197"/>
        <v/>
      </c>
      <c r="G567" s="415"/>
      <c r="H567" s="415"/>
      <c r="I567" s="415"/>
      <c r="J567" s="415"/>
      <c r="K567" s="415"/>
      <c r="L567" s="415"/>
      <c r="M567" s="415"/>
      <c r="N567" s="422" t="str">
        <f t="shared" si="208"/>
        <v/>
      </c>
      <c r="O567" s="422" t="str">
        <f t="shared" si="204"/>
        <v/>
      </c>
      <c r="P567" s="422" t="str">
        <f t="shared" si="205"/>
        <v/>
      </c>
      <c r="Q567" s="422" t="str">
        <f t="shared" si="206"/>
        <v/>
      </c>
      <c r="R567" s="422" t="str">
        <f t="shared" si="207"/>
        <v/>
      </c>
      <c r="S567" s="583">
        <f t="shared" si="203"/>
        <v>0</v>
      </c>
      <c r="T567" s="377" t="str">
        <f>+IFERROR(VLOOKUP(S567,STAT1!$C$4:$D$189,2,FALSE),"")</f>
        <v/>
      </c>
      <c r="U567" s="424"/>
      <c r="V567" s="424"/>
      <c r="W567" s="822"/>
      <c r="X567" s="436" t="str">
        <f>IFERROR(VLOOKUP(W567,DATA!$G$4:$H$400,2,FALSE),"")</f>
        <v/>
      </c>
      <c r="Y567" s="328"/>
      <c r="Z567" s="328"/>
      <c r="AA567" s="328"/>
    </row>
    <row r="568" spans="1:27" ht="12.75" customHeight="1">
      <c r="A568" s="425"/>
      <c r="B568" s="368" t="str">
        <f t="shared" si="194"/>
        <v/>
      </c>
      <c r="C568" s="425"/>
      <c r="D568" s="423"/>
      <c r="E568" s="422" t="str">
        <f t="shared" ca="1" si="195"/>
        <v/>
      </c>
      <c r="F568" s="426" t="str">
        <f t="shared" ca="1" si="197"/>
        <v/>
      </c>
      <c r="G568" s="415"/>
      <c r="H568" s="415"/>
      <c r="I568" s="415"/>
      <c r="J568" s="415"/>
      <c r="K568" s="415"/>
      <c r="L568" s="415"/>
      <c r="M568" s="415"/>
      <c r="N568" s="422" t="str">
        <f t="shared" si="208"/>
        <v/>
      </c>
      <c r="O568" s="422" t="str">
        <f t="shared" si="204"/>
        <v/>
      </c>
      <c r="P568" s="422" t="str">
        <f t="shared" si="205"/>
        <v/>
      </c>
      <c r="Q568" s="422" t="str">
        <f t="shared" si="206"/>
        <v/>
      </c>
      <c r="R568" s="422" t="str">
        <f t="shared" si="207"/>
        <v/>
      </c>
      <c r="S568" s="583">
        <f t="shared" si="203"/>
        <v>0</v>
      </c>
      <c r="T568" s="377" t="str">
        <f>+IFERROR(VLOOKUP(S568,STAT1!$C$4:$D$189,2,FALSE),"")</f>
        <v/>
      </c>
      <c r="U568" s="424"/>
      <c r="V568" s="424"/>
      <c r="W568" s="822"/>
      <c r="X568" s="436" t="str">
        <f>IFERROR(VLOOKUP(W568,DATA!$G$4:$H$400,2,FALSE),"")</f>
        <v/>
      </c>
      <c r="Y568" s="328"/>
      <c r="Z568" s="328"/>
      <c r="AA568" s="328"/>
    </row>
    <row r="569" spans="1:27" ht="12.75" customHeight="1">
      <c r="A569" s="425"/>
      <c r="B569" s="368" t="str">
        <f t="shared" si="194"/>
        <v/>
      </c>
      <c r="C569" s="425"/>
      <c r="D569" s="423"/>
      <c r="E569" s="422" t="str">
        <f t="shared" ca="1" si="195"/>
        <v/>
      </c>
      <c r="F569" s="426" t="str">
        <f t="shared" ca="1" si="197"/>
        <v/>
      </c>
      <c r="G569" s="415"/>
      <c r="H569" s="415"/>
      <c r="I569" s="415"/>
      <c r="J569" s="415"/>
      <c r="K569" s="415"/>
      <c r="L569" s="415"/>
      <c r="M569" s="415"/>
      <c r="N569" s="422" t="str">
        <f t="shared" si="208"/>
        <v/>
      </c>
      <c r="O569" s="422" t="str">
        <f t="shared" si="204"/>
        <v/>
      </c>
      <c r="P569" s="422" t="str">
        <f t="shared" si="205"/>
        <v/>
      </c>
      <c r="Q569" s="422" t="str">
        <f t="shared" si="206"/>
        <v/>
      </c>
      <c r="R569" s="422" t="str">
        <f t="shared" si="207"/>
        <v/>
      </c>
      <c r="S569" s="583">
        <f t="shared" si="203"/>
        <v>0</v>
      </c>
      <c r="T569" s="377" t="str">
        <f>+IFERROR(VLOOKUP(S569,STAT1!$C$4:$D$189,2,FALSE),"")</f>
        <v/>
      </c>
      <c r="U569" s="415"/>
      <c r="V569" s="415"/>
      <c r="W569" s="823"/>
      <c r="X569" s="436" t="str">
        <f>IFERROR(VLOOKUP(W569,DATA!$G$4:$H$400,2,FALSE),"")</f>
        <v/>
      </c>
      <c r="Y569" s="328"/>
      <c r="Z569" s="328"/>
      <c r="AA569" s="328"/>
    </row>
    <row r="570" spans="1:27" ht="12.75" customHeight="1">
      <c r="A570" s="425"/>
      <c r="B570" s="368" t="str">
        <f t="shared" si="194"/>
        <v/>
      </c>
      <c r="C570" s="425"/>
      <c r="D570" s="423"/>
      <c r="E570" s="422" t="str">
        <f t="shared" ca="1" si="195"/>
        <v/>
      </c>
      <c r="F570" s="426" t="str">
        <f t="shared" ca="1" si="197"/>
        <v/>
      </c>
      <c r="G570" s="415"/>
      <c r="H570" s="415"/>
      <c r="I570" s="415"/>
      <c r="J570" s="415"/>
      <c r="K570" s="415"/>
      <c r="L570" s="415"/>
      <c r="M570" s="415"/>
      <c r="N570" s="422" t="str">
        <f t="shared" si="208"/>
        <v/>
      </c>
      <c r="O570" s="422" t="str">
        <f t="shared" si="204"/>
        <v/>
      </c>
      <c r="P570" s="422" t="str">
        <f t="shared" si="205"/>
        <v/>
      </c>
      <c r="Q570" s="422" t="str">
        <f t="shared" si="206"/>
        <v/>
      </c>
      <c r="R570" s="422" t="str">
        <f t="shared" si="207"/>
        <v/>
      </c>
      <c r="S570" s="583">
        <f t="shared" si="203"/>
        <v>0</v>
      </c>
      <c r="T570" s="377" t="str">
        <f>+IFERROR(VLOOKUP(S570,STAT1!$C$4:$D$189,2,FALSE),"")</f>
        <v/>
      </c>
      <c r="U570" s="424"/>
      <c r="V570" s="424"/>
      <c r="W570" s="822"/>
      <c r="X570" s="436" t="str">
        <f>IFERROR(VLOOKUP(W570,DATA!$G$4:$H$400,2,FALSE),"")</f>
        <v/>
      </c>
      <c r="Y570" s="328"/>
      <c r="Z570" s="328"/>
      <c r="AA570" s="328"/>
    </row>
    <row r="571" spans="1:27" ht="12.75" customHeight="1">
      <c r="A571" s="425"/>
      <c r="B571" s="368" t="str">
        <f t="shared" si="194"/>
        <v/>
      </c>
      <c r="C571" s="425"/>
      <c r="D571" s="423"/>
      <c r="E571" s="422" t="str">
        <f t="shared" ca="1" si="195"/>
        <v/>
      </c>
      <c r="F571" s="426" t="str">
        <f t="shared" ca="1" si="197"/>
        <v/>
      </c>
      <c r="G571" s="415"/>
      <c r="H571" s="415"/>
      <c r="I571" s="415"/>
      <c r="J571" s="415"/>
      <c r="K571" s="415"/>
      <c r="L571" s="415"/>
      <c r="M571" s="415"/>
      <c r="N571" s="422" t="str">
        <f t="shared" si="208"/>
        <v/>
      </c>
      <c r="O571" s="422" t="str">
        <f t="shared" si="204"/>
        <v/>
      </c>
      <c r="P571" s="422" t="str">
        <f t="shared" si="205"/>
        <v/>
      </c>
      <c r="Q571" s="422" t="str">
        <f t="shared" si="206"/>
        <v/>
      </c>
      <c r="R571" s="422" t="str">
        <f t="shared" si="207"/>
        <v/>
      </c>
      <c r="S571" s="583">
        <f t="shared" si="203"/>
        <v>0</v>
      </c>
      <c r="T571" s="377" t="str">
        <f>+IFERROR(VLOOKUP(S571,STAT1!$C$4:$D$189,2,FALSE),"")</f>
        <v/>
      </c>
      <c r="U571" s="424"/>
      <c r="V571" s="424"/>
      <c r="W571" s="822"/>
      <c r="X571" s="436" t="str">
        <f>IFERROR(VLOOKUP(W571,DATA!$G$4:$H$400,2,FALSE),"")</f>
        <v/>
      </c>
      <c r="Y571" s="328"/>
      <c r="Z571" s="328"/>
      <c r="AA571" s="328"/>
    </row>
    <row r="572" spans="1:27" ht="12.75" customHeight="1">
      <c r="A572" s="425"/>
      <c r="B572" s="368" t="str">
        <f t="shared" si="194"/>
        <v/>
      </c>
      <c r="C572" s="425"/>
      <c r="D572" s="423"/>
      <c r="E572" s="422" t="str">
        <f t="shared" ca="1" si="195"/>
        <v/>
      </c>
      <c r="F572" s="426" t="str">
        <f t="shared" ca="1" si="197"/>
        <v/>
      </c>
      <c r="G572" s="415"/>
      <c r="H572" s="415"/>
      <c r="I572" s="415"/>
      <c r="J572" s="415"/>
      <c r="K572" s="415"/>
      <c r="L572" s="415"/>
      <c r="M572" s="415"/>
      <c r="N572" s="422" t="str">
        <f t="shared" si="208"/>
        <v/>
      </c>
      <c r="O572" s="422" t="str">
        <f t="shared" si="204"/>
        <v/>
      </c>
      <c r="P572" s="422" t="str">
        <f t="shared" si="205"/>
        <v/>
      </c>
      <c r="Q572" s="422" t="str">
        <f t="shared" si="206"/>
        <v/>
      </c>
      <c r="R572" s="422" t="str">
        <f t="shared" si="207"/>
        <v/>
      </c>
      <c r="S572" s="583">
        <f t="shared" si="203"/>
        <v>0</v>
      </c>
      <c r="T572" s="377" t="str">
        <f>+IFERROR(VLOOKUP(S572,STAT1!$C$4:$D$189,2,FALSE),"")</f>
        <v/>
      </c>
      <c r="U572" s="424"/>
      <c r="V572" s="424"/>
      <c r="W572" s="822"/>
      <c r="X572" s="436" t="str">
        <f>IFERROR(VLOOKUP(W572,DATA!$G$4:$H$400,2,FALSE),"")</f>
        <v/>
      </c>
      <c r="Y572" s="328"/>
      <c r="Z572" s="328"/>
      <c r="AA572" s="328"/>
    </row>
    <row r="573" spans="1:27" ht="12.75" customHeight="1">
      <c r="A573" s="425"/>
      <c r="B573" s="368" t="str">
        <f t="shared" si="194"/>
        <v/>
      </c>
      <c r="C573" s="425"/>
      <c r="D573" s="423"/>
      <c r="E573" s="422" t="str">
        <f t="shared" ca="1" si="195"/>
        <v/>
      </c>
      <c r="F573" s="426" t="str">
        <f t="shared" ca="1" si="197"/>
        <v/>
      </c>
      <c r="G573" s="415"/>
      <c r="H573" s="415"/>
      <c r="I573" s="415"/>
      <c r="J573" s="415"/>
      <c r="K573" s="415"/>
      <c r="L573" s="415"/>
      <c r="M573" s="415"/>
      <c r="N573" s="422" t="str">
        <f t="shared" si="208"/>
        <v/>
      </c>
      <c r="O573" s="422" t="str">
        <f t="shared" si="204"/>
        <v/>
      </c>
      <c r="P573" s="422" t="str">
        <f t="shared" si="205"/>
        <v/>
      </c>
      <c r="Q573" s="422" t="str">
        <f t="shared" si="206"/>
        <v/>
      </c>
      <c r="R573" s="422" t="str">
        <f t="shared" si="207"/>
        <v/>
      </c>
      <c r="S573" s="583">
        <f t="shared" si="203"/>
        <v>0</v>
      </c>
      <c r="T573" s="377" t="str">
        <f>+IFERROR(VLOOKUP(S573,STAT1!$C$4:$D$189,2,FALSE),"")</f>
        <v/>
      </c>
      <c r="U573" s="424"/>
      <c r="V573" s="424"/>
      <c r="W573" s="822"/>
      <c r="X573" s="436" t="str">
        <f>IFERROR(VLOOKUP(W573,DATA!$G$4:$H$400,2,FALSE),"")</f>
        <v/>
      </c>
      <c r="Y573" s="328"/>
      <c r="Z573" s="328"/>
      <c r="AA573" s="328"/>
    </row>
    <row r="574" spans="1:27" ht="12.75" customHeight="1">
      <c r="A574" s="425"/>
      <c r="B574" s="368" t="str">
        <f t="shared" si="194"/>
        <v/>
      </c>
      <c r="C574" s="425"/>
      <c r="D574" s="423"/>
      <c r="E574" s="422" t="str">
        <f t="shared" ca="1" si="195"/>
        <v/>
      </c>
      <c r="F574" s="426" t="str">
        <f t="shared" ca="1" si="197"/>
        <v/>
      </c>
      <c r="G574" s="415"/>
      <c r="H574" s="415"/>
      <c r="I574" s="415"/>
      <c r="J574" s="415"/>
      <c r="K574" s="415"/>
      <c r="L574" s="415"/>
      <c r="M574" s="415"/>
      <c r="N574" s="422" t="str">
        <f t="shared" si="208"/>
        <v/>
      </c>
      <c r="O574" s="422" t="str">
        <f t="shared" si="204"/>
        <v/>
      </c>
      <c r="P574" s="422" t="str">
        <f t="shared" si="205"/>
        <v/>
      </c>
      <c r="Q574" s="422" t="str">
        <f t="shared" si="206"/>
        <v/>
      </c>
      <c r="R574" s="422" t="str">
        <f t="shared" si="207"/>
        <v/>
      </c>
      <c r="S574" s="583">
        <f t="shared" si="203"/>
        <v>0</v>
      </c>
      <c r="T574" s="377" t="str">
        <f>+IFERROR(VLOOKUP(S574,STAT1!$C$4:$D$189,2,FALSE),"")</f>
        <v/>
      </c>
      <c r="U574" s="415"/>
      <c r="V574" s="415"/>
      <c r="W574" s="823"/>
      <c r="X574" s="436" t="str">
        <f>IFERROR(VLOOKUP(W574,DATA!$G$4:$H$400,2,FALSE),"")</f>
        <v/>
      </c>
      <c r="Y574" s="328"/>
      <c r="Z574" s="328"/>
      <c r="AA574" s="328"/>
    </row>
    <row r="575" spans="1:27" ht="12.75" customHeight="1">
      <c r="A575" s="425"/>
      <c r="B575" s="368" t="str">
        <f t="shared" si="194"/>
        <v/>
      </c>
      <c r="C575" s="425"/>
      <c r="D575" s="423"/>
      <c r="E575" s="422" t="str">
        <f t="shared" ca="1" si="195"/>
        <v/>
      </c>
      <c r="F575" s="426" t="str">
        <f t="shared" ca="1" si="197"/>
        <v/>
      </c>
      <c r="G575" s="415"/>
      <c r="H575" s="415"/>
      <c r="I575" s="415"/>
      <c r="J575" s="415"/>
      <c r="K575" s="415"/>
      <c r="L575" s="415"/>
      <c r="M575" s="415"/>
      <c r="N575" s="422" t="str">
        <f t="shared" si="208"/>
        <v/>
      </c>
      <c r="O575" s="422" t="str">
        <f t="shared" si="204"/>
        <v/>
      </c>
      <c r="P575" s="422" t="str">
        <f t="shared" si="205"/>
        <v/>
      </c>
      <c r="Q575" s="422" t="str">
        <f t="shared" si="206"/>
        <v/>
      </c>
      <c r="R575" s="422" t="str">
        <f t="shared" si="207"/>
        <v/>
      </c>
      <c r="S575" s="583">
        <f t="shared" si="203"/>
        <v>0</v>
      </c>
      <c r="T575" s="377" t="str">
        <f>+IFERROR(VLOOKUP(S575,STAT1!$C$4:$D$189,2,FALSE),"")</f>
        <v/>
      </c>
      <c r="U575" s="424"/>
      <c r="V575" s="424"/>
      <c r="W575" s="822"/>
      <c r="X575" s="436" t="str">
        <f>IFERROR(VLOOKUP(W575,DATA!$G$4:$H$400,2,FALSE),"")</f>
        <v/>
      </c>
      <c r="Y575" s="328"/>
      <c r="Z575" s="328"/>
      <c r="AA575" s="328"/>
    </row>
    <row r="576" spans="1:27" ht="12.75" customHeight="1">
      <c r="A576" s="425"/>
      <c r="B576" s="368" t="str">
        <f t="shared" si="194"/>
        <v/>
      </c>
      <c r="C576" s="425"/>
      <c r="D576" s="423"/>
      <c r="E576" s="422" t="str">
        <f t="shared" ca="1" si="195"/>
        <v/>
      </c>
      <c r="F576" s="426" t="str">
        <f t="shared" ca="1" si="197"/>
        <v/>
      </c>
      <c r="G576" s="415"/>
      <c r="H576" s="415"/>
      <c r="I576" s="415"/>
      <c r="J576" s="415"/>
      <c r="K576" s="415"/>
      <c r="L576" s="415"/>
      <c r="M576" s="415"/>
      <c r="N576" s="422" t="str">
        <f t="shared" si="208"/>
        <v/>
      </c>
      <c r="O576" s="422" t="str">
        <f t="shared" si="204"/>
        <v/>
      </c>
      <c r="P576" s="422" t="str">
        <f t="shared" si="205"/>
        <v/>
      </c>
      <c r="Q576" s="422" t="str">
        <f t="shared" si="206"/>
        <v/>
      </c>
      <c r="R576" s="422" t="str">
        <f t="shared" si="207"/>
        <v/>
      </c>
      <c r="S576" s="583">
        <f t="shared" si="203"/>
        <v>0</v>
      </c>
      <c r="T576" s="377" t="str">
        <f>+IFERROR(VLOOKUP(S576,STAT1!$C$4:$D$189,2,FALSE),"")</f>
        <v/>
      </c>
      <c r="U576" s="424"/>
      <c r="V576" s="424"/>
      <c r="W576" s="822"/>
      <c r="X576" s="436" t="str">
        <f>IFERROR(VLOOKUP(W576,DATA!$G$4:$H$400,2,FALSE),"")</f>
        <v/>
      </c>
      <c r="Y576" s="328"/>
      <c r="Z576" s="328"/>
      <c r="AA576" s="328"/>
    </row>
    <row r="577" spans="1:27" ht="12.75" customHeight="1">
      <c r="A577" s="425"/>
      <c r="B577" s="368" t="str">
        <f t="shared" si="194"/>
        <v/>
      </c>
      <c r="C577" s="425"/>
      <c r="D577" s="423"/>
      <c r="E577" s="422" t="str">
        <f t="shared" ca="1" si="195"/>
        <v/>
      </c>
      <c r="F577" s="426" t="str">
        <f t="shared" ca="1" si="197"/>
        <v/>
      </c>
      <c r="G577" s="415"/>
      <c r="H577" s="415"/>
      <c r="I577" s="415"/>
      <c r="J577" s="415"/>
      <c r="K577" s="415"/>
      <c r="L577" s="415"/>
      <c r="M577" s="415"/>
      <c r="N577" s="422" t="str">
        <f t="shared" si="208"/>
        <v/>
      </c>
      <c r="O577" s="422" t="str">
        <f t="shared" si="204"/>
        <v/>
      </c>
      <c r="P577" s="422" t="str">
        <f t="shared" si="205"/>
        <v/>
      </c>
      <c r="Q577" s="422" t="str">
        <f t="shared" si="206"/>
        <v/>
      </c>
      <c r="R577" s="422" t="str">
        <f t="shared" si="207"/>
        <v/>
      </c>
      <c r="S577" s="583">
        <f t="shared" si="203"/>
        <v>0</v>
      </c>
      <c r="T577" s="377" t="str">
        <f>+IFERROR(VLOOKUP(S577,STAT1!$C$4:$D$189,2,FALSE),"")</f>
        <v/>
      </c>
      <c r="U577" s="424"/>
      <c r="V577" s="424"/>
      <c r="W577" s="822"/>
      <c r="X577" s="436" t="str">
        <f>IFERROR(VLOOKUP(W577,DATA!$G$4:$H$400,2,FALSE),"")</f>
        <v/>
      </c>
      <c r="Y577" s="328"/>
      <c r="Z577" s="328"/>
      <c r="AA577" s="328"/>
    </row>
    <row r="578" spans="1:27" ht="12.75" customHeight="1">
      <c r="A578" s="425"/>
      <c r="B578" s="368" t="str">
        <f t="shared" si="194"/>
        <v/>
      </c>
      <c r="C578" s="425"/>
      <c r="D578" s="423"/>
      <c r="E578" s="422" t="str">
        <f t="shared" ca="1" si="195"/>
        <v/>
      </c>
      <c r="F578" s="426" t="str">
        <f t="shared" ca="1" si="197"/>
        <v/>
      </c>
      <c r="G578" s="415"/>
      <c r="H578" s="415"/>
      <c r="I578" s="415"/>
      <c r="J578" s="415"/>
      <c r="K578" s="415"/>
      <c r="L578" s="415"/>
      <c r="M578" s="415"/>
      <c r="N578" s="422" t="str">
        <f t="shared" si="208"/>
        <v/>
      </c>
      <c r="O578" s="422" t="str">
        <f t="shared" si="204"/>
        <v/>
      </c>
      <c r="P578" s="422" t="str">
        <f t="shared" si="205"/>
        <v/>
      </c>
      <c r="Q578" s="422" t="str">
        <f t="shared" si="206"/>
        <v/>
      </c>
      <c r="R578" s="422" t="str">
        <f t="shared" si="207"/>
        <v/>
      </c>
      <c r="S578" s="583">
        <f t="shared" si="203"/>
        <v>0</v>
      </c>
      <c r="T578" s="377" t="str">
        <f>+IFERROR(VLOOKUP(S578,STAT1!$C$4:$D$189,2,FALSE),"")</f>
        <v/>
      </c>
      <c r="U578" s="424"/>
      <c r="V578" s="424"/>
      <c r="W578" s="822"/>
      <c r="X578" s="436" t="str">
        <f>IFERROR(VLOOKUP(W578,DATA!$G$4:$H$400,2,FALSE),"")</f>
        <v/>
      </c>
      <c r="Y578" s="328"/>
      <c r="Z578" s="328"/>
      <c r="AA578" s="328"/>
    </row>
    <row r="579" spans="1:27" ht="12.75" customHeight="1">
      <c r="A579" s="425"/>
      <c r="B579" s="368" t="str">
        <f t="shared" si="194"/>
        <v/>
      </c>
      <c r="C579" s="425"/>
      <c r="D579" s="423"/>
      <c r="E579" s="422" t="str">
        <f t="shared" ca="1" si="195"/>
        <v/>
      </c>
      <c r="F579" s="426" t="str">
        <f t="shared" ca="1" si="197"/>
        <v/>
      </c>
      <c r="G579" s="415"/>
      <c r="H579" s="415"/>
      <c r="I579" s="415"/>
      <c r="J579" s="415"/>
      <c r="K579" s="415"/>
      <c r="L579" s="415"/>
      <c r="M579" s="415"/>
      <c r="N579" s="422" t="str">
        <f t="shared" si="208"/>
        <v/>
      </c>
      <c r="O579" s="422" t="str">
        <f t="shared" si="204"/>
        <v/>
      </c>
      <c r="P579" s="422" t="str">
        <f t="shared" si="205"/>
        <v/>
      </c>
      <c r="Q579" s="422" t="str">
        <f t="shared" si="206"/>
        <v/>
      </c>
      <c r="R579" s="422" t="str">
        <f t="shared" si="207"/>
        <v/>
      </c>
      <c r="S579" s="583">
        <f t="shared" si="203"/>
        <v>0</v>
      </c>
      <c r="T579" s="377" t="str">
        <f>+IFERROR(VLOOKUP(S579,STAT1!$C$4:$D$189,2,FALSE),"")</f>
        <v/>
      </c>
      <c r="U579" s="415"/>
      <c r="V579" s="415"/>
      <c r="W579" s="823"/>
      <c r="X579" s="436" t="str">
        <f>IFERROR(VLOOKUP(W579,DATA!$G$4:$H$400,2,FALSE),"")</f>
        <v/>
      </c>
      <c r="Y579" s="328"/>
      <c r="Z579" s="328"/>
      <c r="AA579" s="328"/>
    </row>
    <row r="580" spans="1:27" ht="12.75" customHeight="1">
      <c r="A580" s="425"/>
      <c r="B580" s="368" t="str">
        <f t="shared" si="194"/>
        <v/>
      </c>
      <c r="C580" s="425"/>
      <c r="D580" s="423"/>
      <c r="E580" s="422" t="str">
        <f t="shared" ca="1" si="195"/>
        <v/>
      </c>
      <c r="F580" s="426" t="str">
        <f t="shared" ca="1" si="197"/>
        <v/>
      </c>
      <c r="G580" s="415"/>
      <c r="H580" s="415"/>
      <c r="I580" s="415"/>
      <c r="J580" s="415"/>
      <c r="K580" s="415"/>
      <c r="L580" s="415"/>
      <c r="M580" s="415"/>
      <c r="N580" s="422" t="str">
        <f t="shared" si="208"/>
        <v/>
      </c>
      <c r="O580" s="422" t="str">
        <f t="shared" si="204"/>
        <v/>
      </c>
      <c r="P580" s="422" t="str">
        <f t="shared" si="205"/>
        <v/>
      </c>
      <c r="Q580" s="422" t="str">
        <f t="shared" si="206"/>
        <v/>
      </c>
      <c r="R580" s="422" t="str">
        <f t="shared" si="207"/>
        <v/>
      </c>
      <c r="S580" s="583">
        <f t="shared" si="203"/>
        <v>0</v>
      </c>
      <c r="T580" s="377" t="str">
        <f>+IFERROR(VLOOKUP(S580,STAT1!$C$4:$D$189,2,FALSE),"")</f>
        <v/>
      </c>
      <c r="U580" s="424"/>
      <c r="V580" s="424"/>
      <c r="W580" s="822"/>
      <c r="X580" s="436" t="str">
        <f>IFERROR(VLOOKUP(W580,DATA!$G$4:$H$400,2,FALSE),"")</f>
        <v/>
      </c>
      <c r="Y580" s="328"/>
      <c r="Z580" s="328"/>
      <c r="AA580" s="328"/>
    </row>
    <row r="581" spans="1:27" ht="12.75" customHeight="1">
      <c r="A581" s="425"/>
      <c r="B581" s="368" t="str">
        <f t="shared" si="194"/>
        <v/>
      </c>
      <c r="C581" s="425"/>
      <c r="D581" s="423"/>
      <c r="E581" s="422" t="str">
        <f t="shared" ca="1" si="195"/>
        <v/>
      </c>
      <c r="F581" s="426" t="str">
        <f t="shared" ca="1" si="197"/>
        <v/>
      </c>
      <c r="G581" s="415"/>
      <c r="H581" s="415"/>
      <c r="I581" s="415"/>
      <c r="J581" s="415"/>
      <c r="K581" s="415"/>
      <c r="L581" s="415"/>
      <c r="M581" s="415"/>
      <c r="N581" s="422" t="str">
        <f t="shared" si="208"/>
        <v/>
      </c>
      <c r="O581" s="422" t="str">
        <f t="shared" si="204"/>
        <v/>
      </c>
      <c r="P581" s="422" t="str">
        <f t="shared" si="205"/>
        <v/>
      </c>
      <c r="Q581" s="422" t="str">
        <f t="shared" si="206"/>
        <v/>
      </c>
      <c r="R581" s="422" t="str">
        <f t="shared" si="207"/>
        <v/>
      </c>
      <c r="S581" s="583">
        <f t="shared" si="203"/>
        <v>0</v>
      </c>
      <c r="T581" s="377" t="str">
        <f>+IFERROR(VLOOKUP(S581,STAT1!$C$4:$D$189,2,FALSE),"")</f>
        <v/>
      </c>
      <c r="U581" s="424"/>
      <c r="V581" s="424"/>
      <c r="W581" s="822"/>
      <c r="X581" s="436" t="str">
        <f>IFERROR(VLOOKUP(W581,DATA!$G$4:$H$400,2,FALSE),"")</f>
        <v/>
      </c>
      <c r="Y581" s="328"/>
      <c r="Z581" s="328"/>
      <c r="AA581" s="328"/>
    </row>
    <row r="582" spans="1:27" ht="12.75" customHeight="1">
      <c r="A582" s="425"/>
      <c r="B582" s="368" t="str">
        <f t="shared" si="194"/>
        <v/>
      </c>
      <c r="C582" s="425"/>
      <c r="D582" s="423"/>
      <c r="E582" s="422" t="str">
        <f t="shared" ca="1" si="195"/>
        <v/>
      </c>
      <c r="F582" s="426" t="str">
        <f t="shared" ca="1" si="197"/>
        <v/>
      </c>
      <c r="G582" s="415"/>
      <c r="H582" s="415"/>
      <c r="I582" s="415"/>
      <c r="J582" s="415"/>
      <c r="K582" s="415"/>
      <c r="L582" s="415"/>
      <c r="M582" s="415"/>
      <c r="N582" s="422" t="str">
        <f t="shared" si="208"/>
        <v/>
      </c>
      <c r="O582" s="422" t="str">
        <f t="shared" si="204"/>
        <v/>
      </c>
      <c r="P582" s="422" t="str">
        <f t="shared" si="205"/>
        <v/>
      </c>
      <c r="Q582" s="422" t="str">
        <f t="shared" si="206"/>
        <v/>
      </c>
      <c r="R582" s="422" t="str">
        <f t="shared" si="207"/>
        <v/>
      </c>
      <c r="S582" s="583">
        <f t="shared" si="203"/>
        <v>0</v>
      </c>
      <c r="T582" s="377" t="str">
        <f>+IFERROR(VLOOKUP(S582,STAT1!$C$4:$D$189,2,FALSE),"")</f>
        <v/>
      </c>
      <c r="U582" s="424"/>
      <c r="V582" s="424"/>
      <c r="W582" s="822"/>
      <c r="X582" s="436" t="str">
        <f>IFERROR(VLOOKUP(W582,DATA!$G$4:$H$400,2,FALSE),"")</f>
        <v/>
      </c>
      <c r="Y582" s="328"/>
      <c r="Z582" s="328"/>
      <c r="AA582" s="328"/>
    </row>
    <row r="583" spans="1:27" ht="12.75" customHeight="1">
      <c r="A583" s="425"/>
      <c r="B583" s="368" t="str">
        <f t="shared" si="194"/>
        <v/>
      </c>
      <c r="C583" s="425"/>
      <c r="D583" s="423"/>
      <c r="E583" s="422" t="str">
        <f t="shared" ca="1" si="195"/>
        <v/>
      </c>
      <c r="F583" s="426" t="str">
        <f t="shared" ca="1" si="197"/>
        <v/>
      </c>
      <c r="G583" s="415"/>
      <c r="H583" s="415"/>
      <c r="I583" s="415"/>
      <c r="J583" s="415"/>
      <c r="K583" s="415"/>
      <c r="L583" s="415"/>
      <c r="M583" s="415"/>
      <c r="N583" s="422" t="str">
        <f t="shared" si="208"/>
        <v/>
      </c>
      <c r="O583" s="422" t="str">
        <f t="shared" si="204"/>
        <v/>
      </c>
      <c r="P583" s="422" t="str">
        <f t="shared" si="205"/>
        <v/>
      </c>
      <c r="Q583" s="422" t="str">
        <f t="shared" si="206"/>
        <v/>
      </c>
      <c r="R583" s="422" t="str">
        <f t="shared" si="207"/>
        <v/>
      </c>
      <c r="S583" s="583">
        <f t="shared" si="203"/>
        <v>0</v>
      </c>
      <c r="T583" s="377" t="str">
        <f>+IFERROR(VLOOKUP(S583,STAT1!$C$4:$D$189,2,FALSE),"")</f>
        <v/>
      </c>
      <c r="U583" s="424"/>
      <c r="V583" s="424"/>
      <c r="W583" s="822"/>
      <c r="X583" s="436" t="str">
        <f>IFERROR(VLOOKUP(W583,DATA!$G$4:$H$400,2,FALSE),"")</f>
        <v/>
      </c>
      <c r="Y583" s="328"/>
      <c r="Z583" s="328"/>
      <c r="AA583" s="328"/>
    </row>
    <row r="584" spans="1:27" ht="12.75" customHeight="1">
      <c r="A584" s="425"/>
      <c r="B584" s="368" t="str">
        <f t="shared" si="194"/>
        <v/>
      </c>
      <c r="C584" s="425"/>
      <c r="D584" s="423"/>
      <c r="E584" s="422" t="str">
        <f t="shared" ca="1" si="195"/>
        <v/>
      </c>
      <c r="F584" s="426" t="str">
        <f t="shared" ca="1" si="197"/>
        <v/>
      </c>
      <c r="G584" s="415"/>
      <c r="H584" s="415"/>
      <c r="I584" s="415"/>
      <c r="J584" s="415"/>
      <c r="K584" s="415"/>
      <c r="L584" s="415"/>
      <c r="M584" s="415"/>
      <c r="N584" s="422" t="str">
        <f t="shared" si="208"/>
        <v/>
      </c>
      <c r="O584" s="422" t="str">
        <f t="shared" si="204"/>
        <v/>
      </c>
      <c r="P584" s="422" t="str">
        <f t="shared" si="205"/>
        <v/>
      </c>
      <c r="Q584" s="422" t="str">
        <f t="shared" si="206"/>
        <v/>
      </c>
      <c r="R584" s="422" t="str">
        <f t="shared" si="207"/>
        <v/>
      </c>
      <c r="S584" s="583">
        <f t="shared" si="203"/>
        <v>0</v>
      </c>
      <c r="T584" s="377" t="str">
        <f>+IFERROR(VLOOKUP(S584,STAT1!$C$4:$D$189,2,FALSE),"")</f>
        <v/>
      </c>
      <c r="U584" s="415"/>
      <c r="V584" s="415"/>
      <c r="W584" s="823"/>
      <c r="X584" s="436" t="str">
        <f>IFERROR(VLOOKUP(W584,DATA!$G$4:$H$400,2,FALSE),"")</f>
        <v/>
      </c>
      <c r="Y584" s="328"/>
      <c r="Z584" s="328"/>
      <c r="AA584" s="328"/>
    </row>
    <row r="585" spans="1:27" ht="12.75" customHeight="1">
      <c r="A585" s="425"/>
      <c r="B585" s="368" t="str">
        <f t="shared" ref="B585:B607" si="209">+IF(C585="","",ROW()-5)</f>
        <v/>
      </c>
      <c r="C585" s="425"/>
      <c r="D585" s="423"/>
      <c r="E585" s="422" t="str">
        <f t="shared" ref="E585:E648" ca="1" si="210">+IFERROR(VLOOKUP(D585,TN_table,2,FALSE),"")</f>
        <v/>
      </c>
      <c r="F585" s="426" t="str">
        <f t="shared" ca="1" si="197"/>
        <v/>
      </c>
      <c r="G585" s="415"/>
      <c r="H585" s="415"/>
      <c r="I585" s="415"/>
      <c r="J585" s="415"/>
      <c r="K585" s="415"/>
      <c r="L585" s="415"/>
      <c r="M585" s="415"/>
      <c r="N585" s="422" t="str">
        <f t="shared" si="208"/>
        <v/>
      </c>
      <c r="O585" s="422" t="str">
        <f t="shared" si="204"/>
        <v/>
      </c>
      <c r="P585" s="422" t="str">
        <f t="shared" si="205"/>
        <v/>
      </c>
      <c r="Q585" s="422" t="str">
        <f t="shared" si="206"/>
        <v/>
      </c>
      <c r="R585" s="422" t="str">
        <f t="shared" si="207"/>
        <v/>
      </c>
      <c r="S585" s="583">
        <f t="shared" si="203"/>
        <v>0</v>
      </c>
      <c r="T585" s="377" t="str">
        <f>+IFERROR(VLOOKUP(S585,STAT1!$C$4:$D$189,2,FALSE),"")</f>
        <v/>
      </c>
      <c r="U585" s="424"/>
      <c r="V585" s="424"/>
      <c r="W585" s="822"/>
      <c r="X585" s="436" t="str">
        <f>IFERROR(VLOOKUP(W585,DATA!$G$4:$H$400,2,FALSE),"")</f>
        <v/>
      </c>
      <c r="Y585" s="328"/>
      <c r="Z585" s="328"/>
      <c r="AA585" s="328"/>
    </row>
    <row r="586" spans="1:27" ht="12.75" customHeight="1">
      <c r="A586" s="425"/>
      <c r="B586" s="368" t="str">
        <f t="shared" si="209"/>
        <v/>
      </c>
      <c r="C586" s="425"/>
      <c r="D586" s="423"/>
      <c r="E586" s="422" t="str">
        <f t="shared" ca="1" si="210"/>
        <v/>
      </c>
      <c r="F586" s="426" t="str">
        <f t="shared" ca="1" si="197"/>
        <v/>
      </c>
      <c r="G586" s="415"/>
      <c r="H586" s="415"/>
      <c r="I586" s="415"/>
      <c r="J586" s="415"/>
      <c r="K586" s="415"/>
      <c r="L586" s="415"/>
      <c r="M586" s="415"/>
      <c r="N586" s="422" t="str">
        <f t="shared" si="208"/>
        <v/>
      </c>
      <c r="O586" s="422" t="str">
        <f t="shared" si="204"/>
        <v/>
      </c>
      <c r="P586" s="422" t="str">
        <f t="shared" si="205"/>
        <v/>
      </c>
      <c r="Q586" s="422" t="str">
        <f t="shared" si="206"/>
        <v/>
      </c>
      <c r="R586" s="422" t="str">
        <f t="shared" si="207"/>
        <v/>
      </c>
      <c r="S586" s="583">
        <f t="shared" si="203"/>
        <v>0</v>
      </c>
      <c r="T586" s="377" t="str">
        <f>+IFERROR(VLOOKUP(S586,STAT1!$C$4:$D$189,2,FALSE),"")</f>
        <v/>
      </c>
      <c r="U586" s="424"/>
      <c r="V586" s="424"/>
      <c r="W586" s="822"/>
      <c r="X586" s="436" t="str">
        <f>IFERROR(VLOOKUP(W586,DATA!$G$4:$H$400,2,FALSE),"")</f>
        <v/>
      </c>
      <c r="Y586" s="328"/>
      <c r="Z586" s="328"/>
      <c r="AA586" s="328"/>
    </row>
    <row r="587" spans="1:27" ht="12.75" customHeight="1">
      <c r="A587" s="425"/>
      <c r="B587" s="368" t="str">
        <f t="shared" si="209"/>
        <v/>
      </c>
      <c r="C587" s="425"/>
      <c r="D587" s="423"/>
      <c r="E587" s="422" t="str">
        <f t="shared" ca="1" si="210"/>
        <v/>
      </c>
      <c r="F587" s="426" t="str">
        <f t="shared" ca="1" si="197"/>
        <v/>
      </c>
      <c r="G587" s="415"/>
      <c r="H587" s="415"/>
      <c r="I587" s="415"/>
      <c r="J587" s="415"/>
      <c r="K587" s="415"/>
      <c r="L587" s="415"/>
      <c r="M587" s="415"/>
      <c r="N587" s="422" t="str">
        <f t="shared" si="208"/>
        <v/>
      </c>
      <c r="O587" s="422" t="str">
        <f t="shared" si="204"/>
        <v/>
      </c>
      <c r="P587" s="422" t="str">
        <f t="shared" si="205"/>
        <v/>
      </c>
      <c r="Q587" s="422" t="str">
        <f t="shared" si="206"/>
        <v/>
      </c>
      <c r="R587" s="422" t="str">
        <f t="shared" si="207"/>
        <v/>
      </c>
      <c r="S587" s="583">
        <f t="shared" si="203"/>
        <v>0</v>
      </c>
      <c r="T587" s="377" t="str">
        <f>+IFERROR(VLOOKUP(S587,STAT1!$C$4:$D$189,2,FALSE),"")</f>
        <v/>
      </c>
      <c r="U587" s="424"/>
      <c r="V587" s="424"/>
      <c r="W587" s="822"/>
      <c r="X587" s="436" t="str">
        <f>IFERROR(VLOOKUP(W587,DATA!$G$4:$H$400,2,FALSE),"")</f>
        <v/>
      </c>
      <c r="Y587" s="328"/>
      <c r="Z587" s="328"/>
      <c r="AA587" s="328"/>
    </row>
    <row r="588" spans="1:27" ht="12.75" customHeight="1">
      <c r="A588" s="425"/>
      <c r="B588" s="368" t="str">
        <f t="shared" si="209"/>
        <v/>
      </c>
      <c r="C588" s="425"/>
      <c r="D588" s="423"/>
      <c r="E588" s="422" t="str">
        <f t="shared" ca="1" si="210"/>
        <v/>
      </c>
      <c r="F588" s="426" t="str">
        <f t="shared" ca="1" si="197"/>
        <v/>
      </c>
      <c r="G588" s="415"/>
      <c r="H588" s="415"/>
      <c r="I588" s="415" t="str">
        <f>+IF(G588="","",G588*H588)</f>
        <v/>
      </c>
      <c r="J588" s="415" t="str">
        <f>+IF(G588="","",I588*0.1)</f>
        <v/>
      </c>
      <c r="K588" s="415" t="str">
        <f>+IF(G588="","",I588+J588)</f>
        <v/>
      </c>
      <c r="L588" s="415"/>
      <c r="M588" s="415"/>
      <c r="N588" s="422" t="str">
        <f t="shared" ref="N588:N606" si="211">+IF(L588="","",L588*M588)</f>
        <v/>
      </c>
      <c r="O588" s="422" t="str">
        <f t="shared" si="204"/>
        <v/>
      </c>
      <c r="P588" s="422" t="str">
        <f t="shared" si="205"/>
        <v/>
      </c>
      <c r="Q588" s="422" t="str">
        <f t="shared" si="206"/>
        <v/>
      </c>
      <c r="R588" s="422" t="str">
        <f t="shared" si="207"/>
        <v/>
      </c>
      <c r="S588" s="583">
        <f t="shared" si="203"/>
        <v>0</v>
      </c>
      <c r="T588" s="377" t="str">
        <f>+IFERROR(VLOOKUP(S588,STAT1!$C$4:$D$189,2,FALSE),"")</f>
        <v/>
      </c>
      <c r="U588" s="424"/>
      <c r="V588" s="424"/>
      <c r="W588" s="822"/>
      <c r="X588" s="436" t="str">
        <f>IFERROR(VLOOKUP(W588,DATA!$G$4:$H$400,2,FALSE),"")</f>
        <v/>
      </c>
      <c r="Y588" s="328"/>
      <c r="Z588" s="328"/>
      <c r="AA588" s="328"/>
    </row>
    <row r="589" spans="1:27" ht="12.75" customHeight="1">
      <c r="A589" s="425"/>
      <c r="B589" s="368" t="str">
        <f t="shared" si="209"/>
        <v/>
      </c>
      <c r="C589" s="425"/>
      <c r="D589" s="423"/>
      <c r="E589" s="422" t="str">
        <f t="shared" ca="1" si="210"/>
        <v/>
      </c>
      <c r="F589" s="426" t="str">
        <f t="shared" ca="1" si="197"/>
        <v/>
      </c>
      <c r="G589" s="415"/>
      <c r="H589" s="415"/>
      <c r="I589" s="415" t="str">
        <f>+IF(G589="","",G589*H589)</f>
        <v/>
      </c>
      <c r="J589" s="415" t="str">
        <f>+IF(G589="","",I589*0.1)</f>
        <v/>
      </c>
      <c r="K589" s="415" t="str">
        <f>+IF(G589="","",I589+J589)</f>
        <v/>
      </c>
      <c r="L589" s="415"/>
      <c r="M589" s="415"/>
      <c r="N589" s="422" t="str">
        <f t="shared" si="211"/>
        <v/>
      </c>
      <c r="O589" s="422" t="str">
        <f t="shared" si="204"/>
        <v/>
      </c>
      <c r="P589" s="422" t="str">
        <f t="shared" si="205"/>
        <v/>
      </c>
      <c r="Q589" s="422" t="str">
        <f t="shared" si="206"/>
        <v/>
      </c>
      <c r="R589" s="422" t="str">
        <f t="shared" si="207"/>
        <v/>
      </c>
      <c r="S589" s="583">
        <f t="shared" si="203"/>
        <v>0</v>
      </c>
      <c r="T589" s="377" t="str">
        <f>+IFERROR(VLOOKUP(S589,STAT1!$C$4:$D$189,2,FALSE),"")</f>
        <v/>
      </c>
      <c r="U589" s="424"/>
      <c r="V589" s="424"/>
      <c r="W589" s="822"/>
      <c r="X589" s="436" t="str">
        <f>IFERROR(VLOOKUP(W589,DATA!$G$4:$H$400,2,FALSE),"")</f>
        <v/>
      </c>
      <c r="Y589" s="328"/>
      <c r="Z589" s="328"/>
      <c r="AA589" s="328"/>
    </row>
    <row r="590" spans="1:27" ht="12.75" customHeight="1">
      <c r="A590" s="425"/>
      <c r="B590" s="368" t="str">
        <f t="shared" si="209"/>
        <v/>
      </c>
      <c r="C590" s="425"/>
      <c r="D590" s="423"/>
      <c r="E590" s="422" t="str">
        <f t="shared" ca="1" si="210"/>
        <v/>
      </c>
      <c r="F590" s="426" t="str">
        <f t="shared" ca="1" si="197"/>
        <v/>
      </c>
      <c r="G590" s="415"/>
      <c r="H590" s="415"/>
      <c r="I590" s="415" t="str">
        <f>+IF(G590="","",G590*H590)</f>
        <v/>
      </c>
      <c r="J590" s="415" t="str">
        <f>+IF(G590="","",I590*0.1)</f>
        <v/>
      </c>
      <c r="K590" s="415" t="str">
        <f>+IF(G590="","",I590+J590)</f>
        <v/>
      </c>
      <c r="L590" s="415"/>
      <c r="M590" s="415"/>
      <c r="N590" s="422" t="str">
        <f t="shared" si="211"/>
        <v/>
      </c>
      <c r="O590" s="422" t="str">
        <f t="shared" si="204"/>
        <v/>
      </c>
      <c r="P590" s="422" t="str">
        <f t="shared" si="205"/>
        <v/>
      </c>
      <c r="Q590" s="422" t="str">
        <f t="shared" si="206"/>
        <v/>
      </c>
      <c r="R590" s="422" t="str">
        <f t="shared" si="207"/>
        <v/>
      </c>
      <c r="S590" s="583">
        <f t="shared" si="203"/>
        <v>0</v>
      </c>
      <c r="T590" s="377" t="str">
        <f>+IFERROR(VLOOKUP(S590,STAT1!$C$4:$D$189,2,FALSE),"")</f>
        <v/>
      </c>
      <c r="U590" s="424"/>
      <c r="V590" s="424"/>
      <c r="W590" s="822"/>
      <c r="X590" s="436" t="str">
        <f>IFERROR(VLOOKUP(W590,DATA!$G$4:$H$400,2,FALSE),"")</f>
        <v/>
      </c>
      <c r="Y590" s="328"/>
      <c r="Z590" s="328"/>
      <c r="AA590" s="328"/>
    </row>
    <row r="591" spans="1:27" ht="12.75" customHeight="1">
      <c r="A591" s="425"/>
      <c r="B591" s="368" t="str">
        <f t="shared" si="209"/>
        <v/>
      </c>
      <c r="C591" s="425"/>
      <c r="D591" s="423"/>
      <c r="E591" s="422" t="str">
        <f t="shared" ca="1" si="210"/>
        <v/>
      </c>
      <c r="F591" s="426" t="str">
        <f t="shared" ca="1" si="197"/>
        <v/>
      </c>
      <c r="G591" s="415"/>
      <c r="H591" s="415"/>
      <c r="I591" s="415"/>
      <c r="J591" s="415"/>
      <c r="K591" s="415"/>
      <c r="L591" s="415"/>
      <c r="M591" s="415"/>
      <c r="N591" s="422" t="str">
        <f t="shared" si="211"/>
        <v/>
      </c>
      <c r="O591" s="422" t="str">
        <f t="shared" si="204"/>
        <v/>
      </c>
      <c r="P591" s="422" t="str">
        <f t="shared" si="205"/>
        <v/>
      </c>
      <c r="Q591" s="422" t="str">
        <f t="shared" si="206"/>
        <v/>
      </c>
      <c r="R591" s="422" t="str">
        <f t="shared" si="207"/>
        <v/>
      </c>
      <c r="S591" s="583">
        <f t="shared" si="203"/>
        <v>0</v>
      </c>
      <c r="T591" s="377" t="str">
        <f>+IFERROR(VLOOKUP(S591,STAT1!$C$4:$D$189,2,FALSE),"")</f>
        <v/>
      </c>
      <c r="U591" s="424"/>
      <c r="V591" s="424"/>
      <c r="W591" s="822"/>
      <c r="X591" s="436" t="str">
        <f>IFERROR(VLOOKUP(W591,DATA!$G$4:$H$400,2,FALSE),"")</f>
        <v/>
      </c>
      <c r="Y591" s="328"/>
      <c r="Z591" s="328"/>
      <c r="AA591" s="328"/>
    </row>
    <row r="592" spans="1:27" ht="12.75" customHeight="1">
      <c r="A592" s="425"/>
      <c r="B592" s="368" t="str">
        <f t="shared" si="209"/>
        <v/>
      </c>
      <c r="C592" s="425"/>
      <c r="D592" s="423"/>
      <c r="E592" s="422" t="str">
        <f t="shared" ca="1" si="210"/>
        <v/>
      </c>
      <c r="F592" s="426" t="str">
        <f t="shared" ca="1" si="197"/>
        <v/>
      </c>
      <c r="G592" s="415"/>
      <c r="H592" s="415"/>
      <c r="I592" s="415"/>
      <c r="J592" s="415"/>
      <c r="K592" s="415"/>
      <c r="L592" s="415"/>
      <c r="M592" s="415"/>
      <c r="N592" s="422" t="str">
        <f t="shared" si="211"/>
        <v/>
      </c>
      <c r="O592" s="422" t="str">
        <f t="shared" si="204"/>
        <v/>
      </c>
      <c r="P592" s="422" t="str">
        <f t="shared" si="205"/>
        <v/>
      </c>
      <c r="Q592" s="422" t="str">
        <f t="shared" si="206"/>
        <v/>
      </c>
      <c r="R592" s="422" t="str">
        <f t="shared" si="207"/>
        <v/>
      </c>
      <c r="S592" s="583">
        <f t="shared" si="203"/>
        <v>0</v>
      </c>
      <c r="T592" s="377" t="str">
        <f>+IFERROR(VLOOKUP(S592,STAT1!$C$4:$D$189,2,FALSE),"")</f>
        <v/>
      </c>
      <c r="U592" s="415"/>
      <c r="V592" s="415"/>
      <c r="W592" s="823"/>
      <c r="X592" s="436" t="str">
        <f>IFERROR(VLOOKUP(W592,DATA!$G$4:$H$400,2,FALSE),"")</f>
        <v/>
      </c>
      <c r="Y592" s="328"/>
      <c r="Z592" s="328"/>
      <c r="AA592" s="328"/>
    </row>
    <row r="593" spans="1:27" ht="12.75" customHeight="1">
      <c r="A593" s="425"/>
      <c r="B593" s="368" t="str">
        <f t="shared" si="209"/>
        <v/>
      </c>
      <c r="C593" s="425"/>
      <c r="D593" s="423"/>
      <c r="E593" s="422" t="str">
        <f t="shared" ca="1" si="210"/>
        <v/>
      </c>
      <c r="F593" s="426" t="str">
        <f t="shared" ref="F593:F606" ca="1" si="212">+IFERROR(VLOOKUP(D593,TN_table,3,FALSE),"")</f>
        <v/>
      </c>
      <c r="G593" s="415"/>
      <c r="H593" s="415"/>
      <c r="I593" s="415"/>
      <c r="J593" s="415"/>
      <c r="K593" s="415"/>
      <c r="L593" s="415"/>
      <c r="M593" s="415"/>
      <c r="N593" s="422" t="str">
        <f t="shared" si="211"/>
        <v/>
      </c>
      <c r="O593" s="422" t="str">
        <f t="shared" ref="O593:O606" si="213">+IF(L593="","",N593*0.1)</f>
        <v/>
      </c>
      <c r="P593" s="422" t="str">
        <f t="shared" ref="P593:P606" si="214">+IF(L593="","",N593+O593)</f>
        <v/>
      </c>
      <c r="Q593" s="422" t="str">
        <f t="shared" ref="Q593:Q606" si="215">IF(L593="","",IFERROR((SUMIFS(TN_balC1_totol,TN_code,D593)+SUMIFS(RC_or_totol,RC_Code,D593,RC_date,"&lt;="&amp;C593)-SUMIFS(RC_zar_totol,RC_Code,D593,RC_date,"&lt;"&amp;C593)) /( SUMIFS(TN_balC1_unit,TN_code,D593)+SUMIFS(RC_or_unit,RC_Code,D593,RC_date,"&lt;="&amp;C593)-SUMIFS(RC_zar_unit,RC_Code,D593,RC_date,"&lt;"&amp;C593)),0 ))</f>
        <v/>
      </c>
      <c r="R593" s="422" t="str">
        <f t="shared" ref="R593:R606" si="216">+IF(L593="","",L593*Q593)</f>
        <v/>
      </c>
      <c r="S593" s="583">
        <f t="shared" si="203"/>
        <v>0</v>
      </c>
      <c r="T593" s="377" t="str">
        <f>+IFERROR(VLOOKUP(S593,STAT1!$C$4:$D$189,2,FALSE),"")</f>
        <v/>
      </c>
      <c r="U593" s="424"/>
      <c r="V593" s="424"/>
      <c r="W593" s="822"/>
      <c r="X593" s="436" t="str">
        <f>IFERROR(VLOOKUP(W593,DATA!$G$4:$H$400,2,FALSE),"")</f>
        <v/>
      </c>
      <c r="Y593" s="328"/>
      <c r="Z593" s="328"/>
      <c r="AA593" s="328"/>
    </row>
    <row r="594" spans="1:27" ht="12.75" customHeight="1">
      <c r="A594" s="425"/>
      <c r="B594" s="368" t="str">
        <f t="shared" si="209"/>
        <v/>
      </c>
      <c r="C594" s="425"/>
      <c r="D594" s="423"/>
      <c r="E594" s="422" t="str">
        <f t="shared" ca="1" si="210"/>
        <v/>
      </c>
      <c r="F594" s="426" t="str">
        <f t="shared" ca="1" si="212"/>
        <v/>
      </c>
      <c r="G594" s="415"/>
      <c r="H594" s="415"/>
      <c r="I594" s="415"/>
      <c r="J594" s="415"/>
      <c r="K594" s="415"/>
      <c r="L594" s="415"/>
      <c r="M594" s="415"/>
      <c r="N594" s="422" t="str">
        <f t="shared" si="211"/>
        <v/>
      </c>
      <c r="O594" s="422" t="str">
        <f t="shared" si="213"/>
        <v/>
      </c>
      <c r="P594" s="422" t="str">
        <f t="shared" si="214"/>
        <v/>
      </c>
      <c r="Q594" s="422" t="str">
        <f t="shared" si="215"/>
        <v/>
      </c>
      <c r="R594" s="422" t="str">
        <f t="shared" si="216"/>
        <v/>
      </c>
      <c r="S594" s="583">
        <f t="shared" si="203"/>
        <v>0</v>
      </c>
      <c r="T594" s="377" t="str">
        <f>+IFERROR(VLOOKUP(S594,STAT1!$C$4:$D$189,2,FALSE),"")</f>
        <v/>
      </c>
      <c r="U594" s="424"/>
      <c r="V594" s="424"/>
      <c r="W594" s="822"/>
      <c r="X594" s="436" t="str">
        <f>IFERROR(VLOOKUP(W594,DATA!$G$4:$H$400,2,FALSE),"")</f>
        <v/>
      </c>
      <c r="Y594" s="328"/>
      <c r="Z594" s="328"/>
      <c r="AA594" s="328"/>
    </row>
    <row r="595" spans="1:27" ht="12.75" customHeight="1">
      <c r="A595" s="425"/>
      <c r="B595" s="368" t="str">
        <f t="shared" si="209"/>
        <v/>
      </c>
      <c r="C595" s="425"/>
      <c r="D595" s="423"/>
      <c r="E595" s="422" t="str">
        <f t="shared" ca="1" si="210"/>
        <v/>
      </c>
      <c r="F595" s="426" t="str">
        <f t="shared" ca="1" si="212"/>
        <v/>
      </c>
      <c r="G595" s="415"/>
      <c r="H595" s="415"/>
      <c r="I595" s="415"/>
      <c r="J595" s="415"/>
      <c r="K595" s="415"/>
      <c r="L595" s="415"/>
      <c r="M595" s="415"/>
      <c r="N595" s="422" t="str">
        <f t="shared" si="211"/>
        <v/>
      </c>
      <c r="O595" s="422" t="str">
        <f t="shared" si="213"/>
        <v/>
      </c>
      <c r="P595" s="422" t="str">
        <f t="shared" si="214"/>
        <v/>
      </c>
      <c r="Q595" s="422" t="str">
        <f t="shared" si="215"/>
        <v/>
      </c>
      <c r="R595" s="422" t="str">
        <f t="shared" si="216"/>
        <v/>
      </c>
      <c r="S595" s="583">
        <f t="shared" si="203"/>
        <v>0</v>
      </c>
      <c r="T595" s="377" t="str">
        <f>+IFERROR(VLOOKUP(S595,STAT1!$C$4:$D$189,2,FALSE),"")</f>
        <v/>
      </c>
      <c r="U595" s="424"/>
      <c r="V595" s="424"/>
      <c r="W595" s="822"/>
      <c r="X595" s="436" t="str">
        <f>IFERROR(VLOOKUP(W595,DATA!$G$4:$H$400,2,FALSE),"")</f>
        <v/>
      </c>
      <c r="Y595" s="328"/>
      <c r="Z595" s="328"/>
      <c r="AA595" s="328"/>
    </row>
    <row r="596" spans="1:27" ht="12.75" customHeight="1">
      <c r="A596" s="425"/>
      <c r="B596" s="368" t="str">
        <f t="shared" si="209"/>
        <v/>
      </c>
      <c r="C596" s="425"/>
      <c r="D596" s="423"/>
      <c r="E596" s="422" t="str">
        <f t="shared" ca="1" si="210"/>
        <v/>
      </c>
      <c r="F596" s="426" t="str">
        <f t="shared" ca="1" si="212"/>
        <v/>
      </c>
      <c r="G596" s="415"/>
      <c r="H596" s="415"/>
      <c r="I596" s="415"/>
      <c r="J596" s="415"/>
      <c r="K596" s="415"/>
      <c r="L596" s="415"/>
      <c r="M596" s="415"/>
      <c r="N596" s="422" t="str">
        <f t="shared" si="211"/>
        <v/>
      </c>
      <c r="O596" s="422" t="str">
        <f t="shared" si="213"/>
        <v/>
      </c>
      <c r="P596" s="422" t="str">
        <f t="shared" si="214"/>
        <v/>
      </c>
      <c r="Q596" s="422" t="str">
        <f t="shared" si="215"/>
        <v/>
      </c>
      <c r="R596" s="422" t="str">
        <f t="shared" si="216"/>
        <v/>
      </c>
      <c r="S596" s="583">
        <f t="shared" si="203"/>
        <v>0</v>
      </c>
      <c r="T596" s="377" t="str">
        <f>+IFERROR(VLOOKUP(S596,STAT1!$C$4:$D$189,2,FALSE),"")</f>
        <v/>
      </c>
      <c r="U596" s="424"/>
      <c r="V596" s="424"/>
      <c r="W596" s="822"/>
      <c r="X596" s="436" t="str">
        <f>IFERROR(VLOOKUP(W596,DATA!$G$4:$H$400,2,FALSE),"")</f>
        <v/>
      </c>
      <c r="Y596" s="328"/>
      <c r="Z596" s="328"/>
      <c r="AA596" s="328"/>
    </row>
    <row r="597" spans="1:27" ht="12.75" customHeight="1">
      <c r="A597" s="425"/>
      <c r="B597" s="368" t="str">
        <f t="shared" si="209"/>
        <v/>
      </c>
      <c r="C597" s="425"/>
      <c r="D597" s="423"/>
      <c r="E597" s="422" t="str">
        <f t="shared" ca="1" si="210"/>
        <v/>
      </c>
      <c r="F597" s="426" t="str">
        <f t="shared" ca="1" si="212"/>
        <v/>
      </c>
      <c r="G597" s="415"/>
      <c r="H597" s="415"/>
      <c r="I597" s="415"/>
      <c r="J597" s="415"/>
      <c r="K597" s="415"/>
      <c r="L597" s="415"/>
      <c r="M597" s="415"/>
      <c r="N597" s="422" t="str">
        <f t="shared" si="211"/>
        <v/>
      </c>
      <c r="O597" s="422" t="str">
        <f t="shared" si="213"/>
        <v/>
      </c>
      <c r="P597" s="422" t="str">
        <f t="shared" si="214"/>
        <v/>
      </c>
      <c r="Q597" s="422" t="str">
        <f t="shared" si="215"/>
        <v/>
      </c>
      <c r="R597" s="422" t="str">
        <f t="shared" si="216"/>
        <v/>
      </c>
      <c r="S597" s="583">
        <f t="shared" si="203"/>
        <v>0</v>
      </c>
      <c r="T597" s="377" t="str">
        <f>+IFERROR(VLOOKUP(S597,STAT1!$C$4:$D$189,2,FALSE),"")</f>
        <v/>
      </c>
      <c r="U597" s="415"/>
      <c r="V597" s="415"/>
      <c r="W597" s="823"/>
      <c r="X597" s="436" t="str">
        <f>IFERROR(VLOOKUP(W597,DATA!$G$4:$H$400,2,FALSE),"")</f>
        <v/>
      </c>
      <c r="Y597" s="328"/>
      <c r="Z597" s="328"/>
      <c r="AA597" s="328"/>
    </row>
    <row r="598" spans="1:27" ht="12.75" customHeight="1">
      <c r="A598" s="425"/>
      <c r="B598" s="368" t="str">
        <f t="shared" si="209"/>
        <v/>
      </c>
      <c r="C598" s="425"/>
      <c r="D598" s="423"/>
      <c r="E598" s="422" t="str">
        <f t="shared" ca="1" si="210"/>
        <v/>
      </c>
      <c r="F598" s="426" t="str">
        <f t="shared" ca="1" si="212"/>
        <v/>
      </c>
      <c r="G598" s="415"/>
      <c r="H598" s="415"/>
      <c r="I598" s="415"/>
      <c r="J598" s="415"/>
      <c r="K598" s="415"/>
      <c r="L598" s="415"/>
      <c r="M598" s="415"/>
      <c r="N598" s="422" t="str">
        <f t="shared" si="211"/>
        <v/>
      </c>
      <c r="O598" s="422" t="str">
        <f t="shared" si="213"/>
        <v/>
      </c>
      <c r="P598" s="422" t="str">
        <f t="shared" si="214"/>
        <v/>
      </c>
      <c r="Q598" s="422" t="str">
        <f t="shared" si="215"/>
        <v/>
      </c>
      <c r="R598" s="422" t="str">
        <f t="shared" si="216"/>
        <v/>
      </c>
      <c r="S598" s="583">
        <f t="shared" si="203"/>
        <v>0</v>
      </c>
      <c r="T598" s="377" t="str">
        <f>+IFERROR(VLOOKUP(S598,STAT1!$C$4:$D$189,2,FALSE),"")</f>
        <v/>
      </c>
      <c r="U598" s="424"/>
      <c r="V598" s="424"/>
      <c r="W598" s="822"/>
      <c r="X598" s="436" t="str">
        <f>IFERROR(VLOOKUP(W598,DATA!$G$4:$H$400,2,FALSE),"")</f>
        <v/>
      </c>
      <c r="Y598" s="328"/>
      <c r="Z598" s="328"/>
      <c r="AA598" s="328"/>
    </row>
    <row r="599" spans="1:27" ht="12.75" customHeight="1">
      <c r="A599" s="425"/>
      <c r="B599" s="368" t="str">
        <f t="shared" si="209"/>
        <v/>
      </c>
      <c r="C599" s="425"/>
      <c r="D599" s="423"/>
      <c r="E599" s="422" t="str">
        <f t="shared" ca="1" si="210"/>
        <v/>
      </c>
      <c r="F599" s="426" t="str">
        <f t="shared" ca="1" si="212"/>
        <v/>
      </c>
      <c r="G599" s="415"/>
      <c r="H599" s="415"/>
      <c r="I599" s="415"/>
      <c r="J599" s="415"/>
      <c r="K599" s="415"/>
      <c r="L599" s="415"/>
      <c r="M599" s="415"/>
      <c r="N599" s="422" t="str">
        <f t="shared" si="211"/>
        <v/>
      </c>
      <c r="O599" s="422" t="str">
        <f t="shared" si="213"/>
        <v/>
      </c>
      <c r="P599" s="422" t="str">
        <f t="shared" si="214"/>
        <v/>
      </c>
      <c r="Q599" s="422" t="str">
        <f t="shared" si="215"/>
        <v/>
      </c>
      <c r="R599" s="422" t="str">
        <f t="shared" si="216"/>
        <v/>
      </c>
      <c r="S599" s="583">
        <f t="shared" si="203"/>
        <v>0</v>
      </c>
      <c r="T599" s="377" t="str">
        <f>+IFERROR(VLOOKUP(S599,STAT1!$C$4:$D$189,2,FALSE),"")</f>
        <v/>
      </c>
      <c r="U599" s="424"/>
      <c r="V599" s="424"/>
      <c r="W599" s="822"/>
      <c r="X599" s="436" t="str">
        <f>IFERROR(VLOOKUP(W599,DATA!$G$4:$H$400,2,FALSE),"")</f>
        <v/>
      </c>
      <c r="Y599" s="328"/>
      <c r="Z599" s="328"/>
      <c r="AA599" s="328"/>
    </row>
    <row r="600" spans="1:27" ht="12.75" customHeight="1">
      <c r="A600" s="425"/>
      <c r="B600" s="368" t="str">
        <f t="shared" si="209"/>
        <v/>
      </c>
      <c r="C600" s="425"/>
      <c r="D600" s="423"/>
      <c r="E600" s="422" t="str">
        <f t="shared" ca="1" si="210"/>
        <v/>
      </c>
      <c r="F600" s="426" t="str">
        <f t="shared" ca="1" si="212"/>
        <v/>
      </c>
      <c r="G600" s="415"/>
      <c r="H600" s="415"/>
      <c r="I600" s="415"/>
      <c r="J600" s="415"/>
      <c r="K600" s="415"/>
      <c r="L600" s="415"/>
      <c r="M600" s="415"/>
      <c r="N600" s="422" t="str">
        <f t="shared" si="211"/>
        <v/>
      </c>
      <c r="O600" s="422" t="str">
        <f t="shared" si="213"/>
        <v/>
      </c>
      <c r="P600" s="422" t="str">
        <f t="shared" si="214"/>
        <v/>
      </c>
      <c r="Q600" s="422" t="str">
        <f t="shared" si="215"/>
        <v/>
      </c>
      <c r="R600" s="422" t="str">
        <f t="shared" si="216"/>
        <v/>
      </c>
      <c r="S600" s="583">
        <f t="shared" si="203"/>
        <v>0</v>
      </c>
      <c r="T600" s="377" t="str">
        <f>+IFERROR(VLOOKUP(S600,STAT1!$C$4:$D$189,2,FALSE),"")</f>
        <v/>
      </c>
      <c r="U600" s="424"/>
      <c r="V600" s="424"/>
      <c r="W600" s="822"/>
      <c r="X600" s="436" t="str">
        <f>IFERROR(VLOOKUP(W600,DATA!$G$4:$H$400,2,FALSE),"")</f>
        <v/>
      </c>
      <c r="Y600" s="328"/>
      <c r="Z600" s="328"/>
      <c r="AA600" s="328"/>
    </row>
    <row r="601" spans="1:27" ht="12.75" customHeight="1">
      <c r="A601" s="425"/>
      <c r="B601" s="368" t="str">
        <f t="shared" si="209"/>
        <v/>
      </c>
      <c r="C601" s="425"/>
      <c r="D601" s="423"/>
      <c r="E601" s="422" t="str">
        <f t="shared" ca="1" si="210"/>
        <v/>
      </c>
      <c r="F601" s="426" t="str">
        <f t="shared" ca="1" si="212"/>
        <v/>
      </c>
      <c r="G601" s="415"/>
      <c r="H601" s="415"/>
      <c r="I601" s="415"/>
      <c r="J601" s="415"/>
      <c r="K601" s="415"/>
      <c r="L601" s="415"/>
      <c r="M601" s="415"/>
      <c r="N601" s="422" t="str">
        <f t="shared" si="211"/>
        <v/>
      </c>
      <c r="O601" s="422" t="str">
        <f t="shared" si="213"/>
        <v/>
      </c>
      <c r="P601" s="422" t="str">
        <f t="shared" si="214"/>
        <v/>
      </c>
      <c r="Q601" s="422" t="str">
        <f t="shared" si="215"/>
        <v/>
      </c>
      <c r="R601" s="422" t="str">
        <f t="shared" si="216"/>
        <v/>
      </c>
      <c r="S601" s="583">
        <f t="shared" si="203"/>
        <v>0</v>
      </c>
      <c r="T601" s="377" t="str">
        <f>+IFERROR(VLOOKUP(S601,STAT1!$C$4:$D$189,2,FALSE),"")</f>
        <v/>
      </c>
      <c r="U601" s="424"/>
      <c r="V601" s="424"/>
      <c r="W601" s="822"/>
      <c r="X601" s="436" t="str">
        <f>IFERROR(VLOOKUP(W601,DATA!$G$4:$H$400,2,FALSE),"")</f>
        <v/>
      </c>
      <c r="Y601" s="328"/>
      <c r="Z601" s="328"/>
      <c r="AA601" s="328"/>
    </row>
    <row r="602" spans="1:27" ht="12.75" customHeight="1">
      <c r="A602" s="425"/>
      <c r="B602" s="368" t="str">
        <f t="shared" si="209"/>
        <v/>
      </c>
      <c r="C602" s="425"/>
      <c r="D602" s="423"/>
      <c r="E602" s="422" t="str">
        <f t="shared" ca="1" si="210"/>
        <v/>
      </c>
      <c r="F602" s="426" t="str">
        <f t="shared" ca="1" si="212"/>
        <v/>
      </c>
      <c r="G602" s="415"/>
      <c r="H602" s="415"/>
      <c r="I602" s="415"/>
      <c r="J602" s="415"/>
      <c r="K602" s="415"/>
      <c r="L602" s="415"/>
      <c r="M602" s="415"/>
      <c r="N602" s="422" t="str">
        <f t="shared" si="211"/>
        <v/>
      </c>
      <c r="O602" s="422" t="str">
        <f t="shared" si="213"/>
        <v/>
      </c>
      <c r="P602" s="422" t="str">
        <f t="shared" si="214"/>
        <v/>
      </c>
      <c r="Q602" s="422" t="str">
        <f t="shared" si="215"/>
        <v/>
      </c>
      <c r="R602" s="422" t="str">
        <f t="shared" si="216"/>
        <v/>
      </c>
      <c r="S602" s="583">
        <f t="shared" ref="S602:S665" si="217">+IF(LEFT(D602,3)="131",140100,0)+IF(LEFT(D602,3)="310",150100,0)+IF(LEFT(D602,3)="211",150101,0)+IF(LEFT(D602,3)="410",160100,0)+IF(LEFT(D602,3)="440",160200,0)+IF(LEFT(D602,3)="430",160200,0)+IF(LEFT(D602,3)="420",160200,0)+IF(LEFT(D602,3)="460",160201,0)+IF(LEFT(D602,3)="210",150101,0)+IF(LEFT(D602,3)="510",140100,0)</f>
        <v>0</v>
      </c>
      <c r="T602" s="377" t="str">
        <f>+IFERROR(VLOOKUP(S602,STAT1!$C$4:$D$189,2,FALSE),"")</f>
        <v/>
      </c>
      <c r="U602" s="415"/>
      <c r="V602" s="415"/>
      <c r="W602" s="823"/>
      <c r="X602" s="436" t="str">
        <f>IFERROR(VLOOKUP(W602,DATA!$G$4:$H$400,2,FALSE),"")</f>
        <v/>
      </c>
      <c r="Y602" s="328"/>
      <c r="Z602" s="328"/>
      <c r="AA602" s="328"/>
    </row>
    <row r="603" spans="1:27" ht="12.75" customHeight="1">
      <c r="A603" s="425"/>
      <c r="B603" s="368" t="str">
        <f t="shared" si="209"/>
        <v/>
      </c>
      <c r="C603" s="425"/>
      <c r="D603" s="423"/>
      <c r="E603" s="422" t="str">
        <f t="shared" ca="1" si="210"/>
        <v/>
      </c>
      <c r="F603" s="426" t="str">
        <f t="shared" ca="1" si="212"/>
        <v/>
      </c>
      <c r="G603" s="415"/>
      <c r="H603" s="415"/>
      <c r="I603" s="415"/>
      <c r="J603" s="415"/>
      <c r="K603" s="415"/>
      <c r="L603" s="415"/>
      <c r="M603" s="415"/>
      <c r="N603" s="422" t="str">
        <f t="shared" si="211"/>
        <v/>
      </c>
      <c r="O603" s="422" t="str">
        <f t="shared" si="213"/>
        <v/>
      </c>
      <c r="P603" s="422" t="str">
        <f t="shared" si="214"/>
        <v/>
      </c>
      <c r="Q603" s="422" t="str">
        <f t="shared" si="215"/>
        <v/>
      </c>
      <c r="R603" s="422" t="str">
        <f t="shared" si="216"/>
        <v/>
      </c>
      <c r="S603" s="583">
        <f t="shared" si="217"/>
        <v>0</v>
      </c>
      <c r="T603" s="377" t="str">
        <f>+IFERROR(VLOOKUP(S603,STAT1!$C$4:$D$189,2,FALSE),"")</f>
        <v/>
      </c>
      <c r="U603" s="424"/>
      <c r="V603" s="424"/>
      <c r="W603" s="822"/>
      <c r="X603" s="436" t="str">
        <f>IFERROR(VLOOKUP(W603,DATA!$G$4:$H$400,2,FALSE),"")</f>
        <v/>
      </c>
      <c r="Y603" s="328"/>
      <c r="Z603" s="328"/>
      <c r="AA603" s="328"/>
    </row>
    <row r="604" spans="1:27" ht="12.75" customHeight="1">
      <c r="A604" s="425"/>
      <c r="B604" s="368" t="str">
        <f t="shared" si="209"/>
        <v/>
      </c>
      <c r="C604" s="425"/>
      <c r="D604" s="423"/>
      <c r="E604" s="422" t="str">
        <f t="shared" ca="1" si="210"/>
        <v/>
      </c>
      <c r="F604" s="426" t="str">
        <f t="shared" ca="1" si="212"/>
        <v/>
      </c>
      <c r="G604" s="415"/>
      <c r="H604" s="415"/>
      <c r="I604" s="415"/>
      <c r="J604" s="415"/>
      <c r="K604" s="415"/>
      <c r="L604" s="415"/>
      <c r="M604" s="415"/>
      <c r="N604" s="422" t="str">
        <f t="shared" si="211"/>
        <v/>
      </c>
      <c r="O604" s="422" t="str">
        <f t="shared" si="213"/>
        <v/>
      </c>
      <c r="P604" s="422" t="str">
        <f t="shared" si="214"/>
        <v/>
      </c>
      <c r="Q604" s="422" t="str">
        <f t="shared" si="215"/>
        <v/>
      </c>
      <c r="R604" s="422" t="str">
        <f t="shared" si="216"/>
        <v/>
      </c>
      <c r="S604" s="583">
        <f t="shared" si="217"/>
        <v>0</v>
      </c>
      <c r="T604" s="377" t="str">
        <f>+IFERROR(VLOOKUP(S604,STAT1!$C$4:$D$189,2,FALSE),"")</f>
        <v/>
      </c>
      <c r="U604" s="424"/>
      <c r="V604" s="424"/>
      <c r="W604" s="822"/>
      <c r="X604" s="436" t="str">
        <f>IFERROR(VLOOKUP(W604,DATA!$G$4:$H$400,2,FALSE),"")</f>
        <v/>
      </c>
      <c r="Y604" s="328"/>
      <c r="Z604" s="328"/>
      <c r="AA604" s="328"/>
    </row>
    <row r="605" spans="1:27" ht="12.75" customHeight="1">
      <c r="A605" s="425"/>
      <c r="B605" s="368" t="str">
        <f t="shared" si="209"/>
        <v/>
      </c>
      <c r="C605" s="425"/>
      <c r="D605" s="423"/>
      <c r="E605" s="422" t="str">
        <f t="shared" ca="1" si="210"/>
        <v/>
      </c>
      <c r="F605" s="426" t="str">
        <f t="shared" ca="1" si="212"/>
        <v/>
      </c>
      <c r="G605" s="415"/>
      <c r="H605" s="415"/>
      <c r="I605" s="415"/>
      <c r="J605" s="415"/>
      <c r="K605" s="415"/>
      <c r="L605" s="415"/>
      <c r="M605" s="415"/>
      <c r="N605" s="422" t="str">
        <f t="shared" si="211"/>
        <v/>
      </c>
      <c r="O605" s="422" t="str">
        <f t="shared" si="213"/>
        <v/>
      </c>
      <c r="P605" s="422" t="str">
        <f t="shared" si="214"/>
        <v/>
      </c>
      <c r="Q605" s="422" t="str">
        <f t="shared" si="215"/>
        <v/>
      </c>
      <c r="R605" s="422" t="str">
        <f t="shared" si="216"/>
        <v/>
      </c>
      <c r="S605" s="583">
        <f t="shared" si="217"/>
        <v>0</v>
      </c>
      <c r="T605" s="377" t="str">
        <f>+IFERROR(VLOOKUP(S605,STAT1!$C$4:$D$189,2,FALSE),"")</f>
        <v/>
      </c>
      <c r="U605" s="424"/>
      <c r="V605" s="424"/>
      <c r="W605" s="822"/>
      <c r="X605" s="436" t="str">
        <f>IFERROR(VLOOKUP(W605,DATA!$G$4:$H$400,2,FALSE),"")</f>
        <v/>
      </c>
      <c r="Y605" s="328"/>
      <c r="Z605" s="328"/>
      <c r="AA605" s="328"/>
    </row>
    <row r="606" spans="1:27" ht="12.75" customHeight="1">
      <c r="A606" s="425"/>
      <c r="B606" s="368" t="str">
        <f t="shared" si="209"/>
        <v/>
      </c>
      <c r="C606" s="425"/>
      <c r="D606" s="423"/>
      <c r="E606" s="422" t="str">
        <f t="shared" ca="1" si="210"/>
        <v/>
      </c>
      <c r="F606" s="426" t="str">
        <f t="shared" ca="1" si="212"/>
        <v/>
      </c>
      <c r="G606" s="415"/>
      <c r="H606" s="415"/>
      <c r="I606" s="415"/>
      <c r="J606" s="415"/>
      <c r="K606" s="415"/>
      <c r="L606" s="415"/>
      <c r="M606" s="415"/>
      <c r="N606" s="422" t="str">
        <f t="shared" si="211"/>
        <v/>
      </c>
      <c r="O606" s="422" t="str">
        <f t="shared" si="213"/>
        <v/>
      </c>
      <c r="P606" s="422" t="str">
        <f t="shared" si="214"/>
        <v/>
      </c>
      <c r="Q606" s="422" t="str">
        <f t="shared" si="215"/>
        <v/>
      </c>
      <c r="R606" s="422" t="str">
        <f t="shared" si="216"/>
        <v/>
      </c>
      <c r="S606" s="583">
        <f t="shared" si="217"/>
        <v>0</v>
      </c>
      <c r="T606" s="377" t="str">
        <f>+IFERROR(VLOOKUP(S606,STAT1!$C$4:$D$189,2,FALSE),"")</f>
        <v/>
      </c>
      <c r="U606" s="424"/>
      <c r="V606" s="424"/>
      <c r="W606" s="822"/>
      <c r="X606" s="436" t="str">
        <f>IFERROR(VLOOKUP(W606,DATA!$G$4:$H$400,2,FALSE),"")</f>
        <v/>
      </c>
      <c r="Y606" s="328"/>
      <c r="Z606" s="328"/>
      <c r="AA606" s="328"/>
    </row>
    <row r="607" spans="1:27" ht="12.75" customHeight="1">
      <c r="A607" s="425"/>
      <c r="B607" s="368" t="str">
        <f t="shared" si="209"/>
        <v/>
      </c>
      <c r="C607" s="425"/>
      <c r="D607" s="423"/>
      <c r="E607" s="422" t="str">
        <f t="shared" ca="1" si="210"/>
        <v/>
      </c>
      <c r="F607" s="426"/>
      <c r="G607" s="415"/>
      <c r="H607" s="415"/>
      <c r="I607" s="415"/>
      <c r="J607" s="415"/>
      <c r="K607" s="415"/>
      <c r="L607" s="415"/>
      <c r="M607" s="415"/>
      <c r="N607" s="422"/>
      <c r="O607" s="422"/>
      <c r="P607" s="422"/>
      <c r="Q607" s="422"/>
      <c r="R607" s="422"/>
      <c r="S607" s="583">
        <f t="shared" si="217"/>
        <v>0</v>
      </c>
      <c r="T607" s="377" t="str">
        <f>+IFERROR(VLOOKUP(S607,STAT1!$C$4:$D$189,2,FALSE),"")</f>
        <v/>
      </c>
      <c r="U607" s="424"/>
      <c r="V607" s="424"/>
      <c r="W607" s="822"/>
      <c r="X607" s="436" t="str">
        <f>IFERROR(VLOOKUP(W607,DATA!$G$4:$H$400,2,FALSE),"")</f>
        <v/>
      </c>
      <c r="Y607" s="328"/>
      <c r="Z607" s="328"/>
      <c r="AA607" s="328"/>
    </row>
    <row r="608" spans="1:27" ht="12.75" customHeight="1">
      <c r="A608" s="425"/>
      <c r="B608" s="368" t="str">
        <f t="shared" ref="B608:B631" si="218">IF(C608="","",ROW()-5)</f>
        <v/>
      </c>
      <c r="C608" s="425"/>
      <c r="D608" s="423"/>
      <c r="E608" s="422" t="str">
        <f t="shared" ca="1" si="210"/>
        <v/>
      </c>
      <c r="F608" s="426" t="str">
        <f t="shared" ref="F608:F629" ca="1" si="219">+IFERROR(VLOOKUP(D608,TN_table,3,FALSE),"")</f>
        <v/>
      </c>
      <c r="G608" s="415"/>
      <c r="H608" s="415"/>
      <c r="I608" s="415" t="str">
        <f t="shared" ref="I608:I615" si="220">+IF(G608="","",G608*H608)</f>
        <v/>
      </c>
      <c r="J608" s="415" t="str">
        <f t="shared" ref="J608:J615" si="221">+IF(G608="","",I608*0.1)</f>
        <v/>
      </c>
      <c r="K608" s="415" t="str">
        <f t="shared" ref="K608:K615" si="222">+IF(G608="","",I608+J608)</f>
        <v/>
      </c>
      <c r="L608" s="415"/>
      <c r="M608" s="415"/>
      <c r="N608" s="422" t="str">
        <f t="shared" ref="N608:N671" si="223">+IF(L608="","",L608*M608)</f>
        <v/>
      </c>
      <c r="O608" s="422" t="str">
        <f t="shared" ref="O608:O629" si="224">+IF(L608="","",N608*0.1)</f>
        <v/>
      </c>
      <c r="P608" s="422" t="str">
        <f t="shared" ref="P608:P629" si="225">+IF(L608="","",N608+O608)</f>
        <v/>
      </c>
      <c r="Q608" s="422" t="str">
        <f t="shared" ref="Q608:Q629" si="226">IF(L608="","",IFERROR((SUMIFS(TN_balC1_totol,TN_code,D608)+SUMIFS(RC_or_totol,RC_Code,D608,RC_date,"&lt;="&amp;C608)-SUMIFS(RC_zar_totol,RC_Code,D608,RC_date,"&lt;"&amp;C608)) /( SUMIFS(TN_balC1_unit,TN_code,D608)+SUMIFS(RC_or_unit,RC_Code,D608,RC_date,"&lt;="&amp;C608)-SUMIFS(RC_zar_unit,RC_Code,D608,RC_date,"&lt;"&amp;C608)),0 ))</f>
        <v/>
      </c>
      <c r="R608" s="422" t="str">
        <f t="shared" ref="R608:R629" si="227">+IF(L608="","",L608*Q608)</f>
        <v/>
      </c>
      <c r="S608" s="583">
        <f t="shared" si="217"/>
        <v>0</v>
      </c>
      <c r="T608" s="377" t="str">
        <f>+IFERROR(VLOOKUP(S608,STAT1!$C$4:$D$189,2,FALSE),"")</f>
        <v/>
      </c>
      <c r="U608" s="424"/>
      <c r="V608" s="424"/>
      <c r="W608" s="822"/>
      <c r="X608" s="436" t="str">
        <f>IFERROR(VLOOKUP(W608,DATA!$G$4:$H$400,2,FALSE),"")</f>
        <v/>
      </c>
      <c r="Y608" s="328"/>
      <c r="Z608" s="328"/>
      <c r="AA608" s="328"/>
    </row>
    <row r="609" spans="1:27" ht="12.75" customHeight="1">
      <c r="A609" s="425"/>
      <c r="B609" s="368" t="str">
        <f t="shared" si="218"/>
        <v/>
      </c>
      <c r="C609" s="425"/>
      <c r="D609" s="423"/>
      <c r="E609" s="422" t="str">
        <f t="shared" ca="1" si="210"/>
        <v/>
      </c>
      <c r="F609" s="426" t="str">
        <f t="shared" ca="1" si="219"/>
        <v/>
      </c>
      <c r="G609" s="415"/>
      <c r="H609" s="415"/>
      <c r="I609" s="415" t="str">
        <f t="shared" si="220"/>
        <v/>
      </c>
      <c r="J609" s="415" t="str">
        <f t="shared" si="221"/>
        <v/>
      </c>
      <c r="K609" s="415" t="str">
        <f t="shared" si="222"/>
        <v/>
      </c>
      <c r="L609" s="415"/>
      <c r="M609" s="415"/>
      <c r="N609" s="422" t="str">
        <f t="shared" si="223"/>
        <v/>
      </c>
      <c r="O609" s="422" t="str">
        <f t="shared" si="224"/>
        <v/>
      </c>
      <c r="P609" s="422" t="str">
        <f t="shared" si="225"/>
        <v/>
      </c>
      <c r="Q609" s="422" t="str">
        <f t="shared" si="226"/>
        <v/>
      </c>
      <c r="R609" s="422" t="str">
        <f t="shared" si="227"/>
        <v/>
      </c>
      <c r="S609" s="583">
        <f t="shared" si="217"/>
        <v>0</v>
      </c>
      <c r="T609" s="377" t="str">
        <f>+IFERROR(VLOOKUP(S609,STAT1!$C$4:$D$189,2,FALSE),"")</f>
        <v/>
      </c>
      <c r="U609" s="424"/>
      <c r="V609" s="424"/>
      <c r="W609" s="822"/>
      <c r="X609" s="436" t="str">
        <f>IFERROR(VLOOKUP(W609,DATA!$G$4:$H$400,2,FALSE),"")</f>
        <v/>
      </c>
      <c r="Y609" s="328"/>
      <c r="Z609" s="328"/>
      <c r="AA609" s="328"/>
    </row>
    <row r="610" spans="1:27" ht="12.75" customHeight="1">
      <c r="A610" s="425"/>
      <c r="B610" s="368" t="str">
        <f t="shared" si="218"/>
        <v/>
      </c>
      <c r="C610" s="425"/>
      <c r="D610" s="423"/>
      <c r="E610" s="422" t="str">
        <f t="shared" ca="1" si="210"/>
        <v/>
      </c>
      <c r="F610" s="426" t="str">
        <f t="shared" ca="1" si="219"/>
        <v/>
      </c>
      <c r="G610" s="415"/>
      <c r="H610" s="415"/>
      <c r="I610" s="415" t="str">
        <f t="shared" si="220"/>
        <v/>
      </c>
      <c r="J610" s="415" t="str">
        <f t="shared" si="221"/>
        <v/>
      </c>
      <c r="K610" s="415" t="str">
        <f t="shared" si="222"/>
        <v/>
      </c>
      <c r="L610" s="415"/>
      <c r="M610" s="415"/>
      <c r="N610" s="422" t="str">
        <f t="shared" si="223"/>
        <v/>
      </c>
      <c r="O610" s="422" t="str">
        <f t="shared" si="224"/>
        <v/>
      </c>
      <c r="P610" s="422" t="str">
        <f t="shared" si="225"/>
        <v/>
      </c>
      <c r="Q610" s="422" t="str">
        <f t="shared" si="226"/>
        <v/>
      </c>
      <c r="R610" s="422" t="str">
        <f t="shared" si="227"/>
        <v/>
      </c>
      <c r="S610" s="583">
        <f t="shared" si="217"/>
        <v>0</v>
      </c>
      <c r="T610" s="377" t="str">
        <f>+IFERROR(VLOOKUP(S610,STAT1!$C$4:$D$189,2,FALSE),"")</f>
        <v/>
      </c>
      <c r="U610" s="424"/>
      <c r="V610" s="424"/>
      <c r="W610" s="822"/>
      <c r="X610" s="436" t="str">
        <f>IFERROR(VLOOKUP(W610,DATA!$G$4:$H$400,2,FALSE),"")</f>
        <v/>
      </c>
      <c r="Y610" s="328"/>
      <c r="Z610" s="328"/>
      <c r="AA610" s="328"/>
    </row>
    <row r="611" spans="1:27" ht="12.75" customHeight="1">
      <c r="A611" s="425"/>
      <c r="B611" s="368" t="str">
        <f t="shared" si="218"/>
        <v/>
      </c>
      <c r="C611" s="425"/>
      <c r="D611" s="423"/>
      <c r="E611" s="422" t="str">
        <f t="shared" ca="1" si="210"/>
        <v/>
      </c>
      <c r="F611" s="426" t="str">
        <f t="shared" ca="1" si="219"/>
        <v/>
      </c>
      <c r="G611" s="415"/>
      <c r="H611" s="415"/>
      <c r="I611" s="415" t="str">
        <f t="shared" si="220"/>
        <v/>
      </c>
      <c r="J611" s="415" t="str">
        <f t="shared" si="221"/>
        <v/>
      </c>
      <c r="K611" s="415" t="str">
        <f t="shared" si="222"/>
        <v/>
      </c>
      <c r="L611" s="415"/>
      <c r="M611" s="415"/>
      <c r="N611" s="422" t="str">
        <f t="shared" si="223"/>
        <v/>
      </c>
      <c r="O611" s="422" t="str">
        <f t="shared" si="224"/>
        <v/>
      </c>
      <c r="P611" s="422" t="str">
        <f t="shared" si="225"/>
        <v/>
      </c>
      <c r="Q611" s="422" t="str">
        <f t="shared" si="226"/>
        <v/>
      </c>
      <c r="R611" s="422" t="str">
        <f t="shared" si="227"/>
        <v/>
      </c>
      <c r="S611" s="583">
        <f t="shared" si="217"/>
        <v>0</v>
      </c>
      <c r="T611" s="377" t="str">
        <f>+IFERROR(VLOOKUP(S611,STAT1!$C$4:$D$189,2,FALSE),"")</f>
        <v/>
      </c>
      <c r="U611" s="424"/>
      <c r="V611" s="424"/>
      <c r="W611" s="822"/>
      <c r="X611" s="436" t="str">
        <f>IFERROR(VLOOKUP(W611,DATA!$G$4:$H$400,2,FALSE),"")</f>
        <v/>
      </c>
      <c r="Y611" s="328"/>
      <c r="Z611" s="328"/>
      <c r="AA611" s="328"/>
    </row>
    <row r="612" spans="1:27" ht="12.75" customHeight="1">
      <c r="A612" s="425"/>
      <c r="B612" s="368" t="str">
        <f t="shared" si="218"/>
        <v/>
      </c>
      <c r="C612" s="425"/>
      <c r="D612" s="423"/>
      <c r="E612" s="422" t="str">
        <f t="shared" ca="1" si="210"/>
        <v/>
      </c>
      <c r="F612" s="426" t="str">
        <f t="shared" ca="1" si="219"/>
        <v/>
      </c>
      <c r="G612" s="415"/>
      <c r="H612" s="415"/>
      <c r="I612" s="415" t="str">
        <f t="shared" si="220"/>
        <v/>
      </c>
      <c r="J612" s="415" t="str">
        <f t="shared" si="221"/>
        <v/>
      </c>
      <c r="K612" s="415" t="str">
        <f t="shared" si="222"/>
        <v/>
      </c>
      <c r="L612" s="415"/>
      <c r="M612" s="415"/>
      <c r="N612" s="422" t="str">
        <f t="shared" si="223"/>
        <v/>
      </c>
      <c r="O612" s="422" t="str">
        <f t="shared" si="224"/>
        <v/>
      </c>
      <c r="P612" s="422" t="str">
        <f t="shared" si="225"/>
        <v/>
      </c>
      <c r="Q612" s="422" t="str">
        <f t="shared" si="226"/>
        <v/>
      </c>
      <c r="R612" s="422" t="str">
        <f t="shared" si="227"/>
        <v/>
      </c>
      <c r="S612" s="583">
        <f t="shared" si="217"/>
        <v>0</v>
      </c>
      <c r="T612" s="377" t="str">
        <f>+IFERROR(VLOOKUP(S612,STAT1!$C$4:$D$189,2,FALSE),"")</f>
        <v/>
      </c>
      <c r="U612" s="424"/>
      <c r="V612" s="424"/>
      <c r="W612" s="822"/>
      <c r="X612" s="436" t="str">
        <f>IFERROR(VLOOKUP(W612,DATA!$G$4:$H$400,2,FALSE),"")</f>
        <v/>
      </c>
      <c r="Y612" s="328"/>
      <c r="Z612" s="328"/>
      <c r="AA612" s="328"/>
    </row>
    <row r="613" spans="1:27" ht="12.75" customHeight="1">
      <c r="A613" s="425"/>
      <c r="B613" s="368" t="str">
        <f t="shared" si="218"/>
        <v/>
      </c>
      <c r="C613" s="425"/>
      <c r="D613" s="423"/>
      <c r="E613" s="422" t="str">
        <f t="shared" ca="1" si="210"/>
        <v/>
      </c>
      <c r="F613" s="426" t="str">
        <f t="shared" ca="1" si="219"/>
        <v/>
      </c>
      <c r="G613" s="415"/>
      <c r="H613" s="415"/>
      <c r="I613" s="415" t="str">
        <f t="shared" si="220"/>
        <v/>
      </c>
      <c r="J613" s="415" t="str">
        <f t="shared" si="221"/>
        <v/>
      </c>
      <c r="K613" s="415" t="str">
        <f t="shared" si="222"/>
        <v/>
      </c>
      <c r="L613" s="415"/>
      <c r="M613" s="415"/>
      <c r="N613" s="422" t="str">
        <f t="shared" si="223"/>
        <v/>
      </c>
      <c r="O613" s="422" t="str">
        <f t="shared" si="224"/>
        <v/>
      </c>
      <c r="P613" s="422" t="str">
        <f t="shared" si="225"/>
        <v/>
      </c>
      <c r="Q613" s="422" t="str">
        <f t="shared" si="226"/>
        <v/>
      </c>
      <c r="R613" s="422" t="str">
        <f t="shared" si="227"/>
        <v/>
      </c>
      <c r="S613" s="583">
        <f t="shared" si="217"/>
        <v>0</v>
      </c>
      <c r="T613" s="377" t="str">
        <f>+IFERROR(VLOOKUP(S613,STAT1!$C$4:$D$189,2,FALSE),"")</f>
        <v/>
      </c>
      <c r="U613" s="424"/>
      <c r="V613" s="424"/>
      <c r="W613" s="822"/>
      <c r="X613" s="436" t="str">
        <f>IFERROR(VLOOKUP(W613,DATA!$G$4:$H$400,2,FALSE),"")</f>
        <v/>
      </c>
      <c r="Y613" s="328"/>
      <c r="Z613" s="328"/>
      <c r="AA613" s="328"/>
    </row>
    <row r="614" spans="1:27" ht="12.75" customHeight="1">
      <c r="A614" s="425"/>
      <c r="B614" s="368" t="str">
        <f t="shared" si="218"/>
        <v/>
      </c>
      <c r="C614" s="425"/>
      <c r="D614" s="423"/>
      <c r="E614" s="422" t="str">
        <f t="shared" ca="1" si="210"/>
        <v/>
      </c>
      <c r="F614" s="426" t="str">
        <f t="shared" ca="1" si="219"/>
        <v/>
      </c>
      <c r="G614" s="415"/>
      <c r="H614" s="415"/>
      <c r="I614" s="415" t="str">
        <f t="shared" si="220"/>
        <v/>
      </c>
      <c r="J614" s="415" t="str">
        <f t="shared" si="221"/>
        <v/>
      </c>
      <c r="K614" s="415" t="str">
        <f t="shared" si="222"/>
        <v/>
      </c>
      <c r="L614" s="415"/>
      <c r="M614" s="415"/>
      <c r="N614" s="422" t="str">
        <f t="shared" si="223"/>
        <v/>
      </c>
      <c r="O614" s="422" t="str">
        <f t="shared" si="224"/>
        <v/>
      </c>
      <c r="P614" s="422" t="str">
        <f t="shared" si="225"/>
        <v/>
      </c>
      <c r="Q614" s="422" t="str">
        <f t="shared" si="226"/>
        <v/>
      </c>
      <c r="R614" s="422" t="str">
        <f t="shared" si="227"/>
        <v/>
      </c>
      <c r="S614" s="583">
        <f t="shared" si="217"/>
        <v>0</v>
      </c>
      <c r="T614" s="377" t="str">
        <f>+IFERROR(VLOOKUP(S614,STAT1!$C$4:$D$189,2,FALSE),"")</f>
        <v/>
      </c>
      <c r="U614" s="424"/>
      <c r="V614" s="424"/>
      <c r="W614" s="822"/>
      <c r="X614" s="436" t="str">
        <f>IFERROR(VLOOKUP(W614,DATA!$G$4:$H$400,2,FALSE),"")</f>
        <v/>
      </c>
      <c r="Y614" s="328"/>
      <c r="Z614" s="328"/>
      <c r="AA614" s="328"/>
    </row>
    <row r="615" spans="1:27" ht="12.75" customHeight="1">
      <c r="A615" s="425"/>
      <c r="B615" s="368" t="str">
        <f t="shared" si="218"/>
        <v/>
      </c>
      <c r="C615" s="425"/>
      <c r="D615" s="423"/>
      <c r="E615" s="422" t="str">
        <f t="shared" ca="1" si="210"/>
        <v/>
      </c>
      <c r="F615" s="426" t="str">
        <f t="shared" ca="1" si="219"/>
        <v/>
      </c>
      <c r="G615" s="415"/>
      <c r="H615" s="415"/>
      <c r="I615" s="415" t="str">
        <f t="shared" si="220"/>
        <v/>
      </c>
      <c r="J615" s="415" t="str">
        <f t="shared" si="221"/>
        <v/>
      </c>
      <c r="K615" s="415" t="str">
        <f t="shared" si="222"/>
        <v/>
      </c>
      <c r="L615" s="415"/>
      <c r="M615" s="415"/>
      <c r="N615" s="422" t="str">
        <f t="shared" si="223"/>
        <v/>
      </c>
      <c r="O615" s="422" t="str">
        <f t="shared" si="224"/>
        <v/>
      </c>
      <c r="P615" s="422" t="str">
        <f t="shared" si="225"/>
        <v/>
      </c>
      <c r="Q615" s="422" t="str">
        <f t="shared" si="226"/>
        <v/>
      </c>
      <c r="R615" s="422" t="str">
        <f t="shared" si="227"/>
        <v/>
      </c>
      <c r="S615" s="583">
        <f t="shared" si="217"/>
        <v>0</v>
      </c>
      <c r="T615" s="377" t="str">
        <f>+IFERROR(VLOOKUP(S615,STAT1!$C$4:$D$189,2,FALSE),"")</f>
        <v/>
      </c>
      <c r="U615" s="424"/>
      <c r="V615" s="424"/>
      <c r="W615" s="822"/>
      <c r="X615" s="436" t="str">
        <f>IFERROR(VLOOKUP(W615,DATA!$G$4:$H$400,2,FALSE),"")</f>
        <v/>
      </c>
      <c r="Y615" s="328"/>
      <c r="Z615" s="328"/>
      <c r="AA615" s="328"/>
    </row>
    <row r="616" spans="1:27" ht="12.75" customHeight="1">
      <c r="A616" s="425"/>
      <c r="B616" s="368" t="str">
        <f t="shared" si="218"/>
        <v/>
      </c>
      <c r="C616" s="425"/>
      <c r="D616" s="423"/>
      <c r="E616" s="422" t="str">
        <f t="shared" ca="1" si="210"/>
        <v/>
      </c>
      <c r="F616" s="426" t="str">
        <f t="shared" ca="1" si="219"/>
        <v/>
      </c>
      <c r="G616" s="415"/>
      <c r="H616" s="415"/>
      <c r="I616" s="415"/>
      <c r="J616" s="415"/>
      <c r="K616" s="415"/>
      <c r="L616" s="415"/>
      <c r="M616" s="415"/>
      <c r="N616" s="422" t="str">
        <f t="shared" si="223"/>
        <v/>
      </c>
      <c r="O616" s="422" t="str">
        <f t="shared" si="224"/>
        <v/>
      </c>
      <c r="P616" s="422" t="str">
        <f t="shared" si="225"/>
        <v/>
      </c>
      <c r="Q616" s="422" t="str">
        <f t="shared" si="226"/>
        <v/>
      </c>
      <c r="R616" s="422" t="str">
        <f t="shared" si="227"/>
        <v/>
      </c>
      <c r="S616" s="583">
        <f t="shared" si="217"/>
        <v>0</v>
      </c>
      <c r="T616" s="377"/>
      <c r="U616" s="424"/>
      <c r="V616" s="424"/>
      <c r="W616" s="822"/>
      <c r="X616" s="436" t="str">
        <f>IFERROR(VLOOKUP(W616,DATA!$G$4:$H$400,2,FALSE),"")</f>
        <v/>
      </c>
      <c r="Y616" s="328"/>
      <c r="Z616" s="328"/>
      <c r="AA616" s="328"/>
    </row>
    <row r="617" spans="1:27" ht="12.75" customHeight="1">
      <c r="A617" s="425"/>
      <c r="B617" s="368" t="str">
        <f t="shared" si="218"/>
        <v/>
      </c>
      <c r="C617" s="425"/>
      <c r="D617" s="423"/>
      <c r="E617" s="422" t="str">
        <f t="shared" ca="1" si="210"/>
        <v/>
      </c>
      <c r="F617" s="426" t="str">
        <f t="shared" ca="1" si="219"/>
        <v/>
      </c>
      <c r="G617" s="415"/>
      <c r="H617" s="415"/>
      <c r="I617" s="415" t="str">
        <f t="shared" ref="I617:I629" si="228">+IF(G617="","",G617*H617)</f>
        <v/>
      </c>
      <c r="J617" s="415" t="str">
        <f>+IF(G617="","",I617*0.1)</f>
        <v/>
      </c>
      <c r="K617" s="415" t="str">
        <f t="shared" ref="K617:K629" si="229">+IF(G617="","",I617+J617)</f>
        <v/>
      </c>
      <c r="L617" s="415"/>
      <c r="M617" s="415"/>
      <c r="N617" s="422" t="str">
        <f t="shared" si="223"/>
        <v/>
      </c>
      <c r="O617" s="422" t="str">
        <f t="shared" si="224"/>
        <v/>
      </c>
      <c r="P617" s="422" t="str">
        <f t="shared" si="225"/>
        <v/>
      </c>
      <c r="Q617" s="422" t="str">
        <f t="shared" si="226"/>
        <v/>
      </c>
      <c r="R617" s="422" t="str">
        <f t="shared" si="227"/>
        <v/>
      </c>
      <c r="S617" s="583">
        <f t="shared" si="217"/>
        <v>0</v>
      </c>
      <c r="T617" s="377" t="str">
        <f>+IFERROR(VLOOKUP(S617,STAT1!$C$4:$D$189,2,FALSE),"")</f>
        <v/>
      </c>
      <c r="U617" s="424"/>
      <c r="V617" s="424"/>
      <c r="W617" s="822"/>
      <c r="X617" s="436" t="str">
        <f>IFERROR(VLOOKUP(W617,DATA!$G$4:$H$400,2,FALSE),"")</f>
        <v/>
      </c>
      <c r="Y617" s="328"/>
      <c r="Z617" s="328"/>
      <c r="AA617" s="328"/>
    </row>
    <row r="618" spans="1:27" ht="12.75" customHeight="1">
      <c r="A618" s="425"/>
      <c r="B618" s="368" t="str">
        <f t="shared" si="218"/>
        <v/>
      </c>
      <c r="C618" s="425"/>
      <c r="D618" s="423"/>
      <c r="E618" s="422" t="str">
        <f t="shared" ca="1" si="210"/>
        <v/>
      </c>
      <c r="F618" s="426" t="str">
        <f t="shared" ca="1" si="219"/>
        <v/>
      </c>
      <c r="G618" s="415"/>
      <c r="H618" s="415"/>
      <c r="I618" s="415" t="str">
        <f t="shared" si="228"/>
        <v/>
      </c>
      <c r="J618" s="415" t="str">
        <f>+IF(G618="","",I618*0.1)</f>
        <v/>
      </c>
      <c r="K618" s="415" t="str">
        <f t="shared" si="229"/>
        <v/>
      </c>
      <c r="L618" s="415"/>
      <c r="M618" s="415"/>
      <c r="N618" s="422" t="str">
        <f t="shared" si="223"/>
        <v/>
      </c>
      <c r="O618" s="422" t="str">
        <f t="shared" si="224"/>
        <v/>
      </c>
      <c r="P618" s="422" t="str">
        <f t="shared" si="225"/>
        <v/>
      </c>
      <c r="Q618" s="422" t="str">
        <f t="shared" si="226"/>
        <v/>
      </c>
      <c r="R618" s="422" t="str">
        <f t="shared" si="227"/>
        <v/>
      </c>
      <c r="S618" s="583">
        <f t="shared" si="217"/>
        <v>0</v>
      </c>
      <c r="T618" s="377" t="str">
        <f>+IFERROR(VLOOKUP(S618,STAT1!$C$4:$D$189,2,FALSE),"")</f>
        <v/>
      </c>
      <c r="U618" s="424"/>
      <c r="V618" s="424"/>
      <c r="W618" s="822"/>
      <c r="X618" s="436" t="str">
        <f>IFERROR(VLOOKUP(W618,DATA!$G$4:$H$400,2,FALSE),"")</f>
        <v/>
      </c>
      <c r="Y618" s="328"/>
      <c r="Z618" s="328"/>
      <c r="AA618" s="328"/>
    </row>
    <row r="619" spans="1:27" ht="12.75" customHeight="1">
      <c r="A619" s="425"/>
      <c r="B619" s="368" t="str">
        <f t="shared" si="218"/>
        <v/>
      </c>
      <c r="C619" s="425"/>
      <c r="D619" s="423"/>
      <c r="E619" s="422" t="str">
        <f t="shared" ca="1" si="210"/>
        <v/>
      </c>
      <c r="F619" s="426" t="str">
        <f t="shared" ca="1" si="219"/>
        <v/>
      </c>
      <c r="G619" s="415"/>
      <c r="H619" s="415"/>
      <c r="I619" s="415" t="str">
        <f t="shared" si="228"/>
        <v/>
      </c>
      <c r="J619" s="415" t="str">
        <f>+IF(G619="","",I619*0.1)</f>
        <v/>
      </c>
      <c r="K619" s="415" t="str">
        <f t="shared" si="229"/>
        <v/>
      </c>
      <c r="L619" s="415"/>
      <c r="M619" s="415"/>
      <c r="N619" s="422" t="str">
        <f t="shared" si="223"/>
        <v/>
      </c>
      <c r="O619" s="422" t="str">
        <f t="shared" si="224"/>
        <v/>
      </c>
      <c r="P619" s="422" t="str">
        <f t="shared" si="225"/>
        <v/>
      </c>
      <c r="Q619" s="422" t="str">
        <f t="shared" si="226"/>
        <v/>
      </c>
      <c r="R619" s="422" t="str">
        <f t="shared" si="227"/>
        <v/>
      </c>
      <c r="S619" s="583">
        <f t="shared" si="217"/>
        <v>0</v>
      </c>
      <c r="T619" s="377" t="str">
        <f>+IFERROR(VLOOKUP(S619,STAT1!$C$4:$D$189,2,FALSE),"")</f>
        <v/>
      </c>
      <c r="U619" s="424"/>
      <c r="V619" s="424"/>
      <c r="W619" s="822"/>
      <c r="X619" s="436" t="str">
        <f>IFERROR(VLOOKUP(W619,DATA!$G$4:$H$400,2,FALSE),"")</f>
        <v/>
      </c>
      <c r="Y619" s="328"/>
      <c r="Z619" s="328"/>
      <c r="AA619" s="328"/>
    </row>
    <row r="620" spans="1:27" ht="12.75" customHeight="1">
      <c r="A620" s="425"/>
      <c r="B620" s="368" t="str">
        <f t="shared" si="218"/>
        <v/>
      </c>
      <c r="C620" s="425"/>
      <c r="D620" s="423"/>
      <c r="E620" s="422" t="str">
        <f t="shared" ca="1" si="210"/>
        <v/>
      </c>
      <c r="F620" s="426" t="str">
        <f t="shared" ca="1" si="219"/>
        <v/>
      </c>
      <c r="G620" s="415"/>
      <c r="H620" s="415"/>
      <c r="I620" s="415" t="str">
        <f t="shared" si="228"/>
        <v/>
      </c>
      <c r="J620" s="415" t="str">
        <f>+IF(G620="","",I620*0.1)</f>
        <v/>
      </c>
      <c r="K620" s="415" t="str">
        <f t="shared" si="229"/>
        <v/>
      </c>
      <c r="L620" s="415"/>
      <c r="M620" s="415"/>
      <c r="N620" s="422" t="str">
        <f t="shared" si="223"/>
        <v/>
      </c>
      <c r="O620" s="422" t="str">
        <f t="shared" si="224"/>
        <v/>
      </c>
      <c r="P620" s="422" t="str">
        <f t="shared" si="225"/>
        <v/>
      </c>
      <c r="Q620" s="422" t="str">
        <f t="shared" si="226"/>
        <v/>
      </c>
      <c r="R620" s="422" t="str">
        <f t="shared" si="227"/>
        <v/>
      </c>
      <c r="S620" s="583">
        <f t="shared" si="217"/>
        <v>0</v>
      </c>
      <c r="T620" s="377" t="str">
        <f>+IFERROR(VLOOKUP(S620,STAT1!$C$4:$D$189,2,FALSE),"")</f>
        <v/>
      </c>
      <c r="U620" s="424"/>
      <c r="V620" s="424"/>
      <c r="W620" s="822"/>
      <c r="X620" s="436" t="str">
        <f>IFERROR(VLOOKUP(W620,DATA!$G$4:$H$400,2,FALSE),"")</f>
        <v/>
      </c>
      <c r="Y620" s="328"/>
      <c r="Z620" s="328"/>
      <c r="AA620" s="328"/>
    </row>
    <row r="621" spans="1:27" ht="12.75" customHeight="1">
      <c r="A621" s="425"/>
      <c r="B621" s="368" t="str">
        <f t="shared" si="218"/>
        <v/>
      </c>
      <c r="C621" s="425"/>
      <c r="D621" s="423"/>
      <c r="E621" s="422" t="str">
        <f t="shared" ca="1" si="210"/>
        <v/>
      </c>
      <c r="F621" s="426" t="str">
        <f t="shared" ca="1" si="219"/>
        <v/>
      </c>
      <c r="G621" s="415"/>
      <c r="H621" s="415"/>
      <c r="I621" s="415" t="str">
        <f t="shared" si="228"/>
        <v/>
      </c>
      <c r="J621" s="415" t="str">
        <f>+IF(G621="","",I621*0.1)</f>
        <v/>
      </c>
      <c r="K621" s="415" t="str">
        <f t="shared" si="229"/>
        <v/>
      </c>
      <c r="L621" s="415"/>
      <c r="M621" s="415"/>
      <c r="N621" s="422" t="str">
        <f t="shared" si="223"/>
        <v/>
      </c>
      <c r="O621" s="422" t="str">
        <f t="shared" si="224"/>
        <v/>
      </c>
      <c r="P621" s="422" t="str">
        <f t="shared" si="225"/>
        <v/>
      </c>
      <c r="Q621" s="422" t="str">
        <f t="shared" si="226"/>
        <v/>
      </c>
      <c r="R621" s="422" t="str">
        <f t="shared" si="227"/>
        <v/>
      </c>
      <c r="S621" s="583">
        <f t="shared" si="217"/>
        <v>0</v>
      </c>
      <c r="T621" s="377" t="str">
        <f>+IFERROR(VLOOKUP(S621,STAT1!$C$4:$D$189,2,FALSE),"")</f>
        <v/>
      </c>
      <c r="U621" s="424"/>
      <c r="V621" s="424"/>
      <c r="W621" s="822"/>
      <c r="X621" s="436" t="str">
        <f>IFERROR(VLOOKUP(W621,DATA!$G$4:$H$400,2,FALSE),"")</f>
        <v/>
      </c>
      <c r="Y621" s="328"/>
      <c r="Z621" s="328"/>
      <c r="AA621" s="328"/>
    </row>
    <row r="622" spans="1:27" ht="12.75" customHeight="1">
      <c r="A622" s="425"/>
      <c r="B622" s="368" t="str">
        <f t="shared" si="218"/>
        <v/>
      </c>
      <c r="C622" s="425"/>
      <c r="D622" s="423"/>
      <c r="E622" s="422" t="str">
        <f t="shared" ca="1" si="210"/>
        <v/>
      </c>
      <c r="F622" s="426" t="str">
        <f t="shared" ca="1" si="219"/>
        <v/>
      </c>
      <c r="G622" s="415"/>
      <c r="H622" s="415"/>
      <c r="I622" s="415" t="str">
        <f t="shared" si="228"/>
        <v/>
      </c>
      <c r="J622" s="415"/>
      <c r="K622" s="415" t="str">
        <f t="shared" si="229"/>
        <v/>
      </c>
      <c r="L622" s="415"/>
      <c r="M622" s="415"/>
      <c r="N622" s="422" t="str">
        <f t="shared" si="223"/>
        <v/>
      </c>
      <c r="O622" s="422" t="str">
        <f t="shared" si="224"/>
        <v/>
      </c>
      <c r="P622" s="422" t="str">
        <f t="shared" si="225"/>
        <v/>
      </c>
      <c r="Q622" s="422" t="str">
        <f t="shared" si="226"/>
        <v/>
      </c>
      <c r="R622" s="422" t="str">
        <f t="shared" si="227"/>
        <v/>
      </c>
      <c r="S622" s="583">
        <f t="shared" si="217"/>
        <v>0</v>
      </c>
      <c r="T622" s="377" t="str">
        <f>+IFERROR(VLOOKUP(S622,STAT1!$C$4:$D$189,2,FALSE),"")</f>
        <v/>
      </c>
      <c r="U622" s="424"/>
      <c r="V622" s="424"/>
      <c r="W622" s="822"/>
      <c r="X622" s="436" t="str">
        <f>IFERROR(VLOOKUP(W622,DATA!$G$4:$H$400,2,FALSE),"")</f>
        <v/>
      </c>
      <c r="Y622" s="328"/>
      <c r="Z622" s="328"/>
      <c r="AA622" s="328"/>
    </row>
    <row r="623" spans="1:27" ht="12.75" customHeight="1">
      <c r="A623" s="425"/>
      <c r="B623" s="368" t="str">
        <f t="shared" si="218"/>
        <v/>
      </c>
      <c r="C623" s="425"/>
      <c r="D623" s="423"/>
      <c r="E623" s="422" t="str">
        <f t="shared" ca="1" si="210"/>
        <v/>
      </c>
      <c r="F623" s="426" t="str">
        <f t="shared" ca="1" si="219"/>
        <v/>
      </c>
      <c r="G623" s="415"/>
      <c r="H623" s="415"/>
      <c r="I623" s="415" t="str">
        <f t="shared" si="228"/>
        <v/>
      </c>
      <c r="J623" s="415"/>
      <c r="K623" s="415" t="str">
        <f t="shared" si="229"/>
        <v/>
      </c>
      <c r="L623" s="415"/>
      <c r="M623" s="415"/>
      <c r="N623" s="422" t="str">
        <f t="shared" si="223"/>
        <v/>
      </c>
      <c r="O623" s="422" t="str">
        <f t="shared" si="224"/>
        <v/>
      </c>
      <c r="P623" s="422" t="str">
        <f t="shared" si="225"/>
        <v/>
      </c>
      <c r="Q623" s="422" t="str">
        <f t="shared" si="226"/>
        <v/>
      </c>
      <c r="R623" s="422" t="str">
        <f t="shared" si="227"/>
        <v/>
      </c>
      <c r="S623" s="583">
        <f t="shared" si="217"/>
        <v>0</v>
      </c>
      <c r="T623" s="377" t="str">
        <f>+IFERROR(VLOOKUP(S623,STAT1!$C$4:$D$189,2,FALSE),"")</f>
        <v/>
      </c>
      <c r="U623" s="424"/>
      <c r="V623" s="424"/>
      <c r="W623" s="822"/>
      <c r="X623" s="436" t="str">
        <f>IFERROR(VLOOKUP(W623,DATA!$G$4:$H$400,2,FALSE),"")</f>
        <v/>
      </c>
      <c r="Y623" s="328"/>
      <c r="Z623" s="328"/>
      <c r="AA623" s="328"/>
    </row>
    <row r="624" spans="1:27" ht="12.75" customHeight="1">
      <c r="A624" s="425"/>
      <c r="B624" s="368" t="str">
        <f t="shared" si="218"/>
        <v/>
      </c>
      <c r="C624" s="425"/>
      <c r="D624" s="423"/>
      <c r="E624" s="422" t="str">
        <f t="shared" ca="1" si="210"/>
        <v/>
      </c>
      <c r="F624" s="426" t="str">
        <f t="shared" ca="1" si="219"/>
        <v/>
      </c>
      <c r="G624" s="415"/>
      <c r="H624" s="415"/>
      <c r="I624" s="415" t="str">
        <f t="shared" si="228"/>
        <v/>
      </c>
      <c r="J624" s="415"/>
      <c r="K624" s="415" t="str">
        <f t="shared" si="229"/>
        <v/>
      </c>
      <c r="L624" s="415"/>
      <c r="M624" s="415"/>
      <c r="N624" s="422" t="str">
        <f t="shared" si="223"/>
        <v/>
      </c>
      <c r="O624" s="422" t="str">
        <f t="shared" si="224"/>
        <v/>
      </c>
      <c r="P624" s="422" t="str">
        <f t="shared" si="225"/>
        <v/>
      </c>
      <c r="Q624" s="422" t="str">
        <f t="shared" si="226"/>
        <v/>
      </c>
      <c r="R624" s="422" t="str">
        <f t="shared" si="227"/>
        <v/>
      </c>
      <c r="S624" s="583">
        <f t="shared" si="217"/>
        <v>0</v>
      </c>
      <c r="T624" s="377" t="str">
        <f>+IFERROR(VLOOKUP(S624,STAT1!$C$4:$D$189,2,FALSE),"")</f>
        <v/>
      </c>
      <c r="U624" s="424"/>
      <c r="V624" s="424"/>
      <c r="W624" s="822"/>
      <c r="X624" s="436" t="str">
        <f>IFERROR(VLOOKUP(W624,DATA!$G$4:$H$400,2,FALSE),"")</f>
        <v/>
      </c>
      <c r="Y624" s="328"/>
      <c r="Z624" s="328"/>
      <c r="AA624" s="328"/>
    </row>
    <row r="625" spans="1:27" ht="12.75" customHeight="1">
      <c r="A625" s="425"/>
      <c r="B625" s="368" t="str">
        <f t="shared" si="218"/>
        <v/>
      </c>
      <c r="C625" s="425"/>
      <c r="D625" s="423"/>
      <c r="E625" s="422" t="str">
        <f t="shared" ca="1" si="210"/>
        <v/>
      </c>
      <c r="F625" s="426" t="str">
        <f t="shared" ca="1" si="219"/>
        <v/>
      </c>
      <c r="G625" s="415"/>
      <c r="H625" s="415"/>
      <c r="I625" s="415" t="str">
        <f t="shared" si="228"/>
        <v/>
      </c>
      <c r="J625" s="415"/>
      <c r="K625" s="415" t="str">
        <f t="shared" si="229"/>
        <v/>
      </c>
      <c r="L625" s="415"/>
      <c r="M625" s="415"/>
      <c r="N625" s="422" t="str">
        <f t="shared" si="223"/>
        <v/>
      </c>
      <c r="O625" s="422" t="str">
        <f t="shared" si="224"/>
        <v/>
      </c>
      <c r="P625" s="422" t="str">
        <f t="shared" si="225"/>
        <v/>
      </c>
      <c r="Q625" s="422" t="str">
        <f t="shared" si="226"/>
        <v/>
      </c>
      <c r="R625" s="422" t="str">
        <f t="shared" si="227"/>
        <v/>
      </c>
      <c r="S625" s="583">
        <f t="shared" si="217"/>
        <v>0</v>
      </c>
      <c r="T625" s="377" t="str">
        <f>+IFERROR(VLOOKUP(S625,STAT1!$C$4:$D$189,2,FALSE),"")</f>
        <v/>
      </c>
      <c r="U625" s="424"/>
      <c r="V625" s="424"/>
      <c r="W625" s="822"/>
      <c r="X625" s="436" t="str">
        <f>IFERROR(VLOOKUP(W625,DATA!$G$4:$H$400,2,FALSE),"")</f>
        <v/>
      </c>
      <c r="Y625" s="328"/>
      <c r="Z625" s="328"/>
      <c r="AA625" s="328"/>
    </row>
    <row r="626" spans="1:27" ht="12.75" customHeight="1">
      <c r="A626" s="425"/>
      <c r="B626" s="368" t="str">
        <f t="shared" si="218"/>
        <v/>
      </c>
      <c r="C626" s="425"/>
      <c r="D626" s="423"/>
      <c r="E626" s="422" t="str">
        <f t="shared" ca="1" si="210"/>
        <v/>
      </c>
      <c r="F626" s="426" t="str">
        <f t="shared" ca="1" si="219"/>
        <v/>
      </c>
      <c r="G626" s="415"/>
      <c r="H626" s="415"/>
      <c r="I626" s="415" t="str">
        <f t="shared" si="228"/>
        <v/>
      </c>
      <c r="J626" s="415"/>
      <c r="K626" s="415" t="str">
        <f t="shared" si="229"/>
        <v/>
      </c>
      <c r="L626" s="415"/>
      <c r="M626" s="415"/>
      <c r="N626" s="422" t="str">
        <f t="shared" si="223"/>
        <v/>
      </c>
      <c r="O626" s="422" t="str">
        <f t="shared" si="224"/>
        <v/>
      </c>
      <c r="P626" s="422" t="str">
        <f t="shared" si="225"/>
        <v/>
      </c>
      <c r="Q626" s="422" t="str">
        <f t="shared" si="226"/>
        <v/>
      </c>
      <c r="R626" s="422" t="str">
        <f t="shared" si="227"/>
        <v/>
      </c>
      <c r="S626" s="583">
        <f t="shared" si="217"/>
        <v>0</v>
      </c>
      <c r="T626" s="377" t="str">
        <f>+IFERROR(VLOOKUP(S626,STAT1!$C$4:$D$189,2,FALSE),"")</f>
        <v/>
      </c>
      <c r="U626" s="424"/>
      <c r="V626" s="424"/>
      <c r="W626" s="822"/>
      <c r="X626" s="436" t="str">
        <f>IFERROR(VLOOKUP(W626,DATA!$G$4:$H$400,2,FALSE),"")</f>
        <v/>
      </c>
      <c r="Y626" s="328"/>
      <c r="Z626" s="328"/>
      <c r="AA626" s="328"/>
    </row>
    <row r="627" spans="1:27" ht="12.75" customHeight="1">
      <c r="A627" s="425"/>
      <c r="B627" s="368" t="str">
        <f t="shared" si="218"/>
        <v/>
      </c>
      <c r="C627" s="425"/>
      <c r="D627" s="423"/>
      <c r="E627" s="422" t="str">
        <f t="shared" ca="1" si="210"/>
        <v/>
      </c>
      <c r="F627" s="426" t="str">
        <f t="shared" ca="1" si="219"/>
        <v/>
      </c>
      <c r="G627" s="415"/>
      <c r="H627" s="415"/>
      <c r="I627" s="415" t="str">
        <f t="shared" si="228"/>
        <v/>
      </c>
      <c r="J627" s="415"/>
      <c r="K627" s="415" t="str">
        <f t="shared" si="229"/>
        <v/>
      </c>
      <c r="L627" s="415"/>
      <c r="M627" s="415"/>
      <c r="N627" s="422" t="str">
        <f t="shared" si="223"/>
        <v/>
      </c>
      <c r="O627" s="422" t="str">
        <f t="shared" si="224"/>
        <v/>
      </c>
      <c r="P627" s="422" t="str">
        <f t="shared" si="225"/>
        <v/>
      </c>
      <c r="Q627" s="422" t="str">
        <f t="shared" si="226"/>
        <v/>
      </c>
      <c r="R627" s="422" t="str">
        <f t="shared" si="227"/>
        <v/>
      </c>
      <c r="S627" s="583">
        <f t="shared" si="217"/>
        <v>0</v>
      </c>
      <c r="T627" s="377" t="str">
        <f>+IFERROR(VLOOKUP(S627,STAT1!$C$4:$D$189,2,FALSE),"")</f>
        <v/>
      </c>
      <c r="U627" s="424"/>
      <c r="V627" s="424"/>
      <c r="W627" s="822"/>
      <c r="X627" s="436" t="str">
        <f>IFERROR(VLOOKUP(W627,DATA!$G$4:$H$400,2,FALSE),"")</f>
        <v/>
      </c>
      <c r="Y627" s="328"/>
      <c r="Z627" s="328"/>
      <c r="AA627" s="328"/>
    </row>
    <row r="628" spans="1:27" ht="12.75" customHeight="1">
      <c r="A628" s="425"/>
      <c r="B628" s="368" t="str">
        <f t="shared" si="218"/>
        <v/>
      </c>
      <c r="C628" s="425"/>
      <c r="D628" s="423"/>
      <c r="E628" s="422" t="str">
        <f t="shared" ca="1" si="210"/>
        <v/>
      </c>
      <c r="F628" s="426" t="str">
        <f t="shared" ca="1" si="219"/>
        <v/>
      </c>
      <c r="G628" s="415"/>
      <c r="H628" s="415"/>
      <c r="I628" s="415" t="str">
        <f t="shared" si="228"/>
        <v/>
      </c>
      <c r="J628" s="415"/>
      <c r="K628" s="415" t="str">
        <f t="shared" si="229"/>
        <v/>
      </c>
      <c r="L628" s="415"/>
      <c r="M628" s="415"/>
      <c r="N628" s="422" t="str">
        <f t="shared" si="223"/>
        <v/>
      </c>
      <c r="O628" s="422" t="str">
        <f t="shared" si="224"/>
        <v/>
      </c>
      <c r="P628" s="422" t="str">
        <f t="shared" si="225"/>
        <v/>
      </c>
      <c r="Q628" s="422" t="str">
        <f t="shared" si="226"/>
        <v/>
      </c>
      <c r="R628" s="422" t="str">
        <f t="shared" si="227"/>
        <v/>
      </c>
      <c r="S628" s="583">
        <f t="shared" si="217"/>
        <v>0</v>
      </c>
      <c r="T628" s="377" t="str">
        <f>+IFERROR(VLOOKUP(S628,STAT1!$C$4:$D$189,2,FALSE),"")</f>
        <v/>
      </c>
      <c r="U628" s="424"/>
      <c r="V628" s="424"/>
      <c r="W628" s="822"/>
      <c r="X628" s="436" t="str">
        <f>IFERROR(VLOOKUP(W628,DATA!$G$4:$H$400,2,FALSE),"")</f>
        <v/>
      </c>
      <c r="Y628" s="328"/>
      <c r="Z628" s="328"/>
      <c r="AA628" s="328"/>
    </row>
    <row r="629" spans="1:27" ht="12.75" customHeight="1">
      <c r="A629" s="425"/>
      <c r="B629" s="368" t="str">
        <f t="shared" si="218"/>
        <v/>
      </c>
      <c r="C629" s="425"/>
      <c r="D629" s="423"/>
      <c r="E629" s="422" t="str">
        <f t="shared" ca="1" si="210"/>
        <v/>
      </c>
      <c r="F629" s="426" t="str">
        <f t="shared" ca="1" si="219"/>
        <v/>
      </c>
      <c r="G629" s="415"/>
      <c r="H629" s="415"/>
      <c r="I629" s="415" t="str">
        <f t="shared" si="228"/>
        <v/>
      </c>
      <c r="J629" s="415" t="str">
        <f>+IF(G629="","",I629*0.1)</f>
        <v/>
      </c>
      <c r="K629" s="415" t="str">
        <f t="shared" si="229"/>
        <v/>
      </c>
      <c r="L629" s="415"/>
      <c r="M629" s="415"/>
      <c r="N629" s="422" t="str">
        <f t="shared" si="223"/>
        <v/>
      </c>
      <c r="O629" s="422" t="str">
        <f t="shared" si="224"/>
        <v/>
      </c>
      <c r="P629" s="422" t="str">
        <f t="shared" si="225"/>
        <v/>
      </c>
      <c r="Q629" s="422" t="str">
        <f t="shared" si="226"/>
        <v/>
      </c>
      <c r="R629" s="422" t="str">
        <f t="shared" si="227"/>
        <v/>
      </c>
      <c r="S629" s="583">
        <f t="shared" si="217"/>
        <v>0</v>
      </c>
      <c r="T629" s="377" t="str">
        <f>+IFERROR(VLOOKUP(S629,STAT1!$C$4:$D$189,2,FALSE),"")</f>
        <v/>
      </c>
      <c r="U629" s="424"/>
      <c r="V629" s="424"/>
      <c r="W629" s="822"/>
      <c r="X629" s="436" t="str">
        <f>IFERROR(VLOOKUP(W629,DATA!$G$4:$H$400,2,FALSE),"")</f>
        <v/>
      </c>
      <c r="Y629" s="328"/>
      <c r="Z629" s="328"/>
      <c r="AA629" s="328"/>
    </row>
    <row r="630" spans="1:27" ht="12.75" customHeight="1">
      <c r="A630" s="425"/>
      <c r="B630" s="368" t="str">
        <f t="shared" si="218"/>
        <v/>
      </c>
      <c r="C630" s="425"/>
      <c r="D630" s="423"/>
      <c r="E630" s="422" t="str">
        <f t="shared" ca="1" si="210"/>
        <v/>
      </c>
      <c r="F630" s="426"/>
      <c r="G630" s="415"/>
      <c r="H630" s="415"/>
      <c r="I630" s="415"/>
      <c r="J630" s="415"/>
      <c r="K630" s="415"/>
      <c r="L630" s="415"/>
      <c r="M630" s="415"/>
      <c r="N630" s="422" t="str">
        <f t="shared" si="223"/>
        <v/>
      </c>
      <c r="O630" s="422"/>
      <c r="P630" s="422"/>
      <c r="Q630" s="422"/>
      <c r="R630" s="422"/>
      <c r="S630" s="583">
        <f t="shared" si="217"/>
        <v>0</v>
      </c>
      <c r="T630" s="377" t="str">
        <f>+IFERROR(VLOOKUP(S630,STAT1!$C$4:$D$189,2,FALSE),"")</f>
        <v/>
      </c>
      <c r="U630" s="424"/>
      <c r="V630" s="424"/>
      <c r="W630" s="822"/>
      <c r="X630" s="436" t="str">
        <f>IFERROR(VLOOKUP(W630,DATA!$G$4:$H$400,2,FALSE),"")</f>
        <v/>
      </c>
      <c r="Y630" s="328"/>
      <c r="Z630" s="328"/>
      <c r="AA630" s="328"/>
    </row>
    <row r="631" spans="1:27" ht="12.75" customHeight="1">
      <c r="A631" s="425"/>
      <c r="B631" s="368" t="str">
        <f t="shared" si="218"/>
        <v/>
      </c>
      <c r="C631" s="425"/>
      <c r="D631" s="423"/>
      <c r="E631" s="422" t="str">
        <f t="shared" ca="1" si="210"/>
        <v/>
      </c>
      <c r="F631" s="426"/>
      <c r="G631" s="415"/>
      <c r="H631" s="415"/>
      <c r="I631" s="415" t="str">
        <f t="shared" ref="I631:I694" si="230">+IF(G631="","",G631*H631)</f>
        <v/>
      </c>
      <c r="J631" s="415" t="str">
        <f t="shared" ref="J631:J674" si="231">+IF(G631="","",I631*0.1)</f>
        <v/>
      </c>
      <c r="K631" s="415" t="str">
        <f t="shared" ref="K631:K694" si="232">+IF(G631="","",I631+J631)</f>
        <v/>
      </c>
      <c r="L631" s="415"/>
      <c r="M631" s="415"/>
      <c r="N631" s="422" t="str">
        <f t="shared" si="223"/>
        <v/>
      </c>
      <c r="O631" s="422"/>
      <c r="P631" s="422"/>
      <c r="Q631" s="422"/>
      <c r="R631" s="422"/>
      <c r="S631" s="583">
        <f t="shared" si="217"/>
        <v>0</v>
      </c>
      <c r="T631" s="377" t="str">
        <f>+IFERROR(VLOOKUP(S631,STAT1!$C$4:$D$189,2,FALSE),"")</f>
        <v/>
      </c>
      <c r="U631" s="424"/>
      <c r="V631" s="424"/>
      <c r="W631" s="822"/>
      <c r="X631" s="436" t="str">
        <f>IFERROR(VLOOKUP(W631,DATA!$G$4:$H$400,2,FALSE),"")</f>
        <v/>
      </c>
      <c r="Y631" s="328"/>
      <c r="Z631" s="328"/>
      <c r="AA631" s="328"/>
    </row>
    <row r="632" spans="1:27" ht="12.75" customHeight="1">
      <c r="A632" s="425"/>
      <c r="B632" s="368" t="str">
        <f t="shared" ref="B632:B651" si="233">+IF(C632="","",ROW()-5)</f>
        <v/>
      </c>
      <c r="C632" s="425"/>
      <c r="D632" s="423"/>
      <c r="E632" s="422" t="str">
        <f t="shared" ca="1" si="210"/>
        <v/>
      </c>
      <c r="F632" s="426" t="str">
        <f t="shared" ref="F632:F695" ca="1" si="234">+IFERROR(VLOOKUP(D632,TN_table,3,FALSE),"")</f>
        <v/>
      </c>
      <c r="G632" s="415"/>
      <c r="H632" s="415"/>
      <c r="I632" s="415" t="str">
        <f t="shared" si="230"/>
        <v/>
      </c>
      <c r="J632" s="415" t="str">
        <f t="shared" si="231"/>
        <v/>
      </c>
      <c r="K632" s="415" t="str">
        <f t="shared" si="232"/>
        <v/>
      </c>
      <c r="L632" s="415"/>
      <c r="M632" s="415"/>
      <c r="N632" s="422" t="str">
        <f t="shared" si="223"/>
        <v/>
      </c>
      <c r="O632" s="422" t="str">
        <f t="shared" ref="O632:O695" si="235">+IF(L632="","",N632*0.1)</f>
        <v/>
      </c>
      <c r="P632" s="422" t="str">
        <f t="shared" ref="P632:P695" si="236">+IF(L632="","",N632+O632)</f>
        <v/>
      </c>
      <c r="Q632" s="422" t="str">
        <f t="shared" ref="Q632:Q695" si="237">IF(L632="","",IFERROR((SUMIFS(TN_balC1_totol,TN_code,D632)+SUMIFS(RC_or_totol,RC_Code,D632,RC_date,"&lt;="&amp;C632)-SUMIFS(RC_zar_totol,RC_Code,D632,RC_date,"&lt;"&amp;C632)) /( SUMIFS(TN_balC1_unit,TN_code,D632)+SUMIFS(RC_or_unit,RC_Code,D632,RC_date,"&lt;="&amp;C632)-SUMIFS(RC_zar_unit,RC_Code,D632,RC_date,"&lt;"&amp;C632)),0 ))</f>
        <v/>
      </c>
      <c r="R632" s="422" t="str">
        <f t="shared" ref="R632:R695" si="238">+IF(L632="","",L632*Q632)</f>
        <v/>
      </c>
      <c r="S632" s="583">
        <f t="shared" si="217"/>
        <v>0</v>
      </c>
      <c r="T632" s="377" t="str">
        <f>+IFERROR(VLOOKUP(S632,STAT1!$C$4:$D$189,2,FALSE),"")</f>
        <v/>
      </c>
      <c r="U632" s="424"/>
      <c r="V632" s="424"/>
      <c r="W632" s="822"/>
      <c r="X632" s="436" t="str">
        <f>IFERROR(VLOOKUP(W632,DATA!$G$4:$H$400,2,FALSE),"")</f>
        <v/>
      </c>
      <c r="Y632" s="328"/>
      <c r="Z632" s="328"/>
      <c r="AA632" s="328"/>
    </row>
    <row r="633" spans="1:27" ht="12.75" customHeight="1">
      <c r="A633" s="425"/>
      <c r="B633" s="368" t="str">
        <f t="shared" si="233"/>
        <v/>
      </c>
      <c r="C633" s="425"/>
      <c r="D633" s="423"/>
      <c r="E633" s="422" t="str">
        <f t="shared" ca="1" si="210"/>
        <v/>
      </c>
      <c r="F633" s="426" t="str">
        <f t="shared" ca="1" si="234"/>
        <v/>
      </c>
      <c r="G633" s="415"/>
      <c r="H633" s="415"/>
      <c r="I633" s="415" t="str">
        <f t="shared" si="230"/>
        <v/>
      </c>
      <c r="J633" s="415" t="str">
        <f t="shared" si="231"/>
        <v/>
      </c>
      <c r="K633" s="415" t="str">
        <f t="shared" si="232"/>
        <v/>
      </c>
      <c r="L633" s="415"/>
      <c r="M633" s="415"/>
      <c r="N633" s="422" t="str">
        <f t="shared" si="223"/>
        <v/>
      </c>
      <c r="O633" s="422" t="str">
        <f t="shared" si="235"/>
        <v/>
      </c>
      <c r="P633" s="422" t="str">
        <f t="shared" si="236"/>
        <v/>
      </c>
      <c r="Q633" s="422" t="str">
        <f t="shared" si="237"/>
        <v/>
      </c>
      <c r="R633" s="422" t="str">
        <f t="shared" si="238"/>
        <v/>
      </c>
      <c r="S633" s="583">
        <f t="shared" si="217"/>
        <v>0</v>
      </c>
      <c r="T633" s="377" t="str">
        <f>+IFERROR(VLOOKUP(S633,STAT1!$C$4:$D$189,2,FALSE),"")</f>
        <v/>
      </c>
      <c r="U633" s="424"/>
      <c r="V633" s="424"/>
      <c r="W633" s="822"/>
      <c r="X633" s="436" t="str">
        <f>IFERROR(VLOOKUP(W633,DATA!$G$4:$H$400,2,FALSE),"")</f>
        <v/>
      </c>
      <c r="Y633" s="328"/>
      <c r="Z633" s="328"/>
      <c r="AA633" s="328"/>
    </row>
    <row r="634" spans="1:27" ht="12.75" customHeight="1">
      <c r="A634" s="425"/>
      <c r="B634" s="368" t="str">
        <f t="shared" si="233"/>
        <v/>
      </c>
      <c r="C634" s="425"/>
      <c r="D634" s="423"/>
      <c r="E634" s="422" t="str">
        <f t="shared" ca="1" si="210"/>
        <v/>
      </c>
      <c r="F634" s="426" t="str">
        <f t="shared" ca="1" si="234"/>
        <v/>
      </c>
      <c r="G634" s="415"/>
      <c r="H634" s="415"/>
      <c r="I634" s="415" t="str">
        <f t="shared" si="230"/>
        <v/>
      </c>
      <c r="J634" s="415" t="str">
        <f t="shared" si="231"/>
        <v/>
      </c>
      <c r="K634" s="415" t="str">
        <f t="shared" si="232"/>
        <v/>
      </c>
      <c r="L634" s="415"/>
      <c r="M634" s="415"/>
      <c r="N634" s="422" t="str">
        <f t="shared" si="223"/>
        <v/>
      </c>
      <c r="O634" s="422" t="str">
        <f t="shared" si="235"/>
        <v/>
      </c>
      <c r="P634" s="422" t="str">
        <f t="shared" si="236"/>
        <v/>
      </c>
      <c r="Q634" s="422" t="str">
        <f t="shared" si="237"/>
        <v/>
      </c>
      <c r="R634" s="422" t="str">
        <f t="shared" si="238"/>
        <v/>
      </c>
      <c r="S634" s="583">
        <f t="shared" si="217"/>
        <v>0</v>
      </c>
      <c r="T634" s="377" t="str">
        <f>+IFERROR(VLOOKUP(S634,STAT1!$C$4:$D$189,2,FALSE),"")</f>
        <v/>
      </c>
      <c r="U634" s="424"/>
      <c r="V634" s="424"/>
      <c r="W634" s="822"/>
      <c r="X634" s="436" t="str">
        <f>IFERROR(VLOOKUP(W634,DATA!$G$4:$H$400,2,FALSE),"")</f>
        <v/>
      </c>
      <c r="Y634" s="328"/>
      <c r="Z634" s="328"/>
      <c r="AA634" s="328"/>
    </row>
    <row r="635" spans="1:27" ht="12.75" customHeight="1">
      <c r="A635" s="425"/>
      <c r="B635" s="368" t="str">
        <f t="shared" si="233"/>
        <v/>
      </c>
      <c r="C635" s="425"/>
      <c r="D635" s="423"/>
      <c r="E635" s="422" t="str">
        <f t="shared" ca="1" si="210"/>
        <v/>
      </c>
      <c r="F635" s="426" t="str">
        <f t="shared" ca="1" si="234"/>
        <v/>
      </c>
      <c r="G635" s="415"/>
      <c r="H635" s="415"/>
      <c r="I635" s="415" t="str">
        <f t="shared" si="230"/>
        <v/>
      </c>
      <c r="J635" s="415" t="str">
        <f t="shared" si="231"/>
        <v/>
      </c>
      <c r="K635" s="415" t="str">
        <f t="shared" si="232"/>
        <v/>
      </c>
      <c r="L635" s="415"/>
      <c r="M635" s="415"/>
      <c r="N635" s="422" t="str">
        <f t="shared" si="223"/>
        <v/>
      </c>
      <c r="O635" s="422" t="str">
        <f t="shared" si="235"/>
        <v/>
      </c>
      <c r="P635" s="422" t="str">
        <f t="shared" si="236"/>
        <v/>
      </c>
      <c r="Q635" s="422" t="str">
        <f t="shared" si="237"/>
        <v/>
      </c>
      <c r="R635" s="422" t="str">
        <f t="shared" si="238"/>
        <v/>
      </c>
      <c r="S635" s="583">
        <f t="shared" si="217"/>
        <v>0</v>
      </c>
      <c r="T635" s="377" t="str">
        <f>+IFERROR(VLOOKUP(S635,STAT1!$C$4:$D$189,2,FALSE),"")</f>
        <v/>
      </c>
      <c r="U635" s="424"/>
      <c r="V635" s="424"/>
      <c r="W635" s="822"/>
      <c r="X635" s="436" t="str">
        <f>IFERROR(VLOOKUP(W635,DATA!$G$4:$H$400,2,FALSE),"")</f>
        <v/>
      </c>
      <c r="Y635" s="328"/>
      <c r="Z635" s="328"/>
      <c r="AA635" s="328"/>
    </row>
    <row r="636" spans="1:27" ht="12.75" customHeight="1">
      <c r="A636" s="425"/>
      <c r="B636" s="368" t="str">
        <f t="shared" si="233"/>
        <v/>
      </c>
      <c r="C636" s="425"/>
      <c r="D636" s="423"/>
      <c r="E636" s="422" t="str">
        <f t="shared" ca="1" si="210"/>
        <v/>
      </c>
      <c r="F636" s="426" t="str">
        <f t="shared" ca="1" si="234"/>
        <v/>
      </c>
      <c r="G636" s="415"/>
      <c r="H636" s="415"/>
      <c r="I636" s="415" t="str">
        <f t="shared" si="230"/>
        <v/>
      </c>
      <c r="J636" s="415" t="str">
        <f t="shared" si="231"/>
        <v/>
      </c>
      <c r="K636" s="415" t="str">
        <f t="shared" si="232"/>
        <v/>
      </c>
      <c r="L636" s="415"/>
      <c r="M636" s="415"/>
      <c r="N636" s="422" t="str">
        <f t="shared" si="223"/>
        <v/>
      </c>
      <c r="O636" s="422" t="str">
        <f t="shared" si="235"/>
        <v/>
      </c>
      <c r="P636" s="422" t="str">
        <f t="shared" si="236"/>
        <v/>
      </c>
      <c r="Q636" s="422" t="str">
        <f t="shared" si="237"/>
        <v/>
      </c>
      <c r="R636" s="422" t="str">
        <f t="shared" si="238"/>
        <v/>
      </c>
      <c r="S636" s="583">
        <f t="shared" si="217"/>
        <v>0</v>
      </c>
      <c r="T636" s="377" t="str">
        <f>+IFERROR(VLOOKUP(S636,STAT1!$C$4:$D$189,2,FALSE),"")</f>
        <v/>
      </c>
      <c r="U636" s="424"/>
      <c r="V636" s="424"/>
      <c r="W636" s="822"/>
      <c r="X636" s="436" t="str">
        <f>IFERROR(VLOOKUP(W636,DATA!$G$4:$H$400,2,FALSE),"")</f>
        <v/>
      </c>
      <c r="Y636" s="328"/>
      <c r="Z636" s="328"/>
      <c r="AA636" s="328"/>
    </row>
    <row r="637" spans="1:27" ht="12.75" customHeight="1">
      <c r="A637" s="425"/>
      <c r="B637" s="368" t="str">
        <f t="shared" si="233"/>
        <v/>
      </c>
      <c r="C637" s="425"/>
      <c r="D637" s="423"/>
      <c r="E637" s="422" t="str">
        <f t="shared" ca="1" si="210"/>
        <v/>
      </c>
      <c r="F637" s="426" t="str">
        <f t="shared" ca="1" si="234"/>
        <v/>
      </c>
      <c r="G637" s="415"/>
      <c r="H637" s="415"/>
      <c r="I637" s="415" t="str">
        <f t="shared" si="230"/>
        <v/>
      </c>
      <c r="J637" s="415" t="str">
        <f t="shared" si="231"/>
        <v/>
      </c>
      <c r="K637" s="415" t="str">
        <f t="shared" si="232"/>
        <v/>
      </c>
      <c r="L637" s="415"/>
      <c r="M637" s="415"/>
      <c r="N637" s="422" t="str">
        <f t="shared" si="223"/>
        <v/>
      </c>
      <c r="O637" s="422" t="str">
        <f t="shared" si="235"/>
        <v/>
      </c>
      <c r="P637" s="422" t="str">
        <f t="shared" si="236"/>
        <v/>
      </c>
      <c r="Q637" s="422" t="str">
        <f t="shared" si="237"/>
        <v/>
      </c>
      <c r="R637" s="422" t="str">
        <f t="shared" si="238"/>
        <v/>
      </c>
      <c r="S637" s="583">
        <f t="shared" si="217"/>
        <v>0</v>
      </c>
      <c r="T637" s="377" t="str">
        <f>+IFERROR(VLOOKUP(S637,STAT1!$C$4:$D$189,2,FALSE),"")</f>
        <v/>
      </c>
      <c r="U637" s="424"/>
      <c r="V637" s="424"/>
      <c r="W637" s="822"/>
      <c r="X637" s="436" t="str">
        <f>IFERROR(VLOOKUP(W637,DATA!$G$4:$H$400,2,FALSE),"")</f>
        <v/>
      </c>
      <c r="Y637" s="328"/>
      <c r="Z637" s="328"/>
      <c r="AA637" s="328"/>
    </row>
    <row r="638" spans="1:27" ht="12.75" customHeight="1">
      <c r="A638" s="425"/>
      <c r="B638" s="368" t="str">
        <f t="shared" si="233"/>
        <v/>
      </c>
      <c r="C638" s="425"/>
      <c r="D638" s="423"/>
      <c r="E638" s="422" t="str">
        <f t="shared" ca="1" si="210"/>
        <v/>
      </c>
      <c r="F638" s="426" t="str">
        <f t="shared" ca="1" si="234"/>
        <v/>
      </c>
      <c r="G638" s="415"/>
      <c r="H638" s="415"/>
      <c r="I638" s="415" t="str">
        <f t="shared" si="230"/>
        <v/>
      </c>
      <c r="J638" s="415" t="str">
        <f t="shared" si="231"/>
        <v/>
      </c>
      <c r="K638" s="415" t="str">
        <f t="shared" si="232"/>
        <v/>
      </c>
      <c r="L638" s="415"/>
      <c r="M638" s="415"/>
      <c r="N638" s="422" t="str">
        <f t="shared" si="223"/>
        <v/>
      </c>
      <c r="O638" s="422" t="str">
        <f t="shared" si="235"/>
        <v/>
      </c>
      <c r="P638" s="422" t="str">
        <f t="shared" si="236"/>
        <v/>
      </c>
      <c r="Q638" s="422" t="str">
        <f t="shared" si="237"/>
        <v/>
      </c>
      <c r="R638" s="422" t="str">
        <f t="shared" si="238"/>
        <v/>
      </c>
      <c r="S638" s="583">
        <f t="shared" si="217"/>
        <v>0</v>
      </c>
      <c r="T638" s="377" t="str">
        <f>+IFERROR(VLOOKUP(S638,STAT1!$C$4:$D$189,2,FALSE),"")</f>
        <v/>
      </c>
      <c r="U638" s="424"/>
      <c r="V638" s="424"/>
      <c r="W638" s="822"/>
      <c r="X638" s="436" t="str">
        <f>IFERROR(VLOOKUP(W638,DATA!$G$4:$H$400,2,FALSE),"")</f>
        <v/>
      </c>
      <c r="Y638" s="328"/>
      <c r="Z638" s="328"/>
      <c r="AA638" s="328"/>
    </row>
    <row r="639" spans="1:27" ht="12.75" customHeight="1">
      <c r="A639" s="425"/>
      <c r="B639" s="368" t="str">
        <f t="shared" si="233"/>
        <v/>
      </c>
      <c r="C639" s="425"/>
      <c r="D639" s="423"/>
      <c r="E639" s="422" t="str">
        <f t="shared" ca="1" si="210"/>
        <v/>
      </c>
      <c r="F639" s="426" t="str">
        <f t="shared" ca="1" si="234"/>
        <v/>
      </c>
      <c r="G639" s="415"/>
      <c r="H639" s="415"/>
      <c r="I639" s="415" t="str">
        <f t="shared" si="230"/>
        <v/>
      </c>
      <c r="J639" s="415" t="str">
        <f t="shared" si="231"/>
        <v/>
      </c>
      <c r="K639" s="415" t="str">
        <f t="shared" si="232"/>
        <v/>
      </c>
      <c r="L639" s="415"/>
      <c r="M639" s="415"/>
      <c r="N639" s="422" t="str">
        <f t="shared" si="223"/>
        <v/>
      </c>
      <c r="O639" s="422" t="str">
        <f t="shared" si="235"/>
        <v/>
      </c>
      <c r="P639" s="422" t="str">
        <f t="shared" si="236"/>
        <v/>
      </c>
      <c r="Q639" s="422" t="str">
        <f t="shared" si="237"/>
        <v/>
      </c>
      <c r="R639" s="422" t="str">
        <f t="shared" si="238"/>
        <v/>
      </c>
      <c r="S639" s="583">
        <f t="shared" si="217"/>
        <v>0</v>
      </c>
      <c r="T639" s="377" t="str">
        <f>+IFERROR(VLOOKUP(S639,STAT1!$C$4:$D$189,2,FALSE),"")</f>
        <v/>
      </c>
      <c r="U639" s="424"/>
      <c r="V639" s="424"/>
      <c r="W639" s="822"/>
      <c r="X639" s="436" t="str">
        <f>IFERROR(VLOOKUP(W639,DATA!$G$4:$H$400,2,FALSE),"")</f>
        <v/>
      </c>
      <c r="Y639" s="328"/>
      <c r="Z639" s="328"/>
      <c r="AA639" s="328"/>
    </row>
    <row r="640" spans="1:27" ht="12.75" customHeight="1">
      <c r="A640" s="425"/>
      <c r="B640" s="368" t="str">
        <f t="shared" si="233"/>
        <v/>
      </c>
      <c r="C640" s="425"/>
      <c r="D640" s="423"/>
      <c r="E640" s="422" t="str">
        <f t="shared" ca="1" si="210"/>
        <v/>
      </c>
      <c r="F640" s="426" t="str">
        <f t="shared" ca="1" si="234"/>
        <v/>
      </c>
      <c r="G640" s="415"/>
      <c r="H640" s="415"/>
      <c r="I640" s="415" t="str">
        <f t="shared" si="230"/>
        <v/>
      </c>
      <c r="J640" s="415" t="str">
        <f t="shared" si="231"/>
        <v/>
      </c>
      <c r="K640" s="415" t="str">
        <f t="shared" si="232"/>
        <v/>
      </c>
      <c r="L640" s="415"/>
      <c r="M640" s="415"/>
      <c r="N640" s="422" t="str">
        <f t="shared" si="223"/>
        <v/>
      </c>
      <c r="O640" s="422" t="str">
        <f t="shared" si="235"/>
        <v/>
      </c>
      <c r="P640" s="422" t="str">
        <f t="shared" si="236"/>
        <v/>
      </c>
      <c r="Q640" s="422" t="str">
        <f t="shared" si="237"/>
        <v/>
      </c>
      <c r="R640" s="422" t="str">
        <f t="shared" si="238"/>
        <v/>
      </c>
      <c r="S640" s="583">
        <f t="shared" si="217"/>
        <v>0</v>
      </c>
      <c r="T640" s="377" t="str">
        <f>+IFERROR(VLOOKUP(S640,STAT1!$C$4:$D$189,2,FALSE),"")</f>
        <v/>
      </c>
      <c r="U640" s="424"/>
      <c r="V640" s="424"/>
      <c r="W640" s="822"/>
      <c r="X640" s="436" t="str">
        <f>IFERROR(VLOOKUP(W640,DATA!$G$4:$H$400,2,FALSE),"")</f>
        <v/>
      </c>
      <c r="Y640" s="328"/>
      <c r="Z640" s="328"/>
      <c r="AA640" s="328"/>
    </row>
    <row r="641" spans="1:27" ht="12.75" customHeight="1">
      <c r="A641" s="425"/>
      <c r="B641" s="368" t="str">
        <f t="shared" si="233"/>
        <v/>
      </c>
      <c r="C641" s="425"/>
      <c r="D641" s="423"/>
      <c r="E641" s="422" t="str">
        <f t="shared" ca="1" si="210"/>
        <v/>
      </c>
      <c r="F641" s="426" t="str">
        <f t="shared" ca="1" si="234"/>
        <v/>
      </c>
      <c r="G641" s="415"/>
      <c r="H641" s="415"/>
      <c r="I641" s="415" t="str">
        <f t="shared" si="230"/>
        <v/>
      </c>
      <c r="J641" s="415" t="str">
        <f t="shared" si="231"/>
        <v/>
      </c>
      <c r="K641" s="415" t="str">
        <f t="shared" si="232"/>
        <v/>
      </c>
      <c r="L641" s="415"/>
      <c r="M641" s="415"/>
      <c r="N641" s="422" t="str">
        <f t="shared" si="223"/>
        <v/>
      </c>
      <c r="O641" s="422" t="str">
        <f t="shared" si="235"/>
        <v/>
      </c>
      <c r="P641" s="422" t="str">
        <f t="shared" si="236"/>
        <v/>
      </c>
      <c r="Q641" s="422" t="str">
        <f t="shared" si="237"/>
        <v/>
      </c>
      <c r="R641" s="422" t="str">
        <f t="shared" si="238"/>
        <v/>
      </c>
      <c r="S641" s="583">
        <f t="shared" si="217"/>
        <v>0</v>
      </c>
      <c r="T641" s="377" t="str">
        <f>+IFERROR(VLOOKUP(S641,STAT1!$C$4:$D$189,2,FALSE),"")</f>
        <v/>
      </c>
      <c r="U641" s="424"/>
      <c r="V641" s="424"/>
      <c r="W641" s="822"/>
      <c r="X641" s="436" t="str">
        <f>IFERROR(VLOOKUP(W641,DATA!$G$4:$H$400,2,FALSE),"")</f>
        <v/>
      </c>
      <c r="Y641" s="328"/>
      <c r="Z641" s="328"/>
      <c r="AA641" s="328"/>
    </row>
    <row r="642" spans="1:27" ht="12.75" customHeight="1">
      <c r="A642" s="425"/>
      <c r="B642" s="368" t="str">
        <f t="shared" si="233"/>
        <v/>
      </c>
      <c r="C642" s="425"/>
      <c r="D642" s="423"/>
      <c r="E642" s="422" t="str">
        <f t="shared" ca="1" si="210"/>
        <v/>
      </c>
      <c r="F642" s="426" t="str">
        <f t="shared" ca="1" si="234"/>
        <v/>
      </c>
      <c r="G642" s="415"/>
      <c r="H642" s="415"/>
      <c r="I642" s="415" t="str">
        <f t="shared" si="230"/>
        <v/>
      </c>
      <c r="J642" s="415" t="str">
        <f t="shared" si="231"/>
        <v/>
      </c>
      <c r="K642" s="415" t="str">
        <f t="shared" si="232"/>
        <v/>
      </c>
      <c r="L642" s="415"/>
      <c r="M642" s="415"/>
      <c r="N642" s="422" t="str">
        <f t="shared" si="223"/>
        <v/>
      </c>
      <c r="O642" s="422" t="str">
        <f t="shared" si="235"/>
        <v/>
      </c>
      <c r="P642" s="422" t="str">
        <f t="shared" si="236"/>
        <v/>
      </c>
      <c r="Q642" s="422" t="str">
        <f t="shared" si="237"/>
        <v/>
      </c>
      <c r="R642" s="422" t="str">
        <f t="shared" si="238"/>
        <v/>
      </c>
      <c r="S642" s="583">
        <f t="shared" si="217"/>
        <v>0</v>
      </c>
      <c r="T642" s="377" t="str">
        <f>+IFERROR(VLOOKUP(S642,STAT1!$C$4:$D$189,2,FALSE),"")</f>
        <v/>
      </c>
      <c r="U642" s="424"/>
      <c r="V642" s="424"/>
      <c r="W642" s="822"/>
      <c r="X642" s="436" t="str">
        <f>IFERROR(VLOOKUP(W642,DATA!$G$4:$H$400,2,FALSE),"")</f>
        <v/>
      </c>
      <c r="Y642" s="328"/>
      <c r="Z642" s="328"/>
      <c r="AA642" s="328"/>
    </row>
    <row r="643" spans="1:27" ht="12.75" customHeight="1">
      <c r="A643" s="425"/>
      <c r="B643" s="368" t="str">
        <f t="shared" si="233"/>
        <v/>
      </c>
      <c r="C643" s="425"/>
      <c r="D643" s="423"/>
      <c r="E643" s="422" t="str">
        <f t="shared" ca="1" si="210"/>
        <v/>
      </c>
      <c r="F643" s="426" t="str">
        <f t="shared" ca="1" si="234"/>
        <v/>
      </c>
      <c r="G643" s="415"/>
      <c r="H643" s="415"/>
      <c r="I643" s="415" t="str">
        <f t="shared" si="230"/>
        <v/>
      </c>
      <c r="J643" s="415" t="str">
        <f t="shared" si="231"/>
        <v/>
      </c>
      <c r="K643" s="415" t="str">
        <f t="shared" si="232"/>
        <v/>
      </c>
      <c r="L643" s="415"/>
      <c r="M643" s="415"/>
      <c r="N643" s="422" t="str">
        <f t="shared" si="223"/>
        <v/>
      </c>
      <c r="O643" s="422" t="str">
        <f t="shared" si="235"/>
        <v/>
      </c>
      <c r="P643" s="422" t="str">
        <f t="shared" si="236"/>
        <v/>
      </c>
      <c r="Q643" s="422" t="str">
        <f t="shared" si="237"/>
        <v/>
      </c>
      <c r="R643" s="422" t="str">
        <f t="shared" si="238"/>
        <v/>
      </c>
      <c r="S643" s="583">
        <f t="shared" si="217"/>
        <v>0</v>
      </c>
      <c r="T643" s="377" t="str">
        <f>+IFERROR(VLOOKUP(S643,STAT1!$C$4:$D$189,2,FALSE),"")</f>
        <v/>
      </c>
      <c r="U643" s="424"/>
      <c r="V643" s="424"/>
      <c r="W643" s="822"/>
      <c r="X643" s="436" t="str">
        <f>IFERROR(VLOOKUP(W643,DATA!$G$4:$H$400,2,FALSE),"")</f>
        <v/>
      </c>
      <c r="Y643" s="328"/>
      <c r="Z643" s="328"/>
      <c r="AA643" s="328"/>
    </row>
    <row r="644" spans="1:27" ht="12.75" customHeight="1">
      <c r="A644" s="425"/>
      <c r="B644" s="368" t="str">
        <f t="shared" si="233"/>
        <v/>
      </c>
      <c r="C644" s="425"/>
      <c r="D644" s="423"/>
      <c r="E644" s="422" t="str">
        <f t="shared" ca="1" si="210"/>
        <v/>
      </c>
      <c r="F644" s="426" t="str">
        <f t="shared" ca="1" si="234"/>
        <v/>
      </c>
      <c r="G644" s="415"/>
      <c r="H644" s="415"/>
      <c r="I644" s="415" t="str">
        <f t="shared" si="230"/>
        <v/>
      </c>
      <c r="J644" s="415" t="str">
        <f t="shared" si="231"/>
        <v/>
      </c>
      <c r="K644" s="415" t="str">
        <f t="shared" si="232"/>
        <v/>
      </c>
      <c r="L644" s="415"/>
      <c r="M644" s="415"/>
      <c r="N644" s="422" t="str">
        <f t="shared" si="223"/>
        <v/>
      </c>
      <c r="O644" s="422" t="str">
        <f t="shared" si="235"/>
        <v/>
      </c>
      <c r="P644" s="422" t="str">
        <f t="shared" si="236"/>
        <v/>
      </c>
      <c r="Q644" s="422" t="str">
        <f t="shared" si="237"/>
        <v/>
      </c>
      <c r="R644" s="422" t="str">
        <f t="shared" si="238"/>
        <v/>
      </c>
      <c r="S644" s="583">
        <f t="shared" si="217"/>
        <v>0</v>
      </c>
      <c r="T644" s="377" t="str">
        <f>+IFERROR(VLOOKUP(S644,STAT1!$C$4:$D$189,2,FALSE),"")</f>
        <v/>
      </c>
      <c r="U644" s="424"/>
      <c r="V644" s="424"/>
      <c r="W644" s="822"/>
      <c r="X644" s="436" t="str">
        <f>IFERROR(VLOOKUP(W644,DATA!$G$4:$H$400,2,FALSE),"")</f>
        <v/>
      </c>
      <c r="Y644" s="328"/>
      <c r="Z644" s="328"/>
      <c r="AA644" s="328"/>
    </row>
    <row r="645" spans="1:27" ht="12.75" customHeight="1">
      <c r="A645" s="425"/>
      <c r="B645" s="368" t="str">
        <f t="shared" si="233"/>
        <v/>
      </c>
      <c r="C645" s="425"/>
      <c r="D645" s="423"/>
      <c r="E645" s="422" t="str">
        <f t="shared" ca="1" si="210"/>
        <v/>
      </c>
      <c r="F645" s="426" t="str">
        <f t="shared" ca="1" si="234"/>
        <v/>
      </c>
      <c r="G645" s="415"/>
      <c r="H645" s="415"/>
      <c r="I645" s="415" t="str">
        <f t="shared" si="230"/>
        <v/>
      </c>
      <c r="J645" s="415" t="str">
        <f t="shared" si="231"/>
        <v/>
      </c>
      <c r="K645" s="415" t="str">
        <f t="shared" si="232"/>
        <v/>
      </c>
      <c r="L645" s="415"/>
      <c r="M645" s="415"/>
      <c r="N645" s="422" t="str">
        <f t="shared" si="223"/>
        <v/>
      </c>
      <c r="O645" s="422" t="str">
        <f t="shared" si="235"/>
        <v/>
      </c>
      <c r="P645" s="422" t="str">
        <f t="shared" si="236"/>
        <v/>
      </c>
      <c r="Q645" s="422" t="str">
        <f t="shared" si="237"/>
        <v/>
      </c>
      <c r="R645" s="422" t="str">
        <f t="shared" si="238"/>
        <v/>
      </c>
      <c r="S645" s="583">
        <f t="shared" si="217"/>
        <v>0</v>
      </c>
      <c r="T645" s="377" t="str">
        <f>+IFERROR(VLOOKUP(S645,STAT1!$C$4:$D$189,2,FALSE),"")</f>
        <v/>
      </c>
      <c r="U645" s="424"/>
      <c r="V645" s="424"/>
      <c r="W645" s="822"/>
      <c r="X645" s="436" t="str">
        <f>IFERROR(VLOOKUP(W645,DATA!$G$4:$H$400,2,FALSE),"")</f>
        <v/>
      </c>
      <c r="Y645" s="328"/>
      <c r="Z645" s="328"/>
      <c r="AA645" s="328"/>
    </row>
    <row r="646" spans="1:27" ht="12.75" customHeight="1">
      <c r="A646" s="425"/>
      <c r="B646" s="368" t="str">
        <f t="shared" si="233"/>
        <v/>
      </c>
      <c r="C646" s="425"/>
      <c r="D646" s="423"/>
      <c r="E646" s="422" t="str">
        <f t="shared" ca="1" si="210"/>
        <v/>
      </c>
      <c r="F646" s="426" t="str">
        <f t="shared" ca="1" si="234"/>
        <v/>
      </c>
      <c r="G646" s="415"/>
      <c r="H646" s="415"/>
      <c r="I646" s="415" t="str">
        <f t="shared" si="230"/>
        <v/>
      </c>
      <c r="J646" s="415" t="str">
        <f t="shared" si="231"/>
        <v/>
      </c>
      <c r="K646" s="415" t="str">
        <f t="shared" si="232"/>
        <v/>
      </c>
      <c r="L646" s="415"/>
      <c r="M646" s="415"/>
      <c r="N646" s="422" t="str">
        <f t="shared" si="223"/>
        <v/>
      </c>
      <c r="O646" s="422" t="str">
        <f t="shared" si="235"/>
        <v/>
      </c>
      <c r="P646" s="422" t="str">
        <f t="shared" si="236"/>
        <v/>
      </c>
      <c r="Q646" s="422" t="str">
        <f t="shared" si="237"/>
        <v/>
      </c>
      <c r="R646" s="422" t="str">
        <f t="shared" si="238"/>
        <v/>
      </c>
      <c r="S646" s="583">
        <f t="shared" si="217"/>
        <v>0</v>
      </c>
      <c r="T646" s="377" t="str">
        <f>+IFERROR(VLOOKUP(S646,STAT1!$C$4:$D$189,2,FALSE),"")</f>
        <v/>
      </c>
      <c r="U646" s="424"/>
      <c r="V646" s="424"/>
      <c r="W646" s="822"/>
      <c r="X646" s="436" t="str">
        <f>IFERROR(VLOOKUP(W646,DATA!$G$4:$H$400,2,FALSE),"")</f>
        <v/>
      </c>
      <c r="Y646" s="328"/>
      <c r="Z646" s="328"/>
      <c r="AA646" s="328"/>
    </row>
    <row r="647" spans="1:27" ht="12.75" customHeight="1">
      <c r="A647" s="425"/>
      <c r="B647" s="368" t="str">
        <f t="shared" si="233"/>
        <v/>
      </c>
      <c r="C647" s="425"/>
      <c r="D647" s="423"/>
      <c r="E647" s="422" t="str">
        <f t="shared" ca="1" si="210"/>
        <v/>
      </c>
      <c r="F647" s="426" t="str">
        <f t="shared" ca="1" si="234"/>
        <v/>
      </c>
      <c r="G647" s="415"/>
      <c r="H647" s="415"/>
      <c r="I647" s="415" t="str">
        <f t="shared" si="230"/>
        <v/>
      </c>
      <c r="J647" s="415" t="str">
        <f t="shared" si="231"/>
        <v/>
      </c>
      <c r="K647" s="415" t="str">
        <f t="shared" si="232"/>
        <v/>
      </c>
      <c r="L647" s="415"/>
      <c r="M647" s="415"/>
      <c r="N647" s="422" t="str">
        <f t="shared" si="223"/>
        <v/>
      </c>
      <c r="O647" s="422" t="str">
        <f t="shared" si="235"/>
        <v/>
      </c>
      <c r="P647" s="422" t="str">
        <f t="shared" si="236"/>
        <v/>
      </c>
      <c r="Q647" s="422" t="str">
        <f t="shared" si="237"/>
        <v/>
      </c>
      <c r="R647" s="422" t="str">
        <f t="shared" si="238"/>
        <v/>
      </c>
      <c r="S647" s="583">
        <f t="shared" si="217"/>
        <v>0</v>
      </c>
      <c r="T647" s="377" t="str">
        <f>+IFERROR(VLOOKUP(S647,STAT1!$C$4:$D$189,2,FALSE),"")</f>
        <v/>
      </c>
      <c r="U647" s="424"/>
      <c r="V647" s="424"/>
      <c r="W647" s="822"/>
      <c r="X647" s="436" t="str">
        <f>IFERROR(VLOOKUP(W647,DATA!$G$4:$H$400,2,FALSE),"")</f>
        <v/>
      </c>
      <c r="Y647" s="328"/>
      <c r="Z647" s="328"/>
      <c r="AA647" s="328"/>
    </row>
    <row r="648" spans="1:27" ht="12.75" customHeight="1">
      <c r="A648" s="425"/>
      <c r="B648" s="368" t="str">
        <f t="shared" si="233"/>
        <v/>
      </c>
      <c r="C648" s="425"/>
      <c r="D648" s="423"/>
      <c r="E648" s="422" t="str">
        <f t="shared" ca="1" si="210"/>
        <v/>
      </c>
      <c r="F648" s="426" t="str">
        <f t="shared" ca="1" si="234"/>
        <v/>
      </c>
      <c r="G648" s="415"/>
      <c r="H648" s="415"/>
      <c r="I648" s="415" t="str">
        <f t="shared" si="230"/>
        <v/>
      </c>
      <c r="J648" s="415" t="str">
        <f t="shared" si="231"/>
        <v/>
      </c>
      <c r="K648" s="415" t="str">
        <f t="shared" si="232"/>
        <v/>
      </c>
      <c r="L648" s="415"/>
      <c r="M648" s="415"/>
      <c r="N648" s="422" t="str">
        <f t="shared" si="223"/>
        <v/>
      </c>
      <c r="O648" s="422" t="str">
        <f t="shared" si="235"/>
        <v/>
      </c>
      <c r="P648" s="422" t="str">
        <f t="shared" si="236"/>
        <v/>
      </c>
      <c r="Q648" s="422" t="str">
        <f t="shared" si="237"/>
        <v/>
      </c>
      <c r="R648" s="422" t="str">
        <f t="shared" si="238"/>
        <v/>
      </c>
      <c r="S648" s="583">
        <f t="shared" si="217"/>
        <v>0</v>
      </c>
      <c r="T648" s="377" t="str">
        <f>+IFERROR(VLOOKUP(S648,STAT1!$C$4:$D$189,2,FALSE),"")</f>
        <v/>
      </c>
      <c r="U648" s="424"/>
      <c r="V648" s="424"/>
      <c r="W648" s="822"/>
      <c r="X648" s="436" t="str">
        <f>IFERROR(VLOOKUP(W648,DATA!$G$4:$H$400,2,FALSE),"")</f>
        <v/>
      </c>
      <c r="Y648" s="328"/>
      <c r="Z648" s="328"/>
      <c r="AA648" s="328"/>
    </row>
    <row r="649" spans="1:27" ht="12.75" customHeight="1">
      <c r="A649" s="425"/>
      <c r="B649" s="368" t="str">
        <f t="shared" si="233"/>
        <v/>
      </c>
      <c r="C649" s="425"/>
      <c r="D649" s="423"/>
      <c r="E649" s="422" t="str">
        <f t="shared" ref="E649:E712" ca="1" si="239">+IFERROR(VLOOKUP(D649,TN_table,2,FALSE),"")</f>
        <v/>
      </c>
      <c r="F649" s="426" t="str">
        <f t="shared" ca="1" si="234"/>
        <v/>
      </c>
      <c r="G649" s="415"/>
      <c r="H649" s="415"/>
      <c r="I649" s="415" t="str">
        <f t="shared" si="230"/>
        <v/>
      </c>
      <c r="J649" s="415" t="str">
        <f t="shared" si="231"/>
        <v/>
      </c>
      <c r="K649" s="415" t="str">
        <f t="shared" si="232"/>
        <v/>
      </c>
      <c r="L649" s="415"/>
      <c r="M649" s="415"/>
      <c r="N649" s="422" t="str">
        <f t="shared" si="223"/>
        <v/>
      </c>
      <c r="O649" s="422" t="str">
        <f t="shared" si="235"/>
        <v/>
      </c>
      <c r="P649" s="422" t="str">
        <f t="shared" si="236"/>
        <v/>
      </c>
      <c r="Q649" s="422" t="str">
        <f t="shared" si="237"/>
        <v/>
      </c>
      <c r="R649" s="422" t="str">
        <f t="shared" si="238"/>
        <v/>
      </c>
      <c r="S649" s="583">
        <f t="shared" si="217"/>
        <v>0</v>
      </c>
      <c r="T649" s="377" t="str">
        <f>+IFERROR(VLOOKUP(S649,STAT1!$C$4:$D$189,2,FALSE),"")</f>
        <v/>
      </c>
      <c r="U649" s="424"/>
      <c r="V649" s="424"/>
      <c r="W649" s="822"/>
      <c r="X649" s="436" t="str">
        <f>IFERROR(VLOOKUP(W649,DATA!$G$4:$H$400,2,FALSE),"")</f>
        <v/>
      </c>
      <c r="Y649" s="328"/>
      <c r="Z649" s="328"/>
      <c r="AA649" s="328"/>
    </row>
    <row r="650" spans="1:27" ht="12.75" customHeight="1">
      <c r="A650" s="425"/>
      <c r="B650" s="368" t="str">
        <f t="shared" si="233"/>
        <v/>
      </c>
      <c r="C650" s="425"/>
      <c r="D650" s="423"/>
      <c r="E650" s="422" t="str">
        <f t="shared" ca="1" si="239"/>
        <v/>
      </c>
      <c r="F650" s="426" t="str">
        <f t="shared" ca="1" si="234"/>
        <v/>
      </c>
      <c r="G650" s="415"/>
      <c r="H650" s="415"/>
      <c r="I650" s="415" t="str">
        <f t="shared" si="230"/>
        <v/>
      </c>
      <c r="J650" s="415" t="str">
        <f t="shared" si="231"/>
        <v/>
      </c>
      <c r="K650" s="415" t="str">
        <f t="shared" si="232"/>
        <v/>
      </c>
      <c r="L650" s="415"/>
      <c r="M650" s="415"/>
      <c r="N650" s="422" t="str">
        <f t="shared" si="223"/>
        <v/>
      </c>
      <c r="O650" s="422" t="str">
        <f t="shared" si="235"/>
        <v/>
      </c>
      <c r="P650" s="422" t="str">
        <f t="shared" si="236"/>
        <v/>
      </c>
      <c r="Q650" s="422" t="str">
        <f t="shared" si="237"/>
        <v/>
      </c>
      <c r="R650" s="422" t="str">
        <f t="shared" si="238"/>
        <v/>
      </c>
      <c r="S650" s="583">
        <f t="shared" si="217"/>
        <v>0</v>
      </c>
      <c r="T650" s="377" t="str">
        <f>+IFERROR(VLOOKUP(S650,STAT1!$C$4:$D$189,2,FALSE),"")</f>
        <v/>
      </c>
      <c r="U650" s="424"/>
      <c r="V650" s="424"/>
      <c r="W650" s="822"/>
      <c r="X650" s="436" t="str">
        <f>IFERROR(VLOOKUP(W650,DATA!$G$4:$H$400,2,FALSE),"")</f>
        <v/>
      </c>
      <c r="Y650" s="328"/>
      <c r="Z650" s="328"/>
      <c r="AA650" s="328"/>
    </row>
    <row r="651" spans="1:27" ht="12.75" customHeight="1">
      <c r="A651" s="425"/>
      <c r="B651" s="368" t="str">
        <f t="shared" si="233"/>
        <v/>
      </c>
      <c r="C651" s="425"/>
      <c r="D651" s="423"/>
      <c r="E651" s="422" t="str">
        <f t="shared" ca="1" si="239"/>
        <v/>
      </c>
      <c r="F651" s="426" t="str">
        <f t="shared" ca="1" si="234"/>
        <v/>
      </c>
      <c r="G651" s="415"/>
      <c r="H651" s="415"/>
      <c r="I651" s="415" t="str">
        <f t="shared" si="230"/>
        <v/>
      </c>
      <c r="J651" s="415" t="str">
        <f t="shared" si="231"/>
        <v/>
      </c>
      <c r="K651" s="415" t="str">
        <f t="shared" si="232"/>
        <v/>
      </c>
      <c r="L651" s="415"/>
      <c r="M651" s="415"/>
      <c r="N651" s="422" t="str">
        <f t="shared" si="223"/>
        <v/>
      </c>
      <c r="O651" s="422" t="str">
        <f t="shared" si="235"/>
        <v/>
      </c>
      <c r="P651" s="422" t="str">
        <f t="shared" si="236"/>
        <v/>
      </c>
      <c r="Q651" s="422" t="str">
        <f t="shared" si="237"/>
        <v/>
      </c>
      <c r="R651" s="422" t="str">
        <f t="shared" si="238"/>
        <v/>
      </c>
      <c r="S651" s="583">
        <f t="shared" si="217"/>
        <v>0</v>
      </c>
      <c r="T651" s="377" t="str">
        <f>+IFERROR(VLOOKUP(S651,STAT1!$C$4:$D$189,2,FALSE),"")</f>
        <v/>
      </c>
      <c r="U651" s="424"/>
      <c r="V651" s="424"/>
      <c r="W651" s="822"/>
      <c r="X651" s="436" t="str">
        <f>IFERROR(VLOOKUP(W651,DATA!$G$4:$H$400,2,FALSE),"")</f>
        <v/>
      </c>
      <c r="Y651" s="328"/>
      <c r="Z651" s="328"/>
      <c r="AA651" s="328"/>
    </row>
    <row r="652" spans="1:27" ht="12.75" customHeight="1">
      <c r="A652" s="425"/>
      <c r="B652" s="368" t="str">
        <f>IF(C652="","",ROW()-5)</f>
        <v/>
      </c>
      <c r="C652" s="425"/>
      <c r="D652" s="423"/>
      <c r="E652" s="422" t="str">
        <f t="shared" ca="1" si="239"/>
        <v/>
      </c>
      <c r="F652" s="426" t="str">
        <f t="shared" ca="1" si="234"/>
        <v/>
      </c>
      <c r="G652" s="415"/>
      <c r="H652" s="415"/>
      <c r="I652" s="415" t="str">
        <f t="shared" si="230"/>
        <v/>
      </c>
      <c r="J652" s="415" t="str">
        <f t="shared" si="231"/>
        <v/>
      </c>
      <c r="K652" s="415" t="str">
        <f t="shared" si="232"/>
        <v/>
      </c>
      <c r="L652" s="415"/>
      <c r="M652" s="415"/>
      <c r="N652" s="422" t="str">
        <f t="shared" si="223"/>
        <v/>
      </c>
      <c r="O652" s="422" t="str">
        <f t="shared" si="235"/>
        <v/>
      </c>
      <c r="P652" s="422" t="str">
        <f t="shared" si="236"/>
        <v/>
      </c>
      <c r="Q652" s="422" t="str">
        <f t="shared" si="237"/>
        <v/>
      </c>
      <c r="R652" s="422" t="str">
        <f t="shared" si="238"/>
        <v/>
      </c>
      <c r="S652" s="583">
        <f t="shared" si="217"/>
        <v>0</v>
      </c>
      <c r="T652" s="377" t="str">
        <f>+IFERROR(VLOOKUP(S652,STAT1!$C$4:$D$189,2,FALSE),"")</f>
        <v/>
      </c>
      <c r="U652" s="424"/>
      <c r="V652" s="424"/>
      <c r="W652" s="822"/>
      <c r="X652" s="436" t="str">
        <f>IFERROR(VLOOKUP(W652,DATA!$G$4:$H$400,2,FALSE),"")</f>
        <v/>
      </c>
      <c r="Y652" s="328"/>
      <c r="Z652" s="328"/>
      <c r="AA652" s="328"/>
    </row>
    <row r="653" spans="1:27" ht="12.75" customHeight="1">
      <c r="A653" s="425"/>
      <c r="B653" s="368" t="str">
        <f>IF(C653="","",ROW()-5)</f>
        <v/>
      </c>
      <c r="C653" s="425"/>
      <c r="D653" s="423"/>
      <c r="E653" s="422" t="str">
        <f t="shared" ca="1" si="239"/>
        <v/>
      </c>
      <c r="F653" s="426" t="str">
        <f t="shared" ca="1" si="234"/>
        <v/>
      </c>
      <c r="G653" s="415"/>
      <c r="H653" s="415"/>
      <c r="I653" s="415" t="str">
        <f t="shared" si="230"/>
        <v/>
      </c>
      <c r="J653" s="415" t="str">
        <f t="shared" si="231"/>
        <v/>
      </c>
      <c r="K653" s="415" t="str">
        <f t="shared" si="232"/>
        <v/>
      </c>
      <c r="L653" s="415"/>
      <c r="M653" s="415"/>
      <c r="N653" s="422" t="str">
        <f t="shared" si="223"/>
        <v/>
      </c>
      <c r="O653" s="422" t="str">
        <f t="shared" si="235"/>
        <v/>
      </c>
      <c r="P653" s="422" t="str">
        <f t="shared" si="236"/>
        <v/>
      </c>
      <c r="Q653" s="422" t="str">
        <f t="shared" si="237"/>
        <v/>
      </c>
      <c r="R653" s="422" t="str">
        <f t="shared" si="238"/>
        <v/>
      </c>
      <c r="S653" s="583">
        <f t="shared" si="217"/>
        <v>0</v>
      </c>
      <c r="T653" s="377" t="str">
        <f>+IFERROR(VLOOKUP(S653,STAT1!$C$4:$D$189,2,FALSE),"")</f>
        <v/>
      </c>
      <c r="U653" s="424"/>
      <c r="V653" s="424"/>
      <c r="W653" s="822"/>
      <c r="X653" s="436" t="str">
        <f>IFERROR(VLOOKUP(W653,DATA!$G$4:$H$400,2,FALSE),"")</f>
        <v/>
      </c>
      <c r="Y653" s="328"/>
      <c r="Z653" s="328"/>
      <c r="AA653" s="328"/>
    </row>
    <row r="654" spans="1:27" ht="12.75" customHeight="1">
      <c r="A654" s="425"/>
      <c r="B654" s="368" t="str">
        <f>IF(C654="","",ROW()-5)</f>
        <v/>
      </c>
      <c r="C654" s="425"/>
      <c r="D654" s="423"/>
      <c r="E654" s="422" t="str">
        <f t="shared" ca="1" si="239"/>
        <v/>
      </c>
      <c r="F654" s="426" t="str">
        <f t="shared" ca="1" si="234"/>
        <v/>
      </c>
      <c r="G654" s="415"/>
      <c r="H654" s="415"/>
      <c r="I654" s="415" t="str">
        <f t="shared" si="230"/>
        <v/>
      </c>
      <c r="J654" s="415" t="str">
        <f t="shared" si="231"/>
        <v/>
      </c>
      <c r="K654" s="415" t="str">
        <f t="shared" si="232"/>
        <v/>
      </c>
      <c r="L654" s="415"/>
      <c r="M654" s="415"/>
      <c r="N654" s="422" t="str">
        <f t="shared" si="223"/>
        <v/>
      </c>
      <c r="O654" s="422" t="str">
        <f t="shared" si="235"/>
        <v/>
      </c>
      <c r="P654" s="422" t="str">
        <f t="shared" si="236"/>
        <v/>
      </c>
      <c r="Q654" s="422" t="str">
        <f t="shared" si="237"/>
        <v/>
      </c>
      <c r="R654" s="422" t="str">
        <f t="shared" si="238"/>
        <v/>
      </c>
      <c r="S654" s="583">
        <f t="shared" si="217"/>
        <v>0</v>
      </c>
      <c r="T654" s="377" t="str">
        <f>+IFERROR(VLOOKUP(S654,STAT1!$C$4:$D$189,2,FALSE),"")</f>
        <v/>
      </c>
      <c r="U654" s="424"/>
      <c r="V654" s="424"/>
      <c r="W654" s="822"/>
      <c r="X654" s="436" t="str">
        <f>IFERROR(VLOOKUP(W654,DATA!$G$4:$H$400,2,FALSE),"")</f>
        <v/>
      </c>
      <c r="Y654" s="328"/>
      <c r="Z654" s="328"/>
      <c r="AA654" s="328"/>
    </row>
    <row r="655" spans="1:27" ht="12.75" customHeight="1">
      <c r="A655" s="425"/>
      <c r="B655" s="368" t="str">
        <f t="shared" ref="B655:B661" si="240">+IF(C655="","",ROW()-5)</f>
        <v/>
      </c>
      <c r="C655" s="425"/>
      <c r="D655" s="423"/>
      <c r="E655" s="422" t="str">
        <f t="shared" ca="1" si="239"/>
        <v/>
      </c>
      <c r="F655" s="426" t="str">
        <f t="shared" ca="1" si="234"/>
        <v/>
      </c>
      <c r="G655" s="415"/>
      <c r="H655" s="415"/>
      <c r="I655" s="415" t="str">
        <f t="shared" si="230"/>
        <v/>
      </c>
      <c r="J655" s="415" t="str">
        <f t="shared" si="231"/>
        <v/>
      </c>
      <c r="K655" s="415" t="str">
        <f t="shared" si="232"/>
        <v/>
      </c>
      <c r="L655" s="415"/>
      <c r="M655" s="415"/>
      <c r="N655" s="422" t="str">
        <f t="shared" si="223"/>
        <v/>
      </c>
      <c r="O655" s="422" t="str">
        <f t="shared" si="235"/>
        <v/>
      </c>
      <c r="P655" s="422" t="str">
        <f t="shared" si="236"/>
        <v/>
      </c>
      <c r="Q655" s="422" t="str">
        <f t="shared" si="237"/>
        <v/>
      </c>
      <c r="R655" s="422" t="str">
        <f t="shared" si="238"/>
        <v/>
      </c>
      <c r="S655" s="583">
        <f t="shared" si="217"/>
        <v>0</v>
      </c>
      <c r="T655" s="377" t="str">
        <f>+IFERROR(VLOOKUP(S655,STAT1!$C$4:$D$189,2,FALSE),"")</f>
        <v/>
      </c>
      <c r="U655" s="424"/>
      <c r="V655" s="424"/>
      <c r="W655" s="822"/>
      <c r="X655" s="436" t="str">
        <f>IFERROR(VLOOKUP(W655,DATA!$G$4:$H$400,2,FALSE),"")</f>
        <v/>
      </c>
      <c r="Y655" s="328"/>
      <c r="Z655" s="328"/>
      <c r="AA655" s="328"/>
    </row>
    <row r="656" spans="1:27" ht="12.75" customHeight="1">
      <c r="A656" s="425"/>
      <c r="B656" s="368" t="str">
        <f t="shared" si="240"/>
        <v/>
      </c>
      <c r="C656" s="425"/>
      <c r="D656" s="423"/>
      <c r="E656" s="422" t="str">
        <f t="shared" ca="1" si="239"/>
        <v/>
      </c>
      <c r="F656" s="426" t="str">
        <f t="shared" ca="1" si="234"/>
        <v/>
      </c>
      <c r="G656" s="415"/>
      <c r="H656" s="415"/>
      <c r="I656" s="415" t="str">
        <f t="shared" si="230"/>
        <v/>
      </c>
      <c r="J656" s="415" t="str">
        <f t="shared" si="231"/>
        <v/>
      </c>
      <c r="K656" s="415" t="str">
        <f t="shared" si="232"/>
        <v/>
      </c>
      <c r="L656" s="415"/>
      <c r="M656" s="415"/>
      <c r="N656" s="422" t="str">
        <f t="shared" si="223"/>
        <v/>
      </c>
      <c r="O656" s="422" t="str">
        <f t="shared" si="235"/>
        <v/>
      </c>
      <c r="P656" s="422" t="str">
        <f t="shared" si="236"/>
        <v/>
      </c>
      <c r="Q656" s="422" t="str">
        <f t="shared" si="237"/>
        <v/>
      </c>
      <c r="R656" s="422" t="str">
        <f t="shared" si="238"/>
        <v/>
      </c>
      <c r="S656" s="583">
        <f t="shared" si="217"/>
        <v>0</v>
      </c>
      <c r="T656" s="377" t="str">
        <f>+IFERROR(VLOOKUP(S656,STAT1!$C$4:$D$189,2,FALSE),"")</f>
        <v/>
      </c>
      <c r="U656" s="415"/>
      <c r="V656" s="415"/>
      <c r="W656" s="823"/>
      <c r="X656" s="436" t="str">
        <f>IFERROR(VLOOKUP(W656,DATA!$G$4:$H$400,2,FALSE),"")</f>
        <v/>
      </c>
      <c r="Y656" s="328"/>
      <c r="Z656" s="328"/>
      <c r="AA656" s="328"/>
    </row>
    <row r="657" spans="1:27" ht="12.75" customHeight="1">
      <c r="A657" s="425"/>
      <c r="B657" s="368" t="str">
        <f t="shared" si="240"/>
        <v/>
      </c>
      <c r="C657" s="425"/>
      <c r="D657" s="423"/>
      <c r="E657" s="422" t="str">
        <f t="shared" ca="1" si="239"/>
        <v/>
      </c>
      <c r="F657" s="426" t="str">
        <f t="shared" ca="1" si="234"/>
        <v/>
      </c>
      <c r="G657" s="415"/>
      <c r="H657" s="415"/>
      <c r="I657" s="415" t="str">
        <f t="shared" si="230"/>
        <v/>
      </c>
      <c r="J657" s="415" t="str">
        <f t="shared" si="231"/>
        <v/>
      </c>
      <c r="K657" s="415" t="str">
        <f t="shared" si="232"/>
        <v/>
      </c>
      <c r="L657" s="415"/>
      <c r="M657" s="415"/>
      <c r="N657" s="422" t="str">
        <f t="shared" si="223"/>
        <v/>
      </c>
      <c r="O657" s="422" t="str">
        <f t="shared" si="235"/>
        <v/>
      </c>
      <c r="P657" s="422" t="str">
        <f t="shared" si="236"/>
        <v/>
      </c>
      <c r="Q657" s="422" t="str">
        <f t="shared" si="237"/>
        <v/>
      </c>
      <c r="R657" s="422" t="str">
        <f t="shared" si="238"/>
        <v/>
      </c>
      <c r="S657" s="583">
        <f t="shared" si="217"/>
        <v>0</v>
      </c>
      <c r="T657" s="377" t="str">
        <f>+IFERROR(VLOOKUP(S657,STAT1!$C$4:$D$189,2,FALSE),"")</f>
        <v/>
      </c>
      <c r="U657" s="424"/>
      <c r="V657" s="424"/>
      <c r="W657" s="822"/>
      <c r="X657" s="436" t="str">
        <f>IFERROR(VLOOKUP(W657,DATA!$G$4:$H$400,2,FALSE),"")</f>
        <v/>
      </c>
      <c r="Y657" s="328"/>
      <c r="Z657" s="328"/>
      <c r="AA657" s="328"/>
    </row>
    <row r="658" spans="1:27" ht="12.75" customHeight="1">
      <c r="A658" s="425"/>
      <c r="B658" s="368" t="str">
        <f t="shared" si="240"/>
        <v/>
      </c>
      <c r="C658" s="425"/>
      <c r="D658" s="423"/>
      <c r="E658" s="422" t="str">
        <f t="shared" ca="1" si="239"/>
        <v/>
      </c>
      <c r="F658" s="426" t="str">
        <f t="shared" ca="1" si="234"/>
        <v/>
      </c>
      <c r="G658" s="415"/>
      <c r="H658" s="415"/>
      <c r="I658" s="415" t="str">
        <f t="shared" si="230"/>
        <v/>
      </c>
      <c r="J658" s="415" t="str">
        <f t="shared" si="231"/>
        <v/>
      </c>
      <c r="K658" s="415" t="str">
        <f t="shared" si="232"/>
        <v/>
      </c>
      <c r="L658" s="415"/>
      <c r="M658" s="415"/>
      <c r="N658" s="422" t="str">
        <f t="shared" si="223"/>
        <v/>
      </c>
      <c r="O658" s="422" t="str">
        <f t="shared" si="235"/>
        <v/>
      </c>
      <c r="P658" s="422" t="str">
        <f t="shared" si="236"/>
        <v/>
      </c>
      <c r="Q658" s="422" t="str">
        <f t="shared" si="237"/>
        <v/>
      </c>
      <c r="R658" s="422" t="str">
        <f t="shared" si="238"/>
        <v/>
      </c>
      <c r="S658" s="583">
        <f t="shared" si="217"/>
        <v>0</v>
      </c>
      <c r="T658" s="377" t="str">
        <f>+IFERROR(VLOOKUP(S658,STAT1!$C$4:$D$189,2,FALSE),"")</f>
        <v/>
      </c>
      <c r="U658" s="424"/>
      <c r="V658" s="424"/>
      <c r="W658" s="822"/>
      <c r="X658" s="436" t="str">
        <f>IFERROR(VLOOKUP(W658,DATA!$G$4:$H$400,2,FALSE),"")</f>
        <v/>
      </c>
      <c r="Y658" s="328"/>
      <c r="Z658" s="328"/>
      <c r="AA658" s="328"/>
    </row>
    <row r="659" spans="1:27" ht="12.75" customHeight="1">
      <c r="A659" s="425"/>
      <c r="B659" s="368" t="str">
        <f t="shared" si="240"/>
        <v/>
      </c>
      <c r="C659" s="425"/>
      <c r="D659" s="423"/>
      <c r="E659" s="422" t="str">
        <f t="shared" ca="1" si="239"/>
        <v/>
      </c>
      <c r="F659" s="426" t="str">
        <f t="shared" ca="1" si="234"/>
        <v/>
      </c>
      <c r="G659" s="415"/>
      <c r="H659" s="415"/>
      <c r="I659" s="415" t="str">
        <f t="shared" si="230"/>
        <v/>
      </c>
      <c r="J659" s="415" t="str">
        <f t="shared" si="231"/>
        <v/>
      </c>
      <c r="K659" s="415" t="str">
        <f t="shared" si="232"/>
        <v/>
      </c>
      <c r="L659" s="415"/>
      <c r="M659" s="415"/>
      <c r="N659" s="422" t="str">
        <f t="shared" si="223"/>
        <v/>
      </c>
      <c r="O659" s="422" t="str">
        <f t="shared" si="235"/>
        <v/>
      </c>
      <c r="P659" s="422" t="str">
        <f t="shared" si="236"/>
        <v/>
      </c>
      <c r="Q659" s="422" t="str">
        <f t="shared" si="237"/>
        <v/>
      </c>
      <c r="R659" s="422" t="str">
        <f t="shared" si="238"/>
        <v/>
      </c>
      <c r="S659" s="583">
        <f t="shared" si="217"/>
        <v>0</v>
      </c>
      <c r="T659" s="377" t="str">
        <f>+IFERROR(VLOOKUP(S659,STAT1!$C$4:$D$189,2,FALSE),"")</f>
        <v/>
      </c>
      <c r="U659" s="424"/>
      <c r="V659" s="424"/>
      <c r="W659" s="822"/>
      <c r="X659" s="436" t="str">
        <f>IFERROR(VLOOKUP(W659,DATA!$G$4:$H$400,2,FALSE),"")</f>
        <v/>
      </c>
      <c r="Y659" s="328"/>
      <c r="Z659" s="328"/>
      <c r="AA659" s="328"/>
    </row>
    <row r="660" spans="1:27" ht="12.75" customHeight="1">
      <c r="A660" s="425"/>
      <c r="B660" s="368" t="str">
        <f t="shared" si="240"/>
        <v/>
      </c>
      <c r="C660" s="425"/>
      <c r="D660" s="423"/>
      <c r="E660" s="422" t="str">
        <f t="shared" ca="1" si="239"/>
        <v/>
      </c>
      <c r="F660" s="426" t="str">
        <f t="shared" ca="1" si="234"/>
        <v/>
      </c>
      <c r="G660" s="415"/>
      <c r="H660" s="415"/>
      <c r="I660" s="415" t="str">
        <f t="shared" si="230"/>
        <v/>
      </c>
      <c r="J660" s="415" t="str">
        <f t="shared" si="231"/>
        <v/>
      </c>
      <c r="K660" s="415" t="str">
        <f t="shared" si="232"/>
        <v/>
      </c>
      <c r="L660" s="415"/>
      <c r="M660" s="415"/>
      <c r="N660" s="422" t="str">
        <f t="shared" si="223"/>
        <v/>
      </c>
      <c r="O660" s="422" t="str">
        <f t="shared" si="235"/>
        <v/>
      </c>
      <c r="P660" s="422" t="str">
        <f t="shared" si="236"/>
        <v/>
      </c>
      <c r="Q660" s="422" t="str">
        <f t="shared" si="237"/>
        <v/>
      </c>
      <c r="R660" s="422" t="str">
        <f t="shared" si="238"/>
        <v/>
      </c>
      <c r="S660" s="583">
        <f t="shared" si="217"/>
        <v>0</v>
      </c>
      <c r="T660" s="377" t="str">
        <f>+IFERROR(VLOOKUP(S660,STAT1!$C$4:$D$189,2,FALSE),"")</f>
        <v/>
      </c>
      <c r="U660" s="424"/>
      <c r="V660" s="424"/>
      <c r="W660" s="822"/>
      <c r="X660" s="436" t="str">
        <f>IFERROR(VLOOKUP(W660,DATA!$G$4:$H$400,2,FALSE),"")</f>
        <v/>
      </c>
      <c r="Y660" s="328"/>
      <c r="Z660" s="328"/>
      <c r="AA660" s="328"/>
    </row>
    <row r="661" spans="1:27" ht="12.75" customHeight="1">
      <c r="A661" s="425"/>
      <c r="B661" s="368" t="str">
        <f t="shared" si="240"/>
        <v/>
      </c>
      <c r="C661" s="425"/>
      <c r="D661" s="423"/>
      <c r="E661" s="422" t="str">
        <f t="shared" ca="1" si="239"/>
        <v/>
      </c>
      <c r="F661" s="426" t="str">
        <f t="shared" ca="1" si="234"/>
        <v/>
      </c>
      <c r="G661" s="415"/>
      <c r="H661" s="415"/>
      <c r="I661" s="415" t="str">
        <f t="shared" si="230"/>
        <v/>
      </c>
      <c r="J661" s="415" t="str">
        <f t="shared" si="231"/>
        <v/>
      </c>
      <c r="K661" s="415" t="str">
        <f t="shared" si="232"/>
        <v/>
      </c>
      <c r="L661" s="415"/>
      <c r="M661" s="415"/>
      <c r="N661" s="422" t="str">
        <f t="shared" si="223"/>
        <v/>
      </c>
      <c r="O661" s="422" t="str">
        <f t="shared" si="235"/>
        <v/>
      </c>
      <c r="P661" s="422" t="str">
        <f t="shared" si="236"/>
        <v/>
      </c>
      <c r="Q661" s="422" t="str">
        <f t="shared" si="237"/>
        <v/>
      </c>
      <c r="R661" s="422" t="str">
        <f t="shared" si="238"/>
        <v/>
      </c>
      <c r="S661" s="583">
        <f t="shared" si="217"/>
        <v>0</v>
      </c>
      <c r="T661" s="377" t="str">
        <f>+IFERROR(VLOOKUP(S661,STAT1!$C$4:$D$189,2,FALSE),"")</f>
        <v/>
      </c>
      <c r="U661" s="424"/>
      <c r="V661" s="424"/>
      <c r="W661" s="822"/>
      <c r="X661" s="436" t="str">
        <f>IFERROR(VLOOKUP(W661,DATA!$G$4:$H$400,2,FALSE),"")</f>
        <v/>
      </c>
      <c r="Y661" s="328"/>
      <c r="Z661" s="328"/>
      <c r="AA661" s="328"/>
    </row>
    <row r="662" spans="1:27" ht="12.75" customHeight="1">
      <c r="A662" s="425"/>
      <c r="B662" s="368" t="str">
        <f>IF(C662="","",ROW()-5)</f>
        <v/>
      </c>
      <c r="C662" s="425"/>
      <c r="D662" s="423"/>
      <c r="E662" s="422" t="str">
        <f t="shared" ca="1" si="239"/>
        <v/>
      </c>
      <c r="F662" s="426" t="str">
        <f t="shared" ca="1" si="234"/>
        <v/>
      </c>
      <c r="G662" s="415"/>
      <c r="H662" s="415"/>
      <c r="I662" s="415" t="str">
        <f t="shared" si="230"/>
        <v/>
      </c>
      <c r="J662" s="415" t="str">
        <f t="shared" si="231"/>
        <v/>
      </c>
      <c r="K662" s="415" t="str">
        <f t="shared" si="232"/>
        <v/>
      </c>
      <c r="L662" s="415"/>
      <c r="M662" s="415"/>
      <c r="N662" s="422" t="str">
        <f t="shared" si="223"/>
        <v/>
      </c>
      <c r="O662" s="422" t="str">
        <f t="shared" si="235"/>
        <v/>
      </c>
      <c r="P662" s="422" t="str">
        <f t="shared" si="236"/>
        <v/>
      </c>
      <c r="Q662" s="422" t="str">
        <f t="shared" si="237"/>
        <v/>
      </c>
      <c r="R662" s="422" t="str">
        <f t="shared" si="238"/>
        <v/>
      </c>
      <c r="S662" s="583">
        <f t="shared" si="217"/>
        <v>0</v>
      </c>
      <c r="T662" s="377" t="str">
        <f>+IFERROR(VLOOKUP(S662,STAT1!$C$4:$D$189,2,FALSE),"")</f>
        <v/>
      </c>
      <c r="U662" s="424"/>
      <c r="V662" s="424"/>
      <c r="W662" s="822"/>
      <c r="X662" s="436" t="str">
        <f>IFERROR(VLOOKUP(W662,DATA!$G$4:$H$400,2,FALSE),"")</f>
        <v/>
      </c>
      <c r="Y662" s="328"/>
      <c r="Z662" s="328"/>
      <c r="AA662" s="328"/>
    </row>
    <row r="663" spans="1:27" ht="12.75" customHeight="1">
      <c r="A663" s="425"/>
      <c r="B663" s="368" t="str">
        <f>IF(C663="","",ROW()-5)</f>
        <v/>
      </c>
      <c r="C663" s="425"/>
      <c r="D663" s="423"/>
      <c r="E663" s="422" t="str">
        <f t="shared" ca="1" si="239"/>
        <v/>
      </c>
      <c r="F663" s="426" t="str">
        <f t="shared" ca="1" si="234"/>
        <v/>
      </c>
      <c r="G663" s="415"/>
      <c r="H663" s="415"/>
      <c r="I663" s="415" t="str">
        <f t="shared" si="230"/>
        <v/>
      </c>
      <c r="J663" s="415" t="str">
        <f t="shared" si="231"/>
        <v/>
      </c>
      <c r="K663" s="415" t="str">
        <f t="shared" si="232"/>
        <v/>
      </c>
      <c r="L663" s="415"/>
      <c r="M663" s="415"/>
      <c r="N663" s="422" t="str">
        <f t="shared" si="223"/>
        <v/>
      </c>
      <c r="O663" s="422" t="str">
        <f t="shared" si="235"/>
        <v/>
      </c>
      <c r="P663" s="422" t="str">
        <f t="shared" si="236"/>
        <v/>
      </c>
      <c r="Q663" s="422" t="str">
        <f t="shared" si="237"/>
        <v/>
      </c>
      <c r="R663" s="422" t="str">
        <f t="shared" si="238"/>
        <v/>
      </c>
      <c r="S663" s="583">
        <f t="shared" si="217"/>
        <v>0</v>
      </c>
      <c r="T663" s="377" t="str">
        <f>+IFERROR(VLOOKUP(S663,STAT1!$C$4:$D$189,2,FALSE),"")</f>
        <v/>
      </c>
      <c r="U663" s="424"/>
      <c r="V663" s="424"/>
      <c r="W663" s="822"/>
      <c r="X663" s="436" t="str">
        <f>IFERROR(VLOOKUP(W663,DATA!$G$4:$H$400,2,FALSE),"")</f>
        <v/>
      </c>
      <c r="Y663" s="328"/>
      <c r="Z663" s="328"/>
      <c r="AA663" s="328"/>
    </row>
    <row r="664" spans="1:27" ht="12.75" customHeight="1">
      <c r="A664" s="425"/>
      <c r="B664" s="368" t="str">
        <f>IF(C664="","",ROW()-5)</f>
        <v/>
      </c>
      <c r="C664" s="425"/>
      <c r="D664" s="423"/>
      <c r="E664" s="422" t="str">
        <f t="shared" ca="1" si="239"/>
        <v/>
      </c>
      <c r="F664" s="426" t="str">
        <f t="shared" ca="1" si="234"/>
        <v/>
      </c>
      <c r="G664" s="415"/>
      <c r="H664" s="415"/>
      <c r="I664" s="415" t="str">
        <f t="shared" si="230"/>
        <v/>
      </c>
      <c r="J664" s="415" t="str">
        <f t="shared" si="231"/>
        <v/>
      </c>
      <c r="K664" s="415" t="str">
        <f t="shared" si="232"/>
        <v/>
      </c>
      <c r="L664" s="415"/>
      <c r="M664" s="415"/>
      <c r="N664" s="422" t="str">
        <f t="shared" si="223"/>
        <v/>
      </c>
      <c r="O664" s="422" t="str">
        <f t="shared" si="235"/>
        <v/>
      </c>
      <c r="P664" s="422" t="str">
        <f t="shared" si="236"/>
        <v/>
      </c>
      <c r="Q664" s="422" t="str">
        <f t="shared" si="237"/>
        <v/>
      </c>
      <c r="R664" s="422" t="str">
        <f t="shared" si="238"/>
        <v/>
      </c>
      <c r="S664" s="583">
        <f t="shared" si="217"/>
        <v>0</v>
      </c>
      <c r="T664" s="377" t="str">
        <f>+IFERROR(VLOOKUP(S664,STAT1!$C$4:$D$189,2,FALSE),"")</f>
        <v/>
      </c>
      <c r="U664" s="424"/>
      <c r="V664" s="424"/>
      <c r="W664" s="822"/>
      <c r="X664" s="436" t="str">
        <f>IFERROR(VLOOKUP(W664,DATA!$G$4:$H$400,2,FALSE),"")</f>
        <v/>
      </c>
      <c r="Y664" s="328"/>
      <c r="Z664" s="328"/>
      <c r="AA664" s="328"/>
    </row>
    <row r="665" spans="1:27" ht="12.75" customHeight="1">
      <c r="A665" s="425"/>
      <c r="B665" s="368" t="str">
        <f t="shared" ref="B665:B679" si="241">+IF(C665="","",ROW()-5)</f>
        <v/>
      </c>
      <c r="C665" s="425"/>
      <c r="D665" s="423"/>
      <c r="E665" s="422" t="str">
        <f t="shared" ca="1" si="239"/>
        <v/>
      </c>
      <c r="F665" s="426" t="str">
        <f t="shared" ca="1" si="234"/>
        <v/>
      </c>
      <c r="G665" s="415"/>
      <c r="H665" s="415"/>
      <c r="I665" s="415" t="str">
        <f t="shared" si="230"/>
        <v/>
      </c>
      <c r="J665" s="415" t="str">
        <f t="shared" si="231"/>
        <v/>
      </c>
      <c r="K665" s="415" t="str">
        <f t="shared" si="232"/>
        <v/>
      </c>
      <c r="L665" s="415"/>
      <c r="M665" s="415"/>
      <c r="N665" s="422" t="str">
        <f t="shared" si="223"/>
        <v/>
      </c>
      <c r="O665" s="422" t="str">
        <f t="shared" si="235"/>
        <v/>
      </c>
      <c r="P665" s="422" t="str">
        <f t="shared" si="236"/>
        <v/>
      </c>
      <c r="Q665" s="422" t="str">
        <f t="shared" si="237"/>
        <v/>
      </c>
      <c r="R665" s="422" t="str">
        <f t="shared" si="238"/>
        <v/>
      </c>
      <c r="S665" s="583">
        <f t="shared" si="217"/>
        <v>0</v>
      </c>
      <c r="T665" s="377" t="str">
        <f>+IFERROR(VLOOKUP(S665,STAT1!$C$4:$D$189,2,FALSE),"")</f>
        <v/>
      </c>
      <c r="U665" s="424"/>
      <c r="V665" s="424"/>
      <c r="W665" s="822"/>
      <c r="X665" s="436" t="str">
        <f>IFERROR(VLOOKUP(W665,DATA!$G$4:$H$400,2,FALSE),"")</f>
        <v/>
      </c>
      <c r="Y665" s="328"/>
      <c r="Z665" s="328"/>
      <c r="AA665" s="328"/>
    </row>
    <row r="666" spans="1:27" ht="12.75" customHeight="1">
      <c r="A666" s="425"/>
      <c r="B666" s="368" t="str">
        <f t="shared" si="241"/>
        <v/>
      </c>
      <c r="C666" s="425"/>
      <c r="D666" s="423"/>
      <c r="E666" s="422" t="str">
        <f t="shared" ca="1" si="239"/>
        <v/>
      </c>
      <c r="F666" s="426" t="str">
        <f t="shared" ca="1" si="234"/>
        <v/>
      </c>
      <c r="G666" s="415"/>
      <c r="H666" s="415"/>
      <c r="I666" s="415" t="str">
        <f t="shared" si="230"/>
        <v/>
      </c>
      <c r="J666" s="415" t="str">
        <f t="shared" si="231"/>
        <v/>
      </c>
      <c r="K666" s="415" t="str">
        <f t="shared" si="232"/>
        <v/>
      </c>
      <c r="L666" s="415"/>
      <c r="M666" s="415"/>
      <c r="N666" s="422" t="str">
        <f t="shared" si="223"/>
        <v/>
      </c>
      <c r="O666" s="422" t="str">
        <f t="shared" si="235"/>
        <v/>
      </c>
      <c r="P666" s="422" t="str">
        <f t="shared" si="236"/>
        <v/>
      </c>
      <c r="Q666" s="422" t="str">
        <f t="shared" si="237"/>
        <v/>
      </c>
      <c r="R666" s="422" t="str">
        <f t="shared" si="238"/>
        <v/>
      </c>
      <c r="S666" s="583">
        <f t="shared" ref="S666:S729" si="242">+IF(LEFT(D666,3)="131",140100,0)+IF(LEFT(D666,3)="310",150100,0)+IF(LEFT(D666,3)="211",150101,0)+IF(LEFT(D666,3)="410",160100,0)+IF(LEFT(D666,3)="440",160200,0)+IF(LEFT(D666,3)="430",160200,0)+IF(LEFT(D666,3)="420",160200,0)+IF(LEFT(D666,3)="460",160201,0)+IF(LEFT(D666,3)="210",150101,0)+IF(LEFT(D666,3)="510",140100,0)</f>
        <v>0</v>
      </c>
      <c r="T666" s="377" t="str">
        <f>+IFERROR(VLOOKUP(S666,STAT1!$C$4:$D$189,2,FALSE),"")</f>
        <v/>
      </c>
      <c r="U666" s="424"/>
      <c r="V666" s="424"/>
      <c r="W666" s="822"/>
      <c r="X666" s="436" t="str">
        <f>IFERROR(VLOOKUP(W666,DATA!$G$4:$H$400,2,FALSE),"")</f>
        <v/>
      </c>
      <c r="Y666" s="328"/>
      <c r="Z666" s="328"/>
      <c r="AA666" s="328"/>
    </row>
    <row r="667" spans="1:27" ht="12.75" customHeight="1">
      <c r="A667" s="425"/>
      <c r="B667" s="368" t="str">
        <f t="shared" si="241"/>
        <v/>
      </c>
      <c r="C667" s="425"/>
      <c r="D667" s="423"/>
      <c r="E667" s="422" t="str">
        <f t="shared" ca="1" si="239"/>
        <v/>
      </c>
      <c r="F667" s="426" t="str">
        <f t="shared" ca="1" si="234"/>
        <v/>
      </c>
      <c r="G667" s="415"/>
      <c r="H667" s="415"/>
      <c r="I667" s="415" t="str">
        <f t="shared" si="230"/>
        <v/>
      </c>
      <c r="J667" s="415" t="str">
        <f t="shared" si="231"/>
        <v/>
      </c>
      <c r="K667" s="415" t="str">
        <f t="shared" si="232"/>
        <v/>
      </c>
      <c r="L667" s="415"/>
      <c r="M667" s="415"/>
      <c r="N667" s="422" t="str">
        <f t="shared" si="223"/>
        <v/>
      </c>
      <c r="O667" s="422" t="str">
        <f t="shared" si="235"/>
        <v/>
      </c>
      <c r="P667" s="422" t="str">
        <f t="shared" si="236"/>
        <v/>
      </c>
      <c r="Q667" s="422" t="str">
        <f t="shared" si="237"/>
        <v/>
      </c>
      <c r="R667" s="422" t="str">
        <f t="shared" si="238"/>
        <v/>
      </c>
      <c r="S667" s="583">
        <f t="shared" si="242"/>
        <v>0</v>
      </c>
      <c r="T667" s="377" t="str">
        <f>+IFERROR(VLOOKUP(S667,STAT1!$C$4:$D$189,2,FALSE),"")</f>
        <v/>
      </c>
      <c r="U667" s="424"/>
      <c r="V667" s="424"/>
      <c r="W667" s="822"/>
      <c r="X667" s="436" t="str">
        <f>IFERROR(VLOOKUP(W667,DATA!$G$4:$H$400,2,FALSE),"")</f>
        <v/>
      </c>
      <c r="Y667" s="328"/>
      <c r="Z667" s="328"/>
      <c r="AA667" s="328"/>
    </row>
    <row r="668" spans="1:27" ht="12.75" customHeight="1">
      <c r="A668" s="425"/>
      <c r="B668" s="368" t="str">
        <f t="shared" si="241"/>
        <v/>
      </c>
      <c r="C668" s="425"/>
      <c r="D668" s="423"/>
      <c r="E668" s="422" t="str">
        <f t="shared" ca="1" si="239"/>
        <v/>
      </c>
      <c r="F668" s="426" t="str">
        <f t="shared" ca="1" si="234"/>
        <v/>
      </c>
      <c r="G668" s="415"/>
      <c r="H668" s="415"/>
      <c r="I668" s="415" t="str">
        <f t="shared" si="230"/>
        <v/>
      </c>
      <c r="J668" s="415" t="str">
        <f t="shared" si="231"/>
        <v/>
      </c>
      <c r="K668" s="415" t="str">
        <f t="shared" si="232"/>
        <v/>
      </c>
      <c r="L668" s="415"/>
      <c r="M668" s="415"/>
      <c r="N668" s="422" t="str">
        <f t="shared" si="223"/>
        <v/>
      </c>
      <c r="O668" s="422" t="str">
        <f t="shared" si="235"/>
        <v/>
      </c>
      <c r="P668" s="422" t="str">
        <f t="shared" si="236"/>
        <v/>
      </c>
      <c r="Q668" s="422" t="str">
        <f t="shared" si="237"/>
        <v/>
      </c>
      <c r="R668" s="422" t="str">
        <f t="shared" si="238"/>
        <v/>
      </c>
      <c r="S668" s="583">
        <f t="shared" si="242"/>
        <v>0</v>
      </c>
      <c r="T668" s="377" t="str">
        <f>+IFERROR(VLOOKUP(S668,STAT1!$C$4:$D$189,2,FALSE),"")</f>
        <v/>
      </c>
      <c r="U668" s="424"/>
      <c r="V668" s="424"/>
      <c r="W668" s="822"/>
      <c r="X668" s="436" t="str">
        <f>IFERROR(VLOOKUP(W668,DATA!$G$4:$H$400,2,FALSE),"")</f>
        <v/>
      </c>
      <c r="Y668" s="328"/>
      <c r="Z668" s="328"/>
      <c r="AA668" s="328"/>
    </row>
    <row r="669" spans="1:27" ht="12.75" customHeight="1">
      <c r="A669" s="425"/>
      <c r="B669" s="368" t="str">
        <f t="shared" si="241"/>
        <v/>
      </c>
      <c r="C669" s="425"/>
      <c r="D669" s="423"/>
      <c r="E669" s="422" t="str">
        <f t="shared" ca="1" si="239"/>
        <v/>
      </c>
      <c r="F669" s="426" t="str">
        <f t="shared" ca="1" si="234"/>
        <v/>
      </c>
      <c r="G669" s="415"/>
      <c r="H669" s="415"/>
      <c r="I669" s="415" t="str">
        <f t="shared" si="230"/>
        <v/>
      </c>
      <c r="J669" s="415" t="str">
        <f t="shared" si="231"/>
        <v/>
      </c>
      <c r="K669" s="415" t="str">
        <f t="shared" si="232"/>
        <v/>
      </c>
      <c r="L669" s="415"/>
      <c r="M669" s="415"/>
      <c r="N669" s="422" t="str">
        <f t="shared" si="223"/>
        <v/>
      </c>
      <c r="O669" s="422" t="str">
        <f t="shared" si="235"/>
        <v/>
      </c>
      <c r="P669" s="422" t="str">
        <f t="shared" si="236"/>
        <v/>
      </c>
      <c r="Q669" s="422" t="str">
        <f t="shared" si="237"/>
        <v/>
      </c>
      <c r="R669" s="422" t="str">
        <f t="shared" si="238"/>
        <v/>
      </c>
      <c r="S669" s="583">
        <f t="shared" si="242"/>
        <v>0</v>
      </c>
      <c r="T669" s="377" t="str">
        <f>+IFERROR(VLOOKUP(S669,STAT1!$C$4:$D$189,2,FALSE),"")</f>
        <v/>
      </c>
      <c r="U669" s="424"/>
      <c r="V669" s="424"/>
      <c r="W669" s="822"/>
      <c r="X669" s="436" t="str">
        <f>IFERROR(VLOOKUP(W669,DATA!$G$4:$H$400,2,FALSE),"")</f>
        <v/>
      </c>
      <c r="Y669" s="328"/>
      <c r="Z669" s="328"/>
      <c r="AA669" s="328"/>
    </row>
    <row r="670" spans="1:27" ht="12.75" customHeight="1">
      <c r="A670" s="425"/>
      <c r="B670" s="368" t="str">
        <f t="shared" si="241"/>
        <v/>
      </c>
      <c r="C670" s="425"/>
      <c r="D670" s="423"/>
      <c r="E670" s="422" t="str">
        <f t="shared" ca="1" si="239"/>
        <v/>
      </c>
      <c r="F670" s="426" t="str">
        <f t="shared" ca="1" si="234"/>
        <v/>
      </c>
      <c r="G670" s="415"/>
      <c r="H670" s="415"/>
      <c r="I670" s="415" t="str">
        <f t="shared" si="230"/>
        <v/>
      </c>
      <c r="J670" s="415" t="str">
        <f t="shared" si="231"/>
        <v/>
      </c>
      <c r="K670" s="415" t="str">
        <f t="shared" si="232"/>
        <v/>
      </c>
      <c r="L670" s="415"/>
      <c r="M670" s="415"/>
      <c r="N670" s="422" t="str">
        <f t="shared" si="223"/>
        <v/>
      </c>
      <c r="O670" s="422" t="str">
        <f t="shared" si="235"/>
        <v/>
      </c>
      <c r="P670" s="422" t="str">
        <f t="shared" si="236"/>
        <v/>
      </c>
      <c r="Q670" s="422" t="str">
        <f t="shared" si="237"/>
        <v/>
      </c>
      <c r="R670" s="422" t="str">
        <f t="shared" si="238"/>
        <v/>
      </c>
      <c r="S670" s="583">
        <f t="shared" si="242"/>
        <v>0</v>
      </c>
      <c r="T670" s="377" t="str">
        <f>+IFERROR(VLOOKUP(S670,STAT1!$C$4:$D$189,2,FALSE),"")</f>
        <v/>
      </c>
      <c r="U670" s="424"/>
      <c r="V670" s="424"/>
      <c r="W670" s="822"/>
      <c r="X670" s="436" t="str">
        <f>IFERROR(VLOOKUP(W670,DATA!$G$4:$H$400,2,FALSE),"")</f>
        <v/>
      </c>
      <c r="Y670" s="328"/>
      <c r="Z670" s="328"/>
      <c r="AA670" s="328"/>
    </row>
    <row r="671" spans="1:27" ht="12.75" customHeight="1">
      <c r="A671" s="425"/>
      <c r="B671" s="368" t="str">
        <f t="shared" si="241"/>
        <v/>
      </c>
      <c r="C671" s="425"/>
      <c r="D671" s="423"/>
      <c r="E671" s="422" t="str">
        <f t="shared" ca="1" si="239"/>
        <v/>
      </c>
      <c r="F671" s="426" t="str">
        <f t="shared" ca="1" si="234"/>
        <v/>
      </c>
      <c r="G671" s="415"/>
      <c r="H671" s="415"/>
      <c r="I671" s="415" t="str">
        <f t="shared" si="230"/>
        <v/>
      </c>
      <c r="J671" s="415" t="str">
        <f t="shared" si="231"/>
        <v/>
      </c>
      <c r="K671" s="415" t="str">
        <f t="shared" si="232"/>
        <v/>
      </c>
      <c r="L671" s="415"/>
      <c r="M671" s="415"/>
      <c r="N671" s="422" t="str">
        <f t="shared" si="223"/>
        <v/>
      </c>
      <c r="O671" s="422" t="str">
        <f t="shared" si="235"/>
        <v/>
      </c>
      <c r="P671" s="422" t="str">
        <f t="shared" si="236"/>
        <v/>
      </c>
      <c r="Q671" s="422" t="str">
        <f t="shared" si="237"/>
        <v/>
      </c>
      <c r="R671" s="422" t="str">
        <f t="shared" si="238"/>
        <v/>
      </c>
      <c r="S671" s="583">
        <f t="shared" si="242"/>
        <v>0</v>
      </c>
      <c r="T671" s="377" t="str">
        <f>+IFERROR(VLOOKUP(S671,STAT1!$C$4:$D$189,2,FALSE),"")</f>
        <v/>
      </c>
      <c r="U671" s="424"/>
      <c r="V671" s="424"/>
      <c r="W671" s="822"/>
      <c r="X671" s="436" t="str">
        <f>IFERROR(VLOOKUP(W671,DATA!$G$4:$H$400,2,FALSE),"")</f>
        <v/>
      </c>
      <c r="Y671" s="328"/>
      <c r="Z671" s="328"/>
      <c r="AA671" s="328"/>
    </row>
    <row r="672" spans="1:27" ht="12.75" customHeight="1">
      <c r="A672" s="425"/>
      <c r="B672" s="368" t="str">
        <f t="shared" si="241"/>
        <v/>
      </c>
      <c r="C672" s="425"/>
      <c r="D672" s="423"/>
      <c r="E672" s="422" t="str">
        <f t="shared" ca="1" si="239"/>
        <v/>
      </c>
      <c r="F672" s="426" t="str">
        <f t="shared" ca="1" si="234"/>
        <v/>
      </c>
      <c r="G672" s="415"/>
      <c r="H672" s="415"/>
      <c r="I672" s="415" t="str">
        <f t="shared" si="230"/>
        <v/>
      </c>
      <c r="J672" s="415" t="str">
        <f t="shared" si="231"/>
        <v/>
      </c>
      <c r="K672" s="415" t="str">
        <f t="shared" si="232"/>
        <v/>
      </c>
      <c r="L672" s="415"/>
      <c r="M672" s="415"/>
      <c r="N672" s="422" t="str">
        <f t="shared" ref="N672:N735" si="243">+IF(L672="","",L672*M672)</f>
        <v/>
      </c>
      <c r="O672" s="422" t="str">
        <f t="shared" si="235"/>
        <v/>
      </c>
      <c r="P672" s="422" t="str">
        <f t="shared" si="236"/>
        <v/>
      </c>
      <c r="Q672" s="422" t="str">
        <f t="shared" si="237"/>
        <v/>
      </c>
      <c r="R672" s="422" t="str">
        <f t="shared" si="238"/>
        <v/>
      </c>
      <c r="S672" s="583">
        <f t="shared" si="242"/>
        <v>0</v>
      </c>
      <c r="T672" s="377" t="str">
        <f>+IFERROR(VLOOKUP(S672,STAT1!$C$4:$D$189,2,FALSE),"")</f>
        <v/>
      </c>
      <c r="U672" s="424"/>
      <c r="V672" s="424"/>
      <c r="W672" s="822"/>
      <c r="X672" s="436" t="str">
        <f>IFERROR(VLOOKUP(W672,DATA!$G$4:$H$400,2,FALSE),"")</f>
        <v/>
      </c>
      <c r="Y672" s="328"/>
      <c r="Z672" s="328"/>
      <c r="AA672" s="328"/>
    </row>
    <row r="673" spans="1:27" ht="12.75" customHeight="1">
      <c r="A673" s="425"/>
      <c r="B673" s="368" t="str">
        <f t="shared" si="241"/>
        <v/>
      </c>
      <c r="C673" s="425"/>
      <c r="D673" s="423"/>
      <c r="E673" s="422" t="str">
        <f t="shared" ca="1" si="239"/>
        <v/>
      </c>
      <c r="F673" s="426" t="str">
        <f t="shared" ca="1" si="234"/>
        <v/>
      </c>
      <c r="G673" s="415"/>
      <c r="H673" s="415"/>
      <c r="I673" s="415" t="str">
        <f t="shared" si="230"/>
        <v/>
      </c>
      <c r="J673" s="415" t="str">
        <f t="shared" si="231"/>
        <v/>
      </c>
      <c r="K673" s="415" t="str">
        <f t="shared" si="232"/>
        <v/>
      </c>
      <c r="L673" s="415"/>
      <c r="M673" s="415"/>
      <c r="N673" s="422" t="str">
        <f t="shared" si="243"/>
        <v/>
      </c>
      <c r="O673" s="422" t="str">
        <f t="shared" si="235"/>
        <v/>
      </c>
      <c r="P673" s="422" t="str">
        <f t="shared" si="236"/>
        <v/>
      </c>
      <c r="Q673" s="422" t="str">
        <f t="shared" si="237"/>
        <v/>
      </c>
      <c r="R673" s="422" t="str">
        <f t="shared" si="238"/>
        <v/>
      </c>
      <c r="S673" s="583">
        <f t="shared" si="242"/>
        <v>0</v>
      </c>
      <c r="T673" s="377" t="str">
        <f>+IFERROR(VLOOKUP(S673,STAT1!$C$4:$D$189,2,FALSE),"")</f>
        <v/>
      </c>
      <c r="U673" s="424"/>
      <c r="V673" s="424"/>
      <c r="W673" s="822"/>
      <c r="X673" s="436" t="str">
        <f>IFERROR(VLOOKUP(W673,DATA!$G$4:$H$400,2,FALSE),"")</f>
        <v/>
      </c>
      <c r="Y673" s="328"/>
      <c r="Z673" s="328"/>
      <c r="AA673" s="328"/>
    </row>
    <row r="674" spans="1:27" ht="12.75" customHeight="1">
      <c r="A674" s="425"/>
      <c r="B674" s="368" t="str">
        <f t="shared" si="241"/>
        <v/>
      </c>
      <c r="C674" s="425"/>
      <c r="D674" s="423"/>
      <c r="E674" s="422" t="str">
        <f t="shared" ca="1" si="239"/>
        <v/>
      </c>
      <c r="F674" s="426" t="str">
        <f t="shared" ca="1" si="234"/>
        <v/>
      </c>
      <c r="G674" s="415"/>
      <c r="H674" s="415"/>
      <c r="I674" s="415" t="str">
        <f t="shared" si="230"/>
        <v/>
      </c>
      <c r="J674" s="415" t="str">
        <f t="shared" si="231"/>
        <v/>
      </c>
      <c r="K674" s="415" t="str">
        <f t="shared" si="232"/>
        <v/>
      </c>
      <c r="L674" s="415"/>
      <c r="M674" s="415"/>
      <c r="N674" s="422" t="str">
        <f t="shared" si="243"/>
        <v/>
      </c>
      <c r="O674" s="422" t="str">
        <f t="shared" si="235"/>
        <v/>
      </c>
      <c r="P674" s="422" t="str">
        <f t="shared" si="236"/>
        <v/>
      </c>
      <c r="Q674" s="422" t="str">
        <f t="shared" si="237"/>
        <v/>
      </c>
      <c r="R674" s="422" t="str">
        <f t="shared" si="238"/>
        <v/>
      </c>
      <c r="S674" s="583">
        <f t="shared" si="242"/>
        <v>0</v>
      </c>
      <c r="T674" s="377" t="str">
        <f>+IFERROR(VLOOKUP(S674,STAT1!$C$4:$D$189,2,FALSE),"")</f>
        <v/>
      </c>
      <c r="U674" s="424"/>
      <c r="V674" s="424"/>
      <c r="W674" s="822"/>
      <c r="X674" s="436" t="str">
        <f>IFERROR(VLOOKUP(W674,DATA!$G$4:$H$400,2,FALSE),"")</f>
        <v/>
      </c>
      <c r="Y674" s="328"/>
      <c r="Z674" s="328"/>
      <c r="AA674" s="328"/>
    </row>
    <row r="675" spans="1:27" ht="12.75" customHeight="1">
      <c r="A675" s="425"/>
      <c r="B675" s="368" t="str">
        <f t="shared" si="241"/>
        <v/>
      </c>
      <c r="C675" s="425"/>
      <c r="D675" s="423"/>
      <c r="E675" s="422" t="str">
        <f t="shared" ca="1" si="239"/>
        <v/>
      </c>
      <c r="F675" s="426" t="str">
        <f t="shared" ca="1" si="234"/>
        <v/>
      </c>
      <c r="G675" s="415"/>
      <c r="H675" s="415"/>
      <c r="I675" s="415" t="str">
        <f t="shared" si="230"/>
        <v/>
      </c>
      <c r="J675" s="415"/>
      <c r="K675" s="415" t="str">
        <f t="shared" si="232"/>
        <v/>
      </c>
      <c r="L675" s="415"/>
      <c r="M675" s="415"/>
      <c r="N675" s="422" t="str">
        <f t="shared" si="243"/>
        <v/>
      </c>
      <c r="O675" s="422" t="str">
        <f t="shared" si="235"/>
        <v/>
      </c>
      <c r="P675" s="422" t="str">
        <f t="shared" si="236"/>
        <v/>
      </c>
      <c r="Q675" s="422" t="str">
        <f t="shared" si="237"/>
        <v/>
      </c>
      <c r="R675" s="422" t="str">
        <f t="shared" si="238"/>
        <v/>
      </c>
      <c r="S675" s="583">
        <f t="shared" si="242"/>
        <v>0</v>
      </c>
      <c r="T675" s="377" t="str">
        <f>+IFERROR(VLOOKUP(S675,STAT1!$C$4:$D$189,2,FALSE),"")</f>
        <v/>
      </c>
      <c r="U675" s="424"/>
      <c r="V675" s="424"/>
      <c r="W675" s="822"/>
      <c r="X675" s="436" t="str">
        <f>IFERROR(VLOOKUP(W675,DATA!$G$4:$H$400,2,FALSE),"")</f>
        <v/>
      </c>
      <c r="Y675" s="328"/>
      <c r="Z675" s="328"/>
      <c r="AA675" s="328"/>
    </row>
    <row r="676" spans="1:27" ht="12.75" customHeight="1">
      <c r="A676" s="425"/>
      <c r="B676" s="368" t="str">
        <f t="shared" si="241"/>
        <v/>
      </c>
      <c r="C676" s="425"/>
      <c r="D676" s="423"/>
      <c r="E676" s="422" t="str">
        <f t="shared" ca="1" si="239"/>
        <v/>
      </c>
      <c r="F676" s="426" t="str">
        <f t="shared" ca="1" si="234"/>
        <v/>
      </c>
      <c r="G676" s="415"/>
      <c r="H676" s="415"/>
      <c r="I676" s="415" t="str">
        <f t="shared" si="230"/>
        <v/>
      </c>
      <c r="J676" s="415" t="str">
        <f t="shared" ref="J676:J739" si="244">+IF(G676="","",I676*0.1)</f>
        <v/>
      </c>
      <c r="K676" s="415" t="str">
        <f t="shared" si="232"/>
        <v/>
      </c>
      <c r="L676" s="415"/>
      <c r="M676" s="415"/>
      <c r="N676" s="422" t="str">
        <f t="shared" si="243"/>
        <v/>
      </c>
      <c r="O676" s="422" t="str">
        <f t="shared" si="235"/>
        <v/>
      </c>
      <c r="P676" s="422" t="str">
        <f t="shared" si="236"/>
        <v/>
      </c>
      <c r="Q676" s="422" t="str">
        <f t="shared" si="237"/>
        <v/>
      </c>
      <c r="R676" s="422" t="str">
        <f t="shared" si="238"/>
        <v/>
      </c>
      <c r="S676" s="583">
        <f t="shared" si="242"/>
        <v>0</v>
      </c>
      <c r="T676" s="377" t="str">
        <f>+IFERROR(VLOOKUP(S676,STAT1!$C$4:$D$189,2,FALSE),"")</f>
        <v/>
      </c>
      <c r="U676" s="424"/>
      <c r="V676" s="424"/>
      <c r="W676" s="822"/>
      <c r="X676" s="436" t="str">
        <f>IFERROR(VLOOKUP(W676,DATA!$G$4:$H$400,2,FALSE),"")</f>
        <v/>
      </c>
      <c r="Y676" s="328"/>
      <c r="Z676" s="328"/>
      <c r="AA676" s="328"/>
    </row>
    <row r="677" spans="1:27" ht="12.75" customHeight="1">
      <c r="A677" s="425"/>
      <c r="B677" s="368" t="str">
        <f t="shared" si="241"/>
        <v/>
      </c>
      <c r="C677" s="425"/>
      <c r="D677" s="423"/>
      <c r="E677" s="422" t="str">
        <f t="shared" ca="1" si="239"/>
        <v/>
      </c>
      <c r="F677" s="426" t="str">
        <f t="shared" ca="1" si="234"/>
        <v/>
      </c>
      <c r="G677" s="415"/>
      <c r="H677" s="415"/>
      <c r="I677" s="415" t="str">
        <f t="shared" si="230"/>
        <v/>
      </c>
      <c r="J677" s="415" t="str">
        <f t="shared" si="244"/>
        <v/>
      </c>
      <c r="K677" s="415" t="str">
        <f t="shared" si="232"/>
        <v/>
      </c>
      <c r="L677" s="415"/>
      <c r="M677" s="415"/>
      <c r="N677" s="422" t="str">
        <f t="shared" si="243"/>
        <v/>
      </c>
      <c r="O677" s="422" t="str">
        <f t="shared" si="235"/>
        <v/>
      </c>
      <c r="P677" s="422" t="str">
        <f t="shared" si="236"/>
        <v/>
      </c>
      <c r="Q677" s="422" t="str">
        <f t="shared" si="237"/>
        <v/>
      </c>
      <c r="R677" s="422" t="str">
        <f t="shared" si="238"/>
        <v/>
      </c>
      <c r="S677" s="583">
        <f t="shared" si="242"/>
        <v>0</v>
      </c>
      <c r="T677" s="377" t="str">
        <f>+IFERROR(VLOOKUP(S677,STAT1!$C$4:$D$189,2,FALSE),"")</f>
        <v/>
      </c>
      <c r="U677" s="424"/>
      <c r="V677" s="424"/>
      <c r="W677" s="822"/>
      <c r="X677" s="436" t="str">
        <f>IFERROR(VLOOKUP(W677,DATA!$G$4:$H$400,2,FALSE),"")</f>
        <v/>
      </c>
      <c r="Y677" s="328"/>
      <c r="Z677" s="328"/>
      <c r="AA677" s="328"/>
    </row>
    <row r="678" spans="1:27" ht="12.75" customHeight="1">
      <c r="A678" s="425"/>
      <c r="B678" s="368" t="str">
        <f t="shared" si="241"/>
        <v/>
      </c>
      <c r="C678" s="425"/>
      <c r="D678" s="423"/>
      <c r="E678" s="422" t="str">
        <f t="shared" ca="1" si="239"/>
        <v/>
      </c>
      <c r="F678" s="426" t="str">
        <f t="shared" ca="1" si="234"/>
        <v/>
      </c>
      <c r="G678" s="415"/>
      <c r="H678" s="415"/>
      <c r="I678" s="415" t="str">
        <f t="shared" si="230"/>
        <v/>
      </c>
      <c r="J678" s="415" t="str">
        <f t="shared" si="244"/>
        <v/>
      </c>
      <c r="K678" s="415" t="str">
        <f t="shared" si="232"/>
        <v/>
      </c>
      <c r="L678" s="415"/>
      <c r="M678" s="415"/>
      <c r="N678" s="422" t="str">
        <f t="shared" si="243"/>
        <v/>
      </c>
      <c r="O678" s="422" t="str">
        <f t="shared" si="235"/>
        <v/>
      </c>
      <c r="P678" s="422" t="str">
        <f t="shared" si="236"/>
        <v/>
      </c>
      <c r="Q678" s="422" t="str">
        <f t="shared" si="237"/>
        <v/>
      </c>
      <c r="R678" s="422" t="str">
        <f t="shared" si="238"/>
        <v/>
      </c>
      <c r="S678" s="583">
        <f t="shared" si="242"/>
        <v>0</v>
      </c>
      <c r="T678" s="377" t="str">
        <f>+IFERROR(VLOOKUP(S678,STAT1!$C$4:$D$189,2,FALSE),"")</f>
        <v/>
      </c>
      <c r="U678" s="424"/>
      <c r="V678" s="424"/>
      <c r="W678" s="822"/>
      <c r="X678" s="436" t="str">
        <f>IFERROR(VLOOKUP(W678,DATA!$G$4:$H$400,2,FALSE),"")</f>
        <v/>
      </c>
      <c r="Y678" s="328"/>
      <c r="Z678" s="328"/>
      <c r="AA678" s="328"/>
    </row>
    <row r="679" spans="1:27" ht="12.75" customHeight="1">
      <c r="A679" s="425"/>
      <c r="B679" s="368" t="str">
        <f t="shared" si="241"/>
        <v/>
      </c>
      <c r="C679" s="425"/>
      <c r="D679" s="423"/>
      <c r="E679" s="422" t="str">
        <f t="shared" ca="1" si="239"/>
        <v/>
      </c>
      <c r="F679" s="426" t="str">
        <f t="shared" ca="1" si="234"/>
        <v/>
      </c>
      <c r="G679" s="415"/>
      <c r="H679" s="415"/>
      <c r="I679" s="415" t="str">
        <f t="shared" si="230"/>
        <v/>
      </c>
      <c r="J679" s="415" t="str">
        <f t="shared" si="244"/>
        <v/>
      </c>
      <c r="K679" s="415" t="str">
        <f t="shared" si="232"/>
        <v/>
      </c>
      <c r="L679" s="415"/>
      <c r="M679" s="415"/>
      <c r="N679" s="422" t="str">
        <f t="shared" si="243"/>
        <v/>
      </c>
      <c r="O679" s="422" t="str">
        <f t="shared" si="235"/>
        <v/>
      </c>
      <c r="P679" s="422" t="str">
        <f t="shared" si="236"/>
        <v/>
      </c>
      <c r="Q679" s="422" t="str">
        <f t="shared" si="237"/>
        <v/>
      </c>
      <c r="R679" s="422" t="str">
        <f t="shared" si="238"/>
        <v/>
      </c>
      <c r="S679" s="583">
        <f t="shared" si="242"/>
        <v>0</v>
      </c>
      <c r="T679" s="377" t="str">
        <f>+IFERROR(VLOOKUP(S679,STAT1!$C$4:$D$189,2,FALSE),"")</f>
        <v/>
      </c>
      <c r="U679" s="424"/>
      <c r="V679" s="424"/>
      <c r="W679" s="822"/>
      <c r="X679" s="436" t="str">
        <f>IFERROR(VLOOKUP(W679,DATA!$G$4:$H$400,2,FALSE),"")</f>
        <v/>
      </c>
      <c r="Y679" s="328"/>
      <c r="Z679" s="328"/>
      <c r="AA679" s="328"/>
    </row>
    <row r="680" spans="1:27" ht="12.75" customHeight="1">
      <c r="A680" s="425"/>
      <c r="B680" s="368" t="str">
        <f t="shared" ref="B680:B743" si="245">IF(C680="","",ROW()-5)</f>
        <v/>
      </c>
      <c r="C680" s="425"/>
      <c r="D680" s="423"/>
      <c r="E680" s="422" t="str">
        <f t="shared" ca="1" si="239"/>
        <v/>
      </c>
      <c r="F680" s="426" t="str">
        <f t="shared" ca="1" si="234"/>
        <v/>
      </c>
      <c r="G680" s="415"/>
      <c r="H680" s="415"/>
      <c r="I680" s="415" t="str">
        <f t="shared" si="230"/>
        <v/>
      </c>
      <c r="J680" s="415" t="str">
        <f t="shared" si="244"/>
        <v/>
      </c>
      <c r="K680" s="415" t="str">
        <f t="shared" si="232"/>
        <v/>
      </c>
      <c r="L680" s="415"/>
      <c r="M680" s="415"/>
      <c r="N680" s="422" t="str">
        <f t="shared" si="243"/>
        <v/>
      </c>
      <c r="O680" s="422" t="str">
        <f t="shared" si="235"/>
        <v/>
      </c>
      <c r="P680" s="422" t="str">
        <f t="shared" si="236"/>
        <v/>
      </c>
      <c r="Q680" s="422" t="str">
        <f t="shared" si="237"/>
        <v/>
      </c>
      <c r="R680" s="422" t="str">
        <f t="shared" si="238"/>
        <v/>
      </c>
      <c r="S680" s="583">
        <f t="shared" si="242"/>
        <v>0</v>
      </c>
      <c r="T680" s="377" t="str">
        <f>+IFERROR(VLOOKUP(S680,STAT1!$C$4:$D$189,2,FALSE),"")</f>
        <v/>
      </c>
      <c r="U680" s="424"/>
      <c r="V680" s="424"/>
      <c r="W680" s="822"/>
      <c r="X680" s="436" t="str">
        <f>IFERROR(VLOOKUP(W680,DATA!$G$4:$H$400,2,FALSE),"")</f>
        <v/>
      </c>
      <c r="Y680" s="328"/>
      <c r="Z680" s="328"/>
      <c r="AA680" s="328"/>
    </row>
    <row r="681" spans="1:27" ht="12.75" customHeight="1">
      <c r="A681" s="425"/>
      <c r="B681" s="368" t="str">
        <f t="shared" si="245"/>
        <v/>
      </c>
      <c r="C681" s="425"/>
      <c r="D681" s="423"/>
      <c r="E681" s="422" t="str">
        <f t="shared" ca="1" si="239"/>
        <v/>
      </c>
      <c r="F681" s="426" t="str">
        <f t="shared" ca="1" si="234"/>
        <v/>
      </c>
      <c r="G681" s="415"/>
      <c r="H681" s="415"/>
      <c r="I681" s="415" t="str">
        <f t="shared" si="230"/>
        <v/>
      </c>
      <c r="J681" s="415" t="str">
        <f t="shared" si="244"/>
        <v/>
      </c>
      <c r="K681" s="415" t="str">
        <f t="shared" si="232"/>
        <v/>
      </c>
      <c r="L681" s="415"/>
      <c r="M681" s="415"/>
      <c r="N681" s="422" t="str">
        <f t="shared" si="243"/>
        <v/>
      </c>
      <c r="O681" s="422" t="str">
        <f t="shared" si="235"/>
        <v/>
      </c>
      <c r="P681" s="422" t="str">
        <f t="shared" si="236"/>
        <v/>
      </c>
      <c r="Q681" s="422" t="str">
        <f t="shared" si="237"/>
        <v/>
      </c>
      <c r="R681" s="422" t="str">
        <f t="shared" si="238"/>
        <v/>
      </c>
      <c r="S681" s="583">
        <f t="shared" si="242"/>
        <v>0</v>
      </c>
      <c r="T681" s="377" t="str">
        <f>+IFERROR(VLOOKUP(S681,STAT1!$C$4:$D$189,2,FALSE),"")</f>
        <v/>
      </c>
      <c r="U681" s="415"/>
      <c r="V681" s="415"/>
      <c r="W681" s="823"/>
      <c r="X681" s="436" t="str">
        <f>IFERROR(VLOOKUP(W681,DATA!$G$4:$H$400,2,FALSE),"")</f>
        <v/>
      </c>
      <c r="Y681" s="328"/>
      <c r="Z681" s="328"/>
      <c r="AA681" s="328"/>
    </row>
    <row r="682" spans="1:27" ht="12.75" customHeight="1">
      <c r="A682" s="425"/>
      <c r="B682" s="368" t="str">
        <f t="shared" si="245"/>
        <v/>
      </c>
      <c r="C682" s="425"/>
      <c r="D682" s="423"/>
      <c r="E682" s="422" t="str">
        <f t="shared" ca="1" si="239"/>
        <v/>
      </c>
      <c r="F682" s="426" t="str">
        <f t="shared" ca="1" si="234"/>
        <v/>
      </c>
      <c r="G682" s="415"/>
      <c r="H682" s="415"/>
      <c r="I682" s="415" t="str">
        <f t="shared" si="230"/>
        <v/>
      </c>
      <c r="J682" s="415" t="str">
        <f t="shared" si="244"/>
        <v/>
      </c>
      <c r="K682" s="415" t="str">
        <f t="shared" si="232"/>
        <v/>
      </c>
      <c r="L682" s="415"/>
      <c r="M682" s="415"/>
      <c r="N682" s="422" t="str">
        <f t="shared" si="243"/>
        <v/>
      </c>
      <c r="O682" s="422" t="str">
        <f t="shared" si="235"/>
        <v/>
      </c>
      <c r="P682" s="422" t="str">
        <f t="shared" si="236"/>
        <v/>
      </c>
      <c r="Q682" s="422" t="str">
        <f t="shared" si="237"/>
        <v/>
      </c>
      <c r="R682" s="422" t="str">
        <f t="shared" si="238"/>
        <v/>
      </c>
      <c r="S682" s="583">
        <f t="shared" si="242"/>
        <v>0</v>
      </c>
      <c r="T682" s="377" t="str">
        <f>+IFERROR(VLOOKUP(S682,STAT1!$C$4:$D$189,2,FALSE),"")</f>
        <v/>
      </c>
      <c r="U682" s="424"/>
      <c r="V682" s="424"/>
      <c r="W682" s="822"/>
      <c r="X682" s="436" t="str">
        <f>IFERROR(VLOOKUP(W682,DATA!$G$4:$H$400,2,FALSE),"")</f>
        <v/>
      </c>
      <c r="Y682" s="328"/>
      <c r="Z682" s="328"/>
      <c r="AA682" s="328"/>
    </row>
    <row r="683" spans="1:27" ht="12.75" customHeight="1">
      <c r="A683" s="425"/>
      <c r="B683" s="368" t="str">
        <f t="shared" si="245"/>
        <v/>
      </c>
      <c r="C683" s="425"/>
      <c r="D683" s="423"/>
      <c r="E683" s="422" t="str">
        <f t="shared" ca="1" si="239"/>
        <v/>
      </c>
      <c r="F683" s="426" t="str">
        <f t="shared" ca="1" si="234"/>
        <v/>
      </c>
      <c r="G683" s="415"/>
      <c r="H683" s="415"/>
      <c r="I683" s="415" t="str">
        <f t="shared" si="230"/>
        <v/>
      </c>
      <c r="J683" s="415" t="str">
        <f t="shared" si="244"/>
        <v/>
      </c>
      <c r="K683" s="415" t="str">
        <f t="shared" si="232"/>
        <v/>
      </c>
      <c r="L683" s="415"/>
      <c r="M683" s="415"/>
      <c r="N683" s="422" t="str">
        <f t="shared" si="243"/>
        <v/>
      </c>
      <c r="O683" s="422" t="str">
        <f t="shared" si="235"/>
        <v/>
      </c>
      <c r="P683" s="422" t="str">
        <f t="shared" si="236"/>
        <v/>
      </c>
      <c r="Q683" s="422" t="str">
        <f t="shared" si="237"/>
        <v/>
      </c>
      <c r="R683" s="422" t="str">
        <f t="shared" si="238"/>
        <v/>
      </c>
      <c r="S683" s="583">
        <f t="shared" si="242"/>
        <v>0</v>
      </c>
      <c r="T683" s="377" t="str">
        <f>+IFERROR(VLOOKUP(S683,STAT1!$C$4:$D$189,2,FALSE),"")</f>
        <v/>
      </c>
      <c r="U683" s="424"/>
      <c r="V683" s="424"/>
      <c r="W683" s="822"/>
      <c r="X683" s="436" t="str">
        <f>IFERROR(VLOOKUP(W683,DATA!$G$4:$H$400,2,FALSE),"")</f>
        <v/>
      </c>
      <c r="Y683" s="328"/>
      <c r="Z683" s="328"/>
      <c r="AA683" s="328"/>
    </row>
    <row r="684" spans="1:27" ht="12.75" customHeight="1">
      <c r="A684" s="425"/>
      <c r="B684" s="368" t="str">
        <f t="shared" si="245"/>
        <v/>
      </c>
      <c r="C684" s="425"/>
      <c r="D684" s="423"/>
      <c r="E684" s="422" t="str">
        <f t="shared" ca="1" si="239"/>
        <v/>
      </c>
      <c r="F684" s="426" t="str">
        <f t="shared" ca="1" si="234"/>
        <v/>
      </c>
      <c r="G684" s="415"/>
      <c r="H684" s="415"/>
      <c r="I684" s="415" t="str">
        <f t="shared" si="230"/>
        <v/>
      </c>
      <c r="J684" s="415" t="str">
        <f t="shared" si="244"/>
        <v/>
      </c>
      <c r="K684" s="415" t="str">
        <f t="shared" si="232"/>
        <v/>
      </c>
      <c r="L684" s="415"/>
      <c r="M684" s="415"/>
      <c r="N684" s="422" t="str">
        <f t="shared" si="243"/>
        <v/>
      </c>
      <c r="O684" s="422" t="str">
        <f t="shared" si="235"/>
        <v/>
      </c>
      <c r="P684" s="422" t="str">
        <f t="shared" si="236"/>
        <v/>
      </c>
      <c r="Q684" s="422" t="str">
        <f t="shared" si="237"/>
        <v/>
      </c>
      <c r="R684" s="422" t="str">
        <f t="shared" si="238"/>
        <v/>
      </c>
      <c r="S684" s="583">
        <f t="shared" si="242"/>
        <v>0</v>
      </c>
      <c r="T684" s="377" t="str">
        <f>+IFERROR(VLOOKUP(S684,STAT1!$C$4:$D$189,2,FALSE),"")</f>
        <v/>
      </c>
      <c r="U684" s="424"/>
      <c r="V684" s="424"/>
      <c r="W684" s="822"/>
      <c r="X684" s="436" t="str">
        <f>IFERROR(VLOOKUP(W684,DATA!$G$4:$H$400,2,FALSE),"")</f>
        <v/>
      </c>
      <c r="Y684" s="328"/>
      <c r="Z684" s="328"/>
      <c r="AA684" s="328"/>
    </row>
    <row r="685" spans="1:27" ht="12.75" customHeight="1">
      <c r="A685" s="425"/>
      <c r="B685" s="368" t="str">
        <f t="shared" si="245"/>
        <v/>
      </c>
      <c r="C685" s="425"/>
      <c r="D685" s="423"/>
      <c r="E685" s="422" t="str">
        <f t="shared" ca="1" si="239"/>
        <v/>
      </c>
      <c r="F685" s="426" t="str">
        <f t="shared" ca="1" si="234"/>
        <v/>
      </c>
      <c r="G685" s="415"/>
      <c r="H685" s="415"/>
      <c r="I685" s="415" t="str">
        <f t="shared" si="230"/>
        <v/>
      </c>
      <c r="J685" s="415" t="str">
        <f t="shared" si="244"/>
        <v/>
      </c>
      <c r="K685" s="415" t="str">
        <f t="shared" si="232"/>
        <v/>
      </c>
      <c r="L685" s="415"/>
      <c r="M685" s="415"/>
      <c r="N685" s="422" t="str">
        <f t="shared" si="243"/>
        <v/>
      </c>
      <c r="O685" s="422" t="str">
        <f t="shared" si="235"/>
        <v/>
      </c>
      <c r="P685" s="422" t="str">
        <f t="shared" si="236"/>
        <v/>
      </c>
      <c r="Q685" s="422" t="str">
        <f t="shared" si="237"/>
        <v/>
      </c>
      <c r="R685" s="422" t="str">
        <f t="shared" si="238"/>
        <v/>
      </c>
      <c r="S685" s="583">
        <f t="shared" si="242"/>
        <v>0</v>
      </c>
      <c r="T685" s="377" t="str">
        <f>+IFERROR(VLOOKUP(S685,STAT1!$C$4:$D$189,2,FALSE),"")</f>
        <v/>
      </c>
      <c r="U685" s="424"/>
      <c r="V685" s="424"/>
      <c r="W685" s="822"/>
      <c r="X685" s="436" t="str">
        <f>IFERROR(VLOOKUP(W685,DATA!$G$4:$H$400,2,FALSE),"")</f>
        <v/>
      </c>
      <c r="Y685" s="328"/>
      <c r="Z685" s="328"/>
      <c r="AA685" s="328"/>
    </row>
    <row r="686" spans="1:27" ht="12.75" customHeight="1">
      <c r="A686" s="425"/>
      <c r="B686" s="368" t="str">
        <f t="shared" si="245"/>
        <v/>
      </c>
      <c r="C686" s="425"/>
      <c r="D686" s="423"/>
      <c r="E686" s="422" t="str">
        <f t="shared" ca="1" si="239"/>
        <v/>
      </c>
      <c r="F686" s="426" t="str">
        <f t="shared" ca="1" si="234"/>
        <v/>
      </c>
      <c r="G686" s="415"/>
      <c r="H686" s="415"/>
      <c r="I686" s="415" t="str">
        <f t="shared" si="230"/>
        <v/>
      </c>
      <c r="J686" s="415" t="str">
        <f t="shared" si="244"/>
        <v/>
      </c>
      <c r="K686" s="415" t="str">
        <f t="shared" si="232"/>
        <v/>
      </c>
      <c r="L686" s="415"/>
      <c r="M686" s="415"/>
      <c r="N686" s="422" t="str">
        <f t="shared" si="243"/>
        <v/>
      </c>
      <c r="O686" s="422" t="str">
        <f t="shared" si="235"/>
        <v/>
      </c>
      <c r="P686" s="422" t="str">
        <f t="shared" si="236"/>
        <v/>
      </c>
      <c r="Q686" s="422" t="str">
        <f t="shared" si="237"/>
        <v/>
      </c>
      <c r="R686" s="422" t="str">
        <f t="shared" si="238"/>
        <v/>
      </c>
      <c r="S686" s="583">
        <f t="shared" si="242"/>
        <v>0</v>
      </c>
      <c r="T686" s="377" t="str">
        <f>+IFERROR(VLOOKUP(S686,STAT1!$C$4:$D$189,2,FALSE),"")</f>
        <v/>
      </c>
      <c r="U686" s="424"/>
      <c r="V686" s="424"/>
      <c r="W686" s="822"/>
      <c r="X686" s="436" t="str">
        <f>IFERROR(VLOOKUP(W686,DATA!$G$4:$H$400,2,FALSE),"")</f>
        <v/>
      </c>
      <c r="Y686" s="328"/>
      <c r="Z686" s="328"/>
      <c r="AA686" s="328"/>
    </row>
    <row r="687" spans="1:27" ht="12.75" customHeight="1">
      <c r="A687" s="425"/>
      <c r="B687" s="368" t="str">
        <f t="shared" si="245"/>
        <v/>
      </c>
      <c r="C687" s="425"/>
      <c r="D687" s="423"/>
      <c r="E687" s="422" t="str">
        <f t="shared" ca="1" si="239"/>
        <v/>
      </c>
      <c r="F687" s="426" t="str">
        <f t="shared" ca="1" si="234"/>
        <v/>
      </c>
      <c r="G687" s="415"/>
      <c r="H687" s="415"/>
      <c r="I687" s="415" t="str">
        <f t="shared" si="230"/>
        <v/>
      </c>
      <c r="J687" s="415" t="str">
        <f t="shared" si="244"/>
        <v/>
      </c>
      <c r="K687" s="415" t="str">
        <f t="shared" si="232"/>
        <v/>
      </c>
      <c r="L687" s="415"/>
      <c r="M687" s="415"/>
      <c r="N687" s="422" t="str">
        <f t="shared" si="243"/>
        <v/>
      </c>
      <c r="O687" s="422" t="str">
        <f t="shared" si="235"/>
        <v/>
      </c>
      <c r="P687" s="422" t="str">
        <f t="shared" si="236"/>
        <v/>
      </c>
      <c r="Q687" s="422" t="str">
        <f t="shared" si="237"/>
        <v/>
      </c>
      <c r="R687" s="422" t="str">
        <f t="shared" si="238"/>
        <v/>
      </c>
      <c r="S687" s="583">
        <f t="shared" si="242"/>
        <v>0</v>
      </c>
      <c r="T687" s="377" t="str">
        <f>+IFERROR(VLOOKUP(S687,STAT1!$C$4:$D$189,2,FALSE),"")</f>
        <v/>
      </c>
      <c r="U687" s="424"/>
      <c r="V687" s="424"/>
      <c r="W687" s="822"/>
      <c r="X687" s="436" t="str">
        <f>IFERROR(VLOOKUP(W687,DATA!$G$4:$H$400,2,FALSE),"")</f>
        <v/>
      </c>
      <c r="Y687" s="328"/>
      <c r="Z687" s="328"/>
      <c r="AA687" s="328"/>
    </row>
    <row r="688" spans="1:27" ht="12.75" customHeight="1">
      <c r="A688" s="425"/>
      <c r="B688" s="368" t="str">
        <f t="shared" si="245"/>
        <v/>
      </c>
      <c r="C688" s="425"/>
      <c r="D688" s="423"/>
      <c r="E688" s="422" t="str">
        <f t="shared" ca="1" si="239"/>
        <v/>
      </c>
      <c r="F688" s="426" t="str">
        <f t="shared" ca="1" si="234"/>
        <v/>
      </c>
      <c r="G688" s="415"/>
      <c r="H688" s="415"/>
      <c r="I688" s="415" t="str">
        <f t="shared" si="230"/>
        <v/>
      </c>
      <c r="J688" s="415" t="str">
        <f t="shared" si="244"/>
        <v/>
      </c>
      <c r="K688" s="415" t="str">
        <f t="shared" si="232"/>
        <v/>
      </c>
      <c r="L688" s="415"/>
      <c r="M688" s="415"/>
      <c r="N688" s="422" t="str">
        <f t="shared" si="243"/>
        <v/>
      </c>
      <c r="O688" s="422" t="str">
        <f t="shared" si="235"/>
        <v/>
      </c>
      <c r="P688" s="422" t="str">
        <f t="shared" si="236"/>
        <v/>
      </c>
      <c r="Q688" s="422" t="str">
        <f t="shared" si="237"/>
        <v/>
      </c>
      <c r="R688" s="422" t="str">
        <f t="shared" si="238"/>
        <v/>
      </c>
      <c r="S688" s="583">
        <f t="shared" si="242"/>
        <v>0</v>
      </c>
      <c r="T688" s="377" t="str">
        <f>+IFERROR(VLOOKUP(S688,STAT1!$C$4:$D$189,2,FALSE),"")</f>
        <v/>
      </c>
      <c r="U688" s="424"/>
      <c r="V688" s="424"/>
      <c r="W688" s="822"/>
      <c r="X688" s="436" t="str">
        <f>IFERROR(VLOOKUP(W688,DATA!$G$4:$H$400,2,FALSE),"")</f>
        <v/>
      </c>
      <c r="Y688" s="328"/>
      <c r="Z688" s="328"/>
      <c r="AA688" s="328"/>
    </row>
    <row r="689" spans="1:27" ht="12.75" customHeight="1">
      <c r="A689" s="425"/>
      <c r="B689" s="368" t="str">
        <f t="shared" si="245"/>
        <v/>
      </c>
      <c r="C689" s="425"/>
      <c r="D689" s="423"/>
      <c r="E689" s="422" t="str">
        <f t="shared" ca="1" si="239"/>
        <v/>
      </c>
      <c r="F689" s="426" t="str">
        <f t="shared" ca="1" si="234"/>
        <v/>
      </c>
      <c r="G689" s="415"/>
      <c r="H689" s="415"/>
      <c r="I689" s="415" t="str">
        <f t="shared" si="230"/>
        <v/>
      </c>
      <c r="J689" s="415" t="str">
        <f t="shared" si="244"/>
        <v/>
      </c>
      <c r="K689" s="415" t="str">
        <f t="shared" si="232"/>
        <v/>
      </c>
      <c r="L689" s="415"/>
      <c r="M689" s="415"/>
      <c r="N689" s="422" t="str">
        <f t="shared" si="243"/>
        <v/>
      </c>
      <c r="O689" s="422" t="str">
        <f t="shared" si="235"/>
        <v/>
      </c>
      <c r="P689" s="422" t="str">
        <f t="shared" si="236"/>
        <v/>
      </c>
      <c r="Q689" s="422" t="str">
        <f t="shared" si="237"/>
        <v/>
      </c>
      <c r="R689" s="422" t="str">
        <f t="shared" si="238"/>
        <v/>
      </c>
      <c r="S689" s="583">
        <f t="shared" si="242"/>
        <v>0</v>
      </c>
      <c r="T689" s="377" t="str">
        <f>+IFERROR(VLOOKUP(S689,STAT1!$C$4:$D$189,2,FALSE),"")</f>
        <v/>
      </c>
      <c r="U689" s="424"/>
      <c r="V689" s="424"/>
      <c r="W689" s="822"/>
      <c r="X689" s="436" t="str">
        <f>IFERROR(VLOOKUP(W689,DATA!$G$4:$H$400,2,FALSE),"")</f>
        <v/>
      </c>
      <c r="Y689" s="328"/>
      <c r="Z689" s="328"/>
      <c r="AA689" s="328"/>
    </row>
    <row r="690" spans="1:27" ht="12.75" customHeight="1">
      <c r="A690" s="425"/>
      <c r="B690" s="368" t="str">
        <f t="shared" si="245"/>
        <v/>
      </c>
      <c r="C690" s="425"/>
      <c r="D690" s="423"/>
      <c r="E690" s="422" t="str">
        <f t="shared" ca="1" si="239"/>
        <v/>
      </c>
      <c r="F690" s="426" t="str">
        <f t="shared" ca="1" si="234"/>
        <v/>
      </c>
      <c r="G690" s="415"/>
      <c r="H690" s="415"/>
      <c r="I690" s="415" t="str">
        <f t="shared" si="230"/>
        <v/>
      </c>
      <c r="J690" s="415" t="str">
        <f t="shared" si="244"/>
        <v/>
      </c>
      <c r="K690" s="415" t="str">
        <f t="shared" si="232"/>
        <v/>
      </c>
      <c r="L690" s="415"/>
      <c r="M690" s="415"/>
      <c r="N690" s="422" t="str">
        <f t="shared" si="243"/>
        <v/>
      </c>
      <c r="O690" s="422" t="str">
        <f t="shared" si="235"/>
        <v/>
      </c>
      <c r="P690" s="422" t="str">
        <f t="shared" si="236"/>
        <v/>
      </c>
      <c r="Q690" s="422" t="str">
        <f t="shared" si="237"/>
        <v/>
      </c>
      <c r="R690" s="422" t="str">
        <f t="shared" si="238"/>
        <v/>
      </c>
      <c r="S690" s="583">
        <f t="shared" si="242"/>
        <v>0</v>
      </c>
      <c r="T690" s="377" t="str">
        <f>+IFERROR(VLOOKUP(S690,STAT1!$C$4:$D$189,2,FALSE),"")</f>
        <v/>
      </c>
      <c r="U690" s="415"/>
      <c r="V690" s="415"/>
      <c r="W690" s="823"/>
      <c r="X690" s="436" t="str">
        <f>IFERROR(VLOOKUP(W690,DATA!$G$4:$H$400,2,FALSE),"")</f>
        <v/>
      </c>
      <c r="Y690" s="328"/>
      <c r="Z690" s="328"/>
      <c r="AA690" s="328"/>
    </row>
    <row r="691" spans="1:27" ht="12.75" customHeight="1">
      <c r="A691" s="425"/>
      <c r="B691" s="368" t="str">
        <f t="shared" si="245"/>
        <v/>
      </c>
      <c r="C691" s="425"/>
      <c r="D691" s="423"/>
      <c r="E691" s="422" t="str">
        <f t="shared" ca="1" si="239"/>
        <v/>
      </c>
      <c r="F691" s="426" t="str">
        <f t="shared" ca="1" si="234"/>
        <v/>
      </c>
      <c r="G691" s="415"/>
      <c r="H691" s="415"/>
      <c r="I691" s="415" t="str">
        <f t="shared" si="230"/>
        <v/>
      </c>
      <c r="J691" s="415" t="str">
        <f t="shared" si="244"/>
        <v/>
      </c>
      <c r="K691" s="415" t="str">
        <f t="shared" si="232"/>
        <v/>
      </c>
      <c r="L691" s="415"/>
      <c r="M691" s="415"/>
      <c r="N691" s="422" t="str">
        <f t="shared" si="243"/>
        <v/>
      </c>
      <c r="O691" s="422" t="str">
        <f t="shared" si="235"/>
        <v/>
      </c>
      <c r="P691" s="422" t="str">
        <f t="shared" si="236"/>
        <v/>
      </c>
      <c r="Q691" s="422" t="str">
        <f t="shared" si="237"/>
        <v/>
      </c>
      <c r="R691" s="422" t="str">
        <f t="shared" si="238"/>
        <v/>
      </c>
      <c r="S691" s="583">
        <f t="shared" si="242"/>
        <v>0</v>
      </c>
      <c r="T691" s="377" t="str">
        <f>+IFERROR(VLOOKUP(S691,STAT1!$C$4:$D$189,2,FALSE),"")</f>
        <v/>
      </c>
      <c r="U691" s="424"/>
      <c r="V691" s="424"/>
      <c r="W691" s="822"/>
      <c r="X691" s="436" t="str">
        <f>IFERROR(VLOOKUP(W691,DATA!$G$4:$H$400,2,FALSE),"")</f>
        <v/>
      </c>
      <c r="Y691" s="328"/>
      <c r="Z691" s="328"/>
      <c r="AA691" s="328"/>
    </row>
    <row r="692" spans="1:27" ht="12.75" customHeight="1">
      <c r="A692" s="425"/>
      <c r="B692" s="368" t="str">
        <f t="shared" si="245"/>
        <v/>
      </c>
      <c r="C692" s="425"/>
      <c r="D692" s="423"/>
      <c r="E692" s="422" t="str">
        <f t="shared" ca="1" si="239"/>
        <v/>
      </c>
      <c r="F692" s="426" t="str">
        <f t="shared" ca="1" si="234"/>
        <v/>
      </c>
      <c r="G692" s="415"/>
      <c r="H692" s="415"/>
      <c r="I692" s="415" t="str">
        <f t="shared" si="230"/>
        <v/>
      </c>
      <c r="J692" s="415" t="str">
        <f t="shared" si="244"/>
        <v/>
      </c>
      <c r="K692" s="415" t="str">
        <f t="shared" si="232"/>
        <v/>
      </c>
      <c r="L692" s="415"/>
      <c r="M692" s="415"/>
      <c r="N692" s="422" t="str">
        <f t="shared" si="243"/>
        <v/>
      </c>
      <c r="O692" s="422" t="str">
        <f t="shared" si="235"/>
        <v/>
      </c>
      <c r="P692" s="422" t="str">
        <f t="shared" si="236"/>
        <v/>
      </c>
      <c r="Q692" s="422" t="str">
        <f t="shared" si="237"/>
        <v/>
      </c>
      <c r="R692" s="422" t="str">
        <f t="shared" si="238"/>
        <v/>
      </c>
      <c r="S692" s="583">
        <f t="shared" si="242"/>
        <v>0</v>
      </c>
      <c r="T692" s="377" t="str">
        <f>+IFERROR(VLOOKUP(S692,STAT1!$C$4:$D$189,2,FALSE),"")</f>
        <v/>
      </c>
      <c r="U692" s="424"/>
      <c r="V692" s="424"/>
      <c r="W692" s="822"/>
      <c r="X692" s="436" t="str">
        <f>IFERROR(VLOOKUP(W692,DATA!$G$4:$H$400,2,FALSE),"")</f>
        <v/>
      </c>
      <c r="Y692" s="328"/>
      <c r="Z692" s="328"/>
      <c r="AA692" s="328"/>
    </row>
    <row r="693" spans="1:27" ht="12.75" customHeight="1">
      <c r="A693" s="425"/>
      <c r="B693" s="368" t="str">
        <f t="shared" si="245"/>
        <v/>
      </c>
      <c r="C693" s="425"/>
      <c r="D693" s="423"/>
      <c r="E693" s="422" t="str">
        <f t="shared" ca="1" si="239"/>
        <v/>
      </c>
      <c r="F693" s="426" t="str">
        <f t="shared" ca="1" si="234"/>
        <v/>
      </c>
      <c r="G693" s="415"/>
      <c r="H693" s="415"/>
      <c r="I693" s="415" t="str">
        <f t="shared" si="230"/>
        <v/>
      </c>
      <c r="J693" s="415" t="str">
        <f t="shared" si="244"/>
        <v/>
      </c>
      <c r="K693" s="415" t="str">
        <f t="shared" si="232"/>
        <v/>
      </c>
      <c r="L693" s="415"/>
      <c r="M693" s="415"/>
      <c r="N693" s="422" t="str">
        <f t="shared" si="243"/>
        <v/>
      </c>
      <c r="O693" s="422" t="str">
        <f t="shared" si="235"/>
        <v/>
      </c>
      <c r="P693" s="422" t="str">
        <f t="shared" si="236"/>
        <v/>
      </c>
      <c r="Q693" s="422" t="str">
        <f t="shared" si="237"/>
        <v/>
      </c>
      <c r="R693" s="422" t="str">
        <f t="shared" si="238"/>
        <v/>
      </c>
      <c r="S693" s="583">
        <f t="shared" si="242"/>
        <v>0</v>
      </c>
      <c r="T693" s="377" t="str">
        <f>+IFERROR(VLOOKUP(S693,STAT1!$C$4:$D$189,2,FALSE),"")</f>
        <v/>
      </c>
      <c r="U693" s="424"/>
      <c r="V693" s="424"/>
      <c r="W693" s="822"/>
      <c r="X693" s="436" t="str">
        <f>IFERROR(VLOOKUP(W693,DATA!$G$4:$H$400,2,FALSE),"")</f>
        <v/>
      </c>
      <c r="Y693" s="328"/>
      <c r="Z693" s="328"/>
      <c r="AA693" s="328"/>
    </row>
    <row r="694" spans="1:27" ht="12.75" customHeight="1">
      <c r="A694" s="425"/>
      <c r="B694" s="368" t="str">
        <f t="shared" si="245"/>
        <v/>
      </c>
      <c r="C694" s="425"/>
      <c r="D694" s="423"/>
      <c r="E694" s="422" t="str">
        <f t="shared" ca="1" si="239"/>
        <v/>
      </c>
      <c r="F694" s="426" t="str">
        <f t="shared" ca="1" si="234"/>
        <v/>
      </c>
      <c r="G694" s="415"/>
      <c r="H694" s="415"/>
      <c r="I694" s="415" t="str">
        <f t="shared" si="230"/>
        <v/>
      </c>
      <c r="J694" s="415" t="str">
        <f t="shared" si="244"/>
        <v/>
      </c>
      <c r="K694" s="415" t="str">
        <f t="shared" si="232"/>
        <v/>
      </c>
      <c r="L694" s="415"/>
      <c r="M694" s="415"/>
      <c r="N694" s="422" t="str">
        <f t="shared" si="243"/>
        <v/>
      </c>
      <c r="O694" s="422" t="str">
        <f t="shared" si="235"/>
        <v/>
      </c>
      <c r="P694" s="422" t="str">
        <f t="shared" si="236"/>
        <v/>
      </c>
      <c r="Q694" s="422" t="str">
        <f t="shared" si="237"/>
        <v/>
      </c>
      <c r="R694" s="422" t="str">
        <f t="shared" si="238"/>
        <v/>
      </c>
      <c r="S694" s="583">
        <f t="shared" si="242"/>
        <v>0</v>
      </c>
      <c r="T694" s="377" t="str">
        <f>+IFERROR(VLOOKUP(S694,STAT1!$C$4:$D$189,2,FALSE),"")</f>
        <v/>
      </c>
      <c r="U694" s="424"/>
      <c r="V694" s="424"/>
      <c r="W694" s="822"/>
      <c r="X694" s="436" t="str">
        <f>IFERROR(VLOOKUP(W694,DATA!$G$4:$H$400,2,FALSE),"")</f>
        <v/>
      </c>
      <c r="Y694" s="328"/>
      <c r="Z694" s="328"/>
      <c r="AA694" s="328"/>
    </row>
    <row r="695" spans="1:27" ht="12.75" customHeight="1">
      <c r="A695" s="425"/>
      <c r="B695" s="368" t="str">
        <f t="shared" si="245"/>
        <v/>
      </c>
      <c r="C695" s="425"/>
      <c r="D695" s="423"/>
      <c r="E695" s="422" t="str">
        <f t="shared" ca="1" si="239"/>
        <v/>
      </c>
      <c r="F695" s="426" t="str">
        <f t="shared" ca="1" si="234"/>
        <v/>
      </c>
      <c r="G695" s="415"/>
      <c r="H695" s="415"/>
      <c r="I695" s="415" t="str">
        <f t="shared" ref="I695:I758" si="246">+IF(G695="","",G695*H695)</f>
        <v/>
      </c>
      <c r="J695" s="415" t="str">
        <f t="shared" si="244"/>
        <v/>
      </c>
      <c r="K695" s="415" t="str">
        <f t="shared" ref="K695:K758" si="247">+IF(G695="","",I695+J695)</f>
        <v/>
      </c>
      <c r="L695" s="415"/>
      <c r="M695" s="415"/>
      <c r="N695" s="422" t="str">
        <f t="shared" si="243"/>
        <v/>
      </c>
      <c r="O695" s="422" t="str">
        <f t="shared" si="235"/>
        <v/>
      </c>
      <c r="P695" s="422" t="str">
        <f t="shared" si="236"/>
        <v/>
      </c>
      <c r="Q695" s="422" t="str">
        <f t="shared" si="237"/>
        <v/>
      </c>
      <c r="R695" s="422" t="str">
        <f t="shared" si="238"/>
        <v/>
      </c>
      <c r="S695" s="583">
        <f t="shared" si="242"/>
        <v>0</v>
      </c>
      <c r="T695" s="377" t="str">
        <f>+IFERROR(VLOOKUP(S695,STAT1!$C$4:$D$189,2,FALSE),"")</f>
        <v/>
      </c>
      <c r="U695" s="424"/>
      <c r="V695" s="424"/>
      <c r="W695" s="822"/>
      <c r="X695" s="436" t="str">
        <f>IFERROR(VLOOKUP(W695,DATA!$G$4:$H$400,2,FALSE),"")</f>
        <v/>
      </c>
      <c r="Y695" s="328"/>
      <c r="Z695" s="328"/>
      <c r="AA695" s="328"/>
    </row>
    <row r="696" spans="1:27" ht="12.75" customHeight="1">
      <c r="A696" s="425"/>
      <c r="B696" s="368" t="str">
        <f t="shared" si="245"/>
        <v/>
      </c>
      <c r="C696" s="425"/>
      <c r="D696" s="423"/>
      <c r="E696" s="422" t="str">
        <f t="shared" ca="1" si="239"/>
        <v/>
      </c>
      <c r="F696" s="426" t="str">
        <f t="shared" ref="F696:F759" ca="1" si="248">+IFERROR(VLOOKUP(D696,TN_table,3,FALSE),"")</f>
        <v/>
      </c>
      <c r="G696" s="415"/>
      <c r="H696" s="415"/>
      <c r="I696" s="415" t="str">
        <f t="shared" si="246"/>
        <v/>
      </c>
      <c r="J696" s="415" t="str">
        <f t="shared" si="244"/>
        <v/>
      </c>
      <c r="K696" s="415" t="str">
        <f t="shared" si="247"/>
        <v/>
      </c>
      <c r="L696" s="415"/>
      <c r="M696" s="415"/>
      <c r="N696" s="422" t="str">
        <f t="shared" si="243"/>
        <v/>
      </c>
      <c r="O696" s="422" t="str">
        <f t="shared" ref="O696:O759" si="249">+IF(L696="","",N696*0.1)</f>
        <v/>
      </c>
      <c r="P696" s="422" t="str">
        <f t="shared" ref="P696:P759" si="250">+IF(L696="","",N696+O696)</f>
        <v/>
      </c>
      <c r="Q696" s="422" t="str">
        <f t="shared" ref="Q696:Q759" si="251">IF(L696="","",IFERROR((SUMIFS(TN_balC1_totol,TN_code,D696)+SUMIFS(RC_or_totol,RC_Code,D696,RC_date,"&lt;="&amp;C696)-SUMIFS(RC_zar_totol,RC_Code,D696,RC_date,"&lt;"&amp;C696)) /( SUMIFS(TN_balC1_unit,TN_code,D696)+SUMIFS(RC_or_unit,RC_Code,D696,RC_date,"&lt;="&amp;C696)-SUMIFS(RC_zar_unit,RC_Code,D696,RC_date,"&lt;"&amp;C696)),0 ))</f>
        <v/>
      </c>
      <c r="R696" s="422" t="str">
        <f t="shared" ref="R696:R759" si="252">+IF(L696="","",L696*Q696)</f>
        <v/>
      </c>
      <c r="S696" s="583">
        <f t="shared" si="242"/>
        <v>0</v>
      </c>
      <c r="T696" s="377" t="str">
        <f>+IFERROR(VLOOKUP(S696,STAT1!$C$4:$D$189,2,FALSE),"")</f>
        <v/>
      </c>
      <c r="U696" s="424"/>
      <c r="V696" s="424"/>
      <c r="W696" s="822"/>
      <c r="X696" s="436" t="str">
        <f>IFERROR(VLOOKUP(W696,DATA!$G$4:$H$400,2,FALSE),"")</f>
        <v/>
      </c>
      <c r="Y696" s="328"/>
      <c r="Z696" s="328"/>
      <c r="AA696" s="328"/>
    </row>
    <row r="697" spans="1:27" ht="12.75" customHeight="1">
      <c r="A697" s="425"/>
      <c r="B697" s="368" t="str">
        <f t="shared" si="245"/>
        <v/>
      </c>
      <c r="C697" s="425"/>
      <c r="D697" s="423"/>
      <c r="E697" s="422" t="str">
        <f t="shared" ca="1" si="239"/>
        <v/>
      </c>
      <c r="F697" s="426" t="str">
        <f t="shared" ca="1" si="248"/>
        <v/>
      </c>
      <c r="G697" s="415"/>
      <c r="H697" s="415"/>
      <c r="I697" s="415" t="str">
        <f t="shared" si="246"/>
        <v/>
      </c>
      <c r="J697" s="415" t="str">
        <f t="shared" si="244"/>
        <v/>
      </c>
      <c r="K697" s="415" t="str">
        <f t="shared" si="247"/>
        <v/>
      </c>
      <c r="L697" s="415"/>
      <c r="M697" s="415"/>
      <c r="N697" s="422" t="str">
        <f t="shared" si="243"/>
        <v/>
      </c>
      <c r="O697" s="422" t="str">
        <f t="shared" si="249"/>
        <v/>
      </c>
      <c r="P697" s="422" t="str">
        <f t="shared" si="250"/>
        <v/>
      </c>
      <c r="Q697" s="422" t="str">
        <f t="shared" si="251"/>
        <v/>
      </c>
      <c r="R697" s="422" t="str">
        <f t="shared" si="252"/>
        <v/>
      </c>
      <c r="S697" s="583">
        <f t="shared" si="242"/>
        <v>0</v>
      </c>
      <c r="T697" s="377" t="str">
        <f>+IFERROR(VLOOKUP(S697,STAT1!$C$4:$D$189,2,FALSE),"")</f>
        <v/>
      </c>
      <c r="U697" s="424"/>
      <c r="V697" s="424"/>
      <c r="W697" s="822"/>
      <c r="X697" s="436" t="str">
        <f>IFERROR(VLOOKUP(W697,DATA!$G$4:$H$400,2,FALSE),"")</f>
        <v/>
      </c>
      <c r="Y697" s="328"/>
      <c r="Z697" s="328"/>
      <c r="AA697" s="328"/>
    </row>
    <row r="698" spans="1:27" ht="12.75" customHeight="1">
      <c r="A698" s="425"/>
      <c r="B698" s="368" t="str">
        <f t="shared" si="245"/>
        <v/>
      </c>
      <c r="C698" s="425"/>
      <c r="D698" s="423"/>
      <c r="E698" s="422" t="str">
        <f t="shared" ca="1" si="239"/>
        <v/>
      </c>
      <c r="F698" s="426" t="str">
        <f t="shared" ca="1" si="248"/>
        <v/>
      </c>
      <c r="G698" s="415"/>
      <c r="H698" s="415"/>
      <c r="I698" s="415" t="str">
        <f t="shared" si="246"/>
        <v/>
      </c>
      <c r="J698" s="415" t="str">
        <f t="shared" si="244"/>
        <v/>
      </c>
      <c r="K698" s="415" t="str">
        <f t="shared" si="247"/>
        <v/>
      </c>
      <c r="L698" s="415"/>
      <c r="M698" s="415"/>
      <c r="N698" s="422" t="str">
        <f t="shared" si="243"/>
        <v/>
      </c>
      <c r="O698" s="422" t="str">
        <f t="shared" si="249"/>
        <v/>
      </c>
      <c r="P698" s="422" t="str">
        <f t="shared" si="250"/>
        <v/>
      </c>
      <c r="Q698" s="422" t="str">
        <f t="shared" si="251"/>
        <v/>
      </c>
      <c r="R698" s="422" t="str">
        <f t="shared" si="252"/>
        <v/>
      </c>
      <c r="S698" s="583">
        <f t="shared" si="242"/>
        <v>0</v>
      </c>
      <c r="T698" s="377" t="str">
        <f>+IFERROR(VLOOKUP(S698,STAT1!$C$4:$D$189,2,FALSE),"")</f>
        <v/>
      </c>
      <c r="U698" s="424"/>
      <c r="V698" s="424"/>
      <c r="W698" s="822"/>
      <c r="X698" s="436" t="str">
        <f>IFERROR(VLOOKUP(W698,DATA!$G$4:$H$400,2,FALSE),"")</f>
        <v/>
      </c>
      <c r="Y698" s="328"/>
      <c r="Z698" s="328"/>
      <c r="AA698" s="328"/>
    </row>
    <row r="699" spans="1:27" ht="12.75" customHeight="1">
      <c r="A699" s="425"/>
      <c r="B699" s="368" t="str">
        <f t="shared" si="245"/>
        <v/>
      </c>
      <c r="C699" s="425"/>
      <c r="D699" s="423"/>
      <c r="E699" s="422" t="str">
        <f t="shared" ca="1" si="239"/>
        <v/>
      </c>
      <c r="F699" s="426" t="str">
        <f t="shared" ca="1" si="248"/>
        <v/>
      </c>
      <c r="G699" s="415"/>
      <c r="H699" s="415"/>
      <c r="I699" s="415" t="str">
        <f t="shared" si="246"/>
        <v/>
      </c>
      <c r="J699" s="415" t="str">
        <f t="shared" si="244"/>
        <v/>
      </c>
      <c r="K699" s="415" t="str">
        <f t="shared" si="247"/>
        <v/>
      </c>
      <c r="L699" s="415"/>
      <c r="M699" s="415"/>
      <c r="N699" s="422" t="str">
        <f t="shared" si="243"/>
        <v/>
      </c>
      <c r="O699" s="422" t="str">
        <f t="shared" si="249"/>
        <v/>
      </c>
      <c r="P699" s="422" t="str">
        <f t="shared" si="250"/>
        <v/>
      </c>
      <c r="Q699" s="422" t="str">
        <f t="shared" si="251"/>
        <v/>
      </c>
      <c r="R699" s="422" t="str">
        <f t="shared" si="252"/>
        <v/>
      </c>
      <c r="S699" s="583">
        <f t="shared" si="242"/>
        <v>0</v>
      </c>
      <c r="T699" s="377" t="str">
        <f>+IFERROR(VLOOKUP(S699,STAT1!$C$4:$D$189,2,FALSE),"")</f>
        <v/>
      </c>
      <c r="U699" s="424"/>
      <c r="V699" s="424"/>
      <c r="W699" s="822"/>
      <c r="X699" s="436" t="str">
        <f>IFERROR(VLOOKUP(W699,DATA!$G$4:$H$400,2,FALSE),"")</f>
        <v/>
      </c>
      <c r="Y699" s="328"/>
      <c r="Z699" s="328"/>
      <c r="AA699" s="328"/>
    </row>
    <row r="700" spans="1:27" ht="12.75" customHeight="1">
      <c r="A700" s="425"/>
      <c r="B700" s="368" t="str">
        <f t="shared" si="245"/>
        <v/>
      </c>
      <c r="C700" s="425"/>
      <c r="D700" s="423"/>
      <c r="E700" s="422" t="str">
        <f t="shared" ca="1" si="239"/>
        <v/>
      </c>
      <c r="F700" s="426" t="str">
        <f t="shared" ca="1" si="248"/>
        <v/>
      </c>
      <c r="G700" s="415"/>
      <c r="H700" s="415"/>
      <c r="I700" s="415" t="str">
        <f t="shared" si="246"/>
        <v/>
      </c>
      <c r="J700" s="415" t="str">
        <f t="shared" si="244"/>
        <v/>
      </c>
      <c r="K700" s="415" t="str">
        <f t="shared" si="247"/>
        <v/>
      </c>
      <c r="L700" s="415"/>
      <c r="M700" s="415"/>
      <c r="N700" s="422" t="str">
        <f t="shared" si="243"/>
        <v/>
      </c>
      <c r="O700" s="422" t="str">
        <f t="shared" si="249"/>
        <v/>
      </c>
      <c r="P700" s="422" t="str">
        <f t="shared" si="250"/>
        <v/>
      </c>
      <c r="Q700" s="422" t="str">
        <f t="shared" si="251"/>
        <v/>
      </c>
      <c r="R700" s="422" t="str">
        <f t="shared" si="252"/>
        <v/>
      </c>
      <c r="S700" s="583">
        <f t="shared" si="242"/>
        <v>0</v>
      </c>
      <c r="T700" s="377" t="str">
        <f>+IFERROR(VLOOKUP(S700,STAT1!$C$4:$D$189,2,FALSE),"")</f>
        <v/>
      </c>
      <c r="U700" s="424"/>
      <c r="V700" s="424"/>
      <c r="W700" s="822"/>
      <c r="X700" s="436" t="str">
        <f>IFERROR(VLOOKUP(W700,DATA!$G$4:$H$400,2,FALSE),"")</f>
        <v/>
      </c>
      <c r="Y700" s="328"/>
      <c r="Z700" s="328"/>
      <c r="AA700" s="328"/>
    </row>
    <row r="701" spans="1:27" ht="12.75" customHeight="1">
      <c r="A701" s="425"/>
      <c r="B701" s="368" t="str">
        <f t="shared" si="245"/>
        <v/>
      </c>
      <c r="C701" s="425"/>
      <c r="D701" s="423"/>
      <c r="E701" s="422" t="str">
        <f t="shared" ca="1" si="239"/>
        <v/>
      </c>
      <c r="F701" s="426" t="str">
        <f t="shared" ca="1" si="248"/>
        <v/>
      </c>
      <c r="G701" s="415"/>
      <c r="H701" s="415"/>
      <c r="I701" s="415" t="str">
        <f t="shared" si="246"/>
        <v/>
      </c>
      <c r="J701" s="415" t="str">
        <f t="shared" si="244"/>
        <v/>
      </c>
      <c r="K701" s="415" t="str">
        <f t="shared" si="247"/>
        <v/>
      </c>
      <c r="L701" s="415"/>
      <c r="M701" s="415"/>
      <c r="N701" s="422" t="str">
        <f t="shared" si="243"/>
        <v/>
      </c>
      <c r="O701" s="422" t="str">
        <f t="shared" si="249"/>
        <v/>
      </c>
      <c r="P701" s="422" t="str">
        <f t="shared" si="250"/>
        <v/>
      </c>
      <c r="Q701" s="422" t="str">
        <f t="shared" si="251"/>
        <v/>
      </c>
      <c r="R701" s="422" t="str">
        <f t="shared" si="252"/>
        <v/>
      </c>
      <c r="S701" s="583">
        <f t="shared" si="242"/>
        <v>0</v>
      </c>
      <c r="T701" s="377" t="str">
        <f>+IFERROR(VLOOKUP(S701,STAT1!$C$4:$D$189,2,FALSE),"")</f>
        <v/>
      </c>
      <c r="U701" s="424"/>
      <c r="V701" s="424"/>
      <c r="W701" s="822"/>
      <c r="X701" s="436" t="str">
        <f>IFERROR(VLOOKUP(W701,DATA!$G$4:$H$400,2,FALSE),"")</f>
        <v/>
      </c>
      <c r="Y701" s="328"/>
      <c r="Z701" s="328"/>
      <c r="AA701" s="328"/>
    </row>
    <row r="702" spans="1:27" ht="12.75" customHeight="1">
      <c r="A702" s="425"/>
      <c r="B702" s="368" t="str">
        <f t="shared" si="245"/>
        <v/>
      </c>
      <c r="C702" s="425"/>
      <c r="D702" s="423"/>
      <c r="E702" s="422" t="str">
        <f t="shared" ca="1" si="239"/>
        <v/>
      </c>
      <c r="F702" s="426" t="str">
        <f t="shared" ca="1" si="248"/>
        <v/>
      </c>
      <c r="G702" s="415"/>
      <c r="H702" s="415"/>
      <c r="I702" s="415" t="str">
        <f t="shared" si="246"/>
        <v/>
      </c>
      <c r="J702" s="415" t="str">
        <f t="shared" si="244"/>
        <v/>
      </c>
      <c r="K702" s="415" t="str">
        <f t="shared" si="247"/>
        <v/>
      </c>
      <c r="L702" s="415"/>
      <c r="M702" s="415"/>
      <c r="N702" s="422" t="str">
        <f t="shared" si="243"/>
        <v/>
      </c>
      <c r="O702" s="422" t="str">
        <f t="shared" si="249"/>
        <v/>
      </c>
      <c r="P702" s="422" t="str">
        <f t="shared" si="250"/>
        <v/>
      </c>
      <c r="Q702" s="422" t="str">
        <f t="shared" si="251"/>
        <v/>
      </c>
      <c r="R702" s="422" t="str">
        <f t="shared" si="252"/>
        <v/>
      </c>
      <c r="S702" s="583">
        <f t="shared" si="242"/>
        <v>0</v>
      </c>
      <c r="T702" s="377" t="str">
        <f>+IFERROR(VLOOKUP(S702,STAT1!$C$4:$D$189,2,FALSE),"")</f>
        <v/>
      </c>
      <c r="U702" s="424"/>
      <c r="V702" s="424"/>
      <c r="W702" s="822"/>
      <c r="X702" s="436" t="str">
        <f>IFERROR(VLOOKUP(W702,DATA!$G$4:$H$400,2,FALSE),"")</f>
        <v/>
      </c>
      <c r="Y702" s="328"/>
      <c r="Z702" s="328"/>
      <c r="AA702" s="328"/>
    </row>
    <row r="703" spans="1:27" ht="12.75" customHeight="1">
      <c r="A703" s="425"/>
      <c r="B703" s="368" t="str">
        <f t="shared" si="245"/>
        <v/>
      </c>
      <c r="C703" s="425"/>
      <c r="D703" s="423"/>
      <c r="E703" s="422" t="str">
        <f t="shared" ca="1" si="239"/>
        <v/>
      </c>
      <c r="F703" s="426" t="str">
        <f t="shared" ca="1" si="248"/>
        <v/>
      </c>
      <c r="G703" s="415"/>
      <c r="H703" s="415"/>
      <c r="I703" s="415" t="str">
        <f t="shared" si="246"/>
        <v/>
      </c>
      <c r="J703" s="415" t="str">
        <f t="shared" si="244"/>
        <v/>
      </c>
      <c r="K703" s="415" t="str">
        <f t="shared" si="247"/>
        <v/>
      </c>
      <c r="L703" s="415"/>
      <c r="M703" s="415"/>
      <c r="N703" s="422" t="str">
        <f t="shared" si="243"/>
        <v/>
      </c>
      <c r="O703" s="422" t="str">
        <f t="shared" si="249"/>
        <v/>
      </c>
      <c r="P703" s="422" t="str">
        <f t="shared" si="250"/>
        <v/>
      </c>
      <c r="Q703" s="422" t="str">
        <f t="shared" si="251"/>
        <v/>
      </c>
      <c r="R703" s="422" t="str">
        <f t="shared" si="252"/>
        <v/>
      </c>
      <c r="S703" s="583">
        <f t="shared" si="242"/>
        <v>0</v>
      </c>
      <c r="T703" s="377" t="str">
        <f>+IFERROR(VLOOKUP(S703,STAT1!$C$4:$D$189,2,FALSE),"")</f>
        <v/>
      </c>
      <c r="U703" s="424"/>
      <c r="V703" s="424"/>
      <c r="W703" s="822"/>
      <c r="X703" s="436" t="str">
        <f>IFERROR(VLOOKUP(W703,DATA!$G$4:$H$400,2,FALSE),"")</f>
        <v/>
      </c>
      <c r="Y703" s="328"/>
      <c r="Z703" s="328"/>
      <c r="AA703" s="328"/>
    </row>
    <row r="704" spans="1:27" ht="12.75" customHeight="1">
      <c r="A704" s="425"/>
      <c r="B704" s="368" t="str">
        <f t="shared" si="245"/>
        <v/>
      </c>
      <c r="C704" s="425"/>
      <c r="D704" s="423"/>
      <c r="E704" s="422" t="str">
        <f t="shared" ca="1" si="239"/>
        <v/>
      </c>
      <c r="F704" s="426" t="str">
        <f t="shared" ca="1" si="248"/>
        <v/>
      </c>
      <c r="G704" s="415"/>
      <c r="H704" s="415"/>
      <c r="I704" s="415" t="str">
        <f t="shared" si="246"/>
        <v/>
      </c>
      <c r="J704" s="415" t="str">
        <f t="shared" si="244"/>
        <v/>
      </c>
      <c r="K704" s="415" t="str">
        <f t="shared" si="247"/>
        <v/>
      </c>
      <c r="L704" s="415"/>
      <c r="M704" s="415"/>
      <c r="N704" s="422" t="str">
        <f t="shared" si="243"/>
        <v/>
      </c>
      <c r="O704" s="422" t="str">
        <f t="shared" si="249"/>
        <v/>
      </c>
      <c r="P704" s="422" t="str">
        <f t="shared" si="250"/>
        <v/>
      </c>
      <c r="Q704" s="422" t="str">
        <f t="shared" si="251"/>
        <v/>
      </c>
      <c r="R704" s="422" t="str">
        <f t="shared" si="252"/>
        <v/>
      </c>
      <c r="S704" s="583">
        <f t="shared" si="242"/>
        <v>0</v>
      </c>
      <c r="T704" s="377" t="str">
        <f>+IFERROR(VLOOKUP(S704,STAT1!$C$4:$D$189,2,FALSE),"")</f>
        <v/>
      </c>
      <c r="U704" s="424"/>
      <c r="V704" s="424"/>
      <c r="W704" s="822"/>
      <c r="X704" s="436" t="str">
        <f>IFERROR(VLOOKUP(W704,DATA!$G$4:$H$400,2,FALSE),"")</f>
        <v/>
      </c>
      <c r="Y704" s="328"/>
      <c r="Z704" s="328"/>
      <c r="AA704" s="328"/>
    </row>
    <row r="705" spans="1:27" ht="12.75" customHeight="1">
      <c r="A705" s="425"/>
      <c r="B705" s="368" t="str">
        <f t="shared" si="245"/>
        <v/>
      </c>
      <c r="C705" s="425"/>
      <c r="D705" s="423"/>
      <c r="E705" s="422" t="str">
        <f t="shared" ca="1" si="239"/>
        <v/>
      </c>
      <c r="F705" s="426" t="str">
        <f t="shared" ca="1" si="248"/>
        <v/>
      </c>
      <c r="G705" s="415"/>
      <c r="H705" s="415"/>
      <c r="I705" s="415" t="str">
        <f t="shared" si="246"/>
        <v/>
      </c>
      <c r="J705" s="415" t="str">
        <f t="shared" si="244"/>
        <v/>
      </c>
      <c r="K705" s="415" t="str">
        <f t="shared" si="247"/>
        <v/>
      </c>
      <c r="L705" s="415"/>
      <c r="M705" s="415"/>
      <c r="N705" s="422" t="str">
        <f t="shared" si="243"/>
        <v/>
      </c>
      <c r="O705" s="422" t="str">
        <f t="shared" si="249"/>
        <v/>
      </c>
      <c r="P705" s="422" t="str">
        <f t="shared" si="250"/>
        <v/>
      </c>
      <c r="Q705" s="422" t="str">
        <f t="shared" si="251"/>
        <v/>
      </c>
      <c r="R705" s="422" t="str">
        <f t="shared" si="252"/>
        <v/>
      </c>
      <c r="S705" s="583">
        <f t="shared" si="242"/>
        <v>0</v>
      </c>
      <c r="T705" s="377" t="str">
        <f>+IFERROR(VLOOKUP(S705,STAT1!$C$4:$D$189,2,FALSE),"")</f>
        <v/>
      </c>
      <c r="U705" s="424"/>
      <c r="V705" s="424"/>
      <c r="W705" s="822"/>
      <c r="X705" s="436" t="str">
        <f>IFERROR(VLOOKUP(W705,DATA!$G$4:$H$400,2,FALSE),"")</f>
        <v/>
      </c>
      <c r="Y705" s="328"/>
      <c r="Z705" s="328"/>
      <c r="AA705" s="328"/>
    </row>
    <row r="706" spans="1:27" ht="12.75" customHeight="1">
      <c r="A706" s="425"/>
      <c r="B706" s="368" t="str">
        <f t="shared" si="245"/>
        <v/>
      </c>
      <c r="C706" s="425"/>
      <c r="D706" s="423"/>
      <c r="E706" s="422" t="str">
        <f t="shared" ca="1" si="239"/>
        <v/>
      </c>
      <c r="F706" s="426" t="str">
        <f t="shared" ca="1" si="248"/>
        <v/>
      </c>
      <c r="G706" s="415"/>
      <c r="H706" s="415"/>
      <c r="I706" s="415" t="str">
        <f t="shared" si="246"/>
        <v/>
      </c>
      <c r="J706" s="415" t="str">
        <f t="shared" si="244"/>
        <v/>
      </c>
      <c r="K706" s="415" t="str">
        <f t="shared" si="247"/>
        <v/>
      </c>
      <c r="L706" s="415"/>
      <c r="M706" s="415"/>
      <c r="N706" s="422" t="str">
        <f t="shared" si="243"/>
        <v/>
      </c>
      <c r="O706" s="422" t="str">
        <f t="shared" si="249"/>
        <v/>
      </c>
      <c r="P706" s="422" t="str">
        <f t="shared" si="250"/>
        <v/>
      </c>
      <c r="Q706" s="422" t="str">
        <f t="shared" si="251"/>
        <v/>
      </c>
      <c r="R706" s="422" t="str">
        <f t="shared" si="252"/>
        <v/>
      </c>
      <c r="S706" s="583">
        <f t="shared" si="242"/>
        <v>0</v>
      </c>
      <c r="T706" s="377" t="str">
        <f>+IFERROR(VLOOKUP(S706,STAT1!$C$4:$D$189,2,FALSE),"")</f>
        <v/>
      </c>
      <c r="U706" s="424"/>
      <c r="V706" s="424"/>
      <c r="W706" s="822"/>
      <c r="X706" s="436" t="str">
        <f>IFERROR(VLOOKUP(W706,DATA!$G$4:$H$400,2,FALSE),"")</f>
        <v/>
      </c>
      <c r="Y706" s="328"/>
      <c r="Z706" s="328"/>
      <c r="AA706" s="328"/>
    </row>
    <row r="707" spans="1:27" ht="12.75" customHeight="1">
      <c r="A707" s="425"/>
      <c r="B707" s="368" t="str">
        <f t="shared" si="245"/>
        <v/>
      </c>
      <c r="C707" s="425"/>
      <c r="D707" s="423"/>
      <c r="E707" s="422" t="str">
        <f t="shared" ca="1" si="239"/>
        <v/>
      </c>
      <c r="F707" s="426" t="str">
        <f t="shared" ca="1" si="248"/>
        <v/>
      </c>
      <c r="G707" s="415"/>
      <c r="H707" s="415"/>
      <c r="I707" s="415" t="str">
        <f t="shared" si="246"/>
        <v/>
      </c>
      <c r="J707" s="415" t="str">
        <f t="shared" si="244"/>
        <v/>
      </c>
      <c r="K707" s="415" t="str">
        <f t="shared" si="247"/>
        <v/>
      </c>
      <c r="L707" s="415"/>
      <c r="M707" s="415"/>
      <c r="N707" s="422" t="str">
        <f t="shared" si="243"/>
        <v/>
      </c>
      <c r="O707" s="422" t="str">
        <f t="shared" si="249"/>
        <v/>
      </c>
      <c r="P707" s="422" t="str">
        <f t="shared" si="250"/>
        <v/>
      </c>
      <c r="Q707" s="422" t="str">
        <f t="shared" si="251"/>
        <v/>
      </c>
      <c r="R707" s="422" t="str">
        <f t="shared" si="252"/>
        <v/>
      </c>
      <c r="S707" s="583">
        <f t="shared" si="242"/>
        <v>0</v>
      </c>
      <c r="T707" s="377" t="str">
        <f>+IFERROR(VLOOKUP(S707,STAT1!$C$4:$D$189,2,FALSE),"")</f>
        <v/>
      </c>
      <c r="U707" s="424"/>
      <c r="V707" s="424"/>
      <c r="W707" s="822"/>
      <c r="X707" s="436" t="str">
        <f>IFERROR(VLOOKUP(W707,DATA!$G$4:$H$400,2,FALSE),"")</f>
        <v/>
      </c>
      <c r="Y707" s="328"/>
      <c r="Z707" s="328"/>
      <c r="AA707" s="328"/>
    </row>
    <row r="708" spans="1:27" ht="12.75" customHeight="1">
      <c r="A708" s="425"/>
      <c r="B708" s="368" t="str">
        <f t="shared" si="245"/>
        <v/>
      </c>
      <c r="C708" s="425"/>
      <c r="D708" s="423"/>
      <c r="E708" s="422" t="str">
        <f t="shared" ca="1" si="239"/>
        <v/>
      </c>
      <c r="F708" s="426" t="str">
        <f t="shared" ca="1" si="248"/>
        <v/>
      </c>
      <c r="G708" s="415"/>
      <c r="H708" s="415"/>
      <c r="I708" s="415" t="str">
        <f t="shared" si="246"/>
        <v/>
      </c>
      <c r="J708" s="415" t="str">
        <f t="shared" si="244"/>
        <v/>
      </c>
      <c r="K708" s="415" t="str">
        <f t="shared" si="247"/>
        <v/>
      </c>
      <c r="L708" s="415"/>
      <c r="M708" s="415"/>
      <c r="N708" s="422" t="str">
        <f t="shared" si="243"/>
        <v/>
      </c>
      <c r="O708" s="422" t="str">
        <f t="shared" si="249"/>
        <v/>
      </c>
      <c r="P708" s="422" t="str">
        <f t="shared" si="250"/>
        <v/>
      </c>
      <c r="Q708" s="422" t="str">
        <f t="shared" si="251"/>
        <v/>
      </c>
      <c r="R708" s="422" t="str">
        <f t="shared" si="252"/>
        <v/>
      </c>
      <c r="S708" s="583">
        <f t="shared" si="242"/>
        <v>0</v>
      </c>
      <c r="T708" s="377" t="str">
        <f>+IFERROR(VLOOKUP(S708,STAT1!$C$4:$D$189,2,FALSE),"")</f>
        <v/>
      </c>
      <c r="U708" s="424"/>
      <c r="V708" s="424"/>
      <c r="W708" s="822"/>
      <c r="X708" s="436" t="str">
        <f>IFERROR(VLOOKUP(W708,DATA!$G$4:$H$400,2,FALSE),"")</f>
        <v/>
      </c>
      <c r="Y708" s="328"/>
      <c r="Z708" s="328"/>
      <c r="AA708" s="328"/>
    </row>
    <row r="709" spans="1:27" ht="12.75" customHeight="1">
      <c r="A709" s="425"/>
      <c r="B709" s="368" t="str">
        <f t="shared" si="245"/>
        <v/>
      </c>
      <c r="C709" s="425"/>
      <c r="D709" s="423"/>
      <c r="E709" s="422" t="str">
        <f t="shared" ca="1" si="239"/>
        <v/>
      </c>
      <c r="F709" s="426" t="str">
        <f t="shared" ca="1" si="248"/>
        <v/>
      </c>
      <c r="G709" s="415"/>
      <c r="H709" s="415"/>
      <c r="I709" s="415" t="str">
        <f t="shared" si="246"/>
        <v/>
      </c>
      <c r="J709" s="415" t="str">
        <f t="shared" si="244"/>
        <v/>
      </c>
      <c r="K709" s="415" t="str">
        <f t="shared" si="247"/>
        <v/>
      </c>
      <c r="L709" s="415"/>
      <c r="M709" s="415"/>
      <c r="N709" s="422" t="str">
        <f t="shared" si="243"/>
        <v/>
      </c>
      <c r="O709" s="422" t="str">
        <f t="shared" si="249"/>
        <v/>
      </c>
      <c r="P709" s="422" t="str">
        <f t="shared" si="250"/>
        <v/>
      </c>
      <c r="Q709" s="422" t="str">
        <f t="shared" si="251"/>
        <v/>
      </c>
      <c r="R709" s="422" t="str">
        <f t="shared" si="252"/>
        <v/>
      </c>
      <c r="S709" s="583">
        <f t="shared" si="242"/>
        <v>0</v>
      </c>
      <c r="T709" s="377" t="str">
        <f>+IFERROR(VLOOKUP(S709,STAT1!$C$4:$D$189,2,FALSE),"")</f>
        <v/>
      </c>
      <c r="U709" s="424"/>
      <c r="V709" s="424"/>
      <c r="W709" s="822"/>
      <c r="X709" s="436" t="str">
        <f>IFERROR(VLOOKUP(W709,DATA!$G$4:$H$400,2,FALSE),"")</f>
        <v/>
      </c>
      <c r="Y709" s="328"/>
      <c r="Z709" s="328"/>
      <c r="AA709" s="328"/>
    </row>
    <row r="710" spans="1:27" ht="12.75" customHeight="1">
      <c r="A710" s="425"/>
      <c r="B710" s="368" t="str">
        <f t="shared" si="245"/>
        <v/>
      </c>
      <c r="C710" s="425"/>
      <c r="D710" s="423"/>
      <c r="E710" s="422" t="str">
        <f t="shared" ca="1" si="239"/>
        <v/>
      </c>
      <c r="F710" s="426" t="str">
        <f t="shared" ca="1" si="248"/>
        <v/>
      </c>
      <c r="G710" s="415"/>
      <c r="H710" s="415"/>
      <c r="I710" s="415" t="str">
        <f t="shared" si="246"/>
        <v/>
      </c>
      <c r="J710" s="415" t="str">
        <f t="shared" si="244"/>
        <v/>
      </c>
      <c r="K710" s="415" t="str">
        <f t="shared" si="247"/>
        <v/>
      </c>
      <c r="L710" s="415"/>
      <c r="M710" s="415"/>
      <c r="N710" s="422" t="str">
        <f t="shared" si="243"/>
        <v/>
      </c>
      <c r="O710" s="422" t="str">
        <f t="shared" si="249"/>
        <v/>
      </c>
      <c r="P710" s="422" t="str">
        <f t="shared" si="250"/>
        <v/>
      </c>
      <c r="Q710" s="422" t="str">
        <f t="shared" si="251"/>
        <v/>
      </c>
      <c r="R710" s="422" t="str">
        <f t="shared" si="252"/>
        <v/>
      </c>
      <c r="S710" s="583">
        <f t="shared" si="242"/>
        <v>0</v>
      </c>
      <c r="T710" s="377" t="str">
        <f>+IFERROR(VLOOKUP(S710,STAT1!$C$4:$D$189,2,FALSE),"")</f>
        <v/>
      </c>
      <c r="U710" s="424"/>
      <c r="V710" s="424"/>
      <c r="W710" s="822"/>
      <c r="X710" s="436" t="str">
        <f>IFERROR(VLOOKUP(W710,DATA!$G$4:$H$400,2,FALSE),"")</f>
        <v/>
      </c>
      <c r="Y710" s="328"/>
      <c r="Z710" s="328"/>
      <c r="AA710" s="328"/>
    </row>
    <row r="711" spans="1:27" ht="12.75" customHeight="1">
      <c r="A711" s="425"/>
      <c r="B711" s="368" t="str">
        <f t="shared" si="245"/>
        <v/>
      </c>
      <c r="C711" s="425"/>
      <c r="D711" s="423"/>
      <c r="E711" s="422" t="str">
        <f t="shared" ca="1" si="239"/>
        <v/>
      </c>
      <c r="F711" s="426" t="str">
        <f t="shared" ca="1" si="248"/>
        <v/>
      </c>
      <c r="G711" s="415"/>
      <c r="H711" s="415"/>
      <c r="I711" s="415" t="str">
        <f t="shared" si="246"/>
        <v/>
      </c>
      <c r="J711" s="415" t="str">
        <f t="shared" si="244"/>
        <v/>
      </c>
      <c r="K711" s="415" t="str">
        <f t="shared" si="247"/>
        <v/>
      </c>
      <c r="L711" s="415"/>
      <c r="M711" s="415"/>
      <c r="N711" s="422" t="str">
        <f t="shared" si="243"/>
        <v/>
      </c>
      <c r="O711" s="422" t="str">
        <f t="shared" si="249"/>
        <v/>
      </c>
      <c r="P711" s="422" t="str">
        <f t="shared" si="250"/>
        <v/>
      </c>
      <c r="Q711" s="422" t="str">
        <f t="shared" si="251"/>
        <v/>
      </c>
      <c r="R711" s="422" t="str">
        <f t="shared" si="252"/>
        <v/>
      </c>
      <c r="S711" s="583">
        <f t="shared" si="242"/>
        <v>0</v>
      </c>
      <c r="T711" s="377" t="str">
        <f>+IFERROR(VLOOKUP(S711,STAT1!$C$4:$D$189,2,FALSE),"")</f>
        <v/>
      </c>
      <c r="U711" s="424"/>
      <c r="V711" s="424"/>
      <c r="W711" s="822"/>
      <c r="X711" s="436" t="str">
        <f>IFERROR(VLOOKUP(W711,DATA!$G$4:$H$400,2,FALSE),"")</f>
        <v/>
      </c>
      <c r="Y711" s="328"/>
      <c r="Z711" s="328"/>
      <c r="AA711" s="328"/>
    </row>
    <row r="712" spans="1:27" ht="12.75" customHeight="1">
      <c r="A712" s="425"/>
      <c r="B712" s="368" t="str">
        <f t="shared" si="245"/>
        <v/>
      </c>
      <c r="C712" s="425"/>
      <c r="D712" s="423"/>
      <c r="E712" s="422" t="str">
        <f t="shared" ca="1" si="239"/>
        <v/>
      </c>
      <c r="F712" s="426" t="str">
        <f t="shared" ca="1" si="248"/>
        <v/>
      </c>
      <c r="G712" s="415"/>
      <c r="H712" s="415"/>
      <c r="I712" s="415" t="str">
        <f t="shared" si="246"/>
        <v/>
      </c>
      <c r="J712" s="415" t="str">
        <f t="shared" si="244"/>
        <v/>
      </c>
      <c r="K712" s="415" t="str">
        <f t="shared" si="247"/>
        <v/>
      </c>
      <c r="L712" s="415"/>
      <c r="M712" s="415"/>
      <c r="N712" s="422" t="str">
        <f t="shared" si="243"/>
        <v/>
      </c>
      <c r="O712" s="422" t="str">
        <f t="shared" si="249"/>
        <v/>
      </c>
      <c r="P712" s="422" t="str">
        <f t="shared" si="250"/>
        <v/>
      </c>
      <c r="Q712" s="422" t="str">
        <f t="shared" si="251"/>
        <v/>
      </c>
      <c r="R712" s="422" t="str">
        <f t="shared" si="252"/>
        <v/>
      </c>
      <c r="S712" s="583">
        <f t="shared" si="242"/>
        <v>0</v>
      </c>
      <c r="T712" s="377" t="str">
        <f>+IFERROR(VLOOKUP(S712,STAT1!$C$4:$D$189,2,FALSE),"")</f>
        <v/>
      </c>
      <c r="U712" s="424"/>
      <c r="V712" s="424"/>
      <c r="W712" s="822"/>
      <c r="X712" s="436" t="str">
        <f>IFERROR(VLOOKUP(W712,DATA!$G$4:$H$400,2,FALSE),"")</f>
        <v/>
      </c>
      <c r="Y712" s="328"/>
      <c r="Z712" s="328"/>
      <c r="AA712" s="328"/>
    </row>
    <row r="713" spans="1:27" ht="12.75" customHeight="1">
      <c r="A713" s="425"/>
      <c r="B713" s="368" t="str">
        <f t="shared" si="245"/>
        <v/>
      </c>
      <c r="C713" s="425"/>
      <c r="D713" s="423"/>
      <c r="E713" s="422" t="str">
        <f t="shared" ref="E713:E776" ca="1" si="253">+IFERROR(VLOOKUP(D713,TN_table,2,FALSE),"")</f>
        <v/>
      </c>
      <c r="F713" s="426" t="str">
        <f t="shared" ca="1" si="248"/>
        <v/>
      </c>
      <c r="G713" s="415"/>
      <c r="H713" s="415"/>
      <c r="I713" s="415" t="str">
        <f t="shared" si="246"/>
        <v/>
      </c>
      <c r="J713" s="415" t="str">
        <f t="shared" si="244"/>
        <v/>
      </c>
      <c r="K713" s="415" t="str">
        <f t="shared" si="247"/>
        <v/>
      </c>
      <c r="L713" s="415"/>
      <c r="M713" s="415"/>
      <c r="N713" s="422" t="str">
        <f t="shared" si="243"/>
        <v/>
      </c>
      <c r="O713" s="422" t="str">
        <f t="shared" si="249"/>
        <v/>
      </c>
      <c r="P713" s="422" t="str">
        <f t="shared" si="250"/>
        <v/>
      </c>
      <c r="Q713" s="422" t="str">
        <f t="shared" si="251"/>
        <v/>
      </c>
      <c r="R713" s="422" t="str">
        <f t="shared" si="252"/>
        <v/>
      </c>
      <c r="S713" s="583">
        <f t="shared" si="242"/>
        <v>0</v>
      </c>
      <c r="T713" s="377" t="str">
        <f>+IFERROR(VLOOKUP(S713,STAT1!$C$4:$D$189,2,FALSE),"")</f>
        <v/>
      </c>
      <c r="U713" s="424"/>
      <c r="V713" s="424"/>
      <c r="W713" s="822"/>
      <c r="X713" s="436" t="str">
        <f>IFERROR(VLOOKUP(W713,DATA!$G$4:$H$400,2,FALSE),"")</f>
        <v/>
      </c>
      <c r="Y713" s="328"/>
      <c r="Z713" s="328"/>
      <c r="AA713" s="328"/>
    </row>
    <row r="714" spans="1:27" ht="12.75" customHeight="1">
      <c r="A714" s="425"/>
      <c r="B714" s="368" t="str">
        <f t="shared" si="245"/>
        <v/>
      </c>
      <c r="C714" s="425"/>
      <c r="D714" s="423"/>
      <c r="E714" s="422" t="str">
        <f t="shared" ca="1" si="253"/>
        <v/>
      </c>
      <c r="F714" s="426" t="str">
        <f t="shared" ca="1" si="248"/>
        <v/>
      </c>
      <c r="G714" s="415"/>
      <c r="H714" s="415"/>
      <c r="I714" s="415" t="str">
        <f t="shared" si="246"/>
        <v/>
      </c>
      <c r="J714" s="415" t="str">
        <f t="shared" si="244"/>
        <v/>
      </c>
      <c r="K714" s="415" t="str">
        <f t="shared" si="247"/>
        <v/>
      </c>
      <c r="L714" s="415"/>
      <c r="M714" s="415"/>
      <c r="N714" s="422" t="str">
        <f t="shared" si="243"/>
        <v/>
      </c>
      <c r="O714" s="422" t="str">
        <f t="shared" si="249"/>
        <v/>
      </c>
      <c r="P714" s="422" t="str">
        <f t="shared" si="250"/>
        <v/>
      </c>
      <c r="Q714" s="422" t="str">
        <f t="shared" si="251"/>
        <v/>
      </c>
      <c r="R714" s="422" t="str">
        <f t="shared" si="252"/>
        <v/>
      </c>
      <c r="S714" s="583">
        <f t="shared" si="242"/>
        <v>0</v>
      </c>
      <c r="T714" s="377" t="str">
        <f>+IFERROR(VLOOKUP(S714,STAT1!$C$4:$D$189,2,FALSE),"")</f>
        <v/>
      </c>
      <c r="U714" s="424"/>
      <c r="V714" s="424"/>
      <c r="W714" s="822"/>
      <c r="X714" s="436" t="str">
        <f>IFERROR(VLOOKUP(W714,DATA!$G$4:$H$400,2,FALSE),"")</f>
        <v/>
      </c>
      <c r="Y714" s="328"/>
      <c r="Z714" s="328"/>
      <c r="AA714" s="328"/>
    </row>
    <row r="715" spans="1:27" ht="12.75" customHeight="1">
      <c r="A715" s="425"/>
      <c r="B715" s="368" t="str">
        <f t="shared" si="245"/>
        <v/>
      </c>
      <c r="C715" s="425"/>
      <c r="D715" s="423"/>
      <c r="E715" s="422" t="str">
        <f t="shared" ca="1" si="253"/>
        <v/>
      </c>
      <c r="F715" s="426" t="str">
        <f t="shared" ca="1" si="248"/>
        <v/>
      </c>
      <c r="G715" s="415"/>
      <c r="H715" s="415"/>
      <c r="I715" s="415" t="str">
        <f t="shared" si="246"/>
        <v/>
      </c>
      <c r="J715" s="415" t="str">
        <f t="shared" si="244"/>
        <v/>
      </c>
      <c r="K715" s="415" t="str">
        <f t="shared" si="247"/>
        <v/>
      </c>
      <c r="L715" s="415"/>
      <c r="M715" s="415"/>
      <c r="N715" s="422" t="str">
        <f t="shared" si="243"/>
        <v/>
      </c>
      <c r="O715" s="422" t="str">
        <f t="shared" si="249"/>
        <v/>
      </c>
      <c r="P715" s="422" t="str">
        <f t="shared" si="250"/>
        <v/>
      </c>
      <c r="Q715" s="422" t="str">
        <f t="shared" si="251"/>
        <v/>
      </c>
      <c r="R715" s="422" t="str">
        <f t="shared" si="252"/>
        <v/>
      </c>
      <c r="S715" s="583">
        <f t="shared" si="242"/>
        <v>0</v>
      </c>
      <c r="T715" s="377" t="str">
        <f>+IFERROR(VLOOKUP(S715,STAT1!$C$4:$D$189,2,FALSE),"")</f>
        <v/>
      </c>
      <c r="U715" s="424"/>
      <c r="V715" s="424"/>
      <c r="W715" s="822"/>
      <c r="X715" s="436" t="str">
        <f>IFERROR(VLOOKUP(W715,DATA!$G$4:$H$400,2,FALSE),"")</f>
        <v/>
      </c>
      <c r="Y715" s="328"/>
      <c r="Z715" s="328"/>
      <c r="AA715" s="328"/>
    </row>
    <row r="716" spans="1:27" ht="12.75" customHeight="1">
      <c r="A716" s="425"/>
      <c r="B716" s="368" t="str">
        <f t="shared" si="245"/>
        <v/>
      </c>
      <c r="C716" s="425"/>
      <c r="D716" s="423"/>
      <c r="E716" s="422" t="str">
        <f t="shared" ca="1" si="253"/>
        <v/>
      </c>
      <c r="F716" s="426" t="str">
        <f t="shared" ca="1" si="248"/>
        <v/>
      </c>
      <c r="G716" s="415"/>
      <c r="H716" s="415"/>
      <c r="I716" s="415" t="str">
        <f t="shared" si="246"/>
        <v/>
      </c>
      <c r="J716" s="415" t="str">
        <f t="shared" si="244"/>
        <v/>
      </c>
      <c r="K716" s="415" t="str">
        <f t="shared" si="247"/>
        <v/>
      </c>
      <c r="L716" s="415"/>
      <c r="M716" s="415"/>
      <c r="N716" s="422" t="str">
        <f t="shared" si="243"/>
        <v/>
      </c>
      <c r="O716" s="422" t="str">
        <f t="shared" si="249"/>
        <v/>
      </c>
      <c r="P716" s="422" t="str">
        <f t="shared" si="250"/>
        <v/>
      </c>
      <c r="Q716" s="422" t="str">
        <f t="shared" si="251"/>
        <v/>
      </c>
      <c r="R716" s="422" t="str">
        <f t="shared" si="252"/>
        <v/>
      </c>
      <c r="S716" s="583">
        <f t="shared" si="242"/>
        <v>0</v>
      </c>
      <c r="T716" s="377" t="str">
        <f>+IFERROR(VLOOKUP(S716,STAT1!$C$4:$D$189,2,FALSE),"")</f>
        <v/>
      </c>
      <c r="U716" s="424"/>
      <c r="V716" s="424"/>
      <c r="W716" s="822"/>
      <c r="X716" s="436" t="str">
        <f>IFERROR(VLOOKUP(W716,DATA!$G$4:$H$400,2,FALSE),"")</f>
        <v/>
      </c>
      <c r="Y716" s="328"/>
      <c r="Z716" s="328"/>
      <c r="AA716" s="328"/>
    </row>
    <row r="717" spans="1:27" ht="12.75" customHeight="1">
      <c r="A717" s="425"/>
      <c r="B717" s="368" t="str">
        <f t="shared" si="245"/>
        <v/>
      </c>
      <c r="C717" s="425"/>
      <c r="D717" s="423"/>
      <c r="E717" s="422" t="str">
        <f t="shared" ca="1" si="253"/>
        <v/>
      </c>
      <c r="F717" s="426" t="str">
        <f t="shared" ca="1" si="248"/>
        <v/>
      </c>
      <c r="G717" s="415"/>
      <c r="H717" s="415"/>
      <c r="I717" s="415" t="str">
        <f t="shared" si="246"/>
        <v/>
      </c>
      <c r="J717" s="415" t="str">
        <f t="shared" si="244"/>
        <v/>
      </c>
      <c r="K717" s="415" t="str">
        <f t="shared" si="247"/>
        <v/>
      </c>
      <c r="L717" s="415"/>
      <c r="M717" s="415"/>
      <c r="N717" s="422" t="str">
        <f t="shared" si="243"/>
        <v/>
      </c>
      <c r="O717" s="422" t="str">
        <f t="shared" si="249"/>
        <v/>
      </c>
      <c r="P717" s="422" t="str">
        <f t="shared" si="250"/>
        <v/>
      </c>
      <c r="Q717" s="422" t="str">
        <f t="shared" si="251"/>
        <v/>
      </c>
      <c r="R717" s="422" t="str">
        <f t="shared" si="252"/>
        <v/>
      </c>
      <c r="S717" s="583">
        <f t="shared" si="242"/>
        <v>0</v>
      </c>
      <c r="T717" s="377" t="str">
        <f>+IFERROR(VLOOKUP(S717,STAT1!$C$4:$D$189,2,FALSE),"")</f>
        <v/>
      </c>
      <c r="U717" s="424"/>
      <c r="V717" s="424"/>
      <c r="W717" s="822"/>
      <c r="X717" s="436" t="str">
        <f>IFERROR(VLOOKUP(W717,DATA!$G$4:$H$400,2,FALSE),"")</f>
        <v/>
      </c>
      <c r="Y717" s="328"/>
      <c r="Z717" s="328"/>
      <c r="AA717" s="328"/>
    </row>
    <row r="718" spans="1:27" ht="12.75" customHeight="1">
      <c r="A718" s="425"/>
      <c r="B718" s="368" t="str">
        <f t="shared" si="245"/>
        <v/>
      </c>
      <c r="C718" s="425"/>
      <c r="D718" s="423"/>
      <c r="E718" s="422" t="str">
        <f t="shared" ca="1" si="253"/>
        <v/>
      </c>
      <c r="F718" s="426" t="str">
        <f t="shared" ca="1" si="248"/>
        <v/>
      </c>
      <c r="G718" s="415"/>
      <c r="H718" s="415"/>
      <c r="I718" s="415" t="str">
        <f t="shared" si="246"/>
        <v/>
      </c>
      <c r="J718" s="415" t="str">
        <f t="shared" si="244"/>
        <v/>
      </c>
      <c r="K718" s="415" t="str">
        <f t="shared" si="247"/>
        <v/>
      </c>
      <c r="L718" s="415"/>
      <c r="M718" s="415"/>
      <c r="N718" s="422" t="str">
        <f t="shared" si="243"/>
        <v/>
      </c>
      <c r="O718" s="422" t="str">
        <f t="shared" si="249"/>
        <v/>
      </c>
      <c r="P718" s="422" t="str">
        <f t="shared" si="250"/>
        <v/>
      </c>
      <c r="Q718" s="422" t="str">
        <f t="shared" si="251"/>
        <v/>
      </c>
      <c r="R718" s="422" t="str">
        <f t="shared" si="252"/>
        <v/>
      </c>
      <c r="S718" s="583">
        <f t="shared" si="242"/>
        <v>0</v>
      </c>
      <c r="T718" s="377" t="str">
        <f>+IFERROR(VLOOKUP(S718,STAT1!$C$4:$D$189,2,FALSE),"")</f>
        <v/>
      </c>
      <c r="U718" s="424"/>
      <c r="V718" s="424"/>
      <c r="W718" s="822"/>
      <c r="X718" s="436" t="str">
        <f>IFERROR(VLOOKUP(W718,DATA!$G$4:$H$400,2,FALSE),"")</f>
        <v/>
      </c>
      <c r="Y718" s="328"/>
      <c r="Z718" s="328"/>
      <c r="AA718" s="328"/>
    </row>
    <row r="719" spans="1:27" ht="12.75" customHeight="1">
      <c r="A719" s="425"/>
      <c r="B719" s="368" t="str">
        <f t="shared" si="245"/>
        <v/>
      </c>
      <c r="C719" s="425"/>
      <c r="D719" s="423"/>
      <c r="E719" s="422" t="str">
        <f t="shared" ca="1" si="253"/>
        <v/>
      </c>
      <c r="F719" s="426" t="str">
        <f t="shared" ca="1" si="248"/>
        <v/>
      </c>
      <c r="G719" s="415"/>
      <c r="H719" s="415"/>
      <c r="I719" s="415" t="str">
        <f t="shared" si="246"/>
        <v/>
      </c>
      <c r="J719" s="415" t="str">
        <f t="shared" si="244"/>
        <v/>
      </c>
      <c r="K719" s="415" t="str">
        <f t="shared" si="247"/>
        <v/>
      </c>
      <c r="L719" s="415"/>
      <c r="M719" s="415"/>
      <c r="N719" s="422" t="str">
        <f t="shared" si="243"/>
        <v/>
      </c>
      <c r="O719" s="422" t="str">
        <f t="shared" si="249"/>
        <v/>
      </c>
      <c r="P719" s="422" t="str">
        <f t="shared" si="250"/>
        <v/>
      </c>
      <c r="Q719" s="422" t="str">
        <f t="shared" si="251"/>
        <v/>
      </c>
      <c r="R719" s="422" t="str">
        <f t="shared" si="252"/>
        <v/>
      </c>
      <c r="S719" s="583">
        <f t="shared" si="242"/>
        <v>0</v>
      </c>
      <c r="T719" s="377" t="str">
        <f>+IFERROR(VLOOKUP(S719,STAT1!$C$4:$D$189,2,FALSE),"")</f>
        <v/>
      </c>
      <c r="U719" s="424"/>
      <c r="V719" s="424"/>
      <c r="W719" s="822"/>
      <c r="X719" s="436" t="str">
        <f>IFERROR(VLOOKUP(W719,DATA!$G$4:$H$400,2,FALSE),"")</f>
        <v/>
      </c>
      <c r="Y719" s="328"/>
      <c r="Z719" s="328"/>
      <c r="AA719" s="328"/>
    </row>
    <row r="720" spans="1:27" ht="12.75" customHeight="1">
      <c r="A720" s="425"/>
      <c r="B720" s="368" t="str">
        <f t="shared" si="245"/>
        <v/>
      </c>
      <c r="C720" s="425"/>
      <c r="D720" s="423"/>
      <c r="E720" s="422" t="str">
        <f t="shared" ca="1" si="253"/>
        <v/>
      </c>
      <c r="F720" s="426" t="str">
        <f t="shared" ca="1" si="248"/>
        <v/>
      </c>
      <c r="G720" s="415"/>
      <c r="H720" s="415"/>
      <c r="I720" s="415" t="str">
        <f t="shared" si="246"/>
        <v/>
      </c>
      <c r="J720" s="415" t="str">
        <f t="shared" si="244"/>
        <v/>
      </c>
      <c r="K720" s="415" t="str">
        <f t="shared" si="247"/>
        <v/>
      </c>
      <c r="L720" s="415"/>
      <c r="M720" s="415"/>
      <c r="N720" s="422" t="str">
        <f t="shared" si="243"/>
        <v/>
      </c>
      <c r="O720" s="422" t="str">
        <f t="shared" si="249"/>
        <v/>
      </c>
      <c r="P720" s="422" t="str">
        <f t="shared" si="250"/>
        <v/>
      </c>
      <c r="Q720" s="422" t="str">
        <f t="shared" si="251"/>
        <v/>
      </c>
      <c r="R720" s="422" t="str">
        <f t="shared" si="252"/>
        <v/>
      </c>
      <c r="S720" s="583">
        <f t="shared" si="242"/>
        <v>0</v>
      </c>
      <c r="T720" s="377" t="str">
        <f>+IFERROR(VLOOKUP(S720,STAT1!$C$4:$D$189,2,FALSE),"")</f>
        <v/>
      </c>
      <c r="U720" s="424"/>
      <c r="V720" s="424"/>
      <c r="W720" s="822"/>
      <c r="X720" s="436" t="str">
        <f>IFERROR(VLOOKUP(W720,DATA!$G$4:$H$400,2,FALSE),"")</f>
        <v/>
      </c>
      <c r="Y720" s="328"/>
      <c r="Z720" s="328"/>
      <c r="AA720" s="328"/>
    </row>
    <row r="721" spans="1:27" ht="12.75" customHeight="1">
      <c r="A721" s="425"/>
      <c r="B721" s="368" t="str">
        <f t="shared" si="245"/>
        <v/>
      </c>
      <c r="C721" s="425"/>
      <c r="D721" s="423"/>
      <c r="E721" s="422" t="str">
        <f t="shared" ca="1" si="253"/>
        <v/>
      </c>
      <c r="F721" s="426" t="str">
        <f t="shared" ca="1" si="248"/>
        <v/>
      </c>
      <c r="G721" s="415"/>
      <c r="H721" s="415"/>
      <c r="I721" s="415" t="str">
        <f t="shared" si="246"/>
        <v/>
      </c>
      <c r="J721" s="415" t="str">
        <f t="shared" si="244"/>
        <v/>
      </c>
      <c r="K721" s="415" t="str">
        <f t="shared" si="247"/>
        <v/>
      </c>
      <c r="L721" s="415"/>
      <c r="M721" s="415"/>
      <c r="N721" s="422" t="str">
        <f t="shared" si="243"/>
        <v/>
      </c>
      <c r="O721" s="422" t="str">
        <f t="shared" si="249"/>
        <v/>
      </c>
      <c r="P721" s="422" t="str">
        <f t="shared" si="250"/>
        <v/>
      </c>
      <c r="Q721" s="422" t="str">
        <f t="shared" si="251"/>
        <v/>
      </c>
      <c r="R721" s="422" t="str">
        <f t="shared" si="252"/>
        <v/>
      </c>
      <c r="S721" s="583">
        <f t="shared" si="242"/>
        <v>0</v>
      </c>
      <c r="T721" s="377" t="str">
        <f>+IFERROR(VLOOKUP(S721,STAT1!$C$4:$D$189,2,FALSE),"")</f>
        <v/>
      </c>
      <c r="U721" s="424"/>
      <c r="V721" s="424"/>
      <c r="W721" s="822"/>
      <c r="X721" s="436" t="str">
        <f>IFERROR(VLOOKUP(W721,DATA!$G$4:$H$400,2,FALSE),"")</f>
        <v/>
      </c>
      <c r="Y721" s="328"/>
      <c r="Z721" s="328"/>
      <c r="AA721" s="328"/>
    </row>
    <row r="722" spans="1:27" ht="12.75" customHeight="1">
      <c r="A722" s="425"/>
      <c r="B722" s="368" t="str">
        <f t="shared" si="245"/>
        <v/>
      </c>
      <c r="C722" s="425"/>
      <c r="D722" s="423"/>
      <c r="E722" s="422" t="str">
        <f t="shared" ca="1" si="253"/>
        <v/>
      </c>
      <c r="F722" s="426" t="str">
        <f t="shared" ca="1" si="248"/>
        <v/>
      </c>
      <c r="G722" s="415"/>
      <c r="H722" s="415"/>
      <c r="I722" s="415" t="str">
        <f t="shared" si="246"/>
        <v/>
      </c>
      <c r="J722" s="415" t="str">
        <f t="shared" si="244"/>
        <v/>
      </c>
      <c r="K722" s="415" t="str">
        <f t="shared" si="247"/>
        <v/>
      </c>
      <c r="L722" s="415"/>
      <c r="M722" s="415"/>
      <c r="N722" s="422" t="str">
        <f t="shared" si="243"/>
        <v/>
      </c>
      <c r="O722" s="422" t="str">
        <f t="shared" si="249"/>
        <v/>
      </c>
      <c r="P722" s="422" t="str">
        <f t="shared" si="250"/>
        <v/>
      </c>
      <c r="Q722" s="422" t="str">
        <f t="shared" si="251"/>
        <v/>
      </c>
      <c r="R722" s="422" t="str">
        <f t="shared" si="252"/>
        <v/>
      </c>
      <c r="S722" s="583">
        <f t="shared" si="242"/>
        <v>0</v>
      </c>
      <c r="T722" s="377" t="str">
        <f>+IFERROR(VLOOKUP(S722,STAT1!$C$4:$D$189,2,FALSE),"")</f>
        <v/>
      </c>
      <c r="U722" s="424"/>
      <c r="V722" s="424"/>
      <c r="W722" s="822"/>
      <c r="X722" s="436" t="str">
        <f>IFERROR(VLOOKUP(W722,DATA!$G$4:$H$400,2,FALSE),"")</f>
        <v/>
      </c>
      <c r="Y722" s="328"/>
      <c r="Z722" s="328"/>
      <c r="AA722" s="328"/>
    </row>
    <row r="723" spans="1:27" ht="12.75" customHeight="1">
      <c r="A723" s="425"/>
      <c r="B723" s="368" t="str">
        <f t="shared" si="245"/>
        <v/>
      </c>
      <c r="C723" s="425"/>
      <c r="D723" s="423"/>
      <c r="E723" s="422" t="str">
        <f t="shared" ca="1" si="253"/>
        <v/>
      </c>
      <c r="F723" s="426" t="str">
        <f t="shared" ca="1" si="248"/>
        <v/>
      </c>
      <c r="G723" s="415"/>
      <c r="H723" s="415"/>
      <c r="I723" s="415" t="str">
        <f t="shared" si="246"/>
        <v/>
      </c>
      <c r="J723" s="415" t="str">
        <f t="shared" si="244"/>
        <v/>
      </c>
      <c r="K723" s="415" t="str">
        <f t="shared" si="247"/>
        <v/>
      </c>
      <c r="L723" s="415"/>
      <c r="M723" s="415"/>
      <c r="N723" s="422" t="str">
        <f t="shared" si="243"/>
        <v/>
      </c>
      <c r="O723" s="422" t="str">
        <f t="shared" si="249"/>
        <v/>
      </c>
      <c r="P723" s="422" t="str">
        <f t="shared" si="250"/>
        <v/>
      </c>
      <c r="Q723" s="422" t="str">
        <f t="shared" si="251"/>
        <v/>
      </c>
      <c r="R723" s="422" t="str">
        <f t="shared" si="252"/>
        <v/>
      </c>
      <c r="S723" s="583">
        <f t="shared" si="242"/>
        <v>0</v>
      </c>
      <c r="T723" s="377" t="str">
        <f>+IFERROR(VLOOKUP(S723,STAT1!$C$4:$D$189,2,FALSE),"")</f>
        <v/>
      </c>
      <c r="U723" s="424"/>
      <c r="V723" s="424"/>
      <c r="W723" s="822"/>
      <c r="X723" s="436" t="str">
        <f>IFERROR(VLOOKUP(W723,DATA!$G$4:$H$400,2,FALSE),"")</f>
        <v/>
      </c>
      <c r="Y723" s="328"/>
      <c r="Z723" s="328"/>
      <c r="AA723" s="328"/>
    </row>
    <row r="724" spans="1:27" ht="12.75" customHeight="1">
      <c r="A724" s="425"/>
      <c r="B724" s="368" t="str">
        <f t="shared" si="245"/>
        <v/>
      </c>
      <c r="C724" s="425"/>
      <c r="D724" s="423"/>
      <c r="E724" s="422" t="str">
        <f t="shared" ca="1" si="253"/>
        <v/>
      </c>
      <c r="F724" s="426" t="str">
        <f t="shared" ca="1" si="248"/>
        <v/>
      </c>
      <c r="G724" s="415"/>
      <c r="H724" s="415"/>
      <c r="I724" s="415" t="str">
        <f t="shared" si="246"/>
        <v/>
      </c>
      <c r="J724" s="415" t="str">
        <f t="shared" si="244"/>
        <v/>
      </c>
      <c r="K724" s="415" t="str">
        <f t="shared" si="247"/>
        <v/>
      </c>
      <c r="L724" s="415"/>
      <c r="M724" s="415"/>
      <c r="N724" s="422" t="str">
        <f t="shared" si="243"/>
        <v/>
      </c>
      <c r="O724" s="422" t="str">
        <f t="shared" si="249"/>
        <v/>
      </c>
      <c r="P724" s="422" t="str">
        <f t="shared" si="250"/>
        <v/>
      </c>
      <c r="Q724" s="422" t="str">
        <f t="shared" si="251"/>
        <v/>
      </c>
      <c r="R724" s="422" t="str">
        <f t="shared" si="252"/>
        <v/>
      </c>
      <c r="S724" s="583">
        <f t="shared" si="242"/>
        <v>0</v>
      </c>
      <c r="T724" s="377" t="str">
        <f>+IFERROR(VLOOKUP(S724,STAT1!$C$4:$D$189,2,FALSE),"")</f>
        <v/>
      </c>
      <c r="U724" s="424"/>
      <c r="V724" s="424"/>
      <c r="W724" s="822"/>
      <c r="X724" s="436" t="str">
        <f>IFERROR(VLOOKUP(W724,DATA!$G$4:$H$400,2,FALSE),"")</f>
        <v/>
      </c>
      <c r="Y724" s="328"/>
      <c r="Z724" s="328"/>
      <c r="AA724" s="328"/>
    </row>
    <row r="725" spans="1:27" ht="12.75" customHeight="1">
      <c r="A725" s="425"/>
      <c r="B725" s="368" t="str">
        <f t="shared" si="245"/>
        <v/>
      </c>
      <c r="C725" s="425"/>
      <c r="D725" s="423"/>
      <c r="E725" s="422" t="str">
        <f t="shared" ca="1" si="253"/>
        <v/>
      </c>
      <c r="F725" s="426" t="str">
        <f t="shared" ca="1" si="248"/>
        <v/>
      </c>
      <c r="G725" s="415"/>
      <c r="H725" s="415"/>
      <c r="I725" s="415" t="str">
        <f t="shared" si="246"/>
        <v/>
      </c>
      <c r="J725" s="415" t="str">
        <f t="shared" si="244"/>
        <v/>
      </c>
      <c r="K725" s="415" t="str">
        <f t="shared" si="247"/>
        <v/>
      </c>
      <c r="L725" s="415"/>
      <c r="M725" s="415"/>
      <c r="N725" s="422" t="str">
        <f t="shared" si="243"/>
        <v/>
      </c>
      <c r="O725" s="422" t="str">
        <f t="shared" si="249"/>
        <v/>
      </c>
      <c r="P725" s="422" t="str">
        <f t="shared" si="250"/>
        <v/>
      </c>
      <c r="Q725" s="422" t="str">
        <f t="shared" si="251"/>
        <v/>
      </c>
      <c r="R725" s="422" t="str">
        <f t="shared" si="252"/>
        <v/>
      </c>
      <c r="S725" s="583">
        <f t="shared" si="242"/>
        <v>0</v>
      </c>
      <c r="T725" s="377" t="str">
        <f>+IFERROR(VLOOKUP(S725,STAT1!$C$4:$D$189,2,FALSE),"")</f>
        <v/>
      </c>
      <c r="U725" s="424"/>
      <c r="V725" s="424"/>
      <c r="W725" s="822"/>
      <c r="X725" s="436" t="str">
        <f>IFERROR(VLOOKUP(W725,DATA!$G$4:$H$400,2,FALSE),"")</f>
        <v/>
      </c>
      <c r="Y725" s="328"/>
      <c r="Z725" s="328"/>
      <c r="AA725" s="328"/>
    </row>
    <row r="726" spans="1:27" ht="12.75" customHeight="1">
      <c r="A726" s="425"/>
      <c r="B726" s="368" t="str">
        <f t="shared" si="245"/>
        <v/>
      </c>
      <c r="C726" s="425"/>
      <c r="D726" s="423"/>
      <c r="E726" s="422" t="str">
        <f t="shared" ca="1" si="253"/>
        <v/>
      </c>
      <c r="F726" s="426" t="str">
        <f t="shared" ca="1" si="248"/>
        <v/>
      </c>
      <c r="G726" s="415"/>
      <c r="H726" s="415"/>
      <c r="I726" s="415" t="str">
        <f t="shared" si="246"/>
        <v/>
      </c>
      <c r="J726" s="415" t="str">
        <f t="shared" si="244"/>
        <v/>
      </c>
      <c r="K726" s="415" t="str">
        <f t="shared" si="247"/>
        <v/>
      </c>
      <c r="L726" s="415"/>
      <c r="M726" s="415"/>
      <c r="N726" s="422" t="str">
        <f t="shared" si="243"/>
        <v/>
      </c>
      <c r="O726" s="422" t="str">
        <f t="shared" si="249"/>
        <v/>
      </c>
      <c r="P726" s="422" t="str">
        <f t="shared" si="250"/>
        <v/>
      </c>
      <c r="Q726" s="422" t="str">
        <f t="shared" si="251"/>
        <v/>
      </c>
      <c r="R726" s="422" t="str">
        <f t="shared" si="252"/>
        <v/>
      </c>
      <c r="S726" s="583">
        <f t="shared" si="242"/>
        <v>0</v>
      </c>
      <c r="T726" s="377" t="str">
        <f>+IFERROR(VLOOKUP(S726,STAT1!$C$4:$D$189,2,FALSE),"")</f>
        <v/>
      </c>
      <c r="U726" s="424"/>
      <c r="V726" s="424"/>
      <c r="W726" s="822"/>
      <c r="X726" s="436" t="str">
        <f>IFERROR(VLOOKUP(W726,DATA!$G$4:$H$400,2,FALSE),"")</f>
        <v/>
      </c>
      <c r="Y726" s="328"/>
      <c r="Z726" s="328"/>
      <c r="AA726" s="328"/>
    </row>
    <row r="727" spans="1:27" ht="12.75" customHeight="1">
      <c r="A727" s="425"/>
      <c r="B727" s="368" t="str">
        <f t="shared" si="245"/>
        <v/>
      </c>
      <c r="C727" s="425"/>
      <c r="D727" s="423"/>
      <c r="E727" s="422" t="str">
        <f t="shared" ca="1" si="253"/>
        <v/>
      </c>
      <c r="F727" s="426" t="str">
        <f t="shared" ca="1" si="248"/>
        <v/>
      </c>
      <c r="G727" s="415"/>
      <c r="H727" s="415"/>
      <c r="I727" s="415" t="str">
        <f t="shared" si="246"/>
        <v/>
      </c>
      <c r="J727" s="415" t="str">
        <f t="shared" si="244"/>
        <v/>
      </c>
      <c r="K727" s="415" t="str">
        <f t="shared" si="247"/>
        <v/>
      </c>
      <c r="L727" s="415"/>
      <c r="M727" s="415"/>
      <c r="N727" s="422" t="str">
        <f t="shared" si="243"/>
        <v/>
      </c>
      <c r="O727" s="422" t="str">
        <f t="shared" si="249"/>
        <v/>
      </c>
      <c r="P727" s="422" t="str">
        <f t="shared" si="250"/>
        <v/>
      </c>
      <c r="Q727" s="422" t="str">
        <f t="shared" si="251"/>
        <v/>
      </c>
      <c r="R727" s="422" t="str">
        <f t="shared" si="252"/>
        <v/>
      </c>
      <c r="S727" s="583">
        <f t="shared" si="242"/>
        <v>0</v>
      </c>
      <c r="T727" s="377" t="str">
        <f>+IFERROR(VLOOKUP(S727,STAT1!$C$4:$D$189,2,FALSE),"")</f>
        <v/>
      </c>
      <c r="U727" s="424"/>
      <c r="V727" s="424"/>
      <c r="W727" s="822"/>
      <c r="X727" s="436" t="str">
        <f>IFERROR(VLOOKUP(W727,DATA!$G$4:$H$400,2,FALSE),"")</f>
        <v/>
      </c>
      <c r="Y727" s="328"/>
      <c r="Z727" s="328"/>
      <c r="AA727" s="328"/>
    </row>
    <row r="728" spans="1:27" ht="12.75" customHeight="1">
      <c r="A728" s="425"/>
      <c r="B728" s="368" t="str">
        <f t="shared" si="245"/>
        <v/>
      </c>
      <c r="C728" s="425"/>
      <c r="D728" s="423"/>
      <c r="E728" s="422" t="str">
        <f t="shared" ca="1" si="253"/>
        <v/>
      </c>
      <c r="F728" s="426" t="str">
        <f t="shared" ca="1" si="248"/>
        <v/>
      </c>
      <c r="G728" s="415"/>
      <c r="H728" s="415"/>
      <c r="I728" s="415" t="str">
        <f t="shared" si="246"/>
        <v/>
      </c>
      <c r="J728" s="415" t="str">
        <f t="shared" si="244"/>
        <v/>
      </c>
      <c r="K728" s="415" t="str">
        <f t="shared" si="247"/>
        <v/>
      </c>
      <c r="L728" s="415"/>
      <c r="M728" s="415"/>
      <c r="N728" s="422" t="str">
        <f t="shared" si="243"/>
        <v/>
      </c>
      <c r="O728" s="422" t="str">
        <f t="shared" si="249"/>
        <v/>
      </c>
      <c r="P728" s="422" t="str">
        <f t="shared" si="250"/>
        <v/>
      </c>
      <c r="Q728" s="422" t="str">
        <f t="shared" si="251"/>
        <v/>
      </c>
      <c r="R728" s="422" t="str">
        <f t="shared" si="252"/>
        <v/>
      </c>
      <c r="S728" s="583">
        <f t="shared" si="242"/>
        <v>0</v>
      </c>
      <c r="T728" s="377" t="str">
        <f>+IFERROR(VLOOKUP(S728,STAT1!$C$4:$D$189,2,FALSE),"")</f>
        <v/>
      </c>
      <c r="U728" s="424"/>
      <c r="V728" s="424"/>
      <c r="W728" s="822"/>
      <c r="X728" s="436" t="str">
        <f>IFERROR(VLOOKUP(W728,DATA!$G$4:$H$400,2,FALSE),"")</f>
        <v/>
      </c>
      <c r="Y728" s="328"/>
      <c r="Z728" s="328"/>
      <c r="AA728" s="328"/>
    </row>
    <row r="729" spans="1:27" ht="12.75" customHeight="1">
      <c r="A729" s="425"/>
      <c r="B729" s="368" t="str">
        <f t="shared" si="245"/>
        <v/>
      </c>
      <c r="C729" s="425"/>
      <c r="D729" s="423"/>
      <c r="E729" s="422" t="str">
        <f t="shared" ca="1" si="253"/>
        <v/>
      </c>
      <c r="F729" s="426" t="str">
        <f t="shared" ca="1" si="248"/>
        <v/>
      </c>
      <c r="G729" s="415"/>
      <c r="H729" s="415"/>
      <c r="I729" s="415" t="str">
        <f t="shared" si="246"/>
        <v/>
      </c>
      <c r="J729" s="415" t="str">
        <f t="shared" si="244"/>
        <v/>
      </c>
      <c r="K729" s="415" t="str">
        <f t="shared" si="247"/>
        <v/>
      </c>
      <c r="L729" s="415"/>
      <c r="M729" s="415"/>
      <c r="N729" s="422" t="str">
        <f t="shared" si="243"/>
        <v/>
      </c>
      <c r="O729" s="422" t="str">
        <f t="shared" si="249"/>
        <v/>
      </c>
      <c r="P729" s="422" t="str">
        <f t="shared" si="250"/>
        <v/>
      </c>
      <c r="Q729" s="422" t="str">
        <f t="shared" si="251"/>
        <v/>
      </c>
      <c r="R729" s="422" t="str">
        <f t="shared" si="252"/>
        <v/>
      </c>
      <c r="S729" s="583">
        <f t="shared" si="242"/>
        <v>0</v>
      </c>
      <c r="T729" s="377" t="str">
        <f>+IFERROR(VLOOKUP(S729,STAT1!$C$4:$D$189,2,FALSE),"")</f>
        <v/>
      </c>
      <c r="U729" s="424"/>
      <c r="V729" s="424"/>
      <c r="W729" s="822"/>
      <c r="X729" s="436" t="str">
        <f>IFERROR(VLOOKUP(W729,DATA!$G$4:$H$400,2,FALSE),"")</f>
        <v/>
      </c>
      <c r="Y729" s="328"/>
      <c r="Z729" s="328"/>
      <c r="AA729" s="328"/>
    </row>
    <row r="730" spans="1:27" ht="12.75" customHeight="1">
      <c r="A730" s="425"/>
      <c r="B730" s="368" t="str">
        <f t="shared" si="245"/>
        <v/>
      </c>
      <c r="C730" s="425"/>
      <c r="D730" s="423"/>
      <c r="E730" s="422" t="str">
        <f t="shared" ca="1" si="253"/>
        <v/>
      </c>
      <c r="F730" s="426" t="str">
        <f t="shared" ca="1" si="248"/>
        <v/>
      </c>
      <c r="G730" s="415"/>
      <c r="H730" s="415"/>
      <c r="I730" s="415" t="str">
        <f t="shared" si="246"/>
        <v/>
      </c>
      <c r="J730" s="415" t="str">
        <f t="shared" si="244"/>
        <v/>
      </c>
      <c r="K730" s="415" t="str">
        <f t="shared" si="247"/>
        <v/>
      </c>
      <c r="L730" s="415"/>
      <c r="M730" s="415"/>
      <c r="N730" s="422" t="str">
        <f t="shared" si="243"/>
        <v/>
      </c>
      <c r="O730" s="422" t="str">
        <f t="shared" si="249"/>
        <v/>
      </c>
      <c r="P730" s="422" t="str">
        <f t="shared" si="250"/>
        <v/>
      </c>
      <c r="Q730" s="422" t="str">
        <f t="shared" si="251"/>
        <v/>
      </c>
      <c r="R730" s="422" t="str">
        <f t="shared" si="252"/>
        <v/>
      </c>
      <c r="S730" s="583">
        <f t="shared" ref="S730:S793" si="254">+IF(LEFT(D730,3)="131",140100,0)+IF(LEFT(D730,3)="310",150100,0)+IF(LEFT(D730,3)="211",150101,0)+IF(LEFT(D730,3)="410",160100,0)+IF(LEFT(D730,3)="440",160200,0)+IF(LEFT(D730,3)="430",160200,0)+IF(LEFT(D730,3)="420",160200,0)+IF(LEFT(D730,3)="460",160201,0)+IF(LEFT(D730,3)="210",150101,0)+IF(LEFT(D730,3)="510",140100,0)</f>
        <v>0</v>
      </c>
      <c r="T730" s="377" t="str">
        <f>+IFERROR(VLOOKUP(S730,STAT1!$C$4:$D$189,2,FALSE),"")</f>
        <v/>
      </c>
      <c r="U730" s="424"/>
      <c r="V730" s="424"/>
      <c r="W730" s="822"/>
      <c r="X730" s="436" t="str">
        <f>IFERROR(VLOOKUP(W730,DATA!$G$4:$H$400,2,FALSE),"")</f>
        <v/>
      </c>
      <c r="Y730" s="328"/>
      <c r="Z730" s="328"/>
      <c r="AA730" s="328"/>
    </row>
    <row r="731" spans="1:27" ht="12.75" customHeight="1">
      <c r="A731" s="425"/>
      <c r="B731" s="368" t="str">
        <f t="shared" si="245"/>
        <v/>
      </c>
      <c r="C731" s="425"/>
      <c r="D731" s="423"/>
      <c r="E731" s="422" t="str">
        <f t="shared" ca="1" si="253"/>
        <v/>
      </c>
      <c r="F731" s="426" t="str">
        <f t="shared" ca="1" si="248"/>
        <v/>
      </c>
      <c r="G731" s="415"/>
      <c r="H731" s="415"/>
      <c r="I731" s="415" t="str">
        <f t="shared" si="246"/>
        <v/>
      </c>
      <c r="J731" s="415" t="str">
        <f t="shared" si="244"/>
        <v/>
      </c>
      <c r="K731" s="415" t="str">
        <f t="shared" si="247"/>
        <v/>
      </c>
      <c r="L731" s="415"/>
      <c r="M731" s="415"/>
      <c r="N731" s="422" t="str">
        <f t="shared" si="243"/>
        <v/>
      </c>
      <c r="O731" s="422" t="str">
        <f t="shared" si="249"/>
        <v/>
      </c>
      <c r="P731" s="422" t="str">
        <f t="shared" si="250"/>
        <v/>
      </c>
      <c r="Q731" s="422" t="str">
        <f t="shared" si="251"/>
        <v/>
      </c>
      <c r="R731" s="422" t="str">
        <f t="shared" si="252"/>
        <v/>
      </c>
      <c r="S731" s="583">
        <f t="shared" si="254"/>
        <v>0</v>
      </c>
      <c r="T731" s="377" t="str">
        <f>+IFERROR(VLOOKUP(S731,STAT1!$C$4:$D$189,2,FALSE),"")</f>
        <v/>
      </c>
      <c r="U731" s="424"/>
      <c r="V731" s="424"/>
      <c r="W731" s="822"/>
      <c r="X731" s="436" t="str">
        <f>IFERROR(VLOOKUP(W731,DATA!$G$4:$H$400,2,FALSE),"")</f>
        <v/>
      </c>
      <c r="Y731" s="328"/>
      <c r="Z731" s="328"/>
      <c r="AA731" s="328"/>
    </row>
    <row r="732" spans="1:27" ht="12.75" customHeight="1">
      <c r="A732" s="425"/>
      <c r="B732" s="368" t="str">
        <f t="shared" si="245"/>
        <v/>
      </c>
      <c r="C732" s="425"/>
      <c r="D732" s="423"/>
      <c r="E732" s="422" t="str">
        <f t="shared" ca="1" si="253"/>
        <v/>
      </c>
      <c r="F732" s="426" t="str">
        <f t="shared" ca="1" si="248"/>
        <v/>
      </c>
      <c r="G732" s="415"/>
      <c r="H732" s="415"/>
      <c r="I732" s="415" t="str">
        <f t="shared" si="246"/>
        <v/>
      </c>
      <c r="J732" s="415" t="str">
        <f t="shared" si="244"/>
        <v/>
      </c>
      <c r="K732" s="415" t="str">
        <f t="shared" si="247"/>
        <v/>
      </c>
      <c r="L732" s="415"/>
      <c r="M732" s="415"/>
      <c r="N732" s="422" t="str">
        <f t="shared" si="243"/>
        <v/>
      </c>
      <c r="O732" s="422" t="str">
        <f t="shared" si="249"/>
        <v/>
      </c>
      <c r="P732" s="422" t="str">
        <f t="shared" si="250"/>
        <v/>
      </c>
      <c r="Q732" s="422" t="str">
        <f t="shared" si="251"/>
        <v/>
      </c>
      <c r="R732" s="422" t="str">
        <f t="shared" si="252"/>
        <v/>
      </c>
      <c r="S732" s="583">
        <f t="shared" si="254"/>
        <v>0</v>
      </c>
      <c r="T732" s="377" t="str">
        <f>+IFERROR(VLOOKUP(S732,STAT1!$C$4:$D$189,2,FALSE),"")</f>
        <v/>
      </c>
      <c r="U732" s="424"/>
      <c r="V732" s="424"/>
      <c r="W732" s="822"/>
      <c r="X732" s="436" t="str">
        <f>IFERROR(VLOOKUP(W732,DATA!$G$4:$H$400,2,FALSE),"")</f>
        <v/>
      </c>
      <c r="Y732" s="328"/>
      <c r="Z732" s="328"/>
      <c r="AA732" s="328"/>
    </row>
    <row r="733" spans="1:27" ht="12.75" customHeight="1">
      <c r="A733" s="425"/>
      <c r="B733" s="368" t="str">
        <f t="shared" si="245"/>
        <v/>
      </c>
      <c r="C733" s="425"/>
      <c r="D733" s="423"/>
      <c r="E733" s="422" t="str">
        <f t="shared" ca="1" si="253"/>
        <v/>
      </c>
      <c r="F733" s="426" t="str">
        <f t="shared" ca="1" si="248"/>
        <v/>
      </c>
      <c r="G733" s="415"/>
      <c r="H733" s="415"/>
      <c r="I733" s="415" t="str">
        <f t="shared" si="246"/>
        <v/>
      </c>
      <c r="J733" s="415" t="str">
        <f t="shared" si="244"/>
        <v/>
      </c>
      <c r="K733" s="415" t="str">
        <f t="shared" si="247"/>
        <v/>
      </c>
      <c r="L733" s="415"/>
      <c r="M733" s="415"/>
      <c r="N733" s="422" t="str">
        <f t="shared" si="243"/>
        <v/>
      </c>
      <c r="O733" s="422" t="str">
        <f t="shared" si="249"/>
        <v/>
      </c>
      <c r="P733" s="422" t="str">
        <f t="shared" si="250"/>
        <v/>
      </c>
      <c r="Q733" s="422" t="str">
        <f t="shared" si="251"/>
        <v/>
      </c>
      <c r="R733" s="422" t="str">
        <f t="shared" si="252"/>
        <v/>
      </c>
      <c r="S733" s="583">
        <f t="shared" si="254"/>
        <v>0</v>
      </c>
      <c r="T733" s="377" t="str">
        <f>+IFERROR(VLOOKUP(S733,STAT1!$C$4:$D$189,2,FALSE),"")</f>
        <v/>
      </c>
      <c r="U733" s="424"/>
      <c r="V733" s="424"/>
      <c r="W733" s="822"/>
      <c r="X733" s="436" t="str">
        <f>IFERROR(VLOOKUP(W733,DATA!$G$4:$H$400,2,FALSE),"")</f>
        <v/>
      </c>
      <c r="Y733" s="328"/>
      <c r="Z733" s="328"/>
      <c r="AA733" s="328"/>
    </row>
    <row r="734" spans="1:27" ht="12.75" customHeight="1">
      <c r="A734" s="425"/>
      <c r="B734" s="368" t="str">
        <f t="shared" si="245"/>
        <v/>
      </c>
      <c r="C734" s="425"/>
      <c r="D734" s="423"/>
      <c r="E734" s="422" t="str">
        <f t="shared" ca="1" si="253"/>
        <v/>
      </c>
      <c r="F734" s="426" t="str">
        <f t="shared" ca="1" si="248"/>
        <v/>
      </c>
      <c r="G734" s="415"/>
      <c r="H734" s="415"/>
      <c r="I734" s="415" t="str">
        <f t="shared" si="246"/>
        <v/>
      </c>
      <c r="J734" s="415" t="str">
        <f t="shared" si="244"/>
        <v/>
      </c>
      <c r="K734" s="415" t="str">
        <f t="shared" si="247"/>
        <v/>
      </c>
      <c r="L734" s="415"/>
      <c r="M734" s="415"/>
      <c r="N734" s="422" t="str">
        <f t="shared" si="243"/>
        <v/>
      </c>
      <c r="O734" s="422" t="str">
        <f t="shared" si="249"/>
        <v/>
      </c>
      <c r="P734" s="422" t="str">
        <f t="shared" si="250"/>
        <v/>
      </c>
      <c r="Q734" s="422" t="str">
        <f t="shared" si="251"/>
        <v/>
      </c>
      <c r="R734" s="422" t="str">
        <f t="shared" si="252"/>
        <v/>
      </c>
      <c r="S734" s="583">
        <f t="shared" si="254"/>
        <v>0</v>
      </c>
      <c r="T734" s="377" t="str">
        <f>+IFERROR(VLOOKUP(S734,STAT1!$C$4:$D$189,2,FALSE),"")</f>
        <v/>
      </c>
      <c r="U734" s="424"/>
      <c r="V734" s="424"/>
      <c r="W734" s="822"/>
      <c r="X734" s="436" t="str">
        <f>IFERROR(VLOOKUP(W734,DATA!$G$4:$H$400,2,FALSE),"")</f>
        <v/>
      </c>
      <c r="Y734" s="328"/>
      <c r="Z734" s="328"/>
      <c r="AA734" s="328"/>
    </row>
    <row r="735" spans="1:27" ht="12.75" customHeight="1">
      <c r="A735" s="425"/>
      <c r="B735" s="368" t="str">
        <f t="shared" si="245"/>
        <v/>
      </c>
      <c r="C735" s="425"/>
      <c r="D735" s="423"/>
      <c r="E735" s="422" t="str">
        <f t="shared" ca="1" si="253"/>
        <v/>
      </c>
      <c r="F735" s="426" t="str">
        <f t="shared" ca="1" si="248"/>
        <v/>
      </c>
      <c r="G735" s="415"/>
      <c r="H735" s="415"/>
      <c r="I735" s="415" t="str">
        <f t="shared" si="246"/>
        <v/>
      </c>
      <c r="J735" s="415" t="str">
        <f t="shared" si="244"/>
        <v/>
      </c>
      <c r="K735" s="415" t="str">
        <f t="shared" si="247"/>
        <v/>
      </c>
      <c r="L735" s="415"/>
      <c r="M735" s="415"/>
      <c r="N735" s="422" t="str">
        <f t="shared" si="243"/>
        <v/>
      </c>
      <c r="O735" s="422" t="str">
        <f t="shared" si="249"/>
        <v/>
      </c>
      <c r="P735" s="422" t="str">
        <f t="shared" si="250"/>
        <v/>
      </c>
      <c r="Q735" s="422" t="str">
        <f t="shared" si="251"/>
        <v/>
      </c>
      <c r="R735" s="422" t="str">
        <f t="shared" si="252"/>
        <v/>
      </c>
      <c r="S735" s="583">
        <f t="shared" si="254"/>
        <v>0</v>
      </c>
      <c r="T735" s="377" t="str">
        <f>+IFERROR(VLOOKUP(S735,STAT1!$C$4:$D$189,2,FALSE),"")</f>
        <v/>
      </c>
      <c r="U735" s="424"/>
      <c r="V735" s="424"/>
      <c r="W735" s="822"/>
      <c r="X735" s="436" t="str">
        <f>IFERROR(VLOOKUP(W735,DATA!$G$4:$H$400,2,FALSE),"")</f>
        <v/>
      </c>
      <c r="Y735" s="328"/>
      <c r="Z735" s="328"/>
      <c r="AA735" s="328"/>
    </row>
    <row r="736" spans="1:27" ht="12.75" customHeight="1">
      <c r="A736" s="425"/>
      <c r="B736" s="368" t="str">
        <f t="shared" si="245"/>
        <v/>
      </c>
      <c r="C736" s="425"/>
      <c r="D736" s="423"/>
      <c r="E736" s="422" t="str">
        <f t="shared" ca="1" si="253"/>
        <v/>
      </c>
      <c r="F736" s="426" t="str">
        <f t="shared" ca="1" si="248"/>
        <v/>
      </c>
      <c r="G736" s="415"/>
      <c r="H736" s="415"/>
      <c r="I736" s="415" t="str">
        <f t="shared" si="246"/>
        <v/>
      </c>
      <c r="J736" s="415" t="str">
        <f t="shared" si="244"/>
        <v/>
      </c>
      <c r="K736" s="415" t="str">
        <f t="shared" si="247"/>
        <v/>
      </c>
      <c r="L736" s="415"/>
      <c r="M736" s="415"/>
      <c r="N736" s="422" t="str">
        <f t="shared" ref="N736:N799" si="255">+IF(L736="","",L736*M736)</f>
        <v/>
      </c>
      <c r="O736" s="422" t="str">
        <f t="shared" si="249"/>
        <v/>
      </c>
      <c r="P736" s="422" t="str">
        <f t="shared" si="250"/>
        <v/>
      </c>
      <c r="Q736" s="422" t="str">
        <f t="shared" si="251"/>
        <v/>
      </c>
      <c r="R736" s="422" t="str">
        <f t="shared" si="252"/>
        <v/>
      </c>
      <c r="S736" s="583">
        <f t="shared" si="254"/>
        <v>0</v>
      </c>
      <c r="T736" s="377" t="str">
        <f>+IFERROR(VLOOKUP(S736,STAT1!$C$4:$D$189,2,FALSE),"")</f>
        <v/>
      </c>
      <c r="U736" s="424"/>
      <c r="V736" s="424"/>
      <c r="W736" s="822"/>
      <c r="X736" s="436" t="str">
        <f>IFERROR(VLOOKUP(W736,DATA!$G$4:$H$400,2,FALSE),"")</f>
        <v/>
      </c>
      <c r="Y736" s="328"/>
      <c r="Z736" s="328"/>
      <c r="AA736" s="328"/>
    </row>
    <row r="737" spans="1:27" ht="12.75" customHeight="1">
      <c r="A737" s="425"/>
      <c r="B737" s="368" t="str">
        <f t="shared" si="245"/>
        <v/>
      </c>
      <c r="C737" s="425"/>
      <c r="D737" s="423"/>
      <c r="E737" s="422" t="str">
        <f t="shared" ca="1" si="253"/>
        <v/>
      </c>
      <c r="F737" s="426" t="str">
        <f t="shared" ca="1" si="248"/>
        <v/>
      </c>
      <c r="G737" s="415"/>
      <c r="H737" s="415"/>
      <c r="I737" s="415" t="str">
        <f t="shared" si="246"/>
        <v/>
      </c>
      <c r="J737" s="415" t="str">
        <f t="shared" si="244"/>
        <v/>
      </c>
      <c r="K737" s="415" t="str">
        <f t="shared" si="247"/>
        <v/>
      </c>
      <c r="L737" s="415"/>
      <c r="M737" s="415"/>
      <c r="N737" s="422" t="str">
        <f t="shared" si="255"/>
        <v/>
      </c>
      <c r="O737" s="422" t="str">
        <f t="shared" si="249"/>
        <v/>
      </c>
      <c r="P737" s="422" t="str">
        <f t="shared" si="250"/>
        <v/>
      </c>
      <c r="Q737" s="422" t="str">
        <f t="shared" si="251"/>
        <v/>
      </c>
      <c r="R737" s="422" t="str">
        <f t="shared" si="252"/>
        <v/>
      </c>
      <c r="S737" s="583">
        <f t="shared" si="254"/>
        <v>0</v>
      </c>
      <c r="T737" s="377" t="str">
        <f>+IFERROR(VLOOKUP(S737,STAT1!$C$4:$D$189,2,FALSE),"")</f>
        <v/>
      </c>
      <c r="U737" s="424"/>
      <c r="V737" s="424"/>
      <c r="W737" s="822"/>
      <c r="X737" s="436" t="str">
        <f>IFERROR(VLOOKUP(W737,DATA!$G$4:$H$400,2,FALSE),"")</f>
        <v/>
      </c>
      <c r="Y737" s="328"/>
      <c r="Z737" s="328"/>
      <c r="AA737" s="328"/>
    </row>
    <row r="738" spans="1:27" ht="12.75" customHeight="1">
      <c r="A738" s="425"/>
      <c r="B738" s="368" t="str">
        <f t="shared" si="245"/>
        <v/>
      </c>
      <c r="C738" s="425"/>
      <c r="D738" s="423"/>
      <c r="E738" s="422" t="str">
        <f t="shared" ca="1" si="253"/>
        <v/>
      </c>
      <c r="F738" s="426" t="str">
        <f t="shared" ca="1" si="248"/>
        <v/>
      </c>
      <c r="G738" s="415"/>
      <c r="H738" s="415"/>
      <c r="I738" s="415" t="str">
        <f t="shared" si="246"/>
        <v/>
      </c>
      <c r="J738" s="415" t="str">
        <f t="shared" si="244"/>
        <v/>
      </c>
      <c r="K738" s="415" t="str">
        <f t="shared" si="247"/>
        <v/>
      </c>
      <c r="L738" s="415"/>
      <c r="M738" s="415"/>
      <c r="N738" s="422" t="str">
        <f t="shared" si="255"/>
        <v/>
      </c>
      <c r="O738" s="422" t="str">
        <f t="shared" si="249"/>
        <v/>
      </c>
      <c r="P738" s="422" t="str">
        <f t="shared" si="250"/>
        <v/>
      </c>
      <c r="Q738" s="422" t="str">
        <f t="shared" si="251"/>
        <v/>
      </c>
      <c r="R738" s="422" t="str">
        <f t="shared" si="252"/>
        <v/>
      </c>
      <c r="S738" s="583">
        <f t="shared" si="254"/>
        <v>0</v>
      </c>
      <c r="T738" s="377" t="str">
        <f>+IFERROR(VLOOKUP(S738,STAT1!$C$4:$D$189,2,FALSE),"")</f>
        <v/>
      </c>
      <c r="U738" s="424"/>
      <c r="V738" s="424"/>
      <c r="W738" s="822"/>
      <c r="X738" s="436" t="str">
        <f>IFERROR(VLOOKUP(W738,DATA!$G$4:$H$400,2,FALSE),"")</f>
        <v/>
      </c>
      <c r="Y738" s="328"/>
      <c r="Z738" s="328"/>
      <c r="AA738" s="328"/>
    </row>
    <row r="739" spans="1:27" ht="12.75" customHeight="1">
      <c r="A739" s="425"/>
      <c r="B739" s="368" t="str">
        <f t="shared" si="245"/>
        <v/>
      </c>
      <c r="C739" s="425"/>
      <c r="D739" s="423"/>
      <c r="E739" s="422" t="str">
        <f t="shared" ca="1" si="253"/>
        <v/>
      </c>
      <c r="F739" s="426" t="str">
        <f t="shared" ca="1" si="248"/>
        <v/>
      </c>
      <c r="G739" s="415"/>
      <c r="H739" s="415"/>
      <c r="I739" s="415" t="str">
        <f t="shared" si="246"/>
        <v/>
      </c>
      <c r="J739" s="415" t="str">
        <f t="shared" si="244"/>
        <v/>
      </c>
      <c r="K739" s="415" t="str">
        <f t="shared" si="247"/>
        <v/>
      </c>
      <c r="L739" s="415"/>
      <c r="M739" s="415"/>
      <c r="N739" s="422" t="str">
        <f t="shared" si="255"/>
        <v/>
      </c>
      <c r="O739" s="422" t="str">
        <f t="shared" si="249"/>
        <v/>
      </c>
      <c r="P739" s="422" t="str">
        <f t="shared" si="250"/>
        <v/>
      </c>
      <c r="Q739" s="422" t="str">
        <f t="shared" si="251"/>
        <v/>
      </c>
      <c r="R739" s="422" t="str">
        <f t="shared" si="252"/>
        <v/>
      </c>
      <c r="S739" s="583">
        <f t="shared" si="254"/>
        <v>0</v>
      </c>
      <c r="T739" s="377" t="str">
        <f>+IFERROR(VLOOKUP(S739,STAT1!$C$4:$D$189,2,FALSE),"")</f>
        <v/>
      </c>
      <c r="U739" s="424"/>
      <c r="V739" s="424"/>
      <c r="W739" s="822"/>
      <c r="X739" s="436" t="str">
        <f>IFERROR(VLOOKUP(W739,DATA!$G$4:$H$400,2,FALSE),"")</f>
        <v/>
      </c>
      <c r="Y739" s="328"/>
      <c r="Z739" s="328"/>
      <c r="AA739" s="328"/>
    </row>
    <row r="740" spans="1:27" ht="12.75" customHeight="1">
      <c r="A740" s="425"/>
      <c r="B740" s="368" t="str">
        <f t="shared" si="245"/>
        <v/>
      </c>
      <c r="C740" s="425"/>
      <c r="D740" s="423"/>
      <c r="E740" s="422" t="str">
        <f t="shared" ca="1" si="253"/>
        <v/>
      </c>
      <c r="F740" s="426" t="str">
        <f t="shared" ca="1" si="248"/>
        <v/>
      </c>
      <c r="G740" s="415"/>
      <c r="H740" s="415"/>
      <c r="I740" s="415" t="str">
        <f t="shared" si="246"/>
        <v/>
      </c>
      <c r="J740" s="415" t="str">
        <f t="shared" ref="J740:J803" si="256">+IF(G740="","",I740*0.1)</f>
        <v/>
      </c>
      <c r="K740" s="415" t="str">
        <f t="shared" si="247"/>
        <v/>
      </c>
      <c r="L740" s="415"/>
      <c r="M740" s="415"/>
      <c r="N740" s="422" t="str">
        <f t="shared" si="255"/>
        <v/>
      </c>
      <c r="O740" s="422" t="str">
        <f t="shared" si="249"/>
        <v/>
      </c>
      <c r="P740" s="422" t="str">
        <f t="shared" si="250"/>
        <v/>
      </c>
      <c r="Q740" s="422" t="str">
        <f t="shared" si="251"/>
        <v/>
      </c>
      <c r="R740" s="422" t="str">
        <f t="shared" si="252"/>
        <v/>
      </c>
      <c r="S740" s="583">
        <f t="shared" si="254"/>
        <v>0</v>
      </c>
      <c r="T740" s="377" t="str">
        <f>+IFERROR(VLOOKUP(S740,STAT1!$C$4:$D$189,2,FALSE),"")</f>
        <v/>
      </c>
      <c r="U740" s="424"/>
      <c r="V740" s="424"/>
      <c r="W740" s="822"/>
      <c r="X740" s="436" t="str">
        <f>IFERROR(VLOOKUP(W740,DATA!$G$4:$H$400,2,FALSE),"")</f>
        <v/>
      </c>
      <c r="Y740" s="328"/>
      <c r="Z740" s="328"/>
      <c r="AA740" s="328"/>
    </row>
    <row r="741" spans="1:27" ht="12.75" customHeight="1">
      <c r="A741" s="425"/>
      <c r="B741" s="368" t="str">
        <f t="shared" si="245"/>
        <v/>
      </c>
      <c r="C741" s="425"/>
      <c r="D741" s="423"/>
      <c r="E741" s="422" t="str">
        <f t="shared" ca="1" si="253"/>
        <v/>
      </c>
      <c r="F741" s="426" t="str">
        <f t="shared" ca="1" si="248"/>
        <v/>
      </c>
      <c r="G741" s="415"/>
      <c r="H741" s="415"/>
      <c r="I741" s="415" t="str">
        <f t="shared" si="246"/>
        <v/>
      </c>
      <c r="J741" s="415" t="str">
        <f t="shared" si="256"/>
        <v/>
      </c>
      <c r="K741" s="415" t="str">
        <f t="shared" si="247"/>
        <v/>
      </c>
      <c r="L741" s="415"/>
      <c r="M741" s="415"/>
      <c r="N741" s="422" t="str">
        <f t="shared" si="255"/>
        <v/>
      </c>
      <c r="O741" s="422" t="str">
        <f t="shared" si="249"/>
        <v/>
      </c>
      <c r="P741" s="422" t="str">
        <f t="shared" si="250"/>
        <v/>
      </c>
      <c r="Q741" s="422" t="str">
        <f t="shared" si="251"/>
        <v/>
      </c>
      <c r="R741" s="422" t="str">
        <f t="shared" si="252"/>
        <v/>
      </c>
      <c r="S741" s="583">
        <f t="shared" si="254"/>
        <v>0</v>
      </c>
      <c r="T741" s="377" t="str">
        <f>+IFERROR(VLOOKUP(S741,STAT1!$C$4:$D$189,2,FALSE),"")</f>
        <v/>
      </c>
      <c r="U741" s="424"/>
      <c r="V741" s="424"/>
      <c r="W741" s="822"/>
      <c r="X741" s="436" t="str">
        <f>IFERROR(VLOOKUP(W741,DATA!$G$4:$H$400,2,FALSE),"")</f>
        <v/>
      </c>
      <c r="Y741" s="328"/>
      <c r="Z741" s="328"/>
      <c r="AA741" s="328"/>
    </row>
    <row r="742" spans="1:27" ht="12.75" customHeight="1">
      <c r="A742" s="425"/>
      <c r="B742" s="368" t="str">
        <f t="shared" si="245"/>
        <v/>
      </c>
      <c r="C742" s="425"/>
      <c r="D742" s="423"/>
      <c r="E742" s="422" t="str">
        <f t="shared" ca="1" si="253"/>
        <v/>
      </c>
      <c r="F742" s="426" t="str">
        <f t="shared" ca="1" si="248"/>
        <v/>
      </c>
      <c r="G742" s="415"/>
      <c r="H742" s="415"/>
      <c r="I742" s="415" t="str">
        <f t="shared" si="246"/>
        <v/>
      </c>
      <c r="J742" s="415" t="str">
        <f t="shared" si="256"/>
        <v/>
      </c>
      <c r="K742" s="415" t="str">
        <f t="shared" si="247"/>
        <v/>
      </c>
      <c r="L742" s="415"/>
      <c r="M742" s="415"/>
      <c r="N742" s="422" t="str">
        <f t="shared" si="255"/>
        <v/>
      </c>
      <c r="O742" s="422" t="str">
        <f t="shared" si="249"/>
        <v/>
      </c>
      <c r="P742" s="422" t="str">
        <f t="shared" si="250"/>
        <v/>
      </c>
      <c r="Q742" s="422" t="str">
        <f t="shared" si="251"/>
        <v/>
      </c>
      <c r="R742" s="422" t="str">
        <f t="shared" si="252"/>
        <v/>
      </c>
      <c r="S742" s="583">
        <f t="shared" si="254"/>
        <v>0</v>
      </c>
      <c r="T742" s="377" t="str">
        <f>+IFERROR(VLOOKUP(S742,STAT1!$C$4:$D$189,2,FALSE),"")</f>
        <v/>
      </c>
      <c r="U742" s="424"/>
      <c r="V742" s="424"/>
      <c r="W742" s="822"/>
      <c r="X742" s="436" t="str">
        <f>IFERROR(VLOOKUP(W742,DATA!$G$4:$H$400,2,FALSE),"")</f>
        <v/>
      </c>
      <c r="Y742" s="328"/>
      <c r="Z742" s="328"/>
      <c r="AA742" s="328"/>
    </row>
    <row r="743" spans="1:27" ht="12.75" customHeight="1">
      <c r="A743" s="425"/>
      <c r="B743" s="368" t="str">
        <f t="shared" si="245"/>
        <v/>
      </c>
      <c r="C743" s="425"/>
      <c r="D743" s="423"/>
      <c r="E743" s="422" t="str">
        <f t="shared" ca="1" si="253"/>
        <v/>
      </c>
      <c r="F743" s="426" t="str">
        <f t="shared" ca="1" si="248"/>
        <v/>
      </c>
      <c r="G743" s="415"/>
      <c r="H743" s="415"/>
      <c r="I743" s="415" t="str">
        <f t="shared" si="246"/>
        <v/>
      </c>
      <c r="J743" s="415" t="str">
        <f t="shared" si="256"/>
        <v/>
      </c>
      <c r="K743" s="415" t="str">
        <f t="shared" si="247"/>
        <v/>
      </c>
      <c r="L743" s="415"/>
      <c r="M743" s="415"/>
      <c r="N743" s="422" t="str">
        <f t="shared" si="255"/>
        <v/>
      </c>
      <c r="O743" s="422" t="str">
        <f t="shared" si="249"/>
        <v/>
      </c>
      <c r="P743" s="422" t="str">
        <f t="shared" si="250"/>
        <v/>
      </c>
      <c r="Q743" s="422" t="str">
        <f t="shared" si="251"/>
        <v/>
      </c>
      <c r="R743" s="422" t="str">
        <f t="shared" si="252"/>
        <v/>
      </c>
      <c r="S743" s="583">
        <f t="shared" si="254"/>
        <v>0</v>
      </c>
      <c r="T743" s="377" t="str">
        <f>+IFERROR(VLOOKUP(S743,STAT1!$C$4:$D$189,2,FALSE),"")</f>
        <v/>
      </c>
      <c r="U743" s="424"/>
      <c r="V743" s="424"/>
      <c r="W743" s="822"/>
      <c r="X743" s="436" t="str">
        <f>IFERROR(VLOOKUP(W743,DATA!$G$4:$H$400,2,FALSE),"")</f>
        <v/>
      </c>
      <c r="Y743" s="328"/>
      <c r="Z743" s="328"/>
      <c r="AA743" s="328"/>
    </row>
    <row r="744" spans="1:27" ht="12.75" customHeight="1">
      <c r="A744" s="425"/>
      <c r="B744" s="368" t="str">
        <f t="shared" ref="B744:B807" si="257">IF(C744="","",ROW()-5)</f>
        <v/>
      </c>
      <c r="C744" s="425"/>
      <c r="D744" s="423"/>
      <c r="E744" s="422" t="str">
        <f t="shared" ca="1" si="253"/>
        <v/>
      </c>
      <c r="F744" s="426" t="str">
        <f t="shared" ca="1" si="248"/>
        <v/>
      </c>
      <c r="G744" s="415"/>
      <c r="H744" s="415"/>
      <c r="I744" s="415" t="str">
        <f t="shared" si="246"/>
        <v/>
      </c>
      <c r="J744" s="415" t="str">
        <f t="shared" si="256"/>
        <v/>
      </c>
      <c r="K744" s="415" t="str">
        <f t="shared" si="247"/>
        <v/>
      </c>
      <c r="L744" s="415"/>
      <c r="M744" s="415"/>
      <c r="N744" s="422" t="str">
        <f t="shared" si="255"/>
        <v/>
      </c>
      <c r="O744" s="422" t="str">
        <f t="shared" si="249"/>
        <v/>
      </c>
      <c r="P744" s="422" t="str">
        <f t="shared" si="250"/>
        <v/>
      </c>
      <c r="Q744" s="422" t="str">
        <f t="shared" si="251"/>
        <v/>
      </c>
      <c r="R744" s="422" t="str">
        <f t="shared" si="252"/>
        <v/>
      </c>
      <c r="S744" s="583">
        <f t="shared" si="254"/>
        <v>0</v>
      </c>
      <c r="T744" s="377" t="str">
        <f>+IFERROR(VLOOKUP(S744,STAT1!$C$4:$D$189,2,FALSE),"")</f>
        <v/>
      </c>
      <c r="U744" s="424"/>
      <c r="V744" s="424"/>
      <c r="W744" s="822"/>
      <c r="X744" s="436" t="str">
        <f>IFERROR(VLOOKUP(W744,DATA!$G$4:$H$400,2,FALSE),"")</f>
        <v/>
      </c>
      <c r="Y744" s="328"/>
      <c r="Z744" s="328"/>
      <c r="AA744" s="328"/>
    </row>
    <row r="745" spans="1:27" ht="12.75" customHeight="1">
      <c r="A745" s="425"/>
      <c r="B745" s="368" t="str">
        <f t="shared" si="257"/>
        <v/>
      </c>
      <c r="C745" s="425"/>
      <c r="D745" s="423"/>
      <c r="E745" s="422" t="str">
        <f t="shared" ca="1" si="253"/>
        <v/>
      </c>
      <c r="F745" s="426" t="str">
        <f t="shared" ca="1" si="248"/>
        <v/>
      </c>
      <c r="G745" s="415"/>
      <c r="H745" s="415"/>
      <c r="I745" s="415" t="str">
        <f t="shared" si="246"/>
        <v/>
      </c>
      <c r="J745" s="415" t="str">
        <f t="shared" si="256"/>
        <v/>
      </c>
      <c r="K745" s="415" t="str">
        <f t="shared" si="247"/>
        <v/>
      </c>
      <c r="L745" s="415"/>
      <c r="M745" s="415"/>
      <c r="N745" s="422" t="str">
        <f t="shared" si="255"/>
        <v/>
      </c>
      <c r="O745" s="422" t="str">
        <f t="shared" si="249"/>
        <v/>
      </c>
      <c r="P745" s="422" t="str">
        <f t="shared" si="250"/>
        <v/>
      </c>
      <c r="Q745" s="422" t="str">
        <f t="shared" si="251"/>
        <v/>
      </c>
      <c r="R745" s="422" t="str">
        <f t="shared" si="252"/>
        <v/>
      </c>
      <c r="S745" s="583">
        <f t="shared" si="254"/>
        <v>0</v>
      </c>
      <c r="T745" s="377" t="str">
        <f>+IFERROR(VLOOKUP(S745,STAT1!$C$4:$D$189,2,FALSE),"")</f>
        <v/>
      </c>
      <c r="U745" s="424"/>
      <c r="V745" s="424"/>
      <c r="W745" s="822"/>
      <c r="X745" s="436" t="str">
        <f>IFERROR(VLOOKUP(W745,DATA!$G$4:$H$400,2,FALSE),"")</f>
        <v/>
      </c>
      <c r="Y745" s="328"/>
      <c r="Z745" s="328"/>
      <c r="AA745" s="328"/>
    </row>
    <row r="746" spans="1:27" ht="12.75" customHeight="1">
      <c r="A746" s="425"/>
      <c r="B746" s="368" t="str">
        <f t="shared" si="257"/>
        <v/>
      </c>
      <c r="C746" s="425"/>
      <c r="D746" s="423"/>
      <c r="E746" s="422" t="str">
        <f t="shared" ca="1" si="253"/>
        <v/>
      </c>
      <c r="F746" s="426" t="str">
        <f t="shared" ca="1" si="248"/>
        <v/>
      </c>
      <c r="G746" s="415"/>
      <c r="H746" s="415"/>
      <c r="I746" s="415" t="str">
        <f t="shared" si="246"/>
        <v/>
      </c>
      <c r="J746" s="415" t="str">
        <f t="shared" si="256"/>
        <v/>
      </c>
      <c r="K746" s="415" t="str">
        <f t="shared" si="247"/>
        <v/>
      </c>
      <c r="L746" s="415"/>
      <c r="M746" s="415"/>
      <c r="N746" s="422" t="str">
        <f t="shared" si="255"/>
        <v/>
      </c>
      <c r="O746" s="422" t="str">
        <f t="shared" si="249"/>
        <v/>
      </c>
      <c r="P746" s="422" t="str">
        <f t="shared" si="250"/>
        <v/>
      </c>
      <c r="Q746" s="422" t="str">
        <f t="shared" si="251"/>
        <v/>
      </c>
      <c r="R746" s="422" t="str">
        <f t="shared" si="252"/>
        <v/>
      </c>
      <c r="S746" s="583">
        <f t="shared" si="254"/>
        <v>0</v>
      </c>
      <c r="T746" s="377" t="str">
        <f>+IFERROR(VLOOKUP(S746,STAT1!$C$4:$D$189,2,FALSE),"")</f>
        <v/>
      </c>
      <c r="U746" s="424"/>
      <c r="V746" s="424"/>
      <c r="W746" s="822"/>
      <c r="X746" s="436" t="str">
        <f>IFERROR(VLOOKUP(W746,DATA!$G$4:$H$400,2,FALSE),"")</f>
        <v/>
      </c>
      <c r="Y746" s="328"/>
      <c r="Z746" s="328"/>
      <c r="AA746" s="328"/>
    </row>
    <row r="747" spans="1:27" ht="12.75" customHeight="1">
      <c r="A747" s="425"/>
      <c r="B747" s="368" t="str">
        <f t="shared" si="257"/>
        <v/>
      </c>
      <c r="C747" s="425"/>
      <c r="D747" s="423"/>
      <c r="E747" s="422" t="str">
        <f t="shared" ca="1" si="253"/>
        <v/>
      </c>
      <c r="F747" s="426" t="str">
        <f t="shared" ca="1" si="248"/>
        <v/>
      </c>
      <c r="G747" s="415"/>
      <c r="H747" s="415"/>
      <c r="I747" s="415" t="str">
        <f t="shared" si="246"/>
        <v/>
      </c>
      <c r="J747" s="415" t="str">
        <f t="shared" si="256"/>
        <v/>
      </c>
      <c r="K747" s="415" t="str">
        <f t="shared" si="247"/>
        <v/>
      </c>
      <c r="L747" s="415"/>
      <c r="M747" s="415"/>
      <c r="N747" s="422" t="str">
        <f t="shared" si="255"/>
        <v/>
      </c>
      <c r="O747" s="422" t="str">
        <f t="shared" si="249"/>
        <v/>
      </c>
      <c r="P747" s="422" t="str">
        <f t="shared" si="250"/>
        <v/>
      </c>
      <c r="Q747" s="422" t="str">
        <f t="shared" si="251"/>
        <v/>
      </c>
      <c r="R747" s="422" t="str">
        <f t="shared" si="252"/>
        <v/>
      </c>
      <c r="S747" s="583">
        <f t="shared" si="254"/>
        <v>0</v>
      </c>
      <c r="T747" s="377" t="str">
        <f>+IFERROR(VLOOKUP(S747,STAT1!$C$4:$D$189,2,FALSE),"")</f>
        <v/>
      </c>
      <c r="U747" s="424"/>
      <c r="V747" s="424"/>
      <c r="W747" s="822"/>
      <c r="X747" s="436" t="str">
        <f>IFERROR(VLOOKUP(W747,DATA!$G$4:$H$400,2,FALSE),"")</f>
        <v/>
      </c>
      <c r="Y747" s="328"/>
      <c r="Z747" s="328"/>
      <c r="AA747" s="328"/>
    </row>
    <row r="748" spans="1:27" ht="12.75" customHeight="1">
      <c r="A748" s="425"/>
      <c r="B748" s="368" t="str">
        <f t="shared" si="257"/>
        <v/>
      </c>
      <c r="C748" s="425"/>
      <c r="D748" s="423"/>
      <c r="E748" s="422" t="str">
        <f t="shared" ca="1" si="253"/>
        <v/>
      </c>
      <c r="F748" s="426" t="str">
        <f t="shared" ca="1" si="248"/>
        <v/>
      </c>
      <c r="G748" s="415"/>
      <c r="H748" s="415"/>
      <c r="I748" s="415" t="str">
        <f t="shared" si="246"/>
        <v/>
      </c>
      <c r="J748" s="415" t="str">
        <f t="shared" si="256"/>
        <v/>
      </c>
      <c r="K748" s="415" t="str">
        <f t="shared" si="247"/>
        <v/>
      </c>
      <c r="L748" s="415"/>
      <c r="M748" s="415"/>
      <c r="N748" s="422" t="str">
        <f t="shared" si="255"/>
        <v/>
      </c>
      <c r="O748" s="422" t="str">
        <f t="shared" si="249"/>
        <v/>
      </c>
      <c r="P748" s="422" t="str">
        <f t="shared" si="250"/>
        <v/>
      </c>
      <c r="Q748" s="422" t="str">
        <f t="shared" si="251"/>
        <v/>
      </c>
      <c r="R748" s="422" t="str">
        <f t="shared" si="252"/>
        <v/>
      </c>
      <c r="S748" s="583">
        <f t="shared" si="254"/>
        <v>0</v>
      </c>
      <c r="T748" s="377" t="str">
        <f>+IFERROR(VLOOKUP(S748,STAT1!$C$4:$D$189,2,FALSE),"")</f>
        <v/>
      </c>
      <c r="U748" s="424"/>
      <c r="V748" s="424"/>
      <c r="W748" s="822"/>
      <c r="X748" s="436" t="str">
        <f>IFERROR(VLOOKUP(W748,DATA!$G$4:$H$400,2,FALSE),"")</f>
        <v/>
      </c>
      <c r="Y748" s="328"/>
      <c r="Z748" s="328"/>
      <c r="AA748" s="328"/>
    </row>
    <row r="749" spans="1:27" ht="12.75" customHeight="1">
      <c r="A749" s="425"/>
      <c r="B749" s="368" t="str">
        <f t="shared" si="257"/>
        <v/>
      </c>
      <c r="C749" s="425"/>
      <c r="D749" s="423"/>
      <c r="E749" s="422" t="str">
        <f t="shared" ca="1" si="253"/>
        <v/>
      </c>
      <c r="F749" s="426" t="str">
        <f t="shared" ca="1" si="248"/>
        <v/>
      </c>
      <c r="G749" s="415"/>
      <c r="H749" s="415"/>
      <c r="I749" s="415" t="str">
        <f t="shared" si="246"/>
        <v/>
      </c>
      <c r="J749" s="415" t="str">
        <f t="shared" si="256"/>
        <v/>
      </c>
      <c r="K749" s="415" t="str">
        <f t="shared" si="247"/>
        <v/>
      </c>
      <c r="L749" s="415"/>
      <c r="M749" s="415"/>
      <c r="N749" s="422" t="str">
        <f t="shared" si="255"/>
        <v/>
      </c>
      <c r="O749" s="422" t="str">
        <f t="shared" si="249"/>
        <v/>
      </c>
      <c r="P749" s="422" t="str">
        <f t="shared" si="250"/>
        <v/>
      </c>
      <c r="Q749" s="422" t="str">
        <f t="shared" si="251"/>
        <v/>
      </c>
      <c r="R749" s="422" t="str">
        <f t="shared" si="252"/>
        <v/>
      </c>
      <c r="S749" s="583">
        <f t="shared" si="254"/>
        <v>0</v>
      </c>
      <c r="T749" s="377" t="str">
        <f>+IFERROR(VLOOKUP(S749,STAT1!$C$4:$D$189,2,FALSE),"")</f>
        <v/>
      </c>
      <c r="U749" s="424"/>
      <c r="V749" s="424"/>
      <c r="W749" s="822"/>
      <c r="X749" s="436" t="str">
        <f>IFERROR(VLOOKUP(W749,DATA!$G$4:$H$400,2,FALSE),"")</f>
        <v/>
      </c>
      <c r="Y749" s="328"/>
      <c r="Z749" s="328"/>
      <c r="AA749" s="328"/>
    </row>
    <row r="750" spans="1:27" ht="12.75" customHeight="1">
      <c r="A750" s="425"/>
      <c r="B750" s="368" t="str">
        <f t="shared" si="257"/>
        <v/>
      </c>
      <c r="C750" s="425"/>
      <c r="D750" s="423"/>
      <c r="E750" s="422" t="str">
        <f t="shared" ca="1" si="253"/>
        <v/>
      </c>
      <c r="F750" s="426" t="str">
        <f t="shared" ca="1" si="248"/>
        <v/>
      </c>
      <c r="G750" s="415"/>
      <c r="H750" s="415"/>
      <c r="I750" s="415" t="str">
        <f t="shared" si="246"/>
        <v/>
      </c>
      <c r="J750" s="415" t="str">
        <f t="shared" si="256"/>
        <v/>
      </c>
      <c r="K750" s="415" t="str">
        <f t="shared" si="247"/>
        <v/>
      </c>
      <c r="L750" s="415"/>
      <c r="M750" s="415"/>
      <c r="N750" s="422" t="str">
        <f t="shared" si="255"/>
        <v/>
      </c>
      <c r="O750" s="422" t="str">
        <f t="shared" si="249"/>
        <v/>
      </c>
      <c r="P750" s="422" t="str">
        <f t="shared" si="250"/>
        <v/>
      </c>
      <c r="Q750" s="422" t="str">
        <f t="shared" si="251"/>
        <v/>
      </c>
      <c r="R750" s="422" t="str">
        <f t="shared" si="252"/>
        <v/>
      </c>
      <c r="S750" s="583">
        <f t="shared" si="254"/>
        <v>0</v>
      </c>
      <c r="T750" s="377" t="str">
        <f>+IFERROR(VLOOKUP(S750,STAT1!$C$4:$D$189,2,FALSE),"")</f>
        <v/>
      </c>
      <c r="U750" s="424"/>
      <c r="V750" s="424"/>
      <c r="W750" s="822"/>
      <c r="X750" s="436" t="str">
        <f>IFERROR(VLOOKUP(W750,DATA!$G$4:$H$400,2,FALSE),"")</f>
        <v/>
      </c>
      <c r="Y750" s="328"/>
      <c r="Z750" s="328"/>
      <c r="AA750" s="328"/>
    </row>
    <row r="751" spans="1:27" ht="12.75" customHeight="1">
      <c r="A751" s="425"/>
      <c r="B751" s="368" t="str">
        <f t="shared" si="257"/>
        <v/>
      </c>
      <c r="C751" s="425"/>
      <c r="D751" s="423"/>
      <c r="E751" s="422" t="str">
        <f t="shared" ca="1" si="253"/>
        <v/>
      </c>
      <c r="F751" s="426" t="str">
        <f t="shared" ca="1" si="248"/>
        <v/>
      </c>
      <c r="G751" s="415"/>
      <c r="H751" s="415"/>
      <c r="I751" s="415" t="str">
        <f t="shared" si="246"/>
        <v/>
      </c>
      <c r="J751" s="415" t="str">
        <f t="shared" si="256"/>
        <v/>
      </c>
      <c r="K751" s="415" t="str">
        <f t="shared" si="247"/>
        <v/>
      </c>
      <c r="L751" s="415"/>
      <c r="M751" s="415"/>
      <c r="N751" s="422" t="str">
        <f t="shared" si="255"/>
        <v/>
      </c>
      <c r="O751" s="422" t="str">
        <f t="shared" si="249"/>
        <v/>
      </c>
      <c r="P751" s="422" t="str">
        <f t="shared" si="250"/>
        <v/>
      </c>
      <c r="Q751" s="422" t="str">
        <f t="shared" si="251"/>
        <v/>
      </c>
      <c r="R751" s="422" t="str">
        <f t="shared" si="252"/>
        <v/>
      </c>
      <c r="S751" s="583">
        <f t="shared" si="254"/>
        <v>0</v>
      </c>
      <c r="T751" s="377" t="str">
        <f>+IFERROR(VLOOKUP(S751,STAT1!$C$4:$D$189,2,FALSE),"")</f>
        <v/>
      </c>
      <c r="U751" s="424"/>
      <c r="V751" s="424"/>
      <c r="W751" s="822"/>
      <c r="X751" s="436" t="str">
        <f>IFERROR(VLOOKUP(W751,DATA!$G$4:$H$400,2,FALSE),"")</f>
        <v/>
      </c>
      <c r="Y751" s="328"/>
      <c r="Z751" s="328"/>
      <c r="AA751" s="328"/>
    </row>
    <row r="752" spans="1:27" ht="12.75" customHeight="1">
      <c r="A752" s="425"/>
      <c r="B752" s="368" t="str">
        <f t="shared" si="257"/>
        <v/>
      </c>
      <c r="C752" s="425"/>
      <c r="D752" s="423"/>
      <c r="E752" s="422" t="str">
        <f t="shared" ca="1" si="253"/>
        <v/>
      </c>
      <c r="F752" s="426" t="str">
        <f t="shared" ca="1" si="248"/>
        <v/>
      </c>
      <c r="G752" s="415"/>
      <c r="H752" s="415"/>
      <c r="I752" s="415" t="str">
        <f t="shared" si="246"/>
        <v/>
      </c>
      <c r="J752" s="415" t="str">
        <f t="shared" si="256"/>
        <v/>
      </c>
      <c r="K752" s="415" t="str">
        <f t="shared" si="247"/>
        <v/>
      </c>
      <c r="L752" s="415"/>
      <c r="M752" s="415"/>
      <c r="N752" s="422" t="str">
        <f t="shared" si="255"/>
        <v/>
      </c>
      <c r="O752" s="422" t="str">
        <f t="shared" si="249"/>
        <v/>
      </c>
      <c r="P752" s="422" t="str">
        <f t="shared" si="250"/>
        <v/>
      </c>
      <c r="Q752" s="422" t="str">
        <f t="shared" si="251"/>
        <v/>
      </c>
      <c r="R752" s="422" t="str">
        <f t="shared" si="252"/>
        <v/>
      </c>
      <c r="S752" s="583">
        <f t="shared" si="254"/>
        <v>0</v>
      </c>
      <c r="T752" s="377" t="str">
        <f>+IFERROR(VLOOKUP(S752,STAT1!$C$4:$D$189,2,FALSE),"")</f>
        <v/>
      </c>
      <c r="U752" s="424"/>
      <c r="V752" s="424"/>
      <c r="W752" s="822"/>
      <c r="X752" s="436" t="str">
        <f>IFERROR(VLOOKUP(W752,DATA!$G$4:$H$400,2,FALSE),"")</f>
        <v/>
      </c>
      <c r="Y752" s="328"/>
      <c r="Z752" s="328"/>
      <c r="AA752" s="328"/>
    </row>
    <row r="753" spans="1:27" ht="12.75" customHeight="1">
      <c r="A753" s="425"/>
      <c r="B753" s="368" t="str">
        <f t="shared" si="257"/>
        <v/>
      </c>
      <c r="C753" s="425"/>
      <c r="D753" s="423"/>
      <c r="E753" s="422" t="str">
        <f t="shared" ca="1" si="253"/>
        <v/>
      </c>
      <c r="F753" s="426" t="str">
        <f t="shared" ca="1" si="248"/>
        <v/>
      </c>
      <c r="G753" s="415"/>
      <c r="H753" s="415"/>
      <c r="I753" s="415" t="str">
        <f t="shared" si="246"/>
        <v/>
      </c>
      <c r="J753" s="415" t="str">
        <f t="shared" si="256"/>
        <v/>
      </c>
      <c r="K753" s="415" t="str">
        <f t="shared" si="247"/>
        <v/>
      </c>
      <c r="L753" s="415"/>
      <c r="M753" s="415"/>
      <c r="N753" s="422" t="str">
        <f t="shared" si="255"/>
        <v/>
      </c>
      <c r="O753" s="422" t="str">
        <f t="shared" si="249"/>
        <v/>
      </c>
      <c r="P753" s="422" t="str">
        <f t="shared" si="250"/>
        <v/>
      </c>
      <c r="Q753" s="422" t="str">
        <f t="shared" si="251"/>
        <v/>
      </c>
      <c r="R753" s="422" t="str">
        <f t="shared" si="252"/>
        <v/>
      </c>
      <c r="S753" s="583">
        <f t="shared" si="254"/>
        <v>0</v>
      </c>
      <c r="T753" s="377" t="str">
        <f>+IFERROR(VLOOKUP(S753,STAT1!$C$4:$D$189,2,FALSE),"")</f>
        <v/>
      </c>
      <c r="U753" s="424"/>
      <c r="V753" s="424"/>
      <c r="W753" s="822"/>
      <c r="X753" s="436" t="str">
        <f>IFERROR(VLOOKUP(W753,DATA!$G$4:$H$400,2,FALSE),"")</f>
        <v/>
      </c>
      <c r="Y753" s="328"/>
      <c r="Z753" s="328"/>
      <c r="AA753" s="328"/>
    </row>
    <row r="754" spans="1:27" ht="12.75" customHeight="1">
      <c r="A754" s="425"/>
      <c r="B754" s="368" t="str">
        <f t="shared" si="257"/>
        <v/>
      </c>
      <c r="C754" s="425"/>
      <c r="D754" s="423"/>
      <c r="E754" s="422" t="str">
        <f t="shared" ca="1" si="253"/>
        <v/>
      </c>
      <c r="F754" s="426" t="str">
        <f t="shared" ca="1" si="248"/>
        <v/>
      </c>
      <c r="G754" s="415"/>
      <c r="H754" s="415"/>
      <c r="I754" s="415" t="str">
        <f t="shared" si="246"/>
        <v/>
      </c>
      <c r="J754" s="415" t="str">
        <f t="shared" si="256"/>
        <v/>
      </c>
      <c r="K754" s="415" t="str">
        <f t="shared" si="247"/>
        <v/>
      </c>
      <c r="L754" s="415"/>
      <c r="M754" s="415"/>
      <c r="N754" s="422" t="str">
        <f t="shared" si="255"/>
        <v/>
      </c>
      <c r="O754" s="422" t="str">
        <f t="shared" si="249"/>
        <v/>
      </c>
      <c r="P754" s="422" t="str">
        <f t="shared" si="250"/>
        <v/>
      </c>
      <c r="Q754" s="422" t="str">
        <f t="shared" si="251"/>
        <v/>
      </c>
      <c r="R754" s="422" t="str">
        <f t="shared" si="252"/>
        <v/>
      </c>
      <c r="S754" s="583">
        <f t="shared" si="254"/>
        <v>0</v>
      </c>
      <c r="T754" s="377" t="str">
        <f>+IFERROR(VLOOKUP(S754,STAT1!$C$4:$D$189,2,FALSE),"")</f>
        <v/>
      </c>
      <c r="U754" s="424"/>
      <c r="V754" s="424"/>
      <c r="W754" s="822"/>
      <c r="X754" s="436" t="str">
        <f>IFERROR(VLOOKUP(W754,DATA!$G$4:$H$400,2,FALSE),"")</f>
        <v/>
      </c>
      <c r="Y754" s="328"/>
      <c r="Z754" s="328"/>
      <c r="AA754" s="328"/>
    </row>
    <row r="755" spans="1:27" ht="12.75" customHeight="1">
      <c r="A755" s="425"/>
      <c r="B755" s="368" t="str">
        <f t="shared" si="257"/>
        <v/>
      </c>
      <c r="C755" s="425"/>
      <c r="D755" s="423"/>
      <c r="E755" s="422" t="str">
        <f t="shared" ca="1" si="253"/>
        <v/>
      </c>
      <c r="F755" s="426" t="str">
        <f t="shared" ca="1" si="248"/>
        <v/>
      </c>
      <c r="G755" s="415"/>
      <c r="H755" s="415"/>
      <c r="I755" s="415" t="str">
        <f t="shared" si="246"/>
        <v/>
      </c>
      <c r="J755" s="415" t="str">
        <f t="shared" si="256"/>
        <v/>
      </c>
      <c r="K755" s="415" t="str">
        <f t="shared" si="247"/>
        <v/>
      </c>
      <c r="L755" s="415"/>
      <c r="M755" s="415"/>
      <c r="N755" s="422" t="str">
        <f t="shared" si="255"/>
        <v/>
      </c>
      <c r="O755" s="422" t="str">
        <f t="shared" si="249"/>
        <v/>
      </c>
      <c r="P755" s="422" t="str">
        <f t="shared" si="250"/>
        <v/>
      </c>
      <c r="Q755" s="422" t="str">
        <f t="shared" si="251"/>
        <v/>
      </c>
      <c r="R755" s="422" t="str">
        <f t="shared" si="252"/>
        <v/>
      </c>
      <c r="S755" s="583">
        <f t="shared" si="254"/>
        <v>0</v>
      </c>
      <c r="T755" s="377" t="str">
        <f>+IFERROR(VLOOKUP(S755,STAT1!$C$4:$D$189,2,FALSE),"")</f>
        <v/>
      </c>
      <c r="U755" s="424"/>
      <c r="V755" s="424"/>
      <c r="W755" s="822"/>
      <c r="X755" s="436" t="str">
        <f>IFERROR(VLOOKUP(W755,DATA!$G$4:$H$400,2,FALSE),"")</f>
        <v/>
      </c>
      <c r="Y755" s="328"/>
      <c r="Z755" s="328"/>
      <c r="AA755" s="328"/>
    </row>
    <row r="756" spans="1:27" ht="12.75" customHeight="1">
      <c r="A756" s="425"/>
      <c r="B756" s="368" t="str">
        <f t="shared" si="257"/>
        <v/>
      </c>
      <c r="C756" s="425"/>
      <c r="D756" s="423"/>
      <c r="E756" s="422" t="str">
        <f t="shared" ca="1" si="253"/>
        <v/>
      </c>
      <c r="F756" s="426" t="str">
        <f t="shared" ca="1" si="248"/>
        <v/>
      </c>
      <c r="G756" s="415"/>
      <c r="H756" s="415"/>
      <c r="I756" s="415" t="str">
        <f t="shared" si="246"/>
        <v/>
      </c>
      <c r="J756" s="415" t="str">
        <f t="shared" si="256"/>
        <v/>
      </c>
      <c r="K756" s="415" t="str">
        <f t="shared" si="247"/>
        <v/>
      </c>
      <c r="L756" s="415"/>
      <c r="M756" s="415"/>
      <c r="N756" s="422" t="str">
        <f t="shared" si="255"/>
        <v/>
      </c>
      <c r="O756" s="422" t="str">
        <f t="shared" si="249"/>
        <v/>
      </c>
      <c r="P756" s="422" t="str">
        <f t="shared" si="250"/>
        <v/>
      </c>
      <c r="Q756" s="422" t="str">
        <f t="shared" si="251"/>
        <v/>
      </c>
      <c r="R756" s="422" t="str">
        <f t="shared" si="252"/>
        <v/>
      </c>
      <c r="S756" s="583">
        <f t="shared" si="254"/>
        <v>0</v>
      </c>
      <c r="T756" s="377" t="str">
        <f>+IFERROR(VLOOKUP(S756,STAT1!$C$4:$D$189,2,FALSE),"")</f>
        <v/>
      </c>
      <c r="U756" s="424"/>
      <c r="V756" s="424"/>
      <c r="W756" s="822"/>
      <c r="X756" s="436" t="str">
        <f>IFERROR(VLOOKUP(W756,DATA!$G$4:$H$400,2,FALSE),"")</f>
        <v/>
      </c>
      <c r="Y756" s="328"/>
      <c r="Z756" s="328"/>
      <c r="AA756" s="328"/>
    </row>
    <row r="757" spans="1:27" ht="12.75" customHeight="1">
      <c r="A757" s="425"/>
      <c r="B757" s="368" t="str">
        <f t="shared" si="257"/>
        <v/>
      </c>
      <c r="C757" s="425"/>
      <c r="D757" s="423"/>
      <c r="E757" s="422" t="str">
        <f t="shared" ca="1" si="253"/>
        <v/>
      </c>
      <c r="F757" s="426" t="str">
        <f t="shared" ca="1" si="248"/>
        <v/>
      </c>
      <c r="G757" s="415"/>
      <c r="H757" s="415"/>
      <c r="I757" s="415" t="str">
        <f t="shared" si="246"/>
        <v/>
      </c>
      <c r="J757" s="415" t="str">
        <f t="shared" si="256"/>
        <v/>
      </c>
      <c r="K757" s="415" t="str">
        <f t="shared" si="247"/>
        <v/>
      </c>
      <c r="L757" s="415"/>
      <c r="M757" s="415"/>
      <c r="N757" s="422" t="str">
        <f t="shared" si="255"/>
        <v/>
      </c>
      <c r="O757" s="422" t="str">
        <f t="shared" si="249"/>
        <v/>
      </c>
      <c r="P757" s="422" t="str">
        <f t="shared" si="250"/>
        <v/>
      </c>
      <c r="Q757" s="422" t="str">
        <f t="shared" si="251"/>
        <v/>
      </c>
      <c r="R757" s="422" t="str">
        <f t="shared" si="252"/>
        <v/>
      </c>
      <c r="S757" s="583">
        <f t="shared" si="254"/>
        <v>0</v>
      </c>
      <c r="T757" s="377" t="str">
        <f>+IFERROR(VLOOKUP(S757,STAT1!$C$4:$D$189,2,FALSE),"")</f>
        <v/>
      </c>
      <c r="U757" s="424"/>
      <c r="V757" s="424"/>
      <c r="W757" s="822"/>
      <c r="X757" s="436" t="str">
        <f>IFERROR(VLOOKUP(W757,DATA!$G$4:$H$400,2,FALSE),"")</f>
        <v/>
      </c>
      <c r="Y757" s="328"/>
      <c r="Z757" s="328"/>
      <c r="AA757" s="328"/>
    </row>
    <row r="758" spans="1:27" ht="12.75" customHeight="1">
      <c r="A758" s="425"/>
      <c r="B758" s="368" t="str">
        <f t="shared" si="257"/>
        <v/>
      </c>
      <c r="C758" s="425"/>
      <c r="D758" s="423"/>
      <c r="E758" s="422" t="str">
        <f t="shared" ca="1" si="253"/>
        <v/>
      </c>
      <c r="F758" s="426" t="str">
        <f t="shared" ca="1" si="248"/>
        <v/>
      </c>
      <c r="G758" s="415"/>
      <c r="H758" s="415"/>
      <c r="I758" s="415" t="str">
        <f t="shared" si="246"/>
        <v/>
      </c>
      <c r="J758" s="415" t="str">
        <f t="shared" si="256"/>
        <v/>
      </c>
      <c r="K758" s="415" t="str">
        <f t="shared" si="247"/>
        <v/>
      </c>
      <c r="L758" s="415"/>
      <c r="M758" s="415"/>
      <c r="N758" s="422" t="str">
        <f t="shared" si="255"/>
        <v/>
      </c>
      <c r="O758" s="422" t="str">
        <f t="shared" si="249"/>
        <v/>
      </c>
      <c r="P758" s="422" t="str">
        <f t="shared" si="250"/>
        <v/>
      </c>
      <c r="Q758" s="422" t="str">
        <f t="shared" si="251"/>
        <v/>
      </c>
      <c r="R758" s="422" t="str">
        <f t="shared" si="252"/>
        <v/>
      </c>
      <c r="S758" s="583">
        <f t="shared" si="254"/>
        <v>0</v>
      </c>
      <c r="T758" s="377" t="str">
        <f>+IFERROR(VLOOKUP(S758,STAT1!$C$4:$D$189,2,FALSE),"")</f>
        <v/>
      </c>
      <c r="U758" s="424"/>
      <c r="V758" s="424"/>
      <c r="W758" s="822"/>
      <c r="X758" s="436" t="str">
        <f>IFERROR(VLOOKUP(W758,DATA!$G$4:$H$400,2,FALSE),"")</f>
        <v/>
      </c>
      <c r="Y758" s="328"/>
      <c r="Z758" s="328"/>
      <c r="AA758" s="328"/>
    </row>
    <row r="759" spans="1:27" ht="12.75" customHeight="1">
      <c r="A759" s="425"/>
      <c r="B759" s="368" t="str">
        <f t="shared" si="257"/>
        <v/>
      </c>
      <c r="C759" s="425"/>
      <c r="D759" s="423"/>
      <c r="E759" s="422" t="str">
        <f t="shared" ca="1" si="253"/>
        <v/>
      </c>
      <c r="F759" s="426" t="str">
        <f t="shared" ca="1" si="248"/>
        <v/>
      </c>
      <c r="G759" s="415"/>
      <c r="H759" s="415"/>
      <c r="I759" s="415" t="str">
        <f t="shared" ref="I759:I822" si="258">+IF(G759="","",G759*H759)</f>
        <v/>
      </c>
      <c r="J759" s="415" t="str">
        <f t="shared" si="256"/>
        <v/>
      </c>
      <c r="K759" s="415" t="str">
        <f t="shared" ref="K759:K822" si="259">+IF(G759="","",I759+J759)</f>
        <v/>
      </c>
      <c r="L759" s="415"/>
      <c r="M759" s="415"/>
      <c r="N759" s="422" t="str">
        <f t="shared" si="255"/>
        <v/>
      </c>
      <c r="O759" s="422" t="str">
        <f t="shared" si="249"/>
        <v/>
      </c>
      <c r="P759" s="422" t="str">
        <f t="shared" si="250"/>
        <v/>
      </c>
      <c r="Q759" s="422" t="str">
        <f t="shared" si="251"/>
        <v/>
      </c>
      <c r="R759" s="422" t="str">
        <f t="shared" si="252"/>
        <v/>
      </c>
      <c r="S759" s="583">
        <f t="shared" si="254"/>
        <v>0</v>
      </c>
      <c r="T759" s="377" t="str">
        <f>+IFERROR(VLOOKUP(S759,STAT1!$C$4:$D$189,2,FALSE),"")</f>
        <v/>
      </c>
      <c r="U759" s="424"/>
      <c r="V759" s="424"/>
      <c r="W759" s="822"/>
      <c r="X759" s="436" t="str">
        <f>IFERROR(VLOOKUP(W759,DATA!$G$4:$H$400,2,FALSE),"")</f>
        <v/>
      </c>
      <c r="Y759" s="328"/>
      <c r="Z759" s="328"/>
      <c r="AA759" s="328"/>
    </row>
    <row r="760" spans="1:27" ht="12.75" customHeight="1">
      <c r="A760" s="425"/>
      <c r="B760" s="368" t="str">
        <f t="shared" si="257"/>
        <v/>
      </c>
      <c r="C760" s="425"/>
      <c r="D760" s="423"/>
      <c r="E760" s="422" t="str">
        <f t="shared" ca="1" si="253"/>
        <v/>
      </c>
      <c r="F760" s="426" t="str">
        <f t="shared" ref="F760:F823" ca="1" si="260">+IFERROR(VLOOKUP(D760,TN_table,3,FALSE),"")</f>
        <v/>
      </c>
      <c r="G760" s="415"/>
      <c r="H760" s="415"/>
      <c r="I760" s="415" t="str">
        <f t="shared" si="258"/>
        <v/>
      </c>
      <c r="J760" s="415" t="str">
        <f t="shared" si="256"/>
        <v/>
      </c>
      <c r="K760" s="415" t="str">
        <f t="shared" si="259"/>
        <v/>
      </c>
      <c r="L760" s="415"/>
      <c r="M760" s="415"/>
      <c r="N760" s="422" t="str">
        <f t="shared" si="255"/>
        <v/>
      </c>
      <c r="O760" s="422" t="str">
        <f t="shared" ref="O760:O823" si="261">+IF(L760="","",N760*0.1)</f>
        <v/>
      </c>
      <c r="P760" s="422" t="str">
        <f t="shared" ref="P760:P823" si="262">+IF(L760="","",N760+O760)</f>
        <v/>
      </c>
      <c r="Q760" s="422" t="str">
        <f t="shared" ref="Q760:Q823" si="263">IF(L760="","",IFERROR((SUMIFS(TN_balC1_totol,TN_code,D760)+SUMIFS(RC_or_totol,RC_Code,D760,RC_date,"&lt;="&amp;C760)-SUMIFS(RC_zar_totol,RC_Code,D760,RC_date,"&lt;"&amp;C760)) /( SUMIFS(TN_balC1_unit,TN_code,D760)+SUMIFS(RC_or_unit,RC_Code,D760,RC_date,"&lt;="&amp;C760)-SUMIFS(RC_zar_unit,RC_Code,D760,RC_date,"&lt;"&amp;C760)),0 ))</f>
        <v/>
      </c>
      <c r="R760" s="422" t="str">
        <f t="shared" ref="R760:R823" si="264">+IF(L760="","",L760*Q760)</f>
        <v/>
      </c>
      <c r="S760" s="583">
        <f t="shared" si="254"/>
        <v>0</v>
      </c>
      <c r="T760" s="377" t="str">
        <f>+IFERROR(VLOOKUP(S760,STAT1!$C$4:$D$189,2,FALSE),"")</f>
        <v/>
      </c>
      <c r="U760" s="424"/>
      <c r="V760" s="424"/>
      <c r="W760" s="822"/>
      <c r="X760" s="436" t="str">
        <f>IFERROR(VLOOKUP(W760,DATA!$G$4:$H$400,2,FALSE),"")</f>
        <v/>
      </c>
      <c r="Y760" s="328"/>
      <c r="Z760" s="328"/>
      <c r="AA760" s="328"/>
    </row>
    <row r="761" spans="1:27" ht="12.75" customHeight="1">
      <c r="A761" s="425"/>
      <c r="B761" s="368" t="str">
        <f t="shared" si="257"/>
        <v/>
      </c>
      <c r="C761" s="425"/>
      <c r="D761" s="423"/>
      <c r="E761" s="422" t="str">
        <f t="shared" ca="1" si="253"/>
        <v/>
      </c>
      <c r="F761" s="426" t="str">
        <f t="shared" ca="1" si="260"/>
        <v/>
      </c>
      <c r="G761" s="415"/>
      <c r="H761" s="415"/>
      <c r="I761" s="415" t="str">
        <f t="shared" si="258"/>
        <v/>
      </c>
      <c r="J761" s="415" t="str">
        <f t="shared" si="256"/>
        <v/>
      </c>
      <c r="K761" s="415" t="str">
        <f t="shared" si="259"/>
        <v/>
      </c>
      <c r="L761" s="415"/>
      <c r="M761" s="415"/>
      <c r="N761" s="422" t="str">
        <f t="shared" si="255"/>
        <v/>
      </c>
      <c r="O761" s="422" t="str">
        <f t="shared" si="261"/>
        <v/>
      </c>
      <c r="P761" s="422" t="str">
        <f t="shared" si="262"/>
        <v/>
      </c>
      <c r="Q761" s="422" t="str">
        <f t="shared" si="263"/>
        <v/>
      </c>
      <c r="R761" s="422" t="str">
        <f t="shared" si="264"/>
        <v/>
      </c>
      <c r="S761" s="583">
        <f t="shared" si="254"/>
        <v>0</v>
      </c>
      <c r="T761" s="377" t="str">
        <f>+IFERROR(VLOOKUP(S761,STAT1!$C$4:$D$189,2,FALSE),"")</f>
        <v/>
      </c>
      <c r="U761" s="424"/>
      <c r="V761" s="424"/>
      <c r="W761" s="822"/>
      <c r="X761" s="436" t="str">
        <f>IFERROR(VLOOKUP(W761,DATA!$G$4:$H$400,2,FALSE),"")</f>
        <v/>
      </c>
      <c r="Y761" s="328"/>
      <c r="Z761" s="328"/>
      <c r="AA761" s="328"/>
    </row>
    <row r="762" spans="1:27" ht="12.75" customHeight="1">
      <c r="A762" s="425"/>
      <c r="B762" s="368" t="str">
        <f t="shared" si="257"/>
        <v/>
      </c>
      <c r="C762" s="425"/>
      <c r="D762" s="423"/>
      <c r="E762" s="422" t="str">
        <f t="shared" ca="1" si="253"/>
        <v/>
      </c>
      <c r="F762" s="426" t="str">
        <f t="shared" ca="1" si="260"/>
        <v/>
      </c>
      <c r="G762" s="415"/>
      <c r="H762" s="415"/>
      <c r="I762" s="415" t="str">
        <f t="shared" si="258"/>
        <v/>
      </c>
      <c r="J762" s="415" t="str">
        <f t="shared" si="256"/>
        <v/>
      </c>
      <c r="K762" s="415" t="str">
        <f t="shared" si="259"/>
        <v/>
      </c>
      <c r="L762" s="415"/>
      <c r="M762" s="415"/>
      <c r="N762" s="422" t="str">
        <f t="shared" si="255"/>
        <v/>
      </c>
      <c r="O762" s="422" t="str">
        <f t="shared" si="261"/>
        <v/>
      </c>
      <c r="P762" s="422" t="str">
        <f t="shared" si="262"/>
        <v/>
      </c>
      <c r="Q762" s="422" t="str">
        <f t="shared" si="263"/>
        <v/>
      </c>
      <c r="R762" s="422" t="str">
        <f t="shared" si="264"/>
        <v/>
      </c>
      <c r="S762" s="583">
        <f t="shared" si="254"/>
        <v>0</v>
      </c>
      <c r="T762" s="377" t="str">
        <f>+IFERROR(VLOOKUP(S762,STAT1!$C$4:$D$189,2,FALSE),"")</f>
        <v/>
      </c>
      <c r="U762" s="424"/>
      <c r="V762" s="424"/>
      <c r="W762" s="822"/>
      <c r="X762" s="436" t="str">
        <f>IFERROR(VLOOKUP(W762,DATA!$G$4:$H$400,2,FALSE),"")</f>
        <v/>
      </c>
      <c r="Y762" s="328"/>
      <c r="Z762" s="328"/>
      <c r="AA762" s="328"/>
    </row>
    <row r="763" spans="1:27" ht="12.75" customHeight="1">
      <c r="A763" s="425"/>
      <c r="B763" s="368" t="str">
        <f t="shared" si="257"/>
        <v/>
      </c>
      <c r="C763" s="425"/>
      <c r="D763" s="423"/>
      <c r="E763" s="422" t="str">
        <f t="shared" ca="1" si="253"/>
        <v/>
      </c>
      <c r="F763" s="426" t="str">
        <f t="shared" ca="1" si="260"/>
        <v/>
      </c>
      <c r="G763" s="415"/>
      <c r="H763" s="415"/>
      <c r="I763" s="415" t="str">
        <f t="shared" si="258"/>
        <v/>
      </c>
      <c r="J763" s="415" t="str">
        <f t="shared" si="256"/>
        <v/>
      </c>
      <c r="K763" s="415" t="str">
        <f t="shared" si="259"/>
        <v/>
      </c>
      <c r="L763" s="415"/>
      <c r="M763" s="415"/>
      <c r="N763" s="422" t="str">
        <f t="shared" si="255"/>
        <v/>
      </c>
      <c r="O763" s="422" t="str">
        <f t="shared" si="261"/>
        <v/>
      </c>
      <c r="P763" s="422" t="str">
        <f t="shared" si="262"/>
        <v/>
      </c>
      <c r="Q763" s="422" t="str">
        <f t="shared" si="263"/>
        <v/>
      </c>
      <c r="R763" s="422" t="str">
        <f t="shared" si="264"/>
        <v/>
      </c>
      <c r="S763" s="583">
        <f t="shared" si="254"/>
        <v>0</v>
      </c>
      <c r="T763" s="377" t="str">
        <f>+IFERROR(VLOOKUP(S763,STAT1!$C$4:$D$189,2,FALSE),"")</f>
        <v/>
      </c>
      <c r="U763" s="424"/>
      <c r="V763" s="424"/>
      <c r="W763" s="822"/>
      <c r="X763" s="436" t="str">
        <f>IFERROR(VLOOKUP(W763,DATA!$G$4:$H$400,2,FALSE),"")</f>
        <v/>
      </c>
      <c r="Y763" s="328"/>
      <c r="Z763" s="328"/>
      <c r="AA763" s="328"/>
    </row>
    <row r="764" spans="1:27" ht="12.75" customHeight="1">
      <c r="A764" s="425"/>
      <c r="B764" s="368" t="str">
        <f t="shared" si="257"/>
        <v/>
      </c>
      <c r="C764" s="425"/>
      <c r="D764" s="423"/>
      <c r="E764" s="422" t="str">
        <f t="shared" ca="1" si="253"/>
        <v/>
      </c>
      <c r="F764" s="426" t="str">
        <f t="shared" ca="1" si="260"/>
        <v/>
      </c>
      <c r="G764" s="415"/>
      <c r="H764" s="415"/>
      <c r="I764" s="415" t="str">
        <f t="shared" si="258"/>
        <v/>
      </c>
      <c r="J764" s="415" t="str">
        <f t="shared" si="256"/>
        <v/>
      </c>
      <c r="K764" s="415" t="str">
        <f t="shared" si="259"/>
        <v/>
      </c>
      <c r="L764" s="415"/>
      <c r="M764" s="415"/>
      <c r="N764" s="422" t="str">
        <f t="shared" si="255"/>
        <v/>
      </c>
      <c r="O764" s="422" t="str">
        <f t="shared" si="261"/>
        <v/>
      </c>
      <c r="P764" s="422" t="str">
        <f t="shared" si="262"/>
        <v/>
      </c>
      <c r="Q764" s="422" t="str">
        <f t="shared" si="263"/>
        <v/>
      </c>
      <c r="R764" s="422" t="str">
        <f t="shared" si="264"/>
        <v/>
      </c>
      <c r="S764" s="583">
        <f t="shared" si="254"/>
        <v>0</v>
      </c>
      <c r="T764" s="377" t="str">
        <f>+IFERROR(VLOOKUP(S764,STAT1!$C$4:$D$189,2,FALSE),"")</f>
        <v/>
      </c>
      <c r="U764" s="424"/>
      <c r="V764" s="424"/>
      <c r="W764" s="822"/>
      <c r="X764" s="436" t="str">
        <f>IFERROR(VLOOKUP(W764,DATA!$G$4:$H$400,2,FALSE),"")</f>
        <v/>
      </c>
      <c r="Y764" s="328"/>
      <c r="Z764" s="328"/>
      <c r="AA764" s="328"/>
    </row>
    <row r="765" spans="1:27" ht="12.75" customHeight="1">
      <c r="A765" s="425"/>
      <c r="B765" s="368" t="str">
        <f t="shared" si="257"/>
        <v/>
      </c>
      <c r="C765" s="425"/>
      <c r="D765" s="423"/>
      <c r="E765" s="422" t="str">
        <f t="shared" ca="1" si="253"/>
        <v/>
      </c>
      <c r="F765" s="426" t="str">
        <f t="shared" ca="1" si="260"/>
        <v/>
      </c>
      <c r="G765" s="415"/>
      <c r="H765" s="415"/>
      <c r="I765" s="415" t="str">
        <f t="shared" si="258"/>
        <v/>
      </c>
      <c r="J765" s="415" t="str">
        <f t="shared" si="256"/>
        <v/>
      </c>
      <c r="K765" s="415" t="str">
        <f t="shared" si="259"/>
        <v/>
      </c>
      <c r="L765" s="415"/>
      <c r="M765" s="415"/>
      <c r="N765" s="422" t="str">
        <f t="shared" si="255"/>
        <v/>
      </c>
      <c r="O765" s="422" t="str">
        <f t="shared" si="261"/>
        <v/>
      </c>
      <c r="P765" s="422" t="str">
        <f t="shared" si="262"/>
        <v/>
      </c>
      <c r="Q765" s="422" t="str">
        <f t="shared" si="263"/>
        <v/>
      </c>
      <c r="R765" s="422" t="str">
        <f t="shared" si="264"/>
        <v/>
      </c>
      <c r="S765" s="583">
        <f t="shared" si="254"/>
        <v>0</v>
      </c>
      <c r="T765" s="377" t="str">
        <f>+IFERROR(VLOOKUP(S765,STAT1!$C$4:$D$189,2,FALSE),"")</f>
        <v/>
      </c>
      <c r="U765" s="424"/>
      <c r="V765" s="424"/>
      <c r="W765" s="822"/>
      <c r="X765" s="436" t="str">
        <f>IFERROR(VLOOKUP(W765,DATA!$G$4:$H$400,2,FALSE),"")</f>
        <v/>
      </c>
      <c r="Y765" s="328"/>
      <c r="Z765" s="328"/>
      <c r="AA765" s="328"/>
    </row>
    <row r="766" spans="1:27" ht="12.75" customHeight="1">
      <c r="A766" s="425"/>
      <c r="B766" s="368" t="str">
        <f t="shared" si="257"/>
        <v/>
      </c>
      <c r="C766" s="425"/>
      <c r="D766" s="423"/>
      <c r="E766" s="422" t="str">
        <f t="shared" ca="1" si="253"/>
        <v/>
      </c>
      <c r="F766" s="426" t="str">
        <f t="shared" ca="1" si="260"/>
        <v/>
      </c>
      <c r="G766" s="415"/>
      <c r="H766" s="415"/>
      <c r="I766" s="415" t="str">
        <f t="shared" si="258"/>
        <v/>
      </c>
      <c r="J766" s="415" t="str">
        <f t="shared" si="256"/>
        <v/>
      </c>
      <c r="K766" s="415" t="str">
        <f t="shared" si="259"/>
        <v/>
      </c>
      <c r="L766" s="415"/>
      <c r="M766" s="415"/>
      <c r="N766" s="422" t="str">
        <f t="shared" si="255"/>
        <v/>
      </c>
      <c r="O766" s="422" t="str">
        <f t="shared" si="261"/>
        <v/>
      </c>
      <c r="P766" s="422" t="str">
        <f t="shared" si="262"/>
        <v/>
      </c>
      <c r="Q766" s="422" t="str">
        <f t="shared" si="263"/>
        <v/>
      </c>
      <c r="R766" s="422" t="str">
        <f t="shared" si="264"/>
        <v/>
      </c>
      <c r="S766" s="583">
        <f t="shared" si="254"/>
        <v>0</v>
      </c>
      <c r="T766" s="377" t="str">
        <f>+IFERROR(VLOOKUP(S766,STAT1!$C$4:$D$189,2,FALSE),"")</f>
        <v/>
      </c>
      <c r="U766" s="424"/>
      <c r="V766" s="424"/>
      <c r="W766" s="822"/>
      <c r="X766" s="436" t="str">
        <f>IFERROR(VLOOKUP(W766,DATA!$G$4:$H$400,2,FALSE),"")</f>
        <v/>
      </c>
      <c r="Y766" s="328"/>
      <c r="Z766" s="328"/>
      <c r="AA766" s="328"/>
    </row>
    <row r="767" spans="1:27" ht="12.75" customHeight="1">
      <c r="A767" s="425"/>
      <c r="B767" s="368" t="str">
        <f t="shared" si="257"/>
        <v/>
      </c>
      <c r="C767" s="425"/>
      <c r="D767" s="423"/>
      <c r="E767" s="422" t="str">
        <f t="shared" ca="1" si="253"/>
        <v/>
      </c>
      <c r="F767" s="426" t="str">
        <f t="shared" ca="1" si="260"/>
        <v/>
      </c>
      <c r="G767" s="415"/>
      <c r="H767" s="415"/>
      <c r="I767" s="415" t="str">
        <f t="shared" si="258"/>
        <v/>
      </c>
      <c r="J767" s="415" t="str">
        <f t="shared" si="256"/>
        <v/>
      </c>
      <c r="K767" s="415" t="str">
        <f t="shared" si="259"/>
        <v/>
      </c>
      <c r="L767" s="415"/>
      <c r="M767" s="415"/>
      <c r="N767" s="422" t="str">
        <f t="shared" si="255"/>
        <v/>
      </c>
      <c r="O767" s="422" t="str">
        <f t="shared" si="261"/>
        <v/>
      </c>
      <c r="P767" s="422" t="str">
        <f t="shared" si="262"/>
        <v/>
      </c>
      <c r="Q767" s="422" t="str">
        <f t="shared" si="263"/>
        <v/>
      </c>
      <c r="R767" s="422" t="str">
        <f t="shared" si="264"/>
        <v/>
      </c>
      <c r="S767" s="583">
        <f t="shared" si="254"/>
        <v>0</v>
      </c>
      <c r="T767" s="377" t="str">
        <f>+IFERROR(VLOOKUP(S767,STAT1!$C$4:$D$189,2,FALSE),"")</f>
        <v/>
      </c>
      <c r="U767" s="424"/>
      <c r="V767" s="424"/>
      <c r="W767" s="822"/>
      <c r="X767" s="436" t="str">
        <f>IFERROR(VLOOKUP(W767,DATA!$G$4:$H$400,2,FALSE),"")</f>
        <v/>
      </c>
      <c r="Y767" s="328"/>
      <c r="Z767" s="328"/>
      <c r="AA767" s="328"/>
    </row>
    <row r="768" spans="1:27" ht="12.75" customHeight="1">
      <c r="A768" s="425"/>
      <c r="B768" s="368" t="str">
        <f t="shared" si="257"/>
        <v/>
      </c>
      <c r="C768" s="425"/>
      <c r="D768" s="423"/>
      <c r="E768" s="422" t="str">
        <f t="shared" ca="1" si="253"/>
        <v/>
      </c>
      <c r="F768" s="426" t="str">
        <f t="shared" ca="1" si="260"/>
        <v/>
      </c>
      <c r="G768" s="415"/>
      <c r="H768" s="415"/>
      <c r="I768" s="415" t="str">
        <f t="shared" si="258"/>
        <v/>
      </c>
      <c r="J768" s="415" t="str">
        <f t="shared" si="256"/>
        <v/>
      </c>
      <c r="K768" s="415" t="str">
        <f t="shared" si="259"/>
        <v/>
      </c>
      <c r="L768" s="415"/>
      <c r="M768" s="415"/>
      <c r="N768" s="422" t="str">
        <f t="shared" si="255"/>
        <v/>
      </c>
      <c r="O768" s="422" t="str">
        <f t="shared" si="261"/>
        <v/>
      </c>
      <c r="P768" s="422" t="str">
        <f t="shared" si="262"/>
        <v/>
      </c>
      <c r="Q768" s="422" t="str">
        <f t="shared" si="263"/>
        <v/>
      </c>
      <c r="R768" s="422" t="str">
        <f t="shared" si="264"/>
        <v/>
      </c>
      <c r="S768" s="583">
        <f t="shared" si="254"/>
        <v>0</v>
      </c>
      <c r="T768" s="377" t="str">
        <f>+IFERROR(VLOOKUP(S768,STAT1!$C$4:$D$189,2,FALSE),"")</f>
        <v/>
      </c>
      <c r="U768" s="424"/>
      <c r="V768" s="424"/>
      <c r="W768" s="822"/>
      <c r="X768" s="436" t="str">
        <f>IFERROR(VLOOKUP(W768,DATA!$G$4:$H$400,2,FALSE),"")</f>
        <v/>
      </c>
      <c r="Y768" s="328"/>
      <c r="Z768" s="328"/>
      <c r="AA768" s="328"/>
    </row>
    <row r="769" spans="1:27" ht="12.75" customHeight="1">
      <c r="A769" s="425"/>
      <c r="B769" s="368" t="str">
        <f t="shared" si="257"/>
        <v/>
      </c>
      <c r="C769" s="425"/>
      <c r="D769" s="423"/>
      <c r="E769" s="422" t="str">
        <f t="shared" ca="1" si="253"/>
        <v/>
      </c>
      <c r="F769" s="426" t="str">
        <f t="shared" ca="1" si="260"/>
        <v/>
      </c>
      <c r="G769" s="415"/>
      <c r="H769" s="415"/>
      <c r="I769" s="415" t="str">
        <f t="shared" si="258"/>
        <v/>
      </c>
      <c r="J769" s="415" t="str">
        <f t="shared" si="256"/>
        <v/>
      </c>
      <c r="K769" s="415" t="str">
        <f t="shared" si="259"/>
        <v/>
      </c>
      <c r="L769" s="415"/>
      <c r="M769" s="415"/>
      <c r="N769" s="422" t="str">
        <f t="shared" si="255"/>
        <v/>
      </c>
      <c r="O769" s="422" t="str">
        <f t="shared" si="261"/>
        <v/>
      </c>
      <c r="P769" s="422" t="str">
        <f t="shared" si="262"/>
        <v/>
      </c>
      <c r="Q769" s="422" t="str">
        <f t="shared" si="263"/>
        <v/>
      </c>
      <c r="R769" s="422" t="str">
        <f t="shared" si="264"/>
        <v/>
      </c>
      <c r="S769" s="583">
        <f t="shared" si="254"/>
        <v>0</v>
      </c>
      <c r="T769" s="377" t="str">
        <f>+IFERROR(VLOOKUP(S769,STAT1!$C$4:$D$189,2,FALSE),"")</f>
        <v/>
      </c>
      <c r="U769" s="424"/>
      <c r="V769" s="424"/>
      <c r="W769" s="822"/>
      <c r="X769" s="436" t="str">
        <f>IFERROR(VLOOKUP(W769,DATA!$G$4:$H$400,2,FALSE),"")</f>
        <v/>
      </c>
      <c r="Y769" s="328"/>
      <c r="Z769" s="328"/>
      <c r="AA769" s="328"/>
    </row>
    <row r="770" spans="1:27" ht="12.75" customHeight="1">
      <c r="A770" s="425"/>
      <c r="B770" s="368" t="str">
        <f t="shared" si="257"/>
        <v/>
      </c>
      <c r="C770" s="425"/>
      <c r="D770" s="423"/>
      <c r="E770" s="422" t="str">
        <f t="shared" ca="1" si="253"/>
        <v/>
      </c>
      <c r="F770" s="426" t="str">
        <f t="shared" ca="1" si="260"/>
        <v/>
      </c>
      <c r="G770" s="415"/>
      <c r="H770" s="415"/>
      <c r="I770" s="415" t="str">
        <f t="shared" si="258"/>
        <v/>
      </c>
      <c r="J770" s="415" t="str">
        <f t="shared" si="256"/>
        <v/>
      </c>
      <c r="K770" s="415" t="str">
        <f t="shared" si="259"/>
        <v/>
      </c>
      <c r="L770" s="415"/>
      <c r="M770" s="415"/>
      <c r="N770" s="422" t="str">
        <f t="shared" si="255"/>
        <v/>
      </c>
      <c r="O770" s="422" t="str">
        <f t="shared" si="261"/>
        <v/>
      </c>
      <c r="P770" s="422" t="str">
        <f t="shared" si="262"/>
        <v/>
      </c>
      <c r="Q770" s="422" t="str">
        <f t="shared" si="263"/>
        <v/>
      </c>
      <c r="R770" s="422" t="str">
        <f t="shared" si="264"/>
        <v/>
      </c>
      <c r="S770" s="583">
        <f t="shared" si="254"/>
        <v>0</v>
      </c>
      <c r="T770" s="377" t="str">
        <f>+IFERROR(VLOOKUP(S770,STAT1!$C$4:$D$189,2,FALSE),"")</f>
        <v/>
      </c>
      <c r="U770" s="424"/>
      <c r="V770" s="424"/>
      <c r="W770" s="822"/>
      <c r="X770" s="436" t="str">
        <f>IFERROR(VLOOKUP(W770,DATA!$G$4:$H$400,2,FALSE),"")</f>
        <v/>
      </c>
      <c r="Y770" s="328"/>
      <c r="Z770" s="328"/>
      <c r="AA770" s="328"/>
    </row>
    <row r="771" spans="1:27" ht="12.75" customHeight="1">
      <c r="A771" s="425"/>
      <c r="B771" s="368" t="str">
        <f t="shared" si="257"/>
        <v/>
      </c>
      <c r="C771" s="425"/>
      <c r="D771" s="423"/>
      <c r="E771" s="422" t="str">
        <f t="shared" ca="1" si="253"/>
        <v/>
      </c>
      <c r="F771" s="426" t="str">
        <f t="shared" ca="1" si="260"/>
        <v/>
      </c>
      <c r="G771" s="415"/>
      <c r="H771" s="415"/>
      <c r="I771" s="415" t="str">
        <f t="shared" si="258"/>
        <v/>
      </c>
      <c r="J771" s="415" t="str">
        <f t="shared" si="256"/>
        <v/>
      </c>
      <c r="K771" s="415" t="str">
        <f t="shared" si="259"/>
        <v/>
      </c>
      <c r="L771" s="415"/>
      <c r="M771" s="415"/>
      <c r="N771" s="422" t="str">
        <f t="shared" si="255"/>
        <v/>
      </c>
      <c r="O771" s="422" t="str">
        <f t="shared" si="261"/>
        <v/>
      </c>
      <c r="P771" s="422" t="str">
        <f t="shared" si="262"/>
        <v/>
      </c>
      <c r="Q771" s="422" t="str">
        <f t="shared" si="263"/>
        <v/>
      </c>
      <c r="R771" s="422" t="str">
        <f t="shared" si="264"/>
        <v/>
      </c>
      <c r="S771" s="583">
        <f t="shared" si="254"/>
        <v>0</v>
      </c>
      <c r="T771" s="377" t="str">
        <f>+IFERROR(VLOOKUP(S771,STAT1!$C$4:$D$189,2,FALSE),"")</f>
        <v/>
      </c>
      <c r="U771" s="424"/>
      <c r="V771" s="424"/>
      <c r="W771" s="822"/>
      <c r="X771" s="436" t="str">
        <f>IFERROR(VLOOKUP(W771,DATA!$G$4:$H$400,2,FALSE),"")</f>
        <v/>
      </c>
      <c r="Y771" s="328"/>
      <c r="Z771" s="328"/>
      <c r="AA771" s="328"/>
    </row>
    <row r="772" spans="1:27" ht="12.75" customHeight="1">
      <c r="A772" s="425"/>
      <c r="B772" s="368" t="str">
        <f t="shared" si="257"/>
        <v/>
      </c>
      <c r="C772" s="425"/>
      <c r="D772" s="423"/>
      <c r="E772" s="422" t="str">
        <f t="shared" ca="1" si="253"/>
        <v/>
      </c>
      <c r="F772" s="426" t="str">
        <f t="shared" ca="1" si="260"/>
        <v/>
      </c>
      <c r="G772" s="415"/>
      <c r="H772" s="415"/>
      <c r="I772" s="415" t="str">
        <f t="shared" si="258"/>
        <v/>
      </c>
      <c r="J772" s="415" t="str">
        <f t="shared" si="256"/>
        <v/>
      </c>
      <c r="K772" s="415" t="str">
        <f t="shared" si="259"/>
        <v/>
      </c>
      <c r="L772" s="415"/>
      <c r="M772" s="415"/>
      <c r="N772" s="422" t="str">
        <f t="shared" si="255"/>
        <v/>
      </c>
      <c r="O772" s="422" t="str">
        <f t="shared" si="261"/>
        <v/>
      </c>
      <c r="P772" s="422" t="str">
        <f t="shared" si="262"/>
        <v/>
      </c>
      <c r="Q772" s="422" t="str">
        <f t="shared" si="263"/>
        <v/>
      </c>
      <c r="R772" s="422" t="str">
        <f t="shared" si="264"/>
        <v/>
      </c>
      <c r="S772" s="583">
        <f t="shared" si="254"/>
        <v>0</v>
      </c>
      <c r="T772" s="377" t="str">
        <f>+IFERROR(VLOOKUP(S772,STAT1!$C$4:$D$189,2,FALSE),"")</f>
        <v/>
      </c>
      <c r="U772" s="424"/>
      <c r="V772" s="424"/>
      <c r="W772" s="822"/>
      <c r="X772" s="436" t="str">
        <f>IFERROR(VLOOKUP(W772,DATA!$G$4:$H$400,2,FALSE),"")</f>
        <v/>
      </c>
      <c r="Y772" s="328"/>
      <c r="Z772" s="328"/>
      <c r="AA772" s="328"/>
    </row>
    <row r="773" spans="1:27" ht="12.75" customHeight="1">
      <c r="A773" s="425"/>
      <c r="B773" s="368" t="str">
        <f t="shared" si="257"/>
        <v/>
      </c>
      <c r="C773" s="425"/>
      <c r="D773" s="423"/>
      <c r="E773" s="422" t="str">
        <f t="shared" ca="1" si="253"/>
        <v/>
      </c>
      <c r="F773" s="426" t="str">
        <f t="shared" ca="1" si="260"/>
        <v/>
      </c>
      <c r="G773" s="415"/>
      <c r="H773" s="415"/>
      <c r="I773" s="415" t="str">
        <f t="shared" si="258"/>
        <v/>
      </c>
      <c r="J773" s="415" t="str">
        <f t="shared" si="256"/>
        <v/>
      </c>
      <c r="K773" s="415" t="str">
        <f t="shared" si="259"/>
        <v/>
      </c>
      <c r="L773" s="415"/>
      <c r="M773" s="415"/>
      <c r="N773" s="422" t="str">
        <f t="shared" si="255"/>
        <v/>
      </c>
      <c r="O773" s="422" t="str">
        <f t="shared" si="261"/>
        <v/>
      </c>
      <c r="P773" s="422" t="str">
        <f t="shared" si="262"/>
        <v/>
      </c>
      <c r="Q773" s="422" t="str">
        <f t="shared" si="263"/>
        <v/>
      </c>
      <c r="R773" s="422" t="str">
        <f t="shared" si="264"/>
        <v/>
      </c>
      <c r="S773" s="583">
        <f t="shared" si="254"/>
        <v>0</v>
      </c>
      <c r="T773" s="377" t="str">
        <f>+IFERROR(VLOOKUP(S773,STAT1!$C$4:$D$189,2,FALSE),"")</f>
        <v/>
      </c>
      <c r="U773" s="424"/>
      <c r="V773" s="424"/>
      <c r="W773" s="822"/>
      <c r="X773" s="436" t="str">
        <f>IFERROR(VLOOKUP(W773,DATA!$G$4:$H$400,2,FALSE),"")</f>
        <v/>
      </c>
      <c r="Y773" s="328"/>
      <c r="Z773" s="328"/>
      <c r="AA773" s="328"/>
    </row>
    <row r="774" spans="1:27" ht="12.75" customHeight="1">
      <c r="A774" s="425"/>
      <c r="B774" s="368" t="str">
        <f t="shared" si="257"/>
        <v/>
      </c>
      <c r="C774" s="425"/>
      <c r="D774" s="423"/>
      <c r="E774" s="422" t="str">
        <f t="shared" ca="1" si="253"/>
        <v/>
      </c>
      <c r="F774" s="426" t="str">
        <f t="shared" ca="1" si="260"/>
        <v/>
      </c>
      <c r="G774" s="415"/>
      <c r="H774" s="415"/>
      <c r="I774" s="415" t="str">
        <f t="shared" si="258"/>
        <v/>
      </c>
      <c r="J774" s="415" t="str">
        <f t="shared" si="256"/>
        <v/>
      </c>
      <c r="K774" s="415" t="str">
        <f t="shared" si="259"/>
        <v/>
      </c>
      <c r="L774" s="415"/>
      <c r="M774" s="415"/>
      <c r="N774" s="422" t="str">
        <f t="shared" si="255"/>
        <v/>
      </c>
      <c r="O774" s="422" t="str">
        <f t="shared" si="261"/>
        <v/>
      </c>
      <c r="P774" s="422" t="str">
        <f t="shared" si="262"/>
        <v/>
      </c>
      <c r="Q774" s="422" t="str">
        <f t="shared" si="263"/>
        <v/>
      </c>
      <c r="R774" s="422" t="str">
        <f t="shared" si="264"/>
        <v/>
      </c>
      <c r="S774" s="583">
        <f t="shared" si="254"/>
        <v>0</v>
      </c>
      <c r="T774" s="377" t="str">
        <f>+IFERROR(VLOOKUP(S774,STAT1!$C$4:$D$189,2,FALSE),"")</f>
        <v/>
      </c>
      <c r="U774" s="424"/>
      <c r="V774" s="424"/>
      <c r="W774" s="822"/>
      <c r="X774" s="436" t="str">
        <f>IFERROR(VLOOKUP(W774,DATA!$G$4:$H$400,2,FALSE),"")</f>
        <v/>
      </c>
      <c r="Y774" s="328"/>
      <c r="Z774" s="328"/>
      <c r="AA774" s="328"/>
    </row>
    <row r="775" spans="1:27" ht="12.75" customHeight="1">
      <c r="A775" s="425"/>
      <c r="B775" s="368" t="str">
        <f t="shared" si="257"/>
        <v/>
      </c>
      <c r="C775" s="425"/>
      <c r="D775" s="423"/>
      <c r="E775" s="422" t="str">
        <f t="shared" ca="1" si="253"/>
        <v/>
      </c>
      <c r="F775" s="426" t="str">
        <f t="shared" ca="1" si="260"/>
        <v/>
      </c>
      <c r="G775" s="415"/>
      <c r="H775" s="415"/>
      <c r="I775" s="415" t="str">
        <f t="shared" si="258"/>
        <v/>
      </c>
      <c r="J775" s="415" t="str">
        <f t="shared" si="256"/>
        <v/>
      </c>
      <c r="K775" s="415" t="str">
        <f t="shared" si="259"/>
        <v/>
      </c>
      <c r="L775" s="415"/>
      <c r="M775" s="415"/>
      <c r="N775" s="422" t="str">
        <f t="shared" si="255"/>
        <v/>
      </c>
      <c r="O775" s="422" t="str">
        <f t="shared" si="261"/>
        <v/>
      </c>
      <c r="P775" s="422" t="str">
        <f t="shared" si="262"/>
        <v/>
      </c>
      <c r="Q775" s="422" t="str">
        <f t="shared" si="263"/>
        <v/>
      </c>
      <c r="R775" s="422" t="str">
        <f t="shared" si="264"/>
        <v/>
      </c>
      <c r="S775" s="583">
        <f t="shared" si="254"/>
        <v>0</v>
      </c>
      <c r="T775" s="377" t="str">
        <f>+IFERROR(VLOOKUP(S775,STAT1!$C$4:$D$189,2,FALSE),"")</f>
        <v/>
      </c>
      <c r="U775" s="424"/>
      <c r="V775" s="424"/>
      <c r="W775" s="822"/>
      <c r="X775" s="436" t="str">
        <f>IFERROR(VLOOKUP(W775,DATA!$G$4:$H$400,2,FALSE),"")</f>
        <v/>
      </c>
      <c r="Y775" s="328"/>
      <c r="Z775" s="328"/>
      <c r="AA775" s="328"/>
    </row>
    <row r="776" spans="1:27" ht="12.75" customHeight="1">
      <c r="A776" s="425"/>
      <c r="B776" s="368" t="str">
        <f t="shared" si="257"/>
        <v/>
      </c>
      <c r="C776" s="425"/>
      <c r="D776" s="423"/>
      <c r="E776" s="422" t="str">
        <f t="shared" ca="1" si="253"/>
        <v/>
      </c>
      <c r="F776" s="426" t="str">
        <f t="shared" ca="1" si="260"/>
        <v/>
      </c>
      <c r="G776" s="415"/>
      <c r="H776" s="415"/>
      <c r="I776" s="415" t="str">
        <f t="shared" si="258"/>
        <v/>
      </c>
      <c r="J776" s="415" t="str">
        <f t="shared" si="256"/>
        <v/>
      </c>
      <c r="K776" s="415" t="str">
        <f t="shared" si="259"/>
        <v/>
      </c>
      <c r="L776" s="415"/>
      <c r="M776" s="415"/>
      <c r="N776" s="422" t="str">
        <f t="shared" si="255"/>
        <v/>
      </c>
      <c r="O776" s="422" t="str">
        <f t="shared" si="261"/>
        <v/>
      </c>
      <c r="P776" s="422" t="str">
        <f t="shared" si="262"/>
        <v/>
      </c>
      <c r="Q776" s="422" t="str">
        <f t="shared" si="263"/>
        <v/>
      </c>
      <c r="R776" s="422" t="str">
        <f t="shared" si="264"/>
        <v/>
      </c>
      <c r="S776" s="583">
        <f t="shared" si="254"/>
        <v>0</v>
      </c>
      <c r="T776" s="377" t="str">
        <f>+IFERROR(VLOOKUP(S776,STAT1!$C$4:$D$189,2,FALSE),"")</f>
        <v/>
      </c>
      <c r="U776" s="424"/>
      <c r="V776" s="424"/>
      <c r="W776" s="822"/>
      <c r="X776" s="436" t="str">
        <f>IFERROR(VLOOKUP(W776,DATA!$G$4:$H$400,2,FALSE),"")</f>
        <v/>
      </c>
      <c r="Y776" s="328"/>
      <c r="Z776" s="328"/>
      <c r="AA776" s="328"/>
    </row>
    <row r="777" spans="1:27" ht="12.75" customHeight="1">
      <c r="A777" s="425"/>
      <c r="B777" s="368" t="str">
        <f t="shared" si="257"/>
        <v/>
      </c>
      <c r="C777" s="425"/>
      <c r="D777" s="423"/>
      <c r="E777" s="422" t="str">
        <f t="shared" ref="E777:E840" ca="1" si="265">+IFERROR(VLOOKUP(D777,TN_table,2,FALSE),"")</f>
        <v/>
      </c>
      <c r="F777" s="426" t="str">
        <f t="shared" ca="1" si="260"/>
        <v/>
      </c>
      <c r="G777" s="415"/>
      <c r="H777" s="415"/>
      <c r="I777" s="415" t="str">
        <f t="shared" si="258"/>
        <v/>
      </c>
      <c r="J777" s="415" t="str">
        <f t="shared" si="256"/>
        <v/>
      </c>
      <c r="K777" s="415" t="str">
        <f t="shared" si="259"/>
        <v/>
      </c>
      <c r="L777" s="415"/>
      <c r="M777" s="415"/>
      <c r="N777" s="422" t="str">
        <f t="shared" si="255"/>
        <v/>
      </c>
      <c r="O777" s="422" t="str">
        <f t="shared" si="261"/>
        <v/>
      </c>
      <c r="P777" s="422" t="str">
        <f t="shared" si="262"/>
        <v/>
      </c>
      <c r="Q777" s="422" t="str">
        <f t="shared" si="263"/>
        <v/>
      </c>
      <c r="R777" s="422" t="str">
        <f t="shared" si="264"/>
        <v/>
      </c>
      <c r="S777" s="583">
        <f t="shared" si="254"/>
        <v>0</v>
      </c>
      <c r="T777" s="377" t="str">
        <f>+IFERROR(VLOOKUP(S777,STAT1!$C$4:$D$189,2,FALSE),"")</f>
        <v/>
      </c>
      <c r="U777" s="424"/>
      <c r="V777" s="424"/>
      <c r="W777" s="822"/>
      <c r="X777" s="436" t="str">
        <f>IFERROR(VLOOKUP(W777,DATA!$G$4:$H$400,2,FALSE),"")</f>
        <v/>
      </c>
      <c r="Y777" s="328"/>
      <c r="Z777" s="328"/>
      <c r="AA777" s="328"/>
    </row>
    <row r="778" spans="1:27" ht="12.75" customHeight="1">
      <c r="A778" s="425"/>
      <c r="B778" s="368" t="str">
        <f t="shared" si="257"/>
        <v/>
      </c>
      <c r="C778" s="425"/>
      <c r="D778" s="423"/>
      <c r="E778" s="422" t="str">
        <f t="shared" ca="1" si="265"/>
        <v/>
      </c>
      <c r="F778" s="426" t="str">
        <f t="shared" ca="1" si="260"/>
        <v/>
      </c>
      <c r="G778" s="415"/>
      <c r="H778" s="415"/>
      <c r="I778" s="415" t="str">
        <f t="shared" si="258"/>
        <v/>
      </c>
      <c r="J778" s="415" t="str">
        <f t="shared" si="256"/>
        <v/>
      </c>
      <c r="K778" s="415" t="str">
        <f t="shared" si="259"/>
        <v/>
      </c>
      <c r="L778" s="415"/>
      <c r="M778" s="415"/>
      <c r="N778" s="422" t="str">
        <f t="shared" si="255"/>
        <v/>
      </c>
      <c r="O778" s="422" t="str">
        <f t="shared" si="261"/>
        <v/>
      </c>
      <c r="P778" s="422" t="str">
        <f t="shared" si="262"/>
        <v/>
      </c>
      <c r="Q778" s="422" t="str">
        <f t="shared" si="263"/>
        <v/>
      </c>
      <c r="R778" s="422" t="str">
        <f t="shared" si="264"/>
        <v/>
      </c>
      <c r="S778" s="583">
        <f t="shared" si="254"/>
        <v>0</v>
      </c>
      <c r="T778" s="377" t="str">
        <f>+IFERROR(VLOOKUP(S778,STAT1!$C$4:$D$189,2,FALSE),"")</f>
        <v/>
      </c>
      <c r="U778" s="424"/>
      <c r="V778" s="424"/>
      <c r="W778" s="822"/>
      <c r="X778" s="436" t="str">
        <f>IFERROR(VLOOKUP(W778,DATA!$G$4:$H$400,2,FALSE),"")</f>
        <v/>
      </c>
      <c r="Y778" s="328"/>
      <c r="Z778" s="328"/>
      <c r="AA778" s="328"/>
    </row>
    <row r="779" spans="1:27" ht="12.75" customHeight="1">
      <c r="A779" s="425"/>
      <c r="B779" s="368" t="str">
        <f t="shared" si="257"/>
        <v/>
      </c>
      <c r="C779" s="425"/>
      <c r="D779" s="423"/>
      <c r="E779" s="422" t="str">
        <f t="shared" ca="1" si="265"/>
        <v/>
      </c>
      <c r="F779" s="426" t="str">
        <f t="shared" ca="1" si="260"/>
        <v/>
      </c>
      <c r="G779" s="415"/>
      <c r="H779" s="415"/>
      <c r="I779" s="415" t="str">
        <f t="shared" si="258"/>
        <v/>
      </c>
      <c r="J779" s="415" t="str">
        <f t="shared" si="256"/>
        <v/>
      </c>
      <c r="K779" s="415" t="str">
        <f t="shared" si="259"/>
        <v/>
      </c>
      <c r="L779" s="415"/>
      <c r="M779" s="415"/>
      <c r="N779" s="422" t="str">
        <f t="shared" si="255"/>
        <v/>
      </c>
      <c r="O779" s="422" t="str">
        <f t="shared" si="261"/>
        <v/>
      </c>
      <c r="P779" s="422" t="str">
        <f t="shared" si="262"/>
        <v/>
      </c>
      <c r="Q779" s="422" t="str">
        <f t="shared" si="263"/>
        <v/>
      </c>
      <c r="R779" s="422" t="str">
        <f t="shared" si="264"/>
        <v/>
      </c>
      <c r="S779" s="583">
        <f t="shared" si="254"/>
        <v>0</v>
      </c>
      <c r="T779" s="377" t="str">
        <f>+IFERROR(VLOOKUP(S779,STAT1!$C$4:$D$189,2,FALSE),"")</f>
        <v/>
      </c>
      <c r="U779" s="424"/>
      <c r="V779" s="424"/>
      <c r="W779" s="822"/>
      <c r="X779" s="436" t="str">
        <f>IFERROR(VLOOKUP(W779,DATA!$G$4:$H$400,2,FALSE),"")</f>
        <v/>
      </c>
      <c r="Y779" s="328"/>
      <c r="Z779" s="328"/>
      <c r="AA779" s="328"/>
    </row>
    <row r="780" spans="1:27" ht="12.75" customHeight="1">
      <c r="A780" s="425"/>
      <c r="B780" s="368" t="str">
        <f t="shared" si="257"/>
        <v/>
      </c>
      <c r="C780" s="425"/>
      <c r="D780" s="423"/>
      <c r="E780" s="422" t="str">
        <f t="shared" ca="1" si="265"/>
        <v/>
      </c>
      <c r="F780" s="426" t="str">
        <f t="shared" ca="1" si="260"/>
        <v/>
      </c>
      <c r="G780" s="415"/>
      <c r="H780" s="415"/>
      <c r="I780" s="415" t="str">
        <f t="shared" si="258"/>
        <v/>
      </c>
      <c r="J780" s="415" t="str">
        <f t="shared" si="256"/>
        <v/>
      </c>
      <c r="K780" s="415" t="str">
        <f t="shared" si="259"/>
        <v/>
      </c>
      <c r="L780" s="415"/>
      <c r="M780" s="415"/>
      <c r="N780" s="422" t="str">
        <f t="shared" si="255"/>
        <v/>
      </c>
      <c r="O780" s="422" t="str">
        <f t="shared" si="261"/>
        <v/>
      </c>
      <c r="P780" s="422" t="str">
        <f t="shared" si="262"/>
        <v/>
      </c>
      <c r="Q780" s="422" t="str">
        <f t="shared" si="263"/>
        <v/>
      </c>
      <c r="R780" s="422" t="str">
        <f t="shared" si="264"/>
        <v/>
      </c>
      <c r="S780" s="583">
        <f t="shared" si="254"/>
        <v>0</v>
      </c>
      <c r="T780" s="377" t="str">
        <f>+IFERROR(VLOOKUP(S780,STAT1!$C$4:$D$189,2,FALSE),"")</f>
        <v/>
      </c>
      <c r="U780" s="424"/>
      <c r="V780" s="424"/>
      <c r="W780" s="822"/>
      <c r="X780" s="436" t="str">
        <f>IFERROR(VLOOKUP(W780,DATA!$G$4:$H$400,2,FALSE),"")</f>
        <v/>
      </c>
      <c r="Y780" s="328"/>
      <c r="Z780" s="328"/>
      <c r="AA780" s="328"/>
    </row>
    <row r="781" spans="1:27" ht="12.75" customHeight="1">
      <c r="A781" s="425"/>
      <c r="B781" s="368" t="str">
        <f t="shared" si="257"/>
        <v/>
      </c>
      <c r="C781" s="425"/>
      <c r="D781" s="423"/>
      <c r="E781" s="422" t="str">
        <f t="shared" ca="1" si="265"/>
        <v/>
      </c>
      <c r="F781" s="426" t="str">
        <f t="shared" ca="1" si="260"/>
        <v/>
      </c>
      <c r="G781" s="415"/>
      <c r="H781" s="415"/>
      <c r="I781" s="415" t="str">
        <f t="shared" si="258"/>
        <v/>
      </c>
      <c r="J781" s="415" t="str">
        <f t="shared" si="256"/>
        <v/>
      </c>
      <c r="K781" s="415" t="str">
        <f t="shared" si="259"/>
        <v/>
      </c>
      <c r="L781" s="415"/>
      <c r="M781" s="415"/>
      <c r="N781" s="422" t="str">
        <f t="shared" si="255"/>
        <v/>
      </c>
      <c r="O781" s="422" t="str">
        <f t="shared" si="261"/>
        <v/>
      </c>
      <c r="P781" s="422" t="str">
        <f t="shared" si="262"/>
        <v/>
      </c>
      <c r="Q781" s="422" t="str">
        <f t="shared" si="263"/>
        <v/>
      </c>
      <c r="R781" s="422" t="str">
        <f t="shared" si="264"/>
        <v/>
      </c>
      <c r="S781" s="583">
        <f t="shared" si="254"/>
        <v>0</v>
      </c>
      <c r="T781" s="377" t="str">
        <f>+IFERROR(VLOOKUP(S781,STAT1!$C$4:$D$189,2,FALSE),"")</f>
        <v/>
      </c>
      <c r="U781" s="424"/>
      <c r="V781" s="424"/>
      <c r="W781" s="822"/>
      <c r="X781" s="436" t="str">
        <f>IFERROR(VLOOKUP(W781,DATA!$G$4:$H$400,2,FALSE),"")</f>
        <v/>
      </c>
      <c r="Y781" s="328"/>
      <c r="Z781" s="328"/>
      <c r="AA781" s="328"/>
    </row>
    <row r="782" spans="1:27" ht="12.75" customHeight="1">
      <c r="A782" s="425"/>
      <c r="B782" s="368" t="str">
        <f t="shared" si="257"/>
        <v/>
      </c>
      <c r="C782" s="425"/>
      <c r="D782" s="423"/>
      <c r="E782" s="422" t="str">
        <f t="shared" ca="1" si="265"/>
        <v/>
      </c>
      <c r="F782" s="426" t="str">
        <f t="shared" ca="1" si="260"/>
        <v/>
      </c>
      <c r="G782" s="415"/>
      <c r="H782" s="415"/>
      <c r="I782" s="415" t="str">
        <f t="shared" si="258"/>
        <v/>
      </c>
      <c r="J782" s="415" t="str">
        <f t="shared" si="256"/>
        <v/>
      </c>
      <c r="K782" s="415" t="str">
        <f t="shared" si="259"/>
        <v/>
      </c>
      <c r="L782" s="415"/>
      <c r="M782" s="415"/>
      <c r="N782" s="422" t="str">
        <f t="shared" si="255"/>
        <v/>
      </c>
      <c r="O782" s="422" t="str">
        <f t="shared" si="261"/>
        <v/>
      </c>
      <c r="P782" s="422" t="str">
        <f t="shared" si="262"/>
        <v/>
      </c>
      <c r="Q782" s="422" t="str">
        <f t="shared" si="263"/>
        <v/>
      </c>
      <c r="R782" s="422" t="str">
        <f t="shared" si="264"/>
        <v/>
      </c>
      <c r="S782" s="583">
        <f t="shared" si="254"/>
        <v>0</v>
      </c>
      <c r="T782" s="377" t="str">
        <f>+IFERROR(VLOOKUP(S782,STAT1!$C$4:$D$189,2,FALSE),"")</f>
        <v/>
      </c>
      <c r="U782" s="424"/>
      <c r="V782" s="424"/>
      <c r="W782" s="822"/>
      <c r="X782" s="436" t="str">
        <f>IFERROR(VLOOKUP(W782,DATA!$G$4:$H$400,2,FALSE),"")</f>
        <v/>
      </c>
      <c r="Y782" s="328"/>
      <c r="Z782" s="328"/>
      <c r="AA782" s="328"/>
    </row>
    <row r="783" spans="1:27" ht="12.75" customHeight="1">
      <c r="A783" s="425"/>
      <c r="B783" s="368" t="str">
        <f t="shared" si="257"/>
        <v/>
      </c>
      <c r="C783" s="425"/>
      <c r="D783" s="423"/>
      <c r="E783" s="422" t="str">
        <f t="shared" ca="1" si="265"/>
        <v/>
      </c>
      <c r="F783" s="426" t="str">
        <f t="shared" ca="1" si="260"/>
        <v/>
      </c>
      <c r="G783" s="415"/>
      <c r="H783" s="415"/>
      <c r="I783" s="415" t="str">
        <f t="shared" si="258"/>
        <v/>
      </c>
      <c r="J783" s="415" t="str">
        <f t="shared" si="256"/>
        <v/>
      </c>
      <c r="K783" s="415" t="str">
        <f t="shared" si="259"/>
        <v/>
      </c>
      <c r="L783" s="415"/>
      <c r="M783" s="415"/>
      <c r="N783" s="422" t="str">
        <f t="shared" si="255"/>
        <v/>
      </c>
      <c r="O783" s="422" t="str">
        <f t="shared" si="261"/>
        <v/>
      </c>
      <c r="P783" s="422" t="str">
        <f t="shared" si="262"/>
        <v/>
      </c>
      <c r="Q783" s="422" t="str">
        <f t="shared" si="263"/>
        <v/>
      </c>
      <c r="R783" s="422" t="str">
        <f t="shared" si="264"/>
        <v/>
      </c>
      <c r="S783" s="583">
        <f t="shared" si="254"/>
        <v>0</v>
      </c>
      <c r="T783" s="377" t="str">
        <f>+IFERROR(VLOOKUP(S783,STAT1!$C$4:$D$189,2,FALSE),"")</f>
        <v/>
      </c>
      <c r="U783" s="424"/>
      <c r="V783" s="424"/>
      <c r="W783" s="822"/>
      <c r="X783" s="436" t="str">
        <f>IFERROR(VLOOKUP(W783,DATA!$G$4:$H$400,2,FALSE),"")</f>
        <v/>
      </c>
      <c r="Y783" s="328"/>
      <c r="Z783" s="328"/>
      <c r="AA783" s="328"/>
    </row>
    <row r="784" spans="1:27" ht="12.75" customHeight="1">
      <c r="A784" s="425"/>
      <c r="B784" s="368" t="str">
        <f t="shared" si="257"/>
        <v/>
      </c>
      <c r="C784" s="425"/>
      <c r="D784" s="423"/>
      <c r="E784" s="422" t="str">
        <f t="shared" ca="1" si="265"/>
        <v/>
      </c>
      <c r="F784" s="426" t="str">
        <f t="shared" ca="1" si="260"/>
        <v/>
      </c>
      <c r="G784" s="415"/>
      <c r="H784" s="415"/>
      <c r="I784" s="415" t="str">
        <f t="shared" si="258"/>
        <v/>
      </c>
      <c r="J784" s="415" t="str">
        <f t="shared" si="256"/>
        <v/>
      </c>
      <c r="K784" s="415" t="str">
        <f t="shared" si="259"/>
        <v/>
      </c>
      <c r="L784" s="415"/>
      <c r="M784" s="415"/>
      <c r="N784" s="422" t="str">
        <f t="shared" si="255"/>
        <v/>
      </c>
      <c r="O784" s="422" t="str">
        <f t="shared" si="261"/>
        <v/>
      </c>
      <c r="P784" s="422" t="str">
        <f t="shared" si="262"/>
        <v/>
      </c>
      <c r="Q784" s="422" t="str">
        <f t="shared" si="263"/>
        <v/>
      </c>
      <c r="R784" s="422" t="str">
        <f t="shared" si="264"/>
        <v/>
      </c>
      <c r="S784" s="583">
        <f t="shared" si="254"/>
        <v>0</v>
      </c>
      <c r="T784" s="377" t="str">
        <f>+IFERROR(VLOOKUP(S784,STAT1!$C$4:$D$189,2,FALSE),"")</f>
        <v/>
      </c>
      <c r="U784" s="424"/>
      <c r="V784" s="424"/>
      <c r="W784" s="822"/>
      <c r="X784" s="436" t="str">
        <f>IFERROR(VLOOKUP(W784,DATA!$G$4:$H$400,2,FALSE),"")</f>
        <v/>
      </c>
      <c r="Y784" s="328"/>
      <c r="Z784" s="328"/>
      <c r="AA784" s="328"/>
    </row>
    <row r="785" spans="1:27" ht="12.75" customHeight="1">
      <c r="A785" s="425"/>
      <c r="B785" s="368" t="str">
        <f t="shared" si="257"/>
        <v/>
      </c>
      <c r="C785" s="425"/>
      <c r="D785" s="423"/>
      <c r="E785" s="422" t="str">
        <f t="shared" ca="1" si="265"/>
        <v/>
      </c>
      <c r="F785" s="426" t="str">
        <f t="shared" ca="1" si="260"/>
        <v/>
      </c>
      <c r="G785" s="415"/>
      <c r="H785" s="415"/>
      <c r="I785" s="415" t="str">
        <f t="shared" si="258"/>
        <v/>
      </c>
      <c r="J785" s="415" t="str">
        <f t="shared" si="256"/>
        <v/>
      </c>
      <c r="K785" s="415" t="str">
        <f t="shared" si="259"/>
        <v/>
      </c>
      <c r="L785" s="415"/>
      <c r="M785" s="415"/>
      <c r="N785" s="422" t="str">
        <f t="shared" si="255"/>
        <v/>
      </c>
      <c r="O785" s="422" t="str">
        <f t="shared" si="261"/>
        <v/>
      </c>
      <c r="P785" s="422" t="str">
        <f t="shared" si="262"/>
        <v/>
      </c>
      <c r="Q785" s="422" t="str">
        <f t="shared" si="263"/>
        <v/>
      </c>
      <c r="R785" s="422" t="str">
        <f t="shared" si="264"/>
        <v/>
      </c>
      <c r="S785" s="583">
        <f t="shared" si="254"/>
        <v>0</v>
      </c>
      <c r="T785" s="377" t="str">
        <f>+IFERROR(VLOOKUP(S785,STAT1!$C$4:$D$189,2,FALSE),"")</f>
        <v/>
      </c>
      <c r="U785" s="424"/>
      <c r="V785" s="424"/>
      <c r="W785" s="822"/>
      <c r="X785" s="436" t="str">
        <f>IFERROR(VLOOKUP(W785,DATA!$G$4:$H$400,2,FALSE),"")</f>
        <v/>
      </c>
      <c r="Y785" s="328"/>
      <c r="Z785" s="328"/>
      <c r="AA785" s="328"/>
    </row>
    <row r="786" spans="1:27" ht="12.75" customHeight="1">
      <c r="A786" s="425"/>
      <c r="B786" s="368" t="str">
        <f t="shared" si="257"/>
        <v/>
      </c>
      <c r="C786" s="425"/>
      <c r="D786" s="423"/>
      <c r="E786" s="422" t="str">
        <f t="shared" ca="1" si="265"/>
        <v/>
      </c>
      <c r="F786" s="426" t="str">
        <f t="shared" ca="1" si="260"/>
        <v/>
      </c>
      <c r="G786" s="415"/>
      <c r="H786" s="415"/>
      <c r="I786" s="415" t="str">
        <f t="shared" si="258"/>
        <v/>
      </c>
      <c r="J786" s="415" t="str">
        <f t="shared" si="256"/>
        <v/>
      </c>
      <c r="K786" s="415" t="str">
        <f t="shared" si="259"/>
        <v/>
      </c>
      <c r="L786" s="415"/>
      <c r="M786" s="415"/>
      <c r="N786" s="422" t="str">
        <f t="shared" si="255"/>
        <v/>
      </c>
      <c r="O786" s="422" t="str">
        <f t="shared" si="261"/>
        <v/>
      </c>
      <c r="P786" s="422" t="str">
        <f t="shared" si="262"/>
        <v/>
      </c>
      <c r="Q786" s="422" t="str">
        <f t="shared" si="263"/>
        <v/>
      </c>
      <c r="R786" s="422" t="str">
        <f t="shared" si="264"/>
        <v/>
      </c>
      <c r="S786" s="583">
        <f t="shared" si="254"/>
        <v>0</v>
      </c>
      <c r="T786" s="377" t="str">
        <f>+IFERROR(VLOOKUP(S786,STAT1!$C$4:$D$189,2,FALSE),"")</f>
        <v/>
      </c>
      <c r="U786" s="424"/>
      <c r="V786" s="424"/>
      <c r="W786" s="822"/>
      <c r="X786" s="436" t="str">
        <f>IFERROR(VLOOKUP(W786,DATA!$G$4:$H$400,2,FALSE),"")</f>
        <v/>
      </c>
      <c r="Y786" s="328"/>
      <c r="Z786" s="328"/>
      <c r="AA786" s="328"/>
    </row>
    <row r="787" spans="1:27" ht="12.75" customHeight="1">
      <c r="A787" s="425"/>
      <c r="B787" s="368" t="str">
        <f t="shared" si="257"/>
        <v/>
      </c>
      <c r="C787" s="425"/>
      <c r="D787" s="423"/>
      <c r="E787" s="422" t="str">
        <f t="shared" ca="1" si="265"/>
        <v/>
      </c>
      <c r="F787" s="426" t="str">
        <f t="shared" ca="1" si="260"/>
        <v/>
      </c>
      <c r="G787" s="415"/>
      <c r="H787" s="415"/>
      <c r="I787" s="415" t="str">
        <f t="shared" si="258"/>
        <v/>
      </c>
      <c r="J787" s="415" t="str">
        <f t="shared" si="256"/>
        <v/>
      </c>
      <c r="K787" s="415" t="str">
        <f t="shared" si="259"/>
        <v/>
      </c>
      <c r="L787" s="415"/>
      <c r="M787" s="415"/>
      <c r="N787" s="422" t="str">
        <f t="shared" si="255"/>
        <v/>
      </c>
      <c r="O787" s="422" t="str">
        <f t="shared" si="261"/>
        <v/>
      </c>
      <c r="P787" s="422" t="str">
        <f t="shared" si="262"/>
        <v/>
      </c>
      <c r="Q787" s="422" t="str">
        <f t="shared" si="263"/>
        <v/>
      </c>
      <c r="R787" s="422" t="str">
        <f t="shared" si="264"/>
        <v/>
      </c>
      <c r="S787" s="583">
        <f t="shared" si="254"/>
        <v>0</v>
      </c>
      <c r="T787" s="377" t="str">
        <f>+IFERROR(VLOOKUP(S787,STAT1!$C$4:$D$189,2,FALSE),"")</f>
        <v/>
      </c>
      <c r="U787" s="424"/>
      <c r="V787" s="424"/>
      <c r="W787" s="822"/>
      <c r="X787" s="436" t="str">
        <f>IFERROR(VLOOKUP(W787,DATA!$G$4:$H$400,2,FALSE),"")</f>
        <v/>
      </c>
      <c r="Y787" s="328"/>
      <c r="Z787" s="328"/>
      <c r="AA787" s="328"/>
    </row>
    <row r="788" spans="1:27" ht="12.75" customHeight="1">
      <c r="A788" s="425"/>
      <c r="B788" s="368" t="str">
        <f t="shared" si="257"/>
        <v/>
      </c>
      <c r="C788" s="425"/>
      <c r="D788" s="423"/>
      <c r="E788" s="422" t="str">
        <f t="shared" ca="1" si="265"/>
        <v/>
      </c>
      <c r="F788" s="426" t="str">
        <f t="shared" ca="1" si="260"/>
        <v/>
      </c>
      <c r="G788" s="415"/>
      <c r="H788" s="415"/>
      <c r="I788" s="415" t="str">
        <f t="shared" si="258"/>
        <v/>
      </c>
      <c r="J788" s="415" t="str">
        <f t="shared" si="256"/>
        <v/>
      </c>
      <c r="K788" s="415" t="str">
        <f t="shared" si="259"/>
        <v/>
      </c>
      <c r="L788" s="415"/>
      <c r="M788" s="415"/>
      <c r="N788" s="422" t="str">
        <f t="shared" si="255"/>
        <v/>
      </c>
      <c r="O788" s="422" t="str">
        <f t="shared" si="261"/>
        <v/>
      </c>
      <c r="P788" s="422" t="str">
        <f t="shared" si="262"/>
        <v/>
      </c>
      <c r="Q788" s="422" t="str">
        <f t="shared" si="263"/>
        <v/>
      </c>
      <c r="R788" s="422" t="str">
        <f t="shared" si="264"/>
        <v/>
      </c>
      <c r="S788" s="583">
        <f t="shared" si="254"/>
        <v>0</v>
      </c>
      <c r="T788" s="377" t="str">
        <f>+IFERROR(VLOOKUP(S788,STAT1!$C$4:$D$189,2,FALSE),"")</f>
        <v/>
      </c>
      <c r="U788" s="424"/>
      <c r="V788" s="424"/>
      <c r="W788" s="822"/>
      <c r="X788" s="436" t="str">
        <f>IFERROR(VLOOKUP(W788,DATA!$G$4:$H$400,2,FALSE),"")</f>
        <v/>
      </c>
      <c r="Y788" s="328"/>
      <c r="Z788" s="328"/>
      <c r="AA788" s="328"/>
    </row>
    <row r="789" spans="1:27" ht="12.75" customHeight="1">
      <c r="A789" s="425"/>
      <c r="B789" s="368" t="str">
        <f t="shared" si="257"/>
        <v/>
      </c>
      <c r="C789" s="425"/>
      <c r="D789" s="423"/>
      <c r="E789" s="422" t="str">
        <f t="shared" ca="1" si="265"/>
        <v/>
      </c>
      <c r="F789" s="426" t="str">
        <f t="shared" ca="1" si="260"/>
        <v/>
      </c>
      <c r="G789" s="415"/>
      <c r="H789" s="415"/>
      <c r="I789" s="415" t="str">
        <f t="shared" si="258"/>
        <v/>
      </c>
      <c r="J789" s="415" t="str">
        <f t="shared" si="256"/>
        <v/>
      </c>
      <c r="K789" s="415" t="str">
        <f t="shared" si="259"/>
        <v/>
      </c>
      <c r="L789" s="415"/>
      <c r="M789" s="415"/>
      <c r="N789" s="422" t="str">
        <f t="shared" si="255"/>
        <v/>
      </c>
      <c r="O789" s="422" t="str">
        <f t="shared" si="261"/>
        <v/>
      </c>
      <c r="P789" s="422" t="str">
        <f t="shared" si="262"/>
        <v/>
      </c>
      <c r="Q789" s="422" t="str">
        <f t="shared" si="263"/>
        <v/>
      </c>
      <c r="R789" s="422" t="str">
        <f t="shared" si="264"/>
        <v/>
      </c>
      <c r="S789" s="583">
        <f t="shared" si="254"/>
        <v>0</v>
      </c>
      <c r="T789" s="377" t="str">
        <f>+IFERROR(VLOOKUP(S789,STAT1!$C$4:$D$189,2,FALSE),"")</f>
        <v/>
      </c>
      <c r="U789" s="424"/>
      <c r="V789" s="424"/>
      <c r="W789" s="822"/>
      <c r="X789" s="436" t="str">
        <f>IFERROR(VLOOKUP(W789,DATA!$G$4:$H$400,2,FALSE),"")</f>
        <v/>
      </c>
      <c r="Y789" s="328"/>
      <c r="Z789" s="328"/>
      <c r="AA789" s="328"/>
    </row>
    <row r="790" spans="1:27" ht="12.75" customHeight="1">
      <c r="A790" s="425"/>
      <c r="B790" s="368" t="str">
        <f t="shared" si="257"/>
        <v/>
      </c>
      <c r="C790" s="425"/>
      <c r="D790" s="423"/>
      <c r="E790" s="422" t="str">
        <f t="shared" ca="1" si="265"/>
        <v/>
      </c>
      <c r="F790" s="426" t="str">
        <f t="shared" ca="1" si="260"/>
        <v/>
      </c>
      <c r="G790" s="415"/>
      <c r="H790" s="415"/>
      <c r="I790" s="415" t="str">
        <f t="shared" si="258"/>
        <v/>
      </c>
      <c r="J790" s="415" t="str">
        <f t="shared" si="256"/>
        <v/>
      </c>
      <c r="K790" s="415" t="str">
        <f t="shared" si="259"/>
        <v/>
      </c>
      <c r="L790" s="415"/>
      <c r="M790" s="415"/>
      <c r="N790" s="422" t="str">
        <f t="shared" si="255"/>
        <v/>
      </c>
      <c r="O790" s="422" t="str">
        <f t="shared" si="261"/>
        <v/>
      </c>
      <c r="P790" s="422" t="str">
        <f t="shared" si="262"/>
        <v/>
      </c>
      <c r="Q790" s="422" t="str">
        <f t="shared" si="263"/>
        <v/>
      </c>
      <c r="R790" s="422" t="str">
        <f t="shared" si="264"/>
        <v/>
      </c>
      <c r="S790" s="583">
        <f t="shared" si="254"/>
        <v>0</v>
      </c>
      <c r="T790" s="377" t="str">
        <f>+IFERROR(VLOOKUP(S790,STAT1!$C$4:$D$189,2,FALSE),"")</f>
        <v/>
      </c>
      <c r="U790" s="424"/>
      <c r="V790" s="424"/>
      <c r="W790" s="822"/>
      <c r="X790" s="436" t="str">
        <f>IFERROR(VLOOKUP(W790,DATA!$G$4:$H$400,2,FALSE),"")</f>
        <v/>
      </c>
      <c r="Y790" s="328"/>
      <c r="Z790" s="328"/>
      <c r="AA790" s="328"/>
    </row>
    <row r="791" spans="1:27" ht="12.75" customHeight="1">
      <c r="A791" s="425"/>
      <c r="B791" s="368" t="str">
        <f t="shared" si="257"/>
        <v/>
      </c>
      <c r="C791" s="425"/>
      <c r="D791" s="423"/>
      <c r="E791" s="422" t="str">
        <f t="shared" ca="1" si="265"/>
        <v/>
      </c>
      <c r="F791" s="426" t="str">
        <f t="shared" ca="1" si="260"/>
        <v/>
      </c>
      <c r="G791" s="415"/>
      <c r="H791" s="415"/>
      <c r="I791" s="415" t="str">
        <f t="shared" si="258"/>
        <v/>
      </c>
      <c r="J791" s="415" t="str">
        <f t="shared" si="256"/>
        <v/>
      </c>
      <c r="K791" s="415" t="str">
        <f t="shared" si="259"/>
        <v/>
      </c>
      <c r="L791" s="415"/>
      <c r="M791" s="415"/>
      <c r="N791" s="422" t="str">
        <f t="shared" si="255"/>
        <v/>
      </c>
      <c r="O791" s="422" t="str">
        <f t="shared" si="261"/>
        <v/>
      </c>
      <c r="P791" s="422" t="str">
        <f t="shared" si="262"/>
        <v/>
      </c>
      <c r="Q791" s="422" t="str">
        <f t="shared" si="263"/>
        <v/>
      </c>
      <c r="R791" s="422" t="str">
        <f t="shared" si="264"/>
        <v/>
      </c>
      <c r="S791" s="583">
        <f t="shared" si="254"/>
        <v>0</v>
      </c>
      <c r="T791" s="377" t="str">
        <f>+IFERROR(VLOOKUP(S791,STAT1!$C$4:$D$189,2,FALSE),"")</f>
        <v/>
      </c>
      <c r="U791" s="424"/>
      <c r="V791" s="424"/>
      <c r="W791" s="822"/>
      <c r="X791" s="436" t="str">
        <f>IFERROR(VLOOKUP(W791,DATA!$G$4:$H$400,2,FALSE),"")</f>
        <v/>
      </c>
      <c r="Y791" s="328"/>
      <c r="Z791" s="328"/>
      <c r="AA791" s="328"/>
    </row>
    <row r="792" spans="1:27" ht="12.75" customHeight="1">
      <c r="A792" s="425"/>
      <c r="B792" s="368" t="str">
        <f t="shared" si="257"/>
        <v/>
      </c>
      <c r="C792" s="425"/>
      <c r="D792" s="423"/>
      <c r="E792" s="422" t="str">
        <f t="shared" ca="1" si="265"/>
        <v/>
      </c>
      <c r="F792" s="426" t="str">
        <f t="shared" ca="1" si="260"/>
        <v/>
      </c>
      <c r="G792" s="415"/>
      <c r="H792" s="415"/>
      <c r="I792" s="415" t="str">
        <f t="shared" si="258"/>
        <v/>
      </c>
      <c r="J792" s="415" t="str">
        <f t="shared" si="256"/>
        <v/>
      </c>
      <c r="K792" s="415" t="str">
        <f t="shared" si="259"/>
        <v/>
      </c>
      <c r="L792" s="415"/>
      <c r="M792" s="415"/>
      <c r="N792" s="422" t="str">
        <f t="shared" si="255"/>
        <v/>
      </c>
      <c r="O792" s="422" t="str">
        <f t="shared" si="261"/>
        <v/>
      </c>
      <c r="P792" s="422" t="str">
        <f t="shared" si="262"/>
        <v/>
      </c>
      <c r="Q792" s="422" t="str">
        <f t="shared" si="263"/>
        <v/>
      </c>
      <c r="R792" s="422" t="str">
        <f t="shared" si="264"/>
        <v/>
      </c>
      <c r="S792" s="583">
        <f t="shared" si="254"/>
        <v>0</v>
      </c>
      <c r="T792" s="377" t="str">
        <f>+IFERROR(VLOOKUP(S792,STAT1!$C$4:$D$189,2,FALSE),"")</f>
        <v/>
      </c>
      <c r="U792" s="424"/>
      <c r="V792" s="424"/>
      <c r="W792" s="822"/>
      <c r="X792" s="436" t="str">
        <f>IFERROR(VLOOKUP(W792,DATA!$G$4:$H$400,2,FALSE),"")</f>
        <v/>
      </c>
      <c r="Y792" s="328"/>
      <c r="Z792" s="328"/>
      <c r="AA792" s="328"/>
    </row>
    <row r="793" spans="1:27" ht="12.75" customHeight="1">
      <c r="A793" s="425"/>
      <c r="B793" s="368" t="str">
        <f t="shared" si="257"/>
        <v/>
      </c>
      <c r="C793" s="425"/>
      <c r="D793" s="423"/>
      <c r="E793" s="422" t="str">
        <f t="shared" ca="1" si="265"/>
        <v/>
      </c>
      <c r="F793" s="426" t="str">
        <f t="shared" ca="1" si="260"/>
        <v/>
      </c>
      <c r="G793" s="415"/>
      <c r="H793" s="415"/>
      <c r="I793" s="415" t="str">
        <f t="shared" si="258"/>
        <v/>
      </c>
      <c r="J793" s="415" t="str">
        <f t="shared" si="256"/>
        <v/>
      </c>
      <c r="K793" s="415" t="str">
        <f t="shared" si="259"/>
        <v/>
      </c>
      <c r="L793" s="415"/>
      <c r="M793" s="415"/>
      <c r="N793" s="422" t="str">
        <f t="shared" si="255"/>
        <v/>
      </c>
      <c r="O793" s="422" t="str">
        <f t="shared" si="261"/>
        <v/>
      </c>
      <c r="P793" s="422" t="str">
        <f t="shared" si="262"/>
        <v/>
      </c>
      <c r="Q793" s="422" t="str">
        <f t="shared" si="263"/>
        <v/>
      </c>
      <c r="R793" s="422" t="str">
        <f t="shared" si="264"/>
        <v/>
      </c>
      <c r="S793" s="583">
        <f t="shared" si="254"/>
        <v>0</v>
      </c>
      <c r="T793" s="377" t="str">
        <f>+IFERROR(VLOOKUP(S793,STAT1!$C$4:$D$189,2,FALSE),"")</f>
        <v/>
      </c>
      <c r="U793" s="424"/>
      <c r="V793" s="424"/>
      <c r="W793" s="822"/>
      <c r="X793" s="436" t="str">
        <f>IFERROR(VLOOKUP(W793,DATA!$G$4:$H$400,2,FALSE),"")</f>
        <v/>
      </c>
      <c r="Y793" s="328"/>
      <c r="Z793" s="328"/>
      <c r="AA793" s="328"/>
    </row>
    <row r="794" spans="1:27" ht="12.75" customHeight="1">
      <c r="A794" s="425"/>
      <c r="B794" s="368" t="str">
        <f t="shared" si="257"/>
        <v/>
      </c>
      <c r="C794" s="425"/>
      <c r="D794" s="423"/>
      <c r="E794" s="422" t="str">
        <f t="shared" ca="1" si="265"/>
        <v/>
      </c>
      <c r="F794" s="426" t="str">
        <f t="shared" ca="1" si="260"/>
        <v/>
      </c>
      <c r="G794" s="415"/>
      <c r="H794" s="415"/>
      <c r="I794" s="415" t="str">
        <f t="shared" si="258"/>
        <v/>
      </c>
      <c r="J794" s="415" t="str">
        <f t="shared" si="256"/>
        <v/>
      </c>
      <c r="K794" s="415" t="str">
        <f t="shared" si="259"/>
        <v/>
      </c>
      <c r="L794" s="415"/>
      <c r="M794" s="415"/>
      <c r="N794" s="422" t="str">
        <f t="shared" si="255"/>
        <v/>
      </c>
      <c r="O794" s="422" t="str">
        <f t="shared" si="261"/>
        <v/>
      </c>
      <c r="P794" s="422" t="str">
        <f t="shared" si="262"/>
        <v/>
      </c>
      <c r="Q794" s="422" t="str">
        <f t="shared" si="263"/>
        <v/>
      </c>
      <c r="R794" s="422" t="str">
        <f t="shared" si="264"/>
        <v/>
      </c>
      <c r="S794" s="583">
        <f t="shared" ref="S794:S857" si="266">+IF(LEFT(D794,3)="131",140100,0)+IF(LEFT(D794,3)="310",150100,0)+IF(LEFT(D794,3)="211",150101,0)+IF(LEFT(D794,3)="410",160100,0)+IF(LEFT(D794,3)="440",160200,0)+IF(LEFT(D794,3)="430",160200,0)+IF(LEFT(D794,3)="420",160200,0)+IF(LEFT(D794,3)="460",160201,0)+IF(LEFT(D794,3)="210",150101,0)+IF(LEFT(D794,3)="510",140100,0)</f>
        <v>0</v>
      </c>
      <c r="T794" s="377" t="str">
        <f>+IFERROR(VLOOKUP(S794,STAT1!$C$4:$D$189,2,FALSE),"")</f>
        <v/>
      </c>
      <c r="U794" s="424"/>
      <c r="V794" s="424"/>
      <c r="W794" s="822"/>
      <c r="X794" s="436" t="str">
        <f>IFERROR(VLOOKUP(W794,DATA!$G$4:$H$400,2,FALSE),"")</f>
        <v/>
      </c>
      <c r="Y794" s="328"/>
      <c r="Z794" s="328"/>
      <c r="AA794" s="328"/>
    </row>
    <row r="795" spans="1:27" ht="12.75" customHeight="1">
      <c r="A795" s="425"/>
      <c r="B795" s="368" t="str">
        <f t="shared" si="257"/>
        <v/>
      </c>
      <c r="C795" s="425"/>
      <c r="D795" s="423"/>
      <c r="E795" s="422" t="str">
        <f t="shared" ca="1" si="265"/>
        <v/>
      </c>
      <c r="F795" s="426" t="str">
        <f t="shared" ca="1" si="260"/>
        <v/>
      </c>
      <c r="G795" s="415"/>
      <c r="H795" s="415"/>
      <c r="I795" s="415" t="str">
        <f t="shared" si="258"/>
        <v/>
      </c>
      <c r="J795" s="415" t="str">
        <f t="shared" si="256"/>
        <v/>
      </c>
      <c r="K795" s="415" t="str">
        <f t="shared" si="259"/>
        <v/>
      </c>
      <c r="L795" s="415"/>
      <c r="M795" s="415"/>
      <c r="N795" s="422" t="str">
        <f t="shared" si="255"/>
        <v/>
      </c>
      <c r="O795" s="422" t="str">
        <f t="shared" si="261"/>
        <v/>
      </c>
      <c r="P795" s="422" t="str">
        <f t="shared" si="262"/>
        <v/>
      </c>
      <c r="Q795" s="422" t="str">
        <f t="shared" si="263"/>
        <v/>
      </c>
      <c r="R795" s="422" t="str">
        <f t="shared" si="264"/>
        <v/>
      </c>
      <c r="S795" s="583">
        <f t="shared" si="266"/>
        <v>0</v>
      </c>
      <c r="T795" s="377" t="str">
        <f>+IFERROR(VLOOKUP(S795,STAT1!$C$4:$D$189,2,FALSE),"")</f>
        <v/>
      </c>
      <c r="U795" s="424"/>
      <c r="V795" s="424"/>
      <c r="W795" s="822"/>
      <c r="X795" s="436" t="str">
        <f>IFERROR(VLOOKUP(W795,DATA!$G$4:$H$400,2,FALSE),"")</f>
        <v/>
      </c>
      <c r="Y795" s="328"/>
      <c r="Z795" s="328"/>
      <c r="AA795" s="328"/>
    </row>
    <row r="796" spans="1:27" ht="12.75" customHeight="1">
      <c r="A796" s="425"/>
      <c r="B796" s="368" t="str">
        <f t="shared" si="257"/>
        <v/>
      </c>
      <c r="C796" s="425"/>
      <c r="D796" s="423"/>
      <c r="E796" s="422" t="str">
        <f t="shared" ca="1" si="265"/>
        <v/>
      </c>
      <c r="F796" s="426" t="str">
        <f t="shared" ca="1" si="260"/>
        <v/>
      </c>
      <c r="G796" s="415"/>
      <c r="H796" s="415"/>
      <c r="I796" s="415" t="str">
        <f t="shared" si="258"/>
        <v/>
      </c>
      <c r="J796" s="415" t="str">
        <f t="shared" si="256"/>
        <v/>
      </c>
      <c r="K796" s="415" t="str">
        <f t="shared" si="259"/>
        <v/>
      </c>
      <c r="L796" s="415"/>
      <c r="M796" s="415"/>
      <c r="N796" s="422" t="str">
        <f t="shared" si="255"/>
        <v/>
      </c>
      <c r="O796" s="422" t="str">
        <f t="shared" si="261"/>
        <v/>
      </c>
      <c r="P796" s="422" t="str">
        <f t="shared" si="262"/>
        <v/>
      </c>
      <c r="Q796" s="422" t="str">
        <f t="shared" si="263"/>
        <v/>
      </c>
      <c r="R796" s="422" t="str">
        <f t="shared" si="264"/>
        <v/>
      </c>
      <c r="S796" s="583">
        <f t="shared" si="266"/>
        <v>0</v>
      </c>
      <c r="T796" s="377" t="str">
        <f>+IFERROR(VLOOKUP(S796,STAT1!$C$4:$D$189,2,FALSE),"")</f>
        <v/>
      </c>
      <c r="U796" s="424"/>
      <c r="V796" s="424"/>
      <c r="W796" s="822"/>
      <c r="X796" s="436" t="str">
        <f>IFERROR(VLOOKUP(W796,DATA!$G$4:$H$400,2,FALSE),"")</f>
        <v/>
      </c>
      <c r="Y796" s="328"/>
      <c r="Z796" s="328"/>
      <c r="AA796" s="328"/>
    </row>
    <row r="797" spans="1:27" ht="12.75" customHeight="1">
      <c r="A797" s="425"/>
      <c r="B797" s="368" t="str">
        <f t="shared" si="257"/>
        <v/>
      </c>
      <c r="C797" s="425"/>
      <c r="D797" s="423"/>
      <c r="E797" s="422" t="str">
        <f t="shared" ca="1" si="265"/>
        <v/>
      </c>
      <c r="F797" s="426" t="str">
        <f t="shared" ca="1" si="260"/>
        <v/>
      </c>
      <c r="G797" s="415"/>
      <c r="H797" s="415"/>
      <c r="I797" s="415" t="str">
        <f t="shared" si="258"/>
        <v/>
      </c>
      <c r="J797" s="415" t="str">
        <f t="shared" si="256"/>
        <v/>
      </c>
      <c r="K797" s="415" t="str">
        <f t="shared" si="259"/>
        <v/>
      </c>
      <c r="L797" s="415"/>
      <c r="M797" s="415"/>
      <c r="N797" s="422" t="str">
        <f t="shared" si="255"/>
        <v/>
      </c>
      <c r="O797" s="422" t="str">
        <f t="shared" si="261"/>
        <v/>
      </c>
      <c r="P797" s="422" t="str">
        <f t="shared" si="262"/>
        <v/>
      </c>
      <c r="Q797" s="422" t="str">
        <f t="shared" si="263"/>
        <v/>
      </c>
      <c r="R797" s="422" t="str">
        <f t="shared" si="264"/>
        <v/>
      </c>
      <c r="S797" s="583">
        <f t="shared" si="266"/>
        <v>0</v>
      </c>
      <c r="T797" s="377" t="str">
        <f>+IFERROR(VLOOKUP(S797,STAT1!$C$4:$D$189,2,FALSE),"")</f>
        <v/>
      </c>
      <c r="U797" s="424"/>
      <c r="V797" s="424"/>
      <c r="W797" s="822"/>
      <c r="X797" s="436" t="str">
        <f>IFERROR(VLOOKUP(W797,DATA!$G$4:$H$400,2,FALSE),"")</f>
        <v/>
      </c>
      <c r="Y797" s="328"/>
      <c r="Z797" s="328"/>
      <c r="AA797" s="328"/>
    </row>
    <row r="798" spans="1:27" ht="12.75" customHeight="1">
      <c r="A798" s="425"/>
      <c r="B798" s="368" t="str">
        <f t="shared" si="257"/>
        <v/>
      </c>
      <c r="C798" s="425"/>
      <c r="D798" s="423"/>
      <c r="E798" s="422" t="str">
        <f t="shared" ca="1" si="265"/>
        <v/>
      </c>
      <c r="F798" s="426" t="str">
        <f t="shared" ca="1" si="260"/>
        <v/>
      </c>
      <c r="G798" s="415"/>
      <c r="H798" s="415"/>
      <c r="I798" s="415" t="str">
        <f t="shared" si="258"/>
        <v/>
      </c>
      <c r="J798" s="415" t="str">
        <f t="shared" si="256"/>
        <v/>
      </c>
      <c r="K798" s="415" t="str">
        <f t="shared" si="259"/>
        <v/>
      </c>
      <c r="L798" s="415"/>
      <c r="M798" s="415"/>
      <c r="N798" s="422" t="str">
        <f t="shared" si="255"/>
        <v/>
      </c>
      <c r="O798" s="422" t="str">
        <f t="shared" si="261"/>
        <v/>
      </c>
      <c r="P798" s="422" t="str">
        <f t="shared" si="262"/>
        <v/>
      </c>
      <c r="Q798" s="422" t="str">
        <f t="shared" si="263"/>
        <v/>
      </c>
      <c r="R798" s="422" t="str">
        <f t="shared" si="264"/>
        <v/>
      </c>
      <c r="S798" s="583">
        <f t="shared" si="266"/>
        <v>0</v>
      </c>
      <c r="T798" s="377" t="str">
        <f>+IFERROR(VLOOKUP(S798,STAT1!$C$4:$D$189,2,FALSE),"")</f>
        <v/>
      </c>
      <c r="U798" s="424"/>
      <c r="V798" s="424"/>
      <c r="W798" s="822"/>
      <c r="X798" s="436" t="str">
        <f>IFERROR(VLOOKUP(W798,DATA!$G$4:$H$400,2,FALSE),"")</f>
        <v/>
      </c>
      <c r="Y798" s="328"/>
      <c r="Z798" s="328"/>
      <c r="AA798" s="328"/>
    </row>
    <row r="799" spans="1:27" ht="12.75" customHeight="1">
      <c r="A799" s="425"/>
      <c r="B799" s="368" t="str">
        <f t="shared" si="257"/>
        <v/>
      </c>
      <c r="C799" s="425"/>
      <c r="D799" s="423"/>
      <c r="E799" s="422" t="str">
        <f t="shared" ca="1" si="265"/>
        <v/>
      </c>
      <c r="F799" s="426" t="str">
        <f t="shared" ca="1" si="260"/>
        <v/>
      </c>
      <c r="G799" s="415"/>
      <c r="H799" s="415"/>
      <c r="I799" s="415" t="str">
        <f t="shared" si="258"/>
        <v/>
      </c>
      <c r="J799" s="415" t="str">
        <f t="shared" si="256"/>
        <v/>
      </c>
      <c r="K799" s="415" t="str">
        <f t="shared" si="259"/>
        <v/>
      </c>
      <c r="L799" s="415"/>
      <c r="M799" s="415"/>
      <c r="N799" s="422" t="str">
        <f t="shared" si="255"/>
        <v/>
      </c>
      <c r="O799" s="422" t="str">
        <f t="shared" si="261"/>
        <v/>
      </c>
      <c r="P799" s="422" t="str">
        <f t="shared" si="262"/>
        <v/>
      </c>
      <c r="Q799" s="422" t="str">
        <f t="shared" si="263"/>
        <v/>
      </c>
      <c r="R799" s="422" t="str">
        <f t="shared" si="264"/>
        <v/>
      </c>
      <c r="S799" s="583">
        <f t="shared" si="266"/>
        <v>0</v>
      </c>
      <c r="T799" s="377" t="str">
        <f>+IFERROR(VLOOKUP(S799,STAT1!$C$4:$D$189,2,FALSE),"")</f>
        <v/>
      </c>
      <c r="U799" s="424"/>
      <c r="V799" s="424"/>
      <c r="W799" s="822"/>
      <c r="X799" s="436" t="str">
        <f>IFERROR(VLOOKUP(W799,DATA!$G$4:$H$400,2,FALSE),"")</f>
        <v/>
      </c>
      <c r="Y799" s="328"/>
      <c r="Z799" s="328"/>
      <c r="AA799" s="328"/>
    </row>
    <row r="800" spans="1:27" ht="12.75" customHeight="1">
      <c r="A800" s="425"/>
      <c r="B800" s="368" t="str">
        <f t="shared" si="257"/>
        <v/>
      </c>
      <c r="C800" s="425"/>
      <c r="D800" s="423"/>
      <c r="E800" s="422" t="str">
        <f t="shared" ca="1" si="265"/>
        <v/>
      </c>
      <c r="F800" s="426" t="str">
        <f t="shared" ca="1" si="260"/>
        <v/>
      </c>
      <c r="G800" s="415"/>
      <c r="H800" s="415"/>
      <c r="I800" s="415" t="str">
        <f t="shared" si="258"/>
        <v/>
      </c>
      <c r="J800" s="415" t="str">
        <f t="shared" si="256"/>
        <v/>
      </c>
      <c r="K800" s="415" t="str">
        <f t="shared" si="259"/>
        <v/>
      </c>
      <c r="L800" s="415"/>
      <c r="M800" s="415"/>
      <c r="N800" s="422" t="str">
        <f t="shared" ref="N800:N863" si="267">+IF(L800="","",L800*M800)</f>
        <v/>
      </c>
      <c r="O800" s="422" t="str">
        <f t="shared" si="261"/>
        <v/>
      </c>
      <c r="P800" s="422" t="str">
        <f t="shared" si="262"/>
        <v/>
      </c>
      <c r="Q800" s="422" t="str">
        <f t="shared" si="263"/>
        <v/>
      </c>
      <c r="R800" s="422" t="str">
        <f t="shared" si="264"/>
        <v/>
      </c>
      <c r="S800" s="583">
        <f t="shared" si="266"/>
        <v>0</v>
      </c>
      <c r="T800" s="377" t="str">
        <f>+IFERROR(VLOOKUP(S800,STAT1!$C$4:$D$189,2,FALSE),"")</f>
        <v/>
      </c>
      <c r="U800" s="424"/>
      <c r="V800" s="424"/>
      <c r="W800" s="822"/>
      <c r="X800" s="436" t="str">
        <f>IFERROR(VLOOKUP(W800,DATA!$G$4:$H$400,2,FALSE),"")</f>
        <v/>
      </c>
      <c r="Y800" s="328"/>
      <c r="Z800" s="328"/>
      <c r="AA800" s="328"/>
    </row>
    <row r="801" spans="1:27" ht="12.75" customHeight="1">
      <c r="A801" s="425"/>
      <c r="B801" s="368" t="str">
        <f t="shared" si="257"/>
        <v/>
      </c>
      <c r="C801" s="425"/>
      <c r="D801" s="423"/>
      <c r="E801" s="422" t="str">
        <f t="shared" ca="1" si="265"/>
        <v/>
      </c>
      <c r="F801" s="426" t="str">
        <f t="shared" ca="1" si="260"/>
        <v/>
      </c>
      <c r="G801" s="415"/>
      <c r="H801" s="415"/>
      <c r="I801" s="415" t="str">
        <f t="shared" si="258"/>
        <v/>
      </c>
      <c r="J801" s="415" t="str">
        <f t="shared" si="256"/>
        <v/>
      </c>
      <c r="K801" s="415" t="str">
        <f t="shared" si="259"/>
        <v/>
      </c>
      <c r="L801" s="415"/>
      <c r="M801" s="415"/>
      <c r="N801" s="422" t="str">
        <f t="shared" si="267"/>
        <v/>
      </c>
      <c r="O801" s="422" t="str">
        <f t="shared" si="261"/>
        <v/>
      </c>
      <c r="P801" s="422" t="str">
        <f t="shared" si="262"/>
        <v/>
      </c>
      <c r="Q801" s="422" t="str">
        <f t="shared" si="263"/>
        <v/>
      </c>
      <c r="R801" s="422" t="str">
        <f t="shared" si="264"/>
        <v/>
      </c>
      <c r="S801" s="583">
        <f t="shared" si="266"/>
        <v>0</v>
      </c>
      <c r="T801" s="377" t="str">
        <f>+IFERROR(VLOOKUP(S801,STAT1!$C$4:$D$189,2,FALSE),"")</f>
        <v/>
      </c>
      <c r="U801" s="424"/>
      <c r="V801" s="424"/>
      <c r="W801" s="822"/>
      <c r="X801" s="436" t="str">
        <f>IFERROR(VLOOKUP(W801,DATA!$G$4:$H$400,2,FALSE),"")</f>
        <v/>
      </c>
      <c r="Y801" s="328"/>
      <c r="Z801" s="328"/>
      <c r="AA801" s="328"/>
    </row>
    <row r="802" spans="1:27" ht="12.75" customHeight="1">
      <c r="A802" s="425"/>
      <c r="B802" s="368" t="str">
        <f t="shared" si="257"/>
        <v/>
      </c>
      <c r="C802" s="425"/>
      <c r="D802" s="423"/>
      <c r="E802" s="422" t="str">
        <f t="shared" ca="1" si="265"/>
        <v/>
      </c>
      <c r="F802" s="426" t="str">
        <f t="shared" ca="1" si="260"/>
        <v/>
      </c>
      <c r="G802" s="415"/>
      <c r="H802" s="415"/>
      <c r="I802" s="415" t="str">
        <f t="shared" si="258"/>
        <v/>
      </c>
      <c r="J802" s="415" t="str">
        <f t="shared" si="256"/>
        <v/>
      </c>
      <c r="K802" s="415" t="str">
        <f t="shared" si="259"/>
        <v/>
      </c>
      <c r="L802" s="415"/>
      <c r="M802" s="415"/>
      <c r="N802" s="422" t="str">
        <f t="shared" si="267"/>
        <v/>
      </c>
      <c r="O802" s="422" t="str">
        <f t="shared" si="261"/>
        <v/>
      </c>
      <c r="P802" s="422" t="str">
        <f t="shared" si="262"/>
        <v/>
      </c>
      <c r="Q802" s="422" t="str">
        <f t="shared" si="263"/>
        <v/>
      </c>
      <c r="R802" s="422" t="str">
        <f t="shared" si="264"/>
        <v/>
      </c>
      <c r="S802" s="583">
        <f t="shared" si="266"/>
        <v>0</v>
      </c>
      <c r="T802" s="377" t="str">
        <f>+IFERROR(VLOOKUP(S802,STAT1!$C$4:$D$189,2,FALSE),"")</f>
        <v/>
      </c>
      <c r="U802" s="424"/>
      <c r="V802" s="424"/>
      <c r="W802" s="822"/>
      <c r="X802" s="436" t="str">
        <f>IFERROR(VLOOKUP(W802,DATA!$G$4:$H$400,2,FALSE),"")</f>
        <v/>
      </c>
      <c r="Y802" s="328"/>
      <c r="Z802" s="328"/>
      <c r="AA802" s="328"/>
    </row>
    <row r="803" spans="1:27" ht="12.75" customHeight="1">
      <c r="A803" s="425"/>
      <c r="B803" s="368" t="str">
        <f t="shared" si="257"/>
        <v/>
      </c>
      <c r="C803" s="425"/>
      <c r="D803" s="423"/>
      <c r="E803" s="422" t="str">
        <f t="shared" ca="1" si="265"/>
        <v/>
      </c>
      <c r="F803" s="426" t="str">
        <f t="shared" ca="1" si="260"/>
        <v/>
      </c>
      <c r="G803" s="415"/>
      <c r="H803" s="415"/>
      <c r="I803" s="415" t="str">
        <f t="shared" si="258"/>
        <v/>
      </c>
      <c r="J803" s="415" t="str">
        <f t="shared" si="256"/>
        <v/>
      </c>
      <c r="K803" s="415" t="str">
        <f t="shared" si="259"/>
        <v/>
      </c>
      <c r="L803" s="415"/>
      <c r="M803" s="415"/>
      <c r="N803" s="422" t="str">
        <f t="shared" si="267"/>
        <v/>
      </c>
      <c r="O803" s="422" t="str">
        <f t="shared" si="261"/>
        <v/>
      </c>
      <c r="P803" s="422" t="str">
        <f t="shared" si="262"/>
        <v/>
      </c>
      <c r="Q803" s="422" t="str">
        <f t="shared" si="263"/>
        <v/>
      </c>
      <c r="R803" s="422" t="str">
        <f t="shared" si="264"/>
        <v/>
      </c>
      <c r="S803" s="583">
        <f t="shared" si="266"/>
        <v>0</v>
      </c>
      <c r="T803" s="377" t="str">
        <f>+IFERROR(VLOOKUP(S803,STAT1!$C$4:$D$189,2,FALSE),"")</f>
        <v/>
      </c>
      <c r="U803" s="424"/>
      <c r="V803" s="424"/>
      <c r="W803" s="822"/>
      <c r="X803" s="436" t="str">
        <f>IFERROR(VLOOKUP(W803,DATA!$G$4:$H$400,2,FALSE),"")</f>
        <v/>
      </c>
      <c r="Y803" s="328"/>
      <c r="Z803" s="328"/>
      <c r="AA803" s="328"/>
    </row>
    <row r="804" spans="1:27" ht="12.75" customHeight="1">
      <c r="A804" s="425"/>
      <c r="B804" s="368" t="str">
        <f t="shared" si="257"/>
        <v/>
      </c>
      <c r="C804" s="425"/>
      <c r="D804" s="423"/>
      <c r="E804" s="422" t="str">
        <f t="shared" ca="1" si="265"/>
        <v/>
      </c>
      <c r="F804" s="426" t="str">
        <f t="shared" ca="1" si="260"/>
        <v/>
      </c>
      <c r="G804" s="415"/>
      <c r="H804" s="415"/>
      <c r="I804" s="415" t="str">
        <f t="shared" si="258"/>
        <v/>
      </c>
      <c r="J804" s="415" t="str">
        <f t="shared" ref="J804:J867" si="268">+IF(G804="","",I804*0.1)</f>
        <v/>
      </c>
      <c r="K804" s="415" t="str">
        <f t="shared" si="259"/>
        <v/>
      </c>
      <c r="L804" s="415"/>
      <c r="M804" s="415"/>
      <c r="N804" s="422" t="str">
        <f t="shared" si="267"/>
        <v/>
      </c>
      <c r="O804" s="422" t="str">
        <f t="shared" si="261"/>
        <v/>
      </c>
      <c r="P804" s="422" t="str">
        <f t="shared" si="262"/>
        <v/>
      </c>
      <c r="Q804" s="422" t="str">
        <f t="shared" si="263"/>
        <v/>
      </c>
      <c r="R804" s="422" t="str">
        <f t="shared" si="264"/>
        <v/>
      </c>
      <c r="S804" s="583">
        <f t="shared" si="266"/>
        <v>0</v>
      </c>
      <c r="T804" s="377" t="str">
        <f>+IFERROR(VLOOKUP(S804,STAT1!$C$4:$D$189,2,FALSE),"")</f>
        <v/>
      </c>
      <c r="U804" s="424"/>
      <c r="V804" s="424"/>
      <c r="W804" s="822"/>
      <c r="X804" s="436" t="str">
        <f>IFERROR(VLOOKUP(W804,DATA!$G$4:$H$400,2,FALSE),"")</f>
        <v/>
      </c>
      <c r="Y804" s="328"/>
      <c r="Z804" s="328"/>
      <c r="AA804" s="328"/>
    </row>
    <row r="805" spans="1:27" ht="12.75" customHeight="1">
      <c r="A805" s="425"/>
      <c r="B805" s="368" t="str">
        <f t="shared" si="257"/>
        <v/>
      </c>
      <c r="C805" s="425"/>
      <c r="D805" s="423"/>
      <c r="E805" s="422" t="str">
        <f t="shared" ca="1" si="265"/>
        <v/>
      </c>
      <c r="F805" s="426" t="str">
        <f t="shared" ca="1" si="260"/>
        <v/>
      </c>
      <c r="G805" s="415"/>
      <c r="H805" s="415"/>
      <c r="I805" s="415" t="str">
        <f t="shared" si="258"/>
        <v/>
      </c>
      <c r="J805" s="415" t="str">
        <f t="shared" si="268"/>
        <v/>
      </c>
      <c r="K805" s="415" t="str">
        <f t="shared" si="259"/>
        <v/>
      </c>
      <c r="L805" s="415"/>
      <c r="M805" s="415"/>
      <c r="N805" s="422" t="str">
        <f t="shared" si="267"/>
        <v/>
      </c>
      <c r="O805" s="422" t="str">
        <f t="shared" si="261"/>
        <v/>
      </c>
      <c r="P805" s="422" t="str">
        <f t="shared" si="262"/>
        <v/>
      </c>
      <c r="Q805" s="422" t="str">
        <f t="shared" si="263"/>
        <v/>
      </c>
      <c r="R805" s="422" t="str">
        <f t="shared" si="264"/>
        <v/>
      </c>
      <c r="S805" s="583">
        <f t="shared" si="266"/>
        <v>0</v>
      </c>
      <c r="T805" s="377" t="str">
        <f>+IFERROR(VLOOKUP(S805,STAT1!$C$4:$D$189,2,FALSE),"")</f>
        <v/>
      </c>
      <c r="U805" s="424"/>
      <c r="V805" s="424"/>
      <c r="W805" s="822"/>
      <c r="X805" s="436" t="str">
        <f>IFERROR(VLOOKUP(W805,DATA!$G$4:$H$400,2,FALSE),"")</f>
        <v/>
      </c>
      <c r="Y805" s="328"/>
      <c r="Z805" s="328"/>
      <c r="AA805" s="328"/>
    </row>
    <row r="806" spans="1:27" ht="12.75" customHeight="1">
      <c r="A806" s="425"/>
      <c r="B806" s="368" t="str">
        <f t="shared" si="257"/>
        <v/>
      </c>
      <c r="C806" s="425"/>
      <c r="D806" s="423"/>
      <c r="E806" s="422" t="str">
        <f t="shared" ca="1" si="265"/>
        <v/>
      </c>
      <c r="F806" s="426" t="str">
        <f t="shared" ca="1" si="260"/>
        <v/>
      </c>
      <c r="G806" s="415"/>
      <c r="H806" s="415"/>
      <c r="I806" s="415" t="str">
        <f t="shared" si="258"/>
        <v/>
      </c>
      <c r="J806" s="415" t="str">
        <f t="shared" si="268"/>
        <v/>
      </c>
      <c r="K806" s="415" t="str">
        <f t="shared" si="259"/>
        <v/>
      </c>
      <c r="L806" s="415"/>
      <c r="M806" s="415"/>
      <c r="N806" s="422" t="str">
        <f t="shared" si="267"/>
        <v/>
      </c>
      <c r="O806" s="422" t="str">
        <f t="shared" si="261"/>
        <v/>
      </c>
      <c r="P806" s="422" t="str">
        <f t="shared" si="262"/>
        <v/>
      </c>
      <c r="Q806" s="422" t="str">
        <f t="shared" si="263"/>
        <v/>
      </c>
      <c r="R806" s="422" t="str">
        <f t="shared" si="264"/>
        <v/>
      </c>
      <c r="S806" s="583">
        <f t="shared" si="266"/>
        <v>0</v>
      </c>
      <c r="T806" s="377" t="str">
        <f>+IFERROR(VLOOKUP(S806,STAT1!$C$4:$D$189,2,FALSE),"")</f>
        <v/>
      </c>
      <c r="U806" s="424"/>
      <c r="V806" s="424"/>
      <c r="W806" s="822"/>
      <c r="X806" s="436" t="str">
        <f>IFERROR(VLOOKUP(W806,DATA!$G$4:$H$400,2,FALSE),"")</f>
        <v/>
      </c>
      <c r="Y806" s="328"/>
      <c r="Z806" s="328"/>
      <c r="AA806" s="328"/>
    </row>
    <row r="807" spans="1:27" ht="12.75" customHeight="1">
      <c r="A807" s="425"/>
      <c r="B807" s="368" t="str">
        <f t="shared" si="257"/>
        <v/>
      </c>
      <c r="C807" s="425"/>
      <c r="D807" s="423"/>
      <c r="E807" s="422" t="str">
        <f t="shared" ca="1" si="265"/>
        <v/>
      </c>
      <c r="F807" s="426" t="str">
        <f t="shared" ca="1" si="260"/>
        <v/>
      </c>
      <c r="G807" s="415"/>
      <c r="H807" s="415"/>
      <c r="I807" s="415" t="str">
        <f t="shared" si="258"/>
        <v/>
      </c>
      <c r="J807" s="415" t="str">
        <f t="shared" si="268"/>
        <v/>
      </c>
      <c r="K807" s="415" t="str">
        <f t="shared" si="259"/>
        <v/>
      </c>
      <c r="L807" s="415"/>
      <c r="M807" s="415"/>
      <c r="N807" s="422" t="str">
        <f t="shared" si="267"/>
        <v/>
      </c>
      <c r="O807" s="422" t="str">
        <f t="shared" si="261"/>
        <v/>
      </c>
      <c r="P807" s="422" t="str">
        <f t="shared" si="262"/>
        <v/>
      </c>
      <c r="Q807" s="422" t="str">
        <f t="shared" si="263"/>
        <v/>
      </c>
      <c r="R807" s="422" t="str">
        <f t="shared" si="264"/>
        <v/>
      </c>
      <c r="S807" s="583">
        <f t="shared" si="266"/>
        <v>0</v>
      </c>
      <c r="T807" s="377" t="str">
        <f>+IFERROR(VLOOKUP(S807,STAT1!$C$4:$D$189,2,FALSE),"")</f>
        <v/>
      </c>
      <c r="U807" s="424"/>
      <c r="V807" s="424"/>
      <c r="W807" s="822"/>
      <c r="X807" s="436" t="str">
        <f>IFERROR(VLOOKUP(W807,DATA!$G$4:$H$400,2,FALSE),"")</f>
        <v/>
      </c>
      <c r="Y807" s="328"/>
      <c r="Z807" s="328"/>
      <c r="AA807" s="328"/>
    </row>
    <row r="808" spans="1:27" ht="12.75" customHeight="1">
      <c r="A808" s="425"/>
      <c r="B808" s="368" t="str">
        <f t="shared" ref="B808:B871" si="269">IF(C808="","",ROW()-5)</f>
        <v/>
      </c>
      <c r="C808" s="425"/>
      <c r="D808" s="423"/>
      <c r="E808" s="422" t="str">
        <f t="shared" ca="1" si="265"/>
        <v/>
      </c>
      <c r="F808" s="426" t="str">
        <f t="shared" ca="1" si="260"/>
        <v/>
      </c>
      <c r="G808" s="415"/>
      <c r="H808" s="415"/>
      <c r="I808" s="415" t="str">
        <f t="shared" si="258"/>
        <v/>
      </c>
      <c r="J808" s="415" t="str">
        <f t="shared" si="268"/>
        <v/>
      </c>
      <c r="K808" s="415" t="str">
        <f t="shared" si="259"/>
        <v/>
      </c>
      <c r="L808" s="415"/>
      <c r="M808" s="415"/>
      <c r="N808" s="422" t="str">
        <f t="shared" si="267"/>
        <v/>
      </c>
      <c r="O808" s="422" t="str">
        <f t="shared" si="261"/>
        <v/>
      </c>
      <c r="P808" s="422" t="str">
        <f t="shared" si="262"/>
        <v/>
      </c>
      <c r="Q808" s="422" t="str">
        <f t="shared" si="263"/>
        <v/>
      </c>
      <c r="R808" s="422" t="str">
        <f t="shared" si="264"/>
        <v/>
      </c>
      <c r="S808" s="583">
        <f t="shared" si="266"/>
        <v>0</v>
      </c>
      <c r="T808" s="377" t="str">
        <f>+IFERROR(VLOOKUP(S808,STAT1!$C$4:$D$189,2,FALSE),"")</f>
        <v/>
      </c>
      <c r="U808" s="424"/>
      <c r="V808" s="424"/>
      <c r="W808" s="822"/>
      <c r="X808" s="436" t="str">
        <f>IFERROR(VLOOKUP(W808,DATA!$G$4:$H$400,2,FALSE),"")</f>
        <v/>
      </c>
      <c r="Y808" s="328"/>
      <c r="Z808" s="328"/>
      <c r="AA808" s="328"/>
    </row>
    <row r="809" spans="1:27" ht="12.75" customHeight="1">
      <c r="A809" s="425"/>
      <c r="B809" s="368" t="str">
        <f t="shared" si="269"/>
        <v/>
      </c>
      <c r="C809" s="425"/>
      <c r="D809" s="423"/>
      <c r="E809" s="422" t="str">
        <f t="shared" ca="1" si="265"/>
        <v/>
      </c>
      <c r="F809" s="426" t="str">
        <f t="shared" ca="1" si="260"/>
        <v/>
      </c>
      <c r="G809" s="415"/>
      <c r="H809" s="415"/>
      <c r="I809" s="415" t="str">
        <f t="shared" si="258"/>
        <v/>
      </c>
      <c r="J809" s="415" t="str">
        <f t="shared" si="268"/>
        <v/>
      </c>
      <c r="K809" s="415" t="str">
        <f t="shared" si="259"/>
        <v/>
      </c>
      <c r="L809" s="415"/>
      <c r="M809" s="415"/>
      <c r="N809" s="422" t="str">
        <f t="shared" si="267"/>
        <v/>
      </c>
      <c r="O809" s="422" t="str">
        <f t="shared" si="261"/>
        <v/>
      </c>
      <c r="P809" s="422" t="str">
        <f t="shared" si="262"/>
        <v/>
      </c>
      <c r="Q809" s="422" t="str">
        <f t="shared" si="263"/>
        <v/>
      </c>
      <c r="R809" s="422" t="str">
        <f t="shared" si="264"/>
        <v/>
      </c>
      <c r="S809" s="583">
        <f t="shared" si="266"/>
        <v>0</v>
      </c>
      <c r="T809" s="377" t="str">
        <f>+IFERROR(VLOOKUP(S809,STAT1!$C$4:$D$189,2,FALSE),"")</f>
        <v/>
      </c>
      <c r="U809" s="424"/>
      <c r="V809" s="424"/>
      <c r="W809" s="822"/>
      <c r="X809" s="436" t="str">
        <f>IFERROR(VLOOKUP(W809,DATA!$G$4:$H$400,2,FALSE),"")</f>
        <v/>
      </c>
      <c r="Y809" s="328"/>
      <c r="Z809" s="328"/>
      <c r="AA809" s="328"/>
    </row>
    <row r="810" spans="1:27" ht="12.75" customHeight="1">
      <c r="A810" s="425"/>
      <c r="B810" s="368" t="str">
        <f t="shared" si="269"/>
        <v/>
      </c>
      <c r="C810" s="425"/>
      <c r="D810" s="423"/>
      <c r="E810" s="422" t="str">
        <f t="shared" ca="1" si="265"/>
        <v/>
      </c>
      <c r="F810" s="426" t="str">
        <f t="shared" ca="1" si="260"/>
        <v/>
      </c>
      <c r="G810" s="415"/>
      <c r="H810" s="415"/>
      <c r="I810" s="415" t="str">
        <f t="shared" si="258"/>
        <v/>
      </c>
      <c r="J810" s="415" t="str">
        <f t="shared" si="268"/>
        <v/>
      </c>
      <c r="K810" s="415" t="str">
        <f t="shared" si="259"/>
        <v/>
      </c>
      <c r="L810" s="415"/>
      <c r="M810" s="415"/>
      <c r="N810" s="422" t="str">
        <f t="shared" si="267"/>
        <v/>
      </c>
      <c r="O810" s="422" t="str">
        <f t="shared" si="261"/>
        <v/>
      </c>
      <c r="P810" s="422" t="str">
        <f t="shared" si="262"/>
        <v/>
      </c>
      <c r="Q810" s="422" t="str">
        <f t="shared" si="263"/>
        <v/>
      </c>
      <c r="R810" s="422" t="str">
        <f t="shared" si="264"/>
        <v/>
      </c>
      <c r="S810" s="583">
        <f t="shared" si="266"/>
        <v>0</v>
      </c>
      <c r="T810" s="377" t="str">
        <f>+IFERROR(VLOOKUP(S810,STAT1!$C$4:$D$189,2,FALSE),"")</f>
        <v/>
      </c>
      <c r="U810" s="424"/>
      <c r="V810" s="424"/>
      <c r="W810" s="822"/>
      <c r="X810" s="436" t="str">
        <f>IFERROR(VLOOKUP(W810,DATA!$G$4:$H$400,2,FALSE),"")</f>
        <v/>
      </c>
      <c r="Y810" s="328"/>
      <c r="Z810" s="328"/>
      <c r="AA810" s="328"/>
    </row>
    <row r="811" spans="1:27" ht="12.75" customHeight="1">
      <c r="A811" s="425"/>
      <c r="B811" s="368" t="str">
        <f t="shared" si="269"/>
        <v/>
      </c>
      <c r="C811" s="425"/>
      <c r="D811" s="423"/>
      <c r="E811" s="422" t="str">
        <f t="shared" ca="1" si="265"/>
        <v/>
      </c>
      <c r="F811" s="426" t="str">
        <f t="shared" ca="1" si="260"/>
        <v/>
      </c>
      <c r="G811" s="415"/>
      <c r="H811" s="415"/>
      <c r="I811" s="415" t="str">
        <f t="shared" si="258"/>
        <v/>
      </c>
      <c r="J811" s="415" t="str">
        <f t="shared" si="268"/>
        <v/>
      </c>
      <c r="K811" s="415" t="str">
        <f t="shared" si="259"/>
        <v/>
      </c>
      <c r="L811" s="415"/>
      <c r="M811" s="415"/>
      <c r="N811" s="422" t="str">
        <f t="shared" si="267"/>
        <v/>
      </c>
      <c r="O811" s="422" t="str">
        <f t="shared" si="261"/>
        <v/>
      </c>
      <c r="P811" s="422" t="str">
        <f t="shared" si="262"/>
        <v/>
      </c>
      <c r="Q811" s="422" t="str">
        <f t="shared" si="263"/>
        <v/>
      </c>
      <c r="R811" s="422" t="str">
        <f t="shared" si="264"/>
        <v/>
      </c>
      <c r="S811" s="583">
        <f t="shared" si="266"/>
        <v>0</v>
      </c>
      <c r="T811" s="377" t="str">
        <f>+IFERROR(VLOOKUP(S811,STAT1!$C$4:$D$189,2,FALSE),"")</f>
        <v/>
      </c>
      <c r="U811" s="424"/>
      <c r="V811" s="424"/>
      <c r="W811" s="822"/>
      <c r="X811" s="436" t="str">
        <f>IFERROR(VLOOKUP(W811,DATA!$G$4:$H$400,2,FALSE),"")</f>
        <v/>
      </c>
      <c r="Y811" s="328"/>
      <c r="Z811" s="328"/>
      <c r="AA811" s="328"/>
    </row>
    <row r="812" spans="1:27" ht="12.75" customHeight="1">
      <c r="A812" s="425"/>
      <c r="B812" s="368" t="str">
        <f t="shared" si="269"/>
        <v/>
      </c>
      <c r="C812" s="425"/>
      <c r="D812" s="423"/>
      <c r="E812" s="422" t="str">
        <f t="shared" ca="1" si="265"/>
        <v/>
      </c>
      <c r="F812" s="426" t="str">
        <f t="shared" ca="1" si="260"/>
        <v/>
      </c>
      <c r="G812" s="415"/>
      <c r="H812" s="415"/>
      <c r="I812" s="415" t="str">
        <f t="shared" si="258"/>
        <v/>
      </c>
      <c r="J812" s="415" t="str">
        <f t="shared" si="268"/>
        <v/>
      </c>
      <c r="K812" s="415" t="str">
        <f t="shared" si="259"/>
        <v/>
      </c>
      <c r="L812" s="415"/>
      <c r="M812" s="415"/>
      <c r="N812" s="422" t="str">
        <f t="shared" si="267"/>
        <v/>
      </c>
      <c r="O812" s="422" t="str">
        <f t="shared" si="261"/>
        <v/>
      </c>
      <c r="P812" s="422" t="str">
        <f t="shared" si="262"/>
        <v/>
      </c>
      <c r="Q812" s="422" t="str">
        <f t="shared" si="263"/>
        <v/>
      </c>
      <c r="R812" s="422" t="str">
        <f t="shared" si="264"/>
        <v/>
      </c>
      <c r="S812" s="583">
        <f t="shared" si="266"/>
        <v>0</v>
      </c>
      <c r="T812" s="377" t="str">
        <f>+IFERROR(VLOOKUP(S812,STAT1!$C$4:$D$189,2,FALSE),"")</f>
        <v/>
      </c>
      <c r="U812" s="424"/>
      <c r="V812" s="424"/>
      <c r="W812" s="822"/>
      <c r="X812" s="436" t="str">
        <f>IFERROR(VLOOKUP(W812,DATA!$G$4:$H$400,2,FALSE),"")</f>
        <v/>
      </c>
      <c r="Y812" s="328"/>
      <c r="Z812" s="328"/>
      <c r="AA812" s="328"/>
    </row>
    <row r="813" spans="1:27" ht="12.75" customHeight="1">
      <c r="A813" s="425"/>
      <c r="B813" s="368" t="str">
        <f t="shared" si="269"/>
        <v/>
      </c>
      <c r="C813" s="425"/>
      <c r="D813" s="423"/>
      <c r="E813" s="422" t="str">
        <f t="shared" ca="1" si="265"/>
        <v/>
      </c>
      <c r="F813" s="426" t="str">
        <f t="shared" ca="1" si="260"/>
        <v/>
      </c>
      <c r="G813" s="415"/>
      <c r="H813" s="415"/>
      <c r="I813" s="415" t="str">
        <f t="shared" si="258"/>
        <v/>
      </c>
      <c r="J813" s="415" t="str">
        <f t="shared" si="268"/>
        <v/>
      </c>
      <c r="K813" s="415" t="str">
        <f t="shared" si="259"/>
        <v/>
      </c>
      <c r="L813" s="415"/>
      <c r="M813" s="415"/>
      <c r="N813" s="422" t="str">
        <f t="shared" si="267"/>
        <v/>
      </c>
      <c r="O813" s="422" t="str">
        <f t="shared" si="261"/>
        <v/>
      </c>
      <c r="P813" s="422" t="str">
        <f t="shared" si="262"/>
        <v/>
      </c>
      <c r="Q813" s="422" t="str">
        <f t="shared" si="263"/>
        <v/>
      </c>
      <c r="R813" s="422" t="str">
        <f t="shared" si="264"/>
        <v/>
      </c>
      <c r="S813" s="583">
        <f t="shared" si="266"/>
        <v>0</v>
      </c>
      <c r="T813" s="377" t="str">
        <f>+IFERROR(VLOOKUP(S813,STAT1!$C$4:$D$189,2,FALSE),"")</f>
        <v/>
      </c>
      <c r="U813" s="424"/>
      <c r="V813" s="424"/>
      <c r="W813" s="822"/>
      <c r="X813" s="436" t="str">
        <f>IFERROR(VLOOKUP(W813,DATA!$G$4:$H$400,2,FALSE),"")</f>
        <v/>
      </c>
      <c r="Y813" s="328"/>
      <c r="Z813" s="328"/>
      <c r="AA813" s="328"/>
    </row>
    <row r="814" spans="1:27" ht="12.75" customHeight="1">
      <c r="A814" s="425"/>
      <c r="B814" s="368" t="str">
        <f t="shared" si="269"/>
        <v/>
      </c>
      <c r="C814" s="425"/>
      <c r="D814" s="423"/>
      <c r="E814" s="422" t="str">
        <f t="shared" ca="1" si="265"/>
        <v/>
      </c>
      <c r="F814" s="426" t="str">
        <f t="shared" ca="1" si="260"/>
        <v/>
      </c>
      <c r="G814" s="415"/>
      <c r="H814" s="415"/>
      <c r="I814" s="415" t="str">
        <f t="shared" si="258"/>
        <v/>
      </c>
      <c r="J814" s="415" t="str">
        <f t="shared" si="268"/>
        <v/>
      </c>
      <c r="K814" s="415" t="str">
        <f t="shared" si="259"/>
        <v/>
      </c>
      <c r="L814" s="415"/>
      <c r="M814" s="415"/>
      <c r="N814" s="422" t="str">
        <f t="shared" si="267"/>
        <v/>
      </c>
      <c r="O814" s="422" t="str">
        <f t="shared" si="261"/>
        <v/>
      </c>
      <c r="P814" s="422" t="str">
        <f t="shared" si="262"/>
        <v/>
      </c>
      <c r="Q814" s="422" t="str">
        <f t="shared" si="263"/>
        <v/>
      </c>
      <c r="R814" s="422" t="str">
        <f t="shared" si="264"/>
        <v/>
      </c>
      <c r="S814" s="583">
        <f t="shared" si="266"/>
        <v>0</v>
      </c>
      <c r="T814" s="377" t="str">
        <f>+IFERROR(VLOOKUP(S814,STAT1!$C$4:$D$189,2,FALSE),"")</f>
        <v/>
      </c>
      <c r="U814" s="424"/>
      <c r="V814" s="424"/>
      <c r="W814" s="822"/>
      <c r="X814" s="436" t="str">
        <f>IFERROR(VLOOKUP(W814,DATA!$G$4:$H$400,2,FALSE),"")</f>
        <v/>
      </c>
      <c r="Y814" s="328"/>
      <c r="Z814" s="328"/>
      <c r="AA814" s="328"/>
    </row>
    <row r="815" spans="1:27" ht="12.75" customHeight="1">
      <c r="A815" s="425"/>
      <c r="B815" s="368" t="str">
        <f t="shared" si="269"/>
        <v/>
      </c>
      <c r="C815" s="425"/>
      <c r="D815" s="423"/>
      <c r="E815" s="422" t="str">
        <f t="shared" ca="1" si="265"/>
        <v/>
      </c>
      <c r="F815" s="426" t="str">
        <f t="shared" ca="1" si="260"/>
        <v/>
      </c>
      <c r="G815" s="415"/>
      <c r="H815" s="415"/>
      <c r="I815" s="415" t="str">
        <f t="shared" si="258"/>
        <v/>
      </c>
      <c r="J815" s="415" t="str">
        <f t="shared" si="268"/>
        <v/>
      </c>
      <c r="K815" s="415" t="str">
        <f t="shared" si="259"/>
        <v/>
      </c>
      <c r="L815" s="415"/>
      <c r="M815" s="415"/>
      <c r="N815" s="422" t="str">
        <f t="shared" si="267"/>
        <v/>
      </c>
      <c r="O815" s="422" t="str">
        <f t="shared" si="261"/>
        <v/>
      </c>
      <c r="P815" s="422" t="str">
        <f t="shared" si="262"/>
        <v/>
      </c>
      <c r="Q815" s="422" t="str">
        <f t="shared" si="263"/>
        <v/>
      </c>
      <c r="R815" s="422" t="str">
        <f t="shared" si="264"/>
        <v/>
      </c>
      <c r="S815" s="583">
        <f t="shared" si="266"/>
        <v>0</v>
      </c>
      <c r="T815" s="377" t="str">
        <f>+IFERROR(VLOOKUP(S815,STAT1!$C$4:$D$189,2,FALSE),"")</f>
        <v/>
      </c>
      <c r="U815" s="424"/>
      <c r="V815" s="424"/>
      <c r="W815" s="822"/>
      <c r="X815" s="436" t="str">
        <f>IFERROR(VLOOKUP(W815,DATA!$G$4:$H$400,2,FALSE),"")</f>
        <v/>
      </c>
      <c r="Y815" s="328"/>
      <c r="Z815" s="328"/>
      <c r="AA815" s="328"/>
    </row>
    <row r="816" spans="1:27" ht="12.75" customHeight="1">
      <c r="A816" s="425"/>
      <c r="B816" s="368" t="str">
        <f t="shared" si="269"/>
        <v/>
      </c>
      <c r="C816" s="425"/>
      <c r="D816" s="423"/>
      <c r="E816" s="422" t="str">
        <f t="shared" ca="1" si="265"/>
        <v/>
      </c>
      <c r="F816" s="426" t="str">
        <f t="shared" ca="1" si="260"/>
        <v/>
      </c>
      <c r="G816" s="415"/>
      <c r="H816" s="415"/>
      <c r="I816" s="415" t="str">
        <f t="shared" si="258"/>
        <v/>
      </c>
      <c r="J816" s="415" t="str">
        <f t="shared" si="268"/>
        <v/>
      </c>
      <c r="K816" s="415" t="str">
        <f t="shared" si="259"/>
        <v/>
      </c>
      <c r="L816" s="415"/>
      <c r="M816" s="415"/>
      <c r="N816" s="422" t="str">
        <f t="shared" si="267"/>
        <v/>
      </c>
      <c r="O816" s="422" t="str">
        <f t="shared" si="261"/>
        <v/>
      </c>
      <c r="P816" s="422" t="str">
        <f t="shared" si="262"/>
        <v/>
      </c>
      <c r="Q816" s="422" t="str">
        <f t="shared" si="263"/>
        <v/>
      </c>
      <c r="R816" s="422" t="str">
        <f t="shared" si="264"/>
        <v/>
      </c>
      <c r="S816" s="583">
        <f t="shared" si="266"/>
        <v>0</v>
      </c>
      <c r="T816" s="377" t="str">
        <f>+IFERROR(VLOOKUP(S816,STAT1!$C$4:$D$189,2,FALSE),"")</f>
        <v/>
      </c>
      <c r="U816" s="424"/>
      <c r="V816" s="424"/>
      <c r="W816" s="822"/>
      <c r="X816" s="436" t="str">
        <f>IFERROR(VLOOKUP(W816,DATA!$G$4:$H$400,2,FALSE),"")</f>
        <v/>
      </c>
      <c r="Y816" s="328"/>
      <c r="Z816" s="328"/>
      <c r="AA816" s="328"/>
    </row>
    <row r="817" spans="1:27" ht="12.75" customHeight="1">
      <c r="A817" s="425"/>
      <c r="B817" s="368" t="str">
        <f t="shared" si="269"/>
        <v/>
      </c>
      <c r="C817" s="425"/>
      <c r="D817" s="423"/>
      <c r="E817" s="422" t="str">
        <f t="shared" ca="1" si="265"/>
        <v/>
      </c>
      <c r="F817" s="426" t="str">
        <f t="shared" ca="1" si="260"/>
        <v/>
      </c>
      <c r="G817" s="415"/>
      <c r="H817" s="415"/>
      <c r="I817" s="415" t="str">
        <f t="shared" si="258"/>
        <v/>
      </c>
      <c r="J817" s="415" t="str">
        <f t="shared" si="268"/>
        <v/>
      </c>
      <c r="K817" s="415" t="str">
        <f t="shared" si="259"/>
        <v/>
      </c>
      <c r="L817" s="415"/>
      <c r="M817" s="415"/>
      <c r="N817" s="422" t="str">
        <f t="shared" si="267"/>
        <v/>
      </c>
      <c r="O817" s="422" t="str">
        <f t="shared" si="261"/>
        <v/>
      </c>
      <c r="P817" s="422" t="str">
        <f t="shared" si="262"/>
        <v/>
      </c>
      <c r="Q817" s="422" t="str">
        <f t="shared" si="263"/>
        <v/>
      </c>
      <c r="R817" s="422" t="str">
        <f t="shared" si="264"/>
        <v/>
      </c>
      <c r="S817" s="583">
        <f t="shared" si="266"/>
        <v>0</v>
      </c>
      <c r="T817" s="377" t="str">
        <f>+IFERROR(VLOOKUP(S817,STAT1!$C$4:$D$189,2,FALSE),"")</f>
        <v/>
      </c>
      <c r="U817" s="424"/>
      <c r="V817" s="424"/>
      <c r="W817" s="822"/>
      <c r="X817" s="436" t="str">
        <f>IFERROR(VLOOKUP(W817,DATA!$G$4:$H$400,2,FALSE),"")</f>
        <v/>
      </c>
      <c r="Y817" s="328"/>
      <c r="Z817" s="328"/>
      <c r="AA817" s="328"/>
    </row>
    <row r="818" spans="1:27" ht="12.75" customHeight="1">
      <c r="A818" s="425"/>
      <c r="B818" s="368" t="str">
        <f t="shared" si="269"/>
        <v/>
      </c>
      <c r="C818" s="425"/>
      <c r="D818" s="423"/>
      <c r="E818" s="422" t="str">
        <f t="shared" ca="1" si="265"/>
        <v/>
      </c>
      <c r="F818" s="426" t="str">
        <f t="shared" ca="1" si="260"/>
        <v/>
      </c>
      <c r="G818" s="415"/>
      <c r="H818" s="415"/>
      <c r="I818" s="415" t="str">
        <f t="shared" si="258"/>
        <v/>
      </c>
      <c r="J818" s="415" t="str">
        <f t="shared" si="268"/>
        <v/>
      </c>
      <c r="K818" s="415" t="str">
        <f t="shared" si="259"/>
        <v/>
      </c>
      <c r="L818" s="415"/>
      <c r="M818" s="415"/>
      <c r="N818" s="422" t="str">
        <f t="shared" si="267"/>
        <v/>
      </c>
      <c r="O818" s="422" t="str">
        <f t="shared" si="261"/>
        <v/>
      </c>
      <c r="P818" s="422" t="str">
        <f t="shared" si="262"/>
        <v/>
      </c>
      <c r="Q818" s="422" t="str">
        <f t="shared" si="263"/>
        <v/>
      </c>
      <c r="R818" s="422" t="str">
        <f t="shared" si="264"/>
        <v/>
      </c>
      <c r="S818" s="583">
        <f t="shared" si="266"/>
        <v>0</v>
      </c>
      <c r="T818" s="377" t="str">
        <f>+IFERROR(VLOOKUP(S818,STAT1!$C$4:$D$189,2,FALSE),"")</f>
        <v/>
      </c>
      <c r="U818" s="424"/>
      <c r="V818" s="424"/>
      <c r="W818" s="822"/>
      <c r="X818" s="436" t="str">
        <f>IFERROR(VLOOKUP(W818,DATA!$G$4:$H$400,2,FALSE),"")</f>
        <v/>
      </c>
      <c r="Y818" s="328"/>
      <c r="Z818" s="328"/>
      <c r="AA818" s="328"/>
    </row>
    <row r="819" spans="1:27" ht="12.75" customHeight="1">
      <c r="A819" s="425"/>
      <c r="B819" s="368" t="str">
        <f t="shared" si="269"/>
        <v/>
      </c>
      <c r="C819" s="425"/>
      <c r="D819" s="423"/>
      <c r="E819" s="422" t="str">
        <f t="shared" ca="1" si="265"/>
        <v/>
      </c>
      <c r="F819" s="426" t="str">
        <f t="shared" ca="1" si="260"/>
        <v/>
      </c>
      <c r="G819" s="415"/>
      <c r="H819" s="415"/>
      <c r="I819" s="415" t="str">
        <f t="shared" si="258"/>
        <v/>
      </c>
      <c r="J819" s="415" t="str">
        <f t="shared" si="268"/>
        <v/>
      </c>
      <c r="K819" s="415" t="str">
        <f t="shared" si="259"/>
        <v/>
      </c>
      <c r="L819" s="415"/>
      <c r="M819" s="415"/>
      <c r="N819" s="422" t="str">
        <f t="shared" si="267"/>
        <v/>
      </c>
      <c r="O819" s="422" t="str">
        <f t="shared" si="261"/>
        <v/>
      </c>
      <c r="P819" s="422" t="str">
        <f t="shared" si="262"/>
        <v/>
      </c>
      <c r="Q819" s="422" t="str">
        <f t="shared" si="263"/>
        <v/>
      </c>
      <c r="R819" s="422" t="str">
        <f t="shared" si="264"/>
        <v/>
      </c>
      <c r="S819" s="583">
        <f t="shared" si="266"/>
        <v>0</v>
      </c>
      <c r="T819" s="377" t="str">
        <f>+IFERROR(VLOOKUP(S819,STAT1!$C$4:$D$189,2,FALSE),"")</f>
        <v/>
      </c>
      <c r="U819" s="424"/>
      <c r="V819" s="424"/>
      <c r="W819" s="822"/>
      <c r="X819" s="436" t="str">
        <f>IFERROR(VLOOKUP(W819,DATA!$G$4:$H$400,2,FALSE),"")</f>
        <v/>
      </c>
      <c r="Y819" s="328"/>
      <c r="Z819" s="328"/>
      <c r="AA819" s="328"/>
    </row>
    <row r="820" spans="1:27" ht="12.75" customHeight="1">
      <c r="A820" s="425"/>
      <c r="B820" s="368" t="str">
        <f t="shared" si="269"/>
        <v/>
      </c>
      <c r="C820" s="425"/>
      <c r="D820" s="423"/>
      <c r="E820" s="422" t="str">
        <f t="shared" ca="1" si="265"/>
        <v/>
      </c>
      <c r="F820" s="426" t="str">
        <f t="shared" ca="1" si="260"/>
        <v/>
      </c>
      <c r="G820" s="415"/>
      <c r="H820" s="415"/>
      <c r="I820" s="415" t="str">
        <f t="shared" si="258"/>
        <v/>
      </c>
      <c r="J820" s="415" t="str">
        <f t="shared" si="268"/>
        <v/>
      </c>
      <c r="K820" s="415" t="str">
        <f t="shared" si="259"/>
        <v/>
      </c>
      <c r="L820" s="415"/>
      <c r="M820" s="415"/>
      <c r="N820" s="422" t="str">
        <f t="shared" si="267"/>
        <v/>
      </c>
      <c r="O820" s="422" t="str">
        <f t="shared" si="261"/>
        <v/>
      </c>
      <c r="P820" s="422" t="str">
        <f t="shared" si="262"/>
        <v/>
      </c>
      <c r="Q820" s="422" t="str">
        <f t="shared" si="263"/>
        <v/>
      </c>
      <c r="R820" s="422" t="str">
        <f t="shared" si="264"/>
        <v/>
      </c>
      <c r="S820" s="583">
        <f t="shared" si="266"/>
        <v>0</v>
      </c>
      <c r="T820" s="377" t="str">
        <f>+IFERROR(VLOOKUP(S820,STAT1!$C$4:$D$189,2,FALSE),"")</f>
        <v/>
      </c>
      <c r="U820" s="424"/>
      <c r="V820" s="424"/>
      <c r="W820" s="822"/>
      <c r="X820" s="436" t="str">
        <f>IFERROR(VLOOKUP(W820,DATA!$G$4:$H$400,2,FALSE),"")</f>
        <v/>
      </c>
      <c r="Y820" s="328"/>
      <c r="Z820" s="328"/>
      <c r="AA820" s="328"/>
    </row>
    <row r="821" spans="1:27" ht="12.75" customHeight="1">
      <c r="A821" s="425"/>
      <c r="B821" s="368" t="str">
        <f t="shared" si="269"/>
        <v/>
      </c>
      <c r="C821" s="425"/>
      <c r="D821" s="423"/>
      <c r="E821" s="422" t="str">
        <f t="shared" ca="1" si="265"/>
        <v/>
      </c>
      <c r="F821" s="426" t="str">
        <f t="shared" ca="1" si="260"/>
        <v/>
      </c>
      <c r="G821" s="415"/>
      <c r="H821" s="415"/>
      <c r="I821" s="415" t="str">
        <f t="shared" si="258"/>
        <v/>
      </c>
      <c r="J821" s="415" t="str">
        <f t="shared" si="268"/>
        <v/>
      </c>
      <c r="K821" s="415" t="str">
        <f t="shared" si="259"/>
        <v/>
      </c>
      <c r="L821" s="415"/>
      <c r="M821" s="415"/>
      <c r="N821" s="422" t="str">
        <f t="shared" si="267"/>
        <v/>
      </c>
      <c r="O821" s="422" t="str">
        <f t="shared" si="261"/>
        <v/>
      </c>
      <c r="P821" s="422" t="str">
        <f t="shared" si="262"/>
        <v/>
      </c>
      <c r="Q821" s="422" t="str">
        <f t="shared" si="263"/>
        <v/>
      </c>
      <c r="R821" s="422" t="str">
        <f t="shared" si="264"/>
        <v/>
      </c>
      <c r="S821" s="583">
        <f t="shared" si="266"/>
        <v>0</v>
      </c>
      <c r="T821" s="377" t="str">
        <f>+IFERROR(VLOOKUP(S821,STAT1!$C$4:$D$189,2,FALSE),"")</f>
        <v/>
      </c>
      <c r="U821" s="424"/>
      <c r="V821" s="424"/>
      <c r="W821" s="822"/>
      <c r="X821" s="436" t="str">
        <f>IFERROR(VLOOKUP(W821,DATA!$G$4:$H$400,2,FALSE),"")</f>
        <v/>
      </c>
      <c r="Y821" s="328"/>
      <c r="Z821" s="328"/>
      <c r="AA821" s="328"/>
    </row>
    <row r="822" spans="1:27" ht="12.75" customHeight="1">
      <c r="A822" s="425"/>
      <c r="B822" s="368" t="str">
        <f t="shared" si="269"/>
        <v/>
      </c>
      <c r="C822" s="425"/>
      <c r="D822" s="423"/>
      <c r="E822" s="422" t="str">
        <f t="shared" ca="1" si="265"/>
        <v/>
      </c>
      <c r="F822" s="426" t="str">
        <f t="shared" ca="1" si="260"/>
        <v/>
      </c>
      <c r="G822" s="415"/>
      <c r="H822" s="415"/>
      <c r="I822" s="415" t="str">
        <f t="shared" si="258"/>
        <v/>
      </c>
      <c r="J822" s="415" t="str">
        <f t="shared" si="268"/>
        <v/>
      </c>
      <c r="K822" s="415" t="str">
        <f t="shared" si="259"/>
        <v/>
      </c>
      <c r="L822" s="415"/>
      <c r="M822" s="415"/>
      <c r="N822" s="422" t="str">
        <f t="shared" si="267"/>
        <v/>
      </c>
      <c r="O822" s="422" t="str">
        <f t="shared" si="261"/>
        <v/>
      </c>
      <c r="P822" s="422" t="str">
        <f t="shared" si="262"/>
        <v/>
      </c>
      <c r="Q822" s="422" t="str">
        <f t="shared" si="263"/>
        <v/>
      </c>
      <c r="R822" s="422" t="str">
        <f t="shared" si="264"/>
        <v/>
      </c>
      <c r="S822" s="583">
        <f t="shared" si="266"/>
        <v>0</v>
      </c>
      <c r="T822" s="377" t="str">
        <f>+IFERROR(VLOOKUP(S822,STAT1!$C$4:$D$189,2,FALSE),"")</f>
        <v/>
      </c>
      <c r="U822" s="424"/>
      <c r="V822" s="424"/>
      <c r="W822" s="822"/>
      <c r="X822" s="436" t="str">
        <f>IFERROR(VLOOKUP(W822,DATA!$G$4:$H$400,2,FALSE),"")</f>
        <v/>
      </c>
      <c r="Y822" s="328"/>
      <c r="Z822" s="328"/>
      <c r="AA822" s="328"/>
    </row>
    <row r="823" spans="1:27" ht="12.75" customHeight="1">
      <c r="A823" s="425"/>
      <c r="B823" s="368" t="str">
        <f t="shared" si="269"/>
        <v/>
      </c>
      <c r="C823" s="425"/>
      <c r="D823" s="423"/>
      <c r="E823" s="422" t="str">
        <f t="shared" ca="1" si="265"/>
        <v/>
      </c>
      <c r="F823" s="426" t="str">
        <f t="shared" ca="1" si="260"/>
        <v/>
      </c>
      <c r="G823" s="415"/>
      <c r="H823" s="415"/>
      <c r="I823" s="415" t="str">
        <f t="shared" ref="I823:I885" si="270">+IF(G823="","",G823*H823)</f>
        <v/>
      </c>
      <c r="J823" s="415" t="str">
        <f t="shared" si="268"/>
        <v/>
      </c>
      <c r="K823" s="415" t="str">
        <f t="shared" ref="K823:K885" si="271">+IF(G823="","",I823+J823)</f>
        <v/>
      </c>
      <c r="L823" s="415"/>
      <c r="M823" s="415"/>
      <c r="N823" s="422" t="str">
        <f t="shared" si="267"/>
        <v/>
      </c>
      <c r="O823" s="422" t="str">
        <f t="shared" si="261"/>
        <v/>
      </c>
      <c r="P823" s="422" t="str">
        <f t="shared" si="262"/>
        <v/>
      </c>
      <c r="Q823" s="422" t="str">
        <f t="shared" si="263"/>
        <v/>
      </c>
      <c r="R823" s="422" t="str">
        <f t="shared" si="264"/>
        <v/>
      </c>
      <c r="S823" s="583">
        <f t="shared" si="266"/>
        <v>0</v>
      </c>
      <c r="T823" s="377" t="str">
        <f>+IFERROR(VLOOKUP(S823,STAT1!$C$4:$D$189,2,FALSE),"")</f>
        <v/>
      </c>
      <c r="U823" s="424"/>
      <c r="V823" s="424"/>
      <c r="W823" s="822"/>
      <c r="X823" s="436" t="str">
        <f>IFERROR(VLOOKUP(W823,DATA!$G$4:$H$400,2,FALSE),"")</f>
        <v/>
      </c>
      <c r="Y823" s="328"/>
      <c r="Z823" s="328"/>
      <c r="AA823" s="328"/>
    </row>
    <row r="824" spans="1:27" ht="12.75" customHeight="1">
      <c r="A824" s="425"/>
      <c r="B824" s="368" t="str">
        <f t="shared" si="269"/>
        <v/>
      </c>
      <c r="C824" s="425"/>
      <c r="D824" s="423"/>
      <c r="E824" s="422" t="str">
        <f t="shared" ca="1" si="265"/>
        <v/>
      </c>
      <c r="F824" s="426" t="str">
        <f t="shared" ref="F824:F885" ca="1" si="272">+IFERROR(VLOOKUP(D824,TN_table,3,FALSE),"")</f>
        <v/>
      </c>
      <c r="G824" s="415"/>
      <c r="H824" s="415"/>
      <c r="I824" s="415" t="str">
        <f t="shared" si="270"/>
        <v/>
      </c>
      <c r="J824" s="415" t="str">
        <f t="shared" si="268"/>
        <v/>
      </c>
      <c r="K824" s="415" t="str">
        <f t="shared" si="271"/>
        <v/>
      </c>
      <c r="L824" s="415"/>
      <c r="M824" s="415"/>
      <c r="N824" s="422" t="str">
        <f t="shared" si="267"/>
        <v/>
      </c>
      <c r="O824" s="422" t="str">
        <f t="shared" ref="O824:O885" si="273">+IF(L824="","",N824*0.1)</f>
        <v/>
      </c>
      <c r="P824" s="422" t="str">
        <f t="shared" ref="P824:P885" si="274">+IF(L824="","",N824+O824)</f>
        <v/>
      </c>
      <c r="Q824" s="422" t="str">
        <f t="shared" ref="Q824:Q885" si="275">IF(L824="","",IFERROR((SUMIFS(TN_balC1_totol,TN_code,D824)+SUMIFS(RC_or_totol,RC_Code,D824,RC_date,"&lt;="&amp;C824)-SUMIFS(RC_zar_totol,RC_Code,D824,RC_date,"&lt;"&amp;C824)) /( SUMIFS(TN_balC1_unit,TN_code,D824)+SUMIFS(RC_or_unit,RC_Code,D824,RC_date,"&lt;="&amp;C824)-SUMIFS(RC_zar_unit,RC_Code,D824,RC_date,"&lt;"&amp;C824)),0 ))</f>
        <v/>
      </c>
      <c r="R824" s="422" t="str">
        <f t="shared" ref="R824:R885" si="276">+IF(L824="","",L824*Q824)</f>
        <v/>
      </c>
      <c r="S824" s="583">
        <f t="shared" si="266"/>
        <v>0</v>
      </c>
      <c r="T824" s="377" t="str">
        <f>+IFERROR(VLOOKUP(S824,STAT1!$C$4:$D$189,2,FALSE),"")</f>
        <v/>
      </c>
      <c r="U824" s="424"/>
      <c r="V824" s="424"/>
      <c r="W824" s="822"/>
      <c r="X824" s="436" t="str">
        <f>IFERROR(VLOOKUP(W824,DATA!$G$4:$H$400,2,FALSE),"")</f>
        <v/>
      </c>
      <c r="Y824" s="328"/>
      <c r="Z824" s="328"/>
      <c r="AA824" s="328"/>
    </row>
    <row r="825" spans="1:27" ht="12.75" customHeight="1">
      <c r="A825" s="425"/>
      <c r="B825" s="368" t="str">
        <f t="shared" si="269"/>
        <v/>
      </c>
      <c r="C825" s="425"/>
      <c r="D825" s="423"/>
      <c r="E825" s="422" t="str">
        <f t="shared" ca="1" si="265"/>
        <v/>
      </c>
      <c r="F825" s="426" t="str">
        <f t="shared" ca="1" si="272"/>
        <v/>
      </c>
      <c r="G825" s="415"/>
      <c r="H825" s="415"/>
      <c r="I825" s="415" t="str">
        <f t="shared" si="270"/>
        <v/>
      </c>
      <c r="J825" s="415" t="str">
        <f t="shared" si="268"/>
        <v/>
      </c>
      <c r="K825" s="415" t="str">
        <f t="shared" si="271"/>
        <v/>
      </c>
      <c r="L825" s="415"/>
      <c r="M825" s="415"/>
      <c r="N825" s="422" t="str">
        <f t="shared" si="267"/>
        <v/>
      </c>
      <c r="O825" s="422" t="str">
        <f t="shared" si="273"/>
        <v/>
      </c>
      <c r="P825" s="422" t="str">
        <f t="shared" si="274"/>
        <v/>
      </c>
      <c r="Q825" s="422" t="str">
        <f t="shared" si="275"/>
        <v/>
      </c>
      <c r="R825" s="422" t="str">
        <f t="shared" si="276"/>
        <v/>
      </c>
      <c r="S825" s="583">
        <f t="shared" si="266"/>
        <v>0</v>
      </c>
      <c r="T825" s="377" t="str">
        <f>+IFERROR(VLOOKUP(S825,STAT1!$C$4:$D$189,2,FALSE),"")</f>
        <v/>
      </c>
      <c r="U825" s="424"/>
      <c r="V825" s="424"/>
      <c r="W825" s="822"/>
      <c r="X825" s="436" t="str">
        <f>IFERROR(VLOOKUP(W825,DATA!$G$4:$H$400,2,FALSE),"")</f>
        <v/>
      </c>
      <c r="Y825" s="328"/>
      <c r="Z825" s="328"/>
      <c r="AA825" s="328"/>
    </row>
    <row r="826" spans="1:27" ht="12.75" customHeight="1">
      <c r="A826" s="425"/>
      <c r="B826" s="368" t="str">
        <f t="shared" si="269"/>
        <v/>
      </c>
      <c r="C826" s="425"/>
      <c r="D826" s="423"/>
      <c r="E826" s="422" t="str">
        <f t="shared" ca="1" si="265"/>
        <v/>
      </c>
      <c r="F826" s="426" t="str">
        <f t="shared" ca="1" si="272"/>
        <v/>
      </c>
      <c r="G826" s="415"/>
      <c r="H826" s="415"/>
      <c r="I826" s="415" t="str">
        <f t="shared" si="270"/>
        <v/>
      </c>
      <c r="J826" s="415" t="str">
        <f t="shared" si="268"/>
        <v/>
      </c>
      <c r="K826" s="415" t="str">
        <f t="shared" si="271"/>
        <v/>
      </c>
      <c r="L826" s="415"/>
      <c r="M826" s="415"/>
      <c r="N826" s="422" t="str">
        <f t="shared" si="267"/>
        <v/>
      </c>
      <c r="O826" s="422" t="str">
        <f t="shared" si="273"/>
        <v/>
      </c>
      <c r="P826" s="422" t="str">
        <f t="shared" si="274"/>
        <v/>
      </c>
      <c r="Q826" s="422" t="str">
        <f t="shared" si="275"/>
        <v/>
      </c>
      <c r="R826" s="422" t="str">
        <f t="shared" si="276"/>
        <v/>
      </c>
      <c r="S826" s="583">
        <f t="shared" si="266"/>
        <v>0</v>
      </c>
      <c r="T826" s="377" t="str">
        <f>+IFERROR(VLOOKUP(S826,STAT1!$C$4:$D$189,2,FALSE),"")</f>
        <v/>
      </c>
      <c r="U826" s="424"/>
      <c r="V826" s="424"/>
      <c r="W826" s="822"/>
      <c r="X826" s="436" t="str">
        <f>IFERROR(VLOOKUP(W826,DATA!$G$4:$H$400,2,FALSE),"")</f>
        <v/>
      </c>
      <c r="Y826" s="328"/>
      <c r="Z826" s="328"/>
      <c r="AA826" s="328"/>
    </row>
    <row r="827" spans="1:27" ht="12.75" customHeight="1">
      <c r="A827" s="425"/>
      <c r="B827" s="368" t="str">
        <f t="shared" si="269"/>
        <v/>
      </c>
      <c r="C827" s="425"/>
      <c r="D827" s="423"/>
      <c r="E827" s="422" t="str">
        <f t="shared" ca="1" si="265"/>
        <v/>
      </c>
      <c r="F827" s="426" t="str">
        <f t="shared" ca="1" si="272"/>
        <v/>
      </c>
      <c r="G827" s="415"/>
      <c r="H827" s="415"/>
      <c r="I827" s="415" t="str">
        <f t="shared" si="270"/>
        <v/>
      </c>
      <c r="J827" s="415" t="str">
        <f t="shared" si="268"/>
        <v/>
      </c>
      <c r="K827" s="415" t="str">
        <f t="shared" si="271"/>
        <v/>
      </c>
      <c r="L827" s="415"/>
      <c r="M827" s="415"/>
      <c r="N827" s="422" t="str">
        <f t="shared" si="267"/>
        <v/>
      </c>
      <c r="O827" s="422" t="str">
        <f t="shared" si="273"/>
        <v/>
      </c>
      <c r="P827" s="422" t="str">
        <f t="shared" si="274"/>
        <v/>
      </c>
      <c r="Q827" s="422" t="str">
        <f t="shared" si="275"/>
        <v/>
      </c>
      <c r="R827" s="422" t="str">
        <f t="shared" si="276"/>
        <v/>
      </c>
      <c r="S827" s="583">
        <f t="shared" si="266"/>
        <v>0</v>
      </c>
      <c r="T827" s="377" t="str">
        <f>+IFERROR(VLOOKUP(S827,STAT1!$C$4:$D$189,2,FALSE),"")</f>
        <v/>
      </c>
      <c r="U827" s="424"/>
      <c r="V827" s="424"/>
      <c r="W827" s="822"/>
      <c r="X827" s="436" t="str">
        <f>IFERROR(VLOOKUP(W827,DATA!$G$4:$H$400,2,FALSE),"")</f>
        <v/>
      </c>
      <c r="Y827" s="328"/>
      <c r="Z827" s="328"/>
      <c r="AA827" s="328"/>
    </row>
    <row r="828" spans="1:27" ht="12.75" customHeight="1">
      <c r="A828" s="425"/>
      <c r="B828" s="368" t="str">
        <f t="shared" si="269"/>
        <v/>
      </c>
      <c r="C828" s="425"/>
      <c r="D828" s="423"/>
      <c r="E828" s="422" t="str">
        <f t="shared" ca="1" si="265"/>
        <v/>
      </c>
      <c r="F828" s="426" t="str">
        <f t="shared" ca="1" si="272"/>
        <v/>
      </c>
      <c r="G828" s="415"/>
      <c r="H828" s="415"/>
      <c r="I828" s="415" t="str">
        <f t="shared" si="270"/>
        <v/>
      </c>
      <c r="J828" s="415" t="str">
        <f t="shared" si="268"/>
        <v/>
      </c>
      <c r="K828" s="415" t="str">
        <f t="shared" si="271"/>
        <v/>
      </c>
      <c r="L828" s="415"/>
      <c r="M828" s="415"/>
      <c r="N828" s="422" t="str">
        <f t="shared" si="267"/>
        <v/>
      </c>
      <c r="O828" s="422" t="str">
        <f t="shared" si="273"/>
        <v/>
      </c>
      <c r="P828" s="422" t="str">
        <f t="shared" si="274"/>
        <v/>
      </c>
      <c r="Q828" s="422" t="str">
        <f t="shared" si="275"/>
        <v/>
      </c>
      <c r="R828" s="422" t="str">
        <f t="shared" si="276"/>
        <v/>
      </c>
      <c r="S828" s="583">
        <f t="shared" si="266"/>
        <v>0</v>
      </c>
      <c r="T828" s="377" t="str">
        <f>+IFERROR(VLOOKUP(S828,STAT1!$C$4:$D$189,2,FALSE),"")</f>
        <v/>
      </c>
      <c r="U828" s="424"/>
      <c r="V828" s="424"/>
      <c r="W828" s="822"/>
      <c r="X828" s="436" t="str">
        <f>IFERROR(VLOOKUP(W828,DATA!$G$4:$H$400,2,FALSE),"")</f>
        <v/>
      </c>
      <c r="Y828" s="328"/>
      <c r="Z828" s="328"/>
      <c r="AA828" s="328"/>
    </row>
    <row r="829" spans="1:27" ht="12.75" customHeight="1">
      <c r="A829" s="425"/>
      <c r="B829" s="368" t="str">
        <f t="shared" si="269"/>
        <v/>
      </c>
      <c r="C829" s="425"/>
      <c r="D829" s="423"/>
      <c r="E829" s="422" t="str">
        <f t="shared" ca="1" si="265"/>
        <v/>
      </c>
      <c r="F829" s="426" t="str">
        <f t="shared" ca="1" si="272"/>
        <v/>
      </c>
      <c r="G829" s="415"/>
      <c r="H829" s="415"/>
      <c r="I829" s="415" t="str">
        <f t="shared" si="270"/>
        <v/>
      </c>
      <c r="J829" s="415" t="str">
        <f t="shared" si="268"/>
        <v/>
      </c>
      <c r="K829" s="415" t="str">
        <f t="shared" si="271"/>
        <v/>
      </c>
      <c r="L829" s="415"/>
      <c r="M829" s="415"/>
      <c r="N829" s="422" t="str">
        <f t="shared" si="267"/>
        <v/>
      </c>
      <c r="O829" s="422" t="str">
        <f t="shared" si="273"/>
        <v/>
      </c>
      <c r="P829" s="422" t="str">
        <f t="shared" si="274"/>
        <v/>
      </c>
      <c r="Q829" s="422" t="str">
        <f t="shared" si="275"/>
        <v/>
      </c>
      <c r="R829" s="422" t="str">
        <f t="shared" si="276"/>
        <v/>
      </c>
      <c r="S829" s="583">
        <f t="shared" si="266"/>
        <v>0</v>
      </c>
      <c r="T829" s="377" t="str">
        <f>+IFERROR(VLOOKUP(S829,STAT1!$C$4:$D$189,2,FALSE),"")</f>
        <v/>
      </c>
      <c r="U829" s="424"/>
      <c r="V829" s="424"/>
      <c r="W829" s="822"/>
      <c r="X829" s="436" t="str">
        <f>IFERROR(VLOOKUP(W829,DATA!$G$4:$H$400,2,FALSE),"")</f>
        <v/>
      </c>
      <c r="Y829" s="328"/>
      <c r="Z829" s="328"/>
      <c r="AA829" s="328"/>
    </row>
    <row r="830" spans="1:27" ht="12.75" customHeight="1">
      <c r="A830" s="425"/>
      <c r="B830" s="368" t="str">
        <f t="shared" si="269"/>
        <v/>
      </c>
      <c r="C830" s="425"/>
      <c r="D830" s="423"/>
      <c r="E830" s="422" t="str">
        <f t="shared" ca="1" si="265"/>
        <v/>
      </c>
      <c r="F830" s="426" t="str">
        <f t="shared" ca="1" si="272"/>
        <v/>
      </c>
      <c r="G830" s="415"/>
      <c r="H830" s="415"/>
      <c r="I830" s="415" t="str">
        <f t="shared" si="270"/>
        <v/>
      </c>
      <c r="J830" s="415" t="str">
        <f t="shared" si="268"/>
        <v/>
      </c>
      <c r="K830" s="415" t="str">
        <f t="shared" si="271"/>
        <v/>
      </c>
      <c r="L830" s="415"/>
      <c r="M830" s="415"/>
      <c r="N830" s="422" t="str">
        <f t="shared" si="267"/>
        <v/>
      </c>
      <c r="O830" s="422" t="str">
        <f t="shared" si="273"/>
        <v/>
      </c>
      <c r="P830" s="422" t="str">
        <f t="shared" si="274"/>
        <v/>
      </c>
      <c r="Q830" s="422" t="str">
        <f t="shared" si="275"/>
        <v/>
      </c>
      <c r="R830" s="422" t="str">
        <f t="shared" si="276"/>
        <v/>
      </c>
      <c r="S830" s="583">
        <f t="shared" si="266"/>
        <v>0</v>
      </c>
      <c r="T830" s="377" t="str">
        <f>+IFERROR(VLOOKUP(S830,STAT1!$C$4:$D$189,2,FALSE),"")</f>
        <v/>
      </c>
      <c r="U830" s="424"/>
      <c r="V830" s="424"/>
      <c r="W830" s="822"/>
      <c r="X830" s="436" t="str">
        <f>IFERROR(VLOOKUP(W830,DATA!$G$4:$H$400,2,FALSE),"")</f>
        <v/>
      </c>
      <c r="Y830" s="328"/>
      <c r="Z830" s="328"/>
      <c r="AA830" s="328"/>
    </row>
    <row r="831" spans="1:27" ht="12.75" customHeight="1">
      <c r="A831" s="425"/>
      <c r="B831" s="368" t="str">
        <f t="shared" si="269"/>
        <v/>
      </c>
      <c r="C831" s="425"/>
      <c r="D831" s="423"/>
      <c r="E831" s="422" t="str">
        <f t="shared" ca="1" si="265"/>
        <v/>
      </c>
      <c r="F831" s="426" t="str">
        <f t="shared" ca="1" si="272"/>
        <v/>
      </c>
      <c r="G831" s="415"/>
      <c r="H831" s="415"/>
      <c r="I831" s="415" t="str">
        <f t="shared" si="270"/>
        <v/>
      </c>
      <c r="J831" s="415" t="str">
        <f t="shared" si="268"/>
        <v/>
      </c>
      <c r="K831" s="415" t="str">
        <f t="shared" si="271"/>
        <v/>
      </c>
      <c r="L831" s="415"/>
      <c r="M831" s="415"/>
      <c r="N831" s="422" t="str">
        <f t="shared" si="267"/>
        <v/>
      </c>
      <c r="O831" s="422" t="str">
        <f t="shared" si="273"/>
        <v/>
      </c>
      <c r="P831" s="422" t="str">
        <f t="shared" si="274"/>
        <v/>
      </c>
      <c r="Q831" s="422" t="str">
        <f t="shared" si="275"/>
        <v/>
      </c>
      <c r="R831" s="422" t="str">
        <f t="shared" si="276"/>
        <v/>
      </c>
      <c r="S831" s="583">
        <f t="shared" si="266"/>
        <v>0</v>
      </c>
      <c r="T831" s="377" t="str">
        <f>+IFERROR(VLOOKUP(S831,STAT1!$C$4:$D$189,2,FALSE),"")</f>
        <v/>
      </c>
      <c r="U831" s="424"/>
      <c r="V831" s="424"/>
      <c r="W831" s="822"/>
      <c r="X831" s="436" t="str">
        <f>IFERROR(VLOOKUP(W831,DATA!$G$4:$H$400,2,FALSE),"")</f>
        <v/>
      </c>
      <c r="Y831" s="328"/>
      <c r="Z831" s="328"/>
      <c r="AA831" s="328"/>
    </row>
    <row r="832" spans="1:27" ht="12.75" customHeight="1">
      <c r="A832" s="425"/>
      <c r="B832" s="368" t="str">
        <f t="shared" si="269"/>
        <v/>
      </c>
      <c r="C832" s="425"/>
      <c r="D832" s="423"/>
      <c r="E832" s="422" t="str">
        <f t="shared" ca="1" si="265"/>
        <v/>
      </c>
      <c r="F832" s="426" t="str">
        <f t="shared" ca="1" si="272"/>
        <v/>
      </c>
      <c r="G832" s="415"/>
      <c r="H832" s="415"/>
      <c r="I832" s="415" t="str">
        <f t="shared" si="270"/>
        <v/>
      </c>
      <c r="J832" s="415" t="str">
        <f t="shared" si="268"/>
        <v/>
      </c>
      <c r="K832" s="415" t="str">
        <f t="shared" si="271"/>
        <v/>
      </c>
      <c r="L832" s="415"/>
      <c r="M832" s="415"/>
      <c r="N832" s="422" t="str">
        <f t="shared" si="267"/>
        <v/>
      </c>
      <c r="O832" s="422" t="str">
        <f t="shared" si="273"/>
        <v/>
      </c>
      <c r="P832" s="422" t="str">
        <f t="shared" si="274"/>
        <v/>
      </c>
      <c r="Q832" s="422" t="str">
        <f t="shared" si="275"/>
        <v/>
      </c>
      <c r="R832" s="422" t="str">
        <f t="shared" si="276"/>
        <v/>
      </c>
      <c r="S832" s="583">
        <f t="shared" si="266"/>
        <v>0</v>
      </c>
      <c r="T832" s="377" t="str">
        <f>+IFERROR(VLOOKUP(S832,STAT1!$C$4:$D$189,2,FALSE),"")</f>
        <v/>
      </c>
      <c r="U832" s="424"/>
      <c r="V832" s="424"/>
      <c r="W832" s="822"/>
      <c r="X832" s="436" t="str">
        <f>IFERROR(VLOOKUP(W832,DATA!$G$4:$H$400,2,FALSE),"")</f>
        <v/>
      </c>
      <c r="Y832" s="328"/>
      <c r="Z832" s="328"/>
      <c r="AA832" s="328"/>
    </row>
    <row r="833" spans="1:27" ht="12.75" customHeight="1">
      <c r="A833" s="425"/>
      <c r="B833" s="368" t="str">
        <f t="shared" si="269"/>
        <v/>
      </c>
      <c r="C833" s="425"/>
      <c r="D833" s="423"/>
      <c r="E833" s="422" t="str">
        <f t="shared" ca="1" si="265"/>
        <v/>
      </c>
      <c r="F833" s="426" t="str">
        <f t="shared" ca="1" si="272"/>
        <v/>
      </c>
      <c r="G833" s="415"/>
      <c r="H833" s="415"/>
      <c r="I833" s="415" t="str">
        <f t="shared" si="270"/>
        <v/>
      </c>
      <c r="J833" s="415" t="str">
        <f t="shared" si="268"/>
        <v/>
      </c>
      <c r="K833" s="415" t="str">
        <f t="shared" si="271"/>
        <v/>
      </c>
      <c r="L833" s="415"/>
      <c r="M833" s="415"/>
      <c r="N833" s="422" t="str">
        <f t="shared" si="267"/>
        <v/>
      </c>
      <c r="O833" s="422" t="str">
        <f t="shared" si="273"/>
        <v/>
      </c>
      <c r="P833" s="422" t="str">
        <f t="shared" si="274"/>
        <v/>
      </c>
      <c r="Q833" s="422" t="str">
        <f t="shared" si="275"/>
        <v/>
      </c>
      <c r="R833" s="422" t="str">
        <f t="shared" si="276"/>
        <v/>
      </c>
      <c r="S833" s="583">
        <f t="shared" si="266"/>
        <v>0</v>
      </c>
      <c r="T833" s="377" t="str">
        <f>+IFERROR(VLOOKUP(S833,STAT1!$C$4:$D$189,2,FALSE),"")</f>
        <v/>
      </c>
      <c r="U833" s="424"/>
      <c r="V833" s="424"/>
      <c r="W833" s="822"/>
      <c r="X833" s="436" t="str">
        <f>IFERROR(VLOOKUP(W833,DATA!$G$4:$H$400,2,FALSE),"")</f>
        <v/>
      </c>
      <c r="Y833" s="328"/>
      <c r="Z833" s="328"/>
      <c r="AA833" s="328"/>
    </row>
    <row r="834" spans="1:27" ht="12.75" customHeight="1">
      <c r="A834" s="425"/>
      <c r="B834" s="368" t="str">
        <f t="shared" si="269"/>
        <v/>
      </c>
      <c r="C834" s="425"/>
      <c r="D834" s="423"/>
      <c r="E834" s="422" t="str">
        <f t="shared" ca="1" si="265"/>
        <v/>
      </c>
      <c r="F834" s="426" t="str">
        <f t="shared" ca="1" si="272"/>
        <v/>
      </c>
      <c r="G834" s="415"/>
      <c r="H834" s="415"/>
      <c r="I834" s="415" t="str">
        <f t="shared" si="270"/>
        <v/>
      </c>
      <c r="J834" s="415" t="str">
        <f t="shared" si="268"/>
        <v/>
      </c>
      <c r="K834" s="415" t="str">
        <f t="shared" si="271"/>
        <v/>
      </c>
      <c r="L834" s="415"/>
      <c r="M834" s="415"/>
      <c r="N834" s="422" t="str">
        <f t="shared" si="267"/>
        <v/>
      </c>
      <c r="O834" s="422" t="str">
        <f t="shared" si="273"/>
        <v/>
      </c>
      <c r="P834" s="422" t="str">
        <f t="shared" si="274"/>
        <v/>
      </c>
      <c r="Q834" s="422" t="str">
        <f t="shared" si="275"/>
        <v/>
      </c>
      <c r="R834" s="422" t="str">
        <f t="shared" si="276"/>
        <v/>
      </c>
      <c r="S834" s="583">
        <f t="shared" si="266"/>
        <v>0</v>
      </c>
      <c r="T834" s="377" t="str">
        <f>+IFERROR(VLOOKUP(S834,STAT1!$C$4:$D$189,2,FALSE),"")</f>
        <v/>
      </c>
      <c r="U834" s="424"/>
      <c r="V834" s="424"/>
      <c r="W834" s="822"/>
      <c r="X834" s="436" t="str">
        <f>IFERROR(VLOOKUP(W834,DATA!$G$4:$H$400,2,FALSE),"")</f>
        <v/>
      </c>
      <c r="Y834" s="328"/>
      <c r="Z834" s="328"/>
      <c r="AA834" s="328"/>
    </row>
    <row r="835" spans="1:27" ht="12.75" customHeight="1">
      <c r="A835" s="425"/>
      <c r="B835" s="368" t="str">
        <f t="shared" si="269"/>
        <v/>
      </c>
      <c r="C835" s="425"/>
      <c r="D835" s="423"/>
      <c r="E835" s="422" t="str">
        <f t="shared" ca="1" si="265"/>
        <v/>
      </c>
      <c r="F835" s="426" t="str">
        <f t="shared" ca="1" si="272"/>
        <v/>
      </c>
      <c r="G835" s="415"/>
      <c r="H835" s="415"/>
      <c r="I835" s="415" t="str">
        <f t="shared" si="270"/>
        <v/>
      </c>
      <c r="J835" s="415" t="str">
        <f t="shared" si="268"/>
        <v/>
      </c>
      <c r="K835" s="415" t="str">
        <f t="shared" si="271"/>
        <v/>
      </c>
      <c r="L835" s="415"/>
      <c r="M835" s="415"/>
      <c r="N835" s="422" t="str">
        <f t="shared" si="267"/>
        <v/>
      </c>
      <c r="O835" s="422" t="str">
        <f t="shared" si="273"/>
        <v/>
      </c>
      <c r="P835" s="422" t="str">
        <f t="shared" si="274"/>
        <v/>
      </c>
      <c r="Q835" s="422" t="str">
        <f t="shared" si="275"/>
        <v/>
      </c>
      <c r="R835" s="422" t="str">
        <f t="shared" si="276"/>
        <v/>
      </c>
      <c r="S835" s="583">
        <f t="shared" si="266"/>
        <v>0</v>
      </c>
      <c r="T835" s="377" t="str">
        <f>+IFERROR(VLOOKUP(S835,STAT1!$C$4:$D$189,2,FALSE),"")</f>
        <v/>
      </c>
      <c r="U835" s="424"/>
      <c r="V835" s="424"/>
      <c r="W835" s="822"/>
      <c r="X835" s="436" t="str">
        <f>IFERROR(VLOOKUP(W835,DATA!$G$4:$H$400,2,FALSE),"")</f>
        <v/>
      </c>
      <c r="Y835" s="328"/>
      <c r="Z835" s="328"/>
      <c r="AA835" s="328"/>
    </row>
    <row r="836" spans="1:27" ht="12.75" customHeight="1">
      <c r="A836" s="425"/>
      <c r="B836" s="368" t="str">
        <f t="shared" si="269"/>
        <v/>
      </c>
      <c r="C836" s="425"/>
      <c r="D836" s="423"/>
      <c r="E836" s="422" t="str">
        <f t="shared" ca="1" si="265"/>
        <v/>
      </c>
      <c r="F836" s="426" t="str">
        <f t="shared" ca="1" si="272"/>
        <v/>
      </c>
      <c r="G836" s="415"/>
      <c r="H836" s="415"/>
      <c r="I836" s="415" t="str">
        <f t="shared" si="270"/>
        <v/>
      </c>
      <c r="J836" s="415" t="str">
        <f t="shared" si="268"/>
        <v/>
      </c>
      <c r="K836" s="415" t="str">
        <f t="shared" si="271"/>
        <v/>
      </c>
      <c r="L836" s="415"/>
      <c r="M836" s="415"/>
      <c r="N836" s="422" t="str">
        <f t="shared" si="267"/>
        <v/>
      </c>
      <c r="O836" s="422" t="str">
        <f t="shared" si="273"/>
        <v/>
      </c>
      <c r="P836" s="422" t="str">
        <f t="shared" si="274"/>
        <v/>
      </c>
      <c r="Q836" s="422" t="str">
        <f t="shared" si="275"/>
        <v/>
      </c>
      <c r="R836" s="422" t="str">
        <f t="shared" si="276"/>
        <v/>
      </c>
      <c r="S836" s="583">
        <f t="shared" si="266"/>
        <v>0</v>
      </c>
      <c r="T836" s="377" t="str">
        <f>+IFERROR(VLOOKUP(S836,STAT1!$C$4:$D$189,2,FALSE),"")</f>
        <v/>
      </c>
      <c r="U836" s="424"/>
      <c r="V836" s="424"/>
      <c r="W836" s="822"/>
      <c r="X836" s="436" t="str">
        <f>IFERROR(VLOOKUP(W836,DATA!$G$4:$H$400,2,FALSE),"")</f>
        <v/>
      </c>
      <c r="Y836" s="328"/>
      <c r="Z836" s="328"/>
      <c r="AA836" s="328"/>
    </row>
    <row r="837" spans="1:27" ht="12.75" customHeight="1">
      <c r="A837" s="425"/>
      <c r="B837" s="368" t="str">
        <f t="shared" si="269"/>
        <v/>
      </c>
      <c r="C837" s="425"/>
      <c r="D837" s="423"/>
      <c r="E837" s="422" t="str">
        <f t="shared" ca="1" si="265"/>
        <v/>
      </c>
      <c r="F837" s="426" t="str">
        <f t="shared" ca="1" si="272"/>
        <v/>
      </c>
      <c r="G837" s="415"/>
      <c r="H837" s="415"/>
      <c r="I837" s="415" t="str">
        <f t="shared" si="270"/>
        <v/>
      </c>
      <c r="J837" s="415" t="str">
        <f t="shared" si="268"/>
        <v/>
      </c>
      <c r="K837" s="415" t="str">
        <f t="shared" si="271"/>
        <v/>
      </c>
      <c r="L837" s="415"/>
      <c r="M837" s="415"/>
      <c r="N837" s="422" t="str">
        <f t="shared" si="267"/>
        <v/>
      </c>
      <c r="O837" s="422" t="str">
        <f t="shared" si="273"/>
        <v/>
      </c>
      <c r="P837" s="422" t="str">
        <f t="shared" si="274"/>
        <v/>
      </c>
      <c r="Q837" s="422" t="str">
        <f t="shared" si="275"/>
        <v/>
      </c>
      <c r="R837" s="422" t="str">
        <f t="shared" si="276"/>
        <v/>
      </c>
      <c r="S837" s="583">
        <f t="shared" si="266"/>
        <v>0</v>
      </c>
      <c r="T837" s="377" t="str">
        <f>+IFERROR(VLOOKUP(S837,STAT1!$C$4:$D$189,2,FALSE),"")</f>
        <v/>
      </c>
      <c r="U837" s="424"/>
      <c r="V837" s="424"/>
      <c r="W837" s="822"/>
      <c r="X837" s="436" t="str">
        <f>IFERROR(VLOOKUP(W837,DATA!$G$4:$H$400,2,FALSE),"")</f>
        <v/>
      </c>
      <c r="Y837" s="328"/>
      <c r="Z837" s="328"/>
      <c r="AA837" s="328"/>
    </row>
    <row r="838" spans="1:27" ht="12.75" customHeight="1">
      <c r="A838" s="425"/>
      <c r="B838" s="368" t="str">
        <f t="shared" si="269"/>
        <v/>
      </c>
      <c r="C838" s="425"/>
      <c r="D838" s="423"/>
      <c r="E838" s="422" t="str">
        <f t="shared" ca="1" si="265"/>
        <v/>
      </c>
      <c r="F838" s="426" t="str">
        <f t="shared" ca="1" si="272"/>
        <v/>
      </c>
      <c r="G838" s="415"/>
      <c r="H838" s="415"/>
      <c r="I838" s="415" t="str">
        <f t="shared" si="270"/>
        <v/>
      </c>
      <c r="J838" s="415" t="str">
        <f t="shared" si="268"/>
        <v/>
      </c>
      <c r="K838" s="415" t="str">
        <f t="shared" si="271"/>
        <v/>
      </c>
      <c r="L838" s="415"/>
      <c r="M838" s="415"/>
      <c r="N838" s="422" t="str">
        <f t="shared" si="267"/>
        <v/>
      </c>
      <c r="O838" s="422" t="str">
        <f t="shared" si="273"/>
        <v/>
      </c>
      <c r="P838" s="422" t="str">
        <f t="shared" si="274"/>
        <v/>
      </c>
      <c r="Q838" s="422" t="str">
        <f t="shared" si="275"/>
        <v/>
      </c>
      <c r="R838" s="422" t="str">
        <f t="shared" si="276"/>
        <v/>
      </c>
      <c r="S838" s="583">
        <f t="shared" si="266"/>
        <v>0</v>
      </c>
      <c r="T838" s="377" t="str">
        <f>+IFERROR(VLOOKUP(S838,STAT1!$C$4:$D$189,2,FALSE),"")</f>
        <v/>
      </c>
      <c r="U838" s="424"/>
      <c r="V838" s="424"/>
      <c r="W838" s="822"/>
      <c r="X838" s="436" t="str">
        <f>IFERROR(VLOOKUP(W838,DATA!$G$4:$H$400,2,FALSE),"")</f>
        <v/>
      </c>
      <c r="Y838" s="328"/>
      <c r="Z838" s="328"/>
      <c r="AA838" s="328"/>
    </row>
    <row r="839" spans="1:27" ht="12.75" customHeight="1">
      <c r="A839" s="425"/>
      <c r="B839" s="368" t="str">
        <f t="shared" si="269"/>
        <v/>
      </c>
      <c r="C839" s="425"/>
      <c r="D839" s="423"/>
      <c r="E839" s="422" t="str">
        <f t="shared" ca="1" si="265"/>
        <v/>
      </c>
      <c r="F839" s="426" t="str">
        <f t="shared" ca="1" si="272"/>
        <v/>
      </c>
      <c r="G839" s="415"/>
      <c r="H839" s="415"/>
      <c r="I839" s="415" t="str">
        <f t="shared" si="270"/>
        <v/>
      </c>
      <c r="J839" s="415" t="str">
        <f t="shared" si="268"/>
        <v/>
      </c>
      <c r="K839" s="415" t="str">
        <f t="shared" si="271"/>
        <v/>
      </c>
      <c r="L839" s="415"/>
      <c r="M839" s="415"/>
      <c r="N839" s="422" t="str">
        <f t="shared" si="267"/>
        <v/>
      </c>
      <c r="O839" s="422" t="str">
        <f t="shared" si="273"/>
        <v/>
      </c>
      <c r="P839" s="422" t="str">
        <f t="shared" si="274"/>
        <v/>
      </c>
      <c r="Q839" s="422" t="str">
        <f t="shared" si="275"/>
        <v/>
      </c>
      <c r="R839" s="422" t="str">
        <f t="shared" si="276"/>
        <v/>
      </c>
      <c r="S839" s="583">
        <f t="shared" si="266"/>
        <v>0</v>
      </c>
      <c r="T839" s="377" t="str">
        <f>+IFERROR(VLOOKUP(S839,STAT1!$C$4:$D$189,2,FALSE),"")</f>
        <v/>
      </c>
      <c r="U839" s="424"/>
      <c r="V839" s="424"/>
      <c r="W839" s="822"/>
      <c r="X839" s="436" t="str">
        <f>IFERROR(VLOOKUP(W839,DATA!$G$4:$H$400,2,FALSE),"")</f>
        <v/>
      </c>
      <c r="Y839" s="328"/>
      <c r="Z839" s="328"/>
      <c r="AA839" s="328"/>
    </row>
    <row r="840" spans="1:27" ht="12.75" customHeight="1">
      <c r="A840" s="425"/>
      <c r="B840" s="368" t="str">
        <f t="shared" si="269"/>
        <v/>
      </c>
      <c r="C840" s="425"/>
      <c r="D840" s="423"/>
      <c r="E840" s="422" t="str">
        <f t="shared" ca="1" si="265"/>
        <v/>
      </c>
      <c r="F840" s="426" t="str">
        <f t="shared" ca="1" si="272"/>
        <v/>
      </c>
      <c r="G840" s="415"/>
      <c r="H840" s="415"/>
      <c r="I840" s="415" t="str">
        <f t="shared" si="270"/>
        <v/>
      </c>
      <c r="J840" s="415" t="str">
        <f t="shared" si="268"/>
        <v/>
      </c>
      <c r="K840" s="415" t="str">
        <f t="shared" si="271"/>
        <v/>
      </c>
      <c r="L840" s="415"/>
      <c r="M840" s="415"/>
      <c r="N840" s="422" t="str">
        <f t="shared" si="267"/>
        <v/>
      </c>
      <c r="O840" s="422" t="str">
        <f t="shared" si="273"/>
        <v/>
      </c>
      <c r="P840" s="422" t="str">
        <f t="shared" si="274"/>
        <v/>
      </c>
      <c r="Q840" s="422" t="str">
        <f t="shared" si="275"/>
        <v/>
      </c>
      <c r="R840" s="422" t="str">
        <f t="shared" si="276"/>
        <v/>
      </c>
      <c r="S840" s="583">
        <f t="shared" si="266"/>
        <v>0</v>
      </c>
      <c r="T840" s="377" t="str">
        <f>+IFERROR(VLOOKUP(S840,STAT1!$C$4:$D$189,2,FALSE),"")</f>
        <v/>
      </c>
      <c r="U840" s="424"/>
      <c r="V840" s="424"/>
      <c r="W840" s="822"/>
      <c r="X840" s="436" t="str">
        <f>IFERROR(VLOOKUP(W840,DATA!$G$4:$H$400,2,FALSE),"")</f>
        <v/>
      </c>
      <c r="Y840" s="328"/>
      <c r="Z840" s="328"/>
      <c r="AA840" s="328"/>
    </row>
    <row r="841" spans="1:27" ht="12.75" customHeight="1">
      <c r="A841" s="425"/>
      <c r="B841" s="368" t="str">
        <f t="shared" si="269"/>
        <v/>
      </c>
      <c r="C841" s="425"/>
      <c r="D841" s="423"/>
      <c r="E841" s="422" t="str">
        <f t="shared" ref="E841:E885" ca="1" si="277">+IFERROR(VLOOKUP(D841,TN_table,2,FALSE),"")</f>
        <v/>
      </c>
      <c r="F841" s="426" t="str">
        <f t="shared" ca="1" si="272"/>
        <v/>
      </c>
      <c r="G841" s="415"/>
      <c r="H841" s="415"/>
      <c r="I841" s="415" t="str">
        <f t="shared" si="270"/>
        <v/>
      </c>
      <c r="J841" s="415" t="str">
        <f t="shared" si="268"/>
        <v/>
      </c>
      <c r="K841" s="415" t="str">
        <f t="shared" si="271"/>
        <v/>
      </c>
      <c r="L841" s="415"/>
      <c r="M841" s="415"/>
      <c r="N841" s="422" t="str">
        <f t="shared" si="267"/>
        <v/>
      </c>
      <c r="O841" s="422" t="str">
        <f t="shared" si="273"/>
        <v/>
      </c>
      <c r="P841" s="422" t="str">
        <f t="shared" si="274"/>
        <v/>
      </c>
      <c r="Q841" s="422" t="str">
        <f t="shared" si="275"/>
        <v/>
      </c>
      <c r="R841" s="422" t="str">
        <f t="shared" si="276"/>
        <v/>
      </c>
      <c r="S841" s="583">
        <f t="shared" si="266"/>
        <v>0</v>
      </c>
      <c r="T841" s="377" t="str">
        <f>+IFERROR(VLOOKUP(S841,STAT1!$C$4:$D$189,2,FALSE),"")</f>
        <v/>
      </c>
      <c r="U841" s="424"/>
      <c r="V841" s="424"/>
      <c r="W841" s="822"/>
      <c r="X841" s="436" t="str">
        <f>IFERROR(VLOOKUP(W841,DATA!$G$4:$H$400,2,FALSE),"")</f>
        <v/>
      </c>
      <c r="Y841" s="328"/>
      <c r="Z841" s="328"/>
      <c r="AA841" s="328"/>
    </row>
    <row r="842" spans="1:27" ht="12.75" customHeight="1">
      <c r="A842" s="425"/>
      <c r="B842" s="368" t="str">
        <f t="shared" si="269"/>
        <v/>
      </c>
      <c r="C842" s="425"/>
      <c r="D842" s="423"/>
      <c r="E842" s="422" t="str">
        <f t="shared" ca="1" si="277"/>
        <v/>
      </c>
      <c r="F842" s="426" t="str">
        <f t="shared" ca="1" si="272"/>
        <v/>
      </c>
      <c r="G842" s="415"/>
      <c r="H842" s="415"/>
      <c r="I842" s="415" t="str">
        <f t="shared" si="270"/>
        <v/>
      </c>
      <c r="J842" s="415" t="str">
        <f t="shared" si="268"/>
        <v/>
      </c>
      <c r="K842" s="415" t="str">
        <f t="shared" si="271"/>
        <v/>
      </c>
      <c r="L842" s="415"/>
      <c r="M842" s="415"/>
      <c r="N842" s="422" t="str">
        <f t="shared" si="267"/>
        <v/>
      </c>
      <c r="O842" s="422" t="str">
        <f t="shared" si="273"/>
        <v/>
      </c>
      <c r="P842" s="422" t="str">
        <f t="shared" si="274"/>
        <v/>
      </c>
      <c r="Q842" s="422" t="str">
        <f t="shared" si="275"/>
        <v/>
      </c>
      <c r="R842" s="422" t="str">
        <f t="shared" si="276"/>
        <v/>
      </c>
      <c r="S842" s="583">
        <f t="shared" si="266"/>
        <v>0</v>
      </c>
      <c r="T842" s="377" t="str">
        <f>+IFERROR(VLOOKUP(S842,STAT1!$C$4:$D$189,2,FALSE),"")</f>
        <v/>
      </c>
      <c r="U842" s="424"/>
      <c r="V842" s="424"/>
      <c r="W842" s="822"/>
      <c r="X842" s="436" t="str">
        <f>IFERROR(VLOOKUP(W842,DATA!$G$4:$H$400,2,FALSE),"")</f>
        <v/>
      </c>
      <c r="Y842" s="328"/>
      <c r="Z842" s="328"/>
      <c r="AA842" s="328"/>
    </row>
    <row r="843" spans="1:27" ht="12.75" customHeight="1">
      <c r="A843" s="425"/>
      <c r="B843" s="368" t="str">
        <f t="shared" si="269"/>
        <v/>
      </c>
      <c r="C843" s="425"/>
      <c r="D843" s="423"/>
      <c r="E843" s="422" t="str">
        <f t="shared" ca="1" si="277"/>
        <v/>
      </c>
      <c r="F843" s="426" t="str">
        <f t="shared" ca="1" si="272"/>
        <v/>
      </c>
      <c r="G843" s="415"/>
      <c r="H843" s="415"/>
      <c r="I843" s="415" t="str">
        <f t="shared" si="270"/>
        <v/>
      </c>
      <c r="J843" s="415" t="str">
        <f t="shared" si="268"/>
        <v/>
      </c>
      <c r="K843" s="415" t="str">
        <f t="shared" si="271"/>
        <v/>
      </c>
      <c r="L843" s="415"/>
      <c r="M843" s="415"/>
      <c r="N843" s="422" t="str">
        <f t="shared" si="267"/>
        <v/>
      </c>
      <c r="O843" s="422" t="str">
        <f t="shared" si="273"/>
        <v/>
      </c>
      <c r="P843" s="422" t="str">
        <f t="shared" si="274"/>
        <v/>
      </c>
      <c r="Q843" s="422" t="str">
        <f t="shared" si="275"/>
        <v/>
      </c>
      <c r="R843" s="422" t="str">
        <f t="shared" si="276"/>
        <v/>
      </c>
      <c r="S843" s="583">
        <f t="shared" si="266"/>
        <v>0</v>
      </c>
      <c r="T843" s="377" t="str">
        <f>+IFERROR(VLOOKUP(S843,STAT1!$C$4:$D$189,2,FALSE),"")</f>
        <v/>
      </c>
      <c r="U843" s="424"/>
      <c r="V843" s="424"/>
      <c r="W843" s="822"/>
      <c r="X843" s="436" t="str">
        <f>IFERROR(VLOOKUP(W843,DATA!$G$4:$H$400,2,FALSE),"")</f>
        <v/>
      </c>
      <c r="Y843" s="328"/>
      <c r="Z843" s="328"/>
      <c r="AA843" s="328"/>
    </row>
    <row r="844" spans="1:27" ht="12.75" customHeight="1">
      <c r="A844" s="425"/>
      <c r="B844" s="368" t="str">
        <f t="shared" si="269"/>
        <v/>
      </c>
      <c r="C844" s="425"/>
      <c r="D844" s="423"/>
      <c r="E844" s="422" t="str">
        <f t="shared" ca="1" si="277"/>
        <v/>
      </c>
      <c r="F844" s="426" t="str">
        <f t="shared" ca="1" si="272"/>
        <v/>
      </c>
      <c r="G844" s="415"/>
      <c r="H844" s="415"/>
      <c r="I844" s="415" t="str">
        <f t="shared" si="270"/>
        <v/>
      </c>
      <c r="J844" s="415" t="str">
        <f t="shared" si="268"/>
        <v/>
      </c>
      <c r="K844" s="415" t="str">
        <f t="shared" si="271"/>
        <v/>
      </c>
      <c r="L844" s="415"/>
      <c r="M844" s="415"/>
      <c r="N844" s="422" t="str">
        <f t="shared" si="267"/>
        <v/>
      </c>
      <c r="O844" s="422" t="str">
        <f t="shared" si="273"/>
        <v/>
      </c>
      <c r="P844" s="422" t="str">
        <f t="shared" si="274"/>
        <v/>
      </c>
      <c r="Q844" s="422" t="str">
        <f t="shared" si="275"/>
        <v/>
      </c>
      <c r="R844" s="422" t="str">
        <f t="shared" si="276"/>
        <v/>
      </c>
      <c r="S844" s="583">
        <f t="shared" si="266"/>
        <v>0</v>
      </c>
      <c r="T844" s="377" t="str">
        <f>+IFERROR(VLOOKUP(S844,STAT1!$C$4:$D$189,2,FALSE),"")</f>
        <v/>
      </c>
      <c r="U844" s="424"/>
      <c r="V844" s="424"/>
      <c r="W844" s="822"/>
      <c r="X844" s="436" t="str">
        <f>IFERROR(VLOOKUP(W844,DATA!$G$4:$H$400,2,FALSE),"")</f>
        <v/>
      </c>
      <c r="Y844" s="328"/>
      <c r="Z844" s="328"/>
      <c r="AA844" s="328"/>
    </row>
    <row r="845" spans="1:27" ht="12.75" customHeight="1">
      <c r="A845" s="425"/>
      <c r="B845" s="368" t="str">
        <f t="shared" si="269"/>
        <v/>
      </c>
      <c r="C845" s="425"/>
      <c r="D845" s="423"/>
      <c r="E845" s="422" t="str">
        <f t="shared" ca="1" si="277"/>
        <v/>
      </c>
      <c r="F845" s="426" t="str">
        <f t="shared" ca="1" si="272"/>
        <v/>
      </c>
      <c r="G845" s="415"/>
      <c r="H845" s="415"/>
      <c r="I845" s="415" t="str">
        <f t="shared" si="270"/>
        <v/>
      </c>
      <c r="J845" s="415" t="str">
        <f t="shared" si="268"/>
        <v/>
      </c>
      <c r="K845" s="415" t="str">
        <f t="shared" si="271"/>
        <v/>
      </c>
      <c r="L845" s="415"/>
      <c r="M845" s="415"/>
      <c r="N845" s="422" t="str">
        <f t="shared" si="267"/>
        <v/>
      </c>
      <c r="O845" s="422" t="str">
        <f t="shared" si="273"/>
        <v/>
      </c>
      <c r="P845" s="422" t="str">
        <f t="shared" si="274"/>
        <v/>
      </c>
      <c r="Q845" s="422" t="str">
        <f t="shared" si="275"/>
        <v/>
      </c>
      <c r="R845" s="422" t="str">
        <f t="shared" si="276"/>
        <v/>
      </c>
      <c r="S845" s="583">
        <f t="shared" si="266"/>
        <v>0</v>
      </c>
      <c r="T845" s="377" t="str">
        <f>+IFERROR(VLOOKUP(S845,STAT1!$C$4:$D$189,2,FALSE),"")</f>
        <v/>
      </c>
      <c r="U845" s="424"/>
      <c r="V845" s="424"/>
      <c r="W845" s="822"/>
      <c r="X845" s="436" t="str">
        <f>IFERROR(VLOOKUP(W845,DATA!$G$4:$H$400,2,FALSE),"")</f>
        <v/>
      </c>
      <c r="Y845" s="328"/>
      <c r="Z845" s="328"/>
      <c r="AA845" s="328"/>
    </row>
    <row r="846" spans="1:27" ht="12.75" customHeight="1">
      <c r="A846" s="425"/>
      <c r="B846" s="368" t="str">
        <f t="shared" si="269"/>
        <v/>
      </c>
      <c r="C846" s="425"/>
      <c r="D846" s="423"/>
      <c r="E846" s="422" t="str">
        <f t="shared" ca="1" si="277"/>
        <v/>
      </c>
      <c r="F846" s="426" t="str">
        <f t="shared" ca="1" si="272"/>
        <v/>
      </c>
      <c r="G846" s="415"/>
      <c r="H846" s="415"/>
      <c r="I846" s="415" t="str">
        <f t="shared" si="270"/>
        <v/>
      </c>
      <c r="J846" s="415" t="str">
        <f t="shared" si="268"/>
        <v/>
      </c>
      <c r="K846" s="415" t="str">
        <f t="shared" si="271"/>
        <v/>
      </c>
      <c r="L846" s="415"/>
      <c r="M846" s="415"/>
      <c r="N846" s="422" t="str">
        <f t="shared" si="267"/>
        <v/>
      </c>
      <c r="O846" s="422" t="str">
        <f t="shared" si="273"/>
        <v/>
      </c>
      <c r="P846" s="422" t="str">
        <f t="shared" si="274"/>
        <v/>
      </c>
      <c r="Q846" s="422" t="str">
        <f t="shared" si="275"/>
        <v/>
      </c>
      <c r="R846" s="422" t="str">
        <f t="shared" si="276"/>
        <v/>
      </c>
      <c r="S846" s="583">
        <f t="shared" si="266"/>
        <v>0</v>
      </c>
      <c r="T846" s="377" t="str">
        <f>+IFERROR(VLOOKUP(S846,STAT1!$C$4:$D$189,2,FALSE),"")</f>
        <v/>
      </c>
      <c r="U846" s="424"/>
      <c r="V846" s="424"/>
      <c r="W846" s="822"/>
      <c r="X846" s="436" t="str">
        <f>IFERROR(VLOOKUP(W846,DATA!$G$4:$H$400,2,FALSE),"")</f>
        <v/>
      </c>
      <c r="Y846" s="328"/>
      <c r="Z846" s="328"/>
      <c r="AA846" s="328"/>
    </row>
    <row r="847" spans="1:27" ht="12.75" customHeight="1">
      <c r="A847" s="425"/>
      <c r="B847" s="368" t="str">
        <f t="shared" si="269"/>
        <v/>
      </c>
      <c r="C847" s="425"/>
      <c r="D847" s="423"/>
      <c r="E847" s="422" t="str">
        <f t="shared" ca="1" si="277"/>
        <v/>
      </c>
      <c r="F847" s="426" t="str">
        <f t="shared" ca="1" si="272"/>
        <v/>
      </c>
      <c r="G847" s="415"/>
      <c r="H847" s="415"/>
      <c r="I847" s="415" t="str">
        <f t="shared" si="270"/>
        <v/>
      </c>
      <c r="J847" s="415" t="str">
        <f t="shared" si="268"/>
        <v/>
      </c>
      <c r="K847" s="415" t="str">
        <f t="shared" si="271"/>
        <v/>
      </c>
      <c r="L847" s="415"/>
      <c r="M847" s="415"/>
      <c r="N847" s="422" t="str">
        <f t="shared" si="267"/>
        <v/>
      </c>
      <c r="O847" s="422" t="str">
        <f t="shared" si="273"/>
        <v/>
      </c>
      <c r="P847" s="422" t="str">
        <f t="shared" si="274"/>
        <v/>
      </c>
      <c r="Q847" s="422" t="str">
        <f t="shared" si="275"/>
        <v/>
      </c>
      <c r="R847" s="422" t="str">
        <f t="shared" si="276"/>
        <v/>
      </c>
      <c r="S847" s="583">
        <f t="shared" si="266"/>
        <v>0</v>
      </c>
      <c r="T847" s="377" t="str">
        <f>+IFERROR(VLOOKUP(S847,STAT1!$C$4:$D$189,2,FALSE),"")</f>
        <v/>
      </c>
      <c r="U847" s="424"/>
      <c r="V847" s="424"/>
      <c r="W847" s="822"/>
      <c r="X847" s="436" t="str">
        <f>IFERROR(VLOOKUP(W847,DATA!$G$4:$H$400,2,FALSE),"")</f>
        <v/>
      </c>
      <c r="Y847" s="328"/>
      <c r="Z847" s="328"/>
      <c r="AA847" s="328"/>
    </row>
    <row r="848" spans="1:27" ht="12.75" customHeight="1">
      <c r="A848" s="425"/>
      <c r="B848" s="368" t="str">
        <f t="shared" si="269"/>
        <v/>
      </c>
      <c r="C848" s="425"/>
      <c r="D848" s="423"/>
      <c r="E848" s="422" t="str">
        <f t="shared" ca="1" si="277"/>
        <v/>
      </c>
      <c r="F848" s="426" t="str">
        <f t="shared" ca="1" si="272"/>
        <v/>
      </c>
      <c r="G848" s="415"/>
      <c r="H848" s="415"/>
      <c r="I848" s="415" t="str">
        <f t="shared" si="270"/>
        <v/>
      </c>
      <c r="J848" s="415" t="str">
        <f t="shared" si="268"/>
        <v/>
      </c>
      <c r="K848" s="415" t="str">
        <f t="shared" si="271"/>
        <v/>
      </c>
      <c r="L848" s="415"/>
      <c r="M848" s="415"/>
      <c r="N848" s="422" t="str">
        <f t="shared" si="267"/>
        <v/>
      </c>
      <c r="O848" s="422" t="str">
        <f t="shared" si="273"/>
        <v/>
      </c>
      <c r="P848" s="422" t="str">
        <f t="shared" si="274"/>
        <v/>
      </c>
      <c r="Q848" s="422" t="str">
        <f t="shared" si="275"/>
        <v/>
      </c>
      <c r="R848" s="422" t="str">
        <f t="shared" si="276"/>
        <v/>
      </c>
      <c r="S848" s="583">
        <f t="shared" si="266"/>
        <v>0</v>
      </c>
      <c r="T848" s="377" t="str">
        <f>+IFERROR(VLOOKUP(S848,STAT1!$C$4:$D$189,2,FALSE),"")</f>
        <v/>
      </c>
      <c r="U848" s="424"/>
      <c r="V848" s="424"/>
      <c r="W848" s="822"/>
      <c r="X848" s="436" t="str">
        <f>IFERROR(VLOOKUP(W848,DATA!$G$4:$H$400,2,FALSE),"")</f>
        <v/>
      </c>
      <c r="Y848" s="328"/>
      <c r="Z848" s="328"/>
      <c r="AA848" s="328"/>
    </row>
    <row r="849" spans="1:27" ht="12.75" customHeight="1">
      <c r="A849" s="425"/>
      <c r="B849" s="368" t="str">
        <f t="shared" si="269"/>
        <v/>
      </c>
      <c r="C849" s="425"/>
      <c r="D849" s="423"/>
      <c r="E849" s="422" t="str">
        <f t="shared" ca="1" si="277"/>
        <v/>
      </c>
      <c r="F849" s="426" t="str">
        <f t="shared" ca="1" si="272"/>
        <v/>
      </c>
      <c r="G849" s="415"/>
      <c r="H849" s="415"/>
      <c r="I849" s="415" t="str">
        <f t="shared" si="270"/>
        <v/>
      </c>
      <c r="J849" s="415" t="str">
        <f t="shared" si="268"/>
        <v/>
      </c>
      <c r="K849" s="415" t="str">
        <f t="shared" si="271"/>
        <v/>
      </c>
      <c r="L849" s="415"/>
      <c r="M849" s="415"/>
      <c r="N849" s="422" t="str">
        <f t="shared" si="267"/>
        <v/>
      </c>
      <c r="O849" s="422" t="str">
        <f t="shared" si="273"/>
        <v/>
      </c>
      <c r="P849" s="422" t="str">
        <f t="shared" si="274"/>
        <v/>
      </c>
      <c r="Q849" s="422" t="str">
        <f t="shared" si="275"/>
        <v/>
      </c>
      <c r="R849" s="422" t="str">
        <f t="shared" si="276"/>
        <v/>
      </c>
      <c r="S849" s="583">
        <f t="shared" si="266"/>
        <v>0</v>
      </c>
      <c r="T849" s="377" t="str">
        <f>+IFERROR(VLOOKUP(S849,STAT1!$C$4:$D$189,2,FALSE),"")</f>
        <v/>
      </c>
      <c r="U849" s="424"/>
      <c r="V849" s="424"/>
      <c r="W849" s="822"/>
      <c r="X849" s="436" t="str">
        <f>IFERROR(VLOOKUP(W849,DATA!$G$4:$H$400,2,FALSE),"")</f>
        <v/>
      </c>
      <c r="Y849" s="328"/>
      <c r="Z849" s="328"/>
      <c r="AA849" s="328"/>
    </row>
    <row r="850" spans="1:27" ht="12.75" customHeight="1">
      <c r="A850" s="425"/>
      <c r="B850" s="368" t="str">
        <f t="shared" si="269"/>
        <v/>
      </c>
      <c r="C850" s="425"/>
      <c r="D850" s="423"/>
      <c r="E850" s="422" t="str">
        <f t="shared" ca="1" si="277"/>
        <v/>
      </c>
      <c r="F850" s="426" t="str">
        <f t="shared" ca="1" si="272"/>
        <v/>
      </c>
      <c r="G850" s="415"/>
      <c r="H850" s="415"/>
      <c r="I850" s="415" t="str">
        <f t="shared" si="270"/>
        <v/>
      </c>
      <c r="J850" s="415" t="str">
        <f t="shared" si="268"/>
        <v/>
      </c>
      <c r="K850" s="415" t="str">
        <f t="shared" si="271"/>
        <v/>
      </c>
      <c r="L850" s="415"/>
      <c r="M850" s="415"/>
      <c r="N850" s="422" t="str">
        <f t="shared" si="267"/>
        <v/>
      </c>
      <c r="O850" s="422" t="str">
        <f t="shared" si="273"/>
        <v/>
      </c>
      <c r="P850" s="422" t="str">
        <f t="shared" si="274"/>
        <v/>
      </c>
      <c r="Q850" s="422" t="str">
        <f t="shared" si="275"/>
        <v/>
      </c>
      <c r="R850" s="422" t="str">
        <f t="shared" si="276"/>
        <v/>
      </c>
      <c r="S850" s="583">
        <f t="shared" si="266"/>
        <v>0</v>
      </c>
      <c r="T850" s="377" t="str">
        <f>+IFERROR(VLOOKUP(S850,STAT1!$C$4:$D$189,2,FALSE),"")</f>
        <v/>
      </c>
      <c r="U850" s="424"/>
      <c r="V850" s="424"/>
      <c r="W850" s="822"/>
      <c r="X850" s="436" t="str">
        <f>IFERROR(VLOOKUP(W850,DATA!$G$4:$H$400,2,FALSE),"")</f>
        <v/>
      </c>
      <c r="Y850" s="328"/>
      <c r="Z850" s="328"/>
      <c r="AA850" s="328"/>
    </row>
    <row r="851" spans="1:27" ht="12.75" customHeight="1">
      <c r="A851" s="425"/>
      <c r="B851" s="368" t="str">
        <f t="shared" si="269"/>
        <v/>
      </c>
      <c r="C851" s="425"/>
      <c r="D851" s="423"/>
      <c r="E851" s="422" t="str">
        <f t="shared" ca="1" si="277"/>
        <v/>
      </c>
      <c r="F851" s="426" t="str">
        <f t="shared" ca="1" si="272"/>
        <v/>
      </c>
      <c r="G851" s="415"/>
      <c r="H851" s="415"/>
      <c r="I851" s="415" t="str">
        <f t="shared" si="270"/>
        <v/>
      </c>
      <c r="J851" s="415" t="str">
        <f t="shared" si="268"/>
        <v/>
      </c>
      <c r="K851" s="415" t="str">
        <f t="shared" si="271"/>
        <v/>
      </c>
      <c r="L851" s="415"/>
      <c r="M851" s="415"/>
      <c r="N851" s="422" t="str">
        <f t="shared" si="267"/>
        <v/>
      </c>
      <c r="O851" s="422" t="str">
        <f t="shared" si="273"/>
        <v/>
      </c>
      <c r="P851" s="422" t="str">
        <f t="shared" si="274"/>
        <v/>
      </c>
      <c r="Q851" s="422" t="str">
        <f t="shared" si="275"/>
        <v/>
      </c>
      <c r="R851" s="422" t="str">
        <f t="shared" si="276"/>
        <v/>
      </c>
      <c r="S851" s="583">
        <f t="shared" si="266"/>
        <v>0</v>
      </c>
      <c r="T851" s="377" t="str">
        <f>+IFERROR(VLOOKUP(S851,STAT1!$C$4:$D$189,2,FALSE),"")</f>
        <v/>
      </c>
      <c r="U851" s="424"/>
      <c r="V851" s="424"/>
      <c r="W851" s="822"/>
      <c r="X851" s="436" t="str">
        <f>IFERROR(VLOOKUP(W851,DATA!$G$4:$H$400,2,FALSE),"")</f>
        <v/>
      </c>
      <c r="Y851" s="328"/>
      <c r="Z851" s="328"/>
      <c r="AA851" s="328"/>
    </row>
    <row r="852" spans="1:27" ht="12.75" customHeight="1">
      <c r="A852" s="425"/>
      <c r="B852" s="368" t="str">
        <f t="shared" si="269"/>
        <v/>
      </c>
      <c r="C852" s="425"/>
      <c r="D852" s="423"/>
      <c r="E852" s="422" t="str">
        <f t="shared" ca="1" si="277"/>
        <v/>
      </c>
      <c r="F852" s="426" t="str">
        <f t="shared" ca="1" si="272"/>
        <v/>
      </c>
      <c r="G852" s="415"/>
      <c r="H852" s="415"/>
      <c r="I852" s="415" t="str">
        <f t="shared" si="270"/>
        <v/>
      </c>
      <c r="J852" s="415" t="str">
        <f t="shared" si="268"/>
        <v/>
      </c>
      <c r="K852" s="415" t="str">
        <f t="shared" si="271"/>
        <v/>
      </c>
      <c r="L852" s="415"/>
      <c r="M852" s="415"/>
      <c r="N852" s="422" t="str">
        <f t="shared" si="267"/>
        <v/>
      </c>
      <c r="O852" s="422" t="str">
        <f t="shared" si="273"/>
        <v/>
      </c>
      <c r="P852" s="422" t="str">
        <f t="shared" si="274"/>
        <v/>
      </c>
      <c r="Q852" s="422" t="str">
        <f t="shared" si="275"/>
        <v/>
      </c>
      <c r="R852" s="422" t="str">
        <f t="shared" si="276"/>
        <v/>
      </c>
      <c r="S852" s="583">
        <f t="shared" si="266"/>
        <v>0</v>
      </c>
      <c r="T852" s="377" t="str">
        <f>+IFERROR(VLOOKUP(S852,STAT1!$C$4:$D$189,2,FALSE),"")</f>
        <v/>
      </c>
      <c r="U852" s="424"/>
      <c r="V852" s="424"/>
      <c r="W852" s="822"/>
      <c r="X852" s="436" t="str">
        <f>IFERROR(VLOOKUP(W852,DATA!$G$4:$H$400,2,FALSE),"")</f>
        <v/>
      </c>
      <c r="Y852" s="328"/>
      <c r="Z852" s="328"/>
      <c r="AA852" s="328"/>
    </row>
    <row r="853" spans="1:27" ht="12.75" customHeight="1">
      <c r="A853" s="425"/>
      <c r="B853" s="368" t="str">
        <f t="shared" si="269"/>
        <v/>
      </c>
      <c r="C853" s="425"/>
      <c r="D853" s="423"/>
      <c r="E853" s="422" t="str">
        <f t="shared" ca="1" si="277"/>
        <v/>
      </c>
      <c r="F853" s="426" t="str">
        <f t="shared" ca="1" si="272"/>
        <v/>
      </c>
      <c r="G853" s="415"/>
      <c r="H853" s="415"/>
      <c r="I853" s="415" t="str">
        <f t="shared" si="270"/>
        <v/>
      </c>
      <c r="J853" s="415" t="str">
        <f t="shared" si="268"/>
        <v/>
      </c>
      <c r="K853" s="415" t="str">
        <f t="shared" si="271"/>
        <v/>
      </c>
      <c r="L853" s="415"/>
      <c r="M853" s="415"/>
      <c r="N853" s="422" t="str">
        <f t="shared" si="267"/>
        <v/>
      </c>
      <c r="O853" s="422" t="str">
        <f t="shared" si="273"/>
        <v/>
      </c>
      <c r="P853" s="422" t="str">
        <f t="shared" si="274"/>
        <v/>
      </c>
      <c r="Q853" s="422" t="str">
        <f t="shared" si="275"/>
        <v/>
      </c>
      <c r="R853" s="422" t="str">
        <f t="shared" si="276"/>
        <v/>
      </c>
      <c r="S853" s="583">
        <f t="shared" si="266"/>
        <v>0</v>
      </c>
      <c r="T853" s="377" t="str">
        <f>+IFERROR(VLOOKUP(S853,STAT1!$C$4:$D$189,2,FALSE),"")</f>
        <v/>
      </c>
      <c r="U853" s="424"/>
      <c r="V853" s="424"/>
      <c r="W853" s="822"/>
      <c r="X853" s="436" t="str">
        <f>IFERROR(VLOOKUP(W853,DATA!$G$4:$H$400,2,FALSE),"")</f>
        <v/>
      </c>
      <c r="Y853" s="328"/>
      <c r="Z853" s="328"/>
      <c r="AA853" s="328"/>
    </row>
    <row r="854" spans="1:27" ht="12.75" customHeight="1">
      <c r="A854" s="425"/>
      <c r="B854" s="368" t="str">
        <f t="shared" si="269"/>
        <v/>
      </c>
      <c r="C854" s="425"/>
      <c r="D854" s="423"/>
      <c r="E854" s="422" t="str">
        <f t="shared" ca="1" si="277"/>
        <v/>
      </c>
      <c r="F854" s="426" t="str">
        <f t="shared" ca="1" si="272"/>
        <v/>
      </c>
      <c r="G854" s="415"/>
      <c r="H854" s="415"/>
      <c r="I854" s="415" t="str">
        <f t="shared" si="270"/>
        <v/>
      </c>
      <c r="J854" s="415" t="str">
        <f t="shared" si="268"/>
        <v/>
      </c>
      <c r="K854" s="415" t="str">
        <f t="shared" si="271"/>
        <v/>
      </c>
      <c r="L854" s="415"/>
      <c r="M854" s="415"/>
      <c r="N854" s="422" t="str">
        <f t="shared" si="267"/>
        <v/>
      </c>
      <c r="O854" s="422" t="str">
        <f t="shared" si="273"/>
        <v/>
      </c>
      <c r="P854" s="422" t="str">
        <f t="shared" si="274"/>
        <v/>
      </c>
      <c r="Q854" s="422" t="str">
        <f t="shared" si="275"/>
        <v/>
      </c>
      <c r="R854" s="422" t="str">
        <f t="shared" si="276"/>
        <v/>
      </c>
      <c r="S854" s="583">
        <f t="shared" si="266"/>
        <v>0</v>
      </c>
      <c r="T854" s="377" t="str">
        <f>+IFERROR(VLOOKUP(S854,STAT1!$C$4:$D$189,2,FALSE),"")</f>
        <v/>
      </c>
      <c r="U854" s="424"/>
      <c r="V854" s="424"/>
      <c r="W854" s="822"/>
      <c r="X854" s="436" t="str">
        <f>IFERROR(VLOOKUP(W854,DATA!$G$4:$H$400,2,FALSE),"")</f>
        <v/>
      </c>
      <c r="Y854" s="328"/>
      <c r="Z854" s="328"/>
      <c r="AA854" s="328"/>
    </row>
    <row r="855" spans="1:27" ht="12.75" customHeight="1">
      <c r="A855" s="425"/>
      <c r="B855" s="368" t="str">
        <f t="shared" si="269"/>
        <v/>
      </c>
      <c r="C855" s="425"/>
      <c r="D855" s="423"/>
      <c r="E855" s="422" t="str">
        <f t="shared" ca="1" si="277"/>
        <v/>
      </c>
      <c r="F855" s="426" t="str">
        <f t="shared" ca="1" si="272"/>
        <v/>
      </c>
      <c r="G855" s="415"/>
      <c r="H855" s="415"/>
      <c r="I855" s="415" t="str">
        <f t="shared" si="270"/>
        <v/>
      </c>
      <c r="J855" s="415" t="str">
        <f t="shared" si="268"/>
        <v/>
      </c>
      <c r="K855" s="415" t="str">
        <f t="shared" si="271"/>
        <v/>
      </c>
      <c r="L855" s="415"/>
      <c r="M855" s="415"/>
      <c r="N855" s="422" t="str">
        <f t="shared" si="267"/>
        <v/>
      </c>
      <c r="O855" s="422" t="str">
        <f t="shared" si="273"/>
        <v/>
      </c>
      <c r="P855" s="422" t="str">
        <f t="shared" si="274"/>
        <v/>
      </c>
      <c r="Q855" s="422" t="str">
        <f t="shared" si="275"/>
        <v/>
      </c>
      <c r="R855" s="422" t="str">
        <f t="shared" si="276"/>
        <v/>
      </c>
      <c r="S855" s="583">
        <f t="shared" si="266"/>
        <v>0</v>
      </c>
      <c r="T855" s="377" t="str">
        <f>+IFERROR(VLOOKUP(S855,STAT1!$C$4:$D$189,2,FALSE),"")</f>
        <v/>
      </c>
      <c r="U855" s="424"/>
      <c r="V855" s="424"/>
      <c r="W855" s="822"/>
      <c r="X855" s="436" t="str">
        <f>IFERROR(VLOOKUP(W855,DATA!$G$4:$H$400,2,FALSE),"")</f>
        <v/>
      </c>
      <c r="Y855" s="328"/>
      <c r="Z855" s="328"/>
      <c r="AA855" s="328"/>
    </row>
    <row r="856" spans="1:27" ht="12.75" customHeight="1">
      <c r="A856" s="425"/>
      <c r="B856" s="368" t="str">
        <f t="shared" si="269"/>
        <v/>
      </c>
      <c r="C856" s="425"/>
      <c r="D856" s="423"/>
      <c r="E856" s="422" t="str">
        <f t="shared" ca="1" si="277"/>
        <v/>
      </c>
      <c r="F856" s="426" t="str">
        <f t="shared" ca="1" si="272"/>
        <v/>
      </c>
      <c r="G856" s="415"/>
      <c r="H856" s="415"/>
      <c r="I856" s="415" t="str">
        <f t="shared" si="270"/>
        <v/>
      </c>
      <c r="J856" s="415" t="str">
        <f t="shared" si="268"/>
        <v/>
      </c>
      <c r="K856" s="415" t="str">
        <f t="shared" si="271"/>
        <v/>
      </c>
      <c r="L856" s="415"/>
      <c r="M856" s="415"/>
      <c r="N856" s="422" t="str">
        <f t="shared" si="267"/>
        <v/>
      </c>
      <c r="O856" s="422" t="str">
        <f t="shared" si="273"/>
        <v/>
      </c>
      <c r="P856" s="422" t="str">
        <f t="shared" si="274"/>
        <v/>
      </c>
      <c r="Q856" s="422" t="str">
        <f t="shared" si="275"/>
        <v/>
      </c>
      <c r="R856" s="422" t="str">
        <f t="shared" si="276"/>
        <v/>
      </c>
      <c r="S856" s="583">
        <f t="shared" si="266"/>
        <v>0</v>
      </c>
      <c r="T856" s="377" t="str">
        <f>+IFERROR(VLOOKUP(S856,STAT1!$C$4:$D$189,2,FALSE),"")</f>
        <v/>
      </c>
      <c r="U856" s="424"/>
      <c r="V856" s="424"/>
      <c r="W856" s="822"/>
      <c r="X856" s="436" t="str">
        <f>IFERROR(VLOOKUP(W856,DATA!$G$4:$H$400,2,FALSE),"")</f>
        <v/>
      </c>
      <c r="Y856" s="328"/>
      <c r="Z856" s="328"/>
      <c r="AA856" s="328"/>
    </row>
    <row r="857" spans="1:27" ht="12.75" customHeight="1">
      <c r="A857" s="425"/>
      <c r="B857" s="368" t="str">
        <f t="shared" si="269"/>
        <v/>
      </c>
      <c r="C857" s="425"/>
      <c r="D857" s="423"/>
      <c r="E857" s="422" t="str">
        <f t="shared" ca="1" si="277"/>
        <v/>
      </c>
      <c r="F857" s="426" t="str">
        <f t="shared" ca="1" si="272"/>
        <v/>
      </c>
      <c r="G857" s="415"/>
      <c r="H857" s="415"/>
      <c r="I857" s="415" t="str">
        <f t="shared" si="270"/>
        <v/>
      </c>
      <c r="J857" s="415" t="str">
        <f t="shared" si="268"/>
        <v/>
      </c>
      <c r="K857" s="415" t="str">
        <f t="shared" si="271"/>
        <v/>
      </c>
      <c r="L857" s="415"/>
      <c r="M857" s="415"/>
      <c r="N857" s="422" t="str">
        <f t="shared" si="267"/>
        <v/>
      </c>
      <c r="O857" s="422" t="str">
        <f t="shared" si="273"/>
        <v/>
      </c>
      <c r="P857" s="422" t="str">
        <f t="shared" si="274"/>
        <v/>
      </c>
      <c r="Q857" s="422" t="str">
        <f t="shared" si="275"/>
        <v/>
      </c>
      <c r="R857" s="422" t="str">
        <f t="shared" si="276"/>
        <v/>
      </c>
      <c r="S857" s="583">
        <f t="shared" si="266"/>
        <v>0</v>
      </c>
      <c r="T857" s="377" t="str">
        <f>+IFERROR(VLOOKUP(S857,STAT1!$C$4:$D$189,2,FALSE),"")</f>
        <v/>
      </c>
      <c r="U857" s="424"/>
      <c r="V857" s="424"/>
      <c r="W857" s="822"/>
      <c r="X857" s="436" t="str">
        <f>IFERROR(VLOOKUP(W857,DATA!$G$4:$H$400,2,FALSE),"")</f>
        <v/>
      </c>
      <c r="Y857" s="328"/>
      <c r="Z857" s="328"/>
      <c r="AA857" s="328"/>
    </row>
    <row r="858" spans="1:27" ht="12.75" customHeight="1">
      <c r="A858" s="425"/>
      <c r="B858" s="368" t="str">
        <f t="shared" si="269"/>
        <v/>
      </c>
      <c r="C858" s="425"/>
      <c r="D858" s="423"/>
      <c r="E858" s="422" t="str">
        <f t="shared" ca="1" si="277"/>
        <v/>
      </c>
      <c r="F858" s="426" t="str">
        <f t="shared" ca="1" si="272"/>
        <v/>
      </c>
      <c r="G858" s="415"/>
      <c r="H858" s="415"/>
      <c r="I858" s="415" t="str">
        <f t="shared" si="270"/>
        <v/>
      </c>
      <c r="J858" s="415" t="str">
        <f t="shared" si="268"/>
        <v/>
      </c>
      <c r="K858" s="415" t="str">
        <f t="shared" si="271"/>
        <v/>
      </c>
      <c r="L858" s="415"/>
      <c r="M858" s="415"/>
      <c r="N858" s="422" t="str">
        <f t="shared" si="267"/>
        <v/>
      </c>
      <c r="O858" s="422" t="str">
        <f t="shared" si="273"/>
        <v/>
      </c>
      <c r="P858" s="422" t="str">
        <f t="shared" si="274"/>
        <v/>
      </c>
      <c r="Q858" s="422" t="str">
        <f t="shared" si="275"/>
        <v/>
      </c>
      <c r="R858" s="422" t="str">
        <f t="shared" si="276"/>
        <v/>
      </c>
      <c r="S858" s="583">
        <f t="shared" ref="S858:S885" si="278">+IF(LEFT(D858,3)="131",140100,0)+IF(LEFT(D858,3)="310",150100,0)+IF(LEFT(D858,3)="211",150101,0)+IF(LEFT(D858,3)="410",160100,0)+IF(LEFT(D858,3)="440",160200,0)+IF(LEFT(D858,3)="430",160200,0)+IF(LEFT(D858,3)="420",160200,0)+IF(LEFT(D858,3)="460",160201,0)+IF(LEFT(D858,3)="210",150101,0)+IF(LEFT(D858,3)="510",140100,0)</f>
        <v>0</v>
      </c>
      <c r="T858" s="377" t="str">
        <f>+IFERROR(VLOOKUP(S858,STAT1!$C$4:$D$189,2,FALSE),"")</f>
        <v/>
      </c>
      <c r="U858" s="424"/>
      <c r="V858" s="424"/>
      <c r="W858" s="822"/>
      <c r="X858" s="436" t="str">
        <f>IFERROR(VLOOKUP(W858,DATA!$G$4:$H$400,2,FALSE),"")</f>
        <v/>
      </c>
      <c r="Y858" s="328"/>
      <c r="Z858" s="328"/>
      <c r="AA858" s="328"/>
    </row>
    <row r="859" spans="1:27" ht="12.75" customHeight="1">
      <c r="A859" s="425"/>
      <c r="B859" s="368" t="str">
        <f t="shared" si="269"/>
        <v/>
      </c>
      <c r="C859" s="425"/>
      <c r="D859" s="423"/>
      <c r="E859" s="422" t="str">
        <f t="shared" ca="1" si="277"/>
        <v/>
      </c>
      <c r="F859" s="426" t="str">
        <f t="shared" ca="1" si="272"/>
        <v/>
      </c>
      <c r="G859" s="415"/>
      <c r="H859" s="415"/>
      <c r="I859" s="415" t="str">
        <f t="shared" si="270"/>
        <v/>
      </c>
      <c r="J859" s="415" t="str">
        <f t="shared" si="268"/>
        <v/>
      </c>
      <c r="K859" s="415" t="str">
        <f t="shared" si="271"/>
        <v/>
      </c>
      <c r="L859" s="415"/>
      <c r="M859" s="415"/>
      <c r="N859" s="422" t="str">
        <f t="shared" si="267"/>
        <v/>
      </c>
      <c r="O859" s="422" t="str">
        <f t="shared" si="273"/>
        <v/>
      </c>
      <c r="P859" s="422" t="str">
        <f t="shared" si="274"/>
        <v/>
      </c>
      <c r="Q859" s="422" t="str">
        <f t="shared" si="275"/>
        <v/>
      </c>
      <c r="R859" s="422" t="str">
        <f t="shared" si="276"/>
        <v/>
      </c>
      <c r="S859" s="583">
        <f t="shared" si="278"/>
        <v>0</v>
      </c>
      <c r="T859" s="377" t="str">
        <f>+IFERROR(VLOOKUP(S859,STAT1!$C$4:$D$189,2,FALSE),"")</f>
        <v/>
      </c>
      <c r="U859" s="424"/>
      <c r="V859" s="424"/>
      <c r="W859" s="822"/>
      <c r="X859" s="436" t="str">
        <f>IFERROR(VLOOKUP(W859,DATA!$G$4:$H$400,2,FALSE),"")</f>
        <v/>
      </c>
      <c r="Y859" s="328"/>
      <c r="Z859" s="328"/>
      <c r="AA859" s="328"/>
    </row>
    <row r="860" spans="1:27" ht="12.75" customHeight="1">
      <c r="A860" s="425"/>
      <c r="B860" s="368" t="str">
        <f t="shared" si="269"/>
        <v/>
      </c>
      <c r="C860" s="425"/>
      <c r="D860" s="423"/>
      <c r="E860" s="422" t="str">
        <f t="shared" ca="1" si="277"/>
        <v/>
      </c>
      <c r="F860" s="426" t="str">
        <f t="shared" ca="1" si="272"/>
        <v/>
      </c>
      <c r="G860" s="415"/>
      <c r="H860" s="415"/>
      <c r="I860" s="415" t="str">
        <f t="shared" si="270"/>
        <v/>
      </c>
      <c r="J860" s="415" t="str">
        <f t="shared" si="268"/>
        <v/>
      </c>
      <c r="K860" s="415" t="str">
        <f t="shared" si="271"/>
        <v/>
      </c>
      <c r="L860" s="415"/>
      <c r="M860" s="415"/>
      <c r="N860" s="422" t="str">
        <f t="shared" si="267"/>
        <v/>
      </c>
      <c r="O860" s="422" t="str">
        <f t="shared" si="273"/>
        <v/>
      </c>
      <c r="P860" s="422" t="str">
        <f t="shared" si="274"/>
        <v/>
      </c>
      <c r="Q860" s="422" t="str">
        <f t="shared" si="275"/>
        <v/>
      </c>
      <c r="R860" s="422" t="str">
        <f t="shared" si="276"/>
        <v/>
      </c>
      <c r="S860" s="583">
        <f t="shared" si="278"/>
        <v>0</v>
      </c>
      <c r="T860" s="377" t="str">
        <f>+IFERROR(VLOOKUP(S860,STAT1!$C$4:$D$189,2,FALSE),"")</f>
        <v/>
      </c>
      <c r="U860" s="424"/>
      <c r="V860" s="424"/>
      <c r="W860" s="822"/>
      <c r="X860" s="436" t="str">
        <f>IFERROR(VLOOKUP(W860,DATA!$G$4:$H$400,2,FALSE),"")</f>
        <v/>
      </c>
      <c r="Y860" s="328"/>
      <c r="Z860" s="328"/>
      <c r="AA860" s="328"/>
    </row>
    <row r="861" spans="1:27" ht="12.75" customHeight="1">
      <c r="A861" s="425"/>
      <c r="B861" s="368" t="str">
        <f t="shared" si="269"/>
        <v/>
      </c>
      <c r="C861" s="425"/>
      <c r="D861" s="423"/>
      <c r="E861" s="422" t="str">
        <f t="shared" ca="1" si="277"/>
        <v/>
      </c>
      <c r="F861" s="426" t="str">
        <f t="shared" ca="1" si="272"/>
        <v/>
      </c>
      <c r="G861" s="415"/>
      <c r="H861" s="415"/>
      <c r="I861" s="415" t="str">
        <f t="shared" si="270"/>
        <v/>
      </c>
      <c r="J861" s="415" t="str">
        <f t="shared" si="268"/>
        <v/>
      </c>
      <c r="K861" s="415" t="str">
        <f t="shared" si="271"/>
        <v/>
      </c>
      <c r="L861" s="415"/>
      <c r="M861" s="415"/>
      <c r="N861" s="422" t="str">
        <f t="shared" si="267"/>
        <v/>
      </c>
      <c r="O861" s="422" t="str">
        <f t="shared" si="273"/>
        <v/>
      </c>
      <c r="P861" s="422" t="str">
        <f t="shared" si="274"/>
        <v/>
      </c>
      <c r="Q861" s="422" t="str">
        <f t="shared" si="275"/>
        <v/>
      </c>
      <c r="R861" s="422" t="str">
        <f t="shared" si="276"/>
        <v/>
      </c>
      <c r="S861" s="583">
        <f t="shared" si="278"/>
        <v>0</v>
      </c>
      <c r="T861" s="377" t="str">
        <f>+IFERROR(VLOOKUP(S861,STAT1!$C$4:$D$189,2,FALSE),"")</f>
        <v/>
      </c>
      <c r="U861" s="424"/>
      <c r="V861" s="424"/>
      <c r="W861" s="822"/>
      <c r="X861" s="436" t="str">
        <f>IFERROR(VLOOKUP(W861,DATA!$G$4:$H$400,2,FALSE),"")</f>
        <v/>
      </c>
      <c r="Y861" s="328"/>
      <c r="Z861" s="328"/>
      <c r="AA861" s="328"/>
    </row>
    <row r="862" spans="1:27" ht="12.75" customHeight="1">
      <c r="A862" s="425"/>
      <c r="B862" s="368" t="str">
        <f t="shared" si="269"/>
        <v/>
      </c>
      <c r="C862" s="425"/>
      <c r="D862" s="423"/>
      <c r="E862" s="422" t="str">
        <f t="shared" ca="1" si="277"/>
        <v/>
      </c>
      <c r="F862" s="426" t="str">
        <f t="shared" ca="1" si="272"/>
        <v/>
      </c>
      <c r="G862" s="415"/>
      <c r="H862" s="415"/>
      <c r="I862" s="415" t="str">
        <f t="shared" si="270"/>
        <v/>
      </c>
      <c r="J862" s="415" t="str">
        <f t="shared" si="268"/>
        <v/>
      </c>
      <c r="K862" s="415" t="str">
        <f t="shared" si="271"/>
        <v/>
      </c>
      <c r="L862" s="415"/>
      <c r="M862" s="415"/>
      <c r="N862" s="422" t="str">
        <f t="shared" si="267"/>
        <v/>
      </c>
      <c r="O862" s="422" t="str">
        <f t="shared" si="273"/>
        <v/>
      </c>
      <c r="P862" s="422" t="str">
        <f t="shared" si="274"/>
        <v/>
      </c>
      <c r="Q862" s="422" t="str">
        <f t="shared" si="275"/>
        <v/>
      </c>
      <c r="R862" s="422" t="str">
        <f t="shared" si="276"/>
        <v/>
      </c>
      <c r="S862" s="583">
        <f t="shared" si="278"/>
        <v>0</v>
      </c>
      <c r="T862" s="377" t="str">
        <f>+IFERROR(VLOOKUP(S862,STAT1!$C$4:$D$189,2,FALSE),"")</f>
        <v/>
      </c>
      <c r="U862" s="424"/>
      <c r="V862" s="424"/>
      <c r="W862" s="822"/>
      <c r="X862" s="436" t="str">
        <f>IFERROR(VLOOKUP(W862,DATA!$G$4:$H$400,2,FALSE),"")</f>
        <v/>
      </c>
      <c r="Y862" s="328"/>
      <c r="Z862" s="328"/>
      <c r="AA862" s="328"/>
    </row>
    <row r="863" spans="1:27" ht="12.75" customHeight="1">
      <c r="A863" s="425"/>
      <c r="B863" s="368" t="str">
        <f t="shared" si="269"/>
        <v/>
      </c>
      <c r="C863" s="425"/>
      <c r="D863" s="423"/>
      <c r="E863" s="422" t="str">
        <f t="shared" ca="1" si="277"/>
        <v/>
      </c>
      <c r="F863" s="426" t="str">
        <f t="shared" ca="1" si="272"/>
        <v/>
      </c>
      <c r="G863" s="415"/>
      <c r="H863" s="415"/>
      <c r="I863" s="415" t="str">
        <f t="shared" si="270"/>
        <v/>
      </c>
      <c r="J863" s="415" t="str">
        <f t="shared" si="268"/>
        <v/>
      </c>
      <c r="K863" s="415" t="str">
        <f t="shared" si="271"/>
        <v/>
      </c>
      <c r="L863" s="415"/>
      <c r="M863" s="415"/>
      <c r="N863" s="422" t="str">
        <f t="shared" si="267"/>
        <v/>
      </c>
      <c r="O863" s="422" t="str">
        <f t="shared" si="273"/>
        <v/>
      </c>
      <c r="P863" s="422" t="str">
        <f t="shared" si="274"/>
        <v/>
      </c>
      <c r="Q863" s="422" t="str">
        <f t="shared" si="275"/>
        <v/>
      </c>
      <c r="R863" s="422" t="str">
        <f t="shared" si="276"/>
        <v/>
      </c>
      <c r="S863" s="583">
        <f t="shared" si="278"/>
        <v>0</v>
      </c>
      <c r="T863" s="377" t="str">
        <f>+IFERROR(VLOOKUP(S863,STAT1!$C$4:$D$189,2,FALSE),"")</f>
        <v/>
      </c>
      <c r="U863" s="424"/>
      <c r="V863" s="424"/>
      <c r="W863" s="822"/>
      <c r="X863" s="436" t="str">
        <f>IFERROR(VLOOKUP(W863,DATA!$G$4:$H$400,2,FALSE),"")</f>
        <v/>
      </c>
      <c r="Y863" s="328"/>
      <c r="Z863" s="328"/>
      <c r="AA863" s="328"/>
    </row>
    <row r="864" spans="1:27" ht="12.75" customHeight="1">
      <c r="A864" s="425"/>
      <c r="B864" s="368" t="str">
        <f t="shared" si="269"/>
        <v/>
      </c>
      <c r="C864" s="425"/>
      <c r="D864" s="423"/>
      <c r="E864" s="422" t="str">
        <f t="shared" ca="1" si="277"/>
        <v/>
      </c>
      <c r="F864" s="426" t="str">
        <f t="shared" ca="1" si="272"/>
        <v/>
      </c>
      <c r="G864" s="415"/>
      <c r="H864" s="415"/>
      <c r="I864" s="415" t="str">
        <f t="shared" si="270"/>
        <v/>
      </c>
      <c r="J864" s="415" t="str">
        <f t="shared" si="268"/>
        <v/>
      </c>
      <c r="K864" s="415" t="str">
        <f t="shared" si="271"/>
        <v/>
      </c>
      <c r="L864" s="415"/>
      <c r="M864" s="415"/>
      <c r="N864" s="422" t="str">
        <f t="shared" ref="N864:N885" si="279">+IF(L864="","",L864*M864)</f>
        <v/>
      </c>
      <c r="O864" s="422" t="str">
        <f t="shared" si="273"/>
        <v/>
      </c>
      <c r="P864" s="422" t="str">
        <f t="shared" si="274"/>
        <v/>
      </c>
      <c r="Q864" s="422" t="str">
        <f t="shared" si="275"/>
        <v/>
      </c>
      <c r="R864" s="422" t="str">
        <f t="shared" si="276"/>
        <v/>
      </c>
      <c r="S864" s="583">
        <f t="shared" si="278"/>
        <v>0</v>
      </c>
      <c r="T864" s="377" t="str">
        <f>+IFERROR(VLOOKUP(S864,STAT1!$C$4:$D$189,2,FALSE),"")</f>
        <v/>
      </c>
      <c r="U864" s="424"/>
      <c r="V864" s="424"/>
      <c r="W864" s="822"/>
      <c r="X864" s="436" t="str">
        <f>IFERROR(VLOOKUP(W864,DATA!$G$4:$H$400,2,FALSE),"")</f>
        <v/>
      </c>
      <c r="Y864" s="328"/>
      <c r="Z864" s="328"/>
      <c r="AA864" s="328"/>
    </row>
    <row r="865" spans="1:27" ht="12.75" customHeight="1">
      <c r="A865" s="425"/>
      <c r="B865" s="368" t="str">
        <f t="shared" si="269"/>
        <v/>
      </c>
      <c r="C865" s="425"/>
      <c r="D865" s="423"/>
      <c r="E865" s="422" t="str">
        <f t="shared" ca="1" si="277"/>
        <v/>
      </c>
      <c r="F865" s="426" t="str">
        <f t="shared" ca="1" si="272"/>
        <v/>
      </c>
      <c r="G865" s="415"/>
      <c r="H865" s="415"/>
      <c r="I865" s="415" t="str">
        <f t="shared" si="270"/>
        <v/>
      </c>
      <c r="J865" s="415" t="str">
        <f t="shared" si="268"/>
        <v/>
      </c>
      <c r="K865" s="415" t="str">
        <f t="shared" si="271"/>
        <v/>
      </c>
      <c r="L865" s="415"/>
      <c r="M865" s="415"/>
      <c r="N865" s="422" t="str">
        <f t="shared" si="279"/>
        <v/>
      </c>
      <c r="O865" s="422" t="str">
        <f t="shared" si="273"/>
        <v/>
      </c>
      <c r="P865" s="422" t="str">
        <f t="shared" si="274"/>
        <v/>
      </c>
      <c r="Q865" s="422" t="str">
        <f t="shared" si="275"/>
        <v/>
      </c>
      <c r="R865" s="422" t="str">
        <f t="shared" si="276"/>
        <v/>
      </c>
      <c r="S865" s="583">
        <f t="shared" si="278"/>
        <v>0</v>
      </c>
      <c r="T865" s="377" t="str">
        <f>+IFERROR(VLOOKUP(S865,STAT1!$C$4:$D$189,2,FALSE),"")</f>
        <v/>
      </c>
      <c r="U865" s="424"/>
      <c r="V865" s="424"/>
      <c r="W865" s="822"/>
      <c r="X865" s="436" t="str">
        <f>IFERROR(VLOOKUP(W865,DATA!$G$4:$H$400,2,FALSE),"")</f>
        <v/>
      </c>
      <c r="Y865" s="328"/>
      <c r="Z865" s="328"/>
      <c r="AA865" s="328"/>
    </row>
    <row r="866" spans="1:27" ht="12.75" customHeight="1">
      <c r="A866" s="425"/>
      <c r="B866" s="368" t="str">
        <f t="shared" si="269"/>
        <v/>
      </c>
      <c r="C866" s="425"/>
      <c r="D866" s="423"/>
      <c r="E866" s="422" t="str">
        <f t="shared" ca="1" si="277"/>
        <v/>
      </c>
      <c r="F866" s="426" t="str">
        <f t="shared" ca="1" si="272"/>
        <v/>
      </c>
      <c r="G866" s="415"/>
      <c r="H866" s="415"/>
      <c r="I866" s="415" t="str">
        <f t="shared" si="270"/>
        <v/>
      </c>
      <c r="J866" s="415" t="str">
        <f t="shared" si="268"/>
        <v/>
      </c>
      <c r="K866" s="415" t="str">
        <f t="shared" si="271"/>
        <v/>
      </c>
      <c r="L866" s="415"/>
      <c r="M866" s="415"/>
      <c r="N866" s="422" t="str">
        <f t="shared" si="279"/>
        <v/>
      </c>
      <c r="O866" s="422" t="str">
        <f t="shared" si="273"/>
        <v/>
      </c>
      <c r="P866" s="422" t="str">
        <f t="shared" si="274"/>
        <v/>
      </c>
      <c r="Q866" s="422" t="str">
        <f t="shared" si="275"/>
        <v/>
      </c>
      <c r="R866" s="422" t="str">
        <f t="shared" si="276"/>
        <v/>
      </c>
      <c r="S866" s="583">
        <f t="shared" si="278"/>
        <v>0</v>
      </c>
      <c r="T866" s="377" t="str">
        <f>+IFERROR(VLOOKUP(S866,STAT1!$C$4:$D$189,2,FALSE),"")</f>
        <v/>
      </c>
      <c r="U866" s="424"/>
      <c r="V866" s="424"/>
      <c r="W866" s="822"/>
      <c r="X866" s="436" t="str">
        <f>IFERROR(VLOOKUP(W866,DATA!$G$4:$H$400,2,FALSE),"")</f>
        <v/>
      </c>
      <c r="Y866" s="328"/>
      <c r="Z866" s="328"/>
      <c r="AA866" s="328"/>
    </row>
    <row r="867" spans="1:27" ht="12.75" customHeight="1">
      <c r="A867" s="425"/>
      <c r="B867" s="368" t="str">
        <f t="shared" si="269"/>
        <v/>
      </c>
      <c r="C867" s="425"/>
      <c r="D867" s="423"/>
      <c r="E867" s="422" t="str">
        <f t="shared" ca="1" si="277"/>
        <v/>
      </c>
      <c r="F867" s="426" t="str">
        <f t="shared" ca="1" si="272"/>
        <v/>
      </c>
      <c r="G867" s="415"/>
      <c r="H867" s="415"/>
      <c r="I867" s="415" t="str">
        <f t="shared" si="270"/>
        <v/>
      </c>
      <c r="J867" s="415" t="str">
        <f t="shared" si="268"/>
        <v/>
      </c>
      <c r="K867" s="415" t="str">
        <f t="shared" si="271"/>
        <v/>
      </c>
      <c r="L867" s="415"/>
      <c r="M867" s="415"/>
      <c r="N867" s="422" t="str">
        <f t="shared" si="279"/>
        <v/>
      </c>
      <c r="O867" s="422" t="str">
        <f t="shared" si="273"/>
        <v/>
      </c>
      <c r="P867" s="422" t="str">
        <f t="shared" si="274"/>
        <v/>
      </c>
      <c r="Q867" s="422" t="str">
        <f t="shared" si="275"/>
        <v/>
      </c>
      <c r="R867" s="422" t="str">
        <f t="shared" si="276"/>
        <v/>
      </c>
      <c r="S867" s="583">
        <f t="shared" si="278"/>
        <v>0</v>
      </c>
      <c r="T867" s="377" t="str">
        <f>+IFERROR(VLOOKUP(S867,STAT1!$C$4:$D$189,2,FALSE),"")</f>
        <v/>
      </c>
      <c r="U867" s="424"/>
      <c r="V867" s="424"/>
      <c r="W867" s="822"/>
      <c r="X867" s="436" t="str">
        <f>IFERROR(VLOOKUP(W867,DATA!$G$4:$H$400,2,FALSE),"")</f>
        <v/>
      </c>
      <c r="Y867" s="328"/>
      <c r="Z867" s="328"/>
      <c r="AA867" s="328"/>
    </row>
    <row r="868" spans="1:27" ht="12.75" customHeight="1">
      <c r="A868" s="425"/>
      <c r="B868" s="368" t="str">
        <f t="shared" si="269"/>
        <v/>
      </c>
      <c r="C868" s="425"/>
      <c r="D868" s="423"/>
      <c r="E868" s="422" t="str">
        <f t="shared" ca="1" si="277"/>
        <v/>
      </c>
      <c r="F868" s="426" t="str">
        <f t="shared" ca="1" si="272"/>
        <v/>
      </c>
      <c r="G868" s="415"/>
      <c r="H868" s="415"/>
      <c r="I868" s="415" t="str">
        <f t="shared" si="270"/>
        <v/>
      </c>
      <c r="J868" s="415" t="str">
        <f t="shared" ref="J868:J885" si="280">+IF(G868="","",I868*0.1)</f>
        <v/>
      </c>
      <c r="K868" s="415" t="str">
        <f t="shared" si="271"/>
        <v/>
      </c>
      <c r="L868" s="415"/>
      <c r="M868" s="415"/>
      <c r="N868" s="422" t="str">
        <f t="shared" si="279"/>
        <v/>
      </c>
      <c r="O868" s="422" t="str">
        <f t="shared" si="273"/>
        <v/>
      </c>
      <c r="P868" s="422" t="str">
        <f t="shared" si="274"/>
        <v/>
      </c>
      <c r="Q868" s="422" t="str">
        <f t="shared" si="275"/>
        <v/>
      </c>
      <c r="R868" s="422" t="str">
        <f t="shared" si="276"/>
        <v/>
      </c>
      <c r="S868" s="583">
        <f t="shared" si="278"/>
        <v>0</v>
      </c>
      <c r="T868" s="377" t="str">
        <f>+IFERROR(VLOOKUP(S868,STAT1!$C$4:$D$189,2,FALSE),"")</f>
        <v/>
      </c>
      <c r="U868" s="424"/>
      <c r="V868" s="424"/>
      <c r="W868" s="822"/>
      <c r="X868" s="436" t="str">
        <f>IFERROR(VLOOKUP(W868,DATA!$G$4:$H$400,2,FALSE),"")</f>
        <v/>
      </c>
      <c r="Y868" s="328"/>
      <c r="Z868" s="328"/>
      <c r="AA868" s="328"/>
    </row>
    <row r="869" spans="1:27" ht="12.75" customHeight="1">
      <c r="A869" s="425"/>
      <c r="B869" s="368" t="str">
        <f t="shared" si="269"/>
        <v/>
      </c>
      <c r="C869" s="425"/>
      <c r="D869" s="423"/>
      <c r="E869" s="422" t="str">
        <f t="shared" ca="1" si="277"/>
        <v/>
      </c>
      <c r="F869" s="426" t="str">
        <f t="shared" ca="1" si="272"/>
        <v/>
      </c>
      <c r="G869" s="415"/>
      <c r="H869" s="415"/>
      <c r="I869" s="415" t="str">
        <f t="shared" si="270"/>
        <v/>
      </c>
      <c r="J869" s="415" t="str">
        <f t="shared" si="280"/>
        <v/>
      </c>
      <c r="K869" s="415" t="str">
        <f t="shared" si="271"/>
        <v/>
      </c>
      <c r="L869" s="415"/>
      <c r="M869" s="415"/>
      <c r="N869" s="422" t="str">
        <f t="shared" si="279"/>
        <v/>
      </c>
      <c r="O869" s="422" t="str">
        <f t="shared" si="273"/>
        <v/>
      </c>
      <c r="P869" s="422" t="str">
        <f t="shared" si="274"/>
        <v/>
      </c>
      <c r="Q869" s="422" t="str">
        <f t="shared" si="275"/>
        <v/>
      </c>
      <c r="R869" s="422" t="str">
        <f t="shared" si="276"/>
        <v/>
      </c>
      <c r="S869" s="583">
        <f t="shared" si="278"/>
        <v>0</v>
      </c>
      <c r="T869" s="377" t="str">
        <f>+IFERROR(VLOOKUP(S869,STAT1!$C$4:$D$189,2,FALSE),"")</f>
        <v/>
      </c>
      <c r="U869" s="424"/>
      <c r="V869" s="424"/>
      <c r="W869" s="822"/>
      <c r="X869" s="436" t="str">
        <f>IFERROR(VLOOKUP(W869,DATA!$G$4:$H$400,2,FALSE),"")</f>
        <v/>
      </c>
      <c r="Y869" s="328"/>
      <c r="Z869" s="328"/>
      <c r="AA869" s="328"/>
    </row>
    <row r="870" spans="1:27" ht="12.75" customHeight="1">
      <c r="A870" s="425"/>
      <c r="B870" s="368" t="str">
        <f t="shared" si="269"/>
        <v/>
      </c>
      <c r="C870" s="425"/>
      <c r="D870" s="423"/>
      <c r="E870" s="422" t="str">
        <f t="shared" ca="1" si="277"/>
        <v/>
      </c>
      <c r="F870" s="426" t="str">
        <f t="shared" ca="1" si="272"/>
        <v/>
      </c>
      <c r="G870" s="415"/>
      <c r="H870" s="415"/>
      <c r="I870" s="415" t="str">
        <f t="shared" si="270"/>
        <v/>
      </c>
      <c r="J870" s="415" t="str">
        <f t="shared" si="280"/>
        <v/>
      </c>
      <c r="K870" s="415" t="str">
        <f t="shared" si="271"/>
        <v/>
      </c>
      <c r="L870" s="415"/>
      <c r="M870" s="415"/>
      <c r="N870" s="422" t="str">
        <f t="shared" si="279"/>
        <v/>
      </c>
      <c r="O870" s="422" t="str">
        <f t="shared" si="273"/>
        <v/>
      </c>
      <c r="P870" s="422" t="str">
        <f t="shared" si="274"/>
        <v/>
      </c>
      <c r="Q870" s="422" t="str">
        <f t="shared" si="275"/>
        <v/>
      </c>
      <c r="R870" s="422" t="str">
        <f t="shared" si="276"/>
        <v/>
      </c>
      <c r="S870" s="583">
        <f t="shared" si="278"/>
        <v>0</v>
      </c>
      <c r="T870" s="377" t="str">
        <f>+IFERROR(VLOOKUP(S870,STAT1!$C$4:$D$189,2,FALSE),"")</f>
        <v/>
      </c>
      <c r="U870" s="424"/>
      <c r="V870" s="424"/>
      <c r="W870" s="822"/>
      <c r="X870" s="436" t="str">
        <f>IFERROR(VLOOKUP(W870,DATA!$G$4:$H$400,2,FALSE),"")</f>
        <v/>
      </c>
      <c r="Y870" s="328"/>
      <c r="Z870" s="328"/>
      <c r="AA870" s="328"/>
    </row>
    <row r="871" spans="1:27" ht="12.75" customHeight="1">
      <c r="A871" s="425"/>
      <c r="B871" s="368" t="str">
        <f t="shared" si="269"/>
        <v/>
      </c>
      <c r="C871" s="425"/>
      <c r="D871" s="423"/>
      <c r="E871" s="422" t="str">
        <f t="shared" ca="1" si="277"/>
        <v/>
      </c>
      <c r="F871" s="426" t="str">
        <f t="shared" ca="1" si="272"/>
        <v/>
      </c>
      <c r="G871" s="415"/>
      <c r="H871" s="415"/>
      <c r="I871" s="415" t="str">
        <f t="shared" si="270"/>
        <v/>
      </c>
      <c r="J871" s="415" t="str">
        <f t="shared" si="280"/>
        <v/>
      </c>
      <c r="K871" s="415" t="str">
        <f t="shared" si="271"/>
        <v/>
      </c>
      <c r="L871" s="415"/>
      <c r="M871" s="415"/>
      <c r="N871" s="422" t="str">
        <f t="shared" si="279"/>
        <v/>
      </c>
      <c r="O871" s="422" t="str">
        <f t="shared" si="273"/>
        <v/>
      </c>
      <c r="P871" s="422" t="str">
        <f t="shared" si="274"/>
        <v/>
      </c>
      <c r="Q871" s="422" t="str">
        <f t="shared" si="275"/>
        <v/>
      </c>
      <c r="R871" s="422" t="str">
        <f t="shared" si="276"/>
        <v/>
      </c>
      <c r="S871" s="583">
        <f t="shared" si="278"/>
        <v>0</v>
      </c>
      <c r="T871" s="377" t="str">
        <f>+IFERROR(VLOOKUP(S871,STAT1!$C$4:$D$189,2,FALSE),"")</f>
        <v/>
      </c>
      <c r="U871" s="424"/>
      <c r="V871" s="424"/>
      <c r="W871" s="822"/>
      <c r="X871" s="436" t="str">
        <f>IFERROR(VLOOKUP(W871,DATA!$G$4:$H$400,2,FALSE),"")</f>
        <v/>
      </c>
      <c r="Y871" s="328"/>
      <c r="Z871" s="328"/>
      <c r="AA871" s="328"/>
    </row>
    <row r="872" spans="1:27" ht="12.75" customHeight="1">
      <c r="A872" s="425"/>
      <c r="B872" s="368" t="str">
        <f t="shared" ref="B872:B885" si="281">IF(C872="","",ROW()-5)</f>
        <v/>
      </c>
      <c r="C872" s="425"/>
      <c r="D872" s="423"/>
      <c r="E872" s="422" t="str">
        <f t="shared" ca="1" si="277"/>
        <v/>
      </c>
      <c r="F872" s="426" t="str">
        <f t="shared" ca="1" si="272"/>
        <v/>
      </c>
      <c r="G872" s="415"/>
      <c r="H872" s="415"/>
      <c r="I872" s="415" t="str">
        <f t="shared" si="270"/>
        <v/>
      </c>
      <c r="J872" s="415" t="str">
        <f t="shared" si="280"/>
        <v/>
      </c>
      <c r="K872" s="415" t="str">
        <f t="shared" si="271"/>
        <v/>
      </c>
      <c r="L872" s="415"/>
      <c r="M872" s="415"/>
      <c r="N872" s="422" t="str">
        <f t="shared" si="279"/>
        <v/>
      </c>
      <c r="O872" s="422" t="str">
        <f t="shared" si="273"/>
        <v/>
      </c>
      <c r="P872" s="422" t="str">
        <f t="shared" si="274"/>
        <v/>
      </c>
      <c r="Q872" s="422" t="str">
        <f t="shared" si="275"/>
        <v/>
      </c>
      <c r="R872" s="422" t="str">
        <f t="shared" si="276"/>
        <v/>
      </c>
      <c r="S872" s="583">
        <f t="shared" si="278"/>
        <v>0</v>
      </c>
      <c r="T872" s="377" t="str">
        <f>+IFERROR(VLOOKUP(S872,STAT1!$C$4:$D$189,2,FALSE),"")</f>
        <v/>
      </c>
      <c r="U872" s="424"/>
      <c r="V872" s="424"/>
      <c r="W872" s="822"/>
      <c r="X872" s="436" t="str">
        <f>IFERROR(VLOOKUP(W872,DATA!$G$4:$H$400,2,FALSE),"")</f>
        <v/>
      </c>
      <c r="Y872" s="328"/>
      <c r="Z872" s="328"/>
      <c r="AA872" s="328"/>
    </row>
    <row r="873" spans="1:27" ht="12.75" customHeight="1">
      <c r="A873" s="425"/>
      <c r="B873" s="368" t="str">
        <f t="shared" si="281"/>
        <v/>
      </c>
      <c r="C873" s="425"/>
      <c r="D873" s="423"/>
      <c r="E873" s="422" t="str">
        <f t="shared" ca="1" si="277"/>
        <v/>
      </c>
      <c r="F873" s="426" t="str">
        <f t="shared" ca="1" si="272"/>
        <v/>
      </c>
      <c r="G873" s="415"/>
      <c r="H873" s="415"/>
      <c r="I873" s="415" t="str">
        <f t="shared" si="270"/>
        <v/>
      </c>
      <c r="J873" s="415" t="str">
        <f t="shared" si="280"/>
        <v/>
      </c>
      <c r="K873" s="415" t="str">
        <f t="shared" si="271"/>
        <v/>
      </c>
      <c r="L873" s="415"/>
      <c r="M873" s="415"/>
      <c r="N873" s="422" t="str">
        <f t="shared" si="279"/>
        <v/>
      </c>
      <c r="O873" s="422" t="str">
        <f t="shared" si="273"/>
        <v/>
      </c>
      <c r="P873" s="422" t="str">
        <f t="shared" si="274"/>
        <v/>
      </c>
      <c r="Q873" s="422" t="str">
        <f t="shared" si="275"/>
        <v/>
      </c>
      <c r="R873" s="422" t="str">
        <f t="shared" si="276"/>
        <v/>
      </c>
      <c r="S873" s="583">
        <f t="shared" si="278"/>
        <v>0</v>
      </c>
      <c r="T873" s="377" t="str">
        <f>+IFERROR(VLOOKUP(S873,STAT1!$C$4:$D$189,2,FALSE),"")</f>
        <v/>
      </c>
      <c r="U873" s="424"/>
      <c r="V873" s="424"/>
      <c r="W873" s="822"/>
      <c r="X873" s="436" t="str">
        <f>IFERROR(VLOOKUP(W873,DATA!$G$4:$H$400,2,FALSE),"")</f>
        <v/>
      </c>
      <c r="Y873" s="328"/>
      <c r="Z873" s="328"/>
      <c r="AA873" s="328"/>
    </row>
    <row r="874" spans="1:27" ht="12.75" customHeight="1">
      <c r="A874" s="425"/>
      <c r="B874" s="368" t="str">
        <f t="shared" si="281"/>
        <v/>
      </c>
      <c r="C874" s="425"/>
      <c r="D874" s="423"/>
      <c r="E874" s="422" t="str">
        <f t="shared" ca="1" si="277"/>
        <v/>
      </c>
      <c r="F874" s="426" t="str">
        <f t="shared" ca="1" si="272"/>
        <v/>
      </c>
      <c r="G874" s="415"/>
      <c r="H874" s="415"/>
      <c r="I874" s="415" t="str">
        <f t="shared" si="270"/>
        <v/>
      </c>
      <c r="J874" s="415" t="str">
        <f t="shared" si="280"/>
        <v/>
      </c>
      <c r="K874" s="415" t="str">
        <f t="shared" si="271"/>
        <v/>
      </c>
      <c r="L874" s="415"/>
      <c r="M874" s="415"/>
      <c r="N874" s="422" t="str">
        <f t="shared" si="279"/>
        <v/>
      </c>
      <c r="O874" s="422" t="str">
        <f t="shared" si="273"/>
        <v/>
      </c>
      <c r="P874" s="422" t="str">
        <f t="shared" si="274"/>
        <v/>
      </c>
      <c r="Q874" s="422" t="str">
        <f t="shared" si="275"/>
        <v/>
      </c>
      <c r="R874" s="422" t="str">
        <f t="shared" si="276"/>
        <v/>
      </c>
      <c r="S874" s="583">
        <f t="shared" si="278"/>
        <v>0</v>
      </c>
      <c r="T874" s="377" t="str">
        <f>+IFERROR(VLOOKUP(S874,STAT1!$C$4:$D$189,2,FALSE),"")</f>
        <v/>
      </c>
      <c r="U874" s="424"/>
      <c r="V874" s="424"/>
      <c r="W874" s="822"/>
      <c r="X874" s="436" t="str">
        <f>IFERROR(VLOOKUP(W874,DATA!$G$4:$H$400,2,FALSE),"")</f>
        <v/>
      </c>
      <c r="Y874" s="328"/>
      <c r="Z874" s="328"/>
      <c r="AA874" s="328"/>
    </row>
    <row r="875" spans="1:27" ht="12.75" customHeight="1">
      <c r="A875" s="425"/>
      <c r="B875" s="368" t="str">
        <f t="shared" si="281"/>
        <v/>
      </c>
      <c r="C875" s="425"/>
      <c r="D875" s="423"/>
      <c r="E875" s="422" t="str">
        <f t="shared" ca="1" si="277"/>
        <v/>
      </c>
      <c r="F875" s="426" t="str">
        <f t="shared" ca="1" si="272"/>
        <v/>
      </c>
      <c r="G875" s="415"/>
      <c r="H875" s="415"/>
      <c r="I875" s="415" t="str">
        <f t="shared" si="270"/>
        <v/>
      </c>
      <c r="J875" s="415" t="str">
        <f t="shared" si="280"/>
        <v/>
      </c>
      <c r="K875" s="415" t="str">
        <f t="shared" si="271"/>
        <v/>
      </c>
      <c r="L875" s="415"/>
      <c r="M875" s="415"/>
      <c r="N875" s="422" t="str">
        <f t="shared" si="279"/>
        <v/>
      </c>
      <c r="O875" s="422" t="str">
        <f t="shared" si="273"/>
        <v/>
      </c>
      <c r="P875" s="422" t="str">
        <f t="shared" si="274"/>
        <v/>
      </c>
      <c r="Q875" s="422" t="str">
        <f t="shared" si="275"/>
        <v/>
      </c>
      <c r="R875" s="422" t="str">
        <f t="shared" si="276"/>
        <v/>
      </c>
      <c r="S875" s="583">
        <f t="shared" si="278"/>
        <v>0</v>
      </c>
      <c r="T875" s="377" t="str">
        <f>+IFERROR(VLOOKUP(S875,STAT1!$C$4:$D$189,2,FALSE),"")</f>
        <v/>
      </c>
      <c r="U875" s="424"/>
      <c r="V875" s="424"/>
      <c r="W875" s="822"/>
      <c r="X875" s="436" t="str">
        <f>IFERROR(VLOOKUP(W875,DATA!$G$4:$H$400,2,FALSE),"")</f>
        <v/>
      </c>
      <c r="Y875" s="328"/>
      <c r="Z875" s="328"/>
      <c r="AA875" s="328"/>
    </row>
    <row r="876" spans="1:27" ht="12.75" customHeight="1">
      <c r="A876" s="425"/>
      <c r="B876" s="368" t="str">
        <f t="shared" si="281"/>
        <v/>
      </c>
      <c r="C876" s="425"/>
      <c r="D876" s="423"/>
      <c r="E876" s="422" t="str">
        <f t="shared" ca="1" si="277"/>
        <v/>
      </c>
      <c r="F876" s="426" t="str">
        <f t="shared" ca="1" si="272"/>
        <v/>
      </c>
      <c r="G876" s="415"/>
      <c r="H876" s="415"/>
      <c r="I876" s="415" t="str">
        <f t="shared" si="270"/>
        <v/>
      </c>
      <c r="J876" s="415" t="str">
        <f t="shared" si="280"/>
        <v/>
      </c>
      <c r="K876" s="415" t="str">
        <f t="shared" si="271"/>
        <v/>
      </c>
      <c r="L876" s="415"/>
      <c r="M876" s="415"/>
      <c r="N876" s="422" t="str">
        <f t="shared" si="279"/>
        <v/>
      </c>
      <c r="O876" s="422" t="str">
        <f t="shared" si="273"/>
        <v/>
      </c>
      <c r="P876" s="422" t="str">
        <f t="shared" si="274"/>
        <v/>
      </c>
      <c r="Q876" s="422" t="str">
        <f t="shared" si="275"/>
        <v/>
      </c>
      <c r="R876" s="422" t="str">
        <f t="shared" si="276"/>
        <v/>
      </c>
      <c r="S876" s="583">
        <f t="shared" si="278"/>
        <v>0</v>
      </c>
      <c r="T876" s="377" t="str">
        <f>+IFERROR(VLOOKUP(S876,STAT1!$C$4:$D$189,2,FALSE),"")</f>
        <v/>
      </c>
      <c r="U876" s="424"/>
      <c r="V876" s="424"/>
      <c r="W876" s="822"/>
      <c r="X876" s="436" t="str">
        <f>IFERROR(VLOOKUP(W876,DATA!$G$4:$H$400,2,FALSE),"")</f>
        <v/>
      </c>
      <c r="Y876" s="328"/>
      <c r="Z876" s="328"/>
      <c r="AA876" s="328"/>
    </row>
    <row r="877" spans="1:27" ht="12.75" customHeight="1">
      <c r="A877" s="425"/>
      <c r="B877" s="368" t="str">
        <f t="shared" si="281"/>
        <v/>
      </c>
      <c r="C877" s="425"/>
      <c r="D877" s="423"/>
      <c r="E877" s="422" t="str">
        <f t="shared" ca="1" si="277"/>
        <v/>
      </c>
      <c r="F877" s="426" t="str">
        <f t="shared" ca="1" si="272"/>
        <v/>
      </c>
      <c r="G877" s="415"/>
      <c r="H877" s="415"/>
      <c r="I877" s="415" t="str">
        <f t="shared" si="270"/>
        <v/>
      </c>
      <c r="J877" s="415" t="str">
        <f t="shared" si="280"/>
        <v/>
      </c>
      <c r="K877" s="415" t="str">
        <f t="shared" si="271"/>
        <v/>
      </c>
      <c r="L877" s="415"/>
      <c r="M877" s="415"/>
      <c r="N877" s="422" t="str">
        <f t="shared" si="279"/>
        <v/>
      </c>
      <c r="O877" s="422" t="str">
        <f t="shared" si="273"/>
        <v/>
      </c>
      <c r="P877" s="422" t="str">
        <f t="shared" si="274"/>
        <v/>
      </c>
      <c r="Q877" s="422" t="str">
        <f t="shared" si="275"/>
        <v/>
      </c>
      <c r="R877" s="422" t="str">
        <f t="shared" si="276"/>
        <v/>
      </c>
      <c r="S877" s="583">
        <f t="shared" si="278"/>
        <v>0</v>
      </c>
      <c r="T877" s="377" t="str">
        <f>+IFERROR(VLOOKUP(S877,STAT1!$C$4:$D$189,2,FALSE),"")</f>
        <v/>
      </c>
      <c r="U877" s="424"/>
      <c r="V877" s="424"/>
      <c r="W877" s="822"/>
      <c r="X877" s="436" t="str">
        <f>IFERROR(VLOOKUP(W877,DATA!$G$4:$H$400,2,FALSE),"")</f>
        <v/>
      </c>
      <c r="Y877" s="328"/>
      <c r="Z877" s="328"/>
      <c r="AA877" s="328"/>
    </row>
    <row r="878" spans="1:27" ht="12.75" customHeight="1">
      <c r="A878" s="425"/>
      <c r="B878" s="368" t="str">
        <f t="shared" si="281"/>
        <v/>
      </c>
      <c r="C878" s="425"/>
      <c r="D878" s="423"/>
      <c r="E878" s="422" t="str">
        <f t="shared" ca="1" si="277"/>
        <v/>
      </c>
      <c r="F878" s="426" t="str">
        <f t="shared" ca="1" si="272"/>
        <v/>
      </c>
      <c r="G878" s="415"/>
      <c r="H878" s="415"/>
      <c r="I878" s="415" t="str">
        <f t="shared" si="270"/>
        <v/>
      </c>
      <c r="J878" s="415" t="str">
        <f t="shared" si="280"/>
        <v/>
      </c>
      <c r="K878" s="415" t="str">
        <f t="shared" si="271"/>
        <v/>
      </c>
      <c r="L878" s="415"/>
      <c r="M878" s="415"/>
      <c r="N878" s="422" t="str">
        <f t="shared" si="279"/>
        <v/>
      </c>
      <c r="O878" s="422" t="str">
        <f t="shared" si="273"/>
        <v/>
      </c>
      <c r="P878" s="422" t="str">
        <f t="shared" si="274"/>
        <v/>
      </c>
      <c r="Q878" s="422" t="str">
        <f t="shared" si="275"/>
        <v/>
      </c>
      <c r="R878" s="422" t="str">
        <f t="shared" si="276"/>
        <v/>
      </c>
      <c r="S878" s="583">
        <f t="shared" si="278"/>
        <v>0</v>
      </c>
      <c r="T878" s="377" t="str">
        <f>+IFERROR(VLOOKUP(S878,STAT1!$C$4:$D$189,2,FALSE),"")</f>
        <v/>
      </c>
      <c r="U878" s="424"/>
      <c r="V878" s="424"/>
      <c r="W878" s="822"/>
      <c r="X878" s="436" t="str">
        <f>IFERROR(VLOOKUP(W878,DATA!$G$4:$H$400,2,FALSE),"")</f>
        <v/>
      </c>
      <c r="Y878" s="328"/>
      <c r="Z878" s="328"/>
      <c r="AA878" s="328"/>
    </row>
    <row r="879" spans="1:27" ht="12.75" customHeight="1">
      <c r="A879" s="425"/>
      <c r="B879" s="368" t="str">
        <f t="shared" si="281"/>
        <v/>
      </c>
      <c r="C879" s="425"/>
      <c r="D879" s="423"/>
      <c r="E879" s="422" t="str">
        <f t="shared" ca="1" si="277"/>
        <v/>
      </c>
      <c r="F879" s="426" t="str">
        <f t="shared" ca="1" si="272"/>
        <v/>
      </c>
      <c r="G879" s="415"/>
      <c r="H879" s="415"/>
      <c r="I879" s="415" t="str">
        <f t="shared" si="270"/>
        <v/>
      </c>
      <c r="J879" s="415" t="str">
        <f t="shared" si="280"/>
        <v/>
      </c>
      <c r="K879" s="415" t="str">
        <f t="shared" si="271"/>
        <v/>
      </c>
      <c r="L879" s="415"/>
      <c r="M879" s="415"/>
      <c r="N879" s="422" t="str">
        <f t="shared" si="279"/>
        <v/>
      </c>
      <c r="O879" s="422" t="str">
        <f t="shared" si="273"/>
        <v/>
      </c>
      <c r="P879" s="422" t="str">
        <f t="shared" si="274"/>
        <v/>
      </c>
      <c r="Q879" s="422" t="str">
        <f t="shared" si="275"/>
        <v/>
      </c>
      <c r="R879" s="422" t="str">
        <f t="shared" si="276"/>
        <v/>
      </c>
      <c r="S879" s="583">
        <f t="shared" si="278"/>
        <v>0</v>
      </c>
      <c r="T879" s="377" t="str">
        <f>+IFERROR(VLOOKUP(S879,STAT1!$C$4:$D$189,2,FALSE),"")</f>
        <v/>
      </c>
      <c r="U879" s="424"/>
      <c r="V879" s="424"/>
      <c r="W879" s="822"/>
      <c r="X879" s="436" t="str">
        <f>IFERROR(VLOOKUP(W879,DATA!$G$4:$H$400,2,FALSE),"")</f>
        <v/>
      </c>
      <c r="Y879" s="328"/>
      <c r="Z879" s="328"/>
      <c r="AA879" s="328"/>
    </row>
    <row r="880" spans="1:27" ht="12.75" customHeight="1">
      <c r="A880" s="425"/>
      <c r="B880" s="368" t="str">
        <f t="shared" si="281"/>
        <v/>
      </c>
      <c r="C880" s="425"/>
      <c r="D880" s="423"/>
      <c r="E880" s="422" t="str">
        <f t="shared" ca="1" si="277"/>
        <v/>
      </c>
      <c r="F880" s="426" t="str">
        <f t="shared" ca="1" si="272"/>
        <v/>
      </c>
      <c r="G880" s="415"/>
      <c r="H880" s="415"/>
      <c r="I880" s="415" t="str">
        <f t="shared" si="270"/>
        <v/>
      </c>
      <c r="J880" s="415" t="str">
        <f t="shared" si="280"/>
        <v/>
      </c>
      <c r="K880" s="415" t="str">
        <f t="shared" si="271"/>
        <v/>
      </c>
      <c r="L880" s="415"/>
      <c r="M880" s="415"/>
      <c r="N880" s="422" t="str">
        <f t="shared" si="279"/>
        <v/>
      </c>
      <c r="O880" s="422" t="str">
        <f t="shared" si="273"/>
        <v/>
      </c>
      <c r="P880" s="422" t="str">
        <f t="shared" si="274"/>
        <v/>
      </c>
      <c r="Q880" s="422" t="str">
        <f t="shared" si="275"/>
        <v/>
      </c>
      <c r="R880" s="422" t="str">
        <f t="shared" si="276"/>
        <v/>
      </c>
      <c r="S880" s="583">
        <f t="shared" si="278"/>
        <v>0</v>
      </c>
      <c r="T880" s="377" t="str">
        <f>+IFERROR(VLOOKUP(S880,STAT1!$C$4:$D$189,2,FALSE),"")</f>
        <v/>
      </c>
      <c r="U880" s="424"/>
      <c r="V880" s="424"/>
      <c r="W880" s="822"/>
      <c r="X880" s="436" t="str">
        <f>IFERROR(VLOOKUP(W880,DATA!$G$4:$H$400,2,FALSE),"")</f>
        <v/>
      </c>
      <c r="Y880" s="328"/>
      <c r="Z880" s="328"/>
      <c r="AA880" s="328"/>
    </row>
    <row r="881" spans="1:27" ht="12.75" customHeight="1">
      <c r="A881" s="425"/>
      <c r="B881" s="368" t="str">
        <f t="shared" si="281"/>
        <v/>
      </c>
      <c r="C881" s="425"/>
      <c r="D881" s="423"/>
      <c r="E881" s="422" t="str">
        <f t="shared" ca="1" si="277"/>
        <v/>
      </c>
      <c r="F881" s="426" t="str">
        <f t="shared" ca="1" si="272"/>
        <v/>
      </c>
      <c r="G881" s="415"/>
      <c r="H881" s="415"/>
      <c r="I881" s="415" t="str">
        <f t="shared" si="270"/>
        <v/>
      </c>
      <c r="J881" s="415" t="str">
        <f t="shared" si="280"/>
        <v/>
      </c>
      <c r="K881" s="415" t="str">
        <f t="shared" si="271"/>
        <v/>
      </c>
      <c r="L881" s="415"/>
      <c r="M881" s="415"/>
      <c r="N881" s="422" t="str">
        <f t="shared" si="279"/>
        <v/>
      </c>
      <c r="O881" s="422" t="str">
        <f t="shared" si="273"/>
        <v/>
      </c>
      <c r="P881" s="422" t="str">
        <f t="shared" si="274"/>
        <v/>
      </c>
      <c r="Q881" s="422" t="str">
        <f t="shared" si="275"/>
        <v/>
      </c>
      <c r="R881" s="422" t="str">
        <f t="shared" si="276"/>
        <v/>
      </c>
      <c r="S881" s="583">
        <f t="shared" si="278"/>
        <v>0</v>
      </c>
      <c r="T881" s="377" t="str">
        <f>+IFERROR(VLOOKUP(S881,STAT1!$C$4:$D$189,2,FALSE),"")</f>
        <v/>
      </c>
      <c r="U881" s="424"/>
      <c r="V881" s="424"/>
      <c r="W881" s="822"/>
      <c r="X881" s="436" t="str">
        <f>IFERROR(VLOOKUP(W881,DATA!$G$4:$H$400,2,FALSE),"")</f>
        <v/>
      </c>
      <c r="Y881" s="328"/>
      <c r="Z881" s="328"/>
      <c r="AA881" s="328"/>
    </row>
    <row r="882" spans="1:27" ht="12.75" customHeight="1">
      <c r="A882" s="425"/>
      <c r="B882" s="368" t="str">
        <f t="shared" si="281"/>
        <v/>
      </c>
      <c r="C882" s="425"/>
      <c r="D882" s="423"/>
      <c r="E882" s="422" t="str">
        <f t="shared" ca="1" si="277"/>
        <v/>
      </c>
      <c r="F882" s="426" t="str">
        <f t="shared" ca="1" si="272"/>
        <v/>
      </c>
      <c r="G882" s="415"/>
      <c r="H882" s="415"/>
      <c r="I882" s="415" t="str">
        <f t="shared" si="270"/>
        <v/>
      </c>
      <c r="J882" s="415" t="str">
        <f t="shared" si="280"/>
        <v/>
      </c>
      <c r="K882" s="415" t="str">
        <f t="shared" si="271"/>
        <v/>
      </c>
      <c r="L882" s="415"/>
      <c r="M882" s="415"/>
      <c r="N882" s="422" t="str">
        <f t="shared" si="279"/>
        <v/>
      </c>
      <c r="O882" s="422" t="str">
        <f t="shared" si="273"/>
        <v/>
      </c>
      <c r="P882" s="422" t="str">
        <f t="shared" si="274"/>
        <v/>
      </c>
      <c r="Q882" s="422" t="str">
        <f t="shared" si="275"/>
        <v/>
      </c>
      <c r="R882" s="422" t="str">
        <f t="shared" si="276"/>
        <v/>
      </c>
      <c r="S882" s="583">
        <f t="shared" si="278"/>
        <v>0</v>
      </c>
      <c r="T882" s="377" t="str">
        <f>+IFERROR(VLOOKUP(S882,STAT1!$C$4:$D$189,2,FALSE),"")</f>
        <v/>
      </c>
      <c r="U882" s="424"/>
      <c r="V882" s="424"/>
      <c r="W882" s="822"/>
      <c r="X882" s="436" t="str">
        <f>IFERROR(VLOOKUP(W882,DATA!$G$4:$H$400,2,FALSE),"")</f>
        <v/>
      </c>
      <c r="Y882" s="328"/>
      <c r="Z882" s="328"/>
      <c r="AA882" s="328"/>
    </row>
    <row r="883" spans="1:27" ht="12.75" customHeight="1">
      <c r="A883" s="425"/>
      <c r="B883" s="368" t="str">
        <f t="shared" si="281"/>
        <v/>
      </c>
      <c r="C883" s="425"/>
      <c r="D883" s="423"/>
      <c r="E883" s="422" t="str">
        <f t="shared" ca="1" si="277"/>
        <v/>
      </c>
      <c r="F883" s="426" t="str">
        <f t="shared" ca="1" si="272"/>
        <v/>
      </c>
      <c r="G883" s="415"/>
      <c r="H883" s="415"/>
      <c r="I883" s="415" t="str">
        <f t="shared" si="270"/>
        <v/>
      </c>
      <c r="J883" s="415" t="str">
        <f t="shared" si="280"/>
        <v/>
      </c>
      <c r="K883" s="415" t="str">
        <f t="shared" si="271"/>
        <v/>
      </c>
      <c r="L883" s="415"/>
      <c r="M883" s="415"/>
      <c r="N883" s="422" t="str">
        <f t="shared" si="279"/>
        <v/>
      </c>
      <c r="O883" s="422" t="str">
        <f t="shared" si="273"/>
        <v/>
      </c>
      <c r="P883" s="422" t="str">
        <f t="shared" si="274"/>
        <v/>
      </c>
      <c r="Q883" s="422" t="str">
        <f t="shared" si="275"/>
        <v/>
      </c>
      <c r="R883" s="422" t="str">
        <f t="shared" si="276"/>
        <v/>
      </c>
      <c r="S883" s="583">
        <f t="shared" si="278"/>
        <v>0</v>
      </c>
      <c r="T883" s="377" t="str">
        <f>+IFERROR(VLOOKUP(S883,STAT1!$C$4:$D$189,2,FALSE),"")</f>
        <v/>
      </c>
      <c r="U883" s="424"/>
      <c r="V883" s="424"/>
      <c r="W883" s="822"/>
      <c r="X883" s="436" t="str">
        <f>IFERROR(VLOOKUP(W883,DATA!$G$4:$H$400,2,FALSE),"")</f>
        <v/>
      </c>
      <c r="Y883" s="328"/>
      <c r="Z883" s="328"/>
      <c r="AA883" s="328"/>
    </row>
    <row r="884" spans="1:27" ht="12.75" customHeight="1">
      <c r="A884" s="425"/>
      <c r="B884" s="368" t="str">
        <f t="shared" si="281"/>
        <v/>
      </c>
      <c r="C884" s="425"/>
      <c r="D884" s="423"/>
      <c r="E884" s="422" t="str">
        <f t="shared" ca="1" si="277"/>
        <v/>
      </c>
      <c r="F884" s="426" t="str">
        <f t="shared" ca="1" si="272"/>
        <v/>
      </c>
      <c r="G884" s="415"/>
      <c r="H884" s="415"/>
      <c r="I884" s="415" t="str">
        <f t="shared" si="270"/>
        <v/>
      </c>
      <c r="J884" s="415" t="str">
        <f t="shared" si="280"/>
        <v/>
      </c>
      <c r="K884" s="415" t="str">
        <f t="shared" si="271"/>
        <v/>
      </c>
      <c r="L884" s="415"/>
      <c r="M884" s="415"/>
      <c r="N884" s="422" t="str">
        <f t="shared" si="279"/>
        <v/>
      </c>
      <c r="O884" s="422" t="str">
        <f t="shared" si="273"/>
        <v/>
      </c>
      <c r="P884" s="422" t="str">
        <f t="shared" si="274"/>
        <v/>
      </c>
      <c r="Q884" s="422" t="str">
        <f t="shared" si="275"/>
        <v/>
      </c>
      <c r="R884" s="422" t="str">
        <f t="shared" si="276"/>
        <v/>
      </c>
      <c r="S884" s="583">
        <f t="shared" si="278"/>
        <v>0</v>
      </c>
      <c r="T884" s="377" t="str">
        <f>+IFERROR(VLOOKUP(S884,STAT1!$C$4:$D$189,2,FALSE),"")</f>
        <v/>
      </c>
      <c r="U884" s="424"/>
      <c r="V884" s="424"/>
      <c r="W884" s="822"/>
      <c r="X884" s="436" t="str">
        <f>IFERROR(VLOOKUP(W884,DATA!$G$4:$H$400,2,FALSE),"")</f>
        <v/>
      </c>
      <c r="Y884" s="328"/>
      <c r="Z884" s="328"/>
      <c r="AA884" s="328"/>
    </row>
    <row r="885" spans="1:27" ht="12.75" customHeight="1">
      <c r="A885" s="425"/>
      <c r="B885" s="368" t="str">
        <f t="shared" si="281"/>
        <v/>
      </c>
      <c r="C885" s="425"/>
      <c r="D885" s="423"/>
      <c r="E885" s="422" t="str">
        <f t="shared" ca="1" si="277"/>
        <v/>
      </c>
      <c r="F885" s="426" t="str">
        <f t="shared" ca="1" si="272"/>
        <v/>
      </c>
      <c r="G885" s="415"/>
      <c r="H885" s="415"/>
      <c r="I885" s="415" t="str">
        <f t="shared" si="270"/>
        <v/>
      </c>
      <c r="J885" s="415" t="str">
        <f t="shared" si="280"/>
        <v/>
      </c>
      <c r="K885" s="415" t="str">
        <f t="shared" si="271"/>
        <v/>
      </c>
      <c r="L885" s="415"/>
      <c r="M885" s="415"/>
      <c r="N885" s="422" t="str">
        <f t="shared" si="279"/>
        <v/>
      </c>
      <c r="O885" s="422" t="str">
        <f t="shared" si="273"/>
        <v/>
      </c>
      <c r="P885" s="422" t="str">
        <f t="shared" si="274"/>
        <v/>
      </c>
      <c r="Q885" s="422" t="str">
        <f t="shared" si="275"/>
        <v/>
      </c>
      <c r="R885" s="422" t="str">
        <f t="shared" si="276"/>
        <v/>
      </c>
      <c r="S885" s="583">
        <f t="shared" si="278"/>
        <v>0</v>
      </c>
      <c r="T885" s="377" t="str">
        <f>+IFERROR(VLOOKUP(S885,STAT1!$C$4:$D$189,2,FALSE),"")</f>
        <v/>
      </c>
      <c r="U885" s="424"/>
      <c r="V885" s="424"/>
      <c r="W885" s="822"/>
      <c r="X885" s="436" t="str">
        <f>IFERROR(VLOOKUP(W885,DATA!$G$4:$H$400,2,FALSE),"")</f>
        <v/>
      </c>
      <c r="Y885" s="328"/>
      <c r="Z885" s="328"/>
      <c r="AA885" s="328"/>
    </row>
    <row r="886" spans="1:27" ht="12.75" customHeight="1">
      <c r="A886" s="89"/>
      <c r="B886" s="92" t="str">
        <f t="shared" ref="B886:B941" si="282">IF(C886="","",ROW()-5)</f>
        <v/>
      </c>
      <c r="I886" s="329" t="str">
        <f t="shared" ref="I886:I893" si="283">+IF(G886="","",G886*H886)</f>
        <v/>
      </c>
      <c r="J886" s="329" t="str">
        <f t="shared" ref="J886:J893" si="284">+IF(G886="","",I886*0.1)</f>
        <v/>
      </c>
      <c r="K886" s="329" t="str">
        <f t="shared" ref="K886:K893" si="285">+IF(G886="","",I886+J886)</f>
        <v/>
      </c>
      <c r="V886" s="336"/>
      <c r="W886" s="821"/>
    </row>
    <row r="887" spans="1:27" ht="12.75" customHeight="1">
      <c r="A887" s="89"/>
      <c r="B887" s="92" t="str">
        <f t="shared" si="282"/>
        <v/>
      </c>
      <c r="I887" s="329" t="str">
        <f t="shared" si="283"/>
        <v/>
      </c>
      <c r="J887" s="329" t="str">
        <f t="shared" si="284"/>
        <v/>
      </c>
      <c r="K887" s="329" t="str">
        <f t="shared" si="285"/>
        <v/>
      </c>
      <c r="V887" s="336"/>
      <c r="W887" s="821"/>
    </row>
    <row r="888" spans="1:27" ht="12.75" customHeight="1">
      <c r="A888" s="89"/>
      <c r="B888" s="92" t="str">
        <f t="shared" si="282"/>
        <v/>
      </c>
      <c r="I888" s="329" t="str">
        <f t="shared" si="283"/>
        <v/>
      </c>
      <c r="J888" s="329" t="str">
        <f t="shared" si="284"/>
        <v/>
      </c>
      <c r="K888" s="329" t="str">
        <f t="shared" si="285"/>
        <v/>
      </c>
      <c r="V888" s="336"/>
      <c r="W888" s="821"/>
    </row>
    <row r="889" spans="1:27" ht="12.75" customHeight="1">
      <c r="A889" s="89"/>
      <c r="B889" s="92" t="str">
        <f t="shared" si="282"/>
        <v/>
      </c>
      <c r="I889" s="329" t="str">
        <f t="shared" si="283"/>
        <v/>
      </c>
      <c r="J889" s="329" t="str">
        <f t="shared" si="284"/>
        <v/>
      </c>
      <c r="K889" s="329" t="str">
        <f t="shared" si="285"/>
        <v/>
      </c>
      <c r="V889" s="336"/>
      <c r="W889" s="821"/>
    </row>
    <row r="890" spans="1:27" ht="12.75" customHeight="1">
      <c r="A890" s="89"/>
      <c r="B890" s="92" t="str">
        <f t="shared" si="282"/>
        <v/>
      </c>
      <c r="I890" s="329" t="str">
        <f t="shared" si="283"/>
        <v/>
      </c>
      <c r="J890" s="329" t="str">
        <f t="shared" si="284"/>
        <v/>
      </c>
      <c r="K890" s="329" t="str">
        <f t="shared" si="285"/>
        <v/>
      </c>
      <c r="V890" s="336"/>
      <c r="W890" s="821"/>
    </row>
    <row r="891" spans="1:27" ht="12.75" customHeight="1">
      <c r="A891" s="89"/>
      <c r="B891" s="92" t="str">
        <f t="shared" si="282"/>
        <v/>
      </c>
      <c r="I891" s="329" t="str">
        <f t="shared" si="283"/>
        <v/>
      </c>
      <c r="J891" s="329" t="str">
        <f t="shared" si="284"/>
        <v/>
      </c>
      <c r="K891" s="329" t="str">
        <f t="shared" si="285"/>
        <v/>
      </c>
      <c r="V891" s="336"/>
      <c r="W891" s="821"/>
    </row>
    <row r="892" spans="1:27" ht="12.75" customHeight="1">
      <c r="A892" s="89"/>
      <c r="B892" s="92" t="str">
        <f t="shared" si="282"/>
        <v/>
      </c>
      <c r="I892" s="329" t="str">
        <f t="shared" si="283"/>
        <v/>
      </c>
      <c r="J892" s="329" t="str">
        <f t="shared" si="284"/>
        <v/>
      </c>
      <c r="K892" s="329" t="str">
        <f t="shared" si="285"/>
        <v/>
      </c>
      <c r="V892" s="336"/>
      <c r="W892" s="821"/>
    </row>
    <row r="893" spans="1:27" ht="12.75" customHeight="1">
      <c r="A893" s="89"/>
      <c r="B893" s="92" t="str">
        <f t="shared" si="282"/>
        <v/>
      </c>
      <c r="I893" s="329" t="str">
        <f t="shared" si="283"/>
        <v/>
      </c>
      <c r="J893" s="329" t="str">
        <f t="shared" si="284"/>
        <v/>
      </c>
      <c r="K893" s="329" t="str">
        <f t="shared" si="285"/>
        <v/>
      </c>
      <c r="V893" s="336"/>
      <c r="W893" s="821"/>
    </row>
    <row r="894" spans="1:27" ht="12.75" customHeight="1">
      <c r="A894" s="89"/>
      <c r="B894" s="92" t="str">
        <f t="shared" si="282"/>
        <v/>
      </c>
      <c r="I894" s="329" t="str">
        <f t="shared" ref="I894:I957" si="286">+IF(G894="","",G894*H894)</f>
        <v/>
      </c>
      <c r="J894" s="329" t="str">
        <f t="shared" ref="J894:J957" si="287">+IF(G894="","",I894*0.1)</f>
        <v/>
      </c>
      <c r="K894" s="329" t="str">
        <f t="shared" ref="K894:K957" si="288">+IF(G894="","",I894+J894)</f>
        <v/>
      </c>
      <c r="V894" s="336"/>
      <c r="W894" s="821"/>
    </row>
    <row r="895" spans="1:27" ht="12.75" customHeight="1">
      <c r="A895" s="89"/>
      <c r="B895" s="92" t="str">
        <f t="shared" si="282"/>
        <v/>
      </c>
      <c r="I895" s="329" t="str">
        <f t="shared" si="286"/>
        <v/>
      </c>
      <c r="J895" s="329" t="str">
        <f t="shared" si="287"/>
        <v/>
      </c>
      <c r="K895" s="329" t="str">
        <f t="shared" si="288"/>
        <v/>
      </c>
      <c r="V895" s="336"/>
      <c r="W895" s="821"/>
    </row>
    <row r="896" spans="1:27" ht="12.75" customHeight="1">
      <c r="A896" s="89"/>
      <c r="B896" s="92" t="str">
        <f t="shared" si="282"/>
        <v/>
      </c>
      <c r="I896" s="329" t="str">
        <f t="shared" si="286"/>
        <v/>
      </c>
      <c r="J896" s="329" t="str">
        <f t="shared" si="287"/>
        <v/>
      </c>
      <c r="K896" s="329" t="str">
        <f t="shared" si="288"/>
        <v/>
      </c>
      <c r="V896" s="336"/>
      <c r="W896" s="821"/>
    </row>
    <row r="897" spans="1:23" ht="12.75" customHeight="1">
      <c r="A897" s="89"/>
      <c r="B897" s="92" t="str">
        <f t="shared" si="282"/>
        <v/>
      </c>
      <c r="I897" s="329" t="str">
        <f t="shared" si="286"/>
        <v/>
      </c>
      <c r="J897" s="329" t="str">
        <f t="shared" si="287"/>
        <v/>
      </c>
      <c r="K897" s="329" t="str">
        <f t="shared" si="288"/>
        <v/>
      </c>
      <c r="V897" s="336"/>
      <c r="W897" s="821"/>
    </row>
    <row r="898" spans="1:23" ht="12.75" customHeight="1">
      <c r="A898" s="89"/>
      <c r="B898" s="92" t="str">
        <f t="shared" si="282"/>
        <v/>
      </c>
      <c r="I898" s="329" t="str">
        <f t="shared" si="286"/>
        <v/>
      </c>
      <c r="J898" s="329" t="str">
        <f t="shared" si="287"/>
        <v/>
      </c>
      <c r="K898" s="329" t="str">
        <f t="shared" si="288"/>
        <v/>
      </c>
      <c r="V898" s="336"/>
      <c r="W898" s="821"/>
    </row>
    <row r="899" spans="1:23" ht="12.75" customHeight="1">
      <c r="A899" s="89"/>
      <c r="B899" s="92" t="str">
        <f t="shared" si="282"/>
        <v/>
      </c>
      <c r="I899" s="329" t="str">
        <f t="shared" si="286"/>
        <v/>
      </c>
      <c r="J899" s="329" t="str">
        <f t="shared" si="287"/>
        <v/>
      </c>
      <c r="K899" s="329" t="str">
        <f t="shared" si="288"/>
        <v/>
      </c>
      <c r="V899" s="336"/>
      <c r="W899" s="821"/>
    </row>
    <row r="900" spans="1:23" ht="12.75" customHeight="1">
      <c r="A900" s="89"/>
      <c r="B900" s="92" t="str">
        <f t="shared" si="282"/>
        <v/>
      </c>
      <c r="I900" s="329" t="str">
        <f t="shared" si="286"/>
        <v/>
      </c>
      <c r="J900" s="329" t="str">
        <f t="shared" si="287"/>
        <v/>
      </c>
      <c r="K900" s="329" t="str">
        <f t="shared" si="288"/>
        <v/>
      </c>
      <c r="V900" s="336"/>
      <c r="W900" s="821"/>
    </row>
    <row r="901" spans="1:23" ht="12.75" customHeight="1">
      <c r="A901" s="89"/>
      <c r="B901" s="92" t="str">
        <f t="shared" si="282"/>
        <v/>
      </c>
      <c r="I901" s="329" t="str">
        <f t="shared" si="286"/>
        <v/>
      </c>
      <c r="J901" s="329" t="str">
        <f t="shared" si="287"/>
        <v/>
      </c>
      <c r="K901" s="329" t="str">
        <f t="shared" si="288"/>
        <v/>
      </c>
      <c r="V901" s="336"/>
      <c r="W901" s="821"/>
    </row>
    <row r="902" spans="1:23" ht="12.75" customHeight="1">
      <c r="A902" s="89"/>
      <c r="B902" s="92" t="str">
        <f t="shared" si="282"/>
        <v/>
      </c>
      <c r="I902" s="329" t="str">
        <f t="shared" si="286"/>
        <v/>
      </c>
      <c r="J902" s="329" t="str">
        <f t="shared" si="287"/>
        <v/>
      </c>
      <c r="K902" s="329" t="str">
        <f t="shared" si="288"/>
        <v/>
      </c>
      <c r="V902" s="336"/>
      <c r="W902" s="821"/>
    </row>
    <row r="903" spans="1:23" ht="12.75" customHeight="1">
      <c r="A903" s="89"/>
      <c r="B903" s="92" t="str">
        <f t="shared" si="282"/>
        <v/>
      </c>
      <c r="I903" s="329" t="str">
        <f t="shared" si="286"/>
        <v/>
      </c>
      <c r="J903" s="329" t="str">
        <f t="shared" si="287"/>
        <v/>
      </c>
      <c r="K903" s="329" t="str">
        <f t="shared" si="288"/>
        <v/>
      </c>
      <c r="V903" s="336"/>
      <c r="W903" s="821"/>
    </row>
    <row r="904" spans="1:23" ht="12.75" customHeight="1">
      <c r="A904" s="89"/>
      <c r="B904" s="92" t="str">
        <f t="shared" si="282"/>
        <v/>
      </c>
      <c r="I904" s="329" t="str">
        <f t="shared" si="286"/>
        <v/>
      </c>
      <c r="J904" s="329" t="str">
        <f t="shared" si="287"/>
        <v/>
      </c>
      <c r="K904" s="329" t="str">
        <f t="shared" si="288"/>
        <v/>
      </c>
      <c r="V904" s="336"/>
      <c r="W904" s="821"/>
    </row>
    <row r="905" spans="1:23" ht="12.75" customHeight="1">
      <c r="A905" s="89"/>
      <c r="B905" s="92" t="str">
        <f t="shared" si="282"/>
        <v/>
      </c>
      <c r="I905" s="329" t="str">
        <f t="shared" si="286"/>
        <v/>
      </c>
      <c r="J905" s="329" t="str">
        <f t="shared" si="287"/>
        <v/>
      </c>
      <c r="K905" s="329" t="str">
        <f t="shared" si="288"/>
        <v/>
      </c>
      <c r="V905" s="336"/>
      <c r="W905" s="821"/>
    </row>
    <row r="906" spans="1:23" ht="12.75" customHeight="1">
      <c r="A906" s="89"/>
      <c r="B906" s="92" t="str">
        <f t="shared" si="282"/>
        <v/>
      </c>
      <c r="I906" s="329" t="str">
        <f t="shared" si="286"/>
        <v/>
      </c>
      <c r="J906" s="329" t="str">
        <f t="shared" si="287"/>
        <v/>
      </c>
      <c r="K906" s="329" t="str">
        <f t="shared" si="288"/>
        <v/>
      </c>
      <c r="V906" s="336"/>
      <c r="W906" s="821"/>
    </row>
    <row r="907" spans="1:23" ht="12.75" customHeight="1">
      <c r="A907" s="89"/>
      <c r="B907" s="92" t="str">
        <f t="shared" si="282"/>
        <v/>
      </c>
      <c r="I907" s="329" t="str">
        <f t="shared" si="286"/>
        <v/>
      </c>
      <c r="J907" s="329" t="str">
        <f t="shared" si="287"/>
        <v/>
      </c>
      <c r="K907" s="329" t="str">
        <f t="shared" si="288"/>
        <v/>
      </c>
      <c r="V907" s="336"/>
      <c r="W907" s="821"/>
    </row>
    <row r="908" spans="1:23" ht="12.75" customHeight="1">
      <c r="A908" s="89"/>
      <c r="B908" s="92" t="str">
        <f t="shared" si="282"/>
        <v/>
      </c>
      <c r="I908" s="329" t="str">
        <f t="shared" si="286"/>
        <v/>
      </c>
      <c r="J908" s="329" t="str">
        <f t="shared" si="287"/>
        <v/>
      </c>
      <c r="K908" s="329" t="str">
        <f t="shared" si="288"/>
        <v/>
      </c>
      <c r="V908" s="336"/>
      <c r="W908" s="821"/>
    </row>
    <row r="909" spans="1:23" ht="12.75" customHeight="1">
      <c r="A909" s="89"/>
      <c r="B909" s="92" t="str">
        <f t="shared" si="282"/>
        <v/>
      </c>
      <c r="I909" s="329" t="str">
        <f t="shared" si="286"/>
        <v/>
      </c>
      <c r="J909" s="329" t="str">
        <f t="shared" si="287"/>
        <v/>
      </c>
      <c r="K909" s="329" t="str">
        <f t="shared" si="288"/>
        <v/>
      </c>
      <c r="V909" s="336"/>
      <c r="W909" s="821"/>
    </row>
    <row r="910" spans="1:23" ht="12.75" customHeight="1">
      <c r="A910" s="89"/>
      <c r="B910" s="92" t="str">
        <f t="shared" si="282"/>
        <v/>
      </c>
      <c r="I910" s="329" t="str">
        <f t="shared" si="286"/>
        <v/>
      </c>
      <c r="J910" s="329" t="str">
        <f t="shared" si="287"/>
        <v/>
      </c>
      <c r="K910" s="329" t="str">
        <f t="shared" si="288"/>
        <v/>
      </c>
      <c r="V910" s="336"/>
      <c r="W910" s="821"/>
    </row>
    <row r="911" spans="1:23" ht="12.75" customHeight="1">
      <c r="A911" s="89"/>
      <c r="B911" s="92" t="str">
        <f t="shared" si="282"/>
        <v/>
      </c>
      <c r="I911" s="329" t="str">
        <f t="shared" si="286"/>
        <v/>
      </c>
      <c r="J911" s="329" t="str">
        <f t="shared" si="287"/>
        <v/>
      </c>
      <c r="K911" s="329" t="str">
        <f t="shared" si="288"/>
        <v/>
      </c>
      <c r="V911" s="336"/>
      <c r="W911" s="821"/>
    </row>
    <row r="912" spans="1:23" ht="12.75" customHeight="1">
      <c r="A912" s="89"/>
      <c r="B912" s="92" t="str">
        <f t="shared" si="282"/>
        <v/>
      </c>
      <c r="I912" s="329" t="str">
        <f t="shared" si="286"/>
        <v/>
      </c>
      <c r="J912" s="329" t="str">
        <f t="shared" si="287"/>
        <v/>
      </c>
      <c r="K912" s="329" t="str">
        <f t="shared" si="288"/>
        <v/>
      </c>
      <c r="V912" s="336"/>
      <c r="W912" s="821"/>
    </row>
    <row r="913" spans="1:23" ht="12.75" customHeight="1">
      <c r="A913" s="89"/>
      <c r="B913" s="92" t="str">
        <f t="shared" si="282"/>
        <v/>
      </c>
      <c r="I913" s="329" t="str">
        <f t="shared" si="286"/>
        <v/>
      </c>
      <c r="J913" s="329" t="str">
        <f t="shared" si="287"/>
        <v/>
      </c>
      <c r="K913" s="329" t="str">
        <f t="shared" si="288"/>
        <v/>
      </c>
      <c r="V913" s="336"/>
      <c r="W913" s="821"/>
    </row>
    <row r="914" spans="1:23" ht="12.75" customHeight="1">
      <c r="A914" s="89"/>
      <c r="B914" s="92" t="str">
        <f t="shared" si="282"/>
        <v/>
      </c>
      <c r="I914" s="329" t="str">
        <f t="shared" si="286"/>
        <v/>
      </c>
      <c r="J914" s="329" t="str">
        <f t="shared" si="287"/>
        <v/>
      </c>
      <c r="K914" s="329" t="str">
        <f t="shared" si="288"/>
        <v/>
      </c>
    </row>
    <row r="915" spans="1:23" ht="12.75" customHeight="1">
      <c r="A915" s="89"/>
      <c r="B915" s="92" t="str">
        <f t="shared" si="282"/>
        <v/>
      </c>
      <c r="I915" s="329" t="str">
        <f t="shared" si="286"/>
        <v/>
      </c>
      <c r="J915" s="329" t="str">
        <f t="shared" si="287"/>
        <v/>
      </c>
      <c r="K915" s="329" t="str">
        <f t="shared" si="288"/>
        <v/>
      </c>
    </row>
    <row r="916" spans="1:23" ht="12.75" customHeight="1">
      <c r="A916" s="89"/>
      <c r="B916" s="92" t="str">
        <f t="shared" si="282"/>
        <v/>
      </c>
      <c r="I916" s="329" t="str">
        <f t="shared" si="286"/>
        <v/>
      </c>
      <c r="J916" s="329" t="str">
        <f t="shared" si="287"/>
        <v/>
      </c>
      <c r="K916" s="329" t="str">
        <f t="shared" si="288"/>
        <v/>
      </c>
    </row>
    <row r="917" spans="1:23" ht="12.75" customHeight="1">
      <c r="A917" s="89"/>
      <c r="B917" s="92" t="str">
        <f t="shared" si="282"/>
        <v/>
      </c>
      <c r="I917" s="329" t="str">
        <f t="shared" si="286"/>
        <v/>
      </c>
      <c r="J917" s="329" t="str">
        <f t="shared" si="287"/>
        <v/>
      </c>
      <c r="K917" s="329" t="str">
        <f t="shared" si="288"/>
        <v/>
      </c>
    </row>
    <row r="918" spans="1:23" ht="12.75" customHeight="1">
      <c r="A918" s="89"/>
      <c r="B918" s="92" t="str">
        <f t="shared" si="282"/>
        <v/>
      </c>
      <c r="I918" s="329" t="str">
        <f t="shared" si="286"/>
        <v/>
      </c>
      <c r="J918" s="329" t="str">
        <f t="shared" si="287"/>
        <v/>
      </c>
      <c r="K918" s="329" t="str">
        <f t="shared" si="288"/>
        <v/>
      </c>
    </row>
    <row r="919" spans="1:23" ht="12.75" customHeight="1">
      <c r="A919" s="89"/>
      <c r="B919" s="92" t="str">
        <f t="shared" si="282"/>
        <v/>
      </c>
      <c r="I919" s="329" t="str">
        <f t="shared" si="286"/>
        <v/>
      </c>
      <c r="J919" s="329" t="str">
        <f t="shared" si="287"/>
        <v/>
      </c>
      <c r="K919" s="329" t="str">
        <f t="shared" si="288"/>
        <v/>
      </c>
    </row>
    <row r="920" spans="1:23" ht="12.75" customHeight="1">
      <c r="A920" s="89"/>
      <c r="B920" s="92" t="str">
        <f t="shared" si="282"/>
        <v/>
      </c>
      <c r="I920" s="329" t="str">
        <f t="shared" si="286"/>
        <v/>
      </c>
      <c r="J920" s="329" t="str">
        <f t="shared" si="287"/>
        <v/>
      </c>
      <c r="K920" s="329" t="str">
        <f t="shared" si="288"/>
        <v/>
      </c>
    </row>
    <row r="921" spans="1:23" ht="12.75" customHeight="1">
      <c r="A921" s="89"/>
      <c r="B921" s="92" t="str">
        <f t="shared" si="282"/>
        <v/>
      </c>
      <c r="I921" s="329" t="str">
        <f t="shared" si="286"/>
        <v/>
      </c>
      <c r="J921" s="329" t="str">
        <f t="shared" si="287"/>
        <v/>
      </c>
      <c r="K921" s="329" t="str">
        <f t="shared" si="288"/>
        <v/>
      </c>
    </row>
    <row r="922" spans="1:23" ht="12.75" customHeight="1">
      <c r="A922" s="89"/>
      <c r="B922" s="92" t="str">
        <f t="shared" si="282"/>
        <v/>
      </c>
      <c r="I922" s="329" t="str">
        <f t="shared" si="286"/>
        <v/>
      </c>
      <c r="J922" s="329" t="str">
        <f t="shared" si="287"/>
        <v/>
      </c>
      <c r="K922" s="329" t="str">
        <f t="shared" si="288"/>
        <v/>
      </c>
    </row>
    <row r="923" spans="1:23" ht="12.75" customHeight="1">
      <c r="A923" s="89"/>
      <c r="B923" s="92" t="str">
        <f t="shared" si="282"/>
        <v/>
      </c>
      <c r="I923" s="329" t="str">
        <f t="shared" si="286"/>
        <v/>
      </c>
      <c r="J923" s="329" t="str">
        <f t="shared" si="287"/>
        <v/>
      </c>
      <c r="K923" s="329" t="str">
        <f t="shared" si="288"/>
        <v/>
      </c>
    </row>
    <row r="924" spans="1:23" ht="12.75" customHeight="1">
      <c r="A924" s="89"/>
      <c r="B924" s="92" t="str">
        <f t="shared" si="282"/>
        <v/>
      </c>
      <c r="I924" s="329" t="str">
        <f t="shared" si="286"/>
        <v/>
      </c>
      <c r="J924" s="329" t="str">
        <f t="shared" si="287"/>
        <v/>
      </c>
      <c r="K924" s="329" t="str">
        <f t="shared" si="288"/>
        <v/>
      </c>
    </row>
    <row r="925" spans="1:23" ht="12.75" customHeight="1">
      <c r="A925" s="89"/>
      <c r="B925" s="92" t="str">
        <f t="shared" si="282"/>
        <v/>
      </c>
      <c r="I925" s="329" t="str">
        <f t="shared" si="286"/>
        <v/>
      </c>
      <c r="J925" s="329" t="str">
        <f t="shared" si="287"/>
        <v/>
      </c>
      <c r="K925" s="329" t="str">
        <f t="shared" si="288"/>
        <v/>
      </c>
    </row>
    <row r="926" spans="1:23" ht="12.75" customHeight="1">
      <c r="A926" s="89"/>
      <c r="B926" s="92" t="str">
        <f t="shared" si="282"/>
        <v/>
      </c>
      <c r="I926" s="329" t="str">
        <f t="shared" si="286"/>
        <v/>
      </c>
      <c r="J926" s="329" t="str">
        <f t="shared" si="287"/>
        <v/>
      </c>
      <c r="K926" s="329" t="str">
        <f t="shared" si="288"/>
        <v/>
      </c>
    </row>
    <row r="927" spans="1:23" ht="12.75" customHeight="1">
      <c r="A927" s="89"/>
      <c r="B927" s="92" t="str">
        <f t="shared" si="282"/>
        <v/>
      </c>
      <c r="I927" s="329" t="str">
        <f t="shared" si="286"/>
        <v/>
      </c>
      <c r="J927" s="329" t="str">
        <f t="shared" si="287"/>
        <v/>
      </c>
      <c r="K927" s="329" t="str">
        <f t="shared" si="288"/>
        <v/>
      </c>
    </row>
    <row r="928" spans="1:23" ht="12.75" customHeight="1">
      <c r="A928" s="89"/>
      <c r="B928" s="92" t="str">
        <f t="shared" si="282"/>
        <v/>
      </c>
      <c r="I928" s="329" t="str">
        <f t="shared" si="286"/>
        <v/>
      </c>
      <c r="J928" s="329" t="str">
        <f t="shared" si="287"/>
        <v/>
      </c>
      <c r="K928" s="329" t="str">
        <f t="shared" si="288"/>
        <v/>
      </c>
    </row>
    <row r="929" spans="1:11" ht="12.75" customHeight="1">
      <c r="A929" s="89"/>
      <c r="B929" s="92" t="str">
        <f t="shared" si="282"/>
        <v/>
      </c>
      <c r="I929" s="329" t="str">
        <f t="shared" si="286"/>
        <v/>
      </c>
      <c r="J929" s="329" t="str">
        <f t="shared" si="287"/>
        <v/>
      </c>
      <c r="K929" s="329" t="str">
        <f t="shared" si="288"/>
        <v/>
      </c>
    </row>
    <row r="930" spans="1:11" ht="12.75" customHeight="1">
      <c r="A930" s="89"/>
      <c r="B930" s="92" t="str">
        <f t="shared" si="282"/>
        <v/>
      </c>
      <c r="I930" s="329" t="str">
        <f t="shared" si="286"/>
        <v/>
      </c>
      <c r="J930" s="329" t="str">
        <f t="shared" si="287"/>
        <v/>
      </c>
      <c r="K930" s="329" t="str">
        <f t="shared" si="288"/>
        <v/>
      </c>
    </row>
    <row r="931" spans="1:11" ht="12.75" customHeight="1">
      <c r="A931" s="89"/>
      <c r="B931" s="92" t="str">
        <f t="shared" si="282"/>
        <v/>
      </c>
      <c r="I931" s="329" t="str">
        <f t="shared" si="286"/>
        <v/>
      </c>
      <c r="J931" s="329" t="str">
        <f t="shared" si="287"/>
        <v/>
      </c>
      <c r="K931" s="329" t="str">
        <f t="shared" si="288"/>
        <v/>
      </c>
    </row>
    <row r="932" spans="1:11" ht="12.75" customHeight="1">
      <c r="A932" s="89"/>
      <c r="B932" s="92" t="str">
        <f t="shared" si="282"/>
        <v/>
      </c>
      <c r="I932" s="329" t="str">
        <f t="shared" si="286"/>
        <v/>
      </c>
      <c r="J932" s="329" t="str">
        <f t="shared" si="287"/>
        <v/>
      </c>
      <c r="K932" s="329" t="str">
        <f t="shared" si="288"/>
        <v/>
      </c>
    </row>
    <row r="933" spans="1:11" ht="12.75" customHeight="1">
      <c r="A933" s="89"/>
      <c r="B933" s="92" t="str">
        <f t="shared" si="282"/>
        <v/>
      </c>
      <c r="I933" s="329" t="str">
        <f t="shared" si="286"/>
        <v/>
      </c>
      <c r="J933" s="329" t="str">
        <f t="shared" si="287"/>
        <v/>
      </c>
      <c r="K933" s="329" t="str">
        <f t="shared" si="288"/>
        <v/>
      </c>
    </row>
    <row r="934" spans="1:11" ht="12.75" customHeight="1">
      <c r="A934" s="89"/>
      <c r="B934" s="92" t="str">
        <f t="shared" si="282"/>
        <v/>
      </c>
      <c r="I934" s="329" t="str">
        <f t="shared" si="286"/>
        <v/>
      </c>
      <c r="J934" s="329" t="str">
        <f t="shared" si="287"/>
        <v/>
      </c>
      <c r="K934" s="329" t="str">
        <f t="shared" si="288"/>
        <v/>
      </c>
    </row>
    <row r="935" spans="1:11" ht="12.75" customHeight="1">
      <c r="A935" s="89"/>
      <c r="B935" s="92" t="str">
        <f t="shared" si="282"/>
        <v/>
      </c>
      <c r="I935" s="329" t="str">
        <f t="shared" si="286"/>
        <v/>
      </c>
      <c r="J935" s="329" t="str">
        <f t="shared" si="287"/>
        <v/>
      </c>
      <c r="K935" s="329" t="str">
        <f t="shared" si="288"/>
        <v/>
      </c>
    </row>
    <row r="936" spans="1:11" ht="12.75" customHeight="1">
      <c r="A936" s="89"/>
      <c r="B936" s="92" t="str">
        <f t="shared" si="282"/>
        <v/>
      </c>
      <c r="I936" s="329" t="str">
        <f t="shared" si="286"/>
        <v/>
      </c>
      <c r="J936" s="329" t="str">
        <f t="shared" si="287"/>
        <v/>
      </c>
      <c r="K936" s="329" t="str">
        <f t="shared" si="288"/>
        <v/>
      </c>
    </row>
    <row r="937" spans="1:11" ht="12.75" customHeight="1">
      <c r="A937" s="89"/>
      <c r="B937" s="92" t="str">
        <f t="shared" si="282"/>
        <v/>
      </c>
      <c r="I937" s="329" t="str">
        <f t="shared" si="286"/>
        <v/>
      </c>
      <c r="J937" s="329" t="str">
        <f t="shared" si="287"/>
        <v/>
      </c>
      <c r="K937" s="329" t="str">
        <f t="shared" si="288"/>
        <v/>
      </c>
    </row>
    <row r="938" spans="1:11" ht="12.75" customHeight="1">
      <c r="A938" s="89"/>
      <c r="B938" s="92" t="str">
        <f t="shared" si="282"/>
        <v/>
      </c>
      <c r="I938" s="329" t="str">
        <f t="shared" si="286"/>
        <v/>
      </c>
      <c r="J938" s="329" t="str">
        <f t="shared" si="287"/>
        <v/>
      </c>
      <c r="K938" s="329" t="str">
        <f t="shared" si="288"/>
        <v/>
      </c>
    </row>
    <row r="939" spans="1:11" ht="12.75" customHeight="1">
      <c r="A939" s="89"/>
      <c r="B939" s="92" t="str">
        <f t="shared" si="282"/>
        <v/>
      </c>
      <c r="I939" s="329" t="str">
        <f t="shared" si="286"/>
        <v/>
      </c>
      <c r="J939" s="329" t="str">
        <f t="shared" si="287"/>
        <v/>
      </c>
      <c r="K939" s="329" t="str">
        <f t="shared" si="288"/>
        <v/>
      </c>
    </row>
    <row r="940" spans="1:11" ht="12.75" customHeight="1">
      <c r="A940" s="89"/>
      <c r="B940" s="92" t="str">
        <f t="shared" si="282"/>
        <v/>
      </c>
      <c r="I940" s="329" t="str">
        <f t="shared" si="286"/>
        <v/>
      </c>
      <c r="J940" s="329" t="str">
        <f t="shared" si="287"/>
        <v/>
      </c>
      <c r="K940" s="329" t="str">
        <f t="shared" si="288"/>
        <v/>
      </c>
    </row>
    <row r="941" spans="1:11" ht="12.75" customHeight="1">
      <c r="A941" s="89"/>
      <c r="B941" s="92" t="str">
        <f t="shared" si="282"/>
        <v/>
      </c>
      <c r="I941" s="329" t="str">
        <f t="shared" si="286"/>
        <v/>
      </c>
      <c r="J941" s="329" t="str">
        <f t="shared" si="287"/>
        <v/>
      </c>
      <c r="K941" s="329" t="str">
        <f t="shared" si="288"/>
        <v/>
      </c>
    </row>
    <row r="942" spans="1:11" ht="12.75" customHeight="1">
      <c r="A942" s="89"/>
      <c r="B942" s="92" t="str">
        <f t="shared" ref="B942:B1005" si="289">IF(C942="","",ROW()-5)</f>
        <v/>
      </c>
      <c r="I942" s="329" t="str">
        <f t="shared" si="286"/>
        <v/>
      </c>
      <c r="J942" s="329" t="str">
        <f t="shared" si="287"/>
        <v/>
      </c>
      <c r="K942" s="329" t="str">
        <f t="shared" si="288"/>
        <v/>
      </c>
    </row>
    <row r="943" spans="1:11" ht="12.75" customHeight="1">
      <c r="A943" s="89"/>
      <c r="B943" s="92" t="str">
        <f t="shared" si="289"/>
        <v/>
      </c>
      <c r="I943" s="329" t="str">
        <f t="shared" si="286"/>
        <v/>
      </c>
      <c r="J943" s="329" t="str">
        <f t="shared" si="287"/>
        <v/>
      </c>
      <c r="K943" s="329" t="str">
        <f t="shared" si="288"/>
        <v/>
      </c>
    </row>
    <row r="944" spans="1:11" ht="12.75" customHeight="1">
      <c r="A944" s="89"/>
      <c r="B944" s="92" t="str">
        <f t="shared" si="289"/>
        <v/>
      </c>
      <c r="I944" s="329" t="str">
        <f t="shared" si="286"/>
        <v/>
      </c>
      <c r="J944" s="329" t="str">
        <f t="shared" si="287"/>
        <v/>
      </c>
      <c r="K944" s="329" t="str">
        <f t="shared" si="288"/>
        <v/>
      </c>
    </row>
    <row r="945" spans="1:11" ht="12.75" customHeight="1">
      <c r="A945" s="89"/>
      <c r="B945" s="92" t="str">
        <f t="shared" si="289"/>
        <v/>
      </c>
      <c r="I945" s="329" t="str">
        <f t="shared" si="286"/>
        <v/>
      </c>
      <c r="J945" s="329" t="str">
        <f t="shared" si="287"/>
        <v/>
      </c>
      <c r="K945" s="329" t="str">
        <f t="shared" si="288"/>
        <v/>
      </c>
    </row>
    <row r="946" spans="1:11" ht="12.75" customHeight="1">
      <c r="A946" s="89"/>
      <c r="B946" s="92" t="str">
        <f t="shared" si="289"/>
        <v/>
      </c>
      <c r="I946" s="329" t="str">
        <f t="shared" si="286"/>
        <v/>
      </c>
      <c r="J946" s="329" t="str">
        <f t="shared" si="287"/>
        <v/>
      </c>
      <c r="K946" s="329" t="str">
        <f t="shared" si="288"/>
        <v/>
      </c>
    </row>
    <row r="947" spans="1:11" ht="12.75" customHeight="1">
      <c r="A947" s="89"/>
      <c r="B947" s="92" t="str">
        <f t="shared" si="289"/>
        <v/>
      </c>
      <c r="I947" s="329" t="str">
        <f t="shared" si="286"/>
        <v/>
      </c>
      <c r="J947" s="329" t="str">
        <f t="shared" si="287"/>
        <v/>
      </c>
      <c r="K947" s="329" t="str">
        <f t="shared" si="288"/>
        <v/>
      </c>
    </row>
    <row r="948" spans="1:11" ht="12.75" customHeight="1">
      <c r="A948" s="89"/>
      <c r="B948" s="92" t="str">
        <f t="shared" si="289"/>
        <v/>
      </c>
      <c r="I948" s="329" t="str">
        <f t="shared" si="286"/>
        <v/>
      </c>
      <c r="J948" s="329" t="str">
        <f t="shared" si="287"/>
        <v/>
      </c>
      <c r="K948" s="329" t="str">
        <f t="shared" si="288"/>
        <v/>
      </c>
    </row>
    <row r="949" spans="1:11" ht="12.75" customHeight="1">
      <c r="A949" s="89"/>
      <c r="B949" s="92" t="str">
        <f t="shared" si="289"/>
        <v/>
      </c>
      <c r="I949" s="329" t="str">
        <f t="shared" si="286"/>
        <v/>
      </c>
      <c r="J949" s="329" t="str">
        <f t="shared" si="287"/>
        <v/>
      </c>
      <c r="K949" s="329" t="str">
        <f t="shared" si="288"/>
        <v/>
      </c>
    </row>
    <row r="950" spans="1:11" ht="12.75" customHeight="1">
      <c r="A950" s="89"/>
      <c r="B950" s="92" t="str">
        <f t="shared" si="289"/>
        <v/>
      </c>
      <c r="I950" s="329" t="str">
        <f t="shared" si="286"/>
        <v/>
      </c>
      <c r="J950" s="329" t="str">
        <f t="shared" si="287"/>
        <v/>
      </c>
      <c r="K950" s="329" t="str">
        <f t="shared" si="288"/>
        <v/>
      </c>
    </row>
    <row r="951" spans="1:11" ht="12.75" customHeight="1">
      <c r="A951" s="89"/>
      <c r="B951" s="92" t="str">
        <f t="shared" si="289"/>
        <v/>
      </c>
      <c r="I951" s="329" t="str">
        <f t="shared" si="286"/>
        <v/>
      </c>
      <c r="J951" s="329" t="str">
        <f t="shared" si="287"/>
        <v/>
      </c>
      <c r="K951" s="329" t="str">
        <f t="shared" si="288"/>
        <v/>
      </c>
    </row>
    <row r="952" spans="1:11" ht="12.75" customHeight="1">
      <c r="A952" s="89"/>
      <c r="B952" s="92" t="str">
        <f t="shared" si="289"/>
        <v/>
      </c>
      <c r="I952" s="329" t="str">
        <f t="shared" si="286"/>
        <v/>
      </c>
      <c r="J952" s="329" t="str">
        <f t="shared" si="287"/>
        <v/>
      </c>
      <c r="K952" s="329" t="str">
        <f t="shared" si="288"/>
        <v/>
      </c>
    </row>
    <row r="953" spans="1:11" ht="12.75" customHeight="1">
      <c r="A953" s="89"/>
      <c r="B953" s="92" t="str">
        <f t="shared" si="289"/>
        <v/>
      </c>
      <c r="I953" s="329" t="str">
        <f t="shared" si="286"/>
        <v/>
      </c>
      <c r="J953" s="329" t="str">
        <f t="shared" si="287"/>
        <v/>
      </c>
      <c r="K953" s="329" t="str">
        <f t="shared" si="288"/>
        <v/>
      </c>
    </row>
    <row r="954" spans="1:11" ht="12.75" customHeight="1">
      <c r="A954" s="89"/>
      <c r="B954" s="92" t="str">
        <f t="shared" si="289"/>
        <v/>
      </c>
      <c r="I954" s="329" t="str">
        <f t="shared" si="286"/>
        <v/>
      </c>
      <c r="J954" s="329" t="str">
        <f t="shared" si="287"/>
        <v/>
      </c>
      <c r="K954" s="329" t="str">
        <f t="shared" si="288"/>
        <v/>
      </c>
    </row>
    <row r="955" spans="1:11" ht="12.75" customHeight="1">
      <c r="A955" s="89"/>
      <c r="B955" s="92" t="str">
        <f t="shared" si="289"/>
        <v/>
      </c>
      <c r="I955" s="329" t="str">
        <f t="shared" si="286"/>
        <v/>
      </c>
      <c r="J955" s="329" t="str">
        <f t="shared" si="287"/>
        <v/>
      </c>
      <c r="K955" s="329" t="str">
        <f t="shared" si="288"/>
        <v/>
      </c>
    </row>
    <row r="956" spans="1:11" ht="12.75" customHeight="1">
      <c r="A956" s="89"/>
      <c r="B956" s="92" t="str">
        <f t="shared" si="289"/>
        <v/>
      </c>
      <c r="I956" s="329" t="str">
        <f t="shared" si="286"/>
        <v/>
      </c>
      <c r="J956" s="329" t="str">
        <f t="shared" si="287"/>
        <v/>
      </c>
      <c r="K956" s="329" t="str">
        <f t="shared" si="288"/>
        <v/>
      </c>
    </row>
    <row r="957" spans="1:11" ht="12.75" customHeight="1">
      <c r="A957" s="89"/>
      <c r="B957" s="92" t="str">
        <f t="shared" si="289"/>
        <v/>
      </c>
      <c r="I957" s="329" t="str">
        <f t="shared" si="286"/>
        <v/>
      </c>
      <c r="J957" s="329" t="str">
        <f t="shared" si="287"/>
        <v/>
      </c>
      <c r="K957" s="329" t="str">
        <f t="shared" si="288"/>
        <v/>
      </c>
    </row>
    <row r="958" spans="1:11" ht="12.75" customHeight="1">
      <c r="A958" s="89"/>
      <c r="B958" s="92" t="str">
        <f t="shared" si="289"/>
        <v/>
      </c>
      <c r="I958" s="329" t="str">
        <f t="shared" ref="I958:I1021" si="290">+IF(G958="","",G958*H958)</f>
        <v/>
      </c>
      <c r="J958" s="329" t="str">
        <f t="shared" ref="J958:J1021" si="291">+IF(G958="","",I958*0.1)</f>
        <v/>
      </c>
      <c r="K958" s="329" t="str">
        <f t="shared" ref="K958:K1021" si="292">+IF(G958="","",I958+J958)</f>
        <v/>
      </c>
    </row>
    <row r="959" spans="1:11" ht="12.75" customHeight="1">
      <c r="A959" s="89"/>
      <c r="B959" s="92" t="str">
        <f t="shared" si="289"/>
        <v/>
      </c>
      <c r="I959" s="329" t="str">
        <f t="shared" si="290"/>
        <v/>
      </c>
      <c r="J959" s="329" t="str">
        <f t="shared" si="291"/>
        <v/>
      </c>
      <c r="K959" s="329" t="str">
        <f t="shared" si="292"/>
        <v/>
      </c>
    </row>
    <row r="960" spans="1:11" ht="12.75" customHeight="1">
      <c r="A960" s="89"/>
      <c r="B960" s="92" t="str">
        <f t="shared" si="289"/>
        <v/>
      </c>
      <c r="I960" s="329" t="str">
        <f t="shared" si="290"/>
        <v/>
      </c>
      <c r="J960" s="329" t="str">
        <f t="shared" si="291"/>
        <v/>
      </c>
      <c r="K960" s="329" t="str">
        <f t="shared" si="292"/>
        <v/>
      </c>
    </row>
    <row r="961" spans="1:11" ht="12.75" customHeight="1">
      <c r="A961" s="89"/>
      <c r="B961" s="92" t="str">
        <f t="shared" si="289"/>
        <v/>
      </c>
      <c r="I961" s="329" t="str">
        <f t="shared" si="290"/>
        <v/>
      </c>
      <c r="J961" s="329" t="str">
        <f t="shared" si="291"/>
        <v/>
      </c>
      <c r="K961" s="329" t="str">
        <f t="shared" si="292"/>
        <v/>
      </c>
    </row>
    <row r="962" spans="1:11" ht="12.75" customHeight="1">
      <c r="A962" s="89"/>
      <c r="B962" s="92" t="str">
        <f t="shared" si="289"/>
        <v/>
      </c>
      <c r="I962" s="329" t="str">
        <f t="shared" si="290"/>
        <v/>
      </c>
      <c r="J962" s="329" t="str">
        <f t="shared" si="291"/>
        <v/>
      </c>
      <c r="K962" s="329" t="str">
        <f t="shared" si="292"/>
        <v/>
      </c>
    </row>
    <row r="963" spans="1:11" ht="12.75" customHeight="1">
      <c r="A963" s="89"/>
      <c r="B963" s="92" t="str">
        <f t="shared" si="289"/>
        <v/>
      </c>
      <c r="I963" s="329" t="str">
        <f t="shared" si="290"/>
        <v/>
      </c>
      <c r="J963" s="329" t="str">
        <f t="shared" si="291"/>
        <v/>
      </c>
      <c r="K963" s="329" t="str">
        <f t="shared" si="292"/>
        <v/>
      </c>
    </row>
    <row r="964" spans="1:11" ht="12.75" customHeight="1">
      <c r="A964" s="89"/>
      <c r="B964" s="92" t="str">
        <f t="shared" si="289"/>
        <v/>
      </c>
      <c r="I964" s="329" t="str">
        <f t="shared" si="290"/>
        <v/>
      </c>
      <c r="J964" s="329" t="str">
        <f t="shared" si="291"/>
        <v/>
      </c>
      <c r="K964" s="329" t="str">
        <f t="shared" si="292"/>
        <v/>
      </c>
    </row>
    <row r="965" spans="1:11" ht="12.75" customHeight="1">
      <c r="A965" s="89"/>
      <c r="B965" s="92" t="str">
        <f t="shared" si="289"/>
        <v/>
      </c>
      <c r="I965" s="329" t="str">
        <f t="shared" si="290"/>
        <v/>
      </c>
      <c r="J965" s="329" t="str">
        <f t="shared" si="291"/>
        <v/>
      </c>
      <c r="K965" s="329" t="str">
        <f t="shared" si="292"/>
        <v/>
      </c>
    </row>
    <row r="966" spans="1:11" ht="12.75" customHeight="1">
      <c r="A966" s="89"/>
      <c r="B966" s="92" t="str">
        <f t="shared" si="289"/>
        <v/>
      </c>
      <c r="I966" s="329" t="str">
        <f t="shared" si="290"/>
        <v/>
      </c>
      <c r="J966" s="329" t="str">
        <f t="shared" si="291"/>
        <v/>
      </c>
      <c r="K966" s="329" t="str">
        <f t="shared" si="292"/>
        <v/>
      </c>
    </row>
    <row r="967" spans="1:11" ht="12.75" customHeight="1">
      <c r="A967" s="89"/>
      <c r="B967" s="92" t="str">
        <f t="shared" si="289"/>
        <v/>
      </c>
      <c r="I967" s="329" t="str">
        <f t="shared" si="290"/>
        <v/>
      </c>
      <c r="J967" s="329" t="str">
        <f t="shared" si="291"/>
        <v/>
      </c>
      <c r="K967" s="329" t="str">
        <f t="shared" si="292"/>
        <v/>
      </c>
    </row>
    <row r="968" spans="1:11" ht="12.75" customHeight="1">
      <c r="A968" s="89"/>
      <c r="B968" s="92" t="str">
        <f t="shared" si="289"/>
        <v/>
      </c>
      <c r="I968" s="329" t="str">
        <f t="shared" si="290"/>
        <v/>
      </c>
      <c r="J968" s="329" t="str">
        <f t="shared" si="291"/>
        <v/>
      </c>
      <c r="K968" s="329" t="str">
        <f t="shared" si="292"/>
        <v/>
      </c>
    </row>
    <row r="969" spans="1:11" ht="12.75" customHeight="1">
      <c r="A969" s="89"/>
      <c r="B969" s="92" t="str">
        <f t="shared" si="289"/>
        <v/>
      </c>
      <c r="I969" s="329" t="str">
        <f t="shared" si="290"/>
        <v/>
      </c>
      <c r="J969" s="329" t="str">
        <f t="shared" si="291"/>
        <v/>
      </c>
      <c r="K969" s="329" t="str">
        <f t="shared" si="292"/>
        <v/>
      </c>
    </row>
    <row r="970" spans="1:11" ht="12.75" customHeight="1">
      <c r="A970" s="89"/>
      <c r="B970" s="92" t="str">
        <f t="shared" si="289"/>
        <v/>
      </c>
      <c r="I970" s="329" t="str">
        <f t="shared" si="290"/>
        <v/>
      </c>
      <c r="J970" s="329" t="str">
        <f t="shared" si="291"/>
        <v/>
      </c>
      <c r="K970" s="329" t="str">
        <f t="shared" si="292"/>
        <v/>
      </c>
    </row>
    <row r="971" spans="1:11" ht="12.75" customHeight="1">
      <c r="A971" s="89"/>
      <c r="B971" s="92" t="str">
        <f t="shared" si="289"/>
        <v/>
      </c>
      <c r="I971" s="329" t="str">
        <f t="shared" si="290"/>
        <v/>
      </c>
      <c r="J971" s="329" t="str">
        <f t="shared" si="291"/>
        <v/>
      </c>
      <c r="K971" s="329" t="str">
        <f t="shared" si="292"/>
        <v/>
      </c>
    </row>
    <row r="972" spans="1:11" ht="12.75" customHeight="1">
      <c r="A972" s="89"/>
      <c r="B972" s="92" t="str">
        <f t="shared" si="289"/>
        <v/>
      </c>
      <c r="I972" s="329" t="str">
        <f t="shared" si="290"/>
        <v/>
      </c>
      <c r="J972" s="329" t="str">
        <f t="shared" si="291"/>
        <v/>
      </c>
      <c r="K972" s="329" t="str">
        <f t="shared" si="292"/>
        <v/>
      </c>
    </row>
    <row r="973" spans="1:11" ht="12.75" customHeight="1">
      <c r="A973" s="89"/>
      <c r="B973" s="92" t="str">
        <f t="shared" si="289"/>
        <v/>
      </c>
      <c r="I973" s="329" t="str">
        <f t="shared" si="290"/>
        <v/>
      </c>
      <c r="J973" s="329" t="str">
        <f t="shared" si="291"/>
        <v/>
      </c>
      <c r="K973" s="329" t="str">
        <f t="shared" si="292"/>
        <v/>
      </c>
    </row>
    <row r="974" spans="1:11" ht="12.75" customHeight="1">
      <c r="A974" s="89"/>
      <c r="B974" s="92" t="str">
        <f t="shared" si="289"/>
        <v/>
      </c>
      <c r="I974" s="329" t="str">
        <f t="shared" si="290"/>
        <v/>
      </c>
      <c r="J974" s="329" t="str">
        <f t="shared" si="291"/>
        <v/>
      </c>
      <c r="K974" s="329" t="str">
        <f t="shared" si="292"/>
        <v/>
      </c>
    </row>
    <row r="975" spans="1:11" ht="12.75" customHeight="1">
      <c r="A975" s="89"/>
      <c r="B975" s="92" t="str">
        <f t="shared" si="289"/>
        <v/>
      </c>
      <c r="I975" s="329" t="str">
        <f t="shared" si="290"/>
        <v/>
      </c>
      <c r="J975" s="329" t="str">
        <f t="shared" si="291"/>
        <v/>
      </c>
      <c r="K975" s="329" t="str">
        <f t="shared" si="292"/>
        <v/>
      </c>
    </row>
    <row r="976" spans="1:11" ht="12.75" customHeight="1">
      <c r="A976" s="89"/>
      <c r="B976" s="92" t="str">
        <f t="shared" si="289"/>
        <v/>
      </c>
      <c r="I976" s="329" t="str">
        <f t="shared" si="290"/>
        <v/>
      </c>
      <c r="J976" s="329" t="str">
        <f t="shared" si="291"/>
        <v/>
      </c>
      <c r="K976" s="329" t="str">
        <f t="shared" si="292"/>
        <v/>
      </c>
    </row>
    <row r="977" spans="1:11" ht="12.75" customHeight="1">
      <c r="A977" s="89"/>
      <c r="B977" s="92" t="str">
        <f t="shared" si="289"/>
        <v/>
      </c>
      <c r="I977" s="329" t="str">
        <f t="shared" si="290"/>
        <v/>
      </c>
      <c r="J977" s="329" t="str">
        <f t="shared" si="291"/>
        <v/>
      </c>
      <c r="K977" s="329" t="str">
        <f t="shared" si="292"/>
        <v/>
      </c>
    </row>
    <row r="978" spans="1:11" ht="12.75" customHeight="1">
      <c r="A978" s="89"/>
      <c r="B978" s="92" t="str">
        <f t="shared" si="289"/>
        <v/>
      </c>
      <c r="I978" s="329" t="str">
        <f t="shared" si="290"/>
        <v/>
      </c>
      <c r="J978" s="329" t="str">
        <f t="shared" si="291"/>
        <v/>
      </c>
      <c r="K978" s="329" t="str">
        <f t="shared" si="292"/>
        <v/>
      </c>
    </row>
    <row r="979" spans="1:11" ht="12.75" customHeight="1">
      <c r="A979" s="89"/>
      <c r="B979" s="92" t="str">
        <f t="shared" si="289"/>
        <v/>
      </c>
      <c r="I979" s="329" t="str">
        <f t="shared" si="290"/>
        <v/>
      </c>
      <c r="J979" s="329" t="str">
        <f t="shared" si="291"/>
        <v/>
      </c>
      <c r="K979" s="329" t="str">
        <f t="shared" si="292"/>
        <v/>
      </c>
    </row>
    <row r="980" spans="1:11" ht="12.75" customHeight="1">
      <c r="A980" s="89"/>
      <c r="B980" s="92" t="str">
        <f t="shared" si="289"/>
        <v/>
      </c>
      <c r="I980" s="329" t="str">
        <f t="shared" si="290"/>
        <v/>
      </c>
      <c r="J980" s="329" t="str">
        <f t="shared" si="291"/>
        <v/>
      </c>
      <c r="K980" s="329" t="str">
        <f t="shared" si="292"/>
        <v/>
      </c>
    </row>
    <row r="981" spans="1:11" ht="12.75" customHeight="1">
      <c r="A981" s="89"/>
      <c r="B981" s="92" t="str">
        <f t="shared" si="289"/>
        <v/>
      </c>
      <c r="I981" s="329" t="str">
        <f t="shared" si="290"/>
        <v/>
      </c>
      <c r="J981" s="329" t="str">
        <f t="shared" si="291"/>
        <v/>
      </c>
      <c r="K981" s="329" t="str">
        <f t="shared" si="292"/>
        <v/>
      </c>
    </row>
    <row r="982" spans="1:11" ht="12.75" customHeight="1">
      <c r="A982" s="89"/>
      <c r="B982" s="92" t="str">
        <f t="shared" si="289"/>
        <v/>
      </c>
      <c r="I982" s="329" t="str">
        <f t="shared" si="290"/>
        <v/>
      </c>
      <c r="J982" s="329" t="str">
        <f t="shared" si="291"/>
        <v/>
      </c>
      <c r="K982" s="329" t="str">
        <f t="shared" si="292"/>
        <v/>
      </c>
    </row>
    <row r="983" spans="1:11" ht="12.75" customHeight="1">
      <c r="A983" s="89"/>
      <c r="B983" s="92" t="str">
        <f t="shared" si="289"/>
        <v/>
      </c>
      <c r="I983" s="329" t="str">
        <f t="shared" si="290"/>
        <v/>
      </c>
      <c r="J983" s="329" t="str">
        <f t="shared" si="291"/>
        <v/>
      </c>
      <c r="K983" s="329" t="str">
        <f t="shared" si="292"/>
        <v/>
      </c>
    </row>
    <row r="984" spans="1:11" ht="12.75" customHeight="1">
      <c r="A984" s="89"/>
      <c r="B984" s="92" t="str">
        <f t="shared" si="289"/>
        <v/>
      </c>
      <c r="I984" s="329" t="str">
        <f t="shared" si="290"/>
        <v/>
      </c>
      <c r="J984" s="329" t="str">
        <f t="shared" si="291"/>
        <v/>
      </c>
      <c r="K984" s="329" t="str">
        <f t="shared" si="292"/>
        <v/>
      </c>
    </row>
    <row r="985" spans="1:11" ht="12.75" customHeight="1">
      <c r="A985" s="89"/>
      <c r="B985" s="92" t="str">
        <f t="shared" si="289"/>
        <v/>
      </c>
      <c r="I985" s="329" t="str">
        <f t="shared" si="290"/>
        <v/>
      </c>
      <c r="J985" s="329" t="str">
        <f t="shared" si="291"/>
        <v/>
      </c>
      <c r="K985" s="329" t="str">
        <f t="shared" si="292"/>
        <v/>
      </c>
    </row>
    <row r="986" spans="1:11" ht="12.75" customHeight="1">
      <c r="A986" s="89"/>
      <c r="B986" s="92" t="str">
        <f t="shared" si="289"/>
        <v/>
      </c>
      <c r="I986" s="329" t="str">
        <f t="shared" si="290"/>
        <v/>
      </c>
      <c r="J986" s="329" t="str">
        <f t="shared" si="291"/>
        <v/>
      </c>
      <c r="K986" s="329" t="str">
        <f t="shared" si="292"/>
        <v/>
      </c>
    </row>
    <row r="987" spans="1:11" ht="12.75" customHeight="1">
      <c r="A987" s="89"/>
      <c r="B987" s="92" t="str">
        <f t="shared" si="289"/>
        <v/>
      </c>
      <c r="I987" s="329" t="str">
        <f t="shared" si="290"/>
        <v/>
      </c>
      <c r="J987" s="329" t="str">
        <f t="shared" si="291"/>
        <v/>
      </c>
      <c r="K987" s="329" t="str">
        <f t="shared" si="292"/>
        <v/>
      </c>
    </row>
    <row r="988" spans="1:11" ht="12.75" customHeight="1">
      <c r="A988" s="89"/>
      <c r="B988" s="92" t="str">
        <f t="shared" si="289"/>
        <v/>
      </c>
      <c r="I988" s="329" t="str">
        <f t="shared" si="290"/>
        <v/>
      </c>
      <c r="J988" s="329" t="str">
        <f t="shared" si="291"/>
        <v/>
      </c>
      <c r="K988" s="329" t="str">
        <f t="shared" si="292"/>
        <v/>
      </c>
    </row>
    <row r="989" spans="1:11" ht="12.75" customHeight="1">
      <c r="A989" s="89"/>
      <c r="B989" s="92" t="str">
        <f t="shared" si="289"/>
        <v/>
      </c>
      <c r="I989" s="329" t="str">
        <f t="shared" si="290"/>
        <v/>
      </c>
      <c r="J989" s="329" t="str">
        <f t="shared" si="291"/>
        <v/>
      </c>
      <c r="K989" s="329" t="str">
        <f t="shared" si="292"/>
        <v/>
      </c>
    </row>
    <row r="990" spans="1:11" ht="12.75" customHeight="1">
      <c r="A990" s="89"/>
      <c r="B990" s="92" t="str">
        <f t="shared" si="289"/>
        <v/>
      </c>
      <c r="I990" s="329" t="str">
        <f t="shared" si="290"/>
        <v/>
      </c>
      <c r="J990" s="329" t="str">
        <f t="shared" si="291"/>
        <v/>
      </c>
      <c r="K990" s="329" t="str">
        <f t="shared" si="292"/>
        <v/>
      </c>
    </row>
    <row r="991" spans="1:11" ht="12.75" customHeight="1">
      <c r="A991" s="89"/>
      <c r="B991" s="92" t="str">
        <f t="shared" si="289"/>
        <v/>
      </c>
      <c r="I991" s="329" t="str">
        <f t="shared" si="290"/>
        <v/>
      </c>
      <c r="J991" s="329" t="str">
        <f t="shared" si="291"/>
        <v/>
      </c>
      <c r="K991" s="329" t="str">
        <f t="shared" si="292"/>
        <v/>
      </c>
    </row>
    <row r="992" spans="1:11" ht="12.75" customHeight="1">
      <c r="A992" s="89"/>
      <c r="B992" s="92" t="str">
        <f t="shared" si="289"/>
        <v/>
      </c>
      <c r="I992" s="329" t="str">
        <f t="shared" si="290"/>
        <v/>
      </c>
      <c r="J992" s="329" t="str">
        <f t="shared" si="291"/>
        <v/>
      </c>
      <c r="K992" s="329" t="str">
        <f t="shared" si="292"/>
        <v/>
      </c>
    </row>
    <row r="993" spans="1:11" ht="12.75" customHeight="1">
      <c r="A993" s="89"/>
      <c r="B993" s="92" t="str">
        <f t="shared" si="289"/>
        <v/>
      </c>
      <c r="I993" s="329" t="str">
        <f t="shared" si="290"/>
        <v/>
      </c>
      <c r="J993" s="329" t="str">
        <f t="shared" si="291"/>
        <v/>
      </c>
      <c r="K993" s="329" t="str">
        <f t="shared" si="292"/>
        <v/>
      </c>
    </row>
    <row r="994" spans="1:11" ht="12.75" customHeight="1">
      <c r="A994" s="89"/>
      <c r="B994" s="92" t="str">
        <f t="shared" si="289"/>
        <v/>
      </c>
      <c r="I994" s="329" t="str">
        <f t="shared" si="290"/>
        <v/>
      </c>
      <c r="J994" s="329" t="str">
        <f t="shared" si="291"/>
        <v/>
      </c>
      <c r="K994" s="329" t="str">
        <f t="shared" si="292"/>
        <v/>
      </c>
    </row>
    <row r="995" spans="1:11" ht="12.75" customHeight="1">
      <c r="A995" s="89"/>
      <c r="B995" s="92" t="str">
        <f t="shared" si="289"/>
        <v/>
      </c>
      <c r="I995" s="329" t="str">
        <f t="shared" si="290"/>
        <v/>
      </c>
      <c r="J995" s="329" t="str">
        <f t="shared" si="291"/>
        <v/>
      </c>
      <c r="K995" s="329" t="str">
        <f t="shared" si="292"/>
        <v/>
      </c>
    </row>
    <row r="996" spans="1:11" ht="12.75" customHeight="1">
      <c r="A996" s="89"/>
      <c r="B996" s="92" t="str">
        <f t="shared" si="289"/>
        <v/>
      </c>
      <c r="I996" s="329" t="str">
        <f t="shared" si="290"/>
        <v/>
      </c>
      <c r="J996" s="329" t="str">
        <f t="shared" si="291"/>
        <v/>
      </c>
      <c r="K996" s="329" t="str">
        <f t="shared" si="292"/>
        <v/>
      </c>
    </row>
    <row r="997" spans="1:11" ht="12.75" customHeight="1">
      <c r="A997" s="89"/>
      <c r="B997" s="92" t="str">
        <f t="shared" si="289"/>
        <v/>
      </c>
      <c r="I997" s="329" t="str">
        <f t="shared" si="290"/>
        <v/>
      </c>
      <c r="J997" s="329" t="str">
        <f t="shared" si="291"/>
        <v/>
      </c>
      <c r="K997" s="329" t="str">
        <f t="shared" si="292"/>
        <v/>
      </c>
    </row>
    <row r="998" spans="1:11" ht="12.75" customHeight="1">
      <c r="A998" s="89"/>
      <c r="B998" s="92" t="str">
        <f t="shared" si="289"/>
        <v/>
      </c>
      <c r="I998" s="329" t="str">
        <f t="shared" si="290"/>
        <v/>
      </c>
      <c r="J998" s="329" t="str">
        <f t="shared" si="291"/>
        <v/>
      </c>
      <c r="K998" s="329" t="str">
        <f t="shared" si="292"/>
        <v/>
      </c>
    </row>
    <row r="999" spans="1:11" ht="12.75" customHeight="1">
      <c r="A999" s="89"/>
      <c r="B999" s="92" t="str">
        <f t="shared" si="289"/>
        <v/>
      </c>
      <c r="I999" s="329" t="str">
        <f t="shared" si="290"/>
        <v/>
      </c>
      <c r="J999" s="329" t="str">
        <f t="shared" si="291"/>
        <v/>
      </c>
      <c r="K999" s="329" t="str">
        <f t="shared" si="292"/>
        <v/>
      </c>
    </row>
    <row r="1000" spans="1:11" ht="12.75" customHeight="1">
      <c r="A1000" s="89"/>
      <c r="B1000" s="92" t="str">
        <f t="shared" si="289"/>
        <v/>
      </c>
      <c r="I1000" s="329" t="str">
        <f t="shared" si="290"/>
        <v/>
      </c>
      <c r="J1000" s="329" t="str">
        <f t="shared" si="291"/>
        <v/>
      </c>
      <c r="K1000" s="329" t="str">
        <f t="shared" si="292"/>
        <v/>
      </c>
    </row>
    <row r="1001" spans="1:11" ht="12.75" customHeight="1">
      <c r="A1001" s="89"/>
      <c r="B1001" s="92" t="str">
        <f t="shared" si="289"/>
        <v/>
      </c>
      <c r="I1001" s="329" t="str">
        <f t="shared" si="290"/>
        <v/>
      </c>
      <c r="J1001" s="329" t="str">
        <f t="shared" si="291"/>
        <v/>
      </c>
      <c r="K1001" s="329" t="str">
        <f t="shared" si="292"/>
        <v/>
      </c>
    </row>
    <row r="1002" spans="1:11" ht="12.75" customHeight="1">
      <c r="A1002" s="89"/>
      <c r="B1002" s="92" t="str">
        <f t="shared" si="289"/>
        <v/>
      </c>
      <c r="I1002" s="329" t="str">
        <f t="shared" si="290"/>
        <v/>
      </c>
      <c r="J1002" s="329" t="str">
        <f t="shared" si="291"/>
        <v/>
      </c>
      <c r="K1002" s="329" t="str">
        <f t="shared" si="292"/>
        <v/>
      </c>
    </row>
    <row r="1003" spans="1:11" ht="12.75" customHeight="1">
      <c r="A1003" s="89"/>
      <c r="B1003" s="92" t="str">
        <f t="shared" si="289"/>
        <v/>
      </c>
      <c r="I1003" s="329" t="str">
        <f t="shared" si="290"/>
        <v/>
      </c>
      <c r="J1003" s="329" t="str">
        <f t="shared" si="291"/>
        <v/>
      </c>
      <c r="K1003" s="329" t="str">
        <f t="shared" si="292"/>
        <v/>
      </c>
    </row>
    <row r="1004" spans="1:11" ht="12.75" customHeight="1">
      <c r="A1004" s="89"/>
      <c r="B1004" s="92" t="str">
        <f t="shared" si="289"/>
        <v/>
      </c>
      <c r="I1004" s="329" t="str">
        <f t="shared" si="290"/>
        <v/>
      </c>
      <c r="J1004" s="329" t="str">
        <f t="shared" si="291"/>
        <v/>
      </c>
      <c r="K1004" s="329" t="str">
        <f t="shared" si="292"/>
        <v/>
      </c>
    </row>
    <row r="1005" spans="1:11" ht="12.75" customHeight="1">
      <c r="A1005" s="89"/>
      <c r="B1005" s="92" t="str">
        <f t="shared" si="289"/>
        <v/>
      </c>
      <c r="I1005" s="329" t="str">
        <f t="shared" si="290"/>
        <v/>
      </c>
      <c r="J1005" s="329" t="str">
        <f t="shared" si="291"/>
        <v/>
      </c>
      <c r="K1005" s="329" t="str">
        <f t="shared" si="292"/>
        <v/>
      </c>
    </row>
    <row r="1006" spans="1:11" ht="12.75" customHeight="1">
      <c r="A1006" s="89"/>
      <c r="B1006" s="92" t="str">
        <f t="shared" ref="B1006:B1069" si="293">IF(C1006="","",ROW()-5)</f>
        <v/>
      </c>
      <c r="I1006" s="329" t="str">
        <f t="shared" si="290"/>
        <v/>
      </c>
      <c r="J1006" s="329" t="str">
        <f t="shared" si="291"/>
        <v/>
      </c>
      <c r="K1006" s="329" t="str">
        <f t="shared" si="292"/>
        <v/>
      </c>
    </row>
    <row r="1007" spans="1:11" ht="12.75" customHeight="1">
      <c r="A1007" s="89"/>
      <c r="B1007" s="92" t="str">
        <f t="shared" si="293"/>
        <v/>
      </c>
      <c r="I1007" s="329" t="str">
        <f t="shared" si="290"/>
        <v/>
      </c>
      <c r="J1007" s="329" t="str">
        <f t="shared" si="291"/>
        <v/>
      </c>
      <c r="K1007" s="329" t="str">
        <f t="shared" si="292"/>
        <v/>
      </c>
    </row>
    <row r="1008" spans="1:11" ht="12.75" customHeight="1">
      <c r="A1008" s="89"/>
      <c r="B1008" s="92" t="str">
        <f t="shared" si="293"/>
        <v/>
      </c>
      <c r="I1008" s="329" t="str">
        <f t="shared" si="290"/>
        <v/>
      </c>
      <c r="J1008" s="329" t="str">
        <f t="shared" si="291"/>
        <v/>
      </c>
      <c r="K1008" s="329" t="str">
        <f t="shared" si="292"/>
        <v/>
      </c>
    </row>
    <row r="1009" spans="1:11" ht="12.75" customHeight="1">
      <c r="A1009" s="89"/>
      <c r="B1009" s="92" t="str">
        <f t="shared" si="293"/>
        <v/>
      </c>
      <c r="I1009" s="329" t="str">
        <f t="shared" si="290"/>
        <v/>
      </c>
      <c r="J1009" s="329" t="str">
        <f t="shared" si="291"/>
        <v/>
      </c>
      <c r="K1009" s="329" t="str">
        <f t="shared" si="292"/>
        <v/>
      </c>
    </row>
    <row r="1010" spans="1:11" ht="12.75" customHeight="1">
      <c r="A1010" s="89"/>
      <c r="B1010" s="92" t="str">
        <f t="shared" si="293"/>
        <v/>
      </c>
      <c r="I1010" s="329" t="str">
        <f t="shared" si="290"/>
        <v/>
      </c>
      <c r="J1010" s="329" t="str">
        <f t="shared" si="291"/>
        <v/>
      </c>
      <c r="K1010" s="329" t="str">
        <f t="shared" si="292"/>
        <v/>
      </c>
    </row>
    <row r="1011" spans="1:11" ht="12.75" customHeight="1">
      <c r="A1011" s="89"/>
      <c r="B1011" s="92" t="str">
        <f t="shared" si="293"/>
        <v/>
      </c>
      <c r="I1011" s="329" t="str">
        <f t="shared" si="290"/>
        <v/>
      </c>
      <c r="J1011" s="329" t="str">
        <f t="shared" si="291"/>
        <v/>
      </c>
      <c r="K1011" s="329" t="str">
        <f t="shared" si="292"/>
        <v/>
      </c>
    </row>
    <row r="1012" spans="1:11" ht="12.75" customHeight="1">
      <c r="A1012" s="89"/>
      <c r="B1012" s="92" t="str">
        <f t="shared" si="293"/>
        <v/>
      </c>
      <c r="I1012" s="329" t="str">
        <f t="shared" si="290"/>
        <v/>
      </c>
      <c r="J1012" s="329" t="str">
        <f t="shared" si="291"/>
        <v/>
      </c>
      <c r="K1012" s="329" t="str">
        <f t="shared" si="292"/>
        <v/>
      </c>
    </row>
    <row r="1013" spans="1:11" ht="12.75" customHeight="1">
      <c r="A1013" s="89"/>
      <c r="B1013" s="92" t="str">
        <f t="shared" si="293"/>
        <v/>
      </c>
      <c r="I1013" s="329" t="str">
        <f t="shared" si="290"/>
        <v/>
      </c>
      <c r="J1013" s="329" t="str">
        <f t="shared" si="291"/>
        <v/>
      </c>
      <c r="K1013" s="329" t="str">
        <f t="shared" si="292"/>
        <v/>
      </c>
    </row>
    <row r="1014" spans="1:11" ht="12.75" customHeight="1">
      <c r="A1014" s="89"/>
      <c r="B1014" s="92" t="str">
        <f t="shared" si="293"/>
        <v/>
      </c>
      <c r="I1014" s="329" t="str">
        <f t="shared" si="290"/>
        <v/>
      </c>
      <c r="J1014" s="329" t="str">
        <f t="shared" si="291"/>
        <v/>
      </c>
      <c r="K1014" s="329" t="str">
        <f t="shared" si="292"/>
        <v/>
      </c>
    </row>
    <row r="1015" spans="1:11" ht="12.75" customHeight="1">
      <c r="A1015" s="89"/>
      <c r="B1015" s="92" t="str">
        <f t="shared" si="293"/>
        <v/>
      </c>
      <c r="I1015" s="329" t="str">
        <f t="shared" si="290"/>
        <v/>
      </c>
      <c r="J1015" s="329" t="str">
        <f t="shared" si="291"/>
        <v/>
      </c>
      <c r="K1015" s="329" t="str">
        <f t="shared" si="292"/>
        <v/>
      </c>
    </row>
    <row r="1016" spans="1:11" ht="12.75" customHeight="1">
      <c r="A1016" s="89"/>
      <c r="B1016" s="92" t="str">
        <f t="shared" si="293"/>
        <v/>
      </c>
      <c r="I1016" s="329" t="str">
        <f t="shared" si="290"/>
        <v/>
      </c>
      <c r="J1016" s="329" t="str">
        <f t="shared" si="291"/>
        <v/>
      </c>
      <c r="K1016" s="329" t="str">
        <f t="shared" si="292"/>
        <v/>
      </c>
    </row>
    <row r="1017" spans="1:11" ht="12.75" customHeight="1">
      <c r="A1017" s="89"/>
      <c r="B1017" s="92" t="str">
        <f t="shared" si="293"/>
        <v/>
      </c>
      <c r="I1017" s="329" t="str">
        <f t="shared" si="290"/>
        <v/>
      </c>
      <c r="J1017" s="329" t="str">
        <f t="shared" si="291"/>
        <v/>
      </c>
      <c r="K1017" s="329" t="str">
        <f t="shared" si="292"/>
        <v/>
      </c>
    </row>
    <row r="1018" spans="1:11" ht="12.75" customHeight="1">
      <c r="A1018" s="89"/>
      <c r="B1018" s="92" t="str">
        <f t="shared" si="293"/>
        <v/>
      </c>
      <c r="I1018" s="329" t="str">
        <f t="shared" si="290"/>
        <v/>
      </c>
      <c r="J1018" s="329" t="str">
        <f t="shared" si="291"/>
        <v/>
      </c>
      <c r="K1018" s="329" t="str">
        <f t="shared" si="292"/>
        <v/>
      </c>
    </row>
    <row r="1019" spans="1:11" ht="12.75" customHeight="1">
      <c r="A1019" s="89"/>
      <c r="B1019" s="92" t="str">
        <f t="shared" si="293"/>
        <v/>
      </c>
      <c r="I1019" s="329" t="str">
        <f t="shared" si="290"/>
        <v/>
      </c>
      <c r="J1019" s="329" t="str">
        <f t="shared" si="291"/>
        <v/>
      </c>
      <c r="K1019" s="329" t="str">
        <f t="shared" si="292"/>
        <v/>
      </c>
    </row>
    <row r="1020" spans="1:11" ht="12.75" customHeight="1">
      <c r="A1020" s="89"/>
      <c r="B1020" s="92" t="str">
        <f t="shared" si="293"/>
        <v/>
      </c>
      <c r="I1020" s="329" t="str">
        <f t="shared" si="290"/>
        <v/>
      </c>
      <c r="J1020" s="329" t="str">
        <f t="shared" si="291"/>
        <v/>
      </c>
      <c r="K1020" s="329" t="str">
        <f t="shared" si="292"/>
        <v/>
      </c>
    </row>
    <row r="1021" spans="1:11" ht="12.75" customHeight="1">
      <c r="A1021" s="89"/>
      <c r="B1021" s="92" t="str">
        <f t="shared" si="293"/>
        <v/>
      </c>
      <c r="I1021" s="329" t="str">
        <f t="shared" si="290"/>
        <v/>
      </c>
      <c r="J1021" s="329" t="str">
        <f t="shared" si="291"/>
        <v/>
      </c>
      <c r="K1021" s="329" t="str">
        <f t="shared" si="292"/>
        <v/>
      </c>
    </row>
    <row r="1022" spans="1:11" ht="12.75" customHeight="1">
      <c r="A1022" s="89"/>
      <c r="B1022" s="92" t="str">
        <f t="shared" si="293"/>
        <v/>
      </c>
      <c r="I1022" s="329" t="str">
        <f t="shared" ref="I1022:I1085" si="294">+IF(G1022="","",G1022*H1022)</f>
        <v/>
      </c>
      <c r="J1022" s="329" t="str">
        <f t="shared" ref="J1022:J1085" si="295">+IF(G1022="","",I1022*0.1)</f>
        <v/>
      </c>
      <c r="K1022" s="329" t="str">
        <f t="shared" ref="K1022:K1085" si="296">+IF(G1022="","",I1022+J1022)</f>
        <v/>
      </c>
    </row>
    <row r="1023" spans="1:11" ht="12.75" customHeight="1">
      <c r="A1023" s="89"/>
      <c r="B1023" s="92" t="str">
        <f t="shared" si="293"/>
        <v/>
      </c>
      <c r="I1023" s="329" t="str">
        <f t="shared" si="294"/>
        <v/>
      </c>
      <c r="J1023" s="329" t="str">
        <f t="shared" si="295"/>
        <v/>
      </c>
      <c r="K1023" s="329" t="str">
        <f t="shared" si="296"/>
        <v/>
      </c>
    </row>
    <row r="1024" spans="1:11" ht="12.75" customHeight="1">
      <c r="A1024" s="89"/>
      <c r="B1024" s="92" t="str">
        <f t="shared" si="293"/>
        <v/>
      </c>
      <c r="I1024" s="329" t="str">
        <f t="shared" si="294"/>
        <v/>
      </c>
      <c r="J1024" s="329" t="str">
        <f t="shared" si="295"/>
        <v/>
      </c>
      <c r="K1024" s="329" t="str">
        <f t="shared" si="296"/>
        <v/>
      </c>
    </row>
    <row r="1025" spans="1:11" ht="12.75" customHeight="1">
      <c r="A1025" s="89"/>
      <c r="B1025" s="92" t="str">
        <f t="shared" si="293"/>
        <v/>
      </c>
      <c r="I1025" s="329" t="str">
        <f t="shared" si="294"/>
        <v/>
      </c>
      <c r="J1025" s="329" t="str">
        <f t="shared" si="295"/>
        <v/>
      </c>
      <c r="K1025" s="329" t="str">
        <f t="shared" si="296"/>
        <v/>
      </c>
    </row>
    <row r="1026" spans="1:11" ht="12.75" customHeight="1">
      <c r="A1026" s="89"/>
      <c r="B1026" s="92" t="str">
        <f t="shared" si="293"/>
        <v/>
      </c>
      <c r="I1026" s="329" t="str">
        <f t="shared" si="294"/>
        <v/>
      </c>
      <c r="J1026" s="329" t="str">
        <f t="shared" si="295"/>
        <v/>
      </c>
      <c r="K1026" s="329" t="str">
        <f t="shared" si="296"/>
        <v/>
      </c>
    </row>
    <row r="1027" spans="1:11" ht="12.75" customHeight="1">
      <c r="A1027" s="89"/>
      <c r="B1027" s="92" t="str">
        <f t="shared" si="293"/>
        <v/>
      </c>
      <c r="I1027" s="329" t="str">
        <f t="shared" si="294"/>
        <v/>
      </c>
      <c r="J1027" s="329" t="str">
        <f t="shared" si="295"/>
        <v/>
      </c>
      <c r="K1027" s="329" t="str">
        <f t="shared" si="296"/>
        <v/>
      </c>
    </row>
    <row r="1028" spans="1:11" ht="12.75" customHeight="1">
      <c r="A1028" s="89"/>
      <c r="B1028" s="92" t="str">
        <f t="shared" si="293"/>
        <v/>
      </c>
      <c r="I1028" s="329" t="str">
        <f t="shared" si="294"/>
        <v/>
      </c>
      <c r="J1028" s="329" t="str">
        <f t="shared" si="295"/>
        <v/>
      </c>
      <c r="K1028" s="329" t="str">
        <f t="shared" si="296"/>
        <v/>
      </c>
    </row>
    <row r="1029" spans="1:11" ht="12.75" customHeight="1">
      <c r="A1029" s="89"/>
      <c r="B1029" s="92" t="str">
        <f t="shared" si="293"/>
        <v/>
      </c>
      <c r="I1029" s="329" t="str">
        <f t="shared" si="294"/>
        <v/>
      </c>
      <c r="J1029" s="329" t="str">
        <f t="shared" si="295"/>
        <v/>
      </c>
      <c r="K1029" s="329" t="str">
        <f t="shared" si="296"/>
        <v/>
      </c>
    </row>
    <row r="1030" spans="1:11" ht="12.75" customHeight="1">
      <c r="A1030" s="89"/>
      <c r="B1030" s="92" t="str">
        <f t="shared" si="293"/>
        <v/>
      </c>
      <c r="I1030" s="329" t="str">
        <f t="shared" si="294"/>
        <v/>
      </c>
      <c r="J1030" s="329" t="str">
        <f t="shared" si="295"/>
        <v/>
      </c>
      <c r="K1030" s="329" t="str">
        <f t="shared" si="296"/>
        <v/>
      </c>
    </row>
    <row r="1031" spans="1:11" ht="12.75" customHeight="1">
      <c r="A1031" s="89"/>
      <c r="B1031" s="92" t="str">
        <f t="shared" si="293"/>
        <v/>
      </c>
      <c r="I1031" s="329" t="str">
        <f t="shared" si="294"/>
        <v/>
      </c>
      <c r="J1031" s="329" t="str">
        <f t="shared" si="295"/>
        <v/>
      </c>
      <c r="K1031" s="329" t="str">
        <f t="shared" si="296"/>
        <v/>
      </c>
    </row>
    <row r="1032" spans="1:11" ht="12.75" customHeight="1">
      <c r="A1032" s="89"/>
      <c r="B1032" s="92" t="str">
        <f t="shared" si="293"/>
        <v/>
      </c>
      <c r="I1032" s="329" t="str">
        <f t="shared" si="294"/>
        <v/>
      </c>
      <c r="J1032" s="329" t="str">
        <f t="shared" si="295"/>
        <v/>
      </c>
      <c r="K1032" s="329" t="str">
        <f t="shared" si="296"/>
        <v/>
      </c>
    </row>
    <row r="1033" spans="1:11" ht="12.75" customHeight="1">
      <c r="A1033" s="89"/>
      <c r="B1033" s="92" t="str">
        <f t="shared" si="293"/>
        <v/>
      </c>
      <c r="I1033" s="329" t="str">
        <f t="shared" si="294"/>
        <v/>
      </c>
      <c r="J1033" s="329" t="str">
        <f t="shared" si="295"/>
        <v/>
      </c>
      <c r="K1033" s="329" t="str">
        <f t="shared" si="296"/>
        <v/>
      </c>
    </row>
    <row r="1034" spans="1:11" ht="12.75" customHeight="1">
      <c r="A1034" s="89"/>
      <c r="B1034" s="92" t="str">
        <f t="shared" si="293"/>
        <v/>
      </c>
      <c r="I1034" s="329" t="str">
        <f t="shared" si="294"/>
        <v/>
      </c>
      <c r="J1034" s="329" t="str">
        <f t="shared" si="295"/>
        <v/>
      </c>
      <c r="K1034" s="329" t="str">
        <f t="shared" si="296"/>
        <v/>
      </c>
    </row>
    <row r="1035" spans="1:11" ht="12.75" customHeight="1">
      <c r="A1035" s="89"/>
      <c r="B1035" s="92" t="str">
        <f t="shared" si="293"/>
        <v/>
      </c>
      <c r="I1035" s="329" t="str">
        <f t="shared" si="294"/>
        <v/>
      </c>
      <c r="J1035" s="329" t="str">
        <f t="shared" si="295"/>
        <v/>
      </c>
      <c r="K1035" s="329" t="str">
        <f t="shared" si="296"/>
        <v/>
      </c>
    </row>
    <row r="1036" spans="1:11" ht="12.75" customHeight="1">
      <c r="A1036" s="89"/>
      <c r="B1036" s="92" t="str">
        <f t="shared" si="293"/>
        <v/>
      </c>
      <c r="I1036" s="329" t="str">
        <f t="shared" si="294"/>
        <v/>
      </c>
      <c r="J1036" s="329" t="str">
        <f t="shared" si="295"/>
        <v/>
      </c>
      <c r="K1036" s="329" t="str">
        <f t="shared" si="296"/>
        <v/>
      </c>
    </row>
    <row r="1037" spans="1:11" ht="12.75" customHeight="1">
      <c r="A1037" s="89"/>
      <c r="B1037" s="92" t="str">
        <f t="shared" si="293"/>
        <v/>
      </c>
      <c r="I1037" s="329" t="str">
        <f t="shared" si="294"/>
        <v/>
      </c>
      <c r="J1037" s="329" t="str">
        <f t="shared" si="295"/>
        <v/>
      </c>
      <c r="K1037" s="329" t="str">
        <f t="shared" si="296"/>
        <v/>
      </c>
    </row>
    <row r="1038" spans="1:11" ht="12.75" customHeight="1">
      <c r="A1038" s="89"/>
      <c r="B1038" s="92" t="str">
        <f t="shared" si="293"/>
        <v/>
      </c>
      <c r="I1038" s="329" t="str">
        <f t="shared" si="294"/>
        <v/>
      </c>
      <c r="J1038" s="329" t="str">
        <f t="shared" si="295"/>
        <v/>
      </c>
      <c r="K1038" s="329" t="str">
        <f t="shared" si="296"/>
        <v/>
      </c>
    </row>
    <row r="1039" spans="1:11" ht="12.75" customHeight="1">
      <c r="A1039" s="89"/>
      <c r="B1039" s="92" t="str">
        <f t="shared" si="293"/>
        <v/>
      </c>
      <c r="I1039" s="329" t="str">
        <f t="shared" si="294"/>
        <v/>
      </c>
      <c r="J1039" s="329" t="str">
        <f t="shared" si="295"/>
        <v/>
      </c>
      <c r="K1039" s="329" t="str">
        <f t="shared" si="296"/>
        <v/>
      </c>
    </row>
    <row r="1040" spans="1:11" ht="12.75" customHeight="1">
      <c r="A1040" s="89"/>
      <c r="B1040" s="92" t="str">
        <f t="shared" si="293"/>
        <v/>
      </c>
      <c r="I1040" s="329" t="str">
        <f t="shared" si="294"/>
        <v/>
      </c>
      <c r="J1040" s="329" t="str">
        <f t="shared" si="295"/>
        <v/>
      </c>
      <c r="K1040" s="329" t="str">
        <f t="shared" si="296"/>
        <v/>
      </c>
    </row>
    <row r="1041" spans="1:11" ht="12.75" customHeight="1">
      <c r="A1041" s="89"/>
      <c r="B1041" s="92" t="str">
        <f t="shared" si="293"/>
        <v/>
      </c>
      <c r="I1041" s="329" t="str">
        <f t="shared" si="294"/>
        <v/>
      </c>
      <c r="J1041" s="329" t="str">
        <f t="shared" si="295"/>
        <v/>
      </c>
      <c r="K1041" s="329" t="str">
        <f t="shared" si="296"/>
        <v/>
      </c>
    </row>
    <row r="1042" spans="1:11" ht="12.75" customHeight="1">
      <c r="A1042" s="89"/>
      <c r="B1042" s="92" t="str">
        <f t="shared" si="293"/>
        <v/>
      </c>
      <c r="I1042" s="329" t="str">
        <f t="shared" si="294"/>
        <v/>
      </c>
      <c r="J1042" s="329" t="str">
        <f t="shared" si="295"/>
        <v/>
      </c>
      <c r="K1042" s="329" t="str">
        <f t="shared" si="296"/>
        <v/>
      </c>
    </row>
    <row r="1043" spans="1:11" ht="12.75" customHeight="1">
      <c r="A1043" s="89"/>
      <c r="B1043" s="92" t="str">
        <f t="shared" si="293"/>
        <v/>
      </c>
      <c r="I1043" s="329" t="str">
        <f t="shared" si="294"/>
        <v/>
      </c>
      <c r="J1043" s="329" t="str">
        <f t="shared" si="295"/>
        <v/>
      </c>
      <c r="K1043" s="329" t="str">
        <f t="shared" si="296"/>
        <v/>
      </c>
    </row>
    <row r="1044" spans="1:11" ht="12.75" customHeight="1">
      <c r="A1044" s="89"/>
      <c r="B1044" s="92" t="str">
        <f t="shared" si="293"/>
        <v/>
      </c>
      <c r="I1044" s="329" t="str">
        <f t="shared" si="294"/>
        <v/>
      </c>
      <c r="J1044" s="329" t="str">
        <f t="shared" si="295"/>
        <v/>
      </c>
      <c r="K1044" s="329" t="str">
        <f t="shared" si="296"/>
        <v/>
      </c>
    </row>
    <row r="1045" spans="1:11" ht="12.75" customHeight="1">
      <c r="A1045" s="89"/>
      <c r="B1045" s="92" t="str">
        <f t="shared" si="293"/>
        <v/>
      </c>
      <c r="I1045" s="329" t="str">
        <f t="shared" si="294"/>
        <v/>
      </c>
      <c r="J1045" s="329" t="str">
        <f t="shared" si="295"/>
        <v/>
      </c>
      <c r="K1045" s="329" t="str">
        <f t="shared" si="296"/>
        <v/>
      </c>
    </row>
    <row r="1046" spans="1:11" ht="12.75" customHeight="1">
      <c r="A1046" s="89"/>
      <c r="B1046" s="92" t="str">
        <f t="shared" si="293"/>
        <v/>
      </c>
      <c r="I1046" s="329" t="str">
        <f t="shared" si="294"/>
        <v/>
      </c>
      <c r="J1046" s="329" t="str">
        <f t="shared" si="295"/>
        <v/>
      </c>
      <c r="K1046" s="329" t="str">
        <f t="shared" si="296"/>
        <v/>
      </c>
    </row>
    <row r="1047" spans="1:11" ht="12.75" customHeight="1">
      <c r="A1047" s="89"/>
      <c r="B1047" s="92" t="str">
        <f t="shared" si="293"/>
        <v/>
      </c>
      <c r="I1047" s="329" t="str">
        <f t="shared" si="294"/>
        <v/>
      </c>
      <c r="J1047" s="329" t="str">
        <f t="shared" si="295"/>
        <v/>
      </c>
      <c r="K1047" s="329" t="str">
        <f t="shared" si="296"/>
        <v/>
      </c>
    </row>
    <row r="1048" spans="1:11" ht="12.75" customHeight="1">
      <c r="A1048" s="89"/>
      <c r="B1048" s="92" t="str">
        <f t="shared" si="293"/>
        <v/>
      </c>
      <c r="I1048" s="329" t="str">
        <f t="shared" si="294"/>
        <v/>
      </c>
      <c r="J1048" s="329" t="str">
        <f t="shared" si="295"/>
        <v/>
      </c>
      <c r="K1048" s="329" t="str">
        <f t="shared" si="296"/>
        <v/>
      </c>
    </row>
    <row r="1049" spans="1:11" ht="12.75" customHeight="1">
      <c r="A1049" s="89"/>
      <c r="B1049" s="92" t="str">
        <f t="shared" si="293"/>
        <v/>
      </c>
      <c r="I1049" s="329" t="str">
        <f t="shared" si="294"/>
        <v/>
      </c>
      <c r="J1049" s="329" t="str">
        <f t="shared" si="295"/>
        <v/>
      </c>
      <c r="K1049" s="329" t="str">
        <f t="shared" si="296"/>
        <v/>
      </c>
    </row>
    <row r="1050" spans="1:11" ht="12.75" customHeight="1">
      <c r="A1050" s="89"/>
      <c r="B1050" s="92" t="str">
        <f t="shared" si="293"/>
        <v/>
      </c>
      <c r="I1050" s="329" t="str">
        <f t="shared" si="294"/>
        <v/>
      </c>
      <c r="J1050" s="329" t="str">
        <f t="shared" si="295"/>
        <v/>
      </c>
      <c r="K1050" s="329" t="str">
        <f t="shared" si="296"/>
        <v/>
      </c>
    </row>
    <row r="1051" spans="1:11" ht="12.75" customHeight="1">
      <c r="A1051" s="89"/>
      <c r="B1051" s="92" t="str">
        <f t="shared" si="293"/>
        <v/>
      </c>
      <c r="I1051" s="329" t="str">
        <f t="shared" si="294"/>
        <v/>
      </c>
      <c r="J1051" s="329" t="str">
        <f t="shared" si="295"/>
        <v/>
      </c>
      <c r="K1051" s="329" t="str">
        <f t="shared" si="296"/>
        <v/>
      </c>
    </row>
    <row r="1052" spans="1:11" ht="12.75" customHeight="1">
      <c r="A1052" s="89"/>
      <c r="B1052" s="92" t="str">
        <f t="shared" si="293"/>
        <v/>
      </c>
      <c r="I1052" s="329" t="str">
        <f t="shared" si="294"/>
        <v/>
      </c>
      <c r="J1052" s="329" t="str">
        <f t="shared" si="295"/>
        <v/>
      </c>
      <c r="K1052" s="329" t="str">
        <f t="shared" si="296"/>
        <v/>
      </c>
    </row>
    <row r="1053" spans="1:11" ht="12.75" customHeight="1">
      <c r="A1053" s="89"/>
      <c r="B1053" s="92" t="str">
        <f t="shared" si="293"/>
        <v/>
      </c>
      <c r="I1053" s="329" t="str">
        <f t="shared" si="294"/>
        <v/>
      </c>
      <c r="J1053" s="329" t="str">
        <f t="shared" si="295"/>
        <v/>
      </c>
      <c r="K1053" s="329" t="str">
        <f t="shared" si="296"/>
        <v/>
      </c>
    </row>
    <row r="1054" spans="1:11" ht="12.75" customHeight="1">
      <c r="A1054" s="89"/>
      <c r="B1054" s="92" t="str">
        <f t="shared" si="293"/>
        <v/>
      </c>
      <c r="I1054" s="329" t="str">
        <f t="shared" si="294"/>
        <v/>
      </c>
      <c r="J1054" s="329" t="str">
        <f t="shared" si="295"/>
        <v/>
      </c>
      <c r="K1054" s="329" t="str">
        <f t="shared" si="296"/>
        <v/>
      </c>
    </row>
    <row r="1055" spans="1:11" ht="12.75" customHeight="1">
      <c r="A1055" s="89"/>
      <c r="B1055" s="92" t="str">
        <f t="shared" si="293"/>
        <v/>
      </c>
      <c r="I1055" s="329" t="str">
        <f t="shared" si="294"/>
        <v/>
      </c>
      <c r="J1055" s="329" t="str">
        <f t="shared" si="295"/>
        <v/>
      </c>
      <c r="K1055" s="329" t="str">
        <f t="shared" si="296"/>
        <v/>
      </c>
    </row>
    <row r="1056" spans="1:11" ht="12.75" customHeight="1">
      <c r="A1056" s="89"/>
      <c r="B1056" s="92" t="str">
        <f t="shared" si="293"/>
        <v/>
      </c>
      <c r="I1056" s="329" t="str">
        <f t="shared" si="294"/>
        <v/>
      </c>
      <c r="J1056" s="329" t="str">
        <f t="shared" si="295"/>
        <v/>
      </c>
      <c r="K1056" s="329" t="str">
        <f t="shared" si="296"/>
        <v/>
      </c>
    </row>
    <row r="1057" spans="1:11" ht="12.75" customHeight="1">
      <c r="A1057" s="89"/>
      <c r="B1057" s="92" t="str">
        <f t="shared" si="293"/>
        <v/>
      </c>
      <c r="I1057" s="329" t="str">
        <f t="shared" si="294"/>
        <v/>
      </c>
      <c r="J1057" s="329" t="str">
        <f t="shared" si="295"/>
        <v/>
      </c>
      <c r="K1057" s="329" t="str">
        <f t="shared" si="296"/>
        <v/>
      </c>
    </row>
    <row r="1058" spans="1:11" ht="12.75" customHeight="1">
      <c r="A1058" s="89"/>
      <c r="B1058" s="92" t="str">
        <f t="shared" si="293"/>
        <v/>
      </c>
      <c r="I1058" s="329" t="str">
        <f t="shared" si="294"/>
        <v/>
      </c>
      <c r="J1058" s="329" t="str">
        <f t="shared" si="295"/>
        <v/>
      </c>
      <c r="K1058" s="329" t="str">
        <f t="shared" si="296"/>
        <v/>
      </c>
    </row>
    <row r="1059" spans="1:11" ht="12.75" customHeight="1">
      <c r="A1059" s="89"/>
      <c r="B1059" s="92" t="str">
        <f t="shared" si="293"/>
        <v/>
      </c>
      <c r="I1059" s="329" t="str">
        <f t="shared" si="294"/>
        <v/>
      </c>
      <c r="J1059" s="329" t="str">
        <f t="shared" si="295"/>
        <v/>
      </c>
      <c r="K1059" s="329" t="str">
        <f t="shared" si="296"/>
        <v/>
      </c>
    </row>
    <row r="1060" spans="1:11" ht="12.75" customHeight="1">
      <c r="A1060" s="89"/>
      <c r="B1060" s="92" t="str">
        <f t="shared" si="293"/>
        <v/>
      </c>
      <c r="I1060" s="329" t="str">
        <f t="shared" si="294"/>
        <v/>
      </c>
      <c r="J1060" s="329" t="str">
        <f t="shared" si="295"/>
        <v/>
      </c>
      <c r="K1060" s="329" t="str">
        <f t="shared" si="296"/>
        <v/>
      </c>
    </row>
    <row r="1061" spans="1:11" ht="12.75" customHeight="1">
      <c r="A1061" s="89"/>
      <c r="B1061" s="92" t="str">
        <f t="shared" si="293"/>
        <v/>
      </c>
      <c r="I1061" s="329" t="str">
        <f t="shared" si="294"/>
        <v/>
      </c>
      <c r="J1061" s="329" t="str">
        <f t="shared" si="295"/>
        <v/>
      </c>
      <c r="K1061" s="329" t="str">
        <f t="shared" si="296"/>
        <v/>
      </c>
    </row>
    <row r="1062" spans="1:11" ht="12.75" customHeight="1">
      <c r="A1062" s="89"/>
      <c r="B1062" s="92" t="str">
        <f t="shared" si="293"/>
        <v/>
      </c>
      <c r="I1062" s="329" t="str">
        <f t="shared" si="294"/>
        <v/>
      </c>
      <c r="J1062" s="329" t="str">
        <f t="shared" si="295"/>
        <v/>
      </c>
      <c r="K1062" s="329" t="str">
        <f t="shared" si="296"/>
        <v/>
      </c>
    </row>
    <row r="1063" spans="1:11" ht="12.75" customHeight="1">
      <c r="A1063" s="89"/>
      <c r="B1063" s="92" t="str">
        <f t="shared" si="293"/>
        <v/>
      </c>
      <c r="I1063" s="329" t="str">
        <f t="shared" si="294"/>
        <v/>
      </c>
      <c r="J1063" s="329" t="str">
        <f t="shared" si="295"/>
        <v/>
      </c>
      <c r="K1063" s="329" t="str">
        <f t="shared" si="296"/>
        <v/>
      </c>
    </row>
    <row r="1064" spans="1:11" ht="12.75" customHeight="1">
      <c r="A1064" s="89"/>
      <c r="B1064" s="92" t="str">
        <f t="shared" si="293"/>
        <v/>
      </c>
      <c r="I1064" s="329" t="str">
        <f t="shared" si="294"/>
        <v/>
      </c>
      <c r="J1064" s="329" t="str">
        <f t="shared" si="295"/>
        <v/>
      </c>
      <c r="K1064" s="329" t="str">
        <f t="shared" si="296"/>
        <v/>
      </c>
    </row>
    <row r="1065" spans="1:11" ht="12.75" customHeight="1">
      <c r="A1065" s="89"/>
      <c r="B1065" s="92" t="str">
        <f t="shared" si="293"/>
        <v/>
      </c>
      <c r="I1065" s="329" t="str">
        <f t="shared" si="294"/>
        <v/>
      </c>
      <c r="J1065" s="329" t="str">
        <f t="shared" si="295"/>
        <v/>
      </c>
      <c r="K1065" s="329" t="str">
        <f t="shared" si="296"/>
        <v/>
      </c>
    </row>
    <row r="1066" spans="1:11" ht="12.75" customHeight="1">
      <c r="A1066" s="89"/>
      <c r="B1066" s="92" t="str">
        <f t="shared" si="293"/>
        <v/>
      </c>
      <c r="I1066" s="329" t="str">
        <f t="shared" si="294"/>
        <v/>
      </c>
      <c r="J1066" s="329" t="str">
        <f t="shared" si="295"/>
        <v/>
      </c>
      <c r="K1066" s="329" t="str">
        <f t="shared" si="296"/>
        <v/>
      </c>
    </row>
    <row r="1067" spans="1:11" ht="12.75" customHeight="1">
      <c r="A1067" s="89"/>
      <c r="B1067" s="92" t="str">
        <f t="shared" si="293"/>
        <v/>
      </c>
      <c r="I1067" s="329" t="str">
        <f t="shared" si="294"/>
        <v/>
      </c>
      <c r="J1067" s="329" t="str">
        <f t="shared" si="295"/>
        <v/>
      </c>
      <c r="K1067" s="329" t="str">
        <f t="shared" si="296"/>
        <v/>
      </c>
    </row>
    <row r="1068" spans="1:11" ht="12.75" customHeight="1">
      <c r="A1068" s="89"/>
      <c r="B1068" s="92" t="str">
        <f t="shared" si="293"/>
        <v/>
      </c>
      <c r="I1068" s="329" t="str">
        <f t="shared" si="294"/>
        <v/>
      </c>
      <c r="J1068" s="329" t="str">
        <f t="shared" si="295"/>
        <v/>
      </c>
      <c r="K1068" s="329" t="str">
        <f t="shared" si="296"/>
        <v/>
      </c>
    </row>
    <row r="1069" spans="1:11" ht="12.75" customHeight="1">
      <c r="A1069" s="89"/>
      <c r="B1069" s="92" t="str">
        <f t="shared" si="293"/>
        <v/>
      </c>
      <c r="I1069" s="329" t="str">
        <f t="shared" si="294"/>
        <v/>
      </c>
      <c r="J1069" s="329" t="str">
        <f t="shared" si="295"/>
        <v/>
      </c>
      <c r="K1069" s="329" t="str">
        <f t="shared" si="296"/>
        <v/>
      </c>
    </row>
    <row r="1070" spans="1:11" ht="12.75" customHeight="1">
      <c r="A1070" s="89"/>
      <c r="B1070" s="92" t="str">
        <f t="shared" ref="B1070:B1133" si="297">IF(C1070="","",ROW()-5)</f>
        <v/>
      </c>
      <c r="I1070" s="329" t="str">
        <f t="shared" si="294"/>
        <v/>
      </c>
      <c r="J1070" s="329" t="str">
        <f t="shared" si="295"/>
        <v/>
      </c>
      <c r="K1070" s="329" t="str">
        <f t="shared" si="296"/>
        <v/>
      </c>
    </row>
    <row r="1071" spans="1:11" ht="12.75" customHeight="1">
      <c r="A1071" s="89"/>
      <c r="B1071" s="92" t="str">
        <f t="shared" si="297"/>
        <v/>
      </c>
      <c r="I1071" s="329" t="str">
        <f t="shared" si="294"/>
        <v/>
      </c>
      <c r="J1071" s="329" t="str">
        <f t="shared" si="295"/>
        <v/>
      </c>
      <c r="K1071" s="329" t="str">
        <f t="shared" si="296"/>
        <v/>
      </c>
    </row>
    <row r="1072" spans="1:11" ht="12.75" customHeight="1">
      <c r="A1072" s="89"/>
      <c r="B1072" s="92" t="str">
        <f t="shared" si="297"/>
        <v/>
      </c>
      <c r="I1072" s="329" t="str">
        <f t="shared" si="294"/>
        <v/>
      </c>
      <c r="J1072" s="329" t="str">
        <f t="shared" si="295"/>
        <v/>
      </c>
      <c r="K1072" s="329" t="str">
        <f t="shared" si="296"/>
        <v/>
      </c>
    </row>
    <row r="1073" spans="1:11" ht="12.75" customHeight="1">
      <c r="A1073" s="89"/>
      <c r="B1073" s="92" t="str">
        <f t="shared" si="297"/>
        <v/>
      </c>
      <c r="I1073" s="329" t="str">
        <f t="shared" si="294"/>
        <v/>
      </c>
      <c r="J1073" s="329" t="str">
        <f t="shared" si="295"/>
        <v/>
      </c>
      <c r="K1073" s="329" t="str">
        <f t="shared" si="296"/>
        <v/>
      </c>
    </row>
    <row r="1074" spans="1:11" ht="12.75" customHeight="1">
      <c r="A1074" s="89"/>
      <c r="B1074" s="92" t="str">
        <f t="shared" si="297"/>
        <v/>
      </c>
      <c r="I1074" s="329" t="str">
        <f t="shared" si="294"/>
        <v/>
      </c>
      <c r="J1074" s="329" t="str">
        <f t="shared" si="295"/>
        <v/>
      </c>
      <c r="K1074" s="329" t="str">
        <f t="shared" si="296"/>
        <v/>
      </c>
    </row>
    <row r="1075" spans="1:11" ht="12.75" customHeight="1">
      <c r="A1075" s="89"/>
      <c r="B1075" s="92" t="str">
        <f t="shared" si="297"/>
        <v/>
      </c>
      <c r="I1075" s="329" t="str">
        <f t="shared" si="294"/>
        <v/>
      </c>
      <c r="J1075" s="329" t="str">
        <f t="shared" si="295"/>
        <v/>
      </c>
      <c r="K1075" s="329" t="str">
        <f t="shared" si="296"/>
        <v/>
      </c>
    </row>
    <row r="1076" spans="1:11" ht="12.75" customHeight="1">
      <c r="A1076" s="89"/>
      <c r="B1076" s="92" t="str">
        <f t="shared" si="297"/>
        <v/>
      </c>
      <c r="I1076" s="329" t="str">
        <f t="shared" si="294"/>
        <v/>
      </c>
      <c r="J1076" s="329" t="str">
        <f t="shared" si="295"/>
        <v/>
      </c>
      <c r="K1076" s="329" t="str">
        <f t="shared" si="296"/>
        <v/>
      </c>
    </row>
    <row r="1077" spans="1:11" ht="12.75" customHeight="1">
      <c r="A1077" s="89"/>
      <c r="B1077" s="92" t="str">
        <f t="shared" si="297"/>
        <v/>
      </c>
      <c r="I1077" s="329" t="str">
        <f t="shared" si="294"/>
        <v/>
      </c>
      <c r="J1077" s="329" t="str">
        <f t="shared" si="295"/>
        <v/>
      </c>
      <c r="K1077" s="329" t="str">
        <f t="shared" si="296"/>
        <v/>
      </c>
    </row>
    <row r="1078" spans="1:11" ht="12.75" customHeight="1">
      <c r="A1078" s="89"/>
      <c r="B1078" s="92" t="str">
        <f t="shared" si="297"/>
        <v/>
      </c>
      <c r="I1078" s="329" t="str">
        <f t="shared" si="294"/>
        <v/>
      </c>
      <c r="J1078" s="329" t="str">
        <f t="shared" si="295"/>
        <v/>
      </c>
      <c r="K1078" s="329" t="str">
        <f t="shared" si="296"/>
        <v/>
      </c>
    </row>
    <row r="1079" spans="1:11" ht="12.75" customHeight="1">
      <c r="A1079" s="89"/>
      <c r="B1079" s="92" t="str">
        <f t="shared" si="297"/>
        <v/>
      </c>
      <c r="I1079" s="329" t="str">
        <f t="shared" si="294"/>
        <v/>
      </c>
      <c r="J1079" s="329" t="str">
        <f t="shared" si="295"/>
        <v/>
      </c>
      <c r="K1079" s="329" t="str">
        <f t="shared" si="296"/>
        <v/>
      </c>
    </row>
    <row r="1080" spans="1:11" ht="12.75" customHeight="1">
      <c r="A1080" s="89"/>
      <c r="B1080" s="92" t="str">
        <f t="shared" si="297"/>
        <v/>
      </c>
      <c r="I1080" s="329" t="str">
        <f t="shared" si="294"/>
        <v/>
      </c>
      <c r="J1080" s="329" t="str">
        <f t="shared" si="295"/>
        <v/>
      </c>
      <c r="K1080" s="329" t="str">
        <f t="shared" si="296"/>
        <v/>
      </c>
    </row>
    <row r="1081" spans="1:11" ht="12.75" customHeight="1">
      <c r="A1081" s="89"/>
      <c r="B1081" s="92" t="str">
        <f t="shared" si="297"/>
        <v/>
      </c>
      <c r="I1081" s="329" t="str">
        <f t="shared" si="294"/>
        <v/>
      </c>
      <c r="J1081" s="329" t="str">
        <f t="shared" si="295"/>
        <v/>
      </c>
      <c r="K1081" s="329" t="str">
        <f t="shared" si="296"/>
        <v/>
      </c>
    </row>
    <row r="1082" spans="1:11" ht="12.75" customHeight="1">
      <c r="A1082" s="89"/>
      <c r="B1082" s="92" t="str">
        <f t="shared" si="297"/>
        <v/>
      </c>
      <c r="I1082" s="329" t="str">
        <f t="shared" si="294"/>
        <v/>
      </c>
      <c r="J1082" s="329" t="str">
        <f t="shared" si="295"/>
        <v/>
      </c>
      <c r="K1082" s="329" t="str">
        <f t="shared" si="296"/>
        <v/>
      </c>
    </row>
    <row r="1083" spans="1:11" ht="12.75" customHeight="1">
      <c r="A1083" s="89"/>
      <c r="B1083" s="92" t="str">
        <f t="shared" si="297"/>
        <v/>
      </c>
      <c r="I1083" s="329" t="str">
        <f t="shared" si="294"/>
        <v/>
      </c>
      <c r="J1083" s="329" t="str">
        <f t="shared" si="295"/>
        <v/>
      </c>
      <c r="K1083" s="329" t="str">
        <f t="shared" si="296"/>
        <v/>
      </c>
    </row>
    <row r="1084" spans="1:11" ht="12.75" customHeight="1">
      <c r="A1084" s="89"/>
      <c r="B1084" s="92" t="str">
        <f t="shared" si="297"/>
        <v/>
      </c>
      <c r="I1084" s="329" t="str">
        <f t="shared" si="294"/>
        <v/>
      </c>
      <c r="J1084" s="329" t="str">
        <f t="shared" si="295"/>
        <v/>
      </c>
      <c r="K1084" s="329" t="str">
        <f t="shared" si="296"/>
        <v/>
      </c>
    </row>
    <row r="1085" spans="1:11" ht="12.75" customHeight="1">
      <c r="A1085" s="89"/>
      <c r="B1085" s="92" t="str">
        <f t="shared" si="297"/>
        <v/>
      </c>
      <c r="I1085" s="329" t="str">
        <f t="shared" si="294"/>
        <v/>
      </c>
      <c r="J1085" s="329" t="str">
        <f t="shared" si="295"/>
        <v/>
      </c>
      <c r="K1085" s="329" t="str">
        <f t="shared" si="296"/>
        <v/>
      </c>
    </row>
    <row r="1086" spans="1:11" ht="12.75" customHeight="1">
      <c r="A1086" s="89"/>
      <c r="B1086" s="92" t="str">
        <f t="shared" si="297"/>
        <v/>
      </c>
      <c r="I1086" s="329" t="str">
        <f t="shared" ref="I1086:I1149" si="298">+IF(G1086="","",G1086*H1086)</f>
        <v/>
      </c>
      <c r="J1086" s="329" t="str">
        <f t="shared" ref="J1086:J1149" si="299">+IF(G1086="","",I1086*0.1)</f>
        <v/>
      </c>
      <c r="K1086" s="329" t="str">
        <f t="shared" ref="K1086:K1149" si="300">+IF(G1086="","",I1086+J1086)</f>
        <v/>
      </c>
    </row>
    <row r="1087" spans="1:11" ht="12.75" customHeight="1">
      <c r="A1087" s="89"/>
      <c r="B1087" s="92" t="str">
        <f t="shared" si="297"/>
        <v/>
      </c>
      <c r="I1087" s="329" t="str">
        <f t="shared" si="298"/>
        <v/>
      </c>
      <c r="J1087" s="329" t="str">
        <f t="shared" si="299"/>
        <v/>
      </c>
      <c r="K1087" s="329" t="str">
        <f t="shared" si="300"/>
        <v/>
      </c>
    </row>
    <row r="1088" spans="1:11" ht="12.75" customHeight="1">
      <c r="A1088" s="89"/>
      <c r="B1088" s="92" t="str">
        <f t="shared" si="297"/>
        <v/>
      </c>
      <c r="I1088" s="329" t="str">
        <f t="shared" si="298"/>
        <v/>
      </c>
      <c r="J1088" s="329" t="str">
        <f t="shared" si="299"/>
        <v/>
      </c>
      <c r="K1088" s="329" t="str">
        <f t="shared" si="300"/>
        <v/>
      </c>
    </row>
    <row r="1089" spans="1:11" ht="12.75" customHeight="1">
      <c r="A1089" s="89"/>
      <c r="B1089" s="92" t="str">
        <f t="shared" si="297"/>
        <v/>
      </c>
      <c r="I1089" s="329" t="str">
        <f t="shared" si="298"/>
        <v/>
      </c>
      <c r="J1089" s="329" t="str">
        <f t="shared" si="299"/>
        <v/>
      </c>
      <c r="K1089" s="329" t="str">
        <f t="shared" si="300"/>
        <v/>
      </c>
    </row>
    <row r="1090" spans="1:11" ht="12.75" customHeight="1">
      <c r="A1090" s="89"/>
      <c r="B1090" s="92" t="str">
        <f t="shared" si="297"/>
        <v/>
      </c>
      <c r="I1090" s="329" t="str">
        <f t="shared" si="298"/>
        <v/>
      </c>
      <c r="J1090" s="329" t="str">
        <f t="shared" si="299"/>
        <v/>
      </c>
      <c r="K1090" s="329" t="str">
        <f t="shared" si="300"/>
        <v/>
      </c>
    </row>
    <row r="1091" spans="1:11" ht="12.75" customHeight="1">
      <c r="A1091" s="89"/>
      <c r="B1091" s="92" t="str">
        <f t="shared" si="297"/>
        <v/>
      </c>
      <c r="I1091" s="329" t="str">
        <f t="shared" si="298"/>
        <v/>
      </c>
      <c r="J1091" s="329" t="str">
        <f t="shared" si="299"/>
        <v/>
      </c>
      <c r="K1091" s="329" t="str">
        <f t="shared" si="300"/>
        <v/>
      </c>
    </row>
    <row r="1092" spans="1:11" ht="12.75" customHeight="1">
      <c r="A1092" s="89"/>
      <c r="B1092" s="92" t="str">
        <f t="shared" si="297"/>
        <v/>
      </c>
      <c r="I1092" s="329" t="str">
        <f t="shared" si="298"/>
        <v/>
      </c>
      <c r="J1092" s="329" t="str">
        <f t="shared" si="299"/>
        <v/>
      </c>
      <c r="K1092" s="329" t="str">
        <f t="shared" si="300"/>
        <v/>
      </c>
    </row>
    <row r="1093" spans="1:11" ht="12.75" customHeight="1">
      <c r="A1093" s="89"/>
      <c r="B1093" s="92" t="str">
        <f t="shared" si="297"/>
        <v/>
      </c>
      <c r="I1093" s="329" t="str">
        <f t="shared" si="298"/>
        <v/>
      </c>
      <c r="J1093" s="329" t="str">
        <f t="shared" si="299"/>
        <v/>
      </c>
      <c r="K1093" s="329" t="str">
        <f t="shared" si="300"/>
        <v/>
      </c>
    </row>
    <row r="1094" spans="1:11" ht="12.75" customHeight="1">
      <c r="A1094" s="89"/>
      <c r="B1094" s="92" t="str">
        <f t="shared" si="297"/>
        <v/>
      </c>
      <c r="I1094" s="329" t="str">
        <f t="shared" si="298"/>
        <v/>
      </c>
      <c r="J1094" s="329" t="str">
        <f t="shared" si="299"/>
        <v/>
      </c>
      <c r="K1094" s="329" t="str">
        <f t="shared" si="300"/>
        <v/>
      </c>
    </row>
    <row r="1095" spans="1:11" ht="12.75" customHeight="1">
      <c r="A1095" s="89"/>
      <c r="B1095" s="92" t="str">
        <f t="shared" si="297"/>
        <v/>
      </c>
      <c r="I1095" s="329" t="str">
        <f t="shared" si="298"/>
        <v/>
      </c>
      <c r="J1095" s="329" t="str">
        <f t="shared" si="299"/>
        <v/>
      </c>
      <c r="K1095" s="329" t="str">
        <f t="shared" si="300"/>
        <v/>
      </c>
    </row>
    <row r="1096" spans="1:11" ht="12.75" customHeight="1">
      <c r="A1096" s="89"/>
      <c r="B1096" s="92" t="str">
        <f t="shared" si="297"/>
        <v/>
      </c>
      <c r="I1096" s="329" t="str">
        <f t="shared" si="298"/>
        <v/>
      </c>
      <c r="J1096" s="329" t="str">
        <f t="shared" si="299"/>
        <v/>
      </c>
      <c r="K1096" s="329" t="str">
        <f t="shared" si="300"/>
        <v/>
      </c>
    </row>
    <row r="1097" spans="1:11" ht="12.75" customHeight="1">
      <c r="A1097" s="89"/>
      <c r="B1097" s="92" t="str">
        <f t="shared" si="297"/>
        <v/>
      </c>
      <c r="I1097" s="329" t="str">
        <f t="shared" si="298"/>
        <v/>
      </c>
      <c r="J1097" s="329" t="str">
        <f t="shared" si="299"/>
        <v/>
      </c>
      <c r="K1097" s="329" t="str">
        <f t="shared" si="300"/>
        <v/>
      </c>
    </row>
    <row r="1098" spans="1:11" ht="12.75" customHeight="1">
      <c r="A1098" s="89"/>
      <c r="B1098" s="92" t="str">
        <f t="shared" si="297"/>
        <v/>
      </c>
      <c r="I1098" s="329" t="str">
        <f t="shared" si="298"/>
        <v/>
      </c>
      <c r="J1098" s="329" t="str">
        <f t="shared" si="299"/>
        <v/>
      </c>
      <c r="K1098" s="329" t="str">
        <f t="shared" si="300"/>
        <v/>
      </c>
    </row>
    <row r="1099" spans="1:11" ht="12.75" customHeight="1">
      <c r="A1099" s="89"/>
      <c r="B1099" s="92" t="str">
        <f t="shared" si="297"/>
        <v/>
      </c>
      <c r="I1099" s="329" t="str">
        <f t="shared" si="298"/>
        <v/>
      </c>
      <c r="J1099" s="329" t="str">
        <f t="shared" si="299"/>
        <v/>
      </c>
      <c r="K1099" s="329" t="str">
        <f t="shared" si="300"/>
        <v/>
      </c>
    </row>
    <row r="1100" spans="1:11" ht="12.75" customHeight="1">
      <c r="A1100" s="89"/>
      <c r="B1100" s="92" t="str">
        <f t="shared" si="297"/>
        <v/>
      </c>
      <c r="I1100" s="329" t="str">
        <f t="shared" si="298"/>
        <v/>
      </c>
      <c r="J1100" s="329" t="str">
        <f t="shared" si="299"/>
        <v/>
      </c>
      <c r="K1100" s="329" t="str">
        <f t="shared" si="300"/>
        <v/>
      </c>
    </row>
    <row r="1101" spans="1:11" ht="12.75" customHeight="1">
      <c r="A1101" s="89"/>
      <c r="B1101" s="92" t="str">
        <f t="shared" si="297"/>
        <v/>
      </c>
      <c r="I1101" s="329" t="str">
        <f t="shared" si="298"/>
        <v/>
      </c>
      <c r="J1101" s="329" t="str">
        <f t="shared" si="299"/>
        <v/>
      </c>
      <c r="K1101" s="329" t="str">
        <f t="shared" si="300"/>
        <v/>
      </c>
    </row>
    <row r="1102" spans="1:11" ht="12.75" customHeight="1">
      <c r="A1102" s="89"/>
      <c r="B1102" s="92" t="str">
        <f t="shared" si="297"/>
        <v/>
      </c>
      <c r="I1102" s="329" t="str">
        <f t="shared" si="298"/>
        <v/>
      </c>
      <c r="J1102" s="329" t="str">
        <f t="shared" si="299"/>
        <v/>
      </c>
      <c r="K1102" s="329" t="str">
        <f t="shared" si="300"/>
        <v/>
      </c>
    </row>
    <row r="1103" spans="1:11" ht="12.75" customHeight="1">
      <c r="A1103" s="89"/>
      <c r="B1103" s="92" t="str">
        <f t="shared" si="297"/>
        <v/>
      </c>
      <c r="I1103" s="329" t="str">
        <f t="shared" si="298"/>
        <v/>
      </c>
      <c r="J1103" s="329" t="str">
        <f t="shared" si="299"/>
        <v/>
      </c>
      <c r="K1103" s="329" t="str">
        <f t="shared" si="300"/>
        <v/>
      </c>
    </row>
    <row r="1104" spans="1:11" ht="12.75" customHeight="1">
      <c r="A1104" s="89"/>
      <c r="B1104" s="92" t="str">
        <f t="shared" si="297"/>
        <v/>
      </c>
      <c r="I1104" s="329" t="str">
        <f t="shared" si="298"/>
        <v/>
      </c>
      <c r="J1104" s="329" t="str">
        <f t="shared" si="299"/>
        <v/>
      </c>
      <c r="K1104" s="329" t="str">
        <f t="shared" si="300"/>
        <v/>
      </c>
    </row>
    <row r="1105" spans="1:11" ht="12.75" customHeight="1">
      <c r="A1105" s="89"/>
      <c r="B1105" s="92" t="str">
        <f t="shared" si="297"/>
        <v/>
      </c>
      <c r="I1105" s="329" t="str">
        <f t="shared" si="298"/>
        <v/>
      </c>
      <c r="J1105" s="329" t="str">
        <f t="shared" si="299"/>
        <v/>
      </c>
      <c r="K1105" s="329" t="str">
        <f t="shared" si="300"/>
        <v/>
      </c>
    </row>
    <row r="1106" spans="1:11" ht="12.75" customHeight="1">
      <c r="A1106" s="89"/>
      <c r="B1106" s="92" t="str">
        <f t="shared" si="297"/>
        <v/>
      </c>
      <c r="I1106" s="329" t="str">
        <f t="shared" si="298"/>
        <v/>
      </c>
      <c r="J1106" s="329" t="str">
        <f t="shared" si="299"/>
        <v/>
      </c>
      <c r="K1106" s="329" t="str">
        <f t="shared" si="300"/>
        <v/>
      </c>
    </row>
    <row r="1107" spans="1:11" ht="12.75" customHeight="1">
      <c r="A1107" s="89"/>
      <c r="B1107" s="92" t="str">
        <f t="shared" si="297"/>
        <v/>
      </c>
      <c r="I1107" s="329" t="str">
        <f t="shared" si="298"/>
        <v/>
      </c>
      <c r="J1107" s="329" t="str">
        <f t="shared" si="299"/>
        <v/>
      </c>
      <c r="K1107" s="329" t="str">
        <f t="shared" si="300"/>
        <v/>
      </c>
    </row>
    <row r="1108" spans="1:11" ht="12.75" customHeight="1">
      <c r="A1108" s="89"/>
      <c r="B1108" s="92" t="str">
        <f t="shared" si="297"/>
        <v/>
      </c>
      <c r="I1108" s="329" t="str">
        <f t="shared" si="298"/>
        <v/>
      </c>
      <c r="J1108" s="329" t="str">
        <f t="shared" si="299"/>
        <v/>
      </c>
      <c r="K1108" s="329" t="str">
        <f t="shared" si="300"/>
        <v/>
      </c>
    </row>
    <row r="1109" spans="1:11" ht="12.75" customHeight="1">
      <c r="A1109" s="89"/>
      <c r="B1109" s="92" t="str">
        <f t="shared" si="297"/>
        <v/>
      </c>
      <c r="I1109" s="329" t="str">
        <f t="shared" si="298"/>
        <v/>
      </c>
      <c r="J1109" s="329" t="str">
        <f t="shared" si="299"/>
        <v/>
      </c>
      <c r="K1109" s="329" t="str">
        <f t="shared" si="300"/>
        <v/>
      </c>
    </row>
    <row r="1110" spans="1:11" ht="12.75" customHeight="1">
      <c r="A1110" s="89"/>
      <c r="B1110" s="92" t="str">
        <f t="shared" si="297"/>
        <v/>
      </c>
      <c r="I1110" s="329" t="str">
        <f t="shared" si="298"/>
        <v/>
      </c>
      <c r="J1110" s="329" t="str">
        <f t="shared" si="299"/>
        <v/>
      </c>
      <c r="K1110" s="329" t="str">
        <f t="shared" si="300"/>
        <v/>
      </c>
    </row>
    <row r="1111" spans="1:11" ht="12.75" customHeight="1">
      <c r="A1111" s="89"/>
      <c r="B1111" s="92" t="str">
        <f t="shared" si="297"/>
        <v/>
      </c>
      <c r="I1111" s="329" t="str">
        <f t="shared" si="298"/>
        <v/>
      </c>
      <c r="J1111" s="329" t="str">
        <f t="shared" si="299"/>
        <v/>
      </c>
      <c r="K1111" s="329" t="str">
        <f t="shared" si="300"/>
        <v/>
      </c>
    </row>
    <row r="1112" spans="1:11" ht="12.75" customHeight="1">
      <c r="A1112" s="89"/>
      <c r="B1112" s="92" t="str">
        <f t="shared" si="297"/>
        <v/>
      </c>
      <c r="I1112" s="329" t="str">
        <f t="shared" si="298"/>
        <v/>
      </c>
      <c r="J1112" s="329" t="str">
        <f t="shared" si="299"/>
        <v/>
      </c>
      <c r="K1112" s="329" t="str">
        <f t="shared" si="300"/>
        <v/>
      </c>
    </row>
    <row r="1113" spans="1:11" ht="12.75" customHeight="1">
      <c r="A1113" s="89"/>
      <c r="B1113" s="92" t="str">
        <f t="shared" si="297"/>
        <v/>
      </c>
      <c r="I1113" s="329" t="str">
        <f t="shared" si="298"/>
        <v/>
      </c>
      <c r="J1113" s="329" t="str">
        <f t="shared" si="299"/>
        <v/>
      </c>
      <c r="K1113" s="329" t="str">
        <f t="shared" si="300"/>
        <v/>
      </c>
    </row>
    <row r="1114" spans="1:11" ht="12.75" customHeight="1">
      <c r="A1114" s="89"/>
      <c r="B1114" s="92" t="str">
        <f t="shared" si="297"/>
        <v/>
      </c>
      <c r="I1114" s="329" t="str">
        <f t="shared" si="298"/>
        <v/>
      </c>
      <c r="J1114" s="329" t="str">
        <f t="shared" si="299"/>
        <v/>
      </c>
      <c r="K1114" s="329" t="str">
        <f t="shared" si="300"/>
        <v/>
      </c>
    </row>
    <row r="1115" spans="1:11" ht="12.75" customHeight="1">
      <c r="A1115" s="89"/>
      <c r="B1115" s="92" t="str">
        <f t="shared" si="297"/>
        <v/>
      </c>
      <c r="I1115" s="329" t="str">
        <f t="shared" si="298"/>
        <v/>
      </c>
      <c r="J1115" s="329" t="str">
        <f t="shared" si="299"/>
        <v/>
      </c>
      <c r="K1115" s="329" t="str">
        <f t="shared" si="300"/>
        <v/>
      </c>
    </row>
    <row r="1116" spans="1:11" ht="12.75" customHeight="1">
      <c r="A1116" s="89"/>
      <c r="B1116" s="92" t="str">
        <f t="shared" si="297"/>
        <v/>
      </c>
      <c r="I1116" s="329" t="str">
        <f t="shared" si="298"/>
        <v/>
      </c>
      <c r="J1116" s="329" t="str">
        <f t="shared" si="299"/>
        <v/>
      </c>
      <c r="K1116" s="329" t="str">
        <f t="shared" si="300"/>
        <v/>
      </c>
    </row>
    <row r="1117" spans="1:11" ht="12.75" customHeight="1">
      <c r="A1117" s="89"/>
      <c r="B1117" s="92" t="str">
        <f t="shared" si="297"/>
        <v/>
      </c>
      <c r="I1117" s="329" t="str">
        <f t="shared" si="298"/>
        <v/>
      </c>
      <c r="J1117" s="329" t="str">
        <f t="shared" si="299"/>
        <v/>
      </c>
      <c r="K1117" s="329" t="str">
        <f t="shared" si="300"/>
        <v/>
      </c>
    </row>
    <row r="1118" spans="1:11" ht="12.75" customHeight="1">
      <c r="A1118" s="89"/>
      <c r="B1118" s="92" t="str">
        <f t="shared" si="297"/>
        <v/>
      </c>
      <c r="I1118" s="329" t="str">
        <f t="shared" si="298"/>
        <v/>
      </c>
      <c r="J1118" s="329" t="str">
        <f t="shared" si="299"/>
        <v/>
      </c>
      <c r="K1118" s="329" t="str">
        <f t="shared" si="300"/>
        <v/>
      </c>
    </row>
    <row r="1119" spans="1:11" ht="12.75" customHeight="1">
      <c r="A1119" s="89"/>
      <c r="B1119" s="92" t="str">
        <f t="shared" si="297"/>
        <v/>
      </c>
      <c r="I1119" s="329" t="str">
        <f t="shared" si="298"/>
        <v/>
      </c>
      <c r="J1119" s="329" t="str">
        <f t="shared" si="299"/>
        <v/>
      </c>
      <c r="K1119" s="329" t="str">
        <f t="shared" si="300"/>
        <v/>
      </c>
    </row>
    <row r="1120" spans="1:11" ht="12.75" customHeight="1">
      <c r="A1120" s="89"/>
      <c r="B1120" s="92" t="str">
        <f t="shared" si="297"/>
        <v/>
      </c>
      <c r="I1120" s="329" t="str">
        <f t="shared" si="298"/>
        <v/>
      </c>
      <c r="J1120" s="329" t="str">
        <f t="shared" si="299"/>
        <v/>
      </c>
      <c r="K1120" s="329" t="str">
        <f t="shared" si="300"/>
        <v/>
      </c>
    </row>
    <row r="1121" spans="1:11" ht="12.75" customHeight="1">
      <c r="A1121" s="89"/>
      <c r="B1121" s="92" t="str">
        <f t="shared" si="297"/>
        <v/>
      </c>
      <c r="I1121" s="329" t="str">
        <f t="shared" si="298"/>
        <v/>
      </c>
      <c r="J1121" s="329" t="str">
        <f t="shared" si="299"/>
        <v/>
      </c>
      <c r="K1121" s="329" t="str">
        <f t="shared" si="300"/>
        <v/>
      </c>
    </row>
    <row r="1122" spans="1:11" ht="12.75" customHeight="1">
      <c r="A1122" s="89"/>
      <c r="B1122" s="92" t="str">
        <f t="shared" si="297"/>
        <v/>
      </c>
      <c r="I1122" s="329" t="str">
        <f t="shared" si="298"/>
        <v/>
      </c>
      <c r="J1122" s="329" t="str">
        <f t="shared" si="299"/>
        <v/>
      </c>
      <c r="K1122" s="329" t="str">
        <f t="shared" si="300"/>
        <v/>
      </c>
    </row>
    <row r="1123" spans="1:11" ht="12.75" customHeight="1">
      <c r="A1123" s="89"/>
      <c r="B1123" s="92" t="str">
        <f t="shared" si="297"/>
        <v/>
      </c>
      <c r="I1123" s="329" t="str">
        <f t="shared" si="298"/>
        <v/>
      </c>
      <c r="J1123" s="329" t="str">
        <f t="shared" si="299"/>
        <v/>
      </c>
      <c r="K1123" s="329" t="str">
        <f t="shared" si="300"/>
        <v/>
      </c>
    </row>
    <row r="1124" spans="1:11" ht="12.75" customHeight="1">
      <c r="A1124" s="89"/>
      <c r="B1124" s="92" t="str">
        <f t="shared" si="297"/>
        <v/>
      </c>
      <c r="I1124" s="329" t="str">
        <f t="shared" si="298"/>
        <v/>
      </c>
      <c r="J1124" s="329" t="str">
        <f t="shared" si="299"/>
        <v/>
      </c>
      <c r="K1124" s="329" t="str">
        <f t="shared" si="300"/>
        <v/>
      </c>
    </row>
    <row r="1125" spans="1:11" ht="12.75" customHeight="1">
      <c r="A1125" s="89"/>
      <c r="B1125" s="92" t="str">
        <f t="shared" si="297"/>
        <v/>
      </c>
      <c r="I1125" s="329" t="str">
        <f t="shared" si="298"/>
        <v/>
      </c>
      <c r="J1125" s="329" t="str">
        <f t="shared" si="299"/>
        <v/>
      </c>
      <c r="K1125" s="329" t="str">
        <f t="shared" si="300"/>
        <v/>
      </c>
    </row>
    <row r="1126" spans="1:11" ht="12.75" customHeight="1">
      <c r="B1126" s="92" t="str">
        <f t="shared" si="297"/>
        <v/>
      </c>
      <c r="I1126" s="329" t="str">
        <f t="shared" si="298"/>
        <v/>
      </c>
      <c r="J1126" s="329" t="str">
        <f t="shared" si="299"/>
        <v/>
      </c>
      <c r="K1126" s="329" t="str">
        <f t="shared" si="300"/>
        <v/>
      </c>
    </row>
    <row r="1127" spans="1:11" ht="12.75" customHeight="1">
      <c r="B1127" s="92" t="str">
        <f t="shared" si="297"/>
        <v/>
      </c>
      <c r="I1127" s="329" t="str">
        <f t="shared" si="298"/>
        <v/>
      </c>
      <c r="J1127" s="329" t="str">
        <f t="shared" si="299"/>
        <v/>
      </c>
      <c r="K1127" s="329" t="str">
        <f t="shared" si="300"/>
        <v/>
      </c>
    </row>
    <row r="1128" spans="1:11" ht="12.75" customHeight="1">
      <c r="B1128" s="92" t="str">
        <f t="shared" si="297"/>
        <v/>
      </c>
      <c r="I1128" s="329" t="str">
        <f t="shared" si="298"/>
        <v/>
      </c>
      <c r="J1128" s="329" t="str">
        <f t="shared" si="299"/>
        <v/>
      </c>
      <c r="K1128" s="329" t="str">
        <f t="shared" si="300"/>
        <v/>
      </c>
    </row>
    <row r="1129" spans="1:11" ht="12.75" customHeight="1">
      <c r="B1129" s="92" t="str">
        <f t="shared" si="297"/>
        <v/>
      </c>
      <c r="I1129" s="329" t="str">
        <f t="shared" si="298"/>
        <v/>
      </c>
      <c r="J1129" s="329" t="str">
        <f t="shared" si="299"/>
        <v/>
      </c>
      <c r="K1129" s="329" t="str">
        <f t="shared" si="300"/>
        <v/>
      </c>
    </row>
    <row r="1130" spans="1:11" ht="12.75" customHeight="1">
      <c r="B1130" s="92" t="str">
        <f t="shared" si="297"/>
        <v/>
      </c>
      <c r="I1130" s="329" t="str">
        <f t="shared" si="298"/>
        <v/>
      </c>
      <c r="J1130" s="329" t="str">
        <f t="shared" si="299"/>
        <v/>
      </c>
      <c r="K1130" s="329" t="str">
        <f t="shared" si="300"/>
        <v/>
      </c>
    </row>
    <row r="1131" spans="1:11" ht="12.75" customHeight="1">
      <c r="B1131" s="92" t="str">
        <f t="shared" si="297"/>
        <v/>
      </c>
      <c r="I1131" s="329" t="str">
        <f t="shared" si="298"/>
        <v/>
      </c>
      <c r="J1131" s="329" t="str">
        <f t="shared" si="299"/>
        <v/>
      </c>
      <c r="K1131" s="329" t="str">
        <f t="shared" si="300"/>
        <v/>
      </c>
    </row>
    <row r="1132" spans="1:11" ht="12.75" customHeight="1">
      <c r="B1132" s="92" t="str">
        <f t="shared" si="297"/>
        <v/>
      </c>
      <c r="I1132" s="329" t="str">
        <f t="shared" si="298"/>
        <v/>
      </c>
      <c r="J1132" s="329" t="str">
        <f t="shared" si="299"/>
        <v/>
      </c>
      <c r="K1132" s="329" t="str">
        <f t="shared" si="300"/>
        <v/>
      </c>
    </row>
    <row r="1133" spans="1:11" ht="12.75" customHeight="1">
      <c r="B1133" s="92" t="str">
        <f t="shared" si="297"/>
        <v/>
      </c>
      <c r="I1133" s="329" t="str">
        <f t="shared" si="298"/>
        <v/>
      </c>
      <c r="J1133" s="329" t="str">
        <f t="shared" si="299"/>
        <v/>
      </c>
      <c r="K1133" s="329" t="str">
        <f t="shared" si="300"/>
        <v/>
      </c>
    </row>
    <row r="1134" spans="1:11" ht="12.75" customHeight="1">
      <c r="B1134" s="92" t="str">
        <f t="shared" ref="B1134:B1197" si="301">IF(C1134="","",ROW()-5)</f>
        <v/>
      </c>
      <c r="I1134" s="329" t="str">
        <f t="shared" si="298"/>
        <v/>
      </c>
      <c r="J1134" s="329" t="str">
        <f t="shared" si="299"/>
        <v/>
      </c>
      <c r="K1134" s="329" t="str">
        <f t="shared" si="300"/>
        <v/>
      </c>
    </row>
    <row r="1135" spans="1:11" ht="12.75" customHeight="1">
      <c r="B1135" s="92" t="str">
        <f t="shared" si="301"/>
        <v/>
      </c>
      <c r="I1135" s="329" t="str">
        <f t="shared" si="298"/>
        <v/>
      </c>
      <c r="J1135" s="329" t="str">
        <f t="shared" si="299"/>
        <v/>
      </c>
      <c r="K1135" s="329" t="str">
        <f t="shared" si="300"/>
        <v/>
      </c>
    </row>
    <row r="1136" spans="1:11" ht="12.75" customHeight="1">
      <c r="B1136" s="92" t="str">
        <f t="shared" si="301"/>
        <v/>
      </c>
      <c r="I1136" s="329" t="str">
        <f t="shared" si="298"/>
        <v/>
      </c>
      <c r="J1136" s="329" t="str">
        <f t="shared" si="299"/>
        <v/>
      </c>
      <c r="K1136" s="329" t="str">
        <f t="shared" si="300"/>
        <v/>
      </c>
    </row>
    <row r="1137" spans="2:11" ht="12.75" customHeight="1">
      <c r="B1137" s="92" t="str">
        <f t="shared" si="301"/>
        <v/>
      </c>
      <c r="I1137" s="329" t="str">
        <f t="shared" si="298"/>
        <v/>
      </c>
      <c r="J1137" s="329" t="str">
        <f t="shared" si="299"/>
        <v/>
      </c>
      <c r="K1137" s="329" t="str">
        <f t="shared" si="300"/>
        <v/>
      </c>
    </row>
    <row r="1138" spans="2:11" ht="12.75" customHeight="1">
      <c r="B1138" s="92" t="str">
        <f t="shared" si="301"/>
        <v/>
      </c>
      <c r="I1138" s="329" t="str">
        <f t="shared" si="298"/>
        <v/>
      </c>
      <c r="J1138" s="329" t="str">
        <f t="shared" si="299"/>
        <v/>
      </c>
      <c r="K1138" s="329" t="str">
        <f t="shared" si="300"/>
        <v/>
      </c>
    </row>
    <row r="1139" spans="2:11" ht="12.75" customHeight="1">
      <c r="B1139" s="92" t="str">
        <f t="shared" si="301"/>
        <v/>
      </c>
      <c r="I1139" s="329" t="str">
        <f t="shared" si="298"/>
        <v/>
      </c>
      <c r="J1139" s="329" t="str">
        <f t="shared" si="299"/>
        <v/>
      </c>
      <c r="K1139" s="329" t="str">
        <f t="shared" si="300"/>
        <v/>
      </c>
    </row>
    <row r="1140" spans="2:11" ht="12.75" customHeight="1">
      <c r="B1140" s="92" t="str">
        <f t="shared" si="301"/>
        <v/>
      </c>
      <c r="I1140" s="329" t="str">
        <f t="shared" si="298"/>
        <v/>
      </c>
      <c r="J1140" s="329" t="str">
        <f t="shared" si="299"/>
        <v/>
      </c>
      <c r="K1140" s="329" t="str">
        <f t="shared" si="300"/>
        <v/>
      </c>
    </row>
    <row r="1141" spans="2:11" ht="12.75" customHeight="1">
      <c r="B1141" s="92" t="str">
        <f t="shared" si="301"/>
        <v/>
      </c>
      <c r="I1141" s="329" t="str">
        <f t="shared" si="298"/>
        <v/>
      </c>
      <c r="J1141" s="329" t="str">
        <f t="shared" si="299"/>
        <v/>
      </c>
      <c r="K1141" s="329" t="str">
        <f t="shared" si="300"/>
        <v/>
      </c>
    </row>
    <row r="1142" spans="2:11" ht="12.75" customHeight="1">
      <c r="B1142" s="92" t="str">
        <f t="shared" si="301"/>
        <v/>
      </c>
      <c r="I1142" s="329" t="str">
        <f t="shared" si="298"/>
        <v/>
      </c>
      <c r="J1142" s="329" t="str">
        <f t="shared" si="299"/>
        <v/>
      </c>
      <c r="K1142" s="329" t="str">
        <f t="shared" si="300"/>
        <v/>
      </c>
    </row>
    <row r="1143" spans="2:11" ht="12.75" customHeight="1">
      <c r="B1143" s="92" t="str">
        <f t="shared" si="301"/>
        <v/>
      </c>
      <c r="I1143" s="329" t="str">
        <f t="shared" si="298"/>
        <v/>
      </c>
      <c r="J1143" s="329" t="str">
        <f t="shared" si="299"/>
        <v/>
      </c>
      <c r="K1143" s="329" t="str">
        <f t="shared" si="300"/>
        <v/>
      </c>
    </row>
    <row r="1144" spans="2:11" ht="12.75" customHeight="1">
      <c r="B1144" s="92" t="str">
        <f t="shared" si="301"/>
        <v/>
      </c>
      <c r="I1144" s="329" t="str">
        <f t="shared" si="298"/>
        <v/>
      </c>
      <c r="J1144" s="329" t="str">
        <f t="shared" si="299"/>
        <v/>
      </c>
      <c r="K1144" s="329" t="str">
        <f t="shared" si="300"/>
        <v/>
      </c>
    </row>
    <row r="1145" spans="2:11" ht="12.75" customHeight="1">
      <c r="B1145" s="92" t="str">
        <f t="shared" si="301"/>
        <v/>
      </c>
      <c r="I1145" s="329" t="str">
        <f t="shared" si="298"/>
        <v/>
      </c>
      <c r="J1145" s="329" t="str">
        <f t="shared" si="299"/>
        <v/>
      </c>
      <c r="K1145" s="329" t="str">
        <f t="shared" si="300"/>
        <v/>
      </c>
    </row>
    <row r="1146" spans="2:11" ht="12.75" customHeight="1">
      <c r="B1146" s="92" t="str">
        <f t="shared" si="301"/>
        <v/>
      </c>
      <c r="I1146" s="329" t="str">
        <f t="shared" si="298"/>
        <v/>
      </c>
      <c r="J1146" s="329" t="str">
        <f t="shared" si="299"/>
        <v/>
      </c>
      <c r="K1146" s="329" t="str">
        <f t="shared" si="300"/>
        <v/>
      </c>
    </row>
    <row r="1147" spans="2:11" ht="12.75" customHeight="1">
      <c r="B1147" s="92" t="str">
        <f t="shared" si="301"/>
        <v/>
      </c>
      <c r="I1147" s="329" t="str">
        <f t="shared" si="298"/>
        <v/>
      </c>
      <c r="J1147" s="329" t="str">
        <f t="shared" si="299"/>
        <v/>
      </c>
      <c r="K1147" s="329" t="str">
        <f t="shared" si="300"/>
        <v/>
      </c>
    </row>
    <row r="1148" spans="2:11" ht="12.75" customHeight="1">
      <c r="B1148" s="92" t="str">
        <f t="shared" si="301"/>
        <v/>
      </c>
      <c r="I1148" s="329" t="str">
        <f t="shared" si="298"/>
        <v/>
      </c>
      <c r="J1148" s="329" t="str">
        <f t="shared" si="299"/>
        <v/>
      </c>
      <c r="K1148" s="329" t="str">
        <f t="shared" si="300"/>
        <v/>
      </c>
    </row>
    <row r="1149" spans="2:11" ht="12.75" customHeight="1">
      <c r="B1149" s="92" t="str">
        <f t="shared" si="301"/>
        <v/>
      </c>
      <c r="I1149" s="329" t="str">
        <f t="shared" si="298"/>
        <v/>
      </c>
      <c r="J1149" s="329" t="str">
        <f t="shared" si="299"/>
        <v/>
      </c>
      <c r="K1149" s="329" t="str">
        <f t="shared" si="300"/>
        <v/>
      </c>
    </row>
    <row r="1150" spans="2:11" ht="12.75" customHeight="1">
      <c r="B1150" s="92" t="str">
        <f t="shared" si="301"/>
        <v/>
      </c>
      <c r="I1150" s="329" t="str">
        <f t="shared" ref="I1150:I1213" si="302">+IF(G1150="","",G1150*H1150)</f>
        <v/>
      </c>
      <c r="J1150" s="329" t="str">
        <f t="shared" ref="J1150:J1213" si="303">+IF(G1150="","",I1150*0.1)</f>
        <v/>
      </c>
      <c r="K1150" s="329" t="str">
        <f t="shared" ref="K1150:K1213" si="304">+IF(G1150="","",I1150+J1150)</f>
        <v/>
      </c>
    </row>
    <row r="1151" spans="2:11" ht="12.75" customHeight="1">
      <c r="B1151" s="92" t="str">
        <f t="shared" si="301"/>
        <v/>
      </c>
      <c r="I1151" s="329" t="str">
        <f t="shared" si="302"/>
        <v/>
      </c>
      <c r="J1151" s="329" t="str">
        <f t="shared" si="303"/>
        <v/>
      </c>
      <c r="K1151" s="329" t="str">
        <f t="shared" si="304"/>
        <v/>
      </c>
    </row>
    <row r="1152" spans="2:11" ht="12.75" customHeight="1">
      <c r="B1152" s="92" t="str">
        <f t="shared" si="301"/>
        <v/>
      </c>
      <c r="I1152" s="329" t="str">
        <f t="shared" si="302"/>
        <v/>
      </c>
      <c r="J1152" s="329" t="str">
        <f t="shared" si="303"/>
        <v/>
      </c>
      <c r="K1152" s="329" t="str">
        <f t="shared" si="304"/>
        <v/>
      </c>
    </row>
    <row r="1153" spans="2:11" ht="12.75" customHeight="1">
      <c r="B1153" s="92" t="str">
        <f t="shared" si="301"/>
        <v/>
      </c>
      <c r="I1153" s="329" t="str">
        <f t="shared" si="302"/>
        <v/>
      </c>
      <c r="J1153" s="329" t="str">
        <f t="shared" si="303"/>
        <v/>
      </c>
      <c r="K1153" s="329" t="str">
        <f t="shared" si="304"/>
        <v/>
      </c>
    </row>
    <row r="1154" spans="2:11" ht="12.75" customHeight="1">
      <c r="B1154" s="92" t="str">
        <f t="shared" si="301"/>
        <v/>
      </c>
      <c r="I1154" s="329" t="str">
        <f t="shared" si="302"/>
        <v/>
      </c>
      <c r="J1154" s="329" t="str">
        <f t="shared" si="303"/>
        <v/>
      </c>
      <c r="K1154" s="329" t="str">
        <f t="shared" si="304"/>
        <v/>
      </c>
    </row>
    <row r="1155" spans="2:11" ht="12.75" customHeight="1">
      <c r="B1155" s="92" t="str">
        <f t="shared" si="301"/>
        <v/>
      </c>
      <c r="I1155" s="329" t="str">
        <f t="shared" si="302"/>
        <v/>
      </c>
      <c r="J1155" s="329" t="str">
        <f t="shared" si="303"/>
        <v/>
      </c>
      <c r="K1155" s="329" t="str">
        <f t="shared" si="304"/>
        <v/>
      </c>
    </row>
    <row r="1156" spans="2:11" ht="12.75" customHeight="1">
      <c r="B1156" s="92" t="str">
        <f t="shared" si="301"/>
        <v/>
      </c>
      <c r="I1156" s="329" t="str">
        <f t="shared" si="302"/>
        <v/>
      </c>
      <c r="J1156" s="329" t="str">
        <f t="shared" si="303"/>
        <v/>
      </c>
      <c r="K1156" s="329" t="str">
        <f t="shared" si="304"/>
        <v/>
      </c>
    </row>
    <row r="1157" spans="2:11" ht="12.75" customHeight="1">
      <c r="B1157" s="92" t="str">
        <f t="shared" si="301"/>
        <v/>
      </c>
      <c r="I1157" s="329" t="str">
        <f t="shared" si="302"/>
        <v/>
      </c>
      <c r="J1157" s="329" t="str">
        <f t="shared" si="303"/>
        <v/>
      </c>
      <c r="K1157" s="329" t="str">
        <f t="shared" si="304"/>
        <v/>
      </c>
    </row>
    <row r="1158" spans="2:11" ht="12.75" customHeight="1">
      <c r="B1158" s="92" t="str">
        <f t="shared" si="301"/>
        <v/>
      </c>
      <c r="I1158" s="329" t="str">
        <f t="shared" si="302"/>
        <v/>
      </c>
      <c r="J1158" s="329" t="str">
        <f t="shared" si="303"/>
        <v/>
      </c>
      <c r="K1158" s="329" t="str">
        <f t="shared" si="304"/>
        <v/>
      </c>
    </row>
    <row r="1159" spans="2:11" ht="12.75" customHeight="1">
      <c r="B1159" s="92" t="str">
        <f t="shared" si="301"/>
        <v/>
      </c>
      <c r="I1159" s="329" t="str">
        <f t="shared" si="302"/>
        <v/>
      </c>
      <c r="J1159" s="329" t="str">
        <f t="shared" si="303"/>
        <v/>
      </c>
      <c r="K1159" s="329" t="str">
        <f t="shared" si="304"/>
        <v/>
      </c>
    </row>
    <row r="1160" spans="2:11" ht="12.75" customHeight="1">
      <c r="B1160" s="92" t="str">
        <f t="shared" si="301"/>
        <v/>
      </c>
      <c r="I1160" s="329" t="str">
        <f t="shared" si="302"/>
        <v/>
      </c>
      <c r="J1160" s="329" t="str">
        <f t="shared" si="303"/>
        <v/>
      </c>
      <c r="K1160" s="329" t="str">
        <f t="shared" si="304"/>
        <v/>
      </c>
    </row>
    <row r="1161" spans="2:11" ht="12.75" customHeight="1">
      <c r="B1161" s="92" t="str">
        <f t="shared" si="301"/>
        <v/>
      </c>
      <c r="I1161" s="329" t="str">
        <f t="shared" si="302"/>
        <v/>
      </c>
      <c r="J1161" s="329" t="str">
        <f t="shared" si="303"/>
        <v/>
      </c>
      <c r="K1161" s="329" t="str">
        <f t="shared" si="304"/>
        <v/>
      </c>
    </row>
    <row r="1162" spans="2:11" ht="12.75" customHeight="1">
      <c r="B1162" s="92" t="str">
        <f t="shared" si="301"/>
        <v/>
      </c>
      <c r="I1162" s="329" t="str">
        <f t="shared" si="302"/>
        <v/>
      </c>
      <c r="J1162" s="329" t="str">
        <f t="shared" si="303"/>
        <v/>
      </c>
      <c r="K1162" s="329" t="str">
        <f t="shared" si="304"/>
        <v/>
      </c>
    </row>
    <row r="1163" spans="2:11" ht="12.75" customHeight="1">
      <c r="B1163" s="92" t="str">
        <f t="shared" si="301"/>
        <v/>
      </c>
      <c r="I1163" s="329" t="str">
        <f t="shared" si="302"/>
        <v/>
      </c>
      <c r="J1163" s="329" t="str">
        <f t="shared" si="303"/>
        <v/>
      </c>
      <c r="K1163" s="329" t="str">
        <f t="shared" si="304"/>
        <v/>
      </c>
    </row>
    <row r="1164" spans="2:11" ht="12.75" customHeight="1">
      <c r="B1164" s="92" t="str">
        <f t="shared" si="301"/>
        <v/>
      </c>
      <c r="I1164" s="329" t="str">
        <f t="shared" si="302"/>
        <v/>
      </c>
      <c r="J1164" s="329" t="str">
        <f t="shared" si="303"/>
        <v/>
      </c>
      <c r="K1164" s="329" t="str">
        <f t="shared" si="304"/>
        <v/>
      </c>
    </row>
    <row r="1165" spans="2:11" ht="12.75" customHeight="1">
      <c r="B1165" s="92" t="str">
        <f t="shared" si="301"/>
        <v/>
      </c>
      <c r="I1165" s="329" t="str">
        <f t="shared" si="302"/>
        <v/>
      </c>
      <c r="J1165" s="329" t="str">
        <f t="shared" si="303"/>
        <v/>
      </c>
      <c r="K1165" s="329" t="str">
        <f t="shared" si="304"/>
        <v/>
      </c>
    </row>
    <row r="1166" spans="2:11" ht="12.75" customHeight="1">
      <c r="B1166" s="92" t="str">
        <f t="shared" si="301"/>
        <v/>
      </c>
      <c r="I1166" s="329" t="str">
        <f t="shared" si="302"/>
        <v/>
      </c>
      <c r="J1166" s="329" t="str">
        <f t="shared" si="303"/>
        <v/>
      </c>
      <c r="K1166" s="329" t="str">
        <f t="shared" si="304"/>
        <v/>
      </c>
    </row>
    <row r="1167" spans="2:11" ht="12.75" customHeight="1">
      <c r="B1167" s="92" t="str">
        <f t="shared" si="301"/>
        <v/>
      </c>
      <c r="I1167" s="329" t="str">
        <f t="shared" si="302"/>
        <v/>
      </c>
      <c r="J1167" s="329" t="str">
        <f t="shared" si="303"/>
        <v/>
      </c>
      <c r="K1167" s="329" t="str">
        <f t="shared" si="304"/>
        <v/>
      </c>
    </row>
    <row r="1168" spans="2:11" ht="12.75" customHeight="1">
      <c r="B1168" s="92" t="str">
        <f t="shared" si="301"/>
        <v/>
      </c>
      <c r="I1168" s="329" t="str">
        <f t="shared" si="302"/>
        <v/>
      </c>
      <c r="J1168" s="329" t="str">
        <f t="shared" si="303"/>
        <v/>
      </c>
      <c r="K1168" s="329" t="str">
        <f t="shared" si="304"/>
        <v/>
      </c>
    </row>
    <row r="1169" spans="2:11" ht="12.75" customHeight="1">
      <c r="B1169" s="92" t="str">
        <f t="shared" si="301"/>
        <v/>
      </c>
      <c r="I1169" s="329" t="str">
        <f t="shared" si="302"/>
        <v/>
      </c>
      <c r="J1169" s="329" t="str">
        <f t="shared" si="303"/>
        <v/>
      </c>
      <c r="K1169" s="329" t="str">
        <f t="shared" si="304"/>
        <v/>
      </c>
    </row>
    <row r="1170" spans="2:11" ht="12.75" customHeight="1">
      <c r="B1170" s="92" t="str">
        <f t="shared" si="301"/>
        <v/>
      </c>
      <c r="I1170" s="329" t="str">
        <f t="shared" si="302"/>
        <v/>
      </c>
      <c r="J1170" s="329" t="str">
        <f t="shared" si="303"/>
        <v/>
      </c>
      <c r="K1170" s="329" t="str">
        <f t="shared" si="304"/>
        <v/>
      </c>
    </row>
    <row r="1171" spans="2:11" ht="12.75" customHeight="1">
      <c r="B1171" s="92" t="str">
        <f t="shared" si="301"/>
        <v/>
      </c>
      <c r="I1171" s="329" t="str">
        <f t="shared" si="302"/>
        <v/>
      </c>
      <c r="J1171" s="329" t="str">
        <f t="shared" si="303"/>
        <v/>
      </c>
      <c r="K1171" s="329" t="str">
        <f t="shared" si="304"/>
        <v/>
      </c>
    </row>
    <row r="1172" spans="2:11" ht="12.75" customHeight="1">
      <c r="B1172" s="92" t="str">
        <f t="shared" si="301"/>
        <v/>
      </c>
      <c r="I1172" s="329" t="str">
        <f t="shared" si="302"/>
        <v/>
      </c>
      <c r="J1172" s="329" t="str">
        <f t="shared" si="303"/>
        <v/>
      </c>
      <c r="K1172" s="329" t="str">
        <f t="shared" si="304"/>
        <v/>
      </c>
    </row>
    <row r="1173" spans="2:11" ht="12.75" customHeight="1">
      <c r="B1173" s="92" t="str">
        <f t="shared" si="301"/>
        <v/>
      </c>
      <c r="I1173" s="329" t="str">
        <f t="shared" si="302"/>
        <v/>
      </c>
      <c r="J1173" s="329" t="str">
        <f t="shared" si="303"/>
        <v/>
      </c>
      <c r="K1173" s="329" t="str">
        <f t="shared" si="304"/>
        <v/>
      </c>
    </row>
    <row r="1174" spans="2:11" ht="12.75" customHeight="1">
      <c r="B1174" s="92" t="str">
        <f t="shared" si="301"/>
        <v/>
      </c>
      <c r="I1174" s="329" t="str">
        <f t="shared" si="302"/>
        <v/>
      </c>
      <c r="J1174" s="329" t="str">
        <f t="shared" si="303"/>
        <v/>
      </c>
      <c r="K1174" s="329" t="str">
        <f t="shared" si="304"/>
        <v/>
      </c>
    </row>
    <row r="1175" spans="2:11" ht="12.75" customHeight="1">
      <c r="B1175" s="92" t="str">
        <f t="shared" si="301"/>
        <v/>
      </c>
      <c r="I1175" s="329" t="str">
        <f t="shared" si="302"/>
        <v/>
      </c>
      <c r="J1175" s="329" t="str">
        <f t="shared" si="303"/>
        <v/>
      </c>
      <c r="K1175" s="329" t="str">
        <f t="shared" si="304"/>
        <v/>
      </c>
    </row>
    <row r="1176" spans="2:11" ht="12.75" customHeight="1">
      <c r="B1176" s="92" t="str">
        <f t="shared" si="301"/>
        <v/>
      </c>
      <c r="I1176" s="329" t="str">
        <f t="shared" si="302"/>
        <v/>
      </c>
      <c r="J1176" s="329" t="str">
        <f t="shared" si="303"/>
        <v/>
      </c>
      <c r="K1176" s="329" t="str">
        <f t="shared" si="304"/>
        <v/>
      </c>
    </row>
    <row r="1177" spans="2:11" ht="12.75" customHeight="1">
      <c r="B1177" s="92" t="str">
        <f t="shared" si="301"/>
        <v/>
      </c>
      <c r="I1177" s="329" t="str">
        <f t="shared" si="302"/>
        <v/>
      </c>
      <c r="J1177" s="329" t="str">
        <f t="shared" si="303"/>
        <v/>
      </c>
      <c r="K1177" s="329" t="str">
        <f t="shared" si="304"/>
        <v/>
      </c>
    </row>
    <row r="1178" spans="2:11" ht="12.75" customHeight="1">
      <c r="B1178" s="92" t="str">
        <f t="shared" si="301"/>
        <v/>
      </c>
      <c r="I1178" s="329" t="str">
        <f t="shared" si="302"/>
        <v/>
      </c>
      <c r="J1178" s="329" t="str">
        <f t="shared" si="303"/>
        <v/>
      </c>
      <c r="K1178" s="329" t="str">
        <f t="shared" si="304"/>
        <v/>
      </c>
    </row>
    <row r="1179" spans="2:11" ht="12.75" customHeight="1">
      <c r="B1179" s="92" t="str">
        <f t="shared" si="301"/>
        <v/>
      </c>
      <c r="I1179" s="329" t="str">
        <f t="shared" si="302"/>
        <v/>
      </c>
      <c r="J1179" s="329" t="str">
        <f t="shared" si="303"/>
        <v/>
      </c>
      <c r="K1179" s="329" t="str">
        <f t="shared" si="304"/>
        <v/>
      </c>
    </row>
    <row r="1180" spans="2:11" ht="12.75" customHeight="1">
      <c r="B1180" s="92" t="str">
        <f t="shared" si="301"/>
        <v/>
      </c>
      <c r="I1180" s="329" t="str">
        <f t="shared" si="302"/>
        <v/>
      </c>
      <c r="J1180" s="329" t="str">
        <f t="shared" si="303"/>
        <v/>
      </c>
      <c r="K1180" s="329" t="str">
        <f t="shared" si="304"/>
        <v/>
      </c>
    </row>
    <row r="1181" spans="2:11" ht="12.75" customHeight="1">
      <c r="B1181" s="92" t="str">
        <f t="shared" si="301"/>
        <v/>
      </c>
      <c r="I1181" s="329" t="str">
        <f t="shared" si="302"/>
        <v/>
      </c>
      <c r="J1181" s="329" t="str">
        <f t="shared" si="303"/>
        <v/>
      </c>
      <c r="K1181" s="329" t="str">
        <f t="shared" si="304"/>
        <v/>
      </c>
    </row>
    <row r="1182" spans="2:11" ht="12.75" customHeight="1">
      <c r="B1182" s="92" t="str">
        <f t="shared" si="301"/>
        <v/>
      </c>
      <c r="I1182" s="329" t="str">
        <f t="shared" si="302"/>
        <v/>
      </c>
      <c r="J1182" s="329" t="str">
        <f t="shared" si="303"/>
        <v/>
      </c>
      <c r="K1182" s="329" t="str">
        <f t="shared" si="304"/>
        <v/>
      </c>
    </row>
    <row r="1183" spans="2:11" ht="12.75" customHeight="1">
      <c r="B1183" s="92" t="str">
        <f t="shared" si="301"/>
        <v/>
      </c>
      <c r="I1183" s="329" t="str">
        <f t="shared" si="302"/>
        <v/>
      </c>
      <c r="J1183" s="329" t="str">
        <f t="shared" si="303"/>
        <v/>
      </c>
      <c r="K1183" s="329" t="str">
        <f t="shared" si="304"/>
        <v/>
      </c>
    </row>
    <row r="1184" spans="2:11" ht="12.75" customHeight="1">
      <c r="B1184" s="92" t="str">
        <f t="shared" si="301"/>
        <v/>
      </c>
      <c r="I1184" s="329" t="str">
        <f t="shared" si="302"/>
        <v/>
      </c>
      <c r="J1184" s="329" t="str">
        <f t="shared" si="303"/>
        <v/>
      </c>
      <c r="K1184" s="329" t="str">
        <f t="shared" si="304"/>
        <v/>
      </c>
    </row>
    <row r="1185" spans="2:11" ht="12.75" customHeight="1">
      <c r="B1185" s="92" t="str">
        <f t="shared" si="301"/>
        <v/>
      </c>
      <c r="I1185" s="329" t="str">
        <f t="shared" si="302"/>
        <v/>
      </c>
      <c r="J1185" s="329" t="str">
        <f t="shared" si="303"/>
        <v/>
      </c>
      <c r="K1185" s="329" t="str">
        <f t="shared" si="304"/>
        <v/>
      </c>
    </row>
    <row r="1186" spans="2:11" ht="12.75" customHeight="1">
      <c r="B1186" s="92" t="str">
        <f t="shared" si="301"/>
        <v/>
      </c>
      <c r="I1186" s="329" t="str">
        <f t="shared" si="302"/>
        <v/>
      </c>
      <c r="J1186" s="329" t="str">
        <f t="shared" si="303"/>
        <v/>
      </c>
      <c r="K1186" s="329" t="str">
        <f t="shared" si="304"/>
        <v/>
      </c>
    </row>
    <row r="1187" spans="2:11" ht="12.75" customHeight="1">
      <c r="B1187" s="92" t="str">
        <f t="shared" si="301"/>
        <v/>
      </c>
      <c r="I1187" s="329" t="str">
        <f t="shared" si="302"/>
        <v/>
      </c>
      <c r="J1187" s="329" t="str">
        <f t="shared" si="303"/>
        <v/>
      </c>
      <c r="K1187" s="329" t="str">
        <f t="shared" si="304"/>
        <v/>
      </c>
    </row>
    <row r="1188" spans="2:11" ht="12.75" customHeight="1">
      <c r="B1188" s="92" t="str">
        <f t="shared" si="301"/>
        <v/>
      </c>
      <c r="I1188" s="329" t="str">
        <f t="shared" si="302"/>
        <v/>
      </c>
      <c r="J1188" s="329" t="str">
        <f t="shared" si="303"/>
        <v/>
      </c>
      <c r="K1188" s="329" t="str">
        <f t="shared" si="304"/>
        <v/>
      </c>
    </row>
    <row r="1189" spans="2:11" ht="12.75" customHeight="1">
      <c r="B1189" s="92" t="str">
        <f t="shared" si="301"/>
        <v/>
      </c>
      <c r="I1189" s="329" t="str">
        <f t="shared" si="302"/>
        <v/>
      </c>
      <c r="J1189" s="329" t="str">
        <f t="shared" si="303"/>
        <v/>
      </c>
      <c r="K1189" s="329" t="str">
        <f t="shared" si="304"/>
        <v/>
      </c>
    </row>
    <row r="1190" spans="2:11" ht="12.75" customHeight="1">
      <c r="B1190" s="92" t="str">
        <f t="shared" si="301"/>
        <v/>
      </c>
      <c r="I1190" s="329" t="str">
        <f t="shared" si="302"/>
        <v/>
      </c>
      <c r="J1190" s="329" t="str">
        <f t="shared" si="303"/>
        <v/>
      </c>
      <c r="K1190" s="329" t="str">
        <f t="shared" si="304"/>
        <v/>
      </c>
    </row>
    <row r="1191" spans="2:11" ht="12.75" customHeight="1">
      <c r="B1191" s="92" t="str">
        <f t="shared" si="301"/>
        <v/>
      </c>
      <c r="I1191" s="329" t="str">
        <f t="shared" si="302"/>
        <v/>
      </c>
      <c r="J1191" s="329" t="str">
        <f t="shared" si="303"/>
        <v/>
      </c>
      <c r="K1191" s="329" t="str">
        <f t="shared" si="304"/>
        <v/>
      </c>
    </row>
    <row r="1192" spans="2:11" ht="12.75" customHeight="1">
      <c r="B1192" s="92" t="str">
        <f t="shared" si="301"/>
        <v/>
      </c>
      <c r="I1192" s="329" t="str">
        <f t="shared" si="302"/>
        <v/>
      </c>
      <c r="J1192" s="329" t="str">
        <f t="shared" si="303"/>
        <v/>
      </c>
      <c r="K1192" s="329" t="str">
        <f t="shared" si="304"/>
        <v/>
      </c>
    </row>
    <row r="1193" spans="2:11" ht="12.75" customHeight="1">
      <c r="B1193" s="92" t="str">
        <f t="shared" si="301"/>
        <v/>
      </c>
      <c r="I1193" s="329" t="str">
        <f t="shared" si="302"/>
        <v/>
      </c>
      <c r="J1193" s="329" t="str">
        <f t="shared" si="303"/>
        <v/>
      </c>
      <c r="K1193" s="329" t="str">
        <f t="shared" si="304"/>
        <v/>
      </c>
    </row>
    <row r="1194" spans="2:11" ht="12.75" customHeight="1">
      <c r="B1194" s="92" t="str">
        <f t="shared" si="301"/>
        <v/>
      </c>
      <c r="I1194" s="329" t="str">
        <f t="shared" si="302"/>
        <v/>
      </c>
      <c r="J1194" s="329" t="str">
        <f t="shared" si="303"/>
        <v/>
      </c>
      <c r="K1194" s="329" t="str">
        <f t="shared" si="304"/>
        <v/>
      </c>
    </row>
    <row r="1195" spans="2:11" ht="12.75" customHeight="1">
      <c r="B1195" s="92" t="str">
        <f t="shared" si="301"/>
        <v/>
      </c>
      <c r="I1195" s="329" t="str">
        <f t="shared" si="302"/>
        <v/>
      </c>
      <c r="J1195" s="329" t="str">
        <f t="shared" si="303"/>
        <v/>
      </c>
      <c r="K1195" s="329" t="str">
        <f t="shared" si="304"/>
        <v/>
      </c>
    </row>
    <row r="1196" spans="2:11" ht="12.75" customHeight="1">
      <c r="B1196" s="92" t="str">
        <f t="shared" si="301"/>
        <v/>
      </c>
      <c r="I1196" s="329" t="str">
        <f t="shared" si="302"/>
        <v/>
      </c>
      <c r="J1196" s="329" t="str">
        <f t="shared" si="303"/>
        <v/>
      </c>
      <c r="K1196" s="329" t="str">
        <f t="shared" si="304"/>
        <v/>
      </c>
    </row>
    <row r="1197" spans="2:11" ht="12.75" customHeight="1">
      <c r="B1197" s="92" t="str">
        <f t="shared" si="301"/>
        <v/>
      </c>
      <c r="I1197" s="329" t="str">
        <f t="shared" si="302"/>
        <v/>
      </c>
      <c r="J1197" s="329" t="str">
        <f t="shared" si="303"/>
        <v/>
      </c>
      <c r="K1197" s="329" t="str">
        <f t="shared" si="304"/>
        <v/>
      </c>
    </row>
    <row r="1198" spans="2:11" ht="12.75" customHeight="1">
      <c r="B1198" s="92" t="str">
        <f t="shared" ref="B1198:B1261" si="305">IF(C1198="","",ROW()-5)</f>
        <v/>
      </c>
      <c r="I1198" s="329" t="str">
        <f t="shared" si="302"/>
        <v/>
      </c>
      <c r="J1198" s="329" t="str">
        <f t="shared" si="303"/>
        <v/>
      </c>
      <c r="K1198" s="329" t="str">
        <f t="shared" si="304"/>
        <v/>
      </c>
    </row>
    <row r="1199" spans="2:11" ht="12.75" customHeight="1">
      <c r="B1199" s="92" t="str">
        <f t="shared" si="305"/>
        <v/>
      </c>
      <c r="I1199" s="329" t="str">
        <f t="shared" si="302"/>
        <v/>
      </c>
      <c r="J1199" s="329" t="str">
        <f t="shared" si="303"/>
        <v/>
      </c>
      <c r="K1199" s="329" t="str">
        <f t="shared" si="304"/>
        <v/>
      </c>
    </row>
    <row r="1200" spans="2:11" ht="12.75" customHeight="1">
      <c r="B1200" s="92" t="str">
        <f t="shared" si="305"/>
        <v/>
      </c>
      <c r="I1200" s="329" t="str">
        <f t="shared" si="302"/>
        <v/>
      </c>
      <c r="J1200" s="329" t="str">
        <f t="shared" si="303"/>
        <v/>
      </c>
      <c r="K1200" s="329" t="str">
        <f t="shared" si="304"/>
        <v/>
      </c>
    </row>
    <row r="1201" spans="2:11" ht="12.75" customHeight="1">
      <c r="B1201" s="92" t="str">
        <f t="shared" si="305"/>
        <v/>
      </c>
      <c r="I1201" s="329" t="str">
        <f t="shared" si="302"/>
        <v/>
      </c>
      <c r="J1201" s="329" t="str">
        <f t="shared" si="303"/>
        <v/>
      </c>
      <c r="K1201" s="329" t="str">
        <f t="shared" si="304"/>
        <v/>
      </c>
    </row>
    <row r="1202" spans="2:11" ht="12.75" customHeight="1">
      <c r="B1202" s="92" t="str">
        <f t="shared" si="305"/>
        <v/>
      </c>
      <c r="I1202" s="329" t="str">
        <f t="shared" si="302"/>
        <v/>
      </c>
      <c r="J1202" s="329" t="str">
        <f t="shared" si="303"/>
        <v/>
      </c>
      <c r="K1202" s="329" t="str">
        <f t="shared" si="304"/>
        <v/>
      </c>
    </row>
    <row r="1203" spans="2:11" ht="12.75" customHeight="1">
      <c r="B1203" s="92" t="str">
        <f t="shared" si="305"/>
        <v/>
      </c>
      <c r="I1203" s="329" t="str">
        <f t="shared" si="302"/>
        <v/>
      </c>
      <c r="J1203" s="329" t="str">
        <f t="shared" si="303"/>
        <v/>
      </c>
      <c r="K1203" s="329" t="str">
        <f t="shared" si="304"/>
        <v/>
      </c>
    </row>
    <row r="1204" spans="2:11" ht="12.75" customHeight="1">
      <c r="B1204" s="92" t="str">
        <f t="shared" si="305"/>
        <v/>
      </c>
      <c r="I1204" s="329" t="str">
        <f t="shared" si="302"/>
        <v/>
      </c>
      <c r="J1204" s="329" t="str">
        <f t="shared" si="303"/>
        <v/>
      </c>
      <c r="K1204" s="329" t="str">
        <f t="shared" si="304"/>
        <v/>
      </c>
    </row>
    <row r="1205" spans="2:11" ht="12.75" customHeight="1">
      <c r="B1205" s="92" t="str">
        <f t="shared" si="305"/>
        <v/>
      </c>
      <c r="I1205" s="329" t="str">
        <f t="shared" si="302"/>
        <v/>
      </c>
      <c r="J1205" s="329" t="str">
        <f t="shared" si="303"/>
        <v/>
      </c>
      <c r="K1205" s="329" t="str">
        <f t="shared" si="304"/>
        <v/>
      </c>
    </row>
    <row r="1206" spans="2:11" ht="12.75" customHeight="1">
      <c r="B1206" s="92" t="str">
        <f t="shared" si="305"/>
        <v/>
      </c>
      <c r="I1206" s="329" t="str">
        <f t="shared" si="302"/>
        <v/>
      </c>
      <c r="J1206" s="329" t="str">
        <f t="shared" si="303"/>
        <v/>
      </c>
      <c r="K1206" s="329" t="str">
        <f t="shared" si="304"/>
        <v/>
      </c>
    </row>
    <row r="1207" spans="2:11" ht="12.75" customHeight="1">
      <c r="B1207" s="92" t="str">
        <f t="shared" si="305"/>
        <v/>
      </c>
      <c r="I1207" s="329" t="str">
        <f t="shared" si="302"/>
        <v/>
      </c>
      <c r="J1207" s="329" t="str">
        <f t="shared" si="303"/>
        <v/>
      </c>
      <c r="K1207" s="329" t="str">
        <f t="shared" si="304"/>
        <v/>
      </c>
    </row>
    <row r="1208" spans="2:11" ht="12.75" customHeight="1">
      <c r="B1208" s="92" t="str">
        <f t="shared" si="305"/>
        <v/>
      </c>
      <c r="I1208" s="329" t="str">
        <f t="shared" si="302"/>
        <v/>
      </c>
      <c r="J1208" s="329" t="str">
        <f t="shared" si="303"/>
        <v/>
      </c>
      <c r="K1208" s="329" t="str">
        <f t="shared" si="304"/>
        <v/>
      </c>
    </row>
    <row r="1209" spans="2:11" ht="12.75" customHeight="1">
      <c r="B1209" s="92" t="str">
        <f t="shared" si="305"/>
        <v/>
      </c>
      <c r="I1209" s="329" t="str">
        <f t="shared" si="302"/>
        <v/>
      </c>
      <c r="J1209" s="329" t="str">
        <f t="shared" si="303"/>
        <v/>
      </c>
      <c r="K1209" s="329" t="str">
        <f t="shared" si="304"/>
        <v/>
      </c>
    </row>
    <row r="1210" spans="2:11" ht="12.75" customHeight="1">
      <c r="B1210" s="92" t="str">
        <f t="shared" si="305"/>
        <v/>
      </c>
      <c r="I1210" s="329" t="str">
        <f t="shared" si="302"/>
        <v/>
      </c>
      <c r="J1210" s="329" t="str">
        <f t="shared" si="303"/>
        <v/>
      </c>
      <c r="K1210" s="329" t="str">
        <f t="shared" si="304"/>
        <v/>
      </c>
    </row>
    <row r="1211" spans="2:11" ht="12.75" customHeight="1">
      <c r="B1211" s="92" t="str">
        <f t="shared" si="305"/>
        <v/>
      </c>
      <c r="I1211" s="329" t="str">
        <f t="shared" si="302"/>
        <v/>
      </c>
      <c r="J1211" s="329" t="str">
        <f t="shared" si="303"/>
        <v/>
      </c>
      <c r="K1211" s="329" t="str">
        <f t="shared" si="304"/>
        <v/>
      </c>
    </row>
    <row r="1212" spans="2:11" ht="12.75" customHeight="1">
      <c r="B1212" s="92" t="str">
        <f t="shared" si="305"/>
        <v/>
      </c>
      <c r="I1212" s="329" t="str">
        <f t="shared" si="302"/>
        <v/>
      </c>
      <c r="J1212" s="329" t="str">
        <f t="shared" si="303"/>
        <v/>
      </c>
      <c r="K1212" s="329" t="str">
        <f t="shared" si="304"/>
        <v/>
      </c>
    </row>
    <row r="1213" spans="2:11" ht="12.75" customHeight="1">
      <c r="B1213" s="92" t="str">
        <f t="shared" si="305"/>
        <v/>
      </c>
      <c r="I1213" s="329" t="str">
        <f t="shared" si="302"/>
        <v/>
      </c>
      <c r="J1213" s="329" t="str">
        <f t="shared" si="303"/>
        <v/>
      </c>
      <c r="K1213" s="329" t="str">
        <f t="shared" si="304"/>
        <v/>
      </c>
    </row>
    <row r="1214" spans="2:11" ht="12.75" customHeight="1">
      <c r="B1214" s="92" t="str">
        <f t="shared" si="305"/>
        <v/>
      </c>
      <c r="I1214" s="329" t="str">
        <f t="shared" ref="I1214:I1277" si="306">+IF(G1214="","",G1214*H1214)</f>
        <v/>
      </c>
      <c r="J1214" s="329" t="str">
        <f t="shared" ref="J1214:J1277" si="307">+IF(G1214="","",I1214*0.1)</f>
        <v/>
      </c>
      <c r="K1214" s="329" t="str">
        <f t="shared" ref="K1214:K1277" si="308">+IF(G1214="","",I1214+J1214)</f>
        <v/>
      </c>
    </row>
    <row r="1215" spans="2:11" ht="12.75" customHeight="1">
      <c r="B1215" s="92" t="str">
        <f t="shared" si="305"/>
        <v/>
      </c>
      <c r="I1215" s="329" t="str">
        <f t="shared" si="306"/>
        <v/>
      </c>
      <c r="J1215" s="329" t="str">
        <f t="shared" si="307"/>
        <v/>
      </c>
      <c r="K1215" s="329" t="str">
        <f t="shared" si="308"/>
        <v/>
      </c>
    </row>
    <row r="1216" spans="2:11" ht="12.75" customHeight="1">
      <c r="B1216" s="92" t="str">
        <f t="shared" si="305"/>
        <v/>
      </c>
      <c r="I1216" s="329" t="str">
        <f t="shared" si="306"/>
        <v/>
      </c>
      <c r="J1216" s="329" t="str">
        <f t="shared" si="307"/>
        <v/>
      </c>
      <c r="K1216" s="329" t="str">
        <f t="shared" si="308"/>
        <v/>
      </c>
    </row>
    <row r="1217" spans="2:11" ht="12.75" customHeight="1">
      <c r="B1217" s="92" t="str">
        <f t="shared" si="305"/>
        <v/>
      </c>
      <c r="I1217" s="329" t="str">
        <f t="shared" si="306"/>
        <v/>
      </c>
      <c r="J1217" s="329" t="str">
        <f t="shared" si="307"/>
        <v/>
      </c>
      <c r="K1217" s="329" t="str">
        <f t="shared" si="308"/>
        <v/>
      </c>
    </row>
    <row r="1218" spans="2:11" ht="12.75" customHeight="1">
      <c r="B1218" s="92" t="str">
        <f t="shared" si="305"/>
        <v/>
      </c>
      <c r="I1218" s="329" t="str">
        <f t="shared" si="306"/>
        <v/>
      </c>
      <c r="J1218" s="329" t="str">
        <f t="shared" si="307"/>
        <v/>
      </c>
      <c r="K1218" s="329" t="str">
        <f t="shared" si="308"/>
        <v/>
      </c>
    </row>
    <row r="1219" spans="2:11" ht="12.75" customHeight="1">
      <c r="B1219" s="92" t="str">
        <f t="shared" si="305"/>
        <v/>
      </c>
      <c r="I1219" s="329" t="str">
        <f t="shared" si="306"/>
        <v/>
      </c>
      <c r="J1219" s="329" t="str">
        <f t="shared" si="307"/>
        <v/>
      </c>
      <c r="K1219" s="329" t="str">
        <f t="shared" si="308"/>
        <v/>
      </c>
    </row>
    <row r="1220" spans="2:11" ht="12.75" customHeight="1">
      <c r="B1220" s="92" t="str">
        <f t="shared" si="305"/>
        <v/>
      </c>
      <c r="I1220" s="329" t="str">
        <f t="shared" si="306"/>
        <v/>
      </c>
      <c r="J1220" s="329" t="str">
        <f t="shared" si="307"/>
        <v/>
      </c>
      <c r="K1220" s="329" t="str">
        <f t="shared" si="308"/>
        <v/>
      </c>
    </row>
    <row r="1221" spans="2:11" ht="12.75" customHeight="1">
      <c r="B1221" s="92" t="str">
        <f t="shared" si="305"/>
        <v/>
      </c>
      <c r="I1221" s="329" t="str">
        <f t="shared" si="306"/>
        <v/>
      </c>
      <c r="J1221" s="329" t="str">
        <f t="shared" si="307"/>
        <v/>
      </c>
      <c r="K1221" s="329" t="str">
        <f t="shared" si="308"/>
        <v/>
      </c>
    </row>
    <row r="1222" spans="2:11" ht="12.75" customHeight="1">
      <c r="B1222" s="92" t="str">
        <f t="shared" si="305"/>
        <v/>
      </c>
      <c r="I1222" s="329" t="str">
        <f t="shared" si="306"/>
        <v/>
      </c>
      <c r="J1222" s="329" t="str">
        <f t="shared" si="307"/>
        <v/>
      </c>
      <c r="K1222" s="329" t="str">
        <f t="shared" si="308"/>
        <v/>
      </c>
    </row>
    <row r="1223" spans="2:11" ht="12.75" customHeight="1">
      <c r="B1223" s="92" t="str">
        <f t="shared" si="305"/>
        <v/>
      </c>
      <c r="I1223" s="329" t="str">
        <f t="shared" si="306"/>
        <v/>
      </c>
      <c r="J1223" s="329" t="str">
        <f t="shared" si="307"/>
        <v/>
      </c>
      <c r="K1223" s="329" t="str">
        <f t="shared" si="308"/>
        <v/>
      </c>
    </row>
    <row r="1224" spans="2:11" ht="12.75" customHeight="1">
      <c r="B1224" s="92" t="str">
        <f t="shared" si="305"/>
        <v/>
      </c>
      <c r="I1224" s="329" t="str">
        <f t="shared" si="306"/>
        <v/>
      </c>
      <c r="J1224" s="329" t="str">
        <f t="shared" si="307"/>
        <v/>
      </c>
      <c r="K1224" s="329" t="str">
        <f t="shared" si="308"/>
        <v/>
      </c>
    </row>
    <row r="1225" spans="2:11" ht="12.75" customHeight="1">
      <c r="B1225" s="92" t="str">
        <f t="shared" si="305"/>
        <v/>
      </c>
      <c r="I1225" s="329" t="str">
        <f t="shared" si="306"/>
        <v/>
      </c>
      <c r="J1225" s="329" t="str">
        <f t="shared" si="307"/>
        <v/>
      </c>
      <c r="K1225" s="329" t="str">
        <f t="shared" si="308"/>
        <v/>
      </c>
    </row>
    <row r="1226" spans="2:11" ht="12.75" customHeight="1">
      <c r="B1226" s="92" t="str">
        <f t="shared" si="305"/>
        <v/>
      </c>
      <c r="I1226" s="329" t="str">
        <f t="shared" si="306"/>
        <v/>
      </c>
      <c r="J1226" s="329" t="str">
        <f t="shared" si="307"/>
        <v/>
      </c>
      <c r="K1226" s="329" t="str">
        <f t="shared" si="308"/>
        <v/>
      </c>
    </row>
    <row r="1227" spans="2:11" ht="12.75" customHeight="1">
      <c r="B1227" s="92" t="str">
        <f t="shared" si="305"/>
        <v/>
      </c>
      <c r="I1227" s="329" t="str">
        <f t="shared" si="306"/>
        <v/>
      </c>
      <c r="J1227" s="329" t="str">
        <f t="shared" si="307"/>
        <v/>
      </c>
      <c r="K1227" s="329" t="str">
        <f t="shared" si="308"/>
        <v/>
      </c>
    </row>
    <row r="1228" spans="2:11" ht="12.75" customHeight="1">
      <c r="B1228" s="92" t="str">
        <f t="shared" si="305"/>
        <v/>
      </c>
      <c r="I1228" s="329" t="str">
        <f t="shared" si="306"/>
        <v/>
      </c>
      <c r="J1228" s="329" t="str">
        <f t="shared" si="307"/>
        <v/>
      </c>
      <c r="K1228" s="329" t="str">
        <f t="shared" si="308"/>
        <v/>
      </c>
    </row>
    <row r="1229" spans="2:11" ht="12.75" customHeight="1">
      <c r="B1229" s="92" t="str">
        <f t="shared" si="305"/>
        <v/>
      </c>
      <c r="I1229" s="329" t="str">
        <f t="shared" si="306"/>
        <v/>
      </c>
      <c r="J1229" s="329" t="str">
        <f t="shared" si="307"/>
        <v/>
      </c>
      <c r="K1229" s="329" t="str">
        <f t="shared" si="308"/>
        <v/>
      </c>
    </row>
    <row r="1230" spans="2:11" ht="12.75" customHeight="1">
      <c r="B1230" s="92" t="str">
        <f t="shared" si="305"/>
        <v/>
      </c>
      <c r="I1230" s="329" t="str">
        <f t="shared" si="306"/>
        <v/>
      </c>
      <c r="J1230" s="329" t="str">
        <f t="shared" si="307"/>
        <v/>
      </c>
      <c r="K1230" s="329" t="str">
        <f t="shared" si="308"/>
        <v/>
      </c>
    </row>
    <row r="1231" spans="2:11" ht="12.75" customHeight="1">
      <c r="B1231" s="92" t="str">
        <f t="shared" si="305"/>
        <v/>
      </c>
      <c r="I1231" s="329" t="str">
        <f t="shared" si="306"/>
        <v/>
      </c>
      <c r="J1231" s="329" t="str">
        <f t="shared" si="307"/>
        <v/>
      </c>
      <c r="K1231" s="329" t="str">
        <f t="shared" si="308"/>
        <v/>
      </c>
    </row>
    <row r="1232" spans="2:11" ht="12.75" customHeight="1">
      <c r="B1232" s="92" t="str">
        <f t="shared" si="305"/>
        <v/>
      </c>
      <c r="I1232" s="329" t="str">
        <f t="shared" si="306"/>
        <v/>
      </c>
      <c r="J1232" s="329" t="str">
        <f t="shared" si="307"/>
        <v/>
      </c>
      <c r="K1232" s="329" t="str">
        <f t="shared" si="308"/>
        <v/>
      </c>
    </row>
    <row r="1233" spans="2:11" ht="12.75" customHeight="1">
      <c r="B1233" s="92" t="str">
        <f t="shared" si="305"/>
        <v/>
      </c>
      <c r="I1233" s="329" t="str">
        <f t="shared" si="306"/>
        <v/>
      </c>
      <c r="J1233" s="329" t="str">
        <f t="shared" si="307"/>
        <v/>
      </c>
      <c r="K1233" s="329" t="str">
        <f t="shared" si="308"/>
        <v/>
      </c>
    </row>
    <row r="1234" spans="2:11" ht="12.75" customHeight="1">
      <c r="B1234" s="92" t="str">
        <f t="shared" si="305"/>
        <v/>
      </c>
      <c r="I1234" s="329" t="str">
        <f t="shared" si="306"/>
        <v/>
      </c>
      <c r="J1234" s="329" t="str">
        <f t="shared" si="307"/>
        <v/>
      </c>
      <c r="K1234" s="329" t="str">
        <f t="shared" si="308"/>
        <v/>
      </c>
    </row>
    <row r="1235" spans="2:11" ht="12.75" customHeight="1">
      <c r="B1235" s="92" t="str">
        <f t="shared" si="305"/>
        <v/>
      </c>
      <c r="I1235" s="329" t="str">
        <f t="shared" si="306"/>
        <v/>
      </c>
      <c r="J1235" s="329" t="str">
        <f t="shared" si="307"/>
        <v/>
      </c>
      <c r="K1235" s="329" t="str">
        <f t="shared" si="308"/>
        <v/>
      </c>
    </row>
    <row r="1236" spans="2:11" ht="12.75" customHeight="1">
      <c r="B1236" s="92" t="str">
        <f t="shared" si="305"/>
        <v/>
      </c>
      <c r="I1236" s="329" t="str">
        <f t="shared" si="306"/>
        <v/>
      </c>
      <c r="J1236" s="329" t="str">
        <f t="shared" si="307"/>
        <v/>
      </c>
      <c r="K1236" s="329" t="str">
        <f t="shared" si="308"/>
        <v/>
      </c>
    </row>
    <row r="1237" spans="2:11" ht="12.75" customHeight="1">
      <c r="B1237" s="92" t="str">
        <f t="shared" si="305"/>
        <v/>
      </c>
      <c r="I1237" s="329" t="str">
        <f t="shared" si="306"/>
        <v/>
      </c>
      <c r="J1237" s="329" t="str">
        <f t="shared" si="307"/>
        <v/>
      </c>
      <c r="K1237" s="329" t="str">
        <f t="shared" si="308"/>
        <v/>
      </c>
    </row>
    <row r="1238" spans="2:11" ht="12.75" customHeight="1">
      <c r="B1238" s="92" t="str">
        <f t="shared" si="305"/>
        <v/>
      </c>
      <c r="I1238" s="329" t="str">
        <f t="shared" si="306"/>
        <v/>
      </c>
      <c r="J1238" s="329" t="str">
        <f t="shared" si="307"/>
        <v/>
      </c>
      <c r="K1238" s="329" t="str">
        <f t="shared" si="308"/>
        <v/>
      </c>
    </row>
    <row r="1239" spans="2:11" ht="12.75" customHeight="1">
      <c r="B1239" s="92" t="str">
        <f t="shared" si="305"/>
        <v/>
      </c>
      <c r="I1239" s="329" t="str">
        <f t="shared" si="306"/>
        <v/>
      </c>
      <c r="J1239" s="329" t="str">
        <f t="shared" si="307"/>
        <v/>
      </c>
      <c r="K1239" s="329" t="str">
        <f t="shared" si="308"/>
        <v/>
      </c>
    </row>
    <row r="1240" spans="2:11" ht="12.75" customHeight="1">
      <c r="B1240" s="92" t="str">
        <f t="shared" si="305"/>
        <v/>
      </c>
      <c r="I1240" s="329" t="str">
        <f t="shared" si="306"/>
        <v/>
      </c>
      <c r="J1240" s="329" t="str">
        <f t="shared" si="307"/>
        <v/>
      </c>
      <c r="K1240" s="329" t="str">
        <f t="shared" si="308"/>
        <v/>
      </c>
    </row>
    <row r="1241" spans="2:11" ht="12.75" customHeight="1">
      <c r="B1241" s="92" t="str">
        <f t="shared" si="305"/>
        <v/>
      </c>
      <c r="I1241" s="329" t="str">
        <f t="shared" si="306"/>
        <v/>
      </c>
      <c r="J1241" s="329" t="str">
        <f t="shared" si="307"/>
        <v/>
      </c>
      <c r="K1241" s="329" t="str">
        <f t="shared" si="308"/>
        <v/>
      </c>
    </row>
    <row r="1242" spans="2:11" ht="12.75" customHeight="1">
      <c r="B1242" s="92" t="str">
        <f t="shared" si="305"/>
        <v/>
      </c>
      <c r="I1242" s="329" t="str">
        <f t="shared" si="306"/>
        <v/>
      </c>
      <c r="J1242" s="329" t="str">
        <f t="shared" si="307"/>
        <v/>
      </c>
      <c r="K1242" s="329" t="str">
        <f t="shared" si="308"/>
        <v/>
      </c>
    </row>
    <row r="1243" spans="2:11" ht="12.75" customHeight="1">
      <c r="B1243" s="92" t="str">
        <f t="shared" si="305"/>
        <v/>
      </c>
      <c r="I1243" s="329" t="str">
        <f t="shared" si="306"/>
        <v/>
      </c>
      <c r="J1243" s="329" t="str">
        <f t="shared" si="307"/>
        <v/>
      </c>
      <c r="K1243" s="329" t="str">
        <f t="shared" si="308"/>
        <v/>
      </c>
    </row>
    <row r="1244" spans="2:11" ht="12.75" customHeight="1">
      <c r="B1244" s="92" t="str">
        <f t="shared" si="305"/>
        <v/>
      </c>
      <c r="I1244" s="329" t="str">
        <f t="shared" si="306"/>
        <v/>
      </c>
      <c r="J1244" s="329" t="str">
        <f t="shared" si="307"/>
        <v/>
      </c>
      <c r="K1244" s="329" t="str">
        <f t="shared" si="308"/>
        <v/>
      </c>
    </row>
    <row r="1245" spans="2:11" ht="12.75" customHeight="1">
      <c r="B1245" s="92" t="str">
        <f t="shared" si="305"/>
        <v/>
      </c>
      <c r="I1245" s="329" t="str">
        <f t="shared" si="306"/>
        <v/>
      </c>
      <c r="J1245" s="329" t="str">
        <f t="shared" si="307"/>
        <v/>
      </c>
      <c r="K1245" s="329" t="str">
        <f t="shared" si="308"/>
        <v/>
      </c>
    </row>
    <row r="1246" spans="2:11" ht="12.75" customHeight="1">
      <c r="B1246" s="92" t="str">
        <f t="shared" si="305"/>
        <v/>
      </c>
      <c r="I1246" s="329" t="str">
        <f t="shared" si="306"/>
        <v/>
      </c>
      <c r="J1246" s="329" t="str">
        <f t="shared" si="307"/>
        <v/>
      </c>
      <c r="K1246" s="329" t="str">
        <f t="shared" si="308"/>
        <v/>
      </c>
    </row>
    <row r="1247" spans="2:11" ht="12.75" customHeight="1">
      <c r="B1247" s="92" t="str">
        <f t="shared" si="305"/>
        <v/>
      </c>
      <c r="I1247" s="329" t="str">
        <f t="shared" si="306"/>
        <v/>
      </c>
      <c r="J1247" s="329" t="str">
        <f t="shared" si="307"/>
        <v/>
      </c>
      <c r="K1247" s="329" t="str">
        <f t="shared" si="308"/>
        <v/>
      </c>
    </row>
    <row r="1248" spans="2:11" ht="12.75" customHeight="1">
      <c r="B1248" s="92" t="str">
        <f t="shared" si="305"/>
        <v/>
      </c>
      <c r="I1248" s="329" t="str">
        <f t="shared" si="306"/>
        <v/>
      </c>
      <c r="J1248" s="329" t="str">
        <f t="shared" si="307"/>
        <v/>
      </c>
      <c r="K1248" s="329" t="str">
        <f t="shared" si="308"/>
        <v/>
      </c>
    </row>
    <row r="1249" spans="2:11" ht="12.75" customHeight="1">
      <c r="B1249" s="92" t="str">
        <f t="shared" si="305"/>
        <v/>
      </c>
      <c r="I1249" s="329" t="str">
        <f t="shared" si="306"/>
        <v/>
      </c>
      <c r="J1249" s="329" t="str">
        <f t="shared" si="307"/>
        <v/>
      </c>
      <c r="K1249" s="329" t="str">
        <f t="shared" si="308"/>
        <v/>
      </c>
    </row>
    <row r="1250" spans="2:11" ht="12.75" customHeight="1">
      <c r="B1250" s="92" t="str">
        <f t="shared" si="305"/>
        <v/>
      </c>
      <c r="I1250" s="329" t="str">
        <f t="shared" si="306"/>
        <v/>
      </c>
      <c r="J1250" s="329" t="str">
        <f t="shared" si="307"/>
        <v/>
      </c>
      <c r="K1250" s="329" t="str">
        <f t="shared" si="308"/>
        <v/>
      </c>
    </row>
    <row r="1251" spans="2:11" ht="12.75" customHeight="1">
      <c r="B1251" s="92" t="str">
        <f t="shared" si="305"/>
        <v/>
      </c>
      <c r="I1251" s="329" t="str">
        <f t="shared" si="306"/>
        <v/>
      </c>
      <c r="J1251" s="329" t="str">
        <f t="shared" si="307"/>
        <v/>
      </c>
      <c r="K1251" s="329" t="str">
        <f t="shared" si="308"/>
        <v/>
      </c>
    </row>
    <row r="1252" spans="2:11" ht="12.75" customHeight="1">
      <c r="B1252" s="92" t="str">
        <f t="shared" si="305"/>
        <v/>
      </c>
      <c r="I1252" s="329" t="str">
        <f t="shared" si="306"/>
        <v/>
      </c>
      <c r="J1252" s="329" t="str">
        <f t="shared" si="307"/>
        <v/>
      </c>
      <c r="K1252" s="329" t="str">
        <f t="shared" si="308"/>
        <v/>
      </c>
    </row>
    <row r="1253" spans="2:11" ht="12.75" customHeight="1">
      <c r="B1253" s="92" t="str">
        <f t="shared" si="305"/>
        <v/>
      </c>
      <c r="I1253" s="329" t="str">
        <f t="shared" si="306"/>
        <v/>
      </c>
      <c r="J1253" s="329" t="str">
        <f t="shared" si="307"/>
        <v/>
      </c>
      <c r="K1253" s="329" t="str">
        <f t="shared" si="308"/>
        <v/>
      </c>
    </row>
    <row r="1254" spans="2:11" ht="12.75" customHeight="1">
      <c r="B1254" s="92" t="str">
        <f t="shared" si="305"/>
        <v/>
      </c>
      <c r="I1254" s="329" t="str">
        <f t="shared" si="306"/>
        <v/>
      </c>
      <c r="J1254" s="329" t="str">
        <f t="shared" si="307"/>
        <v/>
      </c>
      <c r="K1254" s="329" t="str">
        <f t="shared" si="308"/>
        <v/>
      </c>
    </row>
    <row r="1255" spans="2:11" ht="12.75" customHeight="1">
      <c r="B1255" s="92" t="str">
        <f t="shared" si="305"/>
        <v/>
      </c>
      <c r="I1255" s="329" t="str">
        <f t="shared" si="306"/>
        <v/>
      </c>
      <c r="J1255" s="329" t="str">
        <f t="shared" si="307"/>
        <v/>
      </c>
      <c r="K1255" s="329" t="str">
        <f t="shared" si="308"/>
        <v/>
      </c>
    </row>
    <row r="1256" spans="2:11" ht="12.75" customHeight="1">
      <c r="B1256" s="92" t="str">
        <f t="shared" si="305"/>
        <v/>
      </c>
      <c r="I1256" s="329" t="str">
        <f t="shared" si="306"/>
        <v/>
      </c>
      <c r="J1256" s="329" t="str">
        <f t="shared" si="307"/>
        <v/>
      </c>
      <c r="K1256" s="329" t="str">
        <f t="shared" si="308"/>
        <v/>
      </c>
    </row>
    <row r="1257" spans="2:11" ht="12.75" customHeight="1">
      <c r="B1257" s="92" t="str">
        <f t="shared" si="305"/>
        <v/>
      </c>
      <c r="I1257" s="329" t="str">
        <f t="shared" si="306"/>
        <v/>
      </c>
      <c r="J1257" s="329" t="str">
        <f t="shared" si="307"/>
        <v/>
      </c>
      <c r="K1257" s="329" t="str">
        <f t="shared" si="308"/>
        <v/>
      </c>
    </row>
    <row r="1258" spans="2:11" ht="12.75" customHeight="1">
      <c r="B1258" s="92" t="str">
        <f t="shared" si="305"/>
        <v/>
      </c>
      <c r="I1258" s="329" t="str">
        <f t="shared" si="306"/>
        <v/>
      </c>
      <c r="J1258" s="329" t="str">
        <f t="shared" si="307"/>
        <v/>
      </c>
      <c r="K1258" s="329" t="str">
        <f t="shared" si="308"/>
        <v/>
      </c>
    </row>
    <row r="1259" spans="2:11" ht="12.75" customHeight="1">
      <c r="B1259" s="92" t="str">
        <f t="shared" si="305"/>
        <v/>
      </c>
      <c r="I1259" s="329" t="str">
        <f t="shared" si="306"/>
        <v/>
      </c>
      <c r="J1259" s="329" t="str">
        <f t="shared" si="307"/>
        <v/>
      </c>
      <c r="K1259" s="329" t="str">
        <f t="shared" si="308"/>
        <v/>
      </c>
    </row>
    <row r="1260" spans="2:11" ht="12.75" customHeight="1">
      <c r="B1260" s="92" t="str">
        <f t="shared" si="305"/>
        <v/>
      </c>
      <c r="I1260" s="329" t="str">
        <f t="shared" si="306"/>
        <v/>
      </c>
      <c r="J1260" s="329" t="str">
        <f t="shared" si="307"/>
        <v/>
      </c>
      <c r="K1260" s="329" t="str">
        <f t="shared" si="308"/>
        <v/>
      </c>
    </row>
    <row r="1261" spans="2:11" ht="12.75" customHeight="1">
      <c r="B1261" s="92" t="str">
        <f t="shared" si="305"/>
        <v/>
      </c>
      <c r="I1261" s="329" t="str">
        <f t="shared" si="306"/>
        <v/>
      </c>
      <c r="J1261" s="329" t="str">
        <f t="shared" si="307"/>
        <v/>
      </c>
      <c r="K1261" s="329" t="str">
        <f t="shared" si="308"/>
        <v/>
      </c>
    </row>
    <row r="1262" spans="2:11" ht="12.75" customHeight="1">
      <c r="B1262" s="92" t="str">
        <f t="shared" ref="B1262:B1325" si="309">IF(C1262="","",ROW()-5)</f>
        <v/>
      </c>
      <c r="I1262" s="329" t="str">
        <f t="shared" si="306"/>
        <v/>
      </c>
      <c r="J1262" s="329" t="str">
        <f t="shared" si="307"/>
        <v/>
      </c>
      <c r="K1262" s="329" t="str">
        <f t="shared" si="308"/>
        <v/>
      </c>
    </row>
    <row r="1263" spans="2:11" ht="12.75" customHeight="1">
      <c r="B1263" s="92" t="str">
        <f t="shared" si="309"/>
        <v/>
      </c>
      <c r="I1263" s="329" t="str">
        <f t="shared" si="306"/>
        <v/>
      </c>
      <c r="J1263" s="329" t="str">
        <f t="shared" si="307"/>
        <v/>
      </c>
      <c r="K1263" s="329" t="str">
        <f t="shared" si="308"/>
        <v/>
      </c>
    </row>
    <row r="1264" spans="2:11" ht="12.75" customHeight="1">
      <c r="B1264" s="92" t="str">
        <f t="shared" si="309"/>
        <v/>
      </c>
      <c r="I1264" s="329" t="str">
        <f t="shared" si="306"/>
        <v/>
      </c>
      <c r="J1264" s="329" t="str">
        <f t="shared" si="307"/>
        <v/>
      </c>
      <c r="K1264" s="329" t="str">
        <f t="shared" si="308"/>
        <v/>
      </c>
    </row>
    <row r="1265" spans="2:11" ht="12.75" customHeight="1">
      <c r="B1265" s="92" t="str">
        <f t="shared" si="309"/>
        <v/>
      </c>
      <c r="I1265" s="329" t="str">
        <f t="shared" si="306"/>
        <v/>
      </c>
      <c r="J1265" s="329" t="str">
        <f t="shared" si="307"/>
        <v/>
      </c>
      <c r="K1265" s="329" t="str">
        <f t="shared" si="308"/>
        <v/>
      </c>
    </row>
    <row r="1266" spans="2:11" ht="12.75" customHeight="1">
      <c r="B1266" s="92" t="str">
        <f t="shared" si="309"/>
        <v/>
      </c>
      <c r="I1266" s="329" t="str">
        <f t="shared" si="306"/>
        <v/>
      </c>
      <c r="J1266" s="329" t="str">
        <f t="shared" si="307"/>
        <v/>
      </c>
      <c r="K1266" s="329" t="str">
        <f t="shared" si="308"/>
        <v/>
      </c>
    </row>
    <row r="1267" spans="2:11" ht="12.75" customHeight="1">
      <c r="B1267" s="92" t="str">
        <f t="shared" si="309"/>
        <v/>
      </c>
      <c r="I1267" s="329" t="str">
        <f t="shared" si="306"/>
        <v/>
      </c>
      <c r="J1267" s="329" t="str">
        <f t="shared" si="307"/>
        <v/>
      </c>
      <c r="K1267" s="329" t="str">
        <f t="shared" si="308"/>
        <v/>
      </c>
    </row>
    <row r="1268" spans="2:11" ht="12.75" customHeight="1">
      <c r="B1268" s="92" t="str">
        <f t="shared" si="309"/>
        <v/>
      </c>
      <c r="I1268" s="329" t="str">
        <f t="shared" si="306"/>
        <v/>
      </c>
      <c r="J1268" s="329" t="str">
        <f t="shared" si="307"/>
        <v/>
      </c>
      <c r="K1268" s="329" t="str">
        <f t="shared" si="308"/>
        <v/>
      </c>
    </row>
    <row r="1269" spans="2:11" ht="12.75" customHeight="1">
      <c r="B1269" s="92" t="str">
        <f t="shared" si="309"/>
        <v/>
      </c>
      <c r="I1269" s="329" t="str">
        <f t="shared" si="306"/>
        <v/>
      </c>
      <c r="J1269" s="329" t="str">
        <f t="shared" si="307"/>
        <v/>
      </c>
      <c r="K1269" s="329" t="str">
        <f t="shared" si="308"/>
        <v/>
      </c>
    </row>
    <row r="1270" spans="2:11" ht="12.75" customHeight="1">
      <c r="B1270" s="92" t="str">
        <f t="shared" si="309"/>
        <v/>
      </c>
      <c r="I1270" s="329" t="str">
        <f t="shared" si="306"/>
        <v/>
      </c>
      <c r="J1270" s="329" t="str">
        <f t="shared" si="307"/>
        <v/>
      </c>
      <c r="K1270" s="329" t="str">
        <f t="shared" si="308"/>
        <v/>
      </c>
    </row>
    <row r="1271" spans="2:11" ht="12.75" customHeight="1">
      <c r="B1271" s="92" t="str">
        <f t="shared" si="309"/>
        <v/>
      </c>
      <c r="I1271" s="329" t="str">
        <f t="shared" si="306"/>
        <v/>
      </c>
      <c r="J1271" s="329" t="str">
        <f t="shared" si="307"/>
        <v/>
      </c>
      <c r="K1271" s="329" t="str">
        <f t="shared" si="308"/>
        <v/>
      </c>
    </row>
    <row r="1272" spans="2:11" ht="12.75" customHeight="1">
      <c r="B1272" s="92" t="str">
        <f t="shared" si="309"/>
        <v/>
      </c>
      <c r="I1272" s="329" t="str">
        <f t="shared" si="306"/>
        <v/>
      </c>
      <c r="J1272" s="329" t="str">
        <f t="shared" si="307"/>
        <v/>
      </c>
      <c r="K1272" s="329" t="str">
        <f t="shared" si="308"/>
        <v/>
      </c>
    </row>
    <row r="1273" spans="2:11" ht="12.75" customHeight="1">
      <c r="B1273" s="92" t="str">
        <f t="shared" si="309"/>
        <v/>
      </c>
      <c r="I1273" s="329" t="str">
        <f t="shared" si="306"/>
        <v/>
      </c>
      <c r="J1273" s="329" t="str">
        <f t="shared" si="307"/>
        <v/>
      </c>
      <c r="K1273" s="329" t="str">
        <f t="shared" si="308"/>
        <v/>
      </c>
    </row>
    <row r="1274" spans="2:11" ht="12.75" customHeight="1">
      <c r="B1274" s="92" t="str">
        <f t="shared" si="309"/>
        <v/>
      </c>
      <c r="I1274" s="329" t="str">
        <f t="shared" si="306"/>
        <v/>
      </c>
      <c r="J1274" s="329" t="str">
        <f t="shared" si="307"/>
        <v/>
      </c>
      <c r="K1274" s="329" t="str">
        <f t="shared" si="308"/>
        <v/>
      </c>
    </row>
    <row r="1275" spans="2:11" ht="12.75" customHeight="1">
      <c r="B1275" s="92" t="str">
        <f t="shared" si="309"/>
        <v/>
      </c>
      <c r="I1275" s="329" t="str">
        <f t="shared" si="306"/>
        <v/>
      </c>
      <c r="J1275" s="329" t="str">
        <f t="shared" si="307"/>
        <v/>
      </c>
      <c r="K1275" s="329" t="str">
        <f t="shared" si="308"/>
        <v/>
      </c>
    </row>
    <row r="1276" spans="2:11" ht="12.75" customHeight="1">
      <c r="B1276" s="92" t="str">
        <f t="shared" si="309"/>
        <v/>
      </c>
      <c r="I1276" s="329" t="str">
        <f t="shared" si="306"/>
        <v/>
      </c>
      <c r="J1276" s="329" t="str">
        <f t="shared" si="307"/>
        <v/>
      </c>
      <c r="K1276" s="329" t="str">
        <f t="shared" si="308"/>
        <v/>
      </c>
    </row>
    <row r="1277" spans="2:11" ht="12.75" customHeight="1">
      <c r="B1277" s="92" t="str">
        <f t="shared" si="309"/>
        <v/>
      </c>
      <c r="I1277" s="329" t="str">
        <f t="shared" si="306"/>
        <v/>
      </c>
      <c r="J1277" s="329" t="str">
        <f t="shared" si="307"/>
        <v/>
      </c>
      <c r="K1277" s="329" t="str">
        <f t="shared" si="308"/>
        <v/>
      </c>
    </row>
    <row r="1278" spans="2:11" ht="12.75" customHeight="1">
      <c r="B1278" s="92" t="str">
        <f t="shared" si="309"/>
        <v/>
      </c>
      <c r="I1278" s="329" t="str">
        <f t="shared" ref="I1278:I1341" si="310">+IF(G1278="","",G1278*H1278)</f>
        <v/>
      </c>
      <c r="J1278" s="329" t="str">
        <f t="shared" ref="J1278:J1341" si="311">+IF(G1278="","",I1278*0.1)</f>
        <v/>
      </c>
      <c r="K1278" s="329" t="str">
        <f t="shared" ref="K1278:K1341" si="312">+IF(G1278="","",I1278+J1278)</f>
        <v/>
      </c>
    </row>
    <row r="1279" spans="2:11" ht="12.75" customHeight="1">
      <c r="B1279" s="92" t="str">
        <f t="shared" si="309"/>
        <v/>
      </c>
      <c r="I1279" s="329" t="str">
        <f t="shared" si="310"/>
        <v/>
      </c>
      <c r="J1279" s="329" t="str">
        <f t="shared" si="311"/>
        <v/>
      </c>
      <c r="K1279" s="329" t="str">
        <f t="shared" si="312"/>
        <v/>
      </c>
    </row>
    <row r="1280" spans="2:11" ht="12.75" customHeight="1">
      <c r="B1280" s="92" t="str">
        <f t="shared" si="309"/>
        <v/>
      </c>
      <c r="I1280" s="329" t="str">
        <f t="shared" si="310"/>
        <v/>
      </c>
      <c r="J1280" s="329" t="str">
        <f t="shared" si="311"/>
        <v/>
      </c>
      <c r="K1280" s="329" t="str">
        <f t="shared" si="312"/>
        <v/>
      </c>
    </row>
    <row r="1281" spans="2:11" ht="12.75" customHeight="1">
      <c r="B1281" s="92" t="str">
        <f t="shared" si="309"/>
        <v/>
      </c>
      <c r="I1281" s="329" t="str">
        <f t="shared" si="310"/>
        <v/>
      </c>
      <c r="J1281" s="329" t="str">
        <f t="shared" si="311"/>
        <v/>
      </c>
      <c r="K1281" s="329" t="str">
        <f t="shared" si="312"/>
        <v/>
      </c>
    </row>
    <row r="1282" spans="2:11" ht="12.75" customHeight="1">
      <c r="B1282" s="92" t="str">
        <f t="shared" si="309"/>
        <v/>
      </c>
      <c r="I1282" s="329" t="str">
        <f t="shared" si="310"/>
        <v/>
      </c>
      <c r="J1282" s="329" t="str">
        <f t="shared" si="311"/>
        <v/>
      </c>
      <c r="K1282" s="329" t="str">
        <f t="shared" si="312"/>
        <v/>
      </c>
    </row>
    <row r="1283" spans="2:11" ht="12.75" customHeight="1">
      <c r="B1283" s="92" t="str">
        <f t="shared" si="309"/>
        <v/>
      </c>
      <c r="I1283" s="329" t="str">
        <f t="shared" si="310"/>
        <v/>
      </c>
      <c r="J1283" s="329" t="str">
        <f t="shared" si="311"/>
        <v/>
      </c>
      <c r="K1283" s="329" t="str">
        <f t="shared" si="312"/>
        <v/>
      </c>
    </row>
    <row r="1284" spans="2:11" ht="12.75" customHeight="1">
      <c r="B1284" s="92" t="str">
        <f t="shared" si="309"/>
        <v/>
      </c>
      <c r="I1284" s="329" t="str">
        <f t="shared" si="310"/>
        <v/>
      </c>
      <c r="J1284" s="329" t="str">
        <f t="shared" si="311"/>
        <v/>
      </c>
      <c r="K1284" s="329" t="str">
        <f t="shared" si="312"/>
        <v/>
      </c>
    </row>
    <row r="1285" spans="2:11" ht="12.75" customHeight="1">
      <c r="B1285" s="92" t="str">
        <f t="shared" si="309"/>
        <v/>
      </c>
      <c r="I1285" s="329" t="str">
        <f t="shared" si="310"/>
        <v/>
      </c>
      <c r="J1285" s="329" t="str">
        <f t="shared" si="311"/>
        <v/>
      </c>
      <c r="K1285" s="329" t="str">
        <f t="shared" si="312"/>
        <v/>
      </c>
    </row>
    <row r="1286" spans="2:11" ht="12.75" customHeight="1">
      <c r="B1286" s="92" t="str">
        <f t="shared" si="309"/>
        <v/>
      </c>
      <c r="I1286" s="329" t="str">
        <f t="shared" si="310"/>
        <v/>
      </c>
      <c r="J1286" s="329" t="str">
        <f t="shared" si="311"/>
        <v/>
      </c>
      <c r="K1286" s="329" t="str">
        <f t="shared" si="312"/>
        <v/>
      </c>
    </row>
    <row r="1287" spans="2:11" ht="12.75" customHeight="1">
      <c r="B1287" s="92" t="str">
        <f t="shared" si="309"/>
        <v/>
      </c>
      <c r="I1287" s="329" t="str">
        <f t="shared" si="310"/>
        <v/>
      </c>
      <c r="J1287" s="329" t="str">
        <f t="shared" si="311"/>
        <v/>
      </c>
      <c r="K1287" s="329" t="str">
        <f t="shared" si="312"/>
        <v/>
      </c>
    </row>
    <row r="1288" spans="2:11" ht="12.75" customHeight="1">
      <c r="B1288" s="92" t="str">
        <f t="shared" si="309"/>
        <v/>
      </c>
      <c r="I1288" s="329" t="str">
        <f t="shared" si="310"/>
        <v/>
      </c>
      <c r="J1288" s="329" t="str">
        <f t="shared" si="311"/>
        <v/>
      </c>
      <c r="K1288" s="329" t="str">
        <f t="shared" si="312"/>
        <v/>
      </c>
    </row>
    <row r="1289" spans="2:11" ht="12.75" customHeight="1">
      <c r="B1289" s="92" t="str">
        <f t="shared" si="309"/>
        <v/>
      </c>
      <c r="I1289" s="329" t="str">
        <f t="shared" si="310"/>
        <v/>
      </c>
      <c r="J1289" s="329" t="str">
        <f t="shared" si="311"/>
        <v/>
      </c>
      <c r="K1289" s="329" t="str">
        <f t="shared" si="312"/>
        <v/>
      </c>
    </row>
    <row r="1290" spans="2:11" ht="12.75" customHeight="1">
      <c r="B1290" s="92" t="str">
        <f t="shared" si="309"/>
        <v/>
      </c>
      <c r="I1290" s="329" t="str">
        <f t="shared" si="310"/>
        <v/>
      </c>
      <c r="J1290" s="329" t="str">
        <f t="shared" si="311"/>
        <v/>
      </c>
      <c r="K1290" s="329" t="str">
        <f t="shared" si="312"/>
        <v/>
      </c>
    </row>
    <row r="1291" spans="2:11" ht="12.75" customHeight="1">
      <c r="B1291" s="92" t="str">
        <f t="shared" si="309"/>
        <v/>
      </c>
      <c r="I1291" s="329" t="str">
        <f t="shared" si="310"/>
        <v/>
      </c>
      <c r="J1291" s="329" t="str">
        <f t="shared" si="311"/>
        <v/>
      </c>
      <c r="K1291" s="329" t="str">
        <f t="shared" si="312"/>
        <v/>
      </c>
    </row>
    <row r="1292" spans="2:11" ht="12.75" customHeight="1">
      <c r="B1292" s="92" t="str">
        <f t="shared" si="309"/>
        <v/>
      </c>
      <c r="I1292" s="329" t="str">
        <f t="shared" si="310"/>
        <v/>
      </c>
      <c r="J1292" s="329" t="str">
        <f t="shared" si="311"/>
        <v/>
      </c>
      <c r="K1292" s="329" t="str">
        <f t="shared" si="312"/>
        <v/>
      </c>
    </row>
    <row r="1293" spans="2:11" ht="12.75" customHeight="1">
      <c r="B1293" s="92" t="str">
        <f t="shared" si="309"/>
        <v/>
      </c>
      <c r="I1293" s="329" t="str">
        <f t="shared" si="310"/>
        <v/>
      </c>
      <c r="J1293" s="329" t="str">
        <f t="shared" si="311"/>
        <v/>
      </c>
      <c r="K1293" s="329" t="str">
        <f t="shared" si="312"/>
        <v/>
      </c>
    </row>
    <row r="1294" spans="2:11" ht="12.75" customHeight="1">
      <c r="B1294" s="92" t="str">
        <f t="shared" si="309"/>
        <v/>
      </c>
      <c r="I1294" s="329" t="str">
        <f t="shared" si="310"/>
        <v/>
      </c>
      <c r="J1294" s="329" t="str">
        <f t="shared" si="311"/>
        <v/>
      </c>
      <c r="K1294" s="329" t="str">
        <f t="shared" si="312"/>
        <v/>
      </c>
    </row>
    <row r="1295" spans="2:11" ht="12.75" customHeight="1">
      <c r="B1295" s="92" t="str">
        <f t="shared" si="309"/>
        <v/>
      </c>
      <c r="I1295" s="329" t="str">
        <f t="shared" si="310"/>
        <v/>
      </c>
      <c r="J1295" s="329" t="str">
        <f t="shared" si="311"/>
        <v/>
      </c>
      <c r="K1295" s="329" t="str">
        <f t="shared" si="312"/>
        <v/>
      </c>
    </row>
    <row r="1296" spans="2:11" ht="12.75" customHeight="1">
      <c r="B1296" s="92" t="str">
        <f t="shared" si="309"/>
        <v/>
      </c>
      <c r="I1296" s="329" t="str">
        <f t="shared" si="310"/>
        <v/>
      </c>
      <c r="J1296" s="329" t="str">
        <f t="shared" si="311"/>
        <v/>
      </c>
      <c r="K1296" s="329" t="str">
        <f t="shared" si="312"/>
        <v/>
      </c>
    </row>
    <row r="1297" spans="2:11" ht="12.75" customHeight="1">
      <c r="B1297" s="92" t="str">
        <f t="shared" si="309"/>
        <v/>
      </c>
      <c r="I1297" s="329" t="str">
        <f t="shared" si="310"/>
        <v/>
      </c>
      <c r="J1297" s="329" t="str">
        <f t="shared" si="311"/>
        <v/>
      </c>
      <c r="K1297" s="329" t="str">
        <f t="shared" si="312"/>
        <v/>
      </c>
    </row>
    <row r="1298" spans="2:11" ht="12.75" customHeight="1">
      <c r="B1298" s="92" t="str">
        <f t="shared" si="309"/>
        <v/>
      </c>
      <c r="I1298" s="329" t="str">
        <f t="shared" si="310"/>
        <v/>
      </c>
      <c r="J1298" s="329" t="str">
        <f t="shared" si="311"/>
        <v/>
      </c>
      <c r="K1298" s="329" t="str">
        <f t="shared" si="312"/>
        <v/>
      </c>
    </row>
    <row r="1299" spans="2:11" ht="12.75" customHeight="1">
      <c r="B1299" s="92" t="str">
        <f t="shared" si="309"/>
        <v/>
      </c>
      <c r="I1299" s="329" t="str">
        <f t="shared" si="310"/>
        <v/>
      </c>
      <c r="J1299" s="329" t="str">
        <f t="shared" si="311"/>
        <v/>
      </c>
      <c r="K1299" s="329" t="str">
        <f t="shared" si="312"/>
        <v/>
      </c>
    </row>
    <row r="1300" spans="2:11" ht="12.75" customHeight="1">
      <c r="B1300" s="92" t="str">
        <f t="shared" si="309"/>
        <v/>
      </c>
      <c r="I1300" s="329" t="str">
        <f t="shared" si="310"/>
        <v/>
      </c>
      <c r="J1300" s="329" t="str">
        <f t="shared" si="311"/>
        <v/>
      </c>
      <c r="K1300" s="329" t="str">
        <f t="shared" si="312"/>
        <v/>
      </c>
    </row>
    <row r="1301" spans="2:11" ht="12.75" customHeight="1">
      <c r="B1301" s="92" t="str">
        <f t="shared" si="309"/>
        <v/>
      </c>
      <c r="I1301" s="329" t="str">
        <f t="shared" si="310"/>
        <v/>
      </c>
      <c r="J1301" s="329" t="str">
        <f t="shared" si="311"/>
        <v/>
      </c>
      <c r="K1301" s="329" t="str">
        <f t="shared" si="312"/>
        <v/>
      </c>
    </row>
    <row r="1302" spans="2:11" ht="12.75" customHeight="1">
      <c r="B1302" s="92" t="str">
        <f t="shared" si="309"/>
        <v/>
      </c>
      <c r="I1302" s="329" t="str">
        <f t="shared" si="310"/>
        <v/>
      </c>
      <c r="J1302" s="329" t="str">
        <f t="shared" si="311"/>
        <v/>
      </c>
      <c r="K1302" s="329" t="str">
        <f t="shared" si="312"/>
        <v/>
      </c>
    </row>
    <row r="1303" spans="2:11" ht="12.75" customHeight="1">
      <c r="B1303" s="92" t="str">
        <f t="shared" si="309"/>
        <v/>
      </c>
      <c r="I1303" s="329" t="str">
        <f t="shared" si="310"/>
        <v/>
      </c>
      <c r="J1303" s="329" t="str">
        <f t="shared" si="311"/>
        <v/>
      </c>
      <c r="K1303" s="329" t="str">
        <f t="shared" si="312"/>
        <v/>
      </c>
    </row>
    <row r="1304" spans="2:11" ht="12.75" customHeight="1">
      <c r="B1304" s="92" t="str">
        <f t="shared" si="309"/>
        <v/>
      </c>
      <c r="I1304" s="329" t="str">
        <f t="shared" si="310"/>
        <v/>
      </c>
      <c r="J1304" s="329" t="str">
        <f t="shared" si="311"/>
        <v/>
      </c>
      <c r="K1304" s="329" t="str">
        <f t="shared" si="312"/>
        <v/>
      </c>
    </row>
    <row r="1305" spans="2:11" ht="12.75" customHeight="1">
      <c r="B1305" s="92" t="str">
        <f t="shared" si="309"/>
        <v/>
      </c>
      <c r="I1305" s="329" t="str">
        <f t="shared" si="310"/>
        <v/>
      </c>
      <c r="J1305" s="329" t="str">
        <f t="shared" si="311"/>
        <v/>
      </c>
      <c r="K1305" s="329" t="str">
        <f t="shared" si="312"/>
        <v/>
      </c>
    </row>
    <row r="1306" spans="2:11" ht="12.75" customHeight="1">
      <c r="B1306" s="92" t="str">
        <f t="shared" si="309"/>
        <v/>
      </c>
      <c r="I1306" s="329" t="str">
        <f t="shared" si="310"/>
        <v/>
      </c>
      <c r="J1306" s="329" t="str">
        <f t="shared" si="311"/>
        <v/>
      </c>
      <c r="K1306" s="329" t="str">
        <f t="shared" si="312"/>
        <v/>
      </c>
    </row>
    <row r="1307" spans="2:11" ht="12.75" customHeight="1">
      <c r="B1307" s="92" t="str">
        <f t="shared" si="309"/>
        <v/>
      </c>
      <c r="I1307" s="329" t="str">
        <f t="shared" si="310"/>
        <v/>
      </c>
      <c r="J1307" s="329" t="str">
        <f t="shared" si="311"/>
        <v/>
      </c>
      <c r="K1307" s="329" t="str">
        <f t="shared" si="312"/>
        <v/>
      </c>
    </row>
    <row r="1308" spans="2:11" ht="12.75" customHeight="1">
      <c r="B1308" s="92" t="str">
        <f t="shared" si="309"/>
        <v/>
      </c>
      <c r="I1308" s="329" t="str">
        <f t="shared" si="310"/>
        <v/>
      </c>
      <c r="J1308" s="329" t="str">
        <f t="shared" si="311"/>
        <v/>
      </c>
      <c r="K1308" s="329" t="str">
        <f t="shared" si="312"/>
        <v/>
      </c>
    </row>
    <row r="1309" spans="2:11" ht="12.75" customHeight="1">
      <c r="B1309" s="92" t="str">
        <f t="shared" si="309"/>
        <v/>
      </c>
      <c r="I1309" s="329" t="str">
        <f t="shared" si="310"/>
        <v/>
      </c>
      <c r="J1309" s="329" t="str">
        <f t="shared" si="311"/>
        <v/>
      </c>
      <c r="K1309" s="329" t="str">
        <f t="shared" si="312"/>
        <v/>
      </c>
    </row>
    <row r="1310" spans="2:11" ht="12.75" customHeight="1">
      <c r="B1310" s="92" t="str">
        <f t="shared" si="309"/>
        <v/>
      </c>
      <c r="I1310" s="329" t="str">
        <f t="shared" si="310"/>
        <v/>
      </c>
      <c r="J1310" s="329" t="str">
        <f t="shared" si="311"/>
        <v/>
      </c>
      <c r="K1310" s="329" t="str">
        <f t="shared" si="312"/>
        <v/>
      </c>
    </row>
    <row r="1311" spans="2:11" ht="12.75" customHeight="1">
      <c r="B1311" s="92" t="str">
        <f t="shared" si="309"/>
        <v/>
      </c>
      <c r="I1311" s="329" t="str">
        <f t="shared" si="310"/>
        <v/>
      </c>
      <c r="J1311" s="329" t="str">
        <f t="shared" si="311"/>
        <v/>
      </c>
      <c r="K1311" s="329" t="str">
        <f t="shared" si="312"/>
        <v/>
      </c>
    </row>
    <row r="1312" spans="2:11" ht="12.75" customHeight="1">
      <c r="B1312" s="92" t="str">
        <f t="shared" si="309"/>
        <v/>
      </c>
      <c r="I1312" s="329" t="str">
        <f t="shared" si="310"/>
        <v/>
      </c>
      <c r="J1312" s="329" t="str">
        <f t="shared" si="311"/>
        <v/>
      </c>
      <c r="K1312" s="329" t="str">
        <f t="shared" si="312"/>
        <v/>
      </c>
    </row>
    <row r="1313" spans="2:11" ht="12.75" customHeight="1">
      <c r="B1313" s="92" t="str">
        <f t="shared" si="309"/>
        <v/>
      </c>
      <c r="I1313" s="329" t="str">
        <f t="shared" si="310"/>
        <v/>
      </c>
      <c r="J1313" s="329" t="str">
        <f t="shared" si="311"/>
        <v/>
      </c>
      <c r="K1313" s="329" t="str">
        <f t="shared" si="312"/>
        <v/>
      </c>
    </row>
    <row r="1314" spans="2:11" ht="12.75" customHeight="1">
      <c r="B1314" s="92" t="str">
        <f t="shared" si="309"/>
        <v/>
      </c>
      <c r="I1314" s="329" t="str">
        <f t="shared" si="310"/>
        <v/>
      </c>
      <c r="J1314" s="329" t="str">
        <f t="shared" si="311"/>
        <v/>
      </c>
      <c r="K1314" s="329" t="str">
        <f t="shared" si="312"/>
        <v/>
      </c>
    </row>
    <row r="1315" spans="2:11" ht="12.75" customHeight="1">
      <c r="B1315" s="92" t="str">
        <f t="shared" si="309"/>
        <v/>
      </c>
      <c r="I1315" s="329" t="str">
        <f t="shared" si="310"/>
        <v/>
      </c>
      <c r="J1315" s="329" t="str">
        <f t="shared" si="311"/>
        <v/>
      </c>
      <c r="K1315" s="329" t="str">
        <f t="shared" si="312"/>
        <v/>
      </c>
    </row>
    <row r="1316" spans="2:11" ht="12.75" customHeight="1">
      <c r="B1316" s="92" t="str">
        <f t="shared" si="309"/>
        <v/>
      </c>
      <c r="I1316" s="329" t="str">
        <f t="shared" si="310"/>
        <v/>
      </c>
      <c r="J1316" s="329" t="str">
        <f t="shared" si="311"/>
        <v/>
      </c>
      <c r="K1316" s="329" t="str">
        <f t="shared" si="312"/>
        <v/>
      </c>
    </row>
    <row r="1317" spans="2:11" ht="12.75" customHeight="1">
      <c r="B1317" s="92" t="str">
        <f t="shared" si="309"/>
        <v/>
      </c>
      <c r="I1317" s="329" t="str">
        <f t="shared" si="310"/>
        <v/>
      </c>
      <c r="J1317" s="329" t="str">
        <f t="shared" si="311"/>
        <v/>
      </c>
      <c r="K1317" s="329" t="str">
        <f t="shared" si="312"/>
        <v/>
      </c>
    </row>
    <row r="1318" spans="2:11" ht="12.75" customHeight="1">
      <c r="B1318" s="92" t="str">
        <f t="shared" si="309"/>
        <v/>
      </c>
      <c r="I1318" s="329" t="str">
        <f t="shared" si="310"/>
        <v/>
      </c>
      <c r="J1318" s="329" t="str">
        <f t="shared" si="311"/>
        <v/>
      </c>
      <c r="K1318" s="329" t="str">
        <f t="shared" si="312"/>
        <v/>
      </c>
    </row>
    <row r="1319" spans="2:11" ht="12.75" customHeight="1">
      <c r="B1319" s="92" t="str">
        <f t="shared" si="309"/>
        <v/>
      </c>
      <c r="I1319" s="329" t="str">
        <f t="shared" si="310"/>
        <v/>
      </c>
      <c r="J1319" s="329" t="str">
        <f t="shared" si="311"/>
        <v/>
      </c>
      <c r="K1319" s="329" t="str">
        <f t="shared" si="312"/>
        <v/>
      </c>
    </row>
    <row r="1320" spans="2:11" ht="12.75" customHeight="1">
      <c r="B1320" s="92" t="str">
        <f t="shared" si="309"/>
        <v/>
      </c>
      <c r="I1320" s="329" t="str">
        <f t="shared" si="310"/>
        <v/>
      </c>
      <c r="J1320" s="329" t="str">
        <f t="shared" si="311"/>
        <v/>
      </c>
      <c r="K1320" s="329" t="str">
        <f t="shared" si="312"/>
        <v/>
      </c>
    </row>
    <row r="1321" spans="2:11" ht="12.75" customHeight="1">
      <c r="B1321" s="92" t="str">
        <f t="shared" si="309"/>
        <v/>
      </c>
      <c r="I1321" s="329" t="str">
        <f t="shared" si="310"/>
        <v/>
      </c>
      <c r="J1321" s="329" t="str">
        <f t="shared" si="311"/>
        <v/>
      </c>
      <c r="K1321" s="329" t="str">
        <f t="shared" si="312"/>
        <v/>
      </c>
    </row>
    <row r="1322" spans="2:11" ht="12.75" customHeight="1">
      <c r="B1322" s="92" t="str">
        <f t="shared" si="309"/>
        <v/>
      </c>
      <c r="I1322" s="329" t="str">
        <f t="shared" si="310"/>
        <v/>
      </c>
      <c r="J1322" s="329" t="str">
        <f t="shared" si="311"/>
        <v/>
      </c>
      <c r="K1322" s="329" t="str">
        <f t="shared" si="312"/>
        <v/>
      </c>
    </row>
    <row r="1323" spans="2:11" ht="12.75" customHeight="1">
      <c r="B1323" s="92" t="str">
        <f t="shared" si="309"/>
        <v/>
      </c>
      <c r="I1323" s="329" t="str">
        <f t="shared" si="310"/>
        <v/>
      </c>
      <c r="J1323" s="329" t="str">
        <f t="shared" si="311"/>
        <v/>
      </c>
      <c r="K1323" s="329" t="str">
        <f t="shared" si="312"/>
        <v/>
      </c>
    </row>
    <row r="1324" spans="2:11" ht="12.75" customHeight="1">
      <c r="B1324" s="92" t="str">
        <f t="shared" si="309"/>
        <v/>
      </c>
      <c r="I1324" s="329" t="str">
        <f t="shared" si="310"/>
        <v/>
      </c>
      <c r="J1324" s="329" t="str">
        <f t="shared" si="311"/>
        <v/>
      </c>
      <c r="K1324" s="329" t="str">
        <f t="shared" si="312"/>
        <v/>
      </c>
    </row>
    <row r="1325" spans="2:11" ht="12.75" customHeight="1">
      <c r="B1325" s="92" t="str">
        <f t="shared" si="309"/>
        <v/>
      </c>
      <c r="I1325" s="329" t="str">
        <f t="shared" si="310"/>
        <v/>
      </c>
      <c r="J1325" s="329" t="str">
        <f t="shared" si="311"/>
        <v/>
      </c>
      <c r="K1325" s="329" t="str">
        <f t="shared" si="312"/>
        <v/>
      </c>
    </row>
    <row r="1326" spans="2:11" ht="12.75" customHeight="1">
      <c r="B1326" s="92" t="str">
        <f t="shared" ref="B1326:B1389" si="313">IF(C1326="","",ROW()-5)</f>
        <v/>
      </c>
      <c r="I1326" s="329" t="str">
        <f t="shared" si="310"/>
        <v/>
      </c>
      <c r="J1326" s="329" t="str">
        <f t="shared" si="311"/>
        <v/>
      </c>
      <c r="K1326" s="329" t="str">
        <f t="shared" si="312"/>
        <v/>
      </c>
    </row>
    <row r="1327" spans="2:11" ht="12.75" customHeight="1">
      <c r="B1327" s="92" t="str">
        <f t="shared" si="313"/>
        <v/>
      </c>
      <c r="I1327" s="329" t="str">
        <f t="shared" si="310"/>
        <v/>
      </c>
      <c r="J1327" s="329" t="str">
        <f t="shared" si="311"/>
        <v/>
      </c>
      <c r="K1327" s="329" t="str">
        <f t="shared" si="312"/>
        <v/>
      </c>
    </row>
    <row r="1328" spans="2:11" ht="12.75" customHeight="1">
      <c r="B1328" s="92" t="str">
        <f t="shared" si="313"/>
        <v/>
      </c>
      <c r="I1328" s="329" t="str">
        <f t="shared" si="310"/>
        <v/>
      </c>
      <c r="J1328" s="329" t="str">
        <f t="shared" si="311"/>
        <v/>
      </c>
      <c r="K1328" s="329" t="str">
        <f t="shared" si="312"/>
        <v/>
      </c>
    </row>
    <row r="1329" spans="2:11" ht="12.75" customHeight="1">
      <c r="B1329" s="92" t="str">
        <f t="shared" si="313"/>
        <v/>
      </c>
      <c r="I1329" s="329" t="str">
        <f t="shared" si="310"/>
        <v/>
      </c>
      <c r="J1329" s="329" t="str">
        <f t="shared" si="311"/>
        <v/>
      </c>
      <c r="K1329" s="329" t="str">
        <f t="shared" si="312"/>
        <v/>
      </c>
    </row>
    <row r="1330" spans="2:11" ht="12.75" customHeight="1">
      <c r="B1330" s="92" t="str">
        <f t="shared" si="313"/>
        <v/>
      </c>
      <c r="I1330" s="329" t="str">
        <f t="shared" si="310"/>
        <v/>
      </c>
      <c r="J1330" s="329" t="str">
        <f t="shared" si="311"/>
        <v/>
      </c>
      <c r="K1330" s="329" t="str">
        <f t="shared" si="312"/>
        <v/>
      </c>
    </row>
    <row r="1331" spans="2:11" ht="12.75" customHeight="1">
      <c r="B1331" s="92" t="str">
        <f t="shared" si="313"/>
        <v/>
      </c>
      <c r="I1331" s="329" t="str">
        <f t="shared" si="310"/>
        <v/>
      </c>
      <c r="J1331" s="329" t="str">
        <f t="shared" si="311"/>
        <v/>
      </c>
      <c r="K1331" s="329" t="str">
        <f t="shared" si="312"/>
        <v/>
      </c>
    </row>
    <row r="1332" spans="2:11" ht="12.75" customHeight="1">
      <c r="B1332" s="92" t="str">
        <f t="shared" si="313"/>
        <v/>
      </c>
      <c r="I1332" s="329" t="str">
        <f t="shared" si="310"/>
        <v/>
      </c>
      <c r="J1332" s="329" t="str">
        <f t="shared" si="311"/>
        <v/>
      </c>
      <c r="K1332" s="329" t="str">
        <f t="shared" si="312"/>
        <v/>
      </c>
    </row>
    <row r="1333" spans="2:11" ht="12.75" customHeight="1">
      <c r="B1333" s="92" t="str">
        <f t="shared" si="313"/>
        <v/>
      </c>
      <c r="I1333" s="329" t="str">
        <f t="shared" si="310"/>
        <v/>
      </c>
      <c r="J1333" s="329" t="str">
        <f t="shared" si="311"/>
        <v/>
      </c>
      <c r="K1333" s="329" t="str">
        <f t="shared" si="312"/>
        <v/>
      </c>
    </row>
    <row r="1334" spans="2:11" ht="12.75" customHeight="1">
      <c r="B1334" s="92" t="str">
        <f t="shared" si="313"/>
        <v/>
      </c>
      <c r="I1334" s="329" t="str">
        <f t="shared" si="310"/>
        <v/>
      </c>
      <c r="J1334" s="329" t="str">
        <f t="shared" si="311"/>
        <v/>
      </c>
      <c r="K1334" s="329" t="str">
        <f t="shared" si="312"/>
        <v/>
      </c>
    </row>
    <row r="1335" spans="2:11" ht="12.75" customHeight="1">
      <c r="B1335" s="92" t="str">
        <f t="shared" si="313"/>
        <v/>
      </c>
      <c r="I1335" s="329" t="str">
        <f t="shared" si="310"/>
        <v/>
      </c>
      <c r="J1335" s="329" t="str">
        <f t="shared" si="311"/>
        <v/>
      </c>
      <c r="K1335" s="329" t="str">
        <f t="shared" si="312"/>
        <v/>
      </c>
    </row>
    <row r="1336" spans="2:11" ht="12.75" customHeight="1">
      <c r="B1336" s="92" t="str">
        <f t="shared" si="313"/>
        <v/>
      </c>
      <c r="I1336" s="329" t="str">
        <f t="shared" si="310"/>
        <v/>
      </c>
      <c r="J1336" s="329" t="str">
        <f t="shared" si="311"/>
        <v/>
      </c>
      <c r="K1336" s="329" t="str">
        <f t="shared" si="312"/>
        <v/>
      </c>
    </row>
    <row r="1337" spans="2:11" ht="12.75" customHeight="1">
      <c r="B1337" s="92" t="str">
        <f t="shared" si="313"/>
        <v/>
      </c>
      <c r="I1337" s="329" t="str">
        <f t="shared" si="310"/>
        <v/>
      </c>
      <c r="J1337" s="329" t="str">
        <f t="shared" si="311"/>
        <v/>
      </c>
      <c r="K1337" s="329" t="str">
        <f t="shared" si="312"/>
        <v/>
      </c>
    </row>
    <row r="1338" spans="2:11" ht="12.75" customHeight="1">
      <c r="B1338" s="92" t="str">
        <f t="shared" si="313"/>
        <v/>
      </c>
      <c r="I1338" s="329" t="str">
        <f t="shared" si="310"/>
        <v/>
      </c>
      <c r="J1338" s="329" t="str">
        <f t="shared" si="311"/>
        <v/>
      </c>
      <c r="K1338" s="329" t="str">
        <f t="shared" si="312"/>
        <v/>
      </c>
    </row>
    <row r="1339" spans="2:11" ht="12.75" customHeight="1">
      <c r="B1339" s="92" t="str">
        <f t="shared" si="313"/>
        <v/>
      </c>
      <c r="I1339" s="329" t="str">
        <f t="shared" si="310"/>
        <v/>
      </c>
      <c r="J1339" s="329" t="str">
        <f t="shared" si="311"/>
        <v/>
      </c>
      <c r="K1339" s="329" t="str">
        <f t="shared" si="312"/>
        <v/>
      </c>
    </row>
    <row r="1340" spans="2:11" ht="12.75" customHeight="1">
      <c r="B1340" s="92" t="str">
        <f t="shared" si="313"/>
        <v/>
      </c>
      <c r="I1340" s="329" t="str">
        <f t="shared" si="310"/>
        <v/>
      </c>
      <c r="J1340" s="329" t="str">
        <f t="shared" si="311"/>
        <v/>
      </c>
      <c r="K1340" s="329" t="str">
        <f t="shared" si="312"/>
        <v/>
      </c>
    </row>
    <row r="1341" spans="2:11" ht="12.75" customHeight="1">
      <c r="B1341" s="92" t="str">
        <f t="shared" si="313"/>
        <v/>
      </c>
      <c r="I1341" s="329" t="str">
        <f t="shared" si="310"/>
        <v/>
      </c>
      <c r="J1341" s="329" t="str">
        <f t="shared" si="311"/>
        <v/>
      </c>
      <c r="K1341" s="329" t="str">
        <f t="shared" si="312"/>
        <v/>
      </c>
    </row>
    <row r="1342" spans="2:11" ht="12.75" customHeight="1">
      <c r="B1342" s="92" t="str">
        <f t="shared" si="313"/>
        <v/>
      </c>
      <c r="I1342" s="329" t="str">
        <f t="shared" ref="I1342:I1405" si="314">+IF(G1342="","",G1342*H1342)</f>
        <v/>
      </c>
      <c r="J1342" s="329" t="str">
        <f t="shared" ref="J1342:J1405" si="315">+IF(G1342="","",I1342*0.1)</f>
        <v/>
      </c>
      <c r="K1342" s="329" t="str">
        <f t="shared" ref="K1342:K1405" si="316">+IF(G1342="","",I1342+J1342)</f>
        <v/>
      </c>
    </row>
    <row r="1343" spans="2:11" ht="12.75" customHeight="1">
      <c r="B1343" s="92" t="str">
        <f t="shared" si="313"/>
        <v/>
      </c>
      <c r="I1343" s="329" t="str">
        <f t="shared" si="314"/>
        <v/>
      </c>
      <c r="J1343" s="329" t="str">
        <f t="shared" si="315"/>
        <v/>
      </c>
      <c r="K1343" s="329" t="str">
        <f t="shared" si="316"/>
        <v/>
      </c>
    </row>
    <row r="1344" spans="2:11" ht="12.75" customHeight="1">
      <c r="B1344" s="92" t="str">
        <f t="shared" si="313"/>
        <v/>
      </c>
      <c r="I1344" s="329" t="str">
        <f t="shared" si="314"/>
        <v/>
      </c>
      <c r="J1344" s="329" t="str">
        <f t="shared" si="315"/>
        <v/>
      </c>
      <c r="K1344" s="329" t="str">
        <f t="shared" si="316"/>
        <v/>
      </c>
    </row>
    <row r="1345" spans="2:11" ht="12.75" customHeight="1">
      <c r="B1345" s="92" t="str">
        <f t="shared" si="313"/>
        <v/>
      </c>
      <c r="I1345" s="329" t="str">
        <f t="shared" si="314"/>
        <v/>
      </c>
      <c r="J1345" s="329" t="str">
        <f t="shared" si="315"/>
        <v/>
      </c>
      <c r="K1345" s="329" t="str">
        <f t="shared" si="316"/>
        <v/>
      </c>
    </row>
    <row r="1346" spans="2:11" ht="12.75" customHeight="1">
      <c r="B1346" s="92" t="str">
        <f t="shared" si="313"/>
        <v/>
      </c>
      <c r="I1346" s="329" t="str">
        <f t="shared" si="314"/>
        <v/>
      </c>
      <c r="J1346" s="329" t="str">
        <f t="shared" si="315"/>
        <v/>
      </c>
      <c r="K1346" s="329" t="str">
        <f t="shared" si="316"/>
        <v/>
      </c>
    </row>
    <row r="1347" spans="2:11" ht="12.75" customHeight="1">
      <c r="B1347" s="92" t="str">
        <f t="shared" si="313"/>
        <v/>
      </c>
      <c r="I1347" s="329" t="str">
        <f t="shared" si="314"/>
        <v/>
      </c>
      <c r="J1347" s="329" t="str">
        <f t="shared" si="315"/>
        <v/>
      </c>
      <c r="K1347" s="329" t="str">
        <f t="shared" si="316"/>
        <v/>
      </c>
    </row>
    <row r="1348" spans="2:11" ht="12.75" customHeight="1">
      <c r="B1348" s="92" t="str">
        <f t="shared" si="313"/>
        <v/>
      </c>
      <c r="I1348" s="329" t="str">
        <f t="shared" si="314"/>
        <v/>
      </c>
      <c r="J1348" s="329" t="str">
        <f t="shared" si="315"/>
        <v/>
      </c>
      <c r="K1348" s="329" t="str">
        <f t="shared" si="316"/>
        <v/>
      </c>
    </row>
    <row r="1349" spans="2:11" ht="12.75" customHeight="1">
      <c r="B1349" s="92" t="str">
        <f t="shared" si="313"/>
        <v/>
      </c>
      <c r="I1349" s="329" t="str">
        <f t="shared" si="314"/>
        <v/>
      </c>
      <c r="J1349" s="329" t="str">
        <f t="shared" si="315"/>
        <v/>
      </c>
      <c r="K1349" s="329" t="str">
        <f t="shared" si="316"/>
        <v/>
      </c>
    </row>
    <row r="1350" spans="2:11" ht="12.75" customHeight="1">
      <c r="B1350" s="92" t="str">
        <f t="shared" si="313"/>
        <v/>
      </c>
      <c r="I1350" s="329" t="str">
        <f t="shared" si="314"/>
        <v/>
      </c>
      <c r="J1350" s="329" t="str">
        <f t="shared" si="315"/>
        <v/>
      </c>
      <c r="K1350" s="329" t="str">
        <f t="shared" si="316"/>
        <v/>
      </c>
    </row>
    <row r="1351" spans="2:11" ht="12.75" customHeight="1">
      <c r="B1351" s="92" t="str">
        <f t="shared" si="313"/>
        <v/>
      </c>
      <c r="I1351" s="329" t="str">
        <f t="shared" si="314"/>
        <v/>
      </c>
      <c r="J1351" s="329" t="str">
        <f t="shared" si="315"/>
        <v/>
      </c>
      <c r="K1351" s="329" t="str">
        <f t="shared" si="316"/>
        <v/>
      </c>
    </row>
    <row r="1352" spans="2:11" ht="12.75" customHeight="1">
      <c r="B1352" s="92" t="str">
        <f t="shared" si="313"/>
        <v/>
      </c>
      <c r="I1352" s="329" t="str">
        <f t="shared" si="314"/>
        <v/>
      </c>
      <c r="J1352" s="329" t="str">
        <f t="shared" si="315"/>
        <v/>
      </c>
      <c r="K1352" s="329" t="str">
        <f t="shared" si="316"/>
        <v/>
      </c>
    </row>
    <row r="1353" spans="2:11" ht="12.75" customHeight="1">
      <c r="B1353" s="92" t="str">
        <f t="shared" si="313"/>
        <v/>
      </c>
      <c r="I1353" s="329" t="str">
        <f t="shared" si="314"/>
        <v/>
      </c>
      <c r="J1353" s="329" t="str">
        <f t="shared" si="315"/>
        <v/>
      </c>
      <c r="K1353" s="329" t="str">
        <f t="shared" si="316"/>
        <v/>
      </c>
    </row>
    <row r="1354" spans="2:11" ht="12.75" customHeight="1">
      <c r="B1354" s="92" t="str">
        <f t="shared" si="313"/>
        <v/>
      </c>
      <c r="I1354" s="329" t="str">
        <f t="shared" si="314"/>
        <v/>
      </c>
      <c r="J1354" s="329" t="str">
        <f t="shared" si="315"/>
        <v/>
      </c>
      <c r="K1354" s="329" t="str">
        <f t="shared" si="316"/>
        <v/>
      </c>
    </row>
    <row r="1355" spans="2:11" ht="12.75" customHeight="1">
      <c r="B1355" s="92" t="str">
        <f t="shared" si="313"/>
        <v/>
      </c>
      <c r="I1355" s="329" t="str">
        <f t="shared" si="314"/>
        <v/>
      </c>
      <c r="J1355" s="329" t="str">
        <f t="shared" si="315"/>
        <v/>
      </c>
      <c r="K1355" s="329" t="str">
        <f t="shared" si="316"/>
        <v/>
      </c>
    </row>
    <row r="1356" spans="2:11" ht="12.75" customHeight="1">
      <c r="B1356" s="92" t="str">
        <f t="shared" si="313"/>
        <v/>
      </c>
      <c r="I1356" s="329" t="str">
        <f t="shared" si="314"/>
        <v/>
      </c>
      <c r="J1356" s="329" t="str">
        <f t="shared" si="315"/>
        <v/>
      </c>
      <c r="K1356" s="329" t="str">
        <f t="shared" si="316"/>
        <v/>
      </c>
    </row>
    <row r="1357" spans="2:11" ht="12.75" customHeight="1">
      <c r="B1357" s="92" t="str">
        <f t="shared" si="313"/>
        <v/>
      </c>
      <c r="I1357" s="329" t="str">
        <f t="shared" si="314"/>
        <v/>
      </c>
      <c r="J1357" s="329" t="str">
        <f t="shared" si="315"/>
        <v/>
      </c>
      <c r="K1357" s="329" t="str">
        <f t="shared" si="316"/>
        <v/>
      </c>
    </row>
    <row r="1358" spans="2:11" ht="12.75" customHeight="1">
      <c r="B1358" s="92" t="str">
        <f t="shared" si="313"/>
        <v/>
      </c>
      <c r="I1358" s="329" t="str">
        <f t="shared" si="314"/>
        <v/>
      </c>
      <c r="J1358" s="329" t="str">
        <f t="shared" si="315"/>
        <v/>
      </c>
      <c r="K1358" s="329" t="str">
        <f t="shared" si="316"/>
        <v/>
      </c>
    </row>
    <row r="1359" spans="2:11" ht="12.75" customHeight="1">
      <c r="B1359" s="92" t="str">
        <f t="shared" si="313"/>
        <v/>
      </c>
      <c r="I1359" s="329" t="str">
        <f t="shared" si="314"/>
        <v/>
      </c>
      <c r="J1359" s="329" t="str">
        <f t="shared" si="315"/>
        <v/>
      </c>
      <c r="K1359" s="329" t="str">
        <f t="shared" si="316"/>
        <v/>
      </c>
    </row>
    <row r="1360" spans="2:11" ht="12.75" customHeight="1">
      <c r="B1360" s="92" t="str">
        <f t="shared" si="313"/>
        <v/>
      </c>
      <c r="I1360" s="329" t="str">
        <f t="shared" si="314"/>
        <v/>
      </c>
      <c r="J1360" s="329" t="str">
        <f t="shared" si="315"/>
        <v/>
      </c>
      <c r="K1360" s="329" t="str">
        <f t="shared" si="316"/>
        <v/>
      </c>
    </row>
    <row r="1361" spans="2:11" ht="12.75" customHeight="1">
      <c r="B1361" s="92" t="str">
        <f t="shared" si="313"/>
        <v/>
      </c>
      <c r="I1361" s="329" t="str">
        <f t="shared" si="314"/>
        <v/>
      </c>
      <c r="J1361" s="329" t="str">
        <f t="shared" si="315"/>
        <v/>
      </c>
      <c r="K1361" s="329" t="str">
        <f t="shared" si="316"/>
        <v/>
      </c>
    </row>
    <row r="1362" spans="2:11" ht="12.75" customHeight="1">
      <c r="B1362" s="92" t="str">
        <f t="shared" si="313"/>
        <v/>
      </c>
      <c r="I1362" s="329" t="str">
        <f t="shared" si="314"/>
        <v/>
      </c>
      <c r="J1362" s="329" t="str">
        <f t="shared" si="315"/>
        <v/>
      </c>
      <c r="K1362" s="329" t="str">
        <f t="shared" si="316"/>
        <v/>
      </c>
    </row>
    <row r="1363" spans="2:11" ht="12.75" customHeight="1">
      <c r="B1363" s="92" t="str">
        <f t="shared" si="313"/>
        <v/>
      </c>
      <c r="I1363" s="329" t="str">
        <f t="shared" si="314"/>
        <v/>
      </c>
      <c r="J1363" s="329" t="str">
        <f t="shared" si="315"/>
        <v/>
      </c>
      <c r="K1363" s="329" t="str">
        <f t="shared" si="316"/>
        <v/>
      </c>
    </row>
    <row r="1364" spans="2:11" ht="12.75" customHeight="1">
      <c r="B1364" s="92" t="str">
        <f t="shared" si="313"/>
        <v/>
      </c>
      <c r="I1364" s="329" t="str">
        <f t="shared" si="314"/>
        <v/>
      </c>
      <c r="J1364" s="329" t="str">
        <f t="shared" si="315"/>
        <v/>
      </c>
      <c r="K1364" s="329" t="str">
        <f t="shared" si="316"/>
        <v/>
      </c>
    </row>
    <row r="1365" spans="2:11" ht="12.75" customHeight="1">
      <c r="B1365" s="92" t="str">
        <f t="shared" si="313"/>
        <v/>
      </c>
      <c r="I1365" s="329" t="str">
        <f t="shared" si="314"/>
        <v/>
      </c>
      <c r="J1365" s="329" t="str">
        <f t="shared" si="315"/>
        <v/>
      </c>
      <c r="K1365" s="329" t="str">
        <f t="shared" si="316"/>
        <v/>
      </c>
    </row>
    <row r="1366" spans="2:11" ht="12.75" customHeight="1">
      <c r="B1366" s="92" t="str">
        <f t="shared" si="313"/>
        <v/>
      </c>
      <c r="I1366" s="329" t="str">
        <f t="shared" si="314"/>
        <v/>
      </c>
      <c r="J1366" s="329" t="str">
        <f t="shared" si="315"/>
        <v/>
      </c>
      <c r="K1366" s="329" t="str">
        <f t="shared" si="316"/>
        <v/>
      </c>
    </row>
    <row r="1367" spans="2:11" ht="12.75" customHeight="1">
      <c r="B1367" s="92" t="str">
        <f t="shared" si="313"/>
        <v/>
      </c>
      <c r="I1367" s="329" t="str">
        <f t="shared" si="314"/>
        <v/>
      </c>
      <c r="J1367" s="329" t="str">
        <f t="shared" si="315"/>
        <v/>
      </c>
      <c r="K1367" s="329" t="str">
        <f t="shared" si="316"/>
        <v/>
      </c>
    </row>
    <row r="1368" spans="2:11" ht="12.75" customHeight="1">
      <c r="B1368" s="92" t="str">
        <f t="shared" si="313"/>
        <v/>
      </c>
      <c r="I1368" s="329" t="str">
        <f t="shared" si="314"/>
        <v/>
      </c>
      <c r="J1368" s="329" t="str">
        <f t="shared" si="315"/>
        <v/>
      </c>
      <c r="K1368" s="329" t="str">
        <f t="shared" si="316"/>
        <v/>
      </c>
    </row>
    <row r="1369" spans="2:11" ht="12.75" customHeight="1">
      <c r="B1369" s="92" t="str">
        <f t="shared" si="313"/>
        <v/>
      </c>
      <c r="I1369" s="329" t="str">
        <f t="shared" si="314"/>
        <v/>
      </c>
      <c r="J1369" s="329" t="str">
        <f t="shared" si="315"/>
        <v/>
      </c>
      <c r="K1369" s="329" t="str">
        <f t="shared" si="316"/>
        <v/>
      </c>
    </row>
    <row r="1370" spans="2:11" ht="12.75" customHeight="1">
      <c r="B1370" s="92" t="str">
        <f t="shared" si="313"/>
        <v/>
      </c>
      <c r="I1370" s="329" t="str">
        <f t="shared" si="314"/>
        <v/>
      </c>
      <c r="J1370" s="329" t="str">
        <f t="shared" si="315"/>
        <v/>
      </c>
      <c r="K1370" s="329" t="str">
        <f t="shared" si="316"/>
        <v/>
      </c>
    </row>
    <row r="1371" spans="2:11" ht="12.75" customHeight="1">
      <c r="B1371" s="92" t="str">
        <f t="shared" si="313"/>
        <v/>
      </c>
      <c r="I1371" s="329" t="str">
        <f t="shared" si="314"/>
        <v/>
      </c>
      <c r="J1371" s="329" t="str">
        <f t="shared" si="315"/>
        <v/>
      </c>
      <c r="K1371" s="329" t="str">
        <f t="shared" si="316"/>
        <v/>
      </c>
    </row>
    <row r="1372" spans="2:11" ht="12.75" customHeight="1">
      <c r="B1372" s="92" t="str">
        <f t="shared" si="313"/>
        <v/>
      </c>
      <c r="I1372" s="329" t="str">
        <f t="shared" si="314"/>
        <v/>
      </c>
      <c r="J1372" s="329" t="str">
        <f t="shared" si="315"/>
        <v/>
      </c>
      <c r="K1372" s="329" t="str">
        <f t="shared" si="316"/>
        <v/>
      </c>
    </row>
    <row r="1373" spans="2:11" ht="12.75" customHeight="1">
      <c r="B1373" s="92" t="str">
        <f t="shared" si="313"/>
        <v/>
      </c>
      <c r="I1373" s="329" t="str">
        <f t="shared" si="314"/>
        <v/>
      </c>
      <c r="J1373" s="329" t="str">
        <f t="shared" si="315"/>
        <v/>
      </c>
      <c r="K1373" s="329" t="str">
        <f t="shared" si="316"/>
        <v/>
      </c>
    </row>
    <row r="1374" spans="2:11" ht="12.75" customHeight="1">
      <c r="B1374" s="92" t="str">
        <f t="shared" si="313"/>
        <v/>
      </c>
      <c r="I1374" s="329" t="str">
        <f t="shared" si="314"/>
        <v/>
      </c>
      <c r="J1374" s="329" t="str">
        <f t="shared" si="315"/>
        <v/>
      </c>
      <c r="K1374" s="329" t="str">
        <f t="shared" si="316"/>
        <v/>
      </c>
    </row>
    <row r="1375" spans="2:11" ht="12.75" customHeight="1">
      <c r="B1375" s="92" t="str">
        <f t="shared" si="313"/>
        <v/>
      </c>
      <c r="I1375" s="329" t="str">
        <f t="shared" si="314"/>
        <v/>
      </c>
      <c r="J1375" s="329" t="str">
        <f t="shared" si="315"/>
        <v/>
      </c>
      <c r="K1375" s="329" t="str">
        <f t="shared" si="316"/>
        <v/>
      </c>
    </row>
    <row r="1376" spans="2:11" ht="12.75" customHeight="1">
      <c r="B1376" s="92" t="str">
        <f t="shared" si="313"/>
        <v/>
      </c>
      <c r="I1376" s="329" t="str">
        <f t="shared" si="314"/>
        <v/>
      </c>
      <c r="J1376" s="329" t="str">
        <f t="shared" si="315"/>
        <v/>
      </c>
      <c r="K1376" s="329" t="str">
        <f t="shared" si="316"/>
        <v/>
      </c>
    </row>
    <row r="1377" spans="2:11" ht="12.75" customHeight="1">
      <c r="B1377" s="92" t="str">
        <f t="shared" si="313"/>
        <v/>
      </c>
      <c r="I1377" s="329" t="str">
        <f t="shared" si="314"/>
        <v/>
      </c>
      <c r="J1377" s="329" t="str">
        <f t="shared" si="315"/>
        <v/>
      </c>
      <c r="K1377" s="329" t="str">
        <f t="shared" si="316"/>
        <v/>
      </c>
    </row>
    <row r="1378" spans="2:11" ht="12.75" customHeight="1">
      <c r="B1378" s="92" t="str">
        <f t="shared" si="313"/>
        <v/>
      </c>
      <c r="I1378" s="329" t="str">
        <f t="shared" si="314"/>
        <v/>
      </c>
      <c r="J1378" s="329" t="str">
        <f t="shared" si="315"/>
        <v/>
      </c>
      <c r="K1378" s="329" t="str">
        <f t="shared" si="316"/>
        <v/>
      </c>
    </row>
    <row r="1379" spans="2:11" ht="12.75" customHeight="1">
      <c r="B1379" s="92" t="str">
        <f t="shared" si="313"/>
        <v/>
      </c>
      <c r="I1379" s="329" t="str">
        <f t="shared" si="314"/>
        <v/>
      </c>
      <c r="J1379" s="329" t="str">
        <f t="shared" si="315"/>
        <v/>
      </c>
      <c r="K1379" s="329" t="str">
        <f t="shared" si="316"/>
        <v/>
      </c>
    </row>
    <row r="1380" spans="2:11" ht="12.75" customHeight="1">
      <c r="B1380" s="92" t="str">
        <f t="shared" si="313"/>
        <v/>
      </c>
      <c r="I1380" s="329" t="str">
        <f t="shared" si="314"/>
        <v/>
      </c>
      <c r="J1380" s="329" t="str">
        <f t="shared" si="315"/>
        <v/>
      </c>
      <c r="K1380" s="329" t="str">
        <f t="shared" si="316"/>
        <v/>
      </c>
    </row>
    <row r="1381" spans="2:11" ht="12.75" customHeight="1">
      <c r="B1381" s="92" t="str">
        <f t="shared" si="313"/>
        <v/>
      </c>
      <c r="I1381" s="329" t="str">
        <f t="shared" si="314"/>
        <v/>
      </c>
      <c r="J1381" s="329" t="str">
        <f t="shared" si="315"/>
        <v/>
      </c>
      <c r="K1381" s="329" t="str">
        <f t="shared" si="316"/>
        <v/>
      </c>
    </row>
    <row r="1382" spans="2:11" ht="12.75" customHeight="1">
      <c r="B1382" s="92" t="str">
        <f t="shared" si="313"/>
        <v/>
      </c>
      <c r="I1382" s="329" t="str">
        <f t="shared" si="314"/>
        <v/>
      </c>
      <c r="J1382" s="329" t="str">
        <f t="shared" si="315"/>
        <v/>
      </c>
      <c r="K1382" s="329" t="str">
        <f t="shared" si="316"/>
        <v/>
      </c>
    </row>
    <row r="1383" spans="2:11" ht="12.75" customHeight="1">
      <c r="B1383" s="92" t="str">
        <f t="shared" si="313"/>
        <v/>
      </c>
      <c r="I1383" s="329" t="str">
        <f t="shared" si="314"/>
        <v/>
      </c>
      <c r="J1383" s="329" t="str">
        <f t="shared" si="315"/>
        <v/>
      </c>
      <c r="K1383" s="329" t="str">
        <f t="shared" si="316"/>
        <v/>
      </c>
    </row>
    <row r="1384" spans="2:11" ht="12.75" customHeight="1">
      <c r="B1384" s="92" t="str">
        <f t="shared" si="313"/>
        <v/>
      </c>
      <c r="I1384" s="329" t="str">
        <f t="shared" si="314"/>
        <v/>
      </c>
      <c r="J1384" s="329" t="str">
        <f t="shared" si="315"/>
        <v/>
      </c>
      <c r="K1384" s="329" t="str">
        <f t="shared" si="316"/>
        <v/>
      </c>
    </row>
    <row r="1385" spans="2:11" ht="12.75" customHeight="1">
      <c r="B1385" s="92" t="str">
        <f t="shared" si="313"/>
        <v/>
      </c>
      <c r="I1385" s="329" t="str">
        <f t="shared" si="314"/>
        <v/>
      </c>
      <c r="J1385" s="329" t="str">
        <f t="shared" si="315"/>
        <v/>
      </c>
      <c r="K1385" s="329" t="str">
        <f t="shared" si="316"/>
        <v/>
      </c>
    </row>
    <row r="1386" spans="2:11" ht="12.75" customHeight="1">
      <c r="B1386" s="92" t="str">
        <f t="shared" si="313"/>
        <v/>
      </c>
      <c r="I1386" s="329" t="str">
        <f t="shared" si="314"/>
        <v/>
      </c>
      <c r="J1386" s="329" t="str">
        <f t="shared" si="315"/>
        <v/>
      </c>
      <c r="K1386" s="329" t="str">
        <f t="shared" si="316"/>
        <v/>
      </c>
    </row>
    <row r="1387" spans="2:11" ht="12.75" customHeight="1">
      <c r="B1387" s="92" t="str">
        <f t="shared" si="313"/>
        <v/>
      </c>
      <c r="I1387" s="329" t="str">
        <f t="shared" si="314"/>
        <v/>
      </c>
      <c r="J1387" s="329" t="str">
        <f t="shared" si="315"/>
        <v/>
      </c>
      <c r="K1387" s="329" t="str">
        <f t="shared" si="316"/>
        <v/>
      </c>
    </row>
    <row r="1388" spans="2:11" ht="12.75" customHeight="1">
      <c r="B1388" s="92" t="str">
        <f t="shared" si="313"/>
        <v/>
      </c>
      <c r="I1388" s="329" t="str">
        <f t="shared" si="314"/>
        <v/>
      </c>
      <c r="J1388" s="329" t="str">
        <f t="shared" si="315"/>
        <v/>
      </c>
      <c r="K1388" s="329" t="str">
        <f t="shared" si="316"/>
        <v/>
      </c>
    </row>
    <row r="1389" spans="2:11" ht="12.75" customHeight="1">
      <c r="B1389" s="92" t="str">
        <f t="shared" si="313"/>
        <v/>
      </c>
      <c r="I1389" s="329" t="str">
        <f t="shared" si="314"/>
        <v/>
      </c>
      <c r="J1389" s="329" t="str">
        <f t="shared" si="315"/>
        <v/>
      </c>
      <c r="K1389" s="329" t="str">
        <f t="shared" si="316"/>
        <v/>
      </c>
    </row>
    <row r="1390" spans="2:11" ht="12.75" customHeight="1">
      <c r="B1390" s="92" t="str">
        <f t="shared" ref="B1390:B1453" si="317">IF(C1390="","",ROW()-5)</f>
        <v/>
      </c>
      <c r="I1390" s="329" t="str">
        <f t="shared" si="314"/>
        <v/>
      </c>
      <c r="J1390" s="329" t="str">
        <f t="shared" si="315"/>
        <v/>
      </c>
      <c r="K1390" s="329" t="str">
        <f t="shared" si="316"/>
        <v/>
      </c>
    </row>
    <row r="1391" spans="2:11" ht="12.75" customHeight="1">
      <c r="B1391" s="92" t="str">
        <f t="shared" si="317"/>
        <v/>
      </c>
      <c r="I1391" s="329" t="str">
        <f t="shared" si="314"/>
        <v/>
      </c>
      <c r="J1391" s="329" t="str">
        <f t="shared" si="315"/>
        <v/>
      </c>
      <c r="K1391" s="329" t="str">
        <f t="shared" si="316"/>
        <v/>
      </c>
    </row>
    <row r="1392" spans="2:11" ht="12.75" customHeight="1">
      <c r="B1392" s="92" t="str">
        <f t="shared" si="317"/>
        <v/>
      </c>
      <c r="I1392" s="329" t="str">
        <f t="shared" si="314"/>
        <v/>
      </c>
      <c r="J1392" s="329" t="str">
        <f t="shared" si="315"/>
        <v/>
      </c>
      <c r="K1392" s="329" t="str">
        <f t="shared" si="316"/>
        <v/>
      </c>
    </row>
    <row r="1393" spans="2:11" ht="12.75" customHeight="1">
      <c r="B1393" s="92" t="str">
        <f t="shared" si="317"/>
        <v/>
      </c>
      <c r="I1393" s="329" t="str">
        <f t="shared" si="314"/>
        <v/>
      </c>
      <c r="J1393" s="329" t="str">
        <f t="shared" si="315"/>
        <v/>
      </c>
      <c r="K1393" s="329" t="str">
        <f t="shared" si="316"/>
        <v/>
      </c>
    </row>
    <row r="1394" spans="2:11" ht="12.75" customHeight="1">
      <c r="B1394" s="92" t="str">
        <f t="shared" si="317"/>
        <v/>
      </c>
      <c r="I1394" s="329" t="str">
        <f t="shared" si="314"/>
        <v/>
      </c>
      <c r="J1394" s="329" t="str">
        <f t="shared" si="315"/>
        <v/>
      </c>
      <c r="K1394" s="329" t="str">
        <f t="shared" si="316"/>
        <v/>
      </c>
    </row>
    <row r="1395" spans="2:11" ht="12.75" customHeight="1">
      <c r="B1395" s="92" t="str">
        <f t="shared" si="317"/>
        <v/>
      </c>
      <c r="I1395" s="329" t="str">
        <f t="shared" si="314"/>
        <v/>
      </c>
      <c r="J1395" s="329" t="str">
        <f t="shared" si="315"/>
        <v/>
      </c>
      <c r="K1395" s="329" t="str">
        <f t="shared" si="316"/>
        <v/>
      </c>
    </row>
    <row r="1396" spans="2:11" ht="12.75" customHeight="1">
      <c r="B1396" s="92" t="str">
        <f t="shared" si="317"/>
        <v/>
      </c>
      <c r="I1396" s="329" t="str">
        <f t="shared" si="314"/>
        <v/>
      </c>
      <c r="J1396" s="329" t="str">
        <f t="shared" si="315"/>
        <v/>
      </c>
      <c r="K1396" s="329" t="str">
        <f t="shared" si="316"/>
        <v/>
      </c>
    </row>
    <row r="1397" spans="2:11" ht="12.75" customHeight="1">
      <c r="B1397" s="92" t="str">
        <f t="shared" si="317"/>
        <v/>
      </c>
      <c r="I1397" s="329" t="str">
        <f t="shared" si="314"/>
        <v/>
      </c>
      <c r="J1397" s="329" t="str">
        <f t="shared" si="315"/>
        <v/>
      </c>
      <c r="K1397" s="329" t="str">
        <f t="shared" si="316"/>
        <v/>
      </c>
    </row>
    <row r="1398" spans="2:11" ht="12.75" customHeight="1">
      <c r="B1398" s="92" t="str">
        <f t="shared" si="317"/>
        <v/>
      </c>
      <c r="I1398" s="329" t="str">
        <f t="shared" si="314"/>
        <v/>
      </c>
      <c r="J1398" s="329" t="str">
        <f t="shared" si="315"/>
        <v/>
      </c>
      <c r="K1398" s="329" t="str">
        <f t="shared" si="316"/>
        <v/>
      </c>
    </row>
    <row r="1399" spans="2:11" ht="12.75" customHeight="1">
      <c r="B1399" s="92" t="str">
        <f t="shared" si="317"/>
        <v/>
      </c>
      <c r="I1399" s="329" t="str">
        <f t="shared" si="314"/>
        <v/>
      </c>
      <c r="J1399" s="329" t="str">
        <f t="shared" si="315"/>
        <v/>
      </c>
      <c r="K1399" s="329" t="str">
        <f t="shared" si="316"/>
        <v/>
      </c>
    </row>
    <row r="1400" spans="2:11" ht="12.75" customHeight="1">
      <c r="B1400" s="92" t="str">
        <f t="shared" si="317"/>
        <v/>
      </c>
      <c r="I1400" s="329" t="str">
        <f t="shared" si="314"/>
        <v/>
      </c>
      <c r="J1400" s="329" t="str">
        <f t="shared" si="315"/>
        <v/>
      </c>
      <c r="K1400" s="329" t="str">
        <f t="shared" si="316"/>
        <v/>
      </c>
    </row>
    <row r="1401" spans="2:11" ht="12.75" customHeight="1">
      <c r="B1401" s="92" t="str">
        <f t="shared" si="317"/>
        <v/>
      </c>
      <c r="I1401" s="329" t="str">
        <f t="shared" si="314"/>
        <v/>
      </c>
      <c r="J1401" s="329" t="str">
        <f t="shared" si="315"/>
        <v/>
      </c>
      <c r="K1401" s="329" t="str">
        <f t="shared" si="316"/>
        <v/>
      </c>
    </row>
    <row r="1402" spans="2:11" ht="12.75" customHeight="1">
      <c r="B1402" s="92" t="str">
        <f t="shared" si="317"/>
        <v/>
      </c>
      <c r="I1402" s="329" t="str">
        <f t="shared" si="314"/>
        <v/>
      </c>
      <c r="J1402" s="329" t="str">
        <f t="shared" si="315"/>
        <v/>
      </c>
      <c r="K1402" s="329" t="str">
        <f t="shared" si="316"/>
        <v/>
      </c>
    </row>
    <row r="1403" spans="2:11" ht="12.75" customHeight="1">
      <c r="B1403" s="92" t="str">
        <f t="shared" si="317"/>
        <v/>
      </c>
      <c r="I1403" s="329" t="str">
        <f t="shared" si="314"/>
        <v/>
      </c>
      <c r="J1403" s="329" t="str">
        <f t="shared" si="315"/>
        <v/>
      </c>
      <c r="K1403" s="329" t="str">
        <f t="shared" si="316"/>
        <v/>
      </c>
    </row>
    <row r="1404" spans="2:11" ht="12.75" customHeight="1">
      <c r="B1404" s="92" t="str">
        <f t="shared" si="317"/>
        <v/>
      </c>
      <c r="I1404" s="329" t="str">
        <f t="shared" si="314"/>
        <v/>
      </c>
      <c r="J1404" s="329" t="str">
        <f t="shared" si="315"/>
        <v/>
      </c>
      <c r="K1404" s="329" t="str">
        <f t="shared" si="316"/>
        <v/>
      </c>
    </row>
    <row r="1405" spans="2:11" ht="12.75" customHeight="1">
      <c r="B1405" s="92" t="str">
        <f t="shared" si="317"/>
        <v/>
      </c>
      <c r="I1405" s="329" t="str">
        <f t="shared" si="314"/>
        <v/>
      </c>
      <c r="J1405" s="329" t="str">
        <f t="shared" si="315"/>
        <v/>
      </c>
      <c r="K1405" s="329" t="str">
        <f t="shared" si="316"/>
        <v/>
      </c>
    </row>
    <row r="1406" spans="2:11" ht="12.75" customHeight="1">
      <c r="B1406" s="92" t="str">
        <f t="shared" si="317"/>
        <v/>
      </c>
      <c r="I1406" s="329" t="str">
        <f t="shared" ref="I1406:I1469" si="318">+IF(G1406="","",G1406*H1406)</f>
        <v/>
      </c>
      <c r="J1406" s="329" t="str">
        <f t="shared" ref="J1406:J1469" si="319">+IF(G1406="","",I1406*0.1)</f>
        <v/>
      </c>
      <c r="K1406" s="329" t="str">
        <f t="shared" ref="K1406:K1469" si="320">+IF(G1406="","",I1406+J1406)</f>
        <v/>
      </c>
    </row>
    <row r="1407" spans="2:11" ht="12.75" customHeight="1">
      <c r="B1407" s="92" t="str">
        <f t="shared" si="317"/>
        <v/>
      </c>
      <c r="I1407" s="329" t="str">
        <f t="shared" si="318"/>
        <v/>
      </c>
      <c r="J1407" s="329" t="str">
        <f t="shared" si="319"/>
        <v/>
      </c>
      <c r="K1407" s="329" t="str">
        <f t="shared" si="320"/>
        <v/>
      </c>
    </row>
    <row r="1408" spans="2:11" ht="12.75" customHeight="1">
      <c r="B1408" s="92" t="str">
        <f t="shared" si="317"/>
        <v/>
      </c>
      <c r="I1408" s="329" t="str">
        <f t="shared" si="318"/>
        <v/>
      </c>
      <c r="J1408" s="329" t="str">
        <f t="shared" si="319"/>
        <v/>
      </c>
      <c r="K1408" s="329" t="str">
        <f t="shared" si="320"/>
        <v/>
      </c>
    </row>
    <row r="1409" spans="2:11" ht="12.75" customHeight="1">
      <c r="B1409" s="92" t="str">
        <f t="shared" si="317"/>
        <v/>
      </c>
      <c r="I1409" s="329" t="str">
        <f t="shared" si="318"/>
        <v/>
      </c>
      <c r="J1409" s="329" t="str">
        <f t="shared" si="319"/>
        <v/>
      </c>
      <c r="K1409" s="329" t="str">
        <f t="shared" si="320"/>
        <v/>
      </c>
    </row>
    <row r="1410" spans="2:11" ht="12.75" customHeight="1">
      <c r="B1410" s="92" t="str">
        <f t="shared" si="317"/>
        <v/>
      </c>
      <c r="I1410" s="329" t="str">
        <f t="shared" si="318"/>
        <v/>
      </c>
      <c r="J1410" s="329" t="str">
        <f t="shared" si="319"/>
        <v/>
      </c>
      <c r="K1410" s="329" t="str">
        <f t="shared" si="320"/>
        <v/>
      </c>
    </row>
    <row r="1411" spans="2:11" ht="12.75" customHeight="1">
      <c r="B1411" s="92" t="str">
        <f t="shared" si="317"/>
        <v/>
      </c>
      <c r="I1411" s="329" t="str">
        <f t="shared" si="318"/>
        <v/>
      </c>
      <c r="J1411" s="329" t="str">
        <f t="shared" si="319"/>
        <v/>
      </c>
      <c r="K1411" s="329" t="str">
        <f t="shared" si="320"/>
        <v/>
      </c>
    </row>
    <row r="1412" spans="2:11" ht="12.75" customHeight="1">
      <c r="B1412" s="92" t="str">
        <f t="shared" si="317"/>
        <v/>
      </c>
      <c r="I1412" s="329" t="str">
        <f t="shared" si="318"/>
        <v/>
      </c>
      <c r="J1412" s="329" t="str">
        <f t="shared" si="319"/>
        <v/>
      </c>
      <c r="K1412" s="329" t="str">
        <f t="shared" si="320"/>
        <v/>
      </c>
    </row>
    <row r="1413" spans="2:11" ht="12.75" customHeight="1">
      <c r="B1413" s="92" t="str">
        <f t="shared" si="317"/>
        <v/>
      </c>
      <c r="I1413" s="329" t="str">
        <f t="shared" si="318"/>
        <v/>
      </c>
      <c r="J1413" s="329" t="str">
        <f t="shared" si="319"/>
        <v/>
      </c>
      <c r="K1413" s="329" t="str">
        <f t="shared" si="320"/>
        <v/>
      </c>
    </row>
    <row r="1414" spans="2:11" ht="12.75" customHeight="1">
      <c r="B1414" s="92" t="str">
        <f t="shared" si="317"/>
        <v/>
      </c>
      <c r="I1414" s="329" t="str">
        <f t="shared" si="318"/>
        <v/>
      </c>
      <c r="J1414" s="329" t="str">
        <f t="shared" si="319"/>
        <v/>
      </c>
      <c r="K1414" s="329" t="str">
        <f t="shared" si="320"/>
        <v/>
      </c>
    </row>
    <row r="1415" spans="2:11" ht="12.75" customHeight="1">
      <c r="B1415" s="92" t="str">
        <f t="shared" si="317"/>
        <v/>
      </c>
      <c r="I1415" s="329" t="str">
        <f t="shared" si="318"/>
        <v/>
      </c>
      <c r="J1415" s="329" t="str">
        <f t="shared" si="319"/>
        <v/>
      </c>
      <c r="K1415" s="329" t="str">
        <f t="shared" si="320"/>
        <v/>
      </c>
    </row>
    <row r="1416" spans="2:11" ht="12.75" customHeight="1">
      <c r="B1416" s="92" t="str">
        <f t="shared" si="317"/>
        <v/>
      </c>
      <c r="I1416" s="329" t="str">
        <f t="shared" si="318"/>
        <v/>
      </c>
      <c r="J1416" s="329" t="str">
        <f t="shared" si="319"/>
        <v/>
      </c>
      <c r="K1416" s="329" t="str">
        <f t="shared" si="320"/>
        <v/>
      </c>
    </row>
    <row r="1417" spans="2:11" ht="12.75" customHeight="1">
      <c r="B1417" s="92" t="str">
        <f t="shared" si="317"/>
        <v/>
      </c>
      <c r="I1417" s="329" t="str">
        <f t="shared" si="318"/>
        <v/>
      </c>
      <c r="J1417" s="329" t="str">
        <f t="shared" si="319"/>
        <v/>
      </c>
      <c r="K1417" s="329" t="str">
        <f t="shared" si="320"/>
        <v/>
      </c>
    </row>
    <row r="1418" spans="2:11" ht="12.75" customHeight="1">
      <c r="B1418" s="92" t="str">
        <f t="shared" si="317"/>
        <v/>
      </c>
      <c r="I1418" s="329" t="str">
        <f t="shared" si="318"/>
        <v/>
      </c>
      <c r="J1418" s="329" t="str">
        <f t="shared" si="319"/>
        <v/>
      </c>
      <c r="K1418" s="329" t="str">
        <f t="shared" si="320"/>
        <v/>
      </c>
    </row>
    <row r="1419" spans="2:11" ht="12.75" customHeight="1">
      <c r="B1419" s="92" t="str">
        <f t="shared" si="317"/>
        <v/>
      </c>
      <c r="I1419" s="329" t="str">
        <f t="shared" si="318"/>
        <v/>
      </c>
      <c r="J1419" s="329" t="str">
        <f t="shared" si="319"/>
        <v/>
      </c>
      <c r="K1419" s="329" t="str">
        <f t="shared" si="320"/>
        <v/>
      </c>
    </row>
    <row r="1420" spans="2:11" ht="12.75" customHeight="1">
      <c r="B1420" s="92" t="str">
        <f t="shared" si="317"/>
        <v/>
      </c>
      <c r="I1420" s="329" t="str">
        <f t="shared" si="318"/>
        <v/>
      </c>
      <c r="J1420" s="329" t="str">
        <f t="shared" si="319"/>
        <v/>
      </c>
      <c r="K1420" s="329" t="str">
        <f t="shared" si="320"/>
        <v/>
      </c>
    </row>
    <row r="1421" spans="2:11" ht="12.75" customHeight="1">
      <c r="B1421" s="92" t="str">
        <f t="shared" si="317"/>
        <v/>
      </c>
      <c r="I1421" s="329" t="str">
        <f t="shared" si="318"/>
        <v/>
      </c>
      <c r="J1421" s="329" t="str">
        <f t="shared" si="319"/>
        <v/>
      </c>
      <c r="K1421" s="329" t="str">
        <f t="shared" si="320"/>
        <v/>
      </c>
    </row>
    <row r="1422" spans="2:11" ht="12.75" customHeight="1">
      <c r="B1422" s="92" t="str">
        <f t="shared" si="317"/>
        <v/>
      </c>
      <c r="I1422" s="329" t="str">
        <f t="shared" si="318"/>
        <v/>
      </c>
      <c r="J1422" s="329" t="str">
        <f t="shared" si="319"/>
        <v/>
      </c>
      <c r="K1422" s="329" t="str">
        <f t="shared" si="320"/>
        <v/>
      </c>
    </row>
    <row r="1423" spans="2:11" ht="12.75" customHeight="1">
      <c r="B1423" s="92" t="str">
        <f t="shared" si="317"/>
        <v/>
      </c>
      <c r="I1423" s="329" t="str">
        <f t="shared" si="318"/>
        <v/>
      </c>
      <c r="J1423" s="329" t="str">
        <f t="shared" si="319"/>
        <v/>
      </c>
      <c r="K1423" s="329" t="str">
        <f t="shared" si="320"/>
        <v/>
      </c>
    </row>
    <row r="1424" spans="2:11" ht="12.75" customHeight="1">
      <c r="B1424" s="92" t="str">
        <f t="shared" si="317"/>
        <v/>
      </c>
      <c r="I1424" s="329" t="str">
        <f t="shared" si="318"/>
        <v/>
      </c>
      <c r="J1424" s="329" t="str">
        <f t="shared" si="319"/>
        <v/>
      </c>
      <c r="K1424" s="329" t="str">
        <f t="shared" si="320"/>
        <v/>
      </c>
    </row>
    <row r="1425" spans="2:11" ht="12.75" customHeight="1">
      <c r="B1425" s="92" t="str">
        <f t="shared" si="317"/>
        <v/>
      </c>
      <c r="I1425" s="329" t="str">
        <f t="shared" si="318"/>
        <v/>
      </c>
      <c r="J1425" s="329" t="str">
        <f t="shared" si="319"/>
        <v/>
      </c>
      <c r="K1425" s="329" t="str">
        <f t="shared" si="320"/>
        <v/>
      </c>
    </row>
    <row r="1426" spans="2:11" ht="12.75" customHeight="1">
      <c r="B1426" s="92" t="str">
        <f t="shared" si="317"/>
        <v/>
      </c>
      <c r="I1426" s="329" t="str">
        <f t="shared" si="318"/>
        <v/>
      </c>
      <c r="J1426" s="329" t="str">
        <f t="shared" si="319"/>
        <v/>
      </c>
      <c r="K1426" s="329" t="str">
        <f t="shared" si="320"/>
        <v/>
      </c>
    </row>
    <row r="1427" spans="2:11" ht="12.75" customHeight="1">
      <c r="B1427" s="92" t="str">
        <f t="shared" si="317"/>
        <v/>
      </c>
      <c r="I1427" s="329" t="str">
        <f t="shared" si="318"/>
        <v/>
      </c>
      <c r="J1427" s="329" t="str">
        <f t="shared" si="319"/>
        <v/>
      </c>
      <c r="K1427" s="329" t="str">
        <f t="shared" si="320"/>
        <v/>
      </c>
    </row>
    <row r="1428" spans="2:11" ht="12.75" customHeight="1">
      <c r="B1428" s="92" t="str">
        <f t="shared" si="317"/>
        <v/>
      </c>
      <c r="I1428" s="329" t="str">
        <f t="shared" si="318"/>
        <v/>
      </c>
      <c r="J1428" s="329" t="str">
        <f t="shared" si="319"/>
        <v/>
      </c>
      <c r="K1428" s="329" t="str">
        <f t="shared" si="320"/>
        <v/>
      </c>
    </row>
    <row r="1429" spans="2:11" ht="12.75" customHeight="1">
      <c r="B1429" s="92" t="str">
        <f t="shared" si="317"/>
        <v/>
      </c>
      <c r="I1429" s="329" t="str">
        <f t="shared" si="318"/>
        <v/>
      </c>
      <c r="J1429" s="329" t="str">
        <f t="shared" si="319"/>
        <v/>
      </c>
      <c r="K1429" s="329" t="str">
        <f t="shared" si="320"/>
        <v/>
      </c>
    </row>
    <row r="1430" spans="2:11" ht="12.75" customHeight="1">
      <c r="B1430" s="92" t="str">
        <f t="shared" si="317"/>
        <v/>
      </c>
      <c r="I1430" s="329" t="str">
        <f t="shared" si="318"/>
        <v/>
      </c>
      <c r="J1430" s="329" t="str">
        <f t="shared" si="319"/>
        <v/>
      </c>
      <c r="K1430" s="329" t="str">
        <f t="shared" si="320"/>
        <v/>
      </c>
    </row>
    <row r="1431" spans="2:11" ht="12.75" customHeight="1">
      <c r="B1431" s="92" t="str">
        <f t="shared" si="317"/>
        <v/>
      </c>
      <c r="I1431" s="329" t="str">
        <f t="shared" si="318"/>
        <v/>
      </c>
      <c r="J1431" s="329" t="str">
        <f t="shared" si="319"/>
        <v/>
      </c>
      <c r="K1431" s="329" t="str">
        <f t="shared" si="320"/>
        <v/>
      </c>
    </row>
    <row r="1432" spans="2:11" ht="12.75" customHeight="1">
      <c r="B1432" s="92" t="str">
        <f t="shared" si="317"/>
        <v/>
      </c>
      <c r="I1432" s="329" t="str">
        <f t="shared" si="318"/>
        <v/>
      </c>
      <c r="J1432" s="329" t="str">
        <f t="shared" si="319"/>
        <v/>
      </c>
      <c r="K1432" s="329" t="str">
        <f t="shared" si="320"/>
        <v/>
      </c>
    </row>
    <row r="1433" spans="2:11" ht="12.75" customHeight="1">
      <c r="B1433" s="92" t="str">
        <f t="shared" si="317"/>
        <v/>
      </c>
      <c r="I1433" s="329" t="str">
        <f t="shared" si="318"/>
        <v/>
      </c>
      <c r="J1433" s="329" t="str">
        <f t="shared" si="319"/>
        <v/>
      </c>
      <c r="K1433" s="329" t="str">
        <f t="shared" si="320"/>
        <v/>
      </c>
    </row>
    <row r="1434" spans="2:11" ht="12.75" customHeight="1">
      <c r="B1434" s="92" t="str">
        <f t="shared" si="317"/>
        <v/>
      </c>
      <c r="I1434" s="329" t="str">
        <f t="shared" si="318"/>
        <v/>
      </c>
      <c r="J1434" s="329" t="str">
        <f t="shared" si="319"/>
        <v/>
      </c>
      <c r="K1434" s="329" t="str">
        <f t="shared" si="320"/>
        <v/>
      </c>
    </row>
    <row r="1435" spans="2:11" ht="12.75" customHeight="1">
      <c r="B1435" s="92" t="str">
        <f t="shared" si="317"/>
        <v/>
      </c>
      <c r="I1435" s="329" t="str">
        <f t="shared" si="318"/>
        <v/>
      </c>
      <c r="J1435" s="329" t="str">
        <f t="shared" si="319"/>
        <v/>
      </c>
      <c r="K1435" s="329" t="str">
        <f t="shared" si="320"/>
        <v/>
      </c>
    </row>
    <row r="1436" spans="2:11" ht="12.75" customHeight="1">
      <c r="B1436" s="92" t="str">
        <f t="shared" si="317"/>
        <v/>
      </c>
      <c r="I1436" s="329" t="str">
        <f t="shared" si="318"/>
        <v/>
      </c>
      <c r="J1436" s="329" t="str">
        <f t="shared" si="319"/>
        <v/>
      </c>
      <c r="K1436" s="329" t="str">
        <f t="shared" si="320"/>
        <v/>
      </c>
    </row>
    <row r="1437" spans="2:11" ht="12.75" customHeight="1">
      <c r="B1437" s="92" t="str">
        <f t="shared" si="317"/>
        <v/>
      </c>
      <c r="I1437" s="329" t="str">
        <f t="shared" si="318"/>
        <v/>
      </c>
      <c r="J1437" s="329" t="str">
        <f t="shared" si="319"/>
        <v/>
      </c>
      <c r="K1437" s="329" t="str">
        <f t="shared" si="320"/>
        <v/>
      </c>
    </row>
    <row r="1438" spans="2:11" ht="12.75" customHeight="1">
      <c r="B1438" s="92" t="str">
        <f t="shared" si="317"/>
        <v/>
      </c>
      <c r="I1438" s="329" t="str">
        <f t="shared" si="318"/>
        <v/>
      </c>
      <c r="J1438" s="329" t="str">
        <f t="shared" si="319"/>
        <v/>
      </c>
      <c r="K1438" s="329" t="str">
        <f t="shared" si="320"/>
        <v/>
      </c>
    </row>
    <row r="1439" spans="2:11" ht="12.75" customHeight="1">
      <c r="B1439" s="92" t="str">
        <f t="shared" si="317"/>
        <v/>
      </c>
      <c r="I1439" s="329" t="str">
        <f t="shared" si="318"/>
        <v/>
      </c>
      <c r="J1439" s="329" t="str">
        <f t="shared" si="319"/>
        <v/>
      </c>
      <c r="K1439" s="329" t="str">
        <f t="shared" si="320"/>
        <v/>
      </c>
    </row>
    <row r="1440" spans="2:11" ht="12.75" customHeight="1">
      <c r="B1440" s="92" t="str">
        <f t="shared" si="317"/>
        <v/>
      </c>
      <c r="I1440" s="329" t="str">
        <f t="shared" si="318"/>
        <v/>
      </c>
      <c r="J1440" s="329" t="str">
        <f t="shared" si="319"/>
        <v/>
      </c>
      <c r="K1440" s="329" t="str">
        <f t="shared" si="320"/>
        <v/>
      </c>
    </row>
    <row r="1441" spans="2:11" ht="12.75" customHeight="1">
      <c r="B1441" s="92" t="str">
        <f t="shared" si="317"/>
        <v/>
      </c>
      <c r="I1441" s="329" t="str">
        <f t="shared" si="318"/>
        <v/>
      </c>
      <c r="J1441" s="329" t="str">
        <f t="shared" si="319"/>
        <v/>
      </c>
      <c r="K1441" s="329" t="str">
        <f t="shared" si="320"/>
        <v/>
      </c>
    </row>
    <row r="1442" spans="2:11" ht="12.75" customHeight="1">
      <c r="B1442" s="92" t="str">
        <f t="shared" si="317"/>
        <v/>
      </c>
      <c r="I1442" s="329" t="str">
        <f t="shared" si="318"/>
        <v/>
      </c>
      <c r="J1442" s="329" t="str">
        <f t="shared" si="319"/>
        <v/>
      </c>
      <c r="K1442" s="329" t="str">
        <f t="shared" si="320"/>
        <v/>
      </c>
    </row>
    <row r="1443" spans="2:11" ht="12.75" customHeight="1">
      <c r="B1443" s="92" t="str">
        <f t="shared" si="317"/>
        <v/>
      </c>
      <c r="I1443" s="329" t="str">
        <f t="shared" si="318"/>
        <v/>
      </c>
      <c r="J1443" s="329" t="str">
        <f t="shared" si="319"/>
        <v/>
      </c>
      <c r="K1443" s="329" t="str">
        <f t="shared" si="320"/>
        <v/>
      </c>
    </row>
    <row r="1444" spans="2:11" ht="12.75" customHeight="1">
      <c r="B1444" s="92" t="str">
        <f t="shared" si="317"/>
        <v/>
      </c>
      <c r="I1444" s="329" t="str">
        <f t="shared" si="318"/>
        <v/>
      </c>
      <c r="J1444" s="329" t="str">
        <f t="shared" si="319"/>
        <v/>
      </c>
      <c r="K1444" s="329" t="str">
        <f t="shared" si="320"/>
        <v/>
      </c>
    </row>
    <row r="1445" spans="2:11" ht="12.75" customHeight="1">
      <c r="B1445" s="92" t="str">
        <f t="shared" si="317"/>
        <v/>
      </c>
      <c r="I1445" s="329" t="str">
        <f t="shared" si="318"/>
        <v/>
      </c>
      <c r="J1445" s="329" t="str">
        <f t="shared" si="319"/>
        <v/>
      </c>
      <c r="K1445" s="329" t="str">
        <f t="shared" si="320"/>
        <v/>
      </c>
    </row>
    <row r="1446" spans="2:11" ht="12.75" customHeight="1">
      <c r="B1446" s="92" t="str">
        <f t="shared" si="317"/>
        <v/>
      </c>
      <c r="I1446" s="329" t="str">
        <f t="shared" si="318"/>
        <v/>
      </c>
      <c r="J1446" s="329" t="str">
        <f t="shared" si="319"/>
        <v/>
      </c>
      <c r="K1446" s="329" t="str">
        <f t="shared" si="320"/>
        <v/>
      </c>
    </row>
    <row r="1447" spans="2:11" ht="12.75" customHeight="1">
      <c r="B1447" s="92" t="str">
        <f t="shared" si="317"/>
        <v/>
      </c>
      <c r="I1447" s="329" t="str">
        <f t="shared" si="318"/>
        <v/>
      </c>
      <c r="J1447" s="329" t="str">
        <f t="shared" si="319"/>
        <v/>
      </c>
      <c r="K1447" s="329" t="str">
        <f t="shared" si="320"/>
        <v/>
      </c>
    </row>
    <row r="1448" spans="2:11" ht="12.75" customHeight="1">
      <c r="B1448" s="92" t="str">
        <f t="shared" si="317"/>
        <v/>
      </c>
      <c r="I1448" s="329" t="str">
        <f t="shared" si="318"/>
        <v/>
      </c>
      <c r="J1448" s="329" t="str">
        <f t="shared" si="319"/>
        <v/>
      </c>
      <c r="K1448" s="329" t="str">
        <f t="shared" si="320"/>
        <v/>
      </c>
    </row>
    <row r="1449" spans="2:11" ht="12.75" customHeight="1">
      <c r="B1449" s="92" t="str">
        <f t="shared" si="317"/>
        <v/>
      </c>
      <c r="I1449" s="329" t="str">
        <f t="shared" si="318"/>
        <v/>
      </c>
      <c r="J1449" s="329" t="str">
        <f t="shared" si="319"/>
        <v/>
      </c>
      <c r="K1449" s="329" t="str">
        <f t="shared" si="320"/>
        <v/>
      </c>
    </row>
    <row r="1450" spans="2:11" ht="12.75" customHeight="1">
      <c r="B1450" s="92" t="str">
        <f t="shared" si="317"/>
        <v/>
      </c>
      <c r="I1450" s="329" t="str">
        <f t="shared" si="318"/>
        <v/>
      </c>
      <c r="J1450" s="329" t="str">
        <f t="shared" si="319"/>
        <v/>
      </c>
      <c r="K1450" s="329" t="str">
        <f t="shared" si="320"/>
        <v/>
      </c>
    </row>
    <row r="1451" spans="2:11" ht="12.75" customHeight="1">
      <c r="B1451" s="92" t="str">
        <f t="shared" si="317"/>
        <v/>
      </c>
      <c r="I1451" s="329" t="str">
        <f t="shared" si="318"/>
        <v/>
      </c>
      <c r="J1451" s="329" t="str">
        <f t="shared" si="319"/>
        <v/>
      </c>
      <c r="K1451" s="329" t="str">
        <f t="shared" si="320"/>
        <v/>
      </c>
    </row>
    <row r="1452" spans="2:11" ht="12.75" customHeight="1">
      <c r="B1452" s="92" t="str">
        <f t="shared" si="317"/>
        <v/>
      </c>
      <c r="I1452" s="329" t="str">
        <f t="shared" si="318"/>
        <v/>
      </c>
      <c r="J1452" s="329" t="str">
        <f t="shared" si="319"/>
        <v/>
      </c>
      <c r="K1452" s="329" t="str">
        <f t="shared" si="320"/>
        <v/>
      </c>
    </row>
    <row r="1453" spans="2:11" ht="12.75" customHeight="1">
      <c r="B1453" s="92" t="str">
        <f t="shared" si="317"/>
        <v/>
      </c>
      <c r="I1453" s="329" t="str">
        <f t="shared" si="318"/>
        <v/>
      </c>
      <c r="J1453" s="329" t="str">
        <f t="shared" si="319"/>
        <v/>
      </c>
      <c r="K1453" s="329" t="str">
        <f t="shared" si="320"/>
        <v/>
      </c>
    </row>
    <row r="1454" spans="2:11" ht="12.75" customHeight="1">
      <c r="B1454" s="92" t="str">
        <f t="shared" ref="B1454:B1517" si="321">IF(C1454="","",ROW()-5)</f>
        <v/>
      </c>
      <c r="I1454" s="329" t="str">
        <f t="shared" si="318"/>
        <v/>
      </c>
      <c r="J1454" s="329" t="str">
        <f t="shared" si="319"/>
        <v/>
      </c>
      <c r="K1454" s="329" t="str">
        <f t="shared" si="320"/>
        <v/>
      </c>
    </row>
    <row r="1455" spans="2:11" ht="12.75" customHeight="1">
      <c r="B1455" s="92" t="str">
        <f t="shared" si="321"/>
        <v/>
      </c>
      <c r="I1455" s="329" t="str">
        <f t="shared" si="318"/>
        <v/>
      </c>
      <c r="J1455" s="329" t="str">
        <f t="shared" si="319"/>
        <v/>
      </c>
      <c r="K1455" s="329" t="str">
        <f t="shared" si="320"/>
        <v/>
      </c>
    </row>
    <row r="1456" spans="2:11" ht="12.75" customHeight="1">
      <c r="B1456" s="92" t="str">
        <f t="shared" si="321"/>
        <v/>
      </c>
      <c r="I1456" s="329" t="str">
        <f t="shared" si="318"/>
        <v/>
      </c>
      <c r="J1456" s="329" t="str">
        <f t="shared" si="319"/>
        <v/>
      </c>
      <c r="K1456" s="329" t="str">
        <f t="shared" si="320"/>
        <v/>
      </c>
    </row>
    <row r="1457" spans="2:11" ht="12.75" customHeight="1">
      <c r="B1457" s="92" t="str">
        <f t="shared" si="321"/>
        <v/>
      </c>
      <c r="I1457" s="329" t="str">
        <f t="shared" si="318"/>
        <v/>
      </c>
      <c r="J1457" s="329" t="str">
        <f t="shared" si="319"/>
        <v/>
      </c>
      <c r="K1457" s="329" t="str">
        <f t="shared" si="320"/>
        <v/>
      </c>
    </row>
    <row r="1458" spans="2:11" ht="12.75" customHeight="1">
      <c r="B1458" s="92" t="str">
        <f t="shared" si="321"/>
        <v/>
      </c>
      <c r="I1458" s="329" t="str">
        <f t="shared" si="318"/>
        <v/>
      </c>
      <c r="J1458" s="329" t="str">
        <f t="shared" si="319"/>
        <v/>
      </c>
      <c r="K1458" s="329" t="str">
        <f t="shared" si="320"/>
        <v/>
      </c>
    </row>
    <row r="1459" spans="2:11" ht="12.75" customHeight="1">
      <c r="B1459" s="92" t="str">
        <f t="shared" si="321"/>
        <v/>
      </c>
      <c r="I1459" s="329" t="str">
        <f t="shared" si="318"/>
        <v/>
      </c>
      <c r="J1459" s="329" t="str">
        <f t="shared" si="319"/>
        <v/>
      </c>
      <c r="K1459" s="329" t="str">
        <f t="shared" si="320"/>
        <v/>
      </c>
    </row>
    <row r="1460" spans="2:11" ht="12.75" customHeight="1">
      <c r="B1460" s="92" t="str">
        <f t="shared" si="321"/>
        <v/>
      </c>
      <c r="I1460" s="329" t="str">
        <f t="shared" si="318"/>
        <v/>
      </c>
      <c r="J1460" s="329" t="str">
        <f t="shared" si="319"/>
        <v/>
      </c>
      <c r="K1460" s="329" t="str">
        <f t="shared" si="320"/>
        <v/>
      </c>
    </row>
    <row r="1461" spans="2:11" ht="12.75" customHeight="1">
      <c r="B1461" s="92" t="str">
        <f t="shared" si="321"/>
        <v/>
      </c>
      <c r="I1461" s="329" t="str">
        <f t="shared" si="318"/>
        <v/>
      </c>
      <c r="J1461" s="329" t="str">
        <f t="shared" si="319"/>
        <v/>
      </c>
      <c r="K1461" s="329" t="str">
        <f t="shared" si="320"/>
        <v/>
      </c>
    </row>
    <row r="1462" spans="2:11" ht="12.75" customHeight="1">
      <c r="B1462" s="92" t="str">
        <f t="shared" si="321"/>
        <v/>
      </c>
      <c r="I1462" s="329" t="str">
        <f t="shared" si="318"/>
        <v/>
      </c>
      <c r="J1462" s="329" t="str">
        <f t="shared" si="319"/>
        <v/>
      </c>
      <c r="K1462" s="329" t="str">
        <f t="shared" si="320"/>
        <v/>
      </c>
    </row>
    <row r="1463" spans="2:11" ht="12.75" customHeight="1">
      <c r="B1463" s="92" t="str">
        <f t="shared" si="321"/>
        <v/>
      </c>
      <c r="I1463" s="329" t="str">
        <f t="shared" si="318"/>
        <v/>
      </c>
      <c r="J1463" s="329" t="str">
        <f t="shared" si="319"/>
        <v/>
      </c>
      <c r="K1463" s="329" t="str">
        <f t="shared" si="320"/>
        <v/>
      </c>
    </row>
    <row r="1464" spans="2:11" ht="12.75" customHeight="1">
      <c r="B1464" s="92" t="str">
        <f t="shared" si="321"/>
        <v/>
      </c>
      <c r="I1464" s="329" t="str">
        <f t="shared" si="318"/>
        <v/>
      </c>
      <c r="J1464" s="329" t="str">
        <f t="shared" si="319"/>
        <v/>
      </c>
      <c r="K1464" s="329" t="str">
        <f t="shared" si="320"/>
        <v/>
      </c>
    </row>
    <row r="1465" spans="2:11" ht="12.75" customHeight="1">
      <c r="B1465" s="92" t="str">
        <f t="shared" si="321"/>
        <v/>
      </c>
      <c r="I1465" s="329" t="str">
        <f t="shared" si="318"/>
        <v/>
      </c>
      <c r="J1465" s="329" t="str">
        <f t="shared" si="319"/>
        <v/>
      </c>
      <c r="K1465" s="329" t="str">
        <f t="shared" si="320"/>
        <v/>
      </c>
    </row>
    <row r="1466" spans="2:11" ht="12.75" customHeight="1">
      <c r="B1466" s="92" t="str">
        <f t="shared" si="321"/>
        <v/>
      </c>
      <c r="I1466" s="329" t="str">
        <f t="shared" si="318"/>
        <v/>
      </c>
      <c r="J1466" s="329" t="str">
        <f t="shared" si="319"/>
        <v/>
      </c>
      <c r="K1466" s="329" t="str">
        <f t="shared" si="320"/>
        <v/>
      </c>
    </row>
    <row r="1467" spans="2:11" ht="12.75" customHeight="1">
      <c r="B1467" s="92" t="str">
        <f t="shared" si="321"/>
        <v/>
      </c>
      <c r="I1467" s="329" t="str">
        <f t="shared" si="318"/>
        <v/>
      </c>
      <c r="J1467" s="329" t="str">
        <f t="shared" si="319"/>
        <v/>
      </c>
      <c r="K1467" s="329" t="str">
        <f t="shared" si="320"/>
        <v/>
      </c>
    </row>
    <row r="1468" spans="2:11" ht="12.75" customHeight="1">
      <c r="B1468" s="92" t="str">
        <f t="shared" si="321"/>
        <v/>
      </c>
      <c r="I1468" s="329" t="str">
        <f t="shared" si="318"/>
        <v/>
      </c>
      <c r="J1468" s="329" t="str">
        <f t="shared" si="319"/>
        <v/>
      </c>
      <c r="K1468" s="329" t="str">
        <f t="shared" si="320"/>
        <v/>
      </c>
    </row>
    <row r="1469" spans="2:11" ht="12.75" customHeight="1">
      <c r="B1469" s="92" t="str">
        <f t="shared" si="321"/>
        <v/>
      </c>
      <c r="I1469" s="329" t="str">
        <f t="shared" si="318"/>
        <v/>
      </c>
      <c r="J1469" s="329" t="str">
        <f t="shared" si="319"/>
        <v/>
      </c>
      <c r="K1469" s="329" t="str">
        <f t="shared" si="320"/>
        <v/>
      </c>
    </row>
    <row r="1470" spans="2:11" ht="12.75" customHeight="1">
      <c r="B1470" s="92" t="str">
        <f t="shared" si="321"/>
        <v/>
      </c>
      <c r="I1470" s="329" t="str">
        <f t="shared" ref="I1470:I1533" si="322">+IF(G1470="","",G1470*H1470)</f>
        <v/>
      </c>
      <c r="J1470" s="329" t="str">
        <f t="shared" ref="J1470:J1533" si="323">+IF(G1470="","",I1470*0.1)</f>
        <v/>
      </c>
      <c r="K1470" s="329" t="str">
        <f t="shared" ref="K1470:K1533" si="324">+IF(G1470="","",I1470+J1470)</f>
        <v/>
      </c>
    </row>
    <row r="1471" spans="2:11" ht="12.75" customHeight="1">
      <c r="B1471" s="92" t="str">
        <f t="shared" si="321"/>
        <v/>
      </c>
      <c r="I1471" s="329" t="str">
        <f t="shared" si="322"/>
        <v/>
      </c>
      <c r="J1471" s="329" t="str">
        <f t="shared" si="323"/>
        <v/>
      </c>
      <c r="K1471" s="329" t="str">
        <f t="shared" si="324"/>
        <v/>
      </c>
    </row>
    <row r="1472" spans="2:11" ht="12.75" customHeight="1">
      <c r="B1472" s="92" t="str">
        <f t="shared" si="321"/>
        <v/>
      </c>
      <c r="I1472" s="329" t="str">
        <f t="shared" si="322"/>
        <v/>
      </c>
      <c r="J1472" s="329" t="str">
        <f t="shared" si="323"/>
        <v/>
      </c>
      <c r="K1472" s="329" t="str">
        <f t="shared" si="324"/>
        <v/>
      </c>
    </row>
    <row r="1473" spans="2:11" ht="12.75" customHeight="1">
      <c r="B1473" s="92" t="str">
        <f t="shared" si="321"/>
        <v/>
      </c>
      <c r="I1473" s="329" t="str">
        <f t="shared" si="322"/>
        <v/>
      </c>
      <c r="J1473" s="329" t="str">
        <f t="shared" si="323"/>
        <v/>
      </c>
      <c r="K1473" s="329" t="str">
        <f t="shared" si="324"/>
        <v/>
      </c>
    </row>
    <row r="1474" spans="2:11" ht="12.75" customHeight="1">
      <c r="B1474" s="92" t="str">
        <f t="shared" si="321"/>
        <v/>
      </c>
      <c r="I1474" s="329" t="str">
        <f t="shared" si="322"/>
        <v/>
      </c>
      <c r="J1474" s="329" t="str">
        <f t="shared" si="323"/>
        <v/>
      </c>
      <c r="K1474" s="329" t="str">
        <f t="shared" si="324"/>
        <v/>
      </c>
    </row>
    <row r="1475" spans="2:11" ht="12.75" customHeight="1">
      <c r="B1475" s="92" t="str">
        <f t="shared" si="321"/>
        <v/>
      </c>
      <c r="I1475" s="329" t="str">
        <f t="shared" si="322"/>
        <v/>
      </c>
      <c r="J1475" s="329" t="str">
        <f t="shared" si="323"/>
        <v/>
      </c>
      <c r="K1475" s="329" t="str">
        <f t="shared" si="324"/>
        <v/>
      </c>
    </row>
    <row r="1476" spans="2:11" ht="12.75" customHeight="1">
      <c r="B1476" s="92" t="str">
        <f t="shared" si="321"/>
        <v/>
      </c>
      <c r="I1476" s="329" t="str">
        <f t="shared" si="322"/>
        <v/>
      </c>
      <c r="J1476" s="329" t="str">
        <f t="shared" si="323"/>
        <v/>
      </c>
      <c r="K1476" s="329" t="str">
        <f t="shared" si="324"/>
        <v/>
      </c>
    </row>
    <row r="1477" spans="2:11" ht="12.75" customHeight="1">
      <c r="B1477" s="92" t="str">
        <f t="shared" si="321"/>
        <v/>
      </c>
      <c r="I1477" s="329" t="str">
        <f t="shared" si="322"/>
        <v/>
      </c>
      <c r="J1477" s="329" t="str">
        <f t="shared" si="323"/>
        <v/>
      </c>
      <c r="K1477" s="329" t="str">
        <f t="shared" si="324"/>
        <v/>
      </c>
    </row>
    <row r="1478" spans="2:11" ht="12.75" customHeight="1">
      <c r="B1478" s="92" t="str">
        <f t="shared" si="321"/>
        <v/>
      </c>
      <c r="I1478" s="329" t="str">
        <f t="shared" si="322"/>
        <v/>
      </c>
      <c r="J1478" s="329" t="str">
        <f t="shared" si="323"/>
        <v/>
      </c>
      <c r="K1478" s="329" t="str">
        <f t="shared" si="324"/>
        <v/>
      </c>
    </row>
    <row r="1479" spans="2:11" ht="12.75" customHeight="1">
      <c r="B1479" s="92" t="str">
        <f t="shared" si="321"/>
        <v/>
      </c>
      <c r="I1479" s="329" t="str">
        <f t="shared" si="322"/>
        <v/>
      </c>
      <c r="J1479" s="329" t="str">
        <f t="shared" si="323"/>
        <v/>
      </c>
      <c r="K1479" s="329" t="str">
        <f t="shared" si="324"/>
        <v/>
      </c>
    </row>
    <row r="1480" spans="2:11" ht="12.75" customHeight="1">
      <c r="B1480" s="92" t="str">
        <f t="shared" si="321"/>
        <v/>
      </c>
      <c r="I1480" s="329" t="str">
        <f t="shared" si="322"/>
        <v/>
      </c>
      <c r="J1480" s="329" t="str">
        <f t="shared" si="323"/>
        <v/>
      </c>
      <c r="K1480" s="329" t="str">
        <f t="shared" si="324"/>
        <v/>
      </c>
    </row>
    <row r="1481" spans="2:11" ht="12.75" customHeight="1">
      <c r="B1481" s="92" t="str">
        <f t="shared" si="321"/>
        <v/>
      </c>
      <c r="I1481" s="329" t="str">
        <f t="shared" si="322"/>
        <v/>
      </c>
      <c r="J1481" s="329" t="str">
        <f t="shared" si="323"/>
        <v/>
      </c>
      <c r="K1481" s="329" t="str">
        <f t="shared" si="324"/>
        <v/>
      </c>
    </row>
    <row r="1482" spans="2:11" ht="12.75" customHeight="1">
      <c r="B1482" s="92" t="str">
        <f t="shared" si="321"/>
        <v/>
      </c>
      <c r="I1482" s="329" t="str">
        <f t="shared" si="322"/>
        <v/>
      </c>
      <c r="J1482" s="329" t="str">
        <f t="shared" si="323"/>
        <v/>
      </c>
      <c r="K1482" s="329" t="str">
        <f t="shared" si="324"/>
        <v/>
      </c>
    </row>
    <row r="1483" spans="2:11" ht="12.75" customHeight="1">
      <c r="B1483" s="92" t="str">
        <f t="shared" si="321"/>
        <v/>
      </c>
      <c r="I1483" s="329" t="str">
        <f t="shared" si="322"/>
        <v/>
      </c>
      <c r="J1483" s="329" t="str">
        <f t="shared" si="323"/>
        <v/>
      </c>
      <c r="K1483" s="329" t="str">
        <f t="shared" si="324"/>
        <v/>
      </c>
    </row>
    <row r="1484" spans="2:11" ht="12.75" customHeight="1">
      <c r="B1484" s="92" t="str">
        <f t="shared" si="321"/>
        <v/>
      </c>
      <c r="I1484" s="329" t="str">
        <f t="shared" si="322"/>
        <v/>
      </c>
      <c r="J1484" s="329" t="str">
        <f t="shared" si="323"/>
        <v/>
      </c>
      <c r="K1484" s="329" t="str">
        <f t="shared" si="324"/>
        <v/>
      </c>
    </row>
    <row r="1485" spans="2:11" ht="12.75" customHeight="1">
      <c r="B1485" s="92" t="str">
        <f t="shared" si="321"/>
        <v/>
      </c>
      <c r="I1485" s="329" t="str">
        <f t="shared" si="322"/>
        <v/>
      </c>
      <c r="J1485" s="329" t="str">
        <f t="shared" si="323"/>
        <v/>
      </c>
      <c r="K1485" s="329" t="str">
        <f t="shared" si="324"/>
        <v/>
      </c>
    </row>
    <row r="1486" spans="2:11" ht="12.75" customHeight="1">
      <c r="B1486" s="92" t="str">
        <f t="shared" si="321"/>
        <v/>
      </c>
      <c r="I1486" s="329" t="str">
        <f t="shared" si="322"/>
        <v/>
      </c>
      <c r="J1486" s="329" t="str">
        <f t="shared" si="323"/>
        <v/>
      </c>
      <c r="K1486" s="329" t="str">
        <f t="shared" si="324"/>
        <v/>
      </c>
    </row>
    <row r="1487" spans="2:11" ht="12.75" customHeight="1">
      <c r="B1487" s="92" t="str">
        <f t="shared" si="321"/>
        <v/>
      </c>
      <c r="I1487" s="329" t="str">
        <f t="shared" si="322"/>
        <v/>
      </c>
      <c r="J1487" s="329" t="str">
        <f t="shared" si="323"/>
        <v/>
      </c>
      <c r="K1487" s="329" t="str">
        <f t="shared" si="324"/>
        <v/>
      </c>
    </row>
    <row r="1488" spans="2:11" ht="12.75" customHeight="1">
      <c r="B1488" s="92" t="str">
        <f t="shared" si="321"/>
        <v/>
      </c>
      <c r="I1488" s="329" t="str">
        <f t="shared" si="322"/>
        <v/>
      </c>
      <c r="J1488" s="329" t="str">
        <f t="shared" si="323"/>
        <v/>
      </c>
      <c r="K1488" s="329" t="str">
        <f t="shared" si="324"/>
        <v/>
      </c>
    </row>
    <row r="1489" spans="2:11" ht="12.75" customHeight="1">
      <c r="B1489" s="92" t="str">
        <f t="shared" si="321"/>
        <v/>
      </c>
      <c r="I1489" s="329" t="str">
        <f t="shared" si="322"/>
        <v/>
      </c>
      <c r="J1489" s="329" t="str">
        <f t="shared" si="323"/>
        <v/>
      </c>
      <c r="K1489" s="329" t="str">
        <f t="shared" si="324"/>
        <v/>
      </c>
    </row>
    <row r="1490" spans="2:11" ht="12.75" customHeight="1">
      <c r="B1490" s="92" t="str">
        <f t="shared" si="321"/>
        <v/>
      </c>
      <c r="I1490" s="329" t="str">
        <f t="shared" si="322"/>
        <v/>
      </c>
      <c r="J1490" s="329" t="str">
        <f t="shared" si="323"/>
        <v/>
      </c>
      <c r="K1490" s="329" t="str">
        <f t="shared" si="324"/>
        <v/>
      </c>
    </row>
    <row r="1491" spans="2:11" ht="12.75" customHeight="1">
      <c r="B1491" s="92" t="str">
        <f t="shared" si="321"/>
        <v/>
      </c>
      <c r="I1491" s="329" t="str">
        <f t="shared" si="322"/>
        <v/>
      </c>
      <c r="J1491" s="329" t="str">
        <f t="shared" si="323"/>
        <v/>
      </c>
      <c r="K1491" s="329" t="str">
        <f t="shared" si="324"/>
        <v/>
      </c>
    </row>
    <row r="1492" spans="2:11" ht="12.75" customHeight="1">
      <c r="B1492" s="92" t="str">
        <f t="shared" si="321"/>
        <v/>
      </c>
      <c r="I1492" s="329" t="str">
        <f t="shared" si="322"/>
        <v/>
      </c>
      <c r="J1492" s="329" t="str">
        <f t="shared" si="323"/>
        <v/>
      </c>
      <c r="K1492" s="329" t="str">
        <f t="shared" si="324"/>
        <v/>
      </c>
    </row>
    <row r="1493" spans="2:11" ht="12.75" customHeight="1">
      <c r="B1493" s="92" t="str">
        <f t="shared" si="321"/>
        <v/>
      </c>
      <c r="I1493" s="329" t="str">
        <f t="shared" si="322"/>
        <v/>
      </c>
      <c r="J1493" s="329" t="str">
        <f t="shared" si="323"/>
        <v/>
      </c>
      <c r="K1493" s="329" t="str">
        <f t="shared" si="324"/>
        <v/>
      </c>
    </row>
    <row r="1494" spans="2:11" ht="12.75" customHeight="1">
      <c r="B1494" s="92" t="str">
        <f t="shared" si="321"/>
        <v/>
      </c>
      <c r="I1494" s="329" t="str">
        <f t="shared" si="322"/>
        <v/>
      </c>
      <c r="J1494" s="329" t="str">
        <f t="shared" si="323"/>
        <v/>
      </c>
      <c r="K1494" s="329" t="str">
        <f t="shared" si="324"/>
        <v/>
      </c>
    </row>
    <row r="1495" spans="2:11" ht="12.75" customHeight="1">
      <c r="B1495" s="92" t="str">
        <f t="shared" si="321"/>
        <v/>
      </c>
      <c r="I1495" s="329" t="str">
        <f t="shared" si="322"/>
        <v/>
      </c>
      <c r="J1495" s="329" t="str">
        <f t="shared" si="323"/>
        <v/>
      </c>
      <c r="K1495" s="329" t="str">
        <f t="shared" si="324"/>
        <v/>
      </c>
    </row>
    <row r="1496" spans="2:11" ht="12.75" customHeight="1">
      <c r="B1496" s="92" t="str">
        <f t="shared" si="321"/>
        <v/>
      </c>
      <c r="I1496" s="329" t="str">
        <f t="shared" si="322"/>
        <v/>
      </c>
      <c r="J1496" s="329" t="str">
        <f t="shared" si="323"/>
        <v/>
      </c>
      <c r="K1496" s="329" t="str">
        <f t="shared" si="324"/>
        <v/>
      </c>
    </row>
    <row r="1497" spans="2:11" ht="12.75" customHeight="1">
      <c r="B1497" s="92" t="str">
        <f t="shared" si="321"/>
        <v/>
      </c>
      <c r="I1497" s="329" t="str">
        <f t="shared" si="322"/>
        <v/>
      </c>
      <c r="J1497" s="329" t="str">
        <f t="shared" si="323"/>
        <v/>
      </c>
      <c r="K1497" s="329" t="str">
        <f t="shared" si="324"/>
        <v/>
      </c>
    </row>
    <row r="1498" spans="2:11" ht="12.75" customHeight="1">
      <c r="B1498" s="92" t="str">
        <f t="shared" si="321"/>
        <v/>
      </c>
      <c r="I1498" s="329" t="str">
        <f t="shared" si="322"/>
        <v/>
      </c>
      <c r="J1498" s="329" t="str">
        <f t="shared" si="323"/>
        <v/>
      </c>
      <c r="K1498" s="329" t="str">
        <f t="shared" si="324"/>
        <v/>
      </c>
    </row>
    <row r="1499" spans="2:11" ht="12.75" customHeight="1">
      <c r="B1499" s="92" t="str">
        <f t="shared" si="321"/>
        <v/>
      </c>
      <c r="I1499" s="329" t="str">
        <f t="shared" si="322"/>
        <v/>
      </c>
      <c r="J1499" s="329" t="str">
        <f t="shared" si="323"/>
        <v/>
      </c>
      <c r="K1499" s="329" t="str">
        <f t="shared" si="324"/>
        <v/>
      </c>
    </row>
    <row r="1500" spans="2:11" ht="12.75" customHeight="1">
      <c r="B1500" s="92" t="str">
        <f t="shared" si="321"/>
        <v/>
      </c>
      <c r="I1500" s="329" t="str">
        <f t="shared" si="322"/>
        <v/>
      </c>
      <c r="J1500" s="329" t="str">
        <f t="shared" si="323"/>
        <v/>
      </c>
      <c r="K1500" s="329" t="str">
        <f t="shared" si="324"/>
        <v/>
      </c>
    </row>
    <row r="1501" spans="2:11" ht="12.75" customHeight="1">
      <c r="B1501" s="92" t="str">
        <f t="shared" si="321"/>
        <v/>
      </c>
      <c r="I1501" s="329" t="str">
        <f t="shared" si="322"/>
        <v/>
      </c>
      <c r="J1501" s="329" t="str">
        <f t="shared" si="323"/>
        <v/>
      </c>
      <c r="K1501" s="329" t="str">
        <f t="shared" si="324"/>
        <v/>
      </c>
    </row>
    <row r="1502" spans="2:11" ht="12.75" customHeight="1">
      <c r="B1502" s="92" t="str">
        <f t="shared" si="321"/>
        <v/>
      </c>
      <c r="I1502" s="329" t="str">
        <f t="shared" si="322"/>
        <v/>
      </c>
      <c r="J1502" s="329" t="str">
        <f t="shared" si="323"/>
        <v/>
      </c>
      <c r="K1502" s="329" t="str">
        <f t="shared" si="324"/>
        <v/>
      </c>
    </row>
    <row r="1503" spans="2:11" ht="12.75" customHeight="1">
      <c r="B1503" s="92" t="str">
        <f t="shared" si="321"/>
        <v/>
      </c>
      <c r="I1503" s="329" t="str">
        <f t="shared" si="322"/>
        <v/>
      </c>
      <c r="J1503" s="329" t="str">
        <f t="shared" si="323"/>
        <v/>
      </c>
      <c r="K1503" s="329" t="str">
        <f t="shared" si="324"/>
        <v/>
      </c>
    </row>
    <row r="1504" spans="2:11" ht="12.75" customHeight="1">
      <c r="B1504" s="92" t="str">
        <f t="shared" si="321"/>
        <v/>
      </c>
      <c r="I1504" s="329" t="str">
        <f t="shared" si="322"/>
        <v/>
      </c>
      <c r="J1504" s="329" t="str">
        <f t="shared" si="323"/>
        <v/>
      </c>
      <c r="K1504" s="329" t="str">
        <f t="shared" si="324"/>
        <v/>
      </c>
    </row>
    <row r="1505" spans="2:11" ht="12.75" customHeight="1">
      <c r="B1505" s="92" t="str">
        <f t="shared" si="321"/>
        <v/>
      </c>
      <c r="I1505" s="329" t="str">
        <f t="shared" si="322"/>
        <v/>
      </c>
      <c r="J1505" s="329" t="str">
        <f t="shared" si="323"/>
        <v/>
      </c>
      <c r="K1505" s="329" t="str">
        <f t="shared" si="324"/>
        <v/>
      </c>
    </row>
    <row r="1506" spans="2:11" ht="12.75" customHeight="1">
      <c r="B1506" s="92" t="str">
        <f t="shared" si="321"/>
        <v/>
      </c>
      <c r="I1506" s="329" t="str">
        <f t="shared" si="322"/>
        <v/>
      </c>
      <c r="J1506" s="329" t="str">
        <f t="shared" si="323"/>
        <v/>
      </c>
      <c r="K1506" s="329" t="str">
        <f t="shared" si="324"/>
        <v/>
      </c>
    </row>
    <row r="1507" spans="2:11" ht="12.75" customHeight="1">
      <c r="B1507" s="92" t="str">
        <f t="shared" si="321"/>
        <v/>
      </c>
      <c r="I1507" s="329" t="str">
        <f t="shared" si="322"/>
        <v/>
      </c>
      <c r="J1507" s="329" t="str">
        <f t="shared" si="323"/>
        <v/>
      </c>
      <c r="K1507" s="329" t="str">
        <f t="shared" si="324"/>
        <v/>
      </c>
    </row>
    <row r="1508" spans="2:11" ht="12.75" customHeight="1">
      <c r="B1508" s="92" t="str">
        <f t="shared" si="321"/>
        <v/>
      </c>
      <c r="I1508" s="329" t="str">
        <f t="shared" si="322"/>
        <v/>
      </c>
      <c r="J1508" s="329" t="str">
        <f t="shared" si="323"/>
        <v/>
      </c>
      <c r="K1508" s="329" t="str">
        <f t="shared" si="324"/>
        <v/>
      </c>
    </row>
    <row r="1509" spans="2:11" ht="12.75" customHeight="1">
      <c r="B1509" s="92" t="str">
        <f t="shared" si="321"/>
        <v/>
      </c>
      <c r="I1509" s="329" t="str">
        <f t="shared" si="322"/>
        <v/>
      </c>
      <c r="J1509" s="329" t="str">
        <f t="shared" si="323"/>
        <v/>
      </c>
      <c r="K1509" s="329" t="str">
        <f t="shared" si="324"/>
        <v/>
      </c>
    </row>
    <row r="1510" spans="2:11" ht="12.75" customHeight="1">
      <c r="B1510" s="92" t="str">
        <f t="shared" si="321"/>
        <v/>
      </c>
      <c r="I1510" s="329" t="str">
        <f t="shared" si="322"/>
        <v/>
      </c>
      <c r="J1510" s="329" t="str">
        <f t="shared" si="323"/>
        <v/>
      </c>
      <c r="K1510" s="329" t="str">
        <f t="shared" si="324"/>
        <v/>
      </c>
    </row>
    <row r="1511" spans="2:11" ht="12.75" customHeight="1">
      <c r="B1511" s="92" t="str">
        <f t="shared" si="321"/>
        <v/>
      </c>
      <c r="I1511" s="329" t="str">
        <f t="shared" si="322"/>
        <v/>
      </c>
      <c r="J1511" s="329" t="str">
        <f t="shared" si="323"/>
        <v/>
      </c>
      <c r="K1511" s="329" t="str">
        <f t="shared" si="324"/>
        <v/>
      </c>
    </row>
    <row r="1512" spans="2:11" ht="12.75" customHeight="1">
      <c r="B1512" s="92" t="str">
        <f t="shared" si="321"/>
        <v/>
      </c>
      <c r="I1512" s="329" t="str">
        <f t="shared" si="322"/>
        <v/>
      </c>
      <c r="J1512" s="329" t="str">
        <f t="shared" si="323"/>
        <v/>
      </c>
      <c r="K1512" s="329" t="str">
        <f t="shared" si="324"/>
        <v/>
      </c>
    </row>
    <row r="1513" spans="2:11" ht="12.75" customHeight="1">
      <c r="B1513" s="92" t="str">
        <f t="shared" si="321"/>
        <v/>
      </c>
      <c r="I1513" s="329" t="str">
        <f t="shared" si="322"/>
        <v/>
      </c>
      <c r="J1513" s="329" t="str">
        <f t="shared" si="323"/>
        <v/>
      </c>
      <c r="K1513" s="329" t="str">
        <f t="shared" si="324"/>
        <v/>
      </c>
    </row>
    <row r="1514" spans="2:11" ht="12.75" customHeight="1">
      <c r="B1514" s="92" t="str">
        <f t="shared" si="321"/>
        <v/>
      </c>
      <c r="I1514" s="329" t="str">
        <f t="shared" si="322"/>
        <v/>
      </c>
      <c r="J1514" s="329" t="str">
        <f t="shared" si="323"/>
        <v/>
      </c>
      <c r="K1514" s="329" t="str">
        <f t="shared" si="324"/>
        <v/>
      </c>
    </row>
    <row r="1515" spans="2:11" ht="12.75" customHeight="1">
      <c r="B1515" s="92" t="str">
        <f t="shared" si="321"/>
        <v/>
      </c>
      <c r="I1515" s="329" t="str">
        <f t="shared" si="322"/>
        <v/>
      </c>
      <c r="J1515" s="329" t="str">
        <f t="shared" si="323"/>
        <v/>
      </c>
      <c r="K1515" s="329" t="str">
        <f t="shared" si="324"/>
        <v/>
      </c>
    </row>
    <row r="1516" spans="2:11" ht="12.75" customHeight="1">
      <c r="B1516" s="92" t="str">
        <f t="shared" si="321"/>
        <v/>
      </c>
      <c r="I1516" s="329" t="str">
        <f t="shared" si="322"/>
        <v/>
      </c>
      <c r="J1516" s="329" t="str">
        <f t="shared" si="323"/>
        <v/>
      </c>
      <c r="K1516" s="329" t="str">
        <f t="shared" si="324"/>
        <v/>
      </c>
    </row>
    <row r="1517" spans="2:11" ht="12.75" customHeight="1">
      <c r="B1517" s="92" t="str">
        <f t="shared" si="321"/>
        <v/>
      </c>
      <c r="I1517" s="329" t="str">
        <f t="shared" si="322"/>
        <v/>
      </c>
      <c r="J1517" s="329" t="str">
        <f t="shared" si="323"/>
        <v/>
      </c>
      <c r="K1517" s="329" t="str">
        <f t="shared" si="324"/>
        <v/>
      </c>
    </row>
    <row r="1518" spans="2:11" ht="12.75" customHeight="1">
      <c r="B1518" s="92" t="str">
        <f t="shared" ref="B1518:B1581" si="325">IF(C1518="","",ROW()-5)</f>
        <v/>
      </c>
      <c r="I1518" s="329" t="str">
        <f t="shared" si="322"/>
        <v/>
      </c>
      <c r="J1518" s="329" t="str">
        <f t="shared" si="323"/>
        <v/>
      </c>
      <c r="K1518" s="329" t="str">
        <f t="shared" si="324"/>
        <v/>
      </c>
    </row>
    <row r="1519" spans="2:11" ht="12.75" customHeight="1">
      <c r="B1519" s="92" t="str">
        <f t="shared" si="325"/>
        <v/>
      </c>
      <c r="I1519" s="329" t="str">
        <f t="shared" si="322"/>
        <v/>
      </c>
      <c r="J1519" s="329" t="str">
        <f t="shared" si="323"/>
        <v/>
      </c>
      <c r="K1519" s="329" t="str">
        <f t="shared" si="324"/>
        <v/>
      </c>
    </row>
    <row r="1520" spans="2:11" ht="12.75" customHeight="1">
      <c r="B1520" s="92" t="str">
        <f t="shared" si="325"/>
        <v/>
      </c>
      <c r="I1520" s="329" t="str">
        <f t="shared" si="322"/>
        <v/>
      </c>
      <c r="J1520" s="329" t="str">
        <f t="shared" si="323"/>
        <v/>
      </c>
      <c r="K1520" s="329" t="str">
        <f t="shared" si="324"/>
        <v/>
      </c>
    </row>
    <row r="1521" spans="2:11" ht="12.75" customHeight="1">
      <c r="B1521" s="92" t="str">
        <f t="shared" si="325"/>
        <v/>
      </c>
      <c r="I1521" s="329" t="str">
        <f t="shared" si="322"/>
        <v/>
      </c>
      <c r="J1521" s="329" t="str">
        <f t="shared" si="323"/>
        <v/>
      </c>
      <c r="K1521" s="329" t="str">
        <f t="shared" si="324"/>
        <v/>
      </c>
    </row>
    <row r="1522" spans="2:11" ht="12.75" customHeight="1">
      <c r="B1522" s="92" t="str">
        <f t="shared" si="325"/>
        <v/>
      </c>
      <c r="I1522" s="329" t="str">
        <f t="shared" si="322"/>
        <v/>
      </c>
      <c r="J1522" s="329" t="str">
        <f t="shared" si="323"/>
        <v/>
      </c>
      <c r="K1522" s="329" t="str">
        <f t="shared" si="324"/>
        <v/>
      </c>
    </row>
    <row r="1523" spans="2:11" ht="12.75" customHeight="1">
      <c r="B1523" s="92" t="str">
        <f t="shared" si="325"/>
        <v/>
      </c>
      <c r="I1523" s="329" t="str">
        <f t="shared" si="322"/>
        <v/>
      </c>
      <c r="J1523" s="329" t="str">
        <f t="shared" si="323"/>
        <v/>
      </c>
      <c r="K1523" s="329" t="str">
        <f t="shared" si="324"/>
        <v/>
      </c>
    </row>
    <row r="1524" spans="2:11" ht="12.75" customHeight="1">
      <c r="B1524" s="92" t="str">
        <f t="shared" si="325"/>
        <v/>
      </c>
      <c r="I1524" s="329" t="str">
        <f t="shared" si="322"/>
        <v/>
      </c>
      <c r="J1524" s="329" t="str">
        <f t="shared" si="323"/>
        <v/>
      </c>
      <c r="K1524" s="329" t="str">
        <f t="shared" si="324"/>
        <v/>
      </c>
    </row>
    <row r="1525" spans="2:11" ht="12.75" customHeight="1">
      <c r="B1525" s="92" t="str">
        <f t="shared" si="325"/>
        <v/>
      </c>
      <c r="I1525" s="329" t="str">
        <f t="shared" si="322"/>
        <v/>
      </c>
      <c r="J1525" s="329" t="str">
        <f t="shared" si="323"/>
        <v/>
      </c>
      <c r="K1525" s="329" t="str">
        <f t="shared" si="324"/>
        <v/>
      </c>
    </row>
    <row r="1526" spans="2:11" ht="12.75" customHeight="1">
      <c r="B1526" s="92" t="str">
        <f t="shared" si="325"/>
        <v/>
      </c>
      <c r="I1526" s="329" t="str">
        <f t="shared" si="322"/>
        <v/>
      </c>
      <c r="J1526" s="329" t="str">
        <f t="shared" si="323"/>
        <v/>
      </c>
      <c r="K1526" s="329" t="str">
        <f t="shared" si="324"/>
        <v/>
      </c>
    </row>
    <row r="1527" spans="2:11" ht="12.75" customHeight="1">
      <c r="B1527" s="92" t="str">
        <f t="shared" si="325"/>
        <v/>
      </c>
      <c r="I1527" s="329" t="str">
        <f t="shared" si="322"/>
        <v/>
      </c>
      <c r="J1527" s="329" t="str">
        <f t="shared" si="323"/>
        <v/>
      </c>
      <c r="K1527" s="329" t="str">
        <f t="shared" si="324"/>
        <v/>
      </c>
    </row>
    <row r="1528" spans="2:11" ht="12.75" customHeight="1">
      <c r="B1528" s="92" t="str">
        <f t="shared" si="325"/>
        <v/>
      </c>
      <c r="I1528" s="329" t="str">
        <f t="shared" si="322"/>
        <v/>
      </c>
      <c r="J1528" s="329" t="str">
        <f t="shared" si="323"/>
        <v/>
      </c>
      <c r="K1528" s="329" t="str">
        <f t="shared" si="324"/>
        <v/>
      </c>
    </row>
    <row r="1529" spans="2:11" ht="12.75" customHeight="1">
      <c r="B1529" s="92" t="str">
        <f t="shared" si="325"/>
        <v/>
      </c>
      <c r="I1529" s="329" t="str">
        <f t="shared" si="322"/>
        <v/>
      </c>
      <c r="J1529" s="329" t="str">
        <f t="shared" si="323"/>
        <v/>
      </c>
      <c r="K1529" s="329" t="str">
        <f t="shared" si="324"/>
        <v/>
      </c>
    </row>
    <row r="1530" spans="2:11" ht="12.75" customHeight="1">
      <c r="B1530" s="92" t="str">
        <f t="shared" si="325"/>
        <v/>
      </c>
      <c r="I1530" s="329" t="str">
        <f t="shared" si="322"/>
        <v/>
      </c>
      <c r="J1530" s="329" t="str">
        <f t="shared" si="323"/>
        <v/>
      </c>
      <c r="K1530" s="329" t="str">
        <f t="shared" si="324"/>
        <v/>
      </c>
    </row>
    <row r="1531" spans="2:11" ht="12.75" customHeight="1">
      <c r="B1531" s="92" t="str">
        <f t="shared" si="325"/>
        <v/>
      </c>
      <c r="I1531" s="329" t="str">
        <f t="shared" si="322"/>
        <v/>
      </c>
      <c r="J1531" s="329" t="str">
        <f t="shared" si="323"/>
        <v/>
      </c>
      <c r="K1531" s="329" t="str">
        <f t="shared" si="324"/>
        <v/>
      </c>
    </row>
    <row r="1532" spans="2:11" ht="12.75" customHeight="1">
      <c r="B1532" s="92" t="str">
        <f t="shared" si="325"/>
        <v/>
      </c>
      <c r="I1532" s="329" t="str">
        <f t="shared" si="322"/>
        <v/>
      </c>
      <c r="J1532" s="329" t="str">
        <f t="shared" si="323"/>
        <v/>
      </c>
      <c r="K1532" s="329" t="str">
        <f t="shared" si="324"/>
        <v/>
      </c>
    </row>
    <row r="1533" spans="2:11" ht="12.75" customHeight="1">
      <c r="B1533" s="92" t="str">
        <f t="shared" si="325"/>
        <v/>
      </c>
      <c r="I1533" s="329" t="str">
        <f t="shared" si="322"/>
        <v/>
      </c>
      <c r="J1533" s="329" t="str">
        <f t="shared" si="323"/>
        <v/>
      </c>
      <c r="K1533" s="329" t="str">
        <f t="shared" si="324"/>
        <v/>
      </c>
    </row>
    <row r="1534" spans="2:11" ht="12.75" customHeight="1">
      <c r="B1534" s="92" t="str">
        <f t="shared" si="325"/>
        <v/>
      </c>
      <c r="I1534" s="329" t="str">
        <f t="shared" ref="I1534:I1597" si="326">+IF(G1534="","",G1534*H1534)</f>
        <v/>
      </c>
      <c r="J1534" s="329" t="str">
        <f t="shared" ref="J1534:J1597" si="327">+IF(G1534="","",I1534*0.1)</f>
        <v/>
      </c>
      <c r="K1534" s="329" t="str">
        <f t="shared" ref="K1534:K1597" si="328">+IF(G1534="","",I1534+J1534)</f>
        <v/>
      </c>
    </row>
    <row r="1535" spans="2:11" ht="12.75" customHeight="1">
      <c r="B1535" s="92" t="str">
        <f t="shared" si="325"/>
        <v/>
      </c>
      <c r="I1535" s="329" t="str">
        <f t="shared" si="326"/>
        <v/>
      </c>
      <c r="J1535" s="329" t="str">
        <f t="shared" si="327"/>
        <v/>
      </c>
      <c r="K1535" s="329" t="str">
        <f t="shared" si="328"/>
        <v/>
      </c>
    </row>
    <row r="1536" spans="2:11" ht="12.75" customHeight="1">
      <c r="B1536" s="92" t="str">
        <f t="shared" si="325"/>
        <v/>
      </c>
      <c r="I1536" s="329" t="str">
        <f t="shared" si="326"/>
        <v/>
      </c>
      <c r="J1536" s="329" t="str">
        <f t="shared" si="327"/>
        <v/>
      </c>
      <c r="K1536" s="329" t="str">
        <f t="shared" si="328"/>
        <v/>
      </c>
    </row>
    <row r="1537" spans="2:11" ht="12.75" customHeight="1">
      <c r="B1537" s="92" t="str">
        <f t="shared" si="325"/>
        <v/>
      </c>
      <c r="I1537" s="329" t="str">
        <f t="shared" si="326"/>
        <v/>
      </c>
      <c r="J1537" s="329" t="str">
        <f t="shared" si="327"/>
        <v/>
      </c>
      <c r="K1537" s="329" t="str">
        <f t="shared" si="328"/>
        <v/>
      </c>
    </row>
    <row r="1538" spans="2:11" ht="12.75" customHeight="1">
      <c r="B1538" s="92" t="str">
        <f t="shared" si="325"/>
        <v/>
      </c>
      <c r="I1538" s="329" t="str">
        <f t="shared" si="326"/>
        <v/>
      </c>
      <c r="J1538" s="329" t="str">
        <f t="shared" si="327"/>
        <v/>
      </c>
      <c r="K1538" s="329" t="str">
        <f t="shared" si="328"/>
        <v/>
      </c>
    </row>
    <row r="1539" spans="2:11" ht="12.75" customHeight="1">
      <c r="B1539" s="92" t="str">
        <f t="shared" si="325"/>
        <v/>
      </c>
      <c r="I1539" s="329" t="str">
        <f t="shared" si="326"/>
        <v/>
      </c>
      <c r="J1539" s="329" t="str">
        <f t="shared" si="327"/>
        <v/>
      </c>
      <c r="K1539" s="329" t="str">
        <f t="shared" si="328"/>
        <v/>
      </c>
    </row>
    <row r="1540" spans="2:11" ht="12.75" customHeight="1">
      <c r="B1540" s="92" t="str">
        <f t="shared" si="325"/>
        <v/>
      </c>
      <c r="I1540" s="329" t="str">
        <f t="shared" si="326"/>
        <v/>
      </c>
      <c r="J1540" s="329" t="str">
        <f t="shared" si="327"/>
        <v/>
      </c>
      <c r="K1540" s="329" t="str">
        <f t="shared" si="328"/>
        <v/>
      </c>
    </row>
    <row r="1541" spans="2:11" ht="12.75" customHeight="1">
      <c r="B1541" s="92" t="str">
        <f t="shared" si="325"/>
        <v/>
      </c>
      <c r="I1541" s="329" t="str">
        <f t="shared" si="326"/>
        <v/>
      </c>
      <c r="J1541" s="329" t="str">
        <f t="shared" si="327"/>
        <v/>
      </c>
      <c r="K1541" s="329" t="str">
        <f t="shared" si="328"/>
        <v/>
      </c>
    </row>
    <row r="1542" spans="2:11" ht="12.75" customHeight="1">
      <c r="B1542" s="92" t="str">
        <f t="shared" si="325"/>
        <v/>
      </c>
      <c r="I1542" s="329" t="str">
        <f t="shared" si="326"/>
        <v/>
      </c>
      <c r="J1542" s="329" t="str">
        <f t="shared" si="327"/>
        <v/>
      </c>
      <c r="K1542" s="329" t="str">
        <f t="shared" si="328"/>
        <v/>
      </c>
    </row>
    <row r="1543" spans="2:11" ht="12.75" customHeight="1">
      <c r="B1543" s="92" t="str">
        <f t="shared" si="325"/>
        <v/>
      </c>
      <c r="I1543" s="329" t="str">
        <f t="shared" si="326"/>
        <v/>
      </c>
      <c r="J1543" s="329" t="str">
        <f t="shared" si="327"/>
        <v/>
      </c>
      <c r="K1543" s="329" t="str">
        <f t="shared" si="328"/>
        <v/>
      </c>
    </row>
    <row r="1544" spans="2:11" ht="12.75" customHeight="1">
      <c r="B1544" s="92" t="str">
        <f t="shared" si="325"/>
        <v/>
      </c>
      <c r="I1544" s="329" t="str">
        <f t="shared" si="326"/>
        <v/>
      </c>
      <c r="J1544" s="329" t="str">
        <f t="shared" si="327"/>
        <v/>
      </c>
      <c r="K1544" s="329" t="str">
        <f t="shared" si="328"/>
        <v/>
      </c>
    </row>
    <row r="1545" spans="2:11" ht="12.75" customHeight="1">
      <c r="B1545" s="92" t="str">
        <f t="shared" si="325"/>
        <v/>
      </c>
      <c r="I1545" s="329" t="str">
        <f t="shared" si="326"/>
        <v/>
      </c>
      <c r="J1545" s="329" t="str">
        <f t="shared" si="327"/>
        <v/>
      </c>
      <c r="K1545" s="329" t="str">
        <f t="shared" si="328"/>
        <v/>
      </c>
    </row>
    <row r="1546" spans="2:11" ht="12.75" customHeight="1">
      <c r="B1546" s="92" t="str">
        <f t="shared" si="325"/>
        <v/>
      </c>
      <c r="I1546" s="329" t="str">
        <f t="shared" si="326"/>
        <v/>
      </c>
      <c r="J1546" s="329" t="str">
        <f t="shared" si="327"/>
        <v/>
      </c>
      <c r="K1546" s="329" t="str">
        <f t="shared" si="328"/>
        <v/>
      </c>
    </row>
    <row r="1547" spans="2:11" ht="12.75" customHeight="1">
      <c r="B1547" s="92" t="str">
        <f t="shared" si="325"/>
        <v/>
      </c>
      <c r="I1547" s="329" t="str">
        <f t="shared" si="326"/>
        <v/>
      </c>
      <c r="J1547" s="329" t="str">
        <f t="shared" si="327"/>
        <v/>
      </c>
      <c r="K1547" s="329" t="str">
        <f t="shared" si="328"/>
        <v/>
      </c>
    </row>
    <row r="1548" spans="2:11" ht="12.75" customHeight="1">
      <c r="B1548" s="92" t="str">
        <f t="shared" si="325"/>
        <v/>
      </c>
      <c r="I1548" s="329" t="str">
        <f t="shared" si="326"/>
        <v/>
      </c>
      <c r="J1548" s="329" t="str">
        <f t="shared" si="327"/>
        <v/>
      </c>
      <c r="K1548" s="329" t="str">
        <f t="shared" si="328"/>
        <v/>
      </c>
    </row>
    <row r="1549" spans="2:11" ht="12.75" customHeight="1">
      <c r="B1549" s="92" t="str">
        <f t="shared" si="325"/>
        <v/>
      </c>
      <c r="I1549" s="329" t="str">
        <f t="shared" si="326"/>
        <v/>
      </c>
      <c r="J1549" s="329" t="str">
        <f t="shared" si="327"/>
        <v/>
      </c>
      <c r="K1549" s="329" t="str">
        <f t="shared" si="328"/>
        <v/>
      </c>
    </row>
    <row r="1550" spans="2:11" ht="12.75" customHeight="1">
      <c r="B1550" s="92" t="str">
        <f t="shared" si="325"/>
        <v/>
      </c>
      <c r="I1550" s="329" t="str">
        <f t="shared" si="326"/>
        <v/>
      </c>
      <c r="J1550" s="329" t="str">
        <f t="shared" si="327"/>
        <v/>
      </c>
      <c r="K1550" s="329" t="str">
        <f t="shared" si="328"/>
        <v/>
      </c>
    </row>
    <row r="1551" spans="2:11" ht="12.75" customHeight="1">
      <c r="B1551" s="92" t="str">
        <f t="shared" si="325"/>
        <v/>
      </c>
      <c r="I1551" s="329" t="str">
        <f t="shared" si="326"/>
        <v/>
      </c>
      <c r="J1551" s="329" t="str">
        <f t="shared" si="327"/>
        <v/>
      </c>
      <c r="K1551" s="329" t="str">
        <f t="shared" si="328"/>
        <v/>
      </c>
    </row>
    <row r="1552" spans="2:11" ht="12.75" customHeight="1">
      <c r="B1552" s="92" t="str">
        <f t="shared" si="325"/>
        <v/>
      </c>
      <c r="I1552" s="329" t="str">
        <f t="shared" si="326"/>
        <v/>
      </c>
      <c r="J1552" s="329" t="str">
        <f t="shared" si="327"/>
        <v/>
      </c>
      <c r="K1552" s="329" t="str">
        <f t="shared" si="328"/>
        <v/>
      </c>
    </row>
    <row r="1553" spans="2:11" ht="12.75" customHeight="1">
      <c r="B1553" s="92" t="str">
        <f t="shared" si="325"/>
        <v/>
      </c>
      <c r="I1553" s="329" t="str">
        <f t="shared" si="326"/>
        <v/>
      </c>
      <c r="J1553" s="329" t="str">
        <f t="shared" si="327"/>
        <v/>
      </c>
      <c r="K1553" s="329" t="str">
        <f t="shared" si="328"/>
        <v/>
      </c>
    </row>
    <row r="1554" spans="2:11" ht="12.75" customHeight="1">
      <c r="B1554" s="92" t="str">
        <f t="shared" si="325"/>
        <v/>
      </c>
      <c r="I1554" s="329" t="str">
        <f t="shared" si="326"/>
        <v/>
      </c>
      <c r="J1554" s="329" t="str">
        <f t="shared" si="327"/>
        <v/>
      </c>
      <c r="K1554" s="329" t="str">
        <f t="shared" si="328"/>
        <v/>
      </c>
    </row>
    <row r="1555" spans="2:11" ht="12.75" customHeight="1">
      <c r="B1555" s="92" t="str">
        <f t="shared" si="325"/>
        <v/>
      </c>
      <c r="I1555" s="329" t="str">
        <f t="shared" si="326"/>
        <v/>
      </c>
      <c r="J1555" s="329" t="str">
        <f t="shared" si="327"/>
        <v/>
      </c>
      <c r="K1555" s="329" t="str">
        <f t="shared" si="328"/>
        <v/>
      </c>
    </row>
    <row r="1556" spans="2:11" ht="12.75" customHeight="1">
      <c r="B1556" s="92" t="str">
        <f t="shared" si="325"/>
        <v/>
      </c>
      <c r="I1556" s="329" t="str">
        <f t="shared" si="326"/>
        <v/>
      </c>
      <c r="J1556" s="329" t="str">
        <f t="shared" si="327"/>
        <v/>
      </c>
      <c r="K1556" s="329" t="str">
        <f t="shared" si="328"/>
        <v/>
      </c>
    </row>
    <row r="1557" spans="2:11" ht="12.75" customHeight="1">
      <c r="B1557" s="92" t="str">
        <f t="shared" si="325"/>
        <v/>
      </c>
      <c r="I1557" s="329" t="str">
        <f t="shared" si="326"/>
        <v/>
      </c>
      <c r="J1557" s="329" t="str">
        <f t="shared" si="327"/>
        <v/>
      </c>
      <c r="K1557" s="329" t="str">
        <f t="shared" si="328"/>
        <v/>
      </c>
    </row>
    <row r="1558" spans="2:11" ht="12.75" customHeight="1">
      <c r="B1558" s="92" t="str">
        <f t="shared" si="325"/>
        <v/>
      </c>
      <c r="I1558" s="329" t="str">
        <f t="shared" si="326"/>
        <v/>
      </c>
      <c r="J1558" s="329" t="str">
        <f t="shared" si="327"/>
        <v/>
      </c>
      <c r="K1558" s="329" t="str">
        <f t="shared" si="328"/>
        <v/>
      </c>
    </row>
    <row r="1559" spans="2:11" ht="12.75" customHeight="1">
      <c r="B1559" s="92" t="str">
        <f t="shared" si="325"/>
        <v/>
      </c>
      <c r="I1559" s="329" t="str">
        <f t="shared" si="326"/>
        <v/>
      </c>
      <c r="J1559" s="329" t="str">
        <f t="shared" si="327"/>
        <v/>
      </c>
      <c r="K1559" s="329" t="str">
        <f t="shared" si="328"/>
        <v/>
      </c>
    </row>
    <row r="1560" spans="2:11" ht="12.75" customHeight="1">
      <c r="B1560" s="92" t="str">
        <f t="shared" si="325"/>
        <v/>
      </c>
      <c r="I1560" s="329" t="str">
        <f t="shared" si="326"/>
        <v/>
      </c>
      <c r="J1560" s="329" t="str">
        <f t="shared" si="327"/>
        <v/>
      </c>
      <c r="K1560" s="329" t="str">
        <f t="shared" si="328"/>
        <v/>
      </c>
    </row>
    <row r="1561" spans="2:11" ht="12.75" customHeight="1">
      <c r="B1561" s="92" t="str">
        <f t="shared" si="325"/>
        <v/>
      </c>
      <c r="I1561" s="329" t="str">
        <f t="shared" si="326"/>
        <v/>
      </c>
      <c r="J1561" s="329" t="str">
        <f t="shared" si="327"/>
        <v/>
      </c>
      <c r="K1561" s="329" t="str">
        <f t="shared" si="328"/>
        <v/>
      </c>
    </row>
    <row r="1562" spans="2:11" ht="12.75" customHeight="1">
      <c r="B1562" s="92" t="str">
        <f t="shared" si="325"/>
        <v/>
      </c>
      <c r="I1562" s="329" t="str">
        <f t="shared" si="326"/>
        <v/>
      </c>
      <c r="J1562" s="329" t="str">
        <f t="shared" si="327"/>
        <v/>
      </c>
      <c r="K1562" s="329" t="str">
        <f t="shared" si="328"/>
        <v/>
      </c>
    </row>
    <row r="1563" spans="2:11" ht="12.75" customHeight="1">
      <c r="B1563" s="92" t="str">
        <f t="shared" si="325"/>
        <v/>
      </c>
      <c r="I1563" s="329" t="str">
        <f t="shared" si="326"/>
        <v/>
      </c>
      <c r="J1563" s="329" t="str">
        <f t="shared" si="327"/>
        <v/>
      </c>
      <c r="K1563" s="329" t="str">
        <f t="shared" si="328"/>
        <v/>
      </c>
    </row>
    <row r="1564" spans="2:11" ht="12.75" customHeight="1">
      <c r="B1564" s="92" t="str">
        <f t="shared" si="325"/>
        <v/>
      </c>
      <c r="I1564" s="329" t="str">
        <f t="shared" si="326"/>
        <v/>
      </c>
      <c r="J1564" s="329" t="str">
        <f t="shared" si="327"/>
        <v/>
      </c>
      <c r="K1564" s="329" t="str">
        <f t="shared" si="328"/>
        <v/>
      </c>
    </row>
    <row r="1565" spans="2:11" ht="12.75" customHeight="1">
      <c r="B1565" s="92" t="str">
        <f t="shared" si="325"/>
        <v/>
      </c>
      <c r="I1565" s="329" t="str">
        <f t="shared" si="326"/>
        <v/>
      </c>
      <c r="J1565" s="329" t="str">
        <f t="shared" si="327"/>
        <v/>
      </c>
      <c r="K1565" s="329" t="str">
        <f t="shared" si="328"/>
        <v/>
      </c>
    </row>
    <row r="1566" spans="2:11" ht="12.75" customHeight="1">
      <c r="B1566" s="92" t="str">
        <f t="shared" si="325"/>
        <v/>
      </c>
      <c r="I1566" s="329" t="str">
        <f t="shared" si="326"/>
        <v/>
      </c>
      <c r="J1566" s="329" t="str">
        <f t="shared" si="327"/>
        <v/>
      </c>
      <c r="K1566" s="329" t="str">
        <f t="shared" si="328"/>
        <v/>
      </c>
    </row>
    <row r="1567" spans="2:11" ht="12.75" customHeight="1">
      <c r="B1567" s="92" t="str">
        <f t="shared" si="325"/>
        <v/>
      </c>
      <c r="I1567" s="329" t="str">
        <f t="shared" si="326"/>
        <v/>
      </c>
      <c r="J1567" s="329" t="str">
        <f t="shared" si="327"/>
        <v/>
      </c>
      <c r="K1567" s="329" t="str">
        <f t="shared" si="328"/>
        <v/>
      </c>
    </row>
    <row r="1568" spans="2:11" ht="12.75" customHeight="1">
      <c r="B1568" s="92" t="str">
        <f t="shared" si="325"/>
        <v/>
      </c>
      <c r="I1568" s="329" t="str">
        <f t="shared" si="326"/>
        <v/>
      </c>
      <c r="J1568" s="329" t="str">
        <f t="shared" si="327"/>
        <v/>
      </c>
      <c r="K1568" s="329" t="str">
        <f t="shared" si="328"/>
        <v/>
      </c>
    </row>
    <row r="1569" spans="2:11" ht="12.75" customHeight="1">
      <c r="B1569" s="92" t="str">
        <f t="shared" si="325"/>
        <v/>
      </c>
      <c r="I1569" s="329" t="str">
        <f t="shared" si="326"/>
        <v/>
      </c>
      <c r="J1569" s="329" t="str">
        <f t="shared" si="327"/>
        <v/>
      </c>
      <c r="K1569" s="329" t="str">
        <f t="shared" si="328"/>
        <v/>
      </c>
    </row>
    <row r="1570" spans="2:11" ht="12.75" customHeight="1">
      <c r="B1570" s="92" t="str">
        <f t="shared" si="325"/>
        <v/>
      </c>
      <c r="I1570" s="329" t="str">
        <f t="shared" si="326"/>
        <v/>
      </c>
      <c r="J1570" s="329" t="str">
        <f t="shared" si="327"/>
        <v/>
      </c>
      <c r="K1570" s="329" t="str">
        <f t="shared" si="328"/>
        <v/>
      </c>
    </row>
    <row r="1571" spans="2:11" ht="12.75" customHeight="1">
      <c r="B1571" s="92" t="str">
        <f t="shared" si="325"/>
        <v/>
      </c>
      <c r="I1571" s="329" t="str">
        <f t="shared" si="326"/>
        <v/>
      </c>
      <c r="J1571" s="329" t="str">
        <f t="shared" si="327"/>
        <v/>
      </c>
      <c r="K1571" s="329" t="str">
        <f t="shared" si="328"/>
        <v/>
      </c>
    </row>
    <row r="1572" spans="2:11" ht="12.75" customHeight="1">
      <c r="B1572" s="92" t="str">
        <f t="shared" si="325"/>
        <v/>
      </c>
      <c r="I1572" s="329" t="str">
        <f t="shared" si="326"/>
        <v/>
      </c>
      <c r="J1572" s="329" t="str">
        <f t="shared" si="327"/>
        <v/>
      </c>
      <c r="K1572" s="329" t="str">
        <f t="shared" si="328"/>
        <v/>
      </c>
    </row>
    <row r="1573" spans="2:11" ht="12.75" customHeight="1">
      <c r="B1573" s="92" t="str">
        <f t="shared" si="325"/>
        <v/>
      </c>
      <c r="I1573" s="329" t="str">
        <f t="shared" si="326"/>
        <v/>
      </c>
      <c r="J1573" s="329" t="str">
        <f t="shared" si="327"/>
        <v/>
      </c>
      <c r="K1573" s="329" t="str">
        <f t="shared" si="328"/>
        <v/>
      </c>
    </row>
    <row r="1574" spans="2:11" ht="12.75" customHeight="1">
      <c r="B1574" s="92" t="str">
        <f t="shared" si="325"/>
        <v/>
      </c>
      <c r="I1574" s="329" t="str">
        <f t="shared" si="326"/>
        <v/>
      </c>
      <c r="J1574" s="329" t="str">
        <f t="shared" si="327"/>
        <v/>
      </c>
      <c r="K1574" s="329" t="str">
        <f t="shared" si="328"/>
        <v/>
      </c>
    </row>
    <row r="1575" spans="2:11" ht="12.75" customHeight="1">
      <c r="B1575" s="92" t="str">
        <f t="shared" si="325"/>
        <v/>
      </c>
      <c r="I1575" s="329" t="str">
        <f t="shared" si="326"/>
        <v/>
      </c>
      <c r="J1575" s="329" t="str">
        <f t="shared" si="327"/>
        <v/>
      </c>
      <c r="K1575" s="329" t="str">
        <f t="shared" si="328"/>
        <v/>
      </c>
    </row>
    <row r="1576" spans="2:11" ht="12.75" customHeight="1">
      <c r="B1576" s="92" t="str">
        <f t="shared" si="325"/>
        <v/>
      </c>
      <c r="I1576" s="329" t="str">
        <f t="shared" si="326"/>
        <v/>
      </c>
      <c r="J1576" s="329" t="str">
        <f t="shared" si="327"/>
        <v/>
      </c>
      <c r="K1576" s="329" t="str">
        <f t="shared" si="328"/>
        <v/>
      </c>
    </row>
    <row r="1577" spans="2:11" ht="12.75" customHeight="1">
      <c r="B1577" s="92" t="str">
        <f t="shared" si="325"/>
        <v/>
      </c>
      <c r="I1577" s="329" t="str">
        <f t="shared" si="326"/>
        <v/>
      </c>
      <c r="J1577" s="329" t="str">
        <f t="shared" si="327"/>
        <v/>
      </c>
      <c r="K1577" s="329" t="str">
        <f t="shared" si="328"/>
        <v/>
      </c>
    </row>
    <row r="1578" spans="2:11" ht="12.75" customHeight="1">
      <c r="B1578" s="92" t="str">
        <f t="shared" si="325"/>
        <v/>
      </c>
      <c r="I1578" s="329" t="str">
        <f t="shared" si="326"/>
        <v/>
      </c>
      <c r="J1578" s="329" t="str">
        <f t="shared" si="327"/>
        <v/>
      </c>
      <c r="K1578" s="329" t="str">
        <f t="shared" si="328"/>
        <v/>
      </c>
    </row>
    <row r="1579" spans="2:11" ht="12.75" customHeight="1">
      <c r="B1579" s="92" t="str">
        <f t="shared" si="325"/>
        <v/>
      </c>
      <c r="I1579" s="329" t="str">
        <f t="shared" si="326"/>
        <v/>
      </c>
      <c r="J1579" s="329" t="str">
        <f t="shared" si="327"/>
        <v/>
      </c>
      <c r="K1579" s="329" t="str">
        <f t="shared" si="328"/>
        <v/>
      </c>
    </row>
    <row r="1580" spans="2:11" ht="12.75" customHeight="1">
      <c r="B1580" s="92" t="str">
        <f t="shared" si="325"/>
        <v/>
      </c>
      <c r="I1580" s="329" t="str">
        <f t="shared" si="326"/>
        <v/>
      </c>
      <c r="J1580" s="329" t="str">
        <f t="shared" si="327"/>
        <v/>
      </c>
      <c r="K1580" s="329" t="str">
        <f t="shared" si="328"/>
        <v/>
      </c>
    </row>
    <row r="1581" spans="2:11" ht="12.75" customHeight="1">
      <c r="B1581" s="92" t="str">
        <f t="shared" si="325"/>
        <v/>
      </c>
      <c r="I1581" s="329" t="str">
        <f t="shared" si="326"/>
        <v/>
      </c>
      <c r="J1581" s="329" t="str">
        <f t="shared" si="327"/>
        <v/>
      </c>
      <c r="K1581" s="329" t="str">
        <f t="shared" si="328"/>
        <v/>
      </c>
    </row>
    <row r="1582" spans="2:11" ht="12.75" customHeight="1">
      <c r="B1582" s="92" t="str">
        <f t="shared" ref="B1582:B1645" si="329">IF(C1582="","",ROW()-5)</f>
        <v/>
      </c>
      <c r="I1582" s="329" t="str">
        <f t="shared" si="326"/>
        <v/>
      </c>
      <c r="J1582" s="329" t="str">
        <f t="shared" si="327"/>
        <v/>
      </c>
      <c r="K1582" s="329" t="str">
        <f t="shared" si="328"/>
        <v/>
      </c>
    </row>
    <row r="1583" spans="2:11" ht="12.75" customHeight="1">
      <c r="B1583" s="92" t="str">
        <f t="shared" si="329"/>
        <v/>
      </c>
      <c r="I1583" s="329" t="str">
        <f t="shared" si="326"/>
        <v/>
      </c>
      <c r="J1583" s="329" t="str">
        <f t="shared" si="327"/>
        <v/>
      </c>
      <c r="K1583" s="329" t="str">
        <f t="shared" si="328"/>
        <v/>
      </c>
    </row>
    <row r="1584" spans="2:11" ht="12.75" customHeight="1">
      <c r="B1584" s="92" t="str">
        <f t="shared" si="329"/>
        <v/>
      </c>
      <c r="I1584" s="329" t="str">
        <f t="shared" si="326"/>
        <v/>
      </c>
      <c r="J1584" s="329" t="str">
        <f t="shared" si="327"/>
        <v/>
      </c>
      <c r="K1584" s="329" t="str">
        <f t="shared" si="328"/>
        <v/>
      </c>
    </row>
    <row r="1585" spans="2:11" ht="12.75" customHeight="1">
      <c r="B1585" s="92" t="str">
        <f t="shared" si="329"/>
        <v/>
      </c>
      <c r="I1585" s="329" t="str">
        <f t="shared" si="326"/>
        <v/>
      </c>
      <c r="J1585" s="329" t="str">
        <f t="shared" si="327"/>
        <v/>
      </c>
      <c r="K1585" s="329" t="str">
        <f t="shared" si="328"/>
        <v/>
      </c>
    </row>
    <row r="1586" spans="2:11" ht="12.75" customHeight="1">
      <c r="B1586" s="92" t="str">
        <f t="shared" si="329"/>
        <v/>
      </c>
      <c r="I1586" s="329" t="str">
        <f t="shared" si="326"/>
        <v/>
      </c>
      <c r="J1586" s="329" t="str">
        <f t="shared" si="327"/>
        <v/>
      </c>
      <c r="K1586" s="329" t="str">
        <f t="shared" si="328"/>
        <v/>
      </c>
    </row>
    <row r="1587" spans="2:11" ht="12.75" customHeight="1">
      <c r="B1587" s="92" t="str">
        <f t="shared" si="329"/>
        <v/>
      </c>
      <c r="I1587" s="329" t="str">
        <f t="shared" si="326"/>
        <v/>
      </c>
      <c r="J1587" s="329" t="str">
        <f t="shared" si="327"/>
        <v/>
      </c>
      <c r="K1587" s="329" t="str">
        <f t="shared" si="328"/>
        <v/>
      </c>
    </row>
    <row r="1588" spans="2:11" ht="12.75" customHeight="1">
      <c r="B1588" s="92" t="str">
        <f t="shared" si="329"/>
        <v/>
      </c>
      <c r="I1588" s="329" t="str">
        <f t="shared" si="326"/>
        <v/>
      </c>
      <c r="J1588" s="329" t="str">
        <f t="shared" si="327"/>
        <v/>
      </c>
      <c r="K1588" s="329" t="str">
        <f t="shared" si="328"/>
        <v/>
      </c>
    </row>
    <row r="1589" spans="2:11" ht="12.75" customHeight="1">
      <c r="B1589" s="92" t="str">
        <f t="shared" si="329"/>
        <v/>
      </c>
      <c r="I1589" s="329" t="str">
        <f t="shared" si="326"/>
        <v/>
      </c>
      <c r="J1589" s="329" t="str">
        <f t="shared" si="327"/>
        <v/>
      </c>
      <c r="K1589" s="329" t="str">
        <f t="shared" si="328"/>
        <v/>
      </c>
    </row>
    <row r="1590" spans="2:11" ht="12.75" customHeight="1">
      <c r="B1590" s="92" t="str">
        <f t="shared" si="329"/>
        <v/>
      </c>
      <c r="I1590" s="329" t="str">
        <f t="shared" si="326"/>
        <v/>
      </c>
      <c r="J1590" s="329" t="str">
        <f t="shared" si="327"/>
        <v/>
      </c>
      <c r="K1590" s="329" t="str">
        <f t="shared" si="328"/>
        <v/>
      </c>
    </row>
    <row r="1591" spans="2:11" ht="12.75" customHeight="1">
      <c r="B1591" s="92" t="str">
        <f t="shared" si="329"/>
        <v/>
      </c>
      <c r="I1591" s="329" t="str">
        <f t="shared" si="326"/>
        <v/>
      </c>
      <c r="J1591" s="329" t="str">
        <f t="shared" si="327"/>
        <v/>
      </c>
      <c r="K1591" s="329" t="str">
        <f t="shared" si="328"/>
        <v/>
      </c>
    </row>
    <row r="1592" spans="2:11" ht="12.75" customHeight="1">
      <c r="B1592" s="92" t="str">
        <f t="shared" si="329"/>
        <v/>
      </c>
      <c r="I1592" s="329" t="str">
        <f t="shared" si="326"/>
        <v/>
      </c>
      <c r="J1592" s="329" t="str">
        <f t="shared" si="327"/>
        <v/>
      </c>
      <c r="K1592" s="329" t="str">
        <f t="shared" si="328"/>
        <v/>
      </c>
    </row>
    <row r="1593" spans="2:11" ht="12.75" customHeight="1">
      <c r="B1593" s="92" t="str">
        <f t="shared" si="329"/>
        <v/>
      </c>
      <c r="I1593" s="329" t="str">
        <f t="shared" si="326"/>
        <v/>
      </c>
      <c r="J1593" s="329" t="str">
        <f t="shared" si="327"/>
        <v/>
      </c>
      <c r="K1593" s="329" t="str">
        <f t="shared" si="328"/>
        <v/>
      </c>
    </row>
    <row r="1594" spans="2:11" ht="12.75" customHeight="1">
      <c r="B1594" s="92" t="str">
        <f t="shared" si="329"/>
        <v/>
      </c>
      <c r="I1594" s="329" t="str">
        <f t="shared" si="326"/>
        <v/>
      </c>
      <c r="J1594" s="329" t="str">
        <f t="shared" si="327"/>
        <v/>
      </c>
      <c r="K1594" s="329" t="str">
        <f t="shared" si="328"/>
        <v/>
      </c>
    </row>
    <row r="1595" spans="2:11" ht="12.75" customHeight="1">
      <c r="B1595" s="92" t="str">
        <f t="shared" si="329"/>
        <v/>
      </c>
      <c r="I1595" s="329" t="str">
        <f t="shared" si="326"/>
        <v/>
      </c>
      <c r="J1595" s="329" t="str">
        <f t="shared" si="327"/>
        <v/>
      </c>
      <c r="K1595" s="329" t="str">
        <f t="shared" si="328"/>
        <v/>
      </c>
    </row>
    <row r="1596" spans="2:11" ht="12.75" customHeight="1">
      <c r="B1596" s="92" t="str">
        <f t="shared" si="329"/>
        <v/>
      </c>
      <c r="I1596" s="329" t="str">
        <f t="shared" si="326"/>
        <v/>
      </c>
      <c r="J1596" s="329" t="str">
        <f t="shared" si="327"/>
        <v/>
      </c>
      <c r="K1596" s="329" t="str">
        <f t="shared" si="328"/>
        <v/>
      </c>
    </row>
    <row r="1597" spans="2:11" ht="12.75" customHeight="1">
      <c r="B1597" s="92" t="str">
        <f t="shared" si="329"/>
        <v/>
      </c>
      <c r="I1597" s="329" t="str">
        <f t="shared" si="326"/>
        <v/>
      </c>
      <c r="J1597" s="329" t="str">
        <f t="shared" si="327"/>
        <v/>
      </c>
      <c r="K1597" s="329" t="str">
        <f t="shared" si="328"/>
        <v/>
      </c>
    </row>
    <row r="1598" spans="2:11" ht="12.75" customHeight="1">
      <c r="B1598" s="92" t="str">
        <f t="shared" si="329"/>
        <v/>
      </c>
      <c r="I1598" s="329" t="str">
        <f t="shared" ref="I1598:I1661" si="330">+IF(G1598="","",G1598*H1598)</f>
        <v/>
      </c>
      <c r="J1598" s="329" t="str">
        <f t="shared" ref="J1598:J1661" si="331">+IF(G1598="","",I1598*0.1)</f>
        <v/>
      </c>
      <c r="K1598" s="329" t="str">
        <f t="shared" ref="K1598:K1661" si="332">+IF(G1598="","",I1598+J1598)</f>
        <v/>
      </c>
    </row>
    <row r="1599" spans="2:11" ht="12.75" customHeight="1">
      <c r="B1599" s="92" t="str">
        <f t="shared" si="329"/>
        <v/>
      </c>
      <c r="I1599" s="329" t="str">
        <f t="shared" si="330"/>
        <v/>
      </c>
      <c r="J1599" s="329" t="str">
        <f t="shared" si="331"/>
        <v/>
      </c>
      <c r="K1599" s="329" t="str">
        <f t="shared" si="332"/>
        <v/>
      </c>
    </row>
    <row r="1600" spans="2:11" ht="12.75" customHeight="1">
      <c r="B1600" s="92" t="str">
        <f t="shared" si="329"/>
        <v/>
      </c>
      <c r="I1600" s="329" t="str">
        <f t="shared" si="330"/>
        <v/>
      </c>
      <c r="J1600" s="329" t="str">
        <f t="shared" si="331"/>
        <v/>
      </c>
      <c r="K1600" s="329" t="str">
        <f t="shared" si="332"/>
        <v/>
      </c>
    </row>
    <row r="1601" spans="2:11" ht="12.75" customHeight="1">
      <c r="B1601" s="92" t="str">
        <f t="shared" si="329"/>
        <v/>
      </c>
      <c r="I1601" s="329" t="str">
        <f t="shared" si="330"/>
        <v/>
      </c>
      <c r="J1601" s="329" t="str">
        <f t="shared" si="331"/>
        <v/>
      </c>
      <c r="K1601" s="329" t="str">
        <f t="shared" si="332"/>
        <v/>
      </c>
    </row>
    <row r="1602" spans="2:11" ht="12.75" customHeight="1">
      <c r="B1602" s="92" t="str">
        <f t="shared" si="329"/>
        <v/>
      </c>
      <c r="I1602" s="329" t="str">
        <f t="shared" si="330"/>
        <v/>
      </c>
      <c r="J1602" s="329" t="str">
        <f t="shared" si="331"/>
        <v/>
      </c>
      <c r="K1602" s="329" t="str">
        <f t="shared" si="332"/>
        <v/>
      </c>
    </row>
    <row r="1603" spans="2:11" ht="12.75" customHeight="1">
      <c r="B1603" s="92" t="str">
        <f t="shared" si="329"/>
        <v/>
      </c>
      <c r="I1603" s="329" t="str">
        <f t="shared" si="330"/>
        <v/>
      </c>
      <c r="J1603" s="329" t="str">
        <f t="shared" si="331"/>
        <v/>
      </c>
      <c r="K1603" s="329" t="str">
        <f t="shared" si="332"/>
        <v/>
      </c>
    </row>
    <row r="1604" spans="2:11" ht="12.75" customHeight="1">
      <c r="B1604" s="92" t="str">
        <f t="shared" si="329"/>
        <v/>
      </c>
      <c r="I1604" s="329" t="str">
        <f t="shared" si="330"/>
        <v/>
      </c>
      <c r="J1604" s="329" t="str">
        <f t="shared" si="331"/>
        <v/>
      </c>
      <c r="K1604" s="329" t="str">
        <f t="shared" si="332"/>
        <v/>
      </c>
    </row>
    <row r="1605" spans="2:11" ht="12.75" customHeight="1">
      <c r="B1605" s="92" t="str">
        <f t="shared" si="329"/>
        <v/>
      </c>
      <c r="I1605" s="329" t="str">
        <f t="shared" si="330"/>
        <v/>
      </c>
      <c r="J1605" s="329" t="str">
        <f t="shared" si="331"/>
        <v/>
      </c>
      <c r="K1605" s="329" t="str">
        <f t="shared" si="332"/>
        <v/>
      </c>
    </row>
    <row r="1606" spans="2:11" ht="12.75" customHeight="1">
      <c r="B1606" s="92" t="str">
        <f t="shared" si="329"/>
        <v/>
      </c>
      <c r="I1606" s="329" t="str">
        <f t="shared" si="330"/>
        <v/>
      </c>
      <c r="J1606" s="329" t="str">
        <f t="shared" si="331"/>
        <v/>
      </c>
      <c r="K1606" s="329" t="str">
        <f t="shared" si="332"/>
        <v/>
      </c>
    </row>
    <row r="1607" spans="2:11" ht="12.75" customHeight="1">
      <c r="B1607" s="92" t="str">
        <f t="shared" si="329"/>
        <v/>
      </c>
      <c r="I1607" s="329" t="str">
        <f t="shared" si="330"/>
        <v/>
      </c>
      <c r="J1607" s="329" t="str">
        <f t="shared" si="331"/>
        <v/>
      </c>
      <c r="K1607" s="329" t="str">
        <f t="shared" si="332"/>
        <v/>
      </c>
    </row>
    <row r="1608" spans="2:11" ht="12.75" customHeight="1">
      <c r="B1608" s="92" t="str">
        <f t="shared" si="329"/>
        <v/>
      </c>
      <c r="I1608" s="329" t="str">
        <f t="shared" si="330"/>
        <v/>
      </c>
      <c r="J1608" s="329" t="str">
        <f t="shared" si="331"/>
        <v/>
      </c>
      <c r="K1608" s="329" t="str">
        <f t="shared" si="332"/>
        <v/>
      </c>
    </row>
    <row r="1609" spans="2:11" ht="12.75" customHeight="1">
      <c r="B1609" s="92" t="str">
        <f t="shared" si="329"/>
        <v/>
      </c>
      <c r="I1609" s="329" t="str">
        <f t="shared" si="330"/>
        <v/>
      </c>
      <c r="J1609" s="329" t="str">
        <f t="shared" si="331"/>
        <v/>
      </c>
      <c r="K1609" s="329" t="str">
        <f t="shared" si="332"/>
        <v/>
      </c>
    </row>
    <row r="1610" spans="2:11" ht="12.75" customHeight="1">
      <c r="B1610" s="92" t="str">
        <f t="shared" si="329"/>
        <v/>
      </c>
      <c r="I1610" s="329" t="str">
        <f t="shared" si="330"/>
        <v/>
      </c>
      <c r="J1610" s="329" t="str">
        <f t="shared" si="331"/>
        <v/>
      </c>
      <c r="K1610" s="329" t="str">
        <f t="shared" si="332"/>
        <v/>
      </c>
    </row>
    <row r="1611" spans="2:11" ht="12.75" customHeight="1">
      <c r="B1611" s="92" t="str">
        <f t="shared" si="329"/>
        <v/>
      </c>
      <c r="I1611" s="329" t="str">
        <f t="shared" si="330"/>
        <v/>
      </c>
      <c r="J1611" s="329" t="str">
        <f t="shared" si="331"/>
        <v/>
      </c>
      <c r="K1611" s="329" t="str">
        <f t="shared" si="332"/>
        <v/>
      </c>
    </row>
    <row r="1612" spans="2:11" ht="12.75" customHeight="1">
      <c r="B1612" s="92" t="str">
        <f t="shared" si="329"/>
        <v/>
      </c>
      <c r="I1612" s="329" t="str">
        <f t="shared" si="330"/>
        <v/>
      </c>
      <c r="J1612" s="329" t="str">
        <f t="shared" si="331"/>
        <v/>
      </c>
      <c r="K1612" s="329" t="str">
        <f t="shared" si="332"/>
        <v/>
      </c>
    </row>
    <row r="1613" spans="2:11" ht="12.75" customHeight="1">
      <c r="B1613" s="92" t="str">
        <f t="shared" si="329"/>
        <v/>
      </c>
      <c r="I1613" s="329" t="str">
        <f t="shared" si="330"/>
        <v/>
      </c>
      <c r="J1613" s="329" t="str">
        <f t="shared" si="331"/>
        <v/>
      </c>
      <c r="K1613" s="329" t="str">
        <f t="shared" si="332"/>
        <v/>
      </c>
    </row>
    <row r="1614" spans="2:11" ht="12.75" customHeight="1">
      <c r="B1614" s="92" t="str">
        <f t="shared" si="329"/>
        <v/>
      </c>
      <c r="I1614" s="329" t="str">
        <f t="shared" si="330"/>
        <v/>
      </c>
      <c r="J1614" s="329" t="str">
        <f t="shared" si="331"/>
        <v/>
      </c>
      <c r="K1614" s="329" t="str">
        <f t="shared" si="332"/>
        <v/>
      </c>
    </row>
    <row r="1615" spans="2:11" ht="12.75" customHeight="1">
      <c r="B1615" s="92" t="str">
        <f t="shared" si="329"/>
        <v/>
      </c>
      <c r="I1615" s="329" t="str">
        <f t="shared" si="330"/>
        <v/>
      </c>
      <c r="J1615" s="329" t="str">
        <f t="shared" si="331"/>
        <v/>
      </c>
      <c r="K1615" s="329" t="str">
        <f t="shared" si="332"/>
        <v/>
      </c>
    </row>
    <row r="1616" spans="2:11" ht="12.75" customHeight="1">
      <c r="B1616" s="92" t="str">
        <f t="shared" si="329"/>
        <v/>
      </c>
      <c r="I1616" s="329" t="str">
        <f t="shared" si="330"/>
        <v/>
      </c>
      <c r="J1616" s="329" t="str">
        <f t="shared" si="331"/>
        <v/>
      </c>
      <c r="K1616" s="329" t="str">
        <f t="shared" si="332"/>
        <v/>
      </c>
    </row>
    <row r="1617" spans="2:11" ht="12.75" customHeight="1">
      <c r="B1617" s="92" t="str">
        <f t="shared" si="329"/>
        <v/>
      </c>
      <c r="I1617" s="329" t="str">
        <f t="shared" si="330"/>
        <v/>
      </c>
      <c r="J1617" s="329" t="str">
        <f t="shared" si="331"/>
        <v/>
      </c>
      <c r="K1617" s="329" t="str">
        <f t="shared" si="332"/>
        <v/>
      </c>
    </row>
    <row r="1618" spans="2:11" ht="12.75" customHeight="1">
      <c r="B1618" s="92" t="str">
        <f t="shared" si="329"/>
        <v/>
      </c>
      <c r="I1618" s="329" t="str">
        <f t="shared" si="330"/>
        <v/>
      </c>
      <c r="J1618" s="329" t="str">
        <f t="shared" si="331"/>
        <v/>
      </c>
      <c r="K1618" s="329" t="str">
        <f t="shared" si="332"/>
        <v/>
      </c>
    </row>
    <row r="1619" spans="2:11" ht="12.75" customHeight="1">
      <c r="B1619" s="92" t="str">
        <f t="shared" si="329"/>
        <v/>
      </c>
      <c r="I1619" s="329" t="str">
        <f t="shared" si="330"/>
        <v/>
      </c>
      <c r="J1619" s="329" t="str">
        <f t="shared" si="331"/>
        <v/>
      </c>
      <c r="K1619" s="329" t="str">
        <f t="shared" si="332"/>
        <v/>
      </c>
    </row>
    <row r="1620" spans="2:11" ht="12.75" customHeight="1">
      <c r="B1620" s="92" t="str">
        <f t="shared" si="329"/>
        <v/>
      </c>
      <c r="I1620" s="329" t="str">
        <f t="shared" si="330"/>
        <v/>
      </c>
      <c r="J1620" s="329" t="str">
        <f t="shared" si="331"/>
        <v/>
      </c>
      <c r="K1620" s="329" t="str">
        <f t="shared" si="332"/>
        <v/>
      </c>
    </row>
    <row r="1621" spans="2:11" ht="12.75" customHeight="1">
      <c r="B1621" s="92" t="str">
        <f t="shared" si="329"/>
        <v/>
      </c>
      <c r="I1621" s="329" t="str">
        <f t="shared" si="330"/>
        <v/>
      </c>
      <c r="J1621" s="329" t="str">
        <f t="shared" si="331"/>
        <v/>
      </c>
      <c r="K1621" s="329" t="str">
        <f t="shared" si="332"/>
        <v/>
      </c>
    </row>
    <row r="1622" spans="2:11" ht="12.75" customHeight="1">
      <c r="B1622" s="92" t="str">
        <f t="shared" si="329"/>
        <v/>
      </c>
      <c r="I1622" s="329" t="str">
        <f t="shared" si="330"/>
        <v/>
      </c>
      <c r="J1622" s="329" t="str">
        <f t="shared" si="331"/>
        <v/>
      </c>
      <c r="K1622" s="329" t="str">
        <f t="shared" si="332"/>
        <v/>
      </c>
    </row>
    <row r="1623" spans="2:11" ht="12.75" customHeight="1">
      <c r="B1623" s="92" t="str">
        <f t="shared" si="329"/>
        <v/>
      </c>
      <c r="I1623" s="329" t="str">
        <f t="shared" si="330"/>
        <v/>
      </c>
      <c r="J1623" s="329" t="str">
        <f t="shared" si="331"/>
        <v/>
      </c>
      <c r="K1623" s="329" t="str">
        <f t="shared" si="332"/>
        <v/>
      </c>
    </row>
    <row r="1624" spans="2:11" ht="12.75" customHeight="1">
      <c r="B1624" s="92" t="str">
        <f t="shared" si="329"/>
        <v/>
      </c>
      <c r="I1624" s="329" t="str">
        <f t="shared" si="330"/>
        <v/>
      </c>
      <c r="J1624" s="329" t="str">
        <f t="shared" si="331"/>
        <v/>
      </c>
      <c r="K1624" s="329" t="str">
        <f t="shared" si="332"/>
        <v/>
      </c>
    </row>
    <row r="1625" spans="2:11" ht="12.75" customHeight="1">
      <c r="B1625" s="92" t="str">
        <f t="shared" si="329"/>
        <v/>
      </c>
      <c r="I1625" s="329" t="str">
        <f t="shared" si="330"/>
        <v/>
      </c>
      <c r="J1625" s="329" t="str">
        <f t="shared" si="331"/>
        <v/>
      </c>
      <c r="K1625" s="329" t="str">
        <f t="shared" si="332"/>
        <v/>
      </c>
    </row>
    <row r="1626" spans="2:11" ht="12.75" customHeight="1">
      <c r="B1626" s="92" t="str">
        <f t="shared" si="329"/>
        <v/>
      </c>
      <c r="I1626" s="329" t="str">
        <f t="shared" si="330"/>
        <v/>
      </c>
      <c r="J1626" s="329" t="str">
        <f t="shared" si="331"/>
        <v/>
      </c>
      <c r="K1626" s="329" t="str">
        <f t="shared" si="332"/>
        <v/>
      </c>
    </row>
    <row r="1627" spans="2:11" ht="12.75" customHeight="1">
      <c r="B1627" s="92" t="str">
        <f t="shared" si="329"/>
        <v/>
      </c>
      <c r="I1627" s="329" t="str">
        <f t="shared" si="330"/>
        <v/>
      </c>
      <c r="J1627" s="329" t="str">
        <f t="shared" si="331"/>
        <v/>
      </c>
      <c r="K1627" s="329" t="str">
        <f t="shared" si="332"/>
        <v/>
      </c>
    </row>
    <row r="1628" spans="2:11" ht="12.75" customHeight="1">
      <c r="B1628" s="92" t="str">
        <f t="shared" si="329"/>
        <v/>
      </c>
      <c r="I1628" s="329" t="str">
        <f t="shared" si="330"/>
        <v/>
      </c>
      <c r="J1628" s="329" t="str">
        <f t="shared" si="331"/>
        <v/>
      </c>
      <c r="K1628" s="329" t="str">
        <f t="shared" si="332"/>
        <v/>
      </c>
    </row>
    <row r="1629" spans="2:11" ht="12.75" customHeight="1">
      <c r="B1629" s="92" t="str">
        <f t="shared" si="329"/>
        <v/>
      </c>
      <c r="I1629" s="329" t="str">
        <f t="shared" si="330"/>
        <v/>
      </c>
      <c r="J1629" s="329" t="str">
        <f t="shared" si="331"/>
        <v/>
      </c>
      <c r="K1629" s="329" t="str">
        <f t="shared" si="332"/>
        <v/>
      </c>
    </row>
    <row r="1630" spans="2:11" ht="12.75" customHeight="1">
      <c r="B1630" s="92" t="str">
        <f t="shared" si="329"/>
        <v/>
      </c>
      <c r="I1630" s="329" t="str">
        <f t="shared" si="330"/>
        <v/>
      </c>
      <c r="J1630" s="329" t="str">
        <f t="shared" si="331"/>
        <v/>
      </c>
      <c r="K1630" s="329" t="str">
        <f t="shared" si="332"/>
        <v/>
      </c>
    </row>
    <row r="1631" spans="2:11" ht="12.75" customHeight="1">
      <c r="B1631" s="92" t="str">
        <f t="shared" si="329"/>
        <v/>
      </c>
      <c r="I1631" s="329" t="str">
        <f t="shared" si="330"/>
        <v/>
      </c>
      <c r="J1631" s="329" t="str">
        <f t="shared" si="331"/>
        <v/>
      </c>
      <c r="K1631" s="329" t="str">
        <f t="shared" si="332"/>
        <v/>
      </c>
    </row>
    <row r="1632" spans="2:11" ht="12.75" customHeight="1">
      <c r="B1632" s="92" t="str">
        <f t="shared" si="329"/>
        <v/>
      </c>
      <c r="I1632" s="329" t="str">
        <f t="shared" si="330"/>
        <v/>
      </c>
      <c r="J1632" s="329" t="str">
        <f t="shared" si="331"/>
        <v/>
      </c>
      <c r="K1632" s="329" t="str">
        <f t="shared" si="332"/>
        <v/>
      </c>
    </row>
    <row r="1633" spans="2:11" ht="12.75" customHeight="1">
      <c r="B1633" s="92" t="str">
        <f t="shared" si="329"/>
        <v/>
      </c>
      <c r="I1633" s="329" t="str">
        <f t="shared" si="330"/>
        <v/>
      </c>
      <c r="J1633" s="329" t="str">
        <f t="shared" si="331"/>
        <v/>
      </c>
      <c r="K1633" s="329" t="str">
        <f t="shared" si="332"/>
        <v/>
      </c>
    </row>
    <row r="1634" spans="2:11" ht="12.75" customHeight="1">
      <c r="B1634" s="92" t="str">
        <f t="shared" si="329"/>
        <v/>
      </c>
      <c r="I1634" s="329" t="str">
        <f t="shared" si="330"/>
        <v/>
      </c>
      <c r="J1634" s="329" t="str">
        <f t="shared" si="331"/>
        <v/>
      </c>
      <c r="K1634" s="329" t="str">
        <f t="shared" si="332"/>
        <v/>
      </c>
    </row>
    <row r="1635" spans="2:11" ht="12.75" customHeight="1">
      <c r="B1635" s="92" t="str">
        <f t="shared" si="329"/>
        <v/>
      </c>
      <c r="I1635" s="329" t="str">
        <f t="shared" si="330"/>
        <v/>
      </c>
      <c r="J1635" s="329" t="str">
        <f t="shared" si="331"/>
        <v/>
      </c>
      <c r="K1635" s="329" t="str">
        <f t="shared" si="332"/>
        <v/>
      </c>
    </row>
    <row r="1636" spans="2:11" ht="12.75" customHeight="1">
      <c r="B1636" s="92" t="str">
        <f t="shared" si="329"/>
        <v/>
      </c>
      <c r="I1636" s="329" t="str">
        <f t="shared" si="330"/>
        <v/>
      </c>
      <c r="J1636" s="329" t="str">
        <f t="shared" si="331"/>
        <v/>
      </c>
      <c r="K1636" s="329" t="str">
        <f t="shared" si="332"/>
        <v/>
      </c>
    </row>
    <row r="1637" spans="2:11" ht="12.75" customHeight="1">
      <c r="B1637" s="92" t="str">
        <f t="shared" si="329"/>
        <v/>
      </c>
      <c r="I1637" s="329" t="str">
        <f t="shared" si="330"/>
        <v/>
      </c>
      <c r="J1637" s="329" t="str">
        <f t="shared" si="331"/>
        <v/>
      </c>
      <c r="K1637" s="329" t="str">
        <f t="shared" si="332"/>
        <v/>
      </c>
    </row>
    <row r="1638" spans="2:11" ht="12.75" customHeight="1">
      <c r="B1638" s="92" t="str">
        <f t="shared" si="329"/>
        <v/>
      </c>
      <c r="I1638" s="329" t="str">
        <f t="shared" si="330"/>
        <v/>
      </c>
      <c r="J1638" s="329" t="str">
        <f t="shared" si="331"/>
        <v/>
      </c>
      <c r="K1638" s="329" t="str">
        <f t="shared" si="332"/>
        <v/>
      </c>
    </row>
    <row r="1639" spans="2:11" ht="12.75" customHeight="1">
      <c r="B1639" s="92" t="str">
        <f t="shared" si="329"/>
        <v/>
      </c>
      <c r="I1639" s="329" t="str">
        <f t="shared" si="330"/>
        <v/>
      </c>
      <c r="J1639" s="329" t="str">
        <f t="shared" si="331"/>
        <v/>
      </c>
      <c r="K1639" s="329" t="str">
        <f t="shared" si="332"/>
        <v/>
      </c>
    </row>
    <row r="1640" spans="2:11" ht="12.75" customHeight="1">
      <c r="B1640" s="92" t="str">
        <f t="shared" si="329"/>
        <v/>
      </c>
      <c r="I1640" s="329" t="str">
        <f t="shared" si="330"/>
        <v/>
      </c>
      <c r="J1640" s="329" t="str">
        <f t="shared" si="331"/>
        <v/>
      </c>
      <c r="K1640" s="329" t="str">
        <f t="shared" si="332"/>
        <v/>
      </c>
    </row>
    <row r="1641" spans="2:11" ht="12.75" customHeight="1">
      <c r="B1641" s="92" t="str">
        <f t="shared" si="329"/>
        <v/>
      </c>
      <c r="I1641" s="329" t="str">
        <f t="shared" si="330"/>
        <v/>
      </c>
      <c r="J1641" s="329" t="str">
        <f t="shared" si="331"/>
        <v/>
      </c>
      <c r="K1641" s="329" t="str">
        <f t="shared" si="332"/>
        <v/>
      </c>
    </row>
    <row r="1642" spans="2:11" ht="12.75" customHeight="1">
      <c r="B1642" s="92" t="str">
        <f t="shared" si="329"/>
        <v/>
      </c>
      <c r="I1642" s="329" t="str">
        <f t="shared" si="330"/>
        <v/>
      </c>
      <c r="J1642" s="329" t="str">
        <f t="shared" si="331"/>
        <v/>
      </c>
      <c r="K1642" s="329" t="str">
        <f t="shared" si="332"/>
        <v/>
      </c>
    </row>
    <row r="1643" spans="2:11" ht="12.75" customHeight="1">
      <c r="B1643" s="92" t="str">
        <f t="shared" si="329"/>
        <v/>
      </c>
      <c r="I1643" s="329" t="str">
        <f t="shared" si="330"/>
        <v/>
      </c>
      <c r="J1643" s="329" t="str">
        <f t="shared" si="331"/>
        <v/>
      </c>
      <c r="K1643" s="329" t="str">
        <f t="shared" si="332"/>
        <v/>
      </c>
    </row>
    <row r="1644" spans="2:11" ht="12.75" customHeight="1">
      <c r="B1644" s="92" t="str">
        <f t="shared" si="329"/>
        <v/>
      </c>
      <c r="I1644" s="329" t="str">
        <f t="shared" si="330"/>
        <v/>
      </c>
      <c r="J1644" s="329" t="str">
        <f t="shared" si="331"/>
        <v/>
      </c>
      <c r="K1644" s="329" t="str">
        <f t="shared" si="332"/>
        <v/>
      </c>
    </row>
    <row r="1645" spans="2:11" ht="12.75" customHeight="1">
      <c r="B1645" s="92" t="str">
        <f t="shared" si="329"/>
        <v/>
      </c>
      <c r="I1645" s="329" t="str">
        <f t="shared" si="330"/>
        <v/>
      </c>
      <c r="J1645" s="329" t="str">
        <f t="shared" si="331"/>
        <v/>
      </c>
      <c r="K1645" s="329" t="str">
        <f t="shared" si="332"/>
        <v/>
      </c>
    </row>
    <row r="1646" spans="2:11" ht="12.75" customHeight="1">
      <c r="B1646" s="92" t="str">
        <f t="shared" ref="B1646:B1709" si="333">IF(C1646="","",ROW()-5)</f>
        <v/>
      </c>
      <c r="I1646" s="329" t="str">
        <f t="shared" si="330"/>
        <v/>
      </c>
      <c r="J1646" s="329" t="str">
        <f t="shared" si="331"/>
        <v/>
      </c>
      <c r="K1646" s="329" t="str">
        <f t="shared" si="332"/>
        <v/>
      </c>
    </row>
    <row r="1647" spans="2:11" ht="12.75" customHeight="1">
      <c r="B1647" s="92" t="str">
        <f t="shared" si="333"/>
        <v/>
      </c>
      <c r="I1647" s="329" t="str">
        <f t="shared" si="330"/>
        <v/>
      </c>
      <c r="J1647" s="329" t="str">
        <f t="shared" si="331"/>
        <v/>
      </c>
      <c r="K1647" s="329" t="str">
        <f t="shared" si="332"/>
        <v/>
      </c>
    </row>
    <row r="1648" spans="2:11" ht="12.75" customHeight="1">
      <c r="B1648" s="92" t="str">
        <f t="shared" si="333"/>
        <v/>
      </c>
      <c r="I1648" s="329" t="str">
        <f t="shared" si="330"/>
        <v/>
      </c>
      <c r="J1648" s="329" t="str">
        <f t="shared" si="331"/>
        <v/>
      </c>
      <c r="K1648" s="329" t="str">
        <f t="shared" si="332"/>
        <v/>
      </c>
    </row>
    <row r="1649" spans="2:11" ht="12.75" customHeight="1">
      <c r="B1649" s="92" t="str">
        <f t="shared" si="333"/>
        <v/>
      </c>
      <c r="I1649" s="329" t="str">
        <f t="shared" si="330"/>
        <v/>
      </c>
      <c r="J1649" s="329" t="str">
        <f t="shared" si="331"/>
        <v/>
      </c>
      <c r="K1649" s="329" t="str">
        <f t="shared" si="332"/>
        <v/>
      </c>
    </row>
    <row r="1650" spans="2:11" ht="12.75" customHeight="1">
      <c r="B1650" s="92" t="str">
        <f t="shared" si="333"/>
        <v/>
      </c>
      <c r="I1650" s="329" t="str">
        <f t="shared" si="330"/>
        <v/>
      </c>
      <c r="J1650" s="329" t="str">
        <f t="shared" si="331"/>
        <v/>
      </c>
      <c r="K1650" s="329" t="str">
        <f t="shared" si="332"/>
        <v/>
      </c>
    </row>
    <row r="1651" spans="2:11" ht="12.75" customHeight="1">
      <c r="B1651" s="92" t="str">
        <f t="shared" si="333"/>
        <v/>
      </c>
      <c r="I1651" s="329" t="str">
        <f t="shared" si="330"/>
        <v/>
      </c>
      <c r="J1651" s="329" t="str">
        <f t="shared" si="331"/>
        <v/>
      </c>
      <c r="K1651" s="329" t="str">
        <f t="shared" si="332"/>
        <v/>
      </c>
    </row>
    <row r="1652" spans="2:11" ht="12.75" customHeight="1">
      <c r="B1652" s="92" t="str">
        <f t="shared" si="333"/>
        <v/>
      </c>
      <c r="I1652" s="329" t="str">
        <f t="shared" si="330"/>
        <v/>
      </c>
      <c r="J1652" s="329" t="str">
        <f t="shared" si="331"/>
        <v/>
      </c>
      <c r="K1652" s="329" t="str">
        <f t="shared" si="332"/>
        <v/>
      </c>
    </row>
    <row r="1653" spans="2:11" ht="12.75" customHeight="1">
      <c r="B1653" s="92" t="str">
        <f t="shared" si="333"/>
        <v/>
      </c>
      <c r="I1653" s="329" t="str">
        <f t="shared" si="330"/>
        <v/>
      </c>
      <c r="J1653" s="329" t="str">
        <f t="shared" si="331"/>
        <v/>
      </c>
      <c r="K1653" s="329" t="str">
        <f t="shared" si="332"/>
        <v/>
      </c>
    </row>
    <row r="1654" spans="2:11" ht="12.75" customHeight="1">
      <c r="B1654" s="92" t="str">
        <f t="shared" si="333"/>
        <v/>
      </c>
      <c r="I1654" s="329" t="str">
        <f t="shared" si="330"/>
        <v/>
      </c>
      <c r="J1654" s="329" t="str">
        <f t="shared" si="331"/>
        <v/>
      </c>
      <c r="K1654" s="329" t="str">
        <f t="shared" si="332"/>
        <v/>
      </c>
    </row>
    <row r="1655" spans="2:11" ht="12.75" customHeight="1">
      <c r="B1655" s="92" t="str">
        <f t="shared" si="333"/>
        <v/>
      </c>
      <c r="I1655" s="329" t="str">
        <f t="shared" si="330"/>
        <v/>
      </c>
      <c r="J1655" s="329" t="str">
        <f t="shared" si="331"/>
        <v/>
      </c>
      <c r="K1655" s="329" t="str">
        <f t="shared" si="332"/>
        <v/>
      </c>
    </row>
    <row r="1656" spans="2:11" ht="12.75" customHeight="1">
      <c r="B1656" s="92" t="str">
        <f t="shared" si="333"/>
        <v/>
      </c>
      <c r="I1656" s="329" t="str">
        <f t="shared" si="330"/>
        <v/>
      </c>
      <c r="J1656" s="329" t="str">
        <f t="shared" si="331"/>
        <v/>
      </c>
      <c r="K1656" s="329" t="str">
        <f t="shared" si="332"/>
        <v/>
      </c>
    </row>
    <row r="1657" spans="2:11" ht="12.75" customHeight="1">
      <c r="B1657" s="92" t="str">
        <f t="shared" si="333"/>
        <v/>
      </c>
      <c r="I1657" s="329" t="str">
        <f t="shared" si="330"/>
        <v/>
      </c>
      <c r="J1657" s="329" t="str">
        <f t="shared" si="331"/>
        <v/>
      </c>
      <c r="K1657" s="329" t="str">
        <f t="shared" si="332"/>
        <v/>
      </c>
    </row>
    <row r="1658" spans="2:11" ht="12.75" customHeight="1">
      <c r="B1658" s="92" t="str">
        <f t="shared" si="333"/>
        <v/>
      </c>
      <c r="I1658" s="329" t="str">
        <f t="shared" si="330"/>
        <v/>
      </c>
      <c r="J1658" s="329" t="str">
        <f t="shared" si="331"/>
        <v/>
      </c>
      <c r="K1658" s="329" t="str">
        <f t="shared" si="332"/>
        <v/>
      </c>
    </row>
    <row r="1659" spans="2:11" ht="12.75" customHeight="1">
      <c r="B1659" s="92" t="str">
        <f t="shared" si="333"/>
        <v/>
      </c>
      <c r="I1659" s="329" t="str">
        <f t="shared" si="330"/>
        <v/>
      </c>
      <c r="J1659" s="329" t="str">
        <f t="shared" si="331"/>
        <v/>
      </c>
      <c r="K1659" s="329" t="str">
        <f t="shared" si="332"/>
        <v/>
      </c>
    </row>
    <row r="1660" spans="2:11" ht="12.75" customHeight="1">
      <c r="B1660" s="92" t="str">
        <f t="shared" si="333"/>
        <v/>
      </c>
      <c r="I1660" s="329" t="str">
        <f t="shared" si="330"/>
        <v/>
      </c>
      <c r="J1660" s="329" t="str">
        <f t="shared" si="331"/>
        <v/>
      </c>
      <c r="K1660" s="329" t="str">
        <f t="shared" si="332"/>
        <v/>
      </c>
    </row>
    <row r="1661" spans="2:11" ht="12.75" customHeight="1">
      <c r="B1661" s="92" t="str">
        <f t="shared" si="333"/>
        <v/>
      </c>
      <c r="I1661" s="329" t="str">
        <f t="shared" si="330"/>
        <v/>
      </c>
      <c r="J1661" s="329" t="str">
        <f t="shared" si="331"/>
        <v/>
      </c>
      <c r="K1661" s="329" t="str">
        <f t="shared" si="332"/>
        <v/>
      </c>
    </row>
    <row r="1662" spans="2:11" ht="12.75" customHeight="1">
      <c r="B1662" s="92" t="str">
        <f t="shared" si="333"/>
        <v/>
      </c>
      <c r="I1662" s="329" t="str">
        <f t="shared" ref="I1662:I1725" si="334">+IF(G1662="","",G1662*H1662)</f>
        <v/>
      </c>
      <c r="J1662" s="329" t="str">
        <f t="shared" ref="J1662:J1725" si="335">+IF(G1662="","",I1662*0.1)</f>
        <v/>
      </c>
      <c r="K1662" s="329" t="str">
        <f t="shared" ref="K1662:K1725" si="336">+IF(G1662="","",I1662+J1662)</f>
        <v/>
      </c>
    </row>
    <row r="1663" spans="2:11" ht="12.75" customHeight="1">
      <c r="B1663" s="92" t="str">
        <f t="shared" si="333"/>
        <v/>
      </c>
      <c r="I1663" s="329" t="str">
        <f t="shared" si="334"/>
        <v/>
      </c>
      <c r="J1663" s="329" t="str">
        <f t="shared" si="335"/>
        <v/>
      </c>
      <c r="K1663" s="329" t="str">
        <f t="shared" si="336"/>
        <v/>
      </c>
    </row>
    <row r="1664" spans="2:11" ht="12.75" customHeight="1">
      <c r="B1664" s="92" t="str">
        <f t="shared" si="333"/>
        <v/>
      </c>
      <c r="I1664" s="329" t="str">
        <f t="shared" si="334"/>
        <v/>
      </c>
      <c r="J1664" s="329" t="str">
        <f t="shared" si="335"/>
        <v/>
      </c>
      <c r="K1664" s="329" t="str">
        <f t="shared" si="336"/>
        <v/>
      </c>
    </row>
    <row r="1665" spans="2:11" ht="12.75" customHeight="1">
      <c r="B1665" s="92" t="str">
        <f t="shared" si="333"/>
        <v/>
      </c>
      <c r="I1665" s="329" t="str">
        <f t="shared" si="334"/>
        <v/>
      </c>
      <c r="J1665" s="329" t="str">
        <f t="shared" si="335"/>
        <v/>
      </c>
      <c r="K1665" s="329" t="str">
        <f t="shared" si="336"/>
        <v/>
      </c>
    </row>
    <row r="1666" spans="2:11" ht="12.75" customHeight="1">
      <c r="B1666" s="92" t="str">
        <f t="shared" si="333"/>
        <v/>
      </c>
      <c r="I1666" s="329" t="str">
        <f t="shared" si="334"/>
        <v/>
      </c>
      <c r="J1666" s="329" t="str">
        <f t="shared" si="335"/>
        <v/>
      </c>
      <c r="K1666" s="329" t="str">
        <f t="shared" si="336"/>
        <v/>
      </c>
    </row>
    <row r="1667" spans="2:11" ht="12.75" customHeight="1">
      <c r="B1667" s="92" t="str">
        <f t="shared" si="333"/>
        <v/>
      </c>
      <c r="I1667" s="329" t="str">
        <f t="shared" si="334"/>
        <v/>
      </c>
      <c r="J1667" s="329" t="str">
        <f t="shared" si="335"/>
        <v/>
      </c>
      <c r="K1667" s="329" t="str">
        <f t="shared" si="336"/>
        <v/>
      </c>
    </row>
    <row r="1668" spans="2:11" ht="12.75" customHeight="1">
      <c r="B1668" s="92" t="str">
        <f t="shared" si="333"/>
        <v/>
      </c>
      <c r="I1668" s="329" t="str">
        <f t="shared" si="334"/>
        <v/>
      </c>
      <c r="J1668" s="329" t="str">
        <f t="shared" si="335"/>
        <v/>
      </c>
      <c r="K1668" s="329" t="str">
        <f t="shared" si="336"/>
        <v/>
      </c>
    </row>
    <row r="1669" spans="2:11" ht="12.75" customHeight="1">
      <c r="B1669" s="92" t="str">
        <f t="shared" si="333"/>
        <v/>
      </c>
      <c r="I1669" s="329" t="str">
        <f t="shared" si="334"/>
        <v/>
      </c>
      <c r="J1669" s="329" t="str">
        <f t="shared" si="335"/>
        <v/>
      </c>
      <c r="K1669" s="329" t="str">
        <f t="shared" si="336"/>
        <v/>
      </c>
    </row>
    <row r="1670" spans="2:11" ht="12.75" customHeight="1">
      <c r="B1670" s="92" t="str">
        <f t="shared" si="333"/>
        <v/>
      </c>
      <c r="I1670" s="329" t="str">
        <f t="shared" si="334"/>
        <v/>
      </c>
      <c r="J1670" s="329" t="str">
        <f t="shared" si="335"/>
        <v/>
      </c>
      <c r="K1670" s="329" t="str">
        <f t="shared" si="336"/>
        <v/>
      </c>
    </row>
    <row r="1671" spans="2:11" ht="12.75" customHeight="1">
      <c r="B1671" s="92" t="str">
        <f t="shared" si="333"/>
        <v/>
      </c>
      <c r="I1671" s="329" t="str">
        <f t="shared" si="334"/>
        <v/>
      </c>
      <c r="J1671" s="329" t="str">
        <f t="shared" si="335"/>
        <v/>
      </c>
      <c r="K1671" s="329" t="str">
        <f t="shared" si="336"/>
        <v/>
      </c>
    </row>
    <row r="1672" spans="2:11" ht="12.75" customHeight="1">
      <c r="B1672" s="92" t="str">
        <f t="shared" si="333"/>
        <v/>
      </c>
      <c r="I1672" s="329" t="str">
        <f t="shared" si="334"/>
        <v/>
      </c>
      <c r="J1672" s="329" t="str">
        <f t="shared" si="335"/>
        <v/>
      </c>
      <c r="K1672" s="329" t="str">
        <f t="shared" si="336"/>
        <v/>
      </c>
    </row>
    <row r="1673" spans="2:11" ht="12.75" customHeight="1">
      <c r="B1673" s="92" t="str">
        <f t="shared" si="333"/>
        <v/>
      </c>
      <c r="I1673" s="329" t="str">
        <f t="shared" si="334"/>
        <v/>
      </c>
      <c r="J1673" s="329" t="str">
        <f t="shared" si="335"/>
        <v/>
      </c>
      <c r="K1673" s="329" t="str">
        <f t="shared" si="336"/>
        <v/>
      </c>
    </row>
    <row r="1674" spans="2:11" ht="12.75" customHeight="1">
      <c r="B1674" s="92" t="str">
        <f t="shared" si="333"/>
        <v/>
      </c>
      <c r="I1674" s="329" t="str">
        <f t="shared" si="334"/>
        <v/>
      </c>
      <c r="J1674" s="329" t="str">
        <f t="shared" si="335"/>
        <v/>
      </c>
      <c r="K1674" s="329" t="str">
        <f t="shared" si="336"/>
        <v/>
      </c>
    </row>
    <row r="1675" spans="2:11" ht="12.75" customHeight="1">
      <c r="B1675" s="92" t="str">
        <f t="shared" si="333"/>
        <v/>
      </c>
      <c r="I1675" s="329" t="str">
        <f t="shared" si="334"/>
        <v/>
      </c>
      <c r="J1675" s="329" t="str">
        <f t="shared" si="335"/>
        <v/>
      </c>
      <c r="K1675" s="329" t="str">
        <f t="shared" si="336"/>
        <v/>
      </c>
    </row>
    <row r="1676" spans="2:11" ht="12.75" customHeight="1">
      <c r="B1676" s="92" t="str">
        <f t="shared" si="333"/>
        <v/>
      </c>
      <c r="I1676" s="329" t="str">
        <f t="shared" si="334"/>
        <v/>
      </c>
      <c r="J1676" s="329" t="str">
        <f t="shared" si="335"/>
        <v/>
      </c>
      <c r="K1676" s="329" t="str">
        <f t="shared" si="336"/>
        <v/>
      </c>
    </row>
    <row r="1677" spans="2:11" ht="12.75" customHeight="1">
      <c r="B1677" s="92" t="str">
        <f t="shared" si="333"/>
        <v/>
      </c>
      <c r="I1677" s="329" t="str">
        <f t="shared" si="334"/>
        <v/>
      </c>
      <c r="J1677" s="329" t="str">
        <f t="shared" si="335"/>
        <v/>
      </c>
      <c r="K1677" s="329" t="str">
        <f t="shared" si="336"/>
        <v/>
      </c>
    </row>
    <row r="1678" spans="2:11" ht="12.75" customHeight="1">
      <c r="B1678" s="92" t="str">
        <f t="shared" si="333"/>
        <v/>
      </c>
      <c r="I1678" s="329" t="str">
        <f t="shared" si="334"/>
        <v/>
      </c>
      <c r="J1678" s="329" t="str">
        <f t="shared" si="335"/>
        <v/>
      </c>
      <c r="K1678" s="329" t="str">
        <f t="shared" si="336"/>
        <v/>
      </c>
    </row>
    <row r="1679" spans="2:11" ht="12.75" customHeight="1">
      <c r="B1679" s="92" t="str">
        <f t="shared" si="333"/>
        <v/>
      </c>
      <c r="I1679" s="329" t="str">
        <f t="shared" si="334"/>
        <v/>
      </c>
      <c r="J1679" s="329" t="str">
        <f t="shared" si="335"/>
        <v/>
      </c>
      <c r="K1679" s="329" t="str">
        <f t="shared" si="336"/>
        <v/>
      </c>
    </row>
    <row r="1680" spans="2:11" ht="12.75" customHeight="1">
      <c r="B1680" s="92" t="str">
        <f t="shared" si="333"/>
        <v/>
      </c>
      <c r="I1680" s="329" t="str">
        <f t="shared" si="334"/>
        <v/>
      </c>
      <c r="J1680" s="329" t="str">
        <f t="shared" si="335"/>
        <v/>
      </c>
      <c r="K1680" s="329" t="str">
        <f t="shared" si="336"/>
        <v/>
      </c>
    </row>
    <row r="1681" spans="2:11" ht="12.75" customHeight="1">
      <c r="B1681" s="92" t="str">
        <f t="shared" si="333"/>
        <v/>
      </c>
      <c r="I1681" s="329" t="str">
        <f t="shared" si="334"/>
        <v/>
      </c>
      <c r="J1681" s="329" t="str">
        <f t="shared" si="335"/>
        <v/>
      </c>
      <c r="K1681" s="329" t="str">
        <f t="shared" si="336"/>
        <v/>
      </c>
    </row>
    <row r="1682" spans="2:11" ht="12.75" customHeight="1">
      <c r="B1682" s="92" t="str">
        <f t="shared" si="333"/>
        <v/>
      </c>
      <c r="I1682" s="329" t="str">
        <f t="shared" si="334"/>
        <v/>
      </c>
      <c r="J1682" s="329" t="str">
        <f t="shared" si="335"/>
        <v/>
      </c>
      <c r="K1682" s="329" t="str">
        <f t="shared" si="336"/>
        <v/>
      </c>
    </row>
    <row r="1683" spans="2:11" ht="12.75" customHeight="1">
      <c r="B1683" s="92" t="str">
        <f t="shared" si="333"/>
        <v/>
      </c>
      <c r="I1683" s="329" t="str">
        <f t="shared" si="334"/>
        <v/>
      </c>
      <c r="J1683" s="329" t="str">
        <f t="shared" si="335"/>
        <v/>
      </c>
      <c r="K1683" s="329" t="str">
        <f t="shared" si="336"/>
        <v/>
      </c>
    </row>
    <row r="1684" spans="2:11" ht="12.75" customHeight="1">
      <c r="B1684" s="92" t="str">
        <f t="shared" si="333"/>
        <v/>
      </c>
      <c r="I1684" s="329" t="str">
        <f t="shared" si="334"/>
        <v/>
      </c>
      <c r="J1684" s="329" t="str">
        <f t="shared" si="335"/>
        <v/>
      </c>
      <c r="K1684" s="329" t="str">
        <f t="shared" si="336"/>
        <v/>
      </c>
    </row>
    <row r="1685" spans="2:11" ht="12.75" customHeight="1">
      <c r="B1685" s="92" t="str">
        <f t="shared" si="333"/>
        <v/>
      </c>
      <c r="I1685" s="329" t="str">
        <f t="shared" si="334"/>
        <v/>
      </c>
      <c r="J1685" s="329" t="str">
        <f t="shared" si="335"/>
        <v/>
      </c>
      <c r="K1685" s="329" t="str">
        <f t="shared" si="336"/>
        <v/>
      </c>
    </row>
    <row r="1686" spans="2:11" ht="12.75" customHeight="1">
      <c r="B1686" s="92" t="str">
        <f t="shared" si="333"/>
        <v/>
      </c>
      <c r="I1686" s="329" t="str">
        <f t="shared" si="334"/>
        <v/>
      </c>
      <c r="J1686" s="329" t="str">
        <f t="shared" si="335"/>
        <v/>
      </c>
      <c r="K1686" s="329" t="str">
        <f t="shared" si="336"/>
        <v/>
      </c>
    </row>
    <row r="1687" spans="2:11" ht="12.75" customHeight="1">
      <c r="B1687" s="92" t="str">
        <f t="shared" si="333"/>
        <v/>
      </c>
      <c r="I1687" s="329" t="str">
        <f t="shared" si="334"/>
        <v/>
      </c>
      <c r="J1687" s="329" t="str">
        <f t="shared" si="335"/>
        <v/>
      </c>
      <c r="K1687" s="329" t="str">
        <f t="shared" si="336"/>
        <v/>
      </c>
    </row>
    <row r="1688" spans="2:11" ht="12.75" customHeight="1">
      <c r="B1688" s="92" t="str">
        <f t="shared" si="333"/>
        <v/>
      </c>
      <c r="I1688" s="329" t="str">
        <f t="shared" si="334"/>
        <v/>
      </c>
      <c r="J1688" s="329" t="str">
        <f t="shared" si="335"/>
        <v/>
      </c>
      <c r="K1688" s="329" t="str">
        <f t="shared" si="336"/>
        <v/>
      </c>
    </row>
    <row r="1689" spans="2:11" ht="12.75" customHeight="1">
      <c r="B1689" s="92" t="str">
        <f t="shared" si="333"/>
        <v/>
      </c>
      <c r="I1689" s="329" t="str">
        <f t="shared" si="334"/>
        <v/>
      </c>
      <c r="J1689" s="329" t="str">
        <f t="shared" si="335"/>
        <v/>
      </c>
      <c r="K1689" s="329" t="str">
        <f t="shared" si="336"/>
        <v/>
      </c>
    </row>
    <row r="1690" spans="2:11" ht="12.75" customHeight="1">
      <c r="B1690" s="92" t="str">
        <f t="shared" si="333"/>
        <v/>
      </c>
      <c r="I1690" s="329" t="str">
        <f t="shared" si="334"/>
        <v/>
      </c>
      <c r="J1690" s="329" t="str">
        <f t="shared" si="335"/>
        <v/>
      </c>
      <c r="K1690" s="329" t="str">
        <f t="shared" si="336"/>
        <v/>
      </c>
    </row>
    <row r="1691" spans="2:11" ht="12.75" customHeight="1">
      <c r="B1691" s="92" t="str">
        <f t="shared" si="333"/>
        <v/>
      </c>
      <c r="I1691" s="329" t="str">
        <f t="shared" si="334"/>
        <v/>
      </c>
      <c r="J1691" s="329" t="str">
        <f t="shared" si="335"/>
        <v/>
      </c>
      <c r="K1691" s="329" t="str">
        <f t="shared" si="336"/>
        <v/>
      </c>
    </row>
    <row r="1692" spans="2:11" ht="12.75" customHeight="1">
      <c r="B1692" s="92" t="str">
        <f t="shared" si="333"/>
        <v/>
      </c>
      <c r="I1692" s="329" t="str">
        <f t="shared" si="334"/>
        <v/>
      </c>
      <c r="J1692" s="329" t="str">
        <f t="shared" si="335"/>
        <v/>
      </c>
      <c r="K1692" s="329" t="str">
        <f t="shared" si="336"/>
        <v/>
      </c>
    </row>
    <row r="1693" spans="2:11" ht="12.75" customHeight="1">
      <c r="B1693" s="92" t="str">
        <f t="shared" si="333"/>
        <v/>
      </c>
      <c r="I1693" s="329" t="str">
        <f t="shared" si="334"/>
        <v/>
      </c>
      <c r="J1693" s="329" t="str">
        <f t="shared" si="335"/>
        <v/>
      </c>
      <c r="K1693" s="329" t="str">
        <f t="shared" si="336"/>
        <v/>
      </c>
    </row>
    <row r="1694" spans="2:11" ht="12.75" customHeight="1">
      <c r="B1694" s="92" t="str">
        <f t="shared" si="333"/>
        <v/>
      </c>
      <c r="I1694" s="329" t="str">
        <f t="shared" si="334"/>
        <v/>
      </c>
      <c r="J1694" s="329" t="str">
        <f t="shared" si="335"/>
        <v/>
      </c>
      <c r="K1694" s="329" t="str">
        <f t="shared" si="336"/>
        <v/>
      </c>
    </row>
    <row r="1695" spans="2:11" ht="12.75" customHeight="1">
      <c r="B1695" s="92" t="str">
        <f t="shared" si="333"/>
        <v/>
      </c>
      <c r="I1695" s="329" t="str">
        <f t="shared" si="334"/>
        <v/>
      </c>
      <c r="J1695" s="329" t="str">
        <f t="shared" si="335"/>
        <v/>
      </c>
      <c r="K1695" s="329" t="str">
        <f t="shared" si="336"/>
        <v/>
      </c>
    </row>
    <row r="1696" spans="2:11" ht="12.75" customHeight="1">
      <c r="B1696" s="92" t="str">
        <f t="shared" si="333"/>
        <v/>
      </c>
      <c r="I1696" s="329" t="str">
        <f t="shared" si="334"/>
        <v/>
      </c>
      <c r="J1696" s="329" t="str">
        <f t="shared" si="335"/>
        <v/>
      </c>
      <c r="K1696" s="329" t="str">
        <f t="shared" si="336"/>
        <v/>
      </c>
    </row>
    <row r="1697" spans="2:11" ht="12.75" customHeight="1">
      <c r="B1697" s="92" t="str">
        <f t="shared" si="333"/>
        <v/>
      </c>
      <c r="I1697" s="329" t="str">
        <f t="shared" si="334"/>
        <v/>
      </c>
      <c r="J1697" s="329" t="str">
        <f t="shared" si="335"/>
        <v/>
      </c>
      <c r="K1697" s="329" t="str">
        <f t="shared" si="336"/>
        <v/>
      </c>
    </row>
    <row r="1698" spans="2:11" ht="12.75" customHeight="1">
      <c r="B1698" s="92" t="str">
        <f t="shared" si="333"/>
        <v/>
      </c>
      <c r="I1698" s="329" t="str">
        <f t="shared" si="334"/>
        <v/>
      </c>
      <c r="J1698" s="329" t="str">
        <f t="shared" si="335"/>
        <v/>
      </c>
      <c r="K1698" s="329" t="str">
        <f t="shared" si="336"/>
        <v/>
      </c>
    </row>
    <row r="1699" spans="2:11" ht="12.75" customHeight="1">
      <c r="B1699" s="92" t="str">
        <f t="shared" si="333"/>
        <v/>
      </c>
      <c r="I1699" s="329" t="str">
        <f t="shared" si="334"/>
        <v/>
      </c>
      <c r="J1699" s="329" t="str">
        <f t="shared" si="335"/>
        <v/>
      </c>
      <c r="K1699" s="329" t="str">
        <f t="shared" si="336"/>
        <v/>
      </c>
    </row>
    <row r="1700" spans="2:11" ht="12.75" customHeight="1">
      <c r="B1700" s="92" t="str">
        <f t="shared" si="333"/>
        <v/>
      </c>
      <c r="I1700" s="329" t="str">
        <f t="shared" si="334"/>
        <v/>
      </c>
      <c r="J1700" s="329" t="str">
        <f t="shared" si="335"/>
        <v/>
      </c>
      <c r="K1700" s="329" t="str">
        <f t="shared" si="336"/>
        <v/>
      </c>
    </row>
    <row r="1701" spans="2:11" ht="12.75" customHeight="1">
      <c r="B1701" s="92" t="str">
        <f t="shared" si="333"/>
        <v/>
      </c>
      <c r="I1701" s="329" t="str">
        <f t="shared" si="334"/>
        <v/>
      </c>
      <c r="J1701" s="329" t="str">
        <f t="shared" si="335"/>
        <v/>
      </c>
      <c r="K1701" s="329" t="str">
        <f t="shared" si="336"/>
        <v/>
      </c>
    </row>
    <row r="1702" spans="2:11" ht="12.75" customHeight="1">
      <c r="B1702" s="92" t="str">
        <f t="shared" si="333"/>
        <v/>
      </c>
      <c r="I1702" s="329" t="str">
        <f t="shared" si="334"/>
        <v/>
      </c>
      <c r="J1702" s="329" t="str">
        <f t="shared" si="335"/>
        <v/>
      </c>
      <c r="K1702" s="329" t="str">
        <f t="shared" si="336"/>
        <v/>
      </c>
    </row>
    <row r="1703" spans="2:11" ht="12.75" customHeight="1">
      <c r="B1703" s="92" t="str">
        <f t="shared" si="333"/>
        <v/>
      </c>
      <c r="I1703" s="329" t="str">
        <f t="shared" si="334"/>
        <v/>
      </c>
      <c r="J1703" s="329" t="str">
        <f t="shared" si="335"/>
        <v/>
      </c>
      <c r="K1703" s="329" t="str">
        <f t="shared" si="336"/>
        <v/>
      </c>
    </row>
    <row r="1704" spans="2:11" ht="12.75" customHeight="1">
      <c r="B1704" s="92" t="str">
        <f t="shared" si="333"/>
        <v/>
      </c>
      <c r="I1704" s="329" t="str">
        <f t="shared" si="334"/>
        <v/>
      </c>
      <c r="J1704" s="329" t="str">
        <f t="shared" si="335"/>
        <v/>
      </c>
      <c r="K1704" s="329" t="str">
        <f t="shared" si="336"/>
        <v/>
      </c>
    </row>
    <row r="1705" spans="2:11" ht="12.75" customHeight="1">
      <c r="B1705" s="92" t="str">
        <f t="shared" si="333"/>
        <v/>
      </c>
      <c r="I1705" s="329" t="str">
        <f t="shared" si="334"/>
        <v/>
      </c>
      <c r="J1705" s="329" t="str">
        <f t="shared" si="335"/>
        <v/>
      </c>
      <c r="K1705" s="329" t="str">
        <f t="shared" si="336"/>
        <v/>
      </c>
    </row>
    <row r="1706" spans="2:11" ht="12.75" customHeight="1">
      <c r="B1706" s="92" t="str">
        <f t="shared" si="333"/>
        <v/>
      </c>
      <c r="I1706" s="329" t="str">
        <f t="shared" si="334"/>
        <v/>
      </c>
      <c r="J1706" s="329" t="str">
        <f t="shared" si="335"/>
        <v/>
      </c>
      <c r="K1706" s="329" t="str">
        <f t="shared" si="336"/>
        <v/>
      </c>
    </row>
    <row r="1707" spans="2:11" ht="12.75" customHeight="1">
      <c r="B1707" s="92" t="str">
        <f t="shared" si="333"/>
        <v/>
      </c>
      <c r="I1707" s="329" t="str">
        <f t="shared" si="334"/>
        <v/>
      </c>
      <c r="J1707" s="329" t="str">
        <f t="shared" si="335"/>
        <v/>
      </c>
      <c r="K1707" s="329" t="str">
        <f t="shared" si="336"/>
        <v/>
      </c>
    </row>
    <row r="1708" spans="2:11" ht="12.75" customHeight="1">
      <c r="B1708" s="92" t="str">
        <f t="shared" si="333"/>
        <v/>
      </c>
      <c r="I1708" s="329" t="str">
        <f t="shared" si="334"/>
        <v/>
      </c>
      <c r="J1708" s="329" t="str">
        <f t="shared" si="335"/>
        <v/>
      </c>
      <c r="K1708" s="329" t="str">
        <f t="shared" si="336"/>
        <v/>
      </c>
    </row>
    <row r="1709" spans="2:11" ht="12.75" customHeight="1">
      <c r="B1709" s="92" t="str">
        <f t="shared" si="333"/>
        <v/>
      </c>
      <c r="I1709" s="329" t="str">
        <f t="shared" si="334"/>
        <v/>
      </c>
      <c r="J1709" s="329" t="str">
        <f t="shared" si="335"/>
        <v/>
      </c>
      <c r="K1709" s="329" t="str">
        <f t="shared" si="336"/>
        <v/>
      </c>
    </row>
    <row r="1710" spans="2:11" ht="12.75" customHeight="1">
      <c r="B1710" s="92" t="str">
        <f t="shared" ref="B1710:B1773" si="337">IF(C1710="","",ROW()-5)</f>
        <v/>
      </c>
      <c r="I1710" s="329" t="str">
        <f t="shared" si="334"/>
        <v/>
      </c>
      <c r="J1710" s="329" t="str">
        <f t="shared" si="335"/>
        <v/>
      </c>
      <c r="K1710" s="329" t="str">
        <f t="shared" si="336"/>
        <v/>
      </c>
    </row>
    <row r="1711" spans="2:11" ht="12.75" customHeight="1">
      <c r="B1711" s="92" t="str">
        <f t="shared" si="337"/>
        <v/>
      </c>
      <c r="I1711" s="329" t="str">
        <f t="shared" si="334"/>
        <v/>
      </c>
      <c r="J1711" s="329" t="str">
        <f t="shared" si="335"/>
        <v/>
      </c>
      <c r="K1711" s="329" t="str">
        <f t="shared" si="336"/>
        <v/>
      </c>
    </row>
    <row r="1712" spans="2:11" ht="12.75" customHeight="1">
      <c r="B1712" s="92" t="str">
        <f t="shared" si="337"/>
        <v/>
      </c>
      <c r="I1712" s="329" t="str">
        <f t="shared" si="334"/>
        <v/>
      </c>
      <c r="J1712" s="329" t="str">
        <f t="shared" si="335"/>
        <v/>
      </c>
      <c r="K1712" s="329" t="str">
        <f t="shared" si="336"/>
        <v/>
      </c>
    </row>
    <row r="1713" spans="2:11" ht="12.75" customHeight="1">
      <c r="B1713" s="92" t="str">
        <f t="shared" si="337"/>
        <v/>
      </c>
      <c r="I1713" s="329" t="str">
        <f t="shared" si="334"/>
        <v/>
      </c>
      <c r="J1713" s="329" t="str">
        <f t="shared" si="335"/>
        <v/>
      </c>
      <c r="K1713" s="329" t="str">
        <f t="shared" si="336"/>
        <v/>
      </c>
    </row>
    <row r="1714" spans="2:11" ht="12.75" customHeight="1">
      <c r="B1714" s="92" t="str">
        <f t="shared" si="337"/>
        <v/>
      </c>
      <c r="I1714" s="329" t="str">
        <f t="shared" si="334"/>
        <v/>
      </c>
      <c r="J1714" s="329" t="str">
        <f t="shared" si="335"/>
        <v/>
      </c>
      <c r="K1714" s="329" t="str">
        <f t="shared" si="336"/>
        <v/>
      </c>
    </row>
    <row r="1715" spans="2:11" ht="12.75" customHeight="1">
      <c r="B1715" s="92" t="str">
        <f t="shared" si="337"/>
        <v/>
      </c>
      <c r="I1715" s="329" t="str">
        <f t="shared" si="334"/>
        <v/>
      </c>
      <c r="J1715" s="329" t="str">
        <f t="shared" si="335"/>
        <v/>
      </c>
      <c r="K1715" s="329" t="str">
        <f t="shared" si="336"/>
        <v/>
      </c>
    </row>
    <row r="1716" spans="2:11" ht="12.75" customHeight="1">
      <c r="B1716" s="92" t="str">
        <f t="shared" si="337"/>
        <v/>
      </c>
      <c r="I1716" s="329" t="str">
        <f t="shared" si="334"/>
        <v/>
      </c>
      <c r="J1716" s="329" t="str">
        <f t="shared" si="335"/>
        <v/>
      </c>
      <c r="K1716" s="329" t="str">
        <f t="shared" si="336"/>
        <v/>
      </c>
    </row>
    <row r="1717" spans="2:11" ht="12.75" customHeight="1">
      <c r="B1717" s="92" t="str">
        <f t="shared" si="337"/>
        <v/>
      </c>
      <c r="I1717" s="329" t="str">
        <f t="shared" si="334"/>
        <v/>
      </c>
      <c r="J1717" s="329" t="str">
        <f t="shared" si="335"/>
        <v/>
      </c>
      <c r="K1717" s="329" t="str">
        <f t="shared" si="336"/>
        <v/>
      </c>
    </row>
    <row r="1718" spans="2:11" ht="12.75" customHeight="1">
      <c r="B1718" s="92" t="str">
        <f t="shared" si="337"/>
        <v/>
      </c>
      <c r="I1718" s="329" t="str">
        <f t="shared" si="334"/>
        <v/>
      </c>
      <c r="J1718" s="329" t="str">
        <f t="shared" si="335"/>
        <v/>
      </c>
      <c r="K1718" s="329" t="str">
        <f t="shared" si="336"/>
        <v/>
      </c>
    </row>
    <row r="1719" spans="2:11" ht="12.75" customHeight="1">
      <c r="B1719" s="92" t="str">
        <f t="shared" si="337"/>
        <v/>
      </c>
      <c r="I1719" s="329" t="str">
        <f t="shared" si="334"/>
        <v/>
      </c>
      <c r="J1719" s="329" t="str">
        <f t="shared" si="335"/>
        <v/>
      </c>
      <c r="K1719" s="329" t="str">
        <f t="shared" si="336"/>
        <v/>
      </c>
    </row>
    <row r="1720" spans="2:11" ht="12.75" customHeight="1">
      <c r="B1720" s="92" t="str">
        <f t="shared" si="337"/>
        <v/>
      </c>
      <c r="I1720" s="329" t="str">
        <f t="shared" si="334"/>
        <v/>
      </c>
      <c r="J1720" s="329" t="str">
        <f t="shared" si="335"/>
        <v/>
      </c>
      <c r="K1720" s="329" t="str">
        <f t="shared" si="336"/>
        <v/>
      </c>
    </row>
    <row r="1721" spans="2:11" ht="12.75" customHeight="1">
      <c r="B1721" s="92" t="str">
        <f t="shared" si="337"/>
        <v/>
      </c>
      <c r="I1721" s="329" t="str">
        <f t="shared" si="334"/>
        <v/>
      </c>
      <c r="J1721" s="329" t="str">
        <f t="shared" si="335"/>
        <v/>
      </c>
      <c r="K1721" s="329" t="str">
        <f t="shared" si="336"/>
        <v/>
      </c>
    </row>
    <row r="1722" spans="2:11" ht="12.75" customHeight="1">
      <c r="B1722" s="92" t="str">
        <f t="shared" si="337"/>
        <v/>
      </c>
      <c r="I1722" s="329" t="str">
        <f t="shared" si="334"/>
        <v/>
      </c>
      <c r="J1722" s="329" t="str">
        <f t="shared" si="335"/>
        <v/>
      </c>
      <c r="K1722" s="329" t="str">
        <f t="shared" si="336"/>
        <v/>
      </c>
    </row>
    <row r="1723" spans="2:11" ht="12.75" customHeight="1">
      <c r="B1723" s="92" t="str">
        <f t="shared" si="337"/>
        <v/>
      </c>
      <c r="I1723" s="329" t="str">
        <f t="shared" si="334"/>
        <v/>
      </c>
      <c r="J1723" s="329" t="str">
        <f t="shared" si="335"/>
        <v/>
      </c>
      <c r="K1723" s="329" t="str">
        <f t="shared" si="336"/>
        <v/>
      </c>
    </row>
    <row r="1724" spans="2:11" ht="12.75" customHeight="1">
      <c r="B1724" s="92" t="str">
        <f t="shared" si="337"/>
        <v/>
      </c>
      <c r="I1724" s="329" t="str">
        <f t="shared" si="334"/>
        <v/>
      </c>
      <c r="J1724" s="329" t="str">
        <f t="shared" si="335"/>
        <v/>
      </c>
      <c r="K1724" s="329" t="str">
        <f t="shared" si="336"/>
        <v/>
      </c>
    </row>
    <row r="1725" spans="2:11" ht="12.75" customHeight="1">
      <c r="B1725" s="92" t="str">
        <f t="shared" si="337"/>
        <v/>
      </c>
      <c r="I1725" s="329" t="str">
        <f t="shared" si="334"/>
        <v/>
      </c>
      <c r="J1725" s="329" t="str">
        <f t="shared" si="335"/>
        <v/>
      </c>
      <c r="K1725" s="329" t="str">
        <f t="shared" si="336"/>
        <v/>
      </c>
    </row>
    <row r="1726" spans="2:11" ht="12.75" customHeight="1">
      <c r="B1726" s="92" t="str">
        <f t="shared" si="337"/>
        <v/>
      </c>
      <c r="I1726" s="329" t="str">
        <f t="shared" ref="I1726:I1789" si="338">+IF(G1726="","",G1726*H1726)</f>
        <v/>
      </c>
      <c r="J1726" s="329" t="str">
        <f t="shared" ref="J1726:J1789" si="339">+IF(G1726="","",I1726*0.1)</f>
        <v/>
      </c>
      <c r="K1726" s="329" t="str">
        <f t="shared" ref="K1726:K1789" si="340">+IF(G1726="","",I1726+J1726)</f>
        <v/>
      </c>
    </row>
    <row r="1727" spans="2:11" ht="12.75" customHeight="1">
      <c r="B1727" s="92" t="str">
        <f t="shared" si="337"/>
        <v/>
      </c>
      <c r="I1727" s="329" t="str">
        <f t="shared" si="338"/>
        <v/>
      </c>
      <c r="J1727" s="329" t="str">
        <f t="shared" si="339"/>
        <v/>
      </c>
      <c r="K1727" s="329" t="str">
        <f t="shared" si="340"/>
        <v/>
      </c>
    </row>
    <row r="1728" spans="2:11" ht="12.75" customHeight="1">
      <c r="B1728" s="92" t="str">
        <f t="shared" si="337"/>
        <v/>
      </c>
      <c r="I1728" s="329" t="str">
        <f t="shared" si="338"/>
        <v/>
      </c>
      <c r="J1728" s="329" t="str">
        <f t="shared" si="339"/>
        <v/>
      </c>
      <c r="K1728" s="329" t="str">
        <f t="shared" si="340"/>
        <v/>
      </c>
    </row>
    <row r="1729" spans="2:11" ht="12.75" customHeight="1">
      <c r="B1729" s="92" t="str">
        <f t="shared" si="337"/>
        <v/>
      </c>
      <c r="I1729" s="329" t="str">
        <f t="shared" si="338"/>
        <v/>
      </c>
      <c r="J1729" s="329" t="str">
        <f t="shared" si="339"/>
        <v/>
      </c>
      <c r="K1729" s="329" t="str">
        <f t="shared" si="340"/>
        <v/>
      </c>
    </row>
    <row r="1730" spans="2:11" ht="12.75" customHeight="1">
      <c r="B1730" s="92" t="str">
        <f t="shared" si="337"/>
        <v/>
      </c>
      <c r="I1730" s="329" t="str">
        <f t="shared" si="338"/>
        <v/>
      </c>
      <c r="J1730" s="329" t="str">
        <f t="shared" si="339"/>
        <v/>
      </c>
      <c r="K1730" s="329" t="str">
        <f t="shared" si="340"/>
        <v/>
      </c>
    </row>
    <row r="1731" spans="2:11" ht="12.75" customHeight="1">
      <c r="B1731" s="92" t="str">
        <f t="shared" si="337"/>
        <v/>
      </c>
      <c r="I1731" s="329" t="str">
        <f t="shared" si="338"/>
        <v/>
      </c>
      <c r="J1731" s="329" t="str">
        <f t="shared" si="339"/>
        <v/>
      </c>
      <c r="K1731" s="329" t="str">
        <f t="shared" si="340"/>
        <v/>
      </c>
    </row>
    <row r="1732" spans="2:11" ht="12.75" customHeight="1">
      <c r="B1732" s="92" t="str">
        <f t="shared" si="337"/>
        <v/>
      </c>
      <c r="I1732" s="329" t="str">
        <f t="shared" si="338"/>
        <v/>
      </c>
      <c r="J1732" s="329" t="str">
        <f t="shared" si="339"/>
        <v/>
      </c>
      <c r="K1732" s="329" t="str">
        <f t="shared" si="340"/>
        <v/>
      </c>
    </row>
    <row r="1733" spans="2:11" ht="12.75" customHeight="1">
      <c r="B1733" s="92" t="str">
        <f t="shared" si="337"/>
        <v/>
      </c>
      <c r="I1733" s="329" t="str">
        <f t="shared" si="338"/>
        <v/>
      </c>
      <c r="J1733" s="329" t="str">
        <f t="shared" si="339"/>
        <v/>
      </c>
      <c r="K1733" s="329" t="str">
        <f t="shared" si="340"/>
        <v/>
      </c>
    </row>
    <row r="1734" spans="2:11" ht="12.75" customHeight="1">
      <c r="B1734" s="92" t="str">
        <f t="shared" si="337"/>
        <v/>
      </c>
      <c r="I1734" s="329" t="str">
        <f t="shared" si="338"/>
        <v/>
      </c>
      <c r="J1734" s="329" t="str">
        <f t="shared" si="339"/>
        <v/>
      </c>
      <c r="K1734" s="329" t="str">
        <f t="shared" si="340"/>
        <v/>
      </c>
    </row>
    <row r="1735" spans="2:11" ht="12.75" customHeight="1">
      <c r="B1735" s="92" t="str">
        <f t="shared" si="337"/>
        <v/>
      </c>
      <c r="I1735" s="329" t="str">
        <f t="shared" si="338"/>
        <v/>
      </c>
      <c r="J1735" s="329" t="str">
        <f t="shared" si="339"/>
        <v/>
      </c>
      <c r="K1735" s="329" t="str">
        <f t="shared" si="340"/>
        <v/>
      </c>
    </row>
    <row r="1736" spans="2:11" ht="12.75" customHeight="1">
      <c r="B1736" s="92" t="str">
        <f t="shared" si="337"/>
        <v/>
      </c>
      <c r="I1736" s="329" t="str">
        <f t="shared" si="338"/>
        <v/>
      </c>
      <c r="J1736" s="329" t="str">
        <f t="shared" si="339"/>
        <v/>
      </c>
      <c r="K1736" s="329" t="str">
        <f t="shared" si="340"/>
        <v/>
      </c>
    </row>
    <row r="1737" spans="2:11" ht="12.75" customHeight="1">
      <c r="B1737" s="92" t="str">
        <f t="shared" si="337"/>
        <v/>
      </c>
      <c r="I1737" s="329" t="str">
        <f t="shared" si="338"/>
        <v/>
      </c>
      <c r="J1737" s="329" t="str">
        <f t="shared" si="339"/>
        <v/>
      </c>
      <c r="K1737" s="329" t="str">
        <f t="shared" si="340"/>
        <v/>
      </c>
    </row>
    <row r="1738" spans="2:11" ht="12.75" customHeight="1">
      <c r="B1738" s="92" t="str">
        <f t="shared" si="337"/>
        <v/>
      </c>
      <c r="I1738" s="329" t="str">
        <f t="shared" si="338"/>
        <v/>
      </c>
      <c r="J1738" s="329" t="str">
        <f t="shared" si="339"/>
        <v/>
      </c>
      <c r="K1738" s="329" t="str">
        <f t="shared" si="340"/>
        <v/>
      </c>
    </row>
    <row r="1739" spans="2:11" ht="12.75" customHeight="1">
      <c r="B1739" s="92" t="str">
        <f t="shared" si="337"/>
        <v/>
      </c>
      <c r="I1739" s="329" t="str">
        <f t="shared" si="338"/>
        <v/>
      </c>
      <c r="J1739" s="329" t="str">
        <f t="shared" si="339"/>
        <v/>
      </c>
      <c r="K1739" s="329" t="str">
        <f t="shared" si="340"/>
        <v/>
      </c>
    </row>
    <row r="1740" spans="2:11" ht="12.75" customHeight="1">
      <c r="B1740" s="92" t="str">
        <f t="shared" si="337"/>
        <v/>
      </c>
      <c r="I1740" s="329" t="str">
        <f t="shared" si="338"/>
        <v/>
      </c>
      <c r="J1740" s="329" t="str">
        <f t="shared" si="339"/>
        <v/>
      </c>
      <c r="K1740" s="329" t="str">
        <f t="shared" si="340"/>
        <v/>
      </c>
    </row>
    <row r="1741" spans="2:11" ht="12.75" customHeight="1">
      <c r="B1741" s="92" t="str">
        <f t="shared" si="337"/>
        <v/>
      </c>
      <c r="I1741" s="329" t="str">
        <f t="shared" si="338"/>
        <v/>
      </c>
      <c r="J1741" s="329" t="str">
        <f t="shared" si="339"/>
        <v/>
      </c>
      <c r="K1741" s="329" t="str">
        <f t="shared" si="340"/>
        <v/>
      </c>
    </row>
    <row r="1742" spans="2:11" ht="12.75" customHeight="1">
      <c r="B1742" s="92" t="str">
        <f t="shared" si="337"/>
        <v/>
      </c>
      <c r="I1742" s="329" t="str">
        <f t="shared" si="338"/>
        <v/>
      </c>
      <c r="J1742" s="329" t="str">
        <f t="shared" si="339"/>
        <v/>
      </c>
      <c r="K1742" s="329" t="str">
        <f t="shared" si="340"/>
        <v/>
      </c>
    </row>
    <row r="1743" spans="2:11" ht="12.75" customHeight="1">
      <c r="B1743" s="92" t="str">
        <f t="shared" si="337"/>
        <v/>
      </c>
      <c r="I1743" s="329" t="str">
        <f t="shared" si="338"/>
        <v/>
      </c>
      <c r="J1743" s="329" t="str">
        <f t="shared" si="339"/>
        <v/>
      </c>
      <c r="K1743" s="329" t="str">
        <f t="shared" si="340"/>
        <v/>
      </c>
    </row>
    <row r="1744" spans="2:11" ht="12.75" customHeight="1">
      <c r="B1744" s="92" t="str">
        <f t="shared" si="337"/>
        <v/>
      </c>
      <c r="I1744" s="329" t="str">
        <f t="shared" si="338"/>
        <v/>
      </c>
      <c r="J1744" s="329" t="str">
        <f t="shared" si="339"/>
        <v/>
      </c>
      <c r="K1744" s="329" t="str">
        <f t="shared" si="340"/>
        <v/>
      </c>
    </row>
    <row r="1745" spans="2:11" ht="12.75" customHeight="1">
      <c r="B1745" s="92" t="str">
        <f t="shared" si="337"/>
        <v/>
      </c>
      <c r="I1745" s="329" t="str">
        <f t="shared" si="338"/>
        <v/>
      </c>
      <c r="J1745" s="329" t="str">
        <f t="shared" si="339"/>
        <v/>
      </c>
      <c r="K1745" s="329" t="str">
        <f t="shared" si="340"/>
        <v/>
      </c>
    </row>
    <row r="1746" spans="2:11" ht="12.75" customHeight="1">
      <c r="B1746" s="92" t="str">
        <f t="shared" si="337"/>
        <v/>
      </c>
      <c r="I1746" s="329" t="str">
        <f t="shared" si="338"/>
        <v/>
      </c>
      <c r="J1746" s="329" t="str">
        <f t="shared" si="339"/>
        <v/>
      </c>
      <c r="K1746" s="329" t="str">
        <f t="shared" si="340"/>
        <v/>
      </c>
    </row>
    <row r="1747" spans="2:11" ht="12.75" customHeight="1">
      <c r="B1747" s="92" t="str">
        <f t="shared" si="337"/>
        <v/>
      </c>
      <c r="I1747" s="329" t="str">
        <f t="shared" si="338"/>
        <v/>
      </c>
      <c r="J1747" s="329" t="str">
        <f t="shared" si="339"/>
        <v/>
      </c>
      <c r="K1747" s="329" t="str">
        <f t="shared" si="340"/>
        <v/>
      </c>
    </row>
    <row r="1748" spans="2:11" ht="12.75" customHeight="1">
      <c r="B1748" s="92" t="str">
        <f t="shared" si="337"/>
        <v/>
      </c>
      <c r="I1748" s="329" t="str">
        <f t="shared" si="338"/>
        <v/>
      </c>
      <c r="J1748" s="329" t="str">
        <f t="shared" si="339"/>
        <v/>
      </c>
      <c r="K1748" s="329" t="str">
        <f t="shared" si="340"/>
        <v/>
      </c>
    </row>
    <row r="1749" spans="2:11" ht="12.75" customHeight="1">
      <c r="B1749" s="92" t="str">
        <f t="shared" si="337"/>
        <v/>
      </c>
      <c r="I1749" s="329" t="str">
        <f t="shared" si="338"/>
        <v/>
      </c>
      <c r="J1749" s="329" t="str">
        <f t="shared" si="339"/>
        <v/>
      </c>
      <c r="K1749" s="329" t="str">
        <f t="shared" si="340"/>
        <v/>
      </c>
    </row>
    <row r="1750" spans="2:11" ht="12.75" customHeight="1">
      <c r="B1750" s="92" t="str">
        <f t="shared" si="337"/>
        <v/>
      </c>
      <c r="I1750" s="329" t="str">
        <f t="shared" si="338"/>
        <v/>
      </c>
      <c r="J1750" s="329" t="str">
        <f t="shared" si="339"/>
        <v/>
      </c>
      <c r="K1750" s="329" t="str">
        <f t="shared" si="340"/>
        <v/>
      </c>
    </row>
    <row r="1751" spans="2:11" ht="12.75" customHeight="1">
      <c r="B1751" s="92" t="str">
        <f t="shared" si="337"/>
        <v/>
      </c>
      <c r="I1751" s="329" t="str">
        <f t="shared" si="338"/>
        <v/>
      </c>
      <c r="J1751" s="329" t="str">
        <f t="shared" si="339"/>
        <v/>
      </c>
      <c r="K1751" s="329" t="str">
        <f t="shared" si="340"/>
        <v/>
      </c>
    </row>
    <row r="1752" spans="2:11" ht="12.75" customHeight="1">
      <c r="B1752" s="92" t="str">
        <f t="shared" si="337"/>
        <v/>
      </c>
      <c r="I1752" s="329" t="str">
        <f t="shared" si="338"/>
        <v/>
      </c>
      <c r="J1752" s="329" t="str">
        <f t="shared" si="339"/>
        <v/>
      </c>
      <c r="K1752" s="329" t="str">
        <f t="shared" si="340"/>
        <v/>
      </c>
    </row>
    <row r="1753" spans="2:11" ht="12.75" customHeight="1">
      <c r="B1753" s="92" t="str">
        <f t="shared" si="337"/>
        <v/>
      </c>
      <c r="I1753" s="329" t="str">
        <f t="shared" si="338"/>
        <v/>
      </c>
      <c r="J1753" s="329" t="str">
        <f t="shared" si="339"/>
        <v/>
      </c>
      <c r="K1753" s="329" t="str">
        <f t="shared" si="340"/>
        <v/>
      </c>
    </row>
    <row r="1754" spans="2:11" ht="12.75" customHeight="1">
      <c r="B1754" s="92" t="str">
        <f t="shared" si="337"/>
        <v/>
      </c>
      <c r="I1754" s="329" t="str">
        <f t="shared" si="338"/>
        <v/>
      </c>
      <c r="J1754" s="329" t="str">
        <f t="shared" si="339"/>
        <v/>
      </c>
      <c r="K1754" s="329" t="str">
        <f t="shared" si="340"/>
        <v/>
      </c>
    </row>
    <row r="1755" spans="2:11" ht="12.75" customHeight="1">
      <c r="B1755" s="92" t="str">
        <f t="shared" si="337"/>
        <v/>
      </c>
      <c r="I1755" s="329" t="str">
        <f t="shared" si="338"/>
        <v/>
      </c>
      <c r="J1755" s="329" t="str">
        <f t="shared" si="339"/>
        <v/>
      </c>
      <c r="K1755" s="329" t="str">
        <f t="shared" si="340"/>
        <v/>
      </c>
    </row>
    <row r="1756" spans="2:11" ht="12.75" customHeight="1">
      <c r="B1756" s="92" t="str">
        <f t="shared" si="337"/>
        <v/>
      </c>
      <c r="I1756" s="329" t="str">
        <f t="shared" si="338"/>
        <v/>
      </c>
      <c r="J1756" s="329" t="str">
        <f t="shared" si="339"/>
        <v/>
      </c>
      <c r="K1756" s="329" t="str">
        <f t="shared" si="340"/>
        <v/>
      </c>
    </row>
    <row r="1757" spans="2:11" ht="12.75" customHeight="1">
      <c r="B1757" s="92" t="str">
        <f t="shared" si="337"/>
        <v/>
      </c>
      <c r="I1757" s="329" t="str">
        <f t="shared" si="338"/>
        <v/>
      </c>
      <c r="J1757" s="329" t="str">
        <f t="shared" si="339"/>
        <v/>
      </c>
      <c r="K1757" s="329" t="str">
        <f t="shared" si="340"/>
        <v/>
      </c>
    </row>
    <row r="1758" spans="2:11" ht="12.75" customHeight="1">
      <c r="B1758" s="92" t="str">
        <f t="shared" si="337"/>
        <v/>
      </c>
      <c r="I1758" s="329" t="str">
        <f t="shared" si="338"/>
        <v/>
      </c>
      <c r="J1758" s="329" t="str">
        <f t="shared" si="339"/>
        <v/>
      </c>
      <c r="K1758" s="329" t="str">
        <f t="shared" si="340"/>
        <v/>
      </c>
    </row>
    <row r="1759" spans="2:11" ht="12.75" customHeight="1">
      <c r="B1759" s="92" t="str">
        <f t="shared" si="337"/>
        <v/>
      </c>
      <c r="I1759" s="329" t="str">
        <f t="shared" si="338"/>
        <v/>
      </c>
      <c r="J1759" s="329" t="str">
        <f t="shared" si="339"/>
        <v/>
      </c>
      <c r="K1759" s="329" t="str">
        <f t="shared" si="340"/>
        <v/>
      </c>
    </row>
    <row r="1760" spans="2:11" ht="12.75" customHeight="1">
      <c r="B1760" s="92" t="str">
        <f t="shared" si="337"/>
        <v/>
      </c>
      <c r="I1760" s="329" t="str">
        <f t="shared" si="338"/>
        <v/>
      </c>
      <c r="J1760" s="329" t="str">
        <f t="shared" si="339"/>
        <v/>
      </c>
      <c r="K1760" s="329" t="str">
        <f t="shared" si="340"/>
        <v/>
      </c>
    </row>
    <row r="1761" spans="2:11" ht="12.75" customHeight="1">
      <c r="B1761" s="92" t="str">
        <f t="shared" si="337"/>
        <v/>
      </c>
      <c r="I1761" s="329" t="str">
        <f t="shared" si="338"/>
        <v/>
      </c>
      <c r="J1761" s="329" t="str">
        <f t="shared" si="339"/>
        <v/>
      </c>
      <c r="K1761" s="329" t="str">
        <f t="shared" si="340"/>
        <v/>
      </c>
    </row>
    <row r="1762" spans="2:11" ht="12.75" customHeight="1">
      <c r="B1762" s="92" t="str">
        <f t="shared" si="337"/>
        <v/>
      </c>
      <c r="I1762" s="329" t="str">
        <f t="shared" si="338"/>
        <v/>
      </c>
      <c r="J1762" s="329" t="str">
        <f t="shared" si="339"/>
        <v/>
      </c>
      <c r="K1762" s="329" t="str">
        <f t="shared" si="340"/>
        <v/>
      </c>
    </row>
    <row r="1763" spans="2:11" ht="12.75" customHeight="1">
      <c r="B1763" s="92" t="str">
        <f t="shared" si="337"/>
        <v/>
      </c>
      <c r="I1763" s="329" t="str">
        <f t="shared" si="338"/>
        <v/>
      </c>
      <c r="J1763" s="329" t="str">
        <f t="shared" si="339"/>
        <v/>
      </c>
      <c r="K1763" s="329" t="str">
        <f t="shared" si="340"/>
        <v/>
      </c>
    </row>
    <row r="1764" spans="2:11" ht="12.75" customHeight="1">
      <c r="B1764" s="92" t="str">
        <f t="shared" si="337"/>
        <v/>
      </c>
      <c r="I1764" s="329" t="str">
        <f t="shared" si="338"/>
        <v/>
      </c>
      <c r="J1764" s="329" t="str">
        <f t="shared" si="339"/>
        <v/>
      </c>
      <c r="K1764" s="329" t="str">
        <f t="shared" si="340"/>
        <v/>
      </c>
    </row>
    <row r="1765" spans="2:11" ht="12.75" customHeight="1">
      <c r="B1765" s="92" t="str">
        <f t="shared" si="337"/>
        <v/>
      </c>
      <c r="I1765" s="329" t="str">
        <f t="shared" si="338"/>
        <v/>
      </c>
      <c r="J1765" s="329" t="str">
        <f t="shared" si="339"/>
        <v/>
      </c>
      <c r="K1765" s="329" t="str">
        <f t="shared" si="340"/>
        <v/>
      </c>
    </row>
    <row r="1766" spans="2:11" ht="12.75" customHeight="1">
      <c r="B1766" s="92" t="str">
        <f t="shared" si="337"/>
        <v/>
      </c>
      <c r="I1766" s="329" t="str">
        <f t="shared" si="338"/>
        <v/>
      </c>
      <c r="J1766" s="329" t="str">
        <f t="shared" si="339"/>
        <v/>
      </c>
      <c r="K1766" s="329" t="str">
        <f t="shared" si="340"/>
        <v/>
      </c>
    </row>
    <row r="1767" spans="2:11" ht="12.75" customHeight="1">
      <c r="B1767" s="92" t="str">
        <f t="shared" si="337"/>
        <v/>
      </c>
      <c r="I1767" s="329" t="str">
        <f t="shared" si="338"/>
        <v/>
      </c>
      <c r="J1767" s="329" t="str">
        <f t="shared" si="339"/>
        <v/>
      </c>
      <c r="K1767" s="329" t="str">
        <f t="shared" si="340"/>
        <v/>
      </c>
    </row>
    <row r="1768" spans="2:11" ht="12.75" customHeight="1">
      <c r="B1768" s="92" t="str">
        <f t="shared" si="337"/>
        <v/>
      </c>
      <c r="I1768" s="329" t="str">
        <f t="shared" si="338"/>
        <v/>
      </c>
      <c r="J1768" s="329" t="str">
        <f t="shared" si="339"/>
        <v/>
      </c>
      <c r="K1768" s="329" t="str">
        <f t="shared" si="340"/>
        <v/>
      </c>
    </row>
    <row r="1769" spans="2:11" ht="12.75" customHeight="1">
      <c r="B1769" s="92" t="str">
        <f t="shared" si="337"/>
        <v/>
      </c>
      <c r="I1769" s="329" t="str">
        <f t="shared" si="338"/>
        <v/>
      </c>
      <c r="J1769" s="329" t="str">
        <f t="shared" si="339"/>
        <v/>
      </c>
      <c r="K1769" s="329" t="str">
        <f t="shared" si="340"/>
        <v/>
      </c>
    </row>
    <row r="1770" spans="2:11" ht="12.75" customHeight="1">
      <c r="B1770" s="92" t="str">
        <f t="shared" si="337"/>
        <v/>
      </c>
      <c r="I1770" s="329" t="str">
        <f t="shared" si="338"/>
        <v/>
      </c>
      <c r="J1770" s="329" t="str">
        <f t="shared" si="339"/>
        <v/>
      </c>
      <c r="K1770" s="329" t="str">
        <f t="shared" si="340"/>
        <v/>
      </c>
    </row>
    <row r="1771" spans="2:11" ht="12.75" customHeight="1">
      <c r="B1771" s="92" t="str">
        <f t="shared" si="337"/>
        <v/>
      </c>
      <c r="I1771" s="329" t="str">
        <f t="shared" si="338"/>
        <v/>
      </c>
      <c r="J1771" s="329" t="str">
        <f t="shared" si="339"/>
        <v/>
      </c>
      <c r="K1771" s="329" t="str">
        <f t="shared" si="340"/>
        <v/>
      </c>
    </row>
    <row r="1772" spans="2:11" ht="12.75" customHeight="1">
      <c r="B1772" s="92" t="str">
        <f t="shared" si="337"/>
        <v/>
      </c>
      <c r="I1772" s="329" t="str">
        <f t="shared" si="338"/>
        <v/>
      </c>
      <c r="J1772" s="329" t="str">
        <f t="shared" si="339"/>
        <v/>
      </c>
      <c r="K1772" s="329" t="str">
        <f t="shared" si="340"/>
        <v/>
      </c>
    </row>
    <row r="1773" spans="2:11" ht="12.75" customHeight="1">
      <c r="B1773" s="92" t="str">
        <f t="shared" si="337"/>
        <v/>
      </c>
      <c r="I1773" s="329" t="str">
        <f t="shared" si="338"/>
        <v/>
      </c>
      <c r="J1773" s="329" t="str">
        <f t="shared" si="339"/>
        <v/>
      </c>
      <c r="K1773" s="329" t="str">
        <f t="shared" si="340"/>
        <v/>
      </c>
    </row>
    <row r="1774" spans="2:11" ht="12.75" customHeight="1">
      <c r="B1774" s="92" t="str">
        <f t="shared" ref="B1774:B1837" si="341">IF(C1774="","",ROW()-5)</f>
        <v/>
      </c>
      <c r="I1774" s="329" t="str">
        <f t="shared" si="338"/>
        <v/>
      </c>
      <c r="J1774" s="329" t="str">
        <f t="shared" si="339"/>
        <v/>
      </c>
      <c r="K1774" s="329" t="str">
        <f t="shared" si="340"/>
        <v/>
      </c>
    </row>
    <row r="1775" spans="2:11" ht="12.75" customHeight="1">
      <c r="B1775" s="92" t="str">
        <f t="shared" si="341"/>
        <v/>
      </c>
      <c r="I1775" s="329" t="str">
        <f t="shared" si="338"/>
        <v/>
      </c>
      <c r="J1775" s="329" t="str">
        <f t="shared" si="339"/>
        <v/>
      </c>
      <c r="K1775" s="329" t="str">
        <f t="shared" si="340"/>
        <v/>
      </c>
    </row>
    <row r="1776" spans="2:11" ht="12.75" customHeight="1">
      <c r="B1776" s="92" t="str">
        <f t="shared" si="341"/>
        <v/>
      </c>
      <c r="I1776" s="329" t="str">
        <f t="shared" si="338"/>
        <v/>
      </c>
      <c r="J1776" s="329" t="str">
        <f t="shared" si="339"/>
        <v/>
      </c>
      <c r="K1776" s="329" t="str">
        <f t="shared" si="340"/>
        <v/>
      </c>
    </row>
    <row r="1777" spans="2:11" ht="12.75" customHeight="1">
      <c r="B1777" s="92" t="str">
        <f t="shared" si="341"/>
        <v/>
      </c>
      <c r="I1777" s="329" t="str">
        <f t="shared" si="338"/>
        <v/>
      </c>
      <c r="J1777" s="329" t="str">
        <f t="shared" si="339"/>
        <v/>
      </c>
      <c r="K1777" s="329" t="str">
        <f t="shared" si="340"/>
        <v/>
      </c>
    </row>
    <row r="1778" spans="2:11" ht="12.75" customHeight="1">
      <c r="B1778" s="92" t="str">
        <f t="shared" si="341"/>
        <v/>
      </c>
      <c r="I1778" s="329" t="str">
        <f t="shared" si="338"/>
        <v/>
      </c>
      <c r="J1778" s="329" t="str">
        <f t="shared" si="339"/>
        <v/>
      </c>
      <c r="K1778" s="329" t="str">
        <f t="shared" si="340"/>
        <v/>
      </c>
    </row>
    <row r="1779" spans="2:11" ht="12.75" customHeight="1">
      <c r="B1779" s="92" t="str">
        <f t="shared" si="341"/>
        <v/>
      </c>
      <c r="I1779" s="329" t="str">
        <f t="shared" si="338"/>
        <v/>
      </c>
      <c r="J1779" s="329" t="str">
        <f t="shared" si="339"/>
        <v/>
      </c>
      <c r="K1779" s="329" t="str">
        <f t="shared" si="340"/>
        <v/>
      </c>
    </row>
    <row r="1780" spans="2:11" ht="12.75" customHeight="1">
      <c r="B1780" s="92" t="str">
        <f t="shared" si="341"/>
        <v/>
      </c>
      <c r="I1780" s="329" t="str">
        <f t="shared" si="338"/>
        <v/>
      </c>
      <c r="J1780" s="329" t="str">
        <f t="shared" si="339"/>
        <v/>
      </c>
      <c r="K1780" s="329" t="str">
        <f t="shared" si="340"/>
        <v/>
      </c>
    </row>
    <row r="1781" spans="2:11" ht="12.75" customHeight="1">
      <c r="B1781" s="92" t="str">
        <f t="shared" si="341"/>
        <v/>
      </c>
      <c r="I1781" s="329" t="str">
        <f t="shared" si="338"/>
        <v/>
      </c>
      <c r="J1781" s="329" t="str">
        <f t="shared" si="339"/>
        <v/>
      </c>
      <c r="K1781" s="329" t="str">
        <f t="shared" si="340"/>
        <v/>
      </c>
    </row>
    <row r="1782" spans="2:11" ht="12.75" customHeight="1">
      <c r="B1782" s="92" t="str">
        <f t="shared" si="341"/>
        <v/>
      </c>
      <c r="I1782" s="329" t="str">
        <f t="shared" si="338"/>
        <v/>
      </c>
      <c r="J1782" s="329" t="str">
        <f t="shared" si="339"/>
        <v/>
      </c>
      <c r="K1782" s="329" t="str">
        <f t="shared" si="340"/>
        <v/>
      </c>
    </row>
    <row r="1783" spans="2:11" ht="12.75" customHeight="1">
      <c r="B1783" s="92" t="str">
        <f t="shared" si="341"/>
        <v/>
      </c>
      <c r="I1783" s="329" t="str">
        <f t="shared" si="338"/>
        <v/>
      </c>
      <c r="J1783" s="329" t="str">
        <f t="shared" si="339"/>
        <v/>
      </c>
      <c r="K1783" s="329" t="str">
        <f t="shared" si="340"/>
        <v/>
      </c>
    </row>
    <row r="1784" spans="2:11" ht="12.75" customHeight="1">
      <c r="B1784" s="92" t="str">
        <f t="shared" si="341"/>
        <v/>
      </c>
      <c r="I1784" s="329" t="str">
        <f t="shared" si="338"/>
        <v/>
      </c>
      <c r="J1784" s="329" t="str">
        <f t="shared" si="339"/>
        <v/>
      </c>
      <c r="K1784" s="329" t="str">
        <f t="shared" si="340"/>
        <v/>
      </c>
    </row>
    <row r="1785" spans="2:11" ht="12.75" customHeight="1">
      <c r="B1785" s="92" t="str">
        <f t="shared" si="341"/>
        <v/>
      </c>
      <c r="I1785" s="329" t="str">
        <f t="shared" si="338"/>
        <v/>
      </c>
      <c r="J1785" s="329" t="str">
        <f t="shared" si="339"/>
        <v/>
      </c>
      <c r="K1785" s="329" t="str">
        <f t="shared" si="340"/>
        <v/>
      </c>
    </row>
    <row r="1786" spans="2:11" ht="12.75" customHeight="1">
      <c r="B1786" s="92" t="str">
        <f t="shared" si="341"/>
        <v/>
      </c>
      <c r="I1786" s="329" t="str">
        <f t="shared" si="338"/>
        <v/>
      </c>
      <c r="J1786" s="329" t="str">
        <f t="shared" si="339"/>
        <v/>
      </c>
      <c r="K1786" s="329" t="str">
        <f t="shared" si="340"/>
        <v/>
      </c>
    </row>
    <row r="1787" spans="2:11" ht="12.75" customHeight="1">
      <c r="B1787" s="92" t="str">
        <f t="shared" si="341"/>
        <v/>
      </c>
      <c r="I1787" s="329" t="str">
        <f t="shared" si="338"/>
        <v/>
      </c>
      <c r="J1787" s="329" t="str">
        <f t="shared" si="339"/>
        <v/>
      </c>
      <c r="K1787" s="329" t="str">
        <f t="shared" si="340"/>
        <v/>
      </c>
    </row>
    <row r="1788" spans="2:11" ht="12.75" customHeight="1">
      <c r="B1788" s="92" t="str">
        <f t="shared" si="341"/>
        <v/>
      </c>
      <c r="I1788" s="329" t="str">
        <f t="shared" si="338"/>
        <v/>
      </c>
      <c r="J1788" s="329" t="str">
        <f t="shared" si="339"/>
        <v/>
      </c>
      <c r="K1788" s="329" t="str">
        <f t="shared" si="340"/>
        <v/>
      </c>
    </row>
    <row r="1789" spans="2:11" ht="12.75" customHeight="1">
      <c r="B1789" s="92" t="str">
        <f t="shared" si="341"/>
        <v/>
      </c>
      <c r="I1789" s="329" t="str">
        <f t="shared" si="338"/>
        <v/>
      </c>
      <c r="J1789" s="329" t="str">
        <f t="shared" si="339"/>
        <v/>
      </c>
      <c r="K1789" s="329" t="str">
        <f t="shared" si="340"/>
        <v/>
      </c>
    </row>
    <row r="1790" spans="2:11" ht="12.75" customHeight="1">
      <c r="B1790" s="92" t="str">
        <f t="shared" si="341"/>
        <v/>
      </c>
      <c r="I1790" s="329" t="str">
        <f t="shared" ref="I1790:I1799" si="342">+IF(G1790="","",G1790*H1790)</f>
        <v/>
      </c>
      <c r="J1790" s="329" t="str">
        <f t="shared" ref="J1790:J1799" si="343">+IF(G1790="","",I1790*0.1)</f>
        <v/>
      </c>
      <c r="K1790" s="329" t="str">
        <f t="shared" ref="K1790:K1799" si="344">+IF(G1790="","",I1790+J1790)</f>
        <v/>
      </c>
    </row>
    <row r="1791" spans="2:11" ht="12.75" customHeight="1">
      <c r="B1791" s="92" t="str">
        <f t="shared" si="341"/>
        <v/>
      </c>
      <c r="I1791" s="329" t="str">
        <f t="shared" si="342"/>
        <v/>
      </c>
      <c r="J1791" s="329" t="str">
        <f t="shared" si="343"/>
        <v/>
      </c>
      <c r="K1791" s="329" t="str">
        <f t="shared" si="344"/>
        <v/>
      </c>
    </row>
    <row r="1792" spans="2:11" ht="12.75" customHeight="1">
      <c r="B1792" s="92" t="str">
        <f t="shared" si="341"/>
        <v/>
      </c>
      <c r="I1792" s="329" t="str">
        <f t="shared" si="342"/>
        <v/>
      </c>
      <c r="J1792" s="329" t="str">
        <f t="shared" si="343"/>
        <v/>
      </c>
      <c r="K1792" s="329" t="str">
        <f t="shared" si="344"/>
        <v/>
      </c>
    </row>
    <row r="1793" spans="2:11" ht="12.75" customHeight="1">
      <c r="B1793" s="92" t="str">
        <f t="shared" si="341"/>
        <v/>
      </c>
      <c r="I1793" s="329" t="str">
        <f t="shared" si="342"/>
        <v/>
      </c>
      <c r="J1793" s="329" t="str">
        <f t="shared" si="343"/>
        <v/>
      </c>
      <c r="K1793" s="329" t="str">
        <f t="shared" si="344"/>
        <v/>
      </c>
    </row>
    <row r="1794" spans="2:11" ht="12.75" customHeight="1">
      <c r="B1794" s="92" t="str">
        <f t="shared" si="341"/>
        <v/>
      </c>
      <c r="I1794" s="329" t="str">
        <f t="shared" si="342"/>
        <v/>
      </c>
      <c r="J1794" s="329" t="str">
        <f t="shared" si="343"/>
        <v/>
      </c>
      <c r="K1794" s="329" t="str">
        <f t="shared" si="344"/>
        <v/>
      </c>
    </row>
    <row r="1795" spans="2:11" ht="12.75" customHeight="1">
      <c r="B1795" s="92" t="str">
        <f t="shared" si="341"/>
        <v/>
      </c>
      <c r="I1795" s="329" t="str">
        <f t="shared" si="342"/>
        <v/>
      </c>
      <c r="J1795" s="329" t="str">
        <f t="shared" si="343"/>
        <v/>
      </c>
      <c r="K1795" s="329" t="str">
        <f t="shared" si="344"/>
        <v/>
      </c>
    </row>
    <row r="1796" spans="2:11" ht="12.75" customHeight="1">
      <c r="B1796" s="92" t="str">
        <f t="shared" si="341"/>
        <v/>
      </c>
      <c r="I1796" s="329" t="str">
        <f t="shared" si="342"/>
        <v/>
      </c>
      <c r="J1796" s="329" t="str">
        <f t="shared" si="343"/>
        <v/>
      </c>
      <c r="K1796" s="329" t="str">
        <f t="shared" si="344"/>
        <v/>
      </c>
    </row>
    <row r="1797" spans="2:11" ht="12.75" customHeight="1">
      <c r="B1797" s="92" t="str">
        <f t="shared" si="341"/>
        <v/>
      </c>
      <c r="I1797" s="329" t="str">
        <f t="shared" si="342"/>
        <v/>
      </c>
      <c r="J1797" s="329" t="str">
        <f t="shared" si="343"/>
        <v/>
      </c>
      <c r="K1797" s="329" t="str">
        <f t="shared" si="344"/>
        <v/>
      </c>
    </row>
    <row r="1798" spans="2:11" ht="12.75" customHeight="1">
      <c r="B1798" s="92" t="str">
        <f t="shared" si="341"/>
        <v/>
      </c>
      <c r="I1798" s="329" t="str">
        <f t="shared" si="342"/>
        <v/>
      </c>
      <c r="J1798" s="329" t="str">
        <f t="shared" si="343"/>
        <v/>
      </c>
      <c r="K1798" s="329" t="str">
        <f t="shared" si="344"/>
        <v/>
      </c>
    </row>
    <row r="1799" spans="2:11" ht="12.75" customHeight="1">
      <c r="B1799" s="92" t="str">
        <f t="shared" si="341"/>
        <v/>
      </c>
      <c r="I1799" s="329" t="str">
        <f t="shared" si="342"/>
        <v/>
      </c>
      <c r="J1799" s="329" t="str">
        <f t="shared" si="343"/>
        <v/>
      </c>
      <c r="K1799" s="329" t="str">
        <f t="shared" si="344"/>
        <v/>
      </c>
    </row>
    <row r="1800" spans="2:11" ht="12.75" customHeight="1">
      <c r="B1800" s="92" t="str">
        <f t="shared" si="341"/>
        <v/>
      </c>
    </row>
    <row r="1801" spans="2:11" ht="12.75" customHeight="1">
      <c r="B1801" s="92" t="str">
        <f t="shared" si="341"/>
        <v/>
      </c>
    </row>
    <row r="1802" spans="2:11" ht="12.75" customHeight="1">
      <c r="B1802" s="92" t="str">
        <f t="shared" si="341"/>
        <v/>
      </c>
    </row>
    <row r="1803" spans="2:11" ht="12.75" customHeight="1">
      <c r="B1803" s="92" t="str">
        <f t="shared" si="341"/>
        <v/>
      </c>
    </row>
    <row r="1804" spans="2:11" ht="12.75" customHeight="1">
      <c r="B1804" s="92" t="str">
        <f t="shared" si="341"/>
        <v/>
      </c>
    </row>
    <row r="1805" spans="2:11" ht="12.75" customHeight="1">
      <c r="B1805" s="92" t="str">
        <f t="shared" si="341"/>
        <v/>
      </c>
    </row>
    <row r="1806" spans="2:11" ht="12.75" customHeight="1">
      <c r="B1806" s="92" t="str">
        <f t="shared" si="341"/>
        <v/>
      </c>
    </row>
    <row r="1807" spans="2:11" ht="12.75" customHeight="1">
      <c r="B1807" s="92" t="str">
        <f t="shared" si="341"/>
        <v/>
      </c>
    </row>
    <row r="1808" spans="2:11" ht="12.75" customHeight="1">
      <c r="B1808" s="92" t="str">
        <f t="shared" si="341"/>
        <v/>
      </c>
    </row>
    <row r="1809" spans="2:2" ht="12.75" customHeight="1">
      <c r="B1809" s="92" t="str">
        <f t="shared" si="341"/>
        <v/>
      </c>
    </row>
    <row r="1810" spans="2:2" ht="12.75" customHeight="1">
      <c r="B1810" s="92" t="str">
        <f t="shared" si="341"/>
        <v/>
      </c>
    </row>
    <row r="1811" spans="2:2" ht="12.75" customHeight="1">
      <c r="B1811" s="92" t="str">
        <f t="shared" si="341"/>
        <v/>
      </c>
    </row>
    <row r="1812" spans="2:2" ht="12.75" customHeight="1">
      <c r="B1812" s="92" t="str">
        <f t="shared" si="341"/>
        <v/>
      </c>
    </row>
    <row r="1813" spans="2:2" ht="12.75" customHeight="1">
      <c r="B1813" s="92" t="str">
        <f t="shared" si="341"/>
        <v/>
      </c>
    </row>
    <row r="1814" spans="2:2" ht="12.75" customHeight="1">
      <c r="B1814" s="92" t="str">
        <f t="shared" si="341"/>
        <v/>
      </c>
    </row>
    <row r="1815" spans="2:2" ht="12.75" customHeight="1">
      <c r="B1815" s="92" t="str">
        <f t="shared" si="341"/>
        <v/>
      </c>
    </row>
    <row r="1816" spans="2:2" ht="12.75" customHeight="1">
      <c r="B1816" s="92" t="str">
        <f t="shared" si="341"/>
        <v/>
      </c>
    </row>
    <row r="1817" spans="2:2" ht="12.75" customHeight="1">
      <c r="B1817" s="92" t="str">
        <f t="shared" si="341"/>
        <v/>
      </c>
    </row>
    <row r="1818" spans="2:2" ht="12.75" customHeight="1">
      <c r="B1818" s="92" t="str">
        <f t="shared" si="341"/>
        <v/>
      </c>
    </row>
    <row r="1819" spans="2:2" ht="12.75" customHeight="1">
      <c r="B1819" s="92" t="str">
        <f t="shared" si="341"/>
        <v/>
      </c>
    </row>
    <row r="1820" spans="2:2" ht="12.75" customHeight="1">
      <c r="B1820" s="92" t="str">
        <f t="shared" si="341"/>
        <v/>
      </c>
    </row>
    <row r="1821" spans="2:2" ht="12.75" customHeight="1">
      <c r="B1821" s="92" t="str">
        <f t="shared" si="341"/>
        <v/>
      </c>
    </row>
    <row r="1822" spans="2:2" ht="12.75" customHeight="1">
      <c r="B1822" s="92" t="str">
        <f t="shared" si="341"/>
        <v/>
      </c>
    </row>
    <row r="1823" spans="2:2" ht="12.75" customHeight="1">
      <c r="B1823" s="92" t="str">
        <f t="shared" si="341"/>
        <v/>
      </c>
    </row>
    <row r="1824" spans="2:2" ht="12.75" customHeight="1">
      <c r="B1824" s="92" t="str">
        <f t="shared" si="341"/>
        <v/>
      </c>
    </row>
    <row r="1825" spans="2:2" ht="12.75" customHeight="1">
      <c r="B1825" s="92" t="str">
        <f t="shared" si="341"/>
        <v/>
      </c>
    </row>
    <row r="1826" spans="2:2" ht="12.75" customHeight="1">
      <c r="B1826" s="92" t="str">
        <f t="shared" si="341"/>
        <v/>
      </c>
    </row>
    <row r="1827" spans="2:2" ht="12.75" customHeight="1">
      <c r="B1827" s="92" t="str">
        <f t="shared" si="341"/>
        <v/>
      </c>
    </row>
    <row r="1828" spans="2:2" ht="12.75" customHeight="1">
      <c r="B1828" s="92" t="str">
        <f t="shared" si="341"/>
        <v/>
      </c>
    </row>
    <row r="1829" spans="2:2" ht="12.75" customHeight="1">
      <c r="B1829" s="92" t="str">
        <f t="shared" si="341"/>
        <v/>
      </c>
    </row>
    <row r="1830" spans="2:2" ht="12.75" customHeight="1">
      <c r="B1830" s="92" t="str">
        <f t="shared" si="341"/>
        <v/>
      </c>
    </row>
    <row r="1831" spans="2:2" ht="12.75" customHeight="1">
      <c r="B1831" s="92" t="str">
        <f t="shared" si="341"/>
        <v/>
      </c>
    </row>
    <row r="1832" spans="2:2" ht="12.75" customHeight="1">
      <c r="B1832" s="92" t="str">
        <f t="shared" si="341"/>
        <v/>
      </c>
    </row>
    <row r="1833" spans="2:2" ht="12.75" customHeight="1">
      <c r="B1833" s="92" t="str">
        <f t="shared" si="341"/>
        <v/>
      </c>
    </row>
    <row r="1834" spans="2:2" ht="12.75" customHeight="1">
      <c r="B1834" s="92" t="str">
        <f t="shared" si="341"/>
        <v/>
      </c>
    </row>
    <row r="1835" spans="2:2" ht="12.75" customHeight="1">
      <c r="B1835" s="92" t="str">
        <f t="shared" si="341"/>
        <v/>
      </c>
    </row>
    <row r="1836" spans="2:2" ht="12.75" customHeight="1">
      <c r="B1836" s="92" t="str">
        <f t="shared" si="341"/>
        <v/>
      </c>
    </row>
    <row r="1837" spans="2:2" ht="12.75" customHeight="1">
      <c r="B1837" s="92" t="str">
        <f t="shared" si="341"/>
        <v/>
      </c>
    </row>
    <row r="1838" spans="2:2" ht="12.75" customHeight="1">
      <c r="B1838" s="92" t="str">
        <f t="shared" ref="B1838:B1901" si="345">IF(C1838="","",ROW()-5)</f>
        <v/>
      </c>
    </row>
    <row r="1839" spans="2:2" ht="12.75" customHeight="1">
      <c r="B1839" s="92" t="str">
        <f t="shared" si="345"/>
        <v/>
      </c>
    </row>
    <row r="1840" spans="2:2" ht="12.75" customHeight="1">
      <c r="B1840" s="92" t="str">
        <f t="shared" si="345"/>
        <v/>
      </c>
    </row>
    <row r="1841" spans="2:2" ht="12.75" customHeight="1">
      <c r="B1841" s="92" t="str">
        <f t="shared" si="345"/>
        <v/>
      </c>
    </row>
    <row r="1842" spans="2:2" ht="12.75" customHeight="1">
      <c r="B1842" s="92" t="str">
        <f t="shared" si="345"/>
        <v/>
      </c>
    </row>
    <row r="1843" spans="2:2" ht="12.75" customHeight="1">
      <c r="B1843" s="92" t="str">
        <f t="shared" si="345"/>
        <v/>
      </c>
    </row>
    <row r="1844" spans="2:2" ht="12.75" customHeight="1">
      <c r="B1844" s="92" t="str">
        <f t="shared" si="345"/>
        <v/>
      </c>
    </row>
    <row r="1845" spans="2:2" ht="12.75" customHeight="1">
      <c r="B1845" s="92" t="str">
        <f t="shared" si="345"/>
        <v/>
      </c>
    </row>
    <row r="1846" spans="2:2" ht="12.75" customHeight="1">
      <c r="B1846" s="92" t="str">
        <f t="shared" si="345"/>
        <v/>
      </c>
    </row>
    <row r="1847" spans="2:2" ht="12.75" customHeight="1">
      <c r="B1847" s="92" t="str">
        <f t="shared" si="345"/>
        <v/>
      </c>
    </row>
    <row r="1848" spans="2:2" ht="12.75" customHeight="1">
      <c r="B1848" s="92" t="str">
        <f t="shared" si="345"/>
        <v/>
      </c>
    </row>
    <row r="1849" spans="2:2" ht="12.75" customHeight="1">
      <c r="B1849" s="92" t="str">
        <f t="shared" si="345"/>
        <v/>
      </c>
    </row>
    <row r="1850" spans="2:2" ht="12.75" customHeight="1">
      <c r="B1850" s="92" t="str">
        <f t="shared" si="345"/>
        <v/>
      </c>
    </row>
    <row r="1851" spans="2:2" ht="12.75" customHeight="1">
      <c r="B1851" s="92" t="str">
        <f t="shared" si="345"/>
        <v/>
      </c>
    </row>
    <row r="1852" spans="2:2" ht="12.75" customHeight="1">
      <c r="B1852" s="92" t="str">
        <f t="shared" si="345"/>
        <v/>
      </c>
    </row>
    <row r="1853" spans="2:2" ht="12.75" customHeight="1">
      <c r="B1853" s="92" t="str">
        <f t="shared" si="345"/>
        <v/>
      </c>
    </row>
    <row r="1854" spans="2:2" ht="12.75" customHeight="1">
      <c r="B1854" s="92" t="str">
        <f t="shared" si="345"/>
        <v/>
      </c>
    </row>
    <row r="1855" spans="2:2" ht="12.75" customHeight="1">
      <c r="B1855" s="92" t="str">
        <f t="shared" si="345"/>
        <v/>
      </c>
    </row>
    <row r="1856" spans="2:2" ht="12.75" customHeight="1">
      <c r="B1856" s="92" t="str">
        <f t="shared" si="345"/>
        <v/>
      </c>
    </row>
    <row r="1857" spans="2:2" ht="12.75" customHeight="1">
      <c r="B1857" s="92" t="str">
        <f t="shared" si="345"/>
        <v/>
      </c>
    </row>
    <row r="1858" spans="2:2" ht="12.75" customHeight="1">
      <c r="B1858" s="92" t="str">
        <f t="shared" si="345"/>
        <v/>
      </c>
    </row>
    <row r="1859" spans="2:2" ht="12.75" customHeight="1">
      <c r="B1859" s="92" t="str">
        <f t="shared" si="345"/>
        <v/>
      </c>
    </row>
    <row r="1860" spans="2:2" ht="12.75" customHeight="1">
      <c r="B1860" s="92" t="str">
        <f t="shared" si="345"/>
        <v/>
      </c>
    </row>
    <row r="1861" spans="2:2" ht="12.75" customHeight="1">
      <c r="B1861" s="92" t="str">
        <f t="shared" si="345"/>
        <v/>
      </c>
    </row>
    <row r="1862" spans="2:2" ht="12.75" customHeight="1">
      <c r="B1862" s="92" t="str">
        <f t="shared" si="345"/>
        <v/>
      </c>
    </row>
    <row r="1863" spans="2:2" ht="12.75" customHeight="1">
      <c r="B1863" s="92" t="str">
        <f t="shared" si="345"/>
        <v/>
      </c>
    </row>
    <row r="1864" spans="2:2" ht="12.75" customHeight="1">
      <c r="B1864" s="92" t="str">
        <f t="shared" si="345"/>
        <v/>
      </c>
    </row>
    <row r="1865" spans="2:2" ht="12.75" customHeight="1">
      <c r="B1865" s="92" t="str">
        <f t="shared" si="345"/>
        <v/>
      </c>
    </row>
    <row r="1866" spans="2:2" ht="12.75" customHeight="1">
      <c r="B1866" s="92" t="str">
        <f t="shared" si="345"/>
        <v/>
      </c>
    </row>
    <row r="1867" spans="2:2" ht="12.75" customHeight="1">
      <c r="B1867" s="92" t="str">
        <f t="shared" si="345"/>
        <v/>
      </c>
    </row>
    <row r="1868" spans="2:2" ht="12.75" customHeight="1">
      <c r="B1868" s="92" t="str">
        <f t="shared" si="345"/>
        <v/>
      </c>
    </row>
    <row r="1869" spans="2:2" ht="12.75" customHeight="1">
      <c r="B1869" s="92" t="str">
        <f t="shared" si="345"/>
        <v/>
      </c>
    </row>
    <row r="1870" spans="2:2" ht="12.75" customHeight="1">
      <c r="B1870" s="92" t="str">
        <f t="shared" si="345"/>
        <v/>
      </c>
    </row>
    <row r="1871" spans="2:2" ht="12.75" customHeight="1">
      <c r="B1871" s="92" t="str">
        <f t="shared" si="345"/>
        <v/>
      </c>
    </row>
    <row r="1872" spans="2:2" ht="12.75" customHeight="1">
      <c r="B1872" s="92" t="str">
        <f t="shared" si="345"/>
        <v/>
      </c>
    </row>
    <row r="1873" spans="2:2" ht="12.75" customHeight="1">
      <c r="B1873" s="92" t="str">
        <f t="shared" si="345"/>
        <v/>
      </c>
    </row>
    <row r="1874" spans="2:2" ht="12.75" customHeight="1">
      <c r="B1874" s="92" t="str">
        <f t="shared" si="345"/>
        <v/>
      </c>
    </row>
    <row r="1875" spans="2:2" ht="12.75" customHeight="1">
      <c r="B1875" s="92" t="str">
        <f t="shared" si="345"/>
        <v/>
      </c>
    </row>
    <row r="1876" spans="2:2" ht="12.75" customHeight="1">
      <c r="B1876" s="92" t="str">
        <f t="shared" si="345"/>
        <v/>
      </c>
    </row>
    <row r="1877" spans="2:2" ht="12.75" customHeight="1">
      <c r="B1877" s="92" t="str">
        <f t="shared" si="345"/>
        <v/>
      </c>
    </row>
    <row r="1878" spans="2:2" ht="12.75" customHeight="1">
      <c r="B1878" s="92" t="str">
        <f t="shared" si="345"/>
        <v/>
      </c>
    </row>
    <row r="1879" spans="2:2" ht="12.75" customHeight="1">
      <c r="B1879" s="92" t="str">
        <f t="shared" si="345"/>
        <v/>
      </c>
    </row>
    <row r="1880" spans="2:2" ht="12.75" customHeight="1">
      <c r="B1880" s="92" t="str">
        <f t="shared" si="345"/>
        <v/>
      </c>
    </row>
    <row r="1881" spans="2:2" ht="12.75" customHeight="1">
      <c r="B1881" s="92" t="str">
        <f t="shared" si="345"/>
        <v/>
      </c>
    </row>
    <row r="1882" spans="2:2" ht="12.75" customHeight="1">
      <c r="B1882" s="92" t="str">
        <f t="shared" si="345"/>
        <v/>
      </c>
    </row>
    <row r="1883" spans="2:2" ht="12.75" customHeight="1">
      <c r="B1883" s="92" t="str">
        <f t="shared" si="345"/>
        <v/>
      </c>
    </row>
    <row r="1884" spans="2:2" ht="12.75" customHeight="1">
      <c r="B1884" s="92" t="str">
        <f t="shared" si="345"/>
        <v/>
      </c>
    </row>
    <row r="1885" spans="2:2" ht="12.75" customHeight="1">
      <c r="B1885" s="92" t="str">
        <f t="shared" si="345"/>
        <v/>
      </c>
    </row>
    <row r="1886" spans="2:2" ht="12.75" customHeight="1">
      <c r="B1886" s="92" t="str">
        <f t="shared" si="345"/>
        <v/>
      </c>
    </row>
    <row r="1887" spans="2:2" ht="12.75" customHeight="1">
      <c r="B1887" s="92" t="str">
        <f t="shared" si="345"/>
        <v/>
      </c>
    </row>
    <row r="1888" spans="2:2" ht="12.75" customHeight="1">
      <c r="B1888" s="92" t="str">
        <f t="shared" si="345"/>
        <v/>
      </c>
    </row>
    <row r="1889" spans="2:2" ht="12.75" customHeight="1">
      <c r="B1889" s="92" t="str">
        <f t="shared" si="345"/>
        <v/>
      </c>
    </row>
    <row r="1890" spans="2:2" ht="12.75" customHeight="1">
      <c r="B1890" s="92" t="str">
        <f t="shared" si="345"/>
        <v/>
      </c>
    </row>
    <row r="1891" spans="2:2" ht="12.75" customHeight="1">
      <c r="B1891" s="92" t="str">
        <f t="shared" si="345"/>
        <v/>
      </c>
    </row>
    <row r="1892" spans="2:2" ht="12.75" customHeight="1">
      <c r="B1892" s="92" t="str">
        <f t="shared" si="345"/>
        <v/>
      </c>
    </row>
    <row r="1893" spans="2:2" ht="12.75" customHeight="1">
      <c r="B1893" s="92" t="str">
        <f t="shared" si="345"/>
        <v/>
      </c>
    </row>
    <row r="1894" spans="2:2" ht="12.75" customHeight="1">
      <c r="B1894" s="92" t="str">
        <f t="shared" si="345"/>
        <v/>
      </c>
    </row>
    <row r="1895" spans="2:2" ht="12.75" customHeight="1">
      <c r="B1895" s="92" t="str">
        <f t="shared" si="345"/>
        <v/>
      </c>
    </row>
    <row r="1896" spans="2:2" ht="12.75" customHeight="1">
      <c r="B1896" s="92" t="str">
        <f t="shared" si="345"/>
        <v/>
      </c>
    </row>
    <row r="1897" spans="2:2" ht="12.75" customHeight="1">
      <c r="B1897" s="92" t="str">
        <f t="shared" si="345"/>
        <v/>
      </c>
    </row>
    <row r="1898" spans="2:2" ht="12.75" customHeight="1">
      <c r="B1898" s="92" t="str">
        <f t="shared" si="345"/>
        <v/>
      </c>
    </row>
    <row r="1899" spans="2:2" ht="12.75" customHeight="1">
      <c r="B1899" s="92" t="str">
        <f t="shared" si="345"/>
        <v/>
      </c>
    </row>
    <row r="1900" spans="2:2" ht="12.75" customHeight="1">
      <c r="B1900" s="92" t="str">
        <f t="shared" si="345"/>
        <v/>
      </c>
    </row>
    <row r="1901" spans="2:2" ht="12.75" customHeight="1">
      <c r="B1901" s="92" t="str">
        <f t="shared" si="345"/>
        <v/>
      </c>
    </row>
    <row r="1902" spans="2:2" ht="12.75" customHeight="1">
      <c r="B1902" s="92" t="str">
        <f t="shared" ref="B1902:B1965" si="346">IF(C1902="","",ROW()-5)</f>
        <v/>
      </c>
    </row>
    <row r="1903" spans="2:2" ht="12.75" customHeight="1">
      <c r="B1903" s="92" t="str">
        <f t="shared" si="346"/>
        <v/>
      </c>
    </row>
    <row r="1904" spans="2:2" ht="12.75" customHeight="1">
      <c r="B1904" s="92" t="str">
        <f t="shared" si="346"/>
        <v/>
      </c>
    </row>
    <row r="1905" spans="2:2" ht="12.75" customHeight="1">
      <c r="B1905" s="92" t="str">
        <f t="shared" si="346"/>
        <v/>
      </c>
    </row>
    <row r="1906" spans="2:2" ht="12.75" customHeight="1">
      <c r="B1906" s="92" t="str">
        <f t="shared" si="346"/>
        <v/>
      </c>
    </row>
    <row r="1907" spans="2:2" ht="12.75" customHeight="1">
      <c r="B1907" s="92" t="str">
        <f t="shared" si="346"/>
        <v/>
      </c>
    </row>
    <row r="1908" spans="2:2" ht="12.75" customHeight="1">
      <c r="B1908" s="92" t="str">
        <f t="shared" si="346"/>
        <v/>
      </c>
    </row>
    <row r="1909" spans="2:2" ht="12.75" customHeight="1">
      <c r="B1909" s="92" t="str">
        <f t="shared" si="346"/>
        <v/>
      </c>
    </row>
    <row r="1910" spans="2:2" ht="12.75" customHeight="1">
      <c r="B1910" s="92" t="str">
        <f t="shared" si="346"/>
        <v/>
      </c>
    </row>
    <row r="1911" spans="2:2" ht="12.75" customHeight="1">
      <c r="B1911" s="92" t="str">
        <f t="shared" si="346"/>
        <v/>
      </c>
    </row>
    <row r="1912" spans="2:2" ht="12.75" customHeight="1">
      <c r="B1912" s="92" t="str">
        <f t="shared" si="346"/>
        <v/>
      </c>
    </row>
    <row r="1913" spans="2:2" ht="12.75" customHeight="1">
      <c r="B1913" s="92" t="str">
        <f t="shared" si="346"/>
        <v/>
      </c>
    </row>
    <row r="1914" spans="2:2" ht="12.75" customHeight="1">
      <c r="B1914" s="92" t="str">
        <f t="shared" si="346"/>
        <v/>
      </c>
    </row>
    <row r="1915" spans="2:2" ht="12.75" customHeight="1">
      <c r="B1915" s="92" t="str">
        <f t="shared" si="346"/>
        <v/>
      </c>
    </row>
    <row r="1916" spans="2:2" ht="12.75" customHeight="1">
      <c r="B1916" s="92" t="str">
        <f t="shared" si="346"/>
        <v/>
      </c>
    </row>
    <row r="1917" spans="2:2" ht="12.75" customHeight="1">
      <c r="B1917" s="92" t="str">
        <f t="shared" si="346"/>
        <v/>
      </c>
    </row>
    <row r="1918" spans="2:2" ht="12.75" customHeight="1">
      <c r="B1918" s="92" t="str">
        <f t="shared" si="346"/>
        <v/>
      </c>
    </row>
    <row r="1919" spans="2:2" ht="12.75" customHeight="1">
      <c r="B1919" s="92" t="str">
        <f t="shared" si="346"/>
        <v/>
      </c>
    </row>
    <row r="1920" spans="2:2" ht="12.75" customHeight="1">
      <c r="B1920" s="92" t="str">
        <f t="shared" si="346"/>
        <v/>
      </c>
    </row>
    <row r="1921" spans="2:2" ht="12.75" customHeight="1">
      <c r="B1921" s="92" t="str">
        <f t="shared" si="346"/>
        <v/>
      </c>
    </row>
    <row r="1922" spans="2:2" ht="12.75" customHeight="1">
      <c r="B1922" s="92" t="str">
        <f t="shared" si="346"/>
        <v/>
      </c>
    </row>
    <row r="1923" spans="2:2" ht="12.75" customHeight="1">
      <c r="B1923" s="92" t="str">
        <f t="shared" si="346"/>
        <v/>
      </c>
    </row>
    <row r="1924" spans="2:2" ht="12.75" customHeight="1">
      <c r="B1924" s="92" t="str">
        <f t="shared" si="346"/>
        <v/>
      </c>
    </row>
    <row r="1925" spans="2:2" ht="12.75" customHeight="1">
      <c r="B1925" s="92" t="str">
        <f t="shared" si="346"/>
        <v/>
      </c>
    </row>
    <row r="1926" spans="2:2" ht="12.75" customHeight="1">
      <c r="B1926" s="92" t="str">
        <f t="shared" si="346"/>
        <v/>
      </c>
    </row>
    <row r="1927" spans="2:2" ht="12.75" customHeight="1">
      <c r="B1927" s="92" t="str">
        <f t="shared" si="346"/>
        <v/>
      </c>
    </row>
    <row r="1928" spans="2:2" ht="12.75" customHeight="1">
      <c r="B1928" s="92" t="str">
        <f t="shared" si="346"/>
        <v/>
      </c>
    </row>
    <row r="1929" spans="2:2" ht="12.75" customHeight="1">
      <c r="B1929" s="92" t="str">
        <f t="shared" si="346"/>
        <v/>
      </c>
    </row>
    <row r="1930" spans="2:2" ht="12.75" customHeight="1">
      <c r="B1930" s="92" t="str">
        <f t="shared" si="346"/>
        <v/>
      </c>
    </row>
    <row r="1931" spans="2:2" ht="12.75" customHeight="1">
      <c r="B1931" s="92" t="str">
        <f t="shared" si="346"/>
        <v/>
      </c>
    </row>
    <row r="1932" spans="2:2" ht="12.75" customHeight="1">
      <c r="B1932" s="92" t="str">
        <f t="shared" si="346"/>
        <v/>
      </c>
    </row>
    <row r="1933" spans="2:2" ht="12.75" customHeight="1">
      <c r="B1933" s="92" t="str">
        <f t="shared" si="346"/>
        <v/>
      </c>
    </row>
    <row r="1934" spans="2:2" ht="12.75" customHeight="1">
      <c r="B1934" s="92" t="str">
        <f t="shared" si="346"/>
        <v/>
      </c>
    </row>
    <row r="1935" spans="2:2" ht="12.75" customHeight="1">
      <c r="B1935" s="92" t="str">
        <f t="shared" si="346"/>
        <v/>
      </c>
    </row>
    <row r="1936" spans="2:2" ht="12.75" customHeight="1">
      <c r="B1936" s="92" t="str">
        <f t="shared" si="346"/>
        <v/>
      </c>
    </row>
    <row r="1937" spans="2:2" ht="12.75" customHeight="1">
      <c r="B1937" s="92" t="str">
        <f t="shared" si="346"/>
        <v/>
      </c>
    </row>
    <row r="1938" spans="2:2" ht="12.75" customHeight="1">
      <c r="B1938" s="92" t="str">
        <f t="shared" si="346"/>
        <v/>
      </c>
    </row>
    <row r="1939" spans="2:2" ht="12.75" customHeight="1">
      <c r="B1939" s="92" t="str">
        <f t="shared" si="346"/>
        <v/>
      </c>
    </row>
    <row r="1940" spans="2:2" ht="12.75" customHeight="1">
      <c r="B1940" s="92" t="str">
        <f t="shared" si="346"/>
        <v/>
      </c>
    </row>
    <row r="1941" spans="2:2" ht="12.75" customHeight="1">
      <c r="B1941" s="92" t="str">
        <f t="shared" si="346"/>
        <v/>
      </c>
    </row>
    <row r="1942" spans="2:2" ht="12.75" customHeight="1">
      <c r="B1942" s="92" t="str">
        <f t="shared" si="346"/>
        <v/>
      </c>
    </row>
    <row r="1943" spans="2:2" ht="12.75" customHeight="1">
      <c r="B1943" s="92" t="str">
        <f t="shared" si="346"/>
        <v/>
      </c>
    </row>
    <row r="1944" spans="2:2" ht="12.75" customHeight="1">
      <c r="B1944" s="92" t="str">
        <f t="shared" si="346"/>
        <v/>
      </c>
    </row>
    <row r="1945" spans="2:2" ht="12.75" customHeight="1">
      <c r="B1945" s="92" t="str">
        <f t="shared" si="346"/>
        <v/>
      </c>
    </row>
    <row r="1946" spans="2:2" ht="12.75" customHeight="1">
      <c r="B1946" s="92" t="str">
        <f t="shared" si="346"/>
        <v/>
      </c>
    </row>
    <row r="1947" spans="2:2" ht="12.75" customHeight="1">
      <c r="B1947" s="92" t="str">
        <f t="shared" si="346"/>
        <v/>
      </c>
    </row>
    <row r="1948" spans="2:2" ht="12.75" customHeight="1">
      <c r="B1948" s="92" t="str">
        <f t="shared" si="346"/>
        <v/>
      </c>
    </row>
    <row r="1949" spans="2:2" ht="12.75" customHeight="1">
      <c r="B1949" s="92" t="str">
        <f t="shared" si="346"/>
        <v/>
      </c>
    </row>
    <row r="1950" spans="2:2" ht="12.75" customHeight="1">
      <c r="B1950" s="92" t="str">
        <f t="shared" si="346"/>
        <v/>
      </c>
    </row>
    <row r="1951" spans="2:2" ht="12.75" customHeight="1">
      <c r="B1951" s="92" t="str">
        <f t="shared" si="346"/>
        <v/>
      </c>
    </row>
    <row r="1952" spans="2:2" ht="12.75" customHeight="1">
      <c r="B1952" s="92" t="str">
        <f t="shared" si="346"/>
        <v/>
      </c>
    </row>
    <row r="1953" spans="2:2" ht="12.75" customHeight="1">
      <c r="B1953" s="92" t="str">
        <f t="shared" si="346"/>
        <v/>
      </c>
    </row>
    <row r="1954" spans="2:2" ht="12.75" customHeight="1">
      <c r="B1954" s="92" t="str">
        <f t="shared" si="346"/>
        <v/>
      </c>
    </row>
    <row r="1955" spans="2:2" ht="12.75" customHeight="1">
      <c r="B1955" s="92" t="str">
        <f t="shared" si="346"/>
        <v/>
      </c>
    </row>
    <row r="1956" spans="2:2" ht="12.75" customHeight="1">
      <c r="B1956" s="92" t="str">
        <f t="shared" si="346"/>
        <v/>
      </c>
    </row>
    <row r="1957" spans="2:2" ht="12.75" customHeight="1">
      <c r="B1957" s="92" t="str">
        <f t="shared" si="346"/>
        <v/>
      </c>
    </row>
    <row r="1958" spans="2:2" ht="12.75" customHeight="1">
      <c r="B1958" s="92" t="str">
        <f t="shared" si="346"/>
        <v/>
      </c>
    </row>
    <row r="1959" spans="2:2" ht="12.75" customHeight="1">
      <c r="B1959" s="92" t="str">
        <f t="shared" si="346"/>
        <v/>
      </c>
    </row>
    <row r="1960" spans="2:2" ht="12.75" customHeight="1">
      <c r="B1960" s="92" t="str">
        <f t="shared" si="346"/>
        <v/>
      </c>
    </row>
    <row r="1961" spans="2:2" ht="12.75" customHeight="1">
      <c r="B1961" s="92" t="str">
        <f t="shared" si="346"/>
        <v/>
      </c>
    </row>
    <row r="1962" spans="2:2" ht="12.75" customHeight="1">
      <c r="B1962" s="92" t="str">
        <f t="shared" si="346"/>
        <v/>
      </c>
    </row>
    <row r="1963" spans="2:2" ht="12.75" customHeight="1">
      <c r="B1963" s="92" t="str">
        <f t="shared" si="346"/>
        <v/>
      </c>
    </row>
    <row r="1964" spans="2:2" ht="12.75" customHeight="1">
      <c r="B1964" s="92" t="str">
        <f t="shared" si="346"/>
        <v/>
      </c>
    </row>
    <row r="1965" spans="2:2" ht="12.75" customHeight="1">
      <c r="B1965" s="92" t="str">
        <f t="shared" si="346"/>
        <v/>
      </c>
    </row>
    <row r="1966" spans="2:2" ht="12.75" customHeight="1">
      <c r="B1966" s="92" t="str">
        <f t="shared" ref="B1966:B2029" si="347">IF(C1966="","",ROW()-5)</f>
        <v/>
      </c>
    </row>
    <row r="1967" spans="2:2" ht="12.75" customHeight="1">
      <c r="B1967" s="92" t="str">
        <f t="shared" si="347"/>
        <v/>
      </c>
    </row>
    <row r="1968" spans="2:2" ht="12.75" customHeight="1">
      <c r="B1968" s="92" t="str">
        <f t="shared" si="347"/>
        <v/>
      </c>
    </row>
    <row r="1969" spans="2:2" ht="12.75" customHeight="1">
      <c r="B1969" s="92" t="str">
        <f t="shared" si="347"/>
        <v/>
      </c>
    </row>
    <row r="1970" spans="2:2" ht="12.75" customHeight="1">
      <c r="B1970" s="92" t="str">
        <f t="shared" si="347"/>
        <v/>
      </c>
    </row>
    <row r="1971" spans="2:2" ht="12.75" customHeight="1">
      <c r="B1971" s="92" t="str">
        <f t="shared" si="347"/>
        <v/>
      </c>
    </row>
    <row r="1972" spans="2:2" ht="12.75" customHeight="1">
      <c r="B1972" s="92" t="str">
        <f t="shared" si="347"/>
        <v/>
      </c>
    </row>
    <row r="1973" spans="2:2" ht="12.75" customHeight="1">
      <c r="B1973" s="92" t="str">
        <f t="shared" si="347"/>
        <v/>
      </c>
    </row>
    <row r="1974" spans="2:2" ht="12.75" customHeight="1">
      <c r="B1974" s="92" t="str">
        <f t="shared" si="347"/>
        <v/>
      </c>
    </row>
    <row r="1975" spans="2:2" ht="12.75" customHeight="1">
      <c r="B1975" s="92" t="str">
        <f t="shared" si="347"/>
        <v/>
      </c>
    </row>
    <row r="1976" spans="2:2" ht="12.75" customHeight="1">
      <c r="B1976" s="92" t="str">
        <f t="shared" si="347"/>
        <v/>
      </c>
    </row>
    <row r="1977" spans="2:2" ht="12.75" customHeight="1">
      <c r="B1977" s="92" t="str">
        <f t="shared" si="347"/>
        <v/>
      </c>
    </row>
    <row r="1978" spans="2:2" ht="12.75" customHeight="1">
      <c r="B1978" s="92" t="str">
        <f t="shared" si="347"/>
        <v/>
      </c>
    </row>
    <row r="1979" spans="2:2" ht="12.75" customHeight="1">
      <c r="B1979" s="92" t="str">
        <f t="shared" si="347"/>
        <v/>
      </c>
    </row>
    <row r="1980" spans="2:2" ht="12.75" customHeight="1">
      <c r="B1980" s="92" t="str">
        <f t="shared" si="347"/>
        <v/>
      </c>
    </row>
    <row r="1981" spans="2:2" ht="12.75" customHeight="1">
      <c r="B1981" s="92" t="str">
        <f t="shared" si="347"/>
        <v/>
      </c>
    </row>
    <row r="1982" spans="2:2" ht="12.75" customHeight="1">
      <c r="B1982" s="92" t="str">
        <f t="shared" si="347"/>
        <v/>
      </c>
    </row>
    <row r="1983" spans="2:2" ht="12.75" customHeight="1">
      <c r="B1983" s="92" t="str">
        <f t="shared" si="347"/>
        <v/>
      </c>
    </row>
    <row r="1984" spans="2:2" ht="12.75" customHeight="1">
      <c r="B1984" s="92" t="str">
        <f t="shared" si="347"/>
        <v/>
      </c>
    </row>
    <row r="1985" spans="2:2" ht="12.75" customHeight="1">
      <c r="B1985" s="92" t="str">
        <f t="shared" si="347"/>
        <v/>
      </c>
    </row>
    <row r="1986" spans="2:2" ht="12.75" customHeight="1">
      <c r="B1986" s="92" t="str">
        <f t="shared" si="347"/>
        <v/>
      </c>
    </row>
    <row r="1987" spans="2:2" ht="12.75" customHeight="1">
      <c r="B1987" s="92" t="str">
        <f t="shared" si="347"/>
        <v/>
      </c>
    </row>
    <row r="1988" spans="2:2" ht="12.75" customHeight="1">
      <c r="B1988" s="92" t="str">
        <f t="shared" si="347"/>
        <v/>
      </c>
    </row>
    <row r="1989" spans="2:2" ht="12.75" customHeight="1">
      <c r="B1989" s="92" t="str">
        <f t="shared" si="347"/>
        <v/>
      </c>
    </row>
    <row r="1990" spans="2:2" ht="12.75" customHeight="1">
      <c r="B1990" s="92" t="str">
        <f t="shared" si="347"/>
        <v/>
      </c>
    </row>
    <row r="1991" spans="2:2" ht="12.75" customHeight="1">
      <c r="B1991" s="92" t="str">
        <f t="shared" si="347"/>
        <v/>
      </c>
    </row>
    <row r="1992" spans="2:2" ht="12.75" customHeight="1">
      <c r="B1992" s="92" t="str">
        <f t="shared" si="347"/>
        <v/>
      </c>
    </row>
    <row r="1993" spans="2:2" ht="12.75" customHeight="1">
      <c r="B1993" s="92" t="str">
        <f t="shared" si="347"/>
        <v/>
      </c>
    </row>
    <row r="1994" spans="2:2" ht="12.75" customHeight="1">
      <c r="B1994" s="92" t="str">
        <f t="shared" si="347"/>
        <v/>
      </c>
    </row>
    <row r="1995" spans="2:2" ht="12.75" customHeight="1">
      <c r="B1995" s="92" t="str">
        <f t="shared" si="347"/>
        <v/>
      </c>
    </row>
    <row r="1996" spans="2:2" ht="12.75" customHeight="1">
      <c r="B1996" s="92" t="str">
        <f t="shared" si="347"/>
        <v/>
      </c>
    </row>
    <row r="1997" spans="2:2" ht="12.75" customHeight="1">
      <c r="B1997" s="92" t="str">
        <f t="shared" si="347"/>
        <v/>
      </c>
    </row>
    <row r="1998" spans="2:2" ht="12.75" customHeight="1">
      <c r="B1998" s="92" t="str">
        <f t="shared" si="347"/>
        <v/>
      </c>
    </row>
    <row r="1999" spans="2:2" ht="12.75" customHeight="1">
      <c r="B1999" s="92" t="str">
        <f t="shared" si="347"/>
        <v/>
      </c>
    </row>
    <row r="2000" spans="2:2" ht="12.75" customHeight="1">
      <c r="B2000" s="92" t="str">
        <f t="shared" si="347"/>
        <v/>
      </c>
    </row>
    <row r="2001" spans="2:2" ht="12.75" customHeight="1">
      <c r="B2001" s="92" t="str">
        <f t="shared" si="347"/>
        <v/>
      </c>
    </row>
    <row r="2002" spans="2:2" ht="12.75" customHeight="1">
      <c r="B2002" s="92" t="str">
        <f t="shared" si="347"/>
        <v/>
      </c>
    </row>
    <row r="2003" spans="2:2" ht="12.75" customHeight="1">
      <c r="B2003" s="92" t="str">
        <f t="shared" si="347"/>
        <v/>
      </c>
    </row>
    <row r="2004" spans="2:2" ht="12.75" customHeight="1">
      <c r="B2004" s="92" t="str">
        <f t="shared" si="347"/>
        <v/>
      </c>
    </row>
    <row r="2005" spans="2:2" ht="12.75" customHeight="1">
      <c r="B2005" s="92" t="str">
        <f t="shared" si="347"/>
        <v/>
      </c>
    </row>
    <row r="2006" spans="2:2" ht="12.75" customHeight="1">
      <c r="B2006" s="92" t="str">
        <f t="shared" si="347"/>
        <v/>
      </c>
    </row>
    <row r="2007" spans="2:2" ht="12.75" customHeight="1">
      <c r="B2007" s="92" t="str">
        <f t="shared" si="347"/>
        <v/>
      </c>
    </row>
    <row r="2008" spans="2:2" ht="12.75" customHeight="1">
      <c r="B2008" s="92" t="str">
        <f t="shared" si="347"/>
        <v/>
      </c>
    </row>
    <row r="2009" spans="2:2" ht="12.75" customHeight="1">
      <c r="B2009" s="92" t="str">
        <f t="shared" si="347"/>
        <v/>
      </c>
    </row>
    <row r="2010" spans="2:2" ht="12.75" customHeight="1">
      <c r="B2010" s="92" t="str">
        <f t="shared" si="347"/>
        <v/>
      </c>
    </row>
    <row r="2011" spans="2:2" ht="12.75" customHeight="1">
      <c r="B2011" s="92" t="str">
        <f t="shared" si="347"/>
        <v/>
      </c>
    </row>
    <row r="2012" spans="2:2" ht="12.75" customHeight="1">
      <c r="B2012" s="92" t="str">
        <f t="shared" si="347"/>
        <v/>
      </c>
    </row>
    <row r="2013" spans="2:2" ht="12.75" customHeight="1">
      <c r="B2013" s="92" t="str">
        <f t="shared" si="347"/>
        <v/>
      </c>
    </row>
    <row r="2014" spans="2:2" ht="12.75" customHeight="1">
      <c r="B2014" s="92" t="str">
        <f t="shared" si="347"/>
        <v/>
      </c>
    </row>
    <row r="2015" spans="2:2" ht="12.75" customHeight="1">
      <c r="B2015" s="92" t="str">
        <f t="shared" si="347"/>
        <v/>
      </c>
    </row>
    <row r="2016" spans="2:2" ht="12.75" customHeight="1">
      <c r="B2016" s="92" t="str">
        <f t="shared" si="347"/>
        <v/>
      </c>
    </row>
    <row r="2017" spans="2:2" ht="12.75" customHeight="1">
      <c r="B2017" s="92" t="str">
        <f t="shared" si="347"/>
        <v/>
      </c>
    </row>
    <row r="2018" spans="2:2" ht="12.75" customHeight="1">
      <c r="B2018" s="92" t="str">
        <f t="shared" si="347"/>
        <v/>
      </c>
    </row>
    <row r="2019" spans="2:2" ht="12.75" customHeight="1">
      <c r="B2019" s="92" t="str">
        <f t="shared" si="347"/>
        <v/>
      </c>
    </row>
    <row r="2020" spans="2:2" ht="12.75" customHeight="1">
      <c r="B2020" s="92" t="str">
        <f t="shared" si="347"/>
        <v/>
      </c>
    </row>
    <row r="2021" spans="2:2" ht="12.75" customHeight="1">
      <c r="B2021" s="92" t="str">
        <f t="shared" si="347"/>
        <v/>
      </c>
    </row>
    <row r="2022" spans="2:2" ht="12.75" customHeight="1">
      <c r="B2022" s="92" t="str">
        <f t="shared" si="347"/>
        <v/>
      </c>
    </row>
    <row r="2023" spans="2:2" ht="12.75" customHeight="1">
      <c r="B2023" s="92" t="str">
        <f t="shared" si="347"/>
        <v/>
      </c>
    </row>
    <row r="2024" spans="2:2" ht="12.75" customHeight="1">
      <c r="B2024" s="92" t="str">
        <f t="shared" si="347"/>
        <v/>
      </c>
    </row>
    <row r="2025" spans="2:2" ht="12.75" customHeight="1">
      <c r="B2025" s="92" t="str">
        <f t="shared" si="347"/>
        <v/>
      </c>
    </row>
    <row r="2026" spans="2:2" ht="12.75" customHeight="1">
      <c r="B2026" s="92" t="str">
        <f t="shared" si="347"/>
        <v/>
      </c>
    </row>
    <row r="2027" spans="2:2" ht="12.75" customHeight="1">
      <c r="B2027" s="92" t="str">
        <f t="shared" si="347"/>
        <v/>
      </c>
    </row>
    <row r="2028" spans="2:2" ht="12.75" customHeight="1">
      <c r="B2028" s="92" t="str">
        <f t="shared" si="347"/>
        <v/>
      </c>
    </row>
    <row r="2029" spans="2:2" ht="12.75" customHeight="1">
      <c r="B2029" s="92" t="str">
        <f t="shared" si="347"/>
        <v/>
      </c>
    </row>
    <row r="2030" spans="2:2" ht="12.75" customHeight="1">
      <c r="B2030" s="92" t="str">
        <f t="shared" ref="B2030:B2093" si="348">IF(C2030="","",ROW()-5)</f>
        <v/>
      </c>
    </row>
    <row r="2031" spans="2:2" ht="12.75" customHeight="1">
      <c r="B2031" s="92" t="str">
        <f t="shared" si="348"/>
        <v/>
      </c>
    </row>
    <row r="2032" spans="2:2" ht="12.75" customHeight="1">
      <c r="B2032" s="92" t="str">
        <f t="shared" si="348"/>
        <v/>
      </c>
    </row>
    <row r="2033" spans="2:2" ht="12.75" customHeight="1">
      <c r="B2033" s="92" t="str">
        <f t="shared" si="348"/>
        <v/>
      </c>
    </row>
    <row r="2034" spans="2:2" ht="12.75" customHeight="1">
      <c r="B2034" s="92" t="str">
        <f t="shared" si="348"/>
        <v/>
      </c>
    </row>
    <row r="2035" spans="2:2" ht="12.75" customHeight="1">
      <c r="B2035" s="92" t="str">
        <f t="shared" si="348"/>
        <v/>
      </c>
    </row>
    <row r="2036" spans="2:2" ht="12.75" customHeight="1">
      <c r="B2036" s="92" t="str">
        <f t="shared" si="348"/>
        <v/>
      </c>
    </row>
    <row r="2037" spans="2:2" ht="12.75" customHeight="1">
      <c r="B2037" s="92" t="str">
        <f t="shared" si="348"/>
        <v/>
      </c>
    </row>
    <row r="2038" spans="2:2" ht="12.75" customHeight="1">
      <c r="B2038" s="92" t="str">
        <f t="shared" si="348"/>
        <v/>
      </c>
    </row>
    <row r="2039" spans="2:2" ht="12.75" customHeight="1">
      <c r="B2039" s="92" t="str">
        <f t="shared" si="348"/>
        <v/>
      </c>
    </row>
    <row r="2040" spans="2:2" ht="12.75" customHeight="1">
      <c r="B2040" s="92" t="str">
        <f t="shared" si="348"/>
        <v/>
      </c>
    </row>
    <row r="2041" spans="2:2" ht="12.75" customHeight="1">
      <c r="B2041" s="92" t="str">
        <f t="shared" si="348"/>
        <v/>
      </c>
    </row>
    <row r="2042" spans="2:2" ht="12.75" customHeight="1">
      <c r="B2042" s="92" t="str">
        <f t="shared" si="348"/>
        <v/>
      </c>
    </row>
    <row r="2043" spans="2:2" ht="12.75" customHeight="1">
      <c r="B2043" s="92" t="str">
        <f t="shared" si="348"/>
        <v/>
      </c>
    </row>
    <row r="2044" spans="2:2" ht="12.75" customHeight="1">
      <c r="B2044" s="92" t="str">
        <f t="shared" si="348"/>
        <v/>
      </c>
    </row>
    <row r="2045" spans="2:2" ht="12.75" customHeight="1">
      <c r="B2045" s="92" t="str">
        <f t="shared" si="348"/>
        <v/>
      </c>
    </row>
    <row r="2046" spans="2:2" ht="12.75" customHeight="1">
      <c r="B2046" s="92" t="str">
        <f t="shared" si="348"/>
        <v/>
      </c>
    </row>
    <row r="2047" spans="2:2" ht="12.75" customHeight="1">
      <c r="B2047" s="92" t="str">
        <f t="shared" si="348"/>
        <v/>
      </c>
    </row>
    <row r="2048" spans="2:2" ht="12.75" customHeight="1">
      <c r="B2048" s="92" t="str">
        <f t="shared" si="348"/>
        <v/>
      </c>
    </row>
    <row r="2049" spans="2:2" ht="12.75" customHeight="1">
      <c r="B2049" s="92" t="str">
        <f t="shared" si="348"/>
        <v/>
      </c>
    </row>
    <row r="2050" spans="2:2" ht="12.75" customHeight="1">
      <c r="B2050" s="92" t="str">
        <f t="shared" si="348"/>
        <v/>
      </c>
    </row>
    <row r="2051" spans="2:2" ht="12.75" customHeight="1">
      <c r="B2051" s="92" t="str">
        <f t="shared" si="348"/>
        <v/>
      </c>
    </row>
    <row r="2052" spans="2:2" ht="12.75" customHeight="1">
      <c r="B2052" s="92" t="str">
        <f t="shared" si="348"/>
        <v/>
      </c>
    </row>
    <row r="2053" spans="2:2" ht="12.75" customHeight="1">
      <c r="B2053" s="92" t="str">
        <f t="shared" si="348"/>
        <v/>
      </c>
    </row>
    <row r="2054" spans="2:2" ht="12.75" customHeight="1">
      <c r="B2054" s="92" t="str">
        <f t="shared" si="348"/>
        <v/>
      </c>
    </row>
    <row r="2055" spans="2:2" ht="12.75" customHeight="1">
      <c r="B2055" s="92" t="str">
        <f t="shared" si="348"/>
        <v/>
      </c>
    </row>
    <row r="2056" spans="2:2" ht="12.75" customHeight="1">
      <c r="B2056" s="92" t="str">
        <f t="shared" si="348"/>
        <v/>
      </c>
    </row>
    <row r="2057" spans="2:2" ht="12.75" customHeight="1">
      <c r="B2057" s="92" t="str">
        <f t="shared" si="348"/>
        <v/>
      </c>
    </row>
    <row r="2058" spans="2:2" ht="12.75" customHeight="1">
      <c r="B2058" s="92" t="str">
        <f t="shared" si="348"/>
        <v/>
      </c>
    </row>
    <row r="2059" spans="2:2" ht="12.75" customHeight="1">
      <c r="B2059" s="92" t="str">
        <f t="shared" si="348"/>
        <v/>
      </c>
    </row>
    <row r="2060" spans="2:2" ht="12.75" customHeight="1">
      <c r="B2060" s="92" t="str">
        <f t="shared" si="348"/>
        <v/>
      </c>
    </row>
    <row r="2061" spans="2:2" ht="12.75" customHeight="1">
      <c r="B2061" s="92" t="str">
        <f t="shared" si="348"/>
        <v/>
      </c>
    </row>
    <row r="2062" spans="2:2" ht="12.75" customHeight="1">
      <c r="B2062" s="92" t="str">
        <f t="shared" si="348"/>
        <v/>
      </c>
    </row>
    <row r="2063" spans="2:2" ht="12.75" customHeight="1">
      <c r="B2063" s="92" t="str">
        <f t="shared" si="348"/>
        <v/>
      </c>
    </row>
    <row r="2064" spans="2:2" ht="12.75" customHeight="1">
      <c r="B2064" s="92" t="str">
        <f t="shared" si="348"/>
        <v/>
      </c>
    </row>
    <row r="2065" spans="2:2" ht="12.75" customHeight="1">
      <c r="B2065" s="92" t="str">
        <f t="shared" si="348"/>
        <v/>
      </c>
    </row>
    <row r="2066" spans="2:2" ht="12.75" customHeight="1">
      <c r="B2066" s="92" t="str">
        <f t="shared" si="348"/>
        <v/>
      </c>
    </row>
    <row r="2067" spans="2:2" ht="12.75" customHeight="1">
      <c r="B2067" s="92" t="str">
        <f t="shared" si="348"/>
        <v/>
      </c>
    </row>
    <row r="2068" spans="2:2" ht="12.75" customHeight="1">
      <c r="B2068" s="92" t="str">
        <f t="shared" si="348"/>
        <v/>
      </c>
    </row>
    <row r="2069" spans="2:2" ht="12.75" customHeight="1">
      <c r="B2069" s="92" t="str">
        <f t="shared" si="348"/>
        <v/>
      </c>
    </row>
    <row r="2070" spans="2:2" ht="12.75" customHeight="1">
      <c r="B2070" s="92" t="str">
        <f t="shared" si="348"/>
        <v/>
      </c>
    </row>
    <row r="2071" spans="2:2" ht="12.75" customHeight="1">
      <c r="B2071" s="92" t="str">
        <f t="shared" si="348"/>
        <v/>
      </c>
    </row>
    <row r="2072" spans="2:2" ht="12.75" customHeight="1">
      <c r="B2072" s="92" t="str">
        <f t="shared" si="348"/>
        <v/>
      </c>
    </row>
    <row r="2073" spans="2:2" ht="12.75" customHeight="1">
      <c r="B2073" s="92" t="str">
        <f t="shared" si="348"/>
        <v/>
      </c>
    </row>
    <row r="2074" spans="2:2" ht="12.75" customHeight="1">
      <c r="B2074" s="92" t="str">
        <f t="shared" si="348"/>
        <v/>
      </c>
    </row>
    <row r="2075" spans="2:2" ht="12.75" customHeight="1">
      <c r="B2075" s="92" t="str">
        <f t="shared" si="348"/>
        <v/>
      </c>
    </row>
    <row r="2076" spans="2:2" ht="12.75" customHeight="1">
      <c r="B2076" s="92" t="str">
        <f t="shared" si="348"/>
        <v/>
      </c>
    </row>
    <row r="2077" spans="2:2" ht="12.75" customHeight="1">
      <c r="B2077" s="92" t="str">
        <f t="shared" si="348"/>
        <v/>
      </c>
    </row>
    <row r="2078" spans="2:2" ht="12.75" customHeight="1">
      <c r="B2078" s="92" t="str">
        <f t="shared" si="348"/>
        <v/>
      </c>
    </row>
    <row r="2079" spans="2:2" ht="12.75" customHeight="1">
      <c r="B2079" s="92" t="str">
        <f t="shared" si="348"/>
        <v/>
      </c>
    </row>
    <row r="2080" spans="2:2" ht="12.75" customHeight="1">
      <c r="B2080" s="92" t="str">
        <f t="shared" si="348"/>
        <v/>
      </c>
    </row>
    <row r="2081" spans="2:2" ht="12.75" customHeight="1">
      <c r="B2081" s="92" t="str">
        <f t="shared" si="348"/>
        <v/>
      </c>
    </row>
    <row r="2082" spans="2:2" ht="12.75" customHeight="1">
      <c r="B2082" s="92" t="str">
        <f t="shared" si="348"/>
        <v/>
      </c>
    </row>
    <row r="2083" spans="2:2" ht="12.75" customHeight="1">
      <c r="B2083" s="92" t="str">
        <f t="shared" si="348"/>
        <v/>
      </c>
    </row>
    <row r="2084" spans="2:2" ht="12.75" customHeight="1">
      <c r="B2084" s="92" t="str">
        <f t="shared" si="348"/>
        <v/>
      </c>
    </row>
    <row r="2085" spans="2:2" ht="12.75" customHeight="1">
      <c r="B2085" s="92" t="str">
        <f t="shared" si="348"/>
        <v/>
      </c>
    </row>
    <row r="2086" spans="2:2" ht="12.75" customHeight="1">
      <c r="B2086" s="92" t="str">
        <f t="shared" si="348"/>
        <v/>
      </c>
    </row>
    <row r="2087" spans="2:2" ht="12.75" customHeight="1">
      <c r="B2087" s="92" t="str">
        <f t="shared" si="348"/>
        <v/>
      </c>
    </row>
    <row r="2088" spans="2:2" ht="12.75" customHeight="1">
      <c r="B2088" s="92" t="str">
        <f t="shared" si="348"/>
        <v/>
      </c>
    </row>
    <row r="2089" spans="2:2" ht="12.75" customHeight="1">
      <c r="B2089" s="92" t="str">
        <f t="shared" si="348"/>
        <v/>
      </c>
    </row>
    <row r="2090" spans="2:2" ht="12.75" customHeight="1">
      <c r="B2090" s="92" t="str">
        <f t="shared" si="348"/>
        <v/>
      </c>
    </row>
    <row r="2091" spans="2:2" ht="12.75" customHeight="1">
      <c r="B2091" s="92" t="str">
        <f t="shared" si="348"/>
        <v/>
      </c>
    </row>
    <row r="2092" spans="2:2" ht="12.75" customHeight="1">
      <c r="B2092" s="92" t="str">
        <f t="shared" si="348"/>
        <v/>
      </c>
    </row>
    <row r="2093" spans="2:2" ht="12.75" customHeight="1">
      <c r="B2093" s="92" t="str">
        <f t="shared" si="348"/>
        <v/>
      </c>
    </row>
    <row r="2094" spans="2:2" ht="12.75" customHeight="1">
      <c r="B2094" s="92" t="str">
        <f t="shared" ref="B2094:B2157" si="349">IF(C2094="","",ROW()-5)</f>
        <v/>
      </c>
    </row>
    <row r="2095" spans="2:2" ht="12.75" customHeight="1">
      <c r="B2095" s="92" t="str">
        <f t="shared" si="349"/>
        <v/>
      </c>
    </row>
    <row r="2096" spans="2:2" ht="12.75" customHeight="1">
      <c r="B2096" s="92" t="str">
        <f t="shared" si="349"/>
        <v/>
      </c>
    </row>
    <row r="2097" spans="2:2" ht="12.75" customHeight="1">
      <c r="B2097" s="92" t="str">
        <f t="shared" si="349"/>
        <v/>
      </c>
    </row>
    <row r="2098" spans="2:2" ht="12.75" customHeight="1">
      <c r="B2098" s="92" t="str">
        <f t="shared" si="349"/>
        <v/>
      </c>
    </row>
    <row r="2099" spans="2:2" ht="12.75" customHeight="1">
      <c r="B2099" s="92" t="str">
        <f t="shared" si="349"/>
        <v/>
      </c>
    </row>
    <row r="2100" spans="2:2" ht="12.75" customHeight="1">
      <c r="B2100" s="92" t="str">
        <f t="shared" si="349"/>
        <v/>
      </c>
    </row>
    <row r="2101" spans="2:2" ht="12.75" customHeight="1">
      <c r="B2101" s="92" t="str">
        <f t="shared" si="349"/>
        <v/>
      </c>
    </row>
    <row r="2102" spans="2:2" ht="12.75" customHeight="1">
      <c r="B2102" s="92" t="str">
        <f t="shared" si="349"/>
        <v/>
      </c>
    </row>
    <row r="2103" spans="2:2" ht="12.75" customHeight="1">
      <c r="B2103" s="92" t="str">
        <f t="shared" si="349"/>
        <v/>
      </c>
    </row>
    <row r="2104" spans="2:2" ht="12.75" customHeight="1">
      <c r="B2104" s="92" t="str">
        <f t="shared" si="349"/>
        <v/>
      </c>
    </row>
    <row r="2105" spans="2:2" ht="12.75" customHeight="1">
      <c r="B2105" s="92" t="str">
        <f t="shared" si="349"/>
        <v/>
      </c>
    </row>
    <row r="2106" spans="2:2" ht="12.75" customHeight="1">
      <c r="B2106" s="92" t="str">
        <f t="shared" si="349"/>
        <v/>
      </c>
    </row>
    <row r="2107" spans="2:2" ht="12.75" customHeight="1">
      <c r="B2107" s="92" t="str">
        <f t="shared" si="349"/>
        <v/>
      </c>
    </row>
    <row r="2108" spans="2:2" ht="12.75" customHeight="1">
      <c r="B2108" s="92" t="str">
        <f t="shared" si="349"/>
        <v/>
      </c>
    </row>
    <row r="2109" spans="2:2" ht="12.75" customHeight="1">
      <c r="B2109" s="92" t="str">
        <f t="shared" si="349"/>
        <v/>
      </c>
    </row>
    <row r="2110" spans="2:2" ht="12.75" customHeight="1">
      <c r="B2110" s="92" t="str">
        <f t="shared" si="349"/>
        <v/>
      </c>
    </row>
    <row r="2111" spans="2:2" ht="12.75" customHeight="1">
      <c r="B2111" s="92" t="str">
        <f t="shared" si="349"/>
        <v/>
      </c>
    </row>
    <row r="2112" spans="2:2" ht="12.75" customHeight="1">
      <c r="B2112" s="92" t="str">
        <f t="shared" si="349"/>
        <v/>
      </c>
    </row>
    <row r="2113" spans="2:2" ht="12.75" customHeight="1">
      <c r="B2113" s="92" t="str">
        <f t="shared" si="349"/>
        <v/>
      </c>
    </row>
    <row r="2114" spans="2:2" ht="12.75" customHeight="1">
      <c r="B2114" s="92" t="str">
        <f t="shared" si="349"/>
        <v/>
      </c>
    </row>
    <row r="2115" spans="2:2" ht="12.75" customHeight="1">
      <c r="B2115" s="92" t="str">
        <f t="shared" si="349"/>
        <v/>
      </c>
    </row>
    <row r="2116" spans="2:2" ht="12.75" customHeight="1">
      <c r="B2116" s="92" t="str">
        <f t="shared" si="349"/>
        <v/>
      </c>
    </row>
    <row r="2117" spans="2:2" ht="12.75" customHeight="1">
      <c r="B2117" s="92" t="str">
        <f t="shared" si="349"/>
        <v/>
      </c>
    </row>
    <row r="2118" spans="2:2" ht="12.75" customHeight="1">
      <c r="B2118" s="92" t="str">
        <f t="shared" si="349"/>
        <v/>
      </c>
    </row>
    <row r="2119" spans="2:2" ht="12.75" customHeight="1">
      <c r="B2119" s="92" t="str">
        <f t="shared" si="349"/>
        <v/>
      </c>
    </row>
    <row r="2120" spans="2:2" ht="12.75" customHeight="1">
      <c r="B2120" s="92" t="str">
        <f t="shared" si="349"/>
        <v/>
      </c>
    </row>
    <row r="2121" spans="2:2" ht="12.75" customHeight="1">
      <c r="B2121" s="92" t="str">
        <f t="shared" si="349"/>
        <v/>
      </c>
    </row>
    <row r="2122" spans="2:2" ht="12.75" customHeight="1">
      <c r="B2122" s="92" t="str">
        <f t="shared" si="349"/>
        <v/>
      </c>
    </row>
    <row r="2123" spans="2:2" ht="12.75" customHeight="1">
      <c r="B2123" s="92" t="str">
        <f t="shared" si="349"/>
        <v/>
      </c>
    </row>
    <row r="2124" spans="2:2" ht="12.75" customHeight="1">
      <c r="B2124" s="92" t="str">
        <f t="shared" si="349"/>
        <v/>
      </c>
    </row>
    <row r="2125" spans="2:2" ht="12.75" customHeight="1">
      <c r="B2125" s="92" t="str">
        <f t="shared" si="349"/>
        <v/>
      </c>
    </row>
    <row r="2126" spans="2:2" ht="12.75" customHeight="1">
      <c r="B2126" s="92" t="str">
        <f t="shared" si="349"/>
        <v/>
      </c>
    </row>
    <row r="2127" spans="2:2" ht="12.75" customHeight="1">
      <c r="B2127" s="92" t="str">
        <f t="shared" si="349"/>
        <v/>
      </c>
    </row>
    <row r="2128" spans="2:2" ht="12.75" customHeight="1">
      <c r="B2128" s="92" t="str">
        <f t="shared" si="349"/>
        <v/>
      </c>
    </row>
    <row r="2129" spans="2:2" ht="12.75" customHeight="1">
      <c r="B2129" s="92" t="str">
        <f t="shared" si="349"/>
        <v/>
      </c>
    </row>
    <row r="2130" spans="2:2" ht="12.75" customHeight="1">
      <c r="B2130" s="92" t="str">
        <f t="shared" si="349"/>
        <v/>
      </c>
    </row>
    <row r="2131" spans="2:2" ht="12.75" customHeight="1">
      <c r="B2131" s="92" t="str">
        <f t="shared" si="349"/>
        <v/>
      </c>
    </row>
    <row r="2132" spans="2:2" ht="12.75" customHeight="1">
      <c r="B2132" s="92" t="str">
        <f t="shared" si="349"/>
        <v/>
      </c>
    </row>
    <row r="2133" spans="2:2" ht="12.75" customHeight="1">
      <c r="B2133" s="92" t="str">
        <f t="shared" si="349"/>
        <v/>
      </c>
    </row>
    <row r="2134" spans="2:2" ht="12.75" customHeight="1">
      <c r="B2134" s="92" t="str">
        <f t="shared" si="349"/>
        <v/>
      </c>
    </row>
    <row r="2135" spans="2:2" ht="12.75" customHeight="1">
      <c r="B2135" s="92" t="str">
        <f t="shared" si="349"/>
        <v/>
      </c>
    </row>
    <row r="2136" spans="2:2" ht="12.75" customHeight="1">
      <c r="B2136" s="92" t="str">
        <f t="shared" si="349"/>
        <v/>
      </c>
    </row>
    <row r="2137" spans="2:2" ht="12.75" customHeight="1">
      <c r="B2137" s="92" t="str">
        <f t="shared" si="349"/>
        <v/>
      </c>
    </row>
    <row r="2138" spans="2:2" ht="12.75" customHeight="1">
      <c r="B2138" s="92" t="str">
        <f t="shared" si="349"/>
        <v/>
      </c>
    </row>
    <row r="2139" spans="2:2" ht="12.75" customHeight="1">
      <c r="B2139" s="92" t="str">
        <f t="shared" si="349"/>
        <v/>
      </c>
    </row>
    <row r="2140" spans="2:2" ht="12.75" customHeight="1">
      <c r="B2140" s="92" t="str">
        <f t="shared" si="349"/>
        <v/>
      </c>
    </row>
    <row r="2141" spans="2:2" ht="12.75" customHeight="1">
      <c r="B2141" s="92" t="str">
        <f t="shared" si="349"/>
        <v/>
      </c>
    </row>
    <row r="2142" spans="2:2" ht="12.75" customHeight="1">
      <c r="B2142" s="92" t="str">
        <f t="shared" si="349"/>
        <v/>
      </c>
    </row>
    <row r="2143" spans="2:2" ht="12.75" customHeight="1">
      <c r="B2143" s="92" t="str">
        <f t="shared" si="349"/>
        <v/>
      </c>
    </row>
    <row r="2144" spans="2:2" ht="12.75" customHeight="1">
      <c r="B2144" s="92" t="str">
        <f t="shared" si="349"/>
        <v/>
      </c>
    </row>
    <row r="2145" spans="2:2" ht="12.75" customHeight="1">
      <c r="B2145" s="92" t="str">
        <f t="shared" si="349"/>
        <v/>
      </c>
    </row>
    <row r="2146" spans="2:2" ht="12.75" customHeight="1">
      <c r="B2146" s="92" t="str">
        <f t="shared" si="349"/>
        <v/>
      </c>
    </row>
    <row r="2147" spans="2:2" ht="12.75" customHeight="1">
      <c r="B2147" s="92" t="str">
        <f t="shared" si="349"/>
        <v/>
      </c>
    </row>
    <row r="2148" spans="2:2" ht="12.75" customHeight="1">
      <c r="B2148" s="92" t="str">
        <f t="shared" si="349"/>
        <v/>
      </c>
    </row>
    <row r="2149" spans="2:2" ht="12.75" customHeight="1">
      <c r="B2149" s="92" t="str">
        <f t="shared" si="349"/>
        <v/>
      </c>
    </row>
    <row r="2150" spans="2:2" ht="12.75" customHeight="1">
      <c r="B2150" s="92" t="str">
        <f t="shared" si="349"/>
        <v/>
      </c>
    </row>
    <row r="2151" spans="2:2" ht="12.75" customHeight="1">
      <c r="B2151" s="92" t="str">
        <f t="shared" si="349"/>
        <v/>
      </c>
    </row>
    <row r="2152" spans="2:2" ht="12.75" customHeight="1">
      <c r="B2152" s="92" t="str">
        <f t="shared" si="349"/>
        <v/>
      </c>
    </row>
    <row r="2153" spans="2:2" ht="12.75" customHeight="1">
      <c r="B2153" s="92" t="str">
        <f t="shared" si="349"/>
        <v/>
      </c>
    </row>
    <row r="2154" spans="2:2" ht="12.75" customHeight="1">
      <c r="B2154" s="92" t="str">
        <f t="shared" si="349"/>
        <v/>
      </c>
    </row>
    <row r="2155" spans="2:2" ht="12.75" customHeight="1">
      <c r="B2155" s="92" t="str">
        <f t="shared" si="349"/>
        <v/>
      </c>
    </row>
    <row r="2156" spans="2:2" ht="12.75" customHeight="1">
      <c r="B2156" s="92" t="str">
        <f t="shared" si="349"/>
        <v/>
      </c>
    </row>
    <row r="2157" spans="2:2" ht="12.75" customHeight="1">
      <c r="B2157" s="92" t="str">
        <f t="shared" si="349"/>
        <v/>
      </c>
    </row>
    <row r="2158" spans="2:2" ht="12.75" customHeight="1">
      <c r="B2158" s="92" t="str">
        <f t="shared" ref="B2158:B2221" si="350">IF(C2158="","",ROW()-5)</f>
        <v/>
      </c>
    </row>
    <row r="2159" spans="2:2" ht="12.75" customHeight="1">
      <c r="B2159" s="92" t="str">
        <f t="shared" si="350"/>
        <v/>
      </c>
    </row>
    <row r="2160" spans="2:2" ht="12.75" customHeight="1">
      <c r="B2160" s="92" t="str">
        <f t="shared" si="350"/>
        <v/>
      </c>
    </row>
    <row r="2161" spans="2:2" ht="12.75" customHeight="1">
      <c r="B2161" s="92" t="str">
        <f t="shared" si="350"/>
        <v/>
      </c>
    </row>
    <row r="2162" spans="2:2" ht="12.75" customHeight="1">
      <c r="B2162" s="92" t="str">
        <f t="shared" si="350"/>
        <v/>
      </c>
    </row>
    <row r="2163" spans="2:2" ht="12.75" customHeight="1">
      <c r="B2163" s="92" t="str">
        <f t="shared" si="350"/>
        <v/>
      </c>
    </row>
    <row r="2164" spans="2:2" ht="12.75" customHeight="1">
      <c r="B2164" s="92" t="str">
        <f t="shared" si="350"/>
        <v/>
      </c>
    </row>
    <row r="2165" spans="2:2" ht="12.75" customHeight="1">
      <c r="B2165" s="92" t="str">
        <f t="shared" si="350"/>
        <v/>
      </c>
    </row>
    <row r="2166" spans="2:2" ht="12.75" customHeight="1">
      <c r="B2166" s="92" t="str">
        <f t="shared" si="350"/>
        <v/>
      </c>
    </row>
    <row r="2167" spans="2:2" ht="12.75" customHeight="1">
      <c r="B2167" s="92" t="str">
        <f t="shared" si="350"/>
        <v/>
      </c>
    </row>
    <row r="2168" spans="2:2" ht="12.75" customHeight="1">
      <c r="B2168" s="92" t="str">
        <f t="shared" si="350"/>
        <v/>
      </c>
    </row>
    <row r="2169" spans="2:2" ht="12.75" customHeight="1">
      <c r="B2169" s="92" t="str">
        <f t="shared" si="350"/>
        <v/>
      </c>
    </row>
    <row r="2170" spans="2:2" ht="12.75" customHeight="1">
      <c r="B2170" s="92" t="str">
        <f t="shared" si="350"/>
        <v/>
      </c>
    </row>
    <row r="2171" spans="2:2" ht="12.75" customHeight="1">
      <c r="B2171" s="92" t="str">
        <f t="shared" si="350"/>
        <v/>
      </c>
    </row>
    <row r="2172" spans="2:2" ht="12.75" customHeight="1">
      <c r="B2172" s="92" t="str">
        <f t="shared" si="350"/>
        <v/>
      </c>
    </row>
    <row r="2173" spans="2:2" ht="12.75" customHeight="1">
      <c r="B2173" s="92" t="str">
        <f t="shared" si="350"/>
        <v/>
      </c>
    </row>
    <row r="2174" spans="2:2" ht="12.75" customHeight="1">
      <c r="B2174" s="92" t="str">
        <f t="shared" si="350"/>
        <v/>
      </c>
    </row>
    <row r="2175" spans="2:2" ht="12.75" customHeight="1">
      <c r="B2175" s="92" t="str">
        <f t="shared" si="350"/>
        <v/>
      </c>
    </row>
    <row r="2176" spans="2:2" ht="12.75" customHeight="1">
      <c r="B2176" s="92" t="str">
        <f t="shared" si="350"/>
        <v/>
      </c>
    </row>
    <row r="2177" spans="2:2" ht="12.75" customHeight="1">
      <c r="B2177" s="92" t="str">
        <f t="shared" si="350"/>
        <v/>
      </c>
    </row>
    <row r="2178" spans="2:2" ht="12.75" customHeight="1">
      <c r="B2178" s="92" t="str">
        <f t="shared" si="350"/>
        <v/>
      </c>
    </row>
    <row r="2179" spans="2:2" ht="12.75" customHeight="1">
      <c r="B2179" s="92" t="str">
        <f t="shared" si="350"/>
        <v/>
      </c>
    </row>
    <row r="2180" spans="2:2" ht="12.75" customHeight="1">
      <c r="B2180" s="92" t="str">
        <f t="shared" si="350"/>
        <v/>
      </c>
    </row>
    <row r="2181" spans="2:2" ht="12.75" customHeight="1">
      <c r="B2181" s="92" t="str">
        <f t="shared" si="350"/>
        <v/>
      </c>
    </row>
    <row r="2182" spans="2:2" ht="12.75" customHeight="1">
      <c r="B2182" s="92" t="str">
        <f t="shared" si="350"/>
        <v/>
      </c>
    </row>
    <row r="2183" spans="2:2" ht="12.75" customHeight="1">
      <c r="B2183" s="92" t="str">
        <f t="shared" si="350"/>
        <v/>
      </c>
    </row>
    <row r="2184" spans="2:2" ht="12.75" customHeight="1">
      <c r="B2184" s="92" t="str">
        <f t="shared" si="350"/>
        <v/>
      </c>
    </row>
    <row r="2185" spans="2:2" ht="12.75" customHeight="1">
      <c r="B2185" s="92" t="str">
        <f t="shared" si="350"/>
        <v/>
      </c>
    </row>
    <row r="2186" spans="2:2" ht="12.75" customHeight="1">
      <c r="B2186" s="92" t="str">
        <f t="shared" si="350"/>
        <v/>
      </c>
    </row>
    <row r="2187" spans="2:2" ht="12.75" customHeight="1">
      <c r="B2187" s="92" t="str">
        <f t="shared" si="350"/>
        <v/>
      </c>
    </row>
    <row r="2188" spans="2:2" ht="12.75" customHeight="1">
      <c r="B2188" s="92" t="str">
        <f t="shared" si="350"/>
        <v/>
      </c>
    </row>
    <row r="2189" spans="2:2" ht="12.75" customHeight="1">
      <c r="B2189" s="92" t="str">
        <f t="shared" si="350"/>
        <v/>
      </c>
    </row>
    <row r="2190" spans="2:2" ht="12.75" customHeight="1">
      <c r="B2190" s="92" t="str">
        <f t="shared" si="350"/>
        <v/>
      </c>
    </row>
    <row r="2191" spans="2:2" ht="12.75" customHeight="1">
      <c r="B2191" s="92" t="str">
        <f t="shared" si="350"/>
        <v/>
      </c>
    </row>
    <row r="2192" spans="2:2" ht="12.75" customHeight="1">
      <c r="B2192" s="92" t="str">
        <f t="shared" si="350"/>
        <v/>
      </c>
    </row>
    <row r="2193" spans="2:2" ht="12.75" customHeight="1">
      <c r="B2193" s="92" t="str">
        <f t="shared" si="350"/>
        <v/>
      </c>
    </row>
    <row r="2194" spans="2:2" ht="12.75" customHeight="1">
      <c r="B2194" s="92" t="str">
        <f t="shared" si="350"/>
        <v/>
      </c>
    </row>
    <row r="2195" spans="2:2" ht="12.75" customHeight="1">
      <c r="B2195" s="92" t="str">
        <f t="shared" si="350"/>
        <v/>
      </c>
    </row>
    <row r="2196" spans="2:2" ht="12.75" customHeight="1">
      <c r="B2196" s="92" t="str">
        <f t="shared" si="350"/>
        <v/>
      </c>
    </row>
    <row r="2197" spans="2:2" ht="12.75" customHeight="1">
      <c r="B2197" s="92" t="str">
        <f t="shared" si="350"/>
        <v/>
      </c>
    </row>
    <row r="2198" spans="2:2" ht="12.75" customHeight="1">
      <c r="B2198" s="92" t="str">
        <f t="shared" si="350"/>
        <v/>
      </c>
    </row>
    <row r="2199" spans="2:2" ht="12.75" customHeight="1">
      <c r="B2199" s="92" t="str">
        <f t="shared" si="350"/>
        <v/>
      </c>
    </row>
    <row r="2200" spans="2:2" ht="12.75" customHeight="1">
      <c r="B2200" s="92" t="str">
        <f t="shared" si="350"/>
        <v/>
      </c>
    </row>
    <row r="2201" spans="2:2" ht="12.75" customHeight="1">
      <c r="B2201" s="92" t="str">
        <f t="shared" si="350"/>
        <v/>
      </c>
    </row>
    <row r="2202" spans="2:2" ht="12.75" customHeight="1">
      <c r="B2202" s="92" t="str">
        <f t="shared" si="350"/>
        <v/>
      </c>
    </row>
    <row r="2203" spans="2:2" ht="12.75" customHeight="1">
      <c r="B2203" s="92" t="str">
        <f t="shared" si="350"/>
        <v/>
      </c>
    </row>
    <row r="2204" spans="2:2" ht="12.75" customHeight="1">
      <c r="B2204" s="92" t="str">
        <f t="shared" si="350"/>
        <v/>
      </c>
    </row>
    <row r="2205" spans="2:2" ht="12.75" customHeight="1">
      <c r="B2205" s="92" t="str">
        <f t="shared" si="350"/>
        <v/>
      </c>
    </row>
    <row r="2206" spans="2:2" ht="12.75" customHeight="1">
      <c r="B2206" s="92" t="str">
        <f t="shared" si="350"/>
        <v/>
      </c>
    </row>
    <row r="2207" spans="2:2" ht="12.75" customHeight="1">
      <c r="B2207" s="92" t="str">
        <f t="shared" si="350"/>
        <v/>
      </c>
    </row>
    <row r="2208" spans="2:2" ht="12.75" customHeight="1">
      <c r="B2208" s="92" t="str">
        <f t="shared" si="350"/>
        <v/>
      </c>
    </row>
    <row r="2209" spans="2:2" ht="12.75" customHeight="1">
      <c r="B2209" s="92" t="str">
        <f t="shared" si="350"/>
        <v/>
      </c>
    </row>
    <row r="2210" spans="2:2" ht="12.75" customHeight="1">
      <c r="B2210" s="92" t="str">
        <f t="shared" si="350"/>
        <v/>
      </c>
    </row>
    <row r="2211" spans="2:2" ht="12.75" customHeight="1">
      <c r="B2211" s="92" t="str">
        <f t="shared" si="350"/>
        <v/>
      </c>
    </row>
    <row r="2212" spans="2:2" ht="12.75" customHeight="1">
      <c r="B2212" s="92" t="str">
        <f t="shared" si="350"/>
        <v/>
      </c>
    </row>
    <row r="2213" spans="2:2" ht="12.75" customHeight="1">
      <c r="B2213" s="92" t="str">
        <f t="shared" si="350"/>
        <v/>
      </c>
    </row>
    <row r="2214" spans="2:2" ht="12.75" customHeight="1">
      <c r="B2214" s="92" t="str">
        <f t="shared" si="350"/>
        <v/>
      </c>
    </row>
    <row r="2215" spans="2:2" ht="12.75" customHeight="1">
      <c r="B2215" s="92" t="str">
        <f t="shared" si="350"/>
        <v/>
      </c>
    </row>
    <row r="2216" spans="2:2" ht="12.75" customHeight="1">
      <c r="B2216" s="92" t="str">
        <f t="shared" si="350"/>
        <v/>
      </c>
    </row>
    <row r="2217" spans="2:2" ht="12.75" customHeight="1">
      <c r="B2217" s="92" t="str">
        <f t="shared" si="350"/>
        <v/>
      </c>
    </row>
    <row r="2218" spans="2:2" ht="12.75" customHeight="1">
      <c r="B2218" s="92" t="str">
        <f t="shared" si="350"/>
        <v/>
      </c>
    </row>
    <row r="2219" spans="2:2" ht="12.75" customHeight="1">
      <c r="B2219" s="92" t="str">
        <f t="shared" si="350"/>
        <v/>
      </c>
    </row>
    <row r="2220" spans="2:2" ht="12.75" customHeight="1">
      <c r="B2220" s="92" t="str">
        <f t="shared" si="350"/>
        <v/>
      </c>
    </row>
    <row r="2221" spans="2:2" ht="12.75" customHeight="1">
      <c r="B2221" s="92" t="str">
        <f t="shared" si="350"/>
        <v/>
      </c>
    </row>
    <row r="2222" spans="2:2" ht="12.75" customHeight="1">
      <c r="B2222" s="92" t="str">
        <f t="shared" ref="B2222:B2285" si="351">IF(C2222="","",ROW()-5)</f>
        <v/>
      </c>
    </row>
    <row r="2223" spans="2:2" ht="12.75" customHeight="1">
      <c r="B2223" s="92" t="str">
        <f t="shared" si="351"/>
        <v/>
      </c>
    </row>
    <row r="2224" spans="2:2" ht="12.75" customHeight="1">
      <c r="B2224" s="92" t="str">
        <f t="shared" si="351"/>
        <v/>
      </c>
    </row>
    <row r="2225" spans="2:2" ht="12.75" customHeight="1">
      <c r="B2225" s="92" t="str">
        <f t="shared" si="351"/>
        <v/>
      </c>
    </row>
    <row r="2226" spans="2:2" ht="12.75" customHeight="1">
      <c r="B2226" s="92" t="str">
        <f t="shared" si="351"/>
        <v/>
      </c>
    </row>
    <row r="2227" spans="2:2" ht="12.75" customHeight="1">
      <c r="B2227" s="92" t="str">
        <f t="shared" si="351"/>
        <v/>
      </c>
    </row>
    <row r="2228" spans="2:2" ht="12.75" customHeight="1">
      <c r="B2228" s="92" t="str">
        <f t="shared" si="351"/>
        <v/>
      </c>
    </row>
    <row r="2229" spans="2:2" ht="12.75" customHeight="1">
      <c r="B2229" s="92" t="str">
        <f t="shared" si="351"/>
        <v/>
      </c>
    </row>
    <row r="2230" spans="2:2" ht="12.75" customHeight="1">
      <c r="B2230" s="92" t="str">
        <f t="shared" si="351"/>
        <v/>
      </c>
    </row>
    <row r="2231" spans="2:2" ht="12.75" customHeight="1">
      <c r="B2231" s="92" t="str">
        <f t="shared" si="351"/>
        <v/>
      </c>
    </row>
    <row r="2232" spans="2:2" ht="12.75" customHeight="1">
      <c r="B2232" s="92" t="str">
        <f t="shared" si="351"/>
        <v/>
      </c>
    </row>
    <row r="2233" spans="2:2" ht="12.75" customHeight="1">
      <c r="B2233" s="92" t="str">
        <f t="shared" si="351"/>
        <v/>
      </c>
    </row>
    <row r="2234" spans="2:2" ht="12.75" customHeight="1">
      <c r="B2234" s="92" t="str">
        <f t="shared" si="351"/>
        <v/>
      </c>
    </row>
    <row r="2235" spans="2:2" ht="12.75" customHeight="1">
      <c r="B2235" s="92" t="str">
        <f t="shared" si="351"/>
        <v/>
      </c>
    </row>
    <row r="2236" spans="2:2" ht="12.75" customHeight="1">
      <c r="B2236" s="92" t="str">
        <f t="shared" si="351"/>
        <v/>
      </c>
    </row>
    <row r="2237" spans="2:2" ht="12.75" customHeight="1">
      <c r="B2237" s="92" t="str">
        <f t="shared" si="351"/>
        <v/>
      </c>
    </row>
    <row r="2238" spans="2:2" ht="12.75" customHeight="1">
      <c r="B2238" s="92" t="str">
        <f t="shared" si="351"/>
        <v/>
      </c>
    </row>
    <row r="2239" spans="2:2" ht="12.75" customHeight="1">
      <c r="B2239" s="92" t="str">
        <f t="shared" si="351"/>
        <v/>
      </c>
    </row>
    <row r="2240" spans="2:2" ht="12.75" customHeight="1">
      <c r="B2240" s="92" t="str">
        <f t="shared" si="351"/>
        <v/>
      </c>
    </row>
    <row r="2241" spans="2:2" ht="12.75" customHeight="1">
      <c r="B2241" s="92" t="str">
        <f t="shared" si="351"/>
        <v/>
      </c>
    </row>
    <row r="2242" spans="2:2" ht="12.75" customHeight="1">
      <c r="B2242" s="92" t="str">
        <f t="shared" si="351"/>
        <v/>
      </c>
    </row>
    <row r="2243" spans="2:2" ht="12.75" customHeight="1">
      <c r="B2243" s="92" t="str">
        <f t="shared" si="351"/>
        <v/>
      </c>
    </row>
    <row r="2244" spans="2:2" ht="12.75" customHeight="1">
      <c r="B2244" s="92" t="str">
        <f t="shared" si="351"/>
        <v/>
      </c>
    </row>
    <row r="2245" spans="2:2" ht="12.75" customHeight="1">
      <c r="B2245" s="92" t="str">
        <f t="shared" si="351"/>
        <v/>
      </c>
    </row>
    <row r="2246" spans="2:2" ht="12.75" customHeight="1">
      <c r="B2246" s="92" t="str">
        <f t="shared" si="351"/>
        <v/>
      </c>
    </row>
    <row r="2247" spans="2:2" ht="12.75" customHeight="1">
      <c r="B2247" s="92" t="str">
        <f t="shared" si="351"/>
        <v/>
      </c>
    </row>
    <row r="2248" spans="2:2" ht="12.75" customHeight="1">
      <c r="B2248" s="92" t="str">
        <f t="shared" si="351"/>
        <v/>
      </c>
    </row>
    <row r="2249" spans="2:2" ht="12.75" customHeight="1">
      <c r="B2249" s="92" t="str">
        <f t="shared" si="351"/>
        <v/>
      </c>
    </row>
    <row r="2250" spans="2:2" ht="12.75" customHeight="1">
      <c r="B2250" s="92" t="str">
        <f t="shared" si="351"/>
        <v/>
      </c>
    </row>
    <row r="2251" spans="2:2" ht="12.75" customHeight="1">
      <c r="B2251" s="92" t="str">
        <f t="shared" si="351"/>
        <v/>
      </c>
    </row>
    <row r="2252" spans="2:2" ht="12.75" customHeight="1">
      <c r="B2252" s="92" t="str">
        <f t="shared" si="351"/>
        <v/>
      </c>
    </row>
    <row r="2253" spans="2:2" ht="12.75" customHeight="1">
      <c r="B2253" s="92" t="str">
        <f t="shared" si="351"/>
        <v/>
      </c>
    </row>
    <row r="2254" spans="2:2" ht="12.75" customHeight="1">
      <c r="B2254" s="92" t="str">
        <f t="shared" si="351"/>
        <v/>
      </c>
    </row>
    <row r="2255" spans="2:2" ht="12.75" customHeight="1">
      <c r="B2255" s="92" t="str">
        <f t="shared" si="351"/>
        <v/>
      </c>
    </row>
    <row r="2256" spans="2:2" ht="12.75" customHeight="1">
      <c r="B2256" s="92" t="str">
        <f t="shared" si="351"/>
        <v/>
      </c>
    </row>
    <row r="2257" spans="2:2" ht="12.75" customHeight="1">
      <c r="B2257" s="92" t="str">
        <f t="shared" si="351"/>
        <v/>
      </c>
    </row>
    <row r="2258" spans="2:2" ht="12.75" customHeight="1">
      <c r="B2258" s="92" t="str">
        <f t="shared" si="351"/>
        <v/>
      </c>
    </row>
    <row r="2259" spans="2:2" ht="12.75" customHeight="1">
      <c r="B2259" s="92" t="str">
        <f t="shared" si="351"/>
        <v/>
      </c>
    </row>
    <row r="2260" spans="2:2" ht="12.75" customHeight="1">
      <c r="B2260" s="92" t="str">
        <f t="shared" si="351"/>
        <v/>
      </c>
    </row>
    <row r="2261" spans="2:2" ht="12.75" customHeight="1">
      <c r="B2261" s="92" t="str">
        <f t="shared" si="351"/>
        <v/>
      </c>
    </row>
    <row r="2262" spans="2:2" ht="12.75" customHeight="1">
      <c r="B2262" s="92" t="str">
        <f t="shared" si="351"/>
        <v/>
      </c>
    </row>
    <row r="2263" spans="2:2" ht="12.75" customHeight="1">
      <c r="B2263" s="92" t="str">
        <f t="shared" si="351"/>
        <v/>
      </c>
    </row>
    <row r="2264" spans="2:2" ht="12.75" customHeight="1">
      <c r="B2264" s="92" t="str">
        <f t="shared" si="351"/>
        <v/>
      </c>
    </row>
    <row r="2265" spans="2:2" ht="12.75" customHeight="1">
      <c r="B2265" s="92" t="str">
        <f t="shared" si="351"/>
        <v/>
      </c>
    </row>
    <row r="2266" spans="2:2" ht="12.75" customHeight="1">
      <c r="B2266" s="92" t="str">
        <f t="shared" si="351"/>
        <v/>
      </c>
    </row>
    <row r="2267" spans="2:2" ht="12.75" customHeight="1">
      <c r="B2267" s="92" t="str">
        <f t="shared" si="351"/>
        <v/>
      </c>
    </row>
    <row r="2268" spans="2:2" ht="12.75" customHeight="1">
      <c r="B2268" s="92" t="str">
        <f t="shared" si="351"/>
        <v/>
      </c>
    </row>
    <row r="2269" spans="2:2" ht="12.75" customHeight="1">
      <c r="B2269" s="92" t="str">
        <f t="shared" si="351"/>
        <v/>
      </c>
    </row>
    <row r="2270" spans="2:2" ht="12.75" customHeight="1">
      <c r="B2270" s="92" t="str">
        <f t="shared" si="351"/>
        <v/>
      </c>
    </row>
    <row r="2271" spans="2:2" ht="12.75" customHeight="1">
      <c r="B2271" s="92" t="str">
        <f t="shared" si="351"/>
        <v/>
      </c>
    </row>
    <row r="2272" spans="2:2" ht="12.75" customHeight="1">
      <c r="B2272" s="92" t="str">
        <f t="shared" si="351"/>
        <v/>
      </c>
    </row>
    <row r="2273" spans="2:2" ht="12.75" customHeight="1">
      <c r="B2273" s="92" t="str">
        <f t="shared" si="351"/>
        <v/>
      </c>
    </row>
    <row r="2274" spans="2:2" ht="12.75" customHeight="1">
      <c r="B2274" s="92" t="str">
        <f t="shared" si="351"/>
        <v/>
      </c>
    </row>
    <row r="2275" spans="2:2" ht="12.75" customHeight="1">
      <c r="B2275" s="92" t="str">
        <f t="shared" si="351"/>
        <v/>
      </c>
    </row>
    <row r="2276" spans="2:2" ht="12.75" customHeight="1">
      <c r="B2276" s="92" t="str">
        <f t="shared" si="351"/>
        <v/>
      </c>
    </row>
    <row r="2277" spans="2:2" ht="12.75" customHeight="1">
      <c r="B2277" s="92" t="str">
        <f t="shared" si="351"/>
        <v/>
      </c>
    </row>
    <row r="2278" spans="2:2" ht="12.75" customHeight="1">
      <c r="B2278" s="92" t="str">
        <f t="shared" si="351"/>
        <v/>
      </c>
    </row>
    <row r="2279" spans="2:2" ht="12.75" customHeight="1">
      <c r="B2279" s="92" t="str">
        <f t="shared" si="351"/>
        <v/>
      </c>
    </row>
    <row r="2280" spans="2:2" ht="12.75" customHeight="1">
      <c r="B2280" s="92" t="str">
        <f t="shared" si="351"/>
        <v/>
      </c>
    </row>
    <row r="2281" spans="2:2" ht="12.75" customHeight="1">
      <c r="B2281" s="92" t="str">
        <f t="shared" si="351"/>
        <v/>
      </c>
    </row>
    <row r="2282" spans="2:2" ht="12.75" customHeight="1">
      <c r="B2282" s="92" t="str">
        <f t="shared" si="351"/>
        <v/>
      </c>
    </row>
    <row r="2283" spans="2:2" ht="12.75" customHeight="1">
      <c r="B2283" s="92" t="str">
        <f t="shared" si="351"/>
        <v/>
      </c>
    </row>
    <row r="2284" spans="2:2" ht="12.75" customHeight="1">
      <c r="B2284" s="92" t="str">
        <f t="shared" si="351"/>
        <v/>
      </c>
    </row>
    <row r="2285" spans="2:2" ht="12.75" customHeight="1">
      <c r="B2285" s="92" t="str">
        <f t="shared" si="351"/>
        <v/>
      </c>
    </row>
    <row r="2286" spans="2:2" ht="12.75" customHeight="1">
      <c r="B2286" s="92" t="str">
        <f t="shared" ref="B2286:B2349" si="352">IF(C2286="","",ROW()-5)</f>
        <v/>
      </c>
    </row>
    <row r="2287" spans="2:2" ht="12.75" customHeight="1">
      <c r="B2287" s="92" t="str">
        <f t="shared" si="352"/>
        <v/>
      </c>
    </row>
    <row r="2288" spans="2:2" ht="12.75" customHeight="1">
      <c r="B2288" s="92" t="str">
        <f t="shared" si="352"/>
        <v/>
      </c>
    </row>
    <row r="2289" spans="2:2" ht="12.75" customHeight="1">
      <c r="B2289" s="92" t="str">
        <f t="shared" si="352"/>
        <v/>
      </c>
    </row>
    <row r="2290" spans="2:2" ht="12.75" customHeight="1">
      <c r="B2290" s="92" t="str">
        <f t="shared" si="352"/>
        <v/>
      </c>
    </row>
    <row r="2291" spans="2:2" ht="12.75" customHeight="1">
      <c r="B2291" s="92" t="str">
        <f t="shared" si="352"/>
        <v/>
      </c>
    </row>
    <row r="2292" spans="2:2" ht="12.75" customHeight="1">
      <c r="B2292" s="92" t="str">
        <f t="shared" si="352"/>
        <v/>
      </c>
    </row>
    <row r="2293" spans="2:2" ht="12.75" customHeight="1">
      <c r="B2293" s="92" t="str">
        <f t="shared" si="352"/>
        <v/>
      </c>
    </row>
    <row r="2294" spans="2:2" ht="12.75" customHeight="1">
      <c r="B2294" s="92" t="str">
        <f t="shared" si="352"/>
        <v/>
      </c>
    </row>
    <row r="2295" spans="2:2" ht="12.75" customHeight="1">
      <c r="B2295" s="92" t="str">
        <f t="shared" si="352"/>
        <v/>
      </c>
    </row>
    <row r="2296" spans="2:2" ht="12.75" customHeight="1">
      <c r="B2296" s="92" t="str">
        <f t="shared" si="352"/>
        <v/>
      </c>
    </row>
    <row r="2297" spans="2:2" ht="12.75" customHeight="1">
      <c r="B2297" s="92" t="str">
        <f t="shared" si="352"/>
        <v/>
      </c>
    </row>
    <row r="2298" spans="2:2" ht="12.75" customHeight="1">
      <c r="B2298" s="92" t="str">
        <f t="shared" si="352"/>
        <v/>
      </c>
    </row>
    <row r="2299" spans="2:2" ht="12.75" customHeight="1">
      <c r="B2299" s="92" t="str">
        <f t="shared" si="352"/>
        <v/>
      </c>
    </row>
    <row r="2300" spans="2:2" ht="12.75" customHeight="1">
      <c r="B2300" s="92" t="str">
        <f t="shared" si="352"/>
        <v/>
      </c>
    </row>
    <row r="2301" spans="2:2" ht="12.75" customHeight="1">
      <c r="B2301" s="92" t="str">
        <f t="shared" si="352"/>
        <v/>
      </c>
    </row>
    <row r="2302" spans="2:2" ht="12.75" customHeight="1">
      <c r="B2302" s="92" t="str">
        <f t="shared" si="352"/>
        <v/>
      </c>
    </row>
    <row r="2303" spans="2:2" ht="12.75" customHeight="1">
      <c r="B2303" s="92" t="str">
        <f t="shared" si="352"/>
        <v/>
      </c>
    </row>
    <row r="2304" spans="2:2" ht="12.75" customHeight="1">
      <c r="B2304" s="92" t="str">
        <f t="shared" si="352"/>
        <v/>
      </c>
    </row>
    <row r="2305" spans="2:2" ht="12.75" customHeight="1">
      <c r="B2305" s="92" t="str">
        <f t="shared" si="352"/>
        <v/>
      </c>
    </row>
    <row r="2306" spans="2:2" ht="12.75" customHeight="1">
      <c r="B2306" s="92" t="str">
        <f t="shared" si="352"/>
        <v/>
      </c>
    </row>
    <row r="2307" spans="2:2" ht="12.75" customHeight="1">
      <c r="B2307" s="92" t="str">
        <f t="shared" si="352"/>
        <v/>
      </c>
    </row>
    <row r="2308" spans="2:2" ht="12.75" customHeight="1">
      <c r="B2308" s="92" t="str">
        <f t="shared" si="352"/>
        <v/>
      </c>
    </row>
    <row r="2309" spans="2:2" ht="12.75" customHeight="1">
      <c r="B2309" s="92" t="str">
        <f t="shared" si="352"/>
        <v/>
      </c>
    </row>
    <row r="2310" spans="2:2" ht="12.75" customHeight="1">
      <c r="B2310" s="92" t="str">
        <f t="shared" si="352"/>
        <v/>
      </c>
    </row>
    <row r="2311" spans="2:2" ht="12.75" customHeight="1">
      <c r="B2311" s="92" t="str">
        <f t="shared" si="352"/>
        <v/>
      </c>
    </row>
    <row r="2312" spans="2:2" ht="12.75" customHeight="1">
      <c r="B2312" s="92" t="str">
        <f t="shared" si="352"/>
        <v/>
      </c>
    </row>
    <row r="2313" spans="2:2" ht="12.75" customHeight="1">
      <c r="B2313" s="92" t="str">
        <f t="shared" si="352"/>
        <v/>
      </c>
    </row>
    <row r="2314" spans="2:2" ht="12.75" customHeight="1">
      <c r="B2314" s="92" t="str">
        <f t="shared" si="352"/>
        <v/>
      </c>
    </row>
    <row r="2315" spans="2:2" ht="12.75" customHeight="1">
      <c r="B2315" s="92" t="str">
        <f t="shared" si="352"/>
        <v/>
      </c>
    </row>
    <row r="2316" spans="2:2" ht="12.75" customHeight="1">
      <c r="B2316" s="92" t="str">
        <f t="shared" si="352"/>
        <v/>
      </c>
    </row>
    <row r="2317" spans="2:2" ht="12.75" customHeight="1">
      <c r="B2317" s="92" t="str">
        <f t="shared" si="352"/>
        <v/>
      </c>
    </row>
    <row r="2318" spans="2:2" ht="12.75" customHeight="1">
      <c r="B2318" s="92" t="str">
        <f t="shared" si="352"/>
        <v/>
      </c>
    </row>
    <row r="2319" spans="2:2" ht="12.75" customHeight="1">
      <c r="B2319" s="92" t="str">
        <f t="shared" si="352"/>
        <v/>
      </c>
    </row>
    <row r="2320" spans="2:2" ht="12.75" customHeight="1">
      <c r="B2320" s="92" t="str">
        <f t="shared" si="352"/>
        <v/>
      </c>
    </row>
    <row r="2321" spans="2:2" ht="12.75" customHeight="1">
      <c r="B2321" s="92" t="str">
        <f t="shared" si="352"/>
        <v/>
      </c>
    </row>
    <row r="2322" spans="2:2" ht="12.75" customHeight="1">
      <c r="B2322" s="92" t="str">
        <f t="shared" si="352"/>
        <v/>
      </c>
    </row>
    <row r="2323" spans="2:2" ht="12.75" customHeight="1">
      <c r="B2323" s="92" t="str">
        <f t="shared" si="352"/>
        <v/>
      </c>
    </row>
    <row r="2324" spans="2:2" ht="12.75" customHeight="1">
      <c r="B2324" s="92" t="str">
        <f t="shared" si="352"/>
        <v/>
      </c>
    </row>
    <row r="2325" spans="2:2" ht="12.75" customHeight="1">
      <c r="B2325" s="92" t="str">
        <f t="shared" si="352"/>
        <v/>
      </c>
    </row>
    <row r="2326" spans="2:2" ht="12.75" customHeight="1">
      <c r="B2326" s="92" t="str">
        <f t="shared" si="352"/>
        <v/>
      </c>
    </row>
    <row r="2327" spans="2:2" ht="12.75" customHeight="1">
      <c r="B2327" s="92" t="str">
        <f t="shared" si="352"/>
        <v/>
      </c>
    </row>
    <row r="2328" spans="2:2" ht="12.75" customHeight="1">
      <c r="B2328" s="92" t="str">
        <f t="shared" si="352"/>
        <v/>
      </c>
    </row>
    <row r="2329" spans="2:2" ht="12.75" customHeight="1">
      <c r="B2329" s="92" t="str">
        <f t="shared" si="352"/>
        <v/>
      </c>
    </row>
    <row r="2330" spans="2:2" ht="12.75" customHeight="1">
      <c r="B2330" s="92" t="str">
        <f t="shared" si="352"/>
        <v/>
      </c>
    </row>
    <row r="2331" spans="2:2" ht="12.75" customHeight="1">
      <c r="B2331" s="92" t="str">
        <f t="shared" si="352"/>
        <v/>
      </c>
    </row>
    <row r="2332" spans="2:2" ht="12.75" customHeight="1">
      <c r="B2332" s="92" t="str">
        <f t="shared" si="352"/>
        <v/>
      </c>
    </row>
    <row r="2333" spans="2:2" ht="12.75" customHeight="1">
      <c r="B2333" s="92" t="str">
        <f t="shared" si="352"/>
        <v/>
      </c>
    </row>
    <row r="2334" spans="2:2" ht="12.75" customHeight="1">
      <c r="B2334" s="92" t="str">
        <f t="shared" si="352"/>
        <v/>
      </c>
    </row>
    <row r="2335" spans="2:2" ht="12.75" customHeight="1">
      <c r="B2335" s="92" t="str">
        <f t="shared" si="352"/>
        <v/>
      </c>
    </row>
    <row r="2336" spans="2:2" ht="12.75" customHeight="1">
      <c r="B2336" s="92" t="str">
        <f t="shared" si="352"/>
        <v/>
      </c>
    </row>
    <row r="2337" spans="2:2" ht="12.75" customHeight="1">
      <c r="B2337" s="92" t="str">
        <f t="shared" si="352"/>
        <v/>
      </c>
    </row>
    <row r="2338" spans="2:2" ht="12.75" customHeight="1">
      <c r="B2338" s="92" t="str">
        <f t="shared" si="352"/>
        <v/>
      </c>
    </row>
    <row r="2339" spans="2:2" ht="12.75" customHeight="1">
      <c r="B2339" s="92" t="str">
        <f t="shared" si="352"/>
        <v/>
      </c>
    </row>
    <row r="2340" spans="2:2" ht="12.75" customHeight="1">
      <c r="B2340" s="92" t="str">
        <f t="shared" si="352"/>
        <v/>
      </c>
    </row>
    <row r="2341" spans="2:2" ht="12.75" customHeight="1">
      <c r="B2341" s="92" t="str">
        <f t="shared" si="352"/>
        <v/>
      </c>
    </row>
    <row r="2342" spans="2:2" ht="12.75" customHeight="1">
      <c r="B2342" s="92" t="str">
        <f t="shared" si="352"/>
        <v/>
      </c>
    </row>
    <row r="2343" spans="2:2" ht="12.75" customHeight="1">
      <c r="B2343" s="92" t="str">
        <f t="shared" si="352"/>
        <v/>
      </c>
    </row>
    <row r="2344" spans="2:2" ht="12.75" customHeight="1">
      <c r="B2344" s="92" t="str">
        <f t="shared" si="352"/>
        <v/>
      </c>
    </row>
    <row r="2345" spans="2:2" ht="12.75" customHeight="1">
      <c r="B2345" s="92" t="str">
        <f t="shared" si="352"/>
        <v/>
      </c>
    </row>
    <row r="2346" spans="2:2" ht="12.75" customHeight="1">
      <c r="B2346" s="92" t="str">
        <f t="shared" si="352"/>
        <v/>
      </c>
    </row>
    <row r="2347" spans="2:2" ht="12.75" customHeight="1">
      <c r="B2347" s="92" t="str">
        <f t="shared" si="352"/>
        <v/>
      </c>
    </row>
    <row r="2348" spans="2:2" ht="12.75" customHeight="1">
      <c r="B2348" s="92" t="str">
        <f t="shared" si="352"/>
        <v/>
      </c>
    </row>
    <row r="2349" spans="2:2" ht="12.75" customHeight="1">
      <c r="B2349" s="92" t="str">
        <f t="shared" si="352"/>
        <v/>
      </c>
    </row>
    <row r="2350" spans="2:2" ht="12.75" customHeight="1">
      <c r="B2350" s="92" t="str">
        <f t="shared" ref="B2350:B2413" si="353">IF(C2350="","",ROW()-5)</f>
        <v/>
      </c>
    </row>
    <row r="2351" spans="2:2" ht="12.75" customHeight="1">
      <c r="B2351" s="92" t="str">
        <f t="shared" si="353"/>
        <v/>
      </c>
    </row>
    <row r="2352" spans="2:2" ht="12.75" customHeight="1">
      <c r="B2352" s="92" t="str">
        <f t="shared" si="353"/>
        <v/>
      </c>
    </row>
    <row r="2353" spans="2:2" ht="12.75" customHeight="1">
      <c r="B2353" s="92" t="str">
        <f t="shared" si="353"/>
        <v/>
      </c>
    </row>
    <row r="2354" spans="2:2" ht="12.75" customHeight="1">
      <c r="B2354" s="92" t="str">
        <f t="shared" si="353"/>
        <v/>
      </c>
    </row>
    <row r="2355" spans="2:2" ht="12.75" customHeight="1">
      <c r="B2355" s="92" t="str">
        <f t="shared" si="353"/>
        <v/>
      </c>
    </row>
    <row r="2356" spans="2:2" ht="12.75" customHeight="1">
      <c r="B2356" s="92" t="str">
        <f t="shared" si="353"/>
        <v/>
      </c>
    </row>
    <row r="2357" spans="2:2" ht="12.75" customHeight="1">
      <c r="B2357" s="92" t="str">
        <f t="shared" si="353"/>
        <v/>
      </c>
    </row>
    <row r="2358" spans="2:2" ht="12.75" customHeight="1">
      <c r="B2358" s="92" t="str">
        <f t="shared" si="353"/>
        <v/>
      </c>
    </row>
    <row r="2359" spans="2:2" ht="12.75" customHeight="1">
      <c r="B2359" s="92" t="str">
        <f t="shared" si="353"/>
        <v/>
      </c>
    </row>
    <row r="2360" spans="2:2" ht="12.75" customHeight="1">
      <c r="B2360" s="92" t="str">
        <f t="shared" si="353"/>
        <v/>
      </c>
    </row>
    <row r="2361" spans="2:2" ht="12.75" customHeight="1">
      <c r="B2361" s="92" t="str">
        <f t="shared" si="353"/>
        <v/>
      </c>
    </row>
    <row r="2362" spans="2:2" ht="12.75" customHeight="1">
      <c r="B2362" s="92" t="str">
        <f t="shared" si="353"/>
        <v/>
      </c>
    </row>
    <row r="2363" spans="2:2" ht="12.75" customHeight="1">
      <c r="B2363" s="92" t="str">
        <f t="shared" si="353"/>
        <v/>
      </c>
    </row>
    <row r="2364" spans="2:2" ht="12.75" customHeight="1">
      <c r="B2364" s="92" t="str">
        <f t="shared" si="353"/>
        <v/>
      </c>
    </row>
    <row r="2365" spans="2:2" ht="12.75" customHeight="1">
      <c r="B2365" s="92" t="str">
        <f t="shared" si="353"/>
        <v/>
      </c>
    </row>
    <row r="2366" spans="2:2" ht="12.75" customHeight="1">
      <c r="B2366" s="92" t="str">
        <f t="shared" si="353"/>
        <v/>
      </c>
    </row>
    <row r="2367" spans="2:2" ht="12.75" customHeight="1">
      <c r="B2367" s="92" t="str">
        <f t="shared" si="353"/>
        <v/>
      </c>
    </row>
    <row r="2368" spans="2:2" ht="12.75" customHeight="1">
      <c r="B2368" s="92" t="str">
        <f t="shared" si="353"/>
        <v/>
      </c>
    </row>
    <row r="2369" spans="2:2" ht="12.75" customHeight="1">
      <c r="B2369" s="92" t="str">
        <f t="shared" si="353"/>
        <v/>
      </c>
    </row>
    <row r="2370" spans="2:2" ht="12.75" customHeight="1">
      <c r="B2370" s="92" t="str">
        <f t="shared" si="353"/>
        <v/>
      </c>
    </row>
    <row r="2371" spans="2:2" ht="12.75" customHeight="1">
      <c r="B2371" s="92" t="str">
        <f t="shared" si="353"/>
        <v/>
      </c>
    </row>
    <row r="2372" spans="2:2" ht="12.75" customHeight="1">
      <c r="B2372" s="92" t="str">
        <f t="shared" si="353"/>
        <v/>
      </c>
    </row>
    <row r="2373" spans="2:2" ht="12.75" customHeight="1">
      <c r="B2373" s="92" t="str">
        <f t="shared" si="353"/>
        <v/>
      </c>
    </row>
    <row r="2374" spans="2:2" ht="12.75" customHeight="1">
      <c r="B2374" s="92" t="str">
        <f t="shared" si="353"/>
        <v/>
      </c>
    </row>
    <row r="2375" spans="2:2" ht="12.75" customHeight="1">
      <c r="B2375" s="92" t="str">
        <f t="shared" si="353"/>
        <v/>
      </c>
    </row>
    <row r="2376" spans="2:2" ht="12.75" customHeight="1">
      <c r="B2376" s="92" t="str">
        <f t="shared" si="353"/>
        <v/>
      </c>
    </row>
    <row r="2377" spans="2:2" ht="12.75" customHeight="1">
      <c r="B2377" s="92" t="str">
        <f t="shared" si="353"/>
        <v/>
      </c>
    </row>
    <row r="2378" spans="2:2" ht="12.75" customHeight="1">
      <c r="B2378" s="92" t="str">
        <f t="shared" si="353"/>
        <v/>
      </c>
    </row>
    <row r="2379" spans="2:2" ht="12.75" customHeight="1">
      <c r="B2379" s="92" t="str">
        <f t="shared" si="353"/>
        <v/>
      </c>
    </row>
    <row r="2380" spans="2:2" ht="12.75" customHeight="1">
      <c r="B2380" s="92" t="str">
        <f t="shared" si="353"/>
        <v/>
      </c>
    </row>
    <row r="2381" spans="2:2" ht="12.75" customHeight="1">
      <c r="B2381" s="92" t="str">
        <f t="shared" si="353"/>
        <v/>
      </c>
    </row>
    <row r="2382" spans="2:2" ht="12.75" customHeight="1">
      <c r="B2382" s="92" t="str">
        <f t="shared" si="353"/>
        <v/>
      </c>
    </row>
    <row r="2383" spans="2:2" ht="12.75" customHeight="1">
      <c r="B2383" s="92" t="str">
        <f t="shared" si="353"/>
        <v/>
      </c>
    </row>
    <row r="2384" spans="2:2" ht="12.75" customHeight="1">
      <c r="B2384" s="92" t="str">
        <f t="shared" si="353"/>
        <v/>
      </c>
    </row>
    <row r="2385" spans="2:2" ht="12.75" customHeight="1">
      <c r="B2385" s="92" t="str">
        <f t="shared" si="353"/>
        <v/>
      </c>
    </row>
    <row r="2386" spans="2:2" ht="12.75" customHeight="1">
      <c r="B2386" s="92" t="str">
        <f t="shared" si="353"/>
        <v/>
      </c>
    </row>
    <row r="2387" spans="2:2" ht="12.75" customHeight="1">
      <c r="B2387" s="92" t="str">
        <f t="shared" si="353"/>
        <v/>
      </c>
    </row>
    <row r="2388" spans="2:2" ht="12.75" customHeight="1">
      <c r="B2388" s="92" t="str">
        <f t="shared" si="353"/>
        <v/>
      </c>
    </row>
    <row r="2389" spans="2:2" ht="12.75" customHeight="1">
      <c r="B2389" s="92" t="str">
        <f t="shared" si="353"/>
        <v/>
      </c>
    </row>
    <row r="2390" spans="2:2" ht="12.75" customHeight="1">
      <c r="B2390" s="92" t="str">
        <f t="shared" si="353"/>
        <v/>
      </c>
    </row>
    <row r="2391" spans="2:2" ht="12.75" customHeight="1">
      <c r="B2391" s="92" t="str">
        <f t="shared" si="353"/>
        <v/>
      </c>
    </row>
    <row r="2392" spans="2:2" ht="12.75" customHeight="1">
      <c r="B2392" s="92" t="str">
        <f t="shared" si="353"/>
        <v/>
      </c>
    </row>
    <row r="2393" spans="2:2" ht="12.75" customHeight="1">
      <c r="B2393" s="92" t="str">
        <f t="shared" si="353"/>
        <v/>
      </c>
    </row>
    <row r="2394" spans="2:2" ht="12.75" customHeight="1">
      <c r="B2394" s="92" t="str">
        <f t="shared" si="353"/>
        <v/>
      </c>
    </row>
    <row r="2395" spans="2:2" ht="12.75" customHeight="1">
      <c r="B2395" s="92" t="str">
        <f t="shared" si="353"/>
        <v/>
      </c>
    </row>
    <row r="2396" spans="2:2" ht="12.75" customHeight="1">
      <c r="B2396" s="92" t="str">
        <f t="shared" si="353"/>
        <v/>
      </c>
    </row>
    <row r="2397" spans="2:2" ht="12.75" customHeight="1">
      <c r="B2397" s="92" t="str">
        <f t="shared" si="353"/>
        <v/>
      </c>
    </row>
    <row r="2398" spans="2:2" ht="12.75" customHeight="1">
      <c r="B2398" s="92" t="str">
        <f t="shared" si="353"/>
        <v/>
      </c>
    </row>
    <row r="2399" spans="2:2" ht="12.75" customHeight="1">
      <c r="B2399" s="92" t="str">
        <f t="shared" si="353"/>
        <v/>
      </c>
    </row>
    <row r="2400" spans="2:2" ht="12.75" customHeight="1">
      <c r="B2400" s="92" t="str">
        <f t="shared" si="353"/>
        <v/>
      </c>
    </row>
    <row r="2401" spans="2:2" ht="12.75" customHeight="1">
      <c r="B2401" s="92" t="str">
        <f t="shared" si="353"/>
        <v/>
      </c>
    </row>
    <row r="2402" spans="2:2" ht="12.75" customHeight="1">
      <c r="B2402" s="92" t="str">
        <f t="shared" si="353"/>
        <v/>
      </c>
    </row>
    <row r="2403" spans="2:2" ht="12.75" customHeight="1">
      <c r="B2403" s="92" t="str">
        <f t="shared" si="353"/>
        <v/>
      </c>
    </row>
    <row r="2404" spans="2:2" ht="12.75" customHeight="1">
      <c r="B2404" s="92" t="str">
        <f t="shared" si="353"/>
        <v/>
      </c>
    </row>
    <row r="2405" spans="2:2" ht="12.75" customHeight="1">
      <c r="B2405" s="92" t="str">
        <f t="shared" si="353"/>
        <v/>
      </c>
    </row>
    <row r="2406" spans="2:2" ht="12.75" customHeight="1">
      <c r="B2406" s="92" t="str">
        <f t="shared" si="353"/>
        <v/>
      </c>
    </row>
    <row r="2407" spans="2:2" ht="12.75" customHeight="1">
      <c r="B2407" s="92" t="str">
        <f t="shared" si="353"/>
        <v/>
      </c>
    </row>
    <row r="2408" spans="2:2" ht="12.75" customHeight="1">
      <c r="B2408" s="92" t="str">
        <f t="shared" si="353"/>
        <v/>
      </c>
    </row>
    <row r="2409" spans="2:2" ht="12.75" customHeight="1">
      <c r="B2409" s="92" t="str">
        <f t="shared" si="353"/>
        <v/>
      </c>
    </row>
    <row r="2410" spans="2:2" ht="12.75" customHeight="1">
      <c r="B2410" s="92" t="str">
        <f t="shared" si="353"/>
        <v/>
      </c>
    </row>
    <row r="2411" spans="2:2" ht="12.75" customHeight="1">
      <c r="B2411" s="92" t="str">
        <f t="shared" si="353"/>
        <v/>
      </c>
    </row>
    <row r="2412" spans="2:2" ht="12.75" customHeight="1">
      <c r="B2412" s="92" t="str">
        <f t="shared" si="353"/>
        <v/>
      </c>
    </row>
    <row r="2413" spans="2:2" ht="12.75" customHeight="1">
      <c r="B2413" s="92" t="str">
        <f t="shared" si="353"/>
        <v/>
      </c>
    </row>
    <row r="2414" spans="2:2" ht="12.75" customHeight="1">
      <c r="B2414" s="92" t="str">
        <f t="shared" ref="B2414:B2477" si="354">IF(C2414="","",ROW()-5)</f>
        <v/>
      </c>
    </row>
    <row r="2415" spans="2:2" ht="12.75" customHeight="1">
      <c r="B2415" s="92" t="str">
        <f t="shared" si="354"/>
        <v/>
      </c>
    </row>
    <row r="2416" spans="2:2" ht="12.75" customHeight="1">
      <c r="B2416" s="92" t="str">
        <f t="shared" si="354"/>
        <v/>
      </c>
    </row>
    <row r="2417" spans="2:2" ht="12.75" customHeight="1">
      <c r="B2417" s="92" t="str">
        <f t="shared" si="354"/>
        <v/>
      </c>
    </row>
    <row r="2418" spans="2:2" ht="12.75" customHeight="1">
      <c r="B2418" s="92" t="str">
        <f t="shared" si="354"/>
        <v/>
      </c>
    </row>
    <row r="2419" spans="2:2" ht="12.75" customHeight="1">
      <c r="B2419" s="92" t="str">
        <f t="shared" si="354"/>
        <v/>
      </c>
    </row>
    <row r="2420" spans="2:2" ht="12.75" customHeight="1">
      <c r="B2420" s="92" t="str">
        <f t="shared" si="354"/>
        <v/>
      </c>
    </row>
    <row r="2421" spans="2:2" ht="12.75" customHeight="1">
      <c r="B2421" s="92" t="str">
        <f t="shared" si="354"/>
        <v/>
      </c>
    </row>
    <row r="2422" spans="2:2" ht="12.75" customHeight="1">
      <c r="B2422" s="92" t="str">
        <f t="shared" si="354"/>
        <v/>
      </c>
    </row>
    <row r="2423" spans="2:2" ht="12.75" customHeight="1">
      <c r="B2423" s="92" t="str">
        <f t="shared" si="354"/>
        <v/>
      </c>
    </row>
    <row r="2424" spans="2:2" ht="12.75" customHeight="1">
      <c r="B2424" s="92" t="str">
        <f t="shared" si="354"/>
        <v/>
      </c>
    </row>
    <row r="2425" spans="2:2" ht="12.75" customHeight="1">
      <c r="B2425" s="92" t="str">
        <f t="shared" si="354"/>
        <v/>
      </c>
    </row>
    <row r="2426" spans="2:2" ht="12.75" customHeight="1">
      <c r="B2426" s="92" t="str">
        <f t="shared" si="354"/>
        <v/>
      </c>
    </row>
    <row r="2427" spans="2:2" ht="12.75" customHeight="1">
      <c r="B2427" s="92" t="str">
        <f t="shared" si="354"/>
        <v/>
      </c>
    </row>
    <row r="2428" spans="2:2" ht="12.75" customHeight="1">
      <c r="B2428" s="92" t="str">
        <f t="shared" si="354"/>
        <v/>
      </c>
    </row>
    <row r="2429" spans="2:2" ht="12.75" customHeight="1">
      <c r="B2429" s="92" t="str">
        <f t="shared" si="354"/>
        <v/>
      </c>
    </row>
    <row r="2430" spans="2:2" ht="12.75" customHeight="1">
      <c r="B2430" s="92" t="str">
        <f t="shared" si="354"/>
        <v/>
      </c>
    </row>
    <row r="2431" spans="2:2" ht="12.75" customHeight="1">
      <c r="B2431" s="92" t="str">
        <f t="shared" si="354"/>
        <v/>
      </c>
    </row>
    <row r="2432" spans="2:2" ht="12.75" customHeight="1">
      <c r="B2432" s="92" t="str">
        <f t="shared" si="354"/>
        <v/>
      </c>
    </row>
    <row r="2433" spans="2:2" ht="12.75" customHeight="1">
      <c r="B2433" s="92" t="str">
        <f t="shared" si="354"/>
        <v/>
      </c>
    </row>
    <row r="2434" spans="2:2" ht="12.75" customHeight="1">
      <c r="B2434" s="92" t="str">
        <f t="shared" si="354"/>
        <v/>
      </c>
    </row>
    <row r="2435" spans="2:2" ht="12.75" customHeight="1">
      <c r="B2435" s="92" t="str">
        <f t="shared" si="354"/>
        <v/>
      </c>
    </row>
    <row r="2436" spans="2:2" ht="12.75" customHeight="1">
      <c r="B2436" s="92" t="str">
        <f t="shared" si="354"/>
        <v/>
      </c>
    </row>
    <row r="2437" spans="2:2" ht="12.75" customHeight="1">
      <c r="B2437" s="92" t="str">
        <f t="shared" si="354"/>
        <v/>
      </c>
    </row>
    <row r="2438" spans="2:2" ht="12.75" customHeight="1">
      <c r="B2438" s="92" t="str">
        <f t="shared" si="354"/>
        <v/>
      </c>
    </row>
    <row r="2439" spans="2:2" ht="12.75" customHeight="1">
      <c r="B2439" s="92" t="str">
        <f t="shared" si="354"/>
        <v/>
      </c>
    </row>
    <row r="2440" spans="2:2" ht="12.75" customHeight="1">
      <c r="B2440" s="92" t="str">
        <f t="shared" si="354"/>
        <v/>
      </c>
    </row>
    <row r="2441" spans="2:2" ht="12.75" customHeight="1">
      <c r="B2441" s="92" t="str">
        <f t="shared" si="354"/>
        <v/>
      </c>
    </row>
    <row r="2442" spans="2:2" ht="12.75" customHeight="1">
      <c r="B2442" s="92" t="str">
        <f t="shared" si="354"/>
        <v/>
      </c>
    </row>
    <row r="2443" spans="2:2" ht="12.75" customHeight="1">
      <c r="B2443" s="92" t="str">
        <f t="shared" si="354"/>
        <v/>
      </c>
    </row>
    <row r="2444" spans="2:2" ht="12.75" customHeight="1">
      <c r="B2444" s="92" t="str">
        <f t="shared" si="354"/>
        <v/>
      </c>
    </row>
    <row r="2445" spans="2:2" ht="12.75" customHeight="1">
      <c r="B2445" s="92" t="str">
        <f t="shared" si="354"/>
        <v/>
      </c>
    </row>
    <row r="2446" spans="2:2" ht="12.75" customHeight="1">
      <c r="B2446" s="92" t="str">
        <f t="shared" si="354"/>
        <v/>
      </c>
    </row>
    <row r="2447" spans="2:2" ht="12.75" customHeight="1">
      <c r="B2447" s="92" t="str">
        <f t="shared" si="354"/>
        <v/>
      </c>
    </row>
    <row r="2448" spans="2:2" ht="12.75" customHeight="1">
      <c r="B2448" s="92" t="str">
        <f t="shared" si="354"/>
        <v/>
      </c>
    </row>
    <row r="2449" spans="2:2" ht="12.75" customHeight="1">
      <c r="B2449" s="92" t="str">
        <f t="shared" si="354"/>
        <v/>
      </c>
    </row>
    <row r="2450" spans="2:2" ht="12.75" customHeight="1">
      <c r="B2450" s="92" t="str">
        <f t="shared" si="354"/>
        <v/>
      </c>
    </row>
    <row r="2451" spans="2:2" ht="12.75" customHeight="1">
      <c r="B2451" s="92" t="str">
        <f t="shared" si="354"/>
        <v/>
      </c>
    </row>
    <row r="2452" spans="2:2" ht="12.75" customHeight="1">
      <c r="B2452" s="92" t="str">
        <f t="shared" si="354"/>
        <v/>
      </c>
    </row>
    <row r="2453" spans="2:2" ht="12.75" customHeight="1">
      <c r="B2453" s="92" t="str">
        <f t="shared" si="354"/>
        <v/>
      </c>
    </row>
    <row r="2454" spans="2:2" ht="12.75" customHeight="1">
      <c r="B2454" s="92" t="str">
        <f t="shared" si="354"/>
        <v/>
      </c>
    </row>
    <row r="2455" spans="2:2" ht="12.75" customHeight="1">
      <c r="B2455" s="92" t="str">
        <f t="shared" si="354"/>
        <v/>
      </c>
    </row>
    <row r="2456" spans="2:2" ht="12.75" customHeight="1">
      <c r="B2456" s="92" t="str">
        <f t="shared" si="354"/>
        <v/>
      </c>
    </row>
    <row r="2457" spans="2:2" ht="12.75" customHeight="1">
      <c r="B2457" s="92" t="str">
        <f t="shared" si="354"/>
        <v/>
      </c>
    </row>
    <row r="2458" spans="2:2" ht="12.75" customHeight="1">
      <c r="B2458" s="92" t="str">
        <f t="shared" si="354"/>
        <v/>
      </c>
    </row>
    <row r="2459" spans="2:2" ht="12.75" customHeight="1">
      <c r="B2459" s="92" t="str">
        <f t="shared" si="354"/>
        <v/>
      </c>
    </row>
    <row r="2460" spans="2:2" ht="12.75" customHeight="1">
      <c r="B2460" s="92" t="str">
        <f t="shared" si="354"/>
        <v/>
      </c>
    </row>
    <row r="2461" spans="2:2" ht="12.75" customHeight="1">
      <c r="B2461" s="92" t="str">
        <f t="shared" si="354"/>
        <v/>
      </c>
    </row>
    <row r="2462" spans="2:2" ht="12.75" customHeight="1">
      <c r="B2462" s="92" t="str">
        <f t="shared" si="354"/>
        <v/>
      </c>
    </row>
    <row r="2463" spans="2:2" ht="12.75" customHeight="1">
      <c r="B2463" s="92" t="str">
        <f t="shared" si="354"/>
        <v/>
      </c>
    </row>
    <row r="2464" spans="2:2" ht="12.75" customHeight="1">
      <c r="B2464" s="92" t="str">
        <f t="shared" si="354"/>
        <v/>
      </c>
    </row>
    <row r="2465" spans="2:2" ht="12.75" customHeight="1">
      <c r="B2465" s="92" t="str">
        <f t="shared" si="354"/>
        <v/>
      </c>
    </row>
    <row r="2466" spans="2:2" ht="12.75" customHeight="1">
      <c r="B2466" s="92" t="str">
        <f t="shared" si="354"/>
        <v/>
      </c>
    </row>
    <row r="2467" spans="2:2" ht="12.75" customHeight="1">
      <c r="B2467" s="92" t="str">
        <f t="shared" si="354"/>
        <v/>
      </c>
    </row>
    <row r="2468" spans="2:2" ht="12.75" customHeight="1">
      <c r="B2468" s="92" t="str">
        <f t="shared" si="354"/>
        <v/>
      </c>
    </row>
    <row r="2469" spans="2:2" ht="12.75" customHeight="1">
      <c r="B2469" s="92" t="str">
        <f t="shared" si="354"/>
        <v/>
      </c>
    </row>
    <row r="2470" spans="2:2" ht="12.75" customHeight="1">
      <c r="B2470" s="92" t="str">
        <f t="shared" si="354"/>
        <v/>
      </c>
    </row>
    <row r="2471" spans="2:2" ht="12.75" customHeight="1">
      <c r="B2471" s="92" t="str">
        <f t="shared" si="354"/>
        <v/>
      </c>
    </row>
    <row r="2472" spans="2:2" ht="12.75" customHeight="1">
      <c r="B2472" s="92" t="str">
        <f t="shared" si="354"/>
        <v/>
      </c>
    </row>
    <row r="2473" spans="2:2" ht="12.75" customHeight="1">
      <c r="B2473" s="92" t="str">
        <f t="shared" si="354"/>
        <v/>
      </c>
    </row>
    <row r="2474" spans="2:2" ht="12.75" customHeight="1">
      <c r="B2474" s="92" t="str">
        <f t="shared" si="354"/>
        <v/>
      </c>
    </row>
    <row r="2475" spans="2:2" ht="12.75" customHeight="1">
      <c r="B2475" s="92" t="str">
        <f t="shared" si="354"/>
        <v/>
      </c>
    </row>
    <row r="2476" spans="2:2" ht="12.75" customHeight="1">
      <c r="B2476" s="92" t="str">
        <f t="shared" si="354"/>
        <v/>
      </c>
    </row>
    <row r="2477" spans="2:2" ht="12.75" customHeight="1">
      <c r="B2477" s="92" t="str">
        <f t="shared" si="354"/>
        <v/>
      </c>
    </row>
    <row r="2478" spans="2:2" ht="12.75" customHeight="1">
      <c r="B2478" s="92" t="str">
        <f t="shared" ref="B2478:B2541" si="355">IF(C2478="","",ROW()-5)</f>
        <v/>
      </c>
    </row>
    <row r="2479" spans="2:2" ht="12.75" customHeight="1">
      <c r="B2479" s="92" t="str">
        <f t="shared" si="355"/>
        <v/>
      </c>
    </row>
    <row r="2480" spans="2:2" ht="12.75" customHeight="1">
      <c r="B2480" s="92" t="str">
        <f t="shared" si="355"/>
        <v/>
      </c>
    </row>
    <row r="2481" spans="2:2" ht="12.75" customHeight="1">
      <c r="B2481" s="92" t="str">
        <f t="shared" si="355"/>
        <v/>
      </c>
    </row>
    <row r="2482" spans="2:2" ht="12.75" customHeight="1">
      <c r="B2482" s="92" t="str">
        <f t="shared" si="355"/>
        <v/>
      </c>
    </row>
    <row r="2483" spans="2:2" ht="12.75" customHeight="1">
      <c r="B2483" s="92" t="str">
        <f t="shared" si="355"/>
        <v/>
      </c>
    </row>
    <row r="2484" spans="2:2" ht="12.75" customHeight="1">
      <c r="B2484" s="92" t="str">
        <f t="shared" si="355"/>
        <v/>
      </c>
    </row>
    <row r="2485" spans="2:2" ht="12.75" customHeight="1">
      <c r="B2485" s="92" t="str">
        <f t="shared" si="355"/>
        <v/>
      </c>
    </row>
    <row r="2486" spans="2:2" ht="12.75" customHeight="1">
      <c r="B2486" s="92" t="str">
        <f t="shared" si="355"/>
        <v/>
      </c>
    </row>
    <row r="2487" spans="2:2" ht="12.75" customHeight="1">
      <c r="B2487" s="92" t="str">
        <f t="shared" si="355"/>
        <v/>
      </c>
    </row>
    <row r="2488" spans="2:2" ht="12.75" customHeight="1">
      <c r="B2488" s="92" t="str">
        <f t="shared" si="355"/>
        <v/>
      </c>
    </row>
    <row r="2489" spans="2:2" ht="12.75" customHeight="1">
      <c r="B2489" s="92" t="str">
        <f t="shared" si="355"/>
        <v/>
      </c>
    </row>
    <row r="2490" spans="2:2" ht="12.75" customHeight="1">
      <c r="B2490" s="92" t="str">
        <f t="shared" si="355"/>
        <v/>
      </c>
    </row>
    <row r="2491" spans="2:2" ht="12.75" customHeight="1">
      <c r="B2491" s="92" t="str">
        <f t="shared" si="355"/>
        <v/>
      </c>
    </row>
    <row r="2492" spans="2:2" ht="12.75" customHeight="1">
      <c r="B2492" s="92" t="str">
        <f t="shared" si="355"/>
        <v/>
      </c>
    </row>
    <row r="2493" spans="2:2" ht="12.75" customHeight="1">
      <c r="B2493" s="92" t="str">
        <f t="shared" si="355"/>
        <v/>
      </c>
    </row>
    <row r="2494" spans="2:2" ht="12.75" customHeight="1">
      <c r="B2494" s="92" t="str">
        <f t="shared" si="355"/>
        <v/>
      </c>
    </row>
    <row r="2495" spans="2:2" ht="12.75" customHeight="1">
      <c r="B2495" s="92" t="str">
        <f t="shared" si="355"/>
        <v/>
      </c>
    </row>
    <row r="2496" spans="2:2" ht="12.75" customHeight="1">
      <c r="B2496" s="92" t="str">
        <f t="shared" si="355"/>
        <v/>
      </c>
    </row>
    <row r="2497" spans="2:2" ht="12.75" customHeight="1">
      <c r="B2497" s="92" t="str">
        <f t="shared" si="355"/>
        <v/>
      </c>
    </row>
    <row r="2498" spans="2:2" ht="12.75" customHeight="1">
      <c r="B2498" s="92" t="str">
        <f t="shared" si="355"/>
        <v/>
      </c>
    </row>
    <row r="2499" spans="2:2" ht="12.75" customHeight="1">
      <c r="B2499" s="92" t="str">
        <f t="shared" si="355"/>
        <v/>
      </c>
    </row>
    <row r="2500" spans="2:2" ht="12.75" customHeight="1">
      <c r="B2500" s="92" t="str">
        <f t="shared" si="355"/>
        <v/>
      </c>
    </row>
    <row r="2501" spans="2:2" ht="12.75" customHeight="1">
      <c r="B2501" s="92" t="str">
        <f t="shared" si="355"/>
        <v/>
      </c>
    </row>
    <row r="2502" spans="2:2" ht="12.75" customHeight="1">
      <c r="B2502" s="92" t="str">
        <f t="shared" si="355"/>
        <v/>
      </c>
    </row>
    <row r="2503" spans="2:2" ht="12.75" customHeight="1">
      <c r="B2503" s="92" t="str">
        <f t="shared" si="355"/>
        <v/>
      </c>
    </row>
    <row r="2504" spans="2:2" ht="12.75" customHeight="1">
      <c r="B2504" s="92" t="str">
        <f t="shared" si="355"/>
        <v/>
      </c>
    </row>
    <row r="2505" spans="2:2" ht="12.75" customHeight="1">
      <c r="B2505" s="92" t="str">
        <f t="shared" si="355"/>
        <v/>
      </c>
    </row>
    <row r="2506" spans="2:2" ht="12.75" customHeight="1">
      <c r="B2506" s="92" t="str">
        <f t="shared" si="355"/>
        <v/>
      </c>
    </row>
    <row r="2507" spans="2:2" ht="12.75" customHeight="1">
      <c r="B2507" s="92" t="str">
        <f t="shared" si="355"/>
        <v/>
      </c>
    </row>
    <row r="2508" spans="2:2" ht="12.75" customHeight="1">
      <c r="B2508" s="92" t="str">
        <f t="shared" si="355"/>
        <v/>
      </c>
    </row>
    <row r="2509" spans="2:2" ht="12.75" customHeight="1">
      <c r="B2509" s="92" t="str">
        <f t="shared" si="355"/>
        <v/>
      </c>
    </row>
    <row r="2510" spans="2:2" ht="12.75" customHeight="1">
      <c r="B2510" s="92" t="str">
        <f t="shared" si="355"/>
        <v/>
      </c>
    </row>
    <row r="2511" spans="2:2" ht="12.75" customHeight="1">
      <c r="B2511" s="92" t="str">
        <f t="shared" si="355"/>
        <v/>
      </c>
    </row>
    <row r="2512" spans="2:2" ht="12.75" customHeight="1">
      <c r="B2512" s="92" t="str">
        <f t="shared" si="355"/>
        <v/>
      </c>
    </row>
    <row r="2513" spans="2:2" ht="12.75" customHeight="1">
      <c r="B2513" s="92" t="str">
        <f t="shared" si="355"/>
        <v/>
      </c>
    </row>
    <row r="2514" spans="2:2" ht="12.75" customHeight="1">
      <c r="B2514" s="92" t="str">
        <f t="shared" si="355"/>
        <v/>
      </c>
    </row>
    <row r="2515" spans="2:2" ht="12.75" customHeight="1">
      <c r="B2515" s="92" t="str">
        <f t="shared" si="355"/>
        <v/>
      </c>
    </row>
    <row r="2516" spans="2:2" ht="12.75" customHeight="1">
      <c r="B2516" s="92" t="str">
        <f t="shared" si="355"/>
        <v/>
      </c>
    </row>
    <row r="2517" spans="2:2" ht="12.75" customHeight="1">
      <c r="B2517" s="92" t="str">
        <f t="shared" si="355"/>
        <v/>
      </c>
    </row>
    <row r="2518" spans="2:2" ht="12.75" customHeight="1">
      <c r="B2518" s="92" t="str">
        <f t="shared" si="355"/>
        <v/>
      </c>
    </row>
    <row r="2519" spans="2:2" ht="12.75" customHeight="1">
      <c r="B2519" s="92" t="str">
        <f t="shared" si="355"/>
        <v/>
      </c>
    </row>
    <row r="2520" spans="2:2" ht="12.75" customHeight="1">
      <c r="B2520" s="92" t="str">
        <f t="shared" si="355"/>
        <v/>
      </c>
    </row>
    <row r="2521" spans="2:2" ht="12.75" customHeight="1">
      <c r="B2521" s="92" t="str">
        <f t="shared" si="355"/>
        <v/>
      </c>
    </row>
    <row r="2522" spans="2:2" ht="12.75" customHeight="1">
      <c r="B2522" s="92" t="str">
        <f t="shared" si="355"/>
        <v/>
      </c>
    </row>
    <row r="2523" spans="2:2" ht="12.75" customHeight="1">
      <c r="B2523" s="92" t="str">
        <f t="shared" si="355"/>
        <v/>
      </c>
    </row>
    <row r="2524" spans="2:2" ht="12.75" customHeight="1">
      <c r="B2524" s="92" t="str">
        <f t="shared" si="355"/>
        <v/>
      </c>
    </row>
    <row r="2525" spans="2:2" ht="12.75" customHeight="1">
      <c r="B2525" s="92" t="str">
        <f t="shared" si="355"/>
        <v/>
      </c>
    </row>
    <row r="2526" spans="2:2" ht="12.75" customHeight="1">
      <c r="B2526" s="92" t="str">
        <f t="shared" si="355"/>
        <v/>
      </c>
    </row>
    <row r="2527" spans="2:2" ht="12.75" customHeight="1">
      <c r="B2527" s="92" t="str">
        <f t="shared" si="355"/>
        <v/>
      </c>
    </row>
    <row r="2528" spans="2:2" ht="12.75" customHeight="1">
      <c r="B2528" s="92" t="str">
        <f t="shared" si="355"/>
        <v/>
      </c>
    </row>
    <row r="2529" spans="2:2" ht="12.75" customHeight="1">
      <c r="B2529" s="92" t="str">
        <f t="shared" si="355"/>
        <v/>
      </c>
    </row>
    <row r="2530" spans="2:2" ht="12.75" customHeight="1">
      <c r="B2530" s="92" t="str">
        <f t="shared" si="355"/>
        <v/>
      </c>
    </row>
    <row r="2531" spans="2:2" ht="12.75" customHeight="1">
      <c r="B2531" s="92" t="str">
        <f t="shared" si="355"/>
        <v/>
      </c>
    </row>
    <row r="2532" spans="2:2" ht="12.75" customHeight="1">
      <c r="B2532" s="92" t="str">
        <f t="shared" si="355"/>
        <v/>
      </c>
    </row>
    <row r="2533" spans="2:2" ht="12.75" customHeight="1">
      <c r="B2533" s="92" t="str">
        <f t="shared" si="355"/>
        <v/>
      </c>
    </row>
    <row r="2534" spans="2:2" ht="12.75" customHeight="1">
      <c r="B2534" s="92" t="str">
        <f t="shared" si="355"/>
        <v/>
      </c>
    </row>
    <row r="2535" spans="2:2" ht="12.75" customHeight="1">
      <c r="B2535" s="92" t="str">
        <f t="shared" si="355"/>
        <v/>
      </c>
    </row>
    <row r="2536" spans="2:2" ht="12.75" customHeight="1">
      <c r="B2536" s="92" t="str">
        <f t="shared" si="355"/>
        <v/>
      </c>
    </row>
    <row r="2537" spans="2:2" ht="12.75" customHeight="1">
      <c r="B2537" s="92" t="str">
        <f t="shared" si="355"/>
        <v/>
      </c>
    </row>
    <row r="2538" spans="2:2" ht="12.75" customHeight="1">
      <c r="B2538" s="92" t="str">
        <f t="shared" si="355"/>
        <v/>
      </c>
    </row>
    <row r="2539" spans="2:2" ht="12.75" customHeight="1">
      <c r="B2539" s="92" t="str">
        <f t="shared" si="355"/>
        <v/>
      </c>
    </row>
    <row r="2540" spans="2:2" ht="12.75" customHeight="1">
      <c r="B2540" s="92" t="str">
        <f t="shared" si="355"/>
        <v/>
      </c>
    </row>
    <row r="2541" spans="2:2" ht="12.75" customHeight="1">
      <c r="B2541" s="92" t="str">
        <f t="shared" si="355"/>
        <v/>
      </c>
    </row>
    <row r="2542" spans="2:2" ht="12.75" customHeight="1">
      <c r="B2542" s="92" t="str">
        <f t="shared" ref="B2542:B2605" si="356">IF(C2542="","",ROW()-5)</f>
        <v/>
      </c>
    </row>
    <row r="2543" spans="2:2" ht="12.75" customHeight="1">
      <c r="B2543" s="92" t="str">
        <f t="shared" si="356"/>
        <v/>
      </c>
    </row>
    <row r="2544" spans="2:2" ht="12.75" customHeight="1">
      <c r="B2544" s="92" t="str">
        <f t="shared" si="356"/>
        <v/>
      </c>
    </row>
    <row r="2545" spans="2:2" ht="12.75" customHeight="1">
      <c r="B2545" s="92" t="str">
        <f t="shared" si="356"/>
        <v/>
      </c>
    </row>
    <row r="2546" spans="2:2" ht="12.75" customHeight="1">
      <c r="B2546" s="92" t="str">
        <f t="shared" si="356"/>
        <v/>
      </c>
    </row>
    <row r="2547" spans="2:2" ht="12.75" customHeight="1">
      <c r="B2547" s="92" t="str">
        <f t="shared" si="356"/>
        <v/>
      </c>
    </row>
    <row r="2548" spans="2:2" ht="12.75" customHeight="1">
      <c r="B2548" s="92" t="str">
        <f t="shared" si="356"/>
        <v/>
      </c>
    </row>
    <row r="2549" spans="2:2" ht="12.75" customHeight="1">
      <c r="B2549" s="92" t="str">
        <f t="shared" si="356"/>
        <v/>
      </c>
    </row>
    <row r="2550" spans="2:2" ht="12.75" customHeight="1">
      <c r="B2550" s="92" t="str">
        <f t="shared" si="356"/>
        <v/>
      </c>
    </row>
    <row r="2551" spans="2:2" ht="12.75" customHeight="1">
      <c r="B2551" s="92" t="str">
        <f t="shared" si="356"/>
        <v/>
      </c>
    </row>
    <row r="2552" spans="2:2" ht="12.75" customHeight="1">
      <c r="B2552" s="92" t="str">
        <f t="shared" si="356"/>
        <v/>
      </c>
    </row>
    <row r="2553" spans="2:2" ht="12.75" customHeight="1">
      <c r="B2553" s="92" t="str">
        <f t="shared" si="356"/>
        <v/>
      </c>
    </row>
    <row r="2554" spans="2:2" ht="12.75" customHeight="1">
      <c r="B2554" s="92" t="str">
        <f t="shared" si="356"/>
        <v/>
      </c>
    </row>
    <row r="2555" spans="2:2" ht="12.75" customHeight="1">
      <c r="B2555" s="92" t="str">
        <f t="shared" si="356"/>
        <v/>
      </c>
    </row>
    <row r="2556" spans="2:2" ht="12.75" customHeight="1">
      <c r="B2556" s="92" t="str">
        <f t="shared" si="356"/>
        <v/>
      </c>
    </row>
    <row r="2557" spans="2:2" ht="12.75" customHeight="1">
      <c r="B2557" s="92" t="str">
        <f t="shared" si="356"/>
        <v/>
      </c>
    </row>
    <row r="2558" spans="2:2" ht="12.75" customHeight="1">
      <c r="B2558" s="92" t="str">
        <f t="shared" si="356"/>
        <v/>
      </c>
    </row>
    <row r="2559" spans="2:2" ht="12.75" customHeight="1">
      <c r="B2559" s="92" t="str">
        <f t="shared" si="356"/>
        <v/>
      </c>
    </row>
    <row r="2560" spans="2:2" ht="12.75" customHeight="1">
      <c r="B2560" s="92" t="str">
        <f t="shared" si="356"/>
        <v/>
      </c>
    </row>
    <row r="2561" spans="2:2" ht="12.75" customHeight="1">
      <c r="B2561" s="92" t="str">
        <f t="shared" si="356"/>
        <v/>
      </c>
    </row>
    <row r="2562" spans="2:2" ht="12.75" customHeight="1">
      <c r="B2562" s="92" t="str">
        <f t="shared" si="356"/>
        <v/>
      </c>
    </row>
    <row r="2563" spans="2:2" ht="12.75" customHeight="1">
      <c r="B2563" s="92" t="str">
        <f t="shared" si="356"/>
        <v/>
      </c>
    </row>
    <row r="2564" spans="2:2" ht="12.75" customHeight="1">
      <c r="B2564" s="92" t="str">
        <f t="shared" si="356"/>
        <v/>
      </c>
    </row>
    <row r="2565" spans="2:2" ht="12.75" customHeight="1">
      <c r="B2565" s="92" t="str">
        <f t="shared" si="356"/>
        <v/>
      </c>
    </row>
    <row r="2566" spans="2:2" ht="12.75" customHeight="1">
      <c r="B2566" s="92" t="str">
        <f t="shared" si="356"/>
        <v/>
      </c>
    </row>
    <row r="2567" spans="2:2" ht="12.75" customHeight="1">
      <c r="B2567" s="92" t="str">
        <f t="shared" si="356"/>
        <v/>
      </c>
    </row>
    <row r="2568" spans="2:2" ht="12.75" customHeight="1">
      <c r="B2568" s="92" t="str">
        <f t="shared" si="356"/>
        <v/>
      </c>
    </row>
    <row r="2569" spans="2:2" ht="12.75" customHeight="1">
      <c r="B2569" s="92" t="str">
        <f t="shared" si="356"/>
        <v/>
      </c>
    </row>
    <row r="2570" spans="2:2" ht="12.75" customHeight="1">
      <c r="B2570" s="92" t="str">
        <f t="shared" si="356"/>
        <v/>
      </c>
    </row>
    <row r="2571" spans="2:2" ht="12.75" customHeight="1">
      <c r="B2571" s="92" t="str">
        <f t="shared" si="356"/>
        <v/>
      </c>
    </row>
    <row r="2572" spans="2:2" ht="12.75" customHeight="1">
      <c r="B2572" s="92" t="str">
        <f t="shared" si="356"/>
        <v/>
      </c>
    </row>
    <row r="2573" spans="2:2" ht="12.75" customHeight="1">
      <c r="B2573" s="92" t="str">
        <f t="shared" si="356"/>
        <v/>
      </c>
    </row>
    <row r="2574" spans="2:2" ht="12.75" customHeight="1">
      <c r="B2574" s="92" t="str">
        <f t="shared" si="356"/>
        <v/>
      </c>
    </row>
    <row r="2575" spans="2:2" ht="12.75" customHeight="1">
      <c r="B2575" s="92" t="str">
        <f t="shared" si="356"/>
        <v/>
      </c>
    </row>
    <row r="2576" spans="2:2" ht="12.75" customHeight="1">
      <c r="B2576" s="92" t="str">
        <f t="shared" si="356"/>
        <v/>
      </c>
    </row>
    <row r="2577" spans="2:2" ht="12.75" customHeight="1">
      <c r="B2577" s="92" t="str">
        <f t="shared" si="356"/>
        <v/>
      </c>
    </row>
    <row r="2578" spans="2:2" ht="12.75" customHeight="1">
      <c r="B2578" s="92" t="str">
        <f t="shared" si="356"/>
        <v/>
      </c>
    </row>
    <row r="2579" spans="2:2" ht="12.75" customHeight="1">
      <c r="B2579" s="92" t="str">
        <f t="shared" si="356"/>
        <v/>
      </c>
    </row>
    <row r="2580" spans="2:2" ht="12.75" customHeight="1">
      <c r="B2580" s="92" t="str">
        <f t="shared" si="356"/>
        <v/>
      </c>
    </row>
    <row r="2581" spans="2:2" ht="12.75" customHeight="1">
      <c r="B2581" s="92" t="str">
        <f t="shared" si="356"/>
        <v/>
      </c>
    </row>
    <row r="2582" spans="2:2" ht="12.75" customHeight="1">
      <c r="B2582" s="92" t="str">
        <f t="shared" si="356"/>
        <v/>
      </c>
    </row>
    <row r="2583" spans="2:2" ht="12.75" customHeight="1">
      <c r="B2583" s="92" t="str">
        <f t="shared" si="356"/>
        <v/>
      </c>
    </row>
    <row r="2584" spans="2:2" ht="12.75" customHeight="1">
      <c r="B2584" s="92" t="str">
        <f t="shared" si="356"/>
        <v/>
      </c>
    </row>
    <row r="2585" spans="2:2" ht="12.75" customHeight="1">
      <c r="B2585" s="92" t="str">
        <f t="shared" si="356"/>
        <v/>
      </c>
    </row>
    <row r="2586" spans="2:2" ht="12.75" customHeight="1">
      <c r="B2586" s="92" t="str">
        <f t="shared" si="356"/>
        <v/>
      </c>
    </row>
    <row r="2587" spans="2:2" ht="12.75" customHeight="1">
      <c r="B2587" s="92" t="str">
        <f t="shared" si="356"/>
        <v/>
      </c>
    </row>
    <row r="2588" spans="2:2" ht="12.75" customHeight="1">
      <c r="B2588" s="92" t="str">
        <f t="shared" si="356"/>
        <v/>
      </c>
    </row>
    <row r="2589" spans="2:2" ht="12.75" customHeight="1">
      <c r="B2589" s="92" t="str">
        <f t="shared" si="356"/>
        <v/>
      </c>
    </row>
    <row r="2590" spans="2:2" ht="12.75" customHeight="1">
      <c r="B2590" s="92" t="str">
        <f t="shared" si="356"/>
        <v/>
      </c>
    </row>
    <row r="2591" spans="2:2" ht="12.75" customHeight="1">
      <c r="B2591" s="92" t="str">
        <f t="shared" si="356"/>
        <v/>
      </c>
    </row>
    <row r="2592" spans="2:2" ht="12.75" customHeight="1">
      <c r="B2592" s="92" t="str">
        <f t="shared" si="356"/>
        <v/>
      </c>
    </row>
    <row r="2593" spans="2:2" ht="12.75" customHeight="1">
      <c r="B2593" s="92" t="str">
        <f t="shared" si="356"/>
        <v/>
      </c>
    </row>
    <row r="2594" spans="2:2" ht="12.75" customHeight="1">
      <c r="B2594" s="92" t="str">
        <f t="shared" si="356"/>
        <v/>
      </c>
    </row>
    <row r="2595" spans="2:2" ht="12.75" customHeight="1">
      <c r="B2595" s="92" t="str">
        <f t="shared" si="356"/>
        <v/>
      </c>
    </row>
    <row r="2596" spans="2:2" ht="12.75" customHeight="1">
      <c r="B2596" s="92" t="str">
        <f t="shared" si="356"/>
        <v/>
      </c>
    </row>
    <row r="2597" spans="2:2" ht="12.75" customHeight="1">
      <c r="B2597" s="92" t="str">
        <f t="shared" si="356"/>
        <v/>
      </c>
    </row>
    <row r="2598" spans="2:2" ht="12.75" customHeight="1">
      <c r="B2598" s="92" t="str">
        <f t="shared" si="356"/>
        <v/>
      </c>
    </row>
    <row r="2599" spans="2:2" ht="12.75" customHeight="1">
      <c r="B2599" s="92" t="str">
        <f t="shared" si="356"/>
        <v/>
      </c>
    </row>
    <row r="2600" spans="2:2" ht="12.75" customHeight="1">
      <c r="B2600" s="92" t="str">
        <f t="shared" si="356"/>
        <v/>
      </c>
    </row>
    <row r="2601" spans="2:2" ht="12.75" customHeight="1">
      <c r="B2601" s="92" t="str">
        <f t="shared" si="356"/>
        <v/>
      </c>
    </row>
    <row r="2602" spans="2:2" ht="12.75" customHeight="1">
      <c r="B2602" s="92" t="str">
        <f t="shared" si="356"/>
        <v/>
      </c>
    </row>
    <row r="2603" spans="2:2" ht="12.75" customHeight="1">
      <c r="B2603" s="92" t="str">
        <f t="shared" si="356"/>
        <v/>
      </c>
    </row>
    <row r="2604" spans="2:2" ht="12.75" customHeight="1">
      <c r="B2604" s="92" t="str">
        <f t="shared" si="356"/>
        <v/>
      </c>
    </row>
    <row r="2605" spans="2:2" ht="12.75" customHeight="1">
      <c r="B2605" s="92" t="str">
        <f t="shared" si="356"/>
        <v/>
      </c>
    </row>
    <row r="2606" spans="2:2" ht="12.75" customHeight="1">
      <c r="B2606" s="92" t="str">
        <f t="shared" ref="B2606:B2669" si="357">IF(C2606="","",ROW()-5)</f>
        <v/>
      </c>
    </row>
    <row r="2607" spans="2:2" ht="12.75" customHeight="1">
      <c r="B2607" s="92" t="str">
        <f t="shared" si="357"/>
        <v/>
      </c>
    </row>
    <row r="2608" spans="2:2" ht="12.75" customHeight="1">
      <c r="B2608" s="92" t="str">
        <f t="shared" si="357"/>
        <v/>
      </c>
    </row>
    <row r="2609" spans="2:2" ht="12.75" customHeight="1">
      <c r="B2609" s="92" t="str">
        <f t="shared" si="357"/>
        <v/>
      </c>
    </row>
    <row r="2610" spans="2:2" ht="12.75" customHeight="1">
      <c r="B2610" s="92" t="str">
        <f t="shared" si="357"/>
        <v/>
      </c>
    </row>
    <row r="2611" spans="2:2" ht="12.75" customHeight="1">
      <c r="B2611" s="92" t="str">
        <f t="shared" si="357"/>
        <v/>
      </c>
    </row>
    <row r="2612" spans="2:2" ht="12.75" customHeight="1">
      <c r="B2612" s="92" t="str">
        <f t="shared" si="357"/>
        <v/>
      </c>
    </row>
    <row r="2613" spans="2:2" ht="12.75" customHeight="1">
      <c r="B2613" s="92" t="str">
        <f t="shared" si="357"/>
        <v/>
      </c>
    </row>
    <row r="2614" spans="2:2" ht="12.75" customHeight="1">
      <c r="B2614" s="92" t="str">
        <f t="shared" si="357"/>
        <v/>
      </c>
    </row>
    <row r="2615" spans="2:2" ht="12.75" customHeight="1">
      <c r="B2615" s="92" t="str">
        <f t="shared" si="357"/>
        <v/>
      </c>
    </row>
    <row r="2616" spans="2:2" ht="12.75" customHeight="1">
      <c r="B2616" s="92" t="str">
        <f t="shared" si="357"/>
        <v/>
      </c>
    </row>
    <row r="2617" spans="2:2" ht="12.75" customHeight="1">
      <c r="B2617" s="92" t="str">
        <f t="shared" si="357"/>
        <v/>
      </c>
    </row>
    <row r="2618" spans="2:2" ht="12.75" customHeight="1">
      <c r="B2618" s="92" t="str">
        <f t="shared" si="357"/>
        <v/>
      </c>
    </row>
    <row r="2619" spans="2:2" ht="12.75" customHeight="1">
      <c r="B2619" s="92" t="str">
        <f t="shared" si="357"/>
        <v/>
      </c>
    </row>
    <row r="2620" spans="2:2" ht="12.75" customHeight="1">
      <c r="B2620" s="92" t="str">
        <f t="shared" si="357"/>
        <v/>
      </c>
    </row>
    <row r="2621" spans="2:2" ht="12.75" customHeight="1">
      <c r="B2621" s="92" t="str">
        <f t="shared" si="357"/>
        <v/>
      </c>
    </row>
    <row r="2622" spans="2:2" ht="12.75" customHeight="1">
      <c r="B2622" s="92" t="str">
        <f t="shared" si="357"/>
        <v/>
      </c>
    </row>
    <row r="2623" spans="2:2" ht="12.75" customHeight="1">
      <c r="B2623" s="92" t="str">
        <f t="shared" si="357"/>
        <v/>
      </c>
    </row>
    <row r="2624" spans="2:2" ht="12.75" customHeight="1">
      <c r="B2624" s="92" t="str">
        <f t="shared" si="357"/>
        <v/>
      </c>
    </row>
    <row r="2625" spans="2:2" ht="12.75" customHeight="1">
      <c r="B2625" s="92" t="str">
        <f t="shared" si="357"/>
        <v/>
      </c>
    </row>
    <row r="2626" spans="2:2" ht="12.75" customHeight="1">
      <c r="B2626" s="92" t="str">
        <f t="shared" si="357"/>
        <v/>
      </c>
    </row>
    <row r="2627" spans="2:2" ht="12.75" customHeight="1">
      <c r="B2627" s="92" t="str">
        <f t="shared" si="357"/>
        <v/>
      </c>
    </row>
    <row r="2628" spans="2:2" ht="12.75" customHeight="1">
      <c r="B2628" s="92" t="str">
        <f t="shared" si="357"/>
        <v/>
      </c>
    </row>
    <row r="2629" spans="2:2" ht="12.75" customHeight="1">
      <c r="B2629" s="92" t="str">
        <f t="shared" si="357"/>
        <v/>
      </c>
    </row>
    <row r="2630" spans="2:2" ht="12.75" customHeight="1">
      <c r="B2630" s="92" t="str">
        <f t="shared" si="357"/>
        <v/>
      </c>
    </row>
    <row r="2631" spans="2:2" ht="12.75" customHeight="1">
      <c r="B2631" s="92" t="str">
        <f t="shared" si="357"/>
        <v/>
      </c>
    </row>
    <row r="2632" spans="2:2" ht="12.75" customHeight="1">
      <c r="B2632" s="92" t="str">
        <f t="shared" si="357"/>
        <v/>
      </c>
    </row>
    <row r="2633" spans="2:2" ht="12.75" customHeight="1">
      <c r="B2633" s="92" t="str">
        <f t="shared" si="357"/>
        <v/>
      </c>
    </row>
    <row r="2634" spans="2:2" ht="12.75" customHeight="1">
      <c r="B2634" s="92" t="str">
        <f t="shared" si="357"/>
        <v/>
      </c>
    </row>
    <row r="2635" spans="2:2" ht="12.75" customHeight="1">
      <c r="B2635" s="92" t="str">
        <f t="shared" si="357"/>
        <v/>
      </c>
    </row>
    <row r="2636" spans="2:2" ht="12.75" customHeight="1">
      <c r="B2636" s="92" t="str">
        <f t="shared" si="357"/>
        <v/>
      </c>
    </row>
    <row r="2637" spans="2:2" ht="12.75" customHeight="1">
      <c r="B2637" s="92" t="str">
        <f t="shared" si="357"/>
        <v/>
      </c>
    </row>
    <row r="2638" spans="2:2" ht="12.75" customHeight="1">
      <c r="B2638" s="92" t="str">
        <f t="shared" si="357"/>
        <v/>
      </c>
    </row>
    <row r="2639" spans="2:2" ht="12.75" customHeight="1">
      <c r="B2639" s="92" t="str">
        <f t="shared" si="357"/>
        <v/>
      </c>
    </row>
    <row r="2640" spans="2:2" ht="12.75" customHeight="1">
      <c r="B2640" s="92" t="str">
        <f t="shared" si="357"/>
        <v/>
      </c>
    </row>
    <row r="2641" spans="2:2" ht="12.75" customHeight="1">
      <c r="B2641" s="92" t="str">
        <f t="shared" si="357"/>
        <v/>
      </c>
    </row>
    <row r="2642" spans="2:2" ht="12.75" customHeight="1">
      <c r="B2642" s="92" t="str">
        <f t="shared" si="357"/>
        <v/>
      </c>
    </row>
    <row r="2643" spans="2:2" ht="12.75" customHeight="1">
      <c r="B2643" s="92" t="str">
        <f t="shared" si="357"/>
        <v/>
      </c>
    </row>
    <row r="2644" spans="2:2" ht="12.75" customHeight="1">
      <c r="B2644" s="92" t="str">
        <f t="shared" si="357"/>
        <v/>
      </c>
    </row>
    <row r="2645" spans="2:2" ht="12.75" customHeight="1">
      <c r="B2645" s="92" t="str">
        <f t="shared" si="357"/>
        <v/>
      </c>
    </row>
    <row r="2646" spans="2:2" ht="12.75" customHeight="1">
      <c r="B2646" s="92" t="str">
        <f t="shared" si="357"/>
        <v/>
      </c>
    </row>
    <row r="2647" spans="2:2" ht="12.75" customHeight="1">
      <c r="B2647" s="92" t="str">
        <f t="shared" si="357"/>
        <v/>
      </c>
    </row>
    <row r="2648" spans="2:2" ht="12.75" customHeight="1">
      <c r="B2648" s="92" t="str">
        <f t="shared" si="357"/>
        <v/>
      </c>
    </row>
    <row r="2649" spans="2:2" ht="12.75" customHeight="1">
      <c r="B2649" s="92" t="str">
        <f t="shared" si="357"/>
        <v/>
      </c>
    </row>
    <row r="2650" spans="2:2" ht="12.75" customHeight="1">
      <c r="B2650" s="92" t="str">
        <f t="shared" si="357"/>
        <v/>
      </c>
    </row>
    <row r="2651" spans="2:2" ht="12.75" customHeight="1">
      <c r="B2651" s="92" t="str">
        <f t="shared" si="357"/>
        <v/>
      </c>
    </row>
    <row r="2652" spans="2:2" ht="12.75" customHeight="1">
      <c r="B2652" s="92" t="str">
        <f t="shared" si="357"/>
        <v/>
      </c>
    </row>
    <row r="2653" spans="2:2" ht="12.75" customHeight="1">
      <c r="B2653" s="92" t="str">
        <f t="shared" si="357"/>
        <v/>
      </c>
    </row>
    <row r="2654" spans="2:2" ht="12.75" customHeight="1">
      <c r="B2654" s="92" t="str">
        <f t="shared" si="357"/>
        <v/>
      </c>
    </row>
    <row r="2655" spans="2:2" ht="12.75" customHeight="1">
      <c r="B2655" s="92" t="str">
        <f t="shared" si="357"/>
        <v/>
      </c>
    </row>
    <row r="2656" spans="2:2" ht="12.75" customHeight="1">
      <c r="B2656" s="92" t="str">
        <f t="shared" si="357"/>
        <v/>
      </c>
    </row>
    <row r="2657" spans="2:2" ht="12.75" customHeight="1">
      <c r="B2657" s="92" t="str">
        <f t="shared" si="357"/>
        <v/>
      </c>
    </row>
    <row r="2658" spans="2:2" ht="12.75" customHeight="1">
      <c r="B2658" s="92" t="str">
        <f t="shared" si="357"/>
        <v/>
      </c>
    </row>
    <row r="2659" spans="2:2" ht="12.75" customHeight="1">
      <c r="B2659" s="92" t="str">
        <f t="shared" si="357"/>
        <v/>
      </c>
    </row>
    <row r="2660" spans="2:2" ht="12.75" customHeight="1">
      <c r="B2660" s="92" t="str">
        <f t="shared" si="357"/>
        <v/>
      </c>
    </row>
    <row r="2661" spans="2:2" ht="12.75" customHeight="1">
      <c r="B2661" s="92" t="str">
        <f t="shared" si="357"/>
        <v/>
      </c>
    </row>
    <row r="2662" spans="2:2" ht="12.75" customHeight="1">
      <c r="B2662" s="92" t="str">
        <f t="shared" si="357"/>
        <v/>
      </c>
    </row>
    <row r="2663" spans="2:2" ht="12.75" customHeight="1">
      <c r="B2663" s="92" t="str">
        <f t="shared" si="357"/>
        <v/>
      </c>
    </row>
    <row r="2664" spans="2:2" ht="12.75" customHeight="1">
      <c r="B2664" s="92" t="str">
        <f t="shared" si="357"/>
        <v/>
      </c>
    </row>
    <row r="2665" spans="2:2" ht="12.75" customHeight="1">
      <c r="B2665" s="92" t="str">
        <f t="shared" si="357"/>
        <v/>
      </c>
    </row>
    <row r="2666" spans="2:2" ht="12.75" customHeight="1">
      <c r="B2666" s="92" t="str">
        <f t="shared" si="357"/>
        <v/>
      </c>
    </row>
    <row r="2667" spans="2:2" ht="12.75" customHeight="1">
      <c r="B2667" s="92" t="str">
        <f t="shared" si="357"/>
        <v/>
      </c>
    </row>
    <row r="2668" spans="2:2" ht="12.75" customHeight="1">
      <c r="B2668" s="92" t="str">
        <f t="shared" si="357"/>
        <v/>
      </c>
    </row>
    <row r="2669" spans="2:2" ht="12.75" customHeight="1">
      <c r="B2669" s="92" t="str">
        <f t="shared" si="357"/>
        <v/>
      </c>
    </row>
    <row r="2670" spans="2:2" ht="12.75" customHeight="1">
      <c r="B2670" s="92" t="str">
        <f t="shared" ref="B2670:B2733" si="358">IF(C2670="","",ROW()-5)</f>
        <v/>
      </c>
    </row>
    <row r="2671" spans="2:2" ht="12.75" customHeight="1">
      <c r="B2671" s="92" t="str">
        <f t="shared" si="358"/>
        <v/>
      </c>
    </row>
    <row r="2672" spans="2:2" ht="12.75" customHeight="1">
      <c r="B2672" s="92" t="str">
        <f t="shared" si="358"/>
        <v/>
      </c>
    </row>
    <row r="2673" spans="2:2" ht="12.75" customHeight="1">
      <c r="B2673" s="92" t="str">
        <f t="shared" si="358"/>
        <v/>
      </c>
    </row>
    <row r="2674" spans="2:2" ht="12.75" customHeight="1">
      <c r="B2674" s="92" t="str">
        <f t="shared" si="358"/>
        <v/>
      </c>
    </row>
    <row r="2675" spans="2:2" ht="12.75" customHeight="1">
      <c r="B2675" s="92" t="str">
        <f t="shared" si="358"/>
        <v/>
      </c>
    </row>
    <row r="2676" spans="2:2" ht="12.75" customHeight="1">
      <c r="B2676" s="92" t="str">
        <f t="shared" si="358"/>
        <v/>
      </c>
    </row>
    <row r="2677" spans="2:2" ht="12.75" customHeight="1">
      <c r="B2677" s="92" t="str">
        <f t="shared" si="358"/>
        <v/>
      </c>
    </row>
    <row r="2678" spans="2:2" ht="12.75" customHeight="1">
      <c r="B2678" s="92" t="str">
        <f t="shared" si="358"/>
        <v/>
      </c>
    </row>
    <row r="2679" spans="2:2" ht="12.75" customHeight="1">
      <c r="B2679" s="92" t="str">
        <f t="shared" si="358"/>
        <v/>
      </c>
    </row>
    <row r="2680" spans="2:2" ht="12.75" customHeight="1">
      <c r="B2680" s="92" t="str">
        <f t="shared" si="358"/>
        <v/>
      </c>
    </row>
    <row r="2681" spans="2:2" ht="12.75" customHeight="1">
      <c r="B2681" s="92" t="str">
        <f t="shared" si="358"/>
        <v/>
      </c>
    </row>
    <row r="2682" spans="2:2" ht="12.75" customHeight="1">
      <c r="B2682" s="92" t="str">
        <f t="shared" si="358"/>
        <v/>
      </c>
    </row>
    <row r="2683" spans="2:2" ht="12.75" customHeight="1">
      <c r="B2683" s="92" t="str">
        <f t="shared" si="358"/>
        <v/>
      </c>
    </row>
    <row r="2684" spans="2:2" ht="12.75" customHeight="1">
      <c r="B2684" s="92" t="str">
        <f t="shared" si="358"/>
        <v/>
      </c>
    </row>
    <row r="2685" spans="2:2" ht="12.75" customHeight="1">
      <c r="B2685" s="92" t="str">
        <f t="shared" si="358"/>
        <v/>
      </c>
    </row>
    <row r="2686" spans="2:2" ht="12.75" customHeight="1">
      <c r="B2686" s="92" t="str">
        <f t="shared" si="358"/>
        <v/>
      </c>
    </row>
    <row r="2687" spans="2:2" ht="12.75" customHeight="1">
      <c r="B2687" s="92" t="str">
        <f t="shared" si="358"/>
        <v/>
      </c>
    </row>
    <row r="2688" spans="2:2" ht="12.75" customHeight="1">
      <c r="B2688" s="92" t="str">
        <f t="shared" si="358"/>
        <v/>
      </c>
    </row>
    <row r="2689" spans="2:2" ht="12.75" customHeight="1">
      <c r="B2689" s="92" t="str">
        <f t="shared" si="358"/>
        <v/>
      </c>
    </row>
    <row r="2690" spans="2:2" ht="12.75" customHeight="1">
      <c r="B2690" s="92" t="str">
        <f t="shared" si="358"/>
        <v/>
      </c>
    </row>
    <row r="2691" spans="2:2" ht="12.75" customHeight="1">
      <c r="B2691" s="92" t="str">
        <f t="shared" si="358"/>
        <v/>
      </c>
    </row>
    <row r="2692" spans="2:2" ht="12.75" customHeight="1">
      <c r="B2692" s="92" t="str">
        <f t="shared" si="358"/>
        <v/>
      </c>
    </row>
    <row r="2693" spans="2:2" ht="12.75" customHeight="1">
      <c r="B2693" s="92" t="str">
        <f t="shared" si="358"/>
        <v/>
      </c>
    </row>
    <row r="2694" spans="2:2" ht="12.75" customHeight="1">
      <c r="B2694" s="92" t="str">
        <f t="shared" si="358"/>
        <v/>
      </c>
    </row>
    <row r="2695" spans="2:2" ht="12.75" customHeight="1">
      <c r="B2695" s="92" t="str">
        <f t="shared" si="358"/>
        <v/>
      </c>
    </row>
    <row r="2696" spans="2:2" ht="12.75" customHeight="1">
      <c r="B2696" s="92" t="str">
        <f t="shared" si="358"/>
        <v/>
      </c>
    </row>
    <row r="2697" spans="2:2" ht="12.75" customHeight="1">
      <c r="B2697" s="92" t="str">
        <f t="shared" si="358"/>
        <v/>
      </c>
    </row>
    <row r="2698" spans="2:2" ht="12.75" customHeight="1">
      <c r="B2698" s="92" t="str">
        <f t="shared" si="358"/>
        <v/>
      </c>
    </row>
    <row r="2699" spans="2:2" ht="12.75" customHeight="1">
      <c r="B2699" s="92" t="str">
        <f t="shared" si="358"/>
        <v/>
      </c>
    </row>
    <row r="2700" spans="2:2" ht="12.75" customHeight="1">
      <c r="B2700" s="92" t="str">
        <f t="shared" si="358"/>
        <v/>
      </c>
    </row>
    <row r="2701" spans="2:2" ht="12.75" customHeight="1">
      <c r="B2701" s="92" t="str">
        <f t="shared" si="358"/>
        <v/>
      </c>
    </row>
    <row r="2702" spans="2:2" ht="12.75" customHeight="1">
      <c r="B2702" s="92" t="str">
        <f t="shared" si="358"/>
        <v/>
      </c>
    </row>
    <row r="2703" spans="2:2" ht="12.75" customHeight="1">
      <c r="B2703" s="92" t="str">
        <f t="shared" si="358"/>
        <v/>
      </c>
    </row>
    <row r="2704" spans="2:2" ht="12.75" customHeight="1">
      <c r="B2704" s="92" t="str">
        <f t="shared" si="358"/>
        <v/>
      </c>
    </row>
    <row r="2705" spans="2:2" ht="12.75" customHeight="1">
      <c r="B2705" s="92" t="str">
        <f t="shared" si="358"/>
        <v/>
      </c>
    </row>
    <row r="2706" spans="2:2" ht="12.75" customHeight="1">
      <c r="B2706" s="92" t="str">
        <f t="shared" si="358"/>
        <v/>
      </c>
    </row>
    <row r="2707" spans="2:2" ht="12.75" customHeight="1">
      <c r="B2707" s="92" t="str">
        <f t="shared" si="358"/>
        <v/>
      </c>
    </row>
    <row r="2708" spans="2:2" ht="12.75" customHeight="1">
      <c r="B2708" s="92" t="str">
        <f t="shared" si="358"/>
        <v/>
      </c>
    </row>
    <row r="2709" spans="2:2" ht="12.75" customHeight="1">
      <c r="B2709" s="92" t="str">
        <f t="shared" si="358"/>
        <v/>
      </c>
    </row>
    <row r="2710" spans="2:2" ht="12.75" customHeight="1">
      <c r="B2710" s="92" t="str">
        <f t="shared" si="358"/>
        <v/>
      </c>
    </row>
    <row r="2711" spans="2:2" ht="12.75" customHeight="1">
      <c r="B2711" s="92" t="str">
        <f t="shared" si="358"/>
        <v/>
      </c>
    </row>
    <row r="2712" spans="2:2" ht="12.75" customHeight="1">
      <c r="B2712" s="92" t="str">
        <f t="shared" si="358"/>
        <v/>
      </c>
    </row>
    <row r="2713" spans="2:2" ht="12.75" customHeight="1">
      <c r="B2713" s="92" t="str">
        <f t="shared" si="358"/>
        <v/>
      </c>
    </row>
    <row r="2714" spans="2:2" ht="12.75" customHeight="1">
      <c r="B2714" s="92" t="str">
        <f t="shared" si="358"/>
        <v/>
      </c>
    </row>
    <row r="2715" spans="2:2" ht="12.75" customHeight="1">
      <c r="B2715" s="92" t="str">
        <f t="shared" si="358"/>
        <v/>
      </c>
    </row>
    <row r="2716" spans="2:2" ht="12.75" customHeight="1">
      <c r="B2716" s="92" t="str">
        <f t="shared" si="358"/>
        <v/>
      </c>
    </row>
    <row r="2717" spans="2:2" ht="12.75" customHeight="1">
      <c r="B2717" s="92" t="str">
        <f t="shared" si="358"/>
        <v/>
      </c>
    </row>
    <row r="2718" spans="2:2" ht="12.75" customHeight="1">
      <c r="B2718" s="92" t="str">
        <f t="shared" si="358"/>
        <v/>
      </c>
    </row>
    <row r="2719" spans="2:2" ht="12.75" customHeight="1">
      <c r="B2719" s="92" t="str">
        <f t="shared" si="358"/>
        <v/>
      </c>
    </row>
    <row r="2720" spans="2:2" ht="12.75" customHeight="1">
      <c r="B2720" s="92" t="str">
        <f t="shared" si="358"/>
        <v/>
      </c>
    </row>
    <row r="2721" spans="2:2" ht="12.75" customHeight="1">
      <c r="B2721" s="92" t="str">
        <f t="shared" si="358"/>
        <v/>
      </c>
    </row>
    <row r="2722" spans="2:2" ht="12.75" customHeight="1">
      <c r="B2722" s="92" t="str">
        <f t="shared" si="358"/>
        <v/>
      </c>
    </row>
    <row r="2723" spans="2:2" ht="12.75" customHeight="1">
      <c r="B2723" s="92" t="str">
        <f t="shared" si="358"/>
        <v/>
      </c>
    </row>
    <row r="2724" spans="2:2" ht="12.75" customHeight="1">
      <c r="B2724" s="92" t="str">
        <f t="shared" si="358"/>
        <v/>
      </c>
    </row>
    <row r="2725" spans="2:2" ht="12.75" customHeight="1">
      <c r="B2725" s="92" t="str">
        <f t="shared" si="358"/>
        <v/>
      </c>
    </row>
    <row r="2726" spans="2:2" ht="12.75" customHeight="1">
      <c r="B2726" s="92" t="str">
        <f t="shared" si="358"/>
        <v/>
      </c>
    </row>
    <row r="2727" spans="2:2" ht="12.75" customHeight="1">
      <c r="B2727" s="92" t="str">
        <f t="shared" si="358"/>
        <v/>
      </c>
    </row>
    <row r="2728" spans="2:2" ht="12.75" customHeight="1">
      <c r="B2728" s="92" t="str">
        <f t="shared" si="358"/>
        <v/>
      </c>
    </row>
    <row r="2729" spans="2:2" ht="12.75" customHeight="1">
      <c r="B2729" s="92" t="str">
        <f t="shared" si="358"/>
        <v/>
      </c>
    </row>
    <row r="2730" spans="2:2" ht="12.75" customHeight="1">
      <c r="B2730" s="92" t="str">
        <f t="shared" si="358"/>
        <v/>
      </c>
    </row>
    <row r="2731" spans="2:2" ht="12.75" customHeight="1">
      <c r="B2731" s="92" t="str">
        <f t="shared" si="358"/>
        <v/>
      </c>
    </row>
    <row r="2732" spans="2:2" ht="12.75" customHeight="1">
      <c r="B2732" s="92" t="str">
        <f t="shared" si="358"/>
        <v/>
      </c>
    </row>
    <row r="2733" spans="2:2" ht="12.75" customHeight="1">
      <c r="B2733" s="92" t="str">
        <f t="shared" si="358"/>
        <v/>
      </c>
    </row>
    <row r="2734" spans="2:2" ht="12.75" customHeight="1">
      <c r="B2734" s="92" t="str">
        <f t="shared" ref="B2734:B2797" si="359">IF(C2734="","",ROW()-5)</f>
        <v/>
      </c>
    </row>
    <row r="2735" spans="2:2" ht="12.75" customHeight="1">
      <c r="B2735" s="92" t="str">
        <f t="shared" si="359"/>
        <v/>
      </c>
    </row>
    <row r="2736" spans="2:2" ht="12.75" customHeight="1">
      <c r="B2736" s="92" t="str">
        <f t="shared" si="359"/>
        <v/>
      </c>
    </row>
    <row r="2737" spans="2:2" ht="12.75" customHeight="1">
      <c r="B2737" s="92" t="str">
        <f t="shared" si="359"/>
        <v/>
      </c>
    </row>
    <row r="2738" spans="2:2" ht="12.75" customHeight="1">
      <c r="B2738" s="92" t="str">
        <f t="shared" si="359"/>
        <v/>
      </c>
    </row>
    <row r="2739" spans="2:2" ht="12.75" customHeight="1">
      <c r="B2739" s="92" t="str">
        <f t="shared" si="359"/>
        <v/>
      </c>
    </row>
    <row r="2740" spans="2:2" ht="12.75" customHeight="1">
      <c r="B2740" s="92" t="str">
        <f t="shared" si="359"/>
        <v/>
      </c>
    </row>
    <row r="2741" spans="2:2" ht="12.75" customHeight="1">
      <c r="B2741" s="92" t="str">
        <f t="shared" si="359"/>
        <v/>
      </c>
    </row>
    <row r="2742" spans="2:2" ht="12.75" customHeight="1">
      <c r="B2742" s="92" t="str">
        <f t="shared" si="359"/>
        <v/>
      </c>
    </row>
    <row r="2743" spans="2:2" ht="12.75" customHeight="1">
      <c r="B2743" s="92" t="str">
        <f t="shared" si="359"/>
        <v/>
      </c>
    </row>
    <row r="2744" spans="2:2" ht="12.75" customHeight="1">
      <c r="B2744" s="92" t="str">
        <f t="shared" si="359"/>
        <v/>
      </c>
    </row>
    <row r="2745" spans="2:2" ht="12.75" customHeight="1">
      <c r="B2745" s="92" t="str">
        <f t="shared" si="359"/>
        <v/>
      </c>
    </row>
    <row r="2746" spans="2:2" ht="12.75" customHeight="1">
      <c r="B2746" s="92" t="str">
        <f t="shared" si="359"/>
        <v/>
      </c>
    </row>
    <row r="2747" spans="2:2" ht="12.75" customHeight="1">
      <c r="B2747" s="92" t="str">
        <f t="shared" si="359"/>
        <v/>
      </c>
    </row>
    <row r="2748" spans="2:2" ht="12.75" customHeight="1">
      <c r="B2748" s="92" t="str">
        <f t="shared" si="359"/>
        <v/>
      </c>
    </row>
    <row r="2749" spans="2:2" ht="12.75" customHeight="1">
      <c r="B2749" s="92" t="str">
        <f t="shared" si="359"/>
        <v/>
      </c>
    </row>
    <row r="2750" spans="2:2" ht="12.75" customHeight="1">
      <c r="B2750" s="92" t="str">
        <f t="shared" si="359"/>
        <v/>
      </c>
    </row>
    <row r="2751" spans="2:2" ht="12.75" customHeight="1">
      <c r="B2751" s="92" t="str">
        <f t="shared" si="359"/>
        <v/>
      </c>
    </row>
    <row r="2752" spans="2:2" ht="12.75" customHeight="1">
      <c r="B2752" s="92" t="str">
        <f t="shared" si="359"/>
        <v/>
      </c>
    </row>
    <row r="2753" spans="2:2" ht="12.75" customHeight="1">
      <c r="B2753" s="92" t="str">
        <f t="shared" si="359"/>
        <v/>
      </c>
    </row>
    <row r="2754" spans="2:2" ht="12.75" customHeight="1">
      <c r="B2754" s="92" t="str">
        <f t="shared" si="359"/>
        <v/>
      </c>
    </row>
    <row r="2755" spans="2:2" ht="12.75" customHeight="1">
      <c r="B2755" s="92" t="str">
        <f t="shared" si="359"/>
        <v/>
      </c>
    </row>
    <row r="2756" spans="2:2" ht="12.75" customHeight="1">
      <c r="B2756" s="92" t="str">
        <f t="shared" si="359"/>
        <v/>
      </c>
    </row>
    <row r="2757" spans="2:2" ht="12.75" customHeight="1">
      <c r="B2757" s="92" t="str">
        <f t="shared" si="359"/>
        <v/>
      </c>
    </row>
    <row r="2758" spans="2:2" ht="12.75" customHeight="1">
      <c r="B2758" s="92" t="str">
        <f t="shared" si="359"/>
        <v/>
      </c>
    </row>
    <row r="2759" spans="2:2" ht="12.75" customHeight="1">
      <c r="B2759" s="92" t="str">
        <f t="shared" si="359"/>
        <v/>
      </c>
    </row>
    <row r="2760" spans="2:2" ht="12.75" customHeight="1">
      <c r="B2760" s="92" t="str">
        <f t="shared" si="359"/>
        <v/>
      </c>
    </row>
    <row r="2761" spans="2:2" ht="12.75" customHeight="1">
      <c r="B2761" s="92" t="str">
        <f t="shared" si="359"/>
        <v/>
      </c>
    </row>
    <row r="2762" spans="2:2" ht="12.75" customHeight="1">
      <c r="B2762" s="92" t="str">
        <f t="shared" si="359"/>
        <v/>
      </c>
    </row>
    <row r="2763" spans="2:2" ht="12.75" customHeight="1">
      <c r="B2763" s="92" t="str">
        <f t="shared" si="359"/>
        <v/>
      </c>
    </row>
    <row r="2764" spans="2:2" ht="12.75" customHeight="1">
      <c r="B2764" s="92" t="str">
        <f t="shared" si="359"/>
        <v/>
      </c>
    </row>
    <row r="2765" spans="2:2" ht="12.75" customHeight="1">
      <c r="B2765" s="92" t="str">
        <f t="shared" si="359"/>
        <v/>
      </c>
    </row>
    <row r="2766" spans="2:2" ht="12.75" customHeight="1">
      <c r="B2766" s="92" t="str">
        <f t="shared" si="359"/>
        <v/>
      </c>
    </row>
    <row r="2767" spans="2:2" ht="12.75" customHeight="1">
      <c r="B2767" s="92" t="str">
        <f t="shared" si="359"/>
        <v/>
      </c>
    </row>
    <row r="2768" spans="2:2" ht="12.75" customHeight="1">
      <c r="B2768" s="92" t="str">
        <f t="shared" si="359"/>
        <v/>
      </c>
    </row>
    <row r="2769" spans="2:2" ht="12.75" customHeight="1">
      <c r="B2769" s="92" t="str">
        <f t="shared" si="359"/>
        <v/>
      </c>
    </row>
    <row r="2770" spans="2:2" ht="12.75" customHeight="1">
      <c r="B2770" s="92" t="str">
        <f t="shared" si="359"/>
        <v/>
      </c>
    </row>
    <row r="2771" spans="2:2" ht="12.75" customHeight="1">
      <c r="B2771" s="92" t="str">
        <f t="shared" si="359"/>
        <v/>
      </c>
    </row>
    <row r="2772" spans="2:2" ht="12.75" customHeight="1">
      <c r="B2772" s="92" t="str">
        <f t="shared" si="359"/>
        <v/>
      </c>
    </row>
    <row r="2773" spans="2:2" ht="12.75" customHeight="1">
      <c r="B2773" s="92" t="str">
        <f t="shared" si="359"/>
        <v/>
      </c>
    </row>
    <row r="2774" spans="2:2" ht="12.75" customHeight="1">
      <c r="B2774" s="92" t="str">
        <f t="shared" si="359"/>
        <v/>
      </c>
    </row>
    <row r="2775" spans="2:2" ht="12.75" customHeight="1">
      <c r="B2775" s="92" t="str">
        <f t="shared" si="359"/>
        <v/>
      </c>
    </row>
    <row r="2776" spans="2:2" ht="12.75" customHeight="1">
      <c r="B2776" s="92" t="str">
        <f t="shared" si="359"/>
        <v/>
      </c>
    </row>
    <row r="2777" spans="2:2" ht="12.75" customHeight="1">
      <c r="B2777" s="92" t="str">
        <f t="shared" si="359"/>
        <v/>
      </c>
    </row>
    <row r="2778" spans="2:2" ht="12.75" customHeight="1">
      <c r="B2778" s="92" t="str">
        <f t="shared" si="359"/>
        <v/>
      </c>
    </row>
    <row r="2779" spans="2:2" ht="12.75" customHeight="1">
      <c r="B2779" s="92" t="str">
        <f t="shared" si="359"/>
        <v/>
      </c>
    </row>
    <row r="2780" spans="2:2" ht="12.75" customHeight="1">
      <c r="B2780" s="92" t="str">
        <f t="shared" si="359"/>
        <v/>
      </c>
    </row>
    <row r="2781" spans="2:2" ht="12.75" customHeight="1">
      <c r="B2781" s="92" t="str">
        <f t="shared" si="359"/>
        <v/>
      </c>
    </row>
    <row r="2782" spans="2:2" ht="12.75" customHeight="1">
      <c r="B2782" s="92" t="str">
        <f t="shared" si="359"/>
        <v/>
      </c>
    </row>
    <row r="2783" spans="2:2" ht="12.75" customHeight="1">
      <c r="B2783" s="92" t="str">
        <f t="shared" si="359"/>
        <v/>
      </c>
    </row>
    <row r="2784" spans="2:2" ht="12.75" customHeight="1">
      <c r="B2784" s="92" t="str">
        <f t="shared" si="359"/>
        <v/>
      </c>
    </row>
    <row r="2785" spans="2:2" ht="12.75" customHeight="1">
      <c r="B2785" s="92" t="str">
        <f t="shared" si="359"/>
        <v/>
      </c>
    </row>
    <row r="2786" spans="2:2" ht="12.75" customHeight="1">
      <c r="B2786" s="92" t="str">
        <f t="shared" si="359"/>
        <v/>
      </c>
    </row>
    <row r="2787" spans="2:2" ht="12.75" customHeight="1">
      <c r="B2787" s="92" t="str">
        <f t="shared" si="359"/>
        <v/>
      </c>
    </row>
    <row r="2788" spans="2:2" ht="12.75" customHeight="1">
      <c r="B2788" s="92" t="str">
        <f t="shared" si="359"/>
        <v/>
      </c>
    </row>
    <row r="2789" spans="2:2" ht="12.75" customHeight="1">
      <c r="B2789" s="92" t="str">
        <f t="shared" si="359"/>
        <v/>
      </c>
    </row>
    <row r="2790" spans="2:2" ht="12.75" customHeight="1">
      <c r="B2790" s="92" t="str">
        <f t="shared" si="359"/>
        <v/>
      </c>
    </row>
    <row r="2791" spans="2:2" ht="12.75" customHeight="1">
      <c r="B2791" s="92" t="str">
        <f t="shared" si="359"/>
        <v/>
      </c>
    </row>
    <row r="2792" spans="2:2" ht="12.75" customHeight="1">
      <c r="B2792" s="92" t="str">
        <f t="shared" si="359"/>
        <v/>
      </c>
    </row>
    <row r="2793" spans="2:2" ht="12.75" customHeight="1">
      <c r="B2793" s="92" t="str">
        <f t="shared" si="359"/>
        <v/>
      </c>
    </row>
    <row r="2794" spans="2:2" ht="12.75" customHeight="1">
      <c r="B2794" s="92" t="str">
        <f t="shared" si="359"/>
        <v/>
      </c>
    </row>
    <row r="2795" spans="2:2" ht="12.75" customHeight="1">
      <c r="B2795" s="92" t="str">
        <f t="shared" si="359"/>
        <v/>
      </c>
    </row>
    <row r="2796" spans="2:2" ht="12.75" customHeight="1">
      <c r="B2796" s="92" t="str">
        <f t="shared" si="359"/>
        <v/>
      </c>
    </row>
    <row r="2797" spans="2:2" ht="12.75" customHeight="1">
      <c r="B2797" s="92" t="str">
        <f t="shared" si="359"/>
        <v/>
      </c>
    </row>
    <row r="2798" spans="2:2" ht="12.75" customHeight="1">
      <c r="B2798" s="92" t="str">
        <f t="shared" ref="B2798:B2861" si="360">IF(C2798="","",ROW()-5)</f>
        <v/>
      </c>
    </row>
    <row r="2799" spans="2:2" ht="12.75" customHeight="1">
      <c r="B2799" s="92" t="str">
        <f t="shared" si="360"/>
        <v/>
      </c>
    </row>
    <row r="2800" spans="2:2" ht="12.75" customHeight="1">
      <c r="B2800" s="92" t="str">
        <f t="shared" si="360"/>
        <v/>
      </c>
    </row>
    <row r="2801" spans="2:2" ht="12.75" customHeight="1">
      <c r="B2801" s="92" t="str">
        <f t="shared" si="360"/>
        <v/>
      </c>
    </row>
    <row r="2802" spans="2:2" ht="12.75" customHeight="1">
      <c r="B2802" s="92" t="str">
        <f t="shared" si="360"/>
        <v/>
      </c>
    </row>
    <row r="2803" spans="2:2" ht="12.75" customHeight="1">
      <c r="B2803" s="92" t="str">
        <f t="shared" si="360"/>
        <v/>
      </c>
    </row>
    <row r="2804" spans="2:2" ht="12.75" customHeight="1">
      <c r="B2804" s="92" t="str">
        <f t="shared" si="360"/>
        <v/>
      </c>
    </row>
    <row r="2805" spans="2:2" ht="12.75" customHeight="1">
      <c r="B2805" s="92" t="str">
        <f t="shared" si="360"/>
        <v/>
      </c>
    </row>
    <row r="2806" spans="2:2" ht="12.75" customHeight="1">
      <c r="B2806" s="92" t="str">
        <f t="shared" si="360"/>
        <v/>
      </c>
    </row>
    <row r="2807" spans="2:2" ht="12.75" customHeight="1">
      <c r="B2807" s="92" t="str">
        <f t="shared" si="360"/>
        <v/>
      </c>
    </row>
    <row r="2808" spans="2:2" ht="12.75" customHeight="1">
      <c r="B2808" s="92" t="str">
        <f t="shared" si="360"/>
        <v/>
      </c>
    </row>
    <row r="2809" spans="2:2" ht="12.75" customHeight="1">
      <c r="B2809" s="92" t="str">
        <f t="shared" si="360"/>
        <v/>
      </c>
    </row>
    <row r="2810" spans="2:2" ht="12.75" customHeight="1">
      <c r="B2810" s="92" t="str">
        <f t="shared" si="360"/>
        <v/>
      </c>
    </row>
    <row r="2811" spans="2:2" ht="12.75" customHeight="1">
      <c r="B2811" s="92" t="str">
        <f t="shared" si="360"/>
        <v/>
      </c>
    </row>
    <row r="2812" spans="2:2" ht="12.75" customHeight="1">
      <c r="B2812" s="92" t="str">
        <f t="shared" si="360"/>
        <v/>
      </c>
    </row>
    <row r="2813" spans="2:2" ht="12.75" customHeight="1">
      <c r="B2813" s="92" t="str">
        <f t="shared" si="360"/>
        <v/>
      </c>
    </row>
    <row r="2814" spans="2:2" ht="12.75" customHeight="1">
      <c r="B2814" s="92" t="str">
        <f t="shared" si="360"/>
        <v/>
      </c>
    </row>
    <row r="2815" spans="2:2" ht="12.75" customHeight="1">
      <c r="B2815" s="92" t="str">
        <f t="shared" si="360"/>
        <v/>
      </c>
    </row>
    <row r="2816" spans="2:2" ht="12.75" customHeight="1">
      <c r="B2816" s="92" t="str">
        <f t="shared" si="360"/>
        <v/>
      </c>
    </row>
    <row r="2817" spans="2:2" ht="12.75" customHeight="1">
      <c r="B2817" s="92" t="str">
        <f t="shared" si="360"/>
        <v/>
      </c>
    </row>
    <row r="2818" spans="2:2" ht="12.75" customHeight="1">
      <c r="B2818" s="92" t="str">
        <f t="shared" si="360"/>
        <v/>
      </c>
    </row>
    <row r="2819" spans="2:2" ht="12.75" customHeight="1">
      <c r="B2819" s="92" t="str">
        <f t="shared" si="360"/>
        <v/>
      </c>
    </row>
    <row r="2820" spans="2:2" ht="12.75" customHeight="1">
      <c r="B2820" s="92" t="str">
        <f t="shared" si="360"/>
        <v/>
      </c>
    </row>
    <row r="2821" spans="2:2" ht="12.75" customHeight="1">
      <c r="B2821" s="92" t="str">
        <f t="shared" si="360"/>
        <v/>
      </c>
    </row>
    <row r="2822" spans="2:2" ht="12.75" customHeight="1">
      <c r="B2822" s="92" t="str">
        <f t="shared" si="360"/>
        <v/>
      </c>
    </row>
    <row r="2823" spans="2:2" ht="12.75" customHeight="1">
      <c r="B2823" s="92" t="str">
        <f t="shared" si="360"/>
        <v/>
      </c>
    </row>
    <row r="2824" spans="2:2" ht="12.75" customHeight="1">
      <c r="B2824" s="92" t="str">
        <f t="shared" si="360"/>
        <v/>
      </c>
    </row>
    <row r="2825" spans="2:2" ht="12.75" customHeight="1">
      <c r="B2825" s="92" t="str">
        <f t="shared" si="360"/>
        <v/>
      </c>
    </row>
    <row r="2826" spans="2:2" ht="12.75" customHeight="1">
      <c r="B2826" s="92" t="str">
        <f t="shared" si="360"/>
        <v/>
      </c>
    </row>
    <row r="2827" spans="2:2" ht="12.75" customHeight="1">
      <c r="B2827" s="92" t="str">
        <f t="shared" si="360"/>
        <v/>
      </c>
    </row>
    <row r="2828" spans="2:2" ht="12.75" customHeight="1">
      <c r="B2828" s="92" t="str">
        <f t="shared" si="360"/>
        <v/>
      </c>
    </row>
    <row r="2829" spans="2:2" ht="12.75" customHeight="1">
      <c r="B2829" s="92" t="str">
        <f t="shared" si="360"/>
        <v/>
      </c>
    </row>
    <row r="2830" spans="2:2" ht="12.75" customHeight="1">
      <c r="B2830" s="92" t="str">
        <f t="shared" si="360"/>
        <v/>
      </c>
    </row>
    <row r="2831" spans="2:2" ht="12.75" customHeight="1">
      <c r="B2831" s="92" t="str">
        <f t="shared" si="360"/>
        <v/>
      </c>
    </row>
    <row r="2832" spans="2:2" ht="12.75" customHeight="1">
      <c r="B2832" s="92" t="str">
        <f t="shared" si="360"/>
        <v/>
      </c>
    </row>
    <row r="2833" spans="2:2" ht="12.75" customHeight="1">
      <c r="B2833" s="92" t="str">
        <f t="shared" si="360"/>
        <v/>
      </c>
    </row>
    <row r="2834" spans="2:2" ht="12.75" customHeight="1">
      <c r="B2834" s="92" t="str">
        <f t="shared" si="360"/>
        <v/>
      </c>
    </row>
    <row r="2835" spans="2:2" ht="12.75" customHeight="1">
      <c r="B2835" s="92" t="str">
        <f t="shared" si="360"/>
        <v/>
      </c>
    </row>
    <row r="2836" spans="2:2" ht="12.75" customHeight="1">
      <c r="B2836" s="92" t="str">
        <f t="shared" si="360"/>
        <v/>
      </c>
    </row>
    <row r="2837" spans="2:2" ht="12.75" customHeight="1">
      <c r="B2837" s="92" t="str">
        <f t="shared" si="360"/>
        <v/>
      </c>
    </row>
    <row r="2838" spans="2:2" ht="12.75" customHeight="1">
      <c r="B2838" s="92" t="str">
        <f t="shared" si="360"/>
        <v/>
      </c>
    </row>
    <row r="2839" spans="2:2" ht="12.75" customHeight="1">
      <c r="B2839" s="92" t="str">
        <f t="shared" si="360"/>
        <v/>
      </c>
    </row>
    <row r="2840" spans="2:2" ht="12.75" customHeight="1">
      <c r="B2840" s="92" t="str">
        <f t="shared" si="360"/>
        <v/>
      </c>
    </row>
    <row r="2841" spans="2:2" ht="12.75" customHeight="1">
      <c r="B2841" s="92" t="str">
        <f t="shared" si="360"/>
        <v/>
      </c>
    </row>
    <row r="2842" spans="2:2" ht="12.75" customHeight="1">
      <c r="B2842" s="92" t="str">
        <f t="shared" si="360"/>
        <v/>
      </c>
    </row>
    <row r="2843" spans="2:2" ht="12.75" customHeight="1">
      <c r="B2843" s="92" t="str">
        <f t="shared" si="360"/>
        <v/>
      </c>
    </row>
    <row r="2844" spans="2:2" ht="12.75" customHeight="1">
      <c r="B2844" s="92" t="str">
        <f t="shared" si="360"/>
        <v/>
      </c>
    </row>
    <row r="2845" spans="2:2" ht="12.75" customHeight="1">
      <c r="B2845" s="92" t="str">
        <f t="shared" si="360"/>
        <v/>
      </c>
    </row>
    <row r="2846" spans="2:2" ht="12.75" customHeight="1">
      <c r="B2846" s="92" t="str">
        <f t="shared" si="360"/>
        <v/>
      </c>
    </row>
    <row r="2847" spans="2:2" ht="12.75" customHeight="1">
      <c r="B2847" s="92" t="str">
        <f t="shared" si="360"/>
        <v/>
      </c>
    </row>
    <row r="2848" spans="2:2" ht="12.75" customHeight="1">
      <c r="B2848" s="92" t="str">
        <f t="shared" si="360"/>
        <v/>
      </c>
    </row>
    <row r="2849" spans="2:2" ht="12.75" customHeight="1">
      <c r="B2849" s="92" t="str">
        <f t="shared" si="360"/>
        <v/>
      </c>
    </row>
    <row r="2850" spans="2:2" ht="12.75" customHeight="1">
      <c r="B2850" s="92" t="str">
        <f t="shared" si="360"/>
        <v/>
      </c>
    </row>
    <row r="2851" spans="2:2" ht="12.75" customHeight="1">
      <c r="B2851" s="92" t="str">
        <f t="shared" si="360"/>
        <v/>
      </c>
    </row>
    <row r="2852" spans="2:2" ht="12.75" customHeight="1">
      <c r="B2852" s="92" t="str">
        <f t="shared" si="360"/>
        <v/>
      </c>
    </row>
    <row r="2853" spans="2:2" ht="12.75" customHeight="1">
      <c r="B2853" s="92" t="str">
        <f t="shared" si="360"/>
        <v/>
      </c>
    </row>
    <row r="2854" spans="2:2" ht="12.75" customHeight="1">
      <c r="B2854" s="92" t="str">
        <f t="shared" si="360"/>
        <v/>
      </c>
    </row>
    <row r="2855" spans="2:2" ht="12.75" customHeight="1">
      <c r="B2855" s="92" t="str">
        <f t="shared" si="360"/>
        <v/>
      </c>
    </row>
    <row r="2856" spans="2:2" ht="12.75" customHeight="1">
      <c r="B2856" s="92" t="str">
        <f t="shared" si="360"/>
        <v/>
      </c>
    </row>
    <row r="2857" spans="2:2" ht="12.75" customHeight="1">
      <c r="B2857" s="92" t="str">
        <f t="shared" si="360"/>
        <v/>
      </c>
    </row>
    <row r="2858" spans="2:2" ht="12.75" customHeight="1">
      <c r="B2858" s="92" t="str">
        <f t="shared" si="360"/>
        <v/>
      </c>
    </row>
    <row r="2859" spans="2:2" ht="12.75" customHeight="1">
      <c r="B2859" s="92" t="str">
        <f t="shared" si="360"/>
        <v/>
      </c>
    </row>
    <row r="2860" spans="2:2" ht="12.75" customHeight="1">
      <c r="B2860" s="92" t="str">
        <f t="shared" si="360"/>
        <v/>
      </c>
    </row>
    <row r="2861" spans="2:2" ht="12.75" customHeight="1">
      <c r="B2861" s="92" t="str">
        <f t="shared" si="360"/>
        <v/>
      </c>
    </row>
    <row r="2862" spans="2:2" ht="12.75" customHeight="1">
      <c r="B2862" s="92" t="str">
        <f t="shared" ref="B2862:B2925" si="361">IF(C2862="","",ROW()-5)</f>
        <v/>
      </c>
    </row>
    <row r="2863" spans="2:2" ht="12.75" customHeight="1">
      <c r="B2863" s="92" t="str">
        <f t="shared" si="361"/>
        <v/>
      </c>
    </row>
    <row r="2864" spans="2:2" ht="12.75" customHeight="1">
      <c r="B2864" s="92" t="str">
        <f t="shared" si="361"/>
        <v/>
      </c>
    </row>
    <row r="2865" spans="2:2" ht="12.75" customHeight="1">
      <c r="B2865" s="92" t="str">
        <f t="shared" si="361"/>
        <v/>
      </c>
    </row>
    <row r="2866" spans="2:2" ht="12.75" customHeight="1">
      <c r="B2866" s="92" t="str">
        <f t="shared" si="361"/>
        <v/>
      </c>
    </row>
    <row r="2867" spans="2:2" ht="12.75" customHeight="1">
      <c r="B2867" s="92" t="str">
        <f t="shared" si="361"/>
        <v/>
      </c>
    </row>
    <row r="2868" spans="2:2" ht="12.75" customHeight="1">
      <c r="B2868" s="92" t="str">
        <f t="shared" si="361"/>
        <v/>
      </c>
    </row>
    <row r="2869" spans="2:2" ht="12.75" customHeight="1">
      <c r="B2869" s="92" t="str">
        <f t="shared" si="361"/>
        <v/>
      </c>
    </row>
    <row r="2870" spans="2:2" ht="12.75" customHeight="1">
      <c r="B2870" s="92" t="str">
        <f t="shared" si="361"/>
        <v/>
      </c>
    </row>
    <row r="2871" spans="2:2" ht="12.75" customHeight="1">
      <c r="B2871" s="92" t="str">
        <f t="shared" si="361"/>
        <v/>
      </c>
    </row>
    <row r="2872" spans="2:2" ht="12.75" customHeight="1">
      <c r="B2872" s="92" t="str">
        <f t="shared" si="361"/>
        <v/>
      </c>
    </row>
    <row r="2873" spans="2:2" ht="12.75" customHeight="1">
      <c r="B2873" s="92" t="str">
        <f t="shared" si="361"/>
        <v/>
      </c>
    </row>
    <row r="2874" spans="2:2" ht="12.75" customHeight="1">
      <c r="B2874" s="92" t="str">
        <f t="shared" si="361"/>
        <v/>
      </c>
    </row>
    <row r="2875" spans="2:2" ht="12.75" customHeight="1">
      <c r="B2875" s="92" t="str">
        <f t="shared" si="361"/>
        <v/>
      </c>
    </row>
    <row r="2876" spans="2:2" ht="12.75" customHeight="1">
      <c r="B2876" s="92" t="str">
        <f t="shared" si="361"/>
        <v/>
      </c>
    </row>
    <row r="2877" spans="2:2" ht="12.75" customHeight="1">
      <c r="B2877" s="92" t="str">
        <f t="shared" si="361"/>
        <v/>
      </c>
    </row>
    <row r="2878" spans="2:2" ht="12.75" customHeight="1">
      <c r="B2878" s="92" t="str">
        <f t="shared" si="361"/>
        <v/>
      </c>
    </row>
    <row r="2879" spans="2:2" ht="12.75" customHeight="1">
      <c r="B2879" s="92" t="str">
        <f t="shared" si="361"/>
        <v/>
      </c>
    </row>
    <row r="2880" spans="2:2" ht="12.75" customHeight="1">
      <c r="B2880" s="92" t="str">
        <f t="shared" si="361"/>
        <v/>
      </c>
    </row>
    <row r="2881" spans="2:2" ht="12.75" customHeight="1">
      <c r="B2881" s="92" t="str">
        <f t="shared" si="361"/>
        <v/>
      </c>
    </row>
    <row r="2882" spans="2:2" ht="12.75" customHeight="1">
      <c r="B2882" s="92" t="str">
        <f t="shared" si="361"/>
        <v/>
      </c>
    </row>
    <row r="2883" spans="2:2" ht="12.75" customHeight="1">
      <c r="B2883" s="92" t="str">
        <f t="shared" si="361"/>
        <v/>
      </c>
    </row>
    <row r="2884" spans="2:2" ht="12.75" customHeight="1">
      <c r="B2884" s="92" t="str">
        <f t="shared" si="361"/>
        <v/>
      </c>
    </row>
    <row r="2885" spans="2:2" ht="12.75" customHeight="1">
      <c r="B2885" s="92" t="str">
        <f t="shared" si="361"/>
        <v/>
      </c>
    </row>
    <row r="2886" spans="2:2" ht="12.75" customHeight="1">
      <c r="B2886" s="92" t="str">
        <f t="shared" si="361"/>
        <v/>
      </c>
    </row>
    <row r="2887" spans="2:2" ht="12.75" customHeight="1">
      <c r="B2887" s="92" t="str">
        <f t="shared" si="361"/>
        <v/>
      </c>
    </row>
    <row r="2888" spans="2:2" ht="12.75" customHeight="1">
      <c r="B2888" s="92" t="str">
        <f t="shared" si="361"/>
        <v/>
      </c>
    </row>
    <row r="2889" spans="2:2" ht="12.75" customHeight="1">
      <c r="B2889" s="92" t="str">
        <f t="shared" si="361"/>
        <v/>
      </c>
    </row>
    <row r="2890" spans="2:2" ht="12.75" customHeight="1">
      <c r="B2890" s="92" t="str">
        <f t="shared" si="361"/>
        <v/>
      </c>
    </row>
    <row r="2891" spans="2:2" ht="12.75" customHeight="1">
      <c r="B2891" s="92" t="str">
        <f t="shared" si="361"/>
        <v/>
      </c>
    </row>
    <row r="2892" spans="2:2" ht="12.75" customHeight="1">
      <c r="B2892" s="92" t="str">
        <f t="shared" si="361"/>
        <v/>
      </c>
    </row>
    <row r="2893" spans="2:2" ht="12.75" customHeight="1">
      <c r="B2893" s="92" t="str">
        <f t="shared" si="361"/>
        <v/>
      </c>
    </row>
    <row r="2894" spans="2:2" ht="12.75" customHeight="1">
      <c r="B2894" s="92" t="str">
        <f t="shared" si="361"/>
        <v/>
      </c>
    </row>
    <row r="2895" spans="2:2" ht="12.75" customHeight="1">
      <c r="B2895" s="92" t="str">
        <f t="shared" si="361"/>
        <v/>
      </c>
    </row>
    <row r="2896" spans="2:2" ht="12.75" customHeight="1">
      <c r="B2896" s="92" t="str">
        <f t="shared" si="361"/>
        <v/>
      </c>
    </row>
    <row r="2897" spans="2:2" ht="12.75" customHeight="1">
      <c r="B2897" s="92" t="str">
        <f t="shared" si="361"/>
        <v/>
      </c>
    </row>
    <row r="2898" spans="2:2" ht="12.75" customHeight="1">
      <c r="B2898" s="92" t="str">
        <f t="shared" si="361"/>
        <v/>
      </c>
    </row>
    <row r="2899" spans="2:2" ht="12.75" customHeight="1">
      <c r="B2899" s="92" t="str">
        <f t="shared" si="361"/>
        <v/>
      </c>
    </row>
    <row r="2900" spans="2:2" ht="12.75" customHeight="1">
      <c r="B2900" s="92" t="str">
        <f t="shared" si="361"/>
        <v/>
      </c>
    </row>
    <row r="2901" spans="2:2" ht="12.75" customHeight="1">
      <c r="B2901" s="92" t="str">
        <f t="shared" si="361"/>
        <v/>
      </c>
    </row>
    <row r="2902" spans="2:2" ht="12.75" customHeight="1">
      <c r="B2902" s="92" t="str">
        <f t="shared" si="361"/>
        <v/>
      </c>
    </row>
    <row r="2903" spans="2:2" ht="12.75" customHeight="1">
      <c r="B2903" s="92" t="str">
        <f t="shared" si="361"/>
        <v/>
      </c>
    </row>
    <row r="2904" spans="2:2" ht="12.75" customHeight="1">
      <c r="B2904" s="92" t="str">
        <f t="shared" si="361"/>
        <v/>
      </c>
    </row>
    <row r="2905" spans="2:2" ht="12.75" customHeight="1">
      <c r="B2905" s="92" t="str">
        <f t="shared" si="361"/>
        <v/>
      </c>
    </row>
    <row r="2906" spans="2:2" ht="12.75" customHeight="1">
      <c r="B2906" s="92" t="str">
        <f t="shared" si="361"/>
        <v/>
      </c>
    </row>
    <row r="2907" spans="2:2" ht="12.75" customHeight="1">
      <c r="B2907" s="92" t="str">
        <f t="shared" si="361"/>
        <v/>
      </c>
    </row>
    <row r="2908" spans="2:2" ht="12.75" customHeight="1">
      <c r="B2908" s="92" t="str">
        <f t="shared" si="361"/>
        <v/>
      </c>
    </row>
    <row r="2909" spans="2:2" ht="12.75" customHeight="1">
      <c r="B2909" s="92" t="str">
        <f t="shared" si="361"/>
        <v/>
      </c>
    </row>
    <row r="2910" spans="2:2" ht="12.75" customHeight="1">
      <c r="B2910" s="92" t="str">
        <f t="shared" si="361"/>
        <v/>
      </c>
    </row>
    <row r="2911" spans="2:2" ht="12.75" customHeight="1">
      <c r="B2911" s="92" t="str">
        <f t="shared" si="361"/>
        <v/>
      </c>
    </row>
    <row r="2912" spans="2:2" ht="12.75" customHeight="1">
      <c r="B2912" s="92" t="str">
        <f t="shared" si="361"/>
        <v/>
      </c>
    </row>
    <row r="2913" spans="2:2" ht="12.75" customHeight="1">
      <c r="B2913" s="92" t="str">
        <f t="shared" si="361"/>
        <v/>
      </c>
    </row>
    <row r="2914" spans="2:2" ht="12.75" customHeight="1">
      <c r="B2914" s="92" t="str">
        <f t="shared" si="361"/>
        <v/>
      </c>
    </row>
    <row r="2915" spans="2:2" ht="12.75" customHeight="1">
      <c r="B2915" s="92" t="str">
        <f t="shared" si="361"/>
        <v/>
      </c>
    </row>
    <row r="2916" spans="2:2" ht="12.75" customHeight="1">
      <c r="B2916" s="92" t="str">
        <f t="shared" si="361"/>
        <v/>
      </c>
    </row>
    <row r="2917" spans="2:2" ht="12.75" customHeight="1">
      <c r="B2917" s="92" t="str">
        <f t="shared" si="361"/>
        <v/>
      </c>
    </row>
    <row r="2918" spans="2:2" ht="12.75" customHeight="1">
      <c r="B2918" s="92" t="str">
        <f t="shared" si="361"/>
        <v/>
      </c>
    </row>
    <row r="2919" spans="2:2" ht="12.75" customHeight="1">
      <c r="B2919" s="92" t="str">
        <f t="shared" si="361"/>
        <v/>
      </c>
    </row>
    <row r="2920" spans="2:2" ht="12.75" customHeight="1">
      <c r="B2920" s="92" t="str">
        <f t="shared" si="361"/>
        <v/>
      </c>
    </row>
    <row r="2921" spans="2:2" ht="12.75" customHeight="1">
      <c r="B2921" s="92" t="str">
        <f t="shared" si="361"/>
        <v/>
      </c>
    </row>
    <row r="2922" spans="2:2" ht="12.75" customHeight="1">
      <c r="B2922" s="92" t="str">
        <f t="shared" si="361"/>
        <v/>
      </c>
    </row>
    <row r="2923" spans="2:2" ht="12.75" customHeight="1">
      <c r="B2923" s="92" t="str">
        <f t="shared" si="361"/>
        <v/>
      </c>
    </row>
    <row r="2924" spans="2:2" ht="12.75" customHeight="1">
      <c r="B2924" s="92" t="str">
        <f t="shared" si="361"/>
        <v/>
      </c>
    </row>
    <row r="2925" spans="2:2" ht="12.75" customHeight="1">
      <c r="B2925" s="92" t="str">
        <f t="shared" si="361"/>
        <v/>
      </c>
    </row>
    <row r="2926" spans="2:2" ht="12.75" customHeight="1">
      <c r="B2926" s="92" t="str">
        <f t="shared" ref="B2926:B2989" si="362">IF(C2926="","",ROW()-5)</f>
        <v/>
      </c>
    </row>
    <row r="2927" spans="2:2" ht="12.75" customHeight="1">
      <c r="B2927" s="92" t="str">
        <f t="shared" si="362"/>
        <v/>
      </c>
    </row>
    <row r="2928" spans="2:2" ht="12.75" customHeight="1">
      <c r="B2928" s="92" t="str">
        <f t="shared" si="362"/>
        <v/>
      </c>
    </row>
    <row r="2929" spans="2:2" ht="12.75" customHeight="1">
      <c r="B2929" s="92" t="str">
        <f t="shared" si="362"/>
        <v/>
      </c>
    </row>
    <row r="2930" spans="2:2" ht="12.75" customHeight="1">
      <c r="B2930" s="92" t="str">
        <f t="shared" si="362"/>
        <v/>
      </c>
    </row>
    <row r="2931" spans="2:2" ht="12.75" customHeight="1">
      <c r="B2931" s="92" t="str">
        <f t="shared" si="362"/>
        <v/>
      </c>
    </row>
    <row r="2932" spans="2:2" ht="12.75" customHeight="1">
      <c r="B2932" s="92" t="str">
        <f t="shared" si="362"/>
        <v/>
      </c>
    </row>
    <row r="2933" spans="2:2" ht="12.75" customHeight="1">
      <c r="B2933" s="92" t="str">
        <f t="shared" si="362"/>
        <v/>
      </c>
    </row>
    <row r="2934" spans="2:2" ht="12.75" customHeight="1">
      <c r="B2934" s="92" t="str">
        <f t="shared" si="362"/>
        <v/>
      </c>
    </row>
    <row r="2935" spans="2:2" ht="12.75" customHeight="1">
      <c r="B2935" s="92" t="str">
        <f t="shared" si="362"/>
        <v/>
      </c>
    </row>
    <row r="2936" spans="2:2" ht="12.75" customHeight="1">
      <c r="B2936" s="92" t="str">
        <f t="shared" si="362"/>
        <v/>
      </c>
    </row>
    <row r="2937" spans="2:2" ht="12.75" customHeight="1">
      <c r="B2937" s="92" t="str">
        <f t="shared" si="362"/>
        <v/>
      </c>
    </row>
    <row r="2938" spans="2:2" ht="12.75" customHeight="1">
      <c r="B2938" s="92" t="str">
        <f t="shared" si="362"/>
        <v/>
      </c>
    </row>
    <row r="2939" spans="2:2" ht="12.75" customHeight="1">
      <c r="B2939" s="92" t="str">
        <f t="shared" si="362"/>
        <v/>
      </c>
    </row>
    <row r="2940" spans="2:2" ht="12.75" customHeight="1">
      <c r="B2940" s="92" t="str">
        <f t="shared" si="362"/>
        <v/>
      </c>
    </row>
    <row r="2941" spans="2:2" ht="12.75" customHeight="1">
      <c r="B2941" s="92" t="str">
        <f t="shared" si="362"/>
        <v/>
      </c>
    </row>
    <row r="2942" spans="2:2" ht="12.75" customHeight="1">
      <c r="B2942" s="92" t="str">
        <f t="shared" si="362"/>
        <v/>
      </c>
    </row>
    <row r="2943" spans="2:2" ht="12.75" customHeight="1">
      <c r="B2943" s="92" t="str">
        <f t="shared" si="362"/>
        <v/>
      </c>
    </row>
    <row r="2944" spans="2:2" ht="12.75" customHeight="1">
      <c r="B2944" s="92" t="str">
        <f t="shared" si="362"/>
        <v/>
      </c>
    </row>
    <row r="2945" spans="2:2" ht="12.75" customHeight="1">
      <c r="B2945" s="92" t="str">
        <f t="shared" si="362"/>
        <v/>
      </c>
    </row>
    <row r="2946" spans="2:2" ht="12.75" customHeight="1">
      <c r="B2946" s="92" t="str">
        <f t="shared" si="362"/>
        <v/>
      </c>
    </row>
    <row r="2947" spans="2:2" ht="12.75" customHeight="1">
      <c r="B2947" s="92" t="str">
        <f t="shared" si="362"/>
        <v/>
      </c>
    </row>
    <row r="2948" spans="2:2" ht="12.75" customHeight="1">
      <c r="B2948" s="92" t="str">
        <f t="shared" si="362"/>
        <v/>
      </c>
    </row>
    <row r="2949" spans="2:2" ht="12.75" customHeight="1">
      <c r="B2949" s="92" t="str">
        <f t="shared" si="362"/>
        <v/>
      </c>
    </row>
    <row r="2950" spans="2:2" ht="12.75" customHeight="1">
      <c r="B2950" s="92" t="str">
        <f t="shared" si="362"/>
        <v/>
      </c>
    </row>
    <row r="2951" spans="2:2" ht="12.75" customHeight="1">
      <c r="B2951" s="92" t="str">
        <f t="shared" si="362"/>
        <v/>
      </c>
    </row>
    <row r="2952" spans="2:2" ht="12.75" customHeight="1">
      <c r="B2952" s="92" t="str">
        <f t="shared" si="362"/>
        <v/>
      </c>
    </row>
    <row r="2953" spans="2:2" ht="12.75" customHeight="1">
      <c r="B2953" s="92" t="str">
        <f t="shared" si="362"/>
        <v/>
      </c>
    </row>
    <row r="2954" spans="2:2" ht="12.75" customHeight="1">
      <c r="B2954" s="92" t="str">
        <f t="shared" si="362"/>
        <v/>
      </c>
    </row>
    <row r="2955" spans="2:2" ht="12.75" customHeight="1">
      <c r="B2955" s="92" t="str">
        <f t="shared" si="362"/>
        <v/>
      </c>
    </row>
    <row r="2956" spans="2:2" ht="12.75" customHeight="1">
      <c r="B2956" s="92" t="str">
        <f t="shared" si="362"/>
        <v/>
      </c>
    </row>
    <row r="2957" spans="2:2" ht="12.75" customHeight="1">
      <c r="B2957" s="92" t="str">
        <f t="shared" si="362"/>
        <v/>
      </c>
    </row>
    <row r="2958" spans="2:2" ht="12.75" customHeight="1">
      <c r="B2958" s="92" t="str">
        <f t="shared" si="362"/>
        <v/>
      </c>
    </row>
    <row r="2959" spans="2:2" ht="12.75" customHeight="1">
      <c r="B2959" s="92" t="str">
        <f t="shared" si="362"/>
        <v/>
      </c>
    </row>
    <row r="2960" spans="2:2" ht="12.75" customHeight="1">
      <c r="B2960" s="92" t="str">
        <f t="shared" si="362"/>
        <v/>
      </c>
    </row>
    <row r="2961" spans="2:2" ht="12.75" customHeight="1">
      <c r="B2961" s="92" t="str">
        <f t="shared" si="362"/>
        <v/>
      </c>
    </row>
    <row r="2962" spans="2:2" ht="12.75" customHeight="1">
      <c r="B2962" s="92" t="str">
        <f t="shared" si="362"/>
        <v/>
      </c>
    </row>
    <row r="2963" spans="2:2" ht="12.75" customHeight="1">
      <c r="B2963" s="92" t="str">
        <f t="shared" si="362"/>
        <v/>
      </c>
    </row>
    <row r="2964" spans="2:2" ht="12.75" customHeight="1">
      <c r="B2964" s="92" t="str">
        <f t="shared" si="362"/>
        <v/>
      </c>
    </row>
    <row r="2965" spans="2:2" ht="12.75" customHeight="1">
      <c r="B2965" s="92" t="str">
        <f t="shared" si="362"/>
        <v/>
      </c>
    </row>
    <row r="2966" spans="2:2" ht="12.75" customHeight="1">
      <c r="B2966" s="92" t="str">
        <f t="shared" si="362"/>
        <v/>
      </c>
    </row>
    <row r="2967" spans="2:2" ht="12.75" customHeight="1">
      <c r="B2967" s="92" t="str">
        <f t="shared" si="362"/>
        <v/>
      </c>
    </row>
    <row r="2968" spans="2:2" ht="12.75" customHeight="1">
      <c r="B2968" s="92" t="str">
        <f t="shared" si="362"/>
        <v/>
      </c>
    </row>
    <row r="2969" spans="2:2" ht="12.75" customHeight="1">
      <c r="B2969" s="92" t="str">
        <f t="shared" si="362"/>
        <v/>
      </c>
    </row>
    <row r="2970" spans="2:2" ht="12.75" customHeight="1">
      <c r="B2970" s="92" t="str">
        <f t="shared" si="362"/>
        <v/>
      </c>
    </row>
    <row r="2971" spans="2:2" ht="12.75" customHeight="1">
      <c r="B2971" s="92" t="str">
        <f t="shared" si="362"/>
        <v/>
      </c>
    </row>
    <row r="2972" spans="2:2" ht="12.75" customHeight="1">
      <c r="B2972" s="92" t="str">
        <f t="shared" si="362"/>
        <v/>
      </c>
    </row>
    <row r="2973" spans="2:2" ht="12.75" customHeight="1">
      <c r="B2973" s="92" t="str">
        <f t="shared" si="362"/>
        <v/>
      </c>
    </row>
    <row r="2974" spans="2:2" ht="12.75" customHeight="1">
      <c r="B2974" s="92" t="str">
        <f t="shared" si="362"/>
        <v/>
      </c>
    </row>
    <row r="2975" spans="2:2" ht="12.75" customHeight="1">
      <c r="B2975" s="92" t="str">
        <f t="shared" si="362"/>
        <v/>
      </c>
    </row>
    <row r="2976" spans="2:2" ht="12.75" customHeight="1">
      <c r="B2976" s="92" t="str">
        <f t="shared" si="362"/>
        <v/>
      </c>
    </row>
    <row r="2977" spans="2:2" ht="12.75" customHeight="1">
      <c r="B2977" s="92" t="str">
        <f t="shared" si="362"/>
        <v/>
      </c>
    </row>
    <row r="2978" spans="2:2" ht="12.75" customHeight="1">
      <c r="B2978" s="92" t="str">
        <f t="shared" si="362"/>
        <v/>
      </c>
    </row>
    <row r="2979" spans="2:2" ht="12.75" customHeight="1">
      <c r="B2979" s="92" t="str">
        <f t="shared" si="362"/>
        <v/>
      </c>
    </row>
    <row r="2980" spans="2:2" ht="12.75" customHeight="1">
      <c r="B2980" s="92" t="str">
        <f t="shared" si="362"/>
        <v/>
      </c>
    </row>
    <row r="2981" spans="2:2" ht="12.75" customHeight="1">
      <c r="B2981" s="92" t="str">
        <f t="shared" si="362"/>
        <v/>
      </c>
    </row>
    <row r="2982" spans="2:2" ht="12.75" customHeight="1">
      <c r="B2982" s="92" t="str">
        <f t="shared" si="362"/>
        <v/>
      </c>
    </row>
    <row r="2983" spans="2:2" ht="12.75" customHeight="1">
      <c r="B2983" s="92" t="str">
        <f t="shared" si="362"/>
        <v/>
      </c>
    </row>
    <row r="2984" spans="2:2" ht="12.75" customHeight="1">
      <c r="B2984" s="92" t="str">
        <f t="shared" si="362"/>
        <v/>
      </c>
    </row>
    <row r="2985" spans="2:2" ht="12.75" customHeight="1">
      <c r="B2985" s="92" t="str">
        <f t="shared" si="362"/>
        <v/>
      </c>
    </row>
    <row r="2986" spans="2:2" ht="12.75" customHeight="1">
      <c r="B2986" s="92" t="str">
        <f t="shared" si="362"/>
        <v/>
      </c>
    </row>
    <row r="2987" spans="2:2" ht="12.75" customHeight="1">
      <c r="B2987" s="92" t="str">
        <f t="shared" si="362"/>
        <v/>
      </c>
    </row>
    <row r="2988" spans="2:2" ht="12.75" customHeight="1">
      <c r="B2988" s="92" t="str">
        <f t="shared" si="362"/>
        <v/>
      </c>
    </row>
    <row r="2989" spans="2:2" ht="12.75" customHeight="1">
      <c r="B2989" s="92" t="str">
        <f t="shared" si="362"/>
        <v/>
      </c>
    </row>
    <row r="2990" spans="2:2" ht="12.75" customHeight="1">
      <c r="B2990" s="92" t="str">
        <f t="shared" ref="B2990:B3053" si="363">IF(C2990="","",ROW()-5)</f>
        <v/>
      </c>
    </row>
    <row r="2991" spans="2:2" ht="12.75" customHeight="1">
      <c r="B2991" s="92" t="str">
        <f t="shared" si="363"/>
        <v/>
      </c>
    </row>
    <row r="2992" spans="2:2" ht="12.75" customHeight="1">
      <c r="B2992" s="92" t="str">
        <f t="shared" si="363"/>
        <v/>
      </c>
    </row>
    <row r="2993" spans="2:2" ht="12.75" customHeight="1">
      <c r="B2993" s="92" t="str">
        <f t="shared" si="363"/>
        <v/>
      </c>
    </row>
    <row r="2994" spans="2:2" ht="12.75" customHeight="1">
      <c r="B2994" s="92" t="str">
        <f t="shared" si="363"/>
        <v/>
      </c>
    </row>
    <row r="2995" spans="2:2" ht="12.75" customHeight="1">
      <c r="B2995" s="92" t="str">
        <f t="shared" si="363"/>
        <v/>
      </c>
    </row>
    <row r="2996" spans="2:2" ht="12.75" customHeight="1">
      <c r="B2996" s="92" t="str">
        <f t="shared" si="363"/>
        <v/>
      </c>
    </row>
    <row r="2997" spans="2:2" ht="12.75" customHeight="1">
      <c r="B2997" s="92" t="str">
        <f t="shared" si="363"/>
        <v/>
      </c>
    </row>
    <row r="2998" spans="2:2" ht="12.75" customHeight="1">
      <c r="B2998" s="92" t="str">
        <f t="shared" si="363"/>
        <v/>
      </c>
    </row>
    <row r="2999" spans="2:2" ht="12.75" customHeight="1">
      <c r="B2999" s="92" t="str">
        <f t="shared" si="363"/>
        <v/>
      </c>
    </row>
    <row r="3000" spans="2:2" ht="12.75" customHeight="1">
      <c r="B3000" s="92" t="str">
        <f t="shared" si="363"/>
        <v/>
      </c>
    </row>
    <row r="3001" spans="2:2" ht="12.75" customHeight="1">
      <c r="B3001" s="92" t="str">
        <f t="shared" si="363"/>
        <v/>
      </c>
    </row>
    <row r="3002" spans="2:2" ht="12.75" customHeight="1">
      <c r="B3002" s="92" t="str">
        <f t="shared" si="363"/>
        <v/>
      </c>
    </row>
    <row r="3003" spans="2:2" ht="12.75" customHeight="1">
      <c r="B3003" s="92" t="str">
        <f t="shared" si="363"/>
        <v/>
      </c>
    </row>
    <row r="3004" spans="2:2" ht="12.75" customHeight="1">
      <c r="B3004" s="92" t="str">
        <f t="shared" si="363"/>
        <v/>
      </c>
    </row>
    <row r="3005" spans="2:2" ht="12.75" customHeight="1">
      <c r="B3005" s="92" t="str">
        <f t="shared" si="363"/>
        <v/>
      </c>
    </row>
    <row r="3006" spans="2:2" ht="12.75" customHeight="1">
      <c r="B3006" s="92" t="str">
        <f t="shared" si="363"/>
        <v/>
      </c>
    </row>
    <row r="3007" spans="2:2" ht="12.75" customHeight="1">
      <c r="B3007" s="92" t="str">
        <f t="shared" si="363"/>
        <v/>
      </c>
    </row>
    <row r="3008" spans="2:2" ht="12.75" customHeight="1">
      <c r="B3008" s="92" t="str">
        <f t="shared" si="363"/>
        <v/>
      </c>
    </row>
    <row r="3009" spans="2:2" ht="12.75" customHeight="1">
      <c r="B3009" s="92" t="str">
        <f t="shared" si="363"/>
        <v/>
      </c>
    </row>
    <row r="3010" spans="2:2" ht="12.75" customHeight="1">
      <c r="B3010" s="92" t="str">
        <f t="shared" si="363"/>
        <v/>
      </c>
    </row>
    <row r="3011" spans="2:2" ht="12.75" customHeight="1">
      <c r="B3011" s="92" t="str">
        <f t="shared" si="363"/>
        <v/>
      </c>
    </row>
    <row r="3012" spans="2:2" ht="12.75" customHeight="1">
      <c r="B3012" s="92" t="str">
        <f t="shared" si="363"/>
        <v/>
      </c>
    </row>
    <row r="3013" spans="2:2" ht="12.75" customHeight="1">
      <c r="B3013" s="92" t="str">
        <f t="shared" si="363"/>
        <v/>
      </c>
    </row>
    <row r="3014" spans="2:2" ht="12.75" customHeight="1">
      <c r="B3014" s="92" t="str">
        <f t="shared" si="363"/>
        <v/>
      </c>
    </row>
    <row r="3015" spans="2:2" ht="12.75" customHeight="1">
      <c r="B3015" s="92" t="str">
        <f t="shared" si="363"/>
        <v/>
      </c>
    </row>
    <row r="3016" spans="2:2" ht="12.75" customHeight="1">
      <c r="B3016" s="92" t="str">
        <f t="shared" si="363"/>
        <v/>
      </c>
    </row>
    <row r="3017" spans="2:2" ht="12.75" customHeight="1">
      <c r="B3017" s="92" t="str">
        <f t="shared" si="363"/>
        <v/>
      </c>
    </row>
    <row r="3018" spans="2:2" ht="12.75" customHeight="1">
      <c r="B3018" s="92" t="str">
        <f t="shared" si="363"/>
        <v/>
      </c>
    </row>
    <row r="3019" spans="2:2" ht="12.75" customHeight="1">
      <c r="B3019" s="92" t="str">
        <f t="shared" si="363"/>
        <v/>
      </c>
    </row>
    <row r="3020" spans="2:2" ht="12.75" customHeight="1">
      <c r="B3020" s="92" t="str">
        <f t="shared" si="363"/>
        <v/>
      </c>
    </row>
    <row r="3021" spans="2:2" ht="12.75" customHeight="1">
      <c r="B3021" s="92" t="str">
        <f t="shared" si="363"/>
        <v/>
      </c>
    </row>
    <row r="3022" spans="2:2" ht="12.75" customHeight="1">
      <c r="B3022" s="92" t="str">
        <f t="shared" si="363"/>
        <v/>
      </c>
    </row>
    <row r="3023" spans="2:2" ht="12.75" customHeight="1">
      <c r="B3023" s="92" t="str">
        <f t="shared" si="363"/>
        <v/>
      </c>
    </row>
    <row r="3024" spans="2:2" ht="12.75" customHeight="1">
      <c r="B3024" s="92" t="str">
        <f t="shared" si="363"/>
        <v/>
      </c>
    </row>
    <row r="3025" spans="2:2" ht="12.75" customHeight="1">
      <c r="B3025" s="92" t="str">
        <f t="shared" si="363"/>
        <v/>
      </c>
    </row>
    <row r="3026" spans="2:2" ht="12.75" customHeight="1">
      <c r="B3026" s="92" t="str">
        <f t="shared" si="363"/>
        <v/>
      </c>
    </row>
    <row r="3027" spans="2:2" ht="12.75" customHeight="1">
      <c r="B3027" s="92" t="str">
        <f t="shared" si="363"/>
        <v/>
      </c>
    </row>
    <row r="3028" spans="2:2" ht="12.75" customHeight="1">
      <c r="B3028" s="92" t="str">
        <f t="shared" si="363"/>
        <v/>
      </c>
    </row>
    <row r="3029" spans="2:2" ht="12.75" customHeight="1">
      <c r="B3029" s="92" t="str">
        <f t="shared" si="363"/>
        <v/>
      </c>
    </row>
    <row r="3030" spans="2:2" ht="12.75" customHeight="1">
      <c r="B3030" s="92" t="str">
        <f t="shared" si="363"/>
        <v/>
      </c>
    </row>
    <row r="3031" spans="2:2" ht="12.75" customHeight="1">
      <c r="B3031" s="92" t="str">
        <f t="shared" si="363"/>
        <v/>
      </c>
    </row>
    <row r="3032" spans="2:2" ht="12.75" customHeight="1">
      <c r="B3032" s="92" t="str">
        <f t="shared" si="363"/>
        <v/>
      </c>
    </row>
    <row r="3033" spans="2:2" ht="12.75" customHeight="1">
      <c r="B3033" s="92" t="str">
        <f t="shared" si="363"/>
        <v/>
      </c>
    </row>
    <row r="3034" spans="2:2" ht="12.75" customHeight="1">
      <c r="B3034" s="92" t="str">
        <f t="shared" si="363"/>
        <v/>
      </c>
    </row>
    <row r="3035" spans="2:2" ht="12.75" customHeight="1">
      <c r="B3035" s="92" t="str">
        <f t="shared" si="363"/>
        <v/>
      </c>
    </row>
    <row r="3036" spans="2:2" ht="12.75" customHeight="1">
      <c r="B3036" s="92" t="str">
        <f t="shared" si="363"/>
        <v/>
      </c>
    </row>
    <row r="3037" spans="2:2" ht="12.75" customHeight="1">
      <c r="B3037" s="92" t="str">
        <f t="shared" si="363"/>
        <v/>
      </c>
    </row>
    <row r="3038" spans="2:2" ht="12.75" customHeight="1">
      <c r="B3038" s="92" t="str">
        <f t="shared" si="363"/>
        <v/>
      </c>
    </row>
    <row r="3039" spans="2:2" ht="12.75" customHeight="1">
      <c r="B3039" s="92" t="str">
        <f t="shared" si="363"/>
        <v/>
      </c>
    </row>
    <row r="3040" spans="2:2" ht="12.75" customHeight="1">
      <c r="B3040" s="92" t="str">
        <f t="shared" si="363"/>
        <v/>
      </c>
    </row>
    <row r="3041" spans="2:2" ht="12.75" customHeight="1">
      <c r="B3041" s="92" t="str">
        <f t="shared" si="363"/>
        <v/>
      </c>
    </row>
    <row r="3042" spans="2:2" ht="12.75" customHeight="1">
      <c r="B3042" s="92" t="str">
        <f t="shared" si="363"/>
        <v/>
      </c>
    </row>
    <row r="3043" spans="2:2" ht="12.75" customHeight="1">
      <c r="B3043" s="92" t="str">
        <f t="shared" si="363"/>
        <v/>
      </c>
    </row>
    <row r="3044" spans="2:2" ht="12.75" customHeight="1">
      <c r="B3044" s="92" t="str">
        <f t="shared" si="363"/>
        <v/>
      </c>
    </row>
    <row r="3045" spans="2:2" ht="12.75" customHeight="1">
      <c r="B3045" s="92" t="str">
        <f t="shared" si="363"/>
        <v/>
      </c>
    </row>
    <row r="3046" spans="2:2" ht="12.75" customHeight="1">
      <c r="B3046" s="92" t="str">
        <f t="shared" si="363"/>
        <v/>
      </c>
    </row>
    <row r="3047" spans="2:2" ht="12.75" customHeight="1">
      <c r="B3047" s="92" t="str">
        <f t="shared" si="363"/>
        <v/>
      </c>
    </row>
    <row r="3048" spans="2:2" ht="12.75" customHeight="1">
      <c r="B3048" s="92" t="str">
        <f t="shared" si="363"/>
        <v/>
      </c>
    </row>
    <row r="3049" spans="2:2" ht="12.75" customHeight="1">
      <c r="B3049" s="92" t="str">
        <f t="shared" si="363"/>
        <v/>
      </c>
    </row>
    <row r="3050" spans="2:2" ht="12.75" customHeight="1">
      <c r="B3050" s="92" t="str">
        <f t="shared" si="363"/>
        <v/>
      </c>
    </row>
    <row r="3051" spans="2:2" ht="12.75" customHeight="1">
      <c r="B3051" s="92" t="str">
        <f t="shared" si="363"/>
        <v/>
      </c>
    </row>
    <row r="3052" spans="2:2" ht="12.75" customHeight="1">
      <c r="B3052" s="92" t="str">
        <f t="shared" si="363"/>
        <v/>
      </c>
    </row>
    <row r="3053" spans="2:2" ht="12.75" customHeight="1">
      <c r="B3053" s="92" t="str">
        <f t="shared" si="363"/>
        <v/>
      </c>
    </row>
    <row r="3054" spans="2:2" ht="12.75" customHeight="1">
      <c r="B3054" s="92" t="str">
        <f t="shared" ref="B3054:B3117" si="364">IF(C3054="","",ROW()-5)</f>
        <v/>
      </c>
    </row>
    <row r="3055" spans="2:2" ht="12.75" customHeight="1">
      <c r="B3055" s="92" t="str">
        <f t="shared" si="364"/>
        <v/>
      </c>
    </row>
    <row r="3056" spans="2:2" ht="12.75" customHeight="1">
      <c r="B3056" s="92" t="str">
        <f t="shared" si="364"/>
        <v/>
      </c>
    </row>
    <row r="3057" spans="2:2" ht="12.75" customHeight="1">
      <c r="B3057" s="92" t="str">
        <f t="shared" si="364"/>
        <v/>
      </c>
    </row>
    <row r="3058" spans="2:2" ht="12.75" customHeight="1">
      <c r="B3058" s="92" t="str">
        <f t="shared" si="364"/>
        <v/>
      </c>
    </row>
    <row r="3059" spans="2:2" ht="12.75" customHeight="1">
      <c r="B3059" s="92" t="str">
        <f t="shared" si="364"/>
        <v/>
      </c>
    </row>
    <row r="3060" spans="2:2" ht="12.75" customHeight="1">
      <c r="B3060" s="92" t="str">
        <f t="shared" si="364"/>
        <v/>
      </c>
    </row>
    <row r="3061" spans="2:2" ht="12.75" customHeight="1">
      <c r="B3061" s="92" t="str">
        <f t="shared" si="364"/>
        <v/>
      </c>
    </row>
    <row r="3062" spans="2:2" ht="12.75" customHeight="1">
      <c r="B3062" s="92" t="str">
        <f t="shared" si="364"/>
        <v/>
      </c>
    </row>
    <row r="3063" spans="2:2" ht="12.75" customHeight="1">
      <c r="B3063" s="92" t="str">
        <f t="shared" si="364"/>
        <v/>
      </c>
    </row>
    <row r="3064" spans="2:2" ht="12.75" customHeight="1">
      <c r="B3064" s="92" t="str">
        <f t="shared" si="364"/>
        <v/>
      </c>
    </row>
    <row r="3065" spans="2:2" ht="12.75" customHeight="1">
      <c r="B3065" s="92" t="str">
        <f t="shared" si="364"/>
        <v/>
      </c>
    </row>
    <row r="3066" spans="2:2" ht="12.75" customHeight="1">
      <c r="B3066" s="92" t="str">
        <f t="shared" si="364"/>
        <v/>
      </c>
    </row>
    <row r="3067" spans="2:2" ht="12.75" customHeight="1">
      <c r="B3067" s="92" t="str">
        <f t="shared" si="364"/>
        <v/>
      </c>
    </row>
    <row r="3068" spans="2:2" ht="12.75" customHeight="1">
      <c r="B3068" s="92" t="str">
        <f t="shared" si="364"/>
        <v/>
      </c>
    </row>
    <row r="3069" spans="2:2" ht="12.75" customHeight="1">
      <c r="B3069" s="92" t="str">
        <f t="shared" si="364"/>
        <v/>
      </c>
    </row>
    <row r="3070" spans="2:2" ht="12.75" customHeight="1">
      <c r="B3070" s="92" t="str">
        <f t="shared" si="364"/>
        <v/>
      </c>
    </row>
    <row r="3071" spans="2:2" ht="12.75" customHeight="1">
      <c r="B3071" s="92" t="str">
        <f t="shared" si="364"/>
        <v/>
      </c>
    </row>
    <row r="3072" spans="2:2" ht="12.75" customHeight="1">
      <c r="B3072" s="92" t="str">
        <f t="shared" si="364"/>
        <v/>
      </c>
    </row>
    <row r="3073" spans="2:2" ht="12.75" customHeight="1">
      <c r="B3073" s="92" t="str">
        <f t="shared" si="364"/>
        <v/>
      </c>
    </row>
    <row r="3074" spans="2:2" ht="12.75" customHeight="1">
      <c r="B3074" s="92" t="str">
        <f t="shared" si="364"/>
        <v/>
      </c>
    </row>
    <row r="3075" spans="2:2" ht="12.75" customHeight="1">
      <c r="B3075" s="92" t="str">
        <f t="shared" si="364"/>
        <v/>
      </c>
    </row>
    <row r="3076" spans="2:2" ht="12.75" customHeight="1">
      <c r="B3076" s="92" t="str">
        <f t="shared" si="364"/>
        <v/>
      </c>
    </row>
    <row r="3077" spans="2:2" ht="12.75" customHeight="1">
      <c r="B3077" s="92" t="str">
        <f t="shared" si="364"/>
        <v/>
      </c>
    </row>
    <row r="3078" spans="2:2" ht="12.75" customHeight="1">
      <c r="B3078" s="92" t="str">
        <f t="shared" si="364"/>
        <v/>
      </c>
    </row>
    <row r="3079" spans="2:2" ht="12.75" customHeight="1">
      <c r="B3079" s="92" t="str">
        <f t="shared" si="364"/>
        <v/>
      </c>
    </row>
    <row r="3080" spans="2:2" ht="12.75" customHeight="1">
      <c r="B3080" s="92" t="str">
        <f t="shared" si="364"/>
        <v/>
      </c>
    </row>
    <row r="3081" spans="2:2" ht="12.75" customHeight="1">
      <c r="B3081" s="92" t="str">
        <f t="shared" si="364"/>
        <v/>
      </c>
    </row>
    <row r="3082" spans="2:2" ht="12.75" customHeight="1">
      <c r="B3082" s="92" t="str">
        <f t="shared" si="364"/>
        <v/>
      </c>
    </row>
    <row r="3083" spans="2:2" ht="12.75" customHeight="1">
      <c r="B3083" s="92" t="str">
        <f t="shared" si="364"/>
        <v/>
      </c>
    </row>
    <row r="3084" spans="2:2" ht="12.75" customHeight="1">
      <c r="B3084" s="92" t="str">
        <f t="shared" si="364"/>
        <v/>
      </c>
    </row>
    <row r="3085" spans="2:2" ht="12.75" customHeight="1">
      <c r="B3085" s="92" t="str">
        <f t="shared" si="364"/>
        <v/>
      </c>
    </row>
    <row r="3086" spans="2:2" ht="12.75" customHeight="1">
      <c r="B3086" s="92" t="str">
        <f t="shared" si="364"/>
        <v/>
      </c>
    </row>
    <row r="3087" spans="2:2" ht="12.75" customHeight="1">
      <c r="B3087" s="92" t="str">
        <f t="shared" si="364"/>
        <v/>
      </c>
    </row>
    <row r="3088" spans="2:2" ht="12.75" customHeight="1">
      <c r="B3088" s="92" t="str">
        <f t="shared" si="364"/>
        <v/>
      </c>
    </row>
    <row r="3089" spans="2:2" ht="12.75" customHeight="1">
      <c r="B3089" s="92" t="str">
        <f t="shared" si="364"/>
        <v/>
      </c>
    </row>
    <row r="3090" spans="2:2" ht="12.75" customHeight="1">
      <c r="B3090" s="92" t="str">
        <f t="shared" si="364"/>
        <v/>
      </c>
    </row>
    <row r="3091" spans="2:2" ht="12.75" customHeight="1">
      <c r="B3091" s="92" t="str">
        <f t="shared" si="364"/>
        <v/>
      </c>
    </row>
    <row r="3092" spans="2:2" ht="12.75" customHeight="1">
      <c r="B3092" s="92" t="str">
        <f t="shared" si="364"/>
        <v/>
      </c>
    </row>
    <row r="3093" spans="2:2" ht="12.75" customHeight="1">
      <c r="B3093" s="92" t="str">
        <f t="shared" si="364"/>
        <v/>
      </c>
    </row>
    <row r="3094" spans="2:2" ht="12.75" customHeight="1">
      <c r="B3094" s="92" t="str">
        <f t="shared" si="364"/>
        <v/>
      </c>
    </row>
    <row r="3095" spans="2:2" ht="12.75" customHeight="1">
      <c r="B3095" s="92" t="str">
        <f t="shared" si="364"/>
        <v/>
      </c>
    </row>
    <row r="3096" spans="2:2" ht="12.75" customHeight="1">
      <c r="B3096" s="92" t="str">
        <f t="shared" si="364"/>
        <v/>
      </c>
    </row>
    <row r="3097" spans="2:2" ht="12.75" customHeight="1">
      <c r="B3097" s="92" t="str">
        <f t="shared" si="364"/>
        <v/>
      </c>
    </row>
    <row r="3098" spans="2:2" ht="12.75" customHeight="1">
      <c r="B3098" s="92" t="str">
        <f t="shared" si="364"/>
        <v/>
      </c>
    </row>
    <row r="3099" spans="2:2" ht="12.75" customHeight="1">
      <c r="B3099" s="92" t="str">
        <f t="shared" si="364"/>
        <v/>
      </c>
    </row>
    <row r="3100" spans="2:2" ht="12.75" customHeight="1">
      <c r="B3100" s="92" t="str">
        <f t="shared" si="364"/>
        <v/>
      </c>
    </row>
    <row r="3101" spans="2:2" ht="12.75" customHeight="1">
      <c r="B3101" s="92" t="str">
        <f t="shared" si="364"/>
        <v/>
      </c>
    </row>
    <row r="3102" spans="2:2" ht="12.75" customHeight="1">
      <c r="B3102" s="92" t="str">
        <f t="shared" si="364"/>
        <v/>
      </c>
    </row>
    <row r="3103" spans="2:2" ht="12.75" customHeight="1">
      <c r="B3103" s="92" t="str">
        <f t="shared" si="364"/>
        <v/>
      </c>
    </row>
    <row r="3104" spans="2:2" ht="12.75" customHeight="1">
      <c r="B3104" s="92" t="str">
        <f t="shared" si="364"/>
        <v/>
      </c>
    </row>
    <row r="3105" spans="2:2" ht="12.75" customHeight="1">
      <c r="B3105" s="92" t="str">
        <f t="shared" si="364"/>
        <v/>
      </c>
    </row>
    <row r="3106" spans="2:2" ht="12.75" customHeight="1">
      <c r="B3106" s="92" t="str">
        <f t="shared" si="364"/>
        <v/>
      </c>
    </row>
    <row r="3107" spans="2:2" ht="12.75" customHeight="1">
      <c r="B3107" s="92" t="str">
        <f t="shared" si="364"/>
        <v/>
      </c>
    </row>
    <row r="3108" spans="2:2" ht="12.75" customHeight="1">
      <c r="B3108" s="92" t="str">
        <f t="shared" si="364"/>
        <v/>
      </c>
    </row>
    <row r="3109" spans="2:2" ht="12.75" customHeight="1">
      <c r="B3109" s="92" t="str">
        <f t="shared" si="364"/>
        <v/>
      </c>
    </row>
    <row r="3110" spans="2:2" ht="12.75" customHeight="1">
      <c r="B3110" s="92" t="str">
        <f t="shared" si="364"/>
        <v/>
      </c>
    </row>
    <row r="3111" spans="2:2" ht="12.75" customHeight="1">
      <c r="B3111" s="92" t="str">
        <f t="shared" si="364"/>
        <v/>
      </c>
    </row>
    <row r="3112" spans="2:2" ht="12.75" customHeight="1">
      <c r="B3112" s="92" t="str">
        <f t="shared" si="364"/>
        <v/>
      </c>
    </row>
    <row r="3113" spans="2:2" ht="12.75" customHeight="1">
      <c r="B3113" s="92" t="str">
        <f t="shared" si="364"/>
        <v/>
      </c>
    </row>
    <row r="3114" spans="2:2" ht="12.75" customHeight="1">
      <c r="B3114" s="92" t="str">
        <f t="shared" si="364"/>
        <v/>
      </c>
    </row>
    <row r="3115" spans="2:2" ht="12.75" customHeight="1">
      <c r="B3115" s="92" t="str">
        <f t="shared" si="364"/>
        <v/>
      </c>
    </row>
    <row r="3116" spans="2:2" ht="12.75" customHeight="1">
      <c r="B3116" s="92" t="str">
        <f t="shared" si="364"/>
        <v/>
      </c>
    </row>
    <row r="3117" spans="2:2" ht="12.75" customHeight="1">
      <c r="B3117" s="92" t="str">
        <f t="shared" si="364"/>
        <v/>
      </c>
    </row>
    <row r="3118" spans="2:2" ht="12.75" customHeight="1">
      <c r="B3118" s="92" t="str">
        <f t="shared" ref="B3118:B3181" si="365">IF(C3118="","",ROW()-5)</f>
        <v/>
      </c>
    </row>
    <row r="3119" spans="2:2" ht="12.75" customHeight="1">
      <c r="B3119" s="92" t="str">
        <f t="shared" si="365"/>
        <v/>
      </c>
    </row>
    <row r="3120" spans="2:2" ht="12.75" customHeight="1">
      <c r="B3120" s="92" t="str">
        <f t="shared" si="365"/>
        <v/>
      </c>
    </row>
    <row r="3121" spans="2:2" ht="12.75" customHeight="1">
      <c r="B3121" s="92" t="str">
        <f t="shared" si="365"/>
        <v/>
      </c>
    </row>
    <row r="3122" spans="2:2" ht="12.75" customHeight="1">
      <c r="B3122" s="92" t="str">
        <f t="shared" si="365"/>
        <v/>
      </c>
    </row>
    <row r="3123" spans="2:2" ht="12.75" customHeight="1">
      <c r="B3123" s="92" t="str">
        <f t="shared" si="365"/>
        <v/>
      </c>
    </row>
    <row r="3124" spans="2:2" ht="12.75" customHeight="1">
      <c r="B3124" s="92" t="str">
        <f t="shared" si="365"/>
        <v/>
      </c>
    </row>
    <row r="3125" spans="2:2" ht="12.75" customHeight="1">
      <c r="B3125" s="92" t="str">
        <f t="shared" si="365"/>
        <v/>
      </c>
    </row>
    <row r="3126" spans="2:2" ht="12.75" customHeight="1">
      <c r="B3126" s="92" t="str">
        <f t="shared" si="365"/>
        <v/>
      </c>
    </row>
    <row r="3127" spans="2:2" ht="12.75" customHeight="1">
      <c r="B3127" s="92" t="str">
        <f t="shared" si="365"/>
        <v/>
      </c>
    </row>
    <row r="3128" spans="2:2" ht="12.75" customHeight="1">
      <c r="B3128" s="92" t="str">
        <f t="shared" si="365"/>
        <v/>
      </c>
    </row>
    <row r="3129" spans="2:2" ht="12.75" customHeight="1">
      <c r="B3129" s="92" t="str">
        <f t="shared" si="365"/>
        <v/>
      </c>
    </row>
    <row r="3130" spans="2:2" ht="12.75" customHeight="1">
      <c r="B3130" s="92" t="str">
        <f t="shared" si="365"/>
        <v/>
      </c>
    </row>
    <row r="3131" spans="2:2" ht="12.75" customHeight="1">
      <c r="B3131" s="92" t="str">
        <f t="shared" si="365"/>
        <v/>
      </c>
    </row>
    <row r="3132" spans="2:2" ht="12.75" customHeight="1">
      <c r="B3132" s="92" t="str">
        <f t="shared" si="365"/>
        <v/>
      </c>
    </row>
    <row r="3133" spans="2:2" ht="12.75" customHeight="1">
      <c r="B3133" s="92" t="str">
        <f t="shared" si="365"/>
        <v/>
      </c>
    </row>
    <row r="3134" spans="2:2" ht="12.75" customHeight="1">
      <c r="B3134" s="92" t="str">
        <f t="shared" si="365"/>
        <v/>
      </c>
    </row>
    <row r="3135" spans="2:2" ht="12.75" customHeight="1">
      <c r="B3135" s="92" t="str">
        <f t="shared" si="365"/>
        <v/>
      </c>
    </row>
    <row r="3136" spans="2:2" ht="12.75" customHeight="1">
      <c r="B3136" s="92" t="str">
        <f t="shared" si="365"/>
        <v/>
      </c>
    </row>
    <row r="3137" spans="2:2" ht="12.75" customHeight="1">
      <c r="B3137" s="92" t="str">
        <f t="shared" si="365"/>
        <v/>
      </c>
    </row>
    <row r="3138" spans="2:2" ht="12.75" customHeight="1">
      <c r="B3138" s="92" t="str">
        <f t="shared" si="365"/>
        <v/>
      </c>
    </row>
    <row r="3139" spans="2:2" ht="12.75" customHeight="1">
      <c r="B3139" s="92" t="str">
        <f t="shared" si="365"/>
        <v/>
      </c>
    </row>
    <row r="3140" spans="2:2" ht="12.75" customHeight="1">
      <c r="B3140" s="92" t="str">
        <f t="shared" si="365"/>
        <v/>
      </c>
    </row>
    <row r="3141" spans="2:2" ht="12.75" customHeight="1">
      <c r="B3141" s="92" t="str">
        <f t="shared" si="365"/>
        <v/>
      </c>
    </row>
    <row r="3142" spans="2:2" ht="12.75" customHeight="1">
      <c r="B3142" s="92" t="str">
        <f t="shared" si="365"/>
        <v/>
      </c>
    </row>
    <row r="3143" spans="2:2" ht="12.75" customHeight="1">
      <c r="B3143" s="92" t="str">
        <f t="shared" si="365"/>
        <v/>
      </c>
    </row>
    <row r="3144" spans="2:2" ht="12.75" customHeight="1">
      <c r="B3144" s="92" t="str">
        <f t="shared" si="365"/>
        <v/>
      </c>
    </row>
    <row r="3145" spans="2:2" ht="12.75" customHeight="1">
      <c r="B3145" s="92" t="str">
        <f t="shared" si="365"/>
        <v/>
      </c>
    </row>
    <row r="3146" spans="2:2" ht="12.75" customHeight="1">
      <c r="B3146" s="92" t="str">
        <f t="shared" si="365"/>
        <v/>
      </c>
    </row>
    <row r="3147" spans="2:2" ht="12.75" customHeight="1">
      <c r="B3147" s="92" t="str">
        <f t="shared" si="365"/>
        <v/>
      </c>
    </row>
    <row r="3148" spans="2:2" ht="12.75" customHeight="1">
      <c r="B3148" s="92" t="str">
        <f t="shared" si="365"/>
        <v/>
      </c>
    </row>
    <row r="3149" spans="2:2" ht="12.75" customHeight="1">
      <c r="B3149" s="92" t="str">
        <f t="shared" si="365"/>
        <v/>
      </c>
    </row>
    <row r="3150" spans="2:2" ht="12.75" customHeight="1">
      <c r="B3150" s="92" t="str">
        <f t="shared" si="365"/>
        <v/>
      </c>
    </row>
    <row r="3151" spans="2:2" ht="12.75" customHeight="1">
      <c r="B3151" s="92" t="str">
        <f t="shared" si="365"/>
        <v/>
      </c>
    </row>
    <row r="3152" spans="2:2" ht="12.75" customHeight="1">
      <c r="B3152" s="92" t="str">
        <f t="shared" si="365"/>
        <v/>
      </c>
    </row>
    <row r="3153" spans="2:2" ht="12.75" customHeight="1">
      <c r="B3153" s="92" t="str">
        <f t="shared" si="365"/>
        <v/>
      </c>
    </row>
    <row r="3154" spans="2:2" ht="12.75" customHeight="1">
      <c r="B3154" s="92" t="str">
        <f t="shared" si="365"/>
        <v/>
      </c>
    </row>
    <row r="3155" spans="2:2" ht="12.75" customHeight="1">
      <c r="B3155" s="92" t="str">
        <f t="shared" si="365"/>
        <v/>
      </c>
    </row>
    <row r="3156" spans="2:2" ht="12.75" customHeight="1">
      <c r="B3156" s="92" t="str">
        <f t="shared" si="365"/>
        <v/>
      </c>
    </row>
    <row r="3157" spans="2:2" ht="12.75" customHeight="1">
      <c r="B3157" s="92" t="str">
        <f t="shared" si="365"/>
        <v/>
      </c>
    </row>
    <row r="3158" spans="2:2" ht="12.75" customHeight="1">
      <c r="B3158" s="92" t="str">
        <f t="shared" si="365"/>
        <v/>
      </c>
    </row>
    <row r="3159" spans="2:2" ht="12.75" customHeight="1">
      <c r="B3159" s="92" t="str">
        <f t="shared" si="365"/>
        <v/>
      </c>
    </row>
    <row r="3160" spans="2:2" ht="12.75" customHeight="1">
      <c r="B3160" s="92" t="str">
        <f t="shared" si="365"/>
        <v/>
      </c>
    </row>
    <row r="3161" spans="2:2" ht="12.75" customHeight="1">
      <c r="B3161" s="92" t="str">
        <f t="shared" si="365"/>
        <v/>
      </c>
    </row>
    <row r="3162" spans="2:2" ht="12.75" customHeight="1">
      <c r="B3162" s="92" t="str">
        <f t="shared" si="365"/>
        <v/>
      </c>
    </row>
    <row r="3163" spans="2:2" ht="12.75" customHeight="1">
      <c r="B3163" s="92" t="str">
        <f t="shared" si="365"/>
        <v/>
      </c>
    </row>
    <row r="3164" spans="2:2" ht="12.75" customHeight="1">
      <c r="B3164" s="92" t="str">
        <f t="shared" si="365"/>
        <v/>
      </c>
    </row>
    <row r="3165" spans="2:2" ht="12.75" customHeight="1">
      <c r="B3165" s="92" t="str">
        <f t="shared" si="365"/>
        <v/>
      </c>
    </row>
    <row r="3166" spans="2:2" ht="12.75" customHeight="1">
      <c r="B3166" s="92" t="str">
        <f t="shared" si="365"/>
        <v/>
      </c>
    </row>
    <row r="3167" spans="2:2" ht="12.75" customHeight="1">
      <c r="B3167" s="92" t="str">
        <f t="shared" si="365"/>
        <v/>
      </c>
    </row>
    <row r="3168" spans="2:2" ht="12.75" customHeight="1">
      <c r="B3168" s="92" t="str">
        <f t="shared" si="365"/>
        <v/>
      </c>
    </row>
    <row r="3169" spans="2:2" ht="12.75" customHeight="1">
      <c r="B3169" s="92" t="str">
        <f t="shared" si="365"/>
        <v/>
      </c>
    </row>
    <row r="3170" spans="2:2" ht="12.75" customHeight="1">
      <c r="B3170" s="92" t="str">
        <f t="shared" si="365"/>
        <v/>
      </c>
    </row>
    <row r="3171" spans="2:2" ht="12.75" customHeight="1">
      <c r="B3171" s="92" t="str">
        <f t="shared" si="365"/>
        <v/>
      </c>
    </row>
    <row r="3172" spans="2:2" ht="12.75" customHeight="1">
      <c r="B3172" s="92" t="str">
        <f t="shared" si="365"/>
        <v/>
      </c>
    </row>
    <row r="3173" spans="2:2" ht="12.75" customHeight="1">
      <c r="B3173" s="92" t="str">
        <f t="shared" si="365"/>
        <v/>
      </c>
    </row>
    <row r="3174" spans="2:2" ht="12.75" customHeight="1">
      <c r="B3174" s="92" t="str">
        <f t="shared" si="365"/>
        <v/>
      </c>
    </row>
    <row r="3175" spans="2:2" ht="12.75" customHeight="1">
      <c r="B3175" s="92" t="str">
        <f t="shared" si="365"/>
        <v/>
      </c>
    </row>
    <row r="3176" spans="2:2" ht="12.75" customHeight="1">
      <c r="B3176" s="92" t="str">
        <f t="shared" si="365"/>
        <v/>
      </c>
    </row>
    <row r="3177" spans="2:2" ht="12.75" customHeight="1">
      <c r="B3177" s="92" t="str">
        <f t="shared" si="365"/>
        <v/>
      </c>
    </row>
    <row r="3178" spans="2:2" ht="12.75" customHeight="1">
      <c r="B3178" s="92" t="str">
        <f t="shared" si="365"/>
        <v/>
      </c>
    </row>
    <row r="3179" spans="2:2" ht="12.75" customHeight="1">
      <c r="B3179" s="92" t="str">
        <f t="shared" si="365"/>
        <v/>
      </c>
    </row>
    <row r="3180" spans="2:2" ht="12.75" customHeight="1">
      <c r="B3180" s="92" t="str">
        <f t="shared" si="365"/>
        <v/>
      </c>
    </row>
    <row r="3181" spans="2:2" ht="12.75" customHeight="1">
      <c r="B3181" s="92" t="str">
        <f t="shared" si="365"/>
        <v/>
      </c>
    </row>
    <row r="3182" spans="2:2" ht="12.75" customHeight="1">
      <c r="B3182" s="92" t="str">
        <f t="shared" ref="B3182:B3245" si="366">IF(C3182="","",ROW()-5)</f>
        <v/>
      </c>
    </row>
    <row r="3183" spans="2:2" ht="12.75" customHeight="1">
      <c r="B3183" s="92" t="str">
        <f t="shared" si="366"/>
        <v/>
      </c>
    </row>
    <row r="3184" spans="2:2" ht="12.75" customHeight="1">
      <c r="B3184" s="92" t="str">
        <f t="shared" si="366"/>
        <v/>
      </c>
    </row>
    <row r="3185" spans="2:2" ht="12.75" customHeight="1">
      <c r="B3185" s="92" t="str">
        <f t="shared" si="366"/>
        <v/>
      </c>
    </row>
    <row r="3186" spans="2:2" ht="12.75" customHeight="1">
      <c r="B3186" s="92" t="str">
        <f t="shared" si="366"/>
        <v/>
      </c>
    </row>
    <row r="3187" spans="2:2" ht="12.75" customHeight="1">
      <c r="B3187" s="92" t="str">
        <f t="shared" si="366"/>
        <v/>
      </c>
    </row>
    <row r="3188" spans="2:2" ht="12.75" customHeight="1">
      <c r="B3188" s="92" t="str">
        <f t="shared" si="366"/>
        <v/>
      </c>
    </row>
    <row r="3189" spans="2:2" ht="12.75" customHeight="1">
      <c r="B3189" s="92" t="str">
        <f t="shared" si="366"/>
        <v/>
      </c>
    </row>
    <row r="3190" spans="2:2" ht="12.75" customHeight="1">
      <c r="B3190" s="92" t="str">
        <f t="shared" si="366"/>
        <v/>
      </c>
    </row>
    <row r="3191" spans="2:2" ht="12.75" customHeight="1">
      <c r="B3191" s="92" t="str">
        <f t="shared" si="366"/>
        <v/>
      </c>
    </row>
    <row r="3192" spans="2:2" ht="12.75" customHeight="1">
      <c r="B3192" s="92" t="str">
        <f t="shared" si="366"/>
        <v/>
      </c>
    </row>
    <row r="3193" spans="2:2" ht="12.75" customHeight="1">
      <c r="B3193" s="92" t="str">
        <f t="shared" si="366"/>
        <v/>
      </c>
    </row>
    <row r="3194" spans="2:2" ht="12.75" customHeight="1">
      <c r="B3194" s="92" t="str">
        <f t="shared" si="366"/>
        <v/>
      </c>
    </row>
    <row r="3195" spans="2:2" ht="12.75" customHeight="1">
      <c r="B3195" s="92" t="str">
        <f t="shared" si="366"/>
        <v/>
      </c>
    </row>
    <row r="3196" spans="2:2" ht="12.75" customHeight="1">
      <c r="B3196" s="92" t="str">
        <f t="shared" si="366"/>
        <v/>
      </c>
    </row>
    <row r="3197" spans="2:2" ht="12.75" customHeight="1">
      <c r="B3197" s="92" t="str">
        <f t="shared" si="366"/>
        <v/>
      </c>
    </row>
    <row r="3198" spans="2:2" ht="12.75" customHeight="1">
      <c r="B3198" s="92" t="str">
        <f t="shared" si="366"/>
        <v/>
      </c>
    </row>
    <row r="3199" spans="2:2" ht="12.75" customHeight="1">
      <c r="B3199" s="92" t="str">
        <f t="shared" si="366"/>
        <v/>
      </c>
    </row>
    <row r="3200" spans="2:2" ht="12.75" customHeight="1">
      <c r="B3200" s="92" t="str">
        <f t="shared" si="366"/>
        <v/>
      </c>
    </row>
    <row r="3201" spans="2:2" ht="12.75" customHeight="1">
      <c r="B3201" s="92" t="str">
        <f t="shared" si="366"/>
        <v/>
      </c>
    </row>
    <row r="3202" spans="2:2" ht="12.75" customHeight="1">
      <c r="B3202" s="92" t="str">
        <f t="shared" si="366"/>
        <v/>
      </c>
    </row>
    <row r="3203" spans="2:2" ht="12.75" customHeight="1">
      <c r="B3203" s="92" t="str">
        <f t="shared" si="366"/>
        <v/>
      </c>
    </row>
    <row r="3204" spans="2:2" ht="12.75" customHeight="1">
      <c r="B3204" s="92" t="str">
        <f t="shared" si="366"/>
        <v/>
      </c>
    </row>
    <row r="3205" spans="2:2" ht="12.75" customHeight="1">
      <c r="B3205" s="92" t="str">
        <f t="shared" si="366"/>
        <v/>
      </c>
    </row>
    <row r="3206" spans="2:2" ht="12.75" customHeight="1">
      <c r="B3206" s="92" t="str">
        <f t="shared" si="366"/>
        <v/>
      </c>
    </row>
    <row r="3207" spans="2:2" ht="12.75" customHeight="1">
      <c r="B3207" s="92" t="str">
        <f t="shared" si="366"/>
        <v/>
      </c>
    </row>
    <row r="3208" spans="2:2" ht="12.75" customHeight="1">
      <c r="B3208" s="92" t="str">
        <f t="shared" si="366"/>
        <v/>
      </c>
    </row>
    <row r="3209" spans="2:2" ht="12.75" customHeight="1">
      <c r="B3209" s="92" t="str">
        <f t="shared" si="366"/>
        <v/>
      </c>
    </row>
    <row r="3210" spans="2:2" ht="12.75" customHeight="1">
      <c r="B3210" s="92" t="str">
        <f t="shared" si="366"/>
        <v/>
      </c>
    </row>
    <row r="3211" spans="2:2" ht="12.75" customHeight="1">
      <c r="B3211" s="92" t="str">
        <f t="shared" si="366"/>
        <v/>
      </c>
    </row>
    <row r="3212" spans="2:2" ht="12.75" customHeight="1">
      <c r="B3212" s="92" t="str">
        <f t="shared" si="366"/>
        <v/>
      </c>
    </row>
    <row r="3213" spans="2:2" ht="12.75" customHeight="1">
      <c r="B3213" s="92" t="str">
        <f t="shared" si="366"/>
        <v/>
      </c>
    </row>
    <row r="3214" spans="2:2" ht="12.75" customHeight="1">
      <c r="B3214" s="92" t="str">
        <f t="shared" si="366"/>
        <v/>
      </c>
    </row>
    <row r="3215" spans="2:2" ht="12.75" customHeight="1">
      <c r="B3215" s="92" t="str">
        <f t="shared" si="366"/>
        <v/>
      </c>
    </row>
    <row r="3216" spans="2:2" ht="12.75" customHeight="1">
      <c r="B3216" s="92" t="str">
        <f t="shared" si="366"/>
        <v/>
      </c>
    </row>
    <row r="3217" spans="2:2" ht="12.75" customHeight="1">
      <c r="B3217" s="92" t="str">
        <f t="shared" si="366"/>
        <v/>
      </c>
    </row>
    <row r="3218" spans="2:2" ht="12.75" customHeight="1">
      <c r="B3218" s="92" t="str">
        <f t="shared" si="366"/>
        <v/>
      </c>
    </row>
    <row r="3219" spans="2:2" ht="12.75" customHeight="1">
      <c r="B3219" s="92" t="str">
        <f t="shared" si="366"/>
        <v/>
      </c>
    </row>
    <row r="3220" spans="2:2" ht="12.75" customHeight="1">
      <c r="B3220" s="92" t="str">
        <f t="shared" si="366"/>
        <v/>
      </c>
    </row>
    <row r="3221" spans="2:2" ht="12.75" customHeight="1">
      <c r="B3221" s="92" t="str">
        <f t="shared" si="366"/>
        <v/>
      </c>
    </row>
    <row r="3222" spans="2:2" ht="12.75" customHeight="1">
      <c r="B3222" s="92" t="str">
        <f t="shared" si="366"/>
        <v/>
      </c>
    </row>
    <row r="3223" spans="2:2" ht="12.75" customHeight="1">
      <c r="B3223" s="92" t="str">
        <f t="shared" si="366"/>
        <v/>
      </c>
    </row>
    <row r="3224" spans="2:2" ht="12.75" customHeight="1">
      <c r="B3224" s="92" t="str">
        <f t="shared" si="366"/>
        <v/>
      </c>
    </row>
    <row r="3225" spans="2:2" ht="12.75" customHeight="1">
      <c r="B3225" s="92" t="str">
        <f t="shared" si="366"/>
        <v/>
      </c>
    </row>
    <row r="3226" spans="2:2" ht="12.75" customHeight="1">
      <c r="B3226" s="92" t="str">
        <f t="shared" si="366"/>
        <v/>
      </c>
    </row>
    <row r="3227" spans="2:2" ht="12.75" customHeight="1">
      <c r="B3227" s="92" t="str">
        <f t="shared" si="366"/>
        <v/>
      </c>
    </row>
    <row r="3228" spans="2:2" ht="12.75" customHeight="1">
      <c r="B3228" s="92" t="str">
        <f t="shared" si="366"/>
        <v/>
      </c>
    </row>
    <row r="3229" spans="2:2" ht="12.75" customHeight="1">
      <c r="B3229" s="92" t="str">
        <f t="shared" si="366"/>
        <v/>
      </c>
    </row>
    <row r="3230" spans="2:2" ht="12.75" customHeight="1">
      <c r="B3230" s="92" t="str">
        <f t="shared" si="366"/>
        <v/>
      </c>
    </row>
    <row r="3231" spans="2:2" ht="12.75" customHeight="1">
      <c r="B3231" s="92" t="str">
        <f t="shared" si="366"/>
        <v/>
      </c>
    </row>
    <row r="3232" spans="2:2" ht="12.75" customHeight="1">
      <c r="B3232" s="92" t="str">
        <f t="shared" si="366"/>
        <v/>
      </c>
    </row>
    <row r="3233" spans="2:2" ht="12.75" customHeight="1">
      <c r="B3233" s="92" t="str">
        <f t="shared" si="366"/>
        <v/>
      </c>
    </row>
    <row r="3234" spans="2:2" ht="12.75" customHeight="1">
      <c r="B3234" s="92" t="str">
        <f t="shared" si="366"/>
        <v/>
      </c>
    </row>
    <row r="3235" spans="2:2" ht="12.75" customHeight="1">
      <c r="B3235" s="92" t="str">
        <f t="shared" si="366"/>
        <v/>
      </c>
    </row>
    <row r="3236" spans="2:2" ht="12.75" customHeight="1">
      <c r="B3236" s="92" t="str">
        <f t="shared" si="366"/>
        <v/>
      </c>
    </row>
    <row r="3237" spans="2:2" ht="12.75" customHeight="1">
      <c r="B3237" s="92" t="str">
        <f t="shared" si="366"/>
        <v/>
      </c>
    </row>
    <row r="3238" spans="2:2" ht="12.75" customHeight="1">
      <c r="B3238" s="92" t="str">
        <f t="shared" si="366"/>
        <v/>
      </c>
    </row>
    <row r="3239" spans="2:2" ht="12.75" customHeight="1">
      <c r="B3239" s="92" t="str">
        <f t="shared" si="366"/>
        <v/>
      </c>
    </row>
    <row r="3240" spans="2:2" ht="12.75" customHeight="1">
      <c r="B3240" s="92" t="str">
        <f t="shared" si="366"/>
        <v/>
      </c>
    </row>
    <row r="3241" spans="2:2" ht="12.75" customHeight="1">
      <c r="B3241" s="92" t="str">
        <f t="shared" si="366"/>
        <v/>
      </c>
    </row>
    <row r="3242" spans="2:2" ht="12.75" customHeight="1">
      <c r="B3242" s="92" t="str">
        <f t="shared" si="366"/>
        <v/>
      </c>
    </row>
    <row r="3243" spans="2:2" ht="12.75" customHeight="1">
      <c r="B3243" s="92" t="str">
        <f t="shared" si="366"/>
        <v/>
      </c>
    </row>
    <row r="3244" spans="2:2" ht="12.75" customHeight="1">
      <c r="B3244" s="92" t="str">
        <f t="shared" si="366"/>
        <v/>
      </c>
    </row>
    <row r="3245" spans="2:2" ht="12.75" customHeight="1">
      <c r="B3245" s="92" t="str">
        <f t="shared" si="366"/>
        <v/>
      </c>
    </row>
    <row r="3246" spans="2:2" ht="12.75" customHeight="1">
      <c r="B3246" s="92" t="str">
        <f t="shared" ref="B3246:B3305" si="367">IF(C3246="","",ROW()-5)</f>
        <v/>
      </c>
    </row>
    <row r="3247" spans="2:2" ht="12.75" customHeight="1">
      <c r="B3247" s="92" t="str">
        <f t="shared" si="367"/>
        <v/>
      </c>
    </row>
    <row r="3248" spans="2:2" ht="12.75" customHeight="1">
      <c r="B3248" s="92" t="str">
        <f t="shared" si="367"/>
        <v/>
      </c>
    </row>
    <row r="3249" spans="2:2" ht="12.75" customHeight="1">
      <c r="B3249" s="92" t="str">
        <f t="shared" si="367"/>
        <v/>
      </c>
    </row>
    <row r="3250" spans="2:2" ht="12.75" customHeight="1">
      <c r="B3250" s="92" t="str">
        <f t="shared" si="367"/>
        <v/>
      </c>
    </row>
    <row r="3251" spans="2:2" ht="12.75" customHeight="1">
      <c r="B3251" s="92" t="str">
        <f t="shared" si="367"/>
        <v/>
      </c>
    </row>
    <row r="3252" spans="2:2" ht="12.75" customHeight="1">
      <c r="B3252" s="92" t="str">
        <f t="shared" si="367"/>
        <v/>
      </c>
    </row>
    <row r="3253" spans="2:2" ht="12.75" customHeight="1">
      <c r="B3253" s="92" t="str">
        <f t="shared" si="367"/>
        <v/>
      </c>
    </row>
    <row r="3254" spans="2:2" ht="12.75" customHeight="1">
      <c r="B3254" s="92" t="str">
        <f t="shared" si="367"/>
        <v/>
      </c>
    </row>
    <row r="3255" spans="2:2" ht="12.75" customHeight="1">
      <c r="B3255" s="92" t="str">
        <f t="shared" si="367"/>
        <v/>
      </c>
    </row>
    <row r="3256" spans="2:2" ht="12.75" customHeight="1">
      <c r="B3256" s="92" t="str">
        <f t="shared" si="367"/>
        <v/>
      </c>
    </row>
    <row r="3257" spans="2:2" ht="12.75" customHeight="1">
      <c r="B3257" s="92" t="str">
        <f t="shared" si="367"/>
        <v/>
      </c>
    </row>
    <row r="3258" spans="2:2" ht="12.75" customHeight="1">
      <c r="B3258" s="92" t="str">
        <f t="shared" si="367"/>
        <v/>
      </c>
    </row>
    <row r="3259" spans="2:2" ht="12.75" customHeight="1">
      <c r="B3259" s="92" t="str">
        <f t="shared" si="367"/>
        <v/>
      </c>
    </row>
    <row r="3260" spans="2:2" ht="12.75" customHeight="1">
      <c r="B3260" s="92" t="str">
        <f t="shared" si="367"/>
        <v/>
      </c>
    </row>
    <row r="3261" spans="2:2" ht="12.75" customHeight="1">
      <c r="B3261" s="92" t="str">
        <f t="shared" si="367"/>
        <v/>
      </c>
    </row>
    <row r="3262" spans="2:2" ht="12.75" customHeight="1">
      <c r="B3262" s="92" t="str">
        <f t="shared" si="367"/>
        <v/>
      </c>
    </row>
    <row r="3263" spans="2:2" ht="12.75" customHeight="1">
      <c r="B3263" s="92" t="str">
        <f t="shared" si="367"/>
        <v/>
      </c>
    </row>
    <row r="3264" spans="2:2" ht="12.75" customHeight="1">
      <c r="B3264" s="92" t="str">
        <f t="shared" si="367"/>
        <v/>
      </c>
    </row>
    <row r="3265" spans="2:2" ht="12.75" customHeight="1">
      <c r="B3265" s="92" t="str">
        <f t="shared" si="367"/>
        <v/>
      </c>
    </row>
    <row r="3266" spans="2:2" ht="12.75" customHeight="1">
      <c r="B3266" s="92" t="str">
        <f t="shared" si="367"/>
        <v/>
      </c>
    </row>
    <row r="3267" spans="2:2" ht="12.75" customHeight="1">
      <c r="B3267" s="92" t="str">
        <f t="shared" si="367"/>
        <v/>
      </c>
    </row>
    <row r="3268" spans="2:2" ht="12.75" customHeight="1">
      <c r="B3268" s="92" t="str">
        <f t="shared" si="367"/>
        <v/>
      </c>
    </row>
    <row r="3269" spans="2:2" ht="12.75" customHeight="1">
      <c r="B3269" s="92" t="str">
        <f t="shared" si="367"/>
        <v/>
      </c>
    </row>
    <row r="3270" spans="2:2" ht="12.75" customHeight="1">
      <c r="B3270" s="92" t="str">
        <f t="shared" si="367"/>
        <v/>
      </c>
    </row>
    <row r="3271" spans="2:2" ht="12.75" customHeight="1">
      <c r="B3271" s="92" t="str">
        <f t="shared" si="367"/>
        <v/>
      </c>
    </row>
    <row r="3272" spans="2:2" ht="12.75" customHeight="1">
      <c r="B3272" s="92" t="str">
        <f t="shared" si="367"/>
        <v/>
      </c>
    </row>
    <row r="3273" spans="2:2" ht="12.75" customHeight="1">
      <c r="B3273" s="92" t="str">
        <f t="shared" si="367"/>
        <v/>
      </c>
    </row>
    <row r="3274" spans="2:2" ht="12.75" customHeight="1">
      <c r="B3274" s="92" t="str">
        <f t="shared" si="367"/>
        <v/>
      </c>
    </row>
    <row r="3275" spans="2:2" ht="12.75" customHeight="1">
      <c r="B3275" s="92" t="str">
        <f t="shared" si="367"/>
        <v/>
      </c>
    </row>
    <row r="3276" spans="2:2" ht="12.75" customHeight="1">
      <c r="B3276" s="92" t="str">
        <f t="shared" si="367"/>
        <v/>
      </c>
    </row>
    <row r="3277" spans="2:2" ht="12.75" customHeight="1">
      <c r="B3277" s="92" t="str">
        <f t="shared" si="367"/>
        <v/>
      </c>
    </row>
    <row r="3278" spans="2:2" ht="12.75" customHeight="1">
      <c r="B3278" s="92" t="str">
        <f t="shared" si="367"/>
        <v/>
      </c>
    </row>
    <row r="3279" spans="2:2" ht="12.75" customHeight="1">
      <c r="B3279" s="92" t="str">
        <f t="shared" si="367"/>
        <v/>
      </c>
    </row>
    <row r="3280" spans="2:2" ht="12.75" customHeight="1">
      <c r="B3280" s="92" t="str">
        <f t="shared" si="367"/>
        <v/>
      </c>
    </row>
    <row r="3281" spans="2:2" ht="12.75" customHeight="1">
      <c r="B3281" s="92" t="str">
        <f t="shared" si="367"/>
        <v/>
      </c>
    </row>
    <row r="3282" spans="2:2" ht="12.75" customHeight="1">
      <c r="B3282" s="92" t="str">
        <f t="shared" si="367"/>
        <v/>
      </c>
    </row>
    <row r="3283" spans="2:2" ht="12.75" customHeight="1">
      <c r="B3283" s="92" t="str">
        <f t="shared" si="367"/>
        <v/>
      </c>
    </row>
    <row r="3284" spans="2:2" ht="12.75" customHeight="1">
      <c r="B3284" s="92" t="str">
        <f t="shared" si="367"/>
        <v/>
      </c>
    </row>
    <row r="3285" spans="2:2" ht="12.75" customHeight="1">
      <c r="B3285" s="92" t="str">
        <f t="shared" si="367"/>
        <v/>
      </c>
    </row>
    <row r="3286" spans="2:2" ht="12.75" customHeight="1">
      <c r="B3286" s="92" t="str">
        <f t="shared" si="367"/>
        <v/>
      </c>
    </row>
    <row r="3287" spans="2:2" ht="12.75" customHeight="1">
      <c r="B3287" s="92" t="str">
        <f t="shared" si="367"/>
        <v/>
      </c>
    </row>
    <row r="3288" spans="2:2" ht="12.75" customHeight="1">
      <c r="B3288" s="92" t="str">
        <f t="shared" si="367"/>
        <v/>
      </c>
    </row>
    <row r="3289" spans="2:2" ht="12.75" customHeight="1">
      <c r="B3289" s="92" t="str">
        <f t="shared" si="367"/>
        <v/>
      </c>
    </row>
    <row r="3290" spans="2:2" ht="12.75" customHeight="1">
      <c r="B3290" s="92" t="str">
        <f t="shared" si="367"/>
        <v/>
      </c>
    </row>
    <row r="3291" spans="2:2" ht="12.75" customHeight="1">
      <c r="B3291" s="92" t="str">
        <f t="shared" si="367"/>
        <v/>
      </c>
    </row>
    <row r="3292" spans="2:2" ht="12.75" customHeight="1">
      <c r="B3292" s="92" t="str">
        <f t="shared" si="367"/>
        <v/>
      </c>
    </row>
    <row r="3293" spans="2:2" ht="12.75" customHeight="1">
      <c r="B3293" s="92" t="str">
        <f t="shared" si="367"/>
        <v/>
      </c>
    </row>
    <row r="3294" spans="2:2" ht="12.75" customHeight="1">
      <c r="B3294" s="92" t="str">
        <f t="shared" si="367"/>
        <v/>
      </c>
    </row>
    <row r="3295" spans="2:2" ht="12.75" customHeight="1">
      <c r="B3295" s="92" t="str">
        <f t="shared" si="367"/>
        <v/>
      </c>
    </row>
    <row r="3296" spans="2:2" ht="12.75" customHeight="1">
      <c r="B3296" s="92" t="str">
        <f t="shared" si="367"/>
        <v/>
      </c>
    </row>
    <row r="3297" spans="2:6" ht="12.75" customHeight="1">
      <c r="B3297" s="92" t="str">
        <f t="shared" si="367"/>
        <v/>
      </c>
    </row>
    <row r="3298" spans="2:6" ht="12.75" customHeight="1">
      <c r="B3298" s="92" t="str">
        <f t="shared" si="367"/>
        <v/>
      </c>
    </row>
    <row r="3299" spans="2:6" ht="12.75" customHeight="1">
      <c r="B3299" s="92" t="str">
        <f t="shared" si="367"/>
        <v/>
      </c>
    </row>
    <row r="3300" spans="2:6" ht="12.75" customHeight="1">
      <c r="B3300" s="92" t="str">
        <f t="shared" si="367"/>
        <v/>
      </c>
    </row>
    <row r="3301" spans="2:6" ht="12.75" customHeight="1">
      <c r="B3301" s="92" t="str">
        <f t="shared" si="367"/>
        <v/>
      </c>
    </row>
    <row r="3302" spans="2:6" ht="12.75" customHeight="1">
      <c r="B3302" s="92" t="str">
        <f t="shared" si="367"/>
        <v/>
      </c>
    </row>
    <row r="3303" spans="2:6" ht="12.75" customHeight="1">
      <c r="B3303" s="92" t="str">
        <f t="shared" si="367"/>
        <v/>
      </c>
    </row>
    <row r="3304" spans="2:6" ht="12.75" customHeight="1">
      <c r="B3304" s="92" t="str">
        <f t="shared" si="367"/>
        <v/>
      </c>
    </row>
    <row r="3305" spans="2:6">
      <c r="B3305" s="92" t="str">
        <f t="shared" si="367"/>
        <v/>
      </c>
      <c r="E3305" s="328"/>
      <c r="F3305" s="327"/>
    </row>
  </sheetData>
  <autoFilter ref="A5:AJ3305">
    <filterColumn colId="2"/>
    <filterColumn colId="18"/>
  </autoFilter>
  <sortState ref="B6:X62">
    <sortCondition ref="C6:C62"/>
  </sortState>
  <mergeCells count="9">
    <mergeCell ref="AF6:AG6"/>
    <mergeCell ref="G4:K4"/>
    <mergeCell ref="L4:R4"/>
    <mergeCell ref="U4:U5"/>
    <mergeCell ref="V4:V5"/>
    <mergeCell ref="T4:T5"/>
    <mergeCell ref="S4:S5"/>
    <mergeCell ref="W4:W5"/>
    <mergeCell ref="X4:X5"/>
  </mergeCells>
  <conditionalFormatting sqref="A6:A20 I886:K1799">
    <cfRule type="expression" dxfId="10858" priority="10486" stopIfTrue="1">
      <formula>$B6&lt;&gt;""</formula>
    </cfRule>
  </conditionalFormatting>
  <conditionalFormatting sqref="I886:K1799 A886:V1718 W886:W913 W16:W21 W6:X17 S141:S148 A6:A885 D6:D885 G6:H885 X6:X885 L6:M885">
    <cfRule type="expression" dxfId="10857" priority="10429" stopIfTrue="1">
      <formula>$C6&lt;&gt;""</formula>
    </cfRule>
  </conditionalFormatting>
  <conditionalFormatting sqref="A886:V3303 W886:W913 S141:S148 A6:A885 D6:D885 G6:H885 L6:M885">
    <cfRule type="expression" dxfId="10856" priority="10426" stopIfTrue="1">
      <formula>$B6&lt;&gt;""</formula>
    </cfRule>
  </conditionalFormatting>
  <conditionalFormatting sqref="W6:W11">
    <cfRule type="expression" dxfId="10855" priority="10419">
      <formula>$C6&lt;&gt;""</formula>
    </cfRule>
  </conditionalFormatting>
  <conditionalFormatting sqref="W6:W11">
    <cfRule type="expression" dxfId="10854" priority="10416">
      <formula>$C6&lt;&gt;""</formula>
    </cfRule>
    <cfRule type="expression" priority="10417">
      <formula>$C6&lt;&gt;""</formula>
    </cfRule>
  </conditionalFormatting>
  <conditionalFormatting sqref="W6:W11">
    <cfRule type="expression" dxfId="10853" priority="10415">
      <formula>X6&lt;&gt;""</formula>
    </cfRule>
  </conditionalFormatting>
  <conditionalFormatting sqref="W6:W11">
    <cfRule type="expression" dxfId="10852" priority="10414">
      <formula>$C6&lt;&gt;""</formula>
    </cfRule>
  </conditionalFormatting>
  <conditionalFormatting sqref="W6:W11">
    <cfRule type="expression" dxfId="10851" priority="10398">
      <formula>$C6&lt;&gt;""</formula>
    </cfRule>
  </conditionalFormatting>
  <conditionalFormatting sqref="W6:W11">
    <cfRule type="expression" dxfId="10850" priority="10395">
      <formula>$C6&lt;&gt;""</formula>
    </cfRule>
    <cfRule type="expression" priority="10396">
      <formula>$C6&lt;&gt;""</formula>
    </cfRule>
  </conditionalFormatting>
  <conditionalFormatting sqref="W6:W11">
    <cfRule type="expression" dxfId="10849" priority="10394">
      <formula>X6&lt;&gt;""</formula>
    </cfRule>
  </conditionalFormatting>
  <conditionalFormatting sqref="W6:W11">
    <cfRule type="expression" dxfId="10848" priority="10393">
      <formula>$C6&lt;&gt;""</formula>
    </cfRule>
  </conditionalFormatting>
  <conditionalFormatting sqref="W19:W21">
    <cfRule type="expression" dxfId="10847" priority="10348">
      <formula>$C19&lt;&gt;""</formula>
    </cfRule>
  </conditionalFormatting>
  <conditionalFormatting sqref="E3305">
    <cfRule type="expression" dxfId="10846" priority="10165">
      <formula>$C3305&lt;&gt;""</formula>
    </cfRule>
  </conditionalFormatting>
  <conditionalFormatting sqref="E3305">
    <cfRule type="expression" dxfId="10845" priority="10164">
      <formula>$B3305&lt;&gt;""</formula>
    </cfRule>
  </conditionalFormatting>
  <conditionalFormatting sqref="F3305">
    <cfRule type="expression" dxfId="10844" priority="10162">
      <formula>$C3305&lt;&gt;""</formula>
    </cfRule>
  </conditionalFormatting>
  <conditionalFormatting sqref="F3305">
    <cfRule type="expression" dxfId="10843" priority="10161">
      <formula>$B3305&lt;&gt;""</formula>
    </cfRule>
  </conditionalFormatting>
  <conditionalFormatting sqref="B3305">
    <cfRule type="expression" dxfId="10842" priority="10160">
      <formula>$C3305&lt;&gt;""</formula>
    </cfRule>
  </conditionalFormatting>
  <conditionalFormatting sqref="B3305">
    <cfRule type="expression" dxfId="10841" priority="10159">
      <formula>$B3305&lt;&gt;""</formula>
    </cfRule>
  </conditionalFormatting>
  <conditionalFormatting sqref="T26:T30">
    <cfRule type="expression" dxfId="10840" priority="10147" stopIfTrue="1">
      <formula>$B26&lt;&gt;""</formula>
    </cfRule>
  </conditionalFormatting>
  <conditionalFormatting sqref="T26:V30 V22:V26">
    <cfRule type="expression" dxfId="10839" priority="10146" stopIfTrue="1">
      <formula>$C22&lt;&gt;""</formula>
    </cfRule>
  </conditionalFormatting>
  <conditionalFormatting sqref="T26:V30 V22:V26">
    <cfRule type="expression" dxfId="10838" priority="10145" stopIfTrue="1">
      <formula>$B22&lt;&gt;""</formula>
    </cfRule>
  </conditionalFormatting>
  <conditionalFormatting sqref="S24:S29 S35">
    <cfRule type="expression" dxfId="10837" priority="10144" stopIfTrue="1">
      <formula>$C24&lt;&gt;""</formula>
    </cfRule>
  </conditionalFormatting>
  <conditionalFormatting sqref="S24:S29 S35">
    <cfRule type="expression" dxfId="10836" priority="10143" stopIfTrue="1">
      <formula>$B24&lt;&gt;""</formula>
    </cfRule>
  </conditionalFormatting>
  <conditionalFormatting sqref="S36">
    <cfRule type="expression" dxfId="10835" priority="10142" stopIfTrue="1">
      <formula>$C36&lt;&gt;""</formula>
    </cfRule>
  </conditionalFormatting>
  <conditionalFormatting sqref="S36">
    <cfRule type="expression" dxfId="10834" priority="10141" stopIfTrue="1">
      <formula>$B36&lt;&gt;""</formula>
    </cfRule>
  </conditionalFormatting>
  <conditionalFormatting sqref="S42:S45">
    <cfRule type="expression" dxfId="10833" priority="10140" stopIfTrue="1">
      <formula>$C42&lt;&gt;""</formula>
    </cfRule>
  </conditionalFormatting>
  <conditionalFormatting sqref="S42:S45">
    <cfRule type="expression" dxfId="10832" priority="10139" stopIfTrue="1">
      <formula>$B42&lt;&gt;""</formula>
    </cfRule>
  </conditionalFormatting>
  <conditionalFormatting sqref="S46:S50">
    <cfRule type="expression" dxfId="10831" priority="10138" stopIfTrue="1">
      <formula>$C46&lt;&gt;""</formula>
    </cfRule>
  </conditionalFormatting>
  <conditionalFormatting sqref="S46:S50">
    <cfRule type="expression" dxfId="10830" priority="10137" stopIfTrue="1">
      <formula>$B46&lt;&gt;""</formula>
    </cfRule>
  </conditionalFormatting>
  <conditionalFormatting sqref="S51:S57">
    <cfRule type="expression" dxfId="10829" priority="10135" stopIfTrue="1">
      <formula>$B51&lt;&gt;""</formula>
    </cfRule>
  </conditionalFormatting>
  <conditionalFormatting sqref="S51:S57">
    <cfRule type="expression" dxfId="10828" priority="10136" stopIfTrue="1">
      <formula>$C51&lt;&gt;""</formula>
    </cfRule>
  </conditionalFormatting>
  <conditionalFormatting sqref="S58:S62">
    <cfRule type="expression" dxfId="10827" priority="10134" stopIfTrue="1">
      <formula>$B58&lt;&gt;""</formula>
    </cfRule>
  </conditionalFormatting>
  <conditionalFormatting sqref="S58:S62">
    <cfRule type="expression" dxfId="10826" priority="10133" stopIfTrue="1">
      <formula>$C58&lt;&gt;""</formula>
    </cfRule>
  </conditionalFormatting>
  <conditionalFormatting sqref="S63:S67">
    <cfRule type="expression" dxfId="10825" priority="10132" stopIfTrue="1">
      <formula>$B63&lt;&gt;""</formula>
    </cfRule>
  </conditionalFormatting>
  <conditionalFormatting sqref="S63:S67">
    <cfRule type="expression" dxfId="10824" priority="10131" stopIfTrue="1">
      <formula>$C63&lt;&gt;""</formula>
    </cfRule>
  </conditionalFormatting>
  <conditionalFormatting sqref="S68:S72">
    <cfRule type="expression" dxfId="10823" priority="10130" stopIfTrue="1">
      <formula>$B68&lt;&gt;""</formula>
    </cfRule>
  </conditionalFormatting>
  <conditionalFormatting sqref="S68:S72">
    <cfRule type="expression" dxfId="10822" priority="10129" stopIfTrue="1">
      <formula>$C68&lt;&gt;""</formula>
    </cfRule>
  </conditionalFormatting>
  <conditionalFormatting sqref="S73:S77">
    <cfRule type="expression" dxfId="10821" priority="10128" stopIfTrue="1">
      <formula>$B73&lt;&gt;""</formula>
    </cfRule>
  </conditionalFormatting>
  <conditionalFormatting sqref="S73:S77">
    <cfRule type="expression" dxfId="10820" priority="10127" stopIfTrue="1">
      <formula>$C73&lt;&gt;""</formula>
    </cfRule>
  </conditionalFormatting>
  <conditionalFormatting sqref="S78:S82">
    <cfRule type="expression" dxfId="10819" priority="10126" stopIfTrue="1">
      <formula>$B78&lt;&gt;""</formula>
    </cfRule>
  </conditionalFormatting>
  <conditionalFormatting sqref="S78:S82">
    <cfRule type="expression" dxfId="10818" priority="10125" stopIfTrue="1">
      <formula>$C78&lt;&gt;""</formula>
    </cfRule>
  </conditionalFormatting>
  <conditionalFormatting sqref="S83:S87">
    <cfRule type="expression" dxfId="10817" priority="10124" stopIfTrue="1">
      <formula>$B83&lt;&gt;""</formula>
    </cfRule>
  </conditionalFormatting>
  <conditionalFormatting sqref="S83:S87">
    <cfRule type="expression" dxfId="10816" priority="10123" stopIfTrue="1">
      <formula>$C83&lt;&gt;""</formula>
    </cfRule>
  </conditionalFormatting>
  <conditionalFormatting sqref="S118:S122">
    <cfRule type="expression" dxfId="10815" priority="10122" stopIfTrue="1">
      <formula>$B118&lt;&gt;""</formula>
    </cfRule>
  </conditionalFormatting>
  <conditionalFormatting sqref="S118:S122">
    <cfRule type="expression" dxfId="10814" priority="10121" stopIfTrue="1">
      <formula>$C118&lt;&gt;""</formula>
    </cfRule>
  </conditionalFormatting>
  <conditionalFormatting sqref="S94:S98">
    <cfRule type="expression" dxfId="10813" priority="10120" stopIfTrue="1">
      <formula>$B94&lt;&gt;""</formula>
    </cfRule>
  </conditionalFormatting>
  <conditionalFormatting sqref="S94:S98">
    <cfRule type="expression" dxfId="10812" priority="10119" stopIfTrue="1">
      <formula>$C94&lt;&gt;""</formula>
    </cfRule>
  </conditionalFormatting>
  <conditionalFormatting sqref="S99:S103">
    <cfRule type="expression" dxfId="10811" priority="10118" stopIfTrue="1">
      <formula>$B99&lt;&gt;""</formula>
    </cfRule>
  </conditionalFormatting>
  <conditionalFormatting sqref="S99:S103">
    <cfRule type="expression" dxfId="10810" priority="10117" stopIfTrue="1">
      <formula>$C99&lt;&gt;""</formula>
    </cfRule>
  </conditionalFormatting>
  <conditionalFormatting sqref="S104:S108">
    <cfRule type="expression" dxfId="10809" priority="10116" stopIfTrue="1">
      <formula>$B104&lt;&gt;""</formula>
    </cfRule>
  </conditionalFormatting>
  <conditionalFormatting sqref="S104:S108">
    <cfRule type="expression" dxfId="10808" priority="10115" stopIfTrue="1">
      <formula>$C104&lt;&gt;""</formula>
    </cfRule>
  </conditionalFormatting>
  <conditionalFormatting sqref="S126:S130">
    <cfRule type="expression" dxfId="10807" priority="10114" stopIfTrue="1">
      <formula>$B126&lt;&gt;""</formula>
    </cfRule>
  </conditionalFormatting>
  <conditionalFormatting sqref="S126:S130">
    <cfRule type="expression" dxfId="10806" priority="10113" stopIfTrue="1">
      <formula>$C126&lt;&gt;""</formula>
    </cfRule>
  </conditionalFormatting>
  <conditionalFormatting sqref="S131:S135">
    <cfRule type="expression" dxfId="10805" priority="10112" stopIfTrue="1">
      <formula>$B131&lt;&gt;""</formula>
    </cfRule>
  </conditionalFormatting>
  <conditionalFormatting sqref="S131:S135">
    <cfRule type="expression" dxfId="10804" priority="10111" stopIfTrue="1">
      <formula>$C131&lt;&gt;""</formula>
    </cfRule>
  </conditionalFormatting>
  <conditionalFormatting sqref="S136:S140">
    <cfRule type="expression" dxfId="10803" priority="10110" stopIfTrue="1">
      <formula>$B136&lt;&gt;""</formula>
    </cfRule>
  </conditionalFormatting>
  <conditionalFormatting sqref="S136:S140">
    <cfRule type="expression" dxfId="10802" priority="10109" stopIfTrue="1">
      <formula>$C136&lt;&gt;""</formula>
    </cfRule>
  </conditionalFormatting>
  <conditionalFormatting sqref="S149:S153">
    <cfRule type="expression" dxfId="10801" priority="10104" stopIfTrue="1">
      <formula>$B149&lt;&gt;""</formula>
    </cfRule>
  </conditionalFormatting>
  <conditionalFormatting sqref="S149:S153">
    <cfRule type="expression" dxfId="10800" priority="10103" stopIfTrue="1">
      <formula>$C149&lt;&gt;""</formula>
    </cfRule>
  </conditionalFormatting>
  <conditionalFormatting sqref="S171:S175">
    <cfRule type="expression" dxfId="10799" priority="10102" stopIfTrue="1">
      <formula>$B171&lt;&gt;""</formula>
    </cfRule>
  </conditionalFormatting>
  <conditionalFormatting sqref="S171:S175">
    <cfRule type="expression" dxfId="10798" priority="10101" stopIfTrue="1">
      <formula>$C171&lt;&gt;""</formula>
    </cfRule>
  </conditionalFormatting>
  <conditionalFormatting sqref="S160:S164">
    <cfRule type="expression" dxfId="10797" priority="10100" stopIfTrue="1">
      <formula>$B160&lt;&gt;""</formula>
    </cfRule>
  </conditionalFormatting>
  <conditionalFormatting sqref="S160:S164">
    <cfRule type="expression" dxfId="10796" priority="10099" stopIfTrue="1">
      <formula>$C160&lt;&gt;""</formula>
    </cfRule>
  </conditionalFormatting>
  <conditionalFormatting sqref="S182:S187">
    <cfRule type="expression" dxfId="10795" priority="10098" stopIfTrue="1">
      <formula>$B182&lt;&gt;""</formula>
    </cfRule>
  </conditionalFormatting>
  <conditionalFormatting sqref="S182:S187">
    <cfRule type="expression" dxfId="10794" priority="10097" stopIfTrue="1">
      <formula>$C182&lt;&gt;""</formula>
    </cfRule>
  </conditionalFormatting>
  <conditionalFormatting sqref="S188:S192">
    <cfRule type="expression" dxfId="10793" priority="10096" stopIfTrue="1">
      <formula>$B188&lt;&gt;""</formula>
    </cfRule>
  </conditionalFormatting>
  <conditionalFormatting sqref="S188:S192">
    <cfRule type="expression" dxfId="10792" priority="10095" stopIfTrue="1">
      <formula>$C188&lt;&gt;""</formula>
    </cfRule>
  </conditionalFormatting>
  <conditionalFormatting sqref="S193:S197">
    <cfRule type="expression" dxfId="10791" priority="10094" stopIfTrue="1">
      <formula>$B193&lt;&gt;""</formula>
    </cfRule>
  </conditionalFormatting>
  <conditionalFormatting sqref="S193:S197">
    <cfRule type="expression" dxfId="10790" priority="10093" stopIfTrue="1">
      <formula>$C193&lt;&gt;""</formula>
    </cfRule>
  </conditionalFormatting>
  <conditionalFormatting sqref="S198:S202">
    <cfRule type="expression" dxfId="10789" priority="10092" stopIfTrue="1">
      <formula>$B198&lt;&gt;""</formula>
    </cfRule>
  </conditionalFormatting>
  <conditionalFormatting sqref="S198:S202">
    <cfRule type="expression" dxfId="10788" priority="10091" stopIfTrue="1">
      <formula>$C198&lt;&gt;""</formula>
    </cfRule>
  </conditionalFormatting>
  <conditionalFormatting sqref="S203:S207">
    <cfRule type="expression" dxfId="10787" priority="10090" stopIfTrue="1">
      <formula>$B203&lt;&gt;""</formula>
    </cfRule>
  </conditionalFormatting>
  <conditionalFormatting sqref="S203:S207">
    <cfRule type="expression" dxfId="10786" priority="10089" stopIfTrue="1">
      <formula>$C203&lt;&gt;""</formula>
    </cfRule>
  </conditionalFormatting>
  <conditionalFormatting sqref="S208:S212">
    <cfRule type="expression" dxfId="10785" priority="10088" stopIfTrue="1">
      <formula>$B208&lt;&gt;""</formula>
    </cfRule>
  </conditionalFormatting>
  <conditionalFormatting sqref="S208:S212">
    <cfRule type="expression" dxfId="10784" priority="10087" stopIfTrue="1">
      <formula>$C208&lt;&gt;""</formula>
    </cfRule>
  </conditionalFormatting>
  <conditionalFormatting sqref="S213:S218">
    <cfRule type="expression" dxfId="10783" priority="10086" stopIfTrue="1">
      <formula>$B213&lt;&gt;""</formula>
    </cfRule>
  </conditionalFormatting>
  <conditionalFormatting sqref="S213:S218">
    <cfRule type="expression" dxfId="10782" priority="10085" stopIfTrue="1">
      <formula>$C213&lt;&gt;""</formula>
    </cfRule>
  </conditionalFormatting>
  <conditionalFormatting sqref="S219:S230">
    <cfRule type="expression" dxfId="10781" priority="10084" stopIfTrue="1">
      <formula>$B219&lt;&gt;""</formula>
    </cfRule>
  </conditionalFormatting>
  <conditionalFormatting sqref="S219:S230">
    <cfRule type="expression" dxfId="10780" priority="10083" stopIfTrue="1">
      <formula>$C219&lt;&gt;""</formula>
    </cfRule>
  </conditionalFormatting>
  <conditionalFormatting sqref="S231:S235">
    <cfRule type="expression" dxfId="10779" priority="10082" stopIfTrue="1">
      <formula>$B231&lt;&gt;""</formula>
    </cfRule>
  </conditionalFormatting>
  <conditionalFormatting sqref="S231:S235">
    <cfRule type="expression" dxfId="10778" priority="10081" stopIfTrue="1">
      <formula>$C231&lt;&gt;""</formula>
    </cfRule>
  </conditionalFormatting>
  <conditionalFormatting sqref="S236:S240">
    <cfRule type="expression" dxfId="10777" priority="10080" stopIfTrue="1">
      <formula>$B236&lt;&gt;""</formula>
    </cfRule>
  </conditionalFormatting>
  <conditionalFormatting sqref="S236:S240">
    <cfRule type="expression" dxfId="10776" priority="10079" stopIfTrue="1">
      <formula>$C236&lt;&gt;""</formula>
    </cfRule>
  </conditionalFormatting>
  <conditionalFormatting sqref="S241:S245">
    <cfRule type="expression" dxfId="10775" priority="10078" stopIfTrue="1">
      <formula>$B241&lt;&gt;""</formula>
    </cfRule>
  </conditionalFormatting>
  <conditionalFormatting sqref="S241:S245">
    <cfRule type="expression" dxfId="10774" priority="10077" stopIfTrue="1">
      <formula>$C241&lt;&gt;""</formula>
    </cfRule>
  </conditionalFormatting>
  <conditionalFormatting sqref="S246:S250">
    <cfRule type="expression" dxfId="10773" priority="10076" stopIfTrue="1">
      <formula>$B246&lt;&gt;""</formula>
    </cfRule>
  </conditionalFormatting>
  <conditionalFormatting sqref="S246:S250">
    <cfRule type="expression" dxfId="10772" priority="10075" stopIfTrue="1">
      <formula>$C246&lt;&gt;""</formula>
    </cfRule>
  </conditionalFormatting>
  <conditionalFormatting sqref="S251:S255">
    <cfRule type="expression" dxfId="10771" priority="10074" stopIfTrue="1">
      <formula>$B251&lt;&gt;""</formula>
    </cfRule>
  </conditionalFormatting>
  <conditionalFormatting sqref="S251:S255">
    <cfRule type="expression" dxfId="10770" priority="10073" stopIfTrue="1">
      <formula>$C251&lt;&gt;""</formula>
    </cfRule>
  </conditionalFormatting>
  <conditionalFormatting sqref="S256:S260">
    <cfRule type="expression" dxfId="10769" priority="10072" stopIfTrue="1">
      <formula>$B256&lt;&gt;""</formula>
    </cfRule>
  </conditionalFormatting>
  <conditionalFormatting sqref="S256:S260">
    <cfRule type="expression" dxfId="10768" priority="10071" stopIfTrue="1">
      <formula>$C256&lt;&gt;""</formula>
    </cfRule>
  </conditionalFormatting>
  <conditionalFormatting sqref="S261:S265">
    <cfRule type="expression" dxfId="10767" priority="10070" stopIfTrue="1">
      <formula>$B261&lt;&gt;""</formula>
    </cfRule>
  </conditionalFormatting>
  <conditionalFormatting sqref="S261:S265">
    <cfRule type="expression" dxfId="10766" priority="10069" stopIfTrue="1">
      <formula>$C261&lt;&gt;""</formula>
    </cfRule>
  </conditionalFormatting>
  <conditionalFormatting sqref="S266:S270">
    <cfRule type="expression" dxfId="10765" priority="10068" stopIfTrue="1">
      <formula>$B266&lt;&gt;""</formula>
    </cfRule>
  </conditionalFormatting>
  <conditionalFormatting sqref="S266:S270">
    <cfRule type="expression" dxfId="10764" priority="10067" stopIfTrue="1">
      <formula>$C266&lt;&gt;""</formula>
    </cfRule>
  </conditionalFormatting>
  <conditionalFormatting sqref="S271:S275">
    <cfRule type="expression" dxfId="10763" priority="10066" stopIfTrue="1">
      <formula>$B271&lt;&gt;""</formula>
    </cfRule>
  </conditionalFormatting>
  <conditionalFormatting sqref="S271:S275">
    <cfRule type="expression" dxfId="10762" priority="10065" stopIfTrue="1">
      <formula>$C271&lt;&gt;""</formula>
    </cfRule>
  </conditionalFormatting>
  <conditionalFormatting sqref="S276">
    <cfRule type="expression" dxfId="10761" priority="10064" stopIfTrue="1">
      <formula>$B276&lt;&gt;""</formula>
    </cfRule>
  </conditionalFormatting>
  <conditionalFormatting sqref="S276">
    <cfRule type="expression" dxfId="10760" priority="10063" stopIfTrue="1">
      <formula>$C276&lt;&gt;""</formula>
    </cfRule>
  </conditionalFormatting>
  <conditionalFormatting sqref="D6:D20">
    <cfRule type="expression" dxfId="10759" priority="10047" stopIfTrue="1">
      <formula>$B6&lt;&gt;""</formula>
    </cfRule>
  </conditionalFormatting>
  <conditionalFormatting sqref="G6:G20">
    <cfRule type="expression" dxfId="10758" priority="10036" stopIfTrue="1">
      <formula>$B6&lt;&gt;""</formula>
    </cfRule>
  </conditionalFormatting>
  <conditionalFormatting sqref="H6:H20">
    <cfRule type="expression" dxfId="10757" priority="10025" stopIfTrue="1">
      <formula>$B6&lt;&gt;""</formula>
    </cfRule>
  </conditionalFormatting>
  <conditionalFormatting sqref="L6:L20">
    <cfRule type="expression" dxfId="10756" priority="10014" stopIfTrue="1">
      <formula>$B6&lt;&gt;""</formula>
    </cfRule>
  </conditionalFormatting>
  <conditionalFormatting sqref="M6:M20">
    <cfRule type="expression" dxfId="10755" priority="10003" stopIfTrue="1">
      <formula>$B6&lt;&gt;""</formula>
    </cfRule>
  </conditionalFormatting>
  <conditionalFormatting sqref="W26:W34">
    <cfRule type="expression" dxfId="10754" priority="9999" stopIfTrue="1">
      <formula>$C26&lt;&gt;""</formula>
    </cfRule>
  </conditionalFormatting>
  <conditionalFormatting sqref="W26:W34">
    <cfRule type="expression" dxfId="10753" priority="9998" stopIfTrue="1">
      <formula>$B26&lt;&gt;""</formula>
    </cfRule>
  </conditionalFormatting>
  <conditionalFormatting sqref="S48:S50">
    <cfRule type="expression" dxfId="10752" priority="9989" stopIfTrue="1">
      <formula>$C48&lt;&gt;""</formula>
    </cfRule>
  </conditionalFormatting>
  <conditionalFormatting sqref="S48:S50">
    <cfRule type="expression" dxfId="10751" priority="9988" stopIfTrue="1">
      <formula>$B48&lt;&gt;""</formula>
    </cfRule>
  </conditionalFormatting>
  <conditionalFormatting sqref="S51">
    <cfRule type="expression" dxfId="10750" priority="9987" stopIfTrue="1">
      <formula>$C51&lt;&gt;""</formula>
    </cfRule>
  </conditionalFormatting>
  <conditionalFormatting sqref="S51">
    <cfRule type="expression" dxfId="10749" priority="9986" stopIfTrue="1">
      <formula>$B51&lt;&gt;""</formula>
    </cfRule>
  </conditionalFormatting>
  <conditionalFormatting sqref="S58:S61">
    <cfRule type="expression" dxfId="10748" priority="9985" stopIfTrue="1">
      <formula>$C58&lt;&gt;""</formula>
    </cfRule>
  </conditionalFormatting>
  <conditionalFormatting sqref="S58:S61">
    <cfRule type="expression" dxfId="10747" priority="9984" stopIfTrue="1">
      <formula>$B58&lt;&gt;""</formula>
    </cfRule>
  </conditionalFormatting>
  <conditionalFormatting sqref="S62">
    <cfRule type="expression" dxfId="10746" priority="9983" stopIfTrue="1">
      <formula>$B62&lt;&gt;""</formula>
    </cfRule>
  </conditionalFormatting>
  <conditionalFormatting sqref="S62">
    <cfRule type="expression" dxfId="10745" priority="9982" stopIfTrue="1">
      <formula>$C62&lt;&gt;""</formula>
    </cfRule>
  </conditionalFormatting>
  <conditionalFormatting sqref="S59:S61">
    <cfRule type="expression" dxfId="10744" priority="9981" stopIfTrue="1">
      <formula>$C59&lt;&gt;""</formula>
    </cfRule>
  </conditionalFormatting>
  <conditionalFormatting sqref="S59:S61">
    <cfRule type="expression" dxfId="10743" priority="9980" stopIfTrue="1">
      <formula>$B59&lt;&gt;""</formula>
    </cfRule>
  </conditionalFormatting>
  <conditionalFormatting sqref="S62">
    <cfRule type="expression" dxfId="10742" priority="9979" stopIfTrue="1">
      <formula>$C62&lt;&gt;""</formula>
    </cfRule>
  </conditionalFormatting>
  <conditionalFormatting sqref="S62">
    <cfRule type="expression" dxfId="10741" priority="9978" stopIfTrue="1">
      <formula>$B62&lt;&gt;""</formula>
    </cfRule>
  </conditionalFormatting>
  <conditionalFormatting sqref="S78:S80">
    <cfRule type="expression" dxfId="10740" priority="9977" stopIfTrue="1">
      <formula>$B78&lt;&gt;""</formula>
    </cfRule>
  </conditionalFormatting>
  <conditionalFormatting sqref="S78:S80">
    <cfRule type="expression" dxfId="10739" priority="9976" stopIfTrue="1">
      <formula>$C78&lt;&gt;""</formula>
    </cfRule>
  </conditionalFormatting>
  <conditionalFormatting sqref="S90">
    <cfRule type="expression" dxfId="10738" priority="9975" stopIfTrue="1">
      <formula>$C90&lt;&gt;""</formula>
    </cfRule>
  </conditionalFormatting>
  <conditionalFormatting sqref="S90">
    <cfRule type="expression" dxfId="10737" priority="9974" stopIfTrue="1">
      <formula>$B90&lt;&gt;""</formula>
    </cfRule>
  </conditionalFormatting>
  <conditionalFormatting sqref="S91:S94">
    <cfRule type="expression" dxfId="10736" priority="9973" stopIfTrue="1">
      <formula>$C91&lt;&gt;""</formula>
    </cfRule>
  </conditionalFormatting>
  <conditionalFormatting sqref="S91:S94">
    <cfRule type="expression" dxfId="10735" priority="9972" stopIfTrue="1">
      <formula>$B91&lt;&gt;""</formula>
    </cfRule>
  </conditionalFormatting>
  <conditionalFormatting sqref="S93:S94">
    <cfRule type="expression" dxfId="10734" priority="9971" stopIfTrue="1">
      <formula>$C93&lt;&gt;""</formula>
    </cfRule>
  </conditionalFormatting>
  <conditionalFormatting sqref="S93:S94">
    <cfRule type="expression" dxfId="10733" priority="9970" stopIfTrue="1">
      <formula>$B93&lt;&gt;""</formula>
    </cfRule>
  </conditionalFormatting>
  <conditionalFormatting sqref="S99">
    <cfRule type="expression" dxfId="10732" priority="9969" stopIfTrue="1">
      <formula>$B99&lt;&gt;""</formula>
    </cfRule>
  </conditionalFormatting>
  <conditionalFormatting sqref="S99">
    <cfRule type="expression" dxfId="10731" priority="9968" stopIfTrue="1">
      <formula>$C99&lt;&gt;""</formula>
    </cfRule>
  </conditionalFormatting>
  <conditionalFormatting sqref="S95">
    <cfRule type="expression" dxfId="10730" priority="9967" stopIfTrue="1">
      <formula>$C95&lt;&gt;""</formula>
    </cfRule>
  </conditionalFormatting>
  <conditionalFormatting sqref="S95">
    <cfRule type="expression" dxfId="10729" priority="9966" stopIfTrue="1">
      <formula>$B95&lt;&gt;""</formula>
    </cfRule>
  </conditionalFormatting>
  <conditionalFormatting sqref="S96:S99">
    <cfRule type="expression" dxfId="10728" priority="9965" stopIfTrue="1">
      <formula>$C96&lt;&gt;""</formula>
    </cfRule>
  </conditionalFormatting>
  <conditionalFormatting sqref="S96:S99">
    <cfRule type="expression" dxfId="10727" priority="9964" stopIfTrue="1">
      <formula>$B96&lt;&gt;""</formula>
    </cfRule>
  </conditionalFormatting>
  <conditionalFormatting sqref="S98:S99">
    <cfRule type="expression" dxfId="10726" priority="9963" stopIfTrue="1">
      <formula>$C98&lt;&gt;""</formula>
    </cfRule>
  </conditionalFormatting>
  <conditionalFormatting sqref="S98:S99">
    <cfRule type="expression" dxfId="10725" priority="9962" stopIfTrue="1">
      <formula>$B98&lt;&gt;""</formula>
    </cfRule>
  </conditionalFormatting>
  <conditionalFormatting sqref="S100:S103">
    <cfRule type="expression" dxfId="10724" priority="9961" stopIfTrue="1">
      <formula>$B100&lt;&gt;""</formula>
    </cfRule>
  </conditionalFormatting>
  <conditionalFormatting sqref="S100:S103">
    <cfRule type="expression" dxfId="10723" priority="9960" stopIfTrue="1">
      <formula>$C100&lt;&gt;""</formula>
    </cfRule>
  </conditionalFormatting>
  <conditionalFormatting sqref="S104">
    <cfRule type="expression" dxfId="10722" priority="9959" stopIfTrue="1">
      <formula>$B104&lt;&gt;""</formula>
    </cfRule>
  </conditionalFormatting>
  <conditionalFormatting sqref="S104">
    <cfRule type="expression" dxfId="10721" priority="9958" stopIfTrue="1">
      <formula>$C104&lt;&gt;""</formula>
    </cfRule>
  </conditionalFormatting>
  <conditionalFormatting sqref="S104">
    <cfRule type="expression" dxfId="10720" priority="9957" stopIfTrue="1">
      <formula>$B104&lt;&gt;""</formula>
    </cfRule>
  </conditionalFormatting>
  <conditionalFormatting sqref="S104">
    <cfRule type="expression" dxfId="10719" priority="9956" stopIfTrue="1">
      <formula>$C104&lt;&gt;""</formula>
    </cfRule>
  </conditionalFormatting>
  <conditionalFormatting sqref="S100">
    <cfRule type="expression" dxfId="10718" priority="9955" stopIfTrue="1">
      <formula>$C100&lt;&gt;""</formula>
    </cfRule>
  </conditionalFormatting>
  <conditionalFormatting sqref="S100">
    <cfRule type="expression" dxfId="10717" priority="9954" stopIfTrue="1">
      <formula>$B100&lt;&gt;""</formula>
    </cfRule>
  </conditionalFormatting>
  <conditionalFormatting sqref="S101:S104">
    <cfRule type="expression" dxfId="10716" priority="9953" stopIfTrue="1">
      <formula>$C101&lt;&gt;""</formula>
    </cfRule>
  </conditionalFormatting>
  <conditionalFormatting sqref="S101:S104">
    <cfRule type="expression" dxfId="10715" priority="9952" stopIfTrue="1">
      <formula>$B101&lt;&gt;""</formula>
    </cfRule>
  </conditionalFormatting>
  <conditionalFormatting sqref="S103:S104">
    <cfRule type="expression" dxfId="10714" priority="9951" stopIfTrue="1">
      <formula>$C103&lt;&gt;""</formula>
    </cfRule>
  </conditionalFormatting>
  <conditionalFormatting sqref="S103:S104">
    <cfRule type="expression" dxfId="10713" priority="9950" stopIfTrue="1">
      <formula>$B103&lt;&gt;""</formula>
    </cfRule>
  </conditionalFormatting>
  <conditionalFormatting sqref="S105:S108">
    <cfRule type="expression" dxfId="10712" priority="9949" stopIfTrue="1">
      <formula>$B105&lt;&gt;""</formula>
    </cfRule>
  </conditionalFormatting>
  <conditionalFormatting sqref="S105:S108">
    <cfRule type="expression" dxfId="10711" priority="9948" stopIfTrue="1">
      <formula>$C105&lt;&gt;""</formula>
    </cfRule>
  </conditionalFormatting>
  <conditionalFormatting sqref="S109">
    <cfRule type="expression" dxfId="10710" priority="9947" stopIfTrue="1">
      <formula>$B109&lt;&gt;""</formula>
    </cfRule>
  </conditionalFormatting>
  <conditionalFormatting sqref="S109">
    <cfRule type="expression" dxfId="10709" priority="9946" stopIfTrue="1">
      <formula>$C109&lt;&gt;""</formula>
    </cfRule>
  </conditionalFormatting>
  <conditionalFormatting sqref="S105:S108">
    <cfRule type="expression" dxfId="10708" priority="9945" stopIfTrue="1">
      <formula>$B105&lt;&gt;""</formula>
    </cfRule>
  </conditionalFormatting>
  <conditionalFormatting sqref="S105:S108">
    <cfRule type="expression" dxfId="10707" priority="9944" stopIfTrue="1">
      <formula>$C105&lt;&gt;""</formula>
    </cfRule>
  </conditionalFormatting>
  <conditionalFormatting sqref="S109">
    <cfRule type="expression" dxfId="10706" priority="9943" stopIfTrue="1">
      <formula>$B109&lt;&gt;""</formula>
    </cfRule>
  </conditionalFormatting>
  <conditionalFormatting sqref="S109">
    <cfRule type="expression" dxfId="10705" priority="9942" stopIfTrue="1">
      <formula>$C109&lt;&gt;""</formula>
    </cfRule>
  </conditionalFormatting>
  <conditionalFormatting sqref="S109">
    <cfRule type="expression" dxfId="10704" priority="9941" stopIfTrue="1">
      <formula>$B109&lt;&gt;""</formula>
    </cfRule>
  </conditionalFormatting>
  <conditionalFormatting sqref="S109">
    <cfRule type="expression" dxfId="10703" priority="9940" stopIfTrue="1">
      <formula>$C109&lt;&gt;""</formula>
    </cfRule>
  </conditionalFormatting>
  <conditionalFormatting sqref="S105">
    <cfRule type="expression" dxfId="10702" priority="9939" stopIfTrue="1">
      <formula>$C105&lt;&gt;""</formula>
    </cfRule>
  </conditionalFormatting>
  <conditionalFormatting sqref="S105">
    <cfRule type="expression" dxfId="10701" priority="9938" stopIfTrue="1">
      <formula>$B105&lt;&gt;""</formula>
    </cfRule>
  </conditionalFormatting>
  <conditionalFormatting sqref="S106:S109">
    <cfRule type="expression" dxfId="10700" priority="9937" stopIfTrue="1">
      <formula>$C106&lt;&gt;""</formula>
    </cfRule>
  </conditionalFormatting>
  <conditionalFormatting sqref="S106:S109">
    <cfRule type="expression" dxfId="10699" priority="9936" stopIfTrue="1">
      <formula>$B106&lt;&gt;""</formula>
    </cfRule>
  </conditionalFormatting>
  <conditionalFormatting sqref="S108:S109">
    <cfRule type="expression" dxfId="10698" priority="9935" stopIfTrue="1">
      <formula>$C108&lt;&gt;""</formula>
    </cfRule>
  </conditionalFormatting>
  <conditionalFormatting sqref="S108:S109">
    <cfRule type="expression" dxfId="10697" priority="9934" stopIfTrue="1">
      <formula>$B108&lt;&gt;""</formula>
    </cfRule>
  </conditionalFormatting>
  <conditionalFormatting sqref="S110:S113">
    <cfRule type="expression" dxfId="10696" priority="9933" stopIfTrue="1">
      <formula>$B110&lt;&gt;""</formula>
    </cfRule>
  </conditionalFormatting>
  <conditionalFormatting sqref="S110:S113">
    <cfRule type="expression" dxfId="10695" priority="9932" stopIfTrue="1">
      <formula>$C110&lt;&gt;""</formula>
    </cfRule>
  </conditionalFormatting>
  <conditionalFormatting sqref="S110:S113">
    <cfRule type="expression" dxfId="10694" priority="9931" stopIfTrue="1">
      <formula>$B110&lt;&gt;""</formula>
    </cfRule>
  </conditionalFormatting>
  <conditionalFormatting sqref="S110:S113">
    <cfRule type="expression" dxfId="10693" priority="9930" stopIfTrue="1">
      <formula>$C110&lt;&gt;""</formula>
    </cfRule>
  </conditionalFormatting>
  <conditionalFormatting sqref="S114">
    <cfRule type="expression" dxfId="10692" priority="9929" stopIfTrue="1">
      <formula>$B114&lt;&gt;""</formula>
    </cfRule>
  </conditionalFormatting>
  <conditionalFormatting sqref="S114">
    <cfRule type="expression" dxfId="10691" priority="9928" stopIfTrue="1">
      <formula>$C114&lt;&gt;""</formula>
    </cfRule>
  </conditionalFormatting>
  <conditionalFormatting sqref="S110:S113">
    <cfRule type="expression" dxfId="10690" priority="9927" stopIfTrue="1">
      <formula>$B110&lt;&gt;""</formula>
    </cfRule>
  </conditionalFormatting>
  <conditionalFormatting sqref="S110:S113">
    <cfRule type="expression" dxfId="10689" priority="9926" stopIfTrue="1">
      <formula>$C110&lt;&gt;""</formula>
    </cfRule>
  </conditionalFormatting>
  <conditionalFormatting sqref="S114">
    <cfRule type="expression" dxfId="10688" priority="9925" stopIfTrue="1">
      <formula>$B114&lt;&gt;""</formula>
    </cfRule>
  </conditionalFormatting>
  <conditionalFormatting sqref="S114">
    <cfRule type="expression" dxfId="10687" priority="9924" stopIfTrue="1">
      <formula>$C114&lt;&gt;""</formula>
    </cfRule>
  </conditionalFormatting>
  <conditionalFormatting sqref="S114">
    <cfRule type="expression" dxfId="10686" priority="9923" stopIfTrue="1">
      <formula>$B114&lt;&gt;""</formula>
    </cfRule>
  </conditionalFormatting>
  <conditionalFormatting sqref="S114">
    <cfRule type="expression" dxfId="10685" priority="9922" stopIfTrue="1">
      <formula>$C114&lt;&gt;""</formula>
    </cfRule>
  </conditionalFormatting>
  <conditionalFormatting sqref="S110">
    <cfRule type="expression" dxfId="10684" priority="9921" stopIfTrue="1">
      <formula>$C110&lt;&gt;""</formula>
    </cfRule>
  </conditionalFormatting>
  <conditionalFormatting sqref="S110">
    <cfRule type="expression" dxfId="10683" priority="9920" stopIfTrue="1">
      <formula>$B110&lt;&gt;""</formula>
    </cfRule>
  </conditionalFormatting>
  <conditionalFormatting sqref="S111:S114">
    <cfRule type="expression" dxfId="10682" priority="9919" stopIfTrue="1">
      <formula>$C111&lt;&gt;""</formula>
    </cfRule>
  </conditionalFormatting>
  <conditionalFormatting sqref="S111:S114">
    <cfRule type="expression" dxfId="10681" priority="9918" stopIfTrue="1">
      <formula>$B111&lt;&gt;""</formula>
    </cfRule>
  </conditionalFormatting>
  <conditionalFormatting sqref="S113:S114">
    <cfRule type="expression" dxfId="10680" priority="9917" stopIfTrue="1">
      <formula>$C113&lt;&gt;""</formula>
    </cfRule>
  </conditionalFormatting>
  <conditionalFormatting sqref="S113:S114">
    <cfRule type="expression" dxfId="10679" priority="9916" stopIfTrue="1">
      <formula>$B113&lt;&gt;""</formula>
    </cfRule>
  </conditionalFormatting>
  <conditionalFormatting sqref="S115:S118">
    <cfRule type="expression" dxfId="10678" priority="9915" stopIfTrue="1">
      <formula>$B115&lt;&gt;""</formula>
    </cfRule>
  </conditionalFormatting>
  <conditionalFormatting sqref="S115:S118">
    <cfRule type="expression" dxfId="10677" priority="9914" stopIfTrue="1">
      <formula>$C115&lt;&gt;""</formula>
    </cfRule>
  </conditionalFormatting>
  <conditionalFormatting sqref="S115:S118">
    <cfRule type="expression" dxfId="10676" priority="9913" stopIfTrue="1">
      <formula>$B115&lt;&gt;""</formula>
    </cfRule>
  </conditionalFormatting>
  <conditionalFormatting sqref="S115:S118">
    <cfRule type="expression" dxfId="10675" priority="9912" stopIfTrue="1">
      <formula>$C115&lt;&gt;""</formula>
    </cfRule>
  </conditionalFormatting>
  <conditionalFormatting sqref="S119">
    <cfRule type="expression" dxfId="10674" priority="9911" stopIfTrue="1">
      <formula>$B119&lt;&gt;""</formula>
    </cfRule>
  </conditionalFormatting>
  <conditionalFormatting sqref="S119">
    <cfRule type="expression" dxfId="10673" priority="9910" stopIfTrue="1">
      <formula>$C119&lt;&gt;""</formula>
    </cfRule>
  </conditionalFormatting>
  <conditionalFormatting sqref="S115:S118">
    <cfRule type="expression" dxfId="10672" priority="9909" stopIfTrue="1">
      <formula>$B115&lt;&gt;""</formula>
    </cfRule>
  </conditionalFormatting>
  <conditionalFormatting sqref="S115:S118">
    <cfRule type="expression" dxfId="10671" priority="9908" stopIfTrue="1">
      <formula>$C115&lt;&gt;""</formula>
    </cfRule>
  </conditionalFormatting>
  <conditionalFormatting sqref="S119">
    <cfRule type="expression" dxfId="10670" priority="9907" stopIfTrue="1">
      <formula>$B119&lt;&gt;""</formula>
    </cfRule>
  </conditionalFormatting>
  <conditionalFormatting sqref="S119">
    <cfRule type="expression" dxfId="10669" priority="9906" stopIfTrue="1">
      <formula>$C119&lt;&gt;""</formula>
    </cfRule>
  </conditionalFormatting>
  <conditionalFormatting sqref="S119">
    <cfRule type="expression" dxfId="10668" priority="9905" stopIfTrue="1">
      <formula>$B119&lt;&gt;""</formula>
    </cfRule>
  </conditionalFormatting>
  <conditionalFormatting sqref="S119">
    <cfRule type="expression" dxfId="10667" priority="9904" stopIfTrue="1">
      <formula>$C119&lt;&gt;""</formula>
    </cfRule>
  </conditionalFormatting>
  <conditionalFormatting sqref="S115">
    <cfRule type="expression" dxfId="10666" priority="9903" stopIfTrue="1">
      <formula>$C115&lt;&gt;""</formula>
    </cfRule>
  </conditionalFormatting>
  <conditionalFormatting sqref="S115">
    <cfRule type="expression" dxfId="10665" priority="9902" stopIfTrue="1">
      <formula>$B115&lt;&gt;""</formula>
    </cfRule>
  </conditionalFormatting>
  <conditionalFormatting sqref="S116:S119">
    <cfRule type="expression" dxfId="10664" priority="9901" stopIfTrue="1">
      <formula>$C116&lt;&gt;""</formula>
    </cfRule>
  </conditionalFormatting>
  <conditionalFormatting sqref="S116:S119">
    <cfRule type="expression" dxfId="10663" priority="9900" stopIfTrue="1">
      <formula>$B116&lt;&gt;""</formula>
    </cfRule>
  </conditionalFormatting>
  <conditionalFormatting sqref="S118:S119">
    <cfRule type="expression" dxfId="10662" priority="9899" stopIfTrue="1">
      <formula>$C118&lt;&gt;""</formula>
    </cfRule>
  </conditionalFormatting>
  <conditionalFormatting sqref="S118:S119">
    <cfRule type="expression" dxfId="10661" priority="9898" stopIfTrue="1">
      <formula>$B118&lt;&gt;""</formula>
    </cfRule>
  </conditionalFormatting>
  <conditionalFormatting sqref="S123:S124">
    <cfRule type="expression" dxfId="10660" priority="9897" stopIfTrue="1">
      <formula>$B123&lt;&gt;""</formula>
    </cfRule>
  </conditionalFormatting>
  <conditionalFormatting sqref="S123:S124">
    <cfRule type="expression" dxfId="10659" priority="9896" stopIfTrue="1">
      <formula>$C123&lt;&gt;""</formula>
    </cfRule>
  </conditionalFormatting>
  <conditionalFormatting sqref="S120:S123">
    <cfRule type="expression" dxfId="10658" priority="9895" stopIfTrue="1">
      <formula>$B120&lt;&gt;""</formula>
    </cfRule>
  </conditionalFormatting>
  <conditionalFormatting sqref="S120:S123">
    <cfRule type="expression" dxfId="10657" priority="9894" stopIfTrue="1">
      <formula>$C120&lt;&gt;""</formula>
    </cfRule>
  </conditionalFormatting>
  <conditionalFormatting sqref="S120:S123">
    <cfRule type="expression" dxfId="10656" priority="9893" stopIfTrue="1">
      <formula>$B120&lt;&gt;""</formula>
    </cfRule>
  </conditionalFormatting>
  <conditionalFormatting sqref="S120:S123">
    <cfRule type="expression" dxfId="10655" priority="9892" stopIfTrue="1">
      <formula>$C120&lt;&gt;""</formula>
    </cfRule>
  </conditionalFormatting>
  <conditionalFormatting sqref="S124">
    <cfRule type="expression" dxfId="10654" priority="9891" stopIfTrue="1">
      <formula>$B124&lt;&gt;""</formula>
    </cfRule>
  </conditionalFormatting>
  <conditionalFormatting sqref="S124">
    <cfRule type="expression" dxfId="10653" priority="9890" stopIfTrue="1">
      <formula>$C124&lt;&gt;""</formula>
    </cfRule>
  </conditionalFormatting>
  <conditionalFormatting sqref="S120:S123">
    <cfRule type="expression" dxfId="10652" priority="9889" stopIfTrue="1">
      <formula>$B120&lt;&gt;""</formula>
    </cfRule>
  </conditionalFormatting>
  <conditionalFormatting sqref="S120:S123">
    <cfRule type="expression" dxfId="10651" priority="9888" stopIfTrue="1">
      <formula>$C120&lt;&gt;""</formula>
    </cfRule>
  </conditionalFormatting>
  <conditionalFormatting sqref="S124">
    <cfRule type="expression" dxfId="10650" priority="9887" stopIfTrue="1">
      <formula>$B124&lt;&gt;""</formula>
    </cfRule>
  </conditionalFormatting>
  <conditionalFormatting sqref="S124">
    <cfRule type="expression" dxfId="10649" priority="9886" stopIfTrue="1">
      <formula>$C124&lt;&gt;""</formula>
    </cfRule>
  </conditionalFormatting>
  <conditionalFormatting sqref="S124">
    <cfRule type="expression" dxfId="10648" priority="9885" stopIfTrue="1">
      <formula>$B124&lt;&gt;""</formula>
    </cfRule>
  </conditionalFormatting>
  <conditionalFormatting sqref="S124">
    <cfRule type="expression" dxfId="10647" priority="9884" stopIfTrue="1">
      <formula>$C124&lt;&gt;""</formula>
    </cfRule>
  </conditionalFormatting>
  <conditionalFormatting sqref="S120">
    <cfRule type="expression" dxfId="10646" priority="9883" stopIfTrue="1">
      <formula>$C120&lt;&gt;""</formula>
    </cfRule>
  </conditionalFormatting>
  <conditionalFormatting sqref="S120">
    <cfRule type="expression" dxfId="10645" priority="9882" stopIfTrue="1">
      <formula>$B120&lt;&gt;""</formula>
    </cfRule>
  </conditionalFormatting>
  <conditionalFormatting sqref="S121:S124">
    <cfRule type="expression" dxfId="10644" priority="9881" stopIfTrue="1">
      <formula>$C121&lt;&gt;""</formula>
    </cfRule>
  </conditionalFormatting>
  <conditionalFormatting sqref="S121:S124">
    <cfRule type="expression" dxfId="10643" priority="9880" stopIfTrue="1">
      <formula>$B121&lt;&gt;""</formula>
    </cfRule>
  </conditionalFormatting>
  <conditionalFormatting sqref="S123:S124">
    <cfRule type="expression" dxfId="10642" priority="9879" stopIfTrue="1">
      <formula>$C123&lt;&gt;""</formula>
    </cfRule>
  </conditionalFormatting>
  <conditionalFormatting sqref="S123:S124">
    <cfRule type="expression" dxfId="10641" priority="9878" stopIfTrue="1">
      <formula>$B123&lt;&gt;""</formula>
    </cfRule>
  </conditionalFormatting>
  <conditionalFormatting sqref="S157:S160">
    <cfRule type="expression" dxfId="10640" priority="9877" stopIfTrue="1">
      <formula>$B157&lt;&gt;""</formula>
    </cfRule>
  </conditionalFormatting>
  <conditionalFormatting sqref="S157:S160">
    <cfRule type="expression" dxfId="10639" priority="9876" stopIfTrue="1">
      <formula>$C157&lt;&gt;""</formula>
    </cfRule>
  </conditionalFormatting>
  <conditionalFormatting sqref="S157:S160">
    <cfRule type="expression" dxfId="10638" priority="9875" stopIfTrue="1">
      <formula>$B157&lt;&gt;""</formula>
    </cfRule>
  </conditionalFormatting>
  <conditionalFormatting sqref="S157:S160">
    <cfRule type="expression" dxfId="10637" priority="9874" stopIfTrue="1">
      <formula>$C157&lt;&gt;""</formula>
    </cfRule>
  </conditionalFormatting>
  <conditionalFormatting sqref="S161">
    <cfRule type="expression" dxfId="10636" priority="9873" stopIfTrue="1">
      <formula>$B161&lt;&gt;""</formula>
    </cfRule>
  </conditionalFormatting>
  <conditionalFormatting sqref="S161">
    <cfRule type="expression" dxfId="10635" priority="9872" stopIfTrue="1">
      <formula>$C161&lt;&gt;""</formula>
    </cfRule>
  </conditionalFormatting>
  <conditionalFormatting sqref="S157:S160">
    <cfRule type="expression" dxfId="10634" priority="9871" stopIfTrue="1">
      <formula>$B157&lt;&gt;""</formula>
    </cfRule>
  </conditionalFormatting>
  <conditionalFormatting sqref="S157:S160">
    <cfRule type="expression" dxfId="10633" priority="9870" stopIfTrue="1">
      <formula>$C157&lt;&gt;""</formula>
    </cfRule>
  </conditionalFormatting>
  <conditionalFormatting sqref="S161">
    <cfRule type="expression" dxfId="10632" priority="9869" stopIfTrue="1">
      <formula>$B161&lt;&gt;""</formula>
    </cfRule>
  </conditionalFormatting>
  <conditionalFormatting sqref="S161">
    <cfRule type="expression" dxfId="10631" priority="9868" stopIfTrue="1">
      <formula>$C161&lt;&gt;""</formula>
    </cfRule>
  </conditionalFormatting>
  <conditionalFormatting sqref="S161">
    <cfRule type="expression" dxfId="10630" priority="9867" stopIfTrue="1">
      <formula>$B161&lt;&gt;""</formula>
    </cfRule>
  </conditionalFormatting>
  <conditionalFormatting sqref="S161">
    <cfRule type="expression" dxfId="10629" priority="9866" stopIfTrue="1">
      <formula>$C161&lt;&gt;""</formula>
    </cfRule>
  </conditionalFormatting>
  <conditionalFormatting sqref="S157">
    <cfRule type="expression" dxfId="10628" priority="9865" stopIfTrue="1">
      <formula>$C157&lt;&gt;""</formula>
    </cfRule>
  </conditionalFormatting>
  <conditionalFormatting sqref="S157">
    <cfRule type="expression" dxfId="10627" priority="9864" stopIfTrue="1">
      <formula>$B157&lt;&gt;""</formula>
    </cfRule>
  </conditionalFormatting>
  <conditionalFormatting sqref="S158:S161">
    <cfRule type="expression" dxfId="10626" priority="9863" stopIfTrue="1">
      <formula>$C158&lt;&gt;""</formula>
    </cfRule>
  </conditionalFormatting>
  <conditionalFormatting sqref="S158:S161">
    <cfRule type="expression" dxfId="10625" priority="9862" stopIfTrue="1">
      <formula>$B158&lt;&gt;""</formula>
    </cfRule>
  </conditionalFormatting>
  <conditionalFormatting sqref="S160:S161">
    <cfRule type="expression" dxfId="10624" priority="9861" stopIfTrue="1">
      <formula>$C160&lt;&gt;""</formula>
    </cfRule>
  </conditionalFormatting>
  <conditionalFormatting sqref="S160:S161">
    <cfRule type="expression" dxfId="10623" priority="9860" stopIfTrue="1">
      <formula>$B160&lt;&gt;""</formula>
    </cfRule>
  </conditionalFormatting>
  <conditionalFormatting sqref="S165:S166">
    <cfRule type="expression" dxfId="10622" priority="9859" stopIfTrue="1">
      <formula>$B165&lt;&gt;""</formula>
    </cfRule>
  </conditionalFormatting>
  <conditionalFormatting sqref="S165:S166">
    <cfRule type="expression" dxfId="10621" priority="9858" stopIfTrue="1">
      <formula>$C165&lt;&gt;""</formula>
    </cfRule>
  </conditionalFormatting>
  <conditionalFormatting sqref="S162:S165">
    <cfRule type="expression" dxfId="10620" priority="9857" stopIfTrue="1">
      <formula>$B162&lt;&gt;""</formula>
    </cfRule>
  </conditionalFormatting>
  <conditionalFormatting sqref="S162:S165">
    <cfRule type="expression" dxfId="10619" priority="9856" stopIfTrue="1">
      <formula>$C162&lt;&gt;""</formula>
    </cfRule>
  </conditionalFormatting>
  <conditionalFormatting sqref="S162:S165">
    <cfRule type="expression" dxfId="10618" priority="9855" stopIfTrue="1">
      <formula>$B162&lt;&gt;""</formula>
    </cfRule>
  </conditionalFormatting>
  <conditionalFormatting sqref="S162:S165">
    <cfRule type="expression" dxfId="10617" priority="9854" stopIfTrue="1">
      <formula>$C162&lt;&gt;""</formula>
    </cfRule>
  </conditionalFormatting>
  <conditionalFormatting sqref="S166">
    <cfRule type="expression" dxfId="10616" priority="9853" stopIfTrue="1">
      <formula>$B166&lt;&gt;""</formula>
    </cfRule>
  </conditionalFormatting>
  <conditionalFormatting sqref="S166">
    <cfRule type="expression" dxfId="10615" priority="9852" stopIfTrue="1">
      <formula>$C166&lt;&gt;""</formula>
    </cfRule>
  </conditionalFormatting>
  <conditionalFormatting sqref="S162:S165">
    <cfRule type="expression" dxfId="10614" priority="9851" stopIfTrue="1">
      <formula>$B162&lt;&gt;""</formula>
    </cfRule>
  </conditionalFormatting>
  <conditionalFormatting sqref="S162:S165">
    <cfRule type="expression" dxfId="10613" priority="9850" stopIfTrue="1">
      <formula>$C162&lt;&gt;""</formula>
    </cfRule>
  </conditionalFormatting>
  <conditionalFormatting sqref="S166">
    <cfRule type="expression" dxfId="10612" priority="9849" stopIfTrue="1">
      <formula>$B166&lt;&gt;""</formula>
    </cfRule>
  </conditionalFormatting>
  <conditionalFormatting sqref="S166">
    <cfRule type="expression" dxfId="10611" priority="9848" stopIfTrue="1">
      <formula>$C166&lt;&gt;""</formula>
    </cfRule>
  </conditionalFormatting>
  <conditionalFormatting sqref="S166">
    <cfRule type="expression" dxfId="10610" priority="9847" stopIfTrue="1">
      <formula>$B166&lt;&gt;""</formula>
    </cfRule>
  </conditionalFormatting>
  <conditionalFormatting sqref="S166">
    <cfRule type="expression" dxfId="10609" priority="9846" stopIfTrue="1">
      <formula>$C166&lt;&gt;""</formula>
    </cfRule>
  </conditionalFormatting>
  <conditionalFormatting sqref="S162">
    <cfRule type="expression" dxfId="10608" priority="9845" stopIfTrue="1">
      <formula>$C162&lt;&gt;""</formula>
    </cfRule>
  </conditionalFormatting>
  <conditionalFormatting sqref="S162">
    <cfRule type="expression" dxfId="10607" priority="9844" stopIfTrue="1">
      <formula>$B162&lt;&gt;""</formula>
    </cfRule>
  </conditionalFormatting>
  <conditionalFormatting sqref="S163:S166">
    <cfRule type="expression" dxfId="10606" priority="9843" stopIfTrue="1">
      <formula>$C163&lt;&gt;""</formula>
    </cfRule>
  </conditionalFormatting>
  <conditionalFormatting sqref="S163:S166">
    <cfRule type="expression" dxfId="10605" priority="9842" stopIfTrue="1">
      <formula>$B163&lt;&gt;""</formula>
    </cfRule>
  </conditionalFormatting>
  <conditionalFormatting sqref="S165:S166">
    <cfRule type="expression" dxfId="10604" priority="9841" stopIfTrue="1">
      <formula>$C165&lt;&gt;""</formula>
    </cfRule>
  </conditionalFormatting>
  <conditionalFormatting sqref="S165:S166">
    <cfRule type="expression" dxfId="10603" priority="9840" stopIfTrue="1">
      <formula>$B165&lt;&gt;""</formula>
    </cfRule>
  </conditionalFormatting>
  <conditionalFormatting sqref="S167:S169">
    <cfRule type="expression" dxfId="10602" priority="9839" stopIfTrue="1">
      <formula>$B167&lt;&gt;""</formula>
    </cfRule>
  </conditionalFormatting>
  <conditionalFormatting sqref="S167:S169">
    <cfRule type="expression" dxfId="10601" priority="9838" stopIfTrue="1">
      <formula>$C167&lt;&gt;""</formula>
    </cfRule>
  </conditionalFormatting>
  <conditionalFormatting sqref="S170:S171">
    <cfRule type="expression" dxfId="10600" priority="9837" stopIfTrue="1">
      <formula>$B170&lt;&gt;""</formula>
    </cfRule>
  </conditionalFormatting>
  <conditionalFormatting sqref="S170:S171">
    <cfRule type="expression" dxfId="10599" priority="9836" stopIfTrue="1">
      <formula>$C170&lt;&gt;""</formula>
    </cfRule>
  </conditionalFormatting>
  <conditionalFormatting sqref="S167:S170">
    <cfRule type="expression" dxfId="10598" priority="9835" stopIfTrue="1">
      <formula>$B167&lt;&gt;""</formula>
    </cfRule>
  </conditionalFormatting>
  <conditionalFormatting sqref="S167:S170">
    <cfRule type="expression" dxfId="10597" priority="9834" stopIfTrue="1">
      <formula>$C167&lt;&gt;""</formula>
    </cfRule>
  </conditionalFormatting>
  <conditionalFormatting sqref="S167:S170">
    <cfRule type="expression" dxfId="10596" priority="9833" stopIfTrue="1">
      <formula>$B167&lt;&gt;""</formula>
    </cfRule>
  </conditionalFormatting>
  <conditionalFormatting sqref="S167:S170">
    <cfRule type="expression" dxfId="10595" priority="9832" stopIfTrue="1">
      <formula>$C167&lt;&gt;""</formula>
    </cfRule>
  </conditionalFormatting>
  <conditionalFormatting sqref="S171">
    <cfRule type="expression" dxfId="10594" priority="9831" stopIfTrue="1">
      <formula>$B171&lt;&gt;""</formula>
    </cfRule>
  </conditionalFormatting>
  <conditionalFormatting sqref="S171">
    <cfRule type="expression" dxfId="10593" priority="9830" stopIfTrue="1">
      <formula>$C171&lt;&gt;""</formula>
    </cfRule>
  </conditionalFormatting>
  <conditionalFormatting sqref="S167:S170">
    <cfRule type="expression" dxfId="10592" priority="9829" stopIfTrue="1">
      <formula>$B167&lt;&gt;""</formula>
    </cfRule>
  </conditionalFormatting>
  <conditionalFormatting sqref="S167:S170">
    <cfRule type="expression" dxfId="10591" priority="9828" stopIfTrue="1">
      <formula>$C167&lt;&gt;""</formula>
    </cfRule>
  </conditionalFormatting>
  <conditionalFormatting sqref="S171">
    <cfRule type="expression" dxfId="10590" priority="9827" stopIfTrue="1">
      <formula>$B171&lt;&gt;""</formula>
    </cfRule>
  </conditionalFormatting>
  <conditionalFormatting sqref="S171">
    <cfRule type="expression" dxfId="10589" priority="9826" stopIfTrue="1">
      <formula>$C171&lt;&gt;""</formula>
    </cfRule>
  </conditionalFormatting>
  <conditionalFormatting sqref="S171">
    <cfRule type="expression" dxfId="10588" priority="9825" stopIfTrue="1">
      <formula>$B171&lt;&gt;""</formula>
    </cfRule>
  </conditionalFormatting>
  <conditionalFormatting sqref="S171">
    <cfRule type="expression" dxfId="10587" priority="9824" stopIfTrue="1">
      <formula>$C171&lt;&gt;""</formula>
    </cfRule>
  </conditionalFormatting>
  <conditionalFormatting sqref="S167">
    <cfRule type="expression" dxfId="10586" priority="9823" stopIfTrue="1">
      <formula>$C167&lt;&gt;""</formula>
    </cfRule>
  </conditionalFormatting>
  <conditionalFormatting sqref="S167">
    <cfRule type="expression" dxfId="10585" priority="9822" stopIfTrue="1">
      <formula>$B167&lt;&gt;""</formula>
    </cfRule>
  </conditionalFormatting>
  <conditionalFormatting sqref="S168:S171">
    <cfRule type="expression" dxfId="10584" priority="9821" stopIfTrue="1">
      <formula>$C168&lt;&gt;""</formula>
    </cfRule>
  </conditionalFormatting>
  <conditionalFormatting sqref="S168:S171">
    <cfRule type="expression" dxfId="10583" priority="9820" stopIfTrue="1">
      <formula>$B168&lt;&gt;""</formula>
    </cfRule>
  </conditionalFormatting>
  <conditionalFormatting sqref="S170:S171">
    <cfRule type="expression" dxfId="10582" priority="9819" stopIfTrue="1">
      <formula>$C170&lt;&gt;""</formula>
    </cfRule>
  </conditionalFormatting>
  <conditionalFormatting sqref="S170:S171">
    <cfRule type="expression" dxfId="10581" priority="9818" stopIfTrue="1">
      <formula>$B170&lt;&gt;""</formula>
    </cfRule>
  </conditionalFormatting>
  <conditionalFormatting sqref="S176">
    <cfRule type="expression" dxfId="10580" priority="9817" stopIfTrue="1">
      <formula>$B176&lt;&gt;""</formula>
    </cfRule>
  </conditionalFormatting>
  <conditionalFormatting sqref="S176">
    <cfRule type="expression" dxfId="10579" priority="9816" stopIfTrue="1">
      <formula>$C176&lt;&gt;""</formula>
    </cfRule>
  </conditionalFormatting>
  <conditionalFormatting sqref="S172:S174">
    <cfRule type="expression" dxfId="10578" priority="9815" stopIfTrue="1">
      <formula>$B172&lt;&gt;""</formula>
    </cfRule>
  </conditionalFormatting>
  <conditionalFormatting sqref="S172:S174">
    <cfRule type="expression" dxfId="10577" priority="9814" stopIfTrue="1">
      <formula>$C172&lt;&gt;""</formula>
    </cfRule>
  </conditionalFormatting>
  <conditionalFormatting sqref="S175:S176">
    <cfRule type="expression" dxfId="10576" priority="9813" stopIfTrue="1">
      <formula>$B175&lt;&gt;""</formula>
    </cfRule>
  </conditionalFormatting>
  <conditionalFormatting sqref="S175:S176">
    <cfRule type="expression" dxfId="10575" priority="9812" stopIfTrue="1">
      <formula>$C175&lt;&gt;""</formula>
    </cfRule>
  </conditionalFormatting>
  <conditionalFormatting sqref="S172:S175">
    <cfRule type="expression" dxfId="10574" priority="9811" stopIfTrue="1">
      <formula>$B172&lt;&gt;""</formula>
    </cfRule>
  </conditionalFormatting>
  <conditionalFormatting sqref="S172:S175">
    <cfRule type="expression" dxfId="10573" priority="9810" stopIfTrue="1">
      <formula>$C172&lt;&gt;""</formula>
    </cfRule>
  </conditionalFormatting>
  <conditionalFormatting sqref="S172:S175">
    <cfRule type="expression" dxfId="10572" priority="9809" stopIfTrue="1">
      <formula>$B172&lt;&gt;""</formula>
    </cfRule>
  </conditionalFormatting>
  <conditionalFormatting sqref="S172:S175">
    <cfRule type="expression" dxfId="10571" priority="9808" stopIfTrue="1">
      <formula>$C172&lt;&gt;""</formula>
    </cfRule>
  </conditionalFormatting>
  <conditionalFormatting sqref="S176">
    <cfRule type="expression" dxfId="10570" priority="9807" stopIfTrue="1">
      <formula>$B176&lt;&gt;""</formula>
    </cfRule>
  </conditionalFormatting>
  <conditionalFormatting sqref="S176">
    <cfRule type="expression" dxfId="10569" priority="9806" stopIfTrue="1">
      <formula>$C176&lt;&gt;""</formula>
    </cfRule>
  </conditionalFormatting>
  <conditionalFormatting sqref="S172:S175">
    <cfRule type="expression" dxfId="10568" priority="9805" stopIfTrue="1">
      <formula>$B172&lt;&gt;""</formula>
    </cfRule>
  </conditionalFormatting>
  <conditionalFormatting sqref="S172:S175">
    <cfRule type="expression" dxfId="10567" priority="9804" stopIfTrue="1">
      <formula>$C172&lt;&gt;""</formula>
    </cfRule>
  </conditionalFormatting>
  <conditionalFormatting sqref="S176">
    <cfRule type="expression" dxfId="10566" priority="9803" stopIfTrue="1">
      <formula>$B176&lt;&gt;""</formula>
    </cfRule>
  </conditionalFormatting>
  <conditionalFormatting sqref="S176">
    <cfRule type="expression" dxfId="10565" priority="9802" stopIfTrue="1">
      <formula>$C176&lt;&gt;""</formula>
    </cfRule>
  </conditionalFormatting>
  <conditionalFormatting sqref="S176">
    <cfRule type="expression" dxfId="10564" priority="9801" stopIfTrue="1">
      <formula>$B176&lt;&gt;""</formula>
    </cfRule>
  </conditionalFormatting>
  <conditionalFormatting sqref="S176">
    <cfRule type="expression" dxfId="10563" priority="9800" stopIfTrue="1">
      <formula>$C176&lt;&gt;""</formula>
    </cfRule>
  </conditionalFormatting>
  <conditionalFormatting sqref="S172">
    <cfRule type="expression" dxfId="10562" priority="9799" stopIfTrue="1">
      <formula>$C172&lt;&gt;""</formula>
    </cfRule>
  </conditionalFormatting>
  <conditionalFormatting sqref="S172">
    <cfRule type="expression" dxfId="10561" priority="9798" stopIfTrue="1">
      <formula>$B172&lt;&gt;""</formula>
    </cfRule>
  </conditionalFormatting>
  <conditionalFormatting sqref="S173:S176">
    <cfRule type="expression" dxfId="10560" priority="9797" stopIfTrue="1">
      <formula>$C173&lt;&gt;""</formula>
    </cfRule>
  </conditionalFormatting>
  <conditionalFormatting sqref="S173:S176">
    <cfRule type="expression" dxfId="10559" priority="9796" stopIfTrue="1">
      <formula>$B173&lt;&gt;""</formula>
    </cfRule>
  </conditionalFormatting>
  <conditionalFormatting sqref="S175:S176">
    <cfRule type="expression" dxfId="10558" priority="9795" stopIfTrue="1">
      <formula>$C175&lt;&gt;""</formula>
    </cfRule>
  </conditionalFormatting>
  <conditionalFormatting sqref="S175:S176">
    <cfRule type="expression" dxfId="10557" priority="9794" stopIfTrue="1">
      <formula>$B175&lt;&gt;""</formula>
    </cfRule>
  </conditionalFormatting>
  <conditionalFormatting sqref="S177:S180">
    <cfRule type="expression" dxfId="10556" priority="9793" stopIfTrue="1">
      <formula>$B177&lt;&gt;""</formula>
    </cfRule>
  </conditionalFormatting>
  <conditionalFormatting sqref="S177:S180">
    <cfRule type="expression" dxfId="10555" priority="9792" stopIfTrue="1">
      <formula>$C177&lt;&gt;""</formula>
    </cfRule>
  </conditionalFormatting>
  <conditionalFormatting sqref="S181">
    <cfRule type="expression" dxfId="10554" priority="9791" stopIfTrue="1">
      <formula>$B181&lt;&gt;""</formula>
    </cfRule>
  </conditionalFormatting>
  <conditionalFormatting sqref="S181">
    <cfRule type="expression" dxfId="10553" priority="9790" stopIfTrue="1">
      <formula>$C181&lt;&gt;""</formula>
    </cfRule>
  </conditionalFormatting>
  <conditionalFormatting sqref="S177:S179">
    <cfRule type="expression" dxfId="10552" priority="9789" stopIfTrue="1">
      <formula>$B177&lt;&gt;""</formula>
    </cfRule>
  </conditionalFormatting>
  <conditionalFormatting sqref="S177:S179">
    <cfRule type="expression" dxfId="10551" priority="9788" stopIfTrue="1">
      <formula>$C177&lt;&gt;""</formula>
    </cfRule>
  </conditionalFormatting>
  <conditionalFormatting sqref="S180:S181">
    <cfRule type="expression" dxfId="10550" priority="9787" stopIfTrue="1">
      <formula>$B180&lt;&gt;""</formula>
    </cfRule>
  </conditionalFormatting>
  <conditionalFormatting sqref="S180:S181">
    <cfRule type="expression" dxfId="10549" priority="9786" stopIfTrue="1">
      <formula>$C180&lt;&gt;""</formula>
    </cfRule>
  </conditionalFormatting>
  <conditionalFormatting sqref="S177:S180">
    <cfRule type="expression" dxfId="10548" priority="9785" stopIfTrue="1">
      <formula>$B177&lt;&gt;""</formula>
    </cfRule>
  </conditionalFormatting>
  <conditionalFormatting sqref="S177:S180">
    <cfRule type="expression" dxfId="10547" priority="9784" stopIfTrue="1">
      <formula>$C177&lt;&gt;""</formula>
    </cfRule>
  </conditionalFormatting>
  <conditionalFormatting sqref="S177:S180">
    <cfRule type="expression" dxfId="10546" priority="9783" stopIfTrue="1">
      <formula>$B177&lt;&gt;""</formula>
    </cfRule>
  </conditionalFormatting>
  <conditionalFormatting sqref="S177:S180">
    <cfRule type="expression" dxfId="10545" priority="9782" stopIfTrue="1">
      <formula>$C177&lt;&gt;""</formula>
    </cfRule>
  </conditionalFormatting>
  <conditionalFormatting sqref="S181">
    <cfRule type="expression" dxfId="10544" priority="9781" stopIfTrue="1">
      <formula>$B181&lt;&gt;""</formula>
    </cfRule>
  </conditionalFormatting>
  <conditionalFormatting sqref="S181">
    <cfRule type="expression" dxfId="10543" priority="9780" stopIfTrue="1">
      <formula>$C181&lt;&gt;""</formula>
    </cfRule>
  </conditionalFormatting>
  <conditionalFormatting sqref="S177:S180">
    <cfRule type="expression" dxfId="10542" priority="9779" stopIfTrue="1">
      <formula>$B177&lt;&gt;""</formula>
    </cfRule>
  </conditionalFormatting>
  <conditionalFormatting sqref="S177:S180">
    <cfRule type="expression" dxfId="10541" priority="9778" stopIfTrue="1">
      <formula>$C177&lt;&gt;""</formula>
    </cfRule>
  </conditionalFormatting>
  <conditionalFormatting sqref="S181">
    <cfRule type="expression" dxfId="10540" priority="9777" stopIfTrue="1">
      <formula>$B181&lt;&gt;""</formula>
    </cfRule>
  </conditionalFormatting>
  <conditionalFormatting sqref="S181">
    <cfRule type="expression" dxfId="10539" priority="9776" stopIfTrue="1">
      <formula>$C181&lt;&gt;""</formula>
    </cfRule>
  </conditionalFormatting>
  <conditionalFormatting sqref="S181">
    <cfRule type="expression" dxfId="10538" priority="9775" stopIfTrue="1">
      <formula>$B181&lt;&gt;""</formula>
    </cfRule>
  </conditionalFormatting>
  <conditionalFormatting sqref="S181">
    <cfRule type="expression" dxfId="10537" priority="9774" stopIfTrue="1">
      <formula>$C181&lt;&gt;""</formula>
    </cfRule>
  </conditionalFormatting>
  <conditionalFormatting sqref="S177">
    <cfRule type="expression" dxfId="10536" priority="9773" stopIfTrue="1">
      <formula>$C177&lt;&gt;""</formula>
    </cfRule>
  </conditionalFormatting>
  <conditionalFormatting sqref="S177">
    <cfRule type="expression" dxfId="10535" priority="9772" stopIfTrue="1">
      <formula>$B177&lt;&gt;""</formula>
    </cfRule>
  </conditionalFormatting>
  <conditionalFormatting sqref="S178:S181">
    <cfRule type="expression" dxfId="10534" priority="9771" stopIfTrue="1">
      <formula>$C178&lt;&gt;""</formula>
    </cfRule>
  </conditionalFormatting>
  <conditionalFormatting sqref="S178:S181">
    <cfRule type="expression" dxfId="10533" priority="9770" stopIfTrue="1">
      <formula>$B178&lt;&gt;""</formula>
    </cfRule>
  </conditionalFormatting>
  <conditionalFormatting sqref="S180:S181">
    <cfRule type="expression" dxfId="10532" priority="9769" stopIfTrue="1">
      <formula>$C180&lt;&gt;""</formula>
    </cfRule>
  </conditionalFormatting>
  <conditionalFormatting sqref="S180:S181">
    <cfRule type="expression" dxfId="10531" priority="9768" stopIfTrue="1">
      <formula>$B180&lt;&gt;""</formula>
    </cfRule>
  </conditionalFormatting>
  <conditionalFormatting sqref="S177:S180">
    <cfRule type="expression" dxfId="10530" priority="9767" stopIfTrue="1">
      <formula>$B177&lt;&gt;""</formula>
    </cfRule>
  </conditionalFormatting>
  <conditionalFormatting sqref="S177:S180">
    <cfRule type="expression" dxfId="10529" priority="9766" stopIfTrue="1">
      <formula>$C177&lt;&gt;""</formula>
    </cfRule>
  </conditionalFormatting>
  <conditionalFormatting sqref="S181">
    <cfRule type="expression" dxfId="10528" priority="9765" stopIfTrue="1">
      <formula>$B181&lt;&gt;""</formula>
    </cfRule>
  </conditionalFormatting>
  <conditionalFormatting sqref="S181">
    <cfRule type="expression" dxfId="10527" priority="9764" stopIfTrue="1">
      <formula>$C181&lt;&gt;""</formula>
    </cfRule>
  </conditionalFormatting>
  <conditionalFormatting sqref="S177:S179">
    <cfRule type="expression" dxfId="10526" priority="9763" stopIfTrue="1">
      <formula>$B177&lt;&gt;""</formula>
    </cfRule>
  </conditionalFormatting>
  <conditionalFormatting sqref="S177:S179">
    <cfRule type="expression" dxfId="10525" priority="9762" stopIfTrue="1">
      <formula>$C177&lt;&gt;""</formula>
    </cfRule>
  </conditionalFormatting>
  <conditionalFormatting sqref="S180:S181">
    <cfRule type="expression" dxfId="10524" priority="9761" stopIfTrue="1">
      <formula>$B180&lt;&gt;""</formula>
    </cfRule>
  </conditionalFormatting>
  <conditionalFormatting sqref="S180:S181">
    <cfRule type="expression" dxfId="10523" priority="9760" stopIfTrue="1">
      <formula>$C180&lt;&gt;""</formula>
    </cfRule>
  </conditionalFormatting>
  <conditionalFormatting sqref="S177:S180">
    <cfRule type="expression" dxfId="10522" priority="9759" stopIfTrue="1">
      <formula>$B177&lt;&gt;""</formula>
    </cfRule>
  </conditionalFormatting>
  <conditionalFormatting sqref="S177:S180">
    <cfRule type="expression" dxfId="10521" priority="9758" stopIfTrue="1">
      <formula>$C177&lt;&gt;""</formula>
    </cfRule>
  </conditionalFormatting>
  <conditionalFormatting sqref="S177:S180">
    <cfRule type="expression" dxfId="10520" priority="9757" stopIfTrue="1">
      <formula>$B177&lt;&gt;""</formula>
    </cfRule>
  </conditionalFormatting>
  <conditionalFormatting sqref="S177:S180">
    <cfRule type="expression" dxfId="10519" priority="9756" stopIfTrue="1">
      <formula>$C177&lt;&gt;""</formula>
    </cfRule>
  </conditionalFormatting>
  <conditionalFormatting sqref="S181">
    <cfRule type="expression" dxfId="10518" priority="9755" stopIfTrue="1">
      <formula>$B181&lt;&gt;""</formula>
    </cfRule>
  </conditionalFormatting>
  <conditionalFormatting sqref="S181">
    <cfRule type="expression" dxfId="10517" priority="9754" stopIfTrue="1">
      <formula>$C181&lt;&gt;""</formula>
    </cfRule>
  </conditionalFormatting>
  <conditionalFormatting sqref="S177:S180">
    <cfRule type="expression" dxfId="10516" priority="9753" stopIfTrue="1">
      <formula>$B177&lt;&gt;""</formula>
    </cfRule>
  </conditionalFormatting>
  <conditionalFormatting sqref="S177:S180">
    <cfRule type="expression" dxfId="10515" priority="9752" stopIfTrue="1">
      <formula>$C177&lt;&gt;""</formula>
    </cfRule>
  </conditionalFormatting>
  <conditionalFormatting sqref="S181">
    <cfRule type="expression" dxfId="10514" priority="9751" stopIfTrue="1">
      <formula>$B181&lt;&gt;""</formula>
    </cfRule>
  </conditionalFormatting>
  <conditionalFormatting sqref="S181">
    <cfRule type="expression" dxfId="10513" priority="9750" stopIfTrue="1">
      <formula>$C181&lt;&gt;""</formula>
    </cfRule>
  </conditionalFormatting>
  <conditionalFormatting sqref="S181">
    <cfRule type="expression" dxfId="10512" priority="9749" stopIfTrue="1">
      <formula>$B181&lt;&gt;""</formula>
    </cfRule>
  </conditionalFormatting>
  <conditionalFormatting sqref="S181">
    <cfRule type="expression" dxfId="10511" priority="9748" stopIfTrue="1">
      <formula>$C181&lt;&gt;""</formula>
    </cfRule>
  </conditionalFormatting>
  <conditionalFormatting sqref="S177">
    <cfRule type="expression" dxfId="10510" priority="9747" stopIfTrue="1">
      <formula>$C177&lt;&gt;""</formula>
    </cfRule>
  </conditionalFormatting>
  <conditionalFormatting sqref="S177">
    <cfRule type="expression" dxfId="10509" priority="9746" stopIfTrue="1">
      <formula>$B177&lt;&gt;""</formula>
    </cfRule>
  </conditionalFormatting>
  <conditionalFormatting sqref="S178:S181">
    <cfRule type="expression" dxfId="10508" priority="9745" stopIfTrue="1">
      <formula>$C178&lt;&gt;""</formula>
    </cfRule>
  </conditionalFormatting>
  <conditionalFormatting sqref="S178:S181">
    <cfRule type="expression" dxfId="10507" priority="9744" stopIfTrue="1">
      <formula>$B178&lt;&gt;""</formula>
    </cfRule>
  </conditionalFormatting>
  <conditionalFormatting sqref="S180:S181">
    <cfRule type="expression" dxfId="10506" priority="9743" stopIfTrue="1">
      <formula>$C180&lt;&gt;""</formula>
    </cfRule>
  </conditionalFormatting>
  <conditionalFormatting sqref="S180:S181">
    <cfRule type="expression" dxfId="10505" priority="9742" stopIfTrue="1">
      <formula>$B180&lt;&gt;""</formula>
    </cfRule>
  </conditionalFormatting>
  <conditionalFormatting sqref="S182:S185">
    <cfRule type="expression" dxfId="10504" priority="9741" stopIfTrue="1">
      <formula>$B182&lt;&gt;""</formula>
    </cfRule>
  </conditionalFormatting>
  <conditionalFormatting sqref="S182:S185">
    <cfRule type="expression" dxfId="10503" priority="9740" stopIfTrue="1">
      <formula>$C182&lt;&gt;""</formula>
    </cfRule>
  </conditionalFormatting>
  <conditionalFormatting sqref="S186:S187">
    <cfRule type="expression" dxfId="10502" priority="9739" stopIfTrue="1">
      <formula>$B186&lt;&gt;""</formula>
    </cfRule>
  </conditionalFormatting>
  <conditionalFormatting sqref="S186:S187">
    <cfRule type="expression" dxfId="10501" priority="9738" stopIfTrue="1">
      <formula>$C186&lt;&gt;""</formula>
    </cfRule>
  </conditionalFormatting>
  <conditionalFormatting sqref="S182:S184">
    <cfRule type="expression" dxfId="10500" priority="9737" stopIfTrue="1">
      <formula>$B182&lt;&gt;""</formula>
    </cfRule>
  </conditionalFormatting>
  <conditionalFormatting sqref="S182:S184">
    <cfRule type="expression" dxfId="10499" priority="9736" stopIfTrue="1">
      <formula>$C182&lt;&gt;""</formula>
    </cfRule>
  </conditionalFormatting>
  <conditionalFormatting sqref="S185:S187">
    <cfRule type="expression" dxfId="10498" priority="9735" stopIfTrue="1">
      <formula>$B185&lt;&gt;""</formula>
    </cfRule>
  </conditionalFormatting>
  <conditionalFormatting sqref="S185:S187">
    <cfRule type="expression" dxfId="10497" priority="9734" stopIfTrue="1">
      <formula>$C185&lt;&gt;""</formula>
    </cfRule>
  </conditionalFormatting>
  <conditionalFormatting sqref="S182:S185">
    <cfRule type="expression" dxfId="10496" priority="9733" stopIfTrue="1">
      <formula>$B182&lt;&gt;""</formula>
    </cfRule>
  </conditionalFormatting>
  <conditionalFormatting sqref="S182:S185">
    <cfRule type="expression" dxfId="10495" priority="9732" stopIfTrue="1">
      <formula>$C182&lt;&gt;""</formula>
    </cfRule>
  </conditionalFormatting>
  <conditionalFormatting sqref="S182:S185">
    <cfRule type="expression" dxfId="10494" priority="9731" stopIfTrue="1">
      <formula>$B182&lt;&gt;""</formula>
    </cfRule>
  </conditionalFormatting>
  <conditionalFormatting sqref="S182:S185">
    <cfRule type="expression" dxfId="10493" priority="9730" stopIfTrue="1">
      <formula>$C182&lt;&gt;""</formula>
    </cfRule>
  </conditionalFormatting>
  <conditionalFormatting sqref="S186:S187">
    <cfRule type="expression" dxfId="10492" priority="9729" stopIfTrue="1">
      <formula>$B186&lt;&gt;""</formula>
    </cfRule>
  </conditionalFormatting>
  <conditionalFormatting sqref="S186:S187">
    <cfRule type="expression" dxfId="10491" priority="9728" stopIfTrue="1">
      <formula>$C186&lt;&gt;""</formula>
    </cfRule>
  </conditionalFormatting>
  <conditionalFormatting sqref="S182:S185">
    <cfRule type="expression" dxfId="10490" priority="9727" stopIfTrue="1">
      <formula>$B182&lt;&gt;""</formula>
    </cfRule>
  </conditionalFormatting>
  <conditionalFormatting sqref="S182:S185">
    <cfRule type="expression" dxfId="10489" priority="9726" stopIfTrue="1">
      <formula>$C182&lt;&gt;""</formula>
    </cfRule>
  </conditionalFormatting>
  <conditionalFormatting sqref="S186:S187">
    <cfRule type="expression" dxfId="10488" priority="9725" stopIfTrue="1">
      <formula>$B186&lt;&gt;""</formula>
    </cfRule>
  </conditionalFormatting>
  <conditionalFormatting sqref="S186:S187">
    <cfRule type="expression" dxfId="10487" priority="9724" stopIfTrue="1">
      <formula>$C186&lt;&gt;""</formula>
    </cfRule>
  </conditionalFormatting>
  <conditionalFormatting sqref="S186:S187">
    <cfRule type="expression" dxfId="10486" priority="9723" stopIfTrue="1">
      <formula>$B186&lt;&gt;""</formula>
    </cfRule>
  </conditionalFormatting>
  <conditionalFormatting sqref="S186:S187">
    <cfRule type="expression" dxfId="10485" priority="9722" stopIfTrue="1">
      <formula>$C186&lt;&gt;""</formula>
    </cfRule>
  </conditionalFormatting>
  <conditionalFormatting sqref="S182">
    <cfRule type="expression" dxfId="10484" priority="9721" stopIfTrue="1">
      <formula>$C182&lt;&gt;""</formula>
    </cfRule>
  </conditionalFormatting>
  <conditionalFormatting sqref="S182">
    <cfRule type="expression" dxfId="10483" priority="9720" stopIfTrue="1">
      <formula>$B182&lt;&gt;""</formula>
    </cfRule>
  </conditionalFormatting>
  <conditionalFormatting sqref="S183:S187">
    <cfRule type="expression" dxfId="10482" priority="9719" stopIfTrue="1">
      <formula>$C183&lt;&gt;""</formula>
    </cfRule>
  </conditionalFormatting>
  <conditionalFormatting sqref="S183:S187">
    <cfRule type="expression" dxfId="10481" priority="9718" stopIfTrue="1">
      <formula>$B183&lt;&gt;""</formula>
    </cfRule>
  </conditionalFormatting>
  <conditionalFormatting sqref="S185:S187">
    <cfRule type="expression" dxfId="10480" priority="9717" stopIfTrue="1">
      <formula>$C185&lt;&gt;""</formula>
    </cfRule>
  </conditionalFormatting>
  <conditionalFormatting sqref="S185:S187">
    <cfRule type="expression" dxfId="10479" priority="9716" stopIfTrue="1">
      <formula>$B185&lt;&gt;""</formula>
    </cfRule>
  </conditionalFormatting>
  <conditionalFormatting sqref="S182:S185">
    <cfRule type="expression" dxfId="10478" priority="9715" stopIfTrue="1">
      <formula>$B182&lt;&gt;""</formula>
    </cfRule>
  </conditionalFormatting>
  <conditionalFormatting sqref="S182:S185">
    <cfRule type="expression" dxfId="10477" priority="9714" stopIfTrue="1">
      <formula>$C182&lt;&gt;""</formula>
    </cfRule>
  </conditionalFormatting>
  <conditionalFormatting sqref="S186:S187">
    <cfRule type="expression" dxfId="10476" priority="9713" stopIfTrue="1">
      <formula>$B186&lt;&gt;""</formula>
    </cfRule>
  </conditionalFormatting>
  <conditionalFormatting sqref="S186:S187">
    <cfRule type="expression" dxfId="10475" priority="9712" stopIfTrue="1">
      <formula>$C186&lt;&gt;""</formula>
    </cfRule>
  </conditionalFormatting>
  <conditionalFormatting sqref="S182:S184">
    <cfRule type="expression" dxfId="10474" priority="9711" stopIfTrue="1">
      <formula>$B182&lt;&gt;""</formula>
    </cfRule>
  </conditionalFormatting>
  <conditionalFormatting sqref="S182:S184">
    <cfRule type="expression" dxfId="10473" priority="9710" stopIfTrue="1">
      <formula>$C182&lt;&gt;""</formula>
    </cfRule>
  </conditionalFormatting>
  <conditionalFormatting sqref="S185:S187">
    <cfRule type="expression" dxfId="10472" priority="9709" stopIfTrue="1">
      <formula>$B185&lt;&gt;""</formula>
    </cfRule>
  </conditionalFormatting>
  <conditionalFormatting sqref="S185:S187">
    <cfRule type="expression" dxfId="10471" priority="9708" stopIfTrue="1">
      <formula>$C185&lt;&gt;""</formula>
    </cfRule>
  </conditionalFormatting>
  <conditionalFormatting sqref="S182:S185">
    <cfRule type="expression" dxfId="10470" priority="9707" stopIfTrue="1">
      <formula>$B182&lt;&gt;""</formula>
    </cfRule>
  </conditionalFormatting>
  <conditionalFormatting sqref="S182:S185">
    <cfRule type="expression" dxfId="10469" priority="9706" stopIfTrue="1">
      <formula>$C182&lt;&gt;""</formula>
    </cfRule>
  </conditionalFormatting>
  <conditionalFormatting sqref="S182:S185">
    <cfRule type="expression" dxfId="10468" priority="9705" stopIfTrue="1">
      <formula>$B182&lt;&gt;""</formula>
    </cfRule>
  </conditionalFormatting>
  <conditionalFormatting sqref="S182:S185">
    <cfRule type="expression" dxfId="10467" priority="9704" stopIfTrue="1">
      <formula>$C182&lt;&gt;""</formula>
    </cfRule>
  </conditionalFormatting>
  <conditionalFormatting sqref="S186:S187">
    <cfRule type="expression" dxfId="10466" priority="9703" stopIfTrue="1">
      <formula>$B186&lt;&gt;""</formula>
    </cfRule>
  </conditionalFormatting>
  <conditionalFormatting sqref="S186:S187">
    <cfRule type="expression" dxfId="10465" priority="9702" stopIfTrue="1">
      <formula>$C186&lt;&gt;""</formula>
    </cfRule>
  </conditionalFormatting>
  <conditionalFormatting sqref="S182:S185">
    <cfRule type="expression" dxfId="10464" priority="9701" stopIfTrue="1">
      <formula>$B182&lt;&gt;""</formula>
    </cfRule>
  </conditionalFormatting>
  <conditionalFormatting sqref="S182:S185">
    <cfRule type="expression" dxfId="10463" priority="9700" stopIfTrue="1">
      <formula>$C182&lt;&gt;""</formula>
    </cfRule>
  </conditionalFormatting>
  <conditionalFormatting sqref="S186:S187">
    <cfRule type="expression" dxfId="10462" priority="9699" stopIfTrue="1">
      <formula>$B186&lt;&gt;""</formula>
    </cfRule>
  </conditionalFormatting>
  <conditionalFormatting sqref="S186:S187">
    <cfRule type="expression" dxfId="10461" priority="9698" stopIfTrue="1">
      <formula>$C186&lt;&gt;""</formula>
    </cfRule>
  </conditionalFormatting>
  <conditionalFormatting sqref="S186:S187">
    <cfRule type="expression" dxfId="10460" priority="9697" stopIfTrue="1">
      <formula>$B186&lt;&gt;""</formula>
    </cfRule>
  </conditionalFormatting>
  <conditionalFormatting sqref="S186:S187">
    <cfRule type="expression" dxfId="10459" priority="9696" stopIfTrue="1">
      <formula>$C186&lt;&gt;""</formula>
    </cfRule>
  </conditionalFormatting>
  <conditionalFormatting sqref="S182">
    <cfRule type="expression" dxfId="10458" priority="9695" stopIfTrue="1">
      <formula>$C182&lt;&gt;""</formula>
    </cfRule>
  </conditionalFormatting>
  <conditionalFormatting sqref="S182">
    <cfRule type="expression" dxfId="10457" priority="9694" stopIfTrue="1">
      <formula>$B182&lt;&gt;""</formula>
    </cfRule>
  </conditionalFormatting>
  <conditionalFormatting sqref="S183:S187">
    <cfRule type="expression" dxfId="10456" priority="9693" stopIfTrue="1">
      <formula>$C183&lt;&gt;""</formula>
    </cfRule>
  </conditionalFormatting>
  <conditionalFormatting sqref="S183:S187">
    <cfRule type="expression" dxfId="10455" priority="9692" stopIfTrue="1">
      <formula>$B183&lt;&gt;""</formula>
    </cfRule>
  </conditionalFormatting>
  <conditionalFormatting sqref="S185:S187">
    <cfRule type="expression" dxfId="10454" priority="9691" stopIfTrue="1">
      <formula>$C185&lt;&gt;""</formula>
    </cfRule>
  </conditionalFormatting>
  <conditionalFormatting sqref="S185:S187">
    <cfRule type="expression" dxfId="10453" priority="9690" stopIfTrue="1">
      <formula>$B185&lt;&gt;""</formula>
    </cfRule>
  </conditionalFormatting>
  <conditionalFormatting sqref="S188:S191">
    <cfRule type="expression" dxfId="10452" priority="9689" stopIfTrue="1">
      <formula>$B188&lt;&gt;""</formula>
    </cfRule>
  </conditionalFormatting>
  <conditionalFormatting sqref="S188:S191">
    <cfRule type="expression" dxfId="10451" priority="9688" stopIfTrue="1">
      <formula>$C188&lt;&gt;""</formula>
    </cfRule>
  </conditionalFormatting>
  <conditionalFormatting sqref="S192">
    <cfRule type="expression" dxfId="10450" priority="9687" stopIfTrue="1">
      <formula>$B192&lt;&gt;""</formula>
    </cfRule>
  </conditionalFormatting>
  <conditionalFormatting sqref="S192">
    <cfRule type="expression" dxfId="10449" priority="9686" stopIfTrue="1">
      <formula>$C192&lt;&gt;""</formula>
    </cfRule>
  </conditionalFormatting>
  <conditionalFormatting sqref="S188:S190">
    <cfRule type="expression" dxfId="10448" priority="9685" stopIfTrue="1">
      <formula>$B188&lt;&gt;""</formula>
    </cfRule>
  </conditionalFormatting>
  <conditionalFormatting sqref="S188:S190">
    <cfRule type="expression" dxfId="10447" priority="9684" stopIfTrue="1">
      <formula>$C188&lt;&gt;""</formula>
    </cfRule>
  </conditionalFormatting>
  <conditionalFormatting sqref="S191:S192">
    <cfRule type="expression" dxfId="10446" priority="9683" stopIfTrue="1">
      <formula>$B191&lt;&gt;""</formula>
    </cfRule>
  </conditionalFormatting>
  <conditionalFormatting sqref="S191:S192">
    <cfRule type="expression" dxfId="10445" priority="9682" stopIfTrue="1">
      <formula>$C191&lt;&gt;""</formula>
    </cfRule>
  </conditionalFormatting>
  <conditionalFormatting sqref="S188:S191">
    <cfRule type="expression" dxfId="10444" priority="9681" stopIfTrue="1">
      <formula>$B188&lt;&gt;""</formula>
    </cfRule>
  </conditionalFormatting>
  <conditionalFormatting sqref="S188:S191">
    <cfRule type="expression" dxfId="10443" priority="9680" stopIfTrue="1">
      <formula>$C188&lt;&gt;""</formula>
    </cfRule>
  </conditionalFormatting>
  <conditionalFormatting sqref="S188:S191">
    <cfRule type="expression" dxfId="10442" priority="9679" stopIfTrue="1">
      <formula>$B188&lt;&gt;""</formula>
    </cfRule>
  </conditionalFormatting>
  <conditionalFormatting sqref="S188:S191">
    <cfRule type="expression" dxfId="10441" priority="9678" stopIfTrue="1">
      <formula>$C188&lt;&gt;""</formula>
    </cfRule>
  </conditionalFormatting>
  <conditionalFormatting sqref="S192">
    <cfRule type="expression" dxfId="10440" priority="9677" stopIfTrue="1">
      <formula>$B192&lt;&gt;""</formula>
    </cfRule>
  </conditionalFormatting>
  <conditionalFormatting sqref="S192">
    <cfRule type="expression" dxfId="10439" priority="9676" stopIfTrue="1">
      <formula>$C192&lt;&gt;""</formula>
    </cfRule>
  </conditionalFormatting>
  <conditionalFormatting sqref="S188:S191">
    <cfRule type="expression" dxfId="10438" priority="9675" stopIfTrue="1">
      <formula>$B188&lt;&gt;""</formula>
    </cfRule>
  </conditionalFormatting>
  <conditionalFormatting sqref="S188:S191">
    <cfRule type="expression" dxfId="10437" priority="9674" stopIfTrue="1">
      <formula>$C188&lt;&gt;""</formula>
    </cfRule>
  </conditionalFormatting>
  <conditionalFormatting sqref="S192">
    <cfRule type="expression" dxfId="10436" priority="9673" stopIfTrue="1">
      <formula>$B192&lt;&gt;""</formula>
    </cfRule>
  </conditionalFormatting>
  <conditionalFormatting sqref="S192">
    <cfRule type="expression" dxfId="10435" priority="9672" stopIfTrue="1">
      <formula>$C192&lt;&gt;""</formula>
    </cfRule>
  </conditionalFormatting>
  <conditionalFormatting sqref="S192">
    <cfRule type="expression" dxfId="10434" priority="9671" stopIfTrue="1">
      <formula>$B192&lt;&gt;""</formula>
    </cfRule>
  </conditionalFormatting>
  <conditionalFormatting sqref="S192">
    <cfRule type="expression" dxfId="10433" priority="9670" stopIfTrue="1">
      <formula>$C192&lt;&gt;""</formula>
    </cfRule>
  </conditionalFormatting>
  <conditionalFormatting sqref="S188">
    <cfRule type="expression" dxfId="10432" priority="9669" stopIfTrue="1">
      <formula>$C188&lt;&gt;""</formula>
    </cfRule>
  </conditionalFormatting>
  <conditionalFormatting sqref="S188">
    <cfRule type="expression" dxfId="10431" priority="9668" stopIfTrue="1">
      <formula>$B188&lt;&gt;""</formula>
    </cfRule>
  </conditionalFormatting>
  <conditionalFormatting sqref="S189:S192">
    <cfRule type="expression" dxfId="10430" priority="9667" stopIfTrue="1">
      <formula>$C189&lt;&gt;""</formula>
    </cfRule>
  </conditionalFormatting>
  <conditionalFormatting sqref="S189:S192">
    <cfRule type="expression" dxfId="10429" priority="9666" stopIfTrue="1">
      <formula>$B189&lt;&gt;""</formula>
    </cfRule>
  </conditionalFormatting>
  <conditionalFormatting sqref="S191:S192">
    <cfRule type="expression" dxfId="10428" priority="9665" stopIfTrue="1">
      <formula>$C191&lt;&gt;""</formula>
    </cfRule>
  </conditionalFormatting>
  <conditionalFormatting sqref="S191:S192">
    <cfRule type="expression" dxfId="10427" priority="9664" stopIfTrue="1">
      <formula>$B191&lt;&gt;""</formula>
    </cfRule>
  </conditionalFormatting>
  <conditionalFormatting sqref="S188:S191">
    <cfRule type="expression" dxfId="10426" priority="9663" stopIfTrue="1">
      <formula>$B188&lt;&gt;""</formula>
    </cfRule>
  </conditionalFormatting>
  <conditionalFormatting sqref="S188:S191">
    <cfRule type="expression" dxfId="10425" priority="9662" stopIfTrue="1">
      <formula>$C188&lt;&gt;""</formula>
    </cfRule>
  </conditionalFormatting>
  <conditionalFormatting sqref="S192">
    <cfRule type="expression" dxfId="10424" priority="9661" stopIfTrue="1">
      <formula>$B192&lt;&gt;""</formula>
    </cfRule>
  </conditionalFormatting>
  <conditionalFormatting sqref="S192">
    <cfRule type="expression" dxfId="10423" priority="9660" stopIfTrue="1">
      <formula>$C192&lt;&gt;""</formula>
    </cfRule>
  </conditionalFormatting>
  <conditionalFormatting sqref="S188:S190">
    <cfRule type="expression" dxfId="10422" priority="9659" stopIfTrue="1">
      <formula>$B188&lt;&gt;""</formula>
    </cfRule>
  </conditionalFormatting>
  <conditionalFormatting sqref="S188:S190">
    <cfRule type="expression" dxfId="10421" priority="9658" stopIfTrue="1">
      <formula>$C188&lt;&gt;""</formula>
    </cfRule>
  </conditionalFormatting>
  <conditionalFormatting sqref="S191:S192">
    <cfRule type="expression" dxfId="10420" priority="9657" stopIfTrue="1">
      <formula>$B191&lt;&gt;""</formula>
    </cfRule>
  </conditionalFormatting>
  <conditionalFormatting sqref="S191:S192">
    <cfRule type="expression" dxfId="10419" priority="9656" stopIfTrue="1">
      <formula>$C191&lt;&gt;""</formula>
    </cfRule>
  </conditionalFormatting>
  <conditionalFormatting sqref="S188:S191">
    <cfRule type="expression" dxfId="10418" priority="9655" stopIfTrue="1">
      <formula>$B188&lt;&gt;""</formula>
    </cfRule>
  </conditionalFormatting>
  <conditionalFormatting sqref="S188:S191">
    <cfRule type="expression" dxfId="10417" priority="9654" stopIfTrue="1">
      <formula>$C188&lt;&gt;""</formula>
    </cfRule>
  </conditionalFormatting>
  <conditionalFormatting sqref="S188:S191">
    <cfRule type="expression" dxfId="10416" priority="9653" stopIfTrue="1">
      <formula>$B188&lt;&gt;""</formula>
    </cfRule>
  </conditionalFormatting>
  <conditionalFormatting sqref="S188:S191">
    <cfRule type="expression" dxfId="10415" priority="9652" stopIfTrue="1">
      <formula>$C188&lt;&gt;""</formula>
    </cfRule>
  </conditionalFormatting>
  <conditionalFormatting sqref="S192">
    <cfRule type="expression" dxfId="10414" priority="9651" stopIfTrue="1">
      <formula>$B192&lt;&gt;""</formula>
    </cfRule>
  </conditionalFormatting>
  <conditionalFormatting sqref="S192">
    <cfRule type="expression" dxfId="10413" priority="9650" stopIfTrue="1">
      <formula>$C192&lt;&gt;""</formula>
    </cfRule>
  </conditionalFormatting>
  <conditionalFormatting sqref="S188:S191">
    <cfRule type="expression" dxfId="10412" priority="9649" stopIfTrue="1">
      <formula>$B188&lt;&gt;""</formula>
    </cfRule>
  </conditionalFormatting>
  <conditionalFormatting sqref="S188:S191">
    <cfRule type="expression" dxfId="10411" priority="9648" stopIfTrue="1">
      <formula>$C188&lt;&gt;""</formula>
    </cfRule>
  </conditionalFormatting>
  <conditionalFormatting sqref="S192">
    <cfRule type="expression" dxfId="10410" priority="9647" stopIfTrue="1">
      <formula>$B192&lt;&gt;""</formula>
    </cfRule>
  </conditionalFormatting>
  <conditionalFormatting sqref="S192">
    <cfRule type="expression" dxfId="10409" priority="9646" stopIfTrue="1">
      <formula>$C192&lt;&gt;""</formula>
    </cfRule>
  </conditionalFormatting>
  <conditionalFormatting sqref="S192">
    <cfRule type="expression" dxfId="10408" priority="9645" stopIfTrue="1">
      <formula>$B192&lt;&gt;""</formula>
    </cfRule>
  </conditionalFormatting>
  <conditionalFormatting sqref="S192">
    <cfRule type="expression" dxfId="10407" priority="9644" stopIfTrue="1">
      <formula>$C192&lt;&gt;""</formula>
    </cfRule>
  </conditionalFormatting>
  <conditionalFormatting sqref="S188">
    <cfRule type="expression" dxfId="10406" priority="9643" stopIfTrue="1">
      <formula>$C188&lt;&gt;""</formula>
    </cfRule>
  </conditionalFormatting>
  <conditionalFormatting sqref="S188">
    <cfRule type="expression" dxfId="10405" priority="9642" stopIfTrue="1">
      <formula>$B188&lt;&gt;""</formula>
    </cfRule>
  </conditionalFormatting>
  <conditionalFormatting sqref="S189:S192">
    <cfRule type="expression" dxfId="10404" priority="9641" stopIfTrue="1">
      <formula>$C189&lt;&gt;""</formula>
    </cfRule>
  </conditionalFormatting>
  <conditionalFormatting sqref="S189:S192">
    <cfRule type="expression" dxfId="10403" priority="9640" stopIfTrue="1">
      <formula>$B189&lt;&gt;""</formula>
    </cfRule>
  </conditionalFormatting>
  <conditionalFormatting sqref="S191:S192">
    <cfRule type="expression" dxfId="10402" priority="9639" stopIfTrue="1">
      <formula>$C191&lt;&gt;""</formula>
    </cfRule>
  </conditionalFormatting>
  <conditionalFormatting sqref="S191:S192">
    <cfRule type="expression" dxfId="10401" priority="9638" stopIfTrue="1">
      <formula>$B191&lt;&gt;""</formula>
    </cfRule>
  </conditionalFormatting>
  <conditionalFormatting sqref="S193:S196">
    <cfRule type="expression" dxfId="10400" priority="9637" stopIfTrue="1">
      <formula>$B193&lt;&gt;""</formula>
    </cfRule>
  </conditionalFormatting>
  <conditionalFormatting sqref="S193:S196">
    <cfRule type="expression" dxfId="10399" priority="9636" stopIfTrue="1">
      <formula>$C193&lt;&gt;""</formula>
    </cfRule>
  </conditionalFormatting>
  <conditionalFormatting sqref="S197">
    <cfRule type="expression" dxfId="10398" priority="9635" stopIfTrue="1">
      <formula>$B197&lt;&gt;""</formula>
    </cfRule>
  </conditionalFormatting>
  <conditionalFormatting sqref="S197">
    <cfRule type="expression" dxfId="10397" priority="9634" stopIfTrue="1">
      <formula>$C197&lt;&gt;""</formula>
    </cfRule>
  </conditionalFormatting>
  <conditionalFormatting sqref="S193:S195">
    <cfRule type="expression" dxfId="10396" priority="9633" stopIfTrue="1">
      <formula>$B193&lt;&gt;""</formula>
    </cfRule>
  </conditionalFormatting>
  <conditionalFormatting sqref="S193:S195">
    <cfRule type="expression" dxfId="10395" priority="9632" stopIfTrue="1">
      <formula>$C193&lt;&gt;""</formula>
    </cfRule>
  </conditionalFormatting>
  <conditionalFormatting sqref="S196:S197">
    <cfRule type="expression" dxfId="10394" priority="9631" stopIfTrue="1">
      <formula>$B196&lt;&gt;""</formula>
    </cfRule>
  </conditionalFormatting>
  <conditionalFormatting sqref="S196:S197">
    <cfRule type="expression" dxfId="10393" priority="9630" stopIfTrue="1">
      <formula>$C196&lt;&gt;""</formula>
    </cfRule>
  </conditionalFormatting>
  <conditionalFormatting sqref="S193:S196">
    <cfRule type="expression" dxfId="10392" priority="9629" stopIfTrue="1">
      <formula>$B193&lt;&gt;""</formula>
    </cfRule>
  </conditionalFormatting>
  <conditionalFormatting sqref="S193:S196">
    <cfRule type="expression" dxfId="10391" priority="9628" stopIfTrue="1">
      <formula>$C193&lt;&gt;""</formula>
    </cfRule>
  </conditionalFormatting>
  <conditionalFormatting sqref="S193:S196">
    <cfRule type="expression" dxfId="10390" priority="9627" stopIfTrue="1">
      <formula>$B193&lt;&gt;""</formula>
    </cfRule>
  </conditionalFormatting>
  <conditionalFormatting sqref="S193:S196">
    <cfRule type="expression" dxfId="10389" priority="9626" stopIfTrue="1">
      <formula>$C193&lt;&gt;""</formula>
    </cfRule>
  </conditionalFormatting>
  <conditionalFormatting sqref="S197">
    <cfRule type="expression" dxfId="10388" priority="9625" stopIfTrue="1">
      <formula>$B197&lt;&gt;""</formula>
    </cfRule>
  </conditionalFormatting>
  <conditionalFormatting sqref="S197">
    <cfRule type="expression" dxfId="10387" priority="9624" stopIfTrue="1">
      <formula>$C197&lt;&gt;""</formula>
    </cfRule>
  </conditionalFormatting>
  <conditionalFormatting sqref="S193:S196">
    <cfRule type="expression" dxfId="10386" priority="9623" stopIfTrue="1">
      <formula>$B193&lt;&gt;""</formula>
    </cfRule>
  </conditionalFormatting>
  <conditionalFormatting sqref="S193:S196">
    <cfRule type="expression" dxfId="10385" priority="9622" stopIfTrue="1">
      <formula>$C193&lt;&gt;""</formula>
    </cfRule>
  </conditionalFormatting>
  <conditionalFormatting sqref="S197">
    <cfRule type="expression" dxfId="10384" priority="9621" stopIfTrue="1">
      <formula>$B197&lt;&gt;""</formula>
    </cfRule>
  </conditionalFormatting>
  <conditionalFormatting sqref="S197">
    <cfRule type="expression" dxfId="10383" priority="9620" stopIfTrue="1">
      <formula>$C197&lt;&gt;""</formula>
    </cfRule>
  </conditionalFormatting>
  <conditionalFormatting sqref="S197">
    <cfRule type="expression" dxfId="10382" priority="9619" stopIfTrue="1">
      <formula>$B197&lt;&gt;""</formula>
    </cfRule>
  </conditionalFormatting>
  <conditionalFormatting sqref="S197">
    <cfRule type="expression" dxfId="10381" priority="9618" stopIfTrue="1">
      <formula>$C197&lt;&gt;""</formula>
    </cfRule>
  </conditionalFormatting>
  <conditionalFormatting sqref="S193">
    <cfRule type="expression" dxfId="10380" priority="9617" stopIfTrue="1">
      <formula>$C193&lt;&gt;""</formula>
    </cfRule>
  </conditionalFormatting>
  <conditionalFormatting sqref="S193">
    <cfRule type="expression" dxfId="10379" priority="9616" stopIfTrue="1">
      <formula>$B193&lt;&gt;""</formula>
    </cfRule>
  </conditionalFormatting>
  <conditionalFormatting sqref="S194:S197">
    <cfRule type="expression" dxfId="10378" priority="9615" stopIfTrue="1">
      <formula>$C194&lt;&gt;""</formula>
    </cfRule>
  </conditionalFormatting>
  <conditionalFormatting sqref="S194:S197">
    <cfRule type="expression" dxfId="10377" priority="9614" stopIfTrue="1">
      <formula>$B194&lt;&gt;""</formula>
    </cfRule>
  </conditionalFormatting>
  <conditionalFormatting sqref="S196:S197">
    <cfRule type="expression" dxfId="10376" priority="9613" stopIfTrue="1">
      <formula>$C196&lt;&gt;""</formula>
    </cfRule>
  </conditionalFormatting>
  <conditionalFormatting sqref="S196:S197">
    <cfRule type="expression" dxfId="10375" priority="9612" stopIfTrue="1">
      <formula>$B196&lt;&gt;""</formula>
    </cfRule>
  </conditionalFormatting>
  <conditionalFormatting sqref="S193:S196">
    <cfRule type="expression" dxfId="10374" priority="9611" stopIfTrue="1">
      <formula>$B193&lt;&gt;""</formula>
    </cfRule>
  </conditionalFormatting>
  <conditionalFormatting sqref="S193:S196">
    <cfRule type="expression" dxfId="10373" priority="9610" stopIfTrue="1">
      <formula>$C193&lt;&gt;""</formula>
    </cfRule>
  </conditionalFormatting>
  <conditionalFormatting sqref="S197">
    <cfRule type="expression" dxfId="10372" priority="9609" stopIfTrue="1">
      <formula>$B197&lt;&gt;""</formula>
    </cfRule>
  </conditionalFormatting>
  <conditionalFormatting sqref="S197">
    <cfRule type="expression" dxfId="10371" priority="9608" stopIfTrue="1">
      <formula>$C197&lt;&gt;""</formula>
    </cfRule>
  </conditionalFormatting>
  <conditionalFormatting sqref="S193:S195">
    <cfRule type="expression" dxfId="10370" priority="9607" stopIfTrue="1">
      <formula>$B193&lt;&gt;""</formula>
    </cfRule>
  </conditionalFormatting>
  <conditionalFormatting sqref="S193:S195">
    <cfRule type="expression" dxfId="10369" priority="9606" stopIfTrue="1">
      <formula>$C193&lt;&gt;""</formula>
    </cfRule>
  </conditionalFormatting>
  <conditionalFormatting sqref="S196:S197">
    <cfRule type="expression" dxfId="10368" priority="9605" stopIfTrue="1">
      <formula>$B196&lt;&gt;""</formula>
    </cfRule>
  </conditionalFormatting>
  <conditionalFormatting sqref="S196:S197">
    <cfRule type="expression" dxfId="10367" priority="9604" stopIfTrue="1">
      <formula>$C196&lt;&gt;""</formula>
    </cfRule>
  </conditionalFormatting>
  <conditionalFormatting sqref="S193:S196">
    <cfRule type="expression" dxfId="10366" priority="9603" stopIfTrue="1">
      <formula>$B193&lt;&gt;""</formula>
    </cfRule>
  </conditionalFormatting>
  <conditionalFormatting sqref="S193:S196">
    <cfRule type="expression" dxfId="10365" priority="9602" stopIfTrue="1">
      <formula>$C193&lt;&gt;""</formula>
    </cfRule>
  </conditionalFormatting>
  <conditionalFormatting sqref="S193:S196">
    <cfRule type="expression" dxfId="10364" priority="9601" stopIfTrue="1">
      <formula>$B193&lt;&gt;""</formula>
    </cfRule>
  </conditionalFormatting>
  <conditionalFormatting sqref="S193:S196">
    <cfRule type="expression" dxfId="10363" priority="9600" stopIfTrue="1">
      <formula>$C193&lt;&gt;""</formula>
    </cfRule>
  </conditionalFormatting>
  <conditionalFormatting sqref="S197">
    <cfRule type="expression" dxfId="10362" priority="9599" stopIfTrue="1">
      <formula>$B197&lt;&gt;""</formula>
    </cfRule>
  </conditionalFormatting>
  <conditionalFormatting sqref="S197">
    <cfRule type="expression" dxfId="10361" priority="9598" stopIfTrue="1">
      <formula>$C197&lt;&gt;""</formula>
    </cfRule>
  </conditionalFormatting>
  <conditionalFormatting sqref="S193:S196">
    <cfRule type="expression" dxfId="10360" priority="9597" stopIfTrue="1">
      <formula>$B193&lt;&gt;""</formula>
    </cfRule>
  </conditionalFormatting>
  <conditionalFormatting sqref="S193:S196">
    <cfRule type="expression" dxfId="10359" priority="9596" stopIfTrue="1">
      <formula>$C193&lt;&gt;""</formula>
    </cfRule>
  </conditionalFormatting>
  <conditionalFormatting sqref="S197">
    <cfRule type="expression" dxfId="10358" priority="9595" stopIfTrue="1">
      <formula>$B197&lt;&gt;""</formula>
    </cfRule>
  </conditionalFormatting>
  <conditionalFormatting sqref="S197">
    <cfRule type="expression" dxfId="10357" priority="9594" stopIfTrue="1">
      <formula>$C197&lt;&gt;""</formula>
    </cfRule>
  </conditionalFormatting>
  <conditionalFormatting sqref="S197">
    <cfRule type="expression" dxfId="10356" priority="9593" stopIfTrue="1">
      <formula>$B197&lt;&gt;""</formula>
    </cfRule>
  </conditionalFormatting>
  <conditionalFormatting sqref="S197">
    <cfRule type="expression" dxfId="10355" priority="9592" stopIfTrue="1">
      <formula>$C197&lt;&gt;""</formula>
    </cfRule>
  </conditionalFormatting>
  <conditionalFormatting sqref="S193">
    <cfRule type="expression" dxfId="10354" priority="9591" stopIfTrue="1">
      <formula>$C193&lt;&gt;""</formula>
    </cfRule>
  </conditionalFormatting>
  <conditionalFormatting sqref="S193">
    <cfRule type="expression" dxfId="10353" priority="9590" stopIfTrue="1">
      <formula>$B193&lt;&gt;""</formula>
    </cfRule>
  </conditionalFormatting>
  <conditionalFormatting sqref="S194:S197">
    <cfRule type="expression" dxfId="10352" priority="9589" stopIfTrue="1">
      <formula>$C194&lt;&gt;""</formula>
    </cfRule>
  </conditionalFormatting>
  <conditionalFormatting sqref="S194:S197">
    <cfRule type="expression" dxfId="10351" priority="9588" stopIfTrue="1">
      <formula>$B194&lt;&gt;""</formula>
    </cfRule>
  </conditionalFormatting>
  <conditionalFormatting sqref="S196:S197">
    <cfRule type="expression" dxfId="10350" priority="9587" stopIfTrue="1">
      <formula>$C196&lt;&gt;""</formula>
    </cfRule>
  </conditionalFormatting>
  <conditionalFormatting sqref="S196:S197">
    <cfRule type="expression" dxfId="10349" priority="9586" stopIfTrue="1">
      <formula>$B196&lt;&gt;""</formula>
    </cfRule>
  </conditionalFormatting>
  <conditionalFormatting sqref="S198:S201">
    <cfRule type="expression" dxfId="10348" priority="9585" stopIfTrue="1">
      <formula>$B198&lt;&gt;""</formula>
    </cfRule>
  </conditionalFormatting>
  <conditionalFormatting sqref="S198:S201">
    <cfRule type="expression" dxfId="10347" priority="9584" stopIfTrue="1">
      <formula>$C198&lt;&gt;""</formula>
    </cfRule>
  </conditionalFormatting>
  <conditionalFormatting sqref="S202">
    <cfRule type="expression" dxfId="10346" priority="9583" stopIfTrue="1">
      <formula>$B202&lt;&gt;""</formula>
    </cfRule>
  </conditionalFormatting>
  <conditionalFormatting sqref="S202">
    <cfRule type="expression" dxfId="10345" priority="9582" stopIfTrue="1">
      <formula>$C202&lt;&gt;""</formula>
    </cfRule>
  </conditionalFormatting>
  <conditionalFormatting sqref="S198:S200">
    <cfRule type="expression" dxfId="10344" priority="9581" stopIfTrue="1">
      <formula>$B198&lt;&gt;""</formula>
    </cfRule>
  </conditionalFormatting>
  <conditionalFormatting sqref="S198:S200">
    <cfRule type="expression" dxfId="10343" priority="9580" stopIfTrue="1">
      <formula>$C198&lt;&gt;""</formula>
    </cfRule>
  </conditionalFormatting>
  <conditionalFormatting sqref="S201:S202">
    <cfRule type="expression" dxfId="10342" priority="9579" stopIfTrue="1">
      <formula>$B201&lt;&gt;""</formula>
    </cfRule>
  </conditionalFormatting>
  <conditionalFormatting sqref="S201:S202">
    <cfRule type="expression" dxfId="10341" priority="9578" stopIfTrue="1">
      <formula>$C201&lt;&gt;""</formula>
    </cfRule>
  </conditionalFormatting>
  <conditionalFormatting sqref="S198:S201">
    <cfRule type="expression" dxfId="10340" priority="9577" stopIfTrue="1">
      <formula>$B198&lt;&gt;""</formula>
    </cfRule>
  </conditionalFormatting>
  <conditionalFormatting sqref="S198:S201">
    <cfRule type="expression" dxfId="10339" priority="9576" stopIfTrue="1">
      <formula>$C198&lt;&gt;""</formula>
    </cfRule>
  </conditionalFormatting>
  <conditionalFormatting sqref="S198:S201">
    <cfRule type="expression" dxfId="10338" priority="9575" stopIfTrue="1">
      <formula>$B198&lt;&gt;""</formula>
    </cfRule>
  </conditionalFormatting>
  <conditionalFormatting sqref="S198:S201">
    <cfRule type="expression" dxfId="10337" priority="9574" stopIfTrue="1">
      <formula>$C198&lt;&gt;""</formula>
    </cfRule>
  </conditionalFormatting>
  <conditionalFormatting sqref="S202">
    <cfRule type="expression" dxfId="10336" priority="9573" stopIfTrue="1">
      <formula>$B202&lt;&gt;""</formula>
    </cfRule>
  </conditionalFormatting>
  <conditionalFormatting sqref="S202">
    <cfRule type="expression" dxfId="10335" priority="9572" stopIfTrue="1">
      <formula>$C202&lt;&gt;""</formula>
    </cfRule>
  </conditionalFormatting>
  <conditionalFormatting sqref="S198:S201">
    <cfRule type="expression" dxfId="10334" priority="9571" stopIfTrue="1">
      <formula>$B198&lt;&gt;""</formula>
    </cfRule>
  </conditionalFormatting>
  <conditionalFormatting sqref="S198:S201">
    <cfRule type="expression" dxfId="10333" priority="9570" stopIfTrue="1">
      <formula>$C198&lt;&gt;""</formula>
    </cfRule>
  </conditionalFormatting>
  <conditionalFormatting sqref="S202">
    <cfRule type="expression" dxfId="10332" priority="9569" stopIfTrue="1">
      <formula>$B202&lt;&gt;""</formula>
    </cfRule>
  </conditionalFormatting>
  <conditionalFormatting sqref="S202">
    <cfRule type="expression" dxfId="10331" priority="9568" stopIfTrue="1">
      <formula>$C202&lt;&gt;""</formula>
    </cfRule>
  </conditionalFormatting>
  <conditionalFormatting sqref="S202">
    <cfRule type="expression" dxfId="10330" priority="9567" stopIfTrue="1">
      <formula>$B202&lt;&gt;""</formula>
    </cfRule>
  </conditionalFormatting>
  <conditionalFormatting sqref="S202">
    <cfRule type="expression" dxfId="10329" priority="9566" stopIfTrue="1">
      <formula>$C202&lt;&gt;""</formula>
    </cfRule>
  </conditionalFormatting>
  <conditionalFormatting sqref="S198">
    <cfRule type="expression" dxfId="10328" priority="9565" stopIfTrue="1">
      <formula>$C198&lt;&gt;""</formula>
    </cfRule>
  </conditionalFormatting>
  <conditionalFormatting sqref="S198">
    <cfRule type="expression" dxfId="10327" priority="9564" stopIfTrue="1">
      <formula>$B198&lt;&gt;""</formula>
    </cfRule>
  </conditionalFormatting>
  <conditionalFormatting sqref="S199:S202">
    <cfRule type="expression" dxfId="10326" priority="9563" stopIfTrue="1">
      <formula>$C199&lt;&gt;""</formula>
    </cfRule>
  </conditionalFormatting>
  <conditionalFormatting sqref="S199:S202">
    <cfRule type="expression" dxfId="10325" priority="9562" stopIfTrue="1">
      <formula>$B199&lt;&gt;""</formula>
    </cfRule>
  </conditionalFormatting>
  <conditionalFormatting sqref="S201:S202">
    <cfRule type="expression" dxfId="10324" priority="9561" stopIfTrue="1">
      <formula>$C201&lt;&gt;""</formula>
    </cfRule>
  </conditionalFormatting>
  <conditionalFormatting sqref="S201:S202">
    <cfRule type="expression" dxfId="10323" priority="9560" stopIfTrue="1">
      <formula>$B201&lt;&gt;""</formula>
    </cfRule>
  </conditionalFormatting>
  <conditionalFormatting sqref="S198:S201">
    <cfRule type="expression" dxfId="10322" priority="9559" stopIfTrue="1">
      <formula>$B198&lt;&gt;""</formula>
    </cfRule>
  </conditionalFormatting>
  <conditionalFormatting sqref="S198:S201">
    <cfRule type="expression" dxfId="10321" priority="9558" stopIfTrue="1">
      <formula>$C198&lt;&gt;""</formula>
    </cfRule>
  </conditionalFormatting>
  <conditionalFormatting sqref="S202">
    <cfRule type="expression" dxfId="10320" priority="9557" stopIfTrue="1">
      <formula>$B202&lt;&gt;""</formula>
    </cfRule>
  </conditionalFormatting>
  <conditionalFormatting sqref="S202">
    <cfRule type="expression" dxfId="10319" priority="9556" stopIfTrue="1">
      <formula>$C202&lt;&gt;""</formula>
    </cfRule>
  </conditionalFormatting>
  <conditionalFormatting sqref="S198:S200">
    <cfRule type="expression" dxfId="10318" priority="9555" stopIfTrue="1">
      <formula>$B198&lt;&gt;""</formula>
    </cfRule>
  </conditionalFormatting>
  <conditionalFormatting sqref="S198:S200">
    <cfRule type="expression" dxfId="10317" priority="9554" stopIfTrue="1">
      <formula>$C198&lt;&gt;""</formula>
    </cfRule>
  </conditionalFormatting>
  <conditionalFormatting sqref="S201:S202">
    <cfRule type="expression" dxfId="10316" priority="9553" stopIfTrue="1">
      <formula>$B201&lt;&gt;""</formula>
    </cfRule>
  </conditionalFormatting>
  <conditionalFormatting sqref="S201:S202">
    <cfRule type="expression" dxfId="10315" priority="9552" stopIfTrue="1">
      <formula>$C201&lt;&gt;""</formula>
    </cfRule>
  </conditionalFormatting>
  <conditionalFormatting sqref="S198:S201">
    <cfRule type="expression" dxfId="10314" priority="9551" stopIfTrue="1">
      <formula>$B198&lt;&gt;""</formula>
    </cfRule>
  </conditionalFormatting>
  <conditionalFormatting sqref="S198:S201">
    <cfRule type="expression" dxfId="10313" priority="9550" stopIfTrue="1">
      <formula>$C198&lt;&gt;""</formula>
    </cfRule>
  </conditionalFormatting>
  <conditionalFormatting sqref="S198:S201">
    <cfRule type="expression" dxfId="10312" priority="9549" stopIfTrue="1">
      <formula>$B198&lt;&gt;""</formula>
    </cfRule>
  </conditionalFormatting>
  <conditionalFormatting sqref="S198:S201">
    <cfRule type="expression" dxfId="10311" priority="9548" stopIfTrue="1">
      <formula>$C198&lt;&gt;""</formula>
    </cfRule>
  </conditionalFormatting>
  <conditionalFormatting sqref="S202">
    <cfRule type="expression" dxfId="10310" priority="9547" stopIfTrue="1">
      <formula>$B202&lt;&gt;""</formula>
    </cfRule>
  </conditionalFormatting>
  <conditionalFormatting sqref="S202">
    <cfRule type="expression" dxfId="10309" priority="9546" stopIfTrue="1">
      <formula>$C202&lt;&gt;""</formula>
    </cfRule>
  </conditionalFormatting>
  <conditionalFormatting sqref="S198:S201">
    <cfRule type="expression" dxfId="10308" priority="9545" stopIfTrue="1">
      <formula>$B198&lt;&gt;""</formula>
    </cfRule>
  </conditionalFormatting>
  <conditionalFormatting sqref="S198:S201">
    <cfRule type="expression" dxfId="10307" priority="9544" stopIfTrue="1">
      <formula>$C198&lt;&gt;""</formula>
    </cfRule>
  </conditionalFormatting>
  <conditionalFormatting sqref="S202">
    <cfRule type="expression" dxfId="10306" priority="9543" stopIfTrue="1">
      <formula>$B202&lt;&gt;""</formula>
    </cfRule>
  </conditionalFormatting>
  <conditionalFormatting sqref="S202">
    <cfRule type="expression" dxfId="10305" priority="9542" stopIfTrue="1">
      <formula>$C202&lt;&gt;""</formula>
    </cfRule>
  </conditionalFormatting>
  <conditionalFormatting sqref="S202">
    <cfRule type="expression" dxfId="10304" priority="9541" stopIfTrue="1">
      <formula>$B202&lt;&gt;""</formula>
    </cfRule>
  </conditionalFormatting>
  <conditionalFormatting sqref="S202">
    <cfRule type="expression" dxfId="10303" priority="9540" stopIfTrue="1">
      <formula>$C202&lt;&gt;""</formula>
    </cfRule>
  </conditionalFormatting>
  <conditionalFormatting sqref="S198">
    <cfRule type="expression" dxfId="10302" priority="9539" stopIfTrue="1">
      <formula>$C198&lt;&gt;""</formula>
    </cfRule>
  </conditionalFormatting>
  <conditionalFormatting sqref="S198">
    <cfRule type="expression" dxfId="10301" priority="9538" stopIfTrue="1">
      <formula>$B198&lt;&gt;""</formula>
    </cfRule>
  </conditionalFormatting>
  <conditionalFormatting sqref="S199:S202">
    <cfRule type="expression" dxfId="10300" priority="9537" stopIfTrue="1">
      <formula>$C199&lt;&gt;""</formula>
    </cfRule>
  </conditionalFormatting>
  <conditionalFormatting sqref="S199:S202">
    <cfRule type="expression" dxfId="10299" priority="9536" stopIfTrue="1">
      <formula>$B199&lt;&gt;""</formula>
    </cfRule>
  </conditionalFormatting>
  <conditionalFormatting sqref="S201:S202">
    <cfRule type="expression" dxfId="10298" priority="9535" stopIfTrue="1">
      <formula>$C201&lt;&gt;""</formula>
    </cfRule>
  </conditionalFormatting>
  <conditionalFormatting sqref="S201:S202">
    <cfRule type="expression" dxfId="10297" priority="9534" stopIfTrue="1">
      <formula>$B201&lt;&gt;""</formula>
    </cfRule>
  </conditionalFormatting>
  <conditionalFormatting sqref="S203:S206">
    <cfRule type="expression" dxfId="10296" priority="9533" stopIfTrue="1">
      <formula>$B203&lt;&gt;""</formula>
    </cfRule>
  </conditionalFormatting>
  <conditionalFormatting sqref="S203:S206">
    <cfRule type="expression" dxfId="10295" priority="9532" stopIfTrue="1">
      <formula>$C203&lt;&gt;""</formula>
    </cfRule>
  </conditionalFormatting>
  <conditionalFormatting sqref="S207">
    <cfRule type="expression" dxfId="10294" priority="9531" stopIfTrue="1">
      <formula>$B207&lt;&gt;""</formula>
    </cfRule>
  </conditionalFormatting>
  <conditionalFormatting sqref="S207">
    <cfRule type="expression" dxfId="10293" priority="9530" stopIfTrue="1">
      <formula>$C207&lt;&gt;""</formula>
    </cfRule>
  </conditionalFormatting>
  <conditionalFormatting sqref="S203:S205">
    <cfRule type="expression" dxfId="10292" priority="9529" stopIfTrue="1">
      <formula>$B203&lt;&gt;""</formula>
    </cfRule>
  </conditionalFormatting>
  <conditionalFormatting sqref="S203:S205">
    <cfRule type="expression" dxfId="10291" priority="9528" stopIfTrue="1">
      <formula>$C203&lt;&gt;""</formula>
    </cfRule>
  </conditionalFormatting>
  <conditionalFormatting sqref="S206:S207">
    <cfRule type="expression" dxfId="10290" priority="9527" stopIfTrue="1">
      <formula>$B206&lt;&gt;""</formula>
    </cfRule>
  </conditionalFormatting>
  <conditionalFormatting sqref="S206:S207">
    <cfRule type="expression" dxfId="10289" priority="9526" stopIfTrue="1">
      <formula>$C206&lt;&gt;""</formula>
    </cfRule>
  </conditionalFormatting>
  <conditionalFormatting sqref="S203:S206">
    <cfRule type="expression" dxfId="10288" priority="9525" stopIfTrue="1">
      <formula>$B203&lt;&gt;""</formula>
    </cfRule>
  </conditionalFormatting>
  <conditionalFormatting sqref="S203:S206">
    <cfRule type="expression" dxfId="10287" priority="9524" stopIfTrue="1">
      <formula>$C203&lt;&gt;""</formula>
    </cfRule>
  </conditionalFormatting>
  <conditionalFormatting sqref="S203:S206">
    <cfRule type="expression" dxfId="10286" priority="9523" stopIfTrue="1">
      <formula>$B203&lt;&gt;""</formula>
    </cfRule>
  </conditionalFormatting>
  <conditionalFormatting sqref="S203:S206">
    <cfRule type="expression" dxfId="10285" priority="9522" stopIfTrue="1">
      <formula>$C203&lt;&gt;""</formula>
    </cfRule>
  </conditionalFormatting>
  <conditionalFormatting sqref="S207">
    <cfRule type="expression" dxfId="10284" priority="9521" stopIfTrue="1">
      <formula>$B207&lt;&gt;""</formula>
    </cfRule>
  </conditionalFormatting>
  <conditionalFormatting sqref="S207">
    <cfRule type="expression" dxfId="10283" priority="9520" stopIfTrue="1">
      <formula>$C207&lt;&gt;""</formula>
    </cfRule>
  </conditionalFormatting>
  <conditionalFormatting sqref="S203:S206">
    <cfRule type="expression" dxfId="10282" priority="9519" stopIfTrue="1">
      <formula>$B203&lt;&gt;""</formula>
    </cfRule>
  </conditionalFormatting>
  <conditionalFormatting sqref="S203:S206">
    <cfRule type="expression" dxfId="10281" priority="9518" stopIfTrue="1">
      <formula>$C203&lt;&gt;""</formula>
    </cfRule>
  </conditionalFormatting>
  <conditionalFormatting sqref="S207">
    <cfRule type="expression" dxfId="10280" priority="9517" stopIfTrue="1">
      <formula>$B207&lt;&gt;""</formula>
    </cfRule>
  </conditionalFormatting>
  <conditionalFormatting sqref="S207">
    <cfRule type="expression" dxfId="10279" priority="9516" stopIfTrue="1">
      <formula>$C207&lt;&gt;""</formula>
    </cfRule>
  </conditionalFormatting>
  <conditionalFormatting sqref="S207">
    <cfRule type="expression" dxfId="10278" priority="9515" stopIfTrue="1">
      <formula>$B207&lt;&gt;""</formula>
    </cfRule>
  </conditionalFormatting>
  <conditionalFormatting sqref="S207">
    <cfRule type="expression" dxfId="10277" priority="9514" stopIfTrue="1">
      <formula>$C207&lt;&gt;""</formula>
    </cfRule>
  </conditionalFormatting>
  <conditionalFormatting sqref="S203">
    <cfRule type="expression" dxfId="10276" priority="9513" stopIfTrue="1">
      <formula>$C203&lt;&gt;""</formula>
    </cfRule>
  </conditionalFormatting>
  <conditionalFormatting sqref="S203">
    <cfRule type="expression" dxfId="10275" priority="9512" stopIfTrue="1">
      <formula>$B203&lt;&gt;""</formula>
    </cfRule>
  </conditionalFormatting>
  <conditionalFormatting sqref="S204:S207">
    <cfRule type="expression" dxfId="10274" priority="9511" stopIfTrue="1">
      <formula>$C204&lt;&gt;""</formula>
    </cfRule>
  </conditionalFormatting>
  <conditionalFormatting sqref="S204:S207">
    <cfRule type="expression" dxfId="10273" priority="9510" stopIfTrue="1">
      <formula>$B204&lt;&gt;""</formula>
    </cfRule>
  </conditionalFormatting>
  <conditionalFormatting sqref="S206:S207">
    <cfRule type="expression" dxfId="10272" priority="9509" stopIfTrue="1">
      <formula>$C206&lt;&gt;""</formula>
    </cfRule>
  </conditionalFormatting>
  <conditionalFormatting sqref="S206:S207">
    <cfRule type="expression" dxfId="10271" priority="9508" stopIfTrue="1">
      <formula>$B206&lt;&gt;""</formula>
    </cfRule>
  </conditionalFormatting>
  <conditionalFormatting sqref="S203:S206">
    <cfRule type="expression" dxfId="10270" priority="9507" stopIfTrue="1">
      <formula>$B203&lt;&gt;""</formula>
    </cfRule>
  </conditionalFormatting>
  <conditionalFormatting sqref="S203:S206">
    <cfRule type="expression" dxfId="10269" priority="9506" stopIfTrue="1">
      <formula>$C203&lt;&gt;""</formula>
    </cfRule>
  </conditionalFormatting>
  <conditionalFormatting sqref="S207">
    <cfRule type="expression" dxfId="10268" priority="9505" stopIfTrue="1">
      <formula>$B207&lt;&gt;""</formula>
    </cfRule>
  </conditionalFormatting>
  <conditionalFormatting sqref="S207">
    <cfRule type="expression" dxfId="10267" priority="9504" stopIfTrue="1">
      <formula>$C207&lt;&gt;""</formula>
    </cfRule>
  </conditionalFormatting>
  <conditionalFormatting sqref="S203:S205">
    <cfRule type="expression" dxfId="10266" priority="9503" stopIfTrue="1">
      <formula>$B203&lt;&gt;""</formula>
    </cfRule>
  </conditionalFormatting>
  <conditionalFormatting sqref="S203:S205">
    <cfRule type="expression" dxfId="10265" priority="9502" stopIfTrue="1">
      <formula>$C203&lt;&gt;""</formula>
    </cfRule>
  </conditionalFormatting>
  <conditionalFormatting sqref="S206:S207">
    <cfRule type="expression" dxfId="10264" priority="9501" stopIfTrue="1">
      <formula>$B206&lt;&gt;""</formula>
    </cfRule>
  </conditionalFormatting>
  <conditionalFormatting sqref="S206:S207">
    <cfRule type="expression" dxfId="10263" priority="9500" stopIfTrue="1">
      <formula>$C206&lt;&gt;""</formula>
    </cfRule>
  </conditionalFormatting>
  <conditionalFormatting sqref="S203:S206">
    <cfRule type="expression" dxfId="10262" priority="9499" stopIfTrue="1">
      <formula>$B203&lt;&gt;""</formula>
    </cfRule>
  </conditionalFormatting>
  <conditionalFormatting sqref="S203:S206">
    <cfRule type="expression" dxfId="10261" priority="9498" stopIfTrue="1">
      <formula>$C203&lt;&gt;""</formula>
    </cfRule>
  </conditionalFormatting>
  <conditionalFormatting sqref="S203:S206">
    <cfRule type="expression" dxfId="10260" priority="9497" stopIfTrue="1">
      <formula>$B203&lt;&gt;""</formula>
    </cfRule>
  </conditionalFormatting>
  <conditionalFormatting sqref="S203:S206">
    <cfRule type="expression" dxfId="10259" priority="9496" stopIfTrue="1">
      <formula>$C203&lt;&gt;""</formula>
    </cfRule>
  </conditionalFormatting>
  <conditionalFormatting sqref="S207">
    <cfRule type="expression" dxfId="10258" priority="9495" stopIfTrue="1">
      <formula>$B207&lt;&gt;""</formula>
    </cfRule>
  </conditionalFormatting>
  <conditionalFormatting sqref="S207">
    <cfRule type="expression" dxfId="10257" priority="9494" stopIfTrue="1">
      <formula>$C207&lt;&gt;""</formula>
    </cfRule>
  </conditionalFormatting>
  <conditionalFormatting sqref="S203:S206">
    <cfRule type="expression" dxfId="10256" priority="9493" stopIfTrue="1">
      <formula>$B203&lt;&gt;""</formula>
    </cfRule>
  </conditionalFormatting>
  <conditionalFormatting sqref="S203:S206">
    <cfRule type="expression" dxfId="10255" priority="9492" stopIfTrue="1">
      <formula>$C203&lt;&gt;""</formula>
    </cfRule>
  </conditionalFormatting>
  <conditionalFormatting sqref="S207">
    <cfRule type="expression" dxfId="10254" priority="9491" stopIfTrue="1">
      <formula>$B207&lt;&gt;""</formula>
    </cfRule>
  </conditionalFormatting>
  <conditionalFormatting sqref="S207">
    <cfRule type="expression" dxfId="10253" priority="9490" stopIfTrue="1">
      <formula>$C207&lt;&gt;""</formula>
    </cfRule>
  </conditionalFormatting>
  <conditionalFormatting sqref="S207">
    <cfRule type="expression" dxfId="10252" priority="9489" stopIfTrue="1">
      <formula>$B207&lt;&gt;""</formula>
    </cfRule>
  </conditionalFormatting>
  <conditionalFormatting sqref="S207">
    <cfRule type="expression" dxfId="10251" priority="9488" stopIfTrue="1">
      <formula>$C207&lt;&gt;""</formula>
    </cfRule>
  </conditionalFormatting>
  <conditionalFormatting sqref="S203">
    <cfRule type="expression" dxfId="10250" priority="9487" stopIfTrue="1">
      <formula>$C203&lt;&gt;""</formula>
    </cfRule>
  </conditionalFormatting>
  <conditionalFormatting sqref="S203">
    <cfRule type="expression" dxfId="10249" priority="9486" stopIfTrue="1">
      <formula>$B203&lt;&gt;""</formula>
    </cfRule>
  </conditionalFormatting>
  <conditionalFormatting sqref="S204:S207">
    <cfRule type="expression" dxfId="10248" priority="9485" stopIfTrue="1">
      <formula>$C204&lt;&gt;""</formula>
    </cfRule>
  </conditionalFormatting>
  <conditionalFormatting sqref="S204:S207">
    <cfRule type="expression" dxfId="10247" priority="9484" stopIfTrue="1">
      <formula>$B204&lt;&gt;""</formula>
    </cfRule>
  </conditionalFormatting>
  <conditionalFormatting sqref="S206:S207">
    <cfRule type="expression" dxfId="10246" priority="9483" stopIfTrue="1">
      <formula>$C206&lt;&gt;""</formula>
    </cfRule>
  </conditionalFormatting>
  <conditionalFormatting sqref="S206:S207">
    <cfRule type="expression" dxfId="10245" priority="9482" stopIfTrue="1">
      <formula>$B206&lt;&gt;""</formula>
    </cfRule>
  </conditionalFormatting>
  <conditionalFormatting sqref="S208:S211">
    <cfRule type="expression" dxfId="10244" priority="9481" stopIfTrue="1">
      <formula>$B208&lt;&gt;""</formula>
    </cfRule>
  </conditionalFormatting>
  <conditionalFormatting sqref="S208:S211">
    <cfRule type="expression" dxfId="10243" priority="9480" stopIfTrue="1">
      <formula>$C208&lt;&gt;""</formula>
    </cfRule>
  </conditionalFormatting>
  <conditionalFormatting sqref="S212">
    <cfRule type="expression" dxfId="10242" priority="9479" stopIfTrue="1">
      <formula>$B212&lt;&gt;""</formula>
    </cfRule>
  </conditionalFormatting>
  <conditionalFormatting sqref="S212">
    <cfRule type="expression" dxfId="10241" priority="9478" stopIfTrue="1">
      <formula>$C212&lt;&gt;""</formula>
    </cfRule>
  </conditionalFormatting>
  <conditionalFormatting sqref="S208:S210">
    <cfRule type="expression" dxfId="10240" priority="9477" stopIfTrue="1">
      <formula>$B208&lt;&gt;""</formula>
    </cfRule>
  </conditionalFormatting>
  <conditionalFormatting sqref="S208:S210">
    <cfRule type="expression" dxfId="10239" priority="9476" stopIfTrue="1">
      <formula>$C208&lt;&gt;""</formula>
    </cfRule>
  </conditionalFormatting>
  <conditionalFormatting sqref="S211:S212">
    <cfRule type="expression" dxfId="10238" priority="9475" stopIfTrue="1">
      <formula>$B211&lt;&gt;""</formula>
    </cfRule>
  </conditionalFormatting>
  <conditionalFormatting sqref="S211:S212">
    <cfRule type="expression" dxfId="10237" priority="9474" stopIfTrue="1">
      <formula>$C211&lt;&gt;""</formula>
    </cfRule>
  </conditionalFormatting>
  <conditionalFormatting sqref="S208:S211">
    <cfRule type="expression" dxfId="10236" priority="9473" stopIfTrue="1">
      <formula>$B208&lt;&gt;""</formula>
    </cfRule>
  </conditionalFormatting>
  <conditionalFormatting sqref="S208:S211">
    <cfRule type="expression" dxfId="10235" priority="9472" stopIfTrue="1">
      <formula>$C208&lt;&gt;""</formula>
    </cfRule>
  </conditionalFormatting>
  <conditionalFormatting sqref="S208:S211">
    <cfRule type="expression" dxfId="10234" priority="9471" stopIfTrue="1">
      <formula>$B208&lt;&gt;""</formula>
    </cfRule>
  </conditionalFormatting>
  <conditionalFormatting sqref="S208:S211">
    <cfRule type="expression" dxfId="10233" priority="9470" stopIfTrue="1">
      <formula>$C208&lt;&gt;""</formula>
    </cfRule>
  </conditionalFormatting>
  <conditionalFormatting sqref="S212">
    <cfRule type="expression" dxfId="10232" priority="9469" stopIfTrue="1">
      <formula>$B212&lt;&gt;""</formula>
    </cfRule>
  </conditionalFormatting>
  <conditionalFormatting sqref="S212">
    <cfRule type="expression" dxfId="10231" priority="9468" stopIfTrue="1">
      <formula>$C212&lt;&gt;""</formula>
    </cfRule>
  </conditionalFormatting>
  <conditionalFormatting sqref="S208:S211">
    <cfRule type="expression" dxfId="10230" priority="9467" stopIfTrue="1">
      <formula>$B208&lt;&gt;""</formula>
    </cfRule>
  </conditionalFormatting>
  <conditionalFormatting sqref="S208:S211">
    <cfRule type="expression" dxfId="10229" priority="9466" stopIfTrue="1">
      <formula>$C208&lt;&gt;""</formula>
    </cfRule>
  </conditionalFormatting>
  <conditionalFormatting sqref="S212">
    <cfRule type="expression" dxfId="10228" priority="9465" stopIfTrue="1">
      <formula>$B212&lt;&gt;""</formula>
    </cfRule>
  </conditionalFormatting>
  <conditionalFormatting sqref="S212">
    <cfRule type="expression" dxfId="10227" priority="9464" stopIfTrue="1">
      <formula>$C212&lt;&gt;""</formula>
    </cfRule>
  </conditionalFormatting>
  <conditionalFormatting sqref="S212">
    <cfRule type="expression" dxfId="10226" priority="9463" stopIfTrue="1">
      <formula>$B212&lt;&gt;""</formula>
    </cfRule>
  </conditionalFormatting>
  <conditionalFormatting sqref="S212">
    <cfRule type="expression" dxfId="10225" priority="9462" stopIfTrue="1">
      <formula>$C212&lt;&gt;""</formula>
    </cfRule>
  </conditionalFormatting>
  <conditionalFormatting sqref="S208">
    <cfRule type="expression" dxfId="10224" priority="9461" stopIfTrue="1">
      <formula>$C208&lt;&gt;""</formula>
    </cfRule>
  </conditionalFormatting>
  <conditionalFormatting sqref="S208">
    <cfRule type="expression" dxfId="10223" priority="9460" stopIfTrue="1">
      <formula>$B208&lt;&gt;""</formula>
    </cfRule>
  </conditionalFormatting>
  <conditionalFormatting sqref="S209:S212">
    <cfRule type="expression" dxfId="10222" priority="9459" stopIfTrue="1">
      <formula>$C209&lt;&gt;""</formula>
    </cfRule>
  </conditionalFormatting>
  <conditionalFormatting sqref="S209:S212">
    <cfRule type="expression" dxfId="10221" priority="9458" stopIfTrue="1">
      <formula>$B209&lt;&gt;""</formula>
    </cfRule>
  </conditionalFormatting>
  <conditionalFormatting sqref="S211:S212">
    <cfRule type="expression" dxfId="10220" priority="9457" stopIfTrue="1">
      <formula>$C211&lt;&gt;""</formula>
    </cfRule>
  </conditionalFormatting>
  <conditionalFormatting sqref="S211:S212">
    <cfRule type="expression" dxfId="10219" priority="9456" stopIfTrue="1">
      <formula>$B211&lt;&gt;""</formula>
    </cfRule>
  </conditionalFormatting>
  <conditionalFormatting sqref="S208:S211">
    <cfRule type="expression" dxfId="10218" priority="9455" stopIfTrue="1">
      <formula>$B208&lt;&gt;""</formula>
    </cfRule>
  </conditionalFormatting>
  <conditionalFormatting sqref="S208:S211">
    <cfRule type="expression" dxfId="10217" priority="9454" stopIfTrue="1">
      <formula>$C208&lt;&gt;""</formula>
    </cfRule>
  </conditionalFormatting>
  <conditionalFormatting sqref="S212">
    <cfRule type="expression" dxfId="10216" priority="9453" stopIfTrue="1">
      <formula>$B212&lt;&gt;""</formula>
    </cfRule>
  </conditionalFormatting>
  <conditionalFormatting sqref="S212">
    <cfRule type="expression" dxfId="10215" priority="9452" stopIfTrue="1">
      <formula>$C212&lt;&gt;""</formula>
    </cfRule>
  </conditionalFormatting>
  <conditionalFormatting sqref="S208:S210">
    <cfRule type="expression" dxfId="10214" priority="9451" stopIfTrue="1">
      <formula>$B208&lt;&gt;""</formula>
    </cfRule>
  </conditionalFormatting>
  <conditionalFormatting sqref="S208:S210">
    <cfRule type="expression" dxfId="10213" priority="9450" stopIfTrue="1">
      <formula>$C208&lt;&gt;""</formula>
    </cfRule>
  </conditionalFormatting>
  <conditionalFormatting sqref="S211:S212">
    <cfRule type="expression" dxfId="10212" priority="9449" stopIfTrue="1">
      <formula>$B211&lt;&gt;""</formula>
    </cfRule>
  </conditionalFormatting>
  <conditionalFormatting sqref="S211:S212">
    <cfRule type="expression" dxfId="10211" priority="9448" stopIfTrue="1">
      <formula>$C211&lt;&gt;""</formula>
    </cfRule>
  </conditionalFormatting>
  <conditionalFormatting sqref="S208:S211">
    <cfRule type="expression" dxfId="10210" priority="9447" stopIfTrue="1">
      <formula>$B208&lt;&gt;""</formula>
    </cfRule>
  </conditionalFormatting>
  <conditionalFormatting sqref="S208:S211">
    <cfRule type="expression" dxfId="10209" priority="9446" stopIfTrue="1">
      <formula>$C208&lt;&gt;""</formula>
    </cfRule>
  </conditionalFormatting>
  <conditionalFormatting sqref="S208:S211">
    <cfRule type="expression" dxfId="10208" priority="9445" stopIfTrue="1">
      <formula>$B208&lt;&gt;""</formula>
    </cfRule>
  </conditionalFormatting>
  <conditionalFormatting sqref="S208:S211">
    <cfRule type="expression" dxfId="10207" priority="9444" stopIfTrue="1">
      <formula>$C208&lt;&gt;""</formula>
    </cfRule>
  </conditionalFormatting>
  <conditionalFormatting sqref="S212">
    <cfRule type="expression" dxfId="10206" priority="9443" stopIfTrue="1">
      <formula>$B212&lt;&gt;""</formula>
    </cfRule>
  </conditionalFormatting>
  <conditionalFormatting sqref="S212">
    <cfRule type="expression" dxfId="10205" priority="9442" stopIfTrue="1">
      <formula>$C212&lt;&gt;""</formula>
    </cfRule>
  </conditionalFormatting>
  <conditionalFormatting sqref="S208:S211">
    <cfRule type="expression" dxfId="10204" priority="9441" stopIfTrue="1">
      <formula>$B208&lt;&gt;""</formula>
    </cfRule>
  </conditionalFormatting>
  <conditionalFormatting sqref="S208:S211">
    <cfRule type="expression" dxfId="10203" priority="9440" stopIfTrue="1">
      <formula>$C208&lt;&gt;""</formula>
    </cfRule>
  </conditionalFormatting>
  <conditionalFormatting sqref="S212">
    <cfRule type="expression" dxfId="10202" priority="9439" stopIfTrue="1">
      <formula>$B212&lt;&gt;""</formula>
    </cfRule>
  </conditionalFormatting>
  <conditionalFormatting sqref="S212">
    <cfRule type="expression" dxfId="10201" priority="9438" stopIfTrue="1">
      <formula>$C212&lt;&gt;""</formula>
    </cfRule>
  </conditionalFormatting>
  <conditionalFormatting sqref="S212">
    <cfRule type="expression" dxfId="10200" priority="9437" stopIfTrue="1">
      <formula>$B212&lt;&gt;""</formula>
    </cfRule>
  </conditionalFormatting>
  <conditionalFormatting sqref="S212">
    <cfRule type="expression" dxfId="10199" priority="9436" stopIfTrue="1">
      <formula>$C212&lt;&gt;""</formula>
    </cfRule>
  </conditionalFormatting>
  <conditionalFormatting sqref="S208">
    <cfRule type="expression" dxfId="10198" priority="9435" stopIfTrue="1">
      <formula>$C208&lt;&gt;""</formula>
    </cfRule>
  </conditionalFormatting>
  <conditionalFormatting sqref="S208">
    <cfRule type="expression" dxfId="10197" priority="9434" stopIfTrue="1">
      <formula>$B208&lt;&gt;""</formula>
    </cfRule>
  </conditionalFormatting>
  <conditionalFormatting sqref="S209:S212">
    <cfRule type="expression" dxfId="10196" priority="9433" stopIfTrue="1">
      <formula>$C209&lt;&gt;""</formula>
    </cfRule>
  </conditionalFormatting>
  <conditionalFormatting sqref="S209:S212">
    <cfRule type="expression" dxfId="10195" priority="9432" stopIfTrue="1">
      <formula>$B209&lt;&gt;""</formula>
    </cfRule>
  </conditionalFormatting>
  <conditionalFormatting sqref="S211:S212">
    <cfRule type="expression" dxfId="10194" priority="9431" stopIfTrue="1">
      <formula>$C211&lt;&gt;""</formula>
    </cfRule>
  </conditionalFormatting>
  <conditionalFormatting sqref="S211:S212">
    <cfRule type="expression" dxfId="10193" priority="9430" stopIfTrue="1">
      <formula>$B211&lt;&gt;""</formula>
    </cfRule>
  </conditionalFormatting>
  <conditionalFormatting sqref="S213:S217">
    <cfRule type="expression" dxfId="10192" priority="9429" stopIfTrue="1">
      <formula>$B213&lt;&gt;""</formula>
    </cfRule>
  </conditionalFormatting>
  <conditionalFormatting sqref="S213:S217">
    <cfRule type="expression" dxfId="10191" priority="9428" stopIfTrue="1">
      <formula>$C213&lt;&gt;""</formula>
    </cfRule>
  </conditionalFormatting>
  <conditionalFormatting sqref="S218">
    <cfRule type="expression" dxfId="10190" priority="9427" stopIfTrue="1">
      <formula>$B218&lt;&gt;""</formula>
    </cfRule>
  </conditionalFormatting>
  <conditionalFormatting sqref="S218">
    <cfRule type="expression" dxfId="10189" priority="9426" stopIfTrue="1">
      <formula>$C218&lt;&gt;""</formula>
    </cfRule>
  </conditionalFormatting>
  <conditionalFormatting sqref="S213:S216">
    <cfRule type="expression" dxfId="10188" priority="9425" stopIfTrue="1">
      <formula>$B213&lt;&gt;""</formula>
    </cfRule>
  </conditionalFormatting>
  <conditionalFormatting sqref="S213:S216">
    <cfRule type="expression" dxfId="10187" priority="9424" stopIfTrue="1">
      <formula>$C213&lt;&gt;""</formula>
    </cfRule>
  </conditionalFormatting>
  <conditionalFormatting sqref="S217:S218">
    <cfRule type="expression" dxfId="10186" priority="9423" stopIfTrue="1">
      <formula>$B217&lt;&gt;""</formula>
    </cfRule>
  </conditionalFormatting>
  <conditionalFormatting sqref="S217:S218">
    <cfRule type="expression" dxfId="10185" priority="9422" stopIfTrue="1">
      <formula>$C217&lt;&gt;""</formula>
    </cfRule>
  </conditionalFormatting>
  <conditionalFormatting sqref="S213:S217">
    <cfRule type="expression" dxfId="10184" priority="9421" stopIfTrue="1">
      <formula>$B213&lt;&gt;""</formula>
    </cfRule>
  </conditionalFormatting>
  <conditionalFormatting sqref="S213:S217">
    <cfRule type="expression" dxfId="10183" priority="9420" stopIfTrue="1">
      <formula>$C213&lt;&gt;""</formula>
    </cfRule>
  </conditionalFormatting>
  <conditionalFormatting sqref="S213:S217">
    <cfRule type="expression" dxfId="10182" priority="9419" stopIfTrue="1">
      <formula>$B213&lt;&gt;""</formula>
    </cfRule>
  </conditionalFormatting>
  <conditionalFormatting sqref="S213:S217">
    <cfRule type="expression" dxfId="10181" priority="9418" stopIfTrue="1">
      <formula>$C213&lt;&gt;""</formula>
    </cfRule>
  </conditionalFormatting>
  <conditionalFormatting sqref="S218">
    <cfRule type="expression" dxfId="10180" priority="9417" stopIfTrue="1">
      <formula>$B218&lt;&gt;""</formula>
    </cfRule>
  </conditionalFormatting>
  <conditionalFormatting sqref="S218">
    <cfRule type="expression" dxfId="10179" priority="9416" stopIfTrue="1">
      <formula>$C218&lt;&gt;""</formula>
    </cfRule>
  </conditionalFormatting>
  <conditionalFormatting sqref="S213:S217">
    <cfRule type="expression" dxfId="10178" priority="9415" stopIfTrue="1">
      <formula>$B213&lt;&gt;""</formula>
    </cfRule>
  </conditionalFormatting>
  <conditionalFormatting sqref="S213:S217">
    <cfRule type="expression" dxfId="10177" priority="9414" stopIfTrue="1">
      <formula>$C213&lt;&gt;""</formula>
    </cfRule>
  </conditionalFormatting>
  <conditionalFormatting sqref="S218">
    <cfRule type="expression" dxfId="10176" priority="9413" stopIfTrue="1">
      <formula>$B218&lt;&gt;""</formula>
    </cfRule>
  </conditionalFormatting>
  <conditionalFormatting sqref="S218">
    <cfRule type="expression" dxfId="10175" priority="9412" stopIfTrue="1">
      <formula>$C218&lt;&gt;""</formula>
    </cfRule>
  </conditionalFormatting>
  <conditionalFormatting sqref="S218">
    <cfRule type="expression" dxfId="10174" priority="9411" stopIfTrue="1">
      <formula>$B218&lt;&gt;""</formula>
    </cfRule>
  </conditionalFormatting>
  <conditionalFormatting sqref="S218">
    <cfRule type="expression" dxfId="10173" priority="9410" stopIfTrue="1">
      <formula>$C218&lt;&gt;""</formula>
    </cfRule>
  </conditionalFormatting>
  <conditionalFormatting sqref="S213:S214">
    <cfRule type="expression" dxfId="10172" priority="9409" stopIfTrue="1">
      <formula>$C213&lt;&gt;""</formula>
    </cfRule>
  </conditionalFormatting>
  <conditionalFormatting sqref="S213:S214">
    <cfRule type="expression" dxfId="10171" priority="9408" stopIfTrue="1">
      <formula>$B213&lt;&gt;""</formula>
    </cfRule>
  </conditionalFormatting>
  <conditionalFormatting sqref="S215:S218">
    <cfRule type="expression" dxfId="10170" priority="9407" stopIfTrue="1">
      <formula>$C215&lt;&gt;""</formula>
    </cfRule>
  </conditionalFormatting>
  <conditionalFormatting sqref="S215:S218">
    <cfRule type="expression" dxfId="10169" priority="9406" stopIfTrue="1">
      <formula>$B215&lt;&gt;""</formula>
    </cfRule>
  </conditionalFormatting>
  <conditionalFormatting sqref="S217:S218">
    <cfRule type="expression" dxfId="10168" priority="9405" stopIfTrue="1">
      <formula>$C217&lt;&gt;""</formula>
    </cfRule>
  </conditionalFormatting>
  <conditionalFormatting sqref="S217:S218">
    <cfRule type="expression" dxfId="10167" priority="9404" stopIfTrue="1">
      <formula>$B217&lt;&gt;""</formula>
    </cfRule>
  </conditionalFormatting>
  <conditionalFormatting sqref="S213:S217">
    <cfRule type="expression" dxfId="10166" priority="9403" stopIfTrue="1">
      <formula>$B213&lt;&gt;""</formula>
    </cfRule>
  </conditionalFormatting>
  <conditionalFormatting sqref="S213:S217">
    <cfRule type="expression" dxfId="10165" priority="9402" stopIfTrue="1">
      <formula>$C213&lt;&gt;""</formula>
    </cfRule>
  </conditionalFormatting>
  <conditionalFormatting sqref="S218">
    <cfRule type="expression" dxfId="10164" priority="9401" stopIfTrue="1">
      <formula>$B218&lt;&gt;""</formula>
    </cfRule>
  </conditionalFormatting>
  <conditionalFormatting sqref="S218">
    <cfRule type="expression" dxfId="10163" priority="9400" stopIfTrue="1">
      <formula>$C218&lt;&gt;""</formula>
    </cfRule>
  </conditionalFormatting>
  <conditionalFormatting sqref="S213:S216">
    <cfRule type="expression" dxfId="10162" priority="9399" stopIfTrue="1">
      <formula>$B213&lt;&gt;""</formula>
    </cfRule>
  </conditionalFormatting>
  <conditionalFormatting sqref="S213:S216">
    <cfRule type="expression" dxfId="10161" priority="9398" stopIfTrue="1">
      <formula>$C213&lt;&gt;""</formula>
    </cfRule>
  </conditionalFormatting>
  <conditionalFormatting sqref="S217:S218">
    <cfRule type="expression" dxfId="10160" priority="9397" stopIfTrue="1">
      <formula>$B217&lt;&gt;""</formula>
    </cfRule>
  </conditionalFormatting>
  <conditionalFormatting sqref="S217:S218">
    <cfRule type="expression" dxfId="10159" priority="9396" stopIfTrue="1">
      <formula>$C217&lt;&gt;""</formula>
    </cfRule>
  </conditionalFormatting>
  <conditionalFormatting sqref="S213:S217">
    <cfRule type="expression" dxfId="10158" priority="9395" stopIfTrue="1">
      <formula>$B213&lt;&gt;""</formula>
    </cfRule>
  </conditionalFormatting>
  <conditionalFormatting sqref="S213:S217">
    <cfRule type="expression" dxfId="10157" priority="9394" stopIfTrue="1">
      <formula>$C213&lt;&gt;""</formula>
    </cfRule>
  </conditionalFormatting>
  <conditionalFormatting sqref="S213:S217">
    <cfRule type="expression" dxfId="10156" priority="9393" stopIfTrue="1">
      <formula>$B213&lt;&gt;""</formula>
    </cfRule>
  </conditionalFormatting>
  <conditionalFormatting sqref="S213:S217">
    <cfRule type="expression" dxfId="10155" priority="9392" stopIfTrue="1">
      <formula>$C213&lt;&gt;""</formula>
    </cfRule>
  </conditionalFormatting>
  <conditionalFormatting sqref="S218">
    <cfRule type="expression" dxfId="10154" priority="9391" stopIfTrue="1">
      <formula>$B218&lt;&gt;""</formula>
    </cfRule>
  </conditionalFormatting>
  <conditionalFormatting sqref="S218">
    <cfRule type="expression" dxfId="10153" priority="9390" stopIfTrue="1">
      <formula>$C218&lt;&gt;""</formula>
    </cfRule>
  </conditionalFormatting>
  <conditionalFormatting sqref="S213:S217">
    <cfRule type="expression" dxfId="10152" priority="9389" stopIfTrue="1">
      <formula>$B213&lt;&gt;""</formula>
    </cfRule>
  </conditionalFormatting>
  <conditionalFormatting sqref="S213:S217">
    <cfRule type="expression" dxfId="10151" priority="9388" stopIfTrue="1">
      <formula>$C213&lt;&gt;""</formula>
    </cfRule>
  </conditionalFormatting>
  <conditionalFormatting sqref="S218">
    <cfRule type="expression" dxfId="10150" priority="9387" stopIfTrue="1">
      <formula>$B218&lt;&gt;""</formula>
    </cfRule>
  </conditionalFormatting>
  <conditionalFormatting sqref="S218">
    <cfRule type="expression" dxfId="10149" priority="9386" stopIfTrue="1">
      <formula>$C218&lt;&gt;""</formula>
    </cfRule>
  </conditionalFormatting>
  <conditionalFormatting sqref="S218">
    <cfRule type="expression" dxfId="10148" priority="9385" stopIfTrue="1">
      <formula>$B218&lt;&gt;""</formula>
    </cfRule>
  </conditionalFormatting>
  <conditionalFormatting sqref="S218">
    <cfRule type="expression" dxfId="10147" priority="9384" stopIfTrue="1">
      <formula>$C218&lt;&gt;""</formula>
    </cfRule>
  </conditionalFormatting>
  <conditionalFormatting sqref="S213:S214">
    <cfRule type="expression" dxfId="10146" priority="9383" stopIfTrue="1">
      <formula>$C213&lt;&gt;""</formula>
    </cfRule>
  </conditionalFormatting>
  <conditionalFormatting sqref="S213:S214">
    <cfRule type="expression" dxfId="10145" priority="9382" stopIfTrue="1">
      <formula>$B213&lt;&gt;""</formula>
    </cfRule>
  </conditionalFormatting>
  <conditionalFormatting sqref="S215:S218">
    <cfRule type="expression" dxfId="10144" priority="9381" stopIfTrue="1">
      <formula>$C215&lt;&gt;""</formula>
    </cfRule>
  </conditionalFormatting>
  <conditionalFormatting sqref="S215:S218">
    <cfRule type="expression" dxfId="10143" priority="9380" stopIfTrue="1">
      <formula>$B215&lt;&gt;""</formula>
    </cfRule>
  </conditionalFormatting>
  <conditionalFormatting sqref="S217:S218">
    <cfRule type="expression" dxfId="10142" priority="9379" stopIfTrue="1">
      <formula>$C217&lt;&gt;""</formula>
    </cfRule>
  </conditionalFormatting>
  <conditionalFormatting sqref="S217:S218">
    <cfRule type="expression" dxfId="10141" priority="9378" stopIfTrue="1">
      <formula>$B217&lt;&gt;""</formula>
    </cfRule>
  </conditionalFormatting>
  <conditionalFormatting sqref="S219:S230">
    <cfRule type="expression" dxfId="10140" priority="9377" stopIfTrue="1">
      <formula>$B219&lt;&gt;""</formula>
    </cfRule>
  </conditionalFormatting>
  <conditionalFormatting sqref="S219:S230">
    <cfRule type="expression" dxfId="10139" priority="9376" stopIfTrue="1">
      <formula>$C219&lt;&gt;""</formula>
    </cfRule>
  </conditionalFormatting>
  <conditionalFormatting sqref="S224">
    <cfRule type="expression" dxfId="10138" priority="9375" stopIfTrue="1">
      <formula>$B224&lt;&gt;""</formula>
    </cfRule>
  </conditionalFormatting>
  <conditionalFormatting sqref="S224">
    <cfRule type="expression" dxfId="10137" priority="9374" stopIfTrue="1">
      <formula>$C224&lt;&gt;""</formula>
    </cfRule>
  </conditionalFormatting>
  <conditionalFormatting sqref="S219:S230">
    <cfRule type="expression" dxfId="10136" priority="9373" stopIfTrue="1">
      <formula>$B219&lt;&gt;""</formula>
    </cfRule>
  </conditionalFormatting>
  <conditionalFormatting sqref="S219:S230">
    <cfRule type="expression" dxfId="10135" priority="9372" stopIfTrue="1">
      <formula>$C219&lt;&gt;""</formula>
    </cfRule>
  </conditionalFormatting>
  <conditionalFormatting sqref="S223:S224">
    <cfRule type="expression" dxfId="10134" priority="9371" stopIfTrue="1">
      <formula>$B223&lt;&gt;""</formula>
    </cfRule>
  </conditionalFormatting>
  <conditionalFormatting sqref="S223:S224">
    <cfRule type="expression" dxfId="10133" priority="9370" stopIfTrue="1">
      <formula>$C223&lt;&gt;""</formula>
    </cfRule>
  </conditionalFormatting>
  <conditionalFormatting sqref="S219:S230">
    <cfRule type="expression" dxfId="10132" priority="9369" stopIfTrue="1">
      <formula>$B219&lt;&gt;""</formula>
    </cfRule>
  </conditionalFormatting>
  <conditionalFormatting sqref="S219:S230">
    <cfRule type="expression" dxfId="10131" priority="9368" stopIfTrue="1">
      <formula>$C219&lt;&gt;""</formula>
    </cfRule>
  </conditionalFormatting>
  <conditionalFormatting sqref="S219:S230">
    <cfRule type="expression" dxfId="10130" priority="9367" stopIfTrue="1">
      <formula>$B219&lt;&gt;""</formula>
    </cfRule>
  </conditionalFormatting>
  <conditionalFormatting sqref="S219:S230">
    <cfRule type="expression" dxfId="10129" priority="9366" stopIfTrue="1">
      <formula>$C219&lt;&gt;""</formula>
    </cfRule>
  </conditionalFormatting>
  <conditionalFormatting sqref="S224">
    <cfRule type="expression" dxfId="10128" priority="9365" stopIfTrue="1">
      <formula>$B224&lt;&gt;""</formula>
    </cfRule>
  </conditionalFormatting>
  <conditionalFormatting sqref="S224">
    <cfRule type="expression" dxfId="10127" priority="9364" stopIfTrue="1">
      <formula>$C224&lt;&gt;""</formula>
    </cfRule>
  </conditionalFormatting>
  <conditionalFormatting sqref="S219:S230">
    <cfRule type="expression" dxfId="10126" priority="9363" stopIfTrue="1">
      <formula>$B219&lt;&gt;""</formula>
    </cfRule>
  </conditionalFormatting>
  <conditionalFormatting sqref="S219:S230">
    <cfRule type="expression" dxfId="10125" priority="9362" stopIfTrue="1">
      <formula>$C219&lt;&gt;""</formula>
    </cfRule>
  </conditionalFormatting>
  <conditionalFormatting sqref="S224">
    <cfRule type="expression" dxfId="10124" priority="9361" stopIfTrue="1">
      <formula>$B224&lt;&gt;""</formula>
    </cfRule>
  </conditionalFormatting>
  <conditionalFormatting sqref="S224">
    <cfRule type="expression" dxfId="10123" priority="9360" stopIfTrue="1">
      <formula>$C224&lt;&gt;""</formula>
    </cfRule>
  </conditionalFormatting>
  <conditionalFormatting sqref="S224">
    <cfRule type="expression" dxfId="10122" priority="9359" stopIfTrue="1">
      <formula>$B224&lt;&gt;""</formula>
    </cfRule>
  </conditionalFormatting>
  <conditionalFormatting sqref="S224">
    <cfRule type="expression" dxfId="10121" priority="9358" stopIfTrue="1">
      <formula>$C224&lt;&gt;""</formula>
    </cfRule>
  </conditionalFormatting>
  <conditionalFormatting sqref="S219:S230">
    <cfRule type="expression" dxfId="10120" priority="9357" stopIfTrue="1">
      <formula>$C219&lt;&gt;""</formula>
    </cfRule>
  </conditionalFormatting>
  <conditionalFormatting sqref="S219:S230">
    <cfRule type="expression" dxfId="10119" priority="9356" stopIfTrue="1">
      <formula>$B219&lt;&gt;""</formula>
    </cfRule>
  </conditionalFormatting>
  <conditionalFormatting sqref="S221:S224">
    <cfRule type="expression" dxfId="10118" priority="9355" stopIfTrue="1">
      <formula>$C221&lt;&gt;""</formula>
    </cfRule>
  </conditionalFormatting>
  <conditionalFormatting sqref="S221:S224">
    <cfRule type="expression" dxfId="10117" priority="9354" stopIfTrue="1">
      <formula>$B221&lt;&gt;""</formula>
    </cfRule>
  </conditionalFormatting>
  <conditionalFormatting sqref="S223:S224">
    <cfRule type="expression" dxfId="10116" priority="9353" stopIfTrue="1">
      <formula>$C223&lt;&gt;""</formula>
    </cfRule>
  </conditionalFormatting>
  <conditionalFormatting sqref="S223:S224">
    <cfRule type="expression" dxfId="10115" priority="9352" stopIfTrue="1">
      <formula>$B223&lt;&gt;""</formula>
    </cfRule>
  </conditionalFormatting>
  <conditionalFormatting sqref="S219:S230">
    <cfRule type="expression" dxfId="10114" priority="9351" stopIfTrue="1">
      <formula>$B219&lt;&gt;""</formula>
    </cfRule>
  </conditionalFormatting>
  <conditionalFormatting sqref="S219:S230">
    <cfRule type="expression" dxfId="10113" priority="9350" stopIfTrue="1">
      <formula>$C219&lt;&gt;""</formula>
    </cfRule>
  </conditionalFormatting>
  <conditionalFormatting sqref="S224">
    <cfRule type="expression" dxfId="10112" priority="9349" stopIfTrue="1">
      <formula>$B224&lt;&gt;""</formula>
    </cfRule>
  </conditionalFormatting>
  <conditionalFormatting sqref="S224">
    <cfRule type="expression" dxfId="10111" priority="9348" stopIfTrue="1">
      <formula>$C224&lt;&gt;""</formula>
    </cfRule>
  </conditionalFormatting>
  <conditionalFormatting sqref="S219:S230">
    <cfRule type="expression" dxfId="10110" priority="9347" stopIfTrue="1">
      <formula>$B219&lt;&gt;""</formula>
    </cfRule>
  </conditionalFormatting>
  <conditionalFormatting sqref="S219:S230">
    <cfRule type="expression" dxfId="10109" priority="9346" stopIfTrue="1">
      <formula>$C219&lt;&gt;""</formula>
    </cfRule>
  </conditionalFormatting>
  <conditionalFormatting sqref="S223:S224">
    <cfRule type="expression" dxfId="10108" priority="9345" stopIfTrue="1">
      <formula>$B223&lt;&gt;""</formula>
    </cfRule>
  </conditionalFormatting>
  <conditionalFormatting sqref="S223:S224">
    <cfRule type="expression" dxfId="10107" priority="9344" stopIfTrue="1">
      <formula>$C223&lt;&gt;""</formula>
    </cfRule>
  </conditionalFormatting>
  <conditionalFormatting sqref="S219:S230">
    <cfRule type="expression" dxfId="10106" priority="9343" stopIfTrue="1">
      <formula>$B219&lt;&gt;""</formula>
    </cfRule>
  </conditionalFormatting>
  <conditionalFormatting sqref="S219:S230">
    <cfRule type="expression" dxfId="10105" priority="9342" stopIfTrue="1">
      <formula>$C219&lt;&gt;""</formula>
    </cfRule>
  </conditionalFormatting>
  <conditionalFormatting sqref="S219:S230">
    <cfRule type="expression" dxfId="10104" priority="9341" stopIfTrue="1">
      <formula>$B219&lt;&gt;""</formula>
    </cfRule>
  </conditionalFormatting>
  <conditionalFormatting sqref="S219:S230">
    <cfRule type="expression" dxfId="10103" priority="9340" stopIfTrue="1">
      <formula>$C219&lt;&gt;""</formula>
    </cfRule>
  </conditionalFormatting>
  <conditionalFormatting sqref="S224">
    <cfRule type="expression" dxfId="10102" priority="9339" stopIfTrue="1">
      <formula>$B224&lt;&gt;""</formula>
    </cfRule>
  </conditionalFormatting>
  <conditionalFormatting sqref="S224">
    <cfRule type="expression" dxfId="10101" priority="9338" stopIfTrue="1">
      <formula>$C224&lt;&gt;""</formula>
    </cfRule>
  </conditionalFormatting>
  <conditionalFormatting sqref="S219:S230">
    <cfRule type="expression" dxfId="10100" priority="9337" stopIfTrue="1">
      <formula>$B219&lt;&gt;""</formula>
    </cfRule>
  </conditionalFormatting>
  <conditionalFormatting sqref="S219:S230">
    <cfRule type="expression" dxfId="10099" priority="9336" stopIfTrue="1">
      <formula>$C219&lt;&gt;""</formula>
    </cfRule>
  </conditionalFormatting>
  <conditionalFormatting sqref="S224">
    <cfRule type="expression" dxfId="10098" priority="9335" stopIfTrue="1">
      <formula>$B224&lt;&gt;""</formula>
    </cfRule>
  </conditionalFormatting>
  <conditionalFormatting sqref="S224">
    <cfRule type="expression" dxfId="10097" priority="9334" stopIfTrue="1">
      <formula>$C224&lt;&gt;""</formula>
    </cfRule>
  </conditionalFormatting>
  <conditionalFormatting sqref="S224">
    <cfRule type="expression" dxfId="10096" priority="9333" stopIfTrue="1">
      <formula>$B224&lt;&gt;""</formula>
    </cfRule>
  </conditionalFormatting>
  <conditionalFormatting sqref="S224">
    <cfRule type="expression" dxfId="10095" priority="9332" stopIfTrue="1">
      <formula>$C224&lt;&gt;""</formula>
    </cfRule>
  </conditionalFormatting>
  <conditionalFormatting sqref="S219:S230">
    <cfRule type="expression" dxfId="10094" priority="9331" stopIfTrue="1">
      <formula>$C219&lt;&gt;""</formula>
    </cfRule>
  </conditionalFormatting>
  <conditionalFormatting sqref="S219:S230">
    <cfRule type="expression" dxfId="10093" priority="9330" stopIfTrue="1">
      <formula>$B219&lt;&gt;""</formula>
    </cfRule>
  </conditionalFormatting>
  <conditionalFormatting sqref="S221:S224">
    <cfRule type="expression" dxfId="10092" priority="9329" stopIfTrue="1">
      <formula>$C221&lt;&gt;""</formula>
    </cfRule>
  </conditionalFormatting>
  <conditionalFormatting sqref="S221:S224">
    <cfRule type="expression" dxfId="10091" priority="9328" stopIfTrue="1">
      <formula>$B221&lt;&gt;""</formula>
    </cfRule>
  </conditionalFormatting>
  <conditionalFormatting sqref="S223:S224">
    <cfRule type="expression" dxfId="10090" priority="9327" stopIfTrue="1">
      <formula>$C223&lt;&gt;""</formula>
    </cfRule>
  </conditionalFormatting>
  <conditionalFormatting sqref="S223:S224">
    <cfRule type="expression" dxfId="10089" priority="9326" stopIfTrue="1">
      <formula>$B223&lt;&gt;""</formula>
    </cfRule>
  </conditionalFormatting>
  <conditionalFormatting sqref="S187">
    <cfRule type="expression" dxfId="10088" priority="9325" stopIfTrue="1">
      <formula>$B187&lt;&gt;""</formula>
    </cfRule>
  </conditionalFormatting>
  <conditionalFormatting sqref="S187">
    <cfRule type="expression" dxfId="10087" priority="9324" stopIfTrue="1">
      <formula>$C187&lt;&gt;""</formula>
    </cfRule>
  </conditionalFormatting>
  <conditionalFormatting sqref="S187">
    <cfRule type="expression" dxfId="10086" priority="9323" stopIfTrue="1">
      <formula>$B187&lt;&gt;""</formula>
    </cfRule>
  </conditionalFormatting>
  <conditionalFormatting sqref="S187">
    <cfRule type="expression" dxfId="10085" priority="9322" stopIfTrue="1">
      <formula>$C187&lt;&gt;""</formula>
    </cfRule>
  </conditionalFormatting>
  <conditionalFormatting sqref="S187">
    <cfRule type="expression" dxfId="10084" priority="9321" stopIfTrue="1">
      <formula>$B187&lt;&gt;""</formula>
    </cfRule>
  </conditionalFormatting>
  <conditionalFormatting sqref="S187">
    <cfRule type="expression" dxfId="10083" priority="9320" stopIfTrue="1">
      <formula>$C187&lt;&gt;""</formula>
    </cfRule>
  </conditionalFormatting>
  <conditionalFormatting sqref="S187">
    <cfRule type="expression" dxfId="10082" priority="9319" stopIfTrue="1">
      <formula>$B187&lt;&gt;""</formula>
    </cfRule>
  </conditionalFormatting>
  <conditionalFormatting sqref="S187">
    <cfRule type="expression" dxfId="10081" priority="9318" stopIfTrue="1">
      <formula>$C187&lt;&gt;""</formula>
    </cfRule>
  </conditionalFormatting>
  <conditionalFormatting sqref="S187">
    <cfRule type="expression" dxfId="10080" priority="9317" stopIfTrue="1">
      <formula>$B187&lt;&gt;""</formula>
    </cfRule>
  </conditionalFormatting>
  <conditionalFormatting sqref="S187">
    <cfRule type="expression" dxfId="10079" priority="9316" stopIfTrue="1">
      <formula>$C187&lt;&gt;""</formula>
    </cfRule>
  </conditionalFormatting>
  <conditionalFormatting sqref="S187">
    <cfRule type="expression" dxfId="10078" priority="9315" stopIfTrue="1">
      <formula>$B187&lt;&gt;""</formula>
    </cfRule>
  </conditionalFormatting>
  <conditionalFormatting sqref="S187">
    <cfRule type="expression" dxfId="10077" priority="9314" stopIfTrue="1">
      <formula>$C187&lt;&gt;""</formula>
    </cfRule>
  </conditionalFormatting>
  <conditionalFormatting sqref="S187">
    <cfRule type="expression" dxfId="10076" priority="9313" stopIfTrue="1">
      <formula>$C187&lt;&gt;""</formula>
    </cfRule>
  </conditionalFormatting>
  <conditionalFormatting sqref="S187">
    <cfRule type="expression" dxfId="10075" priority="9312" stopIfTrue="1">
      <formula>$B187&lt;&gt;""</formula>
    </cfRule>
  </conditionalFormatting>
  <conditionalFormatting sqref="S187">
    <cfRule type="expression" dxfId="10074" priority="9311" stopIfTrue="1">
      <formula>$B187&lt;&gt;""</formula>
    </cfRule>
  </conditionalFormatting>
  <conditionalFormatting sqref="S187">
    <cfRule type="expression" dxfId="10073" priority="9310" stopIfTrue="1">
      <formula>$C187&lt;&gt;""</formula>
    </cfRule>
  </conditionalFormatting>
  <conditionalFormatting sqref="S187">
    <cfRule type="expression" dxfId="10072" priority="9309" stopIfTrue="1">
      <formula>$B187&lt;&gt;""</formula>
    </cfRule>
  </conditionalFormatting>
  <conditionalFormatting sqref="S187">
    <cfRule type="expression" dxfId="10071" priority="9308" stopIfTrue="1">
      <formula>$C187&lt;&gt;""</formula>
    </cfRule>
  </conditionalFormatting>
  <conditionalFormatting sqref="S187">
    <cfRule type="expression" dxfId="10070" priority="9307" stopIfTrue="1">
      <formula>$B187&lt;&gt;""</formula>
    </cfRule>
  </conditionalFormatting>
  <conditionalFormatting sqref="S187">
    <cfRule type="expression" dxfId="10069" priority="9306" stopIfTrue="1">
      <formula>$C187&lt;&gt;""</formula>
    </cfRule>
  </conditionalFormatting>
  <conditionalFormatting sqref="S187">
    <cfRule type="expression" dxfId="10068" priority="9305" stopIfTrue="1">
      <formula>$B187&lt;&gt;""</formula>
    </cfRule>
  </conditionalFormatting>
  <conditionalFormatting sqref="S187">
    <cfRule type="expression" dxfId="10067" priority="9304" stopIfTrue="1">
      <formula>$C187&lt;&gt;""</formula>
    </cfRule>
  </conditionalFormatting>
  <conditionalFormatting sqref="S187">
    <cfRule type="expression" dxfId="10066" priority="9303" stopIfTrue="1">
      <formula>$B187&lt;&gt;""</formula>
    </cfRule>
  </conditionalFormatting>
  <conditionalFormatting sqref="S187">
    <cfRule type="expression" dxfId="10065" priority="9302" stopIfTrue="1">
      <formula>$C187&lt;&gt;""</formula>
    </cfRule>
  </conditionalFormatting>
  <conditionalFormatting sqref="S187">
    <cfRule type="expression" dxfId="10064" priority="9301" stopIfTrue="1">
      <formula>$C187&lt;&gt;""</formula>
    </cfRule>
  </conditionalFormatting>
  <conditionalFormatting sqref="S187">
    <cfRule type="expression" dxfId="10063" priority="9300" stopIfTrue="1">
      <formula>$B187&lt;&gt;""</formula>
    </cfRule>
  </conditionalFormatting>
  <conditionalFormatting sqref="S219:S224">
    <cfRule type="expression" dxfId="10062" priority="9299" stopIfTrue="1">
      <formula>$B219&lt;&gt;""</formula>
    </cfRule>
  </conditionalFormatting>
  <conditionalFormatting sqref="S219:S224">
    <cfRule type="expression" dxfId="10061" priority="9298" stopIfTrue="1">
      <formula>$C219&lt;&gt;""</formula>
    </cfRule>
  </conditionalFormatting>
  <conditionalFormatting sqref="S219:S223">
    <cfRule type="expression" dxfId="10060" priority="9297" stopIfTrue="1">
      <formula>$B219&lt;&gt;""</formula>
    </cfRule>
  </conditionalFormatting>
  <conditionalFormatting sqref="S219:S223">
    <cfRule type="expression" dxfId="10059" priority="9296" stopIfTrue="1">
      <formula>$C219&lt;&gt;""</formula>
    </cfRule>
  </conditionalFormatting>
  <conditionalFormatting sqref="S224">
    <cfRule type="expression" dxfId="10058" priority="9295" stopIfTrue="1">
      <formula>$B224&lt;&gt;""</formula>
    </cfRule>
  </conditionalFormatting>
  <conditionalFormatting sqref="S224">
    <cfRule type="expression" dxfId="10057" priority="9294" stopIfTrue="1">
      <formula>$C224&lt;&gt;""</formula>
    </cfRule>
  </conditionalFormatting>
  <conditionalFormatting sqref="S219:S222">
    <cfRule type="expression" dxfId="10056" priority="9293" stopIfTrue="1">
      <formula>$B219&lt;&gt;""</formula>
    </cfRule>
  </conditionalFormatting>
  <conditionalFormatting sqref="S219:S222">
    <cfRule type="expression" dxfId="10055" priority="9292" stopIfTrue="1">
      <formula>$C219&lt;&gt;""</formula>
    </cfRule>
  </conditionalFormatting>
  <conditionalFormatting sqref="S223:S224">
    <cfRule type="expression" dxfId="10054" priority="9291" stopIfTrue="1">
      <formula>$B223&lt;&gt;""</formula>
    </cfRule>
  </conditionalFormatting>
  <conditionalFormatting sqref="S223:S224">
    <cfRule type="expression" dxfId="10053" priority="9290" stopIfTrue="1">
      <formula>$C223&lt;&gt;""</formula>
    </cfRule>
  </conditionalFormatting>
  <conditionalFormatting sqref="S219:S223">
    <cfRule type="expression" dxfId="10052" priority="9289" stopIfTrue="1">
      <formula>$B219&lt;&gt;""</formula>
    </cfRule>
  </conditionalFormatting>
  <conditionalFormatting sqref="S219:S223">
    <cfRule type="expression" dxfId="10051" priority="9288" stopIfTrue="1">
      <formula>$C219&lt;&gt;""</formula>
    </cfRule>
  </conditionalFormatting>
  <conditionalFormatting sqref="S219:S223">
    <cfRule type="expression" dxfId="10050" priority="9287" stopIfTrue="1">
      <formula>$B219&lt;&gt;""</formula>
    </cfRule>
  </conditionalFormatting>
  <conditionalFormatting sqref="S219:S223">
    <cfRule type="expression" dxfId="10049" priority="9286" stopIfTrue="1">
      <formula>$C219&lt;&gt;""</formula>
    </cfRule>
  </conditionalFormatting>
  <conditionalFormatting sqref="S224">
    <cfRule type="expression" dxfId="10048" priority="9285" stopIfTrue="1">
      <formula>$B224&lt;&gt;""</formula>
    </cfRule>
  </conditionalFormatting>
  <conditionalFormatting sqref="S224">
    <cfRule type="expression" dxfId="10047" priority="9284" stopIfTrue="1">
      <formula>$C224&lt;&gt;""</formula>
    </cfRule>
  </conditionalFormatting>
  <conditionalFormatting sqref="S219:S223">
    <cfRule type="expression" dxfId="10046" priority="9283" stopIfTrue="1">
      <formula>$B219&lt;&gt;""</formula>
    </cfRule>
  </conditionalFormatting>
  <conditionalFormatting sqref="S219:S223">
    <cfRule type="expression" dxfId="10045" priority="9282" stopIfTrue="1">
      <formula>$C219&lt;&gt;""</formula>
    </cfRule>
  </conditionalFormatting>
  <conditionalFormatting sqref="S224">
    <cfRule type="expression" dxfId="10044" priority="9281" stopIfTrue="1">
      <formula>$B224&lt;&gt;""</formula>
    </cfRule>
  </conditionalFormatting>
  <conditionalFormatting sqref="S224">
    <cfRule type="expression" dxfId="10043" priority="9280" stopIfTrue="1">
      <formula>$C224&lt;&gt;""</formula>
    </cfRule>
  </conditionalFormatting>
  <conditionalFormatting sqref="S224">
    <cfRule type="expression" dxfId="10042" priority="9279" stopIfTrue="1">
      <formula>$B224&lt;&gt;""</formula>
    </cfRule>
  </conditionalFormatting>
  <conditionalFormatting sqref="S224">
    <cfRule type="expression" dxfId="10041" priority="9278" stopIfTrue="1">
      <formula>$C224&lt;&gt;""</formula>
    </cfRule>
  </conditionalFormatting>
  <conditionalFormatting sqref="S219:S220">
    <cfRule type="expression" dxfId="10040" priority="9277" stopIfTrue="1">
      <formula>$C219&lt;&gt;""</formula>
    </cfRule>
  </conditionalFormatting>
  <conditionalFormatting sqref="S219:S220">
    <cfRule type="expression" dxfId="10039" priority="9276" stopIfTrue="1">
      <formula>$B219&lt;&gt;""</formula>
    </cfRule>
  </conditionalFormatting>
  <conditionalFormatting sqref="S221:S224">
    <cfRule type="expression" dxfId="10038" priority="9275" stopIfTrue="1">
      <formula>$C221&lt;&gt;""</formula>
    </cfRule>
  </conditionalFormatting>
  <conditionalFormatting sqref="S221:S224">
    <cfRule type="expression" dxfId="10037" priority="9274" stopIfTrue="1">
      <formula>$B221&lt;&gt;""</formula>
    </cfRule>
  </conditionalFormatting>
  <conditionalFormatting sqref="S223:S224">
    <cfRule type="expression" dxfId="10036" priority="9273" stopIfTrue="1">
      <formula>$C223&lt;&gt;""</formula>
    </cfRule>
  </conditionalFormatting>
  <conditionalFormatting sqref="S223:S224">
    <cfRule type="expression" dxfId="10035" priority="9272" stopIfTrue="1">
      <formula>$B223&lt;&gt;""</formula>
    </cfRule>
  </conditionalFormatting>
  <conditionalFormatting sqref="S219:S223">
    <cfRule type="expression" dxfId="10034" priority="9271" stopIfTrue="1">
      <formula>$B219&lt;&gt;""</formula>
    </cfRule>
  </conditionalFormatting>
  <conditionalFormatting sqref="S219:S223">
    <cfRule type="expression" dxfId="10033" priority="9270" stopIfTrue="1">
      <formula>$C219&lt;&gt;""</formula>
    </cfRule>
  </conditionalFormatting>
  <conditionalFormatting sqref="S224">
    <cfRule type="expression" dxfId="10032" priority="9269" stopIfTrue="1">
      <formula>$B224&lt;&gt;""</formula>
    </cfRule>
  </conditionalFormatting>
  <conditionalFormatting sqref="S224">
    <cfRule type="expression" dxfId="10031" priority="9268" stopIfTrue="1">
      <formula>$C224&lt;&gt;""</formula>
    </cfRule>
  </conditionalFormatting>
  <conditionalFormatting sqref="S219:S222">
    <cfRule type="expression" dxfId="10030" priority="9267" stopIfTrue="1">
      <formula>$B219&lt;&gt;""</formula>
    </cfRule>
  </conditionalFormatting>
  <conditionalFormatting sqref="S219:S222">
    <cfRule type="expression" dxfId="10029" priority="9266" stopIfTrue="1">
      <formula>$C219&lt;&gt;""</formula>
    </cfRule>
  </conditionalFormatting>
  <conditionalFormatting sqref="S223:S224">
    <cfRule type="expression" dxfId="10028" priority="9265" stopIfTrue="1">
      <formula>$B223&lt;&gt;""</formula>
    </cfRule>
  </conditionalFormatting>
  <conditionalFormatting sqref="S223:S224">
    <cfRule type="expression" dxfId="10027" priority="9264" stopIfTrue="1">
      <formula>$C223&lt;&gt;""</formula>
    </cfRule>
  </conditionalFormatting>
  <conditionalFormatting sqref="S219:S223">
    <cfRule type="expression" dxfId="10026" priority="9263" stopIfTrue="1">
      <formula>$B219&lt;&gt;""</formula>
    </cfRule>
  </conditionalFormatting>
  <conditionalFormatting sqref="S219:S223">
    <cfRule type="expression" dxfId="10025" priority="9262" stopIfTrue="1">
      <formula>$C219&lt;&gt;""</formula>
    </cfRule>
  </conditionalFormatting>
  <conditionalFormatting sqref="S219:S223">
    <cfRule type="expression" dxfId="10024" priority="9261" stopIfTrue="1">
      <formula>$B219&lt;&gt;""</formula>
    </cfRule>
  </conditionalFormatting>
  <conditionalFormatting sqref="S219:S223">
    <cfRule type="expression" dxfId="10023" priority="9260" stopIfTrue="1">
      <formula>$C219&lt;&gt;""</formula>
    </cfRule>
  </conditionalFormatting>
  <conditionalFormatting sqref="S224">
    <cfRule type="expression" dxfId="10022" priority="9259" stopIfTrue="1">
      <formula>$B224&lt;&gt;""</formula>
    </cfRule>
  </conditionalFormatting>
  <conditionalFormatting sqref="S224">
    <cfRule type="expression" dxfId="10021" priority="9258" stopIfTrue="1">
      <formula>$C224&lt;&gt;""</formula>
    </cfRule>
  </conditionalFormatting>
  <conditionalFormatting sqref="S219:S223">
    <cfRule type="expression" dxfId="10020" priority="9257" stopIfTrue="1">
      <formula>$B219&lt;&gt;""</formula>
    </cfRule>
  </conditionalFormatting>
  <conditionalFormatting sqref="S219:S223">
    <cfRule type="expression" dxfId="10019" priority="9256" stopIfTrue="1">
      <formula>$C219&lt;&gt;""</formula>
    </cfRule>
  </conditionalFormatting>
  <conditionalFormatting sqref="S224">
    <cfRule type="expression" dxfId="10018" priority="9255" stopIfTrue="1">
      <formula>$B224&lt;&gt;""</formula>
    </cfRule>
  </conditionalFormatting>
  <conditionalFormatting sqref="S224">
    <cfRule type="expression" dxfId="10017" priority="9254" stopIfTrue="1">
      <formula>$C224&lt;&gt;""</formula>
    </cfRule>
  </conditionalFormatting>
  <conditionalFormatting sqref="S224">
    <cfRule type="expression" dxfId="10016" priority="9253" stopIfTrue="1">
      <formula>$B224&lt;&gt;""</formula>
    </cfRule>
  </conditionalFormatting>
  <conditionalFormatting sqref="S224">
    <cfRule type="expression" dxfId="10015" priority="9252" stopIfTrue="1">
      <formula>$C224&lt;&gt;""</formula>
    </cfRule>
  </conditionalFormatting>
  <conditionalFormatting sqref="S219:S220">
    <cfRule type="expression" dxfId="10014" priority="9251" stopIfTrue="1">
      <formula>$C219&lt;&gt;""</formula>
    </cfRule>
  </conditionalFormatting>
  <conditionalFormatting sqref="S219:S220">
    <cfRule type="expression" dxfId="10013" priority="9250" stopIfTrue="1">
      <formula>$B219&lt;&gt;""</formula>
    </cfRule>
  </conditionalFormatting>
  <conditionalFormatting sqref="S221:S224">
    <cfRule type="expression" dxfId="10012" priority="9249" stopIfTrue="1">
      <formula>$C221&lt;&gt;""</formula>
    </cfRule>
  </conditionalFormatting>
  <conditionalFormatting sqref="S221:S224">
    <cfRule type="expression" dxfId="10011" priority="9248" stopIfTrue="1">
      <formula>$B221&lt;&gt;""</formula>
    </cfRule>
  </conditionalFormatting>
  <conditionalFormatting sqref="S223:S224">
    <cfRule type="expression" dxfId="10010" priority="9247" stopIfTrue="1">
      <formula>$C223&lt;&gt;""</formula>
    </cfRule>
  </conditionalFormatting>
  <conditionalFormatting sqref="S223:S224">
    <cfRule type="expression" dxfId="10009" priority="9246" stopIfTrue="1">
      <formula>$B223&lt;&gt;""</formula>
    </cfRule>
  </conditionalFormatting>
  <conditionalFormatting sqref="S230">
    <cfRule type="expression" dxfId="10008" priority="9245" stopIfTrue="1">
      <formula>$B230&lt;&gt;""</formula>
    </cfRule>
  </conditionalFormatting>
  <conditionalFormatting sqref="S230">
    <cfRule type="expression" dxfId="10007" priority="9244" stopIfTrue="1">
      <formula>$C230&lt;&gt;""</formula>
    </cfRule>
  </conditionalFormatting>
  <conditionalFormatting sqref="S229:S230">
    <cfRule type="expression" dxfId="10006" priority="9243" stopIfTrue="1">
      <formula>$B229&lt;&gt;""</formula>
    </cfRule>
  </conditionalFormatting>
  <conditionalFormatting sqref="S229:S230">
    <cfRule type="expression" dxfId="10005" priority="9242" stopIfTrue="1">
      <formula>$C229&lt;&gt;""</formula>
    </cfRule>
  </conditionalFormatting>
  <conditionalFormatting sqref="S230">
    <cfRule type="expression" dxfId="10004" priority="9241" stopIfTrue="1">
      <formula>$B230&lt;&gt;""</formula>
    </cfRule>
  </conditionalFormatting>
  <conditionalFormatting sqref="S230">
    <cfRule type="expression" dxfId="10003" priority="9240" stopIfTrue="1">
      <formula>$C230&lt;&gt;""</formula>
    </cfRule>
  </conditionalFormatting>
  <conditionalFormatting sqref="S230">
    <cfRule type="expression" dxfId="10002" priority="9239" stopIfTrue="1">
      <formula>$B230&lt;&gt;""</formula>
    </cfRule>
  </conditionalFormatting>
  <conditionalFormatting sqref="S230">
    <cfRule type="expression" dxfId="10001" priority="9238" stopIfTrue="1">
      <formula>$C230&lt;&gt;""</formula>
    </cfRule>
  </conditionalFormatting>
  <conditionalFormatting sqref="S230">
    <cfRule type="expression" dxfId="10000" priority="9237" stopIfTrue="1">
      <formula>$B230&lt;&gt;""</formula>
    </cfRule>
  </conditionalFormatting>
  <conditionalFormatting sqref="S230">
    <cfRule type="expression" dxfId="9999" priority="9236" stopIfTrue="1">
      <formula>$C230&lt;&gt;""</formula>
    </cfRule>
  </conditionalFormatting>
  <conditionalFormatting sqref="S227:S230">
    <cfRule type="expression" dxfId="9998" priority="9235" stopIfTrue="1">
      <formula>$C227&lt;&gt;""</formula>
    </cfRule>
  </conditionalFormatting>
  <conditionalFormatting sqref="S227:S230">
    <cfRule type="expression" dxfId="9997" priority="9234" stopIfTrue="1">
      <formula>$B227&lt;&gt;""</formula>
    </cfRule>
  </conditionalFormatting>
  <conditionalFormatting sqref="S229:S230">
    <cfRule type="expression" dxfId="9996" priority="9233" stopIfTrue="1">
      <formula>$C229&lt;&gt;""</formula>
    </cfRule>
  </conditionalFormatting>
  <conditionalFormatting sqref="S229:S230">
    <cfRule type="expression" dxfId="9995" priority="9232" stopIfTrue="1">
      <formula>$B229&lt;&gt;""</formula>
    </cfRule>
  </conditionalFormatting>
  <conditionalFormatting sqref="S230">
    <cfRule type="expression" dxfId="9994" priority="9231" stopIfTrue="1">
      <formula>$B230&lt;&gt;""</formula>
    </cfRule>
  </conditionalFormatting>
  <conditionalFormatting sqref="S230">
    <cfRule type="expression" dxfId="9993" priority="9230" stopIfTrue="1">
      <formula>$C230&lt;&gt;""</formula>
    </cfRule>
  </conditionalFormatting>
  <conditionalFormatting sqref="S229:S230">
    <cfRule type="expression" dxfId="9992" priority="9229" stopIfTrue="1">
      <formula>$B229&lt;&gt;""</formula>
    </cfRule>
  </conditionalFormatting>
  <conditionalFormatting sqref="S229:S230">
    <cfRule type="expression" dxfId="9991" priority="9228" stopIfTrue="1">
      <formula>$C229&lt;&gt;""</formula>
    </cfRule>
  </conditionalFormatting>
  <conditionalFormatting sqref="S230">
    <cfRule type="expression" dxfId="9990" priority="9227" stopIfTrue="1">
      <formula>$B230&lt;&gt;""</formula>
    </cfRule>
  </conditionalFormatting>
  <conditionalFormatting sqref="S230">
    <cfRule type="expression" dxfId="9989" priority="9226" stopIfTrue="1">
      <formula>$C230&lt;&gt;""</formula>
    </cfRule>
  </conditionalFormatting>
  <conditionalFormatting sqref="S230">
    <cfRule type="expression" dxfId="9988" priority="9225" stopIfTrue="1">
      <formula>$B230&lt;&gt;""</formula>
    </cfRule>
  </conditionalFormatting>
  <conditionalFormatting sqref="S230">
    <cfRule type="expression" dxfId="9987" priority="9224" stopIfTrue="1">
      <formula>$C230&lt;&gt;""</formula>
    </cfRule>
  </conditionalFormatting>
  <conditionalFormatting sqref="S230">
    <cfRule type="expression" dxfId="9986" priority="9223" stopIfTrue="1">
      <formula>$B230&lt;&gt;""</formula>
    </cfRule>
  </conditionalFormatting>
  <conditionalFormatting sqref="S230">
    <cfRule type="expression" dxfId="9985" priority="9222" stopIfTrue="1">
      <formula>$C230&lt;&gt;""</formula>
    </cfRule>
  </conditionalFormatting>
  <conditionalFormatting sqref="S227:S230">
    <cfRule type="expression" dxfId="9984" priority="9221" stopIfTrue="1">
      <formula>$C227&lt;&gt;""</formula>
    </cfRule>
  </conditionalFormatting>
  <conditionalFormatting sqref="S227:S230">
    <cfRule type="expression" dxfId="9983" priority="9220" stopIfTrue="1">
      <formula>$B227&lt;&gt;""</formula>
    </cfRule>
  </conditionalFormatting>
  <conditionalFormatting sqref="S229:S230">
    <cfRule type="expression" dxfId="9982" priority="9219" stopIfTrue="1">
      <formula>$C229&lt;&gt;""</formula>
    </cfRule>
  </conditionalFormatting>
  <conditionalFormatting sqref="S229:S230">
    <cfRule type="expression" dxfId="9981" priority="9218" stopIfTrue="1">
      <formula>$B229&lt;&gt;""</formula>
    </cfRule>
  </conditionalFormatting>
  <conditionalFormatting sqref="S225:S230">
    <cfRule type="expression" dxfId="9980" priority="9217" stopIfTrue="1">
      <formula>$B225&lt;&gt;""</formula>
    </cfRule>
  </conditionalFormatting>
  <conditionalFormatting sqref="S225:S230">
    <cfRule type="expression" dxfId="9979" priority="9216" stopIfTrue="1">
      <formula>$C225&lt;&gt;""</formula>
    </cfRule>
  </conditionalFormatting>
  <conditionalFormatting sqref="S225:S229">
    <cfRule type="expression" dxfId="9978" priority="9215" stopIfTrue="1">
      <formula>$B225&lt;&gt;""</formula>
    </cfRule>
  </conditionalFormatting>
  <conditionalFormatting sqref="S225:S229">
    <cfRule type="expression" dxfId="9977" priority="9214" stopIfTrue="1">
      <formula>$C225&lt;&gt;""</formula>
    </cfRule>
  </conditionalFormatting>
  <conditionalFormatting sqref="S230">
    <cfRule type="expression" dxfId="9976" priority="9213" stopIfTrue="1">
      <formula>$B230&lt;&gt;""</formula>
    </cfRule>
  </conditionalFormatting>
  <conditionalFormatting sqref="S230">
    <cfRule type="expression" dxfId="9975" priority="9212" stopIfTrue="1">
      <formula>$C230&lt;&gt;""</formula>
    </cfRule>
  </conditionalFormatting>
  <conditionalFormatting sqref="S225:S228">
    <cfRule type="expression" dxfId="9974" priority="9211" stopIfTrue="1">
      <formula>$B225&lt;&gt;""</formula>
    </cfRule>
  </conditionalFormatting>
  <conditionalFormatting sqref="S225:S228">
    <cfRule type="expression" dxfId="9973" priority="9210" stopIfTrue="1">
      <formula>$C225&lt;&gt;""</formula>
    </cfRule>
  </conditionalFormatting>
  <conditionalFormatting sqref="S229:S230">
    <cfRule type="expression" dxfId="9972" priority="9209" stopIfTrue="1">
      <formula>$B229&lt;&gt;""</formula>
    </cfRule>
  </conditionalFormatting>
  <conditionalFormatting sqref="S229:S230">
    <cfRule type="expression" dxfId="9971" priority="9208" stopIfTrue="1">
      <formula>$C229&lt;&gt;""</formula>
    </cfRule>
  </conditionalFormatting>
  <conditionalFormatting sqref="S225:S229">
    <cfRule type="expression" dxfId="9970" priority="9207" stopIfTrue="1">
      <formula>$B225&lt;&gt;""</formula>
    </cfRule>
  </conditionalFormatting>
  <conditionalFormatting sqref="S225:S229">
    <cfRule type="expression" dxfId="9969" priority="9206" stopIfTrue="1">
      <formula>$C225&lt;&gt;""</formula>
    </cfRule>
  </conditionalFormatting>
  <conditionalFormatting sqref="S225:S229">
    <cfRule type="expression" dxfId="9968" priority="9205" stopIfTrue="1">
      <formula>$B225&lt;&gt;""</formula>
    </cfRule>
  </conditionalFormatting>
  <conditionalFormatting sqref="S225:S229">
    <cfRule type="expression" dxfId="9967" priority="9204" stopIfTrue="1">
      <formula>$C225&lt;&gt;""</formula>
    </cfRule>
  </conditionalFormatting>
  <conditionalFormatting sqref="S230">
    <cfRule type="expression" dxfId="9966" priority="9203" stopIfTrue="1">
      <formula>$B230&lt;&gt;""</formula>
    </cfRule>
  </conditionalFormatting>
  <conditionalFormatting sqref="S230">
    <cfRule type="expression" dxfId="9965" priority="9202" stopIfTrue="1">
      <formula>$C230&lt;&gt;""</formula>
    </cfRule>
  </conditionalFormatting>
  <conditionalFormatting sqref="S225:S229">
    <cfRule type="expression" dxfId="9964" priority="9201" stopIfTrue="1">
      <formula>$B225&lt;&gt;""</formula>
    </cfRule>
  </conditionalFormatting>
  <conditionalFormatting sqref="S225:S229">
    <cfRule type="expression" dxfId="9963" priority="9200" stopIfTrue="1">
      <formula>$C225&lt;&gt;""</formula>
    </cfRule>
  </conditionalFormatting>
  <conditionalFormatting sqref="S230">
    <cfRule type="expression" dxfId="9962" priority="9199" stopIfTrue="1">
      <formula>$B230&lt;&gt;""</formula>
    </cfRule>
  </conditionalFormatting>
  <conditionalFormatting sqref="S230">
    <cfRule type="expression" dxfId="9961" priority="9198" stopIfTrue="1">
      <formula>$C230&lt;&gt;""</formula>
    </cfRule>
  </conditionalFormatting>
  <conditionalFormatting sqref="S230">
    <cfRule type="expression" dxfId="9960" priority="9197" stopIfTrue="1">
      <formula>$B230&lt;&gt;""</formula>
    </cfRule>
  </conditionalFormatting>
  <conditionalFormatting sqref="S230">
    <cfRule type="expression" dxfId="9959" priority="9196" stopIfTrue="1">
      <formula>$C230&lt;&gt;""</formula>
    </cfRule>
  </conditionalFormatting>
  <conditionalFormatting sqref="S225:S226">
    <cfRule type="expression" dxfId="9958" priority="9195" stopIfTrue="1">
      <formula>$C225&lt;&gt;""</formula>
    </cfRule>
  </conditionalFormatting>
  <conditionalFormatting sqref="S225:S226">
    <cfRule type="expression" dxfId="9957" priority="9194" stopIfTrue="1">
      <formula>$B225&lt;&gt;""</formula>
    </cfRule>
  </conditionalFormatting>
  <conditionalFormatting sqref="S227:S230">
    <cfRule type="expression" dxfId="9956" priority="9193" stopIfTrue="1">
      <formula>$C227&lt;&gt;""</formula>
    </cfRule>
  </conditionalFormatting>
  <conditionalFormatting sqref="S227:S230">
    <cfRule type="expression" dxfId="9955" priority="9192" stopIfTrue="1">
      <formula>$B227&lt;&gt;""</formula>
    </cfRule>
  </conditionalFormatting>
  <conditionalFormatting sqref="S229:S230">
    <cfRule type="expression" dxfId="9954" priority="9191" stopIfTrue="1">
      <formula>$C229&lt;&gt;""</formula>
    </cfRule>
  </conditionalFormatting>
  <conditionalFormatting sqref="S229:S230">
    <cfRule type="expression" dxfId="9953" priority="9190" stopIfTrue="1">
      <formula>$B229&lt;&gt;""</formula>
    </cfRule>
  </conditionalFormatting>
  <conditionalFormatting sqref="S225:S229">
    <cfRule type="expression" dxfId="9952" priority="9189" stopIfTrue="1">
      <formula>$B225&lt;&gt;""</formula>
    </cfRule>
  </conditionalFormatting>
  <conditionalFormatting sqref="S225:S229">
    <cfRule type="expression" dxfId="9951" priority="9188" stopIfTrue="1">
      <formula>$C225&lt;&gt;""</formula>
    </cfRule>
  </conditionalFormatting>
  <conditionalFormatting sqref="S230">
    <cfRule type="expression" dxfId="9950" priority="9187" stopIfTrue="1">
      <formula>$B230&lt;&gt;""</formula>
    </cfRule>
  </conditionalFormatting>
  <conditionalFormatting sqref="S230">
    <cfRule type="expression" dxfId="9949" priority="9186" stopIfTrue="1">
      <formula>$C230&lt;&gt;""</formula>
    </cfRule>
  </conditionalFormatting>
  <conditionalFormatting sqref="S225:S228">
    <cfRule type="expression" dxfId="9948" priority="9185" stopIfTrue="1">
      <formula>$B225&lt;&gt;""</formula>
    </cfRule>
  </conditionalFormatting>
  <conditionalFormatting sqref="S225:S228">
    <cfRule type="expression" dxfId="9947" priority="9184" stopIfTrue="1">
      <formula>$C225&lt;&gt;""</formula>
    </cfRule>
  </conditionalFormatting>
  <conditionalFormatting sqref="S229:S230">
    <cfRule type="expression" dxfId="9946" priority="9183" stopIfTrue="1">
      <formula>$B229&lt;&gt;""</formula>
    </cfRule>
  </conditionalFormatting>
  <conditionalFormatting sqref="S229:S230">
    <cfRule type="expression" dxfId="9945" priority="9182" stopIfTrue="1">
      <formula>$C229&lt;&gt;""</formula>
    </cfRule>
  </conditionalFormatting>
  <conditionalFormatting sqref="S225:S229">
    <cfRule type="expression" dxfId="9944" priority="9181" stopIfTrue="1">
      <formula>$B225&lt;&gt;""</formula>
    </cfRule>
  </conditionalFormatting>
  <conditionalFormatting sqref="S225:S229">
    <cfRule type="expression" dxfId="9943" priority="9180" stopIfTrue="1">
      <formula>$C225&lt;&gt;""</formula>
    </cfRule>
  </conditionalFormatting>
  <conditionalFormatting sqref="S225:S229">
    <cfRule type="expression" dxfId="9942" priority="9179" stopIfTrue="1">
      <formula>$B225&lt;&gt;""</formula>
    </cfRule>
  </conditionalFormatting>
  <conditionalFormatting sqref="S225:S229">
    <cfRule type="expression" dxfId="9941" priority="9178" stopIfTrue="1">
      <formula>$C225&lt;&gt;""</formula>
    </cfRule>
  </conditionalFormatting>
  <conditionalFormatting sqref="S230">
    <cfRule type="expression" dxfId="9940" priority="9177" stopIfTrue="1">
      <formula>$B230&lt;&gt;""</formula>
    </cfRule>
  </conditionalFormatting>
  <conditionalFormatting sqref="S230">
    <cfRule type="expression" dxfId="9939" priority="9176" stopIfTrue="1">
      <formula>$C230&lt;&gt;""</formula>
    </cfRule>
  </conditionalFormatting>
  <conditionalFormatting sqref="S225:S229">
    <cfRule type="expression" dxfId="9938" priority="9175" stopIfTrue="1">
      <formula>$B225&lt;&gt;""</formula>
    </cfRule>
  </conditionalFormatting>
  <conditionalFormatting sqref="S225:S229">
    <cfRule type="expression" dxfId="9937" priority="9174" stopIfTrue="1">
      <formula>$C225&lt;&gt;""</formula>
    </cfRule>
  </conditionalFormatting>
  <conditionalFormatting sqref="S230">
    <cfRule type="expression" dxfId="9936" priority="9173" stopIfTrue="1">
      <formula>$B230&lt;&gt;""</formula>
    </cfRule>
  </conditionalFormatting>
  <conditionalFormatting sqref="S230">
    <cfRule type="expression" dxfId="9935" priority="9172" stopIfTrue="1">
      <formula>$C230&lt;&gt;""</formula>
    </cfRule>
  </conditionalFormatting>
  <conditionalFormatting sqref="S230">
    <cfRule type="expression" dxfId="9934" priority="9171" stopIfTrue="1">
      <formula>$B230&lt;&gt;""</formula>
    </cfRule>
  </conditionalFormatting>
  <conditionalFormatting sqref="S230">
    <cfRule type="expression" dxfId="9933" priority="9170" stopIfTrue="1">
      <formula>$C230&lt;&gt;""</formula>
    </cfRule>
  </conditionalFormatting>
  <conditionalFormatting sqref="S225:S226">
    <cfRule type="expression" dxfId="9932" priority="9169" stopIfTrue="1">
      <formula>$C225&lt;&gt;""</formula>
    </cfRule>
  </conditionalFormatting>
  <conditionalFormatting sqref="S225:S226">
    <cfRule type="expression" dxfId="9931" priority="9168" stopIfTrue="1">
      <formula>$B225&lt;&gt;""</formula>
    </cfRule>
  </conditionalFormatting>
  <conditionalFormatting sqref="S227:S230">
    <cfRule type="expression" dxfId="9930" priority="9167" stopIfTrue="1">
      <formula>$C227&lt;&gt;""</formula>
    </cfRule>
  </conditionalFormatting>
  <conditionalFormatting sqref="S227:S230">
    <cfRule type="expression" dxfId="9929" priority="9166" stopIfTrue="1">
      <formula>$B227&lt;&gt;""</formula>
    </cfRule>
  </conditionalFormatting>
  <conditionalFormatting sqref="S229:S230">
    <cfRule type="expression" dxfId="9928" priority="9165" stopIfTrue="1">
      <formula>$C229&lt;&gt;""</formula>
    </cfRule>
  </conditionalFormatting>
  <conditionalFormatting sqref="S229:S230">
    <cfRule type="expression" dxfId="9927" priority="9164" stopIfTrue="1">
      <formula>$B229&lt;&gt;""</formula>
    </cfRule>
  </conditionalFormatting>
  <conditionalFormatting sqref="S231:S235">
    <cfRule type="expression" dxfId="9926" priority="9163" stopIfTrue="1">
      <formula>$B231&lt;&gt;""</formula>
    </cfRule>
  </conditionalFormatting>
  <conditionalFormatting sqref="S231:S235">
    <cfRule type="expression" dxfId="9925" priority="9162" stopIfTrue="1">
      <formula>$C231&lt;&gt;""</formula>
    </cfRule>
  </conditionalFormatting>
  <conditionalFormatting sqref="S231:S234">
    <cfRule type="expression" dxfId="9924" priority="9161" stopIfTrue="1">
      <formula>$B231&lt;&gt;""</formula>
    </cfRule>
  </conditionalFormatting>
  <conditionalFormatting sqref="S231:S234">
    <cfRule type="expression" dxfId="9923" priority="9160" stopIfTrue="1">
      <formula>$C231&lt;&gt;""</formula>
    </cfRule>
  </conditionalFormatting>
  <conditionalFormatting sqref="S235">
    <cfRule type="expression" dxfId="9922" priority="9159" stopIfTrue="1">
      <formula>$B235&lt;&gt;""</formula>
    </cfRule>
  </conditionalFormatting>
  <conditionalFormatting sqref="S235">
    <cfRule type="expression" dxfId="9921" priority="9158" stopIfTrue="1">
      <formula>$C235&lt;&gt;""</formula>
    </cfRule>
  </conditionalFormatting>
  <conditionalFormatting sqref="S231:S233">
    <cfRule type="expression" dxfId="9920" priority="9157" stopIfTrue="1">
      <formula>$B231&lt;&gt;""</formula>
    </cfRule>
  </conditionalFormatting>
  <conditionalFormatting sqref="S231:S233">
    <cfRule type="expression" dxfId="9919" priority="9156" stopIfTrue="1">
      <formula>$C231&lt;&gt;""</formula>
    </cfRule>
  </conditionalFormatting>
  <conditionalFormatting sqref="S234:S235">
    <cfRule type="expression" dxfId="9918" priority="9155" stopIfTrue="1">
      <formula>$B234&lt;&gt;""</formula>
    </cfRule>
  </conditionalFormatting>
  <conditionalFormatting sqref="S234:S235">
    <cfRule type="expression" dxfId="9917" priority="9154" stopIfTrue="1">
      <formula>$C234&lt;&gt;""</formula>
    </cfRule>
  </conditionalFormatting>
  <conditionalFormatting sqref="S231:S234">
    <cfRule type="expression" dxfId="9916" priority="9153" stopIfTrue="1">
      <formula>$B231&lt;&gt;""</formula>
    </cfRule>
  </conditionalFormatting>
  <conditionalFormatting sqref="S231:S234">
    <cfRule type="expression" dxfId="9915" priority="9152" stopIfTrue="1">
      <formula>$C231&lt;&gt;""</formula>
    </cfRule>
  </conditionalFormatting>
  <conditionalFormatting sqref="S231:S234">
    <cfRule type="expression" dxfId="9914" priority="9151" stopIfTrue="1">
      <formula>$B231&lt;&gt;""</formula>
    </cfRule>
  </conditionalFormatting>
  <conditionalFormatting sqref="S231:S234">
    <cfRule type="expression" dxfId="9913" priority="9150" stopIfTrue="1">
      <formula>$C231&lt;&gt;""</formula>
    </cfRule>
  </conditionalFormatting>
  <conditionalFormatting sqref="S235">
    <cfRule type="expression" dxfId="9912" priority="9149" stopIfTrue="1">
      <formula>$B235&lt;&gt;""</formula>
    </cfRule>
  </conditionalFormatting>
  <conditionalFormatting sqref="S235">
    <cfRule type="expression" dxfId="9911" priority="9148" stopIfTrue="1">
      <formula>$C235&lt;&gt;""</formula>
    </cfRule>
  </conditionalFormatting>
  <conditionalFormatting sqref="S231:S234">
    <cfRule type="expression" dxfId="9910" priority="9147" stopIfTrue="1">
      <formula>$B231&lt;&gt;""</formula>
    </cfRule>
  </conditionalFormatting>
  <conditionalFormatting sqref="S231:S234">
    <cfRule type="expression" dxfId="9909" priority="9146" stopIfTrue="1">
      <formula>$C231&lt;&gt;""</formula>
    </cfRule>
  </conditionalFormatting>
  <conditionalFormatting sqref="S235">
    <cfRule type="expression" dxfId="9908" priority="9145" stopIfTrue="1">
      <formula>$B235&lt;&gt;""</formula>
    </cfRule>
  </conditionalFormatting>
  <conditionalFormatting sqref="S235">
    <cfRule type="expression" dxfId="9907" priority="9144" stopIfTrue="1">
      <formula>$C235&lt;&gt;""</formula>
    </cfRule>
  </conditionalFormatting>
  <conditionalFormatting sqref="S235">
    <cfRule type="expression" dxfId="9906" priority="9143" stopIfTrue="1">
      <formula>$B235&lt;&gt;""</formula>
    </cfRule>
  </conditionalFormatting>
  <conditionalFormatting sqref="S235">
    <cfRule type="expression" dxfId="9905" priority="9142" stopIfTrue="1">
      <formula>$C235&lt;&gt;""</formula>
    </cfRule>
  </conditionalFormatting>
  <conditionalFormatting sqref="S231">
    <cfRule type="expression" dxfId="9904" priority="9141" stopIfTrue="1">
      <formula>$C231&lt;&gt;""</formula>
    </cfRule>
  </conditionalFormatting>
  <conditionalFormatting sqref="S231">
    <cfRule type="expression" dxfId="9903" priority="9140" stopIfTrue="1">
      <formula>$B231&lt;&gt;""</formula>
    </cfRule>
  </conditionalFormatting>
  <conditionalFormatting sqref="S232:S235">
    <cfRule type="expression" dxfId="9902" priority="9139" stopIfTrue="1">
      <formula>$C232&lt;&gt;""</formula>
    </cfRule>
  </conditionalFormatting>
  <conditionalFormatting sqref="S232:S235">
    <cfRule type="expression" dxfId="9901" priority="9138" stopIfTrue="1">
      <formula>$B232&lt;&gt;""</formula>
    </cfRule>
  </conditionalFormatting>
  <conditionalFormatting sqref="S234:S235">
    <cfRule type="expression" dxfId="9900" priority="9137" stopIfTrue="1">
      <formula>$C234&lt;&gt;""</formula>
    </cfRule>
  </conditionalFormatting>
  <conditionalFormatting sqref="S234:S235">
    <cfRule type="expression" dxfId="9899" priority="9136" stopIfTrue="1">
      <formula>$B234&lt;&gt;""</formula>
    </cfRule>
  </conditionalFormatting>
  <conditionalFormatting sqref="S231:S234">
    <cfRule type="expression" dxfId="9898" priority="9135" stopIfTrue="1">
      <formula>$B231&lt;&gt;""</formula>
    </cfRule>
  </conditionalFormatting>
  <conditionalFormatting sqref="S231:S234">
    <cfRule type="expression" dxfId="9897" priority="9134" stopIfTrue="1">
      <formula>$C231&lt;&gt;""</formula>
    </cfRule>
  </conditionalFormatting>
  <conditionalFormatting sqref="S235">
    <cfRule type="expression" dxfId="9896" priority="9133" stopIfTrue="1">
      <formula>$B235&lt;&gt;""</formula>
    </cfRule>
  </conditionalFormatting>
  <conditionalFormatting sqref="S235">
    <cfRule type="expression" dxfId="9895" priority="9132" stopIfTrue="1">
      <formula>$C235&lt;&gt;""</formula>
    </cfRule>
  </conditionalFormatting>
  <conditionalFormatting sqref="S231:S233">
    <cfRule type="expression" dxfId="9894" priority="9131" stopIfTrue="1">
      <formula>$B231&lt;&gt;""</formula>
    </cfRule>
  </conditionalFormatting>
  <conditionalFormatting sqref="S231:S233">
    <cfRule type="expression" dxfId="9893" priority="9130" stopIfTrue="1">
      <formula>$C231&lt;&gt;""</formula>
    </cfRule>
  </conditionalFormatting>
  <conditionalFormatting sqref="S234:S235">
    <cfRule type="expression" dxfId="9892" priority="9129" stopIfTrue="1">
      <formula>$B234&lt;&gt;""</formula>
    </cfRule>
  </conditionalFormatting>
  <conditionalFormatting sqref="S234:S235">
    <cfRule type="expression" dxfId="9891" priority="9128" stopIfTrue="1">
      <formula>$C234&lt;&gt;""</formula>
    </cfRule>
  </conditionalFormatting>
  <conditionalFormatting sqref="S231:S234">
    <cfRule type="expression" dxfId="9890" priority="9127" stopIfTrue="1">
      <formula>$B231&lt;&gt;""</formula>
    </cfRule>
  </conditionalFormatting>
  <conditionalFormatting sqref="S231:S234">
    <cfRule type="expression" dxfId="9889" priority="9126" stopIfTrue="1">
      <formula>$C231&lt;&gt;""</formula>
    </cfRule>
  </conditionalFormatting>
  <conditionalFormatting sqref="S231:S234">
    <cfRule type="expression" dxfId="9888" priority="9125" stopIfTrue="1">
      <formula>$B231&lt;&gt;""</formula>
    </cfRule>
  </conditionalFormatting>
  <conditionalFormatting sqref="S231:S234">
    <cfRule type="expression" dxfId="9887" priority="9124" stopIfTrue="1">
      <formula>$C231&lt;&gt;""</formula>
    </cfRule>
  </conditionalFormatting>
  <conditionalFormatting sqref="S235">
    <cfRule type="expression" dxfId="9886" priority="9123" stopIfTrue="1">
      <formula>$B235&lt;&gt;""</formula>
    </cfRule>
  </conditionalFormatting>
  <conditionalFormatting sqref="S235">
    <cfRule type="expression" dxfId="9885" priority="9122" stopIfTrue="1">
      <formula>$C235&lt;&gt;""</formula>
    </cfRule>
  </conditionalFormatting>
  <conditionalFormatting sqref="S231:S234">
    <cfRule type="expression" dxfId="9884" priority="9121" stopIfTrue="1">
      <formula>$B231&lt;&gt;""</formula>
    </cfRule>
  </conditionalFormatting>
  <conditionalFormatting sqref="S231:S234">
    <cfRule type="expression" dxfId="9883" priority="9120" stopIfTrue="1">
      <formula>$C231&lt;&gt;""</formula>
    </cfRule>
  </conditionalFormatting>
  <conditionalFormatting sqref="S235">
    <cfRule type="expression" dxfId="9882" priority="9119" stopIfTrue="1">
      <formula>$B235&lt;&gt;""</formula>
    </cfRule>
  </conditionalFormatting>
  <conditionalFormatting sqref="S235">
    <cfRule type="expression" dxfId="9881" priority="9118" stopIfTrue="1">
      <formula>$C235&lt;&gt;""</formula>
    </cfRule>
  </conditionalFormatting>
  <conditionalFormatting sqref="S235">
    <cfRule type="expression" dxfId="9880" priority="9117" stopIfTrue="1">
      <formula>$B235&lt;&gt;""</formula>
    </cfRule>
  </conditionalFormatting>
  <conditionalFormatting sqref="S235">
    <cfRule type="expression" dxfId="9879" priority="9116" stopIfTrue="1">
      <formula>$C235&lt;&gt;""</formula>
    </cfRule>
  </conditionalFormatting>
  <conditionalFormatting sqref="S231">
    <cfRule type="expression" dxfId="9878" priority="9115" stopIfTrue="1">
      <formula>$C231&lt;&gt;""</formula>
    </cfRule>
  </conditionalFormatting>
  <conditionalFormatting sqref="S231">
    <cfRule type="expression" dxfId="9877" priority="9114" stopIfTrue="1">
      <formula>$B231&lt;&gt;""</formula>
    </cfRule>
  </conditionalFormatting>
  <conditionalFormatting sqref="S232:S235">
    <cfRule type="expression" dxfId="9876" priority="9113" stopIfTrue="1">
      <formula>$C232&lt;&gt;""</formula>
    </cfRule>
  </conditionalFormatting>
  <conditionalFormatting sqref="S232:S235">
    <cfRule type="expression" dxfId="9875" priority="9112" stopIfTrue="1">
      <formula>$B232&lt;&gt;""</formula>
    </cfRule>
  </conditionalFormatting>
  <conditionalFormatting sqref="S234:S235">
    <cfRule type="expression" dxfId="9874" priority="9111" stopIfTrue="1">
      <formula>$C234&lt;&gt;""</formula>
    </cfRule>
  </conditionalFormatting>
  <conditionalFormatting sqref="S234:S235">
    <cfRule type="expression" dxfId="9873" priority="9110" stopIfTrue="1">
      <formula>$B234&lt;&gt;""</formula>
    </cfRule>
  </conditionalFormatting>
  <conditionalFormatting sqref="S236:S240">
    <cfRule type="expression" dxfId="9872" priority="9109" stopIfTrue="1">
      <formula>$B236&lt;&gt;""</formula>
    </cfRule>
  </conditionalFormatting>
  <conditionalFormatting sqref="S236:S240">
    <cfRule type="expression" dxfId="9871" priority="9108" stopIfTrue="1">
      <formula>$C236&lt;&gt;""</formula>
    </cfRule>
  </conditionalFormatting>
  <conditionalFormatting sqref="S236:S240">
    <cfRule type="expression" dxfId="9870" priority="9107" stopIfTrue="1">
      <formula>$B236&lt;&gt;""</formula>
    </cfRule>
  </conditionalFormatting>
  <conditionalFormatting sqref="S236:S240">
    <cfRule type="expression" dxfId="9869" priority="9106" stopIfTrue="1">
      <formula>$C236&lt;&gt;""</formula>
    </cfRule>
  </conditionalFormatting>
  <conditionalFormatting sqref="S236:S239">
    <cfRule type="expression" dxfId="9868" priority="9105" stopIfTrue="1">
      <formula>$B236&lt;&gt;""</formula>
    </cfRule>
  </conditionalFormatting>
  <conditionalFormatting sqref="S236:S239">
    <cfRule type="expression" dxfId="9867" priority="9104" stopIfTrue="1">
      <formula>$C236&lt;&gt;""</formula>
    </cfRule>
  </conditionalFormatting>
  <conditionalFormatting sqref="S240">
    <cfRule type="expression" dxfId="9866" priority="9103" stopIfTrue="1">
      <formula>$B240&lt;&gt;""</formula>
    </cfRule>
  </conditionalFormatting>
  <conditionalFormatting sqref="S240">
    <cfRule type="expression" dxfId="9865" priority="9102" stopIfTrue="1">
      <formula>$C240&lt;&gt;""</formula>
    </cfRule>
  </conditionalFormatting>
  <conditionalFormatting sqref="S236:S238">
    <cfRule type="expression" dxfId="9864" priority="9101" stopIfTrue="1">
      <formula>$B236&lt;&gt;""</formula>
    </cfRule>
  </conditionalFormatting>
  <conditionalFormatting sqref="S236:S238">
    <cfRule type="expression" dxfId="9863" priority="9100" stopIfTrue="1">
      <formula>$C236&lt;&gt;""</formula>
    </cfRule>
  </conditionalFormatting>
  <conditionalFormatting sqref="S239:S240">
    <cfRule type="expression" dxfId="9862" priority="9099" stopIfTrue="1">
      <formula>$B239&lt;&gt;""</formula>
    </cfRule>
  </conditionalFormatting>
  <conditionalFormatting sqref="S239:S240">
    <cfRule type="expression" dxfId="9861" priority="9098" stopIfTrue="1">
      <formula>$C239&lt;&gt;""</formula>
    </cfRule>
  </conditionalFormatting>
  <conditionalFormatting sqref="S236:S239">
    <cfRule type="expression" dxfId="9860" priority="9097" stopIfTrue="1">
      <formula>$B236&lt;&gt;""</formula>
    </cfRule>
  </conditionalFormatting>
  <conditionalFormatting sqref="S236:S239">
    <cfRule type="expression" dxfId="9859" priority="9096" stopIfTrue="1">
      <formula>$C236&lt;&gt;""</formula>
    </cfRule>
  </conditionalFormatting>
  <conditionalFormatting sqref="S236:S239">
    <cfRule type="expression" dxfId="9858" priority="9095" stopIfTrue="1">
      <formula>$B236&lt;&gt;""</formula>
    </cfRule>
  </conditionalFormatting>
  <conditionalFormatting sqref="S236:S239">
    <cfRule type="expression" dxfId="9857" priority="9094" stopIfTrue="1">
      <formula>$C236&lt;&gt;""</formula>
    </cfRule>
  </conditionalFormatting>
  <conditionalFormatting sqref="S240">
    <cfRule type="expression" dxfId="9856" priority="9093" stopIfTrue="1">
      <formula>$B240&lt;&gt;""</formula>
    </cfRule>
  </conditionalFormatting>
  <conditionalFormatting sqref="S240">
    <cfRule type="expression" dxfId="9855" priority="9092" stopIfTrue="1">
      <formula>$C240&lt;&gt;""</formula>
    </cfRule>
  </conditionalFormatting>
  <conditionalFormatting sqref="S236:S239">
    <cfRule type="expression" dxfId="9854" priority="9091" stopIfTrue="1">
      <formula>$B236&lt;&gt;""</formula>
    </cfRule>
  </conditionalFormatting>
  <conditionalFormatting sqref="S236:S239">
    <cfRule type="expression" dxfId="9853" priority="9090" stopIfTrue="1">
      <formula>$C236&lt;&gt;""</formula>
    </cfRule>
  </conditionalFormatting>
  <conditionalFormatting sqref="S240">
    <cfRule type="expression" dxfId="9852" priority="9089" stopIfTrue="1">
      <formula>$B240&lt;&gt;""</formula>
    </cfRule>
  </conditionalFormatting>
  <conditionalFormatting sqref="S240">
    <cfRule type="expression" dxfId="9851" priority="9088" stopIfTrue="1">
      <formula>$C240&lt;&gt;""</formula>
    </cfRule>
  </conditionalFormatting>
  <conditionalFormatting sqref="S240">
    <cfRule type="expression" dxfId="9850" priority="9087" stopIfTrue="1">
      <formula>$B240&lt;&gt;""</formula>
    </cfRule>
  </conditionalFormatting>
  <conditionalFormatting sqref="S240">
    <cfRule type="expression" dxfId="9849" priority="9086" stopIfTrue="1">
      <formula>$C240&lt;&gt;""</formula>
    </cfRule>
  </conditionalFormatting>
  <conditionalFormatting sqref="S236">
    <cfRule type="expression" dxfId="9848" priority="9085" stopIfTrue="1">
      <formula>$C236&lt;&gt;""</formula>
    </cfRule>
  </conditionalFormatting>
  <conditionalFormatting sqref="S236">
    <cfRule type="expression" dxfId="9847" priority="9084" stopIfTrue="1">
      <formula>$B236&lt;&gt;""</formula>
    </cfRule>
  </conditionalFormatting>
  <conditionalFormatting sqref="S237:S240">
    <cfRule type="expression" dxfId="9846" priority="9083" stopIfTrue="1">
      <formula>$C237&lt;&gt;""</formula>
    </cfRule>
  </conditionalFormatting>
  <conditionalFormatting sqref="S237:S240">
    <cfRule type="expression" dxfId="9845" priority="9082" stopIfTrue="1">
      <formula>$B237&lt;&gt;""</formula>
    </cfRule>
  </conditionalFormatting>
  <conditionalFormatting sqref="S239:S240">
    <cfRule type="expression" dxfId="9844" priority="9081" stopIfTrue="1">
      <formula>$C239&lt;&gt;""</formula>
    </cfRule>
  </conditionalFormatting>
  <conditionalFormatting sqref="S239:S240">
    <cfRule type="expression" dxfId="9843" priority="9080" stopIfTrue="1">
      <formula>$B239&lt;&gt;""</formula>
    </cfRule>
  </conditionalFormatting>
  <conditionalFormatting sqref="S236:S239">
    <cfRule type="expression" dxfId="9842" priority="9079" stopIfTrue="1">
      <formula>$B236&lt;&gt;""</formula>
    </cfRule>
  </conditionalFormatting>
  <conditionalFormatting sqref="S236:S239">
    <cfRule type="expression" dxfId="9841" priority="9078" stopIfTrue="1">
      <formula>$C236&lt;&gt;""</formula>
    </cfRule>
  </conditionalFormatting>
  <conditionalFormatting sqref="S240">
    <cfRule type="expression" dxfId="9840" priority="9077" stopIfTrue="1">
      <formula>$B240&lt;&gt;""</formula>
    </cfRule>
  </conditionalFormatting>
  <conditionalFormatting sqref="S240">
    <cfRule type="expression" dxfId="9839" priority="9076" stopIfTrue="1">
      <formula>$C240&lt;&gt;""</formula>
    </cfRule>
  </conditionalFormatting>
  <conditionalFormatting sqref="S236:S238">
    <cfRule type="expression" dxfId="9838" priority="9075" stopIfTrue="1">
      <formula>$B236&lt;&gt;""</formula>
    </cfRule>
  </conditionalFormatting>
  <conditionalFormatting sqref="S236:S238">
    <cfRule type="expression" dxfId="9837" priority="9074" stopIfTrue="1">
      <formula>$C236&lt;&gt;""</formula>
    </cfRule>
  </conditionalFormatting>
  <conditionalFormatting sqref="S239:S240">
    <cfRule type="expression" dxfId="9836" priority="9073" stopIfTrue="1">
      <formula>$B239&lt;&gt;""</formula>
    </cfRule>
  </conditionalFormatting>
  <conditionalFormatting sqref="S239:S240">
    <cfRule type="expression" dxfId="9835" priority="9072" stopIfTrue="1">
      <formula>$C239&lt;&gt;""</formula>
    </cfRule>
  </conditionalFormatting>
  <conditionalFormatting sqref="S236:S239">
    <cfRule type="expression" dxfId="9834" priority="9071" stopIfTrue="1">
      <formula>$B236&lt;&gt;""</formula>
    </cfRule>
  </conditionalFormatting>
  <conditionalFormatting sqref="S236:S239">
    <cfRule type="expression" dxfId="9833" priority="9070" stopIfTrue="1">
      <formula>$C236&lt;&gt;""</formula>
    </cfRule>
  </conditionalFormatting>
  <conditionalFormatting sqref="S236:S239">
    <cfRule type="expression" dxfId="9832" priority="9069" stopIfTrue="1">
      <formula>$B236&lt;&gt;""</formula>
    </cfRule>
  </conditionalFormatting>
  <conditionalFormatting sqref="S236:S239">
    <cfRule type="expression" dxfId="9831" priority="9068" stopIfTrue="1">
      <formula>$C236&lt;&gt;""</formula>
    </cfRule>
  </conditionalFormatting>
  <conditionalFormatting sqref="S240">
    <cfRule type="expression" dxfId="9830" priority="9067" stopIfTrue="1">
      <formula>$B240&lt;&gt;""</formula>
    </cfRule>
  </conditionalFormatting>
  <conditionalFormatting sqref="S240">
    <cfRule type="expression" dxfId="9829" priority="9066" stopIfTrue="1">
      <formula>$C240&lt;&gt;""</formula>
    </cfRule>
  </conditionalFormatting>
  <conditionalFormatting sqref="S236:S239">
    <cfRule type="expression" dxfId="9828" priority="9065" stopIfTrue="1">
      <formula>$B236&lt;&gt;""</formula>
    </cfRule>
  </conditionalFormatting>
  <conditionalFormatting sqref="S236:S239">
    <cfRule type="expression" dxfId="9827" priority="9064" stopIfTrue="1">
      <formula>$C236&lt;&gt;""</formula>
    </cfRule>
  </conditionalFormatting>
  <conditionalFormatting sqref="S240">
    <cfRule type="expression" dxfId="9826" priority="9063" stopIfTrue="1">
      <formula>$B240&lt;&gt;""</formula>
    </cfRule>
  </conditionalFormatting>
  <conditionalFormatting sqref="S240">
    <cfRule type="expression" dxfId="9825" priority="9062" stopIfTrue="1">
      <formula>$C240&lt;&gt;""</formula>
    </cfRule>
  </conditionalFormatting>
  <conditionalFormatting sqref="S240">
    <cfRule type="expression" dxfId="9824" priority="9061" stopIfTrue="1">
      <formula>$B240&lt;&gt;""</formula>
    </cfRule>
  </conditionalFormatting>
  <conditionalFormatting sqref="S240">
    <cfRule type="expression" dxfId="9823" priority="9060" stopIfTrue="1">
      <formula>$C240&lt;&gt;""</formula>
    </cfRule>
  </conditionalFormatting>
  <conditionalFormatting sqref="S236">
    <cfRule type="expression" dxfId="9822" priority="9059" stopIfTrue="1">
      <formula>$C236&lt;&gt;""</formula>
    </cfRule>
  </conditionalFormatting>
  <conditionalFormatting sqref="S236">
    <cfRule type="expression" dxfId="9821" priority="9058" stopIfTrue="1">
      <formula>$B236&lt;&gt;""</formula>
    </cfRule>
  </conditionalFormatting>
  <conditionalFormatting sqref="S237:S240">
    <cfRule type="expression" dxfId="9820" priority="9057" stopIfTrue="1">
      <formula>$C237&lt;&gt;""</formula>
    </cfRule>
  </conditionalFormatting>
  <conditionalFormatting sqref="S237:S240">
    <cfRule type="expression" dxfId="9819" priority="9056" stopIfTrue="1">
      <formula>$B237&lt;&gt;""</formula>
    </cfRule>
  </conditionalFormatting>
  <conditionalFormatting sqref="S239:S240">
    <cfRule type="expression" dxfId="9818" priority="9055" stopIfTrue="1">
      <formula>$C239&lt;&gt;""</formula>
    </cfRule>
  </conditionalFormatting>
  <conditionalFormatting sqref="S239:S240">
    <cfRule type="expression" dxfId="9817" priority="9054" stopIfTrue="1">
      <formula>$B239&lt;&gt;""</formula>
    </cfRule>
  </conditionalFormatting>
  <conditionalFormatting sqref="S241:S245">
    <cfRule type="expression" dxfId="9816" priority="9053" stopIfTrue="1">
      <formula>$B241&lt;&gt;""</formula>
    </cfRule>
  </conditionalFormatting>
  <conditionalFormatting sqref="S241:S245">
    <cfRule type="expression" dxfId="9815" priority="9052" stopIfTrue="1">
      <formula>$C241&lt;&gt;""</formula>
    </cfRule>
  </conditionalFormatting>
  <conditionalFormatting sqref="S241:S245">
    <cfRule type="expression" dxfId="9814" priority="9051" stopIfTrue="1">
      <formula>$B241&lt;&gt;""</formula>
    </cfRule>
  </conditionalFormatting>
  <conditionalFormatting sqref="S241:S245">
    <cfRule type="expression" dxfId="9813" priority="9050" stopIfTrue="1">
      <formula>$C241&lt;&gt;""</formula>
    </cfRule>
  </conditionalFormatting>
  <conditionalFormatting sqref="S241:S245">
    <cfRule type="expression" dxfId="9812" priority="9049" stopIfTrue="1">
      <formula>$B241&lt;&gt;""</formula>
    </cfRule>
  </conditionalFormatting>
  <conditionalFormatting sqref="S241:S245">
    <cfRule type="expression" dxfId="9811" priority="9048" stopIfTrue="1">
      <formula>$C241&lt;&gt;""</formula>
    </cfRule>
  </conditionalFormatting>
  <conditionalFormatting sqref="S241:S244">
    <cfRule type="expression" dxfId="9810" priority="9047" stopIfTrue="1">
      <formula>$B241&lt;&gt;""</formula>
    </cfRule>
  </conditionalFormatting>
  <conditionalFormatting sqref="S241:S244">
    <cfRule type="expression" dxfId="9809" priority="9046" stopIfTrue="1">
      <formula>$C241&lt;&gt;""</formula>
    </cfRule>
  </conditionalFormatting>
  <conditionalFormatting sqref="S245">
    <cfRule type="expression" dxfId="9808" priority="9045" stopIfTrue="1">
      <formula>$B245&lt;&gt;""</formula>
    </cfRule>
  </conditionalFormatting>
  <conditionalFormatting sqref="S245">
    <cfRule type="expression" dxfId="9807" priority="9044" stopIfTrue="1">
      <formula>$C245&lt;&gt;""</formula>
    </cfRule>
  </conditionalFormatting>
  <conditionalFormatting sqref="S241:S243">
    <cfRule type="expression" dxfId="9806" priority="9043" stopIfTrue="1">
      <formula>$B241&lt;&gt;""</formula>
    </cfRule>
  </conditionalFormatting>
  <conditionalFormatting sqref="S241:S243">
    <cfRule type="expression" dxfId="9805" priority="9042" stopIfTrue="1">
      <formula>$C241&lt;&gt;""</formula>
    </cfRule>
  </conditionalFormatting>
  <conditionalFormatting sqref="S244:S245">
    <cfRule type="expression" dxfId="9804" priority="9041" stopIfTrue="1">
      <formula>$B244&lt;&gt;""</formula>
    </cfRule>
  </conditionalFormatting>
  <conditionalFormatting sqref="S244:S245">
    <cfRule type="expression" dxfId="9803" priority="9040" stopIfTrue="1">
      <formula>$C244&lt;&gt;""</formula>
    </cfRule>
  </conditionalFormatting>
  <conditionalFormatting sqref="S241:S244">
    <cfRule type="expression" dxfId="9802" priority="9039" stopIfTrue="1">
      <formula>$B241&lt;&gt;""</formula>
    </cfRule>
  </conditionalFormatting>
  <conditionalFormatting sqref="S241:S244">
    <cfRule type="expression" dxfId="9801" priority="9038" stopIfTrue="1">
      <formula>$C241&lt;&gt;""</formula>
    </cfRule>
  </conditionalFormatting>
  <conditionalFormatting sqref="S241:S244">
    <cfRule type="expression" dxfId="9800" priority="9037" stopIfTrue="1">
      <formula>$B241&lt;&gt;""</formula>
    </cfRule>
  </conditionalFormatting>
  <conditionalFormatting sqref="S241:S244">
    <cfRule type="expression" dxfId="9799" priority="9036" stopIfTrue="1">
      <formula>$C241&lt;&gt;""</formula>
    </cfRule>
  </conditionalFormatting>
  <conditionalFormatting sqref="S245">
    <cfRule type="expression" dxfId="9798" priority="9035" stopIfTrue="1">
      <formula>$B245&lt;&gt;""</formula>
    </cfRule>
  </conditionalFormatting>
  <conditionalFormatting sqref="S245">
    <cfRule type="expression" dxfId="9797" priority="9034" stopIfTrue="1">
      <formula>$C245&lt;&gt;""</formula>
    </cfRule>
  </conditionalFormatting>
  <conditionalFormatting sqref="S241:S244">
    <cfRule type="expression" dxfId="9796" priority="9033" stopIfTrue="1">
      <formula>$B241&lt;&gt;""</formula>
    </cfRule>
  </conditionalFormatting>
  <conditionalFormatting sqref="S241:S244">
    <cfRule type="expression" dxfId="9795" priority="9032" stopIfTrue="1">
      <formula>$C241&lt;&gt;""</formula>
    </cfRule>
  </conditionalFormatting>
  <conditionalFormatting sqref="S245">
    <cfRule type="expression" dxfId="9794" priority="9031" stopIfTrue="1">
      <formula>$B245&lt;&gt;""</formula>
    </cfRule>
  </conditionalFormatting>
  <conditionalFormatting sqref="S245">
    <cfRule type="expression" dxfId="9793" priority="9030" stopIfTrue="1">
      <formula>$C245&lt;&gt;""</formula>
    </cfRule>
  </conditionalFormatting>
  <conditionalFormatting sqref="S245">
    <cfRule type="expression" dxfId="9792" priority="9029" stopIfTrue="1">
      <formula>$B245&lt;&gt;""</formula>
    </cfRule>
  </conditionalFormatting>
  <conditionalFormatting sqref="S245">
    <cfRule type="expression" dxfId="9791" priority="9028" stopIfTrue="1">
      <formula>$C245&lt;&gt;""</formula>
    </cfRule>
  </conditionalFormatting>
  <conditionalFormatting sqref="S241">
    <cfRule type="expression" dxfId="9790" priority="9027" stopIfTrue="1">
      <formula>$C241&lt;&gt;""</formula>
    </cfRule>
  </conditionalFormatting>
  <conditionalFormatting sqref="S241">
    <cfRule type="expression" dxfId="9789" priority="9026" stopIfTrue="1">
      <formula>$B241&lt;&gt;""</formula>
    </cfRule>
  </conditionalFormatting>
  <conditionalFormatting sqref="S242:S245">
    <cfRule type="expression" dxfId="9788" priority="9025" stopIfTrue="1">
      <formula>$C242&lt;&gt;""</formula>
    </cfRule>
  </conditionalFormatting>
  <conditionalFormatting sqref="S242:S245">
    <cfRule type="expression" dxfId="9787" priority="9024" stopIfTrue="1">
      <formula>$B242&lt;&gt;""</formula>
    </cfRule>
  </conditionalFormatting>
  <conditionalFormatting sqref="S244:S245">
    <cfRule type="expression" dxfId="9786" priority="9023" stopIfTrue="1">
      <formula>$C244&lt;&gt;""</formula>
    </cfRule>
  </conditionalFormatting>
  <conditionalFormatting sqref="S244:S245">
    <cfRule type="expression" dxfId="9785" priority="9022" stopIfTrue="1">
      <formula>$B244&lt;&gt;""</formula>
    </cfRule>
  </conditionalFormatting>
  <conditionalFormatting sqref="S241:S244">
    <cfRule type="expression" dxfId="9784" priority="9021" stopIfTrue="1">
      <formula>$B241&lt;&gt;""</formula>
    </cfRule>
  </conditionalFormatting>
  <conditionalFormatting sqref="S241:S244">
    <cfRule type="expression" dxfId="9783" priority="9020" stopIfTrue="1">
      <formula>$C241&lt;&gt;""</formula>
    </cfRule>
  </conditionalFormatting>
  <conditionalFormatting sqref="S245">
    <cfRule type="expression" dxfId="9782" priority="9019" stopIfTrue="1">
      <formula>$B245&lt;&gt;""</formula>
    </cfRule>
  </conditionalFormatting>
  <conditionalFormatting sqref="S245">
    <cfRule type="expression" dxfId="9781" priority="9018" stopIfTrue="1">
      <formula>$C245&lt;&gt;""</formula>
    </cfRule>
  </conditionalFormatting>
  <conditionalFormatting sqref="S241:S243">
    <cfRule type="expression" dxfId="9780" priority="9017" stopIfTrue="1">
      <formula>$B241&lt;&gt;""</formula>
    </cfRule>
  </conditionalFormatting>
  <conditionalFormatting sqref="S241:S243">
    <cfRule type="expression" dxfId="9779" priority="9016" stopIfTrue="1">
      <formula>$C241&lt;&gt;""</formula>
    </cfRule>
  </conditionalFormatting>
  <conditionalFormatting sqref="S244:S245">
    <cfRule type="expression" dxfId="9778" priority="9015" stopIfTrue="1">
      <formula>$B244&lt;&gt;""</formula>
    </cfRule>
  </conditionalFormatting>
  <conditionalFormatting sqref="S244:S245">
    <cfRule type="expression" dxfId="9777" priority="9014" stopIfTrue="1">
      <formula>$C244&lt;&gt;""</formula>
    </cfRule>
  </conditionalFormatting>
  <conditionalFormatting sqref="S241:S244">
    <cfRule type="expression" dxfId="9776" priority="9013" stopIfTrue="1">
      <formula>$B241&lt;&gt;""</formula>
    </cfRule>
  </conditionalFormatting>
  <conditionalFormatting sqref="S241:S244">
    <cfRule type="expression" dxfId="9775" priority="9012" stopIfTrue="1">
      <formula>$C241&lt;&gt;""</formula>
    </cfRule>
  </conditionalFormatting>
  <conditionalFormatting sqref="S241:S244">
    <cfRule type="expression" dxfId="9774" priority="9011" stopIfTrue="1">
      <formula>$B241&lt;&gt;""</formula>
    </cfRule>
  </conditionalFormatting>
  <conditionalFormatting sqref="S241:S244">
    <cfRule type="expression" dxfId="9773" priority="9010" stopIfTrue="1">
      <formula>$C241&lt;&gt;""</formula>
    </cfRule>
  </conditionalFormatting>
  <conditionalFormatting sqref="S245">
    <cfRule type="expression" dxfId="9772" priority="9009" stopIfTrue="1">
      <formula>$B245&lt;&gt;""</formula>
    </cfRule>
  </conditionalFormatting>
  <conditionalFormatting sqref="S245">
    <cfRule type="expression" dxfId="9771" priority="9008" stopIfTrue="1">
      <formula>$C245&lt;&gt;""</formula>
    </cfRule>
  </conditionalFormatting>
  <conditionalFormatting sqref="S241:S244">
    <cfRule type="expression" dxfId="9770" priority="9007" stopIfTrue="1">
      <formula>$B241&lt;&gt;""</formula>
    </cfRule>
  </conditionalFormatting>
  <conditionalFormatting sqref="S241:S244">
    <cfRule type="expression" dxfId="9769" priority="9006" stopIfTrue="1">
      <formula>$C241&lt;&gt;""</formula>
    </cfRule>
  </conditionalFormatting>
  <conditionalFormatting sqref="S245">
    <cfRule type="expression" dxfId="9768" priority="9005" stopIfTrue="1">
      <formula>$B245&lt;&gt;""</formula>
    </cfRule>
  </conditionalFormatting>
  <conditionalFormatting sqref="S245">
    <cfRule type="expression" dxfId="9767" priority="9004" stopIfTrue="1">
      <formula>$C245&lt;&gt;""</formula>
    </cfRule>
  </conditionalFormatting>
  <conditionalFormatting sqref="S245">
    <cfRule type="expression" dxfId="9766" priority="9003" stopIfTrue="1">
      <formula>$B245&lt;&gt;""</formula>
    </cfRule>
  </conditionalFormatting>
  <conditionalFormatting sqref="S245">
    <cfRule type="expression" dxfId="9765" priority="9002" stopIfTrue="1">
      <formula>$C245&lt;&gt;""</formula>
    </cfRule>
  </conditionalFormatting>
  <conditionalFormatting sqref="S241">
    <cfRule type="expression" dxfId="9764" priority="9001" stopIfTrue="1">
      <formula>$C241&lt;&gt;""</formula>
    </cfRule>
  </conditionalFormatting>
  <conditionalFormatting sqref="S241">
    <cfRule type="expression" dxfId="9763" priority="9000" stopIfTrue="1">
      <formula>$B241&lt;&gt;""</formula>
    </cfRule>
  </conditionalFormatting>
  <conditionalFormatting sqref="S242:S245">
    <cfRule type="expression" dxfId="9762" priority="8999" stopIfTrue="1">
      <formula>$C242&lt;&gt;""</formula>
    </cfRule>
  </conditionalFormatting>
  <conditionalFormatting sqref="S242:S245">
    <cfRule type="expression" dxfId="9761" priority="8998" stopIfTrue="1">
      <formula>$B242&lt;&gt;""</formula>
    </cfRule>
  </conditionalFormatting>
  <conditionalFormatting sqref="S244:S245">
    <cfRule type="expression" dxfId="9760" priority="8997" stopIfTrue="1">
      <formula>$C244&lt;&gt;""</formula>
    </cfRule>
  </conditionalFormatting>
  <conditionalFormatting sqref="S244:S245">
    <cfRule type="expression" dxfId="9759" priority="8996" stopIfTrue="1">
      <formula>$B244&lt;&gt;""</formula>
    </cfRule>
  </conditionalFormatting>
  <conditionalFormatting sqref="S246:S250">
    <cfRule type="expression" dxfId="9758" priority="8995" stopIfTrue="1">
      <formula>$B246&lt;&gt;""</formula>
    </cfRule>
  </conditionalFormatting>
  <conditionalFormatting sqref="S246:S250">
    <cfRule type="expression" dxfId="9757" priority="8994" stopIfTrue="1">
      <formula>$C246&lt;&gt;""</formula>
    </cfRule>
  </conditionalFormatting>
  <conditionalFormatting sqref="S246:S250">
    <cfRule type="expression" dxfId="9756" priority="8993" stopIfTrue="1">
      <formula>$B246&lt;&gt;""</formula>
    </cfRule>
  </conditionalFormatting>
  <conditionalFormatting sqref="S246:S250">
    <cfRule type="expression" dxfId="9755" priority="8992" stopIfTrue="1">
      <formula>$C246&lt;&gt;""</formula>
    </cfRule>
  </conditionalFormatting>
  <conditionalFormatting sqref="S246:S250">
    <cfRule type="expression" dxfId="9754" priority="8991" stopIfTrue="1">
      <formula>$B246&lt;&gt;""</formula>
    </cfRule>
  </conditionalFormatting>
  <conditionalFormatting sqref="S246:S250">
    <cfRule type="expression" dxfId="9753" priority="8990" stopIfTrue="1">
      <formula>$C246&lt;&gt;""</formula>
    </cfRule>
  </conditionalFormatting>
  <conditionalFormatting sqref="S246:S250">
    <cfRule type="expression" dxfId="9752" priority="8989" stopIfTrue="1">
      <formula>$B246&lt;&gt;""</formula>
    </cfRule>
  </conditionalFormatting>
  <conditionalFormatting sqref="S246:S250">
    <cfRule type="expression" dxfId="9751" priority="8988" stopIfTrue="1">
      <formula>$C246&lt;&gt;""</formula>
    </cfRule>
  </conditionalFormatting>
  <conditionalFormatting sqref="S246:S249">
    <cfRule type="expression" dxfId="9750" priority="8987" stopIfTrue="1">
      <formula>$B246&lt;&gt;""</formula>
    </cfRule>
  </conditionalFormatting>
  <conditionalFormatting sqref="S246:S249">
    <cfRule type="expression" dxfId="9749" priority="8986" stopIfTrue="1">
      <formula>$C246&lt;&gt;""</formula>
    </cfRule>
  </conditionalFormatting>
  <conditionalFormatting sqref="S250">
    <cfRule type="expression" dxfId="9748" priority="8985" stopIfTrue="1">
      <formula>$B250&lt;&gt;""</formula>
    </cfRule>
  </conditionalFormatting>
  <conditionalFormatting sqref="S250">
    <cfRule type="expression" dxfId="9747" priority="8984" stopIfTrue="1">
      <formula>$C250&lt;&gt;""</formula>
    </cfRule>
  </conditionalFormatting>
  <conditionalFormatting sqref="S246:S248">
    <cfRule type="expression" dxfId="9746" priority="8983" stopIfTrue="1">
      <formula>$B246&lt;&gt;""</formula>
    </cfRule>
  </conditionalFormatting>
  <conditionalFormatting sqref="S246:S248">
    <cfRule type="expression" dxfId="9745" priority="8982" stopIfTrue="1">
      <formula>$C246&lt;&gt;""</formula>
    </cfRule>
  </conditionalFormatting>
  <conditionalFormatting sqref="S249:S250">
    <cfRule type="expression" dxfId="9744" priority="8981" stopIfTrue="1">
      <formula>$B249&lt;&gt;""</formula>
    </cfRule>
  </conditionalFormatting>
  <conditionalFormatting sqref="S249:S250">
    <cfRule type="expression" dxfId="9743" priority="8980" stopIfTrue="1">
      <formula>$C249&lt;&gt;""</formula>
    </cfRule>
  </conditionalFormatting>
  <conditionalFormatting sqref="S246:S249">
    <cfRule type="expression" dxfId="9742" priority="8979" stopIfTrue="1">
      <formula>$B246&lt;&gt;""</formula>
    </cfRule>
  </conditionalFormatting>
  <conditionalFormatting sqref="S246:S249">
    <cfRule type="expression" dxfId="9741" priority="8978" stopIfTrue="1">
      <formula>$C246&lt;&gt;""</formula>
    </cfRule>
  </conditionalFormatting>
  <conditionalFormatting sqref="S246:S249">
    <cfRule type="expression" dxfId="9740" priority="8977" stopIfTrue="1">
      <formula>$B246&lt;&gt;""</formula>
    </cfRule>
  </conditionalFormatting>
  <conditionalFormatting sqref="S246:S249">
    <cfRule type="expression" dxfId="9739" priority="8976" stopIfTrue="1">
      <formula>$C246&lt;&gt;""</formula>
    </cfRule>
  </conditionalFormatting>
  <conditionalFormatting sqref="S250">
    <cfRule type="expression" dxfId="9738" priority="8975" stopIfTrue="1">
      <formula>$B250&lt;&gt;""</formula>
    </cfRule>
  </conditionalFormatting>
  <conditionalFormatting sqref="S250">
    <cfRule type="expression" dxfId="9737" priority="8974" stopIfTrue="1">
      <formula>$C250&lt;&gt;""</formula>
    </cfRule>
  </conditionalFormatting>
  <conditionalFormatting sqref="S246:S249">
    <cfRule type="expression" dxfId="9736" priority="8973" stopIfTrue="1">
      <formula>$B246&lt;&gt;""</formula>
    </cfRule>
  </conditionalFormatting>
  <conditionalFormatting sqref="S246:S249">
    <cfRule type="expression" dxfId="9735" priority="8972" stopIfTrue="1">
      <formula>$C246&lt;&gt;""</formula>
    </cfRule>
  </conditionalFormatting>
  <conditionalFormatting sqref="S250">
    <cfRule type="expression" dxfId="9734" priority="8971" stopIfTrue="1">
      <formula>$B250&lt;&gt;""</formula>
    </cfRule>
  </conditionalFormatting>
  <conditionalFormatting sqref="S250">
    <cfRule type="expression" dxfId="9733" priority="8970" stopIfTrue="1">
      <formula>$C250&lt;&gt;""</formula>
    </cfRule>
  </conditionalFormatting>
  <conditionalFormatting sqref="S250">
    <cfRule type="expression" dxfId="9732" priority="8969" stopIfTrue="1">
      <formula>$B250&lt;&gt;""</formula>
    </cfRule>
  </conditionalFormatting>
  <conditionalFormatting sqref="S250">
    <cfRule type="expression" dxfId="9731" priority="8968" stopIfTrue="1">
      <formula>$C250&lt;&gt;""</formula>
    </cfRule>
  </conditionalFormatting>
  <conditionalFormatting sqref="S246">
    <cfRule type="expression" dxfId="9730" priority="8967" stopIfTrue="1">
      <formula>$C246&lt;&gt;""</formula>
    </cfRule>
  </conditionalFormatting>
  <conditionalFormatting sqref="S246">
    <cfRule type="expression" dxfId="9729" priority="8966" stopIfTrue="1">
      <formula>$B246&lt;&gt;""</formula>
    </cfRule>
  </conditionalFormatting>
  <conditionalFormatting sqref="S247:S250">
    <cfRule type="expression" dxfId="9728" priority="8965" stopIfTrue="1">
      <formula>$C247&lt;&gt;""</formula>
    </cfRule>
  </conditionalFormatting>
  <conditionalFormatting sqref="S247:S250">
    <cfRule type="expression" dxfId="9727" priority="8964" stopIfTrue="1">
      <formula>$B247&lt;&gt;""</formula>
    </cfRule>
  </conditionalFormatting>
  <conditionalFormatting sqref="S249:S250">
    <cfRule type="expression" dxfId="9726" priority="8963" stopIfTrue="1">
      <formula>$C249&lt;&gt;""</formula>
    </cfRule>
  </conditionalFormatting>
  <conditionalFormatting sqref="S249:S250">
    <cfRule type="expression" dxfId="9725" priority="8962" stopIfTrue="1">
      <formula>$B249&lt;&gt;""</formula>
    </cfRule>
  </conditionalFormatting>
  <conditionalFormatting sqref="S246:S249">
    <cfRule type="expression" dxfId="9724" priority="8961" stopIfTrue="1">
      <formula>$B246&lt;&gt;""</formula>
    </cfRule>
  </conditionalFormatting>
  <conditionalFormatting sqref="S246:S249">
    <cfRule type="expression" dxfId="9723" priority="8960" stopIfTrue="1">
      <formula>$C246&lt;&gt;""</formula>
    </cfRule>
  </conditionalFormatting>
  <conditionalFormatting sqref="S250">
    <cfRule type="expression" dxfId="9722" priority="8959" stopIfTrue="1">
      <formula>$B250&lt;&gt;""</formula>
    </cfRule>
  </conditionalFormatting>
  <conditionalFormatting sqref="S250">
    <cfRule type="expression" dxfId="9721" priority="8958" stopIfTrue="1">
      <formula>$C250&lt;&gt;""</formula>
    </cfRule>
  </conditionalFormatting>
  <conditionalFormatting sqref="S246:S248">
    <cfRule type="expression" dxfId="9720" priority="8957" stopIfTrue="1">
      <formula>$B246&lt;&gt;""</formula>
    </cfRule>
  </conditionalFormatting>
  <conditionalFormatting sqref="S246:S248">
    <cfRule type="expression" dxfId="9719" priority="8956" stopIfTrue="1">
      <formula>$C246&lt;&gt;""</formula>
    </cfRule>
  </conditionalFormatting>
  <conditionalFormatting sqref="S249:S250">
    <cfRule type="expression" dxfId="9718" priority="8955" stopIfTrue="1">
      <formula>$B249&lt;&gt;""</formula>
    </cfRule>
  </conditionalFormatting>
  <conditionalFormatting sqref="S249:S250">
    <cfRule type="expression" dxfId="9717" priority="8954" stopIfTrue="1">
      <formula>$C249&lt;&gt;""</formula>
    </cfRule>
  </conditionalFormatting>
  <conditionalFormatting sqref="S246:S249">
    <cfRule type="expression" dxfId="9716" priority="8953" stopIfTrue="1">
      <formula>$B246&lt;&gt;""</formula>
    </cfRule>
  </conditionalFormatting>
  <conditionalFormatting sqref="S246:S249">
    <cfRule type="expression" dxfId="9715" priority="8952" stopIfTrue="1">
      <formula>$C246&lt;&gt;""</formula>
    </cfRule>
  </conditionalFormatting>
  <conditionalFormatting sqref="S246:S249">
    <cfRule type="expression" dxfId="9714" priority="8951" stopIfTrue="1">
      <formula>$B246&lt;&gt;""</formula>
    </cfRule>
  </conditionalFormatting>
  <conditionalFormatting sqref="S246:S249">
    <cfRule type="expression" dxfId="9713" priority="8950" stopIfTrue="1">
      <formula>$C246&lt;&gt;""</formula>
    </cfRule>
  </conditionalFormatting>
  <conditionalFormatting sqref="S250">
    <cfRule type="expression" dxfId="9712" priority="8949" stopIfTrue="1">
      <formula>$B250&lt;&gt;""</formula>
    </cfRule>
  </conditionalFormatting>
  <conditionalFormatting sqref="S250">
    <cfRule type="expression" dxfId="9711" priority="8948" stopIfTrue="1">
      <formula>$C250&lt;&gt;""</formula>
    </cfRule>
  </conditionalFormatting>
  <conditionalFormatting sqref="S246:S249">
    <cfRule type="expression" dxfId="9710" priority="8947" stopIfTrue="1">
      <formula>$B246&lt;&gt;""</formula>
    </cfRule>
  </conditionalFormatting>
  <conditionalFormatting sqref="S246:S249">
    <cfRule type="expression" dxfId="9709" priority="8946" stopIfTrue="1">
      <formula>$C246&lt;&gt;""</formula>
    </cfRule>
  </conditionalFormatting>
  <conditionalFormatting sqref="S250">
    <cfRule type="expression" dxfId="9708" priority="8945" stopIfTrue="1">
      <formula>$B250&lt;&gt;""</formula>
    </cfRule>
  </conditionalFormatting>
  <conditionalFormatting sqref="S250">
    <cfRule type="expression" dxfId="9707" priority="8944" stopIfTrue="1">
      <formula>$C250&lt;&gt;""</formula>
    </cfRule>
  </conditionalFormatting>
  <conditionalFormatting sqref="S250">
    <cfRule type="expression" dxfId="9706" priority="8943" stopIfTrue="1">
      <formula>$B250&lt;&gt;""</formula>
    </cfRule>
  </conditionalFormatting>
  <conditionalFormatting sqref="S250">
    <cfRule type="expression" dxfId="9705" priority="8942" stopIfTrue="1">
      <formula>$C250&lt;&gt;""</formula>
    </cfRule>
  </conditionalFormatting>
  <conditionalFormatting sqref="S246">
    <cfRule type="expression" dxfId="9704" priority="8941" stopIfTrue="1">
      <formula>$C246&lt;&gt;""</formula>
    </cfRule>
  </conditionalFormatting>
  <conditionalFormatting sqref="S246">
    <cfRule type="expression" dxfId="9703" priority="8940" stopIfTrue="1">
      <formula>$B246&lt;&gt;""</formula>
    </cfRule>
  </conditionalFormatting>
  <conditionalFormatting sqref="S247:S250">
    <cfRule type="expression" dxfId="9702" priority="8939" stopIfTrue="1">
      <formula>$C247&lt;&gt;""</formula>
    </cfRule>
  </conditionalFormatting>
  <conditionalFormatting sqref="S247:S250">
    <cfRule type="expression" dxfId="9701" priority="8938" stopIfTrue="1">
      <formula>$B247&lt;&gt;""</formula>
    </cfRule>
  </conditionalFormatting>
  <conditionalFormatting sqref="S249:S250">
    <cfRule type="expression" dxfId="9700" priority="8937" stopIfTrue="1">
      <formula>$C249&lt;&gt;""</formula>
    </cfRule>
  </conditionalFormatting>
  <conditionalFormatting sqref="S249:S250">
    <cfRule type="expression" dxfId="9699" priority="8936" stopIfTrue="1">
      <formula>$B249&lt;&gt;""</formula>
    </cfRule>
  </conditionalFormatting>
  <conditionalFormatting sqref="S251:S255">
    <cfRule type="expression" dxfId="9698" priority="8935" stopIfTrue="1">
      <formula>$B251&lt;&gt;""</formula>
    </cfRule>
  </conditionalFormatting>
  <conditionalFormatting sqref="S251:S255">
    <cfRule type="expression" dxfId="9697" priority="8934" stopIfTrue="1">
      <formula>$C251&lt;&gt;""</formula>
    </cfRule>
  </conditionalFormatting>
  <conditionalFormatting sqref="S251:S255">
    <cfRule type="expression" dxfId="9696" priority="8933" stopIfTrue="1">
      <formula>$B251&lt;&gt;""</formula>
    </cfRule>
  </conditionalFormatting>
  <conditionalFormatting sqref="S251:S255">
    <cfRule type="expression" dxfId="9695" priority="8932" stopIfTrue="1">
      <formula>$C251&lt;&gt;""</formula>
    </cfRule>
  </conditionalFormatting>
  <conditionalFormatting sqref="S251:S255">
    <cfRule type="expression" dxfId="9694" priority="8931" stopIfTrue="1">
      <formula>$B251&lt;&gt;""</formula>
    </cfRule>
  </conditionalFormatting>
  <conditionalFormatting sqref="S251:S255">
    <cfRule type="expression" dxfId="9693" priority="8930" stopIfTrue="1">
      <formula>$C251&lt;&gt;""</formula>
    </cfRule>
  </conditionalFormatting>
  <conditionalFormatting sqref="S251:S255">
    <cfRule type="expression" dxfId="9692" priority="8929" stopIfTrue="1">
      <formula>$B251&lt;&gt;""</formula>
    </cfRule>
  </conditionalFormatting>
  <conditionalFormatting sqref="S251:S255">
    <cfRule type="expression" dxfId="9691" priority="8928" stopIfTrue="1">
      <formula>$C251&lt;&gt;""</formula>
    </cfRule>
  </conditionalFormatting>
  <conditionalFormatting sqref="S251:S255">
    <cfRule type="expression" dxfId="9690" priority="8927" stopIfTrue="1">
      <formula>$B251&lt;&gt;""</formula>
    </cfRule>
  </conditionalFormatting>
  <conditionalFormatting sqref="S251:S255">
    <cfRule type="expression" dxfId="9689" priority="8926" stopIfTrue="1">
      <formula>$C251&lt;&gt;""</formula>
    </cfRule>
  </conditionalFormatting>
  <conditionalFormatting sqref="S251:S254">
    <cfRule type="expression" dxfId="9688" priority="8925" stopIfTrue="1">
      <formula>$B251&lt;&gt;""</formula>
    </cfRule>
  </conditionalFormatting>
  <conditionalFormatting sqref="S251:S254">
    <cfRule type="expression" dxfId="9687" priority="8924" stopIfTrue="1">
      <formula>$C251&lt;&gt;""</formula>
    </cfRule>
  </conditionalFormatting>
  <conditionalFormatting sqref="S255">
    <cfRule type="expression" dxfId="9686" priority="8923" stopIfTrue="1">
      <formula>$B255&lt;&gt;""</formula>
    </cfRule>
  </conditionalFormatting>
  <conditionalFormatting sqref="S255">
    <cfRule type="expression" dxfId="9685" priority="8922" stopIfTrue="1">
      <formula>$C255&lt;&gt;""</formula>
    </cfRule>
  </conditionalFormatting>
  <conditionalFormatting sqref="S251:S253">
    <cfRule type="expression" dxfId="9684" priority="8921" stopIfTrue="1">
      <formula>$B251&lt;&gt;""</formula>
    </cfRule>
  </conditionalFormatting>
  <conditionalFormatting sqref="S251:S253">
    <cfRule type="expression" dxfId="9683" priority="8920" stopIfTrue="1">
      <formula>$C251&lt;&gt;""</formula>
    </cfRule>
  </conditionalFormatting>
  <conditionalFormatting sqref="S254:S255">
    <cfRule type="expression" dxfId="9682" priority="8919" stopIfTrue="1">
      <formula>$B254&lt;&gt;""</formula>
    </cfRule>
  </conditionalFormatting>
  <conditionalFormatting sqref="S254:S255">
    <cfRule type="expression" dxfId="9681" priority="8918" stopIfTrue="1">
      <formula>$C254&lt;&gt;""</formula>
    </cfRule>
  </conditionalFormatting>
  <conditionalFormatting sqref="S251:S254">
    <cfRule type="expression" dxfId="9680" priority="8917" stopIfTrue="1">
      <formula>$B251&lt;&gt;""</formula>
    </cfRule>
  </conditionalFormatting>
  <conditionalFormatting sqref="S251:S254">
    <cfRule type="expression" dxfId="9679" priority="8916" stopIfTrue="1">
      <formula>$C251&lt;&gt;""</formula>
    </cfRule>
  </conditionalFormatting>
  <conditionalFormatting sqref="S251:S254">
    <cfRule type="expression" dxfId="9678" priority="8915" stopIfTrue="1">
      <formula>$B251&lt;&gt;""</formula>
    </cfRule>
  </conditionalFormatting>
  <conditionalFormatting sqref="S251:S254">
    <cfRule type="expression" dxfId="9677" priority="8914" stopIfTrue="1">
      <formula>$C251&lt;&gt;""</formula>
    </cfRule>
  </conditionalFormatting>
  <conditionalFormatting sqref="S255">
    <cfRule type="expression" dxfId="9676" priority="8913" stopIfTrue="1">
      <formula>$B255&lt;&gt;""</formula>
    </cfRule>
  </conditionalFormatting>
  <conditionalFormatting sqref="S255">
    <cfRule type="expression" dxfId="9675" priority="8912" stopIfTrue="1">
      <formula>$C255&lt;&gt;""</formula>
    </cfRule>
  </conditionalFormatting>
  <conditionalFormatting sqref="S251:S254">
    <cfRule type="expression" dxfId="9674" priority="8911" stopIfTrue="1">
      <formula>$B251&lt;&gt;""</formula>
    </cfRule>
  </conditionalFormatting>
  <conditionalFormatting sqref="S251:S254">
    <cfRule type="expression" dxfId="9673" priority="8910" stopIfTrue="1">
      <formula>$C251&lt;&gt;""</formula>
    </cfRule>
  </conditionalFormatting>
  <conditionalFormatting sqref="S255">
    <cfRule type="expression" dxfId="9672" priority="8909" stopIfTrue="1">
      <formula>$B255&lt;&gt;""</formula>
    </cfRule>
  </conditionalFormatting>
  <conditionalFormatting sqref="S255">
    <cfRule type="expression" dxfId="9671" priority="8908" stopIfTrue="1">
      <formula>$C255&lt;&gt;""</formula>
    </cfRule>
  </conditionalFormatting>
  <conditionalFormatting sqref="S255">
    <cfRule type="expression" dxfId="9670" priority="8907" stopIfTrue="1">
      <formula>$B255&lt;&gt;""</formula>
    </cfRule>
  </conditionalFormatting>
  <conditionalFormatting sqref="S255">
    <cfRule type="expression" dxfId="9669" priority="8906" stopIfTrue="1">
      <formula>$C255&lt;&gt;""</formula>
    </cfRule>
  </conditionalFormatting>
  <conditionalFormatting sqref="S251">
    <cfRule type="expression" dxfId="9668" priority="8905" stopIfTrue="1">
      <formula>$C251&lt;&gt;""</formula>
    </cfRule>
  </conditionalFormatting>
  <conditionalFormatting sqref="S251">
    <cfRule type="expression" dxfId="9667" priority="8904" stopIfTrue="1">
      <formula>$B251&lt;&gt;""</formula>
    </cfRule>
  </conditionalFormatting>
  <conditionalFormatting sqref="S252:S255">
    <cfRule type="expression" dxfId="9666" priority="8903" stopIfTrue="1">
      <formula>$C252&lt;&gt;""</formula>
    </cfRule>
  </conditionalFormatting>
  <conditionalFormatting sqref="S252:S255">
    <cfRule type="expression" dxfId="9665" priority="8902" stopIfTrue="1">
      <formula>$B252&lt;&gt;""</formula>
    </cfRule>
  </conditionalFormatting>
  <conditionalFormatting sqref="S254:S255">
    <cfRule type="expression" dxfId="9664" priority="8901" stopIfTrue="1">
      <formula>$C254&lt;&gt;""</formula>
    </cfRule>
  </conditionalFormatting>
  <conditionalFormatting sqref="S254:S255">
    <cfRule type="expression" dxfId="9663" priority="8900" stopIfTrue="1">
      <formula>$B254&lt;&gt;""</formula>
    </cfRule>
  </conditionalFormatting>
  <conditionalFormatting sqref="S251:S254">
    <cfRule type="expression" dxfId="9662" priority="8899" stopIfTrue="1">
      <formula>$B251&lt;&gt;""</formula>
    </cfRule>
  </conditionalFormatting>
  <conditionalFormatting sqref="S251:S254">
    <cfRule type="expression" dxfId="9661" priority="8898" stopIfTrue="1">
      <formula>$C251&lt;&gt;""</formula>
    </cfRule>
  </conditionalFormatting>
  <conditionalFormatting sqref="S255">
    <cfRule type="expression" dxfId="9660" priority="8897" stopIfTrue="1">
      <formula>$B255&lt;&gt;""</formula>
    </cfRule>
  </conditionalFormatting>
  <conditionalFormatting sqref="S255">
    <cfRule type="expression" dxfId="9659" priority="8896" stopIfTrue="1">
      <formula>$C255&lt;&gt;""</formula>
    </cfRule>
  </conditionalFormatting>
  <conditionalFormatting sqref="S251:S253">
    <cfRule type="expression" dxfId="9658" priority="8895" stopIfTrue="1">
      <formula>$B251&lt;&gt;""</formula>
    </cfRule>
  </conditionalFormatting>
  <conditionalFormatting sqref="S251:S253">
    <cfRule type="expression" dxfId="9657" priority="8894" stopIfTrue="1">
      <formula>$C251&lt;&gt;""</formula>
    </cfRule>
  </conditionalFormatting>
  <conditionalFormatting sqref="S254:S255">
    <cfRule type="expression" dxfId="9656" priority="8893" stopIfTrue="1">
      <formula>$B254&lt;&gt;""</formula>
    </cfRule>
  </conditionalFormatting>
  <conditionalFormatting sqref="S254:S255">
    <cfRule type="expression" dxfId="9655" priority="8892" stopIfTrue="1">
      <formula>$C254&lt;&gt;""</formula>
    </cfRule>
  </conditionalFormatting>
  <conditionalFormatting sqref="S251:S254">
    <cfRule type="expression" dxfId="9654" priority="8891" stopIfTrue="1">
      <formula>$B251&lt;&gt;""</formula>
    </cfRule>
  </conditionalFormatting>
  <conditionalFormatting sqref="S251:S254">
    <cfRule type="expression" dxfId="9653" priority="8890" stopIfTrue="1">
      <formula>$C251&lt;&gt;""</formula>
    </cfRule>
  </conditionalFormatting>
  <conditionalFormatting sqref="S251:S254">
    <cfRule type="expression" dxfId="9652" priority="8889" stopIfTrue="1">
      <formula>$B251&lt;&gt;""</formula>
    </cfRule>
  </conditionalFormatting>
  <conditionalFormatting sqref="S251:S254">
    <cfRule type="expression" dxfId="9651" priority="8888" stopIfTrue="1">
      <formula>$C251&lt;&gt;""</formula>
    </cfRule>
  </conditionalFormatting>
  <conditionalFormatting sqref="S255">
    <cfRule type="expression" dxfId="9650" priority="8887" stopIfTrue="1">
      <formula>$B255&lt;&gt;""</formula>
    </cfRule>
  </conditionalFormatting>
  <conditionalFormatting sqref="S255">
    <cfRule type="expression" dxfId="9649" priority="8886" stopIfTrue="1">
      <formula>$C255&lt;&gt;""</formula>
    </cfRule>
  </conditionalFormatting>
  <conditionalFormatting sqref="S251:S254">
    <cfRule type="expression" dxfId="9648" priority="8885" stopIfTrue="1">
      <formula>$B251&lt;&gt;""</formula>
    </cfRule>
  </conditionalFormatting>
  <conditionalFormatting sqref="S251:S254">
    <cfRule type="expression" dxfId="9647" priority="8884" stopIfTrue="1">
      <formula>$C251&lt;&gt;""</formula>
    </cfRule>
  </conditionalFormatting>
  <conditionalFormatting sqref="S255">
    <cfRule type="expression" dxfId="9646" priority="8883" stopIfTrue="1">
      <formula>$B255&lt;&gt;""</formula>
    </cfRule>
  </conditionalFormatting>
  <conditionalFormatting sqref="S255">
    <cfRule type="expression" dxfId="9645" priority="8882" stopIfTrue="1">
      <formula>$C255&lt;&gt;""</formula>
    </cfRule>
  </conditionalFormatting>
  <conditionalFormatting sqref="S255">
    <cfRule type="expression" dxfId="9644" priority="8881" stopIfTrue="1">
      <formula>$B255&lt;&gt;""</formula>
    </cfRule>
  </conditionalFormatting>
  <conditionalFormatting sqref="S255">
    <cfRule type="expression" dxfId="9643" priority="8880" stopIfTrue="1">
      <formula>$C255&lt;&gt;""</formula>
    </cfRule>
  </conditionalFormatting>
  <conditionalFormatting sqref="S251">
    <cfRule type="expression" dxfId="9642" priority="8879" stopIfTrue="1">
      <formula>$C251&lt;&gt;""</formula>
    </cfRule>
  </conditionalFormatting>
  <conditionalFormatting sqref="S251">
    <cfRule type="expression" dxfId="9641" priority="8878" stopIfTrue="1">
      <formula>$B251&lt;&gt;""</formula>
    </cfRule>
  </conditionalFormatting>
  <conditionalFormatting sqref="S252:S255">
    <cfRule type="expression" dxfId="9640" priority="8877" stopIfTrue="1">
      <formula>$C252&lt;&gt;""</formula>
    </cfRule>
  </conditionalFormatting>
  <conditionalFormatting sqref="S252:S255">
    <cfRule type="expression" dxfId="9639" priority="8876" stopIfTrue="1">
      <formula>$B252&lt;&gt;""</formula>
    </cfRule>
  </conditionalFormatting>
  <conditionalFormatting sqref="S254:S255">
    <cfRule type="expression" dxfId="9638" priority="8875" stopIfTrue="1">
      <formula>$C254&lt;&gt;""</formula>
    </cfRule>
  </conditionalFormatting>
  <conditionalFormatting sqref="S254:S255">
    <cfRule type="expression" dxfId="9637" priority="8874" stopIfTrue="1">
      <formula>$B254&lt;&gt;""</formula>
    </cfRule>
  </conditionalFormatting>
  <conditionalFormatting sqref="S256:S260">
    <cfRule type="expression" dxfId="9636" priority="8873" stopIfTrue="1">
      <formula>$B256&lt;&gt;""</formula>
    </cfRule>
  </conditionalFormatting>
  <conditionalFormatting sqref="S256:S260">
    <cfRule type="expression" dxfId="9635" priority="8872" stopIfTrue="1">
      <formula>$C256&lt;&gt;""</formula>
    </cfRule>
  </conditionalFormatting>
  <conditionalFormatting sqref="S256:S260">
    <cfRule type="expression" dxfId="9634" priority="8871" stopIfTrue="1">
      <formula>$B256&lt;&gt;""</formula>
    </cfRule>
  </conditionalFormatting>
  <conditionalFormatting sqref="S256:S260">
    <cfRule type="expression" dxfId="9633" priority="8870" stopIfTrue="1">
      <formula>$C256&lt;&gt;""</formula>
    </cfRule>
  </conditionalFormatting>
  <conditionalFormatting sqref="S256:S260">
    <cfRule type="expression" dxfId="9632" priority="8869" stopIfTrue="1">
      <formula>$B256&lt;&gt;""</formula>
    </cfRule>
  </conditionalFormatting>
  <conditionalFormatting sqref="S256:S260">
    <cfRule type="expression" dxfId="9631" priority="8868" stopIfTrue="1">
      <formula>$C256&lt;&gt;""</formula>
    </cfRule>
  </conditionalFormatting>
  <conditionalFormatting sqref="S256:S260">
    <cfRule type="expression" dxfId="9630" priority="8867" stopIfTrue="1">
      <formula>$B256&lt;&gt;""</formula>
    </cfRule>
  </conditionalFormatting>
  <conditionalFormatting sqref="S256:S260">
    <cfRule type="expression" dxfId="9629" priority="8866" stopIfTrue="1">
      <formula>$C256&lt;&gt;""</formula>
    </cfRule>
  </conditionalFormatting>
  <conditionalFormatting sqref="S256:S260">
    <cfRule type="expression" dxfId="9628" priority="8865" stopIfTrue="1">
      <formula>$B256&lt;&gt;""</formula>
    </cfRule>
  </conditionalFormatting>
  <conditionalFormatting sqref="S256:S260">
    <cfRule type="expression" dxfId="9627" priority="8864" stopIfTrue="1">
      <formula>$C256&lt;&gt;""</formula>
    </cfRule>
  </conditionalFormatting>
  <conditionalFormatting sqref="S256:S260">
    <cfRule type="expression" dxfId="9626" priority="8863" stopIfTrue="1">
      <formula>$B256&lt;&gt;""</formula>
    </cfRule>
  </conditionalFormatting>
  <conditionalFormatting sqref="S256:S260">
    <cfRule type="expression" dxfId="9625" priority="8862" stopIfTrue="1">
      <formula>$C256&lt;&gt;""</formula>
    </cfRule>
  </conditionalFormatting>
  <conditionalFormatting sqref="S256:S259">
    <cfRule type="expression" dxfId="9624" priority="8861" stopIfTrue="1">
      <formula>$B256&lt;&gt;""</formula>
    </cfRule>
  </conditionalFormatting>
  <conditionalFormatting sqref="S256:S259">
    <cfRule type="expression" dxfId="9623" priority="8860" stopIfTrue="1">
      <formula>$C256&lt;&gt;""</formula>
    </cfRule>
  </conditionalFormatting>
  <conditionalFormatting sqref="S260">
    <cfRule type="expression" dxfId="9622" priority="8859" stopIfTrue="1">
      <formula>$B260&lt;&gt;""</formula>
    </cfRule>
  </conditionalFormatting>
  <conditionalFormatting sqref="S260">
    <cfRule type="expression" dxfId="9621" priority="8858" stopIfTrue="1">
      <formula>$C260&lt;&gt;""</formula>
    </cfRule>
  </conditionalFormatting>
  <conditionalFormatting sqref="S256:S258">
    <cfRule type="expression" dxfId="9620" priority="8857" stopIfTrue="1">
      <formula>$B256&lt;&gt;""</formula>
    </cfRule>
  </conditionalFormatting>
  <conditionalFormatting sqref="S256:S258">
    <cfRule type="expression" dxfId="9619" priority="8856" stopIfTrue="1">
      <formula>$C256&lt;&gt;""</formula>
    </cfRule>
  </conditionalFormatting>
  <conditionalFormatting sqref="S259:S260">
    <cfRule type="expression" dxfId="9618" priority="8855" stopIfTrue="1">
      <formula>$B259&lt;&gt;""</formula>
    </cfRule>
  </conditionalFormatting>
  <conditionalFormatting sqref="S259:S260">
    <cfRule type="expression" dxfId="9617" priority="8854" stopIfTrue="1">
      <formula>$C259&lt;&gt;""</formula>
    </cfRule>
  </conditionalFormatting>
  <conditionalFormatting sqref="S256:S259">
    <cfRule type="expression" dxfId="9616" priority="8853" stopIfTrue="1">
      <formula>$B256&lt;&gt;""</formula>
    </cfRule>
  </conditionalFormatting>
  <conditionalFormatting sqref="S256:S259">
    <cfRule type="expression" dxfId="9615" priority="8852" stopIfTrue="1">
      <formula>$C256&lt;&gt;""</formula>
    </cfRule>
  </conditionalFormatting>
  <conditionalFormatting sqref="S256:S259">
    <cfRule type="expression" dxfId="9614" priority="8851" stopIfTrue="1">
      <formula>$B256&lt;&gt;""</formula>
    </cfRule>
  </conditionalFormatting>
  <conditionalFormatting sqref="S256:S259">
    <cfRule type="expression" dxfId="9613" priority="8850" stopIfTrue="1">
      <formula>$C256&lt;&gt;""</formula>
    </cfRule>
  </conditionalFormatting>
  <conditionalFormatting sqref="S260">
    <cfRule type="expression" dxfId="9612" priority="8849" stopIfTrue="1">
      <formula>$B260&lt;&gt;""</formula>
    </cfRule>
  </conditionalFormatting>
  <conditionalFormatting sqref="S260">
    <cfRule type="expression" dxfId="9611" priority="8848" stopIfTrue="1">
      <formula>$C260&lt;&gt;""</formula>
    </cfRule>
  </conditionalFormatting>
  <conditionalFormatting sqref="S256:S259">
    <cfRule type="expression" dxfId="9610" priority="8847" stopIfTrue="1">
      <formula>$B256&lt;&gt;""</formula>
    </cfRule>
  </conditionalFormatting>
  <conditionalFormatting sqref="S256:S259">
    <cfRule type="expression" dxfId="9609" priority="8846" stopIfTrue="1">
      <formula>$C256&lt;&gt;""</formula>
    </cfRule>
  </conditionalFormatting>
  <conditionalFormatting sqref="S260">
    <cfRule type="expression" dxfId="9608" priority="8845" stopIfTrue="1">
      <formula>$B260&lt;&gt;""</formula>
    </cfRule>
  </conditionalFormatting>
  <conditionalFormatting sqref="S260">
    <cfRule type="expression" dxfId="9607" priority="8844" stopIfTrue="1">
      <formula>$C260&lt;&gt;""</formula>
    </cfRule>
  </conditionalFormatting>
  <conditionalFormatting sqref="S260">
    <cfRule type="expression" dxfId="9606" priority="8843" stopIfTrue="1">
      <formula>$B260&lt;&gt;""</formula>
    </cfRule>
  </conditionalFormatting>
  <conditionalFormatting sqref="S260">
    <cfRule type="expression" dxfId="9605" priority="8842" stopIfTrue="1">
      <formula>$C260&lt;&gt;""</formula>
    </cfRule>
  </conditionalFormatting>
  <conditionalFormatting sqref="S256">
    <cfRule type="expression" dxfId="9604" priority="8841" stopIfTrue="1">
      <formula>$C256&lt;&gt;""</formula>
    </cfRule>
  </conditionalFormatting>
  <conditionalFormatting sqref="S256">
    <cfRule type="expression" dxfId="9603" priority="8840" stopIfTrue="1">
      <formula>$B256&lt;&gt;""</formula>
    </cfRule>
  </conditionalFormatting>
  <conditionalFormatting sqref="S257:S260">
    <cfRule type="expression" dxfId="9602" priority="8839" stopIfTrue="1">
      <formula>$C257&lt;&gt;""</formula>
    </cfRule>
  </conditionalFormatting>
  <conditionalFormatting sqref="S257:S260">
    <cfRule type="expression" dxfId="9601" priority="8838" stopIfTrue="1">
      <formula>$B257&lt;&gt;""</formula>
    </cfRule>
  </conditionalFormatting>
  <conditionalFormatting sqref="S259:S260">
    <cfRule type="expression" dxfId="9600" priority="8837" stopIfTrue="1">
      <formula>$C259&lt;&gt;""</formula>
    </cfRule>
  </conditionalFormatting>
  <conditionalFormatting sqref="S259:S260">
    <cfRule type="expression" dxfId="9599" priority="8836" stopIfTrue="1">
      <formula>$B259&lt;&gt;""</formula>
    </cfRule>
  </conditionalFormatting>
  <conditionalFormatting sqref="S256:S259">
    <cfRule type="expression" dxfId="9598" priority="8835" stopIfTrue="1">
      <formula>$B256&lt;&gt;""</formula>
    </cfRule>
  </conditionalFormatting>
  <conditionalFormatting sqref="S256:S259">
    <cfRule type="expression" dxfId="9597" priority="8834" stopIfTrue="1">
      <formula>$C256&lt;&gt;""</formula>
    </cfRule>
  </conditionalFormatting>
  <conditionalFormatting sqref="S260">
    <cfRule type="expression" dxfId="9596" priority="8833" stopIfTrue="1">
      <formula>$B260&lt;&gt;""</formula>
    </cfRule>
  </conditionalFormatting>
  <conditionalFormatting sqref="S260">
    <cfRule type="expression" dxfId="9595" priority="8832" stopIfTrue="1">
      <formula>$C260&lt;&gt;""</formula>
    </cfRule>
  </conditionalFormatting>
  <conditionalFormatting sqref="S256:S258">
    <cfRule type="expression" dxfId="9594" priority="8831" stopIfTrue="1">
      <formula>$B256&lt;&gt;""</formula>
    </cfRule>
  </conditionalFormatting>
  <conditionalFormatting sqref="S256:S258">
    <cfRule type="expression" dxfId="9593" priority="8830" stopIfTrue="1">
      <formula>$C256&lt;&gt;""</formula>
    </cfRule>
  </conditionalFormatting>
  <conditionalFormatting sqref="S259:S260">
    <cfRule type="expression" dxfId="9592" priority="8829" stopIfTrue="1">
      <formula>$B259&lt;&gt;""</formula>
    </cfRule>
  </conditionalFormatting>
  <conditionalFormatting sqref="S259:S260">
    <cfRule type="expression" dxfId="9591" priority="8828" stopIfTrue="1">
      <formula>$C259&lt;&gt;""</formula>
    </cfRule>
  </conditionalFormatting>
  <conditionalFormatting sqref="S256:S259">
    <cfRule type="expression" dxfId="9590" priority="8827" stopIfTrue="1">
      <formula>$B256&lt;&gt;""</formula>
    </cfRule>
  </conditionalFormatting>
  <conditionalFormatting sqref="S256:S259">
    <cfRule type="expression" dxfId="9589" priority="8826" stopIfTrue="1">
      <formula>$C256&lt;&gt;""</formula>
    </cfRule>
  </conditionalFormatting>
  <conditionalFormatting sqref="S256:S259">
    <cfRule type="expression" dxfId="9588" priority="8825" stopIfTrue="1">
      <formula>$B256&lt;&gt;""</formula>
    </cfRule>
  </conditionalFormatting>
  <conditionalFormatting sqref="S256:S259">
    <cfRule type="expression" dxfId="9587" priority="8824" stopIfTrue="1">
      <formula>$C256&lt;&gt;""</formula>
    </cfRule>
  </conditionalFormatting>
  <conditionalFormatting sqref="S260">
    <cfRule type="expression" dxfId="9586" priority="8823" stopIfTrue="1">
      <formula>$B260&lt;&gt;""</formula>
    </cfRule>
  </conditionalFormatting>
  <conditionalFormatting sqref="S260">
    <cfRule type="expression" dxfId="9585" priority="8822" stopIfTrue="1">
      <formula>$C260&lt;&gt;""</formula>
    </cfRule>
  </conditionalFormatting>
  <conditionalFormatting sqref="S256:S259">
    <cfRule type="expression" dxfId="9584" priority="8821" stopIfTrue="1">
      <formula>$B256&lt;&gt;""</formula>
    </cfRule>
  </conditionalFormatting>
  <conditionalFormatting sqref="S256:S259">
    <cfRule type="expression" dxfId="9583" priority="8820" stopIfTrue="1">
      <formula>$C256&lt;&gt;""</formula>
    </cfRule>
  </conditionalFormatting>
  <conditionalFormatting sqref="S260">
    <cfRule type="expression" dxfId="9582" priority="8819" stopIfTrue="1">
      <formula>$B260&lt;&gt;""</formula>
    </cfRule>
  </conditionalFormatting>
  <conditionalFormatting sqref="S260">
    <cfRule type="expression" dxfId="9581" priority="8818" stopIfTrue="1">
      <formula>$C260&lt;&gt;""</formula>
    </cfRule>
  </conditionalFormatting>
  <conditionalFormatting sqref="S260">
    <cfRule type="expression" dxfId="9580" priority="8817" stopIfTrue="1">
      <formula>$B260&lt;&gt;""</formula>
    </cfRule>
  </conditionalFormatting>
  <conditionalFormatting sqref="S260">
    <cfRule type="expression" dxfId="9579" priority="8816" stopIfTrue="1">
      <formula>$C260&lt;&gt;""</formula>
    </cfRule>
  </conditionalFormatting>
  <conditionalFormatting sqref="S256">
    <cfRule type="expression" dxfId="9578" priority="8815" stopIfTrue="1">
      <formula>$C256&lt;&gt;""</formula>
    </cfRule>
  </conditionalFormatting>
  <conditionalFormatting sqref="S256">
    <cfRule type="expression" dxfId="9577" priority="8814" stopIfTrue="1">
      <formula>$B256&lt;&gt;""</formula>
    </cfRule>
  </conditionalFormatting>
  <conditionalFormatting sqref="S257:S260">
    <cfRule type="expression" dxfId="9576" priority="8813" stopIfTrue="1">
      <formula>$C257&lt;&gt;""</formula>
    </cfRule>
  </conditionalFormatting>
  <conditionalFormatting sqref="S257:S260">
    <cfRule type="expression" dxfId="9575" priority="8812" stopIfTrue="1">
      <formula>$B257&lt;&gt;""</formula>
    </cfRule>
  </conditionalFormatting>
  <conditionalFormatting sqref="S259:S260">
    <cfRule type="expression" dxfId="9574" priority="8811" stopIfTrue="1">
      <formula>$C259&lt;&gt;""</formula>
    </cfRule>
  </conditionalFormatting>
  <conditionalFormatting sqref="S259:S260">
    <cfRule type="expression" dxfId="9573" priority="8810" stopIfTrue="1">
      <formula>$B259&lt;&gt;""</formula>
    </cfRule>
  </conditionalFormatting>
  <conditionalFormatting sqref="S265:S269">
    <cfRule type="expression" dxfId="9572" priority="8809" stopIfTrue="1">
      <formula>$B265&lt;&gt;""</formula>
    </cfRule>
  </conditionalFormatting>
  <conditionalFormatting sqref="S265:S269">
    <cfRule type="expression" dxfId="9571" priority="8808" stopIfTrue="1">
      <formula>$C265&lt;&gt;""</formula>
    </cfRule>
  </conditionalFormatting>
  <conditionalFormatting sqref="S265:S269">
    <cfRule type="expression" dxfId="9570" priority="8807" stopIfTrue="1">
      <formula>$B265&lt;&gt;""</formula>
    </cfRule>
  </conditionalFormatting>
  <conditionalFormatting sqref="S265:S269">
    <cfRule type="expression" dxfId="9569" priority="8806" stopIfTrue="1">
      <formula>$C265&lt;&gt;""</formula>
    </cfRule>
  </conditionalFormatting>
  <conditionalFormatting sqref="S265:S269">
    <cfRule type="expression" dxfId="9568" priority="8805" stopIfTrue="1">
      <formula>$B265&lt;&gt;""</formula>
    </cfRule>
  </conditionalFormatting>
  <conditionalFormatting sqref="S265:S269">
    <cfRule type="expression" dxfId="9567" priority="8804" stopIfTrue="1">
      <formula>$C265&lt;&gt;""</formula>
    </cfRule>
  </conditionalFormatting>
  <conditionalFormatting sqref="S265:S269">
    <cfRule type="expression" dxfId="9566" priority="8803" stopIfTrue="1">
      <formula>$B265&lt;&gt;""</formula>
    </cfRule>
  </conditionalFormatting>
  <conditionalFormatting sqref="S265:S269">
    <cfRule type="expression" dxfId="9565" priority="8802" stopIfTrue="1">
      <formula>$C265&lt;&gt;""</formula>
    </cfRule>
  </conditionalFormatting>
  <conditionalFormatting sqref="S265:S269">
    <cfRule type="expression" dxfId="9564" priority="8801" stopIfTrue="1">
      <formula>$B265&lt;&gt;""</formula>
    </cfRule>
  </conditionalFormatting>
  <conditionalFormatting sqref="S265:S269">
    <cfRule type="expression" dxfId="9563" priority="8800" stopIfTrue="1">
      <formula>$C265&lt;&gt;""</formula>
    </cfRule>
  </conditionalFormatting>
  <conditionalFormatting sqref="S265:S269">
    <cfRule type="expression" dxfId="9562" priority="8799" stopIfTrue="1">
      <formula>$B265&lt;&gt;""</formula>
    </cfRule>
  </conditionalFormatting>
  <conditionalFormatting sqref="S265:S269">
    <cfRule type="expression" dxfId="9561" priority="8798" stopIfTrue="1">
      <formula>$C265&lt;&gt;""</formula>
    </cfRule>
  </conditionalFormatting>
  <conditionalFormatting sqref="S265:S269">
    <cfRule type="expression" dxfId="9560" priority="8797" stopIfTrue="1">
      <formula>$B265&lt;&gt;""</formula>
    </cfRule>
  </conditionalFormatting>
  <conditionalFormatting sqref="S265:S269">
    <cfRule type="expression" dxfId="9559" priority="8796" stopIfTrue="1">
      <formula>$C265&lt;&gt;""</formula>
    </cfRule>
  </conditionalFormatting>
  <conditionalFormatting sqref="S265:S268">
    <cfRule type="expression" dxfId="9558" priority="8795" stopIfTrue="1">
      <formula>$B265&lt;&gt;""</formula>
    </cfRule>
  </conditionalFormatting>
  <conditionalFormatting sqref="S265:S268">
    <cfRule type="expression" dxfId="9557" priority="8794" stopIfTrue="1">
      <formula>$C265&lt;&gt;""</formula>
    </cfRule>
  </conditionalFormatting>
  <conditionalFormatting sqref="S269">
    <cfRule type="expression" dxfId="9556" priority="8793" stopIfTrue="1">
      <formula>$B269&lt;&gt;""</formula>
    </cfRule>
  </conditionalFormatting>
  <conditionalFormatting sqref="S269">
    <cfRule type="expression" dxfId="9555" priority="8792" stopIfTrue="1">
      <formula>$C269&lt;&gt;""</formula>
    </cfRule>
  </conditionalFormatting>
  <conditionalFormatting sqref="S265:S267">
    <cfRule type="expression" dxfId="9554" priority="8791" stopIfTrue="1">
      <formula>$B265&lt;&gt;""</formula>
    </cfRule>
  </conditionalFormatting>
  <conditionalFormatting sqref="S265:S267">
    <cfRule type="expression" dxfId="9553" priority="8790" stopIfTrue="1">
      <formula>$C265&lt;&gt;""</formula>
    </cfRule>
  </conditionalFormatting>
  <conditionalFormatting sqref="S268:S269">
    <cfRule type="expression" dxfId="9552" priority="8789" stopIfTrue="1">
      <formula>$B268&lt;&gt;""</formula>
    </cfRule>
  </conditionalFormatting>
  <conditionalFormatting sqref="S268:S269">
    <cfRule type="expression" dxfId="9551" priority="8788" stopIfTrue="1">
      <formula>$C268&lt;&gt;""</formula>
    </cfRule>
  </conditionalFormatting>
  <conditionalFormatting sqref="S265:S268">
    <cfRule type="expression" dxfId="9550" priority="8787" stopIfTrue="1">
      <formula>$B265&lt;&gt;""</formula>
    </cfRule>
  </conditionalFormatting>
  <conditionalFormatting sqref="S265:S268">
    <cfRule type="expression" dxfId="9549" priority="8786" stopIfTrue="1">
      <formula>$C265&lt;&gt;""</formula>
    </cfRule>
  </conditionalFormatting>
  <conditionalFormatting sqref="S265:S268">
    <cfRule type="expression" dxfId="9548" priority="8785" stopIfTrue="1">
      <formula>$B265&lt;&gt;""</formula>
    </cfRule>
  </conditionalFormatting>
  <conditionalFormatting sqref="S265:S268">
    <cfRule type="expression" dxfId="9547" priority="8784" stopIfTrue="1">
      <formula>$C265&lt;&gt;""</formula>
    </cfRule>
  </conditionalFormatting>
  <conditionalFormatting sqref="S269">
    <cfRule type="expression" dxfId="9546" priority="8783" stopIfTrue="1">
      <formula>$B269&lt;&gt;""</formula>
    </cfRule>
  </conditionalFormatting>
  <conditionalFormatting sqref="S269">
    <cfRule type="expression" dxfId="9545" priority="8782" stopIfTrue="1">
      <formula>$C269&lt;&gt;""</formula>
    </cfRule>
  </conditionalFormatting>
  <conditionalFormatting sqref="S265:S268">
    <cfRule type="expression" dxfId="9544" priority="8781" stopIfTrue="1">
      <formula>$B265&lt;&gt;""</formula>
    </cfRule>
  </conditionalFormatting>
  <conditionalFormatting sqref="S265:S268">
    <cfRule type="expression" dxfId="9543" priority="8780" stopIfTrue="1">
      <formula>$C265&lt;&gt;""</formula>
    </cfRule>
  </conditionalFormatting>
  <conditionalFormatting sqref="S269">
    <cfRule type="expression" dxfId="9542" priority="8779" stopIfTrue="1">
      <formula>$B269&lt;&gt;""</formula>
    </cfRule>
  </conditionalFormatting>
  <conditionalFormatting sqref="S269">
    <cfRule type="expression" dxfId="9541" priority="8778" stopIfTrue="1">
      <formula>$C269&lt;&gt;""</formula>
    </cfRule>
  </conditionalFormatting>
  <conditionalFormatting sqref="S269">
    <cfRule type="expression" dxfId="9540" priority="8777" stopIfTrue="1">
      <formula>$B269&lt;&gt;""</formula>
    </cfRule>
  </conditionalFormatting>
  <conditionalFormatting sqref="S269">
    <cfRule type="expression" dxfId="9539" priority="8776" stopIfTrue="1">
      <formula>$C269&lt;&gt;""</formula>
    </cfRule>
  </conditionalFormatting>
  <conditionalFormatting sqref="S265">
    <cfRule type="expression" dxfId="9538" priority="8775" stopIfTrue="1">
      <formula>$C265&lt;&gt;""</formula>
    </cfRule>
  </conditionalFormatting>
  <conditionalFormatting sqref="S265">
    <cfRule type="expression" dxfId="9537" priority="8774" stopIfTrue="1">
      <formula>$B265&lt;&gt;""</formula>
    </cfRule>
  </conditionalFormatting>
  <conditionalFormatting sqref="S266:S269">
    <cfRule type="expression" dxfId="9536" priority="8773" stopIfTrue="1">
      <formula>$C266&lt;&gt;""</formula>
    </cfRule>
  </conditionalFormatting>
  <conditionalFormatting sqref="S266:S269">
    <cfRule type="expression" dxfId="9535" priority="8772" stopIfTrue="1">
      <formula>$B266&lt;&gt;""</formula>
    </cfRule>
  </conditionalFormatting>
  <conditionalFormatting sqref="S268:S269">
    <cfRule type="expression" dxfId="9534" priority="8771" stopIfTrue="1">
      <formula>$C268&lt;&gt;""</formula>
    </cfRule>
  </conditionalFormatting>
  <conditionalFormatting sqref="S268:S269">
    <cfRule type="expression" dxfId="9533" priority="8770" stopIfTrue="1">
      <formula>$B268&lt;&gt;""</formula>
    </cfRule>
  </conditionalFormatting>
  <conditionalFormatting sqref="S265:S268">
    <cfRule type="expression" dxfId="9532" priority="8769" stopIfTrue="1">
      <formula>$B265&lt;&gt;""</formula>
    </cfRule>
  </conditionalFormatting>
  <conditionalFormatting sqref="S265:S268">
    <cfRule type="expression" dxfId="9531" priority="8768" stopIfTrue="1">
      <formula>$C265&lt;&gt;""</formula>
    </cfRule>
  </conditionalFormatting>
  <conditionalFormatting sqref="S269">
    <cfRule type="expression" dxfId="9530" priority="8767" stopIfTrue="1">
      <formula>$B269&lt;&gt;""</formula>
    </cfRule>
  </conditionalFormatting>
  <conditionalFormatting sqref="S269">
    <cfRule type="expression" dxfId="9529" priority="8766" stopIfTrue="1">
      <formula>$C269&lt;&gt;""</formula>
    </cfRule>
  </conditionalFormatting>
  <conditionalFormatting sqref="S265:S267">
    <cfRule type="expression" dxfId="9528" priority="8765" stopIfTrue="1">
      <formula>$B265&lt;&gt;""</formula>
    </cfRule>
  </conditionalFormatting>
  <conditionalFormatting sqref="S265:S267">
    <cfRule type="expression" dxfId="9527" priority="8764" stopIfTrue="1">
      <formula>$C265&lt;&gt;""</formula>
    </cfRule>
  </conditionalFormatting>
  <conditionalFormatting sqref="S268:S269">
    <cfRule type="expression" dxfId="9526" priority="8763" stopIfTrue="1">
      <formula>$B268&lt;&gt;""</formula>
    </cfRule>
  </conditionalFormatting>
  <conditionalFormatting sqref="S268:S269">
    <cfRule type="expression" dxfId="9525" priority="8762" stopIfTrue="1">
      <formula>$C268&lt;&gt;""</formula>
    </cfRule>
  </conditionalFormatting>
  <conditionalFormatting sqref="S265:S268">
    <cfRule type="expression" dxfId="9524" priority="8761" stopIfTrue="1">
      <formula>$B265&lt;&gt;""</formula>
    </cfRule>
  </conditionalFormatting>
  <conditionalFormatting sqref="S265:S268">
    <cfRule type="expression" dxfId="9523" priority="8760" stopIfTrue="1">
      <formula>$C265&lt;&gt;""</formula>
    </cfRule>
  </conditionalFormatting>
  <conditionalFormatting sqref="S265:S268">
    <cfRule type="expression" dxfId="9522" priority="8759" stopIfTrue="1">
      <formula>$B265&lt;&gt;""</formula>
    </cfRule>
  </conditionalFormatting>
  <conditionalFormatting sqref="S265:S268">
    <cfRule type="expression" dxfId="9521" priority="8758" stopIfTrue="1">
      <formula>$C265&lt;&gt;""</formula>
    </cfRule>
  </conditionalFormatting>
  <conditionalFormatting sqref="S269">
    <cfRule type="expression" dxfId="9520" priority="8757" stopIfTrue="1">
      <formula>$B269&lt;&gt;""</formula>
    </cfRule>
  </conditionalFormatting>
  <conditionalFormatting sqref="S269">
    <cfRule type="expression" dxfId="9519" priority="8756" stopIfTrue="1">
      <formula>$C269&lt;&gt;""</formula>
    </cfRule>
  </conditionalFormatting>
  <conditionalFormatting sqref="S265:S268">
    <cfRule type="expression" dxfId="9518" priority="8755" stopIfTrue="1">
      <formula>$B265&lt;&gt;""</formula>
    </cfRule>
  </conditionalFormatting>
  <conditionalFormatting sqref="S265:S268">
    <cfRule type="expression" dxfId="9517" priority="8754" stopIfTrue="1">
      <formula>$C265&lt;&gt;""</formula>
    </cfRule>
  </conditionalFormatting>
  <conditionalFormatting sqref="S269">
    <cfRule type="expression" dxfId="9516" priority="8753" stopIfTrue="1">
      <formula>$B269&lt;&gt;""</formula>
    </cfRule>
  </conditionalFormatting>
  <conditionalFormatting sqref="S269">
    <cfRule type="expression" dxfId="9515" priority="8752" stopIfTrue="1">
      <formula>$C269&lt;&gt;""</formula>
    </cfRule>
  </conditionalFormatting>
  <conditionalFormatting sqref="S269">
    <cfRule type="expression" dxfId="9514" priority="8751" stopIfTrue="1">
      <formula>$B269&lt;&gt;""</formula>
    </cfRule>
  </conditionalFormatting>
  <conditionalFormatting sqref="S269">
    <cfRule type="expression" dxfId="9513" priority="8750" stopIfTrue="1">
      <formula>$C269&lt;&gt;""</formula>
    </cfRule>
  </conditionalFormatting>
  <conditionalFormatting sqref="S265">
    <cfRule type="expression" dxfId="9512" priority="8749" stopIfTrue="1">
      <formula>$C265&lt;&gt;""</formula>
    </cfRule>
  </conditionalFormatting>
  <conditionalFormatting sqref="S265">
    <cfRule type="expression" dxfId="9511" priority="8748" stopIfTrue="1">
      <formula>$B265&lt;&gt;""</formula>
    </cfRule>
  </conditionalFormatting>
  <conditionalFormatting sqref="S266:S269">
    <cfRule type="expression" dxfId="9510" priority="8747" stopIfTrue="1">
      <formula>$C266&lt;&gt;""</formula>
    </cfRule>
  </conditionalFormatting>
  <conditionalFormatting sqref="S266:S269">
    <cfRule type="expression" dxfId="9509" priority="8746" stopIfTrue="1">
      <formula>$B266&lt;&gt;""</formula>
    </cfRule>
  </conditionalFormatting>
  <conditionalFormatting sqref="S268:S269">
    <cfRule type="expression" dxfId="9508" priority="8745" stopIfTrue="1">
      <formula>$C268&lt;&gt;""</formula>
    </cfRule>
  </conditionalFormatting>
  <conditionalFormatting sqref="S268:S269">
    <cfRule type="expression" dxfId="9507" priority="8744" stopIfTrue="1">
      <formula>$B268&lt;&gt;""</formula>
    </cfRule>
  </conditionalFormatting>
  <conditionalFormatting sqref="S270">
    <cfRule type="expression" dxfId="9506" priority="8743" stopIfTrue="1">
      <formula>$B270&lt;&gt;""</formula>
    </cfRule>
  </conditionalFormatting>
  <conditionalFormatting sqref="S270">
    <cfRule type="expression" dxfId="9505" priority="8742" stopIfTrue="1">
      <formula>$C270&lt;&gt;""</formula>
    </cfRule>
  </conditionalFormatting>
  <conditionalFormatting sqref="S271:S274">
    <cfRule type="expression" dxfId="9504" priority="8741" stopIfTrue="1">
      <formula>$B271&lt;&gt;""</formula>
    </cfRule>
  </conditionalFormatting>
  <conditionalFormatting sqref="S271:S274">
    <cfRule type="expression" dxfId="9503" priority="8740" stopIfTrue="1">
      <formula>$C271&lt;&gt;""</formula>
    </cfRule>
  </conditionalFormatting>
  <conditionalFormatting sqref="S270:S274">
    <cfRule type="expression" dxfId="9502" priority="8739" stopIfTrue="1">
      <formula>$B270&lt;&gt;""</formula>
    </cfRule>
  </conditionalFormatting>
  <conditionalFormatting sqref="S270:S274">
    <cfRule type="expression" dxfId="9501" priority="8738" stopIfTrue="1">
      <formula>$C270&lt;&gt;""</formula>
    </cfRule>
  </conditionalFormatting>
  <conditionalFormatting sqref="S270:S274">
    <cfRule type="expression" dxfId="9500" priority="8737" stopIfTrue="1">
      <formula>$B270&lt;&gt;""</formula>
    </cfRule>
  </conditionalFormatting>
  <conditionalFormatting sqref="S270:S274">
    <cfRule type="expression" dxfId="9499" priority="8736" stopIfTrue="1">
      <formula>$C270&lt;&gt;""</formula>
    </cfRule>
  </conditionalFormatting>
  <conditionalFormatting sqref="S270:S274">
    <cfRule type="expression" dxfId="9498" priority="8735" stopIfTrue="1">
      <formula>$B270&lt;&gt;""</formula>
    </cfRule>
  </conditionalFormatting>
  <conditionalFormatting sqref="S270:S274">
    <cfRule type="expression" dxfId="9497" priority="8734" stopIfTrue="1">
      <formula>$C270&lt;&gt;""</formula>
    </cfRule>
  </conditionalFormatting>
  <conditionalFormatting sqref="S270:S274">
    <cfRule type="expression" dxfId="9496" priority="8733" stopIfTrue="1">
      <formula>$B270&lt;&gt;""</formula>
    </cfRule>
  </conditionalFormatting>
  <conditionalFormatting sqref="S270:S274">
    <cfRule type="expression" dxfId="9495" priority="8732" stopIfTrue="1">
      <formula>$C270&lt;&gt;""</formula>
    </cfRule>
  </conditionalFormatting>
  <conditionalFormatting sqref="S270:S274">
    <cfRule type="expression" dxfId="9494" priority="8731" stopIfTrue="1">
      <formula>$B270&lt;&gt;""</formula>
    </cfRule>
  </conditionalFormatting>
  <conditionalFormatting sqref="S270:S274">
    <cfRule type="expression" dxfId="9493" priority="8730" stopIfTrue="1">
      <formula>$C270&lt;&gt;""</formula>
    </cfRule>
  </conditionalFormatting>
  <conditionalFormatting sqref="S270:S274">
    <cfRule type="expression" dxfId="9492" priority="8729" stopIfTrue="1">
      <formula>$B270&lt;&gt;""</formula>
    </cfRule>
  </conditionalFormatting>
  <conditionalFormatting sqref="S270:S274">
    <cfRule type="expression" dxfId="9491" priority="8728" stopIfTrue="1">
      <formula>$C270&lt;&gt;""</formula>
    </cfRule>
  </conditionalFormatting>
  <conditionalFormatting sqref="S270:S274">
    <cfRule type="expression" dxfId="9490" priority="8727" stopIfTrue="1">
      <formula>$B270&lt;&gt;""</formula>
    </cfRule>
  </conditionalFormatting>
  <conditionalFormatting sqref="S270:S274">
    <cfRule type="expression" dxfId="9489" priority="8726" stopIfTrue="1">
      <formula>$C270&lt;&gt;""</formula>
    </cfRule>
  </conditionalFormatting>
  <conditionalFormatting sqref="S270:S273">
    <cfRule type="expression" dxfId="9488" priority="8725" stopIfTrue="1">
      <formula>$B270&lt;&gt;""</formula>
    </cfRule>
  </conditionalFormatting>
  <conditionalFormatting sqref="S270:S273">
    <cfRule type="expression" dxfId="9487" priority="8724" stopIfTrue="1">
      <formula>$C270&lt;&gt;""</formula>
    </cfRule>
  </conditionalFormatting>
  <conditionalFormatting sqref="S274">
    <cfRule type="expression" dxfId="9486" priority="8723" stopIfTrue="1">
      <formula>$B274&lt;&gt;""</formula>
    </cfRule>
  </conditionalFormatting>
  <conditionalFormatting sqref="S274">
    <cfRule type="expression" dxfId="9485" priority="8722" stopIfTrue="1">
      <formula>$C274&lt;&gt;""</formula>
    </cfRule>
  </conditionalFormatting>
  <conditionalFormatting sqref="S270:S272">
    <cfRule type="expression" dxfId="9484" priority="8721" stopIfTrue="1">
      <formula>$B270&lt;&gt;""</formula>
    </cfRule>
  </conditionalFormatting>
  <conditionalFormatting sqref="S270:S272">
    <cfRule type="expression" dxfId="9483" priority="8720" stopIfTrue="1">
      <formula>$C270&lt;&gt;""</formula>
    </cfRule>
  </conditionalFormatting>
  <conditionalFormatting sqref="S273:S274">
    <cfRule type="expression" dxfId="9482" priority="8719" stopIfTrue="1">
      <formula>$B273&lt;&gt;""</formula>
    </cfRule>
  </conditionalFormatting>
  <conditionalFormatting sqref="S273:S274">
    <cfRule type="expression" dxfId="9481" priority="8718" stopIfTrue="1">
      <formula>$C273&lt;&gt;""</formula>
    </cfRule>
  </conditionalFormatting>
  <conditionalFormatting sqref="S270:S273">
    <cfRule type="expression" dxfId="9480" priority="8717" stopIfTrue="1">
      <formula>$B270&lt;&gt;""</formula>
    </cfRule>
  </conditionalFormatting>
  <conditionalFormatting sqref="S270:S273">
    <cfRule type="expression" dxfId="9479" priority="8716" stopIfTrue="1">
      <formula>$C270&lt;&gt;""</formula>
    </cfRule>
  </conditionalFormatting>
  <conditionalFormatting sqref="S270:S273">
    <cfRule type="expression" dxfId="9478" priority="8715" stopIfTrue="1">
      <formula>$B270&lt;&gt;""</formula>
    </cfRule>
  </conditionalFormatting>
  <conditionalFormatting sqref="S270:S273">
    <cfRule type="expression" dxfId="9477" priority="8714" stopIfTrue="1">
      <formula>$C270&lt;&gt;""</formula>
    </cfRule>
  </conditionalFormatting>
  <conditionalFormatting sqref="S274">
    <cfRule type="expression" dxfId="9476" priority="8713" stopIfTrue="1">
      <formula>$B274&lt;&gt;""</formula>
    </cfRule>
  </conditionalFormatting>
  <conditionalFormatting sqref="S274">
    <cfRule type="expression" dxfId="9475" priority="8712" stopIfTrue="1">
      <formula>$C274&lt;&gt;""</formula>
    </cfRule>
  </conditionalFormatting>
  <conditionalFormatting sqref="S270:S273">
    <cfRule type="expression" dxfId="9474" priority="8711" stopIfTrue="1">
      <formula>$B270&lt;&gt;""</formula>
    </cfRule>
  </conditionalFormatting>
  <conditionalFormatting sqref="S270:S273">
    <cfRule type="expression" dxfId="9473" priority="8710" stopIfTrue="1">
      <formula>$C270&lt;&gt;""</formula>
    </cfRule>
  </conditionalFormatting>
  <conditionalFormatting sqref="S274">
    <cfRule type="expression" dxfId="9472" priority="8709" stopIfTrue="1">
      <formula>$B274&lt;&gt;""</formula>
    </cfRule>
  </conditionalFormatting>
  <conditionalFormatting sqref="S274">
    <cfRule type="expression" dxfId="9471" priority="8708" stopIfTrue="1">
      <formula>$C274&lt;&gt;""</formula>
    </cfRule>
  </conditionalFormatting>
  <conditionalFormatting sqref="S274">
    <cfRule type="expression" dxfId="9470" priority="8707" stopIfTrue="1">
      <formula>$B274&lt;&gt;""</formula>
    </cfRule>
  </conditionalFormatting>
  <conditionalFormatting sqref="S274">
    <cfRule type="expression" dxfId="9469" priority="8706" stopIfTrue="1">
      <formula>$C274&lt;&gt;""</formula>
    </cfRule>
  </conditionalFormatting>
  <conditionalFormatting sqref="S270">
    <cfRule type="expression" dxfId="9468" priority="8705" stopIfTrue="1">
      <formula>$C270&lt;&gt;""</formula>
    </cfRule>
  </conditionalFormatting>
  <conditionalFormatting sqref="S270">
    <cfRule type="expression" dxfId="9467" priority="8704" stopIfTrue="1">
      <formula>$B270&lt;&gt;""</formula>
    </cfRule>
  </conditionalFormatting>
  <conditionalFormatting sqref="S271:S274">
    <cfRule type="expression" dxfId="9466" priority="8703" stopIfTrue="1">
      <formula>$C271&lt;&gt;""</formula>
    </cfRule>
  </conditionalFormatting>
  <conditionalFormatting sqref="S271:S274">
    <cfRule type="expression" dxfId="9465" priority="8702" stopIfTrue="1">
      <formula>$B271&lt;&gt;""</formula>
    </cfRule>
  </conditionalFormatting>
  <conditionalFormatting sqref="S273:S274">
    <cfRule type="expression" dxfId="9464" priority="8701" stopIfTrue="1">
      <formula>$C273&lt;&gt;""</formula>
    </cfRule>
  </conditionalFormatting>
  <conditionalFormatting sqref="S273:S274">
    <cfRule type="expression" dxfId="9463" priority="8700" stopIfTrue="1">
      <formula>$B273&lt;&gt;""</formula>
    </cfRule>
  </conditionalFormatting>
  <conditionalFormatting sqref="S270:S273">
    <cfRule type="expression" dxfId="9462" priority="8699" stopIfTrue="1">
      <formula>$B270&lt;&gt;""</formula>
    </cfRule>
  </conditionalFormatting>
  <conditionalFormatting sqref="S270:S273">
    <cfRule type="expression" dxfId="9461" priority="8698" stopIfTrue="1">
      <formula>$C270&lt;&gt;""</formula>
    </cfRule>
  </conditionalFormatting>
  <conditionalFormatting sqref="S274">
    <cfRule type="expression" dxfId="9460" priority="8697" stopIfTrue="1">
      <formula>$B274&lt;&gt;""</formula>
    </cfRule>
  </conditionalFormatting>
  <conditionalFormatting sqref="S274">
    <cfRule type="expression" dxfId="9459" priority="8696" stopIfTrue="1">
      <formula>$C274&lt;&gt;""</formula>
    </cfRule>
  </conditionalFormatting>
  <conditionalFormatting sqref="S270:S272">
    <cfRule type="expression" dxfId="9458" priority="8695" stopIfTrue="1">
      <formula>$B270&lt;&gt;""</formula>
    </cfRule>
  </conditionalFormatting>
  <conditionalFormatting sqref="S270:S272">
    <cfRule type="expression" dxfId="9457" priority="8694" stopIfTrue="1">
      <formula>$C270&lt;&gt;""</formula>
    </cfRule>
  </conditionalFormatting>
  <conditionalFormatting sqref="S273:S274">
    <cfRule type="expression" dxfId="9456" priority="8693" stopIfTrue="1">
      <formula>$B273&lt;&gt;""</formula>
    </cfRule>
  </conditionalFormatting>
  <conditionalFormatting sqref="S273:S274">
    <cfRule type="expression" dxfId="9455" priority="8692" stopIfTrue="1">
      <formula>$C273&lt;&gt;""</formula>
    </cfRule>
  </conditionalFormatting>
  <conditionalFormatting sqref="S270:S273">
    <cfRule type="expression" dxfId="9454" priority="8691" stopIfTrue="1">
      <formula>$B270&lt;&gt;""</formula>
    </cfRule>
  </conditionalFormatting>
  <conditionalFormatting sqref="S270:S273">
    <cfRule type="expression" dxfId="9453" priority="8690" stopIfTrue="1">
      <formula>$C270&lt;&gt;""</formula>
    </cfRule>
  </conditionalFormatting>
  <conditionalFormatting sqref="S270:S273">
    <cfRule type="expression" dxfId="9452" priority="8689" stopIfTrue="1">
      <formula>$B270&lt;&gt;""</formula>
    </cfRule>
  </conditionalFormatting>
  <conditionalFormatting sqref="S270:S273">
    <cfRule type="expression" dxfId="9451" priority="8688" stopIfTrue="1">
      <formula>$C270&lt;&gt;""</formula>
    </cfRule>
  </conditionalFormatting>
  <conditionalFormatting sqref="S274">
    <cfRule type="expression" dxfId="9450" priority="8687" stopIfTrue="1">
      <formula>$B274&lt;&gt;""</formula>
    </cfRule>
  </conditionalFormatting>
  <conditionalFormatting sqref="S274">
    <cfRule type="expression" dxfId="9449" priority="8686" stopIfTrue="1">
      <formula>$C274&lt;&gt;""</formula>
    </cfRule>
  </conditionalFormatting>
  <conditionalFormatting sqref="S270:S273">
    <cfRule type="expression" dxfId="9448" priority="8685" stopIfTrue="1">
      <formula>$B270&lt;&gt;""</formula>
    </cfRule>
  </conditionalFormatting>
  <conditionalFormatting sqref="S270:S273">
    <cfRule type="expression" dxfId="9447" priority="8684" stopIfTrue="1">
      <formula>$C270&lt;&gt;""</formula>
    </cfRule>
  </conditionalFormatting>
  <conditionalFormatting sqref="S274">
    <cfRule type="expression" dxfId="9446" priority="8683" stopIfTrue="1">
      <formula>$B274&lt;&gt;""</formula>
    </cfRule>
  </conditionalFormatting>
  <conditionalFormatting sqref="S274">
    <cfRule type="expression" dxfId="9445" priority="8682" stopIfTrue="1">
      <formula>$C274&lt;&gt;""</formula>
    </cfRule>
  </conditionalFormatting>
  <conditionalFormatting sqref="S274">
    <cfRule type="expression" dxfId="9444" priority="8681" stopIfTrue="1">
      <formula>$B274&lt;&gt;""</formula>
    </cfRule>
  </conditionalFormatting>
  <conditionalFormatting sqref="S274">
    <cfRule type="expression" dxfId="9443" priority="8680" stopIfTrue="1">
      <formula>$C274&lt;&gt;""</formula>
    </cfRule>
  </conditionalFormatting>
  <conditionalFormatting sqref="S270">
    <cfRule type="expression" dxfId="9442" priority="8679" stopIfTrue="1">
      <formula>$C270&lt;&gt;""</formula>
    </cfRule>
  </conditionalFormatting>
  <conditionalFormatting sqref="S270">
    <cfRule type="expression" dxfId="9441" priority="8678" stopIfTrue="1">
      <formula>$B270&lt;&gt;""</formula>
    </cfRule>
  </conditionalFormatting>
  <conditionalFormatting sqref="S271:S274">
    <cfRule type="expression" dxfId="9440" priority="8677" stopIfTrue="1">
      <formula>$C271&lt;&gt;""</formula>
    </cfRule>
  </conditionalFormatting>
  <conditionalFormatting sqref="S271:S274">
    <cfRule type="expression" dxfId="9439" priority="8676" stopIfTrue="1">
      <formula>$B271&lt;&gt;""</formula>
    </cfRule>
  </conditionalFormatting>
  <conditionalFormatting sqref="S273:S274">
    <cfRule type="expression" dxfId="9438" priority="8675" stopIfTrue="1">
      <formula>$C273&lt;&gt;""</formula>
    </cfRule>
  </conditionalFormatting>
  <conditionalFormatting sqref="S273:S274">
    <cfRule type="expression" dxfId="9437" priority="8674" stopIfTrue="1">
      <formula>$B273&lt;&gt;""</formula>
    </cfRule>
  </conditionalFormatting>
  <conditionalFormatting sqref="S275">
    <cfRule type="expression" dxfId="9436" priority="8673" stopIfTrue="1">
      <formula>$B275&lt;&gt;""</formula>
    </cfRule>
  </conditionalFormatting>
  <conditionalFormatting sqref="S275">
    <cfRule type="expression" dxfId="9435" priority="8672" stopIfTrue="1">
      <formula>$C275&lt;&gt;""</formula>
    </cfRule>
  </conditionalFormatting>
  <conditionalFormatting sqref="S276:S279">
    <cfRule type="expression" dxfId="9434" priority="8671" stopIfTrue="1">
      <formula>$B276&lt;&gt;""</formula>
    </cfRule>
  </conditionalFormatting>
  <conditionalFormatting sqref="S276:S279">
    <cfRule type="expression" dxfId="9433" priority="8670" stopIfTrue="1">
      <formula>$C276&lt;&gt;""</formula>
    </cfRule>
  </conditionalFormatting>
  <conditionalFormatting sqref="S275">
    <cfRule type="expression" dxfId="9432" priority="8669" stopIfTrue="1">
      <formula>$B275&lt;&gt;""</formula>
    </cfRule>
  </conditionalFormatting>
  <conditionalFormatting sqref="S275">
    <cfRule type="expression" dxfId="9431" priority="8668" stopIfTrue="1">
      <formula>$C275&lt;&gt;""</formula>
    </cfRule>
  </conditionalFormatting>
  <conditionalFormatting sqref="S276:S279">
    <cfRule type="expression" dxfId="9430" priority="8667" stopIfTrue="1">
      <formula>$B276&lt;&gt;""</formula>
    </cfRule>
  </conditionalFormatting>
  <conditionalFormatting sqref="S276:S279">
    <cfRule type="expression" dxfId="9429" priority="8666" stopIfTrue="1">
      <formula>$C276&lt;&gt;""</formula>
    </cfRule>
  </conditionalFormatting>
  <conditionalFormatting sqref="S275:S279">
    <cfRule type="expression" dxfId="9428" priority="8665" stopIfTrue="1">
      <formula>$B275&lt;&gt;""</formula>
    </cfRule>
  </conditionalFormatting>
  <conditionalFormatting sqref="S275:S279">
    <cfRule type="expression" dxfId="9427" priority="8664" stopIfTrue="1">
      <formula>$C275&lt;&gt;""</formula>
    </cfRule>
  </conditionalFormatting>
  <conditionalFormatting sqref="S275:S279">
    <cfRule type="expression" dxfId="9426" priority="8663" stopIfTrue="1">
      <formula>$B275&lt;&gt;""</formula>
    </cfRule>
  </conditionalFormatting>
  <conditionalFormatting sqref="S275:S279">
    <cfRule type="expression" dxfId="9425" priority="8662" stopIfTrue="1">
      <formula>$C275&lt;&gt;""</formula>
    </cfRule>
  </conditionalFormatting>
  <conditionalFormatting sqref="S275:S279">
    <cfRule type="expression" dxfId="9424" priority="8661" stopIfTrue="1">
      <formula>$B275&lt;&gt;""</formula>
    </cfRule>
  </conditionalFormatting>
  <conditionalFormatting sqref="S275:S279">
    <cfRule type="expression" dxfId="9423" priority="8660" stopIfTrue="1">
      <formula>$C275&lt;&gt;""</formula>
    </cfRule>
  </conditionalFormatting>
  <conditionalFormatting sqref="S275:S279">
    <cfRule type="expression" dxfId="9422" priority="8659" stopIfTrue="1">
      <formula>$B275&lt;&gt;""</formula>
    </cfRule>
  </conditionalFormatting>
  <conditionalFormatting sqref="S275:S279">
    <cfRule type="expression" dxfId="9421" priority="8658" stopIfTrue="1">
      <formula>$C275&lt;&gt;""</formula>
    </cfRule>
  </conditionalFormatting>
  <conditionalFormatting sqref="S275:S279">
    <cfRule type="expression" dxfId="9420" priority="8657" stopIfTrue="1">
      <formula>$B275&lt;&gt;""</formula>
    </cfRule>
  </conditionalFormatting>
  <conditionalFormatting sqref="S275:S279">
    <cfRule type="expression" dxfId="9419" priority="8656" stopIfTrue="1">
      <formula>$C275&lt;&gt;""</formula>
    </cfRule>
  </conditionalFormatting>
  <conditionalFormatting sqref="S275:S279">
    <cfRule type="expression" dxfId="9418" priority="8655" stopIfTrue="1">
      <formula>$B275&lt;&gt;""</formula>
    </cfRule>
  </conditionalFormatting>
  <conditionalFormatting sqref="S275:S279">
    <cfRule type="expression" dxfId="9417" priority="8654" stopIfTrue="1">
      <formula>$C275&lt;&gt;""</formula>
    </cfRule>
  </conditionalFormatting>
  <conditionalFormatting sqref="S275:S279">
    <cfRule type="expression" dxfId="9416" priority="8653" stopIfTrue="1">
      <formula>$B275&lt;&gt;""</formula>
    </cfRule>
  </conditionalFormatting>
  <conditionalFormatting sqref="S275:S279">
    <cfRule type="expression" dxfId="9415" priority="8652" stopIfTrue="1">
      <formula>$C275&lt;&gt;""</formula>
    </cfRule>
  </conditionalFormatting>
  <conditionalFormatting sqref="S275:S278">
    <cfRule type="expression" dxfId="9414" priority="8651" stopIfTrue="1">
      <formula>$B275&lt;&gt;""</formula>
    </cfRule>
  </conditionalFormatting>
  <conditionalFormatting sqref="S275:S278">
    <cfRule type="expression" dxfId="9413" priority="8650" stopIfTrue="1">
      <formula>$C275&lt;&gt;""</formula>
    </cfRule>
  </conditionalFormatting>
  <conditionalFormatting sqref="S279">
    <cfRule type="expression" dxfId="9412" priority="8649" stopIfTrue="1">
      <formula>$B279&lt;&gt;""</formula>
    </cfRule>
  </conditionalFormatting>
  <conditionalFormatting sqref="S279">
    <cfRule type="expression" dxfId="9411" priority="8648" stopIfTrue="1">
      <formula>$C279&lt;&gt;""</formula>
    </cfRule>
  </conditionalFormatting>
  <conditionalFormatting sqref="S275:S277">
    <cfRule type="expression" dxfId="9410" priority="8647" stopIfTrue="1">
      <formula>$B275&lt;&gt;""</formula>
    </cfRule>
  </conditionalFormatting>
  <conditionalFormatting sqref="S275:S277">
    <cfRule type="expression" dxfId="9409" priority="8646" stopIfTrue="1">
      <formula>$C275&lt;&gt;""</formula>
    </cfRule>
  </conditionalFormatting>
  <conditionalFormatting sqref="S278:S279">
    <cfRule type="expression" dxfId="9408" priority="8645" stopIfTrue="1">
      <formula>$B278&lt;&gt;""</formula>
    </cfRule>
  </conditionalFormatting>
  <conditionalFormatting sqref="S278:S279">
    <cfRule type="expression" dxfId="9407" priority="8644" stopIfTrue="1">
      <formula>$C278&lt;&gt;""</formula>
    </cfRule>
  </conditionalFormatting>
  <conditionalFormatting sqref="S275:S278">
    <cfRule type="expression" dxfId="9406" priority="8643" stopIfTrue="1">
      <formula>$B275&lt;&gt;""</formula>
    </cfRule>
  </conditionalFormatting>
  <conditionalFormatting sqref="S275:S278">
    <cfRule type="expression" dxfId="9405" priority="8642" stopIfTrue="1">
      <formula>$C275&lt;&gt;""</formula>
    </cfRule>
  </conditionalFormatting>
  <conditionalFormatting sqref="S275:S278">
    <cfRule type="expression" dxfId="9404" priority="8641" stopIfTrue="1">
      <formula>$B275&lt;&gt;""</formula>
    </cfRule>
  </conditionalFormatting>
  <conditionalFormatting sqref="S275:S278">
    <cfRule type="expression" dxfId="9403" priority="8640" stopIfTrue="1">
      <formula>$C275&lt;&gt;""</formula>
    </cfRule>
  </conditionalFormatting>
  <conditionalFormatting sqref="S279">
    <cfRule type="expression" dxfId="9402" priority="8639" stopIfTrue="1">
      <formula>$B279&lt;&gt;""</formula>
    </cfRule>
  </conditionalFormatting>
  <conditionalFormatting sqref="S279">
    <cfRule type="expression" dxfId="9401" priority="8638" stopIfTrue="1">
      <formula>$C279&lt;&gt;""</formula>
    </cfRule>
  </conditionalFormatting>
  <conditionalFormatting sqref="S275:S278">
    <cfRule type="expression" dxfId="9400" priority="8637" stopIfTrue="1">
      <formula>$B275&lt;&gt;""</formula>
    </cfRule>
  </conditionalFormatting>
  <conditionalFormatting sqref="S275:S278">
    <cfRule type="expression" dxfId="9399" priority="8636" stopIfTrue="1">
      <formula>$C275&lt;&gt;""</formula>
    </cfRule>
  </conditionalFormatting>
  <conditionalFormatting sqref="S279">
    <cfRule type="expression" dxfId="9398" priority="8635" stopIfTrue="1">
      <formula>$B279&lt;&gt;""</formula>
    </cfRule>
  </conditionalFormatting>
  <conditionalFormatting sqref="S279">
    <cfRule type="expression" dxfId="9397" priority="8634" stopIfTrue="1">
      <formula>$C279&lt;&gt;""</formula>
    </cfRule>
  </conditionalFormatting>
  <conditionalFormatting sqref="S279">
    <cfRule type="expression" dxfId="9396" priority="8633" stopIfTrue="1">
      <formula>$B279&lt;&gt;""</formula>
    </cfRule>
  </conditionalFormatting>
  <conditionalFormatting sqref="S279">
    <cfRule type="expression" dxfId="9395" priority="8632" stopIfTrue="1">
      <formula>$C279&lt;&gt;""</formula>
    </cfRule>
  </conditionalFormatting>
  <conditionalFormatting sqref="S275">
    <cfRule type="expression" dxfId="9394" priority="8631" stopIfTrue="1">
      <formula>$C275&lt;&gt;""</formula>
    </cfRule>
  </conditionalFormatting>
  <conditionalFormatting sqref="S275">
    <cfRule type="expression" dxfId="9393" priority="8630" stopIfTrue="1">
      <formula>$B275&lt;&gt;""</formula>
    </cfRule>
  </conditionalFormatting>
  <conditionalFormatting sqref="S276:S279">
    <cfRule type="expression" dxfId="9392" priority="8629" stopIfTrue="1">
      <formula>$C276&lt;&gt;""</formula>
    </cfRule>
  </conditionalFormatting>
  <conditionalFormatting sqref="S276:S279">
    <cfRule type="expression" dxfId="9391" priority="8628" stopIfTrue="1">
      <formula>$B276&lt;&gt;""</formula>
    </cfRule>
  </conditionalFormatting>
  <conditionalFormatting sqref="S278:S279">
    <cfRule type="expression" dxfId="9390" priority="8627" stopIfTrue="1">
      <formula>$C278&lt;&gt;""</formula>
    </cfRule>
  </conditionalFormatting>
  <conditionalFormatting sqref="S278:S279">
    <cfRule type="expression" dxfId="9389" priority="8626" stopIfTrue="1">
      <formula>$B278&lt;&gt;""</formula>
    </cfRule>
  </conditionalFormatting>
  <conditionalFormatting sqref="S275:S278">
    <cfRule type="expression" dxfId="9388" priority="8625" stopIfTrue="1">
      <formula>$B275&lt;&gt;""</formula>
    </cfRule>
  </conditionalFormatting>
  <conditionalFormatting sqref="S275:S278">
    <cfRule type="expression" dxfId="9387" priority="8624" stopIfTrue="1">
      <formula>$C275&lt;&gt;""</formula>
    </cfRule>
  </conditionalFormatting>
  <conditionalFormatting sqref="S279">
    <cfRule type="expression" dxfId="9386" priority="8623" stopIfTrue="1">
      <formula>$B279&lt;&gt;""</formula>
    </cfRule>
  </conditionalFormatting>
  <conditionalFormatting sqref="S279">
    <cfRule type="expression" dxfId="9385" priority="8622" stopIfTrue="1">
      <formula>$C279&lt;&gt;""</formula>
    </cfRule>
  </conditionalFormatting>
  <conditionalFormatting sqref="S275:S277">
    <cfRule type="expression" dxfId="9384" priority="8621" stopIfTrue="1">
      <formula>$B275&lt;&gt;""</formula>
    </cfRule>
  </conditionalFormatting>
  <conditionalFormatting sqref="S275:S277">
    <cfRule type="expression" dxfId="9383" priority="8620" stopIfTrue="1">
      <formula>$C275&lt;&gt;""</formula>
    </cfRule>
  </conditionalFormatting>
  <conditionalFormatting sqref="S278:S279">
    <cfRule type="expression" dxfId="9382" priority="8619" stopIfTrue="1">
      <formula>$B278&lt;&gt;""</formula>
    </cfRule>
  </conditionalFormatting>
  <conditionalFormatting sqref="S278:S279">
    <cfRule type="expression" dxfId="9381" priority="8618" stopIfTrue="1">
      <formula>$C278&lt;&gt;""</formula>
    </cfRule>
  </conditionalFormatting>
  <conditionalFormatting sqref="S275:S278">
    <cfRule type="expression" dxfId="9380" priority="8617" stopIfTrue="1">
      <formula>$B275&lt;&gt;""</formula>
    </cfRule>
  </conditionalFormatting>
  <conditionalFormatting sqref="S275:S278">
    <cfRule type="expression" dxfId="9379" priority="8616" stopIfTrue="1">
      <formula>$C275&lt;&gt;""</formula>
    </cfRule>
  </conditionalFormatting>
  <conditionalFormatting sqref="S275:S278">
    <cfRule type="expression" dxfId="9378" priority="8615" stopIfTrue="1">
      <formula>$B275&lt;&gt;""</formula>
    </cfRule>
  </conditionalFormatting>
  <conditionalFormatting sqref="S275:S278">
    <cfRule type="expression" dxfId="9377" priority="8614" stopIfTrue="1">
      <formula>$C275&lt;&gt;""</formula>
    </cfRule>
  </conditionalFormatting>
  <conditionalFormatting sqref="S279">
    <cfRule type="expression" dxfId="9376" priority="8613" stopIfTrue="1">
      <formula>$B279&lt;&gt;""</formula>
    </cfRule>
  </conditionalFormatting>
  <conditionalFormatting sqref="S279">
    <cfRule type="expression" dxfId="9375" priority="8612" stopIfTrue="1">
      <formula>$C279&lt;&gt;""</formula>
    </cfRule>
  </conditionalFormatting>
  <conditionalFormatting sqref="S275:S278">
    <cfRule type="expression" dxfId="9374" priority="8611" stopIfTrue="1">
      <formula>$B275&lt;&gt;""</formula>
    </cfRule>
  </conditionalFormatting>
  <conditionalFormatting sqref="S275:S278">
    <cfRule type="expression" dxfId="9373" priority="8610" stopIfTrue="1">
      <formula>$C275&lt;&gt;""</formula>
    </cfRule>
  </conditionalFormatting>
  <conditionalFormatting sqref="S279">
    <cfRule type="expression" dxfId="9372" priority="8609" stopIfTrue="1">
      <formula>$B279&lt;&gt;""</formula>
    </cfRule>
  </conditionalFormatting>
  <conditionalFormatting sqref="S279">
    <cfRule type="expression" dxfId="9371" priority="8608" stopIfTrue="1">
      <formula>$C279&lt;&gt;""</formula>
    </cfRule>
  </conditionalFormatting>
  <conditionalFormatting sqref="S279">
    <cfRule type="expression" dxfId="9370" priority="8607" stopIfTrue="1">
      <formula>$B279&lt;&gt;""</formula>
    </cfRule>
  </conditionalFormatting>
  <conditionalFormatting sqref="S279">
    <cfRule type="expression" dxfId="9369" priority="8606" stopIfTrue="1">
      <formula>$C279&lt;&gt;""</formula>
    </cfRule>
  </conditionalFormatting>
  <conditionalFormatting sqref="S275">
    <cfRule type="expression" dxfId="9368" priority="8605" stopIfTrue="1">
      <formula>$C275&lt;&gt;""</formula>
    </cfRule>
  </conditionalFormatting>
  <conditionalFormatting sqref="S275">
    <cfRule type="expression" dxfId="9367" priority="8604" stopIfTrue="1">
      <formula>$B275&lt;&gt;""</formula>
    </cfRule>
  </conditionalFormatting>
  <conditionalFormatting sqref="S276:S279">
    <cfRule type="expression" dxfId="9366" priority="8603" stopIfTrue="1">
      <formula>$C276&lt;&gt;""</formula>
    </cfRule>
  </conditionalFormatting>
  <conditionalFormatting sqref="S276:S279">
    <cfRule type="expression" dxfId="9365" priority="8602" stopIfTrue="1">
      <formula>$B276&lt;&gt;""</formula>
    </cfRule>
  </conditionalFormatting>
  <conditionalFormatting sqref="S278:S279">
    <cfRule type="expression" dxfId="9364" priority="8601" stopIfTrue="1">
      <formula>$C278&lt;&gt;""</formula>
    </cfRule>
  </conditionalFormatting>
  <conditionalFormatting sqref="S278:S279">
    <cfRule type="expression" dxfId="9363" priority="8600" stopIfTrue="1">
      <formula>$B278&lt;&gt;""</formula>
    </cfRule>
  </conditionalFormatting>
  <conditionalFormatting sqref="S280">
    <cfRule type="expression" dxfId="9362" priority="8599" stopIfTrue="1">
      <formula>$B280&lt;&gt;""</formula>
    </cfRule>
  </conditionalFormatting>
  <conditionalFormatting sqref="S280">
    <cfRule type="expression" dxfId="9361" priority="8598" stopIfTrue="1">
      <formula>$C280&lt;&gt;""</formula>
    </cfRule>
  </conditionalFormatting>
  <conditionalFormatting sqref="S281">
    <cfRule type="expression" dxfId="9360" priority="8597" stopIfTrue="1">
      <formula>$B281&lt;&gt;""</formula>
    </cfRule>
  </conditionalFormatting>
  <conditionalFormatting sqref="S281">
    <cfRule type="expression" dxfId="9359" priority="8596" stopIfTrue="1">
      <formula>$C281&lt;&gt;""</formula>
    </cfRule>
  </conditionalFormatting>
  <conditionalFormatting sqref="S280">
    <cfRule type="expression" dxfId="9358" priority="8595" stopIfTrue="1">
      <formula>$B280&lt;&gt;""</formula>
    </cfRule>
  </conditionalFormatting>
  <conditionalFormatting sqref="S280">
    <cfRule type="expression" dxfId="9357" priority="8594" stopIfTrue="1">
      <formula>$C280&lt;&gt;""</formula>
    </cfRule>
  </conditionalFormatting>
  <conditionalFormatting sqref="S281:S284">
    <cfRule type="expression" dxfId="9356" priority="8593" stopIfTrue="1">
      <formula>$B281&lt;&gt;""</formula>
    </cfRule>
  </conditionalFormatting>
  <conditionalFormatting sqref="S281:S284">
    <cfRule type="expression" dxfId="9355" priority="8592" stopIfTrue="1">
      <formula>$C281&lt;&gt;""</formula>
    </cfRule>
  </conditionalFormatting>
  <conditionalFormatting sqref="S280">
    <cfRule type="expression" dxfId="9354" priority="8591" stopIfTrue="1">
      <formula>$B280&lt;&gt;""</formula>
    </cfRule>
  </conditionalFormatting>
  <conditionalFormatting sqref="S280">
    <cfRule type="expression" dxfId="9353" priority="8590" stopIfTrue="1">
      <formula>$C280&lt;&gt;""</formula>
    </cfRule>
  </conditionalFormatting>
  <conditionalFormatting sqref="S281:S284">
    <cfRule type="expression" dxfId="9352" priority="8589" stopIfTrue="1">
      <formula>$B281&lt;&gt;""</formula>
    </cfRule>
  </conditionalFormatting>
  <conditionalFormatting sqref="S281:S284">
    <cfRule type="expression" dxfId="9351" priority="8588" stopIfTrue="1">
      <formula>$C281&lt;&gt;""</formula>
    </cfRule>
  </conditionalFormatting>
  <conditionalFormatting sqref="S280:S284">
    <cfRule type="expression" dxfId="9350" priority="8587" stopIfTrue="1">
      <formula>$B280&lt;&gt;""</formula>
    </cfRule>
  </conditionalFormatting>
  <conditionalFormatting sqref="S280:S284">
    <cfRule type="expression" dxfId="9349" priority="8586" stopIfTrue="1">
      <formula>$C280&lt;&gt;""</formula>
    </cfRule>
  </conditionalFormatting>
  <conditionalFormatting sqref="S280:S284">
    <cfRule type="expression" dxfId="9348" priority="8585" stopIfTrue="1">
      <formula>$B280&lt;&gt;""</formula>
    </cfRule>
  </conditionalFormatting>
  <conditionalFormatting sqref="S280:S284">
    <cfRule type="expression" dxfId="9347" priority="8584" stopIfTrue="1">
      <formula>$C280&lt;&gt;""</formula>
    </cfRule>
  </conditionalFormatting>
  <conditionalFormatting sqref="S280:S284">
    <cfRule type="expression" dxfId="9346" priority="8583" stopIfTrue="1">
      <formula>$B280&lt;&gt;""</formula>
    </cfRule>
  </conditionalFormatting>
  <conditionalFormatting sqref="S280:S284">
    <cfRule type="expression" dxfId="9345" priority="8582" stopIfTrue="1">
      <formula>$C280&lt;&gt;""</formula>
    </cfRule>
  </conditionalFormatting>
  <conditionalFormatting sqref="S280:S284">
    <cfRule type="expression" dxfId="9344" priority="8581" stopIfTrue="1">
      <formula>$B280&lt;&gt;""</formula>
    </cfRule>
  </conditionalFormatting>
  <conditionalFormatting sqref="S280:S284">
    <cfRule type="expression" dxfId="9343" priority="8580" stopIfTrue="1">
      <formula>$C280&lt;&gt;""</formula>
    </cfRule>
  </conditionalFormatting>
  <conditionalFormatting sqref="S280:S284">
    <cfRule type="expression" dxfId="9342" priority="8579" stopIfTrue="1">
      <formula>$B280&lt;&gt;""</formula>
    </cfRule>
  </conditionalFormatting>
  <conditionalFormatting sqref="S280:S284">
    <cfRule type="expression" dxfId="9341" priority="8578" stopIfTrue="1">
      <formula>$C280&lt;&gt;""</formula>
    </cfRule>
  </conditionalFormatting>
  <conditionalFormatting sqref="S280:S284">
    <cfRule type="expression" dxfId="9340" priority="8577" stopIfTrue="1">
      <formula>$B280&lt;&gt;""</formula>
    </cfRule>
  </conditionalFormatting>
  <conditionalFormatting sqref="S280:S284">
    <cfRule type="expression" dxfId="9339" priority="8576" stopIfTrue="1">
      <formula>$C280&lt;&gt;""</formula>
    </cfRule>
  </conditionalFormatting>
  <conditionalFormatting sqref="S280:S284">
    <cfRule type="expression" dxfId="9338" priority="8575" stopIfTrue="1">
      <formula>$B280&lt;&gt;""</formula>
    </cfRule>
  </conditionalFormatting>
  <conditionalFormatting sqref="S280:S284">
    <cfRule type="expression" dxfId="9337" priority="8574" stopIfTrue="1">
      <formula>$C280&lt;&gt;""</formula>
    </cfRule>
  </conditionalFormatting>
  <conditionalFormatting sqref="S280:S283">
    <cfRule type="expression" dxfId="9336" priority="8573" stopIfTrue="1">
      <formula>$B280&lt;&gt;""</formula>
    </cfRule>
  </conditionalFormatting>
  <conditionalFormatting sqref="S280:S283">
    <cfRule type="expression" dxfId="9335" priority="8572" stopIfTrue="1">
      <formula>$C280&lt;&gt;""</formula>
    </cfRule>
  </conditionalFormatting>
  <conditionalFormatting sqref="S284">
    <cfRule type="expression" dxfId="9334" priority="8571" stopIfTrue="1">
      <formula>$B284&lt;&gt;""</formula>
    </cfRule>
  </conditionalFormatting>
  <conditionalFormatting sqref="S284">
    <cfRule type="expression" dxfId="9333" priority="8570" stopIfTrue="1">
      <formula>$C284&lt;&gt;""</formula>
    </cfRule>
  </conditionalFormatting>
  <conditionalFormatting sqref="S280:S282">
    <cfRule type="expression" dxfId="9332" priority="8569" stopIfTrue="1">
      <formula>$B280&lt;&gt;""</formula>
    </cfRule>
  </conditionalFormatting>
  <conditionalFormatting sqref="S280:S282">
    <cfRule type="expression" dxfId="9331" priority="8568" stopIfTrue="1">
      <formula>$C280&lt;&gt;""</formula>
    </cfRule>
  </conditionalFormatting>
  <conditionalFormatting sqref="S283:S284">
    <cfRule type="expression" dxfId="9330" priority="8567" stopIfTrue="1">
      <formula>$B283&lt;&gt;""</formula>
    </cfRule>
  </conditionalFormatting>
  <conditionalFormatting sqref="S283:S284">
    <cfRule type="expression" dxfId="9329" priority="8566" stopIfTrue="1">
      <formula>$C283&lt;&gt;""</formula>
    </cfRule>
  </conditionalFormatting>
  <conditionalFormatting sqref="S280:S283">
    <cfRule type="expression" dxfId="9328" priority="8565" stopIfTrue="1">
      <formula>$B280&lt;&gt;""</formula>
    </cfRule>
  </conditionalFormatting>
  <conditionalFormatting sqref="S280:S283">
    <cfRule type="expression" dxfId="9327" priority="8564" stopIfTrue="1">
      <formula>$C280&lt;&gt;""</formula>
    </cfRule>
  </conditionalFormatting>
  <conditionalFormatting sqref="S280:S283">
    <cfRule type="expression" dxfId="9326" priority="8563" stopIfTrue="1">
      <formula>$B280&lt;&gt;""</formula>
    </cfRule>
  </conditionalFormatting>
  <conditionalFormatting sqref="S280:S283">
    <cfRule type="expression" dxfId="9325" priority="8562" stopIfTrue="1">
      <formula>$C280&lt;&gt;""</formula>
    </cfRule>
  </conditionalFormatting>
  <conditionalFormatting sqref="S284">
    <cfRule type="expression" dxfId="9324" priority="8561" stopIfTrue="1">
      <formula>$B284&lt;&gt;""</formula>
    </cfRule>
  </conditionalFormatting>
  <conditionalFormatting sqref="S284">
    <cfRule type="expression" dxfId="9323" priority="8560" stopIfTrue="1">
      <formula>$C284&lt;&gt;""</formula>
    </cfRule>
  </conditionalFormatting>
  <conditionalFormatting sqref="S280:S283">
    <cfRule type="expression" dxfId="9322" priority="8559" stopIfTrue="1">
      <formula>$B280&lt;&gt;""</formula>
    </cfRule>
  </conditionalFormatting>
  <conditionalFormatting sqref="S280:S283">
    <cfRule type="expression" dxfId="9321" priority="8558" stopIfTrue="1">
      <formula>$C280&lt;&gt;""</formula>
    </cfRule>
  </conditionalFormatting>
  <conditionalFormatting sqref="S284">
    <cfRule type="expression" dxfId="9320" priority="8557" stopIfTrue="1">
      <formula>$B284&lt;&gt;""</formula>
    </cfRule>
  </conditionalFormatting>
  <conditionalFormatting sqref="S284">
    <cfRule type="expression" dxfId="9319" priority="8556" stopIfTrue="1">
      <formula>$C284&lt;&gt;""</formula>
    </cfRule>
  </conditionalFormatting>
  <conditionalFormatting sqref="S284">
    <cfRule type="expression" dxfId="9318" priority="8555" stopIfTrue="1">
      <formula>$B284&lt;&gt;""</formula>
    </cfRule>
  </conditionalFormatting>
  <conditionalFormatting sqref="S284">
    <cfRule type="expression" dxfId="9317" priority="8554" stopIfTrue="1">
      <formula>$C284&lt;&gt;""</formula>
    </cfRule>
  </conditionalFormatting>
  <conditionalFormatting sqref="S280">
    <cfRule type="expression" dxfId="9316" priority="8553" stopIfTrue="1">
      <formula>$C280&lt;&gt;""</formula>
    </cfRule>
  </conditionalFormatting>
  <conditionalFormatting sqref="S280">
    <cfRule type="expression" dxfId="9315" priority="8552" stopIfTrue="1">
      <formula>$B280&lt;&gt;""</formula>
    </cfRule>
  </conditionalFormatting>
  <conditionalFormatting sqref="S281:S284">
    <cfRule type="expression" dxfId="9314" priority="8551" stopIfTrue="1">
      <formula>$C281&lt;&gt;""</formula>
    </cfRule>
  </conditionalFormatting>
  <conditionalFormatting sqref="S281:S284">
    <cfRule type="expression" dxfId="9313" priority="8550" stopIfTrue="1">
      <formula>$B281&lt;&gt;""</formula>
    </cfRule>
  </conditionalFormatting>
  <conditionalFormatting sqref="S283:S284">
    <cfRule type="expression" dxfId="9312" priority="8549" stopIfTrue="1">
      <formula>$C283&lt;&gt;""</formula>
    </cfRule>
  </conditionalFormatting>
  <conditionalFormatting sqref="S283:S284">
    <cfRule type="expression" dxfId="9311" priority="8548" stopIfTrue="1">
      <formula>$B283&lt;&gt;""</formula>
    </cfRule>
  </conditionalFormatting>
  <conditionalFormatting sqref="S280:S283">
    <cfRule type="expression" dxfId="9310" priority="8547" stopIfTrue="1">
      <formula>$B280&lt;&gt;""</formula>
    </cfRule>
  </conditionalFormatting>
  <conditionalFormatting sqref="S280:S283">
    <cfRule type="expression" dxfId="9309" priority="8546" stopIfTrue="1">
      <formula>$C280&lt;&gt;""</formula>
    </cfRule>
  </conditionalFormatting>
  <conditionalFormatting sqref="S284">
    <cfRule type="expression" dxfId="9308" priority="8545" stopIfTrue="1">
      <formula>$B284&lt;&gt;""</formula>
    </cfRule>
  </conditionalFormatting>
  <conditionalFormatting sqref="S284">
    <cfRule type="expression" dxfId="9307" priority="8544" stopIfTrue="1">
      <formula>$C284&lt;&gt;""</formula>
    </cfRule>
  </conditionalFormatting>
  <conditionalFormatting sqref="S280:S282">
    <cfRule type="expression" dxfId="9306" priority="8543" stopIfTrue="1">
      <formula>$B280&lt;&gt;""</formula>
    </cfRule>
  </conditionalFormatting>
  <conditionalFormatting sqref="S280:S282">
    <cfRule type="expression" dxfId="9305" priority="8542" stopIfTrue="1">
      <formula>$C280&lt;&gt;""</formula>
    </cfRule>
  </conditionalFormatting>
  <conditionalFormatting sqref="S283:S284">
    <cfRule type="expression" dxfId="9304" priority="8541" stopIfTrue="1">
      <formula>$B283&lt;&gt;""</formula>
    </cfRule>
  </conditionalFormatting>
  <conditionalFormatting sqref="S283:S284">
    <cfRule type="expression" dxfId="9303" priority="8540" stopIfTrue="1">
      <formula>$C283&lt;&gt;""</formula>
    </cfRule>
  </conditionalFormatting>
  <conditionalFormatting sqref="S280:S283">
    <cfRule type="expression" dxfId="9302" priority="8539" stopIfTrue="1">
      <formula>$B280&lt;&gt;""</formula>
    </cfRule>
  </conditionalFormatting>
  <conditionalFormatting sqref="S280:S283">
    <cfRule type="expression" dxfId="9301" priority="8538" stopIfTrue="1">
      <formula>$C280&lt;&gt;""</formula>
    </cfRule>
  </conditionalFormatting>
  <conditionalFormatting sqref="S280:S283">
    <cfRule type="expression" dxfId="9300" priority="8537" stopIfTrue="1">
      <formula>$B280&lt;&gt;""</formula>
    </cfRule>
  </conditionalFormatting>
  <conditionalFormatting sqref="S280:S283">
    <cfRule type="expression" dxfId="9299" priority="8536" stopIfTrue="1">
      <formula>$C280&lt;&gt;""</formula>
    </cfRule>
  </conditionalFormatting>
  <conditionalFormatting sqref="S284">
    <cfRule type="expression" dxfId="9298" priority="8535" stopIfTrue="1">
      <formula>$B284&lt;&gt;""</formula>
    </cfRule>
  </conditionalFormatting>
  <conditionalFormatting sqref="S284">
    <cfRule type="expression" dxfId="9297" priority="8534" stopIfTrue="1">
      <formula>$C284&lt;&gt;""</formula>
    </cfRule>
  </conditionalFormatting>
  <conditionalFormatting sqref="S280:S283">
    <cfRule type="expression" dxfId="9296" priority="8533" stopIfTrue="1">
      <formula>$B280&lt;&gt;""</formula>
    </cfRule>
  </conditionalFormatting>
  <conditionalFormatting sqref="S280:S283">
    <cfRule type="expression" dxfId="9295" priority="8532" stopIfTrue="1">
      <formula>$C280&lt;&gt;""</formula>
    </cfRule>
  </conditionalFormatting>
  <conditionalFormatting sqref="S284">
    <cfRule type="expression" dxfId="9294" priority="8531" stopIfTrue="1">
      <formula>$B284&lt;&gt;""</formula>
    </cfRule>
  </conditionalFormatting>
  <conditionalFormatting sqref="S284">
    <cfRule type="expression" dxfId="9293" priority="8530" stopIfTrue="1">
      <formula>$C284&lt;&gt;""</formula>
    </cfRule>
  </conditionalFormatting>
  <conditionalFormatting sqref="S284">
    <cfRule type="expression" dxfId="9292" priority="8529" stopIfTrue="1">
      <formula>$B284&lt;&gt;""</formula>
    </cfRule>
  </conditionalFormatting>
  <conditionalFormatting sqref="S284">
    <cfRule type="expression" dxfId="9291" priority="8528" stopIfTrue="1">
      <formula>$C284&lt;&gt;""</formula>
    </cfRule>
  </conditionalFormatting>
  <conditionalFormatting sqref="S280">
    <cfRule type="expression" dxfId="9290" priority="8527" stopIfTrue="1">
      <formula>$C280&lt;&gt;""</formula>
    </cfRule>
  </conditionalFormatting>
  <conditionalFormatting sqref="S280">
    <cfRule type="expression" dxfId="9289" priority="8526" stopIfTrue="1">
      <formula>$B280&lt;&gt;""</formula>
    </cfRule>
  </conditionalFormatting>
  <conditionalFormatting sqref="S281:S284">
    <cfRule type="expression" dxfId="9288" priority="8525" stopIfTrue="1">
      <formula>$C281&lt;&gt;""</formula>
    </cfRule>
  </conditionalFormatting>
  <conditionalFormatting sqref="S281:S284">
    <cfRule type="expression" dxfId="9287" priority="8524" stopIfTrue="1">
      <formula>$B281&lt;&gt;""</formula>
    </cfRule>
  </conditionalFormatting>
  <conditionalFormatting sqref="S283:S284">
    <cfRule type="expression" dxfId="9286" priority="8523" stopIfTrue="1">
      <formula>$C283&lt;&gt;""</formula>
    </cfRule>
  </conditionalFormatting>
  <conditionalFormatting sqref="S283:S284">
    <cfRule type="expression" dxfId="9285" priority="8522" stopIfTrue="1">
      <formula>$B283&lt;&gt;""</formula>
    </cfRule>
  </conditionalFormatting>
  <conditionalFormatting sqref="S285">
    <cfRule type="expression" dxfId="9284" priority="8521" stopIfTrue="1">
      <formula>$B285&lt;&gt;""</formula>
    </cfRule>
  </conditionalFormatting>
  <conditionalFormatting sqref="S285">
    <cfRule type="expression" dxfId="9283" priority="8520" stopIfTrue="1">
      <formula>$C285&lt;&gt;""</formula>
    </cfRule>
  </conditionalFormatting>
  <conditionalFormatting sqref="S285">
    <cfRule type="expression" dxfId="9282" priority="8519" stopIfTrue="1">
      <formula>$B285&lt;&gt;""</formula>
    </cfRule>
  </conditionalFormatting>
  <conditionalFormatting sqref="S285">
    <cfRule type="expression" dxfId="9281" priority="8518" stopIfTrue="1">
      <formula>$C285&lt;&gt;""</formula>
    </cfRule>
  </conditionalFormatting>
  <conditionalFormatting sqref="S285">
    <cfRule type="expression" dxfId="9280" priority="8517" stopIfTrue="1">
      <formula>$B285&lt;&gt;""</formula>
    </cfRule>
  </conditionalFormatting>
  <conditionalFormatting sqref="S285">
    <cfRule type="expression" dxfId="9279" priority="8516" stopIfTrue="1">
      <formula>$C285&lt;&gt;""</formula>
    </cfRule>
  </conditionalFormatting>
  <conditionalFormatting sqref="S285">
    <cfRule type="expression" dxfId="9278" priority="8515" stopIfTrue="1">
      <formula>$B285&lt;&gt;""</formula>
    </cfRule>
  </conditionalFormatting>
  <conditionalFormatting sqref="S285">
    <cfRule type="expression" dxfId="9277" priority="8514" stopIfTrue="1">
      <formula>$C285&lt;&gt;""</formula>
    </cfRule>
  </conditionalFormatting>
  <conditionalFormatting sqref="S285">
    <cfRule type="expression" dxfId="9276" priority="8513" stopIfTrue="1">
      <formula>$B285&lt;&gt;""</formula>
    </cfRule>
  </conditionalFormatting>
  <conditionalFormatting sqref="S285">
    <cfRule type="expression" dxfId="9275" priority="8512" stopIfTrue="1">
      <formula>$C285&lt;&gt;""</formula>
    </cfRule>
  </conditionalFormatting>
  <conditionalFormatting sqref="S285">
    <cfRule type="expression" dxfId="9274" priority="8511" stopIfTrue="1">
      <formula>$B285&lt;&gt;""</formula>
    </cfRule>
  </conditionalFormatting>
  <conditionalFormatting sqref="S285">
    <cfRule type="expression" dxfId="9273" priority="8510" stopIfTrue="1">
      <formula>$C285&lt;&gt;""</formula>
    </cfRule>
  </conditionalFormatting>
  <conditionalFormatting sqref="S285">
    <cfRule type="expression" dxfId="9272" priority="8509" stopIfTrue="1">
      <formula>$B285&lt;&gt;""</formula>
    </cfRule>
  </conditionalFormatting>
  <conditionalFormatting sqref="S285">
    <cfRule type="expression" dxfId="9271" priority="8508" stopIfTrue="1">
      <formula>$C285&lt;&gt;""</formula>
    </cfRule>
  </conditionalFormatting>
  <conditionalFormatting sqref="S285">
    <cfRule type="expression" dxfId="9270" priority="8507" stopIfTrue="1">
      <formula>$B285&lt;&gt;""</formula>
    </cfRule>
  </conditionalFormatting>
  <conditionalFormatting sqref="S285">
    <cfRule type="expression" dxfId="9269" priority="8506" stopIfTrue="1">
      <formula>$C285&lt;&gt;""</formula>
    </cfRule>
  </conditionalFormatting>
  <conditionalFormatting sqref="S285">
    <cfRule type="expression" dxfId="9268" priority="8505" stopIfTrue="1">
      <formula>$B285&lt;&gt;""</formula>
    </cfRule>
  </conditionalFormatting>
  <conditionalFormatting sqref="S285">
    <cfRule type="expression" dxfId="9267" priority="8504" stopIfTrue="1">
      <formula>$C285&lt;&gt;""</formula>
    </cfRule>
  </conditionalFormatting>
  <conditionalFormatting sqref="S285">
    <cfRule type="expression" dxfId="9266" priority="8503" stopIfTrue="1">
      <formula>$B285&lt;&gt;""</formula>
    </cfRule>
  </conditionalFormatting>
  <conditionalFormatting sqref="S285">
    <cfRule type="expression" dxfId="9265" priority="8502" stopIfTrue="1">
      <formula>$C285&lt;&gt;""</formula>
    </cfRule>
  </conditionalFormatting>
  <conditionalFormatting sqref="S285">
    <cfRule type="expression" dxfId="9264" priority="8501" stopIfTrue="1">
      <formula>$B285&lt;&gt;""</formula>
    </cfRule>
  </conditionalFormatting>
  <conditionalFormatting sqref="S285">
    <cfRule type="expression" dxfId="9263" priority="8500" stopIfTrue="1">
      <formula>$C285&lt;&gt;""</formula>
    </cfRule>
  </conditionalFormatting>
  <conditionalFormatting sqref="S285">
    <cfRule type="expression" dxfId="9262" priority="8499" stopIfTrue="1">
      <formula>$B285&lt;&gt;""</formula>
    </cfRule>
  </conditionalFormatting>
  <conditionalFormatting sqref="S285">
    <cfRule type="expression" dxfId="9261" priority="8498" stopIfTrue="1">
      <formula>$C285&lt;&gt;""</formula>
    </cfRule>
  </conditionalFormatting>
  <conditionalFormatting sqref="S285">
    <cfRule type="expression" dxfId="9260" priority="8497" stopIfTrue="1">
      <formula>$B285&lt;&gt;""</formula>
    </cfRule>
  </conditionalFormatting>
  <conditionalFormatting sqref="S285">
    <cfRule type="expression" dxfId="9259" priority="8496" stopIfTrue="1">
      <formula>$C285&lt;&gt;""</formula>
    </cfRule>
  </conditionalFormatting>
  <conditionalFormatting sqref="S285">
    <cfRule type="expression" dxfId="9258" priority="8495" stopIfTrue="1">
      <formula>$B285&lt;&gt;""</formula>
    </cfRule>
  </conditionalFormatting>
  <conditionalFormatting sqref="S285">
    <cfRule type="expression" dxfId="9257" priority="8494" stopIfTrue="1">
      <formula>$C285&lt;&gt;""</formula>
    </cfRule>
  </conditionalFormatting>
  <conditionalFormatting sqref="S285">
    <cfRule type="expression" dxfId="9256" priority="8493" stopIfTrue="1">
      <formula>$C285&lt;&gt;""</formula>
    </cfRule>
  </conditionalFormatting>
  <conditionalFormatting sqref="S285">
    <cfRule type="expression" dxfId="9255" priority="8492" stopIfTrue="1">
      <formula>$B285&lt;&gt;""</formula>
    </cfRule>
  </conditionalFormatting>
  <conditionalFormatting sqref="S285">
    <cfRule type="expression" dxfId="9254" priority="8491" stopIfTrue="1">
      <formula>$C285&lt;&gt;""</formula>
    </cfRule>
  </conditionalFormatting>
  <conditionalFormatting sqref="S285">
    <cfRule type="expression" dxfId="9253" priority="8490" stopIfTrue="1">
      <formula>$B285&lt;&gt;""</formula>
    </cfRule>
  </conditionalFormatting>
  <conditionalFormatting sqref="S285">
    <cfRule type="expression" dxfId="9252" priority="8489" stopIfTrue="1">
      <formula>$B285&lt;&gt;""</formula>
    </cfRule>
  </conditionalFormatting>
  <conditionalFormatting sqref="S285">
    <cfRule type="expression" dxfId="9251" priority="8488" stopIfTrue="1">
      <formula>$C285&lt;&gt;""</formula>
    </cfRule>
  </conditionalFormatting>
  <conditionalFormatting sqref="S285">
    <cfRule type="expression" dxfId="9250" priority="8487" stopIfTrue="1">
      <formula>$B285&lt;&gt;""</formula>
    </cfRule>
  </conditionalFormatting>
  <conditionalFormatting sqref="S285">
    <cfRule type="expression" dxfId="9249" priority="8486" stopIfTrue="1">
      <formula>$C285&lt;&gt;""</formula>
    </cfRule>
  </conditionalFormatting>
  <conditionalFormatting sqref="S285">
    <cfRule type="expression" dxfId="9248" priority="8485" stopIfTrue="1">
      <formula>$B285&lt;&gt;""</formula>
    </cfRule>
  </conditionalFormatting>
  <conditionalFormatting sqref="S285">
    <cfRule type="expression" dxfId="9247" priority="8484" stopIfTrue="1">
      <formula>$C285&lt;&gt;""</formula>
    </cfRule>
  </conditionalFormatting>
  <conditionalFormatting sqref="S285">
    <cfRule type="expression" dxfId="9246" priority="8483" stopIfTrue="1">
      <formula>$B285&lt;&gt;""</formula>
    </cfRule>
  </conditionalFormatting>
  <conditionalFormatting sqref="S285">
    <cfRule type="expression" dxfId="9245" priority="8482" stopIfTrue="1">
      <formula>$C285&lt;&gt;""</formula>
    </cfRule>
  </conditionalFormatting>
  <conditionalFormatting sqref="S285">
    <cfRule type="expression" dxfId="9244" priority="8481" stopIfTrue="1">
      <formula>$B285&lt;&gt;""</formula>
    </cfRule>
  </conditionalFormatting>
  <conditionalFormatting sqref="S285">
    <cfRule type="expression" dxfId="9243" priority="8480" stopIfTrue="1">
      <formula>$C285&lt;&gt;""</formula>
    </cfRule>
  </conditionalFormatting>
  <conditionalFormatting sqref="S285">
    <cfRule type="expression" dxfId="9242" priority="8479" stopIfTrue="1">
      <formula>$C285&lt;&gt;""</formula>
    </cfRule>
  </conditionalFormatting>
  <conditionalFormatting sqref="S285">
    <cfRule type="expression" dxfId="9241" priority="8478" stopIfTrue="1">
      <formula>$B285&lt;&gt;""</formula>
    </cfRule>
  </conditionalFormatting>
  <conditionalFormatting sqref="S285">
    <cfRule type="expression" dxfId="9240" priority="8477" stopIfTrue="1">
      <formula>$C285&lt;&gt;""</formula>
    </cfRule>
  </conditionalFormatting>
  <conditionalFormatting sqref="S285">
    <cfRule type="expression" dxfId="9239" priority="8476" stopIfTrue="1">
      <formula>$B285&lt;&gt;""</formula>
    </cfRule>
  </conditionalFormatting>
  <conditionalFormatting sqref="S285">
    <cfRule type="expression" dxfId="9238" priority="8475" stopIfTrue="1">
      <formula>$B285&lt;&gt;""</formula>
    </cfRule>
  </conditionalFormatting>
  <conditionalFormatting sqref="S285">
    <cfRule type="expression" dxfId="9237" priority="8474" stopIfTrue="1">
      <formula>$C285&lt;&gt;""</formula>
    </cfRule>
  </conditionalFormatting>
  <conditionalFormatting sqref="S286">
    <cfRule type="expression" dxfId="9236" priority="8473" stopIfTrue="1">
      <formula>$B286&lt;&gt;""</formula>
    </cfRule>
  </conditionalFormatting>
  <conditionalFormatting sqref="S286">
    <cfRule type="expression" dxfId="9235" priority="8472" stopIfTrue="1">
      <formula>$C286&lt;&gt;""</formula>
    </cfRule>
  </conditionalFormatting>
  <conditionalFormatting sqref="S285">
    <cfRule type="expression" dxfId="9234" priority="8471" stopIfTrue="1">
      <formula>$B285&lt;&gt;""</formula>
    </cfRule>
  </conditionalFormatting>
  <conditionalFormatting sqref="S285">
    <cfRule type="expression" dxfId="9233" priority="8470" stopIfTrue="1">
      <formula>$C285&lt;&gt;""</formula>
    </cfRule>
  </conditionalFormatting>
  <conditionalFormatting sqref="S286:S289">
    <cfRule type="expression" dxfId="9232" priority="8469" stopIfTrue="1">
      <formula>$B286&lt;&gt;""</formula>
    </cfRule>
  </conditionalFormatting>
  <conditionalFormatting sqref="S286:S289">
    <cfRule type="expression" dxfId="9231" priority="8468" stopIfTrue="1">
      <formula>$C286&lt;&gt;""</formula>
    </cfRule>
  </conditionalFormatting>
  <conditionalFormatting sqref="S285">
    <cfRule type="expression" dxfId="9230" priority="8467" stopIfTrue="1">
      <formula>$B285&lt;&gt;""</formula>
    </cfRule>
  </conditionalFormatting>
  <conditionalFormatting sqref="S285">
    <cfRule type="expression" dxfId="9229" priority="8466" stopIfTrue="1">
      <formula>$C285&lt;&gt;""</formula>
    </cfRule>
  </conditionalFormatting>
  <conditionalFormatting sqref="S286:S289">
    <cfRule type="expression" dxfId="9228" priority="8465" stopIfTrue="1">
      <formula>$B286&lt;&gt;""</formula>
    </cfRule>
  </conditionalFormatting>
  <conditionalFormatting sqref="S286:S289">
    <cfRule type="expression" dxfId="9227" priority="8464" stopIfTrue="1">
      <formula>$C286&lt;&gt;""</formula>
    </cfRule>
  </conditionalFormatting>
  <conditionalFormatting sqref="S285:S289">
    <cfRule type="expression" dxfId="9226" priority="8463" stopIfTrue="1">
      <formula>$B285&lt;&gt;""</formula>
    </cfRule>
  </conditionalFormatting>
  <conditionalFormatting sqref="S285:S289">
    <cfRule type="expression" dxfId="9225" priority="8462" stopIfTrue="1">
      <formula>$C285&lt;&gt;""</formula>
    </cfRule>
  </conditionalFormatting>
  <conditionalFormatting sqref="S285:S289">
    <cfRule type="expression" dxfId="9224" priority="8461" stopIfTrue="1">
      <formula>$B285&lt;&gt;""</formula>
    </cfRule>
  </conditionalFormatting>
  <conditionalFormatting sqref="S285:S289">
    <cfRule type="expression" dxfId="9223" priority="8460" stopIfTrue="1">
      <formula>$C285&lt;&gt;""</formula>
    </cfRule>
  </conditionalFormatting>
  <conditionalFormatting sqref="S285:S289">
    <cfRule type="expression" dxfId="9222" priority="8459" stopIfTrue="1">
      <formula>$B285&lt;&gt;""</formula>
    </cfRule>
  </conditionalFormatting>
  <conditionalFormatting sqref="S285:S289">
    <cfRule type="expression" dxfId="9221" priority="8458" stopIfTrue="1">
      <formula>$C285&lt;&gt;""</formula>
    </cfRule>
  </conditionalFormatting>
  <conditionalFormatting sqref="S285:S289">
    <cfRule type="expression" dxfId="9220" priority="8457" stopIfTrue="1">
      <formula>$B285&lt;&gt;""</formula>
    </cfRule>
  </conditionalFormatting>
  <conditionalFormatting sqref="S285:S289">
    <cfRule type="expression" dxfId="9219" priority="8456" stopIfTrue="1">
      <formula>$C285&lt;&gt;""</formula>
    </cfRule>
  </conditionalFormatting>
  <conditionalFormatting sqref="S285:S289">
    <cfRule type="expression" dxfId="9218" priority="8455" stopIfTrue="1">
      <formula>$B285&lt;&gt;""</formula>
    </cfRule>
  </conditionalFormatting>
  <conditionalFormatting sqref="S285:S289">
    <cfRule type="expression" dxfId="9217" priority="8454" stopIfTrue="1">
      <formula>$C285&lt;&gt;""</formula>
    </cfRule>
  </conditionalFormatting>
  <conditionalFormatting sqref="S285:S289">
    <cfRule type="expression" dxfId="9216" priority="8453" stopIfTrue="1">
      <formula>$B285&lt;&gt;""</formula>
    </cfRule>
  </conditionalFormatting>
  <conditionalFormatting sqref="S285:S289">
    <cfRule type="expression" dxfId="9215" priority="8452" stopIfTrue="1">
      <formula>$C285&lt;&gt;""</formula>
    </cfRule>
  </conditionalFormatting>
  <conditionalFormatting sqref="S285:S289">
    <cfRule type="expression" dxfId="9214" priority="8451" stopIfTrue="1">
      <formula>$B285&lt;&gt;""</formula>
    </cfRule>
  </conditionalFormatting>
  <conditionalFormatting sqref="S285:S289">
    <cfRule type="expression" dxfId="9213" priority="8450" stopIfTrue="1">
      <formula>$C285&lt;&gt;""</formula>
    </cfRule>
  </conditionalFormatting>
  <conditionalFormatting sqref="S285:S288">
    <cfRule type="expression" dxfId="9212" priority="8449" stopIfTrue="1">
      <formula>$B285&lt;&gt;""</formula>
    </cfRule>
  </conditionalFormatting>
  <conditionalFormatting sqref="S285:S288">
    <cfRule type="expression" dxfId="9211" priority="8448" stopIfTrue="1">
      <formula>$C285&lt;&gt;""</formula>
    </cfRule>
  </conditionalFormatting>
  <conditionalFormatting sqref="S289">
    <cfRule type="expression" dxfId="9210" priority="8447" stopIfTrue="1">
      <formula>$B289&lt;&gt;""</formula>
    </cfRule>
  </conditionalFormatting>
  <conditionalFormatting sqref="S289">
    <cfRule type="expression" dxfId="9209" priority="8446" stopIfTrue="1">
      <formula>$C289&lt;&gt;""</formula>
    </cfRule>
  </conditionalFormatting>
  <conditionalFormatting sqref="S285:S287">
    <cfRule type="expression" dxfId="9208" priority="8445" stopIfTrue="1">
      <formula>$B285&lt;&gt;""</formula>
    </cfRule>
  </conditionalFormatting>
  <conditionalFormatting sqref="S285:S287">
    <cfRule type="expression" dxfId="9207" priority="8444" stopIfTrue="1">
      <formula>$C285&lt;&gt;""</formula>
    </cfRule>
  </conditionalFormatting>
  <conditionalFormatting sqref="S288:S289">
    <cfRule type="expression" dxfId="9206" priority="8443" stopIfTrue="1">
      <formula>$B288&lt;&gt;""</formula>
    </cfRule>
  </conditionalFormatting>
  <conditionalFormatting sqref="S288:S289">
    <cfRule type="expression" dxfId="9205" priority="8442" stopIfTrue="1">
      <formula>$C288&lt;&gt;""</formula>
    </cfRule>
  </conditionalFormatting>
  <conditionalFormatting sqref="S285:S288">
    <cfRule type="expression" dxfId="9204" priority="8441" stopIfTrue="1">
      <formula>$B285&lt;&gt;""</formula>
    </cfRule>
  </conditionalFormatting>
  <conditionalFormatting sqref="S285:S288">
    <cfRule type="expression" dxfId="9203" priority="8440" stopIfTrue="1">
      <formula>$C285&lt;&gt;""</formula>
    </cfRule>
  </conditionalFormatting>
  <conditionalFormatting sqref="S285:S288">
    <cfRule type="expression" dxfId="9202" priority="8439" stopIfTrue="1">
      <formula>$B285&lt;&gt;""</formula>
    </cfRule>
  </conditionalFormatting>
  <conditionalFormatting sqref="S285:S288">
    <cfRule type="expression" dxfId="9201" priority="8438" stopIfTrue="1">
      <formula>$C285&lt;&gt;""</formula>
    </cfRule>
  </conditionalFormatting>
  <conditionalFormatting sqref="S289">
    <cfRule type="expression" dxfId="9200" priority="8437" stopIfTrue="1">
      <formula>$B289&lt;&gt;""</formula>
    </cfRule>
  </conditionalFormatting>
  <conditionalFormatting sqref="S289">
    <cfRule type="expression" dxfId="9199" priority="8436" stopIfTrue="1">
      <formula>$C289&lt;&gt;""</formula>
    </cfRule>
  </conditionalFormatting>
  <conditionalFormatting sqref="S285:S288">
    <cfRule type="expression" dxfId="9198" priority="8435" stopIfTrue="1">
      <formula>$B285&lt;&gt;""</formula>
    </cfRule>
  </conditionalFormatting>
  <conditionalFormatting sqref="S285:S288">
    <cfRule type="expression" dxfId="9197" priority="8434" stopIfTrue="1">
      <formula>$C285&lt;&gt;""</formula>
    </cfRule>
  </conditionalFormatting>
  <conditionalFormatting sqref="S289">
    <cfRule type="expression" dxfId="9196" priority="8433" stopIfTrue="1">
      <formula>$B289&lt;&gt;""</formula>
    </cfRule>
  </conditionalFormatting>
  <conditionalFormatting sqref="S289">
    <cfRule type="expression" dxfId="9195" priority="8432" stopIfTrue="1">
      <formula>$C289&lt;&gt;""</formula>
    </cfRule>
  </conditionalFormatting>
  <conditionalFormatting sqref="S289">
    <cfRule type="expression" dxfId="9194" priority="8431" stopIfTrue="1">
      <formula>$B289&lt;&gt;""</formula>
    </cfRule>
  </conditionalFormatting>
  <conditionalFormatting sqref="S289">
    <cfRule type="expression" dxfId="9193" priority="8430" stopIfTrue="1">
      <formula>$C289&lt;&gt;""</formula>
    </cfRule>
  </conditionalFormatting>
  <conditionalFormatting sqref="S285">
    <cfRule type="expression" dxfId="9192" priority="8429" stopIfTrue="1">
      <formula>$C285&lt;&gt;""</formula>
    </cfRule>
  </conditionalFormatting>
  <conditionalFormatting sqref="S285">
    <cfRule type="expression" dxfId="9191" priority="8428" stopIfTrue="1">
      <formula>$B285&lt;&gt;""</formula>
    </cfRule>
  </conditionalFormatting>
  <conditionalFormatting sqref="S286:S289">
    <cfRule type="expression" dxfId="9190" priority="8427" stopIfTrue="1">
      <formula>$C286&lt;&gt;""</formula>
    </cfRule>
  </conditionalFormatting>
  <conditionalFormatting sqref="S286:S289">
    <cfRule type="expression" dxfId="9189" priority="8426" stopIfTrue="1">
      <formula>$B286&lt;&gt;""</formula>
    </cfRule>
  </conditionalFormatting>
  <conditionalFormatting sqref="S288:S289">
    <cfRule type="expression" dxfId="9188" priority="8425" stopIfTrue="1">
      <formula>$C288&lt;&gt;""</formula>
    </cfRule>
  </conditionalFormatting>
  <conditionalFormatting sqref="S288:S289">
    <cfRule type="expression" dxfId="9187" priority="8424" stopIfTrue="1">
      <formula>$B288&lt;&gt;""</formula>
    </cfRule>
  </conditionalFormatting>
  <conditionalFormatting sqref="S285:S288">
    <cfRule type="expression" dxfId="9186" priority="8423" stopIfTrue="1">
      <formula>$B285&lt;&gt;""</formula>
    </cfRule>
  </conditionalFormatting>
  <conditionalFormatting sqref="S285:S288">
    <cfRule type="expression" dxfId="9185" priority="8422" stopIfTrue="1">
      <formula>$C285&lt;&gt;""</formula>
    </cfRule>
  </conditionalFormatting>
  <conditionalFormatting sqref="S289">
    <cfRule type="expression" dxfId="9184" priority="8421" stopIfTrue="1">
      <formula>$B289&lt;&gt;""</formula>
    </cfRule>
  </conditionalFormatting>
  <conditionalFormatting sqref="S289">
    <cfRule type="expression" dxfId="9183" priority="8420" stopIfTrue="1">
      <formula>$C289&lt;&gt;""</formula>
    </cfRule>
  </conditionalFormatting>
  <conditionalFormatting sqref="S285:S287">
    <cfRule type="expression" dxfId="9182" priority="8419" stopIfTrue="1">
      <formula>$B285&lt;&gt;""</formula>
    </cfRule>
  </conditionalFormatting>
  <conditionalFormatting sqref="S285:S287">
    <cfRule type="expression" dxfId="9181" priority="8418" stopIfTrue="1">
      <formula>$C285&lt;&gt;""</formula>
    </cfRule>
  </conditionalFormatting>
  <conditionalFormatting sqref="S288:S289">
    <cfRule type="expression" dxfId="9180" priority="8417" stopIfTrue="1">
      <formula>$B288&lt;&gt;""</formula>
    </cfRule>
  </conditionalFormatting>
  <conditionalFormatting sqref="S288:S289">
    <cfRule type="expression" dxfId="9179" priority="8416" stopIfTrue="1">
      <formula>$C288&lt;&gt;""</formula>
    </cfRule>
  </conditionalFormatting>
  <conditionalFormatting sqref="S285:S288">
    <cfRule type="expression" dxfId="9178" priority="8415" stopIfTrue="1">
      <formula>$B285&lt;&gt;""</formula>
    </cfRule>
  </conditionalFormatting>
  <conditionalFormatting sqref="S285:S288">
    <cfRule type="expression" dxfId="9177" priority="8414" stopIfTrue="1">
      <formula>$C285&lt;&gt;""</formula>
    </cfRule>
  </conditionalFormatting>
  <conditionalFormatting sqref="S285:S288">
    <cfRule type="expression" dxfId="9176" priority="8413" stopIfTrue="1">
      <formula>$B285&lt;&gt;""</formula>
    </cfRule>
  </conditionalFormatting>
  <conditionalFormatting sqref="S285:S288">
    <cfRule type="expression" dxfId="9175" priority="8412" stopIfTrue="1">
      <formula>$C285&lt;&gt;""</formula>
    </cfRule>
  </conditionalFormatting>
  <conditionalFormatting sqref="S289">
    <cfRule type="expression" dxfId="9174" priority="8411" stopIfTrue="1">
      <formula>$B289&lt;&gt;""</formula>
    </cfRule>
  </conditionalFormatting>
  <conditionalFormatting sqref="S289">
    <cfRule type="expression" dxfId="9173" priority="8410" stopIfTrue="1">
      <formula>$C289&lt;&gt;""</formula>
    </cfRule>
  </conditionalFormatting>
  <conditionalFormatting sqref="S285:S288">
    <cfRule type="expression" dxfId="9172" priority="8409" stopIfTrue="1">
      <formula>$B285&lt;&gt;""</formula>
    </cfRule>
  </conditionalFormatting>
  <conditionalFormatting sqref="S285:S288">
    <cfRule type="expression" dxfId="9171" priority="8408" stopIfTrue="1">
      <formula>$C285&lt;&gt;""</formula>
    </cfRule>
  </conditionalFormatting>
  <conditionalFormatting sqref="S289">
    <cfRule type="expression" dxfId="9170" priority="8407" stopIfTrue="1">
      <formula>$B289&lt;&gt;""</formula>
    </cfRule>
  </conditionalFormatting>
  <conditionalFormatting sqref="S289">
    <cfRule type="expression" dxfId="9169" priority="8406" stopIfTrue="1">
      <formula>$C289&lt;&gt;""</formula>
    </cfRule>
  </conditionalFormatting>
  <conditionalFormatting sqref="S289">
    <cfRule type="expression" dxfId="9168" priority="8405" stopIfTrue="1">
      <formula>$B289&lt;&gt;""</formula>
    </cfRule>
  </conditionalFormatting>
  <conditionalFormatting sqref="S289">
    <cfRule type="expression" dxfId="9167" priority="8404" stopIfTrue="1">
      <formula>$C289&lt;&gt;""</formula>
    </cfRule>
  </conditionalFormatting>
  <conditionalFormatting sqref="S285">
    <cfRule type="expression" dxfId="9166" priority="8403" stopIfTrue="1">
      <formula>$C285&lt;&gt;""</formula>
    </cfRule>
  </conditionalFormatting>
  <conditionalFormatting sqref="S285">
    <cfRule type="expression" dxfId="9165" priority="8402" stopIfTrue="1">
      <formula>$B285&lt;&gt;""</formula>
    </cfRule>
  </conditionalFormatting>
  <conditionalFormatting sqref="S286:S289">
    <cfRule type="expression" dxfId="9164" priority="8401" stopIfTrue="1">
      <formula>$C286&lt;&gt;""</formula>
    </cfRule>
  </conditionalFormatting>
  <conditionalFormatting sqref="S286:S289">
    <cfRule type="expression" dxfId="9163" priority="8400" stopIfTrue="1">
      <formula>$B286&lt;&gt;""</formula>
    </cfRule>
  </conditionalFormatting>
  <conditionalFormatting sqref="S288:S289">
    <cfRule type="expression" dxfId="9162" priority="8399" stopIfTrue="1">
      <formula>$C288&lt;&gt;""</formula>
    </cfRule>
  </conditionalFormatting>
  <conditionalFormatting sqref="S288:S289">
    <cfRule type="expression" dxfId="9161" priority="8398" stopIfTrue="1">
      <formula>$B288&lt;&gt;""</formula>
    </cfRule>
  </conditionalFormatting>
  <conditionalFormatting sqref="S290">
    <cfRule type="expression" dxfId="9160" priority="8397" stopIfTrue="1">
      <formula>$B290&lt;&gt;""</formula>
    </cfRule>
  </conditionalFormatting>
  <conditionalFormatting sqref="S290">
    <cfRule type="expression" dxfId="9159" priority="8396" stopIfTrue="1">
      <formula>$C290&lt;&gt;""</formula>
    </cfRule>
  </conditionalFormatting>
  <conditionalFormatting sqref="S290">
    <cfRule type="expression" dxfId="9158" priority="8395" stopIfTrue="1">
      <formula>$B290&lt;&gt;""</formula>
    </cfRule>
  </conditionalFormatting>
  <conditionalFormatting sqref="S290">
    <cfRule type="expression" dxfId="9157" priority="8394" stopIfTrue="1">
      <formula>$C290&lt;&gt;""</formula>
    </cfRule>
  </conditionalFormatting>
  <conditionalFormatting sqref="S290">
    <cfRule type="expression" dxfId="9156" priority="8393" stopIfTrue="1">
      <formula>$B290&lt;&gt;""</formula>
    </cfRule>
  </conditionalFormatting>
  <conditionalFormatting sqref="S290">
    <cfRule type="expression" dxfId="9155" priority="8392" stopIfTrue="1">
      <formula>$C290&lt;&gt;""</formula>
    </cfRule>
  </conditionalFormatting>
  <conditionalFormatting sqref="S290">
    <cfRule type="expression" dxfId="9154" priority="8391" stopIfTrue="1">
      <formula>$B290&lt;&gt;""</formula>
    </cfRule>
  </conditionalFormatting>
  <conditionalFormatting sqref="S290">
    <cfRule type="expression" dxfId="9153" priority="8390" stopIfTrue="1">
      <formula>$C290&lt;&gt;""</formula>
    </cfRule>
  </conditionalFormatting>
  <conditionalFormatting sqref="S290">
    <cfRule type="expression" dxfId="9152" priority="8389" stopIfTrue="1">
      <formula>$B290&lt;&gt;""</formula>
    </cfRule>
  </conditionalFormatting>
  <conditionalFormatting sqref="S290">
    <cfRule type="expression" dxfId="9151" priority="8388" stopIfTrue="1">
      <formula>$C290&lt;&gt;""</formula>
    </cfRule>
  </conditionalFormatting>
  <conditionalFormatting sqref="S290">
    <cfRule type="expression" dxfId="9150" priority="8387" stopIfTrue="1">
      <formula>$B290&lt;&gt;""</formula>
    </cfRule>
  </conditionalFormatting>
  <conditionalFormatting sqref="S290">
    <cfRule type="expression" dxfId="9149" priority="8386" stopIfTrue="1">
      <formula>$C290&lt;&gt;""</formula>
    </cfRule>
  </conditionalFormatting>
  <conditionalFormatting sqref="S290">
    <cfRule type="expression" dxfId="9148" priority="8385" stopIfTrue="1">
      <formula>$B290&lt;&gt;""</formula>
    </cfRule>
  </conditionalFormatting>
  <conditionalFormatting sqref="S290">
    <cfRule type="expression" dxfId="9147" priority="8384" stopIfTrue="1">
      <formula>$C290&lt;&gt;""</formula>
    </cfRule>
  </conditionalFormatting>
  <conditionalFormatting sqref="S290">
    <cfRule type="expression" dxfId="9146" priority="8383" stopIfTrue="1">
      <formula>$B290&lt;&gt;""</formula>
    </cfRule>
  </conditionalFormatting>
  <conditionalFormatting sqref="S290">
    <cfRule type="expression" dxfId="9145" priority="8382" stopIfTrue="1">
      <formula>$C290&lt;&gt;""</formula>
    </cfRule>
  </conditionalFormatting>
  <conditionalFormatting sqref="S290">
    <cfRule type="expression" dxfId="9144" priority="8381" stopIfTrue="1">
      <formula>$B290&lt;&gt;""</formula>
    </cfRule>
  </conditionalFormatting>
  <conditionalFormatting sqref="S290">
    <cfRule type="expression" dxfId="9143" priority="8380" stopIfTrue="1">
      <formula>$C290&lt;&gt;""</formula>
    </cfRule>
  </conditionalFormatting>
  <conditionalFormatting sqref="S290">
    <cfRule type="expression" dxfId="9142" priority="8379" stopIfTrue="1">
      <formula>$B290&lt;&gt;""</formula>
    </cfRule>
  </conditionalFormatting>
  <conditionalFormatting sqref="S290">
    <cfRule type="expression" dxfId="9141" priority="8378" stopIfTrue="1">
      <formula>$C290&lt;&gt;""</formula>
    </cfRule>
  </conditionalFormatting>
  <conditionalFormatting sqref="S290">
    <cfRule type="expression" dxfId="9140" priority="8377" stopIfTrue="1">
      <formula>$B290&lt;&gt;""</formula>
    </cfRule>
  </conditionalFormatting>
  <conditionalFormatting sqref="S290">
    <cfRule type="expression" dxfId="9139" priority="8376" stopIfTrue="1">
      <formula>$C290&lt;&gt;""</formula>
    </cfRule>
  </conditionalFormatting>
  <conditionalFormatting sqref="S290">
    <cfRule type="expression" dxfId="9138" priority="8375" stopIfTrue="1">
      <formula>$B290&lt;&gt;""</formula>
    </cfRule>
  </conditionalFormatting>
  <conditionalFormatting sqref="S290">
    <cfRule type="expression" dxfId="9137" priority="8374" stopIfTrue="1">
      <formula>$C290&lt;&gt;""</formula>
    </cfRule>
  </conditionalFormatting>
  <conditionalFormatting sqref="S290">
    <cfRule type="expression" dxfId="9136" priority="8373" stopIfTrue="1">
      <formula>$B290&lt;&gt;""</formula>
    </cfRule>
  </conditionalFormatting>
  <conditionalFormatting sqref="S290">
    <cfRule type="expression" dxfId="9135" priority="8372" stopIfTrue="1">
      <formula>$C290&lt;&gt;""</formula>
    </cfRule>
  </conditionalFormatting>
  <conditionalFormatting sqref="S290">
    <cfRule type="expression" dxfId="9134" priority="8371" stopIfTrue="1">
      <formula>$B290&lt;&gt;""</formula>
    </cfRule>
  </conditionalFormatting>
  <conditionalFormatting sqref="S290">
    <cfRule type="expression" dxfId="9133" priority="8370" stopIfTrue="1">
      <formula>$C290&lt;&gt;""</formula>
    </cfRule>
  </conditionalFormatting>
  <conditionalFormatting sqref="S290">
    <cfRule type="expression" dxfId="9132" priority="8369" stopIfTrue="1">
      <formula>$C290&lt;&gt;""</formula>
    </cfRule>
  </conditionalFormatting>
  <conditionalFormatting sqref="S290">
    <cfRule type="expression" dxfId="9131" priority="8368" stopIfTrue="1">
      <formula>$B290&lt;&gt;""</formula>
    </cfRule>
  </conditionalFormatting>
  <conditionalFormatting sqref="S290">
    <cfRule type="expression" dxfId="9130" priority="8367" stopIfTrue="1">
      <formula>$C290&lt;&gt;""</formula>
    </cfRule>
  </conditionalFormatting>
  <conditionalFormatting sqref="S290">
    <cfRule type="expression" dxfId="9129" priority="8366" stopIfTrue="1">
      <formula>$B290&lt;&gt;""</formula>
    </cfRule>
  </conditionalFormatting>
  <conditionalFormatting sqref="S290">
    <cfRule type="expression" dxfId="9128" priority="8365" stopIfTrue="1">
      <formula>$B290&lt;&gt;""</formula>
    </cfRule>
  </conditionalFormatting>
  <conditionalFormatting sqref="S290">
    <cfRule type="expression" dxfId="9127" priority="8364" stopIfTrue="1">
      <formula>$C290&lt;&gt;""</formula>
    </cfRule>
  </conditionalFormatting>
  <conditionalFormatting sqref="S290">
    <cfRule type="expression" dxfId="9126" priority="8363" stopIfTrue="1">
      <formula>$B290&lt;&gt;""</formula>
    </cfRule>
  </conditionalFormatting>
  <conditionalFormatting sqref="S290">
    <cfRule type="expression" dxfId="9125" priority="8362" stopIfTrue="1">
      <formula>$C290&lt;&gt;""</formula>
    </cfRule>
  </conditionalFormatting>
  <conditionalFormatting sqref="S290">
    <cfRule type="expression" dxfId="9124" priority="8361" stopIfTrue="1">
      <formula>$B290&lt;&gt;""</formula>
    </cfRule>
  </conditionalFormatting>
  <conditionalFormatting sqref="S290">
    <cfRule type="expression" dxfId="9123" priority="8360" stopIfTrue="1">
      <formula>$C290&lt;&gt;""</formula>
    </cfRule>
  </conditionalFormatting>
  <conditionalFormatting sqref="S290">
    <cfRule type="expression" dxfId="9122" priority="8359" stopIfTrue="1">
      <formula>$B290&lt;&gt;""</formula>
    </cfRule>
  </conditionalFormatting>
  <conditionalFormatting sqref="S290">
    <cfRule type="expression" dxfId="9121" priority="8358" stopIfTrue="1">
      <formula>$C290&lt;&gt;""</formula>
    </cfRule>
  </conditionalFormatting>
  <conditionalFormatting sqref="S290">
    <cfRule type="expression" dxfId="9120" priority="8357" stopIfTrue="1">
      <formula>$B290&lt;&gt;""</formula>
    </cfRule>
  </conditionalFormatting>
  <conditionalFormatting sqref="S290">
    <cfRule type="expression" dxfId="9119" priority="8356" stopIfTrue="1">
      <formula>$C290&lt;&gt;""</formula>
    </cfRule>
  </conditionalFormatting>
  <conditionalFormatting sqref="S290">
    <cfRule type="expression" dxfId="9118" priority="8355" stopIfTrue="1">
      <formula>$C290&lt;&gt;""</formula>
    </cfRule>
  </conditionalFormatting>
  <conditionalFormatting sqref="S290">
    <cfRule type="expression" dxfId="9117" priority="8354" stopIfTrue="1">
      <formula>$B290&lt;&gt;""</formula>
    </cfRule>
  </conditionalFormatting>
  <conditionalFormatting sqref="S290">
    <cfRule type="expression" dxfId="9116" priority="8353" stopIfTrue="1">
      <formula>$C290&lt;&gt;""</formula>
    </cfRule>
  </conditionalFormatting>
  <conditionalFormatting sqref="S290">
    <cfRule type="expression" dxfId="9115" priority="8352" stopIfTrue="1">
      <formula>$B290&lt;&gt;""</formula>
    </cfRule>
  </conditionalFormatting>
  <conditionalFormatting sqref="S290">
    <cfRule type="expression" dxfId="9114" priority="8351" stopIfTrue="1">
      <formula>$B290&lt;&gt;""</formula>
    </cfRule>
  </conditionalFormatting>
  <conditionalFormatting sqref="S290">
    <cfRule type="expression" dxfId="9113" priority="8350" stopIfTrue="1">
      <formula>$C290&lt;&gt;""</formula>
    </cfRule>
  </conditionalFormatting>
  <conditionalFormatting sqref="S291">
    <cfRule type="expression" dxfId="9112" priority="8349" stopIfTrue="1">
      <formula>$B291&lt;&gt;""</formula>
    </cfRule>
  </conditionalFormatting>
  <conditionalFormatting sqref="S291">
    <cfRule type="expression" dxfId="9111" priority="8348" stopIfTrue="1">
      <formula>$C291&lt;&gt;""</formula>
    </cfRule>
  </conditionalFormatting>
  <conditionalFormatting sqref="S290">
    <cfRule type="expression" dxfId="9110" priority="8347" stopIfTrue="1">
      <formula>$B290&lt;&gt;""</formula>
    </cfRule>
  </conditionalFormatting>
  <conditionalFormatting sqref="S290">
    <cfRule type="expression" dxfId="9109" priority="8346" stopIfTrue="1">
      <formula>$C290&lt;&gt;""</formula>
    </cfRule>
  </conditionalFormatting>
  <conditionalFormatting sqref="S291:S294">
    <cfRule type="expression" dxfId="9108" priority="8345" stopIfTrue="1">
      <formula>$B291&lt;&gt;""</formula>
    </cfRule>
  </conditionalFormatting>
  <conditionalFormatting sqref="S291:S294">
    <cfRule type="expression" dxfId="9107" priority="8344" stopIfTrue="1">
      <formula>$C291&lt;&gt;""</formula>
    </cfRule>
  </conditionalFormatting>
  <conditionalFormatting sqref="S290">
    <cfRule type="expression" dxfId="9106" priority="8343" stopIfTrue="1">
      <formula>$B290&lt;&gt;""</formula>
    </cfRule>
  </conditionalFormatting>
  <conditionalFormatting sqref="S290">
    <cfRule type="expression" dxfId="9105" priority="8342" stopIfTrue="1">
      <formula>$C290&lt;&gt;""</formula>
    </cfRule>
  </conditionalFormatting>
  <conditionalFormatting sqref="S291:S294">
    <cfRule type="expression" dxfId="9104" priority="8341" stopIfTrue="1">
      <formula>$B291&lt;&gt;""</formula>
    </cfRule>
  </conditionalFormatting>
  <conditionalFormatting sqref="S291:S294">
    <cfRule type="expression" dxfId="9103" priority="8340" stopIfTrue="1">
      <formula>$C291&lt;&gt;""</formula>
    </cfRule>
  </conditionalFormatting>
  <conditionalFormatting sqref="S290:S294">
    <cfRule type="expression" dxfId="9102" priority="8339" stopIfTrue="1">
      <formula>$B290&lt;&gt;""</formula>
    </cfRule>
  </conditionalFormatting>
  <conditionalFormatting sqref="S290:S294">
    <cfRule type="expression" dxfId="9101" priority="8338" stopIfTrue="1">
      <formula>$C290&lt;&gt;""</formula>
    </cfRule>
  </conditionalFormatting>
  <conditionalFormatting sqref="S290:S294">
    <cfRule type="expression" dxfId="9100" priority="8337" stopIfTrue="1">
      <formula>$B290&lt;&gt;""</formula>
    </cfRule>
  </conditionalFormatting>
  <conditionalFormatting sqref="S290:S294">
    <cfRule type="expression" dxfId="9099" priority="8336" stopIfTrue="1">
      <formula>$C290&lt;&gt;""</formula>
    </cfRule>
  </conditionalFormatting>
  <conditionalFormatting sqref="S290:S294">
    <cfRule type="expression" dxfId="9098" priority="8335" stopIfTrue="1">
      <formula>$B290&lt;&gt;""</formula>
    </cfRule>
  </conditionalFormatting>
  <conditionalFormatting sqref="S290:S294">
    <cfRule type="expression" dxfId="9097" priority="8334" stopIfTrue="1">
      <formula>$C290&lt;&gt;""</formula>
    </cfRule>
  </conditionalFormatting>
  <conditionalFormatting sqref="S290:S294">
    <cfRule type="expression" dxfId="9096" priority="8333" stopIfTrue="1">
      <formula>$B290&lt;&gt;""</formula>
    </cfRule>
  </conditionalFormatting>
  <conditionalFormatting sqref="S290:S294">
    <cfRule type="expression" dxfId="9095" priority="8332" stopIfTrue="1">
      <formula>$C290&lt;&gt;""</formula>
    </cfRule>
  </conditionalFormatting>
  <conditionalFormatting sqref="S290:S294">
    <cfRule type="expression" dxfId="9094" priority="8331" stopIfTrue="1">
      <formula>$B290&lt;&gt;""</formula>
    </cfRule>
  </conditionalFormatting>
  <conditionalFormatting sqref="S290:S294">
    <cfRule type="expression" dxfId="9093" priority="8330" stopIfTrue="1">
      <formula>$C290&lt;&gt;""</formula>
    </cfRule>
  </conditionalFormatting>
  <conditionalFormatting sqref="S290:S294">
    <cfRule type="expression" dxfId="9092" priority="8329" stopIfTrue="1">
      <formula>$B290&lt;&gt;""</formula>
    </cfRule>
  </conditionalFormatting>
  <conditionalFormatting sqref="S290:S294">
    <cfRule type="expression" dxfId="9091" priority="8328" stopIfTrue="1">
      <formula>$C290&lt;&gt;""</formula>
    </cfRule>
  </conditionalFormatting>
  <conditionalFormatting sqref="S290:S294">
    <cfRule type="expression" dxfId="9090" priority="8327" stopIfTrue="1">
      <formula>$B290&lt;&gt;""</formula>
    </cfRule>
  </conditionalFormatting>
  <conditionalFormatting sqref="S290:S294">
    <cfRule type="expression" dxfId="9089" priority="8326" stopIfTrue="1">
      <formula>$C290&lt;&gt;""</formula>
    </cfRule>
  </conditionalFormatting>
  <conditionalFormatting sqref="S290:S293">
    <cfRule type="expression" dxfId="9088" priority="8325" stopIfTrue="1">
      <formula>$B290&lt;&gt;""</formula>
    </cfRule>
  </conditionalFormatting>
  <conditionalFormatting sqref="S290:S293">
    <cfRule type="expression" dxfId="9087" priority="8324" stopIfTrue="1">
      <formula>$C290&lt;&gt;""</formula>
    </cfRule>
  </conditionalFormatting>
  <conditionalFormatting sqref="S294">
    <cfRule type="expression" dxfId="9086" priority="8323" stopIfTrue="1">
      <formula>$B294&lt;&gt;""</formula>
    </cfRule>
  </conditionalFormatting>
  <conditionalFormatting sqref="S294">
    <cfRule type="expression" dxfId="9085" priority="8322" stopIfTrue="1">
      <formula>$C294&lt;&gt;""</formula>
    </cfRule>
  </conditionalFormatting>
  <conditionalFormatting sqref="S290:S292">
    <cfRule type="expression" dxfId="9084" priority="8321" stopIfTrue="1">
      <formula>$B290&lt;&gt;""</formula>
    </cfRule>
  </conditionalFormatting>
  <conditionalFormatting sqref="S290:S292">
    <cfRule type="expression" dxfId="9083" priority="8320" stopIfTrue="1">
      <formula>$C290&lt;&gt;""</formula>
    </cfRule>
  </conditionalFormatting>
  <conditionalFormatting sqref="S293:S294">
    <cfRule type="expression" dxfId="9082" priority="8319" stopIfTrue="1">
      <formula>$B293&lt;&gt;""</formula>
    </cfRule>
  </conditionalFormatting>
  <conditionalFormatting sqref="S293:S294">
    <cfRule type="expression" dxfId="9081" priority="8318" stopIfTrue="1">
      <formula>$C293&lt;&gt;""</formula>
    </cfRule>
  </conditionalFormatting>
  <conditionalFormatting sqref="S290:S293">
    <cfRule type="expression" dxfId="9080" priority="8317" stopIfTrue="1">
      <formula>$B290&lt;&gt;""</formula>
    </cfRule>
  </conditionalFormatting>
  <conditionalFormatting sqref="S290:S293">
    <cfRule type="expression" dxfId="9079" priority="8316" stopIfTrue="1">
      <formula>$C290&lt;&gt;""</formula>
    </cfRule>
  </conditionalFormatting>
  <conditionalFormatting sqref="S290:S293">
    <cfRule type="expression" dxfId="9078" priority="8315" stopIfTrue="1">
      <formula>$B290&lt;&gt;""</formula>
    </cfRule>
  </conditionalFormatting>
  <conditionalFormatting sqref="S290:S293">
    <cfRule type="expression" dxfId="9077" priority="8314" stopIfTrue="1">
      <formula>$C290&lt;&gt;""</formula>
    </cfRule>
  </conditionalFormatting>
  <conditionalFormatting sqref="S294">
    <cfRule type="expression" dxfId="9076" priority="8313" stopIfTrue="1">
      <formula>$B294&lt;&gt;""</formula>
    </cfRule>
  </conditionalFormatting>
  <conditionalFormatting sqref="S294">
    <cfRule type="expression" dxfId="9075" priority="8312" stopIfTrue="1">
      <formula>$C294&lt;&gt;""</formula>
    </cfRule>
  </conditionalFormatting>
  <conditionalFormatting sqref="S290:S293">
    <cfRule type="expression" dxfId="9074" priority="8311" stopIfTrue="1">
      <formula>$B290&lt;&gt;""</formula>
    </cfRule>
  </conditionalFormatting>
  <conditionalFormatting sqref="S290:S293">
    <cfRule type="expression" dxfId="9073" priority="8310" stopIfTrue="1">
      <formula>$C290&lt;&gt;""</formula>
    </cfRule>
  </conditionalFormatting>
  <conditionalFormatting sqref="S294">
    <cfRule type="expression" dxfId="9072" priority="8309" stopIfTrue="1">
      <formula>$B294&lt;&gt;""</formula>
    </cfRule>
  </conditionalFormatting>
  <conditionalFormatting sqref="S294">
    <cfRule type="expression" dxfId="9071" priority="8308" stopIfTrue="1">
      <formula>$C294&lt;&gt;""</formula>
    </cfRule>
  </conditionalFormatting>
  <conditionalFormatting sqref="S294">
    <cfRule type="expression" dxfId="9070" priority="8307" stopIfTrue="1">
      <formula>$B294&lt;&gt;""</formula>
    </cfRule>
  </conditionalFormatting>
  <conditionalFormatting sqref="S294">
    <cfRule type="expression" dxfId="9069" priority="8306" stopIfTrue="1">
      <formula>$C294&lt;&gt;""</formula>
    </cfRule>
  </conditionalFormatting>
  <conditionalFormatting sqref="S290">
    <cfRule type="expression" dxfId="9068" priority="8305" stopIfTrue="1">
      <formula>$C290&lt;&gt;""</formula>
    </cfRule>
  </conditionalFormatting>
  <conditionalFormatting sqref="S290">
    <cfRule type="expression" dxfId="9067" priority="8304" stopIfTrue="1">
      <formula>$B290&lt;&gt;""</formula>
    </cfRule>
  </conditionalFormatting>
  <conditionalFormatting sqref="S291:S294">
    <cfRule type="expression" dxfId="9066" priority="8303" stopIfTrue="1">
      <formula>$C291&lt;&gt;""</formula>
    </cfRule>
  </conditionalFormatting>
  <conditionalFormatting sqref="S291:S294">
    <cfRule type="expression" dxfId="9065" priority="8302" stopIfTrue="1">
      <formula>$B291&lt;&gt;""</formula>
    </cfRule>
  </conditionalFormatting>
  <conditionalFormatting sqref="S293:S294">
    <cfRule type="expression" dxfId="9064" priority="8301" stopIfTrue="1">
      <formula>$C293&lt;&gt;""</formula>
    </cfRule>
  </conditionalFormatting>
  <conditionalFormatting sqref="S293:S294">
    <cfRule type="expression" dxfId="9063" priority="8300" stopIfTrue="1">
      <formula>$B293&lt;&gt;""</formula>
    </cfRule>
  </conditionalFormatting>
  <conditionalFormatting sqref="S290:S293">
    <cfRule type="expression" dxfId="9062" priority="8299" stopIfTrue="1">
      <formula>$B290&lt;&gt;""</formula>
    </cfRule>
  </conditionalFormatting>
  <conditionalFormatting sqref="S290:S293">
    <cfRule type="expression" dxfId="9061" priority="8298" stopIfTrue="1">
      <formula>$C290&lt;&gt;""</formula>
    </cfRule>
  </conditionalFormatting>
  <conditionalFormatting sqref="S294">
    <cfRule type="expression" dxfId="9060" priority="8297" stopIfTrue="1">
      <formula>$B294&lt;&gt;""</formula>
    </cfRule>
  </conditionalFormatting>
  <conditionalFormatting sqref="S294">
    <cfRule type="expression" dxfId="9059" priority="8296" stopIfTrue="1">
      <formula>$C294&lt;&gt;""</formula>
    </cfRule>
  </conditionalFormatting>
  <conditionalFormatting sqref="S290:S292">
    <cfRule type="expression" dxfId="9058" priority="8295" stopIfTrue="1">
      <formula>$B290&lt;&gt;""</formula>
    </cfRule>
  </conditionalFormatting>
  <conditionalFormatting sqref="S290:S292">
    <cfRule type="expression" dxfId="9057" priority="8294" stopIfTrue="1">
      <formula>$C290&lt;&gt;""</formula>
    </cfRule>
  </conditionalFormatting>
  <conditionalFormatting sqref="S293:S294">
    <cfRule type="expression" dxfId="9056" priority="8293" stopIfTrue="1">
      <formula>$B293&lt;&gt;""</formula>
    </cfRule>
  </conditionalFormatting>
  <conditionalFormatting sqref="S293:S294">
    <cfRule type="expression" dxfId="9055" priority="8292" stopIfTrue="1">
      <formula>$C293&lt;&gt;""</formula>
    </cfRule>
  </conditionalFormatting>
  <conditionalFormatting sqref="S290:S293">
    <cfRule type="expression" dxfId="9054" priority="8291" stopIfTrue="1">
      <formula>$B290&lt;&gt;""</formula>
    </cfRule>
  </conditionalFormatting>
  <conditionalFormatting sqref="S290:S293">
    <cfRule type="expression" dxfId="9053" priority="8290" stopIfTrue="1">
      <formula>$C290&lt;&gt;""</formula>
    </cfRule>
  </conditionalFormatting>
  <conditionalFormatting sqref="S290:S293">
    <cfRule type="expression" dxfId="9052" priority="8289" stopIfTrue="1">
      <formula>$B290&lt;&gt;""</formula>
    </cfRule>
  </conditionalFormatting>
  <conditionalFormatting sqref="S290:S293">
    <cfRule type="expression" dxfId="9051" priority="8288" stopIfTrue="1">
      <formula>$C290&lt;&gt;""</formula>
    </cfRule>
  </conditionalFormatting>
  <conditionalFormatting sqref="S294">
    <cfRule type="expression" dxfId="9050" priority="8287" stopIfTrue="1">
      <formula>$B294&lt;&gt;""</formula>
    </cfRule>
  </conditionalFormatting>
  <conditionalFormatting sqref="S294">
    <cfRule type="expression" dxfId="9049" priority="8286" stopIfTrue="1">
      <formula>$C294&lt;&gt;""</formula>
    </cfRule>
  </conditionalFormatting>
  <conditionalFormatting sqref="S290:S293">
    <cfRule type="expression" dxfId="9048" priority="8285" stopIfTrue="1">
      <formula>$B290&lt;&gt;""</formula>
    </cfRule>
  </conditionalFormatting>
  <conditionalFormatting sqref="S290:S293">
    <cfRule type="expression" dxfId="9047" priority="8284" stopIfTrue="1">
      <formula>$C290&lt;&gt;""</formula>
    </cfRule>
  </conditionalFormatting>
  <conditionalFormatting sqref="S294">
    <cfRule type="expression" dxfId="9046" priority="8283" stopIfTrue="1">
      <formula>$B294&lt;&gt;""</formula>
    </cfRule>
  </conditionalFormatting>
  <conditionalFormatting sqref="S294">
    <cfRule type="expression" dxfId="9045" priority="8282" stopIfTrue="1">
      <formula>$C294&lt;&gt;""</formula>
    </cfRule>
  </conditionalFormatting>
  <conditionalFormatting sqref="S294">
    <cfRule type="expression" dxfId="9044" priority="8281" stopIfTrue="1">
      <formula>$B294&lt;&gt;""</formula>
    </cfRule>
  </conditionalFormatting>
  <conditionalFormatting sqref="S294">
    <cfRule type="expression" dxfId="9043" priority="8280" stopIfTrue="1">
      <formula>$C294&lt;&gt;""</formula>
    </cfRule>
  </conditionalFormatting>
  <conditionalFormatting sqref="S290">
    <cfRule type="expression" dxfId="9042" priority="8279" stopIfTrue="1">
      <formula>$C290&lt;&gt;""</formula>
    </cfRule>
  </conditionalFormatting>
  <conditionalFormatting sqref="S290">
    <cfRule type="expression" dxfId="9041" priority="8278" stopIfTrue="1">
      <formula>$B290&lt;&gt;""</formula>
    </cfRule>
  </conditionalFormatting>
  <conditionalFormatting sqref="S291:S294">
    <cfRule type="expression" dxfId="9040" priority="8277" stopIfTrue="1">
      <formula>$C291&lt;&gt;""</formula>
    </cfRule>
  </conditionalFormatting>
  <conditionalFormatting sqref="S291:S294">
    <cfRule type="expression" dxfId="9039" priority="8276" stopIfTrue="1">
      <formula>$B291&lt;&gt;""</formula>
    </cfRule>
  </conditionalFormatting>
  <conditionalFormatting sqref="S293:S294">
    <cfRule type="expression" dxfId="9038" priority="8275" stopIfTrue="1">
      <formula>$C293&lt;&gt;""</formula>
    </cfRule>
  </conditionalFormatting>
  <conditionalFormatting sqref="S293:S294">
    <cfRule type="expression" dxfId="9037" priority="8274" stopIfTrue="1">
      <formula>$B293&lt;&gt;""</formula>
    </cfRule>
  </conditionalFormatting>
  <conditionalFormatting sqref="S285">
    <cfRule type="expression" dxfId="9036" priority="8273" stopIfTrue="1">
      <formula>$B285&lt;&gt;""</formula>
    </cfRule>
  </conditionalFormatting>
  <conditionalFormatting sqref="S285">
    <cfRule type="expression" dxfId="9035" priority="8272" stopIfTrue="1">
      <formula>$C285&lt;&gt;""</formula>
    </cfRule>
  </conditionalFormatting>
  <conditionalFormatting sqref="S286">
    <cfRule type="expression" dxfId="9034" priority="8271" stopIfTrue="1">
      <formula>$B286&lt;&gt;""</formula>
    </cfRule>
  </conditionalFormatting>
  <conditionalFormatting sqref="S286">
    <cfRule type="expression" dxfId="9033" priority="8270" stopIfTrue="1">
      <formula>$C286&lt;&gt;""</formula>
    </cfRule>
  </conditionalFormatting>
  <conditionalFormatting sqref="S285">
    <cfRule type="expression" dxfId="9032" priority="8269" stopIfTrue="1">
      <formula>$B285&lt;&gt;""</formula>
    </cfRule>
  </conditionalFormatting>
  <conditionalFormatting sqref="S285">
    <cfRule type="expression" dxfId="9031" priority="8268" stopIfTrue="1">
      <formula>$C285&lt;&gt;""</formula>
    </cfRule>
  </conditionalFormatting>
  <conditionalFormatting sqref="S286:S289">
    <cfRule type="expression" dxfId="9030" priority="8267" stopIfTrue="1">
      <formula>$B286&lt;&gt;""</formula>
    </cfRule>
  </conditionalFormatting>
  <conditionalFormatting sqref="S286:S289">
    <cfRule type="expression" dxfId="9029" priority="8266" stopIfTrue="1">
      <formula>$C286&lt;&gt;""</formula>
    </cfRule>
  </conditionalFormatting>
  <conditionalFormatting sqref="S285">
    <cfRule type="expression" dxfId="9028" priority="8265" stopIfTrue="1">
      <formula>$B285&lt;&gt;""</formula>
    </cfRule>
  </conditionalFormatting>
  <conditionalFormatting sqref="S285">
    <cfRule type="expression" dxfId="9027" priority="8264" stopIfTrue="1">
      <formula>$C285&lt;&gt;""</formula>
    </cfRule>
  </conditionalFormatting>
  <conditionalFormatting sqref="S286:S289">
    <cfRule type="expression" dxfId="9026" priority="8263" stopIfTrue="1">
      <formula>$B286&lt;&gt;""</formula>
    </cfRule>
  </conditionalFormatting>
  <conditionalFormatting sqref="S286:S289">
    <cfRule type="expression" dxfId="9025" priority="8262" stopIfTrue="1">
      <formula>$C286&lt;&gt;""</formula>
    </cfRule>
  </conditionalFormatting>
  <conditionalFormatting sqref="S285:S289">
    <cfRule type="expression" dxfId="9024" priority="8261" stopIfTrue="1">
      <formula>$B285&lt;&gt;""</formula>
    </cfRule>
  </conditionalFormatting>
  <conditionalFormatting sqref="S285:S289">
    <cfRule type="expression" dxfId="9023" priority="8260" stopIfTrue="1">
      <formula>$C285&lt;&gt;""</formula>
    </cfRule>
  </conditionalFormatting>
  <conditionalFormatting sqref="S285:S289">
    <cfRule type="expression" dxfId="9022" priority="8259" stopIfTrue="1">
      <formula>$B285&lt;&gt;""</formula>
    </cfRule>
  </conditionalFormatting>
  <conditionalFormatting sqref="S285:S289">
    <cfRule type="expression" dxfId="9021" priority="8258" stopIfTrue="1">
      <formula>$C285&lt;&gt;""</formula>
    </cfRule>
  </conditionalFormatting>
  <conditionalFormatting sqref="S285:S289">
    <cfRule type="expression" dxfId="9020" priority="8257" stopIfTrue="1">
      <formula>$B285&lt;&gt;""</formula>
    </cfRule>
  </conditionalFormatting>
  <conditionalFormatting sqref="S285:S289">
    <cfRule type="expression" dxfId="9019" priority="8256" stopIfTrue="1">
      <formula>$C285&lt;&gt;""</formula>
    </cfRule>
  </conditionalFormatting>
  <conditionalFormatting sqref="S285:S289">
    <cfRule type="expression" dxfId="9018" priority="8255" stopIfTrue="1">
      <formula>$B285&lt;&gt;""</formula>
    </cfRule>
  </conditionalFormatting>
  <conditionalFormatting sqref="S285:S289">
    <cfRule type="expression" dxfId="9017" priority="8254" stopIfTrue="1">
      <formula>$C285&lt;&gt;""</formula>
    </cfRule>
  </conditionalFormatting>
  <conditionalFormatting sqref="S285:S289">
    <cfRule type="expression" dxfId="9016" priority="8253" stopIfTrue="1">
      <formula>$B285&lt;&gt;""</formula>
    </cfRule>
  </conditionalFormatting>
  <conditionalFormatting sqref="S285:S289">
    <cfRule type="expression" dxfId="9015" priority="8252" stopIfTrue="1">
      <formula>$C285&lt;&gt;""</formula>
    </cfRule>
  </conditionalFormatting>
  <conditionalFormatting sqref="S285:S289">
    <cfRule type="expression" dxfId="9014" priority="8251" stopIfTrue="1">
      <formula>$B285&lt;&gt;""</formula>
    </cfRule>
  </conditionalFormatting>
  <conditionalFormatting sqref="S285:S289">
    <cfRule type="expression" dxfId="9013" priority="8250" stopIfTrue="1">
      <formula>$C285&lt;&gt;""</formula>
    </cfRule>
  </conditionalFormatting>
  <conditionalFormatting sqref="S285:S289">
    <cfRule type="expression" dxfId="9012" priority="8249" stopIfTrue="1">
      <formula>$B285&lt;&gt;""</formula>
    </cfRule>
  </conditionalFormatting>
  <conditionalFormatting sqref="S285:S289">
    <cfRule type="expression" dxfId="9011" priority="8248" stopIfTrue="1">
      <formula>$C285&lt;&gt;""</formula>
    </cfRule>
  </conditionalFormatting>
  <conditionalFormatting sqref="S285:S288">
    <cfRule type="expression" dxfId="9010" priority="8247" stopIfTrue="1">
      <formula>$B285&lt;&gt;""</formula>
    </cfRule>
  </conditionalFormatting>
  <conditionalFormatting sqref="S285:S288">
    <cfRule type="expression" dxfId="9009" priority="8246" stopIfTrue="1">
      <formula>$C285&lt;&gt;""</formula>
    </cfRule>
  </conditionalFormatting>
  <conditionalFormatting sqref="S289">
    <cfRule type="expression" dxfId="9008" priority="8245" stopIfTrue="1">
      <formula>$B289&lt;&gt;""</formula>
    </cfRule>
  </conditionalFormatting>
  <conditionalFormatting sqref="S289">
    <cfRule type="expression" dxfId="9007" priority="8244" stopIfTrue="1">
      <formula>$C289&lt;&gt;""</formula>
    </cfRule>
  </conditionalFormatting>
  <conditionalFormatting sqref="S285:S287">
    <cfRule type="expression" dxfId="9006" priority="8243" stopIfTrue="1">
      <formula>$B285&lt;&gt;""</formula>
    </cfRule>
  </conditionalFormatting>
  <conditionalFormatting sqref="S285:S287">
    <cfRule type="expression" dxfId="9005" priority="8242" stopIfTrue="1">
      <formula>$C285&lt;&gt;""</formula>
    </cfRule>
  </conditionalFormatting>
  <conditionalFormatting sqref="S288:S289">
    <cfRule type="expression" dxfId="9004" priority="8241" stopIfTrue="1">
      <formula>$B288&lt;&gt;""</formula>
    </cfRule>
  </conditionalFormatting>
  <conditionalFormatting sqref="S288:S289">
    <cfRule type="expression" dxfId="9003" priority="8240" stopIfTrue="1">
      <formula>$C288&lt;&gt;""</formula>
    </cfRule>
  </conditionalFormatting>
  <conditionalFormatting sqref="S285:S288">
    <cfRule type="expression" dxfId="9002" priority="8239" stopIfTrue="1">
      <formula>$B285&lt;&gt;""</formula>
    </cfRule>
  </conditionalFormatting>
  <conditionalFormatting sqref="S285:S288">
    <cfRule type="expression" dxfId="9001" priority="8238" stopIfTrue="1">
      <formula>$C285&lt;&gt;""</formula>
    </cfRule>
  </conditionalFormatting>
  <conditionalFormatting sqref="S285:S288">
    <cfRule type="expression" dxfId="9000" priority="8237" stopIfTrue="1">
      <formula>$B285&lt;&gt;""</formula>
    </cfRule>
  </conditionalFormatting>
  <conditionalFormatting sqref="S285:S288">
    <cfRule type="expression" dxfId="8999" priority="8236" stopIfTrue="1">
      <formula>$C285&lt;&gt;""</formula>
    </cfRule>
  </conditionalFormatting>
  <conditionalFormatting sqref="S289">
    <cfRule type="expression" dxfId="8998" priority="8235" stopIfTrue="1">
      <formula>$B289&lt;&gt;""</formula>
    </cfRule>
  </conditionalFormatting>
  <conditionalFormatting sqref="S289">
    <cfRule type="expression" dxfId="8997" priority="8234" stopIfTrue="1">
      <formula>$C289&lt;&gt;""</formula>
    </cfRule>
  </conditionalFormatting>
  <conditionalFormatting sqref="S285:S288">
    <cfRule type="expression" dxfId="8996" priority="8233" stopIfTrue="1">
      <formula>$B285&lt;&gt;""</formula>
    </cfRule>
  </conditionalFormatting>
  <conditionalFormatting sqref="S285:S288">
    <cfRule type="expression" dxfId="8995" priority="8232" stopIfTrue="1">
      <formula>$C285&lt;&gt;""</formula>
    </cfRule>
  </conditionalFormatting>
  <conditionalFormatting sqref="S289">
    <cfRule type="expression" dxfId="8994" priority="8231" stopIfTrue="1">
      <formula>$B289&lt;&gt;""</formula>
    </cfRule>
  </conditionalFormatting>
  <conditionalFormatting sqref="S289">
    <cfRule type="expression" dxfId="8993" priority="8230" stopIfTrue="1">
      <formula>$C289&lt;&gt;""</formula>
    </cfRule>
  </conditionalFormatting>
  <conditionalFormatting sqref="S289">
    <cfRule type="expression" dxfId="8992" priority="8229" stopIfTrue="1">
      <formula>$B289&lt;&gt;""</formula>
    </cfRule>
  </conditionalFormatting>
  <conditionalFormatting sqref="S289">
    <cfRule type="expression" dxfId="8991" priority="8228" stopIfTrue="1">
      <formula>$C289&lt;&gt;""</formula>
    </cfRule>
  </conditionalFormatting>
  <conditionalFormatting sqref="S285">
    <cfRule type="expression" dxfId="8990" priority="8227" stopIfTrue="1">
      <formula>$C285&lt;&gt;""</formula>
    </cfRule>
  </conditionalFormatting>
  <conditionalFormatting sqref="S285">
    <cfRule type="expression" dxfId="8989" priority="8226" stopIfTrue="1">
      <formula>$B285&lt;&gt;""</formula>
    </cfRule>
  </conditionalFormatting>
  <conditionalFormatting sqref="S286:S289">
    <cfRule type="expression" dxfId="8988" priority="8225" stopIfTrue="1">
      <formula>$C286&lt;&gt;""</formula>
    </cfRule>
  </conditionalFormatting>
  <conditionalFormatting sqref="S286:S289">
    <cfRule type="expression" dxfId="8987" priority="8224" stopIfTrue="1">
      <formula>$B286&lt;&gt;""</formula>
    </cfRule>
  </conditionalFormatting>
  <conditionalFormatting sqref="S288:S289">
    <cfRule type="expression" dxfId="8986" priority="8223" stopIfTrue="1">
      <formula>$C288&lt;&gt;""</formula>
    </cfRule>
  </conditionalFormatting>
  <conditionalFormatting sqref="S288:S289">
    <cfRule type="expression" dxfId="8985" priority="8222" stopIfTrue="1">
      <formula>$B288&lt;&gt;""</formula>
    </cfRule>
  </conditionalFormatting>
  <conditionalFormatting sqref="S285:S288">
    <cfRule type="expression" dxfId="8984" priority="8221" stopIfTrue="1">
      <formula>$B285&lt;&gt;""</formula>
    </cfRule>
  </conditionalFormatting>
  <conditionalFormatting sqref="S285:S288">
    <cfRule type="expression" dxfId="8983" priority="8220" stopIfTrue="1">
      <formula>$C285&lt;&gt;""</formula>
    </cfRule>
  </conditionalFormatting>
  <conditionalFormatting sqref="S289">
    <cfRule type="expression" dxfId="8982" priority="8219" stopIfTrue="1">
      <formula>$B289&lt;&gt;""</formula>
    </cfRule>
  </conditionalFormatting>
  <conditionalFormatting sqref="S289">
    <cfRule type="expression" dxfId="8981" priority="8218" stopIfTrue="1">
      <formula>$C289&lt;&gt;""</formula>
    </cfRule>
  </conditionalFormatting>
  <conditionalFormatting sqref="S285:S287">
    <cfRule type="expression" dxfId="8980" priority="8217" stopIfTrue="1">
      <formula>$B285&lt;&gt;""</formula>
    </cfRule>
  </conditionalFormatting>
  <conditionalFormatting sqref="S285:S287">
    <cfRule type="expression" dxfId="8979" priority="8216" stopIfTrue="1">
      <formula>$C285&lt;&gt;""</formula>
    </cfRule>
  </conditionalFormatting>
  <conditionalFormatting sqref="S288:S289">
    <cfRule type="expression" dxfId="8978" priority="8215" stopIfTrue="1">
      <formula>$B288&lt;&gt;""</formula>
    </cfRule>
  </conditionalFormatting>
  <conditionalFormatting sqref="S288:S289">
    <cfRule type="expression" dxfId="8977" priority="8214" stopIfTrue="1">
      <formula>$C288&lt;&gt;""</formula>
    </cfRule>
  </conditionalFormatting>
  <conditionalFormatting sqref="S285:S288">
    <cfRule type="expression" dxfId="8976" priority="8213" stopIfTrue="1">
      <formula>$B285&lt;&gt;""</formula>
    </cfRule>
  </conditionalFormatting>
  <conditionalFormatting sqref="S285:S288">
    <cfRule type="expression" dxfId="8975" priority="8212" stopIfTrue="1">
      <formula>$C285&lt;&gt;""</formula>
    </cfRule>
  </conditionalFormatting>
  <conditionalFormatting sqref="S285:S288">
    <cfRule type="expression" dxfId="8974" priority="8211" stopIfTrue="1">
      <formula>$B285&lt;&gt;""</formula>
    </cfRule>
  </conditionalFormatting>
  <conditionalFormatting sqref="S285:S288">
    <cfRule type="expression" dxfId="8973" priority="8210" stopIfTrue="1">
      <formula>$C285&lt;&gt;""</formula>
    </cfRule>
  </conditionalFormatting>
  <conditionalFormatting sqref="S289">
    <cfRule type="expression" dxfId="8972" priority="8209" stopIfTrue="1">
      <formula>$B289&lt;&gt;""</formula>
    </cfRule>
  </conditionalFormatting>
  <conditionalFormatting sqref="S289">
    <cfRule type="expression" dxfId="8971" priority="8208" stopIfTrue="1">
      <formula>$C289&lt;&gt;""</formula>
    </cfRule>
  </conditionalFormatting>
  <conditionalFormatting sqref="S285:S288">
    <cfRule type="expression" dxfId="8970" priority="8207" stopIfTrue="1">
      <formula>$B285&lt;&gt;""</formula>
    </cfRule>
  </conditionalFormatting>
  <conditionalFormatting sqref="S285:S288">
    <cfRule type="expression" dxfId="8969" priority="8206" stopIfTrue="1">
      <formula>$C285&lt;&gt;""</formula>
    </cfRule>
  </conditionalFormatting>
  <conditionalFormatting sqref="S289">
    <cfRule type="expression" dxfId="8968" priority="8205" stopIfTrue="1">
      <formula>$B289&lt;&gt;""</formula>
    </cfRule>
  </conditionalFormatting>
  <conditionalFormatting sqref="S289">
    <cfRule type="expression" dxfId="8967" priority="8204" stopIfTrue="1">
      <formula>$C289&lt;&gt;""</formula>
    </cfRule>
  </conditionalFormatting>
  <conditionalFormatting sqref="S289">
    <cfRule type="expression" dxfId="8966" priority="8203" stopIfTrue="1">
      <formula>$B289&lt;&gt;""</formula>
    </cfRule>
  </conditionalFormatting>
  <conditionalFormatting sqref="S289">
    <cfRule type="expression" dxfId="8965" priority="8202" stopIfTrue="1">
      <formula>$C289&lt;&gt;""</formula>
    </cfRule>
  </conditionalFormatting>
  <conditionalFormatting sqref="S285">
    <cfRule type="expression" dxfId="8964" priority="8201" stopIfTrue="1">
      <formula>$C285&lt;&gt;""</formula>
    </cfRule>
  </conditionalFormatting>
  <conditionalFormatting sqref="S285">
    <cfRule type="expression" dxfId="8963" priority="8200" stopIfTrue="1">
      <formula>$B285&lt;&gt;""</formula>
    </cfRule>
  </conditionalFormatting>
  <conditionalFormatting sqref="S286:S289">
    <cfRule type="expression" dxfId="8962" priority="8199" stopIfTrue="1">
      <formula>$C286&lt;&gt;""</formula>
    </cfRule>
  </conditionalFormatting>
  <conditionalFormatting sqref="S286:S289">
    <cfRule type="expression" dxfId="8961" priority="8198" stopIfTrue="1">
      <formula>$B286&lt;&gt;""</formula>
    </cfRule>
  </conditionalFormatting>
  <conditionalFormatting sqref="S288:S289">
    <cfRule type="expression" dxfId="8960" priority="8197" stopIfTrue="1">
      <formula>$C288&lt;&gt;""</formula>
    </cfRule>
  </conditionalFormatting>
  <conditionalFormatting sqref="S288:S289">
    <cfRule type="expression" dxfId="8959" priority="8196" stopIfTrue="1">
      <formula>$B288&lt;&gt;""</formula>
    </cfRule>
  </conditionalFormatting>
  <conditionalFormatting sqref="S290">
    <cfRule type="expression" dxfId="8958" priority="8195" stopIfTrue="1">
      <formula>$B290&lt;&gt;""</formula>
    </cfRule>
  </conditionalFormatting>
  <conditionalFormatting sqref="S290">
    <cfRule type="expression" dxfId="8957" priority="8194" stopIfTrue="1">
      <formula>$C290&lt;&gt;""</formula>
    </cfRule>
  </conditionalFormatting>
  <conditionalFormatting sqref="S290">
    <cfRule type="expression" dxfId="8956" priority="8193" stopIfTrue="1">
      <formula>$B290&lt;&gt;""</formula>
    </cfRule>
  </conditionalFormatting>
  <conditionalFormatting sqref="S290">
    <cfRule type="expression" dxfId="8955" priority="8192" stopIfTrue="1">
      <formula>$C290&lt;&gt;""</formula>
    </cfRule>
  </conditionalFormatting>
  <conditionalFormatting sqref="S290">
    <cfRule type="expression" dxfId="8954" priority="8191" stopIfTrue="1">
      <formula>$B290&lt;&gt;""</formula>
    </cfRule>
  </conditionalFormatting>
  <conditionalFormatting sqref="S290">
    <cfRule type="expression" dxfId="8953" priority="8190" stopIfTrue="1">
      <formula>$C290&lt;&gt;""</formula>
    </cfRule>
  </conditionalFormatting>
  <conditionalFormatting sqref="S290">
    <cfRule type="expression" dxfId="8952" priority="8189" stopIfTrue="1">
      <formula>$B290&lt;&gt;""</formula>
    </cfRule>
  </conditionalFormatting>
  <conditionalFormatting sqref="S290">
    <cfRule type="expression" dxfId="8951" priority="8188" stopIfTrue="1">
      <formula>$C290&lt;&gt;""</formula>
    </cfRule>
  </conditionalFormatting>
  <conditionalFormatting sqref="S290">
    <cfRule type="expression" dxfId="8950" priority="8187" stopIfTrue="1">
      <formula>$B290&lt;&gt;""</formula>
    </cfRule>
  </conditionalFormatting>
  <conditionalFormatting sqref="S290">
    <cfRule type="expression" dxfId="8949" priority="8186" stopIfTrue="1">
      <formula>$C290&lt;&gt;""</formula>
    </cfRule>
  </conditionalFormatting>
  <conditionalFormatting sqref="S290">
    <cfRule type="expression" dxfId="8948" priority="8185" stopIfTrue="1">
      <formula>$B290&lt;&gt;""</formula>
    </cfRule>
  </conditionalFormatting>
  <conditionalFormatting sqref="S290">
    <cfRule type="expression" dxfId="8947" priority="8184" stopIfTrue="1">
      <formula>$C290&lt;&gt;""</formula>
    </cfRule>
  </conditionalFormatting>
  <conditionalFormatting sqref="S290">
    <cfRule type="expression" dxfId="8946" priority="8183" stopIfTrue="1">
      <formula>$B290&lt;&gt;""</formula>
    </cfRule>
  </conditionalFormatting>
  <conditionalFormatting sqref="S290">
    <cfRule type="expression" dxfId="8945" priority="8182" stopIfTrue="1">
      <formula>$C290&lt;&gt;""</formula>
    </cfRule>
  </conditionalFormatting>
  <conditionalFormatting sqref="S290">
    <cfRule type="expression" dxfId="8944" priority="8181" stopIfTrue="1">
      <formula>$B290&lt;&gt;""</formula>
    </cfRule>
  </conditionalFormatting>
  <conditionalFormatting sqref="S290">
    <cfRule type="expression" dxfId="8943" priority="8180" stopIfTrue="1">
      <formula>$C290&lt;&gt;""</formula>
    </cfRule>
  </conditionalFormatting>
  <conditionalFormatting sqref="S290">
    <cfRule type="expression" dxfId="8942" priority="8179" stopIfTrue="1">
      <formula>$B290&lt;&gt;""</formula>
    </cfRule>
  </conditionalFormatting>
  <conditionalFormatting sqref="S290">
    <cfRule type="expression" dxfId="8941" priority="8178" stopIfTrue="1">
      <formula>$C290&lt;&gt;""</formula>
    </cfRule>
  </conditionalFormatting>
  <conditionalFormatting sqref="S290">
    <cfRule type="expression" dxfId="8940" priority="8177" stopIfTrue="1">
      <formula>$B290&lt;&gt;""</formula>
    </cfRule>
  </conditionalFormatting>
  <conditionalFormatting sqref="S290">
    <cfRule type="expression" dxfId="8939" priority="8176" stopIfTrue="1">
      <formula>$C290&lt;&gt;""</formula>
    </cfRule>
  </conditionalFormatting>
  <conditionalFormatting sqref="S290">
    <cfRule type="expression" dxfId="8938" priority="8175" stopIfTrue="1">
      <formula>$B290&lt;&gt;""</formula>
    </cfRule>
  </conditionalFormatting>
  <conditionalFormatting sqref="S290">
    <cfRule type="expression" dxfId="8937" priority="8174" stopIfTrue="1">
      <formula>$C290&lt;&gt;""</formula>
    </cfRule>
  </conditionalFormatting>
  <conditionalFormatting sqref="S290">
    <cfRule type="expression" dxfId="8936" priority="8173" stopIfTrue="1">
      <formula>$B290&lt;&gt;""</formula>
    </cfRule>
  </conditionalFormatting>
  <conditionalFormatting sqref="S290">
    <cfRule type="expression" dxfId="8935" priority="8172" stopIfTrue="1">
      <formula>$C290&lt;&gt;""</formula>
    </cfRule>
  </conditionalFormatting>
  <conditionalFormatting sqref="S290">
    <cfRule type="expression" dxfId="8934" priority="8171" stopIfTrue="1">
      <formula>$B290&lt;&gt;""</formula>
    </cfRule>
  </conditionalFormatting>
  <conditionalFormatting sqref="S290">
    <cfRule type="expression" dxfId="8933" priority="8170" stopIfTrue="1">
      <formula>$C290&lt;&gt;""</formula>
    </cfRule>
  </conditionalFormatting>
  <conditionalFormatting sqref="S290">
    <cfRule type="expression" dxfId="8932" priority="8169" stopIfTrue="1">
      <formula>$B290&lt;&gt;""</formula>
    </cfRule>
  </conditionalFormatting>
  <conditionalFormatting sqref="S290">
    <cfRule type="expression" dxfId="8931" priority="8168" stopIfTrue="1">
      <formula>$C290&lt;&gt;""</formula>
    </cfRule>
  </conditionalFormatting>
  <conditionalFormatting sqref="S290">
    <cfRule type="expression" dxfId="8930" priority="8167" stopIfTrue="1">
      <formula>$C290&lt;&gt;""</formula>
    </cfRule>
  </conditionalFormatting>
  <conditionalFormatting sqref="S290">
    <cfRule type="expression" dxfId="8929" priority="8166" stopIfTrue="1">
      <formula>$B290&lt;&gt;""</formula>
    </cfRule>
  </conditionalFormatting>
  <conditionalFormatting sqref="S290">
    <cfRule type="expression" dxfId="8928" priority="8165" stopIfTrue="1">
      <formula>$C290&lt;&gt;""</formula>
    </cfRule>
  </conditionalFormatting>
  <conditionalFormatting sqref="S290">
    <cfRule type="expression" dxfId="8927" priority="8164" stopIfTrue="1">
      <formula>$B290&lt;&gt;""</formula>
    </cfRule>
  </conditionalFormatting>
  <conditionalFormatting sqref="S290">
    <cfRule type="expression" dxfId="8926" priority="8163" stopIfTrue="1">
      <formula>$B290&lt;&gt;""</formula>
    </cfRule>
  </conditionalFormatting>
  <conditionalFormatting sqref="S290">
    <cfRule type="expression" dxfId="8925" priority="8162" stopIfTrue="1">
      <formula>$C290&lt;&gt;""</formula>
    </cfRule>
  </conditionalFormatting>
  <conditionalFormatting sqref="S290">
    <cfRule type="expression" dxfId="8924" priority="8161" stopIfTrue="1">
      <formula>$B290&lt;&gt;""</formula>
    </cfRule>
  </conditionalFormatting>
  <conditionalFormatting sqref="S290">
    <cfRule type="expression" dxfId="8923" priority="8160" stopIfTrue="1">
      <formula>$C290&lt;&gt;""</formula>
    </cfRule>
  </conditionalFormatting>
  <conditionalFormatting sqref="S290">
    <cfRule type="expression" dxfId="8922" priority="8159" stopIfTrue="1">
      <formula>$B290&lt;&gt;""</formula>
    </cfRule>
  </conditionalFormatting>
  <conditionalFormatting sqref="S290">
    <cfRule type="expression" dxfId="8921" priority="8158" stopIfTrue="1">
      <formula>$C290&lt;&gt;""</formula>
    </cfRule>
  </conditionalFormatting>
  <conditionalFormatting sqref="S290">
    <cfRule type="expression" dxfId="8920" priority="8157" stopIfTrue="1">
      <formula>$B290&lt;&gt;""</formula>
    </cfRule>
  </conditionalFormatting>
  <conditionalFormatting sqref="S290">
    <cfRule type="expression" dxfId="8919" priority="8156" stopIfTrue="1">
      <formula>$C290&lt;&gt;""</formula>
    </cfRule>
  </conditionalFormatting>
  <conditionalFormatting sqref="S290">
    <cfRule type="expression" dxfId="8918" priority="8155" stopIfTrue="1">
      <formula>$B290&lt;&gt;""</formula>
    </cfRule>
  </conditionalFormatting>
  <conditionalFormatting sqref="S290">
    <cfRule type="expression" dxfId="8917" priority="8154" stopIfTrue="1">
      <formula>$C290&lt;&gt;""</formula>
    </cfRule>
  </conditionalFormatting>
  <conditionalFormatting sqref="S290">
    <cfRule type="expression" dxfId="8916" priority="8153" stopIfTrue="1">
      <formula>$C290&lt;&gt;""</formula>
    </cfRule>
  </conditionalFormatting>
  <conditionalFormatting sqref="S290">
    <cfRule type="expression" dxfId="8915" priority="8152" stopIfTrue="1">
      <formula>$B290&lt;&gt;""</formula>
    </cfRule>
  </conditionalFormatting>
  <conditionalFormatting sqref="S290">
    <cfRule type="expression" dxfId="8914" priority="8151" stopIfTrue="1">
      <formula>$C290&lt;&gt;""</formula>
    </cfRule>
  </conditionalFormatting>
  <conditionalFormatting sqref="S290">
    <cfRule type="expression" dxfId="8913" priority="8150" stopIfTrue="1">
      <formula>$B290&lt;&gt;""</formula>
    </cfRule>
  </conditionalFormatting>
  <conditionalFormatting sqref="S290">
    <cfRule type="expression" dxfId="8912" priority="8149" stopIfTrue="1">
      <formula>$B290&lt;&gt;""</formula>
    </cfRule>
  </conditionalFormatting>
  <conditionalFormatting sqref="S290">
    <cfRule type="expression" dxfId="8911" priority="8148" stopIfTrue="1">
      <formula>$C290&lt;&gt;""</formula>
    </cfRule>
  </conditionalFormatting>
  <conditionalFormatting sqref="S291">
    <cfRule type="expression" dxfId="8910" priority="8147" stopIfTrue="1">
      <formula>$B291&lt;&gt;""</formula>
    </cfRule>
  </conditionalFormatting>
  <conditionalFormatting sqref="S291">
    <cfRule type="expression" dxfId="8909" priority="8146" stopIfTrue="1">
      <formula>$C291&lt;&gt;""</formula>
    </cfRule>
  </conditionalFormatting>
  <conditionalFormatting sqref="S290">
    <cfRule type="expression" dxfId="8908" priority="8145" stopIfTrue="1">
      <formula>$B290&lt;&gt;""</formula>
    </cfRule>
  </conditionalFormatting>
  <conditionalFormatting sqref="S290">
    <cfRule type="expression" dxfId="8907" priority="8144" stopIfTrue="1">
      <formula>$C290&lt;&gt;""</formula>
    </cfRule>
  </conditionalFormatting>
  <conditionalFormatting sqref="S291:S294">
    <cfRule type="expression" dxfId="8906" priority="8143" stopIfTrue="1">
      <formula>$B291&lt;&gt;""</formula>
    </cfRule>
  </conditionalFormatting>
  <conditionalFormatting sqref="S291:S294">
    <cfRule type="expression" dxfId="8905" priority="8142" stopIfTrue="1">
      <formula>$C291&lt;&gt;""</formula>
    </cfRule>
  </conditionalFormatting>
  <conditionalFormatting sqref="S290">
    <cfRule type="expression" dxfId="8904" priority="8141" stopIfTrue="1">
      <formula>$B290&lt;&gt;""</formula>
    </cfRule>
  </conditionalFormatting>
  <conditionalFormatting sqref="S290">
    <cfRule type="expression" dxfId="8903" priority="8140" stopIfTrue="1">
      <formula>$C290&lt;&gt;""</formula>
    </cfRule>
  </conditionalFormatting>
  <conditionalFormatting sqref="S291:S294">
    <cfRule type="expression" dxfId="8902" priority="8139" stopIfTrue="1">
      <formula>$B291&lt;&gt;""</formula>
    </cfRule>
  </conditionalFormatting>
  <conditionalFormatting sqref="S291:S294">
    <cfRule type="expression" dxfId="8901" priority="8138" stopIfTrue="1">
      <formula>$C291&lt;&gt;""</formula>
    </cfRule>
  </conditionalFormatting>
  <conditionalFormatting sqref="S290:S294">
    <cfRule type="expression" dxfId="8900" priority="8137" stopIfTrue="1">
      <formula>$B290&lt;&gt;""</formula>
    </cfRule>
  </conditionalFormatting>
  <conditionalFormatting sqref="S290:S294">
    <cfRule type="expression" dxfId="8899" priority="8136" stopIfTrue="1">
      <formula>$C290&lt;&gt;""</formula>
    </cfRule>
  </conditionalFormatting>
  <conditionalFormatting sqref="S290:S294">
    <cfRule type="expression" dxfId="8898" priority="8135" stopIfTrue="1">
      <formula>$B290&lt;&gt;""</formula>
    </cfRule>
  </conditionalFormatting>
  <conditionalFormatting sqref="S290:S294">
    <cfRule type="expression" dxfId="8897" priority="8134" stopIfTrue="1">
      <formula>$C290&lt;&gt;""</formula>
    </cfRule>
  </conditionalFormatting>
  <conditionalFormatting sqref="S290:S294">
    <cfRule type="expression" dxfId="8896" priority="8133" stopIfTrue="1">
      <formula>$B290&lt;&gt;""</formula>
    </cfRule>
  </conditionalFormatting>
  <conditionalFormatting sqref="S290:S294">
    <cfRule type="expression" dxfId="8895" priority="8132" stopIfTrue="1">
      <formula>$C290&lt;&gt;""</formula>
    </cfRule>
  </conditionalFormatting>
  <conditionalFormatting sqref="S290:S294">
    <cfRule type="expression" dxfId="8894" priority="8131" stopIfTrue="1">
      <formula>$B290&lt;&gt;""</formula>
    </cfRule>
  </conditionalFormatting>
  <conditionalFormatting sqref="S290:S294">
    <cfRule type="expression" dxfId="8893" priority="8130" stopIfTrue="1">
      <formula>$C290&lt;&gt;""</formula>
    </cfRule>
  </conditionalFormatting>
  <conditionalFormatting sqref="S290:S294">
    <cfRule type="expression" dxfId="8892" priority="8129" stopIfTrue="1">
      <formula>$B290&lt;&gt;""</formula>
    </cfRule>
  </conditionalFormatting>
  <conditionalFormatting sqref="S290:S294">
    <cfRule type="expression" dxfId="8891" priority="8128" stopIfTrue="1">
      <formula>$C290&lt;&gt;""</formula>
    </cfRule>
  </conditionalFormatting>
  <conditionalFormatting sqref="S290:S294">
    <cfRule type="expression" dxfId="8890" priority="8127" stopIfTrue="1">
      <formula>$B290&lt;&gt;""</formula>
    </cfRule>
  </conditionalFormatting>
  <conditionalFormatting sqref="S290:S294">
    <cfRule type="expression" dxfId="8889" priority="8126" stopIfTrue="1">
      <formula>$C290&lt;&gt;""</formula>
    </cfRule>
  </conditionalFormatting>
  <conditionalFormatting sqref="S290:S294">
    <cfRule type="expression" dxfId="8888" priority="8125" stopIfTrue="1">
      <formula>$B290&lt;&gt;""</formula>
    </cfRule>
  </conditionalFormatting>
  <conditionalFormatting sqref="S290:S294">
    <cfRule type="expression" dxfId="8887" priority="8124" stopIfTrue="1">
      <formula>$C290&lt;&gt;""</formula>
    </cfRule>
  </conditionalFormatting>
  <conditionalFormatting sqref="S290:S293">
    <cfRule type="expression" dxfId="8886" priority="8123" stopIfTrue="1">
      <formula>$B290&lt;&gt;""</formula>
    </cfRule>
  </conditionalFormatting>
  <conditionalFormatting sqref="S290:S293">
    <cfRule type="expression" dxfId="8885" priority="8122" stopIfTrue="1">
      <formula>$C290&lt;&gt;""</formula>
    </cfRule>
  </conditionalFormatting>
  <conditionalFormatting sqref="S294">
    <cfRule type="expression" dxfId="8884" priority="8121" stopIfTrue="1">
      <formula>$B294&lt;&gt;""</formula>
    </cfRule>
  </conditionalFormatting>
  <conditionalFormatting sqref="S294">
    <cfRule type="expression" dxfId="8883" priority="8120" stopIfTrue="1">
      <formula>$C294&lt;&gt;""</formula>
    </cfRule>
  </conditionalFormatting>
  <conditionalFormatting sqref="S290:S292">
    <cfRule type="expression" dxfId="8882" priority="8119" stopIfTrue="1">
      <formula>$B290&lt;&gt;""</formula>
    </cfRule>
  </conditionalFormatting>
  <conditionalFormatting sqref="S290:S292">
    <cfRule type="expression" dxfId="8881" priority="8118" stopIfTrue="1">
      <formula>$C290&lt;&gt;""</formula>
    </cfRule>
  </conditionalFormatting>
  <conditionalFormatting sqref="S293:S294">
    <cfRule type="expression" dxfId="8880" priority="8117" stopIfTrue="1">
      <formula>$B293&lt;&gt;""</formula>
    </cfRule>
  </conditionalFormatting>
  <conditionalFormatting sqref="S293:S294">
    <cfRule type="expression" dxfId="8879" priority="8116" stopIfTrue="1">
      <formula>$C293&lt;&gt;""</formula>
    </cfRule>
  </conditionalFormatting>
  <conditionalFormatting sqref="S290:S293">
    <cfRule type="expression" dxfId="8878" priority="8115" stopIfTrue="1">
      <formula>$B290&lt;&gt;""</formula>
    </cfRule>
  </conditionalFormatting>
  <conditionalFormatting sqref="S290:S293">
    <cfRule type="expression" dxfId="8877" priority="8114" stopIfTrue="1">
      <formula>$C290&lt;&gt;""</formula>
    </cfRule>
  </conditionalFormatting>
  <conditionalFormatting sqref="S290:S293">
    <cfRule type="expression" dxfId="8876" priority="8113" stopIfTrue="1">
      <formula>$B290&lt;&gt;""</formula>
    </cfRule>
  </conditionalFormatting>
  <conditionalFormatting sqref="S290:S293">
    <cfRule type="expression" dxfId="8875" priority="8112" stopIfTrue="1">
      <formula>$C290&lt;&gt;""</formula>
    </cfRule>
  </conditionalFormatting>
  <conditionalFormatting sqref="S294">
    <cfRule type="expression" dxfId="8874" priority="8111" stopIfTrue="1">
      <formula>$B294&lt;&gt;""</formula>
    </cfRule>
  </conditionalFormatting>
  <conditionalFormatting sqref="S294">
    <cfRule type="expression" dxfId="8873" priority="8110" stopIfTrue="1">
      <formula>$C294&lt;&gt;""</formula>
    </cfRule>
  </conditionalFormatting>
  <conditionalFormatting sqref="S290:S293">
    <cfRule type="expression" dxfId="8872" priority="8109" stopIfTrue="1">
      <formula>$B290&lt;&gt;""</formula>
    </cfRule>
  </conditionalFormatting>
  <conditionalFormatting sqref="S290:S293">
    <cfRule type="expression" dxfId="8871" priority="8108" stopIfTrue="1">
      <formula>$C290&lt;&gt;""</formula>
    </cfRule>
  </conditionalFormatting>
  <conditionalFormatting sqref="S294">
    <cfRule type="expression" dxfId="8870" priority="8107" stopIfTrue="1">
      <formula>$B294&lt;&gt;""</formula>
    </cfRule>
  </conditionalFormatting>
  <conditionalFormatting sqref="S294">
    <cfRule type="expression" dxfId="8869" priority="8106" stopIfTrue="1">
      <formula>$C294&lt;&gt;""</formula>
    </cfRule>
  </conditionalFormatting>
  <conditionalFormatting sqref="S294">
    <cfRule type="expression" dxfId="8868" priority="8105" stopIfTrue="1">
      <formula>$B294&lt;&gt;""</formula>
    </cfRule>
  </conditionalFormatting>
  <conditionalFormatting sqref="S294">
    <cfRule type="expression" dxfId="8867" priority="8104" stopIfTrue="1">
      <formula>$C294&lt;&gt;""</formula>
    </cfRule>
  </conditionalFormatting>
  <conditionalFormatting sqref="S290">
    <cfRule type="expression" dxfId="8866" priority="8103" stopIfTrue="1">
      <formula>$C290&lt;&gt;""</formula>
    </cfRule>
  </conditionalFormatting>
  <conditionalFormatting sqref="S290">
    <cfRule type="expression" dxfId="8865" priority="8102" stopIfTrue="1">
      <formula>$B290&lt;&gt;""</formula>
    </cfRule>
  </conditionalFormatting>
  <conditionalFormatting sqref="S291:S294">
    <cfRule type="expression" dxfId="8864" priority="8101" stopIfTrue="1">
      <formula>$C291&lt;&gt;""</formula>
    </cfRule>
  </conditionalFormatting>
  <conditionalFormatting sqref="S291:S294">
    <cfRule type="expression" dxfId="8863" priority="8100" stopIfTrue="1">
      <formula>$B291&lt;&gt;""</formula>
    </cfRule>
  </conditionalFormatting>
  <conditionalFormatting sqref="S293:S294">
    <cfRule type="expression" dxfId="8862" priority="8099" stopIfTrue="1">
      <formula>$C293&lt;&gt;""</formula>
    </cfRule>
  </conditionalFormatting>
  <conditionalFormatting sqref="S293:S294">
    <cfRule type="expression" dxfId="8861" priority="8098" stopIfTrue="1">
      <formula>$B293&lt;&gt;""</formula>
    </cfRule>
  </conditionalFormatting>
  <conditionalFormatting sqref="S290:S293">
    <cfRule type="expression" dxfId="8860" priority="8097" stopIfTrue="1">
      <formula>$B290&lt;&gt;""</formula>
    </cfRule>
  </conditionalFormatting>
  <conditionalFormatting sqref="S290:S293">
    <cfRule type="expression" dxfId="8859" priority="8096" stopIfTrue="1">
      <formula>$C290&lt;&gt;""</formula>
    </cfRule>
  </conditionalFormatting>
  <conditionalFormatting sqref="S294">
    <cfRule type="expression" dxfId="8858" priority="8095" stopIfTrue="1">
      <formula>$B294&lt;&gt;""</formula>
    </cfRule>
  </conditionalFormatting>
  <conditionalFormatting sqref="S294">
    <cfRule type="expression" dxfId="8857" priority="8094" stopIfTrue="1">
      <formula>$C294&lt;&gt;""</formula>
    </cfRule>
  </conditionalFormatting>
  <conditionalFormatting sqref="S290:S292">
    <cfRule type="expression" dxfId="8856" priority="8093" stopIfTrue="1">
      <formula>$B290&lt;&gt;""</formula>
    </cfRule>
  </conditionalFormatting>
  <conditionalFormatting sqref="S290:S292">
    <cfRule type="expression" dxfId="8855" priority="8092" stopIfTrue="1">
      <formula>$C290&lt;&gt;""</formula>
    </cfRule>
  </conditionalFormatting>
  <conditionalFormatting sqref="S293:S294">
    <cfRule type="expression" dxfId="8854" priority="8091" stopIfTrue="1">
      <formula>$B293&lt;&gt;""</formula>
    </cfRule>
  </conditionalFormatting>
  <conditionalFormatting sqref="S293:S294">
    <cfRule type="expression" dxfId="8853" priority="8090" stopIfTrue="1">
      <formula>$C293&lt;&gt;""</formula>
    </cfRule>
  </conditionalFormatting>
  <conditionalFormatting sqref="S290:S293">
    <cfRule type="expression" dxfId="8852" priority="8089" stopIfTrue="1">
      <formula>$B290&lt;&gt;""</formula>
    </cfRule>
  </conditionalFormatting>
  <conditionalFormatting sqref="S290:S293">
    <cfRule type="expression" dxfId="8851" priority="8088" stopIfTrue="1">
      <formula>$C290&lt;&gt;""</formula>
    </cfRule>
  </conditionalFormatting>
  <conditionalFormatting sqref="S290:S293">
    <cfRule type="expression" dxfId="8850" priority="8087" stopIfTrue="1">
      <formula>$B290&lt;&gt;""</formula>
    </cfRule>
  </conditionalFormatting>
  <conditionalFormatting sqref="S290:S293">
    <cfRule type="expression" dxfId="8849" priority="8086" stopIfTrue="1">
      <formula>$C290&lt;&gt;""</formula>
    </cfRule>
  </conditionalFormatting>
  <conditionalFormatting sqref="S294">
    <cfRule type="expression" dxfId="8848" priority="8085" stopIfTrue="1">
      <formula>$B294&lt;&gt;""</formula>
    </cfRule>
  </conditionalFormatting>
  <conditionalFormatting sqref="S294">
    <cfRule type="expression" dxfId="8847" priority="8084" stopIfTrue="1">
      <formula>$C294&lt;&gt;""</formula>
    </cfRule>
  </conditionalFormatting>
  <conditionalFormatting sqref="S290:S293">
    <cfRule type="expression" dxfId="8846" priority="8083" stopIfTrue="1">
      <formula>$B290&lt;&gt;""</formula>
    </cfRule>
  </conditionalFormatting>
  <conditionalFormatting sqref="S290:S293">
    <cfRule type="expression" dxfId="8845" priority="8082" stopIfTrue="1">
      <formula>$C290&lt;&gt;""</formula>
    </cfRule>
  </conditionalFormatting>
  <conditionalFormatting sqref="S294">
    <cfRule type="expression" dxfId="8844" priority="8081" stopIfTrue="1">
      <formula>$B294&lt;&gt;""</formula>
    </cfRule>
  </conditionalFormatting>
  <conditionalFormatting sqref="S294">
    <cfRule type="expression" dxfId="8843" priority="8080" stopIfTrue="1">
      <formula>$C294&lt;&gt;""</formula>
    </cfRule>
  </conditionalFormatting>
  <conditionalFormatting sqref="S294">
    <cfRule type="expression" dxfId="8842" priority="8079" stopIfTrue="1">
      <formula>$B294&lt;&gt;""</formula>
    </cfRule>
  </conditionalFormatting>
  <conditionalFormatting sqref="S294">
    <cfRule type="expression" dxfId="8841" priority="8078" stopIfTrue="1">
      <formula>$C294&lt;&gt;""</formula>
    </cfRule>
  </conditionalFormatting>
  <conditionalFormatting sqref="S290">
    <cfRule type="expression" dxfId="8840" priority="8077" stopIfTrue="1">
      <formula>$C290&lt;&gt;""</formula>
    </cfRule>
  </conditionalFormatting>
  <conditionalFormatting sqref="S290">
    <cfRule type="expression" dxfId="8839" priority="8076" stopIfTrue="1">
      <formula>$B290&lt;&gt;""</formula>
    </cfRule>
  </conditionalFormatting>
  <conditionalFormatting sqref="S291:S294">
    <cfRule type="expression" dxfId="8838" priority="8075" stopIfTrue="1">
      <formula>$C291&lt;&gt;""</formula>
    </cfRule>
  </conditionalFormatting>
  <conditionalFormatting sqref="S291:S294">
    <cfRule type="expression" dxfId="8837" priority="8074" stopIfTrue="1">
      <formula>$B291&lt;&gt;""</formula>
    </cfRule>
  </conditionalFormatting>
  <conditionalFormatting sqref="S293:S294">
    <cfRule type="expression" dxfId="8836" priority="8073" stopIfTrue="1">
      <formula>$C293&lt;&gt;""</formula>
    </cfRule>
  </conditionalFormatting>
  <conditionalFormatting sqref="S293:S294">
    <cfRule type="expression" dxfId="8835" priority="8072" stopIfTrue="1">
      <formula>$B293&lt;&gt;""</formula>
    </cfRule>
  </conditionalFormatting>
  <conditionalFormatting sqref="S290">
    <cfRule type="expression" dxfId="8834" priority="8071" stopIfTrue="1">
      <formula>$B290&lt;&gt;""</formula>
    </cfRule>
  </conditionalFormatting>
  <conditionalFormatting sqref="S290">
    <cfRule type="expression" dxfId="8833" priority="8070" stopIfTrue="1">
      <formula>$C290&lt;&gt;""</formula>
    </cfRule>
  </conditionalFormatting>
  <conditionalFormatting sqref="S291">
    <cfRule type="expression" dxfId="8832" priority="8069" stopIfTrue="1">
      <formula>$B291&lt;&gt;""</formula>
    </cfRule>
  </conditionalFormatting>
  <conditionalFormatting sqref="S291">
    <cfRule type="expression" dxfId="8831" priority="8068" stopIfTrue="1">
      <formula>$C291&lt;&gt;""</formula>
    </cfRule>
  </conditionalFormatting>
  <conditionalFormatting sqref="S290">
    <cfRule type="expression" dxfId="8830" priority="8067" stopIfTrue="1">
      <formula>$B290&lt;&gt;""</formula>
    </cfRule>
  </conditionalFormatting>
  <conditionalFormatting sqref="S290">
    <cfRule type="expression" dxfId="8829" priority="8066" stopIfTrue="1">
      <formula>$C290&lt;&gt;""</formula>
    </cfRule>
  </conditionalFormatting>
  <conditionalFormatting sqref="S291:S294">
    <cfRule type="expression" dxfId="8828" priority="8065" stopIfTrue="1">
      <formula>$B291&lt;&gt;""</formula>
    </cfRule>
  </conditionalFormatting>
  <conditionalFormatting sqref="S291:S294">
    <cfRule type="expression" dxfId="8827" priority="8064" stopIfTrue="1">
      <formula>$C291&lt;&gt;""</formula>
    </cfRule>
  </conditionalFormatting>
  <conditionalFormatting sqref="S290">
    <cfRule type="expression" dxfId="8826" priority="8063" stopIfTrue="1">
      <formula>$B290&lt;&gt;""</formula>
    </cfRule>
  </conditionalFormatting>
  <conditionalFormatting sqref="S290">
    <cfRule type="expression" dxfId="8825" priority="8062" stopIfTrue="1">
      <formula>$C290&lt;&gt;""</formula>
    </cfRule>
  </conditionalFormatting>
  <conditionalFormatting sqref="S291:S294">
    <cfRule type="expression" dxfId="8824" priority="8061" stopIfTrue="1">
      <formula>$B291&lt;&gt;""</formula>
    </cfRule>
  </conditionalFormatting>
  <conditionalFormatting sqref="S291:S294">
    <cfRule type="expression" dxfId="8823" priority="8060" stopIfTrue="1">
      <formula>$C291&lt;&gt;""</formula>
    </cfRule>
  </conditionalFormatting>
  <conditionalFormatting sqref="S290:S294">
    <cfRule type="expression" dxfId="8822" priority="8059" stopIfTrue="1">
      <formula>$B290&lt;&gt;""</formula>
    </cfRule>
  </conditionalFormatting>
  <conditionalFormatting sqref="S290:S294">
    <cfRule type="expression" dxfId="8821" priority="8058" stopIfTrue="1">
      <formula>$C290&lt;&gt;""</formula>
    </cfRule>
  </conditionalFormatting>
  <conditionalFormatting sqref="S290:S294">
    <cfRule type="expression" dxfId="8820" priority="8057" stopIfTrue="1">
      <formula>$B290&lt;&gt;""</formula>
    </cfRule>
  </conditionalFormatting>
  <conditionalFormatting sqref="S290:S294">
    <cfRule type="expression" dxfId="8819" priority="8056" stopIfTrue="1">
      <formula>$C290&lt;&gt;""</formula>
    </cfRule>
  </conditionalFormatting>
  <conditionalFormatting sqref="S290:S294">
    <cfRule type="expression" dxfId="8818" priority="8055" stopIfTrue="1">
      <formula>$B290&lt;&gt;""</formula>
    </cfRule>
  </conditionalFormatting>
  <conditionalFormatting sqref="S290:S294">
    <cfRule type="expression" dxfId="8817" priority="8054" stopIfTrue="1">
      <formula>$C290&lt;&gt;""</formula>
    </cfRule>
  </conditionalFormatting>
  <conditionalFormatting sqref="S290:S294">
    <cfRule type="expression" dxfId="8816" priority="8053" stopIfTrue="1">
      <formula>$B290&lt;&gt;""</formula>
    </cfRule>
  </conditionalFormatting>
  <conditionalFormatting sqref="S290:S294">
    <cfRule type="expression" dxfId="8815" priority="8052" stopIfTrue="1">
      <formula>$C290&lt;&gt;""</formula>
    </cfRule>
  </conditionalFormatting>
  <conditionalFormatting sqref="S290:S294">
    <cfRule type="expression" dxfId="8814" priority="8051" stopIfTrue="1">
      <formula>$B290&lt;&gt;""</formula>
    </cfRule>
  </conditionalFormatting>
  <conditionalFormatting sqref="S290:S294">
    <cfRule type="expression" dxfId="8813" priority="8050" stopIfTrue="1">
      <formula>$C290&lt;&gt;""</formula>
    </cfRule>
  </conditionalFormatting>
  <conditionalFormatting sqref="S290:S294">
    <cfRule type="expression" dxfId="8812" priority="8049" stopIfTrue="1">
      <formula>$B290&lt;&gt;""</formula>
    </cfRule>
  </conditionalFormatting>
  <conditionalFormatting sqref="S290:S294">
    <cfRule type="expression" dxfId="8811" priority="8048" stopIfTrue="1">
      <formula>$C290&lt;&gt;""</formula>
    </cfRule>
  </conditionalFormatting>
  <conditionalFormatting sqref="S290:S294">
    <cfRule type="expression" dxfId="8810" priority="8047" stopIfTrue="1">
      <formula>$B290&lt;&gt;""</formula>
    </cfRule>
  </conditionalFormatting>
  <conditionalFormatting sqref="S290:S294">
    <cfRule type="expression" dxfId="8809" priority="8046" stopIfTrue="1">
      <formula>$C290&lt;&gt;""</formula>
    </cfRule>
  </conditionalFormatting>
  <conditionalFormatting sqref="S290:S293">
    <cfRule type="expression" dxfId="8808" priority="8045" stopIfTrue="1">
      <formula>$B290&lt;&gt;""</formula>
    </cfRule>
  </conditionalFormatting>
  <conditionalFormatting sqref="S290:S293">
    <cfRule type="expression" dxfId="8807" priority="8044" stopIfTrue="1">
      <formula>$C290&lt;&gt;""</formula>
    </cfRule>
  </conditionalFormatting>
  <conditionalFormatting sqref="S294">
    <cfRule type="expression" dxfId="8806" priority="8043" stopIfTrue="1">
      <formula>$B294&lt;&gt;""</formula>
    </cfRule>
  </conditionalFormatting>
  <conditionalFormatting sqref="S294">
    <cfRule type="expression" dxfId="8805" priority="8042" stopIfTrue="1">
      <formula>$C294&lt;&gt;""</formula>
    </cfRule>
  </conditionalFormatting>
  <conditionalFormatting sqref="S290:S292">
    <cfRule type="expression" dxfId="8804" priority="8041" stopIfTrue="1">
      <formula>$B290&lt;&gt;""</formula>
    </cfRule>
  </conditionalFormatting>
  <conditionalFormatting sqref="S290:S292">
    <cfRule type="expression" dxfId="8803" priority="8040" stopIfTrue="1">
      <formula>$C290&lt;&gt;""</formula>
    </cfRule>
  </conditionalFormatting>
  <conditionalFormatting sqref="S293:S294">
    <cfRule type="expression" dxfId="8802" priority="8039" stopIfTrue="1">
      <formula>$B293&lt;&gt;""</formula>
    </cfRule>
  </conditionalFormatting>
  <conditionalFormatting sqref="S293:S294">
    <cfRule type="expression" dxfId="8801" priority="8038" stopIfTrue="1">
      <formula>$C293&lt;&gt;""</formula>
    </cfRule>
  </conditionalFormatting>
  <conditionalFormatting sqref="S290:S293">
    <cfRule type="expression" dxfId="8800" priority="8037" stopIfTrue="1">
      <formula>$B290&lt;&gt;""</formula>
    </cfRule>
  </conditionalFormatting>
  <conditionalFormatting sqref="S290:S293">
    <cfRule type="expression" dxfId="8799" priority="8036" stopIfTrue="1">
      <formula>$C290&lt;&gt;""</formula>
    </cfRule>
  </conditionalFormatting>
  <conditionalFormatting sqref="S290:S293">
    <cfRule type="expression" dxfId="8798" priority="8035" stopIfTrue="1">
      <formula>$B290&lt;&gt;""</formula>
    </cfRule>
  </conditionalFormatting>
  <conditionalFormatting sqref="S290:S293">
    <cfRule type="expression" dxfId="8797" priority="8034" stopIfTrue="1">
      <formula>$C290&lt;&gt;""</formula>
    </cfRule>
  </conditionalFormatting>
  <conditionalFormatting sqref="S294">
    <cfRule type="expression" dxfId="8796" priority="8033" stopIfTrue="1">
      <formula>$B294&lt;&gt;""</formula>
    </cfRule>
  </conditionalFormatting>
  <conditionalFormatting sqref="S294">
    <cfRule type="expression" dxfId="8795" priority="8032" stopIfTrue="1">
      <formula>$C294&lt;&gt;""</formula>
    </cfRule>
  </conditionalFormatting>
  <conditionalFormatting sqref="S290:S293">
    <cfRule type="expression" dxfId="8794" priority="8031" stopIfTrue="1">
      <formula>$B290&lt;&gt;""</formula>
    </cfRule>
  </conditionalFormatting>
  <conditionalFormatting sqref="S290:S293">
    <cfRule type="expression" dxfId="8793" priority="8030" stopIfTrue="1">
      <formula>$C290&lt;&gt;""</formula>
    </cfRule>
  </conditionalFormatting>
  <conditionalFormatting sqref="S294">
    <cfRule type="expression" dxfId="8792" priority="8029" stopIfTrue="1">
      <formula>$B294&lt;&gt;""</formula>
    </cfRule>
  </conditionalFormatting>
  <conditionalFormatting sqref="S294">
    <cfRule type="expression" dxfId="8791" priority="8028" stopIfTrue="1">
      <formula>$C294&lt;&gt;""</formula>
    </cfRule>
  </conditionalFormatting>
  <conditionalFormatting sqref="S294">
    <cfRule type="expression" dxfId="8790" priority="8027" stopIfTrue="1">
      <formula>$B294&lt;&gt;""</formula>
    </cfRule>
  </conditionalFormatting>
  <conditionalFormatting sqref="S294">
    <cfRule type="expression" dxfId="8789" priority="8026" stopIfTrue="1">
      <formula>$C294&lt;&gt;""</formula>
    </cfRule>
  </conditionalFormatting>
  <conditionalFormatting sqref="S290">
    <cfRule type="expression" dxfId="8788" priority="8025" stopIfTrue="1">
      <formula>$C290&lt;&gt;""</formula>
    </cfRule>
  </conditionalFormatting>
  <conditionalFormatting sqref="S290">
    <cfRule type="expression" dxfId="8787" priority="8024" stopIfTrue="1">
      <formula>$B290&lt;&gt;""</formula>
    </cfRule>
  </conditionalFormatting>
  <conditionalFormatting sqref="S291:S294">
    <cfRule type="expression" dxfId="8786" priority="8023" stopIfTrue="1">
      <formula>$C291&lt;&gt;""</formula>
    </cfRule>
  </conditionalFormatting>
  <conditionalFormatting sqref="S291:S294">
    <cfRule type="expression" dxfId="8785" priority="8022" stopIfTrue="1">
      <formula>$B291&lt;&gt;""</formula>
    </cfRule>
  </conditionalFormatting>
  <conditionalFormatting sqref="S293:S294">
    <cfRule type="expression" dxfId="8784" priority="8021" stopIfTrue="1">
      <formula>$C293&lt;&gt;""</formula>
    </cfRule>
  </conditionalFormatting>
  <conditionalFormatting sqref="S293:S294">
    <cfRule type="expression" dxfId="8783" priority="8020" stopIfTrue="1">
      <formula>$B293&lt;&gt;""</formula>
    </cfRule>
  </conditionalFormatting>
  <conditionalFormatting sqref="S290:S293">
    <cfRule type="expression" dxfId="8782" priority="8019" stopIfTrue="1">
      <formula>$B290&lt;&gt;""</formula>
    </cfRule>
  </conditionalFormatting>
  <conditionalFormatting sqref="S290:S293">
    <cfRule type="expression" dxfId="8781" priority="8018" stopIfTrue="1">
      <formula>$C290&lt;&gt;""</formula>
    </cfRule>
  </conditionalFormatting>
  <conditionalFormatting sqref="S294">
    <cfRule type="expression" dxfId="8780" priority="8017" stopIfTrue="1">
      <formula>$B294&lt;&gt;""</formula>
    </cfRule>
  </conditionalFormatting>
  <conditionalFormatting sqref="S294">
    <cfRule type="expression" dxfId="8779" priority="8016" stopIfTrue="1">
      <formula>$C294&lt;&gt;""</formula>
    </cfRule>
  </conditionalFormatting>
  <conditionalFormatting sqref="S290:S292">
    <cfRule type="expression" dxfId="8778" priority="8015" stopIfTrue="1">
      <formula>$B290&lt;&gt;""</formula>
    </cfRule>
  </conditionalFormatting>
  <conditionalFormatting sqref="S290:S292">
    <cfRule type="expression" dxfId="8777" priority="8014" stopIfTrue="1">
      <formula>$C290&lt;&gt;""</formula>
    </cfRule>
  </conditionalFormatting>
  <conditionalFormatting sqref="S293:S294">
    <cfRule type="expression" dxfId="8776" priority="8013" stopIfTrue="1">
      <formula>$B293&lt;&gt;""</formula>
    </cfRule>
  </conditionalFormatting>
  <conditionalFormatting sqref="S293:S294">
    <cfRule type="expression" dxfId="8775" priority="8012" stopIfTrue="1">
      <formula>$C293&lt;&gt;""</formula>
    </cfRule>
  </conditionalFormatting>
  <conditionalFormatting sqref="S290:S293">
    <cfRule type="expression" dxfId="8774" priority="8011" stopIfTrue="1">
      <formula>$B290&lt;&gt;""</formula>
    </cfRule>
  </conditionalFormatting>
  <conditionalFormatting sqref="S290:S293">
    <cfRule type="expression" dxfId="8773" priority="8010" stopIfTrue="1">
      <formula>$C290&lt;&gt;""</formula>
    </cfRule>
  </conditionalFormatting>
  <conditionalFormatting sqref="S290:S293">
    <cfRule type="expression" dxfId="8772" priority="8009" stopIfTrue="1">
      <formula>$B290&lt;&gt;""</formula>
    </cfRule>
  </conditionalFormatting>
  <conditionalFormatting sqref="S290:S293">
    <cfRule type="expression" dxfId="8771" priority="8008" stopIfTrue="1">
      <formula>$C290&lt;&gt;""</formula>
    </cfRule>
  </conditionalFormatting>
  <conditionalFormatting sqref="S294">
    <cfRule type="expression" dxfId="8770" priority="8007" stopIfTrue="1">
      <formula>$B294&lt;&gt;""</formula>
    </cfRule>
  </conditionalFormatting>
  <conditionalFormatting sqref="S294">
    <cfRule type="expression" dxfId="8769" priority="8006" stopIfTrue="1">
      <formula>$C294&lt;&gt;""</formula>
    </cfRule>
  </conditionalFormatting>
  <conditionalFormatting sqref="S290:S293">
    <cfRule type="expression" dxfId="8768" priority="8005" stopIfTrue="1">
      <formula>$B290&lt;&gt;""</formula>
    </cfRule>
  </conditionalFormatting>
  <conditionalFormatting sqref="S290:S293">
    <cfRule type="expression" dxfId="8767" priority="8004" stopIfTrue="1">
      <formula>$C290&lt;&gt;""</formula>
    </cfRule>
  </conditionalFormatting>
  <conditionalFormatting sqref="S294">
    <cfRule type="expression" dxfId="8766" priority="8003" stopIfTrue="1">
      <formula>$B294&lt;&gt;""</formula>
    </cfRule>
  </conditionalFormatting>
  <conditionalFormatting sqref="S294">
    <cfRule type="expression" dxfId="8765" priority="8002" stopIfTrue="1">
      <formula>$C294&lt;&gt;""</formula>
    </cfRule>
  </conditionalFormatting>
  <conditionalFormatting sqref="S294">
    <cfRule type="expression" dxfId="8764" priority="8001" stopIfTrue="1">
      <formula>$B294&lt;&gt;""</formula>
    </cfRule>
  </conditionalFormatting>
  <conditionalFormatting sqref="S294">
    <cfRule type="expression" dxfId="8763" priority="8000" stopIfTrue="1">
      <formula>$C294&lt;&gt;""</formula>
    </cfRule>
  </conditionalFormatting>
  <conditionalFormatting sqref="S290">
    <cfRule type="expression" dxfId="8762" priority="7999" stopIfTrue="1">
      <formula>$C290&lt;&gt;""</formula>
    </cfRule>
  </conditionalFormatting>
  <conditionalFormatting sqref="S290">
    <cfRule type="expression" dxfId="8761" priority="7998" stopIfTrue="1">
      <formula>$B290&lt;&gt;""</formula>
    </cfRule>
  </conditionalFormatting>
  <conditionalFormatting sqref="S291:S294">
    <cfRule type="expression" dxfId="8760" priority="7997" stopIfTrue="1">
      <formula>$C291&lt;&gt;""</formula>
    </cfRule>
  </conditionalFormatting>
  <conditionalFormatting sqref="S291:S294">
    <cfRule type="expression" dxfId="8759" priority="7996" stopIfTrue="1">
      <formula>$B291&lt;&gt;""</formula>
    </cfRule>
  </conditionalFormatting>
  <conditionalFormatting sqref="S293:S294">
    <cfRule type="expression" dxfId="8758" priority="7995" stopIfTrue="1">
      <formula>$C293&lt;&gt;""</formula>
    </cfRule>
  </conditionalFormatting>
  <conditionalFormatting sqref="S293:S294">
    <cfRule type="expression" dxfId="8757" priority="7994" stopIfTrue="1">
      <formula>$B293&lt;&gt;""</formula>
    </cfRule>
  </conditionalFormatting>
  <conditionalFormatting sqref="S295">
    <cfRule type="expression" dxfId="8756" priority="7993" stopIfTrue="1">
      <formula>$B295&lt;&gt;""</formula>
    </cfRule>
  </conditionalFormatting>
  <conditionalFormatting sqref="S295">
    <cfRule type="expression" dxfId="8755" priority="7992" stopIfTrue="1">
      <formula>$C295&lt;&gt;""</formula>
    </cfRule>
  </conditionalFormatting>
  <conditionalFormatting sqref="S295">
    <cfRule type="expression" dxfId="8754" priority="7991" stopIfTrue="1">
      <formula>$B295&lt;&gt;""</formula>
    </cfRule>
  </conditionalFormatting>
  <conditionalFormatting sqref="S295">
    <cfRule type="expression" dxfId="8753" priority="7990" stopIfTrue="1">
      <formula>$C295&lt;&gt;""</formula>
    </cfRule>
  </conditionalFormatting>
  <conditionalFormatting sqref="S295">
    <cfRule type="expression" dxfId="8752" priority="7989" stopIfTrue="1">
      <formula>$B295&lt;&gt;""</formula>
    </cfRule>
  </conditionalFormatting>
  <conditionalFormatting sqref="S295">
    <cfRule type="expression" dxfId="8751" priority="7988" stopIfTrue="1">
      <formula>$C295&lt;&gt;""</formula>
    </cfRule>
  </conditionalFormatting>
  <conditionalFormatting sqref="S295">
    <cfRule type="expression" dxfId="8750" priority="7987" stopIfTrue="1">
      <formula>$B295&lt;&gt;""</formula>
    </cfRule>
  </conditionalFormatting>
  <conditionalFormatting sqref="S295">
    <cfRule type="expression" dxfId="8749" priority="7986" stopIfTrue="1">
      <formula>$C295&lt;&gt;""</formula>
    </cfRule>
  </conditionalFormatting>
  <conditionalFormatting sqref="S295">
    <cfRule type="expression" dxfId="8748" priority="7985" stopIfTrue="1">
      <formula>$B295&lt;&gt;""</formula>
    </cfRule>
  </conditionalFormatting>
  <conditionalFormatting sqref="S295">
    <cfRule type="expression" dxfId="8747" priority="7984" stopIfTrue="1">
      <formula>$C295&lt;&gt;""</formula>
    </cfRule>
  </conditionalFormatting>
  <conditionalFormatting sqref="S295">
    <cfRule type="expression" dxfId="8746" priority="7983" stopIfTrue="1">
      <formula>$B295&lt;&gt;""</formula>
    </cfRule>
  </conditionalFormatting>
  <conditionalFormatting sqref="S295">
    <cfRule type="expression" dxfId="8745" priority="7982" stopIfTrue="1">
      <formula>$C295&lt;&gt;""</formula>
    </cfRule>
  </conditionalFormatting>
  <conditionalFormatting sqref="S295">
    <cfRule type="expression" dxfId="8744" priority="7981" stopIfTrue="1">
      <formula>$B295&lt;&gt;""</formula>
    </cfRule>
  </conditionalFormatting>
  <conditionalFormatting sqref="S295">
    <cfRule type="expression" dxfId="8743" priority="7980" stopIfTrue="1">
      <formula>$C295&lt;&gt;""</formula>
    </cfRule>
  </conditionalFormatting>
  <conditionalFormatting sqref="S295">
    <cfRule type="expression" dxfId="8742" priority="7979" stopIfTrue="1">
      <formula>$B295&lt;&gt;""</formula>
    </cfRule>
  </conditionalFormatting>
  <conditionalFormatting sqref="S295">
    <cfRule type="expression" dxfId="8741" priority="7978" stopIfTrue="1">
      <formula>$C295&lt;&gt;""</formula>
    </cfRule>
  </conditionalFormatting>
  <conditionalFormatting sqref="S295">
    <cfRule type="expression" dxfId="8740" priority="7977" stopIfTrue="1">
      <formula>$B295&lt;&gt;""</formula>
    </cfRule>
  </conditionalFormatting>
  <conditionalFormatting sqref="S295">
    <cfRule type="expression" dxfId="8739" priority="7976" stopIfTrue="1">
      <formula>$C295&lt;&gt;""</formula>
    </cfRule>
  </conditionalFormatting>
  <conditionalFormatting sqref="S295">
    <cfRule type="expression" dxfId="8738" priority="7975" stopIfTrue="1">
      <formula>$B295&lt;&gt;""</formula>
    </cfRule>
  </conditionalFormatting>
  <conditionalFormatting sqref="S295">
    <cfRule type="expression" dxfId="8737" priority="7974" stopIfTrue="1">
      <formula>$C295&lt;&gt;""</formula>
    </cfRule>
  </conditionalFormatting>
  <conditionalFormatting sqref="S295">
    <cfRule type="expression" dxfId="8736" priority="7973" stopIfTrue="1">
      <formula>$B295&lt;&gt;""</formula>
    </cfRule>
  </conditionalFormatting>
  <conditionalFormatting sqref="S295">
    <cfRule type="expression" dxfId="8735" priority="7972" stopIfTrue="1">
      <formula>$C295&lt;&gt;""</formula>
    </cfRule>
  </conditionalFormatting>
  <conditionalFormatting sqref="S295">
    <cfRule type="expression" dxfId="8734" priority="7971" stopIfTrue="1">
      <formula>$B295&lt;&gt;""</formula>
    </cfRule>
  </conditionalFormatting>
  <conditionalFormatting sqref="S295">
    <cfRule type="expression" dxfId="8733" priority="7970" stopIfTrue="1">
      <formula>$C295&lt;&gt;""</formula>
    </cfRule>
  </conditionalFormatting>
  <conditionalFormatting sqref="S295">
    <cfRule type="expression" dxfId="8732" priority="7969" stopIfTrue="1">
      <formula>$B295&lt;&gt;""</formula>
    </cfRule>
  </conditionalFormatting>
  <conditionalFormatting sqref="S295">
    <cfRule type="expression" dxfId="8731" priority="7968" stopIfTrue="1">
      <formula>$C295&lt;&gt;""</formula>
    </cfRule>
  </conditionalFormatting>
  <conditionalFormatting sqref="S295">
    <cfRule type="expression" dxfId="8730" priority="7967" stopIfTrue="1">
      <formula>$B295&lt;&gt;""</formula>
    </cfRule>
  </conditionalFormatting>
  <conditionalFormatting sqref="S295">
    <cfRule type="expression" dxfId="8729" priority="7966" stopIfTrue="1">
      <formula>$C295&lt;&gt;""</formula>
    </cfRule>
  </conditionalFormatting>
  <conditionalFormatting sqref="S295">
    <cfRule type="expression" dxfId="8728" priority="7965" stopIfTrue="1">
      <formula>$C295&lt;&gt;""</formula>
    </cfRule>
  </conditionalFormatting>
  <conditionalFormatting sqref="S295">
    <cfRule type="expression" dxfId="8727" priority="7964" stopIfTrue="1">
      <formula>$B295&lt;&gt;""</formula>
    </cfRule>
  </conditionalFormatting>
  <conditionalFormatting sqref="S295">
    <cfRule type="expression" dxfId="8726" priority="7963" stopIfTrue="1">
      <formula>$C295&lt;&gt;""</formula>
    </cfRule>
  </conditionalFormatting>
  <conditionalFormatting sqref="S295">
    <cfRule type="expression" dxfId="8725" priority="7962" stopIfTrue="1">
      <formula>$B295&lt;&gt;""</formula>
    </cfRule>
  </conditionalFormatting>
  <conditionalFormatting sqref="S295">
    <cfRule type="expression" dxfId="8724" priority="7961" stopIfTrue="1">
      <formula>$B295&lt;&gt;""</formula>
    </cfRule>
  </conditionalFormatting>
  <conditionalFormatting sqref="S295">
    <cfRule type="expression" dxfId="8723" priority="7960" stopIfTrue="1">
      <formula>$C295&lt;&gt;""</formula>
    </cfRule>
  </conditionalFormatting>
  <conditionalFormatting sqref="S295">
    <cfRule type="expression" dxfId="8722" priority="7959" stopIfTrue="1">
      <formula>$B295&lt;&gt;""</formula>
    </cfRule>
  </conditionalFormatting>
  <conditionalFormatting sqref="S295">
    <cfRule type="expression" dxfId="8721" priority="7958" stopIfTrue="1">
      <formula>$C295&lt;&gt;""</formula>
    </cfRule>
  </conditionalFormatting>
  <conditionalFormatting sqref="S295">
    <cfRule type="expression" dxfId="8720" priority="7957" stopIfTrue="1">
      <formula>$B295&lt;&gt;""</formula>
    </cfRule>
  </conditionalFormatting>
  <conditionalFormatting sqref="S295">
    <cfRule type="expression" dxfId="8719" priority="7956" stopIfTrue="1">
      <formula>$C295&lt;&gt;""</formula>
    </cfRule>
  </conditionalFormatting>
  <conditionalFormatting sqref="S295">
    <cfRule type="expression" dxfId="8718" priority="7955" stopIfTrue="1">
      <formula>$B295&lt;&gt;""</formula>
    </cfRule>
  </conditionalFormatting>
  <conditionalFormatting sqref="S295">
    <cfRule type="expression" dxfId="8717" priority="7954" stopIfTrue="1">
      <formula>$C295&lt;&gt;""</formula>
    </cfRule>
  </conditionalFormatting>
  <conditionalFormatting sqref="S295">
    <cfRule type="expression" dxfId="8716" priority="7953" stopIfTrue="1">
      <formula>$B295&lt;&gt;""</formula>
    </cfRule>
  </conditionalFormatting>
  <conditionalFormatting sqref="S295">
    <cfRule type="expression" dxfId="8715" priority="7952" stopIfTrue="1">
      <formula>$C295&lt;&gt;""</formula>
    </cfRule>
  </conditionalFormatting>
  <conditionalFormatting sqref="S295">
    <cfRule type="expression" dxfId="8714" priority="7951" stopIfTrue="1">
      <formula>$C295&lt;&gt;""</formula>
    </cfRule>
  </conditionalFormatting>
  <conditionalFormatting sqref="S295">
    <cfRule type="expression" dxfId="8713" priority="7950" stopIfTrue="1">
      <formula>$B295&lt;&gt;""</formula>
    </cfRule>
  </conditionalFormatting>
  <conditionalFormatting sqref="S295">
    <cfRule type="expression" dxfId="8712" priority="7949" stopIfTrue="1">
      <formula>$C295&lt;&gt;""</formula>
    </cfRule>
  </conditionalFormatting>
  <conditionalFormatting sqref="S295">
    <cfRule type="expression" dxfId="8711" priority="7948" stopIfTrue="1">
      <formula>$B295&lt;&gt;""</formula>
    </cfRule>
  </conditionalFormatting>
  <conditionalFormatting sqref="S295">
    <cfRule type="expression" dxfId="8710" priority="7947" stopIfTrue="1">
      <formula>$B295&lt;&gt;""</formula>
    </cfRule>
  </conditionalFormatting>
  <conditionalFormatting sqref="S295">
    <cfRule type="expression" dxfId="8709" priority="7946" stopIfTrue="1">
      <formula>$C295&lt;&gt;""</formula>
    </cfRule>
  </conditionalFormatting>
  <conditionalFormatting sqref="S296">
    <cfRule type="expression" dxfId="8708" priority="7945" stopIfTrue="1">
      <formula>$B296&lt;&gt;""</formula>
    </cfRule>
  </conditionalFormatting>
  <conditionalFormatting sqref="S296">
    <cfRule type="expression" dxfId="8707" priority="7944" stopIfTrue="1">
      <formula>$C296&lt;&gt;""</formula>
    </cfRule>
  </conditionalFormatting>
  <conditionalFormatting sqref="S295">
    <cfRule type="expression" dxfId="8706" priority="7943" stopIfTrue="1">
      <formula>$B295&lt;&gt;""</formula>
    </cfRule>
  </conditionalFormatting>
  <conditionalFormatting sqref="S295">
    <cfRule type="expression" dxfId="8705" priority="7942" stopIfTrue="1">
      <formula>$C295&lt;&gt;""</formula>
    </cfRule>
  </conditionalFormatting>
  <conditionalFormatting sqref="S296:S299">
    <cfRule type="expression" dxfId="8704" priority="7941" stopIfTrue="1">
      <formula>$B296&lt;&gt;""</formula>
    </cfRule>
  </conditionalFormatting>
  <conditionalFormatting sqref="S296:S299">
    <cfRule type="expression" dxfId="8703" priority="7940" stopIfTrue="1">
      <formula>$C296&lt;&gt;""</formula>
    </cfRule>
  </conditionalFormatting>
  <conditionalFormatting sqref="S295">
    <cfRule type="expression" dxfId="8702" priority="7939" stopIfTrue="1">
      <formula>$B295&lt;&gt;""</formula>
    </cfRule>
  </conditionalFormatting>
  <conditionalFormatting sqref="S295">
    <cfRule type="expression" dxfId="8701" priority="7938" stopIfTrue="1">
      <formula>$C295&lt;&gt;""</formula>
    </cfRule>
  </conditionalFormatting>
  <conditionalFormatting sqref="S296:S299">
    <cfRule type="expression" dxfId="8700" priority="7937" stopIfTrue="1">
      <formula>$B296&lt;&gt;""</formula>
    </cfRule>
  </conditionalFormatting>
  <conditionalFormatting sqref="S296:S299">
    <cfRule type="expression" dxfId="8699" priority="7936" stopIfTrue="1">
      <formula>$C296&lt;&gt;""</formula>
    </cfRule>
  </conditionalFormatting>
  <conditionalFormatting sqref="S295:S299">
    <cfRule type="expression" dxfId="8698" priority="7935" stopIfTrue="1">
      <formula>$B295&lt;&gt;""</formula>
    </cfRule>
  </conditionalFormatting>
  <conditionalFormatting sqref="S295:S299">
    <cfRule type="expression" dxfId="8697" priority="7934" stopIfTrue="1">
      <formula>$C295&lt;&gt;""</formula>
    </cfRule>
  </conditionalFormatting>
  <conditionalFormatting sqref="S295:S299">
    <cfRule type="expression" dxfId="8696" priority="7933" stopIfTrue="1">
      <formula>$B295&lt;&gt;""</formula>
    </cfRule>
  </conditionalFormatting>
  <conditionalFormatting sqref="S295:S299">
    <cfRule type="expression" dxfId="8695" priority="7932" stopIfTrue="1">
      <formula>$C295&lt;&gt;""</formula>
    </cfRule>
  </conditionalFormatting>
  <conditionalFormatting sqref="S295:S299">
    <cfRule type="expression" dxfId="8694" priority="7931" stopIfTrue="1">
      <formula>$B295&lt;&gt;""</formula>
    </cfRule>
  </conditionalFormatting>
  <conditionalFormatting sqref="S295:S299">
    <cfRule type="expression" dxfId="8693" priority="7930" stopIfTrue="1">
      <formula>$C295&lt;&gt;""</formula>
    </cfRule>
  </conditionalFormatting>
  <conditionalFormatting sqref="S295:S299">
    <cfRule type="expression" dxfId="8692" priority="7929" stopIfTrue="1">
      <formula>$B295&lt;&gt;""</formula>
    </cfRule>
  </conditionalFormatting>
  <conditionalFormatting sqref="S295:S299">
    <cfRule type="expression" dxfId="8691" priority="7928" stopIfTrue="1">
      <formula>$C295&lt;&gt;""</formula>
    </cfRule>
  </conditionalFormatting>
  <conditionalFormatting sqref="S295:S299">
    <cfRule type="expression" dxfId="8690" priority="7927" stopIfTrue="1">
      <formula>$B295&lt;&gt;""</formula>
    </cfRule>
  </conditionalFormatting>
  <conditionalFormatting sqref="S295:S299">
    <cfRule type="expression" dxfId="8689" priority="7926" stopIfTrue="1">
      <formula>$C295&lt;&gt;""</formula>
    </cfRule>
  </conditionalFormatting>
  <conditionalFormatting sqref="S295:S299">
    <cfRule type="expression" dxfId="8688" priority="7925" stopIfTrue="1">
      <formula>$B295&lt;&gt;""</formula>
    </cfRule>
  </conditionalFormatting>
  <conditionalFormatting sqref="S295:S299">
    <cfRule type="expression" dxfId="8687" priority="7924" stopIfTrue="1">
      <formula>$C295&lt;&gt;""</formula>
    </cfRule>
  </conditionalFormatting>
  <conditionalFormatting sqref="S295:S299">
    <cfRule type="expression" dxfId="8686" priority="7923" stopIfTrue="1">
      <formula>$B295&lt;&gt;""</formula>
    </cfRule>
  </conditionalFormatting>
  <conditionalFormatting sqref="S295:S299">
    <cfRule type="expression" dxfId="8685" priority="7922" stopIfTrue="1">
      <formula>$C295&lt;&gt;""</formula>
    </cfRule>
  </conditionalFormatting>
  <conditionalFormatting sqref="S295:S298">
    <cfRule type="expression" dxfId="8684" priority="7921" stopIfTrue="1">
      <formula>$B295&lt;&gt;""</formula>
    </cfRule>
  </conditionalFormatting>
  <conditionalFormatting sqref="S295:S298">
    <cfRule type="expression" dxfId="8683" priority="7920" stopIfTrue="1">
      <formula>$C295&lt;&gt;""</formula>
    </cfRule>
  </conditionalFormatting>
  <conditionalFormatting sqref="S299">
    <cfRule type="expression" dxfId="8682" priority="7919" stopIfTrue="1">
      <formula>$B299&lt;&gt;""</formula>
    </cfRule>
  </conditionalFormatting>
  <conditionalFormatting sqref="S299">
    <cfRule type="expression" dxfId="8681" priority="7918" stopIfTrue="1">
      <formula>$C299&lt;&gt;""</formula>
    </cfRule>
  </conditionalFormatting>
  <conditionalFormatting sqref="S295:S297">
    <cfRule type="expression" dxfId="8680" priority="7917" stopIfTrue="1">
      <formula>$B295&lt;&gt;""</formula>
    </cfRule>
  </conditionalFormatting>
  <conditionalFormatting sqref="S295:S297">
    <cfRule type="expression" dxfId="8679" priority="7916" stopIfTrue="1">
      <formula>$C295&lt;&gt;""</formula>
    </cfRule>
  </conditionalFormatting>
  <conditionalFormatting sqref="S298:S299">
    <cfRule type="expression" dxfId="8678" priority="7915" stopIfTrue="1">
      <formula>$B298&lt;&gt;""</formula>
    </cfRule>
  </conditionalFormatting>
  <conditionalFormatting sqref="S298:S299">
    <cfRule type="expression" dxfId="8677" priority="7914" stopIfTrue="1">
      <formula>$C298&lt;&gt;""</formula>
    </cfRule>
  </conditionalFormatting>
  <conditionalFormatting sqref="S295:S298">
    <cfRule type="expression" dxfId="8676" priority="7913" stopIfTrue="1">
      <formula>$B295&lt;&gt;""</formula>
    </cfRule>
  </conditionalFormatting>
  <conditionalFormatting sqref="S295:S298">
    <cfRule type="expression" dxfId="8675" priority="7912" stopIfTrue="1">
      <formula>$C295&lt;&gt;""</formula>
    </cfRule>
  </conditionalFormatting>
  <conditionalFormatting sqref="S295:S298">
    <cfRule type="expression" dxfId="8674" priority="7911" stopIfTrue="1">
      <formula>$B295&lt;&gt;""</formula>
    </cfRule>
  </conditionalFormatting>
  <conditionalFormatting sqref="S295:S298">
    <cfRule type="expression" dxfId="8673" priority="7910" stopIfTrue="1">
      <formula>$C295&lt;&gt;""</formula>
    </cfRule>
  </conditionalFormatting>
  <conditionalFormatting sqref="S299">
    <cfRule type="expression" dxfId="8672" priority="7909" stopIfTrue="1">
      <formula>$B299&lt;&gt;""</formula>
    </cfRule>
  </conditionalFormatting>
  <conditionalFormatting sqref="S299">
    <cfRule type="expression" dxfId="8671" priority="7908" stopIfTrue="1">
      <formula>$C299&lt;&gt;""</formula>
    </cfRule>
  </conditionalFormatting>
  <conditionalFormatting sqref="S295:S298">
    <cfRule type="expression" dxfId="8670" priority="7907" stopIfTrue="1">
      <formula>$B295&lt;&gt;""</formula>
    </cfRule>
  </conditionalFormatting>
  <conditionalFormatting sqref="S295:S298">
    <cfRule type="expression" dxfId="8669" priority="7906" stopIfTrue="1">
      <formula>$C295&lt;&gt;""</formula>
    </cfRule>
  </conditionalFormatting>
  <conditionalFormatting sqref="S299">
    <cfRule type="expression" dxfId="8668" priority="7905" stopIfTrue="1">
      <formula>$B299&lt;&gt;""</formula>
    </cfRule>
  </conditionalFormatting>
  <conditionalFormatting sqref="S299">
    <cfRule type="expression" dxfId="8667" priority="7904" stopIfTrue="1">
      <formula>$C299&lt;&gt;""</formula>
    </cfRule>
  </conditionalFormatting>
  <conditionalFormatting sqref="S299">
    <cfRule type="expression" dxfId="8666" priority="7903" stopIfTrue="1">
      <formula>$B299&lt;&gt;""</formula>
    </cfRule>
  </conditionalFormatting>
  <conditionalFormatting sqref="S299">
    <cfRule type="expression" dxfId="8665" priority="7902" stopIfTrue="1">
      <formula>$C299&lt;&gt;""</formula>
    </cfRule>
  </conditionalFormatting>
  <conditionalFormatting sqref="S295">
    <cfRule type="expression" dxfId="8664" priority="7901" stopIfTrue="1">
      <formula>$C295&lt;&gt;""</formula>
    </cfRule>
  </conditionalFormatting>
  <conditionalFormatting sqref="S295">
    <cfRule type="expression" dxfId="8663" priority="7900" stopIfTrue="1">
      <formula>$B295&lt;&gt;""</formula>
    </cfRule>
  </conditionalFormatting>
  <conditionalFormatting sqref="S296:S299">
    <cfRule type="expression" dxfId="8662" priority="7899" stopIfTrue="1">
      <formula>$C296&lt;&gt;""</formula>
    </cfRule>
  </conditionalFormatting>
  <conditionalFormatting sqref="S296:S299">
    <cfRule type="expression" dxfId="8661" priority="7898" stopIfTrue="1">
      <formula>$B296&lt;&gt;""</formula>
    </cfRule>
  </conditionalFormatting>
  <conditionalFormatting sqref="S298:S299">
    <cfRule type="expression" dxfId="8660" priority="7897" stopIfTrue="1">
      <formula>$C298&lt;&gt;""</formula>
    </cfRule>
  </conditionalFormatting>
  <conditionalFormatting sqref="S298:S299">
    <cfRule type="expression" dxfId="8659" priority="7896" stopIfTrue="1">
      <formula>$B298&lt;&gt;""</formula>
    </cfRule>
  </conditionalFormatting>
  <conditionalFormatting sqref="S295:S298">
    <cfRule type="expression" dxfId="8658" priority="7895" stopIfTrue="1">
      <formula>$B295&lt;&gt;""</formula>
    </cfRule>
  </conditionalFormatting>
  <conditionalFormatting sqref="S295:S298">
    <cfRule type="expression" dxfId="8657" priority="7894" stopIfTrue="1">
      <formula>$C295&lt;&gt;""</formula>
    </cfRule>
  </conditionalFormatting>
  <conditionalFormatting sqref="S299">
    <cfRule type="expression" dxfId="8656" priority="7893" stopIfTrue="1">
      <formula>$B299&lt;&gt;""</formula>
    </cfRule>
  </conditionalFormatting>
  <conditionalFormatting sqref="S299">
    <cfRule type="expression" dxfId="8655" priority="7892" stopIfTrue="1">
      <formula>$C299&lt;&gt;""</formula>
    </cfRule>
  </conditionalFormatting>
  <conditionalFormatting sqref="S295:S297">
    <cfRule type="expression" dxfId="8654" priority="7891" stopIfTrue="1">
      <formula>$B295&lt;&gt;""</formula>
    </cfRule>
  </conditionalFormatting>
  <conditionalFormatting sqref="S295:S297">
    <cfRule type="expression" dxfId="8653" priority="7890" stopIfTrue="1">
      <formula>$C295&lt;&gt;""</formula>
    </cfRule>
  </conditionalFormatting>
  <conditionalFormatting sqref="S298:S299">
    <cfRule type="expression" dxfId="8652" priority="7889" stopIfTrue="1">
      <formula>$B298&lt;&gt;""</formula>
    </cfRule>
  </conditionalFormatting>
  <conditionalFormatting sqref="S298:S299">
    <cfRule type="expression" dxfId="8651" priority="7888" stopIfTrue="1">
      <formula>$C298&lt;&gt;""</formula>
    </cfRule>
  </conditionalFormatting>
  <conditionalFormatting sqref="S295:S298">
    <cfRule type="expression" dxfId="8650" priority="7887" stopIfTrue="1">
      <formula>$B295&lt;&gt;""</formula>
    </cfRule>
  </conditionalFormatting>
  <conditionalFormatting sqref="S295:S298">
    <cfRule type="expression" dxfId="8649" priority="7886" stopIfTrue="1">
      <formula>$C295&lt;&gt;""</formula>
    </cfRule>
  </conditionalFormatting>
  <conditionalFormatting sqref="S295:S298">
    <cfRule type="expression" dxfId="8648" priority="7885" stopIfTrue="1">
      <formula>$B295&lt;&gt;""</formula>
    </cfRule>
  </conditionalFormatting>
  <conditionalFormatting sqref="S295:S298">
    <cfRule type="expression" dxfId="8647" priority="7884" stopIfTrue="1">
      <formula>$C295&lt;&gt;""</formula>
    </cfRule>
  </conditionalFormatting>
  <conditionalFormatting sqref="S299">
    <cfRule type="expression" dxfId="8646" priority="7883" stopIfTrue="1">
      <formula>$B299&lt;&gt;""</formula>
    </cfRule>
  </conditionalFormatting>
  <conditionalFormatting sqref="S299">
    <cfRule type="expression" dxfId="8645" priority="7882" stopIfTrue="1">
      <formula>$C299&lt;&gt;""</formula>
    </cfRule>
  </conditionalFormatting>
  <conditionalFormatting sqref="S295:S298">
    <cfRule type="expression" dxfId="8644" priority="7881" stopIfTrue="1">
      <formula>$B295&lt;&gt;""</formula>
    </cfRule>
  </conditionalFormatting>
  <conditionalFormatting sqref="S295:S298">
    <cfRule type="expression" dxfId="8643" priority="7880" stopIfTrue="1">
      <formula>$C295&lt;&gt;""</formula>
    </cfRule>
  </conditionalFormatting>
  <conditionalFormatting sqref="S299">
    <cfRule type="expression" dxfId="8642" priority="7879" stopIfTrue="1">
      <formula>$B299&lt;&gt;""</formula>
    </cfRule>
  </conditionalFormatting>
  <conditionalFormatting sqref="S299">
    <cfRule type="expression" dxfId="8641" priority="7878" stopIfTrue="1">
      <formula>$C299&lt;&gt;""</formula>
    </cfRule>
  </conditionalFormatting>
  <conditionalFormatting sqref="S299">
    <cfRule type="expression" dxfId="8640" priority="7877" stopIfTrue="1">
      <formula>$B299&lt;&gt;""</formula>
    </cfRule>
  </conditionalFormatting>
  <conditionalFormatting sqref="S299">
    <cfRule type="expression" dxfId="8639" priority="7876" stopIfTrue="1">
      <formula>$C299&lt;&gt;""</formula>
    </cfRule>
  </conditionalFormatting>
  <conditionalFormatting sqref="S295">
    <cfRule type="expression" dxfId="8638" priority="7875" stopIfTrue="1">
      <formula>$C295&lt;&gt;""</formula>
    </cfRule>
  </conditionalFormatting>
  <conditionalFormatting sqref="S295">
    <cfRule type="expression" dxfId="8637" priority="7874" stopIfTrue="1">
      <formula>$B295&lt;&gt;""</formula>
    </cfRule>
  </conditionalFormatting>
  <conditionalFormatting sqref="S296:S299">
    <cfRule type="expression" dxfId="8636" priority="7873" stopIfTrue="1">
      <formula>$C296&lt;&gt;""</formula>
    </cfRule>
  </conditionalFormatting>
  <conditionalFormatting sqref="S296:S299">
    <cfRule type="expression" dxfId="8635" priority="7872" stopIfTrue="1">
      <formula>$B296&lt;&gt;""</formula>
    </cfRule>
  </conditionalFormatting>
  <conditionalFormatting sqref="S298:S299">
    <cfRule type="expression" dxfId="8634" priority="7871" stopIfTrue="1">
      <formula>$C298&lt;&gt;""</formula>
    </cfRule>
  </conditionalFormatting>
  <conditionalFormatting sqref="S298:S299">
    <cfRule type="expression" dxfId="8633" priority="7870" stopIfTrue="1">
      <formula>$B298&lt;&gt;""</formula>
    </cfRule>
  </conditionalFormatting>
  <conditionalFormatting sqref="S295">
    <cfRule type="expression" dxfId="8632" priority="7869" stopIfTrue="1">
      <formula>$B295&lt;&gt;""</formula>
    </cfRule>
  </conditionalFormatting>
  <conditionalFormatting sqref="S295">
    <cfRule type="expression" dxfId="8631" priority="7868" stopIfTrue="1">
      <formula>$C295&lt;&gt;""</formula>
    </cfRule>
  </conditionalFormatting>
  <conditionalFormatting sqref="S295">
    <cfRule type="expression" dxfId="8630" priority="7867" stopIfTrue="1">
      <formula>$B295&lt;&gt;""</formula>
    </cfRule>
  </conditionalFormatting>
  <conditionalFormatting sqref="S295">
    <cfRule type="expression" dxfId="8629" priority="7866" stopIfTrue="1">
      <formula>$C295&lt;&gt;""</formula>
    </cfRule>
  </conditionalFormatting>
  <conditionalFormatting sqref="S295">
    <cfRule type="expression" dxfId="8628" priority="7865" stopIfTrue="1">
      <formula>$B295&lt;&gt;""</formula>
    </cfRule>
  </conditionalFormatting>
  <conditionalFormatting sqref="S295">
    <cfRule type="expression" dxfId="8627" priority="7864" stopIfTrue="1">
      <formula>$C295&lt;&gt;""</formula>
    </cfRule>
  </conditionalFormatting>
  <conditionalFormatting sqref="S295">
    <cfRule type="expression" dxfId="8626" priority="7863" stopIfTrue="1">
      <formula>$B295&lt;&gt;""</formula>
    </cfRule>
  </conditionalFormatting>
  <conditionalFormatting sqref="S295">
    <cfRule type="expression" dxfId="8625" priority="7862" stopIfTrue="1">
      <formula>$C295&lt;&gt;""</formula>
    </cfRule>
  </conditionalFormatting>
  <conditionalFormatting sqref="S295">
    <cfRule type="expression" dxfId="8624" priority="7861" stopIfTrue="1">
      <formula>$B295&lt;&gt;""</formula>
    </cfRule>
  </conditionalFormatting>
  <conditionalFormatting sqref="S295">
    <cfRule type="expression" dxfId="8623" priority="7860" stopIfTrue="1">
      <formula>$C295&lt;&gt;""</formula>
    </cfRule>
  </conditionalFormatting>
  <conditionalFormatting sqref="S295">
    <cfRule type="expression" dxfId="8622" priority="7859" stopIfTrue="1">
      <formula>$B295&lt;&gt;""</formula>
    </cfRule>
  </conditionalFormatting>
  <conditionalFormatting sqref="S295">
    <cfRule type="expression" dxfId="8621" priority="7858" stopIfTrue="1">
      <formula>$C295&lt;&gt;""</formula>
    </cfRule>
  </conditionalFormatting>
  <conditionalFormatting sqref="S295">
    <cfRule type="expression" dxfId="8620" priority="7857" stopIfTrue="1">
      <formula>$B295&lt;&gt;""</formula>
    </cfRule>
  </conditionalFormatting>
  <conditionalFormatting sqref="S295">
    <cfRule type="expression" dxfId="8619" priority="7856" stopIfTrue="1">
      <formula>$C295&lt;&gt;""</formula>
    </cfRule>
  </conditionalFormatting>
  <conditionalFormatting sqref="S295">
    <cfRule type="expression" dxfId="8618" priority="7855" stopIfTrue="1">
      <formula>$B295&lt;&gt;""</formula>
    </cfRule>
  </conditionalFormatting>
  <conditionalFormatting sqref="S295">
    <cfRule type="expression" dxfId="8617" priority="7854" stopIfTrue="1">
      <formula>$C295&lt;&gt;""</formula>
    </cfRule>
  </conditionalFormatting>
  <conditionalFormatting sqref="S295">
    <cfRule type="expression" dxfId="8616" priority="7853" stopIfTrue="1">
      <formula>$B295&lt;&gt;""</formula>
    </cfRule>
  </conditionalFormatting>
  <conditionalFormatting sqref="S295">
    <cfRule type="expression" dxfId="8615" priority="7852" stopIfTrue="1">
      <formula>$C295&lt;&gt;""</formula>
    </cfRule>
  </conditionalFormatting>
  <conditionalFormatting sqref="S295">
    <cfRule type="expression" dxfId="8614" priority="7851" stopIfTrue="1">
      <formula>$B295&lt;&gt;""</formula>
    </cfRule>
  </conditionalFormatting>
  <conditionalFormatting sqref="S295">
    <cfRule type="expression" dxfId="8613" priority="7850" stopIfTrue="1">
      <formula>$C295&lt;&gt;""</formula>
    </cfRule>
  </conditionalFormatting>
  <conditionalFormatting sqref="S295">
    <cfRule type="expression" dxfId="8612" priority="7849" stopIfTrue="1">
      <formula>$B295&lt;&gt;""</formula>
    </cfRule>
  </conditionalFormatting>
  <conditionalFormatting sqref="S295">
    <cfRule type="expression" dxfId="8611" priority="7848" stopIfTrue="1">
      <formula>$C295&lt;&gt;""</formula>
    </cfRule>
  </conditionalFormatting>
  <conditionalFormatting sqref="S295">
    <cfRule type="expression" dxfId="8610" priority="7847" stopIfTrue="1">
      <formula>$B295&lt;&gt;""</formula>
    </cfRule>
  </conditionalFormatting>
  <conditionalFormatting sqref="S295">
    <cfRule type="expression" dxfId="8609" priority="7846" stopIfTrue="1">
      <formula>$C295&lt;&gt;""</formula>
    </cfRule>
  </conditionalFormatting>
  <conditionalFormatting sqref="S295">
    <cfRule type="expression" dxfId="8608" priority="7845" stopIfTrue="1">
      <formula>$B295&lt;&gt;""</formula>
    </cfRule>
  </conditionalFormatting>
  <conditionalFormatting sqref="S295">
    <cfRule type="expression" dxfId="8607" priority="7844" stopIfTrue="1">
      <formula>$C295&lt;&gt;""</formula>
    </cfRule>
  </conditionalFormatting>
  <conditionalFormatting sqref="S295">
    <cfRule type="expression" dxfId="8606" priority="7843" stopIfTrue="1">
      <formula>$B295&lt;&gt;""</formula>
    </cfRule>
  </conditionalFormatting>
  <conditionalFormatting sqref="S295">
    <cfRule type="expression" dxfId="8605" priority="7842" stopIfTrue="1">
      <formula>$C295&lt;&gt;""</formula>
    </cfRule>
  </conditionalFormatting>
  <conditionalFormatting sqref="S295">
    <cfRule type="expression" dxfId="8604" priority="7841" stopIfTrue="1">
      <formula>$C295&lt;&gt;""</formula>
    </cfRule>
  </conditionalFormatting>
  <conditionalFormatting sqref="S295">
    <cfRule type="expression" dxfId="8603" priority="7840" stopIfTrue="1">
      <formula>$B295&lt;&gt;""</formula>
    </cfRule>
  </conditionalFormatting>
  <conditionalFormatting sqref="S295">
    <cfRule type="expression" dxfId="8602" priority="7839" stopIfTrue="1">
      <formula>$C295&lt;&gt;""</formula>
    </cfRule>
  </conditionalFormatting>
  <conditionalFormatting sqref="S295">
    <cfRule type="expression" dxfId="8601" priority="7838" stopIfTrue="1">
      <formula>$B295&lt;&gt;""</formula>
    </cfRule>
  </conditionalFormatting>
  <conditionalFormatting sqref="S295">
    <cfRule type="expression" dxfId="8600" priority="7837" stopIfTrue="1">
      <formula>$B295&lt;&gt;""</formula>
    </cfRule>
  </conditionalFormatting>
  <conditionalFormatting sqref="S295">
    <cfRule type="expression" dxfId="8599" priority="7836" stopIfTrue="1">
      <formula>$C295&lt;&gt;""</formula>
    </cfRule>
  </conditionalFormatting>
  <conditionalFormatting sqref="S295">
    <cfRule type="expression" dxfId="8598" priority="7835" stopIfTrue="1">
      <formula>$B295&lt;&gt;""</formula>
    </cfRule>
  </conditionalFormatting>
  <conditionalFormatting sqref="S295">
    <cfRule type="expression" dxfId="8597" priority="7834" stopIfTrue="1">
      <formula>$C295&lt;&gt;""</formula>
    </cfRule>
  </conditionalFormatting>
  <conditionalFormatting sqref="S295">
    <cfRule type="expression" dxfId="8596" priority="7833" stopIfTrue="1">
      <formula>$B295&lt;&gt;""</formula>
    </cfRule>
  </conditionalFormatting>
  <conditionalFormatting sqref="S295">
    <cfRule type="expression" dxfId="8595" priority="7832" stopIfTrue="1">
      <formula>$C295&lt;&gt;""</formula>
    </cfRule>
  </conditionalFormatting>
  <conditionalFormatting sqref="S295">
    <cfRule type="expression" dxfId="8594" priority="7831" stopIfTrue="1">
      <formula>$B295&lt;&gt;""</formula>
    </cfRule>
  </conditionalFormatting>
  <conditionalFormatting sqref="S295">
    <cfRule type="expression" dxfId="8593" priority="7830" stopIfTrue="1">
      <formula>$C295&lt;&gt;""</formula>
    </cfRule>
  </conditionalFormatting>
  <conditionalFormatting sqref="S295">
    <cfRule type="expression" dxfId="8592" priority="7829" stopIfTrue="1">
      <formula>$B295&lt;&gt;""</formula>
    </cfRule>
  </conditionalFormatting>
  <conditionalFormatting sqref="S295">
    <cfRule type="expression" dxfId="8591" priority="7828" stopIfTrue="1">
      <formula>$C295&lt;&gt;""</formula>
    </cfRule>
  </conditionalFormatting>
  <conditionalFormatting sqref="S295">
    <cfRule type="expression" dxfId="8590" priority="7827" stopIfTrue="1">
      <formula>$C295&lt;&gt;""</formula>
    </cfRule>
  </conditionalFormatting>
  <conditionalFormatting sqref="S295">
    <cfRule type="expression" dxfId="8589" priority="7826" stopIfTrue="1">
      <formula>$B295&lt;&gt;""</formula>
    </cfRule>
  </conditionalFormatting>
  <conditionalFormatting sqref="S295">
    <cfRule type="expression" dxfId="8588" priority="7825" stopIfTrue="1">
      <formula>$C295&lt;&gt;""</formula>
    </cfRule>
  </conditionalFormatting>
  <conditionalFormatting sqref="S295">
    <cfRule type="expression" dxfId="8587" priority="7824" stopIfTrue="1">
      <formula>$B295&lt;&gt;""</formula>
    </cfRule>
  </conditionalFormatting>
  <conditionalFormatting sqref="S295">
    <cfRule type="expression" dxfId="8586" priority="7823" stopIfTrue="1">
      <formula>$B295&lt;&gt;""</formula>
    </cfRule>
  </conditionalFormatting>
  <conditionalFormatting sqref="S295">
    <cfRule type="expression" dxfId="8585" priority="7822" stopIfTrue="1">
      <formula>$C295&lt;&gt;""</formula>
    </cfRule>
  </conditionalFormatting>
  <conditionalFormatting sqref="S296">
    <cfRule type="expression" dxfId="8584" priority="7821" stopIfTrue="1">
      <formula>$B296&lt;&gt;""</formula>
    </cfRule>
  </conditionalFormatting>
  <conditionalFormatting sqref="S296">
    <cfRule type="expression" dxfId="8583" priority="7820" stopIfTrue="1">
      <formula>$C296&lt;&gt;""</formula>
    </cfRule>
  </conditionalFormatting>
  <conditionalFormatting sqref="S295">
    <cfRule type="expression" dxfId="8582" priority="7819" stopIfTrue="1">
      <formula>$B295&lt;&gt;""</formula>
    </cfRule>
  </conditionalFormatting>
  <conditionalFormatting sqref="S295">
    <cfRule type="expression" dxfId="8581" priority="7818" stopIfTrue="1">
      <formula>$C295&lt;&gt;""</formula>
    </cfRule>
  </conditionalFormatting>
  <conditionalFormatting sqref="S296:S299">
    <cfRule type="expression" dxfId="8580" priority="7817" stopIfTrue="1">
      <formula>$B296&lt;&gt;""</formula>
    </cfRule>
  </conditionalFormatting>
  <conditionalFormatting sqref="S296:S299">
    <cfRule type="expression" dxfId="8579" priority="7816" stopIfTrue="1">
      <formula>$C296&lt;&gt;""</formula>
    </cfRule>
  </conditionalFormatting>
  <conditionalFormatting sqref="S295">
    <cfRule type="expression" dxfId="8578" priority="7815" stopIfTrue="1">
      <formula>$B295&lt;&gt;""</formula>
    </cfRule>
  </conditionalFormatting>
  <conditionalFormatting sqref="S295">
    <cfRule type="expression" dxfId="8577" priority="7814" stopIfTrue="1">
      <formula>$C295&lt;&gt;""</formula>
    </cfRule>
  </conditionalFormatting>
  <conditionalFormatting sqref="S296:S299">
    <cfRule type="expression" dxfId="8576" priority="7813" stopIfTrue="1">
      <formula>$B296&lt;&gt;""</formula>
    </cfRule>
  </conditionalFormatting>
  <conditionalFormatting sqref="S296:S299">
    <cfRule type="expression" dxfId="8575" priority="7812" stopIfTrue="1">
      <formula>$C296&lt;&gt;""</formula>
    </cfRule>
  </conditionalFormatting>
  <conditionalFormatting sqref="S295:S299">
    <cfRule type="expression" dxfId="8574" priority="7811" stopIfTrue="1">
      <formula>$B295&lt;&gt;""</formula>
    </cfRule>
  </conditionalFormatting>
  <conditionalFormatting sqref="S295:S299">
    <cfRule type="expression" dxfId="8573" priority="7810" stopIfTrue="1">
      <formula>$C295&lt;&gt;""</formula>
    </cfRule>
  </conditionalFormatting>
  <conditionalFormatting sqref="S295:S299">
    <cfRule type="expression" dxfId="8572" priority="7809" stopIfTrue="1">
      <formula>$B295&lt;&gt;""</formula>
    </cfRule>
  </conditionalFormatting>
  <conditionalFormatting sqref="S295:S299">
    <cfRule type="expression" dxfId="8571" priority="7808" stopIfTrue="1">
      <formula>$C295&lt;&gt;""</formula>
    </cfRule>
  </conditionalFormatting>
  <conditionalFormatting sqref="S295:S299">
    <cfRule type="expression" dxfId="8570" priority="7807" stopIfTrue="1">
      <formula>$B295&lt;&gt;""</formula>
    </cfRule>
  </conditionalFormatting>
  <conditionalFormatting sqref="S295:S299">
    <cfRule type="expression" dxfId="8569" priority="7806" stopIfTrue="1">
      <formula>$C295&lt;&gt;""</formula>
    </cfRule>
  </conditionalFormatting>
  <conditionalFormatting sqref="S295:S299">
    <cfRule type="expression" dxfId="8568" priority="7805" stopIfTrue="1">
      <formula>$B295&lt;&gt;""</formula>
    </cfRule>
  </conditionalFormatting>
  <conditionalFormatting sqref="S295:S299">
    <cfRule type="expression" dxfId="8567" priority="7804" stopIfTrue="1">
      <formula>$C295&lt;&gt;""</formula>
    </cfRule>
  </conditionalFormatting>
  <conditionalFormatting sqref="S295:S299">
    <cfRule type="expression" dxfId="8566" priority="7803" stopIfTrue="1">
      <formula>$B295&lt;&gt;""</formula>
    </cfRule>
  </conditionalFormatting>
  <conditionalFormatting sqref="S295:S299">
    <cfRule type="expression" dxfId="8565" priority="7802" stopIfTrue="1">
      <formula>$C295&lt;&gt;""</formula>
    </cfRule>
  </conditionalFormatting>
  <conditionalFormatting sqref="S295:S299">
    <cfRule type="expression" dxfId="8564" priority="7801" stopIfTrue="1">
      <formula>$B295&lt;&gt;""</formula>
    </cfRule>
  </conditionalFormatting>
  <conditionalFormatting sqref="S295:S299">
    <cfRule type="expression" dxfId="8563" priority="7800" stopIfTrue="1">
      <formula>$C295&lt;&gt;""</formula>
    </cfRule>
  </conditionalFormatting>
  <conditionalFormatting sqref="S295:S299">
    <cfRule type="expression" dxfId="8562" priority="7799" stopIfTrue="1">
      <formula>$B295&lt;&gt;""</formula>
    </cfRule>
  </conditionalFormatting>
  <conditionalFormatting sqref="S295:S299">
    <cfRule type="expression" dxfId="8561" priority="7798" stopIfTrue="1">
      <formula>$C295&lt;&gt;""</formula>
    </cfRule>
  </conditionalFormatting>
  <conditionalFormatting sqref="S295:S298">
    <cfRule type="expression" dxfId="8560" priority="7797" stopIfTrue="1">
      <formula>$B295&lt;&gt;""</formula>
    </cfRule>
  </conditionalFormatting>
  <conditionalFormatting sqref="S295:S298">
    <cfRule type="expression" dxfId="8559" priority="7796" stopIfTrue="1">
      <formula>$C295&lt;&gt;""</formula>
    </cfRule>
  </conditionalFormatting>
  <conditionalFormatting sqref="S299">
    <cfRule type="expression" dxfId="8558" priority="7795" stopIfTrue="1">
      <formula>$B299&lt;&gt;""</formula>
    </cfRule>
  </conditionalFormatting>
  <conditionalFormatting sqref="S299">
    <cfRule type="expression" dxfId="8557" priority="7794" stopIfTrue="1">
      <formula>$C299&lt;&gt;""</formula>
    </cfRule>
  </conditionalFormatting>
  <conditionalFormatting sqref="S295:S297">
    <cfRule type="expression" dxfId="8556" priority="7793" stopIfTrue="1">
      <formula>$B295&lt;&gt;""</formula>
    </cfRule>
  </conditionalFormatting>
  <conditionalFormatting sqref="S295:S297">
    <cfRule type="expression" dxfId="8555" priority="7792" stopIfTrue="1">
      <formula>$C295&lt;&gt;""</formula>
    </cfRule>
  </conditionalFormatting>
  <conditionalFormatting sqref="S298:S299">
    <cfRule type="expression" dxfId="8554" priority="7791" stopIfTrue="1">
      <formula>$B298&lt;&gt;""</formula>
    </cfRule>
  </conditionalFormatting>
  <conditionalFormatting sqref="S298:S299">
    <cfRule type="expression" dxfId="8553" priority="7790" stopIfTrue="1">
      <formula>$C298&lt;&gt;""</formula>
    </cfRule>
  </conditionalFormatting>
  <conditionalFormatting sqref="S295:S298">
    <cfRule type="expression" dxfId="8552" priority="7789" stopIfTrue="1">
      <formula>$B295&lt;&gt;""</formula>
    </cfRule>
  </conditionalFormatting>
  <conditionalFormatting sqref="S295:S298">
    <cfRule type="expression" dxfId="8551" priority="7788" stopIfTrue="1">
      <formula>$C295&lt;&gt;""</formula>
    </cfRule>
  </conditionalFormatting>
  <conditionalFormatting sqref="S295:S298">
    <cfRule type="expression" dxfId="8550" priority="7787" stopIfTrue="1">
      <formula>$B295&lt;&gt;""</formula>
    </cfRule>
  </conditionalFormatting>
  <conditionalFormatting sqref="S295:S298">
    <cfRule type="expression" dxfId="8549" priority="7786" stopIfTrue="1">
      <formula>$C295&lt;&gt;""</formula>
    </cfRule>
  </conditionalFormatting>
  <conditionalFormatting sqref="S299">
    <cfRule type="expression" dxfId="8548" priority="7785" stopIfTrue="1">
      <formula>$B299&lt;&gt;""</formula>
    </cfRule>
  </conditionalFormatting>
  <conditionalFormatting sqref="S299">
    <cfRule type="expression" dxfId="8547" priority="7784" stopIfTrue="1">
      <formula>$C299&lt;&gt;""</formula>
    </cfRule>
  </conditionalFormatting>
  <conditionalFormatting sqref="S295:S298">
    <cfRule type="expression" dxfId="8546" priority="7783" stopIfTrue="1">
      <formula>$B295&lt;&gt;""</formula>
    </cfRule>
  </conditionalFormatting>
  <conditionalFormatting sqref="S295:S298">
    <cfRule type="expression" dxfId="8545" priority="7782" stopIfTrue="1">
      <formula>$C295&lt;&gt;""</formula>
    </cfRule>
  </conditionalFormatting>
  <conditionalFormatting sqref="S299">
    <cfRule type="expression" dxfId="8544" priority="7781" stopIfTrue="1">
      <formula>$B299&lt;&gt;""</formula>
    </cfRule>
  </conditionalFormatting>
  <conditionalFormatting sqref="S299">
    <cfRule type="expression" dxfId="8543" priority="7780" stopIfTrue="1">
      <formula>$C299&lt;&gt;""</formula>
    </cfRule>
  </conditionalFormatting>
  <conditionalFormatting sqref="S299">
    <cfRule type="expression" dxfId="8542" priority="7779" stopIfTrue="1">
      <formula>$B299&lt;&gt;""</formula>
    </cfRule>
  </conditionalFormatting>
  <conditionalFormatting sqref="S299">
    <cfRule type="expression" dxfId="8541" priority="7778" stopIfTrue="1">
      <formula>$C299&lt;&gt;""</formula>
    </cfRule>
  </conditionalFormatting>
  <conditionalFormatting sqref="S295">
    <cfRule type="expression" dxfId="8540" priority="7777" stopIfTrue="1">
      <formula>$C295&lt;&gt;""</formula>
    </cfRule>
  </conditionalFormatting>
  <conditionalFormatting sqref="S295">
    <cfRule type="expression" dxfId="8539" priority="7776" stopIfTrue="1">
      <formula>$B295&lt;&gt;""</formula>
    </cfRule>
  </conditionalFormatting>
  <conditionalFormatting sqref="S296:S299">
    <cfRule type="expression" dxfId="8538" priority="7775" stopIfTrue="1">
      <formula>$C296&lt;&gt;""</formula>
    </cfRule>
  </conditionalFormatting>
  <conditionalFormatting sqref="S296:S299">
    <cfRule type="expression" dxfId="8537" priority="7774" stopIfTrue="1">
      <formula>$B296&lt;&gt;""</formula>
    </cfRule>
  </conditionalFormatting>
  <conditionalFormatting sqref="S298:S299">
    <cfRule type="expression" dxfId="8536" priority="7773" stopIfTrue="1">
      <formula>$C298&lt;&gt;""</formula>
    </cfRule>
  </conditionalFormatting>
  <conditionalFormatting sqref="S298:S299">
    <cfRule type="expression" dxfId="8535" priority="7772" stopIfTrue="1">
      <formula>$B298&lt;&gt;""</formula>
    </cfRule>
  </conditionalFormatting>
  <conditionalFormatting sqref="S295:S298">
    <cfRule type="expression" dxfId="8534" priority="7771" stopIfTrue="1">
      <formula>$B295&lt;&gt;""</formula>
    </cfRule>
  </conditionalFormatting>
  <conditionalFormatting sqref="S295:S298">
    <cfRule type="expression" dxfId="8533" priority="7770" stopIfTrue="1">
      <formula>$C295&lt;&gt;""</formula>
    </cfRule>
  </conditionalFormatting>
  <conditionalFormatting sqref="S299">
    <cfRule type="expression" dxfId="8532" priority="7769" stopIfTrue="1">
      <formula>$B299&lt;&gt;""</formula>
    </cfRule>
  </conditionalFormatting>
  <conditionalFormatting sqref="S299">
    <cfRule type="expression" dxfId="8531" priority="7768" stopIfTrue="1">
      <formula>$C299&lt;&gt;""</formula>
    </cfRule>
  </conditionalFormatting>
  <conditionalFormatting sqref="S295:S297">
    <cfRule type="expression" dxfId="8530" priority="7767" stopIfTrue="1">
      <formula>$B295&lt;&gt;""</formula>
    </cfRule>
  </conditionalFormatting>
  <conditionalFormatting sqref="S295:S297">
    <cfRule type="expression" dxfId="8529" priority="7766" stopIfTrue="1">
      <formula>$C295&lt;&gt;""</formula>
    </cfRule>
  </conditionalFormatting>
  <conditionalFormatting sqref="S298:S299">
    <cfRule type="expression" dxfId="8528" priority="7765" stopIfTrue="1">
      <formula>$B298&lt;&gt;""</formula>
    </cfRule>
  </conditionalFormatting>
  <conditionalFormatting sqref="S298:S299">
    <cfRule type="expression" dxfId="8527" priority="7764" stopIfTrue="1">
      <formula>$C298&lt;&gt;""</formula>
    </cfRule>
  </conditionalFormatting>
  <conditionalFormatting sqref="S295:S298">
    <cfRule type="expression" dxfId="8526" priority="7763" stopIfTrue="1">
      <formula>$B295&lt;&gt;""</formula>
    </cfRule>
  </conditionalFormatting>
  <conditionalFormatting sqref="S295:S298">
    <cfRule type="expression" dxfId="8525" priority="7762" stopIfTrue="1">
      <formula>$C295&lt;&gt;""</formula>
    </cfRule>
  </conditionalFormatting>
  <conditionalFormatting sqref="S295:S298">
    <cfRule type="expression" dxfId="8524" priority="7761" stopIfTrue="1">
      <formula>$B295&lt;&gt;""</formula>
    </cfRule>
  </conditionalFormatting>
  <conditionalFormatting sqref="S295:S298">
    <cfRule type="expression" dxfId="8523" priority="7760" stopIfTrue="1">
      <formula>$C295&lt;&gt;""</formula>
    </cfRule>
  </conditionalFormatting>
  <conditionalFormatting sqref="S299">
    <cfRule type="expression" dxfId="8522" priority="7759" stopIfTrue="1">
      <formula>$B299&lt;&gt;""</formula>
    </cfRule>
  </conditionalFormatting>
  <conditionalFormatting sqref="S299">
    <cfRule type="expression" dxfId="8521" priority="7758" stopIfTrue="1">
      <formula>$C299&lt;&gt;""</formula>
    </cfRule>
  </conditionalFormatting>
  <conditionalFormatting sqref="S295:S298">
    <cfRule type="expression" dxfId="8520" priority="7757" stopIfTrue="1">
      <formula>$B295&lt;&gt;""</formula>
    </cfRule>
  </conditionalFormatting>
  <conditionalFormatting sqref="S295:S298">
    <cfRule type="expression" dxfId="8519" priority="7756" stopIfTrue="1">
      <formula>$C295&lt;&gt;""</formula>
    </cfRule>
  </conditionalFormatting>
  <conditionalFormatting sqref="S299">
    <cfRule type="expression" dxfId="8518" priority="7755" stopIfTrue="1">
      <formula>$B299&lt;&gt;""</formula>
    </cfRule>
  </conditionalFormatting>
  <conditionalFormatting sqref="S299">
    <cfRule type="expression" dxfId="8517" priority="7754" stopIfTrue="1">
      <formula>$C299&lt;&gt;""</formula>
    </cfRule>
  </conditionalFormatting>
  <conditionalFormatting sqref="S299">
    <cfRule type="expression" dxfId="8516" priority="7753" stopIfTrue="1">
      <formula>$B299&lt;&gt;""</formula>
    </cfRule>
  </conditionalFormatting>
  <conditionalFormatting sqref="S299">
    <cfRule type="expression" dxfId="8515" priority="7752" stopIfTrue="1">
      <formula>$C299&lt;&gt;""</formula>
    </cfRule>
  </conditionalFormatting>
  <conditionalFormatting sqref="S295">
    <cfRule type="expression" dxfId="8514" priority="7751" stopIfTrue="1">
      <formula>$C295&lt;&gt;""</formula>
    </cfRule>
  </conditionalFormatting>
  <conditionalFormatting sqref="S295">
    <cfRule type="expression" dxfId="8513" priority="7750" stopIfTrue="1">
      <formula>$B295&lt;&gt;""</formula>
    </cfRule>
  </conditionalFormatting>
  <conditionalFormatting sqref="S296:S299">
    <cfRule type="expression" dxfId="8512" priority="7749" stopIfTrue="1">
      <formula>$C296&lt;&gt;""</formula>
    </cfRule>
  </conditionalFormatting>
  <conditionalFormatting sqref="S296:S299">
    <cfRule type="expression" dxfId="8511" priority="7748" stopIfTrue="1">
      <formula>$B296&lt;&gt;""</formula>
    </cfRule>
  </conditionalFormatting>
  <conditionalFormatting sqref="S298:S299">
    <cfRule type="expression" dxfId="8510" priority="7747" stopIfTrue="1">
      <formula>$C298&lt;&gt;""</formula>
    </cfRule>
  </conditionalFormatting>
  <conditionalFormatting sqref="S298:S299">
    <cfRule type="expression" dxfId="8509" priority="7746" stopIfTrue="1">
      <formula>$B298&lt;&gt;""</formula>
    </cfRule>
  </conditionalFormatting>
  <conditionalFormatting sqref="S295">
    <cfRule type="expression" dxfId="8508" priority="7745" stopIfTrue="1">
      <formula>$B295&lt;&gt;""</formula>
    </cfRule>
  </conditionalFormatting>
  <conditionalFormatting sqref="S295">
    <cfRule type="expression" dxfId="8507" priority="7744" stopIfTrue="1">
      <formula>$C295&lt;&gt;""</formula>
    </cfRule>
  </conditionalFormatting>
  <conditionalFormatting sqref="S296">
    <cfRule type="expression" dxfId="8506" priority="7743" stopIfTrue="1">
      <formula>$B296&lt;&gt;""</formula>
    </cfRule>
  </conditionalFormatting>
  <conditionalFormatting sqref="S296">
    <cfRule type="expression" dxfId="8505" priority="7742" stopIfTrue="1">
      <formula>$C296&lt;&gt;""</formula>
    </cfRule>
  </conditionalFormatting>
  <conditionalFormatting sqref="S295">
    <cfRule type="expression" dxfId="8504" priority="7741" stopIfTrue="1">
      <formula>$B295&lt;&gt;""</formula>
    </cfRule>
  </conditionalFormatting>
  <conditionalFormatting sqref="S295">
    <cfRule type="expression" dxfId="8503" priority="7740" stopIfTrue="1">
      <formula>$C295&lt;&gt;""</formula>
    </cfRule>
  </conditionalFormatting>
  <conditionalFormatting sqref="S296:S299">
    <cfRule type="expression" dxfId="8502" priority="7739" stopIfTrue="1">
      <formula>$B296&lt;&gt;""</formula>
    </cfRule>
  </conditionalFormatting>
  <conditionalFormatting sqref="S296:S299">
    <cfRule type="expression" dxfId="8501" priority="7738" stopIfTrue="1">
      <formula>$C296&lt;&gt;""</formula>
    </cfRule>
  </conditionalFormatting>
  <conditionalFormatting sqref="S295">
    <cfRule type="expression" dxfId="8500" priority="7737" stopIfTrue="1">
      <formula>$B295&lt;&gt;""</formula>
    </cfRule>
  </conditionalFormatting>
  <conditionalFormatting sqref="S295">
    <cfRule type="expression" dxfId="8499" priority="7736" stopIfTrue="1">
      <formula>$C295&lt;&gt;""</formula>
    </cfRule>
  </conditionalFormatting>
  <conditionalFormatting sqref="S296:S299">
    <cfRule type="expression" dxfId="8498" priority="7735" stopIfTrue="1">
      <formula>$B296&lt;&gt;""</formula>
    </cfRule>
  </conditionalFormatting>
  <conditionalFormatting sqref="S296:S299">
    <cfRule type="expression" dxfId="8497" priority="7734" stopIfTrue="1">
      <formula>$C296&lt;&gt;""</formula>
    </cfRule>
  </conditionalFormatting>
  <conditionalFormatting sqref="S295:S299">
    <cfRule type="expression" dxfId="8496" priority="7733" stopIfTrue="1">
      <formula>$B295&lt;&gt;""</formula>
    </cfRule>
  </conditionalFormatting>
  <conditionalFormatting sqref="S295:S299">
    <cfRule type="expression" dxfId="8495" priority="7732" stopIfTrue="1">
      <formula>$C295&lt;&gt;""</formula>
    </cfRule>
  </conditionalFormatting>
  <conditionalFormatting sqref="S295:S299">
    <cfRule type="expression" dxfId="8494" priority="7731" stopIfTrue="1">
      <formula>$B295&lt;&gt;""</formula>
    </cfRule>
  </conditionalFormatting>
  <conditionalFormatting sqref="S295:S299">
    <cfRule type="expression" dxfId="8493" priority="7730" stopIfTrue="1">
      <formula>$C295&lt;&gt;""</formula>
    </cfRule>
  </conditionalFormatting>
  <conditionalFormatting sqref="S295:S299">
    <cfRule type="expression" dxfId="8492" priority="7729" stopIfTrue="1">
      <formula>$B295&lt;&gt;""</formula>
    </cfRule>
  </conditionalFormatting>
  <conditionalFormatting sqref="S295:S299">
    <cfRule type="expression" dxfId="8491" priority="7728" stopIfTrue="1">
      <formula>$C295&lt;&gt;""</formula>
    </cfRule>
  </conditionalFormatting>
  <conditionalFormatting sqref="S295:S299">
    <cfRule type="expression" dxfId="8490" priority="7727" stopIfTrue="1">
      <formula>$B295&lt;&gt;""</formula>
    </cfRule>
  </conditionalFormatting>
  <conditionalFormatting sqref="S295:S299">
    <cfRule type="expression" dxfId="8489" priority="7726" stopIfTrue="1">
      <formula>$C295&lt;&gt;""</formula>
    </cfRule>
  </conditionalFormatting>
  <conditionalFormatting sqref="S295:S299">
    <cfRule type="expression" dxfId="8488" priority="7725" stopIfTrue="1">
      <formula>$B295&lt;&gt;""</formula>
    </cfRule>
  </conditionalFormatting>
  <conditionalFormatting sqref="S295:S299">
    <cfRule type="expression" dxfId="8487" priority="7724" stopIfTrue="1">
      <formula>$C295&lt;&gt;""</formula>
    </cfRule>
  </conditionalFormatting>
  <conditionalFormatting sqref="S295:S299">
    <cfRule type="expression" dxfId="8486" priority="7723" stopIfTrue="1">
      <formula>$B295&lt;&gt;""</formula>
    </cfRule>
  </conditionalFormatting>
  <conditionalFormatting sqref="S295:S299">
    <cfRule type="expression" dxfId="8485" priority="7722" stopIfTrue="1">
      <formula>$C295&lt;&gt;""</formula>
    </cfRule>
  </conditionalFormatting>
  <conditionalFormatting sqref="S295:S299">
    <cfRule type="expression" dxfId="8484" priority="7721" stopIfTrue="1">
      <formula>$B295&lt;&gt;""</formula>
    </cfRule>
  </conditionalFormatting>
  <conditionalFormatting sqref="S295:S299">
    <cfRule type="expression" dxfId="8483" priority="7720" stopIfTrue="1">
      <formula>$C295&lt;&gt;""</formula>
    </cfRule>
  </conditionalFormatting>
  <conditionalFormatting sqref="S295:S298">
    <cfRule type="expression" dxfId="8482" priority="7719" stopIfTrue="1">
      <formula>$B295&lt;&gt;""</formula>
    </cfRule>
  </conditionalFormatting>
  <conditionalFormatting sqref="S295:S298">
    <cfRule type="expression" dxfId="8481" priority="7718" stopIfTrue="1">
      <formula>$C295&lt;&gt;""</formula>
    </cfRule>
  </conditionalFormatting>
  <conditionalFormatting sqref="S299">
    <cfRule type="expression" dxfId="8480" priority="7717" stopIfTrue="1">
      <formula>$B299&lt;&gt;""</formula>
    </cfRule>
  </conditionalFormatting>
  <conditionalFormatting sqref="S299">
    <cfRule type="expression" dxfId="8479" priority="7716" stopIfTrue="1">
      <formula>$C299&lt;&gt;""</formula>
    </cfRule>
  </conditionalFormatting>
  <conditionalFormatting sqref="S295:S297">
    <cfRule type="expression" dxfId="8478" priority="7715" stopIfTrue="1">
      <formula>$B295&lt;&gt;""</formula>
    </cfRule>
  </conditionalFormatting>
  <conditionalFormatting sqref="S295:S297">
    <cfRule type="expression" dxfId="8477" priority="7714" stopIfTrue="1">
      <formula>$C295&lt;&gt;""</formula>
    </cfRule>
  </conditionalFormatting>
  <conditionalFormatting sqref="S298:S299">
    <cfRule type="expression" dxfId="8476" priority="7713" stopIfTrue="1">
      <formula>$B298&lt;&gt;""</formula>
    </cfRule>
  </conditionalFormatting>
  <conditionalFormatting sqref="S298:S299">
    <cfRule type="expression" dxfId="8475" priority="7712" stopIfTrue="1">
      <formula>$C298&lt;&gt;""</formula>
    </cfRule>
  </conditionalFormatting>
  <conditionalFormatting sqref="S295:S298">
    <cfRule type="expression" dxfId="8474" priority="7711" stopIfTrue="1">
      <formula>$B295&lt;&gt;""</formula>
    </cfRule>
  </conditionalFormatting>
  <conditionalFormatting sqref="S295:S298">
    <cfRule type="expression" dxfId="8473" priority="7710" stopIfTrue="1">
      <formula>$C295&lt;&gt;""</formula>
    </cfRule>
  </conditionalFormatting>
  <conditionalFormatting sqref="S295:S298">
    <cfRule type="expression" dxfId="8472" priority="7709" stopIfTrue="1">
      <formula>$B295&lt;&gt;""</formula>
    </cfRule>
  </conditionalFormatting>
  <conditionalFormatting sqref="S295:S298">
    <cfRule type="expression" dxfId="8471" priority="7708" stopIfTrue="1">
      <formula>$C295&lt;&gt;""</formula>
    </cfRule>
  </conditionalFormatting>
  <conditionalFormatting sqref="S299">
    <cfRule type="expression" dxfId="8470" priority="7707" stopIfTrue="1">
      <formula>$B299&lt;&gt;""</formula>
    </cfRule>
  </conditionalFormatting>
  <conditionalFormatting sqref="S299">
    <cfRule type="expression" dxfId="8469" priority="7706" stopIfTrue="1">
      <formula>$C299&lt;&gt;""</formula>
    </cfRule>
  </conditionalFormatting>
  <conditionalFormatting sqref="S295:S298">
    <cfRule type="expression" dxfId="8468" priority="7705" stopIfTrue="1">
      <formula>$B295&lt;&gt;""</formula>
    </cfRule>
  </conditionalFormatting>
  <conditionalFormatting sqref="S295:S298">
    <cfRule type="expression" dxfId="8467" priority="7704" stopIfTrue="1">
      <formula>$C295&lt;&gt;""</formula>
    </cfRule>
  </conditionalFormatting>
  <conditionalFormatting sqref="S299">
    <cfRule type="expression" dxfId="8466" priority="7703" stopIfTrue="1">
      <formula>$B299&lt;&gt;""</formula>
    </cfRule>
  </conditionalFormatting>
  <conditionalFormatting sqref="S299">
    <cfRule type="expression" dxfId="8465" priority="7702" stopIfTrue="1">
      <formula>$C299&lt;&gt;""</formula>
    </cfRule>
  </conditionalFormatting>
  <conditionalFormatting sqref="S299">
    <cfRule type="expression" dxfId="8464" priority="7701" stopIfTrue="1">
      <formula>$B299&lt;&gt;""</formula>
    </cfRule>
  </conditionalFormatting>
  <conditionalFormatting sqref="S299">
    <cfRule type="expression" dxfId="8463" priority="7700" stopIfTrue="1">
      <formula>$C299&lt;&gt;""</formula>
    </cfRule>
  </conditionalFormatting>
  <conditionalFormatting sqref="S295">
    <cfRule type="expression" dxfId="8462" priority="7699" stopIfTrue="1">
      <formula>$C295&lt;&gt;""</formula>
    </cfRule>
  </conditionalFormatting>
  <conditionalFormatting sqref="S295">
    <cfRule type="expression" dxfId="8461" priority="7698" stopIfTrue="1">
      <formula>$B295&lt;&gt;""</formula>
    </cfRule>
  </conditionalFormatting>
  <conditionalFormatting sqref="S296:S299">
    <cfRule type="expression" dxfId="8460" priority="7697" stopIfTrue="1">
      <formula>$C296&lt;&gt;""</formula>
    </cfRule>
  </conditionalFormatting>
  <conditionalFormatting sqref="S296:S299">
    <cfRule type="expression" dxfId="8459" priority="7696" stopIfTrue="1">
      <formula>$B296&lt;&gt;""</formula>
    </cfRule>
  </conditionalFormatting>
  <conditionalFormatting sqref="S298:S299">
    <cfRule type="expression" dxfId="8458" priority="7695" stopIfTrue="1">
      <formula>$C298&lt;&gt;""</formula>
    </cfRule>
  </conditionalFormatting>
  <conditionalFormatting sqref="S298:S299">
    <cfRule type="expression" dxfId="8457" priority="7694" stopIfTrue="1">
      <formula>$B298&lt;&gt;""</formula>
    </cfRule>
  </conditionalFormatting>
  <conditionalFormatting sqref="S295:S298">
    <cfRule type="expression" dxfId="8456" priority="7693" stopIfTrue="1">
      <formula>$B295&lt;&gt;""</formula>
    </cfRule>
  </conditionalFormatting>
  <conditionalFormatting sqref="S295:S298">
    <cfRule type="expression" dxfId="8455" priority="7692" stopIfTrue="1">
      <formula>$C295&lt;&gt;""</formula>
    </cfRule>
  </conditionalFormatting>
  <conditionalFormatting sqref="S299">
    <cfRule type="expression" dxfId="8454" priority="7691" stopIfTrue="1">
      <formula>$B299&lt;&gt;""</formula>
    </cfRule>
  </conditionalFormatting>
  <conditionalFormatting sqref="S299">
    <cfRule type="expression" dxfId="8453" priority="7690" stopIfTrue="1">
      <formula>$C299&lt;&gt;""</formula>
    </cfRule>
  </conditionalFormatting>
  <conditionalFormatting sqref="S295:S297">
    <cfRule type="expression" dxfId="8452" priority="7689" stopIfTrue="1">
      <formula>$B295&lt;&gt;""</formula>
    </cfRule>
  </conditionalFormatting>
  <conditionalFormatting sqref="S295:S297">
    <cfRule type="expression" dxfId="8451" priority="7688" stopIfTrue="1">
      <formula>$C295&lt;&gt;""</formula>
    </cfRule>
  </conditionalFormatting>
  <conditionalFormatting sqref="S298:S299">
    <cfRule type="expression" dxfId="8450" priority="7687" stopIfTrue="1">
      <formula>$B298&lt;&gt;""</formula>
    </cfRule>
  </conditionalFormatting>
  <conditionalFormatting sqref="S298:S299">
    <cfRule type="expression" dxfId="8449" priority="7686" stopIfTrue="1">
      <formula>$C298&lt;&gt;""</formula>
    </cfRule>
  </conditionalFormatting>
  <conditionalFormatting sqref="S295:S298">
    <cfRule type="expression" dxfId="8448" priority="7685" stopIfTrue="1">
      <formula>$B295&lt;&gt;""</formula>
    </cfRule>
  </conditionalFormatting>
  <conditionalFormatting sqref="S295:S298">
    <cfRule type="expression" dxfId="8447" priority="7684" stopIfTrue="1">
      <formula>$C295&lt;&gt;""</formula>
    </cfRule>
  </conditionalFormatting>
  <conditionalFormatting sqref="S295:S298">
    <cfRule type="expression" dxfId="8446" priority="7683" stopIfTrue="1">
      <formula>$B295&lt;&gt;""</formula>
    </cfRule>
  </conditionalFormatting>
  <conditionalFormatting sqref="S295:S298">
    <cfRule type="expression" dxfId="8445" priority="7682" stopIfTrue="1">
      <formula>$C295&lt;&gt;""</formula>
    </cfRule>
  </conditionalFormatting>
  <conditionalFormatting sqref="S299">
    <cfRule type="expression" dxfId="8444" priority="7681" stopIfTrue="1">
      <formula>$B299&lt;&gt;""</formula>
    </cfRule>
  </conditionalFormatting>
  <conditionalFormatting sqref="S299">
    <cfRule type="expression" dxfId="8443" priority="7680" stopIfTrue="1">
      <formula>$C299&lt;&gt;""</formula>
    </cfRule>
  </conditionalFormatting>
  <conditionalFormatting sqref="S295:S298">
    <cfRule type="expression" dxfId="8442" priority="7679" stopIfTrue="1">
      <formula>$B295&lt;&gt;""</formula>
    </cfRule>
  </conditionalFormatting>
  <conditionalFormatting sqref="S295:S298">
    <cfRule type="expression" dxfId="8441" priority="7678" stopIfTrue="1">
      <formula>$C295&lt;&gt;""</formula>
    </cfRule>
  </conditionalFormatting>
  <conditionalFormatting sqref="S299">
    <cfRule type="expression" dxfId="8440" priority="7677" stopIfTrue="1">
      <formula>$B299&lt;&gt;""</formula>
    </cfRule>
  </conditionalFormatting>
  <conditionalFormatting sqref="S299">
    <cfRule type="expression" dxfId="8439" priority="7676" stopIfTrue="1">
      <formula>$C299&lt;&gt;""</formula>
    </cfRule>
  </conditionalFormatting>
  <conditionalFormatting sqref="S299">
    <cfRule type="expression" dxfId="8438" priority="7675" stopIfTrue="1">
      <formula>$B299&lt;&gt;""</formula>
    </cfRule>
  </conditionalFormatting>
  <conditionalFormatting sqref="S299">
    <cfRule type="expression" dxfId="8437" priority="7674" stopIfTrue="1">
      <formula>$C299&lt;&gt;""</formula>
    </cfRule>
  </conditionalFormatting>
  <conditionalFormatting sqref="S295">
    <cfRule type="expression" dxfId="8436" priority="7673" stopIfTrue="1">
      <formula>$C295&lt;&gt;""</formula>
    </cfRule>
  </conditionalFormatting>
  <conditionalFormatting sqref="S295">
    <cfRule type="expression" dxfId="8435" priority="7672" stopIfTrue="1">
      <formula>$B295&lt;&gt;""</formula>
    </cfRule>
  </conditionalFormatting>
  <conditionalFormatting sqref="S296:S299">
    <cfRule type="expression" dxfId="8434" priority="7671" stopIfTrue="1">
      <formula>$C296&lt;&gt;""</formula>
    </cfRule>
  </conditionalFormatting>
  <conditionalFormatting sqref="S296:S299">
    <cfRule type="expression" dxfId="8433" priority="7670" stopIfTrue="1">
      <formula>$B296&lt;&gt;""</formula>
    </cfRule>
  </conditionalFormatting>
  <conditionalFormatting sqref="S298:S299">
    <cfRule type="expression" dxfId="8432" priority="7669" stopIfTrue="1">
      <formula>$C298&lt;&gt;""</formula>
    </cfRule>
  </conditionalFormatting>
  <conditionalFormatting sqref="S298:S299">
    <cfRule type="expression" dxfId="8431" priority="7668" stopIfTrue="1">
      <formula>$B298&lt;&gt;""</formula>
    </cfRule>
  </conditionalFormatting>
  <conditionalFormatting sqref="S295">
    <cfRule type="expression" dxfId="8430" priority="7667" stopIfTrue="1">
      <formula>$B295&lt;&gt;""</formula>
    </cfRule>
  </conditionalFormatting>
  <conditionalFormatting sqref="S295">
    <cfRule type="expression" dxfId="8429" priority="7666" stopIfTrue="1">
      <formula>$C295&lt;&gt;""</formula>
    </cfRule>
  </conditionalFormatting>
  <conditionalFormatting sqref="S295">
    <cfRule type="expression" dxfId="8428" priority="7665" stopIfTrue="1">
      <formula>$B295&lt;&gt;""</formula>
    </cfRule>
  </conditionalFormatting>
  <conditionalFormatting sqref="S295">
    <cfRule type="expression" dxfId="8427" priority="7664" stopIfTrue="1">
      <formula>$C295&lt;&gt;""</formula>
    </cfRule>
  </conditionalFormatting>
  <conditionalFormatting sqref="S295">
    <cfRule type="expression" dxfId="8426" priority="7663" stopIfTrue="1">
      <formula>$B295&lt;&gt;""</formula>
    </cfRule>
  </conditionalFormatting>
  <conditionalFormatting sqref="S295">
    <cfRule type="expression" dxfId="8425" priority="7662" stopIfTrue="1">
      <formula>$C295&lt;&gt;""</formula>
    </cfRule>
  </conditionalFormatting>
  <conditionalFormatting sqref="S295">
    <cfRule type="expression" dxfId="8424" priority="7661" stopIfTrue="1">
      <formula>$B295&lt;&gt;""</formula>
    </cfRule>
  </conditionalFormatting>
  <conditionalFormatting sqref="S295">
    <cfRule type="expression" dxfId="8423" priority="7660" stopIfTrue="1">
      <formula>$C295&lt;&gt;""</formula>
    </cfRule>
  </conditionalFormatting>
  <conditionalFormatting sqref="S295">
    <cfRule type="expression" dxfId="8422" priority="7659" stopIfTrue="1">
      <formula>$B295&lt;&gt;""</formula>
    </cfRule>
  </conditionalFormatting>
  <conditionalFormatting sqref="S295">
    <cfRule type="expression" dxfId="8421" priority="7658" stopIfTrue="1">
      <formula>$C295&lt;&gt;""</formula>
    </cfRule>
  </conditionalFormatting>
  <conditionalFormatting sqref="S295">
    <cfRule type="expression" dxfId="8420" priority="7657" stopIfTrue="1">
      <formula>$B295&lt;&gt;""</formula>
    </cfRule>
  </conditionalFormatting>
  <conditionalFormatting sqref="S295">
    <cfRule type="expression" dxfId="8419" priority="7656" stopIfTrue="1">
      <formula>$C295&lt;&gt;""</formula>
    </cfRule>
  </conditionalFormatting>
  <conditionalFormatting sqref="S295">
    <cfRule type="expression" dxfId="8418" priority="7655" stopIfTrue="1">
      <formula>$B295&lt;&gt;""</formula>
    </cfRule>
  </conditionalFormatting>
  <conditionalFormatting sqref="S295">
    <cfRule type="expression" dxfId="8417" priority="7654" stopIfTrue="1">
      <formula>$C295&lt;&gt;""</formula>
    </cfRule>
  </conditionalFormatting>
  <conditionalFormatting sqref="S295">
    <cfRule type="expression" dxfId="8416" priority="7653" stopIfTrue="1">
      <formula>$B295&lt;&gt;""</formula>
    </cfRule>
  </conditionalFormatting>
  <conditionalFormatting sqref="S295">
    <cfRule type="expression" dxfId="8415" priority="7652" stopIfTrue="1">
      <formula>$C295&lt;&gt;""</formula>
    </cfRule>
  </conditionalFormatting>
  <conditionalFormatting sqref="S295">
    <cfRule type="expression" dxfId="8414" priority="7651" stopIfTrue="1">
      <formula>$B295&lt;&gt;""</formula>
    </cfRule>
  </conditionalFormatting>
  <conditionalFormatting sqref="S295">
    <cfRule type="expression" dxfId="8413" priority="7650" stopIfTrue="1">
      <formula>$C295&lt;&gt;""</formula>
    </cfRule>
  </conditionalFormatting>
  <conditionalFormatting sqref="S295">
    <cfRule type="expression" dxfId="8412" priority="7649" stopIfTrue="1">
      <formula>$B295&lt;&gt;""</formula>
    </cfRule>
  </conditionalFormatting>
  <conditionalFormatting sqref="S295">
    <cfRule type="expression" dxfId="8411" priority="7648" stopIfTrue="1">
      <formula>$C295&lt;&gt;""</formula>
    </cfRule>
  </conditionalFormatting>
  <conditionalFormatting sqref="S295">
    <cfRule type="expression" dxfId="8410" priority="7647" stopIfTrue="1">
      <formula>$B295&lt;&gt;""</formula>
    </cfRule>
  </conditionalFormatting>
  <conditionalFormatting sqref="S295">
    <cfRule type="expression" dxfId="8409" priority="7646" stopIfTrue="1">
      <formula>$C295&lt;&gt;""</formula>
    </cfRule>
  </conditionalFormatting>
  <conditionalFormatting sqref="S295">
    <cfRule type="expression" dxfId="8408" priority="7645" stopIfTrue="1">
      <formula>$B295&lt;&gt;""</formula>
    </cfRule>
  </conditionalFormatting>
  <conditionalFormatting sqref="S295">
    <cfRule type="expression" dxfId="8407" priority="7644" stopIfTrue="1">
      <formula>$C295&lt;&gt;""</formula>
    </cfRule>
  </conditionalFormatting>
  <conditionalFormatting sqref="S295">
    <cfRule type="expression" dxfId="8406" priority="7643" stopIfTrue="1">
      <formula>$B295&lt;&gt;""</formula>
    </cfRule>
  </conditionalFormatting>
  <conditionalFormatting sqref="S295">
    <cfRule type="expression" dxfId="8405" priority="7642" stopIfTrue="1">
      <formula>$C295&lt;&gt;""</formula>
    </cfRule>
  </conditionalFormatting>
  <conditionalFormatting sqref="S295">
    <cfRule type="expression" dxfId="8404" priority="7641" stopIfTrue="1">
      <formula>$B295&lt;&gt;""</formula>
    </cfRule>
  </conditionalFormatting>
  <conditionalFormatting sqref="S295">
    <cfRule type="expression" dxfId="8403" priority="7640" stopIfTrue="1">
      <formula>$C295&lt;&gt;""</formula>
    </cfRule>
  </conditionalFormatting>
  <conditionalFormatting sqref="S295">
    <cfRule type="expression" dxfId="8402" priority="7639" stopIfTrue="1">
      <formula>$C295&lt;&gt;""</formula>
    </cfRule>
  </conditionalFormatting>
  <conditionalFormatting sqref="S295">
    <cfRule type="expression" dxfId="8401" priority="7638" stopIfTrue="1">
      <formula>$B295&lt;&gt;""</formula>
    </cfRule>
  </conditionalFormatting>
  <conditionalFormatting sqref="S295">
    <cfRule type="expression" dxfId="8400" priority="7637" stopIfTrue="1">
      <formula>$C295&lt;&gt;""</formula>
    </cfRule>
  </conditionalFormatting>
  <conditionalFormatting sqref="S295">
    <cfRule type="expression" dxfId="8399" priority="7636" stopIfTrue="1">
      <formula>$B295&lt;&gt;""</formula>
    </cfRule>
  </conditionalFormatting>
  <conditionalFormatting sqref="S295">
    <cfRule type="expression" dxfId="8398" priority="7635" stopIfTrue="1">
      <formula>$B295&lt;&gt;""</formula>
    </cfRule>
  </conditionalFormatting>
  <conditionalFormatting sqref="S295">
    <cfRule type="expression" dxfId="8397" priority="7634" stopIfTrue="1">
      <formula>$C295&lt;&gt;""</formula>
    </cfRule>
  </conditionalFormatting>
  <conditionalFormatting sqref="S295">
    <cfRule type="expression" dxfId="8396" priority="7633" stopIfTrue="1">
      <formula>$B295&lt;&gt;""</formula>
    </cfRule>
  </conditionalFormatting>
  <conditionalFormatting sqref="S295">
    <cfRule type="expression" dxfId="8395" priority="7632" stopIfTrue="1">
      <formula>$C295&lt;&gt;""</formula>
    </cfRule>
  </conditionalFormatting>
  <conditionalFormatting sqref="S295">
    <cfRule type="expression" dxfId="8394" priority="7631" stopIfTrue="1">
      <formula>$B295&lt;&gt;""</formula>
    </cfRule>
  </conditionalFormatting>
  <conditionalFormatting sqref="S295">
    <cfRule type="expression" dxfId="8393" priority="7630" stopIfTrue="1">
      <formula>$C295&lt;&gt;""</formula>
    </cfRule>
  </conditionalFormatting>
  <conditionalFormatting sqref="S295">
    <cfRule type="expression" dxfId="8392" priority="7629" stopIfTrue="1">
      <formula>$B295&lt;&gt;""</formula>
    </cfRule>
  </conditionalFormatting>
  <conditionalFormatting sqref="S295">
    <cfRule type="expression" dxfId="8391" priority="7628" stopIfTrue="1">
      <formula>$C295&lt;&gt;""</formula>
    </cfRule>
  </conditionalFormatting>
  <conditionalFormatting sqref="S295">
    <cfRule type="expression" dxfId="8390" priority="7627" stopIfTrue="1">
      <formula>$B295&lt;&gt;""</formula>
    </cfRule>
  </conditionalFormatting>
  <conditionalFormatting sqref="S295">
    <cfRule type="expression" dxfId="8389" priority="7626" stopIfTrue="1">
      <formula>$C295&lt;&gt;""</formula>
    </cfRule>
  </conditionalFormatting>
  <conditionalFormatting sqref="S295">
    <cfRule type="expression" dxfId="8388" priority="7625" stopIfTrue="1">
      <formula>$C295&lt;&gt;""</formula>
    </cfRule>
  </conditionalFormatting>
  <conditionalFormatting sqref="S295">
    <cfRule type="expression" dxfId="8387" priority="7624" stopIfTrue="1">
      <formula>$B295&lt;&gt;""</formula>
    </cfRule>
  </conditionalFormatting>
  <conditionalFormatting sqref="S295">
    <cfRule type="expression" dxfId="8386" priority="7623" stopIfTrue="1">
      <formula>$C295&lt;&gt;""</formula>
    </cfRule>
  </conditionalFormatting>
  <conditionalFormatting sqref="S295">
    <cfRule type="expression" dxfId="8385" priority="7622" stopIfTrue="1">
      <formula>$B295&lt;&gt;""</formula>
    </cfRule>
  </conditionalFormatting>
  <conditionalFormatting sqref="S295">
    <cfRule type="expression" dxfId="8384" priority="7621" stopIfTrue="1">
      <formula>$B295&lt;&gt;""</formula>
    </cfRule>
  </conditionalFormatting>
  <conditionalFormatting sqref="S295">
    <cfRule type="expression" dxfId="8383" priority="7620" stopIfTrue="1">
      <formula>$C295&lt;&gt;""</formula>
    </cfRule>
  </conditionalFormatting>
  <conditionalFormatting sqref="S296">
    <cfRule type="expression" dxfId="8382" priority="7619" stopIfTrue="1">
      <formula>$B296&lt;&gt;""</formula>
    </cfRule>
  </conditionalFormatting>
  <conditionalFormatting sqref="S296">
    <cfRule type="expression" dxfId="8381" priority="7618" stopIfTrue="1">
      <formula>$C296&lt;&gt;""</formula>
    </cfRule>
  </conditionalFormatting>
  <conditionalFormatting sqref="S295">
    <cfRule type="expression" dxfId="8380" priority="7617" stopIfTrue="1">
      <formula>$B295&lt;&gt;""</formula>
    </cfRule>
  </conditionalFormatting>
  <conditionalFormatting sqref="S295">
    <cfRule type="expression" dxfId="8379" priority="7616" stopIfTrue="1">
      <formula>$C295&lt;&gt;""</formula>
    </cfRule>
  </conditionalFormatting>
  <conditionalFormatting sqref="S296:S299">
    <cfRule type="expression" dxfId="8378" priority="7615" stopIfTrue="1">
      <formula>$B296&lt;&gt;""</formula>
    </cfRule>
  </conditionalFormatting>
  <conditionalFormatting sqref="S296:S299">
    <cfRule type="expression" dxfId="8377" priority="7614" stopIfTrue="1">
      <formula>$C296&lt;&gt;""</formula>
    </cfRule>
  </conditionalFormatting>
  <conditionalFormatting sqref="S295">
    <cfRule type="expression" dxfId="8376" priority="7613" stopIfTrue="1">
      <formula>$B295&lt;&gt;""</formula>
    </cfRule>
  </conditionalFormatting>
  <conditionalFormatting sqref="S295">
    <cfRule type="expression" dxfId="8375" priority="7612" stopIfTrue="1">
      <formula>$C295&lt;&gt;""</formula>
    </cfRule>
  </conditionalFormatting>
  <conditionalFormatting sqref="S296:S299">
    <cfRule type="expression" dxfId="8374" priority="7611" stopIfTrue="1">
      <formula>$B296&lt;&gt;""</formula>
    </cfRule>
  </conditionalFormatting>
  <conditionalFormatting sqref="S296:S299">
    <cfRule type="expression" dxfId="8373" priority="7610" stopIfTrue="1">
      <formula>$C296&lt;&gt;""</formula>
    </cfRule>
  </conditionalFormatting>
  <conditionalFormatting sqref="S295:S299">
    <cfRule type="expression" dxfId="8372" priority="7609" stopIfTrue="1">
      <formula>$B295&lt;&gt;""</formula>
    </cfRule>
  </conditionalFormatting>
  <conditionalFormatting sqref="S295:S299">
    <cfRule type="expression" dxfId="8371" priority="7608" stopIfTrue="1">
      <formula>$C295&lt;&gt;""</formula>
    </cfRule>
  </conditionalFormatting>
  <conditionalFormatting sqref="S295:S299">
    <cfRule type="expression" dxfId="8370" priority="7607" stopIfTrue="1">
      <formula>$B295&lt;&gt;""</formula>
    </cfRule>
  </conditionalFormatting>
  <conditionalFormatting sqref="S295:S299">
    <cfRule type="expression" dxfId="8369" priority="7606" stopIfTrue="1">
      <formula>$C295&lt;&gt;""</formula>
    </cfRule>
  </conditionalFormatting>
  <conditionalFormatting sqref="S295:S299">
    <cfRule type="expression" dxfId="8368" priority="7605" stopIfTrue="1">
      <formula>$B295&lt;&gt;""</formula>
    </cfRule>
  </conditionalFormatting>
  <conditionalFormatting sqref="S295:S299">
    <cfRule type="expression" dxfId="8367" priority="7604" stopIfTrue="1">
      <formula>$C295&lt;&gt;""</formula>
    </cfRule>
  </conditionalFormatting>
  <conditionalFormatting sqref="S295:S299">
    <cfRule type="expression" dxfId="8366" priority="7603" stopIfTrue="1">
      <formula>$B295&lt;&gt;""</formula>
    </cfRule>
  </conditionalFormatting>
  <conditionalFormatting sqref="S295:S299">
    <cfRule type="expression" dxfId="8365" priority="7602" stopIfTrue="1">
      <formula>$C295&lt;&gt;""</formula>
    </cfRule>
  </conditionalFormatting>
  <conditionalFormatting sqref="S295:S299">
    <cfRule type="expression" dxfId="8364" priority="7601" stopIfTrue="1">
      <formula>$B295&lt;&gt;""</formula>
    </cfRule>
  </conditionalFormatting>
  <conditionalFormatting sqref="S295:S299">
    <cfRule type="expression" dxfId="8363" priority="7600" stopIfTrue="1">
      <formula>$C295&lt;&gt;""</formula>
    </cfRule>
  </conditionalFormatting>
  <conditionalFormatting sqref="S295:S299">
    <cfRule type="expression" dxfId="8362" priority="7599" stopIfTrue="1">
      <formula>$B295&lt;&gt;""</formula>
    </cfRule>
  </conditionalFormatting>
  <conditionalFormatting sqref="S295:S299">
    <cfRule type="expression" dxfId="8361" priority="7598" stopIfTrue="1">
      <formula>$C295&lt;&gt;""</formula>
    </cfRule>
  </conditionalFormatting>
  <conditionalFormatting sqref="S295:S299">
    <cfRule type="expression" dxfId="8360" priority="7597" stopIfTrue="1">
      <formula>$B295&lt;&gt;""</formula>
    </cfRule>
  </conditionalFormatting>
  <conditionalFormatting sqref="S295:S299">
    <cfRule type="expression" dxfId="8359" priority="7596" stopIfTrue="1">
      <formula>$C295&lt;&gt;""</formula>
    </cfRule>
  </conditionalFormatting>
  <conditionalFormatting sqref="S295:S298">
    <cfRule type="expression" dxfId="8358" priority="7595" stopIfTrue="1">
      <formula>$B295&lt;&gt;""</formula>
    </cfRule>
  </conditionalFormatting>
  <conditionalFormatting sqref="S295:S298">
    <cfRule type="expression" dxfId="8357" priority="7594" stopIfTrue="1">
      <formula>$C295&lt;&gt;""</formula>
    </cfRule>
  </conditionalFormatting>
  <conditionalFormatting sqref="S299">
    <cfRule type="expression" dxfId="8356" priority="7593" stopIfTrue="1">
      <formula>$B299&lt;&gt;""</formula>
    </cfRule>
  </conditionalFormatting>
  <conditionalFormatting sqref="S299">
    <cfRule type="expression" dxfId="8355" priority="7592" stopIfTrue="1">
      <formula>$C299&lt;&gt;""</formula>
    </cfRule>
  </conditionalFormatting>
  <conditionalFormatting sqref="S295:S297">
    <cfRule type="expression" dxfId="8354" priority="7591" stopIfTrue="1">
      <formula>$B295&lt;&gt;""</formula>
    </cfRule>
  </conditionalFormatting>
  <conditionalFormatting sqref="S295:S297">
    <cfRule type="expression" dxfId="8353" priority="7590" stopIfTrue="1">
      <formula>$C295&lt;&gt;""</formula>
    </cfRule>
  </conditionalFormatting>
  <conditionalFormatting sqref="S298:S299">
    <cfRule type="expression" dxfId="8352" priority="7589" stopIfTrue="1">
      <formula>$B298&lt;&gt;""</formula>
    </cfRule>
  </conditionalFormatting>
  <conditionalFormatting sqref="S298:S299">
    <cfRule type="expression" dxfId="8351" priority="7588" stopIfTrue="1">
      <formula>$C298&lt;&gt;""</formula>
    </cfRule>
  </conditionalFormatting>
  <conditionalFormatting sqref="S295:S298">
    <cfRule type="expression" dxfId="8350" priority="7587" stopIfTrue="1">
      <formula>$B295&lt;&gt;""</formula>
    </cfRule>
  </conditionalFormatting>
  <conditionalFormatting sqref="S295:S298">
    <cfRule type="expression" dxfId="8349" priority="7586" stopIfTrue="1">
      <formula>$C295&lt;&gt;""</formula>
    </cfRule>
  </conditionalFormatting>
  <conditionalFormatting sqref="S295:S298">
    <cfRule type="expression" dxfId="8348" priority="7585" stopIfTrue="1">
      <formula>$B295&lt;&gt;""</formula>
    </cfRule>
  </conditionalFormatting>
  <conditionalFormatting sqref="S295:S298">
    <cfRule type="expression" dxfId="8347" priority="7584" stopIfTrue="1">
      <formula>$C295&lt;&gt;""</formula>
    </cfRule>
  </conditionalFormatting>
  <conditionalFormatting sqref="S299">
    <cfRule type="expression" dxfId="8346" priority="7583" stopIfTrue="1">
      <formula>$B299&lt;&gt;""</formula>
    </cfRule>
  </conditionalFormatting>
  <conditionalFormatting sqref="S299">
    <cfRule type="expression" dxfId="8345" priority="7582" stopIfTrue="1">
      <formula>$C299&lt;&gt;""</formula>
    </cfRule>
  </conditionalFormatting>
  <conditionalFormatting sqref="S295:S298">
    <cfRule type="expression" dxfId="8344" priority="7581" stopIfTrue="1">
      <formula>$B295&lt;&gt;""</formula>
    </cfRule>
  </conditionalFormatting>
  <conditionalFormatting sqref="S295:S298">
    <cfRule type="expression" dxfId="8343" priority="7580" stopIfTrue="1">
      <formula>$C295&lt;&gt;""</formula>
    </cfRule>
  </conditionalFormatting>
  <conditionalFormatting sqref="S299">
    <cfRule type="expression" dxfId="8342" priority="7579" stopIfTrue="1">
      <formula>$B299&lt;&gt;""</formula>
    </cfRule>
  </conditionalFormatting>
  <conditionalFormatting sqref="S299">
    <cfRule type="expression" dxfId="8341" priority="7578" stopIfTrue="1">
      <formula>$C299&lt;&gt;""</formula>
    </cfRule>
  </conditionalFormatting>
  <conditionalFormatting sqref="S299">
    <cfRule type="expression" dxfId="8340" priority="7577" stopIfTrue="1">
      <formula>$B299&lt;&gt;""</formula>
    </cfRule>
  </conditionalFormatting>
  <conditionalFormatting sqref="S299">
    <cfRule type="expression" dxfId="8339" priority="7576" stopIfTrue="1">
      <formula>$C299&lt;&gt;""</formula>
    </cfRule>
  </conditionalFormatting>
  <conditionalFormatting sqref="S295">
    <cfRule type="expression" dxfId="8338" priority="7575" stopIfTrue="1">
      <formula>$C295&lt;&gt;""</formula>
    </cfRule>
  </conditionalFormatting>
  <conditionalFormatting sqref="S295">
    <cfRule type="expression" dxfId="8337" priority="7574" stopIfTrue="1">
      <formula>$B295&lt;&gt;""</formula>
    </cfRule>
  </conditionalFormatting>
  <conditionalFormatting sqref="S296:S299">
    <cfRule type="expression" dxfId="8336" priority="7573" stopIfTrue="1">
      <formula>$C296&lt;&gt;""</formula>
    </cfRule>
  </conditionalFormatting>
  <conditionalFormatting sqref="S296:S299">
    <cfRule type="expression" dxfId="8335" priority="7572" stopIfTrue="1">
      <formula>$B296&lt;&gt;""</formula>
    </cfRule>
  </conditionalFormatting>
  <conditionalFormatting sqref="S298:S299">
    <cfRule type="expression" dxfId="8334" priority="7571" stopIfTrue="1">
      <formula>$C298&lt;&gt;""</formula>
    </cfRule>
  </conditionalFormatting>
  <conditionalFormatting sqref="S298:S299">
    <cfRule type="expression" dxfId="8333" priority="7570" stopIfTrue="1">
      <formula>$B298&lt;&gt;""</formula>
    </cfRule>
  </conditionalFormatting>
  <conditionalFormatting sqref="S295:S298">
    <cfRule type="expression" dxfId="8332" priority="7569" stopIfTrue="1">
      <formula>$B295&lt;&gt;""</formula>
    </cfRule>
  </conditionalFormatting>
  <conditionalFormatting sqref="S295:S298">
    <cfRule type="expression" dxfId="8331" priority="7568" stopIfTrue="1">
      <formula>$C295&lt;&gt;""</formula>
    </cfRule>
  </conditionalFormatting>
  <conditionalFormatting sqref="S299">
    <cfRule type="expression" dxfId="8330" priority="7567" stopIfTrue="1">
      <formula>$B299&lt;&gt;""</formula>
    </cfRule>
  </conditionalFormatting>
  <conditionalFormatting sqref="S299">
    <cfRule type="expression" dxfId="8329" priority="7566" stopIfTrue="1">
      <formula>$C299&lt;&gt;""</formula>
    </cfRule>
  </conditionalFormatting>
  <conditionalFormatting sqref="S295:S297">
    <cfRule type="expression" dxfId="8328" priority="7565" stopIfTrue="1">
      <formula>$B295&lt;&gt;""</formula>
    </cfRule>
  </conditionalFormatting>
  <conditionalFormatting sqref="S295:S297">
    <cfRule type="expression" dxfId="8327" priority="7564" stopIfTrue="1">
      <formula>$C295&lt;&gt;""</formula>
    </cfRule>
  </conditionalFormatting>
  <conditionalFormatting sqref="S298:S299">
    <cfRule type="expression" dxfId="8326" priority="7563" stopIfTrue="1">
      <formula>$B298&lt;&gt;""</formula>
    </cfRule>
  </conditionalFormatting>
  <conditionalFormatting sqref="S298:S299">
    <cfRule type="expression" dxfId="8325" priority="7562" stopIfTrue="1">
      <formula>$C298&lt;&gt;""</formula>
    </cfRule>
  </conditionalFormatting>
  <conditionalFormatting sqref="S295:S298">
    <cfRule type="expression" dxfId="8324" priority="7561" stopIfTrue="1">
      <formula>$B295&lt;&gt;""</formula>
    </cfRule>
  </conditionalFormatting>
  <conditionalFormatting sqref="S295:S298">
    <cfRule type="expression" dxfId="8323" priority="7560" stopIfTrue="1">
      <formula>$C295&lt;&gt;""</formula>
    </cfRule>
  </conditionalFormatting>
  <conditionalFormatting sqref="S295:S298">
    <cfRule type="expression" dxfId="8322" priority="7559" stopIfTrue="1">
      <formula>$B295&lt;&gt;""</formula>
    </cfRule>
  </conditionalFormatting>
  <conditionalFormatting sqref="S295:S298">
    <cfRule type="expression" dxfId="8321" priority="7558" stopIfTrue="1">
      <formula>$C295&lt;&gt;""</formula>
    </cfRule>
  </conditionalFormatting>
  <conditionalFormatting sqref="S299">
    <cfRule type="expression" dxfId="8320" priority="7557" stopIfTrue="1">
      <formula>$B299&lt;&gt;""</formula>
    </cfRule>
  </conditionalFormatting>
  <conditionalFormatting sqref="S299">
    <cfRule type="expression" dxfId="8319" priority="7556" stopIfTrue="1">
      <formula>$C299&lt;&gt;""</formula>
    </cfRule>
  </conditionalFormatting>
  <conditionalFormatting sqref="S295:S298">
    <cfRule type="expression" dxfId="8318" priority="7555" stopIfTrue="1">
      <formula>$B295&lt;&gt;""</formula>
    </cfRule>
  </conditionalFormatting>
  <conditionalFormatting sqref="S295:S298">
    <cfRule type="expression" dxfId="8317" priority="7554" stopIfTrue="1">
      <formula>$C295&lt;&gt;""</formula>
    </cfRule>
  </conditionalFormatting>
  <conditionalFormatting sqref="S299">
    <cfRule type="expression" dxfId="8316" priority="7553" stopIfTrue="1">
      <formula>$B299&lt;&gt;""</formula>
    </cfRule>
  </conditionalFormatting>
  <conditionalFormatting sqref="S299">
    <cfRule type="expression" dxfId="8315" priority="7552" stopIfTrue="1">
      <formula>$C299&lt;&gt;""</formula>
    </cfRule>
  </conditionalFormatting>
  <conditionalFormatting sqref="S299">
    <cfRule type="expression" dxfId="8314" priority="7551" stopIfTrue="1">
      <formula>$B299&lt;&gt;""</formula>
    </cfRule>
  </conditionalFormatting>
  <conditionalFormatting sqref="S299">
    <cfRule type="expression" dxfId="8313" priority="7550" stopIfTrue="1">
      <formula>$C299&lt;&gt;""</formula>
    </cfRule>
  </conditionalFormatting>
  <conditionalFormatting sqref="S295">
    <cfRule type="expression" dxfId="8312" priority="7549" stopIfTrue="1">
      <formula>$C295&lt;&gt;""</formula>
    </cfRule>
  </conditionalFormatting>
  <conditionalFormatting sqref="S295">
    <cfRule type="expression" dxfId="8311" priority="7548" stopIfTrue="1">
      <formula>$B295&lt;&gt;""</formula>
    </cfRule>
  </conditionalFormatting>
  <conditionalFormatting sqref="S296:S299">
    <cfRule type="expression" dxfId="8310" priority="7547" stopIfTrue="1">
      <formula>$C296&lt;&gt;""</formula>
    </cfRule>
  </conditionalFormatting>
  <conditionalFormatting sqref="S296:S299">
    <cfRule type="expression" dxfId="8309" priority="7546" stopIfTrue="1">
      <formula>$B296&lt;&gt;""</formula>
    </cfRule>
  </conditionalFormatting>
  <conditionalFormatting sqref="S298:S299">
    <cfRule type="expression" dxfId="8308" priority="7545" stopIfTrue="1">
      <formula>$C298&lt;&gt;""</formula>
    </cfRule>
  </conditionalFormatting>
  <conditionalFormatting sqref="S298:S299">
    <cfRule type="expression" dxfId="8307" priority="7544" stopIfTrue="1">
      <formula>$B298&lt;&gt;""</formula>
    </cfRule>
  </conditionalFormatting>
  <conditionalFormatting sqref="S295">
    <cfRule type="expression" dxfId="8306" priority="7543" stopIfTrue="1">
      <formula>$B295&lt;&gt;""</formula>
    </cfRule>
  </conditionalFormatting>
  <conditionalFormatting sqref="S295">
    <cfRule type="expression" dxfId="8305" priority="7542" stopIfTrue="1">
      <formula>$C295&lt;&gt;""</formula>
    </cfRule>
  </conditionalFormatting>
  <conditionalFormatting sqref="S295">
    <cfRule type="expression" dxfId="8304" priority="7541" stopIfTrue="1">
      <formula>$B295&lt;&gt;""</formula>
    </cfRule>
  </conditionalFormatting>
  <conditionalFormatting sqref="S295">
    <cfRule type="expression" dxfId="8303" priority="7540" stopIfTrue="1">
      <formula>$C295&lt;&gt;""</formula>
    </cfRule>
  </conditionalFormatting>
  <conditionalFormatting sqref="S295">
    <cfRule type="expression" dxfId="8302" priority="7539" stopIfTrue="1">
      <formula>$B295&lt;&gt;""</formula>
    </cfRule>
  </conditionalFormatting>
  <conditionalFormatting sqref="S295">
    <cfRule type="expression" dxfId="8301" priority="7538" stopIfTrue="1">
      <formula>$C295&lt;&gt;""</formula>
    </cfRule>
  </conditionalFormatting>
  <conditionalFormatting sqref="S295">
    <cfRule type="expression" dxfId="8300" priority="7537" stopIfTrue="1">
      <formula>$B295&lt;&gt;""</formula>
    </cfRule>
  </conditionalFormatting>
  <conditionalFormatting sqref="S295">
    <cfRule type="expression" dxfId="8299" priority="7536" stopIfTrue="1">
      <formula>$C295&lt;&gt;""</formula>
    </cfRule>
  </conditionalFormatting>
  <conditionalFormatting sqref="S295">
    <cfRule type="expression" dxfId="8298" priority="7535" stopIfTrue="1">
      <formula>$B295&lt;&gt;""</formula>
    </cfRule>
  </conditionalFormatting>
  <conditionalFormatting sqref="S295">
    <cfRule type="expression" dxfId="8297" priority="7534" stopIfTrue="1">
      <formula>$C295&lt;&gt;""</formula>
    </cfRule>
  </conditionalFormatting>
  <conditionalFormatting sqref="S295">
    <cfRule type="expression" dxfId="8296" priority="7533" stopIfTrue="1">
      <formula>$B295&lt;&gt;""</formula>
    </cfRule>
  </conditionalFormatting>
  <conditionalFormatting sqref="S295">
    <cfRule type="expression" dxfId="8295" priority="7532" stopIfTrue="1">
      <formula>$C295&lt;&gt;""</formula>
    </cfRule>
  </conditionalFormatting>
  <conditionalFormatting sqref="S295">
    <cfRule type="expression" dxfId="8294" priority="7531" stopIfTrue="1">
      <formula>$B295&lt;&gt;""</formula>
    </cfRule>
  </conditionalFormatting>
  <conditionalFormatting sqref="S295">
    <cfRule type="expression" dxfId="8293" priority="7530" stopIfTrue="1">
      <formula>$C295&lt;&gt;""</formula>
    </cfRule>
  </conditionalFormatting>
  <conditionalFormatting sqref="S295">
    <cfRule type="expression" dxfId="8292" priority="7529" stopIfTrue="1">
      <formula>$B295&lt;&gt;""</formula>
    </cfRule>
  </conditionalFormatting>
  <conditionalFormatting sqref="S295">
    <cfRule type="expression" dxfId="8291" priority="7528" stopIfTrue="1">
      <formula>$C295&lt;&gt;""</formula>
    </cfRule>
  </conditionalFormatting>
  <conditionalFormatting sqref="S295">
    <cfRule type="expression" dxfId="8290" priority="7527" stopIfTrue="1">
      <formula>$B295&lt;&gt;""</formula>
    </cfRule>
  </conditionalFormatting>
  <conditionalFormatting sqref="S295">
    <cfRule type="expression" dxfId="8289" priority="7526" stopIfTrue="1">
      <formula>$C295&lt;&gt;""</formula>
    </cfRule>
  </conditionalFormatting>
  <conditionalFormatting sqref="S295">
    <cfRule type="expression" dxfId="8288" priority="7525" stopIfTrue="1">
      <formula>$B295&lt;&gt;""</formula>
    </cfRule>
  </conditionalFormatting>
  <conditionalFormatting sqref="S295">
    <cfRule type="expression" dxfId="8287" priority="7524" stopIfTrue="1">
      <formula>$C295&lt;&gt;""</formula>
    </cfRule>
  </conditionalFormatting>
  <conditionalFormatting sqref="S295">
    <cfRule type="expression" dxfId="8286" priority="7523" stopIfTrue="1">
      <formula>$B295&lt;&gt;""</formula>
    </cfRule>
  </conditionalFormatting>
  <conditionalFormatting sqref="S295">
    <cfRule type="expression" dxfId="8285" priority="7522" stopIfTrue="1">
      <formula>$C295&lt;&gt;""</formula>
    </cfRule>
  </conditionalFormatting>
  <conditionalFormatting sqref="S295">
    <cfRule type="expression" dxfId="8284" priority="7521" stopIfTrue="1">
      <formula>$B295&lt;&gt;""</formula>
    </cfRule>
  </conditionalFormatting>
  <conditionalFormatting sqref="S295">
    <cfRule type="expression" dxfId="8283" priority="7520" stopIfTrue="1">
      <formula>$C295&lt;&gt;""</formula>
    </cfRule>
  </conditionalFormatting>
  <conditionalFormatting sqref="S295">
    <cfRule type="expression" dxfId="8282" priority="7519" stopIfTrue="1">
      <formula>$B295&lt;&gt;""</formula>
    </cfRule>
  </conditionalFormatting>
  <conditionalFormatting sqref="S295">
    <cfRule type="expression" dxfId="8281" priority="7518" stopIfTrue="1">
      <formula>$C295&lt;&gt;""</formula>
    </cfRule>
  </conditionalFormatting>
  <conditionalFormatting sqref="S295">
    <cfRule type="expression" dxfId="8280" priority="7517" stopIfTrue="1">
      <formula>$B295&lt;&gt;""</formula>
    </cfRule>
  </conditionalFormatting>
  <conditionalFormatting sqref="S295">
    <cfRule type="expression" dxfId="8279" priority="7516" stopIfTrue="1">
      <formula>$C295&lt;&gt;""</formula>
    </cfRule>
  </conditionalFormatting>
  <conditionalFormatting sqref="S295">
    <cfRule type="expression" dxfId="8278" priority="7515" stopIfTrue="1">
      <formula>$C295&lt;&gt;""</formula>
    </cfRule>
  </conditionalFormatting>
  <conditionalFormatting sqref="S295">
    <cfRule type="expression" dxfId="8277" priority="7514" stopIfTrue="1">
      <formula>$B295&lt;&gt;""</formula>
    </cfRule>
  </conditionalFormatting>
  <conditionalFormatting sqref="S295">
    <cfRule type="expression" dxfId="8276" priority="7513" stopIfTrue="1">
      <formula>$C295&lt;&gt;""</formula>
    </cfRule>
  </conditionalFormatting>
  <conditionalFormatting sqref="S295">
    <cfRule type="expression" dxfId="8275" priority="7512" stopIfTrue="1">
      <formula>$B295&lt;&gt;""</formula>
    </cfRule>
  </conditionalFormatting>
  <conditionalFormatting sqref="S295">
    <cfRule type="expression" dxfId="8274" priority="7511" stopIfTrue="1">
      <formula>$B295&lt;&gt;""</formula>
    </cfRule>
  </conditionalFormatting>
  <conditionalFormatting sqref="S295">
    <cfRule type="expression" dxfId="8273" priority="7510" stopIfTrue="1">
      <formula>$C295&lt;&gt;""</formula>
    </cfRule>
  </conditionalFormatting>
  <conditionalFormatting sqref="S295">
    <cfRule type="expression" dxfId="8272" priority="7509" stopIfTrue="1">
      <formula>$B295&lt;&gt;""</formula>
    </cfRule>
  </conditionalFormatting>
  <conditionalFormatting sqref="S295">
    <cfRule type="expression" dxfId="8271" priority="7508" stopIfTrue="1">
      <formula>$C295&lt;&gt;""</formula>
    </cfRule>
  </conditionalFormatting>
  <conditionalFormatting sqref="S295">
    <cfRule type="expression" dxfId="8270" priority="7507" stopIfTrue="1">
      <formula>$B295&lt;&gt;""</formula>
    </cfRule>
  </conditionalFormatting>
  <conditionalFormatting sqref="S295">
    <cfRule type="expression" dxfId="8269" priority="7506" stopIfTrue="1">
      <formula>$C295&lt;&gt;""</formula>
    </cfRule>
  </conditionalFormatting>
  <conditionalFormatting sqref="S295">
    <cfRule type="expression" dxfId="8268" priority="7505" stopIfTrue="1">
      <formula>$B295&lt;&gt;""</formula>
    </cfRule>
  </conditionalFormatting>
  <conditionalFormatting sqref="S295">
    <cfRule type="expression" dxfId="8267" priority="7504" stopIfTrue="1">
      <formula>$C295&lt;&gt;""</formula>
    </cfRule>
  </conditionalFormatting>
  <conditionalFormatting sqref="S295">
    <cfRule type="expression" dxfId="8266" priority="7503" stopIfTrue="1">
      <formula>$B295&lt;&gt;""</formula>
    </cfRule>
  </conditionalFormatting>
  <conditionalFormatting sqref="S295">
    <cfRule type="expression" dxfId="8265" priority="7502" stopIfTrue="1">
      <formula>$C295&lt;&gt;""</formula>
    </cfRule>
  </conditionalFormatting>
  <conditionalFormatting sqref="S295">
    <cfRule type="expression" dxfId="8264" priority="7501" stopIfTrue="1">
      <formula>$C295&lt;&gt;""</formula>
    </cfRule>
  </conditionalFormatting>
  <conditionalFormatting sqref="S295">
    <cfRule type="expression" dxfId="8263" priority="7500" stopIfTrue="1">
      <formula>$B295&lt;&gt;""</formula>
    </cfRule>
  </conditionalFormatting>
  <conditionalFormatting sqref="S295">
    <cfRule type="expression" dxfId="8262" priority="7499" stopIfTrue="1">
      <formula>$C295&lt;&gt;""</formula>
    </cfRule>
  </conditionalFormatting>
  <conditionalFormatting sqref="S295">
    <cfRule type="expression" dxfId="8261" priority="7498" stopIfTrue="1">
      <formula>$B295&lt;&gt;""</formula>
    </cfRule>
  </conditionalFormatting>
  <conditionalFormatting sqref="S295">
    <cfRule type="expression" dxfId="8260" priority="7497" stopIfTrue="1">
      <formula>$B295&lt;&gt;""</formula>
    </cfRule>
  </conditionalFormatting>
  <conditionalFormatting sqref="S295">
    <cfRule type="expression" dxfId="8259" priority="7496" stopIfTrue="1">
      <formula>$C295&lt;&gt;""</formula>
    </cfRule>
  </conditionalFormatting>
  <conditionalFormatting sqref="S296">
    <cfRule type="expression" dxfId="8258" priority="7495" stopIfTrue="1">
      <formula>$B296&lt;&gt;""</formula>
    </cfRule>
  </conditionalFormatting>
  <conditionalFormatting sqref="S296">
    <cfRule type="expression" dxfId="8257" priority="7494" stopIfTrue="1">
      <formula>$C296&lt;&gt;""</formula>
    </cfRule>
  </conditionalFormatting>
  <conditionalFormatting sqref="S295">
    <cfRule type="expression" dxfId="8256" priority="7493" stopIfTrue="1">
      <formula>$B295&lt;&gt;""</formula>
    </cfRule>
  </conditionalFormatting>
  <conditionalFormatting sqref="S295">
    <cfRule type="expression" dxfId="8255" priority="7492" stopIfTrue="1">
      <formula>$C295&lt;&gt;""</formula>
    </cfRule>
  </conditionalFormatting>
  <conditionalFormatting sqref="S296:S299">
    <cfRule type="expression" dxfId="8254" priority="7491" stopIfTrue="1">
      <formula>$B296&lt;&gt;""</formula>
    </cfRule>
  </conditionalFormatting>
  <conditionalFormatting sqref="S296:S299">
    <cfRule type="expression" dxfId="8253" priority="7490" stopIfTrue="1">
      <formula>$C296&lt;&gt;""</formula>
    </cfRule>
  </conditionalFormatting>
  <conditionalFormatting sqref="S295">
    <cfRule type="expression" dxfId="8252" priority="7489" stopIfTrue="1">
      <formula>$B295&lt;&gt;""</formula>
    </cfRule>
  </conditionalFormatting>
  <conditionalFormatting sqref="S295">
    <cfRule type="expression" dxfId="8251" priority="7488" stopIfTrue="1">
      <formula>$C295&lt;&gt;""</formula>
    </cfRule>
  </conditionalFormatting>
  <conditionalFormatting sqref="S296:S299">
    <cfRule type="expression" dxfId="8250" priority="7487" stopIfTrue="1">
      <formula>$B296&lt;&gt;""</formula>
    </cfRule>
  </conditionalFormatting>
  <conditionalFormatting sqref="S296:S299">
    <cfRule type="expression" dxfId="8249" priority="7486" stopIfTrue="1">
      <formula>$C296&lt;&gt;""</formula>
    </cfRule>
  </conditionalFormatting>
  <conditionalFormatting sqref="S295:S299">
    <cfRule type="expression" dxfId="8248" priority="7485" stopIfTrue="1">
      <formula>$B295&lt;&gt;""</formula>
    </cfRule>
  </conditionalFormatting>
  <conditionalFormatting sqref="S295:S299">
    <cfRule type="expression" dxfId="8247" priority="7484" stopIfTrue="1">
      <formula>$C295&lt;&gt;""</formula>
    </cfRule>
  </conditionalFormatting>
  <conditionalFormatting sqref="S295:S299">
    <cfRule type="expression" dxfId="8246" priority="7483" stopIfTrue="1">
      <formula>$B295&lt;&gt;""</formula>
    </cfRule>
  </conditionalFormatting>
  <conditionalFormatting sqref="S295:S299">
    <cfRule type="expression" dxfId="8245" priority="7482" stopIfTrue="1">
      <formula>$C295&lt;&gt;""</formula>
    </cfRule>
  </conditionalFormatting>
  <conditionalFormatting sqref="S295:S299">
    <cfRule type="expression" dxfId="8244" priority="7481" stopIfTrue="1">
      <formula>$B295&lt;&gt;""</formula>
    </cfRule>
  </conditionalFormatting>
  <conditionalFormatting sqref="S295:S299">
    <cfRule type="expression" dxfId="8243" priority="7480" stopIfTrue="1">
      <formula>$C295&lt;&gt;""</formula>
    </cfRule>
  </conditionalFormatting>
  <conditionalFormatting sqref="S295:S299">
    <cfRule type="expression" dxfId="8242" priority="7479" stopIfTrue="1">
      <formula>$B295&lt;&gt;""</formula>
    </cfRule>
  </conditionalFormatting>
  <conditionalFormatting sqref="S295:S299">
    <cfRule type="expression" dxfId="8241" priority="7478" stopIfTrue="1">
      <formula>$C295&lt;&gt;""</formula>
    </cfRule>
  </conditionalFormatting>
  <conditionalFormatting sqref="S295:S299">
    <cfRule type="expression" dxfId="8240" priority="7477" stopIfTrue="1">
      <formula>$B295&lt;&gt;""</formula>
    </cfRule>
  </conditionalFormatting>
  <conditionalFormatting sqref="S295:S299">
    <cfRule type="expression" dxfId="8239" priority="7476" stopIfTrue="1">
      <formula>$C295&lt;&gt;""</formula>
    </cfRule>
  </conditionalFormatting>
  <conditionalFormatting sqref="S295:S299">
    <cfRule type="expression" dxfId="8238" priority="7475" stopIfTrue="1">
      <formula>$B295&lt;&gt;""</formula>
    </cfRule>
  </conditionalFormatting>
  <conditionalFormatting sqref="S295:S299">
    <cfRule type="expression" dxfId="8237" priority="7474" stopIfTrue="1">
      <formula>$C295&lt;&gt;""</formula>
    </cfRule>
  </conditionalFormatting>
  <conditionalFormatting sqref="S295:S299">
    <cfRule type="expression" dxfId="8236" priority="7473" stopIfTrue="1">
      <formula>$B295&lt;&gt;""</formula>
    </cfRule>
  </conditionalFormatting>
  <conditionalFormatting sqref="S295:S299">
    <cfRule type="expression" dxfId="8235" priority="7472" stopIfTrue="1">
      <formula>$C295&lt;&gt;""</formula>
    </cfRule>
  </conditionalFormatting>
  <conditionalFormatting sqref="S295:S298">
    <cfRule type="expression" dxfId="8234" priority="7471" stopIfTrue="1">
      <formula>$B295&lt;&gt;""</formula>
    </cfRule>
  </conditionalFormatting>
  <conditionalFormatting sqref="S295:S298">
    <cfRule type="expression" dxfId="8233" priority="7470" stopIfTrue="1">
      <formula>$C295&lt;&gt;""</formula>
    </cfRule>
  </conditionalFormatting>
  <conditionalFormatting sqref="S299">
    <cfRule type="expression" dxfId="8232" priority="7469" stopIfTrue="1">
      <formula>$B299&lt;&gt;""</formula>
    </cfRule>
  </conditionalFormatting>
  <conditionalFormatting sqref="S299">
    <cfRule type="expression" dxfId="8231" priority="7468" stopIfTrue="1">
      <formula>$C299&lt;&gt;""</formula>
    </cfRule>
  </conditionalFormatting>
  <conditionalFormatting sqref="S295:S297">
    <cfRule type="expression" dxfId="8230" priority="7467" stopIfTrue="1">
      <formula>$B295&lt;&gt;""</formula>
    </cfRule>
  </conditionalFormatting>
  <conditionalFormatting sqref="S295:S297">
    <cfRule type="expression" dxfId="8229" priority="7466" stopIfTrue="1">
      <formula>$C295&lt;&gt;""</formula>
    </cfRule>
  </conditionalFormatting>
  <conditionalFormatting sqref="S298:S299">
    <cfRule type="expression" dxfId="8228" priority="7465" stopIfTrue="1">
      <formula>$B298&lt;&gt;""</formula>
    </cfRule>
  </conditionalFormatting>
  <conditionalFormatting sqref="S298:S299">
    <cfRule type="expression" dxfId="8227" priority="7464" stopIfTrue="1">
      <formula>$C298&lt;&gt;""</formula>
    </cfRule>
  </conditionalFormatting>
  <conditionalFormatting sqref="S295:S298">
    <cfRule type="expression" dxfId="8226" priority="7463" stopIfTrue="1">
      <formula>$B295&lt;&gt;""</formula>
    </cfRule>
  </conditionalFormatting>
  <conditionalFormatting sqref="S295:S298">
    <cfRule type="expression" dxfId="8225" priority="7462" stopIfTrue="1">
      <formula>$C295&lt;&gt;""</formula>
    </cfRule>
  </conditionalFormatting>
  <conditionalFormatting sqref="S295:S298">
    <cfRule type="expression" dxfId="8224" priority="7461" stopIfTrue="1">
      <formula>$B295&lt;&gt;""</formula>
    </cfRule>
  </conditionalFormatting>
  <conditionalFormatting sqref="S295:S298">
    <cfRule type="expression" dxfId="8223" priority="7460" stopIfTrue="1">
      <formula>$C295&lt;&gt;""</formula>
    </cfRule>
  </conditionalFormatting>
  <conditionalFormatting sqref="S299">
    <cfRule type="expression" dxfId="8222" priority="7459" stopIfTrue="1">
      <formula>$B299&lt;&gt;""</formula>
    </cfRule>
  </conditionalFormatting>
  <conditionalFormatting sqref="S299">
    <cfRule type="expression" dxfId="8221" priority="7458" stopIfTrue="1">
      <formula>$C299&lt;&gt;""</formula>
    </cfRule>
  </conditionalFormatting>
  <conditionalFormatting sqref="S295:S298">
    <cfRule type="expression" dxfId="8220" priority="7457" stopIfTrue="1">
      <formula>$B295&lt;&gt;""</formula>
    </cfRule>
  </conditionalFormatting>
  <conditionalFormatting sqref="S295:S298">
    <cfRule type="expression" dxfId="8219" priority="7456" stopIfTrue="1">
      <formula>$C295&lt;&gt;""</formula>
    </cfRule>
  </conditionalFormatting>
  <conditionalFormatting sqref="S299">
    <cfRule type="expression" dxfId="8218" priority="7455" stopIfTrue="1">
      <formula>$B299&lt;&gt;""</formula>
    </cfRule>
  </conditionalFormatting>
  <conditionalFormatting sqref="S299">
    <cfRule type="expression" dxfId="8217" priority="7454" stopIfTrue="1">
      <formula>$C299&lt;&gt;""</formula>
    </cfRule>
  </conditionalFormatting>
  <conditionalFormatting sqref="S299">
    <cfRule type="expression" dxfId="8216" priority="7453" stopIfTrue="1">
      <formula>$B299&lt;&gt;""</formula>
    </cfRule>
  </conditionalFormatting>
  <conditionalFormatting sqref="S299">
    <cfRule type="expression" dxfId="8215" priority="7452" stopIfTrue="1">
      <formula>$C299&lt;&gt;""</formula>
    </cfRule>
  </conditionalFormatting>
  <conditionalFormatting sqref="S295">
    <cfRule type="expression" dxfId="8214" priority="7451" stopIfTrue="1">
      <formula>$C295&lt;&gt;""</formula>
    </cfRule>
  </conditionalFormatting>
  <conditionalFormatting sqref="S295">
    <cfRule type="expression" dxfId="8213" priority="7450" stopIfTrue="1">
      <formula>$B295&lt;&gt;""</formula>
    </cfRule>
  </conditionalFormatting>
  <conditionalFormatting sqref="S296:S299">
    <cfRule type="expression" dxfId="8212" priority="7449" stopIfTrue="1">
      <formula>$C296&lt;&gt;""</formula>
    </cfRule>
  </conditionalFormatting>
  <conditionalFormatting sqref="S296:S299">
    <cfRule type="expression" dxfId="8211" priority="7448" stopIfTrue="1">
      <formula>$B296&lt;&gt;""</formula>
    </cfRule>
  </conditionalFormatting>
  <conditionalFormatting sqref="S298:S299">
    <cfRule type="expression" dxfId="8210" priority="7447" stopIfTrue="1">
      <formula>$C298&lt;&gt;""</formula>
    </cfRule>
  </conditionalFormatting>
  <conditionalFormatting sqref="S298:S299">
    <cfRule type="expression" dxfId="8209" priority="7446" stopIfTrue="1">
      <formula>$B298&lt;&gt;""</formula>
    </cfRule>
  </conditionalFormatting>
  <conditionalFormatting sqref="S295:S298">
    <cfRule type="expression" dxfId="8208" priority="7445" stopIfTrue="1">
      <formula>$B295&lt;&gt;""</formula>
    </cfRule>
  </conditionalFormatting>
  <conditionalFormatting sqref="S295:S298">
    <cfRule type="expression" dxfId="8207" priority="7444" stopIfTrue="1">
      <formula>$C295&lt;&gt;""</formula>
    </cfRule>
  </conditionalFormatting>
  <conditionalFormatting sqref="S299">
    <cfRule type="expression" dxfId="8206" priority="7443" stopIfTrue="1">
      <formula>$B299&lt;&gt;""</formula>
    </cfRule>
  </conditionalFormatting>
  <conditionalFormatting sqref="S299">
    <cfRule type="expression" dxfId="8205" priority="7442" stopIfTrue="1">
      <formula>$C299&lt;&gt;""</formula>
    </cfRule>
  </conditionalFormatting>
  <conditionalFormatting sqref="S295:S297">
    <cfRule type="expression" dxfId="8204" priority="7441" stopIfTrue="1">
      <formula>$B295&lt;&gt;""</formula>
    </cfRule>
  </conditionalFormatting>
  <conditionalFormatting sqref="S295:S297">
    <cfRule type="expression" dxfId="8203" priority="7440" stopIfTrue="1">
      <formula>$C295&lt;&gt;""</formula>
    </cfRule>
  </conditionalFormatting>
  <conditionalFormatting sqref="S298:S299">
    <cfRule type="expression" dxfId="8202" priority="7439" stopIfTrue="1">
      <formula>$B298&lt;&gt;""</formula>
    </cfRule>
  </conditionalFormatting>
  <conditionalFormatting sqref="S298:S299">
    <cfRule type="expression" dxfId="8201" priority="7438" stopIfTrue="1">
      <formula>$C298&lt;&gt;""</formula>
    </cfRule>
  </conditionalFormatting>
  <conditionalFormatting sqref="S295:S298">
    <cfRule type="expression" dxfId="8200" priority="7437" stopIfTrue="1">
      <formula>$B295&lt;&gt;""</formula>
    </cfRule>
  </conditionalFormatting>
  <conditionalFormatting sqref="S295:S298">
    <cfRule type="expression" dxfId="8199" priority="7436" stopIfTrue="1">
      <formula>$C295&lt;&gt;""</formula>
    </cfRule>
  </conditionalFormatting>
  <conditionalFormatting sqref="S295:S298">
    <cfRule type="expression" dxfId="8198" priority="7435" stopIfTrue="1">
      <formula>$B295&lt;&gt;""</formula>
    </cfRule>
  </conditionalFormatting>
  <conditionalFormatting sqref="S295:S298">
    <cfRule type="expression" dxfId="8197" priority="7434" stopIfTrue="1">
      <formula>$C295&lt;&gt;""</formula>
    </cfRule>
  </conditionalFormatting>
  <conditionalFormatting sqref="S299">
    <cfRule type="expression" dxfId="8196" priority="7433" stopIfTrue="1">
      <formula>$B299&lt;&gt;""</formula>
    </cfRule>
  </conditionalFormatting>
  <conditionalFormatting sqref="S299">
    <cfRule type="expression" dxfId="8195" priority="7432" stopIfTrue="1">
      <formula>$C299&lt;&gt;""</formula>
    </cfRule>
  </conditionalFormatting>
  <conditionalFormatting sqref="S295:S298">
    <cfRule type="expression" dxfId="8194" priority="7431" stopIfTrue="1">
      <formula>$B295&lt;&gt;""</formula>
    </cfRule>
  </conditionalFormatting>
  <conditionalFormatting sqref="S295:S298">
    <cfRule type="expression" dxfId="8193" priority="7430" stopIfTrue="1">
      <formula>$C295&lt;&gt;""</formula>
    </cfRule>
  </conditionalFormatting>
  <conditionalFormatting sqref="S299">
    <cfRule type="expression" dxfId="8192" priority="7429" stopIfTrue="1">
      <formula>$B299&lt;&gt;""</formula>
    </cfRule>
  </conditionalFormatting>
  <conditionalFormatting sqref="S299">
    <cfRule type="expression" dxfId="8191" priority="7428" stopIfTrue="1">
      <formula>$C299&lt;&gt;""</formula>
    </cfRule>
  </conditionalFormatting>
  <conditionalFormatting sqref="S299">
    <cfRule type="expression" dxfId="8190" priority="7427" stopIfTrue="1">
      <formula>$B299&lt;&gt;""</formula>
    </cfRule>
  </conditionalFormatting>
  <conditionalFormatting sqref="S299">
    <cfRule type="expression" dxfId="8189" priority="7426" stopIfTrue="1">
      <formula>$C299&lt;&gt;""</formula>
    </cfRule>
  </conditionalFormatting>
  <conditionalFormatting sqref="S295">
    <cfRule type="expression" dxfId="8188" priority="7425" stopIfTrue="1">
      <formula>$C295&lt;&gt;""</formula>
    </cfRule>
  </conditionalFormatting>
  <conditionalFormatting sqref="S295">
    <cfRule type="expression" dxfId="8187" priority="7424" stopIfTrue="1">
      <formula>$B295&lt;&gt;""</formula>
    </cfRule>
  </conditionalFormatting>
  <conditionalFormatting sqref="S296:S299">
    <cfRule type="expression" dxfId="8186" priority="7423" stopIfTrue="1">
      <formula>$C296&lt;&gt;""</formula>
    </cfRule>
  </conditionalFormatting>
  <conditionalFormatting sqref="S296:S299">
    <cfRule type="expression" dxfId="8185" priority="7422" stopIfTrue="1">
      <formula>$B296&lt;&gt;""</formula>
    </cfRule>
  </conditionalFormatting>
  <conditionalFormatting sqref="S298:S299">
    <cfRule type="expression" dxfId="8184" priority="7421" stopIfTrue="1">
      <formula>$C298&lt;&gt;""</formula>
    </cfRule>
  </conditionalFormatting>
  <conditionalFormatting sqref="S298:S299">
    <cfRule type="expression" dxfId="8183" priority="7420" stopIfTrue="1">
      <formula>$B298&lt;&gt;""</formula>
    </cfRule>
  </conditionalFormatting>
  <conditionalFormatting sqref="S295">
    <cfRule type="expression" dxfId="8182" priority="7419" stopIfTrue="1">
      <formula>$B295&lt;&gt;""</formula>
    </cfRule>
  </conditionalFormatting>
  <conditionalFormatting sqref="S295">
    <cfRule type="expression" dxfId="8181" priority="7418" stopIfTrue="1">
      <formula>$C295&lt;&gt;""</formula>
    </cfRule>
  </conditionalFormatting>
  <conditionalFormatting sqref="S296">
    <cfRule type="expression" dxfId="8180" priority="7417" stopIfTrue="1">
      <formula>$B296&lt;&gt;""</formula>
    </cfRule>
  </conditionalFormatting>
  <conditionalFormatting sqref="S296">
    <cfRule type="expression" dxfId="8179" priority="7416" stopIfTrue="1">
      <formula>$C296&lt;&gt;""</formula>
    </cfRule>
  </conditionalFormatting>
  <conditionalFormatting sqref="S295">
    <cfRule type="expression" dxfId="8178" priority="7415" stopIfTrue="1">
      <formula>$B295&lt;&gt;""</formula>
    </cfRule>
  </conditionalFormatting>
  <conditionalFormatting sqref="S295">
    <cfRule type="expression" dxfId="8177" priority="7414" stopIfTrue="1">
      <formula>$C295&lt;&gt;""</formula>
    </cfRule>
  </conditionalFormatting>
  <conditionalFormatting sqref="S296:S299">
    <cfRule type="expression" dxfId="8176" priority="7413" stopIfTrue="1">
      <formula>$B296&lt;&gt;""</formula>
    </cfRule>
  </conditionalFormatting>
  <conditionalFormatting sqref="S296:S299">
    <cfRule type="expression" dxfId="8175" priority="7412" stopIfTrue="1">
      <formula>$C296&lt;&gt;""</formula>
    </cfRule>
  </conditionalFormatting>
  <conditionalFormatting sqref="S295">
    <cfRule type="expression" dxfId="8174" priority="7411" stopIfTrue="1">
      <formula>$B295&lt;&gt;""</formula>
    </cfRule>
  </conditionalFormatting>
  <conditionalFormatting sqref="S295">
    <cfRule type="expression" dxfId="8173" priority="7410" stopIfTrue="1">
      <formula>$C295&lt;&gt;""</formula>
    </cfRule>
  </conditionalFormatting>
  <conditionalFormatting sqref="S296:S299">
    <cfRule type="expression" dxfId="8172" priority="7409" stopIfTrue="1">
      <formula>$B296&lt;&gt;""</formula>
    </cfRule>
  </conditionalFormatting>
  <conditionalFormatting sqref="S296:S299">
    <cfRule type="expression" dxfId="8171" priority="7408" stopIfTrue="1">
      <formula>$C296&lt;&gt;""</formula>
    </cfRule>
  </conditionalFormatting>
  <conditionalFormatting sqref="S295:S299">
    <cfRule type="expression" dxfId="8170" priority="7407" stopIfTrue="1">
      <formula>$B295&lt;&gt;""</formula>
    </cfRule>
  </conditionalFormatting>
  <conditionalFormatting sqref="S295:S299">
    <cfRule type="expression" dxfId="8169" priority="7406" stopIfTrue="1">
      <formula>$C295&lt;&gt;""</formula>
    </cfRule>
  </conditionalFormatting>
  <conditionalFormatting sqref="S295:S299">
    <cfRule type="expression" dxfId="8168" priority="7405" stopIfTrue="1">
      <formula>$B295&lt;&gt;""</formula>
    </cfRule>
  </conditionalFormatting>
  <conditionalFormatting sqref="S295:S299">
    <cfRule type="expression" dxfId="8167" priority="7404" stopIfTrue="1">
      <formula>$C295&lt;&gt;""</formula>
    </cfRule>
  </conditionalFormatting>
  <conditionalFormatting sqref="S295:S299">
    <cfRule type="expression" dxfId="8166" priority="7403" stopIfTrue="1">
      <formula>$B295&lt;&gt;""</formula>
    </cfRule>
  </conditionalFormatting>
  <conditionalFormatting sqref="S295:S299">
    <cfRule type="expression" dxfId="8165" priority="7402" stopIfTrue="1">
      <formula>$C295&lt;&gt;""</formula>
    </cfRule>
  </conditionalFormatting>
  <conditionalFormatting sqref="S295:S299">
    <cfRule type="expression" dxfId="8164" priority="7401" stopIfTrue="1">
      <formula>$B295&lt;&gt;""</formula>
    </cfRule>
  </conditionalFormatting>
  <conditionalFormatting sqref="S295:S299">
    <cfRule type="expression" dxfId="8163" priority="7400" stopIfTrue="1">
      <formula>$C295&lt;&gt;""</formula>
    </cfRule>
  </conditionalFormatting>
  <conditionalFormatting sqref="S295:S299">
    <cfRule type="expression" dxfId="8162" priority="7399" stopIfTrue="1">
      <formula>$B295&lt;&gt;""</formula>
    </cfRule>
  </conditionalFormatting>
  <conditionalFormatting sqref="S295:S299">
    <cfRule type="expression" dxfId="8161" priority="7398" stopIfTrue="1">
      <formula>$C295&lt;&gt;""</formula>
    </cfRule>
  </conditionalFormatting>
  <conditionalFormatting sqref="S295:S299">
    <cfRule type="expression" dxfId="8160" priority="7397" stopIfTrue="1">
      <formula>$B295&lt;&gt;""</formula>
    </cfRule>
  </conditionalFormatting>
  <conditionalFormatting sqref="S295:S299">
    <cfRule type="expression" dxfId="8159" priority="7396" stopIfTrue="1">
      <formula>$C295&lt;&gt;""</formula>
    </cfRule>
  </conditionalFormatting>
  <conditionalFormatting sqref="S295:S299">
    <cfRule type="expression" dxfId="8158" priority="7395" stopIfTrue="1">
      <formula>$B295&lt;&gt;""</formula>
    </cfRule>
  </conditionalFormatting>
  <conditionalFormatting sqref="S295:S299">
    <cfRule type="expression" dxfId="8157" priority="7394" stopIfTrue="1">
      <formula>$C295&lt;&gt;""</formula>
    </cfRule>
  </conditionalFormatting>
  <conditionalFormatting sqref="S295:S298">
    <cfRule type="expression" dxfId="8156" priority="7393" stopIfTrue="1">
      <formula>$B295&lt;&gt;""</formula>
    </cfRule>
  </conditionalFormatting>
  <conditionalFormatting sqref="S295:S298">
    <cfRule type="expression" dxfId="8155" priority="7392" stopIfTrue="1">
      <formula>$C295&lt;&gt;""</formula>
    </cfRule>
  </conditionalFormatting>
  <conditionalFormatting sqref="S299">
    <cfRule type="expression" dxfId="8154" priority="7391" stopIfTrue="1">
      <formula>$B299&lt;&gt;""</formula>
    </cfRule>
  </conditionalFormatting>
  <conditionalFormatting sqref="S299">
    <cfRule type="expression" dxfId="8153" priority="7390" stopIfTrue="1">
      <formula>$C299&lt;&gt;""</formula>
    </cfRule>
  </conditionalFormatting>
  <conditionalFormatting sqref="S295:S297">
    <cfRule type="expression" dxfId="8152" priority="7389" stopIfTrue="1">
      <formula>$B295&lt;&gt;""</formula>
    </cfRule>
  </conditionalFormatting>
  <conditionalFormatting sqref="S295:S297">
    <cfRule type="expression" dxfId="8151" priority="7388" stopIfTrue="1">
      <formula>$C295&lt;&gt;""</formula>
    </cfRule>
  </conditionalFormatting>
  <conditionalFormatting sqref="S298:S299">
    <cfRule type="expression" dxfId="8150" priority="7387" stopIfTrue="1">
      <formula>$B298&lt;&gt;""</formula>
    </cfRule>
  </conditionalFormatting>
  <conditionalFormatting sqref="S298:S299">
    <cfRule type="expression" dxfId="8149" priority="7386" stopIfTrue="1">
      <formula>$C298&lt;&gt;""</formula>
    </cfRule>
  </conditionalFormatting>
  <conditionalFormatting sqref="S295:S298">
    <cfRule type="expression" dxfId="8148" priority="7385" stopIfTrue="1">
      <formula>$B295&lt;&gt;""</formula>
    </cfRule>
  </conditionalFormatting>
  <conditionalFormatting sqref="S295:S298">
    <cfRule type="expression" dxfId="8147" priority="7384" stopIfTrue="1">
      <formula>$C295&lt;&gt;""</formula>
    </cfRule>
  </conditionalFormatting>
  <conditionalFormatting sqref="S295:S298">
    <cfRule type="expression" dxfId="8146" priority="7383" stopIfTrue="1">
      <formula>$B295&lt;&gt;""</formula>
    </cfRule>
  </conditionalFormatting>
  <conditionalFormatting sqref="S295:S298">
    <cfRule type="expression" dxfId="8145" priority="7382" stopIfTrue="1">
      <formula>$C295&lt;&gt;""</formula>
    </cfRule>
  </conditionalFormatting>
  <conditionalFormatting sqref="S299">
    <cfRule type="expression" dxfId="8144" priority="7381" stopIfTrue="1">
      <formula>$B299&lt;&gt;""</formula>
    </cfRule>
  </conditionalFormatting>
  <conditionalFormatting sqref="S299">
    <cfRule type="expression" dxfId="8143" priority="7380" stopIfTrue="1">
      <formula>$C299&lt;&gt;""</formula>
    </cfRule>
  </conditionalFormatting>
  <conditionalFormatting sqref="S295:S298">
    <cfRule type="expression" dxfId="8142" priority="7379" stopIfTrue="1">
      <formula>$B295&lt;&gt;""</formula>
    </cfRule>
  </conditionalFormatting>
  <conditionalFormatting sqref="S295:S298">
    <cfRule type="expression" dxfId="8141" priority="7378" stopIfTrue="1">
      <formula>$C295&lt;&gt;""</formula>
    </cfRule>
  </conditionalFormatting>
  <conditionalFormatting sqref="S299">
    <cfRule type="expression" dxfId="8140" priority="7377" stopIfTrue="1">
      <formula>$B299&lt;&gt;""</formula>
    </cfRule>
  </conditionalFormatting>
  <conditionalFormatting sqref="S299">
    <cfRule type="expression" dxfId="8139" priority="7376" stopIfTrue="1">
      <formula>$C299&lt;&gt;""</formula>
    </cfRule>
  </conditionalFormatting>
  <conditionalFormatting sqref="S299">
    <cfRule type="expression" dxfId="8138" priority="7375" stopIfTrue="1">
      <formula>$B299&lt;&gt;""</formula>
    </cfRule>
  </conditionalFormatting>
  <conditionalFormatting sqref="S299">
    <cfRule type="expression" dxfId="8137" priority="7374" stopIfTrue="1">
      <formula>$C299&lt;&gt;""</formula>
    </cfRule>
  </conditionalFormatting>
  <conditionalFormatting sqref="S295">
    <cfRule type="expression" dxfId="8136" priority="7373" stopIfTrue="1">
      <formula>$C295&lt;&gt;""</formula>
    </cfRule>
  </conditionalFormatting>
  <conditionalFormatting sqref="S295">
    <cfRule type="expression" dxfId="8135" priority="7372" stopIfTrue="1">
      <formula>$B295&lt;&gt;""</formula>
    </cfRule>
  </conditionalFormatting>
  <conditionalFormatting sqref="S296:S299">
    <cfRule type="expression" dxfId="8134" priority="7371" stopIfTrue="1">
      <formula>$C296&lt;&gt;""</formula>
    </cfRule>
  </conditionalFormatting>
  <conditionalFormatting sqref="S296:S299">
    <cfRule type="expression" dxfId="8133" priority="7370" stopIfTrue="1">
      <formula>$B296&lt;&gt;""</formula>
    </cfRule>
  </conditionalFormatting>
  <conditionalFormatting sqref="S298:S299">
    <cfRule type="expression" dxfId="8132" priority="7369" stopIfTrue="1">
      <formula>$C298&lt;&gt;""</formula>
    </cfRule>
  </conditionalFormatting>
  <conditionalFormatting sqref="S298:S299">
    <cfRule type="expression" dxfId="8131" priority="7368" stopIfTrue="1">
      <formula>$B298&lt;&gt;""</formula>
    </cfRule>
  </conditionalFormatting>
  <conditionalFormatting sqref="S295:S298">
    <cfRule type="expression" dxfId="8130" priority="7367" stopIfTrue="1">
      <formula>$B295&lt;&gt;""</formula>
    </cfRule>
  </conditionalFormatting>
  <conditionalFormatting sqref="S295:S298">
    <cfRule type="expression" dxfId="8129" priority="7366" stopIfTrue="1">
      <formula>$C295&lt;&gt;""</formula>
    </cfRule>
  </conditionalFormatting>
  <conditionalFormatting sqref="S299">
    <cfRule type="expression" dxfId="8128" priority="7365" stopIfTrue="1">
      <formula>$B299&lt;&gt;""</formula>
    </cfRule>
  </conditionalFormatting>
  <conditionalFormatting sqref="S299">
    <cfRule type="expression" dxfId="8127" priority="7364" stopIfTrue="1">
      <formula>$C299&lt;&gt;""</formula>
    </cfRule>
  </conditionalFormatting>
  <conditionalFormatting sqref="S295:S297">
    <cfRule type="expression" dxfId="8126" priority="7363" stopIfTrue="1">
      <formula>$B295&lt;&gt;""</formula>
    </cfRule>
  </conditionalFormatting>
  <conditionalFormatting sqref="S295:S297">
    <cfRule type="expression" dxfId="8125" priority="7362" stopIfTrue="1">
      <formula>$C295&lt;&gt;""</formula>
    </cfRule>
  </conditionalFormatting>
  <conditionalFormatting sqref="S298:S299">
    <cfRule type="expression" dxfId="8124" priority="7361" stopIfTrue="1">
      <formula>$B298&lt;&gt;""</formula>
    </cfRule>
  </conditionalFormatting>
  <conditionalFormatting sqref="S298:S299">
    <cfRule type="expression" dxfId="8123" priority="7360" stopIfTrue="1">
      <formula>$C298&lt;&gt;""</formula>
    </cfRule>
  </conditionalFormatting>
  <conditionalFormatting sqref="S295:S298">
    <cfRule type="expression" dxfId="8122" priority="7359" stopIfTrue="1">
      <formula>$B295&lt;&gt;""</formula>
    </cfRule>
  </conditionalFormatting>
  <conditionalFormatting sqref="S295:S298">
    <cfRule type="expression" dxfId="8121" priority="7358" stopIfTrue="1">
      <formula>$C295&lt;&gt;""</formula>
    </cfRule>
  </conditionalFormatting>
  <conditionalFormatting sqref="S295:S298">
    <cfRule type="expression" dxfId="8120" priority="7357" stopIfTrue="1">
      <formula>$B295&lt;&gt;""</formula>
    </cfRule>
  </conditionalFormatting>
  <conditionalFormatting sqref="S295:S298">
    <cfRule type="expression" dxfId="8119" priority="7356" stopIfTrue="1">
      <formula>$C295&lt;&gt;""</formula>
    </cfRule>
  </conditionalFormatting>
  <conditionalFormatting sqref="S299">
    <cfRule type="expression" dxfId="8118" priority="7355" stopIfTrue="1">
      <formula>$B299&lt;&gt;""</formula>
    </cfRule>
  </conditionalFormatting>
  <conditionalFormatting sqref="S299">
    <cfRule type="expression" dxfId="8117" priority="7354" stopIfTrue="1">
      <formula>$C299&lt;&gt;""</formula>
    </cfRule>
  </conditionalFormatting>
  <conditionalFormatting sqref="S295:S298">
    <cfRule type="expression" dxfId="8116" priority="7353" stopIfTrue="1">
      <formula>$B295&lt;&gt;""</formula>
    </cfRule>
  </conditionalFormatting>
  <conditionalFormatting sqref="S295:S298">
    <cfRule type="expression" dxfId="8115" priority="7352" stopIfTrue="1">
      <formula>$C295&lt;&gt;""</formula>
    </cfRule>
  </conditionalFormatting>
  <conditionalFormatting sqref="S299">
    <cfRule type="expression" dxfId="8114" priority="7351" stopIfTrue="1">
      <formula>$B299&lt;&gt;""</formula>
    </cfRule>
  </conditionalFormatting>
  <conditionalFormatting sqref="S299">
    <cfRule type="expression" dxfId="8113" priority="7350" stopIfTrue="1">
      <formula>$C299&lt;&gt;""</formula>
    </cfRule>
  </conditionalFormatting>
  <conditionalFormatting sqref="S299">
    <cfRule type="expression" dxfId="8112" priority="7349" stopIfTrue="1">
      <formula>$B299&lt;&gt;""</formula>
    </cfRule>
  </conditionalFormatting>
  <conditionalFormatting sqref="S299">
    <cfRule type="expression" dxfId="8111" priority="7348" stopIfTrue="1">
      <formula>$C299&lt;&gt;""</formula>
    </cfRule>
  </conditionalFormatting>
  <conditionalFormatting sqref="S295">
    <cfRule type="expression" dxfId="8110" priority="7347" stopIfTrue="1">
      <formula>$C295&lt;&gt;""</formula>
    </cfRule>
  </conditionalFormatting>
  <conditionalFormatting sqref="S295">
    <cfRule type="expression" dxfId="8109" priority="7346" stopIfTrue="1">
      <formula>$B295&lt;&gt;""</formula>
    </cfRule>
  </conditionalFormatting>
  <conditionalFormatting sqref="S296:S299">
    <cfRule type="expression" dxfId="8108" priority="7345" stopIfTrue="1">
      <formula>$C296&lt;&gt;""</formula>
    </cfRule>
  </conditionalFormatting>
  <conditionalFormatting sqref="S296:S299">
    <cfRule type="expression" dxfId="8107" priority="7344" stopIfTrue="1">
      <formula>$B296&lt;&gt;""</formula>
    </cfRule>
  </conditionalFormatting>
  <conditionalFormatting sqref="S298:S299">
    <cfRule type="expression" dxfId="8106" priority="7343" stopIfTrue="1">
      <formula>$C298&lt;&gt;""</formula>
    </cfRule>
  </conditionalFormatting>
  <conditionalFormatting sqref="S298:S299">
    <cfRule type="expression" dxfId="8105" priority="7342" stopIfTrue="1">
      <formula>$B298&lt;&gt;""</formula>
    </cfRule>
  </conditionalFormatting>
  <conditionalFormatting sqref="S300">
    <cfRule type="expression" dxfId="8104" priority="7341" stopIfTrue="1">
      <formula>$B300&lt;&gt;""</formula>
    </cfRule>
  </conditionalFormatting>
  <conditionalFormatting sqref="S300">
    <cfRule type="expression" dxfId="8103" priority="7340" stopIfTrue="1">
      <formula>$C300&lt;&gt;""</formula>
    </cfRule>
  </conditionalFormatting>
  <conditionalFormatting sqref="S300">
    <cfRule type="expression" dxfId="8102" priority="7339" stopIfTrue="1">
      <formula>$B300&lt;&gt;""</formula>
    </cfRule>
  </conditionalFormatting>
  <conditionalFormatting sqref="S300">
    <cfRule type="expression" dxfId="8101" priority="7338" stopIfTrue="1">
      <formula>$C300&lt;&gt;""</formula>
    </cfRule>
  </conditionalFormatting>
  <conditionalFormatting sqref="S300">
    <cfRule type="expression" dxfId="8100" priority="7337" stopIfTrue="1">
      <formula>$B300&lt;&gt;""</formula>
    </cfRule>
  </conditionalFormatting>
  <conditionalFormatting sqref="S300">
    <cfRule type="expression" dxfId="8099" priority="7336" stopIfTrue="1">
      <formula>$C300&lt;&gt;""</formula>
    </cfRule>
  </conditionalFormatting>
  <conditionalFormatting sqref="S300">
    <cfRule type="expression" dxfId="8098" priority="7335" stopIfTrue="1">
      <formula>$B300&lt;&gt;""</formula>
    </cfRule>
  </conditionalFormatting>
  <conditionalFormatting sqref="S300">
    <cfRule type="expression" dxfId="8097" priority="7334" stopIfTrue="1">
      <formula>$C300&lt;&gt;""</formula>
    </cfRule>
  </conditionalFormatting>
  <conditionalFormatting sqref="S300">
    <cfRule type="expression" dxfId="8096" priority="7333" stopIfTrue="1">
      <formula>$B300&lt;&gt;""</formula>
    </cfRule>
  </conditionalFormatting>
  <conditionalFormatting sqref="S300">
    <cfRule type="expression" dxfId="8095" priority="7332" stopIfTrue="1">
      <formula>$C300&lt;&gt;""</formula>
    </cfRule>
  </conditionalFormatting>
  <conditionalFormatting sqref="S300">
    <cfRule type="expression" dxfId="8094" priority="7331" stopIfTrue="1">
      <formula>$B300&lt;&gt;""</formula>
    </cfRule>
  </conditionalFormatting>
  <conditionalFormatting sqref="S300">
    <cfRule type="expression" dxfId="8093" priority="7330" stopIfTrue="1">
      <formula>$C300&lt;&gt;""</formula>
    </cfRule>
  </conditionalFormatting>
  <conditionalFormatting sqref="S300">
    <cfRule type="expression" dxfId="8092" priority="7329" stopIfTrue="1">
      <formula>$B300&lt;&gt;""</formula>
    </cfRule>
  </conditionalFormatting>
  <conditionalFormatting sqref="S300">
    <cfRule type="expression" dxfId="8091" priority="7328" stopIfTrue="1">
      <formula>$C300&lt;&gt;""</formula>
    </cfRule>
  </conditionalFormatting>
  <conditionalFormatting sqref="S300">
    <cfRule type="expression" dxfId="8090" priority="7327" stopIfTrue="1">
      <formula>$B300&lt;&gt;""</formula>
    </cfRule>
  </conditionalFormatting>
  <conditionalFormatting sqref="S300">
    <cfRule type="expression" dxfId="8089" priority="7326" stopIfTrue="1">
      <formula>$C300&lt;&gt;""</formula>
    </cfRule>
  </conditionalFormatting>
  <conditionalFormatting sqref="S300">
    <cfRule type="expression" dxfId="8088" priority="7325" stopIfTrue="1">
      <formula>$B300&lt;&gt;""</formula>
    </cfRule>
  </conditionalFormatting>
  <conditionalFormatting sqref="S300">
    <cfRule type="expression" dxfId="8087" priority="7324" stopIfTrue="1">
      <formula>$C300&lt;&gt;""</formula>
    </cfRule>
  </conditionalFormatting>
  <conditionalFormatting sqref="S300">
    <cfRule type="expression" dxfId="8086" priority="7323" stopIfTrue="1">
      <formula>$B300&lt;&gt;""</formula>
    </cfRule>
  </conditionalFormatting>
  <conditionalFormatting sqref="S300">
    <cfRule type="expression" dxfId="8085" priority="7322" stopIfTrue="1">
      <formula>$C300&lt;&gt;""</formula>
    </cfRule>
  </conditionalFormatting>
  <conditionalFormatting sqref="S300">
    <cfRule type="expression" dxfId="8084" priority="7321" stopIfTrue="1">
      <formula>$B300&lt;&gt;""</formula>
    </cfRule>
  </conditionalFormatting>
  <conditionalFormatting sqref="S300">
    <cfRule type="expression" dxfId="8083" priority="7320" stopIfTrue="1">
      <formula>$C300&lt;&gt;""</formula>
    </cfRule>
  </conditionalFormatting>
  <conditionalFormatting sqref="S300">
    <cfRule type="expression" dxfId="8082" priority="7319" stopIfTrue="1">
      <formula>$B300&lt;&gt;""</formula>
    </cfRule>
  </conditionalFormatting>
  <conditionalFormatting sqref="S300">
    <cfRule type="expression" dxfId="8081" priority="7318" stopIfTrue="1">
      <formula>$C300&lt;&gt;""</formula>
    </cfRule>
  </conditionalFormatting>
  <conditionalFormatting sqref="S300">
    <cfRule type="expression" dxfId="8080" priority="7317" stopIfTrue="1">
      <formula>$B300&lt;&gt;""</formula>
    </cfRule>
  </conditionalFormatting>
  <conditionalFormatting sqref="S300">
    <cfRule type="expression" dxfId="8079" priority="7316" stopIfTrue="1">
      <formula>$C300&lt;&gt;""</formula>
    </cfRule>
  </conditionalFormatting>
  <conditionalFormatting sqref="S300">
    <cfRule type="expression" dxfId="8078" priority="7315" stopIfTrue="1">
      <formula>$B300&lt;&gt;""</formula>
    </cfRule>
  </conditionalFormatting>
  <conditionalFormatting sqref="S300">
    <cfRule type="expression" dxfId="8077" priority="7314" stopIfTrue="1">
      <formula>$C300&lt;&gt;""</formula>
    </cfRule>
  </conditionalFormatting>
  <conditionalFormatting sqref="S300">
    <cfRule type="expression" dxfId="8076" priority="7313" stopIfTrue="1">
      <formula>$C300&lt;&gt;""</formula>
    </cfRule>
  </conditionalFormatting>
  <conditionalFormatting sqref="S300">
    <cfRule type="expression" dxfId="8075" priority="7312" stopIfTrue="1">
      <formula>$B300&lt;&gt;""</formula>
    </cfRule>
  </conditionalFormatting>
  <conditionalFormatting sqref="S300">
    <cfRule type="expression" dxfId="8074" priority="7311" stopIfTrue="1">
      <formula>$C300&lt;&gt;""</formula>
    </cfRule>
  </conditionalFormatting>
  <conditionalFormatting sqref="S300">
    <cfRule type="expression" dxfId="8073" priority="7310" stopIfTrue="1">
      <formula>$B300&lt;&gt;""</formula>
    </cfRule>
  </conditionalFormatting>
  <conditionalFormatting sqref="S300">
    <cfRule type="expression" dxfId="8072" priority="7309" stopIfTrue="1">
      <formula>$B300&lt;&gt;""</formula>
    </cfRule>
  </conditionalFormatting>
  <conditionalFormatting sqref="S300">
    <cfRule type="expression" dxfId="8071" priority="7308" stopIfTrue="1">
      <formula>$C300&lt;&gt;""</formula>
    </cfRule>
  </conditionalFormatting>
  <conditionalFormatting sqref="S300">
    <cfRule type="expression" dxfId="8070" priority="7307" stopIfTrue="1">
      <formula>$B300&lt;&gt;""</formula>
    </cfRule>
  </conditionalFormatting>
  <conditionalFormatting sqref="S300">
    <cfRule type="expression" dxfId="8069" priority="7306" stopIfTrue="1">
      <formula>$C300&lt;&gt;""</formula>
    </cfRule>
  </conditionalFormatting>
  <conditionalFormatting sqref="S300">
    <cfRule type="expression" dxfId="8068" priority="7305" stopIfTrue="1">
      <formula>$B300&lt;&gt;""</formula>
    </cfRule>
  </conditionalFormatting>
  <conditionalFormatting sqref="S300">
    <cfRule type="expression" dxfId="8067" priority="7304" stopIfTrue="1">
      <formula>$C300&lt;&gt;""</formula>
    </cfRule>
  </conditionalFormatting>
  <conditionalFormatting sqref="S300">
    <cfRule type="expression" dxfId="8066" priority="7303" stopIfTrue="1">
      <formula>$B300&lt;&gt;""</formula>
    </cfRule>
  </conditionalFormatting>
  <conditionalFormatting sqref="S300">
    <cfRule type="expression" dxfId="8065" priority="7302" stopIfTrue="1">
      <formula>$C300&lt;&gt;""</formula>
    </cfRule>
  </conditionalFormatting>
  <conditionalFormatting sqref="S300">
    <cfRule type="expression" dxfId="8064" priority="7301" stopIfTrue="1">
      <formula>$B300&lt;&gt;""</formula>
    </cfRule>
  </conditionalFormatting>
  <conditionalFormatting sqref="S300">
    <cfRule type="expression" dxfId="8063" priority="7300" stopIfTrue="1">
      <formula>$C300&lt;&gt;""</formula>
    </cfRule>
  </conditionalFormatting>
  <conditionalFormatting sqref="S300">
    <cfRule type="expression" dxfId="8062" priority="7299" stopIfTrue="1">
      <formula>$C300&lt;&gt;""</formula>
    </cfRule>
  </conditionalFormatting>
  <conditionalFormatting sqref="S300">
    <cfRule type="expression" dxfId="8061" priority="7298" stopIfTrue="1">
      <formula>$B300&lt;&gt;""</formula>
    </cfRule>
  </conditionalFormatting>
  <conditionalFormatting sqref="S300">
    <cfRule type="expression" dxfId="8060" priority="7297" stopIfTrue="1">
      <formula>$C300&lt;&gt;""</formula>
    </cfRule>
  </conditionalFormatting>
  <conditionalFormatting sqref="S300">
    <cfRule type="expression" dxfId="8059" priority="7296" stopIfTrue="1">
      <formula>$B300&lt;&gt;""</formula>
    </cfRule>
  </conditionalFormatting>
  <conditionalFormatting sqref="S300">
    <cfRule type="expression" dxfId="8058" priority="7295" stopIfTrue="1">
      <formula>$B300&lt;&gt;""</formula>
    </cfRule>
  </conditionalFormatting>
  <conditionalFormatting sqref="S300">
    <cfRule type="expression" dxfId="8057" priority="7294" stopIfTrue="1">
      <formula>$C300&lt;&gt;""</formula>
    </cfRule>
  </conditionalFormatting>
  <conditionalFormatting sqref="S301">
    <cfRule type="expression" dxfId="8056" priority="7293" stopIfTrue="1">
      <formula>$B301&lt;&gt;""</formula>
    </cfRule>
  </conditionalFormatting>
  <conditionalFormatting sqref="S301">
    <cfRule type="expression" dxfId="8055" priority="7292" stopIfTrue="1">
      <formula>$C301&lt;&gt;""</formula>
    </cfRule>
  </conditionalFormatting>
  <conditionalFormatting sqref="S300">
    <cfRule type="expression" dxfId="8054" priority="7291" stopIfTrue="1">
      <formula>$B300&lt;&gt;""</formula>
    </cfRule>
  </conditionalFormatting>
  <conditionalFormatting sqref="S300">
    <cfRule type="expression" dxfId="8053" priority="7290" stopIfTrue="1">
      <formula>$C300&lt;&gt;""</formula>
    </cfRule>
  </conditionalFormatting>
  <conditionalFormatting sqref="S301:S304">
    <cfRule type="expression" dxfId="8052" priority="7289" stopIfTrue="1">
      <formula>$B301&lt;&gt;""</formula>
    </cfRule>
  </conditionalFormatting>
  <conditionalFormatting sqref="S301:S304">
    <cfRule type="expression" dxfId="8051" priority="7288" stopIfTrue="1">
      <formula>$C301&lt;&gt;""</formula>
    </cfRule>
  </conditionalFormatting>
  <conditionalFormatting sqref="S300">
    <cfRule type="expression" dxfId="8050" priority="7287" stopIfTrue="1">
      <formula>$B300&lt;&gt;""</formula>
    </cfRule>
  </conditionalFormatting>
  <conditionalFormatting sqref="S300">
    <cfRule type="expression" dxfId="8049" priority="7286" stopIfTrue="1">
      <formula>$C300&lt;&gt;""</formula>
    </cfRule>
  </conditionalFormatting>
  <conditionalFormatting sqref="S301:S304">
    <cfRule type="expression" dxfId="8048" priority="7285" stopIfTrue="1">
      <formula>$B301&lt;&gt;""</formula>
    </cfRule>
  </conditionalFormatting>
  <conditionalFormatting sqref="S301:S304">
    <cfRule type="expression" dxfId="8047" priority="7284" stopIfTrue="1">
      <formula>$C301&lt;&gt;""</formula>
    </cfRule>
  </conditionalFormatting>
  <conditionalFormatting sqref="S300:S304">
    <cfRule type="expression" dxfId="8046" priority="7283" stopIfTrue="1">
      <formula>$B300&lt;&gt;""</formula>
    </cfRule>
  </conditionalFormatting>
  <conditionalFormatting sqref="S300:S304">
    <cfRule type="expression" dxfId="8045" priority="7282" stopIfTrue="1">
      <formula>$C300&lt;&gt;""</formula>
    </cfRule>
  </conditionalFormatting>
  <conditionalFormatting sqref="S300:S304">
    <cfRule type="expression" dxfId="8044" priority="7281" stopIfTrue="1">
      <formula>$B300&lt;&gt;""</formula>
    </cfRule>
  </conditionalFormatting>
  <conditionalFormatting sqref="S300:S304">
    <cfRule type="expression" dxfId="8043" priority="7280" stopIfTrue="1">
      <formula>$C300&lt;&gt;""</formula>
    </cfRule>
  </conditionalFormatting>
  <conditionalFormatting sqref="S300:S304">
    <cfRule type="expression" dxfId="8042" priority="7279" stopIfTrue="1">
      <formula>$B300&lt;&gt;""</formula>
    </cfRule>
  </conditionalFormatting>
  <conditionalFormatting sqref="S300:S304">
    <cfRule type="expression" dxfId="8041" priority="7278" stopIfTrue="1">
      <formula>$C300&lt;&gt;""</formula>
    </cfRule>
  </conditionalFormatting>
  <conditionalFormatting sqref="S300:S304">
    <cfRule type="expression" dxfId="8040" priority="7277" stopIfTrue="1">
      <formula>$B300&lt;&gt;""</formula>
    </cfRule>
  </conditionalFormatting>
  <conditionalFormatting sqref="S300:S304">
    <cfRule type="expression" dxfId="8039" priority="7276" stopIfTrue="1">
      <formula>$C300&lt;&gt;""</formula>
    </cfRule>
  </conditionalFormatting>
  <conditionalFormatting sqref="S300:S304">
    <cfRule type="expression" dxfId="8038" priority="7275" stopIfTrue="1">
      <formula>$B300&lt;&gt;""</formula>
    </cfRule>
  </conditionalFormatting>
  <conditionalFormatting sqref="S300:S304">
    <cfRule type="expression" dxfId="8037" priority="7274" stopIfTrue="1">
      <formula>$C300&lt;&gt;""</formula>
    </cfRule>
  </conditionalFormatting>
  <conditionalFormatting sqref="S300:S304">
    <cfRule type="expression" dxfId="8036" priority="7273" stopIfTrue="1">
      <formula>$B300&lt;&gt;""</formula>
    </cfRule>
  </conditionalFormatting>
  <conditionalFormatting sqref="S300:S304">
    <cfRule type="expression" dxfId="8035" priority="7272" stopIfTrue="1">
      <formula>$C300&lt;&gt;""</formula>
    </cfRule>
  </conditionalFormatting>
  <conditionalFormatting sqref="S300:S304">
    <cfRule type="expression" dxfId="8034" priority="7271" stopIfTrue="1">
      <formula>$B300&lt;&gt;""</formula>
    </cfRule>
  </conditionalFormatting>
  <conditionalFormatting sqref="S300:S304">
    <cfRule type="expression" dxfId="8033" priority="7270" stopIfTrue="1">
      <formula>$C300&lt;&gt;""</formula>
    </cfRule>
  </conditionalFormatting>
  <conditionalFormatting sqref="S300:S303">
    <cfRule type="expression" dxfId="8032" priority="7269" stopIfTrue="1">
      <formula>$B300&lt;&gt;""</formula>
    </cfRule>
  </conditionalFormatting>
  <conditionalFormatting sqref="S300:S303">
    <cfRule type="expression" dxfId="8031" priority="7268" stopIfTrue="1">
      <formula>$C300&lt;&gt;""</formula>
    </cfRule>
  </conditionalFormatting>
  <conditionalFormatting sqref="S304">
    <cfRule type="expression" dxfId="8030" priority="7267" stopIfTrue="1">
      <formula>$B304&lt;&gt;""</formula>
    </cfRule>
  </conditionalFormatting>
  <conditionalFormatting sqref="S304">
    <cfRule type="expression" dxfId="8029" priority="7266" stopIfTrue="1">
      <formula>$C304&lt;&gt;""</formula>
    </cfRule>
  </conditionalFormatting>
  <conditionalFormatting sqref="S300:S302">
    <cfRule type="expression" dxfId="8028" priority="7265" stopIfTrue="1">
      <formula>$B300&lt;&gt;""</formula>
    </cfRule>
  </conditionalFormatting>
  <conditionalFormatting sqref="S300:S302">
    <cfRule type="expression" dxfId="8027" priority="7264" stopIfTrue="1">
      <formula>$C300&lt;&gt;""</formula>
    </cfRule>
  </conditionalFormatting>
  <conditionalFormatting sqref="S303:S304">
    <cfRule type="expression" dxfId="8026" priority="7263" stopIfTrue="1">
      <formula>$B303&lt;&gt;""</formula>
    </cfRule>
  </conditionalFormatting>
  <conditionalFormatting sqref="S303:S304">
    <cfRule type="expression" dxfId="8025" priority="7262" stopIfTrue="1">
      <formula>$C303&lt;&gt;""</formula>
    </cfRule>
  </conditionalFormatting>
  <conditionalFormatting sqref="S300:S303">
    <cfRule type="expression" dxfId="8024" priority="7261" stopIfTrue="1">
      <formula>$B300&lt;&gt;""</formula>
    </cfRule>
  </conditionalFormatting>
  <conditionalFormatting sqref="S300:S303">
    <cfRule type="expression" dxfId="8023" priority="7260" stopIfTrue="1">
      <formula>$C300&lt;&gt;""</formula>
    </cfRule>
  </conditionalFormatting>
  <conditionalFormatting sqref="S300:S303">
    <cfRule type="expression" dxfId="8022" priority="7259" stopIfTrue="1">
      <formula>$B300&lt;&gt;""</formula>
    </cfRule>
  </conditionalFormatting>
  <conditionalFormatting sqref="S300:S303">
    <cfRule type="expression" dxfId="8021" priority="7258" stopIfTrue="1">
      <formula>$C300&lt;&gt;""</formula>
    </cfRule>
  </conditionalFormatting>
  <conditionalFormatting sqref="S304">
    <cfRule type="expression" dxfId="8020" priority="7257" stopIfTrue="1">
      <formula>$B304&lt;&gt;""</formula>
    </cfRule>
  </conditionalFormatting>
  <conditionalFormatting sqref="S304">
    <cfRule type="expression" dxfId="8019" priority="7256" stopIfTrue="1">
      <formula>$C304&lt;&gt;""</formula>
    </cfRule>
  </conditionalFormatting>
  <conditionalFormatting sqref="S300:S303">
    <cfRule type="expression" dxfId="8018" priority="7255" stopIfTrue="1">
      <formula>$B300&lt;&gt;""</formula>
    </cfRule>
  </conditionalFormatting>
  <conditionalFormatting sqref="S300:S303">
    <cfRule type="expression" dxfId="8017" priority="7254" stopIfTrue="1">
      <formula>$C300&lt;&gt;""</formula>
    </cfRule>
  </conditionalFormatting>
  <conditionalFormatting sqref="S304">
    <cfRule type="expression" dxfId="8016" priority="7253" stopIfTrue="1">
      <formula>$B304&lt;&gt;""</formula>
    </cfRule>
  </conditionalFormatting>
  <conditionalFormatting sqref="S304">
    <cfRule type="expression" dxfId="8015" priority="7252" stopIfTrue="1">
      <formula>$C304&lt;&gt;""</formula>
    </cfRule>
  </conditionalFormatting>
  <conditionalFormatting sqref="S304">
    <cfRule type="expression" dxfId="8014" priority="7251" stopIfTrue="1">
      <formula>$B304&lt;&gt;""</formula>
    </cfRule>
  </conditionalFormatting>
  <conditionalFormatting sqref="S304">
    <cfRule type="expression" dxfId="8013" priority="7250" stopIfTrue="1">
      <formula>$C304&lt;&gt;""</formula>
    </cfRule>
  </conditionalFormatting>
  <conditionalFormatting sqref="S300">
    <cfRule type="expression" dxfId="8012" priority="7249" stopIfTrue="1">
      <formula>$C300&lt;&gt;""</formula>
    </cfRule>
  </conditionalFormatting>
  <conditionalFormatting sqref="S300">
    <cfRule type="expression" dxfId="8011" priority="7248" stopIfTrue="1">
      <formula>$B300&lt;&gt;""</formula>
    </cfRule>
  </conditionalFormatting>
  <conditionalFormatting sqref="S301:S304">
    <cfRule type="expression" dxfId="8010" priority="7247" stopIfTrue="1">
      <formula>$C301&lt;&gt;""</formula>
    </cfRule>
  </conditionalFormatting>
  <conditionalFormatting sqref="S301:S304">
    <cfRule type="expression" dxfId="8009" priority="7246" stopIfTrue="1">
      <formula>$B301&lt;&gt;""</formula>
    </cfRule>
  </conditionalFormatting>
  <conditionalFormatting sqref="S303:S304">
    <cfRule type="expression" dxfId="8008" priority="7245" stopIfTrue="1">
      <formula>$C303&lt;&gt;""</formula>
    </cfRule>
  </conditionalFormatting>
  <conditionalFormatting sqref="S303:S304">
    <cfRule type="expression" dxfId="8007" priority="7244" stopIfTrue="1">
      <formula>$B303&lt;&gt;""</formula>
    </cfRule>
  </conditionalFormatting>
  <conditionalFormatting sqref="S300:S303">
    <cfRule type="expression" dxfId="8006" priority="7243" stopIfTrue="1">
      <formula>$B300&lt;&gt;""</formula>
    </cfRule>
  </conditionalFormatting>
  <conditionalFormatting sqref="S300:S303">
    <cfRule type="expression" dxfId="8005" priority="7242" stopIfTrue="1">
      <formula>$C300&lt;&gt;""</formula>
    </cfRule>
  </conditionalFormatting>
  <conditionalFormatting sqref="S304">
    <cfRule type="expression" dxfId="8004" priority="7241" stopIfTrue="1">
      <formula>$B304&lt;&gt;""</formula>
    </cfRule>
  </conditionalFormatting>
  <conditionalFormatting sqref="S304">
    <cfRule type="expression" dxfId="8003" priority="7240" stopIfTrue="1">
      <formula>$C304&lt;&gt;""</formula>
    </cfRule>
  </conditionalFormatting>
  <conditionalFormatting sqref="S300:S302">
    <cfRule type="expression" dxfId="8002" priority="7239" stopIfTrue="1">
      <formula>$B300&lt;&gt;""</formula>
    </cfRule>
  </conditionalFormatting>
  <conditionalFormatting sqref="S300:S302">
    <cfRule type="expression" dxfId="8001" priority="7238" stopIfTrue="1">
      <formula>$C300&lt;&gt;""</formula>
    </cfRule>
  </conditionalFormatting>
  <conditionalFormatting sqref="S303:S304">
    <cfRule type="expression" dxfId="8000" priority="7237" stopIfTrue="1">
      <formula>$B303&lt;&gt;""</formula>
    </cfRule>
  </conditionalFormatting>
  <conditionalFormatting sqref="S303:S304">
    <cfRule type="expression" dxfId="7999" priority="7236" stopIfTrue="1">
      <formula>$C303&lt;&gt;""</formula>
    </cfRule>
  </conditionalFormatting>
  <conditionalFormatting sqref="S300:S303">
    <cfRule type="expression" dxfId="7998" priority="7235" stopIfTrue="1">
      <formula>$B300&lt;&gt;""</formula>
    </cfRule>
  </conditionalFormatting>
  <conditionalFormatting sqref="S300:S303">
    <cfRule type="expression" dxfId="7997" priority="7234" stopIfTrue="1">
      <formula>$C300&lt;&gt;""</formula>
    </cfRule>
  </conditionalFormatting>
  <conditionalFormatting sqref="S300:S303">
    <cfRule type="expression" dxfId="7996" priority="7233" stopIfTrue="1">
      <formula>$B300&lt;&gt;""</formula>
    </cfRule>
  </conditionalFormatting>
  <conditionalFormatting sqref="S300:S303">
    <cfRule type="expression" dxfId="7995" priority="7232" stopIfTrue="1">
      <formula>$C300&lt;&gt;""</formula>
    </cfRule>
  </conditionalFormatting>
  <conditionalFormatting sqref="S304">
    <cfRule type="expression" dxfId="7994" priority="7231" stopIfTrue="1">
      <formula>$B304&lt;&gt;""</formula>
    </cfRule>
  </conditionalFormatting>
  <conditionalFormatting sqref="S304">
    <cfRule type="expression" dxfId="7993" priority="7230" stopIfTrue="1">
      <formula>$C304&lt;&gt;""</formula>
    </cfRule>
  </conditionalFormatting>
  <conditionalFormatting sqref="S300:S303">
    <cfRule type="expression" dxfId="7992" priority="7229" stopIfTrue="1">
      <formula>$B300&lt;&gt;""</formula>
    </cfRule>
  </conditionalFormatting>
  <conditionalFormatting sqref="S300:S303">
    <cfRule type="expression" dxfId="7991" priority="7228" stopIfTrue="1">
      <formula>$C300&lt;&gt;""</formula>
    </cfRule>
  </conditionalFormatting>
  <conditionalFormatting sqref="S304">
    <cfRule type="expression" dxfId="7990" priority="7227" stopIfTrue="1">
      <formula>$B304&lt;&gt;""</formula>
    </cfRule>
  </conditionalFormatting>
  <conditionalFormatting sqref="S304">
    <cfRule type="expression" dxfId="7989" priority="7226" stopIfTrue="1">
      <formula>$C304&lt;&gt;""</formula>
    </cfRule>
  </conditionalFormatting>
  <conditionalFormatting sqref="S304">
    <cfRule type="expression" dxfId="7988" priority="7225" stopIfTrue="1">
      <formula>$B304&lt;&gt;""</formula>
    </cfRule>
  </conditionalFormatting>
  <conditionalFormatting sqref="S304">
    <cfRule type="expression" dxfId="7987" priority="7224" stopIfTrue="1">
      <formula>$C304&lt;&gt;""</formula>
    </cfRule>
  </conditionalFormatting>
  <conditionalFormatting sqref="S300">
    <cfRule type="expression" dxfId="7986" priority="7223" stopIfTrue="1">
      <formula>$C300&lt;&gt;""</formula>
    </cfRule>
  </conditionalFormatting>
  <conditionalFormatting sqref="S300">
    <cfRule type="expression" dxfId="7985" priority="7222" stopIfTrue="1">
      <formula>$B300&lt;&gt;""</formula>
    </cfRule>
  </conditionalFormatting>
  <conditionalFormatting sqref="S301:S304">
    <cfRule type="expression" dxfId="7984" priority="7221" stopIfTrue="1">
      <formula>$C301&lt;&gt;""</formula>
    </cfRule>
  </conditionalFormatting>
  <conditionalFormatting sqref="S301:S304">
    <cfRule type="expression" dxfId="7983" priority="7220" stopIfTrue="1">
      <formula>$B301&lt;&gt;""</formula>
    </cfRule>
  </conditionalFormatting>
  <conditionalFormatting sqref="S303:S304">
    <cfRule type="expression" dxfId="7982" priority="7219" stopIfTrue="1">
      <formula>$C303&lt;&gt;""</formula>
    </cfRule>
  </conditionalFormatting>
  <conditionalFormatting sqref="S303:S304">
    <cfRule type="expression" dxfId="7981" priority="7218" stopIfTrue="1">
      <formula>$B303&lt;&gt;""</formula>
    </cfRule>
  </conditionalFormatting>
  <conditionalFormatting sqref="S300">
    <cfRule type="expression" dxfId="7980" priority="7217" stopIfTrue="1">
      <formula>$B300&lt;&gt;""</formula>
    </cfRule>
  </conditionalFormatting>
  <conditionalFormatting sqref="S300">
    <cfRule type="expression" dxfId="7979" priority="7216" stopIfTrue="1">
      <formula>$C300&lt;&gt;""</formula>
    </cfRule>
  </conditionalFormatting>
  <conditionalFormatting sqref="S300">
    <cfRule type="expression" dxfId="7978" priority="7215" stopIfTrue="1">
      <formula>$B300&lt;&gt;""</formula>
    </cfRule>
  </conditionalFormatting>
  <conditionalFormatting sqref="S300">
    <cfRule type="expression" dxfId="7977" priority="7214" stopIfTrue="1">
      <formula>$C300&lt;&gt;""</formula>
    </cfRule>
  </conditionalFormatting>
  <conditionalFormatting sqref="S300">
    <cfRule type="expression" dxfId="7976" priority="7213" stopIfTrue="1">
      <formula>$B300&lt;&gt;""</formula>
    </cfRule>
  </conditionalFormatting>
  <conditionalFormatting sqref="S300">
    <cfRule type="expression" dxfId="7975" priority="7212" stopIfTrue="1">
      <formula>$C300&lt;&gt;""</formula>
    </cfRule>
  </conditionalFormatting>
  <conditionalFormatting sqref="S300">
    <cfRule type="expression" dxfId="7974" priority="7211" stopIfTrue="1">
      <formula>$B300&lt;&gt;""</formula>
    </cfRule>
  </conditionalFormatting>
  <conditionalFormatting sqref="S300">
    <cfRule type="expression" dxfId="7973" priority="7210" stopIfTrue="1">
      <formula>$C300&lt;&gt;""</formula>
    </cfRule>
  </conditionalFormatting>
  <conditionalFormatting sqref="S300">
    <cfRule type="expression" dxfId="7972" priority="7209" stopIfTrue="1">
      <formula>$B300&lt;&gt;""</formula>
    </cfRule>
  </conditionalFormatting>
  <conditionalFormatting sqref="S300">
    <cfRule type="expression" dxfId="7971" priority="7208" stopIfTrue="1">
      <formula>$C300&lt;&gt;""</formula>
    </cfRule>
  </conditionalFormatting>
  <conditionalFormatting sqref="S300">
    <cfRule type="expression" dxfId="7970" priority="7207" stopIfTrue="1">
      <formula>$B300&lt;&gt;""</formula>
    </cfRule>
  </conditionalFormatting>
  <conditionalFormatting sqref="S300">
    <cfRule type="expression" dxfId="7969" priority="7206" stopIfTrue="1">
      <formula>$C300&lt;&gt;""</formula>
    </cfRule>
  </conditionalFormatting>
  <conditionalFormatting sqref="S300">
    <cfRule type="expression" dxfId="7968" priority="7205" stopIfTrue="1">
      <formula>$B300&lt;&gt;""</formula>
    </cfRule>
  </conditionalFormatting>
  <conditionalFormatting sqref="S300">
    <cfRule type="expression" dxfId="7967" priority="7204" stopIfTrue="1">
      <formula>$C300&lt;&gt;""</formula>
    </cfRule>
  </conditionalFormatting>
  <conditionalFormatting sqref="S300">
    <cfRule type="expression" dxfId="7966" priority="7203" stopIfTrue="1">
      <formula>$B300&lt;&gt;""</formula>
    </cfRule>
  </conditionalFormatting>
  <conditionalFormatting sqref="S300">
    <cfRule type="expression" dxfId="7965" priority="7202" stopIfTrue="1">
      <formula>$C300&lt;&gt;""</formula>
    </cfRule>
  </conditionalFormatting>
  <conditionalFormatting sqref="S300">
    <cfRule type="expression" dxfId="7964" priority="7201" stopIfTrue="1">
      <formula>$B300&lt;&gt;""</formula>
    </cfRule>
  </conditionalFormatting>
  <conditionalFormatting sqref="S300">
    <cfRule type="expression" dxfId="7963" priority="7200" stopIfTrue="1">
      <formula>$C300&lt;&gt;""</formula>
    </cfRule>
  </conditionalFormatting>
  <conditionalFormatting sqref="S300">
    <cfRule type="expression" dxfId="7962" priority="7199" stopIfTrue="1">
      <formula>$B300&lt;&gt;""</formula>
    </cfRule>
  </conditionalFormatting>
  <conditionalFormatting sqref="S300">
    <cfRule type="expression" dxfId="7961" priority="7198" stopIfTrue="1">
      <formula>$C300&lt;&gt;""</formula>
    </cfRule>
  </conditionalFormatting>
  <conditionalFormatting sqref="S300">
    <cfRule type="expression" dxfId="7960" priority="7197" stopIfTrue="1">
      <formula>$B300&lt;&gt;""</formula>
    </cfRule>
  </conditionalFormatting>
  <conditionalFormatting sqref="S300">
    <cfRule type="expression" dxfId="7959" priority="7196" stopIfTrue="1">
      <formula>$C300&lt;&gt;""</formula>
    </cfRule>
  </conditionalFormatting>
  <conditionalFormatting sqref="S300">
    <cfRule type="expression" dxfId="7958" priority="7195" stopIfTrue="1">
      <formula>$B300&lt;&gt;""</formula>
    </cfRule>
  </conditionalFormatting>
  <conditionalFormatting sqref="S300">
    <cfRule type="expression" dxfId="7957" priority="7194" stopIfTrue="1">
      <formula>$C300&lt;&gt;""</formula>
    </cfRule>
  </conditionalFormatting>
  <conditionalFormatting sqref="S300">
    <cfRule type="expression" dxfId="7956" priority="7193" stopIfTrue="1">
      <formula>$B300&lt;&gt;""</formula>
    </cfRule>
  </conditionalFormatting>
  <conditionalFormatting sqref="S300">
    <cfRule type="expression" dxfId="7955" priority="7192" stopIfTrue="1">
      <formula>$C300&lt;&gt;""</formula>
    </cfRule>
  </conditionalFormatting>
  <conditionalFormatting sqref="S300">
    <cfRule type="expression" dxfId="7954" priority="7191" stopIfTrue="1">
      <formula>$B300&lt;&gt;""</formula>
    </cfRule>
  </conditionalFormatting>
  <conditionalFormatting sqref="S300">
    <cfRule type="expression" dxfId="7953" priority="7190" stopIfTrue="1">
      <formula>$C300&lt;&gt;""</formula>
    </cfRule>
  </conditionalFormatting>
  <conditionalFormatting sqref="S300">
    <cfRule type="expression" dxfId="7952" priority="7189" stopIfTrue="1">
      <formula>$C300&lt;&gt;""</formula>
    </cfRule>
  </conditionalFormatting>
  <conditionalFormatting sqref="S300">
    <cfRule type="expression" dxfId="7951" priority="7188" stopIfTrue="1">
      <formula>$B300&lt;&gt;""</formula>
    </cfRule>
  </conditionalFormatting>
  <conditionalFormatting sqref="S300">
    <cfRule type="expression" dxfId="7950" priority="7187" stopIfTrue="1">
      <formula>$C300&lt;&gt;""</formula>
    </cfRule>
  </conditionalFormatting>
  <conditionalFormatting sqref="S300">
    <cfRule type="expression" dxfId="7949" priority="7186" stopIfTrue="1">
      <formula>$B300&lt;&gt;""</formula>
    </cfRule>
  </conditionalFormatting>
  <conditionalFormatting sqref="S300">
    <cfRule type="expression" dxfId="7948" priority="7185" stopIfTrue="1">
      <formula>$B300&lt;&gt;""</formula>
    </cfRule>
  </conditionalFormatting>
  <conditionalFormatting sqref="S300">
    <cfRule type="expression" dxfId="7947" priority="7184" stopIfTrue="1">
      <formula>$C300&lt;&gt;""</formula>
    </cfRule>
  </conditionalFormatting>
  <conditionalFormatting sqref="S300">
    <cfRule type="expression" dxfId="7946" priority="7183" stopIfTrue="1">
      <formula>$B300&lt;&gt;""</formula>
    </cfRule>
  </conditionalFormatting>
  <conditionalFormatting sqref="S300">
    <cfRule type="expression" dxfId="7945" priority="7182" stopIfTrue="1">
      <formula>$C300&lt;&gt;""</formula>
    </cfRule>
  </conditionalFormatting>
  <conditionalFormatting sqref="S300">
    <cfRule type="expression" dxfId="7944" priority="7181" stopIfTrue="1">
      <formula>$B300&lt;&gt;""</formula>
    </cfRule>
  </conditionalFormatting>
  <conditionalFormatting sqref="S300">
    <cfRule type="expression" dxfId="7943" priority="7180" stopIfTrue="1">
      <formula>$C300&lt;&gt;""</formula>
    </cfRule>
  </conditionalFormatting>
  <conditionalFormatting sqref="S300">
    <cfRule type="expression" dxfId="7942" priority="7179" stopIfTrue="1">
      <formula>$B300&lt;&gt;""</formula>
    </cfRule>
  </conditionalFormatting>
  <conditionalFormatting sqref="S300">
    <cfRule type="expression" dxfId="7941" priority="7178" stopIfTrue="1">
      <formula>$C300&lt;&gt;""</formula>
    </cfRule>
  </conditionalFormatting>
  <conditionalFormatting sqref="S300">
    <cfRule type="expression" dxfId="7940" priority="7177" stopIfTrue="1">
      <formula>$B300&lt;&gt;""</formula>
    </cfRule>
  </conditionalFormatting>
  <conditionalFormatting sqref="S300">
    <cfRule type="expression" dxfId="7939" priority="7176" stopIfTrue="1">
      <formula>$C300&lt;&gt;""</formula>
    </cfRule>
  </conditionalFormatting>
  <conditionalFormatting sqref="S300">
    <cfRule type="expression" dxfId="7938" priority="7175" stopIfTrue="1">
      <formula>$C300&lt;&gt;""</formula>
    </cfRule>
  </conditionalFormatting>
  <conditionalFormatting sqref="S300">
    <cfRule type="expression" dxfId="7937" priority="7174" stopIfTrue="1">
      <formula>$B300&lt;&gt;""</formula>
    </cfRule>
  </conditionalFormatting>
  <conditionalFormatting sqref="S300">
    <cfRule type="expression" dxfId="7936" priority="7173" stopIfTrue="1">
      <formula>$C300&lt;&gt;""</formula>
    </cfRule>
  </conditionalFormatting>
  <conditionalFormatting sqref="S300">
    <cfRule type="expression" dxfId="7935" priority="7172" stopIfTrue="1">
      <formula>$B300&lt;&gt;""</formula>
    </cfRule>
  </conditionalFormatting>
  <conditionalFormatting sqref="S300">
    <cfRule type="expression" dxfId="7934" priority="7171" stopIfTrue="1">
      <formula>$B300&lt;&gt;""</formula>
    </cfRule>
  </conditionalFormatting>
  <conditionalFormatting sqref="S300">
    <cfRule type="expression" dxfId="7933" priority="7170" stopIfTrue="1">
      <formula>$C300&lt;&gt;""</formula>
    </cfRule>
  </conditionalFormatting>
  <conditionalFormatting sqref="S301">
    <cfRule type="expression" dxfId="7932" priority="7169" stopIfTrue="1">
      <formula>$B301&lt;&gt;""</formula>
    </cfRule>
  </conditionalFormatting>
  <conditionalFormatting sqref="S301">
    <cfRule type="expression" dxfId="7931" priority="7168" stopIfTrue="1">
      <formula>$C301&lt;&gt;""</formula>
    </cfRule>
  </conditionalFormatting>
  <conditionalFormatting sqref="S300">
    <cfRule type="expression" dxfId="7930" priority="7167" stopIfTrue="1">
      <formula>$B300&lt;&gt;""</formula>
    </cfRule>
  </conditionalFormatting>
  <conditionalFormatting sqref="S300">
    <cfRule type="expression" dxfId="7929" priority="7166" stopIfTrue="1">
      <formula>$C300&lt;&gt;""</formula>
    </cfRule>
  </conditionalFormatting>
  <conditionalFormatting sqref="S301:S304">
    <cfRule type="expression" dxfId="7928" priority="7165" stopIfTrue="1">
      <formula>$B301&lt;&gt;""</formula>
    </cfRule>
  </conditionalFormatting>
  <conditionalFormatting sqref="S301:S304">
    <cfRule type="expression" dxfId="7927" priority="7164" stopIfTrue="1">
      <formula>$C301&lt;&gt;""</formula>
    </cfRule>
  </conditionalFormatting>
  <conditionalFormatting sqref="S300">
    <cfRule type="expression" dxfId="7926" priority="7163" stopIfTrue="1">
      <formula>$B300&lt;&gt;""</formula>
    </cfRule>
  </conditionalFormatting>
  <conditionalFormatting sqref="S300">
    <cfRule type="expression" dxfId="7925" priority="7162" stopIfTrue="1">
      <formula>$C300&lt;&gt;""</formula>
    </cfRule>
  </conditionalFormatting>
  <conditionalFormatting sqref="S301:S304">
    <cfRule type="expression" dxfId="7924" priority="7161" stopIfTrue="1">
      <formula>$B301&lt;&gt;""</formula>
    </cfRule>
  </conditionalFormatting>
  <conditionalFormatting sqref="S301:S304">
    <cfRule type="expression" dxfId="7923" priority="7160" stopIfTrue="1">
      <formula>$C301&lt;&gt;""</formula>
    </cfRule>
  </conditionalFormatting>
  <conditionalFormatting sqref="S300:S304">
    <cfRule type="expression" dxfId="7922" priority="7159" stopIfTrue="1">
      <formula>$B300&lt;&gt;""</formula>
    </cfRule>
  </conditionalFormatting>
  <conditionalFormatting sqref="S300:S304">
    <cfRule type="expression" dxfId="7921" priority="7158" stopIfTrue="1">
      <formula>$C300&lt;&gt;""</formula>
    </cfRule>
  </conditionalFormatting>
  <conditionalFormatting sqref="S300:S304">
    <cfRule type="expression" dxfId="7920" priority="7157" stopIfTrue="1">
      <formula>$B300&lt;&gt;""</formula>
    </cfRule>
  </conditionalFormatting>
  <conditionalFormatting sqref="S300:S304">
    <cfRule type="expression" dxfId="7919" priority="7156" stopIfTrue="1">
      <formula>$C300&lt;&gt;""</formula>
    </cfRule>
  </conditionalFormatting>
  <conditionalFormatting sqref="S300:S304">
    <cfRule type="expression" dxfId="7918" priority="7155" stopIfTrue="1">
      <formula>$B300&lt;&gt;""</formula>
    </cfRule>
  </conditionalFormatting>
  <conditionalFormatting sqref="S300:S304">
    <cfRule type="expression" dxfId="7917" priority="7154" stopIfTrue="1">
      <formula>$C300&lt;&gt;""</formula>
    </cfRule>
  </conditionalFormatting>
  <conditionalFormatting sqref="S300:S304">
    <cfRule type="expression" dxfId="7916" priority="7153" stopIfTrue="1">
      <formula>$B300&lt;&gt;""</formula>
    </cfRule>
  </conditionalFormatting>
  <conditionalFormatting sqref="S300:S304">
    <cfRule type="expression" dxfId="7915" priority="7152" stopIfTrue="1">
      <formula>$C300&lt;&gt;""</formula>
    </cfRule>
  </conditionalFormatting>
  <conditionalFormatting sqref="S300:S304">
    <cfRule type="expression" dxfId="7914" priority="7151" stopIfTrue="1">
      <formula>$B300&lt;&gt;""</formula>
    </cfRule>
  </conditionalFormatting>
  <conditionalFormatting sqref="S300:S304">
    <cfRule type="expression" dxfId="7913" priority="7150" stopIfTrue="1">
      <formula>$C300&lt;&gt;""</formula>
    </cfRule>
  </conditionalFormatting>
  <conditionalFormatting sqref="S300:S304">
    <cfRule type="expression" dxfId="7912" priority="7149" stopIfTrue="1">
      <formula>$B300&lt;&gt;""</formula>
    </cfRule>
  </conditionalFormatting>
  <conditionalFormatting sqref="S300:S304">
    <cfRule type="expression" dxfId="7911" priority="7148" stopIfTrue="1">
      <formula>$C300&lt;&gt;""</formula>
    </cfRule>
  </conditionalFormatting>
  <conditionalFormatting sqref="S300:S304">
    <cfRule type="expression" dxfId="7910" priority="7147" stopIfTrue="1">
      <formula>$B300&lt;&gt;""</formula>
    </cfRule>
  </conditionalFormatting>
  <conditionalFormatting sqref="S300:S304">
    <cfRule type="expression" dxfId="7909" priority="7146" stopIfTrue="1">
      <formula>$C300&lt;&gt;""</formula>
    </cfRule>
  </conditionalFormatting>
  <conditionalFormatting sqref="S300:S303">
    <cfRule type="expression" dxfId="7908" priority="7145" stopIfTrue="1">
      <formula>$B300&lt;&gt;""</formula>
    </cfRule>
  </conditionalFormatting>
  <conditionalFormatting sqref="S300:S303">
    <cfRule type="expression" dxfId="7907" priority="7144" stopIfTrue="1">
      <formula>$C300&lt;&gt;""</formula>
    </cfRule>
  </conditionalFormatting>
  <conditionalFormatting sqref="S304">
    <cfRule type="expression" dxfId="7906" priority="7143" stopIfTrue="1">
      <formula>$B304&lt;&gt;""</formula>
    </cfRule>
  </conditionalFormatting>
  <conditionalFormatting sqref="S304">
    <cfRule type="expression" dxfId="7905" priority="7142" stopIfTrue="1">
      <formula>$C304&lt;&gt;""</formula>
    </cfRule>
  </conditionalFormatting>
  <conditionalFormatting sqref="S300:S302">
    <cfRule type="expression" dxfId="7904" priority="7141" stopIfTrue="1">
      <formula>$B300&lt;&gt;""</formula>
    </cfRule>
  </conditionalFormatting>
  <conditionalFormatting sqref="S300:S302">
    <cfRule type="expression" dxfId="7903" priority="7140" stopIfTrue="1">
      <formula>$C300&lt;&gt;""</formula>
    </cfRule>
  </conditionalFormatting>
  <conditionalFormatting sqref="S303:S304">
    <cfRule type="expression" dxfId="7902" priority="7139" stopIfTrue="1">
      <formula>$B303&lt;&gt;""</formula>
    </cfRule>
  </conditionalFormatting>
  <conditionalFormatting sqref="S303:S304">
    <cfRule type="expression" dxfId="7901" priority="7138" stopIfTrue="1">
      <formula>$C303&lt;&gt;""</formula>
    </cfRule>
  </conditionalFormatting>
  <conditionalFormatting sqref="S300:S303">
    <cfRule type="expression" dxfId="7900" priority="7137" stopIfTrue="1">
      <formula>$B300&lt;&gt;""</formula>
    </cfRule>
  </conditionalFormatting>
  <conditionalFormatting sqref="S300:S303">
    <cfRule type="expression" dxfId="7899" priority="7136" stopIfTrue="1">
      <formula>$C300&lt;&gt;""</formula>
    </cfRule>
  </conditionalFormatting>
  <conditionalFormatting sqref="S300:S303">
    <cfRule type="expression" dxfId="7898" priority="7135" stopIfTrue="1">
      <formula>$B300&lt;&gt;""</formula>
    </cfRule>
  </conditionalFormatting>
  <conditionalFormatting sqref="S300:S303">
    <cfRule type="expression" dxfId="7897" priority="7134" stopIfTrue="1">
      <formula>$C300&lt;&gt;""</formula>
    </cfRule>
  </conditionalFormatting>
  <conditionalFormatting sqref="S304">
    <cfRule type="expression" dxfId="7896" priority="7133" stopIfTrue="1">
      <formula>$B304&lt;&gt;""</formula>
    </cfRule>
  </conditionalFormatting>
  <conditionalFormatting sqref="S304">
    <cfRule type="expression" dxfId="7895" priority="7132" stopIfTrue="1">
      <formula>$C304&lt;&gt;""</formula>
    </cfRule>
  </conditionalFormatting>
  <conditionalFormatting sqref="S300:S303">
    <cfRule type="expression" dxfId="7894" priority="7131" stopIfTrue="1">
      <formula>$B300&lt;&gt;""</formula>
    </cfRule>
  </conditionalFormatting>
  <conditionalFormatting sqref="S300:S303">
    <cfRule type="expression" dxfId="7893" priority="7130" stopIfTrue="1">
      <formula>$C300&lt;&gt;""</formula>
    </cfRule>
  </conditionalFormatting>
  <conditionalFormatting sqref="S304">
    <cfRule type="expression" dxfId="7892" priority="7129" stopIfTrue="1">
      <formula>$B304&lt;&gt;""</formula>
    </cfRule>
  </conditionalFormatting>
  <conditionalFormatting sqref="S304">
    <cfRule type="expression" dxfId="7891" priority="7128" stopIfTrue="1">
      <formula>$C304&lt;&gt;""</formula>
    </cfRule>
  </conditionalFormatting>
  <conditionalFormatting sqref="S304">
    <cfRule type="expression" dxfId="7890" priority="7127" stopIfTrue="1">
      <formula>$B304&lt;&gt;""</formula>
    </cfRule>
  </conditionalFormatting>
  <conditionalFormatting sqref="S304">
    <cfRule type="expression" dxfId="7889" priority="7126" stopIfTrue="1">
      <formula>$C304&lt;&gt;""</formula>
    </cfRule>
  </conditionalFormatting>
  <conditionalFormatting sqref="S300">
    <cfRule type="expression" dxfId="7888" priority="7125" stopIfTrue="1">
      <formula>$C300&lt;&gt;""</formula>
    </cfRule>
  </conditionalFormatting>
  <conditionalFormatting sqref="S300">
    <cfRule type="expression" dxfId="7887" priority="7124" stopIfTrue="1">
      <formula>$B300&lt;&gt;""</formula>
    </cfRule>
  </conditionalFormatting>
  <conditionalFormatting sqref="S301:S304">
    <cfRule type="expression" dxfId="7886" priority="7123" stopIfTrue="1">
      <formula>$C301&lt;&gt;""</formula>
    </cfRule>
  </conditionalFormatting>
  <conditionalFormatting sqref="S301:S304">
    <cfRule type="expression" dxfId="7885" priority="7122" stopIfTrue="1">
      <formula>$B301&lt;&gt;""</formula>
    </cfRule>
  </conditionalFormatting>
  <conditionalFormatting sqref="S303:S304">
    <cfRule type="expression" dxfId="7884" priority="7121" stopIfTrue="1">
      <formula>$C303&lt;&gt;""</formula>
    </cfRule>
  </conditionalFormatting>
  <conditionalFormatting sqref="S303:S304">
    <cfRule type="expression" dxfId="7883" priority="7120" stopIfTrue="1">
      <formula>$B303&lt;&gt;""</formula>
    </cfRule>
  </conditionalFormatting>
  <conditionalFormatting sqref="S300:S303">
    <cfRule type="expression" dxfId="7882" priority="7119" stopIfTrue="1">
      <formula>$B300&lt;&gt;""</formula>
    </cfRule>
  </conditionalFormatting>
  <conditionalFormatting sqref="S300:S303">
    <cfRule type="expression" dxfId="7881" priority="7118" stopIfTrue="1">
      <formula>$C300&lt;&gt;""</formula>
    </cfRule>
  </conditionalFormatting>
  <conditionalFormatting sqref="S304">
    <cfRule type="expression" dxfId="7880" priority="7117" stopIfTrue="1">
      <formula>$B304&lt;&gt;""</formula>
    </cfRule>
  </conditionalFormatting>
  <conditionalFormatting sqref="S304">
    <cfRule type="expression" dxfId="7879" priority="7116" stopIfTrue="1">
      <formula>$C304&lt;&gt;""</formula>
    </cfRule>
  </conditionalFormatting>
  <conditionalFormatting sqref="S300:S302">
    <cfRule type="expression" dxfId="7878" priority="7115" stopIfTrue="1">
      <formula>$B300&lt;&gt;""</formula>
    </cfRule>
  </conditionalFormatting>
  <conditionalFormatting sqref="S300:S302">
    <cfRule type="expression" dxfId="7877" priority="7114" stopIfTrue="1">
      <formula>$C300&lt;&gt;""</formula>
    </cfRule>
  </conditionalFormatting>
  <conditionalFormatting sqref="S303:S304">
    <cfRule type="expression" dxfId="7876" priority="7113" stopIfTrue="1">
      <formula>$B303&lt;&gt;""</formula>
    </cfRule>
  </conditionalFormatting>
  <conditionalFormatting sqref="S303:S304">
    <cfRule type="expression" dxfId="7875" priority="7112" stopIfTrue="1">
      <formula>$C303&lt;&gt;""</formula>
    </cfRule>
  </conditionalFormatting>
  <conditionalFormatting sqref="S300:S303">
    <cfRule type="expression" dxfId="7874" priority="7111" stopIfTrue="1">
      <formula>$B300&lt;&gt;""</formula>
    </cfRule>
  </conditionalFormatting>
  <conditionalFormatting sqref="S300:S303">
    <cfRule type="expression" dxfId="7873" priority="7110" stopIfTrue="1">
      <formula>$C300&lt;&gt;""</formula>
    </cfRule>
  </conditionalFormatting>
  <conditionalFormatting sqref="S300:S303">
    <cfRule type="expression" dxfId="7872" priority="7109" stopIfTrue="1">
      <formula>$B300&lt;&gt;""</formula>
    </cfRule>
  </conditionalFormatting>
  <conditionalFormatting sqref="S300:S303">
    <cfRule type="expression" dxfId="7871" priority="7108" stopIfTrue="1">
      <formula>$C300&lt;&gt;""</formula>
    </cfRule>
  </conditionalFormatting>
  <conditionalFormatting sqref="S304">
    <cfRule type="expression" dxfId="7870" priority="7107" stopIfTrue="1">
      <formula>$B304&lt;&gt;""</formula>
    </cfRule>
  </conditionalFormatting>
  <conditionalFormatting sqref="S304">
    <cfRule type="expression" dxfId="7869" priority="7106" stopIfTrue="1">
      <formula>$C304&lt;&gt;""</formula>
    </cfRule>
  </conditionalFormatting>
  <conditionalFormatting sqref="S300:S303">
    <cfRule type="expression" dxfId="7868" priority="7105" stopIfTrue="1">
      <formula>$B300&lt;&gt;""</formula>
    </cfRule>
  </conditionalFormatting>
  <conditionalFormatting sqref="S300:S303">
    <cfRule type="expression" dxfId="7867" priority="7104" stopIfTrue="1">
      <formula>$C300&lt;&gt;""</formula>
    </cfRule>
  </conditionalFormatting>
  <conditionalFormatting sqref="S304">
    <cfRule type="expression" dxfId="7866" priority="7103" stopIfTrue="1">
      <formula>$B304&lt;&gt;""</formula>
    </cfRule>
  </conditionalFormatting>
  <conditionalFormatting sqref="S304">
    <cfRule type="expression" dxfId="7865" priority="7102" stopIfTrue="1">
      <formula>$C304&lt;&gt;""</formula>
    </cfRule>
  </conditionalFormatting>
  <conditionalFormatting sqref="S304">
    <cfRule type="expression" dxfId="7864" priority="7101" stopIfTrue="1">
      <formula>$B304&lt;&gt;""</formula>
    </cfRule>
  </conditionalFormatting>
  <conditionalFormatting sqref="S304">
    <cfRule type="expression" dxfId="7863" priority="7100" stopIfTrue="1">
      <formula>$C304&lt;&gt;""</formula>
    </cfRule>
  </conditionalFormatting>
  <conditionalFormatting sqref="S300">
    <cfRule type="expression" dxfId="7862" priority="7099" stopIfTrue="1">
      <formula>$C300&lt;&gt;""</formula>
    </cfRule>
  </conditionalFormatting>
  <conditionalFormatting sqref="S300">
    <cfRule type="expression" dxfId="7861" priority="7098" stopIfTrue="1">
      <formula>$B300&lt;&gt;""</formula>
    </cfRule>
  </conditionalFormatting>
  <conditionalFormatting sqref="S301:S304">
    <cfRule type="expression" dxfId="7860" priority="7097" stopIfTrue="1">
      <formula>$C301&lt;&gt;""</formula>
    </cfRule>
  </conditionalFormatting>
  <conditionalFormatting sqref="S301:S304">
    <cfRule type="expression" dxfId="7859" priority="7096" stopIfTrue="1">
      <formula>$B301&lt;&gt;""</formula>
    </cfRule>
  </conditionalFormatting>
  <conditionalFormatting sqref="S303:S304">
    <cfRule type="expression" dxfId="7858" priority="7095" stopIfTrue="1">
      <formula>$C303&lt;&gt;""</formula>
    </cfRule>
  </conditionalFormatting>
  <conditionalFormatting sqref="S303:S304">
    <cfRule type="expression" dxfId="7857" priority="7094" stopIfTrue="1">
      <formula>$B303&lt;&gt;""</formula>
    </cfRule>
  </conditionalFormatting>
  <conditionalFormatting sqref="S300">
    <cfRule type="expression" dxfId="7856" priority="7093" stopIfTrue="1">
      <formula>$B300&lt;&gt;""</formula>
    </cfRule>
  </conditionalFormatting>
  <conditionalFormatting sqref="S300">
    <cfRule type="expression" dxfId="7855" priority="7092" stopIfTrue="1">
      <formula>$C300&lt;&gt;""</formula>
    </cfRule>
  </conditionalFormatting>
  <conditionalFormatting sqref="S301">
    <cfRule type="expression" dxfId="7854" priority="7091" stopIfTrue="1">
      <formula>$B301&lt;&gt;""</formula>
    </cfRule>
  </conditionalFormatting>
  <conditionalFormatting sqref="S301">
    <cfRule type="expression" dxfId="7853" priority="7090" stopIfTrue="1">
      <formula>$C301&lt;&gt;""</formula>
    </cfRule>
  </conditionalFormatting>
  <conditionalFormatting sqref="S300">
    <cfRule type="expression" dxfId="7852" priority="7089" stopIfTrue="1">
      <formula>$B300&lt;&gt;""</formula>
    </cfRule>
  </conditionalFormatting>
  <conditionalFormatting sqref="S300">
    <cfRule type="expression" dxfId="7851" priority="7088" stopIfTrue="1">
      <formula>$C300&lt;&gt;""</formula>
    </cfRule>
  </conditionalFormatting>
  <conditionalFormatting sqref="S301:S304">
    <cfRule type="expression" dxfId="7850" priority="7087" stopIfTrue="1">
      <formula>$B301&lt;&gt;""</formula>
    </cfRule>
  </conditionalFormatting>
  <conditionalFormatting sqref="S301:S304">
    <cfRule type="expression" dxfId="7849" priority="7086" stopIfTrue="1">
      <formula>$C301&lt;&gt;""</formula>
    </cfRule>
  </conditionalFormatting>
  <conditionalFormatting sqref="S300">
    <cfRule type="expression" dxfId="7848" priority="7085" stopIfTrue="1">
      <formula>$B300&lt;&gt;""</formula>
    </cfRule>
  </conditionalFormatting>
  <conditionalFormatting sqref="S300">
    <cfRule type="expression" dxfId="7847" priority="7084" stopIfTrue="1">
      <formula>$C300&lt;&gt;""</formula>
    </cfRule>
  </conditionalFormatting>
  <conditionalFormatting sqref="S301:S304">
    <cfRule type="expression" dxfId="7846" priority="7083" stopIfTrue="1">
      <formula>$B301&lt;&gt;""</formula>
    </cfRule>
  </conditionalFormatting>
  <conditionalFormatting sqref="S301:S304">
    <cfRule type="expression" dxfId="7845" priority="7082" stopIfTrue="1">
      <formula>$C301&lt;&gt;""</formula>
    </cfRule>
  </conditionalFormatting>
  <conditionalFormatting sqref="S300:S304">
    <cfRule type="expression" dxfId="7844" priority="7081" stopIfTrue="1">
      <formula>$B300&lt;&gt;""</formula>
    </cfRule>
  </conditionalFormatting>
  <conditionalFormatting sqref="S300:S304">
    <cfRule type="expression" dxfId="7843" priority="7080" stopIfTrue="1">
      <formula>$C300&lt;&gt;""</formula>
    </cfRule>
  </conditionalFormatting>
  <conditionalFormatting sqref="S300:S304">
    <cfRule type="expression" dxfId="7842" priority="7079" stopIfTrue="1">
      <formula>$B300&lt;&gt;""</formula>
    </cfRule>
  </conditionalFormatting>
  <conditionalFormatting sqref="S300:S304">
    <cfRule type="expression" dxfId="7841" priority="7078" stopIfTrue="1">
      <formula>$C300&lt;&gt;""</formula>
    </cfRule>
  </conditionalFormatting>
  <conditionalFormatting sqref="S300:S304">
    <cfRule type="expression" dxfId="7840" priority="7077" stopIfTrue="1">
      <formula>$B300&lt;&gt;""</formula>
    </cfRule>
  </conditionalFormatting>
  <conditionalFormatting sqref="S300:S304">
    <cfRule type="expression" dxfId="7839" priority="7076" stopIfTrue="1">
      <formula>$C300&lt;&gt;""</formula>
    </cfRule>
  </conditionalFormatting>
  <conditionalFormatting sqref="S300:S304">
    <cfRule type="expression" dxfId="7838" priority="7075" stopIfTrue="1">
      <formula>$B300&lt;&gt;""</formula>
    </cfRule>
  </conditionalFormatting>
  <conditionalFormatting sqref="S300:S304">
    <cfRule type="expression" dxfId="7837" priority="7074" stopIfTrue="1">
      <formula>$C300&lt;&gt;""</formula>
    </cfRule>
  </conditionalFormatting>
  <conditionalFormatting sqref="S300:S304">
    <cfRule type="expression" dxfId="7836" priority="7073" stopIfTrue="1">
      <formula>$B300&lt;&gt;""</formula>
    </cfRule>
  </conditionalFormatting>
  <conditionalFormatting sqref="S300:S304">
    <cfRule type="expression" dxfId="7835" priority="7072" stopIfTrue="1">
      <formula>$C300&lt;&gt;""</formula>
    </cfRule>
  </conditionalFormatting>
  <conditionalFormatting sqref="S300:S304">
    <cfRule type="expression" dxfId="7834" priority="7071" stopIfTrue="1">
      <formula>$B300&lt;&gt;""</formula>
    </cfRule>
  </conditionalFormatting>
  <conditionalFormatting sqref="S300:S304">
    <cfRule type="expression" dxfId="7833" priority="7070" stopIfTrue="1">
      <formula>$C300&lt;&gt;""</formula>
    </cfRule>
  </conditionalFormatting>
  <conditionalFormatting sqref="S300:S304">
    <cfRule type="expression" dxfId="7832" priority="7069" stopIfTrue="1">
      <formula>$B300&lt;&gt;""</formula>
    </cfRule>
  </conditionalFormatting>
  <conditionalFormatting sqref="S300:S304">
    <cfRule type="expression" dxfId="7831" priority="7068" stopIfTrue="1">
      <formula>$C300&lt;&gt;""</formula>
    </cfRule>
  </conditionalFormatting>
  <conditionalFormatting sqref="S300:S303">
    <cfRule type="expression" dxfId="7830" priority="7067" stopIfTrue="1">
      <formula>$B300&lt;&gt;""</formula>
    </cfRule>
  </conditionalFormatting>
  <conditionalFormatting sqref="S300:S303">
    <cfRule type="expression" dxfId="7829" priority="7066" stopIfTrue="1">
      <formula>$C300&lt;&gt;""</formula>
    </cfRule>
  </conditionalFormatting>
  <conditionalFormatting sqref="S304">
    <cfRule type="expression" dxfId="7828" priority="7065" stopIfTrue="1">
      <formula>$B304&lt;&gt;""</formula>
    </cfRule>
  </conditionalFormatting>
  <conditionalFormatting sqref="S304">
    <cfRule type="expression" dxfId="7827" priority="7064" stopIfTrue="1">
      <formula>$C304&lt;&gt;""</formula>
    </cfRule>
  </conditionalFormatting>
  <conditionalFormatting sqref="S300:S302">
    <cfRule type="expression" dxfId="7826" priority="7063" stopIfTrue="1">
      <formula>$B300&lt;&gt;""</formula>
    </cfRule>
  </conditionalFormatting>
  <conditionalFormatting sqref="S300:S302">
    <cfRule type="expression" dxfId="7825" priority="7062" stopIfTrue="1">
      <formula>$C300&lt;&gt;""</formula>
    </cfRule>
  </conditionalFormatting>
  <conditionalFormatting sqref="S303:S304">
    <cfRule type="expression" dxfId="7824" priority="7061" stopIfTrue="1">
      <formula>$B303&lt;&gt;""</formula>
    </cfRule>
  </conditionalFormatting>
  <conditionalFormatting sqref="S303:S304">
    <cfRule type="expression" dxfId="7823" priority="7060" stopIfTrue="1">
      <formula>$C303&lt;&gt;""</formula>
    </cfRule>
  </conditionalFormatting>
  <conditionalFormatting sqref="S300:S303">
    <cfRule type="expression" dxfId="7822" priority="7059" stopIfTrue="1">
      <formula>$B300&lt;&gt;""</formula>
    </cfRule>
  </conditionalFormatting>
  <conditionalFormatting sqref="S300:S303">
    <cfRule type="expression" dxfId="7821" priority="7058" stopIfTrue="1">
      <formula>$C300&lt;&gt;""</formula>
    </cfRule>
  </conditionalFormatting>
  <conditionalFormatting sqref="S300:S303">
    <cfRule type="expression" dxfId="7820" priority="7057" stopIfTrue="1">
      <formula>$B300&lt;&gt;""</formula>
    </cfRule>
  </conditionalFormatting>
  <conditionalFormatting sqref="S300:S303">
    <cfRule type="expression" dxfId="7819" priority="7056" stopIfTrue="1">
      <formula>$C300&lt;&gt;""</formula>
    </cfRule>
  </conditionalFormatting>
  <conditionalFormatting sqref="S304">
    <cfRule type="expression" dxfId="7818" priority="7055" stopIfTrue="1">
      <formula>$B304&lt;&gt;""</formula>
    </cfRule>
  </conditionalFormatting>
  <conditionalFormatting sqref="S304">
    <cfRule type="expression" dxfId="7817" priority="7054" stopIfTrue="1">
      <formula>$C304&lt;&gt;""</formula>
    </cfRule>
  </conditionalFormatting>
  <conditionalFormatting sqref="S300:S303">
    <cfRule type="expression" dxfId="7816" priority="7053" stopIfTrue="1">
      <formula>$B300&lt;&gt;""</formula>
    </cfRule>
  </conditionalFormatting>
  <conditionalFormatting sqref="S300:S303">
    <cfRule type="expression" dxfId="7815" priority="7052" stopIfTrue="1">
      <formula>$C300&lt;&gt;""</formula>
    </cfRule>
  </conditionalFormatting>
  <conditionalFormatting sqref="S304">
    <cfRule type="expression" dxfId="7814" priority="7051" stopIfTrue="1">
      <formula>$B304&lt;&gt;""</formula>
    </cfRule>
  </conditionalFormatting>
  <conditionalFormatting sqref="S304">
    <cfRule type="expression" dxfId="7813" priority="7050" stopIfTrue="1">
      <formula>$C304&lt;&gt;""</formula>
    </cfRule>
  </conditionalFormatting>
  <conditionalFormatting sqref="S304">
    <cfRule type="expression" dxfId="7812" priority="7049" stopIfTrue="1">
      <formula>$B304&lt;&gt;""</formula>
    </cfRule>
  </conditionalFormatting>
  <conditionalFormatting sqref="S304">
    <cfRule type="expression" dxfId="7811" priority="7048" stopIfTrue="1">
      <formula>$C304&lt;&gt;""</formula>
    </cfRule>
  </conditionalFormatting>
  <conditionalFormatting sqref="S300">
    <cfRule type="expression" dxfId="7810" priority="7047" stopIfTrue="1">
      <formula>$C300&lt;&gt;""</formula>
    </cfRule>
  </conditionalFormatting>
  <conditionalFormatting sqref="S300">
    <cfRule type="expression" dxfId="7809" priority="7046" stopIfTrue="1">
      <formula>$B300&lt;&gt;""</formula>
    </cfRule>
  </conditionalFormatting>
  <conditionalFormatting sqref="S301:S304">
    <cfRule type="expression" dxfId="7808" priority="7045" stopIfTrue="1">
      <formula>$C301&lt;&gt;""</formula>
    </cfRule>
  </conditionalFormatting>
  <conditionalFormatting sqref="S301:S304">
    <cfRule type="expression" dxfId="7807" priority="7044" stopIfTrue="1">
      <formula>$B301&lt;&gt;""</formula>
    </cfRule>
  </conditionalFormatting>
  <conditionalFormatting sqref="S303:S304">
    <cfRule type="expression" dxfId="7806" priority="7043" stopIfTrue="1">
      <formula>$C303&lt;&gt;""</formula>
    </cfRule>
  </conditionalFormatting>
  <conditionalFormatting sqref="S303:S304">
    <cfRule type="expression" dxfId="7805" priority="7042" stopIfTrue="1">
      <formula>$B303&lt;&gt;""</formula>
    </cfRule>
  </conditionalFormatting>
  <conditionalFormatting sqref="S300:S303">
    <cfRule type="expression" dxfId="7804" priority="7041" stopIfTrue="1">
      <formula>$B300&lt;&gt;""</formula>
    </cfRule>
  </conditionalFormatting>
  <conditionalFormatting sqref="S300:S303">
    <cfRule type="expression" dxfId="7803" priority="7040" stopIfTrue="1">
      <formula>$C300&lt;&gt;""</formula>
    </cfRule>
  </conditionalFormatting>
  <conditionalFormatting sqref="S304">
    <cfRule type="expression" dxfId="7802" priority="7039" stopIfTrue="1">
      <formula>$B304&lt;&gt;""</formula>
    </cfRule>
  </conditionalFormatting>
  <conditionalFormatting sqref="S304">
    <cfRule type="expression" dxfId="7801" priority="7038" stopIfTrue="1">
      <formula>$C304&lt;&gt;""</formula>
    </cfRule>
  </conditionalFormatting>
  <conditionalFormatting sqref="S300:S302">
    <cfRule type="expression" dxfId="7800" priority="7037" stopIfTrue="1">
      <formula>$B300&lt;&gt;""</formula>
    </cfRule>
  </conditionalFormatting>
  <conditionalFormatting sqref="S300:S302">
    <cfRule type="expression" dxfId="7799" priority="7036" stopIfTrue="1">
      <formula>$C300&lt;&gt;""</formula>
    </cfRule>
  </conditionalFormatting>
  <conditionalFormatting sqref="S303:S304">
    <cfRule type="expression" dxfId="7798" priority="7035" stopIfTrue="1">
      <formula>$B303&lt;&gt;""</formula>
    </cfRule>
  </conditionalFormatting>
  <conditionalFormatting sqref="S303:S304">
    <cfRule type="expression" dxfId="7797" priority="7034" stopIfTrue="1">
      <formula>$C303&lt;&gt;""</formula>
    </cfRule>
  </conditionalFormatting>
  <conditionalFormatting sqref="S300:S303">
    <cfRule type="expression" dxfId="7796" priority="7033" stopIfTrue="1">
      <formula>$B300&lt;&gt;""</formula>
    </cfRule>
  </conditionalFormatting>
  <conditionalFormatting sqref="S300:S303">
    <cfRule type="expression" dxfId="7795" priority="7032" stopIfTrue="1">
      <formula>$C300&lt;&gt;""</formula>
    </cfRule>
  </conditionalFormatting>
  <conditionalFormatting sqref="S300:S303">
    <cfRule type="expression" dxfId="7794" priority="7031" stopIfTrue="1">
      <formula>$B300&lt;&gt;""</formula>
    </cfRule>
  </conditionalFormatting>
  <conditionalFormatting sqref="S300:S303">
    <cfRule type="expression" dxfId="7793" priority="7030" stopIfTrue="1">
      <formula>$C300&lt;&gt;""</formula>
    </cfRule>
  </conditionalFormatting>
  <conditionalFormatting sqref="S304">
    <cfRule type="expression" dxfId="7792" priority="7029" stopIfTrue="1">
      <formula>$B304&lt;&gt;""</formula>
    </cfRule>
  </conditionalFormatting>
  <conditionalFormatting sqref="S304">
    <cfRule type="expression" dxfId="7791" priority="7028" stopIfTrue="1">
      <formula>$C304&lt;&gt;""</formula>
    </cfRule>
  </conditionalFormatting>
  <conditionalFormatting sqref="S300:S303">
    <cfRule type="expression" dxfId="7790" priority="7027" stopIfTrue="1">
      <formula>$B300&lt;&gt;""</formula>
    </cfRule>
  </conditionalFormatting>
  <conditionalFormatting sqref="S300:S303">
    <cfRule type="expression" dxfId="7789" priority="7026" stopIfTrue="1">
      <formula>$C300&lt;&gt;""</formula>
    </cfRule>
  </conditionalFormatting>
  <conditionalFormatting sqref="S304">
    <cfRule type="expression" dxfId="7788" priority="7025" stopIfTrue="1">
      <formula>$B304&lt;&gt;""</formula>
    </cfRule>
  </conditionalFormatting>
  <conditionalFormatting sqref="S304">
    <cfRule type="expression" dxfId="7787" priority="7024" stopIfTrue="1">
      <formula>$C304&lt;&gt;""</formula>
    </cfRule>
  </conditionalFormatting>
  <conditionalFormatting sqref="S304">
    <cfRule type="expression" dxfId="7786" priority="7023" stopIfTrue="1">
      <formula>$B304&lt;&gt;""</formula>
    </cfRule>
  </conditionalFormatting>
  <conditionalFormatting sqref="S304">
    <cfRule type="expression" dxfId="7785" priority="7022" stopIfTrue="1">
      <formula>$C304&lt;&gt;""</formula>
    </cfRule>
  </conditionalFormatting>
  <conditionalFormatting sqref="S300">
    <cfRule type="expression" dxfId="7784" priority="7021" stopIfTrue="1">
      <formula>$C300&lt;&gt;""</formula>
    </cfRule>
  </conditionalFormatting>
  <conditionalFormatting sqref="S300">
    <cfRule type="expression" dxfId="7783" priority="7020" stopIfTrue="1">
      <formula>$B300&lt;&gt;""</formula>
    </cfRule>
  </conditionalFormatting>
  <conditionalFormatting sqref="S301:S304">
    <cfRule type="expression" dxfId="7782" priority="7019" stopIfTrue="1">
      <formula>$C301&lt;&gt;""</formula>
    </cfRule>
  </conditionalFormatting>
  <conditionalFormatting sqref="S301:S304">
    <cfRule type="expression" dxfId="7781" priority="7018" stopIfTrue="1">
      <formula>$B301&lt;&gt;""</formula>
    </cfRule>
  </conditionalFormatting>
  <conditionalFormatting sqref="S303:S304">
    <cfRule type="expression" dxfId="7780" priority="7017" stopIfTrue="1">
      <formula>$C303&lt;&gt;""</formula>
    </cfRule>
  </conditionalFormatting>
  <conditionalFormatting sqref="S303:S304">
    <cfRule type="expression" dxfId="7779" priority="7016" stopIfTrue="1">
      <formula>$B303&lt;&gt;""</formula>
    </cfRule>
  </conditionalFormatting>
  <conditionalFormatting sqref="S300">
    <cfRule type="expression" dxfId="7778" priority="7015" stopIfTrue="1">
      <formula>$B300&lt;&gt;""</formula>
    </cfRule>
  </conditionalFormatting>
  <conditionalFormatting sqref="S300">
    <cfRule type="expression" dxfId="7777" priority="7014" stopIfTrue="1">
      <formula>$C300&lt;&gt;""</formula>
    </cfRule>
  </conditionalFormatting>
  <conditionalFormatting sqref="S300">
    <cfRule type="expression" dxfId="7776" priority="7013" stopIfTrue="1">
      <formula>$B300&lt;&gt;""</formula>
    </cfRule>
  </conditionalFormatting>
  <conditionalFormatting sqref="S300">
    <cfRule type="expression" dxfId="7775" priority="7012" stopIfTrue="1">
      <formula>$C300&lt;&gt;""</formula>
    </cfRule>
  </conditionalFormatting>
  <conditionalFormatting sqref="S300">
    <cfRule type="expression" dxfId="7774" priority="7011" stopIfTrue="1">
      <formula>$B300&lt;&gt;""</formula>
    </cfRule>
  </conditionalFormatting>
  <conditionalFormatting sqref="S300">
    <cfRule type="expression" dxfId="7773" priority="7010" stopIfTrue="1">
      <formula>$C300&lt;&gt;""</formula>
    </cfRule>
  </conditionalFormatting>
  <conditionalFormatting sqref="S300">
    <cfRule type="expression" dxfId="7772" priority="7009" stopIfTrue="1">
      <formula>$B300&lt;&gt;""</formula>
    </cfRule>
  </conditionalFormatting>
  <conditionalFormatting sqref="S300">
    <cfRule type="expression" dxfId="7771" priority="7008" stopIfTrue="1">
      <formula>$C300&lt;&gt;""</formula>
    </cfRule>
  </conditionalFormatting>
  <conditionalFormatting sqref="S300">
    <cfRule type="expression" dxfId="7770" priority="7007" stopIfTrue="1">
      <formula>$B300&lt;&gt;""</formula>
    </cfRule>
  </conditionalFormatting>
  <conditionalFormatting sqref="S300">
    <cfRule type="expression" dxfId="7769" priority="7006" stopIfTrue="1">
      <formula>$C300&lt;&gt;""</formula>
    </cfRule>
  </conditionalFormatting>
  <conditionalFormatting sqref="S300">
    <cfRule type="expression" dxfId="7768" priority="7005" stopIfTrue="1">
      <formula>$B300&lt;&gt;""</formula>
    </cfRule>
  </conditionalFormatting>
  <conditionalFormatting sqref="S300">
    <cfRule type="expression" dxfId="7767" priority="7004" stopIfTrue="1">
      <formula>$C300&lt;&gt;""</formula>
    </cfRule>
  </conditionalFormatting>
  <conditionalFormatting sqref="S300">
    <cfRule type="expression" dxfId="7766" priority="7003" stopIfTrue="1">
      <formula>$B300&lt;&gt;""</formula>
    </cfRule>
  </conditionalFormatting>
  <conditionalFormatting sqref="S300">
    <cfRule type="expression" dxfId="7765" priority="7002" stopIfTrue="1">
      <formula>$C300&lt;&gt;""</formula>
    </cfRule>
  </conditionalFormatting>
  <conditionalFormatting sqref="S300">
    <cfRule type="expression" dxfId="7764" priority="7001" stopIfTrue="1">
      <formula>$B300&lt;&gt;""</formula>
    </cfRule>
  </conditionalFormatting>
  <conditionalFormatting sqref="S300">
    <cfRule type="expression" dxfId="7763" priority="7000" stopIfTrue="1">
      <formula>$C300&lt;&gt;""</formula>
    </cfRule>
  </conditionalFormatting>
  <conditionalFormatting sqref="S300">
    <cfRule type="expression" dxfId="7762" priority="6999" stopIfTrue="1">
      <formula>$B300&lt;&gt;""</formula>
    </cfRule>
  </conditionalFormatting>
  <conditionalFormatting sqref="S300">
    <cfRule type="expression" dxfId="7761" priority="6998" stopIfTrue="1">
      <formula>$C300&lt;&gt;""</formula>
    </cfRule>
  </conditionalFormatting>
  <conditionalFormatting sqref="S300">
    <cfRule type="expression" dxfId="7760" priority="6997" stopIfTrue="1">
      <formula>$B300&lt;&gt;""</formula>
    </cfRule>
  </conditionalFormatting>
  <conditionalFormatting sqref="S300">
    <cfRule type="expression" dxfId="7759" priority="6996" stopIfTrue="1">
      <formula>$C300&lt;&gt;""</formula>
    </cfRule>
  </conditionalFormatting>
  <conditionalFormatting sqref="S300">
    <cfRule type="expression" dxfId="7758" priority="6995" stopIfTrue="1">
      <formula>$B300&lt;&gt;""</formula>
    </cfRule>
  </conditionalFormatting>
  <conditionalFormatting sqref="S300">
    <cfRule type="expression" dxfId="7757" priority="6994" stopIfTrue="1">
      <formula>$C300&lt;&gt;""</formula>
    </cfRule>
  </conditionalFormatting>
  <conditionalFormatting sqref="S300">
    <cfRule type="expression" dxfId="7756" priority="6993" stopIfTrue="1">
      <formula>$B300&lt;&gt;""</formula>
    </cfRule>
  </conditionalFormatting>
  <conditionalFormatting sqref="S300">
    <cfRule type="expression" dxfId="7755" priority="6992" stopIfTrue="1">
      <formula>$C300&lt;&gt;""</formula>
    </cfRule>
  </conditionalFormatting>
  <conditionalFormatting sqref="S300">
    <cfRule type="expression" dxfId="7754" priority="6991" stopIfTrue="1">
      <formula>$B300&lt;&gt;""</formula>
    </cfRule>
  </conditionalFormatting>
  <conditionalFormatting sqref="S300">
    <cfRule type="expression" dxfId="7753" priority="6990" stopIfTrue="1">
      <formula>$C300&lt;&gt;""</formula>
    </cfRule>
  </conditionalFormatting>
  <conditionalFormatting sqref="S300">
    <cfRule type="expression" dxfId="7752" priority="6989" stopIfTrue="1">
      <formula>$B300&lt;&gt;""</formula>
    </cfRule>
  </conditionalFormatting>
  <conditionalFormatting sqref="S300">
    <cfRule type="expression" dxfId="7751" priority="6988" stopIfTrue="1">
      <formula>$C300&lt;&gt;""</formula>
    </cfRule>
  </conditionalFormatting>
  <conditionalFormatting sqref="S300">
    <cfRule type="expression" dxfId="7750" priority="6987" stopIfTrue="1">
      <formula>$C300&lt;&gt;""</formula>
    </cfRule>
  </conditionalFormatting>
  <conditionalFormatting sqref="S300">
    <cfRule type="expression" dxfId="7749" priority="6986" stopIfTrue="1">
      <formula>$B300&lt;&gt;""</formula>
    </cfRule>
  </conditionalFormatting>
  <conditionalFormatting sqref="S300">
    <cfRule type="expression" dxfId="7748" priority="6985" stopIfTrue="1">
      <formula>$C300&lt;&gt;""</formula>
    </cfRule>
  </conditionalFormatting>
  <conditionalFormatting sqref="S300">
    <cfRule type="expression" dxfId="7747" priority="6984" stopIfTrue="1">
      <formula>$B300&lt;&gt;""</formula>
    </cfRule>
  </conditionalFormatting>
  <conditionalFormatting sqref="S300">
    <cfRule type="expression" dxfId="7746" priority="6983" stopIfTrue="1">
      <formula>$B300&lt;&gt;""</formula>
    </cfRule>
  </conditionalFormatting>
  <conditionalFormatting sqref="S300">
    <cfRule type="expression" dxfId="7745" priority="6982" stopIfTrue="1">
      <formula>$C300&lt;&gt;""</formula>
    </cfRule>
  </conditionalFormatting>
  <conditionalFormatting sqref="S300">
    <cfRule type="expression" dxfId="7744" priority="6981" stopIfTrue="1">
      <formula>$B300&lt;&gt;""</formula>
    </cfRule>
  </conditionalFormatting>
  <conditionalFormatting sqref="S300">
    <cfRule type="expression" dxfId="7743" priority="6980" stopIfTrue="1">
      <formula>$C300&lt;&gt;""</formula>
    </cfRule>
  </conditionalFormatting>
  <conditionalFormatting sqref="S300">
    <cfRule type="expression" dxfId="7742" priority="6979" stopIfTrue="1">
      <formula>$B300&lt;&gt;""</formula>
    </cfRule>
  </conditionalFormatting>
  <conditionalFormatting sqref="S300">
    <cfRule type="expression" dxfId="7741" priority="6978" stopIfTrue="1">
      <formula>$C300&lt;&gt;""</formula>
    </cfRule>
  </conditionalFormatting>
  <conditionalFormatting sqref="S300">
    <cfRule type="expression" dxfId="7740" priority="6977" stopIfTrue="1">
      <formula>$B300&lt;&gt;""</formula>
    </cfRule>
  </conditionalFormatting>
  <conditionalFormatting sqref="S300">
    <cfRule type="expression" dxfId="7739" priority="6976" stopIfTrue="1">
      <formula>$C300&lt;&gt;""</formula>
    </cfRule>
  </conditionalFormatting>
  <conditionalFormatting sqref="S300">
    <cfRule type="expression" dxfId="7738" priority="6975" stopIfTrue="1">
      <formula>$B300&lt;&gt;""</formula>
    </cfRule>
  </conditionalFormatting>
  <conditionalFormatting sqref="S300">
    <cfRule type="expression" dxfId="7737" priority="6974" stopIfTrue="1">
      <formula>$C300&lt;&gt;""</formula>
    </cfRule>
  </conditionalFormatting>
  <conditionalFormatting sqref="S300">
    <cfRule type="expression" dxfId="7736" priority="6973" stopIfTrue="1">
      <formula>$C300&lt;&gt;""</formula>
    </cfRule>
  </conditionalFormatting>
  <conditionalFormatting sqref="S300">
    <cfRule type="expression" dxfId="7735" priority="6972" stopIfTrue="1">
      <formula>$B300&lt;&gt;""</formula>
    </cfRule>
  </conditionalFormatting>
  <conditionalFormatting sqref="S300">
    <cfRule type="expression" dxfId="7734" priority="6971" stopIfTrue="1">
      <formula>$C300&lt;&gt;""</formula>
    </cfRule>
  </conditionalFormatting>
  <conditionalFormatting sqref="S300">
    <cfRule type="expression" dxfId="7733" priority="6970" stopIfTrue="1">
      <formula>$B300&lt;&gt;""</formula>
    </cfRule>
  </conditionalFormatting>
  <conditionalFormatting sqref="S300">
    <cfRule type="expression" dxfId="7732" priority="6969" stopIfTrue="1">
      <formula>$B300&lt;&gt;""</formula>
    </cfRule>
  </conditionalFormatting>
  <conditionalFormatting sqref="S300">
    <cfRule type="expression" dxfId="7731" priority="6968" stopIfTrue="1">
      <formula>$C300&lt;&gt;""</formula>
    </cfRule>
  </conditionalFormatting>
  <conditionalFormatting sqref="S301">
    <cfRule type="expression" dxfId="7730" priority="6967" stopIfTrue="1">
      <formula>$B301&lt;&gt;""</formula>
    </cfRule>
  </conditionalFormatting>
  <conditionalFormatting sqref="S301">
    <cfRule type="expression" dxfId="7729" priority="6966" stopIfTrue="1">
      <formula>$C301&lt;&gt;""</formula>
    </cfRule>
  </conditionalFormatting>
  <conditionalFormatting sqref="S300">
    <cfRule type="expression" dxfId="7728" priority="6965" stopIfTrue="1">
      <formula>$B300&lt;&gt;""</formula>
    </cfRule>
  </conditionalFormatting>
  <conditionalFormatting sqref="S300">
    <cfRule type="expression" dxfId="7727" priority="6964" stopIfTrue="1">
      <formula>$C300&lt;&gt;""</formula>
    </cfRule>
  </conditionalFormatting>
  <conditionalFormatting sqref="S301:S304">
    <cfRule type="expression" dxfId="7726" priority="6963" stopIfTrue="1">
      <formula>$B301&lt;&gt;""</formula>
    </cfRule>
  </conditionalFormatting>
  <conditionalFormatting sqref="S301:S304">
    <cfRule type="expression" dxfId="7725" priority="6962" stopIfTrue="1">
      <formula>$C301&lt;&gt;""</formula>
    </cfRule>
  </conditionalFormatting>
  <conditionalFormatting sqref="S300">
    <cfRule type="expression" dxfId="7724" priority="6961" stopIfTrue="1">
      <formula>$B300&lt;&gt;""</formula>
    </cfRule>
  </conditionalFormatting>
  <conditionalFormatting sqref="S300">
    <cfRule type="expression" dxfId="7723" priority="6960" stopIfTrue="1">
      <formula>$C300&lt;&gt;""</formula>
    </cfRule>
  </conditionalFormatting>
  <conditionalFormatting sqref="S301:S304">
    <cfRule type="expression" dxfId="7722" priority="6959" stopIfTrue="1">
      <formula>$B301&lt;&gt;""</formula>
    </cfRule>
  </conditionalFormatting>
  <conditionalFormatting sqref="S301:S304">
    <cfRule type="expression" dxfId="7721" priority="6958" stopIfTrue="1">
      <formula>$C301&lt;&gt;""</formula>
    </cfRule>
  </conditionalFormatting>
  <conditionalFormatting sqref="S300:S304">
    <cfRule type="expression" dxfId="7720" priority="6957" stopIfTrue="1">
      <formula>$B300&lt;&gt;""</formula>
    </cfRule>
  </conditionalFormatting>
  <conditionalFormatting sqref="S300:S304">
    <cfRule type="expression" dxfId="7719" priority="6956" stopIfTrue="1">
      <formula>$C300&lt;&gt;""</formula>
    </cfRule>
  </conditionalFormatting>
  <conditionalFormatting sqref="S300:S304">
    <cfRule type="expression" dxfId="7718" priority="6955" stopIfTrue="1">
      <formula>$B300&lt;&gt;""</formula>
    </cfRule>
  </conditionalFormatting>
  <conditionalFormatting sqref="S300:S304">
    <cfRule type="expression" dxfId="7717" priority="6954" stopIfTrue="1">
      <formula>$C300&lt;&gt;""</formula>
    </cfRule>
  </conditionalFormatting>
  <conditionalFormatting sqref="S300:S304">
    <cfRule type="expression" dxfId="7716" priority="6953" stopIfTrue="1">
      <formula>$B300&lt;&gt;""</formula>
    </cfRule>
  </conditionalFormatting>
  <conditionalFormatting sqref="S300:S304">
    <cfRule type="expression" dxfId="7715" priority="6952" stopIfTrue="1">
      <formula>$C300&lt;&gt;""</formula>
    </cfRule>
  </conditionalFormatting>
  <conditionalFormatting sqref="S300:S304">
    <cfRule type="expression" dxfId="7714" priority="6951" stopIfTrue="1">
      <formula>$B300&lt;&gt;""</formula>
    </cfRule>
  </conditionalFormatting>
  <conditionalFormatting sqref="S300:S304">
    <cfRule type="expression" dxfId="7713" priority="6950" stopIfTrue="1">
      <formula>$C300&lt;&gt;""</formula>
    </cfRule>
  </conditionalFormatting>
  <conditionalFormatting sqref="S300:S304">
    <cfRule type="expression" dxfId="7712" priority="6949" stopIfTrue="1">
      <formula>$B300&lt;&gt;""</formula>
    </cfRule>
  </conditionalFormatting>
  <conditionalFormatting sqref="S300:S304">
    <cfRule type="expression" dxfId="7711" priority="6948" stopIfTrue="1">
      <formula>$C300&lt;&gt;""</formula>
    </cfRule>
  </conditionalFormatting>
  <conditionalFormatting sqref="S300:S304">
    <cfRule type="expression" dxfId="7710" priority="6947" stopIfTrue="1">
      <formula>$B300&lt;&gt;""</formula>
    </cfRule>
  </conditionalFormatting>
  <conditionalFormatting sqref="S300:S304">
    <cfRule type="expression" dxfId="7709" priority="6946" stopIfTrue="1">
      <formula>$C300&lt;&gt;""</formula>
    </cfRule>
  </conditionalFormatting>
  <conditionalFormatting sqref="S300:S304">
    <cfRule type="expression" dxfId="7708" priority="6945" stopIfTrue="1">
      <formula>$B300&lt;&gt;""</formula>
    </cfRule>
  </conditionalFormatting>
  <conditionalFormatting sqref="S300:S304">
    <cfRule type="expression" dxfId="7707" priority="6944" stopIfTrue="1">
      <formula>$C300&lt;&gt;""</formula>
    </cfRule>
  </conditionalFormatting>
  <conditionalFormatting sqref="S300:S303">
    <cfRule type="expression" dxfId="7706" priority="6943" stopIfTrue="1">
      <formula>$B300&lt;&gt;""</formula>
    </cfRule>
  </conditionalFormatting>
  <conditionalFormatting sqref="S300:S303">
    <cfRule type="expression" dxfId="7705" priority="6942" stopIfTrue="1">
      <formula>$C300&lt;&gt;""</formula>
    </cfRule>
  </conditionalFormatting>
  <conditionalFormatting sqref="S304">
    <cfRule type="expression" dxfId="7704" priority="6941" stopIfTrue="1">
      <formula>$B304&lt;&gt;""</formula>
    </cfRule>
  </conditionalFormatting>
  <conditionalFormatting sqref="S304">
    <cfRule type="expression" dxfId="7703" priority="6940" stopIfTrue="1">
      <formula>$C304&lt;&gt;""</formula>
    </cfRule>
  </conditionalFormatting>
  <conditionalFormatting sqref="S300:S302">
    <cfRule type="expression" dxfId="7702" priority="6939" stopIfTrue="1">
      <formula>$B300&lt;&gt;""</formula>
    </cfRule>
  </conditionalFormatting>
  <conditionalFormatting sqref="S300:S302">
    <cfRule type="expression" dxfId="7701" priority="6938" stopIfTrue="1">
      <formula>$C300&lt;&gt;""</formula>
    </cfRule>
  </conditionalFormatting>
  <conditionalFormatting sqref="S303:S304">
    <cfRule type="expression" dxfId="7700" priority="6937" stopIfTrue="1">
      <formula>$B303&lt;&gt;""</formula>
    </cfRule>
  </conditionalFormatting>
  <conditionalFormatting sqref="S303:S304">
    <cfRule type="expression" dxfId="7699" priority="6936" stopIfTrue="1">
      <formula>$C303&lt;&gt;""</formula>
    </cfRule>
  </conditionalFormatting>
  <conditionalFormatting sqref="S300:S303">
    <cfRule type="expression" dxfId="7698" priority="6935" stopIfTrue="1">
      <formula>$B300&lt;&gt;""</formula>
    </cfRule>
  </conditionalFormatting>
  <conditionalFormatting sqref="S300:S303">
    <cfRule type="expression" dxfId="7697" priority="6934" stopIfTrue="1">
      <formula>$C300&lt;&gt;""</formula>
    </cfRule>
  </conditionalFormatting>
  <conditionalFormatting sqref="S300:S303">
    <cfRule type="expression" dxfId="7696" priority="6933" stopIfTrue="1">
      <formula>$B300&lt;&gt;""</formula>
    </cfRule>
  </conditionalFormatting>
  <conditionalFormatting sqref="S300:S303">
    <cfRule type="expression" dxfId="7695" priority="6932" stopIfTrue="1">
      <formula>$C300&lt;&gt;""</formula>
    </cfRule>
  </conditionalFormatting>
  <conditionalFormatting sqref="S304">
    <cfRule type="expression" dxfId="7694" priority="6931" stopIfTrue="1">
      <formula>$B304&lt;&gt;""</formula>
    </cfRule>
  </conditionalFormatting>
  <conditionalFormatting sqref="S304">
    <cfRule type="expression" dxfId="7693" priority="6930" stopIfTrue="1">
      <formula>$C304&lt;&gt;""</formula>
    </cfRule>
  </conditionalFormatting>
  <conditionalFormatting sqref="S300:S303">
    <cfRule type="expression" dxfId="7692" priority="6929" stopIfTrue="1">
      <formula>$B300&lt;&gt;""</formula>
    </cfRule>
  </conditionalFormatting>
  <conditionalFormatting sqref="S300:S303">
    <cfRule type="expression" dxfId="7691" priority="6928" stopIfTrue="1">
      <formula>$C300&lt;&gt;""</formula>
    </cfRule>
  </conditionalFormatting>
  <conditionalFormatting sqref="S304">
    <cfRule type="expression" dxfId="7690" priority="6927" stopIfTrue="1">
      <formula>$B304&lt;&gt;""</formula>
    </cfRule>
  </conditionalFormatting>
  <conditionalFormatting sqref="S304">
    <cfRule type="expression" dxfId="7689" priority="6926" stopIfTrue="1">
      <formula>$C304&lt;&gt;""</formula>
    </cfRule>
  </conditionalFormatting>
  <conditionalFormatting sqref="S304">
    <cfRule type="expression" dxfId="7688" priority="6925" stopIfTrue="1">
      <formula>$B304&lt;&gt;""</formula>
    </cfRule>
  </conditionalFormatting>
  <conditionalFormatting sqref="S304">
    <cfRule type="expression" dxfId="7687" priority="6924" stopIfTrue="1">
      <formula>$C304&lt;&gt;""</formula>
    </cfRule>
  </conditionalFormatting>
  <conditionalFormatting sqref="S300">
    <cfRule type="expression" dxfId="7686" priority="6923" stopIfTrue="1">
      <formula>$C300&lt;&gt;""</formula>
    </cfRule>
  </conditionalFormatting>
  <conditionalFormatting sqref="S300">
    <cfRule type="expression" dxfId="7685" priority="6922" stopIfTrue="1">
      <formula>$B300&lt;&gt;""</formula>
    </cfRule>
  </conditionalFormatting>
  <conditionalFormatting sqref="S301:S304">
    <cfRule type="expression" dxfId="7684" priority="6921" stopIfTrue="1">
      <formula>$C301&lt;&gt;""</formula>
    </cfRule>
  </conditionalFormatting>
  <conditionalFormatting sqref="S301:S304">
    <cfRule type="expression" dxfId="7683" priority="6920" stopIfTrue="1">
      <formula>$B301&lt;&gt;""</formula>
    </cfRule>
  </conditionalFormatting>
  <conditionalFormatting sqref="S303:S304">
    <cfRule type="expression" dxfId="7682" priority="6919" stopIfTrue="1">
      <formula>$C303&lt;&gt;""</formula>
    </cfRule>
  </conditionalFormatting>
  <conditionalFormatting sqref="S303:S304">
    <cfRule type="expression" dxfId="7681" priority="6918" stopIfTrue="1">
      <formula>$B303&lt;&gt;""</formula>
    </cfRule>
  </conditionalFormatting>
  <conditionalFormatting sqref="S300:S303">
    <cfRule type="expression" dxfId="7680" priority="6917" stopIfTrue="1">
      <formula>$B300&lt;&gt;""</formula>
    </cfRule>
  </conditionalFormatting>
  <conditionalFormatting sqref="S300:S303">
    <cfRule type="expression" dxfId="7679" priority="6916" stopIfTrue="1">
      <formula>$C300&lt;&gt;""</formula>
    </cfRule>
  </conditionalFormatting>
  <conditionalFormatting sqref="S304">
    <cfRule type="expression" dxfId="7678" priority="6915" stopIfTrue="1">
      <formula>$B304&lt;&gt;""</formula>
    </cfRule>
  </conditionalFormatting>
  <conditionalFormatting sqref="S304">
    <cfRule type="expression" dxfId="7677" priority="6914" stopIfTrue="1">
      <formula>$C304&lt;&gt;""</formula>
    </cfRule>
  </conditionalFormatting>
  <conditionalFormatting sqref="S300:S302">
    <cfRule type="expression" dxfId="7676" priority="6913" stopIfTrue="1">
      <formula>$B300&lt;&gt;""</formula>
    </cfRule>
  </conditionalFormatting>
  <conditionalFormatting sqref="S300:S302">
    <cfRule type="expression" dxfId="7675" priority="6912" stopIfTrue="1">
      <formula>$C300&lt;&gt;""</formula>
    </cfRule>
  </conditionalFormatting>
  <conditionalFormatting sqref="S303:S304">
    <cfRule type="expression" dxfId="7674" priority="6911" stopIfTrue="1">
      <formula>$B303&lt;&gt;""</formula>
    </cfRule>
  </conditionalFormatting>
  <conditionalFormatting sqref="S303:S304">
    <cfRule type="expression" dxfId="7673" priority="6910" stopIfTrue="1">
      <formula>$C303&lt;&gt;""</formula>
    </cfRule>
  </conditionalFormatting>
  <conditionalFormatting sqref="S300:S303">
    <cfRule type="expression" dxfId="7672" priority="6909" stopIfTrue="1">
      <formula>$B300&lt;&gt;""</formula>
    </cfRule>
  </conditionalFormatting>
  <conditionalFormatting sqref="S300:S303">
    <cfRule type="expression" dxfId="7671" priority="6908" stopIfTrue="1">
      <formula>$C300&lt;&gt;""</formula>
    </cfRule>
  </conditionalFormatting>
  <conditionalFormatting sqref="S300:S303">
    <cfRule type="expression" dxfId="7670" priority="6907" stopIfTrue="1">
      <formula>$B300&lt;&gt;""</formula>
    </cfRule>
  </conditionalFormatting>
  <conditionalFormatting sqref="S300:S303">
    <cfRule type="expression" dxfId="7669" priority="6906" stopIfTrue="1">
      <formula>$C300&lt;&gt;""</formula>
    </cfRule>
  </conditionalFormatting>
  <conditionalFormatting sqref="S304">
    <cfRule type="expression" dxfId="7668" priority="6905" stopIfTrue="1">
      <formula>$B304&lt;&gt;""</formula>
    </cfRule>
  </conditionalFormatting>
  <conditionalFormatting sqref="S304">
    <cfRule type="expression" dxfId="7667" priority="6904" stopIfTrue="1">
      <formula>$C304&lt;&gt;""</formula>
    </cfRule>
  </conditionalFormatting>
  <conditionalFormatting sqref="S300:S303">
    <cfRule type="expression" dxfId="7666" priority="6903" stopIfTrue="1">
      <formula>$B300&lt;&gt;""</formula>
    </cfRule>
  </conditionalFormatting>
  <conditionalFormatting sqref="S300:S303">
    <cfRule type="expression" dxfId="7665" priority="6902" stopIfTrue="1">
      <formula>$C300&lt;&gt;""</formula>
    </cfRule>
  </conditionalFormatting>
  <conditionalFormatting sqref="S304">
    <cfRule type="expression" dxfId="7664" priority="6901" stopIfTrue="1">
      <formula>$B304&lt;&gt;""</formula>
    </cfRule>
  </conditionalFormatting>
  <conditionalFormatting sqref="S304">
    <cfRule type="expression" dxfId="7663" priority="6900" stopIfTrue="1">
      <formula>$C304&lt;&gt;""</formula>
    </cfRule>
  </conditionalFormatting>
  <conditionalFormatting sqref="S304">
    <cfRule type="expression" dxfId="7662" priority="6899" stopIfTrue="1">
      <formula>$B304&lt;&gt;""</formula>
    </cfRule>
  </conditionalFormatting>
  <conditionalFormatting sqref="S304">
    <cfRule type="expression" dxfId="7661" priority="6898" stopIfTrue="1">
      <formula>$C304&lt;&gt;""</formula>
    </cfRule>
  </conditionalFormatting>
  <conditionalFormatting sqref="S300">
    <cfRule type="expression" dxfId="7660" priority="6897" stopIfTrue="1">
      <formula>$C300&lt;&gt;""</formula>
    </cfRule>
  </conditionalFormatting>
  <conditionalFormatting sqref="S300">
    <cfRule type="expression" dxfId="7659" priority="6896" stopIfTrue="1">
      <formula>$B300&lt;&gt;""</formula>
    </cfRule>
  </conditionalFormatting>
  <conditionalFormatting sqref="S301:S304">
    <cfRule type="expression" dxfId="7658" priority="6895" stopIfTrue="1">
      <formula>$C301&lt;&gt;""</formula>
    </cfRule>
  </conditionalFormatting>
  <conditionalFormatting sqref="S301:S304">
    <cfRule type="expression" dxfId="7657" priority="6894" stopIfTrue="1">
      <formula>$B301&lt;&gt;""</formula>
    </cfRule>
  </conditionalFormatting>
  <conditionalFormatting sqref="S303:S304">
    <cfRule type="expression" dxfId="7656" priority="6893" stopIfTrue="1">
      <formula>$C303&lt;&gt;""</formula>
    </cfRule>
  </conditionalFormatting>
  <conditionalFormatting sqref="S303:S304">
    <cfRule type="expression" dxfId="7655" priority="6892" stopIfTrue="1">
      <formula>$B303&lt;&gt;""</formula>
    </cfRule>
  </conditionalFormatting>
  <conditionalFormatting sqref="S300">
    <cfRule type="expression" dxfId="7654" priority="6891" stopIfTrue="1">
      <formula>$B300&lt;&gt;""</formula>
    </cfRule>
  </conditionalFormatting>
  <conditionalFormatting sqref="S300">
    <cfRule type="expression" dxfId="7653" priority="6890" stopIfTrue="1">
      <formula>$C300&lt;&gt;""</formula>
    </cfRule>
  </conditionalFormatting>
  <conditionalFormatting sqref="S300">
    <cfRule type="expression" dxfId="7652" priority="6889" stopIfTrue="1">
      <formula>$B300&lt;&gt;""</formula>
    </cfRule>
  </conditionalFormatting>
  <conditionalFormatting sqref="S300">
    <cfRule type="expression" dxfId="7651" priority="6888" stopIfTrue="1">
      <formula>$C300&lt;&gt;""</formula>
    </cfRule>
  </conditionalFormatting>
  <conditionalFormatting sqref="S300">
    <cfRule type="expression" dxfId="7650" priority="6887" stopIfTrue="1">
      <formula>$B300&lt;&gt;""</formula>
    </cfRule>
  </conditionalFormatting>
  <conditionalFormatting sqref="S300">
    <cfRule type="expression" dxfId="7649" priority="6886" stopIfTrue="1">
      <formula>$C300&lt;&gt;""</formula>
    </cfRule>
  </conditionalFormatting>
  <conditionalFormatting sqref="S300">
    <cfRule type="expression" dxfId="7648" priority="6885" stopIfTrue="1">
      <formula>$B300&lt;&gt;""</formula>
    </cfRule>
  </conditionalFormatting>
  <conditionalFormatting sqref="S300">
    <cfRule type="expression" dxfId="7647" priority="6884" stopIfTrue="1">
      <formula>$C300&lt;&gt;""</formula>
    </cfRule>
  </conditionalFormatting>
  <conditionalFormatting sqref="S300">
    <cfRule type="expression" dxfId="7646" priority="6883" stopIfTrue="1">
      <formula>$B300&lt;&gt;""</formula>
    </cfRule>
  </conditionalFormatting>
  <conditionalFormatting sqref="S300">
    <cfRule type="expression" dxfId="7645" priority="6882" stopIfTrue="1">
      <formula>$C300&lt;&gt;""</formula>
    </cfRule>
  </conditionalFormatting>
  <conditionalFormatting sqref="S300">
    <cfRule type="expression" dxfId="7644" priority="6881" stopIfTrue="1">
      <formula>$B300&lt;&gt;""</formula>
    </cfRule>
  </conditionalFormatting>
  <conditionalFormatting sqref="S300">
    <cfRule type="expression" dxfId="7643" priority="6880" stopIfTrue="1">
      <formula>$C300&lt;&gt;""</formula>
    </cfRule>
  </conditionalFormatting>
  <conditionalFormatting sqref="S300">
    <cfRule type="expression" dxfId="7642" priority="6879" stopIfTrue="1">
      <formula>$B300&lt;&gt;""</formula>
    </cfRule>
  </conditionalFormatting>
  <conditionalFormatting sqref="S300">
    <cfRule type="expression" dxfId="7641" priority="6878" stopIfTrue="1">
      <formula>$C300&lt;&gt;""</formula>
    </cfRule>
  </conditionalFormatting>
  <conditionalFormatting sqref="S300">
    <cfRule type="expression" dxfId="7640" priority="6877" stopIfTrue="1">
      <formula>$B300&lt;&gt;""</formula>
    </cfRule>
  </conditionalFormatting>
  <conditionalFormatting sqref="S300">
    <cfRule type="expression" dxfId="7639" priority="6876" stopIfTrue="1">
      <formula>$C300&lt;&gt;""</formula>
    </cfRule>
  </conditionalFormatting>
  <conditionalFormatting sqref="S300">
    <cfRule type="expression" dxfId="7638" priority="6875" stopIfTrue="1">
      <formula>$B300&lt;&gt;""</formula>
    </cfRule>
  </conditionalFormatting>
  <conditionalFormatting sqref="S300">
    <cfRule type="expression" dxfId="7637" priority="6874" stopIfTrue="1">
      <formula>$C300&lt;&gt;""</formula>
    </cfRule>
  </conditionalFormatting>
  <conditionalFormatting sqref="S300">
    <cfRule type="expression" dxfId="7636" priority="6873" stopIfTrue="1">
      <formula>$B300&lt;&gt;""</formula>
    </cfRule>
  </conditionalFormatting>
  <conditionalFormatting sqref="S300">
    <cfRule type="expression" dxfId="7635" priority="6872" stopIfTrue="1">
      <formula>$C300&lt;&gt;""</formula>
    </cfRule>
  </conditionalFormatting>
  <conditionalFormatting sqref="S300">
    <cfRule type="expression" dxfId="7634" priority="6871" stopIfTrue="1">
      <formula>$B300&lt;&gt;""</formula>
    </cfRule>
  </conditionalFormatting>
  <conditionalFormatting sqref="S300">
    <cfRule type="expression" dxfId="7633" priority="6870" stopIfTrue="1">
      <formula>$C300&lt;&gt;""</formula>
    </cfRule>
  </conditionalFormatting>
  <conditionalFormatting sqref="S300">
    <cfRule type="expression" dxfId="7632" priority="6869" stopIfTrue="1">
      <formula>$B300&lt;&gt;""</formula>
    </cfRule>
  </conditionalFormatting>
  <conditionalFormatting sqref="S300">
    <cfRule type="expression" dxfId="7631" priority="6868" stopIfTrue="1">
      <formula>$C300&lt;&gt;""</formula>
    </cfRule>
  </conditionalFormatting>
  <conditionalFormatting sqref="S300">
    <cfRule type="expression" dxfId="7630" priority="6867" stopIfTrue="1">
      <formula>$B300&lt;&gt;""</formula>
    </cfRule>
  </conditionalFormatting>
  <conditionalFormatting sqref="S300">
    <cfRule type="expression" dxfId="7629" priority="6866" stopIfTrue="1">
      <formula>$C300&lt;&gt;""</formula>
    </cfRule>
  </conditionalFormatting>
  <conditionalFormatting sqref="S300">
    <cfRule type="expression" dxfId="7628" priority="6865" stopIfTrue="1">
      <formula>$B300&lt;&gt;""</formula>
    </cfRule>
  </conditionalFormatting>
  <conditionalFormatting sqref="S300">
    <cfRule type="expression" dxfId="7627" priority="6864" stopIfTrue="1">
      <formula>$C300&lt;&gt;""</formula>
    </cfRule>
  </conditionalFormatting>
  <conditionalFormatting sqref="S300">
    <cfRule type="expression" dxfId="7626" priority="6863" stopIfTrue="1">
      <formula>$C300&lt;&gt;""</formula>
    </cfRule>
  </conditionalFormatting>
  <conditionalFormatting sqref="S300">
    <cfRule type="expression" dxfId="7625" priority="6862" stopIfTrue="1">
      <formula>$B300&lt;&gt;""</formula>
    </cfRule>
  </conditionalFormatting>
  <conditionalFormatting sqref="S300">
    <cfRule type="expression" dxfId="7624" priority="6861" stopIfTrue="1">
      <formula>$C300&lt;&gt;""</formula>
    </cfRule>
  </conditionalFormatting>
  <conditionalFormatting sqref="S300">
    <cfRule type="expression" dxfId="7623" priority="6860" stopIfTrue="1">
      <formula>$B300&lt;&gt;""</formula>
    </cfRule>
  </conditionalFormatting>
  <conditionalFormatting sqref="S300">
    <cfRule type="expression" dxfId="7622" priority="6859" stopIfTrue="1">
      <formula>$B300&lt;&gt;""</formula>
    </cfRule>
  </conditionalFormatting>
  <conditionalFormatting sqref="S300">
    <cfRule type="expression" dxfId="7621" priority="6858" stopIfTrue="1">
      <formula>$C300&lt;&gt;""</formula>
    </cfRule>
  </conditionalFormatting>
  <conditionalFormatting sqref="S300">
    <cfRule type="expression" dxfId="7620" priority="6857" stopIfTrue="1">
      <formula>$B300&lt;&gt;""</formula>
    </cfRule>
  </conditionalFormatting>
  <conditionalFormatting sqref="S300">
    <cfRule type="expression" dxfId="7619" priority="6856" stopIfTrue="1">
      <formula>$C300&lt;&gt;""</formula>
    </cfRule>
  </conditionalFormatting>
  <conditionalFormatting sqref="S300">
    <cfRule type="expression" dxfId="7618" priority="6855" stopIfTrue="1">
      <formula>$B300&lt;&gt;""</formula>
    </cfRule>
  </conditionalFormatting>
  <conditionalFormatting sqref="S300">
    <cfRule type="expression" dxfId="7617" priority="6854" stopIfTrue="1">
      <formula>$C300&lt;&gt;""</formula>
    </cfRule>
  </conditionalFormatting>
  <conditionalFormatting sqref="S300">
    <cfRule type="expression" dxfId="7616" priority="6853" stopIfTrue="1">
      <formula>$B300&lt;&gt;""</formula>
    </cfRule>
  </conditionalFormatting>
  <conditionalFormatting sqref="S300">
    <cfRule type="expression" dxfId="7615" priority="6852" stopIfTrue="1">
      <formula>$C300&lt;&gt;""</formula>
    </cfRule>
  </conditionalFormatting>
  <conditionalFormatting sqref="S300">
    <cfRule type="expression" dxfId="7614" priority="6851" stopIfTrue="1">
      <formula>$B300&lt;&gt;""</formula>
    </cfRule>
  </conditionalFormatting>
  <conditionalFormatting sqref="S300">
    <cfRule type="expression" dxfId="7613" priority="6850" stopIfTrue="1">
      <formula>$C300&lt;&gt;""</formula>
    </cfRule>
  </conditionalFormatting>
  <conditionalFormatting sqref="S300">
    <cfRule type="expression" dxfId="7612" priority="6849" stopIfTrue="1">
      <formula>$C300&lt;&gt;""</formula>
    </cfRule>
  </conditionalFormatting>
  <conditionalFormatting sqref="S300">
    <cfRule type="expression" dxfId="7611" priority="6848" stopIfTrue="1">
      <formula>$B300&lt;&gt;""</formula>
    </cfRule>
  </conditionalFormatting>
  <conditionalFormatting sqref="S300">
    <cfRule type="expression" dxfId="7610" priority="6847" stopIfTrue="1">
      <formula>$C300&lt;&gt;""</formula>
    </cfRule>
  </conditionalFormatting>
  <conditionalFormatting sqref="S300">
    <cfRule type="expression" dxfId="7609" priority="6846" stopIfTrue="1">
      <formula>$B300&lt;&gt;""</formula>
    </cfRule>
  </conditionalFormatting>
  <conditionalFormatting sqref="S300">
    <cfRule type="expression" dxfId="7608" priority="6845" stopIfTrue="1">
      <formula>$B300&lt;&gt;""</formula>
    </cfRule>
  </conditionalFormatting>
  <conditionalFormatting sqref="S300">
    <cfRule type="expression" dxfId="7607" priority="6844" stopIfTrue="1">
      <formula>$C300&lt;&gt;""</formula>
    </cfRule>
  </conditionalFormatting>
  <conditionalFormatting sqref="S301">
    <cfRule type="expression" dxfId="7606" priority="6843" stopIfTrue="1">
      <formula>$B301&lt;&gt;""</formula>
    </cfRule>
  </conditionalFormatting>
  <conditionalFormatting sqref="S301">
    <cfRule type="expression" dxfId="7605" priority="6842" stopIfTrue="1">
      <formula>$C301&lt;&gt;""</formula>
    </cfRule>
  </conditionalFormatting>
  <conditionalFormatting sqref="S300">
    <cfRule type="expression" dxfId="7604" priority="6841" stopIfTrue="1">
      <formula>$B300&lt;&gt;""</formula>
    </cfRule>
  </conditionalFormatting>
  <conditionalFormatting sqref="S300">
    <cfRule type="expression" dxfId="7603" priority="6840" stopIfTrue="1">
      <formula>$C300&lt;&gt;""</formula>
    </cfRule>
  </conditionalFormatting>
  <conditionalFormatting sqref="S301:S304">
    <cfRule type="expression" dxfId="7602" priority="6839" stopIfTrue="1">
      <formula>$B301&lt;&gt;""</formula>
    </cfRule>
  </conditionalFormatting>
  <conditionalFormatting sqref="S301:S304">
    <cfRule type="expression" dxfId="7601" priority="6838" stopIfTrue="1">
      <formula>$C301&lt;&gt;""</formula>
    </cfRule>
  </conditionalFormatting>
  <conditionalFormatting sqref="S300">
    <cfRule type="expression" dxfId="7600" priority="6837" stopIfTrue="1">
      <formula>$B300&lt;&gt;""</formula>
    </cfRule>
  </conditionalFormatting>
  <conditionalFormatting sqref="S300">
    <cfRule type="expression" dxfId="7599" priority="6836" stopIfTrue="1">
      <formula>$C300&lt;&gt;""</formula>
    </cfRule>
  </conditionalFormatting>
  <conditionalFormatting sqref="S301:S304">
    <cfRule type="expression" dxfId="7598" priority="6835" stopIfTrue="1">
      <formula>$B301&lt;&gt;""</formula>
    </cfRule>
  </conditionalFormatting>
  <conditionalFormatting sqref="S301:S304">
    <cfRule type="expression" dxfId="7597" priority="6834" stopIfTrue="1">
      <formula>$C301&lt;&gt;""</formula>
    </cfRule>
  </conditionalFormatting>
  <conditionalFormatting sqref="S300:S304">
    <cfRule type="expression" dxfId="7596" priority="6833" stopIfTrue="1">
      <formula>$B300&lt;&gt;""</formula>
    </cfRule>
  </conditionalFormatting>
  <conditionalFormatting sqref="S300:S304">
    <cfRule type="expression" dxfId="7595" priority="6832" stopIfTrue="1">
      <formula>$C300&lt;&gt;""</formula>
    </cfRule>
  </conditionalFormatting>
  <conditionalFormatting sqref="S300:S304">
    <cfRule type="expression" dxfId="7594" priority="6831" stopIfTrue="1">
      <formula>$B300&lt;&gt;""</formula>
    </cfRule>
  </conditionalFormatting>
  <conditionalFormatting sqref="S300:S304">
    <cfRule type="expression" dxfId="7593" priority="6830" stopIfTrue="1">
      <formula>$C300&lt;&gt;""</formula>
    </cfRule>
  </conditionalFormatting>
  <conditionalFormatting sqref="S300:S304">
    <cfRule type="expression" dxfId="7592" priority="6829" stopIfTrue="1">
      <formula>$B300&lt;&gt;""</formula>
    </cfRule>
  </conditionalFormatting>
  <conditionalFormatting sqref="S300:S304">
    <cfRule type="expression" dxfId="7591" priority="6828" stopIfTrue="1">
      <formula>$C300&lt;&gt;""</formula>
    </cfRule>
  </conditionalFormatting>
  <conditionalFormatting sqref="S300:S304">
    <cfRule type="expression" dxfId="7590" priority="6827" stopIfTrue="1">
      <formula>$B300&lt;&gt;""</formula>
    </cfRule>
  </conditionalFormatting>
  <conditionalFormatting sqref="S300:S304">
    <cfRule type="expression" dxfId="7589" priority="6826" stopIfTrue="1">
      <formula>$C300&lt;&gt;""</formula>
    </cfRule>
  </conditionalFormatting>
  <conditionalFormatting sqref="S300:S304">
    <cfRule type="expression" dxfId="7588" priority="6825" stopIfTrue="1">
      <formula>$B300&lt;&gt;""</formula>
    </cfRule>
  </conditionalFormatting>
  <conditionalFormatting sqref="S300:S304">
    <cfRule type="expression" dxfId="7587" priority="6824" stopIfTrue="1">
      <formula>$C300&lt;&gt;""</formula>
    </cfRule>
  </conditionalFormatting>
  <conditionalFormatting sqref="S300:S304">
    <cfRule type="expression" dxfId="7586" priority="6823" stopIfTrue="1">
      <formula>$B300&lt;&gt;""</formula>
    </cfRule>
  </conditionalFormatting>
  <conditionalFormatting sqref="S300:S304">
    <cfRule type="expression" dxfId="7585" priority="6822" stopIfTrue="1">
      <formula>$C300&lt;&gt;""</formula>
    </cfRule>
  </conditionalFormatting>
  <conditionalFormatting sqref="S300:S304">
    <cfRule type="expression" dxfId="7584" priority="6821" stopIfTrue="1">
      <formula>$B300&lt;&gt;""</formula>
    </cfRule>
  </conditionalFormatting>
  <conditionalFormatting sqref="S300:S304">
    <cfRule type="expression" dxfId="7583" priority="6820" stopIfTrue="1">
      <formula>$C300&lt;&gt;""</formula>
    </cfRule>
  </conditionalFormatting>
  <conditionalFormatting sqref="S300:S303">
    <cfRule type="expression" dxfId="7582" priority="6819" stopIfTrue="1">
      <formula>$B300&lt;&gt;""</formula>
    </cfRule>
  </conditionalFormatting>
  <conditionalFormatting sqref="S300:S303">
    <cfRule type="expression" dxfId="7581" priority="6818" stopIfTrue="1">
      <formula>$C300&lt;&gt;""</formula>
    </cfRule>
  </conditionalFormatting>
  <conditionalFormatting sqref="S304">
    <cfRule type="expression" dxfId="7580" priority="6817" stopIfTrue="1">
      <formula>$B304&lt;&gt;""</formula>
    </cfRule>
  </conditionalFormatting>
  <conditionalFormatting sqref="S304">
    <cfRule type="expression" dxfId="7579" priority="6816" stopIfTrue="1">
      <formula>$C304&lt;&gt;""</formula>
    </cfRule>
  </conditionalFormatting>
  <conditionalFormatting sqref="S300:S302">
    <cfRule type="expression" dxfId="7578" priority="6815" stopIfTrue="1">
      <formula>$B300&lt;&gt;""</formula>
    </cfRule>
  </conditionalFormatting>
  <conditionalFormatting sqref="S300:S302">
    <cfRule type="expression" dxfId="7577" priority="6814" stopIfTrue="1">
      <formula>$C300&lt;&gt;""</formula>
    </cfRule>
  </conditionalFormatting>
  <conditionalFormatting sqref="S303:S304">
    <cfRule type="expression" dxfId="7576" priority="6813" stopIfTrue="1">
      <formula>$B303&lt;&gt;""</formula>
    </cfRule>
  </conditionalFormatting>
  <conditionalFormatting sqref="S303:S304">
    <cfRule type="expression" dxfId="7575" priority="6812" stopIfTrue="1">
      <formula>$C303&lt;&gt;""</formula>
    </cfRule>
  </conditionalFormatting>
  <conditionalFormatting sqref="S300:S303">
    <cfRule type="expression" dxfId="7574" priority="6811" stopIfTrue="1">
      <formula>$B300&lt;&gt;""</formula>
    </cfRule>
  </conditionalFormatting>
  <conditionalFormatting sqref="S300:S303">
    <cfRule type="expression" dxfId="7573" priority="6810" stopIfTrue="1">
      <formula>$C300&lt;&gt;""</formula>
    </cfRule>
  </conditionalFormatting>
  <conditionalFormatting sqref="S300:S303">
    <cfRule type="expression" dxfId="7572" priority="6809" stopIfTrue="1">
      <formula>$B300&lt;&gt;""</formula>
    </cfRule>
  </conditionalFormatting>
  <conditionalFormatting sqref="S300:S303">
    <cfRule type="expression" dxfId="7571" priority="6808" stopIfTrue="1">
      <formula>$C300&lt;&gt;""</formula>
    </cfRule>
  </conditionalFormatting>
  <conditionalFormatting sqref="S304">
    <cfRule type="expression" dxfId="7570" priority="6807" stopIfTrue="1">
      <formula>$B304&lt;&gt;""</formula>
    </cfRule>
  </conditionalFormatting>
  <conditionalFormatting sqref="S304">
    <cfRule type="expression" dxfId="7569" priority="6806" stopIfTrue="1">
      <formula>$C304&lt;&gt;""</formula>
    </cfRule>
  </conditionalFormatting>
  <conditionalFormatting sqref="S300:S303">
    <cfRule type="expression" dxfId="7568" priority="6805" stopIfTrue="1">
      <formula>$B300&lt;&gt;""</formula>
    </cfRule>
  </conditionalFormatting>
  <conditionalFormatting sqref="S300:S303">
    <cfRule type="expression" dxfId="7567" priority="6804" stopIfTrue="1">
      <formula>$C300&lt;&gt;""</formula>
    </cfRule>
  </conditionalFormatting>
  <conditionalFormatting sqref="S304">
    <cfRule type="expression" dxfId="7566" priority="6803" stopIfTrue="1">
      <formula>$B304&lt;&gt;""</formula>
    </cfRule>
  </conditionalFormatting>
  <conditionalFormatting sqref="S304">
    <cfRule type="expression" dxfId="7565" priority="6802" stopIfTrue="1">
      <formula>$C304&lt;&gt;""</formula>
    </cfRule>
  </conditionalFormatting>
  <conditionalFormatting sqref="S304">
    <cfRule type="expression" dxfId="7564" priority="6801" stopIfTrue="1">
      <formula>$B304&lt;&gt;""</formula>
    </cfRule>
  </conditionalFormatting>
  <conditionalFormatting sqref="S304">
    <cfRule type="expression" dxfId="7563" priority="6800" stopIfTrue="1">
      <formula>$C304&lt;&gt;""</formula>
    </cfRule>
  </conditionalFormatting>
  <conditionalFormatting sqref="S300">
    <cfRule type="expression" dxfId="7562" priority="6799" stopIfTrue="1">
      <formula>$C300&lt;&gt;""</formula>
    </cfRule>
  </conditionalFormatting>
  <conditionalFormatting sqref="S300">
    <cfRule type="expression" dxfId="7561" priority="6798" stopIfTrue="1">
      <formula>$B300&lt;&gt;""</formula>
    </cfRule>
  </conditionalFormatting>
  <conditionalFormatting sqref="S301:S304">
    <cfRule type="expression" dxfId="7560" priority="6797" stopIfTrue="1">
      <formula>$C301&lt;&gt;""</formula>
    </cfRule>
  </conditionalFormatting>
  <conditionalFormatting sqref="S301:S304">
    <cfRule type="expression" dxfId="7559" priority="6796" stopIfTrue="1">
      <formula>$B301&lt;&gt;""</formula>
    </cfRule>
  </conditionalFormatting>
  <conditionalFormatting sqref="S303:S304">
    <cfRule type="expression" dxfId="7558" priority="6795" stopIfTrue="1">
      <formula>$C303&lt;&gt;""</formula>
    </cfRule>
  </conditionalFormatting>
  <conditionalFormatting sqref="S303:S304">
    <cfRule type="expression" dxfId="7557" priority="6794" stopIfTrue="1">
      <formula>$B303&lt;&gt;""</formula>
    </cfRule>
  </conditionalFormatting>
  <conditionalFormatting sqref="S300:S303">
    <cfRule type="expression" dxfId="7556" priority="6793" stopIfTrue="1">
      <formula>$B300&lt;&gt;""</formula>
    </cfRule>
  </conditionalFormatting>
  <conditionalFormatting sqref="S300:S303">
    <cfRule type="expression" dxfId="7555" priority="6792" stopIfTrue="1">
      <formula>$C300&lt;&gt;""</formula>
    </cfRule>
  </conditionalFormatting>
  <conditionalFormatting sqref="S304">
    <cfRule type="expression" dxfId="7554" priority="6791" stopIfTrue="1">
      <formula>$B304&lt;&gt;""</formula>
    </cfRule>
  </conditionalFormatting>
  <conditionalFormatting sqref="S304">
    <cfRule type="expression" dxfId="7553" priority="6790" stopIfTrue="1">
      <formula>$C304&lt;&gt;""</formula>
    </cfRule>
  </conditionalFormatting>
  <conditionalFormatting sqref="S300:S302">
    <cfRule type="expression" dxfId="7552" priority="6789" stopIfTrue="1">
      <formula>$B300&lt;&gt;""</formula>
    </cfRule>
  </conditionalFormatting>
  <conditionalFormatting sqref="S300:S302">
    <cfRule type="expression" dxfId="7551" priority="6788" stopIfTrue="1">
      <formula>$C300&lt;&gt;""</formula>
    </cfRule>
  </conditionalFormatting>
  <conditionalFormatting sqref="S303:S304">
    <cfRule type="expression" dxfId="7550" priority="6787" stopIfTrue="1">
      <formula>$B303&lt;&gt;""</formula>
    </cfRule>
  </conditionalFormatting>
  <conditionalFormatting sqref="S303:S304">
    <cfRule type="expression" dxfId="7549" priority="6786" stopIfTrue="1">
      <formula>$C303&lt;&gt;""</formula>
    </cfRule>
  </conditionalFormatting>
  <conditionalFormatting sqref="S300:S303">
    <cfRule type="expression" dxfId="7548" priority="6785" stopIfTrue="1">
      <formula>$B300&lt;&gt;""</formula>
    </cfRule>
  </conditionalFormatting>
  <conditionalFormatting sqref="S300:S303">
    <cfRule type="expression" dxfId="7547" priority="6784" stopIfTrue="1">
      <formula>$C300&lt;&gt;""</formula>
    </cfRule>
  </conditionalFormatting>
  <conditionalFormatting sqref="S300:S303">
    <cfRule type="expression" dxfId="7546" priority="6783" stopIfTrue="1">
      <formula>$B300&lt;&gt;""</formula>
    </cfRule>
  </conditionalFormatting>
  <conditionalFormatting sqref="S300:S303">
    <cfRule type="expression" dxfId="7545" priority="6782" stopIfTrue="1">
      <formula>$C300&lt;&gt;""</formula>
    </cfRule>
  </conditionalFormatting>
  <conditionalFormatting sqref="S304">
    <cfRule type="expression" dxfId="7544" priority="6781" stopIfTrue="1">
      <formula>$B304&lt;&gt;""</formula>
    </cfRule>
  </conditionalFormatting>
  <conditionalFormatting sqref="S304">
    <cfRule type="expression" dxfId="7543" priority="6780" stopIfTrue="1">
      <formula>$C304&lt;&gt;""</formula>
    </cfRule>
  </conditionalFormatting>
  <conditionalFormatting sqref="S300:S303">
    <cfRule type="expression" dxfId="7542" priority="6779" stopIfTrue="1">
      <formula>$B300&lt;&gt;""</formula>
    </cfRule>
  </conditionalFormatting>
  <conditionalFormatting sqref="S300:S303">
    <cfRule type="expression" dxfId="7541" priority="6778" stopIfTrue="1">
      <formula>$C300&lt;&gt;""</formula>
    </cfRule>
  </conditionalFormatting>
  <conditionalFormatting sqref="S304">
    <cfRule type="expression" dxfId="7540" priority="6777" stopIfTrue="1">
      <formula>$B304&lt;&gt;""</formula>
    </cfRule>
  </conditionalFormatting>
  <conditionalFormatting sqref="S304">
    <cfRule type="expression" dxfId="7539" priority="6776" stopIfTrue="1">
      <formula>$C304&lt;&gt;""</formula>
    </cfRule>
  </conditionalFormatting>
  <conditionalFormatting sqref="S304">
    <cfRule type="expression" dxfId="7538" priority="6775" stopIfTrue="1">
      <formula>$B304&lt;&gt;""</formula>
    </cfRule>
  </conditionalFormatting>
  <conditionalFormatting sqref="S304">
    <cfRule type="expression" dxfId="7537" priority="6774" stopIfTrue="1">
      <formula>$C304&lt;&gt;""</formula>
    </cfRule>
  </conditionalFormatting>
  <conditionalFormatting sqref="S300">
    <cfRule type="expression" dxfId="7536" priority="6773" stopIfTrue="1">
      <formula>$C300&lt;&gt;""</formula>
    </cfRule>
  </conditionalFormatting>
  <conditionalFormatting sqref="S300">
    <cfRule type="expression" dxfId="7535" priority="6772" stopIfTrue="1">
      <formula>$B300&lt;&gt;""</formula>
    </cfRule>
  </conditionalFormatting>
  <conditionalFormatting sqref="S301:S304">
    <cfRule type="expression" dxfId="7534" priority="6771" stopIfTrue="1">
      <formula>$C301&lt;&gt;""</formula>
    </cfRule>
  </conditionalFormatting>
  <conditionalFormatting sqref="S301:S304">
    <cfRule type="expression" dxfId="7533" priority="6770" stopIfTrue="1">
      <formula>$B301&lt;&gt;""</formula>
    </cfRule>
  </conditionalFormatting>
  <conditionalFormatting sqref="S303:S304">
    <cfRule type="expression" dxfId="7532" priority="6769" stopIfTrue="1">
      <formula>$C303&lt;&gt;""</formula>
    </cfRule>
  </conditionalFormatting>
  <conditionalFormatting sqref="S303:S304">
    <cfRule type="expression" dxfId="7531" priority="6768" stopIfTrue="1">
      <formula>$B303&lt;&gt;""</formula>
    </cfRule>
  </conditionalFormatting>
  <conditionalFormatting sqref="S300">
    <cfRule type="expression" dxfId="7530" priority="6767" stopIfTrue="1">
      <formula>$B300&lt;&gt;""</formula>
    </cfRule>
  </conditionalFormatting>
  <conditionalFormatting sqref="S300">
    <cfRule type="expression" dxfId="7529" priority="6766" stopIfTrue="1">
      <formula>$C300&lt;&gt;""</formula>
    </cfRule>
  </conditionalFormatting>
  <conditionalFormatting sqref="S301">
    <cfRule type="expression" dxfId="7528" priority="6765" stopIfTrue="1">
      <formula>$B301&lt;&gt;""</formula>
    </cfRule>
  </conditionalFormatting>
  <conditionalFormatting sqref="S301">
    <cfRule type="expression" dxfId="7527" priority="6764" stopIfTrue="1">
      <formula>$C301&lt;&gt;""</formula>
    </cfRule>
  </conditionalFormatting>
  <conditionalFormatting sqref="S300">
    <cfRule type="expression" dxfId="7526" priority="6763" stopIfTrue="1">
      <formula>$B300&lt;&gt;""</formula>
    </cfRule>
  </conditionalFormatting>
  <conditionalFormatting sqref="S300">
    <cfRule type="expression" dxfId="7525" priority="6762" stopIfTrue="1">
      <formula>$C300&lt;&gt;""</formula>
    </cfRule>
  </conditionalFormatting>
  <conditionalFormatting sqref="S301:S304">
    <cfRule type="expression" dxfId="7524" priority="6761" stopIfTrue="1">
      <formula>$B301&lt;&gt;""</formula>
    </cfRule>
  </conditionalFormatting>
  <conditionalFormatting sqref="S301:S304">
    <cfRule type="expression" dxfId="7523" priority="6760" stopIfTrue="1">
      <formula>$C301&lt;&gt;""</formula>
    </cfRule>
  </conditionalFormatting>
  <conditionalFormatting sqref="S300">
    <cfRule type="expression" dxfId="7522" priority="6759" stopIfTrue="1">
      <formula>$B300&lt;&gt;""</formula>
    </cfRule>
  </conditionalFormatting>
  <conditionalFormatting sqref="S300">
    <cfRule type="expression" dxfId="7521" priority="6758" stopIfTrue="1">
      <formula>$C300&lt;&gt;""</formula>
    </cfRule>
  </conditionalFormatting>
  <conditionalFormatting sqref="S301:S304">
    <cfRule type="expression" dxfId="7520" priority="6757" stopIfTrue="1">
      <formula>$B301&lt;&gt;""</formula>
    </cfRule>
  </conditionalFormatting>
  <conditionalFormatting sqref="S301:S304">
    <cfRule type="expression" dxfId="7519" priority="6756" stopIfTrue="1">
      <formula>$C301&lt;&gt;""</formula>
    </cfRule>
  </conditionalFormatting>
  <conditionalFormatting sqref="S300:S304">
    <cfRule type="expression" dxfId="7518" priority="6755" stopIfTrue="1">
      <formula>$B300&lt;&gt;""</formula>
    </cfRule>
  </conditionalFormatting>
  <conditionalFormatting sqref="S300:S304">
    <cfRule type="expression" dxfId="7517" priority="6754" stopIfTrue="1">
      <formula>$C300&lt;&gt;""</formula>
    </cfRule>
  </conditionalFormatting>
  <conditionalFormatting sqref="S300:S304">
    <cfRule type="expression" dxfId="7516" priority="6753" stopIfTrue="1">
      <formula>$B300&lt;&gt;""</formula>
    </cfRule>
  </conditionalFormatting>
  <conditionalFormatting sqref="S300:S304">
    <cfRule type="expression" dxfId="7515" priority="6752" stopIfTrue="1">
      <formula>$C300&lt;&gt;""</formula>
    </cfRule>
  </conditionalFormatting>
  <conditionalFormatting sqref="S300:S304">
    <cfRule type="expression" dxfId="7514" priority="6751" stopIfTrue="1">
      <formula>$B300&lt;&gt;""</formula>
    </cfRule>
  </conditionalFormatting>
  <conditionalFormatting sqref="S300:S304">
    <cfRule type="expression" dxfId="7513" priority="6750" stopIfTrue="1">
      <formula>$C300&lt;&gt;""</formula>
    </cfRule>
  </conditionalFormatting>
  <conditionalFormatting sqref="S300:S304">
    <cfRule type="expression" dxfId="7512" priority="6749" stopIfTrue="1">
      <formula>$B300&lt;&gt;""</formula>
    </cfRule>
  </conditionalFormatting>
  <conditionalFormatting sqref="S300:S304">
    <cfRule type="expression" dxfId="7511" priority="6748" stopIfTrue="1">
      <formula>$C300&lt;&gt;""</formula>
    </cfRule>
  </conditionalFormatting>
  <conditionalFormatting sqref="S300:S304">
    <cfRule type="expression" dxfId="7510" priority="6747" stopIfTrue="1">
      <formula>$B300&lt;&gt;""</formula>
    </cfRule>
  </conditionalFormatting>
  <conditionalFormatting sqref="S300:S304">
    <cfRule type="expression" dxfId="7509" priority="6746" stopIfTrue="1">
      <formula>$C300&lt;&gt;""</formula>
    </cfRule>
  </conditionalFormatting>
  <conditionalFormatting sqref="S300:S304">
    <cfRule type="expression" dxfId="7508" priority="6745" stopIfTrue="1">
      <formula>$B300&lt;&gt;""</formula>
    </cfRule>
  </conditionalFormatting>
  <conditionalFormatting sqref="S300:S304">
    <cfRule type="expression" dxfId="7507" priority="6744" stopIfTrue="1">
      <formula>$C300&lt;&gt;""</formula>
    </cfRule>
  </conditionalFormatting>
  <conditionalFormatting sqref="S300:S304">
    <cfRule type="expression" dxfId="7506" priority="6743" stopIfTrue="1">
      <formula>$B300&lt;&gt;""</formula>
    </cfRule>
  </conditionalFormatting>
  <conditionalFormatting sqref="S300:S304">
    <cfRule type="expression" dxfId="7505" priority="6742" stopIfTrue="1">
      <formula>$C300&lt;&gt;""</formula>
    </cfRule>
  </conditionalFormatting>
  <conditionalFormatting sqref="S300:S303">
    <cfRule type="expression" dxfId="7504" priority="6741" stopIfTrue="1">
      <formula>$B300&lt;&gt;""</formula>
    </cfRule>
  </conditionalFormatting>
  <conditionalFormatting sqref="S300:S303">
    <cfRule type="expression" dxfId="7503" priority="6740" stopIfTrue="1">
      <formula>$C300&lt;&gt;""</formula>
    </cfRule>
  </conditionalFormatting>
  <conditionalFormatting sqref="S304">
    <cfRule type="expression" dxfId="7502" priority="6739" stopIfTrue="1">
      <formula>$B304&lt;&gt;""</formula>
    </cfRule>
  </conditionalFormatting>
  <conditionalFormatting sqref="S304">
    <cfRule type="expression" dxfId="7501" priority="6738" stopIfTrue="1">
      <formula>$C304&lt;&gt;""</formula>
    </cfRule>
  </conditionalFormatting>
  <conditionalFormatting sqref="S300:S302">
    <cfRule type="expression" dxfId="7500" priority="6737" stopIfTrue="1">
      <formula>$B300&lt;&gt;""</formula>
    </cfRule>
  </conditionalFormatting>
  <conditionalFormatting sqref="S300:S302">
    <cfRule type="expression" dxfId="7499" priority="6736" stopIfTrue="1">
      <formula>$C300&lt;&gt;""</formula>
    </cfRule>
  </conditionalFormatting>
  <conditionalFormatting sqref="S303:S304">
    <cfRule type="expression" dxfId="7498" priority="6735" stopIfTrue="1">
      <formula>$B303&lt;&gt;""</formula>
    </cfRule>
  </conditionalFormatting>
  <conditionalFormatting sqref="S303:S304">
    <cfRule type="expression" dxfId="7497" priority="6734" stopIfTrue="1">
      <formula>$C303&lt;&gt;""</formula>
    </cfRule>
  </conditionalFormatting>
  <conditionalFormatting sqref="S300:S303">
    <cfRule type="expression" dxfId="7496" priority="6733" stopIfTrue="1">
      <formula>$B300&lt;&gt;""</formula>
    </cfRule>
  </conditionalFormatting>
  <conditionalFormatting sqref="S300:S303">
    <cfRule type="expression" dxfId="7495" priority="6732" stopIfTrue="1">
      <formula>$C300&lt;&gt;""</formula>
    </cfRule>
  </conditionalFormatting>
  <conditionalFormatting sqref="S300:S303">
    <cfRule type="expression" dxfId="7494" priority="6731" stopIfTrue="1">
      <formula>$B300&lt;&gt;""</formula>
    </cfRule>
  </conditionalFormatting>
  <conditionalFormatting sqref="S300:S303">
    <cfRule type="expression" dxfId="7493" priority="6730" stopIfTrue="1">
      <formula>$C300&lt;&gt;""</formula>
    </cfRule>
  </conditionalFormatting>
  <conditionalFormatting sqref="S304">
    <cfRule type="expression" dxfId="7492" priority="6729" stopIfTrue="1">
      <formula>$B304&lt;&gt;""</formula>
    </cfRule>
  </conditionalFormatting>
  <conditionalFormatting sqref="S304">
    <cfRule type="expression" dxfId="7491" priority="6728" stopIfTrue="1">
      <formula>$C304&lt;&gt;""</formula>
    </cfRule>
  </conditionalFormatting>
  <conditionalFormatting sqref="S300:S303">
    <cfRule type="expression" dxfId="7490" priority="6727" stopIfTrue="1">
      <formula>$B300&lt;&gt;""</formula>
    </cfRule>
  </conditionalFormatting>
  <conditionalFormatting sqref="S300:S303">
    <cfRule type="expression" dxfId="7489" priority="6726" stopIfTrue="1">
      <formula>$C300&lt;&gt;""</formula>
    </cfRule>
  </conditionalFormatting>
  <conditionalFormatting sqref="S304">
    <cfRule type="expression" dxfId="7488" priority="6725" stopIfTrue="1">
      <formula>$B304&lt;&gt;""</formula>
    </cfRule>
  </conditionalFormatting>
  <conditionalFormatting sqref="S304">
    <cfRule type="expression" dxfId="7487" priority="6724" stopIfTrue="1">
      <formula>$C304&lt;&gt;""</formula>
    </cfRule>
  </conditionalFormatting>
  <conditionalFormatting sqref="S304">
    <cfRule type="expression" dxfId="7486" priority="6723" stopIfTrue="1">
      <formula>$B304&lt;&gt;""</formula>
    </cfRule>
  </conditionalFormatting>
  <conditionalFormatting sqref="S304">
    <cfRule type="expression" dxfId="7485" priority="6722" stopIfTrue="1">
      <formula>$C304&lt;&gt;""</formula>
    </cfRule>
  </conditionalFormatting>
  <conditionalFormatting sqref="S300">
    <cfRule type="expression" dxfId="7484" priority="6721" stopIfTrue="1">
      <formula>$C300&lt;&gt;""</formula>
    </cfRule>
  </conditionalFormatting>
  <conditionalFormatting sqref="S300">
    <cfRule type="expression" dxfId="7483" priority="6720" stopIfTrue="1">
      <formula>$B300&lt;&gt;""</formula>
    </cfRule>
  </conditionalFormatting>
  <conditionalFormatting sqref="S301:S304">
    <cfRule type="expression" dxfId="7482" priority="6719" stopIfTrue="1">
      <formula>$C301&lt;&gt;""</formula>
    </cfRule>
  </conditionalFormatting>
  <conditionalFormatting sqref="S301:S304">
    <cfRule type="expression" dxfId="7481" priority="6718" stopIfTrue="1">
      <formula>$B301&lt;&gt;""</formula>
    </cfRule>
  </conditionalFormatting>
  <conditionalFormatting sqref="S303:S304">
    <cfRule type="expression" dxfId="7480" priority="6717" stopIfTrue="1">
      <formula>$C303&lt;&gt;""</formula>
    </cfRule>
  </conditionalFormatting>
  <conditionalFormatting sqref="S303:S304">
    <cfRule type="expression" dxfId="7479" priority="6716" stopIfTrue="1">
      <formula>$B303&lt;&gt;""</formula>
    </cfRule>
  </conditionalFormatting>
  <conditionalFormatting sqref="S300:S303">
    <cfRule type="expression" dxfId="7478" priority="6715" stopIfTrue="1">
      <formula>$B300&lt;&gt;""</formula>
    </cfRule>
  </conditionalFormatting>
  <conditionalFormatting sqref="S300:S303">
    <cfRule type="expression" dxfId="7477" priority="6714" stopIfTrue="1">
      <formula>$C300&lt;&gt;""</formula>
    </cfRule>
  </conditionalFormatting>
  <conditionalFormatting sqref="S304">
    <cfRule type="expression" dxfId="7476" priority="6713" stopIfTrue="1">
      <formula>$B304&lt;&gt;""</formula>
    </cfRule>
  </conditionalFormatting>
  <conditionalFormatting sqref="S304">
    <cfRule type="expression" dxfId="7475" priority="6712" stopIfTrue="1">
      <formula>$C304&lt;&gt;""</formula>
    </cfRule>
  </conditionalFormatting>
  <conditionalFormatting sqref="S300:S302">
    <cfRule type="expression" dxfId="7474" priority="6711" stopIfTrue="1">
      <formula>$B300&lt;&gt;""</formula>
    </cfRule>
  </conditionalFormatting>
  <conditionalFormatting sqref="S300:S302">
    <cfRule type="expression" dxfId="7473" priority="6710" stopIfTrue="1">
      <formula>$C300&lt;&gt;""</formula>
    </cfRule>
  </conditionalFormatting>
  <conditionalFormatting sqref="S303:S304">
    <cfRule type="expression" dxfId="7472" priority="6709" stopIfTrue="1">
      <formula>$B303&lt;&gt;""</formula>
    </cfRule>
  </conditionalFormatting>
  <conditionalFormatting sqref="S303:S304">
    <cfRule type="expression" dxfId="7471" priority="6708" stopIfTrue="1">
      <formula>$C303&lt;&gt;""</formula>
    </cfRule>
  </conditionalFormatting>
  <conditionalFormatting sqref="S300:S303">
    <cfRule type="expression" dxfId="7470" priority="6707" stopIfTrue="1">
      <formula>$B300&lt;&gt;""</formula>
    </cfRule>
  </conditionalFormatting>
  <conditionalFormatting sqref="S300:S303">
    <cfRule type="expression" dxfId="7469" priority="6706" stopIfTrue="1">
      <formula>$C300&lt;&gt;""</formula>
    </cfRule>
  </conditionalFormatting>
  <conditionalFormatting sqref="S300:S303">
    <cfRule type="expression" dxfId="7468" priority="6705" stopIfTrue="1">
      <formula>$B300&lt;&gt;""</formula>
    </cfRule>
  </conditionalFormatting>
  <conditionalFormatting sqref="S300:S303">
    <cfRule type="expression" dxfId="7467" priority="6704" stopIfTrue="1">
      <formula>$C300&lt;&gt;""</formula>
    </cfRule>
  </conditionalFormatting>
  <conditionalFormatting sqref="S304">
    <cfRule type="expression" dxfId="7466" priority="6703" stopIfTrue="1">
      <formula>$B304&lt;&gt;""</formula>
    </cfRule>
  </conditionalFormatting>
  <conditionalFormatting sqref="S304">
    <cfRule type="expression" dxfId="7465" priority="6702" stopIfTrue="1">
      <formula>$C304&lt;&gt;""</formula>
    </cfRule>
  </conditionalFormatting>
  <conditionalFormatting sqref="S300:S303">
    <cfRule type="expression" dxfId="7464" priority="6701" stopIfTrue="1">
      <formula>$B300&lt;&gt;""</formula>
    </cfRule>
  </conditionalFormatting>
  <conditionalFormatting sqref="S300:S303">
    <cfRule type="expression" dxfId="7463" priority="6700" stopIfTrue="1">
      <formula>$C300&lt;&gt;""</formula>
    </cfRule>
  </conditionalFormatting>
  <conditionalFormatting sqref="S304">
    <cfRule type="expression" dxfId="7462" priority="6699" stopIfTrue="1">
      <formula>$B304&lt;&gt;""</formula>
    </cfRule>
  </conditionalFormatting>
  <conditionalFormatting sqref="S304">
    <cfRule type="expression" dxfId="7461" priority="6698" stopIfTrue="1">
      <formula>$C304&lt;&gt;""</formula>
    </cfRule>
  </conditionalFormatting>
  <conditionalFormatting sqref="S304">
    <cfRule type="expression" dxfId="7460" priority="6697" stopIfTrue="1">
      <formula>$B304&lt;&gt;""</formula>
    </cfRule>
  </conditionalFormatting>
  <conditionalFormatting sqref="S304">
    <cfRule type="expression" dxfId="7459" priority="6696" stopIfTrue="1">
      <formula>$C304&lt;&gt;""</formula>
    </cfRule>
  </conditionalFormatting>
  <conditionalFormatting sqref="S300">
    <cfRule type="expression" dxfId="7458" priority="6695" stopIfTrue="1">
      <formula>$C300&lt;&gt;""</formula>
    </cfRule>
  </conditionalFormatting>
  <conditionalFormatting sqref="S300">
    <cfRule type="expression" dxfId="7457" priority="6694" stopIfTrue="1">
      <formula>$B300&lt;&gt;""</formula>
    </cfRule>
  </conditionalFormatting>
  <conditionalFormatting sqref="S301:S304">
    <cfRule type="expression" dxfId="7456" priority="6693" stopIfTrue="1">
      <formula>$C301&lt;&gt;""</formula>
    </cfRule>
  </conditionalFormatting>
  <conditionalFormatting sqref="S301:S304">
    <cfRule type="expression" dxfId="7455" priority="6692" stopIfTrue="1">
      <formula>$B301&lt;&gt;""</formula>
    </cfRule>
  </conditionalFormatting>
  <conditionalFormatting sqref="S303:S304">
    <cfRule type="expression" dxfId="7454" priority="6691" stopIfTrue="1">
      <formula>$C303&lt;&gt;""</formula>
    </cfRule>
  </conditionalFormatting>
  <conditionalFormatting sqref="S303:S304">
    <cfRule type="expression" dxfId="7453" priority="6690" stopIfTrue="1">
      <formula>$B303&lt;&gt;""</formula>
    </cfRule>
  </conditionalFormatting>
  <conditionalFormatting sqref="S305">
    <cfRule type="expression" dxfId="7452" priority="6689" stopIfTrue="1">
      <formula>$B305&lt;&gt;""</formula>
    </cfRule>
  </conditionalFormatting>
  <conditionalFormatting sqref="S305">
    <cfRule type="expression" dxfId="7451" priority="6688" stopIfTrue="1">
      <formula>$C305&lt;&gt;""</formula>
    </cfRule>
  </conditionalFormatting>
  <conditionalFormatting sqref="S305">
    <cfRule type="expression" dxfId="7450" priority="6687" stopIfTrue="1">
      <formula>$B305&lt;&gt;""</formula>
    </cfRule>
  </conditionalFormatting>
  <conditionalFormatting sqref="S305">
    <cfRule type="expression" dxfId="7449" priority="6686" stopIfTrue="1">
      <formula>$C305&lt;&gt;""</formula>
    </cfRule>
  </conditionalFormatting>
  <conditionalFormatting sqref="S305">
    <cfRule type="expression" dxfId="7448" priority="6685" stopIfTrue="1">
      <formula>$B305&lt;&gt;""</formula>
    </cfRule>
  </conditionalFormatting>
  <conditionalFormatting sqref="S305">
    <cfRule type="expression" dxfId="7447" priority="6684" stopIfTrue="1">
      <formula>$C305&lt;&gt;""</formula>
    </cfRule>
  </conditionalFormatting>
  <conditionalFormatting sqref="S305">
    <cfRule type="expression" dxfId="7446" priority="6683" stopIfTrue="1">
      <formula>$B305&lt;&gt;""</formula>
    </cfRule>
  </conditionalFormatting>
  <conditionalFormatting sqref="S305">
    <cfRule type="expression" dxfId="7445" priority="6682" stopIfTrue="1">
      <formula>$C305&lt;&gt;""</formula>
    </cfRule>
  </conditionalFormatting>
  <conditionalFormatting sqref="S305">
    <cfRule type="expression" dxfId="7444" priority="6681" stopIfTrue="1">
      <formula>$B305&lt;&gt;""</formula>
    </cfRule>
  </conditionalFormatting>
  <conditionalFormatting sqref="S305">
    <cfRule type="expression" dxfId="7443" priority="6680" stopIfTrue="1">
      <formula>$C305&lt;&gt;""</formula>
    </cfRule>
  </conditionalFormatting>
  <conditionalFormatting sqref="S305">
    <cfRule type="expression" dxfId="7442" priority="6679" stopIfTrue="1">
      <formula>$B305&lt;&gt;""</formula>
    </cfRule>
  </conditionalFormatting>
  <conditionalFormatting sqref="S305">
    <cfRule type="expression" dxfId="7441" priority="6678" stopIfTrue="1">
      <formula>$C305&lt;&gt;""</formula>
    </cfRule>
  </conditionalFormatting>
  <conditionalFormatting sqref="S305">
    <cfRule type="expression" dxfId="7440" priority="6677" stopIfTrue="1">
      <formula>$B305&lt;&gt;""</formula>
    </cfRule>
  </conditionalFormatting>
  <conditionalFormatting sqref="S305">
    <cfRule type="expression" dxfId="7439" priority="6676" stopIfTrue="1">
      <formula>$C305&lt;&gt;""</formula>
    </cfRule>
  </conditionalFormatting>
  <conditionalFormatting sqref="S305">
    <cfRule type="expression" dxfId="7438" priority="6675" stopIfTrue="1">
      <formula>$B305&lt;&gt;""</formula>
    </cfRule>
  </conditionalFormatting>
  <conditionalFormatting sqref="S305">
    <cfRule type="expression" dxfId="7437" priority="6674" stopIfTrue="1">
      <formula>$C305&lt;&gt;""</formula>
    </cfRule>
  </conditionalFormatting>
  <conditionalFormatting sqref="S305">
    <cfRule type="expression" dxfId="7436" priority="6673" stopIfTrue="1">
      <formula>$B305&lt;&gt;""</formula>
    </cfRule>
  </conditionalFormatting>
  <conditionalFormatting sqref="S305">
    <cfRule type="expression" dxfId="7435" priority="6672" stopIfTrue="1">
      <formula>$C305&lt;&gt;""</formula>
    </cfRule>
  </conditionalFormatting>
  <conditionalFormatting sqref="S305">
    <cfRule type="expression" dxfId="7434" priority="6671" stopIfTrue="1">
      <formula>$B305&lt;&gt;""</formula>
    </cfRule>
  </conditionalFormatting>
  <conditionalFormatting sqref="S305">
    <cfRule type="expression" dxfId="7433" priority="6670" stopIfTrue="1">
      <formula>$C305&lt;&gt;""</formula>
    </cfRule>
  </conditionalFormatting>
  <conditionalFormatting sqref="S305">
    <cfRule type="expression" dxfId="7432" priority="6669" stopIfTrue="1">
      <formula>$B305&lt;&gt;""</formula>
    </cfRule>
  </conditionalFormatting>
  <conditionalFormatting sqref="S305">
    <cfRule type="expression" dxfId="7431" priority="6668" stopIfTrue="1">
      <formula>$C305&lt;&gt;""</formula>
    </cfRule>
  </conditionalFormatting>
  <conditionalFormatting sqref="S305">
    <cfRule type="expression" dxfId="7430" priority="6667" stopIfTrue="1">
      <formula>$B305&lt;&gt;""</formula>
    </cfRule>
  </conditionalFormatting>
  <conditionalFormatting sqref="S305">
    <cfRule type="expression" dxfId="7429" priority="6666" stopIfTrue="1">
      <formula>$C305&lt;&gt;""</formula>
    </cfRule>
  </conditionalFormatting>
  <conditionalFormatting sqref="S305">
    <cfRule type="expression" dxfId="7428" priority="6665" stopIfTrue="1">
      <formula>$B305&lt;&gt;""</formula>
    </cfRule>
  </conditionalFormatting>
  <conditionalFormatting sqref="S305">
    <cfRule type="expression" dxfId="7427" priority="6664" stopIfTrue="1">
      <formula>$C305&lt;&gt;""</formula>
    </cfRule>
  </conditionalFormatting>
  <conditionalFormatting sqref="S305">
    <cfRule type="expression" dxfId="7426" priority="6663" stopIfTrue="1">
      <formula>$B305&lt;&gt;""</formula>
    </cfRule>
  </conditionalFormatting>
  <conditionalFormatting sqref="S305">
    <cfRule type="expression" dxfId="7425" priority="6662" stopIfTrue="1">
      <formula>$C305&lt;&gt;""</formula>
    </cfRule>
  </conditionalFormatting>
  <conditionalFormatting sqref="S305">
    <cfRule type="expression" dxfId="7424" priority="6661" stopIfTrue="1">
      <formula>$C305&lt;&gt;""</formula>
    </cfRule>
  </conditionalFormatting>
  <conditionalFormatting sqref="S305">
    <cfRule type="expression" dxfId="7423" priority="6660" stopIfTrue="1">
      <formula>$B305&lt;&gt;""</formula>
    </cfRule>
  </conditionalFormatting>
  <conditionalFormatting sqref="S305">
    <cfRule type="expression" dxfId="7422" priority="6659" stopIfTrue="1">
      <formula>$C305&lt;&gt;""</formula>
    </cfRule>
  </conditionalFormatting>
  <conditionalFormatting sqref="S305">
    <cfRule type="expression" dxfId="7421" priority="6658" stopIfTrue="1">
      <formula>$B305&lt;&gt;""</formula>
    </cfRule>
  </conditionalFormatting>
  <conditionalFormatting sqref="S305">
    <cfRule type="expression" dxfId="7420" priority="6657" stopIfTrue="1">
      <formula>$B305&lt;&gt;""</formula>
    </cfRule>
  </conditionalFormatting>
  <conditionalFormatting sqref="S305">
    <cfRule type="expression" dxfId="7419" priority="6656" stopIfTrue="1">
      <formula>$C305&lt;&gt;""</formula>
    </cfRule>
  </conditionalFormatting>
  <conditionalFormatting sqref="S305">
    <cfRule type="expression" dxfId="7418" priority="6655" stopIfTrue="1">
      <formula>$B305&lt;&gt;""</formula>
    </cfRule>
  </conditionalFormatting>
  <conditionalFormatting sqref="S305">
    <cfRule type="expression" dxfId="7417" priority="6654" stopIfTrue="1">
      <formula>$C305&lt;&gt;""</formula>
    </cfRule>
  </conditionalFormatting>
  <conditionalFormatting sqref="S305">
    <cfRule type="expression" dxfId="7416" priority="6653" stopIfTrue="1">
      <formula>$B305&lt;&gt;""</formula>
    </cfRule>
  </conditionalFormatting>
  <conditionalFormatting sqref="S305">
    <cfRule type="expression" dxfId="7415" priority="6652" stopIfTrue="1">
      <formula>$C305&lt;&gt;""</formula>
    </cfRule>
  </conditionalFormatting>
  <conditionalFormatting sqref="S305">
    <cfRule type="expression" dxfId="7414" priority="6651" stopIfTrue="1">
      <formula>$B305&lt;&gt;""</formula>
    </cfRule>
  </conditionalFormatting>
  <conditionalFormatting sqref="S305">
    <cfRule type="expression" dxfId="7413" priority="6650" stopIfTrue="1">
      <formula>$C305&lt;&gt;""</formula>
    </cfRule>
  </conditionalFormatting>
  <conditionalFormatting sqref="S305">
    <cfRule type="expression" dxfId="7412" priority="6649" stopIfTrue="1">
      <formula>$B305&lt;&gt;""</formula>
    </cfRule>
  </conditionalFormatting>
  <conditionalFormatting sqref="S305">
    <cfRule type="expression" dxfId="7411" priority="6648" stopIfTrue="1">
      <formula>$C305&lt;&gt;""</formula>
    </cfRule>
  </conditionalFormatting>
  <conditionalFormatting sqref="S305">
    <cfRule type="expression" dxfId="7410" priority="6647" stopIfTrue="1">
      <formula>$C305&lt;&gt;""</formula>
    </cfRule>
  </conditionalFormatting>
  <conditionalFormatting sqref="S305">
    <cfRule type="expression" dxfId="7409" priority="6646" stopIfTrue="1">
      <formula>$B305&lt;&gt;""</formula>
    </cfRule>
  </conditionalFormatting>
  <conditionalFormatting sqref="S305">
    <cfRule type="expression" dxfId="7408" priority="6645" stopIfTrue="1">
      <formula>$C305&lt;&gt;""</formula>
    </cfRule>
  </conditionalFormatting>
  <conditionalFormatting sqref="S305">
    <cfRule type="expression" dxfId="7407" priority="6644" stopIfTrue="1">
      <formula>$B305&lt;&gt;""</formula>
    </cfRule>
  </conditionalFormatting>
  <conditionalFormatting sqref="S305">
    <cfRule type="expression" dxfId="7406" priority="6643" stopIfTrue="1">
      <formula>$B305&lt;&gt;""</formula>
    </cfRule>
  </conditionalFormatting>
  <conditionalFormatting sqref="S305">
    <cfRule type="expression" dxfId="7405" priority="6642" stopIfTrue="1">
      <formula>$C305&lt;&gt;""</formula>
    </cfRule>
  </conditionalFormatting>
  <conditionalFormatting sqref="S306">
    <cfRule type="expression" dxfId="7404" priority="6641" stopIfTrue="1">
      <formula>$B306&lt;&gt;""</formula>
    </cfRule>
  </conditionalFormatting>
  <conditionalFormatting sqref="S306">
    <cfRule type="expression" dxfId="7403" priority="6640" stopIfTrue="1">
      <formula>$C306&lt;&gt;""</formula>
    </cfRule>
  </conditionalFormatting>
  <conditionalFormatting sqref="S305">
    <cfRule type="expression" dxfId="7402" priority="6639" stopIfTrue="1">
      <formula>$B305&lt;&gt;""</formula>
    </cfRule>
  </conditionalFormatting>
  <conditionalFormatting sqref="S305">
    <cfRule type="expression" dxfId="7401" priority="6638" stopIfTrue="1">
      <formula>$C305&lt;&gt;""</formula>
    </cfRule>
  </conditionalFormatting>
  <conditionalFormatting sqref="S306:S309">
    <cfRule type="expression" dxfId="7400" priority="6637" stopIfTrue="1">
      <formula>$B306&lt;&gt;""</formula>
    </cfRule>
  </conditionalFormatting>
  <conditionalFormatting sqref="S306:S309">
    <cfRule type="expression" dxfId="7399" priority="6636" stopIfTrue="1">
      <formula>$C306&lt;&gt;""</formula>
    </cfRule>
  </conditionalFormatting>
  <conditionalFormatting sqref="S305">
    <cfRule type="expression" dxfId="7398" priority="6635" stopIfTrue="1">
      <formula>$B305&lt;&gt;""</formula>
    </cfRule>
  </conditionalFormatting>
  <conditionalFormatting sqref="S305">
    <cfRule type="expression" dxfId="7397" priority="6634" stopIfTrue="1">
      <formula>$C305&lt;&gt;""</formula>
    </cfRule>
  </conditionalFormatting>
  <conditionalFormatting sqref="S306:S309">
    <cfRule type="expression" dxfId="7396" priority="6633" stopIfTrue="1">
      <formula>$B306&lt;&gt;""</formula>
    </cfRule>
  </conditionalFormatting>
  <conditionalFormatting sqref="S306:S309">
    <cfRule type="expression" dxfId="7395" priority="6632" stopIfTrue="1">
      <formula>$C306&lt;&gt;""</formula>
    </cfRule>
  </conditionalFormatting>
  <conditionalFormatting sqref="S305:S309">
    <cfRule type="expression" dxfId="7394" priority="6631" stopIfTrue="1">
      <formula>$B305&lt;&gt;""</formula>
    </cfRule>
  </conditionalFormatting>
  <conditionalFormatting sqref="S305:S309">
    <cfRule type="expression" dxfId="7393" priority="6630" stopIfTrue="1">
      <formula>$C305&lt;&gt;""</formula>
    </cfRule>
  </conditionalFormatting>
  <conditionalFormatting sqref="S305:S309">
    <cfRule type="expression" dxfId="7392" priority="6629" stopIfTrue="1">
      <formula>$B305&lt;&gt;""</formula>
    </cfRule>
  </conditionalFormatting>
  <conditionalFormatting sqref="S305:S309">
    <cfRule type="expression" dxfId="7391" priority="6628" stopIfTrue="1">
      <formula>$C305&lt;&gt;""</formula>
    </cfRule>
  </conditionalFormatting>
  <conditionalFormatting sqref="S305:S309">
    <cfRule type="expression" dxfId="7390" priority="6627" stopIfTrue="1">
      <formula>$B305&lt;&gt;""</formula>
    </cfRule>
  </conditionalFormatting>
  <conditionalFormatting sqref="S305:S309">
    <cfRule type="expression" dxfId="7389" priority="6626" stopIfTrue="1">
      <formula>$C305&lt;&gt;""</formula>
    </cfRule>
  </conditionalFormatting>
  <conditionalFormatting sqref="S305:S309">
    <cfRule type="expression" dxfId="7388" priority="6625" stopIfTrue="1">
      <formula>$B305&lt;&gt;""</formula>
    </cfRule>
  </conditionalFormatting>
  <conditionalFormatting sqref="S305:S309">
    <cfRule type="expression" dxfId="7387" priority="6624" stopIfTrue="1">
      <formula>$C305&lt;&gt;""</formula>
    </cfRule>
  </conditionalFormatting>
  <conditionalFormatting sqref="S305:S309">
    <cfRule type="expression" dxfId="7386" priority="6623" stopIfTrue="1">
      <formula>$B305&lt;&gt;""</formula>
    </cfRule>
  </conditionalFormatting>
  <conditionalFormatting sqref="S305:S309">
    <cfRule type="expression" dxfId="7385" priority="6622" stopIfTrue="1">
      <formula>$C305&lt;&gt;""</formula>
    </cfRule>
  </conditionalFormatting>
  <conditionalFormatting sqref="S305:S309">
    <cfRule type="expression" dxfId="7384" priority="6621" stopIfTrue="1">
      <formula>$B305&lt;&gt;""</formula>
    </cfRule>
  </conditionalFormatting>
  <conditionalFormatting sqref="S305:S309">
    <cfRule type="expression" dxfId="7383" priority="6620" stopIfTrue="1">
      <formula>$C305&lt;&gt;""</formula>
    </cfRule>
  </conditionalFormatting>
  <conditionalFormatting sqref="S305:S309">
    <cfRule type="expression" dxfId="7382" priority="6619" stopIfTrue="1">
      <formula>$B305&lt;&gt;""</formula>
    </cfRule>
  </conditionalFormatting>
  <conditionalFormatting sqref="S305:S309">
    <cfRule type="expression" dxfId="7381" priority="6618" stopIfTrue="1">
      <formula>$C305&lt;&gt;""</formula>
    </cfRule>
  </conditionalFormatting>
  <conditionalFormatting sqref="S305:S308">
    <cfRule type="expression" dxfId="7380" priority="6617" stopIfTrue="1">
      <formula>$B305&lt;&gt;""</formula>
    </cfRule>
  </conditionalFormatting>
  <conditionalFormatting sqref="S305:S308">
    <cfRule type="expression" dxfId="7379" priority="6616" stopIfTrue="1">
      <formula>$C305&lt;&gt;""</formula>
    </cfRule>
  </conditionalFormatting>
  <conditionalFormatting sqref="S309">
    <cfRule type="expression" dxfId="7378" priority="6615" stopIfTrue="1">
      <formula>$B309&lt;&gt;""</formula>
    </cfRule>
  </conditionalFormatting>
  <conditionalFormatting sqref="S309">
    <cfRule type="expression" dxfId="7377" priority="6614" stopIfTrue="1">
      <formula>$C309&lt;&gt;""</formula>
    </cfRule>
  </conditionalFormatting>
  <conditionalFormatting sqref="S305:S307">
    <cfRule type="expression" dxfId="7376" priority="6613" stopIfTrue="1">
      <formula>$B305&lt;&gt;""</formula>
    </cfRule>
  </conditionalFormatting>
  <conditionalFormatting sqref="S305:S307">
    <cfRule type="expression" dxfId="7375" priority="6612" stopIfTrue="1">
      <formula>$C305&lt;&gt;""</formula>
    </cfRule>
  </conditionalFormatting>
  <conditionalFormatting sqref="S308:S309">
    <cfRule type="expression" dxfId="7374" priority="6611" stopIfTrue="1">
      <formula>$B308&lt;&gt;""</formula>
    </cfRule>
  </conditionalFormatting>
  <conditionalFormatting sqref="S308:S309">
    <cfRule type="expression" dxfId="7373" priority="6610" stopIfTrue="1">
      <formula>$C308&lt;&gt;""</formula>
    </cfRule>
  </conditionalFormatting>
  <conditionalFormatting sqref="S305:S308">
    <cfRule type="expression" dxfId="7372" priority="6609" stopIfTrue="1">
      <formula>$B305&lt;&gt;""</formula>
    </cfRule>
  </conditionalFormatting>
  <conditionalFormatting sqref="S305:S308">
    <cfRule type="expression" dxfId="7371" priority="6608" stopIfTrue="1">
      <formula>$C305&lt;&gt;""</formula>
    </cfRule>
  </conditionalFormatting>
  <conditionalFormatting sqref="S305:S308">
    <cfRule type="expression" dxfId="7370" priority="6607" stopIfTrue="1">
      <formula>$B305&lt;&gt;""</formula>
    </cfRule>
  </conditionalFormatting>
  <conditionalFormatting sqref="S305:S308">
    <cfRule type="expression" dxfId="7369" priority="6606" stopIfTrue="1">
      <formula>$C305&lt;&gt;""</formula>
    </cfRule>
  </conditionalFormatting>
  <conditionalFormatting sqref="S309">
    <cfRule type="expression" dxfId="7368" priority="6605" stopIfTrue="1">
      <formula>$B309&lt;&gt;""</formula>
    </cfRule>
  </conditionalFormatting>
  <conditionalFormatting sqref="S309">
    <cfRule type="expression" dxfId="7367" priority="6604" stopIfTrue="1">
      <formula>$C309&lt;&gt;""</formula>
    </cfRule>
  </conditionalFormatting>
  <conditionalFormatting sqref="S305:S308">
    <cfRule type="expression" dxfId="7366" priority="6603" stopIfTrue="1">
      <formula>$B305&lt;&gt;""</formula>
    </cfRule>
  </conditionalFormatting>
  <conditionalFormatting sqref="S305:S308">
    <cfRule type="expression" dxfId="7365" priority="6602" stopIfTrue="1">
      <formula>$C305&lt;&gt;""</formula>
    </cfRule>
  </conditionalFormatting>
  <conditionalFormatting sqref="S309">
    <cfRule type="expression" dxfId="7364" priority="6601" stopIfTrue="1">
      <formula>$B309&lt;&gt;""</formula>
    </cfRule>
  </conditionalFormatting>
  <conditionalFormatting sqref="S309">
    <cfRule type="expression" dxfId="7363" priority="6600" stopIfTrue="1">
      <formula>$C309&lt;&gt;""</formula>
    </cfRule>
  </conditionalFormatting>
  <conditionalFormatting sqref="S309">
    <cfRule type="expression" dxfId="7362" priority="6599" stopIfTrue="1">
      <formula>$B309&lt;&gt;""</formula>
    </cfRule>
  </conditionalFormatting>
  <conditionalFormatting sqref="S309">
    <cfRule type="expression" dxfId="7361" priority="6598" stopIfTrue="1">
      <formula>$C309&lt;&gt;""</formula>
    </cfRule>
  </conditionalFormatting>
  <conditionalFormatting sqref="S305">
    <cfRule type="expression" dxfId="7360" priority="6597" stopIfTrue="1">
      <formula>$C305&lt;&gt;""</formula>
    </cfRule>
  </conditionalFormatting>
  <conditionalFormatting sqref="S305">
    <cfRule type="expression" dxfId="7359" priority="6596" stopIfTrue="1">
      <formula>$B305&lt;&gt;""</formula>
    </cfRule>
  </conditionalFormatting>
  <conditionalFormatting sqref="S306:S309">
    <cfRule type="expression" dxfId="7358" priority="6595" stopIfTrue="1">
      <formula>$C306&lt;&gt;""</formula>
    </cfRule>
  </conditionalFormatting>
  <conditionalFormatting sqref="S306:S309">
    <cfRule type="expression" dxfId="7357" priority="6594" stopIfTrue="1">
      <formula>$B306&lt;&gt;""</formula>
    </cfRule>
  </conditionalFormatting>
  <conditionalFormatting sqref="S308:S309">
    <cfRule type="expression" dxfId="7356" priority="6593" stopIfTrue="1">
      <formula>$C308&lt;&gt;""</formula>
    </cfRule>
  </conditionalFormatting>
  <conditionalFormatting sqref="S308:S309">
    <cfRule type="expression" dxfId="7355" priority="6592" stopIfTrue="1">
      <formula>$B308&lt;&gt;""</formula>
    </cfRule>
  </conditionalFormatting>
  <conditionalFormatting sqref="S305:S308">
    <cfRule type="expression" dxfId="7354" priority="6591" stopIfTrue="1">
      <formula>$B305&lt;&gt;""</formula>
    </cfRule>
  </conditionalFormatting>
  <conditionalFormatting sqref="S305:S308">
    <cfRule type="expression" dxfId="7353" priority="6590" stopIfTrue="1">
      <formula>$C305&lt;&gt;""</formula>
    </cfRule>
  </conditionalFormatting>
  <conditionalFormatting sqref="S309">
    <cfRule type="expression" dxfId="7352" priority="6589" stopIfTrue="1">
      <formula>$B309&lt;&gt;""</formula>
    </cfRule>
  </conditionalFormatting>
  <conditionalFormatting sqref="S309">
    <cfRule type="expression" dxfId="7351" priority="6588" stopIfTrue="1">
      <formula>$C309&lt;&gt;""</formula>
    </cfRule>
  </conditionalFormatting>
  <conditionalFormatting sqref="S305:S307">
    <cfRule type="expression" dxfId="7350" priority="6587" stopIfTrue="1">
      <formula>$B305&lt;&gt;""</formula>
    </cfRule>
  </conditionalFormatting>
  <conditionalFormatting sqref="S305:S307">
    <cfRule type="expression" dxfId="7349" priority="6586" stopIfTrue="1">
      <formula>$C305&lt;&gt;""</formula>
    </cfRule>
  </conditionalFormatting>
  <conditionalFormatting sqref="S308:S309">
    <cfRule type="expression" dxfId="7348" priority="6585" stopIfTrue="1">
      <formula>$B308&lt;&gt;""</formula>
    </cfRule>
  </conditionalFormatting>
  <conditionalFormatting sqref="S308:S309">
    <cfRule type="expression" dxfId="7347" priority="6584" stopIfTrue="1">
      <formula>$C308&lt;&gt;""</formula>
    </cfRule>
  </conditionalFormatting>
  <conditionalFormatting sqref="S305:S308">
    <cfRule type="expression" dxfId="7346" priority="6583" stopIfTrue="1">
      <formula>$B305&lt;&gt;""</formula>
    </cfRule>
  </conditionalFormatting>
  <conditionalFormatting sqref="S305:S308">
    <cfRule type="expression" dxfId="7345" priority="6582" stopIfTrue="1">
      <formula>$C305&lt;&gt;""</formula>
    </cfRule>
  </conditionalFormatting>
  <conditionalFormatting sqref="S305:S308">
    <cfRule type="expression" dxfId="7344" priority="6581" stopIfTrue="1">
      <formula>$B305&lt;&gt;""</formula>
    </cfRule>
  </conditionalFormatting>
  <conditionalFormatting sqref="S305:S308">
    <cfRule type="expression" dxfId="7343" priority="6580" stopIfTrue="1">
      <formula>$C305&lt;&gt;""</formula>
    </cfRule>
  </conditionalFormatting>
  <conditionalFormatting sqref="S309">
    <cfRule type="expression" dxfId="7342" priority="6579" stopIfTrue="1">
      <formula>$B309&lt;&gt;""</formula>
    </cfRule>
  </conditionalFormatting>
  <conditionalFormatting sqref="S309">
    <cfRule type="expression" dxfId="7341" priority="6578" stopIfTrue="1">
      <formula>$C309&lt;&gt;""</formula>
    </cfRule>
  </conditionalFormatting>
  <conditionalFormatting sqref="S305:S308">
    <cfRule type="expression" dxfId="7340" priority="6577" stopIfTrue="1">
      <formula>$B305&lt;&gt;""</formula>
    </cfRule>
  </conditionalFormatting>
  <conditionalFormatting sqref="S305:S308">
    <cfRule type="expression" dxfId="7339" priority="6576" stopIfTrue="1">
      <formula>$C305&lt;&gt;""</formula>
    </cfRule>
  </conditionalFormatting>
  <conditionalFormatting sqref="S309">
    <cfRule type="expression" dxfId="7338" priority="6575" stopIfTrue="1">
      <formula>$B309&lt;&gt;""</formula>
    </cfRule>
  </conditionalFormatting>
  <conditionalFormatting sqref="S309">
    <cfRule type="expression" dxfId="7337" priority="6574" stopIfTrue="1">
      <formula>$C309&lt;&gt;""</formula>
    </cfRule>
  </conditionalFormatting>
  <conditionalFormatting sqref="S309">
    <cfRule type="expression" dxfId="7336" priority="6573" stopIfTrue="1">
      <formula>$B309&lt;&gt;""</formula>
    </cfRule>
  </conditionalFormatting>
  <conditionalFormatting sqref="S309">
    <cfRule type="expression" dxfId="7335" priority="6572" stopIfTrue="1">
      <formula>$C309&lt;&gt;""</formula>
    </cfRule>
  </conditionalFormatting>
  <conditionalFormatting sqref="S305">
    <cfRule type="expression" dxfId="7334" priority="6571" stopIfTrue="1">
      <formula>$C305&lt;&gt;""</formula>
    </cfRule>
  </conditionalFormatting>
  <conditionalFormatting sqref="S305">
    <cfRule type="expression" dxfId="7333" priority="6570" stopIfTrue="1">
      <formula>$B305&lt;&gt;""</formula>
    </cfRule>
  </conditionalFormatting>
  <conditionalFormatting sqref="S306:S309">
    <cfRule type="expression" dxfId="7332" priority="6569" stopIfTrue="1">
      <formula>$C306&lt;&gt;""</formula>
    </cfRule>
  </conditionalFormatting>
  <conditionalFormatting sqref="S306:S309">
    <cfRule type="expression" dxfId="7331" priority="6568" stopIfTrue="1">
      <formula>$B306&lt;&gt;""</formula>
    </cfRule>
  </conditionalFormatting>
  <conditionalFormatting sqref="S308:S309">
    <cfRule type="expression" dxfId="7330" priority="6567" stopIfTrue="1">
      <formula>$C308&lt;&gt;""</formula>
    </cfRule>
  </conditionalFormatting>
  <conditionalFormatting sqref="S308:S309">
    <cfRule type="expression" dxfId="7329" priority="6566" stopIfTrue="1">
      <formula>$B308&lt;&gt;""</formula>
    </cfRule>
  </conditionalFormatting>
  <conditionalFormatting sqref="S305">
    <cfRule type="expression" dxfId="7328" priority="6565" stopIfTrue="1">
      <formula>$B305&lt;&gt;""</formula>
    </cfRule>
  </conditionalFormatting>
  <conditionalFormatting sqref="S305">
    <cfRule type="expression" dxfId="7327" priority="6564" stopIfTrue="1">
      <formula>$C305&lt;&gt;""</formula>
    </cfRule>
  </conditionalFormatting>
  <conditionalFormatting sqref="S305">
    <cfRule type="expression" dxfId="7326" priority="6563" stopIfTrue="1">
      <formula>$B305&lt;&gt;""</formula>
    </cfRule>
  </conditionalFormatting>
  <conditionalFormatting sqref="S305">
    <cfRule type="expression" dxfId="7325" priority="6562" stopIfTrue="1">
      <formula>$C305&lt;&gt;""</formula>
    </cfRule>
  </conditionalFormatting>
  <conditionalFormatting sqref="S305">
    <cfRule type="expression" dxfId="7324" priority="6561" stopIfTrue="1">
      <formula>$B305&lt;&gt;""</formula>
    </cfRule>
  </conditionalFormatting>
  <conditionalFormatting sqref="S305">
    <cfRule type="expression" dxfId="7323" priority="6560" stopIfTrue="1">
      <formula>$C305&lt;&gt;""</formula>
    </cfRule>
  </conditionalFormatting>
  <conditionalFormatting sqref="S305">
    <cfRule type="expression" dxfId="7322" priority="6559" stopIfTrue="1">
      <formula>$B305&lt;&gt;""</formula>
    </cfRule>
  </conditionalFormatting>
  <conditionalFormatting sqref="S305">
    <cfRule type="expression" dxfId="7321" priority="6558" stopIfTrue="1">
      <formula>$C305&lt;&gt;""</formula>
    </cfRule>
  </conditionalFormatting>
  <conditionalFormatting sqref="S305">
    <cfRule type="expression" dxfId="7320" priority="6557" stopIfTrue="1">
      <formula>$B305&lt;&gt;""</formula>
    </cfRule>
  </conditionalFormatting>
  <conditionalFormatting sqref="S305">
    <cfRule type="expression" dxfId="7319" priority="6556" stopIfTrue="1">
      <formula>$C305&lt;&gt;""</formula>
    </cfRule>
  </conditionalFormatting>
  <conditionalFormatting sqref="S305">
    <cfRule type="expression" dxfId="7318" priority="6555" stopIfTrue="1">
      <formula>$B305&lt;&gt;""</formula>
    </cfRule>
  </conditionalFormatting>
  <conditionalFormatting sqref="S305">
    <cfRule type="expression" dxfId="7317" priority="6554" stopIfTrue="1">
      <formula>$C305&lt;&gt;""</formula>
    </cfRule>
  </conditionalFormatting>
  <conditionalFormatting sqref="S305">
    <cfRule type="expression" dxfId="7316" priority="6553" stopIfTrue="1">
      <formula>$B305&lt;&gt;""</formula>
    </cfRule>
  </conditionalFormatting>
  <conditionalFormatting sqref="S305">
    <cfRule type="expression" dxfId="7315" priority="6552" stopIfTrue="1">
      <formula>$C305&lt;&gt;""</formula>
    </cfRule>
  </conditionalFormatting>
  <conditionalFormatting sqref="S305">
    <cfRule type="expression" dxfId="7314" priority="6551" stopIfTrue="1">
      <formula>$B305&lt;&gt;""</formula>
    </cfRule>
  </conditionalFormatting>
  <conditionalFormatting sqref="S305">
    <cfRule type="expression" dxfId="7313" priority="6550" stopIfTrue="1">
      <formula>$C305&lt;&gt;""</formula>
    </cfRule>
  </conditionalFormatting>
  <conditionalFormatting sqref="S305">
    <cfRule type="expression" dxfId="7312" priority="6549" stopIfTrue="1">
      <formula>$B305&lt;&gt;""</formula>
    </cfRule>
  </conditionalFormatting>
  <conditionalFormatting sqref="S305">
    <cfRule type="expression" dxfId="7311" priority="6548" stopIfTrue="1">
      <formula>$C305&lt;&gt;""</formula>
    </cfRule>
  </conditionalFormatting>
  <conditionalFormatting sqref="S305">
    <cfRule type="expression" dxfId="7310" priority="6547" stopIfTrue="1">
      <formula>$B305&lt;&gt;""</formula>
    </cfRule>
  </conditionalFormatting>
  <conditionalFormatting sqref="S305">
    <cfRule type="expression" dxfId="7309" priority="6546" stopIfTrue="1">
      <formula>$C305&lt;&gt;""</formula>
    </cfRule>
  </conditionalFormatting>
  <conditionalFormatting sqref="S305">
    <cfRule type="expression" dxfId="7308" priority="6545" stopIfTrue="1">
      <formula>$B305&lt;&gt;""</formula>
    </cfRule>
  </conditionalFormatting>
  <conditionalFormatting sqref="S305">
    <cfRule type="expression" dxfId="7307" priority="6544" stopIfTrue="1">
      <formula>$C305&lt;&gt;""</formula>
    </cfRule>
  </conditionalFormatting>
  <conditionalFormatting sqref="S305">
    <cfRule type="expression" dxfId="7306" priority="6543" stopIfTrue="1">
      <formula>$B305&lt;&gt;""</formula>
    </cfRule>
  </conditionalFormatting>
  <conditionalFormatting sqref="S305">
    <cfRule type="expression" dxfId="7305" priority="6542" stopIfTrue="1">
      <formula>$C305&lt;&gt;""</formula>
    </cfRule>
  </conditionalFormatting>
  <conditionalFormatting sqref="S305">
    <cfRule type="expression" dxfId="7304" priority="6541" stopIfTrue="1">
      <formula>$B305&lt;&gt;""</formula>
    </cfRule>
  </conditionalFormatting>
  <conditionalFormatting sqref="S305">
    <cfRule type="expression" dxfId="7303" priority="6540" stopIfTrue="1">
      <formula>$C305&lt;&gt;""</formula>
    </cfRule>
  </conditionalFormatting>
  <conditionalFormatting sqref="S305">
    <cfRule type="expression" dxfId="7302" priority="6539" stopIfTrue="1">
      <formula>$B305&lt;&gt;""</formula>
    </cfRule>
  </conditionalFormatting>
  <conditionalFormatting sqref="S305">
    <cfRule type="expression" dxfId="7301" priority="6538" stopIfTrue="1">
      <formula>$C305&lt;&gt;""</formula>
    </cfRule>
  </conditionalFormatting>
  <conditionalFormatting sqref="S305">
    <cfRule type="expression" dxfId="7300" priority="6537" stopIfTrue="1">
      <formula>$C305&lt;&gt;""</formula>
    </cfRule>
  </conditionalFormatting>
  <conditionalFormatting sqref="S305">
    <cfRule type="expression" dxfId="7299" priority="6536" stopIfTrue="1">
      <formula>$B305&lt;&gt;""</formula>
    </cfRule>
  </conditionalFormatting>
  <conditionalFormatting sqref="S305">
    <cfRule type="expression" dxfId="7298" priority="6535" stopIfTrue="1">
      <formula>$C305&lt;&gt;""</formula>
    </cfRule>
  </conditionalFormatting>
  <conditionalFormatting sqref="S305">
    <cfRule type="expression" dxfId="7297" priority="6534" stopIfTrue="1">
      <formula>$B305&lt;&gt;""</formula>
    </cfRule>
  </conditionalFormatting>
  <conditionalFormatting sqref="S305">
    <cfRule type="expression" dxfId="7296" priority="6533" stopIfTrue="1">
      <formula>$B305&lt;&gt;""</formula>
    </cfRule>
  </conditionalFormatting>
  <conditionalFormatting sqref="S305">
    <cfRule type="expression" dxfId="7295" priority="6532" stopIfTrue="1">
      <formula>$C305&lt;&gt;""</formula>
    </cfRule>
  </conditionalFormatting>
  <conditionalFormatting sqref="S305">
    <cfRule type="expression" dxfId="7294" priority="6531" stopIfTrue="1">
      <formula>$B305&lt;&gt;""</formula>
    </cfRule>
  </conditionalFormatting>
  <conditionalFormatting sqref="S305">
    <cfRule type="expression" dxfId="7293" priority="6530" stopIfTrue="1">
      <formula>$C305&lt;&gt;""</formula>
    </cfRule>
  </conditionalFormatting>
  <conditionalFormatting sqref="S305">
    <cfRule type="expression" dxfId="7292" priority="6529" stopIfTrue="1">
      <formula>$B305&lt;&gt;""</formula>
    </cfRule>
  </conditionalFormatting>
  <conditionalFormatting sqref="S305">
    <cfRule type="expression" dxfId="7291" priority="6528" stopIfTrue="1">
      <formula>$C305&lt;&gt;""</formula>
    </cfRule>
  </conditionalFormatting>
  <conditionalFormatting sqref="S305">
    <cfRule type="expression" dxfId="7290" priority="6527" stopIfTrue="1">
      <formula>$B305&lt;&gt;""</formula>
    </cfRule>
  </conditionalFormatting>
  <conditionalFormatting sqref="S305">
    <cfRule type="expression" dxfId="7289" priority="6526" stopIfTrue="1">
      <formula>$C305&lt;&gt;""</formula>
    </cfRule>
  </conditionalFormatting>
  <conditionalFormatting sqref="S305">
    <cfRule type="expression" dxfId="7288" priority="6525" stopIfTrue="1">
      <formula>$B305&lt;&gt;""</formula>
    </cfRule>
  </conditionalFormatting>
  <conditionalFormatting sqref="S305">
    <cfRule type="expression" dxfId="7287" priority="6524" stopIfTrue="1">
      <formula>$C305&lt;&gt;""</formula>
    </cfRule>
  </conditionalFormatting>
  <conditionalFormatting sqref="S305">
    <cfRule type="expression" dxfId="7286" priority="6523" stopIfTrue="1">
      <formula>$C305&lt;&gt;""</formula>
    </cfRule>
  </conditionalFormatting>
  <conditionalFormatting sqref="S305">
    <cfRule type="expression" dxfId="7285" priority="6522" stopIfTrue="1">
      <formula>$B305&lt;&gt;""</formula>
    </cfRule>
  </conditionalFormatting>
  <conditionalFormatting sqref="S305">
    <cfRule type="expression" dxfId="7284" priority="6521" stopIfTrue="1">
      <formula>$C305&lt;&gt;""</formula>
    </cfRule>
  </conditionalFormatting>
  <conditionalFormatting sqref="S305">
    <cfRule type="expression" dxfId="7283" priority="6520" stopIfTrue="1">
      <formula>$B305&lt;&gt;""</formula>
    </cfRule>
  </conditionalFormatting>
  <conditionalFormatting sqref="S305">
    <cfRule type="expression" dxfId="7282" priority="6519" stopIfTrue="1">
      <formula>$B305&lt;&gt;""</formula>
    </cfRule>
  </conditionalFormatting>
  <conditionalFormatting sqref="S305">
    <cfRule type="expression" dxfId="7281" priority="6518" stopIfTrue="1">
      <formula>$C305&lt;&gt;""</formula>
    </cfRule>
  </conditionalFormatting>
  <conditionalFormatting sqref="S306">
    <cfRule type="expression" dxfId="7280" priority="6517" stopIfTrue="1">
      <formula>$B306&lt;&gt;""</formula>
    </cfRule>
  </conditionalFormatting>
  <conditionalFormatting sqref="S306">
    <cfRule type="expression" dxfId="7279" priority="6516" stopIfTrue="1">
      <formula>$C306&lt;&gt;""</formula>
    </cfRule>
  </conditionalFormatting>
  <conditionalFormatting sqref="S305">
    <cfRule type="expression" dxfId="7278" priority="6515" stopIfTrue="1">
      <formula>$B305&lt;&gt;""</formula>
    </cfRule>
  </conditionalFormatting>
  <conditionalFormatting sqref="S305">
    <cfRule type="expression" dxfId="7277" priority="6514" stopIfTrue="1">
      <formula>$C305&lt;&gt;""</formula>
    </cfRule>
  </conditionalFormatting>
  <conditionalFormatting sqref="S306:S309">
    <cfRule type="expression" dxfId="7276" priority="6513" stopIfTrue="1">
      <formula>$B306&lt;&gt;""</formula>
    </cfRule>
  </conditionalFormatting>
  <conditionalFormatting sqref="S306:S309">
    <cfRule type="expression" dxfId="7275" priority="6512" stopIfTrue="1">
      <formula>$C306&lt;&gt;""</formula>
    </cfRule>
  </conditionalFormatting>
  <conditionalFormatting sqref="S305">
    <cfRule type="expression" dxfId="7274" priority="6511" stopIfTrue="1">
      <formula>$B305&lt;&gt;""</formula>
    </cfRule>
  </conditionalFormatting>
  <conditionalFormatting sqref="S305">
    <cfRule type="expression" dxfId="7273" priority="6510" stopIfTrue="1">
      <formula>$C305&lt;&gt;""</formula>
    </cfRule>
  </conditionalFormatting>
  <conditionalFormatting sqref="S306:S309">
    <cfRule type="expression" dxfId="7272" priority="6509" stopIfTrue="1">
      <formula>$B306&lt;&gt;""</formula>
    </cfRule>
  </conditionalFormatting>
  <conditionalFormatting sqref="S306:S309">
    <cfRule type="expression" dxfId="7271" priority="6508" stopIfTrue="1">
      <formula>$C306&lt;&gt;""</formula>
    </cfRule>
  </conditionalFormatting>
  <conditionalFormatting sqref="S305:S309">
    <cfRule type="expression" dxfId="7270" priority="6507" stopIfTrue="1">
      <formula>$B305&lt;&gt;""</formula>
    </cfRule>
  </conditionalFormatting>
  <conditionalFormatting sqref="S305:S309">
    <cfRule type="expression" dxfId="7269" priority="6506" stopIfTrue="1">
      <formula>$C305&lt;&gt;""</formula>
    </cfRule>
  </conditionalFormatting>
  <conditionalFormatting sqref="S305:S309">
    <cfRule type="expression" dxfId="7268" priority="6505" stopIfTrue="1">
      <formula>$B305&lt;&gt;""</formula>
    </cfRule>
  </conditionalFormatting>
  <conditionalFormatting sqref="S305:S309">
    <cfRule type="expression" dxfId="7267" priority="6504" stopIfTrue="1">
      <formula>$C305&lt;&gt;""</formula>
    </cfRule>
  </conditionalFormatting>
  <conditionalFormatting sqref="S305:S309">
    <cfRule type="expression" dxfId="7266" priority="6503" stopIfTrue="1">
      <formula>$B305&lt;&gt;""</formula>
    </cfRule>
  </conditionalFormatting>
  <conditionalFormatting sqref="S305:S309">
    <cfRule type="expression" dxfId="7265" priority="6502" stopIfTrue="1">
      <formula>$C305&lt;&gt;""</formula>
    </cfRule>
  </conditionalFormatting>
  <conditionalFormatting sqref="S305:S309">
    <cfRule type="expression" dxfId="7264" priority="6501" stopIfTrue="1">
      <formula>$B305&lt;&gt;""</formula>
    </cfRule>
  </conditionalFormatting>
  <conditionalFormatting sqref="S305:S309">
    <cfRule type="expression" dxfId="7263" priority="6500" stopIfTrue="1">
      <formula>$C305&lt;&gt;""</formula>
    </cfRule>
  </conditionalFormatting>
  <conditionalFormatting sqref="S305:S309">
    <cfRule type="expression" dxfId="7262" priority="6499" stopIfTrue="1">
      <formula>$B305&lt;&gt;""</formula>
    </cfRule>
  </conditionalFormatting>
  <conditionalFormatting sqref="S305:S309">
    <cfRule type="expression" dxfId="7261" priority="6498" stopIfTrue="1">
      <formula>$C305&lt;&gt;""</formula>
    </cfRule>
  </conditionalFormatting>
  <conditionalFormatting sqref="S305:S309">
    <cfRule type="expression" dxfId="7260" priority="6497" stopIfTrue="1">
      <formula>$B305&lt;&gt;""</formula>
    </cfRule>
  </conditionalFormatting>
  <conditionalFormatting sqref="S305:S309">
    <cfRule type="expression" dxfId="7259" priority="6496" stopIfTrue="1">
      <formula>$C305&lt;&gt;""</formula>
    </cfRule>
  </conditionalFormatting>
  <conditionalFormatting sqref="S305:S309">
    <cfRule type="expression" dxfId="7258" priority="6495" stopIfTrue="1">
      <formula>$B305&lt;&gt;""</formula>
    </cfRule>
  </conditionalFormatting>
  <conditionalFormatting sqref="S305:S309">
    <cfRule type="expression" dxfId="7257" priority="6494" stopIfTrue="1">
      <formula>$C305&lt;&gt;""</formula>
    </cfRule>
  </conditionalFormatting>
  <conditionalFormatting sqref="S305:S308">
    <cfRule type="expression" dxfId="7256" priority="6493" stopIfTrue="1">
      <formula>$B305&lt;&gt;""</formula>
    </cfRule>
  </conditionalFormatting>
  <conditionalFormatting sqref="S305:S308">
    <cfRule type="expression" dxfId="7255" priority="6492" stopIfTrue="1">
      <formula>$C305&lt;&gt;""</formula>
    </cfRule>
  </conditionalFormatting>
  <conditionalFormatting sqref="S309">
    <cfRule type="expression" dxfId="7254" priority="6491" stopIfTrue="1">
      <formula>$B309&lt;&gt;""</formula>
    </cfRule>
  </conditionalFormatting>
  <conditionalFormatting sqref="S309">
    <cfRule type="expression" dxfId="7253" priority="6490" stopIfTrue="1">
      <formula>$C309&lt;&gt;""</formula>
    </cfRule>
  </conditionalFormatting>
  <conditionalFormatting sqref="S305:S307">
    <cfRule type="expression" dxfId="7252" priority="6489" stopIfTrue="1">
      <formula>$B305&lt;&gt;""</formula>
    </cfRule>
  </conditionalFormatting>
  <conditionalFormatting sqref="S305:S307">
    <cfRule type="expression" dxfId="7251" priority="6488" stopIfTrue="1">
      <formula>$C305&lt;&gt;""</formula>
    </cfRule>
  </conditionalFormatting>
  <conditionalFormatting sqref="S308:S309">
    <cfRule type="expression" dxfId="7250" priority="6487" stopIfTrue="1">
      <formula>$B308&lt;&gt;""</formula>
    </cfRule>
  </conditionalFormatting>
  <conditionalFormatting sqref="S308:S309">
    <cfRule type="expression" dxfId="7249" priority="6486" stopIfTrue="1">
      <formula>$C308&lt;&gt;""</formula>
    </cfRule>
  </conditionalFormatting>
  <conditionalFormatting sqref="S305:S308">
    <cfRule type="expression" dxfId="7248" priority="6485" stopIfTrue="1">
      <formula>$B305&lt;&gt;""</formula>
    </cfRule>
  </conditionalFormatting>
  <conditionalFormatting sqref="S305:S308">
    <cfRule type="expression" dxfId="7247" priority="6484" stopIfTrue="1">
      <formula>$C305&lt;&gt;""</formula>
    </cfRule>
  </conditionalFormatting>
  <conditionalFormatting sqref="S305:S308">
    <cfRule type="expression" dxfId="7246" priority="6483" stopIfTrue="1">
      <formula>$B305&lt;&gt;""</formula>
    </cfRule>
  </conditionalFormatting>
  <conditionalFormatting sqref="S305:S308">
    <cfRule type="expression" dxfId="7245" priority="6482" stopIfTrue="1">
      <formula>$C305&lt;&gt;""</formula>
    </cfRule>
  </conditionalFormatting>
  <conditionalFormatting sqref="S309">
    <cfRule type="expression" dxfId="7244" priority="6481" stopIfTrue="1">
      <formula>$B309&lt;&gt;""</formula>
    </cfRule>
  </conditionalFormatting>
  <conditionalFormatting sqref="S309">
    <cfRule type="expression" dxfId="7243" priority="6480" stopIfTrue="1">
      <formula>$C309&lt;&gt;""</formula>
    </cfRule>
  </conditionalFormatting>
  <conditionalFormatting sqref="S305:S308">
    <cfRule type="expression" dxfId="7242" priority="6479" stopIfTrue="1">
      <formula>$B305&lt;&gt;""</formula>
    </cfRule>
  </conditionalFormatting>
  <conditionalFormatting sqref="S305:S308">
    <cfRule type="expression" dxfId="7241" priority="6478" stopIfTrue="1">
      <formula>$C305&lt;&gt;""</formula>
    </cfRule>
  </conditionalFormatting>
  <conditionalFormatting sqref="S309">
    <cfRule type="expression" dxfId="7240" priority="6477" stopIfTrue="1">
      <formula>$B309&lt;&gt;""</formula>
    </cfRule>
  </conditionalFormatting>
  <conditionalFormatting sqref="S309">
    <cfRule type="expression" dxfId="7239" priority="6476" stopIfTrue="1">
      <formula>$C309&lt;&gt;""</formula>
    </cfRule>
  </conditionalFormatting>
  <conditionalFormatting sqref="S309">
    <cfRule type="expression" dxfId="7238" priority="6475" stopIfTrue="1">
      <formula>$B309&lt;&gt;""</formula>
    </cfRule>
  </conditionalFormatting>
  <conditionalFormatting sqref="S309">
    <cfRule type="expression" dxfId="7237" priority="6474" stopIfTrue="1">
      <formula>$C309&lt;&gt;""</formula>
    </cfRule>
  </conditionalFormatting>
  <conditionalFormatting sqref="S305">
    <cfRule type="expression" dxfId="7236" priority="6473" stopIfTrue="1">
      <formula>$C305&lt;&gt;""</formula>
    </cfRule>
  </conditionalFormatting>
  <conditionalFormatting sqref="S305">
    <cfRule type="expression" dxfId="7235" priority="6472" stopIfTrue="1">
      <formula>$B305&lt;&gt;""</formula>
    </cfRule>
  </conditionalFormatting>
  <conditionalFormatting sqref="S306:S309">
    <cfRule type="expression" dxfId="7234" priority="6471" stopIfTrue="1">
      <formula>$C306&lt;&gt;""</formula>
    </cfRule>
  </conditionalFormatting>
  <conditionalFormatting sqref="S306:S309">
    <cfRule type="expression" dxfId="7233" priority="6470" stopIfTrue="1">
      <formula>$B306&lt;&gt;""</formula>
    </cfRule>
  </conditionalFormatting>
  <conditionalFormatting sqref="S308:S309">
    <cfRule type="expression" dxfId="7232" priority="6469" stopIfTrue="1">
      <formula>$C308&lt;&gt;""</formula>
    </cfRule>
  </conditionalFormatting>
  <conditionalFormatting sqref="S308:S309">
    <cfRule type="expression" dxfId="7231" priority="6468" stopIfTrue="1">
      <formula>$B308&lt;&gt;""</formula>
    </cfRule>
  </conditionalFormatting>
  <conditionalFormatting sqref="S305:S308">
    <cfRule type="expression" dxfId="7230" priority="6467" stopIfTrue="1">
      <formula>$B305&lt;&gt;""</formula>
    </cfRule>
  </conditionalFormatting>
  <conditionalFormatting sqref="S305:S308">
    <cfRule type="expression" dxfId="7229" priority="6466" stopIfTrue="1">
      <formula>$C305&lt;&gt;""</formula>
    </cfRule>
  </conditionalFormatting>
  <conditionalFormatting sqref="S309">
    <cfRule type="expression" dxfId="7228" priority="6465" stopIfTrue="1">
      <formula>$B309&lt;&gt;""</formula>
    </cfRule>
  </conditionalFormatting>
  <conditionalFormatting sqref="S309">
    <cfRule type="expression" dxfId="7227" priority="6464" stopIfTrue="1">
      <formula>$C309&lt;&gt;""</formula>
    </cfRule>
  </conditionalFormatting>
  <conditionalFormatting sqref="S305:S307">
    <cfRule type="expression" dxfId="7226" priority="6463" stopIfTrue="1">
      <formula>$B305&lt;&gt;""</formula>
    </cfRule>
  </conditionalFormatting>
  <conditionalFormatting sqref="S305:S307">
    <cfRule type="expression" dxfId="7225" priority="6462" stopIfTrue="1">
      <formula>$C305&lt;&gt;""</formula>
    </cfRule>
  </conditionalFormatting>
  <conditionalFormatting sqref="S308:S309">
    <cfRule type="expression" dxfId="7224" priority="6461" stopIfTrue="1">
      <formula>$B308&lt;&gt;""</formula>
    </cfRule>
  </conditionalFormatting>
  <conditionalFormatting sqref="S308:S309">
    <cfRule type="expression" dxfId="7223" priority="6460" stopIfTrue="1">
      <formula>$C308&lt;&gt;""</formula>
    </cfRule>
  </conditionalFormatting>
  <conditionalFormatting sqref="S305:S308">
    <cfRule type="expression" dxfId="7222" priority="6459" stopIfTrue="1">
      <formula>$B305&lt;&gt;""</formula>
    </cfRule>
  </conditionalFormatting>
  <conditionalFormatting sqref="S305:S308">
    <cfRule type="expression" dxfId="7221" priority="6458" stopIfTrue="1">
      <formula>$C305&lt;&gt;""</formula>
    </cfRule>
  </conditionalFormatting>
  <conditionalFormatting sqref="S305:S308">
    <cfRule type="expression" dxfId="7220" priority="6457" stopIfTrue="1">
      <formula>$B305&lt;&gt;""</formula>
    </cfRule>
  </conditionalFormatting>
  <conditionalFormatting sqref="S305:S308">
    <cfRule type="expression" dxfId="7219" priority="6456" stopIfTrue="1">
      <formula>$C305&lt;&gt;""</formula>
    </cfRule>
  </conditionalFormatting>
  <conditionalFormatting sqref="S309">
    <cfRule type="expression" dxfId="7218" priority="6455" stopIfTrue="1">
      <formula>$B309&lt;&gt;""</formula>
    </cfRule>
  </conditionalFormatting>
  <conditionalFormatting sqref="S309">
    <cfRule type="expression" dxfId="7217" priority="6454" stopIfTrue="1">
      <formula>$C309&lt;&gt;""</formula>
    </cfRule>
  </conditionalFormatting>
  <conditionalFormatting sqref="S305:S308">
    <cfRule type="expression" dxfId="7216" priority="6453" stopIfTrue="1">
      <formula>$B305&lt;&gt;""</formula>
    </cfRule>
  </conditionalFormatting>
  <conditionalFormatting sqref="S305:S308">
    <cfRule type="expression" dxfId="7215" priority="6452" stopIfTrue="1">
      <formula>$C305&lt;&gt;""</formula>
    </cfRule>
  </conditionalFormatting>
  <conditionalFormatting sqref="S309">
    <cfRule type="expression" dxfId="7214" priority="6451" stopIfTrue="1">
      <formula>$B309&lt;&gt;""</formula>
    </cfRule>
  </conditionalFormatting>
  <conditionalFormatting sqref="S309">
    <cfRule type="expression" dxfId="7213" priority="6450" stopIfTrue="1">
      <formula>$C309&lt;&gt;""</formula>
    </cfRule>
  </conditionalFormatting>
  <conditionalFormatting sqref="S309">
    <cfRule type="expression" dxfId="7212" priority="6449" stopIfTrue="1">
      <formula>$B309&lt;&gt;""</formula>
    </cfRule>
  </conditionalFormatting>
  <conditionalFormatting sqref="S309">
    <cfRule type="expression" dxfId="7211" priority="6448" stopIfTrue="1">
      <formula>$C309&lt;&gt;""</formula>
    </cfRule>
  </conditionalFormatting>
  <conditionalFormatting sqref="S305">
    <cfRule type="expression" dxfId="7210" priority="6447" stopIfTrue="1">
      <formula>$C305&lt;&gt;""</formula>
    </cfRule>
  </conditionalFormatting>
  <conditionalFormatting sqref="S305">
    <cfRule type="expression" dxfId="7209" priority="6446" stopIfTrue="1">
      <formula>$B305&lt;&gt;""</formula>
    </cfRule>
  </conditionalFormatting>
  <conditionalFormatting sqref="S306:S309">
    <cfRule type="expression" dxfId="7208" priority="6445" stopIfTrue="1">
      <formula>$C306&lt;&gt;""</formula>
    </cfRule>
  </conditionalFormatting>
  <conditionalFormatting sqref="S306:S309">
    <cfRule type="expression" dxfId="7207" priority="6444" stopIfTrue="1">
      <formula>$B306&lt;&gt;""</formula>
    </cfRule>
  </conditionalFormatting>
  <conditionalFormatting sqref="S308:S309">
    <cfRule type="expression" dxfId="7206" priority="6443" stopIfTrue="1">
      <formula>$C308&lt;&gt;""</formula>
    </cfRule>
  </conditionalFormatting>
  <conditionalFormatting sqref="S308:S309">
    <cfRule type="expression" dxfId="7205" priority="6442" stopIfTrue="1">
      <formula>$B308&lt;&gt;""</formula>
    </cfRule>
  </conditionalFormatting>
  <conditionalFormatting sqref="S305">
    <cfRule type="expression" dxfId="7204" priority="6441" stopIfTrue="1">
      <formula>$B305&lt;&gt;""</formula>
    </cfRule>
  </conditionalFormatting>
  <conditionalFormatting sqref="S305">
    <cfRule type="expression" dxfId="7203" priority="6440" stopIfTrue="1">
      <formula>$C305&lt;&gt;""</formula>
    </cfRule>
  </conditionalFormatting>
  <conditionalFormatting sqref="S306">
    <cfRule type="expression" dxfId="7202" priority="6439" stopIfTrue="1">
      <formula>$B306&lt;&gt;""</formula>
    </cfRule>
  </conditionalFormatting>
  <conditionalFormatting sqref="S306">
    <cfRule type="expression" dxfId="7201" priority="6438" stopIfTrue="1">
      <formula>$C306&lt;&gt;""</formula>
    </cfRule>
  </conditionalFormatting>
  <conditionalFormatting sqref="S305">
    <cfRule type="expression" dxfId="7200" priority="6437" stopIfTrue="1">
      <formula>$B305&lt;&gt;""</formula>
    </cfRule>
  </conditionalFormatting>
  <conditionalFormatting sqref="S305">
    <cfRule type="expression" dxfId="7199" priority="6436" stopIfTrue="1">
      <formula>$C305&lt;&gt;""</formula>
    </cfRule>
  </conditionalFormatting>
  <conditionalFormatting sqref="S306:S309">
    <cfRule type="expression" dxfId="7198" priority="6435" stopIfTrue="1">
      <formula>$B306&lt;&gt;""</formula>
    </cfRule>
  </conditionalFormatting>
  <conditionalFormatting sqref="S306:S309">
    <cfRule type="expression" dxfId="7197" priority="6434" stopIfTrue="1">
      <formula>$C306&lt;&gt;""</formula>
    </cfRule>
  </conditionalFormatting>
  <conditionalFormatting sqref="S305">
    <cfRule type="expression" dxfId="7196" priority="6433" stopIfTrue="1">
      <formula>$B305&lt;&gt;""</formula>
    </cfRule>
  </conditionalFormatting>
  <conditionalFormatting sqref="S305">
    <cfRule type="expression" dxfId="7195" priority="6432" stopIfTrue="1">
      <formula>$C305&lt;&gt;""</formula>
    </cfRule>
  </conditionalFormatting>
  <conditionalFormatting sqref="S306:S309">
    <cfRule type="expression" dxfId="7194" priority="6431" stopIfTrue="1">
      <formula>$B306&lt;&gt;""</formula>
    </cfRule>
  </conditionalFormatting>
  <conditionalFormatting sqref="S306:S309">
    <cfRule type="expression" dxfId="7193" priority="6430" stopIfTrue="1">
      <formula>$C306&lt;&gt;""</formula>
    </cfRule>
  </conditionalFormatting>
  <conditionalFormatting sqref="S305:S309">
    <cfRule type="expression" dxfId="7192" priority="6429" stopIfTrue="1">
      <formula>$B305&lt;&gt;""</formula>
    </cfRule>
  </conditionalFormatting>
  <conditionalFormatting sqref="S305:S309">
    <cfRule type="expression" dxfId="7191" priority="6428" stopIfTrue="1">
      <formula>$C305&lt;&gt;""</formula>
    </cfRule>
  </conditionalFormatting>
  <conditionalFormatting sqref="S305:S309">
    <cfRule type="expression" dxfId="7190" priority="6427" stopIfTrue="1">
      <formula>$B305&lt;&gt;""</formula>
    </cfRule>
  </conditionalFormatting>
  <conditionalFormatting sqref="S305:S309">
    <cfRule type="expression" dxfId="7189" priority="6426" stopIfTrue="1">
      <formula>$C305&lt;&gt;""</formula>
    </cfRule>
  </conditionalFormatting>
  <conditionalFormatting sqref="S305:S309">
    <cfRule type="expression" dxfId="7188" priority="6425" stopIfTrue="1">
      <formula>$B305&lt;&gt;""</formula>
    </cfRule>
  </conditionalFormatting>
  <conditionalFormatting sqref="S305:S309">
    <cfRule type="expression" dxfId="7187" priority="6424" stopIfTrue="1">
      <formula>$C305&lt;&gt;""</formula>
    </cfRule>
  </conditionalFormatting>
  <conditionalFormatting sqref="S305:S309">
    <cfRule type="expression" dxfId="7186" priority="6423" stopIfTrue="1">
      <formula>$B305&lt;&gt;""</formula>
    </cfRule>
  </conditionalFormatting>
  <conditionalFormatting sqref="S305:S309">
    <cfRule type="expression" dxfId="7185" priority="6422" stopIfTrue="1">
      <formula>$C305&lt;&gt;""</formula>
    </cfRule>
  </conditionalFormatting>
  <conditionalFormatting sqref="S305:S309">
    <cfRule type="expression" dxfId="7184" priority="6421" stopIfTrue="1">
      <formula>$B305&lt;&gt;""</formula>
    </cfRule>
  </conditionalFormatting>
  <conditionalFormatting sqref="S305:S309">
    <cfRule type="expression" dxfId="7183" priority="6420" stopIfTrue="1">
      <formula>$C305&lt;&gt;""</formula>
    </cfRule>
  </conditionalFormatting>
  <conditionalFormatting sqref="S305:S309">
    <cfRule type="expression" dxfId="7182" priority="6419" stopIfTrue="1">
      <formula>$B305&lt;&gt;""</formula>
    </cfRule>
  </conditionalFormatting>
  <conditionalFormatting sqref="S305:S309">
    <cfRule type="expression" dxfId="7181" priority="6418" stopIfTrue="1">
      <formula>$C305&lt;&gt;""</formula>
    </cfRule>
  </conditionalFormatting>
  <conditionalFormatting sqref="S305:S309">
    <cfRule type="expression" dxfId="7180" priority="6417" stopIfTrue="1">
      <formula>$B305&lt;&gt;""</formula>
    </cfRule>
  </conditionalFormatting>
  <conditionalFormatting sqref="S305:S309">
    <cfRule type="expression" dxfId="7179" priority="6416" stopIfTrue="1">
      <formula>$C305&lt;&gt;""</formula>
    </cfRule>
  </conditionalFormatting>
  <conditionalFormatting sqref="S305:S308">
    <cfRule type="expression" dxfId="7178" priority="6415" stopIfTrue="1">
      <formula>$B305&lt;&gt;""</formula>
    </cfRule>
  </conditionalFormatting>
  <conditionalFormatting sqref="S305:S308">
    <cfRule type="expression" dxfId="7177" priority="6414" stopIfTrue="1">
      <formula>$C305&lt;&gt;""</formula>
    </cfRule>
  </conditionalFormatting>
  <conditionalFormatting sqref="S309">
    <cfRule type="expression" dxfId="7176" priority="6413" stopIfTrue="1">
      <formula>$B309&lt;&gt;""</formula>
    </cfRule>
  </conditionalFormatting>
  <conditionalFormatting sqref="S309">
    <cfRule type="expression" dxfId="7175" priority="6412" stopIfTrue="1">
      <formula>$C309&lt;&gt;""</formula>
    </cfRule>
  </conditionalFormatting>
  <conditionalFormatting sqref="S305:S307">
    <cfRule type="expression" dxfId="7174" priority="6411" stopIfTrue="1">
      <formula>$B305&lt;&gt;""</formula>
    </cfRule>
  </conditionalFormatting>
  <conditionalFormatting sqref="S305:S307">
    <cfRule type="expression" dxfId="7173" priority="6410" stopIfTrue="1">
      <formula>$C305&lt;&gt;""</formula>
    </cfRule>
  </conditionalFormatting>
  <conditionalFormatting sqref="S308:S309">
    <cfRule type="expression" dxfId="7172" priority="6409" stopIfTrue="1">
      <formula>$B308&lt;&gt;""</formula>
    </cfRule>
  </conditionalFormatting>
  <conditionalFormatting sqref="S308:S309">
    <cfRule type="expression" dxfId="7171" priority="6408" stopIfTrue="1">
      <formula>$C308&lt;&gt;""</formula>
    </cfRule>
  </conditionalFormatting>
  <conditionalFormatting sqref="S305:S308">
    <cfRule type="expression" dxfId="7170" priority="6407" stopIfTrue="1">
      <formula>$B305&lt;&gt;""</formula>
    </cfRule>
  </conditionalFormatting>
  <conditionalFormatting sqref="S305:S308">
    <cfRule type="expression" dxfId="7169" priority="6406" stopIfTrue="1">
      <formula>$C305&lt;&gt;""</formula>
    </cfRule>
  </conditionalFormatting>
  <conditionalFormatting sqref="S305:S308">
    <cfRule type="expression" dxfId="7168" priority="6405" stopIfTrue="1">
      <formula>$B305&lt;&gt;""</formula>
    </cfRule>
  </conditionalFormatting>
  <conditionalFormatting sqref="S305:S308">
    <cfRule type="expression" dxfId="7167" priority="6404" stopIfTrue="1">
      <formula>$C305&lt;&gt;""</formula>
    </cfRule>
  </conditionalFormatting>
  <conditionalFormatting sqref="S309">
    <cfRule type="expression" dxfId="7166" priority="6403" stopIfTrue="1">
      <formula>$B309&lt;&gt;""</formula>
    </cfRule>
  </conditionalFormatting>
  <conditionalFormatting sqref="S309">
    <cfRule type="expression" dxfId="7165" priority="6402" stopIfTrue="1">
      <formula>$C309&lt;&gt;""</formula>
    </cfRule>
  </conditionalFormatting>
  <conditionalFormatting sqref="S305:S308">
    <cfRule type="expression" dxfId="7164" priority="6401" stopIfTrue="1">
      <formula>$B305&lt;&gt;""</formula>
    </cfRule>
  </conditionalFormatting>
  <conditionalFormatting sqref="S305:S308">
    <cfRule type="expression" dxfId="7163" priority="6400" stopIfTrue="1">
      <formula>$C305&lt;&gt;""</formula>
    </cfRule>
  </conditionalFormatting>
  <conditionalFormatting sqref="S309">
    <cfRule type="expression" dxfId="7162" priority="6399" stopIfTrue="1">
      <formula>$B309&lt;&gt;""</formula>
    </cfRule>
  </conditionalFormatting>
  <conditionalFormatting sqref="S309">
    <cfRule type="expression" dxfId="7161" priority="6398" stopIfTrue="1">
      <formula>$C309&lt;&gt;""</formula>
    </cfRule>
  </conditionalFormatting>
  <conditionalFormatting sqref="S309">
    <cfRule type="expression" dxfId="7160" priority="6397" stopIfTrue="1">
      <formula>$B309&lt;&gt;""</formula>
    </cfRule>
  </conditionalFormatting>
  <conditionalFormatting sqref="S309">
    <cfRule type="expression" dxfId="7159" priority="6396" stopIfTrue="1">
      <formula>$C309&lt;&gt;""</formula>
    </cfRule>
  </conditionalFormatting>
  <conditionalFormatting sqref="S305">
    <cfRule type="expression" dxfId="7158" priority="6395" stopIfTrue="1">
      <formula>$C305&lt;&gt;""</formula>
    </cfRule>
  </conditionalFormatting>
  <conditionalFormatting sqref="S305">
    <cfRule type="expression" dxfId="7157" priority="6394" stopIfTrue="1">
      <formula>$B305&lt;&gt;""</formula>
    </cfRule>
  </conditionalFormatting>
  <conditionalFormatting sqref="S306:S309">
    <cfRule type="expression" dxfId="7156" priority="6393" stopIfTrue="1">
      <formula>$C306&lt;&gt;""</formula>
    </cfRule>
  </conditionalFormatting>
  <conditionalFormatting sqref="S306:S309">
    <cfRule type="expression" dxfId="7155" priority="6392" stopIfTrue="1">
      <formula>$B306&lt;&gt;""</formula>
    </cfRule>
  </conditionalFormatting>
  <conditionalFormatting sqref="S308:S309">
    <cfRule type="expression" dxfId="7154" priority="6391" stopIfTrue="1">
      <formula>$C308&lt;&gt;""</formula>
    </cfRule>
  </conditionalFormatting>
  <conditionalFormatting sqref="S308:S309">
    <cfRule type="expression" dxfId="7153" priority="6390" stopIfTrue="1">
      <formula>$B308&lt;&gt;""</formula>
    </cfRule>
  </conditionalFormatting>
  <conditionalFormatting sqref="S305:S308">
    <cfRule type="expression" dxfId="7152" priority="6389" stopIfTrue="1">
      <formula>$B305&lt;&gt;""</formula>
    </cfRule>
  </conditionalFormatting>
  <conditionalFormatting sqref="S305:S308">
    <cfRule type="expression" dxfId="7151" priority="6388" stopIfTrue="1">
      <formula>$C305&lt;&gt;""</formula>
    </cfRule>
  </conditionalFormatting>
  <conditionalFormatting sqref="S309">
    <cfRule type="expression" dxfId="7150" priority="6387" stopIfTrue="1">
      <formula>$B309&lt;&gt;""</formula>
    </cfRule>
  </conditionalFormatting>
  <conditionalFormatting sqref="S309">
    <cfRule type="expression" dxfId="7149" priority="6386" stopIfTrue="1">
      <formula>$C309&lt;&gt;""</formula>
    </cfRule>
  </conditionalFormatting>
  <conditionalFormatting sqref="S305:S307">
    <cfRule type="expression" dxfId="7148" priority="6385" stopIfTrue="1">
      <formula>$B305&lt;&gt;""</formula>
    </cfRule>
  </conditionalFormatting>
  <conditionalFormatting sqref="S305:S307">
    <cfRule type="expression" dxfId="7147" priority="6384" stopIfTrue="1">
      <formula>$C305&lt;&gt;""</formula>
    </cfRule>
  </conditionalFormatting>
  <conditionalFormatting sqref="S308:S309">
    <cfRule type="expression" dxfId="7146" priority="6383" stopIfTrue="1">
      <formula>$B308&lt;&gt;""</formula>
    </cfRule>
  </conditionalFormatting>
  <conditionalFormatting sqref="S308:S309">
    <cfRule type="expression" dxfId="7145" priority="6382" stopIfTrue="1">
      <formula>$C308&lt;&gt;""</formula>
    </cfRule>
  </conditionalFormatting>
  <conditionalFormatting sqref="S305:S308">
    <cfRule type="expression" dxfId="7144" priority="6381" stopIfTrue="1">
      <formula>$B305&lt;&gt;""</formula>
    </cfRule>
  </conditionalFormatting>
  <conditionalFormatting sqref="S305:S308">
    <cfRule type="expression" dxfId="7143" priority="6380" stopIfTrue="1">
      <formula>$C305&lt;&gt;""</formula>
    </cfRule>
  </conditionalFormatting>
  <conditionalFormatting sqref="S305:S308">
    <cfRule type="expression" dxfId="7142" priority="6379" stopIfTrue="1">
      <formula>$B305&lt;&gt;""</formula>
    </cfRule>
  </conditionalFormatting>
  <conditionalFormatting sqref="S305:S308">
    <cfRule type="expression" dxfId="7141" priority="6378" stopIfTrue="1">
      <formula>$C305&lt;&gt;""</formula>
    </cfRule>
  </conditionalFormatting>
  <conditionalFormatting sqref="S309">
    <cfRule type="expression" dxfId="7140" priority="6377" stopIfTrue="1">
      <formula>$B309&lt;&gt;""</formula>
    </cfRule>
  </conditionalFormatting>
  <conditionalFormatting sqref="S309">
    <cfRule type="expression" dxfId="7139" priority="6376" stopIfTrue="1">
      <formula>$C309&lt;&gt;""</formula>
    </cfRule>
  </conditionalFormatting>
  <conditionalFormatting sqref="S305:S308">
    <cfRule type="expression" dxfId="7138" priority="6375" stopIfTrue="1">
      <formula>$B305&lt;&gt;""</formula>
    </cfRule>
  </conditionalFormatting>
  <conditionalFormatting sqref="S305:S308">
    <cfRule type="expression" dxfId="7137" priority="6374" stopIfTrue="1">
      <formula>$C305&lt;&gt;""</formula>
    </cfRule>
  </conditionalFormatting>
  <conditionalFormatting sqref="S309">
    <cfRule type="expression" dxfId="7136" priority="6373" stopIfTrue="1">
      <formula>$B309&lt;&gt;""</formula>
    </cfRule>
  </conditionalFormatting>
  <conditionalFormatting sqref="S309">
    <cfRule type="expression" dxfId="7135" priority="6372" stopIfTrue="1">
      <formula>$C309&lt;&gt;""</formula>
    </cfRule>
  </conditionalFormatting>
  <conditionalFormatting sqref="S309">
    <cfRule type="expression" dxfId="7134" priority="6371" stopIfTrue="1">
      <formula>$B309&lt;&gt;""</formula>
    </cfRule>
  </conditionalFormatting>
  <conditionalFormatting sqref="S309">
    <cfRule type="expression" dxfId="7133" priority="6370" stopIfTrue="1">
      <formula>$C309&lt;&gt;""</formula>
    </cfRule>
  </conditionalFormatting>
  <conditionalFormatting sqref="S305">
    <cfRule type="expression" dxfId="7132" priority="6369" stopIfTrue="1">
      <formula>$C305&lt;&gt;""</formula>
    </cfRule>
  </conditionalFormatting>
  <conditionalFormatting sqref="S305">
    <cfRule type="expression" dxfId="7131" priority="6368" stopIfTrue="1">
      <formula>$B305&lt;&gt;""</formula>
    </cfRule>
  </conditionalFormatting>
  <conditionalFormatting sqref="S306:S309">
    <cfRule type="expression" dxfId="7130" priority="6367" stopIfTrue="1">
      <formula>$C306&lt;&gt;""</formula>
    </cfRule>
  </conditionalFormatting>
  <conditionalFormatting sqref="S306:S309">
    <cfRule type="expression" dxfId="7129" priority="6366" stopIfTrue="1">
      <formula>$B306&lt;&gt;""</formula>
    </cfRule>
  </conditionalFormatting>
  <conditionalFormatting sqref="S308:S309">
    <cfRule type="expression" dxfId="7128" priority="6365" stopIfTrue="1">
      <formula>$C308&lt;&gt;""</formula>
    </cfRule>
  </conditionalFormatting>
  <conditionalFormatting sqref="S308:S309">
    <cfRule type="expression" dxfId="7127" priority="6364" stopIfTrue="1">
      <formula>$B308&lt;&gt;""</formula>
    </cfRule>
  </conditionalFormatting>
  <conditionalFormatting sqref="S305">
    <cfRule type="expression" dxfId="7126" priority="6363" stopIfTrue="1">
      <formula>$B305&lt;&gt;""</formula>
    </cfRule>
  </conditionalFormatting>
  <conditionalFormatting sqref="S305">
    <cfRule type="expression" dxfId="7125" priority="6362" stopIfTrue="1">
      <formula>$C305&lt;&gt;""</formula>
    </cfRule>
  </conditionalFormatting>
  <conditionalFormatting sqref="S305">
    <cfRule type="expression" dxfId="7124" priority="6361" stopIfTrue="1">
      <formula>$B305&lt;&gt;""</formula>
    </cfRule>
  </conditionalFormatting>
  <conditionalFormatting sqref="S305">
    <cfRule type="expression" dxfId="7123" priority="6360" stopIfTrue="1">
      <formula>$C305&lt;&gt;""</formula>
    </cfRule>
  </conditionalFormatting>
  <conditionalFormatting sqref="S305">
    <cfRule type="expression" dxfId="7122" priority="6359" stopIfTrue="1">
      <formula>$B305&lt;&gt;""</formula>
    </cfRule>
  </conditionalFormatting>
  <conditionalFormatting sqref="S305">
    <cfRule type="expression" dxfId="7121" priority="6358" stopIfTrue="1">
      <formula>$C305&lt;&gt;""</formula>
    </cfRule>
  </conditionalFormatting>
  <conditionalFormatting sqref="S305">
    <cfRule type="expression" dxfId="7120" priority="6357" stopIfTrue="1">
      <formula>$B305&lt;&gt;""</formula>
    </cfRule>
  </conditionalFormatting>
  <conditionalFormatting sqref="S305">
    <cfRule type="expression" dxfId="7119" priority="6356" stopIfTrue="1">
      <formula>$C305&lt;&gt;""</formula>
    </cfRule>
  </conditionalFormatting>
  <conditionalFormatting sqref="S305">
    <cfRule type="expression" dxfId="7118" priority="6355" stopIfTrue="1">
      <formula>$B305&lt;&gt;""</formula>
    </cfRule>
  </conditionalFormatting>
  <conditionalFormatting sqref="S305">
    <cfRule type="expression" dxfId="7117" priority="6354" stopIfTrue="1">
      <formula>$C305&lt;&gt;""</formula>
    </cfRule>
  </conditionalFormatting>
  <conditionalFormatting sqref="S305">
    <cfRule type="expression" dxfId="7116" priority="6353" stopIfTrue="1">
      <formula>$B305&lt;&gt;""</formula>
    </cfRule>
  </conditionalFormatting>
  <conditionalFormatting sqref="S305">
    <cfRule type="expression" dxfId="7115" priority="6352" stopIfTrue="1">
      <formula>$C305&lt;&gt;""</formula>
    </cfRule>
  </conditionalFormatting>
  <conditionalFormatting sqref="S305">
    <cfRule type="expression" dxfId="7114" priority="6351" stopIfTrue="1">
      <formula>$B305&lt;&gt;""</formula>
    </cfRule>
  </conditionalFormatting>
  <conditionalFormatting sqref="S305">
    <cfRule type="expression" dxfId="7113" priority="6350" stopIfTrue="1">
      <formula>$C305&lt;&gt;""</formula>
    </cfRule>
  </conditionalFormatting>
  <conditionalFormatting sqref="S305">
    <cfRule type="expression" dxfId="7112" priority="6349" stopIfTrue="1">
      <formula>$B305&lt;&gt;""</formula>
    </cfRule>
  </conditionalFormatting>
  <conditionalFormatting sqref="S305">
    <cfRule type="expression" dxfId="7111" priority="6348" stopIfTrue="1">
      <formula>$C305&lt;&gt;""</formula>
    </cfRule>
  </conditionalFormatting>
  <conditionalFormatting sqref="S305">
    <cfRule type="expression" dxfId="7110" priority="6347" stopIfTrue="1">
      <formula>$B305&lt;&gt;""</formula>
    </cfRule>
  </conditionalFormatting>
  <conditionalFormatting sqref="S305">
    <cfRule type="expression" dxfId="7109" priority="6346" stopIfTrue="1">
      <formula>$C305&lt;&gt;""</formula>
    </cfRule>
  </conditionalFormatting>
  <conditionalFormatting sqref="S305">
    <cfRule type="expression" dxfId="7108" priority="6345" stopIfTrue="1">
      <formula>$B305&lt;&gt;""</formula>
    </cfRule>
  </conditionalFormatting>
  <conditionalFormatting sqref="S305">
    <cfRule type="expression" dxfId="7107" priority="6344" stopIfTrue="1">
      <formula>$C305&lt;&gt;""</formula>
    </cfRule>
  </conditionalFormatting>
  <conditionalFormatting sqref="S305">
    <cfRule type="expression" dxfId="7106" priority="6343" stopIfTrue="1">
      <formula>$B305&lt;&gt;""</formula>
    </cfRule>
  </conditionalFormatting>
  <conditionalFormatting sqref="S305">
    <cfRule type="expression" dxfId="7105" priority="6342" stopIfTrue="1">
      <formula>$C305&lt;&gt;""</formula>
    </cfRule>
  </conditionalFormatting>
  <conditionalFormatting sqref="S305">
    <cfRule type="expression" dxfId="7104" priority="6341" stopIfTrue="1">
      <formula>$B305&lt;&gt;""</formula>
    </cfRule>
  </conditionalFormatting>
  <conditionalFormatting sqref="S305">
    <cfRule type="expression" dxfId="7103" priority="6340" stopIfTrue="1">
      <formula>$C305&lt;&gt;""</formula>
    </cfRule>
  </conditionalFormatting>
  <conditionalFormatting sqref="S305">
    <cfRule type="expression" dxfId="7102" priority="6339" stopIfTrue="1">
      <formula>$B305&lt;&gt;""</formula>
    </cfRule>
  </conditionalFormatting>
  <conditionalFormatting sqref="S305">
    <cfRule type="expression" dxfId="7101" priority="6338" stopIfTrue="1">
      <formula>$C305&lt;&gt;""</formula>
    </cfRule>
  </conditionalFormatting>
  <conditionalFormatting sqref="S305">
    <cfRule type="expression" dxfId="7100" priority="6337" stopIfTrue="1">
      <formula>$B305&lt;&gt;""</formula>
    </cfRule>
  </conditionalFormatting>
  <conditionalFormatting sqref="S305">
    <cfRule type="expression" dxfId="7099" priority="6336" stopIfTrue="1">
      <formula>$C305&lt;&gt;""</formula>
    </cfRule>
  </conditionalFormatting>
  <conditionalFormatting sqref="S305">
    <cfRule type="expression" dxfId="7098" priority="6335" stopIfTrue="1">
      <formula>$C305&lt;&gt;""</formula>
    </cfRule>
  </conditionalFormatting>
  <conditionalFormatting sqref="S305">
    <cfRule type="expression" dxfId="7097" priority="6334" stopIfTrue="1">
      <formula>$B305&lt;&gt;""</formula>
    </cfRule>
  </conditionalFormatting>
  <conditionalFormatting sqref="S305">
    <cfRule type="expression" dxfId="7096" priority="6333" stopIfTrue="1">
      <formula>$C305&lt;&gt;""</formula>
    </cfRule>
  </conditionalFormatting>
  <conditionalFormatting sqref="S305">
    <cfRule type="expression" dxfId="7095" priority="6332" stopIfTrue="1">
      <formula>$B305&lt;&gt;""</formula>
    </cfRule>
  </conditionalFormatting>
  <conditionalFormatting sqref="S305">
    <cfRule type="expression" dxfId="7094" priority="6331" stopIfTrue="1">
      <formula>$B305&lt;&gt;""</formula>
    </cfRule>
  </conditionalFormatting>
  <conditionalFormatting sqref="S305">
    <cfRule type="expression" dxfId="7093" priority="6330" stopIfTrue="1">
      <formula>$C305&lt;&gt;""</formula>
    </cfRule>
  </conditionalFormatting>
  <conditionalFormatting sqref="S305">
    <cfRule type="expression" dxfId="7092" priority="6329" stopIfTrue="1">
      <formula>$B305&lt;&gt;""</formula>
    </cfRule>
  </conditionalFormatting>
  <conditionalFormatting sqref="S305">
    <cfRule type="expression" dxfId="7091" priority="6328" stopIfTrue="1">
      <formula>$C305&lt;&gt;""</formula>
    </cfRule>
  </conditionalFormatting>
  <conditionalFormatting sqref="S305">
    <cfRule type="expression" dxfId="7090" priority="6327" stopIfTrue="1">
      <formula>$B305&lt;&gt;""</formula>
    </cfRule>
  </conditionalFormatting>
  <conditionalFormatting sqref="S305">
    <cfRule type="expression" dxfId="7089" priority="6326" stopIfTrue="1">
      <formula>$C305&lt;&gt;""</formula>
    </cfRule>
  </conditionalFormatting>
  <conditionalFormatting sqref="S305">
    <cfRule type="expression" dxfId="7088" priority="6325" stopIfTrue="1">
      <formula>$B305&lt;&gt;""</formula>
    </cfRule>
  </conditionalFormatting>
  <conditionalFormatting sqref="S305">
    <cfRule type="expression" dxfId="7087" priority="6324" stopIfTrue="1">
      <formula>$C305&lt;&gt;""</formula>
    </cfRule>
  </conditionalFormatting>
  <conditionalFormatting sqref="S305">
    <cfRule type="expression" dxfId="7086" priority="6323" stopIfTrue="1">
      <formula>$B305&lt;&gt;""</formula>
    </cfRule>
  </conditionalFormatting>
  <conditionalFormatting sqref="S305">
    <cfRule type="expression" dxfId="7085" priority="6322" stopIfTrue="1">
      <formula>$C305&lt;&gt;""</formula>
    </cfRule>
  </conditionalFormatting>
  <conditionalFormatting sqref="S305">
    <cfRule type="expression" dxfId="7084" priority="6321" stopIfTrue="1">
      <formula>$C305&lt;&gt;""</formula>
    </cfRule>
  </conditionalFormatting>
  <conditionalFormatting sqref="S305">
    <cfRule type="expression" dxfId="7083" priority="6320" stopIfTrue="1">
      <formula>$B305&lt;&gt;""</formula>
    </cfRule>
  </conditionalFormatting>
  <conditionalFormatting sqref="S305">
    <cfRule type="expression" dxfId="7082" priority="6319" stopIfTrue="1">
      <formula>$C305&lt;&gt;""</formula>
    </cfRule>
  </conditionalFormatting>
  <conditionalFormatting sqref="S305">
    <cfRule type="expression" dxfId="7081" priority="6318" stopIfTrue="1">
      <formula>$B305&lt;&gt;""</formula>
    </cfRule>
  </conditionalFormatting>
  <conditionalFormatting sqref="S305">
    <cfRule type="expression" dxfId="7080" priority="6317" stopIfTrue="1">
      <formula>$B305&lt;&gt;""</formula>
    </cfRule>
  </conditionalFormatting>
  <conditionalFormatting sqref="S305">
    <cfRule type="expression" dxfId="7079" priority="6316" stopIfTrue="1">
      <formula>$C305&lt;&gt;""</formula>
    </cfRule>
  </conditionalFormatting>
  <conditionalFormatting sqref="S306">
    <cfRule type="expression" dxfId="7078" priority="6315" stopIfTrue="1">
      <formula>$B306&lt;&gt;""</formula>
    </cfRule>
  </conditionalFormatting>
  <conditionalFormatting sqref="S306">
    <cfRule type="expression" dxfId="7077" priority="6314" stopIfTrue="1">
      <formula>$C306&lt;&gt;""</formula>
    </cfRule>
  </conditionalFormatting>
  <conditionalFormatting sqref="S305">
    <cfRule type="expression" dxfId="7076" priority="6313" stopIfTrue="1">
      <formula>$B305&lt;&gt;""</formula>
    </cfRule>
  </conditionalFormatting>
  <conditionalFormatting sqref="S305">
    <cfRule type="expression" dxfId="7075" priority="6312" stopIfTrue="1">
      <formula>$C305&lt;&gt;""</formula>
    </cfRule>
  </conditionalFormatting>
  <conditionalFormatting sqref="S306:S309">
    <cfRule type="expression" dxfId="7074" priority="6311" stopIfTrue="1">
      <formula>$B306&lt;&gt;""</formula>
    </cfRule>
  </conditionalFormatting>
  <conditionalFormatting sqref="S306:S309">
    <cfRule type="expression" dxfId="7073" priority="6310" stopIfTrue="1">
      <formula>$C306&lt;&gt;""</formula>
    </cfRule>
  </conditionalFormatting>
  <conditionalFormatting sqref="S305">
    <cfRule type="expression" dxfId="7072" priority="6309" stopIfTrue="1">
      <formula>$B305&lt;&gt;""</formula>
    </cfRule>
  </conditionalFormatting>
  <conditionalFormatting sqref="S305">
    <cfRule type="expression" dxfId="7071" priority="6308" stopIfTrue="1">
      <formula>$C305&lt;&gt;""</formula>
    </cfRule>
  </conditionalFormatting>
  <conditionalFormatting sqref="S306:S309">
    <cfRule type="expression" dxfId="7070" priority="6307" stopIfTrue="1">
      <formula>$B306&lt;&gt;""</formula>
    </cfRule>
  </conditionalFormatting>
  <conditionalFormatting sqref="S306:S309">
    <cfRule type="expression" dxfId="7069" priority="6306" stopIfTrue="1">
      <formula>$C306&lt;&gt;""</formula>
    </cfRule>
  </conditionalFormatting>
  <conditionalFormatting sqref="S305:S309">
    <cfRule type="expression" dxfId="7068" priority="6305" stopIfTrue="1">
      <formula>$B305&lt;&gt;""</formula>
    </cfRule>
  </conditionalFormatting>
  <conditionalFormatting sqref="S305:S309">
    <cfRule type="expression" dxfId="7067" priority="6304" stopIfTrue="1">
      <formula>$C305&lt;&gt;""</formula>
    </cfRule>
  </conditionalFormatting>
  <conditionalFormatting sqref="S305:S309">
    <cfRule type="expression" dxfId="7066" priority="6303" stopIfTrue="1">
      <formula>$B305&lt;&gt;""</formula>
    </cfRule>
  </conditionalFormatting>
  <conditionalFormatting sqref="S305:S309">
    <cfRule type="expression" dxfId="7065" priority="6302" stopIfTrue="1">
      <formula>$C305&lt;&gt;""</formula>
    </cfRule>
  </conditionalFormatting>
  <conditionalFormatting sqref="S305:S309">
    <cfRule type="expression" dxfId="7064" priority="6301" stopIfTrue="1">
      <formula>$B305&lt;&gt;""</formula>
    </cfRule>
  </conditionalFormatting>
  <conditionalFormatting sqref="S305:S309">
    <cfRule type="expression" dxfId="7063" priority="6300" stopIfTrue="1">
      <formula>$C305&lt;&gt;""</formula>
    </cfRule>
  </conditionalFormatting>
  <conditionalFormatting sqref="S305:S309">
    <cfRule type="expression" dxfId="7062" priority="6299" stopIfTrue="1">
      <formula>$B305&lt;&gt;""</formula>
    </cfRule>
  </conditionalFormatting>
  <conditionalFormatting sqref="S305:S309">
    <cfRule type="expression" dxfId="7061" priority="6298" stopIfTrue="1">
      <formula>$C305&lt;&gt;""</formula>
    </cfRule>
  </conditionalFormatting>
  <conditionalFormatting sqref="S305:S309">
    <cfRule type="expression" dxfId="7060" priority="6297" stopIfTrue="1">
      <formula>$B305&lt;&gt;""</formula>
    </cfRule>
  </conditionalFormatting>
  <conditionalFormatting sqref="S305:S309">
    <cfRule type="expression" dxfId="7059" priority="6296" stopIfTrue="1">
      <formula>$C305&lt;&gt;""</formula>
    </cfRule>
  </conditionalFormatting>
  <conditionalFormatting sqref="S305:S309">
    <cfRule type="expression" dxfId="7058" priority="6295" stopIfTrue="1">
      <formula>$B305&lt;&gt;""</formula>
    </cfRule>
  </conditionalFormatting>
  <conditionalFormatting sqref="S305:S309">
    <cfRule type="expression" dxfId="7057" priority="6294" stopIfTrue="1">
      <formula>$C305&lt;&gt;""</formula>
    </cfRule>
  </conditionalFormatting>
  <conditionalFormatting sqref="S305:S309">
    <cfRule type="expression" dxfId="7056" priority="6293" stopIfTrue="1">
      <formula>$B305&lt;&gt;""</formula>
    </cfRule>
  </conditionalFormatting>
  <conditionalFormatting sqref="S305:S309">
    <cfRule type="expression" dxfId="7055" priority="6292" stopIfTrue="1">
      <formula>$C305&lt;&gt;""</formula>
    </cfRule>
  </conditionalFormatting>
  <conditionalFormatting sqref="S305:S308">
    <cfRule type="expression" dxfId="7054" priority="6291" stopIfTrue="1">
      <formula>$B305&lt;&gt;""</formula>
    </cfRule>
  </conditionalFormatting>
  <conditionalFormatting sqref="S305:S308">
    <cfRule type="expression" dxfId="7053" priority="6290" stopIfTrue="1">
      <formula>$C305&lt;&gt;""</formula>
    </cfRule>
  </conditionalFormatting>
  <conditionalFormatting sqref="S309">
    <cfRule type="expression" dxfId="7052" priority="6289" stopIfTrue="1">
      <formula>$B309&lt;&gt;""</formula>
    </cfRule>
  </conditionalFormatting>
  <conditionalFormatting sqref="S309">
    <cfRule type="expression" dxfId="7051" priority="6288" stopIfTrue="1">
      <formula>$C309&lt;&gt;""</formula>
    </cfRule>
  </conditionalFormatting>
  <conditionalFormatting sqref="S305:S307">
    <cfRule type="expression" dxfId="7050" priority="6287" stopIfTrue="1">
      <formula>$B305&lt;&gt;""</formula>
    </cfRule>
  </conditionalFormatting>
  <conditionalFormatting sqref="S305:S307">
    <cfRule type="expression" dxfId="7049" priority="6286" stopIfTrue="1">
      <formula>$C305&lt;&gt;""</formula>
    </cfRule>
  </conditionalFormatting>
  <conditionalFormatting sqref="S308:S309">
    <cfRule type="expression" dxfId="7048" priority="6285" stopIfTrue="1">
      <formula>$B308&lt;&gt;""</formula>
    </cfRule>
  </conditionalFormatting>
  <conditionalFormatting sqref="S308:S309">
    <cfRule type="expression" dxfId="7047" priority="6284" stopIfTrue="1">
      <formula>$C308&lt;&gt;""</formula>
    </cfRule>
  </conditionalFormatting>
  <conditionalFormatting sqref="S305:S308">
    <cfRule type="expression" dxfId="7046" priority="6283" stopIfTrue="1">
      <formula>$B305&lt;&gt;""</formula>
    </cfRule>
  </conditionalFormatting>
  <conditionalFormatting sqref="S305:S308">
    <cfRule type="expression" dxfId="7045" priority="6282" stopIfTrue="1">
      <formula>$C305&lt;&gt;""</formula>
    </cfRule>
  </conditionalFormatting>
  <conditionalFormatting sqref="S305:S308">
    <cfRule type="expression" dxfId="7044" priority="6281" stopIfTrue="1">
      <formula>$B305&lt;&gt;""</formula>
    </cfRule>
  </conditionalFormatting>
  <conditionalFormatting sqref="S305:S308">
    <cfRule type="expression" dxfId="7043" priority="6280" stopIfTrue="1">
      <formula>$C305&lt;&gt;""</formula>
    </cfRule>
  </conditionalFormatting>
  <conditionalFormatting sqref="S309">
    <cfRule type="expression" dxfId="7042" priority="6279" stopIfTrue="1">
      <formula>$B309&lt;&gt;""</formula>
    </cfRule>
  </conditionalFormatting>
  <conditionalFormatting sqref="S309">
    <cfRule type="expression" dxfId="7041" priority="6278" stopIfTrue="1">
      <formula>$C309&lt;&gt;""</formula>
    </cfRule>
  </conditionalFormatting>
  <conditionalFormatting sqref="S305:S308">
    <cfRule type="expression" dxfId="7040" priority="6277" stopIfTrue="1">
      <formula>$B305&lt;&gt;""</formula>
    </cfRule>
  </conditionalFormatting>
  <conditionalFormatting sqref="S305:S308">
    <cfRule type="expression" dxfId="7039" priority="6276" stopIfTrue="1">
      <formula>$C305&lt;&gt;""</formula>
    </cfRule>
  </conditionalFormatting>
  <conditionalFormatting sqref="S309">
    <cfRule type="expression" dxfId="7038" priority="6275" stopIfTrue="1">
      <formula>$B309&lt;&gt;""</formula>
    </cfRule>
  </conditionalFormatting>
  <conditionalFormatting sqref="S309">
    <cfRule type="expression" dxfId="7037" priority="6274" stopIfTrue="1">
      <formula>$C309&lt;&gt;""</formula>
    </cfRule>
  </conditionalFormatting>
  <conditionalFormatting sqref="S309">
    <cfRule type="expression" dxfId="7036" priority="6273" stopIfTrue="1">
      <formula>$B309&lt;&gt;""</formula>
    </cfRule>
  </conditionalFormatting>
  <conditionalFormatting sqref="S309">
    <cfRule type="expression" dxfId="7035" priority="6272" stopIfTrue="1">
      <formula>$C309&lt;&gt;""</formula>
    </cfRule>
  </conditionalFormatting>
  <conditionalFormatting sqref="S305">
    <cfRule type="expression" dxfId="7034" priority="6271" stopIfTrue="1">
      <formula>$C305&lt;&gt;""</formula>
    </cfRule>
  </conditionalFormatting>
  <conditionalFormatting sqref="S305">
    <cfRule type="expression" dxfId="7033" priority="6270" stopIfTrue="1">
      <formula>$B305&lt;&gt;""</formula>
    </cfRule>
  </conditionalFormatting>
  <conditionalFormatting sqref="S306:S309">
    <cfRule type="expression" dxfId="7032" priority="6269" stopIfTrue="1">
      <formula>$C306&lt;&gt;""</formula>
    </cfRule>
  </conditionalFormatting>
  <conditionalFormatting sqref="S306:S309">
    <cfRule type="expression" dxfId="7031" priority="6268" stopIfTrue="1">
      <formula>$B306&lt;&gt;""</formula>
    </cfRule>
  </conditionalFormatting>
  <conditionalFormatting sqref="S308:S309">
    <cfRule type="expression" dxfId="7030" priority="6267" stopIfTrue="1">
      <formula>$C308&lt;&gt;""</formula>
    </cfRule>
  </conditionalFormatting>
  <conditionalFormatting sqref="S308:S309">
    <cfRule type="expression" dxfId="7029" priority="6266" stopIfTrue="1">
      <formula>$B308&lt;&gt;""</formula>
    </cfRule>
  </conditionalFormatting>
  <conditionalFormatting sqref="S305:S308">
    <cfRule type="expression" dxfId="7028" priority="6265" stopIfTrue="1">
      <formula>$B305&lt;&gt;""</formula>
    </cfRule>
  </conditionalFormatting>
  <conditionalFormatting sqref="S305:S308">
    <cfRule type="expression" dxfId="7027" priority="6264" stopIfTrue="1">
      <formula>$C305&lt;&gt;""</formula>
    </cfRule>
  </conditionalFormatting>
  <conditionalFormatting sqref="S309">
    <cfRule type="expression" dxfId="7026" priority="6263" stopIfTrue="1">
      <formula>$B309&lt;&gt;""</formula>
    </cfRule>
  </conditionalFormatting>
  <conditionalFormatting sqref="S309">
    <cfRule type="expression" dxfId="7025" priority="6262" stopIfTrue="1">
      <formula>$C309&lt;&gt;""</formula>
    </cfRule>
  </conditionalFormatting>
  <conditionalFormatting sqref="S305:S307">
    <cfRule type="expression" dxfId="7024" priority="6261" stopIfTrue="1">
      <formula>$B305&lt;&gt;""</formula>
    </cfRule>
  </conditionalFormatting>
  <conditionalFormatting sqref="S305:S307">
    <cfRule type="expression" dxfId="7023" priority="6260" stopIfTrue="1">
      <formula>$C305&lt;&gt;""</formula>
    </cfRule>
  </conditionalFormatting>
  <conditionalFormatting sqref="S308:S309">
    <cfRule type="expression" dxfId="7022" priority="6259" stopIfTrue="1">
      <formula>$B308&lt;&gt;""</formula>
    </cfRule>
  </conditionalFormatting>
  <conditionalFormatting sqref="S308:S309">
    <cfRule type="expression" dxfId="7021" priority="6258" stopIfTrue="1">
      <formula>$C308&lt;&gt;""</formula>
    </cfRule>
  </conditionalFormatting>
  <conditionalFormatting sqref="S305:S308">
    <cfRule type="expression" dxfId="7020" priority="6257" stopIfTrue="1">
      <formula>$B305&lt;&gt;""</formula>
    </cfRule>
  </conditionalFormatting>
  <conditionalFormatting sqref="S305:S308">
    <cfRule type="expression" dxfId="7019" priority="6256" stopIfTrue="1">
      <formula>$C305&lt;&gt;""</formula>
    </cfRule>
  </conditionalFormatting>
  <conditionalFormatting sqref="S305:S308">
    <cfRule type="expression" dxfId="7018" priority="6255" stopIfTrue="1">
      <formula>$B305&lt;&gt;""</formula>
    </cfRule>
  </conditionalFormatting>
  <conditionalFormatting sqref="S305:S308">
    <cfRule type="expression" dxfId="7017" priority="6254" stopIfTrue="1">
      <formula>$C305&lt;&gt;""</formula>
    </cfRule>
  </conditionalFormatting>
  <conditionalFormatting sqref="S309">
    <cfRule type="expression" dxfId="7016" priority="6253" stopIfTrue="1">
      <formula>$B309&lt;&gt;""</formula>
    </cfRule>
  </conditionalFormatting>
  <conditionalFormatting sqref="S309">
    <cfRule type="expression" dxfId="7015" priority="6252" stopIfTrue="1">
      <formula>$C309&lt;&gt;""</formula>
    </cfRule>
  </conditionalFormatting>
  <conditionalFormatting sqref="S305:S308">
    <cfRule type="expression" dxfId="7014" priority="6251" stopIfTrue="1">
      <formula>$B305&lt;&gt;""</formula>
    </cfRule>
  </conditionalFormatting>
  <conditionalFormatting sqref="S305:S308">
    <cfRule type="expression" dxfId="7013" priority="6250" stopIfTrue="1">
      <formula>$C305&lt;&gt;""</formula>
    </cfRule>
  </conditionalFormatting>
  <conditionalFormatting sqref="S309">
    <cfRule type="expression" dxfId="7012" priority="6249" stopIfTrue="1">
      <formula>$B309&lt;&gt;""</formula>
    </cfRule>
  </conditionalFormatting>
  <conditionalFormatting sqref="S309">
    <cfRule type="expression" dxfId="7011" priority="6248" stopIfTrue="1">
      <formula>$C309&lt;&gt;""</formula>
    </cfRule>
  </conditionalFormatting>
  <conditionalFormatting sqref="S309">
    <cfRule type="expression" dxfId="7010" priority="6247" stopIfTrue="1">
      <formula>$B309&lt;&gt;""</formula>
    </cfRule>
  </conditionalFormatting>
  <conditionalFormatting sqref="S309">
    <cfRule type="expression" dxfId="7009" priority="6246" stopIfTrue="1">
      <formula>$C309&lt;&gt;""</formula>
    </cfRule>
  </conditionalFormatting>
  <conditionalFormatting sqref="S305">
    <cfRule type="expression" dxfId="7008" priority="6245" stopIfTrue="1">
      <formula>$C305&lt;&gt;""</formula>
    </cfRule>
  </conditionalFormatting>
  <conditionalFormatting sqref="S305">
    <cfRule type="expression" dxfId="7007" priority="6244" stopIfTrue="1">
      <formula>$B305&lt;&gt;""</formula>
    </cfRule>
  </conditionalFormatting>
  <conditionalFormatting sqref="S306:S309">
    <cfRule type="expression" dxfId="7006" priority="6243" stopIfTrue="1">
      <formula>$C306&lt;&gt;""</formula>
    </cfRule>
  </conditionalFormatting>
  <conditionalFormatting sqref="S306:S309">
    <cfRule type="expression" dxfId="7005" priority="6242" stopIfTrue="1">
      <formula>$B306&lt;&gt;""</formula>
    </cfRule>
  </conditionalFormatting>
  <conditionalFormatting sqref="S308:S309">
    <cfRule type="expression" dxfId="7004" priority="6241" stopIfTrue="1">
      <formula>$C308&lt;&gt;""</formula>
    </cfRule>
  </conditionalFormatting>
  <conditionalFormatting sqref="S308:S309">
    <cfRule type="expression" dxfId="7003" priority="6240" stopIfTrue="1">
      <formula>$B308&lt;&gt;""</formula>
    </cfRule>
  </conditionalFormatting>
  <conditionalFormatting sqref="S305">
    <cfRule type="expression" dxfId="7002" priority="6239" stopIfTrue="1">
      <formula>$B305&lt;&gt;""</formula>
    </cfRule>
  </conditionalFormatting>
  <conditionalFormatting sqref="S305">
    <cfRule type="expression" dxfId="7001" priority="6238" stopIfTrue="1">
      <formula>$C305&lt;&gt;""</formula>
    </cfRule>
  </conditionalFormatting>
  <conditionalFormatting sqref="S305">
    <cfRule type="expression" dxfId="7000" priority="6237" stopIfTrue="1">
      <formula>$B305&lt;&gt;""</formula>
    </cfRule>
  </conditionalFormatting>
  <conditionalFormatting sqref="S305">
    <cfRule type="expression" dxfId="6999" priority="6236" stopIfTrue="1">
      <formula>$C305&lt;&gt;""</formula>
    </cfRule>
  </conditionalFormatting>
  <conditionalFormatting sqref="S305">
    <cfRule type="expression" dxfId="6998" priority="6235" stopIfTrue="1">
      <formula>$B305&lt;&gt;""</formula>
    </cfRule>
  </conditionalFormatting>
  <conditionalFormatting sqref="S305">
    <cfRule type="expression" dxfId="6997" priority="6234" stopIfTrue="1">
      <formula>$C305&lt;&gt;""</formula>
    </cfRule>
  </conditionalFormatting>
  <conditionalFormatting sqref="S305">
    <cfRule type="expression" dxfId="6996" priority="6233" stopIfTrue="1">
      <formula>$B305&lt;&gt;""</formula>
    </cfRule>
  </conditionalFormatting>
  <conditionalFormatting sqref="S305">
    <cfRule type="expression" dxfId="6995" priority="6232" stopIfTrue="1">
      <formula>$C305&lt;&gt;""</formula>
    </cfRule>
  </conditionalFormatting>
  <conditionalFormatting sqref="S305">
    <cfRule type="expression" dxfId="6994" priority="6231" stopIfTrue="1">
      <formula>$B305&lt;&gt;""</formula>
    </cfRule>
  </conditionalFormatting>
  <conditionalFormatting sqref="S305">
    <cfRule type="expression" dxfId="6993" priority="6230" stopIfTrue="1">
      <formula>$C305&lt;&gt;""</formula>
    </cfRule>
  </conditionalFormatting>
  <conditionalFormatting sqref="S305">
    <cfRule type="expression" dxfId="6992" priority="6229" stopIfTrue="1">
      <formula>$B305&lt;&gt;""</formula>
    </cfRule>
  </conditionalFormatting>
  <conditionalFormatting sqref="S305">
    <cfRule type="expression" dxfId="6991" priority="6228" stopIfTrue="1">
      <formula>$C305&lt;&gt;""</formula>
    </cfRule>
  </conditionalFormatting>
  <conditionalFormatting sqref="S305">
    <cfRule type="expression" dxfId="6990" priority="6227" stopIfTrue="1">
      <formula>$B305&lt;&gt;""</formula>
    </cfRule>
  </conditionalFormatting>
  <conditionalFormatting sqref="S305">
    <cfRule type="expression" dxfId="6989" priority="6226" stopIfTrue="1">
      <formula>$C305&lt;&gt;""</formula>
    </cfRule>
  </conditionalFormatting>
  <conditionalFormatting sqref="S305">
    <cfRule type="expression" dxfId="6988" priority="6225" stopIfTrue="1">
      <formula>$B305&lt;&gt;""</formula>
    </cfRule>
  </conditionalFormatting>
  <conditionalFormatting sqref="S305">
    <cfRule type="expression" dxfId="6987" priority="6224" stopIfTrue="1">
      <formula>$C305&lt;&gt;""</formula>
    </cfRule>
  </conditionalFormatting>
  <conditionalFormatting sqref="S305">
    <cfRule type="expression" dxfId="6986" priority="6223" stopIfTrue="1">
      <formula>$B305&lt;&gt;""</formula>
    </cfRule>
  </conditionalFormatting>
  <conditionalFormatting sqref="S305">
    <cfRule type="expression" dxfId="6985" priority="6222" stopIfTrue="1">
      <formula>$C305&lt;&gt;""</formula>
    </cfRule>
  </conditionalFormatting>
  <conditionalFormatting sqref="S305">
    <cfRule type="expression" dxfId="6984" priority="6221" stopIfTrue="1">
      <formula>$B305&lt;&gt;""</formula>
    </cfRule>
  </conditionalFormatting>
  <conditionalFormatting sqref="S305">
    <cfRule type="expression" dxfId="6983" priority="6220" stopIfTrue="1">
      <formula>$C305&lt;&gt;""</formula>
    </cfRule>
  </conditionalFormatting>
  <conditionalFormatting sqref="S305">
    <cfRule type="expression" dxfId="6982" priority="6219" stopIfTrue="1">
      <formula>$B305&lt;&gt;""</formula>
    </cfRule>
  </conditionalFormatting>
  <conditionalFormatting sqref="S305">
    <cfRule type="expression" dxfId="6981" priority="6218" stopIfTrue="1">
      <formula>$C305&lt;&gt;""</formula>
    </cfRule>
  </conditionalFormatting>
  <conditionalFormatting sqref="S305">
    <cfRule type="expression" dxfId="6980" priority="6217" stopIfTrue="1">
      <formula>$B305&lt;&gt;""</formula>
    </cfRule>
  </conditionalFormatting>
  <conditionalFormatting sqref="S305">
    <cfRule type="expression" dxfId="6979" priority="6216" stopIfTrue="1">
      <formula>$C305&lt;&gt;""</formula>
    </cfRule>
  </conditionalFormatting>
  <conditionalFormatting sqref="S305">
    <cfRule type="expression" dxfId="6978" priority="6215" stopIfTrue="1">
      <formula>$B305&lt;&gt;""</formula>
    </cfRule>
  </conditionalFormatting>
  <conditionalFormatting sqref="S305">
    <cfRule type="expression" dxfId="6977" priority="6214" stopIfTrue="1">
      <formula>$C305&lt;&gt;""</formula>
    </cfRule>
  </conditionalFormatting>
  <conditionalFormatting sqref="S305">
    <cfRule type="expression" dxfId="6976" priority="6213" stopIfTrue="1">
      <formula>$B305&lt;&gt;""</formula>
    </cfRule>
  </conditionalFormatting>
  <conditionalFormatting sqref="S305">
    <cfRule type="expression" dxfId="6975" priority="6212" stopIfTrue="1">
      <formula>$C305&lt;&gt;""</formula>
    </cfRule>
  </conditionalFormatting>
  <conditionalFormatting sqref="S305">
    <cfRule type="expression" dxfId="6974" priority="6211" stopIfTrue="1">
      <formula>$C305&lt;&gt;""</formula>
    </cfRule>
  </conditionalFormatting>
  <conditionalFormatting sqref="S305">
    <cfRule type="expression" dxfId="6973" priority="6210" stopIfTrue="1">
      <formula>$B305&lt;&gt;""</formula>
    </cfRule>
  </conditionalFormatting>
  <conditionalFormatting sqref="S305">
    <cfRule type="expression" dxfId="6972" priority="6209" stopIfTrue="1">
      <formula>$C305&lt;&gt;""</formula>
    </cfRule>
  </conditionalFormatting>
  <conditionalFormatting sqref="S305">
    <cfRule type="expression" dxfId="6971" priority="6208" stopIfTrue="1">
      <formula>$B305&lt;&gt;""</formula>
    </cfRule>
  </conditionalFormatting>
  <conditionalFormatting sqref="S305">
    <cfRule type="expression" dxfId="6970" priority="6207" stopIfTrue="1">
      <formula>$B305&lt;&gt;""</formula>
    </cfRule>
  </conditionalFormatting>
  <conditionalFormatting sqref="S305">
    <cfRule type="expression" dxfId="6969" priority="6206" stopIfTrue="1">
      <formula>$C305&lt;&gt;""</formula>
    </cfRule>
  </conditionalFormatting>
  <conditionalFormatting sqref="S305">
    <cfRule type="expression" dxfId="6968" priority="6205" stopIfTrue="1">
      <formula>$B305&lt;&gt;""</formula>
    </cfRule>
  </conditionalFormatting>
  <conditionalFormatting sqref="S305">
    <cfRule type="expression" dxfId="6967" priority="6204" stopIfTrue="1">
      <formula>$C305&lt;&gt;""</formula>
    </cfRule>
  </conditionalFormatting>
  <conditionalFormatting sqref="S305">
    <cfRule type="expression" dxfId="6966" priority="6203" stopIfTrue="1">
      <formula>$B305&lt;&gt;""</formula>
    </cfRule>
  </conditionalFormatting>
  <conditionalFormatting sqref="S305">
    <cfRule type="expression" dxfId="6965" priority="6202" stopIfTrue="1">
      <formula>$C305&lt;&gt;""</formula>
    </cfRule>
  </conditionalFormatting>
  <conditionalFormatting sqref="S305">
    <cfRule type="expression" dxfId="6964" priority="6201" stopIfTrue="1">
      <formula>$B305&lt;&gt;""</formula>
    </cfRule>
  </conditionalFormatting>
  <conditionalFormatting sqref="S305">
    <cfRule type="expression" dxfId="6963" priority="6200" stopIfTrue="1">
      <formula>$C305&lt;&gt;""</formula>
    </cfRule>
  </conditionalFormatting>
  <conditionalFormatting sqref="S305">
    <cfRule type="expression" dxfId="6962" priority="6199" stopIfTrue="1">
      <formula>$B305&lt;&gt;""</formula>
    </cfRule>
  </conditionalFormatting>
  <conditionalFormatting sqref="S305">
    <cfRule type="expression" dxfId="6961" priority="6198" stopIfTrue="1">
      <formula>$C305&lt;&gt;""</formula>
    </cfRule>
  </conditionalFormatting>
  <conditionalFormatting sqref="S305">
    <cfRule type="expression" dxfId="6960" priority="6197" stopIfTrue="1">
      <formula>$C305&lt;&gt;""</formula>
    </cfRule>
  </conditionalFormatting>
  <conditionalFormatting sqref="S305">
    <cfRule type="expression" dxfId="6959" priority="6196" stopIfTrue="1">
      <formula>$B305&lt;&gt;""</formula>
    </cfRule>
  </conditionalFormatting>
  <conditionalFormatting sqref="S305">
    <cfRule type="expression" dxfId="6958" priority="6195" stopIfTrue="1">
      <formula>$C305&lt;&gt;""</formula>
    </cfRule>
  </conditionalFormatting>
  <conditionalFormatting sqref="S305">
    <cfRule type="expression" dxfId="6957" priority="6194" stopIfTrue="1">
      <formula>$B305&lt;&gt;""</formula>
    </cfRule>
  </conditionalFormatting>
  <conditionalFormatting sqref="S305">
    <cfRule type="expression" dxfId="6956" priority="6193" stopIfTrue="1">
      <formula>$B305&lt;&gt;""</formula>
    </cfRule>
  </conditionalFormatting>
  <conditionalFormatting sqref="S305">
    <cfRule type="expression" dxfId="6955" priority="6192" stopIfTrue="1">
      <formula>$C305&lt;&gt;""</formula>
    </cfRule>
  </conditionalFormatting>
  <conditionalFormatting sqref="S306">
    <cfRule type="expression" dxfId="6954" priority="6191" stopIfTrue="1">
      <formula>$B306&lt;&gt;""</formula>
    </cfRule>
  </conditionalFormatting>
  <conditionalFormatting sqref="S306">
    <cfRule type="expression" dxfId="6953" priority="6190" stopIfTrue="1">
      <formula>$C306&lt;&gt;""</formula>
    </cfRule>
  </conditionalFormatting>
  <conditionalFormatting sqref="S305">
    <cfRule type="expression" dxfId="6952" priority="6189" stopIfTrue="1">
      <formula>$B305&lt;&gt;""</formula>
    </cfRule>
  </conditionalFormatting>
  <conditionalFormatting sqref="S305">
    <cfRule type="expression" dxfId="6951" priority="6188" stopIfTrue="1">
      <formula>$C305&lt;&gt;""</formula>
    </cfRule>
  </conditionalFormatting>
  <conditionalFormatting sqref="S306:S309">
    <cfRule type="expression" dxfId="6950" priority="6187" stopIfTrue="1">
      <formula>$B306&lt;&gt;""</formula>
    </cfRule>
  </conditionalFormatting>
  <conditionalFormatting sqref="S306:S309">
    <cfRule type="expression" dxfId="6949" priority="6186" stopIfTrue="1">
      <formula>$C306&lt;&gt;""</formula>
    </cfRule>
  </conditionalFormatting>
  <conditionalFormatting sqref="S305">
    <cfRule type="expression" dxfId="6948" priority="6185" stopIfTrue="1">
      <formula>$B305&lt;&gt;""</formula>
    </cfRule>
  </conditionalFormatting>
  <conditionalFormatting sqref="S305">
    <cfRule type="expression" dxfId="6947" priority="6184" stopIfTrue="1">
      <formula>$C305&lt;&gt;""</formula>
    </cfRule>
  </conditionalFormatting>
  <conditionalFormatting sqref="S306:S309">
    <cfRule type="expression" dxfId="6946" priority="6183" stopIfTrue="1">
      <formula>$B306&lt;&gt;""</formula>
    </cfRule>
  </conditionalFormatting>
  <conditionalFormatting sqref="S306:S309">
    <cfRule type="expression" dxfId="6945" priority="6182" stopIfTrue="1">
      <formula>$C306&lt;&gt;""</formula>
    </cfRule>
  </conditionalFormatting>
  <conditionalFormatting sqref="S305:S309">
    <cfRule type="expression" dxfId="6944" priority="6181" stopIfTrue="1">
      <formula>$B305&lt;&gt;""</formula>
    </cfRule>
  </conditionalFormatting>
  <conditionalFormatting sqref="S305:S309">
    <cfRule type="expression" dxfId="6943" priority="6180" stopIfTrue="1">
      <formula>$C305&lt;&gt;""</formula>
    </cfRule>
  </conditionalFormatting>
  <conditionalFormatting sqref="S305:S309">
    <cfRule type="expression" dxfId="6942" priority="6179" stopIfTrue="1">
      <formula>$B305&lt;&gt;""</formula>
    </cfRule>
  </conditionalFormatting>
  <conditionalFormatting sqref="S305:S309">
    <cfRule type="expression" dxfId="6941" priority="6178" stopIfTrue="1">
      <formula>$C305&lt;&gt;""</formula>
    </cfRule>
  </conditionalFormatting>
  <conditionalFormatting sqref="S305:S309">
    <cfRule type="expression" dxfId="6940" priority="6177" stopIfTrue="1">
      <formula>$B305&lt;&gt;""</formula>
    </cfRule>
  </conditionalFormatting>
  <conditionalFormatting sqref="S305:S309">
    <cfRule type="expression" dxfId="6939" priority="6176" stopIfTrue="1">
      <formula>$C305&lt;&gt;""</formula>
    </cfRule>
  </conditionalFormatting>
  <conditionalFormatting sqref="S305:S309">
    <cfRule type="expression" dxfId="6938" priority="6175" stopIfTrue="1">
      <formula>$B305&lt;&gt;""</formula>
    </cfRule>
  </conditionalFormatting>
  <conditionalFormatting sqref="S305:S309">
    <cfRule type="expression" dxfId="6937" priority="6174" stopIfTrue="1">
      <formula>$C305&lt;&gt;""</formula>
    </cfRule>
  </conditionalFormatting>
  <conditionalFormatting sqref="S305:S309">
    <cfRule type="expression" dxfId="6936" priority="6173" stopIfTrue="1">
      <formula>$B305&lt;&gt;""</formula>
    </cfRule>
  </conditionalFormatting>
  <conditionalFormatting sqref="S305:S309">
    <cfRule type="expression" dxfId="6935" priority="6172" stopIfTrue="1">
      <formula>$C305&lt;&gt;""</formula>
    </cfRule>
  </conditionalFormatting>
  <conditionalFormatting sqref="S305:S309">
    <cfRule type="expression" dxfId="6934" priority="6171" stopIfTrue="1">
      <formula>$B305&lt;&gt;""</formula>
    </cfRule>
  </conditionalFormatting>
  <conditionalFormatting sqref="S305:S309">
    <cfRule type="expression" dxfId="6933" priority="6170" stopIfTrue="1">
      <formula>$C305&lt;&gt;""</formula>
    </cfRule>
  </conditionalFormatting>
  <conditionalFormatting sqref="S305:S309">
    <cfRule type="expression" dxfId="6932" priority="6169" stopIfTrue="1">
      <formula>$B305&lt;&gt;""</formula>
    </cfRule>
  </conditionalFormatting>
  <conditionalFormatting sqref="S305:S309">
    <cfRule type="expression" dxfId="6931" priority="6168" stopIfTrue="1">
      <formula>$C305&lt;&gt;""</formula>
    </cfRule>
  </conditionalFormatting>
  <conditionalFormatting sqref="S305:S308">
    <cfRule type="expression" dxfId="6930" priority="6167" stopIfTrue="1">
      <formula>$B305&lt;&gt;""</formula>
    </cfRule>
  </conditionalFormatting>
  <conditionalFormatting sqref="S305:S308">
    <cfRule type="expression" dxfId="6929" priority="6166" stopIfTrue="1">
      <formula>$C305&lt;&gt;""</formula>
    </cfRule>
  </conditionalFormatting>
  <conditionalFormatting sqref="S309">
    <cfRule type="expression" dxfId="6928" priority="6165" stopIfTrue="1">
      <formula>$B309&lt;&gt;""</formula>
    </cfRule>
  </conditionalFormatting>
  <conditionalFormatting sqref="S309">
    <cfRule type="expression" dxfId="6927" priority="6164" stopIfTrue="1">
      <formula>$C309&lt;&gt;""</formula>
    </cfRule>
  </conditionalFormatting>
  <conditionalFormatting sqref="S305:S307">
    <cfRule type="expression" dxfId="6926" priority="6163" stopIfTrue="1">
      <formula>$B305&lt;&gt;""</formula>
    </cfRule>
  </conditionalFormatting>
  <conditionalFormatting sqref="S305:S307">
    <cfRule type="expression" dxfId="6925" priority="6162" stopIfTrue="1">
      <formula>$C305&lt;&gt;""</formula>
    </cfRule>
  </conditionalFormatting>
  <conditionalFormatting sqref="S308:S309">
    <cfRule type="expression" dxfId="6924" priority="6161" stopIfTrue="1">
      <formula>$B308&lt;&gt;""</formula>
    </cfRule>
  </conditionalFormatting>
  <conditionalFormatting sqref="S308:S309">
    <cfRule type="expression" dxfId="6923" priority="6160" stopIfTrue="1">
      <formula>$C308&lt;&gt;""</formula>
    </cfRule>
  </conditionalFormatting>
  <conditionalFormatting sqref="S305:S308">
    <cfRule type="expression" dxfId="6922" priority="6159" stopIfTrue="1">
      <formula>$B305&lt;&gt;""</formula>
    </cfRule>
  </conditionalFormatting>
  <conditionalFormatting sqref="S305:S308">
    <cfRule type="expression" dxfId="6921" priority="6158" stopIfTrue="1">
      <formula>$C305&lt;&gt;""</formula>
    </cfRule>
  </conditionalFormatting>
  <conditionalFormatting sqref="S305:S308">
    <cfRule type="expression" dxfId="6920" priority="6157" stopIfTrue="1">
      <formula>$B305&lt;&gt;""</formula>
    </cfRule>
  </conditionalFormatting>
  <conditionalFormatting sqref="S305:S308">
    <cfRule type="expression" dxfId="6919" priority="6156" stopIfTrue="1">
      <formula>$C305&lt;&gt;""</formula>
    </cfRule>
  </conditionalFormatting>
  <conditionalFormatting sqref="S309">
    <cfRule type="expression" dxfId="6918" priority="6155" stopIfTrue="1">
      <formula>$B309&lt;&gt;""</formula>
    </cfRule>
  </conditionalFormatting>
  <conditionalFormatting sqref="S309">
    <cfRule type="expression" dxfId="6917" priority="6154" stopIfTrue="1">
      <formula>$C309&lt;&gt;""</formula>
    </cfRule>
  </conditionalFormatting>
  <conditionalFormatting sqref="S305:S308">
    <cfRule type="expression" dxfId="6916" priority="6153" stopIfTrue="1">
      <formula>$B305&lt;&gt;""</formula>
    </cfRule>
  </conditionalFormatting>
  <conditionalFormatting sqref="S305:S308">
    <cfRule type="expression" dxfId="6915" priority="6152" stopIfTrue="1">
      <formula>$C305&lt;&gt;""</formula>
    </cfRule>
  </conditionalFormatting>
  <conditionalFormatting sqref="S309">
    <cfRule type="expression" dxfId="6914" priority="6151" stopIfTrue="1">
      <formula>$B309&lt;&gt;""</formula>
    </cfRule>
  </conditionalFormatting>
  <conditionalFormatting sqref="S309">
    <cfRule type="expression" dxfId="6913" priority="6150" stopIfTrue="1">
      <formula>$C309&lt;&gt;""</formula>
    </cfRule>
  </conditionalFormatting>
  <conditionalFormatting sqref="S309">
    <cfRule type="expression" dxfId="6912" priority="6149" stopIfTrue="1">
      <formula>$B309&lt;&gt;""</formula>
    </cfRule>
  </conditionalFormatting>
  <conditionalFormatting sqref="S309">
    <cfRule type="expression" dxfId="6911" priority="6148" stopIfTrue="1">
      <formula>$C309&lt;&gt;""</formula>
    </cfRule>
  </conditionalFormatting>
  <conditionalFormatting sqref="S305">
    <cfRule type="expression" dxfId="6910" priority="6147" stopIfTrue="1">
      <formula>$C305&lt;&gt;""</formula>
    </cfRule>
  </conditionalFormatting>
  <conditionalFormatting sqref="S305">
    <cfRule type="expression" dxfId="6909" priority="6146" stopIfTrue="1">
      <formula>$B305&lt;&gt;""</formula>
    </cfRule>
  </conditionalFormatting>
  <conditionalFormatting sqref="S306:S309">
    <cfRule type="expression" dxfId="6908" priority="6145" stopIfTrue="1">
      <formula>$C306&lt;&gt;""</formula>
    </cfRule>
  </conditionalFormatting>
  <conditionalFormatting sqref="S306:S309">
    <cfRule type="expression" dxfId="6907" priority="6144" stopIfTrue="1">
      <formula>$B306&lt;&gt;""</formula>
    </cfRule>
  </conditionalFormatting>
  <conditionalFormatting sqref="S308:S309">
    <cfRule type="expression" dxfId="6906" priority="6143" stopIfTrue="1">
      <formula>$C308&lt;&gt;""</formula>
    </cfRule>
  </conditionalFormatting>
  <conditionalFormatting sqref="S308:S309">
    <cfRule type="expression" dxfId="6905" priority="6142" stopIfTrue="1">
      <formula>$B308&lt;&gt;""</formula>
    </cfRule>
  </conditionalFormatting>
  <conditionalFormatting sqref="S305:S308">
    <cfRule type="expression" dxfId="6904" priority="6141" stopIfTrue="1">
      <formula>$B305&lt;&gt;""</formula>
    </cfRule>
  </conditionalFormatting>
  <conditionalFormatting sqref="S305:S308">
    <cfRule type="expression" dxfId="6903" priority="6140" stopIfTrue="1">
      <formula>$C305&lt;&gt;""</formula>
    </cfRule>
  </conditionalFormatting>
  <conditionalFormatting sqref="S309">
    <cfRule type="expression" dxfId="6902" priority="6139" stopIfTrue="1">
      <formula>$B309&lt;&gt;""</formula>
    </cfRule>
  </conditionalFormatting>
  <conditionalFormatting sqref="S309">
    <cfRule type="expression" dxfId="6901" priority="6138" stopIfTrue="1">
      <formula>$C309&lt;&gt;""</formula>
    </cfRule>
  </conditionalFormatting>
  <conditionalFormatting sqref="S305:S307">
    <cfRule type="expression" dxfId="6900" priority="6137" stopIfTrue="1">
      <formula>$B305&lt;&gt;""</formula>
    </cfRule>
  </conditionalFormatting>
  <conditionalFormatting sqref="S305:S307">
    <cfRule type="expression" dxfId="6899" priority="6136" stopIfTrue="1">
      <formula>$C305&lt;&gt;""</formula>
    </cfRule>
  </conditionalFormatting>
  <conditionalFormatting sqref="S308:S309">
    <cfRule type="expression" dxfId="6898" priority="6135" stopIfTrue="1">
      <formula>$B308&lt;&gt;""</formula>
    </cfRule>
  </conditionalFormatting>
  <conditionalFormatting sqref="S308:S309">
    <cfRule type="expression" dxfId="6897" priority="6134" stopIfTrue="1">
      <formula>$C308&lt;&gt;""</formula>
    </cfRule>
  </conditionalFormatting>
  <conditionalFormatting sqref="S305:S308">
    <cfRule type="expression" dxfId="6896" priority="6133" stopIfTrue="1">
      <formula>$B305&lt;&gt;""</formula>
    </cfRule>
  </conditionalFormatting>
  <conditionalFormatting sqref="S305:S308">
    <cfRule type="expression" dxfId="6895" priority="6132" stopIfTrue="1">
      <formula>$C305&lt;&gt;""</formula>
    </cfRule>
  </conditionalFormatting>
  <conditionalFormatting sqref="S305:S308">
    <cfRule type="expression" dxfId="6894" priority="6131" stopIfTrue="1">
      <formula>$B305&lt;&gt;""</formula>
    </cfRule>
  </conditionalFormatting>
  <conditionalFormatting sqref="S305:S308">
    <cfRule type="expression" dxfId="6893" priority="6130" stopIfTrue="1">
      <formula>$C305&lt;&gt;""</formula>
    </cfRule>
  </conditionalFormatting>
  <conditionalFormatting sqref="S309">
    <cfRule type="expression" dxfId="6892" priority="6129" stopIfTrue="1">
      <formula>$B309&lt;&gt;""</formula>
    </cfRule>
  </conditionalFormatting>
  <conditionalFormatting sqref="S309">
    <cfRule type="expression" dxfId="6891" priority="6128" stopIfTrue="1">
      <formula>$C309&lt;&gt;""</formula>
    </cfRule>
  </conditionalFormatting>
  <conditionalFormatting sqref="S305:S308">
    <cfRule type="expression" dxfId="6890" priority="6127" stopIfTrue="1">
      <formula>$B305&lt;&gt;""</formula>
    </cfRule>
  </conditionalFormatting>
  <conditionalFormatting sqref="S305:S308">
    <cfRule type="expression" dxfId="6889" priority="6126" stopIfTrue="1">
      <formula>$C305&lt;&gt;""</formula>
    </cfRule>
  </conditionalFormatting>
  <conditionalFormatting sqref="S309">
    <cfRule type="expression" dxfId="6888" priority="6125" stopIfTrue="1">
      <formula>$B309&lt;&gt;""</formula>
    </cfRule>
  </conditionalFormatting>
  <conditionalFormatting sqref="S309">
    <cfRule type="expression" dxfId="6887" priority="6124" stopIfTrue="1">
      <formula>$C309&lt;&gt;""</formula>
    </cfRule>
  </conditionalFormatting>
  <conditionalFormatting sqref="S309">
    <cfRule type="expression" dxfId="6886" priority="6123" stopIfTrue="1">
      <formula>$B309&lt;&gt;""</formula>
    </cfRule>
  </conditionalFormatting>
  <conditionalFormatting sqref="S309">
    <cfRule type="expression" dxfId="6885" priority="6122" stopIfTrue="1">
      <formula>$C309&lt;&gt;""</formula>
    </cfRule>
  </conditionalFormatting>
  <conditionalFormatting sqref="S305">
    <cfRule type="expression" dxfId="6884" priority="6121" stopIfTrue="1">
      <formula>$C305&lt;&gt;""</formula>
    </cfRule>
  </conditionalFormatting>
  <conditionalFormatting sqref="S305">
    <cfRule type="expression" dxfId="6883" priority="6120" stopIfTrue="1">
      <formula>$B305&lt;&gt;""</formula>
    </cfRule>
  </conditionalFormatting>
  <conditionalFormatting sqref="S306:S309">
    <cfRule type="expression" dxfId="6882" priority="6119" stopIfTrue="1">
      <formula>$C306&lt;&gt;""</formula>
    </cfRule>
  </conditionalFormatting>
  <conditionalFormatting sqref="S306:S309">
    <cfRule type="expression" dxfId="6881" priority="6118" stopIfTrue="1">
      <formula>$B306&lt;&gt;""</formula>
    </cfRule>
  </conditionalFormatting>
  <conditionalFormatting sqref="S308:S309">
    <cfRule type="expression" dxfId="6880" priority="6117" stopIfTrue="1">
      <formula>$C308&lt;&gt;""</formula>
    </cfRule>
  </conditionalFormatting>
  <conditionalFormatting sqref="S308:S309">
    <cfRule type="expression" dxfId="6879" priority="6116" stopIfTrue="1">
      <formula>$B308&lt;&gt;""</formula>
    </cfRule>
  </conditionalFormatting>
  <conditionalFormatting sqref="S305">
    <cfRule type="expression" dxfId="6878" priority="6115" stopIfTrue="1">
      <formula>$B305&lt;&gt;""</formula>
    </cfRule>
  </conditionalFormatting>
  <conditionalFormatting sqref="S305">
    <cfRule type="expression" dxfId="6877" priority="6114" stopIfTrue="1">
      <formula>$C305&lt;&gt;""</formula>
    </cfRule>
  </conditionalFormatting>
  <conditionalFormatting sqref="S306">
    <cfRule type="expression" dxfId="6876" priority="6113" stopIfTrue="1">
      <formula>$B306&lt;&gt;""</formula>
    </cfRule>
  </conditionalFormatting>
  <conditionalFormatting sqref="S306">
    <cfRule type="expression" dxfId="6875" priority="6112" stopIfTrue="1">
      <formula>$C306&lt;&gt;""</formula>
    </cfRule>
  </conditionalFormatting>
  <conditionalFormatting sqref="S305">
    <cfRule type="expression" dxfId="6874" priority="6111" stopIfTrue="1">
      <formula>$B305&lt;&gt;""</formula>
    </cfRule>
  </conditionalFormatting>
  <conditionalFormatting sqref="S305">
    <cfRule type="expression" dxfId="6873" priority="6110" stopIfTrue="1">
      <formula>$C305&lt;&gt;""</formula>
    </cfRule>
  </conditionalFormatting>
  <conditionalFormatting sqref="S306:S309">
    <cfRule type="expression" dxfId="6872" priority="6109" stopIfTrue="1">
      <formula>$B306&lt;&gt;""</formula>
    </cfRule>
  </conditionalFormatting>
  <conditionalFormatting sqref="S306:S309">
    <cfRule type="expression" dxfId="6871" priority="6108" stopIfTrue="1">
      <formula>$C306&lt;&gt;""</formula>
    </cfRule>
  </conditionalFormatting>
  <conditionalFormatting sqref="S305">
    <cfRule type="expression" dxfId="6870" priority="6107" stopIfTrue="1">
      <formula>$B305&lt;&gt;""</formula>
    </cfRule>
  </conditionalFormatting>
  <conditionalFormatting sqref="S305">
    <cfRule type="expression" dxfId="6869" priority="6106" stopIfTrue="1">
      <formula>$C305&lt;&gt;""</formula>
    </cfRule>
  </conditionalFormatting>
  <conditionalFormatting sqref="S306:S309">
    <cfRule type="expression" dxfId="6868" priority="6105" stopIfTrue="1">
      <formula>$B306&lt;&gt;""</formula>
    </cfRule>
  </conditionalFormatting>
  <conditionalFormatting sqref="S306:S309">
    <cfRule type="expression" dxfId="6867" priority="6104" stopIfTrue="1">
      <formula>$C306&lt;&gt;""</formula>
    </cfRule>
  </conditionalFormatting>
  <conditionalFormatting sqref="S305:S309">
    <cfRule type="expression" dxfId="6866" priority="6103" stopIfTrue="1">
      <formula>$B305&lt;&gt;""</formula>
    </cfRule>
  </conditionalFormatting>
  <conditionalFormatting sqref="S305:S309">
    <cfRule type="expression" dxfId="6865" priority="6102" stopIfTrue="1">
      <formula>$C305&lt;&gt;""</formula>
    </cfRule>
  </conditionalFormatting>
  <conditionalFormatting sqref="S305:S309">
    <cfRule type="expression" dxfId="6864" priority="6101" stopIfTrue="1">
      <formula>$B305&lt;&gt;""</formula>
    </cfRule>
  </conditionalFormatting>
  <conditionalFormatting sqref="S305:S309">
    <cfRule type="expression" dxfId="6863" priority="6100" stopIfTrue="1">
      <formula>$C305&lt;&gt;""</formula>
    </cfRule>
  </conditionalFormatting>
  <conditionalFormatting sqref="S305:S309">
    <cfRule type="expression" dxfId="6862" priority="6099" stopIfTrue="1">
      <formula>$B305&lt;&gt;""</formula>
    </cfRule>
  </conditionalFormatting>
  <conditionalFormatting sqref="S305:S309">
    <cfRule type="expression" dxfId="6861" priority="6098" stopIfTrue="1">
      <formula>$C305&lt;&gt;""</formula>
    </cfRule>
  </conditionalFormatting>
  <conditionalFormatting sqref="S305:S309">
    <cfRule type="expression" dxfId="6860" priority="6097" stopIfTrue="1">
      <formula>$B305&lt;&gt;""</formula>
    </cfRule>
  </conditionalFormatting>
  <conditionalFormatting sqref="S305:S309">
    <cfRule type="expression" dxfId="6859" priority="6096" stopIfTrue="1">
      <formula>$C305&lt;&gt;""</formula>
    </cfRule>
  </conditionalFormatting>
  <conditionalFormatting sqref="S305:S309">
    <cfRule type="expression" dxfId="6858" priority="6095" stopIfTrue="1">
      <formula>$B305&lt;&gt;""</formula>
    </cfRule>
  </conditionalFormatting>
  <conditionalFormatting sqref="S305:S309">
    <cfRule type="expression" dxfId="6857" priority="6094" stopIfTrue="1">
      <formula>$C305&lt;&gt;""</formula>
    </cfRule>
  </conditionalFormatting>
  <conditionalFormatting sqref="S305:S309">
    <cfRule type="expression" dxfId="6856" priority="6093" stopIfTrue="1">
      <formula>$B305&lt;&gt;""</formula>
    </cfRule>
  </conditionalFormatting>
  <conditionalFormatting sqref="S305:S309">
    <cfRule type="expression" dxfId="6855" priority="6092" stopIfTrue="1">
      <formula>$C305&lt;&gt;""</formula>
    </cfRule>
  </conditionalFormatting>
  <conditionalFormatting sqref="S305:S309">
    <cfRule type="expression" dxfId="6854" priority="6091" stopIfTrue="1">
      <formula>$B305&lt;&gt;""</formula>
    </cfRule>
  </conditionalFormatting>
  <conditionalFormatting sqref="S305:S309">
    <cfRule type="expression" dxfId="6853" priority="6090" stopIfTrue="1">
      <formula>$C305&lt;&gt;""</formula>
    </cfRule>
  </conditionalFormatting>
  <conditionalFormatting sqref="S305:S308">
    <cfRule type="expression" dxfId="6852" priority="6089" stopIfTrue="1">
      <formula>$B305&lt;&gt;""</formula>
    </cfRule>
  </conditionalFormatting>
  <conditionalFormatting sqref="S305:S308">
    <cfRule type="expression" dxfId="6851" priority="6088" stopIfTrue="1">
      <formula>$C305&lt;&gt;""</formula>
    </cfRule>
  </conditionalFormatting>
  <conditionalFormatting sqref="S309">
    <cfRule type="expression" dxfId="6850" priority="6087" stopIfTrue="1">
      <formula>$B309&lt;&gt;""</formula>
    </cfRule>
  </conditionalFormatting>
  <conditionalFormatting sqref="S309">
    <cfRule type="expression" dxfId="6849" priority="6086" stopIfTrue="1">
      <formula>$C309&lt;&gt;""</formula>
    </cfRule>
  </conditionalFormatting>
  <conditionalFormatting sqref="S305:S307">
    <cfRule type="expression" dxfId="6848" priority="6085" stopIfTrue="1">
      <formula>$B305&lt;&gt;""</formula>
    </cfRule>
  </conditionalFormatting>
  <conditionalFormatting sqref="S305:S307">
    <cfRule type="expression" dxfId="6847" priority="6084" stopIfTrue="1">
      <formula>$C305&lt;&gt;""</formula>
    </cfRule>
  </conditionalFormatting>
  <conditionalFormatting sqref="S308:S309">
    <cfRule type="expression" dxfId="6846" priority="6083" stopIfTrue="1">
      <formula>$B308&lt;&gt;""</formula>
    </cfRule>
  </conditionalFormatting>
  <conditionalFormatting sqref="S308:S309">
    <cfRule type="expression" dxfId="6845" priority="6082" stopIfTrue="1">
      <formula>$C308&lt;&gt;""</formula>
    </cfRule>
  </conditionalFormatting>
  <conditionalFormatting sqref="S305:S308">
    <cfRule type="expression" dxfId="6844" priority="6081" stopIfTrue="1">
      <formula>$B305&lt;&gt;""</formula>
    </cfRule>
  </conditionalFormatting>
  <conditionalFormatting sqref="S305:S308">
    <cfRule type="expression" dxfId="6843" priority="6080" stopIfTrue="1">
      <formula>$C305&lt;&gt;""</formula>
    </cfRule>
  </conditionalFormatting>
  <conditionalFormatting sqref="S305:S308">
    <cfRule type="expression" dxfId="6842" priority="6079" stopIfTrue="1">
      <formula>$B305&lt;&gt;""</formula>
    </cfRule>
  </conditionalFormatting>
  <conditionalFormatting sqref="S305:S308">
    <cfRule type="expression" dxfId="6841" priority="6078" stopIfTrue="1">
      <formula>$C305&lt;&gt;""</formula>
    </cfRule>
  </conditionalFormatting>
  <conditionalFormatting sqref="S309">
    <cfRule type="expression" dxfId="6840" priority="6077" stopIfTrue="1">
      <formula>$B309&lt;&gt;""</formula>
    </cfRule>
  </conditionalFormatting>
  <conditionalFormatting sqref="S309">
    <cfRule type="expression" dxfId="6839" priority="6076" stopIfTrue="1">
      <formula>$C309&lt;&gt;""</formula>
    </cfRule>
  </conditionalFormatting>
  <conditionalFormatting sqref="S305:S308">
    <cfRule type="expression" dxfId="6838" priority="6075" stopIfTrue="1">
      <formula>$B305&lt;&gt;""</formula>
    </cfRule>
  </conditionalFormatting>
  <conditionalFormatting sqref="S305:S308">
    <cfRule type="expression" dxfId="6837" priority="6074" stopIfTrue="1">
      <formula>$C305&lt;&gt;""</formula>
    </cfRule>
  </conditionalFormatting>
  <conditionalFormatting sqref="S309">
    <cfRule type="expression" dxfId="6836" priority="6073" stopIfTrue="1">
      <formula>$B309&lt;&gt;""</formula>
    </cfRule>
  </conditionalFormatting>
  <conditionalFormatting sqref="S309">
    <cfRule type="expression" dxfId="6835" priority="6072" stopIfTrue="1">
      <formula>$C309&lt;&gt;""</formula>
    </cfRule>
  </conditionalFormatting>
  <conditionalFormatting sqref="S309">
    <cfRule type="expression" dxfId="6834" priority="6071" stopIfTrue="1">
      <formula>$B309&lt;&gt;""</formula>
    </cfRule>
  </conditionalFormatting>
  <conditionalFormatting sqref="S309">
    <cfRule type="expression" dxfId="6833" priority="6070" stopIfTrue="1">
      <formula>$C309&lt;&gt;""</formula>
    </cfRule>
  </conditionalFormatting>
  <conditionalFormatting sqref="S305">
    <cfRule type="expression" dxfId="6832" priority="6069" stopIfTrue="1">
      <formula>$C305&lt;&gt;""</formula>
    </cfRule>
  </conditionalFormatting>
  <conditionalFormatting sqref="S305">
    <cfRule type="expression" dxfId="6831" priority="6068" stopIfTrue="1">
      <formula>$B305&lt;&gt;""</formula>
    </cfRule>
  </conditionalFormatting>
  <conditionalFormatting sqref="S306:S309">
    <cfRule type="expression" dxfId="6830" priority="6067" stopIfTrue="1">
      <formula>$C306&lt;&gt;""</formula>
    </cfRule>
  </conditionalFormatting>
  <conditionalFormatting sqref="S306:S309">
    <cfRule type="expression" dxfId="6829" priority="6066" stopIfTrue="1">
      <formula>$B306&lt;&gt;""</formula>
    </cfRule>
  </conditionalFormatting>
  <conditionalFormatting sqref="S308:S309">
    <cfRule type="expression" dxfId="6828" priority="6065" stopIfTrue="1">
      <formula>$C308&lt;&gt;""</formula>
    </cfRule>
  </conditionalFormatting>
  <conditionalFormatting sqref="S308:S309">
    <cfRule type="expression" dxfId="6827" priority="6064" stopIfTrue="1">
      <formula>$B308&lt;&gt;""</formula>
    </cfRule>
  </conditionalFormatting>
  <conditionalFormatting sqref="S305:S308">
    <cfRule type="expression" dxfId="6826" priority="6063" stopIfTrue="1">
      <formula>$B305&lt;&gt;""</formula>
    </cfRule>
  </conditionalFormatting>
  <conditionalFormatting sqref="S305:S308">
    <cfRule type="expression" dxfId="6825" priority="6062" stopIfTrue="1">
      <formula>$C305&lt;&gt;""</formula>
    </cfRule>
  </conditionalFormatting>
  <conditionalFormatting sqref="S309">
    <cfRule type="expression" dxfId="6824" priority="6061" stopIfTrue="1">
      <formula>$B309&lt;&gt;""</formula>
    </cfRule>
  </conditionalFormatting>
  <conditionalFormatting sqref="S309">
    <cfRule type="expression" dxfId="6823" priority="6060" stopIfTrue="1">
      <formula>$C309&lt;&gt;""</formula>
    </cfRule>
  </conditionalFormatting>
  <conditionalFormatting sqref="S305:S307">
    <cfRule type="expression" dxfId="6822" priority="6059" stopIfTrue="1">
      <formula>$B305&lt;&gt;""</formula>
    </cfRule>
  </conditionalFormatting>
  <conditionalFormatting sqref="S305:S307">
    <cfRule type="expression" dxfId="6821" priority="6058" stopIfTrue="1">
      <formula>$C305&lt;&gt;""</formula>
    </cfRule>
  </conditionalFormatting>
  <conditionalFormatting sqref="S308:S309">
    <cfRule type="expression" dxfId="6820" priority="6057" stopIfTrue="1">
      <formula>$B308&lt;&gt;""</formula>
    </cfRule>
  </conditionalFormatting>
  <conditionalFormatting sqref="S308:S309">
    <cfRule type="expression" dxfId="6819" priority="6056" stopIfTrue="1">
      <formula>$C308&lt;&gt;""</formula>
    </cfRule>
  </conditionalFormatting>
  <conditionalFormatting sqref="S305:S308">
    <cfRule type="expression" dxfId="6818" priority="6055" stopIfTrue="1">
      <formula>$B305&lt;&gt;""</formula>
    </cfRule>
  </conditionalFormatting>
  <conditionalFormatting sqref="S305:S308">
    <cfRule type="expression" dxfId="6817" priority="6054" stopIfTrue="1">
      <formula>$C305&lt;&gt;""</formula>
    </cfRule>
  </conditionalFormatting>
  <conditionalFormatting sqref="S305:S308">
    <cfRule type="expression" dxfId="6816" priority="6053" stopIfTrue="1">
      <formula>$B305&lt;&gt;""</formula>
    </cfRule>
  </conditionalFormatting>
  <conditionalFormatting sqref="S305:S308">
    <cfRule type="expression" dxfId="6815" priority="6052" stopIfTrue="1">
      <formula>$C305&lt;&gt;""</formula>
    </cfRule>
  </conditionalFormatting>
  <conditionalFormatting sqref="S309">
    <cfRule type="expression" dxfId="6814" priority="6051" stopIfTrue="1">
      <formula>$B309&lt;&gt;""</formula>
    </cfRule>
  </conditionalFormatting>
  <conditionalFormatting sqref="S309">
    <cfRule type="expression" dxfId="6813" priority="6050" stopIfTrue="1">
      <formula>$C309&lt;&gt;""</formula>
    </cfRule>
  </conditionalFormatting>
  <conditionalFormatting sqref="S305:S308">
    <cfRule type="expression" dxfId="6812" priority="6049" stopIfTrue="1">
      <formula>$B305&lt;&gt;""</formula>
    </cfRule>
  </conditionalFormatting>
  <conditionalFormatting sqref="S305:S308">
    <cfRule type="expression" dxfId="6811" priority="6048" stopIfTrue="1">
      <formula>$C305&lt;&gt;""</formula>
    </cfRule>
  </conditionalFormatting>
  <conditionalFormatting sqref="S309">
    <cfRule type="expression" dxfId="6810" priority="6047" stopIfTrue="1">
      <formula>$B309&lt;&gt;""</formula>
    </cfRule>
  </conditionalFormatting>
  <conditionalFormatting sqref="S309">
    <cfRule type="expression" dxfId="6809" priority="6046" stopIfTrue="1">
      <formula>$C309&lt;&gt;""</formula>
    </cfRule>
  </conditionalFormatting>
  <conditionalFormatting sqref="S309">
    <cfRule type="expression" dxfId="6808" priority="6045" stopIfTrue="1">
      <formula>$B309&lt;&gt;""</formula>
    </cfRule>
  </conditionalFormatting>
  <conditionalFormatting sqref="S309">
    <cfRule type="expression" dxfId="6807" priority="6044" stopIfTrue="1">
      <formula>$C309&lt;&gt;""</formula>
    </cfRule>
  </conditionalFormatting>
  <conditionalFormatting sqref="S305">
    <cfRule type="expression" dxfId="6806" priority="6043" stopIfTrue="1">
      <formula>$C305&lt;&gt;""</formula>
    </cfRule>
  </conditionalFormatting>
  <conditionalFormatting sqref="S305">
    <cfRule type="expression" dxfId="6805" priority="6042" stopIfTrue="1">
      <formula>$B305&lt;&gt;""</formula>
    </cfRule>
  </conditionalFormatting>
  <conditionalFormatting sqref="S306:S309">
    <cfRule type="expression" dxfId="6804" priority="6041" stopIfTrue="1">
      <formula>$C306&lt;&gt;""</formula>
    </cfRule>
  </conditionalFormatting>
  <conditionalFormatting sqref="S306:S309">
    <cfRule type="expression" dxfId="6803" priority="6040" stopIfTrue="1">
      <formula>$B306&lt;&gt;""</formula>
    </cfRule>
  </conditionalFormatting>
  <conditionalFormatting sqref="S308:S309">
    <cfRule type="expression" dxfId="6802" priority="6039" stopIfTrue="1">
      <formula>$C308&lt;&gt;""</formula>
    </cfRule>
  </conditionalFormatting>
  <conditionalFormatting sqref="S308:S309">
    <cfRule type="expression" dxfId="6801" priority="6038" stopIfTrue="1">
      <formula>$B308&lt;&gt;""</formula>
    </cfRule>
  </conditionalFormatting>
  <conditionalFormatting sqref="S310">
    <cfRule type="expression" dxfId="6800" priority="6037" stopIfTrue="1">
      <formula>$B310&lt;&gt;""</formula>
    </cfRule>
  </conditionalFormatting>
  <conditionalFormatting sqref="S310">
    <cfRule type="expression" dxfId="6799" priority="6036" stopIfTrue="1">
      <formula>$C310&lt;&gt;""</formula>
    </cfRule>
  </conditionalFormatting>
  <conditionalFormatting sqref="S310">
    <cfRule type="expression" dxfId="6798" priority="6035" stopIfTrue="1">
      <formula>$B310&lt;&gt;""</formula>
    </cfRule>
  </conditionalFormatting>
  <conditionalFormatting sqref="S310">
    <cfRule type="expression" dxfId="6797" priority="6034" stopIfTrue="1">
      <formula>$C310&lt;&gt;""</formula>
    </cfRule>
  </conditionalFormatting>
  <conditionalFormatting sqref="S310">
    <cfRule type="expression" dxfId="6796" priority="6033" stopIfTrue="1">
      <formula>$B310&lt;&gt;""</formula>
    </cfRule>
  </conditionalFormatting>
  <conditionalFormatting sqref="S310">
    <cfRule type="expression" dxfId="6795" priority="6032" stopIfTrue="1">
      <formula>$C310&lt;&gt;""</formula>
    </cfRule>
  </conditionalFormatting>
  <conditionalFormatting sqref="S310">
    <cfRule type="expression" dxfId="6794" priority="6031" stopIfTrue="1">
      <formula>$B310&lt;&gt;""</formula>
    </cfRule>
  </conditionalFormatting>
  <conditionalFormatting sqref="S310">
    <cfRule type="expression" dxfId="6793" priority="6030" stopIfTrue="1">
      <formula>$C310&lt;&gt;""</formula>
    </cfRule>
  </conditionalFormatting>
  <conditionalFormatting sqref="S310">
    <cfRule type="expression" dxfId="6792" priority="6029" stopIfTrue="1">
      <formula>$B310&lt;&gt;""</formula>
    </cfRule>
  </conditionalFormatting>
  <conditionalFormatting sqref="S310">
    <cfRule type="expression" dxfId="6791" priority="6028" stopIfTrue="1">
      <formula>$C310&lt;&gt;""</formula>
    </cfRule>
  </conditionalFormatting>
  <conditionalFormatting sqref="S310">
    <cfRule type="expression" dxfId="6790" priority="6027" stopIfTrue="1">
      <formula>$B310&lt;&gt;""</formula>
    </cfRule>
  </conditionalFormatting>
  <conditionalFormatting sqref="S310">
    <cfRule type="expression" dxfId="6789" priority="6026" stopIfTrue="1">
      <formula>$C310&lt;&gt;""</formula>
    </cfRule>
  </conditionalFormatting>
  <conditionalFormatting sqref="S310">
    <cfRule type="expression" dxfId="6788" priority="6025" stopIfTrue="1">
      <formula>$B310&lt;&gt;""</formula>
    </cfRule>
  </conditionalFormatting>
  <conditionalFormatting sqref="S310">
    <cfRule type="expression" dxfId="6787" priority="6024" stopIfTrue="1">
      <formula>$C310&lt;&gt;""</formula>
    </cfRule>
  </conditionalFormatting>
  <conditionalFormatting sqref="S310">
    <cfRule type="expression" dxfId="6786" priority="6023" stopIfTrue="1">
      <formula>$B310&lt;&gt;""</formula>
    </cfRule>
  </conditionalFormatting>
  <conditionalFormatting sqref="S310">
    <cfRule type="expression" dxfId="6785" priority="6022" stopIfTrue="1">
      <formula>$C310&lt;&gt;""</formula>
    </cfRule>
  </conditionalFormatting>
  <conditionalFormatting sqref="S310">
    <cfRule type="expression" dxfId="6784" priority="6021" stopIfTrue="1">
      <formula>$B310&lt;&gt;""</formula>
    </cfRule>
  </conditionalFormatting>
  <conditionalFormatting sqref="S310">
    <cfRule type="expression" dxfId="6783" priority="6020" stopIfTrue="1">
      <formula>$C310&lt;&gt;""</formula>
    </cfRule>
  </conditionalFormatting>
  <conditionalFormatting sqref="S310">
    <cfRule type="expression" dxfId="6782" priority="6019" stopIfTrue="1">
      <formula>$B310&lt;&gt;""</formula>
    </cfRule>
  </conditionalFormatting>
  <conditionalFormatting sqref="S310">
    <cfRule type="expression" dxfId="6781" priority="6018" stopIfTrue="1">
      <formula>$C310&lt;&gt;""</formula>
    </cfRule>
  </conditionalFormatting>
  <conditionalFormatting sqref="S310">
    <cfRule type="expression" dxfId="6780" priority="6017" stopIfTrue="1">
      <formula>$B310&lt;&gt;""</formula>
    </cfRule>
  </conditionalFormatting>
  <conditionalFormatting sqref="S310">
    <cfRule type="expression" dxfId="6779" priority="6016" stopIfTrue="1">
      <formula>$C310&lt;&gt;""</formula>
    </cfRule>
  </conditionalFormatting>
  <conditionalFormatting sqref="S310">
    <cfRule type="expression" dxfId="6778" priority="6015" stopIfTrue="1">
      <formula>$B310&lt;&gt;""</formula>
    </cfRule>
  </conditionalFormatting>
  <conditionalFormatting sqref="S310">
    <cfRule type="expression" dxfId="6777" priority="6014" stopIfTrue="1">
      <formula>$C310&lt;&gt;""</formula>
    </cfRule>
  </conditionalFormatting>
  <conditionalFormatting sqref="S310">
    <cfRule type="expression" dxfId="6776" priority="6013" stopIfTrue="1">
      <formula>$B310&lt;&gt;""</formula>
    </cfRule>
  </conditionalFormatting>
  <conditionalFormatting sqref="S310">
    <cfRule type="expression" dxfId="6775" priority="6012" stopIfTrue="1">
      <formula>$C310&lt;&gt;""</formula>
    </cfRule>
  </conditionalFormatting>
  <conditionalFormatting sqref="S310">
    <cfRule type="expression" dxfId="6774" priority="6011" stopIfTrue="1">
      <formula>$B310&lt;&gt;""</formula>
    </cfRule>
  </conditionalFormatting>
  <conditionalFormatting sqref="S310">
    <cfRule type="expression" dxfId="6773" priority="6010" stopIfTrue="1">
      <formula>$C310&lt;&gt;""</formula>
    </cfRule>
  </conditionalFormatting>
  <conditionalFormatting sqref="S310">
    <cfRule type="expression" dxfId="6772" priority="6009" stopIfTrue="1">
      <formula>$C310&lt;&gt;""</formula>
    </cfRule>
  </conditionalFormatting>
  <conditionalFormatting sqref="S310">
    <cfRule type="expression" dxfId="6771" priority="6008" stopIfTrue="1">
      <formula>$B310&lt;&gt;""</formula>
    </cfRule>
  </conditionalFormatting>
  <conditionalFormatting sqref="S310">
    <cfRule type="expression" dxfId="6770" priority="6007" stopIfTrue="1">
      <formula>$C310&lt;&gt;""</formula>
    </cfRule>
  </conditionalFormatting>
  <conditionalFormatting sqref="S310">
    <cfRule type="expression" dxfId="6769" priority="6006" stopIfTrue="1">
      <formula>$B310&lt;&gt;""</formula>
    </cfRule>
  </conditionalFormatting>
  <conditionalFormatting sqref="S310">
    <cfRule type="expression" dxfId="6768" priority="6005" stopIfTrue="1">
      <formula>$B310&lt;&gt;""</formula>
    </cfRule>
  </conditionalFormatting>
  <conditionalFormatting sqref="S310">
    <cfRule type="expression" dxfId="6767" priority="6004" stopIfTrue="1">
      <formula>$C310&lt;&gt;""</formula>
    </cfRule>
  </conditionalFormatting>
  <conditionalFormatting sqref="S310">
    <cfRule type="expression" dxfId="6766" priority="6003" stopIfTrue="1">
      <formula>$B310&lt;&gt;""</formula>
    </cfRule>
  </conditionalFormatting>
  <conditionalFormatting sqref="S310">
    <cfRule type="expression" dxfId="6765" priority="6002" stopIfTrue="1">
      <formula>$C310&lt;&gt;""</formula>
    </cfRule>
  </conditionalFormatting>
  <conditionalFormatting sqref="S310">
    <cfRule type="expression" dxfId="6764" priority="6001" stopIfTrue="1">
      <formula>$B310&lt;&gt;""</formula>
    </cfRule>
  </conditionalFormatting>
  <conditionalFormatting sqref="S310">
    <cfRule type="expression" dxfId="6763" priority="6000" stopIfTrue="1">
      <formula>$C310&lt;&gt;""</formula>
    </cfRule>
  </conditionalFormatting>
  <conditionalFormatting sqref="S310">
    <cfRule type="expression" dxfId="6762" priority="5999" stopIfTrue="1">
      <formula>$B310&lt;&gt;""</formula>
    </cfRule>
  </conditionalFormatting>
  <conditionalFormatting sqref="S310">
    <cfRule type="expression" dxfId="6761" priority="5998" stopIfTrue="1">
      <formula>$C310&lt;&gt;""</formula>
    </cfRule>
  </conditionalFormatting>
  <conditionalFormatting sqref="S310">
    <cfRule type="expression" dxfId="6760" priority="5997" stopIfTrue="1">
      <formula>$B310&lt;&gt;""</formula>
    </cfRule>
  </conditionalFormatting>
  <conditionalFormatting sqref="S310">
    <cfRule type="expression" dxfId="6759" priority="5996" stopIfTrue="1">
      <formula>$C310&lt;&gt;""</formula>
    </cfRule>
  </conditionalFormatting>
  <conditionalFormatting sqref="S310">
    <cfRule type="expression" dxfId="6758" priority="5995" stopIfTrue="1">
      <formula>$C310&lt;&gt;""</formula>
    </cfRule>
  </conditionalFormatting>
  <conditionalFormatting sqref="S310">
    <cfRule type="expression" dxfId="6757" priority="5994" stopIfTrue="1">
      <formula>$B310&lt;&gt;""</formula>
    </cfRule>
  </conditionalFormatting>
  <conditionalFormatting sqref="S310">
    <cfRule type="expression" dxfId="6756" priority="5993" stopIfTrue="1">
      <formula>$C310&lt;&gt;""</formula>
    </cfRule>
  </conditionalFormatting>
  <conditionalFormatting sqref="S310">
    <cfRule type="expression" dxfId="6755" priority="5992" stopIfTrue="1">
      <formula>$B310&lt;&gt;""</formula>
    </cfRule>
  </conditionalFormatting>
  <conditionalFormatting sqref="S310">
    <cfRule type="expression" dxfId="6754" priority="5991" stopIfTrue="1">
      <formula>$B310&lt;&gt;""</formula>
    </cfRule>
  </conditionalFormatting>
  <conditionalFormatting sqref="S310">
    <cfRule type="expression" dxfId="6753" priority="5990" stopIfTrue="1">
      <formula>$C310&lt;&gt;""</formula>
    </cfRule>
  </conditionalFormatting>
  <conditionalFormatting sqref="S311">
    <cfRule type="expression" dxfId="6752" priority="5989" stopIfTrue="1">
      <formula>$B311&lt;&gt;""</formula>
    </cfRule>
  </conditionalFormatting>
  <conditionalFormatting sqref="S311">
    <cfRule type="expression" dxfId="6751" priority="5988" stopIfTrue="1">
      <formula>$C311&lt;&gt;""</formula>
    </cfRule>
  </conditionalFormatting>
  <conditionalFormatting sqref="S310">
    <cfRule type="expression" dxfId="6750" priority="5987" stopIfTrue="1">
      <formula>$B310&lt;&gt;""</formula>
    </cfRule>
  </conditionalFormatting>
  <conditionalFormatting sqref="S310">
    <cfRule type="expression" dxfId="6749" priority="5986" stopIfTrue="1">
      <formula>$C310&lt;&gt;""</formula>
    </cfRule>
  </conditionalFormatting>
  <conditionalFormatting sqref="S311:S314">
    <cfRule type="expression" dxfId="6748" priority="5985" stopIfTrue="1">
      <formula>$B311&lt;&gt;""</formula>
    </cfRule>
  </conditionalFormatting>
  <conditionalFormatting sqref="S311:S314">
    <cfRule type="expression" dxfId="6747" priority="5984" stopIfTrue="1">
      <formula>$C311&lt;&gt;""</formula>
    </cfRule>
  </conditionalFormatting>
  <conditionalFormatting sqref="S310">
    <cfRule type="expression" dxfId="6746" priority="5983" stopIfTrue="1">
      <formula>$B310&lt;&gt;""</formula>
    </cfRule>
  </conditionalFormatting>
  <conditionalFormatting sqref="S310">
    <cfRule type="expression" dxfId="6745" priority="5982" stopIfTrue="1">
      <formula>$C310&lt;&gt;""</formula>
    </cfRule>
  </conditionalFormatting>
  <conditionalFormatting sqref="S311:S314">
    <cfRule type="expression" dxfId="6744" priority="5981" stopIfTrue="1">
      <formula>$B311&lt;&gt;""</formula>
    </cfRule>
  </conditionalFormatting>
  <conditionalFormatting sqref="S311:S314">
    <cfRule type="expression" dxfId="6743" priority="5980" stopIfTrue="1">
      <formula>$C311&lt;&gt;""</formula>
    </cfRule>
  </conditionalFormatting>
  <conditionalFormatting sqref="S310:S314">
    <cfRule type="expression" dxfId="6742" priority="5979" stopIfTrue="1">
      <formula>$B310&lt;&gt;""</formula>
    </cfRule>
  </conditionalFormatting>
  <conditionalFormatting sqref="S310:S314">
    <cfRule type="expression" dxfId="6741" priority="5978" stopIfTrue="1">
      <formula>$C310&lt;&gt;""</formula>
    </cfRule>
  </conditionalFormatting>
  <conditionalFormatting sqref="S310:S314">
    <cfRule type="expression" dxfId="6740" priority="5977" stopIfTrue="1">
      <formula>$B310&lt;&gt;""</formula>
    </cfRule>
  </conditionalFormatting>
  <conditionalFormatting sqref="S310:S314">
    <cfRule type="expression" dxfId="6739" priority="5976" stopIfTrue="1">
      <formula>$C310&lt;&gt;""</formula>
    </cfRule>
  </conditionalFormatting>
  <conditionalFormatting sqref="S310:S314">
    <cfRule type="expression" dxfId="6738" priority="5975" stopIfTrue="1">
      <formula>$B310&lt;&gt;""</formula>
    </cfRule>
  </conditionalFormatting>
  <conditionalFormatting sqref="S310:S314">
    <cfRule type="expression" dxfId="6737" priority="5974" stopIfTrue="1">
      <formula>$C310&lt;&gt;""</formula>
    </cfRule>
  </conditionalFormatting>
  <conditionalFormatting sqref="S310:S314">
    <cfRule type="expression" dxfId="6736" priority="5973" stopIfTrue="1">
      <formula>$B310&lt;&gt;""</formula>
    </cfRule>
  </conditionalFormatting>
  <conditionalFormatting sqref="S310:S314">
    <cfRule type="expression" dxfId="6735" priority="5972" stopIfTrue="1">
      <formula>$C310&lt;&gt;""</formula>
    </cfRule>
  </conditionalFormatting>
  <conditionalFormatting sqref="S310:S314">
    <cfRule type="expression" dxfId="6734" priority="5971" stopIfTrue="1">
      <formula>$B310&lt;&gt;""</formula>
    </cfRule>
  </conditionalFormatting>
  <conditionalFormatting sqref="S310:S314">
    <cfRule type="expression" dxfId="6733" priority="5970" stopIfTrue="1">
      <formula>$C310&lt;&gt;""</formula>
    </cfRule>
  </conditionalFormatting>
  <conditionalFormatting sqref="S310:S314">
    <cfRule type="expression" dxfId="6732" priority="5969" stopIfTrue="1">
      <formula>$B310&lt;&gt;""</formula>
    </cfRule>
  </conditionalFormatting>
  <conditionalFormatting sqref="S310:S314">
    <cfRule type="expression" dxfId="6731" priority="5968" stopIfTrue="1">
      <formula>$C310&lt;&gt;""</formula>
    </cfRule>
  </conditionalFormatting>
  <conditionalFormatting sqref="S310:S314">
    <cfRule type="expression" dxfId="6730" priority="5967" stopIfTrue="1">
      <formula>$B310&lt;&gt;""</formula>
    </cfRule>
  </conditionalFormatting>
  <conditionalFormatting sqref="S310:S314">
    <cfRule type="expression" dxfId="6729" priority="5966" stopIfTrue="1">
      <formula>$C310&lt;&gt;""</formula>
    </cfRule>
  </conditionalFormatting>
  <conditionalFormatting sqref="S310:S313">
    <cfRule type="expression" dxfId="6728" priority="5965" stopIfTrue="1">
      <formula>$B310&lt;&gt;""</formula>
    </cfRule>
  </conditionalFormatting>
  <conditionalFormatting sqref="S310:S313">
    <cfRule type="expression" dxfId="6727" priority="5964" stopIfTrue="1">
      <formula>$C310&lt;&gt;""</formula>
    </cfRule>
  </conditionalFormatting>
  <conditionalFormatting sqref="S314">
    <cfRule type="expression" dxfId="6726" priority="5963" stopIfTrue="1">
      <formula>$B314&lt;&gt;""</formula>
    </cfRule>
  </conditionalFormatting>
  <conditionalFormatting sqref="S314">
    <cfRule type="expression" dxfId="6725" priority="5962" stopIfTrue="1">
      <formula>$C314&lt;&gt;""</formula>
    </cfRule>
  </conditionalFormatting>
  <conditionalFormatting sqref="S310:S312">
    <cfRule type="expression" dxfId="6724" priority="5961" stopIfTrue="1">
      <formula>$B310&lt;&gt;""</formula>
    </cfRule>
  </conditionalFormatting>
  <conditionalFormatting sqref="S310:S312">
    <cfRule type="expression" dxfId="6723" priority="5960" stopIfTrue="1">
      <formula>$C310&lt;&gt;""</formula>
    </cfRule>
  </conditionalFormatting>
  <conditionalFormatting sqref="S313:S314">
    <cfRule type="expression" dxfId="6722" priority="5959" stopIfTrue="1">
      <formula>$B313&lt;&gt;""</formula>
    </cfRule>
  </conditionalFormatting>
  <conditionalFormatting sqref="S313:S314">
    <cfRule type="expression" dxfId="6721" priority="5958" stopIfTrue="1">
      <formula>$C313&lt;&gt;""</formula>
    </cfRule>
  </conditionalFormatting>
  <conditionalFormatting sqref="S310:S313">
    <cfRule type="expression" dxfId="6720" priority="5957" stopIfTrue="1">
      <formula>$B310&lt;&gt;""</formula>
    </cfRule>
  </conditionalFormatting>
  <conditionalFormatting sqref="S310:S313">
    <cfRule type="expression" dxfId="6719" priority="5956" stopIfTrue="1">
      <formula>$C310&lt;&gt;""</formula>
    </cfRule>
  </conditionalFormatting>
  <conditionalFormatting sqref="S310:S313">
    <cfRule type="expression" dxfId="6718" priority="5955" stopIfTrue="1">
      <formula>$B310&lt;&gt;""</formula>
    </cfRule>
  </conditionalFormatting>
  <conditionalFormatting sqref="S310:S313">
    <cfRule type="expression" dxfId="6717" priority="5954" stopIfTrue="1">
      <formula>$C310&lt;&gt;""</formula>
    </cfRule>
  </conditionalFormatting>
  <conditionalFormatting sqref="S314">
    <cfRule type="expression" dxfId="6716" priority="5953" stopIfTrue="1">
      <formula>$B314&lt;&gt;""</formula>
    </cfRule>
  </conditionalFormatting>
  <conditionalFormatting sqref="S314">
    <cfRule type="expression" dxfId="6715" priority="5952" stopIfTrue="1">
      <formula>$C314&lt;&gt;""</formula>
    </cfRule>
  </conditionalFormatting>
  <conditionalFormatting sqref="S310:S313">
    <cfRule type="expression" dxfId="6714" priority="5951" stopIfTrue="1">
      <formula>$B310&lt;&gt;""</formula>
    </cfRule>
  </conditionalFormatting>
  <conditionalFormatting sqref="S310:S313">
    <cfRule type="expression" dxfId="6713" priority="5950" stopIfTrue="1">
      <formula>$C310&lt;&gt;""</formula>
    </cfRule>
  </conditionalFormatting>
  <conditionalFormatting sqref="S314">
    <cfRule type="expression" dxfId="6712" priority="5949" stopIfTrue="1">
      <formula>$B314&lt;&gt;""</formula>
    </cfRule>
  </conditionalFormatting>
  <conditionalFormatting sqref="S314">
    <cfRule type="expression" dxfId="6711" priority="5948" stopIfTrue="1">
      <formula>$C314&lt;&gt;""</formula>
    </cfRule>
  </conditionalFormatting>
  <conditionalFormatting sqref="S314">
    <cfRule type="expression" dxfId="6710" priority="5947" stopIfTrue="1">
      <formula>$B314&lt;&gt;""</formula>
    </cfRule>
  </conditionalFormatting>
  <conditionalFormatting sqref="S314">
    <cfRule type="expression" dxfId="6709" priority="5946" stopIfTrue="1">
      <formula>$C314&lt;&gt;""</formula>
    </cfRule>
  </conditionalFormatting>
  <conditionalFormatting sqref="S310">
    <cfRule type="expression" dxfId="6708" priority="5945" stopIfTrue="1">
      <formula>$C310&lt;&gt;""</formula>
    </cfRule>
  </conditionalFormatting>
  <conditionalFormatting sqref="S310">
    <cfRule type="expression" dxfId="6707" priority="5944" stopIfTrue="1">
      <formula>$B310&lt;&gt;""</formula>
    </cfRule>
  </conditionalFormatting>
  <conditionalFormatting sqref="S311:S314">
    <cfRule type="expression" dxfId="6706" priority="5943" stopIfTrue="1">
      <formula>$C311&lt;&gt;""</formula>
    </cfRule>
  </conditionalFormatting>
  <conditionalFormatting sqref="S311:S314">
    <cfRule type="expression" dxfId="6705" priority="5942" stopIfTrue="1">
      <formula>$B311&lt;&gt;""</formula>
    </cfRule>
  </conditionalFormatting>
  <conditionalFormatting sqref="S313:S314">
    <cfRule type="expression" dxfId="6704" priority="5941" stopIfTrue="1">
      <formula>$C313&lt;&gt;""</formula>
    </cfRule>
  </conditionalFormatting>
  <conditionalFormatting sqref="S313:S314">
    <cfRule type="expression" dxfId="6703" priority="5940" stopIfTrue="1">
      <formula>$B313&lt;&gt;""</formula>
    </cfRule>
  </conditionalFormatting>
  <conditionalFormatting sqref="S310:S313">
    <cfRule type="expression" dxfId="6702" priority="5939" stopIfTrue="1">
      <formula>$B310&lt;&gt;""</formula>
    </cfRule>
  </conditionalFormatting>
  <conditionalFormatting sqref="S310:S313">
    <cfRule type="expression" dxfId="6701" priority="5938" stopIfTrue="1">
      <formula>$C310&lt;&gt;""</formula>
    </cfRule>
  </conditionalFormatting>
  <conditionalFormatting sqref="S314">
    <cfRule type="expression" dxfId="6700" priority="5937" stopIfTrue="1">
      <formula>$B314&lt;&gt;""</formula>
    </cfRule>
  </conditionalFormatting>
  <conditionalFormatting sqref="S314">
    <cfRule type="expression" dxfId="6699" priority="5936" stopIfTrue="1">
      <formula>$C314&lt;&gt;""</formula>
    </cfRule>
  </conditionalFormatting>
  <conditionalFormatting sqref="S310:S312">
    <cfRule type="expression" dxfId="6698" priority="5935" stopIfTrue="1">
      <formula>$B310&lt;&gt;""</formula>
    </cfRule>
  </conditionalFormatting>
  <conditionalFormatting sqref="S310:S312">
    <cfRule type="expression" dxfId="6697" priority="5934" stopIfTrue="1">
      <formula>$C310&lt;&gt;""</formula>
    </cfRule>
  </conditionalFormatting>
  <conditionalFormatting sqref="S313:S314">
    <cfRule type="expression" dxfId="6696" priority="5933" stopIfTrue="1">
      <formula>$B313&lt;&gt;""</formula>
    </cfRule>
  </conditionalFormatting>
  <conditionalFormatting sqref="S313:S314">
    <cfRule type="expression" dxfId="6695" priority="5932" stopIfTrue="1">
      <formula>$C313&lt;&gt;""</formula>
    </cfRule>
  </conditionalFormatting>
  <conditionalFormatting sqref="S310:S313">
    <cfRule type="expression" dxfId="6694" priority="5931" stopIfTrue="1">
      <formula>$B310&lt;&gt;""</formula>
    </cfRule>
  </conditionalFormatting>
  <conditionalFormatting sqref="S310:S313">
    <cfRule type="expression" dxfId="6693" priority="5930" stopIfTrue="1">
      <formula>$C310&lt;&gt;""</formula>
    </cfRule>
  </conditionalFormatting>
  <conditionalFormatting sqref="S310:S313">
    <cfRule type="expression" dxfId="6692" priority="5929" stopIfTrue="1">
      <formula>$B310&lt;&gt;""</formula>
    </cfRule>
  </conditionalFormatting>
  <conditionalFormatting sqref="S310:S313">
    <cfRule type="expression" dxfId="6691" priority="5928" stopIfTrue="1">
      <formula>$C310&lt;&gt;""</formula>
    </cfRule>
  </conditionalFormatting>
  <conditionalFormatting sqref="S314">
    <cfRule type="expression" dxfId="6690" priority="5927" stopIfTrue="1">
      <formula>$B314&lt;&gt;""</formula>
    </cfRule>
  </conditionalFormatting>
  <conditionalFormatting sqref="S314">
    <cfRule type="expression" dxfId="6689" priority="5926" stopIfTrue="1">
      <formula>$C314&lt;&gt;""</formula>
    </cfRule>
  </conditionalFormatting>
  <conditionalFormatting sqref="S310:S313">
    <cfRule type="expression" dxfId="6688" priority="5925" stopIfTrue="1">
      <formula>$B310&lt;&gt;""</formula>
    </cfRule>
  </conditionalFormatting>
  <conditionalFormatting sqref="S310:S313">
    <cfRule type="expression" dxfId="6687" priority="5924" stopIfTrue="1">
      <formula>$C310&lt;&gt;""</formula>
    </cfRule>
  </conditionalFormatting>
  <conditionalFormatting sqref="S314">
    <cfRule type="expression" dxfId="6686" priority="5923" stopIfTrue="1">
      <formula>$B314&lt;&gt;""</formula>
    </cfRule>
  </conditionalFormatting>
  <conditionalFormatting sqref="S314">
    <cfRule type="expression" dxfId="6685" priority="5922" stopIfTrue="1">
      <formula>$C314&lt;&gt;""</formula>
    </cfRule>
  </conditionalFormatting>
  <conditionalFormatting sqref="S314">
    <cfRule type="expression" dxfId="6684" priority="5921" stopIfTrue="1">
      <formula>$B314&lt;&gt;""</formula>
    </cfRule>
  </conditionalFormatting>
  <conditionalFormatting sqref="S314">
    <cfRule type="expression" dxfId="6683" priority="5920" stopIfTrue="1">
      <formula>$C314&lt;&gt;""</formula>
    </cfRule>
  </conditionalFormatting>
  <conditionalFormatting sqref="S310">
    <cfRule type="expression" dxfId="6682" priority="5919" stopIfTrue="1">
      <formula>$C310&lt;&gt;""</formula>
    </cfRule>
  </conditionalFormatting>
  <conditionalFormatting sqref="S310">
    <cfRule type="expression" dxfId="6681" priority="5918" stopIfTrue="1">
      <formula>$B310&lt;&gt;""</formula>
    </cfRule>
  </conditionalFormatting>
  <conditionalFormatting sqref="S311:S314">
    <cfRule type="expression" dxfId="6680" priority="5917" stopIfTrue="1">
      <formula>$C311&lt;&gt;""</formula>
    </cfRule>
  </conditionalFormatting>
  <conditionalFormatting sqref="S311:S314">
    <cfRule type="expression" dxfId="6679" priority="5916" stopIfTrue="1">
      <formula>$B311&lt;&gt;""</formula>
    </cfRule>
  </conditionalFormatting>
  <conditionalFormatting sqref="S313:S314">
    <cfRule type="expression" dxfId="6678" priority="5915" stopIfTrue="1">
      <formula>$C313&lt;&gt;""</formula>
    </cfRule>
  </conditionalFormatting>
  <conditionalFormatting sqref="S313:S314">
    <cfRule type="expression" dxfId="6677" priority="5914" stopIfTrue="1">
      <formula>$B313&lt;&gt;""</formula>
    </cfRule>
  </conditionalFormatting>
  <conditionalFormatting sqref="S310">
    <cfRule type="expression" dxfId="6676" priority="5913" stopIfTrue="1">
      <formula>$B310&lt;&gt;""</formula>
    </cfRule>
  </conditionalFormatting>
  <conditionalFormatting sqref="S310">
    <cfRule type="expression" dxfId="6675" priority="5912" stopIfTrue="1">
      <formula>$C310&lt;&gt;""</formula>
    </cfRule>
  </conditionalFormatting>
  <conditionalFormatting sqref="S310">
    <cfRule type="expression" dxfId="6674" priority="5911" stopIfTrue="1">
      <formula>$B310&lt;&gt;""</formula>
    </cfRule>
  </conditionalFormatting>
  <conditionalFormatting sqref="S310">
    <cfRule type="expression" dxfId="6673" priority="5910" stopIfTrue="1">
      <formula>$C310&lt;&gt;""</formula>
    </cfRule>
  </conditionalFormatting>
  <conditionalFormatting sqref="S310">
    <cfRule type="expression" dxfId="6672" priority="5909" stopIfTrue="1">
      <formula>$B310&lt;&gt;""</formula>
    </cfRule>
  </conditionalFormatting>
  <conditionalFormatting sqref="S310">
    <cfRule type="expression" dxfId="6671" priority="5908" stopIfTrue="1">
      <formula>$C310&lt;&gt;""</formula>
    </cfRule>
  </conditionalFormatting>
  <conditionalFormatting sqref="S310">
    <cfRule type="expression" dxfId="6670" priority="5907" stopIfTrue="1">
      <formula>$B310&lt;&gt;""</formula>
    </cfRule>
  </conditionalFormatting>
  <conditionalFormatting sqref="S310">
    <cfRule type="expression" dxfId="6669" priority="5906" stopIfTrue="1">
      <formula>$C310&lt;&gt;""</formula>
    </cfRule>
  </conditionalFormatting>
  <conditionalFormatting sqref="S310">
    <cfRule type="expression" dxfId="6668" priority="5905" stopIfTrue="1">
      <formula>$B310&lt;&gt;""</formula>
    </cfRule>
  </conditionalFormatting>
  <conditionalFormatting sqref="S310">
    <cfRule type="expression" dxfId="6667" priority="5904" stopIfTrue="1">
      <formula>$C310&lt;&gt;""</formula>
    </cfRule>
  </conditionalFormatting>
  <conditionalFormatting sqref="S310">
    <cfRule type="expression" dxfId="6666" priority="5903" stopIfTrue="1">
      <formula>$B310&lt;&gt;""</formula>
    </cfRule>
  </conditionalFormatting>
  <conditionalFormatting sqref="S310">
    <cfRule type="expression" dxfId="6665" priority="5902" stopIfTrue="1">
      <formula>$C310&lt;&gt;""</formula>
    </cfRule>
  </conditionalFormatting>
  <conditionalFormatting sqref="S310">
    <cfRule type="expression" dxfId="6664" priority="5901" stopIfTrue="1">
      <formula>$B310&lt;&gt;""</formula>
    </cfRule>
  </conditionalFormatting>
  <conditionalFormatting sqref="S310">
    <cfRule type="expression" dxfId="6663" priority="5900" stopIfTrue="1">
      <formula>$C310&lt;&gt;""</formula>
    </cfRule>
  </conditionalFormatting>
  <conditionalFormatting sqref="S310">
    <cfRule type="expression" dxfId="6662" priority="5899" stopIfTrue="1">
      <formula>$B310&lt;&gt;""</formula>
    </cfRule>
  </conditionalFormatting>
  <conditionalFormatting sqref="S310">
    <cfRule type="expression" dxfId="6661" priority="5898" stopIfTrue="1">
      <formula>$C310&lt;&gt;""</formula>
    </cfRule>
  </conditionalFormatting>
  <conditionalFormatting sqref="S310">
    <cfRule type="expression" dxfId="6660" priority="5897" stopIfTrue="1">
      <formula>$B310&lt;&gt;""</formula>
    </cfRule>
  </conditionalFormatting>
  <conditionalFormatting sqref="S310">
    <cfRule type="expression" dxfId="6659" priority="5896" stopIfTrue="1">
      <formula>$C310&lt;&gt;""</formula>
    </cfRule>
  </conditionalFormatting>
  <conditionalFormatting sqref="S310">
    <cfRule type="expression" dxfId="6658" priority="5895" stopIfTrue="1">
      <formula>$B310&lt;&gt;""</formula>
    </cfRule>
  </conditionalFormatting>
  <conditionalFormatting sqref="S310">
    <cfRule type="expression" dxfId="6657" priority="5894" stopIfTrue="1">
      <formula>$C310&lt;&gt;""</formula>
    </cfRule>
  </conditionalFormatting>
  <conditionalFormatting sqref="S310">
    <cfRule type="expression" dxfId="6656" priority="5893" stopIfTrue="1">
      <formula>$B310&lt;&gt;""</formula>
    </cfRule>
  </conditionalFormatting>
  <conditionalFormatting sqref="S310">
    <cfRule type="expression" dxfId="6655" priority="5892" stopIfTrue="1">
      <formula>$C310&lt;&gt;""</formula>
    </cfRule>
  </conditionalFormatting>
  <conditionalFormatting sqref="S310">
    <cfRule type="expression" dxfId="6654" priority="5891" stopIfTrue="1">
      <formula>$B310&lt;&gt;""</formula>
    </cfRule>
  </conditionalFormatting>
  <conditionalFormatting sqref="S310">
    <cfRule type="expression" dxfId="6653" priority="5890" stopIfTrue="1">
      <formula>$C310&lt;&gt;""</formula>
    </cfRule>
  </conditionalFormatting>
  <conditionalFormatting sqref="S310">
    <cfRule type="expression" dxfId="6652" priority="5889" stopIfTrue="1">
      <formula>$B310&lt;&gt;""</formula>
    </cfRule>
  </conditionalFormatting>
  <conditionalFormatting sqref="S310">
    <cfRule type="expression" dxfId="6651" priority="5888" stopIfTrue="1">
      <formula>$C310&lt;&gt;""</formula>
    </cfRule>
  </conditionalFormatting>
  <conditionalFormatting sqref="S310">
    <cfRule type="expression" dxfId="6650" priority="5887" stopIfTrue="1">
      <formula>$B310&lt;&gt;""</formula>
    </cfRule>
  </conditionalFormatting>
  <conditionalFormatting sqref="S310">
    <cfRule type="expression" dxfId="6649" priority="5886" stopIfTrue="1">
      <formula>$C310&lt;&gt;""</formula>
    </cfRule>
  </conditionalFormatting>
  <conditionalFormatting sqref="S310">
    <cfRule type="expression" dxfId="6648" priority="5885" stopIfTrue="1">
      <formula>$C310&lt;&gt;""</formula>
    </cfRule>
  </conditionalFormatting>
  <conditionalFormatting sqref="S310">
    <cfRule type="expression" dxfId="6647" priority="5884" stopIfTrue="1">
      <formula>$B310&lt;&gt;""</formula>
    </cfRule>
  </conditionalFormatting>
  <conditionalFormatting sqref="S310">
    <cfRule type="expression" dxfId="6646" priority="5883" stopIfTrue="1">
      <formula>$C310&lt;&gt;""</formula>
    </cfRule>
  </conditionalFormatting>
  <conditionalFormatting sqref="S310">
    <cfRule type="expression" dxfId="6645" priority="5882" stopIfTrue="1">
      <formula>$B310&lt;&gt;""</formula>
    </cfRule>
  </conditionalFormatting>
  <conditionalFormatting sqref="S310">
    <cfRule type="expression" dxfId="6644" priority="5881" stopIfTrue="1">
      <formula>$B310&lt;&gt;""</formula>
    </cfRule>
  </conditionalFormatting>
  <conditionalFormatting sqref="S310">
    <cfRule type="expression" dxfId="6643" priority="5880" stopIfTrue="1">
      <formula>$C310&lt;&gt;""</formula>
    </cfRule>
  </conditionalFormatting>
  <conditionalFormatting sqref="S310">
    <cfRule type="expression" dxfId="6642" priority="5879" stopIfTrue="1">
      <formula>$B310&lt;&gt;""</formula>
    </cfRule>
  </conditionalFormatting>
  <conditionalFormatting sqref="S310">
    <cfRule type="expression" dxfId="6641" priority="5878" stopIfTrue="1">
      <formula>$C310&lt;&gt;""</formula>
    </cfRule>
  </conditionalFormatting>
  <conditionalFormatting sqref="S310">
    <cfRule type="expression" dxfId="6640" priority="5877" stopIfTrue="1">
      <formula>$B310&lt;&gt;""</formula>
    </cfRule>
  </conditionalFormatting>
  <conditionalFormatting sqref="S310">
    <cfRule type="expression" dxfId="6639" priority="5876" stopIfTrue="1">
      <formula>$C310&lt;&gt;""</formula>
    </cfRule>
  </conditionalFormatting>
  <conditionalFormatting sqref="S310">
    <cfRule type="expression" dxfId="6638" priority="5875" stopIfTrue="1">
      <formula>$B310&lt;&gt;""</formula>
    </cfRule>
  </conditionalFormatting>
  <conditionalFormatting sqref="S310">
    <cfRule type="expression" dxfId="6637" priority="5874" stopIfTrue="1">
      <formula>$C310&lt;&gt;""</formula>
    </cfRule>
  </conditionalFormatting>
  <conditionalFormatting sqref="S310">
    <cfRule type="expression" dxfId="6636" priority="5873" stopIfTrue="1">
      <formula>$B310&lt;&gt;""</formula>
    </cfRule>
  </conditionalFormatting>
  <conditionalFormatting sqref="S310">
    <cfRule type="expression" dxfId="6635" priority="5872" stopIfTrue="1">
      <formula>$C310&lt;&gt;""</formula>
    </cfRule>
  </conditionalFormatting>
  <conditionalFormatting sqref="S310">
    <cfRule type="expression" dxfId="6634" priority="5871" stopIfTrue="1">
      <formula>$C310&lt;&gt;""</formula>
    </cfRule>
  </conditionalFormatting>
  <conditionalFormatting sqref="S310">
    <cfRule type="expression" dxfId="6633" priority="5870" stopIfTrue="1">
      <formula>$B310&lt;&gt;""</formula>
    </cfRule>
  </conditionalFormatting>
  <conditionalFormatting sqref="S310">
    <cfRule type="expression" dxfId="6632" priority="5869" stopIfTrue="1">
      <formula>$C310&lt;&gt;""</formula>
    </cfRule>
  </conditionalFormatting>
  <conditionalFormatting sqref="S310">
    <cfRule type="expression" dxfId="6631" priority="5868" stopIfTrue="1">
      <formula>$B310&lt;&gt;""</formula>
    </cfRule>
  </conditionalFormatting>
  <conditionalFormatting sqref="S310">
    <cfRule type="expression" dxfId="6630" priority="5867" stopIfTrue="1">
      <formula>$B310&lt;&gt;""</formula>
    </cfRule>
  </conditionalFormatting>
  <conditionalFormatting sqref="S310">
    <cfRule type="expression" dxfId="6629" priority="5866" stopIfTrue="1">
      <formula>$C310&lt;&gt;""</formula>
    </cfRule>
  </conditionalFormatting>
  <conditionalFormatting sqref="S311">
    <cfRule type="expression" dxfId="6628" priority="5865" stopIfTrue="1">
      <formula>$B311&lt;&gt;""</formula>
    </cfRule>
  </conditionalFormatting>
  <conditionalFormatting sqref="S311">
    <cfRule type="expression" dxfId="6627" priority="5864" stopIfTrue="1">
      <formula>$C311&lt;&gt;""</formula>
    </cfRule>
  </conditionalFormatting>
  <conditionalFormatting sqref="S310">
    <cfRule type="expression" dxfId="6626" priority="5863" stopIfTrue="1">
      <formula>$B310&lt;&gt;""</formula>
    </cfRule>
  </conditionalFormatting>
  <conditionalFormatting sqref="S310">
    <cfRule type="expression" dxfId="6625" priority="5862" stopIfTrue="1">
      <formula>$C310&lt;&gt;""</formula>
    </cfRule>
  </conditionalFormatting>
  <conditionalFormatting sqref="S311:S314">
    <cfRule type="expression" dxfId="6624" priority="5861" stopIfTrue="1">
      <formula>$B311&lt;&gt;""</formula>
    </cfRule>
  </conditionalFormatting>
  <conditionalFormatting sqref="S311:S314">
    <cfRule type="expression" dxfId="6623" priority="5860" stopIfTrue="1">
      <formula>$C311&lt;&gt;""</formula>
    </cfRule>
  </conditionalFormatting>
  <conditionalFormatting sqref="S310">
    <cfRule type="expression" dxfId="6622" priority="5859" stopIfTrue="1">
      <formula>$B310&lt;&gt;""</formula>
    </cfRule>
  </conditionalFormatting>
  <conditionalFormatting sqref="S310">
    <cfRule type="expression" dxfId="6621" priority="5858" stopIfTrue="1">
      <formula>$C310&lt;&gt;""</formula>
    </cfRule>
  </conditionalFormatting>
  <conditionalFormatting sqref="S311:S314">
    <cfRule type="expression" dxfId="6620" priority="5857" stopIfTrue="1">
      <formula>$B311&lt;&gt;""</formula>
    </cfRule>
  </conditionalFormatting>
  <conditionalFormatting sqref="S311:S314">
    <cfRule type="expression" dxfId="6619" priority="5856" stopIfTrue="1">
      <formula>$C311&lt;&gt;""</formula>
    </cfRule>
  </conditionalFormatting>
  <conditionalFormatting sqref="S310:S314">
    <cfRule type="expression" dxfId="6618" priority="5855" stopIfTrue="1">
      <formula>$B310&lt;&gt;""</formula>
    </cfRule>
  </conditionalFormatting>
  <conditionalFormatting sqref="S310:S314">
    <cfRule type="expression" dxfId="6617" priority="5854" stopIfTrue="1">
      <formula>$C310&lt;&gt;""</formula>
    </cfRule>
  </conditionalFormatting>
  <conditionalFormatting sqref="S310:S314">
    <cfRule type="expression" dxfId="6616" priority="5853" stopIfTrue="1">
      <formula>$B310&lt;&gt;""</formula>
    </cfRule>
  </conditionalFormatting>
  <conditionalFormatting sqref="S310:S314">
    <cfRule type="expression" dxfId="6615" priority="5852" stopIfTrue="1">
      <formula>$C310&lt;&gt;""</formula>
    </cfRule>
  </conditionalFormatting>
  <conditionalFormatting sqref="S310:S314">
    <cfRule type="expression" dxfId="6614" priority="5851" stopIfTrue="1">
      <formula>$B310&lt;&gt;""</formula>
    </cfRule>
  </conditionalFormatting>
  <conditionalFormatting sqref="S310:S314">
    <cfRule type="expression" dxfId="6613" priority="5850" stopIfTrue="1">
      <formula>$C310&lt;&gt;""</formula>
    </cfRule>
  </conditionalFormatting>
  <conditionalFormatting sqref="S310:S314">
    <cfRule type="expression" dxfId="6612" priority="5849" stopIfTrue="1">
      <formula>$B310&lt;&gt;""</formula>
    </cfRule>
  </conditionalFormatting>
  <conditionalFormatting sqref="S310:S314">
    <cfRule type="expression" dxfId="6611" priority="5848" stopIfTrue="1">
      <formula>$C310&lt;&gt;""</formula>
    </cfRule>
  </conditionalFormatting>
  <conditionalFormatting sqref="S310:S314">
    <cfRule type="expression" dxfId="6610" priority="5847" stopIfTrue="1">
      <formula>$B310&lt;&gt;""</formula>
    </cfRule>
  </conditionalFormatting>
  <conditionalFormatting sqref="S310:S314">
    <cfRule type="expression" dxfId="6609" priority="5846" stopIfTrue="1">
      <formula>$C310&lt;&gt;""</formula>
    </cfRule>
  </conditionalFormatting>
  <conditionalFormatting sqref="S310:S314">
    <cfRule type="expression" dxfId="6608" priority="5845" stopIfTrue="1">
      <formula>$B310&lt;&gt;""</formula>
    </cfRule>
  </conditionalFormatting>
  <conditionalFormatting sqref="S310:S314">
    <cfRule type="expression" dxfId="6607" priority="5844" stopIfTrue="1">
      <formula>$C310&lt;&gt;""</formula>
    </cfRule>
  </conditionalFormatting>
  <conditionalFormatting sqref="S310:S314">
    <cfRule type="expression" dxfId="6606" priority="5843" stopIfTrue="1">
      <formula>$B310&lt;&gt;""</formula>
    </cfRule>
  </conditionalFormatting>
  <conditionalFormatting sqref="S310:S314">
    <cfRule type="expression" dxfId="6605" priority="5842" stopIfTrue="1">
      <formula>$C310&lt;&gt;""</formula>
    </cfRule>
  </conditionalFormatting>
  <conditionalFormatting sqref="S310:S313">
    <cfRule type="expression" dxfId="6604" priority="5841" stopIfTrue="1">
      <formula>$B310&lt;&gt;""</formula>
    </cfRule>
  </conditionalFormatting>
  <conditionalFormatting sqref="S310:S313">
    <cfRule type="expression" dxfId="6603" priority="5840" stopIfTrue="1">
      <formula>$C310&lt;&gt;""</formula>
    </cfRule>
  </conditionalFormatting>
  <conditionalFormatting sqref="S314">
    <cfRule type="expression" dxfId="6602" priority="5839" stopIfTrue="1">
      <formula>$B314&lt;&gt;""</formula>
    </cfRule>
  </conditionalFormatting>
  <conditionalFormatting sqref="S314">
    <cfRule type="expression" dxfId="6601" priority="5838" stopIfTrue="1">
      <formula>$C314&lt;&gt;""</formula>
    </cfRule>
  </conditionalFormatting>
  <conditionalFormatting sqref="S310:S312">
    <cfRule type="expression" dxfId="6600" priority="5837" stopIfTrue="1">
      <formula>$B310&lt;&gt;""</formula>
    </cfRule>
  </conditionalFormatting>
  <conditionalFormatting sqref="S310:S312">
    <cfRule type="expression" dxfId="6599" priority="5836" stopIfTrue="1">
      <formula>$C310&lt;&gt;""</formula>
    </cfRule>
  </conditionalFormatting>
  <conditionalFormatting sqref="S313:S314">
    <cfRule type="expression" dxfId="6598" priority="5835" stopIfTrue="1">
      <formula>$B313&lt;&gt;""</formula>
    </cfRule>
  </conditionalFormatting>
  <conditionalFormatting sqref="S313:S314">
    <cfRule type="expression" dxfId="6597" priority="5834" stopIfTrue="1">
      <formula>$C313&lt;&gt;""</formula>
    </cfRule>
  </conditionalFormatting>
  <conditionalFormatting sqref="S310:S313">
    <cfRule type="expression" dxfId="6596" priority="5833" stopIfTrue="1">
      <formula>$B310&lt;&gt;""</formula>
    </cfRule>
  </conditionalFormatting>
  <conditionalFormatting sqref="S310:S313">
    <cfRule type="expression" dxfId="6595" priority="5832" stopIfTrue="1">
      <formula>$C310&lt;&gt;""</formula>
    </cfRule>
  </conditionalFormatting>
  <conditionalFormatting sqref="S310:S313">
    <cfRule type="expression" dxfId="6594" priority="5831" stopIfTrue="1">
      <formula>$B310&lt;&gt;""</formula>
    </cfRule>
  </conditionalFormatting>
  <conditionalFormatting sqref="S310:S313">
    <cfRule type="expression" dxfId="6593" priority="5830" stopIfTrue="1">
      <formula>$C310&lt;&gt;""</formula>
    </cfRule>
  </conditionalFormatting>
  <conditionalFormatting sqref="S314">
    <cfRule type="expression" dxfId="6592" priority="5829" stopIfTrue="1">
      <formula>$B314&lt;&gt;""</formula>
    </cfRule>
  </conditionalFormatting>
  <conditionalFormatting sqref="S314">
    <cfRule type="expression" dxfId="6591" priority="5828" stopIfTrue="1">
      <formula>$C314&lt;&gt;""</formula>
    </cfRule>
  </conditionalFormatting>
  <conditionalFormatting sqref="S310:S313">
    <cfRule type="expression" dxfId="6590" priority="5827" stopIfTrue="1">
      <formula>$B310&lt;&gt;""</formula>
    </cfRule>
  </conditionalFormatting>
  <conditionalFormatting sqref="S310:S313">
    <cfRule type="expression" dxfId="6589" priority="5826" stopIfTrue="1">
      <formula>$C310&lt;&gt;""</formula>
    </cfRule>
  </conditionalFormatting>
  <conditionalFormatting sqref="S314">
    <cfRule type="expression" dxfId="6588" priority="5825" stopIfTrue="1">
      <formula>$B314&lt;&gt;""</formula>
    </cfRule>
  </conditionalFormatting>
  <conditionalFormatting sqref="S314">
    <cfRule type="expression" dxfId="6587" priority="5824" stopIfTrue="1">
      <formula>$C314&lt;&gt;""</formula>
    </cfRule>
  </conditionalFormatting>
  <conditionalFormatting sqref="S314">
    <cfRule type="expression" dxfId="6586" priority="5823" stopIfTrue="1">
      <formula>$B314&lt;&gt;""</formula>
    </cfRule>
  </conditionalFormatting>
  <conditionalFormatting sqref="S314">
    <cfRule type="expression" dxfId="6585" priority="5822" stopIfTrue="1">
      <formula>$C314&lt;&gt;""</formula>
    </cfRule>
  </conditionalFormatting>
  <conditionalFormatting sqref="S310">
    <cfRule type="expression" dxfId="6584" priority="5821" stopIfTrue="1">
      <formula>$C310&lt;&gt;""</formula>
    </cfRule>
  </conditionalFormatting>
  <conditionalFormatting sqref="S310">
    <cfRule type="expression" dxfId="6583" priority="5820" stopIfTrue="1">
      <formula>$B310&lt;&gt;""</formula>
    </cfRule>
  </conditionalFormatting>
  <conditionalFormatting sqref="S311:S314">
    <cfRule type="expression" dxfId="6582" priority="5819" stopIfTrue="1">
      <formula>$C311&lt;&gt;""</formula>
    </cfRule>
  </conditionalFormatting>
  <conditionalFormatting sqref="S311:S314">
    <cfRule type="expression" dxfId="6581" priority="5818" stopIfTrue="1">
      <formula>$B311&lt;&gt;""</formula>
    </cfRule>
  </conditionalFormatting>
  <conditionalFormatting sqref="S313:S314">
    <cfRule type="expression" dxfId="6580" priority="5817" stopIfTrue="1">
      <formula>$C313&lt;&gt;""</formula>
    </cfRule>
  </conditionalFormatting>
  <conditionalFormatting sqref="S313:S314">
    <cfRule type="expression" dxfId="6579" priority="5816" stopIfTrue="1">
      <formula>$B313&lt;&gt;""</formula>
    </cfRule>
  </conditionalFormatting>
  <conditionalFormatting sqref="S310:S313">
    <cfRule type="expression" dxfId="6578" priority="5815" stopIfTrue="1">
      <formula>$B310&lt;&gt;""</formula>
    </cfRule>
  </conditionalFormatting>
  <conditionalFormatting sqref="S310:S313">
    <cfRule type="expression" dxfId="6577" priority="5814" stopIfTrue="1">
      <formula>$C310&lt;&gt;""</formula>
    </cfRule>
  </conditionalFormatting>
  <conditionalFormatting sqref="S314">
    <cfRule type="expression" dxfId="6576" priority="5813" stopIfTrue="1">
      <formula>$B314&lt;&gt;""</formula>
    </cfRule>
  </conditionalFormatting>
  <conditionalFormatting sqref="S314">
    <cfRule type="expression" dxfId="6575" priority="5812" stopIfTrue="1">
      <formula>$C314&lt;&gt;""</formula>
    </cfRule>
  </conditionalFormatting>
  <conditionalFormatting sqref="S310:S312">
    <cfRule type="expression" dxfId="6574" priority="5811" stopIfTrue="1">
      <formula>$B310&lt;&gt;""</formula>
    </cfRule>
  </conditionalFormatting>
  <conditionalFormatting sqref="S310:S312">
    <cfRule type="expression" dxfId="6573" priority="5810" stopIfTrue="1">
      <formula>$C310&lt;&gt;""</formula>
    </cfRule>
  </conditionalFormatting>
  <conditionalFormatting sqref="S313:S314">
    <cfRule type="expression" dxfId="6572" priority="5809" stopIfTrue="1">
      <formula>$B313&lt;&gt;""</formula>
    </cfRule>
  </conditionalFormatting>
  <conditionalFormatting sqref="S313:S314">
    <cfRule type="expression" dxfId="6571" priority="5808" stopIfTrue="1">
      <formula>$C313&lt;&gt;""</formula>
    </cfRule>
  </conditionalFormatting>
  <conditionalFormatting sqref="S310:S313">
    <cfRule type="expression" dxfId="6570" priority="5807" stopIfTrue="1">
      <formula>$B310&lt;&gt;""</formula>
    </cfRule>
  </conditionalFormatting>
  <conditionalFormatting sqref="S310:S313">
    <cfRule type="expression" dxfId="6569" priority="5806" stopIfTrue="1">
      <formula>$C310&lt;&gt;""</formula>
    </cfRule>
  </conditionalFormatting>
  <conditionalFormatting sqref="S310:S313">
    <cfRule type="expression" dxfId="6568" priority="5805" stopIfTrue="1">
      <formula>$B310&lt;&gt;""</formula>
    </cfRule>
  </conditionalFormatting>
  <conditionalFormatting sqref="S310:S313">
    <cfRule type="expression" dxfId="6567" priority="5804" stopIfTrue="1">
      <formula>$C310&lt;&gt;""</formula>
    </cfRule>
  </conditionalFormatting>
  <conditionalFormatting sqref="S314">
    <cfRule type="expression" dxfId="6566" priority="5803" stopIfTrue="1">
      <formula>$B314&lt;&gt;""</formula>
    </cfRule>
  </conditionalFormatting>
  <conditionalFormatting sqref="S314">
    <cfRule type="expression" dxfId="6565" priority="5802" stopIfTrue="1">
      <formula>$C314&lt;&gt;""</formula>
    </cfRule>
  </conditionalFormatting>
  <conditionalFormatting sqref="S310:S313">
    <cfRule type="expression" dxfId="6564" priority="5801" stopIfTrue="1">
      <formula>$B310&lt;&gt;""</formula>
    </cfRule>
  </conditionalFormatting>
  <conditionalFormatting sqref="S310:S313">
    <cfRule type="expression" dxfId="6563" priority="5800" stopIfTrue="1">
      <formula>$C310&lt;&gt;""</formula>
    </cfRule>
  </conditionalFormatting>
  <conditionalFormatting sqref="S314">
    <cfRule type="expression" dxfId="6562" priority="5799" stopIfTrue="1">
      <formula>$B314&lt;&gt;""</formula>
    </cfRule>
  </conditionalFormatting>
  <conditionalFormatting sqref="S314">
    <cfRule type="expression" dxfId="6561" priority="5798" stopIfTrue="1">
      <formula>$C314&lt;&gt;""</formula>
    </cfRule>
  </conditionalFormatting>
  <conditionalFormatting sqref="S314">
    <cfRule type="expression" dxfId="6560" priority="5797" stopIfTrue="1">
      <formula>$B314&lt;&gt;""</formula>
    </cfRule>
  </conditionalFormatting>
  <conditionalFormatting sqref="S314">
    <cfRule type="expression" dxfId="6559" priority="5796" stopIfTrue="1">
      <formula>$C314&lt;&gt;""</formula>
    </cfRule>
  </conditionalFormatting>
  <conditionalFormatting sqref="S310">
    <cfRule type="expression" dxfId="6558" priority="5795" stopIfTrue="1">
      <formula>$C310&lt;&gt;""</formula>
    </cfRule>
  </conditionalFormatting>
  <conditionalFormatting sqref="S310">
    <cfRule type="expression" dxfId="6557" priority="5794" stopIfTrue="1">
      <formula>$B310&lt;&gt;""</formula>
    </cfRule>
  </conditionalFormatting>
  <conditionalFormatting sqref="S311:S314">
    <cfRule type="expression" dxfId="6556" priority="5793" stopIfTrue="1">
      <formula>$C311&lt;&gt;""</formula>
    </cfRule>
  </conditionalFormatting>
  <conditionalFormatting sqref="S311:S314">
    <cfRule type="expression" dxfId="6555" priority="5792" stopIfTrue="1">
      <formula>$B311&lt;&gt;""</formula>
    </cfRule>
  </conditionalFormatting>
  <conditionalFormatting sqref="S313:S314">
    <cfRule type="expression" dxfId="6554" priority="5791" stopIfTrue="1">
      <formula>$C313&lt;&gt;""</formula>
    </cfRule>
  </conditionalFormatting>
  <conditionalFormatting sqref="S313:S314">
    <cfRule type="expression" dxfId="6553" priority="5790" stopIfTrue="1">
      <formula>$B313&lt;&gt;""</formula>
    </cfRule>
  </conditionalFormatting>
  <conditionalFormatting sqref="S310">
    <cfRule type="expression" dxfId="6552" priority="5789" stopIfTrue="1">
      <formula>$B310&lt;&gt;""</formula>
    </cfRule>
  </conditionalFormatting>
  <conditionalFormatting sqref="S310">
    <cfRule type="expression" dxfId="6551" priority="5788" stopIfTrue="1">
      <formula>$C310&lt;&gt;""</formula>
    </cfRule>
  </conditionalFormatting>
  <conditionalFormatting sqref="S311">
    <cfRule type="expression" dxfId="6550" priority="5787" stopIfTrue="1">
      <formula>$B311&lt;&gt;""</formula>
    </cfRule>
  </conditionalFormatting>
  <conditionalFormatting sqref="S311">
    <cfRule type="expression" dxfId="6549" priority="5786" stopIfTrue="1">
      <formula>$C311&lt;&gt;""</formula>
    </cfRule>
  </conditionalFormatting>
  <conditionalFormatting sqref="S310">
    <cfRule type="expression" dxfId="6548" priority="5785" stopIfTrue="1">
      <formula>$B310&lt;&gt;""</formula>
    </cfRule>
  </conditionalFormatting>
  <conditionalFormatting sqref="S310">
    <cfRule type="expression" dxfId="6547" priority="5784" stopIfTrue="1">
      <formula>$C310&lt;&gt;""</formula>
    </cfRule>
  </conditionalFormatting>
  <conditionalFormatting sqref="S311:S314">
    <cfRule type="expression" dxfId="6546" priority="5783" stopIfTrue="1">
      <formula>$B311&lt;&gt;""</formula>
    </cfRule>
  </conditionalFormatting>
  <conditionalFormatting sqref="S311:S314">
    <cfRule type="expression" dxfId="6545" priority="5782" stopIfTrue="1">
      <formula>$C311&lt;&gt;""</formula>
    </cfRule>
  </conditionalFormatting>
  <conditionalFormatting sqref="S310">
    <cfRule type="expression" dxfId="6544" priority="5781" stopIfTrue="1">
      <formula>$B310&lt;&gt;""</formula>
    </cfRule>
  </conditionalFormatting>
  <conditionalFormatting sqref="S310">
    <cfRule type="expression" dxfId="6543" priority="5780" stopIfTrue="1">
      <formula>$C310&lt;&gt;""</formula>
    </cfRule>
  </conditionalFormatting>
  <conditionalFormatting sqref="S311:S314">
    <cfRule type="expression" dxfId="6542" priority="5779" stopIfTrue="1">
      <formula>$B311&lt;&gt;""</formula>
    </cfRule>
  </conditionalFormatting>
  <conditionalFormatting sqref="S311:S314">
    <cfRule type="expression" dxfId="6541" priority="5778" stopIfTrue="1">
      <formula>$C311&lt;&gt;""</formula>
    </cfRule>
  </conditionalFormatting>
  <conditionalFormatting sqref="S310:S314">
    <cfRule type="expression" dxfId="6540" priority="5777" stopIfTrue="1">
      <formula>$B310&lt;&gt;""</formula>
    </cfRule>
  </conditionalFormatting>
  <conditionalFormatting sqref="S310:S314">
    <cfRule type="expression" dxfId="6539" priority="5776" stopIfTrue="1">
      <formula>$C310&lt;&gt;""</formula>
    </cfRule>
  </conditionalFormatting>
  <conditionalFormatting sqref="S310:S314">
    <cfRule type="expression" dxfId="6538" priority="5775" stopIfTrue="1">
      <formula>$B310&lt;&gt;""</formula>
    </cfRule>
  </conditionalFormatting>
  <conditionalFormatting sqref="S310:S314">
    <cfRule type="expression" dxfId="6537" priority="5774" stopIfTrue="1">
      <formula>$C310&lt;&gt;""</formula>
    </cfRule>
  </conditionalFormatting>
  <conditionalFormatting sqref="S310:S314">
    <cfRule type="expression" dxfId="6536" priority="5773" stopIfTrue="1">
      <formula>$B310&lt;&gt;""</formula>
    </cfRule>
  </conditionalFormatting>
  <conditionalFormatting sqref="S310:S314">
    <cfRule type="expression" dxfId="6535" priority="5772" stopIfTrue="1">
      <formula>$C310&lt;&gt;""</formula>
    </cfRule>
  </conditionalFormatting>
  <conditionalFormatting sqref="S310:S314">
    <cfRule type="expression" dxfId="6534" priority="5771" stopIfTrue="1">
      <formula>$B310&lt;&gt;""</formula>
    </cfRule>
  </conditionalFormatting>
  <conditionalFormatting sqref="S310:S314">
    <cfRule type="expression" dxfId="6533" priority="5770" stopIfTrue="1">
      <formula>$C310&lt;&gt;""</formula>
    </cfRule>
  </conditionalFormatting>
  <conditionalFormatting sqref="S310:S314">
    <cfRule type="expression" dxfId="6532" priority="5769" stopIfTrue="1">
      <formula>$B310&lt;&gt;""</formula>
    </cfRule>
  </conditionalFormatting>
  <conditionalFormatting sqref="S310:S314">
    <cfRule type="expression" dxfId="6531" priority="5768" stopIfTrue="1">
      <formula>$C310&lt;&gt;""</formula>
    </cfRule>
  </conditionalFormatting>
  <conditionalFormatting sqref="S310:S314">
    <cfRule type="expression" dxfId="6530" priority="5767" stopIfTrue="1">
      <formula>$B310&lt;&gt;""</formula>
    </cfRule>
  </conditionalFormatting>
  <conditionalFormatting sqref="S310:S314">
    <cfRule type="expression" dxfId="6529" priority="5766" stopIfTrue="1">
      <formula>$C310&lt;&gt;""</formula>
    </cfRule>
  </conditionalFormatting>
  <conditionalFormatting sqref="S310:S314">
    <cfRule type="expression" dxfId="6528" priority="5765" stopIfTrue="1">
      <formula>$B310&lt;&gt;""</formula>
    </cfRule>
  </conditionalFormatting>
  <conditionalFormatting sqref="S310:S314">
    <cfRule type="expression" dxfId="6527" priority="5764" stopIfTrue="1">
      <formula>$C310&lt;&gt;""</formula>
    </cfRule>
  </conditionalFormatting>
  <conditionalFormatting sqref="S310:S313">
    <cfRule type="expression" dxfId="6526" priority="5763" stopIfTrue="1">
      <formula>$B310&lt;&gt;""</formula>
    </cfRule>
  </conditionalFormatting>
  <conditionalFormatting sqref="S310:S313">
    <cfRule type="expression" dxfId="6525" priority="5762" stopIfTrue="1">
      <formula>$C310&lt;&gt;""</formula>
    </cfRule>
  </conditionalFormatting>
  <conditionalFormatting sqref="S314">
    <cfRule type="expression" dxfId="6524" priority="5761" stopIfTrue="1">
      <formula>$B314&lt;&gt;""</formula>
    </cfRule>
  </conditionalFormatting>
  <conditionalFormatting sqref="S314">
    <cfRule type="expression" dxfId="6523" priority="5760" stopIfTrue="1">
      <formula>$C314&lt;&gt;""</formula>
    </cfRule>
  </conditionalFormatting>
  <conditionalFormatting sqref="S310:S312">
    <cfRule type="expression" dxfId="6522" priority="5759" stopIfTrue="1">
      <formula>$B310&lt;&gt;""</formula>
    </cfRule>
  </conditionalFormatting>
  <conditionalFormatting sqref="S310:S312">
    <cfRule type="expression" dxfId="6521" priority="5758" stopIfTrue="1">
      <formula>$C310&lt;&gt;""</formula>
    </cfRule>
  </conditionalFormatting>
  <conditionalFormatting sqref="S313:S314">
    <cfRule type="expression" dxfId="6520" priority="5757" stopIfTrue="1">
      <formula>$B313&lt;&gt;""</formula>
    </cfRule>
  </conditionalFormatting>
  <conditionalFormatting sqref="S313:S314">
    <cfRule type="expression" dxfId="6519" priority="5756" stopIfTrue="1">
      <formula>$C313&lt;&gt;""</formula>
    </cfRule>
  </conditionalFormatting>
  <conditionalFormatting sqref="S310:S313">
    <cfRule type="expression" dxfId="6518" priority="5755" stopIfTrue="1">
      <formula>$B310&lt;&gt;""</formula>
    </cfRule>
  </conditionalFormatting>
  <conditionalFormatting sqref="S310:S313">
    <cfRule type="expression" dxfId="6517" priority="5754" stopIfTrue="1">
      <formula>$C310&lt;&gt;""</formula>
    </cfRule>
  </conditionalFormatting>
  <conditionalFormatting sqref="S310:S313">
    <cfRule type="expression" dxfId="6516" priority="5753" stopIfTrue="1">
      <formula>$B310&lt;&gt;""</formula>
    </cfRule>
  </conditionalFormatting>
  <conditionalFormatting sqref="S310:S313">
    <cfRule type="expression" dxfId="6515" priority="5752" stopIfTrue="1">
      <formula>$C310&lt;&gt;""</formula>
    </cfRule>
  </conditionalFormatting>
  <conditionalFormatting sqref="S314">
    <cfRule type="expression" dxfId="6514" priority="5751" stopIfTrue="1">
      <formula>$B314&lt;&gt;""</formula>
    </cfRule>
  </conditionalFormatting>
  <conditionalFormatting sqref="S314">
    <cfRule type="expression" dxfId="6513" priority="5750" stopIfTrue="1">
      <formula>$C314&lt;&gt;""</formula>
    </cfRule>
  </conditionalFormatting>
  <conditionalFormatting sqref="S310:S313">
    <cfRule type="expression" dxfId="6512" priority="5749" stopIfTrue="1">
      <formula>$B310&lt;&gt;""</formula>
    </cfRule>
  </conditionalFormatting>
  <conditionalFormatting sqref="S310:S313">
    <cfRule type="expression" dxfId="6511" priority="5748" stopIfTrue="1">
      <formula>$C310&lt;&gt;""</formula>
    </cfRule>
  </conditionalFormatting>
  <conditionalFormatting sqref="S314">
    <cfRule type="expression" dxfId="6510" priority="5747" stopIfTrue="1">
      <formula>$B314&lt;&gt;""</formula>
    </cfRule>
  </conditionalFormatting>
  <conditionalFormatting sqref="S314">
    <cfRule type="expression" dxfId="6509" priority="5746" stopIfTrue="1">
      <formula>$C314&lt;&gt;""</formula>
    </cfRule>
  </conditionalFormatting>
  <conditionalFormatting sqref="S314">
    <cfRule type="expression" dxfId="6508" priority="5745" stopIfTrue="1">
      <formula>$B314&lt;&gt;""</formula>
    </cfRule>
  </conditionalFormatting>
  <conditionalFormatting sqref="S314">
    <cfRule type="expression" dxfId="6507" priority="5744" stopIfTrue="1">
      <formula>$C314&lt;&gt;""</formula>
    </cfRule>
  </conditionalFormatting>
  <conditionalFormatting sqref="S310">
    <cfRule type="expression" dxfId="6506" priority="5743" stopIfTrue="1">
      <formula>$C310&lt;&gt;""</formula>
    </cfRule>
  </conditionalFormatting>
  <conditionalFormatting sqref="S310">
    <cfRule type="expression" dxfId="6505" priority="5742" stopIfTrue="1">
      <formula>$B310&lt;&gt;""</formula>
    </cfRule>
  </conditionalFormatting>
  <conditionalFormatting sqref="S311:S314">
    <cfRule type="expression" dxfId="6504" priority="5741" stopIfTrue="1">
      <formula>$C311&lt;&gt;""</formula>
    </cfRule>
  </conditionalFormatting>
  <conditionalFormatting sqref="S311:S314">
    <cfRule type="expression" dxfId="6503" priority="5740" stopIfTrue="1">
      <formula>$B311&lt;&gt;""</formula>
    </cfRule>
  </conditionalFormatting>
  <conditionalFormatting sqref="S313:S314">
    <cfRule type="expression" dxfId="6502" priority="5739" stopIfTrue="1">
      <formula>$C313&lt;&gt;""</formula>
    </cfRule>
  </conditionalFormatting>
  <conditionalFormatting sqref="S313:S314">
    <cfRule type="expression" dxfId="6501" priority="5738" stopIfTrue="1">
      <formula>$B313&lt;&gt;""</formula>
    </cfRule>
  </conditionalFormatting>
  <conditionalFormatting sqref="S310:S313">
    <cfRule type="expression" dxfId="6500" priority="5737" stopIfTrue="1">
      <formula>$B310&lt;&gt;""</formula>
    </cfRule>
  </conditionalFormatting>
  <conditionalFormatting sqref="S310:S313">
    <cfRule type="expression" dxfId="6499" priority="5736" stopIfTrue="1">
      <formula>$C310&lt;&gt;""</formula>
    </cfRule>
  </conditionalFormatting>
  <conditionalFormatting sqref="S314">
    <cfRule type="expression" dxfId="6498" priority="5735" stopIfTrue="1">
      <formula>$B314&lt;&gt;""</formula>
    </cfRule>
  </conditionalFormatting>
  <conditionalFormatting sqref="S314">
    <cfRule type="expression" dxfId="6497" priority="5734" stopIfTrue="1">
      <formula>$C314&lt;&gt;""</formula>
    </cfRule>
  </conditionalFormatting>
  <conditionalFormatting sqref="S310:S312">
    <cfRule type="expression" dxfId="6496" priority="5733" stopIfTrue="1">
      <formula>$B310&lt;&gt;""</formula>
    </cfRule>
  </conditionalFormatting>
  <conditionalFormatting sqref="S310:S312">
    <cfRule type="expression" dxfId="6495" priority="5732" stopIfTrue="1">
      <formula>$C310&lt;&gt;""</formula>
    </cfRule>
  </conditionalFormatting>
  <conditionalFormatting sqref="S313:S314">
    <cfRule type="expression" dxfId="6494" priority="5731" stopIfTrue="1">
      <formula>$B313&lt;&gt;""</formula>
    </cfRule>
  </conditionalFormatting>
  <conditionalFormatting sqref="S313:S314">
    <cfRule type="expression" dxfId="6493" priority="5730" stopIfTrue="1">
      <formula>$C313&lt;&gt;""</formula>
    </cfRule>
  </conditionalFormatting>
  <conditionalFormatting sqref="S310:S313">
    <cfRule type="expression" dxfId="6492" priority="5729" stopIfTrue="1">
      <formula>$B310&lt;&gt;""</formula>
    </cfRule>
  </conditionalFormatting>
  <conditionalFormatting sqref="S310:S313">
    <cfRule type="expression" dxfId="6491" priority="5728" stopIfTrue="1">
      <formula>$C310&lt;&gt;""</formula>
    </cfRule>
  </conditionalFormatting>
  <conditionalFormatting sqref="S310:S313">
    <cfRule type="expression" dxfId="6490" priority="5727" stopIfTrue="1">
      <formula>$B310&lt;&gt;""</formula>
    </cfRule>
  </conditionalFormatting>
  <conditionalFormatting sqref="S310:S313">
    <cfRule type="expression" dxfId="6489" priority="5726" stopIfTrue="1">
      <formula>$C310&lt;&gt;""</formula>
    </cfRule>
  </conditionalFormatting>
  <conditionalFormatting sqref="S314">
    <cfRule type="expression" dxfId="6488" priority="5725" stopIfTrue="1">
      <formula>$B314&lt;&gt;""</formula>
    </cfRule>
  </conditionalFormatting>
  <conditionalFormatting sqref="S314">
    <cfRule type="expression" dxfId="6487" priority="5724" stopIfTrue="1">
      <formula>$C314&lt;&gt;""</formula>
    </cfRule>
  </conditionalFormatting>
  <conditionalFormatting sqref="S310:S313">
    <cfRule type="expression" dxfId="6486" priority="5723" stopIfTrue="1">
      <formula>$B310&lt;&gt;""</formula>
    </cfRule>
  </conditionalFormatting>
  <conditionalFormatting sqref="S310:S313">
    <cfRule type="expression" dxfId="6485" priority="5722" stopIfTrue="1">
      <formula>$C310&lt;&gt;""</formula>
    </cfRule>
  </conditionalFormatting>
  <conditionalFormatting sqref="S314">
    <cfRule type="expression" dxfId="6484" priority="5721" stopIfTrue="1">
      <formula>$B314&lt;&gt;""</formula>
    </cfRule>
  </conditionalFormatting>
  <conditionalFormatting sqref="S314">
    <cfRule type="expression" dxfId="6483" priority="5720" stopIfTrue="1">
      <formula>$C314&lt;&gt;""</formula>
    </cfRule>
  </conditionalFormatting>
  <conditionalFormatting sqref="S314">
    <cfRule type="expression" dxfId="6482" priority="5719" stopIfTrue="1">
      <formula>$B314&lt;&gt;""</formula>
    </cfRule>
  </conditionalFormatting>
  <conditionalFormatting sqref="S314">
    <cfRule type="expression" dxfId="6481" priority="5718" stopIfTrue="1">
      <formula>$C314&lt;&gt;""</formula>
    </cfRule>
  </conditionalFormatting>
  <conditionalFormatting sqref="S310">
    <cfRule type="expression" dxfId="6480" priority="5717" stopIfTrue="1">
      <formula>$C310&lt;&gt;""</formula>
    </cfRule>
  </conditionalFormatting>
  <conditionalFormatting sqref="S310">
    <cfRule type="expression" dxfId="6479" priority="5716" stopIfTrue="1">
      <formula>$B310&lt;&gt;""</formula>
    </cfRule>
  </conditionalFormatting>
  <conditionalFormatting sqref="S311:S314">
    <cfRule type="expression" dxfId="6478" priority="5715" stopIfTrue="1">
      <formula>$C311&lt;&gt;""</formula>
    </cfRule>
  </conditionalFormatting>
  <conditionalFormatting sqref="S311:S314">
    <cfRule type="expression" dxfId="6477" priority="5714" stopIfTrue="1">
      <formula>$B311&lt;&gt;""</formula>
    </cfRule>
  </conditionalFormatting>
  <conditionalFormatting sqref="S313:S314">
    <cfRule type="expression" dxfId="6476" priority="5713" stopIfTrue="1">
      <formula>$C313&lt;&gt;""</formula>
    </cfRule>
  </conditionalFormatting>
  <conditionalFormatting sqref="S313:S314">
    <cfRule type="expression" dxfId="6475" priority="5712" stopIfTrue="1">
      <formula>$B313&lt;&gt;""</formula>
    </cfRule>
  </conditionalFormatting>
  <conditionalFormatting sqref="S310">
    <cfRule type="expression" dxfId="6474" priority="5711" stopIfTrue="1">
      <formula>$B310&lt;&gt;""</formula>
    </cfRule>
  </conditionalFormatting>
  <conditionalFormatting sqref="S310">
    <cfRule type="expression" dxfId="6473" priority="5710" stopIfTrue="1">
      <formula>$C310&lt;&gt;""</formula>
    </cfRule>
  </conditionalFormatting>
  <conditionalFormatting sqref="S310">
    <cfRule type="expression" dxfId="6472" priority="5709" stopIfTrue="1">
      <formula>$B310&lt;&gt;""</formula>
    </cfRule>
  </conditionalFormatting>
  <conditionalFormatting sqref="S310">
    <cfRule type="expression" dxfId="6471" priority="5708" stopIfTrue="1">
      <formula>$C310&lt;&gt;""</formula>
    </cfRule>
  </conditionalFormatting>
  <conditionalFormatting sqref="S310">
    <cfRule type="expression" dxfId="6470" priority="5707" stopIfTrue="1">
      <formula>$B310&lt;&gt;""</formula>
    </cfRule>
  </conditionalFormatting>
  <conditionalFormatting sqref="S310">
    <cfRule type="expression" dxfId="6469" priority="5706" stopIfTrue="1">
      <formula>$C310&lt;&gt;""</formula>
    </cfRule>
  </conditionalFormatting>
  <conditionalFormatting sqref="S310">
    <cfRule type="expression" dxfId="6468" priority="5705" stopIfTrue="1">
      <formula>$B310&lt;&gt;""</formula>
    </cfRule>
  </conditionalFormatting>
  <conditionalFormatting sqref="S310">
    <cfRule type="expression" dxfId="6467" priority="5704" stopIfTrue="1">
      <formula>$C310&lt;&gt;""</formula>
    </cfRule>
  </conditionalFormatting>
  <conditionalFormatting sqref="S310">
    <cfRule type="expression" dxfId="6466" priority="5703" stopIfTrue="1">
      <formula>$B310&lt;&gt;""</formula>
    </cfRule>
  </conditionalFormatting>
  <conditionalFormatting sqref="S310">
    <cfRule type="expression" dxfId="6465" priority="5702" stopIfTrue="1">
      <formula>$C310&lt;&gt;""</formula>
    </cfRule>
  </conditionalFormatting>
  <conditionalFormatting sqref="S310">
    <cfRule type="expression" dxfId="6464" priority="5701" stopIfTrue="1">
      <formula>$B310&lt;&gt;""</formula>
    </cfRule>
  </conditionalFormatting>
  <conditionalFormatting sqref="S310">
    <cfRule type="expression" dxfId="6463" priority="5700" stopIfTrue="1">
      <formula>$C310&lt;&gt;""</formula>
    </cfRule>
  </conditionalFormatting>
  <conditionalFormatting sqref="S310">
    <cfRule type="expression" dxfId="6462" priority="5699" stopIfTrue="1">
      <formula>$B310&lt;&gt;""</formula>
    </cfRule>
  </conditionalFormatting>
  <conditionalFormatting sqref="S310">
    <cfRule type="expression" dxfId="6461" priority="5698" stopIfTrue="1">
      <formula>$C310&lt;&gt;""</formula>
    </cfRule>
  </conditionalFormatting>
  <conditionalFormatting sqref="S310">
    <cfRule type="expression" dxfId="6460" priority="5697" stopIfTrue="1">
      <formula>$B310&lt;&gt;""</formula>
    </cfRule>
  </conditionalFormatting>
  <conditionalFormatting sqref="S310">
    <cfRule type="expression" dxfId="6459" priority="5696" stopIfTrue="1">
      <formula>$C310&lt;&gt;""</formula>
    </cfRule>
  </conditionalFormatting>
  <conditionalFormatting sqref="S310">
    <cfRule type="expression" dxfId="6458" priority="5695" stopIfTrue="1">
      <formula>$B310&lt;&gt;""</formula>
    </cfRule>
  </conditionalFormatting>
  <conditionalFormatting sqref="S310">
    <cfRule type="expression" dxfId="6457" priority="5694" stopIfTrue="1">
      <formula>$C310&lt;&gt;""</formula>
    </cfRule>
  </conditionalFormatting>
  <conditionalFormatting sqref="S310">
    <cfRule type="expression" dxfId="6456" priority="5693" stopIfTrue="1">
      <formula>$B310&lt;&gt;""</formula>
    </cfRule>
  </conditionalFormatting>
  <conditionalFormatting sqref="S310">
    <cfRule type="expression" dxfId="6455" priority="5692" stopIfTrue="1">
      <formula>$C310&lt;&gt;""</formula>
    </cfRule>
  </conditionalFormatting>
  <conditionalFormatting sqref="S310">
    <cfRule type="expression" dxfId="6454" priority="5691" stopIfTrue="1">
      <formula>$B310&lt;&gt;""</formula>
    </cfRule>
  </conditionalFormatting>
  <conditionalFormatting sqref="S310">
    <cfRule type="expression" dxfId="6453" priority="5690" stopIfTrue="1">
      <formula>$C310&lt;&gt;""</formula>
    </cfRule>
  </conditionalFormatting>
  <conditionalFormatting sqref="S310">
    <cfRule type="expression" dxfId="6452" priority="5689" stopIfTrue="1">
      <formula>$B310&lt;&gt;""</formula>
    </cfRule>
  </conditionalFormatting>
  <conditionalFormatting sqref="S310">
    <cfRule type="expression" dxfId="6451" priority="5688" stopIfTrue="1">
      <formula>$C310&lt;&gt;""</formula>
    </cfRule>
  </conditionalFormatting>
  <conditionalFormatting sqref="S310">
    <cfRule type="expression" dxfId="6450" priority="5687" stopIfTrue="1">
      <formula>$B310&lt;&gt;""</formula>
    </cfRule>
  </conditionalFormatting>
  <conditionalFormatting sqref="S310">
    <cfRule type="expression" dxfId="6449" priority="5686" stopIfTrue="1">
      <formula>$C310&lt;&gt;""</formula>
    </cfRule>
  </conditionalFormatting>
  <conditionalFormatting sqref="S310">
    <cfRule type="expression" dxfId="6448" priority="5685" stopIfTrue="1">
      <formula>$B310&lt;&gt;""</formula>
    </cfRule>
  </conditionalFormatting>
  <conditionalFormatting sqref="S310">
    <cfRule type="expression" dxfId="6447" priority="5684" stopIfTrue="1">
      <formula>$C310&lt;&gt;""</formula>
    </cfRule>
  </conditionalFormatting>
  <conditionalFormatting sqref="S310">
    <cfRule type="expression" dxfId="6446" priority="5683" stopIfTrue="1">
      <formula>$C310&lt;&gt;""</formula>
    </cfRule>
  </conditionalFormatting>
  <conditionalFormatting sqref="S310">
    <cfRule type="expression" dxfId="6445" priority="5682" stopIfTrue="1">
      <formula>$B310&lt;&gt;""</formula>
    </cfRule>
  </conditionalFormatting>
  <conditionalFormatting sqref="S310">
    <cfRule type="expression" dxfId="6444" priority="5681" stopIfTrue="1">
      <formula>$C310&lt;&gt;""</formula>
    </cfRule>
  </conditionalFormatting>
  <conditionalFormatting sqref="S310">
    <cfRule type="expression" dxfId="6443" priority="5680" stopIfTrue="1">
      <formula>$B310&lt;&gt;""</formula>
    </cfRule>
  </conditionalFormatting>
  <conditionalFormatting sqref="S310">
    <cfRule type="expression" dxfId="6442" priority="5679" stopIfTrue="1">
      <formula>$B310&lt;&gt;""</formula>
    </cfRule>
  </conditionalFormatting>
  <conditionalFormatting sqref="S310">
    <cfRule type="expression" dxfId="6441" priority="5678" stopIfTrue="1">
      <formula>$C310&lt;&gt;""</formula>
    </cfRule>
  </conditionalFormatting>
  <conditionalFormatting sqref="S310">
    <cfRule type="expression" dxfId="6440" priority="5677" stopIfTrue="1">
      <formula>$B310&lt;&gt;""</formula>
    </cfRule>
  </conditionalFormatting>
  <conditionalFormatting sqref="S310">
    <cfRule type="expression" dxfId="6439" priority="5676" stopIfTrue="1">
      <formula>$C310&lt;&gt;""</formula>
    </cfRule>
  </conditionalFormatting>
  <conditionalFormatting sqref="S310">
    <cfRule type="expression" dxfId="6438" priority="5675" stopIfTrue="1">
      <formula>$B310&lt;&gt;""</formula>
    </cfRule>
  </conditionalFormatting>
  <conditionalFormatting sqref="S310">
    <cfRule type="expression" dxfId="6437" priority="5674" stopIfTrue="1">
      <formula>$C310&lt;&gt;""</formula>
    </cfRule>
  </conditionalFormatting>
  <conditionalFormatting sqref="S310">
    <cfRule type="expression" dxfId="6436" priority="5673" stopIfTrue="1">
      <formula>$B310&lt;&gt;""</formula>
    </cfRule>
  </conditionalFormatting>
  <conditionalFormatting sqref="S310">
    <cfRule type="expression" dxfId="6435" priority="5672" stopIfTrue="1">
      <formula>$C310&lt;&gt;""</formula>
    </cfRule>
  </conditionalFormatting>
  <conditionalFormatting sqref="S310">
    <cfRule type="expression" dxfId="6434" priority="5671" stopIfTrue="1">
      <formula>$B310&lt;&gt;""</formula>
    </cfRule>
  </conditionalFormatting>
  <conditionalFormatting sqref="S310">
    <cfRule type="expression" dxfId="6433" priority="5670" stopIfTrue="1">
      <formula>$C310&lt;&gt;""</formula>
    </cfRule>
  </conditionalFormatting>
  <conditionalFormatting sqref="S310">
    <cfRule type="expression" dxfId="6432" priority="5669" stopIfTrue="1">
      <formula>$C310&lt;&gt;""</formula>
    </cfRule>
  </conditionalFormatting>
  <conditionalFormatting sqref="S310">
    <cfRule type="expression" dxfId="6431" priority="5668" stopIfTrue="1">
      <formula>$B310&lt;&gt;""</formula>
    </cfRule>
  </conditionalFormatting>
  <conditionalFormatting sqref="S310">
    <cfRule type="expression" dxfId="6430" priority="5667" stopIfTrue="1">
      <formula>$C310&lt;&gt;""</formula>
    </cfRule>
  </conditionalFormatting>
  <conditionalFormatting sqref="S310">
    <cfRule type="expression" dxfId="6429" priority="5666" stopIfTrue="1">
      <formula>$B310&lt;&gt;""</formula>
    </cfRule>
  </conditionalFormatting>
  <conditionalFormatting sqref="S310">
    <cfRule type="expression" dxfId="6428" priority="5665" stopIfTrue="1">
      <formula>$B310&lt;&gt;""</formula>
    </cfRule>
  </conditionalFormatting>
  <conditionalFormatting sqref="S310">
    <cfRule type="expression" dxfId="6427" priority="5664" stopIfTrue="1">
      <formula>$C310&lt;&gt;""</formula>
    </cfRule>
  </conditionalFormatting>
  <conditionalFormatting sqref="S311">
    <cfRule type="expression" dxfId="6426" priority="5663" stopIfTrue="1">
      <formula>$B311&lt;&gt;""</formula>
    </cfRule>
  </conditionalFormatting>
  <conditionalFormatting sqref="S311">
    <cfRule type="expression" dxfId="6425" priority="5662" stopIfTrue="1">
      <formula>$C311&lt;&gt;""</formula>
    </cfRule>
  </conditionalFormatting>
  <conditionalFormatting sqref="S310">
    <cfRule type="expression" dxfId="6424" priority="5661" stopIfTrue="1">
      <formula>$B310&lt;&gt;""</formula>
    </cfRule>
  </conditionalFormatting>
  <conditionalFormatting sqref="S310">
    <cfRule type="expression" dxfId="6423" priority="5660" stopIfTrue="1">
      <formula>$C310&lt;&gt;""</formula>
    </cfRule>
  </conditionalFormatting>
  <conditionalFormatting sqref="S311:S314">
    <cfRule type="expression" dxfId="6422" priority="5659" stopIfTrue="1">
      <formula>$B311&lt;&gt;""</formula>
    </cfRule>
  </conditionalFormatting>
  <conditionalFormatting sqref="S311:S314">
    <cfRule type="expression" dxfId="6421" priority="5658" stopIfTrue="1">
      <formula>$C311&lt;&gt;""</formula>
    </cfRule>
  </conditionalFormatting>
  <conditionalFormatting sqref="S310">
    <cfRule type="expression" dxfId="6420" priority="5657" stopIfTrue="1">
      <formula>$B310&lt;&gt;""</formula>
    </cfRule>
  </conditionalFormatting>
  <conditionalFormatting sqref="S310">
    <cfRule type="expression" dxfId="6419" priority="5656" stopIfTrue="1">
      <formula>$C310&lt;&gt;""</formula>
    </cfRule>
  </conditionalFormatting>
  <conditionalFormatting sqref="S311:S314">
    <cfRule type="expression" dxfId="6418" priority="5655" stopIfTrue="1">
      <formula>$B311&lt;&gt;""</formula>
    </cfRule>
  </conditionalFormatting>
  <conditionalFormatting sqref="S311:S314">
    <cfRule type="expression" dxfId="6417" priority="5654" stopIfTrue="1">
      <formula>$C311&lt;&gt;""</formula>
    </cfRule>
  </conditionalFormatting>
  <conditionalFormatting sqref="S310:S314">
    <cfRule type="expression" dxfId="6416" priority="5653" stopIfTrue="1">
      <formula>$B310&lt;&gt;""</formula>
    </cfRule>
  </conditionalFormatting>
  <conditionalFormatting sqref="S310:S314">
    <cfRule type="expression" dxfId="6415" priority="5652" stopIfTrue="1">
      <formula>$C310&lt;&gt;""</formula>
    </cfRule>
  </conditionalFormatting>
  <conditionalFormatting sqref="S310:S314">
    <cfRule type="expression" dxfId="6414" priority="5651" stopIfTrue="1">
      <formula>$B310&lt;&gt;""</formula>
    </cfRule>
  </conditionalFormatting>
  <conditionalFormatting sqref="S310:S314">
    <cfRule type="expression" dxfId="6413" priority="5650" stopIfTrue="1">
      <formula>$C310&lt;&gt;""</formula>
    </cfRule>
  </conditionalFormatting>
  <conditionalFormatting sqref="S310:S314">
    <cfRule type="expression" dxfId="6412" priority="5649" stopIfTrue="1">
      <formula>$B310&lt;&gt;""</formula>
    </cfRule>
  </conditionalFormatting>
  <conditionalFormatting sqref="S310:S314">
    <cfRule type="expression" dxfId="6411" priority="5648" stopIfTrue="1">
      <formula>$C310&lt;&gt;""</formula>
    </cfRule>
  </conditionalFormatting>
  <conditionalFormatting sqref="S310:S314">
    <cfRule type="expression" dxfId="6410" priority="5647" stopIfTrue="1">
      <formula>$B310&lt;&gt;""</formula>
    </cfRule>
  </conditionalFormatting>
  <conditionalFormatting sqref="S310:S314">
    <cfRule type="expression" dxfId="6409" priority="5646" stopIfTrue="1">
      <formula>$C310&lt;&gt;""</formula>
    </cfRule>
  </conditionalFormatting>
  <conditionalFormatting sqref="S310:S314">
    <cfRule type="expression" dxfId="6408" priority="5645" stopIfTrue="1">
      <formula>$B310&lt;&gt;""</formula>
    </cfRule>
  </conditionalFormatting>
  <conditionalFormatting sqref="S310:S314">
    <cfRule type="expression" dxfId="6407" priority="5644" stopIfTrue="1">
      <formula>$C310&lt;&gt;""</formula>
    </cfRule>
  </conditionalFormatting>
  <conditionalFormatting sqref="S310:S314">
    <cfRule type="expression" dxfId="6406" priority="5643" stopIfTrue="1">
      <formula>$B310&lt;&gt;""</formula>
    </cfRule>
  </conditionalFormatting>
  <conditionalFormatting sqref="S310:S314">
    <cfRule type="expression" dxfId="6405" priority="5642" stopIfTrue="1">
      <formula>$C310&lt;&gt;""</formula>
    </cfRule>
  </conditionalFormatting>
  <conditionalFormatting sqref="S310:S314">
    <cfRule type="expression" dxfId="6404" priority="5641" stopIfTrue="1">
      <formula>$B310&lt;&gt;""</formula>
    </cfRule>
  </conditionalFormatting>
  <conditionalFormatting sqref="S310:S314">
    <cfRule type="expression" dxfId="6403" priority="5640" stopIfTrue="1">
      <formula>$C310&lt;&gt;""</formula>
    </cfRule>
  </conditionalFormatting>
  <conditionalFormatting sqref="S310:S313">
    <cfRule type="expression" dxfId="6402" priority="5639" stopIfTrue="1">
      <formula>$B310&lt;&gt;""</formula>
    </cfRule>
  </conditionalFormatting>
  <conditionalFormatting sqref="S310:S313">
    <cfRule type="expression" dxfId="6401" priority="5638" stopIfTrue="1">
      <formula>$C310&lt;&gt;""</formula>
    </cfRule>
  </conditionalFormatting>
  <conditionalFormatting sqref="S314">
    <cfRule type="expression" dxfId="6400" priority="5637" stopIfTrue="1">
      <formula>$B314&lt;&gt;""</formula>
    </cfRule>
  </conditionalFormatting>
  <conditionalFormatting sqref="S314">
    <cfRule type="expression" dxfId="6399" priority="5636" stopIfTrue="1">
      <formula>$C314&lt;&gt;""</formula>
    </cfRule>
  </conditionalFormatting>
  <conditionalFormatting sqref="S310:S312">
    <cfRule type="expression" dxfId="6398" priority="5635" stopIfTrue="1">
      <formula>$B310&lt;&gt;""</formula>
    </cfRule>
  </conditionalFormatting>
  <conditionalFormatting sqref="S310:S312">
    <cfRule type="expression" dxfId="6397" priority="5634" stopIfTrue="1">
      <formula>$C310&lt;&gt;""</formula>
    </cfRule>
  </conditionalFormatting>
  <conditionalFormatting sqref="S313:S314">
    <cfRule type="expression" dxfId="6396" priority="5633" stopIfTrue="1">
      <formula>$B313&lt;&gt;""</formula>
    </cfRule>
  </conditionalFormatting>
  <conditionalFormatting sqref="S313:S314">
    <cfRule type="expression" dxfId="6395" priority="5632" stopIfTrue="1">
      <formula>$C313&lt;&gt;""</formula>
    </cfRule>
  </conditionalFormatting>
  <conditionalFormatting sqref="S310:S313">
    <cfRule type="expression" dxfId="6394" priority="5631" stopIfTrue="1">
      <formula>$B310&lt;&gt;""</formula>
    </cfRule>
  </conditionalFormatting>
  <conditionalFormatting sqref="S310:S313">
    <cfRule type="expression" dxfId="6393" priority="5630" stopIfTrue="1">
      <formula>$C310&lt;&gt;""</formula>
    </cfRule>
  </conditionalFormatting>
  <conditionalFormatting sqref="S310:S313">
    <cfRule type="expression" dxfId="6392" priority="5629" stopIfTrue="1">
      <formula>$B310&lt;&gt;""</formula>
    </cfRule>
  </conditionalFormatting>
  <conditionalFormatting sqref="S310:S313">
    <cfRule type="expression" dxfId="6391" priority="5628" stopIfTrue="1">
      <formula>$C310&lt;&gt;""</formula>
    </cfRule>
  </conditionalFormatting>
  <conditionalFormatting sqref="S314">
    <cfRule type="expression" dxfId="6390" priority="5627" stopIfTrue="1">
      <formula>$B314&lt;&gt;""</formula>
    </cfRule>
  </conditionalFormatting>
  <conditionalFormatting sqref="S314">
    <cfRule type="expression" dxfId="6389" priority="5626" stopIfTrue="1">
      <formula>$C314&lt;&gt;""</formula>
    </cfRule>
  </conditionalFormatting>
  <conditionalFormatting sqref="S310:S313">
    <cfRule type="expression" dxfId="6388" priority="5625" stopIfTrue="1">
      <formula>$B310&lt;&gt;""</formula>
    </cfRule>
  </conditionalFormatting>
  <conditionalFormatting sqref="S310:S313">
    <cfRule type="expression" dxfId="6387" priority="5624" stopIfTrue="1">
      <formula>$C310&lt;&gt;""</formula>
    </cfRule>
  </conditionalFormatting>
  <conditionalFormatting sqref="S314">
    <cfRule type="expression" dxfId="6386" priority="5623" stopIfTrue="1">
      <formula>$B314&lt;&gt;""</formula>
    </cfRule>
  </conditionalFormatting>
  <conditionalFormatting sqref="S314">
    <cfRule type="expression" dxfId="6385" priority="5622" stopIfTrue="1">
      <formula>$C314&lt;&gt;""</formula>
    </cfRule>
  </conditionalFormatting>
  <conditionalFormatting sqref="S314">
    <cfRule type="expression" dxfId="6384" priority="5621" stopIfTrue="1">
      <formula>$B314&lt;&gt;""</formula>
    </cfRule>
  </conditionalFormatting>
  <conditionalFormatting sqref="S314">
    <cfRule type="expression" dxfId="6383" priority="5620" stopIfTrue="1">
      <formula>$C314&lt;&gt;""</formula>
    </cfRule>
  </conditionalFormatting>
  <conditionalFormatting sqref="S310">
    <cfRule type="expression" dxfId="6382" priority="5619" stopIfTrue="1">
      <formula>$C310&lt;&gt;""</formula>
    </cfRule>
  </conditionalFormatting>
  <conditionalFormatting sqref="S310">
    <cfRule type="expression" dxfId="6381" priority="5618" stopIfTrue="1">
      <formula>$B310&lt;&gt;""</formula>
    </cfRule>
  </conditionalFormatting>
  <conditionalFormatting sqref="S311:S314">
    <cfRule type="expression" dxfId="6380" priority="5617" stopIfTrue="1">
      <formula>$C311&lt;&gt;""</formula>
    </cfRule>
  </conditionalFormatting>
  <conditionalFormatting sqref="S311:S314">
    <cfRule type="expression" dxfId="6379" priority="5616" stopIfTrue="1">
      <formula>$B311&lt;&gt;""</formula>
    </cfRule>
  </conditionalFormatting>
  <conditionalFormatting sqref="S313:S314">
    <cfRule type="expression" dxfId="6378" priority="5615" stopIfTrue="1">
      <formula>$C313&lt;&gt;""</formula>
    </cfRule>
  </conditionalFormatting>
  <conditionalFormatting sqref="S313:S314">
    <cfRule type="expression" dxfId="6377" priority="5614" stopIfTrue="1">
      <formula>$B313&lt;&gt;""</formula>
    </cfRule>
  </conditionalFormatting>
  <conditionalFormatting sqref="S310:S313">
    <cfRule type="expression" dxfId="6376" priority="5613" stopIfTrue="1">
      <formula>$B310&lt;&gt;""</formula>
    </cfRule>
  </conditionalFormatting>
  <conditionalFormatting sqref="S310:S313">
    <cfRule type="expression" dxfId="6375" priority="5612" stopIfTrue="1">
      <formula>$C310&lt;&gt;""</formula>
    </cfRule>
  </conditionalFormatting>
  <conditionalFormatting sqref="S314">
    <cfRule type="expression" dxfId="6374" priority="5611" stopIfTrue="1">
      <formula>$B314&lt;&gt;""</formula>
    </cfRule>
  </conditionalFormatting>
  <conditionalFormatting sqref="S314">
    <cfRule type="expression" dxfId="6373" priority="5610" stopIfTrue="1">
      <formula>$C314&lt;&gt;""</formula>
    </cfRule>
  </conditionalFormatting>
  <conditionalFormatting sqref="S310:S312">
    <cfRule type="expression" dxfId="6372" priority="5609" stopIfTrue="1">
      <formula>$B310&lt;&gt;""</formula>
    </cfRule>
  </conditionalFormatting>
  <conditionalFormatting sqref="S310:S312">
    <cfRule type="expression" dxfId="6371" priority="5608" stopIfTrue="1">
      <formula>$C310&lt;&gt;""</formula>
    </cfRule>
  </conditionalFormatting>
  <conditionalFormatting sqref="S313:S314">
    <cfRule type="expression" dxfId="6370" priority="5607" stopIfTrue="1">
      <formula>$B313&lt;&gt;""</formula>
    </cfRule>
  </conditionalFormatting>
  <conditionalFormatting sqref="S313:S314">
    <cfRule type="expression" dxfId="6369" priority="5606" stopIfTrue="1">
      <formula>$C313&lt;&gt;""</formula>
    </cfRule>
  </conditionalFormatting>
  <conditionalFormatting sqref="S310:S313">
    <cfRule type="expression" dxfId="6368" priority="5605" stopIfTrue="1">
      <formula>$B310&lt;&gt;""</formula>
    </cfRule>
  </conditionalFormatting>
  <conditionalFormatting sqref="S310:S313">
    <cfRule type="expression" dxfId="6367" priority="5604" stopIfTrue="1">
      <formula>$C310&lt;&gt;""</formula>
    </cfRule>
  </conditionalFormatting>
  <conditionalFormatting sqref="S310:S313">
    <cfRule type="expression" dxfId="6366" priority="5603" stopIfTrue="1">
      <formula>$B310&lt;&gt;""</formula>
    </cfRule>
  </conditionalFormatting>
  <conditionalFormatting sqref="S310:S313">
    <cfRule type="expression" dxfId="6365" priority="5602" stopIfTrue="1">
      <formula>$C310&lt;&gt;""</formula>
    </cfRule>
  </conditionalFormatting>
  <conditionalFormatting sqref="S314">
    <cfRule type="expression" dxfId="6364" priority="5601" stopIfTrue="1">
      <formula>$B314&lt;&gt;""</formula>
    </cfRule>
  </conditionalFormatting>
  <conditionalFormatting sqref="S314">
    <cfRule type="expression" dxfId="6363" priority="5600" stopIfTrue="1">
      <formula>$C314&lt;&gt;""</formula>
    </cfRule>
  </conditionalFormatting>
  <conditionalFormatting sqref="S310:S313">
    <cfRule type="expression" dxfId="6362" priority="5599" stopIfTrue="1">
      <formula>$B310&lt;&gt;""</formula>
    </cfRule>
  </conditionalFormatting>
  <conditionalFormatting sqref="S310:S313">
    <cfRule type="expression" dxfId="6361" priority="5598" stopIfTrue="1">
      <formula>$C310&lt;&gt;""</formula>
    </cfRule>
  </conditionalFormatting>
  <conditionalFormatting sqref="S314">
    <cfRule type="expression" dxfId="6360" priority="5597" stopIfTrue="1">
      <formula>$B314&lt;&gt;""</formula>
    </cfRule>
  </conditionalFormatting>
  <conditionalFormatting sqref="S314">
    <cfRule type="expression" dxfId="6359" priority="5596" stopIfTrue="1">
      <formula>$C314&lt;&gt;""</formula>
    </cfRule>
  </conditionalFormatting>
  <conditionalFormatting sqref="S314">
    <cfRule type="expression" dxfId="6358" priority="5595" stopIfTrue="1">
      <formula>$B314&lt;&gt;""</formula>
    </cfRule>
  </conditionalFormatting>
  <conditionalFormatting sqref="S314">
    <cfRule type="expression" dxfId="6357" priority="5594" stopIfTrue="1">
      <formula>$C314&lt;&gt;""</formula>
    </cfRule>
  </conditionalFormatting>
  <conditionalFormatting sqref="S310">
    <cfRule type="expression" dxfId="6356" priority="5593" stopIfTrue="1">
      <formula>$C310&lt;&gt;""</formula>
    </cfRule>
  </conditionalFormatting>
  <conditionalFormatting sqref="S310">
    <cfRule type="expression" dxfId="6355" priority="5592" stopIfTrue="1">
      <formula>$B310&lt;&gt;""</formula>
    </cfRule>
  </conditionalFormatting>
  <conditionalFormatting sqref="S311:S314">
    <cfRule type="expression" dxfId="6354" priority="5591" stopIfTrue="1">
      <formula>$C311&lt;&gt;""</formula>
    </cfRule>
  </conditionalFormatting>
  <conditionalFormatting sqref="S311:S314">
    <cfRule type="expression" dxfId="6353" priority="5590" stopIfTrue="1">
      <formula>$B311&lt;&gt;""</formula>
    </cfRule>
  </conditionalFormatting>
  <conditionalFormatting sqref="S313:S314">
    <cfRule type="expression" dxfId="6352" priority="5589" stopIfTrue="1">
      <formula>$C313&lt;&gt;""</formula>
    </cfRule>
  </conditionalFormatting>
  <conditionalFormatting sqref="S313:S314">
    <cfRule type="expression" dxfId="6351" priority="5588" stopIfTrue="1">
      <formula>$B313&lt;&gt;""</formula>
    </cfRule>
  </conditionalFormatting>
  <conditionalFormatting sqref="S310">
    <cfRule type="expression" dxfId="6350" priority="5587" stopIfTrue="1">
      <formula>$B310&lt;&gt;""</formula>
    </cfRule>
  </conditionalFormatting>
  <conditionalFormatting sqref="S310">
    <cfRule type="expression" dxfId="6349" priority="5586" stopIfTrue="1">
      <formula>$C310&lt;&gt;""</formula>
    </cfRule>
  </conditionalFormatting>
  <conditionalFormatting sqref="S310">
    <cfRule type="expression" dxfId="6348" priority="5585" stopIfTrue="1">
      <formula>$B310&lt;&gt;""</formula>
    </cfRule>
  </conditionalFormatting>
  <conditionalFormatting sqref="S310">
    <cfRule type="expression" dxfId="6347" priority="5584" stopIfTrue="1">
      <formula>$C310&lt;&gt;""</formula>
    </cfRule>
  </conditionalFormatting>
  <conditionalFormatting sqref="S310">
    <cfRule type="expression" dxfId="6346" priority="5583" stopIfTrue="1">
      <formula>$B310&lt;&gt;""</formula>
    </cfRule>
  </conditionalFormatting>
  <conditionalFormatting sqref="S310">
    <cfRule type="expression" dxfId="6345" priority="5582" stopIfTrue="1">
      <formula>$C310&lt;&gt;""</formula>
    </cfRule>
  </conditionalFormatting>
  <conditionalFormatting sqref="S310">
    <cfRule type="expression" dxfId="6344" priority="5581" stopIfTrue="1">
      <formula>$B310&lt;&gt;""</formula>
    </cfRule>
  </conditionalFormatting>
  <conditionalFormatting sqref="S310">
    <cfRule type="expression" dxfId="6343" priority="5580" stopIfTrue="1">
      <formula>$C310&lt;&gt;""</formula>
    </cfRule>
  </conditionalFormatting>
  <conditionalFormatting sqref="S310">
    <cfRule type="expression" dxfId="6342" priority="5579" stopIfTrue="1">
      <formula>$B310&lt;&gt;""</formula>
    </cfRule>
  </conditionalFormatting>
  <conditionalFormatting sqref="S310">
    <cfRule type="expression" dxfId="6341" priority="5578" stopIfTrue="1">
      <formula>$C310&lt;&gt;""</formula>
    </cfRule>
  </conditionalFormatting>
  <conditionalFormatting sqref="S310">
    <cfRule type="expression" dxfId="6340" priority="5577" stopIfTrue="1">
      <formula>$B310&lt;&gt;""</formula>
    </cfRule>
  </conditionalFormatting>
  <conditionalFormatting sqref="S310">
    <cfRule type="expression" dxfId="6339" priority="5576" stopIfTrue="1">
      <formula>$C310&lt;&gt;""</formula>
    </cfRule>
  </conditionalFormatting>
  <conditionalFormatting sqref="S310">
    <cfRule type="expression" dxfId="6338" priority="5575" stopIfTrue="1">
      <formula>$B310&lt;&gt;""</formula>
    </cfRule>
  </conditionalFormatting>
  <conditionalFormatting sqref="S310">
    <cfRule type="expression" dxfId="6337" priority="5574" stopIfTrue="1">
      <formula>$C310&lt;&gt;""</formula>
    </cfRule>
  </conditionalFormatting>
  <conditionalFormatting sqref="S310">
    <cfRule type="expression" dxfId="6336" priority="5573" stopIfTrue="1">
      <formula>$B310&lt;&gt;""</formula>
    </cfRule>
  </conditionalFormatting>
  <conditionalFormatting sqref="S310">
    <cfRule type="expression" dxfId="6335" priority="5572" stopIfTrue="1">
      <formula>$C310&lt;&gt;""</formula>
    </cfRule>
  </conditionalFormatting>
  <conditionalFormatting sqref="S310">
    <cfRule type="expression" dxfId="6334" priority="5571" stopIfTrue="1">
      <formula>$B310&lt;&gt;""</formula>
    </cfRule>
  </conditionalFormatting>
  <conditionalFormatting sqref="S310">
    <cfRule type="expression" dxfId="6333" priority="5570" stopIfTrue="1">
      <formula>$C310&lt;&gt;""</formula>
    </cfRule>
  </conditionalFormatting>
  <conditionalFormatting sqref="S310">
    <cfRule type="expression" dxfId="6332" priority="5569" stopIfTrue="1">
      <formula>$B310&lt;&gt;""</formula>
    </cfRule>
  </conditionalFormatting>
  <conditionalFormatting sqref="S310">
    <cfRule type="expression" dxfId="6331" priority="5568" stopIfTrue="1">
      <formula>$C310&lt;&gt;""</formula>
    </cfRule>
  </conditionalFormatting>
  <conditionalFormatting sqref="S310">
    <cfRule type="expression" dxfId="6330" priority="5567" stopIfTrue="1">
      <formula>$B310&lt;&gt;""</formula>
    </cfRule>
  </conditionalFormatting>
  <conditionalFormatting sqref="S310">
    <cfRule type="expression" dxfId="6329" priority="5566" stopIfTrue="1">
      <formula>$C310&lt;&gt;""</formula>
    </cfRule>
  </conditionalFormatting>
  <conditionalFormatting sqref="S310">
    <cfRule type="expression" dxfId="6328" priority="5565" stopIfTrue="1">
      <formula>$B310&lt;&gt;""</formula>
    </cfRule>
  </conditionalFormatting>
  <conditionalFormatting sqref="S310">
    <cfRule type="expression" dxfId="6327" priority="5564" stopIfTrue="1">
      <formula>$C310&lt;&gt;""</formula>
    </cfRule>
  </conditionalFormatting>
  <conditionalFormatting sqref="S310">
    <cfRule type="expression" dxfId="6326" priority="5563" stopIfTrue="1">
      <formula>$B310&lt;&gt;""</formula>
    </cfRule>
  </conditionalFormatting>
  <conditionalFormatting sqref="S310">
    <cfRule type="expression" dxfId="6325" priority="5562" stopIfTrue="1">
      <formula>$C310&lt;&gt;""</formula>
    </cfRule>
  </conditionalFormatting>
  <conditionalFormatting sqref="S310">
    <cfRule type="expression" dxfId="6324" priority="5561" stopIfTrue="1">
      <formula>$B310&lt;&gt;""</formula>
    </cfRule>
  </conditionalFormatting>
  <conditionalFormatting sqref="S310">
    <cfRule type="expression" dxfId="6323" priority="5560" stopIfTrue="1">
      <formula>$C310&lt;&gt;""</formula>
    </cfRule>
  </conditionalFormatting>
  <conditionalFormatting sqref="S310">
    <cfRule type="expression" dxfId="6322" priority="5559" stopIfTrue="1">
      <formula>$C310&lt;&gt;""</formula>
    </cfRule>
  </conditionalFormatting>
  <conditionalFormatting sqref="S310">
    <cfRule type="expression" dxfId="6321" priority="5558" stopIfTrue="1">
      <formula>$B310&lt;&gt;""</formula>
    </cfRule>
  </conditionalFormatting>
  <conditionalFormatting sqref="S310">
    <cfRule type="expression" dxfId="6320" priority="5557" stopIfTrue="1">
      <formula>$C310&lt;&gt;""</formula>
    </cfRule>
  </conditionalFormatting>
  <conditionalFormatting sqref="S310">
    <cfRule type="expression" dxfId="6319" priority="5556" stopIfTrue="1">
      <formula>$B310&lt;&gt;""</formula>
    </cfRule>
  </conditionalFormatting>
  <conditionalFormatting sqref="S310">
    <cfRule type="expression" dxfId="6318" priority="5555" stopIfTrue="1">
      <formula>$B310&lt;&gt;""</formula>
    </cfRule>
  </conditionalFormatting>
  <conditionalFormatting sqref="S310">
    <cfRule type="expression" dxfId="6317" priority="5554" stopIfTrue="1">
      <formula>$C310&lt;&gt;""</formula>
    </cfRule>
  </conditionalFormatting>
  <conditionalFormatting sqref="S310">
    <cfRule type="expression" dxfId="6316" priority="5553" stopIfTrue="1">
      <formula>$B310&lt;&gt;""</formula>
    </cfRule>
  </conditionalFormatting>
  <conditionalFormatting sqref="S310">
    <cfRule type="expression" dxfId="6315" priority="5552" stopIfTrue="1">
      <formula>$C310&lt;&gt;""</formula>
    </cfRule>
  </conditionalFormatting>
  <conditionalFormatting sqref="S310">
    <cfRule type="expression" dxfId="6314" priority="5551" stopIfTrue="1">
      <formula>$B310&lt;&gt;""</formula>
    </cfRule>
  </conditionalFormatting>
  <conditionalFormatting sqref="S310">
    <cfRule type="expression" dxfId="6313" priority="5550" stopIfTrue="1">
      <formula>$C310&lt;&gt;""</formula>
    </cfRule>
  </conditionalFormatting>
  <conditionalFormatting sqref="S310">
    <cfRule type="expression" dxfId="6312" priority="5549" stopIfTrue="1">
      <formula>$B310&lt;&gt;""</formula>
    </cfRule>
  </conditionalFormatting>
  <conditionalFormatting sqref="S310">
    <cfRule type="expression" dxfId="6311" priority="5548" stopIfTrue="1">
      <formula>$C310&lt;&gt;""</formula>
    </cfRule>
  </conditionalFormatting>
  <conditionalFormatting sqref="S310">
    <cfRule type="expression" dxfId="6310" priority="5547" stopIfTrue="1">
      <formula>$B310&lt;&gt;""</formula>
    </cfRule>
  </conditionalFormatting>
  <conditionalFormatting sqref="S310">
    <cfRule type="expression" dxfId="6309" priority="5546" stopIfTrue="1">
      <formula>$C310&lt;&gt;""</formula>
    </cfRule>
  </conditionalFormatting>
  <conditionalFormatting sqref="S310">
    <cfRule type="expression" dxfId="6308" priority="5545" stopIfTrue="1">
      <formula>$C310&lt;&gt;""</formula>
    </cfRule>
  </conditionalFormatting>
  <conditionalFormatting sqref="S310">
    <cfRule type="expression" dxfId="6307" priority="5544" stopIfTrue="1">
      <formula>$B310&lt;&gt;""</formula>
    </cfRule>
  </conditionalFormatting>
  <conditionalFormatting sqref="S310">
    <cfRule type="expression" dxfId="6306" priority="5543" stopIfTrue="1">
      <formula>$C310&lt;&gt;""</formula>
    </cfRule>
  </conditionalFormatting>
  <conditionalFormatting sqref="S310">
    <cfRule type="expression" dxfId="6305" priority="5542" stopIfTrue="1">
      <formula>$B310&lt;&gt;""</formula>
    </cfRule>
  </conditionalFormatting>
  <conditionalFormatting sqref="S310">
    <cfRule type="expression" dxfId="6304" priority="5541" stopIfTrue="1">
      <formula>$B310&lt;&gt;""</formula>
    </cfRule>
  </conditionalFormatting>
  <conditionalFormatting sqref="S310">
    <cfRule type="expression" dxfId="6303" priority="5540" stopIfTrue="1">
      <formula>$C310&lt;&gt;""</formula>
    </cfRule>
  </conditionalFormatting>
  <conditionalFormatting sqref="S311">
    <cfRule type="expression" dxfId="6302" priority="5539" stopIfTrue="1">
      <formula>$B311&lt;&gt;""</formula>
    </cfRule>
  </conditionalFormatting>
  <conditionalFormatting sqref="S311">
    <cfRule type="expression" dxfId="6301" priority="5538" stopIfTrue="1">
      <formula>$C311&lt;&gt;""</formula>
    </cfRule>
  </conditionalFormatting>
  <conditionalFormatting sqref="S310">
    <cfRule type="expression" dxfId="6300" priority="5537" stopIfTrue="1">
      <formula>$B310&lt;&gt;""</formula>
    </cfRule>
  </conditionalFormatting>
  <conditionalFormatting sqref="S310">
    <cfRule type="expression" dxfId="6299" priority="5536" stopIfTrue="1">
      <formula>$C310&lt;&gt;""</formula>
    </cfRule>
  </conditionalFormatting>
  <conditionalFormatting sqref="S311:S314">
    <cfRule type="expression" dxfId="6298" priority="5535" stopIfTrue="1">
      <formula>$B311&lt;&gt;""</formula>
    </cfRule>
  </conditionalFormatting>
  <conditionalFormatting sqref="S311:S314">
    <cfRule type="expression" dxfId="6297" priority="5534" stopIfTrue="1">
      <formula>$C311&lt;&gt;""</formula>
    </cfRule>
  </conditionalFormatting>
  <conditionalFormatting sqref="S310">
    <cfRule type="expression" dxfId="6296" priority="5533" stopIfTrue="1">
      <formula>$B310&lt;&gt;""</formula>
    </cfRule>
  </conditionalFormatting>
  <conditionalFormatting sqref="S310">
    <cfRule type="expression" dxfId="6295" priority="5532" stopIfTrue="1">
      <formula>$C310&lt;&gt;""</formula>
    </cfRule>
  </conditionalFormatting>
  <conditionalFormatting sqref="S311:S314">
    <cfRule type="expression" dxfId="6294" priority="5531" stopIfTrue="1">
      <formula>$B311&lt;&gt;""</formula>
    </cfRule>
  </conditionalFormatting>
  <conditionalFormatting sqref="S311:S314">
    <cfRule type="expression" dxfId="6293" priority="5530" stopIfTrue="1">
      <formula>$C311&lt;&gt;""</formula>
    </cfRule>
  </conditionalFormatting>
  <conditionalFormatting sqref="S310:S314">
    <cfRule type="expression" dxfId="6292" priority="5529" stopIfTrue="1">
      <formula>$B310&lt;&gt;""</formula>
    </cfRule>
  </conditionalFormatting>
  <conditionalFormatting sqref="S310:S314">
    <cfRule type="expression" dxfId="6291" priority="5528" stopIfTrue="1">
      <formula>$C310&lt;&gt;""</formula>
    </cfRule>
  </conditionalFormatting>
  <conditionalFormatting sqref="S310:S314">
    <cfRule type="expression" dxfId="6290" priority="5527" stopIfTrue="1">
      <formula>$B310&lt;&gt;""</formula>
    </cfRule>
  </conditionalFormatting>
  <conditionalFormatting sqref="S310:S314">
    <cfRule type="expression" dxfId="6289" priority="5526" stopIfTrue="1">
      <formula>$C310&lt;&gt;""</formula>
    </cfRule>
  </conditionalFormatting>
  <conditionalFormatting sqref="S310:S314">
    <cfRule type="expression" dxfId="6288" priority="5525" stopIfTrue="1">
      <formula>$B310&lt;&gt;""</formula>
    </cfRule>
  </conditionalFormatting>
  <conditionalFormatting sqref="S310:S314">
    <cfRule type="expression" dxfId="6287" priority="5524" stopIfTrue="1">
      <formula>$C310&lt;&gt;""</formula>
    </cfRule>
  </conditionalFormatting>
  <conditionalFormatting sqref="S310:S314">
    <cfRule type="expression" dxfId="6286" priority="5523" stopIfTrue="1">
      <formula>$B310&lt;&gt;""</formula>
    </cfRule>
  </conditionalFormatting>
  <conditionalFormatting sqref="S310:S314">
    <cfRule type="expression" dxfId="6285" priority="5522" stopIfTrue="1">
      <formula>$C310&lt;&gt;""</formula>
    </cfRule>
  </conditionalFormatting>
  <conditionalFormatting sqref="S310:S314">
    <cfRule type="expression" dxfId="6284" priority="5521" stopIfTrue="1">
      <formula>$B310&lt;&gt;""</formula>
    </cfRule>
  </conditionalFormatting>
  <conditionalFormatting sqref="S310:S314">
    <cfRule type="expression" dxfId="6283" priority="5520" stopIfTrue="1">
      <formula>$C310&lt;&gt;""</formula>
    </cfRule>
  </conditionalFormatting>
  <conditionalFormatting sqref="S310:S314">
    <cfRule type="expression" dxfId="6282" priority="5519" stopIfTrue="1">
      <formula>$B310&lt;&gt;""</formula>
    </cfRule>
  </conditionalFormatting>
  <conditionalFormatting sqref="S310:S314">
    <cfRule type="expression" dxfId="6281" priority="5518" stopIfTrue="1">
      <formula>$C310&lt;&gt;""</formula>
    </cfRule>
  </conditionalFormatting>
  <conditionalFormatting sqref="S310:S314">
    <cfRule type="expression" dxfId="6280" priority="5517" stopIfTrue="1">
      <formula>$B310&lt;&gt;""</formula>
    </cfRule>
  </conditionalFormatting>
  <conditionalFormatting sqref="S310:S314">
    <cfRule type="expression" dxfId="6279" priority="5516" stopIfTrue="1">
      <formula>$C310&lt;&gt;""</formula>
    </cfRule>
  </conditionalFormatting>
  <conditionalFormatting sqref="S310:S313">
    <cfRule type="expression" dxfId="6278" priority="5515" stopIfTrue="1">
      <formula>$B310&lt;&gt;""</formula>
    </cfRule>
  </conditionalFormatting>
  <conditionalFormatting sqref="S310:S313">
    <cfRule type="expression" dxfId="6277" priority="5514" stopIfTrue="1">
      <formula>$C310&lt;&gt;""</formula>
    </cfRule>
  </conditionalFormatting>
  <conditionalFormatting sqref="S314">
    <cfRule type="expression" dxfId="6276" priority="5513" stopIfTrue="1">
      <formula>$B314&lt;&gt;""</formula>
    </cfRule>
  </conditionalFormatting>
  <conditionalFormatting sqref="S314">
    <cfRule type="expression" dxfId="6275" priority="5512" stopIfTrue="1">
      <formula>$C314&lt;&gt;""</formula>
    </cfRule>
  </conditionalFormatting>
  <conditionalFormatting sqref="S310:S312">
    <cfRule type="expression" dxfId="6274" priority="5511" stopIfTrue="1">
      <formula>$B310&lt;&gt;""</formula>
    </cfRule>
  </conditionalFormatting>
  <conditionalFormatting sqref="S310:S312">
    <cfRule type="expression" dxfId="6273" priority="5510" stopIfTrue="1">
      <formula>$C310&lt;&gt;""</formula>
    </cfRule>
  </conditionalFormatting>
  <conditionalFormatting sqref="S313:S314">
    <cfRule type="expression" dxfId="6272" priority="5509" stopIfTrue="1">
      <formula>$B313&lt;&gt;""</formula>
    </cfRule>
  </conditionalFormatting>
  <conditionalFormatting sqref="S313:S314">
    <cfRule type="expression" dxfId="6271" priority="5508" stopIfTrue="1">
      <formula>$C313&lt;&gt;""</formula>
    </cfRule>
  </conditionalFormatting>
  <conditionalFormatting sqref="S310:S313">
    <cfRule type="expression" dxfId="6270" priority="5507" stopIfTrue="1">
      <formula>$B310&lt;&gt;""</formula>
    </cfRule>
  </conditionalFormatting>
  <conditionalFormatting sqref="S310:S313">
    <cfRule type="expression" dxfId="6269" priority="5506" stopIfTrue="1">
      <formula>$C310&lt;&gt;""</formula>
    </cfRule>
  </conditionalFormatting>
  <conditionalFormatting sqref="S310:S313">
    <cfRule type="expression" dxfId="6268" priority="5505" stopIfTrue="1">
      <formula>$B310&lt;&gt;""</formula>
    </cfRule>
  </conditionalFormatting>
  <conditionalFormatting sqref="S310:S313">
    <cfRule type="expression" dxfId="6267" priority="5504" stopIfTrue="1">
      <formula>$C310&lt;&gt;""</formula>
    </cfRule>
  </conditionalFormatting>
  <conditionalFormatting sqref="S314">
    <cfRule type="expression" dxfId="6266" priority="5503" stopIfTrue="1">
      <formula>$B314&lt;&gt;""</formula>
    </cfRule>
  </conditionalFormatting>
  <conditionalFormatting sqref="S314">
    <cfRule type="expression" dxfId="6265" priority="5502" stopIfTrue="1">
      <formula>$C314&lt;&gt;""</formula>
    </cfRule>
  </conditionalFormatting>
  <conditionalFormatting sqref="S310:S313">
    <cfRule type="expression" dxfId="6264" priority="5501" stopIfTrue="1">
      <formula>$B310&lt;&gt;""</formula>
    </cfRule>
  </conditionalFormatting>
  <conditionalFormatting sqref="S310:S313">
    <cfRule type="expression" dxfId="6263" priority="5500" stopIfTrue="1">
      <formula>$C310&lt;&gt;""</formula>
    </cfRule>
  </conditionalFormatting>
  <conditionalFormatting sqref="S314">
    <cfRule type="expression" dxfId="6262" priority="5499" stopIfTrue="1">
      <formula>$B314&lt;&gt;""</formula>
    </cfRule>
  </conditionalFormatting>
  <conditionalFormatting sqref="S314">
    <cfRule type="expression" dxfId="6261" priority="5498" stopIfTrue="1">
      <formula>$C314&lt;&gt;""</formula>
    </cfRule>
  </conditionalFormatting>
  <conditionalFormatting sqref="S314">
    <cfRule type="expression" dxfId="6260" priority="5497" stopIfTrue="1">
      <formula>$B314&lt;&gt;""</formula>
    </cfRule>
  </conditionalFormatting>
  <conditionalFormatting sqref="S314">
    <cfRule type="expression" dxfId="6259" priority="5496" stopIfTrue="1">
      <formula>$C314&lt;&gt;""</formula>
    </cfRule>
  </conditionalFormatting>
  <conditionalFormatting sqref="S310">
    <cfRule type="expression" dxfId="6258" priority="5495" stopIfTrue="1">
      <formula>$C310&lt;&gt;""</formula>
    </cfRule>
  </conditionalFormatting>
  <conditionalFormatting sqref="S310">
    <cfRule type="expression" dxfId="6257" priority="5494" stopIfTrue="1">
      <formula>$B310&lt;&gt;""</formula>
    </cfRule>
  </conditionalFormatting>
  <conditionalFormatting sqref="S311:S314">
    <cfRule type="expression" dxfId="6256" priority="5493" stopIfTrue="1">
      <formula>$C311&lt;&gt;""</formula>
    </cfRule>
  </conditionalFormatting>
  <conditionalFormatting sqref="S311:S314">
    <cfRule type="expression" dxfId="6255" priority="5492" stopIfTrue="1">
      <formula>$B311&lt;&gt;""</formula>
    </cfRule>
  </conditionalFormatting>
  <conditionalFormatting sqref="S313:S314">
    <cfRule type="expression" dxfId="6254" priority="5491" stopIfTrue="1">
      <formula>$C313&lt;&gt;""</formula>
    </cfRule>
  </conditionalFormatting>
  <conditionalFormatting sqref="S313:S314">
    <cfRule type="expression" dxfId="6253" priority="5490" stopIfTrue="1">
      <formula>$B313&lt;&gt;""</formula>
    </cfRule>
  </conditionalFormatting>
  <conditionalFormatting sqref="S310:S313">
    <cfRule type="expression" dxfId="6252" priority="5489" stopIfTrue="1">
      <formula>$B310&lt;&gt;""</formula>
    </cfRule>
  </conditionalFormatting>
  <conditionalFormatting sqref="S310:S313">
    <cfRule type="expression" dxfId="6251" priority="5488" stopIfTrue="1">
      <formula>$C310&lt;&gt;""</formula>
    </cfRule>
  </conditionalFormatting>
  <conditionalFormatting sqref="S314">
    <cfRule type="expression" dxfId="6250" priority="5487" stopIfTrue="1">
      <formula>$B314&lt;&gt;""</formula>
    </cfRule>
  </conditionalFormatting>
  <conditionalFormatting sqref="S314">
    <cfRule type="expression" dxfId="6249" priority="5486" stopIfTrue="1">
      <formula>$C314&lt;&gt;""</formula>
    </cfRule>
  </conditionalFormatting>
  <conditionalFormatting sqref="S310:S312">
    <cfRule type="expression" dxfId="6248" priority="5485" stopIfTrue="1">
      <formula>$B310&lt;&gt;""</formula>
    </cfRule>
  </conditionalFormatting>
  <conditionalFormatting sqref="S310:S312">
    <cfRule type="expression" dxfId="6247" priority="5484" stopIfTrue="1">
      <formula>$C310&lt;&gt;""</formula>
    </cfRule>
  </conditionalFormatting>
  <conditionalFormatting sqref="S313:S314">
    <cfRule type="expression" dxfId="6246" priority="5483" stopIfTrue="1">
      <formula>$B313&lt;&gt;""</formula>
    </cfRule>
  </conditionalFormatting>
  <conditionalFormatting sqref="S313:S314">
    <cfRule type="expression" dxfId="6245" priority="5482" stopIfTrue="1">
      <formula>$C313&lt;&gt;""</formula>
    </cfRule>
  </conditionalFormatting>
  <conditionalFormatting sqref="S310:S313">
    <cfRule type="expression" dxfId="6244" priority="5481" stopIfTrue="1">
      <formula>$B310&lt;&gt;""</formula>
    </cfRule>
  </conditionalFormatting>
  <conditionalFormatting sqref="S310:S313">
    <cfRule type="expression" dxfId="6243" priority="5480" stopIfTrue="1">
      <formula>$C310&lt;&gt;""</formula>
    </cfRule>
  </conditionalFormatting>
  <conditionalFormatting sqref="S310:S313">
    <cfRule type="expression" dxfId="6242" priority="5479" stopIfTrue="1">
      <formula>$B310&lt;&gt;""</formula>
    </cfRule>
  </conditionalFormatting>
  <conditionalFormatting sqref="S310:S313">
    <cfRule type="expression" dxfId="6241" priority="5478" stopIfTrue="1">
      <formula>$C310&lt;&gt;""</formula>
    </cfRule>
  </conditionalFormatting>
  <conditionalFormatting sqref="S314">
    <cfRule type="expression" dxfId="6240" priority="5477" stopIfTrue="1">
      <formula>$B314&lt;&gt;""</formula>
    </cfRule>
  </conditionalFormatting>
  <conditionalFormatting sqref="S314">
    <cfRule type="expression" dxfId="6239" priority="5476" stopIfTrue="1">
      <formula>$C314&lt;&gt;""</formula>
    </cfRule>
  </conditionalFormatting>
  <conditionalFormatting sqref="S310:S313">
    <cfRule type="expression" dxfId="6238" priority="5475" stopIfTrue="1">
      <formula>$B310&lt;&gt;""</formula>
    </cfRule>
  </conditionalFormatting>
  <conditionalFormatting sqref="S310:S313">
    <cfRule type="expression" dxfId="6237" priority="5474" stopIfTrue="1">
      <formula>$C310&lt;&gt;""</formula>
    </cfRule>
  </conditionalFormatting>
  <conditionalFormatting sqref="S314">
    <cfRule type="expression" dxfId="6236" priority="5473" stopIfTrue="1">
      <formula>$B314&lt;&gt;""</formula>
    </cfRule>
  </conditionalFormatting>
  <conditionalFormatting sqref="S314">
    <cfRule type="expression" dxfId="6235" priority="5472" stopIfTrue="1">
      <formula>$C314&lt;&gt;""</formula>
    </cfRule>
  </conditionalFormatting>
  <conditionalFormatting sqref="S314">
    <cfRule type="expression" dxfId="6234" priority="5471" stopIfTrue="1">
      <formula>$B314&lt;&gt;""</formula>
    </cfRule>
  </conditionalFormatting>
  <conditionalFormatting sqref="S314">
    <cfRule type="expression" dxfId="6233" priority="5470" stopIfTrue="1">
      <formula>$C314&lt;&gt;""</formula>
    </cfRule>
  </conditionalFormatting>
  <conditionalFormatting sqref="S310">
    <cfRule type="expression" dxfId="6232" priority="5469" stopIfTrue="1">
      <formula>$C310&lt;&gt;""</formula>
    </cfRule>
  </conditionalFormatting>
  <conditionalFormatting sqref="S310">
    <cfRule type="expression" dxfId="6231" priority="5468" stopIfTrue="1">
      <formula>$B310&lt;&gt;""</formula>
    </cfRule>
  </conditionalFormatting>
  <conditionalFormatting sqref="S311:S314">
    <cfRule type="expression" dxfId="6230" priority="5467" stopIfTrue="1">
      <formula>$C311&lt;&gt;""</formula>
    </cfRule>
  </conditionalFormatting>
  <conditionalFormatting sqref="S311:S314">
    <cfRule type="expression" dxfId="6229" priority="5466" stopIfTrue="1">
      <formula>$B311&lt;&gt;""</formula>
    </cfRule>
  </conditionalFormatting>
  <conditionalFormatting sqref="S313:S314">
    <cfRule type="expression" dxfId="6228" priority="5465" stopIfTrue="1">
      <formula>$C313&lt;&gt;""</formula>
    </cfRule>
  </conditionalFormatting>
  <conditionalFormatting sqref="S313:S314">
    <cfRule type="expression" dxfId="6227" priority="5464" stopIfTrue="1">
      <formula>$B313&lt;&gt;""</formula>
    </cfRule>
  </conditionalFormatting>
  <conditionalFormatting sqref="S310">
    <cfRule type="expression" dxfId="6226" priority="5463" stopIfTrue="1">
      <formula>$B310&lt;&gt;""</formula>
    </cfRule>
  </conditionalFormatting>
  <conditionalFormatting sqref="S310">
    <cfRule type="expression" dxfId="6225" priority="5462" stopIfTrue="1">
      <formula>$C310&lt;&gt;""</formula>
    </cfRule>
  </conditionalFormatting>
  <conditionalFormatting sqref="S311">
    <cfRule type="expression" dxfId="6224" priority="5461" stopIfTrue="1">
      <formula>$B311&lt;&gt;""</formula>
    </cfRule>
  </conditionalFormatting>
  <conditionalFormatting sqref="S311">
    <cfRule type="expression" dxfId="6223" priority="5460" stopIfTrue="1">
      <formula>$C311&lt;&gt;""</formula>
    </cfRule>
  </conditionalFormatting>
  <conditionalFormatting sqref="S310">
    <cfRule type="expression" dxfId="6222" priority="5459" stopIfTrue="1">
      <formula>$B310&lt;&gt;""</formula>
    </cfRule>
  </conditionalFormatting>
  <conditionalFormatting sqref="S310">
    <cfRule type="expression" dxfId="6221" priority="5458" stopIfTrue="1">
      <formula>$C310&lt;&gt;""</formula>
    </cfRule>
  </conditionalFormatting>
  <conditionalFormatting sqref="S311:S314">
    <cfRule type="expression" dxfId="6220" priority="5457" stopIfTrue="1">
      <formula>$B311&lt;&gt;""</formula>
    </cfRule>
  </conditionalFormatting>
  <conditionalFormatting sqref="S311:S314">
    <cfRule type="expression" dxfId="6219" priority="5456" stopIfTrue="1">
      <formula>$C311&lt;&gt;""</formula>
    </cfRule>
  </conditionalFormatting>
  <conditionalFormatting sqref="S310">
    <cfRule type="expression" dxfId="6218" priority="5455" stopIfTrue="1">
      <formula>$B310&lt;&gt;""</formula>
    </cfRule>
  </conditionalFormatting>
  <conditionalFormatting sqref="S310">
    <cfRule type="expression" dxfId="6217" priority="5454" stopIfTrue="1">
      <formula>$C310&lt;&gt;""</formula>
    </cfRule>
  </conditionalFormatting>
  <conditionalFormatting sqref="S311:S314">
    <cfRule type="expression" dxfId="6216" priority="5453" stopIfTrue="1">
      <formula>$B311&lt;&gt;""</formula>
    </cfRule>
  </conditionalFormatting>
  <conditionalFormatting sqref="S311:S314">
    <cfRule type="expression" dxfId="6215" priority="5452" stopIfTrue="1">
      <formula>$C311&lt;&gt;""</formula>
    </cfRule>
  </conditionalFormatting>
  <conditionalFormatting sqref="S310:S314">
    <cfRule type="expression" dxfId="6214" priority="5451" stopIfTrue="1">
      <formula>$B310&lt;&gt;""</formula>
    </cfRule>
  </conditionalFormatting>
  <conditionalFormatting sqref="S310:S314">
    <cfRule type="expression" dxfId="6213" priority="5450" stopIfTrue="1">
      <formula>$C310&lt;&gt;""</formula>
    </cfRule>
  </conditionalFormatting>
  <conditionalFormatting sqref="S310:S314">
    <cfRule type="expression" dxfId="6212" priority="5449" stopIfTrue="1">
      <formula>$B310&lt;&gt;""</formula>
    </cfRule>
  </conditionalFormatting>
  <conditionalFormatting sqref="S310:S314">
    <cfRule type="expression" dxfId="6211" priority="5448" stopIfTrue="1">
      <formula>$C310&lt;&gt;""</formula>
    </cfRule>
  </conditionalFormatting>
  <conditionalFormatting sqref="S310:S314">
    <cfRule type="expression" dxfId="6210" priority="5447" stopIfTrue="1">
      <formula>$B310&lt;&gt;""</formula>
    </cfRule>
  </conditionalFormatting>
  <conditionalFormatting sqref="S310:S314">
    <cfRule type="expression" dxfId="6209" priority="5446" stopIfTrue="1">
      <formula>$C310&lt;&gt;""</formula>
    </cfRule>
  </conditionalFormatting>
  <conditionalFormatting sqref="S310:S314">
    <cfRule type="expression" dxfId="6208" priority="5445" stopIfTrue="1">
      <formula>$B310&lt;&gt;""</formula>
    </cfRule>
  </conditionalFormatting>
  <conditionalFormatting sqref="S310:S314">
    <cfRule type="expression" dxfId="6207" priority="5444" stopIfTrue="1">
      <formula>$C310&lt;&gt;""</formula>
    </cfRule>
  </conditionalFormatting>
  <conditionalFormatting sqref="S310:S314">
    <cfRule type="expression" dxfId="6206" priority="5443" stopIfTrue="1">
      <formula>$B310&lt;&gt;""</formula>
    </cfRule>
  </conditionalFormatting>
  <conditionalFormatting sqref="S310:S314">
    <cfRule type="expression" dxfId="6205" priority="5442" stopIfTrue="1">
      <formula>$C310&lt;&gt;""</formula>
    </cfRule>
  </conditionalFormatting>
  <conditionalFormatting sqref="S310:S314">
    <cfRule type="expression" dxfId="6204" priority="5441" stopIfTrue="1">
      <formula>$B310&lt;&gt;""</formula>
    </cfRule>
  </conditionalFormatting>
  <conditionalFormatting sqref="S310:S314">
    <cfRule type="expression" dxfId="6203" priority="5440" stopIfTrue="1">
      <formula>$C310&lt;&gt;""</formula>
    </cfRule>
  </conditionalFormatting>
  <conditionalFormatting sqref="S310:S314">
    <cfRule type="expression" dxfId="6202" priority="5439" stopIfTrue="1">
      <formula>$B310&lt;&gt;""</formula>
    </cfRule>
  </conditionalFormatting>
  <conditionalFormatting sqref="S310:S314">
    <cfRule type="expression" dxfId="6201" priority="5438" stopIfTrue="1">
      <formula>$C310&lt;&gt;""</formula>
    </cfRule>
  </conditionalFormatting>
  <conditionalFormatting sqref="S310:S313">
    <cfRule type="expression" dxfId="6200" priority="5437" stopIfTrue="1">
      <formula>$B310&lt;&gt;""</formula>
    </cfRule>
  </conditionalFormatting>
  <conditionalFormatting sqref="S310:S313">
    <cfRule type="expression" dxfId="6199" priority="5436" stopIfTrue="1">
      <formula>$C310&lt;&gt;""</formula>
    </cfRule>
  </conditionalFormatting>
  <conditionalFormatting sqref="S314">
    <cfRule type="expression" dxfId="6198" priority="5435" stopIfTrue="1">
      <formula>$B314&lt;&gt;""</formula>
    </cfRule>
  </conditionalFormatting>
  <conditionalFormatting sqref="S314">
    <cfRule type="expression" dxfId="6197" priority="5434" stopIfTrue="1">
      <formula>$C314&lt;&gt;""</formula>
    </cfRule>
  </conditionalFormatting>
  <conditionalFormatting sqref="S310:S312">
    <cfRule type="expression" dxfId="6196" priority="5433" stopIfTrue="1">
      <formula>$B310&lt;&gt;""</formula>
    </cfRule>
  </conditionalFormatting>
  <conditionalFormatting sqref="S310:S312">
    <cfRule type="expression" dxfId="6195" priority="5432" stopIfTrue="1">
      <formula>$C310&lt;&gt;""</formula>
    </cfRule>
  </conditionalFormatting>
  <conditionalFormatting sqref="S313:S314">
    <cfRule type="expression" dxfId="6194" priority="5431" stopIfTrue="1">
      <formula>$B313&lt;&gt;""</formula>
    </cfRule>
  </conditionalFormatting>
  <conditionalFormatting sqref="S313:S314">
    <cfRule type="expression" dxfId="6193" priority="5430" stopIfTrue="1">
      <formula>$C313&lt;&gt;""</formula>
    </cfRule>
  </conditionalFormatting>
  <conditionalFormatting sqref="S310:S313">
    <cfRule type="expression" dxfId="6192" priority="5429" stopIfTrue="1">
      <formula>$B310&lt;&gt;""</formula>
    </cfRule>
  </conditionalFormatting>
  <conditionalFormatting sqref="S310:S313">
    <cfRule type="expression" dxfId="6191" priority="5428" stopIfTrue="1">
      <formula>$C310&lt;&gt;""</formula>
    </cfRule>
  </conditionalFormatting>
  <conditionalFormatting sqref="S310:S313">
    <cfRule type="expression" dxfId="6190" priority="5427" stopIfTrue="1">
      <formula>$B310&lt;&gt;""</formula>
    </cfRule>
  </conditionalFormatting>
  <conditionalFormatting sqref="S310:S313">
    <cfRule type="expression" dxfId="6189" priority="5426" stopIfTrue="1">
      <formula>$C310&lt;&gt;""</formula>
    </cfRule>
  </conditionalFormatting>
  <conditionalFormatting sqref="S314">
    <cfRule type="expression" dxfId="6188" priority="5425" stopIfTrue="1">
      <formula>$B314&lt;&gt;""</formula>
    </cfRule>
  </conditionalFormatting>
  <conditionalFormatting sqref="S314">
    <cfRule type="expression" dxfId="6187" priority="5424" stopIfTrue="1">
      <formula>$C314&lt;&gt;""</formula>
    </cfRule>
  </conditionalFormatting>
  <conditionalFormatting sqref="S310:S313">
    <cfRule type="expression" dxfId="6186" priority="5423" stopIfTrue="1">
      <formula>$B310&lt;&gt;""</formula>
    </cfRule>
  </conditionalFormatting>
  <conditionalFormatting sqref="S310:S313">
    <cfRule type="expression" dxfId="6185" priority="5422" stopIfTrue="1">
      <formula>$C310&lt;&gt;""</formula>
    </cfRule>
  </conditionalFormatting>
  <conditionalFormatting sqref="S314">
    <cfRule type="expression" dxfId="6184" priority="5421" stopIfTrue="1">
      <formula>$B314&lt;&gt;""</formula>
    </cfRule>
  </conditionalFormatting>
  <conditionalFormatting sqref="S314">
    <cfRule type="expression" dxfId="6183" priority="5420" stopIfTrue="1">
      <formula>$C314&lt;&gt;""</formula>
    </cfRule>
  </conditionalFormatting>
  <conditionalFormatting sqref="S314">
    <cfRule type="expression" dxfId="6182" priority="5419" stopIfTrue="1">
      <formula>$B314&lt;&gt;""</formula>
    </cfRule>
  </conditionalFormatting>
  <conditionalFormatting sqref="S314">
    <cfRule type="expression" dxfId="6181" priority="5418" stopIfTrue="1">
      <formula>$C314&lt;&gt;""</formula>
    </cfRule>
  </conditionalFormatting>
  <conditionalFormatting sqref="S310">
    <cfRule type="expression" dxfId="6180" priority="5417" stopIfTrue="1">
      <formula>$C310&lt;&gt;""</formula>
    </cfRule>
  </conditionalFormatting>
  <conditionalFormatting sqref="S310">
    <cfRule type="expression" dxfId="6179" priority="5416" stopIfTrue="1">
      <formula>$B310&lt;&gt;""</formula>
    </cfRule>
  </conditionalFormatting>
  <conditionalFormatting sqref="S311:S314">
    <cfRule type="expression" dxfId="6178" priority="5415" stopIfTrue="1">
      <formula>$C311&lt;&gt;""</formula>
    </cfRule>
  </conditionalFormatting>
  <conditionalFormatting sqref="S311:S314">
    <cfRule type="expression" dxfId="6177" priority="5414" stopIfTrue="1">
      <formula>$B311&lt;&gt;""</formula>
    </cfRule>
  </conditionalFormatting>
  <conditionalFormatting sqref="S313:S314">
    <cfRule type="expression" dxfId="6176" priority="5413" stopIfTrue="1">
      <formula>$C313&lt;&gt;""</formula>
    </cfRule>
  </conditionalFormatting>
  <conditionalFormatting sqref="S313:S314">
    <cfRule type="expression" dxfId="6175" priority="5412" stopIfTrue="1">
      <formula>$B313&lt;&gt;""</formula>
    </cfRule>
  </conditionalFormatting>
  <conditionalFormatting sqref="S310:S313">
    <cfRule type="expression" dxfId="6174" priority="5411" stopIfTrue="1">
      <formula>$B310&lt;&gt;""</formula>
    </cfRule>
  </conditionalFormatting>
  <conditionalFormatting sqref="S310:S313">
    <cfRule type="expression" dxfId="6173" priority="5410" stopIfTrue="1">
      <formula>$C310&lt;&gt;""</formula>
    </cfRule>
  </conditionalFormatting>
  <conditionalFormatting sqref="S314">
    <cfRule type="expression" dxfId="6172" priority="5409" stopIfTrue="1">
      <formula>$B314&lt;&gt;""</formula>
    </cfRule>
  </conditionalFormatting>
  <conditionalFormatting sqref="S314">
    <cfRule type="expression" dxfId="6171" priority="5408" stopIfTrue="1">
      <formula>$C314&lt;&gt;""</formula>
    </cfRule>
  </conditionalFormatting>
  <conditionalFormatting sqref="S310:S312">
    <cfRule type="expression" dxfId="6170" priority="5407" stopIfTrue="1">
      <formula>$B310&lt;&gt;""</formula>
    </cfRule>
  </conditionalFormatting>
  <conditionalFormatting sqref="S310:S312">
    <cfRule type="expression" dxfId="6169" priority="5406" stopIfTrue="1">
      <formula>$C310&lt;&gt;""</formula>
    </cfRule>
  </conditionalFormatting>
  <conditionalFormatting sqref="S313:S314">
    <cfRule type="expression" dxfId="6168" priority="5405" stopIfTrue="1">
      <formula>$B313&lt;&gt;""</formula>
    </cfRule>
  </conditionalFormatting>
  <conditionalFormatting sqref="S313:S314">
    <cfRule type="expression" dxfId="6167" priority="5404" stopIfTrue="1">
      <formula>$C313&lt;&gt;""</formula>
    </cfRule>
  </conditionalFormatting>
  <conditionalFormatting sqref="S310:S313">
    <cfRule type="expression" dxfId="6166" priority="5403" stopIfTrue="1">
      <formula>$B310&lt;&gt;""</formula>
    </cfRule>
  </conditionalFormatting>
  <conditionalFormatting sqref="S310:S313">
    <cfRule type="expression" dxfId="6165" priority="5402" stopIfTrue="1">
      <formula>$C310&lt;&gt;""</formula>
    </cfRule>
  </conditionalFormatting>
  <conditionalFormatting sqref="S310:S313">
    <cfRule type="expression" dxfId="6164" priority="5401" stopIfTrue="1">
      <formula>$B310&lt;&gt;""</formula>
    </cfRule>
  </conditionalFormatting>
  <conditionalFormatting sqref="S310:S313">
    <cfRule type="expression" dxfId="6163" priority="5400" stopIfTrue="1">
      <formula>$C310&lt;&gt;""</formula>
    </cfRule>
  </conditionalFormatting>
  <conditionalFormatting sqref="S314">
    <cfRule type="expression" dxfId="6162" priority="5399" stopIfTrue="1">
      <formula>$B314&lt;&gt;""</formula>
    </cfRule>
  </conditionalFormatting>
  <conditionalFormatting sqref="S314">
    <cfRule type="expression" dxfId="6161" priority="5398" stopIfTrue="1">
      <formula>$C314&lt;&gt;""</formula>
    </cfRule>
  </conditionalFormatting>
  <conditionalFormatting sqref="S310:S313">
    <cfRule type="expression" dxfId="6160" priority="5397" stopIfTrue="1">
      <formula>$B310&lt;&gt;""</formula>
    </cfRule>
  </conditionalFormatting>
  <conditionalFormatting sqref="S310:S313">
    <cfRule type="expression" dxfId="6159" priority="5396" stopIfTrue="1">
      <formula>$C310&lt;&gt;""</formula>
    </cfRule>
  </conditionalFormatting>
  <conditionalFormatting sqref="S314">
    <cfRule type="expression" dxfId="6158" priority="5395" stopIfTrue="1">
      <formula>$B314&lt;&gt;""</formula>
    </cfRule>
  </conditionalFormatting>
  <conditionalFormatting sqref="S314">
    <cfRule type="expression" dxfId="6157" priority="5394" stopIfTrue="1">
      <formula>$C314&lt;&gt;""</formula>
    </cfRule>
  </conditionalFormatting>
  <conditionalFormatting sqref="S314">
    <cfRule type="expression" dxfId="6156" priority="5393" stopIfTrue="1">
      <formula>$B314&lt;&gt;""</formula>
    </cfRule>
  </conditionalFormatting>
  <conditionalFormatting sqref="S314">
    <cfRule type="expression" dxfId="6155" priority="5392" stopIfTrue="1">
      <formula>$C314&lt;&gt;""</formula>
    </cfRule>
  </conditionalFormatting>
  <conditionalFormatting sqref="S310">
    <cfRule type="expression" dxfId="6154" priority="5391" stopIfTrue="1">
      <formula>$C310&lt;&gt;""</formula>
    </cfRule>
  </conditionalFormatting>
  <conditionalFormatting sqref="S310">
    <cfRule type="expression" dxfId="6153" priority="5390" stopIfTrue="1">
      <formula>$B310&lt;&gt;""</formula>
    </cfRule>
  </conditionalFormatting>
  <conditionalFormatting sqref="S311:S314">
    <cfRule type="expression" dxfId="6152" priority="5389" stopIfTrue="1">
      <formula>$C311&lt;&gt;""</formula>
    </cfRule>
  </conditionalFormatting>
  <conditionalFormatting sqref="S311:S314">
    <cfRule type="expression" dxfId="6151" priority="5388" stopIfTrue="1">
      <formula>$B311&lt;&gt;""</formula>
    </cfRule>
  </conditionalFormatting>
  <conditionalFormatting sqref="S313:S314">
    <cfRule type="expression" dxfId="6150" priority="5387" stopIfTrue="1">
      <formula>$C313&lt;&gt;""</formula>
    </cfRule>
  </conditionalFormatting>
  <conditionalFormatting sqref="S313:S314">
    <cfRule type="expression" dxfId="6149" priority="5386" stopIfTrue="1">
      <formula>$B313&lt;&gt;""</formula>
    </cfRule>
  </conditionalFormatting>
  <conditionalFormatting sqref="D315:D316">
    <cfRule type="expression" dxfId="6148" priority="5385">
      <formula>$B315&lt;&gt;""</formula>
    </cfRule>
  </conditionalFormatting>
  <conditionalFormatting sqref="D315:D316">
    <cfRule type="expression" dxfId="6147" priority="5384" stopIfTrue="1">
      <formula>$A315&lt;&gt;""</formula>
    </cfRule>
  </conditionalFormatting>
  <conditionalFormatting sqref="D318:D322">
    <cfRule type="expression" dxfId="6146" priority="5383">
      <formula>$B318&lt;&gt;""</formula>
    </cfRule>
  </conditionalFormatting>
  <conditionalFormatting sqref="D318:D324">
    <cfRule type="expression" dxfId="6145" priority="5382">
      <formula>$B318&lt;&gt;""</formula>
    </cfRule>
  </conditionalFormatting>
  <conditionalFormatting sqref="D318:D324">
    <cfRule type="expression" dxfId="6144" priority="5381" stopIfTrue="1">
      <formula>$A318&lt;&gt;""</formula>
    </cfRule>
  </conditionalFormatting>
  <conditionalFormatting sqref="S350">
    <cfRule type="expression" dxfId="6143" priority="5380" stopIfTrue="1">
      <formula>$B350&lt;&gt;""</formula>
    </cfRule>
  </conditionalFormatting>
  <conditionalFormatting sqref="S350">
    <cfRule type="expression" dxfId="6142" priority="5379" stopIfTrue="1">
      <formula>$C350&lt;&gt;""</formula>
    </cfRule>
  </conditionalFormatting>
  <conditionalFormatting sqref="S350">
    <cfRule type="expression" dxfId="6141" priority="5378" stopIfTrue="1">
      <formula>$B350&lt;&gt;""</formula>
    </cfRule>
  </conditionalFormatting>
  <conditionalFormatting sqref="S350">
    <cfRule type="expression" dxfId="6140" priority="5377" stopIfTrue="1">
      <formula>$C350&lt;&gt;""</formula>
    </cfRule>
  </conditionalFormatting>
  <conditionalFormatting sqref="S350">
    <cfRule type="expression" dxfId="6139" priority="5376" stopIfTrue="1">
      <formula>$B350&lt;&gt;""</formula>
    </cfRule>
  </conditionalFormatting>
  <conditionalFormatting sqref="S350">
    <cfRule type="expression" dxfId="6138" priority="5375" stopIfTrue="1">
      <formula>$C350&lt;&gt;""</formula>
    </cfRule>
  </conditionalFormatting>
  <conditionalFormatting sqref="S350">
    <cfRule type="expression" dxfId="6137" priority="5374" stopIfTrue="1">
      <formula>$B350&lt;&gt;""</formula>
    </cfRule>
  </conditionalFormatting>
  <conditionalFormatting sqref="S350">
    <cfRule type="expression" dxfId="6136" priority="5373" stopIfTrue="1">
      <formula>$C350&lt;&gt;""</formula>
    </cfRule>
  </conditionalFormatting>
  <conditionalFormatting sqref="S350">
    <cfRule type="expression" dxfId="6135" priority="5372" stopIfTrue="1">
      <formula>$B350&lt;&gt;""</formula>
    </cfRule>
  </conditionalFormatting>
  <conditionalFormatting sqref="S350">
    <cfRule type="expression" dxfId="6134" priority="5371" stopIfTrue="1">
      <formula>$C350&lt;&gt;""</formula>
    </cfRule>
  </conditionalFormatting>
  <conditionalFormatting sqref="S350">
    <cfRule type="expression" dxfId="6133" priority="5370" stopIfTrue="1">
      <formula>$B350&lt;&gt;""</formula>
    </cfRule>
  </conditionalFormatting>
  <conditionalFormatting sqref="S350">
    <cfRule type="expression" dxfId="6132" priority="5369" stopIfTrue="1">
      <formula>$C350&lt;&gt;""</formula>
    </cfRule>
  </conditionalFormatting>
  <conditionalFormatting sqref="S350">
    <cfRule type="expression" dxfId="6131" priority="5368" stopIfTrue="1">
      <formula>$B350&lt;&gt;""</formula>
    </cfRule>
  </conditionalFormatting>
  <conditionalFormatting sqref="S350">
    <cfRule type="expression" dxfId="6130" priority="5367" stopIfTrue="1">
      <formula>$C350&lt;&gt;""</formula>
    </cfRule>
  </conditionalFormatting>
  <conditionalFormatting sqref="S350">
    <cfRule type="expression" dxfId="6129" priority="5366" stopIfTrue="1">
      <formula>$B350&lt;&gt;""</formula>
    </cfRule>
  </conditionalFormatting>
  <conditionalFormatting sqref="S350">
    <cfRule type="expression" dxfId="6128" priority="5365" stopIfTrue="1">
      <formula>$C350&lt;&gt;""</formula>
    </cfRule>
  </conditionalFormatting>
  <conditionalFormatting sqref="S350">
    <cfRule type="expression" dxfId="6127" priority="5364" stopIfTrue="1">
      <formula>$B350&lt;&gt;""</formula>
    </cfRule>
  </conditionalFormatting>
  <conditionalFormatting sqref="S350">
    <cfRule type="expression" dxfId="6126" priority="5363" stopIfTrue="1">
      <formula>$C350&lt;&gt;""</formula>
    </cfRule>
  </conditionalFormatting>
  <conditionalFormatting sqref="S350">
    <cfRule type="expression" dxfId="6125" priority="5362" stopIfTrue="1">
      <formula>$B350&lt;&gt;""</formula>
    </cfRule>
  </conditionalFormatting>
  <conditionalFormatting sqref="S350">
    <cfRule type="expression" dxfId="6124" priority="5361" stopIfTrue="1">
      <formula>$C350&lt;&gt;""</formula>
    </cfRule>
  </conditionalFormatting>
  <conditionalFormatting sqref="S350">
    <cfRule type="expression" dxfId="6123" priority="5360" stopIfTrue="1">
      <formula>$B350&lt;&gt;""</formula>
    </cfRule>
  </conditionalFormatting>
  <conditionalFormatting sqref="S350">
    <cfRule type="expression" dxfId="6122" priority="5359" stopIfTrue="1">
      <formula>$C350&lt;&gt;""</formula>
    </cfRule>
  </conditionalFormatting>
  <conditionalFormatting sqref="S350">
    <cfRule type="expression" dxfId="6121" priority="5358" stopIfTrue="1">
      <formula>$B350&lt;&gt;""</formula>
    </cfRule>
  </conditionalFormatting>
  <conditionalFormatting sqref="S350">
    <cfRule type="expression" dxfId="6120" priority="5357" stopIfTrue="1">
      <formula>$C350&lt;&gt;""</formula>
    </cfRule>
  </conditionalFormatting>
  <conditionalFormatting sqref="S350">
    <cfRule type="expression" dxfId="6119" priority="5356" stopIfTrue="1">
      <formula>$B350&lt;&gt;""</formula>
    </cfRule>
  </conditionalFormatting>
  <conditionalFormatting sqref="S350">
    <cfRule type="expression" dxfId="6118" priority="5355" stopIfTrue="1">
      <formula>$C350&lt;&gt;""</formula>
    </cfRule>
  </conditionalFormatting>
  <conditionalFormatting sqref="S350">
    <cfRule type="expression" dxfId="6117" priority="5354" stopIfTrue="1">
      <formula>$B350&lt;&gt;""</formula>
    </cfRule>
  </conditionalFormatting>
  <conditionalFormatting sqref="S350">
    <cfRule type="expression" dxfId="6116" priority="5353" stopIfTrue="1">
      <formula>$C350&lt;&gt;""</formula>
    </cfRule>
  </conditionalFormatting>
  <conditionalFormatting sqref="S350">
    <cfRule type="expression" dxfId="6115" priority="5352" stopIfTrue="1">
      <formula>$C350&lt;&gt;""</formula>
    </cfRule>
  </conditionalFormatting>
  <conditionalFormatting sqref="S350">
    <cfRule type="expression" dxfId="6114" priority="5351" stopIfTrue="1">
      <formula>$B350&lt;&gt;""</formula>
    </cfRule>
  </conditionalFormatting>
  <conditionalFormatting sqref="S350">
    <cfRule type="expression" dxfId="6113" priority="5350" stopIfTrue="1">
      <formula>$C350&lt;&gt;""</formula>
    </cfRule>
  </conditionalFormatting>
  <conditionalFormatting sqref="S350">
    <cfRule type="expression" dxfId="6112" priority="5349" stopIfTrue="1">
      <formula>$B350&lt;&gt;""</formula>
    </cfRule>
  </conditionalFormatting>
  <conditionalFormatting sqref="S350">
    <cfRule type="expression" dxfId="6111" priority="5348" stopIfTrue="1">
      <formula>$B350&lt;&gt;""</formula>
    </cfRule>
  </conditionalFormatting>
  <conditionalFormatting sqref="S350">
    <cfRule type="expression" dxfId="6110" priority="5347" stopIfTrue="1">
      <formula>$C350&lt;&gt;""</formula>
    </cfRule>
  </conditionalFormatting>
  <conditionalFormatting sqref="S350">
    <cfRule type="expression" dxfId="6109" priority="5346" stopIfTrue="1">
      <formula>$B350&lt;&gt;""</formula>
    </cfRule>
  </conditionalFormatting>
  <conditionalFormatting sqref="S350">
    <cfRule type="expression" dxfId="6108" priority="5345" stopIfTrue="1">
      <formula>$C350&lt;&gt;""</formula>
    </cfRule>
  </conditionalFormatting>
  <conditionalFormatting sqref="S350">
    <cfRule type="expression" dxfId="6107" priority="5344" stopIfTrue="1">
      <formula>$B350&lt;&gt;""</formula>
    </cfRule>
  </conditionalFormatting>
  <conditionalFormatting sqref="S350">
    <cfRule type="expression" dxfId="6106" priority="5343" stopIfTrue="1">
      <formula>$C350&lt;&gt;""</formula>
    </cfRule>
  </conditionalFormatting>
  <conditionalFormatting sqref="S350">
    <cfRule type="expression" dxfId="6105" priority="5342" stopIfTrue="1">
      <formula>$B350&lt;&gt;""</formula>
    </cfRule>
  </conditionalFormatting>
  <conditionalFormatting sqref="S350">
    <cfRule type="expression" dxfId="6104" priority="5341" stopIfTrue="1">
      <formula>$C350&lt;&gt;""</formula>
    </cfRule>
  </conditionalFormatting>
  <conditionalFormatting sqref="S350">
    <cfRule type="expression" dxfId="6103" priority="5340" stopIfTrue="1">
      <formula>$B350&lt;&gt;""</formula>
    </cfRule>
  </conditionalFormatting>
  <conditionalFormatting sqref="S350">
    <cfRule type="expression" dxfId="6102" priority="5339" stopIfTrue="1">
      <formula>$C350&lt;&gt;""</formula>
    </cfRule>
  </conditionalFormatting>
  <conditionalFormatting sqref="S350">
    <cfRule type="expression" dxfId="6101" priority="5338" stopIfTrue="1">
      <formula>$C350&lt;&gt;""</formula>
    </cfRule>
  </conditionalFormatting>
  <conditionalFormatting sqref="S350">
    <cfRule type="expression" dxfId="6100" priority="5337" stopIfTrue="1">
      <formula>$B350&lt;&gt;""</formula>
    </cfRule>
  </conditionalFormatting>
  <conditionalFormatting sqref="S350">
    <cfRule type="expression" dxfId="6099" priority="5336" stopIfTrue="1">
      <formula>$C350&lt;&gt;""</formula>
    </cfRule>
  </conditionalFormatting>
  <conditionalFormatting sqref="S350">
    <cfRule type="expression" dxfId="6098" priority="5335" stopIfTrue="1">
      <formula>$B350&lt;&gt;""</formula>
    </cfRule>
  </conditionalFormatting>
  <conditionalFormatting sqref="S350">
    <cfRule type="expression" dxfId="6097" priority="5334" stopIfTrue="1">
      <formula>$B350&lt;&gt;""</formula>
    </cfRule>
  </conditionalFormatting>
  <conditionalFormatting sqref="S350">
    <cfRule type="expression" dxfId="6096" priority="5333" stopIfTrue="1">
      <formula>$C350&lt;&gt;""</formula>
    </cfRule>
  </conditionalFormatting>
  <conditionalFormatting sqref="S351">
    <cfRule type="expression" dxfId="6095" priority="5332" stopIfTrue="1">
      <formula>$B351&lt;&gt;""</formula>
    </cfRule>
  </conditionalFormatting>
  <conditionalFormatting sqref="S351">
    <cfRule type="expression" dxfId="6094" priority="5331" stopIfTrue="1">
      <formula>$C351&lt;&gt;""</formula>
    </cfRule>
  </conditionalFormatting>
  <conditionalFormatting sqref="S350">
    <cfRule type="expression" dxfId="6093" priority="5330" stopIfTrue="1">
      <formula>$B350&lt;&gt;""</formula>
    </cfRule>
  </conditionalFormatting>
  <conditionalFormatting sqref="S350">
    <cfRule type="expression" dxfId="6092" priority="5329" stopIfTrue="1">
      <formula>$C350&lt;&gt;""</formula>
    </cfRule>
  </conditionalFormatting>
  <conditionalFormatting sqref="S351:S354">
    <cfRule type="expression" dxfId="6091" priority="5328" stopIfTrue="1">
      <formula>$B351&lt;&gt;""</formula>
    </cfRule>
  </conditionalFormatting>
  <conditionalFormatting sqref="S351:S354">
    <cfRule type="expression" dxfId="6090" priority="5327" stopIfTrue="1">
      <formula>$C351&lt;&gt;""</formula>
    </cfRule>
  </conditionalFormatting>
  <conditionalFormatting sqref="S350">
    <cfRule type="expression" dxfId="6089" priority="5326" stopIfTrue="1">
      <formula>$B350&lt;&gt;""</formula>
    </cfRule>
  </conditionalFormatting>
  <conditionalFormatting sqref="S350">
    <cfRule type="expression" dxfId="6088" priority="5325" stopIfTrue="1">
      <formula>$C350&lt;&gt;""</formula>
    </cfRule>
  </conditionalFormatting>
  <conditionalFormatting sqref="S351:S354">
    <cfRule type="expression" dxfId="6087" priority="5324" stopIfTrue="1">
      <formula>$B351&lt;&gt;""</formula>
    </cfRule>
  </conditionalFormatting>
  <conditionalFormatting sqref="S351:S354">
    <cfRule type="expression" dxfId="6086" priority="5323" stopIfTrue="1">
      <formula>$C351&lt;&gt;""</formula>
    </cfRule>
  </conditionalFormatting>
  <conditionalFormatting sqref="S350:S354">
    <cfRule type="expression" dxfId="6085" priority="5322" stopIfTrue="1">
      <formula>$B350&lt;&gt;""</formula>
    </cfRule>
  </conditionalFormatting>
  <conditionalFormatting sqref="S350:S354">
    <cfRule type="expression" dxfId="6084" priority="5321" stopIfTrue="1">
      <formula>$C350&lt;&gt;""</formula>
    </cfRule>
  </conditionalFormatting>
  <conditionalFormatting sqref="S350:S354">
    <cfRule type="expression" dxfId="6083" priority="5320" stopIfTrue="1">
      <formula>$B350&lt;&gt;""</formula>
    </cfRule>
  </conditionalFormatting>
  <conditionalFormatting sqref="S350:S354">
    <cfRule type="expression" dxfId="6082" priority="5319" stopIfTrue="1">
      <formula>$C350&lt;&gt;""</formula>
    </cfRule>
  </conditionalFormatting>
  <conditionalFormatting sqref="S350:S354">
    <cfRule type="expression" dxfId="6081" priority="5318" stopIfTrue="1">
      <formula>$B350&lt;&gt;""</formula>
    </cfRule>
  </conditionalFormatting>
  <conditionalFormatting sqref="S350:S354">
    <cfRule type="expression" dxfId="6080" priority="5317" stopIfTrue="1">
      <formula>$C350&lt;&gt;""</formula>
    </cfRule>
  </conditionalFormatting>
  <conditionalFormatting sqref="S350:S354">
    <cfRule type="expression" dxfId="6079" priority="5316" stopIfTrue="1">
      <formula>$B350&lt;&gt;""</formula>
    </cfRule>
  </conditionalFormatting>
  <conditionalFormatting sqref="S350:S354">
    <cfRule type="expression" dxfId="6078" priority="5315" stopIfTrue="1">
      <formula>$C350&lt;&gt;""</formula>
    </cfRule>
  </conditionalFormatting>
  <conditionalFormatting sqref="S350:S354">
    <cfRule type="expression" dxfId="6077" priority="5314" stopIfTrue="1">
      <formula>$B350&lt;&gt;""</formula>
    </cfRule>
  </conditionalFormatting>
  <conditionalFormatting sqref="S350:S354">
    <cfRule type="expression" dxfId="6076" priority="5313" stopIfTrue="1">
      <formula>$C350&lt;&gt;""</formula>
    </cfRule>
  </conditionalFormatting>
  <conditionalFormatting sqref="S350:S354">
    <cfRule type="expression" dxfId="6075" priority="5312" stopIfTrue="1">
      <formula>$B350&lt;&gt;""</formula>
    </cfRule>
  </conditionalFormatting>
  <conditionalFormatting sqref="S350:S354">
    <cfRule type="expression" dxfId="6074" priority="5311" stopIfTrue="1">
      <formula>$C350&lt;&gt;""</formula>
    </cfRule>
  </conditionalFormatting>
  <conditionalFormatting sqref="S350:S354">
    <cfRule type="expression" dxfId="6073" priority="5310" stopIfTrue="1">
      <formula>$B350&lt;&gt;""</formula>
    </cfRule>
  </conditionalFormatting>
  <conditionalFormatting sqref="S350:S354">
    <cfRule type="expression" dxfId="6072" priority="5309" stopIfTrue="1">
      <formula>$C350&lt;&gt;""</formula>
    </cfRule>
  </conditionalFormatting>
  <conditionalFormatting sqref="S350:S353">
    <cfRule type="expression" dxfId="6071" priority="5308" stopIfTrue="1">
      <formula>$B350&lt;&gt;""</formula>
    </cfRule>
  </conditionalFormatting>
  <conditionalFormatting sqref="S350:S353">
    <cfRule type="expression" dxfId="6070" priority="5307" stopIfTrue="1">
      <formula>$C350&lt;&gt;""</formula>
    </cfRule>
  </conditionalFormatting>
  <conditionalFormatting sqref="S354">
    <cfRule type="expression" dxfId="6069" priority="5306" stopIfTrue="1">
      <formula>$B354&lt;&gt;""</formula>
    </cfRule>
  </conditionalFormatting>
  <conditionalFormatting sqref="S354">
    <cfRule type="expression" dxfId="6068" priority="5305" stopIfTrue="1">
      <formula>$C354&lt;&gt;""</formula>
    </cfRule>
  </conditionalFormatting>
  <conditionalFormatting sqref="S350:S352">
    <cfRule type="expression" dxfId="6067" priority="5304" stopIfTrue="1">
      <formula>$B350&lt;&gt;""</formula>
    </cfRule>
  </conditionalFormatting>
  <conditionalFormatting sqref="S350:S352">
    <cfRule type="expression" dxfId="6066" priority="5303" stopIfTrue="1">
      <formula>$C350&lt;&gt;""</formula>
    </cfRule>
  </conditionalFormatting>
  <conditionalFormatting sqref="S353:S354">
    <cfRule type="expression" dxfId="6065" priority="5302" stopIfTrue="1">
      <formula>$B353&lt;&gt;""</formula>
    </cfRule>
  </conditionalFormatting>
  <conditionalFormatting sqref="S353:S354">
    <cfRule type="expression" dxfId="6064" priority="5301" stopIfTrue="1">
      <formula>$C353&lt;&gt;""</formula>
    </cfRule>
  </conditionalFormatting>
  <conditionalFormatting sqref="S350:S353">
    <cfRule type="expression" dxfId="6063" priority="5300" stopIfTrue="1">
      <formula>$B350&lt;&gt;""</formula>
    </cfRule>
  </conditionalFormatting>
  <conditionalFormatting sqref="S350:S353">
    <cfRule type="expression" dxfId="6062" priority="5299" stopIfTrue="1">
      <formula>$C350&lt;&gt;""</formula>
    </cfRule>
  </conditionalFormatting>
  <conditionalFormatting sqref="S350:S353">
    <cfRule type="expression" dxfId="6061" priority="5298" stopIfTrue="1">
      <formula>$B350&lt;&gt;""</formula>
    </cfRule>
  </conditionalFormatting>
  <conditionalFormatting sqref="S350:S353">
    <cfRule type="expression" dxfId="6060" priority="5297" stopIfTrue="1">
      <formula>$C350&lt;&gt;""</formula>
    </cfRule>
  </conditionalFormatting>
  <conditionalFormatting sqref="S354">
    <cfRule type="expression" dxfId="6059" priority="5296" stopIfTrue="1">
      <formula>$B354&lt;&gt;""</formula>
    </cfRule>
  </conditionalFormatting>
  <conditionalFormatting sqref="S354">
    <cfRule type="expression" dxfId="6058" priority="5295" stopIfTrue="1">
      <formula>$C354&lt;&gt;""</formula>
    </cfRule>
  </conditionalFormatting>
  <conditionalFormatting sqref="S350:S353">
    <cfRule type="expression" dxfId="6057" priority="5294" stopIfTrue="1">
      <formula>$B350&lt;&gt;""</formula>
    </cfRule>
  </conditionalFormatting>
  <conditionalFormatting sqref="S350:S353">
    <cfRule type="expression" dxfId="6056" priority="5293" stopIfTrue="1">
      <formula>$C350&lt;&gt;""</formula>
    </cfRule>
  </conditionalFormatting>
  <conditionalFormatting sqref="S354">
    <cfRule type="expression" dxfId="6055" priority="5292" stopIfTrue="1">
      <formula>$B354&lt;&gt;""</formula>
    </cfRule>
  </conditionalFormatting>
  <conditionalFormatting sqref="S354">
    <cfRule type="expression" dxfId="6054" priority="5291" stopIfTrue="1">
      <formula>$C354&lt;&gt;""</formula>
    </cfRule>
  </conditionalFormatting>
  <conditionalFormatting sqref="S354">
    <cfRule type="expression" dxfId="6053" priority="5290" stopIfTrue="1">
      <formula>$B354&lt;&gt;""</formula>
    </cfRule>
  </conditionalFormatting>
  <conditionalFormatting sqref="S354">
    <cfRule type="expression" dxfId="6052" priority="5289" stopIfTrue="1">
      <formula>$C354&lt;&gt;""</formula>
    </cfRule>
  </conditionalFormatting>
  <conditionalFormatting sqref="S350">
    <cfRule type="expression" dxfId="6051" priority="5288" stopIfTrue="1">
      <formula>$C350&lt;&gt;""</formula>
    </cfRule>
  </conditionalFormatting>
  <conditionalFormatting sqref="S350">
    <cfRule type="expression" dxfId="6050" priority="5287" stopIfTrue="1">
      <formula>$B350&lt;&gt;""</formula>
    </cfRule>
  </conditionalFormatting>
  <conditionalFormatting sqref="S351:S354">
    <cfRule type="expression" dxfId="6049" priority="5286" stopIfTrue="1">
      <formula>$C351&lt;&gt;""</formula>
    </cfRule>
  </conditionalFormatting>
  <conditionalFormatting sqref="S351:S354">
    <cfRule type="expression" dxfId="6048" priority="5285" stopIfTrue="1">
      <formula>$B351&lt;&gt;""</formula>
    </cfRule>
  </conditionalFormatting>
  <conditionalFormatting sqref="S353:S354">
    <cfRule type="expression" dxfId="6047" priority="5284" stopIfTrue="1">
      <formula>$C353&lt;&gt;""</formula>
    </cfRule>
  </conditionalFormatting>
  <conditionalFormatting sqref="S353:S354">
    <cfRule type="expression" dxfId="6046" priority="5283" stopIfTrue="1">
      <formula>$B353&lt;&gt;""</formula>
    </cfRule>
  </conditionalFormatting>
  <conditionalFormatting sqref="S350:S353">
    <cfRule type="expression" dxfId="6045" priority="5282" stopIfTrue="1">
      <formula>$B350&lt;&gt;""</formula>
    </cfRule>
  </conditionalFormatting>
  <conditionalFormatting sqref="S350:S353">
    <cfRule type="expression" dxfId="6044" priority="5281" stopIfTrue="1">
      <formula>$C350&lt;&gt;""</formula>
    </cfRule>
  </conditionalFormatting>
  <conditionalFormatting sqref="S354">
    <cfRule type="expression" dxfId="6043" priority="5280" stopIfTrue="1">
      <formula>$B354&lt;&gt;""</formula>
    </cfRule>
  </conditionalFormatting>
  <conditionalFormatting sqref="S354">
    <cfRule type="expression" dxfId="6042" priority="5279" stopIfTrue="1">
      <formula>$C354&lt;&gt;""</formula>
    </cfRule>
  </conditionalFormatting>
  <conditionalFormatting sqref="S350:S352">
    <cfRule type="expression" dxfId="6041" priority="5278" stopIfTrue="1">
      <formula>$B350&lt;&gt;""</formula>
    </cfRule>
  </conditionalFormatting>
  <conditionalFormatting sqref="S350:S352">
    <cfRule type="expression" dxfId="6040" priority="5277" stopIfTrue="1">
      <formula>$C350&lt;&gt;""</formula>
    </cfRule>
  </conditionalFormatting>
  <conditionalFormatting sqref="S353:S354">
    <cfRule type="expression" dxfId="6039" priority="5276" stopIfTrue="1">
      <formula>$B353&lt;&gt;""</formula>
    </cfRule>
  </conditionalFormatting>
  <conditionalFormatting sqref="S353:S354">
    <cfRule type="expression" dxfId="6038" priority="5275" stopIfTrue="1">
      <formula>$C353&lt;&gt;""</formula>
    </cfRule>
  </conditionalFormatting>
  <conditionalFormatting sqref="S350:S353">
    <cfRule type="expression" dxfId="6037" priority="5274" stopIfTrue="1">
      <formula>$B350&lt;&gt;""</formula>
    </cfRule>
  </conditionalFormatting>
  <conditionalFormatting sqref="S350:S353">
    <cfRule type="expression" dxfId="6036" priority="5273" stopIfTrue="1">
      <formula>$C350&lt;&gt;""</formula>
    </cfRule>
  </conditionalFormatting>
  <conditionalFormatting sqref="S350:S353">
    <cfRule type="expression" dxfId="6035" priority="5272" stopIfTrue="1">
      <formula>$B350&lt;&gt;""</formula>
    </cfRule>
  </conditionalFormatting>
  <conditionalFormatting sqref="S350:S353">
    <cfRule type="expression" dxfId="6034" priority="5271" stopIfTrue="1">
      <formula>$C350&lt;&gt;""</formula>
    </cfRule>
  </conditionalFormatting>
  <conditionalFormatting sqref="S354">
    <cfRule type="expression" dxfId="6033" priority="5270" stopIfTrue="1">
      <formula>$B354&lt;&gt;""</formula>
    </cfRule>
  </conditionalFormatting>
  <conditionalFormatting sqref="S354">
    <cfRule type="expression" dxfId="6032" priority="5269" stopIfTrue="1">
      <formula>$C354&lt;&gt;""</formula>
    </cfRule>
  </conditionalFormatting>
  <conditionalFormatting sqref="S350:S353">
    <cfRule type="expression" dxfId="6031" priority="5268" stopIfTrue="1">
      <formula>$B350&lt;&gt;""</formula>
    </cfRule>
  </conditionalFormatting>
  <conditionalFormatting sqref="S350:S353">
    <cfRule type="expression" dxfId="6030" priority="5267" stopIfTrue="1">
      <formula>$C350&lt;&gt;""</formula>
    </cfRule>
  </conditionalFormatting>
  <conditionalFormatting sqref="S354">
    <cfRule type="expression" dxfId="6029" priority="5266" stopIfTrue="1">
      <formula>$B354&lt;&gt;""</formula>
    </cfRule>
  </conditionalFormatting>
  <conditionalFormatting sqref="S354">
    <cfRule type="expression" dxfId="6028" priority="5265" stopIfTrue="1">
      <formula>$C354&lt;&gt;""</formula>
    </cfRule>
  </conditionalFormatting>
  <conditionalFormatting sqref="S354">
    <cfRule type="expression" dxfId="6027" priority="5264" stopIfTrue="1">
      <formula>$B354&lt;&gt;""</formula>
    </cfRule>
  </conditionalFormatting>
  <conditionalFormatting sqref="S354">
    <cfRule type="expression" dxfId="6026" priority="5263" stopIfTrue="1">
      <formula>$C354&lt;&gt;""</formula>
    </cfRule>
  </conditionalFormatting>
  <conditionalFormatting sqref="S350">
    <cfRule type="expression" dxfId="6025" priority="5262" stopIfTrue="1">
      <formula>$C350&lt;&gt;""</formula>
    </cfRule>
  </conditionalFormatting>
  <conditionalFormatting sqref="S350">
    <cfRule type="expression" dxfId="6024" priority="5261" stopIfTrue="1">
      <formula>$B350&lt;&gt;""</formula>
    </cfRule>
  </conditionalFormatting>
  <conditionalFormatting sqref="S351:S354">
    <cfRule type="expression" dxfId="6023" priority="5260" stopIfTrue="1">
      <formula>$C351&lt;&gt;""</formula>
    </cfRule>
  </conditionalFormatting>
  <conditionalFormatting sqref="S351:S354">
    <cfRule type="expression" dxfId="6022" priority="5259" stopIfTrue="1">
      <formula>$B351&lt;&gt;""</formula>
    </cfRule>
  </conditionalFormatting>
  <conditionalFormatting sqref="S353:S354">
    <cfRule type="expression" dxfId="6021" priority="5258" stopIfTrue="1">
      <formula>$C353&lt;&gt;""</formula>
    </cfRule>
  </conditionalFormatting>
  <conditionalFormatting sqref="S353:S354">
    <cfRule type="expression" dxfId="6020" priority="5257" stopIfTrue="1">
      <formula>$B353&lt;&gt;""</formula>
    </cfRule>
  </conditionalFormatting>
  <conditionalFormatting sqref="S350">
    <cfRule type="expression" dxfId="6019" priority="5256" stopIfTrue="1">
      <formula>$B350&lt;&gt;""</formula>
    </cfRule>
  </conditionalFormatting>
  <conditionalFormatting sqref="S350">
    <cfRule type="expression" dxfId="6018" priority="5255" stopIfTrue="1">
      <formula>$C350&lt;&gt;""</formula>
    </cfRule>
  </conditionalFormatting>
  <conditionalFormatting sqref="S350">
    <cfRule type="expression" dxfId="6017" priority="5254" stopIfTrue="1">
      <formula>$B350&lt;&gt;""</formula>
    </cfRule>
  </conditionalFormatting>
  <conditionalFormatting sqref="S350">
    <cfRule type="expression" dxfId="6016" priority="5253" stopIfTrue="1">
      <formula>$C350&lt;&gt;""</formula>
    </cfRule>
  </conditionalFormatting>
  <conditionalFormatting sqref="S350">
    <cfRule type="expression" dxfId="6015" priority="5252" stopIfTrue="1">
      <formula>$B350&lt;&gt;""</formula>
    </cfRule>
  </conditionalFormatting>
  <conditionalFormatting sqref="S350">
    <cfRule type="expression" dxfId="6014" priority="5251" stopIfTrue="1">
      <formula>$C350&lt;&gt;""</formula>
    </cfRule>
  </conditionalFormatting>
  <conditionalFormatting sqref="S350">
    <cfRule type="expression" dxfId="6013" priority="5250" stopIfTrue="1">
      <formula>$B350&lt;&gt;""</formula>
    </cfRule>
  </conditionalFormatting>
  <conditionalFormatting sqref="S350">
    <cfRule type="expression" dxfId="6012" priority="5249" stopIfTrue="1">
      <formula>$C350&lt;&gt;""</formula>
    </cfRule>
  </conditionalFormatting>
  <conditionalFormatting sqref="S350">
    <cfRule type="expression" dxfId="6011" priority="5248" stopIfTrue="1">
      <formula>$B350&lt;&gt;""</formula>
    </cfRule>
  </conditionalFormatting>
  <conditionalFormatting sqref="S350">
    <cfRule type="expression" dxfId="6010" priority="5247" stopIfTrue="1">
      <formula>$C350&lt;&gt;""</formula>
    </cfRule>
  </conditionalFormatting>
  <conditionalFormatting sqref="S350">
    <cfRule type="expression" dxfId="6009" priority="5246" stopIfTrue="1">
      <formula>$B350&lt;&gt;""</formula>
    </cfRule>
  </conditionalFormatting>
  <conditionalFormatting sqref="S350">
    <cfRule type="expression" dxfId="6008" priority="5245" stopIfTrue="1">
      <formula>$C350&lt;&gt;""</formula>
    </cfRule>
  </conditionalFormatting>
  <conditionalFormatting sqref="S350">
    <cfRule type="expression" dxfId="6007" priority="5244" stopIfTrue="1">
      <formula>$B350&lt;&gt;""</formula>
    </cfRule>
  </conditionalFormatting>
  <conditionalFormatting sqref="S350">
    <cfRule type="expression" dxfId="6006" priority="5243" stopIfTrue="1">
      <formula>$C350&lt;&gt;""</formula>
    </cfRule>
  </conditionalFormatting>
  <conditionalFormatting sqref="S350">
    <cfRule type="expression" dxfId="6005" priority="5242" stopIfTrue="1">
      <formula>$B350&lt;&gt;""</formula>
    </cfRule>
  </conditionalFormatting>
  <conditionalFormatting sqref="S350">
    <cfRule type="expression" dxfId="6004" priority="5241" stopIfTrue="1">
      <formula>$C350&lt;&gt;""</formula>
    </cfRule>
  </conditionalFormatting>
  <conditionalFormatting sqref="S350">
    <cfRule type="expression" dxfId="6003" priority="5240" stopIfTrue="1">
      <formula>$B350&lt;&gt;""</formula>
    </cfRule>
  </conditionalFormatting>
  <conditionalFormatting sqref="S350">
    <cfRule type="expression" dxfId="6002" priority="5239" stopIfTrue="1">
      <formula>$C350&lt;&gt;""</formula>
    </cfRule>
  </conditionalFormatting>
  <conditionalFormatting sqref="S350">
    <cfRule type="expression" dxfId="6001" priority="5238" stopIfTrue="1">
      <formula>$B350&lt;&gt;""</formula>
    </cfRule>
  </conditionalFormatting>
  <conditionalFormatting sqref="S350">
    <cfRule type="expression" dxfId="6000" priority="5237" stopIfTrue="1">
      <formula>$C350&lt;&gt;""</formula>
    </cfRule>
  </conditionalFormatting>
  <conditionalFormatting sqref="S350">
    <cfRule type="expression" dxfId="5999" priority="5236" stopIfTrue="1">
      <formula>$B350&lt;&gt;""</formula>
    </cfRule>
  </conditionalFormatting>
  <conditionalFormatting sqref="S350">
    <cfRule type="expression" dxfId="5998" priority="5235" stopIfTrue="1">
      <formula>$C350&lt;&gt;""</formula>
    </cfRule>
  </conditionalFormatting>
  <conditionalFormatting sqref="S350">
    <cfRule type="expression" dxfId="5997" priority="5234" stopIfTrue="1">
      <formula>$B350&lt;&gt;""</formula>
    </cfRule>
  </conditionalFormatting>
  <conditionalFormatting sqref="S350">
    <cfRule type="expression" dxfId="5996" priority="5233" stopIfTrue="1">
      <formula>$C350&lt;&gt;""</formula>
    </cfRule>
  </conditionalFormatting>
  <conditionalFormatting sqref="S350">
    <cfRule type="expression" dxfId="5995" priority="5232" stopIfTrue="1">
      <formula>$B350&lt;&gt;""</formula>
    </cfRule>
  </conditionalFormatting>
  <conditionalFormatting sqref="S350">
    <cfRule type="expression" dxfId="5994" priority="5231" stopIfTrue="1">
      <formula>$C350&lt;&gt;""</formula>
    </cfRule>
  </conditionalFormatting>
  <conditionalFormatting sqref="S350">
    <cfRule type="expression" dxfId="5993" priority="5230" stopIfTrue="1">
      <formula>$B350&lt;&gt;""</formula>
    </cfRule>
  </conditionalFormatting>
  <conditionalFormatting sqref="S350">
    <cfRule type="expression" dxfId="5992" priority="5229" stopIfTrue="1">
      <formula>$C350&lt;&gt;""</formula>
    </cfRule>
  </conditionalFormatting>
  <conditionalFormatting sqref="S350">
    <cfRule type="expression" dxfId="5991" priority="5228" stopIfTrue="1">
      <formula>$C350&lt;&gt;""</formula>
    </cfRule>
  </conditionalFormatting>
  <conditionalFormatting sqref="S350">
    <cfRule type="expression" dxfId="5990" priority="5227" stopIfTrue="1">
      <formula>$B350&lt;&gt;""</formula>
    </cfRule>
  </conditionalFormatting>
  <conditionalFormatting sqref="S350">
    <cfRule type="expression" dxfId="5989" priority="5226" stopIfTrue="1">
      <formula>$C350&lt;&gt;""</formula>
    </cfRule>
  </conditionalFormatting>
  <conditionalFormatting sqref="S350">
    <cfRule type="expression" dxfId="5988" priority="5225" stopIfTrue="1">
      <formula>$B350&lt;&gt;""</formula>
    </cfRule>
  </conditionalFormatting>
  <conditionalFormatting sqref="S350">
    <cfRule type="expression" dxfId="5987" priority="5224" stopIfTrue="1">
      <formula>$B350&lt;&gt;""</formula>
    </cfRule>
  </conditionalFormatting>
  <conditionalFormatting sqref="S350">
    <cfRule type="expression" dxfId="5986" priority="5223" stopIfTrue="1">
      <formula>$C350&lt;&gt;""</formula>
    </cfRule>
  </conditionalFormatting>
  <conditionalFormatting sqref="S350">
    <cfRule type="expression" dxfId="5985" priority="5222" stopIfTrue="1">
      <formula>$B350&lt;&gt;""</formula>
    </cfRule>
  </conditionalFormatting>
  <conditionalFormatting sqref="S350">
    <cfRule type="expression" dxfId="5984" priority="5221" stopIfTrue="1">
      <formula>$C350&lt;&gt;""</formula>
    </cfRule>
  </conditionalFormatting>
  <conditionalFormatting sqref="S350">
    <cfRule type="expression" dxfId="5983" priority="5220" stopIfTrue="1">
      <formula>$B350&lt;&gt;""</formula>
    </cfRule>
  </conditionalFormatting>
  <conditionalFormatting sqref="S350">
    <cfRule type="expression" dxfId="5982" priority="5219" stopIfTrue="1">
      <formula>$C350&lt;&gt;""</formula>
    </cfRule>
  </conditionalFormatting>
  <conditionalFormatting sqref="S350">
    <cfRule type="expression" dxfId="5981" priority="5218" stopIfTrue="1">
      <formula>$B350&lt;&gt;""</formula>
    </cfRule>
  </conditionalFormatting>
  <conditionalFormatting sqref="S350">
    <cfRule type="expression" dxfId="5980" priority="5217" stopIfTrue="1">
      <formula>$C350&lt;&gt;""</formula>
    </cfRule>
  </conditionalFormatting>
  <conditionalFormatting sqref="S350">
    <cfRule type="expression" dxfId="5979" priority="5216" stopIfTrue="1">
      <formula>$B350&lt;&gt;""</formula>
    </cfRule>
  </conditionalFormatting>
  <conditionalFormatting sqref="S350">
    <cfRule type="expression" dxfId="5978" priority="5215" stopIfTrue="1">
      <formula>$C350&lt;&gt;""</formula>
    </cfRule>
  </conditionalFormatting>
  <conditionalFormatting sqref="S350">
    <cfRule type="expression" dxfId="5977" priority="5214" stopIfTrue="1">
      <formula>$C350&lt;&gt;""</formula>
    </cfRule>
  </conditionalFormatting>
  <conditionalFormatting sqref="S350">
    <cfRule type="expression" dxfId="5976" priority="5213" stopIfTrue="1">
      <formula>$B350&lt;&gt;""</formula>
    </cfRule>
  </conditionalFormatting>
  <conditionalFormatting sqref="S350">
    <cfRule type="expression" dxfId="5975" priority="5212" stopIfTrue="1">
      <formula>$C350&lt;&gt;""</formula>
    </cfRule>
  </conditionalFormatting>
  <conditionalFormatting sqref="S350">
    <cfRule type="expression" dxfId="5974" priority="5211" stopIfTrue="1">
      <formula>$B350&lt;&gt;""</formula>
    </cfRule>
  </conditionalFormatting>
  <conditionalFormatting sqref="S350">
    <cfRule type="expression" dxfId="5973" priority="5210" stopIfTrue="1">
      <formula>$B350&lt;&gt;""</formula>
    </cfRule>
  </conditionalFormatting>
  <conditionalFormatting sqref="S350">
    <cfRule type="expression" dxfId="5972" priority="5209" stopIfTrue="1">
      <formula>$C350&lt;&gt;""</formula>
    </cfRule>
  </conditionalFormatting>
  <conditionalFormatting sqref="S351">
    <cfRule type="expression" dxfId="5971" priority="5208" stopIfTrue="1">
      <formula>$B351&lt;&gt;""</formula>
    </cfRule>
  </conditionalFormatting>
  <conditionalFormatting sqref="S351">
    <cfRule type="expression" dxfId="5970" priority="5207" stopIfTrue="1">
      <formula>$C351&lt;&gt;""</formula>
    </cfRule>
  </conditionalFormatting>
  <conditionalFormatting sqref="S350">
    <cfRule type="expression" dxfId="5969" priority="5206" stopIfTrue="1">
      <formula>$B350&lt;&gt;""</formula>
    </cfRule>
  </conditionalFormatting>
  <conditionalFormatting sqref="S350">
    <cfRule type="expression" dxfId="5968" priority="5205" stopIfTrue="1">
      <formula>$C350&lt;&gt;""</formula>
    </cfRule>
  </conditionalFormatting>
  <conditionalFormatting sqref="S351:S354">
    <cfRule type="expression" dxfId="5967" priority="5204" stopIfTrue="1">
      <formula>$B351&lt;&gt;""</formula>
    </cfRule>
  </conditionalFormatting>
  <conditionalFormatting sqref="S351:S354">
    <cfRule type="expression" dxfId="5966" priority="5203" stopIfTrue="1">
      <formula>$C351&lt;&gt;""</formula>
    </cfRule>
  </conditionalFormatting>
  <conditionalFormatting sqref="S350">
    <cfRule type="expression" dxfId="5965" priority="5202" stopIfTrue="1">
      <formula>$B350&lt;&gt;""</formula>
    </cfRule>
  </conditionalFormatting>
  <conditionalFormatting sqref="S350">
    <cfRule type="expression" dxfId="5964" priority="5201" stopIfTrue="1">
      <formula>$C350&lt;&gt;""</formula>
    </cfRule>
  </conditionalFormatting>
  <conditionalFormatting sqref="S351:S354">
    <cfRule type="expression" dxfId="5963" priority="5200" stopIfTrue="1">
      <formula>$B351&lt;&gt;""</formula>
    </cfRule>
  </conditionalFormatting>
  <conditionalFormatting sqref="S351:S354">
    <cfRule type="expression" dxfId="5962" priority="5199" stopIfTrue="1">
      <formula>$C351&lt;&gt;""</formula>
    </cfRule>
  </conditionalFormatting>
  <conditionalFormatting sqref="S350:S354">
    <cfRule type="expression" dxfId="5961" priority="5198" stopIfTrue="1">
      <formula>$B350&lt;&gt;""</formula>
    </cfRule>
  </conditionalFormatting>
  <conditionalFormatting sqref="S350:S354">
    <cfRule type="expression" dxfId="5960" priority="5197" stopIfTrue="1">
      <formula>$C350&lt;&gt;""</formula>
    </cfRule>
  </conditionalFormatting>
  <conditionalFormatting sqref="S350:S354">
    <cfRule type="expression" dxfId="5959" priority="5196" stopIfTrue="1">
      <formula>$B350&lt;&gt;""</formula>
    </cfRule>
  </conditionalFormatting>
  <conditionalFormatting sqref="S350:S354">
    <cfRule type="expression" dxfId="5958" priority="5195" stopIfTrue="1">
      <formula>$C350&lt;&gt;""</formula>
    </cfRule>
  </conditionalFormatting>
  <conditionalFormatting sqref="S350:S354">
    <cfRule type="expression" dxfId="5957" priority="5194" stopIfTrue="1">
      <formula>$B350&lt;&gt;""</formula>
    </cfRule>
  </conditionalFormatting>
  <conditionalFormatting sqref="S350:S354">
    <cfRule type="expression" dxfId="5956" priority="5193" stopIfTrue="1">
      <formula>$C350&lt;&gt;""</formula>
    </cfRule>
  </conditionalFormatting>
  <conditionalFormatting sqref="S350:S354">
    <cfRule type="expression" dxfId="5955" priority="5192" stopIfTrue="1">
      <formula>$B350&lt;&gt;""</formula>
    </cfRule>
  </conditionalFormatting>
  <conditionalFormatting sqref="S350:S354">
    <cfRule type="expression" dxfId="5954" priority="5191" stopIfTrue="1">
      <formula>$C350&lt;&gt;""</formula>
    </cfRule>
  </conditionalFormatting>
  <conditionalFormatting sqref="S350:S354">
    <cfRule type="expression" dxfId="5953" priority="5190" stopIfTrue="1">
      <formula>$B350&lt;&gt;""</formula>
    </cfRule>
  </conditionalFormatting>
  <conditionalFormatting sqref="S350:S354">
    <cfRule type="expression" dxfId="5952" priority="5189" stopIfTrue="1">
      <formula>$C350&lt;&gt;""</formula>
    </cfRule>
  </conditionalFormatting>
  <conditionalFormatting sqref="S350:S354">
    <cfRule type="expression" dxfId="5951" priority="5188" stopIfTrue="1">
      <formula>$B350&lt;&gt;""</formula>
    </cfRule>
  </conditionalFormatting>
  <conditionalFormatting sqref="S350:S354">
    <cfRule type="expression" dxfId="5950" priority="5187" stopIfTrue="1">
      <formula>$C350&lt;&gt;""</formula>
    </cfRule>
  </conditionalFormatting>
  <conditionalFormatting sqref="S350:S354">
    <cfRule type="expression" dxfId="5949" priority="5186" stopIfTrue="1">
      <formula>$B350&lt;&gt;""</formula>
    </cfRule>
  </conditionalFormatting>
  <conditionalFormatting sqref="S350:S354">
    <cfRule type="expression" dxfId="5948" priority="5185" stopIfTrue="1">
      <formula>$C350&lt;&gt;""</formula>
    </cfRule>
  </conditionalFormatting>
  <conditionalFormatting sqref="S350:S353">
    <cfRule type="expression" dxfId="5947" priority="5184" stopIfTrue="1">
      <formula>$B350&lt;&gt;""</formula>
    </cfRule>
  </conditionalFormatting>
  <conditionalFormatting sqref="S350:S353">
    <cfRule type="expression" dxfId="5946" priority="5183" stopIfTrue="1">
      <formula>$C350&lt;&gt;""</formula>
    </cfRule>
  </conditionalFormatting>
  <conditionalFormatting sqref="S354">
    <cfRule type="expression" dxfId="5945" priority="5182" stopIfTrue="1">
      <formula>$B354&lt;&gt;""</formula>
    </cfRule>
  </conditionalFormatting>
  <conditionalFormatting sqref="S354">
    <cfRule type="expression" dxfId="5944" priority="5181" stopIfTrue="1">
      <formula>$C354&lt;&gt;""</formula>
    </cfRule>
  </conditionalFormatting>
  <conditionalFormatting sqref="S350:S352">
    <cfRule type="expression" dxfId="5943" priority="5180" stopIfTrue="1">
      <formula>$B350&lt;&gt;""</formula>
    </cfRule>
  </conditionalFormatting>
  <conditionalFormatting sqref="S350:S352">
    <cfRule type="expression" dxfId="5942" priority="5179" stopIfTrue="1">
      <formula>$C350&lt;&gt;""</formula>
    </cfRule>
  </conditionalFormatting>
  <conditionalFormatting sqref="S353:S354">
    <cfRule type="expression" dxfId="5941" priority="5178" stopIfTrue="1">
      <formula>$B353&lt;&gt;""</formula>
    </cfRule>
  </conditionalFormatting>
  <conditionalFormatting sqref="S353:S354">
    <cfRule type="expression" dxfId="5940" priority="5177" stopIfTrue="1">
      <formula>$C353&lt;&gt;""</formula>
    </cfRule>
  </conditionalFormatting>
  <conditionalFormatting sqref="S350:S353">
    <cfRule type="expression" dxfId="5939" priority="5176" stopIfTrue="1">
      <formula>$B350&lt;&gt;""</formula>
    </cfRule>
  </conditionalFormatting>
  <conditionalFormatting sqref="S350:S353">
    <cfRule type="expression" dxfId="5938" priority="5175" stopIfTrue="1">
      <formula>$C350&lt;&gt;""</formula>
    </cfRule>
  </conditionalFormatting>
  <conditionalFormatting sqref="S350:S353">
    <cfRule type="expression" dxfId="5937" priority="5174" stopIfTrue="1">
      <formula>$B350&lt;&gt;""</formula>
    </cfRule>
  </conditionalFormatting>
  <conditionalFormatting sqref="S350:S353">
    <cfRule type="expression" dxfId="5936" priority="5173" stopIfTrue="1">
      <formula>$C350&lt;&gt;""</formula>
    </cfRule>
  </conditionalFormatting>
  <conditionalFormatting sqref="S354">
    <cfRule type="expression" dxfId="5935" priority="5172" stopIfTrue="1">
      <formula>$B354&lt;&gt;""</formula>
    </cfRule>
  </conditionalFormatting>
  <conditionalFormatting sqref="S354">
    <cfRule type="expression" dxfId="5934" priority="5171" stopIfTrue="1">
      <formula>$C354&lt;&gt;""</formula>
    </cfRule>
  </conditionalFormatting>
  <conditionalFormatting sqref="S350:S353">
    <cfRule type="expression" dxfId="5933" priority="5170" stopIfTrue="1">
      <formula>$B350&lt;&gt;""</formula>
    </cfRule>
  </conditionalFormatting>
  <conditionalFormatting sqref="S350:S353">
    <cfRule type="expression" dxfId="5932" priority="5169" stopIfTrue="1">
      <formula>$C350&lt;&gt;""</formula>
    </cfRule>
  </conditionalFormatting>
  <conditionalFormatting sqref="S354">
    <cfRule type="expression" dxfId="5931" priority="5168" stopIfTrue="1">
      <formula>$B354&lt;&gt;""</formula>
    </cfRule>
  </conditionalFormatting>
  <conditionalFormatting sqref="S354">
    <cfRule type="expression" dxfId="5930" priority="5167" stopIfTrue="1">
      <formula>$C354&lt;&gt;""</formula>
    </cfRule>
  </conditionalFormatting>
  <conditionalFormatting sqref="S354">
    <cfRule type="expression" dxfId="5929" priority="5166" stopIfTrue="1">
      <formula>$B354&lt;&gt;""</formula>
    </cfRule>
  </conditionalFormatting>
  <conditionalFormatting sqref="S354">
    <cfRule type="expression" dxfId="5928" priority="5165" stopIfTrue="1">
      <formula>$C354&lt;&gt;""</formula>
    </cfRule>
  </conditionalFormatting>
  <conditionalFormatting sqref="S350">
    <cfRule type="expression" dxfId="5927" priority="5164" stopIfTrue="1">
      <formula>$C350&lt;&gt;""</formula>
    </cfRule>
  </conditionalFormatting>
  <conditionalFormatting sqref="S350">
    <cfRule type="expression" dxfId="5926" priority="5163" stopIfTrue="1">
      <formula>$B350&lt;&gt;""</formula>
    </cfRule>
  </conditionalFormatting>
  <conditionalFormatting sqref="S351:S354">
    <cfRule type="expression" dxfId="5925" priority="5162" stopIfTrue="1">
      <formula>$C351&lt;&gt;""</formula>
    </cfRule>
  </conditionalFormatting>
  <conditionalFormatting sqref="S351:S354">
    <cfRule type="expression" dxfId="5924" priority="5161" stopIfTrue="1">
      <formula>$B351&lt;&gt;""</formula>
    </cfRule>
  </conditionalFormatting>
  <conditionalFormatting sqref="S353:S354">
    <cfRule type="expression" dxfId="5923" priority="5160" stopIfTrue="1">
      <formula>$C353&lt;&gt;""</formula>
    </cfRule>
  </conditionalFormatting>
  <conditionalFormatting sqref="S353:S354">
    <cfRule type="expression" dxfId="5922" priority="5159" stopIfTrue="1">
      <formula>$B353&lt;&gt;""</formula>
    </cfRule>
  </conditionalFormatting>
  <conditionalFormatting sqref="S350:S353">
    <cfRule type="expression" dxfId="5921" priority="5158" stopIfTrue="1">
      <formula>$B350&lt;&gt;""</formula>
    </cfRule>
  </conditionalFormatting>
  <conditionalFormatting sqref="S350:S353">
    <cfRule type="expression" dxfId="5920" priority="5157" stopIfTrue="1">
      <formula>$C350&lt;&gt;""</formula>
    </cfRule>
  </conditionalFormatting>
  <conditionalFormatting sqref="S354">
    <cfRule type="expression" dxfId="5919" priority="5156" stopIfTrue="1">
      <formula>$B354&lt;&gt;""</formula>
    </cfRule>
  </conditionalFormatting>
  <conditionalFormatting sqref="S354">
    <cfRule type="expression" dxfId="5918" priority="5155" stopIfTrue="1">
      <formula>$C354&lt;&gt;""</formula>
    </cfRule>
  </conditionalFormatting>
  <conditionalFormatting sqref="S350:S352">
    <cfRule type="expression" dxfId="5917" priority="5154" stopIfTrue="1">
      <formula>$B350&lt;&gt;""</formula>
    </cfRule>
  </conditionalFormatting>
  <conditionalFormatting sqref="S350:S352">
    <cfRule type="expression" dxfId="5916" priority="5153" stopIfTrue="1">
      <formula>$C350&lt;&gt;""</formula>
    </cfRule>
  </conditionalFormatting>
  <conditionalFormatting sqref="S353:S354">
    <cfRule type="expression" dxfId="5915" priority="5152" stopIfTrue="1">
      <formula>$B353&lt;&gt;""</formula>
    </cfRule>
  </conditionalFormatting>
  <conditionalFormatting sqref="S353:S354">
    <cfRule type="expression" dxfId="5914" priority="5151" stopIfTrue="1">
      <formula>$C353&lt;&gt;""</formula>
    </cfRule>
  </conditionalFormatting>
  <conditionalFormatting sqref="S350:S353">
    <cfRule type="expression" dxfId="5913" priority="5150" stopIfTrue="1">
      <formula>$B350&lt;&gt;""</formula>
    </cfRule>
  </conditionalFormatting>
  <conditionalFormatting sqref="S350:S353">
    <cfRule type="expression" dxfId="5912" priority="5149" stopIfTrue="1">
      <formula>$C350&lt;&gt;""</formula>
    </cfRule>
  </conditionalFormatting>
  <conditionalFormatting sqref="S350:S353">
    <cfRule type="expression" dxfId="5911" priority="5148" stopIfTrue="1">
      <formula>$B350&lt;&gt;""</formula>
    </cfRule>
  </conditionalFormatting>
  <conditionalFormatting sqref="S350:S353">
    <cfRule type="expression" dxfId="5910" priority="5147" stopIfTrue="1">
      <formula>$C350&lt;&gt;""</formula>
    </cfRule>
  </conditionalFormatting>
  <conditionalFormatting sqref="S354">
    <cfRule type="expression" dxfId="5909" priority="5146" stopIfTrue="1">
      <formula>$B354&lt;&gt;""</formula>
    </cfRule>
  </conditionalFormatting>
  <conditionalFormatting sqref="S354">
    <cfRule type="expression" dxfId="5908" priority="5145" stopIfTrue="1">
      <formula>$C354&lt;&gt;""</formula>
    </cfRule>
  </conditionalFormatting>
  <conditionalFormatting sqref="S350:S353">
    <cfRule type="expression" dxfId="5907" priority="5144" stopIfTrue="1">
      <formula>$B350&lt;&gt;""</formula>
    </cfRule>
  </conditionalFormatting>
  <conditionalFormatting sqref="S350:S353">
    <cfRule type="expression" dxfId="5906" priority="5143" stopIfTrue="1">
      <formula>$C350&lt;&gt;""</formula>
    </cfRule>
  </conditionalFormatting>
  <conditionalFormatting sqref="S354">
    <cfRule type="expression" dxfId="5905" priority="5142" stopIfTrue="1">
      <formula>$B354&lt;&gt;""</formula>
    </cfRule>
  </conditionalFormatting>
  <conditionalFormatting sqref="S354">
    <cfRule type="expression" dxfId="5904" priority="5141" stopIfTrue="1">
      <formula>$C354&lt;&gt;""</formula>
    </cfRule>
  </conditionalFormatting>
  <conditionalFormatting sqref="S354">
    <cfRule type="expression" dxfId="5903" priority="5140" stopIfTrue="1">
      <formula>$B354&lt;&gt;""</formula>
    </cfRule>
  </conditionalFormatting>
  <conditionalFormatting sqref="S354">
    <cfRule type="expression" dxfId="5902" priority="5139" stopIfTrue="1">
      <formula>$C354&lt;&gt;""</formula>
    </cfRule>
  </conditionalFormatting>
  <conditionalFormatting sqref="S350">
    <cfRule type="expression" dxfId="5901" priority="5138" stopIfTrue="1">
      <formula>$C350&lt;&gt;""</formula>
    </cfRule>
  </conditionalFormatting>
  <conditionalFormatting sqref="S350">
    <cfRule type="expression" dxfId="5900" priority="5137" stopIfTrue="1">
      <formula>$B350&lt;&gt;""</formula>
    </cfRule>
  </conditionalFormatting>
  <conditionalFormatting sqref="S351:S354">
    <cfRule type="expression" dxfId="5899" priority="5136" stopIfTrue="1">
      <formula>$C351&lt;&gt;""</formula>
    </cfRule>
  </conditionalFormatting>
  <conditionalFormatting sqref="S351:S354">
    <cfRule type="expression" dxfId="5898" priority="5135" stopIfTrue="1">
      <formula>$B351&lt;&gt;""</formula>
    </cfRule>
  </conditionalFormatting>
  <conditionalFormatting sqref="S353:S354">
    <cfRule type="expression" dxfId="5897" priority="5134" stopIfTrue="1">
      <formula>$C353&lt;&gt;""</formula>
    </cfRule>
  </conditionalFormatting>
  <conditionalFormatting sqref="S353:S354">
    <cfRule type="expression" dxfId="5896" priority="5133" stopIfTrue="1">
      <formula>$B353&lt;&gt;""</formula>
    </cfRule>
  </conditionalFormatting>
  <conditionalFormatting sqref="S350">
    <cfRule type="expression" dxfId="5895" priority="5132" stopIfTrue="1">
      <formula>$B350&lt;&gt;""</formula>
    </cfRule>
  </conditionalFormatting>
  <conditionalFormatting sqref="S350">
    <cfRule type="expression" dxfId="5894" priority="5131" stopIfTrue="1">
      <formula>$C350&lt;&gt;""</formula>
    </cfRule>
  </conditionalFormatting>
  <conditionalFormatting sqref="S351">
    <cfRule type="expression" dxfId="5893" priority="5130" stopIfTrue="1">
      <formula>$B351&lt;&gt;""</formula>
    </cfRule>
  </conditionalFormatting>
  <conditionalFormatting sqref="S351">
    <cfRule type="expression" dxfId="5892" priority="5129" stopIfTrue="1">
      <formula>$C351&lt;&gt;""</formula>
    </cfRule>
  </conditionalFormatting>
  <conditionalFormatting sqref="S350">
    <cfRule type="expression" dxfId="5891" priority="5128" stopIfTrue="1">
      <formula>$B350&lt;&gt;""</formula>
    </cfRule>
  </conditionalFormatting>
  <conditionalFormatting sqref="S350">
    <cfRule type="expression" dxfId="5890" priority="5127" stopIfTrue="1">
      <formula>$C350&lt;&gt;""</formula>
    </cfRule>
  </conditionalFormatting>
  <conditionalFormatting sqref="S351:S354">
    <cfRule type="expression" dxfId="5889" priority="5126" stopIfTrue="1">
      <formula>$B351&lt;&gt;""</formula>
    </cfRule>
  </conditionalFormatting>
  <conditionalFormatting sqref="S351:S354">
    <cfRule type="expression" dxfId="5888" priority="5125" stopIfTrue="1">
      <formula>$C351&lt;&gt;""</formula>
    </cfRule>
  </conditionalFormatting>
  <conditionalFormatting sqref="S350">
    <cfRule type="expression" dxfId="5887" priority="5124" stopIfTrue="1">
      <formula>$B350&lt;&gt;""</formula>
    </cfRule>
  </conditionalFormatting>
  <conditionalFormatting sqref="S350">
    <cfRule type="expression" dxfId="5886" priority="5123" stopIfTrue="1">
      <formula>$C350&lt;&gt;""</formula>
    </cfRule>
  </conditionalFormatting>
  <conditionalFormatting sqref="S351:S354">
    <cfRule type="expression" dxfId="5885" priority="5122" stopIfTrue="1">
      <formula>$B351&lt;&gt;""</formula>
    </cfRule>
  </conditionalFormatting>
  <conditionalFormatting sqref="S351:S354">
    <cfRule type="expression" dxfId="5884" priority="5121" stopIfTrue="1">
      <formula>$C351&lt;&gt;""</formula>
    </cfRule>
  </conditionalFormatting>
  <conditionalFormatting sqref="S350:S354">
    <cfRule type="expression" dxfId="5883" priority="5120" stopIfTrue="1">
      <formula>$B350&lt;&gt;""</formula>
    </cfRule>
  </conditionalFormatting>
  <conditionalFormatting sqref="S350:S354">
    <cfRule type="expression" dxfId="5882" priority="5119" stopIfTrue="1">
      <formula>$C350&lt;&gt;""</formula>
    </cfRule>
  </conditionalFormatting>
  <conditionalFormatting sqref="S350:S354">
    <cfRule type="expression" dxfId="5881" priority="5118" stopIfTrue="1">
      <formula>$B350&lt;&gt;""</formula>
    </cfRule>
  </conditionalFormatting>
  <conditionalFormatting sqref="S350:S354">
    <cfRule type="expression" dxfId="5880" priority="5117" stopIfTrue="1">
      <formula>$C350&lt;&gt;""</formula>
    </cfRule>
  </conditionalFormatting>
  <conditionalFormatting sqref="S350:S354">
    <cfRule type="expression" dxfId="5879" priority="5116" stopIfTrue="1">
      <formula>$B350&lt;&gt;""</formula>
    </cfRule>
  </conditionalFormatting>
  <conditionalFormatting sqref="S350:S354">
    <cfRule type="expression" dxfId="5878" priority="5115" stopIfTrue="1">
      <formula>$C350&lt;&gt;""</formula>
    </cfRule>
  </conditionalFormatting>
  <conditionalFormatting sqref="S350:S354">
    <cfRule type="expression" dxfId="5877" priority="5114" stopIfTrue="1">
      <formula>$B350&lt;&gt;""</formula>
    </cfRule>
  </conditionalFormatting>
  <conditionalFormatting sqref="S350:S354">
    <cfRule type="expression" dxfId="5876" priority="5113" stopIfTrue="1">
      <formula>$C350&lt;&gt;""</formula>
    </cfRule>
  </conditionalFormatting>
  <conditionalFormatting sqref="S350:S354">
    <cfRule type="expression" dxfId="5875" priority="5112" stopIfTrue="1">
      <formula>$B350&lt;&gt;""</formula>
    </cfRule>
  </conditionalFormatting>
  <conditionalFormatting sqref="S350:S354">
    <cfRule type="expression" dxfId="5874" priority="5111" stopIfTrue="1">
      <formula>$C350&lt;&gt;""</formula>
    </cfRule>
  </conditionalFormatting>
  <conditionalFormatting sqref="S350:S354">
    <cfRule type="expression" dxfId="5873" priority="5110" stopIfTrue="1">
      <formula>$B350&lt;&gt;""</formula>
    </cfRule>
  </conditionalFormatting>
  <conditionalFormatting sqref="S350:S354">
    <cfRule type="expression" dxfId="5872" priority="5109" stopIfTrue="1">
      <formula>$C350&lt;&gt;""</formula>
    </cfRule>
  </conditionalFormatting>
  <conditionalFormatting sqref="S350:S354">
    <cfRule type="expression" dxfId="5871" priority="5108" stopIfTrue="1">
      <formula>$B350&lt;&gt;""</formula>
    </cfRule>
  </conditionalFormatting>
  <conditionalFormatting sqref="S350:S354">
    <cfRule type="expression" dxfId="5870" priority="5107" stopIfTrue="1">
      <formula>$C350&lt;&gt;""</formula>
    </cfRule>
  </conditionalFormatting>
  <conditionalFormatting sqref="S350:S353">
    <cfRule type="expression" dxfId="5869" priority="5106" stopIfTrue="1">
      <formula>$B350&lt;&gt;""</formula>
    </cfRule>
  </conditionalFormatting>
  <conditionalFormatting sqref="S350:S353">
    <cfRule type="expression" dxfId="5868" priority="5105" stopIfTrue="1">
      <formula>$C350&lt;&gt;""</formula>
    </cfRule>
  </conditionalFormatting>
  <conditionalFormatting sqref="S354">
    <cfRule type="expression" dxfId="5867" priority="5104" stopIfTrue="1">
      <formula>$B354&lt;&gt;""</formula>
    </cfRule>
  </conditionalFormatting>
  <conditionalFormatting sqref="S354">
    <cfRule type="expression" dxfId="5866" priority="5103" stopIfTrue="1">
      <formula>$C354&lt;&gt;""</formula>
    </cfRule>
  </conditionalFormatting>
  <conditionalFormatting sqref="S350:S352">
    <cfRule type="expression" dxfId="5865" priority="5102" stopIfTrue="1">
      <formula>$B350&lt;&gt;""</formula>
    </cfRule>
  </conditionalFormatting>
  <conditionalFormatting sqref="S350:S352">
    <cfRule type="expression" dxfId="5864" priority="5101" stopIfTrue="1">
      <formula>$C350&lt;&gt;""</formula>
    </cfRule>
  </conditionalFormatting>
  <conditionalFormatting sqref="S353:S354">
    <cfRule type="expression" dxfId="5863" priority="5100" stopIfTrue="1">
      <formula>$B353&lt;&gt;""</formula>
    </cfRule>
  </conditionalFormatting>
  <conditionalFormatting sqref="S353:S354">
    <cfRule type="expression" dxfId="5862" priority="5099" stopIfTrue="1">
      <formula>$C353&lt;&gt;""</formula>
    </cfRule>
  </conditionalFormatting>
  <conditionalFormatting sqref="S350:S353">
    <cfRule type="expression" dxfId="5861" priority="5098" stopIfTrue="1">
      <formula>$B350&lt;&gt;""</formula>
    </cfRule>
  </conditionalFormatting>
  <conditionalFormatting sqref="S350:S353">
    <cfRule type="expression" dxfId="5860" priority="5097" stopIfTrue="1">
      <formula>$C350&lt;&gt;""</formula>
    </cfRule>
  </conditionalFormatting>
  <conditionalFormatting sqref="S350:S353">
    <cfRule type="expression" dxfId="5859" priority="5096" stopIfTrue="1">
      <formula>$B350&lt;&gt;""</formula>
    </cfRule>
  </conditionalFormatting>
  <conditionalFormatting sqref="S350:S353">
    <cfRule type="expression" dxfId="5858" priority="5095" stopIfTrue="1">
      <formula>$C350&lt;&gt;""</formula>
    </cfRule>
  </conditionalFormatting>
  <conditionalFormatting sqref="S354">
    <cfRule type="expression" dxfId="5857" priority="5094" stopIfTrue="1">
      <formula>$B354&lt;&gt;""</formula>
    </cfRule>
  </conditionalFormatting>
  <conditionalFormatting sqref="S354">
    <cfRule type="expression" dxfId="5856" priority="5093" stopIfTrue="1">
      <formula>$C354&lt;&gt;""</formula>
    </cfRule>
  </conditionalFormatting>
  <conditionalFormatting sqref="S350:S353">
    <cfRule type="expression" dxfId="5855" priority="5092" stopIfTrue="1">
      <formula>$B350&lt;&gt;""</formula>
    </cfRule>
  </conditionalFormatting>
  <conditionalFormatting sqref="S350:S353">
    <cfRule type="expression" dxfId="5854" priority="5091" stopIfTrue="1">
      <formula>$C350&lt;&gt;""</formula>
    </cfRule>
  </conditionalFormatting>
  <conditionalFormatting sqref="S354">
    <cfRule type="expression" dxfId="5853" priority="5090" stopIfTrue="1">
      <formula>$B354&lt;&gt;""</formula>
    </cfRule>
  </conditionalFormatting>
  <conditionalFormatting sqref="S354">
    <cfRule type="expression" dxfId="5852" priority="5089" stopIfTrue="1">
      <formula>$C354&lt;&gt;""</formula>
    </cfRule>
  </conditionalFormatting>
  <conditionalFormatting sqref="S354">
    <cfRule type="expression" dxfId="5851" priority="5088" stopIfTrue="1">
      <formula>$B354&lt;&gt;""</formula>
    </cfRule>
  </conditionalFormatting>
  <conditionalFormatting sqref="S354">
    <cfRule type="expression" dxfId="5850" priority="5087" stopIfTrue="1">
      <formula>$C354&lt;&gt;""</formula>
    </cfRule>
  </conditionalFormatting>
  <conditionalFormatting sqref="S350">
    <cfRule type="expression" dxfId="5849" priority="5086" stopIfTrue="1">
      <formula>$C350&lt;&gt;""</formula>
    </cfRule>
  </conditionalFormatting>
  <conditionalFormatting sqref="S350">
    <cfRule type="expression" dxfId="5848" priority="5085" stopIfTrue="1">
      <formula>$B350&lt;&gt;""</formula>
    </cfRule>
  </conditionalFormatting>
  <conditionalFormatting sqref="S351:S354">
    <cfRule type="expression" dxfId="5847" priority="5084" stopIfTrue="1">
      <formula>$C351&lt;&gt;""</formula>
    </cfRule>
  </conditionalFormatting>
  <conditionalFormatting sqref="S351:S354">
    <cfRule type="expression" dxfId="5846" priority="5083" stopIfTrue="1">
      <formula>$B351&lt;&gt;""</formula>
    </cfRule>
  </conditionalFormatting>
  <conditionalFormatting sqref="S353:S354">
    <cfRule type="expression" dxfId="5845" priority="5082" stopIfTrue="1">
      <formula>$C353&lt;&gt;""</formula>
    </cfRule>
  </conditionalFormatting>
  <conditionalFormatting sqref="S353:S354">
    <cfRule type="expression" dxfId="5844" priority="5081" stopIfTrue="1">
      <formula>$B353&lt;&gt;""</formula>
    </cfRule>
  </conditionalFormatting>
  <conditionalFormatting sqref="S350:S353">
    <cfRule type="expression" dxfId="5843" priority="5080" stopIfTrue="1">
      <formula>$B350&lt;&gt;""</formula>
    </cfRule>
  </conditionalFormatting>
  <conditionalFormatting sqref="S350:S353">
    <cfRule type="expression" dxfId="5842" priority="5079" stopIfTrue="1">
      <formula>$C350&lt;&gt;""</formula>
    </cfRule>
  </conditionalFormatting>
  <conditionalFormatting sqref="S354">
    <cfRule type="expression" dxfId="5841" priority="5078" stopIfTrue="1">
      <formula>$B354&lt;&gt;""</formula>
    </cfRule>
  </conditionalFormatting>
  <conditionalFormatting sqref="S354">
    <cfRule type="expression" dxfId="5840" priority="5077" stopIfTrue="1">
      <formula>$C354&lt;&gt;""</formula>
    </cfRule>
  </conditionalFormatting>
  <conditionalFormatting sqref="S350:S352">
    <cfRule type="expression" dxfId="5839" priority="5076" stopIfTrue="1">
      <formula>$B350&lt;&gt;""</formula>
    </cfRule>
  </conditionalFormatting>
  <conditionalFormatting sqref="S350:S352">
    <cfRule type="expression" dxfId="5838" priority="5075" stopIfTrue="1">
      <formula>$C350&lt;&gt;""</formula>
    </cfRule>
  </conditionalFormatting>
  <conditionalFormatting sqref="S353:S354">
    <cfRule type="expression" dxfId="5837" priority="5074" stopIfTrue="1">
      <formula>$B353&lt;&gt;""</formula>
    </cfRule>
  </conditionalFormatting>
  <conditionalFormatting sqref="S353:S354">
    <cfRule type="expression" dxfId="5836" priority="5073" stopIfTrue="1">
      <formula>$C353&lt;&gt;""</formula>
    </cfRule>
  </conditionalFormatting>
  <conditionalFormatting sqref="S350:S353">
    <cfRule type="expression" dxfId="5835" priority="5072" stopIfTrue="1">
      <formula>$B350&lt;&gt;""</formula>
    </cfRule>
  </conditionalFormatting>
  <conditionalFormatting sqref="S350:S353">
    <cfRule type="expression" dxfId="5834" priority="5071" stopIfTrue="1">
      <formula>$C350&lt;&gt;""</formula>
    </cfRule>
  </conditionalFormatting>
  <conditionalFormatting sqref="S350:S353">
    <cfRule type="expression" dxfId="5833" priority="5070" stopIfTrue="1">
      <formula>$B350&lt;&gt;""</formula>
    </cfRule>
  </conditionalFormatting>
  <conditionalFormatting sqref="S350:S353">
    <cfRule type="expression" dxfId="5832" priority="5069" stopIfTrue="1">
      <formula>$C350&lt;&gt;""</formula>
    </cfRule>
  </conditionalFormatting>
  <conditionalFormatting sqref="S354">
    <cfRule type="expression" dxfId="5831" priority="5068" stopIfTrue="1">
      <formula>$B354&lt;&gt;""</formula>
    </cfRule>
  </conditionalFormatting>
  <conditionalFormatting sqref="S354">
    <cfRule type="expression" dxfId="5830" priority="5067" stopIfTrue="1">
      <formula>$C354&lt;&gt;""</formula>
    </cfRule>
  </conditionalFormatting>
  <conditionalFormatting sqref="S350:S353">
    <cfRule type="expression" dxfId="5829" priority="5066" stopIfTrue="1">
      <formula>$B350&lt;&gt;""</formula>
    </cfRule>
  </conditionalFormatting>
  <conditionalFormatting sqref="S350:S353">
    <cfRule type="expression" dxfId="5828" priority="5065" stopIfTrue="1">
      <formula>$C350&lt;&gt;""</formula>
    </cfRule>
  </conditionalFormatting>
  <conditionalFormatting sqref="S354">
    <cfRule type="expression" dxfId="5827" priority="5064" stopIfTrue="1">
      <formula>$B354&lt;&gt;""</formula>
    </cfRule>
  </conditionalFormatting>
  <conditionalFormatting sqref="S354">
    <cfRule type="expression" dxfId="5826" priority="5063" stopIfTrue="1">
      <formula>$C354&lt;&gt;""</formula>
    </cfRule>
  </conditionalFormatting>
  <conditionalFormatting sqref="S354">
    <cfRule type="expression" dxfId="5825" priority="5062" stopIfTrue="1">
      <formula>$B354&lt;&gt;""</formula>
    </cfRule>
  </conditionalFormatting>
  <conditionalFormatting sqref="S354">
    <cfRule type="expression" dxfId="5824" priority="5061" stopIfTrue="1">
      <formula>$C354&lt;&gt;""</formula>
    </cfRule>
  </conditionalFormatting>
  <conditionalFormatting sqref="S350">
    <cfRule type="expression" dxfId="5823" priority="5060" stopIfTrue="1">
      <formula>$C350&lt;&gt;""</formula>
    </cfRule>
  </conditionalFormatting>
  <conditionalFormatting sqref="S350">
    <cfRule type="expression" dxfId="5822" priority="5059" stopIfTrue="1">
      <formula>$B350&lt;&gt;""</formula>
    </cfRule>
  </conditionalFormatting>
  <conditionalFormatting sqref="S351:S354">
    <cfRule type="expression" dxfId="5821" priority="5058" stopIfTrue="1">
      <formula>$C351&lt;&gt;""</formula>
    </cfRule>
  </conditionalFormatting>
  <conditionalFormatting sqref="S351:S354">
    <cfRule type="expression" dxfId="5820" priority="5057" stopIfTrue="1">
      <formula>$B351&lt;&gt;""</formula>
    </cfRule>
  </conditionalFormatting>
  <conditionalFormatting sqref="S353:S354">
    <cfRule type="expression" dxfId="5819" priority="5056" stopIfTrue="1">
      <formula>$C353&lt;&gt;""</formula>
    </cfRule>
  </conditionalFormatting>
  <conditionalFormatting sqref="S353:S354">
    <cfRule type="expression" dxfId="5818" priority="5055" stopIfTrue="1">
      <formula>$B353&lt;&gt;""</formula>
    </cfRule>
  </conditionalFormatting>
  <conditionalFormatting sqref="S350">
    <cfRule type="expression" dxfId="5817" priority="5054" stopIfTrue="1">
      <formula>$B350&lt;&gt;""</formula>
    </cfRule>
  </conditionalFormatting>
  <conditionalFormatting sqref="S350">
    <cfRule type="expression" dxfId="5816" priority="5053" stopIfTrue="1">
      <formula>$C350&lt;&gt;""</formula>
    </cfRule>
  </conditionalFormatting>
  <conditionalFormatting sqref="S350">
    <cfRule type="expression" dxfId="5815" priority="5052" stopIfTrue="1">
      <formula>$B350&lt;&gt;""</formula>
    </cfRule>
  </conditionalFormatting>
  <conditionalFormatting sqref="S350">
    <cfRule type="expression" dxfId="5814" priority="5051" stopIfTrue="1">
      <formula>$C350&lt;&gt;""</formula>
    </cfRule>
  </conditionalFormatting>
  <conditionalFormatting sqref="S350">
    <cfRule type="expression" dxfId="5813" priority="5050" stopIfTrue="1">
      <formula>$B350&lt;&gt;""</formula>
    </cfRule>
  </conditionalFormatting>
  <conditionalFormatting sqref="S350">
    <cfRule type="expression" dxfId="5812" priority="5049" stopIfTrue="1">
      <formula>$C350&lt;&gt;""</formula>
    </cfRule>
  </conditionalFormatting>
  <conditionalFormatting sqref="S350">
    <cfRule type="expression" dxfId="5811" priority="5048" stopIfTrue="1">
      <formula>$B350&lt;&gt;""</formula>
    </cfRule>
  </conditionalFormatting>
  <conditionalFormatting sqref="S350">
    <cfRule type="expression" dxfId="5810" priority="5047" stopIfTrue="1">
      <formula>$C350&lt;&gt;""</formula>
    </cfRule>
  </conditionalFormatting>
  <conditionalFormatting sqref="S350">
    <cfRule type="expression" dxfId="5809" priority="5046" stopIfTrue="1">
      <formula>$B350&lt;&gt;""</formula>
    </cfRule>
  </conditionalFormatting>
  <conditionalFormatting sqref="S350">
    <cfRule type="expression" dxfId="5808" priority="5045" stopIfTrue="1">
      <formula>$C350&lt;&gt;""</formula>
    </cfRule>
  </conditionalFormatting>
  <conditionalFormatting sqref="S350">
    <cfRule type="expression" dxfId="5807" priority="5044" stopIfTrue="1">
      <formula>$B350&lt;&gt;""</formula>
    </cfRule>
  </conditionalFormatting>
  <conditionalFormatting sqref="S350">
    <cfRule type="expression" dxfId="5806" priority="5043" stopIfTrue="1">
      <formula>$C350&lt;&gt;""</formula>
    </cfRule>
  </conditionalFormatting>
  <conditionalFormatting sqref="S350">
    <cfRule type="expression" dxfId="5805" priority="5042" stopIfTrue="1">
      <formula>$B350&lt;&gt;""</formula>
    </cfRule>
  </conditionalFormatting>
  <conditionalFormatting sqref="S350">
    <cfRule type="expression" dxfId="5804" priority="5041" stopIfTrue="1">
      <formula>$C350&lt;&gt;""</formula>
    </cfRule>
  </conditionalFormatting>
  <conditionalFormatting sqref="S350">
    <cfRule type="expression" dxfId="5803" priority="5040" stopIfTrue="1">
      <formula>$B350&lt;&gt;""</formula>
    </cfRule>
  </conditionalFormatting>
  <conditionalFormatting sqref="S350">
    <cfRule type="expression" dxfId="5802" priority="5039" stopIfTrue="1">
      <formula>$C350&lt;&gt;""</formula>
    </cfRule>
  </conditionalFormatting>
  <conditionalFormatting sqref="S350">
    <cfRule type="expression" dxfId="5801" priority="5038" stopIfTrue="1">
      <formula>$B350&lt;&gt;""</formula>
    </cfRule>
  </conditionalFormatting>
  <conditionalFormatting sqref="S350">
    <cfRule type="expression" dxfId="5800" priority="5037" stopIfTrue="1">
      <formula>$C350&lt;&gt;""</formula>
    </cfRule>
  </conditionalFormatting>
  <conditionalFormatting sqref="S350">
    <cfRule type="expression" dxfId="5799" priority="5036" stopIfTrue="1">
      <formula>$B350&lt;&gt;""</formula>
    </cfRule>
  </conditionalFormatting>
  <conditionalFormatting sqref="S350">
    <cfRule type="expression" dxfId="5798" priority="5035" stopIfTrue="1">
      <formula>$C350&lt;&gt;""</formula>
    </cfRule>
  </conditionalFormatting>
  <conditionalFormatting sqref="S350">
    <cfRule type="expression" dxfId="5797" priority="5034" stopIfTrue="1">
      <formula>$B350&lt;&gt;""</formula>
    </cfRule>
  </conditionalFormatting>
  <conditionalFormatting sqref="S350">
    <cfRule type="expression" dxfId="5796" priority="5033" stopIfTrue="1">
      <formula>$C350&lt;&gt;""</formula>
    </cfRule>
  </conditionalFormatting>
  <conditionalFormatting sqref="S350">
    <cfRule type="expression" dxfId="5795" priority="5032" stopIfTrue="1">
      <formula>$B350&lt;&gt;""</formula>
    </cfRule>
  </conditionalFormatting>
  <conditionalFormatting sqref="S350">
    <cfRule type="expression" dxfId="5794" priority="5031" stopIfTrue="1">
      <formula>$C350&lt;&gt;""</formula>
    </cfRule>
  </conditionalFormatting>
  <conditionalFormatting sqref="S350">
    <cfRule type="expression" dxfId="5793" priority="5030" stopIfTrue="1">
      <formula>$B350&lt;&gt;""</formula>
    </cfRule>
  </conditionalFormatting>
  <conditionalFormatting sqref="S350">
    <cfRule type="expression" dxfId="5792" priority="5029" stopIfTrue="1">
      <formula>$C350&lt;&gt;""</formula>
    </cfRule>
  </conditionalFormatting>
  <conditionalFormatting sqref="S350">
    <cfRule type="expression" dxfId="5791" priority="5028" stopIfTrue="1">
      <formula>$B350&lt;&gt;""</formula>
    </cfRule>
  </conditionalFormatting>
  <conditionalFormatting sqref="S350">
    <cfRule type="expression" dxfId="5790" priority="5027" stopIfTrue="1">
      <formula>$C350&lt;&gt;""</formula>
    </cfRule>
  </conditionalFormatting>
  <conditionalFormatting sqref="S350">
    <cfRule type="expression" dxfId="5789" priority="5026" stopIfTrue="1">
      <formula>$C350&lt;&gt;""</formula>
    </cfRule>
  </conditionalFormatting>
  <conditionalFormatting sqref="S350">
    <cfRule type="expression" dxfId="5788" priority="5025" stopIfTrue="1">
      <formula>$B350&lt;&gt;""</formula>
    </cfRule>
  </conditionalFormatting>
  <conditionalFormatting sqref="S350">
    <cfRule type="expression" dxfId="5787" priority="5024" stopIfTrue="1">
      <formula>$C350&lt;&gt;""</formula>
    </cfRule>
  </conditionalFormatting>
  <conditionalFormatting sqref="S350">
    <cfRule type="expression" dxfId="5786" priority="5023" stopIfTrue="1">
      <formula>$B350&lt;&gt;""</formula>
    </cfRule>
  </conditionalFormatting>
  <conditionalFormatting sqref="S350">
    <cfRule type="expression" dxfId="5785" priority="5022" stopIfTrue="1">
      <formula>$B350&lt;&gt;""</formula>
    </cfRule>
  </conditionalFormatting>
  <conditionalFormatting sqref="S350">
    <cfRule type="expression" dxfId="5784" priority="5021" stopIfTrue="1">
      <formula>$C350&lt;&gt;""</formula>
    </cfRule>
  </conditionalFormatting>
  <conditionalFormatting sqref="S350">
    <cfRule type="expression" dxfId="5783" priority="5020" stopIfTrue="1">
      <formula>$B350&lt;&gt;""</formula>
    </cfRule>
  </conditionalFormatting>
  <conditionalFormatting sqref="S350">
    <cfRule type="expression" dxfId="5782" priority="5019" stopIfTrue="1">
      <formula>$C350&lt;&gt;""</formula>
    </cfRule>
  </conditionalFormatting>
  <conditionalFormatting sqref="S350">
    <cfRule type="expression" dxfId="5781" priority="5018" stopIfTrue="1">
      <formula>$B350&lt;&gt;""</formula>
    </cfRule>
  </conditionalFormatting>
  <conditionalFormatting sqref="S350">
    <cfRule type="expression" dxfId="5780" priority="5017" stopIfTrue="1">
      <formula>$C350&lt;&gt;""</formula>
    </cfRule>
  </conditionalFormatting>
  <conditionalFormatting sqref="S350">
    <cfRule type="expression" dxfId="5779" priority="5016" stopIfTrue="1">
      <formula>$B350&lt;&gt;""</formula>
    </cfRule>
  </conditionalFormatting>
  <conditionalFormatting sqref="S350">
    <cfRule type="expression" dxfId="5778" priority="5015" stopIfTrue="1">
      <formula>$C350&lt;&gt;""</formula>
    </cfRule>
  </conditionalFormatting>
  <conditionalFormatting sqref="S350">
    <cfRule type="expression" dxfId="5777" priority="5014" stopIfTrue="1">
      <formula>$B350&lt;&gt;""</formula>
    </cfRule>
  </conditionalFormatting>
  <conditionalFormatting sqref="S350">
    <cfRule type="expression" dxfId="5776" priority="5013" stopIfTrue="1">
      <formula>$C350&lt;&gt;""</formula>
    </cfRule>
  </conditionalFormatting>
  <conditionalFormatting sqref="S350">
    <cfRule type="expression" dxfId="5775" priority="5012" stopIfTrue="1">
      <formula>$C350&lt;&gt;""</formula>
    </cfRule>
  </conditionalFormatting>
  <conditionalFormatting sqref="S350">
    <cfRule type="expression" dxfId="5774" priority="5011" stopIfTrue="1">
      <formula>$B350&lt;&gt;""</formula>
    </cfRule>
  </conditionalFormatting>
  <conditionalFormatting sqref="S350">
    <cfRule type="expression" dxfId="5773" priority="5010" stopIfTrue="1">
      <formula>$C350&lt;&gt;""</formula>
    </cfRule>
  </conditionalFormatting>
  <conditionalFormatting sqref="S350">
    <cfRule type="expression" dxfId="5772" priority="5009" stopIfTrue="1">
      <formula>$B350&lt;&gt;""</formula>
    </cfRule>
  </conditionalFormatting>
  <conditionalFormatting sqref="S350">
    <cfRule type="expression" dxfId="5771" priority="5008" stopIfTrue="1">
      <formula>$B350&lt;&gt;""</formula>
    </cfRule>
  </conditionalFormatting>
  <conditionalFormatting sqref="S350">
    <cfRule type="expression" dxfId="5770" priority="5007" stopIfTrue="1">
      <formula>$C350&lt;&gt;""</formula>
    </cfRule>
  </conditionalFormatting>
  <conditionalFormatting sqref="S351">
    <cfRule type="expression" dxfId="5769" priority="5006" stopIfTrue="1">
      <formula>$B351&lt;&gt;""</formula>
    </cfRule>
  </conditionalFormatting>
  <conditionalFormatting sqref="S351">
    <cfRule type="expression" dxfId="5768" priority="5005" stopIfTrue="1">
      <formula>$C351&lt;&gt;""</formula>
    </cfRule>
  </conditionalFormatting>
  <conditionalFormatting sqref="S350">
    <cfRule type="expression" dxfId="5767" priority="5004" stopIfTrue="1">
      <formula>$B350&lt;&gt;""</formula>
    </cfRule>
  </conditionalFormatting>
  <conditionalFormatting sqref="S350">
    <cfRule type="expression" dxfId="5766" priority="5003" stopIfTrue="1">
      <formula>$C350&lt;&gt;""</formula>
    </cfRule>
  </conditionalFormatting>
  <conditionalFormatting sqref="S351:S354">
    <cfRule type="expression" dxfId="5765" priority="5002" stopIfTrue="1">
      <formula>$B351&lt;&gt;""</formula>
    </cfRule>
  </conditionalFormatting>
  <conditionalFormatting sqref="S351:S354">
    <cfRule type="expression" dxfId="5764" priority="5001" stopIfTrue="1">
      <formula>$C351&lt;&gt;""</formula>
    </cfRule>
  </conditionalFormatting>
  <conditionalFormatting sqref="S350">
    <cfRule type="expression" dxfId="5763" priority="5000" stopIfTrue="1">
      <formula>$B350&lt;&gt;""</formula>
    </cfRule>
  </conditionalFormatting>
  <conditionalFormatting sqref="S350">
    <cfRule type="expression" dxfId="5762" priority="4999" stopIfTrue="1">
      <formula>$C350&lt;&gt;""</formula>
    </cfRule>
  </conditionalFormatting>
  <conditionalFormatting sqref="S351:S354">
    <cfRule type="expression" dxfId="5761" priority="4998" stopIfTrue="1">
      <formula>$B351&lt;&gt;""</formula>
    </cfRule>
  </conditionalFormatting>
  <conditionalFormatting sqref="S351:S354">
    <cfRule type="expression" dxfId="5760" priority="4997" stopIfTrue="1">
      <formula>$C351&lt;&gt;""</formula>
    </cfRule>
  </conditionalFormatting>
  <conditionalFormatting sqref="S350:S354">
    <cfRule type="expression" dxfId="5759" priority="4996" stopIfTrue="1">
      <formula>$B350&lt;&gt;""</formula>
    </cfRule>
  </conditionalFormatting>
  <conditionalFormatting sqref="S350:S354">
    <cfRule type="expression" dxfId="5758" priority="4995" stopIfTrue="1">
      <formula>$C350&lt;&gt;""</formula>
    </cfRule>
  </conditionalFormatting>
  <conditionalFormatting sqref="S350:S354">
    <cfRule type="expression" dxfId="5757" priority="4994" stopIfTrue="1">
      <formula>$B350&lt;&gt;""</formula>
    </cfRule>
  </conditionalFormatting>
  <conditionalFormatting sqref="S350:S354">
    <cfRule type="expression" dxfId="5756" priority="4993" stopIfTrue="1">
      <formula>$C350&lt;&gt;""</formula>
    </cfRule>
  </conditionalFormatting>
  <conditionalFormatting sqref="S350:S354">
    <cfRule type="expression" dxfId="5755" priority="4992" stopIfTrue="1">
      <formula>$B350&lt;&gt;""</formula>
    </cfRule>
  </conditionalFormatting>
  <conditionalFormatting sqref="S350:S354">
    <cfRule type="expression" dxfId="5754" priority="4991" stopIfTrue="1">
      <formula>$C350&lt;&gt;""</formula>
    </cfRule>
  </conditionalFormatting>
  <conditionalFormatting sqref="S350:S354">
    <cfRule type="expression" dxfId="5753" priority="4990" stopIfTrue="1">
      <formula>$B350&lt;&gt;""</formula>
    </cfRule>
  </conditionalFormatting>
  <conditionalFormatting sqref="S350:S354">
    <cfRule type="expression" dxfId="5752" priority="4989" stopIfTrue="1">
      <formula>$C350&lt;&gt;""</formula>
    </cfRule>
  </conditionalFormatting>
  <conditionalFormatting sqref="S350:S354">
    <cfRule type="expression" dxfId="5751" priority="4988" stopIfTrue="1">
      <formula>$B350&lt;&gt;""</formula>
    </cfRule>
  </conditionalFormatting>
  <conditionalFormatting sqref="S350:S354">
    <cfRule type="expression" dxfId="5750" priority="4987" stopIfTrue="1">
      <formula>$C350&lt;&gt;""</formula>
    </cfRule>
  </conditionalFormatting>
  <conditionalFormatting sqref="S350:S354">
    <cfRule type="expression" dxfId="5749" priority="4986" stopIfTrue="1">
      <formula>$B350&lt;&gt;""</formula>
    </cfRule>
  </conditionalFormatting>
  <conditionalFormatting sqref="S350:S354">
    <cfRule type="expression" dxfId="5748" priority="4985" stopIfTrue="1">
      <formula>$C350&lt;&gt;""</formula>
    </cfRule>
  </conditionalFormatting>
  <conditionalFormatting sqref="S350:S354">
    <cfRule type="expression" dxfId="5747" priority="4984" stopIfTrue="1">
      <formula>$B350&lt;&gt;""</formula>
    </cfRule>
  </conditionalFormatting>
  <conditionalFormatting sqref="S350:S354">
    <cfRule type="expression" dxfId="5746" priority="4983" stopIfTrue="1">
      <formula>$C350&lt;&gt;""</formula>
    </cfRule>
  </conditionalFormatting>
  <conditionalFormatting sqref="S350:S353">
    <cfRule type="expression" dxfId="5745" priority="4982" stopIfTrue="1">
      <formula>$B350&lt;&gt;""</formula>
    </cfRule>
  </conditionalFormatting>
  <conditionalFormatting sqref="S350:S353">
    <cfRule type="expression" dxfId="5744" priority="4981" stopIfTrue="1">
      <formula>$C350&lt;&gt;""</formula>
    </cfRule>
  </conditionalFormatting>
  <conditionalFormatting sqref="S354">
    <cfRule type="expression" dxfId="5743" priority="4980" stopIfTrue="1">
      <formula>$B354&lt;&gt;""</formula>
    </cfRule>
  </conditionalFormatting>
  <conditionalFormatting sqref="S354">
    <cfRule type="expression" dxfId="5742" priority="4979" stopIfTrue="1">
      <formula>$C354&lt;&gt;""</formula>
    </cfRule>
  </conditionalFormatting>
  <conditionalFormatting sqref="S350:S352">
    <cfRule type="expression" dxfId="5741" priority="4978" stopIfTrue="1">
      <formula>$B350&lt;&gt;""</formula>
    </cfRule>
  </conditionalFormatting>
  <conditionalFormatting sqref="S350:S352">
    <cfRule type="expression" dxfId="5740" priority="4977" stopIfTrue="1">
      <formula>$C350&lt;&gt;""</formula>
    </cfRule>
  </conditionalFormatting>
  <conditionalFormatting sqref="S353:S354">
    <cfRule type="expression" dxfId="5739" priority="4976" stopIfTrue="1">
      <formula>$B353&lt;&gt;""</formula>
    </cfRule>
  </conditionalFormatting>
  <conditionalFormatting sqref="S353:S354">
    <cfRule type="expression" dxfId="5738" priority="4975" stopIfTrue="1">
      <formula>$C353&lt;&gt;""</formula>
    </cfRule>
  </conditionalFormatting>
  <conditionalFormatting sqref="S350:S353">
    <cfRule type="expression" dxfId="5737" priority="4974" stopIfTrue="1">
      <formula>$B350&lt;&gt;""</formula>
    </cfRule>
  </conditionalFormatting>
  <conditionalFormatting sqref="S350:S353">
    <cfRule type="expression" dxfId="5736" priority="4973" stopIfTrue="1">
      <formula>$C350&lt;&gt;""</formula>
    </cfRule>
  </conditionalFormatting>
  <conditionalFormatting sqref="S350:S353">
    <cfRule type="expression" dxfId="5735" priority="4972" stopIfTrue="1">
      <formula>$B350&lt;&gt;""</formula>
    </cfRule>
  </conditionalFormatting>
  <conditionalFormatting sqref="S350:S353">
    <cfRule type="expression" dxfId="5734" priority="4971" stopIfTrue="1">
      <formula>$C350&lt;&gt;""</formula>
    </cfRule>
  </conditionalFormatting>
  <conditionalFormatting sqref="S354">
    <cfRule type="expression" dxfId="5733" priority="4970" stopIfTrue="1">
      <formula>$B354&lt;&gt;""</formula>
    </cfRule>
  </conditionalFormatting>
  <conditionalFormatting sqref="S354">
    <cfRule type="expression" dxfId="5732" priority="4969" stopIfTrue="1">
      <formula>$C354&lt;&gt;""</formula>
    </cfRule>
  </conditionalFormatting>
  <conditionalFormatting sqref="S350:S353">
    <cfRule type="expression" dxfId="5731" priority="4968" stopIfTrue="1">
      <formula>$B350&lt;&gt;""</formula>
    </cfRule>
  </conditionalFormatting>
  <conditionalFormatting sqref="S350:S353">
    <cfRule type="expression" dxfId="5730" priority="4967" stopIfTrue="1">
      <formula>$C350&lt;&gt;""</formula>
    </cfRule>
  </conditionalFormatting>
  <conditionalFormatting sqref="S354">
    <cfRule type="expression" dxfId="5729" priority="4966" stopIfTrue="1">
      <formula>$B354&lt;&gt;""</formula>
    </cfRule>
  </conditionalFormatting>
  <conditionalFormatting sqref="S354">
    <cfRule type="expression" dxfId="5728" priority="4965" stopIfTrue="1">
      <formula>$C354&lt;&gt;""</formula>
    </cfRule>
  </conditionalFormatting>
  <conditionalFormatting sqref="S354">
    <cfRule type="expression" dxfId="5727" priority="4964" stopIfTrue="1">
      <formula>$B354&lt;&gt;""</formula>
    </cfRule>
  </conditionalFormatting>
  <conditionalFormatting sqref="S354">
    <cfRule type="expression" dxfId="5726" priority="4963" stopIfTrue="1">
      <formula>$C354&lt;&gt;""</formula>
    </cfRule>
  </conditionalFormatting>
  <conditionalFormatting sqref="S350">
    <cfRule type="expression" dxfId="5725" priority="4962" stopIfTrue="1">
      <formula>$C350&lt;&gt;""</formula>
    </cfRule>
  </conditionalFormatting>
  <conditionalFormatting sqref="S350">
    <cfRule type="expression" dxfId="5724" priority="4961" stopIfTrue="1">
      <formula>$B350&lt;&gt;""</formula>
    </cfRule>
  </conditionalFormatting>
  <conditionalFormatting sqref="S351:S354">
    <cfRule type="expression" dxfId="5723" priority="4960" stopIfTrue="1">
      <formula>$C351&lt;&gt;""</formula>
    </cfRule>
  </conditionalFormatting>
  <conditionalFormatting sqref="S351:S354">
    <cfRule type="expression" dxfId="5722" priority="4959" stopIfTrue="1">
      <formula>$B351&lt;&gt;""</formula>
    </cfRule>
  </conditionalFormatting>
  <conditionalFormatting sqref="S353:S354">
    <cfRule type="expression" dxfId="5721" priority="4958" stopIfTrue="1">
      <formula>$C353&lt;&gt;""</formula>
    </cfRule>
  </conditionalFormatting>
  <conditionalFormatting sqref="S353:S354">
    <cfRule type="expression" dxfId="5720" priority="4957" stopIfTrue="1">
      <formula>$B353&lt;&gt;""</formula>
    </cfRule>
  </conditionalFormatting>
  <conditionalFormatting sqref="S350:S353">
    <cfRule type="expression" dxfId="5719" priority="4956" stopIfTrue="1">
      <formula>$B350&lt;&gt;""</formula>
    </cfRule>
  </conditionalFormatting>
  <conditionalFormatting sqref="S350:S353">
    <cfRule type="expression" dxfId="5718" priority="4955" stopIfTrue="1">
      <formula>$C350&lt;&gt;""</formula>
    </cfRule>
  </conditionalFormatting>
  <conditionalFormatting sqref="S354">
    <cfRule type="expression" dxfId="5717" priority="4954" stopIfTrue="1">
      <formula>$B354&lt;&gt;""</formula>
    </cfRule>
  </conditionalFormatting>
  <conditionalFormatting sqref="S354">
    <cfRule type="expression" dxfId="5716" priority="4953" stopIfTrue="1">
      <formula>$C354&lt;&gt;""</formula>
    </cfRule>
  </conditionalFormatting>
  <conditionalFormatting sqref="S350:S352">
    <cfRule type="expression" dxfId="5715" priority="4952" stopIfTrue="1">
      <formula>$B350&lt;&gt;""</formula>
    </cfRule>
  </conditionalFormatting>
  <conditionalFormatting sqref="S350:S352">
    <cfRule type="expression" dxfId="5714" priority="4951" stopIfTrue="1">
      <formula>$C350&lt;&gt;""</formula>
    </cfRule>
  </conditionalFormatting>
  <conditionalFormatting sqref="S353:S354">
    <cfRule type="expression" dxfId="5713" priority="4950" stopIfTrue="1">
      <formula>$B353&lt;&gt;""</formula>
    </cfRule>
  </conditionalFormatting>
  <conditionalFormatting sqref="S353:S354">
    <cfRule type="expression" dxfId="5712" priority="4949" stopIfTrue="1">
      <formula>$C353&lt;&gt;""</formula>
    </cfRule>
  </conditionalFormatting>
  <conditionalFormatting sqref="S350:S353">
    <cfRule type="expression" dxfId="5711" priority="4948" stopIfTrue="1">
      <formula>$B350&lt;&gt;""</formula>
    </cfRule>
  </conditionalFormatting>
  <conditionalFormatting sqref="S350:S353">
    <cfRule type="expression" dxfId="5710" priority="4947" stopIfTrue="1">
      <formula>$C350&lt;&gt;""</formula>
    </cfRule>
  </conditionalFormatting>
  <conditionalFormatting sqref="S350:S353">
    <cfRule type="expression" dxfId="5709" priority="4946" stopIfTrue="1">
      <formula>$B350&lt;&gt;""</formula>
    </cfRule>
  </conditionalFormatting>
  <conditionalFormatting sqref="S350:S353">
    <cfRule type="expression" dxfId="5708" priority="4945" stopIfTrue="1">
      <formula>$C350&lt;&gt;""</formula>
    </cfRule>
  </conditionalFormatting>
  <conditionalFormatting sqref="S354">
    <cfRule type="expression" dxfId="5707" priority="4944" stopIfTrue="1">
      <formula>$B354&lt;&gt;""</formula>
    </cfRule>
  </conditionalFormatting>
  <conditionalFormatting sqref="S354">
    <cfRule type="expression" dxfId="5706" priority="4943" stopIfTrue="1">
      <formula>$C354&lt;&gt;""</formula>
    </cfRule>
  </conditionalFormatting>
  <conditionalFormatting sqref="S350:S353">
    <cfRule type="expression" dxfId="5705" priority="4942" stopIfTrue="1">
      <formula>$B350&lt;&gt;""</formula>
    </cfRule>
  </conditionalFormatting>
  <conditionalFormatting sqref="S350:S353">
    <cfRule type="expression" dxfId="5704" priority="4941" stopIfTrue="1">
      <formula>$C350&lt;&gt;""</formula>
    </cfRule>
  </conditionalFormatting>
  <conditionalFormatting sqref="S354">
    <cfRule type="expression" dxfId="5703" priority="4940" stopIfTrue="1">
      <formula>$B354&lt;&gt;""</formula>
    </cfRule>
  </conditionalFormatting>
  <conditionalFormatting sqref="S354">
    <cfRule type="expression" dxfId="5702" priority="4939" stopIfTrue="1">
      <formula>$C354&lt;&gt;""</formula>
    </cfRule>
  </conditionalFormatting>
  <conditionalFormatting sqref="S354">
    <cfRule type="expression" dxfId="5701" priority="4938" stopIfTrue="1">
      <formula>$B354&lt;&gt;""</formula>
    </cfRule>
  </conditionalFormatting>
  <conditionalFormatting sqref="S354">
    <cfRule type="expression" dxfId="5700" priority="4937" stopIfTrue="1">
      <formula>$C354&lt;&gt;""</formula>
    </cfRule>
  </conditionalFormatting>
  <conditionalFormatting sqref="S350">
    <cfRule type="expression" dxfId="5699" priority="4936" stopIfTrue="1">
      <formula>$C350&lt;&gt;""</formula>
    </cfRule>
  </conditionalFormatting>
  <conditionalFormatting sqref="S350">
    <cfRule type="expression" dxfId="5698" priority="4935" stopIfTrue="1">
      <formula>$B350&lt;&gt;""</formula>
    </cfRule>
  </conditionalFormatting>
  <conditionalFormatting sqref="S351:S354">
    <cfRule type="expression" dxfId="5697" priority="4934" stopIfTrue="1">
      <formula>$C351&lt;&gt;""</formula>
    </cfRule>
  </conditionalFormatting>
  <conditionalFormatting sqref="S351:S354">
    <cfRule type="expression" dxfId="5696" priority="4933" stopIfTrue="1">
      <formula>$B351&lt;&gt;""</formula>
    </cfRule>
  </conditionalFormatting>
  <conditionalFormatting sqref="S353:S354">
    <cfRule type="expression" dxfId="5695" priority="4932" stopIfTrue="1">
      <formula>$C353&lt;&gt;""</formula>
    </cfRule>
  </conditionalFormatting>
  <conditionalFormatting sqref="S353:S354">
    <cfRule type="expression" dxfId="5694" priority="4931" stopIfTrue="1">
      <formula>$B353&lt;&gt;""</formula>
    </cfRule>
  </conditionalFormatting>
  <conditionalFormatting sqref="S350">
    <cfRule type="expression" dxfId="5693" priority="4930" stopIfTrue="1">
      <formula>$B350&lt;&gt;""</formula>
    </cfRule>
  </conditionalFormatting>
  <conditionalFormatting sqref="S350">
    <cfRule type="expression" dxfId="5692" priority="4929" stopIfTrue="1">
      <formula>$C350&lt;&gt;""</formula>
    </cfRule>
  </conditionalFormatting>
  <conditionalFormatting sqref="S350">
    <cfRule type="expression" dxfId="5691" priority="4928" stopIfTrue="1">
      <formula>$B350&lt;&gt;""</formula>
    </cfRule>
  </conditionalFormatting>
  <conditionalFormatting sqref="S350">
    <cfRule type="expression" dxfId="5690" priority="4927" stopIfTrue="1">
      <formula>$C350&lt;&gt;""</formula>
    </cfRule>
  </conditionalFormatting>
  <conditionalFormatting sqref="S350">
    <cfRule type="expression" dxfId="5689" priority="4926" stopIfTrue="1">
      <formula>$B350&lt;&gt;""</formula>
    </cfRule>
  </conditionalFormatting>
  <conditionalFormatting sqref="S350">
    <cfRule type="expression" dxfId="5688" priority="4925" stopIfTrue="1">
      <formula>$C350&lt;&gt;""</formula>
    </cfRule>
  </conditionalFormatting>
  <conditionalFormatting sqref="S350">
    <cfRule type="expression" dxfId="5687" priority="4924" stopIfTrue="1">
      <formula>$B350&lt;&gt;""</formula>
    </cfRule>
  </conditionalFormatting>
  <conditionalFormatting sqref="S350">
    <cfRule type="expression" dxfId="5686" priority="4923" stopIfTrue="1">
      <formula>$C350&lt;&gt;""</formula>
    </cfRule>
  </conditionalFormatting>
  <conditionalFormatting sqref="S350">
    <cfRule type="expression" dxfId="5685" priority="4922" stopIfTrue="1">
      <formula>$B350&lt;&gt;""</formula>
    </cfRule>
  </conditionalFormatting>
  <conditionalFormatting sqref="S350">
    <cfRule type="expression" dxfId="5684" priority="4921" stopIfTrue="1">
      <formula>$C350&lt;&gt;""</formula>
    </cfRule>
  </conditionalFormatting>
  <conditionalFormatting sqref="S350">
    <cfRule type="expression" dxfId="5683" priority="4920" stopIfTrue="1">
      <formula>$B350&lt;&gt;""</formula>
    </cfRule>
  </conditionalFormatting>
  <conditionalFormatting sqref="S350">
    <cfRule type="expression" dxfId="5682" priority="4919" stopIfTrue="1">
      <formula>$C350&lt;&gt;""</formula>
    </cfRule>
  </conditionalFormatting>
  <conditionalFormatting sqref="S350">
    <cfRule type="expression" dxfId="5681" priority="4918" stopIfTrue="1">
      <formula>$B350&lt;&gt;""</formula>
    </cfRule>
  </conditionalFormatting>
  <conditionalFormatting sqref="S350">
    <cfRule type="expression" dxfId="5680" priority="4917" stopIfTrue="1">
      <formula>$C350&lt;&gt;""</formula>
    </cfRule>
  </conditionalFormatting>
  <conditionalFormatting sqref="S350">
    <cfRule type="expression" dxfId="5679" priority="4916" stopIfTrue="1">
      <formula>$B350&lt;&gt;""</formula>
    </cfRule>
  </conditionalFormatting>
  <conditionalFormatting sqref="S350">
    <cfRule type="expression" dxfId="5678" priority="4915" stopIfTrue="1">
      <formula>$C350&lt;&gt;""</formula>
    </cfRule>
  </conditionalFormatting>
  <conditionalFormatting sqref="S350">
    <cfRule type="expression" dxfId="5677" priority="4914" stopIfTrue="1">
      <formula>$B350&lt;&gt;""</formula>
    </cfRule>
  </conditionalFormatting>
  <conditionalFormatting sqref="S350">
    <cfRule type="expression" dxfId="5676" priority="4913" stopIfTrue="1">
      <formula>$C350&lt;&gt;""</formula>
    </cfRule>
  </conditionalFormatting>
  <conditionalFormatting sqref="S350">
    <cfRule type="expression" dxfId="5675" priority="4912" stopIfTrue="1">
      <formula>$B350&lt;&gt;""</formula>
    </cfRule>
  </conditionalFormatting>
  <conditionalFormatting sqref="S350">
    <cfRule type="expression" dxfId="5674" priority="4911" stopIfTrue="1">
      <formula>$C350&lt;&gt;""</formula>
    </cfRule>
  </conditionalFormatting>
  <conditionalFormatting sqref="S350">
    <cfRule type="expression" dxfId="5673" priority="4910" stopIfTrue="1">
      <formula>$B350&lt;&gt;""</formula>
    </cfRule>
  </conditionalFormatting>
  <conditionalFormatting sqref="S350">
    <cfRule type="expression" dxfId="5672" priority="4909" stopIfTrue="1">
      <formula>$C350&lt;&gt;""</formula>
    </cfRule>
  </conditionalFormatting>
  <conditionalFormatting sqref="S350">
    <cfRule type="expression" dxfId="5671" priority="4908" stopIfTrue="1">
      <formula>$B350&lt;&gt;""</formula>
    </cfRule>
  </conditionalFormatting>
  <conditionalFormatting sqref="S350">
    <cfRule type="expression" dxfId="5670" priority="4907" stopIfTrue="1">
      <formula>$C350&lt;&gt;""</formula>
    </cfRule>
  </conditionalFormatting>
  <conditionalFormatting sqref="S350">
    <cfRule type="expression" dxfId="5669" priority="4906" stopIfTrue="1">
      <formula>$B350&lt;&gt;""</formula>
    </cfRule>
  </conditionalFormatting>
  <conditionalFormatting sqref="S350">
    <cfRule type="expression" dxfId="5668" priority="4905" stopIfTrue="1">
      <formula>$C350&lt;&gt;""</formula>
    </cfRule>
  </conditionalFormatting>
  <conditionalFormatting sqref="S350">
    <cfRule type="expression" dxfId="5667" priority="4904" stopIfTrue="1">
      <formula>$B350&lt;&gt;""</formula>
    </cfRule>
  </conditionalFormatting>
  <conditionalFormatting sqref="S350">
    <cfRule type="expression" dxfId="5666" priority="4903" stopIfTrue="1">
      <formula>$C350&lt;&gt;""</formula>
    </cfRule>
  </conditionalFormatting>
  <conditionalFormatting sqref="S350">
    <cfRule type="expression" dxfId="5665" priority="4902" stopIfTrue="1">
      <formula>$C350&lt;&gt;""</formula>
    </cfRule>
  </conditionalFormatting>
  <conditionalFormatting sqref="S350">
    <cfRule type="expression" dxfId="5664" priority="4901" stopIfTrue="1">
      <formula>$B350&lt;&gt;""</formula>
    </cfRule>
  </conditionalFormatting>
  <conditionalFormatting sqref="S350">
    <cfRule type="expression" dxfId="5663" priority="4900" stopIfTrue="1">
      <formula>$C350&lt;&gt;""</formula>
    </cfRule>
  </conditionalFormatting>
  <conditionalFormatting sqref="S350">
    <cfRule type="expression" dxfId="5662" priority="4899" stopIfTrue="1">
      <formula>$B350&lt;&gt;""</formula>
    </cfRule>
  </conditionalFormatting>
  <conditionalFormatting sqref="S350">
    <cfRule type="expression" dxfId="5661" priority="4898" stopIfTrue="1">
      <formula>$B350&lt;&gt;""</formula>
    </cfRule>
  </conditionalFormatting>
  <conditionalFormatting sqref="S350">
    <cfRule type="expression" dxfId="5660" priority="4897" stopIfTrue="1">
      <formula>$C350&lt;&gt;""</formula>
    </cfRule>
  </conditionalFormatting>
  <conditionalFormatting sqref="S350">
    <cfRule type="expression" dxfId="5659" priority="4896" stopIfTrue="1">
      <formula>$B350&lt;&gt;""</formula>
    </cfRule>
  </conditionalFormatting>
  <conditionalFormatting sqref="S350">
    <cfRule type="expression" dxfId="5658" priority="4895" stopIfTrue="1">
      <formula>$C350&lt;&gt;""</formula>
    </cfRule>
  </conditionalFormatting>
  <conditionalFormatting sqref="S350">
    <cfRule type="expression" dxfId="5657" priority="4894" stopIfTrue="1">
      <formula>$B350&lt;&gt;""</formula>
    </cfRule>
  </conditionalFormatting>
  <conditionalFormatting sqref="S350">
    <cfRule type="expression" dxfId="5656" priority="4893" stopIfTrue="1">
      <formula>$C350&lt;&gt;""</formula>
    </cfRule>
  </conditionalFormatting>
  <conditionalFormatting sqref="S350">
    <cfRule type="expression" dxfId="5655" priority="4892" stopIfTrue="1">
      <formula>$B350&lt;&gt;""</formula>
    </cfRule>
  </conditionalFormatting>
  <conditionalFormatting sqref="S350">
    <cfRule type="expression" dxfId="5654" priority="4891" stopIfTrue="1">
      <formula>$C350&lt;&gt;""</formula>
    </cfRule>
  </conditionalFormatting>
  <conditionalFormatting sqref="S350">
    <cfRule type="expression" dxfId="5653" priority="4890" stopIfTrue="1">
      <formula>$B350&lt;&gt;""</formula>
    </cfRule>
  </conditionalFormatting>
  <conditionalFormatting sqref="S350">
    <cfRule type="expression" dxfId="5652" priority="4889" stopIfTrue="1">
      <formula>$C350&lt;&gt;""</formula>
    </cfRule>
  </conditionalFormatting>
  <conditionalFormatting sqref="S350">
    <cfRule type="expression" dxfId="5651" priority="4888" stopIfTrue="1">
      <formula>$C350&lt;&gt;""</formula>
    </cfRule>
  </conditionalFormatting>
  <conditionalFormatting sqref="S350">
    <cfRule type="expression" dxfId="5650" priority="4887" stopIfTrue="1">
      <formula>$B350&lt;&gt;""</formula>
    </cfRule>
  </conditionalFormatting>
  <conditionalFormatting sqref="S350">
    <cfRule type="expression" dxfId="5649" priority="4886" stopIfTrue="1">
      <formula>$C350&lt;&gt;""</formula>
    </cfRule>
  </conditionalFormatting>
  <conditionalFormatting sqref="S350">
    <cfRule type="expression" dxfId="5648" priority="4885" stopIfTrue="1">
      <formula>$B350&lt;&gt;""</formula>
    </cfRule>
  </conditionalFormatting>
  <conditionalFormatting sqref="S350">
    <cfRule type="expression" dxfId="5647" priority="4884" stopIfTrue="1">
      <formula>$B350&lt;&gt;""</formula>
    </cfRule>
  </conditionalFormatting>
  <conditionalFormatting sqref="S350">
    <cfRule type="expression" dxfId="5646" priority="4883" stopIfTrue="1">
      <formula>$C350&lt;&gt;""</formula>
    </cfRule>
  </conditionalFormatting>
  <conditionalFormatting sqref="S351">
    <cfRule type="expression" dxfId="5645" priority="4882" stopIfTrue="1">
      <formula>$B351&lt;&gt;""</formula>
    </cfRule>
  </conditionalFormatting>
  <conditionalFormatting sqref="S351">
    <cfRule type="expression" dxfId="5644" priority="4881" stopIfTrue="1">
      <formula>$C351&lt;&gt;""</formula>
    </cfRule>
  </conditionalFormatting>
  <conditionalFormatting sqref="S350">
    <cfRule type="expression" dxfId="5643" priority="4880" stopIfTrue="1">
      <formula>$B350&lt;&gt;""</formula>
    </cfRule>
  </conditionalFormatting>
  <conditionalFormatting sqref="S350">
    <cfRule type="expression" dxfId="5642" priority="4879" stopIfTrue="1">
      <formula>$C350&lt;&gt;""</formula>
    </cfRule>
  </conditionalFormatting>
  <conditionalFormatting sqref="S351:S354">
    <cfRule type="expression" dxfId="5641" priority="4878" stopIfTrue="1">
      <formula>$B351&lt;&gt;""</formula>
    </cfRule>
  </conditionalFormatting>
  <conditionalFormatting sqref="S351:S354">
    <cfRule type="expression" dxfId="5640" priority="4877" stopIfTrue="1">
      <formula>$C351&lt;&gt;""</formula>
    </cfRule>
  </conditionalFormatting>
  <conditionalFormatting sqref="S350">
    <cfRule type="expression" dxfId="5639" priority="4876" stopIfTrue="1">
      <formula>$B350&lt;&gt;""</formula>
    </cfRule>
  </conditionalFormatting>
  <conditionalFormatting sqref="S350">
    <cfRule type="expression" dxfId="5638" priority="4875" stopIfTrue="1">
      <formula>$C350&lt;&gt;""</formula>
    </cfRule>
  </conditionalFormatting>
  <conditionalFormatting sqref="S351:S354">
    <cfRule type="expression" dxfId="5637" priority="4874" stopIfTrue="1">
      <formula>$B351&lt;&gt;""</formula>
    </cfRule>
  </conditionalFormatting>
  <conditionalFormatting sqref="S351:S354">
    <cfRule type="expression" dxfId="5636" priority="4873" stopIfTrue="1">
      <formula>$C351&lt;&gt;""</formula>
    </cfRule>
  </conditionalFormatting>
  <conditionalFormatting sqref="S350:S354">
    <cfRule type="expression" dxfId="5635" priority="4872" stopIfTrue="1">
      <formula>$B350&lt;&gt;""</formula>
    </cfRule>
  </conditionalFormatting>
  <conditionalFormatting sqref="S350:S354">
    <cfRule type="expression" dxfId="5634" priority="4871" stopIfTrue="1">
      <formula>$C350&lt;&gt;""</formula>
    </cfRule>
  </conditionalFormatting>
  <conditionalFormatting sqref="S350:S354">
    <cfRule type="expression" dxfId="5633" priority="4870" stopIfTrue="1">
      <formula>$B350&lt;&gt;""</formula>
    </cfRule>
  </conditionalFormatting>
  <conditionalFormatting sqref="S350:S354">
    <cfRule type="expression" dxfId="5632" priority="4869" stopIfTrue="1">
      <formula>$C350&lt;&gt;""</formula>
    </cfRule>
  </conditionalFormatting>
  <conditionalFormatting sqref="S350:S354">
    <cfRule type="expression" dxfId="5631" priority="4868" stopIfTrue="1">
      <formula>$B350&lt;&gt;""</formula>
    </cfRule>
  </conditionalFormatting>
  <conditionalFormatting sqref="S350:S354">
    <cfRule type="expression" dxfId="5630" priority="4867" stopIfTrue="1">
      <formula>$C350&lt;&gt;""</formula>
    </cfRule>
  </conditionalFormatting>
  <conditionalFormatting sqref="S350:S354">
    <cfRule type="expression" dxfId="5629" priority="4866" stopIfTrue="1">
      <formula>$B350&lt;&gt;""</formula>
    </cfRule>
  </conditionalFormatting>
  <conditionalFormatting sqref="S350:S354">
    <cfRule type="expression" dxfId="5628" priority="4865" stopIfTrue="1">
      <formula>$C350&lt;&gt;""</formula>
    </cfRule>
  </conditionalFormatting>
  <conditionalFormatting sqref="S350:S354">
    <cfRule type="expression" dxfId="5627" priority="4864" stopIfTrue="1">
      <formula>$B350&lt;&gt;""</formula>
    </cfRule>
  </conditionalFormatting>
  <conditionalFormatting sqref="S350:S354">
    <cfRule type="expression" dxfId="5626" priority="4863" stopIfTrue="1">
      <formula>$C350&lt;&gt;""</formula>
    </cfRule>
  </conditionalFormatting>
  <conditionalFormatting sqref="S350:S354">
    <cfRule type="expression" dxfId="5625" priority="4862" stopIfTrue="1">
      <formula>$B350&lt;&gt;""</formula>
    </cfRule>
  </conditionalFormatting>
  <conditionalFormatting sqref="S350:S354">
    <cfRule type="expression" dxfId="5624" priority="4861" stopIfTrue="1">
      <formula>$C350&lt;&gt;""</formula>
    </cfRule>
  </conditionalFormatting>
  <conditionalFormatting sqref="S350:S354">
    <cfRule type="expression" dxfId="5623" priority="4860" stopIfTrue="1">
      <formula>$B350&lt;&gt;""</formula>
    </cfRule>
  </conditionalFormatting>
  <conditionalFormatting sqref="S350:S354">
    <cfRule type="expression" dxfId="5622" priority="4859" stopIfTrue="1">
      <formula>$C350&lt;&gt;""</formula>
    </cfRule>
  </conditionalFormatting>
  <conditionalFormatting sqref="S350:S353">
    <cfRule type="expression" dxfId="5621" priority="4858" stopIfTrue="1">
      <formula>$B350&lt;&gt;""</formula>
    </cfRule>
  </conditionalFormatting>
  <conditionalFormatting sqref="S350:S353">
    <cfRule type="expression" dxfId="5620" priority="4857" stopIfTrue="1">
      <formula>$C350&lt;&gt;""</formula>
    </cfRule>
  </conditionalFormatting>
  <conditionalFormatting sqref="S354">
    <cfRule type="expression" dxfId="5619" priority="4856" stopIfTrue="1">
      <formula>$B354&lt;&gt;""</formula>
    </cfRule>
  </conditionalFormatting>
  <conditionalFormatting sqref="S354">
    <cfRule type="expression" dxfId="5618" priority="4855" stopIfTrue="1">
      <formula>$C354&lt;&gt;""</formula>
    </cfRule>
  </conditionalFormatting>
  <conditionalFormatting sqref="S350:S352">
    <cfRule type="expression" dxfId="5617" priority="4854" stopIfTrue="1">
      <formula>$B350&lt;&gt;""</formula>
    </cfRule>
  </conditionalFormatting>
  <conditionalFormatting sqref="S350:S352">
    <cfRule type="expression" dxfId="5616" priority="4853" stopIfTrue="1">
      <formula>$C350&lt;&gt;""</formula>
    </cfRule>
  </conditionalFormatting>
  <conditionalFormatting sqref="S353:S354">
    <cfRule type="expression" dxfId="5615" priority="4852" stopIfTrue="1">
      <formula>$B353&lt;&gt;""</formula>
    </cfRule>
  </conditionalFormatting>
  <conditionalFormatting sqref="S353:S354">
    <cfRule type="expression" dxfId="5614" priority="4851" stopIfTrue="1">
      <formula>$C353&lt;&gt;""</formula>
    </cfRule>
  </conditionalFormatting>
  <conditionalFormatting sqref="S350:S353">
    <cfRule type="expression" dxfId="5613" priority="4850" stopIfTrue="1">
      <formula>$B350&lt;&gt;""</formula>
    </cfRule>
  </conditionalFormatting>
  <conditionalFormatting sqref="S350:S353">
    <cfRule type="expression" dxfId="5612" priority="4849" stopIfTrue="1">
      <formula>$C350&lt;&gt;""</formula>
    </cfRule>
  </conditionalFormatting>
  <conditionalFormatting sqref="S350:S353">
    <cfRule type="expression" dxfId="5611" priority="4848" stopIfTrue="1">
      <formula>$B350&lt;&gt;""</formula>
    </cfRule>
  </conditionalFormatting>
  <conditionalFormatting sqref="S350:S353">
    <cfRule type="expression" dxfId="5610" priority="4847" stopIfTrue="1">
      <formula>$C350&lt;&gt;""</formula>
    </cfRule>
  </conditionalFormatting>
  <conditionalFormatting sqref="S354">
    <cfRule type="expression" dxfId="5609" priority="4846" stopIfTrue="1">
      <formula>$B354&lt;&gt;""</formula>
    </cfRule>
  </conditionalFormatting>
  <conditionalFormatting sqref="S354">
    <cfRule type="expression" dxfId="5608" priority="4845" stopIfTrue="1">
      <formula>$C354&lt;&gt;""</formula>
    </cfRule>
  </conditionalFormatting>
  <conditionalFormatting sqref="S350:S353">
    <cfRule type="expression" dxfId="5607" priority="4844" stopIfTrue="1">
      <formula>$B350&lt;&gt;""</formula>
    </cfRule>
  </conditionalFormatting>
  <conditionalFormatting sqref="S350:S353">
    <cfRule type="expression" dxfId="5606" priority="4843" stopIfTrue="1">
      <formula>$C350&lt;&gt;""</formula>
    </cfRule>
  </conditionalFormatting>
  <conditionalFormatting sqref="S354">
    <cfRule type="expression" dxfId="5605" priority="4842" stopIfTrue="1">
      <formula>$B354&lt;&gt;""</formula>
    </cfRule>
  </conditionalFormatting>
  <conditionalFormatting sqref="S354">
    <cfRule type="expression" dxfId="5604" priority="4841" stopIfTrue="1">
      <formula>$C354&lt;&gt;""</formula>
    </cfRule>
  </conditionalFormatting>
  <conditionalFormatting sqref="S354">
    <cfRule type="expression" dxfId="5603" priority="4840" stopIfTrue="1">
      <formula>$B354&lt;&gt;""</formula>
    </cfRule>
  </conditionalFormatting>
  <conditionalFormatting sqref="S354">
    <cfRule type="expression" dxfId="5602" priority="4839" stopIfTrue="1">
      <formula>$C354&lt;&gt;""</formula>
    </cfRule>
  </conditionalFormatting>
  <conditionalFormatting sqref="S350">
    <cfRule type="expression" dxfId="5601" priority="4838" stopIfTrue="1">
      <formula>$C350&lt;&gt;""</formula>
    </cfRule>
  </conditionalFormatting>
  <conditionalFormatting sqref="S350">
    <cfRule type="expression" dxfId="5600" priority="4837" stopIfTrue="1">
      <formula>$B350&lt;&gt;""</formula>
    </cfRule>
  </conditionalFormatting>
  <conditionalFormatting sqref="S351:S354">
    <cfRule type="expression" dxfId="5599" priority="4836" stopIfTrue="1">
      <formula>$C351&lt;&gt;""</formula>
    </cfRule>
  </conditionalFormatting>
  <conditionalFormatting sqref="S351:S354">
    <cfRule type="expression" dxfId="5598" priority="4835" stopIfTrue="1">
      <formula>$B351&lt;&gt;""</formula>
    </cfRule>
  </conditionalFormatting>
  <conditionalFormatting sqref="S353:S354">
    <cfRule type="expression" dxfId="5597" priority="4834" stopIfTrue="1">
      <formula>$C353&lt;&gt;""</formula>
    </cfRule>
  </conditionalFormatting>
  <conditionalFormatting sqref="S353:S354">
    <cfRule type="expression" dxfId="5596" priority="4833" stopIfTrue="1">
      <formula>$B353&lt;&gt;""</formula>
    </cfRule>
  </conditionalFormatting>
  <conditionalFormatting sqref="S350:S353">
    <cfRule type="expression" dxfId="5595" priority="4832" stopIfTrue="1">
      <formula>$B350&lt;&gt;""</formula>
    </cfRule>
  </conditionalFormatting>
  <conditionalFormatting sqref="S350:S353">
    <cfRule type="expression" dxfId="5594" priority="4831" stopIfTrue="1">
      <formula>$C350&lt;&gt;""</formula>
    </cfRule>
  </conditionalFormatting>
  <conditionalFormatting sqref="S354">
    <cfRule type="expression" dxfId="5593" priority="4830" stopIfTrue="1">
      <formula>$B354&lt;&gt;""</formula>
    </cfRule>
  </conditionalFormatting>
  <conditionalFormatting sqref="S354">
    <cfRule type="expression" dxfId="5592" priority="4829" stopIfTrue="1">
      <formula>$C354&lt;&gt;""</formula>
    </cfRule>
  </conditionalFormatting>
  <conditionalFormatting sqref="S350:S352">
    <cfRule type="expression" dxfId="5591" priority="4828" stopIfTrue="1">
      <formula>$B350&lt;&gt;""</formula>
    </cfRule>
  </conditionalFormatting>
  <conditionalFormatting sqref="S350:S352">
    <cfRule type="expression" dxfId="5590" priority="4827" stopIfTrue="1">
      <formula>$C350&lt;&gt;""</formula>
    </cfRule>
  </conditionalFormatting>
  <conditionalFormatting sqref="S353:S354">
    <cfRule type="expression" dxfId="5589" priority="4826" stopIfTrue="1">
      <formula>$B353&lt;&gt;""</formula>
    </cfRule>
  </conditionalFormatting>
  <conditionalFormatting sqref="S353:S354">
    <cfRule type="expression" dxfId="5588" priority="4825" stopIfTrue="1">
      <formula>$C353&lt;&gt;""</formula>
    </cfRule>
  </conditionalFormatting>
  <conditionalFormatting sqref="S350:S353">
    <cfRule type="expression" dxfId="5587" priority="4824" stopIfTrue="1">
      <formula>$B350&lt;&gt;""</formula>
    </cfRule>
  </conditionalFormatting>
  <conditionalFormatting sqref="S350:S353">
    <cfRule type="expression" dxfId="5586" priority="4823" stopIfTrue="1">
      <formula>$C350&lt;&gt;""</formula>
    </cfRule>
  </conditionalFormatting>
  <conditionalFormatting sqref="S350:S353">
    <cfRule type="expression" dxfId="5585" priority="4822" stopIfTrue="1">
      <formula>$B350&lt;&gt;""</formula>
    </cfRule>
  </conditionalFormatting>
  <conditionalFormatting sqref="S350:S353">
    <cfRule type="expression" dxfId="5584" priority="4821" stopIfTrue="1">
      <formula>$C350&lt;&gt;""</formula>
    </cfRule>
  </conditionalFormatting>
  <conditionalFormatting sqref="S354">
    <cfRule type="expression" dxfId="5583" priority="4820" stopIfTrue="1">
      <formula>$B354&lt;&gt;""</formula>
    </cfRule>
  </conditionalFormatting>
  <conditionalFormatting sqref="S354">
    <cfRule type="expression" dxfId="5582" priority="4819" stopIfTrue="1">
      <formula>$C354&lt;&gt;""</formula>
    </cfRule>
  </conditionalFormatting>
  <conditionalFormatting sqref="S350:S353">
    <cfRule type="expression" dxfId="5581" priority="4818" stopIfTrue="1">
      <formula>$B350&lt;&gt;""</formula>
    </cfRule>
  </conditionalFormatting>
  <conditionalFormatting sqref="S350:S353">
    <cfRule type="expression" dxfId="5580" priority="4817" stopIfTrue="1">
      <formula>$C350&lt;&gt;""</formula>
    </cfRule>
  </conditionalFormatting>
  <conditionalFormatting sqref="S354">
    <cfRule type="expression" dxfId="5579" priority="4816" stopIfTrue="1">
      <formula>$B354&lt;&gt;""</formula>
    </cfRule>
  </conditionalFormatting>
  <conditionalFormatting sqref="S354">
    <cfRule type="expression" dxfId="5578" priority="4815" stopIfTrue="1">
      <formula>$C354&lt;&gt;""</formula>
    </cfRule>
  </conditionalFormatting>
  <conditionalFormatting sqref="S354">
    <cfRule type="expression" dxfId="5577" priority="4814" stopIfTrue="1">
      <formula>$B354&lt;&gt;""</formula>
    </cfRule>
  </conditionalFormatting>
  <conditionalFormatting sqref="S354">
    <cfRule type="expression" dxfId="5576" priority="4813" stopIfTrue="1">
      <formula>$C354&lt;&gt;""</formula>
    </cfRule>
  </conditionalFormatting>
  <conditionalFormatting sqref="S350">
    <cfRule type="expression" dxfId="5575" priority="4812" stopIfTrue="1">
      <formula>$C350&lt;&gt;""</formula>
    </cfRule>
  </conditionalFormatting>
  <conditionalFormatting sqref="S350">
    <cfRule type="expression" dxfId="5574" priority="4811" stopIfTrue="1">
      <formula>$B350&lt;&gt;""</formula>
    </cfRule>
  </conditionalFormatting>
  <conditionalFormatting sqref="S351:S354">
    <cfRule type="expression" dxfId="5573" priority="4810" stopIfTrue="1">
      <formula>$C351&lt;&gt;""</formula>
    </cfRule>
  </conditionalFormatting>
  <conditionalFormatting sqref="S351:S354">
    <cfRule type="expression" dxfId="5572" priority="4809" stopIfTrue="1">
      <formula>$B351&lt;&gt;""</formula>
    </cfRule>
  </conditionalFormatting>
  <conditionalFormatting sqref="S353:S354">
    <cfRule type="expression" dxfId="5571" priority="4808" stopIfTrue="1">
      <formula>$C353&lt;&gt;""</formula>
    </cfRule>
  </conditionalFormatting>
  <conditionalFormatting sqref="S353:S354">
    <cfRule type="expression" dxfId="5570" priority="4807" stopIfTrue="1">
      <formula>$B353&lt;&gt;""</formula>
    </cfRule>
  </conditionalFormatting>
  <conditionalFormatting sqref="S350">
    <cfRule type="expression" dxfId="5569" priority="4806" stopIfTrue="1">
      <formula>$B350&lt;&gt;""</formula>
    </cfRule>
  </conditionalFormatting>
  <conditionalFormatting sqref="S350">
    <cfRule type="expression" dxfId="5568" priority="4805" stopIfTrue="1">
      <formula>$C350&lt;&gt;""</formula>
    </cfRule>
  </conditionalFormatting>
  <conditionalFormatting sqref="S351">
    <cfRule type="expression" dxfId="5567" priority="4804" stopIfTrue="1">
      <formula>$B351&lt;&gt;""</formula>
    </cfRule>
  </conditionalFormatting>
  <conditionalFormatting sqref="S351">
    <cfRule type="expression" dxfId="5566" priority="4803" stopIfTrue="1">
      <formula>$C351&lt;&gt;""</formula>
    </cfRule>
  </conditionalFormatting>
  <conditionalFormatting sqref="S350">
    <cfRule type="expression" dxfId="5565" priority="4802" stopIfTrue="1">
      <formula>$B350&lt;&gt;""</formula>
    </cfRule>
  </conditionalFormatting>
  <conditionalFormatting sqref="S350">
    <cfRule type="expression" dxfId="5564" priority="4801" stopIfTrue="1">
      <formula>$C350&lt;&gt;""</formula>
    </cfRule>
  </conditionalFormatting>
  <conditionalFormatting sqref="S351:S354">
    <cfRule type="expression" dxfId="5563" priority="4800" stopIfTrue="1">
      <formula>$B351&lt;&gt;""</formula>
    </cfRule>
  </conditionalFormatting>
  <conditionalFormatting sqref="S351:S354">
    <cfRule type="expression" dxfId="5562" priority="4799" stopIfTrue="1">
      <formula>$C351&lt;&gt;""</formula>
    </cfRule>
  </conditionalFormatting>
  <conditionalFormatting sqref="S350">
    <cfRule type="expression" dxfId="5561" priority="4798" stopIfTrue="1">
      <formula>$B350&lt;&gt;""</formula>
    </cfRule>
  </conditionalFormatting>
  <conditionalFormatting sqref="S350">
    <cfRule type="expression" dxfId="5560" priority="4797" stopIfTrue="1">
      <formula>$C350&lt;&gt;""</formula>
    </cfRule>
  </conditionalFormatting>
  <conditionalFormatting sqref="S351:S354">
    <cfRule type="expression" dxfId="5559" priority="4796" stopIfTrue="1">
      <formula>$B351&lt;&gt;""</formula>
    </cfRule>
  </conditionalFormatting>
  <conditionalFormatting sqref="S351:S354">
    <cfRule type="expression" dxfId="5558" priority="4795" stopIfTrue="1">
      <formula>$C351&lt;&gt;""</formula>
    </cfRule>
  </conditionalFormatting>
  <conditionalFormatting sqref="S350:S354">
    <cfRule type="expression" dxfId="5557" priority="4794" stopIfTrue="1">
      <formula>$B350&lt;&gt;""</formula>
    </cfRule>
  </conditionalFormatting>
  <conditionalFormatting sqref="S350:S354">
    <cfRule type="expression" dxfId="5556" priority="4793" stopIfTrue="1">
      <formula>$C350&lt;&gt;""</formula>
    </cfRule>
  </conditionalFormatting>
  <conditionalFormatting sqref="S350:S354">
    <cfRule type="expression" dxfId="5555" priority="4792" stopIfTrue="1">
      <formula>$B350&lt;&gt;""</formula>
    </cfRule>
  </conditionalFormatting>
  <conditionalFormatting sqref="S350:S354">
    <cfRule type="expression" dxfId="5554" priority="4791" stopIfTrue="1">
      <formula>$C350&lt;&gt;""</formula>
    </cfRule>
  </conditionalFormatting>
  <conditionalFormatting sqref="S350:S354">
    <cfRule type="expression" dxfId="5553" priority="4790" stopIfTrue="1">
      <formula>$B350&lt;&gt;""</formula>
    </cfRule>
  </conditionalFormatting>
  <conditionalFormatting sqref="S350:S354">
    <cfRule type="expression" dxfId="5552" priority="4789" stopIfTrue="1">
      <formula>$C350&lt;&gt;""</formula>
    </cfRule>
  </conditionalFormatting>
  <conditionalFormatting sqref="S350:S354">
    <cfRule type="expression" dxfId="5551" priority="4788" stopIfTrue="1">
      <formula>$B350&lt;&gt;""</formula>
    </cfRule>
  </conditionalFormatting>
  <conditionalFormatting sqref="S350:S354">
    <cfRule type="expression" dxfId="5550" priority="4787" stopIfTrue="1">
      <formula>$C350&lt;&gt;""</formula>
    </cfRule>
  </conditionalFormatting>
  <conditionalFormatting sqref="S350:S354">
    <cfRule type="expression" dxfId="5549" priority="4786" stopIfTrue="1">
      <formula>$B350&lt;&gt;""</formula>
    </cfRule>
  </conditionalFormatting>
  <conditionalFormatting sqref="S350:S354">
    <cfRule type="expression" dxfId="5548" priority="4785" stopIfTrue="1">
      <formula>$C350&lt;&gt;""</formula>
    </cfRule>
  </conditionalFormatting>
  <conditionalFormatting sqref="S350:S354">
    <cfRule type="expression" dxfId="5547" priority="4784" stopIfTrue="1">
      <formula>$B350&lt;&gt;""</formula>
    </cfRule>
  </conditionalFormatting>
  <conditionalFormatting sqref="S350:S354">
    <cfRule type="expression" dxfId="5546" priority="4783" stopIfTrue="1">
      <formula>$C350&lt;&gt;""</formula>
    </cfRule>
  </conditionalFormatting>
  <conditionalFormatting sqref="S350:S354">
    <cfRule type="expression" dxfId="5545" priority="4782" stopIfTrue="1">
      <formula>$B350&lt;&gt;""</formula>
    </cfRule>
  </conditionalFormatting>
  <conditionalFormatting sqref="S350:S354">
    <cfRule type="expression" dxfId="5544" priority="4781" stopIfTrue="1">
      <formula>$C350&lt;&gt;""</formula>
    </cfRule>
  </conditionalFormatting>
  <conditionalFormatting sqref="S350:S353">
    <cfRule type="expression" dxfId="5543" priority="4780" stopIfTrue="1">
      <formula>$B350&lt;&gt;""</formula>
    </cfRule>
  </conditionalFormatting>
  <conditionalFormatting sqref="S350:S353">
    <cfRule type="expression" dxfId="5542" priority="4779" stopIfTrue="1">
      <formula>$C350&lt;&gt;""</formula>
    </cfRule>
  </conditionalFormatting>
  <conditionalFormatting sqref="S354">
    <cfRule type="expression" dxfId="5541" priority="4778" stopIfTrue="1">
      <formula>$B354&lt;&gt;""</formula>
    </cfRule>
  </conditionalFormatting>
  <conditionalFormatting sqref="S354">
    <cfRule type="expression" dxfId="5540" priority="4777" stopIfTrue="1">
      <formula>$C354&lt;&gt;""</formula>
    </cfRule>
  </conditionalFormatting>
  <conditionalFormatting sqref="S350:S352">
    <cfRule type="expression" dxfId="5539" priority="4776" stopIfTrue="1">
      <formula>$B350&lt;&gt;""</formula>
    </cfRule>
  </conditionalFormatting>
  <conditionalFormatting sqref="S350:S352">
    <cfRule type="expression" dxfId="5538" priority="4775" stopIfTrue="1">
      <formula>$C350&lt;&gt;""</formula>
    </cfRule>
  </conditionalFormatting>
  <conditionalFormatting sqref="S353:S354">
    <cfRule type="expression" dxfId="5537" priority="4774" stopIfTrue="1">
      <formula>$B353&lt;&gt;""</formula>
    </cfRule>
  </conditionalFormatting>
  <conditionalFormatting sqref="S353:S354">
    <cfRule type="expression" dxfId="5536" priority="4773" stopIfTrue="1">
      <formula>$C353&lt;&gt;""</formula>
    </cfRule>
  </conditionalFormatting>
  <conditionalFormatting sqref="S350:S353">
    <cfRule type="expression" dxfId="5535" priority="4772" stopIfTrue="1">
      <formula>$B350&lt;&gt;""</formula>
    </cfRule>
  </conditionalFormatting>
  <conditionalFormatting sqref="S350:S353">
    <cfRule type="expression" dxfId="5534" priority="4771" stopIfTrue="1">
      <formula>$C350&lt;&gt;""</formula>
    </cfRule>
  </conditionalFormatting>
  <conditionalFormatting sqref="S350:S353">
    <cfRule type="expression" dxfId="5533" priority="4770" stopIfTrue="1">
      <formula>$B350&lt;&gt;""</formula>
    </cfRule>
  </conditionalFormatting>
  <conditionalFormatting sqref="S350:S353">
    <cfRule type="expression" dxfId="5532" priority="4769" stopIfTrue="1">
      <formula>$C350&lt;&gt;""</formula>
    </cfRule>
  </conditionalFormatting>
  <conditionalFormatting sqref="S354">
    <cfRule type="expression" dxfId="5531" priority="4768" stopIfTrue="1">
      <formula>$B354&lt;&gt;""</formula>
    </cfRule>
  </conditionalFormatting>
  <conditionalFormatting sqref="S354">
    <cfRule type="expression" dxfId="5530" priority="4767" stopIfTrue="1">
      <formula>$C354&lt;&gt;""</formula>
    </cfRule>
  </conditionalFormatting>
  <conditionalFormatting sqref="S350:S353">
    <cfRule type="expression" dxfId="5529" priority="4766" stopIfTrue="1">
      <formula>$B350&lt;&gt;""</formula>
    </cfRule>
  </conditionalFormatting>
  <conditionalFormatting sqref="S350:S353">
    <cfRule type="expression" dxfId="5528" priority="4765" stopIfTrue="1">
      <formula>$C350&lt;&gt;""</formula>
    </cfRule>
  </conditionalFormatting>
  <conditionalFormatting sqref="S354">
    <cfRule type="expression" dxfId="5527" priority="4764" stopIfTrue="1">
      <formula>$B354&lt;&gt;""</formula>
    </cfRule>
  </conditionalFormatting>
  <conditionalFormatting sqref="S354">
    <cfRule type="expression" dxfId="5526" priority="4763" stopIfTrue="1">
      <formula>$C354&lt;&gt;""</formula>
    </cfRule>
  </conditionalFormatting>
  <conditionalFormatting sqref="S354">
    <cfRule type="expression" dxfId="5525" priority="4762" stopIfTrue="1">
      <formula>$B354&lt;&gt;""</formula>
    </cfRule>
  </conditionalFormatting>
  <conditionalFormatting sqref="S354">
    <cfRule type="expression" dxfId="5524" priority="4761" stopIfTrue="1">
      <formula>$C354&lt;&gt;""</formula>
    </cfRule>
  </conditionalFormatting>
  <conditionalFormatting sqref="S350">
    <cfRule type="expression" dxfId="5523" priority="4760" stopIfTrue="1">
      <formula>$C350&lt;&gt;""</formula>
    </cfRule>
  </conditionalFormatting>
  <conditionalFormatting sqref="S350">
    <cfRule type="expression" dxfId="5522" priority="4759" stopIfTrue="1">
      <formula>$B350&lt;&gt;""</formula>
    </cfRule>
  </conditionalFormatting>
  <conditionalFormatting sqref="S351:S354">
    <cfRule type="expression" dxfId="5521" priority="4758" stopIfTrue="1">
      <formula>$C351&lt;&gt;""</formula>
    </cfRule>
  </conditionalFormatting>
  <conditionalFormatting sqref="S351:S354">
    <cfRule type="expression" dxfId="5520" priority="4757" stopIfTrue="1">
      <formula>$B351&lt;&gt;""</formula>
    </cfRule>
  </conditionalFormatting>
  <conditionalFormatting sqref="S353:S354">
    <cfRule type="expression" dxfId="5519" priority="4756" stopIfTrue="1">
      <formula>$C353&lt;&gt;""</formula>
    </cfRule>
  </conditionalFormatting>
  <conditionalFormatting sqref="S353:S354">
    <cfRule type="expression" dxfId="5518" priority="4755" stopIfTrue="1">
      <formula>$B353&lt;&gt;""</formula>
    </cfRule>
  </conditionalFormatting>
  <conditionalFormatting sqref="S350:S353">
    <cfRule type="expression" dxfId="5517" priority="4754" stopIfTrue="1">
      <formula>$B350&lt;&gt;""</formula>
    </cfRule>
  </conditionalFormatting>
  <conditionalFormatting sqref="S350:S353">
    <cfRule type="expression" dxfId="5516" priority="4753" stopIfTrue="1">
      <formula>$C350&lt;&gt;""</formula>
    </cfRule>
  </conditionalFormatting>
  <conditionalFormatting sqref="S354">
    <cfRule type="expression" dxfId="5515" priority="4752" stopIfTrue="1">
      <formula>$B354&lt;&gt;""</formula>
    </cfRule>
  </conditionalFormatting>
  <conditionalFormatting sqref="S354">
    <cfRule type="expression" dxfId="5514" priority="4751" stopIfTrue="1">
      <formula>$C354&lt;&gt;""</formula>
    </cfRule>
  </conditionalFormatting>
  <conditionalFormatting sqref="S350:S352">
    <cfRule type="expression" dxfId="5513" priority="4750" stopIfTrue="1">
      <formula>$B350&lt;&gt;""</formula>
    </cfRule>
  </conditionalFormatting>
  <conditionalFormatting sqref="S350:S352">
    <cfRule type="expression" dxfId="5512" priority="4749" stopIfTrue="1">
      <formula>$C350&lt;&gt;""</formula>
    </cfRule>
  </conditionalFormatting>
  <conditionalFormatting sqref="S353:S354">
    <cfRule type="expression" dxfId="5511" priority="4748" stopIfTrue="1">
      <formula>$B353&lt;&gt;""</formula>
    </cfRule>
  </conditionalFormatting>
  <conditionalFormatting sqref="S353:S354">
    <cfRule type="expression" dxfId="5510" priority="4747" stopIfTrue="1">
      <formula>$C353&lt;&gt;""</formula>
    </cfRule>
  </conditionalFormatting>
  <conditionalFormatting sqref="S350:S353">
    <cfRule type="expression" dxfId="5509" priority="4746" stopIfTrue="1">
      <formula>$B350&lt;&gt;""</formula>
    </cfRule>
  </conditionalFormatting>
  <conditionalFormatting sqref="S350:S353">
    <cfRule type="expression" dxfId="5508" priority="4745" stopIfTrue="1">
      <formula>$C350&lt;&gt;""</formula>
    </cfRule>
  </conditionalFormatting>
  <conditionalFormatting sqref="S350:S353">
    <cfRule type="expression" dxfId="5507" priority="4744" stopIfTrue="1">
      <formula>$B350&lt;&gt;""</formula>
    </cfRule>
  </conditionalFormatting>
  <conditionalFormatting sqref="S350:S353">
    <cfRule type="expression" dxfId="5506" priority="4743" stopIfTrue="1">
      <formula>$C350&lt;&gt;""</formula>
    </cfRule>
  </conditionalFormatting>
  <conditionalFormatting sqref="S354">
    <cfRule type="expression" dxfId="5505" priority="4742" stopIfTrue="1">
      <formula>$B354&lt;&gt;""</formula>
    </cfRule>
  </conditionalFormatting>
  <conditionalFormatting sqref="S354">
    <cfRule type="expression" dxfId="5504" priority="4741" stopIfTrue="1">
      <formula>$C354&lt;&gt;""</formula>
    </cfRule>
  </conditionalFormatting>
  <conditionalFormatting sqref="S350:S353">
    <cfRule type="expression" dxfId="5503" priority="4740" stopIfTrue="1">
      <formula>$B350&lt;&gt;""</formula>
    </cfRule>
  </conditionalFormatting>
  <conditionalFormatting sqref="S350:S353">
    <cfRule type="expression" dxfId="5502" priority="4739" stopIfTrue="1">
      <formula>$C350&lt;&gt;""</formula>
    </cfRule>
  </conditionalFormatting>
  <conditionalFormatting sqref="S354">
    <cfRule type="expression" dxfId="5501" priority="4738" stopIfTrue="1">
      <formula>$B354&lt;&gt;""</formula>
    </cfRule>
  </conditionalFormatting>
  <conditionalFormatting sqref="S354">
    <cfRule type="expression" dxfId="5500" priority="4737" stopIfTrue="1">
      <formula>$C354&lt;&gt;""</formula>
    </cfRule>
  </conditionalFormatting>
  <conditionalFormatting sqref="S354">
    <cfRule type="expression" dxfId="5499" priority="4736" stopIfTrue="1">
      <formula>$B354&lt;&gt;""</formula>
    </cfRule>
  </conditionalFormatting>
  <conditionalFormatting sqref="S354">
    <cfRule type="expression" dxfId="5498" priority="4735" stopIfTrue="1">
      <formula>$C354&lt;&gt;""</formula>
    </cfRule>
  </conditionalFormatting>
  <conditionalFormatting sqref="S350">
    <cfRule type="expression" dxfId="5497" priority="4734" stopIfTrue="1">
      <formula>$C350&lt;&gt;""</formula>
    </cfRule>
  </conditionalFormatting>
  <conditionalFormatting sqref="S350">
    <cfRule type="expression" dxfId="5496" priority="4733" stopIfTrue="1">
      <formula>$B350&lt;&gt;""</formula>
    </cfRule>
  </conditionalFormatting>
  <conditionalFormatting sqref="S351:S354">
    <cfRule type="expression" dxfId="5495" priority="4732" stopIfTrue="1">
      <formula>$C351&lt;&gt;""</formula>
    </cfRule>
  </conditionalFormatting>
  <conditionalFormatting sqref="S351:S354">
    <cfRule type="expression" dxfId="5494" priority="4731" stopIfTrue="1">
      <formula>$B351&lt;&gt;""</formula>
    </cfRule>
  </conditionalFormatting>
  <conditionalFormatting sqref="S353:S354">
    <cfRule type="expression" dxfId="5493" priority="4730" stopIfTrue="1">
      <formula>$C353&lt;&gt;""</formula>
    </cfRule>
  </conditionalFormatting>
  <conditionalFormatting sqref="S353:S354">
    <cfRule type="expression" dxfId="5492" priority="4729" stopIfTrue="1">
      <formula>$B353&lt;&gt;""</formula>
    </cfRule>
  </conditionalFormatting>
  <conditionalFormatting sqref="S355">
    <cfRule type="expression" dxfId="5491" priority="4728" stopIfTrue="1">
      <formula>$B355&lt;&gt;""</formula>
    </cfRule>
  </conditionalFormatting>
  <conditionalFormatting sqref="S355">
    <cfRule type="expression" dxfId="5490" priority="4727" stopIfTrue="1">
      <formula>$C355&lt;&gt;""</formula>
    </cfRule>
  </conditionalFormatting>
  <conditionalFormatting sqref="S355">
    <cfRule type="expression" dxfId="5489" priority="4726" stopIfTrue="1">
      <formula>$B355&lt;&gt;""</formula>
    </cfRule>
  </conditionalFormatting>
  <conditionalFormatting sqref="S355">
    <cfRule type="expression" dxfId="5488" priority="4725" stopIfTrue="1">
      <formula>$C355&lt;&gt;""</formula>
    </cfRule>
  </conditionalFormatting>
  <conditionalFormatting sqref="S355">
    <cfRule type="expression" dxfId="5487" priority="4724" stopIfTrue="1">
      <formula>$B355&lt;&gt;""</formula>
    </cfRule>
  </conditionalFormatting>
  <conditionalFormatting sqref="S355">
    <cfRule type="expression" dxfId="5486" priority="4723" stopIfTrue="1">
      <formula>$C355&lt;&gt;""</formula>
    </cfRule>
  </conditionalFormatting>
  <conditionalFormatting sqref="S355">
    <cfRule type="expression" dxfId="5485" priority="4722" stopIfTrue="1">
      <formula>$B355&lt;&gt;""</formula>
    </cfRule>
  </conditionalFormatting>
  <conditionalFormatting sqref="S355">
    <cfRule type="expression" dxfId="5484" priority="4721" stopIfTrue="1">
      <formula>$C355&lt;&gt;""</formula>
    </cfRule>
  </conditionalFormatting>
  <conditionalFormatting sqref="S355">
    <cfRule type="expression" dxfId="5483" priority="4720" stopIfTrue="1">
      <formula>$B355&lt;&gt;""</formula>
    </cfRule>
  </conditionalFormatting>
  <conditionalFormatting sqref="S355">
    <cfRule type="expression" dxfId="5482" priority="4719" stopIfTrue="1">
      <formula>$C355&lt;&gt;""</formula>
    </cfRule>
  </conditionalFormatting>
  <conditionalFormatting sqref="S355">
    <cfRule type="expression" dxfId="5481" priority="4718" stopIfTrue="1">
      <formula>$B355&lt;&gt;""</formula>
    </cfRule>
  </conditionalFormatting>
  <conditionalFormatting sqref="S355">
    <cfRule type="expression" dxfId="5480" priority="4717" stopIfTrue="1">
      <formula>$C355&lt;&gt;""</formula>
    </cfRule>
  </conditionalFormatting>
  <conditionalFormatting sqref="S355">
    <cfRule type="expression" dxfId="5479" priority="4716" stopIfTrue="1">
      <formula>$B355&lt;&gt;""</formula>
    </cfRule>
  </conditionalFormatting>
  <conditionalFormatting sqref="S355">
    <cfRule type="expression" dxfId="5478" priority="4715" stopIfTrue="1">
      <formula>$C355&lt;&gt;""</formula>
    </cfRule>
  </conditionalFormatting>
  <conditionalFormatting sqref="S355">
    <cfRule type="expression" dxfId="5477" priority="4714" stopIfTrue="1">
      <formula>$B355&lt;&gt;""</formula>
    </cfRule>
  </conditionalFormatting>
  <conditionalFormatting sqref="S355">
    <cfRule type="expression" dxfId="5476" priority="4713" stopIfTrue="1">
      <formula>$C355&lt;&gt;""</formula>
    </cfRule>
  </conditionalFormatting>
  <conditionalFormatting sqref="S355">
    <cfRule type="expression" dxfId="5475" priority="4712" stopIfTrue="1">
      <formula>$B355&lt;&gt;""</formula>
    </cfRule>
  </conditionalFormatting>
  <conditionalFormatting sqref="S355">
    <cfRule type="expression" dxfId="5474" priority="4711" stopIfTrue="1">
      <formula>$C355&lt;&gt;""</formula>
    </cfRule>
  </conditionalFormatting>
  <conditionalFormatting sqref="S355">
    <cfRule type="expression" dxfId="5473" priority="4710" stopIfTrue="1">
      <formula>$B355&lt;&gt;""</formula>
    </cfRule>
  </conditionalFormatting>
  <conditionalFormatting sqref="S355">
    <cfRule type="expression" dxfId="5472" priority="4709" stopIfTrue="1">
      <formula>$C355&lt;&gt;""</formula>
    </cfRule>
  </conditionalFormatting>
  <conditionalFormatting sqref="S355">
    <cfRule type="expression" dxfId="5471" priority="4708" stopIfTrue="1">
      <formula>$B355&lt;&gt;""</formula>
    </cfRule>
  </conditionalFormatting>
  <conditionalFormatting sqref="S355">
    <cfRule type="expression" dxfId="5470" priority="4707" stopIfTrue="1">
      <formula>$C355&lt;&gt;""</formula>
    </cfRule>
  </conditionalFormatting>
  <conditionalFormatting sqref="S355">
    <cfRule type="expression" dxfId="5469" priority="4706" stopIfTrue="1">
      <formula>$B355&lt;&gt;""</formula>
    </cfRule>
  </conditionalFormatting>
  <conditionalFormatting sqref="S355">
    <cfRule type="expression" dxfId="5468" priority="4705" stopIfTrue="1">
      <formula>$C355&lt;&gt;""</formula>
    </cfRule>
  </conditionalFormatting>
  <conditionalFormatting sqref="S355">
    <cfRule type="expression" dxfId="5467" priority="4704" stopIfTrue="1">
      <formula>$B355&lt;&gt;""</formula>
    </cfRule>
  </conditionalFormatting>
  <conditionalFormatting sqref="S355">
    <cfRule type="expression" dxfId="5466" priority="4703" stopIfTrue="1">
      <formula>$C355&lt;&gt;""</formula>
    </cfRule>
  </conditionalFormatting>
  <conditionalFormatting sqref="S355">
    <cfRule type="expression" dxfId="5465" priority="4702" stopIfTrue="1">
      <formula>$B355&lt;&gt;""</formula>
    </cfRule>
  </conditionalFormatting>
  <conditionalFormatting sqref="S355">
    <cfRule type="expression" dxfId="5464" priority="4701" stopIfTrue="1">
      <formula>$C355&lt;&gt;""</formula>
    </cfRule>
  </conditionalFormatting>
  <conditionalFormatting sqref="S355">
    <cfRule type="expression" dxfId="5463" priority="4700" stopIfTrue="1">
      <formula>$C355&lt;&gt;""</formula>
    </cfRule>
  </conditionalFormatting>
  <conditionalFormatting sqref="S355">
    <cfRule type="expression" dxfId="5462" priority="4699" stopIfTrue="1">
      <formula>$B355&lt;&gt;""</formula>
    </cfRule>
  </conditionalFormatting>
  <conditionalFormatting sqref="S355">
    <cfRule type="expression" dxfId="5461" priority="4698" stopIfTrue="1">
      <formula>$C355&lt;&gt;""</formula>
    </cfRule>
  </conditionalFormatting>
  <conditionalFormatting sqref="S355">
    <cfRule type="expression" dxfId="5460" priority="4697" stopIfTrue="1">
      <formula>$B355&lt;&gt;""</formula>
    </cfRule>
  </conditionalFormatting>
  <conditionalFormatting sqref="S355">
    <cfRule type="expression" dxfId="5459" priority="4696" stopIfTrue="1">
      <formula>$B355&lt;&gt;""</formula>
    </cfRule>
  </conditionalFormatting>
  <conditionalFormatting sqref="S355">
    <cfRule type="expression" dxfId="5458" priority="4695" stopIfTrue="1">
      <formula>$C355&lt;&gt;""</formula>
    </cfRule>
  </conditionalFormatting>
  <conditionalFormatting sqref="S355">
    <cfRule type="expression" dxfId="5457" priority="4694" stopIfTrue="1">
      <formula>$B355&lt;&gt;""</formula>
    </cfRule>
  </conditionalFormatting>
  <conditionalFormatting sqref="S355">
    <cfRule type="expression" dxfId="5456" priority="4693" stopIfTrue="1">
      <formula>$C355&lt;&gt;""</formula>
    </cfRule>
  </conditionalFormatting>
  <conditionalFormatting sqref="S355">
    <cfRule type="expression" dxfId="5455" priority="4692" stopIfTrue="1">
      <formula>$B355&lt;&gt;""</formula>
    </cfRule>
  </conditionalFormatting>
  <conditionalFormatting sqref="S355">
    <cfRule type="expression" dxfId="5454" priority="4691" stopIfTrue="1">
      <formula>$C355&lt;&gt;""</formula>
    </cfRule>
  </conditionalFormatting>
  <conditionalFormatting sqref="S355">
    <cfRule type="expression" dxfId="5453" priority="4690" stopIfTrue="1">
      <formula>$B355&lt;&gt;""</formula>
    </cfRule>
  </conditionalFormatting>
  <conditionalFormatting sqref="S355">
    <cfRule type="expression" dxfId="5452" priority="4689" stopIfTrue="1">
      <formula>$C355&lt;&gt;""</formula>
    </cfRule>
  </conditionalFormatting>
  <conditionalFormatting sqref="S355">
    <cfRule type="expression" dxfId="5451" priority="4688" stopIfTrue="1">
      <formula>$B355&lt;&gt;""</formula>
    </cfRule>
  </conditionalFormatting>
  <conditionalFormatting sqref="S355">
    <cfRule type="expression" dxfId="5450" priority="4687" stopIfTrue="1">
      <formula>$C355&lt;&gt;""</formula>
    </cfRule>
  </conditionalFormatting>
  <conditionalFormatting sqref="S355">
    <cfRule type="expression" dxfId="5449" priority="4686" stopIfTrue="1">
      <formula>$C355&lt;&gt;""</formula>
    </cfRule>
  </conditionalFormatting>
  <conditionalFormatting sqref="S355">
    <cfRule type="expression" dxfId="5448" priority="4685" stopIfTrue="1">
      <formula>$B355&lt;&gt;""</formula>
    </cfRule>
  </conditionalFormatting>
  <conditionalFormatting sqref="S355">
    <cfRule type="expression" dxfId="5447" priority="4684" stopIfTrue="1">
      <formula>$C355&lt;&gt;""</formula>
    </cfRule>
  </conditionalFormatting>
  <conditionalFormatting sqref="S355">
    <cfRule type="expression" dxfId="5446" priority="4683" stopIfTrue="1">
      <formula>$B355&lt;&gt;""</formula>
    </cfRule>
  </conditionalFormatting>
  <conditionalFormatting sqref="S355">
    <cfRule type="expression" dxfId="5445" priority="4682" stopIfTrue="1">
      <formula>$B355&lt;&gt;""</formula>
    </cfRule>
  </conditionalFormatting>
  <conditionalFormatting sqref="S355">
    <cfRule type="expression" dxfId="5444" priority="4681" stopIfTrue="1">
      <formula>$C355&lt;&gt;""</formula>
    </cfRule>
  </conditionalFormatting>
  <conditionalFormatting sqref="S356">
    <cfRule type="expression" dxfId="5443" priority="4680" stopIfTrue="1">
      <formula>$B356&lt;&gt;""</formula>
    </cfRule>
  </conditionalFormatting>
  <conditionalFormatting sqref="S356">
    <cfRule type="expression" dxfId="5442" priority="4679" stopIfTrue="1">
      <formula>$C356&lt;&gt;""</formula>
    </cfRule>
  </conditionalFormatting>
  <conditionalFormatting sqref="S355">
    <cfRule type="expression" dxfId="5441" priority="4678" stopIfTrue="1">
      <formula>$B355&lt;&gt;""</formula>
    </cfRule>
  </conditionalFormatting>
  <conditionalFormatting sqref="S355">
    <cfRule type="expression" dxfId="5440" priority="4677" stopIfTrue="1">
      <formula>$C355&lt;&gt;""</formula>
    </cfRule>
  </conditionalFormatting>
  <conditionalFormatting sqref="S356:S359">
    <cfRule type="expression" dxfId="5439" priority="4676" stopIfTrue="1">
      <formula>$B356&lt;&gt;""</formula>
    </cfRule>
  </conditionalFormatting>
  <conditionalFormatting sqref="S356:S359">
    <cfRule type="expression" dxfId="5438" priority="4675" stopIfTrue="1">
      <formula>$C356&lt;&gt;""</formula>
    </cfRule>
  </conditionalFormatting>
  <conditionalFormatting sqref="S355">
    <cfRule type="expression" dxfId="5437" priority="4674" stopIfTrue="1">
      <formula>$B355&lt;&gt;""</formula>
    </cfRule>
  </conditionalFormatting>
  <conditionalFormatting sqref="S355">
    <cfRule type="expression" dxfId="5436" priority="4673" stopIfTrue="1">
      <formula>$C355&lt;&gt;""</formula>
    </cfRule>
  </conditionalFormatting>
  <conditionalFormatting sqref="S356:S359">
    <cfRule type="expression" dxfId="5435" priority="4672" stopIfTrue="1">
      <formula>$B356&lt;&gt;""</formula>
    </cfRule>
  </conditionalFormatting>
  <conditionalFormatting sqref="S356:S359">
    <cfRule type="expression" dxfId="5434" priority="4671" stopIfTrue="1">
      <formula>$C356&lt;&gt;""</formula>
    </cfRule>
  </conditionalFormatting>
  <conditionalFormatting sqref="S355:S359">
    <cfRule type="expression" dxfId="5433" priority="4670" stopIfTrue="1">
      <formula>$B355&lt;&gt;""</formula>
    </cfRule>
  </conditionalFormatting>
  <conditionalFormatting sqref="S355:S359">
    <cfRule type="expression" dxfId="5432" priority="4669" stopIfTrue="1">
      <formula>$C355&lt;&gt;""</formula>
    </cfRule>
  </conditionalFormatting>
  <conditionalFormatting sqref="S355:S359">
    <cfRule type="expression" dxfId="5431" priority="4668" stopIfTrue="1">
      <formula>$B355&lt;&gt;""</formula>
    </cfRule>
  </conditionalFormatting>
  <conditionalFormatting sqref="S355:S359">
    <cfRule type="expression" dxfId="5430" priority="4667" stopIfTrue="1">
      <formula>$C355&lt;&gt;""</formula>
    </cfRule>
  </conditionalFormatting>
  <conditionalFormatting sqref="S355:S359">
    <cfRule type="expression" dxfId="5429" priority="4666" stopIfTrue="1">
      <formula>$B355&lt;&gt;""</formula>
    </cfRule>
  </conditionalFormatting>
  <conditionalFormatting sqref="S355:S359">
    <cfRule type="expression" dxfId="5428" priority="4665" stopIfTrue="1">
      <formula>$C355&lt;&gt;""</formula>
    </cfRule>
  </conditionalFormatting>
  <conditionalFormatting sqref="S355:S359">
    <cfRule type="expression" dxfId="5427" priority="4664" stopIfTrue="1">
      <formula>$B355&lt;&gt;""</formula>
    </cfRule>
  </conditionalFormatting>
  <conditionalFormatting sqref="S355:S359">
    <cfRule type="expression" dxfId="5426" priority="4663" stopIfTrue="1">
      <formula>$C355&lt;&gt;""</formula>
    </cfRule>
  </conditionalFormatting>
  <conditionalFormatting sqref="S355:S359">
    <cfRule type="expression" dxfId="5425" priority="4662" stopIfTrue="1">
      <formula>$B355&lt;&gt;""</formula>
    </cfRule>
  </conditionalFormatting>
  <conditionalFormatting sqref="S355:S359">
    <cfRule type="expression" dxfId="5424" priority="4661" stopIfTrue="1">
      <formula>$C355&lt;&gt;""</formula>
    </cfRule>
  </conditionalFormatting>
  <conditionalFormatting sqref="S355:S359">
    <cfRule type="expression" dxfId="5423" priority="4660" stopIfTrue="1">
      <formula>$B355&lt;&gt;""</formula>
    </cfRule>
  </conditionalFormatting>
  <conditionalFormatting sqref="S355:S359">
    <cfRule type="expression" dxfId="5422" priority="4659" stopIfTrue="1">
      <formula>$C355&lt;&gt;""</formula>
    </cfRule>
  </conditionalFormatting>
  <conditionalFormatting sqref="S355:S359">
    <cfRule type="expression" dxfId="5421" priority="4658" stopIfTrue="1">
      <formula>$B355&lt;&gt;""</formula>
    </cfRule>
  </conditionalFormatting>
  <conditionalFormatting sqref="S355:S359">
    <cfRule type="expression" dxfId="5420" priority="4657" stopIfTrue="1">
      <formula>$C355&lt;&gt;""</formula>
    </cfRule>
  </conditionalFormatting>
  <conditionalFormatting sqref="S355:S358">
    <cfRule type="expression" dxfId="5419" priority="4656" stopIfTrue="1">
      <formula>$B355&lt;&gt;""</formula>
    </cfRule>
  </conditionalFormatting>
  <conditionalFormatting sqref="S355:S358">
    <cfRule type="expression" dxfId="5418" priority="4655" stopIfTrue="1">
      <formula>$C355&lt;&gt;""</formula>
    </cfRule>
  </conditionalFormatting>
  <conditionalFormatting sqref="S359">
    <cfRule type="expression" dxfId="5417" priority="4654" stopIfTrue="1">
      <formula>$B359&lt;&gt;""</formula>
    </cfRule>
  </conditionalFormatting>
  <conditionalFormatting sqref="S359">
    <cfRule type="expression" dxfId="5416" priority="4653" stopIfTrue="1">
      <formula>$C359&lt;&gt;""</formula>
    </cfRule>
  </conditionalFormatting>
  <conditionalFormatting sqref="S355:S357">
    <cfRule type="expression" dxfId="5415" priority="4652" stopIfTrue="1">
      <formula>$B355&lt;&gt;""</formula>
    </cfRule>
  </conditionalFormatting>
  <conditionalFormatting sqref="S355:S357">
    <cfRule type="expression" dxfId="5414" priority="4651" stopIfTrue="1">
      <formula>$C355&lt;&gt;""</formula>
    </cfRule>
  </conditionalFormatting>
  <conditionalFormatting sqref="S358:S359">
    <cfRule type="expression" dxfId="5413" priority="4650" stopIfTrue="1">
      <formula>$B358&lt;&gt;""</formula>
    </cfRule>
  </conditionalFormatting>
  <conditionalFormatting sqref="S358:S359">
    <cfRule type="expression" dxfId="5412" priority="4649" stopIfTrue="1">
      <formula>$C358&lt;&gt;""</formula>
    </cfRule>
  </conditionalFormatting>
  <conditionalFormatting sqref="S355:S358">
    <cfRule type="expression" dxfId="5411" priority="4648" stopIfTrue="1">
      <formula>$B355&lt;&gt;""</formula>
    </cfRule>
  </conditionalFormatting>
  <conditionalFormatting sqref="S355:S358">
    <cfRule type="expression" dxfId="5410" priority="4647" stopIfTrue="1">
      <formula>$C355&lt;&gt;""</formula>
    </cfRule>
  </conditionalFormatting>
  <conditionalFormatting sqref="S355:S358">
    <cfRule type="expression" dxfId="5409" priority="4646" stopIfTrue="1">
      <formula>$B355&lt;&gt;""</formula>
    </cfRule>
  </conditionalFormatting>
  <conditionalFormatting sqref="S355:S358">
    <cfRule type="expression" dxfId="5408" priority="4645" stopIfTrue="1">
      <formula>$C355&lt;&gt;""</formula>
    </cfRule>
  </conditionalFormatting>
  <conditionalFormatting sqref="S359">
    <cfRule type="expression" dxfId="5407" priority="4644" stopIfTrue="1">
      <formula>$B359&lt;&gt;""</formula>
    </cfRule>
  </conditionalFormatting>
  <conditionalFormatting sqref="S359">
    <cfRule type="expression" dxfId="5406" priority="4643" stopIfTrue="1">
      <formula>$C359&lt;&gt;""</formula>
    </cfRule>
  </conditionalFormatting>
  <conditionalFormatting sqref="S355:S358">
    <cfRule type="expression" dxfId="5405" priority="4642" stopIfTrue="1">
      <formula>$B355&lt;&gt;""</formula>
    </cfRule>
  </conditionalFormatting>
  <conditionalFormatting sqref="S355:S358">
    <cfRule type="expression" dxfId="5404" priority="4641" stopIfTrue="1">
      <formula>$C355&lt;&gt;""</formula>
    </cfRule>
  </conditionalFormatting>
  <conditionalFormatting sqref="S359">
    <cfRule type="expression" dxfId="5403" priority="4640" stopIfTrue="1">
      <formula>$B359&lt;&gt;""</formula>
    </cfRule>
  </conditionalFormatting>
  <conditionalFormatting sqref="S359">
    <cfRule type="expression" dxfId="5402" priority="4639" stopIfTrue="1">
      <formula>$C359&lt;&gt;""</formula>
    </cfRule>
  </conditionalFormatting>
  <conditionalFormatting sqref="S359">
    <cfRule type="expression" dxfId="5401" priority="4638" stopIfTrue="1">
      <formula>$B359&lt;&gt;""</formula>
    </cfRule>
  </conditionalFormatting>
  <conditionalFormatting sqref="S359">
    <cfRule type="expression" dxfId="5400" priority="4637" stopIfTrue="1">
      <formula>$C359&lt;&gt;""</formula>
    </cfRule>
  </conditionalFormatting>
  <conditionalFormatting sqref="S355">
    <cfRule type="expression" dxfId="5399" priority="4636" stopIfTrue="1">
      <formula>$C355&lt;&gt;""</formula>
    </cfRule>
  </conditionalFormatting>
  <conditionalFormatting sqref="S355">
    <cfRule type="expression" dxfId="5398" priority="4635" stopIfTrue="1">
      <formula>$B355&lt;&gt;""</formula>
    </cfRule>
  </conditionalFormatting>
  <conditionalFormatting sqref="S356:S359">
    <cfRule type="expression" dxfId="5397" priority="4634" stopIfTrue="1">
      <formula>$C356&lt;&gt;""</formula>
    </cfRule>
  </conditionalFormatting>
  <conditionalFormatting sqref="S356:S359">
    <cfRule type="expression" dxfId="5396" priority="4633" stopIfTrue="1">
      <formula>$B356&lt;&gt;""</formula>
    </cfRule>
  </conditionalFormatting>
  <conditionalFormatting sqref="S358:S359">
    <cfRule type="expression" dxfId="5395" priority="4632" stopIfTrue="1">
      <formula>$C358&lt;&gt;""</formula>
    </cfRule>
  </conditionalFormatting>
  <conditionalFormatting sqref="S358:S359">
    <cfRule type="expression" dxfId="5394" priority="4631" stopIfTrue="1">
      <formula>$B358&lt;&gt;""</formula>
    </cfRule>
  </conditionalFormatting>
  <conditionalFormatting sqref="S355:S358">
    <cfRule type="expression" dxfId="5393" priority="4630" stopIfTrue="1">
      <formula>$B355&lt;&gt;""</formula>
    </cfRule>
  </conditionalFormatting>
  <conditionalFormatting sqref="S355:S358">
    <cfRule type="expression" dxfId="5392" priority="4629" stopIfTrue="1">
      <formula>$C355&lt;&gt;""</formula>
    </cfRule>
  </conditionalFormatting>
  <conditionalFormatting sqref="S359">
    <cfRule type="expression" dxfId="5391" priority="4628" stopIfTrue="1">
      <formula>$B359&lt;&gt;""</formula>
    </cfRule>
  </conditionalFormatting>
  <conditionalFormatting sqref="S359">
    <cfRule type="expression" dxfId="5390" priority="4627" stopIfTrue="1">
      <formula>$C359&lt;&gt;""</formula>
    </cfRule>
  </conditionalFormatting>
  <conditionalFormatting sqref="S355:S357">
    <cfRule type="expression" dxfId="5389" priority="4626" stopIfTrue="1">
      <formula>$B355&lt;&gt;""</formula>
    </cfRule>
  </conditionalFormatting>
  <conditionalFormatting sqref="S355:S357">
    <cfRule type="expression" dxfId="5388" priority="4625" stopIfTrue="1">
      <formula>$C355&lt;&gt;""</formula>
    </cfRule>
  </conditionalFormatting>
  <conditionalFormatting sqref="S358:S359">
    <cfRule type="expression" dxfId="5387" priority="4624" stopIfTrue="1">
      <formula>$B358&lt;&gt;""</formula>
    </cfRule>
  </conditionalFormatting>
  <conditionalFormatting sqref="S358:S359">
    <cfRule type="expression" dxfId="5386" priority="4623" stopIfTrue="1">
      <formula>$C358&lt;&gt;""</formula>
    </cfRule>
  </conditionalFormatting>
  <conditionalFormatting sqref="S355:S358">
    <cfRule type="expression" dxfId="5385" priority="4622" stopIfTrue="1">
      <formula>$B355&lt;&gt;""</formula>
    </cfRule>
  </conditionalFormatting>
  <conditionalFormatting sqref="S355:S358">
    <cfRule type="expression" dxfId="5384" priority="4621" stopIfTrue="1">
      <formula>$C355&lt;&gt;""</formula>
    </cfRule>
  </conditionalFormatting>
  <conditionalFormatting sqref="S355:S358">
    <cfRule type="expression" dxfId="5383" priority="4620" stopIfTrue="1">
      <formula>$B355&lt;&gt;""</formula>
    </cfRule>
  </conditionalFormatting>
  <conditionalFormatting sqref="S355:S358">
    <cfRule type="expression" dxfId="5382" priority="4619" stopIfTrue="1">
      <formula>$C355&lt;&gt;""</formula>
    </cfRule>
  </conditionalFormatting>
  <conditionalFormatting sqref="S359">
    <cfRule type="expression" dxfId="5381" priority="4618" stopIfTrue="1">
      <formula>$B359&lt;&gt;""</formula>
    </cfRule>
  </conditionalFormatting>
  <conditionalFormatting sqref="S359">
    <cfRule type="expression" dxfId="5380" priority="4617" stopIfTrue="1">
      <formula>$C359&lt;&gt;""</formula>
    </cfRule>
  </conditionalFormatting>
  <conditionalFormatting sqref="S355:S358">
    <cfRule type="expression" dxfId="5379" priority="4616" stopIfTrue="1">
      <formula>$B355&lt;&gt;""</formula>
    </cfRule>
  </conditionalFormatting>
  <conditionalFormatting sqref="S355:S358">
    <cfRule type="expression" dxfId="5378" priority="4615" stopIfTrue="1">
      <formula>$C355&lt;&gt;""</formula>
    </cfRule>
  </conditionalFormatting>
  <conditionalFormatting sqref="S359">
    <cfRule type="expression" dxfId="5377" priority="4614" stopIfTrue="1">
      <formula>$B359&lt;&gt;""</formula>
    </cfRule>
  </conditionalFormatting>
  <conditionalFormatting sqref="S359">
    <cfRule type="expression" dxfId="5376" priority="4613" stopIfTrue="1">
      <formula>$C359&lt;&gt;""</formula>
    </cfRule>
  </conditionalFormatting>
  <conditionalFormatting sqref="S359">
    <cfRule type="expression" dxfId="5375" priority="4612" stopIfTrue="1">
      <formula>$B359&lt;&gt;""</formula>
    </cfRule>
  </conditionalFormatting>
  <conditionalFormatting sqref="S359">
    <cfRule type="expression" dxfId="5374" priority="4611" stopIfTrue="1">
      <formula>$C359&lt;&gt;""</formula>
    </cfRule>
  </conditionalFormatting>
  <conditionalFormatting sqref="S355">
    <cfRule type="expression" dxfId="5373" priority="4610" stopIfTrue="1">
      <formula>$C355&lt;&gt;""</formula>
    </cfRule>
  </conditionalFormatting>
  <conditionalFormatting sqref="S355">
    <cfRule type="expression" dxfId="5372" priority="4609" stopIfTrue="1">
      <formula>$B355&lt;&gt;""</formula>
    </cfRule>
  </conditionalFormatting>
  <conditionalFormatting sqref="S356:S359">
    <cfRule type="expression" dxfId="5371" priority="4608" stopIfTrue="1">
      <formula>$C356&lt;&gt;""</formula>
    </cfRule>
  </conditionalFormatting>
  <conditionalFormatting sqref="S356:S359">
    <cfRule type="expression" dxfId="5370" priority="4607" stopIfTrue="1">
      <formula>$B356&lt;&gt;""</formula>
    </cfRule>
  </conditionalFormatting>
  <conditionalFormatting sqref="S358:S359">
    <cfRule type="expression" dxfId="5369" priority="4606" stopIfTrue="1">
      <formula>$C358&lt;&gt;""</formula>
    </cfRule>
  </conditionalFormatting>
  <conditionalFormatting sqref="S358:S359">
    <cfRule type="expression" dxfId="5368" priority="4605" stopIfTrue="1">
      <formula>$B358&lt;&gt;""</formula>
    </cfRule>
  </conditionalFormatting>
  <conditionalFormatting sqref="S355">
    <cfRule type="expression" dxfId="5367" priority="4604" stopIfTrue="1">
      <formula>$B355&lt;&gt;""</formula>
    </cfRule>
  </conditionalFormatting>
  <conditionalFormatting sqref="S355">
    <cfRule type="expression" dxfId="5366" priority="4603" stopIfTrue="1">
      <formula>$C355&lt;&gt;""</formula>
    </cfRule>
  </conditionalFormatting>
  <conditionalFormatting sqref="S355">
    <cfRule type="expression" dxfId="5365" priority="4602" stopIfTrue="1">
      <formula>$B355&lt;&gt;""</formula>
    </cfRule>
  </conditionalFormatting>
  <conditionalFormatting sqref="S355">
    <cfRule type="expression" dxfId="5364" priority="4601" stopIfTrue="1">
      <formula>$C355&lt;&gt;""</formula>
    </cfRule>
  </conditionalFormatting>
  <conditionalFormatting sqref="S355">
    <cfRule type="expression" dxfId="5363" priority="4600" stopIfTrue="1">
      <formula>$B355&lt;&gt;""</formula>
    </cfRule>
  </conditionalFormatting>
  <conditionalFormatting sqref="S355">
    <cfRule type="expression" dxfId="5362" priority="4599" stopIfTrue="1">
      <formula>$C355&lt;&gt;""</formula>
    </cfRule>
  </conditionalFormatting>
  <conditionalFormatting sqref="S355">
    <cfRule type="expression" dxfId="5361" priority="4598" stopIfTrue="1">
      <formula>$B355&lt;&gt;""</formula>
    </cfRule>
  </conditionalFormatting>
  <conditionalFormatting sqref="S355">
    <cfRule type="expression" dxfId="5360" priority="4597" stopIfTrue="1">
      <formula>$C355&lt;&gt;""</formula>
    </cfRule>
  </conditionalFormatting>
  <conditionalFormatting sqref="S355">
    <cfRule type="expression" dxfId="5359" priority="4596" stopIfTrue="1">
      <formula>$B355&lt;&gt;""</formula>
    </cfRule>
  </conditionalFormatting>
  <conditionalFormatting sqref="S355">
    <cfRule type="expression" dxfId="5358" priority="4595" stopIfTrue="1">
      <formula>$C355&lt;&gt;""</formula>
    </cfRule>
  </conditionalFormatting>
  <conditionalFormatting sqref="S355">
    <cfRule type="expression" dxfId="5357" priority="4594" stopIfTrue="1">
      <formula>$B355&lt;&gt;""</formula>
    </cfRule>
  </conditionalFormatting>
  <conditionalFormatting sqref="S355">
    <cfRule type="expression" dxfId="5356" priority="4593" stopIfTrue="1">
      <formula>$C355&lt;&gt;""</formula>
    </cfRule>
  </conditionalFormatting>
  <conditionalFormatting sqref="S355">
    <cfRule type="expression" dxfId="5355" priority="4592" stopIfTrue="1">
      <formula>$B355&lt;&gt;""</formula>
    </cfRule>
  </conditionalFormatting>
  <conditionalFormatting sqref="S355">
    <cfRule type="expression" dxfId="5354" priority="4591" stopIfTrue="1">
      <formula>$C355&lt;&gt;""</formula>
    </cfRule>
  </conditionalFormatting>
  <conditionalFormatting sqref="S355">
    <cfRule type="expression" dxfId="5353" priority="4590" stopIfTrue="1">
      <formula>$B355&lt;&gt;""</formula>
    </cfRule>
  </conditionalFormatting>
  <conditionalFormatting sqref="S355">
    <cfRule type="expression" dxfId="5352" priority="4589" stopIfTrue="1">
      <formula>$C355&lt;&gt;""</formula>
    </cfRule>
  </conditionalFormatting>
  <conditionalFormatting sqref="S355">
    <cfRule type="expression" dxfId="5351" priority="4588" stopIfTrue="1">
      <formula>$B355&lt;&gt;""</formula>
    </cfRule>
  </conditionalFormatting>
  <conditionalFormatting sqref="S355">
    <cfRule type="expression" dxfId="5350" priority="4587" stopIfTrue="1">
      <formula>$C355&lt;&gt;""</formula>
    </cfRule>
  </conditionalFormatting>
  <conditionalFormatting sqref="S355">
    <cfRule type="expression" dxfId="5349" priority="4586" stopIfTrue="1">
      <formula>$B355&lt;&gt;""</formula>
    </cfRule>
  </conditionalFormatting>
  <conditionalFormatting sqref="S355">
    <cfRule type="expression" dxfId="5348" priority="4585" stopIfTrue="1">
      <formula>$C355&lt;&gt;""</formula>
    </cfRule>
  </conditionalFormatting>
  <conditionalFormatting sqref="S355">
    <cfRule type="expression" dxfId="5347" priority="4584" stopIfTrue="1">
      <formula>$B355&lt;&gt;""</formula>
    </cfRule>
  </conditionalFormatting>
  <conditionalFormatting sqref="S355">
    <cfRule type="expression" dxfId="5346" priority="4583" stopIfTrue="1">
      <formula>$C355&lt;&gt;""</formula>
    </cfRule>
  </conditionalFormatting>
  <conditionalFormatting sqref="S355">
    <cfRule type="expression" dxfId="5345" priority="4582" stopIfTrue="1">
      <formula>$B355&lt;&gt;""</formula>
    </cfRule>
  </conditionalFormatting>
  <conditionalFormatting sqref="S355">
    <cfRule type="expression" dxfId="5344" priority="4581" stopIfTrue="1">
      <formula>$C355&lt;&gt;""</formula>
    </cfRule>
  </conditionalFormatting>
  <conditionalFormatting sqref="S355">
    <cfRule type="expression" dxfId="5343" priority="4580" stopIfTrue="1">
      <formula>$B355&lt;&gt;""</formula>
    </cfRule>
  </conditionalFormatting>
  <conditionalFormatting sqref="S355">
    <cfRule type="expression" dxfId="5342" priority="4579" stopIfTrue="1">
      <formula>$C355&lt;&gt;""</formula>
    </cfRule>
  </conditionalFormatting>
  <conditionalFormatting sqref="S355">
    <cfRule type="expression" dxfId="5341" priority="4578" stopIfTrue="1">
      <formula>$B355&lt;&gt;""</formula>
    </cfRule>
  </conditionalFormatting>
  <conditionalFormatting sqref="S355">
    <cfRule type="expression" dxfId="5340" priority="4577" stopIfTrue="1">
      <formula>$C355&lt;&gt;""</formula>
    </cfRule>
  </conditionalFormatting>
  <conditionalFormatting sqref="S355">
    <cfRule type="expression" dxfId="5339" priority="4576" stopIfTrue="1">
      <formula>$C355&lt;&gt;""</formula>
    </cfRule>
  </conditionalFormatting>
  <conditionalFormatting sqref="S355">
    <cfRule type="expression" dxfId="5338" priority="4575" stopIfTrue="1">
      <formula>$B355&lt;&gt;""</formula>
    </cfRule>
  </conditionalFormatting>
  <conditionalFormatting sqref="S355">
    <cfRule type="expression" dxfId="5337" priority="4574" stopIfTrue="1">
      <formula>$C355&lt;&gt;""</formula>
    </cfRule>
  </conditionalFormatting>
  <conditionalFormatting sqref="S355">
    <cfRule type="expression" dxfId="5336" priority="4573" stopIfTrue="1">
      <formula>$B355&lt;&gt;""</formula>
    </cfRule>
  </conditionalFormatting>
  <conditionalFormatting sqref="S355">
    <cfRule type="expression" dxfId="5335" priority="4572" stopIfTrue="1">
      <formula>$B355&lt;&gt;""</formula>
    </cfRule>
  </conditionalFormatting>
  <conditionalFormatting sqref="S355">
    <cfRule type="expression" dxfId="5334" priority="4571" stopIfTrue="1">
      <formula>$C355&lt;&gt;""</formula>
    </cfRule>
  </conditionalFormatting>
  <conditionalFormatting sqref="S355">
    <cfRule type="expression" dxfId="5333" priority="4570" stopIfTrue="1">
      <formula>$B355&lt;&gt;""</formula>
    </cfRule>
  </conditionalFormatting>
  <conditionalFormatting sqref="S355">
    <cfRule type="expression" dxfId="5332" priority="4569" stopIfTrue="1">
      <formula>$C355&lt;&gt;""</formula>
    </cfRule>
  </conditionalFormatting>
  <conditionalFormatting sqref="S355">
    <cfRule type="expression" dxfId="5331" priority="4568" stopIfTrue="1">
      <formula>$B355&lt;&gt;""</formula>
    </cfRule>
  </conditionalFormatting>
  <conditionalFormatting sqref="S355">
    <cfRule type="expression" dxfId="5330" priority="4567" stopIfTrue="1">
      <formula>$C355&lt;&gt;""</formula>
    </cfRule>
  </conditionalFormatting>
  <conditionalFormatting sqref="S355">
    <cfRule type="expression" dxfId="5329" priority="4566" stopIfTrue="1">
      <formula>$B355&lt;&gt;""</formula>
    </cfRule>
  </conditionalFormatting>
  <conditionalFormatting sqref="S355">
    <cfRule type="expression" dxfId="5328" priority="4565" stopIfTrue="1">
      <formula>$C355&lt;&gt;""</formula>
    </cfRule>
  </conditionalFormatting>
  <conditionalFormatting sqref="S355">
    <cfRule type="expression" dxfId="5327" priority="4564" stopIfTrue="1">
      <formula>$B355&lt;&gt;""</formula>
    </cfRule>
  </conditionalFormatting>
  <conditionalFormatting sqref="S355">
    <cfRule type="expression" dxfId="5326" priority="4563" stopIfTrue="1">
      <formula>$C355&lt;&gt;""</formula>
    </cfRule>
  </conditionalFormatting>
  <conditionalFormatting sqref="S355">
    <cfRule type="expression" dxfId="5325" priority="4562" stopIfTrue="1">
      <formula>$C355&lt;&gt;""</formula>
    </cfRule>
  </conditionalFormatting>
  <conditionalFormatting sqref="S355">
    <cfRule type="expression" dxfId="5324" priority="4561" stopIfTrue="1">
      <formula>$B355&lt;&gt;""</formula>
    </cfRule>
  </conditionalFormatting>
  <conditionalFormatting sqref="S355">
    <cfRule type="expression" dxfId="5323" priority="4560" stopIfTrue="1">
      <formula>$C355&lt;&gt;""</formula>
    </cfRule>
  </conditionalFormatting>
  <conditionalFormatting sqref="S355">
    <cfRule type="expression" dxfId="5322" priority="4559" stopIfTrue="1">
      <formula>$B355&lt;&gt;""</formula>
    </cfRule>
  </conditionalFormatting>
  <conditionalFormatting sqref="S355">
    <cfRule type="expression" dxfId="5321" priority="4558" stopIfTrue="1">
      <formula>$B355&lt;&gt;""</formula>
    </cfRule>
  </conditionalFormatting>
  <conditionalFormatting sqref="S355">
    <cfRule type="expression" dxfId="5320" priority="4557" stopIfTrue="1">
      <formula>$C355&lt;&gt;""</formula>
    </cfRule>
  </conditionalFormatting>
  <conditionalFormatting sqref="S356">
    <cfRule type="expression" dxfId="5319" priority="4556" stopIfTrue="1">
      <formula>$B356&lt;&gt;""</formula>
    </cfRule>
  </conditionalFormatting>
  <conditionalFormatting sqref="S356">
    <cfRule type="expression" dxfId="5318" priority="4555" stopIfTrue="1">
      <formula>$C356&lt;&gt;""</formula>
    </cfRule>
  </conditionalFormatting>
  <conditionalFormatting sqref="S355">
    <cfRule type="expression" dxfId="5317" priority="4554" stopIfTrue="1">
      <formula>$B355&lt;&gt;""</formula>
    </cfRule>
  </conditionalFormatting>
  <conditionalFormatting sqref="S355">
    <cfRule type="expression" dxfId="5316" priority="4553" stopIfTrue="1">
      <formula>$C355&lt;&gt;""</formula>
    </cfRule>
  </conditionalFormatting>
  <conditionalFormatting sqref="S356:S359">
    <cfRule type="expression" dxfId="5315" priority="4552" stopIfTrue="1">
      <formula>$B356&lt;&gt;""</formula>
    </cfRule>
  </conditionalFormatting>
  <conditionalFormatting sqref="S356:S359">
    <cfRule type="expression" dxfId="5314" priority="4551" stopIfTrue="1">
      <formula>$C356&lt;&gt;""</formula>
    </cfRule>
  </conditionalFormatting>
  <conditionalFormatting sqref="S355">
    <cfRule type="expression" dxfId="5313" priority="4550" stopIfTrue="1">
      <formula>$B355&lt;&gt;""</formula>
    </cfRule>
  </conditionalFormatting>
  <conditionalFormatting sqref="S355">
    <cfRule type="expression" dxfId="5312" priority="4549" stopIfTrue="1">
      <formula>$C355&lt;&gt;""</formula>
    </cfRule>
  </conditionalFormatting>
  <conditionalFormatting sqref="S356:S359">
    <cfRule type="expression" dxfId="5311" priority="4548" stopIfTrue="1">
      <formula>$B356&lt;&gt;""</formula>
    </cfRule>
  </conditionalFormatting>
  <conditionalFormatting sqref="S356:S359">
    <cfRule type="expression" dxfId="5310" priority="4547" stopIfTrue="1">
      <formula>$C356&lt;&gt;""</formula>
    </cfRule>
  </conditionalFormatting>
  <conditionalFormatting sqref="S355:S359">
    <cfRule type="expression" dxfId="5309" priority="4546" stopIfTrue="1">
      <formula>$B355&lt;&gt;""</formula>
    </cfRule>
  </conditionalFormatting>
  <conditionalFormatting sqref="S355:S359">
    <cfRule type="expression" dxfId="5308" priority="4545" stopIfTrue="1">
      <formula>$C355&lt;&gt;""</formula>
    </cfRule>
  </conditionalFormatting>
  <conditionalFormatting sqref="S355:S359">
    <cfRule type="expression" dxfId="5307" priority="4544" stopIfTrue="1">
      <formula>$B355&lt;&gt;""</formula>
    </cfRule>
  </conditionalFormatting>
  <conditionalFormatting sqref="S355:S359">
    <cfRule type="expression" dxfId="5306" priority="4543" stopIfTrue="1">
      <formula>$C355&lt;&gt;""</formula>
    </cfRule>
  </conditionalFormatting>
  <conditionalFormatting sqref="S355:S359">
    <cfRule type="expression" dxfId="5305" priority="4542" stopIfTrue="1">
      <formula>$B355&lt;&gt;""</formula>
    </cfRule>
  </conditionalFormatting>
  <conditionalFormatting sqref="S355:S359">
    <cfRule type="expression" dxfId="5304" priority="4541" stopIfTrue="1">
      <formula>$C355&lt;&gt;""</formula>
    </cfRule>
  </conditionalFormatting>
  <conditionalFormatting sqref="S355:S359">
    <cfRule type="expression" dxfId="5303" priority="4540" stopIfTrue="1">
      <formula>$B355&lt;&gt;""</formula>
    </cfRule>
  </conditionalFormatting>
  <conditionalFormatting sqref="S355:S359">
    <cfRule type="expression" dxfId="5302" priority="4539" stopIfTrue="1">
      <formula>$C355&lt;&gt;""</formula>
    </cfRule>
  </conditionalFormatting>
  <conditionalFormatting sqref="S355:S359">
    <cfRule type="expression" dxfId="5301" priority="4538" stopIfTrue="1">
      <formula>$B355&lt;&gt;""</formula>
    </cfRule>
  </conditionalFormatting>
  <conditionalFormatting sqref="S355:S359">
    <cfRule type="expression" dxfId="5300" priority="4537" stopIfTrue="1">
      <formula>$C355&lt;&gt;""</formula>
    </cfRule>
  </conditionalFormatting>
  <conditionalFormatting sqref="S355:S359">
    <cfRule type="expression" dxfId="5299" priority="4536" stopIfTrue="1">
      <formula>$B355&lt;&gt;""</formula>
    </cfRule>
  </conditionalFormatting>
  <conditionalFormatting sqref="S355:S359">
    <cfRule type="expression" dxfId="5298" priority="4535" stopIfTrue="1">
      <formula>$C355&lt;&gt;""</formula>
    </cfRule>
  </conditionalFormatting>
  <conditionalFormatting sqref="S355:S359">
    <cfRule type="expression" dxfId="5297" priority="4534" stopIfTrue="1">
      <formula>$B355&lt;&gt;""</formula>
    </cfRule>
  </conditionalFormatting>
  <conditionalFormatting sqref="S355:S359">
    <cfRule type="expression" dxfId="5296" priority="4533" stopIfTrue="1">
      <formula>$C355&lt;&gt;""</formula>
    </cfRule>
  </conditionalFormatting>
  <conditionalFormatting sqref="S355:S358">
    <cfRule type="expression" dxfId="5295" priority="4532" stopIfTrue="1">
      <formula>$B355&lt;&gt;""</formula>
    </cfRule>
  </conditionalFormatting>
  <conditionalFormatting sqref="S355:S358">
    <cfRule type="expression" dxfId="5294" priority="4531" stopIfTrue="1">
      <formula>$C355&lt;&gt;""</formula>
    </cfRule>
  </conditionalFormatting>
  <conditionalFormatting sqref="S359">
    <cfRule type="expression" dxfId="5293" priority="4530" stopIfTrue="1">
      <formula>$B359&lt;&gt;""</formula>
    </cfRule>
  </conditionalFormatting>
  <conditionalFormatting sqref="S359">
    <cfRule type="expression" dxfId="5292" priority="4529" stopIfTrue="1">
      <formula>$C359&lt;&gt;""</formula>
    </cfRule>
  </conditionalFormatting>
  <conditionalFormatting sqref="S355:S357">
    <cfRule type="expression" dxfId="5291" priority="4528" stopIfTrue="1">
      <formula>$B355&lt;&gt;""</formula>
    </cfRule>
  </conditionalFormatting>
  <conditionalFormatting sqref="S355:S357">
    <cfRule type="expression" dxfId="5290" priority="4527" stopIfTrue="1">
      <formula>$C355&lt;&gt;""</formula>
    </cfRule>
  </conditionalFormatting>
  <conditionalFormatting sqref="S358:S359">
    <cfRule type="expression" dxfId="5289" priority="4526" stopIfTrue="1">
      <formula>$B358&lt;&gt;""</formula>
    </cfRule>
  </conditionalFormatting>
  <conditionalFormatting sqref="S358:S359">
    <cfRule type="expression" dxfId="5288" priority="4525" stopIfTrue="1">
      <formula>$C358&lt;&gt;""</formula>
    </cfRule>
  </conditionalFormatting>
  <conditionalFormatting sqref="S355:S358">
    <cfRule type="expression" dxfId="5287" priority="4524" stopIfTrue="1">
      <formula>$B355&lt;&gt;""</formula>
    </cfRule>
  </conditionalFormatting>
  <conditionalFormatting sqref="S355:S358">
    <cfRule type="expression" dxfId="5286" priority="4523" stopIfTrue="1">
      <formula>$C355&lt;&gt;""</formula>
    </cfRule>
  </conditionalFormatting>
  <conditionalFormatting sqref="S355:S358">
    <cfRule type="expression" dxfId="5285" priority="4522" stopIfTrue="1">
      <formula>$B355&lt;&gt;""</formula>
    </cfRule>
  </conditionalFormatting>
  <conditionalFormatting sqref="S355:S358">
    <cfRule type="expression" dxfId="5284" priority="4521" stopIfTrue="1">
      <formula>$C355&lt;&gt;""</formula>
    </cfRule>
  </conditionalFormatting>
  <conditionalFormatting sqref="S359">
    <cfRule type="expression" dxfId="5283" priority="4520" stopIfTrue="1">
      <formula>$B359&lt;&gt;""</formula>
    </cfRule>
  </conditionalFormatting>
  <conditionalFormatting sqref="S359">
    <cfRule type="expression" dxfId="5282" priority="4519" stopIfTrue="1">
      <formula>$C359&lt;&gt;""</formula>
    </cfRule>
  </conditionalFormatting>
  <conditionalFormatting sqref="S355:S358">
    <cfRule type="expression" dxfId="5281" priority="4518" stopIfTrue="1">
      <formula>$B355&lt;&gt;""</formula>
    </cfRule>
  </conditionalFormatting>
  <conditionalFormatting sqref="S355:S358">
    <cfRule type="expression" dxfId="5280" priority="4517" stopIfTrue="1">
      <formula>$C355&lt;&gt;""</formula>
    </cfRule>
  </conditionalFormatting>
  <conditionalFormatting sqref="S359">
    <cfRule type="expression" dxfId="5279" priority="4516" stopIfTrue="1">
      <formula>$B359&lt;&gt;""</formula>
    </cfRule>
  </conditionalFormatting>
  <conditionalFormatting sqref="S359">
    <cfRule type="expression" dxfId="5278" priority="4515" stopIfTrue="1">
      <formula>$C359&lt;&gt;""</formula>
    </cfRule>
  </conditionalFormatting>
  <conditionalFormatting sqref="S359">
    <cfRule type="expression" dxfId="5277" priority="4514" stopIfTrue="1">
      <formula>$B359&lt;&gt;""</formula>
    </cfRule>
  </conditionalFormatting>
  <conditionalFormatting sqref="S359">
    <cfRule type="expression" dxfId="5276" priority="4513" stopIfTrue="1">
      <formula>$C359&lt;&gt;""</formula>
    </cfRule>
  </conditionalFormatting>
  <conditionalFormatting sqref="S355">
    <cfRule type="expression" dxfId="5275" priority="4512" stopIfTrue="1">
      <formula>$C355&lt;&gt;""</formula>
    </cfRule>
  </conditionalFormatting>
  <conditionalFormatting sqref="S355">
    <cfRule type="expression" dxfId="5274" priority="4511" stopIfTrue="1">
      <formula>$B355&lt;&gt;""</formula>
    </cfRule>
  </conditionalFormatting>
  <conditionalFormatting sqref="S356:S359">
    <cfRule type="expression" dxfId="5273" priority="4510" stopIfTrue="1">
      <formula>$C356&lt;&gt;""</formula>
    </cfRule>
  </conditionalFormatting>
  <conditionalFormatting sqref="S356:S359">
    <cfRule type="expression" dxfId="5272" priority="4509" stopIfTrue="1">
      <formula>$B356&lt;&gt;""</formula>
    </cfRule>
  </conditionalFormatting>
  <conditionalFormatting sqref="S358:S359">
    <cfRule type="expression" dxfId="5271" priority="4508" stopIfTrue="1">
      <formula>$C358&lt;&gt;""</formula>
    </cfRule>
  </conditionalFormatting>
  <conditionalFormatting sqref="S358:S359">
    <cfRule type="expression" dxfId="5270" priority="4507" stopIfTrue="1">
      <formula>$B358&lt;&gt;""</formula>
    </cfRule>
  </conditionalFormatting>
  <conditionalFormatting sqref="S355:S358">
    <cfRule type="expression" dxfId="5269" priority="4506" stopIfTrue="1">
      <formula>$B355&lt;&gt;""</formula>
    </cfRule>
  </conditionalFormatting>
  <conditionalFormatting sqref="S355:S358">
    <cfRule type="expression" dxfId="5268" priority="4505" stopIfTrue="1">
      <formula>$C355&lt;&gt;""</formula>
    </cfRule>
  </conditionalFormatting>
  <conditionalFormatting sqref="S359">
    <cfRule type="expression" dxfId="5267" priority="4504" stopIfTrue="1">
      <formula>$B359&lt;&gt;""</formula>
    </cfRule>
  </conditionalFormatting>
  <conditionalFormatting sqref="S359">
    <cfRule type="expression" dxfId="5266" priority="4503" stopIfTrue="1">
      <formula>$C359&lt;&gt;""</formula>
    </cfRule>
  </conditionalFormatting>
  <conditionalFormatting sqref="S355:S357">
    <cfRule type="expression" dxfId="5265" priority="4502" stopIfTrue="1">
      <formula>$B355&lt;&gt;""</formula>
    </cfRule>
  </conditionalFormatting>
  <conditionalFormatting sqref="S355:S357">
    <cfRule type="expression" dxfId="5264" priority="4501" stopIfTrue="1">
      <formula>$C355&lt;&gt;""</formula>
    </cfRule>
  </conditionalFormatting>
  <conditionalFormatting sqref="S358:S359">
    <cfRule type="expression" dxfId="5263" priority="4500" stopIfTrue="1">
      <formula>$B358&lt;&gt;""</formula>
    </cfRule>
  </conditionalFormatting>
  <conditionalFormatting sqref="S358:S359">
    <cfRule type="expression" dxfId="5262" priority="4499" stopIfTrue="1">
      <formula>$C358&lt;&gt;""</formula>
    </cfRule>
  </conditionalFormatting>
  <conditionalFormatting sqref="S355:S358">
    <cfRule type="expression" dxfId="5261" priority="4498" stopIfTrue="1">
      <formula>$B355&lt;&gt;""</formula>
    </cfRule>
  </conditionalFormatting>
  <conditionalFormatting sqref="S355:S358">
    <cfRule type="expression" dxfId="5260" priority="4497" stopIfTrue="1">
      <formula>$C355&lt;&gt;""</formula>
    </cfRule>
  </conditionalFormatting>
  <conditionalFormatting sqref="S355:S358">
    <cfRule type="expression" dxfId="5259" priority="4496" stopIfTrue="1">
      <formula>$B355&lt;&gt;""</formula>
    </cfRule>
  </conditionalFormatting>
  <conditionalFormatting sqref="S355:S358">
    <cfRule type="expression" dxfId="5258" priority="4495" stopIfTrue="1">
      <formula>$C355&lt;&gt;""</formula>
    </cfRule>
  </conditionalFormatting>
  <conditionalFormatting sqref="S359">
    <cfRule type="expression" dxfId="5257" priority="4494" stopIfTrue="1">
      <formula>$B359&lt;&gt;""</formula>
    </cfRule>
  </conditionalFormatting>
  <conditionalFormatting sqref="S359">
    <cfRule type="expression" dxfId="5256" priority="4493" stopIfTrue="1">
      <formula>$C359&lt;&gt;""</formula>
    </cfRule>
  </conditionalFormatting>
  <conditionalFormatting sqref="S355:S358">
    <cfRule type="expression" dxfId="5255" priority="4492" stopIfTrue="1">
      <formula>$B355&lt;&gt;""</formula>
    </cfRule>
  </conditionalFormatting>
  <conditionalFormatting sqref="S355:S358">
    <cfRule type="expression" dxfId="5254" priority="4491" stopIfTrue="1">
      <formula>$C355&lt;&gt;""</formula>
    </cfRule>
  </conditionalFormatting>
  <conditionalFormatting sqref="S359">
    <cfRule type="expression" dxfId="5253" priority="4490" stopIfTrue="1">
      <formula>$B359&lt;&gt;""</formula>
    </cfRule>
  </conditionalFormatting>
  <conditionalFormatting sqref="S359">
    <cfRule type="expression" dxfId="5252" priority="4489" stopIfTrue="1">
      <formula>$C359&lt;&gt;""</formula>
    </cfRule>
  </conditionalFormatting>
  <conditionalFormatting sqref="S359">
    <cfRule type="expression" dxfId="5251" priority="4488" stopIfTrue="1">
      <formula>$B359&lt;&gt;""</formula>
    </cfRule>
  </conditionalFormatting>
  <conditionalFormatting sqref="S359">
    <cfRule type="expression" dxfId="5250" priority="4487" stopIfTrue="1">
      <formula>$C359&lt;&gt;""</formula>
    </cfRule>
  </conditionalFormatting>
  <conditionalFormatting sqref="S355">
    <cfRule type="expression" dxfId="5249" priority="4486" stopIfTrue="1">
      <formula>$C355&lt;&gt;""</formula>
    </cfRule>
  </conditionalFormatting>
  <conditionalFormatting sqref="S355">
    <cfRule type="expression" dxfId="5248" priority="4485" stopIfTrue="1">
      <formula>$B355&lt;&gt;""</formula>
    </cfRule>
  </conditionalFormatting>
  <conditionalFormatting sqref="S356:S359">
    <cfRule type="expression" dxfId="5247" priority="4484" stopIfTrue="1">
      <formula>$C356&lt;&gt;""</formula>
    </cfRule>
  </conditionalFormatting>
  <conditionalFormatting sqref="S356:S359">
    <cfRule type="expression" dxfId="5246" priority="4483" stopIfTrue="1">
      <formula>$B356&lt;&gt;""</formula>
    </cfRule>
  </conditionalFormatting>
  <conditionalFormatting sqref="S358:S359">
    <cfRule type="expression" dxfId="5245" priority="4482" stopIfTrue="1">
      <formula>$C358&lt;&gt;""</formula>
    </cfRule>
  </conditionalFormatting>
  <conditionalFormatting sqref="S358:S359">
    <cfRule type="expression" dxfId="5244" priority="4481" stopIfTrue="1">
      <formula>$B358&lt;&gt;""</formula>
    </cfRule>
  </conditionalFormatting>
  <conditionalFormatting sqref="S355">
    <cfRule type="expression" dxfId="5243" priority="4480" stopIfTrue="1">
      <formula>$B355&lt;&gt;""</formula>
    </cfRule>
  </conditionalFormatting>
  <conditionalFormatting sqref="S355">
    <cfRule type="expression" dxfId="5242" priority="4479" stopIfTrue="1">
      <formula>$C355&lt;&gt;""</formula>
    </cfRule>
  </conditionalFormatting>
  <conditionalFormatting sqref="S356">
    <cfRule type="expression" dxfId="5241" priority="4478" stopIfTrue="1">
      <formula>$B356&lt;&gt;""</formula>
    </cfRule>
  </conditionalFormatting>
  <conditionalFormatting sqref="S356">
    <cfRule type="expression" dxfId="5240" priority="4477" stopIfTrue="1">
      <formula>$C356&lt;&gt;""</formula>
    </cfRule>
  </conditionalFormatting>
  <conditionalFormatting sqref="S355">
    <cfRule type="expression" dxfId="5239" priority="4476" stopIfTrue="1">
      <formula>$B355&lt;&gt;""</formula>
    </cfRule>
  </conditionalFormatting>
  <conditionalFormatting sqref="S355">
    <cfRule type="expression" dxfId="5238" priority="4475" stopIfTrue="1">
      <formula>$C355&lt;&gt;""</formula>
    </cfRule>
  </conditionalFormatting>
  <conditionalFormatting sqref="S356:S359">
    <cfRule type="expression" dxfId="5237" priority="4474" stopIfTrue="1">
      <formula>$B356&lt;&gt;""</formula>
    </cfRule>
  </conditionalFormatting>
  <conditionalFormatting sqref="S356:S359">
    <cfRule type="expression" dxfId="5236" priority="4473" stopIfTrue="1">
      <formula>$C356&lt;&gt;""</formula>
    </cfRule>
  </conditionalFormatting>
  <conditionalFormatting sqref="S355">
    <cfRule type="expression" dxfId="5235" priority="4472" stopIfTrue="1">
      <formula>$B355&lt;&gt;""</formula>
    </cfRule>
  </conditionalFormatting>
  <conditionalFormatting sqref="S355">
    <cfRule type="expression" dxfId="5234" priority="4471" stopIfTrue="1">
      <formula>$C355&lt;&gt;""</formula>
    </cfRule>
  </conditionalFormatting>
  <conditionalFormatting sqref="S356:S359">
    <cfRule type="expression" dxfId="5233" priority="4470" stopIfTrue="1">
      <formula>$B356&lt;&gt;""</formula>
    </cfRule>
  </conditionalFormatting>
  <conditionalFormatting sqref="S356:S359">
    <cfRule type="expression" dxfId="5232" priority="4469" stopIfTrue="1">
      <formula>$C356&lt;&gt;""</formula>
    </cfRule>
  </conditionalFormatting>
  <conditionalFormatting sqref="S355:S359">
    <cfRule type="expression" dxfId="5231" priority="4468" stopIfTrue="1">
      <formula>$B355&lt;&gt;""</formula>
    </cfRule>
  </conditionalFormatting>
  <conditionalFormatting sqref="S355:S359">
    <cfRule type="expression" dxfId="5230" priority="4467" stopIfTrue="1">
      <formula>$C355&lt;&gt;""</formula>
    </cfRule>
  </conditionalFormatting>
  <conditionalFormatting sqref="S355:S359">
    <cfRule type="expression" dxfId="5229" priority="4466" stopIfTrue="1">
      <formula>$B355&lt;&gt;""</formula>
    </cfRule>
  </conditionalFormatting>
  <conditionalFormatting sqref="S355:S359">
    <cfRule type="expression" dxfId="5228" priority="4465" stopIfTrue="1">
      <formula>$C355&lt;&gt;""</formula>
    </cfRule>
  </conditionalFormatting>
  <conditionalFormatting sqref="S355:S359">
    <cfRule type="expression" dxfId="5227" priority="4464" stopIfTrue="1">
      <formula>$B355&lt;&gt;""</formula>
    </cfRule>
  </conditionalFormatting>
  <conditionalFormatting sqref="S355:S359">
    <cfRule type="expression" dxfId="5226" priority="4463" stopIfTrue="1">
      <formula>$C355&lt;&gt;""</formula>
    </cfRule>
  </conditionalFormatting>
  <conditionalFormatting sqref="S355:S359">
    <cfRule type="expression" dxfId="5225" priority="4462" stopIfTrue="1">
      <formula>$B355&lt;&gt;""</formula>
    </cfRule>
  </conditionalFormatting>
  <conditionalFormatting sqref="S355:S359">
    <cfRule type="expression" dxfId="5224" priority="4461" stopIfTrue="1">
      <formula>$C355&lt;&gt;""</formula>
    </cfRule>
  </conditionalFormatting>
  <conditionalFormatting sqref="S355:S359">
    <cfRule type="expression" dxfId="5223" priority="4460" stopIfTrue="1">
      <formula>$B355&lt;&gt;""</formula>
    </cfRule>
  </conditionalFormatting>
  <conditionalFormatting sqref="S355:S359">
    <cfRule type="expression" dxfId="5222" priority="4459" stopIfTrue="1">
      <formula>$C355&lt;&gt;""</formula>
    </cfRule>
  </conditionalFormatting>
  <conditionalFormatting sqref="S355:S359">
    <cfRule type="expression" dxfId="5221" priority="4458" stopIfTrue="1">
      <formula>$B355&lt;&gt;""</formula>
    </cfRule>
  </conditionalFormatting>
  <conditionalFormatting sqref="S355:S359">
    <cfRule type="expression" dxfId="5220" priority="4457" stopIfTrue="1">
      <formula>$C355&lt;&gt;""</formula>
    </cfRule>
  </conditionalFormatting>
  <conditionalFormatting sqref="S355:S359">
    <cfRule type="expression" dxfId="5219" priority="4456" stopIfTrue="1">
      <formula>$B355&lt;&gt;""</formula>
    </cfRule>
  </conditionalFormatting>
  <conditionalFormatting sqref="S355:S359">
    <cfRule type="expression" dxfId="5218" priority="4455" stopIfTrue="1">
      <formula>$C355&lt;&gt;""</formula>
    </cfRule>
  </conditionalFormatting>
  <conditionalFormatting sqref="S355:S358">
    <cfRule type="expression" dxfId="5217" priority="4454" stopIfTrue="1">
      <formula>$B355&lt;&gt;""</formula>
    </cfRule>
  </conditionalFormatting>
  <conditionalFormatting sqref="S355:S358">
    <cfRule type="expression" dxfId="5216" priority="4453" stopIfTrue="1">
      <formula>$C355&lt;&gt;""</formula>
    </cfRule>
  </conditionalFormatting>
  <conditionalFormatting sqref="S359">
    <cfRule type="expression" dxfId="5215" priority="4452" stopIfTrue="1">
      <formula>$B359&lt;&gt;""</formula>
    </cfRule>
  </conditionalFormatting>
  <conditionalFormatting sqref="S359">
    <cfRule type="expression" dxfId="5214" priority="4451" stopIfTrue="1">
      <formula>$C359&lt;&gt;""</formula>
    </cfRule>
  </conditionalFormatting>
  <conditionalFormatting sqref="S355:S357">
    <cfRule type="expression" dxfId="5213" priority="4450" stopIfTrue="1">
      <formula>$B355&lt;&gt;""</formula>
    </cfRule>
  </conditionalFormatting>
  <conditionalFormatting sqref="S355:S357">
    <cfRule type="expression" dxfId="5212" priority="4449" stopIfTrue="1">
      <formula>$C355&lt;&gt;""</formula>
    </cfRule>
  </conditionalFormatting>
  <conditionalFormatting sqref="S358:S359">
    <cfRule type="expression" dxfId="5211" priority="4448" stopIfTrue="1">
      <formula>$B358&lt;&gt;""</formula>
    </cfRule>
  </conditionalFormatting>
  <conditionalFormatting sqref="S358:S359">
    <cfRule type="expression" dxfId="5210" priority="4447" stopIfTrue="1">
      <formula>$C358&lt;&gt;""</formula>
    </cfRule>
  </conditionalFormatting>
  <conditionalFormatting sqref="S355:S358">
    <cfRule type="expression" dxfId="5209" priority="4446" stopIfTrue="1">
      <formula>$B355&lt;&gt;""</formula>
    </cfRule>
  </conditionalFormatting>
  <conditionalFormatting sqref="S355:S358">
    <cfRule type="expression" dxfId="5208" priority="4445" stopIfTrue="1">
      <formula>$C355&lt;&gt;""</formula>
    </cfRule>
  </conditionalFormatting>
  <conditionalFormatting sqref="S355:S358">
    <cfRule type="expression" dxfId="5207" priority="4444" stopIfTrue="1">
      <formula>$B355&lt;&gt;""</formula>
    </cfRule>
  </conditionalFormatting>
  <conditionalFormatting sqref="S355:S358">
    <cfRule type="expression" dxfId="5206" priority="4443" stopIfTrue="1">
      <formula>$C355&lt;&gt;""</formula>
    </cfRule>
  </conditionalFormatting>
  <conditionalFormatting sqref="S359">
    <cfRule type="expression" dxfId="5205" priority="4442" stopIfTrue="1">
      <formula>$B359&lt;&gt;""</formula>
    </cfRule>
  </conditionalFormatting>
  <conditionalFormatting sqref="S359">
    <cfRule type="expression" dxfId="5204" priority="4441" stopIfTrue="1">
      <formula>$C359&lt;&gt;""</formula>
    </cfRule>
  </conditionalFormatting>
  <conditionalFormatting sqref="S355:S358">
    <cfRule type="expression" dxfId="5203" priority="4440" stopIfTrue="1">
      <formula>$B355&lt;&gt;""</formula>
    </cfRule>
  </conditionalFormatting>
  <conditionalFormatting sqref="S355:S358">
    <cfRule type="expression" dxfId="5202" priority="4439" stopIfTrue="1">
      <formula>$C355&lt;&gt;""</formula>
    </cfRule>
  </conditionalFormatting>
  <conditionalFormatting sqref="S359">
    <cfRule type="expression" dxfId="5201" priority="4438" stopIfTrue="1">
      <formula>$B359&lt;&gt;""</formula>
    </cfRule>
  </conditionalFormatting>
  <conditionalFormatting sqref="S359">
    <cfRule type="expression" dxfId="5200" priority="4437" stopIfTrue="1">
      <formula>$C359&lt;&gt;""</formula>
    </cfRule>
  </conditionalFormatting>
  <conditionalFormatting sqref="S359">
    <cfRule type="expression" dxfId="5199" priority="4436" stopIfTrue="1">
      <formula>$B359&lt;&gt;""</formula>
    </cfRule>
  </conditionalFormatting>
  <conditionalFormatting sqref="S359">
    <cfRule type="expression" dxfId="5198" priority="4435" stopIfTrue="1">
      <formula>$C359&lt;&gt;""</formula>
    </cfRule>
  </conditionalFormatting>
  <conditionalFormatting sqref="S355">
    <cfRule type="expression" dxfId="5197" priority="4434" stopIfTrue="1">
      <formula>$C355&lt;&gt;""</formula>
    </cfRule>
  </conditionalFormatting>
  <conditionalFormatting sqref="S355">
    <cfRule type="expression" dxfId="5196" priority="4433" stopIfTrue="1">
      <formula>$B355&lt;&gt;""</formula>
    </cfRule>
  </conditionalFormatting>
  <conditionalFormatting sqref="S356:S359">
    <cfRule type="expression" dxfId="5195" priority="4432" stopIfTrue="1">
      <formula>$C356&lt;&gt;""</formula>
    </cfRule>
  </conditionalFormatting>
  <conditionalFormatting sqref="S356:S359">
    <cfRule type="expression" dxfId="5194" priority="4431" stopIfTrue="1">
      <formula>$B356&lt;&gt;""</formula>
    </cfRule>
  </conditionalFormatting>
  <conditionalFormatting sqref="S358:S359">
    <cfRule type="expression" dxfId="5193" priority="4430" stopIfTrue="1">
      <formula>$C358&lt;&gt;""</formula>
    </cfRule>
  </conditionalFormatting>
  <conditionalFormatting sqref="S358:S359">
    <cfRule type="expression" dxfId="5192" priority="4429" stopIfTrue="1">
      <formula>$B358&lt;&gt;""</formula>
    </cfRule>
  </conditionalFormatting>
  <conditionalFormatting sqref="S355:S358">
    <cfRule type="expression" dxfId="5191" priority="4428" stopIfTrue="1">
      <formula>$B355&lt;&gt;""</formula>
    </cfRule>
  </conditionalFormatting>
  <conditionalFormatting sqref="S355:S358">
    <cfRule type="expression" dxfId="5190" priority="4427" stopIfTrue="1">
      <formula>$C355&lt;&gt;""</formula>
    </cfRule>
  </conditionalFormatting>
  <conditionalFormatting sqref="S359">
    <cfRule type="expression" dxfId="5189" priority="4426" stopIfTrue="1">
      <formula>$B359&lt;&gt;""</formula>
    </cfRule>
  </conditionalFormatting>
  <conditionalFormatting sqref="S359">
    <cfRule type="expression" dxfId="5188" priority="4425" stopIfTrue="1">
      <formula>$C359&lt;&gt;""</formula>
    </cfRule>
  </conditionalFormatting>
  <conditionalFormatting sqref="S355:S357">
    <cfRule type="expression" dxfId="5187" priority="4424" stopIfTrue="1">
      <formula>$B355&lt;&gt;""</formula>
    </cfRule>
  </conditionalFormatting>
  <conditionalFormatting sqref="S355:S357">
    <cfRule type="expression" dxfId="5186" priority="4423" stopIfTrue="1">
      <formula>$C355&lt;&gt;""</formula>
    </cfRule>
  </conditionalFormatting>
  <conditionalFormatting sqref="S358:S359">
    <cfRule type="expression" dxfId="5185" priority="4422" stopIfTrue="1">
      <formula>$B358&lt;&gt;""</formula>
    </cfRule>
  </conditionalFormatting>
  <conditionalFormatting sqref="S358:S359">
    <cfRule type="expression" dxfId="5184" priority="4421" stopIfTrue="1">
      <formula>$C358&lt;&gt;""</formula>
    </cfRule>
  </conditionalFormatting>
  <conditionalFormatting sqref="S355:S358">
    <cfRule type="expression" dxfId="5183" priority="4420" stopIfTrue="1">
      <formula>$B355&lt;&gt;""</formula>
    </cfRule>
  </conditionalFormatting>
  <conditionalFormatting sqref="S355:S358">
    <cfRule type="expression" dxfId="5182" priority="4419" stopIfTrue="1">
      <formula>$C355&lt;&gt;""</formula>
    </cfRule>
  </conditionalFormatting>
  <conditionalFormatting sqref="S355:S358">
    <cfRule type="expression" dxfId="5181" priority="4418" stopIfTrue="1">
      <formula>$B355&lt;&gt;""</formula>
    </cfRule>
  </conditionalFormatting>
  <conditionalFormatting sqref="S355:S358">
    <cfRule type="expression" dxfId="5180" priority="4417" stopIfTrue="1">
      <formula>$C355&lt;&gt;""</formula>
    </cfRule>
  </conditionalFormatting>
  <conditionalFormatting sqref="S359">
    <cfRule type="expression" dxfId="5179" priority="4416" stopIfTrue="1">
      <formula>$B359&lt;&gt;""</formula>
    </cfRule>
  </conditionalFormatting>
  <conditionalFormatting sqref="S359">
    <cfRule type="expression" dxfId="5178" priority="4415" stopIfTrue="1">
      <formula>$C359&lt;&gt;""</formula>
    </cfRule>
  </conditionalFormatting>
  <conditionalFormatting sqref="S355:S358">
    <cfRule type="expression" dxfId="5177" priority="4414" stopIfTrue="1">
      <formula>$B355&lt;&gt;""</formula>
    </cfRule>
  </conditionalFormatting>
  <conditionalFormatting sqref="S355:S358">
    <cfRule type="expression" dxfId="5176" priority="4413" stopIfTrue="1">
      <formula>$C355&lt;&gt;""</formula>
    </cfRule>
  </conditionalFormatting>
  <conditionalFormatting sqref="S359">
    <cfRule type="expression" dxfId="5175" priority="4412" stopIfTrue="1">
      <formula>$B359&lt;&gt;""</formula>
    </cfRule>
  </conditionalFormatting>
  <conditionalFormatting sqref="S359">
    <cfRule type="expression" dxfId="5174" priority="4411" stopIfTrue="1">
      <formula>$C359&lt;&gt;""</formula>
    </cfRule>
  </conditionalFormatting>
  <conditionalFormatting sqref="S359">
    <cfRule type="expression" dxfId="5173" priority="4410" stopIfTrue="1">
      <formula>$B359&lt;&gt;""</formula>
    </cfRule>
  </conditionalFormatting>
  <conditionalFormatting sqref="S359">
    <cfRule type="expression" dxfId="5172" priority="4409" stopIfTrue="1">
      <formula>$C359&lt;&gt;""</formula>
    </cfRule>
  </conditionalFormatting>
  <conditionalFormatting sqref="S355">
    <cfRule type="expression" dxfId="5171" priority="4408" stopIfTrue="1">
      <formula>$C355&lt;&gt;""</formula>
    </cfRule>
  </conditionalFormatting>
  <conditionalFormatting sqref="S355">
    <cfRule type="expression" dxfId="5170" priority="4407" stopIfTrue="1">
      <formula>$B355&lt;&gt;""</formula>
    </cfRule>
  </conditionalFormatting>
  <conditionalFormatting sqref="S356:S359">
    <cfRule type="expression" dxfId="5169" priority="4406" stopIfTrue="1">
      <formula>$C356&lt;&gt;""</formula>
    </cfRule>
  </conditionalFormatting>
  <conditionalFormatting sqref="S356:S359">
    <cfRule type="expression" dxfId="5168" priority="4405" stopIfTrue="1">
      <formula>$B356&lt;&gt;""</formula>
    </cfRule>
  </conditionalFormatting>
  <conditionalFormatting sqref="S358:S359">
    <cfRule type="expression" dxfId="5167" priority="4404" stopIfTrue="1">
      <formula>$C358&lt;&gt;""</formula>
    </cfRule>
  </conditionalFormatting>
  <conditionalFormatting sqref="S358:S359">
    <cfRule type="expression" dxfId="5166" priority="4403" stopIfTrue="1">
      <formula>$B358&lt;&gt;""</formula>
    </cfRule>
  </conditionalFormatting>
  <conditionalFormatting sqref="S355">
    <cfRule type="expression" dxfId="5165" priority="4402" stopIfTrue="1">
      <formula>$B355&lt;&gt;""</formula>
    </cfRule>
  </conditionalFormatting>
  <conditionalFormatting sqref="S355">
    <cfRule type="expression" dxfId="5164" priority="4401" stopIfTrue="1">
      <formula>$C355&lt;&gt;""</formula>
    </cfRule>
  </conditionalFormatting>
  <conditionalFormatting sqref="S355">
    <cfRule type="expression" dxfId="5163" priority="4400" stopIfTrue="1">
      <formula>$B355&lt;&gt;""</formula>
    </cfRule>
  </conditionalFormatting>
  <conditionalFormatting sqref="S355">
    <cfRule type="expression" dxfId="5162" priority="4399" stopIfTrue="1">
      <formula>$C355&lt;&gt;""</formula>
    </cfRule>
  </conditionalFormatting>
  <conditionalFormatting sqref="S355">
    <cfRule type="expression" dxfId="5161" priority="4398" stopIfTrue="1">
      <formula>$B355&lt;&gt;""</formula>
    </cfRule>
  </conditionalFormatting>
  <conditionalFormatting sqref="S355">
    <cfRule type="expression" dxfId="5160" priority="4397" stopIfTrue="1">
      <formula>$C355&lt;&gt;""</formula>
    </cfRule>
  </conditionalFormatting>
  <conditionalFormatting sqref="S355">
    <cfRule type="expression" dxfId="5159" priority="4396" stopIfTrue="1">
      <formula>$B355&lt;&gt;""</formula>
    </cfRule>
  </conditionalFormatting>
  <conditionalFormatting sqref="S355">
    <cfRule type="expression" dxfId="5158" priority="4395" stopIfTrue="1">
      <formula>$C355&lt;&gt;""</formula>
    </cfRule>
  </conditionalFormatting>
  <conditionalFormatting sqref="S355">
    <cfRule type="expression" dxfId="5157" priority="4394" stopIfTrue="1">
      <formula>$B355&lt;&gt;""</formula>
    </cfRule>
  </conditionalFormatting>
  <conditionalFormatting sqref="S355">
    <cfRule type="expression" dxfId="5156" priority="4393" stopIfTrue="1">
      <formula>$C355&lt;&gt;""</formula>
    </cfRule>
  </conditionalFormatting>
  <conditionalFormatting sqref="S355">
    <cfRule type="expression" dxfId="5155" priority="4392" stopIfTrue="1">
      <formula>$B355&lt;&gt;""</formula>
    </cfRule>
  </conditionalFormatting>
  <conditionalFormatting sqref="S355">
    <cfRule type="expression" dxfId="5154" priority="4391" stopIfTrue="1">
      <formula>$C355&lt;&gt;""</formula>
    </cfRule>
  </conditionalFormatting>
  <conditionalFormatting sqref="S355">
    <cfRule type="expression" dxfId="5153" priority="4390" stopIfTrue="1">
      <formula>$B355&lt;&gt;""</formula>
    </cfRule>
  </conditionalFormatting>
  <conditionalFormatting sqref="S355">
    <cfRule type="expression" dxfId="5152" priority="4389" stopIfTrue="1">
      <formula>$C355&lt;&gt;""</formula>
    </cfRule>
  </conditionalFormatting>
  <conditionalFormatting sqref="S355">
    <cfRule type="expression" dxfId="5151" priority="4388" stopIfTrue="1">
      <formula>$B355&lt;&gt;""</formula>
    </cfRule>
  </conditionalFormatting>
  <conditionalFormatting sqref="S355">
    <cfRule type="expression" dxfId="5150" priority="4387" stopIfTrue="1">
      <formula>$C355&lt;&gt;""</formula>
    </cfRule>
  </conditionalFormatting>
  <conditionalFormatting sqref="S355">
    <cfRule type="expression" dxfId="5149" priority="4386" stopIfTrue="1">
      <formula>$B355&lt;&gt;""</formula>
    </cfRule>
  </conditionalFormatting>
  <conditionalFormatting sqref="S355">
    <cfRule type="expression" dxfId="5148" priority="4385" stopIfTrue="1">
      <formula>$C355&lt;&gt;""</formula>
    </cfRule>
  </conditionalFormatting>
  <conditionalFormatting sqref="S355">
    <cfRule type="expression" dxfId="5147" priority="4384" stopIfTrue="1">
      <formula>$B355&lt;&gt;""</formula>
    </cfRule>
  </conditionalFormatting>
  <conditionalFormatting sqref="S355">
    <cfRule type="expression" dxfId="5146" priority="4383" stopIfTrue="1">
      <formula>$C355&lt;&gt;""</formula>
    </cfRule>
  </conditionalFormatting>
  <conditionalFormatting sqref="S355">
    <cfRule type="expression" dxfId="5145" priority="4382" stopIfTrue="1">
      <formula>$B355&lt;&gt;""</formula>
    </cfRule>
  </conditionalFormatting>
  <conditionalFormatting sqref="S355">
    <cfRule type="expression" dxfId="5144" priority="4381" stopIfTrue="1">
      <formula>$C355&lt;&gt;""</formula>
    </cfRule>
  </conditionalFormatting>
  <conditionalFormatting sqref="S355">
    <cfRule type="expression" dxfId="5143" priority="4380" stopIfTrue="1">
      <formula>$B355&lt;&gt;""</formula>
    </cfRule>
  </conditionalFormatting>
  <conditionalFormatting sqref="S355">
    <cfRule type="expression" dxfId="5142" priority="4379" stopIfTrue="1">
      <formula>$C355&lt;&gt;""</formula>
    </cfRule>
  </conditionalFormatting>
  <conditionalFormatting sqref="S355">
    <cfRule type="expression" dxfId="5141" priority="4378" stopIfTrue="1">
      <formula>$B355&lt;&gt;""</formula>
    </cfRule>
  </conditionalFormatting>
  <conditionalFormatting sqref="S355">
    <cfRule type="expression" dxfId="5140" priority="4377" stopIfTrue="1">
      <formula>$C355&lt;&gt;""</formula>
    </cfRule>
  </conditionalFormatting>
  <conditionalFormatting sqref="S355">
    <cfRule type="expression" dxfId="5139" priority="4376" stopIfTrue="1">
      <formula>$B355&lt;&gt;""</formula>
    </cfRule>
  </conditionalFormatting>
  <conditionalFormatting sqref="S355">
    <cfRule type="expression" dxfId="5138" priority="4375" stopIfTrue="1">
      <formula>$C355&lt;&gt;""</formula>
    </cfRule>
  </conditionalFormatting>
  <conditionalFormatting sqref="S355">
    <cfRule type="expression" dxfId="5137" priority="4374" stopIfTrue="1">
      <formula>$C355&lt;&gt;""</formula>
    </cfRule>
  </conditionalFormatting>
  <conditionalFormatting sqref="S355">
    <cfRule type="expression" dxfId="5136" priority="4373" stopIfTrue="1">
      <formula>$B355&lt;&gt;""</formula>
    </cfRule>
  </conditionalFormatting>
  <conditionalFormatting sqref="S355">
    <cfRule type="expression" dxfId="5135" priority="4372" stopIfTrue="1">
      <formula>$C355&lt;&gt;""</formula>
    </cfRule>
  </conditionalFormatting>
  <conditionalFormatting sqref="S355">
    <cfRule type="expression" dxfId="5134" priority="4371" stopIfTrue="1">
      <formula>$B355&lt;&gt;""</formula>
    </cfRule>
  </conditionalFormatting>
  <conditionalFormatting sqref="S355">
    <cfRule type="expression" dxfId="5133" priority="4370" stopIfTrue="1">
      <formula>$B355&lt;&gt;""</formula>
    </cfRule>
  </conditionalFormatting>
  <conditionalFormatting sqref="S355">
    <cfRule type="expression" dxfId="5132" priority="4369" stopIfTrue="1">
      <formula>$C355&lt;&gt;""</formula>
    </cfRule>
  </conditionalFormatting>
  <conditionalFormatting sqref="S355">
    <cfRule type="expression" dxfId="5131" priority="4368" stopIfTrue="1">
      <formula>$B355&lt;&gt;""</formula>
    </cfRule>
  </conditionalFormatting>
  <conditionalFormatting sqref="S355">
    <cfRule type="expression" dxfId="5130" priority="4367" stopIfTrue="1">
      <formula>$C355&lt;&gt;""</formula>
    </cfRule>
  </conditionalFormatting>
  <conditionalFormatting sqref="S355">
    <cfRule type="expression" dxfId="5129" priority="4366" stopIfTrue="1">
      <formula>$B355&lt;&gt;""</formula>
    </cfRule>
  </conditionalFormatting>
  <conditionalFormatting sqref="S355">
    <cfRule type="expression" dxfId="5128" priority="4365" stopIfTrue="1">
      <formula>$C355&lt;&gt;""</formula>
    </cfRule>
  </conditionalFormatting>
  <conditionalFormatting sqref="S355">
    <cfRule type="expression" dxfId="5127" priority="4364" stopIfTrue="1">
      <formula>$B355&lt;&gt;""</formula>
    </cfRule>
  </conditionalFormatting>
  <conditionalFormatting sqref="S355">
    <cfRule type="expression" dxfId="5126" priority="4363" stopIfTrue="1">
      <formula>$C355&lt;&gt;""</formula>
    </cfRule>
  </conditionalFormatting>
  <conditionalFormatting sqref="S355">
    <cfRule type="expression" dxfId="5125" priority="4362" stopIfTrue="1">
      <formula>$B355&lt;&gt;""</formula>
    </cfRule>
  </conditionalFormatting>
  <conditionalFormatting sqref="S355">
    <cfRule type="expression" dxfId="5124" priority="4361" stopIfTrue="1">
      <formula>$C355&lt;&gt;""</formula>
    </cfRule>
  </conditionalFormatting>
  <conditionalFormatting sqref="S355">
    <cfRule type="expression" dxfId="5123" priority="4360" stopIfTrue="1">
      <formula>$C355&lt;&gt;""</formula>
    </cfRule>
  </conditionalFormatting>
  <conditionalFormatting sqref="S355">
    <cfRule type="expression" dxfId="5122" priority="4359" stopIfTrue="1">
      <formula>$B355&lt;&gt;""</formula>
    </cfRule>
  </conditionalFormatting>
  <conditionalFormatting sqref="S355">
    <cfRule type="expression" dxfId="5121" priority="4358" stopIfTrue="1">
      <formula>$C355&lt;&gt;""</formula>
    </cfRule>
  </conditionalFormatting>
  <conditionalFormatting sqref="S355">
    <cfRule type="expression" dxfId="5120" priority="4357" stopIfTrue="1">
      <formula>$B355&lt;&gt;""</formula>
    </cfRule>
  </conditionalFormatting>
  <conditionalFormatting sqref="S355">
    <cfRule type="expression" dxfId="5119" priority="4356" stopIfTrue="1">
      <formula>$B355&lt;&gt;""</formula>
    </cfRule>
  </conditionalFormatting>
  <conditionalFormatting sqref="S355">
    <cfRule type="expression" dxfId="5118" priority="4355" stopIfTrue="1">
      <formula>$C355&lt;&gt;""</formula>
    </cfRule>
  </conditionalFormatting>
  <conditionalFormatting sqref="S356">
    <cfRule type="expression" dxfId="5117" priority="4354" stopIfTrue="1">
      <formula>$B356&lt;&gt;""</formula>
    </cfRule>
  </conditionalFormatting>
  <conditionalFormatting sqref="S356">
    <cfRule type="expression" dxfId="5116" priority="4353" stopIfTrue="1">
      <formula>$C356&lt;&gt;""</formula>
    </cfRule>
  </conditionalFormatting>
  <conditionalFormatting sqref="S355">
    <cfRule type="expression" dxfId="5115" priority="4352" stopIfTrue="1">
      <formula>$B355&lt;&gt;""</formula>
    </cfRule>
  </conditionalFormatting>
  <conditionalFormatting sqref="S355">
    <cfRule type="expression" dxfId="5114" priority="4351" stopIfTrue="1">
      <formula>$C355&lt;&gt;""</formula>
    </cfRule>
  </conditionalFormatting>
  <conditionalFormatting sqref="S356:S359">
    <cfRule type="expression" dxfId="5113" priority="4350" stopIfTrue="1">
      <formula>$B356&lt;&gt;""</formula>
    </cfRule>
  </conditionalFormatting>
  <conditionalFormatting sqref="S356:S359">
    <cfRule type="expression" dxfId="5112" priority="4349" stopIfTrue="1">
      <formula>$C356&lt;&gt;""</formula>
    </cfRule>
  </conditionalFormatting>
  <conditionalFormatting sqref="S355">
    <cfRule type="expression" dxfId="5111" priority="4348" stopIfTrue="1">
      <formula>$B355&lt;&gt;""</formula>
    </cfRule>
  </conditionalFormatting>
  <conditionalFormatting sqref="S355">
    <cfRule type="expression" dxfId="5110" priority="4347" stopIfTrue="1">
      <formula>$C355&lt;&gt;""</formula>
    </cfRule>
  </conditionalFormatting>
  <conditionalFormatting sqref="S356:S359">
    <cfRule type="expression" dxfId="5109" priority="4346" stopIfTrue="1">
      <formula>$B356&lt;&gt;""</formula>
    </cfRule>
  </conditionalFormatting>
  <conditionalFormatting sqref="S356:S359">
    <cfRule type="expression" dxfId="5108" priority="4345" stopIfTrue="1">
      <formula>$C356&lt;&gt;""</formula>
    </cfRule>
  </conditionalFormatting>
  <conditionalFormatting sqref="S355:S359">
    <cfRule type="expression" dxfId="5107" priority="4344" stopIfTrue="1">
      <formula>$B355&lt;&gt;""</formula>
    </cfRule>
  </conditionalFormatting>
  <conditionalFormatting sqref="S355:S359">
    <cfRule type="expression" dxfId="5106" priority="4343" stopIfTrue="1">
      <formula>$C355&lt;&gt;""</formula>
    </cfRule>
  </conditionalFormatting>
  <conditionalFormatting sqref="S355:S359">
    <cfRule type="expression" dxfId="5105" priority="4342" stopIfTrue="1">
      <formula>$B355&lt;&gt;""</formula>
    </cfRule>
  </conditionalFormatting>
  <conditionalFormatting sqref="S355:S359">
    <cfRule type="expression" dxfId="5104" priority="4341" stopIfTrue="1">
      <formula>$C355&lt;&gt;""</formula>
    </cfRule>
  </conditionalFormatting>
  <conditionalFormatting sqref="S355:S359">
    <cfRule type="expression" dxfId="5103" priority="4340" stopIfTrue="1">
      <formula>$B355&lt;&gt;""</formula>
    </cfRule>
  </conditionalFormatting>
  <conditionalFormatting sqref="S355:S359">
    <cfRule type="expression" dxfId="5102" priority="4339" stopIfTrue="1">
      <formula>$C355&lt;&gt;""</formula>
    </cfRule>
  </conditionalFormatting>
  <conditionalFormatting sqref="S355:S359">
    <cfRule type="expression" dxfId="5101" priority="4338" stopIfTrue="1">
      <formula>$B355&lt;&gt;""</formula>
    </cfRule>
  </conditionalFormatting>
  <conditionalFormatting sqref="S355:S359">
    <cfRule type="expression" dxfId="5100" priority="4337" stopIfTrue="1">
      <formula>$C355&lt;&gt;""</formula>
    </cfRule>
  </conditionalFormatting>
  <conditionalFormatting sqref="S355:S359">
    <cfRule type="expression" dxfId="5099" priority="4336" stopIfTrue="1">
      <formula>$B355&lt;&gt;""</formula>
    </cfRule>
  </conditionalFormatting>
  <conditionalFormatting sqref="S355:S359">
    <cfRule type="expression" dxfId="5098" priority="4335" stopIfTrue="1">
      <formula>$C355&lt;&gt;""</formula>
    </cfRule>
  </conditionalFormatting>
  <conditionalFormatting sqref="S355:S359">
    <cfRule type="expression" dxfId="5097" priority="4334" stopIfTrue="1">
      <formula>$B355&lt;&gt;""</formula>
    </cfRule>
  </conditionalFormatting>
  <conditionalFormatting sqref="S355:S359">
    <cfRule type="expression" dxfId="5096" priority="4333" stopIfTrue="1">
      <formula>$C355&lt;&gt;""</formula>
    </cfRule>
  </conditionalFormatting>
  <conditionalFormatting sqref="S355:S359">
    <cfRule type="expression" dxfId="5095" priority="4332" stopIfTrue="1">
      <formula>$B355&lt;&gt;""</formula>
    </cfRule>
  </conditionalFormatting>
  <conditionalFormatting sqref="S355:S359">
    <cfRule type="expression" dxfId="5094" priority="4331" stopIfTrue="1">
      <formula>$C355&lt;&gt;""</formula>
    </cfRule>
  </conditionalFormatting>
  <conditionalFormatting sqref="S355:S358">
    <cfRule type="expression" dxfId="5093" priority="4330" stopIfTrue="1">
      <formula>$B355&lt;&gt;""</formula>
    </cfRule>
  </conditionalFormatting>
  <conditionalFormatting sqref="S355:S358">
    <cfRule type="expression" dxfId="5092" priority="4329" stopIfTrue="1">
      <formula>$C355&lt;&gt;""</formula>
    </cfRule>
  </conditionalFormatting>
  <conditionalFormatting sqref="S359">
    <cfRule type="expression" dxfId="5091" priority="4328" stopIfTrue="1">
      <formula>$B359&lt;&gt;""</formula>
    </cfRule>
  </conditionalFormatting>
  <conditionalFormatting sqref="S359">
    <cfRule type="expression" dxfId="5090" priority="4327" stopIfTrue="1">
      <formula>$C359&lt;&gt;""</formula>
    </cfRule>
  </conditionalFormatting>
  <conditionalFormatting sqref="S355:S357">
    <cfRule type="expression" dxfId="5089" priority="4326" stopIfTrue="1">
      <formula>$B355&lt;&gt;""</formula>
    </cfRule>
  </conditionalFormatting>
  <conditionalFormatting sqref="S355:S357">
    <cfRule type="expression" dxfId="5088" priority="4325" stopIfTrue="1">
      <formula>$C355&lt;&gt;""</formula>
    </cfRule>
  </conditionalFormatting>
  <conditionalFormatting sqref="S358:S359">
    <cfRule type="expression" dxfId="5087" priority="4324" stopIfTrue="1">
      <formula>$B358&lt;&gt;""</formula>
    </cfRule>
  </conditionalFormatting>
  <conditionalFormatting sqref="S358:S359">
    <cfRule type="expression" dxfId="5086" priority="4323" stopIfTrue="1">
      <formula>$C358&lt;&gt;""</formula>
    </cfRule>
  </conditionalFormatting>
  <conditionalFormatting sqref="S355:S358">
    <cfRule type="expression" dxfId="5085" priority="4322" stopIfTrue="1">
      <formula>$B355&lt;&gt;""</formula>
    </cfRule>
  </conditionalFormatting>
  <conditionalFormatting sqref="S355:S358">
    <cfRule type="expression" dxfId="5084" priority="4321" stopIfTrue="1">
      <formula>$C355&lt;&gt;""</formula>
    </cfRule>
  </conditionalFormatting>
  <conditionalFormatting sqref="S355:S358">
    <cfRule type="expression" dxfId="5083" priority="4320" stopIfTrue="1">
      <formula>$B355&lt;&gt;""</formula>
    </cfRule>
  </conditionalFormatting>
  <conditionalFormatting sqref="S355:S358">
    <cfRule type="expression" dxfId="5082" priority="4319" stopIfTrue="1">
      <formula>$C355&lt;&gt;""</formula>
    </cfRule>
  </conditionalFormatting>
  <conditionalFormatting sqref="S359">
    <cfRule type="expression" dxfId="5081" priority="4318" stopIfTrue="1">
      <formula>$B359&lt;&gt;""</formula>
    </cfRule>
  </conditionalFormatting>
  <conditionalFormatting sqref="S359">
    <cfRule type="expression" dxfId="5080" priority="4317" stopIfTrue="1">
      <formula>$C359&lt;&gt;""</formula>
    </cfRule>
  </conditionalFormatting>
  <conditionalFormatting sqref="S355:S358">
    <cfRule type="expression" dxfId="5079" priority="4316" stopIfTrue="1">
      <formula>$B355&lt;&gt;""</formula>
    </cfRule>
  </conditionalFormatting>
  <conditionalFormatting sqref="S355:S358">
    <cfRule type="expression" dxfId="5078" priority="4315" stopIfTrue="1">
      <formula>$C355&lt;&gt;""</formula>
    </cfRule>
  </conditionalFormatting>
  <conditionalFormatting sqref="S359">
    <cfRule type="expression" dxfId="5077" priority="4314" stopIfTrue="1">
      <formula>$B359&lt;&gt;""</formula>
    </cfRule>
  </conditionalFormatting>
  <conditionalFormatting sqref="S359">
    <cfRule type="expression" dxfId="5076" priority="4313" stopIfTrue="1">
      <formula>$C359&lt;&gt;""</formula>
    </cfRule>
  </conditionalFormatting>
  <conditionalFormatting sqref="S359">
    <cfRule type="expression" dxfId="5075" priority="4312" stopIfTrue="1">
      <formula>$B359&lt;&gt;""</formula>
    </cfRule>
  </conditionalFormatting>
  <conditionalFormatting sqref="S359">
    <cfRule type="expression" dxfId="5074" priority="4311" stopIfTrue="1">
      <formula>$C359&lt;&gt;""</formula>
    </cfRule>
  </conditionalFormatting>
  <conditionalFormatting sqref="S355">
    <cfRule type="expression" dxfId="5073" priority="4310" stopIfTrue="1">
      <formula>$C355&lt;&gt;""</formula>
    </cfRule>
  </conditionalFormatting>
  <conditionalFormatting sqref="S355">
    <cfRule type="expression" dxfId="5072" priority="4309" stopIfTrue="1">
      <formula>$B355&lt;&gt;""</formula>
    </cfRule>
  </conditionalFormatting>
  <conditionalFormatting sqref="S356:S359">
    <cfRule type="expression" dxfId="5071" priority="4308" stopIfTrue="1">
      <formula>$C356&lt;&gt;""</formula>
    </cfRule>
  </conditionalFormatting>
  <conditionalFormatting sqref="S356:S359">
    <cfRule type="expression" dxfId="5070" priority="4307" stopIfTrue="1">
      <formula>$B356&lt;&gt;""</formula>
    </cfRule>
  </conditionalFormatting>
  <conditionalFormatting sqref="S358:S359">
    <cfRule type="expression" dxfId="5069" priority="4306" stopIfTrue="1">
      <formula>$C358&lt;&gt;""</formula>
    </cfRule>
  </conditionalFormatting>
  <conditionalFormatting sqref="S358:S359">
    <cfRule type="expression" dxfId="5068" priority="4305" stopIfTrue="1">
      <formula>$B358&lt;&gt;""</formula>
    </cfRule>
  </conditionalFormatting>
  <conditionalFormatting sqref="S355:S358">
    <cfRule type="expression" dxfId="5067" priority="4304" stopIfTrue="1">
      <formula>$B355&lt;&gt;""</formula>
    </cfRule>
  </conditionalFormatting>
  <conditionalFormatting sqref="S355:S358">
    <cfRule type="expression" dxfId="5066" priority="4303" stopIfTrue="1">
      <formula>$C355&lt;&gt;""</formula>
    </cfRule>
  </conditionalFormatting>
  <conditionalFormatting sqref="S359">
    <cfRule type="expression" dxfId="5065" priority="4302" stopIfTrue="1">
      <formula>$B359&lt;&gt;""</formula>
    </cfRule>
  </conditionalFormatting>
  <conditionalFormatting sqref="S359">
    <cfRule type="expression" dxfId="5064" priority="4301" stopIfTrue="1">
      <formula>$C359&lt;&gt;""</formula>
    </cfRule>
  </conditionalFormatting>
  <conditionalFormatting sqref="S355:S357">
    <cfRule type="expression" dxfId="5063" priority="4300" stopIfTrue="1">
      <formula>$B355&lt;&gt;""</formula>
    </cfRule>
  </conditionalFormatting>
  <conditionalFormatting sqref="S355:S357">
    <cfRule type="expression" dxfId="5062" priority="4299" stopIfTrue="1">
      <formula>$C355&lt;&gt;""</formula>
    </cfRule>
  </conditionalFormatting>
  <conditionalFormatting sqref="S358:S359">
    <cfRule type="expression" dxfId="5061" priority="4298" stopIfTrue="1">
      <formula>$B358&lt;&gt;""</formula>
    </cfRule>
  </conditionalFormatting>
  <conditionalFormatting sqref="S358:S359">
    <cfRule type="expression" dxfId="5060" priority="4297" stopIfTrue="1">
      <formula>$C358&lt;&gt;""</formula>
    </cfRule>
  </conditionalFormatting>
  <conditionalFormatting sqref="S355:S358">
    <cfRule type="expression" dxfId="5059" priority="4296" stopIfTrue="1">
      <formula>$B355&lt;&gt;""</formula>
    </cfRule>
  </conditionalFormatting>
  <conditionalFormatting sqref="S355:S358">
    <cfRule type="expression" dxfId="5058" priority="4295" stopIfTrue="1">
      <formula>$C355&lt;&gt;""</formula>
    </cfRule>
  </conditionalFormatting>
  <conditionalFormatting sqref="S355:S358">
    <cfRule type="expression" dxfId="5057" priority="4294" stopIfTrue="1">
      <formula>$B355&lt;&gt;""</formula>
    </cfRule>
  </conditionalFormatting>
  <conditionalFormatting sqref="S355:S358">
    <cfRule type="expression" dxfId="5056" priority="4293" stopIfTrue="1">
      <formula>$C355&lt;&gt;""</formula>
    </cfRule>
  </conditionalFormatting>
  <conditionalFormatting sqref="S359">
    <cfRule type="expression" dxfId="5055" priority="4292" stopIfTrue="1">
      <formula>$B359&lt;&gt;""</formula>
    </cfRule>
  </conditionalFormatting>
  <conditionalFormatting sqref="S359">
    <cfRule type="expression" dxfId="5054" priority="4291" stopIfTrue="1">
      <formula>$C359&lt;&gt;""</formula>
    </cfRule>
  </conditionalFormatting>
  <conditionalFormatting sqref="S355:S358">
    <cfRule type="expression" dxfId="5053" priority="4290" stopIfTrue="1">
      <formula>$B355&lt;&gt;""</formula>
    </cfRule>
  </conditionalFormatting>
  <conditionalFormatting sqref="S355:S358">
    <cfRule type="expression" dxfId="5052" priority="4289" stopIfTrue="1">
      <formula>$C355&lt;&gt;""</formula>
    </cfRule>
  </conditionalFormatting>
  <conditionalFormatting sqref="S359">
    <cfRule type="expression" dxfId="5051" priority="4288" stopIfTrue="1">
      <formula>$B359&lt;&gt;""</formula>
    </cfRule>
  </conditionalFormatting>
  <conditionalFormatting sqref="S359">
    <cfRule type="expression" dxfId="5050" priority="4287" stopIfTrue="1">
      <formula>$C359&lt;&gt;""</formula>
    </cfRule>
  </conditionalFormatting>
  <conditionalFormatting sqref="S359">
    <cfRule type="expression" dxfId="5049" priority="4286" stopIfTrue="1">
      <formula>$B359&lt;&gt;""</formula>
    </cfRule>
  </conditionalFormatting>
  <conditionalFormatting sqref="S359">
    <cfRule type="expression" dxfId="5048" priority="4285" stopIfTrue="1">
      <formula>$C359&lt;&gt;""</formula>
    </cfRule>
  </conditionalFormatting>
  <conditionalFormatting sqref="S355">
    <cfRule type="expression" dxfId="5047" priority="4284" stopIfTrue="1">
      <formula>$C355&lt;&gt;""</formula>
    </cfRule>
  </conditionalFormatting>
  <conditionalFormatting sqref="S355">
    <cfRule type="expression" dxfId="5046" priority="4283" stopIfTrue="1">
      <formula>$B355&lt;&gt;""</formula>
    </cfRule>
  </conditionalFormatting>
  <conditionalFormatting sqref="S356:S359">
    <cfRule type="expression" dxfId="5045" priority="4282" stopIfTrue="1">
      <formula>$C356&lt;&gt;""</formula>
    </cfRule>
  </conditionalFormatting>
  <conditionalFormatting sqref="S356:S359">
    <cfRule type="expression" dxfId="5044" priority="4281" stopIfTrue="1">
      <formula>$B356&lt;&gt;""</formula>
    </cfRule>
  </conditionalFormatting>
  <conditionalFormatting sqref="S358:S359">
    <cfRule type="expression" dxfId="5043" priority="4280" stopIfTrue="1">
      <formula>$C358&lt;&gt;""</formula>
    </cfRule>
  </conditionalFormatting>
  <conditionalFormatting sqref="S358:S359">
    <cfRule type="expression" dxfId="5042" priority="4279" stopIfTrue="1">
      <formula>$B358&lt;&gt;""</formula>
    </cfRule>
  </conditionalFormatting>
  <conditionalFormatting sqref="S355">
    <cfRule type="expression" dxfId="5041" priority="4278" stopIfTrue="1">
      <formula>$B355&lt;&gt;""</formula>
    </cfRule>
  </conditionalFormatting>
  <conditionalFormatting sqref="S355">
    <cfRule type="expression" dxfId="5040" priority="4277" stopIfTrue="1">
      <formula>$C355&lt;&gt;""</formula>
    </cfRule>
  </conditionalFormatting>
  <conditionalFormatting sqref="S355">
    <cfRule type="expression" dxfId="5039" priority="4276" stopIfTrue="1">
      <formula>$B355&lt;&gt;""</formula>
    </cfRule>
  </conditionalFormatting>
  <conditionalFormatting sqref="S355">
    <cfRule type="expression" dxfId="5038" priority="4275" stopIfTrue="1">
      <formula>$C355&lt;&gt;""</formula>
    </cfRule>
  </conditionalFormatting>
  <conditionalFormatting sqref="S355">
    <cfRule type="expression" dxfId="5037" priority="4274" stopIfTrue="1">
      <formula>$B355&lt;&gt;""</formula>
    </cfRule>
  </conditionalFormatting>
  <conditionalFormatting sqref="S355">
    <cfRule type="expression" dxfId="5036" priority="4273" stopIfTrue="1">
      <formula>$C355&lt;&gt;""</formula>
    </cfRule>
  </conditionalFormatting>
  <conditionalFormatting sqref="S355">
    <cfRule type="expression" dxfId="5035" priority="4272" stopIfTrue="1">
      <formula>$B355&lt;&gt;""</formula>
    </cfRule>
  </conditionalFormatting>
  <conditionalFormatting sqref="S355">
    <cfRule type="expression" dxfId="5034" priority="4271" stopIfTrue="1">
      <formula>$C355&lt;&gt;""</formula>
    </cfRule>
  </conditionalFormatting>
  <conditionalFormatting sqref="S355">
    <cfRule type="expression" dxfId="5033" priority="4270" stopIfTrue="1">
      <formula>$B355&lt;&gt;""</formula>
    </cfRule>
  </conditionalFormatting>
  <conditionalFormatting sqref="S355">
    <cfRule type="expression" dxfId="5032" priority="4269" stopIfTrue="1">
      <formula>$C355&lt;&gt;""</formula>
    </cfRule>
  </conditionalFormatting>
  <conditionalFormatting sqref="S355">
    <cfRule type="expression" dxfId="5031" priority="4268" stopIfTrue="1">
      <formula>$B355&lt;&gt;""</formula>
    </cfRule>
  </conditionalFormatting>
  <conditionalFormatting sqref="S355">
    <cfRule type="expression" dxfId="5030" priority="4267" stopIfTrue="1">
      <formula>$C355&lt;&gt;""</formula>
    </cfRule>
  </conditionalFormatting>
  <conditionalFormatting sqref="S355">
    <cfRule type="expression" dxfId="5029" priority="4266" stopIfTrue="1">
      <formula>$B355&lt;&gt;""</formula>
    </cfRule>
  </conditionalFormatting>
  <conditionalFormatting sqref="S355">
    <cfRule type="expression" dxfId="5028" priority="4265" stopIfTrue="1">
      <formula>$C355&lt;&gt;""</formula>
    </cfRule>
  </conditionalFormatting>
  <conditionalFormatting sqref="S355">
    <cfRule type="expression" dxfId="5027" priority="4264" stopIfTrue="1">
      <formula>$B355&lt;&gt;""</formula>
    </cfRule>
  </conditionalFormatting>
  <conditionalFormatting sqref="S355">
    <cfRule type="expression" dxfId="5026" priority="4263" stopIfTrue="1">
      <formula>$C355&lt;&gt;""</formula>
    </cfRule>
  </conditionalFormatting>
  <conditionalFormatting sqref="S355">
    <cfRule type="expression" dxfId="5025" priority="4262" stopIfTrue="1">
      <formula>$B355&lt;&gt;""</formula>
    </cfRule>
  </conditionalFormatting>
  <conditionalFormatting sqref="S355">
    <cfRule type="expression" dxfId="5024" priority="4261" stopIfTrue="1">
      <formula>$C355&lt;&gt;""</formula>
    </cfRule>
  </conditionalFormatting>
  <conditionalFormatting sqref="S355">
    <cfRule type="expression" dxfId="5023" priority="4260" stopIfTrue="1">
      <formula>$B355&lt;&gt;""</formula>
    </cfRule>
  </conditionalFormatting>
  <conditionalFormatting sqref="S355">
    <cfRule type="expression" dxfId="5022" priority="4259" stopIfTrue="1">
      <formula>$C355&lt;&gt;""</formula>
    </cfRule>
  </conditionalFormatting>
  <conditionalFormatting sqref="S355">
    <cfRule type="expression" dxfId="5021" priority="4258" stopIfTrue="1">
      <formula>$B355&lt;&gt;""</formula>
    </cfRule>
  </conditionalFormatting>
  <conditionalFormatting sqref="S355">
    <cfRule type="expression" dxfId="5020" priority="4257" stopIfTrue="1">
      <formula>$C355&lt;&gt;""</formula>
    </cfRule>
  </conditionalFormatting>
  <conditionalFormatting sqref="S355">
    <cfRule type="expression" dxfId="5019" priority="4256" stopIfTrue="1">
      <formula>$B355&lt;&gt;""</formula>
    </cfRule>
  </conditionalFormatting>
  <conditionalFormatting sqref="S355">
    <cfRule type="expression" dxfId="5018" priority="4255" stopIfTrue="1">
      <formula>$C355&lt;&gt;""</formula>
    </cfRule>
  </conditionalFormatting>
  <conditionalFormatting sqref="S355">
    <cfRule type="expression" dxfId="5017" priority="4254" stopIfTrue="1">
      <formula>$B355&lt;&gt;""</formula>
    </cfRule>
  </conditionalFormatting>
  <conditionalFormatting sqref="S355">
    <cfRule type="expression" dxfId="5016" priority="4253" stopIfTrue="1">
      <formula>$C355&lt;&gt;""</formula>
    </cfRule>
  </conditionalFormatting>
  <conditionalFormatting sqref="S355">
    <cfRule type="expression" dxfId="5015" priority="4252" stopIfTrue="1">
      <formula>$B355&lt;&gt;""</formula>
    </cfRule>
  </conditionalFormatting>
  <conditionalFormatting sqref="S355">
    <cfRule type="expression" dxfId="5014" priority="4251" stopIfTrue="1">
      <formula>$C355&lt;&gt;""</formula>
    </cfRule>
  </conditionalFormatting>
  <conditionalFormatting sqref="S355">
    <cfRule type="expression" dxfId="5013" priority="4250" stopIfTrue="1">
      <formula>$C355&lt;&gt;""</formula>
    </cfRule>
  </conditionalFormatting>
  <conditionalFormatting sqref="S355">
    <cfRule type="expression" dxfId="5012" priority="4249" stopIfTrue="1">
      <formula>$B355&lt;&gt;""</formula>
    </cfRule>
  </conditionalFormatting>
  <conditionalFormatting sqref="S355">
    <cfRule type="expression" dxfId="5011" priority="4248" stopIfTrue="1">
      <formula>$C355&lt;&gt;""</formula>
    </cfRule>
  </conditionalFormatting>
  <conditionalFormatting sqref="S355">
    <cfRule type="expression" dxfId="5010" priority="4247" stopIfTrue="1">
      <formula>$B355&lt;&gt;""</formula>
    </cfRule>
  </conditionalFormatting>
  <conditionalFormatting sqref="S355">
    <cfRule type="expression" dxfId="5009" priority="4246" stopIfTrue="1">
      <formula>$B355&lt;&gt;""</formula>
    </cfRule>
  </conditionalFormatting>
  <conditionalFormatting sqref="S355">
    <cfRule type="expression" dxfId="5008" priority="4245" stopIfTrue="1">
      <formula>$C355&lt;&gt;""</formula>
    </cfRule>
  </conditionalFormatting>
  <conditionalFormatting sqref="S355">
    <cfRule type="expression" dxfId="5007" priority="4244" stopIfTrue="1">
      <formula>$B355&lt;&gt;""</formula>
    </cfRule>
  </conditionalFormatting>
  <conditionalFormatting sqref="S355">
    <cfRule type="expression" dxfId="5006" priority="4243" stopIfTrue="1">
      <formula>$C355&lt;&gt;""</formula>
    </cfRule>
  </conditionalFormatting>
  <conditionalFormatting sqref="S355">
    <cfRule type="expression" dxfId="5005" priority="4242" stopIfTrue="1">
      <formula>$B355&lt;&gt;""</formula>
    </cfRule>
  </conditionalFormatting>
  <conditionalFormatting sqref="S355">
    <cfRule type="expression" dxfId="5004" priority="4241" stopIfTrue="1">
      <formula>$C355&lt;&gt;""</formula>
    </cfRule>
  </conditionalFormatting>
  <conditionalFormatting sqref="S355">
    <cfRule type="expression" dxfId="5003" priority="4240" stopIfTrue="1">
      <formula>$B355&lt;&gt;""</formula>
    </cfRule>
  </conditionalFormatting>
  <conditionalFormatting sqref="S355">
    <cfRule type="expression" dxfId="5002" priority="4239" stopIfTrue="1">
      <formula>$C355&lt;&gt;""</formula>
    </cfRule>
  </conditionalFormatting>
  <conditionalFormatting sqref="S355">
    <cfRule type="expression" dxfId="5001" priority="4238" stopIfTrue="1">
      <formula>$B355&lt;&gt;""</formula>
    </cfRule>
  </conditionalFormatting>
  <conditionalFormatting sqref="S355">
    <cfRule type="expression" dxfId="5000" priority="4237" stopIfTrue="1">
      <formula>$C355&lt;&gt;""</formula>
    </cfRule>
  </conditionalFormatting>
  <conditionalFormatting sqref="S355">
    <cfRule type="expression" dxfId="4999" priority="4236" stopIfTrue="1">
      <formula>$C355&lt;&gt;""</formula>
    </cfRule>
  </conditionalFormatting>
  <conditionalFormatting sqref="S355">
    <cfRule type="expression" dxfId="4998" priority="4235" stopIfTrue="1">
      <formula>$B355&lt;&gt;""</formula>
    </cfRule>
  </conditionalFormatting>
  <conditionalFormatting sqref="S355">
    <cfRule type="expression" dxfId="4997" priority="4234" stopIfTrue="1">
      <formula>$C355&lt;&gt;""</formula>
    </cfRule>
  </conditionalFormatting>
  <conditionalFormatting sqref="S355">
    <cfRule type="expression" dxfId="4996" priority="4233" stopIfTrue="1">
      <formula>$B355&lt;&gt;""</formula>
    </cfRule>
  </conditionalFormatting>
  <conditionalFormatting sqref="S355">
    <cfRule type="expression" dxfId="4995" priority="4232" stopIfTrue="1">
      <formula>$B355&lt;&gt;""</formula>
    </cfRule>
  </conditionalFormatting>
  <conditionalFormatting sqref="S355">
    <cfRule type="expression" dxfId="4994" priority="4231" stopIfTrue="1">
      <formula>$C355&lt;&gt;""</formula>
    </cfRule>
  </conditionalFormatting>
  <conditionalFormatting sqref="S356">
    <cfRule type="expression" dxfId="4993" priority="4230" stopIfTrue="1">
      <formula>$B356&lt;&gt;""</formula>
    </cfRule>
  </conditionalFormatting>
  <conditionalFormatting sqref="S356">
    <cfRule type="expression" dxfId="4992" priority="4229" stopIfTrue="1">
      <formula>$C356&lt;&gt;""</formula>
    </cfRule>
  </conditionalFormatting>
  <conditionalFormatting sqref="S355">
    <cfRule type="expression" dxfId="4991" priority="4228" stopIfTrue="1">
      <formula>$B355&lt;&gt;""</formula>
    </cfRule>
  </conditionalFormatting>
  <conditionalFormatting sqref="S355">
    <cfRule type="expression" dxfId="4990" priority="4227" stopIfTrue="1">
      <formula>$C355&lt;&gt;""</formula>
    </cfRule>
  </conditionalFormatting>
  <conditionalFormatting sqref="S356:S359">
    <cfRule type="expression" dxfId="4989" priority="4226" stopIfTrue="1">
      <formula>$B356&lt;&gt;""</formula>
    </cfRule>
  </conditionalFormatting>
  <conditionalFormatting sqref="S356:S359">
    <cfRule type="expression" dxfId="4988" priority="4225" stopIfTrue="1">
      <formula>$C356&lt;&gt;""</formula>
    </cfRule>
  </conditionalFormatting>
  <conditionalFormatting sqref="S355">
    <cfRule type="expression" dxfId="4987" priority="4224" stopIfTrue="1">
      <formula>$B355&lt;&gt;""</formula>
    </cfRule>
  </conditionalFormatting>
  <conditionalFormatting sqref="S355">
    <cfRule type="expression" dxfId="4986" priority="4223" stopIfTrue="1">
      <formula>$C355&lt;&gt;""</formula>
    </cfRule>
  </conditionalFormatting>
  <conditionalFormatting sqref="S356:S359">
    <cfRule type="expression" dxfId="4985" priority="4222" stopIfTrue="1">
      <formula>$B356&lt;&gt;""</formula>
    </cfRule>
  </conditionalFormatting>
  <conditionalFormatting sqref="S356:S359">
    <cfRule type="expression" dxfId="4984" priority="4221" stopIfTrue="1">
      <formula>$C356&lt;&gt;""</formula>
    </cfRule>
  </conditionalFormatting>
  <conditionalFormatting sqref="S355:S359">
    <cfRule type="expression" dxfId="4983" priority="4220" stopIfTrue="1">
      <formula>$B355&lt;&gt;""</formula>
    </cfRule>
  </conditionalFormatting>
  <conditionalFormatting sqref="S355:S359">
    <cfRule type="expression" dxfId="4982" priority="4219" stopIfTrue="1">
      <formula>$C355&lt;&gt;""</formula>
    </cfRule>
  </conditionalFormatting>
  <conditionalFormatting sqref="S355:S359">
    <cfRule type="expression" dxfId="4981" priority="4218" stopIfTrue="1">
      <formula>$B355&lt;&gt;""</formula>
    </cfRule>
  </conditionalFormatting>
  <conditionalFormatting sqref="S355:S359">
    <cfRule type="expression" dxfId="4980" priority="4217" stopIfTrue="1">
      <formula>$C355&lt;&gt;""</formula>
    </cfRule>
  </conditionalFormatting>
  <conditionalFormatting sqref="S355:S359">
    <cfRule type="expression" dxfId="4979" priority="4216" stopIfTrue="1">
      <formula>$B355&lt;&gt;""</formula>
    </cfRule>
  </conditionalFormatting>
  <conditionalFormatting sqref="S355:S359">
    <cfRule type="expression" dxfId="4978" priority="4215" stopIfTrue="1">
      <formula>$C355&lt;&gt;""</formula>
    </cfRule>
  </conditionalFormatting>
  <conditionalFormatting sqref="S355:S359">
    <cfRule type="expression" dxfId="4977" priority="4214" stopIfTrue="1">
      <formula>$B355&lt;&gt;""</formula>
    </cfRule>
  </conditionalFormatting>
  <conditionalFormatting sqref="S355:S359">
    <cfRule type="expression" dxfId="4976" priority="4213" stopIfTrue="1">
      <formula>$C355&lt;&gt;""</formula>
    </cfRule>
  </conditionalFormatting>
  <conditionalFormatting sqref="S355:S359">
    <cfRule type="expression" dxfId="4975" priority="4212" stopIfTrue="1">
      <formula>$B355&lt;&gt;""</formula>
    </cfRule>
  </conditionalFormatting>
  <conditionalFormatting sqref="S355:S359">
    <cfRule type="expression" dxfId="4974" priority="4211" stopIfTrue="1">
      <formula>$C355&lt;&gt;""</formula>
    </cfRule>
  </conditionalFormatting>
  <conditionalFormatting sqref="S355:S359">
    <cfRule type="expression" dxfId="4973" priority="4210" stopIfTrue="1">
      <formula>$B355&lt;&gt;""</formula>
    </cfRule>
  </conditionalFormatting>
  <conditionalFormatting sqref="S355:S359">
    <cfRule type="expression" dxfId="4972" priority="4209" stopIfTrue="1">
      <formula>$C355&lt;&gt;""</formula>
    </cfRule>
  </conditionalFormatting>
  <conditionalFormatting sqref="S355:S359">
    <cfRule type="expression" dxfId="4971" priority="4208" stopIfTrue="1">
      <formula>$B355&lt;&gt;""</formula>
    </cfRule>
  </conditionalFormatting>
  <conditionalFormatting sqref="S355:S359">
    <cfRule type="expression" dxfId="4970" priority="4207" stopIfTrue="1">
      <formula>$C355&lt;&gt;""</formula>
    </cfRule>
  </conditionalFormatting>
  <conditionalFormatting sqref="S355:S358">
    <cfRule type="expression" dxfId="4969" priority="4206" stopIfTrue="1">
      <formula>$B355&lt;&gt;""</formula>
    </cfRule>
  </conditionalFormatting>
  <conditionalFormatting sqref="S355:S358">
    <cfRule type="expression" dxfId="4968" priority="4205" stopIfTrue="1">
      <formula>$C355&lt;&gt;""</formula>
    </cfRule>
  </conditionalFormatting>
  <conditionalFormatting sqref="S359">
    <cfRule type="expression" dxfId="4967" priority="4204" stopIfTrue="1">
      <formula>$B359&lt;&gt;""</formula>
    </cfRule>
  </conditionalFormatting>
  <conditionalFormatting sqref="S359">
    <cfRule type="expression" dxfId="4966" priority="4203" stopIfTrue="1">
      <formula>$C359&lt;&gt;""</formula>
    </cfRule>
  </conditionalFormatting>
  <conditionalFormatting sqref="S355:S357">
    <cfRule type="expression" dxfId="4965" priority="4202" stopIfTrue="1">
      <formula>$B355&lt;&gt;""</formula>
    </cfRule>
  </conditionalFormatting>
  <conditionalFormatting sqref="S355:S357">
    <cfRule type="expression" dxfId="4964" priority="4201" stopIfTrue="1">
      <formula>$C355&lt;&gt;""</formula>
    </cfRule>
  </conditionalFormatting>
  <conditionalFormatting sqref="S358:S359">
    <cfRule type="expression" dxfId="4963" priority="4200" stopIfTrue="1">
      <formula>$B358&lt;&gt;""</formula>
    </cfRule>
  </conditionalFormatting>
  <conditionalFormatting sqref="S358:S359">
    <cfRule type="expression" dxfId="4962" priority="4199" stopIfTrue="1">
      <formula>$C358&lt;&gt;""</formula>
    </cfRule>
  </conditionalFormatting>
  <conditionalFormatting sqref="S355:S358">
    <cfRule type="expression" dxfId="4961" priority="4198" stopIfTrue="1">
      <formula>$B355&lt;&gt;""</formula>
    </cfRule>
  </conditionalFormatting>
  <conditionalFormatting sqref="S355:S358">
    <cfRule type="expression" dxfId="4960" priority="4197" stopIfTrue="1">
      <formula>$C355&lt;&gt;""</formula>
    </cfRule>
  </conditionalFormatting>
  <conditionalFormatting sqref="S355:S358">
    <cfRule type="expression" dxfId="4959" priority="4196" stopIfTrue="1">
      <formula>$B355&lt;&gt;""</formula>
    </cfRule>
  </conditionalFormatting>
  <conditionalFormatting sqref="S355:S358">
    <cfRule type="expression" dxfId="4958" priority="4195" stopIfTrue="1">
      <formula>$C355&lt;&gt;""</formula>
    </cfRule>
  </conditionalFormatting>
  <conditionalFormatting sqref="S359">
    <cfRule type="expression" dxfId="4957" priority="4194" stopIfTrue="1">
      <formula>$B359&lt;&gt;""</formula>
    </cfRule>
  </conditionalFormatting>
  <conditionalFormatting sqref="S359">
    <cfRule type="expression" dxfId="4956" priority="4193" stopIfTrue="1">
      <formula>$C359&lt;&gt;""</formula>
    </cfRule>
  </conditionalFormatting>
  <conditionalFormatting sqref="S355:S358">
    <cfRule type="expression" dxfId="4955" priority="4192" stopIfTrue="1">
      <formula>$B355&lt;&gt;""</formula>
    </cfRule>
  </conditionalFormatting>
  <conditionalFormatting sqref="S355:S358">
    <cfRule type="expression" dxfId="4954" priority="4191" stopIfTrue="1">
      <formula>$C355&lt;&gt;""</formula>
    </cfRule>
  </conditionalFormatting>
  <conditionalFormatting sqref="S359">
    <cfRule type="expression" dxfId="4953" priority="4190" stopIfTrue="1">
      <formula>$B359&lt;&gt;""</formula>
    </cfRule>
  </conditionalFormatting>
  <conditionalFormatting sqref="S359">
    <cfRule type="expression" dxfId="4952" priority="4189" stopIfTrue="1">
      <formula>$C359&lt;&gt;""</formula>
    </cfRule>
  </conditionalFormatting>
  <conditionalFormatting sqref="S359">
    <cfRule type="expression" dxfId="4951" priority="4188" stopIfTrue="1">
      <formula>$B359&lt;&gt;""</formula>
    </cfRule>
  </conditionalFormatting>
  <conditionalFormatting sqref="S359">
    <cfRule type="expression" dxfId="4950" priority="4187" stopIfTrue="1">
      <formula>$C359&lt;&gt;""</formula>
    </cfRule>
  </conditionalFormatting>
  <conditionalFormatting sqref="S355">
    <cfRule type="expression" dxfId="4949" priority="4186" stopIfTrue="1">
      <formula>$C355&lt;&gt;""</formula>
    </cfRule>
  </conditionalFormatting>
  <conditionalFormatting sqref="S355">
    <cfRule type="expression" dxfId="4948" priority="4185" stopIfTrue="1">
      <formula>$B355&lt;&gt;""</formula>
    </cfRule>
  </conditionalFormatting>
  <conditionalFormatting sqref="S356:S359">
    <cfRule type="expression" dxfId="4947" priority="4184" stopIfTrue="1">
      <formula>$C356&lt;&gt;""</formula>
    </cfRule>
  </conditionalFormatting>
  <conditionalFormatting sqref="S356:S359">
    <cfRule type="expression" dxfId="4946" priority="4183" stopIfTrue="1">
      <formula>$B356&lt;&gt;""</formula>
    </cfRule>
  </conditionalFormatting>
  <conditionalFormatting sqref="S358:S359">
    <cfRule type="expression" dxfId="4945" priority="4182" stopIfTrue="1">
      <formula>$C358&lt;&gt;""</formula>
    </cfRule>
  </conditionalFormatting>
  <conditionalFormatting sqref="S358:S359">
    <cfRule type="expression" dxfId="4944" priority="4181" stopIfTrue="1">
      <formula>$B358&lt;&gt;""</formula>
    </cfRule>
  </conditionalFormatting>
  <conditionalFormatting sqref="S355:S358">
    <cfRule type="expression" dxfId="4943" priority="4180" stopIfTrue="1">
      <formula>$B355&lt;&gt;""</formula>
    </cfRule>
  </conditionalFormatting>
  <conditionalFormatting sqref="S355:S358">
    <cfRule type="expression" dxfId="4942" priority="4179" stopIfTrue="1">
      <formula>$C355&lt;&gt;""</formula>
    </cfRule>
  </conditionalFormatting>
  <conditionalFormatting sqref="S359">
    <cfRule type="expression" dxfId="4941" priority="4178" stopIfTrue="1">
      <formula>$B359&lt;&gt;""</formula>
    </cfRule>
  </conditionalFormatting>
  <conditionalFormatting sqref="S359">
    <cfRule type="expression" dxfId="4940" priority="4177" stopIfTrue="1">
      <formula>$C359&lt;&gt;""</formula>
    </cfRule>
  </conditionalFormatting>
  <conditionalFormatting sqref="S355:S357">
    <cfRule type="expression" dxfId="4939" priority="4176" stopIfTrue="1">
      <formula>$B355&lt;&gt;""</formula>
    </cfRule>
  </conditionalFormatting>
  <conditionalFormatting sqref="S355:S357">
    <cfRule type="expression" dxfId="4938" priority="4175" stopIfTrue="1">
      <formula>$C355&lt;&gt;""</formula>
    </cfRule>
  </conditionalFormatting>
  <conditionalFormatting sqref="S358:S359">
    <cfRule type="expression" dxfId="4937" priority="4174" stopIfTrue="1">
      <formula>$B358&lt;&gt;""</formula>
    </cfRule>
  </conditionalFormatting>
  <conditionalFormatting sqref="S358:S359">
    <cfRule type="expression" dxfId="4936" priority="4173" stopIfTrue="1">
      <formula>$C358&lt;&gt;""</formula>
    </cfRule>
  </conditionalFormatting>
  <conditionalFormatting sqref="S355:S358">
    <cfRule type="expression" dxfId="4935" priority="4172" stopIfTrue="1">
      <formula>$B355&lt;&gt;""</formula>
    </cfRule>
  </conditionalFormatting>
  <conditionalFormatting sqref="S355:S358">
    <cfRule type="expression" dxfId="4934" priority="4171" stopIfTrue="1">
      <formula>$C355&lt;&gt;""</formula>
    </cfRule>
  </conditionalFormatting>
  <conditionalFormatting sqref="S355:S358">
    <cfRule type="expression" dxfId="4933" priority="4170" stopIfTrue="1">
      <formula>$B355&lt;&gt;""</formula>
    </cfRule>
  </conditionalFormatting>
  <conditionalFormatting sqref="S355:S358">
    <cfRule type="expression" dxfId="4932" priority="4169" stopIfTrue="1">
      <formula>$C355&lt;&gt;""</formula>
    </cfRule>
  </conditionalFormatting>
  <conditionalFormatting sqref="S359">
    <cfRule type="expression" dxfId="4931" priority="4168" stopIfTrue="1">
      <formula>$B359&lt;&gt;""</formula>
    </cfRule>
  </conditionalFormatting>
  <conditionalFormatting sqref="S359">
    <cfRule type="expression" dxfId="4930" priority="4167" stopIfTrue="1">
      <formula>$C359&lt;&gt;""</formula>
    </cfRule>
  </conditionalFormatting>
  <conditionalFormatting sqref="S355:S358">
    <cfRule type="expression" dxfId="4929" priority="4166" stopIfTrue="1">
      <formula>$B355&lt;&gt;""</formula>
    </cfRule>
  </conditionalFormatting>
  <conditionalFormatting sqref="S355:S358">
    <cfRule type="expression" dxfId="4928" priority="4165" stopIfTrue="1">
      <formula>$C355&lt;&gt;""</formula>
    </cfRule>
  </conditionalFormatting>
  <conditionalFormatting sqref="S359">
    <cfRule type="expression" dxfId="4927" priority="4164" stopIfTrue="1">
      <formula>$B359&lt;&gt;""</formula>
    </cfRule>
  </conditionalFormatting>
  <conditionalFormatting sqref="S359">
    <cfRule type="expression" dxfId="4926" priority="4163" stopIfTrue="1">
      <formula>$C359&lt;&gt;""</formula>
    </cfRule>
  </conditionalFormatting>
  <conditionalFormatting sqref="S359">
    <cfRule type="expression" dxfId="4925" priority="4162" stopIfTrue="1">
      <formula>$B359&lt;&gt;""</formula>
    </cfRule>
  </conditionalFormatting>
  <conditionalFormatting sqref="S359">
    <cfRule type="expression" dxfId="4924" priority="4161" stopIfTrue="1">
      <formula>$C359&lt;&gt;""</formula>
    </cfRule>
  </conditionalFormatting>
  <conditionalFormatting sqref="S355">
    <cfRule type="expression" dxfId="4923" priority="4160" stopIfTrue="1">
      <formula>$C355&lt;&gt;""</formula>
    </cfRule>
  </conditionalFormatting>
  <conditionalFormatting sqref="S355">
    <cfRule type="expression" dxfId="4922" priority="4159" stopIfTrue="1">
      <formula>$B355&lt;&gt;""</formula>
    </cfRule>
  </conditionalFormatting>
  <conditionalFormatting sqref="S356:S359">
    <cfRule type="expression" dxfId="4921" priority="4158" stopIfTrue="1">
      <formula>$C356&lt;&gt;""</formula>
    </cfRule>
  </conditionalFormatting>
  <conditionalFormatting sqref="S356:S359">
    <cfRule type="expression" dxfId="4920" priority="4157" stopIfTrue="1">
      <formula>$B356&lt;&gt;""</formula>
    </cfRule>
  </conditionalFormatting>
  <conditionalFormatting sqref="S358:S359">
    <cfRule type="expression" dxfId="4919" priority="4156" stopIfTrue="1">
      <formula>$C358&lt;&gt;""</formula>
    </cfRule>
  </conditionalFormatting>
  <conditionalFormatting sqref="S358:S359">
    <cfRule type="expression" dxfId="4918" priority="4155" stopIfTrue="1">
      <formula>$B358&lt;&gt;""</formula>
    </cfRule>
  </conditionalFormatting>
  <conditionalFormatting sqref="S355">
    <cfRule type="expression" dxfId="4917" priority="4154" stopIfTrue="1">
      <formula>$B355&lt;&gt;""</formula>
    </cfRule>
  </conditionalFormatting>
  <conditionalFormatting sqref="S355">
    <cfRule type="expression" dxfId="4916" priority="4153" stopIfTrue="1">
      <formula>$C355&lt;&gt;""</formula>
    </cfRule>
  </conditionalFormatting>
  <conditionalFormatting sqref="S356">
    <cfRule type="expression" dxfId="4915" priority="4152" stopIfTrue="1">
      <formula>$B356&lt;&gt;""</formula>
    </cfRule>
  </conditionalFormatting>
  <conditionalFormatting sqref="S356">
    <cfRule type="expression" dxfId="4914" priority="4151" stopIfTrue="1">
      <formula>$C356&lt;&gt;""</formula>
    </cfRule>
  </conditionalFormatting>
  <conditionalFormatting sqref="S355">
    <cfRule type="expression" dxfId="4913" priority="4150" stopIfTrue="1">
      <formula>$B355&lt;&gt;""</formula>
    </cfRule>
  </conditionalFormatting>
  <conditionalFormatting sqref="S355">
    <cfRule type="expression" dxfId="4912" priority="4149" stopIfTrue="1">
      <formula>$C355&lt;&gt;""</formula>
    </cfRule>
  </conditionalFormatting>
  <conditionalFormatting sqref="S356:S359">
    <cfRule type="expression" dxfId="4911" priority="4148" stopIfTrue="1">
      <formula>$B356&lt;&gt;""</formula>
    </cfRule>
  </conditionalFormatting>
  <conditionalFormatting sqref="S356:S359">
    <cfRule type="expression" dxfId="4910" priority="4147" stopIfTrue="1">
      <formula>$C356&lt;&gt;""</formula>
    </cfRule>
  </conditionalFormatting>
  <conditionalFormatting sqref="S355">
    <cfRule type="expression" dxfId="4909" priority="4146" stopIfTrue="1">
      <formula>$B355&lt;&gt;""</formula>
    </cfRule>
  </conditionalFormatting>
  <conditionalFormatting sqref="S355">
    <cfRule type="expression" dxfId="4908" priority="4145" stopIfTrue="1">
      <formula>$C355&lt;&gt;""</formula>
    </cfRule>
  </conditionalFormatting>
  <conditionalFormatting sqref="S356:S359">
    <cfRule type="expression" dxfId="4907" priority="4144" stopIfTrue="1">
      <formula>$B356&lt;&gt;""</formula>
    </cfRule>
  </conditionalFormatting>
  <conditionalFormatting sqref="S356:S359">
    <cfRule type="expression" dxfId="4906" priority="4143" stopIfTrue="1">
      <formula>$C356&lt;&gt;""</formula>
    </cfRule>
  </conditionalFormatting>
  <conditionalFormatting sqref="S355:S359">
    <cfRule type="expression" dxfId="4905" priority="4142" stopIfTrue="1">
      <formula>$B355&lt;&gt;""</formula>
    </cfRule>
  </conditionalFormatting>
  <conditionalFormatting sqref="S355:S359">
    <cfRule type="expression" dxfId="4904" priority="4141" stopIfTrue="1">
      <formula>$C355&lt;&gt;""</formula>
    </cfRule>
  </conditionalFormatting>
  <conditionalFormatting sqref="S355:S359">
    <cfRule type="expression" dxfId="4903" priority="4140" stopIfTrue="1">
      <formula>$B355&lt;&gt;""</formula>
    </cfRule>
  </conditionalFormatting>
  <conditionalFormatting sqref="S355:S359">
    <cfRule type="expression" dxfId="4902" priority="4139" stopIfTrue="1">
      <formula>$C355&lt;&gt;""</formula>
    </cfRule>
  </conditionalFormatting>
  <conditionalFormatting sqref="S355:S359">
    <cfRule type="expression" dxfId="4901" priority="4138" stopIfTrue="1">
      <formula>$B355&lt;&gt;""</formula>
    </cfRule>
  </conditionalFormatting>
  <conditionalFormatting sqref="S355:S359">
    <cfRule type="expression" dxfId="4900" priority="4137" stopIfTrue="1">
      <formula>$C355&lt;&gt;""</formula>
    </cfRule>
  </conditionalFormatting>
  <conditionalFormatting sqref="S355:S359">
    <cfRule type="expression" dxfId="4899" priority="4136" stopIfTrue="1">
      <formula>$B355&lt;&gt;""</formula>
    </cfRule>
  </conditionalFormatting>
  <conditionalFormatting sqref="S355:S359">
    <cfRule type="expression" dxfId="4898" priority="4135" stopIfTrue="1">
      <formula>$C355&lt;&gt;""</formula>
    </cfRule>
  </conditionalFormatting>
  <conditionalFormatting sqref="S355:S359">
    <cfRule type="expression" dxfId="4897" priority="4134" stopIfTrue="1">
      <formula>$B355&lt;&gt;""</formula>
    </cfRule>
  </conditionalFormatting>
  <conditionalFormatting sqref="S355:S359">
    <cfRule type="expression" dxfId="4896" priority="4133" stopIfTrue="1">
      <formula>$C355&lt;&gt;""</formula>
    </cfRule>
  </conditionalFormatting>
  <conditionalFormatting sqref="S355:S359">
    <cfRule type="expression" dxfId="4895" priority="4132" stopIfTrue="1">
      <formula>$B355&lt;&gt;""</formula>
    </cfRule>
  </conditionalFormatting>
  <conditionalFormatting sqref="S355:S359">
    <cfRule type="expression" dxfId="4894" priority="4131" stopIfTrue="1">
      <formula>$C355&lt;&gt;""</formula>
    </cfRule>
  </conditionalFormatting>
  <conditionalFormatting sqref="S355:S359">
    <cfRule type="expression" dxfId="4893" priority="4130" stopIfTrue="1">
      <formula>$B355&lt;&gt;""</formula>
    </cfRule>
  </conditionalFormatting>
  <conditionalFormatting sqref="S355:S359">
    <cfRule type="expression" dxfId="4892" priority="4129" stopIfTrue="1">
      <formula>$C355&lt;&gt;""</formula>
    </cfRule>
  </conditionalFormatting>
  <conditionalFormatting sqref="S355:S358">
    <cfRule type="expression" dxfId="4891" priority="4128" stopIfTrue="1">
      <formula>$B355&lt;&gt;""</formula>
    </cfRule>
  </conditionalFormatting>
  <conditionalFormatting sqref="S355:S358">
    <cfRule type="expression" dxfId="4890" priority="4127" stopIfTrue="1">
      <formula>$C355&lt;&gt;""</formula>
    </cfRule>
  </conditionalFormatting>
  <conditionalFormatting sqref="S359">
    <cfRule type="expression" dxfId="4889" priority="4126" stopIfTrue="1">
      <formula>$B359&lt;&gt;""</formula>
    </cfRule>
  </conditionalFormatting>
  <conditionalFormatting sqref="S359">
    <cfRule type="expression" dxfId="4888" priority="4125" stopIfTrue="1">
      <formula>$C359&lt;&gt;""</formula>
    </cfRule>
  </conditionalFormatting>
  <conditionalFormatting sqref="S355:S357">
    <cfRule type="expression" dxfId="4887" priority="4124" stopIfTrue="1">
      <formula>$B355&lt;&gt;""</formula>
    </cfRule>
  </conditionalFormatting>
  <conditionalFormatting sqref="S355:S357">
    <cfRule type="expression" dxfId="4886" priority="4123" stopIfTrue="1">
      <formula>$C355&lt;&gt;""</formula>
    </cfRule>
  </conditionalFormatting>
  <conditionalFormatting sqref="S358:S359">
    <cfRule type="expression" dxfId="4885" priority="4122" stopIfTrue="1">
      <formula>$B358&lt;&gt;""</formula>
    </cfRule>
  </conditionalFormatting>
  <conditionalFormatting sqref="S358:S359">
    <cfRule type="expression" dxfId="4884" priority="4121" stopIfTrue="1">
      <formula>$C358&lt;&gt;""</formula>
    </cfRule>
  </conditionalFormatting>
  <conditionalFormatting sqref="S355:S358">
    <cfRule type="expression" dxfId="4883" priority="4120" stopIfTrue="1">
      <formula>$B355&lt;&gt;""</formula>
    </cfRule>
  </conditionalFormatting>
  <conditionalFormatting sqref="S355:S358">
    <cfRule type="expression" dxfId="4882" priority="4119" stopIfTrue="1">
      <formula>$C355&lt;&gt;""</formula>
    </cfRule>
  </conditionalFormatting>
  <conditionalFormatting sqref="S355:S358">
    <cfRule type="expression" dxfId="4881" priority="4118" stopIfTrue="1">
      <formula>$B355&lt;&gt;""</formula>
    </cfRule>
  </conditionalFormatting>
  <conditionalFormatting sqref="S355:S358">
    <cfRule type="expression" dxfId="4880" priority="4117" stopIfTrue="1">
      <formula>$C355&lt;&gt;""</formula>
    </cfRule>
  </conditionalFormatting>
  <conditionalFormatting sqref="S359">
    <cfRule type="expression" dxfId="4879" priority="4116" stopIfTrue="1">
      <formula>$B359&lt;&gt;""</formula>
    </cfRule>
  </conditionalFormatting>
  <conditionalFormatting sqref="S359">
    <cfRule type="expression" dxfId="4878" priority="4115" stopIfTrue="1">
      <formula>$C359&lt;&gt;""</formula>
    </cfRule>
  </conditionalFormatting>
  <conditionalFormatting sqref="S355:S358">
    <cfRule type="expression" dxfId="4877" priority="4114" stopIfTrue="1">
      <formula>$B355&lt;&gt;""</formula>
    </cfRule>
  </conditionalFormatting>
  <conditionalFormatting sqref="S355:S358">
    <cfRule type="expression" dxfId="4876" priority="4113" stopIfTrue="1">
      <formula>$C355&lt;&gt;""</formula>
    </cfRule>
  </conditionalFormatting>
  <conditionalFormatting sqref="S359">
    <cfRule type="expression" dxfId="4875" priority="4112" stopIfTrue="1">
      <formula>$B359&lt;&gt;""</formula>
    </cfRule>
  </conditionalFormatting>
  <conditionalFormatting sqref="S359">
    <cfRule type="expression" dxfId="4874" priority="4111" stopIfTrue="1">
      <formula>$C359&lt;&gt;""</formula>
    </cfRule>
  </conditionalFormatting>
  <conditionalFormatting sqref="S359">
    <cfRule type="expression" dxfId="4873" priority="4110" stopIfTrue="1">
      <formula>$B359&lt;&gt;""</formula>
    </cfRule>
  </conditionalFormatting>
  <conditionalFormatting sqref="S359">
    <cfRule type="expression" dxfId="4872" priority="4109" stopIfTrue="1">
      <formula>$C359&lt;&gt;""</formula>
    </cfRule>
  </conditionalFormatting>
  <conditionalFormatting sqref="S355">
    <cfRule type="expression" dxfId="4871" priority="4108" stopIfTrue="1">
      <formula>$C355&lt;&gt;""</formula>
    </cfRule>
  </conditionalFormatting>
  <conditionalFormatting sqref="S355">
    <cfRule type="expression" dxfId="4870" priority="4107" stopIfTrue="1">
      <formula>$B355&lt;&gt;""</formula>
    </cfRule>
  </conditionalFormatting>
  <conditionalFormatting sqref="S356:S359">
    <cfRule type="expression" dxfId="4869" priority="4106" stopIfTrue="1">
      <formula>$C356&lt;&gt;""</formula>
    </cfRule>
  </conditionalFormatting>
  <conditionalFormatting sqref="S356:S359">
    <cfRule type="expression" dxfId="4868" priority="4105" stopIfTrue="1">
      <formula>$B356&lt;&gt;""</formula>
    </cfRule>
  </conditionalFormatting>
  <conditionalFormatting sqref="S358:S359">
    <cfRule type="expression" dxfId="4867" priority="4104" stopIfTrue="1">
      <formula>$C358&lt;&gt;""</formula>
    </cfRule>
  </conditionalFormatting>
  <conditionalFormatting sqref="S358:S359">
    <cfRule type="expression" dxfId="4866" priority="4103" stopIfTrue="1">
      <formula>$B358&lt;&gt;""</formula>
    </cfRule>
  </conditionalFormatting>
  <conditionalFormatting sqref="S355:S358">
    <cfRule type="expression" dxfId="4865" priority="4102" stopIfTrue="1">
      <formula>$B355&lt;&gt;""</formula>
    </cfRule>
  </conditionalFormatting>
  <conditionalFormatting sqref="S355:S358">
    <cfRule type="expression" dxfId="4864" priority="4101" stopIfTrue="1">
      <formula>$C355&lt;&gt;""</formula>
    </cfRule>
  </conditionalFormatting>
  <conditionalFormatting sqref="S359">
    <cfRule type="expression" dxfId="4863" priority="4100" stopIfTrue="1">
      <formula>$B359&lt;&gt;""</formula>
    </cfRule>
  </conditionalFormatting>
  <conditionalFormatting sqref="S359">
    <cfRule type="expression" dxfId="4862" priority="4099" stopIfTrue="1">
      <formula>$C359&lt;&gt;""</formula>
    </cfRule>
  </conditionalFormatting>
  <conditionalFormatting sqref="S355:S357">
    <cfRule type="expression" dxfId="4861" priority="4098" stopIfTrue="1">
      <formula>$B355&lt;&gt;""</formula>
    </cfRule>
  </conditionalFormatting>
  <conditionalFormatting sqref="S355:S357">
    <cfRule type="expression" dxfId="4860" priority="4097" stopIfTrue="1">
      <formula>$C355&lt;&gt;""</formula>
    </cfRule>
  </conditionalFormatting>
  <conditionalFormatting sqref="S358:S359">
    <cfRule type="expression" dxfId="4859" priority="4096" stopIfTrue="1">
      <formula>$B358&lt;&gt;""</formula>
    </cfRule>
  </conditionalFormatting>
  <conditionalFormatting sqref="S358:S359">
    <cfRule type="expression" dxfId="4858" priority="4095" stopIfTrue="1">
      <formula>$C358&lt;&gt;""</formula>
    </cfRule>
  </conditionalFormatting>
  <conditionalFormatting sqref="S355:S358">
    <cfRule type="expression" dxfId="4857" priority="4094" stopIfTrue="1">
      <formula>$B355&lt;&gt;""</formula>
    </cfRule>
  </conditionalFormatting>
  <conditionalFormatting sqref="S355:S358">
    <cfRule type="expression" dxfId="4856" priority="4093" stopIfTrue="1">
      <formula>$C355&lt;&gt;""</formula>
    </cfRule>
  </conditionalFormatting>
  <conditionalFormatting sqref="S355:S358">
    <cfRule type="expression" dxfId="4855" priority="4092" stopIfTrue="1">
      <formula>$B355&lt;&gt;""</formula>
    </cfRule>
  </conditionalFormatting>
  <conditionalFormatting sqref="S355:S358">
    <cfRule type="expression" dxfId="4854" priority="4091" stopIfTrue="1">
      <formula>$C355&lt;&gt;""</formula>
    </cfRule>
  </conditionalFormatting>
  <conditionalFormatting sqref="S359">
    <cfRule type="expression" dxfId="4853" priority="4090" stopIfTrue="1">
      <formula>$B359&lt;&gt;""</formula>
    </cfRule>
  </conditionalFormatting>
  <conditionalFormatting sqref="S359">
    <cfRule type="expression" dxfId="4852" priority="4089" stopIfTrue="1">
      <formula>$C359&lt;&gt;""</formula>
    </cfRule>
  </conditionalFormatting>
  <conditionalFormatting sqref="S355:S358">
    <cfRule type="expression" dxfId="4851" priority="4088" stopIfTrue="1">
      <formula>$B355&lt;&gt;""</formula>
    </cfRule>
  </conditionalFormatting>
  <conditionalFormatting sqref="S355:S358">
    <cfRule type="expression" dxfId="4850" priority="4087" stopIfTrue="1">
      <formula>$C355&lt;&gt;""</formula>
    </cfRule>
  </conditionalFormatting>
  <conditionalFormatting sqref="S359">
    <cfRule type="expression" dxfId="4849" priority="4086" stopIfTrue="1">
      <formula>$B359&lt;&gt;""</formula>
    </cfRule>
  </conditionalFormatting>
  <conditionalFormatting sqref="S359">
    <cfRule type="expression" dxfId="4848" priority="4085" stopIfTrue="1">
      <formula>$C359&lt;&gt;""</formula>
    </cfRule>
  </conditionalFormatting>
  <conditionalFormatting sqref="S359">
    <cfRule type="expression" dxfId="4847" priority="4084" stopIfTrue="1">
      <formula>$B359&lt;&gt;""</formula>
    </cfRule>
  </conditionalFormatting>
  <conditionalFormatting sqref="S359">
    <cfRule type="expression" dxfId="4846" priority="4083" stopIfTrue="1">
      <formula>$C359&lt;&gt;""</formula>
    </cfRule>
  </conditionalFormatting>
  <conditionalFormatting sqref="S355">
    <cfRule type="expression" dxfId="4845" priority="4082" stopIfTrue="1">
      <formula>$C355&lt;&gt;""</formula>
    </cfRule>
  </conditionalFormatting>
  <conditionalFormatting sqref="S355">
    <cfRule type="expression" dxfId="4844" priority="4081" stopIfTrue="1">
      <formula>$B355&lt;&gt;""</formula>
    </cfRule>
  </conditionalFormatting>
  <conditionalFormatting sqref="S356:S359">
    <cfRule type="expression" dxfId="4843" priority="4080" stopIfTrue="1">
      <formula>$C356&lt;&gt;""</formula>
    </cfRule>
  </conditionalFormatting>
  <conditionalFormatting sqref="S356:S359">
    <cfRule type="expression" dxfId="4842" priority="4079" stopIfTrue="1">
      <formula>$B356&lt;&gt;""</formula>
    </cfRule>
  </conditionalFormatting>
  <conditionalFormatting sqref="S358:S359">
    <cfRule type="expression" dxfId="4841" priority="4078" stopIfTrue="1">
      <formula>$C358&lt;&gt;""</formula>
    </cfRule>
  </conditionalFormatting>
  <conditionalFormatting sqref="S358:S359">
    <cfRule type="expression" dxfId="4840" priority="4077" stopIfTrue="1">
      <formula>$B358&lt;&gt;""</formula>
    </cfRule>
  </conditionalFormatting>
  <conditionalFormatting sqref="S360">
    <cfRule type="expression" dxfId="4839" priority="4076" stopIfTrue="1">
      <formula>$B360&lt;&gt;""</formula>
    </cfRule>
  </conditionalFormatting>
  <conditionalFormatting sqref="S360">
    <cfRule type="expression" dxfId="4838" priority="4075" stopIfTrue="1">
      <formula>$C360&lt;&gt;""</formula>
    </cfRule>
  </conditionalFormatting>
  <conditionalFormatting sqref="S360">
    <cfRule type="expression" dxfId="4837" priority="4074" stopIfTrue="1">
      <formula>$B360&lt;&gt;""</formula>
    </cfRule>
  </conditionalFormatting>
  <conditionalFormatting sqref="S360">
    <cfRule type="expression" dxfId="4836" priority="4073" stopIfTrue="1">
      <formula>$C360&lt;&gt;""</formula>
    </cfRule>
  </conditionalFormatting>
  <conditionalFormatting sqref="S360">
    <cfRule type="expression" dxfId="4835" priority="4072" stopIfTrue="1">
      <formula>$B360&lt;&gt;""</formula>
    </cfRule>
  </conditionalFormatting>
  <conditionalFormatting sqref="S360">
    <cfRule type="expression" dxfId="4834" priority="4071" stopIfTrue="1">
      <formula>$C360&lt;&gt;""</formula>
    </cfRule>
  </conditionalFormatting>
  <conditionalFormatting sqref="S360">
    <cfRule type="expression" dxfId="4833" priority="4070" stopIfTrue="1">
      <formula>$B360&lt;&gt;""</formula>
    </cfRule>
  </conditionalFormatting>
  <conditionalFormatting sqref="S360">
    <cfRule type="expression" dxfId="4832" priority="4069" stopIfTrue="1">
      <formula>$C360&lt;&gt;""</formula>
    </cfRule>
  </conditionalFormatting>
  <conditionalFormatting sqref="S360">
    <cfRule type="expression" dxfId="4831" priority="4068" stopIfTrue="1">
      <formula>$B360&lt;&gt;""</formula>
    </cfRule>
  </conditionalFormatting>
  <conditionalFormatting sqref="S360">
    <cfRule type="expression" dxfId="4830" priority="4067" stopIfTrue="1">
      <formula>$C360&lt;&gt;""</formula>
    </cfRule>
  </conditionalFormatting>
  <conditionalFormatting sqref="S360">
    <cfRule type="expression" dxfId="4829" priority="4066" stopIfTrue="1">
      <formula>$B360&lt;&gt;""</formula>
    </cfRule>
  </conditionalFormatting>
  <conditionalFormatting sqref="S360">
    <cfRule type="expression" dxfId="4828" priority="4065" stopIfTrue="1">
      <formula>$C360&lt;&gt;""</formula>
    </cfRule>
  </conditionalFormatting>
  <conditionalFormatting sqref="S360">
    <cfRule type="expression" dxfId="4827" priority="4064" stopIfTrue="1">
      <formula>$B360&lt;&gt;""</formula>
    </cfRule>
  </conditionalFormatting>
  <conditionalFormatting sqref="S360">
    <cfRule type="expression" dxfId="4826" priority="4063" stopIfTrue="1">
      <formula>$C360&lt;&gt;""</formula>
    </cfRule>
  </conditionalFormatting>
  <conditionalFormatting sqref="S360">
    <cfRule type="expression" dxfId="4825" priority="4062" stopIfTrue="1">
      <formula>$B360&lt;&gt;""</formula>
    </cfRule>
  </conditionalFormatting>
  <conditionalFormatting sqref="S360">
    <cfRule type="expression" dxfId="4824" priority="4061" stopIfTrue="1">
      <formula>$C360&lt;&gt;""</formula>
    </cfRule>
  </conditionalFormatting>
  <conditionalFormatting sqref="S360">
    <cfRule type="expression" dxfId="4823" priority="4060" stopIfTrue="1">
      <formula>$B360&lt;&gt;""</formula>
    </cfRule>
  </conditionalFormatting>
  <conditionalFormatting sqref="S360">
    <cfRule type="expression" dxfId="4822" priority="4059" stopIfTrue="1">
      <formula>$C360&lt;&gt;""</formula>
    </cfRule>
  </conditionalFormatting>
  <conditionalFormatting sqref="S360">
    <cfRule type="expression" dxfId="4821" priority="4058" stopIfTrue="1">
      <formula>$B360&lt;&gt;""</formula>
    </cfRule>
  </conditionalFormatting>
  <conditionalFormatting sqref="S360">
    <cfRule type="expression" dxfId="4820" priority="4057" stopIfTrue="1">
      <formula>$C360&lt;&gt;""</formula>
    </cfRule>
  </conditionalFormatting>
  <conditionalFormatting sqref="S360">
    <cfRule type="expression" dxfId="4819" priority="4056" stopIfTrue="1">
      <formula>$B360&lt;&gt;""</formula>
    </cfRule>
  </conditionalFormatting>
  <conditionalFormatting sqref="S360">
    <cfRule type="expression" dxfId="4818" priority="4055" stopIfTrue="1">
      <formula>$C360&lt;&gt;""</formula>
    </cfRule>
  </conditionalFormatting>
  <conditionalFormatting sqref="S360">
    <cfRule type="expression" dxfId="4817" priority="4054" stopIfTrue="1">
      <formula>$B360&lt;&gt;""</formula>
    </cfRule>
  </conditionalFormatting>
  <conditionalFormatting sqref="S360">
    <cfRule type="expression" dxfId="4816" priority="4053" stopIfTrue="1">
      <formula>$C360&lt;&gt;""</formula>
    </cfRule>
  </conditionalFormatting>
  <conditionalFormatting sqref="S360">
    <cfRule type="expression" dxfId="4815" priority="4052" stopIfTrue="1">
      <formula>$B360&lt;&gt;""</formula>
    </cfRule>
  </conditionalFormatting>
  <conditionalFormatting sqref="S360">
    <cfRule type="expression" dxfId="4814" priority="4051" stopIfTrue="1">
      <formula>$C360&lt;&gt;""</formula>
    </cfRule>
  </conditionalFormatting>
  <conditionalFormatting sqref="S360">
    <cfRule type="expression" dxfId="4813" priority="4050" stopIfTrue="1">
      <formula>$B360&lt;&gt;""</formula>
    </cfRule>
  </conditionalFormatting>
  <conditionalFormatting sqref="S360">
    <cfRule type="expression" dxfId="4812" priority="4049" stopIfTrue="1">
      <formula>$C360&lt;&gt;""</formula>
    </cfRule>
  </conditionalFormatting>
  <conditionalFormatting sqref="S360">
    <cfRule type="expression" dxfId="4811" priority="4048" stopIfTrue="1">
      <formula>$C360&lt;&gt;""</formula>
    </cfRule>
  </conditionalFormatting>
  <conditionalFormatting sqref="S360">
    <cfRule type="expression" dxfId="4810" priority="4047" stopIfTrue="1">
      <formula>$B360&lt;&gt;""</formula>
    </cfRule>
  </conditionalFormatting>
  <conditionalFormatting sqref="S360">
    <cfRule type="expression" dxfId="4809" priority="4046" stopIfTrue="1">
      <formula>$C360&lt;&gt;""</formula>
    </cfRule>
  </conditionalFormatting>
  <conditionalFormatting sqref="S360">
    <cfRule type="expression" dxfId="4808" priority="4045" stopIfTrue="1">
      <formula>$B360&lt;&gt;""</formula>
    </cfRule>
  </conditionalFormatting>
  <conditionalFormatting sqref="S360">
    <cfRule type="expression" dxfId="4807" priority="4044" stopIfTrue="1">
      <formula>$B360&lt;&gt;""</formula>
    </cfRule>
  </conditionalFormatting>
  <conditionalFormatting sqref="S360">
    <cfRule type="expression" dxfId="4806" priority="4043" stopIfTrue="1">
      <formula>$C360&lt;&gt;""</formula>
    </cfRule>
  </conditionalFormatting>
  <conditionalFormatting sqref="S360">
    <cfRule type="expression" dxfId="4805" priority="4042" stopIfTrue="1">
      <formula>$B360&lt;&gt;""</formula>
    </cfRule>
  </conditionalFormatting>
  <conditionalFormatting sqref="S360">
    <cfRule type="expression" dxfId="4804" priority="4041" stopIfTrue="1">
      <formula>$C360&lt;&gt;""</formula>
    </cfRule>
  </conditionalFormatting>
  <conditionalFormatting sqref="S360">
    <cfRule type="expression" dxfId="4803" priority="4040" stopIfTrue="1">
      <formula>$B360&lt;&gt;""</formula>
    </cfRule>
  </conditionalFormatting>
  <conditionalFormatting sqref="S360">
    <cfRule type="expression" dxfId="4802" priority="4039" stopIfTrue="1">
      <formula>$C360&lt;&gt;""</formula>
    </cfRule>
  </conditionalFormatting>
  <conditionalFormatting sqref="S360">
    <cfRule type="expression" dxfId="4801" priority="4038" stopIfTrue="1">
      <formula>$B360&lt;&gt;""</formula>
    </cfRule>
  </conditionalFormatting>
  <conditionalFormatting sqref="S360">
    <cfRule type="expression" dxfId="4800" priority="4037" stopIfTrue="1">
      <formula>$C360&lt;&gt;""</formula>
    </cfRule>
  </conditionalFormatting>
  <conditionalFormatting sqref="S360">
    <cfRule type="expression" dxfId="4799" priority="4036" stopIfTrue="1">
      <formula>$B360&lt;&gt;""</formula>
    </cfRule>
  </conditionalFormatting>
  <conditionalFormatting sqref="S360">
    <cfRule type="expression" dxfId="4798" priority="4035" stopIfTrue="1">
      <formula>$C360&lt;&gt;""</formula>
    </cfRule>
  </conditionalFormatting>
  <conditionalFormatting sqref="S360">
    <cfRule type="expression" dxfId="4797" priority="4034" stopIfTrue="1">
      <formula>$C360&lt;&gt;""</formula>
    </cfRule>
  </conditionalFormatting>
  <conditionalFormatting sqref="S360">
    <cfRule type="expression" dxfId="4796" priority="4033" stopIfTrue="1">
      <formula>$B360&lt;&gt;""</formula>
    </cfRule>
  </conditionalFormatting>
  <conditionalFormatting sqref="S360">
    <cfRule type="expression" dxfId="4795" priority="4032" stopIfTrue="1">
      <formula>$C360&lt;&gt;""</formula>
    </cfRule>
  </conditionalFormatting>
  <conditionalFormatting sqref="S360">
    <cfRule type="expression" dxfId="4794" priority="4031" stopIfTrue="1">
      <formula>$B360&lt;&gt;""</formula>
    </cfRule>
  </conditionalFormatting>
  <conditionalFormatting sqref="S360">
    <cfRule type="expression" dxfId="4793" priority="4030" stopIfTrue="1">
      <formula>$B360&lt;&gt;""</formula>
    </cfRule>
  </conditionalFormatting>
  <conditionalFormatting sqref="S360">
    <cfRule type="expression" dxfId="4792" priority="4029" stopIfTrue="1">
      <formula>$C360&lt;&gt;""</formula>
    </cfRule>
  </conditionalFormatting>
  <conditionalFormatting sqref="S361">
    <cfRule type="expression" dxfId="4791" priority="4028" stopIfTrue="1">
      <formula>$B361&lt;&gt;""</formula>
    </cfRule>
  </conditionalFormatting>
  <conditionalFormatting sqref="S361">
    <cfRule type="expression" dxfId="4790" priority="4027" stopIfTrue="1">
      <formula>$C361&lt;&gt;""</formula>
    </cfRule>
  </conditionalFormatting>
  <conditionalFormatting sqref="S360">
    <cfRule type="expression" dxfId="4789" priority="4026" stopIfTrue="1">
      <formula>$B360&lt;&gt;""</formula>
    </cfRule>
  </conditionalFormatting>
  <conditionalFormatting sqref="S360">
    <cfRule type="expression" dxfId="4788" priority="4025" stopIfTrue="1">
      <formula>$C360&lt;&gt;""</formula>
    </cfRule>
  </conditionalFormatting>
  <conditionalFormatting sqref="S361:S364">
    <cfRule type="expression" dxfId="4787" priority="4024" stopIfTrue="1">
      <formula>$B361&lt;&gt;""</formula>
    </cfRule>
  </conditionalFormatting>
  <conditionalFormatting sqref="S361:S364">
    <cfRule type="expression" dxfId="4786" priority="4023" stopIfTrue="1">
      <formula>$C361&lt;&gt;""</formula>
    </cfRule>
  </conditionalFormatting>
  <conditionalFormatting sqref="S360">
    <cfRule type="expression" dxfId="4785" priority="4022" stopIfTrue="1">
      <formula>$B360&lt;&gt;""</formula>
    </cfRule>
  </conditionalFormatting>
  <conditionalFormatting sqref="S360">
    <cfRule type="expression" dxfId="4784" priority="4021" stopIfTrue="1">
      <formula>$C360&lt;&gt;""</formula>
    </cfRule>
  </conditionalFormatting>
  <conditionalFormatting sqref="S361:S364">
    <cfRule type="expression" dxfId="4783" priority="4020" stopIfTrue="1">
      <formula>$B361&lt;&gt;""</formula>
    </cfRule>
  </conditionalFormatting>
  <conditionalFormatting sqref="S361:S364">
    <cfRule type="expression" dxfId="4782" priority="4019" stopIfTrue="1">
      <formula>$C361&lt;&gt;""</formula>
    </cfRule>
  </conditionalFormatting>
  <conditionalFormatting sqref="S360:S364">
    <cfRule type="expression" dxfId="4781" priority="4018" stopIfTrue="1">
      <formula>$B360&lt;&gt;""</formula>
    </cfRule>
  </conditionalFormatting>
  <conditionalFormatting sqref="S360:S364">
    <cfRule type="expression" dxfId="4780" priority="4017" stopIfTrue="1">
      <formula>$C360&lt;&gt;""</formula>
    </cfRule>
  </conditionalFormatting>
  <conditionalFormatting sqref="S360:S364">
    <cfRule type="expression" dxfId="4779" priority="4016" stopIfTrue="1">
      <formula>$B360&lt;&gt;""</formula>
    </cfRule>
  </conditionalFormatting>
  <conditionalFormatting sqref="S360:S364">
    <cfRule type="expression" dxfId="4778" priority="4015" stopIfTrue="1">
      <formula>$C360&lt;&gt;""</formula>
    </cfRule>
  </conditionalFormatting>
  <conditionalFormatting sqref="S360:S364">
    <cfRule type="expression" dxfId="4777" priority="4014" stopIfTrue="1">
      <formula>$B360&lt;&gt;""</formula>
    </cfRule>
  </conditionalFormatting>
  <conditionalFormatting sqref="S360:S364">
    <cfRule type="expression" dxfId="4776" priority="4013" stopIfTrue="1">
      <formula>$C360&lt;&gt;""</formula>
    </cfRule>
  </conditionalFormatting>
  <conditionalFormatting sqref="S360:S364">
    <cfRule type="expression" dxfId="4775" priority="4012" stopIfTrue="1">
      <formula>$B360&lt;&gt;""</formula>
    </cfRule>
  </conditionalFormatting>
  <conditionalFormatting sqref="S360:S364">
    <cfRule type="expression" dxfId="4774" priority="4011" stopIfTrue="1">
      <formula>$C360&lt;&gt;""</formula>
    </cfRule>
  </conditionalFormatting>
  <conditionalFormatting sqref="S360:S364">
    <cfRule type="expression" dxfId="4773" priority="4010" stopIfTrue="1">
      <formula>$B360&lt;&gt;""</formula>
    </cfRule>
  </conditionalFormatting>
  <conditionalFormatting sqref="S360:S364">
    <cfRule type="expression" dxfId="4772" priority="4009" stopIfTrue="1">
      <formula>$C360&lt;&gt;""</formula>
    </cfRule>
  </conditionalFormatting>
  <conditionalFormatting sqref="S360:S364">
    <cfRule type="expression" dxfId="4771" priority="4008" stopIfTrue="1">
      <formula>$B360&lt;&gt;""</formula>
    </cfRule>
  </conditionalFormatting>
  <conditionalFormatting sqref="S360:S364">
    <cfRule type="expression" dxfId="4770" priority="4007" stopIfTrue="1">
      <formula>$C360&lt;&gt;""</formula>
    </cfRule>
  </conditionalFormatting>
  <conditionalFormatting sqref="S360:S364">
    <cfRule type="expression" dxfId="4769" priority="4006" stopIfTrue="1">
      <formula>$B360&lt;&gt;""</formula>
    </cfRule>
  </conditionalFormatting>
  <conditionalFormatting sqref="S360:S364">
    <cfRule type="expression" dxfId="4768" priority="4005" stopIfTrue="1">
      <formula>$C360&lt;&gt;""</formula>
    </cfRule>
  </conditionalFormatting>
  <conditionalFormatting sqref="S360:S363">
    <cfRule type="expression" dxfId="4767" priority="4004" stopIfTrue="1">
      <formula>$B360&lt;&gt;""</formula>
    </cfRule>
  </conditionalFormatting>
  <conditionalFormatting sqref="S360:S363">
    <cfRule type="expression" dxfId="4766" priority="4003" stopIfTrue="1">
      <formula>$C360&lt;&gt;""</formula>
    </cfRule>
  </conditionalFormatting>
  <conditionalFormatting sqref="S364">
    <cfRule type="expression" dxfId="4765" priority="4002" stopIfTrue="1">
      <formula>$B364&lt;&gt;""</formula>
    </cfRule>
  </conditionalFormatting>
  <conditionalFormatting sqref="S364">
    <cfRule type="expression" dxfId="4764" priority="4001" stopIfTrue="1">
      <formula>$C364&lt;&gt;""</formula>
    </cfRule>
  </conditionalFormatting>
  <conditionalFormatting sqref="S360:S362">
    <cfRule type="expression" dxfId="4763" priority="4000" stopIfTrue="1">
      <formula>$B360&lt;&gt;""</formula>
    </cfRule>
  </conditionalFormatting>
  <conditionalFormatting sqref="S360:S362">
    <cfRule type="expression" dxfId="4762" priority="3999" stopIfTrue="1">
      <formula>$C360&lt;&gt;""</formula>
    </cfRule>
  </conditionalFormatting>
  <conditionalFormatting sqref="S363:S364">
    <cfRule type="expression" dxfId="4761" priority="3998" stopIfTrue="1">
      <formula>$B363&lt;&gt;""</formula>
    </cfRule>
  </conditionalFormatting>
  <conditionalFormatting sqref="S363:S364">
    <cfRule type="expression" dxfId="4760" priority="3997" stopIfTrue="1">
      <formula>$C363&lt;&gt;""</formula>
    </cfRule>
  </conditionalFormatting>
  <conditionalFormatting sqref="S360:S363">
    <cfRule type="expression" dxfId="4759" priority="3996" stopIfTrue="1">
      <formula>$B360&lt;&gt;""</formula>
    </cfRule>
  </conditionalFormatting>
  <conditionalFormatting sqref="S360:S363">
    <cfRule type="expression" dxfId="4758" priority="3995" stopIfTrue="1">
      <formula>$C360&lt;&gt;""</formula>
    </cfRule>
  </conditionalFormatting>
  <conditionalFormatting sqref="S360:S363">
    <cfRule type="expression" dxfId="4757" priority="3994" stopIfTrue="1">
      <formula>$B360&lt;&gt;""</formula>
    </cfRule>
  </conditionalFormatting>
  <conditionalFormatting sqref="S360:S363">
    <cfRule type="expression" dxfId="4756" priority="3993" stopIfTrue="1">
      <formula>$C360&lt;&gt;""</formula>
    </cfRule>
  </conditionalFormatting>
  <conditionalFormatting sqref="S364">
    <cfRule type="expression" dxfId="4755" priority="3992" stopIfTrue="1">
      <formula>$B364&lt;&gt;""</formula>
    </cfRule>
  </conditionalFormatting>
  <conditionalFormatting sqref="S364">
    <cfRule type="expression" dxfId="4754" priority="3991" stopIfTrue="1">
      <formula>$C364&lt;&gt;""</formula>
    </cfRule>
  </conditionalFormatting>
  <conditionalFormatting sqref="S360:S363">
    <cfRule type="expression" dxfId="4753" priority="3990" stopIfTrue="1">
      <formula>$B360&lt;&gt;""</formula>
    </cfRule>
  </conditionalFormatting>
  <conditionalFormatting sqref="S360:S363">
    <cfRule type="expression" dxfId="4752" priority="3989" stopIfTrue="1">
      <formula>$C360&lt;&gt;""</formula>
    </cfRule>
  </conditionalFormatting>
  <conditionalFormatting sqref="S364">
    <cfRule type="expression" dxfId="4751" priority="3988" stopIfTrue="1">
      <formula>$B364&lt;&gt;""</formula>
    </cfRule>
  </conditionalFormatting>
  <conditionalFormatting sqref="S364">
    <cfRule type="expression" dxfId="4750" priority="3987" stopIfTrue="1">
      <formula>$C364&lt;&gt;""</formula>
    </cfRule>
  </conditionalFormatting>
  <conditionalFormatting sqref="S364">
    <cfRule type="expression" dxfId="4749" priority="3986" stopIfTrue="1">
      <formula>$B364&lt;&gt;""</formula>
    </cfRule>
  </conditionalFormatting>
  <conditionalFormatting sqref="S364">
    <cfRule type="expression" dxfId="4748" priority="3985" stopIfTrue="1">
      <formula>$C364&lt;&gt;""</formula>
    </cfRule>
  </conditionalFormatting>
  <conditionalFormatting sqref="S360">
    <cfRule type="expression" dxfId="4747" priority="3984" stopIfTrue="1">
      <formula>$C360&lt;&gt;""</formula>
    </cfRule>
  </conditionalFormatting>
  <conditionalFormatting sqref="S360">
    <cfRule type="expression" dxfId="4746" priority="3983" stopIfTrue="1">
      <formula>$B360&lt;&gt;""</formula>
    </cfRule>
  </conditionalFormatting>
  <conditionalFormatting sqref="S361:S364">
    <cfRule type="expression" dxfId="4745" priority="3982" stopIfTrue="1">
      <formula>$C361&lt;&gt;""</formula>
    </cfRule>
  </conditionalFormatting>
  <conditionalFormatting sqref="S361:S364">
    <cfRule type="expression" dxfId="4744" priority="3981" stopIfTrue="1">
      <formula>$B361&lt;&gt;""</formula>
    </cfRule>
  </conditionalFormatting>
  <conditionalFormatting sqref="S363:S364">
    <cfRule type="expression" dxfId="4743" priority="3980" stopIfTrue="1">
      <formula>$C363&lt;&gt;""</formula>
    </cfRule>
  </conditionalFormatting>
  <conditionalFormatting sqref="S363:S364">
    <cfRule type="expression" dxfId="4742" priority="3979" stopIfTrue="1">
      <formula>$B363&lt;&gt;""</formula>
    </cfRule>
  </conditionalFormatting>
  <conditionalFormatting sqref="S360:S363">
    <cfRule type="expression" dxfId="4741" priority="3978" stopIfTrue="1">
      <formula>$B360&lt;&gt;""</formula>
    </cfRule>
  </conditionalFormatting>
  <conditionalFormatting sqref="S360:S363">
    <cfRule type="expression" dxfId="4740" priority="3977" stopIfTrue="1">
      <formula>$C360&lt;&gt;""</formula>
    </cfRule>
  </conditionalFormatting>
  <conditionalFormatting sqref="S364">
    <cfRule type="expression" dxfId="4739" priority="3976" stopIfTrue="1">
      <formula>$B364&lt;&gt;""</formula>
    </cfRule>
  </conditionalFormatting>
  <conditionalFormatting sqref="S364">
    <cfRule type="expression" dxfId="4738" priority="3975" stopIfTrue="1">
      <formula>$C364&lt;&gt;""</formula>
    </cfRule>
  </conditionalFormatting>
  <conditionalFormatting sqref="S360:S362">
    <cfRule type="expression" dxfId="4737" priority="3974" stopIfTrue="1">
      <formula>$B360&lt;&gt;""</formula>
    </cfRule>
  </conditionalFormatting>
  <conditionalFormatting sqref="S360:S362">
    <cfRule type="expression" dxfId="4736" priority="3973" stopIfTrue="1">
      <formula>$C360&lt;&gt;""</formula>
    </cfRule>
  </conditionalFormatting>
  <conditionalFormatting sqref="S363:S364">
    <cfRule type="expression" dxfId="4735" priority="3972" stopIfTrue="1">
      <formula>$B363&lt;&gt;""</formula>
    </cfRule>
  </conditionalFormatting>
  <conditionalFormatting sqref="S363:S364">
    <cfRule type="expression" dxfId="4734" priority="3971" stopIfTrue="1">
      <formula>$C363&lt;&gt;""</formula>
    </cfRule>
  </conditionalFormatting>
  <conditionalFormatting sqref="S360:S363">
    <cfRule type="expression" dxfId="4733" priority="3970" stopIfTrue="1">
      <formula>$B360&lt;&gt;""</formula>
    </cfRule>
  </conditionalFormatting>
  <conditionalFormatting sqref="S360:S363">
    <cfRule type="expression" dxfId="4732" priority="3969" stopIfTrue="1">
      <formula>$C360&lt;&gt;""</formula>
    </cfRule>
  </conditionalFormatting>
  <conditionalFormatting sqref="S360:S363">
    <cfRule type="expression" dxfId="4731" priority="3968" stopIfTrue="1">
      <formula>$B360&lt;&gt;""</formula>
    </cfRule>
  </conditionalFormatting>
  <conditionalFormatting sqref="S360:S363">
    <cfRule type="expression" dxfId="4730" priority="3967" stopIfTrue="1">
      <formula>$C360&lt;&gt;""</formula>
    </cfRule>
  </conditionalFormatting>
  <conditionalFormatting sqref="S364">
    <cfRule type="expression" dxfId="4729" priority="3966" stopIfTrue="1">
      <formula>$B364&lt;&gt;""</formula>
    </cfRule>
  </conditionalFormatting>
  <conditionalFormatting sqref="S364">
    <cfRule type="expression" dxfId="4728" priority="3965" stopIfTrue="1">
      <formula>$C364&lt;&gt;""</formula>
    </cfRule>
  </conditionalFormatting>
  <conditionalFormatting sqref="S360:S363">
    <cfRule type="expression" dxfId="4727" priority="3964" stopIfTrue="1">
      <formula>$B360&lt;&gt;""</formula>
    </cfRule>
  </conditionalFormatting>
  <conditionalFormatting sqref="S360:S363">
    <cfRule type="expression" dxfId="4726" priority="3963" stopIfTrue="1">
      <formula>$C360&lt;&gt;""</formula>
    </cfRule>
  </conditionalFormatting>
  <conditionalFormatting sqref="S364">
    <cfRule type="expression" dxfId="4725" priority="3962" stopIfTrue="1">
      <formula>$B364&lt;&gt;""</formula>
    </cfRule>
  </conditionalFormatting>
  <conditionalFormatting sqref="S364">
    <cfRule type="expression" dxfId="4724" priority="3961" stopIfTrue="1">
      <formula>$C364&lt;&gt;""</formula>
    </cfRule>
  </conditionalFormatting>
  <conditionalFormatting sqref="S364">
    <cfRule type="expression" dxfId="4723" priority="3960" stopIfTrue="1">
      <formula>$B364&lt;&gt;""</formula>
    </cfRule>
  </conditionalFormatting>
  <conditionalFormatting sqref="S364">
    <cfRule type="expression" dxfId="4722" priority="3959" stopIfTrue="1">
      <formula>$C364&lt;&gt;""</formula>
    </cfRule>
  </conditionalFormatting>
  <conditionalFormatting sqref="S360">
    <cfRule type="expression" dxfId="4721" priority="3958" stopIfTrue="1">
      <formula>$C360&lt;&gt;""</formula>
    </cfRule>
  </conditionalFormatting>
  <conditionalFormatting sqref="S360">
    <cfRule type="expression" dxfId="4720" priority="3957" stopIfTrue="1">
      <formula>$B360&lt;&gt;""</formula>
    </cfRule>
  </conditionalFormatting>
  <conditionalFormatting sqref="S361:S364">
    <cfRule type="expression" dxfId="4719" priority="3956" stopIfTrue="1">
      <formula>$C361&lt;&gt;""</formula>
    </cfRule>
  </conditionalFormatting>
  <conditionalFormatting sqref="S361:S364">
    <cfRule type="expression" dxfId="4718" priority="3955" stopIfTrue="1">
      <formula>$B361&lt;&gt;""</formula>
    </cfRule>
  </conditionalFormatting>
  <conditionalFormatting sqref="S363:S364">
    <cfRule type="expression" dxfId="4717" priority="3954" stopIfTrue="1">
      <formula>$C363&lt;&gt;""</formula>
    </cfRule>
  </conditionalFormatting>
  <conditionalFormatting sqref="S363:S364">
    <cfRule type="expression" dxfId="4716" priority="3953" stopIfTrue="1">
      <formula>$B363&lt;&gt;""</formula>
    </cfRule>
  </conditionalFormatting>
  <conditionalFormatting sqref="S360">
    <cfRule type="expression" dxfId="4715" priority="3952" stopIfTrue="1">
      <formula>$B360&lt;&gt;""</formula>
    </cfRule>
  </conditionalFormatting>
  <conditionalFormatting sqref="S360">
    <cfRule type="expression" dxfId="4714" priority="3951" stopIfTrue="1">
      <formula>$C360&lt;&gt;""</formula>
    </cfRule>
  </conditionalFormatting>
  <conditionalFormatting sqref="S360">
    <cfRule type="expression" dxfId="4713" priority="3950" stopIfTrue="1">
      <formula>$B360&lt;&gt;""</formula>
    </cfRule>
  </conditionalFormatting>
  <conditionalFormatting sqref="S360">
    <cfRule type="expression" dxfId="4712" priority="3949" stopIfTrue="1">
      <formula>$C360&lt;&gt;""</formula>
    </cfRule>
  </conditionalFormatting>
  <conditionalFormatting sqref="S360">
    <cfRule type="expression" dxfId="4711" priority="3948" stopIfTrue="1">
      <formula>$B360&lt;&gt;""</formula>
    </cfRule>
  </conditionalFormatting>
  <conditionalFormatting sqref="S360">
    <cfRule type="expression" dxfId="4710" priority="3947" stopIfTrue="1">
      <formula>$C360&lt;&gt;""</formula>
    </cfRule>
  </conditionalFormatting>
  <conditionalFormatting sqref="S360">
    <cfRule type="expression" dxfId="4709" priority="3946" stopIfTrue="1">
      <formula>$B360&lt;&gt;""</formula>
    </cfRule>
  </conditionalFormatting>
  <conditionalFormatting sqref="S360">
    <cfRule type="expression" dxfId="4708" priority="3945" stopIfTrue="1">
      <formula>$C360&lt;&gt;""</formula>
    </cfRule>
  </conditionalFormatting>
  <conditionalFormatting sqref="S360">
    <cfRule type="expression" dxfId="4707" priority="3944" stopIfTrue="1">
      <formula>$B360&lt;&gt;""</formula>
    </cfRule>
  </conditionalFormatting>
  <conditionalFormatting sqref="S360">
    <cfRule type="expression" dxfId="4706" priority="3943" stopIfTrue="1">
      <formula>$C360&lt;&gt;""</formula>
    </cfRule>
  </conditionalFormatting>
  <conditionalFormatting sqref="S360">
    <cfRule type="expression" dxfId="4705" priority="3942" stopIfTrue="1">
      <formula>$B360&lt;&gt;""</formula>
    </cfRule>
  </conditionalFormatting>
  <conditionalFormatting sqref="S360">
    <cfRule type="expression" dxfId="4704" priority="3941" stopIfTrue="1">
      <formula>$C360&lt;&gt;""</formula>
    </cfRule>
  </conditionalFormatting>
  <conditionalFormatting sqref="S360">
    <cfRule type="expression" dxfId="4703" priority="3940" stopIfTrue="1">
      <formula>$B360&lt;&gt;""</formula>
    </cfRule>
  </conditionalFormatting>
  <conditionalFormatting sqref="S360">
    <cfRule type="expression" dxfId="4702" priority="3939" stopIfTrue="1">
      <formula>$C360&lt;&gt;""</formula>
    </cfRule>
  </conditionalFormatting>
  <conditionalFormatting sqref="S360">
    <cfRule type="expression" dxfId="4701" priority="3938" stopIfTrue="1">
      <formula>$B360&lt;&gt;""</formula>
    </cfRule>
  </conditionalFormatting>
  <conditionalFormatting sqref="S360">
    <cfRule type="expression" dxfId="4700" priority="3937" stopIfTrue="1">
      <formula>$C360&lt;&gt;""</formula>
    </cfRule>
  </conditionalFormatting>
  <conditionalFormatting sqref="S360">
    <cfRule type="expression" dxfId="4699" priority="3936" stopIfTrue="1">
      <formula>$B360&lt;&gt;""</formula>
    </cfRule>
  </conditionalFormatting>
  <conditionalFormatting sqref="S360">
    <cfRule type="expression" dxfId="4698" priority="3935" stopIfTrue="1">
      <formula>$C360&lt;&gt;""</formula>
    </cfRule>
  </conditionalFormatting>
  <conditionalFormatting sqref="S360">
    <cfRule type="expression" dxfId="4697" priority="3934" stopIfTrue="1">
      <formula>$B360&lt;&gt;""</formula>
    </cfRule>
  </conditionalFormatting>
  <conditionalFormatting sqref="S360">
    <cfRule type="expression" dxfId="4696" priority="3933" stopIfTrue="1">
      <formula>$C360&lt;&gt;""</formula>
    </cfRule>
  </conditionalFormatting>
  <conditionalFormatting sqref="S360">
    <cfRule type="expression" dxfId="4695" priority="3932" stopIfTrue="1">
      <formula>$B360&lt;&gt;""</formula>
    </cfRule>
  </conditionalFormatting>
  <conditionalFormatting sqref="S360">
    <cfRule type="expression" dxfId="4694" priority="3931" stopIfTrue="1">
      <formula>$C360&lt;&gt;""</formula>
    </cfRule>
  </conditionalFormatting>
  <conditionalFormatting sqref="S360">
    <cfRule type="expression" dxfId="4693" priority="3930" stopIfTrue="1">
      <formula>$B360&lt;&gt;""</formula>
    </cfRule>
  </conditionalFormatting>
  <conditionalFormatting sqref="S360">
    <cfRule type="expression" dxfId="4692" priority="3929" stopIfTrue="1">
      <formula>$C360&lt;&gt;""</formula>
    </cfRule>
  </conditionalFormatting>
  <conditionalFormatting sqref="S360">
    <cfRule type="expression" dxfId="4691" priority="3928" stopIfTrue="1">
      <formula>$B360&lt;&gt;""</formula>
    </cfRule>
  </conditionalFormatting>
  <conditionalFormatting sqref="S360">
    <cfRule type="expression" dxfId="4690" priority="3927" stopIfTrue="1">
      <formula>$C360&lt;&gt;""</formula>
    </cfRule>
  </conditionalFormatting>
  <conditionalFormatting sqref="S360">
    <cfRule type="expression" dxfId="4689" priority="3926" stopIfTrue="1">
      <formula>$B360&lt;&gt;""</formula>
    </cfRule>
  </conditionalFormatting>
  <conditionalFormatting sqref="S360">
    <cfRule type="expression" dxfId="4688" priority="3925" stopIfTrue="1">
      <formula>$C360&lt;&gt;""</formula>
    </cfRule>
  </conditionalFormatting>
  <conditionalFormatting sqref="S360">
    <cfRule type="expression" dxfId="4687" priority="3924" stopIfTrue="1">
      <formula>$C360&lt;&gt;""</formula>
    </cfRule>
  </conditionalFormatting>
  <conditionalFormatting sqref="S360">
    <cfRule type="expression" dxfId="4686" priority="3923" stopIfTrue="1">
      <formula>$B360&lt;&gt;""</formula>
    </cfRule>
  </conditionalFormatting>
  <conditionalFormatting sqref="S360">
    <cfRule type="expression" dxfId="4685" priority="3922" stopIfTrue="1">
      <formula>$C360&lt;&gt;""</formula>
    </cfRule>
  </conditionalFormatting>
  <conditionalFormatting sqref="S360">
    <cfRule type="expression" dxfId="4684" priority="3921" stopIfTrue="1">
      <formula>$B360&lt;&gt;""</formula>
    </cfRule>
  </conditionalFormatting>
  <conditionalFormatting sqref="S360">
    <cfRule type="expression" dxfId="4683" priority="3920" stopIfTrue="1">
      <formula>$B360&lt;&gt;""</formula>
    </cfRule>
  </conditionalFormatting>
  <conditionalFormatting sqref="S360">
    <cfRule type="expression" dxfId="4682" priority="3919" stopIfTrue="1">
      <formula>$C360&lt;&gt;""</formula>
    </cfRule>
  </conditionalFormatting>
  <conditionalFormatting sqref="S360">
    <cfRule type="expression" dxfId="4681" priority="3918" stopIfTrue="1">
      <formula>$B360&lt;&gt;""</formula>
    </cfRule>
  </conditionalFormatting>
  <conditionalFormatting sqref="S360">
    <cfRule type="expression" dxfId="4680" priority="3917" stopIfTrue="1">
      <formula>$C360&lt;&gt;""</formula>
    </cfRule>
  </conditionalFormatting>
  <conditionalFormatting sqref="S360">
    <cfRule type="expression" dxfId="4679" priority="3916" stopIfTrue="1">
      <formula>$B360&lt;&gt;""</formula>
    </cfRule>
  </conditionalFormatting>
  <conditionalFormatting sqref="S360">
    <cfRule type="expression" dxfId="4678" priority="3915" stopIfTrue="1">
      <formula>$C360&lt;&gt;""</formula>
    </cfRule>
  </conditionalFormatting>
  <conditionalFormatting sqref="S360">
    <cfRule type="expression" dxfId="4677" priority="3914" stopIfTrue="1">
      <formula>$B360&lt;&gt;""</formula>
    </cfRule>
  </conditionalFormatting>
  <conditionalFormatting sqref="S360">
    <cfRule type="expression" dxfId="4676" priority="3913" stopIfTrue="1">
      <formula>$C360&lt;&gt;""</formula>
    </cfRule>
  </conditionalFormatting>
  <conditionalFormatting sqref="S360">
    <cfRule type="expression" dxfId="4675" priority="3912" stopIfTrue="1">
      <formula>$B360&lt;&gt;""</formula>
    </cfRule>
  </conditionalFormatting>
  <conditionalFormatting sqref="S360">
    <cfRule type="expression" dxfId="4674" priority="3911" stopIfTrue="1">
      <formula>$C360&lt;&gt;""</formula>
    </cfRule>
  </conditionalFormatting>
  <conditionalFormatting sqref="S360">
    <cfRule type="expression" dxfId="4673" priority="3910" stopIfTrue="1">
      <formula>$C360&lt;&gt;""</formula>
    </cfRule>
  </conditionalFormatting>
  <conditionalFormatting sqref="S360">
    <cfRule type="expression" dxfId="4672" priority="3909" stopIfTrue="1">
      <formula>$B360&lt;&gt;""</formula>
    </cfRule>
  </conditionalFormatting>
  <conditionalFormatting sqref="S360">
    <cfRule type="expression" dxfId="4671" priority="3908" stopIfTrue="1">
      <formula>$C360&lt;&gt;""</formula>
    </cfRule>
  </conditionalFormatting>
  <conditionalFormatting sqref="S360">
    <cfRule type="expression" dxfId="4670" priority="3907" stopIfTrue="1">
      <formula>$B360&lt;&gt;""</formula>
    </cfRule>
  </conditionalFormatting>
  <conditionalFormatting sqref="S360">
    <cfRule type="expression" dxfId="4669" priority="3906" stopIfTrue="1">
      <formula>$B360&lt;&gt;""</formula>
    </cfRule>
  </conditionalFormatting>
  <conditionalFormatting sqref="S360">
    <cfRule type="expression" dxfId="4668" priority="3905" stopIfTrue="1">
      <formula>$C360&lt;&gt;""</formula>
    </cfRule>
  </conditionalFormatting>
  <conditionalFormatting sqref="S361">
    <cfRule type="expression" dxfId="4667" priority="3904" stopIfTrue="1">
      <formula>$B361&lt;&gt;""</formula>
    </cfRule>
  </conditionalFormatting>
  <conditionalFormatting sqref="S361">
    <cfRule type="expression" dxfId="4666" priority="3903" stopIfTrue="1">
      <formula>$C361&lt;&gt;""</formula>
    </cfRule>
  </conditionalFormatting>
  <conditionalFormatting sqref="S360">
    <cfRule type="expression" dxfId="4665" priority="3902" stopIfTrue="1">
      <formula>$B360&lt;&gt;""</formula>
    </cfRule>
  </conditionalFormatting>
  <conditionalFormatting sqref="S360">
    <cfRule type="expression" dxfId="4664" priority="3901" stopIfTrue="1">
      <formula>$C360&lt;&gt;""</formula>
    </cfRule>
  </conditionalFormatting>
  <conditionalFormatting sqref="S361:S364">
    <cfRule type="expression" dxfId="4663" priority="3900" stopIfTrue="1">
      <formula>$B361&lt;&gt;""</formula>
    </cfRule>
  </conditionalFormatting>
  <conditionalFormatting sqref="S361:S364">
    <cfRule type="expression" dxfId="4662" priority="3899" stopIfTrue="1">
      <formula>$C361&lt;&gt;""</formula>
    </cfRule>
  </conditionalFormatting>
  <conditionalFormatting sqref="S360">
    <cfRule type="expression" dxfId="4661" priority="3898" stopIfTrue="1">
      <formula>$B360&lt;&gt;""</formula>
    </cfRule>
  </conditionalFormatting>
  <conditionalFormatting sqref="S360">
    <cfRule type="expression" dxfId="4660" priority="3897" stopIfTrue="1">
      <formula>$C360&lt;&gt;""</formula>
    </cfRule>
  </conditionalFormatting>
  <conditionalFormatting sqref="S361:S364">
    <cfRule type="expression" dxfId="4659" priority="3896" stopIfTrue="1">
      <formula>$B361&lt;&gt;""</formula>
    </cfRule>
  </conditionalFormatting>
  <conditionalFormatting sqref="S361:S364">
    <cfRule type="expression" dxfId="4658" priority="3895" stopIfTrue="1">
      <formula>$C361&lt;&gt;""</formula>
    </cfRule>
  </conditionalFormatting>
  <conditionalFormatting sqref="S360:S364">
    <cfRule type="expression" dxfId="4657" priority="3894" stopIfTrue="1">
      <formula>$B360&lt;&gt;""</formula>
    </cfRule>
  </conditionalFormatting>
  <conditionalFormatting sqref="S360:S364">
    <cfRule type="expression" dxfId="4656" priority="3893" stopIfTrue="1">
      <formula>$C360&lt;&gt;""</formula>
    </cfRule>
  </conditionalFormatting>
  <conditionalFormatting sqref="S360:S364">
    <cfRule type="expression" dxfId="4655" priority="3892" stopIfTrue="1">
      <formula>$B360&lt;&gt;""</formula>
    </cfRule>
  </conditionalFormatting>
  <conditionalFormatting sqref="S360:S364">
    <cfRule type="expression" dxfId="4654" priority="3891" stopIfTrue="1">
      <formula>$C360&lt;&gt;""</formula>
    </cfRule>
  </conditionalFormatting>
  <conditionalFormatting sqref="S360:S364">
    <cfRule type="expression" dxfId="4653" priority="3890" stopIfTrue="1">
      <formula>$B360&lt;&gt;""</formula>
    </cfRule>
  </conditionalFormatting>
  <conditionalFormatting sqref="S360:S364">
    <cfRule type="expression" dxfId="4652" priority="3889" stopIfTrue="1">
      <formula>$C360&lt;&gt;""</formula>
    </cfRule>
  </conditionalFormatting>
  <conditionalFormatting sqref="S360:S364">
    <cfRule type="expression" dxfId="4651" priority="3888" stopIfTrue="1">
      <formula>$B360&lt;&gt;""</formula>
    </cfRule>
  </conditionalFormatting>
  <conditionalFormatting sqref="S360:S364">
    <cfRule type="expression" dxfId="4650" priority="3887" stopIfTrue="1">
      <formula>$C360&lt;&gt;""</formula>
    </cfRule>
  </conditionalFormatting>
  <conditionalFormatting sqref="S360:S364">
    <cfRule type="expression" dxfId="4649" priority="3886" stopIfTrue="1">
      <formula>$B360&lt;&gt;""</formula>
    </cfRule>
  </conditionalFormatting>
  <conditionalFormatting sqref="S360:S364">
    <cfRule type="expression" dxfId="4648" priority="3885" stopIfTrue="1">
      <formula>$C360&lt;&gt;""</formula>
    </cfRule>
  </conditionalFormatting>
  <conditionalFormatting sqref="S360:S364">
    <cfRule type="expression" dxfId="4647" priority="3884" stopIfTrue="1">
      <formula>$B360&lt;&gt;""</formula>
    </cfRule>
  </conditionalFormatting>
  <conditionalFormatting sqref="S360:S364">
    <cfRule type="expression" dxfId="4646" priority="3883" stopIfTrue="1">
      <formula>$C360&lt;&gt;""</formula>
    </cfRule>
  </conditionalFormatting>
  <conditionalFormatting sqref="S360:S364">
    <cfRule type="expression" dxfId="4645" priority="3882" stopIfTrue="1">
      <formula>$B360&lt;&gt;""</formula>
    </cfRule>
  </conditionalFormatting>
  <conditionalFormatting sqref="S360:S364">
    <cfRule type="expression" dxfId="4644" priority="3881" stopIfTrue="1">
      <formula>$C360&lt;&gt;""</formula>
    </cfRule>
  </conditionalFormatting>
  <conditionalFormatting sqref="S360:S363">
    <cfRule type="expression" dxfId="4643" priority="3880" stopIfTrue="1">
      <formula>$B360&lt;&gt;""</formula>
    </cfRule>
  </conditionalFormatting>
  <conditionalFormatting sqref="S360:S363">
    <cfRule type="expression" dxfId="4642" priority="3879" stopIfTrue="1">
      <formula>$C360&lt;&gt;""</formula>
    </cfRule>
  </conditionalFormatting>
  <conditionalFormatting sqref="S364">
    <cfRule type="expression" dxfId="4641" priority="3878" stopIfTrue="1">
      <formula>$B364&lt;&gt;""</formula>
    </cfRule>
  </conditionalFormatting>
  <conditionalFormatting sqref="S364">
    <cfRule type="expression" dxfId="4640" priority="3877" stopIfTrue="1">
      <formula>$C364&lt;&gt;""</formula>
    </cfRule>
  </conditionalFormatting>
  <conditionalFormatting sqref="S360:S362">
    <cfRule type="expression" dxfId="4639" priority="3876" stopIfTrue="1">
      <formula>$B360&lt;&gt;""</formula>
    </cfRule>
  </conditionalFormatting>
  <conditionalFormatting sqref="S360:S362">
    <cfRule type="expression" dxfId="4638" priority="3875" stopIfTrue="1">
      <formula>$C360&lt;&gt;""</formula>
    </cfRule>
  </conditionalFormatting>
  <conditionalFormatting sqref="S363:S364">
    <cfRule type="expression" dxfId="4637" priority="3874" stopIfTrue="1">
      <formula>$B363&lt;&gt;""</formula>
    </cfRule>
  </conditionalFormatting>
  <conditionalFormatting sqref="S363:S364">
    <cfRule type="expression" dxfId="4636" priority="3873" stopIfTrue="1">
      <formula>$C363&lt;&gt;""</formula>
    </cfRule>
  </conditionalFormatting>
  <conditionalFormatting sqref="S360:S363">
    <cfRule type="expression" dxfId="4635" priority="3872" stopIfTrue="1">
      <formula>$B360&lt;&gt;""</formula>
    </cfRule>
  </conditionalFormatting>
  <conditionalFormatting sqref="S360:S363">
    <cfRule type="expression" dxfId="4634" priority="3871" stopIfTrue="1">
      <formula>$C360&lt;&gt;""</formula>
    </cfRule>
  </conditionalFormatting>
  <conditionalFormatting sqref="S360:S363">
    <cfRule type="expression" dxfId="4633" priority="3870" stopIfTrue="1">
      <formula>$B360&lt;&gt;""</formula>
    </cfRule>
  </conditionalFormatting>
  <conditionalFormatting sqref="S360:S363">
    <cfRule type="expression" dxfId="4632" priority="3869" stopIfTrue="1">
      <formula>$C360&lt;&gt;""</formula>
    </cfRule>
  </conditionalFormatting>
  <conditionalFormatting sqref="S364">
    <cfRule type="expression" dxfId="4631" priority="3868" stopIfTrue="1">
      <formula>$B364&lt;&gt;""</formula>
    </cfRule>
  </conditionalFormatting>
  <conditionalFormatting sqref="S364">
    <cfRule type="expression" dxfId="4630" priority="3867" stopIfTrue="1">
      <formula>$C364&lt;&gt;""</formula>
    </cfRule>
  </conditionalFormatting>
  <conditionalFormatting sqref="S360:S363">
    <cfRule type="expression" dxfId="4629" priority="3866" stopIfTrue="1">
      <formula>$B360&lt;&gt;""</formula>
    </cfRule>
  </conditionalFormatting>
  <conditionalFormatting sqref="S360:S363">
    <cfRule type="expression" dxfId="4628" priority="3865" stopIfTrue="1">
      <formula>$C360&lt;&gt;""</formula>
    </cfRule>
  </conditionalFormatting>
  <conditionalFormatting sqref="S364">
    <cfRule type="expression" dxfId="4627" priority="3864" stopIfTrue="1">
      <formula>$B364&lt;&gt;""</formula>
    </cfRule>
  </conditionalFormatting>
  <conditionalFormatting sqref="S364">
    <cfRule type="expression" dxfId="4626" priority="3863" stopIfTrue="1">
      <formula>$C364&lt;&gt;""</formula>
    </cfRule>
  </conditionalFormatting>
  <conditionalFormatting sqref="S364">
    <cfRule type="expression" dxfId="4625" priority="3862" stopIfTrue="1">
      <formula>$B364&lt;&gt;""</formula>
    </cfRule>
  </conditionalFormatting>
  <conditionalFormatting sqref="S364">
    <cfRule type="expression" dxfId="4624" priority="3861" stopIfTrue="1">
      <formula>$C364&lt;&gt;""</formula>
    </cfRule>
  </conditionalFormatting>
  <conditionalFormatting sqref="S360">
    <cfRule type="expression" dxfId="4623" priority="3860" stopIfTrue="1">
      <formula>$C360&lt;&gt;""</formula>
    </cfRule>
  </conditionalFormatting>
  <conditionalFormatting sqref="S360">
    <cfRule type="expression" dxfId="4622" priority="3859" stopIfTrue="1">
      <formula>$B360&lt;&gt;""</formula>
    </cfRule>
  </conditionalFormatting>
  <conditionalFormatting sqref="S361:S364">
    <cfRule type="expression" dxfId="4621" priority="3858" stopIfTrue="1">
      <formula>$C361&lt;&gt;""</formula>
    </cfRule>
  </conditionalFormatting>
  <conditionalFormatting sqref="S361:S364">
    <cfRule type="expression" dxfId="4620" priority="3857" stopIfTrue="1">
      <formula>$B361&lt;&gt;""</formula>
    </cfRule>
  </conditionalFormatting>
  <conditionalFormatting sqref="S363:S364">
    <cfRule type="expression" dxfId="4619" priority="3856" stopIfTrue="1">
      <formula>$C363&lt;&gt;""</formula>
    </cfRule>
  </conditionalFormatting>
  <conditionalFormatting sqref="S363:S364">
    <cfRule type="expression" dxfId="4618" priority="3855" stopIfTrue="1">
      <formula>$B363&lt;&gt;""</formula>
    </cfRule>
  </conditionalFormatting>
  <conditionalFormatting sqref="S360:S363">
    <cfRule type="expression" dxfId="4617" priority="3854" stopIfTrue="1">
      <formula>$B360&lt;&gt;""</formula>
    </cfRule>
  </conditionalFormatting>
  <conditionalFormatting sqref="S360:S363">
    <cfRule type="expression" dxfId="4616" priority="3853" stopIfTrue="1">
      <formula>$C360&lt;&gt;""</formula>
    </cfRule>
  </conditionalFormatting>
  <conditionalFormatting sqref="S364">
    <cfRule type="expression" dxfId="4615" priority="3852" stopIfTrue="1">
      <formula>$B364&lt;&gt;""</formula>
    </cfRule>
  </conditionalFormatting>
  <conditionalFormatting sqref="S364">
    <cfRule type="expression" dxfId="4614" priority="3851" stopIfTrue="1">
      <formula>$C364&lt;&gt;""</formula>
    </cfRule>
  </conditionalFormatting>
  <conditionalFormatting sqref="S360:S362">
    <cfRule type="expression" dxfId="4613" priority="3850" stopIfTrue="1">
      <formula>$B360&lt;&gt;""</formula>
    </cfRule>
  </conditionalFormatting>
  <conditionalFormatting sqref="S360:S362">
    <cfRule type="expression" dxfId="4612" priority="3849" stopIfTrue="1">
      <formula>$C360&lt;&gt;""</formula>
    </cfRule>
  </conditionalFormatting>
  <conditionalFormatting sqref="S363:S364">
    <cfRule type="expression" dxfId="4611" priority="3848" stopIfTrue="1">
      <formula>$B363&lt;&gt;""</formula>
    </cfRule>
  </conditionalFormatting>
  <conditionalFormatting sqref="S363:S364">
    <cfRule type="expression" dxfId="4610" priority="3847" stopIfTrue="1">
      <formula>$C363&lt;&gt;""</formula>
    </cfRule>
  </conditionalFormatting>
  <conditionalFormatting sqref="S360:S363">
    <cfRule type="expression" dxfId="4609" priority="3846" stopIfTrue="1">
      <formula>$B360&lt;&gt;""</formula>
    </cfRule>
  </conditionalFormatting>
  <conditionalFormatting sqref="S360:S363">
    <cfRule type="expression" dxfId="4608" priority="3845" stopIfTrue="1">
      <formula>$C360&lt;&gt;""</formula>
    </cfRule>
  </conditionalFormatting>
  <conditionalFormatting sqref="S360:S363">
    <cfRule type="expression" dxfId="4607" priority="3844" stopIfTrue="1">
      <formula>$B360&lt;&gt;""</formula>
    </cfRule>
  </conditionalFormatting>
  <conditionalFormatting sqref="S360:S363">
    <cfRule type="expression" dxfId="4606" priority="3843" stopIfTrue="1">
      <formula>$C360&lt;&gt;""</formula>
    </cfRule>
  </conditionalFormatting>
  <conditionalFormatting sqref="S364">
    <cfRule type="expression" dxfId="4605" priority="3842" stopIfTrue="1">
      <formula>$B364&lt;&gt;""</formula>
    </cfRule>
  </conditionalFormatting>
  <conditionalFormatting sqref="S364">
    <cfRule type="expression" dxfId="4604" priority="3841" stopIfTrue="1">
      <formula>$C364&lt;&gt;""</formula>
    </cfRule>
  </conditionalFormatting>
  <conditionalFormatting sqref="S360:S363">
    <cfRule type="expression" dxfId="4603" priority="3840" stopIfTrue="1">
      <formula>$B360&lt;&gt;""</formula>
    </cfRule>
  </conditionalFormatting>
  <conditionalFormatting sqref="S360:S363">
    <cfRule type="expression" dxfId="4602" priority="3839" stopIfTrue="1">
      <formula>$C360&lt;&gt;""</formula>
    </cfRule>
  </conditionalFormatting>
  <conditionalFormatting sqref="S364">
    <cfRule type="expression" dxfId="4601" priority="3838" stopIfTrue="1">
      <formula>$B364&lt;&gt;""</formula>
    </cfRule>
  </conditionalFormatting>
  <conditionalFormatting sqref="S364">
    <cfRule type="expression" dxfId="4600" priority="3837" stopIfTrue="1">
      <formula>$C364&lt;&gt;""</formula>
    </cfRule>
  </conditionalFormatting>
  <conditionalFormatting sqref="S364">
    <cfRule type="expression" dxfId="4599" priority="3836" stopIfTrue="1">
      <formula>$B364&lt;&gt;""</formula>
    </cfRule>
  </conditionalFormatting>
  <conditionalFormatting sqref="S364">
    <cfRule type="expression" dxfId="4598" priority="3835" stopIfTrue="1">
      <formula>$C364&lt;&gt;""</formula>
    </cfRule>
  </conditionalFormatting>
  <conditionalFormatting sqref="S360">
    <cfRule type="expression" dxfId="4597" priority="3834" stopIfTrue="1">
      <formula>$C360&lt;&gt;""</formula>
    </cfRule>
  </conditionalFormatting>
  <conditionalFormatting sqref="S360">
    <cfRule type="expression" dxfId="4596" priority="3833" stopIfTrue="1">
      <formula>$B360&lt;&gt;""</formula>
    </cfRule>
  </conditionalFormatting>
  <conditionalFormatting sqref="S361:S364">
    <cfRule type="expression" dxfId="4595" priority="3832" stopIfTrue="1">
      <formula>$C361&lt;&gt;""</formula>
    </cfRule>
  </conditionalFormatting>
  <conditionalFormatting sqref="S361:S364">
    <cfRule type="expression" dxfId="4594" priority="3831" stopIfTrue="1">
      <formula>$B361&lt;&gt;""</formula>
    </cfRule>
  </conditionalFormatting>
  <conditionalFormatting sqref="S363:S364">
    <cfRule type="expression" dxfId="4593" priority="3830" stopIfTrue="1">
      <formula>$C363&lt;&gt;""</formula>
    </cfRule>
  </conditionalFormatting>
  <conditionalFormatting sqref="S363:S364">
    <cfRule type="expression" dxfId="4592" priority="3829" stopIfTrue="1">
      <formula>$B363&lt;&gt;""</formula>
    </cfRule>
  </conditionalFormatting>
  <conditionalFormatting sqref="S360">
    <cfRule type="expression" dxfId="4591" priority="3828" stopIfTrue="1">
      <formula>$B360&lt;&gt;""</formula>
    </cfRule>
  </conditionalFormatting>
  <conditionalFormatting sqref="S360">
    <cfRule type="expression" dxfId="4590" priority="3827" stopIfTrue="1">
      <formula>$C360&lt;&gt;""</formula>
    </cfRule>
  </conditionalFormatting>
  <conditionalFormatting sqref="S361">
    <cfRule type="expression" dxfId="4589" priority="3826" stopIfTrue="1">
      <formula>$B361&lt;&gt;""</formula>
    </cfRule>
  </conditionalFormatting>
  <conditionalFormatting sqref="S361">
    <cfRule type="expression" dxfId="4588" priority="3825" stopIfTrue="1">
      <formula>$C361&lt;&gt;""</formula>
    </cfRule>
  </conditionalFormatting>
  <conditionalFormatting sqref="S360">
    <cfRule type="expression" dxfId="4587" priority="3824" stopIfTrue="1">
      <formula>$B360&lt;&gt;""</formula>
    </cfRule>
  </conditionalFormatting>
  <conditionalFormatting sqref="S360">
    <cfRule type="expression" dxfId="4586" priority="3823" stopIfTrue="1">
      <formula>$C360&lt;&gt;""</formula>
    </cfRule>
  </conditionalFormatting>
  <conditionalFormatting sqref="S361:S364">
    <cfRule type="expression" dxfId="4585" priority="3822" stopIfTrue="1">
      <formula>$B361&lt;&gt;""</formula>
    </cfRule>
  </conditionalFormatting>
  <conditionalFormatting sqref="S361:S364">
    <cfRule type="expression" dxfId="4584" priority="3821" stopIfTrue="1">
      <formula>$C361&lt;&gt;""</formula>
    </cfRule>
  </conditionalFormatting>
  <conditionalFormatting sqref="S360">
    <cfRule type="expression" dxfId="4583" priority="3820" stopIfTrue="1">
      <formula>$B360&lt;&gt;""</formula>
    </cfRule>
  </conditionalFormatting>
  <conditionalFormatting sqref="S360">
    <cfRule type="expression" dxfId="4582" priority="3819" stopIfTrue="1">
      <formula>$C360&lt;&gt;""</formula>
    </cfRule>
  </conditionalFormatting>
  <conditionalFormatting sqref="S361:S364">
    <cfRule type="expression" dxfId="4581" priority="3818" stopIfTrue="1">
      <formula>$B361&lt;&gt;""</formula>
    </cfRule>
  </conditionalFormatting>
  <conditionalFormatting sqref="S361:S364">
    <cfRule type="expression" dxfId="4580" priority="3817" stopIfTrue="1">
      <formula>$C361&lt;&gt;""</formula>
    </cfRule>
  </conditionalFormatting>
  <conditionalFormatting sqref="S360:S364">
    <cfRule type="expression" dxfId="4579" priority="3816" stopIfTrue="1">
      <formula>$B360&lt;&gt;""</formula>
    </cfRule>
  </conditionalFormatting>
  <conditionalFormatting sqref="S360:S364">
    <cfRule type="expression" dxfId="4578" priority="3815" stopIfTrue="1">
      <formula>$C360&lt;&gt;""</formula>
    </cfRule>
  </conditionalFormatting>
  <conditionalFormatting sqref="S360:S364">
    <cfRule type="expression" dxfId="4577" priority="3814" stopIfTrue="1">
      <formula>$B360&lt;&gt;""</formula>
    </cfRule>
  </conditionalFormatting>
  <conditionalFormatting sqref="S360:S364">
    <cfRule type="expression" dxfId="4576" priority="3813" stopIfTrue="1">
      <formula>$C360&lt;&gt;""</formula>
    </cfRule>
  </conditionalFormatting>
  <conditionalFormatting sqref="S360:S364">
    <cfRule type="expression" dxfId="4575" priority="3812" stopIfTrue="1">
      <formula>$B360&lt;&gt;""</formula>
    </cfRule>
  </conditionalFormatting>
  <conditionalFormatting sqref="S360:S364">
    <cfRule type="expression" dxfId="4574" priority="3811" stopIfTrue="1">
      <formula>$C360&lt;&gt;""</formula>
    </cfRule>
  </conditionalFormatting>
  <conditionalFormatting sqref="S360:S364">
    <cfRule type="expression" dxfId="4573" priority="3810" stopIfTrue="1">
      <formula>$B360&lt;&gt;""</formula>
    </cfRule>
  </conditionalFormatting>
  <conditionalFormatting sqref="S360:S364">
    <cfRule type="expression" dxfId="4572" priority="3809" stopIfTrue="1">
      <formula>$C360&lt;&gt;""</formula>
    </cfRule>
  </conditionalFormatting>
  <conditionalFormatting sqref="S360:S364">
    <cfRule type="expression" dxfId="4571" priority="3808" stopIfTrue="1">
      <formula>$B360&lt;&gt;""</formula>
    </cfRule>
  </conditionalFormatting>
  <conditionalFormatting sqref="S360:S364">
    <cfRule type="expression" dxfId="4570" priority="3807" stopIfTrue="1">
      <formula>$C360&lt;&gt;""</formula>
    </cfRule>
  </conditionalFormatting>
  <conditionalFormatting sqref="S360:S364">
    <cfRule type="expression" dxfId="4569" priority="3806" stopIfTrue="1">
      <formula>$B360&lt;&gt;""</formula>
    </cfRule>
  </conditionalFormatting>
  <conditionalFormatting sqref="S360:S364">
    <cfRule type="expression" dxfId="4568" priority="3805" stopIfTrue="1">
      <formula>$C360&lt;&gt;""</formula>
    </cfRule>
  </conditionalFormatting>
  <conditionalFormatting sqref="S360:S364">
    <cfRule type="expression" dxfId="4567" priority="3804" stopIfTrue="1">
      <formula>$B360&lt;&gt;""</formula>
    </cfRule>
  </conditionalFormatting>
  <conditionalFormatting sqref="S360:S364">
    <cfRule type="expression" dxfId="4566" priority="3803" stopIfTrue="1">
      <formula>$C360&lt;&gt;""</formula>
    </cfRule>
  </conditionalFormatting>
  <conditionalFormatting sqref="S360:S363">
    <cfRule type="expression" dxfId="4565" priority="3802" stopIfTrue="1">
      <formula>$B360&lt;&gt;""</formula>
    </cfRule>
  </conditionalFormatting>
  <conditionalFormatting sqref="S360:S363">
    <cfRule type="expression" dxfId="4564" priority="3801" stopIfTrue="1">
      <formula>$C360&lt;&gt;""</formula>
    </cfRule>
  </conditionalFormatting>
  <conditionalFormatting sqref="S364">
    <cfRule type="expression" dxfId="4563" priority="3800" stopIfTrue="1">
      <formula>$B364&lt;&gt;""</formula>
    </cfRule>
  </conditionalFormatting>
  <conditionalFormatting sqref="S364">
    <cfRule type="expression" dxfId="4562" priority="3799" stopIfTrue="1">
      <formula>$C364&lt;&gt;""</formula>
    </cfRule>
  </conditionalFormatting>
  <conditionalFormatting sqref="S360:S362">
    <cfRule type="expression" dxfId="4561" priority="3798" stopIfTrue="1">
      <formula>$B360&lt;&gt;""</formula>
    </cfRule>
  </conditionalFormatting>
  <conditionalFormatting sqref="S360:S362">
    <cfRule type="expression" dxfId="4560" priority="3797" stopIfTrue="1">
      <formula>$C360&lt;&gt;""</formula>
    </cfRule>
  </conditionalFormatting>
  <conditionalFormatting sqref="S363:S364">
    <cfRule type="expression" dxfId="4559" priority="3796" stopIfTrue="1">
      <formula>$B363&lt;&gt;""</formula>
    </cfRule>
  </conditionalFormatting>
  <conditionalFormatting sqref="S363:S364">
    <cfRule type="expression" dxfId="4558" priority="3795" stopIfTrue="1">
      <formula>$C363&lt;&gt;""</formula>
    </cfRule>
  </conditionalFormatting>
  <conditionalFormatting sqref="S360:S363">
    <cfRule type="expression" dxfId="4557" priority="3794" stopIfTrue="1">
      <formula>$B360&lt;&gt;""</formula>
    </cfRule>
  </conditionalFormatting>
  <conditionalFormatting sqref="S360:S363">
    <cfRule type="expression" dxfId="4556" priority="3793" stopIfTrue="1">
      <formula>$C360&lt;&gt;""</formula>
    </cfRule>
  </conditionalFormatting>
  <conditionalFormatting sqref="S360:S363">
    <cfRule type="expression" dxfId="4555" priority="3792" stopIfTrue="1">
      <formula>$B360&lt;&gt;""</formula>
    </cfRule>
  </conditionalFormatting>
  <conditionalFormatting sqref="S360:S363">
    <cfRule type="expression" dxfId="4554" priority="3791" stopIfTrue="1">
      <formula>$C360&lt;&gt;""</formula>
    </cfRule>
  </conditionalFormatting>
  <conditionalFormatting sqref="S364">
    <cfRule type="expression" dxfId="4553" priority="3790" stopIfTrue="1">
      <formula>$B364&lt;&gt;""</formula>
    </cfRule>
  </conditionalFormatting>
  <conditionalFormatting sqref="S364">
    <cfRule type="expression" dxfId="4552" priority="3789" stopIfTrue="1">
      <formula>$C364&lt;&gt;""</formula>
    </cfRule>
  </conditionalFormatting>
  <conditionalFormatting sqref="S360:S363">
    <cfRule type="expression" dxfId="4551" priority="3788" stopIfTrue="1">
      <formula>$B360&lt;&gt;""</formula>
    </cfRule>
  </conditionalFormatting>
  <conditionalFormatting sqref="S360:S363">
    <cfRule type="expression" dxfId="4550" priority="3787" stopIfTrue="1">
      <formula>$C360&lt;&gt;""</formula>
    </cfRule>
  </conditionalFormatting>
  <conditionalFormatting sqref="S364">
    <cfRule type="expression" dxfId="4549" priority="3786" stopIfTrue="1">
      <formula>$B364&lt;&gt;""</formula>
    </cfRule>
  </conditionalFormatting>
  <conditionalFormatting sqref="S364">
    <cfRule type="expression" dxfId="4548" priority="3785" stopIfTrue="1">
      <formula>$C364&lt;&gt;""</formula>
    </cfRule>
  </conditionalFormatting>
  <conditionalFormatting sqref="S364">
    <cfRule type="expression" dxfId="4547" priority="3784" stopIfTrue="1">
      <formula>$B364&lt;&gt;""</formula>
    </cfRule>
  </conditionalFormatting>
  <conditionalFormatting sqref="S364">
    <cfRule type="expression" dxfId="4546" priority="3783" stopIfTrue="1">
      <formula>$C364&lt;&gt;""</formula>
    </cfRule>
  </conditionalFormatting>
  <conditionalFormatting sqref="S360">
    <cfRule type="expression" dxfId="4545" priority="3782" stopIfTrue="1">
      <formula>$C360&lt;&gt;""</formula>
    </cfRule>
  </conditionalFormatting>
  <conditionalFormatting sqref="S360">
    <cfRule type="expression" dxfId="4544" priority="3781" stopIfTrue="1">
      <formula>$B360&lt;&gt;""</formula>
    </cfRule>
  </conditionalFormatting>
  <conditionalFormatting sqref="S361:S364">
    <cfRule type="expression" dxfId="4543" priority="3780" stopIfTrue="1">
      <formula>$C361&lt;&gt;""</formula>
    </cfRule>
  </conditionalFormatting>
  <conditionalFormatting sqref="S361:S364">
    <cfRule type="expression" dxfId="4542" priority="3779" stopIfTrue="1">
      <formula>$B361&lt;&gt;""</formula>
    </cfRule>
  </conditionalFormatting>
  <conditionalFormatting sqref="S363:S364">
    <cfRule type="expression" dxfId="4541" priority="3778" stopIfTrue="1">
      <formula>$C363&lt;&gt;""</formula>
    </cfRule>
  </conditionalFormatting>
  <conditionalFormatting sqref="S363:S364">
    <cfRule type="expression" dxfId="4540" priority="3777" stopIfTrue="1">
      <formula>$B363&lt;&gt;""</formula>
    </cfRule>
  </conditionalFormatting>
  <conditionalFormatting sqref="S360:S363">
    <cfRule type="expression" dxfId="4539" priority="3776" stopIfTrue="1">
      <formula>$B360&lt;&gt;""</formula>
    </cfRule>
  </conditionalFormatting>
  <conditionalFormatting sqref="S360:S363">
    <cfRule type="expression" dxfId="4538" priority="3775" stopIfTrue="1">
      <formula>$C360&lt;&gt;""</formula>
    </cfRule>
  </conditionalFormatting>
  <conditionalFormatting sqref="S364">
    <cfRule type="expression" dxfId="4537" priority="3774" stopIfTrue="1">
      <formula>$B364&lt;&gt;""</formula>
    </cfRule>
  </conditionalFormatting>
  <conditionalFormatting sqref="S364">
    <cfRule type="expression" dxfId="4536" priority="3773" stopIfTrue="1">
      <formula>$C364&lt;&gt;""</formula>
    </cfRule>
  </conditionalFormatting>
  <conditionalFormatting sqref="S360:S362">
    <cfRule type="expression" dxfId="4535" priority="3772" stopIfTrue="1">
      <formula>$B360&lt;&gt;""</formula>
    </cfRule>
  </conditionalFormatting>
  <conditionalFormatting sqref="S360:S362">
    <cfRule type="expression" dxfId="4534" priority="3771" stopIfTrue="1">
      <formula>$C360&lt;&gt;""</formula>
    </cfRule>
  </conditionalFormatting>
  <conditionalFormatting sqref="S363:S364">
    <cfRule type="expression" dxfId="4533" priority="3770" stopIfTrue="1">
      <formula>$B363&lt;&gt;""</formula>
    </cfRule>
  </conditionalFormatting>
  <conditionalFormatting sqref="S363:S364">
    <cfRule type="expression" dxfId="4532" priority="3769" stopIfTrue="1">
      <formula>$C363&lt;&gt;""</formula>
    </cfRule>
  </conditionalFormatting>
  <conditionalFormatting sqref="S360:S363">
    <cfRule type="expression" dxfId="4531" priority="3768" stopIfTrue="1">
      <formula>$B360&lt;&gt;""</formula>
    </cfRule>
  </conditionalFormatting>
  <conditionalFormatting sqref="S360:S363">
    <cfRule type="expression" dxfId="4530" priority="3767" stopIfTrue="1">
      <formula>$C360&lt;&gt;""</formula>
    </cfRule>
  </conditionalFormatting>
  <conditionalFormatting sqref="S360:S363">
    <cfRule type="expression" dxfId="4529" priority="3766" stopIfTrue="1">
      <formula>$B360&lt;&gt;""</formula>
    </cfRule>
  </conditionalFormatting>
  <conditionalFormatting sqref="S360:S363">
    <cfRule type="expression" dxfId="4528" priority="3765" stopIfTrue="1">
      <formula>$C360&lt;&gt;""</formula>
    </cfRule>
  </conditionalFormatting>
  <conditionalFormatting sqref="S364">
    <cfRule type="expression" dxfId="4527" priority="3764" stopIfTrue="1">
      <formula>$B364&lt;&gt;""</formula>
    </cfRule>
  </conditionalFormatting>
  <conditionalFormatting sqref="S364">
    <cfRule type="expression" dxfId="4526" priority="3763" stopIfTrue="1">
      <formula>$C364&lt;&gt;""</formula>
    </cfRule>
  </conditionalFormatting>
  <conditionalFormatting sqref="S360:S363">
    <cfRule type="expression" dxfId="4525" priority="3762" stopIfTrue="1">
      <formula>$B360&lt;&gt;""</formula>
    </cfRule>
  </conditionalFormatting>
  <conditionalFormatting sqref="S360:S363">
    <cfRule type="expression" dxfId="4524" priority="3761" stopIfTrue="1">
      <formula>$C360&lt;&gt;""</formula>
    </cfRule>
  </conditionalFormatting>
  <conditionalFormatting sqref="S364">
    <cfRule type="expression" dxfId="4523" priority="3760" stopIfTrue="1">
      <formula>$B364&lt;&gt;""</formula>
    </cfRule>
  </conditionalFormatting>
  <conditionalFormatting sqref="S364">
    <cfRule type="expression" dxfId="4522" priority="3759" stopIfTrue="1">
      <formula>$C364&lt;&gt;""</formula>
    </cfRule>
  </conditionalFormatting>
  <conditionalFormatting sqref="S364">
    <cfRule type="expression" dxfId="4521" priority="3758" stopIfTrue="1">
      <formula>$B364&lt;&gt;""</formula>
    </cfRule>
  </conditionalFormatting>
  <conditionalFormatting sqref="S364">
    <cfRule type="expression" dxfId="4520" priority="3757" stopIfTrue="1">
      <formula>$C364&lt;&gt;""</formula>
    </cfRule>
  </conditionalFormatting>
  <conditionalFormatting sqref="S360">
    <cfRule type="expression" dxfId="4519" priority="3756" stopIfTrue="1">
      <formula>$C360&lt;&gt;""</formula>
    </cfRule>
  </conditionalFormatting>
  <conditionalFormatting sqref="S360">
    <cfRule type="expression" dxfId="4518" priority="3755" stopIfTrue="1">
      <formula>$B360&lt;&gt;""</formula>
    </cfRule>
  </conditionalFormatting>
  <conditionalFormatting sqref="S361:S364">
    <cfRule type="expression" dxfId="4517" priority="3754" stopIfTrue="1">
      <formula>$C361&lt;&gt;""</formula>
    </cfRule>
  </conditionalFormatting>
  <conditionalFormatting sqref="S361:S364">
    <cfRule type="expression" dxfId="4516" priority="3753" stopIfTrue="1">
      <formula>$B361&lt;&gt;""</formula>
    </cfRule>
  </conditionalFormatting>
  <conditionalFormatting sqref="S363:S364">
    <cfRule type="expression" dxfId="4515" priority="3752" stopIfTrue="1">
      <formula>$C363&lt;&gt;""</formula>
    </cfRule>
  </conditionalFormatting>
  <conditionalFormatting sqref="S363:S364">
    <cfRule type="expression" dxfId="4514" priority="3751" stopIfTrue="1">
      <formula>$B363&lt;&gt;""</formula>
    </cfRule>
  </conditionalFormatting>
  <conditionalFormatting sqref="S360">
    <cfRule type="expression" dxfId="4513" priority="3750" stopIfTrue="1">
      <formula>$B360&lt;&gt;""</formula>
    </cfRule>
  </conditionalFormatting>
  <conditionalFormatting sqref="S360">
    <cfRule type="expression" dxfId="4512" priority="3749" stopIfTrue="1">
      <formula>$C360&lt;&gt;""</formula>
    </cfRule>
  </conditionalFormatting>
  <conditionalFormatting sqref="S360">
    <cfRule type="expression" dxfId="4511" priority="3748" stopIfTrue="1">
      <formula>$B360&lt;&gt;""</formula>
    </cfRule>
  </conditionalFormatting>
  <conditionalFormatting sqref="S360">
    <cfRule type="expression" dxfId="4510" priority="3747" stopIfTrue="1">
      <formula>$C360&lt;&gt;""</formula>
    </cfRule>
  </conditionalFormatting>
  <conditionalFormatting sqref="S360">
    <cfRule type="expression" dxfId="4509" priority="3746" stopIfTrue="1">
      <formula>$B360&lt;&gt;""</formula>
    </cfRule>
  </conditionalFormatting>
  <conditionalFormatting sqref="S360">
    <cfRule type="expression" dxfId="4508" priority="3745" stopIfTrue="1">
      <formula>$C360&lt;&gt;""</formula>
    </cfRule>
  </conditionalFormatting>
  <conditionalFormatting sqref="S360">
    <cfRule type="expression" dxfId="4507" priority="3744" stopIfTrue="1">
      <formula>$B360&lt;&gt;""</formula>
    </cfRule>
  </conditionalFormatting>
  <conditionalFormatting sqref="S360">
    <cfRule type="expression" dxfId="4506" priority="3743" stopIfTrue="1">
      <formula>$C360&lt;&gt;""</formula>
    </cfRule>
  </conditionalFormatting>
  <conditionalFormatting sqref="S360">
    <cfRule type="expression" dxfId="4505" priority="3742" stopIfTrue="1">
      <formula>$B360&lt;&gt;""</formula>
    </cfRule>
  </conditionalFormatting>
  <conditionalFormatting sqref="S360">
    <cfRule type="expression" dxfId="4504" priority="3741" stopIfTrue="1">
      <formula>$C360&lt;&gt;""</formula>
    </cfRule>
  </conditionalFormatting>
  <conditionalFormatting sqref="S360">
    <cfRule type="expression" dxfId="4503" priority="3740" stopIfTrue="1">
      <formula>$B360&lt;&gt;""</formula>
    </cfRule>
  </conditionalFormatting>
  <conditionalFormatting sqref="S360">
    <cfRule type="expression" dxfId="4502" priority="3739" stopIfTrue="1">
      <formula>$C360&lt;&gt;""</formula>
    </cfRule>
  </conditionalFormatting>
  <conditionalFormatting sqref="S360">
    <cfRule type="expression" dxfId="4501" priority="3738" stopIfTrue="1">
      <formula>$B360&lt;&gt;""</formula>
    </cfRule>
  </conditionalFormatting>
  <conditionalFormatting sqref="S360">
    <cfRule type="expression" dxfId="4500" priority="3737" stopIfTrue="1">
      <formula>$C360&lt;&gt;""</formula>
    </cfRule>
  </conditionalFormatting>
  <conditionalFormatting sqref="S360">
    <cfRule type="expression" dxfId="4499" priority="3736" stopIfTrue="1">
      <formula>$B360&lt;&gt;""</formula>
    </cfRule>
  </conditionalFormatting>
  <conditionalFormatting sqref="S360">
    <cfRule type="expression" dxfId="4498" priority="3735" stopIfTrue="1">
      <formula>$C360&lt;&gt;""</formula>
    </cfRule>
  </conditionalFormatting>
  <conditionalFormatting sqref="S360">
    <cfRule type="expression" dxfId="4497" priority="3734" stopIfTrue="1">
      <formula>$B360&lt;&gt;""</formula>
    </cfRule>
  </conditionalFormatting>
  <conditionalFormatting sqref="S360">
    <cfRule type="expression" dxfId="4496" priority="3733" stopIfTrue="1">
      <formula>$C360&lt;&gt;""</formula>
    </cfRule>
  </conditionalFormatting>
  <conditionalFormatting sqref="S360">
    <cfRule type="expression" dxfId="4495" priority="3732" stopIfTrue="1">
      <formula>$B360&lt;&gt;""</formula>
    </cfRule>
  </conditionalFormatting>
  <conditionalFormatting sqref="S360">
    <cfRule type="expression" dxfId="4494" priority="3731" stopIfTrue="1">
      <formula>$C360&lt;&gt;""</formula>
    </cfRule>
  </conditionalFormatting>
  <conditionalFormatting sqref="S360">
    <cfRule type="expression" dxfId="4493" priority="3730" stopIfTrue="1">
      <formula>$B360&lt;&gt;""</formula>
    </cfRule>
  </conditionalFormatting>
  <conditionalFormatting sqref="S360">
    <cfRule type="expression" dxfId="4492" priority="3729" stopIfTrue="1">
      <formula>$C360&lt;&gt;""</formula>
    </cfRule>
  </conditionalFormatting>
  <conditionalFormatting sqref="S360">
    <cfRule type="expression" dxfId="4491" priority="3728" stopIfTrue="1">
      <formula>$B360&lt;&gt;""</formula>
    </cfRule>
  </conditionalFormatting>
  <conditionalFormatting sqref="S360">
    <cfRule type="expression" dxfId="4490" priority="3727" stopIfTrue="1">
      <formula>$C360&lt;&gt;""</formula>
    </cfRule>
  </conditionalFormatting>
  <conditionalFormatting sqref="S360">
    <cfRule type="expression" dxfId="4489" priority="3726" stopIfTrue="1">
      <formula>$B360&lt;&gt;""</formula>
    </cfRule>
  </conditionalFormatting>
  <conditionalFormatting sqref="S360">
    <cfRule type="expression" dxfId="4488" priority="3725" stopIfTrue="1">
      <formula>$C360&lt;&gt;""</formula>
    </cfRule>
  </conditionalFormatting>
  <conditionalFormatting sqref="S360">
    <cfRule type="expression" dxfId="4487" priority="3724" stopIfTrue="1">
      <formula>$B360&lt;&gt;""</formula>
    </cfRule>
  </conditionalFormatting>
  <conditionalFormatting sqref="S360">
    <cfRule type="expression" dxfId="4486" priority="3723" stopIfTrue="1">
      <formula>$C360&lt;&gt;""</formula>
    </cfRule>
  </conditionalFormatting>
  <conditionalFormatting sqref="S360">
    <cfRule type="expression" dxfId="4485" priority="3722" stopIfTrue="1">
      <formula>$C360&lt;&gt;""</formula>
    </cfRule>
  </conditionalFormatting>
  <conditionalFormatting sqref="S360">
    <cfRule type="expression" dxfId="4484" priority="3721" stopIfTrue="1">
      <formula>$B360&lt;&gt;""</formula>
    </cfRule>
  </conditionalFormatting>
  <conditionalFormatting sqref="S360">
    <cfRule type="expression" dxfId="4483" priority="3720" stopIfTrue="1">
      <formula>$C360&lt;&gt;""</formula>
    </cfRule>
  </conditionalFormatting>
  <conditionalFormatting sqref="S360">
    <cfRule type="expression" dxfId="4482" priority="3719" stopIfTrue="1">
      <formula>$B360&lt;&gt;""</formula>
    </cfRule>
  </conditionalFormatting>
  <conditionalFormatting sqref="S360">
    <cfRule type="expression" dxfId="4481" priority="3718" stopIfTrue="1">
      <formula>$B360&lt;&gt;""</formula>
    </cfRule>
  </conditionalFormatting>
  <conditionalFormatting sqref="S360">
    <cfRule type="expression" dxfId="4480" priority="3717" stopIfTrue="1">
      <formula>$C360&lt;&gt;""</formula>
    </cfRule>
  </conditionalFormatting>
  <conditionalFormatting sqref="S360">
    <cfRule type="expression" dxfId="4479" priority="3716" stopIfTrue="1">
      <formula>$B360&lt;&gt;""</formula>
    </cfRule>
  </conditionalFormatting>
  <conditionalFormatting sqref="S360">
    <cfRule type="expression" dxfId="4478" priority="3715" stopIfTrue="1">
      <formula>$C360&lt;&gt;""</formula>
    </cfRule>
  </conditionalFormatting>
  <conditionalFormatting sqref="S360">
    <cfRule type="expression" dxfId="4477" priority="3714" stopIfTrue="1">
      <formula>$B360&lt;&gt;""</formula>
    </cfRule>
  </conditionalFormatting>
  <conditionalFormatting sqref="S360">
    <cfRule type="expression" dxfId="4476" priority="3713" stopIfTrue="1">
      <formula>$C360&lt;&gt;""</formula>
    </cfRule>
  </conditionalFormatting>
  <conditionalFormatting sqref="S360">
    <cfRule type="expression" dxfId="4475" priority="3712" stopIfTrue="1">
      <formula>$B360&lt;&gt;""</formula>
    </cfRule>
  </conditionalFormatting>
  <conditionalFormatting sqref="S360">
    <cfRule type="expression" dxfId="4474" priority="3711" stopIfTrue="1">
      <formula>$C360&lt;&gt;""</formula>
    </cfRule>
  </conditionalFormatting>
  <conditionalFormatting sqref="S360">
    <cfRule type="expression" dxfId="4473" priority="3710" stopIfTrue="1">
      <formula>$B360&lt;&gt;""</formula>
    </cfRule>
  </conditionalFormatting>
  <conditionalFormatting sqref="S360">
    <cfRule type="expression" dxfId="4472" priority="3709" stopIfTrue="1">
      <formula>$C360&lt;&gt;""</formula>
    </cfRule>
  </conditionalFormatting>
  <conditionalFormatting sqref="S360">
    <cfRule type="expression" dxfId="4471" priority="3708" stopIfTrue="1">
      <formula>$C360&lt;&gt;""</formula>
    </cfRule>
  </conditionalFormatting>
  <conditionalFormatting sqref="S360">
    <cfRule type="expression" dxfId="4470" priority="3707" stopIfTrue="1">
      <formula>$B360&lt;&gt;""</formula>
    </cfRule>
  </conditionalFormatting>
  <conditionalFormatting sqref="S360">
    <cfRule type="expression" dxfId="4469" priority="3706" stopIfTrue="1">
      <formula>$C360&lt;&gt;""</formula>
    </cfRule>
  </conditionalFormatting>
  <conditionalFormatting sqref="S360">
    <cfRule type="expression" dxfId="4468" priority="3705" stopIfTrue="1">
      <formula>$B360&lt;&gt;""</formula>
    </cfRule>
  </conditionalFormatting>
  <conditionalFormatting sqref="S360">
    <cfRule type="expression" dxfId="4467" priority="3704" stopIfTrue="1">
      <formula>$B360&lt;&gt;""</formula>
    </cfRule>
  </conditionalFormatting>
  <conditionalFormatting sqref="S360">
    <cfRule type="expression" dxfId="4466" priority="3703" stopIfTrue="1">
      <formula>$C360&lt;&gt;""</formula>
    </cfRule>
  </conditionalFormatting>
  <conditionalFormatting sqref="S361">
    <cfRule type="expression" dxfId="4465" priority="3702" stopIfTrue="1">
      <formula>$B361&lt;&gt;""</formula>
    </cfRule>
  </conditionalFormatting>
  <conditionalFormatting sqref="S361">
    <cfRule type="expression" dxfId="4464" priority="3701" stopIfTrue="1">
      <formula>$C361&lt;&gt;""</formula>
    </cfRule>
  </conditionalFormatting>
  <conditionalFormatting sqref="S360">
    <cfRule type="expression" dxfId="4463" priority="3700" stopIfTrue="1">
      <formula>$B360&lt;&gt;""</formula>
    </cfRule>
  </conditionalFormatting>
  <conditionalFormatting sqref="S360">
    <cfRule type="expression" dxfId="4462" priority="3699" stopIfTrue="1">
      <formula>$C360&lt;&gt;""</formula>
    </cfRule>
  </conditionalFormatting>
  <conditionalFormatting sqref="S361:S364">
    <cfRule type="expression" dxfId="4461" priority="3698" stopIfTrue="1">
      <formula>$B361&lt;&gt;""</formula>
    </cfRule>
  </conditionalFormatting>
  <conditionalFormatting sqref="S361:S364">
    <cfRule type="expression" dxfId="4460" priority="3697" stopIfTrue="1">
      <formula>$C361&lt;&gt;""</formula>
    </cfRule>
  </conditionalFormatting>
  <conditionalFormatting sqref="S360">
    <cfRule type="expression" dxfId="4459" priority="3696" stopIfTrue="1">
      <formula>$B360&lt;&gt;""</formula>
    </cfRule>
  </conditionalFormatting>
  <conditionalFormatting sqref="S360">
    <cfRule type="expression" dxfId="4458" priority="3695" stopIfTrue="1">
      <formula>$C360&lt;&gt;""</formula>
    </cfRule>
  </conditionalFormatting>
  <conditionalFormatting sqref="S361:S364">
    <cfRule type="expression" dxfId="4457" priority="3694" stopIfTrue="1">
      <formula>$B361&lt;&gt;""</formula>
    </cfRule>
  </conditionalFormatting>
  <conditionalFormatting sqref="S361:S364">
    <cfRule type="expression" dxfId="4456" priority="3693" stopIfTrue="1">
      <formula>$C361&lt;&gt;""</formula>
    </cfRule>
  </conditionalFormatting>
  <conditionalFormatting sqref="S360:S364">
    <cfRule type="expression" dxfId="4455" priority="3692" stopIfTrue="1">
      <formula>$B360&lt;&gt;""</formula>
    </cfRule>
  </conditionalFormatting>
  <conditionalFormatting sqref="S360:S364">
    <cfRule type="expression" dxfId="4454" priority="3691" stopIfTrue="1">
      <formula>$C360&lt;&gt;""</formula>
    </cfRule>
  </conditionalFormatting>
  <conditionalFormatting sqref="S360:S364">
    <cfRule type="expression" dxfId="4453" priority="3690" stopIfTrue="1">
      <formula>$B360&lt;&gt;""</formula>
    </cfRule>
  </conditionalFormatting>
  <conditionalFormatting sqref="S360:S364">
    <cfRule type="expression" dxfId="4452" priority="3689" stopIfTrue="1">
      <formula>$C360&lt;&gt;""</formula>
    </cfRule>
  </conditionalFormatting>
  <conditionalFormatting sqref="S360:S364">
    <cfRule type="expression" dxfId="4451" priority="3688" stopIfTrue="1">
      <formula>$B360&lt;&gt;""</formula>
    </cfRule>
  </conditionalFormatting>
  <conditionalFormatting sqref="S360:S364">
    <cfRule type="expression" dxfId="4450" priority="3687" stopIfTrue="1">
      <formula>$C360&lt;&gt;""</formula>
    </cfRule>
  </conditionalFormatting>
  <conditionalFormatting sqref="S360:S364">
    <cfRule type="expression" dxfId="4449" priority="3686" stopIfTrue="1">
      <formula>$B360&lt;&gt;""</formula>
    </cfRule>
  </conditionalFormatting>
  <conditionalFormatting sqref="S360:S364">
    <cfRule type="expression" dxfId="4448" priority="3685" stopIfTrue="1">
      <formula>$C360&lt;&gt;""</formula>
    </cfRule>
  </conditionalFormatting>
  <conditionalFormatting sqref="S360:S364">
    <cfRule type="expression" dxfId="4447" priority="3684" stopIfTrue="1">
      <formula>$B360&lt;&gt;""</formula>
    </cfRule>
  </conditionalFormatting>
  <conditionalFormatting sqref="S360:S364">
    <cfRule type="expression" dxfId="4446" priority="3683" stopIfTrue="1">
      <formula>$C360&lt;&gt;""</formula>
    </cfRule>
  </conditionalFormatting>
  <conditionalFormatting sqref="S360:S364">
    <cfRule type="expression" dxfId="4445" priority="3682" stopIfTrue="1">
      <formula>$B360&lt;&gt;""</formula>
    </cfRule>
  </conditionalFormatting>
  <conditionalFormatting sqref="S360:S364">
    <cfRule type="expression" dxfId="4444" priority="3681" stopIfTrue="1">
      <formula>$C360&lt;&gt;""</formula>
    </cfRule>
  </conditionalFormatting>
  <conditionalFormatting sqref="S360:S364">
    <cfRule type="expression" dxfId="4443" priority="3680" stopIfTrue="1">
      <formula>$B360&lt;&gt;""</formula>
    </cfRule>
  </conditionalFormatting>
  <conditionalFormatting sqref="S360:S364">
    <cfRule type="expression" dxfId="4442" priority="3679" stopIfTrue="1">
      <formula>$C360&lt;&gt;""</formula>
    </cfRule>
  </conditionalFormatting>
  <conditionalFormatting sqref="S360:S363">
    <cfRule type="expression" dxfId="4441" priority="3678" stopIfTrue="1">
      <formula>$B360&lt;&gt;""</formula>
    </cfRule>
  </conditionalFormatting>
  <conditionalFormatting sqref="S360:S363">
    <cfRule type="expression" dxfId="4440" priority="3677" stopIfTrue="1">
      <formula>$C360&lt;&gt;""</formula>
    </cfRule>
  </conditionalFormatting>
  <conditionalFormatting sqref="S364">
    <cfRule type="expression" dxfId="4439" priority="3676" stopIfTrue="1">
      <formula>$B364&lt;&gt;""</formula>
    </cfRule>
  </conditionalFormatting>
  <conditionalFormatting sqref="S364">
    <cfRule type="expression" dxfId="4438" priority="3675" stopIfTrue="1">
      <formula>$C364&lt;&gt;""</formula>
    </cfRule>
  </conditionalFormatting>
  <conditionalFormatting sqref="S360:S362">
    <cfRule type="expression" dxfId="4437" priority="3674" stopIfTrue="1">
      <formula>$B360&lt;&gt;""</formula>
    </cfRule>
  </conditionalFormatting>
  <conditionalFormatting sqref="S360:S362">
    <cfRule type="expression" dxfId="4436" priority="3673" stopIfTrue="1">
      <formula>$C360&lt;&gt;""</formula>
    </cfRule>
  </conditionalFormatting>
  <conditionalFormatting sqref="S363:S364">
    <cfRule type="expression" dxfId="4435" priority="3672" stopIfTrue="1">
      <formula>$B363&lt;&gt;""</formula>
    </cfRule>
  </conditionalFormatting>
  <conditionalFormatting sqref="S363:S364">
    <cfRule type="expression" dxfId="4434" priority="3671" stopIfTrue="1">
      <formula>$C363&lt;&gt;""</formula>
    </cfRule>
  </conditionalFormatting>
  <conditionalFormatting sqref="S360:S363">
    <cfRule type="expression" dxfId="4433" priority="3670" stopIfTrue="1">
      <formula>$B360&lt;&gt;""</formula>
    </cfRule>
  </conditionalFormatting>
  <conditionalFormatting sqref="S360:S363">
    <cfRule type="expression" dxfId="4432" priority="3669" stopIfTrue="1">
      <formula>$C360&lt;&gt;""</formula>
    </cfRule>
  </conditionalFormatting>
  <conditionalFormatting sqref="S360:S363">
    <cfRule type="expression" dxfId="4431" priority="3668" stopIfTrue="1">
      <formula>$B360&lt;&gt;""</formula>
    </cfRule>
  </conditionalFormatting>
  <conditionalFormatting sqref="S360:S363">
    <cfRule type="expression" dxfId="4430" priority="3667" stopIfTrue="1">
      <formula>$C360&lt;&gt;""</formula>
    </cfRule>
  </conditionalFormatting>
  <conditionalFormatting sqref="S364">
    <cfRule type="expression" dxfId="4429" priority="3666" stopIfTrue="1">
      <formula>$B364&lt;&gt;""</formula>
    </cfRule>
  </conditionalFormatting>
  <conditionalFormatting sqref="S364">
    <cfRule type="expression" dxfId="4428" priority="3665" stopIfTrue="1">
      <formula>$C364&lt;&gt;""</formula>
    </cfRule>
  </conditionalFormatting>
  <conditionalFormatting sqref="S360:S363">
    <cfRule type="expression" dxfId="4427" priority="3664" stopIfTrue="1">
      <formula>$B360&lt;&gt;""</formula>
    </cfRule>
  </conditionalFormatting>
  <conditionalFormatting sqref="S360:S363">
    <cfRule type="expression" dxfId="4426" priority="3663" stopIfTrue="1">
      <formula>$C360&lt;&gt;""</formula>
    </cfRule>
  </conditionalFormatting>
  <conditionalFormatting sqref="S364">
    <cfRule type="expression" dxfId="4425" priority="3662" stopIfTrue="1">
      <formula>$B364&lt;&gt;""</formula>
    </cfRule>
  </conditionalFormatting>
  <conditionalFormatting sqref="S364">
    <cfRule type="expression" dxfId="4424" priority="3661" stopIfTrue="1">
      <formula>$C364&lt;&gt;""</formula>
    </cfRule>
  </conditionalFormatting>
  <conditionalFormatting sqref="S364">
    <cfRule type="expression" dxfId="4423" priority="3660" stopIfTrue="1">
      <formula>$B364&lt;&gt;""</formula>
    </cfRule>
  </conditionalFormatting>
  <conditionalFormatting sqref="S364">
    <cfRule type="expression" dxfId="4422" priority="3659" stopIfTrue="1">
      <formula>$C364&lt;&gt;""</formula>
    </cfRule>
  </conditionalFormatting>
  <conditionalFormatting sqref="S360">
    <cfRule type="expression" dxfId="4421" priority="3658" stopIfTrue="1">
      <formula>$C360&lt;&gt;""</formula>
    </cfRule>
  </conditionalFormatting>
  <conditionalFormatting sqref="S360">
    <cfRule type="expression" dxfId="4420" priority="3657" stopIfTrue="1">
      <formula>$B360&lt;&gt;""</formula>
    </cfRule>
  </conditionalFormatting>
  <conditionalFormatting sqref="S361:S364">
    <cfRule type="expression" dxfId="4419" priority="3656" stopIfTrue="1">
      <formula>$C361&lt;&gt;""</formula>
    </cfRule>
  </conditionalFormatting>
  <conditionalFormatting sqref="S361:S364">
    <cfRule type="expression" dxfId="4418" priority="3655" stopIfTrue="1">
      <formula>$B361&lt;&gt;""</formula>
    </cfRule>
  </conditionalFormatting>
  <conditionalFormatting sqref="S363:S364">
    <cfRule type="expression" dxfId="4417" priority="3654" stopIfTrue="1">
      <formula>$C363&lt;&gt;""</formula>
    </cfRule>
  </conditionalFormatting>
  <conditionalFormatting sqref="S363:S364">
    <cfRule type="expression" dxfId="4416" priority="3653" stopIfTrue="1">
      <formula>$B363&lt;&gt;""</formula>
    </cfRule>
  </conditionalFormatting>
  <conditionalFormatting sqref="S360:S363">
    <cfRule type="expression" dxfId="4415" priority="3652" stopIfTrue="1">
      <formula>$B360&lt;&gt;""</formula>
    </cfRule>
  </conditionalFormatting>
  <conditionalFormatting sqref="S360:S363">
    <cfRule type="expression" dxfId="4414" priority="3651" stopIfTrue="1">
      <formula>$C360&lt;&gt;""</formula>
    </cfRule>
  </conditionalFormatting>
  <conditionalFormatting sqref="S364">
    <cfRule type="expression" dxfId="4413" priority="3650" stopIfTrue="1">
      <formula>$B364&lt;&gt;""</formula>
    </cfRule>
  </conditionalFormatting>
  <conditionalFormatting sqref="S364">
    <cfRule type="expression" dxfId="4412" priority="3649" stopIfTrue="1">
      <formula>$C364&lt;&gt;""</formula>
    </cfRule>
  </conditionalFormatting>
  <conditionalFormatting sqref="S360:S362">
    <cfRule type="expression" dxfId="4411" priority="3648" stopIfTrue="1">
      <formula>$B360&lt;&gt;""</formula>
    </cfRule>
  </conditionalFormatting>
  <conditionalFormatting sqref="S360:S362">
    <cfRule type="expression" dxfId="4410" priority="3647" stopIfTrue="1">
      <formula>$C360&lt;&gt;""</formula>
    </cfRule>
  </conditionalFormatting>
  <conditionalFormatting sqref="S363:S364">
    <cfRule type="expression" dxfId="4409" priority="3646" stopIfTrue="1">
      <formula>$B363&lt;&gt;""</formula>
    </cfRule>
  </conditionalFormatting>
  <conditionalFormatting sqref="S363:S364">
    <cfRule type="expression" dxfId="4408" priority="3645" stopIfTrue="1">
      <formula>$C363&lt;&gt;""</formula>
    </cfRule>
  </conditionalFormatting>
  <conditionalFormatting sqref="S360:S363">
    <cfRule type="expression" dxfId="4407" priority="3644" stopIfTrue="1">
      <formula>$B360&lt;&gt;""</formula>
    </cfRule>
  </conditionalFormatting>
  <conditionalFormatting sqref="S360:S363">
    <cfRule type="expression" dxfId="4406" priority="3643" stopIfTrue="1">
      <formula>$C360&lt;&gt;""</formula>
    </cfRule>
  </conditionalFormatting>
  <conditionalFormatting sqref="S360:S363">
    <cfRule type="expression" dxfId="4405" priority="3642" stopIfTrue="1">
      <formula>$B360&lt;&gt;""</formula>
    </cfRule>
  </conditionalFormatting>
  <conditionalFormatting sqref="S360:S363">
    <cfRule type="expression" dxfId="4404" priority="3641" stopIfTrue="1">
      <formula>$C360&lt;&gt;""</formula>
    </cfRule>
  </conditionalFormatting>
  <conditionalFormatting sqref="S364">
    <cfRule type="expression" dxfId="4403" priority="3640" stopIfTrue="1">
      <formula>$B364&lt;&gt;""</formula>
    </cfRule>
  </conditionalFormatting>
  <conditionalFormatting sqref="S364">
    <cfRule type="expression" dxfId="4402" priority="3639" stopIfTrue="1">
      <formula>$C364&lt;&gt;""</formula>
    </cfRule>
  </conditionalFormatting>
  <conditionalFormatting sqref="S360:S363">
    <cfRule type="expression" dxfId="4401" priority="3638" stopIfTrue="1">
      <formula>$B360&lt;&gt;""</formula>
    </cfRule>
  </conditionalFormatting>
  <conditionalFormatting sqref="S360:S363">
    <cfRule type="expression" dxfId="4400" priority="3637" stopIfTrue="1">
      <formula>$C360&lt;&gt;""</formula>
    </cfRule>
  </conditionalFormatting>
  <conditionalFormatting sqref="S364">
    <cfRule type="expression" dxfId="4399" priority="3636" stopIfTrue="1">
      <formula>$B364&lt;&gt;""</formula>
    </cfRule>
  </conditionalFormatting>
  <conditionalFormatting sqref="S364">
    <cfRule type="expression" dxfId="4398" priority="3635" stopIfTrue="1">
      <formula>$C364&lt;&gt;""</formula>
    </cfRule>
  </conditionalFormatting>
  <conditionalFormatting sqref="S364">
    <cfRule type="expression" dxfId="4397" priority="3634" stopIfTrue="1">
      <formula>$B364&lt;&gt;""</formula>
    </cfRule>
  </conditionalFormatting>
  <conditionalFormatting sqref="S364">
    <cfRule type="expression" dxfId="4396" priority="3633" stopIfTrue="1">
      <formula>$C364&lt;&gt;""</formula>
    </cfRule>
  </conditionalFormatting>
  <conditionalFormatting sqref="S360">
    <cfRule type="expression" dxfId="4395" priority="3632" stopIfTrue="1">
      <formula>$C360&lt;&gt;""</formula>
    </cfRule>
  </conditionalFormatting>
  <conditionalFormatting sqref="S360">
    <cfRule type="expression" dxfId="4394" priority="3631" stopIfTrue="1">
      <formula>$B360&lt;&gt;""</formula>
    </cfRule>
  </conditionalFormatting>
  <conditionalFormatting sqref="S361:S364">
    <cfRule type="expression" dxfId="4393" priority="3630" stopIfTrue="1">
      <formula>$C361&lt;&gt;""</formula>
    </cfRule>
  </conditionalFormatting>
  <conditionalFormatting sqref="S361:S364">
    <cfRule type="expression" dxfId="4392" priority="3629" stopIfTrue="1">
      <formula>$B361&lt;&gt;""</formula>
    </cfRule>
  </conditionalFormatting>
  <conditionalFormatting sqref="S363:S364">
    <cfRule type="expression" dxfId="4391" priority="3628" stopIfTrue="1">
      <formula>$C363&lt;&gt;""</formula>
    </cfRule>
  </conditionalFormatting>
  <conditionalFormatting sqref="S363:S364">
    <cfRule type="expression" dxfId="4390" priority="3627" stopIfTrue="1">
      <formula>$B363&lt;&gt;""</formula>
    </cfRule>
  </conditionalFormatting>
  <conditionalFormatting sqref="S360">
    <cfRule type="expression" dxfId="4389" priority="3626" stopIfTrue="1">
      <formula>$B360&lt;&gt;""</formula>
    </cfRule>
  </conditionalFormatting>
  <conditionalFormatting sqref="S360">
    <cfRule type="expression" dxfId="4388" priority="3625" stopIfTrue="1">
      <formula>$C360&lt;&gt;""</formula>
    </cfRule>
  </conditionalFormatting>
  <conditionalFormatting sqref="S360">
    <cfRule type="expression" dxfId="4387" priority="3624" stopIfTrue="1">
      <formula>$B360&lt;&gt;""</formula>
    </cfRule>
  </conditionalFormatting>
  <conditionalFormatting sqref="S360">
    <cfRule type="expression" dxfId="4386" priority="3623" stopIfTrue="1">
      <formula>$C360&lt;&gt;""</formula>
    </cfRule>
  </conditionalFormatting>
  <conditionalFormatting sqref="S360">
    <cfRule type="expression" dxfId="4385" priority="3622" stopIfTrue="1">
      <formula>$B360&lt;&gt;""</formula>
    </cfRule>
  </conditionalFormatting>
  <conditionalFormatting sqref="S360">
    <cfRule type="expression" dxfId="4384" priority="3621" stopIfTrue="1">
      <formula>$C360&lt;&gt;""</formula>
    </cfRule>
  </conditionalFormatting>
  <conditionalFormatting sqref="S360">
    <cfRule type="expression" dxfId="4383" priority="3620" stopIfTrue="1">
      <formula>$B360&lt;&gt;""</formula>
    </cfRule>
  </conditionalFormatting>
  <conditionalFormatting sqref="S360">
    <cfRule type="expression" dxfId="4382" priority="3619" stopIfTrue="1">
      <formula>$C360&lt;&gt;""</formula>
    </cfRule>
  </conditionalFormatting>
  <conditionalFormatting sqref="S360">
    <cfRule type="expression" dxfId="4381" priority="3618" stopIfTrue="1">
      <formula>$B360&lt;&gt;""</formula>
    </cfRule>
  </conditionalFormatting>
  <conditionalFormatting sqref="S360">
    <cfRule type="expression" dxfId="4380" priority="3617" stopIfTrue="1">
      <formula>$C360&lt;&gt;""</formula>
    </cfRule>
  </conditionalFormatting>
  <conditionalFormatting sqref="S360">
    <cfRule type="expression" dxfId="4379" priority="3616" stopIfTrue="1">
      <formula>$B360&lt;&gt;""</formula>
    </cfRule>
  </conditionalFormatting>
  <conditionalFormatting sqref="S360">
    <cfRule type="expression" dxfId="4378" priority="3615" stopIfTrue="1">
      <formula>$C360&lt;&gt;""</formula>
    </cfRule>
  </conditionalFormatting>
  <conditionalFormatting sqref="S360">
    <cfRule type="expression" dxfId="4377" priority="3614" stopIfTrue="1">
      <formula>$B360&lt;&gt;""</formula>
    </cfRule>
  </conditionalFormatting>
  <conditionalFormatting sqref="S360">
    <cfRule type="expression" dxfId="4376" priority="3613" stopIfTrue="1">
      <formula>$C360&lt;&gt;""</formula>
    </cfRule>
  </conditionalFormatting>
  <conditionalFormatting sqref="S360">
    <cfRule type="expression" dxfId="4375" priority="3612" stopIfTrue="1">
      <formula>$B360&lt;&gt;""</formula>
    </cfRule>
  </conditionalFormatting>
  <conditionalFormatting sqref="S360">
    <cfRule type="expression" dxfId="4374" priority="3611" stopIfTrue="1">
      <formula>$C360&lt;&gt;""</formula>
    </cfRule>
  </conditionalFormatting>
  <conditionalFormatting sqref="S360">
    <cfRule type="expression" dxfId="4373" priority="3610" stopIfTrue="1">
      <formula>$B360&lt;&gt;""</formula>
    </cfRule>
  </conditionalFormatting>
  <conditionalFormatting sqref="S360">
    <cfRule type="expression" dxfId="4372" priority="3609" stopIfTrue="1">
      <formula>$C360&lt;&gt;""</formula>
    </cfRule>
  </conditionalFormatting>
  <conditionalFormatting sqref="S360">
    <cfRule type="expression" dxfId="4371" priority="3608" stopIfTrue="1">
      <formula>$B360&lt;&gt;""</formula>
    </cfRule>
  </conditionalFormatting>
  <conditionalFormatting sqref="S360">
    <cfRule type="expression" dxfId="4370" priority="3607" stopIfTrue="1">
      <formula>$C360&lt;&gt;""</formula>
    </cfRule>
  </conditionalFormatting>
  <conditionalFormatting sqref="S360">
    <cfRule type="expression" dxfId="4369" priority="3606" stopIfTrue="1">
      <formula>$B360&lt;&gt;""</formula>
    </cfRule>
  </conditionalFormatting>
  <conditionalFormatting sqref="S360">
    <cfRule type="expression" dxfId="4368" priority="3605" stopIfTrue="1">
      <formula>$C360&lt;&gt;""</formula>
    </cfRule>
  </conditionalFormatting>
  <conditionalFormatting sqref="S360">
    <cfRule type="expression" dxfId="4367" priority="3604" stopIfTrue="1">
      <formula>$B360&lt;&gt;""</formula>
    </cfRule>
  </conditionalFormatting>
  <conditionalFormatting sqref="S360">
    <cfRule type="expression" dxfId="4366" priority="3603" stopIfTrue="1">
      <formula>$C360&lt;&gt;""</formula>
    </cfRule>
  </conditionalFormatting>
  <conditionalFormatting sqref="S360">
    <cfRule type="expression" dxfId="4365" priority="3602" stopIfTrue="1">
      <formula>$B360&lt;&gt;""</formula>
    </cfRule>
  </conditionalFormatting>
  <conditionalFormatting sqref="S360">
    <cfRule type="expression" dxfId="4364" priority="3601" stopIfTrue="1">
      <formula>$C360&lt;&gt;""</formula>
    </cfRule>
  </conditionalFormatting>
  <conditionalFormatting sqref="S360">
    <cfRule type="expression" dxfId="4363" priority="3600" stopIfTrue="1">
      <formula>$B360&lt;&gt;""</formula>
    </cfRule>
  </conditionalFormatting>
  <conditionalFormatting sqref="S360">
    <cfRule type="expression" dxfId="4362" priority="3599" stopIfTrue="1">
      <formula>$C360&lt;&gt;""</formula>
    </cfRule>
  </conditionalFormatting>
  <conditionalFormatting sqref="S360">
    <cfRule type="expression" dxfId="4361" priority="3598" stopIfTrue="1">
      <formula>$C360&lt;&gt;""</formula>
    </cfRule>
  </conditionalFormatting>
  <conditionalFormatting sqref="S360">
    <cfRule type="expression" dxfId="4360" priority="3597" stopIfTrue="1">
      <formula>$B360&lt;&gt;""</formula>
    </cfRule>
  </conditionalFormatting>
  <conditionalFormatting sqref="S360">
    <cfRule type="expression" dxfId="4359" priority="3596" stopIfTrue="1">
      <formula>$C360&lt;&gt;""</formula>
    </cfRule>
  </conditionalFormatting>
  <conditionalFormatting sqref="S360">
    <cfRule type="expression" dxfId="4358" priority="3595" stopIfTrue="1">
      <formula>$B360&lt;&gt;""</formula>
    </cfRule>
  </conditionalFormatting>
  <conditionalFormatting sqref="S360">
    <cfRule type="expression" dxfId="4357" priority="3594" stopIfTrue="1">
      <formula>$B360&lt;&gt;""</formula>
    </cfRule>
  </conditionalFormatting>
  <conditionalFormatting sqref="S360">
    <cfRule type="expression" dxfId="4356" priority="3593" stopIfTrue="1">
      <formula>$C360&lt;&gt;""</formula>
    </cfRule>
  </conditionalFormatting>
  <conditionalFormatting sqref="S360">
    <cfRule type="expression" dxfId="4355" priority="3592" stopIfTrue="1">
      <formula>$B360&lt;&gt;""</formula>
    </cfRule>
  </conditionalFormatting>
  <conditionalFormatting sqref="S360">
    <cfRule type="expression" dxfId="4354" priority="3591" stopIfTrue="1">
      <formula>$C360&lt;&gt;""</formula>
    </cfRule>
  </conditionalFormatting>
  <conditionalFormatting sqref="S360">
    <cfRule type="expression" dxfId="4353" priority="3590" stopIfTrue="1">
      <formula>$B360&lt;&gt;""</formula>
    </cfRule>
  </conditionalFormatting>
  <conditionalFormatting sqref="S360">
    <cfRule type="expression" dxfId="4352" priority="3589" stopIfTrue="1">
      <formula>$C360&lt;&gt;""</formula>
    </cfRule>
  </conditionalFormatting>
  <conditionalFormatting sqref="S360">
    <cfRule type="expression" dxfId="4351" priority="3588" stopIfTrue="1">
      <formula>$B360&lt;&gt;""</formula>
    </cfRule>
  </conditionalFormatting>
  <conditionalFormatting sqref="S360">
    <cfRule type="expression" dxfId="4350" priority="3587" stopIfTrue="1">
      <formula>$C360&lt;&gt;""</formula>
    </cfRule>
  </conditionalFormatting>
  <conditionalFormatting sqref="S360">
    <cfRule type="expression" dxfId="4349" priority="3586" stopIfTrue="1">
      <formula>$B360&lt;&gt;""</formula>
    </cfRule>
  </conditionalFormatting>
  <conditionalFormatting sqref="S360">
    <cfRule type="expression" dxfId="4348" priority="3585" stopIfTrue="1">
      <formula>$C360&lt;&gt;""</formula>
    </cfRule>
  </conditionalFormatting>
  <conditionalFormatting sqref="S360">
    <cfRule type="expression" dxfId="4347" priority="3584" stopIfTrue="1">
      <formula>$C360&lt;&gt;""</formula>
    </cfRule>
  </conditionalFormatting>
  <conditionalFormatting sqref="S360">
    <cfRule type="expression" dxfId="4346" priority="3583" stopIfTrue="1">
      <formula>$B360&lt;&gt;""</formula>
    </cfRule>
  </conditionalFormatting>
  <conditionalFormatting sqref="S360">
    <cfRule type="expression" dxfId="4345" priority="3582" stopIfTrue="1">
      <formula>$C360&lt;&gt;""</formula>
    </cfRule>
  </conditionalFormatting>
  <conditionalFormatting sqref="S360">
    <cfRule type="expression" dxfId="4344" priority="3581" stopIfTrue="1">
      <formula>$B360&lt;&gt;""</formula>
    </cfRule>
  </conditionalFormatting>
  <conditionalFormatting sqref="S360">
    <cfRule type="expression" dxfId="4343" priority="3580" stopIfTrue="1">
      <formula>$B360&lt;&gt;""</formula>
    </cfRule>
  </conditionalFormatting>
  <conditionalFormatting sqref="S360">
    <cfRule type="expression" dxfId="4342" priority="3579" stopIfTrue="1">
      <formula>$C360&lt;&gt;""</formula>
    </cfRule>
  </conditionalFormatting>
  <conditionalFormatting sqref="S361">
    <cfRule type="expression" dxfId="4341" priority="3578" stopIfTrue="1">
      <formula>$B361&lt;&gt;""</formula>
    </cfRule>
  </conditionalFormatting>
  <conditionalFormatting sqref="S361">
    <cfRule type="expression" dxfId="4340" priority="3577" stopIfTrue="1">
      <formula>$C361&lt;&gt;""</formula>
    </cfRule>
  </conditionalFormatting>
  <conditionalFormatting sqref="S360">
    <cfRule type="expression" dxfId="4339" priority="3576" stopIfTrue="1">
      <formula>$B360&lt;&gt;""</formula>
    </cfRule>
  </conditionalFormatting>
  <conditionalFormatting sqref="S360">
    <cfRule type="expression" dxfId="4338" priority="3575" stopIfTrue="1">
      <formula>$C360&lt;&gt;""</formula>
    </cfRule>
  </conditionalFormatting>
  <conditionalFormatting sqref="S361:S364">
    <cfRule type="expression" dxfId="4337" priority="3574" stopIfTrue="1">
      <formula>$B361&lt;&gt;""</formula>
    </cfRule>
  </conditionalFormatting>
  <conditionalFormatting sqref="S361:S364">
    <cfRule type="expression" dxfId="4336" priority="3573" stopIfTrue="1">
      <formula>$C361&lt;&gt;""</formula>
    </cfRule>
  </conditionalFormatting>
  <conditionalFormatting sqref="S360">
    <cfRule type="expression" dxfId="4335" priority="3572" stopIfTrue="1">
      <formula>$B360&lt;&gt;""</formula>
    </cfRule>
  </conditionalFormatting>
  <conditionalFormatting sqref="S360">
    <cfRule type="expression" dxfId="4334" priority="3571" stopIfTrue="1">
      <formula>$C360&lt;&gt;""</formula>
    </cfRule>
  </conditionalFormatting>
  <conditionalFormatting sqref="S361:S364">
    <cfRule type="expression" dxfId="4333" priority="3570" stopIfTrue="1">
      <formula>$B361&lt;&gt;""</formula>
    </cfRule>
  </conditionalFormatting>
  <conditionalFormatting sqref="S361:S364">
    <cfRule type="expression" dxfId="4332" priority="3569" stopIfTrue="1">
      <formula>$C361&lt;&gt;""</formula>
    </cfRule>
  </conditionalFormatting>
  <conditionalFormatting sqref="S360:S364">
    <cfRule type="expression" dxfId="4331" priority="3568" stopIfTrue="1">
      <formula>$B360&lt;&gt;""</formula>
    </cfRule>
  </conditionalFormatting>
  <conditionalFormatting sqref="S360:S364">
    <cfRule type="expression" dxfId="4330" priority="3567" stopIfTrue="1">
      <formula>$C360&lt;&gt;""</formula>
    </cfRule>
  </conditionalFormatting>
  <conditionalFormatting sqref="S360:S364">
    <cfRule type="expression" dxfId="4329" priority="3566" stopIfTrue="1">
      <formula>$B360&lt;&gt;""</formula>
    </cfRule>
  </conditionalFormatting>
  <conditionalFormatting sqref="S360:S364">
    <cfRule type="expression" dxfId="4328" priority="3565" stopIfTrue="1">
      <formula>$C360&lt;&gt;""</formula>
    </cfRule>
  </conditionalFormatting>
  <conditionalFormatting sqref="S360:S364">
    <cfRule type="expression" dxfId="4327" priority="3564" stopIfTrue="1">
      <formula>$B360&lt;&gt;""</formula>
    </cfRule>
  </conditionalFormatting>
  <conditionalFormatting sqref="S360:S364">
    <cfRule type="expression" dxfId="4326" priority="3563" stopIfTrue="1">
      <formula>$C360&lt;&gt;""</formula>
    </cfRule>
  </conditionalFormatting>
  <conditionalFormatting sqref="S360:S364">
    <cfRule type="expression" dxfId="4325" priority="3562" stopIfTrue="1">
      <formula>$B360&lt;&gt;""</formula>
    </cfRule>
  </conditionalFormatting>
  <conditionalFormatting sqref="S360:S364">
    <cfRule type="expression" dxfId="4324" priority="3561" stopIfTrue="1">
      <formula>$C360&lt;&gt;""</formula>
    </cfRule>
  </conditionalFormatting>
  <conditionalFormatting sqref="S360:S364">
    <cfRule type="expression" dxfId="4323" priority="3560" stopIfTrue="1">
      <formula>$B360&lt;&gt;""</formula>
    </cfRule>
  </conditionalFormatting>
  <conditionalFormatting sqref="S360:S364">
    <cfRule type="expression" dxfId="4322" priority="3559" stopIfTrue="1">
      <formula>$C360&lt;&gt;""</formula>
    </cfRule>
  </conditionalFormatting>
  <conditionalFormatting sqref="S360:S364">
    <cfRule type="expression" dxfId="4321" priority="3558" stopIfTrue="1">
      <formula>$B360&lt;&gt;""</formula>
    </cfRule>
  </conditionalFormatting>
  <conditionalFormatting sqref="S360:S364">
    <cfRule type="expression" dxfId="4320" priority="3557" stopIfTrue="1">
      <formula>$C360&lt;&gt;""</formula>
    </cfRule>
  </conditionalFormatting>
  <conditionalFormatting sqref="S360:S364">
    <cfRule type="expression" dxfId="4319" priority="3556" stopIfTrue="1">
      <formula>$B360&lt;&gt;""</formula>
    </cfRule>
  </conditionalFormatting>
  <conditionalFormatting sqref="S360:S364">
    <cfRule type="expression" dxfId="4318" priority="3555" stopIfTrue="1">
      <formula>$C360&lt;&gt;""</formula>
    </cfRule>
  </conditionalFormatting>
  <conditionalFormatting sqref="S360:S363">
    <cfRule type="expression" dxfId="4317" priority="3554" stopIfTrue="1">
      <formula>$B360&lt;&gt;""</formula>
    </cfRule>
  </conditionalFormatting>
  <conditionalFormatting sqref="S360:S363">
    <cfRule type="expression" dxfId="4316" priority="3553" stopIfTrue="1">
      <formula>$C360&lt;&gt;""</formula>
    </cfRule>
  </conditionalFormatting>
  <conditionalFormatting sqref="S364">
    <cfRule type="expression" dxfId="4315" priority="3552" stopIfTrue="1">
      <formula>$B364&lt;&gt;""</formula>
    </cfRule>
  </conditionalFormatting>
  <conditionalFormatting sqref="S364">
    <cfRule type="expression" dxfId="4314" priority="3551" stopIfTrue="1">
      <formula>$C364&lt;&gt;""</formula>
    </cfRule>
  </conditionalFormatting>
  <conditionalFormatting sqref="S360:S362">
    <cfRule type="expression" dxfId="4313" priority="3550" stopIfTrue="1">
      <formula>$B360&lt;&gt;""</formula>
    </cfRule>
  </conditionalFormatting>
  <conditionalFormatting sqref="S360:S362">
    <cfRule type="expression" dxfId="4312" priority="3549" stopIfTrue="1">
      <formula>$C360&lt;&gt;""</formula>
    </cfRule>
  </conditionalFormatting>
  <conditionalFormatting sqref="S363:S364">
    <cfRule type="expression" dxfId="4311" priority="3548" stopIfTrue="1">
      <formula>$B363&lt;&gt;""</formula>
    </cfRule>
  </conditionalFormatting>
  <conditionalFormatting sqref="S363:S364">
    <cfRule type="expression" dxfId="4310" priority="3547" stopIfTrue="1">
      <formula>$C363&lt;&gt;""</formula>
    </cfRule>
  </conditionalFormatting>
  <conditionalFormatting sqref="S360:S363">
    <cfRule type="expression" dxfId="4309" priority="3546" stopIfTrue="1">
      <formula>$B360&lt;&gt;""</formula>
    </cfRule>
  </conditionalFormatting>
  <conditionalFormatting sqref="S360:S363">
    <cfRule type="expression" dxfId="4308" priority="3545" stopIfTrue="1">
      <formula>$C360&lt;&gt;""</formula>
    </cfRule>
  </conditionalFormatting>
  <conditionalFormatting sqref="S360:S363">
    <cfRule type="expression" dxfId="4307" priority="3544" stopIfTrue="1">
      <formula>$B360&lt;&gt;""</formula>
    </cfRule>
  </conditionalFormatting>
  <conditionalFormatting sqref="S360:S363">
    <cfRule type="expression" dxfId="4306" priority="3543" stopIfTrue="1">
      <formula>$C360&lt;&gt;""</formula>
    </cfRule>
  </conditionalFormatting>
  <conditionalFormatting sqref="S364">
    <cfRule type="expression" dxfId="4305" priority="3542" stopIfTrue="1">
      <formula>$B364&lt;&gt;""</formula>
    </cfRule>
  </conditionalFormatting>
  <conditionalFormatting sqref="S364">
    <cfRule type="expression" dxfId="4304" priority="3541" stopIfTrue="1">
      <formula>$C364&lt;&gt;""</formula>
    </cfRule>
  </conditionalFormatting>
  <conditionalFormatting sqref="S360:S363">
    <cfRule type="expression" dxfId="4303" priority="3540" stopIfTrue="1">
      <formula>$B360&lt;&gt;""</formula>
    </cfRule>
  </conditionalFormatting>
  <conditionalFormatting sqref="S360:S363">
    <cfRule type="expression" dxfId="4302" priority="3539" stopIfTrue="1">
      <formula>$C360&lt;&gt;""</formula>
    </cfRule>
  </conditionalFormatting>
  <conditionalFormatting sqref="S364">
    <cfRule type="expression" dxfId="4301" priority="3538" stopIfTrue="1">
      <formula>$B364&lt;&gt;""</formula>
    </cfRule>
  </conditionalFormatting>
  <conditionalFormatting sqref="S364">
    <cfRule type="expression" dxfId="4300" priority="3537" stopIfTrue="1">
      <formula>$C364&lt;&gt;""</formula>
    </cfRule>
  </conditionalFormatting>
  <conditionalFormatting sqref="S364">
    <cfRule type="expression" dxfId="4299" priority="3536" stopIfTrue="1">
      <formula>$B364&lt;&gt;""</formula>
    </cfRule>
  </conditionalFormatting>
  <conditionalFormatting sqref="S364">
    <cfRule type="expression" dxfId="4298" priority="3535" stopIfTrue="1">
      <formula>$C364&lt;&gt;""</formula>
    </cfRule>
  </conditionalFormatting>
  <conditionalFormatting sqref="S360">
    <cfRule type="expression" dxfId="4297" priority="3534" stopIfTrue="1">
      <formula>$C360&lt;&gt;""</formula>
    </cfRule>
  </conditionalFormatting>
  <conditionalFormatting sqref="S360">
    <cfRule type="expression" dxfId="4296" priority="3533" stopIfTrue="1">
      <formula>$B360&lt;&gt;""</formula>
    </cfRule>
  </conditionalFormatting>
  <conditionalFormatting sqref="S361:S364">
    <cfRule type="expression" dxfId="4295" priority="3532" stopIfTrue="1">
      <formula>$C361&lt;&gt;""</formula>
    </cfRule>
  </conditionalFormatting>
  <conditionalFormatting sqref="S361:S364">
    <cfRule type="expression" dxfId="4294" priority="3531" stopIfTrue="1">
      <formula>$B361&lt;&gt;""</formula>
    </cfRule>
  </conditionalFormatting>
  <conditionalFormatting sqref="S363:S364">
    <cfRule type="expression" dxfId="4293" priority="3530" stopIfTrue="1">
      <formula>$C363&lt;&gt;""</formula>
    </cfRule>
  </conditionalFormatting>
  <conditionalFormatting sqref="S363:S364">
    <cfRule type="expression" dxfId="4292" priority="3529" stopIfTrue="1">
      <formula>$B363&lt;&gt;""</formula>
    </cfRule>
  </conditionalFormatting>
  <conditionalFormatting sqref="S360:S363">
    <cfRule type="expression" dxfId="4291" priority="3528" stopIfTrue="1">
      <formula>$B360&lt;&gt;""</formula>
    </cfRule>
  </conditionalFormatting>
  <conditionalFormatting sqref="S360:S363">
    <cfRule type="expression" dxfId="4290" priority="3527" stopIfTrue="1">
      <formula>$C360&lt;&gt;""</formula>
    </cfRule>
  </conditionalFormatting>
  <conditionalFormatting sqref="S364">
    <cfRule type="expression" dxfId="4289" priority="3526" stopIfTrue="1">
      <formula>$B364&lt;&gt;""</formula>
    </cfRule>
  </conditionalFormatting>
  <conditionalFormatting sqref="S364">
    <cfRule type="expression" dxfId="4288" priority="3525" stopIfTrue="1">
      <formula>$C364&lt;&gt;""</formula>
    </cfRule>
  </conditionalFormatting>
  <conditionalFormatting sqref="S360:S362">
    <cfRule type="expression" dxfId="4287" priority="3524" stopIfTrue="1">
      <formula>$B360&lt;&gt;""</formula>
    </cfRule>
  </conditionalFormatting>
  <conditionalFormatting sqref="S360:S362">
    <cfRule type="expression" dxfId="4286" priority="3523" stopIfTrue="1">
      <formula>$C360&lt;&gt;""</formula>
    </cfRule>
  </conditionalFormatting>
  <conditionalFormatting sqref="S363:S364">
    <cfRule type="expression" dxfId="4285" priority="3522" stopIfTrue="1">
      <formula>$B363&lt;&gt;""</formula>
    </cfRule>
  </conditionalFormatting>
  <conditionalFormatting sqref="S363:S364">
    <cfRule type="expression" dxfId="4284" priority="3521" stopIfTrue="1">
      <formula>$C363&lt;&gt;""</formula>
    </cfRule>
  </conditionalFormatting>
  <conditionalFormatting sqref="S360:S363">
    <cfRule type="expression" dxfId="4283" priority="3520" stopIfTrue="1">
      <formula>$B360&lt;&gt;""</formula>
    </cfRule>
  </conditionalFormatting>
  <conditionalFormatting sqref="S360:S363">
    <cfRule type="expression" dxfId="4282" priority="3519" stopIfTrue="1">
      <formula>$C360&lt;&gt;""</formula>
    </cfRule>
  </conditionalFormatting>
  <conditionalFormatting sqref="S360:S363">
    <cfRule type="expression" dxfId="4281" priority="3518" stopIfTrue="1">
      <formula>$B360&lt;&gt;""</formula>
    </cfRule>
  </conditionalFormatting>
  <conditionalFormatting sqref="S360:S363">
    <cfRule type="expression" dxfId="4280" priority="3517" stopIfTrue="1">
      <formula>$C360&lt;&gt;""</formula>
    </cfRule>
  </conditionalFormatting>
  <conditionalFormatting sqref="S364">
    <cfRule type="expression" dxfId="4279" priority="3516" stopIfTrue="1">
      <formula>$B364&lt;&gt;""</formula>
    </cfRule>
  </conditionalFormatting>
  <conditionalFormatting sqref="S364">
    <cfRule type="expression" dxfId="4278" priority="3515" stopIfTrue="1">
      <formula>$C364&lt;&gt;""</formula>
    </cfRule>
  </conditionalFormatting>
  <conditionalFormatting sqref="S360:S363">
    <cfRule type="expression" dxfId="4277" priority="3514" stopIfTrue="1">
      <formula>$B360&lt;&gt;""</formula>
    </cfRule>
  </conditionalFormatting>
  <conditionalFormatting sqref="S360:S363">
    <cfRule type="expression" dxfId="4276" priority="3513" stopIfTrue="1">
      <formula>$C360&lt;&gt;""</formula>
    </cfRule>
  </conditionalFormatting>
  <conditionalFormatting sqref="S364">
    <cfRule type="expression" dxfId="4275" priority="3512" stopIfTrue="1">
      <formula>$B364&lt;&gt;""</formula>
    </cfRule>
  </conditionalFormatting>
  <conditionalFormatting sqref="S364">
    <cfRule type="expression" dxfId="4274" priority="3511" stopIfTrue="1">
      <formula>$C364&lt;&gt;""</formula>
    </cfRule>
  </conditionalFormatting>
  <conditionalFormatting sqref="S364">
    <cfRule type="expression" dxfId="4273" priority="3510" stopIfTrue="1">
      <formula>$B364&lt;&gt;""</formula>
    </cfRule>
  </conditionalFormatting>
  <conditionalFormatting sqref="S364">
    <cfRule type="expression" dxfId="4272" priority="3509" stopIfTrue="1">
      <formula>$C364&lt;&gt;""</formula>
    </cfRule>
  </conditionalFormatting>
  <conditionalFormatting sqref="S360">
    <cfRule type="expression" dxfId="4271" priority="3508" stopIfTrue="1">
      <formula>$C360&lt;&gt;""</formula>
    </cfRule>
  </conditionalFormatting>
  <conditionalFormatting sqref="S360">
    <cfRule type="expression" dxfId="4270" priority="3507" stopIfTrue="1">
      <formula>$B360&lt;&gt;""</formula>
    </cfRule>
  </conditionalFormatting>
  <conditionalFormatting sqref="S361:S364">
    <cfRule type="expression" dxfId="4269" priority="3506" stopIfTrue="1">
      <formula>$C361&lt;&gt;""</formula>
    </cfRule>
  </conditionalFormatting>
  <conditionalFormatting sqref="S361:S364">
    <cfRule type="expression" dxfId="4268" priority="3505" stopIfTrue="1">
      <formula>$B361&lt;&gt;""</formula>
    </cfRule>
  </conditionalFormatting>
  <conditionalFormatting sqref="S363:S364">
    <cfRule type="expression" dxfId="4267" priority="3504" stopIfTrue="1">
      <formula>$C363&lt;&gt;""</formula>
    </cfRule>
  </conditionalFormatting>
  <conditionalFormatting sqref="S363:S364">
    <cfRule type="expression" dxfId="4266" priority="3503" stopIfTrue="1">
      <formula>$B363&lt;&gt;""</formula>
    </cfRule>
  </conditionalFormatting>
  <conditionalFormatting sqref="S360">
    <cfRule type="expression" dxfId="4265" priority="3502" stopIfTrue="1">
      <formula>$B360&lt;&gt;""</formula>
    </cfRule>
  </conditionalFormatting>
  <conditionalFormatting sqref="S360">
    <cfRule type="expression" dxfId="4264" priority="3501" stopIfTrue="1">
      <formula>$C360&lt;&gt;""</formula>
    </cfRule>
  </conditionalFormatting>
  <conditionalFormatting sqref="S361">
    <cfRule type="expression" dxfId="4263" priority="3500" stopIfTrue="1">
      <formula>$B361&lt;&gt;""</formula>
    </cfRule>
  </conditionalFormatting>
  <conditionalFormatting sqref="S361">
    <cfRule type="expression" dxfId="4262" priority="3499" stopIfTrue="1">
      <formula>$C361&lt;&gt;""</formula>
    </cfRule>
  </conditionalFormatting>
  <conditionalFormatting sqref="S360">
    <cfRule type="expression" dxfId="4261" priority="3498" stopIfTrue="1">
      <formula>$B360&lt;&gt;""</formula>
    </cfRule>
  </conditionalFormatting>
  <conditionalFormatting sqref="S360">
    <cfRule type="expression" dxfId="4260" priority="3497" stopIfTrue="1">
      <formula>$C360&lt;&gt;""</formula>
    </cfRule>
  </conditionalFormatting>
  <conditionalFormatting sqref="S361:S364">
    <cfRule type="expression" dxfId="4259" priority="3496" stopIfTrue="1">
      <formula>$B361&lt;&gt;""</formula>
    </cfRule>
  </conditionalFormatting>
  <conditionalFormatting sqref="S361:S364">
    <cfRule type="expression" dxfId="4258" priority="3495" stopIfTrue="1">
      <formula>$C361&lt;&gt;""</formula>
    </cfRule>
  </conditionalFormatting>
  <conditionalFormatting sqref="S360">
    <cfRule type="expression" dxfId="4257" priority="3494" stopIfTrue="1">
      <formula>$B360&lt;&gt;""</formula>
    </cfRule>
  </conditionalFormatting>
  <conditionalFormatting sqref="S360">
    <cfRule type="expression" dxfId="4256" priority="3493" stopIfTrue="1">
      <formula>$C360&lt;&gt;""</formula>
    </cfRule>
  </conditionalFormatting>
  <conditionalFormatting sqref="S361:S364">
    <cfRule type="expression" dxfId="4255" priority="3492" stopIfTrue="1">
      <formula>$B361&lt;&gt;""</formula>
    </cfRule>
  </conditionalFormatting>
  <conditionalFormatting sqref="S361:S364">
    <cfRule type="expression" dxfId="4254" priority="3491" stopIfTrue="1">
      <formula>$C361&lt;&gt;""</formula>
    </cfRule>
  </conditionalFormatting>
  <conditionalFormatting sqref="S360:S364">
    <cfRule type="expression" dxfId="4253" priority="3490" stopIfTrue="1">
      <formula>$B360&lt;&gt;""</formula>
    </cfRule>
  </conditionalFormatting>
  <conditionalFormatting sqref="S360:S364">
    <cfRule type="expression" dxfId="4252" priority="3489" stopIfTrue="1">
      <formula>$C360&lt;&gt;""</formula>
    </cfRule>
  </conditionalFormatting>
  <conditionalFormatting sqref="S360:S364">
    <cfRule type="expression" dxfId="4251" priority="3488" stopIfTrue="1">
      <formula>$B360&lt;&gt;""</formula>
    </cfRule>
  </conditionalFormatting>
  <conditionalFormatting sqref="S360:S364">
    <cfRule type="expression" dxfId="4250" priority="3487" stopIfTrue="1">
      <formula>$C360&lt;&gt;""</formula>
    </cfRule>
  </conditionalFormatting>
  <conditionalFormatting sqref="S360:S364">
    <cfRule type="expression" dxfId="4249" priority="3486" stopIfTrue="1">
      <formula>$B360&lt;&gt;""</formula>
    </cfRule>
  </conditionalFormatting>
  <conditionalFormatting sqref="S360:S364">
    <cfRule type="expression" dxfId="4248" priority="3485" stopIfTrue="1">
      <formula>$C360&lt;&gt;""</formula>
    </cfRule>
  </conditionalFormatting>
  <conditionalFormatting sqref="S360:S364">
    <cfRule type="expression" dxfId="4247" priority="3484" stopIfTrue="1">
      <formula>$B360&lt;&gt;""</formula>
    </cfRule>
  </conditionalFormatting>
  <conditionalFormatting sqref="S360:S364">
    <cfRule type="expression" dxfId="4246" priority="3483" stopIfTrue="1">
      <formula>$C360&lt;&gt;""</formula>
    </cfRule>
  </conditionalFormatting>
  <conditionalFormatting sqref="S360:S364">
    <cfRule type="expression" dxfId="4245" priority="3482" stopIfTrue="1">
      <formula>$B360&lt;&gt;""</formula>
    </cfRule>
  </conditionalFormatting>
  <conditionalFormatting sqref="S360:S364">
    <cfRule type="expression" dxfId="4244" priority="3481" stopIfTrue="1">
      <formula>$C360&lt;&gt;""</formula>
    </cfRule>
  </conditionalFormatting>
  <conditionalFormatting sqref="S360:S364">
    <cfRule type="expression" dxfId="4243" priority="3480" stopIfTrue="1">
      <formula>$B360&lt;&gt;""</formula>
    </cfRule>
  </conditionalFormatting>
  <conditionalFormatting sqref="S360:S364">
    <cfRule type="expression" dxfId="4242" priority="3479" stopIfTrue="1">
      <formula>$C360&lt;&gt;""</formula>
    </cfRule>
  </conditionalFormatting>
  <conditionalFormatting sqref="S360:S364">
    <cfRule type="expression" dxfId="4241" priority="3478" stopIfTrue="1">
      <formula>$B360&lt;&gt;""</formula>
    </cfRule>
  </conditionalFormatting>
  <conditionalFormatting sqref="S360:S364">
    <cfRule type="expression" dxfId="4240" priority="3477" stopIfTrue="1">
      <formula>$C360&lt;&gt;""</formula>
    </cfRule>
  </conditionalFormatting>
  <conditionalFormatting sqref="S360:S363">
    <cfRule type="expression" dxfId="4239" priority="3476" stopIfTrue="1">
      <formula>$B360&lt;&gt;""</formula>
    </cfRule>
  </conditionalFormatting>
  <conditionalFormatting sqref="S360:S363">
    <cfRule type="expression" dxfId="4238" priority="3475" stopIfTrue="1">
      <formula>$C360&lt;&gt;""</formula>
    </cfRule>
  </conditionalFormatting>
  <conditionalFormatting sqref="S364">
    <cfRule type="expression" dxfId="4237" priority="3474" stopIfTrue="1">
      <formula>$B364&lt;&gt;""</formula>
    </cfRule>
  </conditionalFormatting>
  <conditionalFormatting sqref="S364">
    <cfRule type="expression" dxfId="4236" priority="3473" stopIfTrue="1">
      <formula>$C364&lt;&gt;""</formula>
    </cfRule>
  </conditionalFormatting>
  <conditionalFormatting sqref="S360:S362">
    <cfRule type="expression" dxfId="4235" priority="3472" stopIfTrue="1">
      <formula>$B360&lt;&gt;""</formula>
    </cfRule>
  </conditionalFormatting>
  <conditionalFormatting sqref="S360:S362">
    <cfRule type="expression" dxfId="4234" priority="3471" stopIfTrue="1">
      <formula>$C360&lt;&gt;""</formula>
    </cfRule>
  </conditionalFormatting>
  <conditionalFormatting sqref="S363:S364">
    <cfRule type="expression" dxfId="4233" priority="3470" stopIfTrue="1">
      <formula>$B363&lt;&gt;""</formula>
    </cfRule>
  </conditionalFormatting>
  <conditionalFormatting sqref="S363:S364">
    <cfRule type="expression" dxfId="4232" priority="3469" stopIfTrue="1">
      <formula>$C363&lt;&gt;""</formula>
    </cfRule>
  </conditionalFormatting>
  <conditionalFormatting sqref="S360:S363">
    <cfRule type="expression" dxfId="4231" priority="3468" stopIfTrue="1">
      <formula>$B360&lt;&gt;""</formula>
    </cfRule>
  </conditionalFormatting>
  <conditionalFormatting sqref="S360:S363">
    <cfRule type="expression" dxfId="4230" priority="3467" stopIfTrue="1">
      <formula>$C360&lt;&gt;""</formula>
    </cfRule>
  </conditionalFormatting>
  <conditionalFormatting sqref="S360:S363">
    <cfRule type="expression" dxfId="4229" priority="3466" stopIfTrue="1">
      <formula>$B360&lt;&gt;""</formula>
    </cfRule>
  </conditionalFormatting>
  <conditionalFormatting sqref="S360:S363">
    <cfRule type="expression" dxfId="4228" priority="3465" stopIfTrue="1">
      <formula>$C360&lt;&gt;""</formula>
    </cfRule>
  </conditionalFormatting>
  <conditionalFormatting sqref="S364">
    <cfRule type="expression" dxfId="4227" priority="3464" stopIfTrue="1">
      <formula>$B364&lt;&gt;""</formula>
    </cfRule>
  </conditionalFormatting>
  <conditionalFormatting sqref="S364">
    <cfRule type="expression" dxfId="4226" priority="3463" stopIfTrue="1">
      <formula>$C364&lt;&gt;""</formula>
    </cfRule>
  </conditionalFormatting>
  <conditionalFormatting sqref="S360:S363">
    <cfRule type="expression" dxfId="4225" priority="3462" stopIfTrue="1">
      <formula>$B360&lt;&gt;""</formula>
    </cfRule>
  </conditionalFormatting>
  <conditionalFormatting sqref="S360:S363">
    <cfRule type="expression" dxfId="4224" priority="3461" stopIfTrue="1">
      <formula>$C360&lt;&gt;""</formula>
    </cfRule>
  </conditionalFormatting>
  <conditionalFormatting sqref="S364">
    <cfRule type="expression" dxfId="4223" priority="3460" stopIfTrue="1">
      <formula>$B364&lt;&gt;""</formula>
    </cfRule>
  </conditionalFormatting>
  <conditionalFormatting sqref="S364">
    <cfRule type="expression" dxfId="4222" priority="3459" stopIfTrue="1">
      <formula>$C364&lt;&gt;""</formula>
    </cfRule>
  </conditionalFormatting>
  <conditionalFormatting sqref="S364">
    <cfRule type="expression" dxfId="4221" priority="3458" stopIfTrue="1">
      <formula>$B364&lt;&gt;""</formula>
    </cfRule>
  </conditionalFormatting>
  <conditionalFormatting sqref="S364">
    <cfRule type="expression" dxfId="4220" priority="3457" stopIfTrue="1">
      <formula>$C364&lt;&gt;""</formula>
    </cfRule>
  </conditionalFormatting>
  <conditionalFormatting sqref="S360">
    <cfRule type="expression" dxfId="4219" priority="3456" stopIfTrue="1">
      <formula>$C360&lt;&gt;""</formula>
    </cfRule>
  </conditionalFormatting>
  <conditionalFormatting sqref="S360">
    <cfRule type="expression" dxfId="4218" priority="3455" stopIfTrue="1">
      <formula>$B360&lt;&gt;""</formula>
    </cfRule>
  </conditionalFormatting>
  <conditionalFormatting sqref="S361:S364">
    <cfRule type="expression" dxfId="4217" priority="3454" stopIfTrue="1">
      <formula>$C361&lt;&gt;""</formula>
    </cfRule>
  </conditionalFormatting>
  <conditionalFormatting sqref="S361:S364">
    <cfRule type="expression" dxfId="4216" priority="3453" stopIfTrue="1">
      <formula>$B361&lt;&gt;""</formula>
    </cfRule>
  </conditionalFormatting>
  <conditionalFormatting sqref="S363:S364">
    <cfRule type="expression" dxfId="4215" priority="3452" stopIfTrue="1">
      <formula>$C363&lt;&gt;""</formula>
    </cfRule>
  </conditionalFormatting>
  <conditionalFormatting sqref="S363:S364">
    <cfRule type="expression" dxfId="4214" priority="3451" stopIfTrue="1">
      <formula>$B363&lt;&gt;""</formula>
    </cfRule>
  </conditionalFormatting>
  <conditionalFormatting sqref="S360:S363">
    <cfRule type="expression" dxfId="4213" priority="3450" stopIfTrue="1">
      <formula>$B360&lt;&gt;""</formula>
    </cfRule>
  </conditionalFormatting>
  <conditionalFormatting sqref="S360:S363">
    <cfRule type="expression" dxfId="4212" priority="3449" stopIfTrue="1">
      <formula>$C360&lt;&gt;""</formula>
    </cfRule>
  </conditionalFormatting>
  <conditionalFormatting sqref="S364">
    <cfRule type="expression" dxfId="4211" priority="3448" stopIfTrue="1">
      <formula>$B364&lt;&gt;""</formula>
    </cfRule>
  </conditionalFormatting>
  <conditionalFormatting sqref="S364">
    <cfRule type="expression" dxfId="4210" priority="3447" stopIfTrue="1">
      <formula>$C364&lt;&gt;""</formula>
    </cfRule>
  </conditionalFormatting>
  <conditionalFormatting sqref="S360:S362">
    <cfRule type="expression" dxfId="4209" priority="3446" stopIfTrue="1">
      <formula>$B360&lt;&gt;""</formula>
    </cfRule>
  </conditionalFormatting>
  <conditionalFormatting sqref="S360:S362">
    <cfRule type="expression" dxfId="4208" priority="3445" stopIfTrue="1">
      <formula>$C360&lt;&gt;""</formula>
    </cfRule>
  </conditionalFormatting>
  <conditionalFormatting sqref="S363:S364">
    <cfRule type="expression" dxfId="4207" priority="3444" stopIfTrue="1">
      <formula>$B363&lt;&gt;""</formula>
    </cfRule>
  </conditionalFormatting>
  <conditionalFormatting sqref="S363:S364">
    <cfRule type="expression" dxfId="4206" priority="3443" stopIfTrue="1">
      <formula>$C363&lt;&gt;""</formula>
    </cfRule>
  </conditionalFormatting>
  <conditionalFormatting sqref="S360:S363">
    <cfRule type="expression" dxfId="4205" priority="3442" stopIfTrue="1">
      <formula>$B360&lt;&gt;""</formula>
    </cfRule>
  </conditionalFormatting>
  <conditionalFormatting sqref="S360:S363">
    <cfRule type="expression" dxfId="4204" priority="3441" stopIfTrue="1">
      <formula>$C360&lt;&gt;""</formula>
    </cfRule>
  </conditionalFormatting>
  <conditionalFormatting sqref="S360:S363">
    <cfRule type="expression" dxfId="4203" priority="3440" stopIfTrue="1">
      <formula>$B360&lt;&gt;""</formula>
    </cfRule>
  </conditionalFormatting>
  <conditionalFormatting sqref="S360:S363">
    <cfRule type="expression" dxfId="4202" priority="3439" stopIfTrue="1">
      <formula>$C360&lt;&gt;""</formula>
    </cfRule>
  </conditionalFormatting>
  <conditionalFormatting sqref="S364">
    <cfRule type="expression" dxfId="4201" priority="3438" stopIfTrue="1">
      <formula>$B364&lt;&gt;""</formula>
    </cfRule>
  </conditionalFormatting>
  <conditionalFormatting sqref="S364">
    <cfRule type="expression" dxfId="4200" priority="3437" stopIfTrue="1">
      <formula>$C364&lt;&gt;""</formula>
    </cfRule>
  </conditionalFormatting>
  <conditionalFormatting sqref="S360:S363">
    <cfRule type="expression" dxfId="4199" priority="3436" stopIfTrue="1">
      <formula>$B360&lt;&gt;""</formula>
    </cfRule>
  </conditionalFormatting>
  <conditionalFormatting sqref="S360:S363">
    <cfRule type="expression" dxfId="4198" priority="3435" stopIfTrue="1">
      <formula>$C360&lt;&gt;""</formula>
    </cfRule>
  </conditionalFormatting>
  <conditionalFormatting sqref="S364">
    <cfRule type="expression" dxfId="4197" priority="3434" stopIfTrue="1">
      <formula>$B364&lt;&gt;""</formula>
    </cfRule>
  </conditionalFormatting>
  <conditionalFormatting sqref="S364">
    <cfRule type="expression" dxfId="4196" priority="3433" stopIfTrue="1">
      <formula>$C364&lt;&gt;""</formula>
    </cfRule>
  </conditionalFormatting>
  <conditionalFormatting sqref="S364">
    <cfRule type="expression" dxfId="4195" priority="3432" stopIfTrue="1">
      <formula>$B364&lt;&gt;""</formula>
    </cfRule>
  </conditionalFormatting>
  <conditionalFormatting sqref="S364">
    <cfRule type="expression" dxfId="4194" priority="3431" stopIfTrue="1">
      <formula>$C364&lt;&gt;""</formula>
    </cfRule>
  </conditionalFormatting>
  <conditionalFormatting sqref="S360">
    <cfRule type="expression" dxfId="4193" priority="3430" stopIfTrue="1">
      <formula>$C360&lt;&gt;""</formula>
    </cfRule>
  </conditionalFormatting>
  <conditionalFormatting sqref="S360">
    <cfRule type="expression" dxfId="4192" priority="3429" stopIfTrue="1">
      <formula>$B360&lt;&gt;""</formula>
    </cfRule>
  </conditionalFormatting>
  <conditionalFormatting sqref="S361:S364">
    <cfRule type="expression" dxfId="4191" priority="3428" stopIfTrue="1">
      <formula>$C361&lt;&gt;""</formula>
    </cfRule>
  </conditionalFormatting>
  <conditionalFormatting sqref="S361:S364">
    <cfRule type="expression" dxfId="4190" priority="3427" stopIfTrue="1">
      <formula>$B361&lt;&gt;""</formula>
    </cfRule>
  </conditionalFormatting>
  <conditionalFormatting sqref="S363:S364">
    <cfRule type="expression" dxfId="4189" priority="3426" stopIfTrue="1">
      <formula>$C363&lt;&gt;""</formula>
    </cfRule>
  </conditionalFormatting>
  <conditionalFormatting sqref="S363:S364">
    <cfRule type="expression" dxfId="4188" priority="3425" stopIfTrue="1">
      <formula>$B363&lt;&gt;""</formula>
    </cfRule>
  </conditionalFormatting>
  <conditionalFormatting sqref="S366">
    <cfRule type="expression" dxfId="4187" priority="3424" stopIfTrue="1">
      <formula>$B366&lt;&gt;""</formula>
    </cfRule>
  </conditionalFormatting>
  <conditionalFormatting sqref="S366">
    <cfRule type="expression" dxfId="4186" priority="3423" stopIfTrue="1">
      <formula>$C366&lt;&gt;""</formula>
    </cfRule>
  </conditionalFormatting>
  <conditionalFormatting sqref="S366:S369">
    <cfRule type="expression" dxfId="4185" priority="3422" stopIfTrue="1">
      <formula>$B366&lt;&gt;""</formula>
    </cfRule>
  </conditionalFormatting>
  <conditionalFormatting sqref="S366:S369">
    <cfRule type="expression" dxfId="4184" priority="3421" stopIfTrue="1">
      <formula>$C366&lt;&gt;""</formula>
    </cfRule>
  </conditionalFormatting>
  <conditionalFormatting sqref="S366:S369">
    <cfRule type="expression" dxfId="4183" priority="3420" stopIfTrue="1">
      <formula>$B366&lt;&gt;""</formula>
    </cfRule>
  </conditionalFormatting>
  <conditionalFormatting sqref="S366:S369">
    <cfRule type="expression" dxfId="4182" priority="3419" stopIfTrue="1">
      <formula>$C366&lt;&gt;""</formula>
    </cfRule>
  </conditionalFormatting>
  <conditionalFormatting sqref="S366:S369">
    <cfRule type="expression" dxfId="4181" priority="3418" stopIfTrue="1">
      <formula>$B366&lt;&gt;""</formula>
    </cfRule>
  </conditionalFormatting>
  <conditionalFormatting sqref="S366:S369">
    <cfRule type="expression" dxfId="4180" priority="3417" stopIfTrue="1">
      <formula>$C366&lt;&gt;""</formula>
    </cfRule>
  </conditionalFormatting>
  <conditionalFormatting sqref="S366:S369">
    <cfRule type="expression" dxfId="4179" priority="3416" stopIfTrue="1">
      <formula>$B366&lt;&gt;""</formula>
    </cfRule>
  </conditionalFormatting>
  <conditionalFormatting sqref="S366:S369">
    <cfRule type="expression" dxfId="4178" priority="3415" stopIfTrue="1">
      <formula>$C366&lt;&gt;""</formula>
    </cfRule>
  </conditionalFormatting>
  <conditionalFormatting sqref="S366:S369">
    <cfRule type="expression" dxfId="4177" priority="3414" stopIfTrue="1">
      <formula>$B366&lt;&gt;""</formula>
    </cfRule>
  </conditionalFormatting>
  <conditionalFormatting sqref="S366:S369">
    <cfRule type="expression" dxfId="4176" priority="3413" stopIfTrue="1">
      <formula>$C366&lt;&gt;""</formula>
    </cfRule>
  </conditionalFormatting>
  <conditionalFormatting sqref="S366:S369">
    <cfRule type="expression" dxfId="4175" priority="3412" stopIfTrue="1">
      <formula>$B366&lt;&gt;""</formula>
    </cfRule>
  </conditionalFormatting>
  <conditionalFormatting sqref="S366:S369">
    <cfRule type="expression" dxfId="4174" priority="3411" stopIfTrue="1">
      <formula>$C366&lt;&gt;""</formula>
    </cfRule>
  </conditionalFormatting>
  <conditionalFormatting sqref="S366:S369">
    <cfRule type="expression" dxfId="4173" priority="3410" stopIfTrue="1">
      <formula>$B366&lt;&gt;""</formula>
    </cfRule>
  </conditionalFormatting>
  <conditionalFormatting sqref="S366:S369">
    <cfRule type="expression" dxfId="4172" priority="3409" stopIfTrue="1">
      <formula>$C366&lt;&gt;""</formula>
    </cfRule>
  </conditionalFormatting>
  <conditionalFormatting sqref="S366:S369">
    <cfRule type="expression" dxfId="4171" priority="3408" stopIfTrue="1">
      <formula>$B366&lt;&gt;""</formula>
    </cfRule>
  </conditionalFormatting>
  <conditionalFormatting sqref="S366:S369">
    <cfRule type="expression" dxfId="4170" priority="3407" stopIfTrue="1">
      <formula>$C366&lt;&gt;""</formula>
    </cfRule>
  </conditionalFormatting>
  <conditionalFormatting sqref="S366:S369">
    <cfRule type="expression" dxfId="4169" priority="3406" stopIfTrue="1">
      <formula>$B366&lt;&gt;""</formula>
    </cfRule>
  </conditionalFormatting>
  <conditionalFormatting sqref="S366:S369">
    <cfRule type="expression" dxfId="4168" priority="3405" stopIfTrue="1">
      <formula>$C366&lt;&gt;""</formula>
    </cfRule>
  </conditionalFormatting>
  <conditionalFormatting sqref="S366:S368">
    <cfRule type="expression" dxfId="4167" priority="3404" stopIfTrue="1">
      <formula>$B366&lt;&gt;""</formula>
    </cfRule>
  </conditionalFormatting>
  <conditionalFormatting sqref="S366:S368">
    <cfRule type="expression" dxfId="4166" priority="3403" stopIfTrue="1">
      <formula>$C366&lt;&gt;""</formula>
    </cfRule>
  </conditionalFormatting>
  <conditionalFormatting sqref="S369">
    <cfRule type="expression" dxfId="4165" priority="3402" stopIfTrue="1">
      <formula>$B369&lt;&gt;""</formula>
    </cfRule>
  </conditionalFormatting>
  <conditionalFormatting sqref="S369">
    <cfRule type="expression" dxfId="4164" priority="3401" stopIfTrue="1">
      <formula>$C369&lt;&gt;""</formula>
    </cfRule>
  </conditionalFormatting>
  <conditionalFormatting sqref="S366:S367">
    <cfRule type="expression" dxfId="4163" priority="3400" stopIfTrue="1">
      <formula>$B366&lt;&gt;""</formula>
    </cfRule>
  </conditionalFormatting>
  <conditionalFormatting sqref="S366:S367">
    <cfRule type="expression" dxfId="4162" priority="3399" stopIfTrue="1">
      <formula>$C366&lt;&gt;""</formula>
    </cfRule>
  </conditionalFormatting>
  <conditionalFormatting sqref="S368:S369">
    <cfRule type="expression" dxfId="4161" priority="3398" stopIfTrue="1">
      <formula>$B368&lt;&gt;""</formula>
    </cfRule>
  </conditionalFormatting>
  <conditionalFormatting sqref="S368:S369">
    <cfRule type="expression" dxfId="4160" priority="3397" stopIfTrue="1">
      <formula>$C368&lt;&gt;""</formula>
    </cfRule>
  </conditionalFormatting>
  <conditionalFormatting sqref="S366:S368">
    <cfRule type="expression" dxfId="4159" priority="3396" stopIfTrue="1">
      <formula>$B366&lt;&gt;""</formula>
    </cfRule>
  </conditionalFormatting>
  <conditionalFormatting sqref="S366:S368">
    <cfRule type="expression" dxfId="4158" priority="3395" stopIfTrue="1">
      <formula>$C366&lt;&gt;""</formula>
    </cfRule>
  </conditionalFormatting>
  <conditionalFormatting sqref="S366:S368">
    <cfRule type="expression" dxfId="4157" priority="3394" stopIfTrue="1">
      <formula>$B366&lt;&gt;""</formula>
    </cfRule>
  </conditionalFormatting>
  <conditionalFormatting sqref="S366:S368">
    <cfRule type="expression" dxfId="4156" priority="3393" stopIfTrue="1">
      <formula>$C366&lt;&gt;""</formula>
    </cfRule>
  </conditionalFormatting>
  <conditionalFormatting sqref="S369">
    <cfRule type="expression" dxfId="4155" priority="3392" stopIfTrue="1">
      <formula>$B369&lt;&gt;""</formula>
    </cfRule>
  </conditionalFormatting>
  <conditionalFormatting sqref="S369">
    <cfRule type="expression" dxfId="4154" priority="3391" stopIfTrue="1">
      <formula>$C369&lt;&gt;""</formula>
    </cfRule>
  </conditionalFormatting>
  <conditionalFormatting sqref="S366:S368">
    <cfRule type="expression" dxfId="4153" priority="3390" stopIfTrue="1">
      <formula>$B366&lt;&gt;""</formula>
    </cfRule>
  </conditionalFormatting>
  <conditionalFormatting sqref="S366:S368">
    <cfRule type="expression" dxfId="4152" priority="3389" stopIfTrue="1">
      <formula>$C366&lt;&gt;""</formula>
    </cfRule>
  </conditionalFormatting>
  <conditionalFormatting sqref="S369">
    <cfRule type="expression" dxfId="4151" priority="3388" stopIfTrue="1">
      <formula>$B369&lt;&gt;""</formula>
    </cfRule>
  </conditionalFormatting>
  <conditionalFormatting sqref="S369">
    <cfRule type="expression" dxfId="4150" priority="3387" stopIfTrue="1">
      <formula>$C369&lt;&gt;""</formula>
    </cfRule>
  </conditionalFormatting>
  <conditionalFormatting sqref="S369">
    <cfRule type="expression" dxfId="4149" priority="3386" stopIfTrue="1">
      <formula>$B369&lt;&gt;""</formula>
    </cfRule>
  </conditionalFormatting>
  <conditionalFormatting sqref="S369">
    <cfRule type="expression" dxfId="4148" priority="3385" stopIfTrue="1">
      <formula>$C369&lt;&gt;""</formula>
    </cfRule>
  </conditionalFormatting>
  <conditionalFormatting sqref="S366:S369">
    <cfRule type="expression" dxfId="4147" priority="3384" stopIfTrue="1">
      <formula>$C366&lt;&gt;""</formula>
    </cfRule>
  </conditionalFormatting>
  <conditionalFormatting sqref="S366:S369">
    <cfRule type="expression" dxfId="4146" priority="3383" stopIfTrue="1">
      <formula>$B366&lt;&gt;""</formula>
    </cfRule>
  </conditionalFormatting>
  <conditionalFormatting sqref="S368:S369">
    <cfRule type="expression" dxfId="4145" priority="3382" stopIfTrue="1">
      <formula>$C368&lt;&gt;""</formula>
    </cfRule>
  </conditionalFormatting>
  <conditionalFormatting sqref="S368:S369">
    <cfRule type="expression" dxfId="4144" priority="3381" stopIfTrue="1">
      <formula>$B368&lt;&gt;""</formula>
    </cfRule>
  </conditionalFormatting>
  <conditionalFormatting sqref="S366:S368">
    <cfRule type="expression" dxfId="4143" priority="3380" stopIfTrue="1">
      <formula>$B366&lt;&gt;""</formula>
    </cfRule>
  </conditionalFormatting>
  <conditionalFormatting sqref="S366:S368">
    <cfRule type="expression" dxfId="4142" priority="3379" stopIfTrue="1">
      <formula>$C366&lt;&gt;""</formula>
    </cfRule>
  </conditionalFormatting>
  <conditionalFormatting sqref="S369">
    <cfRule type="expression" dxfId="4141" priority="3378" stopIfTrue="1">
      <formula>$B369&lt;&gt;""</formula>
    </cfRule>
  </conditionalFormatting>
  <conditionalFormatting sqref="S369">
    <cfRule type="expression" dxfId="4140" priority="3377" stopIfTrue="1">
      <formula>$C369&lt;&gt;""</formula>
    </cfRule>
  </conditionalFormatting>
  <conditionalFormatting sqref="S366:S367">
    <cfRule type="expression" dxfId="4139" priority="3376" stopIfTrue="1">
      <formula>$B366&lt;&gt;""</formula>
    </cfRule>
  </conditionalFormatting>
  <conditionalFormatting sqref="S366:S367">
    <cfRule type="expression" dxfId="4138" priority="3375" stopIfTrue="1">
      <formula>$C366&lt;&gt;""</formula>
    </cfRule>
  </conditionalFormatting>
  <conditionalFormatting sqref="S368:S369">
    <cfRule type="expression" dxfId="4137" priority="3374" stopIfTrue="1">
      <formula>$B368&lt;&gt;""</formula>
    </cfRule>
  </conditionalFormatting>
  <conditionalFormatting sqref="S368:S369">
    <cfRule type="expression" dxfId="4136" priority="3373" stopIfTrue="1">
      <formula>$C368&lt;&gt;""</formula>
    </cfRule>
  </conditionalFormatting>
  <conditionalFormatting sqref="S366:S368">
    <cfRule type="expression" dxfId="4135" priority="3372" stopIfTrue="1">
      <formula>$B366&lt;&gt;""</formula>
    </cfRule>
  </conditionalFormatting>
  <conditionalFormatting sqref="S366:S368">
    <cfRule type="expression" dxfId="4134" priority="3371" stopIfTrue="1">
      <formula>$C366&lt;&gt;""</formula>
    </cfRule>
  </conditionalFormatting>
  <conditionalFormatting sqref="S366:S368">
    <cfRule type="expression" dxfId="4133" priority="3370" stopIfTrue="1">
      <formula>$B366&lt;&gt;""</formula>
    </cfRule>
  </conditionalFormatting>
  <conditionalFormatting sqref="S366:S368">
    <cfRule type="expression" dxfId="4132" priority="3369" stopIfTrue="1">
      <formula>$C366&lt;&gt;""</formula>
    </cfRule>
  </conditionalFormatting>
  <conditionalFormatting sqref="S369">
    <cfRule type="expression" dxfId="4131" priority="3368" stopIfTrue="1">
      <formula>$B369&lt;&gt;""</formula>
    </cfRule>
  </conditionalFormatting>
  <conditionalFormatting sqref="S369">
    <cfRule type="expression" dxfId="4130" priority="3367" stopIfTrue="1">
      <formula>$C369&lt;&gt;""</formula>
    </cfRule>
  </conditionalFormatting>
  <conditionalFormatting sqref="S366:S368">
    <cfRule type="expression" dxfId="4129" priority="3366" stopIfTrue="1">
      <formula>$B366&lt;&gt;""</formula>
    </cfRule>
  </conditionalFormatting>
  <conditionalFormatting sqref="S366:S368">
    <cfRule type="expression" dxfId="4128" priority="3365" stopIfTrue="1">
      <formula>$C366&lt;&gt;""</formula>
    </cfRule>
  </conditionalFormatting>
  <conditionalFormatting sqref="S369">
    <cfRule type="expression" dxfId="4127" priority="3364" stopIfTrue="1">
      <formula>$B369&lt;&gt;""</formula>
    </cfRule>
  </conditionalFormatting>
  <conditionalFormatting sqref="S369">
    <cfRule type="expression" dxfId="4126" priority="3363" stopIfTrue="1">
      <formula>$C369&lt;&gt;""</formula>
    </cfRule>
  </conditionalFormatting>
  <conditionalFormatting sqref="S369">
    <cfRule type="expression" dxfId="4125" priority="3362" stopIfTrue="1">
      <formula>$B369&lt;&gt;""</formula>
    </cfRule>
  </conditionalFormatting>
  <conditionalFormatting sqref="S369">
    <cfRule type="expression" dxfId="4124" priority="3361" stopIfTrue="1">
      <formula>$C369&lt;&gt;""</formula>
    </cfRule>
  </conditionalFormatting>
  <conditionalFormatting sqref="S366:S369">
    <cfRule type="expression" dxfId="4123" priority="3360" stopIfTrue="1">
      <formula>$C366&lt;&gt;""</formula>
    </cfRule>
  </conditionalFormatting>
  <conditionalFormatting sqref="S366:S369">
    <cfRule type="expression" dxfId="4122" priority="3359" stopIfTrue="1">
      <formula>$B366&lt;&gt;""</formula>
    </cfRule>
  </conditionalFormatting>
  <conditionalFormatting sqref="S368:S369">
    <cfRule type="expression" dxfId="4121" priority="3358" stopIfTrue="1">
      <formula>$C368&lt;&gt;""</formula>
    </cfRule>
  </conditionalFormatting>
  <conditionalFormatting sqref="S368:S369">
    <cfRule type="expression" dxfId="4120" priority="3357" stopIfTrue="1">
      <formula>$B368&lt;&gt;""</formula>
    </cfRule>
  </conditionalFormatting>
  <conditionalFormatting sqref="S366">
    <cfRule type="expression" dxfId="4119" priority="3356" stopIfTrue="1">
      <formula>$B366&lt;&gt;""</formula>
    </cfRule>
  </conditionalFormatting>
  <conditionalFormatting sqref="S366">
    <cfRule type="expression" dxfId="4118" priority="3355" stopIfTrue="1">
      <formula>$C366&lt;&gt;""</formula>
    </cfRule>
  </conditionalFormatting>
  <conditionalFormatting sqref="S366:S369">
    <cfRule type="expression" dxfId="4117" priority="3354" stopIfTrue="1">
      <formula>$B366&lt;&gt;""</formula>
    </cfRule>
  </conditionalFormatting>
  <conditionalFormatting sqref="S366:S369">
    <cfRule type="expression" dxfId="4116" priority="3353" stopIfTrue="1">
      <formula>$C366&lt;&gt;""</formula>
    </cfRule>
  </conditionalFormatting>
  <conditionalFormatting sqref="S366:S369">
    <cfRule type="expression" dxfId="4115" priority="3352" stopIfTrue="1">
      <formula>$B366&lt;&gt;""</formula>
    </cfRule>
  </conditionalFormatting>
  <conditionalFormatting sqref="S366:S369">
    <cfRule type="expression" dxfId="4114" priority="3351" stopIfTrue="1">
      <formula>$C366&lt;&gt;""</formula>
    </cfRule>
  </conditionalFormatting>
  <conditionalFormatting sqref="S366:S369">
    <cfRule type="expression" dxfId="4113" priority="3350" stopIfTrue="1">
      <formula>$B366&lt;&gt;""</formula>
    </cfRule>
  </conditionalFormatting>
  <conditionalFormatting sqref="S366:S369">
    <cfRule type="expression" dxfId="4112" priority="3349" stopIfTrue="1">
      <formula>$C366&lt;&gt;""</formula>
    </cfRule>
  </conditionalFormatting>
  <conditionalFormatting sqref="S366:S369">
    <cfRule type="expression" dxfId="4111" priority="3348" stopIfTrue="1">
      <formula>$B366&lt;&gt;""</formula>
    </cfRule>
  </conditionalFormatting>
  <conditionalFormatting sqref="S366:S369">
    <cfRule type="expression" dxfId="4110" priority="3347" stopIfTrue="1">
      <formula>$C366&lt;&gt;""</formula>
    </cfRule>
  </conditionalFormatting>
  <conditionalFormatting sqref="S366:S369">
    <cfRule type="expression" dxfId="4109" priority="3346" stopIfTrue="1">
      <formula>$B366&lt;&gt;""</formula>
    </cfRule>
  </conditionalFormatting>
  <conditionalFormatting sqref="S366:S369">
    <cfRule type="expression" dxfId="4108" priority="3345" stopIfTrue="1">
      <formula>$C366&lt;&gt;""</formula>
    </cfRule>
  </conditionalFormatting>
  <conditionalFormatting sqref="S366:S369">
    <cfRule type="expression" dxfId="4107" priority="3344" stopIfTrue="1">
      <formula>$B366&lt;&gt;""</formula>
    </cfRule>
  </conditionalFormatting>
  <conditionalFormatting sqref="S366:S369">
    <cfRule type="expression" dxfId="4106" priority="3343" stopIfTrue="1">
      <formula>$C366&lt;&gt;""</formula>
    </cfRule>
  </conditionalFormatting>
  <conditionalFormatting sqref="S366:S369">
    <cfRule type="expression" dxfId="4105" priority="3342" stopIfTrue="1">
      <formula>$B366&lt;&gt;""</formula>
    </cfRule>
  </conditionalFormatting>
  <conditionalFormatting sqref="S366:S369">
    <cfRule type="expression" dxfId="4104" priority="3341" stopIfTrue="1">
      <formula>$C366&lt;&gt;""</formula>
    </cfRule>
  </conditionalFormatting>
  <conditionalFormatting sqref="S366:S369">
    <cfRule type="expression" dxfId="4103" priority="3340" stopIfTrue="1">
      <formula>$B366&lt;&gt;""</formula>
    </cfRule>
  </conditionalFormatting>
  <conditionalFormatting sqref="S366:S369">
    <cfRule type="expression" dxfId="4102" priority="3339" stopIfTrue="1">
      <formula>$C366&lt;&gt;""</formula>
    </cfRule>
  </conditionalFormatting>
  <conditionalFormatting sqref="S366:S369">
    <cfRule type="expression" dxfId="4101" priority="3338" stopIfTrue="1">
      <formula>$B366&lt;&gt;""</formula>
    </cfRule>
  </conditionalFormatting>
  <conditionalFormatting sqref="S366:S369">
    <cfRule type="expression" dxfId="4100" priority="3337" stopIfTrue="1">
      <formula>$C366&lt;&gt;""</formula>
    </cfRule>
  </conditionalFormatting>
  <conditionalFormatting sqref="S366:S368">
    <cfRule type="expression" dxfId="4099" priority="3336" stopIfTrue="1">
      <formula>$B366&lt;&gt;""</formula>
    </cfRule>
  </conditionalFormatting>
  <conditionalFormatting sqref="S366:S368">
    <cfRule type="expression" dxfId="4098" priority="3335" stopIfTrue="1">
      <formula>$C366&lt;&gt;""</formula>
    </cfRule>
  </conditionalFormatting>
  <conditionalFormatting sqref="S369">
    <cfRule type="expression" dxfId="4097" priority="3334" stopIfTrue="1">
      <formula>$B369&lt;&gt;""</formula>
    </cfRule>
  </conditionalFormatting>
  <conditionalFormatting sqref="S369">
    <cfRule type="expression" dxfId="4096" priority="3333" stopIfTrue="1">
      <formula>$C369&lt;&gt;""</formula>
    </cfRule>
  </conditionalFormatting>
  <conditionalFormatting sqref="S366:S367">
    <cfRule type="expression" dxfId="4095" priority="3332" stopIfTrue="1">
      <formula>$B366&lt;&gt;""</formula>
    </cfRule>
  </conditionalFormatting>
  <conditionalFormatting sqref="S366:S367">
    <cfRule type="expression" dxfId="4094" priority="3331" stopIfTrue="1">
      <formula>$C366&lt;&gt;""</formula>
    </cfRule>
  </conditionalFormatting>
  <conditionalFormatting sqref="S368:S369">
    <cfRule type="expression" dxfId="4093" priority="3330" stopIfTrue="1">
      <formula>$B368&lt;&gt;""</formula>
    </cfRule>
  </conditionalFormatting>
  <conditionalFormatting sqref="S368:S369">
    <cfRule type="expression" dxfId="4092" priority="3329" stopIfTrue="1">
      <formula>$C368&lt;&gt;""</formula>
    </cfRule>
  </conditionalFormatting>
  <conditionalFormatting sqref="S366:S368">
    <cfRule type="expression" dxfId="4091" priority="3328" stopIfTrue="1">
      <formula>$B366&lt;&gt;""</formula>
    </cfRule>
  </conditionalFormatting>
  <conditionalFormatting sqref="S366:S368">
    <cfRule type="expression" dxfId="4090" priority="3327" stopIfTrue="1">
      <formula>$C366&lt;&gt;""</formula>
    </cfRule>
  </conditionalFormatting>
  <conditionalFormatting sqref="S366:S368">
    <cfRule type="expression" dxfId="4089" priority="3326" stopIfTrue="1">
      <formula>$B366&lt;&gt;""</formula>
    </cfRule>
  </conditionalFormatting>
  <conditionalFormatting sqref="S366:S368">
    <cfRule type="expression" dxfId="4088" priority="3325" stopIfTrue="1">
      <formula>$C366&lt;&gt;""</formula>
    </cfRule>
  </conditionalFormatting>
  <conditionalFormatting sqref="S369">
    <cfRule type="expression" dxfId="4087" priority="3324" stopIfTrue="1">
      <formula>$B369&lt;&gt;""</formula>
    </cfRule>
  </conditionalFormatting>
  <conditionalFormatting sqref="S369">
    <cfRule type="expression" dxfId="4086" priority="3323" stopIfTrue="1">
      <formula>$C369&lt;&gt;""</formula>
    </cfRule>
  </conditionalFormatting>
  <conditionalFormatting sqref="S366:S368">
    <cfRule type="expression" dxfId="4085" priority="3322" stopIfTrue="1">
      <formula>$B366&lt;&gt;""</formula>
    </cfRule>
  </conditionalFormatting>
  <conditionalFormatting sqref="S366:S368">
    <cfRule type="expression" dxfId="4084" priority="3321" stopIfTrue="1">
      <formula>$C366&lt;&gt;""</formula>
    </cfRule>
  </conditionalFormatting>
  <conditionalFormatting sqref="S369">
    <cfRule type="expression" dxfId="4083" priority="3320" stopIfTrue="1">
      <formula>$B369&lt;&gt;""</formula>
    </cfRule>
  </conditionalFormatting>
  <conditionalFormatting sqref="S369">
    <cfRule type="expression" dxfId="4082" priority="3319" stopIfTrue="1">
      <formula>$C369&lt;&gt;""</formula>
    </cfRule>
  </conditionalFormatting>
  <conditionalFormatting sqref="S369">
    <cfRule type="expression" dxfId="4081" priority="3318" stopIfTrue="1">
      <formula>$B369&lt;&gt;""</formula>
    </cfRule>
  </conditionalFormatting>
  <conditionalFormatting sqref="S369">
    <cfRule type="expression" dxfId="4080" priority="3317" stopIfTrue="1">
      <formula>$C369&lt;&gt;""</formula>
    </cfRule>
  </conditionalFormatting>
  <conditionalFormatting sqref="S366:S369">
    <cfRule type="expression" dxfId="4079" priority="3316" stopIfTrue="1">
      <formula>$C366&lt;&gt;""</formula>
    </cfRule>
  </conditionalFormatting>
  <conditionalFormatting sqref="S366:S369">
    <cfRule type="expression" dxfId="4078" priority="3315" stopIfTrue="1">
      <formula>$B366&lt;&gt;""</formula>
    </cfRule>
  </conditionalFormatting>
  <conditionalFormatting sqref="S368:S369">
    <cfRule type="expression" dxfId="4077" priority="3314" stopIfTrue="1">
      <formula>$C368&lt;&gt;""</formula>
    </cfRule>
  </conditionalFormatting>
  <conditionalFormatting sqref="S368:S369">
    <cfRule type="expression" dxfId="4076" priority="3313" stopIfTrue="1">
      <formula>$B368&lt;&gt;""</formula>
    </cfRule>
  </conditionalFormatting>
  <conditionalFormatting sqref="S366:S368">
    <cfRule type="expression" dxfId="4075" priority="3312" stopIfTrue="1">
      <formula>$B366&lt;&gt;""</formula>
    </cfRule>
  </conditionalFormatting>
  <conditionalFormatting sqref="S366:S368">
    <cfRule type="expression" dxfId="4074" priority="3311" stopIfTrue="1">
      <formula>$C366&lt;&gt;""</formula>
    </cfRule>
  </conditionalFormatting>
  <conditionalFormatting sqref="S369">
    <cfRule type="expression" dxfId="4073" priority="3310" stopIfTrue="1">
      <formula>$B369&lt;&gt;""</formula>
    </cfRule>
  </conditionalFormatting>
  <conditionalFormatting sqref="S369">
    <cfRule type="expression" dxfId="4072" priority="3309" stopIfTrue="1">
      <formula>$C369&lt;&gt;""</formula>
    </cfRule>
  </conditionalFormatting>
  <conditionalFormatting sqref="S366:S367">
    <cfRule type="expression" dxfId="4071" priority="3308" stopIfTrue="1">
      <formula>$B366&lt;&gt;""</formula>
    </cfRule>
  </conditionalFormatting>
  <conditionalFormatting sqref="S366:S367">
    <cfRule type="expression" dxfId="4070" priority="3307" stopIfTrue="1">
      <formula>$C366&lt;&gt;""</formula>
    </cfRule>
  </conditionalFormatting>
  <conditionalFormatting sqref="S368:S369">
    <cfRule type="expression" dxfId="4069" priority="3306" stopIfTrue="1">
      <formula>$B368&lt;&gt;""</formula>
    </cfRule>
  </conditionalFormatting>
  <conditionalFormatting sqref="S368:S369">
    <cfRule type="expression" dxfId="4068" priority="3305" stopIfTrue="1">
      <formula>$C368&lt;&gt;""</formula>
    </cfRule>
  </conditionalFormatting>
  <conditionalFormatting sqref="S366:S368">
    <cfRule type="expression" dxfId="4067" priority="3304" stopIfTrue="1">
      <formula>$B366&lt;&gt;""</formula>
    </cfRule>
  </conditionalFormatting>
  <conditionalFormatting sqref="S366:S368">
    <cfRule type="expression" dxfId="4066" priority="3303" stopIfTrue="1">
      <formula>$C366&lt;&gt;""</formula>
    </cfRule>
  </conditionalFormatting>
  <conditionalFormatting sqref="S366:S368">
    <cfRule type="expression" dxfId="4065" priority="3302" stopIfTrue="1">
      <formula>$B366&lt;&gt;""</formula>
    </cfRule>
  </conditionalFormatting>
  <conditionalFormatting sqref="S366:S368">
    <cfRule type="expression" dxfId="4064" priority="3301" stopIfTrue="1">
      <formula>$C366&lt;&gt;""</formula>
    </cfRule>
  </conditionalFormatting>
  <conditionalFormatting sqref="S369">
    <cfRule type="expression" dxfId="4063" priority="3300" stopIfTrue="1">
      <formula>$B369&lt;&gt;""</formula>
    </cfRule>
  </conditionalFormatting>
  <conditionalFormatting sqref="S369">
    <cfRule type="expression" dxfId="4062" priority="3299" stopIfTrue="1">
      <formula>$C369&lt;&gt;""</formula>
    </cfRule>
  </conditionalFormatting>
  <conditionalFormatting sqref="S366:S368">
    <cfRule type="expression" dxfId="4061" priority="3298" stopIfTrue="1">
      <formula>$B366&lt;&gt;""</formula>
    </cfRule>
  </conditionalFormatting>
  <conditionalFormatting sqref="S366:S368">
    <cfRule type="expression" dxfId="4060" priority="3297" stopIfTrue="1">
      <formula>$C366&lt;&gt;""</formula>
    </cfRule>
  </conditionalFormatting>
  <conditionalFormatting sqref="S369">
    <cfRule type="expression" dxfId="4059" priority="3296" stopIfTrue="1">
      <formula>$B369&lt;&gt;""</formula>
    </cfRule>
  </conditionalFormatting>
  <conditionalFormatting sqref="S369">
    <cfRule type="expression" dxfId="4058" priority="3295" stopIfTrue="1">
      <formula>$C369&lt;&gt;""</formula>
    </cfRule>
  </conditionalFormatting>
  <conditionalFormatting sqref="S369">
    <cfRule type="expression" dxfId="4057" priority="3294" stopIfTrue="1">
      <formula>$B369&lt;&gt;""</formula>
    </cfRule>
  </conditionalFormatting>
  <conditionalFormatting sqref="S369">
    <cfRule type="expression" dxfId="4056" priority="3293" stopIfTrue="1">
      <formula>$C369&lt;&gt;""</formula>
    </cfRule>
  </conditionalFormatting>
  <conditionalFormatting sqref="S366:S369">
    <cfRule type="expression" dxfId="4055" priority="3292" stopIfTrue="1">
      <formula>$C366&lt;&gt;""</formula>
    </cfRule>
  </conditionalFormatting>
  <conditionalFormatting sqref="S366:S369">
    <cfRule type="expression" dxfId="4054" priority="3291" stopIfTrue="1">
      <formula>$B366&lt;&gt;""</formula>
    </cfRule>
  </conditionalFormatting>
  <conditionalFormatting sqref="S368:S369">
    <cfRule type="expression" dxfId="4053" priority="3290" stopIfTrue="1">
      <formula>$C368&lt;&gt;""</formula>
    </cfRule>
  </conditionalFormatting>
  <conditionalFormatting sqref="S368:S369">
    <cfRule type="expression" dxfId="4052" priority="3289" stopIfTrue="1">
      <formula>$B368&lt;&gt;""</formula>
    </cfRule>
  </conditionalFormatting>
  <conditionalFormatting sqref="S366">
    <cfRule type="expression" dxfId="4051" priority="3288" stopIfTrue="1">
      <formula>$B366&lt;&gt;""</formula>
    </cfRule>
  </conditionalFormatting>
  <conditionalFormatting sqref="S366">
    <cfRule type="expression" dxfId="4050" priority="3287" stopIfTrue="1">
      <formula>$C366&lt;&gt;""</formula>
    </cfRule>
  </conditionalFormatting>
  <conditionalFormatting sqref="S366:S369">
    <cfRule type="expression" dxfId="4049" priority="3286" stopIfTrue="1">
      <formula>$B366&lt;&gt;""</formula>
    </cfRule>
  </conditionalFormatting>
  <conditionalFormatting sqref="S366:S369">
    <cfRule type="expression" dxfId="4048" priority="3285" stopIfTrue="1">
      <formula>$C366&lt;&gt;""</formula>
    </cfRule>
  </conditionalFormatting>
  <conditionalFormatting sqref="S366:S369">
    <cfRule type="expression" dxfId="4047" priority="3284" stopIfTrue="1">
      <formula>$B366&lt;&gt;""</formula>
    </cfRule>
  </conditionalFormatting>
  <conditionalFormatting sqref="S366:S369">
    <cfRule type="expression" dxfId="4046" priority="3283" stopIfTrue="1">
      <formula>$C366&lt;&gt;""</formula>
    </cfRule>
  </conditionalFormatting>
  <conditionalFormatting sqref="S366:S369">
    <cfRule type="expression" dxfId="4045" priority="3282" stopIfTrue="1">
      <formula>$B366&lt;&gt;""</formula>
    </cfRule>
  </conditionalFormatting>
  <conditionalFormatting sqref="S366:S369">
    <cfRule type="expression" dxfId="4044" priority="3281" stopIfTrue="1">
      <formula>$C366&lt;&gt;""</formula>
    </cfRule>
  </conditionalFormatting>
  <conditionalFormatting sqref="S366:S369">
    <cfRule type="expression" dxfId="4043" priority="3280" stopIfTrue="1">
      <formula>$B366&lt;&gt;""</formula>
    </cfRule>
  </conditionalFormatting>
  <conditionalFormatting sqref="S366:S369">
    <cfRule type="expression" dxfId="4042" priority="3279" stopIfTrue="1">
      <formula>$C366&lt;&gt;""</formula>
    </cfRule>
  </conditionalFormatting>
  <conditionalFormatting sqref="S366:S369">
    <cfRule type="expression" dxfId="4041" priority="3278" stopIfTrue="1">
      <formula>$B366&lt;&gt;""</formula>
    </cfRule>
  </conditionalFormatting>
  <conditionalFormatting sqref="S366:S369">
    <cfRule type="expression" dxfId="4040" priority="3277" stopIfTrue="1">
      <formula>$C366&lt;&gt;""</formula>
    </cfRule>
  </conditionalFormatting>
  <conditionalFormatting sqref="S366:S369">
    <cfRule type="expression" dxfId="4039" priority="3276" stopIfTrue="1">
      <formula>$B366&lt;&gt;""</formula>
    </cfRule>
  </conditionalFormatting>
  <conditionalFormatting sqref="S366:S369">
    <cfRule type="expression" dxfId="4038" priority="3275" stopIfTrue="1">
      <formula>$C366&lt;&gt;""</formula>
    </cfRule>
  </conditionalFormatting>
  <conditionalFormatting sqref="S366:S369">
    <cfRule type="expression" dxfId="4037" priority="3274" stopIfTrue="1">
      <formula>$B366&lt;&gt;""</formula>
    </cfRule>
  </conditionalFormatting>
  <conditionalFormatting sqref="S366:S369">
    <cfRule type="expression" dxfId="4036" priority="3273" stopIfTrue="1">
      <formula>$C366&lt;&gt;""</formula>
    </cfRule>
  </conditionalFormatting>
  <conditionalFormatting sqref="S366:S369">
    <cfRule type="expression" dxfId="4035" priority="3272" stopIfTrue="1">
      <formula>$B366&lt;&gt;""</formula>
    </cfRule>
  </conditionalFormatting>
  <conditionalFormatting sqref="S366:S369">
    <cfRule type="expression" dxfId="4034" priority="3271" stopIfTrue="1">
      <formula>$C366&lt;&gt;""</formula>
    </cfRule>
  </conditionalFormatting>
  <conditionalFormatting sqref="S366:S369">
    <cfRule type="expression" dxfId="4033" priority="3270" stopIfTrue="1">
      <formula>$B366&lt;&gt;""</formula>
    </cfRule>
  </conditionalFormatting>
  <conditionalFormatting sqref="S366:S369">
    <cfRule type="expression" dxfId="4032" priority="3269" stopIfTrue="1">
      <formula>$C366&lt;&gt;""</formula>
    </cfRule>
  </conditionalFormatting>
  <conditionalFormatting sqref="S366:S368">
    <cfRule type="expression" dxfId="4031" priority="3268" stopIfTrue="1">
      <formula>$B366&lt;&gt;""</formula>
    </cfRule>
  </conditionalFormatting>
  <conditionalFormatting sqref="S366:S368">
    <cfRule type="expression" dxfId="4030" priority="3267" stopIfTrue="1">
      <formula>$C366&lt;&gt;""</formula>
    </cfRule>
  </conditionalFormatting>
  <conditionalFormatting sqref="S369">
    <cfRule type="expression" dxfId="4029" priority="3266" stopIfTrue="1">
      <formula>$B369&lt;&gt;""</formula>
    </cfRule>
  </conditionalFormatting>
  <conditionalFormatting sqref="S369">
    <cfRule type="expression" dxfId="4028" priority="3265" stopIfTrue="1">
      <formula>$C369&lt;&gt;""</formula>
    </cfRule>
  </conditionalFormatting>
  <conditionalFormatting sqref="S366:S367">
    <cfRule type="expression" dxfId="4027" priority="3264" stopIfTrue="1">
      <formula>$B366&lt;&gt;""</formula>
    </cfRule>
  </conditionalFormatting>
  <conditionalFormatting sqref="S366:S367">
    <cfRule type="expression" dxfId="4026" priority="3263" stopIfTrue="1">
      <formula>$C366&lt;&gt;""</formula>
    </cfRule>
  </conditionalFormatting>
  <conditionalFormatting sqref="S368:S369">
    <cfRule type="expression" dxfId="4025" priority="3262" stopIfTrue="1">
      <formula>$B368&lt;&gt;""</formula>
    </cfRule>
  </conditionalFormatting>
  <conditionalFormatting sqref="S368:S369">
    <cfRule type="expression" dxfId="4024" priority="3261" stopIfTrue="1">
      <formula>$C368&lt;&gt;""</formula>
    </cfRule>
  </conditionalFormatting>
  <conditionalFormatting sqref="S366:S368">
    <cfRule type="expression" dxfId="4023" priority="3260" stopIfTrue="1">
      <formula>$B366&lt;&gt;""</formula>
    </cfRule>
  </conditionalFormatting>
  <conditionalFormatting sqref="S366:S368">
    <cfRule type="expression" dxfId="4022" priority="3259" stopIfTrue="1">
      <formula>$C366&lt;&gt;""</formula>
    </cfRule>
  </conditionalFormatting>
  <conditionalFormatting sqref="S366:S368">
    <cfRule type="expression" dxfId="4021" priority="3258" stopIfTrue="1">
      <formula>$B366&lt;&gt;""</formula>
    </cfRule>
  </conditionalFormatting>
  <conditionalFormatting sqref="S366:S368">
    <cfRule type="expression" dxfId="4020" priority="3257" stopIfTrue="1">
      <formula>$C366&lt;&gt;""</formula>
    </cfRule>
  </conditionalFormatting>
  <conditionalFormatting sqref="S369">
    <cfRule type="expression" dxfId="4019" priority="3256" stopIfTrue="1">
      <formula>$B369&lt;&gt;""</formula>
    </cfRule>
  </conditionalFormatting>
  <conditionalFormatting sqref="S369">
    <cfRule type="expression" dxfId="4018" priority="3255" stopIfTrue="1">
      <formula>$C369&lt;&gt;""</formula>
    </cfRule>
  </conditionalFormatting>
  <conditionalFormatting sqref="S366:S368">
    <cfRule type="expression" dxfId="4017" priority="3254" stopIfTrue="1">
      <formula>$B366&lt;&gt;""</formula>
    </cfRule>
  </conditionalFormatting>
  <conditionalFormatting sqref="S366:S368">
    <cfRule type="expression" dxfId="4016" priority="3253" stopIfTrue="1">
      <formula>$C366&lt;&gt;""</formula>
    </cfRule>
  </conditionalFormatting>
  <conditionalFormatting sqref="S369">
    <cfRule type="expression" dxfId="4015" priority="3252" stopIfTrue="1">
      <formula>$B369&lt;&gt;""</formula>
    </cfRule>
  </conditionalFormatting>
  <conditionalFormatting sqref="S369">
    <cfRule type="expression" dxfId="4014" priority="3251" stopIfTrue="1">
      <formula>$C369&lt;&gt;""</formula>
    </cfRule>
  </conditionalFormatting>
  <conditionalFormatting sqref="S369">
    <cfRule type="expression" dxfId="4013" priority="3250" stopIfTrue="1">
      <formula>$B369&lt;&gt;""</formula>
    </cfRule>
  </conditionalFormatting>
  <conditionalFormatting sqref="S369">
    <cfRule type="expression" dxfId="4012" priority="3249" stopIfTrue="1">
      <formula>$C369&lt;&gt;""</formula>
    </cfRule>
  </conditionalFormatting>
  <conditionalFormatting sqref="S366:S369">
    <cfRule type="expression" dxfId="4011" priority="3248" stopIfTrue="1">
      <formula>$C366&lt;&gt;""</formula>
    </cfRule>
  </conditionalFormatting>
  <conditionalFormatting sqref="S366:S369">
    <cfRule type="expression" dxfId="4010" priority="3247" stopIfTrue="1">
      <formula>$B366&lt;&gt;""</formula>
    </cfRule>
  </conditionalFormatting>
  <conditionalFormatting sqref="S368:S369">
    <cfRule type="expression" dxfId="4009" priority="3246" stopIfTrue="1">
      <formula>$C368&lt;&gt;""</formula>
    </cfRule>
  </conditionalFormatting>
  <conditionalFormatting sqref="S368:S369">
    <cfRule type="expression" dxfId="4008" priority="3245" stopIfTrue="1">
      <formula>$B368&lt;&gt;""</formula>
    </cfRule>
  </conditionalFormatting>
  <conditionalFormatting sqref="S366:S368">
    <cfRule type="expression" dxfId="4007" priority="3244" stopIfTrue="1">
      <formula>$B366&lt;&gt;""</formula>
    </cfRule>
  </conditionalFormatting>
  <conditionalFormatting sqref="S366:S368">
    <cfRule type="expression" dxfId="4006" priority="3243" stopIfTrue="1">
      <formula>$C366&lt;&gt;""</formula>
    </cfRule>
  </conditionalFormatting>
  <conditionalFormatting sqref="S369">
    <cfRule type="expression" dxfId="4005" priority="3242" stopIfTrue="1">
      <formula>$B369&lt;&gt;""</formula>
    </cfRule>
  </conditionalFormatting>
  <conditionalFormatting sqref="S369">
    <cfRule type="expression" dxfId="4004" priority="3241" stopIfTrue="1">
      <formula>$C369&lt;&gt;""</formula>
    </cfRule>
  </conditionalFormatting>
  <conditionalFormatting sqref="S366:S367">
    <cfRule type="expression" dxfId="4003" priority="3240" stopIfTrue="1">
      <formula>$B366&lt;&gt;""</formula>
    </cfRule>
  </conditionalFormatting>
  <conditionalFormatting sqref="S366:S367">
    <cfRule type="expression" dxfId="4002" priority="3239" stopIfTrue="1">
      <formula>$C366&lt;&gt;""</formula>
    </cfRule>
  </conditionalFormatting>
  <conditionalFormatting sqref="S368:S369">
    <cfRule type="expression" dxfId="4001" priority="3238" stopIfTrue="1">
      <formula>$B368&lt;&gt;""</formula>
    </cfRule>
  </conditionalFormatting>
  <conditionalFormatting sqref="S368:S369">
    <cfRule type="expression" dxfId="4000" priority="3237" stopIfTrue="1">
      <formula>$C368&lt;&gt;""</formula>
    </cfRule>
  </conditionalFormatting>
  <conditionalFormatting sqref="S366:S368">
    <cfRule type="expression" dxfId="3999" priority="3236" stopIfTrue="1">
      <formula>$B366&lt;&gt;""</formula>
    </cfRule>
  </conditionalFormatting>
  <conditionalFormatting sqref="S366:S368">
    <cfRule type="expression" dxfId="3998" priority="3235" stopIfTrue="1">
      <formula>$C366&lt;&gt;""</formula>
    </cfRule>
  </conditionalFormatting>
  <conditionalFormatting sqref="S366:S368">
    <cfRule type="expression" dxfId="3997" priority="3234" stopIfTrue="1">
      <formula>$B366&lt;&gt;""</formula>
    </cfRule>
  </conditionalFormatting>
  <conditionalFormatting sqref="S366:S368">
    <cfRule type="expression" dxfId="3996" priority="3233" stopIfTrue="1">
      <formula>$C366&lt;&gt;""</formula>
    </cfRule>
  </conditionalFormatting>
  <conditionalFormatting sqref="S369">
    <cfRule type="expression" dxfId="3995" priority="3232" stopIfTrue="1">
      <formula>$B369&lt;&gt;""</formula>
    </cfRule>
  </conditionalFormatting>
  <conditionalFormatting sqref="S369">
    <cfRule type="expression" dxfId="3994" priority="3231" stopIfTrue="1">
      <formula>$C369&lt;&gt;""</formula>
    </cfRule>
  </conditionalFormatting>
  <conditionalFormatting sqref="S366:S368">
    <cfRule type="expression" dxfId="3993" priority="3230" stopIfTrue="1">
      <formula>$B366&lt;&gt;""</formula>
    </cfRule>
  </conditionalFormatting>
  <conditionalFormatting sqref="S366:S368">
    <cfRule type="expression" dxfId="3992" priority="3229" stopIfTrue="1">
      <formula>$C366&lt;&gt;""</formula>
    </cfRule>
  </conditionalFormatting>
  <conditionalFormatting sqref="S369">
    <cfRule type="expression" dxfId="3991" priority="3228" stopIfTrue="1">
      <formula>$B369&lt;&gt;""</formula>
    </cfRule>
  </conditionalFormatting>
  <conditionalFormatting sqref="S369">
    <cfRule type="expression" dxfId="3990" priority="3227" stopIfTrue="1">
      <formula>$C369&lt;&gt;""</formula>
    </cfRule>
  </conditionalFormatting>
  <conditionalFormatting sqref="S369">
    <cfRule type="expression" dxfId="3989" priority="3226" stopIfTrue="1">
      <formula>$B369&lt;&gt;""</formula>
    </cfRule>
  </conditionalFormatting>
  <conditionalFormatting sqref="S369">
    <cfRule type="expression" dxfId="3988" priority="3225" stopIfTrue="1">
      <formula>$C369&lt;&gt;""</formula>
    </cfRule>
  </conditionalFormatting>
  <conditionalFormatting sqref="S366:S369">
    <cfRule type="expression" dxfId="3987" priority="3224" stopIfTrue="1">
      <formula>$C366&lt;&gt;""</formula>
    </cfRule>
  </conditionalFormatting>
  <conditionalFormatting sqref="S366:S369">
    <cfRule type="expression" dxfId="3986" priority="3223" stopIfTrue="1">
      <formula>$B366&lt;&gt;""</formula>
    </cfRule>
  </conditionalFormatting>
  <conditionalFormatting sqref="S368:S369">
    <cfRule type="expression" dxfId="3985" priority="3222" stopIfTrue="1">
      <formula>$C368&lt;&gt;""</formula>
    </cfRule>
  </conditionalFormatting>
  <conditionalFormatting sqref="S368:S369">
    <cfRule type="expression" dxfId="3984" priority="3221" stopIfTrue="1">
      <formula>$B368&lt;&gt;""</formula>
    </cfRule>
  </conditionalFormatting>
  <conditionalFormatting sqref="S366">
    <cfRule type="expression" dxfId="3983" priority="3220" stopIfTrue="1">
      <formula>$B366&lt;&gt;""</formula>
    </cfRule>
  </conditionalFormatting>
  <conditionalFormatting sqref="S366">
    <cfRule type="expression" dxfId="3982" priority="3219" stopIfTrue="1">
      <formula>$C366&lt;&gt;""</formula>
    </cfRule>
  </conditionalFormatting>
  <conditionalFormatting sqref="S366:S369">
    <cfRule type="expression" dxfId="3981" priority="3218" stopIfTrue="1">
      <formula>$B366&lt;&gt;""</formula>
    </cfRule>
  </conditionalFormatting>
  <conditionalFormatting sqref="S366:S369">
    <cfRule type="expression" dxfId="3980" priority="3217" stopIfTrue="1">
      <formula>$C366&lt;&gt;""</formula>
    </cfRule>
  </conditionalFormatting>
  <conditionalFormatting sqref="S366:S369">
    <cfRule type="expression" dxfId="3979" priority="3216" stopIfTrue="1">
      <formula>$B366&lt;&gt;""</formula>
    </cfRule>
  </conditionalFormatting>
  <conditionalFormatting sqref="S366:S369">
    <cfRule type="expression" dxfId="3978" priority="3215" stopIfTrue="1">
      <formula>$C366&lt;&gt;""</formula>
    </cfRule>
  </conditionalFormatting>
  <conditionalFormatting sqref="S366:S369">
    <cfRule type="expression" dxfId="3977" priority="3214" stopIfTrue="1">
      <formula>$B366&lt;&gt;""</formula>
    </cfRule>
  </conditionalFormatting>
  <conditionalFormatting sqref="S366:S369">
    <cfRule type="expression" dxfId="3976" priority="3213" stopIfTrue="1">
      <formula>$C366&lt;&gt;""</formula>
    </cfRule>
  </conditionalFormatting>
  <conditionalFormatting sqref="S366:S369">
    <cfRule type="expression" dxfId="3975" priority="3212" stopIfTrue="1">
      <formula>$B366&lt;&gt;""</formula>
    </cfRule>
  </conditionalFormatting>
  <conditionalFormatting sqref="S366:S369">
    <cfRule type="expression" dxfId="3974" priority="3211" stopIfTrue="1">
      <formula>$C366&lt;&gt;""</formula>
    </cfRule>
  </conditionalFormatting>
  <conditionalFormatting sqref="S366:S369">
    <cfRule type="expression" dxfId="3973" priority="3210" stopIfTrue="1">
      <formula>$B366&lt;&gt;""</formula>
    </cfRule>
  </conditionalFormatting>
  <conditionalFormatting sqref="S366:S369">
    <cfRule type="expression" dxfId="3972" priority="3209" stopIfTrue="1">
      <formula>$C366&lt;&gt;""</formula>
    </cfRule>
  </conditionalFormatting>
  <conditionalFormatting sqref="S366:S369">
    <cfRule type="expression" dxfId="3971" priority="3208" stopIfTrue="1">
      <formula>$B366&lt;&gt;""</formula>
    </cfRule>
  </conditionalFormatting>
  <conditionalFormatting sqref="S366:S369">
    <cfRule type="expression" dxfId="3970" priority="3207" stopIfTrue="1">
      <formula>$C366&lt;&gt;""</formula>
    </cfRule>
  </conditionalFormatting>
  <conditionalFormatting sqref="S366:S369">
    <cfRule type="expression" dxfId="3969" priority="3206" stopIfTrue="1">
      <formula>$B366&lt;&gt;""</formula>
    </cfRule>
  </conditionalFormatting>
  <conditionalFormatting sqref="S366:S369">
    <cfRule type="expression" dxfId="3968" priority="3205" stopIfTrue="1">
      <formula>$C366&lt;&gt;""</formula>
    </cfRule>
  </conditionalFormatting>
  <conditionalFormatting sqref="S366:S369">
    <cfRule type="expression" dxfId="3967" priority="3204" stopIfTrue="1">
      <formula>$B366&lt;&gt;""</formula>
    </cfRule>
  </conditionalFormatting>
  <conditionalFormatting sqref="S366:S369">
    <cfRule type="expression" dxfId="3966" priority="3203" stopIfTrue="1">
      <formula>$C366&lt;&gt;""</formula>
    </cfRule>
  </conditionalFormatting>
  <conditionalFormatting sqref="S366:S369">
    <cfRule type="expression" dxfId="3965" priority="3202" stopIfTrue="1">
      <formula>$B366&lt;&gt;""</formula>
    </cfRule>
  </conditionalFormatting>
  <conditionalFormatting sqref="S366:S369">
    <cfRule type="expression" dxfId="3964" priority="3201" stopIfTrue="1">
      <formula>$C366&lt;&gt;""</formula>
    </cfRule>
  </conditionalFormatting>
  <conditionalFormatting sqref="S366:S368">
    <cfRule type="expression" dxfId="3963" priority="3200" stopIfTrue="1">
      <formula>$B366&lt;&gt;""</formula>
    </cfRule>
  </conditionalFormatting>
  <conditionalFormatting sqref="S366:S368">
    <cfRule type="expression" dxfId="3962" priority="3199" stopIfTrue="1">
      <formula>$C366&lt;&gt;""</formula>
    </cfRule>
  </conditionalFormatting>
  <conditionalFormatting sqref="S369">
    <cfRule type="expression" dxfId="3961" priority="3198" stopIfTrue="1">
      <formula>$B369&lt;&gt;""</formula>
    </cfRule>
  </conditionalFormatting>
  <conditionalFormatting sqref="S369">
    <cfRule type="expression" dxfId="3960" priority="3197" stopIfTrue="1">
      <formula>$C369&lt;&gt;""</formula>
    </cfRule>
  </conditionalFormatting>
  <conditionalFormatting sqref="S366:S367">
    <cfRule type="expression" dxfId="3959" priority="3196" stopIfTrue="1">
      <formula>$B366&lt;&gt;""</formula>
    </cfRule>
  </conditionalFormatting>
  <conditionalFormatting sqref="S366:S367">
    <cfRule type="expression" dxfId="3958" priority="3195" stopIfTrue="1">
      <formula>$C366&lt;&gt;""</formula>
    </cfRule>
  </conditionalFormatting>
  <conditionalFormatting sqref="S368:S369">
    <cfRule type="expression" dxfId="3957" priority="3194" stopIfTrue="1">
      <formula>$B368&lt;&gt;""</formula>
    </cfRule>
  </conditionalFormatting>
  <conditionalFormatting sqref="S368:S369">
    <cfRule type="expression" dxfId="3956" priority="3193" stopIfTrue="1">
      <formula>$C368&lt;&gt;""</formula>
    </cfRule>
  </conditionalFormatting>
  <conditionalFormatting sqref="S366:S368">
    <cfRule type="expression" dxfId="3955" priority="3192" stopIfTrue="1">
      <formula>$B366&lt;&gt;""</formula>
    </cfRule>
  </conditionalFormatting>
  <conditionalFormatting sqref="S366:S368">
    <cfRule type="expression" dxfId="3954" priority="3191" stopIfTrue="1">
      <formula>$C366&lt;&gt;""</formula>
    </cfRule>
  </conditionalFormatting>
  <conditionalFormatting sqref="S366:S368">
    <cfRule type="expression" dxfId="3953" priority="3190" stopIfTrue="1">
      <formula>$B366&lt;&gt;""</formula>
    </cfRule>
  </conditionalFormatting>
  <conditionalFormatting sqref="S366:S368">
    <cfRule type="expression" dxfId="3952" priority="3189" stopIfTrue="1">
      <formula>$C366&lt;&gt;""</formula>
    </cfRule>
  </conditionalFormatting>
  <conditionalFormatting sqref="S369">
    <cfRule type="expression" dxfId="3951" priority="3188" stopIfTrue="1">
      <formula>$B369&lt;&gt;""</formula>
    </cfRule>
  </conditionalFormatting>
  <conditionalFormatting sqref="S369">
    <cfRule type="expression" dxfId="3950" priority="3187" stopIfTrue="1">
      <formula>$C369&lt;&gt;""</formula>
    </cfRule>
  </conditionalFormatting>
  <conditionalFormatting sqref="S366:S368">
    <cfRule type="expression" dxfId="3949" priority="3186" stopIfTrue="1">
      <formula>$B366&lt;&gt;""</formula>
    </cfRule>
  </conditionalFormatting>
  <conditionalFormatting sqref="S366:S368">
    <cfRule type="expression" dxfId="3948" priority="3185" stopIfTrue="1">
      <formula>$C366&lt;&gt;""</formula>
    </cfRule>
  </conditionalFormatting>
  <conditionalFormatting sqref="S369">
    <cfRule type="expression" dxfId="3947" priority="3184" stopIfTrue="1">
      <formula>$B369&lt;&gt;""</formula>
    </cfRule>
  </conditionalFormatting>
  <conditionalFormatting sqref="S369">
    <cfRule type="expression" dxfId="3946" priority="3183" stopIfTrue="1">
      <formula>$C369&lt;&gt;""</formula>
    </cfRule>
  </conditionalFormatting>
  <conditionalFormatting sqref="S369">
    <cfRule type="expression" dxfId="3945" priority="3182" stopIfTrue="1">
      <formula>$B369&lt;&gt;""</formula>
    </cfRule>
  </conditionalFormatting>
  <conditionalFormatting sqref="S369">
    <cfRule type="expression" dxfId="3944" priority="3181" stopIfTrue="1">
      <formula>$C369&lt;&gt;""</formula>
    </cfRule>
  </conditionalFormatting>
  <conditionalFormatting sqref="S366:S369">
    <cfRule type="expression" dxfId="3943" priority="3180" stopIfTrue="1">
      <formula>$C366&lt;&gt;""</formula>
    </cfRule>
  </conditionalFormatting>
  <conditionalFormatting sqref="S366:S369">
    <cfRule type="expression" dxfId="3942" priority="3179" stopIfTrue="1">
      <formula>$B366&lt;&gt;""</formula>
    </cfRule>
  </conditionalFormatting>
  <conditionalFormatting sqref="S368:S369">
    <cfRule type="expression" dxfId="3941" priority="3178" stopIfTrue="1">
      <formula>$C368&lt;&gt;""</formula>
    </cfRule>
  </conditionalFormatting>
  <conditionalFormatting sqref="S368:S369">
    <cfRule type="expression" dxfId="3940" priority="3177" stopIfTrue="1">
      <formula>$B368&lt;&gt;""</formula>
    </cfRule>
  </conditionalFormatting>
  <conditionalFormatting sqref="S366:S368">
    <cfRule type="expression" dxfId="3939" priority="3176" stopIfTrue="1">
      <formula>$B366&lt;&gt;""</formula>
    </cfRule>
  </conditionalFormatting>
  <conditionalFormatting sqref="S366:S368">
    <cfRule type="expression" dxfId="3938" priority="3175" stopIfTrue="1">
      <formula>$C366&lt;&gt;""</formula>
    </cfRule>
  </conditionalFormatting>
  <conditionalFormatting sqref="S369">
    <cfRule type="expression" dxfId="3937" priority="3174" stopIfTrue="1">
      <formula>$B369&lt;&gt;""</formula>
    </cfRule>
  </conditionalFormatting>
  <conditionalFormatting sqref="S369">
    <cfRule type="expression" dxfId="3936" priority="3173" stopIfTrue="1">
      <formula>$C369&lt;&gt;""</formula>
    </cfRule>
  </conditionalFormatting>
  <conditionalFormatting sqref="S366:S367">
    <cfRule type="expression" dxfId="3935" priority="3172" stopIfTrue="1">
      <formula>$B366&lt;&gt;""</formula>
    </cfRule>
  </conditionalFormatting>
  <conditionalFormatting sqref="S366:S367">
    <cfRule type="expression" dxfId="3934" priority="3171" stopIfTrue="1">
      <formula>$C366&lt;&gt;""</formula>
    </cfRule>
  </conditionalFormatting>
  <conditionalFormatting sqref="S368:S369">
    <cfRule type="expression" dxfId="3933" priority="3170" stopIfTrue="1">
      <formula>$B368&lt;&gt;""</formula>
    </cfRule>
  </conditionalFormatting>
  <conditionalFormatting sqref="S368:S369">
    <cfRule type="expression" dxfId="3932" priority="3169" stopIfTrue="1">
      <formula>$C368&lt;&gt;""</formula>
    </cfRule>
  </conditionalFormatting>
  <conditionalFormatting sqref="S366:S368">
    <cfRule type="expression" dxfId="3931" priority="3168" stopIfTrue="1">
      <formula>$B366&lt;&gt;""</formula>
    </cfRule>
  </conditionalFormatting>
  <conditionalFormatting sqref="S366:S368">
    <cfRule type="expression" dxfId="3930" priority="3167" stopIfTrue="1">
      <formula>$C366&lt;&gt;""</formula>
    </cfRule>
  </conditionalFormatting>
  <conditionalFormatting sqref="S366:S368">
    <cfRule type="expression" dxfId="3929" priority="3166" stopIfTrue="1">
      <formula>$B366&lt;&gt;""</formula>
    </cfRule>
  </conditionalFormatting>
  <conditionalFormatting sqref="S366:S368">
    <cfRule type="expression" dxfId="3928" priority="3165" stopIfTrue="1">
      <formula>$C366&lt;&gt;""</formula>
    </cfRule>
  </conditionalFormatting>
  <conditionalFormatting sqref="S369">
    <cfRule type="expression" dxfId="3927" priority="3164" stopIfTrue="1">
      <formula>$B369&lt;&gt;""</formula>
    </cfRule>
  </conditionalFormatting>
  <conditionalFormatting sqref="S369">
    <cfRule type="expression" dxfId="3926" priority="3163" stopIfTrue="1">
      <formula>$C369&lt;&gt;""</formula>
    </cfRule>
  </conditionalFormatting>
  <conditionalFormatting sqref="S366:S368">
    <cfRule type="expression" dxfId="3925" priority="3162" stopIfTrue="1">
      <formula>$B366&lt;&gt;""</formula>
    </cfRule>
  </conditionalFormatting>
  <conditionalFormatting sqref="S366:S368">
    <cfRule type="expression" dxfId="3924" priority="3161" stopIfTrue="1">
      <formula>$C366&lt;&gt;""</formula>
    </cfRule>
  </conditionalFormatting>
  <conditionalFormatting sqref="S369">
    <cfRule type="expression" dxfId="3923" priority="3160" stopIfTrue="1">
      <formula>$B369&lt;&gt;""</formula>
    </cfRule>
  </conditionalFormatting>
  <conditionalFormatting sqref="S369">
    <cfRule type="expression" dxfId="3922" priority="3159" stopIfTrue="1">
      <formula>$C369&lt;&gt;""</formula>
    </cfRule>
  </conditionalFormatting>
  <conditionalFormatting sqref="S369">
    <cfRule type="expression" dxfId="3921" priority="3158" stopIfTrue="1">
      <formula>$B369&lt;&gt;""</formula>
    </cfRule>
  </conditionalFormatting>
  <conditionalFormatting sqref="S369">
    <cfRule type="expression" dxfId="3920" priority="3157" stopIfTrue="1">
      <formula>$C369&lt;&gt;""</formula>
    </cfRule>
  </conditionalFormatting>
  <conditionalFormatting sqref="S366:S369">
    <cfRule type="expression" dxfId="3919" priority="3156" stopIfTrue="1">
      <formula>$C366&lt;&gt;""</formula>
    </cfRule>
  </conditionalFormatting>
  <conditionalFormatting sqref="S366:S369">
    <cfRule type="expression" dxfId="3918" priority="3155" stopIfTrue="1">
      <formula>$B366&lt;&gt;""</formula>
    </cfRule>
  </conditionalFormatting>
  <conditionalFormatting sqref="S368:S369">
    <cfRule type="expression" dxfId="3917" priority="3154" stopIfTrue="1">
      <formula>$C368&lt;&gt;""</formula>
    </cfRule>
  </conditionalFormatting>
  <conditionalFormatting sqref="S368:S369">
    <cfRule type="expression" dxfId="3916" priority="3153" stopIfTrue="1">
      <formula>$B368&lt;&gt;""</formula>
    </cfRule>
  </conditionalFormatting>
  <conditionalFormatting sqref="S366">
    <cfRule type="expression" dxfId="3915" priority="3152" stopIfTrue="1">
      <formula>$B366&lt;&gt;""</formula>
    </cfRule>
  </conditionalFormatting>
  <conditionalFormatting sqref="S366">
    <cfRule type="expression" dxfId="3914" priority="3151" stopIfTrue="1">
      <formula>$C366&lt;&gt;""</formula>
    </cfRule>
  </conditionalFormatting>
  <conditionalFormatting sqref="S366:S369">
    <cfRule type="expression" dxfId="3913" priority="3150" stopIfTrue="1">
      <formula>$B366&lt;&gt;""</formula>
    </cfRule>
  </conditionalFormatting>
  <conditionalFormatting sqref="S366:S369">
    <cfRule type="expression" dxfId="3912" priority="3149" stopIfTrue="1">
      <formula>$C366&lt;&gt;""</formula>
    </cfRule>
  </conditionalFormatting>
  <conditionalFormatting sqref="S366:S369">
    <cfRule type="expression" dxfId="3911" priority="3148" stopIfTrue="1">
      <formula>$B366&lt;&gt;""</formula>
    </cfRule>
  </conditionalFormatting>
  <conditionalFormatting sqref="S366:S369">
    <cfRule type="expression" dxfId="3910" priority="3147" stopIfTrue="1">
      <formula>$C366&lt;&gt;""</formula>
    </cfRule>
  </conditionalFormatting>
  <conditionalFormatting sqref="S366:S369">
    <cfRule type="expression" dxfId="3909" priority="3146" stopIfTrue="1">
      <formula>$B366&lt;&gt;""</formula>
    </cfRule>
  </conditionalFormatting>
  <conditionalFormatting sqref="S366:S369">
    <cfRule type="expression" dxfId="3908" priority="3145" stopIfTrue="1">
      <formula>$C366&lt;&gt;""</formula>
    </cfRule>
  </conditionalFormatting>
  <conditionalFormatting sqref="S366:S369">
    <cfRule type="expression" dxfId="3907" priority="3144" stopIfTrue="1">
      <formula>$B366&lt;&gt;""</formula>
    </cfRule>
  </conditionalFormatting>
  <conditionalFormatting sqref="S366:S369">
    <cfRule type="expression" dxfId="3906" priority="3143" stopIfTrue="1">
      <formula>$C366&lt;&gt;""</formula>
    </cfRule>
  </conditionalFormatting>
  <conditionalFormatting sqref="S366:S369">
    <cfRule type="expression" dxfId="3905" priority="3142" stopIfTrue="1">
      <formula>$B366&lt;&gt;""</formula>
    </cfRule>
  </conditionalFormatting>
  <conditionalFormatting sqref="S366:S369">
    <cfRule type="expression" dxfId="3904" priority="3141" stopIfTrue="1">
      <formula>$C366&lt;&gt;""</formula>
    </cfRule>
  </conditionalFormatting>
  <conditionalFormatting sqref="S366:S369">
    <cfRule type="expression" dxfId="3903" priority="3140" stopIfTrue="1">
      <formula>$B366&lt;&gt;""</formula>
    </cfRule>
  </conditionalFormatting>
  <conditionalFormatting sqref="S366:S369">
    <cfRule type="expression" dxfId="3902" priority="3139" stopIfTrue="1">
      <formula>$C366&lt;&gt;""</formula>
    </cfRule>
  </conditionalFormatting>
  <conditionalFormatting sqref="S366:S369">
    <cfRule type="expression" dxfId="3901" priority="3138" stopIfTrue="1">
      <formula>$B366&lt;&gt;""</formula>
    </cfRule>
  </conditionalFormatting>
  <conditionalFormatting sqref="S366:S369">
    <cfRule type="expression" dxfId="3900" priority="3137" stopIfTrue="1">
      <formula>$C366&lt;&gt;""</formula>
    </cfRule>
  </conditionalFormatting>
  <conditionalFormatting sqref="S366:S369">
    <cfRule type="expression" dxfId="3899" priority="3136" stopIfTrue="1">
      <formula>$B366&lt;&gt;""</formula>
    </cfRule>
  </conditionalFormatting>
  <conditionalFormatting sqref="S366:S369">
    <cfRule type="expression" dxfId="3898" priority="3135" stopIfTrue="1">
      <formula>$C366&lt;&gt;""</formula>
    </cfRule>
  </conditionalFormatting>
  <conditionalFormatting sqref="S366:S369">
    <cfRule type="expression" dxfId="3897" priority="3134" stopIfTrue="1">
      <formula>$B366&lt;&gt;""</formula>
    </cfRule>
  </conditionalFormatting>
  <conditionalFormatting sqref="S366:S369">
    <cfRule type="expression" dxfId="3896" priority="3133" stopIfTrue="1">
      <formula>$C366&lt;&gt;""</formula>
    </cfRule>
  </conditionalFormatting>
  <conditionalFormatting sqref="S366:S368">
    <cfRule type="expression" dxfId="3895" priority="3132" stopIfTrue="1">
      <formula>$B366&lt;&gt;""</formula>
    </cfRule>
  </conditionalFormatting>
  <conditionalFormatting sqref="S366:S368">
    <cfRule type="expression" dxfId="3894" priority="3131" stopIfTrue="1">
      <formula>$C366&lt;&gt;""</formula>
    </cfRule>
  </conditionalFormatting>
  <conditionalFormatting sqref="S369">
    <cfRule type="expression" dxfId="3893" priority="3130" stopIfTrue="1">
      <formula>$B369&lt;&gt;""</formula>
    </cfRule>
  </conditionalFormatting>
  <conditionalFormatting sqref="S369">
    <cfRule type="expression" dxfId="3892" priority="3129" stopIfTrue="1">
      <formula>$C369&lt;&gt;""</formula>
    </cfRule>
  </conditionalFormatting>
  <conditionalFormatting sqref="S366:S367">
    <cfRule type="expression" dxfId="3891" priority="3128" stopIfTrue="1">
      <formula>$B366&lt;&gt;""</formula>
    </cfRule>
  </conditionalFormatting>
  <conditionalFormatting sqref="S366:S367">
    <cfRule type="expression" dxfId="3890" priority="3127" stopIfTrue="1">
      <formula>$C366&lt;&gt;""</formula>
    </cfRule>
  </conditionalFormatting>
  <conditionalFormatting sqref="S368:S369">
    <cfRule type="expression" dxfId="3889" priority="3126" stopIfTrue="1">
      <formula>$B368&lt;&gt;""</formula>
    </cfRule>
  </conditionalFormatting>
  <conditionalFormatting sqref="S368:S369">
    <cfRule type="expression" dxfId="3888" priority="3125" stopIfTrue="1">
      <formula>$C368&lt;&gt;""</formula>
    </cfRule>
  </conditionalFormatting>
  <conditionalFormatting sqref="S366:S368">
    <cfRule type="expression" dxfId="3887" priority="3124" stopIfTrue="1">
      <formula>$B366&lt;&gt;""</formula>
    </cfRule>
  </conditionalFormatting>
  <conditionalFormatting sqref="S366:S368">
    <cfRule type="expression" dxfId="3886" priority="3123" stopIfTrue="1">
      <formula>$C366&lt;&gt;""</formula>
    </cfRule>
  </conditionalFormatting>
  <conditionalFormatting sqref="S366:S368">
    <cfRule type="expression" dxfId="3885" priority="3122" stopIfTrue="1">
      <formula>$B366&lt;&gt;""</formula>
    </cfRule>
  </conditionalFormatting>
  <conditionalFormatting sqref="S366:S368">
    <cfRule type="expression" dxfId="3884" priority="3121" stopIfTrue="1">
      <formula>$C366&lt;&gt;""</formula>
    </cfRule>
  </conditionalFormatting>
  <conditionalFormatting sqref="S369">
    <cfRule type="expression" dxfId="3883" priority="3120" stopIfTrue="1">
      <formula>$B369&lt;&gt;""</formula>
    </cfRule>
  </conditionalFormatting>
  <conditionalFormatting sqref="S369">
    <cfRule type="expression" dxfId="3882" priority="3119" stopIfTrue="1">
      <formula>$C369&lt;&gt;""</formula>
    </cfRule>
  </conditionalFormatting>
  <conditionalFormatting sqref="S366:S368">
    <cfRule type="expression" dxfId="3881" priority="3118" stopIfTrue="1">
      <formula>$B366&lt;&gt;""</formula>
    </cfRule>
  </conditionalFormatting>
  <conditionalFormatting sqref="S366:S368">
    <cfRule type="expression" dxfId="3880" priority="3117" stopIfTrue="1">
      <formula>$C366&lt;&gt;""</formula>
    </cfRule>
  </conditionalFormatting>
  <conditionalFormatting sqref="S369">
    <cfRule type="expression" dxfId="3879" priority="3116" stopIfTrue="1">
      <formula>$B369&lt;&gt;""</formula>
    </cfRule>
  </conditionalFormatting>
  <conditionalFormatting sqref="S369">
    <cfRule type="expression" dxfId="3878" priority="3115" stopIfTrue="1">
      <formula>$C369&lt;&gt;""</formula>
    </cfRule>
  </conditionalFormatting>
  <conditionalFormatting sqref="S369">
    <cfRule type="expression" dxfId="3877" priority="3114" stopIfTrue="1">
      <formula>$B369&lt;&gt;""</formula>
    </cfRule>
  </conditionalFormatting>
  <conditionalFormatting sqref="S369">
    <cfRule type="expression" dxfId="3876" priority="3113" stopIfTrue="1">
      <formula>$C369&lt;&gt;""</formula>
    </cfRule>
  </conditionalFormatting>
  <conditionalFormatting sqref="S366:S369">
    <cfRule type="expression" dxfId="3875" priority="3112" stopIfTrue="1">
      <formula>$C366&lt;&gt;""</formula>
    </cfRule>
  </conditionalFormatting>
  <conditionalFormatting sqref="S366:S369">
    <cfRule type="expression" dxfId="3874" priority="3111" stopIfTrue="1">
      <formula>$B366&lt;&gt;""</formula>
    </cfRule>
  </conditionalFormatting>
  <conditionalFormatting sqref="S368:S369">
    <cfRule type="expression" dxfId="3873" priority="3110" stopIfTrue="1">
      <formula>$C368&lt;&gt;""</formula>
    </cfRule>
  </conditionalFormatting>
  <conditionalFormatting sqref="S368:S369">
    <cfRule type="expression" dxfId="3872" priority="3109" stopIfTrue="1">
      <formula>$B368&lt;&gt;""</formula>
    </cfRule>
  </conditionalFormatting>
  <conditionalFormatting sqref="S366:S368">
    <cfRule type="expression" dxfId="3871" priority="3108" stopIfTrue="1">
      <formula>$B366&lt;&gt;""</formula>
    </cfRule>
  </conditionalFormatting>
  <conditionalFormatting sqref="S366:S368">
    <cfRule type="expression" dxfId="3870" priority="3107" stopIfTrue="1">
      <formula>$C366&lt;&gt;""</formula>
    </cfRule>
  </conditionalFormatting>
  <conditionalFormatting sqref="S369">
    <cfRule type="expression" dxfId="3869" priority="3106" stopIfTrue="1">
      <formula>$B369&lt;&gt;""</formula>
    </cfRule>
  </conditionalFormatting>
  <conditionalFormatting sqref="S369">
    <cfRule type="expression" dxfId="3868" priority="3105" stopIfTrue="1">
      <formula>$C369&lt;&gt;""</formula>
    </cfRule>
  </conditionalFormatting>
  <conditionalFormatting sqref="S366:S367">
    <cfRule type="expression" dxfId="3867" priority="3104" stopIfTrue="1">
      <formula>$B366&lt;&gt;""</formula>
    </cfRule>
  </conditionalFormatting>
  <conditionalFormatting sqref="S366:S367">
    <cfRule type="expression" dxfId="3866" priority="3103" stopIfTrue="1">
      <formula>$C366&lt;&gt;""</formula>
    </cfRule>
  </conditionalFormatting>
  <conditionalFormatting sqref="S368:S369">
    <cfRule type="expression" dxfId="3865" priority="3102" stopIfTrue="1">
      <formula>$B368&lt;&gt;""</formula>
    </cfRule>
  </conditionalFormatting>
  <conditionalFormatting sqref="S368:S369">
    <cfRule type="expression" dxfId="3864" priority="3101" stopIfTrue="1">
      <formula>$C368&lt;&gt;""</formula>
    </cfRule>
  </conditionalFormatting>
  <conditionalFormatting sqref="S366:S368">
    <cfRule type="expression" dxfId="3863" priority="3100" stopIfTrue="1">
      <formula>$B366&lt;&gt;""</formula>
    </cfRule>
  </conditionalFormatting>
  <conditionalFormatting sqref="S366:S368">
    <cfRule type="expression" dxfId="3862" priority="3099" stopIfTrue="1">
      <formula>$C366&lt;&gt;""</formula>
    </cfRule>
  </conditionalFormatting>
  <conditionalFormatting sqref="S366:S368">
    <cfRule type="expression" dxfId="3861" priority="3098" stopIfTrue="1">
      <formula>$B366&lt;&gt;""</formula>
    </cfRule>
  </conditionalFormatting>
  <conditionalFormatting sqref="S366:S368">
    <cfRule type="expression" dxfId="3860" priority="3097" stopIfTrue="1">
      <formula>$C366&lt;&gt;""</formula>
    </cfRule>
  </conditionalFormatting>
  <conditionalFormatting sqref="S369">
    <cfRule type="expression" dxfId="3859" priority="3096" stopIfTrue="1">
      <formula>$B369&lt;&gt;""</formula>
    </cfRule>
  </conditionalFormatting>
  <conditionalFormatting sqref="S369">
    <cfRule type="expression" dxfId="3858" priority="3095" stopIfTrue="1">
      <formula>$C369&lt;&gt;""</formula>
    </cfRule>
  </conditionalFormatting>
  <conditionalFormatting sqref="S366:S368">
    <cfRule type="expression" dxfId="3857" priority="3094" stopIfTrue="1">
      <formula>$B366&lt;&gt;""</formula>
    </cfRule>
  </conditionalFormatting>
  <conditionalFormatting sqref="S366:S368">
    <cfRule type="expression" dxfId="3856" priority="3093" stopIfTrue="1">
      <formula>$C366&lt;&gt;""</formula>
    </cfRule>
  </conditionalFormatting>
  <conditionalFormatting sqref="S369">
    <cfRule type="expression" dxfId="3855" priority="3092" stopIfTrue="1">
      <formula>$B369&lt;&gt;""</formula>
    </cfRule>
  </conditionalFormatting>
  <conditionalFormatting sqref="S369">
    <cfRule type="expression" dxfId="3854" priority="3091" stopIfTrue="1">
      <formula>$C369&lt;&gt;""</formula>
    </cfRule>
  </conditionalFormatting>
  <conditionalFormatting sqref="S369">
    <cfRule type="expression" dxfId="3853" priority="3090" stopIfTrue="1">
      <formula>$B369&lt;&gt;""</formula>
    </cfRule>
  </conditionalFormatting>
  <conditionalFormatting sqref="S369">
    <cfRule type="expression" dxfId="3852" priority="3089" stopIfTrue="1">
      <formula>$C369&lt;&gt;""</formula>
    </cfRule>
  </conditionalFormatting>
  <conditionalFormatting sqref="S366:S369">
    <cfRule type="expression" dxfId="3851" priority="3088" stopIfTrue="1">
      <formula>$C366&lt;&gt;""</formula>
    </cfRule>
  </conditionalFormatting>
  <conditionalFormatting sqref="S366:S369">
    <cfRule type="expression" dxfId="3850" priority="3087" stopIfTrue="1">
      <formula>$B366&lt;&gt;""</formula>
    </cfRule>
  </conditionalFormatting>
  <conditionalFormatting sqref="S368:S369">
    <cfRule type="expression" dxfId="3849" priority="3086" stopIfTrue="1">
      <formula>$C368&lt;&gt;""</formula>
    </cfRule>
  </conditionalFormatting>
  <conditionalFormatting sqref="S368:S369">
    <cfRule type="expression" dxfId="3848" priority="3085" stopIfTrue="1">
      <formula>$B368&lt;&gt;""</formula>
    </cfRule>
  </conditionalFormatting>
  <conditionalFormatting sqref="S366">
    <cfRule type="expression" dxfId="3847" priority="3084" stopIfTrue="1">
      <formula>$B366&lt;&gt;""</formula>
    </cfRule>
  </conditionalFormatting>
  <conditionalFormatting sqref="S366">
    <cfRule type="expression" dxfId="3846" priority="3083" stopIfTrue="1">
      <formula>$C366&lt;&gt;""</formula>
    </cfRule>
  </conditionalFormatting>
  <conditionalFormatting sqref="S366:S369">
    <cfRule type="expression" dxfId="3845" priority="3082" stopIfTrue="1">
      <formula>$B366&lt;&gt;""</formula>
    </cfRule>
  </conditionalFormatting>
  <conditionalFormatting sqref="S366:S369">
    <cfRule type="expression" dxfId="3844" priority="3081" stopIfTrue="1">
      <formula>$C366&lt;&gt;""</formula>
    </cfRule>
  </conditionalFormatting>
  <conditionalFormatting sqref="S366:S369">
    <cfRule type="expression" dxfId="3843" priority="3080" stopIfTrue="1">
      <formula>$B366&lt;&gt;""</formula>
    </cfRule>
  </conditionalFormatting>
  <conditionalFormatting sqref="S366:S369">
    <cfRule type="expression" dxfId="3842" priority="3079" stopIfTrue="1">
      <formula>$C366&lt;&gt;""</formula>
    </cfRule>
  </conditionalFormatting>
  <conditionalFormatting sqref="S366:S369">
    <cfRule type="expression" dxfId="3841" priority="3078" stopIfTrue="1">
      <formula>$B366&lt;&gt;""</formula>
    </cfRule>
  </conditionalFormatting>
  <conditionalFormatting sqref="S366:S369">
    <cfRule type="expression" dxfId="3840" priority="3077" stopIfTrue="1">
      <formula>$C366&lt;&gt;""</formula>
    </cfRule>
  </conditionalFormatting>
  <conditionalFormatting sqref="S366:S369">
    <cfRule type="expression" dxfId="3839" priority="3076" stopIfTrue="1">
      <formula>$B366&lt;&gt;""</formula>
    </cfRule>
  </conditionalFormatting>
  <conditionalFormatting sqref="S366:S369">
    <cfRule type="expression" dxfId="3838" priority="3075" stopIfTrue="1">
      <formula>$C366&lt;&gt;""</formula>
    </cfRule>
  </conditionalFormatting>
  <conditionalFormatting sqref="S366:S369">
    <cfRule type="expression" dxfId="3837" priority="3074" stopIfTrue="1">
      <formula>$B366&lt;&gt;""</formula>
    </cfRule>
  </conditionalFormatting>
  <conditionalFormatting sqref="S366:S369">
    <cfRule type="expression" dxfId="3836" priority="3073" stopIfTrue="1">
      <formula>$C366&lt;&gt;""</formula>
    </cfRule>
  </conditionalFormatting>
  <conditionalFormatting sqref="S366:S369">
    <cfRule type="expression" dxfId="3835" priority="3072" stopIfTrue="1">
      <formula>$B366&lt;&gt;""</formula>
    </cfRule>
  </conditionalFormatting>
  <conditionalFormatting sqref="S366:S369">
    <cfRule type="expression" dxfId="3834" priority="3071" stopIfTrue="1">
      <formula>$C366&lt;&gt;""</formula>
    </cfRule>
  </conditionalFormatting>
  <conditionalFormatting sqref="S366:S369">
    <cfRule type="expression" dxfId="3833" priority="3070" stopIfTrue="1">
      <formula>$B366&lt;&gt;""</formula>
    </cfRule>
  </conditionalFormatting>
  <conditionalFormatting sqref="S366:S369">
    <cfRule type="expression" dxfId="3832" priority="3069" stopIfTrue="1">
      <formula>$C366&lt;&gt;""</formula>
    </cfRule>
  </conditionalFormatting>
  <conditionalFormatting sqref="S366:S369">
    <cfRule type="expression" dxfId="3831" priority="3068" stopIfTrue="1">
      <formula>$B366&lt;&gt;""</formula>
    </cfRule>
  </conditionalFormatting>
  <conditionalFormatting sqref="S366:S369">
    <cfRule type="expression" dxfId="3830" priority="3067" stopIfTrue="1">
      <formula>$C366&lt;&gt;""</formula>
    </cfRule>
  </conditionalFormatting>
  <conditionalFormatting sqref="S366:S369">
    <cfRule type="expression" dxfId="3829" priority="3066" stopIfTrue="1">
      <formula>$B366&lt;&gt;""</formula>
    </cfRule>
  </conditionalFormatting>
  <conditionalFormatting sqref="S366:S369">
    <cfRule type="expression" dxfId="3828" priority="3065" stopIfTrue="1">
      <formula>$C366&lt;&gt;""</formula>
    </cfRule>
  </conditionalFormatting>
  <conditionalFormatting sqref="S366:S368">
    <cfRule type="expression" dxfId="3827" priority="3064" stopIfTrue="1">
      <formula>$B366&lt;&gt;""</formula>
    </cfRule>
  </conditionalFormatting>
  <conditionalFormatting sqref="S366:S368">
    <cfRule type="expression" dxfId="3826" priority="3063" stopIfTrue="1">
      <formula>$C366&lt;&gt;""</formula>
    </cfRule>
  </conditionalFormatting>
  <conditionalFormatting sqref="S369">
    <cfRule type="expression" dxfId="3825" priority="3062" stopIfTrue="1">
      <formula>$B369&lt;&gt;""</formula>
    </cfRule>
  </conditionalFormatting>
  <conditionalFormatting sqref="S369">
    <cfRule type="expression" dxfId="3824" priority="3061" stopIfTrue="1">
      <formula>$C369&lt;&gt;""</formula>
    </cfRule>
  </conditionalFormatting>
  <conditionalFormatting sqref="S366:S367">
    <cfRule type="expression" dxfId="3823" priority="3060" stopIfTrue="1">
      <formula>$B366&lt;&gt;""</formula>
    </cfRule>
  </conditionalFormatting>
  <conditionalFormatting sqref="S366:S367">
    <cfRule type="expression" dxfId="3822" priority="3059" stopIfTrue="1">
      <formula>$C366&lt;&gt;""</formula>
    </cfRule>
  </conditionalFormatting>
  <conditionalFormatting sqref="S368:S369">
    <cfRule type="expression" dxfId="3821" priority="3058" stopIfTrue="1">
      <formula>$B368&lt;&gt;""</formula>
    </cfRule>
  </conditionalFormatting>
  <conditionalFormatting sqref="S368:S369">
    <cfRule type="expression" dxfId="3820" priority="3057" stopIfTrue="1">
      <formula>$C368&lt;&gt;""</formula>
    </cfRule>
  </conditionalFormatting>
  <conditionalFormatting sqref="S366:S368">
    <cfRule type="expression" dxfId="3819" priority="3056" stopIfTrue="1">
      <formula>$B366&lt;&gt;""</formula>
    </cfRule>
  </conditionalFormatting>
  <conditionalFormatting sqref="S366:S368">
    <cfRule type="expression" dxfId="3818" priority="3055" stopIfTrue="1">
      <formula>$C366&lt;&gt;""</formula>
    </cfRule>
  </conditionalFormatting>
  <conditionalFormatting sqref="S366:S368">
    <cfRule type="expression" dxfId="3817" priority="3054" stopIfTrue="1">
      <formula>$B366&lt;&gt;""</formula>
    </cfRule>
  </conditionalFormatting>
  <conditionalFormatting sqref="S366:S368">
    <cfRule type="expression" dxfId="3816" priority="3053" stopIfTrue="1">
      <formula>$C366&lt;&gt;""</formula>
    </cfRule>
  </conditionalFormatting>
  <conditionalFormatting sqref="S369">
    <cfRule type="expression" dxfId="3815" priority="3052" stopIfTrue="1">
      <formula>$B369&lt;&gt;""</formula>
    </cfRule>
  </conditionalFormatting>
  <conditionalFormatting sqref="S369">
    <cfRule type="expression" dxfId="3814" priority="3051" stopIfTrue="1">
      <formula>$C369&lt;&gt;""</formula>
    </cfRule>
  </conditionalFormatting>
  <conditionalFormatting sqref="S366:S368">
    <cfRule type="expression" dxfId="3813" priority="3050" stopIfTrue="1">
      <formula>$B366&lt;&gt;""</formula>
    </cfRule>
  </conditionalFormatting>
  <conditionalFormatting sqref="S366:S368">
    <cfRule type="expression" dxfId="3812" priority="3049" stopIfTrue="1">
      <formula>$C366&lt;&gt;""</formula>
    </cfRule>
  </conditionalFormatting>
  <conditionalFormatting sqref="S369">
    <cfRule type="expression" dxfId="3811" priority="3048" stopIfTrue="1">
      <formula>$B369&lt;&gt;""</formula>
    </cfRule>
  </conditionalFormatting>
  <conditionalFormatting sqref="S369">
    <cfRule type="expression" dxfId="3810" priority="3047" stopIfTrue="1">
      <formula>$C369&lt;&gt;""</formula>
    </cfRule>
  </conditionalFormatting>
  <conditionalFormatting sqref="S369">
    <cfRule type="expression" dxfId="3809" priority="3046" stopIfTrue="1">
      <formula>$B369&lt;&gt;""</formula>
    </cfRule>
  </conditionalFormatting>
  <conditionalFormatting sqref="S369">
    <cfRule type="expression" dxfId="3808" priority="3045" stopIfTrue="1">
      <formula>$C369&lt;&gt;""</formula>
    </cfRule>
  </conditionalFormatting>
  <conditionalFormatting sqref="S366:S369">
    <cfRule type="expression" dxfId="3807" priority="3044" stopIfTrue="1">
      <formula>$C366&lt;&gt;""</formula>
    </cfRule>
  </conditionalFormatting>
  <conditionalFormatting sqref="S366:S369">
    <cfRule type="expression" dxfId="3806" priority="3043" stopIfTrue="1">
      <formula>$B366&lt;&gt;""</formula>
    </cfRule>
  </conditionalFormatting>
  <conditionalFormatting sqref="S368:S369">
    <cfRule type="expression" dxfId="3805" priority="3042" stopIfTrue="1">
      <formula>$C368&lt;&gt;""</formula>
    </cfRule>
  </conditionalFormatting>
  <conditionalFormatting sqref="S368:S369">
    <cfRule type="expression" dxfId="3804" priority="3041" stopIfTrue="1">
      <formula>$B368&lt;&gt;""</formula>
    </cfRule>
  </conditionalFormatting>
  <conditionalFormatting sqref="S366:S368">
    <cfRule type="expression" dxfId="3803" priority="3040" stopIfTrue="1">
      <formula>$B366&lt;&gt;""</formula>
    </cfRule>
  </conditionalFormatting>
  <conditionalFormatting sqref="S366:S368">
    <cfRule type="expression" dxfId="3802" priority="3039" stopIfTrue="1">
      <formula>$C366&lt;&gt;""</formula>
    </cfRule>
  </conditionalFormatting>
  <conditionalFormatting sqref="S369">
    <cfRule type="expression" dxfId="3801" priority="3038" stopIfTrue="1">
      <formula>$B369&lt;&gt;""</formula>
    </cfRule>
  </conditionalFormatting>
  <conditionalFormatting sqref="S369">
    <cfRule type="expression" dxfId="3800" priority="3037" stopIfTrue="1">
      <formula>$C369&lt;&gt;""</formula>
    </cfRule>
  </conditionalFormatting>
  <conditionalFormatting sqref="S366:S367">
    <cfRule type="expression" dxfId="3799" priority="3036" stopIfTrue="1">
      <formula>$B366&lt;&gt;""</formula>
    </cfRule>
  </conditionalFormatting>
  <conditionalFormatting sqref="S366:S367">
    <cfRule type="expression" dxfId="3798" priority="3035" stopIfTrue="1">
      <formula>$C366&lt;&gt;""</formula>
    </cfRule>
  </conditionalFormatting>
  <conditionalFormatting sqref="S368:S369">
    <cfRule type="expression" dxfId="3797" priority="3034" stopIfTrue="1">
      <formula>$B368&lt;&gt;""</formula>
    </cfRule>
  </conditionalFormatting>
  <conditionalFormatting sqref="S368:S369">
    <cfRule type="expression" dxfId="3796" priority="3033" stopIfTrue="1">
      <formula>$C368&lt;&gt;""</formula>
    </cfRule>
  </conditionalFormatting>
  <conditionalFormatting sqref="S366:S368">
    <cfRule type="expression" dxfId="3795" priority="3032" stopIfTrue="1">
      <formula>$B366&lt;&gt;""</formula>
    </cfRule>
  </conditionalFormatting>
  <conditionalFormatting sqref="S366:S368">
    <cfRule type="expression" dxfId="3794" priority="3031" stopIfTrue="1">
      <formula>$C366&lt;&gt;""</formula>
    </cfRule>
  </conditionalFormatting>
  <conditionalFormatting sqref="S366:S368">
    <cfRule type="expression" dxfId="3793" priority="3030" stopIfTrue="1">
      <formula>$B366&lt;&gt;""</formula>
    </cfRule>
  </conditionalFormatting>
  <conditionalFormatting sqref="S366:S368">
    <cfRule type="expression" dxfId="3792" priority="3029" stopIfTrue="1">
      <formula>$C366&lt;&gt;""</formula>
    </cfRule>
  </conditionalFormatting>
  <conditionalFormatting sqref="S369">
    <cfRule type="expression" dxfId="3791" priority="3028" stopIfTrue="1">
      <formula>$B369&lt;&gt;""</formula>
    </cfRule>
  </conditionalFormatting>
  <conditionalFormatting sqref="S369">
    <cfRule type="expression" dxfId="3790" priority="3027" stopIfTrue="1">
      <formula>$C369&lt;&gt;""</formula>
    </cfRule>
  </conditionalFormatting>
  <conditionalFormatting sqref="S366:S368">
    <cfRule type="expression" dxfId="3789" priority="3026" stopIfTrue="1">
      <formula>$B366&lt;&gt;""</formula>
    </cfRule>
  </conditionalFormatting>
  <conditionalFormatting sqref="S366:S368">
    <cfRule type="expression" dxfId="3788" priority="3025" stopIfTrue="1">
      <formula>$C366&lt;&gt;""</formula>
    </cfRule>
  </conditionalFormatting>
  <conditionalFormatting sqref="S369">
    <cfRule type="expression" dxfId="3787" priority="3024" stopIfTrue="1">
      <formula>$B369&lt;&gt;""</formula>
    </cfRule>
  </conditionalFormatting>
  <conditionalFormatting sqref="S369">
    <cfRule type="expression" dxfId="3786" priority="3023" stopIfTrue="1">
      <formula>$C369&lt;&gt;""</formula>
    </cfRule>
  </conditionalFormatting>
  <conditionalFormatting sqref="S369">
    <cfRule type="expression" dxfId="3785" priority="3022" stopIfTrue="1">
      <formula>$B369&lt;&gt;""</formula>
    </cfRule>
  </conditionalFormatting>
  <conditionalFormatting sqref="S369">
    <cfRule type="expression" dxfId="3784" priority="3021" stopIfTrue="1">
      <formula>$C369&lt;&gt;""</formula>
    </cfRule>
  </conditionalFormatting>
  <conditionalFormatting sqref="S366:S369">
    <cfRule type="expression" dxfId="3783" priority="3020" stopIfTrue="1">
      <formula>$C366&lt;&gt;""</formula>
    </cfRule>
  </conditionalFormatting>
  <conditionalFormatting sqref="S366:S369">
    <cfRule type="expression" dxfId="3782" priority="3019" stopIfTrue="1">
      <formula>$B366&lt;&gt;""</formula>
    </cfRule>
  </conditionalFormatting>
  <conditionalFormatting sqref="S368:S369">
    <cfRule type="expression" dxfId="3781" priority="3018" stopIfTrue="1">
      <formula>$C368&lt;&gt;""</formula>
    </cfRule>
  </conditionalFormatting>
  <conditionalFormatting sqref="S368:S369">
    <cfRule type="expression" dxfId="3780" priority="3017" stopIfTrue="1">
      <formula>$B368&lt;&gt;""</formula>
    </cfRule>
  </conditionalFormatting>
  <conditionalFormatting sqref="S370">
    <cfRule type="expression" dxfId="3779" priority="3016" stopIfTrue="1">
      <formula>$B370&lt;&gt;""</formula>
    </cfRule>
  </conditionalFormatting>
  <conditionalFormatting sqref="S370">
    <cfRule type="expression" dxfId="3778" priority="3015" stopIfTrue="1">
      <formula>$C370&lt;&gt;""</formula>
    </cfRule>
  </conditionalFormatting>
  <conditionalFormatting sqref="S370">
    <cfRule type="expression" dxfId="3777" priority="3014" stopIfTrue="1">
      <formula>$B370&lt;&gt;""</formula>
    </cfRule>
  </conditionalFormatting>
  <conditionalFormatting sqref="S370">
    <cfRule type="expression" dxfId="3776" priority="3013" stopIfTrue="1">
      <formula>$C370&lt;&gt;""</formula>
    </cfRule>
  </conditionalFormatting>
  <conditionalFormatting sqref="S370">
    <cfRule type="expression" dxfId="3775" priority="3012" stopIfTrue="1">
      <formula>$B370&lt;&gt;""</formula>
    </cfRule>
  </conditionalFormatting>
  <conditionalFormatting sqref="S370">
    <cfRule type="expression" dxfId="3774" priority="3011" stopIfTrue="1">
      <formula>$C370&lt;&gt;""</formula>
    </cfRule>
  </conditionalFormatting>
  <conditionalFormatting sqref="S370">
    <cfRule type="expression" dxfId="3773" priority="3010" stopIfTrue="1">
      <formula>$B370&lt;&gt;""</formula>
    </cfRule>
  </conditionalFormatting>
  <conditionalFormatting sqref="S370">
    <cfRule type="expression" dxfId="3772" priority="3009" stopIfTrue="1">
      <formula>$C370&lt;&gt;""</formula>
    </cfRule>
  </conditionalFormatting>
  <conditionalFormatting sqref="S370">
    <cfRule type="expression" dxfId="3771" priority="3008" stopIfTrue="1">
      <formula>$B370&lt;&gt;""</formula>
    </cfRule>
  </conditionalFormatting>
  <conditionalFormatting sqref="S370">
    <cfRule type="expression" dxfId="3770" priority="3007" stopIfTrue="1">
      <formula>$C370&lt;&gt;""</formula>
    </cfRule>
  </conditionalFormatting>
  <conditionalFormatting sqref="S370">
    <cfRule type="expression" dxfId="3769" priority="3006" stopIfTrue="1">
      <formula>$B370&lt;&gt;""</formula>
    </cfRule>
  </conditionalFormatting>
  <conditionalFormatting sqref="S370">
    <cfRule type="expression" dxfId="3768" priority="3005" stopIfTrue="1">
      <formula>$C370&lt;&gt;""</formula>
    </cfRule>
  </conditionalFormatting>
  <conditionalFormatting sqref="S370">
    <cfRule type="expression" dxfId="3767" priority="3004" stopIfTrue="1">
      <formula>$B370&lt;&gt;""</formula>
    </cfRule>
  </conditionalFormatting>
  <conditionalFormatting sqref="S370">
    <cfRule type="expression" dxfId="3766" priority="3003" stopIfTrue="1">
      <formula>$C370&lt;&gt;""</formula>
    </cfRule>
  </conditionalFormatting>
  <conditionalFormatting sqref="S370">
    <cfRule type="expression" dxfId="3765" priority="3002" stopIfTrue="1">
      <formula>$B370&lt;&gt;""</formula>
    </cfRule>
  </conditionalFormatting>
  <conditionalFormatting sqref="S370">
    <cfRule type="expression" dxfId="3764" priority="3001" stopIfTrue="1">
      <formula>$C370&lt;&gt;""</formula>
    </cfRule>
  </conditionalFormatting>
  <conditionalFormatting sqref="S370">
    <cfRule type="expression" dxfId="3763" priority="3000" stopIfTrue="1">
      <formula>$B370&lt;&gt;""</formula>
    </cfRule>
  </conditionalFormatting>
  <conditionalFormatting sqref="S370">
    <cfRule type="expression" dxfId="3762" priority="2999" stopIfTrue="1">
      <formula>$C370&lt;&gt;""</formula>
    </cfRule>
  </conditionalFormatting>
  <conditionalFormatting sqref="S370">
    <cfRule type="expression" dxfId="3761" priority="2998" stopIfTrue="1">
      <formula>$B370&lt;&gt;""</formula>
    </cfRule>
  </conditionalFormatting>
  <conditionalFormatting sqref="S370">
    <cfRule type="expression" dxfId="3760" priority="2997" stopIfTrue="1">
      <formula>$C370&lt;&gt;""</formula>
    </cfRule>
  </conditionalFormatting>
  <conditionalFormatting sqref="S370">
    <cfRule type="expression" dxfId="3759" priority="2996" stopIfTrue="1">
      <formula>$B370&lt;&gt;""</formula>
    </cfRule>
  </conditionalFormatting>
  <conditionalFormatting sqref="S370">
    <cfRule type="expression" dxfId="3758" priority="2995" stopIfTrue="1">
      <formula>$C370&lt;&gt;""</formula>
    </cfRule>
  </conditionalFormatting>
  <conditionalFormatting sqref="S370">
    <cfRule type="expression" dxfId="3757" priority="2994" stopIfTrue="1">
      <formula>$B370&lt;&gt;""</formula>
    </cfRule>
  </conditionalFormatting>
  <conditionalFormatting sqref="S370">
    <cfRule type="expression" dxfId="3756" priority="2993" stopIfTrue="1">
      <formula>$C370&lt;&gt;""</formula>
    </cfRule>
  </conditionalFormatting>
  <conditionalFormatting sqref="S370">
    <cfRule type="expression" dxfId="3755" priority="2992" stopIfTrue="1">
      <formula>$B370&lt;&gt;""</formula>
    </cfRule>
  </conditionalFormatting>
  <conditionalFormatting sqref="S370">
    <cfRule type="expression" dxfId="3754" priority="2991" stopIfTrue="1">
      <formula>$C370&lt;&gt;""</formula>
    </cfRule>
  </conditionalFormatting>
  <conditionalFormatting sqref="S370">
    <cfRule type="expression" dxfId="3753" priority="2990" stopIfTrue="1">
      <formula>$B370&lt;&gt;""</formula>
    </cfRule>
  </conditionalFormatting>
  <conditionalFormatting sqref="S370">
    <cfRule type="expression" dxfId="3752" priority="2989" stopIfTrue="1">
      <formula>$C370&lt;&gt;""</formula>
    </cfRule>
  </conditionalFormatting>
  <conditionalFormatting sqref="S370">
    <cfRule type="expression" dxfId="3751" priority="2988" stopIfTrue="1">
      <formula>$C370&lt;&gt;""</formula>
    </cfRule>
  </conditionalFormatting>
  <conditionalFormatting sqref="S370">
    <cfRule type="expression" dxfId="3750" priority="2987" stopIfTrue="1">
      <formula>$B370&lt;&gt;""</formula>
    </cfRule>
  </conditionalFormatting>
  <conditionalFormatting sqref="S370">
    <cfRule type="expression" dxfId="3749" priority="2986" stopIfTrue="1">
      <formula>$C370&lt;&gt;""</formula>
    </cfRule>
  </conditionalFormatting>
  <conditionalFormatting sqref="S370">
    <cfRule type="expression" dxfId="3748" priority="2985" stopIfTrue="1">
      <formula>$B370&lt;&gt;""</formula>
    </cfRule>
  </conditionalFormatting>
  <conditionalFormatting sqref="S370">
    <cfRule type="expression" dxfId="3747" priority="2984" stopIfTrue="1">
      <formula>$B370&lt;&gt;""</formula>
    </cfRule>
  </conditionalFormatting>
  <conditionalFormatting sqref="S370">
    <cfRule type="expression" dxfId="3746" priority="2983" stopIfTrue="1">
      <formula>$C370&lt;&gt;""</formula>
    </cfRule>
  </conditionalFormatting>
  <conditionalFormatting sqref="S370">
    <cfRule type="expression" dxfId="3745" priority="2982" stopIfTrue="1">
      <formula>$B370&lt;&gt;""</formula>
    </cfRule>
  </conditionalFormatting>
  <conditionalFormatting sqref="S370">
    <cfRule type="expression" dxfId="3744" priority="2981" stopIfTrue="1">
      <formula>$C370&lt;&gt;""</formula>
    </cfRule>
  </conditionalFormatting>
  <conditionalFormatting sqref="S370">
    <cfRule type="expression" dxfId="3743" priority="2980" stopIfTrue="1">
      <formula>$B370&lt;&gt;""</formula>
    </cfRule>
  </conditionalFormatting>
  <conditionalFormatting sqref="S370">
    <cfRule type="expression" dxfId="3742" priority="2979" stopIfTrue="1">
      <formula>$C370&lt;&gt;""</formula>
    </cfRule>
  </conditionalFormatting>
  <conditionalFormatting sqref="S370">
    <cfRule type="expression" dxfId="3741" priority="2978" stopIfTrue="1">
      <formula>$B370&lt;&gt;""</formula>
    </cfRule>
  </conditionalFormatting>
  <conditionalFormatting sqref="S370">
    <cfRule type="expression" dxfId="3740" priority="2977" stopIfTrue="1">
      <formula>$C370&lt;&gt;""</formula>
    </cfRule>
  </conditionalFormatting>
  <conditionalFormatting sqref="S370">
    <cfRule type="expression" dxfId="3739" priority="2976" stopIfTrue="1">
      <formula>$B370&lt;&gt;""</formula>
    </cfRule>
  </conditionalFormatting>
  <conditionalFormatting sqref="S370">
    <cfRule type="expression" dxfId="3738" priority="2975" stopIfTrue="1">
      <formula>$C370&lt;&gt;""</formula>
    </cfRule>
  </conditionalFormatting>
  <conditionalFormatting sqref="S370">
    <cfRule type="expression" dxfId="3737" priority="2974" stopIfTrue="1">
      <formula>$C370&lt;&gt;""</formula>
    </cfRule>
  </conditionalFormatting>
  <conditionalFormatting sqref="S370">
    <cfRule type="expression" dxfId="3736" priority="2973" stopIfTrue="1">
      <formula>$B370&lt;&gt;""</formula>
    </cfRule>
  </conditionalFormatting>
  <conditionalFormatting sqref="S370">
    <cfRule type="expression" dxfId="3735" priority="2972" stopIfTrue="1">
      <formula>$C370&lt;&gt;""</formula>
    </cfRule>
  </conditionalFormatting>
  <conditionalFormatting sqref="S370">
    <cfRule type="expression" dxfId="3734" priority="2971" stopIfTrue="1">
      <formula>$B370&lt;&gt;""</formula>
    </cfRule>
  </conditionalFormatting>
  <conditionalFormatting sqref="S370">
    <cfRule type="expression" dxfId="3733" priority="2970" stopIfTrue="1">
      <formula>$B370&lt;&gt;""</formula>
    </cfRule>
  </conditionalFormatting>
  <conditionalFormatting sqref="S370">
    <cfRule type="expression" dxfId="3732" priority="2969" stopIfTrue="1">
      <formula>$C370&lt;&gt;""</formula>
    </cfRule>
  </conditionalFormatting>
  <conditionalFormatting sqref="S371">
    <cfRule type="expression" dxfId="3731" priority="2968" stopIfTrue="1">
      <formula>$B371&lt;&gt;""</formula>
    </cfRule>
  </conditionalFormatting>
  <conditionalFormatting sqref="S371">
    <cfRule type="expression" dxfId="3730" priority="2967" stopIfTrue="1">
      <formula>$C371&lt;&gt;""</formula>
    </cfRule>
  </conditionalFormatting>
  <conditionalFormatting sqref="S370">
    <cfRule type="expression" dxfId="3729" priority="2966" stopIfTrue="1">
      <formula>$B370&lt;&gt;""</formula>
    </cfRule>
  </conditionalFormatting>
  <conditionalFormatting sqref="S370">
    <cfRule type="expression" dxfId="3728" priority="2965" stopIfTrue="1">
      <formula>$C370&lt;&gt;""</formula>
    </cfRule>
  </conditionalFormatting>
  <conditionalFormatting sqref="S371:S374">
    <cfRule type="expression" dxfId="3727" priority="2964" stopIfTrue="1">
      <formula>$B371&lt;&gt;""</formula>
    </cfRule>
  </conditionalFormatting>
  <conditionalFormatting sqref="S371:S374">
    <cfRule type="expression" dxfId="3726" priority="2963" stopIfTrue="1">
      <formula>$C371&lt;&gt;""</formula>
    </cfRule>
  </conditionalFormatting>
  <conditionalFormatting sqref="S370">
    <cfRule type="expression" dxfId="3725" priority="2962" stopIfTrue="1">
      <formula>$B370&lt;&gt;""</formula>
    </cfRule>
  </conditionalFormatting>
  <conditionalFormatting sqref="S370">
    <cfRule type="expression" dxfId="3724" priority="2961" stopIfTrue="1">
      <formula>$C370&lt;&gt;""</formula>
    </cfRule>
  </conditionalFormatting>
  <conditionalFormatting sqref="S371:S374">
    <cfRule type="expression" dxfId="3723" priority="2960" stopIfTrue="1">
      <formula>$B371&lt;&gt;""</formula>
    </cfRule>
  </conditionalFormatting>
  <conditionalFormatting sqref="S371:S374">
    <cfRule type="expression" dxfId="3722" priority="2959" stopIfTrue="1">
      <formula>$C371&lt;&gt;""</formula>
    </cfRule>
  </conditionalFormatting>
  <conditionalFormatting sqref="S370:S374">
    <cfRule type="expression" dxfId="3721" priority="2958" stopIfTrue="1">
      <formula>$B370&lt;&gt;""</formula>
    </cfRule>
  </conditionalFormatting>
  <conditionalFormatting sqref="S370:S374">
    <cfRule type="expression" dxfId="3720" priority="2957" stopIfTrue="1">
      <formula>$C370&lt;&gt;""</formula>
    </cfRule>
  </conditionalFormatting>
  <conditionalFormatting sqref="S370:S374">
    <cfRule type="expression" dxfId="3719" priority="2956" stopIfTrue="1">
      <formula>$B370&lt;&gt;""</formula>
    </cfRule>
  </conditionalFormatting>
  <conditionalFormatting sqref="S370:S374">
    <cfRule type="expression" dxfId="3718" priority="2955" stopIfTrue="1">
      <formula>$C370&lt;&gt;""</formula>
    </cfRule>
  </conditionalFormatting>
  <conditionalFormatting sqref="S370:S374">
    <cfRule type="expression" dxfId="3717" priority="2954" stopIfTrue="1">
      <formula>$B370&lt;&gt;""</formula>
    </cfRule>
  </conditionalFormatting>
  <conditionalFormatting sqref="S370:S374">
    <cfRule type="expression" dxfId="3716" priority="2953" stopIfTrue="1">
      <formula>$C370&lt;&gt;""</formula>
    </cfRule>
  </conditionalFormatting>
  <conditionalFormatting sqref="S370:S374">
    <cfRule type="expression" dxfId="3715" priority="2952" stopIfTrue="1">
      <formula>$B370&lt;&gt;""</formula>
    </cfRule>
  </conditionalFormatting>
  <conditionalFormatting sqref="S370:S374">
    <cfRule type="expression" dxfId="3714" priority="2951" stopIfTrue="1">
      <formula>$C370&lt;&gt;""</formula>
    </cfRule>
  </conditionalFormatting>
  <conditionalFormatting sqref="S370:S374">
    <cfRule type="expression" dxfId="3713" priority="2950" stopIfTrue="1">
      <formula>$B370&lt;&gt;""</formula>
    </cfRule>
  </conditionalFormatting>
  <conditionalFormatting sqref="S370:S374">
    <cfRule type="expression" dxfId="3712" priority="2949" stopIfTrue="1">
      <formula>$C370&lt;&gt;""</formula>
    </cfRule>
  </conditionalFormatting>
  <conditionalFormatting sqref="S370:S374">
    <cfRule type="expression" dxfId="3711" priority="2948" stopIfTrue="1">
      <formula>$B370&lt;&gt;""</formula>
    </cfRule>
  </conditionalFormatting>
  <conditionalFormatting sqref="S370:S374">
    <cfRule type="expression" dxfId="3710" priority="2947" stopIfTrue="1">
      <formula>$C370&lt;&gt;""</formula>
    </cfRule>
  </conditionalFormatting>
  <conditionalFormatting sqref="S370:S374">
    <cfRule type="expression" dxfId="3709" priority="2946" stopIfTrue="1">
      <formula>$B370&lt;&gt;""</formula>
    </cfRule>
  </conditionalFormatting>
  <conditionalFormatting sqref="S370:S374">
    <cfRule type="expression" dxfId="3708" priority="2945" stopIfTrue="1">
      <formula>$C370&lt;&gt;""</formula>
    </cfRule>
  </conditionalFormatting>
  <conditionalFormatting sqref="S370:S373">
    <cfRule type="expression" dxfId="3707" priority="2944" stopIfTrue="1">
      <formula>$B370&lt;&gt;""</formula>
    </cfRule>
  </conditionalFormatting>
  <conditionalFormatting sqref="S370:S373">
    <cfRule type="expression" dxfId="3706" priority="2943" stopIfTrue="1">
      <formula>$C370&lt;&gt;""</formula>
    </cfRule>
  </conditionalFormatting>
  <conditionalFormatting sqref="S374">
    <cfRule type="expression" dxfId="3705" priority="2942" stopIfTrue="1">
      <formula>$B374&lt;&gt;""</formula>
    </cfRule>
  </conditionalFormatting>
  <conditionalFormatting sqref="S374">
    <cfRule type="expression" dxfId="3704" priority="2941" stopIfTrue="1">
      <formula>$C374&lt;&gt;""</formula>
    </cfRule>
  </conditionalFormatting>
  <conditionalFormatting sqref="S370:S372">
    <cfRule type="expression" dxfId="3703" priority="2940" stopIfTrue="1">
      <formula>$B370&lt;&gt;""</formula>
    </cfRule>
  </conditionalFormatting>
  <conditionalFormatting sqref="S370:S372">
    <cfRule type="expression" dxfId="3702" priority="2939" stopIfTrue="1">
      <formula>$C370&lt;&gt;""</formula>
    </cfRule>
  </conditionalFormatting>
  <conditionalFormatting sqref="S373:S374">
    <cfRule type="expression" dxfId="3701" priority="2938" stopIfTrue="1">
      <formula>$B373&lt;&gt;""</formula>
    </cfRule>
  </conditionalFormatting>
  <conditionalFormatting sqref="S373:S374">
    <cfRule type="expression" dxfId="3700" priority="2937" stopIfTrue="1">
      <formula>$C373&lt;&gt;""</formula>
    </cfRule>
  </conditionalFormatting>
  <conditionalFormatting sqref="S370:S373">
    <cfRule type="expression" dxfId="3699" priority="2936" stopIfTrue="1">
      <formula>$B370&lt;&gt;""</formula>
    </cfRule>
  </conditionalFormatting>
  <conditionalFormatting sqref="S370:S373">
    <cfRule type="expression" dxfId="3698" priority="2935" stopIfTrue="1">
      <formula>$C370&lt;&gt;""</formula>
    </cfRule>
  </conditionalFormatting>
  <conditionalFormatting sqref="S370:S373">
    <cfRule type="expression" dxfId="3697" priority="2934" stopIfTrue="1">
      <formula>$B370&lt;&gt;""</formula>
    </cfRule>
  </conditionalFormatting>
  <conditionalFormatting sqref="S370:S373">
    <cfRule type="expression" dxfId="3696" priority="2933" stopIfTrue="1">
      <formula>$C370&lt;&gt;""</formula>
    </cfRule>
  </conditionalFormatting>
  <conditionalFormatting sqref="S374">
    <cfRule type="expression" dxfId="3695" priority="2932" stopIfTrue="1">
      <formula>$B374&lt;&gt;""</formula>
    </cfRule>
  </conditionalFormatting>
  <conditionalFormatting sqref="S374">
    <cfRule type="expression" dxfId="3694" priority="2931" stopIfTrue="1">
      <formula>$C374&lt;&gt;""</formula>
    </cfRule>
  </conditionalFormatting>
  <conditionalFormatting sqref="S370:S373">
    <cfRule type="expression" dxfId="3693" priority="2930" stopIfTrue="1">
      <formula>$B370&lt;&gt;""</formula>
    </cfRule>
  </conditionalFormatting>
  <conditionalFormatting sqref="S370:S373">
    <cfRule type="expression" dxfId="3692" priority="2929" stopIfTrue="1">
      <formula>$C370&lt;&gt;""</formula>
    </cfRule>
  </conditionalFormatting>
  <conditionalFormatting sqref="S374">
    <cfRule type="expression" dxfId="3691" priority="2928" stopIfTrue="1">
      <formula>$B374&lt;&gt;""</formula>
    </cfRule>
  </conditionalFormatting>
  <conditionalFormatting sqref="S374">
    <cfRule type="expression" dxfId="3690" priority="2927" stopIfTrue="1">
      <formula>$C374&lt;&gt;""</formula>
    </cfRule>
  </conditionalFormatting>
  <conditionalFormatting sqref="S374">
    <cfRule type="expression" dxfId="3689" priority="2926" stopIfTrue="1">
      <formula>$B374&lt;&gt;""</formula>
    </cfRule>
  </conditionalFormatting>
  <conditionalFormatting sqref="S374">
    <cfRule type="expression" dxfId="3688" priority="2925" stopIfTrue="1">
      <formula>$C374&lt;&gt;""</formula>
    </cfRule>
  </conditionalFormatting>
  <conditionalFormatting sqref="S370">
    <cfRule type="expression" dxfId="3687" priority="2924" stopIfTrue="1">
      <formula>$C370&lt;&gt;""</formula>
    </cfRule>
  </conditionalFormatting>
  <conditionalFormatting sqref="S370">
    <cfRule type="expression" dxfId="3686" priority="2923" stopIfTrue="1">
      <formula>$B370&lt;&gt;""</formula>
    </cfRule>
  </conditionalFormatting>
  <conditionalFormatting sqref="S371:S374">
    <cfRule type="expression" dxfId="3685" priority="2922" stopIfTrue="1">
      <formula>$C371&lt;&gt;""</formula>
    </cfRule>
  </conditionalFormatting>
  <conditionalFormatting sqref="S371:S374">
    <cfRule type="expression" dxfId="3684" priority="2921" stopIfTrue="1">
      <formula>$B371&lt;&gt;""</formula>
    </cfRule>
  </conditionalFormatting>
  <conditionalFormatting sqref="S373:S374">
    <cfRule type="expression" dxfId="3683" priority="2920" stopIfTrue="1">
      <formula>$C373&lt;&gt;""</formula>
    </cfRule>
  </conditionalFormatting>
  <conditionalFormatting sqref="S373:S374">
    <cfRule type="expression" dxfId="3682" priority="2919" stopIfTrue="1">
      <formula>$B373&lt;&gt;""</formula>
    </cfRule>
  </conditionalFormatting>
  <conditionalFormatting sqref="S370:S373">
    <cfRule type="expression" dxfId="3681" priority="2918" stopIfTrue="1">
      <formula>$B370&lt;&gt;""</formula>
    </cfRule>
  </conditionalFormatting>
  <conditionalFormatting sqref="S370:S373">
    <cfRule type="expression" dxfId="3680" priority="2917" stopIfTrue="1">
      <formula>$C370&lt;&gt;""</formula>
    </cfRule>
  </conditionalFormatting>
  <conditionalFormatting sqref="S374">
    <cfRule type="expression" dxfId="3679" priority="2916" stopIfTrue="1">
      <formula>$B374&lt;&gt;""</formula>
    </cfRule>
  </conditionalFormatting>
  <conditionalFormatting sqref="S374">
    <cfRule type="expression" dxfId="3678" priority="2915" stopIfTrue="1">
      <formula>$C374&lt;&gt;""</formula>
    </cfRule>
  </conditionalFormatting>
  <conditionalFormatting sqref="S370:S372">
    <cfRule type="expression" dxfId="3677" priority="2914" stopIfTrue="1">
      <formula>$B370&lt;&gt;""</formula>
    </cfRule>
  </conditionalFormatting>
  <conditionalFormatting sqref="S370:S372">
    <cfRule type="expression" dxfId="3676" priority="2913" stopIfTrue="1">
      <formula>$C370&lt;&gt;""</formula>
    </cfRule>
  </conditionalFormatting>
  <conditionalFormatting sqref="S373:S374">
    <cfRule type="expression" dxfId="3675" priority="2912" stopIfTrue="1">
      <formula>$B373&lt;&gt;""</formula>
    </cfRule>
  </conditionalFormatting>
  <conditionalFormatting sqref="S373:S374">
    <cfRule type="expression" dxfId="3674" priority="2911" stopIfTrue="1">
      <formula>$C373&lt;&gt;""</formula>
    </cfRule>
  </conditionalFormatting>
  <conditionalFormatting sqref="S370:S373">
    <cfRule type="expression" dxfId="3673" priority="2910" stopIfTrue="1">
      <formula>$B370&lt;&gt;""</formula>
    </cfRule>
  </conditionalFormatting>
  <conditionalFormatting sqref="S370:S373">
    <cfRule type="expression" dxfId="3672" priority="2909" stopIfTrue="1">
      <formula>$C370&lt;&gt;""</formula>
    </cfRule>
  </conditionalFormatting>
  <conditionalFormatting sqref="S370:S373">
    <cfRule type="expression" dxfId="3671" priority="2908" stopIfTrue="1">
      <formula>$B370&lt;&gt;""</formula>
    </cfRule>
  </conditionalFormatting>
  <conditionalFormatting sqref="S370:S373">
    <cfRule type="expression" dxfId="3670" priority="2907" stopIfTrue="1">
      <formula>$C370&lt;&gt;""</formula>
    </cfRule>
  </conditionalFormatting>
  <conditionalFormatting sqref="S374">
    <cfRule type="expression" dxfId="3669" priority="2906" stopIfTrue="1">
      <formula>$B374&lt;&gt;""</formula>
    </cfRule>
  </conditionalFormatting>
  <conditionalFormatting sqref="S374">
    <cfRule type="expression" dxfId="3668" priority="2905" stopIfTrue="1">
      <formula>$C374&lt;&gt;""</formula>
    </cfRule>
  </conditionalFormatting>
  <conditionalFormatting sqref="S370:S373">
    <cfRule type="expression" dxfId="3667" priority="2904" stopIfTrue="1">
      <formula>$B370&lt;&gt;""</formula>
    </cfRule>
  </conditionalFormatting>
  <conditionalFormatting sqref="S370:S373">
    <cfRule type="expression" dxfId="3666" priority="2903" stopIfTrue="1">
      <formula>$C370&lt;&gt;""</formula>
    </cfRule>
  </conditionalFormatting>
  <conditionalFormatting sqref="S374">
    <cfRule type="expression" dxfId="3665" priority="2902" stopIfTrue="1">
      <formula>$B374&lt;&gt;""</formula>
    </cfRule>
  </conditionalFormatting>
  <conditionalFormatting sqref="S374">
    <cfRule type="expression" dxfId="3664" priority="2901" stopIfTrue="1">
      <formula>$C374&lt;&gt;""</formula>
    </cfRule>
  </conditionalFormatting>
  <conditionalFormatting sqref="S374">
    <cfRule type="expression" dxfId="3663" priority="2900" stopIfTrue="1">
      <formula>$B374&lt;&gt;""</formula>
    </cfRule>
  </conditionalFormatting>
  <conditionalFormatting sqref="S374">
    <cfRule type="expression" dxfId="3662" priority="2899" stopIfTrue="1">
      <formula>$C374&lt;&gt;""</formula>
    </cfRule>
  </conditionalFormatting>
  <conditionalFormatting sqref="S370">
    <cfRule type="expression" dxfId="3661" priority="2898" stopIfTrue="1">
      <formula>$C370&lt;&gt;""</formula>
    </cfRule>
  </conditionalFormatting>
  <conditionalFormatting sqref="S370">
    <cfRule type="expression" dxfId="3660" priority="2897" stopIfTrue="1">
      <formula>$B370&lt;&gt;""</formula>
    </cfRule>
  </conditionalFormatting>
  <conditionalFormatting sqref="S371:S374">
    <cfRule type="expression" dxfId="3659" priority="2896" stopIfTrue="1">
      <formula>$C371&lt;&gt;""</formula>
    </cfRule>
  </conditionalFormatting>
  <conditionalFormatting sqref="S371:S374">
    <cfRule type="expression" dxfId="3658" priority="2895" stopIfTrue="1">
      <formula>$B371&lt;&gt;""</formula>
    </cfRule>
  </conditionalFormatting>
  <conditionalFormatting sqref="S373:S374">
    <cfRule type="expression" dxfId="3657" priority="2894" stopIfTrue="1">
      <formula>$C373&lt;&gt;""</formula>
    </cfRule>
  </conditionalFormatting>
  <conditionalFormatting sqref="S373:S374">
    <cfRule type="expression" dxfId="3656" priority="2893" stopIfTrue="1">
      <formula>$B373&lt;&gt;""</formula>
    </cfRule>
  </conditionalFormatting>
  <conditionalFormatting sqref="S370">
    <cfRule type="expression" dxfId="3655" priority="2892" stopIfTrue="1">
      <formula>$B370&lt;&gt;""</formula>
    </cfRule>
  </conditionalFormatting>
  <conditionalFormatting sqref="S370">
    <cfRule type="expression" dxfId="3654" priority="2891" stopIfTrue="1">
      <formula>$C370&lt;&gt;""</formula>
    </cfRule>
  </conditionalFormatting>
  <conditionalFormatting sqref="S370">
    <cfRule type="expression" dxfId="3653" priority="2890" stopIfTrue="1">
      <formula>$B370&lt;&gt;""</formula>
    </cfRule>
  </conditionalFormatting>
  <conditionalFormatting sqref="S370">
    <cfRule type="expression" dxfId="3652" priority="2889" stopIfTrue="1">
      <formula>$C370&lt;&gt;""</formula>
    </cfRule>
  </conditionalFormatting>
  <conditionalFormatting sqref="S370">
    <cfRule type="expression" dxfId="3651" priority="2888" stopIfTrue="1">
      <formula>$B370&lt;&gt;""</formula>
    </cfRule>
  </conditionalFormatting>
  <conditionalFormatting sqref="S370">
    <cfRule type="expression" dxfId="3650" priority="2887" stopIfTrue="1">
      <formula>$C370&lt;&gt;""</formula>
    </cfRule>
  </conditionalFormatting>
  <conditionalFormatting sqref="S370">
    <cfRule type="expression" dxfId="3649" priority="2886" stopIfTrue="1">
      <formula>$B370&lt;&gt;""</formula>
    </cfRule>
  </conditionalFormatting>
  <conditionalFormatting sqref="S370">
    <cfRule type="expression" dxfId="3648" priority="2885" stopIfTrue="1">
      <formula>$C370&lt;&gt;""</formula>
    </cfRule>
  </conditionalFormatting>
  <conditionalFormatting sqref="S370">
    <cfRule type="expression" dxfId="3647" priority="2884" stopIfTrue="1">
      <formula>$B370&lt;&gt;""</formula>
    </cfRule>
  </conditionalFormatting>
  <conditionalFormatting sqref="S370">
    <cfRule type="expression" dxfId="3646" priority="2883" stopIfTrue="1">
      <formula>$C370&lt;&gt;""</formula>
    </cfRule>
  </conditionalFormatting>
  <conditionalFormatting sqref="S370">
    <cfRule type="expression" dxfId="3645" priority="2882" stopIfTrue="1">
      <formula>$B370&lt;&gt;""</formula>
    </cfRule>
  </conditionalFormatting>
  <conditionalFormatting sqref="S370">
    <cfRule type="expression" dxfId="3644" priority="2881" stopIfTrue="1">
      <formula>$C370&lt;&gt;""</formula>
    </cfRule>
  </conditionalFormatting>
  <conditionalFormatting sqref="S370">
    <cfRule type="expression" dxfId="3643" priority="2880" stopIfTrue="1">
      <formula>$B370&lt;&gt;""</formula>
    </cfRule>
  </conditionalFormatting>
  <conditionalFormatting sqref="S370">
    <cfRule type="expression" dxfId="3642" priority="2879" stopIfTrue="1">
      <formula>$C370&lt;&gt;""</formula>
    </cfRule>
  </conditionalFormatting>
  <conditionalFormatting sqref="S370">
    <cfRule type="expression" dxfId="3641" priority="2878" stopIfTrue="1">
      <formula>$B370&lt;&gt;""</formula>
    </cfRule>
  </conditionalFormatting>
  <conditionalFormatting sqref="S370">
    <cfRule type="expression" dxfId="3640" priority="2877" stopIfTrue="1">
      <formula>$C370&lt;&gt;""</formula>
    </cfRule>
  </conditionalFormatting>
  <conditionalFormatting sqref="S370">
    <cfRule type="expression" dxfId="3639" priority="2876" stopIfTrue="1">
      <formula>$B370&lt;&gt;""</formula>
    </cfRule>
  </conditionalFormatting>
  <conditionalFormatting sqref="S370">
    <cfRule type="expression" dxfId="3638" priority="2875" stopIfTrue="1">
      <formula>$C370&lt;&gt;""</formula>
    </cfRule>
  </conditionalFormatting>
  <conditionalFormatting sqref="S370">
    <cfRule type="expression" dxfId="3637" priority="2874" stopIfTrue="1">
      <formula>$B370&lt;&gt;""</formula>
    </cfRule>
  </conditionalFormatting>
  <conditionalFormatting sqref="S370">
    <cfRule type="expression" dxfId="3636" priority="2873" stopIfTrue="1">
      <formula>$C370&lt;&gt;""</formula>
    </cfRule>
  </conditionalFormatting>
  <conditionalFormatting sqref="S370">
    <cfRule type="expression" dxfId="3635" priority="2872" stopIfTrue="1">
      <formula>$B370&lt;&gt;""</formula>
    </cfRule>
  </conditionalFormatting>
  <conditionalFormatting sqref="S370">
    <cfRule type="expression" dxfId="3634" priority="2871" stopIfTrue="1">
      <formula>$C370&lt;&gt;""</formula>
    </cfRule>
  </conditionalFormatting>
  <conditionalFormatting sqref="S370">
    <cfRule type="expression" dxfId="3633" priority="2870" stopIfTrue="1">
      <formula>$B370&lt;&gt;""</formula>
    </cfRule>
  </conditionalFormatting>
  <conditionalFormatting sqref="S370">
    <cfRule type="expression" dxfId="3632" priority="2869" stopIfTrue="1">
      <formula>$C370&lt;&gt;""</formula>
    </cfRule>
  </conditionalFormatting>
  <conditionalFormatting sqref="S370">
    <cfRule type="expression" dxfId="3631" priority="2868" stopIfTrue="1">
      <formula>$B370&lt;&gt;""</formula>
    </cfRule>
  </conditionalFormatting>
  <conditionalFormatting sqref="S370">
    <cfRule type="expression" dxfId="3630" priority="2867" stopIfTrue="1">
      <formula>$C370&lt;&gt;""</formula>
    </cfRule>
  </conditionalFormatting>
  <conditionalFormatting sqref="S370">
    <cfRule type="expression" dxfId="3629" priority="2866" stopIfTrue="1">
      <formula>$B370&lt;&gt;""</formula>
    </cfRule>
  </conditionalFormatting>
  <conditionalFormatting sqref="S370">
    <cfRule type="expression" dxfId="3628" priority="2865" stopIfTrue="1">
      <formula>$C370&lt;&gt;""</formula>
    </cfRule>
  </conditionalFormatting>
  <conditionalFormatting sqref="S370">
    <cfRule type="expression" dxfId="3627" priority="2864" stopIfTrue="1">
      <formula>$C370&lt;&gt;""</formula>
    </cfRule>
  </conditionalFormatting>
  <conditionalFormatting sqref="S370">
    <cfRule type="expression" dxfId="3626" priority="2863" stopIfTrue="1">
      <formula>$B370&lt;&gt;""</formula>
    </cfRule>
  </conditionalFormatting>
  <conditionalFormatting sqref="S370">
    <cfRule type="expression" dxfId="3625" priority="2862" stopIfTrue="1">
      <formula>$C370&lt;&gt;""</formula>
    </cfRule>
  </conditionalFormatting>
  <conditionalFormatting sqref="S370">
    <cfRule type="expression" dxfId="3624" priority="2861" stopIfTrue="1">
      <formula>$B370&lt;&gt;""</formula>
    </cfRule>
  </conditionalFormatting>
  <conditionalFormatting sqref="S370">
    <cfRule type="expression" dxfId="3623" priority="2860" stopIfTrue="1">
      <formula>$B370&lt;&gt;""</formula>
    </cfRule>
  </conditionalFormatting>
  <conditionalFormatting sqref="S370">
    <cfRule type="expression" dxfId="3622" priority="2859" stopIfTrue="1">
      <formula>$C370&lt;&gt;""</formula>
    </cfRule>
  </conditionalFormatting>
  <conditionalFormatting sqref="S370">
    <cfRule type="expression" dxfId="3621" priority="2858" stopIfTrue="1">
      <formula>$B370&lt;&gt;""</formula>
    </cfRule>
  </conditionalFormatting>
  <conditionalFormatting sqref="S370">
    <cfRule type="expression" dxfId="3620" priority="2857" stopIfTrue="1">
      <formula>$C370&lt;&gt;""</formula>
    </cfRule>
  </conditionalFormatting>
  <conditionalFormatting sqref="S370">
    <cfRule type="expression" dxfId="3619" priority="2856" stopIfTrue="1">
      <formula>$B370&lt;&gt;""</formula>
    </cfRule>
  </conditionalFormatting>
  <conditionalFormatting sqref="S370">
    <cfRule type="expression" dxfId="3618" priority="2855" stopIfTrue="1">
      <formula>$C370&lt;&gt;""</formula>
    </cfRule>
  </conditionalFormatting>
  <conditionalFormatting sqref="S370">
    <cfRule type="expression" dxfId="3617" priority="2854" stopIfTrue="1">
      <formula>$B370&lt;&gt;""</formula>
    </cfRule>
  </conditionalFormatting>
  <conditionalFormatting sqref="S370">
    <cfRule type="expression" dxfId="3616" priority="2853" stopIfTrue="1">
      <formula>$C370&lt;&gt;""</formula>
    </cfRule>
  </conditionalFormatting>
  <conditionalFormatting sqref="S370">
    <cfRule type="expression" dxfId="3615" priority="2852" stopIfTrue="1">
      <formula>$B370&lt;&gt;""</formula>
    </cfRule>
  </conditionalFormatting>
  <conditionalFormatting sqref="S370">
    <cfRule type="expression" dxfId="3614" priority="2851" stopIfTrue="1">
      <formula>$C370&lt;&gt;""</formula>
    </cfRule>
  </conditionalFormatting>
  <conditionalFormatting sqref="S370">
    <cfRule type="expression" dxfId="3613" priority="2850" stopIfTrue="1">
      <formula>$C370&lt;&gt;""</formula>
    </cfRule>
  </conditionalFormatting>
  <conditionalFormatting sqref="S370">
    <cfRule type="expression" dxfId="3612" priority="2849" stopIfTrue="1">
      <formula>$B370&lt;&gt;""</formula>
    </cfRule>
  </conditionalFormatting>
  <conditionalFormatting sqref="S370">
    <cfRule type="expression" dxfId="3611" priority="2848" stopIfTrue="1">
      <formula>$C370&lt;&gt;""</formula>
    </cfRule>
  </conditionalFormatting>
  <conditionalFormatting sqref="S370">
    <cfRule type="expression" dxfId="3610" priority="2847" stopIfTrue="1">
      <formula>$B370&lt;&gt;""</formula>
    </cfRule>
  </conditionalFormatting>
  <conditionalFormatting sqref="S370">
    <cfRule type="expression" dxfId="3609" priority="2846" stopIfTrue="1">
      <formula>$B370&lt;&gt;""</formula>
    </cfRule>
  </conditionalFormatting>
  <conditionalFormatting sqref="S370">
    <cfRule type="expression" dxfId="3608" priority="2845" stopIfTrue="1">
      <formula>$C370&lt;&gt;""</formula>
    </cfRule>
  </conditionalFormatting>
  <conditionalFormatting sqref="S371">
    <cfRule type="expression" dxfId="3607" priority="2844" stopIfTrue="1">
      <formula>$B371&lt;&gt;""</formula>
    </cfRule>
  </conditionalFormatting>
  <conditionalFormatting sqref="S371">
    <cfRule type="expression" dxfId="3606" priority="2843" stopIfTrue="1">
      <formula>$C371&lt;&gt;""</formula>
    </cfRule>
  </conditionalFormatting>
  <conditionalFormatting sqref="S370">
    <cfRule type="expression" dxfId="3605" priority="2842" stopIfTrue="1">
      <formula>$B370&lt;&gt;""</formula>
    </cfRule>
  </conditionalFormatting>
  <conditionalFormatting sqref="S370">
    <cfRule type="expression" dxfId="3604" priority="2841" stopIfTrue="1">
      <formula>$C370&lt;&gt;""</formula>
    </cfRule>
  </conditionalFormatting>
  <conditionalFormatting sqref="S371:S374">
    <cfRule type="expression" dxfId="3603" priority="2840" stopIfTrue="1">
      <formula>$B371&lt;&gt;""</formula>
    </cfRule>
  </conditionalFormatting>
  <conditionalFormatting sqref="S371:S374">
    <cfRule type="expression" dxfId="3602" priority="2839" stopIfTrue="1">
      <formula>$C371&lt;&gt;""</formula>
    </cfRule>
  </conditionalFormatting>
  <conditionalFormatting sqref="S370">
    <cfRule type="expression" dxfId="3601" priority="2838" stopIfTrue="1">
      <formula>$B370&lt;&gt;""</formula>
    </cfRule>
  </conditionalFormatting>
  <conditionalFormatting sqref="S370">
    <cfRule type="expression" dxfId="3600" priority="2837" stopIfTrue="1">
      <formula>$C370&lt;&gt;""</formula>
    </cfRule>
  </conditionalFormatting>
  <conditionalFormatting sqref="S371:S374">
    <cfRule type="expression" dxfId="3599" priority="2836" stopIfTrue="1">
      <formula>$B371&lt;&gt;""</formula>
    </cfRule>
  </conditionalFormatting>
  <conditionalFormatting sqref="S371:S374">
    <cfRule type="expression" dxfId="3598" priority="2835" stopIfTrue="1">
      <formula>$C371&lt;&gt;""</formula>
    </cfRule>
  </conditionalFormatting>
  <conditionalFormatting sqref="S370:S374">
    <cfRule type="expression" dxfId="3597" priority="2834" stopIfTrue="1">
      <formula>$B370&lt;&gt;""</formula>
    </cfRule>
  </conditionalFormatting>
  <conditionalFormatting sqref="S370:S374">
    <cfRule type="expression" dxfId="3596" priority="2833" stopIfTrue="1">
      <formula>$C370&lt;&gt;""</formula>
    </cfRule>
  </conditionalFormatting>
  <conditionalFormatting sqref="S370:S374">
    <cfRule type="expression" dxfId="3595" priority="2832" stopIfTrue="1">
      <formula>$B370&lt;&gt;""</formula>
    </cfRule>
  </conditionalFormatting>
  <conditionalFormatting sqref="S370:S374">
    <cfRule type="expression" dxfId="3594" priority="2831" stopIfTrue="1">
      <formula>$C370&lt;&gt;""</formula>
    </cfRule>
  </conditionalFormatting>
  <conditionalFormatting sqref="S370:S374">
    <cfRule type="expression" dxfId="3593" priority="2830" stopIfTrue="1">
      <formula>$B370&lt;&gt;""</formula>
    </cfRule>
  </conditionalFormatting>
  <conditionalFormatting sqref="S370:S374">
    <cfRule type="expression" dxfId="3592" priority="2829" stopIfTrue="1">
      <formula>$C370&lt;&gt;""</formula>
    </cfRule>
  </conditionalFormatting>
  <conditionalFormatting sqref="S370:S374">
    <cfRule type="expression" dxfId="3591" priority="2828" stopIfTrue="1">
      <formula>$B370&lt;&gt;""</formula>
    </cfRule>
  </conditionalFormatting>
  <conditionalFormatting sqref="S370:S374">
    <cfRule type="expression" dxfId="3590" priority="2827" stopIfTrue="1">
      <formula>$C370&lt;&gt;""</formula>
    </cfRule>
  </conditionalFormatting>
  <conditionalFormatting sqref="S370:S374">
    <cfRule type="expression" dxfId="3589" priority="2826" stopIfTrue="1">
      <formula>$B370&lt;&gt;""</formula>
    </cfRule>
  </conditionalFormatting>
  <conditionalFormatting sqref="S370:S374">
    <cfRule type="expression" dxfId="3588" priority="2825" stopIfTrue="1">
      <formula>$C370&lt;&gt;""</formula>
    </cfRule>
  </conditionalFormatting>
  <conditionalFormatting sqref="S370:S374">
    <cfRule type="expression" dxfId="3587" priority="2824" stopIfTrue="1">
      <formula>$B370&lt;&gt;""</formula>
    </cfRule>
  </conditionalFormatting>
  <conditionalFormatting sqref="S370:S374">
    <cfRule type="expression" dxfId="3586" priority="2823" stopIfTrue="1">
      <formula>$C370&lt;&gt;""</formula>
    </cfRule>
  </conditionalFormatting>
  <conditionalFormatting sqref="S370:S374">
    <cfRule type="expression" dxfId="3585" priority="2822" stopIfTrue="1">
      <formula>$B370&lt;&gt;""</formula>
    </cfRule>
  </conditionalFormatting>
  <conditionalFormatting sqref="S370:S374">
    <cfRule type="expression" dxfId="3584" priority="2821" stopIfTrue="1">
      <formula>$C370&lt;&gt;""</formula>
    </cfRule>
  </conditionalFormatting>
  <conditionalFormatting sqref="S370:S373">
    <cfRule type="expression" dxfId="3583" priority="2820" stopIfTrue="1">
      <formula>$B370&lt;&gt;""</formula>
    </cfRule>
  </conditionalFormatting>
  <conditionalFormatting sqref="S370:S373">
    <cfRule type="expression" dxfId="3582" priority="2819" stopIfTrue="1">
      <formula>$C370&lt;&gt;""</formula>
    </cfRule>
  </conditionalFormatting>
  <conditionalFormatting sqref="S374">
    <cfRule type="expression" dxfId="3581" priority="2818" stopIfTrue="1">
      <formula>$B374&lt;&gt;""</formula>
    </cfRule>
  </conditionalFormatting>
  <conditionalFormatting sqref="S374">
    <cfRule type="expression" dxfId="3580" priority="2817" stopIfTrue="1">
      <formula>$C374&lt;&gt;""</formula>
    </cfRule>
  </conditionalFormatting>
  <conditionalFormatting sqref="S370:S372">
    <cfRule type="expression" dxfId="3579" priority="2816" stopIfTrue="1">
      <formula>$B370&lt;&gt;""</formula>
    </cfRule>
  </conditionalFormatting>
  <conditionalFormatting sqref="S370:S372">
    <cfRule type="expression" dxfId="3578" priority="2815" stopIfTrue="1">
      <formula>$C370&lt;&gt;""</formula>
    </cfRule>
  </conditionalFormatting>
  <conditionalFormatting sqref="S373:S374">
    <cfRule type="expression" dxfId="3577" priority="2814" stopIfTrue="1">
      <formula>$B373&lt;&gt;""</formula>
    </cfRule>
  </conditionalFormatting>
  <conditionalFormatting sqref="S373:S374">
    <cfRule type="expression" dxfId="3576" priority="2813" stopIfTrue="1">
      <formula>$C373&lt;&gt;""</formula>
    </cfRule>
  </conditionalFormatting>
  <conditionalFormatting sqref="S370:S373">
    <cfRule type="expression" dxfId="3575" priority="2812" stopIfTrue="1">
      <formula>$B370&lt;&gt;""</formula>
    </cfRule>
  </conditionalFormatting>
  <conditionalFormatting sqref="S370:S373">
    <cfRule type="expression" dxfId="3574" priority="2811" stopIfTrue="1">
      <formula>$C370&lt;&gt;""</formula>
    </cfRule>
  </conditionalFormatting>
  <conditionalFormatting sqref="S370:S373">
    <cfRule type="expression" dxfId="3573" priority="2810" stopIfTrue="1">
      <formula>$B370&lt;&gt;""</formula>
    </cfRule>
  </conditionalFormatting>
  <conditionalFormatting sqref="S370:S373">
    <cfRule type="expression" dxfId="3572" priority="2809" stopIfTrue="1">
      <formula>$C370&lt;&gt;""</formula>
    </cfRule>
  </conditionalFormatting>
  <conditionalFormatting sqref="S374">
    <cfRule type="expression" dxfId="3571" priority="2808" stopIfTrue="1">
      <formula>$B374&lt;&gt;""</formula>
    </cfRule>
  </conditionalFormatting>
  <conditionalFormatting sqref="S374">
    <cfRule type="expression" dxfId="3570" priority="2807" stopIfTrue="1">
      <formula>$C374&lt;&gt;""</formula>
    </cfRule>
  </conditionalFormatting>
  <conditionalFormatting sqref="S370:S373">
    <cfRule type="expression" dxfId="3569" priority="2806" stopIfTrue="1">
      <formula>$B370&lt;&gt;""</formula>
    </cfRule>
  </conditionalFormatting>
  <conditionalFormatting sqref="S370:S373">
    <cfRule type="expression" dxfId="3568" priority="2805" stopIfTrue="1">
      <formula>$C370&lt;&gt;""</formula>
    </cfRule>
  </conditionalFormatting>
  <conditionalFormatting sqref="S374">
    <cfRule type="expression" dxfId="3567" priority="2804" stopIfTrue="1">
      <formula>$B374&lt;&gt;""</formula>
    </cfRule>
  </conditionalFormatting>
  <conditionalFormatting sqref="S374">
    <cfRule type="expression" dxfId="3566" priority="2803" stopIfTrue="1">
      <formula>$C374&lt;&gt;""</formula>
    </cfRule>
  </conditionalFormatting>
  <conditionalFormatting sqref="S374">
    <cfRule type="expression" dxfId="3565" priority="2802" stopIfTrue="1">
      <formula>$B374&lt;&gt;""</formula>
    </cfRule>
  </conditionalFormatting>
  <conditionalFormatting sqref="S374">
    <cfRule type="expression" dxfId="3564" priority="2801" stopIfTrue="1">
      <formula>$C374&lt;&gt;""</formula>
    </cfRule>
  </conditionalFormatting>
  <conditionalFormatting sqref="S370">
    <cfRule type="expression" dxfId="3563" priority="2800" stopIfTrue="1">
      <formula>$C370&lt;&gt;""</formula>
    </cfRule>
  </conditionalFormatting>
  <conditionalFormatting sqref="S370">
    <cfRule type="expression" dxfId="3562" priority="2799" stopIfTrue="1">
      <formula>$B370&lt;&gt;""</formula>
    </cfRule>
  </conditionalFormatting>
  <conditionalFormatting sqref="S371:S374">
    <cfRule type="expression" dxfId="3561" priority="2798" stopIfTrue="1">
      <formula>$C371&lt;&gt;""</formula>
    </cfRule>
  </conditionalFormatting>
  <conditionalFormatting sqref="S371:S374">
    <cfRule type="expression" dxfId="3560" priority="2797" stopIfTrue="1">
      <formula>$B371&lt;&gt;""</formula>
    </cfRule>
  </conditionalFormatting>
  <conditionalFormatting sqref="S373:S374">
    <cfRule type="expression" dxfId="3559" priority="2796" stopIfTrue="1">
      <formula>$C373&lt;&gt;""</formula>
    </cfRule>
  </conditionalFormatting>
  <conditionalFormatting sqref="S373:S374">
    <cfRule type="expression" dxfId="3558" priority="2795" stopIfTrue="1">
      <formula>$B373&lt;&gt;""</formula>
    </cfRule>
  </conditionalFormatting>
  <conditionalFormatting sqref="S370:S373">
    <cfRule type="expression" dxfId="3557" priority="2794" stopIfTrue="1">
      <formula>$B370&lt;&gt;""</formula>
    </cfRule>
  </conditionalFormatting>
  <conditionalFormatting sqref="S370:S373">
    <cfRule type="expression" dxfId="3556" priority="2793" stopIfTrue="1">
      <formula>$C370&lt;&gt;""</formula>
    </cfRule>
  </conditionalFormatting>
  <conditionalFormatting sqref="S374">
    <cfRule type="expression" dxfId="3555" priority="2792" stopIfTrue="1">
      <formula>$B374&lt;&gt;""</formula>
    </cfRule>
  </conditionalFormatting>
  <conditionalFormatting sqref="S374">
    <cfRule type="expression" dxfId="3554" priority="2791" stopIfTrue="1">
      <formula>$C374&lt;&gt;""</formula>
    </cfRule>
  </conditionalFormatting>
  <conditionalFormatting sqref="S370:S372">
    <cfRule type="expression" dxfId="3553" priority="2790" stopIfTrue="1">
      <formula>$B370&lt;&gt;""</formula>
    </cfRule>
  </conditionalFormatting>
  <conditionalFormatting sqref="S370:S372">
    <cfRule type="expression" dxfId="3552" priority="2789" stopIfTrue="1">
      <formula>$C370&lt;&gt;""</formula>
    </cfRule>
  </conditionalFormatting>
  <conditionalFormatting sqref="S373:S374">
    <cfRule type="expression" dxfId="3551" priority="2788" stopIfTrue="1">
      <formula>$B373&lt;&gt;""</formula>
    </cfRule>
  </conditionalFormatting>
  <conditionalFormatting sqref="S373:S374">
    <cfRule type="expression" dxfId="3550" priority="2787" stopIfTrue="1">
      <formula>$C373&lt;&gt;""</formula>
    </cfRule>
  </conditionalFormatting>
  <conditionalFormatting sqref="S370:S373">
    <cfRule type="expression" dxfId="3549" priority="2786" stopIfTrue="1">
      <formula>$B370&lt;&gt;""</formula>
    </cfRule>
  </conditionalFormatting>
  <conditionalFormatting sqref="S370:S373">
    <cfRule type="expression" dxfId="3548" priority="2785" stopIfTrue="1">
      <formula>$C370&lt;&gt;""</formula>
    </cfRule>
  </conditionalFormatting>
  <conditionalFormatting sqref="S370:S373">
    <cfRule type="expression" dxfId="3547" priority="2784" stopIfTrue="1">
      <formula>$B370&lt;&gt;""</formula>
    </cfRule>
  </conditionalFormatting>
  <conditionalFormatting sqref="S370:S373">
    <cfRule type="expression" dxfId="3546" priority="2783" stopIfTrue="1">
      <formula>$C370&lt;&gt;""</formula>
    </cfRule>
  </conditionalFormatting>
  <conditionalFormatting sqref="S374">
    <cfRule type="expression" dxfId="3545" priority="2782" stopIfTrue="1">
      <formula>$B374&lt;&gt;""</formula>
    </cfRule>
  </conditionalFormatting>
  <conditionalFormatting sqref="S374">
    <cfRule type="expression" dxfId="3544" priority="2781" stopIfTrue="1">
      <formula>$C374&lt;&gt;""</formula>
    </cfRule>
  </conditionalFormatting>
  <conditionalFormatting sqref="S370:S373">
    <cfRule type="expression" dxfId="3543" priority="2780" stopIfTrue="1">
      <formula>$B370&lt;&gt;""</formula>
    </cfRule>
  </conditionalFormatting>
  <conditionalFormatting sqref="S370:S373">
    <cfRule type="expression" dxfId="3542" priority="2779" stopIfTrue="1">
      <formula>$C370&lt;&gt;""</formula>
    </cfRule>
  </conditionalFormatting>
  <conditionalFormatting sqref="S374">
    <cfRule type="expression" dxfId="3541" priority="2778" stopIfTrue="1">
      <formula>$B374&lt;&gt;""</formula>
    </cfRule>
  </conditionalFormatting>
  <conditionalFormatting sqref="S374">
    <cfRule type="expression" dxfId="3540" priority="2777" stopIfTrue="1">
      <formula>$C374&lt;&gt;""</formula>
    </cfRule>
  </conditionalFormatting>
  <conditionalFormatting sqref="S374">
    <cfRule type="expression" dxfId="3539" priority="2776" stopIfTrue="1">
      <formula>$B374&lt;&gt;""</formula>
    </cfRule>
  </conditionalFormatting>
  <conditionalFormatting sqref="S374">
    <cfRule type="expression" dxfId="3538" priority="2775" stopIfTrue="1">
      <formula>$C374&lt;&gt;""</formula>
    </cfRule>
  </conditionalFormatting>
  <conditionalFormatting sqref="S370">
    <cfRule type="expression" dxfId="3537" priority="2774" stopIfTrue="1">
      <formula>$C370&lt;&gt;""</formula>
    </cfRule>
  </conditionalFormatting>
  <conditionalFormatting sqref="S370">
    <cfRule type="expression" dxfId="3536" priority="2773" stopIfTrue="1">
      <formula>$B370&lt;&gt;""</formula>
    </cfRule>
  </conditionalFormatting>
  <conditionalFormatting sqref="S371:S374">
    <cfRule type="expression" dxfId="3535" priority="2772" stopIfTrue="1">
      <formula>$C371&lt;&gt;""</formula>
    </cfRule>
  </conditionalFormatting>
  <conditionalFormatting sqref="S371:S374">
    <cfRule type="expression" dxfId="3534" priority="2771" stopIfTrue="1">
      <formula>$B371&lt;&gt;""</formula>
    </cfRule>
  </conditionalFormatting>
  <conditionalFormatting sqref="S373:S374">
    <cfRule type="expression" dxfId="3533" priority="2770" stopIfTrue="1">
      <formula>$C373&lt;&gt;""</formula>
    </cfRule>
  </conditionalFormatting>
  <conditionalFormatting sqref="S373:S374">
    <cfRule type="expression" dxfId="3532" priority="2769" stopIfTrue="1">
      <formula>$B373&lt;&gt;""</formula>
    </cfRule>
  </conditionalFormatting>
  <conditionalFormatting sqref="S370">
    <cfRule type="expression" dxfId="3531" priority="2768" stopIfTrue="1">
      <formula>$B370&lt;&gt;""</formula>
    </cfRule>
  </conditionalFormatting>
  <conditionalFormatting sqref="S370">
    <cfRule type="expression" dxfId="3530" priority="2767" stopIfTrue="1">
      <formula>$C370&lt;&gt;""</formula>
    </cfRule>
  </conditionalFormatting>
  <conditionalFormatting sqref="S371">
    <cfRule type="expression" dxfId="3529" priority="2766" stopIfTrue="1">
      <formula>$B371&lt;&gt;""</formula>
    </cfRule>
  </conditionalFormatting>
  <conditionalFormatting sqref="S371">
    <cfRule type="expression" dxfId="3528" priority="2765" stopIfTrue="1">
      <formula>$C371&lt;&gt;""</formula>
    </cfRule>
  </conditionalFormatting>
  <conditionalFormatting sqref="S370">
    <cfRule type="expression" dxfId="3527" priority="2764" stopIfTrue="1">
      <formula>$B370&lt;&gt;""</formula>
    </cfRule>
  </conditionalFormatting>
  <conditionalFormatting sqref="S370">
    <cfRule type="expression" dxfId="3526" priority="2763" stopIfTrue="1">
      <formula>$C370&lt;&gt;""</formula>
    </cfRule>
  </conditionalFormatting>
  <conditionalFormatting sqref="S371:S374">
    <cfRule type="expression" dxfId="3525" priority="2762" stopIfTrue="1">
      <formula>$B371&lt;&gt;""</formula>
    </cfRule>
  </conditionalFormatting>
  <conditionalFormatting sqref="S371:S374">
    <cfRule type="expression" dxfId="3524" priority="2761" stopIfTrue="1">
      <formula>$C371&lt;&gt;""</formula>
    </cfRule>
  </conditionalFormatting>
  <conditionalFormatting sqref="S370">
    <cfRule type="expression" dxfId="3523" priority="2760" stopIfTrue="1">
      <formula>$B370&lt;&gt;""</formula>
    </cfRule>
  </conditionalFormatting>
  <conditionalFormatting sqref="S370">
    <cfRule type="expression" dxfId="3522" priority="2759" stopIfTrue="1">
      <formula>$C370&lt;&gt;""</formula>
    </cfRule>
  </conditionalFormatting>
  <conditionalFormatting sqref="S371:S374">
    <cfRule type="expression" dxfId="3521" priority="2758" stopIfTrue="1">
      <formula>$B371&lt;&gt;""</formula>
    </cfRule>
  </conditionalFormatting>
  <conditionalFormatting sqref="S371:S374">
    <cfRule type="expression" dxfId="3520" priority="2757" stopIfTrue="1">
      <formula>$C371&lt;&gt;""</formula>
    </cfRule>
  </conditionalFormatting>
  <conditionalFormatting sqref="S370:S374">
    <cfRule type="expression" dxfId="3519" priority="2756" stopIfTrue="1">
      <formula>$B370&lt;&gt;""</formula>
    </cfRule>
  </conditionalFormatting>
  <conditionalFormatting sqref="S370:S374">
    <cfRule type="expression" dxfId="3518" priority="2755" stopIfTrue="1">
      <formula>$C370&lt;&gt;""</formula>
    </cfRule>
  </conditionalFormatting>
  <conditionalFormatting sqref="S370:S374">
    <cfRule type="expression" dxfId="3517" priority="2754" stopIfTrue="1">
      <formula>$B370&lt;&gt;""</formula>
    </cfRule>
  </conditionalFormatting>
  <conditionalFormatting sqref="S370:S374">
    <cfRule type="expression" dxfId="3516" priority="2753" stopIfTrue="1">
      <formula>$C370&lt;&gt;""</formula>
    </cfRule>
  </conditionalFormatting>
  <conditionalFormatting sqref="S370:S374">
    <cfRule type="expression" dxfId="3515" priority="2752" stopIfTrue="1">
      <formula>$B370&lt;&gt;""</formula>
    </cfRule>
  </conditionalFormatting>
  <conditionalFormatting sqref="S370:S374">
    <cfRule type="expression" dxfId="3514" priority="2751" stopIfTrue="1">
      <formula>$C370&lt;&gt;""</formula>
    </cfRule>
  </conditionalFormatting>
  <conditionalFormatting sqref="S370:S374">
    <cfRule type="expression" dxfId="3513" priority="2750" stopIfTrue="1">
      <formula>$B370&lt;&gt;""</formula>
    </cfRule>
  </conditionalFormatting>
  <conditionalFormatting sqref="S370:S374">
    <cfRule type="expression" dxfId="3512" priority="2749" stopIfTrue="1">
      <formula>$C370&lt;&gt;""</formula>
    </cfRule>
  </conditionalFormatting>
  <conditionalFormatting sqref="S370:S374">
    <cfRule type="expression" dxfId="3511" priority="2748" stopIfTrue="1">
      <formula>$B370&lt;&gt;""</formula>
    </cfRule>
  </conditionalFormatting>
  <conditionalFormatting sqref="S370:S374">
    <cfRule type="expression" dxfId="3510" priority="2747" stopIfTrue="1">
      <formula>$C370&lt;&gt;""</formula>
    </cfRule>
  </conditionalFormatting>
  <conditionalFormatting sqref="S370:S374">
    <cfRule type="expression" dxfId="3509" priority="2746" stopIfTrue="1">
      <formula>$B370&lt;&gt;""</formula>
    </cfRule>
  </conditionalFormatting>
  <conditionalFormatting sqref="S370:S374">
    <cfRule type="expression" dxfId="3508" priority="2745" stopIfTrue="1">
      <formula>$C370&lt;&gt;""</formula>
    </cfRule>
  </conditionalFormatting>
  <conditionalFormatting sqref="S370:S374">
    <cfRule type="expression" dxfId="3507" priority="2744" stopIfTrue="1">
      <formula>$B370&lt;&gt;""</formula>
    </cfRule>
  </conditionalFormatting>
  <conditionalFormatting sqref="S370:S374">
    <cfRule type="expression" dxfId="3506" priority="2743" stopIfTrue="1">
      <formula>$C370&lt;&gt;""</formula>
    </cfRule>
  </conditionalFormatting>
  <conditionalFormatting sqref="S370:S373">
    <cfRule type="expression" dxfId="3505" priority="2742" stopIfTrue="1">
      <formula>$B370&lt;&gt;""</formula>
    </cfRule>
  </conditionalFormatting>
  <conditionalFormatting sqref="S370:S373">
    <cfRule type="expression" dxfId="3504" priority="2741" stopIfTrue="1">
      <formula>$C370&lt;&gt;""</formula>
    </cfRule>
  </conditionalFormatting>
  <conditionalFormatting sqref="S374">
    <cfRule type="expression" dxfId="3503" priority="2740" stopIfTrue="1">
      <formula>$B374&lt;&gt;""</formula>
    </cfRule>
  </conditionalFormatting>
  <conditionalFormatting sqref="S374">
    <cfRule type="expression" dxfId="3502" priority="2739" stopIfTrue="1">
      <formula>$C374&lt;&gt;""</formula>
    </cfRule>
  </conditionalFormatting>
  <conditionalFormatting sqref="S370:S372">
    <cfRule type="expression" dxfId="3501" priority="2738" stopIfTrue="1">
      <formula>$B370&lt;&gt;""</formula>
    </cfRule>
  </conditionalFormatting>
  <conditionalFormatting sqref="S370:S372">
    <cfRule type="expression" dxfId="3500" priority="2737" stopIfTrue="1">
      <formula>$C370&lt;&gt;""</formula>
    </cfRule>
  </conditionalFormatting>
  <conditionalFormatting sqref="S373:S374">
    <cfRule type="expression" dxfId="3499" priority="2736" stopIfTrue="1">
      <formula>$B373&lt;&gt;""</formula>
    </cfRule>
  </conditionalFormatting>
  <conditionalFormatting sqref="S373:S374">
    <cfRule type="expression" dxfId="3498" priority="2735" stopIfTrue="1">
      <formula>$C373&lt;&gt;""</formula>
    </cfRule>
  </conditionalFormatting>
  <conditionalFormatting sqref="S370:S373">
    <cfRule type="expression" dxfId="3497" priority="2734" stopIfTrue="1">
      <formula>$B370&lt;&gt;""</formula>
    </cfRule>
  </conditionalFormatting>
  <conditionalFormatting sqref="S370:S373">
    <cfRule type="expression" dxfId="3496" priority="2733" stopIfTrue="1">
      <formula>$C370&lt;&gt;""</formula>
    </cfRule>
  </conditionalFormatting>
  <conditionalFormatting sqref="S370:S373">
    <cfRule type="expression" dxfId="3495" priority="2732" stopIfTrue="1">
      <formula>$B370&lt;&gt;""</formula>
    </cfRule>
  </conditionalFormatting>
  <conditionalFormatting sqref="S370:S373">
    <cfRule type="expression" dxfId="3494" priority="2731" stopIfTrue="1">
      <formula>$C370&lt;&gt;""</formula>
    </cfRule>
  </conditionalFormatting>
  <conditionalFormatting sqref="S374">
    <cfRule type="expression" dxfId="3493" priority="2730" stopIfTrue="1">
      <formula>$B374&lt;&gt;""</formula>
    </cfRule>
  </conditionalFormatting>
  <conditionalFormatting sqref="S374">
    <cfRule type="expression" dxfId="3492" priority="2729" stopIfTrue="1">
      <formula>$C374&lt;&gt;""</formula>
    </cfRule>
  </conditionalFormatting>
  <conditionalFormatting sqref="S370:S373">
    <cfRule type="expression" dxfId="3491" priority="2728" stopIfTrue="1">
      <formula>$B370&lt;&gt;""</formula>
    </cfRule>
  </conditionalFormatting>
  <conditionalFormatting sqref="S370:S373">
    <cfRule type="expression" dxfId="3490" priority="2727" stopIfTrue="1">
      <formula>$C370&lt;&gt;""</formula>
    </cfRule>
  </conditionalFormatting>
  <conditionalFormatting sqref="S374">
    <cfRule type="expression" dxfId="3489" priority="2726" stopIfTrue="1">
      <formula>$B374&lt;&gt;""</formula>
    </cfRule>
  </conditionalFormatting>
  <conditionalFormatting sqref="S374">
    <cfRule type="expression" dxfId="3488" priority="2725" stopIfTrue="1">
      <formula>$C374&lt;&gt;""</formula>
    </cfRule>
  </conditionalFormatting>
  <conditionalFormatting sqref="S374">
    <cfRule type="expression" dxfId="3487" priority="2724" stopIfTrue="1">
      <formula>$B374&lt;&gt;""</formula>
    </cfRule>
  </conditionalFormatting>
  <conditionalFormatting sqref="S374">
    <cfRule type="expression" dxfId="3486" priority="2723" stopIfTrue="1">
      <formula>$C374&lt;&gt;""</formula>
    </cfRule>
  </conditionalFormatting>
  <conditionalFormatting sqref="S370">
    <cfRule type="expression" dxfId="3485" priority="2722" stopIfTrue="1">
      <formula>$C370&lt;&gt;""</formula>
    </cfRule>
  </conditionalFormatting>
  <conditionalFormatting sqref="S370">
    <cfRule type="expression" dxfId="3484" priority="2721" stopIfTrue="1">
      <formula>$B370&lt;&gt;""</formula>
    </cfRule>
  </conditionalFormatting>
  <conditionalFormatting sqref="S371:S374">
    <cfRule type="expression" dxfId="3483" priority="2720" stopIfTrue="1">
      <formula>$C371&lt;&gt;""</formula>
    </cfRule>
  </conditionalFormatting>
  <conditionalFormatting sqref="S371:S374">
    <cfRule type="expression" dxfId="3482" priority="2719" stopIfTrue="1">
      <formula>$B371&lt;&gt;""</formula>
    </cfRule>
  </conditionalFormatting>
  <conditionalFormatting sqref="S373:S374">
    <cfRule type="expression" dxfId="3481" priority="2718" stopIfTrue="1">
      <formula>$C373&lt;&gt;""</formula>
    </cfRule>
  </conditionalFormatting>
  <conditionalFormatting sqref="S373:S374">
    <cfRule type="expression" dxfId="3480" priority="2717" stopIfTrue="1">
      <formula>$B373&lt;&gt;""</formula>
    </cfRule>
  </conditionalFormatting>
  <conditionalFormatting sqref="S370:S373">
    <cfRule type="expression" dxfId="3479" priority="2716" stopIfTrue="1">
      <formula>$B370&lt;&gt;""</formula>
    </cfRule>
  </conditionalFormatting>
  <conditionalFormatting sqref="S370:S373">
    <cfRule type="expression" dxfId="3478" priority="2715" stopIfTrue="1">
      <formula>$C370&lt;&gt;""</formula>
    </cfRule>
  </conditionalFormatting>
  <conditionalFormatting sqref="S374">
    <cfRule type="expression" dxfId="3477" priority="2714" stopIfTrue="1">
      <formula>$B374&lt;&gt;""</formula>
    </cfRule>
  </conditionalFormatting>
  <conditionalFormatting sqref="S374">
    <cfRule type="expression" dxfId="3476" priority="2713" stopIfTrue="1">
      <formula>$C374&lt;&gt;""</formula>
    </cfRule>
  </conditionalFormatting>
  <conditionalFormatting sqref="S370:S372">
    <cfRule type="expression" dxfId="3475" priority="2712" stopIfTrue="1">
      <formula>$B370&lt;&gt;""</formula>
    </cfRule>
  </conditionalFormatting>
  <conditionalFormatting sqref="S370:S372">
    <cfRule type="expression" dxfId="3474" priority="2711" stopIfTrue="1">
      <formula>$C370&lt;&gt;""</formula>
    </cfRule>
  </conditionalFormatting>
  <conditionalFormatting sqref="S373:S374">
    <cfRule type="expression" dxfId="3473" priority="2710" stopIfTrue="1">
      <formula>$B373&lt;&gt;""</formula>
    </cfRule>
  </conditionalFormatting>
  <conditionalFormatting sqref="S373:S374">
    <cfRule type="expression" dxfId="3472" priority="2709" stopIfTrue="1">
      <formula>$C373&lt;&gt;""</formula>
    </cfRule>
  </conditionalFormatting>
  <conditionalFormatting sqref="S370:S373">
    <cfRule type="expression" dxfId="3471" priority="2708" stopIfTrue="1">
      <formula>$B370&lt;&gt;""</formula>
    </cfRule>
  </conditionalFormatting>
  <conditionalFormatting sqref="S370:S373">
    <cfRule type="expression" dxfId="3470" priority="2707" stopIfTrue="1">
      <formula>$C370&lt;&gt;""</formula>
    </cfRule>
  </conditionalFormatting>
  <conditionalFormatting sqref="S370:S373">
    <cfRule type="expression" dxfId="3469" priority="2706" stopIfTrue="1">
      <formula>$B370&lt;&gt;""</formula>
    </cfRule>
  </conditionalFormatting>
  <conditionalFormatting sqref="S370:S373">
    <cfRule type="expression" dxfId="3468" priority="2705" stopIfTrue="1">
      <formula>$C370&lt;&gt;""</formula>
    </cfRule>
  </conditionalFormatting>
  <conditionalFormatting sqref="S374">
    <cfRule type="expression" dxfId="3467" priority="2704" stopIfTrue="1">
      <formula>$B374&lt;&gt;""</formula>
    </cfRule>
  </conditionalFormatting>
  <conditionalFormatting sqref="S374">
    <cfRule type="expression" dxfId="3466" priority="2703" stopIfTrue="1">
      <formula>$C374&lt;&gt;""</formula>
    </cfRule>
  </conditionalFormatting>
  <conditionalFormatting sqref="S370:S373">
    <cfRule type="expression" dxfId="3465" priority="2702" stopIfTrue="1">
      <formula>$B370&lt;&gt;""</formula>
    </cfRule>
  </conditionalFormatting>
  <conditionalFormatting sqref="S370:S373">
    <cfRule type="expression" dxfId="3464" priority="2701" stopIfTrue="1">
      <formula>$C370&lt;&gt;""</formula>
    </cfRule>
  </conditionalFormatting>
  <conditionalFormatting sqref="S374">
    <cfRule type="expression" dxfId="3463" priority="2700" stopIfTrue="1">
      <formula>$B374&lt;&gt;""</formula>
    </cfRule>
  </conditionalFormatting>
  <conditionalFormatting sqref="S374">
    <cfRule type="expression" dxfId="3462" priority="2699" stopIfTrue="1">
      <formula>$C374&lt;&gt;""</formula>
    </cfRule>
  </conditionalFormatting>
  <conditionalFormatting sqref="S374">
    <cfRule type="expression" dxfId="3461" priority="2698" stopIfTrue="1">
      <formula>$B374&lt;&gt;""</formula>
    </cfRule>
  </conditionalFormatting>
  <conditionalFormatting sqref="S374">
    <cfRule type="expression" dxfId="3460" priority="2697" stopIfTrue="1">
      <formula>$C374&lt;&gt;""</formula>
    </cfRule>
  </conditionalFormatting>
  <conditionalFormatting sqref="S370">
    <cfRule type="expression" dxfId="3459" priority="2696" stopIfTrue="1">
      <formula>$C370&lt;&gt;""</formula>
    </cfRule>
  </conditionalFormatting>
  <conditionalFormatting sqref="S370">
    <cfRule type="expression" dxfId="3458" priority="2695" stopIfTrue="1">
      <formula>$B370&lt;&gt;""</formula>
    </cfRule>
  </conditionalFormatting>
  <conditionalFormatting sqref="S371:S374">
    <cfRule type="expression" dxfId="3457" priority="2694" stopIfTrue="1">
      <formula>$C371&lt;&gt;""</formula>
    </cfRule>
  </conditionalFormatting>
  <conditionalFormatting sqref="S371:S374">
    <cfRule type="expression" dxfId="3456" priority="2693" stopIfTrue="1">
      <formula>$B371&lt;&gt;""</formula>
    </cfRule>
  </conditionalFormatting>
  <conditionalFormatting sqref="S373:S374">
    <cfRule type="expression" dxfId="3455" priority="2692" stopIfTrue="1">
      <formula>$C373&lt;&gt;""</formula>
    </cfRule>
  </conditionalFormatting>
  <conditionalFormatting sqref="S373:S374">
    <cfRule type="expression" dxfId="3454" priority="2691" stopIfTrue="1">
      <formula>$B373&lt;&gt;""</formula>
    </cfRule>
  </conditionalFormatting>
  <conditionalFormatting sqref="S370">
    <cfRule type="expression" dxfId="3453" priority="2690" stopIfTrue="1">
      <formula>$B370&lt;&gt;""</formula>
    </cfRule>
  </conditionalFormatting>
  <conditionalFormatting sqref="S370">
    <cfRule type="expression" dxfId="3452" priority="2689" stopIfTrue="1">
      <formula>$C370&lt;&gt;""</formula>
    </cfRule>
  </conditionalFormatting>
  <conditionalFormatting sqref="S370">
    <cfRule type="expression" dxfId="3451" priority="2688" stopIfTrue="1">
      <formula>$B370&lt;&gt;""</formula>
    </cfRule>
  </conditionalFormatting>
  <conditionalFormatting sqref="S370">
    <cfRule type="expression" dxfId="3450" priority="2687" stopIfTrue="1">
      <formula>$C370&lt;&gt;""</formula>
    </cfRule>
  </conditionalFormatting>
  <conditionalFormatting sqref="S370">
    <cfRule type="expression" dxfId="3449" priority="2686" stopIfTrue="1">
      <formula>$B370&lt;&gt;""</formula>
    </cfRule>
  </conditionalFormatting>
  <conditionalFormatting sqref="S370">
    <cfRule type="expression" dxfId="3448" priority="2685" stopIfTrue="1">
      <formula>$C370&lt;&gt;""</formula>
    </cfRule>
  </conditionalFormatting>
  <conditionalFormatting sqref="S370">
    <cfRule type="expression" dxfId="3447" priority="2684" stopIfTrue="1">
      <formula>$B370&lt;&gt;""</formula>
    </cfRule>
  </conditionalFormatting>
  <conditionalFormatting sqref="S370">
    <cfRule type="expression" dxfId="3446" priority="2683" stopIfTrue="1">
      <formula>$C370&lt;&gt;""</formula>
    </cfRule>
  </conditionalFormatting>
  <conditionalFormatting sqref="S370">
    <cfRule type="expression" dxfId="3445" priority="2682" stopIfTrue="1">
      <formula>$B370&lt;&gt;""</formula>
    </cfRule>
  </conditionalFormatting>
  <conditionalFormatting sqref="S370">
    <cfRule type="expression" dxfId="3444" priority="2681" stopIfTrue="1">
      <formula>$C370&lt;&gt;""</formula>
    </cfRule>
  </conditionalFormatting>
  <conditionalFormatting sqref="S370">
    <cfRule type="expression" dxfId="3443" priority="2680" stopIfTrue="1">
      <formula>$B370&lt;&gt;""</formula>
    </cfRule>
  </conditionalFormatting>
  <conditionalFormatting sqref="S370">
    <cfRule type="expression" dxfId="3442" priority="2679" stopIfTrue="1">
      <formula>$C370&lt;&gt;""</formula>
    </cfRule>
  </conditionalFormatting>
  <conditionalFormatting sqref="S370">
    <cfRule type="expression" dxfId="3441" priority="2678" stopIfTrue="1">
      <formula>$B370&lt;&gt;""</formula>
    </cfRule>
  </conditionalFormatting>
  <conditionalFormatting sqref="S370">
    <cfRule type="expression" dxfId="3440" priority="2677" stopIfTrue="1">
      <formula>$C370&lt;&gt;""</formula>
    </cfRule>
  </conditionalFormatting>
  <conditionalFormatting sqref="S370">
    <cfRule type="expression" dxfId="3439" priority="2676" stopIfTrue="1">
      <formula>$B370&lt;&gt;""</formula>
    </cfRule>
  </conditionalFormatting>
  <conditionalFormatting sqref="S370">
    <cfRule type="expression" dxfId="3438" priority="2675" stopIfTrue="1">
      <formula>$C370&lt;&gt;""</formula>
    </cfRule>
  </conditionalFormatting>
  <conditionalFormatting sqref="S370">
    <cfRule type="expression" dxfId="3437" priority="2674" stopIfTrue="1">
      <formula>$B370&lt;&gt;""</formula>
    </cfRule>
  </conditionalFormatting>
  <conditionalFormatting sqref="S370">
    <cfRule type="expression" dxfId="3436" priority="2673" stopIfTrue="1">
      <formula>$C370&lt;&gt;""</formula>
    </cfRule>
  </conditionalFormatting>
  <conditionalFormatting sqref="S370">
    <cfRule type="expression" dxfId="3435" priority="2672" stopIfTrue="1">
      <formula>$B370&lt;&gt;""</formula>
    </cfRule>
  </conditionalFormatting>
  <conditionalFormatting sqref="S370">
    <cfRule type="expression" dxfId="3434" priority="2671" stopIfTrue="1">
      <formula>$C370&lt;&gt;""</formula>
    </cfRule>
  </conditionalFormatting>
  <conditionalFormatting sqref="S370">
    <cfRule type="expression" dxfId="3433" priority="2670" stopIfTrue="1">
      <formula>$B370&lt;&gt;""</formula>
    </cfRule>
  </conditionalFormatting>
  <conditionalFormatting sqref="S370">
    <cfRule type="expression" dxfId="3432" priority="2669" stopIfTrue="1">
      <formula>$C370&lt;&gt;""</formula>
    </cfRule>
  </conditionalFormatting>
  <conditionalFormatting sqref="S370">
    <cfRule type="expression" dxfId="3431" priority="2668" stopIfTrue="1">
      <formula>$B370&lt;&gt;""</formula>
    </cfRule>
  </conditionalFormatting>
  <conditionalFormatting sqref="S370">
    <cfRule type="expression" dxfId="3430" priority="2667" stopIfTrue="1">
      <formula>$C370&lt;&gt;""</formula>
    </cfRule>
  </conditionalFormatting>
  <conditionalFormatting sqref="S370">
    <cfRule type="expression" dxfId="3429" priority="2666" stopIfTrue="1">
      <formula>$B370&lt;&gt;""</formula>
    </cfRule>
  </conditionalFormatting>
  <conditionalFormatting sqref="S370">
    <cfRule type="expression" dxfId="3428" priority="2665" stopIfTrue="1">
      <formula>$C370&lt;&gt;""</formula>
    </cfRule>
  </conditionalFormatting>
  <conditionalFormatting sqref="S370">
    <cfRule type="expression" dxfId="3427" priority="2664" stopIfTrue="1">
      <formula>$B370&lt;&gt;""</formula>
    </cfRule>
  </conditionalFormatting>
  <conditionalFormatting sqref="S370">
    <cfRule type="expression" dxfId="3426" priority="2663" stopIfTrue="1">
      <formula>$C370&lt;&gt;""</formula>
    </cfRule>
  </conditionalFormatting>
  <conditionalFormatting sqref="S370">
    <cfRule type="expression" dxfId="3425" priority="2662" stopIfTrue="1">
      <formula>$C370&lt;&gt;""</formula>
    </cfRule>
  </conditionalFormatting>
  <conditionalFormatting sqref="S370">
    <cfRule type="expression" dxfId="3424" priority="2661" stopIfTrue="1">
      <formula>$B370&lt;&gt;""</formula>
    </cfRule>
  </conditionalFormatting>
  <conditionalFormatting sqref="S370">
    <cfRule type="expression" dxfId="3423" priority="2660" stopIfTrue="1">
      <formula>$C370&lt;&gt;""</formula>
    </cfRule>
  </conditionalFormatting>
  <conditionalFormatting sqref="S370">
    <cfRule type="expression" dxfId="3422" priority="2659" stopIfTrue="1">
      <formula>$B370&lt;&gt;""</formula>
    </cfRule>
  </conditionalFormatting>
  <conditionalFormatting sqref="S370">
    <cfRule type="expression" dxfId="3421" priority="2658" stopIfTrue="1">
      <formula>$B370&lt;&gt;""</formula>
    </cfRule>
  </conditionalFormatting>
  <conditionalFormatting sqref="S370">
    <cfRule type="expression" dxfId="3420" priority="2657" stopIfTrue="1">
      <formula>$C370&lt;&gt;""</formula>
    </cfRule>
  </conditionalFormatting>
  <conditionalFormatting sqref="S370">
    <cfRule type="expression" dxfId="3419" priority="2656" stopIfTrue="1">
      <formula>$B370&lt;&gt;""</formula>
    </cfRule>
  </conditionalFormatting>
  <conditionalFormatting sqref="S370">
    <cfRule type="expression" dxfId="3418" priority="2655" stopIfTrue="1">
      <formula>$C370&lt;&gt;""</formula>
    </cfRule>
  </conditionalFormatting>
  <conditionalFormatting sqref="S370">
    <cfRule type="expression" dxfId="3417" priority="2654" stopIfTrue="1">
      <formula>$B370&lt;&gt;""</formula>
    </cfRule>
  </conditionalFormatting>
  <conditionalFormatting sqref="S370">
    <cfRule type="expression" dxfId="3416" priority="2653" stopIfTrue="1">
      <formula>$C370&lt;&gt;""</formula>
    </cfRule>
  </conditionalFormatting>
  <conditionalFormatting sqref="S370">
    <cfRule type="expression" dxfId="3415" priority="2652" stopIfTrue="1">
      <formula>$B370&lt;&gt;""</formula>
    </cfRule>
  </conditionalFormatting>
  <conditionalFormatting sqref="S370">
    <cfRule type="expression" dxfId="3414" priority="2651" stopIfTrue="1">
      <formula>$C370&lt;&gt;""</formula>
    </cfRule>
  </conditionalFormatting>
  <conditionalFormatting sqref="S370">
    <cfRule type="expression" dxfId="3413" priority="2650" stopIfTrue="1">
      <formula>$B370&lt;&gt;""</formula>
    </cfRule>
  </conditionalFormatting>
  <conditionalFormatting sqref="S370">
    <cfRule type="expression" dxfId="3412" priority="2649" stopIfTrue="1">
      <formula>$C370&lt;&gt;""</formula>
    </cfRule>
  </conditionalFormatting>
  <conditionalFormatting sqref="S370">
    <cfRule type="expression" dxfId="3411" priority="2648" stopIfTrue="1">
      <formula>$C370&lt;&gt;""</formula>
    </cfRule>
  </conditionalFormatting>
  <conditionalFormatting sqref="S370">
    <cfRule type="expression" dxfId="3410" priority="2647" stopIfTrue="1">
      <formula>$B370&lt;&gt;""</formula>
    </cfRule>
  </conditionalFormatting>
  <conditionalFormatting sqref="S370">
    <cfRule type="expression" dxfId="3409" priority="2646" stopIfTrue="1">
      <formula>$C370&lt;&gt;""</formula>
    </cfRule>
  </conditionalFormatting>
  <conditionalFormatting sqref="S370">
    <cfRule type="expression" dxfId="3408" priority="2645" stopIfTrue="1">
      <formula>$B370&lt;&gt;""</formula>
    </cfRule>
  </conditionalFormatting>
  <conditionalFormatting sqref="S370">
    <cfRule type="expression" dxfId="3407" priority="2644" stopIfTrue="1">
      <formula>$B370&lt;&gt;""</formula>
    </cfRule>
  </conditionalFormatting>
  <conditionalFormatting sqref="S370">
    <cfRule type="expression" dxfId="3406" priority="2643" stopIfTrue="1">
      <formula>$C370&lt;&gt;""</formula>
    </cfRule>
  </conditionalFormatting>
  <conditionalFormatting sqref="S371">
    <cfRule type="expression" dxfId="3405" priority="2642" stopIfTrue="1">
      <formula>$B371&lt;&gt;""</formula>
    </cfRule>
  </conditionalFormatting>
  <conditionalFormatting sqref="S371">
    <cfRule type="expression" dxfId="3404" priority="2641" stopIfTrue="1">
      <formula>$C371&lt;&gt;""</formula>
    </cfRule>
  </conditionalFormatting>
  <conditionalFormatting sqref="S370">
    <cfRule type="expression" dxfId="3403" priority="2640" stopIfTrue="1">
      <formula>$B370&lt;&gt;""</formula>
    </cfRule>
  </conditionalFormatting>
  <conditionalFormatting sqref="S370">
    <cfRule type="expression" dxfId="3402" priority="2639" stopIfTrue="1">
      <formula>$C370&lt;&gt;""</formula>
    </cfRule>
  </conditionalFormatting>
  <conditionalFormatting sqref="S371:S374">
    <cfRule type="expression" dxfId="3401" priority="2638" stopIfTrue="1">
      <formula>$B371&lt;&gt;""</formula>
    </cfRule>
  </conditionalFormatting>
  <conditionalFormatting sqref="S371:S374">
    <cfRule type="expression" dxfId="3400" priority="2637" stopIfTrue="1">
      <formula>$C371&lt;&gt;""</formula>
    </cfRule>
  </conditionalFormatting>
  <conditionalFormatting sqref="S370">
    <cfRule type="expression" dxfId="3399" priority="2636" stopIfTrue="1">
      <formula>$B370&lt;&gt;""</formula>
    </cfRule>
  </conditionalFormatting>
  <conditionalFormatting sqref="S370">
    <cfRule type="expression" dxfId="3398" priority="2635" stopIfTrue="1">
      <formula>$C370&lt;&gt;""</formula>
    </cfRule>
  </conditionalFormatting>
  <conditionalFormatting sqref="S371:S374">
    <cfRule type="expression" dxfId="3397" priority="2634" stopIfTrue="1">
      <formula>$B371&lt;&gt;""</formula>
    </cfRule>
  </conditionalFormatting>
  <conditionalFormatting sqref="S371:S374">
    <cfRule type="expression" dxfId="3396" priority="2633" stopIfTrue="1">
      <formula>$C371&lt;&gt;""</formula>
    </cfRule>
  </conditionalFormatting>
  <conditionalFormatting sqref="S370:S374">
    <cfRule type="expression" dxfId="3395" priority="2632" stopIfTrue="1">
      <formula>$B370&lt;&gt;""</formula>
    </cfRule>
  </conditionalFormatting>
  <conditionalFormatting sqref="S370:S374">
    <cfRule type="expression" dxfId="3394" priority="2631" stopIfTrue="1">
      <formula>$C370&lt;&gt;""</formula>
    </cfRule>
  </conditionalFormatting>
  <conditionalFormatting sqref="S370:S374">
    <cfRule type="expression" dxfId="3393" priority="2630" stopIfTrue="1">
      <formula>$B370&lt;&gt;""</formula>
    </cfRule>
  </conditionalFormatting>
  <conditionalFormatting sqref="S370:S374">
    <cfRule type="expression" dxfId="3392" priority="2629" stopIfTrue="1">
      <formula>$C370&lt;&gt;""</formula>
    </cfRule>
  </conditionalFormatting>
  <conditionalFormatting sqref="S370:S374">
    <cfRule type="expression" dxfId="3391" priority="2628" stopIfTrue="1">
      <formula>$B370&lt;&gt;""</formula>
    </cfRule>
  </conditionalFormatting>
  <conditionalFormatting sqref="S370:S374">
    <cfRule type="expression" dxfId="3390" priority="2627" stopIfTrue="1">
      <formula>$C370&lt;&gt;""</formula>
    </cfRule>
  </conditionalFormatting>
  <conditionalFormatting sqref="S370:S374">
    <cfRule type="expression" dxfId="3389" priority="2626" stopIfTrue="1">
      <formula>$B370&lt;&gt;""</formula>
    </cfRule>
  </conditionalFormatting>
  <conditionalFormatting sqref="S370:S374">
    <cfRule type="expression" dxfId="3388" priority="2625" stopIfTrue="1">
      <formula>$C370&lt;&gt;""</formula>
    </cfRule>
  </conditionalFormatting>
  <conditionalFormatting sqref="S370:S374">
    <cfRule type="expression" dxfId="3387" priority="2624" stopIfTrue="1">
      <formula>$B370&lt;&gt;""</formula>
    </cfRule>
  </conditionalFormatting>
  <conditionalFormatting sqref="S370:S374">
    <cfRule type="expression" dxfId="3386" priority="2623" stopIfTrue="1">
      <formula>$C370&lt;&gt;""</formula>
    </cfRule>
  </conditionalFormatting>
  <conditionalFormatting sqref="S370:S374">
    <cfRule type="expression" dxfId="3385" priority="2622" stopIfTrue="1">
      <formula>$B370&lt;&gt;""</formula>
    </cfRule>
  </conditionalFormatting>
  <conditionalFormatting sqref="S370:S374">
    <cfRule type="expression" dxfId="3384" priority="2621" stopIfTrue="1">
      <formula>$C370&lt;&gt;""</formula>
    </cfRule>
  </conditionalFormatting>
  <conditionalFormatting sqref="S370:S374">
    <cfRule type="expression" dxfId="3383" priority="2620" stopIfTrue="1">
      <formula>$B370&lt;&gt;""</formula>
    </cfRule>
  </conditionalFormatting>
  <conditionalFormatting sqref="S370:S374">
    <cfRule type="expression" dxfId="3382" priority="2619" stopIfTrue="1">
      <formula>$C370&lt;&gt;""</formula>
    </cfRule>
  </conditionalFormatting>
  <conditionalFormatting sqref="S370:S373">
    <cfRule type="expression" dxfId="3381" priority="2618" stopIfTrue="1">
      <formula>$B370&lt;&gt;""</formula>
    </cfRule>
  </conditionalFormatting>
  <conditionalFormatting sqref="S370:S373">
    <cfRule type="expression" dxfId="3380" priority="2617" stopIfTrue="1">
      <formula>$C370&lt;&gt;""</formula>
    </cfRule>
  </conditionalFormatting>
  <conditionalFormatting sqref="S374">
    <cfRule type="expression" dxfId="3379" priority="2616" stopIfTrue="1">
      <formula>$B374&lt;&gt;""</formula>
    </cfRule>
  </conditionalFormatting>
  <conditionalFormatting sqref="S374">
    <cfRule type="expression" dxfId="3378" priority="2615" stopIfTrue="1">
      <formula>$C374&lt;&gt;""</formula>
    </cfRule>
  </conditionalFormatting>
  <conditionalFormatting sqref="S370:S372">
    <cfRule type="expression" dxfId="3377" priority="2614" stopIfTrue="1">
      <formula>$B370&lt;&gt;""</formula>
    </cfRule>
  </conditionalFormatting>
  <conditionalFormatting sqref="S370:S372">
    <cfRule type="expression" dxfId="3376" priority="2613" stopIfTrue="1">
      <formula>$C370&lt;&gt;""</formula>
    </cfRule>
  </conditionalFormatting>
  <conditionalFormatting sqref="S373:S374">
    <cfRule type="expression" dxfId="3375" priority="2612" stopIfTrue="1">
      <formula>$B373&lt;&gt;""</formula>
    </cfRule>
  </conditionalFormatting>
  <conditionalFormatting sqref="S373:S374">
    <cfRule type="expression" dxfId="3374" priority="2611" stopIfTrue="1">
      <formula>$C373&lt;&gt;""</formula>
    </cfRule>
  </conditionalFormatting>
  <conditionalFormatting sqref="S370:S373">
    <cfRule type="expression" dxfId="3373" priority="2610" stopIfTrue="1">
      <formula>$B370&lt;&gt;""</formula>
    </cfRule>
  </conditionalFormatting>
  <conditionalFormatting sqref="S370:S373">
    <cfRule type="expression" dxfId="3372" priority="2609" stopIfTrue="1">
      <formula>$C370&lt;&gt;""</formula>
    </cfRule>
  </conditionalFormatting>
  <conditionalFormatting sqref="S370:S373">
    <cfRule type="expression" dxfId="3371" priority="2608" stopIfTrue="1">
      <formula>$B370&lt;&gt;""</formula>
    </cfRule>
  </conditionalFormatting>
  <conditionalFormatting sqref="S370:S373">
    <cfRule type="expression" dxfId="3370" priority="2607" stopIfTrue="1">
      <formula>$C370&lt;&gt;""</formula>
    </cfRule>
  </conditionalFormatting>
  <conditionalFormatting sqref="S374">
    <cfRule type="expression" dxfId="3369" priority="2606" stopIfTrue="1">
      <formula>$B374&lt;&gt;""</formula>
    </cfRule>
  </conditionalFormatting>
  <conditionalFormatting sqref="S374">
    <cfRule type="expression" dxfId="3368" priority="2605" stopIfTrue="1">
      <formula>$C374&lt;&gt;""</formula>
    </cfRule>
  </conditionalFormatting>
  <conditionalFormatting sqref="S370:S373">
    <cfRule type="expression" dxfId="3367" priority="2604" stopIfTrue="1">
      <formula>$B370&lt;&gt;""</formula>
    </cfRule>
  </conditionalFormatting>
  <conditionalFormatting sqref="S370:S373">
    <cfRule type="expression" dxfId="3366" priority="2603" stopIfTrue="1">
      <formula>$C370&lt;&gt;""</formula>
    </cfRule>
  </conditionalFormatting>
  <conditionalFormatting sqref="S374">
    <cfRule type="expression" dxfId="3365" priority="2602" stopIfTrue="1">
      <formula>$B374&lt;&gt;""</formula>
    </cfRule>
  </conditionalFormatting>
  <conditionalFormatting sqref="S374">
    <cfRule type="expression" dxfId="3364" priority="2601" stopIfTrue="1">
      <formula>$C374&lt;&gt;""</formula>
    </cfRule>
  </conditionalFormatting>
  <conditionalFormatting sqref="S374">
    <cfRule type="expression" dxfId="3363" priority="2600" stopIfTrue="1">
      <formula>$B374&lt;&gt;""</formula>
    </cfRule>
  </conditionalFormatting>
  <conditionalFormatting sqref="S374">
    <cfRule type="expression" dxfId="3362" priority="2599" stopIfTrue="1">
      <formula>$C374&lt;&gt;""</formula>
    </cfRule>
  </conditionalFormatting>
  <conditionalFormatting sqref="S370">
    <cfRule type="expression" dxfId="3361" priority="2598" stopIfTrue="1">
      <formula>$C370&lt;&gt;""</formula>
    </cfRule>
  </conditionalFormatting>
  <conditionalFormatting sqref="S370">
    <cfRule type="expression" dxfId="3360" priority="2597" stopIfTrue="1">
      <formula>$B370&lt;&gt;""</formula>
    </cfRule>
  </conditionalFormatting>
  <conditionalFormatting sqref="S371:S374">
    <cfRule type="expression" dxfId="3359" priority="2596" stopIfTrue="1">
      <formula>$C371&lt;&gt;""</formula>
    </cfRule>
  </conditionalFormatting>
  <conditionalFormatting sqref="S371:S374">
    <cfRule type="expression" dxfId="3358" priority="2595" stopIfTrue="1">
      <formula>$B371&lt;&gt;""</formula>
    </cfRule>
  </conditionalFormatting>
  <conditionalFormatting sqref="S373:S374">
    <cfRule type="expression" dxfId="3357" priority="2594" stopIfTrue="1">
      <formula>$C373&lt;&gt;""</formula>
    </cfRule>
  </conditionalFormatting>
  <conditionalFormatting sqref="S373:S374">
    <cfRule type="expression" dxfId="3356" priority="2593" stopIfTrue="1">
      <formula>$B373&lt;&gt;""</formula>
    </cfRule>
  </conditionalFormatting>
  <conditionalFormatting sqref="S370:S373">
    <cfRule type="expression" dxfId="3355" priority="2592" stopIfTrue="1">
      <formula>$B370&lt;&gt;""</formula>
    </cfRule>
  </conditionalFormatting>
  <conditionalFormatting sqref="S370:S373">
    <cfRule type="expression" dxfId="3354" priority="2591" stopIfTrue="1">
      <formula>$C370&lt;&gt;""</formula>
    </cfRule>
  </conditionalFormatting>
  <conditionalFormatting sqref="S374">
    <cfRule type="expression" dxfId="3353" priority="2590" stopIfTrue="1">
      <formula>$B374&lt;&gt;""</formula>
    </cfRule>
  </conditionalFormatting>
  <conditionalFormatting sqref="S374">
    <cfRule type="expression" dxfId="3352" priority="2589" stopIfTrue="1">
      <formula>$C374&lt;&gt;""</formula>
    </cfRule>
  </conditionalFormatting>
  <conditionalFormatting sqref="S370:S372">
    <cfRule type="expression" dxfId="3351" priority="2588" stopIfTrue="1">
      <formula>$B370&lt;&gt;""</formula>
    </cfRule>
  </conditionalFormatting>
  <conditionalFormatting sqref="S370:S372">
    <cfRule type="expression" dxfId="3350" priority="2587" stopIfTrue="1">
      <formula>$C370&lt;&gt;""</formula>
    </cfRule>
  </conditionalFormatting>
  <conditionalFormatting sqref="S373:S374">
    <cfRule type="expression" dxfId="3349" priority="2586" stopIfTrue="1">
      <formula>$B373&lt;&gt;""</formula>
    </cfRule>
  </conditionalFormatting>
  <conditionalFormatting sqref="S373:S374">
    <cfRule type="expression" dxfId="3348" priority="2585" stopIfTrue="1">
      <formula>$C373&lt;&gt;""</formula>
    </cfRule>
  </conditionalFormatting>
  <conditionalFormatting sqref="S370:S373">
    <cfRule type="expression" dxfId="3347" priority="2584" stopIfTrue="1">
      <formula>$B370&lt;&gt;""</formula>
    </cfRule>
  </conditionalFormatting>
  <conditionalFormatting sqref="S370:S373">
    <cfRule type="expression" dxfId="3346" priority="2583" stopIfTrue="1">
      <formula>$C370&lt;&gt;""</formula>
    </cfRule>
  </conditionalFormatting>
  <conditionalFormatting sqref="S370:S373">
    <cfRule type="expression" dxfId="3345" priority="2582" stopIfTrue="1">
      <formula>$B370&lt;&gt;""</formula>
    </cfRule>
  </conditionalFormatting>
  <conditionalFormatting sqref="S370:S373">
    <cfRule type="expression" dxfId="3344" priority="2581" stopIfTrue="1">
      <formula>$C370&lt;&gt;""</formula>
    </cfRule>
  </conditionalFormatting>
  <conditionalFormatting sqref="S374">
    <cfRule type="expression" dxfId="3343" priority="2580" stopIfTrue="1">
      <formula>$B374&lt;&gt;""</formula>
    </cfRule>
  </conditionalFormatting>
  <conditionalFormatting sqref="S374">
    <cfRule type="expression" dxfId="3342" priority="2579" stopIfTrue="1">
      <formula>$C374&lt;&gt;""</formula>
    </cfRule>
  </conditionalFormatting>
  <conditionalFormatting sqref="S370:S373">
    <cfRule type="expression" dxfId="3341" priority="2578" stopIfTrue="1">
      <formula>$B370&lt;&gt;""</formula>
    </cfRule>
  </conditionalFormatting>
  <conditionalFormatting sqref="S370:S373">
    <cfRule type="expression" dxfId="3340" priority="2577" stopIfTrue="1">
      <formula>$C370&lt;&gt;""</formula>
    </cfRule>
  </conditionalFormatting>
  <conditionalFormatting sqref="S374">
    <cfRule type="expression" dxfId="3339" priority="2576" stopIfTrue="1">
      <formula>$B374&lt;&gt;""</formula>
    </cfRule>
  </conditionalFormatting>
  <conditionalFormatting sqref="S374">
    <cfRule type="expression" dxfId="3338" priority="2575" stopIfTrue="1">
      <formula>$C374&lt;&gt;""</formula>
    </cfRule>
  </conditionalFormatting>
  <conditionalFormatting sqref="S374">
    <cfRule type="expression" dxfId="3337" priority="2574" stopIfTrue="1">
      <formula>$B374&lt;&gt;""</formula>
    </cfRule>
  </conditionalFormatting>
  <conditionalFormatting sqref="S374">
    <cfRule type="expression" dxfId="3336" priority="2573" stopIfTrue="1">
      <formula>$C374&lt;&gt;""</formula>
    </cfRule>
  </conditionalFormatting>
  <conditionalFormatting sqref="S370">
    <cfRule type="expression" dxfId="3335" priority="2572" stopIfTrue="1">
      <formula>$C370&lt;&gt;""</formula>
    </cfRule>
  </conditionalFormatting>
  <conditionalFormatting sqref="S370">
    <cfRule type="expression" dxfId="3334" priority="2571" stopIfTrue="1">
      <formula>$B370&lt;&gt;""</formula>
    </cfRule>
  </conditionalFormatting>
  <conditionalFormatting sqref="S371:S374">
    <cfRule type="expression" dxfId="3333" priority="2570" stopIfTrue="1">
      <formula>$C371&lt;&gt;""</formula>
    </cfRule>
  </conditionalFormatting>
  <conditionalFormatting sqref="S371:S374">
    <cfRule type="expression" dxfId="3332" priority="2569" stopIfTrue="1">
      <formula>$B371&lt;&gt;""</formula>
    </cfRule>
  </conditionalFormatting>
  <conditionalFormatting sqref="S373:S374">
    <cfRule type="expression" dxfId="3331" priority="2568" stopIfTrue="1">
      <formula>$C373&lt;&gt;""</formula>
    </cfRule>
  </conditionalFormatting>
  <conditionalFormatting sqref="S373:S374">
    <cfRule type="expression" dxfId="3330" priority="2567" stopIfTrue="1">
      <formula>$B373&lt;&gt;""</formula>
    </cfRule>
  </conditionalFormatting>
  <conditionalFormatting sqref="S370">
    <cfRule type="expression" dxfId="3329" priority="2566" stopIfTrue="1">
      <formula>$B370&lt;&gt;""</formula>
    </cfRule>
  </conditionalFormatting>
  <conditionalFormatting sqref="S370">
    <cfRule type="expression" dxfId="3328" priority="2565" stopIfTrue="1">
      <formula>$C370&lt;&gt;""</formula>
    </cfRule>
  </conditionalFormatting>
  <conditionalFormatting sqref="S370">
    <cfRule type="expression" dxfId="3327" priority="2564" stopIfTrue="1">
      <formula>$B370&lt;&gt;""</formula>
    </cfRule>
  </conditionalFormatting>
  <conditionalFormatting sqref="S370">
    <cfRule type="expression" dxfId="3326" priority="2563" stopIfTrue="1">
      <formula>$C370&lt;&gt;""</formula>
    </cfRule>
  </conditionalFormatting>
  <conditionalFormatting sqref="S370">
    <cfRule type="expression" dxfId="3325" priority="2562" stopIfTrue="1">
      <formula>$B370&lt;&gt;""</formula>
    </cfRule>
  </conditionalFormatting>
  <conditionalFormatting sqref="S370">
    <cfRule type="expression" dxfId="3324" priority="2561" stopIfTrue="1">
      <formula>$C370&lt;&gt;""</formula>
    </cfRule>
  </conditionalFormatting>
  <conditionalFormatting sqref="S370">
    <cfRule type="expression" dxfId="3323" priority="2560" stopIfTrue="1">
      <formula>$B370&lt;&gt;""</formula>
    </cfRule>
  </conditionalFormatting>
  <conditionalFormatting sqref="S370">
    <cfRule type="expression" dxfId="3322" priority="2559" stopIfTrue="1">
      <formula>$C370&lt;&gt;""</formula>
    </cfRule>
  </conditionalFormatting>
  <conditionalFormatting sqref="S370">
    <cfRule type="expression" dxfId="3321" priority="2558" stopIfTrue="1">
      <formula>$B370&lt;&gt;""</formula>
    </cfRule>
  </conditionalFormatting>
  <conditionalFormatting sqref="S370">
    <cfRule type="expression" dxfId="3320" priority="2557" stopIfTrue="1">
      <formula>$C370&lt;&gt;""</formula>
    </cfRule>
  </conditionalFormatting>
  <conditionalFormatting sqref="S370">
    <cfRule type="expression" dxfId="3319" priority="2556" stopIfTrue="1">
      <formula>$B370&lt;&gt;""</formula>
    </cfRule>
  </conditionalFormatting>
  <conditionalFormatting sqref="S370">
    <cfRule type="expression" dxfId="3318" priority="2555" stopIfTrue="1">
      <formula>$C370&lt;&gt;""</formula>
    </cfRule>
  </conditionalFormatting>
  <conditionalFormatting sqref="S370">
    <cfRule type="expression" dxfId="3317" priority="2554" stopIfTrue="1">
      <formula>$B370&lt;&gt;""</formula>
    </cfRule>
  </conditionalFormatting>
  <conditionalFormatting sqref="S370">
    <cfRule type="expression" dxfId="3316" priority="2553" stopIfTrue="1">
      <formula>$C370&lt;&gt;""</formula>
    </cfRule>
  </conditionalFormatting>
  <conditionalFormatting sqref="S370">
    <cfRule type="expression" dxfId="3315" priority="2552" stopIfTrue="1">
      <formula>$B370&lt;&gt;""</formula>
    </cfRule>
  </conditionalFormatting>
  <conditionalFormatting sqref="S370">
    <cfRule type="expression" dxfId="3314" priority="2551" stopIfTrue="1">
      <formula>$C370&lt;&gt;""</formula>
    </cfRule>
  </conditionalFormatting>
  <conditionalFormatting sqref="S370">
    <cfRule type="expression" dxfId="3313" priority="2550" stopIfTrue="1">
      <formula>$B370&lt;&gt;""</formula>
    </cfRule>
  </conditionalFormatting>
  <conditionalFormatting sqref="S370">
    <cfRule type="expression" dxfId="3312" priority="2549" stopIfTrue="1">
      <formula>$C370&lt;&gt;""</formula>
    </cfRule>
  </conditionalFormatting>
  <conditionalFormatting sqref="S370">
    <cfRule type="expression" dxfId="3311" priority="2548" stopIfTrue="1">
      <formula>$B370&lt;&gt;""</formula>
    </cfRule>
  </conditionalFormatting>
  <conditionalFormatting sqref="S370">
    <cfRule type="expression" dxfId="3310" priority="2547" stopIfTrue="1">
      <formula>$C370&lt;&gt;""</formula>
    </cfRule>
  </conditionalFormatting>
  <conditionalFormatting sqref="S370">
    <cfRule type="expression" dxfId="3309" priority="2546" stopIfTrue="1">
      <formula>$B370&lt;&gt;""</formula>
    </cfRule>
  </conditionalFormatting>
  <conditionalFormatting sqref="S370">
    <cfRule type="expression" dxfId="3308" priority="2545" stopIfTrue="1">
      <formula>$C370&lt;&gt;""</formula>
    </cfRule>
  </conditionalFormatting>
  <conditionalFormatting sqref="S370">
    <cfRule type="expression" dxfId="3307" priority="2544" stopIfTrue="1">
      <formula>$B370&lt;&gt;""</formula>
    </cfRule>
  </conditionalFormatting>
  <conditionalFormatting sqref="S370">
    <cfRule type="expression" dxfId="3306" priority="2543" stopIfTrue="1">
      <formula>$C370&lt;&gt;""</formula>
    </cfRule>
  </conditionalFormatting>
  <conditionalFormatting sqref="S370">
    <cfRule type="expression" dxfId="3305" priority="2542" stopIfTrue="1">
      <formula>$B370&lt;&gt;""</formula>
    </cfRule>
  </conditionalFormatting>
  <conditionalFormatting sqref="S370">
    <cfRule type="expression" dxfId="3304" priority="2541" stopIfTrue="1">
      <formula>$C370&lt;&gt;""</formula>
    </cfRule>
  </conditionalFormatting>
  <conditionalFormatting sqref="S370">
    <cfRule type="expression" dxfId="3303" priority="2540" stopIfTrue="1">
      <formula>$B370&lt;&gt;""</formula>
    </cfRule>
  </conditionalFormatting>
  <conditionalFormatting sqref="S370">
    <cfRule type="expression" dxfId="3302" priority="2539" stopIfTrue="1">
      <formula>$C370&lt;&gt;""</formula>
    </cfRule>
  </conditionalFormatting>
  <conditionalFormatting sqref="S370">
    <cfRule type="expression" dxfId="3301" priority="2538" stopIfTrue="1">
      <formula>$C370&lt;&gt;""</formula>
    </cfRule>
  </conditionalFormatting>
  <conditionalFormatting sqref="S370">
    <cfRule type="expression" dxfId="3300" priority="2537" stopIfTrue="1">
      <formula>$B370&lt;&gt;""</formula>
    </cfRule>
  </conditionalFormatting>
  <conditionalFormatting sqref="S370">
    <cfRule type="expression" dxfId="3299" priority="2536" stopIfTrue="1">
      <formula>$C370&lt;&gt;""</formula>
    </cfRule>
  </conditionalFormatting>
  <conditionalFormatting sqref="S370">
    <cfRule type="expression" dxfId="3298" priority="2535" stopIfTrue="1">
      <formula>$B370&lt;&gt;""</formula>
    </cfRule>
  </conditionalFormatting>
  <conditionalFormatting sqref="S370">
    <cfRule type="expression" dxfId="3297" priority="2534" stopIfTrue="1">
      <formula>$B370&lt;&gt;""</formula>
    </cfRule>
  </conditionalFormatting>
  <conditionalFormatting sqref="S370">
    <cfRule type="expression" dxfId="3296" priority="2533" stopIfTrue="1">
      <formula>$C370&lt;&gt;""</formula>
    </cfRule>
  </conditionalFormatting>
  <conditionalFormatting sqref="S370">
    <cfRule type="expression" dxfId="3295" priority="2532" stopIfTrue="1">
      <formula>$B370&lt;&gt;""</formula>
    </cfRule>
  </conditionalFormatting>
  <conditionalFormatting sqref="S370">
    <cfRule type="expression" dxfId="3294" priority="2531" stopIfTrue="1">
      <formula>$C370&lt;&gt;""</formula>
    </cfRule>
  </conditionalFormatting>
  <conditionalFormatting sqref="S370">
    <cfRule type="expression" dxfId="3293" priority="2530" stopIfTrue="1">
      <formula>$B370&lt;&gt;""</formula>
    </cfRule>
  </conditionalFormatting>
  <conditionalFormatting sqref="S370">
    <cfRule type="expression" dxfId="3292" priority="2529" stopIfTrue="1">
      <formula>$C370&lt;&gt;""</formula>
    </cfRule>
  </conditionalFormatting>
  <conditionalFormatting sqref="S370">
    <cfRule type="expression" dxfId="3291" priority="2528" stopIfTrue="1">
      <formula>$B370&lt;&gt;""</formula>
    </cfRule>
  </conditionalFormatting>
  <conditionalFormatting sqref="S370">
    <cfRule type="expression" dxfId="3290" priority="2527" stopIfTrue="1">
      <formula>$C370&lt;&gt;""</formula>
    </cfRule>
  </conditionalFormatting>
  <conditionalFormatting sqref="S370">
    <cfRule type="expression" dxfId="3289" priority="2526" stopIfTrue="1">
      <formula>$B370&lt;&gt;""</formula>
    </cfRule>
  </conditionalFormatting>
  <conditionalFormatting sqref="S370">
    <cfRule type="expression" dxfId="3288" priority="2525" stopIfTrue="1">
      <formula>$C370&lt;&gt;""</formula>
    </cfRule>
  </conditionalFormatting>
  <conditionalFormatting sqref="S370">
    <cfRule type="expression" dxfId="3287" priority="2524" stopIfTrue="1">
      <formula>$C370&lt;&gt;""</formula>
    </cfRule>
  </conditionalFormatting>
  <conditionalFormatting sqref="S370">
    <cfRule type="expression" dxfId="3286" priority="2523" stopIfTrue="1">
      <formula>$B370&lt;&gt;""</formula>
    </cfRule>
  </conditionalFormatting>
  <conditionalFormatting sqref="S370">
    <cfRule type="expression" dxfId="3285" priority="2522" stopIfTrue="1">
      <formula>$C370&lt;&gt;""</formula>
    </cfRule>
  </conditionalFormatting>
  <conditionalFormatting sqref="S370">
    <cfRule type="expression" dxfId="3284" priority="2521" stopIfTrue="1">
      <formula>$B370&lt;&gt;""</formula>
    </cfRule>
  </conditionalFormatting>
  <conditionalFormatting sqref="S370">
    <cfRule type="expression" dxfId="3283" priority="2520" stopIfTrue="1">
      <formula>$B370&lt;&gt;""</formula>
    </cfRule>
  </conditionalFormatting>
  <conditionalFormatting sqref="S370">
    <cfRule type="expression" dxfId="3282" priority="2519" stopIfTrue="1">
      <formula>$C370&lt;&gt;""</formula>
    </cfRule>
  </conditionalFormatting>
  <conditionalFormatting sqref="S371">
    <cfRule type="expression" dxfId="3281" priority="2518" stopIfTrue="1">
      <formula>$B371&lt;&gt;""</formula>
    </cfRule>
  </conditionalFormatting>
  <conditionalFormatting sqref="S371">
    <cfRule type="expression" dxfId="3280" priority="2517" stopIfTrue="1">
      <formula>$C371&lt;&gt;""</formula>
    </cfRule>
  </conditionalFormatting>
  <conditionalFormatting sqref="S370">
    <cfRule type="expression" dxfId="3279" priority="2516" stopIfTrue="1">
      <formula>$B370&lt;&gt;""</formula>
    </cfRule>
  </conditionalFormatting>
  <conditionalFormatting sqref="S370">
    <cfRule type="expression" dxfId="3278" priority="2515" stopIfTrue="1">
      <formula>$C370&lt;&gt;""</formula>
    </cfRule>
  </conditionalFormatting>
  <conditionalFormatting sqref="S371:S374">
    <cfRule type="expression" dxfId="3277" priority="2514" stopIfTrue="1">
      <formula>$B371&lt;&gt;""</formula>
    </cfRule>
  </conditionalFormatting>
  <conditionalFormatting sqref="S371:S374">
    <cfRule type="expression" dxfId="3276" priority="2513" stopIfTrue="1">
      <formula>$C371&lt;&gt;""</formula>
    </cfRule>
  </conditionalFormatting>
  <conditionalFormatting sqref="S370">
    <cfRule type="expression" dxfId="3275" priority="2512" stopIfTrue="1">
      <formula>$B370&lt;&gt;""</formula>
    </cfRule>
  </conditionalFormatting>
  <conditionalFormatting sqref="S370">
    <cfRule type="expression" dxfId="3274" priority="2511" stopIfTrue="1">
      <formula>$C370&lt;&gt;""</formula>
    </cfRule>
  </conditionalFormatting>
  <conditionalFormatting sqref="S371:S374">
    <cfRule type="expression" dxfId="3273" priority="2510" stopIfTrue="1">
      <formula>$B371&lt;&gt;""</formula>
    </cfRule>
  </conditionalFormatting>
  <conditionalFormatting sqref="S371:S374">
    <cfRule type="expression" dxfId="3272" priority="2509" stopIfTrue="1">
      <formula>$C371&lt;&gt;""</formula>
    </cfRule>
  </conditionalFormatting>
  <conditionalFormatting sqref="S370:S374">
    <cfRule type="expression" dxfId="3271" priority="2508" stopIfTrue="1">
      <formula>$B370&lt;&gt;""</formula>
    </cfRule>
  </conditionalFormatting>
  <conditionalFormatting sqref="S370:S374">
    <cfRule type="expression" dxfId="3270" priority="2507" stopIfTrue="1">
      <formula>$C370&lt;&gt;""</formula>
    </cfRule>
  </conditionalFormatting>
  <conditionalFormatting sqref="S370:S374">
    <cfRule type="expression" dxfId="3269" priority="2506" stopIfTrue="1">
      <formula>$B370&lt;&gt;""</formula>
    </cfRule>
  </conditionalFormatting>
  <conditionalFormatting sqref="S370:S374">
    <cfRule type="expression" dxfId="3268" priority="2505" stopIfTrue="1">
      <formula>$C370&lt;&gt;""</formula>
    </cfRule>
  </conditionalFormatting>
  <conditionalFormatting sqref="S370:S374">
    <cfRule type="expression" dxfId="3267" priority="2504" stopIfTrue="1">
      <formula>$B370&lt;&gt;""</formula>
    </cfRule>
  </conditionalFormatting>
  <conditionalFormatting sqref="S370:S374">
    <cfRule type="expression" dxfId="3266" priority="2503" stopIfTrue="1">
      <formula>$C370&lt;&gt;""</formula>
    </cfRule>
  </conditionalFormatting>
  <conditionalFormatting sqref="S370:S374">
    <cfRule type="expression" dxfId="3265" priority="2502" stopIfTrue="1">
      <formula>$B370&lt;&gt;""</formula>
    </cfRule>
  </conditionalFormatting>
  <conditionalFormatting sqref="S370:S374">
    <cfRule type="expression" dxfId="3264" priority="2501" stopIfTrue="1">
      <formula>$C370&lt;&gt;""</formula>
    </cfRule>
  </conditionalFormatting>
  <conditionalFormatting sqref="S370:S374">
    <cfRule type="expression" dxfId="3263" priority="2500" stopIfTrue="1">
      <formula>$B370&lt;&gt;""</formula>
    </cfRule>
  </conditionalFormatting>
  <conditionalFormatting sqref="S370:S374">
    <cfRule type="expression" dxfId="3262" priority="2499" stopIfTrue="1">
      <formula>$C370&lt;&gt;""</formula>
    </cfRule>
  </conditionalFormatting>
  <conditionalFormatting sqref="S370:S374">
    <cfRule type="expression" dxfId="3261" priority="2498" stopIfTrue="1">
      <formula>$B370&lt;&gt;""</formula>
    </cfRule>
  </conditionalFormatting>
  <conditionalFormatting sqref="S370:S374">
    <cfRule type="expression" dxfId="3260" priority="2497" stopIfTrue="1">
      <formula>$C370&lt;&gt;""</formula>
    </cfRule>
  </conditionalFormatting>
  <conditionalFormatting sqref="S370:S374">
    <cfRule type="expression" dxfId="3259" priority="2496" stopIfTrue="1">
      <formula>$B370&lt;&gt;""</formula>
    </cfRule>
  </conditionalFormatting>
  <conditionalFormatting sqref="S370:S374">
    <cfRule type="expression" dxfId="3258" priority="2495" stopIfTrue="1">
      <formula>$C370&lt;&gt;""</formula>
    </cfRule>
  </conditionalFormatting>
  <conditionalFormatting sqref="S370:S373">
    <cfRule type="expression" dxfId="3257" priority="2494" stopIfTrue="1">
      <formula>$B370&lt;&gt;""</formula>
    </cfRule>
  </conditionalFormatting>
  <conditionalFormatting sqref="S370:S373">
    <cfRule type="expression" dxfId="3256" priority="2493" stopIfTrue="1">
      <formula>$C370&lt;&gt;""</formula>
    </cfRule>
  </conditionalFormatting>
  <conditionalFormatting sqref="S374">
    <cfRule type="expression" dxfId="3255" priority="2492" stopIfTrue="1">
      <formula>$B374&lt;&gt;""</formula>
    </cfRule>
  </conditionalFormatting>
  <conditionalFormatting sqref="S374">
    <cfRule type="expression" dxfId="3254" priority="2491" stopIfTrue="1">
      <formula>$C374&lt;&gt;""</formula>
    </cfRule>
  </conditionalFormatting>
  <conditionalFormatting sqref="S370:S372">
    <cfRule type="expression" dxfId="3253" priority="2490" stopIfTrue="1">
      <formula>$B370&lt;&gt;""</formula>
    </cfRule>
  </conditionalFormatting>
  <conditionalFormatting sqref="S370:S372">
    <cfRule type="expression" dxfId="3252" priority="2489" stopIfTrue="1">
      <formula>$C370&lt;&gt;""</formula>
    </cfRule>
  </conditionalFormatting>
  <conditionalFormatting sqref="S373:S374">
    <cfRule type="expression" dxfId="3251" priority="2488" stopIfTrue="1">
      <formula>$B373&lt;&gt;""</formula>
    </cfRule>
  </conditionalFormatting>
  <conditionalFormatting sqref="S373:S374">
    <cfRule type="expression" dxfId="3250" priority="2487" stopIfTrue="1">
      <formula>$C373&lt;&gt;""</formula>
    </cfRule>
  </conditionalFormatting>
  <conditionalFormatting sqref="S370:S373">
    <cfRule type="expression" dxfId="3249" priority="2486" stopIfTrue="1">
      <formula>$B370&lt;&gt;""</formula>
    </cfRule>
  </conditionalFormatting>
  <conditionalFormatting sqref="S370:S373">
    <cfRule type="expression" dxfId="3248" priority="2485" stopIfTrue="1">
      <formula>$C370&lt;&gt;""</formula>
    </cfRule>
  </conditionalFormatting>
  <conditionalFormatting sqref="S370:S373">
    <cfRule type="expression" dxfId="3247" priority="2484" stopIfTrue="1">
      <formula>$B370&lt;&gt;""</formula>
    </cfRule>
  </conditionalFormatting>
  <conditionalFormatting sqref="S370:S373">
    <cfRule type="expression" dxfId="3246" priority="2483" stopIfTrue="1">
      <formula>$C370&lt;&gt;""</formula>
    </cfRule>
  </conditionalFormatting>
  <conditionalFormatting sqref="S374">
    <cfRule type="expression" dxfId="3245" priority="2482" stopIfTrue="1">
      <formula>$B374&lt;&gt;""</formula>
    </cfRule>
  </conditionalFormatting>
  <conditionalFormatting sqref="S374">
    <cfRule type="expression" dxfId="3244" priority="2481" stopIfTrue="1">
      <formula>$C374&lt;&gt;""</formula>
    </cfRule>
  </conditionalFormatting>
  <conditionalFormatting sqref="S370:S373">
    <cfRule type="expression" dxfId="3243" priority="2480" stopIfTrue="1">
      <formula>$B370&lt;&gt;""</formula>
    </cfRule>
  </conditionalFormatting>
  <conditionalFormatting sqref="S370:S373">
    <cfRule type="expression" dxfId="3242" priority="2479" stopIfTrue="1">
      <formula>$C370&lt;&gt;""</formula>
    </cfRule>
  </conditionalFormatting>
  <conditionalFormatting sqref="S374">
    <cfRule type="expression" dxfId="3241" priority="2478" stopIfTrue="1">
      <formula>$B374&lt;&gt;""</formula>
    </cfRule>
  </conditionalFormatting>
  <conditionalFormatting sqref="S374">
    <cfRule type="expression" dxfId="3240" priority="2477" stopIfTrue="1">
      <formula>$C374&lt;&gt;""</formula>
    </cfRule>
  </conditionalFormatting>
  <conditionalFormatting sqref="S374">
    <cfRule type="expression" dxfId="3239" priority="2476" stopIfTrue="1">
      <formula>$B374&lt;&gt;""</formula>
    </cfRule>
  </conditionalFormatting>
  <conditionalFormatting sqref="S374">
    <cfRule type="expression" dxfId="3238" priority="2475" stopIfTrue="1">
      <formula>$C374&lt;&gt;""</formula>
    </cfRule>
  </conditionalFormatting>
  <conditionalFormatting sqref="S370">
    <cfRule type="expression" dxfId="3237" priority="2474" stopIfTrue="1">
      <formula>$C370&lt;&gt;""</formula>
    </cfRule>
  </conditionalFormatting>
  <conditionalFormatting sqref="S370">
    <cfRule type="expression" dxfId="3236" priority="2473" stopIfTrue="1">
      <formula>$B370&lt;&gt;""</formula>
    </cfRule>
  </conditionalFormatting>
  <conditionalFormatting sqref="S371:S374">
    <cfRule type="expression" dxfId="3235" priority="2472" stopIfTrue="1">
      <formula>$C371&lt;&gt;""</formula>
    </cfRule>
  </conditionalFormatting>
  <conditionalFormatting sqref="S371:S374">
    <cfRule type="expression" dxfId="3234" priority="2471" stopIfTrue="1">
      <formula>$B371&lt;&gt;""</formula>
    </cfRule>
  </conditionalFormatting>
  <conditionalFormatting sqref="S373:S374">
    <cfRule type="expression" dxfId="3233" priority="2470" stopIfTrue="1">
      <formula>$C373&lt;&gt;""</formula>
    </cfRule>
  </conditionalFormatting>
  <conditionalFormatting sqref="S373:S374">
    <cfRule type="expression" dxfId="3232" priority="2469" stopIfTrue="1">
      <formula>$B373&lt;&gt;""</formula>
    </cfRule>
  </conditionalFormatting>
  <conditionalFormatting sqref="S370:S373">
    <cfRule type="expression" dxfId="3231" priority="2468" stopIfTrue="1">
      <formula>$B370&lt;&gt;""</formula>
    </cfRule>
  </conditionalFormatting>
  <conditionalFormatting sqref="S370:S373">
    <cfRule type="expression" dxfId="3230" priority="2467" stopIfTrue="1">
      <formula>$C370&lt;&gt;""</formula>
    </cfRule>
  </conditionalFormatting>
  <conditionalFormatting sqref="S374">
    <cfRule type="expression" dxfId="3229" priority="2466" stopIfTrue="1">
      <formula>$B374&lt;&gt;""</formula>
    </cfRule>
  </conditionalFormatting>
  <conditionalFormatting sqref="S374">
    <cfRule type="expression" dxfId="3228" priority="2465" stopIfTrue="1">
      <formula>$C374&lt;&gt;""</formula>
    </cfRule>
  </conditionalFormatting>
  <conditionalFormatting sqref="S370:S372">
    <cfRule type="expression" dxfId="3227" priority="2464" stopIfTrue="1">
      <formula>$B370&lt;&gt;""</formula>
    </cfRule>
  </conditionalFormatting>
  <conditionalFormatting sqref="S370:S372">
    <cfRule type="expression" dxfId="3226" priority="2463" stopIfTrue="1">
      <formula>$C370&lt;&gt;""</formula>
    </cfRule>
  </conditionalFormatting>
  <conditionalFormatting sqref="S373:S374">
    <cfRule type="expression" dxfId="3225" priority="2462" stopIfTrue="1">
      <formula>$B373&lt;&gt;""</formula>
    </cfRule>
  </conditionalFormatting>
  <conditionalFormatting sqref="S373:S374">
    <cfRule type="expression" dxfId="3224" priority="2461" stopIfTrue="1">
      <formula>$C373&lt;&gt;""</formula>
    </cfRule>
  </conditionalFormatting>
  <conditionalFormatting sqref="S370:S373">
    <cfRule type="expression" dxfId="3223" priority="2460" stopIfTrue="1">
      <formula>$B370&lt;&gt;""</formula>
    </cfRule>
  </conditionalFormatting>
  <conditionalFormatting sqref="S370:S373">
    <cfRule type="expression" dxfId="3222" priority="2459" stopIfTrue="1">
      <formula>$C370&lt;&gt;""</formula>
    </cfRule>
  </conditionalFormatting>
  <conditionalFormatting sqref="S370:S373">
    <cfRule type="expression" dxfId="3221" priority="2458" stopIfTrue="1">
      <formula>$B370&lt;&gt;""</formula>
    </cfRule>
  </conditionalFormatting>
  <conditionalFormatting sqref="S370:S373">
    <cfRule type="expression" dxfId="3220" priority="2457" stopIfTrue="1">
      <formula>$C370&lt;&gt;""</formula>
    </cfRule>
  </conditionalFormatting>
  <conditionalFormatting sqref="S374">
    <cfRule type="expression" dxfId="3219" priority="2456" stopIfTrue="1">
      <formula>$B374&lt;&gt;""</formula>
    </cfRule>
  </conditionalFormatting>
  <conditionalFormatting sqref="S374">
    <cfRule type="expression" dxfId="3218" priority="2455" stopIfTrue="1">
      <formula>$C374&lt;&gt;""</formula>
    </cfRule>
  </conditionalFormatting>
  <conditionalFormatting sqref="S370:S373">
    <cfRule type="expression" dxfId="3217" priority="2454" stopIfTrue="1">
      <formula>$B370&lt;&gt;""</formula>
    </cfRule>
  </conditionalFormatting>
  <conditionalFormatting sqref="S370:S373">
    <cfRule type="expression" dxfId="3216" priority="2453" stopIfTrue="1">
      <formula>$C370&lt;&gt;""</formula>
    </cfRule>
  </conditionalFormatting>
  <conditionalFormatting sqref="S374">
    <cfRule type="expression" dxfId="3215" priority="2452" stopIfTrue="1">
      <formula>$B374&lt;&gt;""</formula>
    </cfRule>
  </conditionalFormatting>
  <conditionalFormatting sqref="S374">
    <cfRule type="expression" dxfId="3214" priority="2451" stopIfTrue="1">
      <formula>$C374&lt;&gt;""</formula>
    </cfRule>
  </conditionalFormatting>
  <conditionalFormatting sqref="S374">
    <cfRule type="expression" dxfId="3213" priority="2450" stopIfTrue="1">
      <formula>$B374&lt;&gt;""</formula>
    </cfRule>
  </conditionalFormatting>
  <conditionalFormatting sqref="S374">
    <cfRule type="expression" dxfId="3212" priority="2449" stopIfTrue="1">
      <formula>$C374&lt;&gt;""</formula>
    </cfRule>
  </conditionalFormatting>
  <conditionalFormatting sqref="S370">
    <cfRule type="expression" dxfId="3211" priority="2448" stopIfTrue="1">
      <formula>$C370&lt;&gt;""</formula>
    </cfRule>
  </conditionalFormatting>
  <conditionalFormatting sqref="S370">
    <cfRule type="expression" dxfId="3210" priority="2447" stopIfTrue="1">
      <formula>$B370&lt;&gt;""</formula>
    </cfRule>
  </conditionalFormatting>
  <conditionalFormatting sqref="S371:S374">
    <cfRule type="expression" dxfId="3209" priority="2446" stopIfTrue="1">
      <formula>$C371&lt;&gt;""</formula>
    </cfRule>
  </conditionalFormatting>
  <conditionalFormatting sqref="S371:S374">
    <cfRule type="expression" dxfId="3208" priority="2445" stopIfTrue="1">
      <formula>$B371&lt;&gt;""</formula>
    </cfRule>
  </conditionalFormatting>
  <conditionalFormatting sqref="S373:S374">
    <cfRule type="expression" dxfId="3207" priority="2444" stopIfTrue="1">
      <formula>$C373&lt;&gt;""</formula>
    </cfRule>
  </conditionalFormatting>
  <conditionalFormatting sqref="S373:S374">
    <cfRule type="expression" dxfId="3206" priority="2443" stopIfTrue="1">
      <formula>$B373&lt;&gt;""</formula>
    </cfRule>
  </conditionalFormatting>
  <conditionalFormatting sqref="S370">
    <cfRule type="expression" dxfId="3205" priority="2442" stopIfTrue="1">
      <formula>$B370&lt;&gt;""</formula>
    </cfRule>
  </conditionalFormatting>
  <conditionalFormatting sqref="S370">
    <cfRule type="expression" dxfId="3204" priority="2441" stopIfTrue="1">
      <formula>$C370&lt;&gt;""</formula>
    </cfRule>
  </conditionalFormatting>
  <conditionalFormatting sqref="S371">
    <cfRule type="expression" dxfId="3203" priority="2440" stopIfTrue="1">
      <formula>$B371&lt;&gt;""</formula>
    </cfRule>
  </conditionalFormatting>
  <conditionalFormatting sqref="S371">
    <cfRule type="expression" dxfId="3202" priority="2439" stopIfTrue="1">
      <formula>$C371&lt;&gt;""</formula>
    </cfRule>
  </conditionalFormatting>
  <conditionalFormatting sqref="S370">
    <cfRule type="expression" dxfId="3201" priority="2438" stopIfTrue="1">
      <formula>$B370&lt;&gt;""</formula>
    </cfRule>
  </conditionalFormatting>
  <conditionalFormatting sqref="S370">
    <cfRule type="expression" dxfId="3200" priority="2437" stopIfTrue="1">
      <formula>$C370&lt;&gt;""</formula>
    </cfRule>
  </conditionalFormatting>
  <conditionalFormatting sqref="S371:S374">
    <cfRule type="expression" dxfId="3199" priority="2436" stopIfTrue="1">
      <formula>$B371&lt;&gt;""</formula>
    </cfRule>
  </conditionalFormatting>
  <conditionalFormatting sqref="S371:S374">
    <cfRule type="expression" dxfId="3198" priority="2435" stopIfTrue="1">
      <formula>$C371&lt;&gt;""</formula>
    </cfRule>
  </conditionalFormatting>
  <conditionalFormatting sqref="S370">
    <cfRule type="expression" dxfId="3197" priority="2434" stopIfTrue="1">
      <formula>$B370&lt;&gt;""</formula>
    </cfRule>
  </conditionalFormatting>
  <conditionalFormatting sqref="S370">
    <cfRule type="expression" dxfId="3196" priority="2433" stopIfTrue="1">
      <formula>$C370&lt;&gt;""</formula>
    </cfRule>
  </conditionalFormatting>
  <conditionalFormatting sqref="S371:S374">
    <cfRule type="expression" dxfId="3195" priority="2432" stopIfTrue="1">
      <formula>$B371&lt;&gt;""</formula>
    </cfRule>
  </conditionalFormatting>
  <conditionalFormatting sqref="S371:S374">
    <cfRule type="expression" dxfId="3194" priority="2431" stopIfTrue="1">
      <formula>$C371&lt;&gt;""</formula>
    </cfRule>
  </conditionalFormatting>
  <conditionalFormatting sqref="S370:S374">
    <cfRule type="expression" dxfId="3193" priority="2430" stopIfTrue="1">
      <formula>$B370&lt;&gt;""</formula>
    </cfRule>
  </conditionalFormatting>
  <conditionalFormatting sqref="S370:S374">
    <cfRule type="expression" dxfId="3192" priority="2429" stopIfTrue="1">
      <formula>$C370&lt;&gt;""</formula>
    </cfRule>
  </conditionalFormatting>
  <conditionalFormatting sqref="S370:S374">
    <cfRule type="expression" dxfId="3191" priority="2428" stopIfTrue="1">
      <formula>$B370&lt;&gt;""</formula>
    </cfRule>
  </conditionalFormatting>
  <conditionalFormatting sqref="S370:S374">
    <cfRule type="expression" dxfId="3190" priority="2427" stopIfTrue="1">
      <formula>$C370&lt;&gt;""</formula>
    </cfRule>
  </conditionalFormatting>
  <conditionalFormatting sqref="S370:S374">
    <cfRule type="expression" dxfId="3189" priority="2426" stopIfTrue="1">
      <formula>$B370&lt;&gt;""</formula>
    </cfRule>
  </conditionalFormatting>
  <conditionalFormatting sqref="S370:S374">
    <cfRule type="expression" dxfId="3188" priority="2425" stopIfTrue="1">
      <formula>$C370&lt;&gt;""</formula>
    </cfRule>
  </conditionalFormatting>
  <conditionalFormatting sqref="S370:S374">
    <cfRule type="expression" dxfId="3187" priority="2424" stopIfTrue="1">
      <formula>$B370&lt;&gt;""</formula>
    </cfRule>
  </conditionalFormatting>
  <conditionalFormatting sqref="S370:S374">
    <cfRule type="expression" dxfId="3186" priority="2423" stopIfTrue="1">
      <formula>$C370&lt;&gt;""</formula>
    </cfRule>
  </conditionalFormatting>
  <conditionalFormatting sqref="S370:S374">
    <cfRule type="expression" dxfId="3185" priority="2422" stopIfTrue="1">
      <formula>$B370&lt;&gt;""</formula>
    </cfRule>
  </conditionalFormatting>
  <conditionalFormatting sqref="S370:S374">
    <cfRule type="expression" dxfId="3184" priority="2421" stopIfTrue="1">
      <formula>$C370&lt;&gt;""</formula>
    </cfRule>
  </conditionalFormatting>
  <conditionalFormatting sqref="S370:S374">
    <cfRule type="expression" dxfId="3183" priority="2420" stopIfTrue="1">
      <formula>$B370&lt;&gt;""</formula>
    </cfRule>
  </conditionalFormatting>
  <conditionalFormatting sqref="S370:S374">
    <cfRule type="expression" dxfId="3182" priority="2419" stopIfTrue="1">
      <formula>$C370&lt;&gt;""</formula>
    </cfRule>
  </conditionalFormatting>
  <conditionalFormatting sqref="S370:S374">
    <cfRule type="expression" dxfId="3181" priority="2418" stopIfTrue="1">
      <formula>$B370&lt;&gt;""</formula>
    </cfRule>
  </conditionalFormatting>
  <conditionalFormatting sqref="S370:S374">
    <cfRule type="expression" dxfId="3180" priority="2417" stopIfTrue="1">
      <formula>$C370&lt;&gt;""</formula>
    </cfRule>
  </conditionalFormatting>
  <conditionalFormatting sqref="S370:S373">
    <cfRule type="expression" dxfId="3179" priority="2416" stopIfTrue="1">
      <formula>$B370&lt;&gt;""</formula>
    </cfRule>
  </conditionalFormatting>
  <conditionalFormatting sqref="S370:S373">
    <cfRule type="expression" dxfId="3178" priority="2415" stopIfTrue="1">
      <formula>$C370&lt;&gt;""</formula>
    </cfRule>
  </conditionalFormatting>
  <conditionalFormatting sqref="S374">
    <cfRule type="expression" dxfId="3177" priority="2414" stopIfTrue="1">
      <formula>$B374&lt;&gt;""</formula>
    </cfRule>
  </conditionalFormatting>
  <conditionalFormatting sqref="S374">
    <cfRule type="expression" dxfId="3176" priority="2413" stopIfTrue="1">
      <formula>$C374&lt;&gt;""</formula>
    </cfRule>
  </conditionalFormatting>
  <conditionalFormatting sqref="S370:S372">
    <cfRule type="expression" dxfId="3175" priority="2412" stopIfTrue="1">
      <formula>$B370&lt;&gt;""</formula>
    </cfRule>
  </conditionalFormatting>
  <conditionalFormatting sqref="S370:S372">
    <cfRule type="expression" dxfId="3174" priority="2411" stopIfTrue="1">
      <formula>$C370&lt;&gt;""</formula>
    </cfRule>
  </conditionalFormatting>
  <conditionalFormatting sqref="S373:S374">
    <cfRule type="expression" dxfId="3173" priority="2410" stopIfTrue="1">
      <formula>$B373&lt;&gt;""</formula>
    </cfRule>
  </conditionalFormatting>
  <conditionalFormatting sqref="S373:S374">
    <cfRule type="expression" dxfId="3172" priority="2409" stopIfTrue="1">
      <formula>$C373&lt;&gt;""</formula>
    </cfRule>
  </conditionalFormatting>
  <conditionalFormatting sqref="S370:S373">
    <cfRule type="expression" dxfId="3171" priority="2408" stopIfTrue="1">
      <formula>$B370&lt;&gt;""</formula>
    </cfRule>
  </conditionalFormatting>
  <conditionalFormatting sqref="S370:S373">
    <cfRule type="expression" dxfId="3170" priority="2407" stopIfTrue="1">
      <formula>$C370&lt;&gt;""</formula>
    </cfRule>
  </conditionalFormatting>
  <conditionalFormatting sqref="S370:S373">
    <cfRule type="expression" dxfId="3169" priority="2406" stopIfTrue="1">
      <formula>$B370&lt;&gt;""</formula>
    </cfRule>
  </conditionalFormatting>
  <conditionalFormatting sqref="S370:S373">
    <cfRule type="expression" dxfId="3168" priority="2405" stopIfTrue="1">
      <formula>$C370&lt;&gt;""</formula>
    </cfRule>
  </conditionalFormatting>
  <conditionalFormatting sqref="S374">
    <cfRule type="expression" dxfId="3167" priority="2404" stopIfTrue="1">
      <formula>$B374&lt;&gt;""</formula>
    </cfRule>
  </conditionalFormatting>
  <conditionalFormatting sqref="S374">
    <cfRule type="expression" dxfId="3166" priority="2403" stopIfTrue="1">
      <formula>$C374&lt;&gt;""</formula>
    </cfRule>
  </conditionalFormatting>
  <conditionalFormatting sqref="S370:S373">
    <cfRule type="expression" dxfId="3165" priority="2402" stopIfTrue="1">
      <formula>$B370&lt;&gt;""</formula>
    </cfRule>
  </conditionalFormatting>
  <conditionalFormatting sqref="S370:S373">
    <cfRule type="expression" dxfId="3164" priority="2401" stopIfTrue="1">
      <formula>$C370&lt;&gt;""</formula>
    </cfRule>
  </conditionalFormatting>
  <conditionalFormatting sqref="S374">
    <cfRule type="expression" dxfId="3163" priority="2400" stopIfTrue="1">
      <formula>$B374&lt;&gt;""</formula>
    </cfRule>
  </conditionalFormatting>
  <conditionalFormatting sqref="S374">
    <cfRule type="expression" dxfId="3162" priority="2399" stopIfTrue="1">
      <formula>$C374&lt;&gt;""</formula>
    </cfRule>
  </conditionalFormatting>
  <conditionalFormatting sqref="S374">
    <cfRule type="expression" dxfId="3161" priority="2398" stopIfTrue="1">
      <formula>$B374&lt;&gt;""</formula>
    </cfRule>
  </conditionalFormatting>
  <conditionalFormatting sqref="S374">
    <cfRule type="expression" dxfId="3160" priority="2397" stopIfTrue="1">
      <formula>$C374&lt;&gt;""</formula>
    </cfRule>
  </conditionalFormatting>
  <conditionalFormatting sqref="S370">
    <cfRule type="expression" dxfId="3159" priority="2396" stopIfTrue="1">
      <formula>$C370&lt;&gt;""</formula>
    </cfRule>
  </conditionalFormatting>
  <conditionalFormatting sqref="S370">
    <cfRule type="expression" dxfId="3158" priority="2395" stopIfTrue="1">
      <formula>$B370&lt;&gt;""</formula>
    </cfRule>
  </conditionalFormatting>
  <conditionalFormatting sqref="S371:S374">
    <cfRule type="expression" dxfId="3157" priority="2394" stopIfTrue="1">
      <formula>$C371&lt;&gt;""</formula>
    </cfRule>
  </conditionalFormatting>
  <conditionalFormatting sqref="S371:S374">
    <cfRule type="expression" dxfId="3156" priority="2393" stopIfTrue="1">
      <formula>$B371&lt;&gt;""</formula>
    </cfRule>
  </conditionalFormatting>
  <conditionalFormatting sqref="S373:S374">
    <cfRule type="expression" dxfId="3155" priority="2392" stopIfTrue="1">
      <formula>$C373&lt;&gt;""</formula>
    </cfRule>
  </conditionalFormatting>
  <conditionalFormatting sqref="S373:S374">
    <cfRule type="expression" dxfId="3154" priority="2391" stopIfTrue="1">
      <formula>$B373&lt;&gt;""</formula>
    </cfRule>
  </conditionalFormatting>
  <conditionalFormatting sqref="S370:S373">
    <cfRule type="expression" dxfId="3153" priority="2390" stopIfTrue="1">
      <formula>$B370&lt;&gt;""</formula>
    </cfRule>
  </conditionalFormatting>
  <conditionalFormatting sqref="S370:S373">
    <cfRule type="expression" dxfId="3152" priority="2389" stopIfTrue="1">
      <formula>$C370&lt;&gt;""</formula>
    </cfRule>
  </conditionalFormatting>
  <conditionalFormatting sqref="S374">
    <cfRule type="expression" dxfId="3151" priority="2388" stopIfTrue="1">
      <formula>$B374&lt;&gt;""</formula>
    </cfRule>
  </conditionalFormatting>
  <conditionalFormatting sqref="S374">
    <cfRule type="expression" dxfId="3150" priority="2387" stopIfTrue="1">
      <formula>$C374&lt;&gt;""</formula>
    </cfRule>
  </conditionalFormatting>
  <conditionalFormatting sqref="S370:S372">
    <cfRule type="expression" dxfId="3149" priority="2386" stopIfTrue="1">
      <formula>$B370&lt;&gt;""</formula>
    </cfRule>
  </conditionalFormatting>
  <conditionalFormatting sqref="S370:S372">
    <cfRule type="expression" dxfId="3148" priority="2385" stopIfTrue="1">
      <formula>$C370&lt;&gt;""</formula>
    </cfRule>
  </conditionalFormatting>
  <conditionalFormatting sqref="S373:S374">
    <cfRule type="expression" dxfId="3147" priority="2384" stopIfTrue="1">
      <formula>$B373&lt;&gt;""</formula>
    </cfRule>
  </conditionalFormatting>
  <conditionalFormatting sqref="S373:S374">
    <cfRule type="expression" dxfId="3146" priority="2383" stopIfTrue="1">
      <formula>$C373&lt;&gt;""</formula>
    </cfRule>
  </conditionalFormatting>
  <conditionalFormatting sqref="S370:S373">
    <cfRule type="expression" dxfId="3145" priority="2382" stopIfTrue="1">
      <formula>$B370&lt;&gt;""</formula>
    </cfRule>
  </conditionalFormatting>
  <conditionalFormatting sqref="S370:S373">
    <cfRule type="expression" dxfId="3144" priority="2381" stopIfTrue="1">
      <formula>$C370&lt;&gt;""</formula>
    </cfRule>
  </conditionalFormatting>
  <conditionalFormatting sqref="S370:S373">
    <cfRule type="expression" dxfId="3143" priority="2380" stopIfTrue="1">
      <formula>$B370&lt;&gt;""</formula>
    </cfRule>
  </conditionalFormatting>
  <conditionalFormatting sqref="S370:S373">
    <cfRule type="expression" dxfId="3142" priority="2379" stopIfTrue="1">
      <formula>$C370&lt;&gt;""</formula>
    </cfRule>
  </conditionalFormatting>
  <conditionalFormatting sqref="S374">
    <cfRule type="expression" dxfId="3141" priority="2378" stopIfTrue="1">
      <formula>$B374&lt;&gt;""</formula>
    </cfRule>
  </conditionalFormatting>
  <conditionalFormatting sqref="S374">
    <cfRule type="expression" dxfId="3140" priority="2377" stopIfTrue="1">
      <formula>$C374&lt;&gt;""</formula>
    </cfRule>
  </conditionalFormatting>
  <conditionalFormatting sqref="S370:S373">
    <cfRule type="expression" dxfId="3139" priority="2376" stopIfTrue="1">
      <formula>$B370&lt;&gt;""</formula>
    </cfRule>
  </conditionalFormatting>
  <conditionalFormatting sqref="S370:S373">
    <cfRule type="expression" dxfId="3138" priority="2375" stopIfTrue="1">
      <formula>$C370&lt;&gt;""</formula>
    </cfRule>
  </conditionalFormatting>
  <conditionalFormatting sqref="S374">
    <cfRule type="expression" dxfId="3137" priority="2374" stopIfTrue="1">
      <formula>$B374&lt;&gt;""</formula>
    </cfRule>
  </conditionalFormatting>
  <conditionalFormatting sqref="S374">
    <cfRule type="expression" dxfId="3136" priority="2373" stopIfTrue="1">
      <formula>$C374&lt;&gt;""</formula>
    </cfRule>
  </conditionalFormatting>
  <conditionalFormatting sqref="S374">
    <cfRule type="expression" dxfId="3135" priority="2372" stopIfTrue="1">
      <formula>$B374&lt;&gt;""</formula>
    </cfRule>
  </conditionalFormatting>
  <conditionalFormatting sqref="S374">
    <cfRule type="expression" dxfId="3134" priority="2371" stopIfTrue="1">
      <formula>$C374&lt;&gt;""</formula>
    </cfRule>
  </conditionalFormatting>
  <conditionalFormatting sqref="S370">
    <cfRule type="expression" dxfId="3133" priority="2370" stopIfTrue="1">
      <formula>$C370&lt;&gt;""</formula>
    </cfRule>
  </conditionalFormatting>
  <conditionalFormatting sqref="S370">
    <cfRule type="expression" dxfId="3132" priority="2369" stopIfTrue="1">
      <formula>$B370&lt;&gt;""</formula>
    </cfRule>
  </conditionalFormatting>
  <conditionalFormatting sqref="S371:S374">
    <cfRule type="expression" dxfId="3131" priority="2368" stopIfTrue="1">
      <formula>$C371&lt;&gt;""</formula>
    </cfRule>
  </conditionalFormatting>
  <conditionalFormatting sqref="S371:S374">
    <cfRule type="expression" dxfId="3130" priority="2367" stopIfTrue="1">
      <formula>$B371&lt;&gt;""</formula>
    </cfRule>
  </conditionalFormatting>
  <conditionalFormatting sqref="S373:S374">
    <cfRule type="expression" dxfId="3129" priority="2366" stopIfTrue="1">
      <formula>$C373&lt;&gt;""</formula>
    </cfRule>
  </conditionalFormatting>
  <conditionalFormatting sqref="S373:S374">
    <cfRule type="expression" dxfId="3128" priority="2365" stopIfTrue="1">
      <formula>$B373&lt;&gt;""</formula>
    </cfRule>
  </conditionalFormatting>
  <conditionalFormatting sqref="S375">
    <cfRule type="expression" dxfId="3127" priority="2364" stopIfTrue="1">
      <formula>$B375&lt;&gt;""</formula>
    </cfRule>
  </conditionalFormatting>
  <conditionalFormatting sqref="S375">
    <cfRule type="expression" dxfId="3126" priority="2363" stopIfTrue="1">
      <formula>$C375&lt;&gt;""</formula>
    </cfRule>
  </conditionalFormatting>
  <conditionalFormatting sqref="S375">
    <cfRule type="expression" dxfId="3125" priority="2362" stopIfTrue="1">
      <formula>$B375&lt;&gt;""</formula>
    </cfRule>
  </conditionalFormatting>
  <conditionalFormatting sqref="S375">
    <cfRule type="expression" dxfId="3124" priority="2361" stopIfTrue="1">
      <formula>$C375&lt;&gt;""</formula>
    </cfRule>
  </conditionalFormatting>
  <conditionalFormatting sqref="S375">
    <cfRule type="expression" dxfId="3123" priority="2360" stopIfTrue="1">
      <formula>$B375&lt;&gt;""</formula>
    </cfRule>
  </conditionalFormatting>
  <conditionalFormatting sqref="S375">
    <cfRule type="expression" dxfId="3122" priority="2359" stopIfTrue="1">
      <formula>$C375&lt;&gt;""</formula>
    </cfRule>
  </conditionalFormatting>
  <conditionalFormatting sqref="S375">
    <cfRule type="expression" dxfId="3121" priority="2358" stopIfTrue="1">
      <formula>$B375&lt;&gt;""</formula>
    </cfRule>
  </conditionalFormatting>
  <conditionalFormatting sqref="S375">
    <cfRule type="expression" dxfId="3120" priority="2357" stopIfTrue="1">
      <formula>$C375&lt;&gt;""</formula>
    </cfRule>
  </conditionalFormatting>
  <conditionalFormatting sqref="S375">
    <cfRule type="expression" dxfId="3119" priority="2356" stopIfTrue="1">
      <formula>$B375&lt;&gt;""</formula>
    </cfRule>
  </conditionalFormatting>
  <conditionalFormatting sqref="S375">
    <cfRule type="expression" dxfId="3118" priority="2355" stopIfTrue="1">
      <formula>$C375&lt;&gt;""</formula>
    </cfRule>
  </conditionalFormatting>
  <conditionalFormatting sqref="S375">
    <cfRule type="expression" dxfId="3117" priority="2354" stopIfTrue="1">
      <formula>$B375&lt;&gt;""</formula>
    </cfRule>
  </conditionalFormatting>
  <conditionalFormatting sqref="S375">
    <cfRule type="expression" dxfId="3116" priority="2353" stopIfTrue="1">
      <formula>$C375&lt;&gt;""</formula>
    </cfRule>
  </conditionalFormatting>
  <conditionalFormatting sqref="S375">
    <cfRule type="expression" dxfId="3115" priority="2352" stopIfTrue="1">
      <formula>$B375&lt;&gt;""</formula>
    </cfRule>
  </conditionalFormatting>
  <conditionalFormatting sqref="S375">
    <cfRule type="expression" dxfId="3114" priority="2351" stopIfTrue="1">
      <formula>$C375&lt;&gt;""</formula>
    </cfRule>
  </conditionalFormatting>
  <conditionalFormatting sqref="S375">
    <cfRule type="expression" dxfId="3113" priority="2350" stopIfTrue="1">
      <formula>$B375&lt;&gt;""</formula>
    </cfRule>
  </conditionalFormatting>
  <conditionalFormatting sqref="S375">
    <cfRule type="expression" dxfId="3112" priority="2349" stopIfTrue="1">
      <formula>$C375&lt;&gt;""</formula>
    </cfRule>
  </conditionalFormatting>
  <conditionalFormatting sqref="S375">
    <cfRule type="expression" dxfId="3111" priority="2348" stopIfTrue="1">
      <formula>$B375&lt;&gt;""</formula>
    </cfRule>
  </conditionalFormatting>
  <conditionalFormatting sqref="S375">
    <cfRule type="expression" dxfId="3110" priority="2347" stopIfTrue="1">
      <formula>$C375&lt;&gt;""</formula>
    </cfRule>
  </conditionalFormatting>
  <conditionalFormatting sqref="S375">
    <cfRule type="expression" dxfId="3109" priority="2346" stopIfTrue="1">
      <formula>$B375&lt;&gt;""</formula>
    </cfRule>
  </conditionalFormatting>
  <conditionalFormatting sqref="S375">
    <cfRule type="expression" dxfId="3108" priority="2345" stopIfTrue="1">
      <formula>$C375&lt;&gt;""</formula>
    </cfRule>
  </conditionalFormatting>
  <conditionalFormatting sqref="S375">
    <cfRule type="expression" dxfId="3107" priority="2344" stopIfTrue="1">
      <formula>$B375&lt;&gt;""</formula>
    </cfRule>
  </conditionalFormatting>
  <conditionalFormatting sqref="S375">
    <cfRule type="expression" dxfId="3106" priority="2343" stopIfTrue="1">
      <formula>$C375&lt;&gt;""</formula>
    </cfRule>
  </conditionalFormatting>
  <conditionalFormatting sqref="S375">
    <cfRule type="expression" dxfId="3105" priority="2342" stopIfTrue="1">
      <formula>$B375&lt;&gt;""</formula>
    </cfRule>
  </conditionalFormatting>
  <conditionalFormatting sqref="S375">
    <cfRule type="expression" dxfId="3104" priority="2341" stopIfTrue="1">
      <formula>$C375&lt;&gt;""</formula>
    </cfRule>
  </conditionalFormatting>
  <conditionalFormatting sqref="S375">
    <cfRule type="expression" dxfId="3103" priority="2340" stopIfTrue="1">
      <formula>$B375&lt;&gt;""</formula>
    </cfRule>
  </conditionalFormatting>
  <conditionalFormatting sqref="S375">
    <cfRule type="expression" dxfId="3102" priority="2339" stopIfTrue="1">
      <formula>$C375&lt;&gt;""</formula>
    </cfRule>
  </conditionalFormatting>
  <conditionalFormatting sqref="S375">
    <cfRule type="expression" dxfId="3101" priority="2338" stopIfTrue="1">
      <formula>$B375&lt;&gt;""</formula>
    </cfRule>
  </conditionalFormatting>
  <conditionalFormatting sqref="S375">
    <cfRule type="expression" dxfId="3100" priority="2337" stopIfTrue="1">
      <formula>$C375&lt;&gt;""</formula>
    </cfRule>
  </conditionalFormatting>
  <conditionalFormatting sqref="S375">
    <cfRule type="expression" dxfId="3099" priority="2336" stopIfTrue="1">
      <formula>$C375&lt;&gt;""</formula>
    </cfRule>
  </conditionalFormatting>
  <conditionalFormatting sqref="S375">
    <cfRule type="expression" dxfId="3098" priority="2335" stopIfTrue="1">
      <formula>$B375&lt;&gt;""</formula>
    </cfRule>
  </conditionalFormatting>
  <conditionalFormatting sqref="S375">
    <cfRule type="expression" dxfId="3097" priority="2334" stopIfTrue="1">
      <formula>$C375&lt;&gt;""</formula>
    </cfRule>
  </conditionalFormatting>
  <conditionalFormatting sqref="S375">
    <cfRule type="expression" dxfId="3096" priority="2333" stopIfTrue="1">
      <formula>$B375&lt;&gt;""</formula>
    </cfRule>
  </conditionalFormatting>
  <conditionalFormatting sqref="S375">
    <cfRule type="expression" dxfId="3095" priority="2332" stopIfTrue="1">
      <formula>$B375&lt;&gt;""</formula>
    </cfRule>
  </conditionalFormatting>
  <conditionalFormatting sqref="S375">
    <cfRule type="expression" dxfId="3094" priority="2331" stopIfTrue="1">
      <formula>$C375&lt;&gt;""</formula>
    </cfRule>
  </conditionalFormatting>
  <conditionalFormatting sqref="S375">
    <cfRule type="expression" dxfId="3093" priority="2330" stopIfTrue="1">
      <formula>$B375&lt;&gt;""</formula>
    </cfRule>
  </conditionalFormatting>
  <conditionalFormatting sqref="S375">
    <cfRule type="expression" dxfId="3092" priority="2329" stopIfTrue="1">
      <formula>$C375&lt;&gt;""</formula>
    </cfRule>
  </conditionalFormatting>
  <conditionalFormatting sqref="S375">
    <cfRule type="expression" dxfId="3091" priority="2328" stopIfTrue="1">
      <formula>$B375&lt;&gt;""</formula>
    </cfRule>
  </conditionalFormatting>
  <conditionalFormatting sqref="S375">
    <cfRule type="expression" dxfId="3090" priority="2327" stopIfTrue="1">
      <formula>$C375&lt;&gt;""</formula>
    </cfRule>
  </conditionalFormatting>
  <conditionalFormatting sqref="S375">
    <cfRule type="expression" dxfId="3089" priority="2326" stopIfTrue="1">
      <formula>$B375&lt;&gt;""</formula>
    </cfRule>
  </conditionalFormatting>
  <conditionalFormatting sqref="S375">
    <cfRule type="expression" dxfId="3088" priority="2325" stopIfTrue="1">
      <formula>$C375&lt;&gt;""</formula>
    </cfRule>
  </conditionalFormatting>
  <conditionalFormatting sqref="S375">
    <cfRule type="expression" dxfId="3087" priority="2324" stopIfTrue="1">
      <formula>$B375&lt;&gt;""</formula>
    </cfRule>
  </conditionalFormatting>
  <conditionalFormatting sqref="S375">
    <cfRule type="expression" dxfId="3086" priority="2323" stopIfTrue="1">
      <formula>$C375&lt;&gt;""</formula>
    </cfRule>
  </conditionalFormatting>
  <conditionalFormatting sqref="S375">
    <cfRule type="expression" dxfId="3085" priority="2322" stopIfTrue="1">
      <formula>$C375&lt;&gt;""</formula>
    </cfRule>
  </conditionalFormatting>
  <conditionalFormatting sqref="S375">
    <cfRule type="expression" dxfId="3084" priority="2321" stopIfTrue="1">
      <formula>$B375&lt;&gt;""</formula>
    </cfRule>
  </conditionalFormatting>
  <conditionalFormatting sqref="S375">
    <cfRule type="expression" dxfId="3083" priority="2320" stopIfTrue="1">
      <formula>$C375&lt;&gt;""</formula>
    </cfRule>
  </conditionalFormatting>
  <conditionalFormatting sqref="S375">
    <cfRule type="expression" dxfId="3082" priority="2319" stopIfTrue="1">
      <formula>$B375&lt;&gt;""</formula>
    </cfRule>
  </conditionalFormatting>
  <conditionalFormatting sqref="S375">
    <cfRule type="expression" dxfId="3081" priority="2318" stopIfTrue="1">
      <formula>$B375&lt;&gt;""</formula>
    </cfRule>
  </conditionalFormatting>
  <conditionalFormatting sqref="S375">
    <cfRule type="expression" dxfId="3080" priority="2317" stopIfTrue="1">
      <formula>$C375&lt;&gt;""</formula>
    </cfRule>
  </conditionalFormatting>
  <conditionalFormatting sqref="S376">
    <cfRule type="expression" dxfId="3079" priority="2316" stopIfTrue="1">
      <formula>$B376&lt;&gt;""</formula>
    </cfRule>
  </conditionalFormatting>
  <conditionalFormatting sqref="S376">
    <cfRule type="expression" dxfId="3078" priority="2315" stopIfTrue="1">
      <formula>$C376&lt;&gt;""</formula>
    </cfRule>
  </conditionalFormatting>
  <conditionalFormatting sqref="S375">
    <cfRule type="expression" dxfId="3077" priority="2314" stopIfTrue="1">
      <formula>$B375&lt;&gt;""</formula>
    </cfRule>
  </conditionalFormatting>
  <conditionalFormatting sqref="S375">
    <cfRule type="expression" dxfId="3076" priority="2313" stopIfTrue="1">
      <formula>$C375&lt;&gt;""</formula>
    </cfRule>
  </conditionalFormatting>
  <conditionalFormatting sqref="S376:S379">
    <cfRule type="expression" dxfId="3075" priority="2312" stopIfTrue="1">
      <formula>$B376&lt;&gt;""</formula>
    </cfRule>
  </conditionalFormatting>
  <conditionalFormatting sqref="S376:S379">
    <cfRule type="expression" dxfId="3074" priority="2311" stopIfTrue="1">
      <formula>$C376&lt;&gt;""</formula>
    </cfRule>
  </conditionalFormatting>
  <conditionalFormatting sqref="S375">
    <cfRule type="expression" dxfId="3073" priority="2310" stopIfTrue="1">
      <formula>$B375&lt;&gt;""</formula>
    </cfRule>
  </conditionalFormatting>
  <conditionalFormatting sqref="S375">
    <cfRule type="expression" dxfId="3072" priority="2309" stopIfTrue="1">
      <formula>$C375&lt;&gt;""</formula>
    </cfRule>
  </conditionalFormatting>
  <conditionalFormatting sqref="S376:S379">
    <cfRule type="expression" dxfId="3071" priority="2308" stopIfTrue="1">
      <formula>$B376&lt;&gt;""</formula>
    </cfRule>
  </conditionalFormatting>
  <conditionalFormatting sqref="S376:S379">
    <cfRule type="expression" dxfId="3070" priority="2307" stopIfTrue="1">
      <formula>$C376&lt;&gt;""</formula>
    </cfRule>
  </conditionalFormatting>
  <conditionalFormatting sqref="S375:S379">
    <cfRule type="expression" dxfId="3069" priority="2306" stopIfTrue="1">
      <formula>$B375&lt;&gt;""</formula>
    </cfRule>
  </conditionalFormatting>
  <conditionalFormatting sqref="S375:S379">
    <cfRule type="expression" dxfId="3068" priority="2305" stopIfTrue="1">
      <formula>$C375&lt;&gt;""</formula>
    </cfRule>
  </conditionalFormatting>
  <conditionalFormatting sqref="S375:S379">
    <cfRule type="expression" dxfId="3067" priority="2304" stopIfTrue="1">
      <formula>$B375&lt;&gt;""</formula>
    </cfRule>
  </conditionalFormatting>
  <conditionalFormatting sqref="S375:S379">
    <cfRule type="expression" dxfId="3066" priority="2303" stopIfTrue="1">
      <formula>$C375&lt;&gt;""</formula>
    </cfRule>
  </conditionalFormatting>
  <conditionalFormatting sqref="S375:S379">
    <cfRule type="expression" dxfId="3065" priority="2302" stopIfTrue="1">
      <formula>$B375&lt;&gt;""</formula>
    </cfRule>
  </conditionalFormatting>
  <conditionalFormatting sqref="S375:S379">
    <cfRule type="expression" dxfId="3064" priority="2301" stopIfTrue="1">
      <formula>$C375&lt;&gt;""</formula>
    </cfRule>
  </conditionalFormatting>
  <conditionalFormatting sqref="S375:S379">
    <cfRule type="expression" dxfId="3063" priority="2300" stopIfTrue="1">
      <formula>$B375&lt;&gt;""</formula>
    </cfRule>
  </conditionalFormatting>
  <conditionalFormatting sqref="S375:S379">
    <cfRule type="expression" dxfId="3062" priority="2299" stopIfTrue="1">
      <formula>$C375&lt;&gt;""</formula>
    </cfRule>
  </conditionalFormatting>
  <conditionalFormatting sqref="S375:S379">
    <cfRule type="expression" dxfId="3061" priority="2298" stopIfTrue="1">
      <formula>$B375&lt;&gt;""</formula>
    </cfRule>
  </conditionalFormatting>
  <conditionalFormatting sqref="S375:S379">
    <cfRule type="expression" dxfId="3060" priority="2297" stopIfTrue="1">
      <formula>$C375&lt;&gt;""</formula>
    </cfRule>
  </conditionalFormatting>
  <conditionalFormatting sqref="S375:S379">
    <cfRule type="expression" dxfId="3059" priority="2296" stopIfTrue="1">
      <formula>$B375&lt;&gt;""</formula>
    </cfRule>
  </conditionalFormatting>
  <conditionalFormatting sqref="S375:S379">
    <cfRule type="expression" dxfId="3058" priority="2295" stopIfTrue="1">
      <formula>$C375&lt;&gt;""</formula>
    </cfRule>
  </conditionalFormatting>
  <conditionalFormatting sqref="S375:S379">
    <cfRule type="expression" dxfId="3057" priority="2294" stopIfTrue="1">
      <formula>$B375&lt;&gt;""</formula>
    </cfRule>
  </conditionalFormatting>
  <conditionalFormatting sqref="S375:S379">
    <cfRule type="expression" dxfId="3056" priority="2293" stopIfTrue="1">
      <formula>$C375&lt;&gt;""</formula>
    </cfRule>
  </conditionalFormatting>
  <conditionalFormatting sqref="S375:S378">
    <cfRule type="expression" dxfId="3055" priority="2292" stopIfTrue="1">
      <formula>$B375&lt;&gt;""</formula>
    </cfRule>
  </conditionalFormatting>
  <conditionalFormatting sqref="S375:S378">
    <cfRule type="expression" dxfId="3054" priority="2291" stopIfTrue="1">
      <formula>$C375&lt;&gt;""</formula>
    </cfRule>
  </conditionalFormatting>
  <conditionalFormatting sqref="S379">
    <cfRule type="expression" dxfId="3053" priority="2290" stopIfTrue="1">
      <formula>$B379&lt;&gt;""</formula>
    </cfRule>
  </conditionalFormatting>
  <conditionalFormatting sqref="S379">
    <cfRule type="expression" dxfId="3052" priority="2289" stopIfTrue="1">
      <formula>$C379&lt;&gt;""</formula>
    </cfRule>
  </conditionalFormatting>
  <conditionalFormatting sqref="S375:S377">
    <cfRule type="expression" dxfId="3051" priority="2288" stopIfTrue="1">
      <formula>$B375&lt;&gt;""</formula>
    </cfRule>
  </conditionalFormatting>
  <conditionalFormatting sqref="S375:S377">
    <cfRule type="expression" dxfId="3050" priority="2287" stopIfTrue="1">
      <formula>$C375&lt;&gt;""</formula>
    </cfRule>
  </conditionalFormatting>
  <conditionalFormatting sqref="S378:S379">
    <cfRule type="expression" dxfId="3049" priority="2286" stopIfTrue="1">
      <formula>$B378&lt;&gt;""</formula>
    </cfRule>
  </conditionalFormatting>
  <conditionalFormatting sqref="S378:S379">
    <cfRule type="expression" dxfId="3048" priority="2285" stopIfTrue="1">
      <formula>$C378&lt;&gt;""</formula>
    </cfRule>
  </conditionalFormatting>
  <conditionalFormatting sqref="S375:S378">
    <cfRule type="expression" dxfId="3047" priority="2284" stopIfTrue="1">
      <formula>$B375&lt;&gt;""</formula>
    </cfRule>
  </conditionalFormatting>
  <conditionalFormatting sqref="S375:S378">
    <cfRule type="expression" dxfId="3046" priority="2283" stopIfTrue="1">
      <formula>$C375&lt;&gt;""</formula>
    </cfRule>
  </conditionalFormatting>
  <conditionalFormatting sqref="S375:S378">
    <cfRule type="expression" dxfId="3045" priority="2282" stopIfTrue="1">
      <formula>$B375&lt;&gt;""</formula>
    </cfRule>
  </conditionalFormatting>
  <conditionalFormatting sqref="S375:S378">
    <cfRule type="expression" dxfId="3044" priority="2281" stopIfTrue="1">
      <formula>$C375&lt;&gt;""</formula>
    </cfRule>
  </conditionalFormatting>
  <conditionalFormatting sqref="S379">
    <cfRule type="expression" dxfId="3043" priority="2280" stopIfTrue="1">
      <formula>$B379&lt;&gt;""</formula>
    </cfRule>
  </conditionalFormatting>
  <conditionalFormatting sqref="S379">
    <cfRule type="expression" dxfId="3042" priority="2279" stopIfTrue="1">
      <formula>$C379&lt;&gt;""</formula>
    </cfRule>
  </conditionalFormatting>
  <conditionalFormatting sqref="S375:S378">
    <cfRule type="expression" dxfId="3041" priority="2278" stopIfTrue="1">
      <formula>$B375&lt;&gt;""</formula>
    </cfRule>
  </conditionalFormatting>
  <conditionalFormatting sqref="S375:S378">
    <cfRule type="expression" dxfId="3040" priority="2277" stopIfTrue="1">
      <formula>$C375&lt;&gt;""</formula>
    </cfRule>
  </conditionalFormatting>
  <conditionalFormatting sqref="S379">
    <cfRule type="expression" dxfId="3039" priority="2276" stopIfTrue="1">
      <formula>$B379&lt;&gt;""</formula>
    </cfRule>
  </conditionalFormatting>
  <conditionalFormatting sqref="S379">
    <cfRule type="expression" dxfId="3038" priority="2275" stopIfTrue="1">
      <formula>$C379&lt;&gt;""</formula>
    </cfRule>
  </conditionalFormatting>
  <conditionalFormatting sqref="S379">
    <cfRule type="expression" dxfId="3037" priority="2274" stopIfTrue="1">
      <formula>$B379&lt;&gt;""</formula>
    </cfRule>
  </conditionalFormatting>
  <conditionalFormatting sqref="S379">
    <cfRule type="expression" dxfId="3036" priority="2273" stopIfTrue="1">
      <formula>$C379&lt;&gt;""</formula>
    </cfRule>
  </conditionalFormatting>
  <conditionalFormatting sqref="S375">
    <cfRule type="expression" dxfId="3035" priority="2272" stopIfTrue="1">
      <formula>$C375&lt;&gt;""</formula>
    </cfRule>
  </conditionalFormatting>
  <conditionalFormatting sqref="S375">
    <cfRule type="expression" dxfId="3034" priority="2271" stopIfTrue="1">
      <formula>$B375&lt;&gt;""</formula>
    </cfRule>
  </conditionalFormatting>
  <conditionalFormatting sqref="S376:S379">
    <cfRule type="expression" dxfId="3033" priority="2270" stopIfTrue="1">
      <formula>$C376&lt;&gt;""</formula>
    </cfRule>
  </conditionalFormatting>
  <conditionalFormatting sqref="S376:S379">
    <cfRule type="expression" dxfId="3032" priority="2269" stopIfTrue="1">
      <formula>$B376&lt;&gt;""</formula>
    </cfRule>
  </conditionalFormatting>
  <conditionalFormatting sqref="S378:S379">
    <cfRule type="expression" dxfId="3031" priority="2268" stopIfTrue="1">
      <formula>$C378&lt;&gt;""</formula>
    </cfRule>
  </conditionalFormatting>
  <conditionalFormatting sqref="S378:S379">
    <cfRule type="expression" dxfId="3030" priority="2267" stopIfTrue="1">
      <formula>$B378&lt;&gt;""</formula>
    </cfRule>
  </conditionalFormatting>
  <conditionalFormatting sqref="S375:S378">
    <cfRule type="expression" dxfId="3029" priority="2266" stopIfTrue="1">
      <formula>$B375&lt;&gt;""</formula>
    </cfRule>
  </conditionalFormatting>
  <conditionalFormatting sqref="S375:S378">
    <cfRule type="expression" dxfId="3028" priority="2265" stopIfTrue="1">
      <formula>$C375&lt;&gt;""</formula>
    </cfRule>
  </conditionalFormatting>
  <conditionalFormatting sqref="S379">
    <cfRule type="expression" dxfId="3027" priority="2264" stopIfTrue="1">
      <formula>$B379&lt;&gt;""</formula>
    </cfRule>
  </conditionalFormatting>
  <conditionalFormatting sqref="S379">
    <cfRule type="expression" dxfId="3026" priority="2263" stopIfTrue="1">
      <formula>$C379&lt;&gt;""</formula>
    </cfRule>
  </conditionalFormatting>
  <conditionalFormatting sqref="S375:S377">
    <cfRule type="expression" dxfId="3025" priority="2262" stopIfTrue="1">
      <formula>$B375&lt;&gt;""</formula>
    </cfRule>
  </conditionalFormatting>
  <conditionalFormatting sqref="S375:S377">
    <cfRule type="expression" dxfId="3024" priority="2261" stopIfTrue="1">
      <formula>$C375&lt;&gt;""</formula>
    </cfRule>
  </conditionalFormatting>
  <conditionalFormatting sqref="S378:S379">
    <cfRule type="expression" dxfId="3023" priority="2260" stopIfTrue="1">
      <formula>$B378&lt;&gt;""</formula>
    </cfRule>
  </conditionalFormatting>
  <conditionalFormatting sqref="S378:S379">
    <cfRule type="expression" dxfId="3022" priority="2259" stopIfTrue="1">
      <formula>$C378&lt;&gt;""</formula>
    </cfRule>
  </conditionalFormatting>
  <conditionalFormatting sqref="S375:S378">
    <cfRule type="expression" dxfId="3021" priority="2258" stopIfTrue="1">
      <formula>$B375&lt;&gt;""</formula>
    </cfRule>
  </conditionalFormatting>
  <conditionalFormatting sqref="S375:S378">
    <cfRule type="expression" dxfId="3020" priority="2257" stopIfTrue="1">
      <formula>$C375&lt;&gt;""</formula>
    </cfRule>
  </conditionalFormatting>
  <conditionalFormatting sqref="S375:S378">
    <cfRule type="expression" dxfId="3019" priority="2256" stopIfTrue="1">
      <formula>$B375&lt;&gt;""</formula>
    </cfRule>
  </conditionalFormatting>
  <conditionalFormatting sqref="S375:S378">
    <cfRule type="expression" dxfId="3018" priority="2255" stopIfTrue="1">
      <formula>$C375&lt;&gt;""</formula>
    </cfRule>
  </conditionalFormatting>
  <conditionalFormatting sqref="S379">
    <cfRule type="expression" dxfId="3017" priority="2254" stopIfTrue="1">
      <formula>$B379&lt;&gt;""</formula>
    </cfRule>
  </conditionalFormatting>
  <conditionalFormatting sqref="S379">
    <cfRule type="expression" dxfId="3016" priority="2253" stopIfTrue="1">
      <formula>$C379&lt;&gt;""</formula>
    </cfRule>
  </conditionalFormatting>
  <conditionalFormatting sqref="S375:S378">
    <cfRule type="expression" dxfId="3015" priority="2252" stopIfTrue="1">
      <formula>$B375&lt;&gt;""</formula>
    </cfRule>
  </conditionalFormatting>
  <conditionalFormatting sqref="S375:S378">
    <cfRule type="expression" dxfId="3014" priority="2251" stopIfTrue="1">
      <formula>$C375&lt;&gt;""</formula>
    </cfRule>
  </conditionalFormatting>
  <conditionalFormatting sqref="S379">
    <cfRule type="expression" dxfId="3013" priority="2250" stopIfTrue="1">
      <formula>$B379&lt;&gt;""</formula>
    </cfRule>
  </conditionalFormatting>
  <conditionalFormatting sqref="S379">
    <cfRule type="expression" dxfId="3012" priority="2249" stopIfTrue="1">
      <formula>$C379&lt;&gt;""</formula>
    </cfRule>
  </conditionalFormatting>
  <conditionalFormatting sqref="S379">
    <cfRule type="expression" dxfId="3011" priority="2248" stopIfTrue="1">
      <formula>$B379&lt;&gt;""</formula>
    </cfRule>
  </conditionalFormatting>
  <conditionalFormatting sqref="S379">
    <cfRule type="expression" dxfId="3010" priority="2247" stopIfTrue="1">
      <formula>$C379&lt;&gt;""</formula>
    </cfRule>
  </conditionalFormatting>
  <conditionalFormatting sqref="S375">
    <cfRule type="expression" dxfId="3009" priority="2246" stopIfTrue="1">
      <formula>$C375&lt;&gt;""</formula>
    </cfRule>
  </conditionalFormatting>
  <conditionalFormatting sqref="S375">
    <cfRule type="expression" dxfId="3008" priority="2245" stopIfTrue="1">
      <formula>$B375&lt;&gt;""</formula>
    </cfRule>
  </conditionalFormatting>
  <conditionalFormatting sqref="S376:S379">
    <cfRule type="expression" dxfId="3007" priority="2244" stopIfTrue="1">
      <formula>$C376&lt;&gt;""</formula>
    </cfRule>
  </conditionalFormatting>
  <conditionalFormatting sqref="S376:S379">
    <cfRule type="expression" dxfId="3006" priority="2243" stopIfTrue="1">
      <formula>$B376&lt;&gt;""</formula>
    </cfRule>
  </conditionalFormatting>
  <conditionalFormatting sqref="S378:S379">
    <cfRule type="expression" dxfId="3005" priority="2242" stopIfTrue="1">
      <formula>$C378&lt;&gt;""</formula>
    </cfRule>
  </conditionalFormatting>
  <conditionalFormatting sqref="S378:S379">
    <cfRule type="expression" dxfId="3004" priority="2241" stopIfTrue="1">
      <formula>$B378&lt;&gt;""</formula>
    </cfRule>
  </conditionalFormatting>
  <conditionalFormatting sqref="S375">
    <cfRule type="expression" dxfId="3003" priority="2240" stopIfTrue="1">
      <formula>$B375&lt;&gt;""</formula>
    </cfRule>
  </conditionalFormatting>
  <conditionalFormatting sqref="S375">
    <cfRule type="expression" dxfId="3002" priority="2239" stopIfTrue="1">
      <formula>$C375&lt;&gt;""</formula>
    </cfRule>
  </conditionalFormatting>
  <conditionalFormatting sqref="S375">
    <cfRule type="expression" dxfId="3001" priority="2238" stopIfTrue="1">
      <formula>$B375&lt;&gt;""</formula>
    </cfRule>
  </conditionalFormatting>
  <conditionalFormatting sqref="S375">
    <cfRule type="expression" dxfId="3000" priority="2237" stopIfTrue="1">
      <formula>$C375&lt;&gt;""</formula>
    </cfRule>
  </conditionalFormatting>
  <conditionalFormatting sqref="S375">
    <cfRule type="expression" dxfId="2999" priority="2236" stopIfTrue="1">
      <formula>$B375&lt;&gt;""</formula>
    </cfRule>
  </conditionalFormatting>
  <conditionalFormatting sqref="S375">
    <cfRule type="expression" dxfId="2998" priority="2235" stopIfTrue="1">
      <formula>$C375&lt;&gt;""</formula>
    </cfRule>
  </conditionalFormatting>
  <conditionalFormatting sqref="S375">
    <cfRule type="expression" dxfId="2997" priority="2234" stopIfTrue="1">
      <formula>$B375&lt;&gt;""</formula>
    </cfRule>
  </conditionalFormatting>
  <conditionalFormatting sqref="S375">
    <cfRule type="expression" dxfId="2996" priority="2233" stopIfTrue="1">
      <formula>$C375&lt;&gt;""</formula>
    </cfRule>
  </conditionalFormatting>
  <conditionalFormatting sqref="S375">
    <cfRule type="expression" dxfId="2995" priority="2232" stopIfTrue="1">
      <formula>$B375&lt;&gt;""</formula>
    </cfRule>
  </conditionalFormatting>
  <conditionalFormatting sqref="S375">
    <cfRule type="expression" dxfId="2994" priority="2231" stopIfTrue="1">
      <formula>$C375&lt;&gt;""</formula>
    </cfRule>
  </conditionalFormatting>
  <conditionalFormatting sqref="S375">
    <cfRule type="expression" dxfId="2993" priority="2230" stopIfTrue="1">
      <formula>$B375&lt;&gt;""</formula>
    </cfRule>
  </conditionalFormatting>
  <conditionalFormatting sqref="S375">
    <cfRule type="expression" dxfId="2992" priority="2229" stopIfTrue="1">
      <formula>$C375&lt;&gt;""</formula>
    </cfRule>
  </conditionalFormatting>
  <conditionalFormatting sqref="S375">
    <cfRule type="expression" dxfId="2991" priority="2228" stopIfTrue="1">
      <formula>$B375&lt;&gt;""</formula>
    </cfRule>
  </conditionalFormatting>
  <conditionalFormatting sqref="S375">
    <cfRule type="expression" dxfId="2990" priority="2227" stopIfTrue="1">
      <formula>$C375&lt;&gt;""</formula>
    </cfRule>
  </conditionalFormatting>
  <conditionalFormatting sqref="S375">
    <cfRule type="expression" dxfId="2989" priority="2226" stopIfTrue="1">
      <formula>$B375&lt;&gt;""</formula>
    </cfRule>
  </conditionalFormatting>
  <conditionalFormatting sqref="S375">
    <cfRule type="expression" dxfId="2988" priority="2225" stopIfTrue="1">
      <formula>$C375&lt;&gt;""</formula>
    </cfRule>
  </conditionalFormatting>
  <conditionalFormatting sqref="S375">
    <cfRule type="expression" dxfId="2987" priority="2224" stopIfTrue="1">
      <formula>$B375&lt;&gt;""</formula>
    </cfRule>
  </conditionalFormatting>
  <conditionalFormatting sqref="S375">
    <cfRule type="expression" dxfId="2986" priority="2223" stopIfTrue="1">
      <formula>$C375&lt;&gt;""</formula>
    </cfRule>
  </conditionalFormatting>
  <conditionalFormatting sqref="S375">
    <cfRule type="expression" dxfId="2985" priority="2222" stopIfTrue="1">
      <formula>$B375&lt;&gt;""</formula>
    </cfRule>
  </conditionalFormatting>
  <conditionalFormatting sqref="S375">
    <cfRule type="expression" dxfId="2984" priority="2221" stopIfTrue="1">
      <formula>$C375&lt;&gt;""</formula>
    </cfRule>
  </conditionalFormatting>
  <conditionalFormatting sqref="S375">
    <cfRule type="expression" dxfId="2983" priority="2220" stopIfTrue="1">
      <formula>$B375&lt;&gt;""</formula>
    </cfRule>
  </conditionalFormatting>
  <conditionalFormatting sqref="S375">
    <cfRule type="expression" dxfId="2982" priority="2219" stopIfTrue="1">
      <formula>$C375&lt;&gt;""</formula>
    </cfRule>
  </conditionalFormatting>
  <conditionalFormatting sqref="S375">
    <cfRule type="expression" dxfId="2981" priority="2218" stopIfTrue="1">
      <formula>$B375&lt;&gt;""</formula>
    </cfRule>
  </conditionalFormatting>
  <conditionalFormatting sqref="S375">
    <cfRule type="expression" dxfId="2980" priority="2217" stopIfTrue="1">
      <formula>$C375&lt;&gt;""</formula>
    </cfRule>
  </conditionalFormatting>
  <conditionalFormatting sqref="S375">
    <cfRule type="expression" dxfId="2979" priority="2216" stopIfTrue="1">
      <formula>$B375&lt;&gt;""</formula>
    </cfRule>
  </conditionalFormatting>
  <conditionalFormatting sqref="S375">
    <cfRule type="expression" dxfId="2978" priority="2215" stopIfTrue="1">
      <formula>$C375&lt;&gt;""</formula>
    </cfRule>
  </conditionalFormatting>
  <conditionalFormatting sqref="S375">
    <cfRule type="expression" dxfId="2977" priority="2214" stopIfTrue="1">
      <formula>$B375&lt;&gt;""</formula>
    </cfRule>
  </conditionalFormatting>
  <conditionalFormatting sqref="S375">
    <cfRule type="expression" dxfId="2976" priority="2213" stopIfTrue="1">
      <formula>$C375&lt;&gt;""</formula>
    </cfRule>
  </conditionalFormatting>
  <conditionalFormatting sqref="S375">
    <cfRule type="expression" dxfId="2975" priority="2212" stopIfTrue="1">
      <formula>$C375&lt;&gt;""</formula>
    </cfRule>
  </conditionalFormatting>
  <conditionalFormatting sqref="S375">
    <cfRule type="expression" dxfId="2974" priority="2211" stopIfTrue="1">
      <formula>$B375&lt;&gt;""</formula>
    </cfRule>
  </conditionalFormatting>
  <conditionalFormatting sqref="S375">
    <cfRule type="expression" dxfId="2973" priority="2210" stopIfTrue="1">
      <formula>$C375&lt;&gt;""</formula>
    </cfRule>
  </conditionalFormatting>
  <conditionalFormatting sqref="S375">
    <cfRule type="expression" dxfId="2972" priority="2209" stopIfTrue="1">
      <formula>$B375&lt;&gt;""</formula>
    </cfRule>
  </conditionalFormatting>
  <conditionalFormatting sqref="S375">
    <cfRule type="expression" dxfId="2971" priority="2208" stopIfTrue="1">
      <formula>$B375&lt;&gt;""</formula>
    </cfRule>
  </conditionalFormatting>
  <conditionalFormatting sqref="S375">
    <cfRule type="expression" dxfId="2970" priority="2207" stopIfTrue="1">
      <formula>$C375&lt;&gt;""</formula>
    </cfRule>
  </conditionalFormatting>
  <conditionalFormatting sqref="S375">
    <cfRule type="expression" dxfId="2969" priority="2206" stopIfTrue="1">
      <formula>$B375&lt;&gt;""</formula>
    </cfRule>
  </conditionalFormatting>
  <conditionalFormatting sqref="S375">
    <cfRule type="expression" dxfId="2968" priority="2205" stopIfTrue="1">
      <formula>$C375&lt;&gt;""</formula>
    </cfRule>
  </conditionalFormatting>
  <conditionalFormatting sqref="S375">
    <cfRule type="expression" dxfId="2967" priority="2204" stopIfTrue="1">
      <formula>$B375&lt;&gt;""</formula>
    </cfRule>
  </conditionalFormatting>
  <conditionalFormatting sqref="S375">
    <cfRule type="expression" dxfId="2966" priority="2203" stopIfTrue="1">
      <formula>$C375&lt;&gt;""</formula>
    </cfRule>
  </conditionalFormatting>
  <conditionalFormatting sqref="S375">
    <cfRule type="expression" dxfId="2965" priority="2202" stopIfTrue="1">
      <formula>$B375&lt;&gt;""</formula>
    </cfRule>
  </conditionalFormatting>
  <conditionalFormatting sqref="S375">
    <cfRule type="expression" dxfId="2964" priority="2201" stopIfTrue="1">
      <formula>$C375&lt;&gt;""</formula>
    </cfRule>
  </conditionalFormatting>
  <conditionalFormatting sqref="S375">
    <cfRule type="expression" dxfId="2963" priority="2200" stopIfTrue="1">
      <formula>$B375&lt;&gt;""</formula>
    </cfRule>
  </conditionalFormatting>
  <conditionalFormatting sqref="S375">
    <cfRule type="expression" dxfId="2962" priority="2199" stopIfTrue="1">
      <formula>$C375&lt;&gt;""</formula>
    </cfRule>
  </conditionalFormatting>
  <conditionalFormatting sqref="S375">
    <cfRule type="expression" dxfId="2961" priority="2198" stopIfTrue="1">
      <formula>$C375&lt;&gt;""</formula>
    </cfRule>
  </conditionalFormatting>
  <conditionalFormatting sqref="S375">
    <cfRule type="expression" dxfId="2960" priority="2197" stopIfTrue="1">
      <formula>$B375&lt;&gt;""</formula>
    </cfRule>
  </conditionalFormatting>
  <conditionalFormatting sqref="S375">
    <cfRule type="expression" dxfId="2959" priority="2196" stopIfTrue="1">
      <formula>$C375&lt;&gt;""</formula>
    </cfRule>
  </conditionalFormatting>
  <conditionalFormatting sqref="S375">
    <cfRule type="expression" dxfId="2958" priority="2195" stopIfTrue="1">
      <formula>$B375&lt;&gt;""</formula>
    </cfRule>
  </conditionalFormatting>
  <conditionalFormatting sqref="S375">
    <cfRule type="expression" dxfId="2957" priority="2194" stopIfTrue="1">
      <formula>$B375&lt;&gt;""</formula>
    </cfRule>
  </conditionalFormatting>
  <conditionalFormatting sqref="S375">
    <cfRule type="expression" dxfId="2956" priority="2193" stopIfTrue="1">
      <formula>$C375&lt;&gt;""</formula>
    </cfRule>
  </conditionalFormatting>
  <conditionalFormatting sqref="S376">
    <cfRule type="expression" dxfId="2955" priority="2192" stopIfTrue="1">
      <formula>$B376&lt;&gt;""</formula>
    </cfRule>
  </conditionalFormatting>
  <conditionalFormatting sqref="S376">
    <cfRule type="expression" dxfId="2954" priority="2191" stopIfTrue="1">
      <formula>$C376&lt;&gt;""</formula>
    </cfRule>
  </conditionalFormatting>
  <conditionalFormatting sqref="S375">
    <cfRule type="expression" dxfId="2953" priority="2190" stopIfTrue="1">
      <formula>$B375&lt;&gt;""</formula>
    </cfRule>
  </conditionalFormatting>
  <conditionalFormatting sqref="S375">
    <cfRule type="expression" dxfId="2952" priority="2189" stopIfTrue="1">
      <formula>$C375&lt;&gt;""</formula>
    </cfRule>
  </conditionalFormatting>
  <conditionalFormatting sqref="S376:S379">
    <cfRule type="expression" dxfId="2951" priority="2188" stopIfTrue="1">
      <formula>$B376&lt;&gt;""</formula>
    </cfRule>
  </conditionalFormatting>
  <conditionalFormatting sqref="S376:S379">
    <cfRule type="expression" dxfId="2950" priority="2187" stopIfTrue="1">
      <formula>$C376&lt;&gt;""</formula>
    </cfRule>
  </conditionalFormatting>
  <conditionalFormatting sqref="S375">
    <cfRule type="expression" dxfId="2949" priority="2186" stopIfTrue="1">
      <formula>$B375&lt;&gt;""</formula>
    </cfRule>
  </conditionalFormatting>
  <conditionalFormatting sqref="S375">
    <cfRule type="expression" dxfId="2948" priority="2185" stopIfTrue="1">
      <formula>$C375&lt;&gt;""</formula>
    </cfRule>
  </conditionalFormatting>
  <conditionalFormatting sqref="S376:S379">
    <cfRule type="expression" dxfId="2947" priority="2184" stopIfTrue="1">
      <formula>$B376&lt;&gt;""</formula>
    </cfRule>
  </conditionalFormatting>
  <conditionalFormatting sqref="S376:S379">
    <cfRule type="expression" dxfId="2946" priority="2183" stopIfTrue="1">
      <formula>$C376&lt;&gt;""</formula>
    </cfRule>
  </conditionalFormatting>
  <conditionalFormatting sqref="S375:S379">
    <cfRule type="expression" dxfId="2945" priority="2182" stopIfTrue="1">
      <formula>$B375&lt;&gt;""</formula>
    </cfRule>
  </conditionalFormatting>
  <conditionalFormatting sqref="S375:S379">
    <cfRule type="expression" dxfId="2944" priority="2181" stopIfTrue="1">
      <formula>$C375&lt;&gt;""</formula>
    </cfRule>
  </conditionalFormatting>
  <conditionalFormatting sqref="S375:S379">
    <cfRule type="expression" dxfId="2943" priority="2180" stopIfTrue="1">
      <formula>$B375&lt;&gt;""</formula>
    </cfRule>
  </conditionalFormatting>
  <conditionalFormatting sqref="S375:S379">
    <cfRule type="expression" dxfId="2942" priority="2179" stopIfTrue="1">
      <formula>$C375&lt;&gt;""</formula>
    </cfRule>
  </conditionalFormatting>
  <conditionalFormatting sqref="S375:S379">
    <cfRule type="expression" dxfId="2941" priority="2178" stopIfTrue="1">
      <formula>$B375&lt;&gt;""</formula>
    </cfRule>
  </conditionalFormatting>
  <conditionalFormatting sqref="S375:S379">
    <cfRule type="expression" dxfId="2940" priority="2177" stopIfTrue="1">
      <formula>$C375&lt;&gt;""</formula>
    </cfRule>
  </conditionalFormatting>
  <conditionalFormatting sqref="S375:S379">
    <cfRule type="expression" dxfId="2939" priority="2176" stopIfTrue="1">
      <formula>$B375&lt;&gt;""</formula>
    </cfRule>
  </conditionalFormatting>
  <conditionalFormatting sqref="S375:S379">
    <cfRule type="expression" dxfId="2938" priority="2175" stopIfTrue="1">
      <formula>$C375&lt;&gt;""</formula>
    </cfRule>
  </conditionalFormatting>
  <conditionalFormatting sqref="S375:S379">
    <cfRule type="expression" dxfId="2937" priority="2174" stopIfTrue="1">
      <formula>$B375&lt;&gt;""</formula>
    </cfRule>
  </conditionalFormatting>
  <conditionalFormatting sqref="S375:S379">
    <cfRule type="expression" dxfId="2936" priority="2173" stopIfTrue="1">
      <formula>$C375&lt;&gt;""</formula>
    </cfRule>
  </conditionalFormatting>
  <conditionalFormatting sqref="S375:S379">
    <cfRule type="expression" dxfId="2935" priority="2172" stopIfTrue="1">
      <formula>$B375&lt;&gt;""</formula>
    </cfRule>
  </conditionalFormatting>
  <conditionalFormatting sqref="S375:S379">
    <cfRule type="expression" dxfId="2934" priority="2171" stopIfTrue="1">
      <formula>$C375&lt;&gt;""</formula>
    </cfRule>
  </conditionalFormatting>
  <conditionalFormatting sqref="S375:S379">
    <cfRule type="expression" dxfId="2933" priority="2170" stopIfTrue="1">
      <formula>$B375&lt;&gt;""</formula>
    </cfRule>
  </conditionalFormatting>
  <conditionalFormatting sqref="S375:S379">
    <cfRule type="expression" dxfId="2932" priority="2169" stopIfTrue="1">
      <formula>$C375&lt;&gt;""</formula>
    </cfRule>
  </conditionalFormatting>
  <conditionalFormatting sqref="S375:S378">
    <cfRule type="expression" dxfId="2931" priority="2168" stopIfTrue="1">
      <formula>$B375&lt;&gt;""</formula>
    </cfRule>
  </conditionalFormatting>
  <conditionalFormatting sqref="S375:S378">
    <cfRule type="expression" dxfId="2930" priority="2167" stopIfTrue="1">
      <formula>$C375&lt;&gt;""</formula>
    </cfRule>
  </conditionalFormatting>
  <conditionalFormatting sqref="S379">
    <cfRule type="expression" dxfId="2929" priority="2166" stopIfTrue="1">
      <formula>$B379&lt;&gt;""</formula>
    </cfRule>
  </conditionalFormatting>
  <conditionalFormatting sqref="S379">
    <cfRule type="expression" dxfId="2928" priority="2165" stopIfTrue="1">
      <formula>$C379&lt;&gt;""</formula>
    </cfRule>
  </conditionalFormatting>
  <conditionalFormatting sqref="S375:S377">
    <cfRule type="expression" dxfId="2927" priority="2164" stopIfTrue="1">
      <formula>$B375&lt;&gt;""</formula>
    </cfRule>
  </conditionalFormatting>
  <conditionalFormatting sqref="S375:S377">
    <cfRule type="expression" dxfId="2926" priority="2163" stopIfTrue="1">
      <formula>$C375&lt;&gt;""</formula>
    </cfRule>
  </conditionalFormatting>
  <conditionalFormatting sqref="S378:S379">
    <cfRule type="expression" dxfId="2925" priority="2162" stopIfTrue="1">
      <formula>$B378&lt;&gt;""</formula>
    </cfRule>
  </conditionalFormatting>
  <conditionalFormatting sqref="S378:S379">
    <cfRule type="expression" dxfId="2924" priority="2161" stopIfTrue="1">
      <formula>$C378&lt;&gt;""</formula>
    </cfRule>
  </conditionalFormatting>
  <conditionalFormatting sqref="S375:S378">
    <cfRule type="expression" dxfId="2923" priority="2160" stopIfTrue="1">
      <formula>$B375&lt;&gt;""</formula>
    </cfRule>
  </conditionalFormatting>
  <conditionalFormatting sqref="S375:S378">
    <cfRule type="expression" dxfId="2922" priority="2159" stopIfTrue="1">
      <formula>$C375&lt;&gt;""</formula>
    </cfRule>
  </conditionalFormatting>
  <conditionalFormatting sqref="S375:S378">
    <cfRule type="expression" dxfId="2921" priority="2158" stopIfTrue="1">
      <formula>$B375&lt;&gt;""</formula>
    </cfRule>
  </conditionalFormatting>
  <conditionalFormatting sqref="S375:S378">
    <cfRule type="expression" dxfId="2920" priority="2157" stopIfTrue="1">
      <formula>$C375&lt;&gt;""</formula>
    </cfRule>
  </conditionalFormatting>
  <conditionalFormatting sqref="S379">
    <cfRule type="expression" dxfId="2919" priority="2156" stopIfTrue="1">
      <formula>$B379&lt;&gt;""</formula>
    </cfRule>
  </conditionalFormatting>
  <conditionalFormatting sqref="S379">
    <cfRule type="expression" dxfId="2918" priority="2155" stopIfTrue="1">
      <formula>$C379&lt;&gt;""</formula>
    </cfRule>
  </conditionalFormatting>
  <conditionalFormatting sqref="S375:S378">
    <cfRule type="expression" dxfId="2917" priority="2154" stopIfTrue="1">
      <formula>$B375&lt;&gt;""</formula>
    </cfRule>
  </conditionalFormatting>
  <conditionalFormatting sqref="S375:S378">
    <cfRule type="expression" dxfId="2916" priority="2153" stopIfTrue="1">
      <formula>$C375&lt;&gt;""</formula>
    </cfRule>
  </conditionalFormatting>
  <conditionalFormatting sqref="S379">
    <cfRule type="expression" dxfId="2915" priority="2152" stopIfTrue="1">
      <formula>$B379&lt;&gt;""</formula>
    </cfRule>
  </conditionalFormatting>
  <conditionalFormatting sqref="S379">
    <cfRule type="expression" dxfId="2914" priority="2151" stopIfTrue="1">
      <formula>$C379&lt;&gt;""</formula>
    </cfRule>
  </conditionalFormatting>
  <conditionalFormatting sqref="S379">
    <cfRule type="expression" dxfId="2913" priority="2150" stopIfTrue="1">
      <formula>$B379&lt;&gt;""</formula>
    </cfRule>
  </conditionalFormatting>
  <conditionalFormatting sqref="S379">
    <cfRule type="expression" dxfId="2912" priority="2149" stopIfTrue="1">
      <formula>$C379&lt;&gt;""</formula>
    </cfRule>
  </conditionalFormatting>
  <conditionalFormatting sqref="S375">
    <cfRule type="expression" dxfId="2911" priority="2148" stopIfTrue="1">
      <formula>$C375&lt;&gt;""</formula>
    </cfRule>
  </conditionalFormatting>
  <conditionalFormatting sqref="S375">
    <cfRule type="expression" dxfId="2910" priority="2147" stopIfTrue="1">
      <formula>$B375&lt;&gt;""</formula>
    </cfRule>
  </conditionalFormatting>
  <conditionalFormatting sqref="S376:S379">
    <cfRule type="expression" dxfId="2909" priority="2146" stopIfTrue="1">
      <formula>$C376&lt;&gt;""</formula>
    </cfRule>
  </conditionalFormatting>
  <conditionalFormatting sqref="S376:S379">
    <cfRule type="expression" dxfId="2908" priority="2145" stopIfTrue="1">
      <formula>$B376&lt;&gt;""</formula>
    </cfRule>
  </conditionalFormatting>
  <conditionalFormatting sqref="S378:S379">
    <cfRule type="expression" dxfId="2907" priority="2144" stopIfTrue="1">
      <formula>$C378&lt;&gt;""</formula>
    </cfRule>
  </conditionalFormatting>
  <conditionalFormatting sqref="S378:S379">
    <cfRule type="expression" dxfId="2906" priority="2143" stopIfTrue="1">
      <formula>$B378&lt;&gt;""</formula>
    </cfRule>
  </conditionalFormatting>
  <conditionalFormatting sqref="S375:S378">
    <cfRule type="expression" dxfId="2905" priority="2142" stopIfTrue="1">
      <formula>$B375&lt;&gt;""</formula>
    </cfRule>
  </conditionalFormatting>
  <conditionalFormatting sqref="S375:S378">
    <cfRule type="expression" dxfId="2904" priority="2141" stopIfTrue="1">
      <formula>$C375&lt;&gt;""</formula>
    </cfRule>
  </conditionalFormatting>
  <conditionalFormatting sqref="S379">
    <cfRule type="expression" dxfId="2903" priority="2140" stopIfTrue="1">
      <formula>$B379&lt;&gt;""</formula>
    </cfRule>
  </conditionalFormatting>
  <conditionalFormatting sqref="S379">
    <cfRule type="expression" dxfId="2902" priority="2139" stopIfTrue="1">
      <formula>$C379&lt;&gt;""</formula>
    </cfRule>
  </conditionalFormatting>
  <conditionalFormatting sqref="S375:S377">
    <cfRule type="expression" dxfId="2901" priority="2138" stopIfTrue="1">
      <formula>$B375&lt;&gt;""</formula>
    </cfRule>
  </conditionalFormatting>
  <conditionalFormatting sqref="S375:S377">
    <cfRule type="expression" dxfId="2900" priority="2137" stopIfTrue="1">
      <formula>$C375&lt;&gt;""</formula>
    </cfRule>
  </conditionalFormatting>
  <conditionalFormatting sqref="S378:S379">
    <cfRule type="expression" dxfId="2899" priority="2136" stopIfTrue="1">
      <formula>$B378&lt;&gt;""</formula>
    </cfRule>
  </conditionalFormatting>
  <conditionalFormatting sqref="S378:S379">
    <cfRule type="expression" dxfId="2898" priority="2135" stopIfTrue="1">
      <formula>$C378&lt;&gt;""</formula>
    </cfRule>
  </conditionalFormatting>
  <conditionalFormatting sqref="S375:S378">
    <cfRule type="expression" dxfId="2897" priority="2134" stopIfTrue="1">
      <formula>$B375&lt;&gt;""</formula>
    </cfRule>
  </conditionalFormatting>
  <conditionalFormatting sqref="S375:S378">
    <cfRule type="expression" dxfId="2896" priority="2133" stopIfTrue="1">
      <formula>$C375&lt;&gt;""</formula>
    </cfRule>
  </conditionalFormatting>
  <conditionalFormatting sqref="S375:S378">
    <cfRule type="expression" dxfId="2895" priority="2132" stopIfTrue="1">
      <formula>$B375&lt;&gt;""</formula>
    </cfRule>
  </conditionalFormatting>
  <conditionalFormatting sqref="S375:S378">
    <cfRule type="expression" dxfId="2894" priority="2131" stopIfTrue="1">
      <formula>$C375&lt;&gt;""</formula>
    </cfRule>
  </conditionalFormatting>
  <conditionalFormatting sqref="S379">
    <cfRule type="expression" dxfId="2893" priority="2130" stopIfTrue="1">
      <formula>$B379&lt;&gt;""</formula>
    </cfRule>
  </conditionalFormatting>
  <conditionalFormatting sqref="S379">
    <cfRule type="expression" dxfId="2892" priority="2129" stopIfTrue="1">
      <formula>$C379&lt;&gt;""</formula>
    </cfRule>
  </conditionalFormatting>
  <conditionalFormatting sqref="S375:S378">
    <cfRule type="expression" dxfId="2891" priority="2128" stopIfTrue="1">
      <formula>$B375&lt;&gt;""</formula>
    </cfRule>
  </conditionalFormatting>
  <conditionalFormatting sqref="S375:S378">
    <cfRule type="expression" dxfId="2890" priority="2127" stopIfTrue="1">
      <formula>$C375&lt;&gt;""</formula>
    </cfRule>
  </conditionalFormatting>
  <conditionalFormatting sqref="S379">
    <cfRule type="expression" dxfId="2889" priority="2126" stopIfTrue="1">
      <formula>$B379&lt;&gt;""</formula>
    </cfRule>
  </conditionalFormatting>
  <conditionalFormatting sqref="S379">
    <cfRule type="expression" dxfId="2888" priority="2125" stopIfTrue="1">
      <formula>$C379&lt;&gt;""</formula>
    </cfRule>
  </conditionalFormatting>
  <conditionalFormatting sqref="S379">
    <cfRule type="expression" dxfId="2887" priority="2124" stopIfTrue="1">
      <formula>$B379&lt;&gt;""</formula>
    </cfRule>
  </conditionalFormatting>
  <conditionalFormatting sqref="S379">
    <cfRule type="expression" dxfId="2886" priority="2123" stopIfTrue="1">
      <formula>$C379&lt;&gt;""</formula>
    </cfRule>
  </conditionalFormatting>
  <conditionalFormatting sqref="S375">
    <cfRule type="expression" dxfId="2885" priority="2122" stopIfTrue="1">
      <formula>$C375&lt;&gt;""</formula>
    </cfRule>
  </conditionalFormatting>
  <conditionalFormatting sqref="S375">
    <cfRule type="expression" dxfId="2884" priority="2121" stopIfTrue="1">
      <formula>$B375&lt;&gt;""</formula>
    </cfRule>
  </conditionalFormatting>
  <conditionalFormatting sqref="S376:S379">
    <cfRule type="expression" dxfId="2883" priority="2120" stopIfTrue="1">
      <formula>$C376&lt;&gt;""</formula>
    </cfRule>
  </conditionalFormatting>
  <conditionalFormatting sqref="S376:S379">
    <cfRule type="expression" dxfId="2882" priority="2119" stopIfTrue="1">
      <formula>$B376&lt;&gt;""</formula>
    </cfRule>
  </conditionalFormatting>
  <conditionalFormatting sqref="S378:S379">
    <cfRule type="expression" dxfId="2881" priority="2118" stopIfTrue="1">
      <formula>$C378&lt;&gt;""</formula>
    </cfRule>
  </conditionalFormatting>
  <conditionalFormatting sqref="S378:S379">
    <cfRule type="expression" dxfId="2880" priority="2117" stopIfTrue="1">
      <formula>$B378&lt;&gt;""</formula>
    </cfRule>
  </conditionalFormatting>
  <conditionalFormatting sqref="S375">
    <cfRule type="expression" dxfId="2879" priority="2116" stopIfTrue="1">
      <formula>$B375&lt;&gt;""</formula>
    </cfRule>
  </conditionalFormatting>
  <conditionalFormatting sqref="S375">
    <cfRule type="expression" dxfId="2878" priority="2115" stopIfTrue="1">
      <formula>$C375&lt;&gt;""</formula>
    </cfRule>
  </conditionalFormatting>
  <conditionalFormatting sqref="S376">
    <cfRule type="expression" dxfId="2877" priority="2114" stopIfTrue="1">
      <formula>$B376&lt;&gt;""</formula>
    </cfRule>
  </conditionalFormatting>
  <conditionalFormatting sqref="S376">
    <cfRule type="expression" dxfId="2876" priority="2113" stopIfTrue="1">
      <formula>$C376&lt;&gt;""</formula>
    </cfRule>
  </conditionalFormatting>
  <conditionalFormatting sqref="S375">
    <cfRule type="expression" dxfId="2875" priority="2112" stopIfTrue="1">
      <formula>$B375&lt;&gt;""</formula>
    </cfRule>
  </conditionalFormatting>
  <conditionalFormatting sqref="S375">
    <cfRule type="expression" dxfId="2874" priority="2111" stopIfTrue="1">
      <formula>$C375&lt;&gt;""</formula>
    </cfRule>
  </conditionalFormatting>
  <conditionalFormatting sqref="S376:S379">
    <cfRule type="expression" dxfId="2873" priority="2110" stopIfTrue="1">
      <formula>$B376&lt;&gt;""</formula>
    </cfRule>
  </conditionalFormatting>
  <conditionalFormatting sqref="S376:S379">
    <cfRule type="expression" dxfId="2872" priority="2109" stopIfTrue="1">
      <formula>$C376&lt;&gt;""</formula>
    </cfRule>
  </conditionalFormatting>
  <conditionalFormatting sqref="S375">
    <cfRule type="expression" dxfId="2871" priority="2108" stopIfTrue="1">
      <formula>$B375&lt;&gt;""</formula>
    </cfRule>
  </conditionalFormatting>
  <conditionalFormatting sqref="S375">
    <cfRule type="expression" dxfId="2870" priority="2107" stopIfTrue="1">
      <formula>$C375&lt;&gt;""</formula>
    </cfRule>
  </conditionalFormatting>
  <conditionalFormatting sqref="S376:S379">
    <cfRule type="expression" dxfId="2869" priority="2106" stopIfTrue="1">
      <formula>$B376&lt;&gt;""</formula>
    </cfRule>
  </conditionalFormatting>
  <conditionalFormatting sqref="S376:S379">
    <cfRule type="expression" dxfId="2868" priority="2105" stopIfTrue="1">
      <formula>$C376&lt;&gt;""</formula>
    </cfRule>
  </conditionalFormatting>
  <conditionalFormatting sqref="S375:S379">
    <cfRule type="expression" dxfId="2867" priority="2104" stopIfTrue="1">
      <formula>$B375&lt;&gt;""</formula>
    </cfRule>
  </conditionalFormatting>
  <conditionalFormatting sqref="S375:S379">
    <cfRule type="expression" dxfId="2866" priority="2103" stopIfTrue="1">
      <formula>$C375&lt;&gt;""</formula>
    </cfRule>
  </conditionalFormatting>
  <conditionalFormatting sqref="S375:S379">
    <cfRule type="expression" dxfId="2865" priority="2102" stopIfTrue="1">
      <formula>$B375&lt;&gt;""</formula>
    </cfRule>
  </conditionalFormatting>
  <conditionalFormatting sqref="S375:S379">
    <cfRule type="expression" dxfId="2864" priority="2101" stopIfTrue="1">
      <formula>$C375&lt;&gt;""</formula>
    </cfRule>
  </conditionalFormatting>
  <conditionalFormatting sqref="S375:S379">
    <cfRule type="expression" dxfId="2863" priority="2100" stopIfTrue="1">
      <formula>$B375&lt;&gt;""</formula>
    </cfRule>
  </conditionalFormatting>
  <conditionalFormatting sqref="S375:S379">
    <cfRule type="expression" dxfId="2862" priority="2099" stopIfTrue="1">
      <formula>$C375&lt;&gt;""</formula>
    </cfRule>
  </conditionalFormatting>
  <conditionalFormatting sqref="S375:S379">
    <cfRule type="expression" dxfId="2861" priority="2098" stopIfTrue="1">
      <formula>$B375&lt;&gt;""</formula>
    </cfRule>
  </conditionalFormatting>
  <conditionalFormatting sqref="S375:S379">
    <cfRule type="expression" dxfId="2860" priority="2097" stopIfTrue="1">
      <formula>$C375&lt;&gt;""</formula>
    </cfRule>
  </conditionalFormatting>
  <conditionalFormatting sqref="S375:S379">
    <cfRule type="expression" dxfId="2859" priority="2096" stopIfTrue="1">
      <formula>$B375&lt;&gt;""</formula>
    </cfRule>
  </conditionalFormatting>
  <conditionalFormatting sqref="S375:S379">
    <cfRule type="expression" dxfId="2858" priority="2095" stopIfTrue="1">
      <formula>$C375&lt;&gt;""</formula>
    </cfRule>
  </conditionalFormatting>
  <conditionalFormatting sqref="S375:S379">
    <cfRule type="expression" dxfId="2857" priority="2094" stopIfTrue="1">
      <formula>$B375&lt;&gt;""</formula>
    </cfRule>
  </conditionalFormatting>
  <conditionalFormatting sqref="S375:S379">
    <cfRule type="expression" dxfId="2856" priority="2093" stopIfTrue="1">
      <formula>$C375&lt;&gt;""</formula>
    </cfRule>
  </conditionalFormatting>
  <conditionalFormatting sqref="S375:S379">
    <cfRule type="expression" dxfId="2855" priority="2092" stopIfTrue="1">
      <formula>$B375&lt;&gt;""</formula>
    </cfRule>
  </conditionalFormatting>
  <conditionalFormatting sqref="S375:S379">
    <cfRule type="expression" dxfId="2854" priority="2091" stopIfTrue="1">
      <formula>$C375&lt;&gt;""</formula>
    </cfRule>
  </conditionalFormatting>
  <conditionalFormatting sqref="S375:S378">
    <cfRule type="expression" dxfId="2853" priority="2090" stopIfTrue="1">
      <formula>$B375&lt;&gt;""</formula>
    </cfRule>
  </conditionalFormatting>
  <conditionalFormatting sqref="S375:S378">
    <cfRule type="expression" dxfId="2852" priority="2089" stopIfTrue="1">
      <formula>$C375&lt;&gt;""</formula>
    </cfRule>
  </conditionalFormatting>
  <conditionalFormatting sqref="S379">
    <cfRule type="expression" dxfId="2851" priority="2088" stopIfTrue="1">
      <formula>$B379&lt;&gt;""</formula>
    </cfRule>
  </conditionalFormatting>
  <conditionalFormatting sqref="S379">
    <cfRule type="expression" dxfId="2850" priority="2087" stopIfTrue="1">
      <formula>$C379&lt;&gt;""</formula>
    </cfRule>
  </conditionalFormatting>
  <conditionalFormatting sqref="S375:S377">
    <cfRule type="expression" dxfId="2849" priority="2086" stopIfTrue="1">
      <formula>$B375&lt;&gt;""</formula>
    </cfRule>
  </conditionalFormatting>
  <conditionalFormatting sqref="S375:S377">
    <cfRule type="expression" dxfId="2848" priority="2085" stopIfTrue="1">
      <formula>$C375&lt;&gt;""</formula>
    </cfRule>
  </conditionalFormatting>
  <conditionalFormatting sqref="S378:S379">
    <cfRule type="expression" dxfId="2847" priority="2084" stopIfTrue="1">
      <formula>$B378&lt;&gt;""</formula>
    </cfRule>
  </conditionalFormatting>
  <conditionalFormatting sqref="S378:S379">
    <cfRule type="expression" dxfId="2846" priority="2083" stopIfTrue="1">
      <formula>$C378&lt;&gt;""</formula>
    </cfRule>
  </conditionalFormatting>
  <conditionalFormatting sqref="S375:S378">
    <cfRule type="expression" dxfId="2845" priority="2082" stopIfTrue="1">
      <formula>$B375&lt;&gt;""</formula>
    </cfRule>
  </conditionalFormatting>
  <conditionalFormatting sqref="S375:S378">
    <cfRule type="expression" dxfId="2844" priority="2081" stopIfTrue="1">
      <formula>$C375&lt;&gt;""</formula>
    </cfRule>
  </conditionalFormatting>
  <conditionalFormatting sqref="S375:S378">
    <cfRule type="expression" dxfId="2843" priority="2080" stopIfTrue="1">
      <formula>$B375&lt;&gt;""</formula>
    </cfRule>
  </conditionalFormatting>
  <conditionalFormatting sqref="S375:S378">
    <cfRule type="expression" dxfId="2842" priority="2079" stopIfTrue="1">
      <formula>$C375&lt;&gt;""</formula>
    </cfRule>
  </conditionalFormatting>
  <conditionalFormatting sqref="S379">
    <cfRule type="expression" dxfId="2841" priority="2078" stopIfTrue="1">
      <formula>$B379&lt;&gt;""</formula>
    </cfRule>
  </conditionalFormatting>
  <conditionalFormatting sqref="S379">
    <cfRule type="expression" dxfId="2840" priority="2077" stopIfTrue="1">
      <formula>$C379&lt;&gt;""</formula>
    </cfRule>
  </conditionalFormatting>
  <conditionalFormatting sqref="S375:S378">
    <cfRule type="expression" dxfId="2839" priority="2076" stopIfTrue="1">
      <formula>$B375&lt;&gt;""</formula>
    </cfRule>
  </conditionalFormatting>
  <conditionalFormatting sqref="S375:S378">
    <cfRule type="expression" dxfId="2838" priority="2075" stopIfTrue="1">
      <formula>$C375&lt;&gt;""</formula>
    </cfRule>
  </conditionalFormatting>
  <conditionalFormatting sqref="S379">
    <cfRule type="expression" dxfId="2837" priority="2074" stopIfTrue="1">
      <formula>$B379&lt;&gt;""</formula>
    </cfRule>
  </conditionalFormatting>
  <conditionalFormatting sqref="S379">
    <cfRule type="expression" dxfId="2836" priority="2073" stopIfTrue="1">
      <formula>$C379&lt;&gt;""</formula>
    </cfRule>
  </conditionalFormatting>
  <conditionalFormatting sqref="S379">
    <cfRule type="expression" dxfId="2835" priority="2072" stopIfTrue="1">
      <formula>$B379&lt;&gt;""</formula>
    </cfRule>
  </conditionalFormatting>
  <conditionalFormatting sqref="S379">
    <cfRule type="expression" dxfId="2834" priority="2071" stopIfTrue="1">
      <formula>$C379&lt;&gt;""</formula>
    </cfRule>
  </conditionalFormatting>
  <conditionalFormatting sqref="S375">
    <cfRule type="expression" dxfId="2833" priority="2070" stopIfTrue="1">
      <formula>$C375&lt;&gt;""</formula>
    </cfRule>
  </conditionalFormatting>
  <conditionalFormatting sqref="S375">
    <cfRule type="expression" dxfId="2832" priority="2069" stopIfTrue="1">
      <formula>$B375&lt;&gt;""</formula>
    </cfRule>
  </conditionalFormatting>
  <conditionalFormatting sqref="S376:S379">
    <cfRule type="expression" dxfId="2831" priority="2068" stopIfTrue="1">
      <formula>$C376&lt;&gt;""</formula>
    </cfRule>
  </conditionalFormatting>
  <conditionalFormatting sqref="S376:S379">
    <cfRule type="expression" dxfId="2830" priority="2067" stopIfTrue="1">
      <formula>$B376&lt;&gt;""</formula>
    </cfRule>
  </conditionalFormatting>
  <conditionalFormatting sqref="S378:S379">
    <cfRule type="expression" dxfId="2829" priority="2066" stopIfTrue="1">
      <formula>$C378&lt;&gt;""</formula>
    </cfRule>
  </conditionalFormatting>
  <conditionalFormatting sqref="S378:S379">
    <cfRule type="expression" dxfId="2828" priority="2065" stopIfTrue="1">
      <formula>$B378&lt;&gt;""</formula>
    </cfRule>
  </conditionalFormatting>
  <conditionalFormatting sqref="S375:S378">
    <cfRule type="expression" dxfId="2827" priority="2064" stopIfTrue="1">
      <formula>$B375&lt;&gt;""</formula>
    </cfRule>
  </conditionalFormatting>
  <conditionalFormatting sqref="S375:S378">
    <cfRule type="expression" dxfId="2826" priority="2063" stopIfTrue="1">
      <formula>$C375&lt;&gt;""</formula>
    </cfRule>
  </conditionalFormatting>
  <conditionalFormatting sqref="S379">
    <cfRule type="expression" dxfId="2825" priority="2062" stopIfTrue="1">
      <formula>$B379&lt;&gt;""</formula>
    </cfRule>
  </conditionalFormatting>
  <conditionalFormatting sqref="S379">
    <cfRule type="expression" dxfId="2824" priority="2061" stopIfTrue="1">
      <formula>$C379&lt;&gt;""</formula>
    </cfRule>
  </conditionalFormatting>
  <conditionalFormatting sqref="S375:S377">
    <cfRule type="expression" dxfId="2823" priority="2060" stopIfTrue="1">
      <formula>$B375&lt;&gt;""</formula>
    </cfRule>
  </conditionalFormatting>
  <conditionalFormatting sqref="S375:S377">
    <cfRule type="expression" dxfId="2822" priority="2059" stopIfTrue="1">
      <formula>$C375&lt;&gt;""</formula>
    </cfRule>
  </conditionalFormatting>
  <conditionalFormatting sqref="S378:S379">
    <cfRule type="expression" dxfId="2821" priority="2058" stopIfTrue="1">
      <formula>$B378&lt;&gt;""</formula>
    </cfRule>
  </conditionalFormatting>
  <conditionalFormatting sqref="S378:S379">
    <cfRule type="expression" dxfId="2820" priority="2057" stopIfTrue="1">
      <formula>$C378&lt;&gt;""</formula>
    </cfRule>
  </conditionalFormatting>
  <conditionalFormatting sqref="S375:S378">
    <cfRule type="expression" dxfId="2819" priority="2056" stopIfTrue="1">
      <formula>$B375&lt;&gt;""</formula>
    </cfRule>
  </conditionalFormatting>
  <conditionalFormatting sqref="S375:S378">
    <cfRule type="expression" dxfId="2818" priority="2055" stopIfTrue="1">
      <formula>$C375&lt;&gt;""</formula>
    </cfRule>
  </conditionalFormatting>
  <conditionalFormatting sqref="S375:S378">
    <cfRule type="expression" dxfId="2817" priority="2054" stopIfTrue="1">
      <formula>$B375&lt;&gt;""</formula>
    </cfRule>
  </conditionalFormatting>
  <conditionalFormatting sqref="S375:S378">
    <cfRule type="expression" dxfId="2816" priority="2053" stopIfTrue="1">
      <formula>$C375&lt;&gt;""</formula>
    </cfRule>
  </conditionalFormatting>
  <conditionalFormatting sqref="S379">
    <cfRule type="expression" dxfId="2815" priority="2052" stopIfTrue="1">
      <formula>$B379&lt;&gt;""</formula>
    </cfRule>
  </conditionalFormatting>
  <conditionalFormatting sqref="S379">
    <cfRule type="expression" dxfId="2814" priority="2051" stopIfTrue="1">
      <formula>$C379&lt;&gt;""</formula>
    </cfRule>
  </conditionalFormatting>
  <conditionalFormatting sqref="S375:S378">
    <cfRule type="expression" dxfId="2813" priority="2050" stopIfTrue="1">
      <formula>$B375&lt;&gt;""</formula>
    </cfRule>
  </conditionalFormatting>
  <conditionalFormatting sqref="S375:S378">
    <cfRule type="expression" dxfId="2812" priority="2049" stopIfTrue="1">
      <formula>$C375&lt;&gt;""</formula>
    </cfRule>
  </conditionalFormatting>
  <conditionalFormatting sqref="S379">
    <cfRule type="expression" dxfId="2811" priority="2048" stopIfTrue="1">
      <formula>$B379&lt;&gt;""</formula>
    </cfRule>
  </conditionalFormatting>
  <conditionalFormatting sqref="S379">
    <cfRule type="expression" dxfId="2810" priority="2047" stopIfTrue="1">
      <formula>$C379&lt;&gt;""</formula>
    </cfRule>
  </conditionalFormatting>
  <conditionalFormatting sqref="S379">
    <cfRule type="expression" dxfId="2809" priority="2046" stopIfTrue="1">
      <formula>$B379&lt;&gt;""</formula>
    </cfRule>
  </conditionalFormatting>
  <conditionalFormatting sqref="S379">
    <cfRule type="expression" dxfId="2808" priority="2045" stopIfTrue="1">
      <formula>$C379&lt;&gt;""</formula>
    </cfRule>
  </conditionalFormatting>
  <conditionalFormatting sqref="S375">
    <cfRule type="expression" dxfId="2807" priority="2044" stopIfTrue="1">
      <formula>$C375&lt;&gt;""</formula>
    </cfRule>
  </conditionalFormatting>
  <conditionalFormatting sqref="S375">
    <cfRule type="expression" dxfId="2806" priority="2043" stopIfTrue="1">
      <formula>$B375&lt;&gt;""</formula>
    </cfRule>
  </conditionalFormatting>
  <conditionalFormatting sqref="S376:S379">
    <cfRule type="expression" dxfId="2805" priority="2042" stopIfTrue="1">
      <formula>$C376&lt;&gt;""</formula>
    </cfRule>
  </conditionalFormatting>
  <conditionalFormatting sqref="S376:S379">
    <cfRule type="expression" dxfId="2804" priority="2041" stopIfTrue="1">
      <formula>$B376&lt;&gt;""</formula>
    </cfRule>
  </conditionalFormatting>
  <conditionalFormatting sqref="S378:S379">
    <cfRule type="expression" dxfId="2803" priority="2040" stopIfTrue="1">
      <formula>$C378&lt;&gt;""</formula>
    </cfRule>
  </conditionalFormatting>
  <conditionalFormatting sqref="S378:S379">
    <cfRule type="expression" dxfId="2802" priority="2039" stopIfTrue="1">
      <formula>$B378&lt;&gt;""</formula>
    </cfRule>
  </conditionalFormatting>
  <conditionalFormatting sqref="S375">
    <cfRule type="expression" dxfId="2801" priority="2038" stopIfTrue="1">
      <formula>$B375&lt;&gt;""</formula>
    </cfRule>
  </conditionalFormatting>
  <conditionalFormatting sqref="S375">
    <cfRule type="expression" dxfId="2800" priority="2037" stopIfTrue="1">
      <formula>$C375&lt;&gt;""</formula>
    </cfRule>
  </conditionalFormatting>
  <conditionalFormatting sqref="S375">
    <cfRule type="expression" dxfId="2799" priority="2036" stopIfTrue="1">
      <formula>$B375&lt;&gt;""</formula>
    </cfRule>
  </conditionalFormatting>
  <conditionalFormatting sqref="S375">
    <cfRule type="expression" dxfId="2798" priority="2035" stopIfTrue="1">
      <formula>$C375&lt;&gt;""</formula>
    </cfRule>
  </conditionalFormatting>
  <conditionalFormatting sqref="S375">
    <cfRule type="expression" dxfId="2797" priority="2034" stopIfTrue="1">
      <formula>$B375&lt;&gt;""</formula>
    </cfRule>
  </conditionalFormatting>
  <conditionalFormatting sqref="S375">
    <cfRule type="expression" dxfId="2796" priority="2033" stopIfTrue="1">
      <formula>$C375&lt;&gt;""</formula>
    </cfRule>
  </conditionalFormatting>
  <conditionalFormatting sqref="S375">
    <cfRule type="expression" dxfId="2795" priority="2032" stopIfTrue="1">
      <formula>$B375&lt;&gt;""</formula>
    </cfRule>
  </conditionalFormatting>
  <conditionalFormatting sqref="S375">
    <cfRule type="expression" dxfId="2794" priority="2031" stopIfTrue="1">
      <formula>$C375&lt;&gt;""</formula>
    </cfRule>
  </conditionalFormatting>
  <conditionalFormatting sqref="S375">
    <cfRule type="expression" dxfId="2793" priority="2030" stopIfTrue="1">
      <formula>$B375&lt;&gt;""</formula>
    </cfRule>
  </conditionalFormatting>
  <conditionalFormatting sqref="S375">
    <cfRule type="expression" dxfId="2792" priority="2029" stopIfTrue="1">
      <formula>$C375&lt;&gt;""</formula>
    </cfRule>
  </conditionalFormatting>
  <conditionalFormatting sqref="S375">
    <cfRule type="expression" dxfId="2791" priority="2028" stopIfTrue="1">
      <formula>$B375&lt;&gt;""</formula>
    </cfRule>
  </conditionalFormatting>
  <conditionalFormatting sqref="S375">
    <cfRule type="expression" dxfId="2790" priority="2027" stopIfTrue="1">
      <formula>$C375&lt;&gt;""</formula>
    </cfRule>
  </conditionalFormatting>
  <conditionalFormatting sqref="S375">
    <cfRule type="expression" dxfId="2789" priority="2026" stopIfTrue="1">
      <formula>$B375&lt;&gt;""</formula>
    </cfRule>
  </conditionalFormatting>
  <conditionalFormatting sqref="S375">
    <cfRule type="expression" dxfId="2788" priority="2025" stopIfTrue="1">
      <formula>$C375&lt;&gt;""</formula>
    </cfRule>
  </conditionalFormatting>
  <conditionalFormatting sqref="S375">
    <cfRule type="expression" dxfId="2787" priority="2024" stopIfTrue="1">
      <formula>$B375&lt;&gt;""</formula>
    </cfRule>
  </conditionalFormatting>
  <conditionalFormatting sqref="S375">
    <cfRule type="expression" dxfId="2786" priority="2023" stopIfTrue="1">
      <formula>$C375&lt;&gt;""</formula>
    </cfRule>
  </conditionalFormatting>
  <conditionalFormatting sqref="S375">
    <cfRule type="expression" dxfId="2785" priority="2022" stopIfTrue="1">
      <formula>$B375&lt;&gt;""</formula>
    </cfRule>
  </conditionalFormatting>
  <conditionalFormatting sqref="S375">
    <cfRule type="expression" dxfId="2784" priority="2021" stopIfTrue="1">
      <formula>$C375&lt;&gt;""</formula>
    </cfRule>
  </conditionalFormatting>
  <conditionalFormatting sqref="S375">
    <cfRule type="expression" dxfId="2783" priority="2020" stopIfTrue="1">
      <formula>$B375&lt;&gt;""</formula>
    </cfRule>
  </conditionalFormatting>
  <conditionalFormatting sqref="S375">
    <cfRule type="expression" dxfId="2782" priority="2019" stopIfTrue="1">
      <formula>$C375&lt;&gt;""</formula>
    </cfRule>
  </conditionalFormatting>
  <conditionalFormatting sqref="S375">
    <cfRule type="expression" dxfId="2781" priority="2018" stopIfTrue="1">
      <formula>$B375&lt;&gt;""</formula>
    </cfRule>
  </conditionalFormatting>
  <conditionalFormatting sqref="S375">
    <cfRule type="expression" dxfId="2780" priority="2017" stopIfTrue="1">
      <formula>$C375&lt;&gt;""</formula>
    </cfRule>
  </conditionalFormatting>
  <conditionalFormatting sqref="S375">
    <cfRule type="expression" dxfId="2779" priority="2016" stopIfTrue="1">
      <formula>$B375&lt;&gt;""</formula>
    </cfRule>
  </conditionalFormatting>
  <conditionalFormatting sqref="S375">
    <cfRule type="expression" dxfId="2778" priority="2015" stopIfTrue="1">
      <formula>$C375&lt;&gt;""</formula>
    </cfRule>
  </conditionalFormatting>
  <conditionalFormatting sqref="S375">
    <cfRule type="expression" dxfId="2777" priority="2014" stopIfTrue="1">
      <formula>$B375&lt;&gt;""</formula>
    </cfRule>
  </conditionalFormatting>
  <conditionalFormatting sqref="S375">
    <cfRule type="expression" dxfId="2776" priority="2013" stopIfTrue="1">
      <formula>$C375&lt;&gt;""</formula>
    </cfRule>
  </conditionalFormatting>
  <conditionalFormatting sqref="S375">
    <cfRule type="expression" dxfId="2775" priority="2012" stopIfTrue="1">
      <formula>$B375&lt;&gt;""</formula>
    </cfRule>
  </conditionalFormatting>
  <conditionalFormatting sqref="S375">
    <cfRule type="expression" dxfId="2774" priority="2011" stopIfTrue="1">
      <formula>$C375&lt;&gt;""</formula>
    </cfRule>
  </conditionalFormatting>
  <conditionalFormatting sqref="S375">
    <cfRule type="expression" dxfId="2773" priority="2010" stopIfTrue="1">
      <formula>$C375&lt;&gt;""</formula>
    </cfRule>
  </conditionalFormatting>
  <conditionalFormatting sqref="S375">
    <cfRule type="expression" dxfId="2772" priority="2009" stopIfTrue="1">
      <formula>$B375&lt;&gt;""</formula>
    </cfRule>
  </conditionalFormatting>
  <conditionalFormatting sqref="S375">
    <cfRule type="expression" dxfId="2771" priority="2008" stopIfTrue="1">
      <formula>$C375&lt;&gt;""</formula>
    </cfRule>
  </conditionalFormatting>
  <conditionalFormatting sqref="S375">
    <cfRule type="expression" dxfId="2770" priority="2007" stopIfTrue="1">
      <formula>$B375&lt;&gt;""</formula>
    </cfRule>
  </conditionalFormatting>
  <conditionalFormatting sqref="S375">
    <cfRule type="expression" dxfId="2769" priority="2006" stopIfTrue="1">
      <formula>$B375&lt;&gt;""</formula>
    </cfRule>
  </conditionalFormatting>
  <conditionalFormatting sqref="S375">
    <cfRule type="expression" dxfId="2768" priority="2005" stopIfTrue="1">
      <formula>$C375&lt;&gt;""</formula>
    </cfRule>
  </conditionalFormatting>
  <conditionalFormatting sqref="S375">
    <cfRule type="expression" dxfId="2767" priority="2004" stopIfTrue="1">
      <formula>$B375&lt;&gt;""</formula>
    </cfRule>
  </conditionalFormatting>
  <conditionalFormatting sqref="S375">
    <cfRule type="expression" dxfId="2766" priority="2003" stopIfTrue="1">
      <formula>$C375&lt;&gt;""</formula>
    </cfRule>
  </conditionalFormatting>
  <conditionalFormatting sqref="S375">
    <cfRule type="expression" dxfId="2765" priority="2002" stopIfTrue="1">
      <formula>$B375&lt;&gt;""</formula>
    </cfRule>
  </conditionalFormatting>
  <conditionalFormatting sqref="S375">
    <cfRule type="expression" dxfId="2764" priority="2001" stopIfTrue="1">
      <formula>$C375&lt;&gt;""</formula>
    </cfRule>
  </conditionalFormatting>
  <conditionalFormatting sqref="S375">
    <cfRule type="expression" dxfId="2763" priority="2000" stopIfTrue="1">
      <formula>$B375&lt;&gt;""</formula>
    </cfRule>
  </conditionalFormatting>
  <conditionalFormatting sqref="S375">
    <cfRule type="expression" dxfId="2762" priority="1999" stopIfTrue="1">
      <formula>$C375&lt;&gt;""</formula>
    </cfRule>
  </conditionalFormatting>
  <conditionalFormatting sqref="S375">
    <cfRule type="expression" dxfId="2761" priority="1998" stopIfTrue="1">
      <formula>$B375&lt;&gt;""</formula>
    </cfRule>
  </conditionalFormatting>
  <conditionalFormatting sqref="S375">
    <cfRule type="expression" dxfId="2760" priority="1997" stopIfTrue="1">
      <formula>$C375&lt;&gt;""</formula>
    </cfRule>
  </conditionalFormatting>
  <conditionalFormatting sqref="S375">
    <cfRule type="expression" dxfId="2759" priority="1996" stopIfTrue="1">
      <formula>$C375&lt;&gt;""</formula>
    </cfRule>
  </conditionalFormatting>
  <conditionalFormatting sqref="S375">
    <cfRule type="expression" dxfId="2758" priority="1995" stopIfTrue="1">
      <formula>$B375&lt;&gt;""</formula>
    </cfRule>
  </conditionalFormatting>
  <conditionalFormatting sqref="S375">
    <cfRule type="expression" dxfId="2757" priority="1994" stopIfTrue="1">
      <formula>$C375&lt;&gt;""</formula>
    </cfRule>
  </conditionalFormatting>
  <conditionalFormatting sqref="S375">
    <cfRule type="expression" dxfId="2756" priority="1993" stopIfTrue="1">
      <formula>$B375&lt;&gt;""</formula>
    </cfRule>
  </conditionalFormatting>
  <conditionalFormatting sqref="S375">
    <cfRule type="expression" dxfId="2755" priority="1992" stopIfTrue="1">
      <formula>$B375&lt;&gt;""</formula>
    </cfRule>
  </conditionalFormatting>
  <conditionalFormatting sqref="S375">
    <cfRule type="expression" dxfId="2754" priority="1991" stopIfTrue="1">
      <formula>$C375&lt;&gt;""</formula>
    </cfRule>
  </conditionalFormatting>
  <conditionalFormatting sqref="S376">
    <cfRule type="expression" dxfId="2753" priority="1990" stopIfTrue="1">
      <formula>$B376&lt;&gt;""</formula>
    </cfRule>
  </conditionalFormatting>
  <conditionalFormatting sqref="S376">
    <cfRule type="expression" dxfId="2752" priority="1989" stopIfTrue="1">
      <formula>$C376&lt;&gt;""</formula>
    </cfRule>
  </conditionalFormatting>
  <conditionalFormatting sqref="S375">
    <cfRule type="expression" dxfId="2751" priority="1988" stopIfTrue="1">
      <formula>$B375&lt;&gt;""</formula>
    </cfRule>
  </conditionalFormatting>
  <conditionalFormatting sqref="S375">
    <cfRule type="expression" dxfId="2750" priority="1987" stopIfTrue="1">
      <formula>$C375&lt;&gt;""</formula>
    </cfRule>
  </conditionalFormatting>
  <conditionalFormatting sqref="S376:S379">
    <cfRule type="expression" dxfId="2749" priority="1986" stopIfTrue="1">
      <formula>$B376&lt;&gt;""</formula>
    </cfRule>
  </conditionalFormatting>
  <conditionalFormatting sqref="S376:S379">
    <cfRule type="expression" dxfId="2748" priority="1985" stopIfTrue="1">
      <formula>$C376&lt;&gt;""</formula>
    </cfRule>
  </conditionalFormatting>
  <conditionalFormatting sqref="S375">
    <cfRule type="expression" dxfId="2747" priority="1984" stopIfTrue="1">
      <formula>$B375&lt;&gt;""</formula>
    </cfRule>
  </conditionalFormatting>
  <conditionalFormatting sqref="S375">
    <cfRule type="expression" dxfId="2746" priority="1983" stopIfTrue="1">
      <formula>$C375&lt;&gt;""</formula>
    </cfRule>
  </conditionalFormatting>
  <conditionalFormatting sqref="S376:S379">
    <cfRule type="expression" dxfId="2745" priority="1982" stopIfTrue="1">
      <formula>$B376&lt;&gt;""</formula>
    </cfRule>
  </conditionalFormatting>
  <conditionalFormatting sqref="S376:S379">
    <cfRule type="expression" dxfId="2744" priority="1981" stopIfTrue="1">
      <formula>$C376&lt;&gt;""</formula>
    </cfRule>
  </conditionalFormatting>
  <conditionalFormatting sqref="S375:S379">
    <cfRule type="expression" dxfId="2743" priority="1980" stopIfTrue="1">
      <formula>$B375&lt;&gt;""</formula>
    </cfRule>
  </conditionalFormatting>
  <conditionalFormatting sqref="S375:S379">
    <cfRule type="expression" dxfId="2742" priority="1979" stopIfTrue="1">
      <formula>$C375&lt;&gt;""</formula>
    </cfRule>
  </conditionalFormatting>
  <conditionalFormatting sqref="S375:S379">
    <cfRule type="expression" dxfId="2741" priority="1978" stopIfTrue="1">
      <formula>$B375&lt;&gt;""</formula>
    </cfRule>
  </conditionalFormatting>
  <conditionalFormatting sqref="S375:S379">
    <cfRule type="expression" dxfId="2740" priority="1977" stopIfTrue="1">
      <formula>$C375&lt;&gt;""</formula>
    </cfRule>
  </conditionalFormatting>
  <conditionalFormatting sqref="S375:S379">
    <cfRule type="expression" dxfId="2739" priority="1976" stopIfTrue="1">
      <formula>$B375&lt;&gt;""</formula>
    </cfRule>
  </conditionalFormatting>
  <conditionalFormatting sqref="S375:S379">
    <cfRule type="expression" dxfId="2738" priority="1975" stopIfTrue="1">
      <formula>$C375&lt;&gt;""</formula>
    </cfRule>
  </conditionalFormatting>
  <conditionalFormatting sqref="S375:S379">
    <cfRule type="expression" dxfId="2737" priority="1974" stopIfTrue="1">
      <formula>$B375&lt;&gt;""</formula>
    </cfRule>
  </conditionalFormatting>
  <conditionalFormatting sqref="S375:S379">
    <cfRule type="expression" dxfId="2736" priority="1973" stopIfTrue="1">
      <formula>$C375&lt;&gt;""</formula>
    </cfRule>
  </conditionalFormatting>
  <conditionalFormatting sqref="S375:S379">
    <cfRule type="expression" dxfId="2735" priority="1972" stopIfTrue="1">
      <formula>$B375&lt;&gt;""</formula>
    </cfRule>
  </conditionalFormatting>
  <conditionalFormatting sqref="S375:S379">
    <cfRule type="expression" dxfId="2734" priority="1971" stopIfTrue="1">
      <formula>$C375&lt;&gt;""</formula>
    </cfRule>
  </conditionalFormatting>
  <conditionalFormatting sqref="S375:S379">
    <cfRule type="expression" dxfId="2733" priority="1970" stopIfTrue="1">
      <formula>$B375&lt;&gt;""</formula>
    </cfRule>
  </conditionalFormatting>
  <conditionalFormatting sqref="S375:S379">
    <cfRule type="expression" dxfId="2732" priority="1969" stopIfTrue="1">
      <formula>$C375&lt;&gt;""</formula>
    </cfRule>
  </conditionalFormatting>
  <conditionalFormatting sqref="S375:S379">
    <cfRule type="expression" dxfId="2731" priority="1968" stopIfTrue="1">
      <formula>$B375&lt;&gt;""</formula>
    </cfRule>
  </conditionalFormatting>
  <conditionalFormatting sqref="S375:S379">
    <cfRule type="expression" dxfId="2730" priority="1967" stopIfTrue="1">
      <formula>$C375&lt;&gt;""</formula>
    </cfRule>
  </conditionalFormatting>
  <conditionalFormatting sqref="S375:S378">
    <cfRule type="expression" dxfId="2729" priority="1966" stopIfTrue="1">
      <formula>$B375&lt;&gt;""</formula>
    </cfRule>
  </conditionalFormatting>
  <conditionalFormatting sqref="S375:S378">
    <cfRule type="expression" dxfId="2728" priority="1965" stopIfTrue="1">
      <formula>$C375&lt;&gt;""</formula>
    </cfRule>
  </conditionalFormatting>
  <conditionalFormatting sqref="S379">
    <cfRule type="expression" dxfId="2727" priority="1964" stopIfTrue="1">
      <formula>$B379&lt;&gt;""</formula>
    </cfRule>
  </conditionalFormatting>
  <conditionalFormatting sqref="S379">
    <cfRule type="expression" dxfId="2726" priority="1963" stopIfTrue="1">
      <formula>$C379&lt;&gt;""</formula>
    </cfRule>
  </conditionalFormatting>
  <conditionalFormatting sqref="S375:S377">
    <cfRule type="expression" dxfId="2725" priority="1962" stopIfTrue="1">
      <formula>$B375&lt;&gt;""</formula>
    </cfRule>
  </conditionalFormatting>
  <conditionalFormatting sqref="S375:S377">
    <cfRule type="expression" dxfId="2724" priority="1961" stopIfTrue="1">
      <formula>$C375&lt;&gt;""</formula>
    </cfRule>
  </conditionalFormatting>
  <conditionalFormatting sqref="S378:S379">
    <cfRule type="expression" dxfId="2723" priority="1960" stopIfTrue="1">
      <formula>$B378&lt;&gt;""</formula>
    </cfRule>
  </conditionalFormatting>
  <conditionalFormatting sqref="S378:S379">
    <cfRule type="expression" dxfId="2722" priority="1959" stopIfTrue="1">
      <formula>$C378&lt;&gt;""</formula>
    </cfRule>
  </conditionalFormatting>
  <conditionalFormatting sqref="S375:S378">
    <cfRule type="expression" dxfId="2721" priority="1958" stopIfTrue="1">
      <formula>$B375&lt;&gt;""</formula>
    </cfRule>
  </conditionalFormatting>
  <conditionalFormatting sqref="S375:S378">
    <cfRule type="expression" dxfId="2720" priority="1957" stopIfTrue="1">
      <formula>$C375&lt;&gt;""</formula>
    </cfRule>
  </conditionalFormatting>
  <conditionalFormatting sqref="S375:S378">
    <cfRule type="expression" dxfId="2719" priority="1956" stopIfTrue="1">
      <formula>$B375&lt;&gt;""</formula>
    </cfRule>
  </conditionalFormatting>
  <conditionalFormatting sqref="S375:S378">
    <cfRule type="expression" dxfId="2718" priority="1955" stopIfTrue="1">
      <formula>$C375&lt;&gt;""</formula>
    </cfRule>
  </conditionalFormatting>
  <conditionalFormatting sqref="S379">
    <cfRule type="expression" dxfId="2717" priority="1954" stopIfTrue="1">
      <formula>$B379&lt;&gt;""</formula>
    </cfRule>
  </conditionalFormatting>
  <conditionalFormatting sqref="S379">
    <cfRule type="expression" dxfId="2716" priority="1953" stopIfTrue="1">
      <formula>$C379&lt;&gt;""</formula>
    </cfRule>
  </conditionalFormatting>
  <conditionalFormatting sqref="S375:S378">
    <cfRule type="expression" dxfId="2715" priority="1952" stopIfTrue="1">
      <formula>$B375&lt;&gt;""</formula>
    </cfRule>
  </conditionalFormatting>
  <conditionalFormatting sqref="S375:S378">
    <cfRule type="expression" dxfId="2714" priority="1951" stopIfTrue="1">
      <formula>$C375&lt;&gt;""</formula>
    </cfRule>
  </conditionalFormatting>
  <conditionalFormatting sqref="S379">
    <cfRule type="expression" dxfId="2713" priority="1950" stopIfTrue="1">
      <formula>$B379&lt;&gt;""</formula>
    </cfRule>
  </conditionalFormatting>
  <conditionalFormatting sqref="S379">
    <cfRule type="expression" dxfId="2712" priority="1949" stopIfTrue="1">
      <formula>$C379&lt;&gt;""</formula>
    </cfRule>
  </conditionalFormatting>
  <conditionalFormatting sqref="S379">
    <cfRule type="expression" dxfId="2711" priority="1948" stopIfTrue="1">
      <formula>$B379&lt;&gt;""</formula>
    </cfRule>
  </conditionalFormatting>
  <conditionalFormatting sqref="S379">
    <cfRule type="expression" dxfId="2710" priority="1947" stopIfTrue="1">
      <formula>$C379&lt;&gt;""</formula>
    </cfRule>
  </conditionalFormatting>
  <conditionalFormatting sqref="S375">
    <cfRule type="expression" dxfId="2709" priority="1946" stopIfTrue="1">
      <formula>$C375&lt;&gt;""</formula>
    </cfRule>
  </conditionalFormatting>
  <conditionalFormatting sqref="S375">
    <cfRule type="expression" dxfId="2708" priority="1945" stopIfTrue="1">
      <formula>$B375&lt;&gt;""</formula>
    </cfRule>
  </conditionalFormatting>
  <conditionalFormatting sqref="S376:S379">
    <cfRule type="expression" dxfId="2707" priority="1944" stopIfTrue="1">
      <formula>$C376&lt;&gt;""</formula>
    </cfRule>
  </conditionalFormatting>
  <conditionalFormatting sqref="S376:S379">
    <cfRule type="expression" dxfId="2706" priority="1943" stopIfTrue="1">
      <formula>$B376&lt;&gt;""</formula>
    </cfRule>
  </conditionalFormatting>
  <conditionalFormatting sqref="S378:S379">
    <cfRule type="expression" dxfId="2705" priority="1942" stopIfTrue="1">
      <formula>$C378&lt;&gt;""</formula>
    </cfRule>
  </conditionalFormatting>
  <conditionalFormatting sqref="S378:S379">
    <cfRule type="expression" dxfId="2704" priority="1941" stopIfTrue="1">
      <formula>$B378&lt;&gt;""</formula>
    </cfRule>
  </conditionalFormatting>
  <conditionalFormatting sqref="S375:S378">
    <cfRule type="expression" dxfId="2703" priority="1940" stopIfTrue="1">
      <formula>$B375&lt;&gt;""</formula>
    </cfRule>
  </conditionalFormatting>
  <conditionalFormatting sqref="S375:S378">
    <cfRule type="expression" dxfId="2702" priority="1939" stopIfTrue="1">
      <formula>$C375&lt;&gt;""</formula>
    </cfRule>
  </conditionalFormatting>
  <conditionalFormatting sqref="S379">
    <cfRule type="expression" dxfId="2701" priority="1938" stopIfTrue="1">
      <formula>$B379&lt;&gt;""</formula>
    </cfRule>
  </conditionalFormatting>
  <conditionalFormatting sqref="S379">
    <cfRule type="expression" dxfId="2700" priority="1937" stopIfTrue="1">
      <formula>$C379&lt;&gt;""</formula>
    </cfRule>
  </conditionalFormatting>
  <conditionalFormatting sqref="S375:S377">
    <cfRule type="expression" dxfId="2699" priority="1936" stopIfTrue="1">
      <formula>$B375&lt;&gt;""</formula>
    </cfRule>
  </conditionalFormatting>
  <conditionalFormatting sqref="S375:S377">
    <cfRule type="expression" dxfId="2698" priority="1935" stopIfTrue="1">
      <formula>$C375&lt;&gt;""</formula>
    </cfRule>
  </conditionalFormatting>
  <conditionalFormatting sqref="S378:S379">
    <cfRule type="expression" dxfId="2697" priority="1934" stopIfTrue="1">
      <formula>$B378&lt;&gt;""</formula>
    </cfRule>
  </conditionalFormatting>
  <conditionalFormatting sqref="S378:S379">
    <cfRule type="expression" dxfId="2696" priority="1933" stopIfTrue="1">
      <formula>$C378&lt;&gt;""</formula>
    </cfRule>
  </conditionalFormatting>
  <conditionalFormatting sqref="S375:S378">
    <cfRule type="expression" dxfId="2695" priority="1932" stopIfTrue="1">
      <formula>$B375&lt;&gt;""</formula>
    </cfRule>
  </conditionalFormatting>
  <conditionalFormatting sqref="S375:S378">
    <cfRule type="expression" dxfId="2694" priority="1931" stopIfTrue="1">
      <formula>$C375&lt;&gt;""</formula>
    </cfRule>
  </conditionalFormatting>
  <conditionalFormatting sqref="S375:S378">
    <cfRule type="expression" dxfId="2693" priority="1930" stopIfTrue="1">
      <formula>$B375&lt;&gt;""</formula>
    </cfRule>
  </conditionalFormatting>
  <conditionalFormatting sqref="S375:S378">
    <cfRule type="expression" dxfId="2692" priority="1929" stopIfTrue="1">
      <formula>$C375&lt;&gt;""</formula>
    </cfRule>
  </conditionalFormatting>
  <conditionalFormatting sqref="S379">
    <cfRule type="expression" dxfId="2691" priority="1928" stopIfTrue="1">
      <formula>$B379&lt;&gt;""</formula>
    </cfRule>
  </conditionalFormatting>
  <conditionalFormatting sqref="S379">
    <cfRule type="expression" dxfId="2690" priority="1927" stopIfTrue="1">
      <formula>$C379&lt;&gt;""</formula>
    </cfRule>
  </conditionalFormatting>
  <conditionalFormatting sqref="S375:S378">
    <cfRule type="expression" dxfId="2689" priority="1926" stopIfTrue="1">
      <formula>$B375&lt;&gt;""</formula>
    </cfRule>
  </conditionalFormatting>
  <conditionalFormatting sqref="S375:S378">
    <cfRule type="expression" dxfId="2688" priority="1925" stopIfTrue="1">
      <formula>$C375&lt;&gt;""</formula>
    </cfRule>
  </conditionalFormatting>
  <conditionalFormatting sqref="S379">
    <cfRule type="expression" dxfId="2687" priority="1924" stopIfTrue="1">
      <formula>$B379&lt;&gt;""</formula>
    </cfRule>
  </conditionalFormatting>
  <conditionalFormatting sqref="S379">
    <cfRule type="expression" dxfId="2686" priority="1923" stopIfTrue="1">
      <formula>$C379&lt;&gt;""</formula>
    </cfRule>
  </conditionalFormatting>
  <conditionalFormatting sqref="S379">
    <cfRule type="expression" dxfId="2685" priority="1922" stopIfTrue="1">
      <formula>$B379&lt;&gt;""</formula>
    </cfRule>
  </conditionalFormatting>
  <conditionalFormatting sqref="S379">
    <cfRule type="expression" dxfId="2684" priority="1921" stopIfTrue="1">
      <formula>$C379&lt;&gt;""</formula>
    </cfRule>
  </conditionalFormatting>
  <conditionalFormatting sqref="S375">
    <cfRule type="expression" dxfId="2683" priority="1920" stopIfTrue="1">
      <formula>$C375&lt;&gt;""</formula>
    </cfRule>
  </conditionalFormatting>
  <conditionalFormatting sqref="S375">
    <cfRule type="expression" dxfId="2682" priority="1919" stopIfTrue="1">
      <formula>$B375&lt;&gt;""</formula>
    </cfRule>
  </conditionalFormatting>
  <conditionalFormatting sqref="S376:S379">
    <cfRule type="expression" dxfId="2681" priority="1918" stopIfTrue="1">
      <formula>$C376&lt;&gt;""</formula>
    </cfRule>
  </conditionalFormatting>
  <conditionalFormatting sqref="S376:S379">
    <cfRule type="expression" dxfId="2680" priority="1917" stopIfTrue="1">
      <formula>$B376&lt;&gt;""</formula>
    </cfRule>
  </conditionalFormatting>
  <conditionalFormatting sqref="S378:S379">
    <cfRule type="expression" dxfId="2679" priority="1916" stopIfTrue="1">
      <formula>$C378&lt;&gt;""</formula>
    </cfRule>
  </conditionalFormatting>
  <conditionalFormatting sqref="S378:S379">
    <cfRule type="expression" dxfId="2678" priority="1915" stopIfTrue="1">
      <formula>$B378&lt;&gt;""</formula>
    </cfRule>
  </conditionalFormatting>
  <conditionalFormatting sqref="S375">
    <cfRule type="expression" dxfId="2677" priority="1914" stopIfTrue="1">
      <formula>$B375&lt;&gt;""</formula>
    </cfRule>
  </conditionalFormatting>
  <conditionalFormatting sqref="S375">
    <cfRule type="expression" dxfId="2676" priority="1913" stopIfTrue="1">
      <formula>$C375&lt;&gt;""</formula>
    </cfRule>
  </conditionalFormatting>
  <conditionalFormatting sqref="S375">
    <cfRule type="expression" dxfId="2675" priority="1912" stopIfTrue="1">
      <formula>$B375&lt;&gt;""</formula>
    </cfRule>
  </conditionalFormatting>
  <conditionalFormatting sqref="S375">
    <cfRule type="expression" dxfId="2674" priority="1911" stopIfTrue="1">
      <formula>$C375&lt;&gt;""</formula>
    </cfRule>
  </conditionalFormatting>
  <conditionalFormatting sqref="S375">
    <cfRule type="expression" dxfId="2673" priority="1910" stopIfTrue="1">
      <formula>$B375&lt;&gt;""</formula>
    </cfRule>
  </conditionalFormatting>
  <conditionalFormatting sqref="S375">
    <cfRule type="expression" dxfId="2672" priority="1909" stopIfTrue="1">
      <formula>$C375&lt;&gt;""</formula>
    </cfRule>
  </conditionalFormatting>
  <conditionalFormatting sqref="S375">
    <cfRule type="expression" dxfId="2671" priority="1908" stopIfTrue="1">
      <formula>$B375&lt;&gt;""</formula>
    </cfRule>
  </conditionalFormatting>
  <conditionalFormatting sqref="S375">
    <cfRule type="expression" dxfId="2670" priority="1907" stopIfTrue="1">
      <formula>$C375&lt;&gt;""</formula>
    </cfRule>
  </conditionalFormatting>
  <conditionalFormatting sqref="S375">
    <cfRule type="expression" dxfId="2669" priority="1906" stopIfTrue="1">
      <formula>$B375&lt;&gt;""</formula>
    </cfRule>
  </conditionalFormatting>
  <conditionalFormatting sqref="S375">
    <cfRule type="expression" dxfId="2668" priority="1905" stopIfTrue="1">
      <formula>$C375&lt;&gt;""</formula>
    </cfRule>
  </conditionalFormatting>
  <conditionalFormatting sqref="S375">
    <cfRule type="expression" dxfId="2667" priority="1904" stopIfTrue="1">
      <formula>$B375&lt;&gt;""</formula>
    </cfRule>
  </conditionalFormatting>
  <conditionalFormatting sqref="S375">
    <cfRule type="expression" dxfId="2666" priority="1903" stopIfTrue="1">
      <formula>$C375&lt;&gt;""</formula>
    </cfRule>
  </conditionalFormatting>
  <conditionalFormatting sqref="S375">
    <cfRule type="expression" dxfId="2665" priority="1902" stopIfTrue="1">
      <formula>$B375&lt;&gt;""</formula>
    </cfRule>
  </conditionalFormatting>
  <conditionalFormatting sqref="S375">
    <cfRule type="expression" dxfId="2664" priority="1901" stopIfTrue="1">
      <formula>$C375&lt;&gt;""</formula>
    </cfRule>
  </conditionalFormatting>
  <conditionalFormatting sqref="S375">
    <cfRule type="expression" dxfId="2663" priority="1900" stopIfTrue="1">
      <formula>$B375&lt;&gt;""</formula>
    </cfRule>
  </conditionalFormatting>
  <conditionalFormatting sqref="S375">
    <cfRule type="expression" dxfId="2662" priority="1899" stopIfTrue="1">
      <formula>$C375&lt;&gt;""</formula>
    </cfRule>
  </conditionalFormatting>
  <conditionalFormatting sqref="S375">
    <cfRule type="expression" dxfId="2661" priority="1898" stopIfTrue="1">
      <formula>$B375&lt;&gt;""</formula>
    </cfRule>
  </conditionalFormatting>
  <conditionalFormatting sqref="S375">
    <cfRule type="expression" dxfId="2660" priority="1897" stopIfTrue="1">
      <formula>$C375&lt;&gt;""</formula>
    </cfRule>
  </conditionalFormatting>
  <conditionalFormatting sqref="S375">
    <cfRule type="expression" dxfId="2659" priority="1896" stopIfTrue="1">
      <formula>$B375&lt;&gt;""</formula>
    </cfRule>
  </conditionalFormatting>
  <conditionalFormatting sqref="S375">
    <cfRule type="expression" dxfId="2658" priority="1895" stopIfTrue="1">
      <formula>$C375&lt;&gt;""</formula>
    </cfRule>
  </conditionalFormatting>
  <conditionalFormatting sqref="S375">
    <cfRule type="expression" dxfId="2657" priority="1894" stopIfTrue="1">
      <formula>$B375&lt;&gt;""</formula>
    </cfRule>
  </conditionalFormatting>
  <conditionalFormatting sqref="S375">
    <cfRule type="expression" dxfId="2656" priority="1893" stopIfTrue="1">
      <formula>$C375&lt;&gt;""</formula>
    </cfRule>
  </conditionalFormatting>
  <conditionalFormatting sqref="S375">
    <cfRule type="expression" dxfId="2655" priority="1892" stopIfTrue="1">
      <formula>$B375&lt;&gt;""</formula>
    </cfRule>
  </conditionalFormatting>
  <conditionalFormatting sqref="S375">
    <cfRule type="expression" dxfId="2654" priority="1891" stopIfTrue="1">
      <formula>$C375&lt;&gt;""</formula>
    </cfRule>
  </conditionalFormatting>
  <conditionalFormatting sqref="S375">
    <cfRule type="expression" dxfId="2653" priority="1890" stopIfTrue="1">
      <formula>$B375&lt;&gt;""</formula>
    </cfRule>
  </conditionalFormatting>
  <conditionalFormatting sqref="S375">
    <cfRule type="expression" dxfId="2652" priority="1889" stopIfTrue="1">
      <formula>$C375&lt;&gt;""</formula>
    </cfRule>
  </conditionalFormatting>
  <conditionalFormatting sqref="S375">
    <cfRule type="expression" dxfId="2651" priority="1888" stopIfTrue="1">
      <formula>$B375&lt;&gt;""</formula>
    </cfRule>
  </conditionalFormatting>
  <conditionalFormatting sqref="S375">
    <cfRule type="expression" dxfId="2650" priority="1887" stopIfTrue="1">
      <formula>$C375&lt;&gt;""</formula>
    </cfRule>
  </conditionalFormatting>
  <conditionalFormatting sqref="S375">
    <cfRule type="expression" dxfId="2649" priority="1886" stopIfTrue="1">
      <formula>$C375&lt;&gt;""</formula>
    </cfRule>
  </conditionalFormatting>
  <conditionalFormatting sqref="S375">
    <cfRule type="expression" dxfId="2648" priority="1885" stopIfTrue="1">
      <formula>$B375&lt;&gt;""</formula>
    </cfRule>
  </conditionalFormatting>
  <conditionalFormatting sqref="S375">
    <cfRule type="expression" dxfId="2647" priority="1884" stopIfTrue="1">
      <formula>$C375&lt;&gt;""</formula>
    </cfRule>
  </conditionalFormatting>
  <conditionalFormatting sqref="S375">
    <cfRule type="expression" dxfId="2646" priority="1883" stopIfTrue="1">
      <formula>$B375&lt;&gt;""</formula>
    </cfRule>
  </conditionalFormatting>
  <conditionalFormatting sqref="S375">
    <cfRule type="expression" dxfId="2645" priority="1882" stopIfTrue="1">
      <formula>$B375&lt;&gt;""</formula>
    </cfRule>
  </conditionalFormatting>
  <conditionalFormatting sqref="S375">
    <cfRule type="expression" dxfId="2644" priority="1881" stopIfTrue="1">
      <formula>$C375&lt;&gt;""</formula>
    </cfRule>
  </conditionalFormatting>
  <conditionalFormatting sqref="S375">
    <cfRule type="expression" dxfId="2643" priority="1880" stopIfTrue="1">
      <formula>$B375&lt;&gt;""</formula>
    </cfRule>
  </conditionalFormatting>
  <conditionalFormatting sqref="S375">
    <cfRule type="expression" dxfId="2642" priority="1879" stopIfTrue="1">
      <formula>$C375&lt;&gt;""</formula>
    </cfRule>
  </conditionalFormatting>
  <conditionalFormatting sqref="S375">
    <cfRule type="expression" dxfId="2641" priority="1878" stopIfTrue="1">
      <formula>$B375&lt;&gt;""</formula>
    </cfRule>
  </conditionalFormatting>
  <conditionalFormatting sqref="S375">
    <cfRule type="expression" dxfId="2640" priority="1877" stopIfTrue="1">
      <formula>$C375&lt;&gt;""</formula>
    </cfRule>
  </conditionalFormatting>
  <conditionalFormatting sqref="S375">
    <cfRule type="expression" dxfId="2639" priority="1876" stopIfTrue="1">
      <formula>$B375&lt;&gt;""</formula>
    </cfRule>
  </conditionalFormatting>
  <conditionalFormatting sqref="S375">
    <cfRule type="expression" dxfId="2638" priority="1875" stopIfTrue="1">
      <formula>$C375&lt;&gt;""</formula>
    </cfRule>
  </conditionalFormatting>
  <conditionalFormatting sqref="S375">
    <cfRule type="expression" dxfId="2637" priority="1874" stopIfTrue="1">
      <formula>$B375&lt;&gt;""</formula>
    </cfRule>
  </conditionalFormatting>
  <conditionalFormatting sqref="S375">
    <cfRule type="expression" dxfId="2636" priority="1873" stopIfTrue="1">
      <formula>$C375&lt;&gt;""</formula>
    </cfRule>
  </conditionalFormatting>
  <conditionalFormatting sqref="S375">
    <cfRule type="expression" dxfId="2635" priority="1872" stopIfTrue="1">
      <formula>$C375&lt;&gt;""</formula>
    </cfRule>
  </conditionalFormatting>
  <conditionalFormatting sqref="S375">
    <cfRule type="expression" dxfId="2634" priority="1871" stopIfTrue="1">
      <formula>$B375&lt;&gt;""</formula>
    </cfRule>
  </conditionalFormatting>
  <conditionalFormatting sqref="S375">
    <cfRule type="expression" dxfId="2633" priority="1870" stopIfTrue="1">
      <formula>$C375&lt;&gt;""</formula>
    </cfRule>
  </conditionalFormatting>
  <conditionalFormatting sqref="S375">
    <cfRule type="expression" dxfId="2632" priority="1869" stopIfTrue="1">
      <formula>$B375&lt;&gt;""</formula>
    </cfRule>
  </conditionalFormatting>
  <conditionalFormatting sqref="S375">
    <cfRule type="expression" dxfId="2631" priority="1868" stopIfTrue="1">
      <formula>$B375&lt;&gt;""</formula>
    </cfRule>
  </conditionalFormatting>
  <conditionalFormatting sqref="S375">
    <cfRule type="expression" dxfId="2630" priority="1867" stopIfTrue="1">
      <formula>$C375&lt;&gt;""</formula>
    </cfRule>
  </conditionalFormatting>
  <conditionalFormatting sqref="S376">
    <cfRule type="expression" dxfId="2629" priority="1866" stopIfTrue="1">
      <formula>$B376&lt;&gt;""</formula>
    </cfRule>
  </conditionalFormatting>
  <conditionalFormatting sqref="S376">
    <cfRule type="expression" dxfId="2628" priority="1865" stopIfTrue="1">
      <formula>$C376&lt;&gt;""</formula>
    </cfRule>
  </conditionalFormatting>
  <conditionalFormatting sqref="S375">
    <cfRule type="expression" dxfId="2627" priority="1864" stopIfTrue="1">
      <formula>$B375&lt;&gt;""</formula>
    </cfRule>
  </conditionalFormatting>
  <conditionalFormatting sqref="S375">
    <cfRule type="expression" dxfId="2626" priority="1863" stopIfTrue="1">
      <formula>$C375&lt;&gt;""</formula>
    </cfRule>
  </conditionalFormatting>
  <conditionalFormatting sqref="S376:S379">
    <cfRule type="expression" dxfId="2625" priority="1862" stopIfTrue="1">
      <formula>$B376&lt;&gt;""</formula>
    </cfRule>
  </conditionalFormatting>
  <conditionalFormatting sqref="S376:S379">
    <cfRule type="expression" dxfId="2624" priority="1861" stopIfTrue="1">
      <formula>$C376&lt;&gt;""</formula>
    </cfRule>
  </conditionalFormatting>
  <conditionalFormatting sqref="S375">
    <cfRule type="expression" dxfId="2623" priority="1860" stopIfTrue="1">
      <formula>$B375&lt;&gt;""</formula>
    </cfRule>
  </conditionalFormatting>
  <conditionalFormatting sqref="S375">
    <cfRule type="expression" dxfId="2622" priority="1859" stopIfTrue="1">
      <formula>$C375&lt;&gt;""</formula>
    </cfRule>
  </conditionalFormatting>
  <conditionalFormatting sqref="S376:S379">
    <cfRule type="expression" dxfId="2621" priority="1858" stopIfTrue="1">
      <formula>$B376&lt;&gt;""</formula>
    </cfRule>
  </conditionalFormatting>
  <conditionalFormatting sqref="S376:S379">
    <cfRule type="expression" dxfId="2620" priority="1857" stopIfTrue="1">
      <formula>$C376&lt;&gt;""</formula>
    </cfRule>
  </conditionalFormatting>
  <conditionalFormatting sqref="S375:S379">
    <cfRule type="expression" dxfId="2619" priority="1856" stopIfTrue="1">
      <formula>$B375&lt;&gt;""</formula>
    </cfRule>
  </conditionalFormatting>
  <conditionalFormatting sqref="S375:S379">
    <cfRule type="expression" dxfId="2618" priority="1855" stopIfTrue="1">
      <formula>$C375&lt;&gt;""</formula>
    </cfRule>
  </conditionalFormatting>
  <conditionalFormatting sqref="S375:S379">
    <cfRule type="expression" dxfId="2617" priority="1854" stopIfTrue="1">
      <formula>$B375&lt;&gt;""</formula>
    </cfRule>
  </conditionalFormatting>
  <conditionalFormatting sqref="S375:S379">
    <cfRule type="expression" dxfId="2616" priority="1853" stopIfTrue="1">
      <formula>$C375&lt;&gt;""</formula>
    </cfRule>
  </conditionalFormatting>
  <conditionalFormatting sqref="S375:S379">
    <cfRule type="expression" dxfId="2615" priority="1852" stopIfTrue="1">
      <formula>$B375&lt;&gt;""</formula>
    </cfRule>
  </conditionalFormatting>
  <conditionalFormatting sqref="S375:S379">
    <cfRule type="expression" dxfId="2614" priority="1851" stopIfTrue="1">
      <formula>$C375&lt;&gt;""</formula>
    </cfRule>
  </conditionalFormatting>
  <conditionalFormatting sqref="S375:S379">
    <cfRule type="expression" dxfId="2613" priority="1850" stopIfTrue="1">
      <formula>$B375&lt;&gt;""</formula>
    </cfRule>
  </conditionalFormatting>
  <conditionalFormatting sqref="S375:S379">
    <cfRule type="expression" dxfId="2612" priority="1849" stopIfTrue="1">
      <formula>$C375&lt;&gt;""</formula>
    </cfRule>
  </conditionalFormatting>
  <conditionalFormatting sqref="S375:S379">
    <cfRule type="expression" dxfId="2611" priority="1848" stopIfTrue="1">
      <formula>$B375&lt;&gt;""</formula>
    </cfRule>
  </conditionalFormatting>
  <conditionalFormatting sqref="S375:S379">
    <cfRule type="expression" dxfId="2610" priority="1847" stopIfTrue="1">
      <formula>$C375&lt;&gt;""</formula>
    </cfRule>
  </conditionalFormatting>
  <conditionalFormatting sqref="S375:S379">
    <cfRule type="expression" dxfId="2609" priority="1846" stopIfTrue="1">
      <formula>$B375&lt;&gt;""</formula>
    </cfRule>
  </conditionalFormatting>
  <conditionalFormatting sqref="S375:S379">
    <cfRule type="expression" dxfId="2608" priority="1845" stopIfTrue="1">
      <formula>$C375&lt;&gt;""</formula>
    </cfRule>
  </conditionalFormatting>
  <conditionalFormatting sqref="S375:S379">
    <cfRule type="expression" dxfId="2607" priority="1844" stopIfTrue="1">
      <formula>$B375&lt;&gt;""</formula>
    </cfRule>
  </conditionalFormatting>
  <conditionalFormatting sqref="S375:S379">
    <cfRule type="expression" dxfId="2606" priority="1843" stopIfTrue="1">
      <formula>$C375&lt;&gt;""</formula>
    </cfRule>
  </conditionalFormatting>
  <conditionalFormatting sqref="S375:S378">
    <cfRule type="expression" dxfId="2605" priority="1842" stopIfTrue="1">
      <formula>$B375&lt;&gt;""</formula>
    </cfRule>
  </conditionalFormatting>
  <conditionalFormatting sqref="S375:S378">
    <cfRule type="expression" dxfId="2604" priority="1841" stopIfTrue="1">
      <formula>$C375&lt;&gt;""</formula>
    </cfRule>
  </conditionalFormatting>
  <conditionalFormatting sqref="S379">
    <cfRule type="expression" dxfId="2603" priority="1840" stopIfTrue="1">
      <formula>$B379&lt;&gt;""</formula>
    </cfRule>
  </conditionalFormatting>
  <conditionalFormatting sqref="S379">
    <cfRule type="expression" dxfId="2602" priority="1839" stopIfTrue="1">
      <formula>$C379&lt;&gt;""</formula>
    </cfRule>
  </conditionalFormatting>
  <conditionalFormatting sqref="S375:S377">
    <cfRule type="expression" dxfId="2601" priority="1838" stopIfTrue="1">
      <formula>$B375&lt;&gt;""</formula>
    </cfRule>
  </conditionalFormatting>
  <conditionalFormatting sqref="S375:S377">
    <cfRule type="expression" dxfId="2600" priority="1837" stopIfTrue="1">
      <formula>$C375&lt;&gt;""</formula>
    </cfRule>
  </conditionalFormatting>
  <conditionalFormatting sqref="S378:S379">
    <cfRule type="expression" dxfId="2599" priority="1836" stopIfTrue="1">
      <formula>$B378&lt;&gt;""</formula>
    </cfRule>
  </conditionalFormatting>
  <conditionalFormatting sqref="S378:S379">
    <cfRule type="expression" dxfId="2598" priority="1835" stopIfTrue="1">
      <formula>$C378&lt;&gt;""</formula>
    </cfRule>
  </conditionalFormatting>
  <conditionalFormatting sqref="S375:S378">
    <cfRule type="expression" dxfId="2597" priority="1834" stopIfTrue="1">
      <formula>$B375&lt;&gt;""</formula>
    </cfRule>
  </conditionalFormatting>
  <conditionalFormatting sqref="S375:S378">
    <cfRule type="expression" dxfId="2596" priority="1833" stopIfTrue="1">
      <formula>$C375&lt;&gt;""</formula>
    </cfRule>
  </conditionalFormatting>
  <conditionalFormatting sqref="S375:S378">
    <cfRule type="expression" dxfId="2595" priority="1832" stopIfTrue="1">
      <formula>$B375&lt;&gt;""</formula>
    </cfRule>
  </conditionalFormatting>
  <conditionalFormatting sqref="S375:S378">
    <cfRule type="expression" dxfId="2594" priority="1831" stopIfTrue="1">
      <formula>$C375&lt;&gt;""</formula>
    </cfRule>
  </conditionalFormatting>
  <conditionalFormatting sqref="S379">
    <cfRule type="expression" dxfId="2593" priority="1830" stopIfTrue="1">
      <formula>$B379&lt;&gt;""</formula>
    </cfRule>
  </conditionalFormatting>
  <conditionalFormatting sqref="S379">
    <cfRule type="expression" dxfId="2592" priority="1829" stopIfTrue="1">
      <formula>$C379&lt;&gt;""</formula>
    </cfRule>
  </conditionalFormatting>
  <conditionalFormatting sqref="S375:S378">
    <cfRule type="expression" dxfId="2591" priority="1828" stopIfTrue="1">
      <formula>$B375&lt;&gt;""</formula>
    </cfRule>
  </conditionalFormatting>
  <conditionalFormatting sqref="S375:S378">
    <cfRule type="expression" dxfId="2590" priority="1827" stopIfTrue="1">
      <formula>$C375&lt;&gt;""</formula>
    </cfRule>
  </conditionalFormatting>
  <conditionalFormatting sqref="S379">
    <cfRule type="expression" dxfId="2589" priority="1826" stopIfTrue="1">
      <formula>$B379&lt;&gt;""</formula>
    </cfRule>
  </conditionalFormatting>
  <conditionalFormatting sqref="S379">
    <cfRule type="expression" dxfId="2588" priority="1825" stopIfTrue="1">
      <formula>$C379&lt;&gt;""</formula>
    </cfRule>
  </conditionalFormatting>
  <conditionalFormatting sqref="S379">
    <cfRule type="expression" dxfId="2587" priority="1824" stopIfTrue="1">
      <formula>$B379&lt;&gt;""</formula>
    </cfRule>
  </conditionalFormatting>
  <conditionalFormatting sqref="S379">
    <cfRule type="expression" dxfId="2586" priority="1823" stopIfTrue="1">
      <formula>$C379&lt;&gt;""</formula>
    </cfRule>
  </conditionalFormatting>
  <conditionalFormatting sqref="S375">
    <cfRule type="expression" dxfId="2585" priority="1822" stopIfTrue="1">
      <formula>$C375&lt;&gt;""</formula>
    </cfRule>
  </conditionalFormatting>
  <conditionalFormatting sqref="S375">
    <cfRule type="expression" dxfId="2584" priority="1821" stopIfTrue="1">
      <formula>$B375&lt;&gt;""</formula>
    </cfRule>
  </conditionalFormatting>
  <conditionalFormatting sqref="S376:S379">
    <cfRule type="expression" dxfId="2583" priority="1820" stopIfTrue="1">
      <formula>$C376&lt;&gt;""</formula>
    </cfRule>
  </conditionalFormatting>
  <conditionalFormatting sqref="S376:S379">
    <cfRule type="expression" dxfId="2582" priority="1819" stopIfTrue="1">
      <formula>$B376&lt;&gt;""</formula>
    </cfRule>
  </conditionalFormatting>
  <conditionalFormatting sqref="S378:S379">
    <cfRule type="expression" dxfId="2581" priority="1818" stopIfTrue="1">
      <formula>$C378&lt;&gt;""</formula>
    </cfRule>
  </conditionalFormatting>
  <conditionalFormatting sqref="S378:S379">
    <cfRule type="expression" dxfId="2580" priority="1817" stopIfTrue="1">
      <formula>$B378&lt;&gt;""</formula>
    </cfRule>
  </conditionalFormatting>
  <conditionalFormatting sqref="S375:S378">
    <cfRule type="expression" dxfId="2579" priority="1816" stopIfTrue="1">
      <formula>$B375&lt;&gt;""</formula>
    </cfRule>
  </conditionalFormatting>
  <conditionalFormatting sqref="S375:S378">
    <cfRule type="expression" dxfId="2578" priority="1815" stopIfTrue="1">
      <formula>$C375&lt;&gt;""</formula>
    </cfRule>
  </conditionalFormatting>
  <conditionalFormatting sqref="S379">
    <cfRule type="expression" dxfId="2577" priority="1814" stopIfTrue="1">
      <formula>$B379&lt;&gt;""</formula>
    </cfRule>
  </conditionalFormatting>
  <conditionalFormatting sqref="S379">
    <cfRule type="expression" dxfId="2576" priority="1813" stopIfTrue="1">
      <formula>$C379&lt;&gt;""</formula>
    </cfRule>
  </conditionalFormatting>
  <conditionalFormatting sqref="S375:S377">
    <cfRule type="expression" dxfId="2575" priority="1812" stopIfTrue="1">
      <formula>$B375&lt;&gt;""</formula>
    </cfRule>
  </conditionalFormatting>
  <conditionalFormatting sqref="S375:S377">
    <cfRule type="expression" dxfId="2574" priority="1811" stopIfTrue="1">
      <formula>$C375&lt;&gt;""</formula>
    </cfRule>
  </conditionalFormatting>
  <conditionalFormatting sqref="S378:S379">
    <cfRule type="expression" dxfId="2573" priority="1810" stopIfTrue="1">
      <formula>$B378&lt;&gt;""</formula>
    </cfRule>
  </conditionalFormatting>
  <conditionalFormatting sqref="S378:S379">
    <cfRule type="expression" dxfId="2572" priority="1809" stopIfTrue="1">
      <formula>$C378&lt;&gt;""</formula>
    </cfRule>
  </conditionalFormatting>
  <conditionalFormatting sqref="S375:S378">
    <cfRule type="expression" dxfId="2571" priority="1808" stopIfTrue="1">
      <formula>$B375&lt;&gt;""</formula>
    </cfRule>
  </conditionalFormatting>
  <conditionalFormatting sqref="S375:S378">
    <cfRule type="expression" dxfId="2570" priority="1807" stopIfTrue="1">
      <formula>$C375&lt;&gt;""</formula>
    </cfRule>
  </conditionalFormatting>
  <conditionalFormatting sqref="S375:S378">
    <cfRule type="expression" dxfId="2569" priority="1806" stopIfTrue="1">
      <formula>$B375&lt;&gt;""</formula>
    </cfRule>
  </conditionalFormatting>
  <conditionalFormatting sqref="S375:S378">
    <cfRule type="expression" dxfId="2568" priority="1805" stopIfTrue="1">
      <formula>$C375&lt;&gt;""</formula>
    </cfRule>
  </conditionalFormatting>
  <conditionalFormatting sqref="S379">
    <cfRule type="expression" dxfId="2567" priority="1804" stopIfTrue="1">
      <formula>$B379&lt;&gt;""</formula>
    </cfRule>
  </conditionalFormatting>
  <conditionalFormatting sqref="S379">
    <cfRule type="expression" dxfId="2566" priority="1803" stopIfTrue="1">
      <formula>$C379&lt;&gt;""</formula>
    </cfRule>
  </conditionalFormatting>
  <conditionalFormatting sqref="S375:S378">
    <cfRule type="expression" dxfId="2565" priority="1802" stopIfTrue="1">
      <formula>$B375&lt;&gt;""</formula>
    </cfRule>
  </conditionalFormatting>
  <conditionalFormatting sqref="S375:S378">
    <cfRule type="expression" dxfId="2564" priority="1801" stopIfTrue="1">
      <formula>$C375&lt;&gt;""</formula>
    </cfRule>
  </conditionalFormatting>
  <conditionalFormatting sqref="S379">
    <cfRule type="expression" dxfId="2563" priority="1800" stopIfTrue="1">
      <formula>$B379&lt;&gt;""</formula>
    </cfRule>
  </conditionalFormatting>
  <conditionalFormatting sqref="S379">
    <cfRule type="expression" dxfId="2562" priority="1799" stopIfTrue="1">
      <formula>$C379&lt;&gt;""</formula>
    </cfRule>
  </conditionalFormatting>
  <conditionalFormatting sqref="S379">
    <cfRule type="expression" dxfId="2561" priority="1798" stopIfTrue="1">
      <formula>$B379&lt;&gt;""</formula>
    </cfRule>
  </conditionalFormatting>
  <conditionalFormatting sqref="S379">
    <cfRule type="expression" dxfId="2560" priority="1797" stopIfTrue="1">
      <formula>$C379&lt;&gt;""</formula>
    </cfRule>
  </conditionalFormatting>
  <conditionalFormatting sqref="S375">
    <cfRule type="expression" dxfId="2559" priority="1796" stopIfTrue="1">
      <formula>$C375&lt;&gt;""</formula>
    </cfRule>
  </conditionalFormatting>
  <conditionalFormatting sqref="S375">
    <cfRule type="expression" dxfId="2558" priority="1795" stopIfTrue="1">
      <formula>$B375&lt;&gt;""</formula>
    </cfRule>
  </conditionalFormatting>
  <conditionalFormatting sqref="S376:S379">
    <cfRule type="expression" dxfId="2557" priority="1794" stopIfTrue="1">
      <formula>$C376&lt;&gt;""</formula>
    </cfRule>
  </conditionalFormatting>
  <conditionalFormatting sqref="S376:S379">
    <cfRule type="expression" dxfId="2556" priority="1793" stopIfTrue="1">
      <formula>$B376&lt;&gt;""</formula>
    </cfRule>
  </conditionalFormatting>
  <conditionalFormatting sqref="S378:S379">
    <cfRule type="expression" dxfId="2555" priority="1792" stopIfTrue="1">
      <formula>$C378&lt;&gt;""</formula>
    </cfRule>
  </conditionalFormatting>
  <conditionalFormatting sqref="S378:S379">
    <cfRule type="expression" dxfId="2554" priority="1791" stopIfTrue="1">
      <formula>$B378&lt;&gt;""</formula>
    </cfRule>
  </conditionalFormatting>
  <conditionalFormatting sqref="S375">
    <cfRule type="expression" dxfId="2553" priority="1790" stopIfTrue="1">
      <formula>$B375&lt;&gt;""</formula>
    </cfRule>
  </conditionalFormatting>
  <conditionalFormatting sqref="S375">
    <cfRule type="expression" dxfId="2552" priority="1789" stopIfTrue="1">
      <formula>$C375&lt;&gt;""</formula>
    </cfRule>
  </conditionalFormatting>
  <conditionalFormatting sqref="S376">
    <cfRule type="expression" dxfId="2551" priority="1788" stopIfTrue="1">
      <formula>$B376&lt;&gt;""</formula>
    </cfRule>
  </conditionalFormatting>
  <conditionalFormatting sqref="S376">
    <cfRule type="expression" dxfId="2550" priority="1787" stopIfTrue="1">
      <formula>$C376&lt;&gt;""</formula>
    </cfRule>
  </conditionalFormatting>
  <conditionalFormatting sqref="S375">
    <cfRule type="expression" dxfId="2549" priority="1786" stopIfTrue="1">
      <formula>$B375&lt;&gt;""</formula>
    </cfRule>
  </conditionalFormatting>
  <conditionalFormatting sqref="S375">
    <cfRule type="expression" dxfId="2548" priority="1785" stopIfTrue="1">
      <formula>$C375&lt;&gt;""</formula>
    </cfRule>
  </conditionalFormatting>
  <conditionalFormatting sqref="S376:S379">
    <cfRule type="expression" dxfId="2547" priority="1784" stopIfTrue="1">
      <formula>$B376&lt;&gt;""</formula>
    </cfRule>
  </conditionalFormatting>
  <conditionalFormatting sqref="S376:S379">
    <cfRule type="expression" dxfId="2546" priority="1783" stopIfTrue="1">
      <formula>$C376&lt;&gt;""</formula>
    </cfRule>
  </conditionalFormatting>
  <conditionalFormatting sqref="S375">
    <cfRule type="expression" dxfId="2545" priority="1782" stopIfTrue="1">
      <formula>$B375&lt;&gt;""</formula>
    </cfRule>
  </conditionalFormatting>
  <conditionalFormatting sqref="S375">
    <cfRule type="expression" dxfId="2544" priority="1781" stopIfTrue="1">
      <formula>$C375&lt;&gt;""</formula>
    </cfRule>
  </conditionalFormatting>
  <conditionalFormatting sqref="S376:S379">
    <cfRule type="expression" dxfId="2543" priority="1780" stopIfTrue="1">
      <formula>$B376&lt;&gt;""</formula>
    </cfRule>
  </conditionalFormatting>
  <conditionalFormatting sqref="S376:S379">
    <cfRule type="expression" dxfId="2542" priority="1779" stopIfTrue="1">
      <formula>$C376&lt;&gt;""</formula>
    </cfRule>
  </conditionalFormatting>
  <conditionalFormatting sqref="S375:S379">
    <cfRule type="expression" dxfId="2541" priority="1778" stopIfTrue="1">
      <formula>$B375&lt;&gt;""</formula>
    </cfRule>
  </conditionalFormatting>
  <conditionalFormatting sqref="S375:S379">
    <cfRule type="expression" dxfId="2540" priority="1777" stopIfTrue="1">
      <formula>$C375&lt;&gt;""</formula>
    </cfRule>
  </conditionalFormatting>
  <conditionalFormatting sqref="S375:S379">
    <cfRule type="expression" dxfId="2539" priority="1776" stopIfTrue="1">
      <formula>$B375&lt;&gt;""</formula>
    </cfRule>
  </conditionalFormatting>
  <conditionalFormatting sqref="S375:S379">
    <cfRule type="expression" dxfId="2538" priority="1775" stopIfTrue="1">
      <formula>$C375&lt;&gt;""</formula>
    </cfRule>
  </conditionalFormatting>
  <conditionalFormatting sqref="S375:S379">
    <cfRule type="expression" dxfId="2537" priority="1774" stopIfTrue="1">
      <formula>$B375&lt;&gt;""</formula>
    </cfRule>
  </conditionalFormatting>
  <conditionalFormatting sqref="S375:S379">
    <cfRule type="expression" dxfId="2536" priority="1773" stopIfTrue="1">
      <formula>$C375&lt;&gt;""</formula>
    </cfRule>
  </conditionalFormatting>
  <conditionalFormatting sqref="S375:S379">
    <cfRule type="expression" dxfId="2535" priority="1772" stopIfTrue="1">
      <formula>$B375&lt;&gt;""</formula>
    </cfRule>
  </conditionalFormatting>
  <conditionalFormatting sqref="S375:S379">
    <cfRule type="expression" dxfId="2534" priority="1771" stopIfTrue="1">
      <formula>$C375&lt;&gt;""</formula>
    </cfRule>
  </conditionalFormatting>
  <conditionalFormatting sqref="S375:S379">
    <cfRule type="expression" dxfId="2533" priority="1770" stopIfTrue="1">
      <formula>$B375&lt;&gt;""</formula>
    </cfRule>
  </conditionalFormatting>
  <conditionalFormatting sqref="S375:S379">
    <cfRule type="expression" dxfId="2532" priority="1769" stopIfTrue="1">
      <formula>$C375&lt;&gt;""</formula>
    </cfRule>
  </conditionalFormatting>
  <conditionalFormatting sqref="S375:S379">
    <cfRule type="expression" dxfId="2531" priority="1768" stopIfTrue="1">
      <formula>$B375&lt;&gt;""</formula>
    </cfRule>
  </conditionalFormatting>
  <conditionalFormatting sqref="S375:S379">
    <cfRule type="expression" dxfId="2530" priority="1767" stopIfTrue="1">
      <formula>$C375&lt;&gt;""</formula>
    </cfRule>
  </conditionalFormatting>
  <conditionalFormatting sqref="S375:S379">
    <cfRule type="expression" dxfId="2529" priority="1766" stopIfTrue="1">
      <formula>$B375&lt;&gt;""</formula>
    </cfRule>
  </conditionalFormatting>
  <conditionalFormatting sqref="S375:S379">
    <cfRule type="expression" dxfId="2528" priority="1765" stopIfTrue="1">
      <formula>$C375&lt;&gt;""</formula>
    </cfRule>
  </conditionalFormatting>
  <conditionalFormatting sqref="S375:S378">
    <cfRule type="expression" dxfId="2527" priority="1764" stopIfTrue="1">
      <formula>$B375&lt;&gt;""</formula>
    </cfRule>
  </conditionalFormatting>
  <conditionalFormatting sqref="S375:S378">
    <cfRule type="expression" dxfId="2526" priority="1763" stopIfTrue="1">
      <formula>$C375&lt;&gt;""</formula>
    </cfRule>
  </conditionalFormatting>
  <conditionalFormatting sqref="S379">
    <cfRule type="expression" dxfId="2525" priority="1762" stopIfTrue="1">
      <formula>$B379&lt;&gt;""</formula>
    </cfRule>
  </conditionalFormatting>
  <conditionalFormatting sqref="S379">
    <cfRule type="expression" dxfId="2524" priority="1761" stopIfTrue="1">
      <formula>$C379&lt;&gt;""</formula>
    </cfRule>
  </conditionalFormatting>
  <conditionalFormatting sqref="S375:S377">
    <cfRule type="expression" dxfId="2523" priority="1760" stopIfTrue="1">
      <formula>$B375&lt;&gt;""</formula>
    </cfRule>
  </conditionalFormatting>
  <conditionalFormatting sqref="S375:S377">
    <cfRule type="expression" dxfId="2522" priority="1759" stopIfTrue="1">
      <formula>$C375&lt;&gt;""</formula>
    </cfRule>
  </conditionalFormatting>
  <conditionalFormatting sqref="S378:S379">
    <cfRule type="expression" dxfId="2521" priority="1758" stopIfTrue="1">
      <formula>$B378&lt;&gt;""</formula>
    </cfRule>
  </conditionalFormatting>
  <conditionalFormatting sqref="S378:S379">
    <cfRule type="expression" dxfId="2520" priority="1757" stopIfTrue="1">
      <formula>$C378&lt;&gt;""</formula>
    </cfRule>
  </conditionalFormatting>
  <conditionalFormatting sqref="S375:S378">
    <cfRule type="expression" dxfId="2519" priority="1756" stopIfTrue="1">
      <formula>$B375&lt;&gt;""</formula>
    </cfRule>
  </conditionalFormatting>
  <conditionalFormatting sqref="S375:S378">
    <cfRule type="expression" dxfId="2518" priority="1755" stopIfTrue="1">
      <formula>$C375&lt;&gt;""</formula>
    </cfRule>
  </conditionalFormatting>
  <conditionalFormatting sqref="S375:S378">
    <cfRule type="expression" dxfId="2517" priority="1754" stopIfTrue="1">
      <formula>$B375&lt;&gt;""</formula>
    </cfRule>
  </conditionalFormatting>
  <conditionalFormatting sqref="S375:S378">
    <cfRule type="expression" dxfId="2516" priority="1753" stopIfTrue="1">
      <formula>$C375&lt;&gt;""</formula>
    </cfRule>
  </conditionalFormatting>
  <conditionalFormatting sqref="S379">
    <cfRule type="expression" dxfId="2515" priority="1752" stopIfTrue="1">
      <formula>$B379&lt;&gt;""</formula>
    </cfRule>
  </conditionalFormatting>
  <conditionalFormatting sqref="S379">
    <cfRule type="expression" dxfId="2514" priority="1751" stopIfTrue="1">
      <formula>$C379&lt;&gt;""</formula>
    </cfRule>
  </conditionalFormatting>
  <conditionalFormatting sqref="S375:S378">
    <cfRule type="expression" dxfId="2513" priority="1750" stopIfTrue="1">
      <formula>$B375&lt;&gt;""</formula>
    </cfRule>
  </conditionalFormatting>
  <conditionalFormatting sqref="S375:S378">
    <cfRule type="expression" dxfId="2512" priority="1749" stopIfTrue="1">
      <formula>$C375&lt;&gt;""</formula>
    </cfRule>
  </conditionalFormatting>
  <conditionalFormatting sqref="S379">
    <cfRule type="expression" dxfId="2511" priority="1748" stopIfTrue="1">
      <formula>$B379&lt;&gt;""</formula>
    </cfRule>
  </conditionalFormatting>
  <conditionalFormatting sqref="S379">
    <cfRule type="expression" dxfId="2510" priority="1747" stopIfTrue="1">
      <formula>$C379&lt;&gt;""</formula>
    </cfRule>
  </conditionalFormatting>
  <conditionalFormatting sqref="S379">
    <cfRule type="expression" dxfId="2509" priority="1746" stopIfTrue="1">
      <formula>$B379&lt;&gt;""</formula>
    </cfRule>
  </conditionalFormatting>
  <conditionalFormatting sqref="S379">
    <cfRule type="expression" dxfId="2508" priority="1745" stopIfTrue="1">
      <formula>$C379&lt;&gt;""</formula>
    </cfRule>
  </conditionalFormatting>
  <conditionalFormatting sqref="S375">
    <cfRule type="expression" dxfId="2507" priority="1744" stopIfTrue="1">
      <formula>$C375&lt;&gt;""</formula>
    </cfRule>
  </conditionalFormatting>
  <conditionalFormatting sqref="S375">
    <cfRule type="expression" dxfId="2506" priority="1743" stopIfTrue="1">
      <formula>$B375&lt;&gt;""</formula>
    </cfRule>
  </conditionalFormatting>
  <conditionalFormatting sqref="S376:S379">
    <cfRule type="expression" dxfId="2505" priority="1742" stopIfTrue="1">
      <formula>$C376&lt;&gt;""</formula>
    </cfRule>
  </conditionalFormatting>
  <conditionalFormatting sqref="S376:S379">
    <cfRule type="expression" dxfId="2504" priority="1741" stopIfTrue="1">
      <formula>$B376&lt;&gt;""</formula>
    </cfRule>
  </conditionalFormatting>
  <conditionalFormatting sqref="S378:S379">
    <cfRule type="expression" dxfId="2503" priority="1740" stopIfTrue="1">
      <formula>$C378&lt;&gt;""</formula>
    </cfRule>
  </conditionalFormatting>
  <conditionalFormatting sqref="S378:S379">
    <cfRule type="expression" dxfId="2502" priority="1739" stopIfTrue="1">
      <formula>$B378&lt;&gt;""</formula>
    </cfRule>
  </conditionalFormatting>
  <conditionalFormatting sqref="S375:S378">
    <cfRule type="expression" dxfId="2501" priority="1738" stopIfTrue="1">
      <formula>$B375&lt;&gt;""</formula>
    </cfRule>
  </conditionalFormatting>
  <conditionalFormatting sqref="S375:S378">
    <cfRule type="expression" dxfId="2500" priority="1737" stopIfTrue="1">
      <formula>$C375&lt;&gt;""</formula>
    </cfRule>
  </conditionalFormatting>
  <conditionalFormatting sqref="S379">
    <cfRule type="expression" dxfId="2499" priority="1736" stopIfTrue="1">
      <formula>$B379&lt;&gt;""</formula>
    </cfRule>
  </conditionalFormatting>
  <conditionalFormatting sqref="S379">
    <cfRule type="expression" dxfId="2498" priority="1735" stopIfTrue="1">
      <formula>$C379&lt;&gt;""</formula>
    </cfRule>
  </conditionalFormatting>
  <conditionalFormatting sqref="S375:S377">
    <cfRule type="expression" dxfId="2497" priority="1734" stopIfTrue="1">
      <formula>$B375&lt;&gt;""</formula>
    </cfRule>
  </conditionalFormatting>
  <conditionalFormatting sqref="S375:S377">
    <cfRule type="expression" dxfId="2496" priority="1733" stopIfTrue="1">
      <formula>$C375&lt;&gt;""</formula>
    </cfRule>
  </conditionalFormatting>
  <conditionalFormatting sqref="S378:S379">
    <cfRule type="expression" dxfId="2495" priority="1732" stopIfTrue="1">
      <formula>$B378&lt;&gt;""</formula>
    </cfRule>
  </conditionalFormatting>
  <conditionalFormatting sqref="S378:S379">
    <cfRule type="expression" dxfId="2494" priority="1731" stopIfTrue="1">
      <formula>$C378&lt;&gt;""</formula>
    </cfRule>
  </conditionalFormatting>
  <conditionalFormatting sqref="S375:S378">
    <cfRule type="expression" dxfId="2493" priority="1730" stopIfTrue="1">
      <formula>$B375&lt;&gt;""</formula>
    </cfRule>
  </conditionalFormatting>
  <conditionalFormatting sqref="S375:S378">
    <cfRule type="expression" dxfId="2492" priority="1729" stopIfTrue="1">
      <formula>$C375&lt;&gt;""</formula>
    </cfRule>
  </conditionalFormatting>
  <conditionalFormatting sqref="S375:S378">
    <cfRule type="expression" dxfId="2491" priority="1728" stopIfTrue="1">
      <formula>$B375&lt;&gt;""</formula>
    </cfRule>
  </conditionalFormatting>
  <conditionalFormatting sqref="S375:S378">
    <cfRule type="expression" dxfId="2490" priority="1727" stopIfTrue="1">
      <formula>$C375&lt;&gt;""</formula>
    </cfRule>
  </conditionalFormatting>
  <conditionalFormatting sqref="S379">
    <cfRule type="expression" dxfId="2489" priority="1726" stopIfTrue="1">
      <formula>$B379&lt;&gt;""</formula>
    </cfRule>
  </conditionalFormatting>
  <conditionalFormatting sqref="S379">
    <cfRule type="expression" dxfId="2488" priority="1725" stopIfTrue="1">
      <formula>$C379&lt;&gt;""</formula>
    </cfRule>
  </conditionalFormatting>
  <conditionalFormatting sqref="S375:S378">
    <cfRule type="expression" dxfId="2487" priority="1724" stopIfTrue="1">
      <formula>$B375&lt;&gt;""</formula>
    </cfRule>
  </conditionalFormatting>
  <conditionalFormatting sqref="S375:S378">
    <cfRule type="expression" dxfId="2486" priority="1723" stopIfTrue="1">
      <formula>$C375&lt;&gt;""</formula>
    </cfRule>
  </conditionalFormatting>
  <conditionalFormatting sqref="S379">
    <cfRule type="expression" dxfId="2485" priority="1722" stopIfTrue="1">
      <formula>$B379&lt;&gt;""</formula>
    </cfRule>
  </conditionalFormatting>
  <conditionalFormatting sqref="S379">
    <cfRule type="expression" dxfId="2484" priority="1721" stopIfTrue="1">
      <formula>$C379&lt;&gt;""</formula>
    </cfRule>
  </conditionalFormatting>
  <conditionalFormatting sqref="S379">
    <cfRule type="expression" dxfId="2483" priority="1720" stopIfTrue="1">
      <formula>$B379&lt;&gt;""</formula>
    </cfRule>
  </conditionalFormatting>
  <conditionalFormatting sqref="S379">
    <cfRule type="expression" dxfId="2482" priority="1719" stopIfTrue="1">
      <formula>$C379&lt;&gt;""</formula>
    </cfRule>
  </conditionalFormatting>
  <conditionalFormatting sqref="S375">
    <cfRule type="expression" dxfId="2481" priority="1718" stopIfTrue="1">
      <formula>$C375&lt;&gt;""</formula>
    </cfRule>
  </conditionalFormatting>
  <conditionalFormatting sqref="S375">
    <cfRule type="expression" dxfId="2480" priority="1717" stopIfTrue="1">
      <formula>$B375&lt;&gt;""</formula>
    </cfRule>
  </conditionalFormatting>
  <conditionalFormatting sqref="S376:S379">
    <cfRule type="expression" dxfId="2479" priority="1716" stopIfTrue="1">
      <formula>$C376&lt;&gt;""</formula>
    </cfRule>
  </conditionalFormatting>
  <conditionalFormatting sqref="S376:S379">
    <cfRule type="expression" dxfId="2478" priority="1715" stopIfTrue="1">
      <formula>$B376&lt;&gt;""</formula>
    </cfRule>
  </conditionalFormatting>
  <conditionalFormatting sqref="S378:S379">
    <cfRule type="expression" dxfId="2477" priority="1714" stopIfTrue="1">
      <formula>$C378&lt;&gt;""</formula>
    </cfRule>
  </conditionalFormatting>
  <conditionalFormatting sqref="S378:S379">
    <cfRule type="expression" dxfId="2476" priority="1713" stopIfTrue="1">
      <formula>$B378&lt;&gt;""</formula>
    </cfRule>
  </conditionalFormatting>
  <conditionalFormatting sqref="S380">
    <cfRule type="expression" dxfId="2475" priority="1712" stopIfTrue="1">
      <formula>$B380&lt;&gt;""</formula>
    </cfRule>
  </conditionalFormatting>
  <conditionalFormatting sqref="S380">
    <cfRule type="expression" dxfId="2474" priority="1711" stopIfTrue="1">
      <formula>$C380&lt;&gt;""</formula>
    </cfRule>
  </conditionalFormatting>
  <conditionalFormatting sqref="S380">
    <cfRule type="expression" dxfId="2473" priority="1710" stopIfTrue="1">
      <formula>$B380&lt;&gt;""</formula>
    </cfRule>
  </conditionalFormatting>
  <conditionalFormatting sqref="S380">
    <cfRule type="expression" dxfId="2472" priority="1709" stopIfTrue="1">
      <formula>$C380&lt;&gt;""</formula>
    </cfRule>
  </conditionalFormatting>
  <conditionalFormatting sqref="S380">
    <cfRule type="expression" dxfId="2471" priority="1708" stopIfTrue="1">
      <formula>$B380&lt;&gt;""</formula>
    </cfRule>
  </conditionalFormatting>
  <conditionalFormatting sqref="S380">
    <cfRule type="expression" dxfId="2470" priority="1707" stopIfTrue="1">
      <formula>$C380&lt;&gt;""</formula>
    </cfRule>
  </conditionalFormatting>
  <conditionalFormatting sqref="S380">
    <cfRule type="expression" dxfId="2469" priority="1706" stopIfTrue="1">
      <formula>$B380&lt;&gt;""</formula>
    </cfRule>
  </conditionalFormatting>
  <conditionalFormatting sqref="S380">
    <cfRule type="expression" dxfId="2468" priority="1705" stopIfTrue="1">
      <formula>$C380&lt;&gt;""</formula>
    </cfRule>
  </conditionalFormatting>
  <conditionalFormatting sqref="S380">
    <cfRule type="expression" dxfId="2467" priority="1704" stopIfTrue="1">
      <formula>$B380&lt;&gt;""</formula>
    </cfRule>
  </conditionalFormatting>
  <conditionalFormatting sqref="S380">
    <cfRule type="expression" dxfId="2466" priority="1703" stopIfTrue="1">
      <formula>$C380&lt;&gt;""</formula>
    </cfRule>
  </conditionalFormatting>
  <conditionalFormatting sqref="S380">
    <cfRule type="expression" dxfId="2465" priority="1702" stopIfTrue="1">
      <formula>$B380&lt;&gt;""</formula>
    </cfRule>
  </conditionalFormatting>
  <conditionalFormatting sqref="S380">
    <cfRule type="expression" dxfId="2464" priority="1701" stopIfTrue="1">
      <formula>$C380&lt;&gt;""</formula>
    </cfRule>
  </conditionalFormatting>
  <conditionalFormatting sqref="S380">
    <cfRule type="expression" dxfId="2463" priority="1700" stopIfTrue="1">
      <formula>$B380&lt;&gt;""</formula>
    </cfRule>
  </conditionalFormatting>
  <conditionalFormatting sqref="S380">
    <cfRule type="expression" dxfId="2462" priority="1699" stopIfTrue="1">
      <formula>$C380&lt;&gt;""</formula>
    </cfRule>
  </conditionalFormatting>
  <conditionalFormatting sqref="S380">
    <cfRule type="expression" dxfId="2461" priority="1698" stopIfTrue="1">
      <formula>$B380&lt;&gt;""</formula>
    </cfRule>
  </conditionalFormatting>
  <conditionalFormatting sqref="S380">
    <cfRule type="expression" dxfId="2460" priority="1697" stopIfTrue="1">
      <formula>$C380&lt;&gt;""</formula>
    </cfRule>
  </conditionalFormatting>
  <conditionalFormatting sqref="S380">
    <cfRule type="expression" dxfId="2459" priority="1696" stopIfTrue="1">
      <formula>$B380&lt;&gt;""</formula>
    </cfRule>
  </conditionalFormatting>
  <conditionalFormatting sqref="S380">
    <cfRule type="expression" dxfId="2458" priority="1695" stopIfTrue="1">
      <formula>$C380&lt;&gt;""</formula>
    </cfRule>
  </conditionalFormatting>
  <conditionalFormatting sqref="S380">
    <cfRule type="expression" dxfId="2457" priority="1694" stopIfTrue="1">
      <formula>$B380&lt;&gt;""</formula>
    </cfRule>
  </conditionalFormatting>
  <conditionalFormatting sqref="S380">
    <cfRule type="expression" dxfId="2456" priority="1693" stopIfTrue="1">
      <formula>$C380&lt;&gt;""</formula>
    </cfRule>
  </conditionalFormatting>
  <conditionalFormatting sqref="S380">
    <cfRule type="expression" dxfId="2455" priority="1692" stopIfTrue="1">
      <formula>$B380&lt;&gt;""</formula>
    </cfRule>
  </conditionalFormatting>
  <conditionalFormatting sqref="S380">
    <cfRule type="expression" dxfId="2454" priority="1691" stopIfTrue="1">
      <formula>$C380&lt;&gt;""</formula>
    </cfRule>
  </conditionalFormatting>
  <conditionalFormatting sqref="S380">
    <cfRule type="expression" dxfId="2453" priority="1690" stopIfTrue="1">
      <formula>$B380&lt;&gt;""</formula>
    </cfRule>
  </conditionalFormatting>
  <conditionalFormatting sqref="S380">
    <cfRule type="expression" dxfId="2452" priority="1689" stopIfTrue="1">
      <formula>$C380&lt;&gt;""</formula>
    </cfRule>
  </conditionalFormatting>
  <conditionalFormatting sqref="S380">
    <cfRule type="expression" dxfId="2451" priority="1688" stopIfTrue="1">
      <formula>$B380&lt;&gt;""</formula>
    </cfRule>
  </conditionalFormatting>
  <conditionalFormatting sqref="S380">
    <cfRule type="expression" dxfId="2450" priority="1687" stopIfTrue="1">
      <formula>$C380&lt;&gt;""</formula>
    </cfRule>
  </conditionalFormatting>
  <conditionalFormatting sqref="S380">
    <cfRule type="expression" dxfId="2449" priority="1686" stopIfTrue="1">
      <formula>$B380&lt;&gt;""</formula>
    </cfRule>
  </conditionalFormatting>
  <conditionalFormatting sqref="S380">
    <cfRule type="expression" dxfId="2448" priority="1685" stopIfTrue="1">
      <formula>$C380&lt;&gt;""</formula>
    </cfRule>
  </conditionalFormatting>
  <conditionalFormatting sqref="S380">
    <cfRule type="expression" dxfId="2447" priority="1684" stopIfTrue="1">
      <formula>$C380&lt;&gt;""</formula>
    </cfRule>
  </conditionalFormatting>
  <conditionalFormatting sqref="S380">
    <cfRule type="expression" dxfId="2446" priority="1683" stopIfTrue="1">
      <formula>$B380&lt;&gt;""</formula>
    </cfRule>
  </conditionalFormatting>
  <conditionalFormatting sqref="S380">
    <cfRule type="expression" dxfId="2445" priority="1682" stopIfTrue="1">
      <formula>$C380&lt;&gt;""</formula>
    </cfRule>
  </conditionalFormatting>
  <conditionalFormatting sqref="S380">
    <cfRule type="expression" dxfId="2444" priority="1681" stopIfTrue="1">
      <formula>$B380&lt;&gt;""</formula>
    </cfRule>
  </conditionalFormatting>
  <conditionalFormatting sqref="S380">
    <cfRule type="expression" dxfId="2443" priority="1680" stopIfTrue="1">
      <formula>$B380&lt;&gt;""</formula>
    </cfRule>
  </conditionalFormatting>
  <conditionalFormatting sqref="S380">
    <cfRule type="expression" dxfId="2442" priority="1679" stopIfTrue="1">
      <formula>$C380&lt;&gt;""</formula>
    </cfRule>
  </conditionalFormatting>
  <conditionalFormatting sqref="S380">
    <cfRule type="expression" dxfId="2441" priority="1678" stopIfTrue="1">
      <formula>$B380&lt;&gt;""</formula>
    </cfRule>
  </conditionalFormatting>
  <conditionalFormatting sqref="S380">
    <cfRule type="expression" dxfId="2440" priority="1677" stopIfTrue="1">
      <formula>$C380&lt;&gt;""</formula>
    </cfRule>
  </conditionalFormatting>
  <conditionalFormatting sqref="S380">
    <cfRule type="expression" dxfId="2439" priority="1676" stopIfTrue="1">
      <formula>$B380&lt;&gt;""</formula>
    </cfRule>
  </conditionalFormatting>
  <conditionalFormatting sqref="S380">
    <cfRule type="expression" dxfId="2438" priority="1675" stopIfTrue="1">
      <formula>$C380&lt;&gt;""</formula>
    </cfRule>
  </conditionalFormatting>
  <conditionalFormatting sqref="S380">
    <cfRule type="expression" dxfId="2437" priority="1674" stopIfTrue="1">
      <formula>$B380&lt;&gt;""</formula>
    </cfRule>
  </conditionalFormatting>
  <conditionalFormatting sqref="S380">
    <cfRule type="expression" dxfId="2436" priority="1673" stopIfTrue="1">
      <formula>$C380&lt;&gt;""</formula>
    </cfRule>
  </conditionalFormatting>
  <conditionalFormatting sqref="S380">
    <cfRule type="expression" dxfId="2435" priority="1672" stopIfTrue="1">
      <formula>$B380&lt;&gt;""</formula>
    </cfRule>
  </conditionalFormatting>
  <conditionalFormatting sqref="S380">
    <cfRule type="expression" dxfId="2434" priority="1671" stopIfTrue="1">
      <formula>$C380&lt;&gt;""</formula>
    </cfRule>
  </conditionalFormatting>
  <conditionalFormatting sqref="S380">
    <cfRule type="expression" dxfId="2433" priority="1670" stopIfTrue="1">
      <formula>$C380&lt;&gt;""</formula>
    </cfRule>
  </conditionalFormatting>
  <conditionalFormatting sqref="S380">
    <cfRule type="expression" dxfId="2432" priority="1669" stopIfTrue="1">
      <formula>$B380&lt;&gt;""</formula>
    </cfRule>
  </conditionalFormatting>
  <conditionalFormatting sqref="S380">
    <cfRule type="expression" dxfId="2431" priority="1668" stopIfTrue="1">
      <formula>$C380&lt;&gt;""</formula>
    </cfRule>
  </conditionalFormatting>
  <conditionalFormatting sqref="S380">
    <cfRule type="expression" dxfId="2430" priority="1667" stopIfTrue="1">
      <formula>$B380&lt;&gt;""</formula>
    </cfRule>
  </conditionalFormatting>
  <conditionalFormatting sqref="S380">
    <cfRule type="expression" dxfId="2429" priority="1666" stopIfTrue="1">
      <formula>$B380&lt;&gt;""</formula>
    </cfRule>
  </conditionalFormatting>
  <conditionalFormatting sqref="S380">
    <cfRule type="expression" dxfId="2428" priority="1665" stopIfTrue="1">
      <formula>$C380&lt;&gt;""</formula>
    </cfRule>
  </conditionalFormatting>
  <conditionalFormatting sqref="S381">
    <cfRule type="expression" dxfId="2427" priority="1664" stopIfTrue="1">
      <formula>$B381&lt;&gt;""</formula>
    </cfRule>
  </conditionalFormatting>
  <conditionalFormatting sqref="S381">
    <cfRule type="expression" dxfId="2426" priority="1663" stopIfTrue="1">
      <formula>$C381&lt;&gt;""</formula>
    </cfRule>
  </conditionalFormatting>
  <conditionalFormatting sqref="S380">
    <cfRule type="expression" dxfId="2425" priority="1662" stopIfTrue="1">
      <formula>$B380&lt;&gt;""</formula>
    </cfRule>
  </conditionalFormatting>
  <conditionalFormatting sqref="S380">
    <cfRule type="expression" dxfId="2424" priority="1661" stopIfTrue="1">
      <formula>$C380&lt;&gt;""</formula>
    </cfRule>
  </conditionalFormatting>
  <conditionalFormatting sqref="S381:S384">
    <cfRule type="expression" dxfId="2423" priority="1660" stopIfTrue="1">
      <formula>$B381&lt;&gt;""</formula>
    </cfRule>
  </conditionalFormatting>
  <conditionalFormatting sqref="S381:S384">
    <cfRule type="expression" dxfId="2422" priority="1659" stopIfTrue="1">
      <formula>$C381&lt;&gt;""</formula>
    </cfRule>
  </conditionalFormatting>
  <conditionalFormatting sqref="S380">
    <cfRule type="expression" dxfId="2421" priority="1658" stopIfTrue="1">
      <formula>$B380&lt;&gt;""</formula>
    </cfRule>
  </conditionalFormatting>
  <conditionalFormatting sqref="S380">
    <cfRule type="expression" dxfId="2420" priority="1657" stopIfTrue="1">
      <formula>$C380&lt;&gt;""</formula>
    </cfRule>
  </conditionalFormatting>
  <conditionalFormatting sqref="S381:S384">
    <cfRule type="expression" dxfId="2419" priority="1656" stopIfTrue="1">
      <formula>$B381&lt;&gt;""</formula>
    </cfRule>
  </conditionalFormatting>
  <conditionalFormatting sqref="S381:S384">
    <cfRule type="expression" dxfId="2418" priority="1655" stopIfTrue="1">
      <formula>$C381&lt;&gt;""</formula>
    </cfRule>
  </conditionalFormatting>
  <conditionalFormatting sqref="S380:S384">
    <cfRule type="expression" dxfId="2417" priority="1654" stopIfTrue="1">
      <formula>$B380&lt;&gt;""</formula>
    </cfRule>
  </conditionalFormatting>
  <conditionalFormatting sqref="S380:S384">
    <cfRule type="expression" dxfId="2416" priority="1653" stopIfTrue="1">
      <formula>$C380&lt;&gt;""</formula>
    </cfRule>
  </conditionalFormatting>
  <conditionalFormatting sqref="S380:S384">
    <cfRule type="expression" dxfId="2415" priority="1652" stopIfTrue="1">
      <formula>$B380&lt;&gt;""</formula>
    </cfRule>
  </conditionalFormatting>
  <conditionalFormatting sqref="S380:S384">
    <cfRule type="expression" dxfId="2414" priority="1651" stopIfTrue="1">
      <formula>$C380&lt;&gt;""</formula>
    </cfRule>
  </conditionalFormatting>
  <conditionalFormatting sqref="S380:S384">
    <cfRule type="expression" dxfId="2413" priority="1650" stopIfTrue="1">
      <formula>$B380&lt;&gt;""</formula>
    </cfRule>
  </conditionalFormatting>
  <conditionalFormatting sqref="S380:S384">
    <cfRule type="expression" dxfId="2412" priority="1649" stopIfTrue="1">
      <formula>$C380&lt;&gt;""</formula>
    </cfRule>
  </conditionalFormatting>
  <conditionalFormatting sqref="S380:S384">
    <cfRule type="expression" dxfId="2411" priority="1648" stopIfTrue="1">
      <formula>$B380&lt;&gt;""</formula>
    </cfRule>
  </conditionalFormatting>
  <conditionalFormatting sqref="S380:S384">
    <cfRule type="expression" dxfId="2410" priority="1647" stopIfTrue="1">
      <formula>$C380&lt;&gt;""</formula>
    </cfRule>
  </conditionalFormatting>
  <conditionalFormatting sqref="S380:S384">
    <cfRule type="expression" dxfId="2409" priority="1646" stopIfTrue="1">
      <formula>$B380&lt;&gt;""</formula>
    </cfRule>
  </conditionalFormatting>
  <conditionalFormatting sqref="S380:S384">
    <cfRule type="expression" dxfId="2408" priority="1645" stopIfTrue="1">
      <formula>$C380&lt;&gt;""</formula>
    </cfRule>
  </conditionalFormatting>
  <conditionalFormatting sqref="S380:S384">
    <cfRule type="expression" dxfId="2407" priority="1644" stopIfTrue="1">
      <formula>$B380&lt;&gt;""</formula>
    </cfRule>
  </conditionalFormatting>
  <conditionalFormatting sqref="S380:S384">
    <cfRule type="expression" dxfId="2406" priority="1643" stopIfTrue="1">
      <formula>$C380&lt;&gt;""</formula>
    </cfRule>
  </conditionalFormatting>
  <conditionalFormatting sqref="S380:S384">
    <cfRule type="expression" dxfId="2405" priority="1642" stopIfTrue="1">
      <formula>$B380&lt;&gt;""</formula>
    </cfRule>
  </conditionalFormatting>
  <conditionalFormatting sqref="S380:S384">
    <cfRule type="expression" dxfId="2404" priority="1641" stopIfTrue="1">
      <formula>$C380&lt;&gt;""</formula>
    </cfRule>
  </conditionalFormatting>
  <conditionalFormatting sqref="S380:S383">
    <cfRule type="expression" dxfId="2403" priority="1640" stopIfTrue="1">
      <formula>$B380&lt;&gt;""</formula>
    </cfRule>
  </conditionalFormatting>
  <conditionalFormatting sqref="S380:S383">
    <cfRule type="expression" dxfId="2402" priority="1639" stopIfTrue="1">
      <formula>$C380&lt;&gt;""</formula>
    </cfRule>
  </conditionalFormatting>
  <conditionalFormatting sqref="S384">
    <cfRule type="expression" dxfId="2401" priority="1638" stopIfTrue="1">
      <formula>$B384&lt;&gt;""</formula>
    </cfRule>
  </conditionalFormatting>
  <conditionalFormatting sqref="S384">
    <cfRule type="expression" dxfId="2400" priority="1637" stopIfTrue="1">
      <formula>$C384&lt;&gt;""</formula>
    </cfRule>
  </conditionalFormatting>
  <conditionalFormatting sqref="S380:S382">
    <cfRule type="expression" dxfId="2399" priority="1636" stopIfTrue="1">
      <formula>$B380&lt;&gt;""</formula>
    </cfRule>
  </conditionalFormatting>
  <conditionalFormatting sqref="S380:S382">
    <cfRule type="expression" dxfId="2398" priority="1635" stopIfTrue="1">
      <formula>$C380&lt;&gt;""</formula>
    </cfRule>
  </conditionalFormatting>
  <conditionalFormatting sqref="S383:S384">
    <cfRule type="expression" dxfId="2397" priority="1634" stopIfTrue="1">
      <formula>$B383&lt;&gt;""</formula>
    </cfRule>
  </conditionalFormatting>
  <conditionalFormatting sqref="S383:S384">
    <cfRule type="expression" dxfId="2396" priority="1633" stopIfTrue="1">
      <formula>$C383&lt;&gt;""</formula>
    </cfRule>
  </conditionalFormatting>
  <conditionalFormatting sqref="S380:S383">
    <cfRule type="expression" dxfId="2395" priority="1632" stopIfTrue="1">
      <formula>$B380&lt;&gt;""</formula>
    </cfRule>
  </conditionalFormatting>
  <conditionalFormatting sqref="S380:S383">
    <cfRule type="expression" dxfId="2394" priority="1631" stopIfTrue="1">
      <formula>$C380&lt;&gt;""</formula>
    </cfRule>
  </conditionalFormatting>
  <conditionalFormatting sqref="S380:S383">
    <cfRule type="expression" dxfId="2393" priority="1630" stopIfTrue="1">
      <formula>$B380&lt;&gt;""</formula>
    </cfRule>
  </conditionalFormatting>
  <conditionalFormatting sqref="S380:S383">
    <cfRule type="expression" dxfId="2392" priority="1629" stopIfTrue="1">
      <formula>$C380&lt;&gt;""</formula>
    </cfRule>
  </conditionalFormatting>
  <conditionalFormatting sqref="S384">
    <cfRule type="expression" dxfId="2391" priority="1628" stopIfTrue="1">
      <formula>$B384&lt;&gt;""</formula>
    </cfRule>
  </conditionalFormatting>
  <conditionalFormatting sqref="S384">
    <cfRule type="expression" dxfId="2390" priority="1627" stopIfTrue="1">
      <formula>$C384&lt;&gt;""</formula>
    </cfRule>
  </conditionalFormatting>
  <conditionalFormatting sqref="S380:S383">
    <cfRule type="expression" dxfId="2389" priority="1626" stopIfTrue="1">
      <formula>$B380&lt;&gt;""</formula>
    </cfRule>
  </conditionalFormatting>
  <conditionalFormatting sqref="S380:S383">
    <cfRule type="expression" dxfId="2388" priority="1625" stopIfTrue="1">
      <formula>$C380&lt;&gt;""</formula>
    </cfRule>
  </conditionalFormatting>
  <conditionalFormatting sqref="S384">
    <cfRule type="expression" dxfId="2387" priority="1624" stopIfTrue="1">
      <formula>$B384&lt;&gt;""</formula>
    </cfRule>
  </conditionalFormatting>
  <conditionalFormatting sqref="S384">
    <cfRule type="expression" dxfId="2386" priority="1623" stopIfTrue="1">
      <formula>$C384&lt;&gt;""</formula>
    </cfRule>
  </conditionalFormatting>
  <conditionalFormatting sqref="S384">
    <cfRule type="expression" dxfId="2385" priority="1622" stopIfTrue="1">
      <formula>$B384&lt;&gt;""</formula>
    </cfRule>
  </conditionalFormatting>
  <conditionalFormatting sqref="S384">
    <cfRule type="expression" dxfId="2384" priority="1621" stopIfTrue="1">
      <formula>$C384&lt;&gt;""</formula>
    </cfRule>
  </conditionalFormatting>
  <conditionalFormatting sqref="S380">
    <cfRule type="expression" dxfId="2383" priority="1620" stopIfTrue="1">
      <formula>$C380&lt;&gt;""</formula>
    </cfRule>
  </conditionalFormatting>
  <conditionalFormatting sqref="S380">
    <cfRule type="expression" dxfId="2382" priority="1619" stopIfTrue="1">
      <formula>$B380&lt;&gt;""</formula>
    </cfRule>
  </conditionalFormatting>
  <conditionalFormatting sqref="S381:S384">
    <cfRule type="expression" dxfId="2381" priority="1618" stopIfTrue="1">
      <formula>$C381&lt;&gt;""</formula>
    </cfRule>
  </conditionalFormatting>
  <conditionalFormatting sqref="S381:S384">
    <cfRule type="expression" dxfId="2380" priority="1617" stopIfTrue="1">
      <formula>$B381&lt;&gt;""</formula>
    </cfRule>
  </conditionalFormatting>
  <conditionalFormatting sqref="S383:S384">
    <cfRule type="expression" dxfId="2379" priority="1616" stopIfTrue="1">
      <formula>$C383&lt;&gt;""</formula>
    </cfRule>
  </conditionalFormatting>
  <conditionalFormatting sqref="S383:S384">
    <cfRule type="expression" dxfId="2378" priority="1615" stopIfTrue="1">
      <formula>$B383&lt;&gt;""</formula>
    </cfRule>
  </conditionalFormatting>
  <conditionalFormatting sqref="S380:S383">
    <cfRule type="expression" dxfId="2377" priority="1614" stopIfTrue="1">
      <formula>$B380&lt;&gt;""</formula>
    </cfRule>
  </conditionalFormatting>
  <conditionalFormatting sqref="S380:S383">
    <cfRule type="expression" dxfId="2376" priority="1613" stopIfTrue="1">
      <formula>$C380&lt;&gt;""</formula>
    </cfRule>
  </conditionalFormatting>
  <conditionalFormatting sqref="S384">
    <cfRule type="expression" dxfId="2375" priority="1612" stopIfTrue="1">
      <formula>$B384&lt;&gt;""</formula>
    </cfRule>
  </conditionalFormatting>
  <conditionalFormatting sqref="S384">
    <cfRule type="expression" dxfId="2374" priority="1611" stopIfTrue="1">
      <formula>$C384&lt;&gt;""</formula>
    </cfRule>
  </conditionalFormatting>
  <conditionalFormatting sqref="S380:S382">
    <cfRule type="expression" dxfId="2373" priority="1610" stopIfTrue="1">
      <formula>$B380&lt;&gt;""</formula>
    </cfRule>
  </conditionalFormatting>
  <conditionalFormatting sqref="S380:S382">
    <cfRule type="expression" dxfId="2372" priority="1609" stopIfTrue="1">
      <formula>$C380&lt;&gt;""</formula>
    </cfRule>
  </conditionalFormatting>
  <conditionalFormatting sqref="S383:S384">
    <cfRule type="expression" dxfId="2371" priority="1608" stopIfTrue="1">
      <formula>$B383&lt;&gt;""</formula>
    </cfRule>
  </conditionalFormatting>
  <conditionalFormatting sqref="S383:S384">
    <cfRule type="expression" dxfId="2370" priority="1607" stopIfTrue="1">
      <formula>$C383&lt;&gt;""</formula>
    </cfRule>
  </conditionalFormatting>
  <conditionalFormatting sqref="S380:S383">
    <cfRule type="expression" dxfId="2369" priority="1606" stopIfTrue="1">
      <formula>$B380&lt;&gt;""</formula>
    </cfRule>
  </conditionalFormatting>
  <conditionalFormatting sqref="S380:S383">
    <cfRule type="expression" dxfId="2368" priority="1605" stopIfTrue="1">
      <formula>$C380&lt;&gt;""</formula>
    </cfRule>
  </conditionalFormatting>
  <conditionalFormatting sqref="S380:S383">
    <cfRule type="expression" dxfId="2367" priority="1604" stopIfTrue="1">
      <formula>$B380&lt;&gt;""</formula>
    </cfRule>
  </conditionalFormatting>
  <conditionalFormatting sqref="S380:S383">
    <cfRule type="expression" dxfId="2366" priority="1603" stopIfTrue="1">
      <formula>$C380&lt;&gt;""</formula>
    </cfRule>
  </conditionalFormatting>
  <conditionalFormatting sqref="S384">
    <cfRule type="expression" dxfId="2365" priority="1602" stopIfTrue="1">
      <formula>$B384&lt;&gt;""</formula>
    </cfRule>
  </conditionalFormatting>
  <conditionalFormatting sqref="S384">
    <cfRule type="expression" dxfId="2364" priority="1601" stopIfTrue="1">
      <formula>$C384&lt;&gt;""</formula>
    </cfRule>
  </conditionalFormatting>
  <conditionalFormatting sqref="S380:S383">
    <cfRule type="expression" dxfId="2363" priority="1600" stopIfTrue="1">
      <formula>$B380&lt;&gt;""</formula>
    </cfRule>
  </conditionalFormatting>
  <conditionalFormatting sqref="S380:S383">
    <cfRule type="expression" dxfId="2362" priority="1599" stopIfTrue="1">
      <formula>$C380&lt;&gt;""</formula>
    </cfRule>
  </conditionalFormatting>
  <conditionalFormatting sqref="S384">
    <cfRule type="expression" dxfId="2361" priority="1598" stopIfTrue="1">
      <formula>$B384&lt;&gt;""</formula>
    </cfRule>
  </conditionalFormatting>
  <conditionalFormatting sqref="S384">
    <cfRule type="expression" dxfId="2360" priority="1597" stopIfTrue="1">
      <formula>$C384&lt;&gt;""</formula>
    </cfRule>
  </conditionalFormatting>
  <conditionalFormatting sqref="S384">
    <cfRule type="expression" dxfId="2359" priority="1596" stopIfTrue="1">
      <formula>$B384&lt;&gt;""</formula>
    </cfRule>
  </conditionalFormatting>
  <conditionalFormatting sqref="S384">
    <cfRule type="expression" dxfId="2358" priority="1595" stopIfTrue="1">
      <formula>$C384&lt;&gt;""</formula>
    </cfRule>
  </conditionalFormatting>
  <conditionalFormatting sqref="S380">
    <cfRule type="expression" dxfId="2357" priority="1594" stopIfTrue="1">
      <formula>$C380&lt;&gt;""</formula>
    </cfRule>
  </conditionalFormatting>
  <conditionalFormatting sqref="S380">
    <cfRule type="expression" dxfId="2356" priority="1593" stopIfTrue="1">
      <formula>$B380&lt;&gt;""</formula>
    </cfRule>
  </conditionalFormatting>
  <conditionalFormatting sqref="S381:S384">
    <cfRule type="expression" dxfId="2355" priority="1592" stopIfTrue="1">
      <formula>$C381&lt;&gt;""</formula>
    </cfRule>
  </conditionalFormatting>
  <conditionalFormatting sqref="S381:S384">
    <cfRule type="expression" dxfId="2354" priority="1591" stopIfTrue="1">
      <formula>$B381&lt;&gt;""</formula>
    </cfRule>
  </conditionalFormatting>
  <conditionalFormatting sqref="S383:S384">
    <cfRule type="expression" dxfId="2353" priority="1590" stopIfTrue="1">
      <formula>$C383&lt;&gt;""</formula>
    </cfRule>
  </conditionalFormatting>
  <conditionalFormatting sqref="S383:S384">
    <cfRule type="expression" dxfId="2352" priority="1589" stopIfTrue="1">
      <formula>$B383&lt;&gt;""</formula>
    </cfRule>
  </conditionalFormatting>
  <conditionalFormatting sqref="S380">
    <cfRule type="expression" dxfId="2351" priority="1588" stopIfTrue="1">
      <formula>$B380&lt;&gt;""</formula>
    </cfRule>
  </conditionalFormatting>
  <conditionalFormatting sqref="S380">
    <cfRule type="expression" dxfId="2350" priority="1587" stopIfTrue="1">
      <formula>$C380&lt;&gt;""</formula>
    </cfRule>
  </conditionalFormatting>
  <conditionalFormatting sqref="S380">
    <cfRule type="expression" dxfId="2349" priority="1586" stopIfTrue="1">
      <formula>$B380&lt;&gt;""</formula>
    </cfRule>
  </conditionalFormatting>
  <conditionalFormatting sqref="S380">
    <cfRule type="expression" dxfId="2348" priority="1585" stopIfTrue="1">
      <formula>$C380&lt;&gt;""</formula>
    </cfRule>
  </conditionalFormatting>
  <conditionalFormatting sqref="S380">
    <cfRule type="expression" dxfId="2347" priority="1584" stopIfTrue="1">
      <formula>$B380&lt;&gt;""</formula>
    </cfRule>
  </conditionalFormatting>
  <conditionalFormatting sqref="S380">
    <cfRule type="expression" dxfId="2346" priority="1583" stopIfTrue="1">
      <formula>$C380&lt;&gt;""</formula>
    </cfRule>
  </conditionalFormatting>
  <conditionalFormatting sqref="S380">
    <cfRule type="expression" dxfId="2345" priority="1582" stopIfTrue="1">
      <formula>$B380&lt;&gt;""</formula>
    </cfRule>
  </conditionalFormatting>
  <conditionalFormatting sqref="S380">
    <cfRule type="expression" dxfId="2344" priority="1581" stopIfTrue="1">
      <formula>$C380&lt;&gt;""</formula>
    </cfRule>
  </conditionalFormatting>
  <conditionalFormatting sqref="S380">
    <cfRule type="expression" dxfId="2343" priority="1580" stopIfTrue="1">
      <formula>$B380&lt;&gt;""</formula>
    </cfRule>
  </conditionalFormatting>
  <conditionalFormatting sqref="S380">
    <cfRule type="expression" dxfId="2342" priority="1579" stopIfTrue="1">
      <formula>$C380&lt;&gt;""</formula>
    </cfRule>
  </conditionalFormatting>
  <conditionalFormatting sqref="S380">
    <cfRule type="expression" dxfId="2341" priority="1578" stopIfTrue="1">
      <formula>$B380&lt;&gt;""</formula>
    </cfRule>
  </conditionalFormatting>
  <conditionalFormatting sqref="S380">
    <cfRule type="expression" dxfId="2340" priority="1577" stopIfTrue="1">
      <formula>$C380&lt;&gt;""</formula>
    </cfRule>
  </conditionalFormatting>
  <conditionalFormatting sqref="S380">
    <cfRule type="expression" dxfId="2339" priority="1576" stopIfTrue="1">
      <formula>$B380&lt;&gt;""</formula>
    </cfRule>
  </conditionalFormatting>
  <conditionalFormatting sqref="S380">
    <cfRule type="expression" dxfId="2338" priority="1575" stopIfTrue="1">
      <formula>$C380&lt;&gt;""</formula>
    </cfRule>
  </conditionalFormatting>
  <conditionalFormatting sqref="S380">
    <cfRule type="expression" dxfId="2337" priority="1574" stopIfTrue="1">
      <formula>$B380&lt;&gt;""</formula>
    </cfRule>
  </conditionalFormatting>
  <conditionalFormatting sqref="S380">
    <cfRule type="expression" dxfId="2336" priority="1573" stopIfTrue="1">
      <formula>$C380&lt;&gt;""</formula>
    </cfRule>
  </conditionalFormatting>
  <conditionalFormatting sqref="S380">
    <cfRule type="expression" dxfId="2335" priority="1572" stopIfTrue="1">
      <formula>$B380&lt;&gt;""</formula>
    </cfRule>
  </conditionalFormatting>
  <conditionalFormatting sqref="S380">
    <cfRule type="expression" dxfId="2334" priority="1571" stopIfTrue="1">
      <formula>$C380&lt;&gt;""</formula>
    </cfRule>
  </conditionalFormatting>
  <conditionalFormatting sqref="S380">
    <cfRule type="expression" dxfId="2333" priority="1570" stopIfTrue="1">
      <formula>$B380&lt;&gt;""</formula>
    </cfRule>
  </conditionalFormatting>
  <conditionalFormatting sqref="S380">
    <cfRule type="expression" dxfId="2332" priority="1569" stopIfTrue="1">
      <formula>$C380&lt;&gt;""</formula>
    </cfRule>
  </conditionalFormatting>
  <conditionalFormatting sqref="S380">
    <cfRule type="expression" dxfId="2331" priority="1568" stopIfTrue="1">
      <formula>$B380&lt;&gt;""</formula>
    </cfRule>
  </conditionalFormatting>
  <conditionalFormatting sqref="S380">
    <cfRule type="expression" dxfId="2330" priority="1567" stopIfTrue="1">
      <formula>$C380&lt;&gt;""</formula>
    </cfRule>
  </conditionalFormatting>
  <conditionalFormatting sqref="S380">
    <cfRule type="expression" dxfId="2329" priority="1566" stopIfTrue="1">
      <formula>$B380&lt;&gt;""</formula>
    </cfRule>
  </conditionalFormatting>
  <conditionalFormatting sqref="S380">
    <cfRule type="expression" dxfId="2328" priority="1565" stopIfTrue="1">
      <formula>$C380&lt;&gt;""</formula>
    </cfRule>
  </conditionalFormatting>
  <conditionalFormatting sqref="S380">
    <cfRule type="expression" dxfId="2327" priority="1564" stopIfTrue="1">
      <formula>$B380&lt;&gt;""</formula>
    </cfRule>
  </conditionalFormatting>
  <conditionalFormatting sqref="S380">
    <cfRule type="expression" dxfId="2326" priority="1563" stopIfTrue="1">
      <formula>$C380&lt;&gt;""</formula>
    </cfRule>
  </conditionalFormatting>
  <conditionalFormatting sqref="S380">
    <cfRule type="expression" dxfId="2325" priority="1562" stopIfTrue="1">
      <formula>$B380&lt;&gt;""</formula>
    </cfRule>
  </conditionalFormatting>
  <conditionalFormatting sqref="S380">
    <cfRule type="expression" dxfId="2324" priority="1561" stopIfTrue="1">
      <formula>$C380&lt;&gt;""</formula>
    </cfRule>
  </conditionalFormatting>
  <conditionalFormatting sqref="S380">
    <cfRule type="expression" dxfId="2323" priority="1560" stopIfTrue="1">
      <formula>$C380&lt;&gt;""</formula>
    </cfRule>
  </conditionalFormatting>
  <conditionalFormatting sqref="S380">
    <cfRule type="expression" dxfId="2322" priority="1559" stopIfTrue="1">
      <formula>$B380&lt;&gt;""</formula>
    </cfRule>
  </conditionalFormatting>
  <conditionalFormatting sqref="S380">
    <cfRule type="expression" dxfId="2321" priority="1558" stopIfTrue="1">
      <formula>$C380&lt;&gt;""</formula>
    </cfRule>
  </conditionalFormatting>
  <conditionalFormatting sqref="S380">
    <cfRule type="expression" dxfId="2320" priority="1557" stopIfTrue="1">
      <formula>$B380&lt;&gt;""</formula>
    </cfRule>
  </conditionalFormatting>
  <conditionalFormatting sqref="S380">
    <cfRule type="expression" dxfId="2319" priority="1556" stopIfTrue="1">
      <formula>$B380&lt;&gt;""</formula>
    </cfRule>
  </conditionalFormatting>
  <conditionalFormatting sqref="S380">
    <cfRule type="expression" dxfId="2318" priority="1555" stopIfTrue="1">
      <formula>$C380&lt;&gt;""</formula>
    </cfRule>
  </conditionalFormatting>
  <conditionalFormatting sqref="S380">
    <cfRule type="expression" dxfId="2317" priority="1554" stopIfTrue="1">
      <formula>$B380&lt;&gt;""</formula>
    </cfRule>
  </conditionalFormatting>
  <conditionalFormatting sqref="S380">
    <cfRule type="expression" dxfId="2316" priority="1553" stopIfTrue="1">
      <formula>$C380&lt;&gt;""</formula>
    </cfRule>
  </conditionalFormatting>
  <conditionalFormatting sqref="S380">
    <cfRule type="expression" dxfId="2315" priority="1552" stopIfTrue="1">
      <formula>$B380&lt;&gt;""</formula>
    </cfRule>
  </conditionalFormatting>
  <conditionalFormatting sqref="S380">
    <cfRule type="expression" dxfId="2314" priority="1551" stopIfTrue="1">
      <formula>$C380&lt;&gt;""</formula>
    </cfRule>
  </conditionalFormatting>
  <conditionalFormatting sqref="S380">
    <cfRule type="expression" dxfId="2313" priority="1550" stopIfTrue="1">
      <formula>$B380&lt;&gt;""</formula>
    </cfRule>
  </conditionalFormatting>
  <conditionalFormatting sqref="S380">
    <cfRule type="expression" dxfId="2312" priority="1549" stopIfTrue="1">
      <formula>$C380&lt;&gt;""</formula>
    </cfRule>
  </conditionalFormatting>
  <conditionalFormatting sqref="S380">
    <cfRule type="expression" dxfId="2311" priority="1548" stopIfTrue="1">
      <formula>$B380&lt;&gt;""</formula>
    </cfRule>
  </conditionalFormatting>
  <conditionalFormatting sqref="S380">
    <cfRule type="expression" dxfId="2310" priority="1547" stopIfTrue="1">
      <formula>$C380&lt;&gt;""</formula>
    </cfRule>
  </conditionalFormatting>
  <conditionalFormatting sqref="S380">
    <cfRule type="expression" dxfId="2309" priority="1546" stopIfTrue="1">
      <formula>$C380&lt;&gt;""</formula>
    </cfRule>
  </conditionalFormatting>
  <conditionalFormatting sqref="S380">
    <cfRule type="expression" dxfId="2308" priority="1545" stopIfTrue="1">
      <formula>$B380&lt;&gt;""</formula>
    </cfRule>
  </conditionalFormatting>
  <conditionalFormatting sqref="S380">
    <cfRule type="expression" dxfId="2307" priority="1544" stopIfTrue="1">
      <formula>$C380&lt;&gt;""</formula>
    </cfRule>
  </conditionalFormatting>
  <conditionalFormatting sqref="S380">
    <cfRule type="expression" dxfId="2306" priority="1543" stopIfTrue="1">
      <formula>$B380&lt;&gt;""</formula>
    </cfRule>
  </conditionalFormatting>
  <conditionalFormatting sqref="S380">
    <cfRule type="expression" dxfId="2305" priority="1542" stopIfTrue="1">
      <formula>$B380&lt;&gt;""</formula>
    </cfRule>
  </conditionalFormatting>
  <conditionalFormatting sqref="S380">
    <cfRule type="expression" dxfId="2304" priority="1541" stopIfTrue="1">
      <formula>$C380&lt;&gt;""</formula>
    </cfRule>
  </conditionalFormatting>
  <conditionalFormatting sqref="S381">
    <cfRule type="expression" dxfId="2303" priority="1540" stopIfTrue="1">
      <formula>$B381&lt;&gt;""</formula>
    </cfRule>
  </conditionalFormatting>
  <conditionalFormatting sqref="S381">
    <cfRule type="expression" dxfId="2302" priority="1539" stopIfTrue="1">
      <formula>$C381&lt;&gt;""</formula>
    </cfRule>
  </conditionalFormatting>
  <conditionalFormatting sqref="S380">
    <cfRule type="expression" dxfId="2301" priority="1538" stopIfTrue="1">
      <formula>$B380&lt;&gt;""</formula>
    </cfRule>
  </conditionalFormatting>
  <conditionalFormatting sqref="S380">
    <cfRule type="expression" dxfId="2300" priority="1537" stopIfTrue="1">
      <formula>$C380&lt;&gt;""</formula>
    </cfRule>
  </conditionalFormatting>
  <conditionalFormatting sqref="S381:S384">
    <cfRule type="expression" dxfId="2299" priority="1536" stopIfTrue="1">
      <formula>$B381&lt;&gt;""</formula>
    </cfRule>
  </conditionalFormatting>
  <conditionalFormatting sqref="S381:S384">
    <cfRule type="expression" dxfId="2298" priority="1535" stopIfTrue="1">
      <formula>$C381&lt;&gt;""</formula>
    </cfRule>
  </conditionalFormatting>
  <conditionalFormatting sqref="S380">
    <cfRule type="expression" dxfId="2297" priority="1534" stopIfTrue="1">
      <formula>$B380&lt;&gt;""</formula>
    </cfRule>
  </conditionalFormatting>
  <conditionalFormatting sqref="S380">
    <cfRule type="expression" dxfId="2296" priority="1533" stopIfTrue="1">
      <formula>$C380&lt;&gt;""</formula>
    </cfRule>
  </conditionalFormatting>
  <conditionalFormatting sqref="S381:S384">
    <cfRule type="expression" dxfId="2295" priority="1532" stopIfTrue="1">
      <formula>$B381&lt;&gt;""</formula>
    </cfRule>
  </conditionalFormatting>
  <conditionalFormatting sqref="S381:S384">
    <cfRule type="expression" dxfId="2294" priority="1531" stopIfTrue="1">
      <formula>$C381&lt;&gt;""</formula>
    </cfRule>
  </conditionalFormatting>
  <conditionalFormatting sqref="S380:S384">
    <cfRule type="expression" dxfId="2293" priority="1530" stopIfTrue="1">
      <formula>$B380&lt;&gt;""</formula>
    </cfRule>
  </conditionalFormatting>
  <conditionalFormatting sqref="S380:S384">
    <cfRule type="expression" dxfId="2292" priority="1529" stopIfTrue="1">
      <formula>$C380&lt;&gt;""</formula>
    </cfRule>
  </conditionalFormatting>
  <conditionalFormatting sqref="S380:S384">
    <cfRule type="expression" dxfId="2291" priority="1528" stopIfTrue="1">
      <formula>$B380&lt;&gt;""</formula>
    </cfRule>
  </conditionalFormatting>
  <conditionalFormatting sqref="S380:S384">
    <cfRule type="expression" dxfId="2290" priority="1527" stopIfTrue="1">
      <formula>$C380&lt;&gt;""</formula>
    </cfRule>
  </conditionalFormatting>
  <conditionalFormatting sqref="S380:S384">
    <cfRule type="expression" dxfId="2289" priority="1526" stopIfTrue="1">
      <formula>$B380&lt;&gt;""</formula>
    </cfRule>
  </conditionalFormatting>
  <conditionalFormatting sqref="S380:S384">
    <cfRule type="expression" dxfId="2288" priority="1525" stopIfTrue="1">
      <formula>$C380&lt;&gt;""</formula>
    </cfRule>
  </conditionalFormatting>
  <conditionalFormatting sqref="S380:S384">
    <cfRule type="expression" dxfId="2287" priority="1524" stopIfTrue="1">
      <formula>$B380&lt;&gt;""</formula>
    </cfRule>
  </conditionalFormatting>
  <conditionalFormatting sqref="S380:S384">
    <cfRule type="expression" dxfId="2286" priority="1523" stopIfTrue="1">
      <formula>$C380&lt;&gt;""</formula>
    </cfRule>
  </conditionalFormatting>
  <conditionalFormatting sqref="S380:S384">
    <cfRule type="expression" dxfId="2285" priority="1522" stopIfTrue="1">
      <formula>$B380&lt;&gt;""</formula>
    </cfRule>
  </conditionalFormatting>
  <conditionalFormatting sqref="S380:S384">
    <cfRule type="expression" dxfId="2284" priority="1521" stopIfTrue="1">
      <formula>$C380&lt;&gt;""</formula>
    </cfRule>
  </conditionalFormatting>
  <conditionalFormatting sqref="S380:S384">
    <cfRule type="expression" dxfId="2283" priority="1520" stopIfTrue="1">
      <formula>$B380&lt;&gt;""</formula>
    </cfRule>
  </conditionalFormatting>
  <conditionalFormatting sqref="S380:S384">
    <cfRule type="expression" dxfId="2282" priority="1519" stopIfTrue="1">
      <formula>$C380&lt;&gt;""</formula>
    </cfRule>
  </conditionalFormatting>
  <conditionalFormatting sqref="S380:S384">
    <cfRule type="expression" dxfId="2281" priority="1518" stopIfTrue="1">
      <formula>$B380&lt;&gt;""</formula>
    </cfRule>
  </conditionalFormatting>
  <conditionalFormatting sqref="S380:S384">
    <cfRule type="expression" dxfId="2280" priority="1517" stopIfTrue="1">
      <formula>$C380&lt;&gt;""</formula>
    </cfRule>
  </conditionalFormatting>
  <conditionalFormatting sqref="S380:S383">
    <cfRule type="expression" dxfId="2279" priority="1516" stopIfTrue="1">
      <formula>$B380&lt;&gt;""</formula>
    </cfRule>
  </conditionalFormatting>
  <conditionalFormatting sqref="S380:S383">
    <cfRule type="expression" dxfId="2278" priority="1515" stopIfTrue="1">
      <formula>$C380&lt;&gt;""</formula>
    </cfRule>
  </conditionalFormatting>
  <conditionalFormatting sqref="S384">
    <cfRule type="expression" dxfId="2277" priority="1514" stopIfTrue="1">
      <formula>$B384&lt;&gt;""</formula>
    </cfRule>
  </conditionalFormatting>
  <conditionalFormatting sqref="S384">
    <cfRule type="expression" dxfId="2276" priority="1513" stopIfTrue="1">
      <formula>$C384&lt;&gt;""</formula>
    </cfRule>
  </conditionalFormatting>
  <conditionalFormatting sqref="S380:S382">
    <cfRule type="expression" dxfId="2275" priority="1512" stopIfTrue="1">
      <formula>$B380&lt;&gt;""</formula>
    </cfRule>
  </conditionalFormatting>
  <conditionalFormatting sqref="S380:S382">
    <cfRule type="expression" dxfId="2274" priority="1511" stopIfTrue="1">
      <formula>$C380&lt;&gt;""</formula>
    </cfRule>
  </conditionalFormatting>
  <conditionalFormatting sqref="S383:S384">
    <cfRule type="expression" dxfId="2273" priority="1510" stopIfTrue="1">
      <formula>$B383&lt;&gt;""</formula>
    </cfRule>
  </conditionalFormatting>
  <conditionalFormatting sqref="S383:S384">
    <cfRule type="expression" dxfId="2272" priority="1509" stopIfTrue="1">
      <formula>$C383&lt;&gt;""</formula>
    </cfRule>
  </conditionalFormatting>
  <conditionalFormatting sqref="S380:S383">
    <cfRule type="expression" dxfId="2271" priority="1508" stopIfTrue="1">
      <formula>$B380&lt;&gt;""</formula>
    </cfRule>
  </conditionalFormatting>
  <conditionalFormatting sqref="S380:S383">
    <cfRule type="expression" dxfId="2270" priority="1507" stopIfTrue="1">
      <formula>$C380&lt;&gt;""</formula>
    </cfRule>
  </conditionalFormatting>
  <conditionalFormatting sqref="S380:S383">
    <cfRule type="expression" dxfId="2269" priority="1506" stopIfTrue="1">
      <formula>$B380&lt;&gt;""</formula>
    </cfRule>
  </conditionalFormatting>
  <conditionalFormatting sqref="S380:S383">
    <cfRule type="expression" dxfId="2268" priority="1505" stopIfTrue="1">
      <formula>$C380&lt;&gt;""</formula>
    </cfRule>
  </conditionalFormatting>
  <conditionalFormatting sqref="S384">
    <cfRule type="expression" dxfId="2267" priority="1504" stopIfTrue="1">
      <formula>$B384&lt;&gt;""</formula>
    </cfRule>
  </conditionalFormatting>
  <conditionalFormatting sqref="S384">
    <cfRule type="expression" dxfId="2266" priority="1503" stopIfTrue="1">
      <formula>$C384&lt;&gt;""</formula>
    </cfRule>
  </conditionalFormatting>
  <conditionalFormatting sqref="S380:S383">
    <cfRule type="expression" dxfId="2265" priority="1502" stopIfTrue="1">
      <formula>$B380&lt;&gt;""</formula>
    </cfRule>
  </conditionalFormatting>
  <conditionalFormatting sqref="S380:S383">
    <cfRule type="expression" dxfId="2264" priority="1501" stopIfTrue="1">
      <formula>$C380&lt;&gt;""</formula>
    </cfRule>
  </conditionalFormatting>
  <conditionalFormatting sqref="S384">
    <cfRule type="expression" dxfId="2263" priority="1500" stopIfTrue="1">
      <formula>$B384&lt;&gt;""</formula>
    </cfRule>
  </conditionalFormatting>
  <conditionalFormatting sqref="S384">
    <cfRule type="expression" dxfId="2262" priority="1499" stopIfTrue="1">
      <formula>$C384&lt;&gt;""</formula>
    </cfRule>
  </conditionalFormatting>
  <conditionalFormatting sqref="S384">
    <cfRule type="expression" dxfId="2261" priority="1498" stopIfTrue="1">
      <formula>$B384&lt;&gt;""</formula>
    </cfRule>
  </conditionalFormatting>
  <conditionalFormatting sqref="S384">
    <cfRule type="expression" dxfId="2260" priority="1497" stopIfTrue="1">
      <formula>$C384&lt;&gt;""</formula>
    </cfRule>
  </conditionalFormatting>
  <conditionalFormatting sqref="S380">
    <cfRule type="expression" dxfId="2259" priority="1496" stopIfTrue="1">
      <formula>$C380&lt;&gt;""</formula>
    </cfRule>
  </conditionalFormatting>
  <conditionalFormatting sqref="S380">
    <cfRule type="expression" dxfId="2258" priority="1495" stopIfTrue="1">
      <formula>$B380&lt;&gt;""</formula>
    </cfRule>
  </conditionalFormatting>
  <conditionalFormatting sqref="S381:S384">
    <cfRule type="expression" dxfId="2257" priority="1494" stopIfTrue="1">
      <formula>$C381&lt;&gt;""</formula>
    </cfRule>
  </conditionalFormatting>
  <conditionalFormatting sqref="S381:S384">
    <cfRule type="expression" dxfId="2256" priority="1493" stopIfTrue="1">
      <formula>$B381&lt;&gt;""</formula>
    </cfRule>
  </conditionalFormatting>
  <conditionalFormatting sqref="S383:S384">
    <cfRule type="expression" dxfId="2255" priority="1492" stopIfTrue="1">
      <formula>$C383&lt;&gt;""</formula>
    </cfRule>
  </conditionalFormatting>
  <conditionalFormatting sqref="S383:S384">
    <cfRule type="expression" dxfId="2254" priority="1491" stopIfTrue="1">
      <formula>$B383&lt;&gt;""</formula>
    </cfRule>
  </conditionalFormatting>
  <conditionalFormatting sqref="S380:S383">
    <cfRule type="expression" dxfId="2253" priority="1490" stopIfTrue="1">
      <formula>$B380&lt;&gt;""</formula>
    </cfRule>
  </conditionalFormatting>
  <conditionalFormatting sqref="S380:S383">
    <cfRule type="expression" dxfId="2252" priority="1489" stopIfTrue="1">
      <formula>$C380&lt;&gt;""</formula>
    </cfRule>
  </conditionalFormatting>
  <conditionalFormatting sqref="S384">
    <cfRule type="expression" dxfId="2251" priority="1488" stopIfTrue="1">
      <formula>$B384&lt;&gt;""</formula>
    </cfRule>
  </conditionalFormatting>
  <conditionalFormatting sqref="S384">
    <cfRule type="expression" dxfId="2250" priority="1487" stopIfTrue="1">
      <formula>$C384&lt;&gt;""</formula>
    </cfRule>
  </conditionalFormatting>
  <conditionalFormatting sqref="S380:S382">
    <cfRule type="expression" dxfId="2249" priority="1486" stopIfTrue="1">
      <formula>$B380&lt;&gt;""</formula>
    </cfRule>
  </conditionalFormatting>
  <conditionalFormatting sqref="S380:S382">
    <cfRule type="expression" dxfId="2248" priority="1485" stopIfTrue="1">
      <formula>$C380&lt;&gt;""</formula>
    </cfRule>
  </conditionalFormatting>
  <conditionalFormatting sqref="S383:S384">
    <cfRule type="expression" dxfId="2247" priority="1484" stopIfTrue="1">
      <formula>$B383&lt;&gt;""</formula>
    </cfRule>
  </conditionalFormatting>
  <conditionalFormatting sqref="S383:S384">
    <cfRule type="expression" dxfId="2246" priority="1483" stopIfTrue="1">
      <formula>$C383&lt;&gt;""</formula>
    </cfRule>
  </conditionalFormatting>
  <conditionalFormatting sqref="S380:S383">
    <cfRule type="expression" dxfId="2245" priority="1482" stopIfTrue="1">
      <formula>$B380&lt;&gt;""</formula>
    </cfRule>
  </conditionalFormatting>
  <conditionalFormatting sqref="S380:S383">
    <cfRule type="expression" dxfId="2244" priority="1481" stopIfTrue="1">
      <formula>$C380&lt;&gt;""</formula>
    </cfRule>
  </conditionalFormatting>
  <conditionalFormatting sqref="S380:S383">
    <cfRule type="expression" dxfId="2243" priority="1480" stopIfTrue="1">
      <formula>$B380&lt;&gt;""</formula>
    </cfRule>
  </conditionalFormatting>
  <conditionalFormatting sqref="S380:S383">
    <cfRule type="expression" dxfId="2242" priority="1479" stopIfTrue="1">
      <formula>$C380&lt;&gt;""</formula>
    </cfRule>
  </conditionalFormatting>
  <conditionalFormatting sqref="S384">
    <cfRule type="expression" dxfId="2241" priority="1478" stopIfTrue="1">
      <formula>$B384&lt;&gt;""</formula>
    </cfRule>
  </conditionalFormatting>
  <conditionalFormatting sqref="S384">
    <cfRule type="expression" dxfId="2240" priority="1477" stopIfTrue="1">
      <formula>$C384&lt;&gt;""</formula>
    </cfRule>
  </conditionalFormatting>
  <conditionalFormatting sqref="S380:S383">
    <cfRule type="expression" dxfId="2239" priority="1476" stopIfTrue="1">
      <formula>$B380&lt;&gt;""</formula>
    </cfRule>
  </conditionalFormatting>
  <conditionalFormatting sqref="S380:S383">
    <cfRule type="expression" dxfId="2238" priority="1475" stopIfTrue="1">
      <formula>$C380&lt;&gt;""</formula>
    </cfRule>
  </conditionalFormatting>
  <conditionalFormatting sqref="S384">
    <cfRule type="expression" dxfId="2237" priority="1474" stopIfTrue="1">
      <formula>$B384&lt;&gt;""</formula>
    </cfRule>
  </conditionalFormatting>
  <conditionalFormatting sqref="S384">
    <cfRule type="expression" dxfId="2236" priority="1473" stopIfTrue="1">
      <formula>$C384&lt;&gt;""</formula>
    </cfRule>
  </conditionalFormatting>
  <conditionalFormatting sqref="S384">
    <cfRule type="expression" dxfId="2235" priority="1472" stopIfTrue="1">
      <formula>$B384&lt;&gt;""</formula>
    </cfRule>
  </conditionalFormatting>
  <conditionalFormatting sqref="S384">
    <cfRule type="expression" dxfId="2234" priority="1471" stopIfTrue="1">
      <formula>$C384&lt;&gt;""</formula>
    </cfRule>
  </conditionalFormatting>
  <conditionalFormatting sqref="S380">
    <cfRule type="expression" dxfId="2233" priority="1470" stopIfTrue="1">
      <formula>$C380&lt;&gt;""</formula>
    </cfRule>
  </conditionalFormatting>
  <conditionalFormatting sqref="S380">
    <cfRule type="expression" dxfId="2232" priority="1469" stopIfTrue="1">
      <formula>$B380&lt;&gt;""</formula>
    </cfRule>
  </conditionalFormatting>
  <conditionalFormatting sqref="S381:S384">
    <cfRule type="expression" dxfId="2231" priority="1468" stopIfTrue="1">
      <formula>$C381&lt;&gt;""</formula>
    </cfRule>
  </conditionalFormatting>
  <conditionalFormatting sqref="S381:S384">
    <cfRule type="expression" dxfId="2230" priority="1467" stopIfTrue="1">
      <formula>$B381&lt;&gt;""</formula>
    </cfRule>
  </conditionalFormatting>
  <conditionalFormatting sqref="S383:S384">
    <cfRule type="expression" dxfId="2229" priority="1466" stopIfTrue="1">
      <formula>$C383&lt;&gt;""</formula>
    </cfRule>
  </conditionalFormatting>
  <conditionalFormatting sqref="S383:S384">
    <cfRule type="expression" dxfId="2228" priority="1465" stopIfTrue="1">
      <formula>$B383&lt;&gt;""</formula>
    </cfRule>
  </conditionalFormatting>
  <conditionalFormatting sqref="S380">
    <cfRule type="expression" dxfId="2227" priority="1464" stopIfTrue="1">
      <formula>$B380&lt;&gt;""</formula>
    </cfRule>
  </conditionalFormatting>
  <conditionalFormatting sqref="S380">
    <cfRule type="expression" dxfId="2226" priority="1463" stopIfTrue="1">
      <formula>$C380&lt;&gt;""</formula>
    </cfRule>
  </conditionalFormatting>
  <conditionalFormatting sqref="S381">
    <cfRule type="expression" dxfId="2225" priority="1462" stopIfTrue="1">
      <formula>$B381&lt;&gt;""</formula>
    </cfRule>
  </conditionalFormatting>
  <conditionalFormatting sqref="S381">
    <cfRule type="expression" dxfId="2224" priority="1461" stopIfTrue="1">
      <formula>$C381&lt;&gt;""</formula>
    </cfRule>
  </conditionalFormatting>
  <conditionalFormatting sqref="S380">
    <cfRule type="expression" dxfId="2223" priority="1460" stopIfTrue="1">
      <formula>$B380&lt;&gt;""</formula>
    </cfRule>
  </conditionalFormatting>
  <conditionalFormatting sqref="S380">
    <cfRule type="expression" dxfId="2222" priority="1459" stopIfTrue="1">
      <formula>$C380&lt;&gt;""</formula>
    </cfRule>
  </conditionalFormatting>
  <conditionalFormatting sqref="S381:S384">
    <cfRule type="expression" dxfId="2221" priority="1458" stopIfTrue="1">
      <formula>$B381&lt;&gt;""</formula>
    </cfRule>
  </conditionalFormatting>
  <conditionalFormatting sqref="S381:S384">
    <cfRule type="expression" dxfId="2220" priority="1457" stopIfTrue="1">
      <formula>$C381&lt;&gt;""</formula>
    </cfRule>
  </conditionalFormatting>
  <conditionalFormatting sqref="S380">
    <cfRule type="expression" dxfId="2219" priority="1456" stopIfTrue="1">
      <formula>$B380&lt;&gt;""</formula>
    </cfRule>
  </conditionalFormatting>
  <conditionalFormatting sqref="S380">
    <cfRule type="expression" dxfId="2218" priority="1455" stopIfTrue="1">
      <formula>$C380&lt;&gt;""</formula>
    </cfRule>
  </conditionalFormatting>
  <conditionalFormatting sqref="S381:S384">
    <cfRule type="expression" dxfId="2217" priority="1454" stopIfTrue="1">
      <formula>$B381&lt;&gt;""</formula>
    </cfRule>
  </conditionalFormatting>
  <conditionalFormatting sqref="S381:S384">
    <cfRule type="expression" dxfId="2216" priority="1453" stopIfTrue="1">
      <formula>$C381&lt;&gt;""</formula>
    </cfRule>
  </conditionalFormatting>
  <conditionalFormatting sqref="S380:S384">
    <cfRule type="expression" dxfId="2215" priority="1452" stopIfTrue="1">
      <formula>$B380&lt;&gt;""</formula>
    </cfRule>
  </conditionalFormatting>
  <conditionalFormatting sqref="S380:S384">
    <cfRule type="expression" dxfId="2214" priority="1451" stopIfTrue="1">
      <formula>$C380&lt;&gt;""</formula>
    </cfRule>
  </conditionalFormatting>
  <conditionalFormatting sqref="S380:S384">
    <cfRule type="expression" dxfId="2213" priority="1450" stopIfTrue="1">
      <formula>$B380&lt;&gt;""</formula>
    </cfRule>
  </conditionalFormatting>
  <conditionalFormatting sqref="S380:S384">
    <cfRule type="expression" dxfId="2212" priority="1449" stopIfTrue="1">
      <formula>$C380&lt;&gt;""</formula>
    </cfRule>
  </conditionalFormatting>
  <conditionalFormatting sqref="S380:S384">
    <cfRule type="expression" dxfId="2211" priority="1448" stopIfTrue="1">
      <formula>$B380&lt;&gt;""</formula>
    </cfRule>
  </conditionalFormatting>
  <conditionalFormatting sqref="S380:S384">
    <cfRule type="expression" dxfId="2210" priority="1447" stopIfTrue="1">
      <formula>$C380&lt;&gt;""</formula>
    </cfRule>
  </conditionalFormatting>
  <conditionalFormatting sqref="S380:S384">
    <cfRule type="expression" dxfId="2209" priority="1446" stopIfTrue="1">
      <formula>$B380&lt;&gt;""</formula>
    </cfRule>
  </conditionalFormatting>
  <conditionalFormatting sqref="S380:S384">
    <cfRule type="expression" dxfId="2208" priority="1445" stopIfTrue="1">
      <formula>$C380&lt;&gt;""</formula>
    </cfRule>
  </conditionalFormatting>
  <conditionalFormatting sqref="S380:S384">
    <cfRule type="expression" dxfId="2207" priority="1444" stopIfTrue="1">
      <formula>$B380&lt;&gt;""</formula>
    </cfRule>
  </conditionalFormatting>
  <conditionalFormatting sqref="S380:S384">
    <cfRule type="expression" dxfId="2206" priority="1443" stopIfTrue="1">
      <formula>$C380&lt;&gt;""</formula>
    </cfRule>
  </conditionalFormatting>
  <conditionalFormatting sqref="S380:S384">
    <cfRule type="expression" dxfId="2205" priority="1442" stopIfTrue="1">
      <formula>$B380&lt;&gt;""</formula>
    </cfRule>
  </conditionalFormatting>
  <conditionalFormatting sqref="S380:S384">
    <cfRule type="expression" dxfId="2204" priority="1441" stopIfTrue="1">
      <formula>$C380&lt;&gt;""</formula>
    </cfRule>
  </conditionalFormatting>
  <conditionalFormatting sqref="S380:S384">
    <cfRule type="expression" dxfId="2203" priority="1440" stopIfTrue="1">
      <formula>$B380&lt;&gt;""</formula>
    </cfRule>
  </conditionalFormatting>
  <conditionalFormatting sqref="S380:S384">
    <cfRule type="expression" dxfId="2202" priority="1439" stopIfTrue="1">
      <formula>$C380&lt;&gt;""</formula>
    </cfRule>
  </conditionalFormatting>
  <conditionalFormatting sqref="S380:S383">
    <cfRule type="expression" dxfId="2201" priority="1438" stopIfTrue="1">
      <formula>$B380&lt;&gt;""</formula>
    </cfRule>
  </conditionalFormatting>
  <conditionalFormatting sqref="S380:S383">
    <cfRule type="expression" dxfId="2200" priority="1437" stopIfTrue="1">
      <formula>$C380&lt;&gt;""</formula>
    </cfRule>
  </conditionalFormatting>
  <conditionalFormatting sqref="S384">
    <cfRule type="expression" dxfId="2199" priority="1436" stopIfTrue="1">
      <formula>$B384&lt;&gt;""</formula>
    </cfRule>
  </conditionalFormatting>
  <conditionalFormatting sqref="S384">
    <cfRule type="expression" dxfId="2198" priority="1435" stopIfTrue="1">
      <formula>$C384&lt;&gt;""</formula>
    </cfRule>
  </conditionalFormatting>
  <conditionalFormatting sqref="S380:S382">
    <cfRule type="expression" dxfId="2197" priority="1434" stopIfTrue="1">
      <formula>$B380&lt;&gt;""</formula>
    </cfRule>
  </conditionalFormatting>
  <conditionalFormatting sqref="S380:S382">
    <cfRule type="expression" dxfId="2196" priority="1433" stopIfTrue="1">
      <formula>$C380&lt;&gt;""</formula>
    </cfRule>
  </conditionalFormatting>
  <conditionalFormatting sqref="S383:S384">
    <cfRule type="expression" dxfId="2195" priority="1432" stopIfTrue="1">
      <formula>$B383&lt;&gt;""</formula>
    </cfRule>
  </conditionalFormatting>
  <conditionalFormatting sqref="S383:S384">
    <cfRule type="expression" dxfId="2194" priority="1431" stopIfTrue="1">
      <formula>$C383&lt;&gt;""</formula>
    </cfRule>
  </conditionalFormatting>
  <conditionalFormatting sqref="S380:S383">
    <cfRule type="expression" dxfId="2193" priority="1430" stopIfTrue="1">
      <formula>$B380&lt;&gt;""</formula>
    </cfRule>
  </conditionalFormatting>
  <conditionalFormatting sqref="S380:S383">
    <cfRule type="expression" dxfId="2192" priority="1429" stopIfTrue="1">
      <formula>$C380&lt;&gt;""</formula>
    </cfRule>
  </conditionalFormatting>
  <conditionalFormatting sqref="S380:S383">
    <cfRule type="expression" dxfId="2191" priority="1428" stopIfTrue="1">
      <formula>$B380&lt;&gt;""</formula>
    </cfRule>
  </conditionalFormatting>
  <conditionalFormatting sqref="S380:S383">
    <cfRule type="expression" dxfId="2190" priority="1427" stopIfTrue="1">
      <formula>$C380&lt;&gt;""</formula>
    </cfRule>
  </conditionalFormatting>
  <conditionalFormatting sqref="S384">
    <cfRule type="expression" dxfId="2189" priority="1426" stopIfTrue="1">
      <formula>$B384&lt;&gt;""</formula>
    </cfRule>
  </conditionalFormatting>
  <conditionalFormatting sqref="S384">
    <cfRule type="expression" dxfId="2188" priority="1425" stopIfTrue="1">
      <formula>$C384&lt;&gt;""</formula>
    </cfRule>
  </conditionalFormatting>
  <conditionalFormatting sqref="S380:S383">
    <cfRule type="expression" dxfId="2187" priority="1424" stopIfTrue="1">
      <formula>$B380&lt;&gt;""</formula>
    </cfRule>
  </conditionalFormatting>
  <conditionalFormatting sqref="S380:S383">
    <cfRule type="expression" dxfId="2186" priority="1423" stopIfTrue="1">
      <formula>$C380&lt;&gt;""</formula>
    </cfRule>
  </conditionalFormatting>
  <conditionalFormatting sqref="S384">
    <cfRule type="expression" dxfId="2185" priority="1422" stopIfTrue="1">
      <formula>$B384&lt;&gt;""</formula>
    </cfRule>
  </conditionalFormatting>
  <conditionalFormatting sqref="S384">
    <cfRule type="expression" dxfId="2184" priority="1421" stopIfTrue="1">
      <formula>$C384&lt;&gt;""</formula>
    </cfRule>
  </conditionalFormatting>
  <conditionalFormatting sqref="S384">
    <cfRule type="expression" dxfId="2183" priority="1420" stopIfTrue="1">
      <formula>$B384&lt;&gt;""</formula>
    </cfRule>
  </conditionalFormatting>
  <conditionalFormatting sqref="S384">
    <cfRule type="expression" dxfId="2182" priority="1419" stopIfTrue="1">
      <formula>$C384&lt;&gt;""</formula>
    </cfRule>
  </conditionalFormatting>
  <conditionalFormatting sqref="S380">
    <cfRule type="expression" dxfId="2181" priority="1418" stopIfTrue="1">
      <formula>$C380&lt;&gt;""</formula>
    </cfRule>
  </conditionalFormatting>
  <conditionalFormatting sqref="S380">
    <cfRule type="expression" dxfId="2180" priority="1417" stopIfTrue="1">
      <formula>$B380&lt;&gt;""</formula>
    </cfRule>
  </conditionalFormatting>
  <conditionalFormatting sqref="S381:S384">
    <cfRule type="expression" dxfId="2179" priority="1416" stopIfTrue="1">
      <formula>$C381&lt;&gt;""</formula>
    </cfRule>
  </conditionalFormatting>
  <conditionalFormatting sqref="S381:S384">
    <cfRule type="expression" dxfId="2178" priority="1415" stopIfTrue="1">
      <formula>$B381&lt;&gt;""</formula>
    </cfRule>
  </conditionalFormatting>
  <conditionalFormatting sqref="S383:S384">
    <cfRule type="expression" dxfId="2177" priority="1414" stopIfTrue="1">
      <formula>$C383&lt;&gt;""</formula>
    </cfRule>
  </conditionalFormatting>
  <conditionalFormatting sqref="S383:S384">
    <cfRule type="expression" dxfId="2176" priority="1413" stopIfTrue="1">
      <formula>$B383&lt;&gt;""</formula>
    </cfRule>
  </conditionalFormatting>
  <conditionalFormatting sqref="S380:S383">
    <cfRule type="expression" dxfId="2175" priority="1412" stopIfTrue="1">
      <formula>$B380&lt;&gt;""</formula>
    </cfRule>
  </conditionalFormatting>
  <conditionalFormatting sqref="S380:S383">
    <cfRule type="expression" dxfId="2174" priority="1411" stopIfTrue="1">
      <formula>$C380&lt;&gt;""</formula>
    </cfRule>
  </conditionalFormatting>
  <conditionalFormatting sqref="S384">
    <cfRule type="expression" dxfId="2173" priority="1410" stopIfTrue="1">
      <formula>$B384&lt;&gt;""</formula>
    </cfRule>
  </conditionalFormatting>
  <conditionalFormatting sqref="S384">
    <cfRule type="expression" dxfId="2172" priority="1409" stopIfTrue="1">
      <formula>$C384&lt;&gt;""</formula>
    </cfRule>
  </conditionalFormatting>
  <conditionalFormatting sqref="S380:S382">
    <cfRule type="expression" dxfId="2171" priority="1408" stopIfTrue="1">
      <formula>$B380&lt;&gt;""</formula>
    </cfRule>
  </conditionalFormatting>
  <conditionalFormatting sqref="S380:S382">
    <cfRule type="expression" dxfId="2170" priority="1407" stopIfTrue="1">
      <formula>$C380&lt;&gt;""</formula>
    </cfRule>
  </conditionalFormatting>
  <conditionalFormatting sqref="S383:S384">
    <cfRule type="expression" dxfId="2169" priority="1406" stopIfTrue="1">
      <formula>$B383&lt;&gt;""</formula>
    </cfRule>
  </conditionalFormatting>
  <conditionalFormatting sqref="S383:S384">
    <cfRule type="expression" dxfId="2168" priority="1405" stopIfTrue="1">
      <formula>$C383&lt;&gt;""</formula>
    </cfRule>
  </conditionalFormatting>
  <conditionalFormatting sqref="S380:S383">
    <cfRule type="expression" dxfId="2167" priority="1404" stopIfTrue="1">
      <formula>$B380&lt;&gt;""</formula>
    </cfRule>
  </conditionalFormatting>
  <conditionalFormatting sqref="S380:S383">
    <cfRule type="expression" dxfId="2166" priority="1403" stopIfTrue="1">
      <formula>$C380&lt;&gt;""</formula>
    </cfRule>
  </conditionalFormatting>
  <conditionalFormatting sqref="S380:S383">
    <cfRule type="expression" dxfId="2165" priority="1402" stopIfTrue="1">
      <formula>$B380&lt;&gt;""</formula>
    </cfRule>
  </conditionalFormatting>
  <conditionalFormatting sqref="S380:S383">
    <cfRule type="expression" dxfId="2164" priority="1401" stopIfTrue="1">
      <formula>$C380&lt;&gt;""</formula>
    </cfRule>
  </conditionalFormatting>
  <conditionalFormatting sqref="S384">
    <cfRule type="expression" dxfId="2163" priority="1400" stopIfTrue="1">
      <formula>$B384&lt;&gt;""</formula>
    </cfRule>
  </conditionalFormatting>
  <conditionalFormatting sqref="S384">
    <cfRule type="expression" dxfId="2162" priority="1399" stopIfTrue="1">
      <formula>$C384&lt;&gt;""</formula>
    </cfRule>
  </conditionalFormatting>
  <conditionalFormatting sqref="S380:S383">
    <cfRule type="expression" dxfId="2161" priority="1398" stopIfTrue="1">
      <formula>$B380&lt;&gt;""</formula>
    </cfRule>
  </conditionalFormatting>
  <conditionalFormatting sqref="S380:S383">
    <cfRule type="expression" dxfId="2160" priority="1397" stopIfTrue="1">
      <formula>$C380&lt;&gt;""</formula>
    </cfRule>
  </conditionalFormatting>
  <conditionalFormatting sqref="S384">
    <cfRule type="expression" dxfId="2159" priority="1396" stopIfTrue="1">
      <formula>$B384&lt;&gt;""</formula>
    </cfRule>
  </conditionalFormatting>
  <conditionalFormatting sqref="S384">
    <cfRule type="expression" dxfId="2158" priority="1395" stopIfTrue="1">
      <formula>$C384&lt;&gt;""</formula>
    </cfRule>
  </conditionalFormatting>
  <conditionalFormatting sqref="S384">
    <cfRule type="expression" dxfId="2157" priority="1394" stopIfTrue="1">
      <formula>$B384&lt;&gt;""</formula>
    </cfRule>
  </conditionalFormatting>
  <conditionalFormatting sqref="S384">
    <cfRule type="expression" dxfId="2156" priority="1393" stopIfTrue="1">
      <formula>$C384&lt;&gt;""</formula>
    </cfRule>
  </conditionalFormatting>
  <conditionalFormatting sqref="S380">
    <cfRule type="expression" dxfId="2155" priority="1392" stopIfTrue="1">
      <formula>$C380&lt;&gt;""</formula>
    </cfRule>
  </conditionalFormatting>
  <conditionalFormatting sqref="S380">
    <cfRule type="expression" dxfId="2154" priority="1391" stopIfTrue="1">
      <formula>$B380&lt;&gt;""</formula>
    </cfRule>
  </conditionalFormatting>
  <conditionalFormatting sqref="S381:S384">
    <cfRule type="expression" dxfId="2153" priority="1390" stopIfTrue="1">
      <formula>$C381&lt;&gt;""</formula>
    </cfRule>
  </conditionalFormatting>
  <conditionalFormatting sqref="S381:S384">
    <cfRule type="expression" dxfId="2152" priority="1389" stopIfTrue="1">
      <formula>$B381&lt;&gt;""</formula>
    </cfRule>
  </conditionalFormatting>
  <conditionalFormatting sqref="S383:S384">
    <cfRule type="expression" dxfId="2151" priority="1388" stopIfTrue="1">
      <formula>$C383&lt;&gt;""</formula>
    </cfRule>
  </conditionalFormatting>
  <conditionalFormatting sqref="S383:S384">
    <cfRule type="expression" dxfId="2150" priority="1387" stopIfTrue="1">
      <formula>$B383&lt;&gt;""</formula>
    </cfRule>
  </conditionalFormatting>
  <conditionalFormatting sqref="S380">
    <cfRule type="expression" dxfId="2149" priority="1386" stopIfTrue="1">
      <formula>$B380&lt;&gt;""</formula>
    </cfRule>
  </conditionalFormatting>
  <conditionalFormatting sqref="S380">
    <cfRule type="expression" dxfId="2148" priority="1385" stopIfTrue="1">
      <formula>$C380&lt;&gt;""</formula>
    </cfRule>
  </conditionalFormatting>
  <conditionalFormatting sqref="S380">
    <cfRule type="expression" dxfId="2147" priority="1384" stopIfTrue="1">
      <formula>$B380&lt;&gt;""</formula>
    </cfRule>
  </conditionalFormatting>
  <conditionalFormatting sqref="S380">
    <cfRule type="expression" dxfId="2146" priority="1383" stopIfTrue="1">
      <formula>$C380&lt;&gt;""</formula>
    </cfRule>
  </conditionalFormatting>
  <conditionalFormatting sqref="S380">
    <cfRule type="expression" dxfId="2145" priority="1382" stopIfTrue="1">
      <formula>$B380&lt;&gt;""</formula>
    </cfRule>
  </conditionalFormatting>
  <conditionalFormatting sqref="S380">
    <cfRule type="expression" dxfId="2144" priority="1381" stopIfTrue="1">
      <formula>$C380&lt;&gt;""</formula>
    </cfRule>
  </conditionalFormatting>
  <conditionalFormatting sqref="S380">
    <cfRule type="expression" dxfId="2143" priority="1380" stopIfTrue="1">
      <formula>$B380&lt;&gt;""</formula>
    </cfRule>
  </conditionalFormatting>
  <conditionalFormatting sqref="S380">
    <cfRule type="expression" dxfId="2142" priority="1379" stopIfTrue="1">
      <formula>$C380&lt;&gt;""</formula>
    </cfRule>
  </conditionalFormatting>
  <conditionalFormatting sqref="S380">
    <cfRule type="expression" dxfId="2141" priority="1378" stopIfTrue="1">
      <formula>$B380&lt;&gt;""</formula>
    </cfRule>
  </conditionalFormatting>
  <conditionalFormatting sqref="S380">
    <cfRule type="expression" dxfId="2140" priority="1377" stopIfTrue="1">
      <formula>$C380&lt;&gt;""</formula>
    </cfRule>
  </conditionalFormatting>
  <conditionalFormatting sqref="S380">
    <cfRule type="expression" dxfId="2139" priority="1376" stopIfTrue="1">
      <formula>$B380&lt;&gt;""</formula>
    </cfRule>
  </conditionalFormatting>
  <conditionalFormatting sqref="S380">
    <cfRule type="expression" dxfId="2138" priority="1375" stopIfTrue="1">
      <formula>$C380&lt;&gt;""</formula>
    </cfRule>
  </conditionalFormatting>
  <conditionalFormatting sqref="S380">
    <cfRule type="expression" dxfId="2137" priority="1374" stopIfTrue="1">
      <formula>$B380&lt;&gt;""</formula>
    </cfRule>
  </conditionalFormatting>
  <conditionalFormatting sqref="S380">
    <cfRule type="expression" dxfId="2136" priority="1373" stopIfTrue="1">
      <formula>$C380&lt;&gt;""</formula>
    </cfRule>
  </conditionalFormatting>
  <conditionalFormatting sqref="S380">
    <cfRule type="expression" dxfId="2135" priority="1372" stopIfTrue="1">
      <formula>$B380&lt;&gt;""</formula>
    </cfRule>
  </conditionalFormatting>
  <conditionalFormatting sqref="S380">
    <cfRule type="expression" dxfId="2134" priority="1371" stopIfTrue="1">
      <formula>$C380&lt;&gt;""</formula>
    </cfRule>
  </conditionalFormatting>
  <conditionalFormatting sqref="S380">
    <cfRule type="expression" dxfId="2133" priority="1370" stopIfTrue="1">
      <formula>$B380&lt;&gt;""</formula>
    </cfRule>
  </conditionalFormatting>
  <conditionalFormatting sqref="S380">
    <cfRule type="expression" dxfId="2132" priority="1369" stopIfTrue="1">
      <formula>$C380&lt;&gt;""</formula>
    </cfRule>
  </conditionalFormatting>
  <conditionalFormatting sqref="S380">
    <cfRule type="expression" dxfId="2131" priority="1368" stopIfTrue="1">
      <formula>$B380&lt;&gt;""</formula>
    </cfRule>
  </conditionalFormatting>
  <conditionalFormatting sqref="S380">
    <cfRule type="expression" dxfId="2130" priority="1367" stopIfTrue="1">
      <formula>$C380&lt;&gt;""</formula>
    </cfRule>
  </conditionalFormatting>
  <conditionalFormatting sqref="S380">
    <cfRule type="expression" dxfId="2129" priority="1366" stopIfTrue="1">
      <formula>$B380&lt;&gt;""</formula>
    </cfRule>
  </conditionalFormatting>
  <conditionalFormatting sqref="S380">
    <cfRule type="expression" dxfId="2128" priority="1365" stopIfTrue="1">
      <formula>$C380&lt;&gt;""</formula>
    </cfRule>
  </conditionalFormatting>
  <conditionalFormatting sqref="S380">
    <cfRule type="expression" dxfId="2127" priority="1364" stopIfTrue="1">
      <formula>$B380&lt;&gt;""</formula>
    </cfRule>
  </conditionalFormatting>
  <conditionalFormatting sqref="S380">
    <cfRule type="expression" dxfId="2126" priority="1363" stopIfTrue="1">
      <formula>$C380&lt;&gt;""</formula>
    </cfRule>
  </conditionalFormatting>
  <conditionalFormatting sqref="S380">
    <cfRule type="expression" dxfId="2125" priority="1362" stopIfTrue="1">
      <formula>$B380&lt;&gt;""</formula>
    </cfRule>
  </conditionalFormatting>
  <conditionalFormatting sqref="S380">
    <cfRule type="expression" dxfId="2124" priority="1361" stopIfTrue="1">
      <formula>$C380&lt;&gt;""</formula>
    </cfRule>
  </conditionalFormatting>
  <conditionalFormatting sqref="S380">
    <cfRule type="expression" dxfId="2123" priority="1360" stopIfTrue="1">
      <formula>$B380&lt;&gt;""</formula>
    </cfRule>
  </conditionalFormatting>
  <conditionalFormatting sqref="S380">
    <cfRule type="expression" dxfId="2122" priority="1359" stopIfTrue="1">
      <formula>$C380&lt;&gt;""</formula>
    </cfRule>
  </conditionalFormatting>
  <conditionalFormatting sqref="S380">
    <cfRule type="expression" dxfId="2121" priority="1358" stopIfTrue="1">
      <formula>$C380&lt;&gt;""</formula>
    </cfRule>
  </conditionalFormatting>
  <conditionalFormatting sqref="S380">
    <cfRule type="expression" dxfId="2120" priority="1357" stopIfTrue="1">
      <formula>$B380&lt;&gt;""</formula>
    </cfRule>
  </conditionalFormatting>
  <conditionalFormatting sqref="S380">
    <cfRule type="expression" dxfId="2119" priority="1356" stopIfTrue="1">
      <formula>$C380&lt;&gt;""</formula>
    </cfRule>
  </conditionalFormatting>
  <conditionalFormatting sqref="S380">
    <cfRule type="expression" dxfId="2118" priority="1355" stopIfTrue="1">
      <formula>$B380&lt;&gt;""</formula>
    </cfRule>
  </conditionalFormatting>
  <conditionalFormatting sqref="S380">
    <cfRule type="expression" dxfId="2117" priority="1354" stopIfTrue="1">
      <formula>$B380&lt;&gt;""</formula>
    </cfRule>
  </conditionalFormatting>
  <conditionalFormatting sqref="S380">
    <cfRule type="expression" dxfId="2116" priority="1353" stopIfTrue="1">
      <formula>$C380&lt;&gt;""</formula>
    </cfRule>
  </conditionalFormatting>
  <conditionalFormatting sqref="S380">
    <cfRule type="expression" dxfId="2115" priority="1352" stopIfTrue="1">
      <formula>$B380&lt;&gt;""</formula>
    </cfRule>
  </conditionalFormatting>
  <conditionalFormatting sqref="S380">
    <cfRule type="expression" dxfId="2114" priority="1351" stopIfTrue="1">
      <formula>$C380&lt;&gt;""</formula>
    </cfRule>
  </conditionalFormatting>
  <conditionalFormatting sqref="S380">
    <cfRule type="expression" dxfId="2113" priority="1350" stopIfTrue="1">
      <formula>$B380&lt;&gt;""</formula>
    </cfRule>
  </conditionalFormatting>
  <conditionalFormatting sqref="S380">
    <cfRule type="expression" dxfId="2112" priority="1349" stopIfTrue="1">
      <formula>$C380&lt;&gt;""</formula>
    </cfRule>
  </conditionalFormatting>
  <conditionalFormatting sqref="S380">
    <cfRule type="expression" dxfId="2111" priority="1348" stopIfTrue="1">
      <formula>$B380&lt;&gt;""</formula>
    </cfRule>
  </conditionalFormatting>
  <conditionalFormatting sqref="S380">
    <cfRule type="expression" dxfId="2110" priority="1347" stopIfTrue="1">
      <formula>$C380&lt;&gt;""</formula>
    </cfRule>
  </conditionalFormatting>
  <conditionalFormatting sqref="S380">
    <cfRule type="expression" dxfId="2109" priority="1346" stopIfTrue="1">
      <formula>$B380&lt;&gt;""</formula>
    </cfRule>
  </conditionalFormatting>
  <conditionalFormatting sqref="S380">
    <cfRule type="expression" dxfId="2108" priority="1345" stopIfTrue="1">
      <formula>$C380&lt;&gt;""</formula>
    </cfRule>
  </conditionalFormatting>
  <conditionalFormatting sqref="S380">
    <cfRule type="expression" dxfId="2107" priority="1344" stopIfTrue="1">
      <formula>$C380&lt;&gt;""</formula>
    </cfRule>
  </conditionalFormatting>
  <conditionalFormatting sqref="S380">
    <cfRule type="expression" dxfId="2106" priority="1343" stopIfTrue="1">
      <formula>$B380&lt;&gt;""</formula>
    </cfRule>
  </conditionalFormatting>
  <conditionalFormatting sqref="S380">
    <cfRule type="expression" dxfId="2105" priority="1342" stopIfTrue="1">
      <formula>$C380&lt;&gt;""</formula>
    </cfRule>
  </conditionalFormatting>
  <conditionalFormatting sqref="S380">
    <cfRule type="expression" dxfId="2104" priority="1341" stopIfTrue="1">
      <formula>$B380&lt;&gt;""</formula>
    </cfRule>
  </conditionalFormatting>
  <conditionalFormatting sqref="S380">
    <cfRule type="expression" dxfId="2103" priority="1340" stopIfTrue="1">
      <formula>$B380&lt;&gt;""</formula>
    </cfRule>
  </conditionalFormatting>
  <conditionalFormatting sqref="S380">
    <cfRule type="expression" dxfId="2102" priority="1339" stopIfTrue="1">
      <formula>$C380&lt;&gt;""</formula>
    </cfRule>
  </conditionalFormatting>
  <conditionalFormatting sqref="S381">
    <cfRule type="expression" dxfId="2101" priority="1338" stopIfTrue="1">
      <formula>$B381&lt;&gt;""</formula>
    </cfRule>
  </conditionalFormatting>
  <conditionalFormatting sqref="S381">
    <cfRule type="expression" dxfId="2100" priority="1337" stopIfTrue="1">
      <formula>$C381&lt;&gt;""</formula>
    </cfRule>
  </conditionalFormatting>
  <conditionalFormatting sqref="S380">
    <cfRule type="expression" dxfId="2099" priority="1336" stopIfTrue="1">
      <formula>$B380&lt;&gt;""</formula>
    </cfRule>
  </conditionalFormatting>
  <conditionalFormatting sqref="S380">
    <cfRule type="expression" dxfId="2098" priority="1335" stopIfTrue="1">
      <formula>$C380&lt;&gt;""</formula>
    </cfRule>
  </conditionalFormatting>
  <conditionalFormatting sqref="S381:S384">
    <cfRule type="expression" dxfId="2097" priority="1334" stopIfTrue="1">
      <formula>$B381&lt;&gt;""</formula>
    </cfRule>
  </conditionalFormatting>
  <conditionalFormatting sqref="S381:S384">
    <cfRule type="expression" dxfId="2096" priority="1333" stopIfTrue="1">
      <formula>$C381&lt;&gt;""</formula>
    </cfRule>
  </conditionalFormatting>
  <conditionalFormatting sqref="S380">
    <cfRule type="expression" dxfId="2095" priority="1332" stopIfTrue="1">
      <formula>$B380&lt;&gt;""</formula>
    </cfRule>
  </conditionalFormatting>
  <conditionalFormatting sqref="S380">
    <cfRule type="expression" dxfId="2094" priority="1331" stopIfTrue="1">
      <formula>$C380&lt;&gt;""</formula>
    </cfRule>
  </conditionalFormatting>
  <conditionalFormatting sqref="S381:S384">
    <cfRule type="expression" dxfId="2093" priority="1330" stopIfTrue="1">
      <formula>$B381&lt;&gt;""</formula>
    </cfRule>
  </conditionalFormatting>
  <conditionalFormatting sqref="S381:S384">
    <cfRule type="expression" dxfId="2092" priority="1329" stopIfTrue="1">
      <formula>$C381&lt;&gt;""</formula>
    </cfRule>
  </conditionalFormatting>
  <conditionalFormatting sqref="S380:S384">
    <cfRule type="expression" dxfId="2091" priority="1328" stopIfTrue="1">
      <formula>$B380&lt;&gt;""</formula>
    </cfRule>
  </conditionalFormatting>
  <conditionalFormatting sqref="S380:S384">
    <cfRule type="expression" dxfId="2090" priority="1327" stopIfTrue="1">
      <formula>$C380&lt;&gt;""</formula>
    </cfRule>
  </conditionalFormatting>
  <conditionalFormatting sqref="S380:S384">
    <cfRule type="expression" dxfId="2089" priority="1326" stopIfTrue="1">
      <formula>$B380&lt;&gt;""</formula>
    </cfRule>
  </conditionalFormatting>
  <conditionalFormatting sqref="S380:S384">
    <cfRule type="expression" dxfId="2088" priority="1325" stopIfTrue="1">
      <formula>$C380&lt;&gt;""</formula>
    </cfRule>
  </conditionalFormatting>
  <conditionalFormatting sqref="S380:S384">
    <cfRule type="expression" dxfId="2087" priority="1324" stopIfTrue="1">
      <formula>$B380&lt;&gt;""</formula>
    </cfRule>
  </conditionalFormatting>
  <conditionalFormatting sqref="S380:S384">
    <cfRule type="expression" dxfId="2086" priority="1323" stopIfTrue="1">
      <formula>$C380&lt;&gt;""</formula>
    </cfRule>
  </conditionalFormatting>
  <conditionalFormatting sqref="S380:S384">
    <cfRule type="expression" dxfId="2085" priority="1322" stopIfTrue="1">
      <formula>$B380&lt;&gt;""</formula>
    </cfRule>
  </conditionalFormatting>
  <conditionalFormatting sqref="S380:S384">
    <cfRule type="expression" dxfId="2084" priority="1321" stopIfTrue="1">
      <formula>$C380&lt;&gt;""</formula>
    </cfRule>
  </conditionalFormatting>
  <conditionalFormatting sqref="S380:S384">
    <cfRule type="expression" dxfId="2083" priority="1320" stopIfTrue="1">
      <formula>$B380&lt;&gt;""</formula>
    </cfRule>
  </conditionalFormatting>
  <conditionalFormatting sqref="S380:S384">
    <cfRule type="expression" dxfId="2082" priority="1319" stopIfTrue="1">
      <formula>$C380&lt;&gt;""</formula>
    </cfRule>
  </conditionalFormatting>
  <conditionalFormatting sqref="S380:S384">
    <cfRule type="expression" dxfId="2081" priority="1318" stopIfTrue="1">
      <formula>$B380&lt;&gt;""</formula>
    </cfRule>
  </conditionalFormatting>
  <conditionalFormatting sqref="S380:S384">
    <cfRule type="expression" dxfId="2080" priority="1317" stopIfTrue="1">
      <formula>$C380&lt;&gt;""</formula>
    </cfRule>
  </conditionalFormatting>
  <conditionalFormatting sqref="S380:S384">
    <cfRule type="expression" dxfId="2079" priority="1316" stopIfTrue="1">
      <formula>$B380&lt;&gt;""</formula>
    </cfRule>
  </conditionalFormatting>
  <conditionalFormatting sqref="S380:S384">
    <cfRule type="expression" dxfId="2078" priority="1315" stopIfTrue="1">
      <formula>$C380&lt;&gt;""</formula>
    </cfRule>
  </conditionalFormatting>
  <conditionalFormatting sqref="S380:S383">
    <cfRule type="expression" dxfId="2077" priority="1314" stopIfTrue="1">
      <formula>$B380&lt;&gt;""</formula>
    </cfRule>
  </conditionalFormatting>
  <conditionalFormatting sqref="S380:S383">
    <cfRule type="expression" dxfId="2076" priority="1313" stopIfTrue="1">
      <formula>$C380&lt;&gt;""</formula>
    </cfRule>
  </conditionalFormatting>
  <conditionalFormatting sqref="S384">
    <cfRule type="expression" dxfId="2075" priority="1312" stopIfTrue="1">
      <formula>$B384&lt;&gt;""</formula>
    </cfRule>
  </conditionalFormatting>
  <conditionalFormatting sqref="S384">
    <cfRule type="expression" dxfId="2074" priority="1311" stopIfTrue="1">
      <formula>$C384&lt;&gt;""</formula>
    </cfRule>
  </conditionalFormatting>
  <conditionalFormatting sqref="S380:S382">
    <cfRule type="expression" dxfId="2073" priority="1310" stopIfTrue="1">
      <formula>$B380&lt;&gt;""</formula>
    </cfRule>
  </conditionalFormatting>
  <conditionalFormatting sqref="S380:S382">
    <cfRule type="expression" dxfId="2072" priority="1309" stopIfTrue="1">
      <formula>$C380&lt;&gt;""</formula>
    </cfRule>
  </conditionalFormatting>
  <conditionalFormatting sqref="S383:S384">
    <cfRule type="expression" dxfId="2071" priority="1308" stopIfTrue="1">
      <formula>$B383&lt;&gt;""</formula>
    </cfRule>
  </conditionalFormatting>
  <conditionalFormatting sqref="S383:S384">
    <cfRule type="expression" dxfId="2070" priority="1307" stopIfTrue="1">
      <formula>$C383&lt;&gt;""</formula>
    </cfRule>
  </conditionalFormatting>
  <conditionalFormatting sqref="S380:S383">
    <cfRule type="expression" dxfId="2069" priority="1306" stopIfTrue="1">
      <formula>$B380&lt;&gt;""</formula>
    </cfRule>
  </conditionalFormatting>
  <conditionalFormatting sqref="S380:S383">
    <cfRule type="expression" dxfId="2068" priority="1305" stopIfTrue="1">
      <formula>$C380&lt;&gt;""</formula>
    </cfRule>
  </conditionalFormatting>
  <conditionalFormatting sqref="S380:S383">
    <cfRule type="expression" dxfId="2067" priority="1304" stopIfTrue="1">
      <formula>$B380&lt;&gt;""</formula>
    </cfRule>
  </conditionalFormatting>
  <conditionalFormatting sqref="S380:S383">
    <cfRule type="expression" dxfId="2066" priority="1303" stopIfTrue="1">
      <formula>$C380&lt;&gt;""</formula>
    </cfRule>
  </conditionalFormatting>
  <conditionalFormatting sqref="S384">
    <cfRule type="expression" dxfId="2065" priority="1302" stopIfTrue="1">
      <formula>$B384&lt;&gt;""</formula>
    </cfRule>
  </conditionalFormatting>
  <conditionalFormatting sqref="S384">
    <cfRule type="expression" dxfId="2064" priority="1301" stopIfTrue="1">
      <formula>$C384&lt;&gt;""</formula>
    </cfRule>
  </conditionalFormatting>
  <conditionalFormatting sqref="S380:S383">
    <cfRule type="expression" dxfId="2063" priority="1300" stopIfTrue="1">
      <formula>$B380&lt;&gt;""</formula>
    </cfRule>
  </conditionalFormatting>
  <conditionalFormatting sqref="S380:S383">
    <cfRule type="expression" dxfId="2062" priority="1299" stopIfTrue="1">
      <formula>$C380&lt;&gt;""</formula>
    </cfRule>
  </conditionalFormatting>
  <conditionalFormatting sqref="S384">
    <cfRule type="expression" dxfId="2061" priority="1298" stopIfTrue="1">
      <formula>$B384&lt;&gt;""</formula>
    </cfRule>
  </conditionalFormatting>
  <conditionalFormatting sqref="S384">
    <cfRule type="expression" dxfId="2060" priority="1297" stopIfTrue="1">
      <formula>$C384&lt;&gt;""</formula>
    </cfRule>
  </conditionalFormatting>
  <conditionalFormatting sqref="S384">
    <cfRule type="expression" dxfId="2059" priority="1296" stopIfTrue="1">
      <formula>$B384&lt;&gt;""</formula>
    </cfRule>
  </conditionalFormatting>
  <conditionalFormatting sqref="S384">
    <cfRule type="expression" dxfId="2058" priority="1295" stopIfTrue="1">
      <formula>$C384&lt;&gt;""</formula>
    </cfRule>
  </conditionalFormatting>
  <conditionalFormatting sqref="S380">
    <cfRule type="expression" dxfId="2057" priority="1294" stopIfTrue="1">
      <formula>$C380&lt;&gt;""</formula>
    </cfRule>
  </conditionalFormatting>
  <conditionalFormatting sqref="S380">
    <cfRule type="expression" dxfId="2056" priority="1293" stopIfTrue="1">
      <formula>$B380&lt;&gt;""</formula>
    </cfRule>
  </conditionalFormatting>
  <conditionalFormatting sqref="S381:S384">
    <cfRule type="expression" dxfId="2055" priority="1292" stopIfTrue="1">
      <formula>$C381&lt;&gt;""</formula>
    </cfRule>
  </conditionalFormatting>
  <conditionalFormatting sqref="S381:S384">
    <cfRule type="expression" dxfId="2054" priority="1291" stopIfTrue="1">
      <formula>$B381&lt;&gt;""</formula>
    </cfRule>
  </conditionalFormatting>
  <conditionalFormatting sqref="S383:S384">
    <cfRule type="expression" dxfId="2053" priority="1290" stopIfTrue="1">
      <formula>$C383&lt;&gt;""</formula>
    </cfRule>
  </conditionalFormatting>
  <conditionalFormatting sqref="S383:S384">
    <cfRule type="expression" dxfId="2052" priority="1289" stopIfTrue="1">
      <formula>$B383&lt;&gt;""</formula>
    </cfRule>
  </conditionalFormatting>
  <conditionalFormatting sqref="S380:S383">
    <cfRule type="expression" dxfId="2051" priority="1288" stopIfTrue="1">
      <formula>$B380&lt;&gt;""</formula>
    </cfRule>
  </conditionalFormatting>
  <conditionalFormatting sqref="S380:S383">
    <cfRule type="expression" dxfId="2050" priority="1287" stopIfTrue="1">
      <formula>$C380&lt;&gt;""</formula>
    </cfRule>
  </conditionalFormatting>
  <conditionalFormatting sqref="S384">
    <cfRule type="expression" dxfId="2049" priority="1286" stopIfTrue="1">
      <formula>$B384&lt;&gt;""</formula>
    </cfRule>
  </conditionalFormatting>
  <conditionalFormatting sqref="S384">
    <cfRule type="expression" dxfId="2048" priority="1285" stopIfTrue="1">
      <formula>$C384&lt;&gt;""</formula>
    </cfRule>
  </conditionalFormatting>
  <conditionalFormatting sqref="S380:S382">
    <cfRule type="expression" dxfId="2047" priority="1284" stopIfTrue="1">
      <formula>$B380&lt;&gt;""</formula>
    </cfRule>
  </conditionalFormatting>
  <conditionalFormatting sqref="S380:S382">
    <cfRule type="expression" dxfId="2046" priority="1283" stopIfTrue="1">
      <formula>$C380&lt;&gt;""</formula>
    </cfRule>
  </conditionalFormatting>
  <conditionalFormatting sqref="S383:S384">
    <cfRule type="expression" dxfId="2045" priority="1282" stopIfTrue="1">
      <formula>$B383&lt;&gt;""</formula>
    </cfRule>
  </conditionalFormatting>
  <conditionalFormatting sqref="S383:S384">
    <cfRule type="expression" dxfId="2044" priority="1281" stopIfTrue="1">
      <formula>$C383&lt;&gt;""</formula>
    </cfRule>
  </conditionalFormatting>
  <conditionalFormatting sqref="S380:S383">
    <cfRule type="expression" dxfId="2043" priority="1280" stopIfTrue="1">
      <formula>$B380&lt;&gt;""</formula>
    </cfRule>
  </conditionalFormatting>
  <conditionalFormatting sqref="S380:S383">
    <cfRule type="expression" dxfId="2042" priority="1279" stopIfTrue="1">
      <formula>$C380&lt;&gt;""</formula>
    </cfRule>
  </conditionalFormatting>
  <conditionalFormatting sqref="S380:S383">
    <cfRule type="expression" dxfId="2041" priority="1278" stopIfTrue="1">
      <formula>$B380&lt;&gt;""</formula>
    </cfRule>
  </conditionalFormatting>
  <conditionalFormatting sqref="S380:S383">
    <cfRule type="expression" dxfId="2040" priority="1277" stopIfTrue="1">
      <formula>$C380&lt;&gt;""</formula>
    </cfRule>
  </conditionalFormatting>
  <conditionalFormatting sqref="S384">
    <cfRule type="expression" dxfId="2039" priority="1276" stopIfTrue="1">
      <formula>$B384&lt;&gt;""</formula>
    </cfRule>
  </conditionalFormatting>
  <conditionalFormatting sqref="S384">
    <cfRule type="expression" dxfId="2038" priority="1275" stopIfTrue="1">
      <formula>$C384&lt;&gt;""</formula>
    </cfRule>
  </conditionalFormatting>
  <conditionalFormatting sqref="S380:S383">
    <cfRule type="expression" dxfId="2037" priority="1274" stopIfTrue="1">
      <formula>$B380&lt;&gt;""</formula>
    </cfRule>
  </conditionalFormatting>
  <conditionalFormatting sqref="S380:S383">
    <cfRule type="expression" dxfId="2036" priority="1273" stopIfTrue="1">
      <formula>$C380&lt;&gt;""</formula>
    </cfRule>
  </conditionalFormatting>
  <conditionalFormatting sqref="S384">
    <cfRule type="expression" dxfId="2035" priority="1272" stopIfTrue="1">
      <formula>$B384&lt;&gt;""</formula>
    </cfRule>
  </conditionalFormatting>
  <conditionalFormatting sqref="S384">
    <cfRule type="expression" dxfId="2034" priority="1271" stopIfTrue="1">
      <formula>$C384&lt;&gt;""</formula>
    </cfRule>
  </conditionalFormatting>
  <conditionalFormatting sqref="S384">
    <cfRule type="expression" dxfId="2033" priority="1270" stopIfTrue="1">
      <formula>$B384&lt;&gt;""</formula>
    </cfRule>
  </conditionalFormatting>
  <conditionalFormatting sqref="S384">
    <cfRule type="expression" dxfId="2032" priority="1269" stopIfTrue="1">
      <formula>$C384&lt;&gt;""</formula>
    </cfRule>
  </conditionalFormatting>
  <conditionalFormatting sqref="S380">
    <cfRule type="expression" dxfId="2031" priority="1268" stopIfTrue="1">
      <formula>$C380&lt;&gt;""</formula>
    </cfRule>
  </conditionalFormatting>
  <conditionalFormatting sqref="S380">
    <cfRule type="expression" dxfId="2030" priority="1267" stopIfTrue="1">
      <formula>$B380&lt;&gt;""</formula>
    </cfRule>
  </conditionalFormatting>
  <conditionalFormatting sqref="S381:S384">
    <cfRule type="expression" dxfId="2029" priority="1266" stopIfTrue="1">
      <formula>$C381&lt;&gt;""</formula>
    </cfRule>
  </conditionalFormatting>
  <conditionalFormatting sqref="S381:S384">
    <cfRule type="expression" dxfId="2028" priority="1265" stopIfTrue="1">
      <formula>$B381&lt;&gt;""</formula>
    </cfRule>
  </conditionalFormatting>
  <conditionalFormatting sqref="S383:S384">
    <cfRule type="expression" dxfId="2027" priority="1264" stopIfTrue="1">
      <formula>$C383&lt;&gt;""</formula>
    </cfRule>
  </conditionalFormatting>
  <conditionalFormatting sqref="S383:S384">
    <cfRule type="expression" dxfId="2026" priority="1263" stopIfTrue="1">
      <formula>$B383&lt;&gt;""</formula>
    </cfRule>
  </conditionalFormatting>
  <conditionalFormatting sqref="S380">
    <cfRule type="expression" dxfId="2025" priority="1262" stopIfTrue="1">
      <formula>$B380&lt;&gt;""</formula>
    </cfRule>
  </conditionalFormatting>
  <conditionalFormatting sqref="S380">
    <cfRule type="expression" dxfId="2024" priority="1261" stopIfTrue="1">
      <formula>$C380&lt;&gt;""</formula>
    </cfRule>
  </conditionalFormatting>
  <conditionalFormatting sqref="S380">
    <cfRule type="expression" dxfId="2023" priority="1260" stopIfTrue="1">
      <formula>$B380&lt;&gt;""</formula>
    </cfRule>
  </conditionalFormatting>
  <conditionalFormatting sqref="S380">
    <cfRule type="expression" dxfId="2022" priority="1259" stopIfTrue="1">
      <formula>$C380&lt;&gt;""</formula>
    </cfRule>
  </conditionalFormatting>
  <conditionalFormatting sqref="S380">
    <cfRule type="expression" dxfId="2021" priority="1258" stopIfTrue="1">
      <formula>$B380&lt;&gt;""</formula>
    </cfRule>
  </conditionalFormatting>
  <conditionalFormatting sqref="S380">
    <cfRule type="expression" dxfId="2020" priority="1257" stopIfTrue="1">
      <formula>$C380&lt;&gt;""</formula>
    </cfRule>
  </conditionalFormatting>
  <conditionalFormatting sqref="S380">
    <cfRule type="expression" dxfId="2019" priority="1256" stopIfTrue="1">
      <formula>$B380&lt;&gt;""</formula>
    </cfRule>
  </conditionalFormatting>
  <conditionalFormatting sqref="S380">
    <cfRule type="expression" dxfId="2018" priority="1255" stopIfTrue="1">
      <formula>$C380&lt;&gt;""</formula>
    </cfRule>
  </conditionalFormatting>
  <conditionalFormatting sqref="S380">
    <cfRule type="expression" dxfId="2017" priority="1254" stopIfTrue="1">
      <formula>$B380&lt;&gt;""</formula>
    </cfRule>
  </conditionalFormatting>
  <conditionalFormatting sqref="S380">
    <cfRule type="expression" dxfId="2016" priority="1253" stopIfTrue="1">
      <formula>$C380&lt;&gt;""</formula>
    </cfRule>
  </conditionalFormatting>
  <conditionalFormatting sqref="S380">
    <cfRule type="expression" dxfId="2015" priority="1252" stopIfTrue="1">
      <formula>$B380&lt;&gt;""</formula>
    </cfRule>
  </conditionalFormatting>
  <conditionalFormatting sqref="S380">
    <cfRule type="expression" dxfId="2014" priority="1251" stopIfTrue="1">
      <formula>$C380&lt;&gt;""</formula>
    </cfRule>
  </conditionalFormatting>
  <conditionalFormatting sqref="S380">
    <cfRule type="expression" dxfId="2013" priority="1250" stopIfTrue="1">
      <formula>$B380&lt;&gt;""</formula>
    </cfRule>
  </conditionalFormatting>
  <conditionalFormatting sqref="S380">
    <cfRule type="expression" dxfId="2012" priority="1249" stopIfTrue="1">
      <formula>$C380&lt;&gt;""</formula>
    </cfRule>
  </conditionalFormatting>
  <conditionalFormatting sqref="S380">
    <cfRule type="expression" dxfId="2011" priority="1248" stopIfTrue="1">
      <formula>$B380&lt;&gt;""</formula>
    </cfRule>
  </conditionalFormatting>
  <conditionalFormatting sqref="S380">
    <cfRule type="expression" dxfId="2010" priority="1247" stopIfTrue="1">
      <formula>$C380&lt;&gt;""</formula>
    </cfRule>
  </conditionalFormatting>
  <conditionalFormatting sqref="S380">
    <cfRule type="expression" dxfId="2009" priority="1246" stopIfTrue="1">
      <formula>$B380&lt;&gt;""</formula>
    </cfRule>
  </conditionalFormatting>
  <conditionalFormatting sqref="S380">
    <cfRule type="expression" dxfId="2008" priority="1245" stopIfTrue="1">
      <formula>$C380&lt;&gt;""</formula>
    </cfRule>
  </conditionalFormatting>
  <conditionalFormatting sqref="S380">
    <cfRule type="expression" dxfId="2007" priority="1244" stopIfTrue="1">
      <formula>$B380&lt;&gt;""</formula>
    </cfRule>
  </conditionalFormatting>
  <conditionalFormatting sqref="S380">
    <cfRule type="expression" dxfId="2006" priority="1243" stopIfTrue="1">
      <formula>$C380&lt;&gt;""</formula>
    </cfRule>
  </conditionalFormatting>
  <conditionalFormatting sqref="S380">
    <cfRule type="expression" dxfId="2005" priority="1242" stopIfTrue="1">
      <formula>$B380&lt;&gt;""</formula>
    </cfRule>
  </conditionalFormatting>
  <conditionalFormatting sqref="S380">
    <cfRule type="expression" dxfId="2004" priority="1241" stopIfTrue="1">
      <formula>$C380&lt;&gt;""</formula>
    </cfRule>
  </conditionalFormatting>
  <conditionalFormatting sqref="S380">
    <cfRule type="expression" dxfId="2003" priority="1240" stopIfTrue="1">
      <formula>$B380&lt;&gt;""</formula>
    </cfRule>
  </conditionalFormatting>
  <conditionalFormatting sqref="S380">
    <cfRule type="expression" dxfId="2002" priority="1239" stopIfTrue="1">
      <formula>$C380&lt;&gt;""</formula>
    </cfRule>
  </conditionalFormatting>
  <conditionalFormatting sqref="S380">
    <cfRule type="expression" dxfId="2001" priority="1238" stopIfTrue="1">
      <formula>$B380&lt;&gt;""</formula>
    </cfRule>
  </conditionalFormatting>
  <conditionalFormatting sqref="S380">
    <cfRule type="expression" dxfId="2000" priority="1237" stopIfTrue="1">
      <formula>$C380&lt;&gt;""</formula>
    </cfRule>
  </conditionalFormatting>
  <conditionalFormatting sqref="S380">
    <cfRule type="expression" dxfId="1999" priority="1236" stopIfTrue="1">
      <formula>$B380&lt;&gt;""</formula>
    </cfRule>
  </conditionalFormatting>
  <conditionalFormatting sqref="S380">
    <cfRule type="expression" dxfId="1998" priority="1235" stopIfTrue="1">
      <formula>$C380&lt;&gt;""</formula>
    </cfRule>
  </conditionalFormatting>
  <conditionalFormatting sqref="S380">
    <cfRule type="expression" dxfId="1997" priority="1234" stopIfTrue="1">
      <formula>$C380&lt;&gt;""</formula>
    </cfRule>
  </conditionalFormatting>
  <conditionalFormatting sqref="S380">
    <cfRule type="expression" dxfId="1996" priority="1233" stopIfTrue="1">
      <formula>$B380&lt;&gt;""</formula>
    </cfRule>
  </conditionalFormatting>
  <conditionalFormatting sqref="S380">
    <cfRule type="expression" dxfId="1995" priority="1232" stopIfTrue="1">
      <formula>$C380&lt;&gt;""</formula>
    </cfRule>
  </conditionalFormatting>
  <conditionalFormatting sqref="S380">
    <cfRule type="expression" dxfId="1994" priority="1231" stopIfTrue="1">
      <formula>$B380&lt;&gt;""</formula>
    </cfRule>
  </conditionalFormatting>
  <conditionalFormatting sqref="S380">
    <cfRule type="expression" dxfId="1993" priority="1230" stopIfTrue="1">
      <formula>$B380&lt;&gt;""</formula>
    </cfRule>
  </conditionalFormatting>
  <conditionalFormatting sqref="S380">
    <cfRule type="expression" dxfId="1992" priority="1229" stopIfTrue="1">
      <formula>$C380&lt;&gt;""</formula>
    </cfRule>
  </conditionalFormatting>
  <conditionalFormatting sqref="S380">
    <cfRule type="expression" dxfId="1991" priority="1228" stopIfTrue="1">
      <formula>$B380&lt;&gt;""</formula>
    </cfRule>
  </conditionalFormatting>
  <conditionalFormatting sqref="S380">
    <cfRule type="expression" dxfId="1990" priority="1227" stopIfTrue="1">
      <formula>$C380&lt;&gt;""</formula>
    </cfRule>
  </conditionalFormatting>
  <conditionalFormatting sqref="S380">
    <cfRule type="expression" dxfId="1989" priority="1226" stopIfTrue="1">
      <formula>$B380&lt;&gt;""</formula>
    </cfRule>
  </conditionalFormatting>
  <conditionalFormatting sqref="S380">
    <cfRule type="expression" dxfId="1988" priority="1225" stopIfTrue="1">
      <formula>$C380&lt;&gt;""</formula>
    </cfRule>
  </conditionalFormatting>
  <conditionalFormatting sqref="S380">
    <cfRule type="expression" dxfId="1987" priority="1224" stopIfTrue="1">
      <formula>$B380&lt;&gt;""</formula>
    </cfRule>
  </conditionalFormatting>
  <conditionalFormatting sqref="S380">
    <cfRule type="expression" dxfId="1986" priority="1223" stopIfTrue="1">
      <formula>$C380&lt;&gt;""</formula>
    </cfRule>
  </conditionalFormatting>
  <conditionalFormatting sqref="S380">
    <cfRule type="expression" dxfId="1985" priority="1222" stopIfTrue="1">
      <formula>$B380&lt;&gt;""</formula>
    </cfRule>
  </conditionalFormatting>
  <conditionalFormatting sqref="S380">
    <cfRule type="expression" dxfId="1984" priority="1221" stopIfTrue="1">
      <formula>$C380&lt;&gt;""</formula>
    </cfRule>
  </conditionalFormatting>
  <conditionalFormatting sqref="S380">
    <cfRule type="expression" dxfId="1983" priority="1220" stopIfTrue="1">
      <formula>$C380&lt;&gt;""</formula>
    </cfRule>
  </conditionalFormatting>
  <conditionalFormatting sqref="S380">
    <cfRule type="expression" dxfId="1982" priority="1219" stopIfTrue="1">
      <formula>$B380&lt;&gt;""</formula>
    </cfRule>
  </conditionalFormatting>
  <conditionalFormatting sqref="S380">
    <cfRule type="expression" dxfId="1981" priority="1218" stopIfTrue="1">
      <formula>$C380&lt;&gt;""</formula>
    </cfRule>
  </conditionalFormatting>
  <conditionalFormatting sqref="S380">
    <cfRule type="expression" dxfId="1980" priority="1217" stopIfTrue="1">
      <formula>$B380&lt;&gt;""</formula>
    </cfRule>
  </conditionalFormatting>
  <conditionalFormatting sqref="S380">
    <cfRule type="expression" dxfId="1979" priority="1216" stopIfTrue="1">
      <formula>$B380&lt;&gt;""</formula>
    </cfRule>
  </conditionalFormatting>
  <conditionalFormatting sqref="S380">
    <cfRule type="expression" dxfId="1978" priority="1215" stopIfTrue="1">
      <formula>$C380&lt;&gt;""</formula>
    </cfRule>
  </conditionalFormatting>
  <conditionalFormatting sqref="S381">
    <cfRule type="expression" dxfId="1977" priority="1214" stopIfTrue="1">
      <formula>$B381&lt;&gt;""</formula>
    </cfRule>
  </conditionalFormatting>
  <conditionalFormatting sqref="S381">
    <cfRule type="expression" dxfId="1976" priority="1213" stopIfTrue="1">
      <formula>$C381&lt;&gt;""</formula>
    </cfRule>
  </conditionalFormatting>
  <conditionalFormatting sqref="S380">
    <cfRule type="expression" dxfId="1975" priority="1212" stopIfTrue="1">
      <formula>$B380&lt;&gt;""</formula>
    </cfRule>
  </conditionalFormatting>
  <conditionalFormatting sqref="S380">
    <cfRule type="expression" dxfId="1974" priority="1211" stopIfTrue="1">
      <formula>$C380&lt;&gt;""</formula>
    </cfRule>
  </conditionalFormatting>
  <conditionalFormatting sqref="S381:S384">
    <cfRule type="expression" dxfId="1973" priority="1210" stopIfTrue="1">
      <formula>$B381&lt;&gt;""</formula>
    </cfRule>
  </conditionalFormatting>
  <conditionalFormatting sqref="S381:S384">
    <cfRule type="expression" dxfId="1972" priority="1209" stopIfTrue="1">
      <formula>$C381&lt;&gt;""</formula>
    </cfRule>
  </conditionalFormatting>
  <conditionalFormatting sqref="S380">
    <cfRule type="expression" dxfId="1971" priority="1208" stopIfTrue="1">
      <formula>$B380&lt;&gt;""</formula>
    </cfRule>
  </conditionalFormatting>
  <conditionalFormatting sqref="S380">
    <cfRule type="expression" dxfId="1970" priority="1207" stopIfTrue="1">
      <formula>$C380&lt;&gt;""</formula>
    </cfRule>
  </conditionalFormatting>
  <conditionalFormatting sqref="S381:S384">
    <cfRule type="expression" dxfId="1969" priority="1206" stopIfTrue="1">
      <formula>$B381&lt;&gt;""</formula>
    </cfRule>
  </conditionalFormatting>
  <conditionalFormatting sqref="S381:S384">
    <cfRule type="expression" dxfId="1968" priority="1205" stopIfTrue="1">
      <formula>$C381&lt;&gt;""</formula>
    </cfRule>
  </conditionalFormatting>
  <conditionalFormatting sqref="S380:S384">
    <cfRule type="expression" dxfId="1967" priority="1204" stopIfTrue="1">
      <formula>$B380&lt;&gt;""</formula>
    </cfRule>
  </conditionalFormatting>
  <conditionalFormatting sqref="S380:S384">
    <cfRule type="expression" dxfId="1966" priority="1203" stopIfTrue="1">
      <formula>$C380&lt;&gt;""</formula>
    </cfRule>
  </conditionalFormatting>
  <conditionalFormatting sqref="S380:S384">
    <cfRule type="expression" dxfId="1965" priority="1202" stopIfTrue="1">
      <formula>$B380&lt;&gt;""</formula>
    </cfRule>
  </conditionalFormatting>
  <conditionalFormatting sqref="S380:S384">
    <cfRule type="expression" dxfId="1964" priority="1201" stopIfTrue="1">
      <formula>$C380&lt;&gt;""</formula>
    </cfRule>
  </conditionalFormatting>
  <conditionalFormatting sqref="S380:S384">
    <cfRule type="expression" dxfId="1963" priority="1200" stopIfTrue="1">
      <formula>$B380&lt;&gt;""</formula>
    </cfRule>
  </conditionalFormatting>
  <conditionalFormatting sqref="S380:S384">
    <cfRule type="expression" dxfId="1962" priority="1199" stopIfTrue="1">
      <formula>$C380&lt;&gt;""</formula>
    </cfRule>
  </conditionalFormatting>
  <conditionalFormatting sqref="S380:S384">
    <cfRule type="expression" dxfId="1961" priority="1198" stopIfTrue="1">
      <formula>$B380&lt;&gt;""</formula>
    </cfRule>
  </conditionalFormatting>
  <conditionalFormatting sqref="S380:S384">
    <cfRule type="expression" dxfId="1960" priority="1197" stopIfTrue="1">
      <formula>$C380&lt;&gt;""</formula>
    </cfRule>
  </conditionalFormatting>
  <conditionalFormatting sqref="S380:S384">
    <cfRule type="expression" dxfId="1959" priority="1196" stopIfTrue="1">
      <formula>$B380&lt;&gt;""</formula>
    </cfRule>
  </conditionalFormatting>
  <conditionalFormatting sqref="S380:S384">
    <cfRule type="expression" dxfId="1958" priority="1195" stopIfTrue="1">
      <formula>$C380&lt;&gt;""</formula>
    </cfRule>
  </conditionalFormatting>
  <conditionalFormatting sqref="S380:S384">
    <cfRule type="expression" dxfId="1957" priority="1194" stopIfTrue="1">
      <formula>$B380&lt;&gt;""</formula>
    </cfRule>
  </conditionalFormatting>
  <conditionalFormatting sqref="S380:S384">
    <cfRule type="expression" dxfId="1956" priority="1193" stopIfTrue="1">
      <formula>$C380&lt;&gt;""</formula>
    </cfRule>
  </conditionalFormatting>
  <conditionalFormatting sqref="S380:S384">
    <cfRule type="expression" dxfId="1955" priority="1192" stopIfTrue="1">
      <formula>$B380&lt;&gt;""</formula>
    </cfRule>
  </conditionalFormatting>
  <conditionalFormatting sqref="S380:S384">
    <cfRule type="expression" dxfId="1954" priority="1191" stopIfTrue="1">
      <formula>$C380&lt;&gt;""</formula>
    </cfRule>
  </conditionalFormatting>
  <conditionalFormatting sqref="S380:S383">
    <cfRule type="expression" dxfId="1953" priority="1190" stopIfTrue="1">
      <formula>$B380&lt;&gt;""</formula>
    </cfRule>
  </conditionalFormatting>
  <conditionalFormatting sqref="S380:S383">
    <cfRule type="expression" dxfId="1952" priority="1189" stopIfTrue="1">
      <formula>$C380&lt;&gt;""</formula>
    </cfRule>
  </conditionalFormatting>
  <conditionalFormatting sqref="S384">
    <cfRule type="expression" dxfId="1951" priority="1188" stopIfTrue="1">
      <formula>$B384&lt;&gt;""</formula>
    </cfRule>
  </conditionalFormatting>
  <conditionalFormatting sqref="S384">
    <cfRule type="expression" dxfId="1950" priority="1187" stopIfTrue="1">
      <formula>$C384&lt;&gt;""</formula>
    </cfRule>
  </conditionalFormatting>
  <conditionalFormatting sqref="S380:S382">
    <cfRule type="expression" dxfId="1949" priority="1186" stopIfTrue="1">
      <formula>$B380&lt;&gt;""</formula>
    </cfRule>
  </conditionalFormatting>
  <conditionalFormatting sqref="S380:S382">
    <cfRule type="expression" dxfId="1948" priority="1185" stopIfTrue="1">
      <formula>$C380&lt;&gt;""</formula>
    </cfRule>
  </conditionalFormatting>
  <conditionalFormatting sqref="S383:S384">
    <cfRule type="expression" dxfId="1947" priority="1184" stopIfTrue="1">
      <formula>$B383&lt;&gt;""</formula>
    </cfRule>
  </conditionalFormatting>
  <conditionalFormatting sqref="S383:S384">
    <cfRule type="expression" dxfId="1946" priority="1183" stopIfTrue="1">
      <formula>$C383&lt;&gt;""</formula>
    </cfRule>
  </conditionalFormatting>
  <conditionalFormatting sqref="S380:S383">
    <cfRule type="expression" dxfId="1945" priority="1182" stopIfTrue="1">
      <formula>$B380&lt;&gt;""</formula>
    </cfRule>
  </conditionalFormatting>
  <conditionalFormatting sqref="S380:S383">
    <cfRule type="expression" dxfId="1944" priority="1181" stopIfTrue="1">
      <formula>$C380&lt;&gt;""</formula>
    </cfRule>
  </conditionalFormatting>
  <conditionalFormatting sqref="S380:S383">
    <cfRule type="expression" dxfId="1943" priority="1180" stopIfTrue="1">
      <formula>$B380&lt;&gt;""</formula>
    </cfRule>
  </conditionalFormatting>
  <conditionalFormatting sqref="S380:S383">
    <cfRule type="expression" dxfId="1942" priority="1179" stopIfTrue="1">
      <formula>$C380&lt;&gt;""</formula>
    </cfRule>
  </conditionalFormatting>
  <conditionalFormatting sqref="S384">
    <cfRule type="expression" dxfId="1941" priority="1178" stopIfTrue="1">
      <formula>$B384&lt;&gt;""</formula>
    </cfRule>
  </conditionalFormatting>
  <conditionalFormatting sqref="S384">
    <cfRule type="expression" dxfId="1940" priority="1177" stopIfTrue="1">
      <formula>$C384&lt;&gt;""</formula>
    </cfRule>
  </conditionalFormatting>
  <conditionalFormatting sqref="S380:S383">
    <cfRule type="expression" dxfId="1939" priority="1176" stopIfTrue="1">
      <formula>$B380&lt;&gt;""</formula>
    </cfRule>
  </conditionalFormatting>
  <conditionalFormatting sqref="S380:S383">
    <cfRule type="expression" dxfId="1938" priority="1175" stopIfTrue="1">
      <formula>$C380&lt;&gt;""</formula>
    </cfRule>
  </conditionalFormatting>
  <conditionalFormatting sqref="S384">
    <cfRule type="expression" dxfId="1937" priority="1174" stopIfTrue="1">
      <formula>$B384&lt;&gt;""</formula>
    </cfRule>
  </conditionalFormatting>
  <conditionalFormatting sqref="S384">
    <cfRule type="expression" dxfId="1936" priority="1173" stopIfTrue="1">
      <formula>$C384&lt;&gt;""</formula>
    </cfRule>
  </conditionalFormatting>
  <conditionalFormatting sqref="S384">
    <cfRule type="expression" dxfId="1935" priority="1172" stopIfTrue="1">
      <formula>$B384&lt;&gt;""</formula>
    </cfRule>
  </conditionalFormatting>
  <conditionalFormatting sqref="S384">
    <cfRule type="expression" dxfId="1934" priority="1171" stopIfTrue="1">
      <formula>$C384&lt;&gt;""</formula>
    </cfRule>
  </conditionalFormatting>
  <conditionalFormatting sqref="S380">
    <cfRule type="expression" dxfId="1933" priority="1170" stopIfTrue="1">
      <formula>$C380&lt;&gt;""</formula>
    </cfRule>
  </conditionalFormatting>
  <conditionalFormatting sqref="S380">
    <cfRule type="expression" dxfId="1932" priority="1169" stopIfTrue="1">
      <formula>$B380&lt;&gt;""</formula>
    </cfRule>
  </conditionalFormatting>
  <conditionalFormatting sqref="S381:S384">
    <cfRule type="expression" dxfId="1931" priority="1168" stopIfTrue="1">
      <formula>$C381&lt;&gt;""</formula>
    </cfRule>
  </conditionalFormatting>
  <conditionalFormatting sqref="S381:S384">
    <cfRule type="expression" dxfId="1930" priority="1167" stopIfTrue="1">
      <formula>$B381&lt;&gt;""</formula>
    </cfRule>
  </conditionalFormatting>
  <conditionalFormatting sqref="S383:S384">
    <cfRule type="expression" dxfId="1929" priority="1166" stopIfTrue="1">
      <formula>$C383&lt;&gt;""</formula>
    </cfRule>
  </conditionalFormatting>
  <conditionalFormatting sqref="S383:S384">
    <cfRule type="expression" dxfId="1928" priority="1165" stopIfTrue="1">
      <formula>$B383&lt;&gt;""</formula>
    </cfRule>
  </conditionalFormatting>
  <conditionalFormatting sqref="S380:S383">
    <cfRule type="expression" dxfId="1927" priority="1164" stopIfTrue="1">
      <formula>$B380&lt;&gt;""</formula>
    </cfRule>
  </conditionalFormatting>
  <conditionalFormatting sqref="S380:S383">
    <cfRule type="expression" dxfId="1926" priority="1163" stopIfTrue="1">
      <formula>$C380&lt;&gt;""</formula>
    </cfRule>
  </conditionalFormatting>
  <conditionalFormatting sqref="S384">
    <cfRule type="expression" dxfId="1925" priority="1162" stopIfTrue="1">
      <formula>$B384&lt;&gt;""</formula>
    </cfRule>
  </conditionalFormatting>
  <conditionalFormatting sqref="S384">
    <cfRule type="expression" dxfId="1924" priority="1161" stopIfTrue="1">
      <formula>$C384&lt;&gt;""</formula>
    </cfRule>
  </conditionalFormatting>
  <conditionalFormatting sqref="S380:S382">
    <cfRule type="expression" dxfId="1923" priority="1160" stopIfTrue="1">
      <formula>$B380&lt;&gt;""</formula>
    </cfRule>
  </conditionalFormatting>
  <conditionalFormatting sqref="S380:S382">
    <cfRule type="expression" dxfId="1922" priority="1159" stopIfTrue="1">
      <formula>$C380&lt;&gt;""</formula>
    </cfRule>
  </conditionalFormatting>
  <conditionalFormatting sqref="S383:S384">
    <cfRule type="expression" dxfId="1921" priority="1158" stopIfTrue="1">
      <formula>$B383&lt;&gt;""</formula>
    </cfRule>
  </conditionalFormatting>
  <conditionalFormatting sqref="S383:S384">
    <cfRule type="expression" dxfId="1920" priority="1157" stopIfTrue="1">
      <formula>$C383&lt;&gt;""</formula>
    </cfRule>
  </conditionalFormatting>
  <conditionalFormatting sqref="S380:S383">
    <cfRule type="expression" dxfId="1919" priority="1156" stopIfTrue="1">
      <formula>$B380&lt;&gt;""</formula>
    </cfRule>
  </conditionalFormatting>
  <conditionalFormatting sqref="S380:S383">
    <cfRule type="expression" dxfId="1918" priority="1155" stopIfTrue="1">
      <formula>$C380&lt;&gt;""</formula>
    </cfRule>
  </conditionalFormatting>
  <conditionalFormatting sqref="S380:S383">
    <cfRule type="expression" dxfId="1917" priority="1154" stopIfTrue="1">
      <formula>$B380&lt;&gt;""</formula>
    </cfRule>
  </conditionalFormatting>
  <conditionalFormatting sqref="S380:S383">
    <cfRule type="expression" dxfId="1916" priority="1153" stopIfTrue="1">
      <formula>$C380&lt;&gt;""</formula>
    </cfRule>
  </conditionalFormatting>
  <conditionalFormatting sqref="S384">
    <cfRule type="expression" dxfId="1915" priority="1152" stopIfTrue="1">
      <formula>$B384&lt;&gt;""</formula>
    </cfRule>
  </conditionalFormatting>
  <conditionalFormatting sqref="S384">
    <cfRule type="expression" dxfId="1914" priority="1151" stopIfTrue="1">
      <formula>$C384&lt;&gt;""</formula>
    </cfRule>
  </conditionalFormatting>
  <conditionalFormatting sqref="S380:S383">
    <cfRule type="expression" dxfId="1913" priority="1150" stopIfTrue="1">
      <formula>$B380&lt;&gt;""</formula>
    </cfRule>
  </conditionalFormatting>
  <conditionalFormatting sqref="S380:S383">
    <cfRule type="expression" dxfId="1912" priority="1149" stopIfTrue="1">
      <formula>$C380&lt;&gt;""</formula>
    </cfRule>
  </conditionalFormatting>
  <conditionalFormatting sqref="S384">
    <cfRule type="expression" dxfId="1911" priority="1148" stopIfTrue="1">
      <formula>$B384&lt;&gt;""</formula>
    </cfRule>
  </conditionalFormatting>
  <conditionalFormatting sqref="S384">
    <cfRule type="expression" dxfId="1910" priority="1147" stopIfTrue="1">
      <formula>$C384&lt;&gt;""</formula>
    </cfRule>
  </conditionalFormatting>
  <conditionalFormatting sqref="S384">
    <cfRule type="expression" dxfId="1909" priority="1146" stopIfTrue="1">
      <formula>$B384&lt;&gt;""</formula>
    </cfRule>
  </conditionalFormatting>
  <conditionalFormatting sqref="S384">
    <cfRule type="expression" dxfId="1908" priority="1145" stopIfTrue="1">
      <formula>$C384&lt;&gt;""</formula>
    </cfRule>
  </conditionalFormatting>
  <conditionalFormatting sqref="S380">
    <cfRule type="expression" dxfId="1907" priority="1144" stopIfTrue="1">
      <formula>$C380&lt;&gt;""</formula>
    </cfRule>
  </conditionalFormatting>
  <conditionalFormatting sqref="S380">
    <cfRule type="expression" dxfId="1906" priority="1143" stopIfTrue="1">
      <formula>$B380&lt;&gt;""</formula>
    </cfRule>
  </conditionalFormatting>
  <conditionalFormatting sqref="S381:S384">
    <cfRule type="expression" dxfId="1905" priority="1142" stopIfTrue="1">
      <formula>$C381&lt;&gt;""</formula>
    </cfRule>
  </conditionalFormatting>
  <conditionalFormatting sqref="S381:S384">
    <cfRule type="expression" dxfId="1904" priority="1141" stopIfTrue="1">
      <formula>$B381&lt;&gt;""</formula>
    </cfRule>
  </conditionalFormatting>
  <conditionalFormatting sqref="S383:S384">
    <cfRule type="expression" dxfId="1903" priority="1140" stopIfTrue="1">
      <formula>$C383&lt;&gt;""</formula>
    </cfRule>
  </conditionalFormatting>
  <conditionalFormatting sqref="S383:S384">
    <cfRule type="expression" dxfId="1902" priority="1139" stopIfTrue="1">
      <formula>$B383&lt;&gt;""</formula>
    </cfRule>
  </conditionalFormatting>
  <conditionalFormatting sqref="S380">
    <cfRule type="expression" dxfId="1901" priority="1138" stopIfTrue="1">
      <formula>$B380&lt;&gt;""</formula>
    </cfRule>
  </conditionalFormatting>
  <conditionalFormatting sqref="S380">
    <cfRule type="expression" dxfId="1900" priority="1137" stopIfTrue="1">
      <formula>$C380&lt;&gt;""</formula>
    </cfRule>
  </conditionalFormatting>
  <conditionalFormatting sqref="S381">
    <cfRule type="expression" dxfId="1899" priority="1136" stopIfTrue="1">
      <formula>$B381&lt;&gt;""</formula>
    </cfRule>
  </conditionalFormatting>
  <conditionalFormatting sqref="S381">
    <cfRule type="expression" dxfId="1898" priority="1135" stopIfTrue="1">
      <formula>$C381&lt;&gt;""</formula>
    </cfRule>
  </conditionalFormatting>
  <conditionalFormatting sqref="S380">
    <cfRule type="expression" dxfId="1897" priority="1134" stopIfTrue="1">
      <formula>$B380&lt;&gt;""</formula>
    </cfRule>
  </conditionalFormatting>
  <conditionalFormatting sqref="S380">
    <cfRule type="expression" dxfId="1896" priority="1133" stopIfTrue="1">
      <formula>$C380&lt;&gt;""</formula>
    </cfRule>
  </conditionalFormatting>
  <conditionalFormatting sqref="S381:S384">
    <cfRule type="expression" dxfId="1895" priority="1132" stopIfTrue="1">
      <formula>$B381&lt;&gt;""</formula>
    </cfRule>
  </conditionalFormatting>
  <conditionalFormatting sqref="S381:S384">
    <cfRule type="expression" dxfId="1894" priority="1131" stopIfTrue="1">
      <formula>$C381&lt;&gt;""</formula>
    </cfRule>
  </conditionalFormatting>
  <conditionalFormatting sqref="S380">
    <cfRule type="expression" dxfId="1893" priority="1130" stopIfTrue="1">
      <formula>$B380&lt;&gt;""</formula>
    </cfRule>
  </conditionalFormatting>
  <conditionalFormatting sqref="S380">
    <cfRule type="expression" dxfId="1892" priority="1129" stopIfTrue="1">
      <formula>$C380&lt;&gt;""</formula>
    </cfRule>
  </conditionalFormatting>
  <conditionalFormatting sqref="S381:S384">
    <cfRule type="expression" dxfId="1891" priority="1128" stopIfTrue="1">
      <formula>$B381&lt;&gt;""</formula>
    </cfRule>
  </conditionalFormatting>
  <conditionalFormatting sqref="S381:S384">
    <cfRule type="expression" dxfId="1890" priority="1127" stopIfTrue="1">
      <formula>$C381&lt;&gt;""</formula>
    </cfRule>
  </conditionalFormatting>
  <conditionalFormatting sqref="S380:S384">
    <cfRule type="expression" dxfId="1889" priority="1126" stopIfTrue="1">
      <formula>$B380&lt;&gt;""</formula>
    </cfRule>
  </conditionalFormatting>
  <conditionalFormatting sqref="S380:S384">
    <cfRule type="expression" dxfId="1888" priority="1125" stopIfTrue="1">
      <formula>$C380&lt;&gt;""</formula>
    </cfRule>
  </conditionalFormatting>
  <conditionalFormatting sqref="S380:S384">
    <cfRule type="expression" dxfId="1887" priority="1124" stopIfTrue="1">
      <formula>$B380&lt;&gt;""</formula>
    </cfRule>
  </conditionalFormatting>
  <conditionalFormatting sqref="S380:S384">
    <cfRule type="expression" dxfId="1886" priority="1123" stopIfTrue="1">
      <formula>$C380&lt;&gt;""</formula>
    </cfRule>
  </conditionalFormatting>
  <conditionalFormatting sqref="S380:S384">
    <cfRule type="expression" dxfId="1885" priority="1122" stopIfTrue="1">
      <formula>$B380&lt;&gt;""</formula>
    </cfRule>
  </conditionalFormatting>
  <conditionalFormatting sqref="S380:S384">
    <cfRule type="expression" dxfId="1884" priority="1121" stopIfTrue="1">
      <formula>$C380&lt;&gt;""</formula>
    </cfRule>
  </conditionalFormatting>
  <conditionalFormatting sqref="S380:S384">
    <cfRule type="expression" dxfId="1883" priority="1120" stopIfTrue="1">
      <formula>$B380&lt;&gt;""</formula>
    </cfRule>
  </conditionalFormatting>
  <conditionalFormatting sqref="S380:S384">
    <cfRule type="expression" dxfId="1882" priority="1119" stopIfTrue="1">
      <formula>$C380&lt;&gt;""</formula>
    </cfRule>
  </conditionalFormatting>
  <conditionalFormatting sqref="S380:S384">
    <cfRule type="expression" dxfId="1881" priority="1118" stopIfTrue="1">
      <formula>$B380&lt;&gt;""</formula>
    </cfRule>
  </conditionalFormatting>
  <conditionalFormatting sqref="S380:S384">
    <cfRule type="expression" dxfId="1880" priority="1117" stopIfTrue="1">
      <formula>$C380&lt;&gt;""</formula>
    </cfRule>
  </conditionalFormatting>
  <conditionalFormatting sqref="S380:S384">
    <cfRule type="expression" dxfId="1879" priority="1116" stopIfTrue="1">
      <formula>$B380&lt;&gt;""</formula>
    </cfRule>
  </conditionalFormatting>
  <conditionalFormatting sqref="S380:S384">
    <cfRule type="expression" dxfId="1878" priority="1115" stopIfTrue="1">
      <formula>$C380&lt;&gt;""</formula>
    </cfRule>
  </conditionalFormatting>
  <conditionalFormatting sqref="S380:S384">
    <cfRule type="expression" dxfId="1877" priority="1114" stopIfTrue="1">
      <formula>$B380&lt;&gt;""</formula>
    </cfRule>
  </conditionalFormatting>
  <conditionalFormatting sqref="S380:S384">
    <cfRule type="expression" dxfId="1876" priority="1113" stopIfTrue="1">
      <formula>$C380&lt;&gt;""</formula>
    </cfRule>
  </conditionalFormatting>
  <conditionalFormatting sqref="S380:S383">
    <cfRule type="expression" dxfId="1875" priority="1112" stopIfTrue="1">
      <formula>$B380&lt;&gt;""</formula>
    </cfRule>
  </conditionalFormatting>
  <conditionalFormatting sqref="S380:S383">
    <cfRule type="expression" dxfId="1874" priority="1111" stopIfTrue="1">
      <formula>$C380&lt;&gt;""</formula>
    </cfRule>
  </conditionalFormatting>
  <conditionalFormatting sqref="S384">
    <cfRule type="expression" dxfId="1873" priority="1110" stopIfTrue="1">
      <formula>$B384&lt;&gt;""</formula>
    </cfRule>
  </conditionalFormatting>
  <conditionalFormatting sqref="S384">
    <cfRule type="expression" dxfId="1872" priority="1109" stopIfTrue="1">
      <formula>$C384&lt;&gt;""</formula>
    </cfRule>
  </conditionalFormatting>
  <conditionalFormatting sqref="S380:S382">
    <cfRule type="expression" dxfId="1871" priority="1108" stopIfTrue="1">
      <formula>$B380&lt;&gt;""</formula>
    </cfRule>
  </conditionalFormatting>
  <conditionalFormatting sqref="S380:S382">
    <cfRule type="expression" dxfId="1870" priority="1107" stopIfTrue="1">
      <formula>$C380&lt;&gt;""</formula>
    </cfRule>
  </conditionalFormatting>
  <conditionalFormatting sqref="S383:S384">
    <cfRule type="expression" dxfId="1869" priority="1106" stopIfTrue="1">
      <formula>$B383&lt;&gt;""</formula>
    </cfRule>
  </conditionalFormatting>
  <conditionalFormatting sqref="S383:S384">
    <cfRule type="expression" dxfId="1868" priority="1105" stopIfTrue="1">
      <formula>$C383&lt;&gt;""</formula>
    </cfRule>
  </conditionalFormatting>
  <conditionalFormatting sqref="S380:S383">
    <cfRule type="expression" dxfId="1867" priority="1104" stopIfTrue="1">
      <formula>$B380&lt;&gt;""</formula>
    </cfRule>
  </conditionalFormatting>
  <conditionalFormatting sqref="S380:S383">
    <cfRule type="expression" dxfId="1866" priority="1103" stopIfTrue="1">
      <formula>$C380&lt;&gt;""</formula>
    </cfRule>
  </conditionalFormatting>
  <conditionalFormatting sqref="S380:S383">
    <cfRule type="expression" dxfId="1865" priority="1102" stopIfTrue="1">
      <formula>$B380&lt;&gt;""</formula>
    </cfRule>
  </conditionalFormatting>
  <conditionalFormatting sqref="S380:S383">
    <cfRule type="expression" dxfId="1864" priority="1101" stopIfTrue="1">
      <formula>$C380&lt;&gt;""</formula>
    </cfRule>
  </conditionalFormatting>
  <conditionalFormatting sqref="S384">
    <cfRule type="expression" dxfId="1863" priority="1100" stopIfTrue="1">
      <formula>$B384&lt;&gt;""</formula>
    </cfRule>
  </conditionalFormatting>
  <conditionalFormatting sqref="S384">
    <cfRule type="expression" dxfId="1862" priority="1099" stopIfTrue="1">
      <formula>$C384&lt;&gt;""</formula>
    </cfRule>
  </conditionalFormatting>
  <conditionalFormatting sqref="S380:S383">
    <cfRule type="expression" dxfId="1861" priority="1098" stopIfTrue="1">
      <formula>$B380&lt;&gt;""</formula>
    </cfRule>
  </conditionalFormatting>
  <conditionalFormatting sqref="S380:S383">
    <cfRule type="expression" dxfId="1860" priority="1097" stopIfTrue="1">
      <formula>$C380&lt;&gt;""</formula>
    </cfRule>
  </conditionalFormatting>
  <conditionalFormatting sqref="S384">
    <cfRule type="expression" dxfId="1859" priority="1096" stopIfTrue="1">
      <formula>$B384&lt;&gt;""</formula>
    </cfRule>
  </conditionalFormatting>
  <conditionalFormatting sqref="S384">
    <cfRule type="expression" dxfId="1858" priority="1095" stopIfTrue="1">
      <formula>$C384&lt;&gt;""</formula>
    </cfRule>
  </conditionalFormatting>
  <conditionalFormatting sqref="S384">
    <cfRule type="expression" dxfId="1857" priority="1094" stopIfTrue="1">
      <formula>$B384&lt;&gt;""</formula>
    </cfRule>
  </conditionalFormatting>
  <conditionalFormatting sqref="S384">
    <cfRule type="expression" dxfId="1856" priority="1093" stopIfTrue="1">
      <formula>$C384&lt;&gt;""</formula>
    </cfRule>
  </conditionalFormatting>
  <conditionalFormatting sqref="S380">
    <cfRule type="expression" dxfId="1855" priority="1092" stopIfTrue="1">
      <formula>$C380&lt;&gt;""</formula>
    </cfRule>
  </conditionalFormatting>
  <conditionalFormatting sqref="S380">
    <cfRule type="expression" dxfId="1854" priority="1091" stopIfTrue="1">
      <formula>$B380&lt;&gt;""</formula>
    </cfRule>
  </conditionalFormatting>
  <conditionalFormatting sqref="S381:S384">
    <cfRule type="expression" dxfId="1853" priority="1090" stopIfTrue="1">
      <formula>$C381&lt;&gt;""</formula>
    </cfRule>
  </conditionalFormatting>
  <conditionalFormatting sqref="S381:S384">
    <cfRule type="expression" dxfId="1852" priority="1089" stopIfTrue="1">
      <formula>$B381&lt;&gt;""</formula>
    </cfRule>
  </conditionalFormatting>
  <conditionalFormatting sqref="S383:S384">
    <cfRule type="expression" dxfId="1851" priority="1088" stopIfTrue="1">
      <formula>$C383&lt;&gt;""</formula>
    </cfRule>
  </conditionalFormatting>
  <conditionalFormatting sqref="S383:S384">
    <cfRule type="expression" dxfId="1850" priority="1087" stopIfTrue="1">
      <formula>$B383&lt;&gt;""</formula>
    </cfRule>
  </conditionalFormatting>
  <conditionalFormatting sqref="S380:S383">
    <cfRule type="expression" dxfId="1849" priority="1086" stopIfTrue="1">
      <formula>$B380&lt;&gt;""</formula>
    </cfRule>
  </conditionalFormatting>
  <conditionalFormatting sqref="S380:S383">
    <cfRule type="expression" dxfId="1848" priority="1085" stopIfTrue="1">
      <formula>$C380&lt;&gt;""</formula>
    </cfRule>
  </conditionalFormatting>
  <conditionalFormatting sqref="S384">
    <cfRule type="expression" dxfId="1847" priority="1084" stopIfTrue="1">
      <formula>$B384&lt;&gt;""</formula>
    </cfRule>
  </conditionalFormatting>
  <conditionalFormatting sqref="S384">
    <cfRule type="expression" dxfId="1846" priority="1083" stopIfTrue="1">
      <formula>$C384&lt;&gt;""</formula>
    </cfRule>
  </conditionalFormatting>
  <conditionalFormatting sqref="S380:S382">
    <cfRule type="expression" dxfId="1845" priority="1082" stopIfTrue="1">
      <formula>$B380&lt;&gt;""</formula>
    </cfRule>
  </conditionalFormatting>
  <conditionalFormatting sqref="S380:S382">
    <cfRule type="expression" dxfId="1844" priority="1081" stopIfTrue="1">
      <formula>$C380&lt;&gt;""</formula>
    </cfRule>
  </conditionalFormatting>
  <conditionalFormatting sqref="S383:S384">
    <cfRule type="expression" dxfId="1843" priority="1080" stopIfTrue="1">
      <formula>$B383&lt;&gt;""</formula>
    </cfRule>
  </conditionalFormatting>
  <conditionalFormatting sqref="S383:S384">
    <cfRule type="expression" dxfId="1842" priority="1079" stopIfTrue="1">
      <formula>$C383&lt;&gt;""</formula>
    </cfRule>
  </conditionalFormatting>
  <conditionalFormatting sqref="S380:S383">
    <cfRule type="expression" dxfId="1841" priority="1078" stopIfTrue="1">
      <formula>$B380&lt;&gt;""</formula>
    </cfRule>
  </conditionalFormatting>
  <conditionalFormatting sqref="S380:S383">
    <cfRule type="expression" dxfId="1840" priority="1077" stopIfTrue="1">
      <formula>$C380&lt;&gt;""</formula>
    </cfRule>
  </conditionalFormatting>
  <conditionalFormatting sqref="S380:S383">
    <cfRule type="expression" dxfId="1839" priority="1076" stopIfTrue="1">
      <formula>$B380&lt;&gt;""</formula>
    </cfRule>
  </conditionalFormatting>
  <conditionalFormatting sqref="S380:S383">
    <cfRule type="expression" dxfId="1838" priority="1075" stopIfTrue="1">
      <formula>$C380&lt;&gt;""</formula>
    </cfRule>
  </conditionalFormatting>
  <conditionalFormatting sqref="S384">
    <cfRule type="expression" dxfId="1837" priority="1074" stopIfTrue="1">
      <formula>$B384&lt;&gt;""</formula>
    </cfRule>
  </conditionalFormatting>
  <conditionalFormatting sqref="S384">
    <cfRule type="expression" dxfId="1836" priority="1073" stopIfTrue="1">
      <formula>$C384&lt;&gt;""</formula>
    </cfRule>
  </conditionalFormatting>
  <conditionalFormatting sqref="S380:S383">
    <cfRule type="expression" dxfId="1835" priority="1072" stopIfTrue="1">
      <formula>$B380&lt;&gt;""</formula>
    </cfRule>
  </conditionalFormatting>
  <conditionalFormatting sqref="S380:S383">
    <cfRule type="expression" dxfId="1834" priority="1071" stopIfTrue="1">
      <formula>$C380&lt;&gt;""</formula>
    </cfRule>
  </conditionalFormatting>
  <conditionalFormatting sqref="S384">
    <cfRule type="expression" dxfId="1833" priority="1070" stopIfTrue="1">
      <formula>$B384&lt;&gt;""</formula>
    </cfRule>
  </conditionalFormatting>
  <conditionalFormatting sqref="S384">
    <cfRule type="expression" dxfId="1832" priority="1069" stopIfTrue="1">
      <formula>$C384&lt;&gt;""</formula>
    </cfRule>
  </conditionalFormatting>
  <conditionalFormatting sqref="S384">
    <cfRule type="expression" dxfId="1831" priority="1068" stopIfTrue="1">
      <formula>$B384&lt;&gt;""</formula>
    </cfRule>
  </conditionalFormatting>
  <conditionalFormatting sqref="S384">
    <cfRule type="expression" dxfId="1830" priority="1067" stopIfTrue="1">
      <formula>$C384&lt;&gt;""</formula>
    </cfRule>
  </conditionalFormatting>
  <conditionalFormatting sqref="S380">
    <cfRule type="expression" dxfId="1829" priority="1066" stopIfTrue="1">
      <formula>$C380&lt;&gt;""</formula>
    </cfRule>
  </conditionalFormatting>
  <conditionalFormatting sqref="S380">
    <cfRule type="expression" dxfId="1828" priority="1065" stopIfTrue="1">
      <formula>$B380&lt;&gt;""</formula>
    </cfRule>
  </conditionalFormatting>
  <conditionalFormatting sqref="S381:S384">
    <cfRule type="expression" dxfId="1827" priority="1064" stopIfTrue="1">
      <formula>$C381&lt;&gt;""</formula>
    </cfRule>
  </conditionalFormatting>
  <conditionalFormatting sqref="S381:S384">
    <cfRule type="expression" dxfId="1826" priority="1063" stopIfTrue="1">
      <formula>$B381&lt;&gt;""</formula>
    </cfRule>
  </conditionalFormatting>
  <conditionalFormatting sqref="S383:S384">
    <cfRule type="expression" dxfId="1825" priority="1062" stopIfTrue="1">
      <formula>$C383&lt;&gt;""</formula>
    </cfRule>
  </conditionalFormatting>
  <conditionalFormatting sqref="S383:S384">
    <cfRule type="expression" dxfId="1824" priority="1061" stopIfTrue="1">
      <formula>$B383&lt;&gt;""</formula>
    </cfRule>
  </conditionalFormatting>
  <conditionalFormatting sqref="S385">
    <cfRule type="expression" dxfId="1823" priority="1060" stopIfTrue="1">
      <formula>$B385&lt;&gt;""</formula>
    </cfRule>
  </conditionalFormatting>
  <conditionalFormatting sqref="S385">
    <cfRule type="expression" dxfId="1822" priority="1059" stopIfTrue="1">
      <formula>$C385&lt;&gt;""</formula>
    </cfRule>
  </conditionalFormatting>
  <conditionalFormatting sqref="S385">
    <cfRule type="expression" dxfId="1821" priority="1058" stopIfTrue="1">
      <formula>$B385&lt;&gt;""</formula>
    </cfRule>
  </conditionalFormatting>
  <conditionalFormatting sqref="S385">
    <cfRule type="expression" dxfId="1820" priority="1057" stopIfTrue="1">
      <formula>$C385&lt;&gt;""</formula>
    </cfRule>
  </conditionalFormatting>
  <conditionalFormatting sqref="S385">
    <cfRule type="expression" dxfId="1819" priority="1056" stopIfTrue="1">
      <formula>$B385&lt;&gt;""</formula>
    </cfRule>
  </conditionalFormatting>
  <conditionalFormatting sqref="S385">
    <cfRule type="expression" dxfId="1818" priority="1055" stopIfTrue="1">
      <formula>$C385&lt;&gt;""</formula>
    </cfRule>
  </conditionalFormatting>
  <conditionalFormatting sqref="S385">
    <cfRule type="expression" dxfId="1817" priority="1054" stopIfTrue="1">
      <formula>$B385&lt;&gt;""</formula>
    </cfRule>
  </conditionalFormatting>
  <conditionalFormatting sqref="S385">
    <cfRule type="expression" dxfId="1816" priority="1053" stopIfTrue="1">
      <formula>$C385&lt;&gt;""</formula>
    </cfRule>
  </conditionalFormatting>
  <conditionalFormatting sqref="S385">
    <cfRule type="expression" dxfId="1815" priority="1052" stopIfTrue="1">
      <formula>$B385&lt;&gt;""</formula>
    </cfRule>
  </conditionalFormatting>
  <conditionalFormatting sqref="S385">
    <cfRule type="expression" dxfId="1814" priority="1051" stopIfTrue="1">
      <formula>$C385&lt;&gt;""</formula>
    </cfRule>
  </conditionalFormatting>
  <conditionalFormatting sqref="S385">
    <cfRule type="expression" dxfId="1813" priority="1050" stopIfTrue="1">
      <formula>$B385&lt;&gt;""</formula>
    </cfRule>
  </conditionalFormatting>
  <conditionalFormatting sqref="S385">
    <cfRule type="expression" dxfId="1812" priority="1049" stopIfTrue="1">
      <formula>$C385&lt;&gt;""</formula>
    </cfRule>
  </conditionalFormatting>
  <conditionalFormatting sqref="S385">
    <cfRule type="expression" dxfId="1811" priority="1048" stopIfTrue="1">
      <formula>$B385&lt;&gt;""</formula>
    </cfRule>
  </conditionalFormatting>
  <conditionalFormatting sqref="S385">
    <cfRule type="expression" dxfId="1810" priority="1047" stopIfTrue="1">
      <formula>$C385&lt;&gt;""</formula>
    </cfRule>
  </conditionalFormatting>
  <conditionalFormatting sqref="S385">
    <cfRule type="expression" dxfId="1809" priority="1046" stopIfTrue="1">
      <formula>$B385&lt;&gt;""</formula>
    </cfRule>
  </conditionalFormatting>
  <conditionalFormatting sqref="S385">
    <cfRule type="expression" dxfId="1808" priority="1045" stopIfTrue="1">
      <formula>$C385&lt;&gt;""</formula>
    </cfRule>
  </conditionalFormatting>
  <conditionalFormatting sqref="S385">
    <cfRule type="expression" dxfId="1807" priority="1044" stopIfTrue="1">
      <formula>$B385&lt;&gt;""</formula>
    </cfRule>
  </conditionalFormatting>
  <conditionalFormatting sqref="S385">
    <cfRule type="expression" dxfId="1806" priority="1043" stopIfTrue="1">
      <formula>$C385&lt;&gt;""</formula>
    </cfRule>
  </conditionalFormatting>
  <conditionalFormatting sqref="S385">
    <cfRule type="expression" dxfId="1805" priority="1042" stopIfTrue="1">
      <formula>$B385&lt;&gt;""</formula>
    </cfRule>
  </conditionalFormatting>
  <conditionalFormatting sqref="S385">
    <cfRule type="expression" dxfId="1804" priority="1041" stopIfTrue="1">
      <formula>$C385&lt;&gt;""</formula>
    </cfRule>
  </conditionalFormatting>
  <conditionalFormatting sqref="S385">
    <cfRule type="expression" dxfId="1803" priority="1040" stopIfTrue="1">
      <formula>$B385&lt;&gt;""</formula>
    </cfRule>
  </conditionalFormatting>
  <conditionalFormatting sqref="S385">
    <cfRule type="expression" dxfId="1802" priority="1039" stopIfTrue="1">
      <formula>$C385&lt;&gt;""</formula>
    </cfRule>
  </conditionalFormatting>
  <conditionalFormatting sqref="S385">
    <cfRule type="expression" dxfId="1801" priority="1038" stopIfTrue="1">
      <formula>$B385&lt;&gt;""</formula>
    </cfRule>
  </conditionalFormatting>
  <conditionalFormatting sqref="S385">
    <cfRule type="expression" dxfId="1800" priority="1037" stopIfTrue="1">
      <formula>$C385&lt;&gt;""</formula>
    </cfRule>
  </conditionalFormatting>
  <conditionalFormatting sqref="S385">
    <cfRule type="expression" dxfId="1799" priority="1036" stopIfTrue="1">
      <formula>$B385&lt;&gt;""</formula>
    </cfRule>
  </conditionalFormatting>
  <conditionalFormatting sqref="S385">
    <cfRule type="expression" dxfId="1798" priority="1035" stopIfTrue="1">
      <formula>$C385&lt;&gt;""</formula>
    </cfRule>
  </conditionalFormatting>
  <conditionalFormatting sqref="S385">
    <cfRule type="expression" dxfId="1797" priority="1034" stopIfTrue="1">
      <formula>$B385&lt;&gt;""</formula>
    </cfRule>
  </conditionalFormatting>
  <conditionalFormatting sqref="S385">
    <cfRule type="expression" dxfId="1796" priority="1033" stopIfTrue="1">
      <formula>$C385&lt;&gt;""</formula>
    </cfRule>
  </conditionalFormatting>
  <conditionalFormatting sqref="S385">
    <cfRule type="expression" dxfId="1795" priority="1032" stopIfTrue="1">
      <formula>$C385&lt;&gt;""</formula>
    </cfRule>
  </conditionalFormatting>
  <conditionalFormatting sqref="S385">
    <cfRule type="expression" dxfId="1794" priority="1031" stopIfTrue="1">
      <formula>$B385&lt;&gt;""</formula>
    </cfRule>
  </conditionalFormatting>
  <conditionalFormatting sqref="S385">
    <cfRule type="expression" dxfId="1793" priority="1030" stopIfTrue="1">
      <formula>$C385&lt;&gt;""</formula>
    </cfRule>
  </conditionalFormatting>
  <conditionalFormatting sqref="S385">
    <cfRule type="expression" dxfId="1792" priority="1029" stopIfTrue="1">
      <formula>$B385&lt;&gt;""</formula>
    </cfRule>
  </conditionalFormatting>
  <conditionalFormatting sqref="S385">
    <cfRule type="expression" dxfId="1791" priority="1028" stopIfTrue="1">
      <formula>$B385&lt;&gt;""</formula>
    </cfRule>
  </conditionalFormatting>
  <conditionalFormatting sqref="S385">
    <cfRule type="expression" dxfId="1790" priority="1027" stopIfTrue="1">
      <formula>$C385&lt;&gt;""</formula>
    </cfRule>
  </conditionalFormatting>
  <conditionalFormatting sqref="S385">
    <cfRule type="expression" dxfId="1789" priority="1026" stopIfTrue="1">
      <formula>$B385&lt;&gt;""</formula>
    </cfRule>
  </conditionalFormatting>
  <conditionalFormatting sqref="S385">
    <cfRule type="expression" dxfId="1788" priority="1025" stopIfTrue="1">
      <formula>$C385&lt;&gt;""</formula>
    </cfRule>
  </conditionalFormatting>
  <conditionalFormatting sqref="S385">
    <cfRule type="expression" dxfId="1787" priority="1024" stopIfTrue="1">
      <formula>$B385&lt;&gt;""</formula>
    </cfRule>
  </conditionalFormatting>
  <conditionalFormatting sqref="S385">
    <cfRule type="expression" dxfId="1786" priority="1023" stopIfTrue="1">
      <formula>$C385&lt;&gt;""</formula>
    </cfRule>
  </conditionalFormatting>
  <conditionalFormatting sqref="S385">
    <cfRule type="expression" dxfId="1785" priority="1022" stopIfTrue="1">
      <formula>$B385&lt;&gt;""</formula>
    </cfRule>
  </conditionalFormatting>
  <conditionalFormatting sqref="S385">
    <cfRule type="expression" dxfId="1784" priority="1021" stopIfTrue="1">
      <formula>$C385&lt;&gt;""</formula>
    </cfRule>
  </conditionalFormatting>
  <conditionalFormatting sqref="S385">
    <cfRule type="expression" dxfId="1783" priority="1020" stopIfTrue="1">
      <formula>$B385&lt;&gt;""</formula>
    </cfRule>
  </conditionalFormatting>
  <conditionalFormatting sqref="S385">
    <cfRule type="expression" dxfId="1782" priority="1019" stopIfTrue="1">
      <formula>$C385&lt;&gt;""</formula>
    </cfRule>
  </conditionalFormatting>
  <conditionalFormatting sqref="S385">
    <cfRule type="expression" dxfId="1781" priority="1018" stopIfTrue="1">
      <formula>$C385&lt;&gt;""</formula>
    </cfRule>
  </conditionalFormatting>
  <conditionalFormatting sqref="S385">
    <cfRule type="expression" dxfId="1780" priority="1017" stopIfTrue="1">
      <formula>$B385&lt;&gt;""</formula>
    </cfRule>
  </conditionalFormatting>
  <conditionalFormatting sqref="S385">
    <cfRule type="expression" dxfId="1779" priority="1016" stopIfTrue="1">
      <formula>$C385&lt;&gt;""</formula>
    </cfRule>
  </conditionalFormatting>
  <conditionalFormatting sqref="S385">
    <cfRule type="expression" dxfId="1778" priority="1015" stopIfTrue="1">
      <formula>$B385&lt;&gt;""</formula>
    </cfRule>
  </conditionalFormatting>
  <conditionalFormatting sqref="S385">
    <cfRule type="expression" dxfId="1777" priority="1014" stopIfTrue="1">
      <formula>$B385&lt;&gt;""</formula>
    </cfRule>
  </conditionalFormatting>
  <conditionalFormatting sqref="S385">
    <cfRule type="expression" dxfId="1776" priority="1013" stopIfTrue="1">
      <formula>$C385&lt;&gt;""</formula>
    </cfRule>
  </conditionalFormatting>
  <conditionalFormatting sqref="S386">
    <cfRule type="expression" dxfId="1775" priority="1012" stopIfTrue="1">
      <formula>$B386&lt;&gt;""</formula>
    </cfRule>
  </conditionalFormatting>
  <conditionalFormatting sqref="S386">
    <cfRule type="expression" dxfId="1774" priority="1011" stopIfTrue="1">
      <formula>$C386&lt;&gt;""</formula>
    </cfRule>
  </conditionalFormatting>
  <conditionalFormatting sqref="S385">
    <cfRule type="expression" dxfId="1773" priority="1010" stopIfTrue="1">
      <formula>$B385&lt;&gt;""</formula>
    </cfRule>
  </conditionalFormatting>
  <conditionalFormatting sqref="S385">
    <cfRule type="expression" dxfId="1772" priority="1009" stopIfTrue="1">
      <formula>$C385&lt;&gt;""</formula>
    </cfRule>
  </conditionalFormatting>
  <conditionalFormatting sqref="S386:S389">
    <cfRule type="expression" dxfId="1771" priority="1008" stopIfTrue="1">
      <formula>$B386&lt;&gt;""</formula>
    </cfRule>
  </conditionalFormatting>
  <conditionalFormatting sqref="S386:S389">
    <cfRule type="expression" dxfId="1770" priority="1007" stopIfTrue="1">
      <formula>$C386&lt;&gt;""</formula>
    </cfRule>
  </conditionalFormatting>
  <conditionalFormatting sqref="S385">
    <cfRule type="expression" dxfId="1769" priority="1006" stopIfTrue="1">
      <formula>$B385&lt;&gt;""</formula>
    </cfRule>
  </conditionalFormatting>
  <conditionalFormatting sqref="S385">
    <cfRule type="expression" dxfId="1768" priority="1005" stopIfTrue="1">
      <formula>$C385&lt;&gt;""</formula>
    </cfRule>
  </conditionalFormatting>
  <conditionalFormatting sqref="S386:S389">
    <cfRule type="expression" dxfId="1767" priority="1004" stopIfTrue="1">
      <formula>$B386&lt;&gt;""</formula>
    </cfRule>
  </conditionalFormatting>
  <conditionalFormatting sqref="S386:S389">
    <cfRule type="expression" dxfId="1766" priority="1003" stopIfTrue="1">
      <formula>$C386&lt;&gt;""</formula>
    </cfRule>
  </conditionalFormatting>
  <conditionalFormatting sqref="S385:S389">
    <cfRule type="expression" dxfId="1765" priority="1002" stopIfTrue="1">
      <formula>$B385&lt;&gt;""</formula>
    </cfRule>
  </conditionalFormatting>
  <conditionalFormatting sqref="S385:S389">
    <cfRule type="expression" dxfId="1764" priority="1001" stopIfTrue="1">
      <formula>$C385&lt;&gt;""</formula>
    </cfRule>
  </conditionalFormatting>
  <conditionalFormatting sqref="S385:S389">
    <cfRule type="expression" dxfId="1763" priority="1000" stopIfTrue="1">
      <formula>$B385&lt;&gt;""</formula>
    </cfRule>
  </conditionalFormatting>
  <conditionalFormatting sqref="S385:S389">
    <cfRule type="expression" dxfId="1762" priority="999" stopIfTrue="1">
      <formula>$C385&lt;&gt;""</formula>
    </cfRule>
  </conditionalFormatting>
  <conditionalFormatting sqref="S385:S389">
    <cfRule type="expression" dxfId="1761" priority="998" stopIfTrue="1">
      <formula>$B385&lt;&gt;""</formula>
    </cfRule>
  </conditionalFormatting>
  <conditionalFormatting sqref="S385:S389">
    <cfRule type="expression" dxfId="1760" priority="997" stopIfTrue="1">
      <formula>$C385&lt;&gt;""</formula>
    </cfRule>
  </conditionalFormatting>
  <conditionalFormatting sqref="S385:S389">
    <cfRule type="expression" dxfId="1759" priority="996" stopIfTrue="1">
      <formula>$B385&lt;&gt;""</formula>
    </cfRule>
  </conditionalFormatting>
  <conditionalFormatting sqref="S385:S389">
    <cfRule type="expression" dxfId="1758" priority="995" stopIfTrue="1">
      <formula>$C385&lt;&gt;""</formula>
    </cfRule>
  </conditionalFormatting>
  <conditionalFormatting sqref="S385:S389">
    <cfRule type="expression" dxfId="1757" priority="994" stopIfTrue="1">
      <formula>$B385&lt;&gt;""</formula>
    </cfRule>
  </conditionalFormatting>
  <conditionalFormatting sqref="S385:S389">
    <cfRule type="expression" dxfId="1756" priority="993" stopIfTrue="1">
      <formula>$C385&lt;&gt;""</formula>
    </cfRule>
  </conditionalFormatting>
  <conditionalFormatting sqref="S385:S389">
    <cfRule type="expression" dxfId="1755" priority="992" stopIfTrue="1">
      <formula>$B385&lt;&gt;""</formula>
    </cfRule>
  </conditionalFormatting>
  <conditionalFormatting sqref="S385:S389">
    <cfRule type="expression" dxfId="1754" priority="991" stopIfTrue="1">
      <formula>$C385&lt;&gt;""</formula>
    </cfRule>
  </conditionalFormatting>
  <conditionalFormatting sqref="S385:S389">
    <cfRule type="expression" dxfId="1753" priority="990" stopIfTrue="1">
      <formula>$B385&lt;&gt;""</formula>
    </cfRule>
  </conditionalFormatting>
  <conditionalFormatting sqref="S385:S389">
    <cfRule type="expression" dxfId="1752" priority="989" stopIfTrue="1">
      <formula>$C385&lt;&gt;""</formula>
    </cfRule>
  </conditionalFormatting>
  <conditionalFormatting sqref="S385:S388">
    <cfRule type="expression" dxfId="1751" priority="988" stopIfTrue="1">
      <formula>$B385&lt;&gt;""</formula>
    </cfRule>
  </conditionalFormatting>
  <conditionalFormatting sqref="S385:S388">
    <cfRule type="expression" dxfId="1750" priority="987" stopIfTrue="1">
      <formula>$C385&lt;&gt;""</formula>
    </cfRule>
  </conditionalFormatting>
  <conditionalFormatting sqref="S389">
    <cfRule type="expression" dxfId="1749" priority="986" stopIfTrue="1">
      <formula>$B389&lt;&gt;""</formula>
    </cfRule>
  </conditionalFormatting>
  <conditionalFormatting sqref="S389">
    <cfRule type="expression" dxfId="1748" priority="985" stopIfTrue="1">
      <formula>$C389&lt;&gt;""</formula>
    </cfRule>
  </conditionalFormatting>
  <conditionalFormatting sqref="S385:S387">
    <cfRule type="expression" dxfId="1747" priority="984" stopIfTrue="1">
      <formula>$B385&lt;&gt;""</formula>
    </cfRule>
  </conditionalFormatting>
  <conditionalFormatting sqref="S385:S387">
    <cfRule type="expression" dxfId="1746" priority="983" stopIfTrue="1">
      <formula>$C385&lt;&gt;""</formula>
    </cfRule>
  </conditionalFormatting>
  <conditionalFormatting sqref="S388:S389">
    <cfRule type="expression" dxfId="1745" priority="982" stopIfTrue="1">
      <formula>$B388&lt;&gt;""</formula>
    </cfRule>
  </conditionalFormatting>
  <conditionalFormatting sqref="S388:S389">
    <cfRule type="expression" dxfId="1744" priority="981" stopIfTrue="1">
      <formula>$C388&lt;&gt;""</formula>
    </cfRule>
  </conditionalFormatting>
  <conditionalFormatting sqref="S385:S388">
    <cfRule type="expression" dxfId="1743" priority="980" stopIfTrue="1">
      <formula>$B385&lt;&gt;""</formula>
    </cfRule>
  </conditionalFormatting>
  <conditionalFormatting sqref="S385:S388">
    <cfRule type="expression" dxfId="1742" priority="979" stopIfTrue="1">
      <formula>$C385&lt;&gt;""</formula>
    </cfRule>
  </conditionalFormatting>
  <conditionalFormatting sqref="S385:S388">
    <cfRule type="expression" dxfId="1741" priority="978" stopIfTrue="1">
      <formula>$B385&lt;&gt;""</formula>
    </cfRule>
  </conditionalFormatting>
  <conditionalFormatting sqref="S385:S388">
    <cfRule type="expression" dxfId="1740" priority="977" stopIfTrue="1">
      <formula>$C385&lt;&gt;""</formula>
    </cfRule>
  </conditionalFormatting>
  <conditionalFormatting sqref="S389">
    <cfRule type="expression" dxfId="1739" priority="976" stopIfTrue="1">
      <formula>$B389&lt;&gt;""</formula>
    </cfRule>
  </conditionalFormatting>
  <conditionalFormatting sqref="S389">
    <cfRule type="expression" dxfId="1738" priority="975" stopIfTrue="1">
      <formula>$C389&lt;&gt;""</formula>
    </cfRule>
  </conditionalFormatting>
  <conditionalFormatting sqref="S385:S388">
    <cfRule type="expression" dxfId="1737" priority="974" stopIfTrue="1">
      <formula>$B385&lt;&gt;""</formula>
    </cfRule>
  </conditionalFormatting>
  <conditionalFormatting sqref="S385:S388">
    <cfRule type="expression" dxfId="1736" priority="973" stopIfTrue="1">
      <formula>$C385&lt;&gt;""</formula>
    </cfRule>
  </conditionalFormatting>
  <conditionalFormatting sqref="S389">
    <cfRule type="expression" dxfId="1735" priority="972" stopIfTrue="1">
      <formula>$B389&lt;&gt;""</formula>
    </cfRule>
  </conditionalFormatting>
  <conditionalFormatting sqref="S389">
    <cfRule type="expression" dxfId="1734" priority="971" stopIfTrue="1">
      <formula>$C389&lt;&gt;""</formula>
    </cfRule>
  </conditionalFormatting>
  <conditionalFormatting sqref="S389">
    <cfRule type="expression" dxfId="1733" priority="970" stopIfTrue="1">
      <formula>$B389&lt;&gt;""</formula>
    </cfRule>
  </conditionalFormatting>
  <conditionalFormatting sqref="S389">
    <cfRule type="expression" dxfId="1732" priority="969" stopIfTrue="1">
      <formula>$C389&lt;&gt;""</formula>
    </cfRule>
  </conditionalFormatting>
  <conditionalFormatting sqref="S385">
    <cfRule type="expression" dxfId="1731" priority="968" stopIfTrue="1">
      <formula>$C385&lt;&gt;""</formula>
    </cfRule>
  </conditionalFormatting>
  <conditionalFormatting sqref="S385">
    <cfRule type="expression" dxfId="1730" priority="967" stopIfTrue="1">
      <formula>$B385&lt;&gt;""</formula>
    </cfRule>
  </conditionalFormatting>
  <conditionalFormatting sqref="S386:S389">
    <cfRule type="expression" dxfId="1729" priority="966" stopIfTrue="1">
      <formula>$C386&lt;&gt;""</formula>
    </cfRule>
  </conditionalFormatting>
  <conditionalFormatting sqref="S386:S389">
    <cfRule type="expression" dxfId="1728" priority="965" stopIfTrue="1">
      <formula>$B386&lt;&gt;""</formula>
    </cfRule>
  </conditionalFormatting>
  <conditionalFormatting sqref="S388:S389">
    <cfRule type="expression" dxfId="1727" priority="964" stopIfTrue="1">
      <formula>$C388&lt;&gt;""</formula>
    </cfRule>
  </conditionalFormatting>
  <conditionalFormatting sqref="S388:S389">
    <cfRule type="expression" dxfId="1726" priority="963" stopIfTrue="1">
      <formula>$B388&lt;&gt;""</formula>
    </cfRule>
  </conditionalFormatting>
  <conditionalFormatting sqref="S385:S388">
    <cfRule type="expression" dxfId="1725" priority="962" stopIfTrue="1">
      <formula>$B385&lt;&gt;""</formula>
    </cfRule>
  </conditionalFormatting>
  <conditionalFormatting sqref="S385:S388">
    <cfRule type="expression" dxfId="1724" priority="961" stopIfTrue="1">
      <formula>$C385&lt;&gt;""</formula>
    </cfRule>
  </conditionalFormatting>
  <conditionalFormatting sqref="S389">
    <cfRule type="expression" dxfId="1723" priority="960" stopIfTrue="1">
      <formula>$B389&lt;&gt;""</formula>
    </cfRule>
  </conditionalFormatting>
  <conditionalFormatting sqref="S389">
    <cfRule type="expression" dxfId="1722" priority="959" stopIfTrue="1">
      <formula>$C389&lt;&gt;""</formula>
    </cfRule>
  </conditionalFormatting>
  <conditionalFormatting sqref="S385:S387">
    <cfRule type="expression" dxfId="1721" priority="958" stopIfTrue="1">
      <formula>$B385&lt;&gt;""</formula>
    </cfRule>
  </conditionalFormatting>
  <conditionalFormatting sqref="S385:S387">
    <cfRule type="expression" dxfId="1720" priority="957" stopIfTrue="1">
      <formula>$C385&lt;&gt;""</formula>
    </cfRule>
  </conditionalFormatting>
  <conditionalFormatting sqref="S388:S389">
    <cfRule type="expression" dxfId="1719" priority="956" stopIfTrue="1">
      <formula>$B388&lt;&gt;""</formula>
    </cfRule>
  </conditionalFormatting>
  <conditionalFormatting sqref="S388:S389">
    <cfRule type="expression" dxfId="1718" priority="955" stopIfTrue="1">
      <formula>$C388&lt;&gt;""</formula>
    </cfRule>
  </conditionalFormatting>
  <conditionalFormatting sqref="S385:S388">
    <cfRule type="expression" dxfId="1717" priority="954" stopIfTrue="1">
      <formula>$B385&lt;&gt;""</formula>
    </cfRule>
  </conditionalFormatting>
  <conditionalFormatting sqref="S385:S388">
    <cfRule type="expression" dxfId="1716" priority="953" stopIfTrue="1">
      <formula>$C385&lt;&gt;""</formula>
    </cfRule>
  </conditionalFormatting>
  <conditionalFormatting sqref="S385:S388">
    <cfRule type="expression" dxfId="1715" priority="952" stopIfTrue="1">
      <formula>$B385&lt;&gt;""</formula>
    </cfRule>
  </conditionalFormatting>
  <conditionalFormatting sqref="S385:S388">
    <cfRule type="expression" dxfId="1714" priority="951" stopIfTrue="1">
      <formula>$C385&lt;&gt;""</formula>
    </cfRule>
  </conditionalFormatting>
  <conditionalFormatting sqref="S389">
    <cfRule type="expression" dxfId="1713" priority="950" stopIfTrue="1">
      <formula>$B389&lt;&gt;""</formula>
    </cfRule>
  </conditionalFormatting>
  <conditionalFormatting sqref="S389">
    <cfRule type="expression" dxfId="1712" priority="949" stopIfTrue="1">
      <formula>$C389&lt;&gt;""</formula>
    </cfRule>
  </conditionalFormatting>
  <conditionalFormatting sqref="S385:S388">
    <cfRule type="expression" dxfId="1711" priority="948" stopIfTrue="1">
      <formula>$B385&lt;&gt;""</formula>
    </cfRule>
  </conditionalFormatting>
  <conditionalFormatting sqref="S385:S388">
    <cfRule type="expression" dxfId="1710" priority="947" stopIfTrue="1">
      <formula>$C385&lt;&gt;""</formula>
    </cfRule>
  </conditionalFormatting>
  <conditionalFormatting sqref="S389">
    <cfRule type="expression" dxfId="1709" priority="946" stopIfTrue="1">
      <formula>$B389&lt;&gt;""</formula>
    </cfRule>
  </conditionalFormatting>
  <conditionalFormatting sqref="S389">
    <cfRule type="expression" dxfId="1708" priority="945" stopIfTrue="1">
      <formula>$C389&lt;&gt;""</formula>
    </cfRule>
  </conditionalFormatting>
  <conditionalFormatting sqref="S389">
    <cfRule type="expression" dxfId="1707" priority="944" stopIfTrue="1">
      <formula>$B389&lt;&gt;""</formula>
    </cfRule>
  </conditionalFormatting>
  <conditionalFormatting sqref="S389">
    <cfRule type="expression" dxfId="1706" priority="943" stopIfTrue="1">
      <formula>$C389&lt;&gt;""</formula>
    </cfRule>
  </conditionalFormatting>
  <conditionalFormatting sqref="S385">
    <cfRule type="expression" dxfId="1705" priority="942" stopIfTrue="1">
      <formula>$C385&lt;&gt;""</formula>
    </cfRule>
  </conditionalFormatting>
  <conditionalFormatting sqref="S385">
    <cfRule type="expression" dxfId="1704" priority="941" stopIfTrue="1">
      <formula>$B385&lt;&gt;""</formula>
    </cfRule>
  </conditionalFormatting>
  <conditionalFormatting sqref="S386:S389">
    <cfRule type="expression" dxfId="1703" priority="940" stopIfTrue="1">
      <formula>$C386&lt;&gt;""</formula>
    </cfRule>
  </conditionalFormatting>
  <conditionalFormatting sqref="S386:S389">
    <cfRule type="expression" dxfId="1702" priority="939" stopIfTrue="1">
      <formula>$B386&lt;&gt;""</formula>
    </cfRule>
  </conditionalFormatting>
  <conditionalFormatting sqref="S388:S389">
    <cfRule type="expression" dxfId="1701" priority="938" stopIfTrue="1">
      <formula>$C388&lt;&gt;""</formula>
    </cfRule>
  </conditionalFormatting>
  <conditionalFormatting sqref="S388:S389">
    <cfRule type="expression" dxfId="1700" priority="937" stopIfTrue="1">
      <formula>$B388&lt;&gt;""</formula>
    </cfRule>
  </conditionalFormatting>
  <conditionalFormatting sqref="S385">
    <cfRule type="expression" dxfId="1699" priority="936" stopIfTrue="1">
      <formula>$B385&lt;&gt;""</formula>
    </cfRule>
  </conditionalFormatting>
  <conditionalFormatting sqref="S385">
    <cfRule type="expression" dxfId="1698" priority="935" stopIfTrue="1">
      <formula>$C385&lt;&gt;""</formula>
    </cfRule>
  </conditionalFormatting>
  <conditionalFormatting sqref="S385">
    <cfRule type="expression" dxfId="1697" priority="934" stopIfTrue="1">
      <formula>$B385&lt;&gt;""</formula>
    </cfRule>
  </conditionalFormatting>
  <conditionalFormatting sqref="S385">
    <cfRule type="expression" dxfId="1696" priority="933" stopIfTrue="1">
      <formula>$C385&lt;&gt;""</formula>
    </cfRule>
  </conditionalFormatting>
  <conditionalFormatting sqref="S385">
    <cfRule type="expression" dxfId="1695" priority="932" stopIfTrue="1">
      <formula>$B385&lt;&gt;""</formula>
    </cfRule>
  </conditionalFormatting>
  <conditionalFormatting sqref="S385">
    <cfRule type="expression" dxfId="1694" priority="931" stopIfTrue="1">
      <formula>$C385&lt;&gt;""</formula>
    </cfRule>
  </conditionalFormatting>
  <conditionalFormatting sqref="S385">
    <cfRule type="expression" dxfId="1693" priority="930" stopIfTrue="1">
      <formula>$B385&lt;&gt;""</formula>
    </cfRule>
  </conditionalFormatting>
  <conditionalFormatting sqref="S385">
    <cfRule type="expression" dxfId="1692" priority="929" stopIfTrue="1">
      <formula>$C385&lt;&gt;""</formula>
    </cfRule>
  </conditionalFormatting>
  <conditionalFormatting sqref="S385">
    <cfRule type="expression" dxfId="1691" priority="928" stopIfTrue="1">
      <formula>$B385&lt;&gt;""</formula>
    </cfRule>
  </conditionalFormatting>
  <conditionalFormatting sqref="S385">
    <cfRule type="expression" dxfId="1690" priority="927" stopIfTrue="1">
      <formula>$C385&lt;&gt;""</formula>
    </cfRule>
  </conditionalFormatting>
  <conditionalFormatting sqref="S385">
    <cfRule type="expression" dxfId="1689" priority="926" stopIfTrue="1">
      <formula>$B385&lt;&gt;""</formula>
    </cfRule>
  </conditionalFormatting>
  <conditionalFormatting sqref="S385">
    <cfRule type="expression" dxfId="1688" priority="925" stopIfTrue="1">
      <formula>$C385&lt;&gt;""</formula>
    </cfRule>
  </conditionalFormatting>
  <conditionalFormatting sqref="S385">
    <cfRule type="expression" dxfId="1687" priority="924" stopIfTrue="1">
      <formula>$B385&lt;&gt;""</formula>
    </cfRule>
  </conditionalFormatting>
  <conditionalFormatting sqref="S385">
    <cfRule type="expression" dxfId="1686" priority="923" stopIfTrue="1">
      <formula>$C385&lt;&gt;""</formula>
    </cfRule>
  </conditionalFormatting>
  <conditionalFormatting sqref="S385">
    <cfRule type="expression" dxfId="1685" priority="922" stopIfTrue="1">
      <formula>$B385&lt;&gt;""</formula>
    </cfRule>
  </conditionalFormatting>
  <conditionalFormatting sqref="S385">
    <cfRule type="expression" dxfId="1684" priority="921" stopIfTrue="1">
      <formula>$C385&lt;&gt;""</formula>
    </cfRule>
  </conditionalFormatting>
  <conditionalFormatting sqref="S385">
    <cfRule type="expression" dxfId="1683" priority="920" stopIfTrue="1">
      <formula>$B385&lt;&gt;""</formula>
    </cfRule>
  </conditionalFormatting>
  <conditionalFormatting sqref="S385">
    <cfRule type="expression" dxfId="1682" priority="919" stopIfTrue="1">
      <formula>$C385&lt;&gt;""</formula>
    </cfRule>
  </conditionalFormatting>
  <conditionalFormatting sqref="S385">
    <cfRule type="expression" dxfId="1681" priority="918" stopIfTrue="1">
      <formula>$B385&lt;&gt;""</formula>
    </cfRule>
  </conditionalFormatting>
  <conditionalFormatting sqref="S385">
    <cfRule type="expression" dxfId="1680" priority="917" stopIfTrue="1">
      <formula>$C385&lt;&gt;""</formula>
    </cfRule>
  </conditionalFormatting>
  <conditionalFormatting sqref="S385">
    <cfRule type="expression" dxfId="1679" priority="916" stopIfTrue="1">
      <formula>$B385&lt;&gt;""</formula>
    </cfRule>
  </conditionalFormatting>
  <conditionalFormatting sqref="S385">
    <cfRule type="expression" dxfId="1678" priority="915" stopIfTrue="1">
      <formula>$C385&lt;&gt;""</formula>
    </cfRule>
  </conditionalFormatting>
  <conditionalFormatting sqref="S385">
    <cfRule type="expression" dxfId="1677" priority="914" stopIfTrue="1">
      <formula>$B385&lt;&gt;""</formula>
    </cfRule>
  </conditionalFormatting>
  <conditionalFormatting sqref="S385">
    <cfRule type="expression" dxfId="1676" priority="913" stopIfTrue="1">
      <formula>$C385&lt;&gt;""</formula>
    </cfRule>
  </conditionalFormatting>
  <conditionalFormatting sqref="S385">
    <cfRule type="expression" dxfId="1675" priority="912" stopIfTrue="1">
      <formula>$B385&lt;&gt;""</formula>
    </cfRule>
  </conditionalFormatting>
  <conditionalFormatting sqref="S385">
    <cfRule type="expression" dxfId="1674" priority="911" stopIfTrue="1">
      <formula>$C385&lt;&gt;""</formula>
    </cfRule>
  </conditionalFormatting>
  <conditionalFormatting sqref="S385">
    <cfRule type="expression" dxfId="1673" priority="910" stopIfTrue="1">
      <formula>$B385&lt;&gt;""</formula>
    </cfRule>
  </conditionalFormatting>
  <conditionalFormatting sqref="S385">
    <cfRule type="expression" dxfId="1672" priority="909" stopIfTrue="1">
      <formula>$C385&lt;&gt;""</formula>
    </cfRule>
  </conditionalFormatting>
  <conditionalFormatting sqref="S385">
    <cfRule type="expression" dxfId="1671" priority="908" stopIfTrue="1">
      <formula>$C385&lt;&gt;""</formula>
    </cfRule>
  </conditionalFormatting>
  <conditionalFormatting sqref="S385">
    <cfRule type="expression" dxfId="1670" priority="907" stopIfTrue="1">
      <formula>$B385&lt;&gt;""</formula>
    </cfRule>
  </conditionalFormatting>
  <conditionalFormatting sqref="S385">
    <cfRule type="expression" dxfId="1669" priority="906" stopIfTrue="1">
      <formula>$C385&lt;&gt;""</formula>
    </cfRule>
  </conditionalFormatting>
  <conditionalFormatting sqref="S385">
    <cfRule type="expression" dxfId="1668" priority="905" stopIfTrue="1">
      <formula>$B385&lt;&gt;""</formula>
    </cfRule>
  </conditionalFormatting>
  <conditionalFormatting sqref="S385">
    <cfRule type="expression" dxfId="1667" priority="904" stopIfTrue="1">
      <formula>$B385&lt;&gt;""</formula>
    </cfRule>
  </conditionalFormatting>
  <conditionalFormatting sqref="S385">
    <cfRule type="expression" dxfId="1666" priority="903" stopIfTrue="1">
      <formula>$C385&lt;&gt;""</formula>
    </cfRule>
  </conditionalFormatting>
  <conditionalFormatting sqref="S385">
    <cfRule type="expression" dxfId="1665" priority="902" stopIfTrue="1">
      <formula>$B385&lt;&gt;""</formula>
    </cfRule>
  </conditionalFormatting>
  <conditionalFormatting sqref="S385">
    <cfRule type="expression" dxfId="1664" priority="901" stopIfTrue="1">
      <formula>$C385&lt;&gt;""</formula>
    </cfRule>
  </conditionalFormatting>
  <conditionalFormatting sqref="S385">
    <cfRule type="expression" dxfId="1663" priority="900" stopIfTrue="1">
      <formula>$B385&lt;&gt;""</formula>
    </cfRule>
  </conditionalFormatting>
  <conditionalFormatting sqref="S385">
    <cfRule type="expression" dxfId="1662" priority="899" stopIfTrue="1">
      <formula>$C385&lt;&gt;""</formula>
    </cfRule>
  </conditionalFormatting>
  <conditionalFormatting sqref="S385">
    <cfRule type="expression" dxfId="1661" priority="898" stopIfTrue="1">
      <formula>$B385&lt;&gt;""</formula>
    </cfRule>
  </conditionalFormatting>
  <conditionalFormatting sqref="S385">
    <cfRule type="expression" dxfId="1660" priority="897" stopIfTrue="1">
      <formula>$C385&lt;&gt;""</formula>
    </cfRule>
  </conditionalFormatting>
  <conditionalFormatting sqref="S385">
    <cfRule type="expression" dxfId="1659" priority="896" stopIfTrue="1">
      <formula>$B385&lt;&gt;""</formula>
    </cfRule>
  </conditionalFormatting>
  <conditionalFormatting sqref="S385">
    <cfRule type="expression" dxfId="1658" priority="895" stopIfTrue="1">
      <formula>$C385&lt;&gt;""</formula>
    </cfRule>
  </conditionalFormatting>
  <conditionalFormatting sqref="S385">
    <cfRule type="expression" dxfId="1657" priority="894" stopIfTrue="1">
      <formula>$C385&lt;&gt;""</formula>
    </cfRule>
  </conditionalFormatting>
  <conditionalFormatting sqref="S385">
    <cfRule type="expression" dxfId="1656" priority="893" stopIfTrue="1">
      <formula>$B385&lt;&gt;""</formula>
    </cfRule>
  </conditionalFormatting>
  <conditionalFormatting sqref="S385">
    <cfRule type="expression" dxfId="1655" priority="892" stopIfTrue="1">
      <formula>$C385&lt;&gt;""</formula>
    </cfRule>
  </conditionalFormatting>
  <conditionalFormatting sqref="S385">
    <cfRule type="expression" dxfId="1654" priority="891" stopIfTrue="1">
      <formula>$B385&lt;&gt;""</formula>
    </cfRule>
  </conditionalFormatting>
  <conditionalFormatting sqref="S385">
    <cfRule type="expression" dxfId="1653" priority="890" stopIfTrue="1">
      <formula>$B385&lt;&gt;""</formula>
    </cfRule>
  </conditionalFormatting>
  <conditionalFormatting sqref="S385">
    <cfRule type="expression" dxfId="1652" priority="889" stopIfTrue="1">
      <formula>$C385&lt;&gt;""</formula>
    </cfRule>
  </conditionalFormatting>
  <conditionalFormatting sqref="S386">
    <cfRule type="expression" dxfId="1651" priority="888" stopIfTrue="1">
      <formula>$B386&lt;&gt;""</formula>
    </cfRule>
  </conditionalFormatting>
  <conditionalFormatting sqref="S386">
    <cfRule type="expression" dxfId="1650" priority="887" stopIfTrue="1">
      <formula>$C386&lt;&gt;""</formula>
    </cfRule>
  </conditionalFormatting>
  <conditionalFormatting sqref="S385">
    <cfRule type="expression" dxfId="1649" priority="886" stopIfTrue="1">
      <formula>$B385&lt;&gt;""</formula>
    </cfRule>
  </conditionalFormatting>
  <conditionalFormatting sqref="S385">
    <cfRule type="expression" dxfId="1648" priority="885" stopIfTrue="1">
      <formula>$C385&lt;&gt;""</formula>
    </cfRule>
  </conditionalFormatting>
  <conditionalFormatting sqref="S386:S389">
    <cfRule type="expression" dxfId="1647" priority="884" stopIfTrue="1">
      <formula>$B386&lt;&gt;""</formula>
    </cfRule>
  </conditionalFormatting>
  <conditionalFormatting sqref="S386:S389">
    <cfRule type="expression" dxfId="1646" priority="883" stopIfTrue="1">
      <formula>$C386&lt;&gt;""</formula>
    </cfRule>
  </conditionalFormatting>
  <conditionalFormatting sqref="S385">
    <cfRule type="expression" dxfId="1645" priority="882" stopIfTrue="1">
      <formula>$B385&lt;&gt;""</formula>
    </cfRule>
  </conditionalFormatting>
  <conditionalFormatting sqref="S385">
    <cfRule type="expression" dxfId="1644" priority="881" stopIfTrue="1">
      <formula>$C385&lt;&gt;""</formula>
    </cfRule>
  </conditionalFormatting>
  <conditionalFormatting sqref="S386:S389">
    <cfRule type="expression" dxfId="1643" priority="880" stopIfTrue="1">
      <formula>$B386&lt;&gt;""</formula>
    </cfRule>
  </conditionalFormatting>
  <conditionalFormatting sqref="S386:S389">
    <cfRule type="expression" dxfId="1642" priority="879" stopIfTrue="1">
      <formula>$C386&lt;&gt;""</formula>
    </cfRule>
  </conditionalFormatting>
  <conditionalFormatting sqref="S385:S389">
    <cfRule type="expression" dxfId="1641" priority="878" stopIfTrue="1">
      <formula>$B385&lt;&gt;""</formula>
    </cfRule>
  </conditionalFormatting>
  <conditionalFormatting sqref="S385:S389">
    <cfRule type="expression" dxfId="1640" priority="877" stopIfTrue="1">
      <formula>$C385&lt;&gt;""</formula>
    </cfRule>
  </conditionalFormatting>
  <conditionalFormatting sqref="S385:S389">
    <cfRule type="expression" dxfId="1639" priority="876" stopIfTrue="1">
      <formula>$B385&lt;&gt;""</formula>
    </cfRule>
  </conditionalFormatting>
  <conditionalFormatting sqref="S385:S389">
    <cfRule type="expression" dxfId="1638" priority="875" stopIfTrue="1">
      <formula>$C385&lt;&gt;""</formula>
    </cfRule>
  </conditionalFormatting>
  <conditionalFormatting sqref="S385:S389">
    <cfRule type="expression" dxfId="1637" priority="874" stopIfTrue="1">
      <formula>$B385&lt;&gt;""</formula>
    </cfRule>
  </conditionalFormatting>
  <conditionalFormatting sqref="S385:S389">
    <cfRule type="expression" dxfId="1636" priority="873" stopIfTrue="1">
      <formula>$C385&lt;&gt;""</formula>
    </cfRule>
  </conditionalFormatting>
  <conditionalFormatting sqref="S385:S389">
    <cfRule type="expression" dxfId="1635" priority="872" stopIfTrue="1">
      <formula>$B385&lt;&gt;""</formula>
    </cfRule>
  </conditionalFormatting>
  <conditionalFormatting sqref="S385:S389">
    <cfRule type="expression" dxfId="1634" priority="871" stopIfTrue="1">
      <formula>$C385&lt;&gt;""</formula>
    </cfRule>
  </conditionalFormatting>
  <conditionalFormatting sqref="S385:S389">
    <cfRule type="expression" dxfId="1633" priority="870" stopIfTrue="1">
      <formula>$B385&lt;&gt;""</formula>
    </cfRule>
  </conditionalFormatting>
  <conditionalFormatting sqref="S385:S389">
    <cfRule type="expression" dxfId="1632" priority="869" stopIfTrue="1">
      <formula>$C385&lt;&gt;""</formula>
    </cfRule>
  </conditionalFormatting>
  <conditionalFormatting sqref="S385:S389">
    <cfRule type="expression" dxfId="1631" priority="868" stopIfTrue="1">
      <formula>$B385&lt;&gt;""</formula>
    </cfRule>
  </conditionalFormatting>
  <conditionalFormatting sqref="S385:S389">
    <cfRule type="expression" dxfId="1630" priority="867" stopIfTrue="1">
      <formula>$C385&lt;&gt;""</formula>
    </cfRule>
  </conditionalFormatting>
  <conditionalFormatting sqref="S385:S389">
    <cfRule type="expression" dxfId="1629" priority="866" stopIfTrue="1">
      <formula>$B385&lt;&gt;""</formula>
    </cfRule>
  </conditionalFormatting>
  <conditionalFormatting sqref="S385:S389">
    <cfRule type="expression" dxfId="1628" priority="865" stopIfTrue="1">
      <formula>$C385&lt;&gt;""</formula>
    </cfRule>
  </conditionalFormatting>
  <conditionalFormatting sqref="S385:S388">
    <cfRule type="expression" dxfId="1627" priority="864" stopIfTrue="1">
      <formula>$B385&lt;&gt;""</formula>
    </cfRule>
  </conditionalFormatting>
  <conditionalFormatting sqref="S385:S388">
    <cfRule type="expression" dxfId="1626" priority="863" stopIfTrue="1">
      <formula>$C385&lt;&gt;""</formula>
    </cfRule>
  </conditionalFormatting>
  <conditionalFormatting sqref="S389">
    <cfRule type="expression" dxfId="1625" priority="862" stopIfTrue="1">
      <formula>$B389&lt;&gt;""</formula>
    </cfRule>
  </conditionalFormatting>
  <conditionalFormatting sqref="S389">
    <cfRule type="expression" dxfId="1624" priority="861" stopIfTrue="1">
      <formula>$C389&lt;&gt;""</formula>
    </cfRule>
  </conditionalFormatting>
  <conditionalFormatting sqref="S385:S387">
    <cfRule type="expression" dxfId="1623" priority="860" stopIfTrue="1">
      <formula>$B385&lt;&gt;""</formula>
    </cfRule>
  </conditionalFormatting>
  <conditionalFormatting sqref="S385:S387">
    <cfRule type="expression" dxfId="1622" priority="859" stopIfTrue="1">
      <formula>$C385&lt;&gt;""</formula>
    </cfRule>
  </conditionalFormatting>
  <conditionalFormatting sqref="S388:S389">
    <cfRule type="expression" dxfId="1621" priority="858" stopIfTrue="1">
      <formula>$B388&lt;&gt;""</formula>
    </cfRule>
  </conditionalFormatting>
  <conditionalFormatting sqref="S388:S389">
    <cfRule type="expression" dxfId="1620" priority="857" stopIfTrue="1">
      <formula>$C388&lt;&gt;""</formula>
    </cfRule>
  </conditionalFormatting>
  <conditionalFormatting sqref="S385:S388">
    <cfRule type="expression" dxfId="1619" priority="856" stopIfTrue="1">
      <formula>$B385&lt;&gt;""</formula>
    </cfRule>
  </conditionalFormatting>
  <conditionalFormatting sqref="S385:S388">
    <cfRule type="expression" dxfId="1618" priority="855" stopIfTrue="1">
      <formula>$C385&lt;&gt;""</formula>
    </cfRule>
  </conditionalFormatting>
  <conditionalFormatting sqref="S385:S388">
    <cfRule type="expression" dxfId="1617" priority="854" stopIfTrue="1">
      <formula>$B385&lt;&gt;""</formula>
    </cfRule>
  </conditionalFormatting>
  <conditionalFormatting sqref="S385:S388">
    <cfRule type="expression" dxfId="1616" priority="853" stopIfTrue="1">
      <formula>$C385&lt;&gt;""</formula>
    </cfRule>
  </conditionalFormatting>
  <conditionalFormatting sqref="S389">
    <cfRule type="expression" dxfId="1615" priority="852" stopIfTrue="1">
      <formula>$B389&lt;&gt;""</formula>
    </cfRule>
  </conditionalFormatting>
  <conditionalFormatting sqref="S389">
    <cfRule type="expression" dxfId="1614" priority="851" stopIfTrue="1">
      <formula>$C389&lt;&gt;""</formula>
    </cfRule>
  </conditionalFormatting>
  <conditionalFormatting sqref="S385:S388">
    <cfRule type="expression" dxfId="1613" priority="850" stopIfTrue="1">
      <formula>$B385&lt;&gt;""</formula>
    </cfRule>
  </conditionalFormatting>
  <conditionalFormatting sqref="S385:S388">
    <cfRule type="expression" dxfId="1612" priority="849" stopIfTrue="1">
      <formula>$C385&lt;&gt;""</formula>
    </cfRule>
  </conditionalFormatting>
  <conditionalFormatting sqref="S389">
    <cfRule type="expression" dxfId="1611" priority="848" stopIfTrue="1">
      <formula>$B389&lt;&gt;""</formula>
    </cfRule>
  </conditionalFormatting>
  <conditionalFormatting sqref="S389">
    <cfRule type="expression" dxfId="1610" priority="847" stopIfTrue="1">
      <formula>$C389&lt;&gt;""</formula>
    </cfRule>
  </conditionalFormatting>
  <conditionalFormatting sqref="S389">
    <cfRule type="expression" dxfId="1609" priority="846" stopIfTrue="1">
      <formula>$B389&lt;&gt;""</formula>
    </cfRule>
  </conditionalFormatting>
  <conditionalFormatting sqref="S389">
    <cfRule type="expression" dxfId="1608" priority="845" stopIfTrue="1">
      <formula>$C389&lt;&gt;""</formula>
    </cfRule>
  </conditionalFormatting>
  <conditionalFormatting sqref="S385">
    <cfRule type="expression" dxfId="1607" priority="844" stopIfTrue="1">
      <formula>$C385&lt;&gt;""</formula>
    </cfRule>
  </conditionalFormatting>
  <conditionalFormatting sqref="S385">
    <cfRule type="expression" dxfId="1606" priority="843" stopIfTrue="1">
      <formula>$B385&lt;&gt;""</formula>
    </cfRule>
  </conditionalFormatting>
  <conditionalFormatting sqref="S386:S389">
    <cfRule type="expression" dxfId="1605" priority="842" stopIfTrue="1">
      <formula>$C386&lt;&gt;""</formula>
    </cfRule>
  </conditionalFormatting>
  <conditionalFormatting sqref="S386:S389">
    <cfRule type="expression" dxfId="1604" priority="841" stopIfTrue="1">
      <formula>$B386&lt;&gt;""</formula>
    </cfRule>
  </conditionalFormatting>
  <conditionalFormatting sqref="S388:S389">
    <cfRule type="expression" dxfId="1603" priority="840" stopIfTrue="1">
      <formula>$C388&lt;&gt;""</formula>
    </cfRule>
  </conditionalFormatting>
  <conditionalFormatting sqref="S388:S389">
    <cfRule type="expression" dxfId="1602" priority="839" stopIfTrue="1">
      <formula>$B388&lt;&gt;""</formula>
    </cfRule>
  </conditionalFormatting>
  <conditionalFormatting sqref="S385:S388">
    <cfRule type="expression" dxfId="1601" priority="838" stopIfTrue="1">
      <formula>$B385&lt;&gt;""</formula>
    </cfRule>
  </conditionalFormatting>
  <conditionalFormatting sqref="S385:S388">
    <cfRule type="expression" dxfId="1600" priority="837" stopIfTrue="1">
      <formula>$C385&lt;&gt;""</formula>
    </cfRule>
  </conditionalFormatting>
  <conditionalFormatting sqref="S389">
    <cfRule type="expression" dxfId="1599" priority="836" stopIfTrue="1">
      <formula>$B389&lt;&gt;""</formula>
    </cfRule>
  </conditionalFormatting>
  <conditionalFormatting sqref="S389">
    <cfRule type="expression" dxfId="1598" priority="835" stopIfTrue="1">
      <formula>$C389&lt;&gt;""</formula>
    </cfRule>
  </conditionalFormatting>
  <conditionalFormatting sqref="S385:S387">
    <cfRule type="expression" dxfId="1597" priority="834" stopIfTrue="1">
      <formula>$B385&lt;&gt;""</formula>
    </cfRule>
  </conditionalFormatting>
  <conditionalFormatting sqref="S385:S387">
    <cfRule type="expression" dxfId="1596" priority="833" stopIfTrue="1">
      <formula>$C385&lt;&gt;""</formula>
    </cfRule>
  </conditionalFormatting>
  <conditionalFormatting sqref="S388:S389">
    <cfRule type="expression" dxfId="1595" priority="832" stopIfTrue="1">
      <formula>$B388&lt;&gt;""</formula>
    </cfRule>
  </conditionalFormatting>
  <conditionalFormatting sqref="S388:S389">
    <cfRule type="expression" dxfId="1594" priority="831" stopIfTrue="1">
      <formula>$C388&lt;&gt;""</formula>
    </cfRule>
  </conditionalFormatting>
  <conditionalFormatting sqref="S385:S388">
    <cfRule type="expression" dxfId="1593" priority="830" stopIfTrue="1">
      <formula>$B385&lt;&gt;""</formula>
    </cfRule>
  </conditionalFormatting>
  <conditionalFormatting sqref="S385:S388">
    <cfRule type="expression" dxfId="1592" priority="829" stopIfTrue="1">
      <formula>$C385&lt;&gt;""</formula>
    </cfRule>
  </conditionalFormatting>
  <conditionalFormatting sqref="S385:S388">
    <cfRule type="expression" dxfId="1591" priority="828" stopIfTrue="1">
      <formula>$B385&lt;&gt;""</formula>
    </cfRule>
  </conditionalFormatting>
  <conditionalFormatting sqref="S385:S388">
    <cfRule type="expression" dxfId="1590" priority="827" stopIfTrue="1">
      <formula>$C385&lt;&gt;""</formula>
    </cfRule>
  </conditionalFormatting>
  <conditionalFormatting sqref="S389">
    <cfRule type="expression" dxfId="1589" priority="826" stopIfTrue="1">
      <formula>$B389&lt;&gt;""</formula>
    </cfRule>
  </conditionalFormatting>
  <conditionalFormatting sqref="S389">
    <cfRule type="expression" dxfId="1588" priority="825" stopIfTrue="1">
      <formula>$C389&lt;&gt;""</formula>
    </cfRule>
  </conditionalFormatting>
  <conditionalFormatting sqref="S385:S388">
    <cfRule type="expression" dxfId="1587" priority="824" stopIfTrue="1">
      <formula>$B385&lt;&gt;""</formula>
    </cfRule>
  </conditionalFormatting>
  <conditionalFormatting sqref="S385:S388">
    <cfRule type="expression" dxfId="1586" priority="823" stopIfTrue="1">
      <formula>$C385&lt;&gt;""</formula>
    </cfRule>
  </conditionalFormatting>
  <conditionalFormatting sqref="S389">
    <cfRule type="expression" dxfId="1585" priority="822" stopIfTrue="1">
      <formula>$B389&lt;&gt;""</formula>
    </cfRule>
  </conditionalFormatting>
  <conditionalFormatting sqref="S389">
    <cfRule type="expression" dxfId="1584" priority="821" stopIfTrue="1">
      <formula>$C389&lt;&gt;""</formula>
    </cfRule>
  </conditionalFormatting>
  <conditionalFormatting sqref="S389">
    <cfRule type="expression" dxfId="1583" priority="820" stopIfTrue="1">
      <formula>$B389&lt;&gt;""</formula>
    </cfRule>
  </conditionalFormatting>
  <conditionalFormatting sqref="S389">
    <cfRule type="expression" dxfId="1582" priority="819" stopIfTrue="1">
      <formula>$C389&lt;&gt;""</formula>
    </cfRule>
  </conditionalFormatting>
  <conditionalFormatting sqref="S385">
    <cfRule type="expression" dxfId="1581" priority="818" stopIfTrue="1">
      <formula>$C385&lt;&gt;""</formula>
    </cfRule>
  </conditionalFormatting>
  <conditionalFormatting sqref="S385">
    <cfRule type="expression" dxfId="1580" priority="817" stopIfTrue="1">
      <formula>$B385&lt;&gt;""</formula>
    </cfRule>
  </conditionalFormatting>
  <conditionalFormatting sqref="S386:S389">
    <cfRule type="expression" dxfId="1579" priority="816" stopIfTrue="1">
      <formula>$C386&lt;&gt;""</formula>
    </cfRule>
  </conditionalFormatting>
  <conditionalFormatting sqref="S386:S389">
    <cfRule type="expression" dxfId="1578" priority="815" stopIfTrue="1">
      <formula>$B386&lt;&gt;""</formula>
    </cfRule>
  </conditionalFormatting>
  <conditionalFormatting sqref="S388:S389">
    <cfRule type="expression" dxfId="1577" priority="814" stopIfTrue="1">
      <formula>$C388&lt;&gt;""</formula>
    </cfRule>
  </conditionalFormatting>
  <conditionalFormatting sqref="S388:S389">
    <cfRule type="expression" dxfId="1576" priority="813" stopIfTrue="1">
      <formula>$B388&lt;&gt;""</formula>
    </cfRule>
  </conditionalFormatting>
  <conditionalFormatting sqref="S385">
    <cfRule type="expression" dxfId="1575" priority="812" stopIfTrue="1">
      <formula>$B385&lt;&gt;""</formula>
    </cfRule>
  </conditionalFormatting>
  <conditionalFormatting sqref="S385">
    <cfRule type="expression" dxfId="1574" priority="811" stopIfTrue="1">
      <formula>$C385&lt;&gt;""</formula>
    </cfRule>
  </conditionalFormatting>
  <conditionalFormatting sqref="S386">
    <cfRule type="expression" dxfId="1573" priority="810" stopIfTrue="1">
      <formula>$B386&lt;&gt;""</formula>
    </cfRule>
  </conditionalFormatting>
  <conditionalFormatting sqref="S386">
    <cfRule type="expression" dxfId="1572" priority="809" stopIfTrue="1">
      <formula>$C386&lt;&gt;""</formula>
    </cfRule>
  </conditionalFormatting>
  <conditionalFormatting sqref="S385">
    <cfRule type="expression" dxfId="1571" priority="808" stopIfTrue="1">
      <formula>$B385&lt;&gt;""</formula>
    </cfRule>
  </conditionalFormatting>
  <conditionalFormatting sqref="S385">
    <cfRule type="expression" dxfId="1570" priority="807" stopIfTrue="1">
      <formula>$C385&lt;&gt;""</formula>
    </cfRule>
  </conditionalFormatting>
  <conditionalFormatting sqref="S386:S389">
    <cfRule type="expression" dxfId="1569" priority="806" stopIfTrue="1">
      <formula>$B386&lt;&gt;""</formula>
    </cfRule>
  </conditionalFormatting>
  <conditionalFormatting sqref="S386:S389">
    <cfRule type="expression" dxfId="1568" priority="805" stopIfTrue="1">
      <formula>$C386&lt;&gt;""</formula>
    </cfRule>
  </conditionalFormatting>
  <conditionalFormatting sqref="S385">
    <cfRule type="expression" dxfId="1567" priority="804" stopIfTrue="1">
      <formula>$B385&lt;&gt;""</formula>
    </cfRule>
  </conditionalFormatting>
  <conditionalFormatting sqref="S385">
    <cfRule type="expression" dxfId="1566" priority="803" stopIfTrue="1">
      <formula>$C385&lt;&gt;""</formula>
    </cfRule>
  </conditionalFormatting>
  <conditionalFormatting sqref="S386:S389">
    <cfRule type="expression" dxfId="1565" priority="802" stopIfTrue="1">
      <formula>$B386&lt;&gt;""</formula>
    </cfRule>
  </conditionalFormatting>
  <conditionalFormatting sqref="S386:S389">
    <cfRule type="expression" dxfId="1564" priority="801" stopIfTrue="1">
      <formula>$C386&lt;&gt;""</formula>
    </cfRule>
  </conditionalFormatting>
  <conditionalFormatting sqref="S385:S389">
    <cfRule type="expression" dxfId="1563" priority="800" stopIfTrue="1">
      <formula>$B385&lt;&gt;""</formula>
    </cfRule>
  </conditionalFormatting>
  <conditionalFormatting sqref="S385:S389">
    <cfRule type="expression" dxfId="1562" priority="799" stopIfTrue="1">
      <formula>$C385&lt;&gt;""</formula>
    </cfRule>
  </conditionalFormatting>
  <conditionalFormatting sqref="S385:S389">
    <cfRule type="expression" dxfId="1561" priority="798" stopIfTrue="1">
      <formula>$B385&lt;&gt;""</formula>
    </cfRule>
  </conditionalFormatting>
  <conditionalFormatting sqref="S385:S389">
    <cfRule type="expression" dxfId="1560" priority="797" stopIfTrue="1">
      <formula>$C385&lt;&gt;""</formula>
    </cfRule>
  </conditionalFormatting>
  <conditionalFormatting sqref="S385:S389">
    <cfRule type="expression" dxfId="1559" priority="796" stopIfTrue="1">
      <formula>$B385&lt;&gt;""</formula>
    </cfRule>
  </conditionalFormatting>
  <conditionalFormatting sqref="S385:S389">
    <cfRule type="expression" dxfId="1558" priority="795" stopIfTrue="1">
      <formula>$C385&lt;&gt;""</formula>
    </cfRule>
  </conditionalFormatting>
  <conditionalFormatting sqref="S385:S389">
    <cfRule type="expression" dxfId="1557" priority="794" stopIfTrue="1">
      <formula>$B385&lt;&gt;""</formula>
    </cfRule>
  </conditionalFormatting>
  <conditionalFormatting sqref="S385:S389">
    <cfRule type="expression" dxfId="1556" priority="793" stopIfTrue="1">
      <formula>$C385&lt;&gt;""</formula>
    </cfRule>
  </conditionalFormatting>
  <conditionalFormatting sqref="S385:S389">
    <cfRule type="expression" dxfId="1555" priority="792" stopIfTrue="1">
      <formula>$B385&lt;&gt;""</formula>
    </cfRule>
  </conditionalFormatting>
  <conditionalFormatting sqref="S385:S389">
    <cfRule type="expression" dxfId="1554" priority="791" stopIfTrue="1">
      <formula>$C385&lt;&gt;""</formula>
    </cfRule>
  </conditionalFormatting>
  <conditionalFormatting sqref="S385:S389">
    <cfRule type="expression" dxfId="1553" priority="790" stopIfTrue="1">
      <formula>$B385&lt;&gt;""</formula>
    </cfRule>
  </conditionalFormatting>
  <conditionalFormatting sqref="S385:S389">
    <cfRule type="expression" dxfId="1552" priority="789" stopIfTrue="1">
      <formula>$C385&lt;&gt;""</formula>
    </cfRule>
  </conditionalFormatting>
  <conditionalFormatting sqref="S385:S389">
    <cfRule type="expression" dxfId="1551" priority="788" stopIfTrue="1">
      <formula>$B385&lt;&gt;""</formula>
    </cfRule>
  </conditionalFormatting>
  <conditionalFormatting sqref="S385:S389">
    <cfRule type="expression" dxfId="1550" priority="787" stopIfTrue="1">
      <formula>$C385&lt;&gt;""</formula>
    </cfRule>
  </conditionalFormatting>
  <conditionalFormatting sqref="S385:S388">
    <cfRule type="expression" dxfId="1549" priority="786" stopIfTrue="1">
      <formula>$B385&lt;&gt;""</formula>
    </cfRule>
  </conditionalFormatting>
  <conditionalFormatting sqref="S385:S388">
    <cfRule type="expression" dxfId="1548" priority="785" stopIfTrue="1">
      <formula>$C385&lt;&gt;""</formula>
    </cfRule>
  </conditionalFormatting>
  <conditionalFormatting sqref="S389">
    <cfRule type="expression" dxfId="1547" priority="784" stopIfTrue="1">
      <formula>$B389&lt;&gt;""</formula>
    </cfRule>
  </conditionalFormatting>
  <conditionalFormatting sqref="S389">
    <cfRule type="expression" dxfId="1546" priority="783" stopIfTrue="1">
      <formula>$C389&lt;&gt;""</formula>
    </cfRule>
  </conditionalFormatting>
  <conditionalFormatting sqref="S385:S387">
    <cfRule type="expression" dxfId="1545" priority="782" stopIfTrue="1">
      <formula>$B385&lt;&gt;""</formula>
    </cfRule>
  </conditionalFormatting>
  <conditionalFormatting sqref="S385:S387">
    <cfRule type="expression" dxfId="1544" priority="781" stopIfTrue="1">
      <formula>$C385&lt;&gt;""</formula>
    </cfRule>
  </conditionalFormatting>
  <conditionalFormatting sqref="S388:S389">
    <cfRule type="expression" dxfId="1543" priority="780" stopIfTrue="1">
      <formula>$B388&lt;&gt;""</formula>
    </cfRule>
  </conditionalFormatting>
  <conditionalFormatting sqref="S388:S389">
    <cfRule type="expression" dxfId="1542" priority="779" stopIfTrue="1">
      <formula>$C388&lt;&gt;""</formula>
    </cfRule>
  </conditionalFormatting>
  <conditionalFormatting sqref="S385:S388">
    <cfRule type="expression" dxfId="1541" priority="778" stopIfTrue="1">
      <formula>$B385&lt;&gt;""</formula>
    </cfRule>
  </conditionalFormatting>
  <conditionalFormatting sqref="S385:S388">
    <cfRule type="expression" dxfId="1540" priority="777" stopIfTrue="1">
      <formula>$C385&lt;&gt;""</formula>
    </cfRule>
  </conditionalFormatting>
  <conditionalFormatting sqref="S385:S388">
    <cfRule type="expression" dxfId="1539" priority="776" stopIfTrue="1">
      <formula>$B385&lt;&gt;""</formula>
    </cfRule>
  </conditionalFormatting>
  <conditionalFormatting sqref="S385:S388">
    <cfRule type="expression" dxfId="1538" priority="775" stopIfTrue="1">
      <formula>$C385&lt;&gt;""</formula>
    </cfRule>
  </conditionalFormatting>
  <conditionalFormatting sqref="S389">
    <cfRule type="expression" dxfId="1537" priority="774" stopIfTrue="1">
      <formula>$B389&lt;&gt;""</formula>
    </cfRule>
  </conditionalFormatting>
  <conditionalFormatting sqref="S389">
    <cfRule type="expression" dxfId="1536" priority="773" stopIfTrue="1">
      <formula>$C389&lt;&gt;""</formula>
    </cfRule>
  </conditionalFormatting>
  <conditionalFormatting sqref="S385:S388">
    <cfRule type="expression" dxfId="1535" priority="772" stopIfTrue="1">
      <formula>$B385&lt;&gt;""</formula>
    </cfRule>
  </conditionalFormatting>
  <conditionalFormatting sqref="S385:S388">
    <cfRule type="expression" dxfId="1534" priority="771" stopIfTrue="1">
      <formula>$C385&lt;&gt;""</formula>
    </cfRule>
  </conditionalFormatting>
  <conditionalFormatting sqref="S389">
    <cfRule type="expression" dxfId="1533" priority="770" stopIfTrue="1">
      <formula>$B389&lt;&gt;""</formula>
    </cfRule>
  </conditionalFormatting>
  <conditionalFormatting sqref="S389">
    <cfRule type="expression" dxfId="1532" priority="769" stopIfTrue="1">
      <formula>$C389&lt;&gt;""</formula>
    </cfRule>
  </conditionalFormatting>
  <conditionalFormatting sqref="S389">
    <cfRule type="expression" dxfId="1531" priority="768" stopIfTrue="1">
      <formula>$B389&lt;&gt;""</formula>
    </cfRule>
  </conditionalFormatting>
  <conditionalFormatting sqref="S389">
    <cfRule type="expression" dxfId="1530" priority="767" stopIfTrue="1">
      <formula>$C389&lt;&gt;""</formula>
    </cfRule>
  </conditionalFormatting>
  <conditionalFormatting sqref="S385">
    <cfRule type="expression" dxfId="1529" priority="766" stopIfTrue="1">
      <formula>$C385&lt;&gt;""</formula>
    </cfRule>
  </conditionalFormatting>
  <conditionalFormatting sqref="S385">
    <cfRule type="expression" dxfId="1528" priority="765" stopIfTrue="1">
      <formula>$B385&lt;&gt;""</formula>
    </cfRule>
  </conditionalFormatting>
  <conditionalFormatting sqref="S386:S389">
    <cfRule type="expression" dxfId="1527" priority="764" stopIfTrue="1">
      <formula>$C386&lt;&gt;""</formula>
    </cfRule>
  </conditionalFormatting>
  <conditionalFormatting sqref="S386:S389">
    <cfRule type="expression" dxfId="1526" priority="763" stopIfTrue="1">
      <formula>$B386&lt;&gt;""</formula>
    </cfRule>
  </conditionalFormatting>
  <conditionalFormatting sqref="S388:S389">
    <cfRule type="expression" dxfId="1525" priority="762" stopIfTrue="1">
      <formula>$C388&lt;&gt;""</formula>
    </cfRule>
  </conditionalFormatting>
  <conditionalFormatting sqref="S388:S389">
    <cfRule type="expression" dxfId="1524" priority="761" stopIfTrue="1">
      <formula>$B388&lt;&gt;""</formula>
    </cfRule>
  </conditionalFormatting>
  <conditionalFormatting sqref="S385:S388">
    <cfRule type="expression" dxfId="1523" priority="760" stopIfTrue="1">
      <formula>$B385&lt;&gt;""</formula>
    </cfRule>
  </conditionalFormatting>
  <conditionalFormatting sqref="S385:S388">
    <cfRule type="expression" dxfId="1522" priority="759" stopIfTrue="1">
      <formula>$C385&lt;&gt;""</formula>
    </cfRule>
  </conditionalFormatting>
  <conditionalFormatting sqref="S389">
    <cfRule type="expression" dxfId="1521" priority="758" stopIfTrue="1">
      <formula>$B389&lt;&gt;""</formula>
    </cfRule>
  </conditionalFormatting>
  <conditionalFormatting sqref="S389">
    <cfRule type="expression" dxfId="1520" priority="757" stopIfTrue="1">
      <formula>$C389&lt;&gt;""</formula>
    </cfRule>
  </conditionalFormatting>
  <conditionalFormatting sqref="S385:S387">
    <cfRule type="expression" dxfId="1519" priority="756" stopIfTrue="1">
      <formula>$B385&lt;&gt;""</formula>
    </cfRule>
  </conditionalFormatting>
  <conditionalFormatting sqref="S385:S387">
    <cfRule type="expression" dxfId="1518" priority="755" stopIfTrue="1">
      <formula>$C385&lt;&gt;""</formula>
    </cfRule>
  </conditionalFormatting>
  <conditionalFormatting sqref="S388:S389">
    <cfRule type="expression" dxfId="1517" priority="754" stopIfTrue="1">
      <formula>$B388&lt;&gt;""</formula>
    </cfRule>
  </conditionalFormatting>
  <conditionalFormatting sqref="S388:S389">
    <cfRule type="expression" dxfId="1516" priority="753" stopIfTrue="1">
      <formula>$C388&lt;&gt;""</formula>
    </cfRule>
  </conditionalFormatting>
  <conditionalFormatting sqref="S385:S388">
    <cfRule type="expression" dxfId="1515" priority="752" stopIfTrue="1">
      <formula>$B385&lt;&gt;""</formula>
    </cfRule>
  </conditionalFormatting>
  <conditionalFormatting sqref="S385:S388">
    <cfRule type="expression" dxfId="1514" priority="751" stopIfTrue="1">
      <formula>$C385&lt;&gt;""</formula>
    </cfRule>
  </conditionalFormatting>
  <conditionalFormatting sqref="S385:S388">
    <cfRule type="expression" dxfId="1513" priority="750" stopIfTrue="1">
      <formula>$B385&lt;&gt;""</formula>
    </cfRule>
  </conditionalFormatting>
  <conditionalFormatting sqref="S385:S388">
    <cfRule type="expression" dxfId="1512" priority="749" stopIfTrue="1">
      <formula>$C385&lt;&gt;""</formula>
    </cfRule>
  </conditionalFormatting>
  <conditionalFormatting sqref="S389">
    <cfRule type="expression" dxfId="1511" priority="748" stopIfTrue="1">
      <formula>$B389&lt;&gt;""</formula>
    </cfRule>
  </conditionalFormatting>
  <conditionalFormatting sqref="S389">
    <cfRule type="expression" dxfId="1510" priority="747" stopIfTrue="1">
      <formula>$C389&lt;&gt;""</formula>
    </cfRule>
  </conditionalFormatting>
  <conditionalFormatting sqref="S385:S388">
    <cfRule type="expression" dxfId="1509" priority="746" stopIfTrue="1">
      <formula>$B385&lt;&gt;""</formula>
    </cfRule>
  </conditionalFormatting>
  <conditionalFormatting sqref="S385:S388">
    <cfRule type="expression" dxfId="1508" priority="745" stopIfTrue="1">
      <formula>$C385&lt;&gt;""</formula>
    </cfRule>
  </conditionalFormatting>
  <conditionalFormatting sqref="S389">
    <cfRule type="expression" dxfId="1507" priority="744" stopIfTrue="1">
      <formula>$B389&lt;&gt;""</formula>
    </cfRule>
  </conditionalFormatting>
  <conditionalFormatting sqref="S389">
    <cfRule type="expression" dxfId="1506" priority="743" stopIfTrue="1">
      <formula>$C389&lt;&gt;""</formula>
    </cfRule>
  </conditionalFormatting>
  <conditionalFormatting sqref="S389">
    <cfRule type="expression" dxfId="1505" priority="742" stopIfTrue="1">
      <formula>$B389&lt;&gt;""</formula>
    </cfRule>
  </conditionalFormatting>
  <conditionalFormatting sqref="S389">
    <cfRule type="expression" dxfId="1504" priority="741" stopIfTrue="1">
      <formula>$C389&lt;&gt;""</formula>
    </cfRule>
  </conditionalFormatting>
  <conditionalFormatting sqref="S385">
    <cfRule type="expression" dxfId="1503" priority="740" stopIfTrue="1">
      <formula>$C385&lt;&gt;""</formula>
    </cfRule>
  </conditionalFormatting>
  <conditionalFormatting sqref="S385">
    <cfRule type="expression" dxfId="1502" priority="739" stopIfTrue="1">
      <formula>$B385&lt;&gt;""</formula>
    </cfRule>
  </conditionalFormatting>
  <conditionalFormatting sqref="S386:S389">
    <cfRule type="expression" dxfId="1501" priority="738" stopIfTrue="1">
      <formula>$C386&lt;&gt;""</formula>
    </cfRule>
  </conditionalFormatting>
  <conditionalFormatting sqref="S386:S389">
    <cfRule type="expression" dxfId="1500" priority="737" stopIfTrue="1">
      <formula>$B386&lt;&gt;""</formula>
    </cfRule>
  </conditionalFormatting>
  <conditionalFormatting sqref="S388:S389">
    <cfRule type="expression" dxfId="1499" priority="736" stopIfTrue="1">
      <formula>$C388&lt;&gt;""</formula>
    </cfRule>
  </conditionalFormatting>
  <conditionalFormatting sqref="S388:S389">
    <cfRule type="expression" dxfId="1498" priority="735" stopIfTrue="1">
      <formula>$B388&lt;&gt;""</formula>
    </cfRule>
  </conditionalFormatting>
  <conditionalFormatting sqref="S385">
    <cfRule type="expression" dxfId="1497" priority="734" stopIfTrue="1">
      <formula>$B385&lt;&gt;""</formula>
    </cfRule>
  </conditionalFormatting>
  <conditionalFormatting sqref="S385">
    <cfRule type="expression" dxfId="1496" priority="733" stopIfTrue="1">
      <formula>$C385&lt;&gt;""</formula>
    </cfRule>
  </conditionalFormatting>
  <conditionalFormatting sqref="S385">
    <cfRule type="expression" dxfId="1495" priority="732" stopIfTrue="1">
      <formula>$B385&lt;&gt;""</formula>
    </cfRule>
  </conditionalFormatting>
  <conditionalFormatting sqref="S385">
    <cfRule type="expression" dxfId="1494" priority="731" stopIfTrue="1">
      <formula>$C385&lt;&gt;""</formula>
    </cfRule>
  </conditionalFormatting>
  <conditionalFormatting sqref="S385">
    <cfRule type="expression" dxfId="1493" priority="730" stopIfTrue="1">
      <formula>$B385&lt;&gt;""</formula>
    </cfRule>
  </conditionalFormatting>
  <conditionalFormatting sqref="S385">
    <cfRule type="expression" dxfId="1492" priority="729" stopIfTrue="1">
      <formula>$C385&lt;&gt;""</formula>
    </cfRule>
  </conditionalFormatting>
  <conditionalFormatting sqref="S385">
    <cfRule type="expression" dxfId="1491" priority="728" stopIfTrue="1">
      <formula>$B385&lt;&gt;""</formula>
    </cfRule>
  </conditionalFormatting>
  <conditionalFormatting sqref="S385">
    <cfRule type="expression" dxfId="1490" priority="727" stopIfTrue="1">
      <formula>$C385&lt;&gt;""</formula>
    </cfRule>
  </conditionalFormatting>
  <conditionalFormatting sqref="S385">
    <cfRule type="expression" dxfId="1489" priority="726" stopIfTrue="1">
      <formula>$B385&lt;&gt;""</formula>
    </cfRule>
  </conditionalFormatting>
  <conditionalFormatting sqref="S385">
    <cfRule type="expression" dxfId="1488" priority="725" stopIfTrue="1">
      <formula>$C385&lt;&gt;""</formula>
    </cfRule>
  </conditionalFormatting>
  <conditionalFormatting sqref="S385">
    <cfRule type="expression" dxfId="1487" priority="724" stopIfTrue="1">
      <formula>$B385&lt;&gt;""</formula>
    </cfRule>
  </conditionalFormatting>
  <conditionalFormatting sqref="S385">
    <cfRule type="expression" dxfId="1486" priority="723" stopIfTrue="1">
      <formula>$C385&lt;&gt;""</formula>
    </cfRule>
  </conditionalFormatting>
  <conditionalFormatting sqref="S385">
    <cfRule type="expression" dxfId="1485" priority="722" stopIfTrue="1">
      <formula>$B385&lt;&gt;""</formula>
    </cfRule>
  </conditionalFormatting>
  <conditionalFormatting sqref="S385">
    <cfRule type="expression" dxfId="1484" priority="721" stopIfTrue="1">
      <formula>$C385&lt;&gt;""</formula>
    </cfRule>
  </conditionalFormatting>
  <conditionalFormatting sqref="S385">
    <cfRule type="expression" dxfId="1483" priority="720" stopIfTrue="1">
      <formula>$B385&lt;&gt;""</formula>
    </cfRule>
  </conditionalFormatting>
  <conditionalFormatting sqref="S385">
    <cfRule type="expression" dxfId="1482" priority="719" stopIfTrue="1">
      <formula>$C385&lt;&gt;""</formula>
    </cfRule>
  </conditionalFormatting>
  <conditionalFormatting sqref="S385">
    <cfRule type="expression" dxfId="1481" priority="718" stopIfTrue="1">
      <formula>$B385&lt;&gt;""</formula>
    </cfRule>
  </conditionalFormatting>
  <conditionalFormatting sqref="S385">
    <cfRule type="expression" dxfId="1480" priority="717" stopIfTrue="1">
      <formula>$C385&lt;&gt;""</formula>
    </cfRule>
  </conditionalFormatting>
  <conditionalFormatting sqref="S385">
    <cfRule type="expression" dxfId="1479" priority="716" stopIfTrue="1">
      <formula>$B385&lt;&gt;""</formula>
    </cfRule>
  </conditionalFormatting>
  <conditionalFormatting sqref="S385">
    <cfRule type="expression" dxfId="1478" priority="715" stopIfTrue="1">
      <formula>$C385&lt;&gt;""</formula>
    </cfRule>
  </conditionalFormatting>
  <conditionalFormatting sqref="S385">
    <cfRule type="expression" dxfId="1477" priority="714" stopIfTrue="1">
      <formula>$B385&lt;&gt;""</formula>
    </cfRule>
  </conditionalFormatting>
  <conditionalFormatting sqref="S385">
    <cfRule type="expression" dxfId="1476" priority="713" stopIfTrue="1">
      <formula>$C385&lt;&gt;""</formula>
    </cfRule>
  </conditionalFormatting>
  <conditionalFormatting sqref="S385">
    <cfRule type="expression" dxfId="1475" priority="712" stopIfTrue="1">
      <formula>$B385&lt;&gt;""</formula>
    </cfRule>
  </conditionalFormatting>
  <conditionalFormatting sqref="S385">
    <cfRule type="expression" dxfId="1474" priority="711" stopIfTrue="1">
      <formula>$C385&lt;&gt;""</formula>
    </cfRule>
  </conditionalFormatting>
  <conditionalFormatting sqref="S385">
    <cfRule type="expression" dxfId="1473" priority="710" stopIfTrue="1">
      <formula>$B385&lt;&gt;""</formula>
    </cfRule>
  </conditionalFormatting>
  <conditionalFormatting sqref="S385">
    <cfRule type="expression" dxfId="1472" priority="709" stopIfTrue="1">
      <formula>$C385&lt;&gt;""</formula>
    </cfRule>
  </conditionalFormatting>
  <conditionalFormatting sqref="S385">
    <cfRule type="expression" dxfId="1471" priority="708" stopIfTrue="1">
      <formula>$B385&lt;&gt;""</formula>
    </cfRule>
  </conditionalFormatting>
  <conditionalFormatting sqref="S385">
    <cfRule type="expression" dxfId="1470" priority="707" stopIfTrue="1">
      <formula>$C385&lt;&gt;""</formula>
    </cfRule>
  </conditionalFormatting>
  <conditionalFormatting sqref="S385">
    <cfRule type="expression" dxfId="1469" priority="706" stopIfTrue="1">
      <formula>$C385&lt;&gt;""</formula>
    </cfRule>
  </conditionalFormatting>
  <conditionalFormatting sqref="S385">
    <cfRule type="expression" dxfId="1468" priority="705" stopIfTrue="1">
      <formula>$B385&lt;&gt;""</formula>
    </cfRule>
  </conditionalFormatting>
  <conditionalFormatting sqref="S385">
    <cfRule type="expression" dxfId="1467" priority="704" stopIfTrue="1">
      <formula>$C385&lt;&gt;""</formula>
    </cfRule>
  </conditionalFormatting>
  <conditionalFormatting sqref="S385">
    <cfRule type="expression" dxfId="1466" priority="703" stopIfTrue="1">
      <formula>$B385&lt;&gt;""</formula>
    </cfRule>
  </conditionalFormatting>
  <conditionalFormatting sqref="S385">
    <cfRule type="expression" dxfId="1465" priority="702" stopIfTrue="1">
      <formula>$B385&lt;&gt;""</formula>
    </cfRule>
  </conditionalFormatting>
  <conditionalFormatting sqref="S385">
    <cfRule type="expression" dxfId="1464" priority="701" stopIfTrue="1">
      <formula>$C385&lt;&gt;""</formula>
    </cfRule>
  </conditionalFormatting>
  <conditionalFormatting sqref="S385">
    <cfRule type="expression" dxfId="1463" priority="700" stopIfTrue="1">
      <formula>$B385&lt;&gt;""</formula>
    </cfRule>
  </conditionalFormatting>
  <conditionalFormatting sqref="S385">
    <cfRule type="expression" dxfId="1462" priority="699" stopIfTrue="1">
      <formula>$C385&lt;&gt;""</formula>
    </cfRule>
  </conditionalFormatting>
  <conditionalFormatting sqref="S385">
    <cfRule type="expression" dxfId="1461" priority="698" stopIfTrue="1">
      <formula>$B385&lt;&gt;""</formula>
    </cfRule>
  </conditionalFormatting>
  <conditionalFormatting sqref="S385">
    <cfRule type="expression" dxfId="1460" priority="697" stopIfTrue="1">
      <formula>$C385&lt;&gt;""</formula>
    </cfRule>
  </conditionalFormatting>
  <conditionalFormatting sqref="S385">
    <cfRule type="expression" dxfId="1459" priority="696" stopIfTrue="1">
      <formula>$B385&lt;&gt;""</formula>
    </cfRule>
  </conditionalFormatting>
  <conditionalFormatting sqref="S385">
    <cfRule type="expression" dxfId="1458" priority="695" stopIfTrue="1">
      <formula>$C385&lt;&gt;""</formula>
    </cfRule>
  </conditionalFormatting>
  <conditionalFormatting sqref="S385">
    <cfRule type="expression" dxfId="1457" priority="694" stopIfTrue="1">
      <formula>$B385&lt;&gt;""</formula>
    </cfRule>
  </conditionalFormatting>
  <conditionalFormatting sqref="S385">
    <cfRule type="expression" dxfId="1456" priority="693" stopIfTrue="1">
      <formula>$C385&lt;&gt;""</formula>
    </cfRule>
  </conditionalFormatting>
  <conditionalFormatting sqref="S385">
    <cfRule type="expression" dxfId="1455" priority="692" stopIfTrue="1">
      <formula>$C385&lt;&gt;""</formula>
    </cfRule>
  </conditionalFormatting>
  <conditionalFormatting sqref="S385">
    <cfRule type="expression" dxfId="1454" priority="691" stopIfTrue="1">
      <formula>$B385&lt;&gt;""</formula>
    </cfRule>
  </conditionalFormatting>
  <conditionalFormatting sqref="S385">
    <cfRule type="expression" dxfId="1453" priority="690" stopIfTrue="1">
      <formula>$C385&lt;&gt;""</formula>
    </cfRule>
  </conditionalFormatting>
  <conditionalFormatting sqref="S385">
    <cfRule type="expression" dxfId="1452" priority="689" stopIfTrue="1">
      <formula>$B385&lt;&gt;""</formula>
    </cfRule>
  </conditionalFormatting>
  <conditionalFormatting sqref="S385">
    <cfRule type="expression" dxfId="1451" priority="688" stopIfTrue="1">
      <formula>$B385&lt;&gt;""</formula>
    </cfRule>
  </conditionalFormatting>
  <conditionalFormatting sqref="S385">
    <cfRule type="expression" dxfId="1450" priority="687" stopIfTrue="1">
      <formula>$C385&lt;&gt;""</formula>
    </cfRule>
  </conditionalFormatting>
  <conditionalFormatting sqref="S386">
    <cfRule type="expression" dxfId="1449" priority="686" stopIfTrue="1">
      <formula>$B386&lt;&gt;""</formula>
    </cfRule>
  </conditionalFormatting>
  <conditionalFormatting sqref="S386">
    <cfRule type="expression" dxfId="1448" priority="685" stopIfTrue="1">
      <formula>$C386&lt;&gt;""</formula>
    </cfRule>
  </conditionalFormatting>
  <conditionalFormatting sqref="S385">
    <cfRule type="expression" dxfId="1447" priority="684" stopIfTrue="1">
      <formula>$B385&lt;&gt;""</formula>
    </cfRule>
  </conditionalFormatting>
  <conditionalFormatting sqref="S385">
    <cfRule type="expression" dxfId="1446" priority="683" stopIfTrue="1">
      <formula>$C385&lt;&gt;""</formula>
    </cfRule>
  </conditionalFormatting>
  <conditionalFormatting sqref="S386:S389">
    <cfRule type="expression" dxfId="1445" priority="682" stopIfTrue="1">
      <formula>$B386&lt;&gt;""</formula>
    </cfRule>
  </conditionalFormatting>
  <conditionalFormatting sqref="S386:S389">
    <cfRule type="expression" dxfId="1444" priority="681" stopIfTrue="1">
      <formula>$C386&lt;&gt;""</formula>
    </cfRule>
  </conditionalFormatting>
  <conditionalFormatting sqref="S385">
    <cfRule type="expression" dxfId="1443" priority="680" stopIfTrue="1">
      <formula>$B385&lt;&gt;""</formula>
    </cfRule>
  </conditionalFormatting>
  <conditionalFormatting sqref="S385">
    <cfRule type="expression" dxfId="1442" priority="679" stopIfTrue="1">
      <formula>$C385&lt;&gt;""</formula>
    </cfRule>
  </conditionalFormatting>
  <conditionalFormatting sqref="S386:S389">
    <cfRule type="expression" dxfId="1441" priority="678" stopIfTrue="1">
      <formula>$B386&lt;&gt;""</formula>
    </cfRule>
  </conditionalFormatting>
  <conditionalFormatting sqref="S386:S389">
    <cfRule type="expression" dxfId="1440" priority="677" stopIfTrue="1">
      <formula>$C386&lt;&gt;""</formula>
    </cfRule>
  </conditionalFormatting>
  <conditionalFormatting sqref="S385:S389">
    <cfRule type="expression" dxfId="1439" priority="676" stopIfTrue="1">
      <formula>$B385&lt;&gt;""</formula>
    </cfRule>
  </conditionalFormatting>
  <conditionalFormatting sqref="S385:S389">
    <cfRule type="expression" dxfId="1438" priority="675" stopIfTrue="1">
      <formula>$C385&lt;&gt;""</formula>
    </cfRule>
  </conditionalFormatting>
  <conditionalFormatting sqref="S385:S389">
    <cfRule type="expression" dxfId="1437" priority="674" stopIfTrue="1">
      <formula>$B385&lt;&gt;""</formula>
    </cfRule>
  </conditionalFormatting>
  <conditionalFormatting sqref="S385:S389">
    <cfRule type="expression" dxfId="1436" priority="673" stopIfTrue="1">
      <formula>$C385&lt;&gt;""</formula>
    </cfRule>
  </conditionalFormatting>
  <conditionalFormatting sqref="S385:S389">
    <cfRule type="expression" dxfId="1435" priority="672" stopIfTrue="1">
      <formula>$B385&lt;&gt;""</formula>
    </cfRule>
  </conditionalFormatting>
  <conditionalFormatting sqref="S385:S389">
    <cfRule type="expression" dxfId="1434" priority="671" stopIfTrue="1">
      <formula>$C385&lt;&gt;""</formula>
    </cfRule>
  </conditionalFormatting>
  <conditionalFormatting sqref="S385:S389">
    <cfRule type="expression" dxfId="1433" priority="670" stopIfTrue="1">
      <formula>$B385&lt;&gt;""</formula>
    </cfRule>
  </conditionalFormatting>
  <conditionalFormatting sqref="S385:S389">
    <cfRule type="expression" dxfId="1432" priority="669" stopIfTrue="1">
      <formula>$C385&lt;&gt;""</formula>
    </cfRule>
  </conditionalFormatting>
  <conditionalFormatting sqref="S385:S389">
    <cfRule type="expression" dxfId="1431" priority="668" stopIfTrue="1">
      <formula>$B385&lt;&gt;""</formula>
    </cfRule>
  </conditionalFormatting>
  <conditionalFormatting sqref="S385:S389">
    <cfRule type="expression" dxfId="1430" priority="667" stopIfTrue="1">
      <formula>$C385&lt;&gt;""</formula>
    </cfRule>
  </conditionalFormatting>
  <conditionalFormatting sqref="S385:S389">
    <cfRule type="expression" dxfId="1429" priority="666" stopIfTrue="1">
      <formula>$B385&lt;&gt;""</formula>
    </cfRule>
  </conditionalFormatting>
  <conditionalFormatting sqref="S385:S389">
    <cfRule type="expression" dxfId="1428" priority="665" stopIfTrue="1">
      <formula>$C385&lt;&gt;""</formula>
    </cfRule>
  </conditionalFormatting>
  <conditionalFormatting sqref="S385:S389">
    <cfRule type="expression" dxfId="1427" priority="664" stopIfTrue="1">
      <formula>$B385&lt;&gt;""</formula>
    </cfRule>
  </conditionalFormatting>
  <conditionalFormatting sqref="S385:S389">
    <cfRule type="expression" dxfId="1426" priority="663" stopIfTrue="1">
      <formula>$C385&lt;&gt;""</formula>
    </cfRule>
  </conditionalFormatting>
  <conditionalFormatting sqref="S385:S388">
    <cfRule type="expression" dxfId="1425" priority="662" stopIfTrue="1">
      <formula>$B385&lt;&gt;""</formula>
    </cfRule>
  </conditionalFormatting>
  <conditionalFormatting sqref="S385:S388">
    <cfRule type="expression" dxfId="1424" priority="661" stopIfTrue="1">
      <formula>$C385&lt;&gt;""</formula>
    </cfRule>
  </conditionalFormatting>
  <conditionalFormatting sqref="S389">
    <cfRule type="expression" dxfId="1423" priority="660" stopIfTrue="1">
      <formula>$B389&lt;&gt;""</formula>
    </cfRule>
  </conditionalFormatting>
  <conditionalFormatting sqref="S389">
    <cfRule type="expression" dxfId="1422" priority="659" stopIfTrue="1">
      <formula>$C389&lt;&gt;""</formula>
    </cfRule>
  </conditionalFormatting>
  <conditionalFormatting sqref="S385:S387">
    <cfRule type="expression" dxfId="1421" priority="658" stopIfTrue="1">
      <formula>$B385&lt;&gt;""</formula>
    </cfRule>
  </conditionalFormatting>
  <conditionalFormatting sqref="S385:S387">
    <cfRule type="expression" dxfId="1420" priority="657" stopIfTrue="1">
      <formula>$C385&lt;&gt;""</formula>
    </cfRule>
  </conditionalFormatting>
  <conditionalFormatting sqref="S388:S389">
    <cfRule type="expression" dxfId="1419" priority="656" stopIfTrue="1">
      <formula>$B388&lt;&gt;""</formula>
    </cfRule>
  </conditionalFormatting>
  <conditionalFormatting sqref="S388:S389">
    <cfRule type="expression" dxfId="1418" priority="655" stopIfTrue="1">
      <formula>$C388&lt;&gt;""</formula>
    </cfRule>
  </conditionalFormatting>
  <conditionalFormatting sqref="S385:S388">
    <cfRule type="expression" dxfId="1417" priority="654" stopIfTrue="1">
      <formula>$B385&lt;&gt;""</formula>
    </cfRule>
  </conditionalFormatting>
  <conditionalFormatting sqref="S385:S388">
    <cfRule type="expression" dxfId="1416" priority="653" stopIfTrue="1">
      <formula>$C385&lt;&gt;""</formula>
    </cfRule>
  </conditionalFormatting>
  <conditionalFormatting sqref="S385:S388">
    <cfRule type="expression" dxfId="1415" priority="652" stopIfTrue="1">
      <formula>$B385&lt;&gt;""</formula>
    </cfRule>
  </conditionalFormatting>
  <conditionalFormatting sqref="S385:S388">
    <cfRule type="expression" dxfId="1414" priority="651" stopIfTrue="1">
      <formula>$C385&lt;&gt;""</formula>
    </cfRule>
  </conditionalFormatting>
  <conditionalFormatting sqref="S389">
    <cfRule type="expression" dxfId="1413" priority="650" stopIfTrue="1">
      <formula>$B389&lt;&gt;""</formula>
    </cfRule>
  </conditionalFormatting>
  <conditionalFormatting sqref="S389">
    <cfRule type="expression" dxfId="1412" priority="649" stopIfTrue="1">
      <formula>$C389&lt;&gt;""</formula>
    </cfRule>
  </conditionalFormatting>
  <conditionalFormatting sqref="S385:S388">
    <cfRule type="expression" dxfId="1411" priority="648" stopIfTrue="1">
      <formula>$B385&lt;&gt;""</formula>
    </cfRule>
  </conditionalFormatting>
  <conditionalFormatting sqref="S385:S388">
    <cfRule type="expression" dxfId="1410" priority="647" stopIfTrue="1">
      <formula>$C385&lt;&gt;""</formula>
    </cfRule>
  </conditionalFormatting>
  <conditionalFormatting sqref="S389">
    <cfRule type="expression" dxfId="1409" priority="646" stopIfTrue="1">
      <formula>$B389&lt;&gt;""</formula>
    </cfRule>
  </conditionalFormatting>
  <conditionalFormatting sqref="S389">
    <cfRule type="expression" dxfId="1408" priority="645" stopIfTrue="1">
      <formula>$C389&lt;&gt;""</formula>
    </cfRule>
  </conditionalFormatting>
  <conditionalFormatting sqref="S389">
    <cfRule type="expression" dxfId="1407" priority="644" stopIfTrue="1">
      <formula>$B389&lt;&gt;""</formula>
    </cfRule>
  </conditionalFormatting>
  <conditionalFormatting sqref="S389">
    <cfRule type="expression" dxfId="1406" priority="643" stopIfTrue="1">
      <formula>$C389&lt;&gt;""</formula>
    </cfRule>
  </conditionalFormatting>
  <conditionalFormatting sqref="S385">
    <cfRule type="expression" dxfId="1405" priority="642" stopIfTrue="1">
      <formula>$C385&lt;&gt;""</formula>
    </cfRule>
  </conditionalFormatting>
  <conditionalFormatting sqref="S385">
    <cfRule type="expression" dxfId="1404" priority="641" stopIfTrue="1">
      <formula>$B385&lt;&gt;""</formula>
    </cfRule>
  </conditionalFormatting>
  <conditionalFormatting sqref="S386:S389">
    <cfRule type="expression" dxfId="1403" priority="640" stopIfTrue="1">
      <formula>$C386&lt;&gt;""</formula>
    </cfRule>
  </conditionalFormatting>
  <conditionalFormatting sqref="S386:S389">
    <cfRule type="expression" dxfId="1402" priority="639" stopIfTrue="1">
      <formula>$B386&lt;&gt;""</formula>
    </cfRule>
  </conditionalFormatting>
  <conditionalFormatting sqref="S388:S389">
    <cfRule type="expression" dxfId="1401" priority="638" stopIfTrue="1">
      <formula>$C388&lt;&gt;""</formula>
    </cfRule>
  </conditionalFormatting>
  <conditionalFormatting sqref="S388:S389">
    <cfRule type="expression" dxfId="1400" priority="637" stopIfTrue="1">
      <formula>$B388&lt;&gt;""</formula>
    </cfRule>
  </conditionalFormatting>
  <conditionalFormatting sqref="S385:S388">
    <cfRule type="expression" dxfId="1399" priority="636" stopIfTrue="1">
      <formula>$B385&lt;&gt;""</formula>
    </cfRule>
  </conditionalFormatting>
  <conditionalFormatting sqref="S385:S388">
    <cfRule type="expression" dxfId="1398" priority="635" stopIfTrue="1">
      <formula>$C385&lt;&gt;""</formula>
    </cfRule>
  </conditionalFormatting>
  <conditionalFormatting sqref="S389">
    <cfRule type="expression" dxfId="1397" priority="634" stopIfTrue="1">
      <formula>$B389&lt;&gt;""</formula>
    </cfRule>
  </conditionalFormatting>
  <conditionalFormatting sqref="S389">
    <cfRule type="expression" dxfId="1396" priority="633" stopIfTrue="1">
      <formula>$C389&lt;&gt;""</formula>
    </cfRule>
  </conditionalFormatting>
  <conditionalFormatting sqref="S385:S387">
    <cfRule type="expression" dxfId="1395" priority="632" stopIfTrue="1">
      <formula>$B385&lt;&gt;""</formula>
    </cfRule>
  </conditionalFormatting>
  <conditionalFormatting sqref="S385:S387">
    <cfRule type="expression" dxfId="1394" priority="631" stopIfTrue="1">
      <formula>$C385&lt;&gt;""</formula>
    </cfRule>
  </conditionalFormatting>
  <conditionalFormatting sqref="S388:S389">
    <cfRule type="expression" dxfId="1393" priority="630" stopIfTrue="1">
      <formula>$B388&lt;&gt;""</formula>
    </cfRule>
  </conditionalFormatting>
  <conditionalFormatting sqref="S388:S389">
    <cfRule type="expression" dxfId="1392" priority="629" stopIfTrue="1">
      <formula>$C388&lt;&gt;""</formula>
    </cfRule>
  </conditionalFormatting>
  <conditionalFormatting sqref="S385:S388">
    <cfRule type="expression" dxfId="1391" priority="628" stopIfTrue="1">
      <formula>$B385&lt;&gt;""</formula>
    </cfRule>
  </conditionalFormatting>
  <conditionalFormatting sqref="S385:S388">
    <cfRule type="expression" dxfId="1390" priority="627" stopIfTrue="1">
      <formula>$C385&lt;&gt;""</formula>
    </cfRule>
  </conditionalFormatting>
  <conditionalFormatting sqref="S385:S388">
    <cfRule type="expression" dxfId="1389" priority="626" stopIfTrue="1">
      <formula>$B385&lt;&gt;""</formula>
    </cfRule>
  </conditionalFormatting>
  <conditionalFormatting sqref="S385:S388">
    <cfRule type="expression" dxfId="1388" priority="625" stopIfTrue="1">
      <formula>$C385&lt;&gt;""</formula>
    </cfRule>
  </conditionalFormatting>
  <conditionalFormatting sqref="S389">
    <cfRule type="expression" dxfId="1387" priority="624" stopIfTrue="1">
      <formula>$B389&lt;&gt;""</formula>
    </cfRule>
  </conditionalFormatting>
  <conditionalFormatting sqref="S389">
    <cfRule type="expression" dxfId="1386" priority="623" stopIfTrue="1">
      <formula>$C389&lt;&gt;""</formula>
    </cfRule>
  </conditionalFormatting>
  <conditionalFormatting sqref="S385:S388">
    <cfRule type="expression" dxfId="1385" priority="622" stopIfTrue="1">
      <formula>$B385&lt;&gt;""</formula>
    </cfRule>
  </conditionalFormatting>
  <conditionalFormatting sqref="S385:S388">
    <cfRule type="expression" dxfId="1384" priority="621" stopIfTrue="1">
      <formula>$C385&lt;&gt;""</formula>
    </cfRule>
  </conditionalFormatting>
  <conditionalFormatting sqref="S389">
    <cfRule type="expression" dxfId="1383" priority="620" stopIfTrue="1">
      <formula>$B389&lt;&gt;""</formula>
    </cfRule>
  </conditionalFormatting>
  <conditionalFormatting sqref="S389">
    <cfRule type="expression" dxfId="1382" priority="619" stopIfTrue="1">
      <formula>$C389&lt;&gt;""</formula>
    </cfRule>
  </conditionalFormatting>
  <conditionalFormatting sqref="S389">
    <cfRule type="expression" dxfId="1381" priority="618" stopIfTrue="1">
      <formula>$B389&lt;&gt;""</formula>
    </cfRule>
  </conditionalFormatting>
  <conditionalFormatting sqref="S389">
    <cfRule type="expression" dxfId="1380" priority="617" stopIfTrue="1">
      <formula>$C389&lt;&gt;""</formula>
    </cfRule>
  </conditionalFormatting>
  <conditionalFormatting sqref="S385">
    <cfRule type="expression" dxfId="1379" priority="616" stopIfTrue="1">
      <formula>$C385&lt;&gt;""</formula>
    </cfRule>
  </conditionalFormatting>
  <conditionalFormatting sqref="S385">
    <cfRule type="expression" dxfId="1378" priority="615" stopIfTrue="1">
      <formula>$B385&lt;&gt;""</formula>
    </cfRule>
  </conditionalFormatting>
  <conditionalFormatting sqref="S386:S389">
    <cfRule type="expression" dxfId="1377" priority="614" stopIfTrue="1">
      <formula>$C386&lt;&gt;""</formula>
    </cfRule>
  </conditionalFormatting>
  <conditionalFormatting sqref="S386:S389">
    <cfRule type="expression" dxfId="1376" priority="613" stopIfTrue="1">
      <formula>$B386&lt;&gt;""</formula>
    </cfRule>
  </conditionalFormatting>
  <conditionalFormatting sqref="S388:S389">
    <cfRule type="expression" dxfId="1375" priority="612" stopIfTrue="1">
      <formula>$C388&lt;&gt;""</formula>
    </cfRule>
  </conditionalFormatting>
  <conditionalFormatting sqref="S388:S389">
    <cfRule type="expression" dxfId="1374" priority="611" stopIfTrue="1">
      <formula>$B388&lt;&gt;""</formula>
    </cfRule>
  </conditionalFormatting>
  <conditionalFormatting sqref="S385">
    <cfRule type="expression" dxfId="1373" priority="610" stopIfTrue="1">
      <formula>$B385&lt;&gt;""</formula>
    </cfRule>
  </conditionalFormatting>
  <conditionalFormatting sqref="S385">
    <cfRule type="expression" dxfId="1372" priority="609" stopIfTrue="1">
      <formula>$C385&lt;&gt;""</formula>
    </cfRule>
  </conditionalFormatting>
  <conditionalFormatting sqref="S385">
    <cfRule type="expression" dxfId="1371" priority="608" stopIfTrue="1">
      <formula>$B385&lt;&gt;""</formula>
    </cfRule>
  </conditionalFormatting>
  <conditionalFormatting sqref="S385">
    <cfRule type="expression" dxfId="1370" priority="607" stopIfTrue="1">
      <formula>$C385&lt;&gt;""</formula>
    </cfRule>
  </conditionalFormatting>
  <conditionalFormatting sqref="S385">
    <cfRule type="expression" dxfId="1369" priority="606" stopIfTrue="1">
      <formula>$B385&lt;&gt;""</formula>
    </cfRule>
  </conditionalFormatting>
  <conditionalFormatting sqref="S385">
    <cfRule type="expression" dxfId="1368" priority="605" stopIfTrue="1">
      <formula>$C385&lt;&gt;""</formula>
    </cfRule>
  </conditionalFormatting>
  <conditionalFormatting sqref="S385">
    <cfRule type="expression" dxfId="1367" priority="604" stopIfTrue="1">
      <formula>$B385&lt;&gt;""</formula>
    </cfRule>
  </conditionalFormatting>
  <conditionalFormatting sqref="S385">
    <cfRule type="expression" dxfId="1366" priority="603" stopIfTrue="1">
      <formula>$C385&lt;&gt;""</formula>
    </cfRule>
  </conditionalFormatting>
  <conditionalFormatting sqref="S385">
    <cfRule type="expression" dxfId="1365" priority="602" stopIfTrue="1">
      <formula>$B385&lt;&gt;""</formula>
    </cfRule>
  </conditionalFormatting>
  <conditionalFormatting sqref="S385">
    <cfRule type="expression" dxfId="1364" priority="601" stopIfTrue="1">
      <formula>$C385&lt;&gt;""</formula>
    </cfRule>
  </conditionalFormatting>
  <conditionalFormatting sqref="S385">
    <cfRule type="expression" dxfId="1363" priority="600" stopIfTrue="1">
      <formula>$B385&lt;&gt;""</formula>
    </cfRule>
  </conditionalFormatting>
  <conditionalFormatting sqref="S385">
    <cfRule type="expression" dxfId="1362" priority="599" stopIfTrue="1">
      <formula>$C385&lt;&gt;""</formula>
    </cfRule>
  </conditionalFormatting>
  <conditionalFormatting sqref="S385">
    <cfRule type="expression" dxfId="1361" priority="598" stopIfTrue="1">
      <formula>$B385&lt;&gt;""</formula>
    </cfRule>
  </conditionalFormatting>
  <conditionalFormatting sqref="S385">
    <cfRule type="expression" dxfId="1360" priority="597" stopIfTrue="1">
      <formula>$C385&lt;&gt;""</formula>
    </cfRule>
  </conditionalFormatting>
  <conditionalFormatting sqref="S385">
    <cfRule type="expression" dxfId="1359" priority="596" stopIfTrue="1">
      <formula>$B385&lt;&gt;""</formula>
    </cfRule>
  </conditionalFormatting>
  <conditionalFormatting sqref="S385">
    <cfRule type="expression" dxfId="1358" priority="595" stopIfTrue="1">
      <formula>$C385&lt;&gt;""</formula>
    </cfRule>
  </conditionalFormatting>
  <conditionalFormatting sqref="S385">
    <cfRule type="expression" dxfId="1357" priority="594" stopIfTrue="1">
      <formula>$B385&lt;&gt;""</formula>
    </cfRule>
  </conditionalFormatting>
  <conditionalFormatting sqref="S385">
    <cfRule type="expression" dxfId="1356" priority="593" stopIfTrue="1">
      <formula>$C385&lt;&gt;""</formula>
    </cfRule>
  </conditionalFormatting>
  <conditionalFormatting sqref="S385">
    <cfRule type="expression" dxfId="1355" priority="592" stopIfTrue="1">
      <formula>$B385&lt;&gt;""</formula>
    </cfRule>
  </conditionalFormatting>
  <conditionalFormatting sqref="S385">
    <cfRule type="expression" dxfId="1354" priority="591" stopIfTrue="1">
      <formula>$C385&lt;&gt;""</formula>
    </cfRule>
  </conditionalFormatting>
  <conditionalFormatting sqref="S385">
    <cfRule type="expression" dxfId="1353" priority="590" stopIfTrue="1">
      <formula>$B385&lt;&gt;""</formula>
    </cfRule>
  </conditionalFormatting>
  <conditionalFormatting sqref="S385">
    <cfRule type="expression" dxfId="1352" priority="589" stopIfTrue="1">
      <formula>$C385&lt;&gt;""</formula>
    </cfRule>
  </conditionalFormatting>
  <conditionalFormatting sqref="S385">
    <cfRule type="expression" dxfId="1351" priority="588" stopIfTrue="1">
      <formula>$B385&lt;&gt;""</formula>
    </cfRule>
  </conditionalFormatting>
  <conditionalFormatting sqref="S385">
    <cfRule type="expression" dxfId="1350" priority="587" stopIfTrue="1">
      <formula>$C385&lt;&gt;""</formula>
    </cfRule>
  </conditionalFormatting>
  <conditionalFormatting sqref="S385">
    <cfRule type="expression" dxfId="1349" priority="586" stopIfTrue="1">
      <formula>$B385&lt;&gt;""</formula>
    </cfRule>
  </conditionalFormatting>
  <conditionalFormatting sqref="S385">
    <cfRule type="expression" dxfId="1348" priority="585" stopIfTrue="1">
      <formula>$C385&lt;&gt;""</formula>
    </cfRule>
  </conditionalFormatting>
  <conditionalFormatting sqref="S385">
    <cfRule type="expression" dxfId="1347" priority="584" stopIfTrue="1">
      <formula>$B385&lt;&gt;""</formula>
    </cfRule>
  </conditionalFormatting>
  <conditionalFormatting sqref="S385">
    <cfRule type="expression" dxfId="1346" priority="583" stopIfTrue="1">
      <formula>$C385&lt;&gt;""</formula>
    </cfRule>
  </conditionalFormatting>
  <conditionalFormatting sqref="S385">
    <cfRule type="expression" dxfId="1345" priority="582" stopIfTrue="1">
      <formula>$C385&lt;&gt;""</formula>
    </cfRule>
  </conditionalFormatting>
  <conditionalFormatting sqref="S385">
    <cfRule type="expression" dxfId="1344" priority="581" stopIfTrue="1">
      <formula>$B385&lt;&gt;""</formula>
    </cfRule>
  </conditionalFormatting>
  <conditionalFormatting sqref="S385">
    <cfRule type="expression" dxfId="1343" priority="580" stopIfTrue="1">
      <formula>$C385&lt;&gt;""</formula>
    </cfRule>
  </conditionalFormatting>
  <conditionalFormatting sqref="S385">
    <cfRule type="expression" dxfId="1342" priority="579" stopIfTrue="1">
      <formula>$B385&lt;&gt;""</formula>
    </cfRule>
  </conditionalFormatting>
  <conditionalFormatting sqref="S385">
    <cfRule type="expression" dxfId="1341" priority="578" stopIfTrue="1">
      <formula>$B385&lt;&gt;""</formula>
    </cfRule>
  </conditionalFormatting>
  <conditionalFormatting sqref="S385">
    <cfRule type="expression" dxfId="1340" priority="577" stopIfTrue="1">
      <formula>$C385&lt;&gt;""</formula>
    </cfRule>
  </conditionalFormatting>
  <conditionalFormatting sqref="S385">
    <cfRule type="expression" dxfId="1339" priority="576" stopIfTrue="1">
      <formula>$B385&lt;&gt;""</formula>
    </cfRule>
  </conditionalFormatting>
  <conditionalFormatting sqref="S385">
    <cfRule type="expression" dxfId="1338" priority="575" stopIfTrue="1">
      <formula>$C385&lt;&gt;""</formula>
    </cfRule>
  </conditionalFormatting>
  <conditionalFormatting sqref="S385">
    <cfRule type="expression" dxfId="1337" priority="574" stopIfTrue="1">
      <formula>$B385&lt;&gt;""</formula>
    </cfRule>
  </conditionalFormatting>
  <conditionalFormatting sqref="S385">
    <cfRule type="expression" dxfId="1336" priority="573" stopIfTrue="1">
      <formula>$C385&lt;&gt;""</formula>
    </cfRule>
  </conditionalFormatting>
  <conditionalFormatting sqref="S385">
    <cfRule type="expression" dxfId="1335" priority="572" stopIfTrue="1">
      <formula>$B385&lt;&gt;""</formula>
    </cfRule>
  </conditionalFormatting>
  <conditionalFormatting sqref="S385">
    <cfRule type="expression" dxfId="1334" priority="571" stopIfTrue="1">
      <formula>$C385&lt;&gt;""</formula>
    </cfRule>
  </conditionalFormatting>
  <conditionalFormatting sqref="S385">
    <cfRule type="expression" dxfId="1333" priority="570" stopIfTrue="1">
      <formula>$B385&lt;&gt;""</formula>
    </cfRule>
  </conditionalFormatting>
  <conditionalFormatting sqref="S385">
    <cfRule type="expression" dxfId="1332" priority="569" stopIfTrue="1">
      <formula>$C385&lt;&gt;""</formula>
    </cfRule>
  </conditionalFormatting>
  <conditionalFormatting sqref="S385">
    <cfRule type="expression" dxfId="1331" priority="568" stopIfTrue="1">
      <formula>$C385&lt;&gt;""</formula>
    </cfRule>
  </conditionalFormatting>
  <conditionalFormatting sqref="S385">
    <cfRule type="expression" dxfId="1330" priority="567" stopIfTrue="1">
      <formula>$B385&lt;&gt;""</formula>
    </cfRule>
  </conditionalFormatting>
  <conditionalFormatting sqref="S385">
    <cfRule type="expression" dxfId="1329" priority="566" stopIfTrue="1">
      <formula>$C385&lt;&gt;""</formula>
    </cfRule>
  </conditionalFormatting>
  <conditionalFormatting sqref="S385">
    <cfRule type="expression" dxfId="1328" priority="565" stopIfTrue="1">
      <formula>$B385&lt;&gt;""</formula>
    </cfRule>
  </conditionalFormatting>
  <conditionalFormatting sqref="S385">
    <cfRule type="expression" dxfId="1327" priority="564" stopIfTrue="1">
      <formula>$B385&lt;&gt;""</formula>
    </cfRule>
  </conditionalFormatting>
  <conditionalFormatting sqref="S385">
    <cfRule type="expression" dxfId="1326" priority="563" stopIfTrue="1">
      <formula>$C385&lt;&gt;""</formula>
    </cfRule>
  </conditionalFormatting>
  <conditionalFormatting sqref="S386">
    <cfRule type="expression" dxfId="1325" priority="562" stopIfTrue="1">
      <formula>$B386&lt;&gt;""</formula>
    </cfRule>
  </conditionalFormatting>
  <conditionalFormatting sqref="S386">
    <cfRule type="expression" dxfId="1324" priority="561" stopIfTrue="1">
      <formula>$C386&lt;&gt;""</formula>
    </cfRule>
  </conditionalFormatting>
  <conditionalFormatting sqref="S385">
    <cfRule type="expression" dxfId="1323" priority="560" stopIfTrue="1">
      <formula>$B385&lt;&gt;""</formula>
    </cfRule>
  </conditionalFormatting>
  <conditionalFormatting sqref="S385">
    <cfRule type="expression" dxfId="1322" priority="559" stopIfTrue="1">
      <formula>$C385&lt;&gt;""</formula>
    </cfRule>
  </conditionalFormatting>
  <conditionalFormatting sqref="S386:S389">
    <cfRule type="expression" dxfId="1321" priority="558" stopIfTrue="1">
      <formula>$B386&lt;&gt;""</formula>
    </cfRule>
  </conditionalFormatting>
  <conditionalFormatting sqref="S386:S389">
    <cfRule type="expression" dxfId="1320" priority="557" stopIfTrue="1">
      <formula>$C386&lt;&gt;""</formula>
    </cfRule>
  </conditionalFormatting>
  <conditionalFormatting sqref="S385">
    <cfRule type="expression" dxfId="1319" priority="556" stopIfTrue="1">
      <formula>$B385&lt;&gt;""</formula>
    </cfRule>
  </conditionalFormatting>
  <conditionalFormatting sqref="S385">
    <cfRule type="expression" dxfId="1318" priority="555" stopIfTrue="1">
      <formula>$C385&lt;&gt;""</formula>
    </cfRule>
  </conditionalFormatting>
  <conditionalFormatting sqref="S386:S389">
    <cfRule type="expression" dxfId="1317" priority="554" stopIfTrue="1">
      <formula>$B386&lt;&gt;""</formula>
    </cfRule>
  </conditionalFormatting>
  <conditionalFormatting sqref="S386:S389">
    <cfRule type="expression" dxfId="1316" priority="553" stopIfTrue="1">
      <formula>$C386&lt;&gt;""</formula>
    </cfRule>
  </conditionalFormatting>
  <conditionalFormatting sqref="S385:S389">
    <cfRule type="expression" dxfId="1315" priority="552" stopIfTrue="1">
      <formula>$B385&lt;&gt;""</formula>
    </cfRule>
  </conditionalFormatting>
  <conditionalFormatting sqref="S385:S389">
    <cfRule type="expression" dxfId="1314" priority="551" stopIfTrue="1">
      <formula>$C385&lt;&gt;""</formula>
    </cfRule>
  </conditionalFormatting>
  <conditionalFormatting sqref="S385:S389">
    <cfRule type="expression" dxfId="1313" priority="550" stopIfTrue="1">
      <formula>$B385&lt;&gt;""</formula>
    </cfRule>
  </conditionalFormatting>
  <conditionalFormatting sqref="S385:S389">
    <cfRule type="expression" dxfId="1312" priority="549" stopIfTrue="1">
      <formula>$C385&lt;&gt;""</formula>
    </cfRule>
  </conditionalFormatting>
  <conditionalFormatting sqref="S385:S389">
    <cfRule type="expression" dxfId="1311" priority="548" stopIfTrue="1">
      <formula>$B385&lt;&gt;""</formula>
    </cfRule>
  </conditionalFormatting>
  <conditionalFormatting sqref="S385:S389">
    <cfRule type="expression" dxfId="1310" priority="547" stopIfTrue="1">
      <formula>$C385&lt;&gt;""</formula>
    </cfRule>
  </conditionalFormatting>
  <conditionalFormatting sqref="S385:S389">
    <cfRule type="expression" dxfId="1309" priority="546" stopIfTrue="1">
      <formula>$B385&lt;&gt;""</formula>
    </cfRule>
  </conditionalFormatting>
  <conditionalFormatting sqref="S385:S389">
    <cfRule type="expression" dxfId="1308" priority="545" stopIfTrue="1">
      <formula>$C385&lt;&gt;""</formula>
    </cfRule>
  </conditionalFormatting>
  <conditionalFormatting sqref="S385:S389">
    <cfRule type="expression" dxfId="1307" priority="544" stopIfTrue="1">
      <formula>$B385&lt;&gt;""</formula>
    </cfRule>
  </conditionalFormatting>
  <conditionalFormatting sqref="S385:S389">
    <cfRule type="expression" dxfId="1306" priority="543" stopIfTrue="1">
      <formula>$C385&lt;&gt;""</formula>
    </cfRule>
  </conditionalFormatting>
  <conditionalFormatting sqref="S385:S389">
    <cfRule type="expression" dxfId="1305" priority="542" stopIfTrue="1">
      <formula>$B385&lt;&gt;""</formula>
    </cfRule>
  </conditionalFormatting>
  <conditionalFormatting sqref="S385:S389">
    <cfRule type="expression" dxfId="1304" priority="541" stopIfTrue="1">
      <formula>$C385&lt;&gt;""</formula>
    </cfRule>
  </conditionalFormatting>
  <conditionalFormatting sqref="S385:S389">
    <cfRule type="expression" dxfId="1303" priority="540" stopIfTrue="1">
      <formula>$B385&lt;&gt;""</formula>
    </cfRule>
  </conditionalFormatting>
  <conditionalFormatting sqref="S385:S389">
    <cfRule type="expression" dxfId="1302" priority="539" stopIfTrue="1">
      <formula>$C385&lt;&gt;""</formula>
    </cfRule>
  </conditionalFormatting>
  <conditionalFormatting sqref="S385:S388">
    <cfRule type="expression" dxfId="1301" priority="538" stopIfTrue="1">
      <formula>$B385&lt;&gt;""</formula>
    </cfRule>
  </conditionalFormatting>
  <conditionalFormatting sqref="S385:S388">
    <cfRule type="expression" dxfId="1300" priority="537" stopIfTrue="1">
      <formula>$C385&lt;&gt;""</formula>
    </cfRule>
  </conditionalFormatting>
  <conditionalFormatting sqref="S389">
    <cfRule type="expression" dxfId="1299" priority="536" stopIfTrue="1">
      <formula>$B389&lt;&gt;""</formula>
    </cfRule>
  </conditionalFormatting>
  <conditionalFormatting sqref="S389">
    <cfRule type="expression" dxfId="1298" priority="535" stopIfTrue="1">
      <formula>$C389&lt;&gt;""</formula>
    </cfRule>
  </conditionalFormatting>
  <conditionalFormatting sqref="S385:S387">
    <cfRule type="expression" dxfId="1297" priority="534" stopIfTrue="1">
      <formula>$B385&lt;&gt;""</formula>
    </cfRule>
  </conditionalFormatting>
  <conditionalFormatting sqref="S385:S387">
    <cfRule type="expression" dxfId="1296" priority="533" stopIfTrue="1">
      <formula>$C385&lt;&gt;""</formula>
    </cfRule>
  </conditionalFormatting>
  <conditionalFormatting sqref="S388:S389">
    <cfRule type="expression" dxfId="1295" priority="532" stopIfTrue="1">
      <formula>$B388&lt;&gt;""</formula>
    </cfRule>
  </conditionalFormatting>
  <conditionalFormatting sqref="S388:S389">
    <cfRule type="expression" dxfId="1294" priority="531" stopIfTrue="1">
      <formula>$C388&lt;&gt;""</formula>
    </cfRule>
  </conditionalFormatting>
  <conditionalFormatting sqref="S385:S388">
    <cfRule type="expression" dxfId="1293" priority="530" stopIfTrue="1">
      <formula>$B385&lt;&gt;""</formula>
    </cfRule>
  </conditionalFormatting>
  <conditionalFormatting sqref="S385:S388">
    <cfRule type="expression" dxfId="1292" priority="529" stopIfTrue="1">
      <formula>$C385&lt;&gt;""</formula>
    </cfRule>
  </conditionalFormatting>
  <conditionalFormatting sqref="S385:S388">
    <cfRule type="expression" dxfId="1291" priority="528" stopIfTrue="1">
      <formula>$B385&lt;&gt;""</formula>
    </cfRule>
  </conditionalFormatting>
  <conditionalFormatting sqref="S385:S388">
    <cfRule type="expression" dxfId="1290" priority="527" stopIfTrue="1">
      <formula>$C385&lt;&gt;""</formula>
    </cfRule>
  </conditionalFormatting>
  <conditionalFormatting sqref="S389">
    <cfRule type="expression" dxfId="1289" priority="526" stopIfTrue="1">
      <formula>$B389&lt;&gt;""</formula>
    </cfRule>
  </conditionalFormatting>
  <conditionalFormatting sqref="S389">
    <cfRule type="expression" dxfId="1288" priority="525" stopIfTrue="1">
      <formula>$C389&lt;&gt;""</formula>
    </cfRule>
  </conditionalFormatting>
  <conditionalFormatting sqref="S385:S388">
    <cfRule type="expression" dxfId="1287" priority="524" stopIfTrue="1">
      <formula>$B385&lt;&gt;""</formula>
    </cfRule>
  </conditionalFormatting>
  <conditionalFormatting sqref="S385:S388">
    <cfRule type="expression" dxfId="1286" priority="523" stopIfTrue="1">
      <formula>$C385&lt;&gt;""</formula>
    </cfRule>
  </conditionalFormatting>
  <conditionalFormatting sqref="S389">
    <cfRule type="expression" dxfId="1285" priority="522" stopIfTrue="1">
      <formula>$B389&lt;&gt;""</formula>
    </cfRule>
  </conditionalFormatting>
  <conditionalFormatting sqref="S389">
    <cfRule type="expression" dxfId="1284" priority="521" stopIfTrue="1">
      <formula>$C389&lt;&gt;""</formula>
    </cfRule>
  </conditionalFormatting>
  <conditionalFormatting sqref="S389">
    <cfRule type="expression" dxfId="1283" priority="520" stopIfTrue="1">
      <formula>$B389&lt;&gt;""</formula>
    </cfRule>
  </conditionalFormatting>
  <conditionalFormatting sqref="S389">
    <cfRule type="expression" dxfId="1282" priority="519" stopIfTrue="1">
      <formula>$C389&lt;&gt;""</formula>
    </cfRule>
  </conditionalFormatting>
  <conditionalFormatting sqref="S385">
    <cfRule type="expression" dxfId="1281" priority="518" stopIfTrue="1">
      <formula>$C385&lt;&gt;""</formula>
    </cfRule>
  </conditionalFormatting>
  <conditionalFormatting sqref="S385">
    <cfRule type="expression" dxfId="1280" priority="517" stopIfTrue="1">
      <formula>$B385&lt;&gt;""</formula>
    </cfRule>
  </conditionalFormatting>
  <conditionalFormatting sqref="S386:S389">
    <cfRule type="expression" dxfId="1279" priority="516" stopIfTrue="1">
      <formula>$C386&lt;&gt;""</formula>
    </cfRule>
  </conditionalFormatting>
  <conditionalFormatting sqref="S386:S389">
    <cfRule type="expression" dxfId="1278" priority="515" stopIfTrue="1">
      <formula>$B386&lt;&gt;""</formula>
    </cfRule>
  </conditionalFormatting>
  <conditionalFormatting sqref="S388:S389">
    <cfRule type="expression" dxfId="1277" priority="514" stopIfTrue="1">
      <formula>$C388&lt;&gt;""</formula>
    </cfRule>
  </conditionalFormatting>
  <conditionalFormatting sqref="S388:S389">
    <cfRule type="expression" dxfId="1276" priority="513" stopIfTrue="1">
      <formula>$B388&lt;&gt;""</formula>
    </cfRule>
  </conditionalFormatting>
  <conditionalFormatting sqref="S385:S388">
    <cfRule type="expression" dxfId="1275" priority="512" stopIfTrue="1">
      <formula>$B385&lt;&gt;""</formula>
    </cfRule>
  </conditionalFormatting>
  <conditionalFormatting sqref="S385:S388">
    <cfRule type="expression" dxfId="1274" priority="511" stopIfTrue="1">
      <formula>$C385&lt;&gt;""</formula>
    </cfRule>
  </conditionalFormatting>
  <conditionalFormatting sqref="S389">
    <cfRule type="expression" dxfId="1273" priority="510" stopIfTrue="1">
      <formula>$B389&lt;&gt;""</formula>
    </cfRule>
  </conditionalFormatting>
  <conditionalFormatting sqref="S389">
    <cfRule type="expression" dxfId="1272" priority="509" stopIfTrue="1">
      <formula>$C389&lt;&gt;""</formula>
    </cfRule>
  </conditionalFormatting>
  <conditionalFormatting sqref="S385:S387">
    <cfRule type="expression" dxfId="1271" priority="508" stopIfTrue="1">
      <formula>$B385&lt;&gt;""</formula>
    </cfRule>
  </conditionalFormatting>
  <conditionalFormatting sqref="S385:S387">
    <cfRule type="expression" dxfId="1270" priority="507" stopIfTrue="1">
      <formula>$C385&lt;&gt;""</formula>
    </cfRule>
  </conditionalFormatting>
  <conditionalFormatting sqref="S388:S389">
    <cfRule type="expression" dxfId="1269" priority="506" stopIfTrue="1">
      <formula>$B388&lt;&gt;""</formula>
    </cfRule>
  </conditionalFormatting>
  <conditionalFormatting sqref="S388:S389">
    <cfRule type="expression" dxfId="1268" priority="505" stopIfTrue="1">
      <formula>$C388&lt;&gt;""</formula>
    </cfRule>
  </conditionalFormatting>
  <conditionalFormatting sqref="S385:S388">
    <cfRule type="expression" dxfId="1267" priority="504" stopIfTrue="1">
      <formula>$B385&lt;&gt;""</formula>
    </cfRule>
  </conditionalFormatting>
  <conditionalFormatting sqref="S385:S388">
    <cfRule type="expression" dxfId="1266" priority="503" stopIfTrue="1">
      <formula>$C385&lt;&gt;""</formula>
    </cfRule>
  </conditionalFormatting>
  <conditionalFormatting sqref="S385:S388">
    <cfRule type="expression" dxfId="1265" priority="502" stopIfTrue="1">
      <formula>$B385&lt;&gt;""</formula>
    </cfRule>
  </conditionalFormatting>
  <conditionalFormatting sqref="S385:S388">
    <cfRule type="expression" dxfId="1264" priority="501" stopIfTrue="1">
      <formula>$C385&lt;&gt;""</formula>
    </cfRule>
  </conditionalFormatting>
  <conditionalFormatting sqref="S389">
    <cfRule type="expression" dxfId="1263" priority="500" stopIfTrue="1">
      <formula>$B389&lt;&gt;""</formula>
    </cfRule>
  </conditionalFormatting>
  <conditionalFormatting sqref="S389">
    <cfRule type="expression" dxfId="1262" priority="499" stopIfTrue="1">
      <formula>$C389&lt;&gt;""</formula>
    </cfRule>
  </conditionalFormatting>
  <conditionalFormatting sqref="S385:S388">
    <cfRule type="expression" dxfId="1261" priority="498" stopIfTrue="1">
      <formula>$B385&lt;&gt;""</formula>
    </cfRule>
  </conditionalFormatting>
  <conditionalFormatting sqref="S385:S388">
    <cfRule type="expression" dxfId="1260" priority="497" stopIfTrue="1">
      <formula>$C385&lt;&gt;""</formula>
    </cfRule>
  </conditionalFormatting>
  <conditionalFormatting sqref="S389">
    <cfRule type="expression" dxfId="1259" priority="496" stopIfTrue="1">
      <formula>$B389&lt;&gt;""</formula>
    </cfRule>
  </conditionalFormatting>
  <conditionalFormatting sqref="S389">
    <cfRule type="expression" dxfId="1258" priority="495" stopIfTrue="1">
      <formula>$C389&lt;&gt;""</formula>
    </cfRule>
  </conditionalFormatting>
  <conditionalFormatting sqref="S389">
    <cfRule type="expression" dxfId="1257" priority="494" stopIfTrue="1">
      <formula>$B389&lt;&gt;""</formula>
    </cfRule>
  </conditionalFormatting>
  <conditionalFormatting sqref="S389">
    <cfRule type="expression" dxfId="1256" priority="493" stopIfTrue="1">
      <formula>$C389&lt;&gt;""</formula>
    </cfRule>
  </conditionalFormatting>
  <conditionalFormatting sqref="S385">
    <cfRule type="expression" dxfId="1255" priority="492" stopIfTrue="1">
      <formula>$C385&lt;&gt;""</formula>
    </cfRule>
  </conditionalFormatting>
  <conditionalFormatting sqref="S385">
    <cfRule type="expression" dxfId="1254" priority="491" stopIfTrue="1">
      <formula>$B385&lt;&gt;""</formula>
    </cfRule>
  </conditionalFormatting>
  <conditionalFormatting sqref="S386:S389">
    <cfRule type="expression" dxfId="1253" priority="490" stopIfTrue="1">
      <formula>$C386&lt;&gt;""</formula>
    </cfRule>
  </conditionalFormatting>
  <conditionalFormatting sqref="S386:S389">
    <cfRule type="expression" dxfId="1252" priority="489" stopIfTrue="1">
      <formula>$B386&lt;&gt;""</formula>
    </cfRule>
  </conditionalFormatting>
  <conditionalFormatting sqref="S388:S389">
    <cfRule type="expression" dxfId="1251" priority="488" stopIfTrue="1">
      <formula>$C388&lt;&gt;""</formula>
    </cfRule>
  </conditionalFormatting>
  <conditionalFormatting sqref="S388:S389">
    <cfRule type="expression" dxfId="1250" priority="487" stopIfTrue="1">
      <formula>$B388&lt;&gt;""</formula>
    </cfRule>
  </conditionalFormatting>
  <conditionalFormatting sqref="S385">
    <cfRule type="expression" dxfId="1249" priority="486" stopIfTrue="1">
      <formula>$B385&lt;&gt;""</formula>
    </cfRule>
  </conditionalFormatting>
  <conditionalFormatting sqref="S385">
    <cfRule type="expression" dxfId="1248" priority="485" stopIfTrue="1">
      <formula>$C385&lt;&gt;""</formula>
    </cfRule>
  </conditionalFormatting>
  <conditionalFormatting sqref="S386">
    <cfRule type="expression" dxfId="1247" priority="484" stopIfTrue="1">
      <formula>$B386&lt;&gt;""</formula>
    </cfRule>
  </conditionalFormatting>
  <conditionalFormatting sqref="S386">
    <cfRule type="expression" dxfId="1246" priority="483" stopIfTrue="1">
      <formula>$C386&lt;&gt;""</formula>
    </cfRule>
  </conditionalFormatting>
  <conditionalFormatting sqref="S385">
    <cfRule type="expression" dxfId="1245" priority="482" stopIfTrue="1">
      <formula>$B385&lt;&gt;""</formula>
    </cfRule>
  </conditionalFormatting>
  <conditionalFormatting sqref="S385">
    <cfRule type="expression" dxfId="1244" priority="481" stopIfTrue="1">
      <formula>$C385&lt;&gt;""</formula>
    </cfRule>
  </conditionalFormatting>
  <conditionalFormatting sqref="S386:S389">
    <cfRule type="expression" dxfId="1243" priority="480" stopIfTrue="1">
      <formula>$B386&lt;&gt;""</formula>
    </cfRule>
  </conditionalFormatting>
  <conditionalFormatting sqref="S386:S389">
    <cfRule type="expression" dxfId="1242" priority="479" stopIfTrue="1">
      <formula>$C386&lt;&gt;""</formula>
    </cfRule>
  </conditionalFormatting>
  <conditionalFormatting sqref="S385">
    <cfRule type="expression" dxfId="1241" priority="478" stopIfTrue="1">
      <formula>$B385&lt;&gt;""</formula>
    </cfRule>
  </conditionalFormatting>
  <conditionalFormatting sqref="S385">
    <cfRule type="expression" dxfId="1240" priority="477" stopIfTrue="1">
      <formula>$C385&lt;&gt;""</formula>
    </cfRule>
  </conditionalFormatting>
  <conditionalFormatting sqref="S386:S389">
    <cfRule type="expression" dxfId="1239" priority="476" stopIfTrue="1">
      <formula>$B386&lt;&gt;""</formula>
    </cfRule>
  </conditionalFormatting>
  <conditionalFormatting sqref="S386:S389">
    <cfRule type="expression" dxfId="1238" priority="475" stopIfTrue="1">
      <formula>$C386&lt;&gt;""</formula>
    </cfRule>
  </conditionalFormatting>
  <conditionalFormatting sqref="S385:S389">
    <cfRule type="expression" dxfId="1237" priority="474" stopIfTrue="1">
      <formula>$B385&lt;&gt;""</formula>
    </cfRule>
  </conditionalFormatting>
  <conditionalFormatting sqref="S385:S389">
    <cfRule type="expression" dxfId="1236" priority="473" stopIfTrue="1">
      <formula>$C385&lt;&gt;""</formula>
    </cfRule>
  </conditionalFormatting>
  <conditionalFormatting sqref="S385:S389">
    <cfRule type="expression" dxfId="1235" priority="472" stopIfTrue="1">
      <formula>$B385&lt;&gt;""</formula>
    </cfRule>
  </conditionalFormatting>
  <conditionalFormatting sqref="S385:S389">
    <cfRule type="expression" dxfId="1234" priority="471" stopIfTrue="1">
      <formula>$C385&lt;&gt;""</formula>
    </cfRule>
  </conditionalFormatting>
  <conditionalFormatting sqref="S385:S389">
    <cfRule type="expression" dxfId="1233" priority="470" stopIfTrue="1">
      <formula>$B385&lt;&gt;""</formula>
    </cfRule>
  </conditionalFormatting>
  <conditionalFormatting sqref="S385:S389">
    <cfRule type="expression" dxfId="1232" priority="469" stopIfTrue="1">
      <formula>$C385&lt;&gt;""</formula>
    </cfRule>
  </conditionalFormatting>
  <conditionalFormatting sqref="S385:S389">
    <cfRule type="expression" dxfId="1231" priority="468" stopIfTrue="1">
      <formula>$B385&lt;&gt;""</formula>
    </cfRule>
  </conditionalFormatting>
  <conditionalFormatting sqref="S385:S389">
    <cfRule type="expression" dxfId="1230" priority="467" stopIfTrue="1">
      <formula>$C385&lt;&gt;""</formula>
    </cfRule>
  </conditionalFormatting>
  <conditionalFormatting sqref="S385:S389">
    <cfRule type="expression" dxfId="1229" priority="466" stopIfTrue="1">
      <formula>$B385&lt;&gt;""</formula>
    </cfRule>
  </conditionalFormatting>
  <conditionalFormatting sqref="S385:S389">
    <cfRule type="expression" dxfId="1228" priority="465" stopIfTrue="1">
      <formula>$C385&lt;&gt;""</formula>
    </cfRule>
  </conditionalFormatting>
  <conditionalFormatting sqref="S385:S389">
    <cfRule type="expression" dxfId="1227" priority="464" stopIfTrue="1">
      <formula>$B385&lt;&gt;""</formula>
    </cfRule>
  </conditionalFormatting>
  <conditionalFormatting sqref="S385:S389">
    <cfRule type="expression" dxfId="1226" priority="463" stopIfTrue="1">
      <formula>$C385&lt;&gt;""</formula>
    </cfRule>
  </conditionalFormatting>
  <conditionalFormatting sqref="S385:S389">
    <cfRule type="expression" dxfId="1225" priority="462" stopIfTrue="1">
      <formula>$B385&lt;&gt;""</formula>
    </cfRule>
  </conditionalFormatting>
  <conditionalFormatting sqref="S385:S389">
    <cfRule type="expression" dxfId="1224" priority="461" stopIfTrue="1">
      <formula>$C385&lt;&gt;""</formula>
    </cfRule>
  </conditionalFormatting>
  <conditionalFormatting sqref="S385:S388">
    <cfRule type="expression" dxfId="1223" priority="460" stopIfTrue="1">
      <formula>$B385&lt;&gt;""</formula>
    </cfRule>
  </conditionalFormatting>
  <conditionalFormatting sqref="S385:S388">
    <cfRule type="expression" dxfId="1222" priority="459" stopIfTrue="1">
      <formula>$C385&lt;&gt;""</formula>
    </cfRule>
  </conditionalFormatting>
  <conditionalFormatting sqref="S389">
    <cfRule type="expression" dxfId="1221" priority="458" stopIfTrue="1">
      <formula>$B389&lt;&gt;""</formula>
    </cfRule>
  </conditionalFormatting>
  <conditionalFormatting sqref="S389">
    <cfRule type="expression" dxfId="1220" priority="457" stopIfTrue="1">
      <formula>$C389&lt;&gt;""</formula>
    </cfRule>
  </conditionalFormatting>
  <conditionalFormatting sqref="S385:S387">
    <cfRule type="expression" dxfId="1219" priority="456" stopIfTrue="1">
      <formula>$B385&lt;&gt;""</formula>
    </cfRule>
  </conditionalFormatting>
  <conditionalFormatting sqref="S385:S387">
    <cfRule type="expression" dxfId="1218" priority="455" stopIfTrue="1">
      <formula>$C385&lt;&gt;""</formula>
    </cfRule>
  </conditionalFormatting>
  <conditionalFormatting sqref="S388:S389">
    <cfRule type="expression" dxfId="1217" priority="454" stopIfTrue="1">
      <formula>$B388&lt;&gt;""</formula>
    </cfRule>
  </conditionalFormatting>
  <conditionalFormatting sqref="S388:S389">
    <cfRule type="expression" dxfId="1216" priority="453" stopIfTrue="1">
      <formula>$C388&lt;&gt;""</formula>
    </cfRule>
  </conditionalFormatting>
  <conditionalFormatting sqref="S385:S388">
    <cfRule type="expression" dxfId="1215" priority="452" stopIfTrue="1">
      <formula>$B385&lt;&gt;""</formula>
    </cfRule>
  </conditionalFormatting>
  <conditionalFormatting sqref="S385:S388">
    <cfRule type="expression" dxfId="1214" priority="451" stopIfTrue="1">
      <formula>$C385&lt;&gt;""</formula>
    </cfRule>
  </conditionalFormatting>
  <conditionalFormatting sqref="S385:S388">
    <cfRule type="expression" dxfId="1213" priority="450" stopIfTrue="1">
      <formula>$B385&lt;&gt;""</formula>
    </cfRule>
  </conditionalFormatting>
  <conditionalFormatting sqref="S385:S388">
    <cfRule type="expression" dxfId="1212" priority="449" stopIfTrue="1">
      <formula>$C385&lt;&gt;""</formula>
    </cfRule>
  </conditionalFormatting>
  <conditionalFormatting sqref="S389">
    <cfRule type="expression" dxfId="1211" priority="448" stopIfTrue="1">
      <formula>$B389&lt;&gt;""</formula>
    </cfRule>
  </conditionalFormatting>
  <conditionalFormatting sqref="S389">
    <cfRule type="expression" dxfId="1210" priority="447" stopIfTrue="1">
      <formula>$C389&lt;&gt;""</formula>
    </cfRule>
  </conditionalFormatting>
  <conditionalFormatting sqref="S385:S388">
    <cfRule type="expression" dxfId="1209" priority="446" stopIfTrue="1">
      <formula>$B385&lt;&gt;""</formula>
    </cfRule>
  </conditionalFormatting>
  <conditionalFormatting sqref="S385:S388">
    <cfRule type="expression" dxfId="1208" priority="445" stopIfTrue="1">
      <formula>$C385&lt;&gt;""</formula>
    </cfRule>
  </conditionalFormatting>
  <conditionalFormatting sqref="S389">
    <cfRule type="expression" dxfId="1207" priority="444" stopIfTrue="1">
      <formula>$B389&lt;&gt;""</formula>
    </cfRule>
  </conditionalFormatting>
  <conditionalFormatting sqref="S389">
    <cfRule type="expression" dxfId="1206" priority="443" stopIfTrue="1">
      <formula>$C389&lt;&gt;""</formula>
    </cfRule>
  </conditionalFormatting>
  <conditionalFormatting sqref="S389">
    <cfRule type="expression" dxfId="1205" priority="442" stopIfTrue="1">
      <formula>$B389&lt;&gt;""</formula>
    </cfRule>
  </conditionalFormatting>
  <conditionalFormatting sqref="S389">
    <cfRule type="expression" dxfId="1204" priority="441" stopIfTrue="1">
      <formula>$C389&lt;&gt;""</formula>
    </cfRule>
  </conditionalFormatting>
  <conditionalFormatting sqref="S385">
    <cfRule type="expression" dxfId="1203" priority="440" stopIfTrue="1">
      <formula>$C385&lt;&gt;""</formula>
    </cfRule>
  </conditionalFormatting>
  <conditionalFormatting sqref="S385">
    <cfRule type="expression" dxfId="1202" priority="439" stopIfTrue="1">
      <formula>$B385&lt;&gt;""</formula>
    </cfRule>
  </conditionalFormatting>
  <conditionalFormatting sqref="S386:S389">
    <cfRule type="expression" dxfId="1201" priority="438" stopIfTrue="1">
      <formula>$C386&lt;&gt;""</formula>
    </cfRule>
  </conditionalFormatting>
  <conditionalFormatting sqref="S386:S389">
    <cfRule type="expression" dxfId="1200" priority="437" stopIfTrue="1">
      <formula>$B386&lt;&gt;""</formula>
    </cfRule>
  </conditionalFormatting>
  <conditionalFormatting sqref="S388:S389">
    <cfRule type="expression" dxfId="1199" priority="436" stopIfTrue="1">
      <formula>$C388&lt;&gt;""</formula>
    </cfRule>
  </conditionalFormatting>
  <conditionalFormatting sqref="S388:S389">
    <cfRule type="expression" dxfId="1198" priority="435" stopIfTrue="1">
      <formula>$B388&lt;&gt;""</formula>
    </cfRule>
  </conditionalFormatting>
  <conditionalFormatting sqref="S385:S388">
    <cfRule type="expression" dxfId="1197" priority="434" stopIfTrue="1">
      <formula>$B385&lt;&gt;""</formula>
    </cfRule>
  </conditionalFormatting>
  <conditionalFormatting sqref="S385:S388">
    <cfRule type="expression" dxfId="1196" priority="433" stopIfTrue="1">
      <formula>$C385&lt;&gt;""</formula>
    </cfRule>
  </conditionalFormatting>
  <conditionalFormatting sqref="S389">
    <cfRule type="expression" dxfId="1195" priority="432" stopIfTrue="1">
      <formula>$B389&lt;&gt;""</formula>
    </cfRule>
  </conditionalFormatting>
  <conditionalFormatting sqref="S389">
    <cfRule type="expression" dxfId="1194" priority="431" stopIfTrue="1">
      <formula>$C389&lt;&gt;""</formula>
    </cfRule>
  </conditionalFormatting>
  <conditionalFormatting sqref="S385:S387">
    <cfRule type="expression" dxfId="1193" priority="430" stopIfTrue="1">
      <formula>$B385&lt;&gt;""</formula>
    </cfRule>
  </conditionalFormatting>
  <conditionalFormatting sqref="S385:S387">
    <cfRule type="expression" dxfId="1192" priority="429" stopIfTrue="1">
      <formula>$C385&lt;&gt;""</formula>
    </cfRule>
  </conditionalFormatting>
  <conditionalFormatting sqref="S388:S389">
    <cfRule type="expression" dxfId="1191" priority="428" stopIfTrue="1">
      <formula>$B388&lt;&gt;""</formula>
    </cfRule>
  </conditionalFormatting>
  <conditionalFormatting sqref="S388:S389">
    <cfRule type="expression" dxfId="1190" priority="427" stopIfTrue="1">
      <formula>$C388&lt;&gt;""</formula>
    </cfRule>
  </conditionalFormatting>
  <conditionalFormatting sqref="S385:S388">
    <cfRule type="expression" dxfId="1189" priority="426" stopIfTrue="1">
      <formula>$B385&lt;&gt;""</formula>
    </cfRule>
  </conditionalFormatting>
  <conditionalFormatting sqref="S385:S388">
    <cfRule type="expression" dxfId="1188" priority="425" stopIfTrue="1">
      <formula>$C385&lt;&gt;""</formula>
    </cfRule>
  </conditionalFormatting>
  <conditionalFormatting sqref="S385:S388">
    <cfRule type="expression" dxfId="1187" priority="424" stopIfTrue="1">
      <formula>$B385&lt;&gt;""</formula>
    </cfRule>
  </conditionalFormatting>
  <conditionalFormatting sqref="S385:S388">
    <cfRule type="expression" dxfId="1186" priority="423" stopIfTrue="1">
      <formula>$C385&lt;&gt;""</formula>
    </cfRule>
  </conditionalFormatting>
  <conditionalFormatting sqref="S389">
    <cfRule type="expression" dxfId="1185" priority="422" stopIfTrue="1">
      <formula>$B389&lt;&gt;""</formula>
    </cfRule>
  </conditionalFormatting>
  <conditionalFormatting sqref="S389">
    <cfRule type="expression" dxfId="1184" priority="421" stopIfTrue="1">
      <formula>$C389&lt;&gt;""</formula>
    </cfRule>
  </conditionalFormatting>
  <conditionalFormatting sqref="S385:S388">
    <cfRule type="expression" dxfId="1183" priority="420" stopIfTrue="1">
      <formula>$B385&lt;&gt;""</formula>
    </cfRule>
  </conditionalFormatting>
  <conditionalFormatting sqref="S385:S388">
    <cfRule type="expression" dxfId="1182" priority="419" stopIfTrue="1">
      <formula>$C385&lt;&gt;""</formula>
    </cfRule>
  </conditionalFormatting>
  <conditionalFormatting sqref="S389">
    <cfRule type="expression" dxfId="1181" priority="418" stopIfTrue="1">
      <formula>$B389&lt;&gt;""</formula>
    </cfRule>
  </conditionalFormatting>
  <conditionalFormatting sqref="S389">
    <cfRule type="expression" dxfId="1180" priority="417" stopIfTrue="1">
      <formula>$C389&lt;&gt;""</formula>
    </cfRule>
  </conditionalFormatting>
  <conditionalFormatting sqref="S389">
    <cfRule type="expression" dxfId="1179" priority="416" stopIfTrue="1">
      <formula>$B389&lt;&gt;""</formula>
    </cfRule>
  </conditionalFormatting>
  <conditionalFormatting sqref="S389">
    <cfRule type="expression" dxfId="1178" priority="415" stopIfTrue="1">
      <formula>$C389&lt;&gt;""</formula>
    </cfRule>
  </conditionalFormatting>
  <conditionalFormatting sqref="S385">
    <cfRule type="expression" dxfId="1177" priority="414" stopIfTrue="1">
      <formula>$C385&lt;&gt;""</formula>
    </cfRule>
  </conditionalFormatting>
  <conditionalFormatting sqref="S385">
    <cfRule type="expression" dxfId="1176" priority="413" stopIfTrue="1">
      <formula>$B385&lt;&gt;""</formula>
    </cfRule>
  </conditionalFormatting>
  <conditionalFormatting sqref="S386:S389">
    <cfRule type="expression" dxfId="1175" priority="412" stopIfTrue="1">
      <formula>$C386&lt;&gt;""</formula>
    </cfRule>
  </conditionalFormatting>
  <conditionalFormatting sqref="S386:S389">
    <cfRule type="expression" dxfId="1174" priority="411" stopIfTrue="1">
      <formula>$B386&lt;&gt;""</formula>
    </cfRule>
  </conditionalFormatting>
  <conditionalFormatting sqref="S388:S389">
    <cfRule type="expression" dxfId="1173" priority="410" stopIfTrue="1">
      <formula>$C388&lt;&gt;""</formula>
    </cfRule>
  </conditionalFormatting>
  <conditionalFormatting sqref="S388:S389">
    <cfRule type="expression" dxfId="1172" priority="409" stopIfTrue="1">
      <formula>$B388&lt;&gt;""</formula>
    </cfRule>
  </conditionalFormatting>
  <conditionalFormatting sqref="S391">
    <cfRule type="expression" dxfId="1171" priority="408" stopIfTrue="1">
      <formula>$B391&lt;&gt;""</formula>
    </cfRule>
  </conditionalFormatting>
  <conditionalFormatting sqref="S391">
    <cfRule type="expression" dxfId="1170" priority="407" stopIfTrue="1">
      <formula>$C391&lt;&gt;""</formula>
    </cfRule>
  </conditionalFormatting>
  <conditionalFormatting sqref="S391:S394">
    <cfRule type="expression" dxfId="1169" priority="406" stopIfTrue="1">
      <formula>$B391&lt;&gt;""</formula>
    </cfRule>
  </conditionalFormatting>
  <conditionalFormatting sqref="S391:S394">
    <cfRule type="expression" dxfId="1168" priority="405" stopIfTrue="1">
      <formula>$C391&lt;&gt;""</formula>
    </cfRule>
  </conditionalFormatting>
  <conditionalFormatting sqref="S391:S394">
    <cfRule type="expression" dxfId="1167" priority="404" stopIfTrue="1">
      <formula>$B391&lt;&gt;""</formula>
    </cfRule>
  </conditionalFormatting>
  <conditionalFormatting sqref="S391:S394">
    <cfRule type="expression" dxfId="1166" priority="403" stopIfTrue="1">
      <formula>$C391&lt;&gt;""</formula>
    </cfRule>
  </conditionalFormatting>
  <conditionalFormatting sqref="S391:S394">
    <cfRule type="expression" dxfId="1165" priority="402" stopIfTrue="1">
      <formula>$B391&lt;&gt;""</formula>
    </cfRule>
  </conditionalFormatting>
  <conditionalFormatting sqref="S391:S394">
    <cfRule type="expression" dxfId="1164" priority="401" stopIfTrue="1">
      <formula>$C391&lt;&gt;""</formula>
    </cfRule>
  </conditionalFormatting>
  <conditionalFormatting sqref="S391:S394">
    <cfRule type="expression" dxfId="1163" priority="400" stopIfTrue="1">
      <formula>$B391&lt;&gt;""</formula>
    </cfRule>
  </conditionalFormatting>
  <conditionalFormatting sqref="S391:S394">
    <cfRule type="expression" dxfId="1162" priority="399" stopIfTrue="1">
      <formula>$C391&lt;&gt;""</formula>
    </cfRule>
  </conditionalFormatting>
  <conditionalFormatting sqref="S391:S394">
    <cfRule type="expression" dxfId="1161" priority="398" stopIfTrue="1">
      <formula>$B391&lt;&gt;""</formula>
    </cfRule>
  </conditionalFormatting>
  <conditionalFormatting sqref="S391:S394">
    <cfRule type="expression" dxfId="1160" priority="397" stopIfTrue="1">
      <formula>$C391&lt;&gt;""</formula>
    </cfRule>
  </conditionalFormatting>
  <conditionalFormatting sqref="S391:S394">
    <cfRule type="expression" dxfId="1159" priority="396" stopIfTrue="1">
      <formula>$B391&lt;&gt;""</formula>
    </cfRule>
  </conditionalFormatting>
  <conditionalFormatting sqref="S391:S394">
    <cfRule type="expression" dxfId="1158" priority="395" stopIfTrue="1">
      <formula>$C391&lt;&gt;""</formula>
    </cfRule>
  </conditionalFormatting>
  <conditionalFormatting sqref="S391:S394">
    <cfRule type="expression" dxfId="1157" priority="394" stopIfTrue="1">
      <formula>$B391&lt;&gt;""</formula>
    </cfRule>
  </conditionalFormatting>
  <conditionalFormatting sqref="S391:S394">
    <cfRule type="expression" dxfId="1156" priority="393" stopIfTrue="1">
      <formula>$C391&lt;&gt;""</formula>
    </cfRule>
  </conditionalFormatting>
  <conditionalFormatting sqref="S391:S394">
    <cfRule type="expression" dxfId="1155" priority="392" stopIfTrue="1">
      <formula>$B391&lt;&gt;""</formula>
    </cfRule>
  </conditionalFormatting>
  <conditionalFormatting sqref="S391:S394">
    <cfRule type="expression" dxfId="1154" priority="391" stopIfTrue="1">
      <formula>$C391&lt;&gt;""</formula>
    </cfRule>
  </conditionalFormatting>
  <conditionalFormatting sqref="S391:S394">
    <cfRule type="expression" dxfId="1153" priority="390" stopIfTrue="1">
      <formula>$B391&lt;&gt;""</formula>
    </cfRule>
  </conditionalFormatting>
  <conditionalFormatting sqref="S391:S394">
    <cfRule type="expression" dxfId="1152" priority="389" stopIfTrue="1">
      <formula>$C391&lt;&gt;""</formula>
    </cfRule>
  </conditionalFormatting>
  <conditionalFormatting sqref="S391:S393">
    <cfRule type="expression" dxfId="1151" priority="388" stopIfTrue="1">
      <formula>$B391&lt;&gt;""</formula>
    </cfRule>
  </conditionalFormatting>
  <conditionalFormatting sqref="S391:S393">
    <cfRule type="expression" dxfId="1150" priority="387" stopIfTrue="1">
      <formula>$C391&lt;&gt;""</formula>
    </cfRule>
  </conditionalFormatting>
  <conditionalFormatting sqref="S394">
    <cfRule type="expression" dxfId="1149" priority="386" stopIfTrue="1">
      <formula>$B394&lt;&gt;""</formula>
    </cfRule>
  </conditionalFormatting>
  <conditionalFormatting sqref="S394">
    <cfRule type="expression" dxfId="1148" priority="385" stopIfTrue="1">
      <formula>$C394&lt;&gt;""</formula>
    </cfRule>
  </conditionalFormatting>
  <conditionalFormatting sqref="S391:S392">
    <cfRule type="expression" dxfId="1147" priority="384" stopIfTrue="1">
      <formula>$B391&lt;&gt;""</formula>
    </cfRule>
  </conditionalFormatting>
  <conditionalFormatting sqref="S391:S392">
    <cfRule type="expression" dxfId="1146" priority="383" stopIfTrue="1">
      <formula>$C391&lt;&gt;""</formula>
    </cfRule>
  </conditionalFormatting>
  <conditionalFormatting sqref="S393:S394">
    <cfRule type="expression" dxfId="1145" priority="382" stopIfTrue="1">
      <formula>$B393&lt;&gt;""</formula>
    </cfRule>
  </conditionalFormatting>
  <conditionalFormatting sqref="S393:S394">
    <cfRule type="expression" dxfId="1144" priority="381" stopIfTrue="1">
      <formula>$C393&lt;&gt;""</formula>
    </cfRule>
  </conditionalFormatting>
  <conditionalFormatting sqref="S391:S393">
    <cfRule type="expression" dxfId="1143" priority="380" stopIfTrue="1">
      <formula>$B391&lt;&gt;""</formula>
    </cfRule>
  </conditionalFormatting>
  <conditionalFormatting sqref="S391:S393">
    <cfRule type="expression" dxfId="1142" priority="379" stopIfTrue="1">
      <formula>$C391&lt;&gt;""</formula>
    </cfRule>
  </conditionalFormatting>
  <conditionalFormatting sqref="S391:S393">
    <cfRule type="expression" dxfId="1141" priority="378" stopIfTrue="1">
      <formula>$B391&lt;&gt;""</formula>
    </cfRule>
  </conditionalFormatting>
  <conditionalFormatting sqref="S391:S393">
    <cfRule type="expression" dxfId="1140" priority="377" stopIfTrue="1">
      <formula>$C391&lt;&gt;""</formula>
    </cfRule>
  </conditionalFormatting>
  <conditionalFormatting sqref="S394">
    <cfRule type="expression" dxfId="1139" priority="376" stopIfTrue="1">
      <formula>$B394&lt;&gt;""</formula>
    </cfRule>
  </conditionalFormatting>
  <conditionalFormatting sqref="S394">
    <cfRule type="expression" dxfId="1138" priority="375" stopIfTrue="1">
      <formula>$C394&lt;&gt;""</formula>
    </cfRule>
  </conditionalFormatting>
  <conditionalFormatting sqref="S391:S393">
    <cfRule type="expression" dxfId="1137" priority="374" stopIfTrue="1">
      <formula>$B391&lt;&gt;""</formula>
    </cfRule>
  </conditionalFormatting>
  <conditionalFormatting sqref="S391:S393">
    <cfRule type="expression" dxfId="1136" priority="373" stopIfTrue="1">
      <formula>$C391&lt;&gt;""</formula>
    </cfRule>
  </conditionalFormatting>
  <conditionalFormatting sqref="S394">
    <cfRule type="expression" dxfId="1135" priority="372" stopIfTrue="1">
      <formula>$B394&lt;&gt;""</formula>
    </cfRule>
  </conditionalFormatting>
  <conditionalFormatting sqref="S394">
    <cfRule type="expression" dxfId="1134" priority="371" stopIfTrue="1">
      <formula>$C394&lt;&gt;""</formula>
    </cfRule>
  </conditionalFormatting>
  <conditionalFormatting sqref="S394">
    <cfRule type="expression" dxfId="1133" priority="370" stopIfTrue="1">
      <formula>$B394&lt;&gt;""</formula>
    </cfRule>
  </conditionalFormatting>
  <conditionalFormatting sqref="S394">
    <cfRule type="expression" dxfId="1132" priority="369" stopIfTrue="1">
      <formula>$C394&lt;&gt;""</formula>
    </cfRule>
  </conditionalFormatting>
  <conditionalFormatting sqref="S391:S394">
    <cfRule type="expression" dxfId="1131" priority="368" stopIfTrue="1">
      <formula>$C391&lt;&gt;""</formula>
    </cfRule>
  </conditionalFormatting>
  <conditionalFormatting sqref="S391:S394">
    <cfRule type="expression" dxfId="1130" priority="367" stopIfTrue="1">
      <formula>$B391&lt;&gt;""</formula>
    </cfRule>
  </conditionalFormatting>
  <conditionalFormatting sqref="S393:S394">
    <cfRule type="expression" dxfId="1129" priority="366" stopIfTrue="1">
      <formula>$C393&lt;&gt;""</formula>
    </cfRule>
  </conditionalFormatting>
  <conditionalFormatting sqref="S393:S394">
    <cfRule type="expression" dxfId="1128" priority="365" stopIfTrue="1">
      <formula>$B393&lt;&gt;""</formula>
    </cfRule>
  </conditionalFormatting>
  <conditionalFormatting sqref="S391:S393">
    <cfRule type="expression" dxfId="1127" priority="364" stopIfTrue="1">
      <formula>$B391&lt;&gt;""</formula>
    </cfRule>
  </conditionalFormatting>
  <conditionalFormatting sqref="S391:S393">
    <cfRule type="expression" dxfId="1126" priority="363" stopIfTrue="1">
      <formula>$C391&lt;&gt;""</formula>
    </cfRule>
  </conditionalFormatting>
  <conditionalFormatting sqref="S394">
    <cfRule type="expression" dxfId="1125" priority="362" stopIfTrue="1">
      <formula>$B394&lt;&gt;""</formula>
    </cfRule>
  </conditionalFormatting>
  <conditionalFormatting sqref="S394">
    <cfRule type="expression" dxfId="1124" priority="361" stopIfTrue="1">
      <formula>$C394&lt;&gt;""</formula>
    </cfRule>
  </conditionalFormatting>
  <conditionalFormatting sqref="S391:S392">
    <cfRule type="expression" dxfId="1123" priority="360" stopIfTrue="1">
      <formula>$B391&lt;&gt;""</formula>
    </cfRule>
  </conditionalFormatting>
  <conditionalFormatting sqref="S391:S392">
    <cfRule type="expression" dxfId="1122" priority="359" stopIfTrue="1">
      <formula>$C391&lt;&gt;""</formula>
    </cfRule>
  </conditionalFormatting>
  <conditionalFormatting sqref="S393:S394">
    <cfRule type="expression" dxfId="1121" priority="358" stopIfTrue="1">
      <formula>$B393&lt;&gt;""</formula>
    </cfRule>
  </conditionalFormatting>
  <conditionalFormatting sqref="S393:S394">
    <cfRule type="expression" dxfId="1120" priority="357" stopIfTrue="1">
      <formula>$C393&lt;&gt;""</formula>
    </cfRule>
  </conditionalFormatting>
  <conditionalFormatting sqref="S391:S393">
    <cfRule type="expression" dxfId="1119" priority="356" stopIfTrue="1">
      <formula>$B391&lt;&gt;""</formula>
    </cfRule>
  </conditionalFormatting>
  <conditionalFormatting sqref="S391:S393">
    <cfRule type="expression" dxfId="1118" priority="355" stopIfTrue="1">
      <formula>$C391&lt;&gt;""</formula>
    </cfRule>
  </conditionalFormatting>
  <conditionalFormatting sqref="S391:S393">
    <cfRule type="expression" dxfId="1117" priority="354" stopIfTrue="1">
      <formula>$B391&lt;&gt;""</formula>
    </cfRule>
  </conditionalFormatting>
  <conditionalFormatting sqref="S391:S393">
    <cfRule type="expression" dxfId="1116" priority="353" stopIfTrue="1">
      <formula>$C391&lt;&gt;""</formula>
    </cfRule>
  </conditionalFormatting>
  <conditionalFormatting sqref="S394">
    <cfRule type="expression" dxfId="1115" priority="352" stopIfTrue="1">
      <formula>$B394&lt;&gt;""</formula>
    </cfRule>
  </conditionalFormatting>
  <conditionalFormatting sqref="S394">
    <cfRule type="expression" dxfId="1114" priority="351" stopIfTrue="1">
      <formula>$C394&lt;&gt;""</formula>
    </cfRule>
  </conditionalFormatting>
  <conditionalFormatting sqref="S391:S393">
    <cfRule type="expression" dxfId="1113" priority="350" stopIfTrue="1">
      <formula>$B391&lt;&gt;""</formula>
    </cfRule>
  </conditionalFormatting>
  <conditionalFormatting sqref="S391:S393">
    <cfRule type="expression" dxfId="1112" priority="349" stopIfTrue="1">
      <formula>$C391&lt;&gt;""</formula>
    </cfRule>
  </conditionalFormatting>
  <conditionalFormatting sqref="S394">
    <cfRule type="expression" dxfId="1111" priority="348" stopIfTrue="1">
      <formula>$B394&lt;&gt;""</formula>
    </cfRule>
  </conditionalFormatting>
  <conditionalFormatting sqref="S394">
    <cfRule type="expression" dxfId="1110" priority="347" stopIfTrue="1">
      <formula>$C394&lt;&gt;""</formula>
    </cfRule>
  </conditionalFormatting>
  <conditionalFormatting sqref="S394">
    <cfRule type="expression" dxfId="1109" priority="346" stopIfTrue="1">
      <formula>$B394&lt;&gt;""</formula>
    </cfRule>
  </conditionalFormatting>
  <conditionalFormatting sqref="S394">
    <cfRule type="expression" dxfId="1108" priority="345" stopIfTrue="1">
      <formula>$C394&lt;&gt;""</formula>
    </cfRule>
  </conditionalFormatting>
  <conditionalFormatting sqref="S391:S394">
    <cfRule type="expression" dxfId="1107" priority="344" stopIfTrue="1">
      <formula>$C391&lt;&gt;""</formula>
    </cfRule>
  </conditionalFormatting>
  <conditionalFormatting sqref="S391:S394">
    <cfRule type="expression" dxfId="1106" priority="343" stopIfTrue="1">
      <formula>$B391&lt;&gt;""</formula>
    </cfRule>
  </conditionalFormatting>
  <conditionalFormatting sqref="S393:S394">
    <cfRule type="expression" dxfId="1105" priority="342" stopIfTrue="1">
      <formula>$C393&lt;&gt;""</formula>
    </cfRule>
  </conditionalFormatting>
  <conditionalFormatting sqref="S393:S394">
    <cfRule type="expression" dxfId="1104" priority="341" stopIfTrue="1">
      <formula>$B393&lt;&gt;""</formula>
    </cfRule>
  </conditionalFormatting>
  <conditionalFormatting sqref="S391">
    <cfRule type="expression" dxfId="1103" priority="340" stopIfTrue="1">
      <formula>$B391&lt;&gt;""</formula>
    </cfRule>
  </conditionalFormatting>
  <conditionalFormatting sqref="S391">
    <cfRule type="expression" dxfId="1102" priority="339" stopIfTrue="1">
      <formula>$C391&lt;&gt;""</formula>
    </cfRule>
  </conditionalFormatting>
  <conditionalFormatting sqref="S391:S394">
    <cfRule type="expression" dxfId="1101" priority="338" stopIfTrue="1">
      <formula>$B391&lt;&gt;""</formula>
    </cfRule>
  </conditionalFormatting>
  <conditionalFormatting sqref="S391:S394">
    <cfRule type="expression" dxfId="1100" priority="337" stopIfTrue="1">
      <formula>$C391&lt;&gt;""</formula>
    </cfRule>
  </conditionalFormatting>
  <conditionalFormatting sqref="S391:S394">
    <cfRule type="expression" dxfId="1099" priority="336" stopIfTrue="1">
      <formula>$B391&lt;&gt;""</formula>
    </cfRule>
  </conditionalFormatting>
  <conditionalFormatting sqref="S391:S394">
    <cfRule type="expression" dxfId="1098" priority="335" stopIfTrue="1">
      <formula>$C391&lt;&gt;""</formula>
    </cfRule>
  </conditionalFormatting>
  <conditionalFormatting sqref="S391:S394">
    <cfRule type="expression" dxfId="1097" priority="334" stopIfTrue="1">
      <formula>$B391&lt;&gt;""</formula>
    </cfRule>
  </conditionalFormatting>
  <conditionalFormatting sqref="S391:S394">
    <cfRule type="expression" dxfId="1096" priority="333" stopIfTrue="1">
      <formula>$C391&lt;&gt;""</formula>
    </cfRule>
  </conditionalFormatting>
  <conditionalFormatting sqref="S391:S394">
    <cfRule type="expression" dxfId="1095" priority="332" stopIfTrue="1">
      <formula>$B391&lt;&gt;""</formula>
    </cfRule>
  </conditionalFormatting>
  <conditionalFormatting sqref="S391:S394">
    <cfRule type="expression" dxfId="1094" priority="331" stopIfTrue="1">
      <formula>$C391&lt;&gt;""</formula>
    </cfRule>
  </conditionalFormatting>
  <conditionalFormatting sqref="S391:S394">
    <cfRule type="expression" dxfId="1093" priority="330" stopIfTrue="1">
      <formula>$B391&lt;&gt;""</formula>
    </cfRule>
  </conditionalFormatting>
  <conditionalFormatting sqref="S391:S394">
    <cfRule type="expression" dxfId="1092" priority="329" stopIfTrue="1">
      <formula>$C391&lt;&gt;""</formula>
    </cfRule>
  </conditionalFormatting>
  <conditionalFormatting sqref="S391:S394">
    <cfRule type="expression" dxfId="1091" priority="328" stopIfTrue="1">
      <formula>$B391&lt;&gt;""</formula>
    </cfRule>
  </conditionalFormatting>
  <conditionalFormatting sqref="S391:S394">
    <cfRule type="expression" dxfId="1090" priority="327" stopIfTrue="1">
      <formula>$C391&lt;&gt;""</formula>
    </cfRule>
  </conditionalFormatting>
  <conditionalFormatting sqref="S391:S394">
    <cfRule type="expression" dxfId="1089" priority="326" stopIfTrue="1">
      <formula>$B391&lt;&gt;""</formula>
    </cfRule>
  </conditionalFormatting>
  <conditionalFormatting sqref="S391:S394">
    <cfRule type="expression" dxfId="1088" priority="325" stopIfTrue="1">
      <formula>$C391&lt;&gt;""</formula>
    </cfRule>
  </conditionalFormatting>
  <conditionalFormatting sqref="S391:S394">
    <cfRule type="expression" dxfId="1087" priority="324" stopIfTrue="1">
      <formula>$B391&lt;&gt;""</formula>
    </cfRule>
  </conditionalFormatting>
  <conditionalFormatting sqref="S391:S394">
    <cfRule type="expression" dxfId="1086" priority="323" stopIfTrue="1">
      <formula>$C391&lt;&gt;""</formula>
    </cfRule>
  </conditionalFormatting>
  <conditionalFormatting sqref="S391:S394">
    <cfRule type="expression" dxfId="1085" priority="322" stopIfTrue="1">
      <formula>$B391&lt;&gt;""</formula>
    </cfRule>
  </conditionalFormatting>
  <conditionalFormatting sqref="S391:S394">
    <cfRule type="expression" dxfId="1084" priority="321" stopIfTrue="1">
      <formula>$C391&lt;&gt;""</formula>
    </cfRule>
  </conditionalFormatting>
  <conditionalFormatting sqref="S391:S393">
    <cfRule type="expression" dxfId="1083" priority="320" stopIfTrue="1">
      <formula>$B391&lt;&gt;""</formula>
    </cfRule>
  </conditionalFormatting>
  <conditionalFormatting sqref="S391:S393">
    <cfRule type="expression" dxfId="1082" priority="319" stopIfTrue="1">
      <formula>$C391&lt;&gt;""</formula>
    </cfRule>
  </conditionalFormatting>
  <conditionalFormatting sqref="S394">
    <cfRule type="expression" dxfId="1081" priority="318" stopIfTrue="1">
      <formula>$B394&lt;&gt;""</formula>
    </cfRule>
  </conditionalFormatting>
  <conditionalFormatting sqref="S394">
    <cfRule type="expression" dxfId="1080" priority="317" stopIfTrue="1">
      <formula>$C394&lt;&gt;""</formula>
    </cfRule>
  </conditionalFormatting>
  <conditionalFormatting sqref="S391:S392">
    <cfRule type="expression" dxfId="1079" priority="316" stopIfTrue="1">
      <formula>$B391&lt;&gt;""</formula>
    </cfRule>
  </conditionalFormatting>
  <conditionalFormatting sqref="S391:S392">
    <cfRule type="expression" dxfId="1078" priority="315" stopIfTrue="1">
      <formula>$C391&lt;&gt;""</formula>
    </cfRule>
  </conditionalFormatting>
  <conditionalFormatting sqref="S393:S394">
    <cfRule type="expression" dxfId="1077" priority="314" stopIfTrue="1">
      <formula>$B393&lt;&gt;""</formula>
    </cfRule>
  </conditionalFormatting>
  <conditionalFormatting sqref="S393:S394">
    <cfRule type="expression" dxfId="1076" priority="313" stopIfTrue="1">
      <formula>$C393&lt;&gt;""</formula>
    </cfRule>
  </conditionalFormatting>
  <conditionalFormatting sqref="S391:S393">
    <cfRule type="expression" dxfId="1075" priority="312" stopIfTrue="1">
      <formula>$B391&lt;&gt;""</formula>
    </cfRule>
  </conditionalFormatting>
  <conditionalFormatting sqref="S391:S393">
    <cfRule type="expression" dxfId="1074" priority="311" stopIfTrue="1">
      <formula>$C391&lt;&gt;""</formula>
    </cfRule>
  </conditionalFormatting>
  <conditionalFormatting sqref="S391:S393">
    <cfRule type="expression" dxfId="1073" priority="310" stopIfTrue="1">
      <formula>$B391&lt;&gt;""</formula>
    </cfRule>
  </conditionalFormatting>
  <conditionalFormatting sqref="S391:S393">
    <cfRule type="expression" dxfId="1072" priority="309" stopIfTrue="1">
      <formula>$C391&lt;&gt;""</formula>
    </cfRule>
  </conditionalFormatting>
  <conditionalFormatting sqref="S394">
    <cfRule type="expression" dxfId="1071" priority="308" stopIfTrue="1">
      <formula>$B394&lt;&gt;""</formula>
    </cfRule>
  </conditionalFormatting>
  <conditionalFormatting sqref="S394">
    <cfRule type="expression" dxfId="1070" priority="307" stopIfTrue="1">
      <formula>$C394&lt;&gt;""</formula>
    </cfRule>
  </conditionalFormatting>
  <conditionalFormatting sqref="S391:S393">
    <cfRule type="expression" dxfId="1069" priority="306" stopIfTrue="1">
      <formula>$B391&lt;&gt;""</formula>
    </cfRule>
  </conditionalFormatting>
  <conditionalFormatting sqref="S391:S393">
    <cfRule type="expression" dxfId="1068" priority="305" stopIfTrue="1">
      <formula>$C391&lt;&gt;""</formula>
    </cfRule>
  </conditionalFormatting>
  <conditionalFormatting sqref="S394">
    <cfRule type="expression" dxfId="1067" priority="304" stopIfTrue="1">
      <formula>$B394&lt;&gt;""</formula>
    </cfRule>
  </conditionalFormatting>
  <conditionalFormatting sqref="S394">
    <cfRule type="expression" dxfId="1066" priority="303" stopIfTrue="1">
      <formula>$C394&lt;&gt;""</formula>
    </cfRule>
  </conditionalFormatting>
  <conditionalFormatting sqref="S394">
    <cfRule type="expression" dxfId="1065" priority="302" stopIfTrue="1">
      <formula>$B394&lt;&gt;""</formula>
    </cfRule>
  </conditionalFormatting>
  <conditionalFormatting sqref="S394">
    <cfRule type="expression" dxfId="1064" priority="301" stopIfTrue="1">
      <formula>$C394&lt;&gt;""</formula>
    </cfRule>
  </conditionalFormatting>
  <conditionalFormatting sqref="S391:S394">
    <cfRule type="expression" dxfId="1063" priority="300" stopIfTrue="1">
      <formula>$C391&lt;&gt;""</formula>
    </cfRule>
  </conditionalFormatting>
  <conditionalFormatting sqref="S391:S394">
    <cfRule type="expression" dxfId="1062" priority="299" stopIfTrue="1">
      <formula>$B391&lt;&gt;""</formula>
    </cfRule>
  </conditionalFormatting>
  <conditionalFormatting sqref="S393:S394">
    <cfRule type="expression" dxfId="1061" priority="298" stopIfTrue="1">
      <formula>$C393&lt;&gt;""</formula>
    </cfRule>
  </conditionalFormatting>
  <conditionalFormatting sqref="S393:S394">
    <cfRule type="expression" dxfId="1060" priority="297" stopIfTrue="1">
      <formula>$B393&lt;&gt;""</formula>
    </cfRule>
  </conditionalFormatting>
  <conditionalFormatting sqref="S391:S393">
    <cfRule type="expression" dxfId="1059" priority="296" stopIfTrue="1">
      <formula>$B391&lt;&gt;""</formula>
    </cfRule>
  </conditionalFormatting>
  <conditionalFormatting sqref="S391:S393">
    <cfRule type="expression" dxfId="1058" priority="295" stopIfTrue="1">
      <formula>$C391&lt;&gt;""</formula>
    </cfRule>
  </conditionalFormatting>
  <conditionalFormatting sqref="S394">
    <cfRule type="expression" dxfId="1057" priority="294" stopIfTrue="1">
      <formula>$B394&lt;&gt;""</formula>
    </cfRule>
  </conditionalFormatting>
  <conditionalFormatting sqref="S394">
    <cfRule type="expression" dxfId="1056" priority="293" stopIfTrue="1">
      <formula>$C394&lt;&gt;""</formula>
    </cfRule>
  </conditionalFormatting>
  <conditionalFormatting sqref="S391:S392">
    <cfRule type="expression" dxfId="1055" priority="292" stopIfTrue="1">
      <formula>$B391&lt;&gt;""</formula>
    </cfRule>
  </conditionalFormatting>
  <conditionalFormatting sqref="S391:S392">
    <cfRule type="expression" dxfId="1054" priority="291" stopIfTrue="1">
      <formula>$C391&lt;&gt;""</formula>
    </cfRule>
  </conditionalFormatting>
  <conditionalFormatting sqref="S393:S394">
    <cfRule type="expression" dxfId="1053" priority="290" stopIfTrue="1">
      <formula>$B393&lt;&gt;""</formula>
    </cfRule>
  </conditionalFormatting>
  <conditionalFormatting sqref="S393:S394">
    <cfRule type="expression" dxfId="1052" priority="289" stopIfTrue="1">
      <formula>$C393&lt;&gt;""</formula>
    </cfRule>
  </conditionalFormatting>
  <conditionalFormatting sqref="S391:S393">
    <cfRule type="expression" dxfId="1051" priority="288" stopIfTrue="1">
      <formula>$B391&lt;&gt;""</formula>
    </cfRule>
  </conditionalFormatting>
  <conditionalFormatting sqref="S391:S393">
    <cfRule type="expression" dxfId="1050" priority="287" stopIfTrue="1">
      <formula>$C391&lt;&gt;""</formula>
    </cfRule>
  </conditionalFormatting>
  <conditionalFormatting sqref="S391:S393">
    <cfRule type="expression" dxfId="1049" priority="286" stopIfTrue="1">
      <formula>$B391&lt;&gt;""</formula>
    </cfRule>
  </conditionalFormatting>
  <conditionalFormatting sqref="S391:S393">
    <cfRule type="expression" dxfId="1048" priority="285" stopIfTrue="1">
      <formula>$C391&lt;&gt;""</formula>
    </cfRule>
  </conditionalFormatting>
  <conditionalFormatting sqref="S394">
    <cfRule type="expression" dxfId="1047" priority="284" stopIfTrue="1">
      <formula>$B394&lt;&gt;""</formula>
    </cfRule>
  </conditionalFormatting>
  <conditionalFormatting sqref="S394">
    <cfRule type="expression" dxfId="1046" priority="283" stopIfTrue="1">
      <formula>$C394&lt;&gt;""</formula>
    </cfRule>
  </conditionalFormatting>
  <conditionalFormatting sqref="S391:S393">
    <cfRule type="expression" dxfId="1045" priority="282" stopIfTrue="1">
      <formula>$B391&lt;&gt;""</formula>
    </cfRule>
  </conditionalFormatting>
  <conditionalFormatting sqref="S391:S393">
    <cfRule type="expression" dxfId="1044" priority="281" stopIfTrue="1">
      <formula>$C391&lt;&gt;""</formula>
    </cfRule>
  </conditionalFormatting>
  <conditionalFormatting sqref="S394">
    <cfRule type="expression" dxfId="1043" priority="280" stopIfTrue="1">
      <formula>$B394&lt;&gt;""</formula>
    </cfRule>
  </conditionalFormatting>
  <conditionalFormatting sqref="S394">
    <cfRule type="expression" dxfId="1042" priority="279" stopIfTrue="1">
      <formula>$C394&lt;&gt;""</formula>
    </cfRule>
  </conditionalFormatting>
  <conditionalFormatting sqref="S394">
    <cfRule type="expression" dxfId="1041" priority="278" stopIfTrue="1">
      <formula>$B394&lt;&gt;""</formula>
    </cfRule>
  </conditionalFormatting>
  <conditionalFormatting sqref="S394">
    <cfRule type="expression" dxfId="1040" priority="277" stopIfTrue="1">
      <formula>$C394&lt;&gt;""</formula>
    </cfRule>
  </conditionalFormatting>
  <conditionalFormatting sqref="S391:S394">
    <cfRule type="expression" dxfId="1039" priority="276" stopIfTrue="1">
      <formula>$C391&lt;&gt;""</formula>
    </cfRule>
  </conditionalFormatting>
  <conditionalFormatting sqref="S391:S394">
    <cfRule type="expression" dxfId="1038" priority="275" stopIfTrue="1">
      <formula>$B391&lt;&gt;""</formula>
    </cfRule>
  </conditionalFormatting>
  <conditionalFormatting sqref="S393:S394">
    <cfRule type="expression" dxfId="1037" priority="274" stopIfTrue="1">
      <formula>$C393&lt;&gt;""</formula>
    </cfRule>
  </conditionalFormatting>
  <conditionalFormatting sqref="S393:S394">
    <cfRule type="expression" dxfId="1036" priority="273" stopIfTrue="1">
      <formula>$B393&lt;&gt;""</formula>
    </cfRule>
  </conditionalFormatting>
  <conditionalFormatting sqref="S391">
    <cfRule type="expression" dxfId="1035" priority="272" stopIfTrue="1">
      <formula>$B391&lt;&gt;""</formula>
    </cfRule>
  </conditionalFormatting>
  <conditionalFormatting sqref="S391">
    <cfRule type="expression" dxfId="1034" priority="271" stopIfTrue="1">
      <formula>$C391&lt;&gt;""</formula>
    </cfRule>
  </conditionalFormatting>
  <conditionalFormatting sqref="S391:S394">
    <cfRule type="expression" dxfId="1033" priority="270" stopIfTrue="1">
      <formula>$B391&lt;&gt;""</formula>
    </cfRule>
  </conditionalFormatting>
  <conditionalFormatting sqref="S391:S394">
    <cfRule type="expression" dxfId="1032" priority="269" stopIfTrue="1">
      <formula>$C391&lt;&gt;""</formula>
    </cfRule>
  </conditionalFormatting>
  <conditionalFormatting sqref="S391:S394">
    <cfRule type="expression" dxfId="1031" priority="268" stopIfTrue="1">
      <formula>$B391&lt;&gt;""</formula>
    </cfRule>
  </conditionalFormatting>
  <conditionalFormatting sqref="S391:S394">
    <cfRule type="expression" dxfId="1030" priority="267" stopIfTrue="1">
      <formula>$C391&lt;&gt;""</formula>
    </cfRule>
  </conditionalFormatting>
  <conditionalFormatting sqref="S391:S394">
    <cfRule type="expression" dxfId="1029" priority="266" stopIfTrue="1">
      <formula>$B391&lt;&gt;""</formula>
    </cfRule>
  </conditionalFormatting>
  <conditionalFormatting sqref="S391:S394">
    <cfRule type="expression" dxfId="1028" priority="265" stopIfTrue="1">
      <formula>$C391&lt;&gt;""</formula>
    </cfRule>
  </conditionalFormatting>
  <conditionalFormatting sqref="S391:S394">
    <cfRule type="expression" dxfId="1027" priority="264" stopIfTrue="1">
      <formula>$B391&lt;&gt;""</formula>
    </cfRule>
  </conditionalFormatting>
  <conditionalFormatting sqref="S391:S394">
    <cfRule type="expression" dxfId="1026" priority="263" stopIfTrue="1">
      <formula>$C391&lt;&gt;""</formula>
    </cfRule>
  </conditionalFormatting>
  <conditionalFormatting sqref="S391:S394">
    <cfRule type="expression" dxfId="1025" priority="262" stopIfTrue="1">
      <formula>$B391&lt;&gt;""</formula>
    </cfRule>
  </conditionalFormatting>
  <conditionalFormatting sqref="S391:S394">
    <cfRule type="expression" dxfId="1024" priority="261" stopIfTrue="1">
      <formula>$C391&lt;&gt;""</formula>
    </cfRule>
  </conditionalFormatting>
  <conditionalFormatting sqref="S391:S394">
    <cfRule type="expression" dxfId="1023" priority="260" stopIfTrue="1">
      <formula>$B391&lt;&gt;""</formula>
    </cfRule>
  </conditionalFormatting>
  <conditionalFormatting sqref="S391:S394">
    <cfRule type="expression" dxfId="1022" priority="259" stopIfTrue="1">
      <formula>$C391&lt;&gt;""</formula>
    </cfRule>
  </conditionalFormatting>
  <conditionalFormatting sqref="S391:S394">
    <cfRule type="expression" dxfId="1021" priority="258" stopIfTrue="1">
      <formula>$B391&lt;&gt;""</formula>
    </cfRule>
  </conditionalFormatting>
  <conditionalFormatting sqref="S391:S394">
    <cfRule type="expression" dxfId="1020" priority="257" stopIfTrue="1">
      <formula>$C391&lt;&gt;""</formula>
    </cfRule>
  </conditionalFormatting>
  <conditionalFormatting sqref="S391:S394">
    <cfRule type="expression" dxfId="1019" priority="256" stopIfTrue="1">
      <formula>$B391&lt;&gt;""</formula>
    </cfRule>
  </conditionalFormatting>
  <conditionalFormatting sqref="S391:S394">
    <cfRule type="expression" dxfId="1018" priority="255" stopIfTrue="1">
      <formula>$C391&lt;&gt;""</formula>
    </cfRule>
  </conditionalFormatting>
  <conditionalFormatting sqref="S391:S394">
    <cfRule type="expression" dxfId="1017" priority="254" stopIfTrue="1">
      <formula>$B391&lt;&gt;""</formula>
    </cfRule>
  </conditionalFormatting>
  <conditionalFormatting sqref="S391:S394">
    <cfRule type="expression" dxfId="1016" priority="253" stopIfTrue="1">
      <formula>$C391&lt;&gt;""</formula>
    </cfRule>
  </conditionalFormatting>
  <conditionalFormatting sqref="S391:S393">
    <cfRule type="expression" dxfId="1015" priority="252" stopIfTrue="1">
      <formula>$B391&lt;&gt;""</formula>
    </cfRule>
  </conditionalFormatting>
  <conditionalFormatting sqref="S391:S393">
    <cfRule type="expression" dxfId="1014" priority="251" stopIfTrue="1">
      <formula>$C391&lt;&gt;""</formula>
    </cfRule>
  </conditionalFormatting>
  <conditionalFormatting sqref="S394">
    <cfRule type="expression" dxfId="1013" priority="250" stopIfTrue="1">
      <formula>$B394&lt;&gt;""</formula>
    </cfRule>
  </conditionalFormatting>
  <conditionalFormatting sqref="S394">
    <cfRule type="expression" dxfId="1012" priority="249" stopIfTrue="1">
      <formula>$C394&lt;&gt;""</formula>
    </cfRule>
  </conditionalFormatting>
  <conditionalFormatting sqref="S391:S392">
    <cfRule type="expression" dxfId="1011" priority="248" stopIfTrue="1">
      <formula>$B391&lt;&gt;""</formula>
    </cfRule>
  </conditionalFormatting>
  <conditionalFormatting sqref="S391:S392">
    <cfRule type="expression" dxfId="1010" priority="247" stopIfTrue="1">
      <formula>$C391&lt;&gt;""</formula>
    </cfRule>
  </conditionalFormatting>
  <conditionalFormatting sqref="S393:S394">
    <cfRule type="expression" dxfId="1009" priority="246" stopIfTrue="1">
      <formula>$B393&lt;&gt;""</formula>
    </cfRule>
  </conditionalFormatting>
  <conditionalFormatting sqref="S393:S394">
    <cfRule type="expression" dxfId="1008" priority="245" stopIfTrue="1">
      <formula>$C393&lt;&gt;""</formula>
    </cfRule>
  </conditionalFormatting>
  <conditionalFormatting sqref="S391:S393">
    <cfRule type="expression" dxfId="1007" priority="244" stopIfTrue="1">
      <formula>$B391&lt;&gt;""</formula>
    </cfRule>
  </conditionalFormatting>
  <conditionalFormatting sqref="S391:S393">
    <cfRule type="expression" dxfId="1006" priority="243" stopIfTrue="1">
      <formula>$C391&lt;&gt;""</formula>
    </cfRule>
  </conditionalFormatting>
  <conditionalFormatting sqref="S391:S393">
    <cfRule type="expression" dxfId="1005" priority="242" stopIfTrue="1">
      <formula>$B391&lt;&gt;""</formula>
    </cfRule>
  </conditionalFormatting>
  <conditionalFormatting sqref="S391:S393">
    <cfRule type="expression" dxfId="1004" priority="241" stopIfTrue="1">
      <formula>$C391&lt;&gt;""</formula>
    </cfRule>
  </conditionalFormatting>
  <conditionalFormatting sqref="S394">
    <cfRule type="expression" dxfId="1003" priority="240" stopIfTrue="1">
      <formula>$B394&lt;&gt;""</formula>
    </cfRule>
  </conditionalFormatting>
  <conditionalFormatting sqref="S394">
    <cfRule type="expression" dxfId="1002" priority="239" stopIfTrue="1">
      <formula>$C394&lt;&gt;""</formula>
    </cfRule>
  </conditionalFormatting>
  <conditionalFormatting sqref="S391:S393">
    <cfRule type="expression" dxfId="1001" priority="238" stopIfTrue="1">
      <formula>$B391&lt;&gt;""</formula>
    </cfRule>
  </conditionalFormatting>
  <conditionalFormatting sqref="S391:S393">
    <cfRule type="expression" dxfId="1000" priority="237" stopIfTrue="1">
      <formula>$C391&lt;&gt;""</formula>
    </cfRule>
  </conditionalFormatting>
  <conditionalFormatting sqref="S394">
    <cfRule type="expression" dxfId="999" priority="236" stopIfTrue="1">
      <formula>$B394&lt;&gt;""</formula>
    </cfRule>
  </conditionalFormatting>
  <conditionalFormatting sqref="S394">
    <cfRule type="expression" dxfId="998" priority="235" stopIfTrue="1">
      <formula>$C394&lt;&gt;""</formula>
    </cfRule>
  </conditionalFormatting>
  <conditionalFormatting sqref="S394">
    <cfRule type="expression" dxfId="997" priority="234" stopIfTrue="1">
      <formula>$B394&lt;&gt;""</formula>
    </cfRule>
  </conditionalFormatting>
  <conditionalFormatting sqref="S394">
    <cfRule type="expression" dxfId="996" priority="233" stopIfTrue="1">
      <formula>$C394&lt;&gt;""</formula>
    </cfRule>
  </conditionalFormatting>
  <conditionalFormatting sqref="S391:S394">
    <cfRule type="expression" dxfId="995" priority="232" stopIfTrue="1">
      <formula>$C391&lt;&gt;""</formula>
    </cfRule>
  </conditionalFormatting>
  <conditionalFormatting sqref="S391:S394">
    <cfRule type="expression" dxfId="994" priority="231" stopIfTrue="1">
      <formula>$B391&lt;&gt;""</formula>
    </cfRule>
  </conditionalFormatting>
  <conditionalFormatting sqref="S393:S394">
    <cfRule type="expression" dxfId="993" priority="230" stopIfTrue="1">
      <formula>$C393&lt;&gt;""</formula>
    </cfRule>
  </conditionalFormatting>
  <conditionalFormatting sqref="S393:S394">
    <cfRule type="expression" dxfId="992" priority="229" stopIfTrue="1">
      <formula>$B393&lt;&gt;""</formula>
    </cfRule>
  </conditionalFormatting>
  <conditionalFormatting sqref="S391:S393">
    <cfRule type="expression" dxfId="991" priority="228" stopIfTrue="1">
      <formula>$B391&lt;&gt;""</formula>
    </cfRule>
  </conditionalFormatting>
  <conditionalFormatting sqref="S391:S393">
    <cfRule type="expression" dxfId="990" priority="227" stopIfTrue="1">
      <formula>$C391&lt;&gt;""</formula>
    </cfRule>
  </conditionalFormatting>
  <conditionalFormatting sqref="S394">
    <cfRule type="expression" dxfId="989" priority="226" stopIfTrue="1">
      <formula>$B394&lt;&gt;""</formula>
    </cfRule>
  </conditionalFormatting>
  <conditionalFormatting sqref="S394">
    <cfRule type="expression" dxfId="988" priority="225" stopIfTrue="1">
      <formula>$C394&lt;&gt;""</formula>
    </cfRule>
  </conditionalFormatting>
  <conditionalFormatting sqref="S391:S392">
    <cfRule type="expression" dxfId="987" priority="224" stopIfTrue="1">
      <formula>$B391&lt;&gt;""</formula>
    </cfRule>
  </conditionalFormatting>
  <conditionalFormatting sqref="S391:S392">
    <cfRule type="expression" dxfId="986" priority="223" stopIfTrue="1">
      <formula>$C391&lt;&gt;""</formula>
    </cfRule>
  </conditionalFormatting>
  <conditionalFormatting sqref="S393:S394">
    <cfRule type="expression" dxfId="985" priority="222" stopIfTrue="1">
      <formula>$B393&lt;&gt;""</formula>
    </cfRule>
  </conditionalFormatting>
  <conditionalFormatting sqref="S393:S394">
    <cfRule type="expression" dxfId="984" priority="221" stopIfTrue="1">
      <formula>$C393&lt;&gt;""</formula>
    </cfRule>
  </conditionalFormatting>
  <conditionalFormatting sqref="S391:S393">
    <cfRule type="expression" dxfId="983" priority="220" stopIfTrue="1">
      <formula>$B391&lt;&gt;""</formula>
    </cfRule>
  </conditionalFormatting>
  <conditionalFormatting sqref="S391:S393">
    <cfRule type="expression" dxfId="982" priority="219" stopIfTrue="1">
      <formula>$C391&lt;&gt;""</formula>
    </cfRule>
  </conditionalFormatting>
  <conditionalFormatting sqref="S391:S393">
    <cfRule type="expression" dxfId="981" priority="218" stopIfTrue="1">
      <formula>$B391&lt;&gt;""</formula>
    </cfRule>
  </conditionalFormatting>
  <conditionalFormatting sqref="S391:S393">
    <cfRule type="expression" dxfId="980" priority="217" stopIfTrue="1">
      <formula>$C391&lt;&gt;""</formula>
    </cfRule>
  </conditionalFormatting>
  <conditionalFormatting sqref="S394">
    <cfRule type="expression" dxfId="979" priority="216" stopIfTrue="1">
      <formula>$B394&lt;&gt;""</formula>
    </cfRule>
  </conditionalFormatting>
  <conditionalFormatting sqref="S394">
    <cfRule type="expression" dxfId="978" priority="215" stopIfTrue="1">
      <formula>$C394&lt;&gt;""</formula>
    </cfRule>
  </conditionalFormatting>
  <conditionalFormatting sqref="S391:S393">
    <cfRule type="expression" dxfId="977" priority="214" stopIfTrue="1">
      <formula>$B391&lt;&gt;""</formula>
    </cfRule>
  </conditionalFormatting>
  <conditionalFormatting sqref="S391:S393">
    <cfRule type="expression" dxfId="976" priority="213" stopIfTrue="1">
      <formula>$C391&lt;&gt;""</formula>
    </cfRule>
  </conditionalFormatting>
  <conditionalFormatting sqref="S394">
    <cfRule type="expression" dxfId="975" priority="212" stopIfTrue="1">
      <formula>$B394&lt;&gt;""</formula>
    </cfRule>
  </conditionalFormatting>
  <conditionalFormatting sqref="S394">
    <cfRule type="expression" dxfId="974" priority="211" stopIfTrue="1">
      <formula>$C394&lt;&gt;""</formula>
    </cfRule>
  </conditionalFormatting>
  <conditionalFormatting sqref="S394">
    <cfRule type="expression" dxfId="973" priority="210" stopIfTrue="1">
      <formula>$B394&lt;&gt;""</formula>
    </cfRule>
  </conditionalFormatting>
  <conditionalFormatting sqref="S394">
    <cfRule type="expression" dxfId="972" priority="209" stopIfTrue="1">
      <formula>$C394&lt;&gt;""</formula>
    </cfRule>
  </conditionalFormatting>
  <conditionalFormatting sqref="S391:S394">
    <cfRule type="expression" dxfId="971" priority="208" stopIfTrue="1">
      <formula>$C391&lt;&gt;""</formula>
    </cfRule>
  </conditionalFormatting>
  <conditionalFormatting sqref="S391:S394">
    <cfRule type="expression" dxfId="970" priority="207" stopIfTrue="1">
      <formula>$B391&lt;&gt;""</formula>
    </cfRule>
  </conditionalFormatting>
  <conditionalFormatting sqref="S393:S394">
    <cfRule type="expression" dxfId="969" priority="206" stopIfTrue="1">
      <formula>$C393&lt;&gt;""</formula>
    </cfRule>
  </conditionalFormatting>
  <conditionalFormatting sqref="S393:S394">
    <cfRule type="expression" dxfId="968" priority="205" stopIfTrue="1">
      <formula>$B393&lt;&gt;""</formula>
    </cfRule>
  </conditionalFormatting>
  <conditionalFormatting sqref="S391">
    <cfRule type="expression" dxfId="967" priority="204" stopIfTrue="1">
      <formula>$B391&lt;&gt;""</formula>
    </cfRule>
  </conditionalFormatting>
  <conditionalFormatting sqref="S391">
    <cfRule type="expression" dxfId="966" priority="203" stopIfTrue="1">
      <formula>$C391&lt;&gt;""</formula>
    </cfRule>
  </conditionalFormatting>
  <conditionalFormatting sqref="S391:S394">
    <cfRule type="expression" dxfId="965" priority="202" stopIfTrue="1">
      <formula>$B391&lt;&gt;""</formula>
    </cfRule>
  </conditionalFormatting>
  <conditionalFormatting sqref="S391:S394">
    <cfRule type="expression" dxfId="964" priority="201" stopIfTrue="1">
      <formula>$C391&lt;&gt;""</formula>
    </cfRule>
  </conditionalFormatting>
  <conditionalFormatting sqref="S391:S394">
    <cfRule type="expression" dxfId="963" priority="200" stopIfTrue="1">
      <formula>$B391&lt;&gt;""</formula>
    </cfRule>
  </conditionalFormatting>
  <conditionalFormatting sqref="S391:S394">
    <cfRule type="expression" dxfId="962" priority="199" stopIfTrue="1">
      <formula>$C391&lt;&gt;""</formula>
    </cfRule>
  </conditionalFormatting>
  <conditionalFormatting sqref="S391:S394">
    <cfRule type="expression" dxfId="961" priority="198" stopIfTrue="1">
      <formula>$B391&lt;&gt;""</formula>
    </cfRule>
  </conditionalFormatting>
  <conditionalFormatting sqref="S391:S394">
    <cfRule type="expression" dxfId="960" priority="197" stopIfTrue="1">
      <formula>$C391&lt;&gt;""</formula>
    </cfRule>
  </conditionalFormatting>
  <conditionalFormatting sqref="S391:S394">
    <cfRule type="expression" dxfId="959" priority="196" stopIfTrue="1">
      <formula>$B391&lt;&gt;""</formula>
    </cfRule>
  </conditionalFormatting>
  <conditionalFormatting sqref="S391:S394">
    <cfRule type="expression" dxfId="958" priority="195" stopIfTrue="1">
      <formula>$C391&lt;&gt;""</formula>
    </cfRule>
  </conditionalFormatting>
  <conditionalFormatting sqref="S391:S394">
    <cfRule type="expression" dxfId="957" priority="194" stopIfTrue="1">
      <formula>$B391&lt;&gt;""</formula>
    </cfRule>
  </conditionalFormatting>
  <conditionalFormatting sqref="S391:S394">
    <cfRule type="expression" dxfId="956" priority="193" stopIfTrue="1">
      <formula>$C391&lt;&gt;""</formula>
    </cfRule>
  </conditionalFormatting>
  <conditionalFormatting sqref="S391:S394">
    <cfRule type="expression" dxfId="955" priority="192" stopIfTrue="1">
      <formula>$B391&lt;&gt;""</formula>
    </cfRule>
  </conditionalFormatting>
  <conditionalFormatting sqref="S391:S394">
    <cfRule type="expression" dxfId="954" priority="191" stopIfTrue="1">
      <formula>$C391&lt;&gt;""</formula>
    </cfRule>
  </conditionalFormatting>
  <conditionalFormatting sqref="S391:S394">
    <cfRule type="expression" dxfId="953" priority="190" stopIfTrue="1">
      <formula>$B391&lt;&gt;""</formula>
    </cfRule>
  </conditionalFormatting>
  <conditionalFormatting sqref="S391:S394">
    <cfRule type="expression" dxfId="952" priority="189" stopIfTrue="1">
      <formula>$C391&lt;&gt;""</formula>
    </cfRule>
  </conditionalFormatting>
  <conditionalFormatting sqref="S391:S394">
    <cfRule type="expression" dxfId="951" priority="188" stopIfTrue="1">
      <formula>$B391&lt;&gt;""</formula>
    </cfRule>
  </conditionalFormatting>
  <conditionalFormatting sqref="S391:S394">
    <cfRule type="expression" dxfId="950" priority="187" stopIfTrue="1">
      <formula>$C391&lt;&gt;""</formula>
    </cfRule>
  </conditionalFormatting>
  <conditionalFormatting sqref="S391:S394">
    <cfRule type="expression" dxfId="949" priority="186" stopIfTrue="1">
      <formula>$B391&lt;&gt;""</formula>
    </cfRule>
  </conditionalFormatting>
  <conditionalFormatting sqref="S391:S394">
    <cfRule type="expression" dxfId="948" priority="185" stopIfTrue="1">
      <formula>$C391&lt;&gt;""</formula>
    </cfRule>
  </conditionalFormatting>
  <conditionalFormatting sqref="S391:S393">
    <cfRule type="expression" dxfId="947" priority="184" stopIfTrue="1">
      <formula>$B391&lt;&gt;""</formula>
    </cfRule>
  </conditionalFormatting>
  <conditionalFormatting sqref="S391:S393">
    <cfRule type="expression" dxfId="946" priority="183" stopIfTrue="1">
      <formula>$C391&lt;&gt;""</formula>
    </cfRule>
  </conditionalFormatting>
  <conditionalFormatting sqref="S394">
    <cfRule type="expression" dxfId="945" priority="182" stopIfTrue="1">
      <formula>$B394&lt;&gt;""</formula>
    </cfRule>
  </conditionalFormatting>
  <conditionalFormatting sqref="S394">
    <cfRule type="expression" dxfId="944" priority="181" stopIfTrue="1">
      <formula>$C394&lt;&gt;""</formula>
    </cfRule>
  </conditionalFormatting>
  <conditionalFormatting sqref="S391:S392">
    <cfRule type="expression" dxfId="943" priority="180" stopIfTrue="1">
      <formula>$B391&lt;&gt;""</formula>
    </cfRule>
  </conditionalFormatting>
  <conditionalFormatting sqref="S391:S392">
    <cfRule type="expression" dxfId="942" priority="179" stopIfTrue="1">
      <formula>$C391&lt;&gt;""</formula>
    </cfRule>
  </conditionalFormatting>
  <conditionalFormatting sqref="S393:S394">
    <cfRule type="expression" dxfId="941" priority="178" stopIfTrue="1">
      <formula>$B393&lt;&gt;""</formula>
    </cfRule>
  </conditionalFormatting>
  <conditionalFormatting sqref="S393:S394">
    <cfRule type="expression" dxfId="940" priority="177" stopIfTrue="1">
      <formula>$C393&lt;&gt;""</formula>
    </cfRule>
  </conditionalFormatting>
  <conditionalFormatting sqref="S391:S393">
    <cfRule type="expression" dxfId="939" priority="176" stopIfTrue="1">
      <formula>$B391&lt;&gt;""</formula>
    </cfRule>
  </conditionalFormatting>
  <conditionalFormatting sqref="S391:S393">
    <cfRule type="expression" dxfId="938" priority="175" stopIfTrue="1">
      <formula>$C391&lt;&gt;""</formula>
    </cfRule>
  </conditionalFormatting>
  <conditionalFormatting sqref="S391:S393">
    <cfRule type="expression" dxfId="937" priority="174" stopIfTrue="1">
      <formula>$B391&lt;&gt;""</formula>
    </cfRule>
  </conditionalFormatting>
  <conditionalFormatting sqref="S391:S393">
    <cfRule type="expression" dxfId="936" priority="173" stopIfTrue="1">
      <formula>$C391&lt;&gt;""</formula>
    </cfRule>
  </conditionalFormatting>
  <conditionalFormatting sqref="S394">
    <cfRule type="expression" dxfId="935" priority="172" stopIfTrue="1">
      <formula>$B394&lt;&gt;""</formula>
    </cfRule>
  </conditionalFormatting>
  <conditionalFormatting sqref="S394">
    <cfRule type="expression" dxfId="934" priority="171" stopIfTrue="1">
      <formula>$C394&lt;&gt;""</formula>
    </cfRule>
  </conditionalFormatting>
  <conditionalFormatting sqref="S391:S393">
    <cfRule type="expression" dxfId="933" priority="170" stopIfTrue="1">
      <formula>$B391&lt;&gt;""</formula>
    </cfRule>
  </conditionalFormatting>
  <conditionalFormatting sqref="S391:S393">
    <cfRule type="expression" dxfId="932" priority="169" stopIfTrue="1">
      <formula>$C391&lt;&gt;""</formula>
    </cfRule>
  </conditionalFormatting>
  <conditionalFormatting sqref="S394">
    <cfRule type="expression" dxfId="931" priority="168" stopIfTrue="1">
      <formula>$B394&lt;&gt;""</formula>
    </cfRule>
  </conditionalFormatting>
  <conditionalFormatting sqref="S394">
    <cfRule type="expression" dxfId="930" priority="167" stopIfTrue="1">
      <formula>$C394&lt;&gt;""</formula>
    </cfRule>
  </conditionalFormatting>
  <conditionalFormatting sqref="S394">
    <cfRule type="expression" dxfId="929" priority="166" stopIfTrue="1">
      <formula>$B394&lt;&gt;""</formula>
    </cfRule>
  </conditionalFormatting>
  <conditionalFormatting sqref="S394">
    <cfRule type="expression" dxfId="928" priority="165" stopIfTrue="1">
      <formula>$C394&lt;&gt;""</formula>
    </cfRule>
  </conditionalFormatting>
  <conditionalFormatting sqref="S391:S394">
    <cfRule type="expression" dxfId="927" priority="164" stopIfTrue="1">
      <formula>$C391&lt;&gt;""</formula>
    </cfRule>
  </conditionalFormatting>
  <conditionalFormatting sqref="S391:S394">
    <cfRule type="expression" dxfId="926" priority="163" stopIfTrue="1">
      <formula>$B391&lt;&gt;""</formula>
    </cfRule>
  </conditionalFormatting>
  <conditionalFormatting sqref="S393:S394">
    <cfRule type="expression" dxfId="925" priority="162" stopIfTrue="1">
      <formula>$C393&lt;&gt;""</formula>
    </cfRule>
  </conditionalFormatting>
  <conditionalFormatting sqref="S393:S394">
    <cfRule type="expression" dxfId="924" priority="161" stopIfTrue="1">
      <formula>$B393&lt;&gt;""</formula>
    </cfRule>
  </conditionalFormatting>
  <conditionalFormatting sqref="S391:S393">
    <cfRule type="expression" dxfId="923" priority="160" stopIfTrue="1">
      <formula>$B391&lt;&gt;""</formula>
    </cfRule>
  </conditionalFormatting>
  <conditionalFormatting sqref="S391:S393">
    <cfRule type="expression" dxfId="922" priority="159" stopIfTrue="1">
      <formula>$C391&lt;&gt;""</formula>
    </cfRule>
  </conditionalFormatting>
  <conditionalFormatting sqref="S394">
    <cfRule type="expression" dxfId="921" priority="158" stopIfTrue="1">
      <formula>$B394&lt;&gt;""</formula>
    </cfRule>
  </conditionalFormatting>
  <conditionalFormatting sqref="S394">
    <cfRule type="expression" dxfId="920" priority="157" stopIfTrue="1">
      <formula>$C394&lt;&gt;""</formula>
    </cfRule>
  </conditionalFormatting>
  <conditionalFormatting sqref="S391:S392">
    <cfRule type="expression" dxfId="919" priority="156" stopIfTrue="1">
      <formula>$B391&lt;&gt;""</formula>
    </cfRule>
  </conditionalFormatting>
  <conditionalFormatting sqref="S391:S392">
    <cfRule type="expression" dxfId="918" priority="155" stopIfTrue="1">
      <formula>$C391&lt;&gt;""</formula>
    </cfRule>
  </conditionalFormatting>
  <conditionalFormatting sqref="S393:S394">
    <cfRule type="expression" dxfId="917" priority="154" stopIfTrue="1">
      <formula>$B393&lt;&gt;""</formula>
    </cfRule>
  </conditionalFormatting>
  <conditionalFormatting sqref="S393:S394">
    <cfRule type="expression" dxfId="916" priority="153" stopIfTrue="1">
      <formula>$C393&lt;&gt;""</formula>
    </cfRule>
  </conditionalFormatting>
  <conditionalFormatting sqref="S391:S393">
    <cfRule type="expression" dxfId="915" priority="152" stopIfTrue="1">
      <formula>$B391&lt;&gt;""</formula>
    </cfRule>
  </conditionalFormatting>
  <conditionalFormatting sqref="S391:S393">
    <cfRule type="expression" dxfId="914" priority="151" stopIfTrue="1">
      <formula>$C391&lt;&gt;""</formula>
    </cfRule>
  </conditionalFormatting>
  <conditionalFormatting sqref="S391:S393">
    <cfRule type="expression" dxfId="913" priority="150" stopIfTrue="1">
      <formula>$B391&lt;&gt;""</formula>
    </cfRule>
  </conditionalFormatting>
  <conditionalFormatting sqref="S391:S393">
    <cfRule type="expression" dxfId="912" priority="149" stopIfTrue="1">
      <formula>$C391&lt;&gt;""</formula>
    </cfRule>
  </conditionalFormatting>
  <conditionalFormatting sqref="S394">
    <cfRule type="expression" dxfId="911" priority="148" stopIfTrue="1">
      <formula>$B394&lt;&gt;""</formula>
    </cfRule>
  </conditionalFormatting>
  <conditionalFormatting sqref="S394">
    <cfRule type="expression" dxfId="910" priority="147" stopIfTrue="1">
      <formula>$C394&lt;&gt;""</formula>
    </cfRule>
  </conditionalFormatting>
  <conditionalFormatting sqref="S391:S393">
    <cfRule type="expression" dxfId="909" priority="146" stopIfTrue="1">
      <formula>$B391&lt;&gt;""</formula>
    </cfRule>
  </conditionalFormatting>
  <conditionalFormatting sqref="S391:S393">
    <cfRule type="expression" dxfId="908" priority="145" stopIfTrue="1">
      <formula>$C391&lt;&gt;""</formula>
    </cfRule>
  </conditionalFormatting>
  <conditionalFormatting sqref="S394">
    <cfRule type="expression" dxfId="907" priority="144" stopIfTrue="1">
      <formula>$B394&lt;&gt;""</formula>
    </cfRule>
  </conditionalFormatting>
  <conditionalFormatting sqref="S394">
    <cfRule type="expression" dxfId="906" priority="143" stopIfTrue="1">
      <formula>$C394&lt;&gt;""</formula>
    </cfRule>
  </conditionalFormatting>
  <conditionalFormatting sqref="S394">
    <cfRule type="expression" dxfId="905" priority="142" stopIfTrue="1">
      <formula>$B394&lt;&gt;""</formula>
    </cfRule>
  </conditionalFormatting>
  <conditionalFormatting sqref="S394">
    <cfRule type="expression" dxfId="904" priority="141" stopIfTrue="1">
      <formula>$C394&lt;&gt;""</formula>
    </cfRule>
  </conditionalFormatting>
  <conditionalFormatting sqref="S391:S394">
    <cfRule type="expression" dxfId="903" priority="140" stopIfTrue="1">
      <formula>$C391&lt;&gt;""</formula>
    </cfRule>
  </conditionalFormatting>
  <conditionalFormatting sqref="S391:S394">
    <cfRule type="expression" dxfId="902" priority="139" stopIfTrue="1">
      <formula>$B391&lt;&gt;""</formula>
    </cfRule>
  </conditionalFormatting>
  <conditionalFormatting sqref="S393:S394">
    <cfRule type="expression" dxfId="901" priority="138" stopIfTrue="1">
      <formula>$C393&lt;&gt;""</formula>
    </cfRule>
  </conditionalFormatting>
  <conditionalFormatting sqref="S393:S394">
    <cfRule type="expression" dxfId="900" priority="137" stopIfTrue="1">
      <formula>$B393&lt;&gt;""</formula>
    </cfRule>
  </conditionalFormatting>
  <conditionalFormatting sqref="S391">
    <cfRule type="expression" dxfId="899" priority="136" stopIfTrue="1">
      <formula>$B391&lt;&gt;""</formula>
    </cfRule>
  </conditionalFormatting>
  <conditionalFormatting sqref="S391">
    <cfRule type="expression" dxfId="898" priority="135" stopIfTrue="1">
      <formula>$C391&lt;&gt;""</formula>
    </cfRule>
  </conditionalFormatting>
  <conditionalFormatting sqref="S391:S394">
    <cfRule type="expression" dxfId="897" priority="134" stopIfTrue="1">
      <formula>$B391&lt;&gt;""</formula>
    </cfRule>
  </conditionalFormatting>
  <conditionalFormatting sqref="S391:S394">
    <cfRule type="expression" dxfId="896" priority="133" stopIfTrue="1">
      <formula>$C391&lt;&gt;""</formula>
    </cfRule>
  </conditionalFormatting>
  <conditionalFormatting sqref="S391:S394">
    <cfRule type="expression" dxfId="895" priority="132" stopIfTrue="1">
      <formula>$B391&lt;&gt;""</formula>
    </cfRule>
  </conditionalFormatting>
  <conditionalFormatting sqref="S391:S394">
    <cfRule type="expression" dxfId="894" priority="131" stopIfTrue="1">
      <formula>$C391&lt;&gt;""</formula>
    </cfRule>
  </conditionalFormatting>
  <conditionalFormatting sqref="S391:S394">
    <cfRule type="expression" dxfId="893" priority="130" stopIfTrue="1">
      <formula>$B391&lt;&gt;""</formula>
    </cfRule>
  </conditionalFormatting>
  <conditionalFormatting sqref="S391:S394">
    <cfRule type="expression" dxfId="892" priority="129" stopIfTrue="1">
      <formula>$C391&lt;&gt;""</formula>
    </cfRule>
  </conditionalFormatting>
  <conditionalFormatting sqref="S391:S394">
    <cfRule type="expression" dxfId="891" priority="128" stopIfTrue="1">
      <formula>$B391&lt;&gt;""</formula>
    </cfRule>
  </conditionalFormatting>
  <conditionalFormatting sqref="S391:S394">
    <cfRule type="expression" dxfId="890" priority="127" stopIfTrue="1">
      <formula>$C391&lt;&gt;""</formula>
    </cfRule>
  </conditionalFormatting>
  <conditionalFormatting sqref="S391:S394">
    <cfRule type="expression" dxfId="889" priority="126" stopIfTrue="1">
      <formula>$B391&lt;&gt;""</formula>
    </cfRule>
  </conditionalFormatting>
  <conditionalFormatting sqref="S391:S394">
    <cfRule type="expression" dxfId="888" priority="125" stopIfTrue="1">
      <formula>$C391&lt;&gt;""</formula>
    </cfRule>
  </conditionalFormatting>
  <conditionalFormatting sqref="S391:S394">
    <cfRule type="expression" dxfId="887" priority="124" stopIfTrue="1">
      <formula>$B391&lt;&gt;""</formula>
    </cfRule>
  </conditionalFormatting>
  <conditionalFormatting sqref="S391:S394">
    <cfRule type="expression" dxfId="886" priority="123" stopIfTrue="1">
      <formula>$C391&lt;&gt;""</formula>
    </cfRule>
  </conditionalFormatting>
  <conditionalFormatting sqref="S391:S394">
    <cfRule type="expression" dxfId="885" priority="122" stopIfTrue="1">
      <formula>$B391&lt;&gt;""</formula>
    </cfRule>
  </conditionalFormatting>
  <conditionalFormatting sqref="S391:S394">
    <cfRule type="expression" dxfId="884" priority="121" stopIfTrue="1">
      <formula>$C391&lt;&gt;""</formula>
    </cfRule>
  </conditionalFormatting>
  <conditionalFormatting sqref="S391:S394">
    <cfRule type="expression" dxfId="883" priority="120" stopIfTrue="1">
      <formula>$B391&lt;&gt;""</formula>
    </cfRule>
  </conditionalFormatting>
  <conditionalFormatting sqref="S391:S394">
    <cfRule type="expression" dxfId="882" priority="119" stopIfTrue="1">
      <formula>$C391&lt;&gt;""</formula>
    </cfRule>
  </conditionalFormatting>
  <conditionalFormatting sqref="S391:S394">
    <cfRule type="expression" dxfId="881" priority="118" stopIfTrue="1">
      <formula>$B391&lt;&gt;""</formula>
    </cfRule>
  </conditionalFormatting>
  <conditionalFormatting sqref="S391:S394">
    <cfRule type="expression" dxfId="880" priority="117" stopIfTrue="1">
      <formula>$C391&lt;&gt;""</formula>
    </cfRule>
  </conditionalFormatting>
  <conditionalFormatting sqref="S391:S393">
    <cfRule type="expression" dxfId="879" priority="116" stopIfTrue="1">
      <formula>$B391&lt;&gt;""</formula>
    </cfRule>
  </conditionalFormatting>
  <conditionalFormatting sqref="S391:S393">
    <cfRule type="expression" dxfId="878" priority="115" stopIfTrue="1">
      <formula>$C391&lt;&gt;""</formula>
    </cfRule>
  </conditionalFormatting>
  <conditionalFormatting sqref="S394">
    <cfRule type="expression" dxfId="877" priority="114" stopIfTrue="1">
      <formula>$B394&lt;&gt;""</formula>
    </cfRule>
  </conditionalFormatting>
  <conditionalFormatting sqref="S394">
    <cfRule type="expression" dxfId="876" priority="113" stopIfTrue="1">
      <formula>$C394&lt;&gt;""</formula>
    </cfRule>
  </conditionalFormatting>
  <conditionalFormatting sqref="S391:S392">
    <cfRule type="expression" dxfId="875" priority="112" stopIfTrue="1">
      <formula>$B391&lt;&gt;""</formula>
    </cfRule>
  </conditionalFormatting>
  <conditionalFormatting sqref="S391:S392">
    <cfRule type="expression" dxfId="874" priority="111" stopIfTrue="1">
      <formula>$C391&lt;&gt;""</formula>
    </cfRule>
  </conditionalFormatting>
  <conditionalFormatting sqref="S393:S394">
    <cfRule type="expression" dxfId="873" priority="110" stopIfTrue="1">
      <formula>$B393&lt;&gt;""</formula>
    </cfRule>
  </conditionalFormatting>
  <conditionalFormatting sqref="S393:S394">
    <cfRule type="expression" dxfId="872" priority="109" stopIfTrue="1">
      <formula>$C393&lt;&gt;""</formula>
    </cfRule>
  </conditionalFormatting>
  <conditionalFormatting sqref="S391:S393">
    <cfRule type="expression" dxfId="871" priority="108" stopIfTrue="1">
      <formula>$B391&lt;&gt;""</formula>
    </cfRule>
  </conditionalFormatting>
  <conditionalFormatting sqref="S391:S393">
    <cfRule type="expression" dxfId="870" priority="107" stopIfTrue="1">
      <formula>$C391&lt;&gt;""</formula>
    </cfRule>
  </conditionalFormatting>
  <conditionalFormatting sqref="S391:S393">
    <cfRule type="expression" dxfId="869" priority="106" stopIfTrue="1">
      <formula>$B391&lt;&gt;""</formula>
    </cfRule>
  </conditionalFormatting>
  <conditionalFormatting sqref="S391:S393">
    <cfRule type="expression" dxfId="868" priority="105" stopIfTrue="1">
      <formula>$C391&lt;&gt;""</formula>
    </cfRule>
  </conditionalFormatting>
  <conditionalFormatting sqref="S394">
    <cfRule type="expression" dxfId="867" priority="104" stopIfTrue="1">
      <formula>$B394&lt;&gt;""</formula>
    </cfRule>
  </conditionalFormatting>
  <conditionalFormatting sqref="S394">
    <cfRule type="expression" dxfId="866" priority="103" stopIfTrue="1">
      <formula>$C394&lt;&gt;""</formula>
    </cfRule>
  </conditionalFormatting>
  <conditionalFormatting sqref="S391:S393">
    <cfRule type="expression" dxfId="865" priority="102" stopIfTrue="1">
      <formula>$B391&lt;&gt;""</formula>
    </cfRule>
  </conditionalFormatting>
  <conditionalFormatting sqref="S391:S393">
    <cfRule type="expression" dxfId="864" priority="101" stopIfTrue="1">
      <formula>$C391&lt;&gt;""</formula>
    </cfRule>
  </conditionalFormatting>
  <conditionalFormatting sqref="S394">
    <cfRule type="expression" dxfId="863" priority="100" stopIfTrue="1">
      <formula>$B394&lt;&gt;""</formula>
    </cfRule>
  </conditionalFormatting>
  <conditionalFormatting sqref="S394">
    <cfRule type="expression" dxfId="862" priority="99" stopIfTrue="1">
      <formula>$C394&lt;&gt;""</formula>
    </cfRule>
  </conditionalFormatting>
  <conditionalFormatting sqref="S394">
    <cfRule type="expression" dxfId="861" priority="98" stopIfTrue="1">
      <formula>$B394&lt;&gt;""</formula>
    </cfRule>
  </conditionalFormatting>
  <conditionalFormatting sqref="S394">
    <cfRule type="expression" dxfId="860" priority="97" stopIfTrue="1">
      <formula>$C394&lt;&gt;""</formula>
    </cfRule>
  </conditionalFormatting>
  <conditionalFormatting sqref="S391:S394">
    <cfRule type="expression" dxfId="859" priority="96" stopIfTrue="1">
      <formula>$C391&lt;&gt;""</formula>
    </cfRule>
  </conditionalFormatting>
  <conditionalFormatting sqref="S391:S394">
    <cfRule type="expression" dxfId="858" priority="95" stopIfTrue="1">
      <formula>$B391&lt;&gt;""</formula>
    </cfRule>
  </conditionalFormatting>
  <conditionalFormatting sqref="S393:S394">
    <cfRule type="expression" dxfId="857" priority="94" stopIfTrue="1">
      <formula>$C393&lt;&gt;""</formula>
    </cfRule>
  </conditionalFormatting>
  <conditionalFormatting sqref="S393:S394">
    <cfRule type="expression" dxfId="856" priority="93" stopIfTrue="1">
      <formula>$B393&lt;&gt;""</formula>
    </cfRule>
  </conditionalFormatting>
  <conditionalFormatting sqref="S391:S393">
    <cfRule type="expression" dxfId="855" priority="92" stopIfTrue="1">
      <formula>$B391&lt;&gt;""</formula>
    </cfRule>
  </conditionalFormatting>
  <conditionalFormatting sqref="S391:S393">
    <cfRule type="expression" dxfId="854" priority="91" stopIfTrue="1">
      <formula>$C391&lt;&gt;""</formula>
    </cfRule>
  </conditionalFormatting>
  <conditionalFormatting sqref="S394">
    <cfRule type="expression" dxfId="853" priority="90" stopIfTrue="1">
      <formula>$B394&lt;&gt;""</formula>
    </cfRule>
  </conditionalFormatting>
  <conditionalFormatting sqref="S394">
    <cfRule type="expression" dxfId="852" priority="89" stopIfTrue="1">
      <formula>$C394&lt;&gt;""</formula>
    </cfRule>
  </conditionalFormatting>
  <conditionalFormatting sqref="S391:S392">
    <cfRule type="expression" dxfId="851" priority="88" stopIfTrue="1">
      <formula>$B391&lt;&gt;""</formula>
    </cfRule>
  </conditionalFormatting>
  <conditionalFormatting sqref="S391:S392">
    <cfRule type="expression" dxfId="850" priority="87" stopIfTrue="1">
      <formula>$C391&lt;&gt;""</formula>
    </cfRule>
  </conditionalFormatting>
  <conditionalFormatting sqref="S393:S394">
    <cfRule type="expression" dxfId="849" priority="86" stopIfTrue="1">
      <formula>$B393&lt;&gt;""</formula>
    </cfRule>
  </conditionalFormatting>
  <conditionalFormatting sqref="S393:S394">
    <cfRule type="expression" dxfId="848" priority="85" stopIfTrue="1">
      <formula>$C393&lt;&gt;""</formula>
    </cfRule>
  </conditionalFormatting>
  <conditionalFormatting sqref="S391:S393">
    <cfRule type="expression" dxfId="847" priority="84" stopIfTrue="1">
      <formula>$B391&lt;&gt;""</formula>
    </cfRule>
  </conditionalFormatting>
  <conditionalFormatting sqref="S391:S393">
    <cfRule type="expression" dxfId="846" priority="83" stopIfTrue="1">
      <formula>$C391&lt;&gt;""</formula>
    </cfRule>
  </conditionalFormatting>
  <conditionalFormatting sqref="S391:S393">
    <cfRule type="expression" dxfId="845" priority="82" stopIfTrue="1">
      <formula>$B391&lt;&gt;""</formula>
    </cfRule>
  </conditionalFormatting>
  <conditionalFormatting sqref="S391:S393">
    <cfRule type="expression" dxfId="844" priority="81" stopIfTrue="1">
      <formula>$C391&lt;&gt;""</formula>
    </cfRule>
  </conditionalFormatting>
  <conditionalFormatting sqref="S394">
    <cfRule type="expression" dxfId="843" priority="80" stopIfTrue="1">
      <formula>$B394&lt;&gt;""</formula>
    </cfRule>
  </conditionalFormatting>
  <conditionalFormatting sqref="S394">
    <cfRule type="expression" dxfId="842" priority="79" stopIfTrue="1">
      <formula>$C394&lt;&gt;""</formula>
    </cfRule>
  </conditionalFormatting>
  <conditionalFormatting sqref="S391:S393">
    <cfRule type="expression" dxfId="841" priority="78" stopIfTrue="1">
      <formula>$B391&lt;&gt;""</formula>
    </cfRule>
  </conditionalFormatting>
  <conditionalFormatting sqref="S391:S393">
    <cfRule type="expression" dxfId="840" priority="77" stopIfTrue="1">
      <formula>$C391&lt;&gt;""</formula>
    </cfRule>
  </conditionalFormatting>
  <conditionalFormatting sqref="S394">
    <cfRule type="expression" dxfId="839" priority="76" stopIfTrue="1">
      <formula>$B394&lt;&gt;""</formula>
    </cfRule>
  </conditionalFormatting>
  <conditionalFormatting sqref="S394">
    <cfRule type="expression" dxfId="838" priority="75" stopIfTrue="1">
      <formula>$C394&lt;&gt;""</formula>
    </cfRule>
  </conditionalFormatting>
  <conditionalFormatting sqref="S394">
    <cfRule type="expression" dxfId="837" priority="74" stopIfTrue="1">
      <formula>$B394&lt;&gt;""</formula>
    </cfRule>
  </conditionalFormatting>
  <conditionalFormatting sqref="S394">
    <cfRule type="expression" dxfId="836" priority="73" stopIfTrue="1">
      <formula>$C394&lt;&gt;""</formula>
    </cfRule>
  </conditionalFormatting>
  <conditionalFormatting sqref="S391:S394">
    <cfRule type="expression" dxfId="835" priority="72" stopIfTrue="1">
      <formula>$C391&lt;&gt;""</formula>
    </cfRule>
  </conditionalFormatting>
  <conditionalFormatting sqref="S391:S394">
    <cfRule type="expression" dxfId="834" priority="71" stopIfTrue="1">
      <formula>$B391&lt;&gt;""</formula>
    </cfRule>
  </conditionalFormatting>
  <conditionalFormatting sqref="S393:S394">
    <cfRule type="expression" dxfId="833" priority="70" stopIfTrue="1">
      <formula>$C393&lt;&gt;""</formula>
    </cfRule>
  </conditionalFormatting>
  <conditionalFormatting sqref="S393:S394">
    <cfRule type="expression" dxfId="832" priority="69" stopIfTrue="1">
      <formula>$B393&lt;&gt;""</formula>
    </cfRule>
  </conditionalFormatting>
  <conditionalFormatting sqref="S391">
    <cfRule type="expression" dxfId="831" priority="68" stopIfTrue="1">
      <formula>$B391&lt;&gt;""</formula>
    </cfRule>
  </conditionalFormatting>
  <conditionalFormatting sqref="S391">
    <cfRule type="expression" dxfId="830" priority="67" stopIfTrue="1">
      <formula>$C391&lt;&gt;""</formula>
    </cfRule>
  </conditionalFormatting>
  <conditionalFormatting sqref="S391:S394">
    <cfRule type="expression" dxfId="829" priority="66" stopIfTrue="1">
      <formula>$B391&lt;&gt;""</formula>
    </cfRule>
  </conditionalFormatting>
  <conditionalFormatting sqref="S391:S394">
    <cfRule type="expression" dxfId="828" priority="65" stopIfTrue="1">
      <formula>$C391&lt;&gt;""</formula>
    </cfRule>
  </conditionalFormatting>
  <conditionalFormatting sqref="S391:S394">
    <cfRule type="expression" dxfId="827" priority="64" stopIfTrue="1">
      <formula>$B391&lt;&gt;""</formula>
    </cfRule>
  </conditionalFormatting>
  <conditionalFormatting sqref="S391:S394">
    <cfRule type="expression" dxfId="826" priority="63" stopIfTrue="1">
      <formula>$C391&lt;&gt;""</formula>
    </cfRule>
  </conditionalFormatting>
  <conditionalFormatting sqref="S391:S394">
    <cfRule type="expression" dxfId="825" priority="62" stopIfTrue="1">
      <formula>$B391&lt;&gt;""</formula>
    </cfRule>
  </conditionalFormatting>
  <conditionalFormatting sqref="S391:S394">
    <cfRule type="expression" dxfId="824" priority="61" stopIfTrue="1">
      <formula>$C391&lt;&gt;""</formula>
    </cfRule>
  </conditionalFormatting>
  <conditionalFormatting sqref="S391:S394">
    <cfRule type="expression" dxfId="823" priority="60" stopIfTrue="1">
      <formula>$B391&lt;&gt;""</formula>
    </cfRule>
  </conditionalFormatting>
  <conditionalFormatting sqref="S391:S394">
    <cfRule type="expression" dxfId="822" priority="59" stopIfTrue="1">
      <formula>$C391&lt;&gt;""</formula>
    </cfRule>
  </conditionalFormatting>
  <conditionalFormatting sqref="S391:S394">
    <cfRule type="expression" dxfId="821" priority="58" stopIfTrue="1">
      <formula>$B391&lt;&gt;""</formula>
    </cfRule>
  </conditionalFormatting>
  <conditionalFormatting sqref="S391:S394">
    <cfRule type="expression" dxfId="820" priority="57" stopIfTrue="1">
      <formula>$C391&lt;&gt;""</formula>
    </cfRule>
  </conditionalFormatting>
  <conditionalFormatting sqref="S391:S394">
    <cfRule type="expression" dxfId="819" priority="56" stopIfTrue="1">
      <formula>$B391&lt;&gt;""</formula>
    </cfRule>
  </conditionalFormatting>
  <conditionalFormatting sqref="S391:S394">
    <cfRule type="expression" dxfId="818" priority="55" stopIfTrue="1">
      <formula>$C391&lt;&gt;""</formula>
    </cfRule>
  </conditionalFormatting>
  <conditionalFormatting sqref="S391:S394">
    <cfRule type="expression" dxfId="817" priority="54" stopIfTrue="1">
      <formula>$B391&lt;&gt;""</formula>
    </cfRule>
  </conditionalFormatting>
  <conditionalFormatting sqref="S391:S394">
    <cfRule type="expression" dxfId="816" priority="53" stopIfTrue="1">
      <formula>$C391&lt;&gt;""</formula>
    </cfRule>
  </conditionalFormatting>
  <conditionalFormatting sqref="S391:S394">
    <cfRule type="expression" dxfId="815" priority="52" stopIfTrue="1">
      <formula>$B391&lt;&gt;""</formula>
    </cfRule>
  </conditionalFormatting>
  <conditionalFormatting sqref="S391:S394">
    <cfRule type="expression" dxfId="814" priority="51" stopIfTrue="1">
      <formula>$C391&lt;&gt;""</formula>
    </cfRule>
  </conditionalFormatting>
  <conditionalFormatting sqref="S391:S394">
    <cfRule type="expression" dxfId="813" priority="50" stopIfTrue="1">
      <formula>$B391&lt;&gt;""</formula>
    </cfRule>
  </conditionalFormatting>
  <conditionalFormatting sqref="S391:S394">
    <cfRule type="expression" dxfId="812" priority="49" stopIfTrue="1">
      <formula>$C391&lt;&gt;""</formula>
    </cfRule>
  </conditionalFormatting>
  <conditionalFormatting sqref="S391:S393">
    <cfRule type="expression" dxfId="811" priority="48" stopIfTrue="1">
      <formula>$B391&lt;&gt;""</formula>
    </cfRule>
  </conditionalFormatting>
  <conditionalFormatting sqref="S391:S393">
    <cfRule type="expression" dxfId="810" priority="47" stopIfTrue="1">
      <formula>$C391&lt;&gt;""</formula>
    </cfRule>
  </conditionalFormatting>
  <conditionalFormatting sqref="S394">
    <cfRule type="expression" dxfId="809" priority="46" stopIfTrue="1">
      <formula>$B394&lt;&gt;""</formula>
    </cfRule>
  </conditionalFormatting>
  <conditionalFormatting sqref="S394">
    <cfRule type="expression" dxfId="808" priority="45" stopIfTrue="1">
      <formula>$C394&lt;&gt;""</formula>
    </cfRule>
  </conditionalFormatting>
  <conditionalFormatting sqref="S391:S392">
    <cfRule type="expression" dxfId="807" priority="44" stopIfTrue="1">
      <formula>$B391&lt;&gt;""</formula>
    </cfRule>
  </conditionalFormatting>
  <conditionalFormatting sqref="S391:S392">
    <cfRule type="expression" dxfId="806" priority="43" stopIfTrue="1">
      <formula>$C391&lt;&gt;""</formula>
    </cfRule>
  </conditionalFormatting>
  <conditionalFormatting sqref="S393:S394">
    <cfRule type="expression" dxfId="805" priority="42" stopIfTrue="1">
      <formula>$B393&lt;&gt;""</formula>
    </cfRule>
  </conditionalFormatting>
  <conditionalFormatting sqref="S393:S394">
    <cfRule type="expression" dxfId="804" priority="41" stopIfTrue="1">
      <formula>$C393&lt;&gt;""</formula>
    </cfRule>
  </conditionalFormatting>
  <conditionalFormatting sqref="S391:S393">
    <cfRule type="expression" dxfId="803" priority="40" stopIfTrue="1">
      <formula>$B391&lt;&gt;""</formula>
    </cfRule>
  </conditionalFormatting>
  <conditionalFormatting sqref="S391:S393">
    <cfRule type="expression" dxfId="802" priority="39" stopIfTrue="1">
      <formula>$C391&lt;&gt;""</formula>
    </cfRule>
  </conditionalFormatting>
  <conditionalFormatting sqref="S391:S393">
    <cfRule type="expression" dxfId="801" priority="38" stopIfTrue="1">
      <formula>$B391&lt;&gt;""</formula>
    </cfRule>
  </conditionalFormatting>
  <conditionalFormatting sqref="S391:S393">
    <cfRule type="expression" dxfId="800" priority="37" stopIfTrue="1">
      <formula>$C391&lt;&gt;""</formula>
    </cfRule>
  </conditionalFormatting>
  <conditionalFormatting sqref="S394">
    <cfRule type="expression" dxfId="799" priority="36" stopIfTrue="1">
      <formula>$B394&lt;&gt;""</formula>
    </cfRule>
  </conditionalFormatting>
  <conditionalFormatting sqref="S394">
    <cfRule type="expression" dxfId="798" priority="35" stopIfTrue="1">
      <formula>$C394&lt;&gt;""</formula>
    </cfRule>
  </conditionalFormatting>
  <conditionalFormatting sqref="S391:S393">
    <cfRule type="expression" dxfId="797" priority="34" stopIfTrue="1">
      <formula>$B391&lt;&gt;""</formula>
    </cfRule>
  </conditionalFormatting>
  <conditionalFormatting sqref="S391:S393">
    <cfRule type="expression" dxfId="796" priority="33" stopIfTrue="1">
      <formula>$C391&lt;&gt;""</formula>
    </cfRule>
  </conditionalFormatting>
  <conditionalFormatting sqref="S394">
    <cfRule type="expression" dxfId="795" priority="32" stopIfTrue="1">
      <formula>$B394&lt;&gt;""</formula>
    </cfRule>
  </conditionalFormatting>
  <conditionalFormatting sqref="S394">
    <cfRule type="expression" dxfId="794" priority="31" stopIfTrue="1">
      <formula>$C394&lt;&gt;""</formula>
    </cfRule>
  </conditionalFormatting>
  <conditionalFormatting sqref="S394">
    <cfRule type="expression" dxfId="793" priority="30" stopIfTrue="1">
      <formula>$B394&lt;&gt;""</formula>
    </cfRule>
  </conditionalFormatting>
  <conditionalFormatting sqref="S394">
    <cfRule type="expression" dxfId="792" priority="29" stopIfTrue="1">
      <formula>$C394&lt;&gt;""</formula>
    </cfRule>
  </conditionalFormatting>
  <conditionalFormatting sqref="S391:S394">
    <cfRule type="expression" dxfId="791" priority="28" stopIfTrue="1">
      <formula>$C391&lt;&gt;""</formula>
    </cfRule>
  </conditionalFormatting>
  <conditionalFormatting sqref="S391:S394">
    <cfRule type="expression" dxfId="790" priority="27" stopIfTrue="1">
      <formula>$B391&lt;&gt;""</formula>
    </cfRule>
  </conditionalFormatting>
  <conditionalFormatting sqref="S393:S394">
    <cfRule type="expression" dxfId="789" priority="26" stopIfTrue="1">
      <formula>$C393&lt;&gt;""</formula>
    </cfRule>
  </conditionalFormatting>
  <conditionalFormatting sqref="S393:S394">
    <cfRule type="expression" dxfId="788" priority="25" stopIfTrue="1">
      <formula>$B393&lt;&gt;""</formula>
    </cfRule>
  </conditionalFormatting>
  <conditionalFormatting sqref="S391:S393">
    <cfRule type="expression" dxfId="787" priority="24" stopIfTrue="1">
      <formula>$B391&lt;&gt;""</formula>
    </cfRule>
  </conditionalFormatting>
  <conditionalFormatting sqref="S391:S393">
    <cfRule type="expression" dxfId="786" priority="23" stopIfTrue="1">
      <formula>$C391&lt;&gt;""</formula>
    </cfRule>
  </conditionalFormatting>
  <conditionalFormatting sqref="S394">
    <cfRule type="expression" dxfId="785" priority="22" stopIfTrue="1">
      <formula>$B394&lt;&gt;""</formula>
    </cfRule>
  </conditionalFormatting>
  <conditionalFormatting sqref="S394">
    <cfRule type="expression" dxfId="784" priority="21" stopIfTrue="1">
      <formula>$C394&lt;&gt;""</formula>
    </cfRule>
  </conditionalFormatting>
  <conditionalFormatting sqref="S391:S392">
    <cfRule type="expression" dxfId="783" priority="20" stopIfTrue="1">
      <formula>$B391&lt;&gt;""</formula>
    </cfRule>
  </conditionalFormatting>
  <conditionalFormatting sqref="S391:S392">
    <cfRule type="expression" dxfId="782" priority="19" stopIfTrue="1">
      <formula>$C391&lt;&gt;""</formula>
    </cfRule>
  </conditionalFormatting>
  <conditionalFormatting sqref="S393:S394">
    <cfRule type="expression" dxfId="781" priority="18" stopIfTrue="1">
      <formula>$B393&lt;&gt;""</formula>
    </cfRule>
  </conditionalFormatting>
  <conditionalFormatting sqref="S393:S394">
    <cfRule type="expression" dxfId="780" priority="17" stopIfTrue="1">
      <formula>$C393&lt;&gt;""</formula>
    </cfRule>
  </conditionalFormatting>
  <conditionalFormatting sqref="S391:S393">
    <cfRule type="expression" dxfId="779" priority="16" stopIfTrue="1">
      <formula>$B391&lt;&gt;""</formula>
    </cfRule>
  </conditionalFormatting>
  <conditionalFormatting sqref="S391:S393">
    <cfRule type="expression" dxfId="778" priority="15" stopIfTrue="1">
      <formula>$C391&lt;&gt;""</formula>
    </cfRule>
  </conditionalFormatting>
  <conditionalFormatting sqref="S391:S393">
    <cfRule type="expression" dxfId="777" priority="14" stopIfTrue="1">
      <formula>$B391&lt;&gt;""</formula>
    </cfRule>
  </conditionalFormatting>
  <conditionalFormatting sqref="S391:S393">
    <cfRule type="expression" dxfId="776" priority="13" stopIfTrue="1">
      <formula>$C391&lt;&gt;""</formula>
    </cfRule>
  </conditionalFormatting>
  <conditionalFormatting sqref="S394">
    <cfRule type="expression" dxfId="775" priority="12" stopIfTrue="1">
      <formula>$B394&lt;&gt;""</formula>
    </cfRule>
  </conditionalFormatting>
  <conditionalFormatting sqref="S394">
    <cfRule type="expression" dxfId="774" priority="11" stopIfTrue="1">
      <formula>$C394&lt;&gt;""</formula>
    </cfRule>
  </conditionalFormatting>
  <conditionalFormatting sqref="S391:S393">
    <cfRule type="expression" dxfId="773" priority="10" stopIfTrue="1">
      <formula>$B391&lt;&gt;""</formula>
    </cfRule>
  </conditionalFormatting>
  <conditionalFormatting sqref="S391:S393">
    <cfRule type="expression" dxfId="772" priority="9" stopIfTrue="1">
      <formula>$C391&lt;&gt;""</formula>
    </cfRule>
  </conditionalFormatting>
  <conditionalFormatting sqref="S394">
    <cfRule type="expression" dxfId="771" priority="8" stopIfTrue="1">
      <formula>$B394&lt;&gt;""</formula>
    </cfRule>
  </conditionalFormatting>
  <conditionalFormatting sqref="S394">
    <cfRule type="expression" dxfId="770" priority="7" stopIfTrue="1">
      <formula>$C394&lt;&gt;""</formula>
    </cfRule>
  </conditionalFormatting>
  <conditionalFormatting sqref="S394">
    <cfRule type="expression" dxfId="769" priority="6" stopIfTrue="1">
      <formula>$B394&lt;&gt;""</formula>
    </cfRule>
  </conditionalFormatting>
  <conditionalFormatting sqref="S394">
    <cfRule type="expression" dxfId="768" priority="5" stopIfTrue="1">
      <formula>$C394&lt;&gt;""</formula>
    </cfRule>
  </conditionalFormatting>
  <conditionalFormatting sqref="S391:S394">
    <cfRule type="expression" dxfId="767" priority="4" stopIfTrue="1">
      <formula>$C391&lt;&gt;""</formula>
    </cfRule>
  </conditionalFormatting>
  <conditionalFormatting sqref="S391:S394">
    <cfRule type="expression" dxfId="766" priority="3" stopIfTrue="1">
      <formula>$B391&lt;&gt;""</formula>
    </cfRule>
  </conditionalFormatting>
  <conditionalFormatting sqref="S393:S394">
    <cfRule type="expression" dxfId="765" priority="2" stopIfTrue="1">
      <formula>$C393&lt;&gt;""</formula>
    </cfRule>
  </conditionalFormatting>
  <conditionalFormatting sqref="S393:S394">
    <cfRule type="expression" dxfId="764" priority="1" stopIfTrue="1">
      <formula>$B393&lt;&gt;""</formula>
    </cfRule>
  </conditionalFormatting>
  <pageMargins left="0.7" right="0.7" top="0.75" bottom="0.75" header="0.3" footer="0.3"/>
  <pageSetup orientation="portrait" horizontalDpi="0" verticalDpi="0" r:id="rId1"/>
</worksheet>
</file>

<file path=xl/worksheets/sheet9.xml><?xml version="1.0" encoding="utf-8"?>
<worksheet xmlns="http://schemas.openxmlformats.org/spreadsheetml/2006/main" xmlns:r="http://schemas.openxmlformats.org/officeDocument/2006/relationships">
  <dimension ref="A1:X360"/>
  <sheetViews>
    <sheetView topLeftCell="A97" workbookViewId="0">
      <selection activeCell="D133" sqref="D124:D133"/>
    </sheetView>
  </sheetViews>
  <sheetFormatPr defaultRowHeight="12.75"/>
  <cols>
    <col min="1" max="1" width="4.85546875" style="238" customWidth="1"/>
    <col min="2" max="2" width="9.140625" style="238"/>
    <col min="3" max="3" width="34.5703125" style="238" bestFit="1" customWidth="1"/>
    <col min="4" max="4" width="13.42578125" style="238" customWidth="1"/>
    <col min="5" max="5" width="12" style="238" bestFit="1" customWidth="1"/>
    <col min="6" max="6" width="13.85546875" style="238" customWidth="1"/>
    <col min="7" max="7" width="14.28515625" style="238" bestFit="1" customWidth="1"/>
    <col min="8" max="8" width="12.85546875" style="238" bestFit="1" customWidth="1"/>
    <col min="9" max="10" width="13.28515625" style="238" customWidth="1"/>
    <col min="11" max="11" width="9.5703125" style="73" customWidth="1"/>
    <col min="12" max="13" width="9.140625" style="238"/>
    <col min="14" max="14" width="8.85546875" style="237" customWidth="1"/>
    <col min="15" max="15" width="11.140625" style="238" bestFit="1" customWidth="1"/>
    <col min="16" max="16" width="9.85546875" style="238" bestFit="1" customWidth="1"/>
    <col min="17" max="17" width="8.85546875" style="238" customWidth="1"/>
    <col min="18" max="18" width="11.140625" style="237" bestFit="1" customWidth="1"/>
    <col min="19" max="21" width="9.140625" style="238"/>
    <col min="22" max="22" width="11.140625" style="238" bestFit="1" customWidth="1"/>
    <col min="23" max="23" width="9.85546875" style="237" bestFit="1" customWidth="1"/>
    <col min="24" max="24" width="10.7109375" style="238" bestFit="1" customWidth="1"/>
    <col min="25" max="16384" width="9.140625" style="238"/>
  </cols>
  <sheetData>
    <row r="1" spans="1:23">
      <c r="A1" s="85" t="s">
        <v>1576</v>
      </c>
      <c r="B1" s="85"/>
      <c r="C1" s="86"/>
      <c r="D1" s="87"/>
      <c r="E1" s="87"/>
      <c r="F1" s="341"/>
      <c r="G1" s="341"/>
      <c r="H1" s="342"/>
      <c r="I1" s="341"/>
      <c r="J1" s="341"/>
    </row>
    <row r="2" spans="1:23">
      <c r="A2" s="342"/>
      <c r="B2" s="342"/>
      <c r="C2" s="342"/>
      <c r="D2" s="342"/>
      <c r="E2" s="341"/>
      <c r="F2" s="341"/>
      <c r="G2" s="341"/>
      <c r="H2" s="342"/>
      <c r="I2" s="343" t="s">
        <v>1577</v>
      </c>
      <c r="J2" s="344">
        <v>142542050.38999999</v>
      </c>
    </row>
    <row r="3" spans="1:23">
      <c r="A3" s="342"/>
      <c r="B3" s="342"/>
      <c r="C3" s="342"/>
      <c r="D3" s="342"/>
      <c r="E3" s="341"/>
      <c r="F3" s="341"/>
      <c r="G3" s="341"/>
      <c r="H3" s="342"/>
      <c r="I3" s="341"/>
      <c r="J3" s="341" t="s">
        <v>1476</v>
      </c>
      <c r="L3" s="238" t="s">
        <v>2371</v>
      </c>
    </row>
    <row r="4" spans="1:23">
      <c r="A4" s="342">
        <f>+COUNT(A6:A15)</f>
        <v>10</v>
      </c>
      <c r="B4" s="342"/>
      <c r="C4" s="342" t="s">
        <v>1578</v>
      </c>
      <c r="D4" s="342"/>
      <c r="E4" s="1011" t="s">
        <v>1579</v>
      </c>
      <c r="F4" s="1011"/>
      <c r="G4" s="1011"/>
      <c r="H4" s="1011"/>
      <c r="I4" s="1011" t="s">
        <v>1580</v>
      </c>
      <c r="J4" s="1011"/>
      <c r="K4" s="1012" t="s">
        <v>1581</v>
      </c>
      <c r="L4" s="1012"/>
      <c r="M4" s="79">
        <f>SUM(M6:M15)</f>
        <v>99.530000000000015</v>
      </c>
      <c r="O4" s="238">
        <v>250</v>
      </c>
      <c r="P4" s="79">
        <f>+O4/2-M4</f>
        <v>25.469999999999985</v>
      </c>
    </row>
    <row r="5" spans="1:23">
      <c r="A5" s="78" t="s">
        <v>1</v>
      </c>
      <c r="B5" s="102" t="s">
        <v>302</v>
      </c>
      <c r="C5" s="103" t="s">
        <v>303</v>
      </c>
      <c r="D5" s="103" t="s">
        <v>1582</v>
      </c>
      <c r="E5" s="345" t="s">
        <v>1583</v>
      </c>
      <c r="F5" s="345" t="s">
        <v>1584</v>
      </c>
      <c r="G5" s="345" t="s">
        <v>310</v>
      </c>
      <c r="H5" s="346" t="s">
        <v>1585</v>
      </c>
      <c r="I5" s="345" t="s">
        <v>310</v>
      </c>
      <c r="J5" s="345" t="s">
        <v>309</v>
      </c>
      <c r="K5" s="345" t="s">
        <v>261</v>
      </c>
      <c r="L5" s="345" t="s">
        <v>262</v>
      </c>
    </row>
    <row r="6" spans="1:23">
      <c r="A6" s="347">
        <f>+IF(B6="","",ROW()-5)</f>
        <v>1</v>
      </c>
      <c r="B6" s="348">
        <v>211503</v>
      </c>
      <c r="C6" s="370" t="str">
        <f>IFERROR(VLOOKUP(B6,TN!$B$8:$T$966,2,FALSE),"")</f>
        <v>Н-Евровагонка /зузаан-1.2см/</v>
      </c>
      <c r="D6" s="370" t="str">
        <f>IFERROR(VLOOKUP(B6,TN!$B$8:$T$966,3,FALSE),"")</f>
        <v>м2</v>
      </c>
      <c r="E6" s="350">
        <v>12000</v>
      </c>
      <c r="F6" s="350">
        <v>2720</v>
      </c>
      <c r="G6" s="351">
        <f>+IF(E6="","",E6*F6)</f>
        <v>32640000</v>
      </c>
      <c r="H6" s="352">
        <f ca="1">IFERROR(G6/SUM(G6:OFFSET(INDIRECT("g5"),1,0,INDIRECT("a4"),1)),"")</f>
        <v>0.32794132422385208</v>
      </c>
      <c r="I6" s="351">
        <f ca="1">+IF(H6="","",H6*$J$2)</f>
        <v>46745428.762479648</v>
      </c>
      <c r="J6" s="351">
        <f ca="1">+IF(I6="","",I6/F6)</f>
        <v>17185.819397970459</v>
      </c>
      <c r="K6" s="108">
        <f>IFERROR(VLOOKUP(B6,TN!$B$8:$T$993,19,FALSE),"")</f>
        <v>150101</v>
      </c>
      <c r="L6" s="353">
        <f>+IF(F6="","",140501)</f>
        <v>140501</v>
      </c>
      <c r="M6" s="79">
        <f>+F6/N6</f>
        <v>32.64</v>
      </c>
      <c r="N6" s="237">
        <f>1/0.012</f>
        <v>83.333333333333329</v>
      </c>
      <c r="O6" s="237">
        <f>IF(N6="","",1000000/N6)</f>
        <v>12000</v>
      </c>
      <c r="P6" s="79">
        <f ca="1">+J6</f>
        <v>17185.819397970459</v>
      </c>
      <c r="Q6" s="79">
        <f ca="1">100-O6*100/P6</f>
        <v>30.174990658768778</v>
      </c>
      <c r="R6" s="237">
        <f>+F6*0.012</f>
        <v>32.64</v>
      </c>
      <c r="S6" s="79"/>
    </row>
    <row r="7" spans="1:23">
      <c r="A7" s="347">
        <f t="shared" ref="A7:A15" si="0">+IF(B7="","",ROW()-5)</f>
        <v>2</v>
      </c>
      <c r="B7" s="348">
        <v>211710</v>
      </c>
      <c r="C7" s="370" t="str">
        <f>IFERROR(VLOOKUP(B7,TN!$B$8:$T$966,2,FALSE),"")</f>
        <v xml:space="preserve">Н-Хавтан /зузаан-3см/-яртай </v>
      </c>
      <c r="D7" s="370" t="str">
        <f>IFERROR(VLOOKUP(B7,TN!$B$8:$T$966,3,FALSE),"")</f>
        <v>м2</v>
      </c>
      <c r="E7" s="350">
        <v>29999.999999999996</v>
      </c>
      <c r="F7" s="350">
        <v>550</v>
      </c>
      <c r="G7" s="351">
        <f>+IF(E7="","",E7*F7)</f>
        <v>16499999.999999998</v>
      </c>
      <c r="H7" s="352">
        <f ca="1">IFERROR(G7/SUM(G7:OFFSET(INDIRECT("g5"),1,0,INDIRECT("a4"),1)),"")</f>
        <v>0.16577916206168991</v>
      </c>
      <c r="I7" s="351">
        <f t="shared" ref="I7:I15" ca="1" si="1">+IF(H7="","",H7*$J$2)</f>
        <v>23630501.672209378</v>
      </c>
      <c r="J7" s="351">
        <f ca="1">+IF(I7="","",I7/F7)</f>
        <v>42964.548494926144</v>
      </c>
      <c r="K7" s="108">
        <f>IFERROR(VLOOKUP(B7,TN!$B$8:$T$993,19,FALSE),"")</f>
        <v>150101</v>
      </c>
      <c r="L7" s="353">
        <f t="shared" ref="L7:L15" si="2">+IF(F7="","",140501)</f>
        <v>140501</v>
      </c>
      <c r="M7" s="79">
        <f>+F7/N7</f>
        <v>16.5</v>
      </c>
      <c r="N7" s="237">
        <f>1/0.03</f>
        <v>33.333333333333336</v>
      </c>
      <c r="O7" s="237">
        <f t="shared" ref="O7:O17" si="3">IF(N7="","",1000000/N7)</f>
        <v>29999.999999999996</v>
      </c>
      <c r="P7" s="79">
        <f t="shared" ref="P7:P15" ca="1" si="4">+J7</f>
        <v>42964.548494926144</v>
      </c>
      <c r="Q7" s="79">
        <f t="shared" ref="Q7:Q15" ca="1" si="5">100-O7*100/P7</f>
        <v>30.174990658768792</v>
      </c>
      <c r="R7" s="237">
        <f>+F7*0.018</f>
        <v>9.8999999999999986</v>
      </c>
    </row>
    <row r="8" spans="1:23">
      <c r="A8" s="347">
        <f t="shared" si="0"/>
        <v>3</v>
      </c>
      <c r="B8" s="348">
        <v>211711</v>
      </c>
      <c r="C8" s="370" t="str">
        <f>IFERROR(VLOOKUP(B8,TN!$B$8:$T$966,2,FALSE),"")</f>
        <v>Н-Хавтан /зузаан-2.6см/</v>
      </c>
      <c r="D8" s="370" t="str">
        <f>IFERROR(VLOOKUP(B8,TN!$B$8:$T$966,3,FALSE),"")</f>
        <v>м2</v>
      </c>
      <c r="E8" s="350">
        <v>26000</v>
      </c>
      <c r="F8" s="350">
        <v>350</v>
      </c>
      <c r="G8" s="351">
        <f>+IF(E8="","",E8*F8)</f>
        <v>9100000</v>
      </c>
      <c r="H8" s="352">
        <f ca="1">IFERROR(G8/SUM(G8:OFFSET(INDIRECT("g5"),1,0,INDIRECT("a4"),1)),"")</f>
        <v>9.1429719682507793E-2</v>
      </c>
      <c r="I8" s="351">
        <f t="shared" ca="1" si="1"/>
        <v>13032579.7101276</v>
      </c>
      <c r="J8" s="351">
        <f ca="1">+IF(I8="","",I8/F8)</f>
        <v>37235.942028935999</v>
      </c>
      <c r="K8" s="108">
        <f>IFERROR(VLOOKUP(B8,TN!$B$8:$T$993,19,FALSE),"")</f>
        <v>150101</v>
      </c>
      <c r="L8" s="353">
        <f t="shared" si="2"/>
        <v>140501</v>
      </c>
      <c r="M8" s="79">
        <f>+F8/N8</f>
        <v>9.1</v>
      </c>
      <c r="N8" s="237">
        <f>1/0.026</f>
        <v>38.46153846153846</v>
      </c>
      <c r="O8" s="237">
        <f t="shared" si="3"/>
        <v>26000</v>
      </c>
      <c r="P8" s="79">
        <f t="shared" ca="1" si="4"/>
        <v>37235.942028935999</v>
      </c>
      <c r="Q8" s="79">
        <f t="shared" ca="1" si="5"/>
        <v>30.174990658768792</v>
      </c>
      <c r="R8" s="237">
        <f>+F8*0.02</f>
        <v>7</v>
      </c>
    </row>
    <row r="9" spans="1:23">
      <c r="A9" s="347">
        <f t="shared" si="0"/>
        <v>4</v>
      </c>
      <c r="B9" s="359">
        <v>211713</v>
      </c>
      <c r="C9" s="370" t="str">
        <f>IFERROR(VLOOKUP(B9,TN!$B$8:$T$966,2,FALSE),"")</f>
        <v>Н-Хавтан /зузаан-2см/</v>
      </c>
      <c r="D9" s="370" t="str">
        <f>IFERROR(VLOOKUP(B9,TN!$B$8:$T$966,3,FALSE),"")</f>
        <v>м2</v>
      </c>
      <c r="E9" s="350">
        <v>20000</v>
      </c>
      <c r="F9" s="350">
        <v>350</v>
      </c>
      <c r="G9" s="351">
        <f t="shared" ref="G9:G15" si="6">+IF(E9="","",E9*F9)</f>
        <v>7000000</v>
      </c>
      <c r="H9" s="352">
        <f ca="1">IFERROR(G9/SUM(G9:OFFSET(INDIRECT("g5"),1,0,INDIRECT("a4"),1)),"")</f>
        <v>7.0330553601929066E-2</v>
      </c>
      <c r="I9" s="351">
        <f t="shared" ca="1" si="1"/>
        <v>10025061.315482767</v>
      </c>
      <c r="J9" s="351">
        <f t="shared" ref="J9:J15" ca="1" si="7">+IF(I9="","",I9/F9)</f>
        <v>28643.032329950765</v>
      </c>
      <c r="K9" s="108">
        <f>IFERROR(VLOOKUP(B9,TN!$B$8:$T$993,19,FALSE),"")</f>
        <v>150101</v>
      </c>
      <c r="L9" s="353">
        <f t="shared" si="2"/>
        <v>140501</v>
      </c>
      <c r="M9" s="79">
        <f t="shared" ref="M9:M15" si="8">+F9/N9</f>
        <v>7</v>
      </c>
      <c r="N9" s="237">
        <f>1/0.02</f>
        <v>50</v>
      </c>
      <c r="O9" s="237">
        <f t="shared" si="3"/>
        <v>20000</v>
      </c>
      <c r="P9" s="79">
        <f t="shared" ca="1" si="4"/>
        <v>28643.032329950765</v>
      </c>
      <c r="Q9" s="79">
        <f t="shared" ca="1" si="5"/>
        <v>30.174990658768778</v>
      </c>
    </row>
    <row r="10" spans="1:23">
      <c r="A10" s="347">
        <f t="shared" si="0"/>
        <v>5</v>
      </c>
      <c r="B10" s="359">
        <v>211714</v>
      </c>
      <c r="C10" s="370" t="str">
        <f>IFERROR(VLOOKUP(B10,TN!$B$8:$T$966,2,FALSE),"")</f>
        <v xml:space="preserve">Н-Хавтан /зузаан-2см/-яртай </v>
      </c>
      <c r="D10" s="370" t="str">
        <f>IFERROR(VLOOKUP(B10,TN!$B$8:$T$966,3,FALSE),"")</f>
        <v>м2</v>
      </c>
      <c r="E10" s="350">
        <v>20000</v>
      </c>
      <c r="F10" s="350">
        <v>210</v>
      </c>
      <c r="G10" s="351">
        <f t="shared" si="6"/>
        <v>4200000</v>
      </c>
      <c r="H10" s="352">
        <f ca="1">IFERROR(G10/SUM(G10:OFFSET(INDIRECT("g5"),1,0,INDIRECT("a4"),1)),"")</f>
        <v>4.219833216115744E-2</v>
      </c>
      <c r="I10" s="351">
        <f t="shared" ca="1" si="1"/>
        <v>6015036.7892896608</v>
      </c>
      <c r="J10" s="351">
        <f t="shared" ca="1" si="7"/>
        <v>28643.032329950765</v>
      </c>
      <c r="K10" s="108">
        <f>IFERROR(VLOOKUP(B10,TN!$B$8:$T$993,19,FALSE),"")</f>
        <v>150101</v>
      </c>
      <c r="L10" s="353">
        <f t="shared" si="2"/>
        <v>140501</v>
      </c>
      <c r="M10" s="79">
        <f t="shared" si="8"/>
        <v>4.2</v>
      </c>
      <c r="N10" s="237">
        <f>1/0.02</f>
        <v>50</v>
      </c>
      <c r="O10" s="237">
        <f t="shared" si="3"/>
        <v>20000</v>
      </c>
      <c r="P10" s="79">
        <f t="shared" ca="1" si="4"/>
        <v>28643.032329950765</v>
      </c>
      <c r="Q10" s="79">
        <f t="shared" ca="1" si="5"/>
        <v>30.174990658768778</v>
      </c>
    </row>
    <row r="11" spans="1:23">
      <c r="A11" s="347">
        <f t="shared" si="0"/>
        <v>6</v>
      </c>
      <c r="B11" s="359">
        <v>211715</v>
      </c>
      <c r="C11" s="370" t="str">
        <f>IFERROR(VLOOKUP(B11,TN!$B$8:$T$966,2,FALSE),"")</f>
        <v>Н-Хавтан /зузаан-1.8см/</v>
      </c>
      <c r="D11" s="370" t="str">
        <f>IFERROR(VLOOKUP(B11,TN!$B$8:$T$966,3,FALSE),"")</f>
        <v>м2</v>
      </c>
      <c r="E11" s="350">
        <v>18000</v>
      </c>
      <c r="F11" s="350">
        <v>200</v>
      </c>
      <c r="G11" s="351">
        <f t="shared" si="6"/>
        <v>3600000</v>
      </c>
      <c r="H11" s="352">
        <f ca="1">IFERROR(G11/SUM(G11:OFFSET(INDIRECT("g5"),1,0,INDIRECT("a4"),1)),"")</f>
        <v>3.6169998995277806E-2</v>
      </c>
      <c r="I11" s="351">
        <f t="shared" ca="1" si="1"/>
        <v>5155745.8193911379</v>
      </c>
      <c r="J11" s="351">
        <f t="shared" ca="1" si="7"/>
        <v>25778.729096955689</v>
      </c>
      <c r="K11" s="108">
        <f>IFERROR(VLOOKUP(B11,TN!$B$8:$T$993,19,FALSE),"")</f>
        <v>150101</v>
      </c>
      <c r="L11" s="353">
        <f t="shared" si="2"/>
        <v>140501</v>
      </c>
      <c r="M11" s="79">
        <f t="shared" si="8"/>
        <v>3.6</v>
      </c>
      <c r="N11" s="237">
        <f>1/0.018</f>
        <v>55.555555555555557</v>
      </c>
      <c r="O11" s="237">
        <f t="shared" si="3"/>
        <v>18000</v>
      </c>
      <c r="P11" s="79">
        <f t="shared" ca="1" si="4"/>
        <v>25778.729096955689</v>
      </c>
      <c r="Q11" s="79">
        <f t="shared" ca="1" si="5"/>
        <v>30.174990658768778</v>
      </c>
    </row>
    <row r="12" spans="1:23">
      <c r="A12" s="347">
        <f t="shared" si="0"/>
        <v>7</v>
      </c>
      <c r="B12" s="359">
        <v>211717</v>
      </c>
      <c r="C12" s="370" t="str">
        <f>IFERROR(VLOOKUP(B12,TN!$B$8:$T$966,2,FALSE),"")</f>
        <v>Н-Хавтан/зузаан-4см/-яртай</v>
      </c>
      <c r="D12" s="370" t="str">
        <f>IFERROR(VLOOKUP(B12,TN!$B$8:$T$966,3,FALSE),"")</f>
        <v>м2</v>
      </c>
      <c r="E12" s="350">
        <v>40000</v>
      </c>
      <c r="F12" s="350">
        <v>336</v>
      </c>
      <c r="G12" s="351">
        <f t="shared" si="6"/>
        <v>13440000</v>
      </c>
      <c r="H12" s="352">
        <f ca="1">IFERROR(G12/SUM(G12:OFFSET(INDIRECT("g5"),1,0,INDIRECT("a4"),1)),"")</f>
        <v>0.13503466291570382</v>
      </c>
      <c r="I12" s="351">
        <f t="shared" ca="1" si="1"/>
        <v>19248117.725726917</v>
      </c>
      <c r="J12" s="351">
        <f t="shared" ca="1" si="7"/>
        <v>57286.064659901538</v>
      </c>
      <c r="K12" s="108">
        <f>IFERROR(VLOOKUP(B12,TN!$B$8:$T$993,19,FALSE),"")</f>
        <v>150101</v>
      </c>
      <c r="L12" s="353">
        <f t="shared" si="2"/>
        <v>140501</v>
      </c>
      <c r="M12" s="79">
        <f>+F12/N12</f>
        <v>13.44</v>
      </c>
      <c r="N12" s="237">
        <f>1/0.04</f>
        <v>25</v>
      </c>
      <c r="O12" s="237">
        <f t="shared" si="3"/>
        <v>40000</v>
      </c>
      <c r="P12" s="79">
        <f t="shared" ca="1" si="4"/>
        <v>57286.064659901538</v>
      </c>
      <c r="Q12" s="79">
        <f t="shared" ca="1" si="5"/>
        <v>30.174990658768792</v>
      </c>
    </row>
    <row r="13" spans="1:23">
      <c r="A13" s="347">
        <f t="shared" si="0"/>
        <v>8</v>
      </c>
      <c r="B13" s="359">
        <v>211801</v>
      </c>
      <c r="C13" s="370" t="str">
        <f>IFERROR(VLOOKUP(B13,TN!$B$8:$T$966,2,FALSE),"")</f>
        <v>Н-Ембүү /20*30мм/</v>
      </c>
      <c r="D13" s="370" t="str">
        <f>IFERROR(VLOOKUP(B13,TN!$B$8:$T$966,3,FALSE),"")</f>
        <v>м</v>
      </c>
      <c r="E13" s="350">
        <v>600</v>
      </c>
      <c r="F13" s="350">
        <v>4500</v>
      </c>
      <c r="G13" s="351">
        <f t="shared" si="6"/>
        <v>2700000</v>
      </c>
      <c r="H13" s="352">
        <f ca="1">IFERROR(G13/SUM(G13:OFFSET(INDIRECT("g5"),1,0,INDIRECT("a4"),1)),"")</f>
        <v>2.7127499246458353E-2</v>
      </c>
      <c r="I13" s="351">
        <f t="shared" ca="1" si="1"/>
        <v>3866809.3645433532</v>
      </c>
      <c r="J13" s="351">
        <f t="shared" ca="1" si="7"/>
        <v>859.29096989852292</v>
      </c>
      <c r="K13" s="108">
        <f>IFERROR(VLOOKUP(B13,TN!$B$8:$T$993,19,FALSE),"")</f>
        <v>150101</v>
      </c>
      <c r="L13" s="353">
        <f t="shared" si="2"/>
        <v>140501</v>
      </c>
      <c r="M13" s="79">
        <f t="shared" si="8"/>
        <v>2.6999999999999997</v>
      </c>
      <c r="N13" s="237">
        <f>1/0.03/0.02</f>
        <v>1666.6666666666667</v>
      </c>
      <c r="O13" s="237">
        <f t="shared" si="3"/>
        <v>600</v>
      </c>
      <c r="P13" s="79">
        <f t="shared" ca="1" si="4"/>
        <v>859.29096989852292</v>
      </c>
      <c r="Q13" s="79">
        <f t="shared" ca="1" si="5"/>
        <v>30.174990658768778</v>
      </c>
    </row>
    <row r="14" spans="1:23">
      <c r="A14" s="347">
        <f t="shared" si="0"/>
        <v>9</v>
      </c>
      <c r="B14" s="359">
        <v>211802</v>
      </c>
      <c r="C14" s="370" t="str">
        <f>IFERROR(VLOOKUP(B14,TN!$B$8:$T$966,2,FALSE),"")</f>
        <v xml:space="preserve">Н-Уголок </v>
      </c>
      <c r="D14" s="370" t="str">
        <f>IFERROR(VLOOKUP(B14,TN!$B$8:$T$966,3,FALSE),"")</f>
        <v>м</v>
      </c>
      <c r="E14" s="350">
        <v>899.99999999999989</v>
      </c>
      <c r="F14" s="350">
        <v>3500</v>
      </c>
      <c r="G14" s="351">
        <f t="shared" si="6"/>
        <v>3149999.9999999995</v>
      </c>
      <c r="H14" s="352">
        <f ca="1">IFERROR(G14/SUM(G14:OFFSET(INDIRECT("g5"),1,0,INDIRECT("a4"),1)),"")</f>
        <v>3.1648749120868076E-2</v>
      </c>
      <c r="I14" s="351">
        <f t="shared" ca="1" si="1"/>
        <v>4511277.5919672446</v>
      </c>
      <c r="J14" s="351">
        <f t="shared" ca="1" si="7"/>
        <v>1288.9364548477843</v>
      </c>
      <c r="K14" s="108">
        <f>IFERROR(VLOOKUP(B14,TN!$B$8:$T$993,19,FALSE),"")</f>
        <v>150101</v>
      </c>
      <c r="L14" s="353">
        <f t="shared" si="2"/>
        <v>140501</v>
      </c>
      <c r="M14" s="79">
        <f t="shared" si="8"/>
        <v>3.1499999999999995</v>
      </c>
      <c r="N14" s="237">
        <f>1/0.03/0.03</f>
        <v>1111.1111111111113</v>
      </c>
      <c r="O14" s="237">
        <f t="shared" si="3"/>
        <v>899.99999999999989</v>
      </c>
      <c r="P14" s="79">
        <f t="shared" ca="1" si="4"/>
        <v>1288.9364548477843</v>
      </c>
      <c r="Q14" s="79">
        <f t="shared" ca="1" si="5"/>
        <v>30.174990658768778</v>
      </c>
    </row>
    <row r="15" spans="1:23" s="206" customFormat="1">
      <c r="A15" s="347">
        <f t="shared" si="0"/>
        <v>10</v>
      </c>
      <c r="B15" s="86">
        <v>211804</v>
      </c>
      <c r="C15" s="370" t="str">
        <f>IFERROR(VLOOKUP(B15,TN!$B$8:$T$966,2,FALSE),"")</f>
        <v>Н-Хэлбэртэй плинтус /20*80мм/</v>
      </c>
      <c r="D15" s="370" t="str">
        <f>IFERROR(VLOOKUP(B15,TN!$B$8:$T$966,3,FALSE),"")</f>
        <v>м</v>
      </c>
      <c r="E15" s="350">
        <v>1600</v>
      </c>
      <c r="F15" s="350">
        <v>4500</v>
      </c>
      <c r="G15" s="351">
        <f t="shared" si="6"/>
        <v>7200000</v>
      </c>
      <c r="H15" s="352">
        <f ca="1">IFERROR(G15/SUM(G15:OFFSET(INDIRECT("g5"),1,0,INDIRECT("a4"),1)),"")</f>
        <v>7.2339997990555613E-2</v>
      </c>
      <c r="I15" s="351">
        <f t="shared" ca="1" si="1"/>
        <v>10311491.638782276</v>
      </c>
      <c r="J15" s="351">
        <f t="shared" ca="1" si="7"/>
        <v>2291.4425863960614</v>
      </c>
      <c r="K15" s="108">
        <f>IFERROR(VLOOKUP(B15,TN!$B$8:$T$993,19,FALSE),"")</f>
        <v>150101</v>
      </c>
      <c r="L15" s="353">
        <f t="shared" si="2"/>
        <v>140501</v>
      </c>
      <c r="M15" s="79">
        <f t="shared" si="8"/>
        <v>7.2</v>
      </c>
      <c r="N15" s="329">
        <f>1/0.02/0.08</f>
        <v>625</v>
      </c>
      <c r="O15" s="237">
        <f t="shared" si="3"/>
        <v>1600</v>
      </c>
      <c r="P15" s="79">
        <f t="shared" ca="1" si="4"/>
        <v>2291.4425863960614</v>
      </c>
      <c r="Q15" s="79">
        <f t="shared" ca="1" si="5"/>
        <v>30.174990658768792</v>
      </c>
      <c r="R15" s="329"/>
      <c r="W15" s="329"/>
    </row>
    <row r="16" spans="1:23" s="206" customFormat="1">
      <c r="A16" s="354" t="str">
        <f>+IF(B16="","",ROW()-5)</f>
        <v/>
      </c>
      <c r="B16" s="355"/>
      <c r="C16" s="356" t="str">
        <f>IFERROR(VLOOKUP(B16,[1]TN!$B$8:$T$993,2,FALSE),"")</f>
        <v/>
      </c>
      <c r="D16" s="356" t="str">
        <f>IFERROR(VLOOKUP(B16,[1]TN!$B$8:$T$993,3,FALSE),"")</f>
        <v/>
      </c>
      <c r="E16" s="357"/>
      <c r="F16" s="357"/>
      <c r="G16" s="857">
        <f>SUM(G6:G15)</f>
        <v>99530000</v>
      </c>
      <c r="H16" s="856">
        <f ca="1">SUM(H6:H15)</f>
        <v>0.99999999999999989</v>
      </c>
      <c r="I16" s="857">
        <f ca="1">SUM(I6:I15)</f>
        <v>142542050.38999996</v>
      </c>
      <c r="J16" s="857">
        <f ca="1">SUM(J6:J15)</f>
        <v>242176.83834973373</v>
      </c>
      <c r="K16" s="359" t="str">
        <f>IFERROR(VLOOKUP(B16,[1]TN!$B$8:$T$993,19,FALSE),"")</f>
        <v/>
      </c>
      <c r="L16" s="360" t="str">
        <f>+IF(F16="","",140501)</f>
        <v/>
      </c>
      <c r="N16" s="329"/>
      <c r="O16" s="329" t="str">
        <f t="shared" si="3"/>
        <v/>
      </c>
      <c r="R16" s="329"/>
      <c r="W16" s="329"/>
    </row>
    <row r="17" spans="1:24" s="206" customFormat="1" ht="19.5" customHeight="1">
      <c r="A17" s="354" t="str">
        <f>+IF(B17="","",ROW()-5)</f>
        <v/>
      </c>
      <c r="B17" s="355"/>
      <c r="C17" s="356" t="str">
        <f>IFERROR(VLOOKUP(B17,[1]TN!$B$8:$T$993,2,FALSE),"")</f>
        <v/>
      </c>
      <c r="D17" s="356" t="str">
        <f>IFERROR(VLOOKUP(B17,[1]TN!$B$8:$T$993,3,FALSE),"")</f>
        <v/>
      </c>
      <c r="E17" s="357"/>
      <c r="F17" s="357"/>
      <c r="G17" s="357" t="str">
        <f>+IF(E17="","",E17*F17)</f>
        <v/>
      </c>
      <c r="H17" s="358" t="str">
        <f ca="1">IFERROR(G17/SUM(G17:OFFSET(INDIRECT("g5"),1,0,INDIRECT("a4"),1)),"")</f>
        <v/>
      </c>
      <c r="I17" s="357" t="str">
        <f ca="1">+IF(H17="","",H17*$J$2)</f>
        <v/>
      </c>
      <c r="J17" s="357" t="str">
        <f ca="1">+IF(I17="","",I17/F17)</f>
        <v/>
      </c>
      <c r="K17" s="359" t="str">
        <f>IFERROR(VLOOKUP(B17,[1]TN!$B$8:$T$993,19,FALSE),"")</f>
        <v/>
      </c>
      <c r="L17" s="360" t="str">
        <f>+IF(F17="","",140501)</f>
        <v/>
      </c>
      <c r="N17" s="329"/>
      <c r="O17" s="329" t="str">
        <f t="shared" si="3"/>
        <v/>
      </c>
      <c r="R17" s="329"/>
      <c r="W17" s="329"/>
    </row>
    <row r="18" spans="1:24" s="360" customFormat="1">
      <c r="A18" s="361" t="s">
        <v>1576</v>
      </c>
      <c r="B18" s="361"/>
      <c r="C18" s="359"/>
      <c r="D18" s="324"/>
      <c r="E18" s="324"/>
      <c r="F18" s="357"/>
      <c r="G18" s="357"/>
      <c r="H18" s="355"/>
      <c r="I18" s="357"/>
      <c r="J18" s="357"/>
      <c r="K18" s="362"/>
      <c r="N18" s="363"/>
      <c r="R18" s="363"/>
      <c r="W18" s="363"/>
    </row>
    <row r="19" spans="1:24">
      <c r="A19" s="342"/>
      <c r="B19" s="342"/>
      <c r="C19" s="342"/>
      <c r="D19" s="342"/>
      <c r="E19" s="341"/>
      <c r="F19" s="341"/>
      <c r="G19" s="341"/>
      <c r="H19" s="342"/>
      <c r="I19" s="343" t="s">
        <v>1577</v>
      </c>
      <c r="J19" s="364">
        <v>84596362.109999999</v>
      </c>
    </row>
    <row r="20" spans="1:24">
      <c r="A20" s="342"/>
      <c r="B20" s="342"/>
      <c r="C20" s="342"/>
      <c r="D20" s="342"/>
      <c r="E20" s="341"/>
      <c r="F20" s="341"/>
      <c r="G20" s="341"/>
      <c r="H20" s="342"/>
      <c r="I20" s="341"/>
      <c r="J20" s="341" t="s">
        <v>1476</v>
      </c>
      <c r="L20" s="238" t="s">
        <v>2371</v>
      </c>
    </row>
    <row r="21" spans="1:24" ht="15" customHeight="1">
      <c r="A21" s="342"/>
      <c r="B21" s="342"/>
      <c r="C21" s="342" t="s">
        <v>2520</v>
      </c>
      <c r="D21" s="827" t="s">
        <v>1582</v>
      </c>
      <c r="E21" s="1011" t="s">
        <v>1579</v>
      </c>
      <c r="F21" s="1011"/>
      <c r="G21" s="1011"/>
      <c r="H21" s="1011"/>
      <c r="I21" s="1011" t="s">
        <v>1580</v>
      </c>
      <c r="J21" s="1011"/>
      <c r="K21" s="1012" t="s">
        <v>1581</v>
      </c>
      <c r="L21" s="1012"/>
      <c r="M21" s="79"/>
      <c r="P21" s="79"/>
    </row>
    <row r="22" spans="1:24">
      <c r="A22" s="78" t="s">
        <v>1</v>
      </c>
      <c r="B22" s="102" t="s">
        <v>302</v>
      </c>
      <c r="C22" s="103" t="s">
        <v>303</v>
      </c>
      <c r="D22" s="828"/>
      <c r="E22" s="345" t="s">
        <v>1583</v>
      </c>
      <c r="F22" s="345" t="s">
        <v>1584</v>
      </c>
      <c r="G22" s="345" t="s">
        <v>310</v>
      </c>
      <c r="H22" s="346" t="s">
        <v>1585</v>
      </c>
      <c r="I22" s="345" t="s">
        <v>310</v>
      </c>
      <c r="J22" s="345" t="s">
        <v>309</v>
      </c>
      <c r="K22" s="345" t="s">
        <v>261</v>
      </c>
      <c r="L22" s="345" t="s">
        <v>262</v>
      </c>
    </row>
    <row r="23" spans="1:24">
      <c r="A23" s="347">
        <f t="shared" ref="A23:A30" si="9">+IF(B23="","",ROW()-5)</f>
        <v>18</v>
      </c>
      <c r="B23" s="348">
        <v>310001</v>
      </c>
      <c r="C23" s="370" t="str">
        <f>IFERROR(VLOOKUP(B23,TN!$B$8:$T$966,2,FALSE),"")</f>
        <v xml:space="preserve">Хатаасан нарсан банз </v>
      </c>
      <c r="D23" s="349" t="str">
        <f>IFERROR(VLOOKUP(B23,[1]TN!$B$8:$T$993,3,FALSE),"")</f>
        <v>м3</v>
      </c>
      <c r="E23" s="350"/>
      <c r="F23" s="350">
        <v>254.7</v>
      </c>
      <c r="G23" s="351" t="str">
        <f t="shared" ref="G23:G30" si="10">+IF(E23="","",E23*F23)</f>
        <v/>
      </c>
      <c r="H23" s="352">
        <v>1</v>
      </c>
      <c r="I23" s="351">
        <f>+IF(H23="","",H23*$J$19)</f>
        <v>84596362.109999999</v>
      </c>
      <c r="J23" s="351">
        <f t="shared" ref="J23:J30" si="11">+IF(I23="","",I23/F23)</f>
        <v>332141.19399293285</v>
      </c>
      <c r="K23" s="108">
        <f>IFERROR(VLOOKUP(B23,[1]TN!$B$8:$T$993,19,FALSE),"")</f>
        <v>150100</v>
      </c>
      <c r="L23" s="353">
        <f>+IF(F23="","",140500)</f>
        <v>140500</v>
      </c>
      <c r="M23" s="79">
        <f>+F23/N23</f>
        <v>254.7</v>
      </c>
      <c r="N23" s="831">
        <v>1</v>
      </c>
      <c r="O23" s="237">
        <f>IF(N23="","",1000000/N23)</f>
        <v>1000000</v>
      </c>
      <c r="P23" s="79">
        <f>+J23</f>
        <v>332141.19399293285</v>
      </c>
      <c r="Q23" s="79">
        <f>100-O23*100/P23</f>
        <v>-201.0767764089141</v>
      </c>
      <c r="R23" s="237">
        <f>+F23*0.012</f>
        <v>3.0564</v>
      </c>
      <c r="S23" s="79"/>
      <c r="V23" s="237">
        <v>374400</v>
      </c>
      <c r="W23" s="237">
        <v>44000</v>
      </c>
      <c r="X23" s="841">
        <f>+V23/W23</f>
        <v>8.5090909090909097</v>
      </c>
    </row>
    <row r="24" spans="1:24">
      <c r="A24" s="347" t="str">
        <f t="shared" si="9"/>
        <v/>
      </c>
      <c r="B24" s="348"/>
      <c r="C24" s="349" t="str">
        <f>IFERROR(VLOOKUP(B24,[1]TN!$B$8:$T$993,2,FALSE),"")</f>
        <v/>
      </c>
      <c r="D24" s="349" t="str">
        <f>IFERROR(VLOOKUP(B24,[1]TN!$B$8:$T$993,3,FALSE),"")</f>
        <v/>
      </c>
      <c r="E24" s="350"/>
      <c r="F24" s="350"/>
      <c r="G24" s="351" t="str">
        <f t="shared" si="10"/>
        <v/>
      </c>
      <c r="H24" s="352" t="str">
        <f ca="1">IFERROR(G24/SUM(G24:OFFSET(INDIRECT("g5"),1,0,INDIRECT("a4"),1)),"")</f>
        <v/>
      </c>
      <c r="I24" s="351" t="str">
        <f t="shared" ref="I24:I30" ca="1" si="12">+IF(H24="","",H24*$J$2)</f>
        <v/>
      </c>
      <c r="J24" s="351" t="str">
        <f t="shared" ca="1" si="11"/>
        <v/>
      </c>
      <c r="K24" s="108" t="str">
        <f>IFERROR(VLOOKUP(B24,[1]TN!$B$8:$T$993,19,FALSE),"")</f>
        <v/>
      </c>
      <c r="L24" s="353"/>
      <c r="M24" s="79"/>
      <c r="O24" s="237"/>
      <c r="P24" s="79" t="str">
        <f ca="1">+J24</f>
        <v/>
      </c>
      <c r="Q24" s="79" t="e">
        <f ca="1">100-O24*100/P24</f>
        <v>#VALUE!</v>
      </c>
      <c r="R24" s="237">
        <f>+F24*0.03</f>
        <v>0</v>
      </c>
      <c r="V24" s="237">
        <v>374400</v>
      </c>
      <c r="W24" s="237">
        <v>55000</v>
      </c>
      <c r="X24" s="841">
        <f t="shared" ref="X24:X33" si="13">+V24/W24</f>
        <v>6.8072727272727276</v>
      </c>
    </row>
    <row r="25" spans="1:24">
      <c r="A25" s="347" t="str">
        <f t="shared" si="9"/>
        <v/>
      </c>
      <c r="B25" s="348"/>
      <c r="C25" s="349" t="str">
        <f>IFERROR(VLOOKUP(B25,[1]TN!$B$8:$T$993,2,FALSE),"")</f>
        <v/>
      </c>
      <c r="D25" s="349" t="str">
        <f>IFERROR(VLOOKUP(B25,[1]TN!$B$8:$T$993,3,FALSE),"")</f>
        <v/>
      </c>
      <c r="E25" s="350"/>
      <c r="F25" s="350"/>
      <c r="G25" s="351" t="str">
        <f t="shared" si="10"/>
        <v/>
      </c>
      <c r="H25" s="352" t="str">
        <f ca="1">IFERROR(G25/SUM(G25:OFFSET(INDIRECT("g5"),1,0,INDIRECT("a4"),1)),"")</f>
        <v/>
      </c>
      <c r="I25" s="351" t="str">
        <f t="shared" ca="1" si="12"/>
        <v/>
      </c>
      <c r="J25" s="351" t="str">
        <f t="shared" ca="1" si="11"/>
        <v/>
      </c>
      <c r="K25" s="108" t="str">
        <f>IFERROR(VLOOKUP(B25,[1]TN!$B$8:$T$993,19,FALSE),"")</f>
        <v/>
      </c>
      <c r="L25" s="353"/>
      <c r="M25" s="79"/>
      <c r="O25" s="237"/>
      <c r="P25" s="79" t="str">
        <f ca="1">+J25</f>
        <v/>
      </c>
      <c r="Q25" s="79" t="e">
        <f ca="1">100-O25*100/P25</f>
        <v>#VALUE!</v>
      </c>
      <c r="R25" s="237">
        <f>+F25*0.018</f>
        <v>0</v>
      </c>
      <c r="V25" s="237">
        <v>374400</v>
      </c>
      <c r="W25" s="237">
        <v>3300</v>
      </c>
      <c r="X25" s="841">
        <f t="shared" si="13"/>
        <v>113.45454545454545</v>
      </c>
    </row>
    <row r="26" spans="1:24">
      <c r="A26" s="347" t="str">
        <f t="shared" si="9"/>
        <v/>
      </c>
      <c r="B26" s="348"/>
      <c r="C26" s="349" t="str">
        <f>IFERROR(VLOOKUP(B26,[1]TN!$B$8:$T$993,2,FALSE),"")</f>
        <v/>
      </c>
      <c r="D26" s="349" t="str">
        <f>IFERROR(VLOOKUP(B26,[1]TN!$B$8:$T$993,3,FALSE),"")</f>
        <v/>
      </c>
      <c r="E26" s="350"/>
      <c r="F26" s="350"/>
      <c r="G26" s="351" t="str">
        <f t="shared" si="10"/>
        <v/>
      </c>
      <c r="H26" s="352" t="str">
        <f ca="1">IFERROR(G26/SUM(G26:OFFSET(INDIRECT("g5"),1,0,INDIRECT("a4"),1)),"")</f>
        <v/>
      </c>
      <c r="I26" s="351" t="str">
        <f t="shared" ca="1" si="12"/>
        <v/>
      </c>
      <c r="J26" s="351" t="str">
        <f t="shared" ca="1" si="11"/>
        <v/>
      </c>
      <c r="K26" s="108" t="str">
        <f>IFERROR(VLOOKUP(B26,[1]TN!$B$8:$T$993,19,FALSE),"")</f>
        <v/>
      </c>
      <c r="L26" s="353"/>
      <c r="M26" s="79"/>
      <c r="O26" s="237"/>
      <c r="P26" s="79" t="str">
        <f ca="1">+J26</f>
        <v/>
      </c>
      <c r="Q26" s="79" t="e">
        <f ca="1">100-O26*100/P26</f>
        <v>#VALUE!</v>
      </c>
      <c r="R26" s="237">
        <f>+F26*0.02</f>
        <v>0</v>
      </c>
      <c r="V26" s="237">
        <v>374400</v>
      </c>
      <c r="W26" s="237">
        <v>1650</v>
      </c>
      <c r="X26" s="841">
        <f t="shared" si="13"/>
        <v>226.90909090909091</v>
      </c>
    </row>
    <row r="27" spans="1:24">
      <c r="A27" s="347" t="str">
        <f t="shared" si="9"/>
        <v/>
      </c>
      <c r="B27" s="348"/>
      <c r="C27" s="349" t="str">
        <f>IFERROR(VLOOKUP(B27,[1]TN!$B$8:$T$993,2,FALSE),"")</f>
        <v/>
      </c>
      <c r="D27" s="349" t="str">
        <f>IFERROR(VLOOKUP(B27,[1]TN!$B$8:$T$993,3,FALSE),"")</f>
        <v/>
      </c>
      <c r="E27" s="350"/>
      <c r="F27" s="350"/>
      <c r="G27" s="351" t="str">
        <f t="shared" si="10"/>
        <v/>
      </c>
      <c r="H27" s="352" t="str">
        <f ca="1">IFERROR(G27/SUM(G27:OFFSET(INDIRECT("g5"),1,0,INDIRECT("a4"),1)),"")</f>
        <v/>
      </c>
      <c r="I27" s="351" t="str">
        <f t="shared" ca="1" si="12"/>
        <v/>
      </c>
      <c r="J27" s="351" t="str">
        <f t="shared" ca="1" si="11"/>
        <v/>
      </c>
      <c r="K27" s="108" t="str">
        <f>IFERROR(VLOOKUP(B27,[1]TN!$B$8:$T$993,19,FALSE),"")</f>
        <v/>
      </c>
      <c r="L27" s="353"/>
      <c r="M27" s="79"/>
      <c r="O27" s="237"/>
      <c r="R27" s="237">
        <f>+F27*0.2</f>
        <v>0</v>
      </c>
      <c r="V27" s="237">
        <v>374400</v>
      </c>
      <c r="W27" s="237">
        <v>74750</v>
      </c>
      <c r="X27" s="841">
        <f t="shared" si="13"/>
        <v>5.0086956521739134</v>
      </c>
    </row>
    <row r="28" spans="1:24">
      <c r="A28" s="92" t="str">
        <f t="shared" si="9"/>
        <v/>
      </c>
      <c r="B28" s="365"/>
      <c r="C28" s="87" t="str">
        <f>IFERROR(VLOOKUP(B28,[1]TN!$B$8:$T$993,2,FALSE),"")</f>
        <v/>
      </c>
      <c r="D28" s="87" t="str">
        <f>IFERROR(VLOOKUP(B28,[1]TN!$B$8:$T$993,3,FALSE),"")</f>
        <v/>
      </c>
      <c r="E28" s="366"/>
      <c r="F28" s="366"/>
      <c r="G28" s="341" t="str">
        <f t="shared" si="10"/>
        <v/>
      </c>
      <c r="H28" s="367" t="str">
        <f ca="1">IFERROR(G28/SUM(G28:OFFSET(INDIRECT("g5"),1,0,INDIRECT("a4"),1)),"")</f>
        <v/>
      </c>
      <c r="I28" s="341" t="str">
        <f t="shared" ca="1" si="12"/>
        <v/>
      </c>
      <c r="J28" s="341" t="str">
        <f t="shared" ca="1" si="11"/>
        <v/>
      </c>
      <c r="K28" s="86" t="str">
        <f>IFERROR(VLOOKUP(B28,[1]TN!$B$8:$T$993,19,FALSE),"")</f>
        <v/>
      </c>
      <c r="V28" s="237">
        <v>374400</v>
      </c>
      <c r="W28" s="237">
        <f>93500/3</f>
        <v>31166.666666666668</v>
      </c>
      <c r="X28" s="841">
        <f t="shared" si="13"/>
        <v>12.012834224598929</v>
      </c>
    </row>
    <row r="29" spans="1:24">
      <c r="A29" s="92" t="str">
        <f t="shared" si="9"/>
        <v/>
      </c>
      <c r="B29" s="365"/>
      <c r="C29" s="87" t="str">
        <f>IFERROR(VLOOKUP(B29,[1]TN!$B$8:$T$993,2,FALSE),"")</f>
        <v/>
      </c>
      <c r="D29" s="87" t="str">
        <f>IFERROR(VLOOKUP(B29,[1]TN!$B$8:$T$993,3,FALSE),"")</f>
        <v/>
      </c>
      <c r="E29" s="366"/>
      <c r="F29" s="366"/>
      <c r="G29" s="341" t="str">
        <f t="shared" si="10"/>
        <v/>
      </c>
      <c r="H29" s="367" t="str">
        <f ca="1">IFERROR(G29/SUM(G29:OFFSET(INDIRECT("g5"),1,0,INDIRECT("a4"),1)),"")</f>
        <v/>
      </c>
      <c r="I29" s="341" t="str">
        <f t="shared" ca="1" si="12"/>
        <v/>
      </c>
      <c r="J29" s="341" t="str">
        <f t="shared" ca="1" si="11"/>
        <v/>
      </c>
      <c r="K29" s="86" t="str">
        <f>IFERROR(VLOOKUP(B29,[1]TN!$B$8:$T$993,19,FALSE),"")</f>
        <v/>
      </c>
      <c r="V29" s="237">
        <v>374400</v>
      </c>
      <c r="W29" s="237">
        <v>23760</v>
      </c>
      <c r="X29" s="841">
        <f t="shared" si="13"/>
        <v>15.757575757575758</v>
      </c>
    </row>
    <row r="30" spans="1:24">
      <c r="A30" s="92" t="str">
        <f t="shared" si="9"/>
        <v/>
      </c>
      <c r="B30" s="365"/>
      <c r="C30" s="87" t="str">
        <f>IFERROR(VLOOKUP(B30,[1]TN!$B$8:$T$993,2,FALSE),"")</f>
        <v/>
      </c>
      <c r="D30" s="87" t="str">
        <f>IFERROR(VLOOKUP(B30,[1]TN!$B$8:$T$993,3,FALSE),"")</f>
        <v/>
      </c>
      <c r="E30" s="366"/>
      <c r="F30" s="366"/>
      <c r="G30" s="341" t="str">
        <f t="shared" si="10"/>
        <v/>
      </c>
      <c r="H30" s="367" t="str">
        <f ca="1">IFERROR(G30/SUM(G30:OFFSET(INDIRECT("g5"),1,0,INDIRECT("a4"),1)),"")</f>
        <v/>
      </c>
      <c r="I30" s="341" t="str">
        <f t="shared" ca="1" si="12"/>
        <v/>
      </c>
      <c r="J30" s="341" t="str">
        <f t="shared" ca="1" si="11"/>
        <v/>
      </c>
      <c r="K30" s="86" t="str">
        <f>IFERROR(VLOOKUP(B30,[1]TN!$B$8:$T$993,19,FALSE),"")</f>
        <v/>
      </c>
      <c r="V30" s="237">
        <v>374400</v>
      </c>
      <c r="W30" s="237">
        <v>19800</v>
      </c>
      <c r="X30" s="841">
        <f t="shared" si="13"/>
        <v>18.90909090909091</v>
      </c>
    </row>
    <row r="31" spans="1:24">
      <c r="A31" s="85" t="s">
        <v>1576</v>
      </c>
      <c r="B31" s="85"/>
      <c r="C31" s="86"/>
      <c r="D31" s="87"/>
      <c r="E31" s="87"/>
      <c r="F31" s="341"/>
      <c r="G31" s="341"/>
      <c r="H31" s="342"/>
      <c r="I31" s="341"/>
      <c r="J31" s="341"/>
      <c r="V31" s="237">
        <v>374400</v>
      </c>
      <c r="W31" s="237">
        <v>33000</v>
      </c>
      <c r="X31" s="841">
        <f t="shared" si="13"/>
        <v>11.345454545454546</v>
      </c>
    </row>
    <row r="32" spans="1:24">
      <c r="A32" s="342"/>
      <c r="B32" s="342"/>
      <c r="C32" s="342"/>
      <c r="D32" s="342"/>
      <c r="E32" s="341"/>
      <c r="F32" s="341"/>
      <c r="G32" s="341"/>
      <c r="H32" s="342"/>
      <c r="I32" s="343" t="s">
        <v>1577</v>
      </c>
      <c r="J32" s="811">
        <v>139284423.97600001</v>
      </c>
      <c r="V32" s="237">
        <v>374400</v>
      </c>
      <c r="W32" s="237">
        <v>4400</v>
      </c>
      <c r="X32" s="841">
        <f t="shared" si="13"/>
        <v>85.090909090909093</v>
      </c>
    </row>
    <row r="33" spans="1:24">
      <c r="A33" s="342"/>
      <c r="B33" s="342"/>
      <c r="C33" s="342"/>
      <c r="D33" s="342"/>
      <c r="E33" s="341"/>
      <c r="F33" s="341"/>
      <c r="G33" s="341"/>
      <c r="H33" s="342"/>
      <c r="I33" s="341"/>
      <c r="J33" s="341" t="s">
        <v>1476</v>
      </c>
      <c r="L33" s="382" t="s">
        <v>2634</v>
      </c>
      <c r="V33" s="237">
        <v>374400</v>
      </c>
      <c r="W33" s="237">
        <v>10450</v>
      </c>
      <c r="X33" s="841">
        <f t="shared" si="13"/>
        <v>35.827751196172251</v>
      </c>
    </row>
    <row r="34" spans="1:24">
      <c r="A34" s="342">
        <f>+COUNT(A36:A44)</f>
        <v>8</v>
      </c>
      <c r="B34" s="342"/>
      <c r="C34" s="342" t="s">
        <v>1578</v>
      </c>
      <c r="D34" s="342"/>
      <c r="E34" s="1011" t="s">
        <v>1579</v>
      </c>
      <c r="F34" s="1011"/>
      <c r="G34" s="1011"/>
      <c r="H34" s="1011"/>
      <c r="I34" s="1011" t="s">
        <v>1580</v>
      </c>
      <c r="J34" s="1011"/>
      <c r="K34" s="1012" t="s">
        <v>1581</v>
      </c>
      <c r="L34" s="1012"/>
      <c r="M34" s="79">
        <f>SUM(M36:M44)</f>
        <v>101.77120000000001</v>
      </c>
      <c r="O34" s="238">
        <f>220/2</f>
        <v>110</v>
      </c>
    </row>
    <row r="35" spans="1:24">
      <c r="A35" s="78" t="s">
        <v>1</v>
      </c>
      <c r="B35" s="102" t="s">
        <v>302</v>
      </c>
      <c r="C35" s="103" t="s">
        <v>303</v>
      </c>
      <c r="D35" s="103" t="s">
        <v>1582</v>
      </c>
      <c r="E35" s="345" t="s">
        <v>1583</v>
      </c>
      <c r="F35" s="345" t="s">
        <v>1584</v>
      </c>
      <c r="G35" s="345" t="s">
        <v>310</v>
      </c>
      <c r="H35" s="346" t="s">
        <v>1585</v>
      </c>
      <c r="I35" s="345" t="s">
        <v>310</v>
      </c>
      <c r="J35" s="345" t="s">
        <v>309</v>
      </c>
      <c r="K35" s="345" t="s">
        <v>261</v>
      </c>
      <c r="L35" s="345" t="s">
        <v>262</v>
      </c>
    </row>
    <row r="36" spans="1:24">
      <c r="A36" s="368">
        <f>+IF(B36="","",ROW()-5)</f>
        <v>31</v>
      </c>
      <c r="B36" s="359">
        <v>211710</v>
      </c>
      <c r="C36" s="370" t="str">
        <f>IFERROR(VLOOKUP(B36,TN!$B$8:$T$966,2,FALSE),"")</f>
        <v xml:space="preserve">Н-Хавтан /зузаан-3см/-яртай </v>
      </c>
      <c r="D36" s="370" t="str">
        <f>IFERROR(VLOOKUP(B36,TN!$B$8:$T$966,3,FALSE),"")</f>
        <v>м2</v>
      </c>
      <c r="E36" s="237">
        <f>+O36</f>
        <v>29999.999999999996</v>
      </c>
      <c r="F36" s="371">
        <v>350</v>
      </c>
      <c r="G36" s="372">
        <f t="shared" ref="G36:G44" si="14">+IF(E36="","",E36*F36)</f>
        <v>10499999.999999998</v>
      </c>
      <c r="H36" s="373">
        <f ca="1">IFERROR(G36/SUM(G36:OFFSET(INDIRECT("g35"),1,0,INDIRECT("a34"),1)),"")</f>
        <v>0.10317260678856099</v>
      </c>
      <c r="I36" s="80">
        <f ca="1">+IF(H36="","",H36*$J$32)</f>
        <v>14370337.106647067</v>
      </c>
      <c r="J36" s="372">
        <f ca="1">+IF(I36="","",I36/F36)</f>
        <v>41058.106018991617</v>
      </c>
      <c r="K36" s="108">
        <f>IFERROR(VLOOKUP(B36,TN!$B$8:$T$993,19,FALSE),"")</f>
        <v>150101</v>
      </c>
      <c r="L36" s="353">
        <f>+IF(F36="","",140501)</f>
        <v>140501</v>
      </c>
      <c r="M36" s="79">
        <f t="shared" ref="M36:M44" si="15">+F36/N36</f>
        <v>10.5</v>
      </c>
      <c r="N36" s="237">
        <f>1/0.03</f>
        <v>33.333333333333336</v>
      </c>
      <c r="O36" s="237">
        <f>IF(N36="","",1000000/N36)</f>
        <v>29999.999999999996</v>
      </c>
    </row>
    <row r="37" spans="1:24">
      <c r="A37" s="368">
        <f t="shared" ref="A37:A44" si="16">+IF(B37="","",ROW()-5)</f>
        <v>32</v>
      </c>
      <c r="B37" s="359">
        <v>211711</v>
      </c>
      <c r="C37" s="370" t="str">
        <f>IFERROR(VLOOKUP(B37,TN!$B$8:$T$966,2,FALSE),"")</f>
        <v>Н-Хавтан /зузаан-2.6см/</v>
      </c>
      <c r="D37" s="370" t="str">
        <f>IFERROR(VLOOKUP(B37,TN!$B$8:$T$966,3,FALSE),"")</f>
        <v>м2</v>
      </c>
      <c r="E37" s="237">
        <f t="shared" ref="E37:E43" si="17">+O37</f>
        <v>29999.999999999996</v>
      </c>
      <c r="F37" s="371">
        <v>350</v>
      </c>
      <c r="G37" s="372">
        <f t="shared" si="14"/>
        <v>10499999.999999998</v>
      </c>
      <c r="H37" s="373">
        <f ca="1">IFERROR(G37/SUM(G37:OFFSET(INDIRECT("g35"),1,0,INDIRECT("a34"),1)),"")</f>
        <v>0.10317260678856099</v>
      </c>
      <c r="I37" s="80">
        <f t="shared" ref="I37:I44" ca="1" si="18">+IF(H37="","",H37*$J$32)</f>
        <v>14370337.106647067</v>
      </c>
      <c r="J37" s="372">
        <f t="shared" ref="J37:J44" ca="1" si="19">+IF(I37="","",I37/F37)</f>
        <v>41058.106018991617</v>
      </c>
      <c r="K37" s="108">
        <f>IFERROR(VLOOKUP(B37,TN!$B$8:$T$993,19,FALSE),"")</f>
        <v>150101</v>
      </c>
      <c r="L37" s="353">
        <f t="shared" ref="L37:L44" si="20">+IF(F37="","",140501)</f>
        <v>140501</v>
      </c>
      <c r="M37" s="79">
        <f t="shared" si="15"/>
        <v>10.5</v>
      </c>
      <c r="N37" s="237">
        <f>1/0.03</f>
        <v>33.333333333333336</v>
      </c>
      <c r="O37" s="237">
        <f t="shared" ref="O37:O44" si="21">IF(N37="","",1000000/N37)</f>
        <v>29999.999999999996</v>
      </c>
    </row>
    <row r="38" spans="1:24">
      <c r="A38" s="368">
        <f t="shared" si="16"/>
        <v>33</v>
      </c>
      <c r="B38" s="359">
        <v>211712</v>
      </c>
      <c r="C38" s="370" t="str">
        <f>IFERROR(VLOOKUP(B38,TN!$B$8:$T$966,2,FALSE),"")</f>
        <v xml:space="preserve">Н-Хавтан /зузаан-2.6см/-яртай </v>
      </c>
      <c r="D38" s="370" t="str">
        <f>IFERROR(VLOOKUP(B38,TN!$B$8:$T$966,3,FALSE),"")</f>
        <v>м2</v>
      </c>
      <c r="E38" s="237">
        <f t="shared" si="17"/>
        <v>29999.999999999996</v>
      </c>
      <c r="F38" s="371">
        <v>450</v>
      </c>
      <c r="G38" s="372">
        <f t="shared" si="14"/>
        <v>13499999.999999998</v>
      </c>
      <c r="H38" s="373">
        <f ca="1">IFERROR(G38/SUM(G38:OFFSET(INDIRECT("g35"),1,0,INDIRECT("a34"),1)),"")</f>
        <v>0.13265049444243557</v>
      </c>
      <c r="I38" s="80">
        <f t="shared" ca="1" si="18"/>
        <v>18476147.708546229</v>
      </c>
      <c r="J38" s="372">
        <f t="shared" ca="1" si="19"/>
        <v>41058.106018991617</v>
      </c>
      <c r="K38" s="108">
        <f>IFERROR(VLOOKUP(B38,TN!$B$8:$T$993,19,FALSE),"")</f>
        <v>150101</v>
      </c>
      <c r="L38" s="353">
        <f t="shared" si="20"/>
        <v>140501</v>
      </c>
      <c r="M38" s="79">
        <f t="shared" si="15"/>
        <v>13.499999999999998</v>
      </c>
      <c r="N38" s="237">
        <f>1/0.03</f>
        <v>33.333333333333336</v>
      </c>
      <c r="O38" s="237">
        <f t="shared" si="21"/>
        <v>29999.999999999996</v>
      </c>
    </row>
    <row r="39" spans="1:24">
      <c r="A39" s="368">
        <f t="shared" si="16"/>
        <v>34</v>
      </c>
      <c r="B39" s="359">
        <v>211713</v>
      </c>
      <c r="C39" s="370" t="str">
        <f>IFERROR(VLOOKUP(B39,TN!$B$8:$T$966,2,FALSE),"")</f>
        <v>Н-Хавтан /зузаан-2см/</v>
      </c>
      <c r="D39" s="370" t="str">
        <f>IFERROR(VLOOKUP(B39,TN!$B$8:$T$966,3,FALSE),"")</f>
        <v>м2</v>
      </c>
      <c r="E39" s="237">
        <f t="shared" si="17"/>
        <v>20000</v>
      </c>
      <c r="F39" s="371">
        <v>1200</v>
      </c>
      <c r="G39" s="372">
        <f t="shared" si="14"/>
        <v>24000000</v>
      </c>
      <c r="H39" s="373">
        <f ca="1">IFERROR(G39/SUM(G39:OFFSET(INDIRECT("g35"),1,0,INDIRECT("a34"),1)),"")</f>
        <v>0.23582310123099659</v>
      </c>
      <c r="I39" s="80">
        <f t="shared" ca="1" si="18"/>
        <v>32846484.815193299</v>
      </c>
      <c r="J39" s="372">
        <f t="shared" ca="1" si="19"/>
        <v>27372.07067932775</v>
      </c>
      <c r="K39" s="108">
        <f>IFERROR(VLOOKUP(B39,TN!$B$8:$T$993,19,FALSE),"")</f>
        <v>150101</v>
      </c>
      <c r="L39" s="353">
        <f t="shared" si="20"/>
        <v>140501</v>
      </c>
      <c r="M39" s="79">
        <f t="shared" si="15"/>
        <v>24</v>
      </c>
      <c r="N39" s="237">
        <f>1/0.02</f>
        <v>50</v>
      </c>
      <c r="O39" s="237">
        <f t="shared" si="21"/>
        <v>20000</v>
      </c>
    </row>
    <row r="40" spans="1:24">
      <c r="A40" s="377">
        <f t="shared" si="16"/>
        <v>35</v>
      </c>
      <c r="B40" s="359">
        <v>211714</v>
      </c>
      <c r="C40" s="370" t="str">
        <f>IFERROR(VLOOKUP(B40,TN!$B$8:$T$966,2,FALSE),"")</f>
        <v xml:space="preserve">Н-Хавтан /зузаан-2см/-яртай </v>
      </c>
      <c r="D40" s="370" t="str">
        <f>IFERROR(VLOOKUP(B40,TN!$B$8:$T$966,3,FALSE),"")</f>
        <v>м2</v>
      </c>
      <c r="E40" s="237">
        <f t="shared" si="17"/>
        <v>20000</v>
      </c>
      <c r="F40" s="371">
        <v>350</v>
      </c>
      <c r="G40" s="380">
        <f t="shared" si="14"/>
        <v>7000000</v>
      </c>
      <c r="H40" s="373">
        <f ca="1">IFERROR(G40/SUM(G40:OFFSET(INDIRECT("g35"),1,0,INDIRECT("a34"),1)),"")</f>
        <v>6.8781737859040668E-2</v>
      </c>
      <c r="I40" s="80">
        <f t="shared" ca="1" si="18"/>
        <v>9580224.7377647124</v>
      </c>
      <c r="J40" s="372">
        <f t="shared" ca="1" si="19"/>
        <v>27372.07067932775</v>
      </c>
      <c r="K40" s="108">
        <f>IFERROR(VLOOKUP(B40,TN!$B$8:$T$993,19,FALSE),"")</f>
        <v>150101</v>
      </c>
      <c r="L40" s="353">
        <f t="shared" si="20"/>
        <v>140501</v>
      </c>
      <c r="M40" s="79">
        <f t="shared" si="15"/>
        <v>7</v>
      </c>
      <c r="N40" s="237">
        <f>1/0.02</f>
        <v>50</v>
      </c>
      <c r="O40" s="237">
        <f t="shared" si="21"/>
        <v>20000</v>
      </c>
    </row>
    <row r="41" spans="1:24">
      <c r="A41" s="375">
        <f t="shared" si="16"/>
        <v>36</v>
      </c>
      <c r="B41" s="359">
        <v>211715</v>
      </c>
      <c r="C41" s="370" t="str">
        <f>IFERROR(VLOOKUP(B41,TN!$B$8:$T$966,2,FALSE),"")</f>
        <v>Н-Хавтан /зузаан-1.8см/</v>
      </c>
      <c r="D41" s="370" t="str">
        <f>IFERROR(VLOOKUP(B41,TN!$B$8:$T$966,3,FALSE),"")</f>
        <v>м2</v>
      </c>
      <c r="E41" s="237">
        <f t="shared" si="17"/>
        <v>18000</v>
      </c>
      <c r="F41" s="371">
        <v>400</v>
      </c>
      <c r="G41" s="380">
        <f t="shared" si="14"/>
        <v>7200000</v>
      </c>
      <c r="H41" s="373">
        <f ca="1">IFERROR(G41/SUM(G41:OFFSET(INDIRECT("g35"),1,0,INDIRECT("a34"),1)),"")</f>
        <v>7.074693036929898E-2</v>
      </c>
      <c r="I41" s="80">
        <f t="shared" ca="1" si="18"/>
        <v>9853945.4445579909</v>
      </c>
      <c r="J41" s="372">
        <f t="shared" ca="1" si="19"/>
        <v>24634.863611394976</v>
      </c>
      <c r="K41" s="108">
        <f>IFERROR(VLOOKUP(B41,TN!$B$8:$T$993,19,FALSE),"")</f>
        <v>150101</v>
      </c>
      <c r="L41" s="353">
        <f t="shared" si="20"/>
        <v>140501</v>
      </c>
      <c r="M41" s="79">
        <f t="shared" si="15"/>
        <v>7.2</v>
      </c>
      <c r="N41" s="237">
        <f>1/0.018</f>
        <v>55.555555555555557</v>
      </c>
      <c r="O41" s="237">
        <f t="shared" si="21"/>
        <v>18000</v>
      </c>
    </row>
    <row r="42" spans="1:24">
      <c r="A42" s="375">
        <f t="shared" si="16"/>
        <v>37</v>
      </c>
      <c r="B42" s="359">
        <v>211717</v>
      </c>
      <c r="C42" s="370" t="str">
        <f>IFERROR(VLOOKUP(B42,TN!$B$8:$T$966,2,FALSE),"")</f>
        <v>Н-Хавтан/зузаан-4см/-яртай</v>
      </c>
      <c r="D42" s="370" t="str">
        <f>IFERROR(VLOOKUP(B42,TN!$B$8:$T$966,3,FALSE),"")</f>
        <v>м2</v>
      </c>
      <c r="E42" s="237">
        <f t="shared" si="17"/>
        <v>40000</v>
      </c>
      <c r="F42" s="371">
        <v>500</v>
      </c>
      <c r="G42" s="380">
        <f t="shared" si="14"/>
        <v>20000000</v>
      </c>
      <c r="H42" s="373">
        <f ca="1">IFERROR(G42/SUM(G42:OFFSET(INDIRECT("g35"),1,0,INDIRECT("a34"),1)),"")</f>
        <v>0.19651925102583048</v>
      </c>
      <c r="I42" s="80">
        <f t="shared" ca="1" si="18"/>
        <v>27372070.679327749</v>
      </c>
      <c r="J42" s="372">
        <f t="shared" ca="1" si="19"/>
        <v>54744.141358655499</v>
      </c>
      <c r="K42" s="108">
        <f>IFERROR(VLOOKUP(B42,TN!$B$8:$T$993,19,FALSE),"")</f>
        <v>150101</v>
      </c>
      <c r="L42" s="353">
        <f t="shared" si="20"/>
        <v>140501</v>
      </c>
      <c r="M42" s="79">
        <f t="shared" si="15"/>
        <v>20</v>
      </c>
      <c r="N42" s="237">
        <f>1/0.04</f>
        <v>25</v>
      </c>
      <c r="O42" s="237">
        <f t="shared" si="21"/>
        <v>40000</v>
      </c>
    </row>
    <row r="43" spans="1:24">
      <c r="A43" s="375">
        <f t="shared" si="16"/>
        <v>38</v>
      </c>
      <c r="B43" s="375">
        <v>211803</v>
      </c>
      <c r="C43" s="370" t="str">
        <f>IFERROR(VLOOKUP(B43,TN!$B$8:$T$966,2,FALSE),"")</f>
        <v>Н-Шатны бариул /58*68мм/</v>
      </c>
      <c r="D43" s="370" t="str">
        <f>IFERROR(VLOOKUP(B43,TN!$B$8:$T$966,3,FALSE),"")</f>
        <v>м</v>
      </c>
      <c r="E43" s="237">
        <f t="shared" si="17"/>
        <v>3944.0000000000009</v>
      </c>
      <c r="F43" s="371">
        <v>2300</v>
      </c>
      <c r="G43" s="380">
        <f t="shared" si="14"/>
        <v>9071200.0000000019</v>
      </c>
      <c r="H43" s="373">
        <f ca="1">IFERROR(G43/SUM(G43:OFFSET(INDIRECT("g35"),1,0,INDIRECT("a34"),1)),"")</f>
        <v>8.9133271495275695E-2</v>
      </c>
      <c r="I43" s="80">
        <f t="shared" ca="1" si="18"/>
        <v>12414876.377315896</v>
      </c>
      <c r="J43" s="372">
        <f t="shared" ca="1" si="19"/>
        <v>5397.7723379634326</v>
      </c>
      <c r="K43" s="108">
        <f>IFERROR(VLOOKUP(B43,TN!$B$8:$T$993,19,FALSE),"")</f>
        <v>150101</v>
      </c>
      <c r="L43" s="353">
        <f t="shared" si="20"/>
        <v>140501</v>
      </c>
      <c r="M43" s="79">
        <f t="shared" si="15"/>
        <v>9.0712000000000028</v>
      </c>
      <c r="N43" s="237">
        <f>1/0.058/0.068</f>
        <v>253.54969574036505</v>
      </c>
      <c r="O43" s="237">
        <f t="shared" si="21"/>
        <v>3944.0000000000009</v>
      </c>
    </row>
    <row r="44" spans="1:24">
      <c r="A44" s="375" t="str">
        <f t="shared" si="16"/>
        <v/>
      </c>
      <c r="B44" s="375"/>
      <c r="C44" s="370" t="str">
        <f>IFERROR(VLOOKUP(B44,TN!$B$8:$T$966,2,FALSE),"")</f>
        <v/>
      </c>
      <c r="D44" s="370" t="str">
        <f>IFERROR(VLOOKUP(B44,TN!$B$8:$T$966,3,FALSE),"")</f>
        <v/>
      </c>
      <c r="E44" s="237" t="str">
        <f>IF(D44="","",1000000/D44)</f>
        <v/>
      </c>
      <c r="F44" s="371"/>
      <c r="G44" s="380" t="str">
        <f t="shared" si="14"/>
        <v/>
      </c>
      <c r="H44" s="373" t="str">
        <f ca="1">IFERROR(G44/SUM(G44:OFFSET(INDIRECT("g5"),1,0,INDIRECT("a4"),1)),"")</f>
        <v/>
      </c>
      <c r="I44" s="80" t="str">
        <f t="shared" ca="1" si="18"/>
        <v/>
      </c>
      <c r="J44" s="372" t="str">
        <f t="shared" ca="1" si="19"/>
        <v/>
      </c>
      <c r="K44" s="108" t="str">
        <f>IFERROR(VLOOKUP(B44,TN!$B$8:$T$993,19,FALSE),"")</f>
        <v/>
      </c>
      <c r="L44" s="353" t="str">
        <f t="shared" si="20"/>
        <v/>
      </c>
      <c r="M44" s="79">
        <f t="shared" si="15"/>
        <v>0</v>
      </c>
      <c r="N44" s="237">
        <f>1/0.012</f>
        <v>83.333333333333329</v>
      </c>
      <c r="O44" s="237">
        <f t="shared" si="21"/>
        <v>12000</v>
      </c>
    </row>
    <row r="45" spans="1:24">
      <c r="C45" s="87"/>
      <c r="D45" s="87"/>
      <c r="G45" s="79">
        <f>SUM(G36:G44)</f>
        <v>101771200</v>
      </c>
      <c r="H45" s="869">
        <f ca="1">SUM(H36:H44)</f>
        <v>1</v>
      </c>
      <c r="I45" s="79">
        <f ca="1">SUM(I36:I44)</f>
        <v>139284423.97600004</v>
      </c>
      <c r="K45" s="86"/>
    </row>
    <row r="46" spans="1:24">
      <c r="C46" s="87"/>
      <c r="D46" s="87"/>
      <c r="I46" s="79">
        <f ca="1">+I45-J32</f>
        <v>0</v>
      </c>
      <c r="K46" s="86"/>
    </row>
    <row r="47" spans="1:24">
      <c r="C47" s="87"/>
      <c r="D47" s="87"/>
      <c r="G47" s="237"/>
      <c r="H47" s="237"/>
      <c r="K47" s="86"/>
    </row>
    <row r="48" spans="1:24">
      <c r="C48" s="87"/>
      <c r="D48" s="87"/>
      <c r="G48" s="237">
        <f>+G45</f>
        <v>101771200</v>
      </c>
      <c r="H48" s="237">
        <f>+J32</f>
        <v>139284423.97600001</v>
      </c>
      <c r="K48" s="86"/>
    </row>
    <row r="49" spans="1:15">
      <c r="C49" s="87"/>
      <c r="D49" s="87"/>
      <c r="G49" s="79" t="str">
        <f>+G44</f>
        <v/>
      </c>
      <c r="H49" s="238" t="e">
        <f>+G49*H48/G48</f>
        <v>#VALUE!</v>
      </c>
      <c r="K49" s="86"/>
    </row>
    <row r="50" spans="1:15">
      <c r="C50" s="87"/>
      <c r="D50" s="87"/>
      <c r="K50" s="86"/>
    </row>
    <row r="51" spans="1:15">
      <c r="C51" s="87"/>
      <c r="D51" s="87"/>
      <c r="K51" s="86"/>
    </row>
    <row r="52" spans="1:15">
      <c r="A52" s="85" t="s">
        <v>1576</v>
      </c>
      <c r="B52" s="85"/>
      <c r="C52" s="86"/>
      <c r="D52" s="87"/>
      <c r="E52" s="87"/>
      <c r="F52" s="341"/>
      <c r="G52" s="341"/>
      <c r="H52" s="342"/>
      <c r="I52" s="341"/>
      <c r="J52" s="341"/>
    </row>
    <row r="53" spans="1:15">
      <c r="A53" s="342"/>
      <c r="B53" s="342"/>
      <c r="C53" s="342"/>
      <c r="D53" s="342"/>
      <c r="E53" s="341"/>
      <c r="F53" s="341"/>
      <c r="G53" s="341"/>
      <c r="H53" s="342"/>
      <c r="I53" s="343" t="s">
        <v>1577</v>
      </c>
      <c r="J53" s="389"/>
    </row>
    <row r="54" spans="1:15">
      <c r="A54" s="342"/>
      <c r="B54" s="342"/>
      <c r="C54" s="342"/>
      <c r="D54" s="342"/>
      <c r="E54" s="341"/>
      <c r="F54" s="341"/>
      <c r="G54" s="341"/>
      <c r="H54" s="342"/>
      <c r="I54" s="341"/>
      <c r="J54" s="341" t="s">
        <v>1476</v>
      </c>
      <c r="L54" s="382" t="s">
        <v>1586</v>
      </c>
    </row>
    <row r="55" spans="1:15">
      <c r="A55" s="383">
        <f>+COUNT(A57:A65)</f>
        <v>0</v>
      </c>
      <c r="B55" s="383"/>
      <c r="C55" s="383" t="s">
        <v>1578</v>
      </c>
      <c r="D55" s="383"/>
      <c r="E55" s="1011" t="s">
        <v>1579</v>
      </c>
      <c r="F55" s="1011"/>
      <c r="G55" s="1011"/>
      <c r="H55" s="1011"/>
      <c r="I55" s="1011" t="s">
        <v>1580</v>
      </c>
      <c r="J55" s="1011"/>
      <c r="K55" s="1012" t="s">
        <v>1581</v>
      </c>
      <c r="L55" s="1012"/>
      <c r="M55" s="79">
        <f>SUM(M57:M65)</f>
        <v>0</v>
      </c>
      <c r="O55" s="238">
        <f>250/2</f>
        <v>125</v>
      </c>
    </row>
    <row r="56" spans="1:15">
      <c r="A56" s="78" t="s">
        <v>1</v>
      </c>
      <c r="B56" s="102" t="s">
        <v>302</v>
      </c>
      <c r="C56" s="103" t="s">
        <v>303</v>
      </c>
      <c r="D56" s="103" t="s">
        <v>1582</v>
      </c>
      <c r="E56" s="345" t="s">
        <v>1583</v>
      </c>
      <c r="F56" s="345" t="s">
        <v>1584</v>
      </c>
      <c r="G56" s="345" t="s">
        <v>310</v>
      </c>
      <c r="H56" s="346" t="s">
        <v>1585</v>
      </c>
      <c r="I56" s="345" t="s">
        <v>310</v>
      </c>
      <c r="J56" s="345" t="s">
        <v>309</v>
      </c>
      <c r="K56" s="345" t="s">
        <v>261</v>
      </c>
      <c r="L56" s="345" t="s">
        <v>262</v>
      </c>
    </row>
    <row r="57" spans="1:15">
      <c r="A57" s="368" t="str">
        <f>+IF(B57="","",ROW()-5)</f>
        <v/>
      </c>
      <c r="B57" s="369"/>
      <c r="C57" s="370" t="str">
        <f>IFERROR(VLOOKUP(B57,TN!$B$8:$T$966,2,FALSE),"")</f>
        <v/>
      </c>
      <c r="D57" s="370" t="str">
        <f>IFERROR(VLOOKUP(B57,TN!$B$8:$T$966,3,FALSE),"")</f>
        <v/>
      </c>
      <c r="E57" s="371"/>
      <c r="F57" s="371"/>
      <c r="G57" s="372" t="str">
        <f t="shared" ref="G57:G65" si="22">+IF(E57="","",E57*F57)</f>
        <v/>
      </c>
      <c r="H57" s="373" t="str">
        <f ca="1">IFERROR(G57/SUM(G57:OFFSET(INDIRECT("g55"),1,0,INDIRECT("a54"),1)),"")</f>
        <v/>
      </c>
      <c r="I57" s="80" t="str">
        <f ca="1">+IF(H57="","",H57*$J$53)</f>
        <v/>
      </c>
      <c r="J57" s="372" t="str">
        <f ca="1">+IF(I57="","",I57/F57)</f>
        <v/>
      </c>
      <c r="K57" s="374" t="str">
        <f>IFERROR(VLOOKUP(B57,TN!$B$8:$T$966,19,FALSE),"")</f>
        <v/>
      </c>
      <c r="L57" s="375" t="str">
        <f>+IF(F57="","",140501)</f>
        <v/>
      </c>
      <c r="M57" s="79">
        <f t="shared" ref="M57:M63" si="23">+F57/N57</f>
        <v>0</v>
      </c>
      <c r="N57" s="237">
        <f>1/0.04</f>
        <v>25</v>
      </c>
      <c r="O57" s="237">
        <f>IF(N57="","",1000000/N57)</f>
        <v>40000</v>
      </c>
    </row>
    <row r="58" spans="1:15">
      <c r="A58" s="368" t="str">
        <f t="shared" ref="A58:A65" si="24">+IF(B58="","",ROW()-5)</f>
        <v/>
      </c>
      <c r="B58" s="369"/>
      <c r="C58" s="370" t="str">
        <f>IFERROR(VLOOKUP(B58,TN!$B$8:$T$966,2,FALSE),"")</f>
        <v/>
      </c>
      <c r="D58" s="370" t="str">
        <f>IFERROR(VLOOKUP(B58,TN!$B$8:$T$966,3,FALSE),"")</f>
        <v/>
      </c>
      <c r="E58" s="371"/>
      <c r="F58" s="371"/>
      <c r="G58" s="372" t="str">
        <f t="shared" si="22"/>
        <v/>
      </c>
      <c r="H58" s="373" t="str">
        <f ca="1">IFERROR(G58/SUM(G58:OFFSET(INDIRECT("g55"),1,0,INDIRECT("a54"),1)),"")</f>
        <v/>
      </c>
      <c r="I58" s="80" t="str">
        <f t="shared" ref="I58:I63" ca="1" si="25">+IF(H58="","",H58*$J$53)</f>
        <v/>
      </c>
      <c r="J58" s="372" t="str">
        <f t="shared" ref="J58:J63" ca="1" si="26">+IF(I58="","",I58/F58)</f>
        <v/>
      </c>
      <c r="K58" s="374" t="str">
        <f>IFERROR(VLOOKUP(B58,TN!$B$8:$T$966,19,FALSE),"")</f>
        <v/>
      </c>
      <c r="L58" s="375" t="str">
        <f t="shared" ref="L58:L63" si="27">+IF(F58="","",140501)</f>
        <v/>
      </c>
      <c r="M58" s="79">
        <f t="shared" si="23"/>
        <v>0</v>
      </c>
      <c r="N58" s="237">
        <f>1/0.026</f>
        <v>38.46153846153846</v>
      </c>
      <c r="O58" s="237">
        <f t="shared" ref="O58:O65" si="28">IF(N58="","",1000000/N58)</f>
        <v>26000</v>
      </c>
    </row>
    <row r="59" spans="1:15">
      <c r="A59" s="368" t="str">
        <f t="shared" si="24"/>
        <v/>
      </c>
      <c r="B59" s="369"/>
      <c r="C59" s="370" t="str">
        <f>IFERROR(VLOOKUP(B59,TN!$B$8:$T$966,2,FALSE),"")</f>
        <v/>
      </c>
      <c r="D59" s="370" t="str">
        <f>IFERROR(VLOOKUP(B59,TN!$B$8:$T$966,3,FALSE),"")</f>
        <v/>
      </c>
      <c r="E59" s="371"/>
      <c r="F59" s="371"/>
      <c r="G59" s="372" t="str">
        <f t="shared" si="22"/>
        <v/>
      </c>
      <c r="H59" s="373" t="str">
        <f ca="1">IFERROR(G59/SUM(G59:OFFSET(INDIRECT("g55"),1,0,INDIRECT("a54"),1)),"")</f>
        <v/>
      </c>
      <c r="I59" s="80" t="str">
        <f t="shared" ca="1" si="25"/>
        <v/>
      </c>
      <c r="J59" s="372" t="str">
        <f t="shared" ca="1" si="26"/>
        <v/>
      </c>
      <c r="K59" s="374" t="str">
        <f>IFERROR(VLOOKUP(B59,TN!$B$8:$T$966,19,FALSE),"")</f>
        <v/>
      </c>
      <c r="L59" s="375" t="str">
        <f t="shared" si="27"/>
        <v/>
      </c>
      <c r="M59" s="79">
        <f t="shared" si="23"/>
        <v>0</v>
      </c>
      <c r="N59" s="237">
        <f>1/0.02/0.03</f>
        <v>1666.6666666666667</v>
      </c>
      <c r="O59" s="237">
        <f t="shared" si="28"/>
        <v>600</v>
      </c>
    </row>
    <row r="60" spans="1:15">
      <c r="A60" s="368" t="str">
        <f t="shared" si="24"/>
        <v/>
      </c>
      <c r="B60" s="369"/>
      <c r="C60" s="370" t="str">
        <f>IFERROR(VLOOKUP(B60,TN!$B$8:$T$966,2,FALSE),"")</f>
        <v/>
      </c>
      <c r="D60" s="370" t="str">
        <f>IFERROR(VLOOKUP(B60,TN!$B$8:$T$966,3,FALSE),"")</f>
        <v/>
      </c>
      <c r="E60" s="376"/>
      <c r="F60" s="376"/>
      <c r="G60" s="372" t="str">
        <f t="shared" si="22"/>
        <v/>
      </c>
      <c r="H60" s="373" t="str">
        <f ca="1">IFERROR(G60/SUM(G60:OFFSET(INDIRECT("g55"),1,0,INDIRECT("a54"),1)),"")</f>
        <v/>
      </c>
      <c r="I60" s="80" t="str">
        <f t="shared" ca="1" si="25"/>
        <v/>
      </c>
      <c r="J60" s="372" t="str">
        <f t="shared" ca="1" si="26"/>
        <v/>
      </c>
      <c r="K60" s="374" t="str">
        <f>IFERROR(VLOOKUP(B60,TN!$B$8:$T$966,19,FALSE),"")</f>
        <v/>
      </c>
      <c r="L60" s="375" t="str">
        <f t="shared" si="27"/>
        <v/>
      </c>
      <c r="M60" s="79">
        <f t="shared" si="23"/>
        <v>0</v>
      </c>
      <c r="N60" s="237">
        <f>1/0.04/0.04</f>
        <v>625</v>
      </c>
      <c r="O60" s="237">
        <f t="shared" si="28"/>
        <v>1600</v>
      </c>
    </row>
    <row r="61" spans="1:15">
      <c r="A61" s="368" t="str">
        <f t="shared" si="24"/>
        <v/>
      </c>
      <c r="B61" s="378"/>
      <c r="C61" s="386" t="str">
        <f>IFERROR(VLOOKUP(B61,TN!$B$8:$T$966,2,FALSE),"")</f>
        <v/>
      </c>
      <c r="D61" s="386" t="str">
        <f>IFERROR(VLOOKUP(B61,TN!$B$8:$T$966,3,FALSE),"")</f>
        <v/>
      </c>
      <c r="E61" s="387"/>
      <c r="F61" s="379"/>
      <c r="G61" s="380" t="str">
        <f t="shared" si="22"/>
        <v/>
      </c>
      <c r="H61" s="373" t="str">
        <f ca="1">IFERROR(G61/SUM(G61:OFFSET(INDIRECT("g55"),1,0,INDIRECT("a54"),1)),"")</f>
        <v/>
      </c>
      <c r="I61" s="80" t="str">
        <f t="shared" ca="1" si="25"/>
        <v/>
      </c>
      <c r="J61" s="372" t="str">
        <f t="shared" ca="1" si="26"/>
        <v/>
      </c>
      <c r="K61" s="374" t="str">
        <f>IFERROR(VLOOKUP(B61,TN!$B$8:$T$966,19,FALSE),"")</f>
        <v/>
      </c>
      <c r="L61" s="375" t="str">
        <f t="shared" si="27"/>
        <v/>
      </c>
      <c r="M61" s="79">
        <f t="shared" si="23"/>
        <v>0</v>
      </c>
      <c r="N61" s="237">
        <f>1/0.045</f>
        <v>22.222222222222221</v>
      </c>
      <c r="O61" s="237">
        <f t="shared" si="28"/>
        <v>45000</v>
      </c>
    </row>
    <row r="62" spans="1:15">
      <c r="A62" s="368" t="str">
        <f t="shared" si="24"/>
        <v/>
      </c>
      <c r="B62" s="375"/>
      <c r="C62" s="388" t="str">
        <f>IFERROR(VLOOKUP(B62,TN!$B$8:$T$966,2,FALSE),"")</f>
        <v/>
      </c>
      <c r="D62" s="388" t="str">
        <f>IFERROR(VLOOKUP(B62,TN!$B$8:$T$966,3,FALSE),"")</f>
        <v/>
      </c>
      <c r="E62" s="385"/>
      <c r="F62" s="381"/>
      <c r="G62" s="380" t="str">
        <f t="shared" si="22"/>
        <v/>
      </c>
      <c r="H62" s="373" t="str">
        <f ca="1">IFERROR(G62/SUM(G62:OFFSET(INDIRECT("g55"),1,0,INDIRECT("a54"),1)),"")</f>
        <v/>
      </c>
      <c r="I62" s="80" t="str">
        <f t="shared" ca="1" si="25"/>
        <v/>
      </c>
      <c r="J62" s="372" t="str">
        <f t="shared" ca="1" si="26"/>
        <v/>
      </c>
      <c r="K62" s="374" t="str">
        <f>IFERROR(VLOOKUP(B62,TN!$B$8:$T$966,19,FALSE),"")</f>
        <v/>
      </c>
      <c r="L62" s="375" t="str">
        <f t="shared" si="27"/>
        <v/>
      </c>
      <c r="M62" s="79">
        <f t="shared" si="23"/>
        <v>0</v>
      </c>
      <c r="N62" s="237">
        <f>1/0.012</f>
        <v>83.333333333333329</v>
      </c>
      <c r="O62" s="237">
        <f t="shared" si="28"/>
        <v>12000</v>
      </c>
    </row>
    <row r="63" spans="1:15">
      <c r="A63" s="368" t="str">
        <f t="shared" si="24"/>
        <v/>
      </c>
      <c r="B63" s="375"/>
      <c r="C63" s="384" t="str">
        <f>IFERROR(VLOOKUP(B63,TN!$B$8:$T$966,2,FALSE),"")</f>
        <v/>
      </c>
      <c r="D63" s="384" t="str">
        <f>IFERROR(VLOOKUP(B63,TN!$B$8:$T$966,3,FALSE),"")</f>
        <v/>
      </c>
      <c r="E63" s="381"/>
      <c r="F63" s="381"/>
      <c r="G63" s="380" t="str">
        <f t="shared" si="22"/>
        <v/>
      </c>
      <c r="H63" s="373" t="str">
        <f ca="1">IFERROR(G63/SUM(G63:OFFSET(INDIRECT("g55"),1,0,INDIRECT("a54"),1)),"")</f>
        <v/>
      </c>
      <c r="I63" s="80" t="str">
        <f t="shared" ca="1" si="25"/>
        <v/>
      </c>
      <c r="J63" s="372" t="str">
        <f t="shared" ca="1" si="26"/>
        <v/>
      </c>
      <c r="K63" s="374" t="str">
        <f>IFERROR(VLOOKUP(B63,TN!$B$8:$T$966,19,FALSE),"")</f>
        <v/>
      </c>
      <c r="L63" s="375" t="str">
        <f t="shared" si="27"/>
        <v/>
      </c>
      <c r="M63" s="79">
        <f t="shared" si="23"/>
        <v>0</v>
      </c>
      <c r="N63" s="237">
        <f>1/0.012</f>
        <v>83.333333333333329</v>
      </c>
      <c r="O63" s="237">
        <f>IF(N63="","",1000000/N63)</f>
        <v>12000</v>
      </c>
    </row>
    <row r="64" spans="1:15">
      <c r="A64" s="375" t="str">
        <f t="shared" si="24"/>
        <v/>
      </c>
      <c r="B64" s="375"/>
      <c r="C64" s="370" t="str">
        <f>IFERROR(VLOOKUP(B64,TN!$B$8:$T$966,2,FALSE),"")</f>
        <v/>
      </c>
      <c r="D64" s="370" t="str">
        <f>IFERROR(VLOOKUP(B64,TN!$B$8:$T$966,3,FALSE),"")</f>
        <v/>
      </c>
      <c r="E64" s="381"/>
      <c r="F64" s="381"/>
      <c r="G64" s="380" t="str">
        <f t="shared" si="22"/>
        <v/>
      </c>
      <c r="H64" s="373" t="str">
        <f ca="1">IFERROR(G64/SUM(G64:OFFSET(INDIRECT("g5"),1,0,INDIRECT("a4"),1)),"")</f>
        <v/>
      </c>
      <c r="I64" s="166"/>
      <c r="J64" s="372" t="e">
        <f>+IF(#REF!="","",#REF!/#REF!)</f>
        <v>#REF!</v>
      </c>
      <c r="K64" s="374" t="str">
        <f>IFERROR(VLOOKUP(B64,TN!$B$8:$T$966,19,FALSE),"")</f>
        <v/>
      </c>
      <c r="L64" s="375"/>
      <c r="M64" s="79"/>
      <c r="O64" s="237" t="str">
        <f t="shared" si="28"/>
        <v/>
      </c>
    </row>
    <row r="65" spans="1:16">
      <c r="A65" s="375" t="str">
        <f t="shared" si="24"/>
        <v/>
      </c>
      <c r="B65" s="375"/>
      <c r="C65" s="370" t="str">
        <f>IFERROR(VLOOKUP(B65,TN!$B$8:$T$966,2,FALSE),"")</f>
        <v/>
      </c>
      <c r="D65" s="370" t="str">
        <f>IFERROR(VLOOKUP(B65,TN!$B$8:$T$966,3,FALSE),"")</f>
        <v/>
      </c>
      <c r="E65" s="381"/>
      <c r="F65" s="381"/>
      <c r="G65" s="380" t="str">
        <f t="shared" si="22"/>
        <v/>
      </c>
      <c r="H65" s="373" t="str">
        <f ca="1">IFERROR(G65/SUM(G65:OFFSET(INDIRECT("g5"),1,0,INDIRECT("a4"),1)),"")</f>
        <v/>
      </c>
      <c r="I65" s="166"/>
      <c r="J65" s="372" t="str">
        <f>+IF(I65="","",I65/F65)</f>
        <v/>
      </c>
      <c r="K65" s="374" t="str">
        <f>IFERROR(VLOOKUP(B65,TN!$B$8:$T$966,19,FALSE),"")</f>
        <v/>
      </c>
      <c r="L65" s="375" t="str">
        <f>+IF(F45="","",140501)</f>
        <v/>
      </c>
      <c r="M65" s="79"/>
      <c r="O65" s="237" t="str">
        <f t="shared" si="28"/>
        <v/>
      </c>
    </row>
    <row r="66" spans="1:16">
      <c r="C66" s="87"/>
      <c r="D66" s="87"/>
      <c r="G66" s="79">
        <f>SUM(G57:G65)</f>
        <v>0</v>
      </c>
      <c r="I66" s="79">
        <f ca="1">SUM(I57:I65)</f>
        <v>0</v>
      </c>
      <c r="K66" s="86"/>
      <c r="M66" s="237"/>
    </row>
    <row r="67" spans="1:16">
      <c r="C67" s="87"/>
      <c r="D67" s="87"/>
      <c r="I67" s="79">
        <f ca="1">+I66-J53</f>
        <v>0</v>
      </c>
      <c r="K67" s="86"/>
    </row>
    <row r="68" spans="1:16">
      <c r="C68" s="87"/>
      <c r="D68" s="87"/>
      <c r="G68" s="237"/>
      <c r="H68" s="237"/>
      <c r="K68" s="86"/>
    </row>
    <row r="69" spans="1:16">
      <c r="C69" s="87"/>
      <c r="D69" s="87"/>
      <c r="G69" s="237"/>
      <c r="H69" s="237"/>
      <c r="K69" s="86"/>
    </row>
    <row r="70" spans="1:16">
      <c r="A70" s="85" t="s">
        <v>1576</v>
      </c>
      <c r="B70" s="85"/>
      <c r="C70" s="86"/>
      <c r="D70" s="87"/>
      <c r="E70" s="87"/>
      <c r="F70" s="341"/>
      <c r="G70" s="341"/>
      <c r="H70" s="342"/>
      <c r="I70" s="341"/>
      <c r="J70" s="341"/>
    </row>
    <row r="71" spans="1:16">
      <c r="A71" s="342"/>
      <c r="B71" s="342"/>
      <c r="C71" s="342"/>
      <c r="D71" s="342"/>
      <c r="E71" s="341"/>
      <c r="F71" s="341"/>
      <c r="G71" s="341"/>
      <c r="H71" s="342"/>
      <c r="I71" s="343" t="s">
        <v>1577</v>
      </c>
      <c r="J71" s="562"/>
    </row>
    <row r="72" spans="1:16">
      <c r="A72" s="342"/>
      <c r="B72" s="342"/>
      <c r="C72" s="342"/>
      <c r="D72" s="342"/>
      <c r="E72" s="341"/>
      <c r="F72" s="341"/>
      <c r="G72" s="341"/>
      <c r="H72" s="342"/>
      <c r="I72" s="341"/>
      <c r="J72" s="341" t="s">
        <v>1476</v>
      </c>
      <c r="L72" s="382"/>
    </row>
    <row r="73" spans="1:16">
      <c r="A73" s="383">
        <f>+COUNT(A75:A83)</f>
        <v>0</v>
      </c>
      <c r="B73" s="383"/>
      <c r="C73" s="383" t="s">
        <v>1578</v>
      </c>
      <c r="D73" s="383"/>
      <c r="E73" s="1011" t="s">
        <v>1579</v>
      </c>
      <c r="F73" s="1011"/>
      <c r="G73" s="1011"/>
      <c r="H73" s="1011"/>
      <c r="I73" s="1011" t="s">
        <v>1580</v>
      </c>
      <c r="J73" s="1011"/>
      <c r="K73" s="1012" t="s">
        <v>1581</v>
      </c>
      <c r="L73" s="1012"/>
      <c r="M73" s="79">
        <f>SUM(M75:M83)</f>
        <v>0</v>
      </c>
      <c r="O73" s="238">
        <f>175/2</f>
        <v>87.5</v>
      </c>
      <c r="P73" s="79">
        <f>+O73-M73</f>
        <v>87.5</v>
      </c>
    </row>
    <row r="74" spans="1:16">
      <c r="A74" s="78" t="s">
        <v>1</v>
      </c>
      <c r="B74" s="102" t="s">
        <v>302</v>
      </c>
      <c r="C74" s="103" t="s">
        <v>303</v>
      </c>
      <c r="D74" s="103" t="s">
        <v>1582</v>
      </c>
      <c r="E74" s="345"/>
      <c r="F74" s="345"/>
      <c r="G74" s="345" t="s">
        <v>310</v>
      </c>
      <c r="H74" s="346" t="s">
        <v>1585</v>
      </c>
      <c r="I74" s="345" t="s">
        <v>310</v>
      </c>
      <c r="J74" s="345" t="s">
        <v>309</v>
      </c>
      <c r="K74" s="345" t="s">
        <v>261</v>
      </c>
      <c r="L74" s="345" t="s">
        <v>262</v>
      </c>
    </row>
    <row r="75" spans="1:16">
      <c r="A75" s="368" t="str">
        <f>+IF(B75="","",ROW()-5)</f>
        <v/>
      </c>
      <c r="B75" s="359"/>
      <c r="C75" s="370" t="str">
        <f>IFERROR(VLOOKUP(B75,TN!$B$8:$T$966,2,FALSE),"")</f>
        <v/>
      </c>
      <c r="D75" s="370" t="str">
        <f>IFERROR(VLOOKUP(B75,TN!$B$8:$T$966,3,FALSE),"")</f>
        <v/>
      </c>
      <c r="E75" s="380"/>
      <c r="F75" s="380"/>
      <c r="G75" s="372" t="str">
        <f>+IF(E75="","",E75*F75)</f>
        <v/>
      </c>
      <c r="H75" s="373" t="str">
        <f ca="1">IFERROR(G75/SUM(G75:OFFSET(INDIRECT("g73"),1,0,INDIRECT("a72"),1)),"")</f>
        <v/>
      </c>
      <c r="I75" s="80" t="str">
        <f ca="1">+IF(H75="","",H75*$J$71)</f>
        <v/>
      </c>
      <c r="J75" s="372" t="str">
        <f ca="1">+IF(I75="","",I75/F75)</f>
        <v/>
      </c>
      <c r="K75" s="374" t="str">
        <f>IFERROR(VLOOKUP(B75,TN!$B$8:$T$966,19,FALSE),"")</f>
        <v/>
      </c>
      <c r="L75" s="375" t="str">
        <f>+IF(F75="","",140501)</f>
        <v/>
      </c>
      <c r="M75" s="79">
        <f t="shared" ref="M75:M82" si="29">+F75/N75</f>
        <v>0</v>
      </c>
      <c r="N75" s="237">
        <f>1/0.04</f>
        <v>25</v>
      </c>
      <c r="O75" s="237">
        <f>IF(N75="","",1000000/N75)</f>
        <v>40000</v>
      </c>
    </row>
    <row r="76" spans="1:16">
      <c r="A76" s="368" t="str">
        <f t="shared" ref="A76:A83" si="30">+IF(B76="","",ROW()-5)</f>
        <v/>
      </c>
      <c r="B76" s="86"/>
      <c r="C76" s="370" t="str">
        <f>IFERROR(VLOOKUP(B76,TN!$B$8:$T$966,2,FALSE),"")</f>
        <v/>
      </c>
      <c r="D76" s="370" t="str">
        <f>IFERROR(VLOOKUP(B76,TN!$B$8:$T$966,3,FALSE),"")</f>
        <v/>
      </c>
      <c r="E76" s="380"/>
      <c r="F76" s="380"/>
      <c r="G76" s="372" t="str">
        <f t="shared" ref="G76:G81" si="31">+IF(E76="","",E76*F76)</f>
        <v/>
      </c>
      <c r="H76" s="373" t="str">
        <f ca="1">IFERROR(G76/SUM(G76:OFFSET(INDIRECT("g73"),1,0,INDIRECT("a72"),1)),"")</f>
        <v/>
      </c>
      <c r="I76" s="80" t="str">
        <f t="shared" ref="I76:I82" ca="1" si="32">+IF(H76="","",H76*$J$71)</f>
        <v/>
      </c>
      <c r="J76" s="372" t="str">
        <f t="shared" ref="J76:J82" ca="1" si="33">+IF(I76="","",I76/F76)</f>
        <v/>
      </c>
      <c r="K76" s="374" t="str">
        <f>IFERROR(VLOOKUP(B76,TN!$B$8:$T$966,19,FALSE),"")</f>
        <v/>
      </c>
      <c r="L76" s="375" t="str">
        <f t="shared" ref="L76:L82" si="34">+IF(F76="","",140501)</f>
        <v/>
      </c>
      <c r="M76" s="79">
        <f t="shared" si="29"/>
        <v>0</v>
      </c>
      <c r="N76" s="237">
        <f>1/0.058/0.068</f>
        <v>253.54969574036505</v>
      </c>
      <c r="O76" s="237">
        <f t="shared" ref="O76:O83" si="35">IF(N76="","",1000000/N76)</f>
        <v>3944.0000000000009</v>
      </c>
    </row>
    <row r="77" spans="1:16">
      <c r="A77" s="368" t="str">
        <f t="shared" si="30"/>
        <v/>
      </c>
      <c r="B77" s="86"/>
      <c r="C77" s="370" t="str">
        <f>IFERROR(VLOOKUP(B77,TN!$B$8:$T$966,2,FALSE),"")</f>
        <v/>
      </c>
      <c r="D77" s="370" t="str">
        <f>IFERROR(VLOOKUP(B77,TN!$B$8:$T$966,3,FALSE),"")</f>
        <v/>
      </c>
      <c r="E77" s="380"/>
      <c r="F77" s="379"/>
      <c r="G77" s="372" t="str">
        <f t="shared" si="31"/>
        <v/>
      </c>
      <c r="H77" s="373" t="str">
        <f ca="1">IFERROR(G77/SUM(G77:OFFSET(INDIRECT("g73"),1,0,INDIRECT("a72"),1)),"")</f>
        <v/>
      </c>
      <c r="I77" s="80" t="str">
        <f t="shared" ca="1" si="32"/>
        <v/>
      </c>
      <c r="J77" s="372" t="str">
        <f t="shared" ca="1" si="33"/>
        <v/>
      </c>
      <c r="K77" s="374" t="str">
        <f>IFERROR(VLOOKUP(B77,TN!$B$8:$T$966,19,FALSE),"")</f>
        <v/>
      </c>
      <c r="L77" s="375" t="str">
        <f t="shared" si="34"/>
        <v/>
      </c>
      <c r="M77" s="79">
        <f t="shared" si="29"/>
        <v>0</v>
      </c>
      <c r="N77" s="237">
        <f>1/0.02/0.08</f>
        <v>625</v>
      </c>
      <c r="O77" s="237">
        <f t="shared" si="35"/>
        <v>1600</v>
      </c>
    </row>
    <row r="78" spans="1:16">
      <c r="A78" s="368" t="str">
        <f t="shared" si="30"/>
        <v/>
      </c>
      <c r="B78" s="86"/>
      <c r="C78" s="370" t="str">
        <f>IFERROR(VLOOKUP(B78,TN!$B$8:$T$966,2,FALSE),"")</f>
        <v/>
      </c>
      <c r="D78" s="370" t="str">
        <f>IFERROR(VLOOKUP(B78,TN!$B$8:$T$966,3,FALSE),"")</f>
        <v/>
      </c>
      <c r="E78" s="379"/>
      <c r="F78" s="379"/>
      <c r="G78" s="372" t="str">
        <f t="shared" si="31"/>
        <v/>
      </c>
      <c r="H78" s="373" t="str">
        <f ca="1">IFERROR(G78/SUM(G78:OFFSET(INDIRECT("g73"),1,0,INDIRECT("a72"),1)),"")</f>
        <v/>
      </c>
      <c r="I78" s="80" t="str">
        <f t="shared" ca="1" si="32"/>
        <v/>
      </c>
      <c r="J78" s="372" t="str">
        <f t="shared" ca="1" si="33"/>
        <v/>
      </c>
      <c r="K78" s="374" t="str">
        <f>IFERROR(VLOOKUP(B78,TN!$B$8:$T$966,19,FALSE),"")</f>
        <v/>
      </c>
      <c r="L78" s="375" t="str">
        <f t="shared" si="34"/>
        <v/>
      </c>
      <c r="M78" s="79">
        <f t="shared" si="29"/>
        <v>0</v>
      </c>
      <c r="N78" s="237">
        <f>1/0.02/0.03</f>
        <v>1666.6666666666667</v>
      </c>
      <c r="O78" s="237">
        <f t="shared" si="35"/>
        <v>600</v>
      </c>
    </row>
    <row r="79" spans="1:16">
      <c r="A79" s="368" t="str">
        <f t="shared" si="30"/>
        <v/>
      </c>
      <c r="B79" s="86"/>
      <c r="C79" s="386" t="str">
        <f>IFERROR(VLOOKUP(B79,TN!$B$8:$T$966,2,FALSE),"")</f>
        <v/>
      </c>
      <c r="D79" s="386" t="str">
        <f>IFERROR(VLOOKUP(B79,TN!$B$8:$T$966,3,FALSE),"")</f>
        <v/>
      </c>
      <c r="E79" s="387"/>
      <c r="F79" s="379"/>
      <c r="G79" s="380" t="str">
        <f t="shared" si="31"/>
        <v/>
      </c>
      <c r="H79" s="373" t="str">
        <f ca="1">IFERROR(G79/SUM(G79:OFFSET(INDIRECT("g73"),1,0,INDIRECT("a72"),1)),"")</f>
        <v/>
      </c>
      <c r="I79" s="80" t="str">
        <f t="shared" ca="1" si="32"/>
        <v/>
      </c>
      <c r="J79" s="372" t="str">
        <f t="shared" ca="1" si="33"/>
        <v/>
      </c>
      <c r="K79" s="374" t="str">
        <f>IFERROR(VLOOKUP(B79,TN!$B$8:$T$966,19,FALSE),"")</f>
        <v/>
      </c>
      <c r="L79" s="375" t="str">
        <f t="shared" si="34"/>
        <v/>
      </c>
      <c r="M79" s="79">
        <f t="shared" si="29"/>
        <v>0</v>
      </c>
      <c r="N79" s="237">
        <f>1/0.02</f>
        <v>50</v>
      </c>
      <c r="O79" s="237">
        <f t="shared" si="35"/>
        <v>20000</v>
      </c>
    </row>
    <row r="80" spans="1:16">
      <c r="A80" s="368" t="str">
        <f t="shared" si="30"/>
        <v/>
      </c>
      <c r="B80" s="375"/>
      <c r="C80" s="388" t="str">
        <f>IFERROR(VLOOKUP(B80,TN!$B$8:$T$966,2,FALSE),"")</f>
        <v/>
      </c>
      <c r="D80" s="388" t="str">
        <f>IFERROR(VLOOKUP(B80,TN!$B$8:$T$966,3,FALSE),"")</f>
        <v/>
      </c>
      <c r="E80" s="385"/>
      <c r="F80" s="381"/>
      <c r="G80" s="380" t="str">
        <f t="shared" si="31"/>
        <v/>
      </c>
      <c r="H80" s="373" t="str">
        <f ca="1">IFERROR(G80/SUM(G80:OFFSET(INDIRECT("g73"),1,0,INDIRECT("a72"),1)),"")</f>
        <v/>
      </c>
      <c r="I80" s="80" t="str">
        <f t="shared" ca="1" si="32"/>
        <v/>
      </c>
      <c r="J80" s="372" t="str">
        <f t="shared" ca="1" si="33"/>
        <v/>
      </c>
      <c r="K80" s="374" t="str">
        <f>IFERROR(VLOOKUP(B80,TN!$B$8:$T$966,19,FALSE),"")</f>
        <v/>
      </c>
      <c r="L80" s="375" t="str">
        <f t="shared" si="34"/>
        <v/>
      </c>
      <c r="M80" s="79">
        <f t="shared" si="29"/>
        <v>0</v>
      </c>
      <c r="N80" s="237">
        <f>1/0.012</f>
        <v>83.333333333333329</v>
      </c>
      <c r="O80" s="237">
        <f t="shared" si="35"/>
        <v>12000</v>
      </c>
    </row>
    <row r="81" spans="1:15">
      <c r="A81" s="368" t="str">
        <f t="shared" si="30"/>
        <v/>
      </c>
      <c r="B81" s="375"/>
      <c r="C81" s="384" t="str">
        <f>IFERROR(VLOOKUP(B81,TN!$B$8:$T$966,2,FALSE),"")</f>
        <v/>
      </c>
      <c r="D81" s="384" t="str">
        <f>IFERROR(VLOOKUP(B81,TN!$B$8:$T$966,3,FALSE),"")</f>
        <v/>
      </c>
      <c r="E81" s="381"/>
      <c r="F81" s="381"/>
      <c r="G81" s="380" t="str">
        <f t="shared" si="31"/>
        <v/>
      </c>
      <c r="H81" s="373" t="str">
        <f ca="1">IFERROR(G81/SUM(G81:OFFSET(INDIRECT("g73"),1,0,INDIRECT("a72"),1)),"")</f>
        <v/>
      </c>
      <c r="I81" s="80" t="str">
        <f t="shared" ca="1" si="32"/>
        <v/>
      </c>
      <c r="J81" s="372" t="str">
        <f t="shared" ca="1" si="33"/>
        <v/>
      </c>
      <c r="K81" s="374" t="str">
        <f>IFERROR(VLOOKUP(B81,TN!$B$8:$T$966,19,FALSE),"")</f>
        <v/>
      </c>
      <c r="L81" s="375" t="str">
        <f t="shared" si="34"/>
        <v/>
      </c>
      <c r="M81" s="79">
        <f t="shared" si="29"/>
        <v>0</v>
      </c>
      <c r="N81" s="237">
        <f>1/0.012</f>
        <v>83.333333333333329</v>
      </c>
      <c r="O81" s="237">
        <f t="shared" si="35"/>
        <v>12000</v>
      </c>
    </row>
    <row r="82" spans="1:15">
      <c r="A82" s="375" t="str">
        <f t="shared" si="30"/>
        <v/>
      </c>
      <c r="B82" s="375"/>
      <c r="C82" s="370" t="str">
        <f>IFERROR(VLOOKUP(B82,TN!$B$8:$T$966,2,FALSE),"")</f>
        <v/>
      </c>
      <c r="D82" s="370" t="str">
        <f>IFERROR(VLOOKUP(B82,TN!$B$8:$T$966,3,FALSE),"")</f>
        <v/>
      </c>
      <c r="E82" s="381"/>
      <c r="F82" s="381"/>
      <c r="G82" s="380" t="str">
        <f>+IF(E82="","",E82*F82)</f>
        <v/>
      </c>
      <c r="H82" s="373" t="str">
        <f ca="1">IFERROR(G82/SUM(G82:OFFSET(INDIRECT("g73"),1,0,INDIRECT("a72"),1)),"")</f>
        <v/>
      </c>
      <c r="I82" s="80" t="str">
        <f t="shared" ca="1" si="32"/>
        <v/>
      </c>
      <c r="J82" s="372" t="str">
        <f t="shared" ca="1" si="33"/>
        <v/>
      </c>
      <c r="K82" s="374" t="str">
        <f>IFERROR(VLOOKUP(B82,TN!$B$8:$T$966,19,FALSE),"")</f>
        <v/>
      </c>
      <c r="L82" s="375" t="str">
        <f t="shared" si="34"/>
        <v/>
      </c>
      <c r="M82" s="79">
        <f t="shared" si="29"/>
        <v>0</v>
      </c>
      <c r="N82" s="237">
        <f>1/0.026</f>
        <v>38.46153846153846</v>
      </c>
      <c r="O82" s="237">
        <f>IF(N82="","",1000000/N82)</f>
        <v>26000</v>
      </c>
    </row>
    <row r="83" spans="1:15">
      <c r="A83" s="375" t="str">
        <f t="shared" si="30"/>
        <v/>
      </c>
      <c r="B83" s="375"/>
      <c r="C83" s="370" t="str">
        <f>IFERROR(VLOOKUP(B83,TN!$B$8:$T$966,2,FALSE),"")</f>
        <v/>
      </c>
      <c r="D83" s="370" t="str">
        <f>IFERROR(VLOOKUP(B83,TN!$B$8:$T$966,3,FALSE),"")</f>
        <v/>
      </c>
      <c r="E83" s="381"/>
      <c r="F83" s="381"/>
      <c r="G83" s="380" t="str">
        <f>+IF(E83="","",E83*F83)</f>
        <v/>
      </c>
      <c r="H83" s="373" t="str">
        <f ca="1">IFERROR(G83/SUM(G83:OFFSET(INDIRECT("g5"),1,0,INDIRECT("a4"),1)),"")</f>
        <v/>
      </c>
      <c r="I83" s="166"/>
      <c r="J83" s="372" t="str">
        <f>+IF(I83="","",I83/F83)</f>
        <v/>
      </c>
      <c r="K83" s="374" t="str">
        <f>IFERROR(VLOOKUP(B83,TN!$B$8:$T$966,19,FALSE),"")</f>
        <v/>
      </c>
      <c r="L83" s="375" t="str">
        <f>+IF(F63="","",140501)</f>
        <v/>
      </c>
      <c r="M83" s="79"/>
      <c r="O83" s="237" t="str">
        <f t="shared" si="35"/>
        <v/>
      </c>
    </row>
    <row r="84" spans="1:15">
      <c r="C84" s="87"/>
      <c r="D84" s="87"/>
      <c r="G84" s="79">
        <f>SUM(G75:G83)</f>
        <v>0</v>
      </c>
      <c r="I84" s="79">
        <f ca="1">SUM(I75:I83)</f>
        <v>0</v>
      </c>
      <c r="K84" s="86"/>
      <c r="M84" s="237"/>
    </row>
    <row r="85" spans="1:15">
      <c r="C85" s="87"/>
      <c r="D85" s="87"/>
      <c r="I85" s="79">
        <f ca="1">+J71-I84</f>
        <v>0</v>
      </c>
      <c r="K85" s="86"/>
    </row>
    <row r="86" spans="1:15">
      <c r="C86" s="87"/>
      <c r="D86" s="87"/>
      <c r="K86" s="86"/>
    </row>
    <row r="87" spans="1:15">
      <c r="C87" s="87"/>
      <c r="D87" s="87"/>
      <c r="K87" s="86"/>
    </row>
    <row r="88" spans="1:15">
      <c r="C88" s="87"/>
      <c r="D88" s="87"/>
      <c r="K88" s="86"/>
    </row>
    <row r="89" spans="1:15">
      <c r="C89" s="87"/>
      <c r="D89" s="87"/>
      <c r="K89" s="86"/>
    </row>
    <row r="90" spans="1:15">
      <c r="C90" s="87"/>
      <c r="D90" s="87"/>
      <c r="K90" s="86"/>
    </row>
    <row r="91" spans="1:15">
      <c r="C91" s="87"/>
      <c r="D91" s="87"/>
      <c r="K91" s="86"/>
    </row>
    <row r="92" spans="1:15">
      <c r="C92" s="87"/>
      <c r="D92" s="87"/>
      <c r="K92" s="86"/>
    </row>
    <row r="93" spans="1:15">
      <c r="C93" s="87" t="s">
        <v>2615</v>
      </c>
      <c r="D93" s="87"/>
      <c r="K93" s="86"/>
    </row>
    <row r="94" spans="1:15">
      <c r="C94" s="87"/>
      <c r="D94" s="87"/>
      <c r="K94" s="86"/>
    </row>
    <row r="95" spans="1:15">
      <c r="B95" s="238">
        <f>+STAT2!C157</f>
        <v>700700</v>
      </c>
      <c r="C95" s="87" t="s">
        <v>2616</v>
      </c>
      <c r="D95" s="87">
        <f>+STAT2!L157</f>
        <v>305374.70000000019</v>
      </c>
      <c r="E95" s="869">
        <v>0.95</v>
      </c>
      <c r="F95" s="79">
        <f t="shared" ref="F95:F100" si="36">+E95*D95</f>
        <v>290105.96500000014</v>
      </c>
      <c r="K95" s="86"/>
    </row>
    <row r="96" spans="1:15">
      <c r="B96" s="238">
        <f>+STAT2!C158</f>
        <v>700800</v>
      </c>
      <c r="C96" s="87" t="s">
        <v>2617</v>
      </c>
      <c r="D96" s="87">
        <f>+STAT2!L158</f>
        <v>161308.95000000019</v>
      </c>
      <c r="E96" s="869">
        <v>0.95</v>
      </c>
      <c r="F96" s="79">
        <f t="shared" si="36"/>
        <v>153243.50250000018</v>
      </c>
      <c r="K96" s="86"/>
    </row>
    <row r="97" spans="2:11">
      <c r="B97" s="238">
        <f>+STAT2!C159</f>
        <v>700900</v>
      </c>
      <c r="C97" s="87" t="s">
        <v>2618</v>
      </c>
      <c r="D97" s="87"/>
      <c r="F97" s="79">
        <f t="shared" si="36"/>
        <v>0</v>
      </c>
      <c r="K97" s="86"/>
    </row>
    <row r="98" spans="2:11">
      <c r="C98" s="87" t="s">
        <v>2619</v>
      </c>
      <c r="D98" s="87">
        <v>843855</v>
      </c>
      <c r="E98" s="869">
        <v>0.65</v>
      </c>
      <c r="F98" s="79">
        <f t="shared" si="36"/>
        <v>548505.75</v>
      </c>
      <c r="K98" s="86"/>
    </row>
    <row r="99" spans="2:11">
      <c r="B99" s="238">
        <f>+STAT2!C166</f>
        <v>701600</v>
      </c>
      <c r="C99" s="87" t="s">
        <v>2620</v>
      </c>
      <c r="D99" s="811">
        <v>7330033.3200000003</v>
      </c>
      <c r="E99" s="869">
        <v>0.95</v>
      </c>
      <c r="F99" s="79">
        <f t="shared" si="36"/>
        <v>6963531.6540000001</v>
      </c>
      <c r="K99" s="86"/>
    </row>
    <row r="100" spans="2:11">
      <c r="B100" s="238">
        <f>+B99</f>
        <v>701600</v>
      </c>
      <c r="C100" s="87" t="s">
        <v>2621</v>
      </c>
      <c r="D100" s="811">
        <v>16363915.65</v>
      </c>
      <c r="E100" s="869">
        <v>1</v>
      </c>
      <c r="F100" s="79">
        <f t="shared" si="36"/>
        <v>16363915.65</v>
      </c>
      <c r="G100" s="79">
        <f>+F100+F99</f>
        <v>23327447.304000001</v>
      </c>
      <c r="K100" s="86"/>
    </row>
    <row r="101" spans="2:11">
      <c r="B101" s="238">
        <f>+STAT2!C155</f>
        <v>700100</v>
      </c>
      <c r="C101" s="87" t="s">
        <v>2632</v>
      </c>
      <c r="D101" s="87">
        <f>+STAT2!U155</f>
        <v>19778999.98</v>
      </c>
      <c r="E101" s="238">
        <v>19779000</v>
      </c>
      <c r="F101" s="79">
        <f>+D101-E101</f>
        <v>-1.9999999552965164E-2</v>
      </c>
      <c r="K101" s="86"/>
    </row>
    <row r="102" spans="2:11">
      <c r="B102" s="238">
        <f>+STAT2!C156</f>
        <v>700200</v>
      </c>
      <c r="C102" s="87" t="s">
        <v>2633</v>
      </c>
      <c r="D102" s="87">
        <f>+STAT2!U156</f>
        <v>2686999.9981481475</v>
      </c>
      <c r="E102" s="238">
        <v>2687000</v>
      </c>
      <c r="F102" s="79">
        <f>+D102-E102</f>
        <v>-1.8518525175750256E-3</v>
      </c>
      <c r="K102" s="86"/>
    </row>
    <row r="103" spans="2:11">
      <c r="C103" s="87"/>
      <c r="D103" s="87">
        <f>SUM(D95:D102)</f>
        <v>47470487.598148152</v>
      </c>
      <c r="K103" s="86"/>
    </row>
    <row r="104" spans="2:11">
      <c r="C104" s="87"/>
      <c r="D104" s="87"/>
      <c r="K104" s="86"/>
    </row>
    <row r="105" spans="2:11">
      <c r="C105" s="87"/>
      <c r="D105" s="87"/>
      <c r="K105" s="86"/>
    </row>
    <row r="106" spans="2:11">
      <c r="C106" s="87"/>
      <c r="D106" s="87"/>
      <c r="K106" s="86"/>
    </row>
    <row r="107" spans="2:11">
      <c r="C107" s="87" t="s">
        <v>2615</v>
      </c>
      <c r="D107" s="87"/>
      <c r="K107" s="86"/>
    </row>
    <row r="108" spans="2:11">
      <c r="C108" s="87"/>
      <c r="D108" s="87"/>
      <c r="K108" s="86"/>
    </row>
    <row r="109" spans="2:11">
      <c r="B109" s="238">
        <f>+STAT2!C171</f>
        <v>702100</v>
      </c>
      <c r="C109" s="87" t="s">
        <v>2616</v>
      </c>
      <c r="D109" s="87">
        <f>+STAT3!L157</f>
        <v>375239.54000000004</v>
      </c>
      <c r="E109" s="869">
        <v>0.95</v>
      </c>
      <c r="F109" s="79">
        <f t="shared" ref="F109:F114" si="37">+E109*D109</f>
        <v>356477.56300000002</v>
      </c>
      <c r="K109" s="86"/>
    </row>
    <row r="110" spans="2:11">
      <c r="B110" s="238">
        <f>+STAT2!C172</f>
        <v>702300</v>
      </c>
      <c r="C110" s="87" t="s">
        <v>2617</v>
      </c>
      <c r="D110" s="87">
        <f>+STAT3!L158</f>
        <v>157358.41000000003</v>
      </c>
      <c r="E110" s="869">
        <v>0.95</v>
      </c>
      <c r="F110" s="79">
        <f t="shared" si="37"/>
        <v>149490.48950000003</v>
      </c>
      <c r="K110" s="86"/>
    </row>
    <row r="111" spans="2:11">
      <c r="B111" s="238">
        <f>+STAT2!C173</f>
        <v>702500</v>
      </c>
      <c r="C111" s="87" t="s">
        <v>2618</v>
      </c>
      <c r="D111" s="87">
        <f>+STAT3!L159</f>
        <v>45887.979999999516</v>
      </c>
      <c r="E111" s="869">
        <v>0.95</v>
      </c>
      <c r="F111" s="79">
        <f t="shared" si="37"/>
        <v>43593.58099999954</v>
      </c>
      <c r="K111" s="86"/>
    </row>
    <row r="112" spans="2:11">
      <c r="C112" s="87" t="s">
        <v>2619</v>
      </c>
      <c r="D112" s="87"/>
      <c r="E112" s="869">
        <v>0.65</v>
      </c>
      <c r="F112" s="79">
        <f t="shared" si="37"/>
        <v>0</v>
      </c>
      <c r="K112" s="86"/>
    </row>
    <row r="113" spans="2:23">
      <c r="B113" s="238">
        <v>701600</v>
      </c>
      <c r="C113" s="87" t="s">
        <v>2620</v>
      </c>
      <c r="D113" s="811">
        <f>+JURNAL!H1171</f>
        <v>0</v>
      </c>
      <c r="E113" s="869">
        <v>0.95</v>
      </c>
      <c r="F113" s="79">
        <f t="shared" si="37"/>
        <v>0</v>
      </c>
      <c r="K113" s="86"/>
    </row>
    <row r="114" spans="2:23">
      <c r="B114" s="238">
        <v>701600</v>
      </c>
      <c r="C114" s="87" t="s">
        <v>2621</v>
      </c>
      <c r="D114" s="811">
        <f>+JURNAL!H1173</f>
        <v>38840</v>
      </c>
      <c r="E114" s="869">
        <v>1</v>
      </c>
      <c r="F114" s="79">
        <f t="shared" si="37"/>
        <v>38840</v>
      </c>
      <c r="G114" s="79">
        <f>+F114+F113</f>
        <v>38840</v>
      </c>
      <c r="K114" s="86"/>
    </row>
    <row r="115" spans="2:23">
      <c r="B115" s="238">
        <f>+STAT2!C169</f>
        <v>701900</v>
      </c>
      <c r="C115" s="87" t="s">
        <v>2632</v>
      </c>
      <c r="D115" s="87">
        <f>+STAT3!J155</f>
        <v>27734189.239999998</v>
      </c>
      <c r="E115" s="237">
        <v>11831915.949999999</v>
      </c>
      <c r="F115" s="79">
        <f>+D115-E115</f>
        <v>15902273.289999999</v>
      </c>
      <c r="K115" s="86"/>
    </row>
    <row r="116" spans="2:23">
      <c r="B116" s="238">
        <f>+STAT2!C170</f>
        <v>702000</v>
      </c>
      <c r="C116" s="87" t="s">
        <v>2633</v>
      </c>
      <c r="D116" s="87">
        <f>+STAT3!J156</f>
        <v>3746542.45</v>
      </c>
      <c r="E116" s="237">
        <v>1616846.92</v>
      </c>
      <c r="F116" s="79">
        <f>+D116-E116</f>
        <v>2129695.5300000003</v>
      </c>
      <c r="K116" s="86"/>
    </row>
    <row r="117" spans="2:23" s="23" customFormat="1">
      <c r="C117" s="916"/>
      <c r="D117" s="916">
        <f>SUM(D109:D116)</f>
        <v>32098057.619999997</v>
      </c>
      <c r="E117" s="916"/>
      <c r="F117" s="916">
        <f>SUM(F109:F116)</f>
        <v>18620370.453499999</v>
      </c>
      <c r="K117" s="85"/>
      <c r="N117" s="512"/>
      <c r="R117" s="512"/>
      <c r="W117" s="512"/>
    </row>
    <row r="118" spans="2:23">
      <c r="C118" s="87"/>
      <c r="D118" s="87"/>
      <c r="K118" s="86"/>
    </row>
    <row r="119" spans="2:23">
      <c r="C119" s="87"/>
      <c r="D119" s="87"/>
      <c r="K119" s="86"/>
    </row>
    <row r="120" spans="2:23">
      <c r="C120" s="87"/>
      <c r="D120" s="87"/>
      <c r="K120" s="86"/>
    </row>
    <row r="121" spans="2:23">
      <c r="C121" s="87"/>
      <c r="D121" s="87"/>
      <c r="K121" s="86"/>
    </row>
    <row r="122" spans="2:23">
      <c r="C122" s="87"/>
      <c r="D122" s="87"/>
      <c r="K122" s="86"/>
    </row>
    <row r="123" spans="2:23">
      <c r="C123" s="87"/>
      <c r="D123" s="87"/>
      <c r="K123" s="86"/>
    </row>
    <row r="124" spans="2:23">
      <c r="C124" s="87"/>
      <c r="D124" s="87"/>
      <c r="K124" s="86"/>
    </row>
    <row r="125" spans="2:23">
      <c r="C125" s="87"/>
      <c r="D125" s="87"/>
      <c r="K125" s="86"/>
    </row>
    <row r="126" spans="2:23">
      <c r="C126" s="87"/>
      <c r="D126" s="87"/>
      <c r="K126" s="86"/>
    </row>
    <row r="127" spans="2:23">
      <c r="C127" s="87"/>
      <c r="D127" s="87"/>
      <c r="K127" s="86"/>
    </row>
    <row r="128" spans="2:23">
      <c r="C128" s="87"/>
      <c r="D128" s="87"/>
      <c r="K128" s="86"/>
    </row>
    <row r="129" spans="3:11">
      <c r="C129" s="87"/>
      <c r="D129" s="87"/>
      <c r="K129" s="86"/>
    </row>
    <row r="130" spans="3:11">
      <c r="C130" s="87"/>
      <c r="D130" s="87"/>
      <c r="K130" s="86"/>
    </row>
    <row r="131" spans="3:11">
      <c r="C131" s="87"/>
      <c r="D131" s="87"/>
      <c r="K131" s="86"/>
    </row>
    <row r="132" spans="3:11">
      <c r="C132" s="87"/>
      <c r="D132" s="87"/>
      <c r="K132" s="86"/>
    </row>
    <row r="133" spans="3:11">
      <c r="C133" s="87"/>
      <c r="D133" s="87"/>
      <c r="K133" s="86"/>
    </row>
    <row r="134" spans="3:11">
      <c r="C134" s="87"/>
      <c r="D134" s="87"/>
      <c r="K134" s="86"/>
    </row>
    <row r="135" spans="3:11">
      <c r="C135" s="87"/>
      <c r="D135" s="87"/>
      <c r="K135" s="86"/>
    </row>
    <row r="136" spans="3:11">
      <c r="C136" s="87"/>
      <c r="D136" s="87"/>
      <c r="K136" s="86"/>
    </row>
    <row r="137" spans="3:11">
      <c r="C137" s="87"/>
      <c r="D137" s="87"/>
      <c r="K137" s="86"/>
    </row>
    <row r="138" spans="3:11">
      <c r="C138" s="87"/>
      <c r="D138" s="87"/>
      <c r="K138" s="86"/>
    </row>
    <row r="139" spans="3:11">
      <c r="C139" s="87"/>
      <c r="D139" s="87"/>
      <c r="K139" s="86"/>
    </row>
    <row r="140" spans="3:11">
      <c r="C140" s="87"/>
      <c r="D140" s="87"/>
      <c r="K140" s="86"/>
    </row>
    <row r="141" spans="3:11">
      <c r="C141" s="87"/>
      <c r="D141" s="87"/>
      <c r="K141" s="86"/>
    </row>
    <row r="142" spans="3:11">
      <c r="C142" s="87"/>
      <c r="D142" s="87"/>
      <c r="K142" s="86"/>
    </row>
    <row r="143" spans="3:11">
      <c r="C143" s="87"/>
      <c r="D143" s="87"/>
      <c r="K143" s="86"/>
    </row>
    <row r="144" spans="3:11">
      <c r="C144" s="87"/>
      <c r="D144" s="87"/>
      <c r="K144" s="86"/>
    </row>
    <row r="145" spans="3:11">
      <c r="C145" s="87"/>
      <c r="D145" s="87"/>
      <c r="K145" s="86"/>
    </row>
    <row r="146" spans="3:11">
      <c r="C146" s="87"/>
      <c r="D146" s="87"/>
      <c r="K146" s="86"/>
    </row>
    <row r="147" spans="3:11">
      <c r="C147" s="87"/>
      <c r="D147" s="87"/>
      <c r="K147" s="86"/>
    </row>
    <row r="148" spans="3:11">
      <c r="C148" s="87"/>
      <c r="D148" s="87"/>
      <c r="K148" s="86"/>
    </row>
    <row r="149" spans="3:11">
      <c r="C149" s="87"/>
      <c r="D149" s="87"/>
      <c r="K149" s="86"/>
    </row>
    <row r="150" spans="3:11">
      <c r="C150" s="87"/>
      <c r="D150" s="87"/>
      <c r="K150" s="86"/>
    </row>
    <row r="151" spans="3:11">
      <c r="C151" s="87"/>
      <c r="D151" s="87"/>
      <c r="K151" s="86"/>
    </row>
    <row r="152" spans="3:11">
      <c r="C152" s="87"/>
      <c r="D152" s="87"/>
      <c r="K152" s="86"/>
    </row>
    <row r="153" spans="3:11">
      <c r="C153" s="87"/>
      <c r="D153" s="87"/>
      <c r="K153" s="86"/>
    </row>
    <row r="154" spans="3:11">
      <c r="C154" s="87"/>
      <c r="D154" s="87"/>
      <c r="K154" s="86"/>
    </row>
    <row r="155" spans="3:11">
      <c r="C155" s="87"/>
      <c r="D155" s="87"/>
      <c r="K155" s="86"/>
    </row>
    <row r="156" spans="3:11">
      <c r="C156" s="87"/>
      <c r="D156" s="87"/>
      <c r="K156" s="86"/>
    </row>
    <row r="157" spans="3:11">
      <c r="C157" s="87"/>
      <c r="D157" s="87"/>
      <c r="K157" s="86"/>
    </row>
    <row r="158" spans="3:11">
      <c r="C158" s="87"/>
      <c r="D158" s="87"/>
      <c r="K158" s="86"/>
    </row>
    <row r="159" spans="3:11">
      <c r="C159" s="87"/>
      <c r="D159" s="87"/>
      <c r="K159" s="86"/>
    </row>
    <row r="160" spans="3:11">
      <c r="C160" s="87"/>
      <c r="D160" s="87"/>
      <c r="K160" s="86"/>
    </row>
    <row r="161" spans="3:11">
      <c r="C161" s="87"/>
      <c r="D161" s="87"/>
      <c r="K161" s="86"/>
    </row>
    <row r="162" spans="3:11">
      <c r="C162" s="87"/>
      <c r="D162" s="87"/>
      <c r="K162" s="86"/>
    </row>
    <row r="163" spans="3:11">
      <c r="C163" s="87"/>
      <c r="D163" s="87"/>
      <c r="K163" s="86"/>
    </row>
    <row r="164" spans="3:11">
      <c r="C164" s="87"/>
      <c r="D164" s="87"/>
      <c r="K164" s="86"/>
    </row>
    <row r="165" spans="3:11">
      <c r="C165" s="87"/>
      <c r="D165" s="87"/>
      <c r="K165" s="86"/>
    </row>
    <row r="166" spans="3:11">
      <c r="C166" s="87"/>
      <c r="D166" s="87"/>
      <c r="K166" s="86"/>
    </row>
    <row r="167" spans="3:11">
      <c r="C167" s="87"/>
      <c r="D167" s="87"/>
      <c r="K167" s="86"/>
    </row>
    <row r="168" spans="3:11">
      <c r="C168" s="87"/>
      <c r="D168" s="87"/>
      <c r="K168" s="86"/>
    </row>
    <row r="169" spans="3:11">
      <c r="C169" s="87"/>
      <c r="D169" s="87"/>
      <c r="K169" s="86"/>
    </row>
    <row r="170" spans="3:11">
      <c r="C170" s="87"/>
      <c r="D170" s="87"/>
      <c r="K170" s="86"/>
    </row>
    <row r="171" spans="3:11">
      <c r="C171" s="87"/>
      <c r="D171" s="87"/>
      <c r="K171" s="86"/>
    </row>
    <row r="172" spans="3:11">
      <c r="C172" s="87"/>
      <c r="D172" s="87"/>
      <c r="K172" s="86"/>
    </row>
    <row r="173" spans="3:11">
      <c r="C173" s="87"/>
      <c r="D173" s="87"/>
      <c r="K173" s="86"/>
    </row>
    <row r="174" spans="3:11">
      <c r="C174" s="87"/>
      <c r="D174" s="87"/>
      <c r="K174" s="86"/>
    </row>
    <row r="175" spans="3:11">
      <c r="C175" s="87"/>
      <c r="D175" s="87"/>
      <c r="K175" s="86"/>
    </row>
    <row r="176" spans="3:11">
      <c r="C176" s="87"/>
      <c r="D176" s="87"/>
      <c r="K176" s="86"/>
    </row>
    <row r="177" spans="3:11">
      <c r="C177" s="87"/>
      <c r="D177" s="87"/>
      <c r="K177" s="86"/>
    </row>
    <row r="178" spans="3:11">
      <c r="C178" s="87"/>
      <c r="D178" s="87"/>
      <c r="K178" s="86"/>
    </row>
    <row r="179" spans="3:11">
      <c r="C179" s="87"/>
      <c r="D179" s="87"/>
      <c r="K179" s="86"/>
    </row>
    <row r="180" spans="3:11">
      <c r="C180" s="87"/>
      <c r="D180" s="87"/>
      <c r="K180" s="86"/>
    </row>
    <row r="181" spans="3:11">
      <c r="C181" s="87"/>
      <c r="D181" s="87"/>
      <c r="K181" s="86"/>
    </row>
    <row r="182" spans="3:11">
      <c r="C182" s="87"/>
      <c r="D182" s="87"/>
      <c r="K182" s="86"/>
    </row>
    <row r="183" spans="3:11">
      <c r="C183" s="87"/>
      <c r="D183" s="87"/>
      <c r="K183" s="86"/>
    </row>
    <row r="184" spans="3:11">
      <c r="C184" s="87"/>
      <c r="D184" s="87"/>
      <c r="K184" s="86"/>
    </row>
    <row r="185" spans="3:11">
      <c r="C185" s="87"/>
      <c r="D185" s="87"/>
      <c r="K185" s="86"/>
    </row>
    <row r="186" spans="3:11">
      <c r="C186" s="87"/>
      <c r="D186" s="87"/>
      <c r="K186" s="86"/>
    </row>
    <row r="187" spans="3:11">
      <c r="C187" s="87"/>
      <c r="D187" s="87"/>
      <c r="K187" s="86"/>
    </row>
    <row r="188" spans="3:11">
      <c r="C188" s="87"/>
      <c r="D188" s="87"/>
      <c r="K188" s="86"/>
    </row>
    <row r="189" spans="3:11">
      <c r="C189" s="87"/>
      <c r="D189" s="87"/>
      <c r="K189" s="86"/>
    </row>
    <row r="190" spans="3:11">
      <c r="C190" s="87"/>
      <c r="D190" s="87"/>
      <c r="K190" s="86"/>
    </row>
    <row r="191" spans="3:11">
      <c r="C191" s="87"/>
      <c r="D191" s="87"/>
      <c r="K191" s="86"/>
    </row>
    <row r="192" spans="3:11">
      <c r="C192" s="87"/>
      <c r="D192" s="87"/>
      <c r="K192" s="86"/>
    </row>
    <row r="193" spans="3:11">
      <c r="C193" s="87"/>
      <c r="D193" s="87"/>
      <c r="K193" s="86"/>
    </row>
    <row r="194" spans="3:11">
      <c r="C194" s="87"/>
      <c r="D194" s="87"/>
      <c r="K194" s="86"/>
    </row>
    <row r="195" spans="3:11">
      <c r="C195" s="87"/>
      <c r="D195" s="87"/>
      <c r="K195" s="86"/>
    </row>
    <row r="196" spans="3:11">
      <c r="C196" s="87"/>
      <c r="D196" s="87"/>
      <c r="K196" s="86"/>
    </row>
    <row r="197" spans="3:11">
      <c r="C197" s="87"/>
      <c r="D197" s="87"/>
      <c r="K197" s="86"/>
    </row>
    <row r="198" spans="3:11">
      <c r="C198" s="87"/>
      <c r="D198" s="87"/>
      <c r="K198" s="86"/>
    </row>
    <row r="199" spans="3:11">
      <c r="C199" s="87"/>
      <c r="D199" s="87"/>
      <c r="K199" s="86"/>
    </row>
    <row r="200" spans="3:11">
      <c r="C200" s="87"/>
      <c r="D200" s="87"/>
      <c r="K200" s="86"/>
    </row>
    <row r="201" spans="3:11">
      <c r="C201" s="87"/>
      <c r="D201" s="87"/>
      <c r="K201" s="86"/>
    </row>
    <row r="202" spans="3:11">
      <c r="C202" s="87"/>
      <c r="D202" s="87"/>
      <c r="K202" s="86"/>
    </row>
    <row r="203" spans="3:11">
      <c r="C203" s="87"/>
      <c r="D203" s="87"/>
      <c r="K203" s="86"/>
    </row>
    <row r="204" spans="3:11">
      <c r="C204" s="87"/>
      <c r="D204" s="87"/>
      <c r="K204" s="86"/>
    </row>
    <row r="205" spans="3:11">
      <c r="C205" s="87"/>
      <c r="D205" s="87"/>
      <c r="K205" s="86"/>
    </row>
    <row r="206" spans="3:11">
      <c r="C206" s="87"/>
      <c r="D206" s="87"/>
      <c r="K206" s="86"/>
    </row>
    <row r="207" spans="3:11">
      <c r="C207" s="87"/>
      <c r="D207" s="87"/>
      <c r="K207" s="86"/>
    </row>
    <row r="208" spans="3:11">
      <c r="C208" s="87"/>
      <c r="D208" s="87"/>
      <c r="K208" s="86"/>
    </row>
    <row r="209" spans="3:11">
      <c r="C209" s="87"/>
      <c r="D209" s="87"/>
      <c r="K209" s="86"/>
    </row>
    <row r="210" spans="3:11">
      <c r="C210" s="87"/>
      <c r="D210" s="87"/>
      <c r="K210" s="86"/>
    </row>
    <row r="211" spans="3:11">
      <c r="C211" s="87"/>
      <c r="D211" s="87"/>
      <c r="K211" s="86"/>
    </row>
    <row r="212" spans="3:11">
      <c r="C212" s="87"/>
      <c r="D212" s="87"/>
      <c r="K212" s="86"/>
    </row>
    <row r="213" spans="3:11">
      <c r="C213" s="87"/>
      <c r="D213" s="87"/>
      <c r="K213" s="86"/>
    </row>
    <row r="214" spans="3:11">
      <c r="C214" s="87"/>
      <c r="D214" s="87"/>
      <c r="K214" s="86"/>
    </row>
    <row r="215" spans="3:11">
      <c r="C215" s="87"/>
      <c r="D215" s="87"/>
      <c r="K215" s="86"/>
    </row>
    <row r="216" spans="3:11">
      <c r="C216" s="87"/>
      <c r="D216" s="87"/>
      <c r="K216" s="86"/>
    </row>
    <row r="217" spans="3:11">
      <c r="C217" s="87"/>
      <c r="D217" s="87"/>
      <c r="K217" s="86"/>
    </row>
    <row r="218" spans="3:11">
      <c r="C218" s="87"/>
      <c r="D218" s="87"/>
      <c r="K218" s="86"/>
    </row>
    <row r="219" spans="3:11">
      <c r="C219" s="87"/>
      <c r="D219" s="87"/>
      <c r="K219" s="86"/>
    </row>
    <row r="220" spans="3:11">
      <c r="K220" s="86"/>
    </row>
    <row r="221" spans="3:11">
      <c r="K221" s="86"/>
    </row>
    <row r="222" spans="3:11">
      <c r="K222" s="86"/>
    </row>
    <row r="223" spans="3:11">
      <c r="K223" s="86"/>
    </row>
    <row r="224" spans="3:11">
      <c r="K224" s="86"/>
    </row>
    <row r="225" spans="11:11">
      <c r="K225" s="86"/>
    </row>
    <row r="226" spans="11:11">
      <c r="K226" s="86"/>
    </row>
    <row r="227" spans="11:11">
      <c r="K227" s="86"/>
    </row>
    <row r="228" spans="11:11">
      <c r="K228" s="86"/>
    </row>
    <row r="229" spans="11:11">
      <c r="K229" s="86"/>
    </row>
    <row r="230" spans="11:11">
      <c r="K230" s="86"/>
    </row>
    <row r="231" spans="11:11">
      <c r="K231" s="86"/>
    </row>
    <row r="232" spans="11:11">
      <c r="K232" s="86"/>
    </row>
    <row r="233" spans="11:11">
      <c r="K233" s="86"/>
    </row>
    <row r="234" spans="11:11">
      <c r="K234" s="86"/>
    </row>
    <row r="235" spans="11:11">
      <c r="K235" s="86"/>
    </row>
    <row r="236" spans="11:11">
      <c r="K236" s="86"/>
    </row>
    <row r="237" spans="11:11">
      <c r="K237" s="86"/>
    </row>
    <row r="238" spans="11:11">
      <c r="K238" s="86"/>
    </row>
    <row r="239" spans="11:11">
      <c r="K239" s="86"/>
    </row>
    <row r="240" spans="11:11">
      <c r="K240" s="86"/>
    </row>
    <row r="241" spans="11:11">
      <c r="K241" s="86"/>
    </row>
    <row r="242" spans="11:11">
      <c r="K242" s="86"/>
    </row>
    <row r="243" spans="11:11">
      <c r="K243" s="86"/>
    </row>
    <row r="244" spans="11:11">
      <c r="K244" s="86"/>
    </row>
    <row r="245" spans="11:11">
      <c r="K245" s="86"/>
    </row>
    <row r="246" spans="11:11">
      <c r="K246" s="86"/>
    </row>
    <row r="247" spans="11:11">
      <c r="K247" s="86"/>
    </row>
    <row r="248" spans="11:11">
      <c r="K248" s="86"/>
    </row>
    <row r="249" spans="11:11">
      <c r="K249" s="86"/>
    </row>
    <row r="250" spans="11:11">
      <c r="K250" s="86"/>
    </row>
    <row r="251" spans="11:11">
      <c r="K251" s="86"/>
    </row>
    <row r="252" spans="11:11">
      <c r="K252" s="86"/>
    </row>
    <row r="253" spans="11:11">
      <c r="K253" s="86"/>
    </row>
    <row r="254" spans="11:11">
      <c r="K254" s="86"/>
    </row>
    <row r="255" spans="11:11">
      <c r="K255" s="86"/>
    </row>
    <row r="256" spans="11:11">
      <c r="K256" s="86"/>
    </row>
    <row r="257" spans="11:11">
      <c r="K257" s="86"/>
    </row>
    <row r="258" spans="11:11">
      <c r="K258" s="86"/>
    </row>
    <row r="259" spans="11:11">
      <c r="K259" s="86"/>
    </row>
    <row r="260" spans="11:11">
      <c r="K260" s="86"/>
    </row>
    <row r="261" spans="11:11">
      <c r="K261" s="86"/>
    </row>
    <row r="262" spans="11:11">
      <c r="K262" s="86"/>
    </row>
    <row r="263" spans="11:11">
      <c r="K263" s="86"/>
    </row>
    <row r="264" spans="11:11">
      <c r="K264" s="86"/>
    </row>
    <row r="265" spans="11:11">
      <c r="K265" s="86"/>
    </row>
    <row r="266" spans="11:11">
      <c r="K266" s="86"/>
    </row>
    <row r="267" spans="11:11">
      <c r="K267" s="86"/>
    </row>
    <row r="268" spans="11:11">
      <c r="K268" s="86"/>
    </row>
    <row r="269" spans="11:11">
      <c r="K269" s="86"/>
    </row>
    <row r="270" spans="11:11">
      <c r="K270" s="86"/>
    </row>
    <row r="271" spans="11:11">
      <c r="K271" s="86"/>
    </row>
    <row r="272" spans="11:11">
      <c r="K272" s="86"/>
    </row>
    <row r="273" spans="11:11">
      <c r="K273" s="86"/>
    </row>
    <row r="274" spans="11:11">
      <c r="K274" s="86"/>
    </row>
    <row r="275" spans="11:11">
      <c r="K275" s="86"/>
    </row>
    <row r="276" spans="11:11">
      <c r="K276" s="86"/>
    </row>
    <row r="277" spans="11:11">
      <c r="K277" s="86"/>
    </row>
    <row r="278" spans="11:11">
      <c r="K278" s="86"/>
    </row>
    <row r="279" spans="11:11">
      <c r="K279" s="86"/>
    </row>
    <row r="280" spans="11:11">
      <c r="K280" s="86"/>
    </row>
    <row r="281" spans="11:11">
      <c r="K281" s="86"/>
    </row>
    <row r="282" spans="11:11">
      <c r="K282" s="86"/>
    </row>
    <row r="283" spans="11:11">
      <c r="K283" s="86"/>
    </row>
    <row r="284" spans="11:11">
      <c r="K284" s="86"/>
    </row>
    <row r="285" spans="11:11">
      <c r="K285" s="86"/>
    </row>
    <row r="286" spans="11:11">
      <c r="K286" s="86"/>
    </row>
    <row r="287" spans="11:11">
      <c r="K287" s="86"/>
    </row>
    <row r="288" spans="11:11">
      <c r="K288" s="86"/>
    </row>
    <row r="289" spans="11:11">
      <c r="K289" s="86"/>
    </row>
    <row r="290" spans="11:11">
      <c r="K290" s="86"/>
    </row>
    <row r="291" spans="11:11">
      <c r="K291" s="86"/>
    </row>
    <row r="292" spans="11:11">
      <c r="K292" s="86"/>
    </row>
    <row r="293" spans="11:11">
      <c r="K293" s="86"/>
    </row>
    <row r="294" spans="11:11">
      <c r="K294" s="86"/>
    </row>
    <row r="295" spans="11:11">
      <c r="K295" s="86"/>
    </row>
    <row r="296" spans="11:11">
      <c r="K296" s="86"/>
    </row>
    <row r="297" spans="11:11">
      <c r="K297" s="86"/>
    </row>
    <row r="298" spans="11:11">
      <c r="K298" s="86"/>
    </row>
    <row r="299" spans="11:11">
      <c r="K299" s="86"/>
    </row>
    <row r="300" spans="11:11">
      <c r="K300" s="86"/>
    </row>
    <row r="301" spans="11:11">
      <c r="K301" s="86"/>
    </row>
    <row r="302" spans="11:11">
      <c r="K302" s="86"/>
    </row>
    <row r="303" spans="11:11">
      <c r="K303" s="86"/>
    </row>
    <row r="304" spans="11:11">
      <c r="K304" s="86"/>
    </row>
    <row r="305" spans="11:11">
      <c r="K305" s="86"/>
    </row>
    <row r="306" spans="11:11">
      <c r="K306" s="86"/>
    </row>
    <row r="307" spans="11:11">
      <c r="K307" s="86"/>
    </row>
    <row r="308" spans="11:11">
      <c r="K308" s="86"/>
    </row>
    <row r="309" spans="11:11">
      <c r="K309" s="86"/>
    </row>
    <row r="310" spans="11:11">
      <c r="K310" s="86"/>
    </row>
    <row r="311" spans="11:11">
      <c r="K311" s="86"/>
    </row>
    <row r="312" spans="11:11">
      <c r="K312" s="86"/>
    </row>
    <row r="313" spans="11:11">
      <c r="K313" s="86"/>
    </row>
    <row r="314" spans="11:11">
      <c r="K314" s="86"/>
    </row>
    <row r="315" spans="11:11">
      <c r="K315" s="86"/>
    </row>
    <row r="316" spans="11:11">
      <c r="K316" s="86"/>
    </row>
    <row r="317" spans="11:11">
      <c r="K317" s="86"/>
    </row>
    <row r="318" spans="11:11">
      <c r="K318" s="86"/>
    </row>
    <row r="319" spans="11:11">
      <c r="K319" s="86"/>
    </row>
    <row r="320" spans="11:11">
      <c r="K320" s="86"/>
    </row>
    <row r="321" spans="11:11">
      <c r="K321" s="86"/>
    </row>
    <row r="322" spans="11:11">
      <c r="K322" s="86"/>
    </row>
    <row r="323" spans="11:11">
      <c r="K323" s="86"/>
    </row>
    <row r="324" spans="11:11">
      <c r="K324" s="86"/>
    </row>
    <row r="325" spans="11:11">
      <c r="K325" s="86"/>
    </row>
    <row r="326" spans="11:11">
      <c r="K326" s="86"/>
    </row>
    <row r="327" spans="11:11">
      <c r="K327" s="86"/>
    </row>
    <row r="328" spans="11:11">
      <c r="K328" s="86"/>
    </row>
    <row r="329" spans="11:11">
      <c r="K329" s="86"/>
    </row>
    <row r="330" spans="11:11">
      <c r="K330" s="86"/>
    </row>
    <row r="331" spans="11:11">
      <c r="K331" s="86"/>
    </row>
    <row r="332" spans="11:11">
      <c r="K332" s="86"/>
    </row>
    <row r="333" spans="11:11">
      <c r="K333" s="86"/>
    </row>
    <row r="334" spans="11:11">
      <c r="K334" s="86"/>
    </row>
    <row r="335" spans="11:11">
      <c r="K335" s="86"/>
    </row>
    <row r="336" spans="11:11">
      <c r="K336" s="86"/>
    </row>
    <row r="337" spans="11:11">
      <c r="K337" s="86"/>
    </row>
    <row r="338" spans="11:11">
      <c r="K338" s="86"/>
    </row>
    <row r="339" spans="11:11">
      <c r="K339" s="86"/>
    </row>
    <row r="340" spans="11:11">
      <c r="K340" s="86"/>
    </row>
    <row r="341" spans="11:11">
      <c r="K341" s="86"/>
    </row>
    <row r="342" spans="11:11">
      <c r="K342" s="86"/>
    </row>
    <row r="343" spans="11:11">
      <c r="K343" s="86"/>
    </row>
    <row r="344" spans="11:11">
      <c r="K344" s="86"/>
    </row>
    <row r="345" spans="11:11">
      <c r="K345" s="86"/>
    </row>
    <row r="346" spans="11:11">
      <c r="K346" s="86"/>
    </row>
    <row r="347" spans="11:11">
      <c r="K347" s="86"/>
    </row>
    <row r="348" spans="11:11">
      <c r="K348" s="86"/>
    </row>
    <row r="349" spans="11:11">
      <c r="K349" s="86"/>
    </row>
    <row r="350" spans="11:11">
      <c r="K350" s="86"/>
    </row>
    <row r="351" spans="11:11">
      <c r="K351" s="86"/>
    </row>
    <row r="352" spans="11:11">
      <c r="K352" s="86"/>
    </row>
    <row r="353" spans="11:11">
      <c r="K353" s="86"/>
    </row>
    <row r="354" spans="11:11">
      <c r="K354" s="86"/>
    </row>
    <row r="355" spans="11:11">
      <c r="K355" s="86"/>
    </row>
    <row r="356" spans="11:11">
      <c r="K356" s="86"/>
    </row>
    <row r="357" spans="11:11">
      <c r="K357" s="86"/>
    </row>
    <row r="358" spans="11:11">
      <c r="K358" s="86"/>
    </row>
    <row r="359" spans="11:11">
      <c r="K359" s="86"/>
    </row>
    <row r="360" spans="11:11">
      <c r="K360" s="86"/>
    </row>
  </sheetData>
  <mergeCells count="15">
    <mergeCell ref="E73:H73"/>
    <mergeCell ref="I73:J73"/>
    <mergeCell ref="K73:L73"/>
    <mergeCell ref="E4:H4"/>
    <mergeCell ref="I4:J4"/>
    <mergeCell ref="K4:L4"/>
    <mergeCell ref="E21:H21"/>
    <mergeCell ref="I21:J21"/>
    <mergeCell ref="K21:L21"/>
    <mergeCell ref="E34:H34"/>
    <mergeCell ref="I34:J34"/>
    <mergeCell ref="K34:L34"/>
    <mergeCell ref="E55:H55"/>
    <mergeCell ref="I55:J55"/>
    <mergeCell ref="K55:L55"/>
  </mergeCells>
  <conditionalFormatting sqref="H44:I44 C36:D44 D23:D40 D6:D20 A6:C40 J6:J31 F6:F44 E6:E35 I36:I44 J33:J44 G6:I43 K6:L44">
    <cfRule type="expression" dxfId="763" priority="57">
      <formula>$B6&lt;&gt;""</formula>
    </cfRule>
  </conditionalFormatting>
  <conditionalFormatting sqref="C41:C43">
    <cfRule type="expression" dxfId="762" priority="56">
      <formula>$B41&lt;&gt;""</formula>
    </cfRule>
  </conditionalFormatting>
  <conditionalFormatting sqref="D41:D43">
    <cfRule type="expression" dxfId="761" priority="54">
      <formula>$B41&lt;&gt;""</formula>
    </cfRule>
  </conditionalFormatting>
  <conditionalFormatting sqref="C44">
    <cfRule type="expression" dxfId="760" priority="52">
      <formula>$B44&lt;&gt;""</formula>
    </cfRule>
  </conditionalFormatting>
  <conditionalFormatting sqref="D44">
    <cfRule type="expression" dxfId="759" priority="50">
      <formula>$B44&lt;&gt;""</formula>
    </cfRule>
  </conditionalFormatting>
  <conditionalFormatting sqref="G44:L44">
    <cfRule type="expression" dxfId="758" priority="48">
      <formula>$B44&lt;&gt;""</formula>
    </cfRule>
  </conditionalFormatting>
  <conditionalFormatting sqref="H65:I65 A52:F61 K57:L65 C57:D65 A58:A63 G52:L64">
    <cfRule type="expression" dxfId="757" priority="45">
      <formula>$B52&lt;&gt;""</formula>
    </cfRule>
  </conditionalFormatting>
  <conditionalFormatting sqref="C62:C64">
    <cfRule type="expression" dxfId="756" priority="44">
      <formula>$B62&lt;&gt;""</formula>
    </cfRule>
  </conditionalFormatting>
  <conditionalFormatting sqref="D62:D64">
    <cfRule type="expression" dxfId="755" priority="42">
      <formula>$B62&lt;&gt;""</formula>
    </cfRule>
  </conditionalFormatting>
  <conditionalFormatting sqref="C65">
    <cfRule type="expression" dxfId="754" priority="40">
      <formula>$B65&lt;&gt;""</formula>
    </cfRule>
  </conditionalFormatting>
  <conditionalFormatting sqref="D65">
    <cfRule type="expression" dxfId="753" priority="38">
      <formula>$B65&lt;&gt;""</formula>
    </cfRule>
  </conditionalFormatting>
  <conditionalFormatting sqref="G65:L65">
    <cfRule type="expression" dxfId="752" priority="36">
      <formula>$B65&lt;&gt;""</formula>
    </cfRule>
  </conditionalFormatting>
  <conditionalFormatting sqref="C36:C44">
    <cfRule type="expression" dxfId="751" priority="34">
      <formula>$B36&lt;&gt;""</formula>
    </cfRule>
  </conditionalFormatting>
  <conditionalFormatting sqref="D36:D44">
    <cfRule type="expression" dxfId="750" priority="32">
      <formula>$B36&lt;&gt;""</formula>
    </cfRule>
  </conditionalFormatting>
  <conditionalFormatting sqref="H83:I83 C80:D83 A80:A81 K70:L83 G70:J82 A70:F79">
    <cfRule type="expression" dxfId="749" priority="23">
      <formula>$B70&lt;&gt;""</formula>
    </cfRule>
  </conditionalFormatting>
  <conditionalFormatting sqref="C80:C82">
    <cfRule type="expression" dxfId="748" priority="22">
      <formula>$B80&lt;&gt;""</formula>
    </cfRule>
  </conditionalFormatting>
  <conditionalFormatting sqref="D80:D82">
    <cfRule type="expression" dxfId="747" priority="20">
      <formula>$B80&lt;&gt;""</formula>
    </cfRule>
  </conditionalFormatting>
  <conditionalFormatting sqref="C83">
    <cfRule type="expression" dxfId="746" priority="18">
      <formula>$B83&lt;&gt;""</formula>
    </cfRule>
  </conditionalFormatting>
  <conditionalFormatting sqref="D83">
    <cfRule type="expression" dxfId="745" priority="16">
      <formula>$B83&lt;&gt;""</formula>
    </cfRule>
  </conditionalFormatting>
  <conditionalFormatting sqref="G83:L83">
    <cfRule type="expression" dxfId="744" priority="14">
      <formula>$B83&lt;&gt;""</formula>
    </cfRule>
  </conditionalFormatting>
  <conditionalFormatting sqref="B75">
    <cfRule type="expression" dxfId="743" priority="13">
      <formula>$B75&lt;&gt;""</formula>
    </cfRule>
  </conditionalFormatting>
  <conditionalFormatting sqref="B75 B9:B15">
    <cfRule type="expression" dxfId="742" priority="12" stopIfTrue="1">
      <formula>$A9&lt;&gt;""</formula>
    </cfRule>
  </conditionalFormatting>
  <conditionalFormatting sqref="B75">
    <cfRule type="expression" dxfId="741" priority="11">
      <formula>$B75&lt;&gt;""</formula>
    </cfRule>
  </conditionalFormatting>
  <conditionalFormatting sqref="B76:B77">
    <cfRule type="expression" dxfId="740" priority="10">
      <formula>$B76&lt;&gt;""</formula>
    </cfRule>
  </conditionalFormatting>
  <conditionalFormatting sqref="B76:B77">
    <cfRule type="expression" dxfId="739" priority="9" stopIfTrue="1">
      <formula>$A76&lt;&gt;""</formula>
    </cfRule>
  </conditionalFormatting>
  <conditionalFormatting sqref="B76:B77">
    <cfRule type="expression" dxfId="738" priority="8">
      <formula>$B76&lt;&gt;""</formula>
    </cfRule>
  </conditionalFormatting>
  <conditionalFormatting sqref="B78:B79">
    <cfRule type="expression" dxfId="737" priority="7">
      <formula>$B78&lt;&gt;""</formula>
    </cfRule>
  </conditionalFormatting>
  <conditionalFormatting sqref="J71">
    <cfRule type="expression" dxfId="736" priority="6">
      <formula>$C71&lt;&gt;""</formula>
    </cfRule>
  </conditionalFormatting>
  <conditionalFormatting sqref="C23">
    <cfRule type="expression" dxfId="735" priority="5">
      <formula>$B23&lt;&gt;""</formula>
    </cfRule>
  </conditionalFormatting>
  <conditionalFormatting sqref="B36:B42">
    <cfRule type="expression" dxfId="734" priority="2">
      <formula>$B36&lt;&gt;""</formula>
    </cfRule>
  </conditionalFormatting>
  <conditionalFormatting sqref="B36:B42">
    <cfRule type="expression" dxfId="733" priority="1" stopIfTrue="1">
      <formula>$A36&lt;&gt;""</formula>
    </cfRule>
  </conditionalFormatting>
  <pageMargins left="0.7" right="0.7" top="0.75" bottom="0.75" header="0.3" footer="0.3"/>
  <pageSetup orientation="portrait" horizontalDpi="0" verticalDpi="0"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4</vt:i4>
      </vt:variant>
    </vt:vector>
  </HeadingPairs>
  <TitlesOfParts>
    <vt:vector size="33" baseType="lpstr">
      <vt:lpstr>company </vt:lpstr>
      <vt:lpstr>CASH-C2</vt:lpstr>
      <vt:lpstr>DATA</vt:lpstr>
      <vt:lpstr>AP-AR</vt:lpstr>
      <vt:lpstr>AP-AR1</vt:lpstr>
      <vt:lpstr>AP-AR2</vt:lpstr>
      <vt:lpstr>TN</vt:lpstr>
      <vt:lpstr>RC</vt:lpstr>
      <vt:lpstr>T_or</vt:lpstr>
      <vt:lpstr>FIXED ASSET</vt:lpstr>
      <vt:lpstr>JURNAL</vt:lpstr>
      <vt:lpstr>TSALIN</vt:lpstr>
      <vt:lpstr>STAT1</vt:lpstr>
      <vt:lpstr>STAT2</vt:lpstr>
      <vt:lpstr>STAT3</vt:lpstr>
      <vt:lpstr>STAT4</vt:lpstr>
      <vt:lpstr>BS</vt:lpstr>
      <vt:lpstr>IS</vt:lpstr>
      <vt:lpstr>OC</vt:lpstr>
      <vt:lpstr>CF</vt:lpstr>
      <vt:lpstr>TT-02</vt:lpstr>
      <vt:lpstr>TT-02г</vt:lpstr>
      <vt:lpstr>TT-z</vt:lpstr>
      <vt:lpstr>TT-11</vt:lpstr>
      <vt:lpstr>TT-11(1)</vt:lpstr>
      <vt:lpstr>TT-03a</vt:lpstr>
      <vt:lpstr>nuur</vt:lpstr>
      <vt:lpstr>nuur1</vt:lpstr>
      <vt:lpstr>todruulga </vt:lpstr>
      <vt:lpstr>BS!Print_Area</vt:lpstr>
      <vt:lpstr>CF!Print_Area</vt:lpstr>
      <vt:lpstr>IS!Print_Area</vt:lpstr>
      <vt:lpstr>OC!Print_Area</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tumee2</dc:creator>
  <cp:lastModifiedBy>Tumee</cp:lastModifiedBy>
  <cp:lastPrinted>2019-01-21T09:43:50Z</cp:lastPrinted>
  <dcterms:created xsi:type="dcterms:W3CDTF">2017-02-17T02:02:48Z</dcterms:created>
  <dcterms:modified xsi:type="dcterms:W3CDTF">2019-01-22T02:50:37Z</dcterms:modified>
</cp:coreProperties>
</file>